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drawings/drawing3.xml" ContentType="application/vnd.openxmlformats-officedocument.drawing+xml"/>
  <Override PartName="/xl/tables/table2.xml" ContentType="application/vnd.openxmlformats-officedocument.spreadsheetml.table+xml"/>
  <Override PartName="/xl/drawings/drawing4.xml" ContentType="application/vnd.openxmlformats-officedocument.drawing+xml"/>
  <Override PartName="/xl/tables/table3.xml" ContentType="application/vnd.openxmlformats-officedocument.spreadsheetml.table+xml"/>
  <Override PartName="/xl/drawings/drawing5.xml" ContentType="application/vnd.openxmlformats-officedocument.drawing+xml"/>
  <Override PartName="/xl/tables/table4.xml" ContentType="application/vnd.openxmlformats-officedocument.spreadsheetml.table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filterPrivacy="1"/>
  <xr:revisionPtr revIDLastSave="215" documentId="8_{F62BAD84-0F1F-4C6E-90C6-3B28D633D389}" xr6:coauthVersionLast="47" xr6:coauthVersionMax="47" xr10:uidLastSave="{A1A805C0-65E8-4EAB-833C-AE10EE8A73C7}"/>
  <bookViews>
    <workbookView xWindow="-98" yWindow="-98" windowWidth="20715" windowHeight="13155" tabRatio="819" xr2:uid="{00000000-000D-0000-FFFF-FFFF00000000}"/>
  </bookViews>
  <sheets>
    <sheet name="Presupuesto" sheetId="1" r:id="rId1"/>
    <sheet name="Insumos" sheetId="2" r:id="rId2"/>
    <sheet name="Equipo" sheetId="3" r:id="rId3"/>
    <sheet name="Transporte" sheetId="4" r:id="rId4"/>
    <sheet name="Mano de obra" sheetId="5" r:id="rId5"/>
    <sheet name="Basico" sheetId="6" r:id="rId6"/>
    <sheet name="AU" sheetId="7" r:id="rId7"/>
    <sheet name="CAP1-3" sheetId="8" r:id="rId8"/>
    <sheet name="CAP4-5" sheetId="11" r:id="rId9"/>
    <sheet name="CAP6-7" sheetId="13" r:id="rId10"/>
    <sheet name="CAP8" sheetId="15" r:id="rId11"/>
    <sheet name="CAP9-13" sheetId="16" r:id="rId12"/>
    <sheet name="CAP14-15" sheetId="21" r:id="rId13"/>
    <sheet name="CAP16-18" sheetId="24" r:id="rId14"/>
    <sheet name="CAP19-22" sheetId="26" r:id="rId15"/>
    <sheet name="CAP23-24" sheetId="30" r:id="rId16"/>
    <sheet name="CAP25" sheetId="32" r:id="rId17"/>
    <sheet name="CAP26-28" sheetId="33" r:id="rId18"/>
    <sheet name="CAP29" sheetId="36" r:id="rId19"/>
  </sheets>
  <definedNames>
    <definedName name="_xlnm._FilterDatabase" localSheetId="0" hidden="1">Presupuesto!$A$4:$G$1277</definedName>
    <definedName name="_xlnm.Print_Area" localSheetId="6">AU!$A$1:$E$100</definedName>
    <definedName name="_xlnm.Print_Area" localSheetId="5">Basico!$A$4:$G$222</definedName>
    <definedName name="_xlnm.Print_Area" localSheetId="7">'CAP1-3'!$A$1:$G$2832</definedName>
    <definedName name="_xlnm.Print_Area" localSheetId="12">'CAP14-15'!$A$4:$G$1846</definedName>
    <definedName name="_xlnm.Print_Area" localSheetId="13">'CAP16-18'!$A$1:$G$1751</definedName>
    <definedName name="_xlnm.Print_Area" localSheetId="14">'CAP19-22'!$A$4:$G$3115</definedName>
    <definedName name="_xlnm.Print_Area" localSheetId="15">'CAP23-24'!$A$4:$G$2185</definedName>
    <definedName name="_xlnm.Print_Area" localSheetId="16">'CAP25'!$A$4:$G$1666</definedName>
    <definedName name="_xlnm.Print_Area" localSheetId="17">'CAP26-28'!$A$4:$G$1262</definedName>
    <definedName name="_xlnm.Print_Area" localSheetId="18">'CAP29'!$A$4:$G$62</definedName>
    <definedName name="_xlnm.Print_Area" localSheetId="8">'CAP4-5'!$A$4:$G$2991</definedName>
    <definedName name="_xlnm.Print_Area" localSheetId="9">'CAP6-7'!$A$4:$G$2779</definedName>
    <definedName name="_xlnm.Print_Area" localSheetId="10">'CAP8'!$A$4:$G$2140</definedName>
    <definedName name="_xlnm.Print_Area" localSheetId="11">'CAP9-13'!$A$4:$G$2717</definedName>
    <definedName name="_xlnm.Print_Area" localSheetId="2">Equipo!$A$1:$E$91</definedName>
    <definedName name="_xlnm.Print_Area" localSheetId="1">Insumos!$A$1:$E$945</definedName>
    <definedName name="_xlnm.Print_Area" localSheetId="4">'Mano de obra'!$A$1:$E$59</definedName>
    <definedName name="_xlnm.Print_Area" localSheetId="0">Presupuesto!$A$5:$G$1281</definedName>
    <definedName name="_xlnm.Print_Area" localSheetId="3">Transporte!$A$1:$E$10</definedName>
    <definedName name="Desinsum">Insumo[DESCRIPCION]</definedName>
    <definedName name="Precios">#REF!</definedName>
    <definedName name="_xlnm.Print_Titles" localSheetId="5">Basico!$1:$3</definedName>
    <definedName name="_xlnm.Print_Titles" localSheetId="7">'CAP1-3'!$1:$3</definedName>
    <definedName name="_xlnm.Print_Titles" localSheetId="12">'CAP14-15'!$1:$3</definedName>
    <definedName name="_xlnm.Print_Titles" localSheetId="13">'CAP16-18'!$1:$3</definedName>
    <definedName name="_xlnm.Print_Titles" localSheetId="14">'CAP19-22'!$1:$3</definedName>
    <definedName name="_xlnm.Print_Titles" localSheetId="15">'CAP23-24'!$1:$3</definedName>
    <definedName name="_xlnm.Print_Titles" localSheetId="16">'CAP25'!$1:$3</definedName>
    <definedName name="_xlnm.Print_Titles" localSheetId="17">'CAP26-28'!$1:$3</definedName>
    <definedName name="_xlnm.Print_Titles" localSheetId="18">'CAP29'!$1:$3</definedName>
    <definedName name="_xlnm.Print_Titles" localSheetId="8">'CAP4-5'!$1:$3</definedName>
    <definedName name="_xlnm.Print_Titles" localSheetId="9">'CAP6-7'!$1:$3</definedName>
    <definedName name="_xlnm.Print_Titles" localSheetId="10">'CAP8'!$1:$3</definedName>
    <definedName name="_xlnm.Print_Titles" localSheetId="11">'CAP9-13'!$1:$3</definedName>
    <definedName name="_xlnm.Print_Titles" localSheetId="1">Insumos!$1:$4</definedName>
    <definedName name="_xlnm.Print_Titles" localSheetId="0">Presupuesto!$1:$4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6" i="4" l="1"/>
  <c r="C7" i="4"/>
  <c r="C8" i="4"/>
  <c r="C9" i="4"/>
  <c r="C5" i="4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C5" i="3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C201" i="2"/>
  <c r="C202" i="2"/>
  <c r="C203" i="2"/>
  <c r="C204" i="2"/>
  <c r="C205" i="2"/>
  <c r="C206" i="2"/>
  <c r="C207" i="2"/>
  <c r="C208" i="2"/>
  <c r="C209" i="2"/>
  <c r="C210" i="2"/>
  <c r="C211" i="2"/>
  <c r="C212" i="2"/>
  <c r="C213" i="2"/>
  <c r="C214" i="2"/>
  <c r="C215" i="2"/>
  <c r="C216" i="2"/>
  <c r="C217" i="2"/>
  <c r="C218" i="2"/>
  <c r="C219" i="2"/>
  <c r="C220" i="2"/>
  <c r="C221" i="2"/>
  <c r="C222" i="2"/>
  <c r="C223" i="2"/>
  <c r="C224" i="2"/>
  <c r="C225" i="2"/>
  <c r="C226" i="2"/>
  <c r="C227" i="2"/>
  <c r="C228" i="2"/>
  <c r="C229" i="2"/>
  <c r="C230" i="2"/>
  <c r="C231" i="2"/>
  <c r="C232" i="2"/>
  <c r="C233" i="2"/>
  <c r="C234" i="2"/>
  <c r="C235" i="2"/>
  <c r="C236" i="2"/>
  <c r="C237" i="2"/>
  <c r="C238" i="2"/>
  <c r="C239" i="2"/>
  <c r="C240" i="2"/>
  <c r="C241" i="2"/>
  <c r="C242" i="2"/>
  <c r="C243" i="2"/>
  <c r="C244" i="2"/>
  <c r="C245" i="2"/>
  <c r="C246" i="2"/>
  <c r="C247" i="2"/>
  <c r="C248" i="2"/>
  <c r="C249" i="2"/>
  <c r="C250" i="2"/>
  <c r="C251" i="2"/>
  <c r="C252" i="2"/>
  <c r="C253" i="2"/>
  <c r="C254" i="2"/>
  <c r="C255" i="2"/>
  <c r="C256" i="2"/>
  <c r="C257" i="2"/>
  <c r="C258" i="2"/>
  <c r="C259" i="2"/>
  <c r="C260" i="2"/>
  <c r="C261" i="2"/>
  <c r="C262" i="2"/>
  <c r="C263" i="2"/>
  <c r="C264" i="2"/>
  <c r="C265" i="2"/>
  <c r="C266" i="2"/>
  <c r="C267" i="2"/>
  <c r="C268" i="2"/>
  <c r="C269" i="2"/>
  <c r="C270" i="2"/>
  <c r="C271" i="2"/>
  <c r="C272" i="2"/>
  <c r="C273" i="2"/>
  <c r="C274" i="2"/>
  <c r="C275" i="2"/>
  <c r="C276" i="2"/>
  <c r="C277" i="2"/>
  <c r="C278" i="2"/>
  <c r="C279" i="2"/>
  <c r="C280" i="2"/>
  <c r="C281" i="2"/>
  <c r="C282" i="2"/>
  <c r="C283" i="2"/>
  <c r="C284" i="2"/>
  <c r="C285" i="2"/>
  <c r="C286" i="2"/>
  <c r="C287" i="2"/>
  <c r="C288" i="2"/>
  <c r="C289" i="2"/>
  <c r="C290" i="2"/>
  <c r="C291" i="2"/>
  <c r="C292" i="2"/>
  <c r="C293" i="2"/>
  <c r="C294" i="2"/>
  <c r="C295" i="2"/>
  <c r="C296" i="2"/>
  <c r="C297" i="2"/>
  <c r="C298" i="2"/>
  <c r="C299" i="2"/>
  <c r="C300" i="2"/>
  <c r="C301" i="2"/>
  <c r="C302" i="2"/>
  <c r="C303" i="2"/>
  <c r="C304" i="2"/>
  <c r="C305" i="2"/>
  <c r="C306" i="2"/>
  <c r="C307" i="2"/>
  <c r="C308" i="2"/>
  <c r="C309" i="2"/>
  <c r="C310" i="2"/>
  <c r="C311" i="2"/>
  <c r="C312" i="2"/>
  <c r="C313" i="2"/>
  <c r="E710" i="24" s="1"/>
  <c r="G710" i="24" s="1"/>
  <c r="C314" i="2"/>
  <c r="C315" i="2"/>
  <c r="C316" i="2"/>
  <c r="C317" i="2"/>
  <c r="C318" i="2"/>
  <c r="C319" i="2"/>
  <c r="C320" i="2"/>
  <c r="C321" i="2"/>
  <c r="C322" i="2"/>
  <c r="C323" i="2"/>
  <c r="C324" i="2"/>
  <c r="C325" i="2"/>
  <c r="C326" i="2"/>
  <c r="C327" i="2"/>
  <c r="C328" i="2"/>
  <c r="C329" i="2"/>
  <c r="C330" i="2"/>
  <c r="C331" i="2"/>
  <c r="C332" i="2"/>
  <c r="C333" i="2"/>
  <c r="C334" i="2"/>
  <c r="C335" i="2"/>
  <c r="C336" i="2"/>
  <c r="C337" i="2"/>
  <c r="C338" i="2"/>
  <c r="C339" i="2"/>
  <c r="C340" i="2"/>
  <c r="C341" i="2"/>
  <c r="C342" i="2"/>
  <c r="C343" i="2"/>
  <c r="C344" i="2"/>
  <c r="C345" i="2"/>
  <c r="C346" i="2"/>
  <c r="C347" i="2"/>
  <c r="C348" i="2"/>
  <c r="C349" i="2"/>
  <c r="C350" i="2"/>
  <c r="C351" i="2"/>
  <c r="C352" i="2"/>
  <c r="C353" i="2"/>
  <c r="C354" i="2"/>
  <c r="C355" i="2"/>
  <c r="C356" i="2"/>
  <c r="C357" i="2"/>
  <c r="C358" i="2"/>
  <c r="C359" i="2"/>
  <c r="C360" i="2"/>
  <c r="C361" i="2"/>
  <c r="C362" i="2"/>
  <c r="C363" i="2"/>
  <c r="C364" i="2"/>
  <c r="C365" i="2"/>
  <c r="C366" i="2"/>
  <c r="C367" i="2"/>
  <c r="C368" i="2"/>
  <c r="C369" i="2"/>
  <c r="C370" i="2"/>
  <c r="C371" i="2"/>
  <c r="C372" i="2"/>
  <c r="C373" i="2"/>
  <c r="C374" i="2"/>
  <c r="C375" i="2"/>
  <c r="C376" i="2"/>
  <c r="C377" i="2"/>
  <c r="C378" i="2"/>
  <c r="C379" i="2"/>
  <c r="C380" i="2"/>
  <c r="C381" i="2"/>
  <c r="C382" i="2"/>
  <c r="C383" i="2"/>
  <c r="C384" i="2"/>
  <c r="C385" i="2"/>
  <c r="C386" i="2"/>
  <c r="C387" i="2"/>
  <c r="C388" i="2"/>
  <c r="C389" i="2"/>
  <c r="C390" i="2"/>
  <c r="C391" i="2"/>
  <c r="C392" i="2"/>
  <c r="C393" i="2"/>
  <c r="C394" i="2"/>
  <c r="C395" i="2"/>
  <c r="C396" i="2"/>
  <c r="C397" i="2"/>
  <c r="C398" i="2"/>
  <c r="C399" i="2"/>
  <c r="C400" i="2"/>
  <c r="C401" i="2"/>
  <c r="C402" i="2"/>
  <c r="C403" i="2"/>
  <c r="C404" i="2"/>
  <c r="C405" i="2"/>
  <c r="C406" i="2"/>
  <c r="C407" i="2"/>
  <c r="C408" i="2"/>
  <c r="C409" i="2"/>
  <c r="C410" i="2"/>
  <c r="C411" i="2"/>
  <c r="C412" i="2"/>
  <c r="C413" i="2"/>
  <c r="C414" i="2"/>
  <c r="C415" i="2"/>
  <c r="C416" i="2"/>
  <c r="C417" i="2"/>
  <c r="C418" i="2"/>
  <c r="C419" i="2"/>
  <c r="C420" i="2"/>
  <c r="C421" i="2"/>
  <c r="C422" i="2"/>
  <c r="C423" i="2"/>
  <c r="C424" i="2"/>
  <c r="C425" i="2"/>
  <c r="C426" i="2"/>
  <c r="C427" i="2"/>
  <c r="C428" i="2"/>
  <c r="C429" i="2"/>
  <c r="C430" i="2"/>
  <c r="C431" i="2"/>
  <c r="C432" i="2"/>
  <c r="C433" i="2"/>
  <c r="C434" i="2"/>
  <c r="C435" i="2"/>
  <c r="C436" i="2"/>
  <c r="C437" i="2"/>
  <c r="C438" i="2"/>
  <c r="C439" i="2"/>
  <c r="C440" i="2"/>
  <c r="C441" i="2"/>
  <c r="C442" i="2"/>
  <c r="C443" i="2"/>
  <c r="C444" i="2"/>
  <c r="C445" i="2"/>
  <c r="C446" i="2"/>
  <c r="C447" i="2"/>
  <c r="C448" i="2"/>
  <c r="C449" i="2"/>
  <c r="C450" i="2"/>
  <c r="C451" i="2"/>
  <c r="C452" i="2"/>
  <c r="C453" i="2"/>
  <c r="C454" i="2"/>
  <c r="C455" i="2"/>
  <c r="C456" i="2"/>
  <c r="C457" i="2"/>
  <c r="C458" i="2"/>
  <c r="C459" i="2"/>
  <c r="C460" i="2"/>
  <c r="C461" i="2"/>
  <c r="C462" i="2"/>
  <c r="C463" i="2"/>
  <c r="C464" i="2"/>
  <c r="C465" i="2"/>
  <c r="C466" i="2"/>
  <c r="C467" i="2"/>
  <c r="C468" i="2"/>
  <c r="C469" i="2"/>
  <c r="C470" i="2"/>
  <c r="C471" i="2"/>
  <c r="C472" i="2"/>
  <c r="C473" i="2"/>
  <c r="C474" i="2"/>
  <c r="C475" i="2"/>
  <c r="C476" i="2"/>
  <c r="C477" i="2"/>
  <c r="C478" i="2"/>
  <c r="C479" i="2"/>
  <c r="C480" i="2"/>
  <c r="C481" i="2"/>
  <c r="C482" i="2"/>
  <c r="C483" i="2"/>
  <c r="C484" i="2"/>
  <c r="C485" i="2"/>
  <c r="C486" i="2"/>
  <c r="C487" i="2"/>
  <c r="C488" i="2"/>
  <c r="C489" i="2"/>
  <c r="C490" i="2"/>
  <c r="C491" i="2"/>
  <c r="C492" i="2"/>
  <c r="C493" i="2"/>
  <c r="C494" i="2"/>
  <c r="C495" i="2"/>
  <c r="C496" i="2"/>
  <c r="C497" i="2"/>
  <c r="C498" i="2"/>
  <c r="C499" i="2"/>
  <c r="C500" i="2"/>
  <c r="C501" i="2"/>
  <c r="C502" i="2"/>
  <c r="C503" i="2"/>
  <c r="C504" i="2"/>
  <c r="C505" i="2"/>
  <c r="C506" i="2"/>
  <c r="C507" i="2"/>
  <c r="C508" i="2"/>
  <c r="C509" i="2"/>
  <c r="C510" i="2"/>
  <c r="C511" i="2"/>
  <c r="C512" i="2"/>
  <c r="C513" i="2"/>
  <c r="C514" i="2"/>
  <c r="C515" i="2"/>
  <c r="C516" i="2"/>
  <c r="C517" i="2"/>
  <c r="C518" i="2"/>
  <c r="C519" i="2"/>
  <c r="C520" i="2"/>
  <c r="C521" i="2"/>
  <c r="C522" i="2"/>
  <c r="C523" i="2"/>
  <c r="C524" i="2"/>
  <c r="C525" i="2"/>
  <c r="C526" i="2"/>
  <c r="C527" i="2"/>
  <c r="C528" i="2"/>
  <c r="C529" i="2"/>
  <c r="C530" i="2"/>
  <c r="C531" i="2"/>
  <c r="C532" i="2"/>
  <c r="C533" i="2"/>
  <c r="C534" i="2"/>
  <c r="C535" i="2"/>
  <c r="C536" i="2"/>
  <c r="C537" i="2"/>
  <c r="C538" i="2"/>
  <c r="C539" i="2"/>
  <c r="C540" i="2"/>
  <c r="C541" i="2"/>
  <c r="C542" i="2"/>
  <c r="C543" i="2"/>
  <c r="C544" i="2"/>
  <c r="C545" i="2"/>
  <c r="C546" i="2"/>
  <c r="C547" i="2"/>
  <c r="C548" i="2"/>
  <c r="C549" i="2"/>
  <c r="C550" i="2"/>
  <c r="C551" i="2"/>
  <c r="C552" i="2"/>
  <c r="C553" i="2"/>
  <c r="C554" i="2"/>
  <c r="C555" i="2"/>
  <c r="C556" i="2"/>
  <c r="C557" i="2"/>
  <c r="C558" i="2"/>
  <c r="C559" i="2"/>
  <c r="C560" i="2"/>
  <c r="C561" i="2"/>
  <c r="C562" i="2"/>
  <c r="C563" i="2"/>
  <c r="C564" i="2"/>
  <c r="C565" i="2"/>
  <c r="C566" i="2"/>
  <c r="C567" i="2"/>
  <c r="C568" i="2"/>
  <c r="C569" i="2"/>
  <c r="C570" i="2"/>
  <c r="C571" i="2"/>
  <c r="C572" i="2"/>
  <c r="C573" i="2"/>
  <c r="C574" i="2"/>
  <c r="C575" i="2"/>
  <c r="C576" i="2"/>
  <c r="C577" i="2"/>
  <c r="C578" i="2"/>
  <c r="C579" i="2"/>
  <c r="C580" i="2"/>
  <c r="C581" i="2"/>
  <c r="C582" i="2"/>
  <c r="C583" i="2"/>
  <c r="C584" i="2"/>
  <c r="C585" i="2"/>
  <c r="C586" i="2"/>
  <c r="C587" i="2"/>
  <c r="C588" i="2"/>
  <c r="C589" i="2"/>
  <c r="C590" i="2"/>
  <c r="C591" i="2"/>
  <c r="C592" i="2"/>
  <c r="C593" i="2"/>
  <c r="C594" i="2"/>
  <c r="C595" i="2"/>
  <c r="C596" i="2"/>
  <c r="C597" i="2"/>
  <c r="C598" i="2"/>
  <c r="C599" i="2"/>
  <c r="C600" i="2"/>
  <c r="C601" i="2"/>
  <c r="C602" i="2"/>
  <c r="C603" i="2"/>
  <c r="C604" i="2"/>
  <c r="C605" i="2"/>
  <c r="C606" i="2"/>
  <c r="C607" i="2"/>
  <c r="C608" i="2"/>
  <c r="C609" i="2"/>
  <c r="C610" i="2"/>
  <c r="C611" i="2"/>
  <c r="C612" i="2"/>
  <c r="C613" i="2"/>
  <c r="C614" i="2"/>
  <c r="C615" i="2"/>
  <c r="C616" i="2"/>
  <c r="C617" i="2"/>
  <c r="C618" i="2"/>
  <c r="C619" i="2"/>
  <c r="C620" i="2"/>
  <c r="C621" i="2"/>
  <c r="C622" i="2"/>
  <c r="C623" i="2"/>
  <c r="C624" i="2"/>
  <c r="C625" i="2"/>
  <c r="C626" i="2"/>
  <c r="C627" i="2"/>
  <c r="C628" i="2"/>
  <c r="C629" i="2"/>
  <c r="C630" i="2"/>
  <c r="C631" i="2"/>
  <c r="C632" i="2"/>
  <c r="C633" i="2"/>
  <c r="C634" i="2"/>
  <c r="C635" i="2"/>
  <c r="C636" i="2"/>
  <c r="C637" i="2"/>
  <c r="C638" i="2"/>
  <c r="C639" i="2"/>
  <c r="C640" i="2"/>
  <c r="C641" i="2"/>
  <c r="C642" i="2"/>
  <c r="C643" i="2"/>
  <c r="C644" i="2"/>
  <c r="C645" i="2"/>
  <c r="C646" i="2"/>
  <c r="C647" i="2"/>
  <c r="C648" i="2"/>
  <c r="C649" i="2"/>
  <c r="C650" i="2"/>
  <c r="C651" i="2"/>
  <c r="C652" i="2"/>
  <c r="C653" i="2"/>
  <c r="C654" i="2"/>
  <c r="C655" i="2"/>
  <c r="C656" i="2"/>
  <c r="C657" i="2"/>
  <c r="C658" i="2"/>
  <c r="C659" i="2"/>
  <c r="C660" i="2"/>
  <c r="C661" i="2"/>
  <c r="C662" i="2"/>
  <c r="C663" i="2"/>
  <c r="C664" i="2"/>
  <c r="C665" i="2"/>
  <c r="C666" i="2"/>
  <c r="C667" i="2"/>
  <c r="C668" i="2"/>
  <c r="C669" i="2"/>
  <c r="C670" i="2"/>
  <c r="C671" i="2"/>
  <c r="C672" i="2"/>
  <c r="C673" i="2"/>
  <c r="C674" i="2"/>
  <c r="C675" i="2"/>
  <c r="C676" i="2"/>
  <c r="C677" i="2"/>
  <c r="C678" i="2"/>
  <c r="C679" i="2"/>
  <c r="C680" i="2"/>
  <c r="C681" i="2"/>
  <c r="C682" i="2"/>
  <c r="C683" i="2"/>
  <c r="C684" i="2"/>
  <c r="C685" i="2"/>
  <c r="C686" i="2"/>
  <c r="C687" i="2"/>
  <c r="C688" i="2"/>
  <c r="C689" i="2"/>
  <c r="C690" i="2"/>
  <c r="C691" i="2"/>
  <c r="C692" i="2"/>
  <c r="C693" i="2"/>
  <c r="C694" i="2"/>
  <c r="C695" i="2"/>
  <c r="C696" i="2"/>
  <c r="C697" i="2"/>
  <c r="C698" i="2"/>
  <c r="C699" i="2"/>
  <c r="C700" i="2"/>
  <c r="C701" i="2"/>
  <c r="C702" i="2"/>
  <c r="C703" i="2"/>
  <c r="C704" i="2"/>
  <c r="C705" i="2"/>
  <c r="C706" i="2"/>
  <c r="C707" i="2"/>
  <c r="C708" i="2"/>
  <c r="C709" i="2"/>
  <c r="C710" i="2"/>
  <c r="C711" i="2"/>
  <c r="C712" i="2"/>
  <c r="C713" i="2"/>
  <c r="C714" i="2"/>
  <c r="C715" i="2"/>
  <c r="C716" i="2"/>
  <c r="C717" i="2"/>
  <c r="C718" i="2"/>
  <c r="C719" i="2"/>
  <c r="C720" i="2"/>
  <c r="C721" i="2"/>
  <c r="C722" i="2"/>
  <c r="C723" i="2"/>
  <c r="C724" i="2"/>
  <c r="C725" i="2"/>
  <c r="C726" i="2"/>
  <c r="C727" i="2"/>
  <c r="C728" i="2"/>
  <c r="C729" i="2"/>
  <c r="C730" i="2"/>
  <c r="C731" i="2"/>
  <c r="C732" i="2"/>
  <c r="C733" i="2"/>
  <c r="C734" i="2"/>
  <c r="C735" i="2"/>
  <c r="C736" i="2"/>
  <c r="C737" i="2"/>
  <c r="C738" i="2"/>
  <c r="C739" i="2"/>
  <c r="C740" i="2"/>
  <c r="C741" i="2"/>
  <c r="C742" i="2"/>
  <c r="C743" i="2"/>
  <c r="C744" i="2"/>
  <c r="C745" i="2"/>
  <c r="C746" i="2"/>
  <c r="C747" i="2"/>
  <c r="C748" i="2"/>
  <c r="C749" i="2"/>
  <c r="C750" i="2"/>
  <c r="C751" i="2"/>
  <c r="C752" i="2"/>
  <c r="C753" i="2"/>
  <c r="C754" i="2"/>
  <c r="C755" i="2"/>
  <c r="C756" i="2"/>
  <c r="C757" i="2"/>
  <c r="C758" i="2"/>
  <c r="C759" i="2"/>
  <c r="C760" i="2"/>
  <c r="C761" i="2"/>
  <c r="C762" i="2"/>
  <c r="C763" i="2"/>
  <c r="C764" i="2"/>
  <c r="C765" i="2"/>
  <c r="C766" i="2"/>
  <c r="C767" i="2"/>
  <c r="C768" i="2"/>
  <c r="C769" i="2"/>
  <c r="C770" i="2"/>
  <c r="C771" i="2"/>
  <c r="C772" i="2"/>
  <c r="C773" i="2"/>
  <c r="C774" i="2"/>
  <c r="C775" i="2"/>
  <c r="C776" i="2"/>
  <c r="C777" i="2"/>
  <c r="C778" i="2"/>
  <c r="C779" i="2"/>
  <c r="C780" i="2"/>
  <c r="C781" i="2"/>
  <c r="C782" i="2"/>
  <c r="C783" i="2"/>
  <c r="C784" i="2"/>
  <c r="C785" i="2"/>
  <c r="C786" i="2"/>
  <c r="C787" i="2"/>
  <c r="C788" i="2"/>
  <c r="C789" i="2"/>
  <c r="C790" i="2"/>
  <c r="C791" i="2"/>
  <c r="C792" i="2"/>
  <c r="C793" i="2"/>
  <c r="C794" i="2"/>
  <c r="C795" i="2"/>
  <c r="C796" i="2"/>
  <c r="C797" i="2"/>
  <c r="C798" i="2"/>
  <c r="C799" i="2"/>
  <c r="C800" i="2"/>
  <c r="C801" i="2"/>
  <c r="C802" i="2"/>
  <c r="C803" i="2"/>
  <c r="C804" i="2"/>
  <c r="C805" i="2"/>
  <c r="C806" i="2"/>
  <c r="C807" i="2"/>
  <c r="C808" i="2"/>
  <c r="C809" i="2"/>
  <c r="C810" i="2"/>
  <c r="C811" i="2"/>
  <c r="C812" i="2"/>
  <c r="C813" i="2"/>
  <c r="C814" i="2"/>
  <c r="C815" i="2"/>
  <c r="C816" i="2"/>
  <c r="C817" i="2"/>
  <c r="C818" i="2"/>
  <c r="C819" i="2"/>
  <c r="C820" i="2"/>
  <c r="C821" i="2"/>
  <c r="C822" i="2"/>
  <c r="C823" i="2"/>
  <c r="C824" i="2"/>
  <c r="C825" i="2"/>
  <c r="C826" i="2"/>
  <c r="C827" i="2"/>
  <c r="C828" i="2"/>
  <c r="C829" i="2"/>
  <c r="C830" i="2"/>
  <c r="C831" i="2"/>
  <c r="C832" i="2"/>
  <c r="C833" i="2"/>
  <c r="C834" i="2"/>
  <c r="C835" i="2"/>
  <c r="C836" i="2"/>
  <c r="C837" i="2"/>
  <c r="C838" i="2"/>
  <c r="C839" i="2"/>
  <c r="C840" i="2"/>
  <c r="C841" i="2"/>
  <c r="C842" i="2"/>
  <c r="C843" i="2"/>
  <c r="C844" i="2"/>
  <c r="C845" i="2"/>
  <c r="C846" i="2"/>
  <c r="C847" i="2"/>
  <c r="C848" i="2"/>
  <c r="C849" i="2"/>
  <c r="C850" i="2"/>
  <c r="C851" i="2"/>
  <c r="C852" i="2"/>
  <c r="C853" i="2"/>
  <c r="C854" i="2"/>
  <c r="C855" i="2"/>
  <c r="C856" i="2"/>
  <c r="C857" i="2"/>
  <c r="C858" i="2"/>
  <c r="C859" i="2"/>
  <c r="C860" i="2"/>
  <c r="C861" i="2"/>
  <c r="C862" i="2"/>
  <c r="C863" i="2"/>
  <c r="C864" i="2"/>
  <c r="C865" i="2"/>
  <c r="C866" i="2"/>
  <c r="C867" i="2"/>
  <c r="C868" i="2"/>
  <c r="C869" i="2"/>
  <c r="C870" i="2"/>
  <c r="C871" i="2"/>
  <c r="C872" i="2"/>
  <c r="C873" i="2"/>
  <c r="C874" i="2"/>
  <c r="C875" i="2"/>
  <c r="C876" i="2"/>
  <c r="C877" i="2"/>
  <c r="C878" i="2"/>
  <c r="C879" i="2"/>
  <c r="C880" i="2"/>
  <c r="C881" i="2"/>
  <c r="C882" i="2"/>
  <c r="C883" i="2"/>
  <c r="C884" i="2"/>
  <c r="C885" i="2"/>
  <c r="C886" i="2"/>
  <c r="C887" i="2"/>
  <c r="C888" i="2"/>
  <c r="C889" i="2"/>
  <c r="C890" i="2"/>
  <c r="C891" i="2"/>
  <c r="C892" i="2"/>
  <c r="C893" i="2"/>
  <c r="C894" i="2"/>
  <c r="C895" i="2"/>
  <c r="C896" i="2"/>
  <c r="C897" i="2"/>
  <c r="C898" i="2"/>
  <c r="C899" i="2"/>
  <c r="C900" i="2"/>
  <c r="C901" i="2"/>
  <c r="C902" i="2"/>
  <c r="C903" i="2"/>
  <c r="C904" i="2"/>
  <c r="C905" i="2"/>
  <c r="C906" i="2"/>
  <c r="C907" i="2"/>
  <c r="C908" i="2"/>
  <c r="C909" i="2"/>
  <c r="C910" i="2"/>
  <c r="C911" i="2"/>
  <c r="C912" i="2"/>
  <c r="C913" i="2"/>
  <c r="C914" i="2"/>
  <c r="C915" i="2"/>
  <c r="C916" i="2"/>
  <c r="C917" i="2"/>
  <c r="C918" i="2"/>
  <c r="C919" i="2"/>
  <c r="C920" i="2"/>
  <c r="C921" i="2"/>
  <c r="C922" i="2"/>
  <c r="C923" i="2"/>
  <c r="C924" i="2"/>
  <c r="C925" i="2"/>
  <c r="C926" i="2"/>
  <c r="C927" i="2"/>
  <c r="C928" i="2"/>
  <c r="C929" i="2"/>
  <c r="C930" i="2"/>
  <c r="C931" i="2"/>
  <c r="C932" i="2"/>
  <c r="C933" i="2"/>
  <c r="C934" i="2"/>
  <c r="C935" i="2"/>
  <c r="C936" i="2"/>
  <c r="C937" i="2"/>
  <c r="C938" i="2"/>
  <c r="C939" i="2"/>
  <c r="C940" i="2"/>
  <c r="C941" i="2"/>
  <c r="C942" i="2"/>
  <c r="C943" i="2"/>
  <c r="C944" i="2"/>
  <c r="C5" i="2"/>
  <c r="E578" i="8"/>
  <c r="G578" i="8" s="1"/>
  <c r="E82" i="36"/>
  <c r="G82" i="36" s="1"/>
  <c r="C82" i="36" a="1"/>
  <c r="C82" i="36" s="1"/>
  <c r="E81" i="36"/>
  <c r="G81" i="36" s="1"/>
  <c r="C81" i="36" a="1"/>
  <c r="C81" i="36" s="1"/>
  <c r="E80" i="36"/>
  <c r="G80" i="36" s="1"/>
  <c r="C80" i="36"/>
  <c r="E78" i="36"/>
  <c r="G78" i="36" s="1"/>
  <c r="C78" i="36"/>
  <c r="E77" i="36"/>
  <c r="G77" i="36" s="1"/>
  <c r="C77" i="36"/>
  <c r="C75" i="36"/>
  <c r="E75" i="36" s="1"/>
  <c r="G75" i="36" s="1"/>
  <c r="C74" i="36"/>
  <c r="E74" i="36" s="1"/>
  <c r="G74" i="36" s="1"/>
  <c r="C73" i="36"/>
  <c r="E73" i="36" s="1"/>
  <c r="G73" i="36" s="1"/>
  <c r="E71" i="36"/>
  <c r="G71" i="36" s="1"/>
  <c r="C71" i="36"/>
  <c r="E70" i="36"/>
  <c r="G70" i="36" s="1"/>
  <c r="C70" i="36"/>
  <c r="E69" i="36"/>
  <c r="G69" i="36" s="1"/>
  <c r="C69" i="36"/>
  <c r="E68" i="36"/>
  <c r="G68" i="36" s="1"/>
  <c r="C68" i="36"/>
  <c r="E67" i="36"/>
  <c r="G67" i="36" s="1"/>
  <c r="C67" i="36"/>
  <c r="I64" i="36"/>
  <c r="E64" i="36"/>
  <c r="C64" i="36"/>
  <c r="B64" i="36"/>
  <c r="F1285" i="1"/>
  <c r="F1286" i="1"/>
  <c r="B1044" i="33"/>
  <c r="C1044" i="33"/>
  <c r="E1044" i="33"/>
  <c r="C1047" i="33"/>
  <c r="E1047" i="33"/>
  <c r="G1047" i="33" s="1"/>
  <c r="C1048" i="33"/>
  <c r="E1048" i="33"/>
  <c r="G1048" i="33" s="1"/>
  <c r="C1049" i="33"/>
  <c r="E1049" i="33"/>
  <c r="G1049" i="33" s="1"/>
  <c r="C1050" i="33"/>
  <c r="E1050" i="33"/>
  <c r="G1050" i="33" s="1"/>
  <c r="C1051" i="33"/>
  <c r="E1051" i="33"/>
  <c r="G1051" i="33" s="1"/>
  <c r="C1053" i="33"/>
  <c r="E1053" i="33" s="1"/>
  <c r="G1053" i="33" s="1"/>
  <c r="C1054" i="33"/>
  <c r="C1055" i="33"/>
  <c r="E1055" i="33" s="1"/>
  <c r="G1055" i="33" s="1"/>
  <c r="C1057" i="33"/>
  <c r="E1057" i="33"/>
  <c r="G1057" i="33"/>
  <c r="C1058" i="33"/>
  <c r="E1058" i="33"/>
  <c r="G1058" i="33" s="1"/>
  <c r="C1060" i="33"/>
  <c r="C1061" i="33"/>
  <c r="E1061" i="33"/>
  <c r="G1061" i="33" s="1"/>
  <c r="C1062" i="33"/>
  <c r="E1062" i="33"/>
  <c r="G1062" i="33" s="1"/>
  <c r="B1064" i="33"/>
  <c r="C1064" i="33"/>
  <c r="E1064" i="33"/>
  <c r="C1067" i="33"/>
  <c r="E1067" i="33"/>
  <c r="G1067" i="33" s="1"/>
  <c r="C1068" i="33"/>
  <c r="E1068" i="33"/>
  <c r="G1068" i="33" s="1"/>
  <c r="C1069" i="33"/>
  <c r="E1069" i="33"/>
  <c r="G1069" i="33" s="1"/>
  <c r="C1070" i="33"/>
  <c r="E1070" i="33"/>
  <c r="G1070" i="33" s="1"/>
  <c r="C1071" i="33"/>
  <c r="E1071" i="33"/>
  <c r="G1071" i="33" s="1"/>
  <c r="C1073" i="33"/>
  <c r="E1073" i="33"/>
  <c r="G1073" i="33" s="1"/>
  <c r="C1074" i="33"/>
  <c r="C1075" i="33"/>
  <c r="E1075" i="33" s="1"/>
  <c r="G1075" i="33" s="1"/>
  <c r="C1077" i="33"/>
  <c r="E1077" i="33"/>
  <c r="G1077" i="33" s="1"/>
  <c r="C1078" i="33"/>
  <c r="E1078" i="33"/>
  <c r="G1078" i="33" s="1"/>
  <c r="C1080" i="33"/>
  <c r="C1081" i="33"/>
  <c r="E1081" i="33"/>
  <c r="G1081" i="33" s="1"/>
  <c r="C1082" i="33"/>
  <c r="E1082" i="33"/>
  <c r="G1082" i="33" s="1"/>
  <c r="B1084" i="33"/>
  <c r="C1084" i="33"/>
  <c r="E1084" i="33"/>
  <c r="C1087" i="33"/>
  <c r="E1087" i="33"/>
  <c r="G1087" i="33" s="1"/>
  <c r="C1088" i="33"/>
  <c r="E1088" i="33"/>
  <c r="G1088" i="33" s="1"/>
  <c r="C1089" i="33"/>
  <c r="E1089" i="33"/>
  <c r="G1089" i="33" s="1"/>
  <c r="C1090" i="33"/>
  <c r="E1090" i="33"/>
  <c r="G1090" i="33" s="1"/>
  <c r="C1091" i="33"/>
  <c r="E1091" i="33"/>
  <c r="G1091" i="33" s="1"/>
  <c r="C1093" i="33"/>
  <c r="E1093" i="33" s="1"/>
  <c r="G1093" i="33" s="1"/>
  <c r="C1094" i="33"/>
  <c r="E1094" i="33" s="1"/>
  <c r="G1094" i="33" s="1"/>
  <c r="C1095" i="33"/>
  <c r="C1097" i="33"/>
  <c r="E1097" i="33"/>
  <c r="G1097" i="33" s="1"/>
  <c r="C1098" i="33"/>
  <c r="E1098" i="33"/>
  <c r="G1098" i="33" s="1"/>
  <c r="C1100" i="33"/>
  <c r="C1101" i="33"/>
  <c r="E1101" i="33"/>
  <c r="G1101" i="33" s="1"/>
  <c r="C1102" i="33"/>
  <c r="E1102" i="33"/>
  <c r="G1102" i="33" s="1"/>
  <c r="B1104" i="33"/>
  <c r="C1104" i="33"/>
  <c r="E1104" i="33"/>
  <c r="C1107" i="33"/>
  <c r="E1107" i="33"/>
  <c r="G1107" i="33" s="1"/>
  <c r="C1108" i="33"/>
  <c r="E1108" i="33"/>
  <c r="G1108" i="33" s="1"/>
  <c r="C1109" i="33"/>
  <c r="E1109" i="33"/>
  <c r="G1109" i="33" s="1"/>
  <c r="C1110" i="33"/>
  <c r="E1110" i="33"/>
  <c r="G1110" i="33" s="1"/>
  <c r="C1111" i="33"/>
  <c r="E1111" i="33"/>
  <c r="G1111" i="33" s="1"/>
  <c r="C1113" i="33"/>
  <c r="E1113" i="33" s="1"/>
  <c r="G1113" i="33" s="1"/>
  <c r="C1114" i="33"/>
  <c r="E1114" i="33" s="1"/>
  <c r="G1114" i="33" s="1"/>
  <c r="C1115" i="33"/>
  <c r="E1115" i="33" s="1"/>
  <c r="G1115" i="33" s="1"/>
  <c r="C1117" i="33"/>
  <c r="E1117" i="33"/>
  <c r="G1117" i="33" s="1"/>
  <c r="C1118" i="33"/>
  <c r="E1118" i="33"/>
  <c r="G1118" i="33" s="1"/>
  <c r="C1120" i="33"/>
  <c r="C1121" i="33"/>
  <c r="E1121" i="33"/>
  <c r="G1121" i="33" s="1"/>
  <c r="C1122" i="33"/>
  <c r="E1122" i="33"/>
  <c r="G1122" i="33" s="1"/>
  <c r="B1124" i="33"/>
  <c r="C1124" i="33"/>
  <c r="E1124" i="33"/>
  <c r="C1127" i="33"/>
  <c r="E1127" i="33"/>
  <c r="G1127" i="33" s="1"/>
  <c r="C1128" i="33"/>
  <c r="E1128" i="33"/>
  <c r="G1128" i="33" s="1"/>
  <c r="C1129" i="33"/>
  <c r="E1129" i="33"/>
  <c r="G1129" i="33" s="1"/>
  <c r="C1130" i="33"/>
  <c r="E1130" i="33"/>
  <c r="G1130" i="33" s="1"/>
  <c r="C1131" i="33"/>
  <c r="E1131" i="33"/>
  <c r="G1131" i="33" s="1"/>
  <c r="C1133" i="33"/>
  <c r="C1134" i="33"/>
  <c r="E1134" i="33" s="1"/>
  <c r="G1134" i="33" s="1"/>
  <c r="C1135" i="33"/>
  <c r="E1135" i="33" s="1"/>
  <c r="G1135" i="33" s="1"/>
  <c r="C1137" i="33"/>
  <c r="E1137" i="33"/>
  <c r="G1137" i="33" s="1"/>
  <c r="C1138" i="33"/>
  <c r="E1138" i="33"/>
  <c r="G1138" i="33" s="1"/>
  <c r="C1140" i="33"/>
  <c r="C1141" i="33"/>
  <c r="E1141" i="33"/>
  <c r="G1141" i="33" s="1"/>
  <c r="C1142" i="33"/>
  <c r="E1142" i="33"/>
  <c r="G1142" i="33" s="1"/>
  <c r="B1144" i="33"/>
  <c r="C1144" i="33"/>
  <c r="E1144" i="33"/>
  <c r="C1147" i="33"/>
  <c r="E1147" i="33"/>
  <c r="G1147" i="33" s="1"/>
  <c r="C1148" i="33"/>
  <c r="E1148" i="33"/>
  <c r="G1148" i="33" s="1"/>
  <c r="C1149" i="33"/>
  <c r="E1149" i="33"/>
  <c r="G1149" i="33" s="1"/>
  <c r="C1150" i="33"/>
  <c r="E1150" i="33"/>
  <c r="G1150" i="33" s="1"/>
  <c r="C1151" i="33"/>
  <c r="E1151" i="33"/>
  <c r="G1151" i="33" s="1"/>
  <c r="C1153" i="33"/>
  <c r="E1153" i="33" s="1"/>
  <c r="G1153" i="33" s="1"/>
  <c r="C1154" i="33"/>
  <c r="C1155" i="33"/>
  <c r="E1155" i="33" s="1"/>
  <c r="G1155" i="33" s="1"/>
  <c r="C1157" i="33"/>
  <c r="E1157" i="33"/>
  <c r="G1157" i="33" s="1"/>
  <c r="C1158" i="33"/>
  <c r="E1158" i="33"/>
  <c r="G1158" i="33" s="1"/>
  <c r="C1160" i="33"/>
  <c r="C1161" i="33"/>
  <c r="E1161" i="33"/>
  <c r="G1161" i="33" s="1"/>
  <c r="C1162" i="33"/>
  <c r="E1162" i="33"/>
  <c r="G1162" i="33" s="1"/>
  <c r="B1164" i="33"/>
  <c r="C1164" i="33"/>
  <c r="E1164" i="33"/>
  <c r="C1167" i="33"/>
  <c r="E1167" i="33"/>
  <c r="G1167" i="33" s="1"/>
  <c r="C1168" i="33"/>
  <c r="E1168" i="33"/>
  <c r="G1168" i="33" s="1"/>
  <c r="C1169" i="33"/>
  <c r="E1169" i="33"/>
  <c r="G1169" i="33" s="1"/>
  <c r="C1170" i="33"/>
  <c r="E1170" i="33"/>
  <c r="G1170" i="33" s="1"/>
  <c r="C1171" i="33"/>
  <c r="E1171" i="33"/>
  <c r="G1171" i="33" s="1"/>
  <c r="C1173" i="33"/>
  <c r="E1173" i="33" s="1"/>
  <c r="G1173" i="33" s="1"/>
  <c r="C1174" i="33"/>
  <c r="C1175" i="33"/>
  <c r="E1175" i="33" s="1"/>
  <c r="G1175" i="33" s="1"/>
  <c r="C1177" i="33"/>
  <c r="E1177" i="33"/>
  <c r="G1177" i="33" s="1"/>
  <c r="C1178" i="33"/>
  <c r="E1178" i="33"/>
  <c r="G1178" i="33" s="1"/>
  <c r="C1180" i="33"/>
  <c r="C1181" i="33"/>
  <c r="E1181" i="33"/>
  <c r="G1181" i="33" s="1"/>
  <c r="C1182" i="33"/>
  <c r="E1182" i="33"/>
  <c r="G1182" i="33" s="1"/>
  <c r="B1184" i="33"/>
  <c r="C1184" i="33"/>
  <c r="E1184" i="33"/>
  <c r="C1187" i="33"/>
  <c r="E1187" i="33"/>
  <c r="G1187" i="33" s="1"/>
  <c r="C1188" i="33"/>
  <c r="E1188" i="33"/>
  <c r="G1188" i="33" s="1"/>
  <c r="C1189" i="33"/>
  <c r="E1189" i="33"/>
  <c r="G1189" i="33" s="1"/>
  <c r="C1190" i="33"/>
  <c r="E1190" i="33"/>
  <c r="G1190" i="33" s="1"/>
  <c r="C1191" i="33"/>
  <c r="E1191" i="33"/>
  <c r="G1191" i="33" s="1"/>
  <c r="C1193" i="33"/>
  <c r="E1193" i="33" s="1"/>
  <c r="G1193" i="33" s="1"/>
  <c r="C1194" i="33"/>
  <c r="E1194" i="33" s="1"/>
  <c r="G1194" i="33" s="1"/>
  <c r="C1195" i="33"/>
  <c r="E1195" i="33" s="1"/>
  <c r="G1195" i="33" s="1"/>
  <c r="C1197" i="33"/>
  <c r="E1197" i="33"/>
  <c r="G1197" i="33" s="1"/>
  <c r="C1198" i="33"/>
  <c r="E1198" i="33"/>
  <c r="G1198" i="33" s="1"/>
  <c r="C1200" i="33"/>
  <c r="E1200" i="33"/>
  <c r="G1200" i="33" s="1"/>
  <c r="C1201" i="33"/>
  <c r="E1201" i="33"/>
  <c r="G1201" i="33" s="1"/>
  <c r="C1202" i="33"/>
  <c r="E1202" i="33"/>
  <c r="G1202" i="33" s="1"/>
  <c r="B1204" i="33"/>
  <c r="C1204" i="33"/>
  <c r="E1204" i="33"/>
  <c r="C1207" i="33"/>
  <c r="E1207" i="33"/>
  <c r="G1207" i="33" s="1"/>
  <c r="C1208" i="33"/>
  <c r="E1208" i="33"/>
  <c r="G1208" i="33" s="1"/>
  <c r="C1209" i="33"/>
  <c r="E1209" i="33"/>
  <c r="G1209" i="33" s="1"/>
  <c r="C1210" i="33"/>
  <c r="E1210" i="33"/>
  <c r="G1210" i="33" s="1"/>
  <c r="C1211" i="33"/>
  <c r="E1211" i="33"/>
  <c r="G1211" i="33" s="1"/>
  <c r="C1213" i="33"/>
  <c r="E1213" i="33" s="1"/>
  <c r="G1213" i="33" s="1"/>
  <c r="C1214" i="33"/>
  <c r="C1215" i="33"/>
  <c r="E1215" i="33" s="1"/>
  <c r="G1215" i="33" s="1"/>
  <c r="C1217" i="33"/>
  <c r="E1217" i="33"/>
  <c r="G1217" i="33" s="1"/>
  <c r="C1218" i="33"/>
  <c r="E1218" i="33"/>
  <c r="G1218" i="33" s="1"/>
  <c r="C1220" i="33"/>
  <c r="C1221" i="33"/>
  <c r="E1221" i="33"/>
  <c r="G1221" i="33" s="1"/>
  <c r="C1222" i="33"/>
  <c r="E1222" i="33"/>
  <c r="G1222" i="33" s="1"/>
  <c r="B1224" i="33"/>
  <c r="C1224" i="33"/>
  <c r="E1224" i="33"/>
  <c r="C1227" i="33"/>
  <c r="E1227" i="33"/>
  <c r="G1227" i="33" s="1"/>
  <c r="C1228" i="33"/>
  <c r="E1228" i="33"/>
  <c r="G1228" i="33" s="1"/>
  <c r="C1229" i="33"/>
  <c r="E1229" i="33"/>
  <c r="G1229" i="33" s="1"/>
  <c r="C1230" i="33"/>
  <c r="E1230" i="33"/>
  <c r="G1230" i="33" s="1"/>
  <c r="C1231" i="33"/>
  <c r="E1231" i="33"/>
  <c r="G1231" i="33" s="1"/>
  <c r="C1233" i="33"/>
  <c r="E1233" i="33" s="1"/>
  <c r="G1233" i="33" s="1"/>
  <c r="C1234" i="33"/>
  <c r="C1235" i="33"/>
  <c r="E1235" i="33" s="1"/>
  <c r="G1235" i="33" s="1"/>
  <c r="C1237" i="33"/>
  <c r="E1237" i="33"/>
  <c r="G1237" i="33" s="1"/>
  <c r="C1238" i="33"/>
  <c r="E1238" i="33"/>
  <c r="G1238" i="33" s="1"/>
  <c r="C1240" i="33"/>
  <c r="C1241" i="33"/>
  <c r="E1241" i="33"/>
  <c r="G1241" i="33" s="1"/>
  <c r="C1242" i="33"/>
  <c r="E1242" i="33"/>
  <c r="G1242" i="33" s="1"/>
  <c r="B1244" i="33"/>
  <c r="C1244" i="33"/>
  <c r="E1244" i="33"/>
  <c r="C1247" i="33"/>
  <c r="E1247" i="33"/>
  <c r="G1247" i="33" s="1"/>
  <c r="C1248" i="33"/>
  <c r="E1248" i="33"/>
  <c r="G1248" i="33" s="1"/>
  <c r="C1249" i="33"/>
  <c r="E1249" i="33"/>
  <c r="G1249" i="33" s="1"/>
  <c r="C1250" i="33"/>
  <c r="E1250" i="33"/>
  <c r="G1250" i="33" s="1"/>
  <c r="C1251" i="33"/>
  <c r="E1251" i="33"/>
  <c r="G1251" i="33" s="1"/>
  <c r="C1253" i="33"/>
  <c r="E1253" i="33" s="1"/>
  <c r="G1253" i="33" s="1"/>
  <c r="C1254" i="33"/>
  <c r="C1255" i="33"/>
  <c r="E1255" i="33" s="1"/>
  <c r="G1255" i="33" s="1"/>
  <c r="C1257" i="33"/>
  <c r="E1257" i="33"/>
  <c r="G1257" i="33" s="1"/>
  <c r="C1258" i="33"/>
  <c r="E1258" i="33"/>
  <c r="G1258" i="33" s="1"/>
  <c r="C1260" i="33"/>
  <c r="C1261" i="33"/>
  <c r="E1261" i="33"/>
  <c r="G1261" i="33" s="1"/>
  <c r="C1262" i="33"/>
  <c r="E1262" i="33"/>
  <c r="G1262" i="33" s="1"/>
  <c r="B224" i="33"/>
  <c r="C224" i="33"/>
  <c r="E224" i="33"/>
  <c r="C227" i="33"/>
  <c r="C228" i="33"/>
  <c r="C229" i="33"/>
  <c r="E229" i="33"/>
  <c r="G229" i="33" s="1"/>
  <c r="C230" i="33"/>
  <c r="E230" i="33"/>
  <c r="G230" i="33" s="1"/>
  <c r="C231" i="33"/>
  <c r="E231" i="33"/>
  <c r="G231" i="33" s="1"/>
  <c r="C233" i="33"/>
  <c r="C234" i="33"/>
  <c r="C235" i="33"/>
  <c r="E235" i="33" s="1"/>
  <c r="G235" i="33" s="1"/>
  <c r="C237" i="33"/>
  <c r="E237" i="33"/>
  <c r="G237" i="33" s="1"/>
  <c r="C238" i="33"/>
  <c r="E238" i="33"/>
  <c r="G238" i="33" s="1"/>
  <c r="C240" i="33"/>
  <c r="C241" i="33"/>
  <c r="E241" i="33"/>
  <c r="G241" i="33" s="1"/>
  <c r="C242" i="33"/>
  <c r="E242" i="33"/>
  <c r="G242" i="33" s="1"/>
  <c r="B244" i="33"/>
  <c r="C244" i="33"/>
  <c r="E244" i="33"/>
  <c r="C247" i="33"/>
  <c r="C248" i="33"/>
  <c r="C249" i="33"/>
  <c r="E249" i="33"/>
  <c r="G249" i="33" s="1"/>
  <c r="C250" i="33"/>
  <c r="E250" i="33"/>
  <c r="G250" i="33" s="1"/>
  <c r="C251" i="33"/>
  <c r="E251" i="33"/>
  <c r="G251" i="33" s="1"/>
  <c r="C253" i="33"/>
  <c r="C254" i="33"/>
  <c r="C255" i="33"/>
  <c r="E255" i="33" s="1"/>
  <c r="G255" i="33" s="1"/>
  <c r="C257" i="33"/>
  <c r="E257" i="33"/>
  <c r="G257" i="33" s="1"/>
  <c r="C258" i="33"/>
  <c r="E258" i="33"/>
  <c r="G258" i="33" s="1"/>
  <c r="C260" i="33"/>
  <c r="C261" i="33"/>
  <c r="E261" i="33"/>
  <c r="G261" i="33" s="1"/>
  <c r="C262" i="33"/>
  <c r="E262" i="33"/>
  <c r="G262" i="33" s="1"/>
  <c r="B264" i="33"/>
  <c r="C264" i="33"/>
  <c r="E264" i="33"/>
  <c r="C267" i="33"/>
  <c r="E267" i="33"/>
  <c r="G267" i="33" s="1"/>
  <c r="C268" i="33"/>
  <c r="E268" i="33"/>
  <c r="G268" i="33" s="1"/>
  <c r="C269" i="33"/>
  <c r="E269" i="33"/>
  <c r="G269" i="33" s="1"/>
  <c r="C270" i="33"/>
  <c r="E270" i="33"/>
  <c r="G270" i="33" s="1"/>
  <c r="C271" i="33"/>
  <c r="E271" i="33"/>
  <c r="G271" i="33" s="1"/>
  <c r="C273" i="33"/>
  <c r="E273" i="33" s="1"/>
  <c r="G273" i="33" s="1"/>
  <c r="C274" i="33"/>
  <c r="C275" i="33"/>
  <c r="C277" i="33"/>
  <c r="E277" i="33"/>
  <c r="G277" i="33" s="1"/>
  <c r="C278" i="33"/>
  <c r="E278" i="33"/>
  <c r="G278" i="33" s="1"/>
  <c r="C280" i="33"/>
  <c r="C281" i="33"/>
  <c r="E281" i="33"/>
  <c r="G281" i="33" s="1"/>
  <c r="C282" i="33"/>
  <c r="E282" i="33"/>
  <c r="G282" i="33" s="1"/>
  <c r="B284" i="33"/>
  <c r="C284" i="33"/>
  <c r="E284" i="33"/>
  <c r="C287" i="33"/>
  <c r="E287" i="33"/>
  <c r="G287" i="33" s="1"/>
  <c r="C288" i="33"/>
  <c r="E288" i="33"/>
  <c r="G288" i="33" s="1"/>
  <c r="C289" i="33"/>
  <c r="E289" i="33"/>
  <c r="G289" i="33" s="1"/>
  <c r="C290" i="33"/>
  <c r="E290" i="33"/>
  <c r="G290" i="33" s="1"/>
  <c r="C291" i="33"/>
  <c r="E291" i="33"/>
  <c r="G291" i="33" s="1"/>
  <c r="C293" i="33"/>
  <c r="E293" i="33" s="1"/>
  <c r="G293" i="33" s="1"/>
  <c r="C294" i="33"/>
  <c r="C295" i="33"/>
  <c r="C297" i="33"/>
  <c r="E297" i="33"/>
  <c r="G297" i="33" s="1"/>
  <c r="C298" i="33"/>
  <c r="E298" i="33"/>
  <c r="G298" i="33" s="1"/>
  <c r="C300" i="33"/>
  <c r="C301" i="33"/>
  <c r="E301" i="33"/>
  <c r="G301" i="33" s="1"/>
  <c r="C302" i="33"/>
  <c r="E302" i="33"/>
  <c r="G302" i="33" s="1"/>
  <c r="B304" i="33"/>
  <c r="C304" i="33"/>
  <c r="E304" i="33"/>
  <c r="C307" i="33"/>
  <c r="E307" i="33"/>
  <c r="G307" i="33" s="1"/>
  <c r="C308" i="33"/>
  <c r="E308" i="33"/>
  <c r="G308" i="33" s="1"/>
  <c r="C309" i="33"/>
  <c r="E309" i="33"/>
  <c r="G309" i="33" s="1"/>
  <c r="C310" i="33"/>
  <c r="E310" i="33"/>
  <c r="G310" i="33" s="1"/>
  <c r="C311" i="33"/>
  <c r="E311" i="33"/>
  <c r="G311" i="33" s="1"/>
  <c r="C313" i="33"/>
  <c r="E313" i="33" s="1"/>
  <c r="G313" i="33" s="1"/>
  <c r="C314" i="33"/>
  <c r="C315" i="33"/>
  <c r="E315" i="33" s="1"/>
  <c r="G315" i="33" s="1"/>
  <c r="C317" i="33"/>
  <c r="E317" i="33"/>
  <c r="G317" i="33" s="1"/>
  <c r="C318" i="33"/>
  <c r="E318" i="33"/>
  <c r="G318" i="33" s="1"/>
  <c r="C320" i="33"/>
  <c r="C321" i="33"/>
  <c r="E321" i="33"/>
  <c r="G321" i="33" s="1"/>
  <c r="C322" i="33"/>
  <c r="E322" i="33"/>
  <c r="G322" i="33" s="1"/>
  <c r="B324" i="33"/>
  <c r="C324" i="33"/>
  <c r="E324" i="33"/>
  <c r="C327" i="33"/>
  <c r="E327" i="33"/>
  <c r="G327" i="33" s="1"/>
  <c r="C328" i="33"/>
  <c r="E328" i="33"/>
  <c r="G328" i="33" s="1"/>
  <c r="C329" i="33"/>
  <c r="E329" i="33"/>
  <c r="G329" i="33" s="1"/>
  <c r="C330" i="33"/>
  <c r="E330" i="33"/>
  <c r="G330" i="33" s="1"/>
  <c r="C331" i="33"/>
  <c r="E331" i="33"/>
  <c r="G331" i="33" s="1"/>
  <c r="C333" i="33"/>
  <c r="E333" i="33" s="1"/>
  <c r="G333" i="33" s="1"/>
  <c r="C334" i="33"/>
  <c r="C335" i="33"/>
  <c r="E335" i="33" s="1"/>
  <c r="G335" i="33" s="1"/>
  <c r="C337" i="33"/>
  <c r="E337" i="33"/>
  <c r="G337" i="33" s="1"/>
  <c r="C338" i="33"/>
  <c r="E338" i="33"/>
  <c r="G338" i="33" s="1"/>
  <c r="C340" i="33"/>
  <c r="C341" i="33"/>
  <c r="E341" i="33"/>
  <c r="G341" i="33" s="1"/>
  <c r="C342" i="33"/>
  <c r="E342" i="33"/>
  <c r="G342" i="33" s="1"/>
  <c r="B344" i="33"/>
  <c r="C344" i="33"/>
  <c r="E344" i="33"/>
  <c r="C347" i="33"/>
  <c r="E347" i="33"/>
  <c r="G347" i="33" s="1"/>
  <c r="C348" i="33"/>
  <c r="E348" i="33"/>
  <c r="G348" i="33" s="1"/>
  <c r="C349" i="33"/>
  <c r="E349" i="33"/>
  <c r="G349" i="33" s="1"/>
  <c r="C350" i="33"/>
  <c r="E350" i="33"/>
  <c r="G350" i="33" s="1"/>
  <c r="C351" i="33"/>
  <c r="E351" i="33"/>
  <c r="G351" i="33" s="1"/>
  <c r="C353" i="33"/>
  <c r="E353" i="33" s="1"/>
  <c r="G353" i="33" s="1"/>
  <c r="C354" i="33"/>
  <c r="C355" i="33"/>
  <c r="E355" i="33" s="1"/>
  <c r="G355" i="33" s="1"/>
  <c r="C357" i="33"/>
  <c r="E357" i="33"/>
  <c r="G357" i="33" s="1"/>
  <c r="C358" i="33"/>
  <c r="E358" i="33"/>
  <c r="G358" i="33" s="1"/>
  <c r="C360" i="33"/>
  <c r="C361" i="33"/>
  <c r="E361" i="33"/>
  <c r="G361" i="33" s="1"/>
  <c r="C362" i="33"/>
  <c r="E362" i="33"/>
  <c r="G362" i="33" s="1"/>
  <c r="B364" i="33"/>
  <c r="C364" i="33"/>
  <c r="E364" i="33"/>
  <c r="C367" i="33"/>
  <c r="E367" i="33"/>
  <c r="G367" i="33" s="1"/>
  <c r="C368" i="33"/>
  <c r="E368" i="33"/>
  <c r="G368" i="33" s="1"/>
  <c r="C369" i="33"/>
  <c r="E369" i="33"/>
  <c r="G369" i="33" s="1"/>
  <c r="C370" i="33"/>
  <c r="E370" i="33"/>
  <c r="G370" i="33" s="1"/>
  <c r="C371" i="33"/>
  <c r="E371" i="33"/>
  <c r="G371" i="33" s="1"/>
  <c r="C373" i="33"/>
  <c r="E373" i="33" s="1"/>
  <c r="G373" i="33" s="1"/>
  <c r="C374" i="33"/>
  <c r="C375" i="33"/>
  <c r="E375" i="33" s="1"/>
  <c r="G375" i="33" s="1"/>
  <c r="C377" i="33"/>
  <c r="E377" i="33"/>
  <c r="G377" i="33" s="1"/>
  <c r="C378" i="33"/>
  <c r="E378" i="33"/>
  <c r="G378" i="33" s="1"/>
  <c r="C380" i="33"/>
  <c r="C381" i="33"/>
  <c r="E381" i="33"/>
  <c r="G381" i="33" s="1"/>
  <c r="C382" i="33"/>
  <c r="E382" i="33"/>
  <c r="G382" i="33" s="1"/>
  <c r="B384" i="33"/>
  <c r="C384" i="33"/>
  <c r="E384" i="33"/>
  <c r="C387" i="33"/>
  <c r="E387" i="33"/>
  <c r="G387" i="33" s="1"/>
  <c r="C388" i="33"/>
  <c r="E388" i="33"/>
  <c r="G388" i="33" s="1"/>
  <c r="C389" i="33"/>
  <c r="E389" i="33"/>
  <c r="C390" i="33"/>
  <c r="E390" i="33"/>
  <c r="G390" i="33" s="1"/>
  <c r="C391" i="33"/>
  <c r="E391" i="33"/>
  <c r="G391" i="33" s="1"/>
  <c r="C393" i="33"/>
  <c r="E393" i="33" s="1"/>
  <c r="G393" i="33" s="1"/>
  <c r="C394" i="33"/>
  <c r="C395" i="33"/>
  <c r="E395" i="33" s="1"/>
  <c r="G395" i="33" s="1"/>
  <c r="C397" i="33"/>
  <c r="E397" i="33"/>
  <c r="G397" i="33" s="1"/>
  <c r="C398" i="33"/>
  <c r="E398" i="33"/>
  <c r="G398" i="33" s="1"/>
  <c r="C400" i="33"/>
  <c r="C401" i="33"/>
  <c r="E401" i="33"/>
  <c r="G401" i="33" s="1"/>
  <c r="C402" i="33"/>
  <c r="E402" i="33"/>
  <c r="G402" i="33" s="1"/>
  <c r="B404" i="33"/>
  <c r="C404" i="33"/>
  <c r="E404" i="33"/>
  <c r="C407" i="33"/>
  <c r="E407" i="33"/>
  <c r="G407" i="33" s="1"/>
  <c r="C408" i="33"/>
  <c r="E408" i="33"/>
  <c r="G408" i="33" s="1"/>
  <c r="C409" i="33"/>
  <c r="E409" i="33"/>
  <c r="G409" i="33" s="1"/>
  <c r="C410" i="33"/>
  <c r="E410" i="33"/>
  <c r="G410" i="33" s="1"/>
  <c r="C411" i="33"/>
  <c r="E411" i="33"/>
  <c r="G411" i="33" s="1"/>
  <c r="C413" i="33"/>
  <c r="E413" i="33" s="1"/>
  <c r="G413" i="33" s="1"/>
  <c r="C414" i="33"/>
  <c r="C415" i="33"/>
  <c r="E415" i="33" s="1"/>
  <c r="G415" i="33" s="1"/>
  <c r="C417" i="33"/>
  <c r="E417" i="33"/>
  <c r="G417" i="33" s="1"/>
  <c r="C418" i="33"/>
  <c r="E418" i="33"/>
  <c r="G418" i="33" s="1"/>
  <c r="C420" i="33"/>
  <c r="C421" i="33"/>
  <c r="E421" i="33"/>
  <c r="G421" i="33" s="1"/>
  <c r="C422" i="33"/>
  <c r="E422" i="33"/>
  <c r="G422" i="33" s="1"/>
  <c r="B424" i="33"/>
  <c r="C424" i="33"/>
  <c r="E424" i="33"/>
  <c r="C427" i="33"/>
  <c r="E427" i="33"/>
  <c r="G427" i="33" s="1"/>
  <c r="C428" i="33"/>
  <c r="E428" i="33"/>
  <c r="G428" i="33" s="1"/>
  <c r="C429" i="33"/>
  <c r="E429" i="33"/>
  <c r="G429" i="33" s="1"/>
  <c r="C430" i="33"/>
  <c r="E430" i="33"/>
  <c r="G430" i="33" s="1"/>
  <c r="C431" i="33"/>
  <c r="E431" i="33"/>
  <c r="G431" i="33" s="1"/>
  <c r="C433" i="33"/>
  <c r="C434" i="33"/>
  <c r="E434" i="33" s="1"/>
  <c r="G434" i="33" s="1"/>
  <c r="C435" i="33"/>
  <c r="E435" i="33" s="1"/>
  <c r="G435" i="33" s="1"/>
  <c r="C437" i="33"/>
  <c r="E437" i="33"/>
  <c r="G437" i="33" s="1"/>
  <c r="C438" i="33"/>
  <c r="E438" i="33"/>
  <c r="G438" i="33" s="1"/>
  <c r="C440" i="33"/>
  <c r="C441" i="33"/>
  <c r="E441" i="33"/>
  <c r="G441" i="33" s="1"/>
  <c r="C442" i="33"/>
  <c r="E442" i="33"/>
  <c r="G442" i="33" s="1"/>
  <c r="B444" i="33"/>
  <c r="C444" i="33"/>
  <c r="E444" i="33"/>
  <c r="C447" i="33"/>
  <c r="C448" i="33"/>
  <c r="E448" i="33"/>
  <c r="G448" i="33" s="1"/>
  <c r="C449" i="33"/>
  <c r="E449" i="33"/>
  <c r="G449" i="33" s="1"/>
  <c r="C450" i="33"/>
  <c r="E450" i="33"/>
  <c r="G450" i="33" s="1"/>
  <c r="C451" i="33"/>
  <c r="E451" i="33"/>
  <c r="G451" i="33" s="1"/>
  <c r="C453" i="33"/>
  <c r="C454" i="33"/>
  <c r="E454" i="33" s="1"/>
  <c r="G454" i="33" s="1"/>
  <c r="C455" i="33"/>
  <c r="E455" i="33" s="1"/>
  <c r="G455" i="33" s="1"/>
  <c r="C457" i="33"/>
  <c r="E457" i="33"/>
  <c r="G457" i="33" s="1"/>
  <c r="C458" i="33"/>
  <c r="E458" i="33"/>
  <c r="G458" i="33" s="1"/>
  <c r="C460" i="33"/>
  <c r="C461" i="33"/>
  <c r="E461" i="33"/>
  <c r="G461" i="33" s="1"/>
  <c r="C462" i="33"/>
  <c r="E462" i="33"/>
  <c r="G462" i="33" s="1"/>
  <c r="B464" i="33"/>
  <c r="C464" i="33"/>
  <c r="E464" i="33"/>
  <c r="C467" i="33"/>
  <c r="E467" i="33"/>
  <c r="G467" i="33" s="1"/>
  <c r="C468" i="33"/>
  <c r="C469" i="33"/>
  <c r="E469" i="33"/>
  <c r="G469" i="33" s="1"/>
  <c r="C470" i="33"/>
  <c r="E470" i="33"/>
  <c r="G470" i="33" s="1"/>
  <c r="C471" i="33"/>
  <c r="E471" i="33"/>
  <c r="G471" i="33" s="1"/>
  <c r="C473" i="33"/>
  <c r="C474" i="33"/>
  <c r="E474" i="33" s="1"/>
  <c r="G474" i="33" s="1"/>
  <c r="C475" i="33"/>
  <c r="E475" i="33" s="1"/>
  <c r="G475" i="33" s="1"/>
  <c r="C477" i="33"/>
  <c r="E477" i="33"/>
  <c r="G477" i="33" s="1"/>
  <c r="C478" i="33"/>
  <c r="E478" i="33"/>
  <c r="G478" i="33" s="1"/>
  <c r="C480" i="33"/>
  <c r="C481" i="33"/>
  <c r="E481" i="33"/>
  <c r="G481" i="33" s="1"/>
  <c r="C482" i="33"/>
  <c r="E482" i="33"/>
  <c r="G482" i="33" s="1"/>
  <c r="B484" i="33"/>
  <c r="C484" i="33"/>
  <c r="E484" i="33"/>
  <c r="C487" i="33"/>
  <c r="C488" i="33"/>
  <c r="C489" i="33"/>
  <c r="E489" i="33"/>
  <c r="G489" i="33" s="1"/>
  <c r="C490" i="33"/>
  <c r="E490" i="33"/>
  <c r="G490" i="33" s="1"/>
  <c r="C491" i="33"/>
  <c r="E491" i="33"/>
  <c r="G491" i="33" s="1"/>
  <c r="C493" i="33"/>
  <c r="C494" i="33"/>
  <c r="C495" i="33"/>
  <c r="E495" i="33" s="1"/>
  <c r="G495" i="33" s="1"/>
  <c r="C497" i="33"/>
  <c r="E497" i="33"/>
  <c r="G497" i="33" s="1"/>
  <c r="C498" i="33"/>
  <c r="E498" i="33"/>
  <c r="G498" i="33" s="1"/>
  <c r="C500" i="33"/>
  <c r="C501" i="33"/>
  <c r="E501" i="33"/>
  <c r="G501" i="33" s="1"/>
  <c r="C502" i="33"/>
  <c r="E502" i="33"/>
  <c r="G502" i="33" s="1"/>
  <c r="B504" i="33"/>
  <c r="C504" i="33"/>
  <c r="E504" i="33"/>
  <c r="C507" i="33"/>
  <c r="C508" i="33"/>
  <c r="D508" i="33"/>
  <c r="C509" i="33"/>
  <c r="D509" i="33"/>
  <c r="E509" i="33"/>
  <c r="C510" i="33"/>
  <c r="E510" i="33"/>
  <c r="G510" i="33" s="1"/>
  <c r="C511" i="33"/>
  <c r="E511" i="33"/>
  <c r="G511" i="33" s="1"/>
  <c r="C513" i="33"/>
  <c r="C514" i="33"/>
  <c r="E514" i="33" s="1"/>
  <c r="G514" i="33" s="1"/>
  <c r="C515" i="33"/>
  <c r="E515" i="33" s="1"/>
  <c r="G515" i="33" s="1"/>
  <c r="C517" i="33"/>
  <c r="E517" i="33"/>
  <c r="G517" i="33" s="1"/>
  <c r="C518" i="33"/>
  <c r="E518" i="33"/>
  <c r="G518" i="33" s="1"/>
  <c r="C520" i="33"/>
  <c r="C521" i="33"/>
  <c r="E521" i="33"/>
  <c r="G521" i="33" s="1"/>
  <c r="C522" i="33"/>
  <c r="E522" i="33"/>
  <c r="G522" i="33" s="1"/>
  <c r="B524" i="33"/>
  <c r="C524" i="33"/>
  <c r="E524" i="33"/>
  <c r="C527" i="33"/>
  <c r="C528" i="33"/>
  <c r="D528" i="33"/>
  <c r="C529" i="33"/>
  <c r="E529" i="33"/>
  <c r="G529" i="33" s="1"/>
  <c r="C530" i="33"/>
  <c r="E530" i="33"/>
  <c r="G530" i="33" s="1"/>
  <c r="C531" i="33"/>
  <c r="E531" i="33"/>
  <c r="G531" i="33" s="1"/>
  <c r="C533" i="33"/>
  <c r="C534" i="33"/>
  <c r="C535" i="33"/>
  <c r="E535" i="33" s="1"/>
  <c r="G535" i="33" s="1"/>
  <c r="C537" i="33"/>
  <c r="E537" i="33"/>
  <c r="G537" i="33" s="1"/>
  <c r="C538" i="33"/>
  <c r="E538" i="33"/>
  <c r="G538" i="33" s="1"/>
  <c r="C540" i="33"/>
  <c r="C541" i="33"/>
  <c r="E541" i="33"/>
  <c r="G541" i="33" s="1"/>
  <c r="C542" i="33"/>
  <c r="E542" i="33"/>
  <c r="G542" i="33" s="1"/>
  <c r="B544" i="33"/>
  <c r="C544" i="33"/>
  <c r="E544" i="33"/>
  <c r="C547" i="33"/>
  <c r="D547" i="33"/>
  <c r="C548" i="33"/>
  <c r="D548" i="33"/>
  <c r="C549" i="33"/>
  <c r="E549" i="33"/>
  <c r="G549" i="33" s="1"/>
  <c r="C550" i="33"/>
  <c r="E550" i="33"/>
  <c r="G550" i="33" s="1"/>
  <c r="C551" i="33"/>
  <c r="E551" i="33"/>
  <c r="G551" i="33" s="1"/>
  <c r="C553" i="33"/>
  <c r="C554" i="33"/>
  <c r="C555" i="33"/>
  <c r="E555" i="33" s="1"/>
  <c r="G555" i="33" s="1"/>
  <c r="C557" i="33"/>
  <c r="E557" i="33"/>
  <c r="G557" i="33" s="1"/>
  <c r="C558" i="33"/>
  <c r="E558" i="33"/>
  <c r="G558" i="33" s="1"/>
  <c r="C560" i="33"/>
  <c r="C561" i="33"/>
  <c r="E561" i="33"/>
  <c r="G561" i="33" s="1"/>
  <c r="C562" i="33"/>
  <c r="E562" i="33"/>
  <c r="G562" i="33" s="1"/>
  <c r="B564" i="33"/>
  <c r="C564" i="33"/>
  <c r="E564" i="33"/>
  <c r="C567" i="33"/>
  <c r="E567" i="33"/>
  <c r="G567" i="33" s="1"/>
  <c r="C568" i="33"/>
  <c r="C569" i="33"/>
  <c r="C570" i="33"/>
  <c r="E570" i="33"/>
  <c r="G570" i="33" s="1"/>
  <c r="C571" i="33"/>
  <c r="E571" i="33"/>
  <c r="G571" i="33" s="1"/>
  <c r="C573" i="33"/>
  <c r="E573" i="33" s="1"/>
  <c r="G573" i="33" s="1"/>
  <c r="C574" i="33"/>
  <c r="E574" i="33" s="1"/>
  <c r="G574" i="33" s="1"/>
  <c r="C575" i="33"/>
  <c r="C577" i="33"/>
  <c r="E577" i="33"/>
  <c r="G577" i="33" s="1"/>
  <c r="C578" i="33"/>
  <c r="E578" i="33"/>
  <c r="G578" i="33" s="1"/>
  <c r="C580" i="33"/>
  <c r="C581" i="33"/>
  <c r="E581" i="33"/>
  <c r="G581" i="33" s="1"/>
  <c r="C582" i="33"/>
  <c r="E582" i="33"/>
  <c r="G582" i="33" s="1"/>
  <c r="B584" i="33"/>
  <c r="C584" i="33"/>
  <c r="E584" i="33"/>
  <c r="C587" i="33"/>
  <c r="E587" i="33"/>
  <c r="G587" i="33" s="1"/>
  <c r="C588" i="33"/>
  <c r="E588" i="33"/>
  <c r="G588" i="33" s="1"/>
  <c r="C589" i="33"/>
  <c r="E589" i="33"/>
  <c r="G589" i="33" s="1"/>
  <c r="C590" i="33"/>
  <c r="C591" i="33"/>
  <c r="E591" i="33"/>
  <c r="G591" i="33" s="1"/>
  <c r="C593" i="33"/>
  <c r="E593" i="33" s="1"/>
  <c r="G593" i="33" s="1"/>
  <c r="C594" i="33"/>
  <c r="C595" i="33"/>
  <c r="E595" i="33" s="1"/>
  <c r="G595" i="33" s="1"/>
  <c r="C597" i="33"/>
  <c r="E597" i="33"/>
  <c r="G597" i="33" s="1"/>
  <c r="C598" i="33"/>
  <c r="E598" i="33"/>
  <c r="G598" i="33" s="1"/>
  <c r="C600" i="33"/>
  <c r="C601" i="33"/>
  <c r="E601" i="33"/>
  <c r="G601" i="33" s="1"/>
  <c r="C602" i="33"/>
  <c r="E602" i="33"/>
  <c r="G602" i="33" s="1"/>
  <c r="B604" i="33"/>
  <c r="C604" i="33"/>
  <c r="E604" i="33"/>
  <c r="C607" i="33"/>
  <c r="E607" i="33"/>
  <c r="G607" i="33" s="1"/>
  <c r="C608" i="33"/>
  <c r="E608" i="33"/>
  <c r="G608" i="33" s="1"/>
  <c r="C609" i="33"/>
  <c r="C610" i="33"/>
  <c r="E610" i="33"/>
  <c r="G610" i="33" s="1"/>
  <c r="C611" i="33"/>
  <c r="E611" i="33"/>
  <c r="G611" i="33" s="1"/>
  <c r="C613" i="33"/>
  <c r="E613" i="33" s="1"/>
  <c r="G613" i="33" s="1"/>
  <c r="C614" i="33"/>
  <c r="C615" i="33"/>
  <c r="E615" i="33" s="1"/>
  <c r="G615" i="33" s="1"/>
  <c r="C617" i="33"/>
  <c r="E617" i="33"/>
  <c r="G617" i="33" s="1"/>
  <c r="C618" i="33"/>
  <c r="E618" i="33"/>
  <c r="G618" i="33" s="1"/>
  <c r="C620" i="33"/>
  <c r="C621" i="33"/>
  <c r="E621" i="33"/>
  <c r="G621" i="33" s="1"/>
  <c r="C622" i="33"/>
  <c r="E622" i="33"/>
  <c r="G622" i="33" s="1"/>
  <c r="B624" i="33"/>
  <c r="C624" i="33"/>
  <c r="E624" i="33"/>
  <c r="C627" i="33"/>
  <c r="E627" i="33"/>
  <c r="G627" i="33" s="1"/>
  <c r="C628" i="33"/>
  <c r="E628" i="33"/>
  <c r="G628" i="33" s="1"/>
  <c r="C629" i="33"/>
  <c r="E629" i="33"/>
  <c r="G629" i="33" s="1"/>
  <c r="C630" i="33"/>
  <c r="E630" i="33"/>
  <c r="G630" i="33" s="1"/>
  <c r="C631" i="33"/>
  <c r="E631" i="33"/>
  <c r="G631" i="33" s="1"/>
  <c r="C633" i="33"/>
  <c r="C634" i="33"/>
  <c r="E634" i="33" s="1"/>
  <c r="G634" i="33" s="1"/>
  <c r="C635" i="33"/>
  <c r="E635" i="33" s="1"/>
  <c r="G635" i="33" s="1"/>
  <c r="C637" i="33"/>
  <c r="E637" i="33"/>
  <c r="G637" i="33" s="1"/>
  <c r="C638" i="33"/>
  <c r="E638" i="33"/>
  <c r="G638" i="33" s="1"/>
  <c r="C640" i="33"/>
  <c r="C641" i="33"/>
  <c r="E641" i="33"/>
  <c r="G641" i="33" s="1"/>
  <c r="C642" i="33"/>
  <c r="E642" i="33"/>
  <c r="G642" i="33" s="1"/>
  <c r="B644" i="33"/>
  <c r="C644" i="33"/>
  <c r="E644" i="33"/>
  <c r="C647" i="33"/>
  <c r="E647" i="33"/>
  <c r="G647" i="33" s="1"/>
  <c r="C648" i="33"/>
  <c r="E648" i="33"/>
  <c r="G648" i="33" s="1"/>
  <c r="C649" i="33"/>
  <c r="E649" i="33"/>
  <c r="G649" i="33" s="1"/>
  <c r="C650" i="33"/>
  <c r="E650" i="33"/>
  <c r="G650" i="33" s="1"/>
  <c r="C651" i="33"/>
  <c r="E651" i="33"/>
  <c r="G651" i="33" s="1"/>
  <c r="C653" i="33"/>
  <c r="E653" i="33" s="1"/>
  <c r="G653" i="33" s="1"/>
  <c r="C654" i="33"/>
  <c r="E654" i="33" s="1"/>
  <c r="G654" i="33" s="1"/>
  <c r="C655" i="33"/>
  <c r="E655" i="33" s="1"/>
  <c r="G655" i="33" s="1"/>
  <c r="C657" i="33"/>
  <c r="E657" i="33"/>
  <c r="G657" i="33" s="1"/>
  <c r="C658" i="33"/>
  <c r="E658" i="33"/>
  <c r="G658" i="33" s="1"/>
  <c r="C660" i="33"/>
  <c r="C661" i="33"/>
  <c r="E661" i="33"/>
  <c r="G661" i="33" s="1"/>
  <c r="C662" i="33"/>
  <c r="E662" i="33"/>
  <c r="G662" i="33" s="1"/>
  <c r="B664" i="33"/>
  <c r="C664" i="33"/>
  <c r="E664" i="33"/>
  <c r="C667" i="33"/>
  <c r="E667" i="33"/>
  <c r="G667" i="33" s="1"/>
  <c r="C668" i="33"/>
  <c r="E668" i="33"/>
  <c r="G668" i="33" s="1"/>
  <c r="C669" i="33"/>
  <c r="E669" i="33"/>
  <c r="G669" i="33" s="1"/>
  <c r="C670" i="33"/>
  <c r="E670" i="33"/>
  <c r="G670" i="33" s="1"/>
  <c r="C671" i="33"/>
  <c r="E671" i="33"/>
  <c r="G671" i="33" s="1"/>
  <c r="C673" i="33"/>
  <c r="E673" i="33" s="1"/>
  <c r="G673" i="33" s="1"/>
  <c r="C674" i="33"/>
  <c r="C675" i="33"/>
  <c r="C677" i="33"/>
  <c r="E677" i="33"/>
  <c r="G677" i="33" s="1"/>
  <c r="C678" i="33"/>
  <c r="E678" i="33"/>
  <c r="G678" i="33" s="1"/>
  <c r="C680" i="33"/>
  <c r="C681" i="33"/>
  <c r="E681" i="33"/>
  <c r="G681" i="33" s="1"/>
  <c r="C682" i="33"/>
  <c r="E682" i="33"/>
  <c r="G682" i="33" s="1"/>
  <c r="B684" i="33"/>
  <c r="C684" i="33"/>
  <c r="E684" i="33"/>
  <c r="C687" i="33"/>
  <c r="C688" i="33"/>
  <c r="C689" i="33"/>
  <c r="E689" i="33"/>
  <c r="G689" i="33" s="1"/>
  <c r="C690" i="33"/>
  <c r="E690" i="33"/>
  <c r="G690" i="33" s="1"/>
  <c r="C691" i="33"/>
  <c r="E691" i="33"/>
  <c r="G691" i="33" s="1"/>
  <c r="C693" i="33"/>
  <c r="C694" i="33"/>
  <c r="E694" i="33" s="1"/>
  <c r="G694" i="33" s="1"/>
  <c r="C695" i="33"/>
  <c r="E695" i="33" s="1"/>
  <c r="G695" i="33" s="1"/>
  <c r="C697" i="33"/>
  <c r="E697" i="33"/>
  <c r="G697" i="33" s="1"/>
  <c r="C698" i="33"/>
  <c r="E698" i="33"/>
  <c r="G698" i="33" s="1"/>
  <c r="C700" i="33"/>
  <c r="C701" i="33"/>
  <c r="E701" i="33"/>
  <c r="G701" i="33" s="1"/>
  <c r="C702" i="33"/>
  <c r="E702" i="33"/>
  <c r="G702" i="33" s="1"/>
  <c r="B704" i="33"/>
  <c r="C704" i="33"/>
  <c r="E704" i="33"/>
  <c r="C707" i="33"/>
  <c r="D707" i="33"/>
  <c r="E707" i="33"/>
  <c r="C708" i="33"/>
  <c r="E708" i="33"/>
  <c r="G708" i="33" s="1"/>
  <c r="C709" i="33"/>
  <c r="E709" i="33"/>
  <c r="G709" i="33" s="1"/>
  <c r="C710" i="33"/>
  <c r="E710" i="33"/>
  <c r="G710" i="33" s="1"/>
  <c r="C711" i="33"/>
  <c r="E711" i="33"/>
  <c r="G711" i="33" s="1"/>
  <c r="C713" i="33"/>
  <c r="E713" i="33" s="1"/>
  <c r="G713" i="33" s="1"/>
  <c r="C714" i="33"/>
  <c r="E714" i="33" s="1"/>
  <c r="G714" i="33" s="1"/>
  <c r="C715" i="33"/>
  <c r="C717" i="33"/>
  <c r="E717" i="33"/>
  <c r="G717" i="33" s="1"/>
  <c r="C718" i="33"/>
  <c r="E718" i="33"/>
  <c r="G718" i="33" s="1"/>
  <c r="C720" i="33"/>
  <c r="C721" i="33"/>
  <c r="E721" i="33"/>
  <c r="G721" i="33" s="1"/>
  <c r="C722" i="33"/>
  <c r="E722" i="33"/>
  <c r="G722" i="33" s="1"/>
  <c r="B724" i="33"/>
  <c r="C724" i="33"/>
  <c r="E724" i="33"/>
  <c r="C727" i="33"/>
  <c r="D727" i="33"/>
  <c r="C728" i="33"/>
  <c r="D728" i="33"/>
  <c r="C729" i="33"/>
  <c r="E729" i="33"/>
  <c r="G729" i="33" s="1"/>
  <c r="C730" i="33"/>
  <c r="E730" i="33"/>
  <c r="G730" i="33" s="1"/>
  <c r="C731" i="33"/>
  <c r="E731" i="33"/>
  <c r="G731" i="33" s="1"/>
  <c r="C733" i="33"/>
  <c r="C734" i="33"/>
  <c r="E734" i="33" s="1"/>
  <c r="G734" i="33" s="1"/>
  <c r="C735" i="33"/>
  <c r="E735" i="33" s="1"/>
  <c r="G735" i="33" s="1"/>
  <c r="C737" i="33"/>
  <c r="E737" i="33"/>
  <c r="G737" i="33" s="1"/>
  <c r="C738" i="33"/>
  <c r="E738" i="33"/>
  <c r="G738" i="33" s="1"/>
  <c r="C740" i="33"/>
  <c r="C741" i="33"/>
  <c r="E741" i="33"/>
  <c r="G741" i="33" s="1"/>
  <c r="C742" i="33"/>
  <c r="E742" i="33"/>
  <c r="G742" i="33" s="1"/>
  <c r="B744" i="33"/>
  <c r="C744" i="33"/>
  <c r="E744" i="33"/>
  <c r="C747" i="33"/>
  <c r="E747" i="33"/>
  <c r="G747" i="33" s="1"/>
  <c r="C748" i="33"/>
  <c r="C749" i="33"/>
  <c r="E749" i="33"/>
  <c r="G749" i="33" s="1"/>
  <c r="C750" i="33"/>
  <c r="E750" i="33"/>
  <c r="G750" i="33" s="1"/>
  <c r="C751" i="33"/>
  <c r="E751" i="33"/>
  <c r="G751" i="33" s="1"/>
  <c r="C753" i="33"/>
  <c r="C754" i="33"/>
  <c r="C755" i="33"/>
  <c r="E755" i="33" s="1"/>
  <c r="G755" i="33" s="1"/>
  <c r="C757" i="33"/>
  <c r="E757" i="33"/>
  <c r="G757" i="33" s="1"/>
  <c r="C758" i="33"/>
  <c r="E758" i="33"/>
  <c r="G758" i="33" s="1"/>
  <c r="C760" i="33"/>
  <c r="C761" i="33"/>
  <c r="E761" i="33"/>
  <c r="G761" i="33" s="1"/>
  <c r="C762" i="33"/>
  <c r="E762" i="33"/>
  <c r="G762" i="33" s="1"/>
  <c r="B764" i="33"/>
  <c r="C764" i="33"/>
  <c r="E764" i="33"/>
  <c r="C767" i="33"/>
  <c r="E767" i="33"/>
  <c r="G767" i="33" s="1"/>
  <c r="C768" i="33"/>
  <c r="C769" i="33"/>
  <c r="E769" i="33"/>
  <c r="G769" i="33" s="1"/>
  <c r="C770" i="33"/>
  <c r="E770" i="33"/>
  <c r="G770" i="33" s="1"/>
  <c r="C771" i="33"/>
  <c r="E771" i="33"/>
  <c r="G771" i="33" s="1"/>
  <c r="C773" i="33"/>
  <c r="C774" i="33"/>
  <c r="C775" i="33"/>
  <c r="E775" i="33" s="1"/>
  <c r="G775" i="33" s="1"/>
  <c r="C777" i="33"/>
  <c r="E777" i="33"/>
  <c r="G777" i="33" s="1"/>
  <c r="C778" i="33"/>
  <c r="E778" i="33"/>
  <c r="G778" i="33" s="1"/>
  <c r="C780" i="33"/>
  <c r="C781" i="33"/>
  <c r="E781" i="33"/>
  <c r="G781" i="33" s="1"/>
  <c r="C782" i="33"/>
  <c r="E782" i="33"/>
  <c r="G782" i="33" s="1"/>
  <c r="B784" i="33"/>
  <c r="C784" i="33"/>
  <c r="E784" i="33"/>
  <c r="C787" i="33"/>
  <c r="D787" i="33"/>
  <c r="E787" i="33"/>
  <c r="C788" i="33"/>
  <c r="C789" i="33"/>
  <c r="E789" i="33"/>
  <c r="G789" i="33" s="1"/>
  <c r="C790" i="33"/>
  <c r="E790" i="33"/>
  <c r="G790" i="33" s="1"/>
  <c r="C791" i="33"/>
  <c r="E791" i="33"/>
  <c r="G791" i="33" s="1"/>
  <c r="C793" i="33"/>
  <c r="C794" i="33"/>
  <c r="E794" i="33" s="1"/>
  <c r="G794" i="33" s="1"/>
  <c r="C795" i="33"/>
  <c r="E795" i="33" s="1"/>
  <c r="G795" i="33" s="1"/>
  <c r="C797" i="33"/>
  <c r="E797" i="33"/>
  <c r="G797" i="33" s="1"/>
  <c r="C798" i="33"/>
  <c r="E798" i="33"/>
  <c r="G798" i="33" s="1"/>
  <c r="C800" i="33"/>
  <c r="C801" i="33"/>
  <c r="E801" i="33"/>
  <c r="G801" i="33" s="1"/>
  <c r="C802" i="33"/>
  <c r="E802" i="33"/>
  <c r="G802" i="33" s="1"/>
  <c r="B804" i="33"/>
  <c r="C804" i="33"/>
  <c r="E804" i="33"/>
  <c r="C807" i="33"/>
  <c r="D807" i="33"/>
  <c r="E807" i="33"/>
  <c r="C808" i="33"/>
  <c r="C809" i="33"/>
  <c r="E809" i="33"/>
  <c r="G809" i="33" s="1"/>
  <c r="C810" i="33"/>
  <c r="E810" i="33"/>
  <c r="G810" i="33" s="1"/>
  <c r="C811" i="33"/>
  <c r="E811" i="33"/>
  <c r="G811" i="33" s="1"/>
  <c r="C813" i="33"/>
  <c r="C814" i="33"/>
  <c r="E814" i="33" s="1"/>
  <c r="G814" i="33" s="1"/>
  <c r="C815" i="33"/>
  <c r="E815" i="33" s="1"/>
  <c r="G815" i="33" s="1"/>
  <c r="C817" i="33"/>
  <c r="E817" i="33"/>
  <c r="G817" i="33" s="1"/>
  <c r="C818" i="33"/>
  <c r="E818" i="33"/>
  <c r="G818" i="33" s="1"/>
  <c r="C820" i="33"/>
  <c r="C821" i="33"/>
  <c r="E821" i="33"/>
  <c r="G821" i="33" s="1"/>
  <c r="C822" i="33"/>
  <c r="E822" i="33"/>
  <c r="G822" i="33" s="1"/>
  <c r="B824" i="33"/>
  <c r="C824" i="33"/>
  <c r="E824" i="33"/>
  <c r="C827" i="33"/>
  <c r="C828" i="33"/>
  <c r="C829" i="33"/>
  <c r="E829" i="33"/>
  <c r="G829" i="33" s="1"/>
  <c r="C830" i="33"/>
  <c r="E830" i="33"/>
  <c r="G830" i="33" s="1"/>
  <c r="C831" i="33"/>
  <c r="E831" i="33"/>
  <c r="G831" i="33" s="1"/>
  <c r="C833" i="33"/>
  <c r="C834" i="33"/>
  <c r="E834" i="33" s="1"/>
  <c r="G834" i="33" s="1"/>
  <c r="C835" i="33"/>
  <c r="E835" i="33" s="1"/>
  <c r="G835" i="33" s="1"/>
  <c r="C837" i="33"/>
  <c r="E837" i="33"/>
  <c r="G837" i="33" s="1"/>
  <c r="C838" i="33"/>
  <c r="E838" i="33"/>
  <c r="G838" i="33" s="1"/>
  <c r="C840" i="33"/>
  <c r="C841" i="33"/>
  <c r="E841" i="33"/>
  <c r="G841" i="33" s="1"/>
  <c r="C842" i="33"/>
  <c r="E842" i="33"/>
  <c r="G842" i="33" s="1"/>
  <c r="B844" i="33"/>
  <c r="C844" i="33"/>
  <c r="E844" i="33"/>
  <c r="C847" i="33"/>
  <c r="C848" i="33"/>
  <c r="C849" i="33"/>
  <c r="E849" i="33"/>
  <c r="G849" i="33" s="1"/>
  <c r="C850" i="33"/>
  <c r="E850" i="33"/>
  <c r="G850" i="33" s="1"/>
  <c r="C851" i="33"/>
  <c r="E851" i="33"/>
  <c r="G851" i="33" s="1"/>
  <c r="C853" i="33"/>
  <c r="C854" i="33"/>
  <c r="E854" i="33" s="1"/>
  <c r="G854" i="33" s="1"/>
  <c r="C855" i="33"/>
  <c r="E855" i="33" s="1"/>
  <c r="G855" i="33" s="1"/>
  <c r="C857" i="33"/>
  <c r="E857" i="33"/>
  <c r="G857" i="33" s="1"/>
  <c r="C858" i="33"/>
  <c r="E858" i="33"/>
  <c r="G858" i="33" s="1"/>
  <c r="C860" i="33"/>
  <c r="C861" i="33"/>
  <c r="E861" i="33"/>
  <c r="G861" i="33" s="1"/>
  <c r="C862" i="33"/>
  <c r="E862" i="33"/>
  <c r="G862" i="33" s="1"/>
  <c r="B864" i="33"/>
  <c r="C864" i="33"/>
  <c r="E864" i="33"/>
  <c r="C867" i="33"/>
  <c r="C868" i="33"/>
  <c r="C869" i="33"/>
  <c r="E869" i="33"/>
  <c r="G869" i="33" s="1"/>
  <c r="C870" i="33"/>
  <c r="E870" i="33"/>
  <c r="G870" i="33" s="1"/>
  <c r="C871" i="33"/>
  <c r="E871" i="33"/>
  <c r="G871" i="33" s="1"/>
  <c r="C873" i="33"/>
  <c r="C874" i="33"/>
  <c r="E874" i="33" s="1"/>
  <c r="G874" i="33" s="1"/>
  <c r="C875" i="33"/>
  <c r="E875" i="33" s="1"/>
  <c r="G875" i="33" s="1"/>
  <c r="C877" i="33"/>
  <c r="E877" i="33"/>
  <c r="G877" i="33" s="1"/>
  <c r="C878" i="33"/>
  <c r="E878" i="33"/>
  <c r="G878" i="33" s="1"/>
  <c r="C880" i="33"/>
  <c r="C881" i="33"/>
  <c r="E881" i="33"/>
  <c r="G881" i="33" s="1"/>
  <c r="C882" i="33"/>
  <c r="E882" i="33"/>
  <c r="G882" i="33" s="1"/>
  <c r="B884" i="33"/>
  <c r="C884" i="33"/>
  <c r="E884" i="33"/>
  <c r="C887" i="33"/>
  <c r="C888" i="33"/>
  <c r="C889" i="33"/>
  <c r="E889" i="33"/>
  <c r="G889" i="33" s="1"/>
  <c r="C890" i="33"/>
  <c r="E890" i="33"/>
  <c r="G890" i="33" s="1"/>
  <c r="C891" i="33"/>
  <c r="E891" i="33"/>
  <c r="G891" i="33" s="1"/>
  <c r="C893" i="33"/>
  <c r="E893" i="33" s="1"/>
  <c r="G893" i="33" s="1"/>
  <c r="C894" i="33"/>
  <c r="C895" i="33"/>
  <c r="E895" i="33" s="1"/>
  <c r="G895" i="33" s="1"/>
  <c r="C897" i="33"/>
  <c r="E897" i="33"/>
  <c r="G897" i="33" s="1"/>
  <c r="C898" i="33"/>
  <c r="E898" i="33"/>
  <c r="G898" i="33" s="1"/>
  <c r="C900" i="33"/>
  <c r="C901" i="33"/>
  <c r="E901" i="33"/>
  <c r="G901" i="33" s="1"/>
  <c r="C902" i="33"/>
  <c r="E902" i="33"/>
  <c r="G902" i="33" s="1"/>
  <c r="B904" i="33"/>
  <c r="C904" i="33"/>
  <c r="E904" i="33"/>
  <c r="C907" i="33"/>
  <c r="E907" i="33"/>
  <c r="G907" i="33" s="1"/>
  <c r="C908" i="33"/>
  <c r="E908" i="33"/>
  <c r="G908" i="33" s="1"/>
  <c r="C909" i="33"/>
  <c r="E909" i="33"/>
  <c r="G909" i="33" s="1"/>
  <c r="C910" i="33"/>
  <c r="E910" i="33"/>
  <c r="G910" i="33" s="1"/>
  <c r="C911" i="33"/>
  <c r="E911" i="33"/>
  <c r="G911" i="33" s="1"/>
  <c r="C913" i="33"/>
  <c r="C914" i="33"/>
  <c r="C915" i="33"/>
  <c r="E915" i="33" s="1"/>
  <c r="G915" i="33" s="1"/>
  <c r="C917" i="33"/>
  <c r="E917" i="33"/>
  <c r="G917" i="33" s="1"/>
  <c r="C918" i="33"/>
  <c r="E918" i="33"/>
  <c r="G918" i="33" s="1"/>
  <c r="C920" i="33"/>
  <c r="C921" i="33"/>
  <c r="E921" i="33"/>
  <c r="G921" i="33" s="1"/>
  <c r="C922" i="33"/>
  <c r="E922" i="33"/>
  <c r="G922" i="33" s="1"/>
  <c r="B924" i="33"/>
  <c r="C924" i="33"/>
  <c r="E924" i="33"/>
  <c r="C927" i="33"/>
  <c r="E927" i="33"/>
  <c r="G927" i="33" s="1"/>
  <c r="C928" i="33"/>
  <c r="E928" i="33"/>
  <c r="G928" i="33" s="1"/>
  <c r="C929" i="33"/>
  <c r="E929" i="33"/>
  <c r="G929" i="33" s="1"/>
  <c r="C930" i="33"/>
  <c r="E930" i="33"/>
  <c r="G930" i="33" s="1"/>
  <c r="C931" i="33"/>
  <c r="E931" i="33"/>
  <c r="G931" i="33" s="1"/>
  <c r="C933" i="33"/>
  <c r="C934" i="33"/>
  <c r="C935" i="33"/>
  <c r="E935" i="33" s="1"/>
  <c r="G935" i="33" s="1"/>
  <c r="C937" i="33"/>
  <c r="E937" i="33"/>
  <c r="G937" i="33" s="1"/>
  <c r="C938" i="33"/>
  <c r="E938" i="33"/>
  <c r="G938" i="33" s="1"/>
  <c r="C940" i="33"/>
  <c r="C941" i="33"/>
  <c r="E941" i="33"/>
  <c r="G941" i="33" s="1"/>
  <c r="C942" i="33"/>
  <c r="E942" i="33"/>
  <c r="G942" i="33" s="1"/>
  <c r="B944" i="33"/>
  <c r="C944" i="33"/>
  <c r="E944" i="33"/>
  <c r="C947" i="33"/>
  <c r="E947" i="33"/>
  <c r="G947" i="33" s="1"/>
  <c r="C948" i="33"/>
  <c r="E948" i="33"/>
  <c r="G948" i="33" s="1"/>
  <c r="C949" i="33"/>
  <c r="E949" i="33"/>
  <c r="G949" i="33" s="1"/>
  <c r="C950" i="33"/>
  <c r="E950" i="33"/>
  <c r="G950" i="33" s="1"/>
  <c r="C951" i="33"/>
  <c r="E951" i="33"/>
  <c r="G951" i="33" s="1"/>
  <c r="C953" i="33"/>
  <c r="C954" i="33"/>
  <c r="C955" i="33"/>
  <c r="E955" i="33" s="1"/>
  <c r="G955" i="33" s="1"/>
  <c r="C957" i="33"/>
  <c r="E957" i="33"/>
  <c r="G957" i="33" s="1"/>
  <c r="C958" i="33"/>
  <c r="E958" i="33"/>
  <c r="G958" i="33" s="1"/>
  <c r="C960" i="33"/>
  <c r="C961" i="33"/>
  <c r="E961" i="33"/>
  <c r="G961" i="33" s="1"/>
  <c r="C962" i="33"/>
  <c r="E962" i="33"/>
  <c r="G962" i="33" s="1"/>
  <c r="B964" i="33"/>
  <c r="C964" i="33"/>
  <c r="E964" i="33"/>
  <c r="C967" i="33"/>
  <c r="E967" i="33"/>
  <c r="G967" i="33" s="1"/>
  <c r="C968" i="33"/>
  <c r="E968" i="33"/>
  <c r="G968" i="33" s="1"/>
  <c r="C969" i="33"/>
  <c r="E969" i="33"/>
  <c r="G969" i="33" s="1"/>
  <c r="C970" i="33"/>
  <c r="E970" i="33"/>
  <c r="G970" i="33" s="1"/>
  <c r="C971" i="33"/>
  <c r="E971" i="33"/>
  <c r="G971" i="33" s="1"/>
  <c r="C973" i="33"/>
  <c r="E973" i="33" s="1"/>
  <c r="G973" i="33" s="1"/>
  <c r="C974" i="33"/>
  <c r="C975" i="33"/>
  <c r="E975" i="33" s="1"/>
  <c r="G975" i="33" s="1"/>
  <c r="C977" i="33"/>
  <c r="E977" i="33"/>
  <c r="G977" i="33" s="1"/>
  <c r="C978" i="33"/>
  <c r="E978" i="33"/>
  <c r="G978" i="33" s="1"/>
  <c r="C980" i="33"/>
  <c r="C981" i="33"/>
  <c r="E981" i="33"/>
  <c r="G981" i="33" s="1"/>
  <c r="C982" i="33"/>
  <c r="E982" i="33"/>
  <c r="G982" i="33" s="1"/>
  <c r="B984" i="33"/>
  <c r="C984" i="33"/>
  <c r="E984" i="33"/>
  <c r="C987" i="33"/>
  <c r="E987" i="33"/>
  <c r="G987" i="33" s="1"/>
  <c r="C988" i="33"/>
  <c r="E988" i="33"/>
  <c r="G988" i="33" s="1"/>
  <c r="C989" i="33"/>
  <c r="E989" i="33"/>
  <c r="G989" i="33" s="1"/>
  <c r="C990" i="33"/>
  <c r="E990" i="33"/>
  <c r="G990" i="33" s="1"/>
  <c r="C991" i="33"/>
  <c r="E991" i="33"/>
  <c r="G991" i="33" s="1"/>
  <c r="C993" i="33"/>
  <c r="C994" i="33"/>
  <c r="C995" i="33"/>
  <c r="E995" i="33" s="1"/>
  <c r="G995" i="33" s="1"/>
  <c r="C997" i="33"/>
  <c r="E997" i="33"/>
  <c r="G997" i="33" s="1"/>
  <c r="C998" i="33"/>
  <c r="E998" i="33"/>
  <c r="G998" i="33" s="1"/>
  <c r="C1000" i="33"/>
  <c r="C1001" i="33"/>
  <c r="E1001" i="33"/>
  <c r="G1001" i="33" s="1"/>
  <c r="C1002" i="33"/>
  <c r="E1002" i="33"/>
  <c r="G1002" i="33" s="1"/>
  <c r="B1004" i="33"/>
  <c r="C1004" i="33"/>
  <c r="E1004" i="33"/>
  <c r="C1007" i="33"/>
  <c r="E1007" i="33"/>
  <c r="G1007" i="33" s="1"/>
  <c r="C1008" i="33"/>
  <c r="E1008" i="33"/>
  <c r="G1008" i="33" s="1"/>
  <c r="C1009" i="33"/>
  <c r="E1009" i="33"/>
  <c r="G1009" i="33" s="1"/>
  <c r="C1010" i="33"/>
  <c r="E1010" i="33"/>
  <c r="G1010" i="33" s="1"/>
  <c r="C1011" i="33"/>
  <c r="E1011" i="33"/>
  <c r="G1011" i="33" s="1"/>
  <c r="C1013" i="33"/>
  <c r="C1014" i="33"/>
  <c r="C1015" i="33"/>
  <c r="E1015" i="33" s="1"/>
  <c r="G1015" i="33" s="1"/>
  <c r="C1017" i="33"/>
  <c r="E1017" i="33"/>
  <c r="G1017" i="33" s="1"/>
  <c r="C1018" i="33"/>
  <c r="E1018" i="33"/>
  <c r="G1018" i="33" s="1"/>
  <c r="C1020" i="33"/>
  <c r="C1021" i="33"/>
  <c r="E1021" i="33"/>
  <c r="G1021" i="33" s="1"/>
  <c r="C1022" i="33"/>
  <c r="E1022" i="33"/>
  <c r="G1022" i="33" s="1"/>
  <c r="B1024" i="33"/>
  <c r="C1024" i="33"/>
  <c r="E1024" i="33"/>
  <c r="C1027" i="33"/>
  <c r="E1027" i="33"/>
  <c r="G1027" i="33" s="1"/>
  <c r="C1028" i="33"/>
  <c r="C1029" i="33"/>
  <c r="E1029" i="33"/>
  <c r="G1029" i="33" s="1"/>
  <c r="C1030" i="33"/>
  <c r="E1030" i="33"/>
  <c r="G1030" i="33" s="1"/>
  <c r="C1031" i="33"/>
  <c r="E1031" i="33"/>
  <c r="G1031" i="33" s="1"/>
  <c r="C1033" i="33"/>
  <c r="C1034" i="33"/>
  <c r="E1034" i="33" s="1"/>
  <c r="G1034" i="33" s="1"/>
  <c r="C1035" i="33"/>
  <c r="E1035" i="33" s="1"/>
  <c r="G1035" i="33" s="1"/>
  <c r="C1037" i="33"/>
  <c r="E1037" i="33"/>
  <c r="G1037" i="33" s="1"/>
  <c r="C1038" i="33"/>
  <c r="E1038" i="33"/>
  <c r="G1038" i="33" s="1"/>
  <c r="C1040" i="33"/>
  <c r="C1041" i="33"/>
  <c r="E1041" i="33"/>
  <c r="G1041" i="33" s="1"/>
  <c r="C1042" i="33"/>
  <c r="E1042" i="33"/>
  <c r="G1042" i="33" s="1"/>
  <c r="B1624" i="30"/>
  <c r="C1624" i="30"/>
  <c r="E1624" i="30"/>
  <c r="C1627" i="30"/>
  <c r="E1627" i="30"/>
  <c r="G1627" i="30" s="1"/>
  <c r="C1628" i="30"/>
  <c r="E1628" i="30"/>
  <c r="G1628" i="30" s="1"/>
  <c r="C1629" i="30"/>
  <c r="E1629" i="30"/>
  <c r="G1629" i="30" s="1"/>
  <c r="C1630" i="30"/>
  <c r="E1630" i="30"/>
  <c r="G1630" i="30" s="1"/>
  <c r="C1631" i="30"/>
  <c r="E1631" i="30"/>
  <c r="G1631" i="30" s="1"/>
  <c r="C1633" i="30"/>
  <c r="C1634" i="30"/>
  <c r="E1634" i="30" s="1"/>
  <c r="G1634" i="30" s="1"/>
  <c r="C1635" i="30"/>
  <c r="E1635" i="30" s="1"/>
  <c r="G1635" i="30" s="1"/>
  <c r="C1637" i="30"/>
  <c r="E1637" i="30"/>
  <c r="G1637" i="30" s="1"/>
  <c r="C1638" i="30"/>
  <c r="E1638" i="30"/>
  <c r="G1638" i="30" s="1"/>
  <c r="C1640" i="30"/>
  <c r="C1641" i="30"/>
  <c r="E1641" i="30"/>
  <c r="G1641" i="30" s="1"/>
  <c r="C1642" i="30"/>
  <c r="E1642" i="30"/>
  <c r="G1642" i="30" s="1"/>
  <c r="B1644" i="30"/>
  <c r="C1644" i="30"/>
  <c r="E1644" i="30"/>
  <c r="C1647" i="30"/>
  <c r="E1647" i="30"/>
  <c r="G1647" i="30" s="1"/>
  <c r="C1648" i="30"/>
  <c r="E1648" i="30"/>
  <c r="G1648" i="30" s="1"/>
  <c r="C1649" i="30"/>
  <c r="E1649" i="30"/>
  <c r="G1649" i="30" s="1"/>
  <c r="C1650" i="30"/>
  <c r="E1650" i="30"/>
  <c r="G1650" i="30" s="1"/>
  <c r="C1651" i="30"/>
  <c r="E1651" i="30"/>
  <c r="G1651" i="30" s="1"/>
  <c r="C1653" i="30"/>
  <c r="C1654" i="30"/>
  <c r="E1654" i="30" s="1"/>
  <c r="G1654" i="30" s="1"/>
  <c r="C1655" i="30"/>
  <c r="E1655" i="30" s="1"/>
  <c r="G1655" i="30" s="1"/>
  <c r="C1657" i="30"/>
  <c r="E1657" i="30"/>
  <c r="G1657" i="30" s="1"/>
  <c r="C1658" i="30"/>
  <c r="E1658" i="30"/>
  <c r="G1658" i="30" s="1"/>
  <c r="C1660" i="30"/>
  <c r="C1661" i="30"/>
  <c r="E1661" i="30"/>
  <c r="G1661" i="30" s="1"/>
  <c r="C1662" i="30"/>
  <c r="E1662" i="30"/>
  <c r="G1662" i="30" s="1"/>
  <c r="B1664" i="30"/>
  <c r="C1664" i="30"/>
  <c r="E1664" i="30"/>
  <c r="C1667" i="30"/>
  <c r="E1667" i="30"/>
  <c r="G1667" i="30" s="1"/>
  <c r="C1668" i="30"/>
  <c r="E1668" i="30"/>
  <c r="G1668" i="30" s="1"/>
  <c r="C1669" i="30"/>
  <c r="E1669" i="30"/>
  <c r="G1669" i="30" s="1"/>
  <c r="C1670" i="30"/>
  <c r="E1670" i="30"/>
  <c r="G1670" i="30" s="1"/>
  <c r="C1671" i="30"/>
  <c r="E1671" i="30"/>
  <c r="G1671" i="30" s="1"/>
  <c r="C1673" i="30"/>
  <c r="C1674" i="30"/>
  <c r="E1674" i="30" s="1"/>
  <c r="G1674" i="30" s="1"/>
  <c r="C1675" i="30"/>
  <c r="E1675" i="30" s="1"/>
  <c r="G1675" i="30" s="1"/>
  <c r="C1677" i="30"/>
  <c r="E1677" i="30"/>
  <c r="G1677" i="30" s="1"/>
  <c r="C1678" i="30"/>
  <c r="E1678" i="30"/>
  <c r="G1678" i="30" s="1"/>
  <c r="C1680" i="30"/>
  <c r="C1681" i="30"/>
  <c r="E1681" i="30"/>
  <c r="G1681" i="30" s="1"/>
  <c r="C1682" i="30"/>
  <c r="E1682" i="30"/>
  <c r="G1682" i="30" s="1"/>
  <c r="B1684" i="30"/>
  <c r="C1684" i="30"/>
  <c r="E1684" i="30"/>
  <c r="C1687" i="30"/>
  <c r="E1687" i="30"/>
  <c r="G1687" i="30" s="1"/>
  <c r="C1688" i="30"/>
  <c r="E1688" i="30"/>
  <c r="G1688" i="30" s="1"/>
  <c r="C1689" i="30"/>
  <c r="E1689" i="30"/>
  <c r="G1689" i="30" s="1"/>
  <c r="C1690" i="30"/>
  <c r="E1690" i="30"/>
  <c r="G1690" i="30" s="1"/>
  <c r="C1691" i="30"/>
  <c r="E1691" i="30"/>
  <c r="G1691" i="30" s="1"/>
  <c r="C1693" i="30"/>
  <c r="C1694" i="30"/>
  <c r="E1694" i="30" s="1"/>
  <c r="G1694" i="30" s="1"/>
  <c r="C1695" i="30"/>
  <c r="E1695" i="30" s="1"/>
  <c r="G1695" i="30" s="1"/>
  <c r="C1697" i="30"/>
  <c r="E1697" i="30"/>
  <c r="G1697" i="30" s="1"/>
  <c r="C1698" i="30"/>
  <c r="E1698" i="30"/>
  <c r="G1698" i="30" s="1"/>
  <c r="C1700" i="30"/>
  <c r="C1701" i="30"/>
  <c r="E1701" i="30"/>
  <c r="G1701" i="30" s="1"/>
  <c r="C1702" i="30"/>
  <c r="E1702" i="30"/>
  <c r="G1702" i="30" s="1"/>
  <c r="B1704" i="30"/>
  <c r="C1704" i="30"/>
  <c r="E1704" i="30"/>
  <c r="C1707" i="30"/>
  <c r="E1707" i="30"/>
  <c r="G1707" i="30" s="1"/>
  <c r="C1708" i="30"/>
  <c r="E1708" i="30"/>
  <c r="G1708" i="30" s="1"/>
  <c r="C1709" i="30"/>
  <c r="E1709" i="30"/>
  <c r="G1709" i="30" s="1"/>
  <c r="C1710" i="30"/>
  <c r="E1710" i="30"/>
  <c r="G1710" i="30" s="1"/>
  <c r="C1711" i="30"/>
  <c r="E1711" i="30"/>
  <c r="G1711" i="30" s="1"/>
  <c r="C1713" i="30"/>
  <c r="C1714" i="30"/>
  <c r="E1714" i="30" s="1"/>
  <c r="G1714" i="30" s="1"/>
  <c r="C1715" i="30"/>
  <c r="E1715" i="30" s="1"/>
  <c r="G1715" i="30" s="1"/>
  <c r="C1717" i="30"/>
  <c r="E1717" i="30"/>
  <c r="G1717" i="30" s="1"/>
  <c r="C1718" i="30"/>
  <c r="E1718" i="30"/>
  <c r="G1718" i="30" s="1"/>
  <c r="C1720" i="30"/>
  <c r="C1721" i="30"/>
  <c r="E1721" i="30"/>
  <c r="G1721" i="30" s="1"/>
  <c r="C1722" i="30"/>
  <c r="E1722" i="30"/>
  <c r="G1722" i="30" s="1"/>
  <c r="B1724" i="30"/>
  <c r="C1724" i="30"/>
  <c r="E1724" i="30"/>
  <c r="C1727" i="30"/>
  <c r="E1727" i="30"/>
  <c r="G1727" i="30" s="1"/>
  <c r="C1728" i="30"/>
  <c r="E1728" i="30"/>
  <c r="G1728" i="30" s="1"/>
  <c r="C1729" i="30"/>
  <c r="E1729" i="30"/>
  <c r="G1729" i="30" s="1"/>
  <c r="C1730" i="30"/>
  <c r="E1730" i="30"/>
  <c r="G1730" i="30" s="1"/>
  <c r="C1731" i="30"/>
  <c r="E1731" i="30"/>
  <c r="G1731" i="30" s="1"/>
  <c r="C1733" i="30"/>
  <c r="C1734" i="30"/>
  <c r="E1734" i="30" s="1"/>
  <c r="G1734" i="30" s="1"/>
  <c r="C1735" i="30"/>
  <c r="E1735" i="30" s="1"/>
  <c r="G1735" i="30" s="1"/>
  <c r="C1737" i="30"/>
  <c r="E1737" i="30"/>
  <c r="G1737" i="30" s="1"/>
  <c r="C1738" i="30"/>
  <c r="E1738" i="30"/>
  <c r="G1738" i="30" s="1"/>
  <c r="C1740" i="30"/>
  <c r="C1741" i="30"/>
  <c r="E1741" i="30"/>
  <c r="G1741" i="30" s="1"/>
  <c r="C1742" i="30"/>
  <c r="E1742" i="30"/>
  <c r="G1742" i="30" s="1"/>
  <c r="B1744" i="30"/>
  <c r="C1744" i="30"/>
  <c r="E1744" i="30"/>
  <c r="C1747" i="30"/>
  <c r="E1747" i="30"/>
  <c r="G1747" i="30" s="1"/>
  <c r="C1748" i="30"/>
  <c r="E1748" i="30"/>
  <c r="G1748" i="30" s="1"/>
  <c r="C1749" i="30"/>
  <c r="E1749" i="30"/>
  <c r="G1749" i="30" s="1"/>
  <c r="C1750" i="30"/>
  <c r="E1750" i="30"/>
  <c r="G1750" i="30" s="1"/>
  <c r="C1751" i="30"/>
  <c r="E1751" i="30"/>
  <c r="G1751" i="30" s="1"/>
  <c r="C1753" i="30"/>
  <c r="C1754" i="30"/>
  <c r="E1754" i="30" s="1"/>
  <c r="G1754" i="30" s="1"/>
  <c r="C1755" i="30"/>
  <c r="E1755" i="30" s="1"/>
  <c r="G1755" i="30" s="1"/>
  <c r="C1757" i="30"/>
  <c r="E1757" i="30"/>
  <c r="G1757" i="30" s="1"/>
  <c r="C1758" i="30"/>
  <c r="E1758" i="30"/>
  <c r="G1758" i="30" s="1"/>
  <c r="C1760" i="30"/>
  <c r="C1761" i="30"/>
  <c r="E1761" i="30"/>
  <c r="G1761" i="30" s="1"/>
  <c r="C1762" i="30"/>
  <c r="E1762" i="30"/>
  <c r="G1762" i="30" s="1"/>
  <c r="B1764" i="30"/>
  <c r="C1764" i="30"/>
  <c r="E1764" i="30"/>
  <c r="C1767" i="30"/>
  <c r="E1767" i="30"/>
  <c r="G1767" i="30" s="1"/>
  <c r="C1768" i="30"/>
  <c r="E1768" i="30"/>
  <c r="G1768" i="30" s="1"/>
  <c r="C1769" i="30"/>
  <c r="E1769" i="30"/>
  <c r="G1769" i="30" s="1"/>
  <c r="C1770" i="30"/>
  <c r="E1770" i="30"/>
  <c r="G1770" i="30" s="1"/>
  <c r="C1771" i="30"/>
  <c r="E1771" i="30"/>
  <c r="G1771" i="30" s="1"/>
  <c r="C1773" i="30"/>
  <c r="C1774" i="30"/>
  <c r="E1774" i="30" s="1"/>
  <c r="G1774" i="30" s="1"/>
  <c r="C1775" i="30"/>
  <c r="E1775" i="30" s="1"/>
  <c r="G1775" i="30" s="1"/>
  <c r="C1777" i="30"/>
  <c r="E1777" i="30"/>
  <c r="G1777" i="30" s="1"/>
  <c r="C1778" i="30"/>
  <c r="E1778" i="30"/>
  <c r="G1778" i="30" s="1"/>
  <c r="C1780" i="30"/>
  <c r="C1781" i="30"/>
  <c r="E1781" i="30"/>
  <c r="G1781" i="30" s="1"/>
  <c r="C1782" i="30"/>
  <c r="E1782" i="30"/>
  <c r="G1782" i="30" s="1"/>
  <c r="B1784" i="30"/>
  <c r="C1784" i="30"/>
  <c r="E1784" i="30"/>
  <c r="C1787" i="30"/>
  <c r="E1787" i="30"/>
  <c r="G1787" i="30" s="1"/>
  <c r="C1788" i="30"/>
  <c r="E1788" i="30"/>
  <c r="G1788" i="30" s="1"/>
  <c r="C1789" i="30"/>
  <c r="E1789" i="30"/>
  <c r="G1789" i="30" s="1"/>
  <c r="C1790" i="30"/>
  <c r="E1790" i="30"/>
  <c r="G1790" i="30" s="1"/>
  <c r="C1791" i="30"/>
  <c r="E1791" i="30"/>
  <c r="G1791" i="30" s="1"/>
  <c r="C1793" i="30"/>
  <c r="C1794" i="30"/>
  <c r="E1794" i="30" s="1"/>
  <c r="G1794" i="30" s="1"/>
  <c r="C1795" i="30"/>
  <c r="E1795" i="30" s="1"/>
  <c r="G1795" i="30" s="1"/>
  <c r="C1797" i="30"/>
  <c r="E1797" i="30"/>
  <c r="G1797" i="30" s="1"/>
  <c r="C1798" i="30"/>
  <c r="E1798" i="30"/>
  <c r="G1798" i="30" s="1"/>
  <c r="C1800" i="30"/>
  <c r="C1801" i="30"/>
  <c r="E1801" i="30"/>
  <c r="G1801" i="30" s="1"/>
  <c r="C1802" i="30"/>
  <c r="E1802" i="30"/>
  <c r="G1802" i="30" s="1"/>
  <c r="B1804" i="30"/>
  <c r="C1804" i="30"/>
  <c r="E1804" i="30"/>
  <c r="C1807" i="30"/>
  <c r="E1807" i="30"/>
  <c r="G1807" i="30" s="1"/>
  <c r="C1808" i="30"/>
  <c r="E1808" i="30"/>
  <c r="G1808" i="30" s="1"/>
  <c r="C1809" i="30"/>
  <c r="E1809" i="30"/>
  <c r="G1809" i="30" s="1"/>
  <c r="C1810" i="30"/>
  <c r="E1810" i="30"/>
  <c r="G1810" i="30" s="1"/>
  <c r="C1811" i="30"/>
  <c r="E1811" i="30"/>
  <c r="G1811" i="30" s="1"/>
  <c r="C1813" i="30"/>
  <c r="E1813" i="30" s="1"/>
  <c r="G1813" i="30" s="1"/>
  <c r="C1814" i="30"/>
  <c r="E1814" i="30" s="1"/>
  <c r="G1814" i="30" s="1"/>
  <c r="C1815" i="30"/>
  <c r="E1815" i="30" s="1"/>
  <c r="G1815" i="30" s="1"/>
  <c r="C1817" i="30"/>
  <c r="E1817" i="30"/>
  <c r="G1817" i="30" s="1"/>
  <c r="C1818" i="30"/>
  <c r="E1818" i="30"/>
  <c r="G1818" i="30" s="1"/>
  <c r="C1820" i="30"/>
  <c r="C1821" i="30"/>
  <c r="E1821" i="30"/>
  <c r="G1821" i="30" s="1"/>
  <c r="C1822" i="30"/>
  <c r="E1822" i="30"/>
  <c r="G1822" i="30" s="1"/>
  <c r="B1824" i="30"/>
  <c r="C1824" i="30"/>
  <c r="E1824" i="30"/>
  <c r="C1827" i="30"/>
  <c r="E1827" i="30"/>
  <c r="G1827" i="30" s="1"/>
  <c r="C1828" i="30"/>
  <c r="E1828" i="30"/>
  <c r="G1828" i="30" s="1"/>
  <c r="C1829" i="30"/>
  <c r="E1829" i="30"/>
  <c r="G1829" i="30" s="1"/>
  <c r="C1830" i="30"/>
  <c r="E1830" i="30"/>
  <c r="G1830" i="30" s="1"/>
  <c r="C1831" i="30"/>
  <c r="E1831" i="30"/>
  <c r="G1831" i="30" s="1"/>
  <c r="C1833" i="30"/>
  <c r="E1833" i="30" s="1"/>
  <c r="G1833" i="30" s="1"/>
  <c r="C1834" i="30"/>
  <c r="C1835" i="30"/>
  <c r="E1835" i="30" s="1"/>
  <c r="G1835" i="30" s="1"/>
  <c r="C1837" i="30"/>
  <c r="E1837" i="30"/>
  <c r="G1837" i="30" s="1"/>
  <c r="C1838" i="30"/>
  <c r="E1838" i="30"/>
  <c r="G1838" i="30" s="1"/>
  <c r="C1840" i="30"/>
  <c r="C1841" i="30"/>
  <c r="E1841" i="30"/>
  <c r="G1841" i="30" s="1"/>
  <c r="C1842" i="30"/>
  <c r="E1842" i="30"/>
  <c r="G1842" i="30" s="1"/>
  <c r="B1844" i="30"/>
  <c r="C1844" i="30"/>
  <c r="E1844" i="30"/>
  <c r="C1847" i="30"/>
  <c r="E1847" i="30"/>
  <c r="G1847" i="30" s="1"/>
  <c r="C1848" i="30"/>
  <c r="E1848" i="30"/>
  <c r="G1848" i="30" s="1"/>
  <c r="C1849" i="30"/>
  <c r="E1849" i="30"/>
  <c r="G1849" i="30" s="1"/>
  <c r="C1850" i="30"/>
  <c r="E1850" i="30"/>
  <c r="G1850" i="30" s="1"/>
  <c r="C1851" i="30"/>
  <c r="E1851" i="30"/>
  <c r="G1851" i="30" s="1"/>
  <c r="C1853" i="30"/>
  <c r="C1854" i="30"/>
  <c r="E1854" i="30" s="1"/>
  <c r="G1854" i="30" s="1"/>
  <c r="C1855" i="30"/>
  <c r="E1855" i="30" s="1"/>
  <c r="G1855" i="30" s="1"/>
  <c r="C1857" i="30"/>
  <c r="E1857" i="30"/>
  <c r="G1857" i="30" s="1"/>
  <c r="C1858" i="30"/>
  <c r="E1858" i="30"/>
  <c r="G1858" i="30" s="1"/>
  <c r="C1860" i="30"/>
  <c r="C1861" i="30"/>
  <c r="E1861" i="30"/>
  <c r="G1861" i="30" s="1"/>
  <c r="C1862" i="30"/>
  <c r="E1862" i="30"/>
  <c r="G1862" i="30" s="1"/>
  <c r="B1864" i="30"/>
  <c r="C1864" i="30"/>
  <c r="E1864" i="30"/>
  <c r="C1867" i="30"/>
  <c r="E1867" i="30"/>
  <c r="G1867" i="30" s="1"/>
  <c r="C1868" i="30"/>
  <c r="E1868" i="30"/>
  <c r="G1868" i="30" s="1"/>
  <c r="C1869" i="30"/>
  <c r="E1869" i="30"/>
  <c r="G1869" i="30" s="1"/>
  <c r="C1870" i="30"/>
  <c r="E1870" i="30"/>
  <c r="G1870" i="30" s="1"/>
  <c r="C1871" i="30"/>
  <c r="E1871" i="30"/>
  <c r="G1871" i="30" s="1"/>
  <c r="C1873" i="30"/>
  <c r="C1874" i="30"/>
  <c r="E1874" i="30" s="1"/>
  <c r="G1874" i="30" s="1"/>
  <c r="C1875" i="30"/>
  <c r="E1875" i="30" s="1"/>
  <c r="G1875" i="30" s="1"/>
  <c r="C1877" i="30"/>
  <c r="E1877" i="30"/>
  <c r="G1877" i="30" s="1"/>
  <c r="C1878" i="30"/>
  <c r="E1878" i="30"/>
  <c r="G1878" i="30" s="1"/>
  <c r="C1880" i="30"/>
  <c r="C1881" i="30"/>
  <c r="E1881" i="30"/>
  <c r="G1881" i="30" s="1"/>
  <c r="C1882" i="30"/>
  <c r="E1882" i="30"/>
  <c r="G1882" i="30" s="1"/>
  <c r="B1884" i="30"/>
  <c r="C1884" i="30"/>
  <c r="E1884" i="30"/>
  <c r="C1887" i="30"/>
  <c r="E1887" i="30"/>
  <c r="G1887" i="30" s="1"/>
  <c r="C1888" i="30"/>
  <c r="E1888" i="30"/>
  <c r="G1888" i="30" s="1"/>
  <c r="C1889" i="30"/>
  <c r="E1889" i="30"/>
  <c r="G1889" i="30" s="1"/>
  <c r="C1890" i="30"/>
  <c r="E1890" i="30"/>
  <c r="G1890" i="30" s="1"/>
  <c r="C1891" i="30"/>
  <c r="E1891" i="30"/>
  <c r="G1891" i="30" s="1"/>
  <c r="C1893" i="30"/>
  <c r="E1893" i="30" s="1"/>
  <c r="G1893" i="30" s="1"/>
  <c r="C1894" i="30"/>
  <c r="E1894" i="30" s="1"/>
  <c r="G1894" i="30" s="1"/>
  <c r="C1895" i="30"/>
  <c r="C1897" i="30"/>
  <c r="E1897" i="30"/>
  <c r="G1897" i="30" s="1"/>
  <c r="C1898" i="30"/>
  <c r="E1898" i="30"/>
  <c r="G1898" i="30" s="1"/>
  <c r="C1900" i="30"/>
  <c r="C1901" i="30"/>
  <c r="E1901" i="30"/>
  <c r="G1901" i="30" s="1"/>
  <c r="C1902" i="30"/>
  <c r="E1902" i="30"/>
  <c r="G1902" i="30" s="1"/>
  <c r="B1904" i="30"/>
  <c r="C1904" i="30"/>
  <c r="E1904" i="30"/>
  <c r="C1907" i="30"/>
  <c r="E1907" i="30"/>
  <c r="G1907" i="30" s="1"/>
  <c r="C1908" i="30"/>
  <c r="E1908" i="30"/>
  <c r="G1908" i="30" s="1"/>
  <c r="C1909" i="30"/>
  <c r="E1909" i="30"/>
  <c r="G1909" i="30" s="1"/>
  <c r="C1910" i="30"/>
  <c r="E1910" i="30"/>
  <c r="G1910" i="30" s="1"/>
  <c r="C1911" i="30"/>
  <c r="E1911" i="30"/>
  <c r="G1911" i="30" s="1"/>
  <c r="C1913" i="30"/>
  <c r="E1913" i="30" s="1"/>
  <c r="G1913" i="30" s="1"/>
  <c r="C1914" i="30"/>
  <c r="E1914" i="30" s="1"/>
  <c r="G1914" i="30" s="1"/>
  <c r="C1915" i="30"/>
  <c r="C1916" i="30"/>
  <c r="C1918" i="30"/>
  <c r="E1918" i="30"/>
  <c r="G1918" i="30" s="1"/>
  <c r="C1919" i="30"/>
  <c r="E1919" i="30"/>
  <c r="G1919" i="30" s="1"/>
  <c r="C1921" i="30"/>
  <c r="C1922" i="30"/>
  <c r="E1922" i="30"/>
  <c r="G1922" i="30" s="1"/>
  <c r="C1923" i="30"/>
  <c r="E1923" i="30"/>
  <c r="G1923" i="30" s="1"/>
  <c r="B1925" i="30"/>
  <c r="C1925" i="30"/>
  <c r="E1925" i="30"/>
  <c r="C1928" i="30"/>
  <c r="E1928" i="30"/>
  <c r="G1928" i="30" s="1"/>
  <c r="C1929" i="30"/>
  <c r="E1929" i="30"/>
  <c r="G1929" i="30" s="1"/>
  <c r="C1930" i="30"/>
  <c r="E1930" i="30"/>
  <c r="G1930" i="30" s="1"/>
  <c r="C1931" i="30"/>
  <c r="E1931" i="30"/>
  <c r="G1931" i="30" s="1"/>
  <c r="C1932" i="30"/>
  <c r="E1932" i="30"/>
  <c r="G1932" i="30" s="1"/>
  <c r="C1934" i="30"/>
  <c r="E1934" i="30" s="1"/>
  <c r="G1934" i="30" s="1"/>
  <c r="C1935" i="30"/>
  <c r="E1935" i="30" s="1"/>
  <c r="G1935" i="30" s="1"/>
  <c r="C1936" i="30"/>
  <c r="C1937" i="30"/>
  <c r="C1939" i="30"/>
  <c r="E1939" i="30"/>
  <c r="G1939" i="30" s="1"/>
  <c r="C1940" i="30"/>
  <c r="E1940" i="30"/>
  <c r="G1940" i="30" s="1"/>
  <c r="C1942" i="30"/>
  <c r="C1943" i="30"/>
  <c r="E1943" i="30"/>
  <c r="G1943" i="30" s="1"/>
  <c r="C1944" i="30"/>
  <c r="E1944" i="30"/>
  <c r="G1944" i="30" s="1"/>
  <c r="B1946" i="30"/>
  <c r="C1946" i="30"/>
  <c r="E1946" i="30"/>
  <c r="C1949" i="30"/>
  <c r="E1949" i="30"/>
  <c r="G1949" i="30" s="1"/>
  <c r="C1950" i="30"/>
  <c r="E1950" i="30"/>
  <c r="G1950" i="30" s="1"/>
  <c r="C1951" i="30"/>
  <c r="E1951" i="30"/>
  <c r="G1951" i="30" s="1"/>
  <c r="C1952" i="30"/>
  <c r="E1952" i="30"/>
  <c r="G1952" i="30" s="1"/>
  <c r="C1953" i="30"/>
  <c r="E1953" i="30"/>
  <c r="G1953" i="30" s="1"/>
  <c r="C1955" i="30"/>
  <c r="E1955" i="30" s="1"/>
  <c r="G1955" i="30" s="1"/>
  <c r="C1956" i="30"/>
  <c r="E1956" i="30" s="1"/>
  <c r="G1956" i="30" s="1"/>
  <c r="C1957" i="30"/>
  <c r="C1958" i="30"/>
  <c r="C1960" i="30"/>
  <c r="E1960" i="30"/>
  <c r="G1960" i="30" s="1"/>
  <c r="C1961" i="30"/>
  <c r="E1961" i="30"/>
  <c r="G1961" i="30" s="1"/>
  <c r="C1963" i="30"/>
  <c r="C1964" i="30"/>
  <c r="E1964" i="30"/>
  <c r="G1964" i="30" s="1"/>
  <c r="C1965" i="30"/>
  <c r="E1965" i="30"/>
  <c r="G1965" i="30" s="1"/>
  <c r="B1967" i="30"/>
  <c r="C1967" i="30"/>
  <c r="E1967" i="30"/>
  <c r="C1970" i="30"/>
  <c r="E1970" i="30"/>
  <c r="G1970" i="30" s="1"/>
  <c r="C1971" i="30"/>
  <c r="E1971" i="30"/>
  <c r="G1971" i="30" s="1"/>
  <c r="C1972" i="30"/>
  <c r="E1972" i="30"/>
  <c r="G1972" i="30" s="1"/>
  <c r="C1973" i="30"/>
  <c r="E1973" i="30"/>
  <c r="G1973" i="30" s="1"/>
  <c r="C1974" i="30"/>
  <c r="E1974" i="30"/>
  <c r="G1974" i="30" s="1"/>
  <c r="C1976" i="30"/>
  <c r="C1977" i="30"/>
  <c r="E1977" i="30" s="1"/>
  <c r="G1977" i="30" s="1"/>
  <c r="C1978" i="30"/>
  <c r="E1978" i="30" s="1"/>
  <c r="G1978" i="30" s="1"/>
  <c r="C1980" i="30"/>
  <c r="E1980" i="30"/>
  <c r="G1980" i="30" s="1"/>
  <c r="C1981" i="30"/>
  <c r="E1981" i="30"/>
  <c r="G1981" i="30" s="1"/>
  <c r="C1983" i="30"/>
  <c r="C1984" i="30"/>
  <c r="E1984" i="30"/>
  <c r="G1984" i="30" s="1"/>
  <c r="C1985" i="30"/>
  <c r="E1985" i="30"/>
  <c r="G1985" i="30" s="1"/>
  <c r="B1987" i="30"/>
  <c r="C1987" i="30"/>
  <c r="E1987" i="30"/>
  <c r="C1990" i="30"/>
  <c r="E1990" i="30"/>
  <c r="G1990" i="30" s="1"/>
  <c r="C1991" i="30"/>
  <c r="E1991" i="30"/>
  <c r="G1991" i="30" s="1"/>
  <c r="C1992" i="30"/>
  <c r="E1992" i="30"/>
  <c r="G1992" i="30" s="1"/>
  <c r="C1993" i="30"/>
  <c r="E1993" i="30"/>
  <c r="G1993" i="30" s="1"/>
  <c r="C1994" i="30"/>
  <c r="E1994" i="30"/>
  <c r="G1994" i="30" s="1"/>
  <c r="C1996" i="30"/>
  <c r="C1997" i="30"/>
  <c r="E1997" i="30" s="1"/>
  <c r="G1997" i="30" s="1"/>
  <c r="C1998" i="30"/>
  <c r="E1998" i="30" s="1"/>
  <c r="G1998" i="30" s="1"/>
  <c r="C2000" i="30"/>
  <c r="E2000" i="30"/>
  <c r="G2000" i="30" s="1"/>
  <c r="C2001" i="30"/>
  <c r="E2001" i="30"/>
  <c r="G2001" i="30" s="1"/>
  <c r="C2003" i="30"/>
  <c r="C2004" i="30"/>
  <c r="E2004" i="30"/>
  <c r="G2004" i="30" s="1"/>
  <c r="C2005" i="30"/>
  <c r="E2005" i="30"/>
  <c r="G2005" i="30" s="1"/>
  <c r="B2007" i="30"/>
  <c r="C2007" i="30"/>
  <c r="E2007" i="30"/>
  <c r="C2010" i="30"/>
  <c r="E2010" i="30"/>
  <c r="G2010" i="30" s="1"/>
  <c r="C2011" i="30"/>
  <c r="E2011" i="30"/>
  <c r="G2011" i="30" s="1"/>
  <c r="C2012" i="30"/>
  <c r="E2012" i="30"/>
  <c r="G2012" i="30" s="1"/>
  <c r="C2013" i="30"/>
  <c r="E2013" i="30"/>
  <c r="G2013" i="30" s="1"/>
  <c r="C2014" i="30"/>
  <c r="E2014" i="30"/>
  <c r="G2014" i="30" s="1"/>
  <c r="C2016" i="30"/>
  <c r="C2017" i="30"/>
  <c r="E2017" i="30" s="1"/>
  <c r="G2017" i="30" s="1"/>
  <c r="C2018" i="30"/>
  <c r="E2018" i="30" s="1"/>
  <c r="G2018" i="30" s="1"/>
  <c r="C2020" i="30"/>
  <c r="E2020" i="30"/>
  <c r="G2020" i="30" s="1"/>
  <c r="C2021" i="30"/>
  <c r="E2021" i="30"/>
  <c r="G2021" i="30" s="1"/>
  <c r="C2023" i="30"/>
  <c r="C2024" i="30"/>
  <c r="E2024" i="30"/>
  <c r="G2024" i="30" s="1"/>
  <c r="C2025" i="30"/>
  <c r="E2025" i="30"/>
  <c r="G2025" i="30" s="1"/>
  <c r="B2027" i="30"/>
  <c r="C2027" i="30"/>
  <c r="E2027" i="30"/>
  <c r="C2030" i="30"/>
  <c r="E2030" i="30"/>
  <c r="G2030" i="30" s="1"/>
  <c r="C2031" i="30"/>
  <c r="E2031" i="30"/>
  <c r="G2031" i="30" s="1"/>
  <c r="C2032" i="30"/>
  <c r="E2032" i="30"/>
  <c r="G2032" i="30" s="1"/>
  <c r="C2033" i="30"/>
  <c r="E2033" i="30"/>
  <c r="G2033" i="30" s="1"/>
  <c r="C2034" i="30"/>
  <c r="E2034" i="30"/>
  <c r="G2034" i="30" s="1"/>
  <c r="C2036" i="30"/>
  <c r="C2037" i="30"/>
  <c r="E2037" i="30" s="1"/>
  <c r="G2037" i="30" s="1"/>
  <c r="C2038" i="30"/>
  <c r="E2038" i="30" s="1"/>
  <c r="G2038" i="30" s="1"/>
  <c r="C2040" i="30"/>
  <c r="E2040" i="30"/>
  <c r="G2040" i="30" s="1"/>
  <c r="C2041" i="30"/>
  <c r="E2041" i="30"/>
  <c r="G2041" i="30" s="1"/>
  <c r="C2043" i="30"/>
  <c r="C2044" i="30"/>
  <c r="E2044" i="30"/>
  <c r="G2044" i="30" s="1"/>
  <c r="C2045" i="30"/>
  <c r="E2045" i="30"/>
  <c r="G2045" i="30" s="1"/>
  <c r="B2047" i="30"/>
  <c r="C2047" i="30"/>
  <c r="E2047" i="30"/>
  <c r="C2050" i="30"/>
  <c r="E2050" i="30"/>
  <c r="G2050" i="30" s="1"/>
  <c r="C2051" i="30"/>
  <c r="E2051" i="30"/>
  <c r="G2051" i="30" s="1"/>
  <c r="C2052" i="30"/>
  <c r="E2052" i="30"/>
  <c r="G2052" i="30" s="1"/>
  <c r="C2053" i="30"/>
  <c r="E2053" i="30"/>
  <c r="G2053" i="30" s="1"/>
  <c r="C2054" i="30"/>
  <c r="E2054" i="30"/>
  <c r="G2054" i="30" s="1"/>
  <c r="C2056" i="30"/>
  <c r="C2057" i="30"/>
  <c r="E2057" i="30" s="1"/>
  <c r="G2057" i="30" s="1"/>
  <c r="C2058" i="30"/>
  <c r="E2058" i="30" s="1"/>
  <c r="G2058" i="30" s="1"/>
  <c r="C2060" i="30"/>
  <c r="E2060" i="30"/>
  <c r="G2060" i="30" s="1"/>
  <c r="C2061" i="30"/>
  <c r="E2061" i="30"/>
  <c r="G2061" i="30" s="1"/>
  <c r="C2063" i="30"/>
  <c r="C2064" i="30"/>
  <c r="E2064" i="30"/>
  <c r="G2064" i="30" s="1"/>
  <c r="C2065" i="30"/>
  <c r="E2065" i="30"/>
  <c r="G2065" i="30" s="1"/>
  <c r="B2067" i="30"/>
  <c r="C2067" i="30"/>
  <c r="E2067" i="30"/>
  <c r="C2070" i="30"/>
  <c r="E2070" i="30"/>
  <c r="G2070" i="30" s="1"/>
  <c r="C2071" i="30"/>
  <c r="E2071" i="30"/>
  <c r="G2071" i="30" s="1"/>
  <c r="C2072" i="30"/>
  <c r="E2072" i="30"/>
  <c r="G2072" i="30" s="1"/>
  <c r="C2073" i="30"/>
  <c r="E2073" i="30"/>
  <c r="G2073" i="30" s="1"/>
  <c r="C2074" i="30"/>
  <c r="E2074" i="30"/>
  <c r="G2074" i="30" s="1"/>
  <c r="C2076" i="30"/>
  <c r="C2077" i="30"/>
  <c r="E2077" i="30" s="1"/>
  <c r="G2077" i="30" s="1"/>
  <c r="C2078" i="30"/>
  <c r="E2078" i="30" s="1"/>
  <c r="G2078" i="30" s="1"/>
  <c r="C2080" i="30"/>
  <c r="E2080" i="30"/>
  <c r="G2080" i="30" s="1"/>
  <c r="C2081" i="30"/>
  <c r="E2081" i="30"/>
  <c r="G2081" i="30" s="1"/>
  <c r="C2083" i="30"/>
  <c r="C2084" i="30"/>
  <c r="E2084" i="30"/>
  <c r="G2084" i="30" s="1"/>
  <c r="C2085" i="30"/>
  <c r="E2085" i="30"/>
  <c r="G2085" i="30" s="1"/>
  <c r="B2087" i="30"/>
  <c r="C2087" i="30"/>
  <c r="E2087" i="30"/>
  <c r="C2090" i="30"/>
  <c r="E2090" i="30"/>
  <c r="G2090" i="30" s="1"/>
  <c r="C2091" i="30"/>
  <c r="E2091" i="30"/>
  <c r="G2091" i="30" s="1"/>
  <c r="C2092" i="30"/>
  <c r="E2092" i="30"/>
  <c r="G2092" i="30" s="1"/>
  <c r="C2093" i="30"/>
  <c r="E2093" i="30"/>
  <c r="G2093" i="30" s="1"/>
  <c r="C2094" i="30"/>
  <c r="E2094" i="30"/>
  <c r="G2094" i="30" s="1"/>
  <c r="C2096" i="30"/>
  <c r="C2097" i="30"/>
  <c r="E2097" i="30" s="1"/>
  <c r="G2097" i="30" s="1"/>
  <c r="C2098" i="30"/>
  <c r="E2098" i="30" s="1"/>
  <c r="G2098" i="30" s="1"/>
  <c r="C2100" i="30"/>
  <c r="E2100" i="30"/>
  <c r="G2100" i="30" s="1"/>
  <c r="C2101" i="30"/>
  <c r="E2101" i="30"/>
  <c r="G2101" i="30" s="1"/>
  <c r="C2103" i="30"/>
  <c r="C2104" i="30"/>
  <c r="E2104" i="30"/>
  <c r="G2104" i="30" s="1"/>
  <c r="C2105" i="30"/>
  <c r="E2105" i="30"/>
  <c r="G2105" i="30" s="1"/>
  <c r="B2107" i="30"/>
  <c r="C2107" i="30"/>
  <c r="E2107" i="30"/>
  <c r="C2110" i="30"/>
  <c r="E2110" i="30"/>
  <c r="G2110" i="30" s="1"/>
  <c r="C2111" i="30"/>
  <c r="E2111" i="30"/>
  <c r="G2111" i="30" s="1"/>
  <c r="C2112" i="30"/>
  <c r="E2112" i="30"/>
  <c r="G2112" i="30" s="1"/>
  <c r="C2113" i="30"/>
  <c r="E2113" i="30"/>
  <c r="G2113" i="30" s="1"/>
  <c r="C2114" i="30"/>
  <c r="E2114" i="30"/>
  <c r="G2114" i="30" s="1"/>
  <c r="C2116" i="30"/>
  <c r="C2117" i="30"/>
  <c r="E2117" i="30" s="1"/>
  <c r="G2117" i="30" s="1"/>
  <c r="C2118" i="30"/>
  <c r="E2118" i="30" s="1"/>
  <c r="G2118" i="30" s="1"/>
  <c r="C2120" i="30"/>
  <c r="E2120" i="30"/>
  <c r="G2120" i="30" s="1"/>
  <c r="C2121" i="30"/>
  <c r="E2121" i="30"/>
  <c r="G2121" i="30" s="1"/>
  <c r="C2123" i="30"/>
  <c r="C2124" i="30"/>
  <c r="E2124" i="30"/>
  <c r="G2124" i="30" s="1"/>
  <c r="C2125" i="30"/>
  <c r="E2125" i="30"/>
  <c r="G2125" i="30" s="1"/>
  <c r="B2127" i="30"/>
  <c r="C2127" i="30"/>
  <c r="E2127" i="30"/>
  <c r="C2130" i="30"/>
  <c r="E2130" i="30"/>
  <c r="G2130" i="30" s="1"/>
  <c r="C2131" i="30"/>
  <c r="E2131" i="30"/>
  <c r="G2131" i="30" s="1"/>
  <c r="C2132" i="30"/>
  <c r="E2132" i="30"/>
  <c r="G2132" i="30" s="1"/>
  <c r="C2133" i="30"/>
  <c r="E2133" i="30"/>
  <c r="G2133" i="30" s="1"/>
  <c r="C2134" i="30"/>
  <c r="E2134" i="30"/>
  <c r="G2134" i="30" s="1"/>
  <c r="C2136" i="30"/>
  <c r="C2137" i="30"/>
  <c r="E2137" i="30" s="1"/>
  <c r="G2137" i="30" s="1"/>
  <c r="C2138" i="30"/>
  <c r="E2138" i="30" s="1"/>
  <c r="G2138" i="30" s="1"/>
  <c r="C2140" i="30"/>
  <c r="E2140" i="30"/>
  <c r="G2140" i="30" s="1"/>
  <c r="C2141" i="30"/>
  <c r="E2141" i="30"/>
  <c r="G2141" i="30" s="1"/>
  <c r="C2143" i="30"/>
  <c r="C2144" i="30"/>
  <c r="E2144" i="30"/>
  <c r="G2144" i="30" s="1"/>
  <c r="C2145" i="30"/>
  <c r="E2145" i="30"/>
  <c r="G2145" i="30" s="1"/>
  <c r="B2147" i="30"/>
  <c r="C2147" i="30"/>
  <c r="E2147" i="30"/>
  <c r="C2150" i="30"/>
  <c r="E2150" i="30"/>
  <c r="G2150" i="30" s="1"/>
  <c r="C2151" i="30"/>
  <c r="E2151" i="30"/>
  <c r="G2151" i="30" s="1"/>
  <c r="C2152" i="30"/>
  <c r="E2152" i="30"/>
  <c r="G2152" i="30" s="1"/>
  <c r="C2153" i="30"/>
  <c r="E2153" i="30"/>
  <c r="G2153" i="30" s="1"/>
  <c r="C2154" i="30"/>
  <c r="E2154" i="30"/>
  <c r="G2154" i="30" s="1"/>
  <c r="C2156" i="30"/>
  <c r="C2157" i="30"/>
  <c r="E2157" i="30" s="1"/>
  <c r="G2157" i="30" s="1"/>
  <c r="C2158" i="30"/>
  <c r="E2158" i="30" s="1"/>
  <c r="G2158" i="30" s="1"/>
  <c r="C2160" i="30"/>
  <c r="E2160" i="30"/>
  <c r="G2160" i="30" s="1"/>
  <c r="C2161" i="30"/>
  <c r="E2161" i="30"/>
  <c r="G2161" i="30" s="1"/>
  <c r="C2163" i="30"/>
  <c r="C2164" i="30"/>
  <c r="E2164" i="30"/>
  <c r="G2164" i="30" s="1"/>
  <c r="C2165" i="30"/>
  <c r="E2165" i="30"/>
  <c r="G2165" i="30" s="1"/>
  <c r="B2167" i="30"/>
  <c r="C2167" i="30"/>
  <c r="E2167" i="30"/>
  <c r="C2170" i="30"/>
  <c r="E2170" i="30"/>
  <c r="G2170" i="30" s="1"/>
  <c r="C2171" i="30"/>
  <c r="E2171" i="30"/>
  <c r="G2171" i="30" s="1"/>
  <c r="C2172" i="30"/>
  <c r="E2172" i="30"/>
  <c r="G2172" i="30" s="1"/>
  <c r="C2173" i="30"/>
  <c r="E2173" i="30"/>
  <c r="G2173" i="30" s="1"/>
  <c r="C2174" i="30"/>
  <c r="E2174" i="30"/>
  <c r="G2174" i="30" s="1"/>
  <c r="C2176" i="30"/>
  <c r="C2177" i="30"/>
  <c r="E2177" i="30" s="1"/>
  <c r="G2177" i="30" s="1"/>
  <c r="C2178" i="30"/>
  <c r="E2178" i="30" s="1"/>
  <c r="G2178" i="30" s="1"/>
  <c r="C2180" i="30"/>
  <c r="E2180" i="30"/>
  <c r="G2180" i="30" s="1"/>
  <c r="C2181" i="30"/>
  <c r="E2181" i="30"/>
  <c r="G2181" i="30" s="1"/>
  <c r="C2183" i="30"/>
  <c r="C2184" i="30"/>
  <c r="E2184" i="30"/>
  <c r="G2184" i="30" s="1"/>
  <c r="C2185" i="30"/>
  <c r="E2185" i="30"/>
  <c r="G2185" i="30" s="1"/>
  <c r="B2715" i="26"/>
  <c r="C2715" i="26"/>
  <c r="E2715" i="26"/>
  <c r="C2718" i="26"/>
  <c r="E2718" i="26"/>
  <c r="G2718" i="26" s="1"/>
  <c r="C2719" i="26"/>
  <c r="E2719" i="26"/>
  <c r="G2719" i="26" s="1"/>
  <c r="C2720" i="26"/>
  <c r="E2720" i="26"/>
  <c r="G2720" i="26" s="1"/>
  <c r="C2721" i="26"/>
  <c r="E2721" i="26"/>
  <c r="G2721" i="26" s="1"/>
  <c r="C2722" i="26"/>
  <c r="E2722" i="26"/>
  <c r="G2722" i="26" s="1"/>
  <c r="C2724" i="26"/>
  <c r="C2725" i="26"/>
  <c r="E2725" i="26" s="1"/>
  <c r="G2725" i="26" s="1"/>
  <c r="C2726" i="26"/>
  <c r="E2726" i="26" s="1"/>
  <c r="G2726" i="26" s="1"/>
  <c r="C2728" i="26"/>
  <c r="E2728" i="26"/>
  <c r="G2728" i="26" s="1"/>
  <c r="C2729" i="26"/>
  <c r="E2729" i="26"/>
  <c r="G2729" i="26" s="1"/>
  <c r="C2731" i="26"/>
  <c r="C2732" i="26"/>
  <c r="E2732" i="26"/>
  <c r="G2732" i="26" s="1"/>
  <c r="C2733" i="26"/>
  <c r="E2733" i="26"/>
  <c r="G2733" i="26" s="1"/>
  <c r="B2735" i="26"/>
  <c r="C2735" i="26"/>
  <c r="E2735" i="26"/>
  <c r="C2738" i="26"/>
  <c r="C2739" i="26"/>
  <c r="C2740" i="26"/>
  <c r="E2740" i="26"/>
  <c r="G2740" i="26" s="1"/>
  <c r="C2741" i="26"/>
  <c r="E2741" i="26"/>
  <c r="G2741" i="26" s="1"/>
  <c r="C2742" i="26"/>
  <c r="E2742" i="26"/>
  <c r="G2742" i="26" s="1"/>
  <c r="C2744" i="26"/>
  <c r="C2745" i="26"/>
  <c r="C2746" i="26"/>
  <c r="E2746" i="26" s="1"/>
  <c r="G2746" i="26" s="1"/>
  <c r="C2748" i="26"/>
  <c r="E2748" i="26"/>
  <c r="G2748" i="26" s="1"/>
  <c r="C2749" i="26"/>
  <c r="E2749" i="26"/>
  <c r="G2749" i="26" s="1"/>
  <c r="C2751" i="26"/>
  <c r="C2752" i="26"/>
  <c r="E2752" i="26"/>
  <c r="G2752" i="26" s="1"/>
  <c r="C2753" i="26"/>
  <c r="E2753" i="26"/>
  <c r="G2753" i="26" s="1"/>
  <c r="B2755" i="26"/>
  <c r="C2755" i="26"/>
  <c r="E2755" i="26"/>
  <c r="C2758" i="26"/>
  <c r="C2759" i="26"/>
  <c r="E2759" i="26"/>
  <c r="G2759" i="26" s="1"/>
  <c r="C2760" i="26"/>
  <c r="E2760" i="26"/>
  <c r="G2760" i="26" s="1"/>
  <c r="C2761" i="26"/>
  <c r="E2761" i="26"/>
  <c r="G2761" i="26" s="1"/>
  <c r="C2762" i="26"/>
  <c r="E2762" i="26"/>
  <c r="G2762" i="26" s="1"/>
  <c r="C2764" i="26"/>
  <c r="E2764" i="26" s="1"/>
  <c r="G2764" i="26" s="1"/>
  <c r="C2765" i="26"/>
  <c r="E2765" i="26" s="1"/>
  <c r="G2765" i="26" s="1"/>
  <c r="C2766" i="26"/>
  <c r="C2768" i="26"/>
  <c r="E2768" i="26"/>
  <c r="G2768" i="26" s="1"/>
  <c r="C2769" i="26"/>
  <c r="E2769" i="26"/>
  <c r="G2769" i="26" s="1"/>
  <c r="C2771" i="26"/>
  <c r="C2772" i="26"/>
  <c r="E2772" i="26"/>
  <c r="G2772" i="26" s="1"/>
  <c r="C2773" i="26"/>
  <c r="E2773" i="26"/>
  <c r="G2773" i="26" s="1"/>
  <c r="B2775" i="26"/>
  <c r="C2775" i="26"/>
  <c r="E2775" i="26"/>
  <c r="C2778" i="26"/>
  <c r="C2779" i="26"/>
  <c r="E2779" i="26"/>
  <c r="G2779" i="26" s="1"/>
  <c r="C2780" i="26"/>
  <c r="E2780" i="26"/>
  <c r="G2780" i="26" s="1"/>
  <c r="C2781" i="26"/>
  <c r="E2781" i="26"/>
  <c r="G2781" i="26" s="1"/>
  <c r="C2782" i="26"/>
  <c r="E2782" i="26"/>
  <c r="G2782" i="26" s="1"/>
  <c r="C2784" i="26"/>
  <c r="E2784" i="26" s="1"/>
  <c r="F2784" i="26"/>
  <c r="C2785" i="26"/>
  <c r="C2786" i="26"/>
  <c r="C2788" i="26"/>
  <c r="E2788" i="26"/>
  <c r="G2788" i="26" s="1"/>
  <c r="C2789" i="26"/>
  <c r="E2789" i="26"/>
  <c r="G2789" i="26" s="1"/>
  <c r="C2791" i="26"/>
  <c r="F2791" i="26"/>
  <c r="C2792" i="26"/>
  <c r="E2792" i="26"/>
  <c r="G2792" i="26" s="1"/>
  <c r="C2793" i="26"/>
  <c r="E2793" i="26"/>
  <c r="G2793" i="26" s="1"/>
  <c r="B2795" i="26"/>
  <c r="C2795" i="26"/>
  <c r="E2795" i="26"/>
  <c r="C2798" i="26"/>
  <c r="C2799" i="26"/>
  <c r="E2799" i="26"/>
  <c r="G2799" i="26" s="1"/>
  <c r="C2800" i="26"/>
  <c r="E2800" i="26"/>
  <c r="G2800" i="26" s="1"/>
  <c r="C2801" i="26"/>
  <c r="E2801" i="26"/>
  <c r="G2801" i="26" s="1"/>
  <c r="C2802" i="26"/>
  <c r="E2802" i="26"/>
  <c r="G2802" i="26" s="1"/>
  <c r="C2804" i="26"/>
  <c r="E2804" i="26" s="1"/>
  <c r="G2804" i="26" s="1"/>
  <c r="C2805" i="26"/>
  <c r="E2805" i="26" s="1"/>
  <c r="G2805" i="26" s="1"/>
  <c r="C2806" i="26"/>
  <c r="C2808" i="26"/>
  <c r="E2808" i="26"/>
  <c r="G2808" i="26" s="1"/>
  <c r="C2809" i="26"/>
  <c r="E2809" i="26"/>
  <c r="G2809" i="26" s="1"/>
  <c r="C2811" i="26"/>
  <c r="C2812" i="26"/>
  <c r="E2812" i="26"/>
  <c r="G2812" i="26" s="1"/>
  <c r="C2813" i="26"/>
  <c r="E2813" i="26"/>
  <c r="G2813" i="26" s="1"/>
  <c r="B2815" i="26"/>
  <c r="C2815" i="26"/>
  <c r="E2815" i="26"/>
  <c r="C2818" i="26"/>
  <c r="E2818" i="26"/>
  <c r="G2818" i="26" s="1"/>
  <c r="C2819" i="26"/>
  <c r="E2819" i="26"/>
  <c r="G2819" i="26" s="1"/>
  <c r="C2820" i="26"/>
  <c r="E2820" i="26"/>
  <c r="G2820" i="26" s="1"/>
  <c r="C2821" i="26"/>
  <c r="E2821" i="26"/>
  <c r="G2821" i="26" s="1"/>
  <c r="C2822" i="26"/>
  <c r="E2822" i="26"/>
  <c r="G2822" i="26" s="1"/>
  <c r="C2824" i="26"/>
  <c r="E2824" i="26" s="1"/>
  <c r="G2824" i="26" s="1"/>
  <c r="F2824" i="26"/>
  <c r="C2825" i="26"/>
  <c r="C2826" i="26"/>
  <c r="C2828" i="26"/>
  <c r="E2828" i="26"/>
  <c r="G2828" i="26" s="1"/>
  <c r="C2829" i="26"/>
  <c r="E2829" i="26"/>
  <c r="G2829" i="26" s="1"/>
  <c r="C2831" i="26"/>
  <c r="F2831" i="26"/>
  <c r="C2832" i="26"/>
  <c r="E2832" i="26"/>
  <c r="G2832" i="26" s="1"/>
  <c r="C2833" i="26"/>
  <c r="E2833" i="26"/>
  <c r="G2833" i="26" s="1"/>
  <c r="B2835" i="26"/>
  <c r="C2835" i="26"/>
  <c r="E2835" i="26"/>
  <c r="C2838" i="26"/>
  <c r="E2838" i="26"/>
  <c r="G2838" i="26" s="1"/>
  <c r="C2839" i="26"/>
  <c r="E2839" i="26"/>
  <c r="G2839" i="26" s="1"/>
  <c r="C2840" i="26"/>
  <c r="E2840" i="26"/>
  <c r="G2840" i="26" s="1"/>
  <c r="C2841" i="26"/>
  <c r="E2841" i="26"/>
  <c r="G2841" i="26" s="1"/>
  <c r="C2842" i="26"/>
  <c r="E2842" i="26"/>
  <c r="G2842" i="26" s="1"/>
  <c r="C2844" i="26"/>
  <c r="E2844" i="26" s="1"/>
  <c r="F2844" i="26"/>
  <c r="C2845" i="26"/>
  <c r="C2846" i="26"/>
  <c r="C2848" i="26"/>
  <c r="E2848" i="26"/>
  <c r="G2848" i="26" s="1"/>
  <c r="C2849" i="26"/>
  <c r="E2849" i="26"/>
  <c r="G2849" i="26" s="1"/>
  <c r="C2851" i="26"/>
  <c r="F2851" i="26"/>
  <c r="C2852" i="26"/>
  <c r="E2852" i="26"/>
  <c r="G2852" i="26" s="1"/>
  <c r="C2853" i="26"/>
  <c r="E2853" i="26"/>
  <c r="G2853" i="26" s="1"/>
  <c r="B2855" i="26"/>
  <c r="C2855" i="26"/>
  <c r="E2855" i="26"/>
  <c r="C2858" i="26"/>
  <c r="E2858" i="26"/>
  <c r="G2858" i="26" s="1"/>
  <c r="C2859" i="26"/>
  <c r="E2859" i="26"/>
  <c r="G2859" i="26" s="1"/>
  <c r="C2860" i="26"/>
  <c r="E2860" i="26"/>
  <c r="G2860" i="26" s="1"/>
  <c r="C2861" i="26"/>
  <c r="E2861" i="26"/>
  <c r="G2861" i="26" s="1"/>
  <c r="C2862" i="26"/>
  <c r="E2862" i="26"/>
  <c r="G2862" i="26" s="1"/>
  <c r="C2864" i="26"/>
  <c r="C2865" i="26"/>
  <c r="E2865" i="26" s="1"/>
  <c r="G2865" i="26" s="1"/>
  <c r="C2866" i="26"/>
  <c r="E2866" i="26" s="1"/>
  <c r="G2866" i="26" s="1"/>
  <c r="C2868" i="26"/>
  <c r="E2868" i="26"/>
  <c r="G2868" i="26" s="1"/>
  <c r="C2869" i="26"/>
  <c r="E2869" i="26"/>
  <c r="G2869" i="26" s="1"/>
  <c r="C2871" i="26"/>
  <c r="C2872" i="26"/>
  <c r="E2872" i="26"/>
  <c r="G2872" i="26" s="1"/>
  <c r="C2873" i="26"/>
  <c r="E2873" i="26"/>
  <c r="G2873" i="26" s="1"/>
  <c r="B2875" i="26"/>
  <c r="C2875" i="26"/>
  <c r="E2875" i="26"/>
  <c r="C2878" i="26"/>
  <c r="E2878" i="26"/>
  <c r="G2878" i="26" s="1"/>
  <c r="C2879" i="26"/>
  <c r="E2879" i="26"/>
  <c r="G2879" i="26" s="1"/>
  <c r="C2880" i="26"/>
  <c r="E2880" i="26"/>
  <c r="G2880" i="26" s="1"/>
  <c r="C2881" i="26"/>
  <c r="E2881" i="26"/>
  <c r="G2881" i="26" s="1"/>
  <c r="C2882" i="26"/>
  <c r="E2882" i="26"/>
  <c r="G2882" i="26" s="1"/>
  <c r="C2884" i="26"/>
  <c r="C2885" i="26"/>
  <c r="E2885" i="26" s="1"/>
  <c r="G2885" i="26" s="1"/>
  <c r="C2886" i="26"/>
  <c r="E2886" i="26" s="1"/>
  <c r="G2886" i="26" s="1"/>
  <c r="C2888" i="26"/>
  <c r="E2888" i="26"/>
  <c r="G2888" i="26" s="1"/>
  <c r="C2889" i="26"/>
  <c r="E2889" i="26"/>
  <c r="G2889" i="26" s="1"/>
  <c r="C2891" i="26"/>
  <c r="C2892" i="26"/>
  <c r="E2892" i="26"/>
  <c r="G2892" i="26" s="1"/>
  <c r="C2893" i="26"/>
  <c r="E2893" i="26"/>
  <c r="G2893" i="26" s="1"/>
  <c r="B2895" i="26"/>
  <c r="C2895" i="26"/>
  <c r="E2895" i="26"/>
  <c r="C2898" i="26"/>
  <c r="C2899" i="26"/>
  <c r="C2900" i="26"/>
  <c r="E2900" i="26"/>
  <c r="G2900" i="26" s="1"/>
  <c r="C2901" i="26"/>
  <c r="E2901" i="26"/>
  <c r="G2901" i="26" s="1"/>
  <c r="C2902" i="26"/>
  <c r="E2902" i="26"/>
  <c r="G2902" i="26" s="1"/>
  <c r="C2904" i="26"/>
  <c r="E2904" i="26" s="1"/>
  <c r="G2904" i="26" s="1"/>
  <c r="C2905" i="26"/>
  <c r="C2906" i="26"/>
  <c r="C2908" i="26"/>
  <c r="E2908" i="26"/>
  <c r="G2908" i="26" s="1"/>
  <c r="C2909" i="26"/>
  <c r="E2909" i="26"/>
  <c r="G2909" i="26" s="1"/>
  <c r="C2911" i="26"/>
  <c r="C2912" i="26"/>
  <c r="E2912" i="26"/>
  <c r="G2912" i="26" s="1"/>
  <c r="C2913" i="26"/>
  <c r="E2913" i="26"/>
  <c r="G2913" i="26" s="1"/>
  <c r="B2915" i="26"/>
  <c r="C2915" i="26"/>
  <c r="E2915" i="26"/>
  <c r="C2918" i="26"/>
  <c r="C2919" i="26"/>
  <c r="C2920" i="26"/>
  <c r="E2920" i="26"/>
  <c r="G2920" i="26" s="1"/>
  <c r="C2921" i="26"/>
  <c r="E2921" i="26"/>
  <c r="G2921" i="26" s="1"/>
  <c r="C2922" i="26"/>
  <c r="E2922" i="26"/>
  <c r="G2922" i="26" s="1"/>
  <c r="C2924" i="26"/>
  <c r="E2924" i="26" s="1"/>
  <c r="G2924" i="26" s="1"/>
  <c r="C2925" i="26"/>
  <c r="C2926" i="26"/>
  <c r="C2928" i="26"/>
  <c r="E2928" i="26"/>
  <c r="G2928" i="26" s="1"/>
  <c r="C2929" i="26"/>
  <c r="E2929" i="26"/>
  <c r="G2929" i="26" s="1"/>
  <c r="C2931" i="26"/>
  <c r="C2932" i="26"/>
  <c r="E2932" i="26"/>
  <c r="G2932" i="26" s="1"/>
  <c r="C2933" i="26"/>
  <c r="E2933" i="26"/>
  <c r="G2933" i="26" s="1"/>
  <c r="B2935" i="26"/>
  <c r="C2935" i="26"/>
  <c r="E2935" i="26"/>
  <c r="C2938" i="26"/>
  <c r="C2939" i="26"/>
  <c r="C2940" i="26"/>
  <c r="E2940" i="26"/>
  <c r="G2940" i="26" s="1"/>
  <c r="C2941" i="26"/>
  <c r="E2941" i="26"/>
  <c r="G2941" i="26" s="1"/>
  <c r="C2942" i="26"/>
  <c r="E2942" i="26"/>
  <c r="G2942" i="26" s="1"/>
  <c r="C2944" i="26"/>
  <c r="E2944" i="26" s="1"/>
  <c r="G2944" i="26" s="1"/>
  <c r="C2945" i="26"/>
  <c r="C2946" i="26"/>
  <c r="C2948" i="26"/>
  <c r="E2948" i="26"/>
  <c r="G2948" i="26" s="1"/>
  <c r="C2949" i="26"/>
  <c r="E2949" i="26"/>
  <c r="G2949" i="26" s="1"/>
  <c r="C2951" i="26"/>
  <c r="C2952" i="26"/>
  <c r="E2952" i="26"/>
  <c r="G2952" i="26" s="1"/>
  <c r="C2953" i="26"/>
  <c r="E2953" i="26"/>
  <c r="G2953" i="26" s="1"/>
  <c r="B2955" i="26"/>
  <c r="C2955" i="26"/>
  <c r="E2955" i="26"/>
  <c r="C2958" i="26"/>
  <c r="C2959" i="26"/>
  <c r="C2960" i="26"/>
  <c r="E2960" i="26"/>
  <c r="G2960" i="26" s="1"/>
  <c r="C2961" i="26"/>
  <c r="E2961" i="26"/>
  <c r="G2961" i="26" s="1"/>
  <c r="C2962" i="26"/>
  <c r="E2962" i="26"/>
  <c r="G2962" i="26" s="1"/>
  <c r="C2964" i="26"/>
  <c r="E2964" i="26" s="1"/>
  <c r="G2964" i="26" s="1"/>
  <c r="C2965" i="26"/>
  <c r="C2966" i="26"/>
  <c r="C2968" i="26"/>
  <c r="E2968" i="26"/>
  <c r="G2968" i="26" s="1"/>
  <c r="C2969" i="26"/>
  <c r="E2969" i="26"/>
  <c r="G2969" i="26" s="1"/>
  <c r="C2971" i="26"/>
  <c r="C2972" i="26"/>
  <c r="E2972" i="26"/>
  <c r="G2972" i="26" s="1"/>
  <c r="C2973" i="26"/>
  <c r="E2973" i="26"/>
  <c r="G2973" i="26" s="1"/>
  <c r="B2975" i="26"/>
  <c r="C2975" i="26"/>
  <c r="E2975" i="26"/>
  <c r="C2978" i="26"/>
  <c r="C2979" i="26"/>
  <c r="C2980" i="26"/>
  <c r="E2980" i="26"/>
  <c r="G2980" i="26" s="1"/>
  <c r="C2981" i="26"/>
  <c r="E2981" i="26"/>
  <c r="G2981" i="26" s="1"/>
  <c r="C2982" i="26"/>
  <c r="E2982" i="26"/>
  <c r="G2982" i="26" s="1"/>
  <c r="C2984" i="26"/>
  <c r="E2984" i="26" s="1"/>
  <c r="G2984" i="26" s="1"/>
  <c r="C2985" i="26"/>
  <c r="C2986" i="26"/>
  <c r="C2988" i="26"/>
  <c r="E2988" i="26"/>
  <c r="G2988" i="26" s="1"/>
  <c r="C2989" i="26"/>
  <c r="E2989" i="26"/>
  <c r="G2989" i="26" s="1"/>
  <c r="C2991" i="26"/>
  <c r="C2992" i="26"/>
  <c r="E2992" i="26"/>
  <c r="G2992" i="26" s="1"/>
  <c r="C2993" i="26"/>
  <c r="E2993" i="26"/>
  <c r="G2993" i="26" s="1"/>
  <c r="B2995" i="26"/>
  <c r="C2995" i="26"/>
  <c r="E2995" i="26"/>
  <c r="C2998" i="26"/>
  <c r="C2999" i="26"/>
  <c r="C3000" i="26"/>
  <c r="E3000" i="26"/>
  <c r="G3000" i="26" s="1"/>
  <c r="C3001" i="26"/>
  <c r="E3001" i="26"/>
  <c r="G3001" i="26" s="1"/>
  <c r="C3002" i="26"/>
  <c r="E3002" i="26"/>
  <c r="G3002" i="26" s="1"/>
  <c r="C3004" i="26"/>
  <c r="E3004" i="26" s="1"/>
  <c r="G3004" i="26" s="1"/>
  <c r="C3005" i="26"/>
  <c r="C3006" i="26"/>
  <c r="C3008" i="26"/>
  <c r="E3008" i="26"/>
  <c r="G3008" i="26" s="1"/>
  <c r="C3009" i="26"/>
  <c r="E3009" i="26"/>
  <c r="G3009" i="26" s="1"/>
  <c r="C3011" i="26"/>
  <c r="C3012" i="26"/>
  <c r="E3012" i="26"/>
  <c r="G3012" i="26" s="1"/>
  <c r="C3013" i="26"/>
  <c r="E3013" i="26"/>
  <c r="G3013" i="26" s="1"/>
  <c r="B3015" i="26"/>
  <c r="C3015" i="26"/>
  <c r="E3015" i="26"/>
  <c r="C3018" i="26"/>
  <c r="C3019" i="26"/>
  <c r="C3020" i="26"/>
  <c r="E3020" i="26"/>
  <c r="G3020" i="26" s="1"/>
  <c r="C3021" i="26"/>
  <c r="E3021" i="26"/>
  <c r="G3021" i="26" s="1"/>
  <c r="C3022" i="26"/>
  <c r="E3022" i="26"/>
  <c r="G3022" i="26" s="1"/>
  <c r="C3024" i="26"/>
  <c r="E3024" i="26" s="1"/>
  <c r="G3024" i="26" s="1"/>
  <c r="C3025" i="26"/>
  <c r="C3026" i="26"/>
  <c r="C3028" i="26"/>
  <c r="E3028" i="26"/>
  <c r="G3028" i="26" s="1"/>
  <c r="C3029" i="26"/>
  <c r="E3029" i="26"/>
  <c r="G3029" i="26" s="1"/>
  <c r="C3031" i="26"/>
  <c r="C3032" i="26"/>
  <c r="E3032" i="26"/>
  <c r="G3032" i="26" s="1"/>
  <c r="C3033" i="26"/>
  <c r="E3033" i="26"/>
  <c r="G3033" i="26" s="1"/>
  <c r="B3035" i="26"/>
  <c r="C3035" i="26"/>
  <c r="E3035" i="26"/>
  <c r="C3038" i="26"/>
  <c r="E3038" i="26"/>
  <c r="G3038" i="26" s="1"/>
  <c r="C3039" i="26"/>
  <c r="C3040" i="26"/>
  <c r="E3040" i="26"/>
  <c r="G3040" i="26" s="1"/>
  <c r="C3041" i="26"/>
  <c r="E3041" i="26"/>
  <c r="G3041" i="26" s="1"/>
  <c r="C3042" i="26"/>
  <c r="E3042" i="26"/>
  <c r="G3042" i="26" s="1"/>
  <c r="C3044" i="26"/>
  <c r="E3044" i="26" s="1"/>
  <c r="G3044" i="26" s="1"/>
  <c r="C3045" i="26"/>
  <c r="E3045" i="26" s="1"/>
  <c r="G3045" i="26" s="1"/>
  <c r="C3046" i="26"/>
  <c r="E3046" i="26" s="1"/>
  <c r="G3046" i="26" s="1"/>
  <c r="C3047" i="26"/>
  <c r="C3049" i="26"/>
  <c r="E3049" i="26"/>
  <c r="G3049" i="26" s="1"/>
  <c r="C3050" i="26"/>
  <c r="E3050" i="26"/>
  <c r="G3050" i="26" s="1"/>
  <c r="C3052" i="26"/>
  <c r="C3053" i="26"/>
  <c r="E3053" i="26"/>
  <c r="G3053" i="26" s="1"/>
  <c r="C3054" i="26"/>
  <c r="E3054" i="26"/>
  <c r="G3054" i="26" s="1"/>
  <c r="B3056" i="26"/>
  <c r="C3056" i="26"/>
  <c r="E3056" i="26"/>
  <c r="C3059" i="26"/>
  <c r="E3059" i="26"/>
  <c r="G3059" i="26" s="1"/>
  <c r="C3060" i="26"/>
  <c r="C3061" i="26"/>
  <c r="E3061" i="26"/>
  <c r="G3061" i="26" s="1"/>
  <c r="C3062" i="26"/>
  <c r="E3062" i="26"/>
  <c r="G3062" i="26" s="1"/>
  <c r="C3063" i="26"/>
  <c r="E3063" i="26"/>
  <c r="G3063" i="26" s="1"/>
  <c r="C3065" i="26"/>
  <c r="E3065" i="26" s="1"/>
  <c r="G3065" i="26" s="1"/>
  <c r="C3066" i="26"/>
  <c r="E3066" i="26" s="1"/>
  <c r="G3066" i="26" s="1"/>
  <c r="C3067" i="26"/>
  <c r="E3067" i="26" s="1"/>
  <c r="G3067" i="26" s="1"/>
  <c r="C3068" i="26"/>
  <c r="C3070" i="26"/>
  <c r="E3070" i="26"/>
  <c r="G3070" i="26" s="1"/>
  <c r="C3071" i="26"/>
  <c r="E3071" i="26"/>
  <c r="G3071" i="26" s="1"/>
  <c r="C3073" i="26"/>
  <c r="C3074" i="26"/>
  <c r="E3074" i="26"/>
  <c r="G3074" i="26" s="1"/>
  <c r="C3075" i="26"/>
  <c r="E3075" i="26"/>
  <c r="G3075" i="26" s="1"/>
  <c r="B3077" i="26"/>
  <c r="C3077" i="26"/>
  <c r="E3077" i="26"/>
  <c r="C3080" i="26"/>
  <c r="E3080" i="26"/>
  <c r="G3080" i="26" s="1"/>
  <c r="C3081" i="26"/>
  <c r="E3081" i="26"/>
  <c r="G3081" i="26" s="1"/>
  <c r="C3082" i="26"/>
  <c r="E3082" i="26"/>
  <c r="G3082" i="26" s="1"/>
  <c r="C3083" i="26"/>
  <c r="E3083" i="26"/>
  <c r="G3083" i="26" s="1"/>
  <c r="C3084" i="26"/>
  <c r="E3084" i="26"/>
  <c r="G3084" i="26" s="1"/>
  <c r="C3086" i="26"/>
  <c r="E3086" i="26" s="1"/>
  <c r="G3086" i="26" s="1"/>
  <c r="C3087" i="26"/>
  <c r="E3087" i="26" s="1"/>
  <c r="G3087" i="26" s="1"/>
  <c r="C3088" i="26"/>
  <c r="C3090" i="26"/>
  <c r="E3090" i="26"/>
  <c r="G3090" i="26" s="1"/>
  <c r="C3091" i="26"/>
  <c r="E3091" i="26"/>
  <c r="G3091" i="26" s="1"/>
  <c r="C3093" i="26"/>
  <c r="C3094" i="26"/>
  <c r="E3094" i="26"/>
  <c r="G3094" i="26" s="1"/>
  <c r="C3095" i="26"/>
  <c r="E3095" i="26"/>
  <c r="G3095" i="26" s="1"/>
  <c r="B3097" i="26"/>
  <c r="C3097" i="26"/>
  <c r="E3097" i="26"/>
  <c r="C3100" i="26"/>
  <c r="E3100" i="26"/>
  <c r="G3100" i="26" s="1"/>
  <c r="C3101" i="26"/>
  <c r="C3102" i="26"/>
  <c r="E3102" i="26"/>
  <c r="G3102" i="26" s="1"/>
  <c r="C3103" i="26"/>
  <c r="E3103" i="26"/>
  <c r="G3103" i="26" s="1"/>
  <c r="C3104" i="26"/>
  <c r="E3104" i="26"/>
  <c r="G3104" i="26" s="1"/>
  <c r="C3106" i="26"/>
  <c r="E3106" i="26" s="1"/>
  <c r="G3106" i="26" s="1"/>
  <c r="C3107" i="26"/>
  <c r="C3108" i="26"/>
  <c r="E3108" i="26" s="1"/>
  <c r="G3108" i="26" s="1"/>
  <c r="C3110" i="26"/>
  <c r="E3110" i="26"/>
  <c r="G3110" i="26" s="1"/>
  <c r="C3111" i="26"/>
  <c r="E3111" i="26"/>
  <c r="G3111" i="26" s="1"/>
  <c r="C3113" i="26"/>
  <c r="C3114" i="26"/>
  <c r="E3114" i="26"/>
  <c r="G3114" i="26" s="1"/>
  <c r="C3115" i="26"/>
  <c r="E3115" i="26"/>
  <c r="G3115" i="26" s="1"/>
  <c r="B1837" i="26"/>
  <c r="C1837" i="26"/>
  <c r="E1837" i="26"/>
  <c r="C1840" i="26"/>
  <c r="E1840" i="26"/>
  <c r="G1840" i="26" s="1"/>
  <c r="C1841" i="26"/>
  <c r="E1841" i="26"/>
  <c r="G1841" i="26" s="1"/>
  <c r="C1842" i="26"/>
  <c r="E1842" i="26"/>
  <c r="G1842" i="26" s="1"/>
  <c r="C1843" i="26"/>
  <c r="E1843" i="26"/>
  <c r="G1843" i="26" s="1"/>
  <c r="C1844" i="26"/>
  <c r="E1844" i="26"/>
  <c r="G1844" i="26" s="1"/>
  <c r="C1846" i="26"/>
  <c r="E1846" i="26" s="1"/>
  <c r="G1846" i="26" s="1"/>
  <c r="C1847" i="26"/>
  <c r="C1848" i="26"/>
  <c r="E1848" i="26" s="1"/>
  <c r="G1848" i="26" s="1"/>
  <c r="C1850" i="26"/>
  <c r="E1850" i="26"/>
  <c r="G1850" i="26" s="1"/>
  <c r="C1851" i="26"/>
  <c r="E1851" i="26"/>
  <c r="G1851" i="26" s="1"/>
  <c r="C1853" i="26"/>
  <c r="C1854" i="26"/>
  <c r="E1854" i="26"/>
  <c r="G1854" i="26" s="1"/>
  <c r="C1855" i="26"/>
  <c r="E1855" i="26"/>
  <c r="G1855" i="26" s="1"/>
  <c r="B1857" i="26"/>
  <c r="C1857" i="26"/>
  <c r="E1857" i="26"/>
  <c r="C1860" i="26"/>
  <c r="E1860" i="26"/>
  <c r="G1860" i="26" s="1"/>
  <c r="C1861" i="26"/>
  <c r="E1861" i="26"/>
  <c r="G1861" i="26" s="1"/>
  <c r="C1862" i="26"/>
  <c r="E1862" i="26"/>
  <c r="G1862" i="26" s="1"/>
  <c r="C1863" i="26"/>
  <c r="E1863" i="26"/>
  <c r="G1863" i="26" s="1"/>
  <c r="C1864" i="26"/>
  <c r="E1864" i="26"/>
  <c r="G1864" i="26" s="1"/>
  <c r="C1866" i="26"/>
  <c r="E1866" i="26" s="1"/>
  <c r="G1866" i="26" s="1"/>
  <c r="C1867" i="26"/>
  <c r="C1868" i="26"/>
  <c r="E1868" i="26" s="1"/>
  <c r="G1868" i="26" s="1"/>
  <c r="C1870" i="26"/>
  <c r="E1870" i="26"/>
  <c r="G1870" i="26" s="1"/>
  <c r="C1871" i="26"/>
  <c r="E1871" i="26"/>
  <c r="G1871" i="26" s="1"/>
  <c r="C1873" i="26"/>
  <c r="C1874" i="26"/>
  <c r="E1874" i="26"/>
  <c r="G1874" i="26" s="1"/>
  <c r="C1875" i="26"/>
  <c r="E1875" i="26"/>
  <c r="G1875" i="26" s="1"/>
  <c r="B1877" i="26"/>
  <c r="C1877" i="26"/>
  <c r="E1877" i="26"/>
  <c r="C1880" i="26"/>
  <c r="E1880" i="26"/>
  <c r="G1880" i="26" s="1"/>
  <c r="C1881" i="26"/>
  <c r="E1881" i="26"/>
  <c r="G1881" i="26" s="1"/>
  <c r="C1882" i="26"/>
  <c r="E1882" i="26"/>
  <c r="G1882" i="26" s="1"/>
  <c r="C1883" i="26"/>
  <c r="E1883" i="26"/>
  <c r="G1883" i="26" s="1"/>
  <c r="C1884" i="26"/>
  <c r="E1884" i="26"/>
  <c r="G1884" i="26" s="1"/>
  <c r="C1886" i="26"/>
  <c r="E1886" i="26" s="1"/>
  <c r="G1886" i="26" s="1"/>
  <c r="C1887" i="26"/>
  <c r="C1888" i="26"/>
  <c r="E1888" i="26" s="1"/>
  <c r="G1888" i="26" s="1"/>
  <c r="C1890" i="26"/>
  <c r="E1890" i="26"/>
  <c r="G1890" i="26" s="1"/>
  <c r="C1891" i="26"/>
  <c r="E1891" i="26"/>
  <c r="G1891" i="26" s="1"/>
  <c r="C1893" i="26"/>
  <c r="C1894" i="26"/>
  <c r="E1894" i="26"/>
  <c r="G1894" i="26" s="1"/>
  <c r="C1895" i="26"/>
  <c r="E1895" i="26"/>
  <c r="G1895" i="26" s="1"/>
  <c r="B1897" i="26"/>
  <c r="C1897" i="26"/>
  <c r="E1897" i="26"/>
  <c r="C1900" i="26"/>
  <c r="E1900" i="26"/>
  <c r="G1900" i="26" s="1"/>
  <c r="C1901" i="26"/>
  <c r="E1901" i="26"/>
  <c r="G1901" i="26" s="1"/>
  <c r="C1902" i="26"/>
  <c r="E1902" i="26"/>
  <c r="G1902" i="26" s="1"/>
  <c r="C1903" i="26"/>
  <c r="E1903" i="26"/>
  <c r="G1903" i="26" s="1"/>
  <c r="C1904" i="26"/>
  <c r="E1904" i="26"/>
  <c r="G1904" i="26" s="1"/>
  <c r="C1906" i="26"/>
  <c r="E1906" i="26" s="1"/>
  <c r="G1906" i="26" s="1"/>
  <c r="C1907" i="26"/>
  <c r="C1908" i="26"/>
  <c r="E1908" i="26" s="1"/>
  <c r="G1908" i="26" s="1"/>
  <c r="C1910" i="26"/>
  <c r="E1910" i="26"/>
  <c r="G1910" i="26" s="1"/>
  <c r="C1911" i="26"/>
  <c r="E1911" i="26"/>
  <c r="G1911" i="26" s="1"/>
  <c r="C1913" i="26"/>
  <c r="C1914" i="26"/>
  <c r="E1914" i="26"/>
  <c r="G1914" i="26" s="1"/>
  <c r="C1915" i="26"/>
  <c r="E1915" i="26"/>
  <c r="G1915" i="26" s="1"/>
  <c r="B1917" i="26"/>
  <c r="C1917" i="26"/>
  <c r="E1917" i="26"/>
  <c r="C1920" i="26"/>
  <c r="C1921" i="26"/>
  <c r="E1921" i="26"/>
  <c r="G1921" i="26" s="1"/>
  <c r="C1922" i="26"/>
  <c r="E1922" i="26"/>
  <c r="G1922" i="26" s="1"/>
  <c r="C1923" i="26"/>
  <c r="E1923" i="26"/>
  <c r="G1923" i="26" s="1"/>
  <c r="C1924" i="26"/>
  <c r="E1924" i="26"/>
  <c r="G1924" i="26" s="1"/>
  <c r="C1926" i="26"/>
  <c r="C1927" i="26"/>
  <c r="C1928" i="26"/>
  <c r="E1928" i="26" s="1"/>
  <c r="G1928" i="26" s="1"/>
  <c r="C1930" i="26"/>
  <c r="E1930" i="26"/>
  <c r="G1930" i="26" s="1"/>
  <c r="C1931" i="26"/>
  <c r="E1931" i="26"/>
  <c r="G1931" i="26" s="1"/>
  <c r="C1933" i="26"/>
  <c r="C1934" i="26"/>
  <c r="E1934" i="26"/>
  <c r="G1934" i="26" s="1"/>
  <c r="C1935" i="26"/>
  <c r="E1935" i="26"/>
  <c r="G1935" i="26" s="1"/>
  <c r="B1937" i="26"/>
  <c r="C1937" i="26"/>
  <c r="E1937" i="26"/>
  <c r="C1940" i="26"/>
  <c r="C1941" i="26"/>
  <c r="C1942" i="26"/>
  <c r="E1942" i="26"/>
  <c r="G1942" i="26" s="1"/>
  <c r="C1943" i="26"/>
  <c r="E1943" i="26"/>
  <c r="G1943" i="26" s="1"/>
  <c r="C1944" i="26"/>
  <c r="E1944" i="26"/>
  <c r="G1944" i="26" s="1"/>
  <c r="C1946" i="26"/>
  <c r="C1947" i="26"/>
  <c r="C1948" i="26"/>
  <c r="E1948" i="26" s="1"/>
  <c r="G1948" i="26" s="1"/>
  <c r="C1950" i="26"/>
  <c r="E1950" i="26"/>
  <c r="G1950" i="26" s="1"/>
  <c r="C1951" i="26"/>
  <c r="E1951" i="26"/>
  <c r="G1951" i="26" s="1"/>
  <c r="C1953" i="26"/>
  <c r="C1954" i="26"/>
  <c r="E1954" i="26"/>
  <c r="G1954" i="26" s="1"/>
  <c r="C1955" i="26"/>
  <c r="E1955" i="26"/>
  <c r="G1955" i="26" s="1"/>
  <c r="B1957" i="26"/>
  <c r="C1957" i="26"/>
  <c r="E1957" i="26"/>
  <c r="C1960" i="26"/>
  <c r="E1960" i="26"/>
  <c r="G1960" i="26" s="1"/>
  <c r="C1961" i="26"/>
  <c r="C1962" i="26"/>
  <c r="E1962" i="26"/>
  <c r="G1962" i="26" s="1"/>
  <c r="C1963" i="26"/>
  <c r="E1963" i="26"/>
  <c r="G1963" i="26" s="1"/>
  <c r="C1964" i="26"/>
  <c r="E1964" i="26"/>
  <c r="G1964" i="26" s="1"/>
  <c r="C1966" i="26"/>
  <c r="C1967" i="26"/>
  <c r="C1968" i="26"/>
  <c r="E1968" i="26" s="1"/>
  <c r="G1968" i="26" s="1"/>
  <c r="C1970" i="26"/>
  <c r="E1970" i="26"/>
  <c r="G1970" i="26" s="1"/>
  <c r="C1971" i="26"/>
  <c r="E1971" i="26"/>
  <c r="G1971" i="26" s="1"/>
  <c r="C1973" i="26"/>
  <c r="C1974" i="26"/>
  <c r="E1974" i="26"/>
  <c r="G1974" i="26" s="1"/>
  <c r="C1975" i="26"/>
  <c r="E1975" i="26"/>
  <c r="G1975" i="26" s="1"/>
  <c r="B1977" i="26"/>
  <c r="C1977" i="26"/>
  <c r="E1977" i="26"/>
  <c r="C1980" i="26"/>
  <c r="E1980" i="26"/>
  <c r="G1980" i="26" s="1"/>
  <c r="C1981" i="26"/>
  <c r="E1981" i="26"/>
  <c r="G1981" i="26" s="1"/>
  <c r="C1982" i="26"/>
  <c r="E1982" i="26"/>
  <c r="G1982" i="26" s="1"/>
  <c r="C1983" i="26"/>
  <c r="E1983" i="26"/>
  <c r="G1983" i="26" s="1"/>
  <c r="C1984" i="26"/>
  <c r="E1984" i="26"/>
  <c r="G1984" i="26" s="1"/>
  <c r="C1986" i="26"/>
  <c r="E1986" i="26" s="1"/>
  <c r="G1986" i="26" s="1"/>
  <c r="C1987" i="26"/>
  <c r="E1987" i="26" s="1"/>
  <c r="G1987" i="26" s="1"/>
  <c r="C1988" i="26"/>
  <c r="E1988" i="26" s="1"/>
  <c r="G1988" i="26" s="1"/>
  <c r="C1990" i="26"/>
  <c r="E1990" i="26"/>
  <c r="G1990" i="26" s="1"/>
  <c r="C1991" i="26"/>
  <c r="E1991" i="26"/>
  <c r="G1991" i="26" s="1"/>
  <c r="C1993" i="26"/>
  <c r="C1994" i="26"/>
  <c r="E1994" i="26"/>
  <c r="G1994" i="26" s="1"/>
  <c r="C1995" i="26"/>
  <c r="E1995" i="26"/>
  <c r="G1995" i="26" s="1"/>
  <c r="B1997" i="26"/>
  <c r="C1997" i="26"/>
  <c r="E1997" i="26"/>
  <c r="C2000" i="26"/>
  <c r="D2000" i="26"/>
  <c r="C2001" i="26"/>
  <c r="C2002" i="26"/>
  <c r="E2002" i="26"/>
  <c r="G2002" i="26" s="1"/>
  <c r="C2003" i="26"/>
  <c r="E2003" i="26"/>
  <c r="G2003" i="26" s="1"/>
  <c r="C2004" i="26"/>
  <c r="E2004" i="26"/>
  <c r="G2004" i="26" s="1"/>
  <c r="C2006" i="26"/>
  <c r="C2007" i="26"/>
  <c r="E2007" i="26" s="1"/>
  <c r="G2007" i="26" s="1"/>
  <c r="C2008" i="26"/>
  <c r="E2008" i="26" s="1"/>
  <c r="G2008" i="26" s="1"/>
  <c r="C2010" i="26"/>
  <c r="E2010" i="26"/>
  <c r="G2010" i="26" s="1"/>
  <c r="C2011" i="26"/>
  <c r="E2011" i="26"/>
  <c r="G2011" i="26" s="1"/>
  <c r="C2013" i="26"/>
  <c r="C2014" i="26"/>
  <c r="E2014" i="26"/>
  <c r="G2014" i="26" s="1"/>
  <c r="C2015" i="26"/>
  <c r="E2015" i="26"/>
  <c r="G2015" i="26" s="1"/>
  <c r="B2017" i="26"/>
  <c r="C2017" i="26"/>
  <c r="E2017" i="26"/>
  <c r="C2020" i="26"/>
  <c r="E2020" i="26"/>
  <c r="G2020" i="26" s="1"/>
  <c r="C2021" i="26"/>
  <c r="E2021" i="26"/>
  <c r="G2021" i="26" s="1"/>
  <c r="C2022" i="26"/>
  <c r="E2022" i="26"/>
  <c r="G2022" i="26" s="1"/>
  <c r="C2023" i="26"/>
  <c r="E2023" i="26"/>
  <c r="G2023" i="26" s="1"/>
  <c r="C2024" i="26"/>
  <c r="E2024" i="26"/>
  <c r="G2024" i="26" s="1"/>
  <c r="C2026" i="26"/>
  <c r="C2027" i="26"/>
  <c r="E2027" i="26" s="1"/>
  <c r="G2027" i="26" s="1"/>
  <c r="C2028" i="26"/>
  <c r="C2030" i="26"/>
  <c r="E2030" i="26"/>
  <c r="G2030" i="26" s="1"/>
  <c r="C2031" i="26"/>
  <c r="E2031" i="26"/>
  <c r="G2031" i="26" s="1"/>
  <c r="C2033" i="26"/>
  <c r="C2034" i="26"/>
  <c r="E2034" i="26"/>
  <c r="G2034" i="26" s="1"/>
  <c r="C2035" i="26"/>
  <c r="E2035" i="26"/>
  <c r="G2035" i="26" s="1"/>
  <c r="B2037" i="26"/>
  <c r="C2037" i="26"/>
  <c r="E2037" i="26"/>
  <c r="C2040" i="26"/>
  <c r="E2040" i="26"/>
  <c r="G2040" i="26" s="1"/>
  <c r="C2041" i="26"/>
  <c r="E2041" i="26"/>
  <c r="G2041" i="26" s="1"/>
  <c r="C2042" i="26"/>
  <c r="E2042" i="26"/>
  <c r="G2042" i="26" s="1"/>
  <c r="C2043" i="26"/>
  <c r="E2043" i="26"/>
  <c r="G2043" i="26" s="1"/>
  <c r="C2044" i="26"/>
  <c r="E2044" i="26"/>
  <c r="G2044" i="26" s="1"/>
  <c r="C2046" i="26"/>
  <c r="E2046" i="26" s="1"/>
  <c r="G2046" i="26" s="1"/>
  <c r="C2047" i="26"/>
  <c r="E2047" i="26" s="1"/>
  <c r="G2047" i="26" s="1"/>
  <c r="C2048" i="26"/>
  <c r="C2050" i="26"/>
  <c r="E2050" i="26"/>
  <c r="G2050" i="26" s="1"/>
  <c r="C2051" i="26"/>
  <c r="E2051" i="26"/>
  <c r="G2051" i="26" s="1"/>
  <c r="C2053" i="26"/>
  <c r="C2054" i="26"/>
  <c r="E2054" i="26"/>
  <c r="G2054" i="26" s="1"/>
  <c r="C2055" i="26"/>
  <c r="E2055" i="26"/>
  <c r="G2055" i="26" s="1"/>
  <c r="B2057" i="26"/>
  <c r="C2057" i="26"/>
  <c r="E2057" i="26"/>
  <c r="C2060" i="26"/>
  <c r="E2060" i="26"/>
  <c r="G2060" i="26" s="1"/>
  <c r="C2061" i="26"/>
  <c r="E2061" i="26"/>
  <c r="G2061" i="26" s="1"/>
  <c r="C2062" i="26"/>
  <c r="E2062" i="26"/>
  <c r="G2062" i="26" s="1"/>
  <c r="C2063" i="26"/>
  <c r="E2063" i="26"/>
  <c r="G2063" i="26" s="1"/>
  <c r="C2064" i="26"/>
  <c r="E2064" i="26"/>
  <c r="G2064" i="26" s="1"/>
  <c r="C2066" i="26"/>
  <c r="C2067" i="26"/>
  <c r="E2067" i="26" s="1"/>
  <c r="G2067" i="26" s="1"/>
  <c r="C2068" i="26"/>
  <c r="E2068" i="26" s="1"/>
  <c r="G2068" i="26" s="1"/>
  <c r="C2070" i="26"/>
  <c r="E2070" i="26"/>
  <c r="G2070" i="26" s="1"/>
  <c r="C2071" i="26"/>
  <c r="E2071" i="26"/>
  <c r="G2071" i="26" s="1"/>
  <c r="C2073" i="26"/>
  <c r="C2074" i="26"/>
  <c r="E2074" i="26"/>
  <c r="G2074" i="26" s="1"/>
  <c r="C2075" i="26"/>
  <c r="E2075" i="26"/>
  <c r="G2075" i="26" s="1"/>
  <c r="B2077" i="26"/>
  <c r="C2077" i="26"/>
  <c r="E2077" i="26"/>
  <c r="C2080" i="26"/>
  <c r="E2080" i="26"/>
  <c r="G2080" i="26" s="1"/>
  <c r="C2081" i="26"/>
  <c r="E2081" i="26"/>
  <c r="G2081" i="26" s="1"/>
  <c r="C2082" i="26"/>
  <c r="E2082" i="26"/>
  <c r="G2082" i="26" s="1"/>
  <c r="C2083" i="26"/>
  <c r="E2083" i="26"/>
  <c r="G2083" i="26" s="1"/>
  <c r="C2084" i="26"/>
  <c r="E2084" i="26"/>
  <c r="G2084" i="26" s="1"/>
  <c r="C2086" i="26"/>
  <c r="E2086" i="26" s="1"/>
  <c r="G2086" i="26" s="1"/>
  <c r="C2087" i="26"/>
  <c r="C2088" i="26"/>
  <c r="E2088" i="26" s="1"/>
  <c r="G2088" i="26" s="1"/>
  <c r="C2090" i="26"/>
  <c r="E2090" i="26"/>
  <c r="G2090" i="26" s="1"/>
  <c r="C2091" i="26"/>
  <c r="E2091" i="26"/>
  <c r="G2091" i="26" s="1"/>
  <c r="C2093" i="26"/>
  <c r="C2094" i="26"/>
  <c r="E2094" i="26"/>
  <c r="G2094" i="26" s="1"/>
  <c r="C2095" i="26"/>
  <c r="E2095" i="26"/>
  <c r="G2095" i="26" s="1"/>
  <c r="B2097" i="26"/>
  <c r="C2097" i="26"/>
  <c r="E2097" i="26"/>
  <c r="C2100" i="26"/>
  <c r="E2100" i="26"/>
  <c r="G2100" i="26" s="1"/>
  <c r="C2101" i="26"/>
  <c r="E2101" i="26"/>
  <c r="G2101" i="26" s="1"/>
  <c r="C2102" i="26"/>
  <c r="E2102" i="26"/>
  <c r="G2102" i="26" s="1"/>
  <c r="E2103" i="26"/>
  <c r="G2103" i="26" s="1"/>
  <c r="C2104" i="26"/>
  <c r="E2104" i="26"/>
  <c r="G2104" i="26" s="1"/>
  <c r="C2106" i="26"/>
  <c r="E2106" i="26" s="1"/>
  <c r="G2106" i="26" s="1"/>
  <c r="C2107" i="26"/>
  <c r="E2107" i="26" s="1"/>
  <c r="G2107" i="26" s="1"/>
  <c r="C2108" i="26"/>
  <c r="C2110" i="26"/>
  <c r="D2110" i="26"/>
  <c r="E2110" i="26"/>
  <c r="C2111" i="26"/>
  <c r="E2111" i="26"/>
  <c r="G2111" i="26" s="1"/>
  <c r="C2113" i="26"/>
  <c r="C2114" i="26"/>
  <c r="E2114" i="26"/>
  <c r="G2114" i="26" s="1"/>
  <c r="C2115" i="26"/>
  <c r="E2115" i="26"/>
  <c r="G2115" i="26" s="1"/>
  <c r="B2117" i="26"/>
  <c r="C2117" i="26"/>
  <c r="E2117" i="26"/>
  <c r="C2120" i="26"/>
  <c r="E2120" i="26"/>
  <c r="G2120" i="26" s="1"/>
  <c r="C2121" i="26"/>
  <c r="E2121" i="26"/>
  <c r="G2121" i="26" s="1"/>
  <c r="C2122" i="26"/>
  <c r="E2122" i="26"/>
  <c r="G2122" i="26" s="1"/>
  <c r="C2123" i="26"/>
  <c r="E2123" i="26"/>
  <c r="G2123" i="26" s="1"/>
  <c r="C2124" i="26"/>
  <c r="E2124" i="26"/>
  <c r="G2124" i="26" s="1"/>
  <c r="C2126" i="26"/>
  <c r="E2126" i="26" s="1"/>
  <c r="G2126" i="26" s="1"/>
  <c r="C2127" i="26"/>
  <c r="E2127" i="26" s="1"/>
  <c r="G2127" i="26" s="1"/>
  <c r="C2128" i="26"/>
  <c r="E2128" i="26" s="1"/>
  <c r="G2128" i="26" s="1"/>
  <c r="C2130" i="26"/>
  <c r="E2130" i="26"/>
  <c r="G2130" i="26" s="1"/>
  <c r="C2131" i="26"/>
  <c r="E2131" i="26"/>
  <c r="G2131" i="26" s="1"/>
  <c r="C2133" i="26"/>
  <c r="C2134" i="26"/>
  <c r="E2134" i="26"/>
  <c r="G2134" i="26" s="1"/>
  <c r="C2135" i="26"/>
  <c r="E2135" i="26"/>
  <c r="G2135" i="26" s="1"/>
  <c r="B2137" i="26"/>
  <c r="C2137" i="26"/>
  <c r="E2137" i="26"/>
  <c r="C2140" i="26"/>
  <c r="E2140" i="26"/>
  <c r="G2140" i="26" s="1"/>
  <c r="C2141" i="26"/>
  <c r="E2141" i="26"/>
  <c r="G2141" i="26" s="1"/>
  <c r="C2142" i="26"/>
  <c r="E2142" i="26"/>
  <c r="G2142" i="26" s="1"/>
  <c r="C2143" i="26"/>
  <c r="E2143" i="26"/>
  <c r="G2143" i="26" s="1"/>
  <c r="C2144" i="26"/>
  <c r="E2144" i="26"/>
  <c r="G2144" i="26" s="1"/>
  <c r="C2146" i="26"/>
  <c r="E2146" i="26" s="1"/>
  <c r="G2146" i="26" s="1"/>
  <c r="C2147" i="26"/>
  <c r="C2148" i="26"/>
  <c r="C2150" i="26"/>
  <c r="E2150" i="26"/>
  <c r="G2150" i="26" s="1"/>
  <c r="C2151" i="26"/>
  <c r="E2151" i="26"/>
  <c r="G2151" i="26" s="1"/>
  <c r="C2153" i="26"/>
  <c r="C2154" i="26"/>
  <c r="E2154" i="26"/>
  <c r="G2154" i="26" s="1"/>
  <c r="C2155" i="26"/>
  <c r="E2155" i="26"/>
  <c r="G2155" i="26" s="1"/>
  <c r="B2157" i="26"/>
  <c r="C2157" i="26"/>
  <c r="E2157" i="26"/>
  <c r="C2160" i="26"/>
  <c r="E2160" i="26"/>
  <c r="G2160" i="26" s="1"/>
  <c r="C2161" i="26"/>
  <c r="E2161" i="26"/>
  <c r="G2161" i="26" s="1"/>
  <c r="C2162" i="26"/>
  <c r="E2162" i="26"/>
  <c r="G2162" i="26" s="1"/>
  <c r="C2163" i="26"/>
  <c r="E2163" i="26"/>
  <c r="G2163" i="26" s="1"/>
  <c r="C2164" i="26"/>
  <c r="E2164" i="26"/>
  <c r="G2164" i="26" s="1"/>
  <c r="C2166" i="26"/>
  <c r="E2166" i="26" s="1"/>
  <c r="G2166" i="26" s="1"/>
  <c r="C2167" i="26"/>
  <c r="C2168" i="26"/>
  <c r="C2170" i="26"/>
  <c r="E2170" i="26"/>
  <c r="G2170" i="26" s="1"/>
  <c r="C2171" i="26"/>
  <c r="E2171" i="26"/>
  <c r="G2171" i="26" s="1"/>
  <c r="C2173" i="26"/>
  <c r="C2174" i="26"/>
  <c r="E2174" i="26"/>
  <c r="G2174" i="26" s="1"/>
  <c r="C2175" i="26"/>
  <c r="E2175" i="26"/>
  <c r="G2175" i="26" s="1"/>
  <c r="B2177" i="26"/>
  <c r="C2177" i="26"/>
  <c r="E2177" i="26"/>
  <c r="C2180" i="26"/>
  <c r="E2180" i="26"/>
  <c r="G2180" i="26" s="1"/>
  <c r="C2181" i="26"/>
  <c r="E2181" i="26"/>
  <c r="G2181" i="26" s="1"/>
  <c r="C2182" i="26"/>
  <c r="E2182" i="26"/>
  <c r="G2182" i="26" s="1"/>
  <c r="C2183" i="26"/>
  <c r="E2183" i="26"/>
  <c r="G2183" i="26" s="1"/>
  <c r="C2184" i="26"/>
  <c r="E2184" i="26"/>
  <c r="G2184" i="26" s="1"/>
  <c r="C2186" i="26"/>
  <c r="E2186" i="26" s="1"/>
  <c r="G2186" i="26" s="1"/>
  <c r="C2187" i="26"/>
  <c r="C2188" i="26"/>
  <c r="C2190" i="26"/>
  <c r="E2190" i="26"/>
  <c r="G2190" i="26" s="1"/>
  <c r="C2191" i="26"/>
  <c r="E2191" i="26"/>
  <c r="G2191" i="26" s="1"/>
  <c r="C2193" i="26"/>
  <c r="C2194" i="26"/>
  <c r="E2194" i="26"/>
  <c r="G2194" i="26" s="1"/>
  <c r="C2195" i="26"/>
  <c r="E2195" i="26"/>
  <c r="G2195" i="26" s="1"/>
  <c r="B2197" i="26"/>
  <c r="C2197" i="26"/>
  <c r="E2197" i="26"/>
  <c r="C2200" i="26"/>
  <c r="E2200" i="26"/>
  <c r="G2200" i="26" s="1"/>
  <c r="C2201" i="26"/>
  <c r="E2201" i="26"/>
  <c r="G2201" i="26" s="1"/>
  <c r="C2202" i="26"/>
  <c r="E2202" i="26"/>
  <c r="G2202" i="26" s="1"/>
  <c r="E2203" i="26"/>
  <c r="G2203" i="26" s="1"/>
  <c r="C2204" i="26"/>
  <c r="E2204" i="26"/>
  <c r="G2204" i="26" s="1"/>
  <c r="C2206" i="26"/>
  <c r="E2206" i="26" s="1"/>
  <c r="G2206" i="26" s="1"/>
  <c r="C2207" i="26"/>
  <c r="E2207" i="26" s="1"/>
  <c r="G2207" i="26" s="1"/>
  <c r="C2208" i="26"/>
  <c r="E2208" i="26" s="1"/>
  <c r="G2208" i="26" s="1"/>
  <c r="C2209" i="26"/>
  <c r="C2211" i="26"/>
  <c r="D2211" i="26"/>
  <c r="E2211" i="26"/>
  <c r="C2212" i="26"/>
  <c r="E2212" i="26"/>
  <c r="G2212" i="26" s="1"/>
  <c r="C2214" i="26"/>
  <c r="C2215" i="26"/>
  <c r="E2215" i="26"/>
  <c r="G2215" i="26" s="1"/>
  <c r="C2216" i="26"/>
  <c r="E2216" i="26"/>
  <c r="G2216" i="26" s="1"/>
  <c r="B2218" i="26"/>
  <c r="C2218" i="26"/>
  <c r="E2218" i="26"/>
  <c r="C2221" i="26"/>
  <c r="E2221" i="26"/>
  <c r="G2221" i="26" s="1"/>
  <c r="C2222" i="26"/>
  <c r="E2222" i="26"/>
  <c r="G2222" i="26" s="1"/>
  <c r="C2223" i="26"/>
  <c r="E2223" i="26"/>
  <c r="G2223" i="26" s="1"/>
  <c r="E2224" i="26"/>
  <c r="G2224" i="26" s="1"/>
  <c r="C2225" i="26"/>
  <c r="E2225" i="26"/>
  <c r="G2225" i="26" s="1"/>
  <c r="C2227" i="26"/>
  <c r="E2227" i="26" s="1"/>
  <c r="G2227" i="26" s="1"/>
  <c r="C2228" i="26"/>
  <c r="E2228" i="26" s="1"/>
  <c r="G2228" i="26" s="1"/>
  <c r="C2229" i="26"/>
  <c r="E2229" i="26" s="1"/>
  <c r="G2229" i="26" s="1"/>
  <c r="C2230" i="26"/>
  <c r="C2232" i="26"/>
  <c r="D2232" i="26"/>
  <c r="E2232" i="26"/>
  <c r="C2233" i="26"/>
  <c r="E2233" i="26"/>
  <c r="G2233" i="26" s="1"/>
  <c r="C2235" i="26"/>
  <c r="C2236" i="26"/>
  <c r="E2236" i="26"/>
  <c r="G2236" i="26" s="1"/>
  <c r="C2237" i="26"/>
  <c r="E2237" i="26"/>
  <c r="G2237" i="26" s="1"/>
  <c r="B2239" i="26"/>
  <c r="C2239" i="26"/>
  <c r="E2239" i="26"/>
  <c r="C2242" i="26"/>
  <c r="C2243" i="26"/>
  <c r="E2243" i="26"/>
  <c r="G2243" i="26" s="1"/>
  <c r="C2244" i="26"/>
  <c r="E2244" i="26"/>
  <c r="G2244" i="26" s="1"/>
  <c r="C2245" i="26"/>
  <c r="E2245" i="26"/>
  <c r="G2245" i="26" s="1"/>
  <c r="C2246" i="26"/>
  <c r="E2246" i="26"/>
  <c r="G2246" i="26" s="1"/>
  <c r="C2248" i="26"/>
  <c r="E2248" i="26" s="1"/>
  <c r="G2248" i="26" s="1"/>
  <c r="C2249" i="26"/>
  <c r="E2249" i="26" s="1"/>
  <c r="G2249" i="26" s="1"/>
  <c r="C2250" i="26"/>
  <c r="E2250" i="26" s="1"/>
  <c r="G2250" i="26" s="1"/>
  <c r="C2251" i="26"/>
  <c r="E2251" i="26" s="1"/>
  <c r="G2251" i="26" s="1"/>
  <c r="C2252" i="26"/>
  <c r="C2254" i="26"/>
  <c r="E2254" i="26"/>
  <c r="G2254" i="26" s="1"/>
  <c r="C2255" i="26"/>
  <c r="E2255" i="26"/>
  <c r="G2255" i="26" s="1"/>
  <c r="C2257" i="26"/>
  <c r="C2258" i="26"/>
  <c r="E2258" i="26"/>
  <c r="G2258" i="26" s="1"/>
  <c r="C2259" i="26"/>
  <c r="E2259" i="26"/>
  <c r="G2259" i="26" s="1"/>
  <c r="B2261" i="26"/>
  <c r="C2261" i="26"/>
  <c r="E2261" i="26"/>
  <c r="C2264" i="26"/>
  <c r="E2264" i="26"/>
  <c r="G2264" i="26" s="1"/>
  <c r="C2265" i="26"/>
  <c r="E2265" i="26"/>
  <c r="G2265" i="26" s="1"/>
  <c r="C2266" i="26"/>
  <c r="E2266" i="26"/>
  <c r="G2266" i="26" s="1"/>
  <c r="C2267" i="26"/>
  <c r="E2267" i="26"/>
  <c r="G2267" i="26" s="1"/>
  <c r="C2268" i="26"/>
  <c r="E2268" i="26"/>
  <c r="G2268" i="26" s="1"/>
  <c r="C2270" i="26"/>
  <c r="E2270" i="26" s="1"/>
  <c r="G2270" i="26" s="1"/>
  <c r="C2271" i="26"/>
  <c r="E2271" i="26" s="1"/>
  <c r="G2271" i="26" s="1"/>
  <c r="C2272" i="26"/>
  <c r="E2272" i="26" s="1"/>
  <c r="G2272" i="26" s="1"/>
  <c r="C2273" i="26"/>
  <c r="E2273" i="26" s="1"/>
  <c r="G2273" i="26" s="1"/>
  <c r="C2274" i="26"/>
  <c r="C2276" i="26"/>
  <c r="E2276" i="26"/>
  <c r="G2276" i="26" s="1"/>
  <c r="C2277" i="26"/>
  <c r="E2277" i="26"/>
  <c r="G2277" i="26" s="1"/>
  <c r="C2279" i="26"/>
  <c r="C2280" i="26"/>
  <c r="E2280" i="26"/>
  <c r="G2280" i="26" s="1"/>
  <c r="C2281" i="26"/>
  <c r="E2281" i="26"/>
  <c r="G2281" i="26" s="1"/>
  <c r="B2283" i="26"/>
  <c r="C2283" i="26"/>
  <c r="E2283" i="26"/>
  <c r="C2286" i="26"/>
  <c r="C2287" i="26"/>
  <c r="E2287" i="26"/>
  <c r="G2287" i="26" s="1"/>
  <c r="C2288" i="26"/>
  <c r="E2288" i="26"/>
  <c r="G2288" i="26" s="1"/>
  <c r="C2289" i="26"/>
  <c r="E2289" i="26"/>
  <c r="G2289" i="26" s="1"/>
  <c r="C2290" i="26"/>
  <c r="E2290" i="26"/>
  <c r="G2290" i="26" s="1"/>
  <c r="C2292" i="26"/>
  <c r="E2292" i="26" s="1"/>
  <c r="G2292" i="26" s="1"/>
  <c r="C2293" i="26"/>
  <c r="E2293" i="26" s="1"/>
  <c r="G2293" i="26" s="1"/>
  <c r="C2294" i="26"/>
  <c r="E2294" i="26" s="1"/>
  <c r="G2294" i="26" s="1"/>
  <c r="C2295" i="26"/>
  <c r="E2295" i="26" s="1"/>
  <c r="G2295" i="26" s="1"/>
  <c r="C2296" i="26"/>
  <c r="C2298" i="26"/>
  <c r="E2298" i="26"/>
  <c r="G2298" i="26" s="1"/>
  <c r="C2299" i="26"/>
  <c r="E2299" i="26"/>
  <c r="G2299" i="26" s="1"/>
  <c r="C2301" i="26"/>
  <c r="C2302" i="26"/>
  <c r="E2302" i="26"/>
  <c r="G2302" i="26" s="1"/>
  <c r="C2303" i="26"/>
  <c r="E2303" i="26"/>
  <c r="G2303" i="26" s="1"/>
  <c r="B2305" i="26"/>
  <c r="C2305" i="26"/>
  <c r="E2305" i="26"/>
  <c r="C2308" i="26"/>
  <c r="E2308" i="26"/>
  <c r="G2308" i="26" s="1"/>
  <c r="C2309" i="26"/>
  <c r="E2309" i="26"/>
  <c r="G2309" i="26" s="1"/>
  <c r="C2310" i="26"/>
  <c r="E2310" i="26"/>
  <c r="G2310" i="26" s="1"/>
  <c r="C2311" i="26"/>
  <c r="E2311" i="26"/>
  <c r="G2311" i="26" s="1"/>
  <c r="C2312" i="26"/>
  <c r="E2312" i="26"/>
  <c r="G2312" i="26" s="1"/>
  <c r="C2314" i="26"/>
  <c r="E2314" i="26" s="1"/>
  <c r="G2314" i="26" s="1"/>
  <c r="C2315" i="26"/>
  <c r="E2315" i="26" s="1"/>
  <c r="G2315" i="26" s="1"/>
  <c r="C2316" i="26"/>
  <c r="E2316" i="26" s="1"/>
  <c r="G2316" i="26" s="1"/>
  <c r="C2317" i="26"/>
  <c r="E2317" i="26" s="1"/>
  <c r="G2317" i="26" s="1"/>
  <c r="C2318" i="26"/>
  <c r="C2320" i="26"/>
  <c r="E2320" i="26"/>
  <c r="G2320" i="26" s="1"/>
  <c r="C2321" i="26"/>
  <c r="E2321" i="26"/>
  <c r="G2321" i="26" s="1"/>
  <c r="C2323" i="26"/>
  <c r="C2324" i="26"/>
  <c r="E2324" i="26"/>
  <c r="G2324" i="26" s="1"/>
  <c r="C2325" i="26"/>
  <c r="E2325" i="26"/>
  <c r="G2325" i="26" s="1"/>
  <c r="B2327" i="26"/>
  <c r="C2327" i="26"/>
  <c r="E2327" i="26"/>
  <c r="C2330" i="26"/>
  <c r="C2331" i="26"/>
  <c r="E2331" i="26"/>
  <c r="G2331" i="26" s="1"/>
  <c r="C2332" i="26"/>
  <c r="E2332" i="26"/>
  <c r="G2332" i="26" s="1"/>
  <c r="C2333" i="26"/>
  <c r="E2333" i="26"/>
  <c r="G2333" i="26" s="1"/>
  <c r="C2334" i="26"/>
  <c r="E2334" i="26"/>
  <c r="G2334" i="26" s="1"/>
  <c r="C2336" i="26"/>
  <c r="E2336" i="26" s="1"/>
  <c r="G2336" i="26" s="1"/>
  <c r="C2337" i="26"/>
  <c r="E2337" i="26" s="1"/>
  <c r="G2337" i="26" s="1"/>
  <c r="C2338" i="26"/>
  <c r="E2338" i="26" s="1"/>
  <c r="G2338" i="26" s="1"/>
  <c r="C2339" i="26"/>
  <c r="E2339" i="26" s="1"/>
  <c r="G2339" i="26" s="1"/>
  <c r="C2340" i="26"/>
  <c r="C2342" i="26"/>
  <c r="E2342" i="26"/>
  <c r="G2342" i="26" s="1"/>
  <c r="C2343" i="26"/>
  <c r="E2343" i="26"/>
  <c r="G2343" i="26" s="1"/>
  <c r="C2345" i="26"/>
  <c r="C2346" i="26"/>
  <c r="E2346" i="26"/>
  <c r="G2346" i="26" s="1"/>
  <c r="C2347" i="26"/>
  <c r="E2347" i="26"/>
  <c r="G2347" i="26" s="1"/>
  <c r="B2349" i="26"/>
  <c r="C2349" i="26"/>
  <c r="E2349" i="26"/>
  <c r="C2352" i="26"/>
  <c r="E2352" i="26"/>
  <c r="G2352" i="26" s="1"/>
  <c r="C2353" i="26"/>
  <c r="E2353" i="26"/>
  <c r="G2353" i="26" s="1"/>
  <c r="C2354" i="26"/>
  <c r="E2354" i="26"/>
  <c r="G2354" i="26" s="1"/>
  <c r="C2355" i="26"/>
  <c r="E2355" i="26"/>
  <c r="G2355" i="26" s="1"/>
  <c r="C2356" i="26"/>
  <c r="E2356" i="26"/>
  <c r="G2356" i="26" s="1"/>
  <c r="C2358" i="26"/>
  <c r="E2358" i="26" s="1"/>
  <c r="G2358" i="26" s="1"/>
  <c r="C2359" i="26"/>
  <c r="E2359" i="26" s="1"/>
  <c r="G2359" i="26" s="1"/>
  <c r="C2360" i="26"/>
  <c r="E2360" i="26" s="1"/>
  <c r="G2360" i="26" s="1"/>
  <c r="C2361" i="26"/>
  <c r="E2361" i="26" s="1"/>
  <c r="G2361" i="26" s="1"/>
  <c r="C2362" i="26"/>
  <c r="C2364" i="26"/>
  <c r="E2364" i="26"/>
  <c r="G2364" i="26" s="1"/>
  <c r="C2365" i="26"/>
  <c r="E2365" i="26"/>
  <c r="G2365" i="26" s="1"/>
  <c r="C2367" i="26"/>
  <c r="C2368" i="26"/>
  <c r="E2368" i="26"/>
  <c r="G2368" i="26" s="1"/>
  <c r="C2369" i="26"/>
  <c r="E2369" i="26"/>
  <c r="G2369" i="26" s="1"/>
  <c r="B2371" i="26"/>
  <c r="C2371" i="26"/>
  <c r="E2371" i="26"/>
  <c r="C2374" i="26"/>
  <c r="C2375" i="26"/>
  <c r="E2375" i="26"/>
  <c r="G2375" i="26" s="1"/>
  <c r="C2376" i="26"/>
  <c r="E2376" i="26"/>
  <c r="G2376" i="26" s="1"/>
  <c r="C2377" i="26"/>
  <c r="E2377" i="26"/>
  <c r="G2377" i="26" s="1"/>
  <c r="C2378" i="26"/>
  <c r="E2378" i="26"/>
  <c r="G2378" i="26" s="1"/>
  <c r="C2380" i="26"/>
  <c r="E2380" i="26" s="1"/>
  <c r="G2380" i="26" s="1"/>
  <c r="C2381" i="26"/>
  <c r="E2381" i="26" s="1"/>
  <c r="G2381" i="26" s="1"/>
  <c r="C2382" i="26"/>
  <c r="E2382" i="26" s="1"/>
  <c r="G2382" i="26" s="1"/>
  <c r="C2383" i="26"/>
  <c r="E2383" i="26" s="1"/>
  <c r="G2383" i="26" s="1"/>
  <c r="C2384" i="26"/>
  <c r="C2386" i="26"/>
  <c r="E2386" i="26"/>
  <c r="G2386" i="26" s="1"/>
  <c r="C2387" i="26"/>
  <c r="E2387" i="26"/>
  <c r="G2387" i="26" s="1"/>
  <c r="C2389" i="26"/>
  <c r="C2390" i="26"/>
  <c r="E2390" i="26"/>
  <c r="G2390" i="26" s="1"/>
  <c r="C2391" i="26"/>
  <c r="E2391" i="26"/>
  <c r="G2391" i="26" s="1"/>
  <c r="B2393" i="26"/>
  <c r="C2393" i="26"/>
  <c r="E2393" i="26"/>
  <c r="C2396" i="26"/>
  <c r="E2396" i="26"/>
  <c r="G2396" i="26" s="1"/>
  <c r="C2397" i="26"/>
  <c r="E2397" i="26"/>
  <c r="G2397" i="26" s="1"/>
  <c r="C2398" i="26"/>
  <c r="E2398" i="26"/>
  <c r="G2398" i="26" s="1"/>
  <c r="C2399" i="26"/>
  <c r="E2399" i="26"/>
  <c r="G2399" i="26" s="1"/>
  <c r="C2400" i="26"/>
  <c r="E2400" i="26"/>
  <c r="G2400" i="26" s="1"/>
  <c r="C2402" i="26"/>
  <c r="E2402" i="26" s="1"/>
  <c r="G2402" i="26" s="1"/>
  <c r="C2403" i="26"/>
  <c r="E2403" i="26" s="1"/>
  <c r="G2403" i="26" s="1"/>
  <c r="C2404" i="26"/>
  <c r="E2404" i="26" s="1"/>
  <c r="G2404" i="26" s="1"/>
  <c r="C2405" i="26"/>
  <c r="E2405" i="26" s="1"/>
  <c r="G2405" i="26" s="1"/>
  <c r="C2406" i="26"/>
  <c r="C2408" i="26"/>
  <c r="E2408" i="26"/>
  <c r="G2408" i="26" s="1"/>
  <c r="C2409" i="26"/>
  <c r="E2409" i="26"/>
  <c r="G2409" i="26" s="1"/>
  <c r="C2411" i="26"/>
  <c r="C2412" i="26"/>
  <c r="E2412" i="26"/>
  <c r="G2412" i="26" s="1"/>
  <c r="C2413" i="26"/>
  <c r="E2413" i="26"/>
  <c r="G2413" i="26" s="1"/>
  <c r="B2415" i="26"/>
  <c r="C2415" i="26"/>
  <c r="E2415" i="26"/>
  <c r="C2418" i="26"/>
  <c r="E2418" i="26"/>
  <c r="G2418" i="26" s="1"/>
  <c r="C2419" i="26"/>
  <c r="E2419" i="26"/>
  <c r="G2419" i="26" s="1"/>
  <c r="C2420" i="26"/>
  <c r="E2420" i="26"/>
  <c r="G2420" i="26" s="1"/>
  <c r="C2421" i="26"/>
  <c r="E2421" i="26"/>
  <c r="G2421" i="26" s="1"/>
  <c r="C2422" i="26"/>
  <c r="E2422" i="26"/>
  <c r="G2422" i="26" s="1"/>
  <c r="C2424" i="26"/>
  <c r="E2424" i="26" s="1"/>
  <c r="G2424" i="26" s="1"/>
  <c r="C2425" i="26"/>
  <c r="E2425" i="26" s="1"/>
  <c r="G2425" i="26" s="1"/>
  <c r="C2426" i="26"/>
  <c r="E2426" i="26" s="1"/>
  <c r="G2426" i="26" s="1"/>
  <c r="C2427" i="26"/>
  <c r="E2427" i="26" s="1"/>
  <c r="G2427" i="26" s="1"/>
  <c r="C2428" i="26"/>
  <c r="C2430" i="26"/>
  <c r="E2430" i="26"/>
  <c r="G2430" i="26" s="1"/>
  <c r="C2431" i="26"/>
  <c r="E2431" i="26"/>
  <c r="G2431" i="26" s="1"/>
  <c r="C2433" i="26"/>
  <c r="C2434" i="26"/>
  <c r="E2434" i="26"/>
  <c r="G2434" i="26" s="1"/>
  <c r="C2435" i="26"/>
  <c r="E2435" i="26"/>
  <c r="G2435" i="26" s="1"/>
  <c r="B2437" i="26"/>
  <c r="C2437" i="26"/>
  <c r="E2437" i="26"/>
  <c r="C2440" i="26"/>
  <c r="E2440" i="26"/>
  <c r="G2440" i="26" s="1"/>
  <c r="C2441" i="26"/>
  <c r="E2441" i="26"/>
  <c r="G2441" i="26" s="1"/>
  <c r="C2442" i="26"/>
  <c r="E2442" i="26"/>
  <c r="G2442" i="26" s="1"/>
  <c r="C2443" i="26"/>
  <c r="E2443" i="26"/>
  <c r="G2443" i="26" s="1"/>
  <c r="C2444" i="26"/>
  <c r="E2444" i="26"/>
  <c r="G2444" i="26" s="1"/>
  <c r="C2446" i="26"/>
  <c r="E2446" i="26" s="1"/>
  <c r="G2446" i="26" s="1"/>
  <c r="C2447" i="26"/>
  <c r="E2447" i="26" s="1"/>
  <c r="G2447" i="26" s="1"/>
  <c r="C2448" i="26"/>
  <c r="E2448" i="26" s="1"/>
  <c r="G2448" i="26" s="1"/>
  <c r="C2449" i="26"/>
  <c r="E2449" i="26" s="1"/>
  <c r="G2449" i="26" s="1"/>
  <c r="C2450" i="26"/>
  <c r="C2452" i="26"/>
  <c r="E2452" i="26"/>
  <c r="G2452" i="26" s="1"/>
  <c r="C2453" i="26"/>
  <c r="E2453" i="26"/>
  <c r="G2453" i="26" s="1"/>
  <c r="C2455" i="26"/>
  <c r="C2456" i="26"/>
  <c r="E2456" i="26"/>
  <c r="G2456" i="26" s="1"/>
  <c r="C2457" i="26"/>
  <c r="E2457" i="26"/>
  <c r="G2457" i="26" s="1"/>
  <c r="B2459" i="26"/>
  <c r="C2459" i="26"/>
  <c r="E2459" i="26"/>
  <c r="C2462" i="26"/>
  <c r="E2462" i="26"/>
  <c r="G2462" i="26" s="1"/>
  <c r="C2463" i="26"/>
  <c r="E2463" i="26"/>
  <c r="G2463" i="26" s="1"/>
  <c r="C2464" i="26"/>
  <c r="E2464" i="26"/>
  <c r="G2464" i="26" s="1"/>
  <c r="C2465" i="26"/>
  <c r="E2465" i="26"/>
  <c r="G2465" i="26" s="1"/>
  <c r="C2466" i="26"/>
  <c r="E2466" i="26"/>
  <c r="G2466" i="26" s="1"/>
  <c r="C2468" i="26"/>
  <c r="E2468" i="26" s="1"/>
  <c r="G2468" i="26" s="1"/>
  <c r="C2469" i="26"/>
  <c r="E2469" i="26" s="1"/>
  <c r="G2469" i="26" s="1"/>
  <c r="C2470" i="26"/>
  <c r="E2470" i="26" s="1"/>
  <c r="G2470" i="26" s="1"/>
  <c r="C2471" i="26"/>
  <c r="E2471" i="26" s="1"/>
  <c r="G2471" i="26" s="1"/>
  <c r="C2472" i="26"/>
  <c r="C2474" i="26"/>
  <c r="E2474" i="26"/>
  <c r="G2474" i="26" s="1"/>
  <c r="C2475" i="26"/>
  <c r="E2475" i="26"/>
  <c r="G2475" i="26" s="1"/>
  <c r="C2477" i="26"/>
  <c r="C2478" i="26"/>
  <c r="E2478" i="26"/>
  <c r="G2478" i="26" s="1"/>
  <c r="C2479" i="26"/>
  <c r="E2479" i="26"/>
  <c r="G2479" i="26" s="1"/>
  <c r="B2481" i="26"/>
  <c r="C2481" i="26"/>
  <c r="E2481" i="26"/>
  <c r="C2484" i="26"/>
  <c r="E2484" i="26"/>
  <c r="G2484" i="26" s="1"/>
  <c r="C2485" i="26"/>
  <c r="E2485" i="26"/>
  <c r="G2485" i="26" s="1"/>
  <c r="C2486" i="26"/>
  <c r="E2486" i="26"/>
  <c r="G2486" i="26" s="1"/>
  <c r="C2487" i="26"/>
  <c r="E2487" i="26"/>
  <c r="G2487" i="26" s="1"/>
  <c r="C2488" i="26"/>
  <c r="E2488" i="26"/>
  <c r="G2488" i="26" s="1"/>
  <c r="C2490" i="26"/>
  <c r="E2490" i="26" s="1"/>
  <c r="G2490" i="26" s="1"/>
  <c r="C2491" i="26"/>
  <c r="E2491" i="26" s="1"/>
  <c r="G2491" i="26" s="1"/>
  <c r="C2492" i="26"/>
  <c r="E2492" i="26" s="1"/>
  <c r="G2492" i="26" s="1"/>
  <c r="C2493" i="26"/>
  <c r="E2493" i="26" s="1"/>
  <c r="G2493" i="26" s="1"/>
  <c r="C2494" i="26"/>
  <c r="C2496" i="26"/>
  <c r="E2496" i="26"/>
  <c r="G2496" i="26" s="1"/>
  <c r="C2497" i="26"/>
  <c r="E2497" i="26"/>
  <c r="G2497" i="26" s="1"/>
  <c r="C2499" i="26"/>
  <c r="C2500" i="26"/>
  <c r="E2500" i="26"/>
  <c r="G2500" i="26" s="1"/>
  <c r="C2501" i="26"/>
  <c r="E2501" i="26"/>
  <c r="G2501" i="26" s="1"/>
  <c r="B2503" i="26"/>
  <c r="C2503" i="26"/>
  <c r="E2503" i="26"/>
  <c r="C2506" i="26"/>
  <c r="E2506" i="26"/>
  <c r="G2506" i="26" s="1"/>
  <c r="C2507" i="26"/>
  <c r="E2507" i="26"/>
  <c r="G2507" i="26" s="1"/>
  <c r="C2508" i="26"/>
  <c r="E2508" i="26"/>
  <c r="G2508" i="26" s="1"/>
  <c r="C2509" i="26"/>
  <c r="E2509" i="26"/>
  <c r="G2509" i="26" s="1"/>
  <c r="C2510" i="26"/>
  <c r="E2510" i="26"/>
  <c r="G2510" i="26" s="1"/>
  <c r="C2512" i="26"/>
  <c r="E2512" i="26" s="1"/>
  <c r="G2512" i="26" s="1"/>
  <c r="C2513" i="26"/>
  <c r="E2513" i="26" s="1"/>
  <c r="G2513" i="26" s="1"/>
  <c r="C2514" i="26"/>
  <c r="E2514" i="26" s="1"/>
  <c r="G2514" i="26" s="1"/>
  <c r="C2515" i="26"/>
  <c r="E2515" i="26" s="1"/>
  <c r="G2515" i="26" s="1"/>
  <c r="C2516" i="26"/>
  <c r="C2518" i="26"/>
  <c r="E2518" i="26"/>
  <c r="G2518" i="26" s="1"/>
  <c r="C2519" i="26"/>
  <c r="E2519" i="26"/>
  <c r="G2519" i="26" s="1"/>
  <c r="C2521" i="26"/>
  <c r="C2522" i="26"/>
  <c r="E2522" i="26"/>
  <c r="G2522" i="26" s="1"/>
  <c r="C2523" i="26"/>
  <c r="E2523" i="26"/>
  <c r="G2523" i="26" s="1"/>
  <c r="B2525" i="26"/>
  <c r="C2525" i="26"/>
  <c r="E2525" i="26"/>
  <c r="C2528" i="26"/>
  <c r="E2528" i="26"/>
  <c r="G2528" i="26" s="1"/>
  <c r="C2529" i="26"/>
  <c r="E2529" i="26"/>
  <c r="G2529" i="26" s="1"/>
  <c r="C2530" i="26"/>
  <c r="E2530" i="26"/>
  <c r="G2530" i="26" s="1"/>
  <c r="C2531" i="26"/>
  <c r="E2531" i="26"/>
  <c r="G2531" i="26" s="1"/>
  <c r="C2532" i="26"/>
  <c r="E2532" i="26"/>
  <c r="G2532" i="26" s="1"/>
  <c r="C2534" i="26"/>
  <c r="E2534" i="26" s="1"/>
  <c r="G2534" i="26" s="1"/>
  <c r="C2535" i="26"/>
  <c r="E2535" i="26" s="1"/>
  <c r="G2535" i="26" s="1"/>
  <c r="C2536" i="26"/>
  <c r="E2536" i="26" s="1"/>
  <c r="G2536" i="26" s="1"/>
  <c r="C2537" i="26"/>
  <c r="E2537" i="26" s="1"/>
  <c r="G2537" i="26" s="1"/>
  <c r="C2538" i="26"/>
  <c r="C2540" i="26"/>
  <c r="E2540" i="26"/>
  <c r="G2540" i="26" s="1"/>
  <c r="C2541" i="26"/>
  <c r="E2541" i="26"/>
  <c r="G2541" i="26" s="1"/>
  <c r="C2543" i="26"/>
  <c r="C2544" i="26"/>
  <c r="E2544" i="26"/>
  <c r="G2544" i="26" s="1"/>
  <c r="C2545" i="26"/>
  <c r="E2545" i="26"/>
  <c r="G2545" i="26" s="1"/>
  <c r="B2547" i="26"/>
  <c r="C2547" i="26"/>
  <c r="E2547" i="26"/>
  <c r="C2550" i="26"/>
  <c r="E2550" i="26"/>
  <c r="G2550" i="26" s="1"/>
  <c r="C2551" i="26"/>
  <c r="E2551" i="26"/>
  <c r="G2551" i="26" s="1"/>
  <c r="C2552" i="26"/>
  <c r="E2552" i="26"/>
  <c r="G2552" i="26" s="1"/>
  <c r="C2553" i="26"/>
  <c r="E2553" i="26"/>
  <c r="G2553" i="26" s="1"/>
  <c r="C2554" i="26"/>
  <c r="E2554" i="26"/>
  <c r="G2554" i="26" s="1"/>
  <c r="C2556" i="26"/>
  <c r="E2556" i="26" s="1"/>
  <c r="G2556" i="26" s="1"/>
  <c r="C2557" i="26"/>
  <c r="E2557" i="26" s="1"/>
  <c r="G2557" i="26" s="1"/>
  <c r="C2558" i="26"/>
  <c r="E2558" i="26" s="1"/>
  <c r="G2558" i="26" s="1"/>
  <c r="C2559" i="26"/>
  <c r="E2559" i="26" s="1"/>
  <c r="G2559" i="26" s="1"/>
  <c r="C2560" i="26"/>
  <c r="C2562" i="26"/>
  <c r="E2562" i="26"/>
  <c r="G2562" i="26" s="1"/>
  <c r="C2563" i="26"/>
  <c r="E2563" i="26"/>
  <c r="G2563" i="26" s="1"/>
  <c r="C2565" i="26"/>
  <c r="C2566" i="26"/>
  <c r="E2566" i="26"/>
  <c r="G2566" i="26" s="1"/>
  <c r="C2567" i="26"/>
  <c r="E2567" i="26"/>
  <c r="G2567" i="26" s="1"/>
  <c r="B2569" i="26"/>
  <c r="C2569" i="26"/>
  <c r="E2569" i="26"/>
  <c r="C2572" i="26"/>
  <c r="E2572" i="26"/>
  <c r="G2572" i="26" s="1"/>
  <c r="C2573" i="26"/>
  <c r="E2573" i="26"/>
  <c r="G2573" i="26" s="1"/>
  <c r="C2574" i="26"/>
  <c r="E2574" i="26"/>
  <c r="G2574" i="26" s="1"/>
  <c r="C2575" i="26"/>
  <c r="E2575" i="26"/>
  <c r="G2575" i="26" s="1"/>
  <c r="C2576" i="26"/>
  <c r="E2576" i="26"/>
  <c r="G2576" i="26" s="1"/>
  <c r="C2578" i="26"/>
  <c r="E2578" i="26" s="1"/>
  <c r="G2578" i="26" s="1"/>
  <c r="C2579" i="26"/>
  <c r="E2579" i="26" s="1"/>
  <c r="G2579" i="26" s="1"/>
  <c r="C2580" i="26"/>
  <c r="E2580" i="26" s="1"/>
  <c r="G2580" i="26" s="1"/>
  <c r="C2581" i="26"/>
  <c r="E2581" i="26" s="1"/>
  <c r="G2581" i="26" s="1"/>
  <c r="C2582" i="26"/>
  <c r="C2584" i="26"/>
  <c r="E2584" i="26"/>
  <c r="G2584" i="26" s="1"/>
  <c r="C2585" i="26"/>
  <c r="E2585" i="26"/>
  <c r="G2585" i="26" s="1"/>
  <c r="C2587" i="26"/>
  <c r="C2588" i="26"/>
  <c r="E2588" i="26"/>
  <c r="G2588" i="26" s="1"/>
  <c r="C2589" i="26"/>
  <c r="E2589" i="26"/>
  <c r="G2589" i="26" s="1"/>
  <c r="B2591" i="26"/>
  <c r="C2591" i="26"/>
  <c r="E2591" i="26"/>
  <c r="C2594" i="26"/>
  <c r="E2594" i="26"/>
  <c r="G2594" i="26" s="1"/>
  <c r="C2595" i="26"/>
  <c r="E2595" i="26"/>
  <c r="G2595" i="26" s="1"/>
  <c r="C2596" i="26"/>
  <c r="E2596" i="26"/>
  <c r="G2596" i="26" s="1"/>
  <c r="C2597" i="26"/>
  <c r="E2597" i="26"/>
  <c r="G2597" i="26" s="1"/>
  <c r="C2598" i="26"/>
  <c r="E2598" i="26"/>
  <c r="G2598" i="26" s="1"/>
  <c r="C2600" i="26"/>
  <c r="E2600" i="26" s="1"/>
  <c r="G2600" i="26" s="1"/>
  <c r="C2601" i="26"/>
  <c r="E2601" i="26" s="1"/>
  <c r="G2601" i="26" s="1"/>
  <c r="C2602" i="26"/>
  <c r="E2602" i="26" s="1"/>
  <c r="G2602" i="26" s="1"/>
  <c r="C2603" i="26"/>
  <c r="E2603" i="26" s="1"/>
  <c r="G2603" i="26" s="1"/>
  <c r="C2604" i="26"/>
  <c r="C2606" i="26"/>
  <c r="E2606" i="26"/>
  <c r="G2606" i="26" s="1"/>
  <c r="C2607" i="26"/>
  <c r="E2607" i="26"/>
  <c r="G2607" i="26" s="1"/>
  <c r="C2609" i="26"/>
  <c r="C2610" i="26"/>
  <c r="E2610" i="26"/>
  <c r="G2610" i="26" s="1"/>
  <c r="C2611" i="26"/>
  <c r="E2611" i="26"/>
  <c r="G2611" i="26" s="1"/>
  <c r="B2613" i="26"/>
  <c r="C2613" i="26"/>
  <c r="E2613" i="26"/>
  <c r="C2616" i="26"/>
  <c r="E2616" i="26"/>
  <c r="G2616" i="26" s="1"/>
  <c r="C2617" i="26"/>
  <c r="E2617" i="26"/>
  <c r="G2617" i="26" s="1"/>
  <c r="C2618" i="26"/>
  <c r="E2618" i="26"/>
  <c r="G2618" i="26" s="1"/>
  <c r="C2619" i="26"/>
  <c r="E2619" i="26"/>
  <c r="G2619" i="26" s="1"/>
  <c r="C2620" i="26"/>
  <c r="E2620" i="26"/>
  <c r="G2620" i="26" s="1"/>
  <c r="C2622" i="26"/>
  <c r="E2622" i="26" s="1"/>
  <c r="G2622" i="26" s="1"/>
  <c r="C2623" i="26"/>
  <c r="E2623" i="26" s="1"/>
  <c r="G2623" i="26" s="1"/>
  <c r="C2624" i="26"/>
  <c r="E2624" i="26" s="1"/>
  <c r="G2624" i="26" s="1"/>
  <c r="C2625" i="26"/>
  <c r="E2625" i="26" s="1"/>
  <c r="G2625" i="26" s="1"/>
  <c r="C2626" i="26"/>
  <c r="C2628" i="26"/>
  <c r="E2628" i="26"/>
  <c r="G2628" i="26" s="1"/>
  <c r="C2629" i="26"/>
  <c r="E2629" i="26"/>
  <c r="G2629" i="26" s="1"/>
  <c r="C2631" i="26"/>
  <c r="C2632" i="26"/>
  <c r="E2632" i="26"/>
  <c r="G2632" i="26" s="1"/>
  <c r="C2633" i="26"/>
  <c r="E2633" i="26"/>
  <c r="G2633" i="26" s="1"/>
  <c r="B2635" i="26"/>
  <c r="C2635" i="26"/>
  <c r="E2635" i="26"/>
  <c r="C2638" i="26"/>
  <c r="D2638" i="26"/>
  <c r="C2639" i="26"/>
  <c r="D2639" i="26"/>
  <c r="C2640" i="26"/>
  <c r="C2641" i="26"/>
  <c r="E2641" i="26"/>
  <c r="G2641" i="26" s="1"/>
  <c r="C2642" i="26"/>
  <c r="E2642" i="26"/>
  <c r="G2642" i="26" s="1"/>
  <c r="C2644" i="26"/>
  <c r="E2644" i="26" s="1"/>
  <c r="G2644" i="26" s="1"/>
  <c r="C2645" i="26"/>
  <c r="C2646" i="26"/>
  <c r="C2648" i="26"/>
  <c r="E2648" i="26"/>
  <c r="G2648" i="26" s="1"/>
  <c r="C2649" i="26"/>
  <c r="E2649" i="26"/>
  <c r="G2649" i="26" s="1"/>
  <c r="C2651" i="26"/>
  <c r="C2652" i="26"/>
  <c r="E2652" i="26"/>
  <c r="G2652" i="26" s="1"/>
  <c r="C2653" i="26"/>
  <c r="E2653" i="26"/>
  <c r="G2653" i="26" s="1"/>
  <c r="B2655" i="26"/>
  <c r="C2655" i="26"/>
  <c r="E2655" i="26"/>
  <c r="C2658" i="26"/>
  <c r="E2658" i="26"/>
  <c r="G2658" i="26" s="1"/>
  <c r="C2659" i="26"/>
  <c r="E2659" i="26"/>
  <c r="G2659" i="26" s="1"/>
  <c r="C2660" i="26"/>
  <c r="E2660" i="26"/>
  <c r="G2660" i="26" s="1"/>
  <c r="C2661" i="26"/>
  <c r="E2661" i="26"/>
  <c r="G2661" i="26" s="1"/>
  <c r="C2662" i="26"/>
  <c r="E2662" i="26"/>
  <c r="G2662" i="26" s="1"/>
  <c r="C2664" i="26"/>
  <c r="C2665" i="26"/>
  <c r="E2665" i="26" s="1"/>
  <c r="G2665" i="26" s="1"/>
  <c r="C2666" i="26"/>
  <c r="E2666" i="26" s="1"/>
  <c r="G2666" i="26" s="1"/>
  <c r="C2668" i="26"/>
  <c r="E2668" i="26"/>
  <c r="G2668" i="26" s="1"/>
  <c r="C2669" i="26"/>
  <c r="E2669" i="26"/>
  <c r="G2669" i="26" s="1"/>
  <c r="C2671" i="26"/>
  <c r="C2672" i="26"/>
  <c r="E2672" i="26"/>
  <c r="G2672" i="26" s="1"/>
  <c r="C2673" i="26"/>
  <c r="E2673" i="26"/>
  <c r="G2673" i="26" s="1"/>
  <c r="B2675" i="26"/>
  <c r="C2675" i="26"/>
  <c r="E2675" i="26"/>
  <c r="C2678" i="26"/>
  <c r="E2678" i="26"/>
  <c r="G2678" i="26" s="1"/>
  <c r="C2679" i="26"/>
  <c r="E2679" i="26"/>
  <c r="G2679" i="26" s="1"/>
  <c r="C2680" i="26"/>
  <c r="E2680" i="26"/>
  <c r="G2680" i="26" s="1"/>
  <c r="C2681" i="26"/>
  <c r="E2681" i="26"/>
  <c r="G2681" i="26" s="1"/>
  <c r="C2682" i="26"/>
  <c r="E2682" i="26"/>
  <c r="G2682" i="26" s="1"/>
  <c r="C2684" i="26"/>
  <c r="E2684" i="26" s="1"/>
  <c r="G2684" i="26" s="1"/>
  <c r="C2685" i="26"/>
  <c r="C2686" i="26"/>
  <c r="E2686" i="26" s="1"/>
  <c r="G2686" i="26" s="1"/>
  <c r="C2688" i="26"/>
  <c r="E2688" i="26"/>
  <c r="G2688" i="26" s="1"/>
  <c r="C2689" i="26"/>
  <c r="E2689" i="26"/>
  <c r="G2689" i="26" s="1"/>
  <c r="C2691" i="26"/>
  <c r="C2692" i="26"/>
  <c r="E2692" i="26"/>
  <c r="G2692" i="26" s="1"/>
  <c r="C2693" i="26"/>
  <c r="E2693" i="26"/>
  <c r="G2693" i="26" s="1"/>
  <c r="B2695" i="26"/>
  <c r="C2695" i="26"/>
  <c r="E2695" i="26"/>
  <c r="C2698" i="26"/>
  <c r="E2698" i="26"/>
  <c r="G2698" i="26" s="1"/>
  <c r="C2699" i="26"/>
  <c r="E2699" i="26"/>
  <c r="G2699" i="26" s="1"/>
  <c r="C2700" i="26"/>
  <c r="E2700" i="26"/>
  <c r="G2700" i="26" s="1"/>
  <c r="C2701" i="26"/>
  <c r="E2701" i="26"/>
  <c r="G2701" i="26" s="1"/>
  <c r="C2702" i="26"/>
  <c r="E2702" i="26"/>
  <c r="G2702" i="26" s="1"/>
  <c r="C2704" i="26"/>
  <c r="C2705" i="26"/>
  <c r="E2705" i="26" s="1"/>
  <c r="G2705" i="26" s="1"/>
  <c r="C2706" i="26"/>
  <c r="E2706" i="26" s="1"/>
  <c r="G2706" i="26" s="1"/>
  <c r="C2708" i="26"/>
  <c r="E2708" i="26"/>
  <c r="G2708" i="26" s="1"/>
  <c r="C2709" i="26"/>
  <c r="E2709" i="26"/>
  <c r="G2709" i="26" s="1"/>
  <c r="C2711" i="26"/>
  <c r="C2712" i="26"/>
  <c r="E2712" i="26"/>
  <c r="G2712" i="26" s="1"/>
  <c r="C2713" i="26"/>
  <c r="E2713" i="26"/>
  <c r="G2713" i="26" s="1"/>
  <c r="B1637" i="26"/>
  <c r="C1637" i="26"/>
  <c r="E1637" i="26"/>
  <c r="C1640" i="26"/>
  <c r="E1640" i="26"/>
  <c r="G1640" i="26" s="1"/>
  <c r="C1641" i="26"/>
  <c r="E1641" i="26"/>
  <c r="G1641" i="26" s="1"/>
  <c r="C1642" i="26"/>
  <c r="E1642" i="26"/>
  <c r="G1642" i="26" s="1"/>
  <c r="C1643" i="26"/>
  <c r="E1643" i="26"/>
  <c r="G1643" i="26" s="1"/>
  <c r="C1644" i="26"/>
  <c r="E1644" i="26"/>
  <c r="G1644" i="26" s="1"/>
  <c r="C1646" i="26"/>
  <c r="E1646" i="26" s="1"/>
  <c r="G1646" i="26" s="1"/>
  <c r="C1647" i="26"/>
  <c r="E1647" i="26" s="1"/>
  <c r="G1647" i="26" s="1"/>
  <c r="C1648" i="26"/>
  <c r="E1648" i="26" s="1"/>
  <c r="G1648" i="26" s="1"/>
  <c r="C1650" i="26"/>
  <c r="E1650" i="26"/>
  <c r="G1650" i="26" s="1"/>
  <c r="C1651" i="26"/>
  <c r="E1651" i="26"/>
  <c r="G1651" i="26" s="1"/>
  <c r="C1653" i="26"/>
  <c r="C1654" i="26"/>
  <c r="E1654" i="26"/>
  <c r="G1654" i="26" s="1"/>
  <c r="C1655" i="26"/>
  <c r="E1655" i="26"/>
  <c r="G1655" i="26" s="1"/>
  <c r="B1657" i="26"/>
  <c r="C1657" i="26"/>
  <c r="E1657" i="26"/>
  <c r="C1660" i="26"/>
  <c r="E1660" i="26"/>
  <c r="G1660" i="26" s="1"/>
  <c r="C1661" i="26"/>
  <c r="E1661" i="26"/>
  <c r="G1661" i="26" s="1"/>
  <c r="C1662" i="26"/>
  <c r="E1662" i="26"/>
  <c r="G1662" i="26" s="1"/>
  <c r="C1663" i="26"/>
  <c r="E1663" i="26"/>
  <c r="G1663" i="26" s="1"/>
  <c r="C1664" i="26"/>
  <c r="E1664" i="26"/>
  <c r="G1664" i="26" s="1"/>
  <c r="C1666" i="26"/>
  <c r="E1666" i="26" s="1"/>
  <c r="G1666" i="26" s="1"/>
  <c r="C1667" i="26"/>
  <c r="E1667" i="26" s="1"/>
  <c r="G1667" i="26" s="1"/>
  <c r="C1668" i="26"/>
  <c r="E1668" i="26" s="1"/>
  <c r="G1668" i="26" s="1"/>
  <c r="C1670" i="26"/>
  <c r="E1670" i="26"/>
  <c r="G1670" i="26" s="1"/>
  <c r="C1671" i="26"/>
  <c r="E1671" i="26"/>
  <c r="G1671" i="26" s="1"/>
  <c r="C1673" i="26"/>
  <c r="C1674" i="26"/>
  <c r="E1674" i="26"/>
  <c r="G1674" i="26" s="1"/>
  <c r="C1675" i="26"/>
  <c r="E1675" i="26"/>
  <c r="G1675" i="26" s="1"/>
  <c r="B1677" i="26"/>
  <c r="C1677" i="26"/>
  <c r="E1677" i="26"/>
  <c r="C1680" i="26"/>
  <c r="E1680" i="26"/>
  <c r="G1680" i="26" s="1"/>
  <c r="C1681" i="26"/>
  <c r="E1681" i="26"/>
  <c r="G1681" i="26" s="1"/>
  <c r="C1682" i="26"/>
  <c r="E1682" i="26"/>
  <c r="G1682" i="26" s="1"/>
  <c r="C1683" i="26"/>
  <c r="E1683" i="26"/>
  <c r="G1683" i="26" s="1"/>
  <c r="C1684" i="26"/>
  <c r="E1684" i="26"/>
  <c r="G1684" i="26" s="1"/>
  <c r="C1686" i="26"/>
  <c r="E1686" i="26" s="1"/>
  <c r="G1686" i="26" s="1"/>
  <c r="C1687" i="26"/>
  <c r="E1687" i="26" s="1"/>
  <c r="G1687" i="26" s="1"/>
  <c r="C1688" i="26"/>
  <c r="E1688" i="26" s="1"/>
  <c r="G1688" i="26" s="1"/>
  <c r="C1690" i="26"/>
  <c r="D1690" i="26"/>
  <c r="E1690" i="26"/>
  <c r="C1691" i="26"/>
  <c r="E1691" i="26"/>
  <c r="G1691" i="26" s="1"/>
  <c r="C1693" i="26"/>
  <c r="C1694" i="26"/>
  <c r="E1694" i="26"/>
  <c r="G1694" i="26" s="1"/>
  <c r="C1695" i="26"/>
  <c r="E1695" i="26"/>
  <c r="G1695" i="26" s="1"/>
  <c r="B1697" i="26"/>
  <c r="C1697" i="26"/>
  <c r="E1697" i="26"/>
  <c r="C1700" i="26"/>
  <c r="E1700" i="26"/>
  <c r="G1700" i="26" s="1"/>
  <c r="C1701" i="26"/>
  <c r="E1701" i="26"/>
  <c r="G1701" i="26" s="1"/>
  <c r="C1702" i="26"/>
  <c r="E1702" i="26"/>
  <c r="G1702" i="26" s="1"/>
  <c r="C1703" i="26"/>
  <c r="E1703" i="26"/>
  <c r="G1703" i="26" s="1"/>
  <c r="C1704" i="26"/>
  <c r="E1704" i="26"/>
  <c r="G1704" i="26" s="1"/>
  <c r="C1706" i="26"/>
  <c r="E1706" i="26" s="1"/>
  <c r="G1706" i="26" s="1"/>
  <c r="C1707" i="26"/>
  <c r="E1707" i="26" s="1"/>
  <c r="G1707" i="26" s="1"/>
  <c r="C1708" i="26"/>
  <c r="E1708" i="26" s="1"/>
  <c r="G1708" i="26" s="1"/>
  <c r="C1710" i="26"/>
  <c r="D1710" i="26"/>
  <c r="E1710" i="26"/>
  <c r="C1711" i="26"/>
  <c r="E1711" i="26"/>
  <c r="G1711" i="26" s="1"/>
  <c r="C1713" i="26"/>
  <c r="C1714" i="26"/>
  <c r="E1714" i="26"/>
  <c r="G1714" i="26" s="1"/>
  <c r="C1715" i="26"/>
  <c r="E1715" i="26"/>
  <c r="G1715" i="26" s="1"/>
  <c r="B1717" i="26"/>
  <c r="C1717" i="26"/>
  <c r="E1717" i="26"/>
  <c r="C1720" i="26"/>
  <c r="E1720" i="26"/>
  <c r="G1720" i="26" s="1"/>
  <c r="C1721" i="26"/>
  <c r="E1721" i="26"/>
  <c r="G1721" i="26" s="1"/>
  <c r="C1722" i="26"/>
  <c r="E1722" i="26"/>
  <c r="G1722" i="26" s="1"/>
  <c r="C1723" i="26"/>
  <c r="E1723" i="26"/>
  <c r="G1723" i="26" s="1"/>
  <c r="C1724" i="26"/>
  <c r="E1724" i="26"/>
  <c r="G1724" i="26" s="1"/>
  <c r="C1726" i="26"/>
  <c r="E1726" i="26" s="1"/>
  <c r="G1726" i="26" s="1"/>
  <c r="C1727" i="26"/>
  <c r="E1727" i="26" s="1"/>
  <c r="G1727" i="26" s="1"/>
  <c r="C1728" i="26"/>
  <c r="E1728" i="26" s="1"/>
  <c r="G1728" i="26" s="1"/>
  <c r="C1730" i="26"/>
  <c r="D1730" i="26"/>
  <c r="E1730" i="26"/>
  <c r="C1731" i="26"/>
  <c r="E1731" i="26"/>
  <c r="G1731" i="26" s="1"/>
  <c r="C1733" i="26"/>
  <c r="C1734" i="26"/>
  <c r="E1734" i="26"/>
  <c r="G1734" i="26" s="1"/>
  <c r="C1735" i="26"/>
  <c r="E1735" i="26"/>
  <c r="G1735" i="26" s="1"/>
  <c r="B1737" i="26"/>
  <c r="C1737" i="26"/>
  <c r="E1737" i="26"/>
  <c r="C1740" i="26"/>
  <c r="E1740" i="26"/>
  <c r="G1740" i="26" s="1"/>
  <c r="C1741" i="26"/>
  <c r="E1741" i="26"/>
  <c r="G1741" i="26" s="1"/>
  <c r="C1742" i="26"/>
  <c r="E1742" i="26"/>
  <c r="G1742" i="26" s="1"/>
  <c r="C1743" i="26"/>
  <c r="E1743" i="26"/>
  <c r="G1743" i="26" s="1"/>
  <c r="C1744" i="26"/>
  <c r="E1744" i="26"/>
  <c r="G1744" i="26" s="1"/>
  <c r="C1746" i="26"/>
  <c r="E1746" i="26" s="1"/>
  <c r="G1746" i="26" s="1"/>
  <c r="C1747" i="26"/>
  <c r="E1747" i="26" s="1"/>
  <c r="G1747" i="26" s="1"/>
  <c r="C1748" i="26"/>
  <c r="E1748" i="26" s="1"/>
  <c r="G1748" i="26" s="1"/>
  <c r="C1750" i="26"/>
  <c r="D1750" i="26"/>
  <c r="E1750" i="26"/>
  <c r="C1751" i="26"/>
  <c r="E1751" i="26"/>
  <c r="G1751" i="26" s="1"/>
  <c r="C1753" i="26"/>
  <c r="C1754" i="26"/>
  <c r="E1754" i="26"/>
  <c r="G1754" i="26" s="1"/>
  <c r="C1755" i="26"/>
  <c r="E1755" i="26"/>
  <c r="G1755" i="26" s="1"/>
  <c r="B1757" i="26"/>
  <c r="C1757" i="26"/>
  <c r="E1757" i="26"/>
  <c r="C1760" i="26"/>
  <c r="E1760" i="26"/>
  <c r="G1760" i="26" s="1"/>
  <c r="C1761" i="26"/>
  <c r="E1761" i="26"/>
  <c r="G1761" i="26" s="1"/>
  <c r="C1762" i="26"/>
  <c r="E1762" i="26"/>
  <c r="G1762" i="26" s="1"/>
  <c r="C1763" i="26"/>
  <c r="E1763" i="26"/>
  <c r="G1763" i="26" s="1"/>
  <c r="C1764" i="26"/>
  <c r="E1764" i="26"/>
  <c r="G1764" i="26" s="1"/>
  <c r="C1766" i="26"/>
  <c r="E1766" i="26" s="1"/>
  <c r="G1766" i="26" s="1"/>
  <c r="C1767" i="26"/>
  <c r="E1767" i="26" s="1"/>
  <c r="G1767" i="26" s="1"/>
  <c r="C1768" i="26"/>
  <c r="C1770" i="26"/>
  <c r="E1770" i="26"/>
  <c r="G1770" i="26" s="1"/>
  <c r="C1771" i="26"/>
  <c r="E1771" i="26"/>
  <c r="G1771" i="26" s="1"/>
  <c r="C1773" i="26"/>
  <c r="C1774" i="26"/>
  <c r="E1774" i="26"/>
  <c r="G1774" i="26" s="1"/>
  <c r="C1775" i="26"/>
  <c r="E1775" i="26"/>
  <c r="G1775" i="26" s="1"/>
  <c r="B1777" i="26"/>
  <c r="C1777" i="26"/>
  <c r="E1777" i="26"/>
  <c r="C1780" i="26"/>
  <c r="E1780" i="26"/>
  <c r="G1780" i="26" s="1"/>
  <c r="C1781" i="26"/>
  <c r="E1781" i="26"/>
  <c r="G1781" i="26" s="1"/>
  <c r="C1782" i="26"/>
  <c r="E1782" i="26"/>
  <c r="G1782" i="26" s="1"/>
  <c r="C1783" i="26"/>
  <c r="E1783" i="26"/>
  <c r="G1783" i="26" s="1"/>
  <c r="C1784" i="26"/>
  <c r="E1784" i="26"/>
  <c r="G1784" i="26" s="1"/>
  <c r="C1786" i="26"/>
  <c r="C1787" i="26"/>
  <c r="E1787" i="26" s="1"/>
  <c r="G1787" i="26" s="1"/>
  <c r="C1788" i="26"/>
  <c r="E1788" i="26" s="1"/>
  <c r="G1788" i="26" s="1"/>
  <c r="C1790" i="26"/>
  <c r="E1790" i="26"/>
  <c r="G1790" i="26" s="1"/>
  <c r="C1791" i="26"/>
  <c r="E1791" i="26"/>
  <c r="G1791" i="26" s="1"/>
  <c r="C1793" i="26"/>
  <c r="C1794" i="26"/>
  <c r="E1794" i="26"/>
  <c r="G1794" i="26" s="1"/>
  <c r="C1795" i="26"/>
  <c r="E1795" i="26"/>
  <c r="G1795" i="26" s="1"/>
  <c r="B1797" i="26"/>
  <c r="C1797" i="26"/>
  <c r="E1797" i="26"/>
  <c r="C1800" i="26"/>
  <c r="E1800" i="26"/>
  <c r="G1800" i="26" s="1"/>
  <c r="C1801" i="26"/>
  <c r="E1801" i="26"/>
  <c r="G1801" i="26" s="1"/>
  <c r="C1802" i="26"/>
  <c r="E1802" i="26"/>
  <c r="G1802" i="26" s="1"/>
  <c r="C1803" i="26"/>
  <c r="E1803" i="26"/>
  <c r="G1803" i="26" s="1"/>
  <c r="C1804" i="26"/>
  <c r="E1804" i="26"/>
  <c r="G1804" i="26" s="1"/>
  <c r="C1806" i="26"/>
  <c r="E1806" i="26" s="1"/>
  <c r="G1806" i="26" s="1"/>
  <c r="C1807" i="26"/>
  <c r="E1807" i="26" s="1"/>
  <c r="G1807" i="26" s="1"/>
  <c r="C1808" i="26"/>
  <c r="E1808" i="26" s="1"/>
  <c r="G1808" i="26" s="1"/>
  <c r="C1810" i="26"/>
  <c r="D1810" i="26"/>
  <c r="E1810" i="26"/>
  <c r="C1811" i="26"/>
  <c r="E1811" i="26"/>
  <c r="G1811" i="26" s="1"/>
  <c r="C1813" i="26"/>
  <c r="C1814" i="26"/>
  <c r="E1814" i="26"/>
  <c r="G1814" i="26" s="1"/>
  <c r="C1815" i="26"/>
  <c r="E1815" i="26"/>
  <c r="G1815" i="26" s="1"/>
  <c r="B1817" i="26"/>
  <c r="C1817" i="26"/>
  <c r="E1817" i="26"/>
  <c r="C1820" i="26"/>
  <c r="E1820" i="26"/>
  <c r="G1820" i="26" s="1"/>
  <c r="C1821" i="26"/>
  <c r="E1821" i="26"/>
  <c r="G1821" i="26" s="1"/>
  <c r="C1822" i="26"/>
  <c r="E1822" i="26"/>
  <c r="G1822" i="26" s="1"/>
  <c r="C1823" i="26"/>
  <c r="E1823" i="26"/>
  <c r="G1823" i="26" s="1"/>
  <c r="C1824" i="26"/>
  <c r="E1824" i="26"/>
  <c r="G1824" i="26" s="1"/>
  <c r="C1826" i="26"/>
  <c r="E1826" i="26" s="1"/>
  <c r="G1826" i="26" s="1"/>
  <c r="C1827" i="26"/>
  <c r="E1827" i="26" s="1"/>
  <c r="G1827" i="26" s="1"/>
  <c r="C1828" i="26"/>
  <c r="C1830" i="26"/>
  <c r="E1830" i="26"/>
  <c r="G1830" i="26" s="1"/>
  <c r="C1831" i="26"/>
  <c r="E1831" i="26"/>
  <c r="G1831" i="26" s="1"/>
  <c r="C1833" i="26"/>
  <c r="C1834" i="26"/>
  <c r="E1834" i="26"/>
  <c r="G1834" i="26" s="1"/>
  <c r="C1835" i="26"/>
  <c r="E1835" i="26"/>
  <c r="G1835" i="26" s="1"/>
  <c r="E1200" i="24"/>
  <c r="G1200" i="24" s="1"/>
  <c r="C1200" i="24"/>
  <c r="E1199" i="24"/>
  <c r="G1199" i="24" s="1"/>
  <c r="C1199" i="24"/>
  <c r="C1198" i="24"/>
  <c r="E1196" i="24"/>
  <c r="G1196" i="24" s="1"/>
  <c r="C1196" i="24"/>
  <c r="E1195" i="24"/>
  <c r="G1195" i="24" s="1"/>
  <c r="C1195" i="24"/>
  <c r="C1193" i="24"/>
  <c r="E1193" i="24" s="1"/>
  <c r="G1193" i="24" s="1"/>
  <c r="C1192" i="24"/>
  <c r="C1191" i="24"/>
  <c r="E1189" i="24"/>
  <c r="G1189" i="24" s="1"/>
  <c r="C1189" i="24"/>
  <c r="E1188" i="24"/>
  <c r="G1188" i="24" s="1"/>
  <c r="C1188" i="24"/>
  <c r="E1187" i="24"/>
  <c r="G1187" i="24" s="1"/>
  <c r="C1187" i="24"/>
  <c r="E1186" i="24"/>
  <c r="G1186" i="24" s="1"/>
  <c r="C1186" i="24"/>
  <c r="E1185" i="24"/>
  <c r="G1185" i="24" s="1"/>
  <c r="C1185" i="24"/>
  <c r="E1182" i="24"/>
  <c r="C1182" i="24"/>
  <c r="B1182" i="24"/>
  <c r="E1180" i="24"/>
  <c r="G1180" i="24" s="1"/>
  <c r="C1180" i="24"/>
  <c r="E1179" i="24"/>
  <c r="G1179" i="24" s="1"/>
  <c r="C1179" i="24"/>
  <c r="E1178" i="24"/>
  <c r="G1178" i="24" s="1"/>
  <c r="C1178" i="24"/>
  <c r="E1176" i="24"/>
  <c r="G1176" i="24" s="1"/>
  <c r="C1176" i="24"/>
  <c r="E1175" i="24"/>
  <c r="G1175" i="24" s="1"/>
  <c r="C1175" i="24"/>
  <c r="C1173" i="24"/>
  <c r="E1173" i="24" s="1"/>
  <c r="G1173" i="24" s="1"/>
  <c r="C1172" i="24"/>
  <c r="E1172" i="24" s="1"/>
  <c r="G1172" i="24" s="1"/>
  <c r="C1171" i="24"/>
  <c r="E1171" i="24" s="1"/>
  <c r="G1171" i="24" s="1"/>
  <c r="E1169" i="24"/>
  <c r="G1169" i="24" s="1"/>
  <c r="C1169" i="24"/>
  <c r="E1168" i="24"/>
  <c r="G1168" i="24" s="1"/>
  <c r="C1168" i="24"/>
  <c r="E1167" i="24"/>
  <c r="G1167" i="24" s="1"/>
  <c r="C1167" i="24"/>
  <c r="E1166" i="24"/>
  <c r="G1166" i="24" s="1"/>
  <c r="C1166" i="24"/>
  <c r="E1165" i="24"/>
  <c r="G1165" i="24" s="1"/>
  <c r="C1165" i="24"/>
  <c r="E1162" i="24"/>
  <c r="C1162" i="24"/>
  <c r="B1162" i="24"/>
  <c r="E1160" i="24"/>
  <c r="G1160" i="24" s="1"/>
  <c r="C1160" i="24"/>
  <c r="E1159" i="24"/>
  <c r="G1159" i="24" s="1"/>
  <c r="C1159" i="24"/>
  <c r="C1158" i="24"/>
  <c r="E1156" i="24"/>
  <c r="G1156" i="24" s="1"/>
  <c r="C1156" i="24"/>
  <c r="E1155" i="24"/>
  <c r="G1155" i="24" s="1"/>
  <c r="C1155" i="24"/>
  <c r="C1153" i="24"/>
  <c r="C1152" i="24"/>
  <c r="E1152" i="24" s="1"/>
  <c r="G1152" i="24" s="1"/>
  <c r="C1151" i="24"/>
  <c r="E1151" i="24" s="1"/>
  <c r="G1151" i="24" s="1"/>
  <c r="E1149" i="24"/>
  <c r="G1149" i="24" s="1"/>
  <c r="C1149" i="24"/>
  <c r="E1148" i="24"/>
  <c r="G1148" i="24" s="1"/>
  <c r="C1148" i="24"/>
  <c r="E1147" i="24"/>
  <c r="G1147" i="24" s="1"/>
  <c r="C1147" i="24"/>
  <c r="E1146" i="24"/>
  <c r="G1146" i="24" s="1"/>
  <c r="C1146" i="24"/>
  <c r="E1145" i="24"/>
  <c r="G1145" i="24" s="1"/>
  <c r="C1145" i="24"/>
  <c r="E1144" i="24"/>
  <c r="G1144" i="24" s="1"/>
  <c r="C1144" i="24"/>
  <c r="E1143" i="24"/>
  <c r="G1143" i="24" s="1"/>
  <c r="C1143" i="24"/>
  <c r="E1140" i="24"/>
  <c r="C1140" i="24"/>
  <c r="B1140" i="24"/>
  <c r="E1138" i="24"/>
  <c r="G1138" i="24" s="1"/>
  <c r="C1138" i="24"/>
  <c r="E1137" i="24"/>
  <c r="G1137" i="24" s="1"/>
  <c r="C1137" i="24"/>
  <c r="C1136" i="24"/>
  <c r="E1134" i="24"/>
  <c r="G1134" i="24" s="1"/>
  <c r="C1134" i="24"/>
  <c r="E1133" i="24"/>
  <c r="G1133" i="24" s="1"/>
  <c r="C1133" i="24"/>
  <c r="C1131" i="24"/>
  <c r="E1131" i="24" s="1"/>
  <c r="G1131" i="24" s="1"/>
  <c r="C1130" i="24"/>
  <c r="E1130" i="24" s="1"/>
  <c r="G1130" i="24" s="1"/>
  <c r="C1129" i="24"/>
  <c r="E1127" i="24"/>
  <c r="G1127" i="24" s="1"/>
  <c r="C1127" i="24"/>
  <c r="E1126" i="24"/>
  <c r="G1126" i="24" s="1"/>
  <c r="C1126" i="24"/>
  <c r="E1125" i="24"/>
  <c r="G1125" i="24" s="1"/>
  <c r="C1125" i="24"/>
  <c r="E1124" i="24"/>
  <c r="G1124" i="24" s="1"/>
  <c r="C1124" i="24"/>
  <c r="E1123" i="24"/>
  <c r="G1123" i="24" s="1"/>
  <c r="C1123" i="24"/>
  <c r="E1120" i="24"/>
  <c r="C1120" i="24"/>
  <c r="B1120" i="24"/>
  <c r="E1118" i="24"/>
  <c r="G1118" i="24" s="1"/>
  <c r="C1118" i="24"/>
  <c r="E1117" i="24"/>
  <c r="G1117" i="24" s="1"/>
  <c r="C1117" i="24"/>
  <c r="C1116" i="24"/>
  <c r="E1114" i="24"/>
  <c r="G1114" i="24" s="1"/>
  <c r="C1114" i="24"/>
  <c r="E1113" i="24"/>
  <c r="G1113" i="24" s="1"/>
  <c r="C1113" i="24"/>
  <c r="C1111" i="24"/>
  <c r="E1111" i="24" s="1"/>
  <c r="G1111" i="24" s="1"/>
  <c r="C1110" i="24"/>
  <c r="C1109" i="24"/>
  <c r="E1109" i="24" s="1"/>
  <c r="G1109" i="24" s="1"/>
  <c r="E1107" i="24"/>
  <c r="G1107" i="24" s="1"/>
  <c r="C1107" i="24"/>
  <c r="E1106" i="24"/>
  <c r="G1106" i="24" s="1"/>
  <c r="C1106" i="24"/>
  <c r="E1105" i="24"/>
  <c r="G1105" i="24" s="1"/>
  <c r="C1105" i="24"/>
  <c r="E1104" i="24"/>
  <c r="G1104" i="24" s="1"/>
  <c r="C1104" i="24"/>
  <c r="E1103" i="24"/>
  <c r="G1103" i="24" s="1"/>
  <c r="C1103" i="24"/>
  <c r="E1102" i="24"/>
  <c r="G1102" i="24" s="1"/>
  <c r="C1102" i="24"/>
  <c r="E1099" i="24"/>
  <c r="C1099" i="24"/>
  <c r="B1099" i="24"/>
  <c r="E1097" i="24"/>
  <c r="G1097" i="24" s="1"/>
  <c r="C1097" i="24"/>
  <c r="E1096" i="24"/>
  <c r="G1096" i="24" s="1"/>
  <c r="C1096" i="24"/>
  <c r="E1095" i="24"/>
  <c r="G1095" i="24" s="1"/>
  <c r="C1095" i="24"/>
  <c r="E1093" i="24"/>
  <c r="G1093" i="24" s="1"/>
  <c r="C1093" i="24"/>
  <c r="E1092" i="24"/>
  <c r="G1092" i="24" s="1"/>
  <c r="C1092" i="24"/>
  <c r="C1090" i="24"/>
  <c r="E1090" i="24" s="1"/>
  <c r="G1090" i="24" s="1"/>
  <c r="C1089" i="24"/>
  <c r="E1089" i="24" s="1"/>
  <c r="G1089" i="24" s="1"/>
  <c r="C1088" i="24"/>
  <c r="E1088" i="24" s="1"/>
  <c r="G1088" i="24" s="1"/>
  <c r="E1086" i="24"/>
  <c r="G1086" i="24" s="1"/>
  <c r="C1086" i="24"/>
  <c r="E1085" i="24"/>
  <c r="G1085" i="24" s="1"/>
  <c r="C1085" i="24"/>
  <c r="E1084" i="24"/>
  <c r="G1084" i="24" s="1"/>
  <c r="C1084" i="24"/>
  <c r="E1083" i="24"/>
  <c r="G1083" i="24" s="1"/>
  <c r="C1083" i="24"/>
  <c r="E1082" i="24"/>
  <c r="G1082" i="24" s="1"/>
  <c r="C1082" i="24"/>
  <c r="E1079" i="24"/>
  <c r="C1079" i="24"/>
  <c r="B1079" i="24"/>
  <c r="E1077" i="24"/>
  <c r="G1077" i="24" s="1"/>
  <c r="C1077" i="24"/>
  <c r="E1076" i="24"/>
  <c r="G1076" i="24" s="1"/>
  <c r="C1076" i="24"/>
  <c r="C1075" i="24"/>
  <c r="E1073" i="24"/>
  <c r="G1073" i="24" s="1"/>
  <c r="C1073" i="24"/>
  <c r="E1072" i="24"/>
  <c r="G1072" i="24" s="1"/>
  <c r="C1072" i="24"/>
  <c r="C1070" i="24"/>
  <c r="E1070" i="24" s="1"/>
  <c r="G1070" i="24" s="1"/>
  <c r="C1069" i="24"/>
  <c r="E1069" i="24" s="1"/>
  <c r="G1069" i="24" s="1"/>
  <c r="C1068" i="24"/>
  <c r="E1066" i="24"/>
  <c r="G1066" i="24" s="1"/>
  <c r="C1066" i="24"/>
  <c r="E1065" i="24"/>
  <c r="G1065" i="24" s="1"/>
  <c r="C1065" i="24"/>
  <c r="E1064" i="24"/>
  <c r="G1064" i="24" s="1"/>
  <c r="C1064" i="24"/>
  <c r="E1063" i="24"/>
  <c r="G1063" i="24" s="1"/>
  <c r="C1063" i="24"/>
  <c r="E1062" i="24"/>
  <c r="G1062" i="24" s="1"/>
  <c r="C1062" i="24"/>
  <c r="E1059" i="24"/>
  <c r="C1059" i="24"/>
  <c r="B1059" i="24"/>
  <c r="E1057" i="24"/>
  <c r="G1057" i="24" s="1"/>
  <c r="C1057" i="24"/>
  <c r="E1056" i="24"/>
  <c r="G1056" i="24" s="1"/>
  <c r="C1056" i="24"/>
  <c r="C1055" i="24"/>
  <c r="E1053" i="24"/>
  <c r="G1053" i="24" s="1"/>
  <c r="C1053" i="24"/>
  <c r="E1052" i="24"/>
  <c r="G1052" i="24" s="1"/>
  <c r="C1052" i="24"/>
  <c r="C1050" i="24"/>
  <c r="C1049" i="24"/>
  <c r="C1048" i="24"/>
  <c r="E1048" i="24" s="1"/>
  <c r="G1048" i="24" s="1"/>
  <c r="E1046" i="24"/>
  <c r="G1046" i="24" s="1"/>
  <c r="C1046" i="24"/>
  <c r="E1045" i="24"/>
  <c r="G1045" i="24" s="1"/>
  <c r="C1045" i="24"/>
  <c r="E1044" i="24"/>
  <c r="G1044" i="24" s="1"/>
  <c r="C1044" i="24"/>
  <c r="E1043" i="24"/>
  <c r="G1043" i="24" s="1"/>
  <c r="C1043" i="24"/>
  <c r="E1042" i="24"/>
  <c r="G1042" i="24" s="1"/>
  <c r="C1042" i="24"/>
  <c r="E1039" i="24"/>
  <c r="C1039" i="24"/>
  <c r="B1039" i="24"/>
  <c r="E1037" i="24"/>
  <c r="G1037" i="24" s="1"/>
  <c r="C1037" i="24"/>
  <c r="E1036" i="24"/>
  <c r="G1036" i="24" s="1"/>
  <c r="C1036" i="24"/>
  <c r="C1035" i="24"/>
  <c r="E1033" i="24"/>
  <c r="G1033" i="24" s="1"/>
  <c r="C1033" i="24"/>
  <c r="E1032" i="24"/>
  <c r="G1032" i="24" s="1"/>
  <c r="C1032" i="24"/>
  <c r="C1030" i="24"/>
  <c r="E1030" i="24" s="1"/>
  <c r="G1030" i="24" s="1"/>
  <c r="C1029" i="24"/>
  <c r="C1028" i="24"/>
  <c r="E1028" i="24" s="1"/>
  <c r="G1028" i="24" s="1"/>
  <c r="E1026" i="24"/>
  <c r="G1026" i="24" s="1"/>
  <c r="C1026" i="24"/>
  <c r="E1025" i="24"/>
  <c r="G1025" i="24" s="1"/>
  <c r="C1025" i="24"/>
  <c r="E1024" i="24"/>
  <c r="G1024" i="24" s="1"/>
  <c r="C1024" i="24"/>
  <c r="E1023" i="24"/>
  <c r="G1023" i="24" s="1"/>
  <c r="C1023" i="24"/>
  <c r="E1022" i="24"/>
  <c r="G1022" i="24" s="1"/>
  <c r="C1022" i="24"/>
  <c r="E1019" i="24"/>
  <c r="C1019" i="24"/>
  <c r="B1019" i="24"/>
  <c r="E1017" i="24"/>
  <c r="G1017" i="24" s="1"/>
  <c r="C1017" i="24"/>
  <c r="E1016" i="24"/>
  <c r="G1016" i="24" s="1"/>
  <c r="C1016" i="24"/>
  <c r="C1015" i="24"/>
  <c r="E1013" i="24"/>
  <c r="G1013" i="24" s="1"/>
  <c r="C1013" i="24"/>
  <c r="E1012" i="24"/>
  <c r="G1012" i="24" s="1"/>
  <c r="C1012" i="24"/>
  <c r="C1010" i="24"/>
  <c r="E1010" i="24" s="1"/>
  <c r="G1010" i="24" s="1"/>
  <c r="C1009" i="24"/>
  <c r="C1008" i="24"/>
  <c r="E1008" i="24" s="1"/>
  <c r="G1008" i="24" s="1"/>
  <c r="E1006" i="24"/>
  <c r="G1006" i="24" s="1"/>
  <c r="C1006" i="24"/>
  <c r="E1005" i="24"/>
  <c r="G1005" i="24" s="1"/>
  <c r="C1005" i="24"/>
  <c r="E1004" i="24"/>
  <c r="G1004" i="24" s="1"/>
  <c r="C1004" i="24"/>
  <c r="E1003" i="24"/>
  <c r="G1003" i="24" s="1"/>
  <c r="C1003" i="24"/>
  <c r="E1002" i="24"/>
  <c r="G1002" i="24" s="1"/>
  <c r="C1002" i="24"/>
  <c r="E999" i="24"/>
  <c r="C999" i="24"/>
  <c r="B999" i="24"/>
  <c r="E997" i="24"/>
  <c r="G997" i="24" s="1"/>
  <c r="C997" i="24"/>
  <c r="E996" i="24"/>
  <c r="G996" i="24" s="1"/>
  <c r="C996" i="24"/>
  <c r="C995" i="24"/>
  <c r="E993" i="24"/>
  <c r="G993" i="24" s="1"/>
  <c r="C993" i="24"/>
  <c r="E992" i="24"/>
  <c r="G992" i="24" s="1"/>
  <c r="C992" i="24"/>
  <c r="C990" i="24"/>
  <c r="E990" i="24" s="1"/>
  <c r="G990" i="24" s="1"/>
  <c r="C989" i="24"/>
  <c r="C988" i="24"/>
  <c r="E988" i="24" s="1"/>
  <c r="G988" i="24" s="1"/>
  <c r="E986" i="24"/>
  <c r="G986" i="24" s="1"/>
  <c r="C986" i="24"/>
  <c r="E985" i="24"/>
  <c r="G985" i="24" s="1"/>
  <c r="C985" i="24"/>
  <c r="E984" i="24"/>
  <c r="G984" i="24" s="1"/>
  <c r="C984" i="24"/>
  <c r="E983" i="24"/>
  <c r="G983" i="24" s="1"/>
  <c r="C983" i="24"/>
  <c r="E982" i="24"/>
  <c r="G982" i="24" s="1"/>
  <c r="C982" i="24"/>
  <c r="E979" i="24"/>
  <c r="C979" i="24"/>
  <c r="B979" i="24"/>
  <c r="E977" i="24"/>
  <c r="G977" i="24" s="1"/>
  <c r="C977" i="24"/>
  <c r="E976" i="24"/>
  <c r="G976" i="24" s="1"/>
  <c r="C976" i="24"/>
  <c r="C975" i="24"/>
  <c r="E973" i="24"/>
  <c r="G973" i="24" s="1"/>
  <c r="C973" i="24"/>
  <c r="E972" i="24"/>
  <c r="G972" i="24" s="1"/>
  <c r="C972" i="24"/>
  <c r="C970" i="24"/>
  <c r="E970" i="24" s="1"/>
  <c r="G970" i="24" s="1"/>
  <c r="C969" i="24"/>
  <c r="C968" i="24"/>
  <c r="E968" i="24" s="1"/>
  <c r="G968" i="24" s="1"/>
  <c r="E966" i="24"/>
  <c r="G966" i="24" s="1"/>
  <c r="C966" i="24"/>
  <c r="E965" i="24"/>
  <c r="G965" i="24" s="1"/>
  <c r="C965" i="24"/>
  <c r="E964" i="24"/>
  <c r="G964" i="24" s="1"/>
  <c r="C964" i="24"/>
  <c r="E963" i="24"/>
  <c r="G963" i="24" s="1"/>
  <c r="C963" i="24"/>
  <c r="E962" i="24"/>
  <c r="G962" i="24" s="1"/>
  <c r="C962" i="24"/>
  <c r="E959" i="24"/>
  <c r="C959" i="24"/>
  <c r="B959" i="24"/>
  <c r="E957" i="24"/>
  <c r="G957" i="24" s="1"/>
  <c r="C957" i="24"/>
  <c r="E956" i="24"/>
  <c r="G956" i="24" s="1"/>
  <c r="C956" i="24"/>
  <c r="C955" i="24"/>
  <c r="E953" i="24"/>
  <c r="G953" i="24" s="1"/>
  <c r="C953" i="24"/>
  <c r="E952" i="24"/>
  <c r="G952" i="24" s="1"/>
  <c r="C952" i="24"/>
  <c r="C950" i="24"/>
  <c r="E950" i="24" s="1"/>
  <c r="G950" i="24" s="1"/>
  <c r="C949" i="24"/>
  <c r="C948" i="24"/>
  <c r="E948" i="24" s="1"/>
  <c r="G948" i="24" s="1"/>
  <c r="E946" i="24"/>
  <c r="G946" i="24" s="1"/>
  <c r="C946" i="24"/>
  <c r="E945" i="24"/>
  <c r="G945" i="24" s="1"/>
  <c r="C945" i="24"/>
  <c r="C944" i="24"/>
  <c r="E943" i="24"/>
  <c r="G943" i="24" s="1"/>
  <c r="C943" i="24"/>
  <c r="E942" i="24"/>
  <c r="G942" i="24" s="1"/>
  <c r="C942" i="24"/>
  <c r="E939" i="24"/>
  <c r="C939" i="24"/>
  <c r="B939" i="24"/>
  <c r="E937" i="24"/>
  <c r="G937" i="24" s="1"/>
  <c r="C937" i="24"/>
  <c r="E936" i="24"/>
  <c r="G936" i="24" s="1"/>
  <c r="C936" i="24"/>
  <c r="C935" i="24"/>
  <c r="E933" i="24"/>
  <c r="G933" i="24" s="1"/>
  <c r="C933" i="24"/>
  <c r="E932" i="24"/>
  <c r="G932" i="24" s="1"/>
  <c r="C932" i="24"/>
  <c r="C930" i="24"/>
  <c r="E930" i="24" s="1"/>
  <c r="G930" i="24" s="1"/>
  <c r="C929" i="24"/>
  <c r="C928" i="24"/>
  <c r="E928" i="24" s="1"/>
  <c r="G928" i="24" s="1"/>
  <c r="E926" i="24"/>
  <c r="G926" i="24" s="1"/>
  <c r="C926" i="24"/>
  <c r="E925" i="24"/>
  <c r="G925" i="24" s="1"/>
  <c r="C925" i="24"/>
  <c r="E924" i="24"/>
  <c r="G924" i="24" s="1"/>
  <c r="C924" i="24"/>
  <c r="E923" i="24"/>
  <c r="G923" i="24" s="1"/>
  <c r="C923" i="24"/>
  <c r="E922" i="24"/>
  <c r="G922" i="24" s="1"/>
  <c r="C922" i="24"/>
  <c r="E919" i="24"/>
  <c r="C919" i="24"/>
  <c r="B919" i="24"/>
  <c r="E917" i="24"/>
  <c r="G917" i="24" s="1"/>
  <c r="C917" i="24"/>
  <c r="E916" i="24"/>
  <c r="G916" i="24" s="1"/>
  <c r="C916" i="24"/>
  <c r="C915" i="24"/>
  <c r="E913" i="24"/>
  <c r="G913" i="24" s="1"/>
  <c r="C913" i="24"/>
  <c r="E912" i="24"/>
  <c r="G912" i="24" s="1"/>
  <c r="C912" i="24"/>
  <c r="C910" i="24"/>
  <c r="E910" i="24" s="1"/>
  <c r="G910" i="24" s="1"/>
  <c r="C909" i="24"/>
  <c r="C908" i="24"/>
  <c r="E908" i="24" s="1"/>
  <c r="G908" i="24" s="1"/>
  <c r="E906" i="24"/>
  <c r="G906" i="24" s="1"/>
  <c r="C906" i="24"/>
  <c r="E905" i="24"/>
  <c r="G905" i="24" s="1"/>
  <c r="C905" i="24"/>
  <c r="E904" i="24"/>
  <c r="G904" i="24" s="1"/>
  <c r="C904" i="24"/>
  <c r="E903" i="24"/>
  <c r="G903" i="24" s="1"/>
  <c r="C903" i="24"/>
  <c r="E902" i="24"/>
  <c r="G902" i="24" s="1"/>
  <c r="C902" i="24"/>
  <c r="C901" i="24"/>
  <c r="C900" i="24"/>
  <c r="E897" i="24"/>
  <c r="C897" i="24"/>
  <c r="B897" i="24"/>
  <c r="E895" i="24"/>
  <c r="G895" i="24" s="1"/>
  <c r="C895" i="24"/>
  <c r="E894" i="24"/>
  <c r="G894" i="24" s="1"/>
  <c r="C894" i="24"/>
  <c r="C893" i="24"/>
  <c r="E891" i="24"/>
  <c r="G891" i="24" s="1"/>
  <c r="C891" i="24"/>
  <c r="E890" i="24"/>
  <c r="G890" i="24" s="1"/>
  <c r="C890" i="24"/>
  <c r="C888" i="24"/>
  <c r="E888" i="24" s="1"/>
  <c r="G888" i="24" s="1"/>
  <c r="C887" i="24"/>
  <c r="C886" i="24"/>
  <c r="E886" i="24" s="1"/>
  <c r="G886" i="24" s="1"/>
  <c r="E884" i="24"/>
  <c r="G884" i="24" s="1"/>
  <c r="C884" i="24"/>
  <c r="E883" i="24"/>
  <c r="G883" i="24" s="1"/>
  <c r="C883" i="24"/>
  <c r="E882" i="24"/>
  <c r="G882" i="24" s="1"/>
  <c r="C882" i="24"/>
  <c r="E881" i="24"/>
  <c r="G881" i="24" s="1"/>
  <c r="C881" i="24"/>
  <c r="E880" i="24"/>
  <c r="G880" i="24" s="1"/>
  <c r="C880" i="24"/>
  <c r="C879" i="24"/>
  <c r="C878" i="24"/>
  <c r="E875" i="24"/>
  <c r="C875" i="24"/>
  <c r="B875" i="24"/>
  <c r="E873" i="24"/>
  <c r="G873" i="24" s="1"/>
  <c r="C873" i="24"/>
  <c r="E872" i="24"/>
  <c r="G872" i="24" s="1"/>
  <c r="C872" i="24"/>
  <c r="C871" i="24"/>
  <c r="E869" i="24"/>
  <c r="G869" i="24" s="1"/>
  <c r="C869" i="24"/>
  <c r="E868" i="24"/>
  <c r="G868" i="24" s="1"/>
  <c r="C868" i="24"/>
  <c r="C866" i="24"/>
  <c r="E866" i="24" s="1"/>
  <c r="G866" i="24" s="1"/>
  <c r="C865" i="24"/>
  <c r="C864" i="24"/>
  <c r="E864" i="24" s="1"/>
  <c r="G864" i="24" s="1"/>
  <c r="E862" i="24"/>
  <c r="G862" i="24" s="1"/>
  <c r="C862" i="24"/>
  <c r="E861" i="24"/>
  <c r="G861" i="24" s="1"/>
  <c r="C861" i="24"/>
  <c r="E860" i="24"/>
  <c r="G860" i="24" s="1"/>
  <c r="C860" i="24"/>
  <c r="E859" i="24"/>
  <c r="G859" i="24" s="1"/>
  <c r="C859" i="24"/>
  <c r="E858" i="24"/>
  <c r="G858" i="24" s="1"/>
  <c r="C858" i="24"/>
  <c r="C857" i="24"/>
  <c r="E854" i="24"/>
  <c r="C854" i="24"/>
  <c r="B854" i="24"/>
  <c r="E852" i="24"/>
  <c r="G852" i="24" s="1"/>
  <c r="C852" i="24"/>
  <c r="E851" i="24"/>
  <c r="G851" i="24" s="1"/>
  <c r="C851" i="24"/>
  <c r="C850" i="24"/>
  <c r="E848" i="24"/>
  <c r="G848" i="24" s="1"/>
  <c r="C848" i="24"/>
  <c r="E847" i="24"/>
  <c r="G847" i="24" s="1"/>
  <c r="C847" i="24"/>
  <c r="C845" i="24"/>
  <c r="E845" i="24" s="1"/>
  <c r="G845" i="24" s="1"/>
  <c r="C844" i="24"/>
  <c r="C843" i="24"/>
  <c r="E843" i="24" s="1"/>
  <c r="G843" i="24" s="1"/>
  <c r="E841" i="24"/>
  <c r="G841" i="24" s="1"/>
  <c r="C841" i="24"/>
  <c r="E840" i="24"/>
  <c r="G840" i="24" s="1"/>
  <c r="C840" i="24"/>
  <c r="E839" i="24"/>
  <c r="G839" i="24" s="1"/>
  <c r="C839" i="24"/>
  <c r="E838" i="24"/>
  <c r="G838" i="24" s="1"/>
  <c r="C838" i="24"/>
  <c r="C837" i="24"/>
  <c r="E836" i="24"/>
  <c r="G836" i="24" s="1"/>
  <c r="C836" i="24"/>
  <c r="E835" i="24"/>
  <c r="G835" i="24" s="1"/>
  <c r="C835" i="24"/>
  <c r="E832" i="24"/>
  <c r="C832" i="24"/>
  <c r="B832" i="24"/>
  <c r="E830" i="24"/>
  <c r="G830" i="24" s="1"/>
  <c r="C830" i="24"/>
  <c r="E829" i="24"/>
  <c r="G829" i="24" s="1"/>
  <c r="C829" i="24"/>
  <c r="C828" i="24"/>
  <c r="E826" i="24"/>
  <c r="G826" i="24" s="1"/>
  <c r="C826" i="24"/>
  <c r="E825" i="24"/>
  <c r="G825" i="24" s="1"/>
  <c r="C825" i="24"/>
  <c r="C823" i="24"/>
  <c r="E823" i="24" s="1"/>
  <c r="G823" i="24" s="1"/>
  <c r="C822" i="24"/>
  <c r="C821" i="24"/>
  <c r="E821" i="24" s="1"/>
  <c r="G821" i="24" s="1"/>
  <c r="E819" i="24"/>
  <c r="G819" i="24" s="1"/>
  <c r="C819" i="24"/>
  <c r="E818" i="24"/>
  <c r="G818" i="24" s="1"/>
  <c r="C818" i="24"/>
  <c r="E817" i="24"/>
  <c r="G817" i="24" s="1"/>
  <c r="C817" i="24"/>
  <c r="E816" i="24"/>
  <c r="G816" i="24" s="1"/>
  <c r="C816" i="24"/>
  <c r="E815" i="24"/>
  <c r="G815" i="24" s="1"/>
  <c r="C815" i="24"/>
  <c r="E814" i="24"/>
  <c r="G814" i="24" s="1"/>
  <c r="C814" i="24"/>
  <c r="E813" i="24"/>
  <c r="G813" i="24" s="1"/>
  <c r="C813" i="24"/>
  <c r="E812" i="24"/>
  <c r="G812" i="24" s="1"/>
  <c r="C812" i="24"/>
  <c r="E811" i="24"/>
  <c r="G811" i="24" s="1"/>
  <c r="C811" i="24"/>
  <c r="E808" i="24"/>
  <c r="C808" i="24"/>
  <c r="B808" i="24"/>
  <c r="E806" i="24"/>
  <c r="G806" i="24" s="1"/>
  <c r="C806" i="24"/>
  <c r="E805" i="24"/>
  <c r="G805" i="24" s="1"/>
  <c r="C805" i="24"/>
  <c r="C804" i="24"/>
  <c r="E802" i="24"/>
  <c r="G802" i="24" s="1"/>
  <c r="C802" i="24"/>
  <c r="E801" i="24"/>
  <c r="G801" i="24" s="1"/>
  <c r="C801" i="24"/>
  <c r="C799" i="24"/>
  <c r="E799" i="24" s="1"/>
  <c r="G799" i="24" s="1"/>
  <c r="C798" i="24"/>
  <c r="C797" i="24"/>
  <c r="E797" i="24" s="1"/>
  <c r="G797" i="24" s="1"/>
  <c r="E795" i="24"/>
  <c r="G795" i="24" s="1"/>
  <c r="C795" i="24"/>
  <c r="E794" i="24"/>
  <c r="G794" i="24" s="1"/>
  <c r="C794" i="24"/>
  <c r="E793" i="24"/>
  <c r="G793" i="24" s="1"/>
  <c r="C793" i="24"/>
  <c r="E792" i="24"/>
  <c r="G792" i="24" s="1"/>
  <c r="C792" i="24"/>
  <c r="E791" i="24"/>
  <c r="G791" i="24" s="1"/>
  <c r="C791" i="24"/>
  <c r="E790" i="24"/>
  <c r="G790" i="24" s="1"/>
  <c r="C790" i="24"/>
  <c r="E789" i="24"/>
  <c r="G789" i="24" s="1"/>
  <c r="C789" i="24"/>
  <c r="E788" i="24"/>
  <c r="G788" i="24" s="1"/>
  <c r="C788" i="24"/>
  <c r="E785" i="24"/>
  <c r="C785" i="24"/>
  <c r="B785" i="24"/>
  <c r="E783" i="24"/>
  <c r="G783" i="24" s="1"/>
  <c r="C783" i="24"/>
  <c r="E782" i="24"/>
  <c r="G782" i="24" s="1"/>
  <c r="C782" i="24"/>
  <c r="C781" i="24"/>
  <c r="E779" i="24"/>
  <c r="G779" i="24" s="1"/>
  <c r="C779" i="24"/>
  <c r="E778" i="24"/>
  <c r="G778" i="24" s="1"/>
  <c r="C778" i="24"/>
  <c r="C776" i="24"/>
  <c r="E776" i="24" s="1"/>
  <c r="G776" i="24" s="1"/>
  <c r="C775" i="24"/>
  <c r="E775" i="24" s="1"/>
  <c r="G775" i="24" s="1"/>
  <c r="C774" i="24"/>
  <c r="E772" i="24"/>
  <c r="G772" i="24" s="1"/>
  <c r="C772" i="24"/>
  <c r="E771" i="24"/>
  <c r="G771" i="24" s="1"/>
  <c r="C771" i="24"/>
  <c r="E770" i="24"/>
  <c r="G770" i="24" s="1"/>
  <c r="C770" i="24"/>
  <c r="E769" i="24"/>
  <c r="G769" i="24" s="1"/>
  <c r="C769" i="24"/>
  <c r="E768" i="24"/>
  <c r="G768" i="24" s="1"/>
  <c r="C768" i="24"/>
  <c r="E765" i="24"/>
  <c r="C765" i="24"/>
  <c r="B765" i="24"/>
  <c r="E763" i="24"/>
  <c r="G763" i="24" s="1"/>
  <c r="C763" i="24"/>
  <c r="E762" i="24"/>
  <c r="G762" i="24" s="1"/>
  <c r="C762" i="24"/>
  <c r="C761" i="24"/>
  <c r="E759" i="24"/>
  <c r="G759" i="24" s="1"/>
  <c r="C759" i="24"/>
  <c r="E758" i="24"/>
  <c r="G758" i="24" s="1"/>
  <c r="C758" i="24"/>
  <c r="C756" i="24"/>
  <c r="E756" i="24" s="1"/>
  <c r="G756" i="24" s="1"/>
  <c r="C755" i="24"/>
  <c r="E755" i="24" s="1"/>
  <c r="G755" i="24" s="1"/>
  <c r="C754" i="24"/>
  <c r="E752" i="24"/>
  <c r="G752" i="24" s="1"/>
  <c r="C752" i="24"/>
  <c r="E751" i="24"/>
  <c r="G751" i="24" s="1"/>
  <c r="C751" i="24"/>
  <c r="E750" i="24"/>
  <c r="G750" i="24" s="1"/>
  <c r="C750" i="24"/>
  <c r="E749" i="24"/>
  <c r="G749" i="24" s="1"/>
  <c r="C749" i="24"/>
  <c r="E748" i="24"/>
  <c r="G748" i="24" s="1"/>
  <c r="C748" i="24"/>
  <c r="E745" i="24"/>
  <c r="C745" i="24"/>
  <c r="B745" i="24"/>
  <c r="E743" i="24"/>
  <c r="G743" i="24" s="1"/>
  <c r="C743" i="24"/>
  <c r="E742" i="24"/>
  <c r="G742" i="24" s="1"/>
  <c r="C742" i="24"/>
  <c r="C741" i="24"/>
  <c r="E739" i="24"/>
  <c r="G739" i="24" s="1"/>
  <c r="C739" i="24"/>
  <c r="E738" i="24"/>
  <c r="G738" i="24" s="1"/>
  <c r="C738" i="24"/>
  <c r="C736" i="24"/>
  <c r="E736" i="24" s="1"/>
  <c r="G736" i="24" s="1"/>
  <c r="C735" i="24"/>
  <c r="E735" i="24" s="1"/>
  <c r="G735" i="24" s="1"/>
  <c r="C734" i="24"/>
  <c r="E732" i="24"/>
  <c r="G732" i="24" s="1"/>
  <c r="C732" i="24"/>
  <c r="E731" i="24"/>
  <c r="G731" i="24" s="1"/>
  <c r="C731" i="24"/>
  <c r="E730" i="24"/>
  <c r="G730" i="24" s="1"/>
  <c r="C730" i="24"/>
  <c r="E729" i="24"/>
  <c r="G729" i="24" s="1"/>
  <c r="C729" i="24"/>
  <c r="E728" i="24"/>
  <c r="G728" i="24" s="1"/>
  <c r="C728" i="24"/>
  <c r="E725" i="24"/>
  <c r="C725" i="24"/>
  <c r="B725" i="24"/>
  <c r="E723" i="24"/>
  <c r="G723" i="24" s="1"/>
  <c r="C723" i="24"/>
  <c r="E722" i="24"/>
  <c r="G722" i="24" s="1"/>
  <c r="C722" i="24"/>
  <c r="C721" i="24"/>
  <c r="E719" i="24"/>
  <c r="G719" i="24" s="1"/>
  <c r="C719" i="24"/>
  <c r="E718" i="24"/>
  <c r="G718" i="24" s="1"/>
  <c r="C718" i="24"/>
  <c r="C716" i="24"/>
  <c r="E716" i="24" s="1"/>
  <c r="G716" i="24" s="1"/>
  <c r="C715" i="24"/>
  <c r="E715" i="24" s="1"/>
  <c r="G715" i="24" s="1"/>
  <c r="C714" i="24"/>
  <c r="E712" i="24"/>
  <c r="G712" i="24" s="1"/>
  <c r="C712" i="24"/>
  <c r="C711" i="24"/>
  <c r="C710" i="24"/>
  <c r="E709" i="24"/>
  <c r="G709" i="24" s="1"/>
  <c r="C709" i="24"/>
  <c r="E708" i="24"/>
  <c r="G708" i="24" s="1"/>
  <c r="C708" i="24"/>
  <c r="E705" i="24"/>
  <c r="C705" i="24"/>
  <c r="B705" i="24"/>
  <c r="E703" i="24"/>
  <c r="G703" i="24" s="1"/>
  <c r="C703" i="24"/>
  <c r="E702" i="24"/>
  <c r="G702" i="24" s="1"/>
  <c r="C702" i="24"/>
  <c r="C701" i="24"/>
  <c r="E699" i="24"/>
  <c r="G699" i="24" s="1"/>
  <c r="C699" i="24"/>
  <c r="E698" i="24"/>
  <c r="G698" i="24" s="1"/>
  <c r="C698" i="24"/>
  <c r="C696" i="24"/>
  <c r="E696" i="24" s="1"/>
  <c r="G696" i="24" s="1"/>
  <c r="C695" i="24"/>
  <c r="E695" i="24" s="1"/>
  <c r="G695" i="24" s="1"/>
  <c r="C694" i="24"/>
  <c r="E692" i="24"/>
  <c r="G692" i="24" s="1"/>
  <c r="C692" i="24"/>
  <c r="C691" i="24"/>
  <c r="E690" i="24"/>
  <c r="G690" i="24" s="1"/>
  <c r="C690" i="24"/>
  <c r="E689" i="24"/>
  <c r="G689" i="24" s="1"/>
  <c r="C689" i="24"/>
  <c r="E688" i="24"/>
  <c r="G688" i="24" s="1"/>
  <c r="C688" i="24"/>
  <c r="E685" i="24"/>
  <c r="C685" i="24"/>
  <c r="B685" i="24"/>
  <c r="E683" i="24"/>
  <c r="G683" i="24" s="1"/>
  <c r="C683" i="24"/>
  <c r="E682" i="24"/>
  <c r="G682" i="24" s="1"/>
  <c r="C682" i="24"/>
  <c r="C681" i="24"/>
  <c r="E679" i="24"/>
  <c r="G679" i="24" s="1"/>
  <c r="C679" i="24"/>
  <c r="E678" i="24"/>
  <c r="G678" i="24" s="1"/>
  <c r="C678" i="24"/>
  <c r="C676" i="24"/>
  <c r="E676" i="24" s="1"/>
  <c r="G676" i="24" s="1"/>
  <c r="C675" i="24"/>
  <c r="E675" i="24" s="1"/>
  <c r="G675" i="24" s="1"/>
  <c r="C674" i="24"/>
  <c r="E672" i="24"/>
  <c r="G672" i="24" s="1"/>
  <c r="C672" i="24"/>
  <c r="C671" i="24"/>
  <c r="E670" i="24"/>
  <c r="G670" i="24" s="1"/>
  <c r="C670" i="24"/>
  <c r="E669" i="24"/>
  <c r="G669" i="24" s="1"/>
  <c r="C669" i="24"/>
  <c r="E668" i="24"/>
  <c r="G668" i="24" s="1"/>
  <c r="C668" i="24"/>
  <c r="E665" i="24"/>
  <c r="C665" i="24"/>
  <c r="B665" i="24"/>
  <c r="E663" i="24"/>
  <c r="G663" i="24" s="1"/>
  <c r="C663" i="24"/>
  <c r="E662" i="24"/>
  <c r="G662" i="24" s="1"/>
  <c r="C662" i="24"/>
  <c r="C661" i="24"/>
  <c r="E659" i="24"/>
  <c r="G659" i="24" s="1"/>
  <c r="C659" i="24"/>
  <c r="E658" i="24"/>
  <c r="G658" i="24" s="1"/>
  <c r="C658" i="24"/>
  <c r="C656" i="24"/>
  <c r="E656" i="24" s="1"/>
  <c r="G656" i="24" s="1"/>
  <c r="C655" i="24"/>
  <c r="E655" i="24" s="1"/>
  <c r="G655" i="24" s="1"/>
  <c r="C654" i="24"/>
  <c r="E652" i="24"/>
  <c r="G652" i="24" s="1"/>
  <c r="C652" i="24"/>
  <c r="E651" i="24"/>
  <c r="G651" i="24" s="1"/>
  <c r="C651" i="24"/>
  <c r="E650" i="24"/>
  <c r="G650" i="24" s="1"/>
  <c r="C650" i="24"/>
  <c r="E649" i="24"/>
  <c r="G649" i="24" s="1"/>
  <c r="C649" i="24"/>
  <c r="E648" i="24"/>
  <c r="G648" i="24" s="1"/>
  <c r="C648" i="24"/>
  <c r="E645" i="24"/>
  <c r="C645" i="24"/>
  <c r="B645" i="24"/>
  <c r="E643" i="24"/>
  <c r="G643" i="24" s="1"/>
  <c r="C643" i="24"/>
  <c r="E642" i="24"/>
  <c r="G642" i="24" s="1"/>
  <c r="C642" i="24"/>
  <c r="C641" i="24"/>
  <c r="E639" i="24"/>
  <c r="G639" i="24" s="1"/>
  <c r="C639" i="24"/>
  <c r="E638" i="24"/>
  <c r="G638" i="24" s="1"/>
  <c r="C638" i="24"/>
  <c r="C636" i="24"/>
  <c r="E636" i="24" s="1"/>
  <c r="G636" i="24" s="1"/>
  <c r="C635" i="24"/>
  <c r="C634" i="24"/>
  <c r="E634" i="24" s="1"/>
  <c r="G634" i="24" s="1"/>
  <c r="E632" i="24"/>
  <c r="G632" i="24" s="1"/>
  <c r="C632" i="24"/>
  <c r="E631" i="24"/>
  <c r="G631" i="24" s="1"/>
  <c r="C631" i="24"/>
  <c r="E630" i="24"/>
  <c r="G630" i="24" s="1"/>
  <c r="C630" i="24"/>
  <c r="E629" i="24"/>
  <c r="G629" i="24" s="1"/>
  <c r="C629" i="24"/>
  <c r="E628" i="24"/>
  <c r="G628" i="24" s="1"/>
  <c r="C628" i="24"/>
  <c r="E625" i="24"/>
  <c r="C625" i="24"/>
  <c r="B625" i="24"/>
  <c r="E623" i="24"/>
  <c r="G623" i="24" s="1"/>
  <c r="C623" i="24"/>
  <c r="E622" i="24"/>
  <c r="G622" i="24" s="1"/>
  <c r="C622" i="24"/>
  <c r="C621" i="24"/>
  <c r="E619" i="24"/>
  <c r="G619" i="24" s="1"/>
  <c r="C619" i="24"/>
  <c r="E618" i="24"/>
  <c r="G618" i="24" s="1"/>
  <c r="C618" i="24"/>
  <c r="C616" i="24"/>
  <c r="C615" i="24"/>
  <c r="E615" i="24" s="1"/>
  <c r="G615" i="24" s="1"/>
  <c r="C614" i="24"/>
  <c r="E612" i="24"/>
  <c r="G612" i="24" s="1"/>
  <c r="C612" i="24"/>
  <c r="E611" i="24"/>
  <c r="G611" i="24" s="1"/>
  <c r="C611" i="24"/>
  <c r="E610" i="24"/>
  <c r="G610" i="24" s="1"/>
  <c r="C610" i="24"/>
  <c r="E609" i="24"/>
  <c r="G609" i="24" s="1"/>
  <c r="C609" i="24"/>
  <c r="E608" i="24"/>
  <c r="G608" i="24" s="1"/>
  <c r="C608" i="24"/>
  <c r="E605" i="24"/>
  <c r="C605" i="24"/>
  <c r="B605" i="24"/>
  <c r="E603" i="24"/>
  <c r="G603" i="24" s="1"/>
  <c r="C603" i="24"/>
  <c r="E602" i="24"/>
  <c r="G602" i="24" s="1"/>
  <c r="C602" i="24"/>
  <c r="C601" i="24"/>
  <c r="E599" i="24"/>
  <c r="G599" i="24" s="1"/>
  <c r="C599" i="24"/>
  <c r="E598" i="24"/>
  <c r="G598" i="24" s="1"/>
  <c r="C598" i="24"/>
  <c r="C596" i="24"/>
  <c r="E596" i="24" s="1"/>
  <c r="G596" i="24" s="1"/>
  <c r="C595" i="24"/>
  <c r="E595" i="24" s="1"/>
  <c r="G595" i="24" s="1"/>
  <c r="C594" i="24"/>
  <c r="E592" i="24"/>
  <c r="G592" i="24" s="1"/>
  <c r="C592" i="24"/>
  <c r="E591" i="24"/>
  <c r="G591" i="24" s="1"/>
  <c r="C591" i="24"/>
  <c r="E590" i="24"/>
  <c r="G590" i="24" s="1"/>
  <c r="C590" i="24"/>
  <c r="E589" i="24"/>
  <c r="G589" i="24" s="1"/>
  <c r="C589" i="24"/>
  <c r="E588" i="24"/>
  <c r="G588" i="24" s="1"/>
  <c r="C588" i="24"/>
  <c r="E585" i="24"/>
  <c r="C585" i="24"/>
  <c r="B585" i="24"/>
  <c r="E583" i="24"/>
  <c r="G583" i="24" s="1"/>
  <c r="C583" i="24"/>
  <c r="E582" i="24"/>
  <c r="G582" i="24" s="1"/>
  <c r="C582" i="24"/>
  <c r="C581" i="24"/>
  <c r="E579" i="24"/>
  <c r="G579" i="24" s="1"/>
  <c r="C579" i="24"/>
  <c r="E578" i="24"/>
  <c r="G578" i="24" s="1"/>
  <c r="C578" i="24"/>
  <c r="C576" i="24"/>
  <c r="E576" i="24" s="1"/>
  <c r="G576" i="24" s="1"/>
  <c r="C575" i="24"/>
  <c r="E575" i="24" s="1"/>
  <c r="G575" i="24" s="1"/>
  <c r="C574" i="24"/>
  <c r="E572" i="24"/>
  <c r="G572" i="24" s="1"/>
  <c r="C572" i="24"/>
  <c r="E571" i="24"/>
  <c r="G571" i="24" s="1"/>
  <c r="C571" i="24"/>
  <c r="E570" i="24"/>
  <c r="G570" i="24" s="1"/>
  <c r="C570" i="24"/>
  <c r="C569" i="24"/>
  <c r="E568" i="24"/>
  <c r="G568" i="24" s="1"/>
  <c r="C568" i="24"/>
  <c r="E565" i="24"/>
  <c r="C565" i="24"/>
  <c r="B565" i="24"/>
  <c r="E563" i="24"/>
  <c r="G563" i="24" s="1"/>
  <c r="C563" i="24"/>
  <c r="E562" i="24"/>
  <c r="G562" i="24" s="1"/>
  <c r="C562" i="24"/>
  <c r="C561" i="24"/>
  <c r="E559" i="24"/>
  <c r="G559" i="24" s="1"/>
  <c r="C559" i="24"/>
  <c r="E558" i="24"/>
  <c r="G558" i="24" s="1"/>
  <c r="C558" i="24"/>
  <c r="C556" i="24"/>
  <c r="E556" i="24" s="1"/>
  <c r="G556" i="24" s="1"/>
  <c r="C555" i="24"/>
  <c r="E555" i="24" s="1"/>
  <c r="G555" i="24" s="1"/>
  <c r="C554" i="24"/>
  <c r="E552" i="24"/>
  <c r="G552" i="24" s="1"/>
  <c r="C552" i="24"/>
  <c r="E551" i="24"/>
  <c r="G551" i="24" s="1"/>
  <c r="C551" i="24"/>
  <c r="E550" i="24"/>
  <c r="G550" i="24" s="1"/>
  <c r="C550" i="24"/>
  <c r="C549" i="24"/>
  <c r="E548" i="24"/>
  <c r="G548" i="24" s="1"/>
  <c r="C548" i="24"/>
  <c r="E545" i="24"/>
  <c r="C545" i="24"/>
  <c r="B545" i="24"/>
  <c r="E543" i="24"/>
  <c r="G543" i="24" s="1"/>
  <c r="C543" i="24"/>
  <c r="E542" i="24"/>
  <c r="G542" i="24" s="1"/>
  <c r="C542" i="24"/>
  <c r="C541" i="24"/>
  <c r="E539" i="24"/>
  <c r="G539" i="24" s="1"/>
  <c r="C539" i="24"/>
  <c r="E538" i="24"/>
  <c r="G538" i="24" s="1"/>
  <c r="C538" i="24"/>
  <c r="C536" i="24"/>
  <c r="E536" i="24" s="1"/>
  <c r="G536" i="24" s="1"/>
  <c r="C535" i="24"/>
  <c r="E535" i="24" s="1"/>
  <c r="G535" i="24" s="1"/>
  <c r="C534" i="24"/>
  <c r="E532" i="24"/>
  <c r="G532" i="24" s="1"/>
  <c r="C532" i="24"/>
  <c r="E531" i="24"/>
  <c r="G531" i="24" s="1"/>
  <c r="C531" i="24"/>
  <c r="E530" i="24"/>
  <c r="G530" i="24" s="1"/>
  <c r="C530" i="24"/>
  <c r="C529" i="24"/>
  <c r="E528" i="24"/>
  <c r="G528" i="24" s="1"/>
  <c r="C528" i="24"/>
  <c r="E525" i="24"/>
  <c r="C525" i="24"/>
  <c r="B525" i="24"/>
  <c r="E523" i="24"/>
  <c r="G523" i="24" s="1"/>
  <c r="C523" i="24"/>
  <c r="E522" i="24"/>
  <c r="G522" i="24" s="1"/>
  <c r="C522" i="24"/>
  <c r="C521" i="24"/>
  <c r="E519" i="24"/>
  <c r="G519" i="24" s="1"/>
  <c r="C519" i="24"/>
  <c r="E518" i="24"/>
  <c r="G518" i="24" s="1"/>
  <c r="C518" i="24"/>
  <c r="C516" i="24"/>
  <c r="E516" i="24" s="1"/>
  <c r="G516" i="24" s="1"/>
  <c r="C515" i="24"/>
  <c r="E515" i="24" s="1"/>
  <c r="G515" i="24" s="1"/>
  <c r="C514" i="24"/>
  <c r="E512" i="24"/>
  <c r="G512" i="24" s="1"/>
  <c r="C512" i="24"/>
  <c r="E511" i="24"/>
  <c r="G511" i="24" s="1"/>
  <c r="C511" i="24"/>
  <c r="E510" i="24"/>
  <c r="G510" i="24" s="1"/>
  <c r="C510" i="24"/>
  <c r="C509" i="24"/>
  <c r="E508" i="24"/>
  <c r="G508" i="24" s="1"/>
  <c r="C508" i="24"/>
  <c r="E505" i="24"/>
  <c r="C505" i="24"/>
  <c r="B505" i="24"/>
  <c r="E503" i="24"/>
  <c r="G503" i="24" s="1"/>
  <c r="C503" i="24"/>
  <c r="E502" i="24"/>
  <c r="G502" i="24" s="1"/>
  <c r="C502" i="24"/>
  <c r="C501" i="24"/>
  <c r="E499" i="24"/>
  <c r="G499" i="24" s="1"/>
  <c r="C499" i="24"/>
  <c r="E498" i="24"/>
  <c r="G498" i="24" s="1"/>
  <c r="C498" i="24"/>
  <c r="C496" i="24"/>
  <c r="E496" i="24" s="1"/>
  <c r="G496" i="24" s="1"/>
  <c r="C495" i="24"/>
  <c r="E495" i="24" s="1"/>
  <c r="G495" i="24" s="1"/>
  <c r="C494" i="24"/>
  <c r="E492" i="24"/>
  <c r="G492" i="24" s="1"/>
  <c r="C492" i="24"/>
  <c r="C491" i="24"/>
  <c r="E490" i="24"/>
  <c r="G490" i="24" s="1"/>
  <c r="C490" i="24"/>
  <c r="E489" i="24"/>
  <c r="G489" i="24" s="1"/>
  <c r="C489" i="24"/>
  <c r="E488" i="24"/>
  <c r="G488" i="24" s="1"/>
  <c r="C488" i="24"/>
  <c r="E485" i="24"/>
  <c r="C485" i="24"/>
  <c r="B485" i="24"/>
  <c r="E483" i="24"/>
  <c r="G483" i="24" s="1"/>
  <c r="C483" i="24"/>
  <c r="E482" i="24"/>
  <c r="G482" i="24" s="1"/>
  <c r="C482" i="24"/>
  <c r="C481" i="24"/>
  <c r="E479" i="24"/>
  <c r="G479" i="24" s="1"/>
  <c r="C479" i="24"/>
  <c r="E478" i="24"/>
  <c r="G478" i="24" s="1"/>
  <c r="C478" i="24"/>
  <c r="C476" i="24"/>
  <c r="E476" i="24" s="1"/>
  <c r="G476" i="24" s="1"/>
  <c r="C475" i="24"/>
  <c r="C474" i="24"/>
  <c r="E474" i="24" s="1"/>
  <c r="G474" i="24" s="1"/>
  <c r="E472" i="24"/>
  <c r="G472" i="24" s="1"/>
  <c r="C472" i="24"/>
  <c r="E471" i="24"/>
  <c r="G471" i="24" s="1"/>
  <c r="C471" i="24"/>
  <c r="E470" i="24"/>
  <c r="G470" i="24" s="1"/>
  <c r="C470" i="24"/>
  <c r="E469" i="24"/>
  <c r="G469" i="24" s="1"/>
  <c r="C469" i="24"/>
  <c r="E468" i="24"/>
  <c r="G468" i="24" s="1"/>
  <c r="C468" i="24"/>
  <c r="E467" i="24"/>
  <c r="G467" i="24" s="1"/>
  <c r="C467" i="24"/>
  <c r="E464" i="24"/>
  <c r="C464" i="24"/>
  <c r="B464" i="24"/>
  <c r="E462" i="24"/>
  <c r="G462" i="24" s="1"/>
  <c r="C462" i="24"/>
  <c r="E461" i="24"/>
  <c r="G461" i="24" s="1"/>
  <c r="C461" i="24"/>
  <c r="C460" i="24"/>
  <c r="E458" i="24"/>
  <c r="G458" i="24" s="1"/>
  <c r="C458" i="24"/>
  <c r="E457" i="24"/>
  <c r="G457" i="24" s="1"/>
  <c r="C457" i="24"/>
  <c r="C455" i="24"/>
  <c r="C454" i="24"/>
  <c r="C453" i="24"/>
  <c r="E453" i="24" s="1"/>
  <c r="G453" i="24" s="1"/>
  <c r="E451" i="24"/>
  <c r="G451" i="24" s="1"/>
  <c r="C451" i="24"/>
  <c r="E450" i="24"/>
  <c r="G450" i="24" s="1"/>
  <c r="C450" i="24"/>
  <c r="E449" i="24"/>
  <c r="G449" i="24" s="1"/>
  <c r="C449" i="24"/>
  <c r="C448" i="24"/>
  <c r="E447" i="24"/>
  <c r="G447" i="24" s="1"/>
  <c r="C447" i="24"/>
  <c r="E444" i="24"/>
  <c r="C444" i="24"/>
  <c r="B444" i="24"/>
  <c r="E442" i="24"/>
  <c r="G442" i="24" s="1"/>
  <c r="C442" i="24"/>
  <c r="E441" i="24"/>
  <c r="G441" i="24" s="1"/>
  <c r="C441" i="24"/>
  <c r="C440" i="24"/>
  <c r="E438" i="24"/>
  <c r="G438" i="24" s="1"/>
  <c r="C438" i="24"/>
  <c r="E437" i="24"/>
  <c r="G437" i="24" s="1"/>
  <c r="C437" i="24"/>
  <c r="C435" i="24"/>
  <c r="C434" i="24"/>
  <c r="C433" i="24"/>
  <c r="E433" i="24" s="1"/>
  <c r="G433" i="24" s="1"/>
  <c r="E431" i="24"/>
  <c r="G431" i="24" s="1"/>
  <c r="C431" i="24"/>
  <c r="E430" i="24"/>
  <c r="G430" i="24" s="1"/>
  <c r="C430" i="24"/>
  <c r="E429" i="24"/>
  <c r="G429" i="24" s="1"/>
  <c r="C429" i="24"/>
  <c r="E428" i="24"/>
  <c r="G428" i="24" s="1"/>
  <c r="C428" i="24"/>
  <c r="E427" i="24"/>
  <c r="G427" i="24" s="1"/>
  <c r="C427" i="24"/>
  <c r="E424" i="24"/>
  <c r="C424" i="24"/>
  <c r="B424" i="24"/>
  <c r="E422" i="24"/>
  <c r="G422" i="24" s="1"/>
  <c r="C422" i="24"/>
  <c r="E421" i="24"/>
  <c r="G421" i="24" s="1"/>
  <c r="C421" i="24"/>
  <c r="C420" i="24"/>
  <c r="E418" i="24"/>
  <c r="G418" i="24" s="1"/>
  <c r="C418" i="24"/>
  <c r="E417" i="24"/>
  <c r="G417" i="24" s="1"/>
  <c r="C417" i="24"/>
  <c r="C415" i="24"/>
  <c r="E415" i="24" s="1"/>
  <c r="G415" i="24" s="1"/>
  <c r="C414" i="24"/>
  <c r="E414" i="24" s="1"/>
  <c r="G414" i="24" s="1"/>
  <c r="C413" i="24"/>
  <c r="E411" i="24"/>
  <c r="G411" i="24" s="1"/>
  <c r="C411" i="24"/>
  <c r="E410" i="24"/>
  <c r="G410" i="24" s="1"/>
  <c r="C410" i="24"/>
  <c r="E409" i="24"/>
  <c r="G409" i="24" s="1"/>
  <c r="C409" i="24"/>
  <c r="E408" i="24"/>
  <c r="G408" i="24" s="1"/>
  <c r="C408" i="24"/>
  <c r="E407" i="24"/>
  <c r="G407" i="24" s="1"/>
  <c r="C407" i="24"/>
  <c r="E404" i="24"/>
  <c r="C404" i="24"/>
  <c r="B404" i="24"/>
  <c r="E402" i="24"/>
  <c r="G402" i="24" s="1"/>
  <c r="C402" i="24"/>
  <c r="E401" i="24"/>
  <c r="G401" i="24" s="1"/>
  <c r="C401" i="24"/>
  <c r="C400" i="24"/>
  <c r="E398" i="24"/>
  <c r="G398" i="24" s="1"/>
  <c r="C398" i="24"/>
  <c r="E397" i="24"/>
  <c r="G397" i="24" s="1"/>
  <c r="C397" i="24"/>
  <c r="C395" i="24"/>
  <c r="E395" i="24" s="1"/>
  <c r="G395" i="24" s="1"/>
  <c r="C394" i="24"/>
  <c r="E394" i="24" s="1"/>
  <c r="G394" i="24" s="1"/>
  <c r="C393" i="24"/>
  <c r="E391" i="24"/>
  <c r="G391" i="24" s="1"/>
  <c r="C391" i="24"/>
  <c r="E390" i="24"/>
  <c r="G390" i="24" s="1"/>
  <c r="C390" i="24"/>
  <c r="E389" i="24"/>
  <c r="G389" i="24" s="1"/>
  <c r="C389" i="24"/>
  <c r="E388" i="24"/>
  <c r="G388" i="24" s="1"/>
  <c r="C388" i="24"/>
  <c r="E387" i="24"/>
  <c r="G387" i="24" s="1"/>
  <c r="C387" i="24"/>
  <c r="E384" i="24"/>
  <c r="C384" i="24"/>
  <c r="B384" i="24"/>
  <c r="E382" i="24"/>
  <c r="G382" i="24" s="1"/>
  <c r="C382" i="24"/>
  <c r="E381" i="24"/>
  <c r="G381" i="24" s="1"/>
  <c r="C381" i="24"/>
  <c r="C380" i="24"/>
  <c r="E378" i="24"/>
  <c r="G378" i="24" s="1"/>
  <c r="C378" i="24"/>
  <c r="E377" i="24"/>
  <c r="G377" i="24" s="1"/>
  <c r="C377" i="24"/>
  <c r="C375" i="24"/>
  <c r="C374" i="24"/>
  <c r="E374" i="24" s="1"/>
  <c r="G374" i="24" s="1"/>
  <c r="C373" i="24"/>
  <c r="E371" i="24"/>
  <c r="G371" i="24" s="1"/>
  <c r="C371" i="24"/>
  <c r="E370" i="24"/>
  <c r="G370" i="24" s="1"/>
  <c r="C370" i="24"/>
  <c r="E369" i="24"/>
  <c r="G369" i="24" s="1"/>
  <c r="C369" i="24"/>
  <c r="E368" i="24"/>
  <c r="G368" i="24" s="1"/>
  <c r="C368" i="24"/>
  <c r="E367" i="24"/>
  <c r="G367" i="24" s="1"/>
  <c r="C367" i="24"/>
  <c r="E364" i="24"/>
  <c r="C364" i="24"/>
  <c r="B364" i="24"/>
  <c r="E362" i="24"/>
  <c r="G362" i="24" s="1"/>
  <c r="C362" i="24"/>
  <c r="E361" i="24"/>
  <c r="G361" i="24" s="1"/>
  <c r="C361" i="24"/>
  <c r="C360" i="24"/>
  <c r="E358" i="24"/>
  <c r="G358" i="24" s="1"/>
  <c r="C358" i="24"/>
  <c r="E357" i="24"/>
  <c r="G357" i="24" s="1"/>
  <c r="C357" i="24"/>
  <c r="C355" i="24"/>
  <c r="E355" i="24" s="1"/>
  <c r="G355" i="24" s="1"/>
  <c r="C354" i="24"/>
  <c r="C353" i="24"/>
  <c r="E353" i="24" s="1"/>
  <c r="G353" i="24" s="1"/>
  <c r="E351" i="24"/>
  <c r="G351" i="24" s="1"/>
  <c r="C351" i="24"/>
  <c r="E350" i="24"/>
  <c r="G350" i="24" s="1"/>
  <c r="C350" i="24"/>
  <c r="E349" i="24"/>
  <c r="G349" i="24" s="1"/>
  <c r="C349" i="24"/>
  <c r="C348" i="24"/>
  <c r="E347" i="24"/>
  <c r="G347" i="24" s="1"/>
  <c r="C347" i="24"/>
  <c r="E344" i="24"/>
  <c r="C344" i="24"/>
  <c r="B344" i="24"/>
  <c r="E342" i="24"/>
  <c r="G342" i="24" s="1"/>
  <c r="C342" i="24"/>
  <c r="E341" i="24"/>
  <c r="G341" i="24" s="1"/>
  <c r="C341" i="24"/>
  <c r="C340" i="24"/>
  <c r="E338" i="24"/>
  <c r="G338" i="24" s="1"/>
  <c r="C338" i="24"/>
  <c r="E337" i="24"/>
  <c r="G337" i="24" s="1"/>
  <c r="C337" i="24"/>
  <c r="C335" i="24"/>
  <c r="C334" i="24"/>
  <c r="E334" i="24" s="1"/>
  <c r="G334" i="24" s="1"/>
  <c r="C333" i="24"/>
  <c r="E333" i="24" s="1"/>
  <c r="G333" i="24" s="1"/>
  <c r="E331" i="24"/>
  <c r="G331" i="24" s="1"/>
  <c r="C331" i="24"/>
  <c r="E330" i="24"/>
  <c r="G330" i="24" s="1"/>
  <c r="C330" i="24"/>
  <c r="E329" i="24"/>
  <c r="G329" i="24" s="1"/>
  <c r="C329" i="24"/>
  <c r="E328" i="24"/>
  <c r="G328" i="24" s="1"/>
  <c r="C328" i="24"/>
  <c r="E327" i="24"/>
  <c r="G327" i="24" s="1"/>
  <c r="C327" i="24"/>
  <c r="E324" i="24"/>
  <c r="C324" i="24"/>
  <c r="B324" i="24"/>
  <c r="E322" i="24"/>
  <c r="G322" i="24" s="1"/>
  <c r="C322" i="24"/>
  <c r="E321" i="24"/>
  <c r="G321" i="24" s="1"/>
  <c r="C321" i="24"/>
  <c r="C320" i="24"/>
  <c r="E318" i="24"/>
  <c r="G318" i="24" s="1"/>
  <c r="C318" i="24"/>
  <c r="E317" i="24"/>
  <c r="G317" i="24" s="1"/>
  <c r="C317" i="24"/>
  <c r="C315" i="24"/>
  <c r="C314" i="24"/>
  <c r="E314" i="24" s="1"/>
  <c r="G314" i="24" s="1"/>
  <c r="C313" i="24"/>
  <c r="E313" i="24" s="1"/>
  <c r="G313" i="24" s="1"/>
  <c r="E311" i="24"/>
  <c r="G311" i="24" s="1"/>
  <c r="C311" i="24"/>
  <c r="E310" i="24"/>
  <c r="G310" i="24" s="1"/>
  <c r="C310" i="24"/>
  <c r="E309" i="24"/>
  <c r="G309" i="24" s="1"/>
  <c r="C309" i="24"/>
  <c r="E308" i="24"/>
  <c r="G308" i="24" s="1"/>
  <c r="C308" i="24"/>
  <c r="E307" i="24"/>
  <c r="G307" i="24" s="1"/>
  <c r="C307" i="24"/>
  <c r="E304" i="24"/>
  <c r="C304" i="24"/>
  <c r="B304" i="24"/>
  <c r="E302" i="24"/>
  <c r="G302" i="24" s="1"/>
  <c r="C302" i="24"/>
  <c r="E301" i="24"/>
  <c r="G301" i="24" s="1"/>
  <c r="C301" i="24"/>
  <c r="C300" i="24"/>
  <c r="E298" i="24"/>
  <c r="G298" i="24" s="1"/>
  <c r="C298" i="24"/>
  <c r="E297" i="24"/>
  <c r="G297" i="24" s="1"/>
  <c r="C297" i="24"/>
  <c r="C295" i="24"/>
  <c r="E295" i="24" s="1"/>
  <c r="G295" i="24" s="1"/>
  <c r="C294" i="24"/>
  <c r="E294" i="24" s="1"/>
  <c r="G294" i="24" s="1"/>
  <c r="C293" i="24"/>
  <c r="E291" i="24"/>
  <c r="G291" i="24" s="1"/>
  <c r="C291" i="24"/>
  <c r="E290" i="24"/>
  <c r="G290" i="24" s="1"/>
  <c r="C290" i="24"/>
  <c r="E289" i="24"/>
  <c r="G289" i="24" s="1"/>
  <c r="C289" i="24"/>
  <c r="E288" i="24"/>
  <c r="G288" i="24" s="1"/>
  <c r="C288" i="24"/>
  <c r="E287" i="24"/>
  <c r="G287" i="24" s="1"/>
  <c r="C287" i="24"/>
  <c r="E284" i="24"/>
  <c r="C284" i="24"/>
  <c r="B284" i="24"/>
  <c r="E282" i="24"/>
  <c r="G282" i="24" s="1"/>
  <c r="C282" i="24"/>
  <c r="E281" i="24"/>
  <c r="G281" i="24" s="1"/>
  <c r="C281" i="24"/>
  <c r="C280" i="24"/>
  <c r="E278" i="24"/>
  <c r="G278" i="24" s="1"/>
  <c r="C278" i="24"/>
  <c r="E277" i="24"/>
  <c r="G277" i="24" s="1"/>
  <c r="C277" i="24"/>
  <c r="C275" i="24"/>
  <c r="E275" i="24" s="1"/>
  <c r="G275" i="24" s="1"/>
  <c r="C274" i="24"/>
  <c r="C273" i="24"/>
  <c r="E273" i="24" s="1"/>
  <c r="G273" i="24" s="1"/>
  <c r="E271" i="24"/>
  <c r="G271" i="24" s="1"/>
  <c r="C271" i="24"/>
  <c r="E270" i="24"/>
  <c r="G270" i="24" s="1"/>
  <c r="C270" i="24"/>
  <c r="E269" i="24"/>
  <c r="G269" i="24" s="1"/>
  <c r="C269" i="24"/>
  <c r="E268" i="24"/>
  <c r="G268" i="24" s="1"/>
  <c r="C268" i="24"/>
  <c r="E267" i="24"/>
  <c r="G267" i="24" s="1"/>
  <c r="C267" i="24"/>
  <c r="E264" i="24"/>
  <c r="C264" i="24"/>
  <c r="B264" i="24"/>
  <c r="E262" i="24"/>
  <c r="G262" i="24" s="1"/>
  <c r="C262" i="24"/>
  <c r="E261" i="24"/>
  <c r="G261" i="24" s="1"/>
  <c r="C261" i="24"/>
  <c r="C260" i="24"/>
  <c r="E258" i="24"/>
  <c r="G258" i="24" s="1"/>
  <c r="C258" i="24"/>
  <c r="E257" i="24"/>
  <c r="G257" i="24" s="1"/>
  <c r="C257" i="24"/>
  <c r="C255" i="24"/>
  <c r="E255" i="24" s="1"/>
  <c r="G255" i="24" s="1"/>
  <c r="C254" i="24"/>
  <c r="E254" i="24" s="1"/>
  <c r="G254" i="24" s="1"/>
  <c r="C253" i="24"/>
  <c r="E251" i="24"/>
  <c r="G251" i="24" s="1"/>
  <c r="C251" i="24"/>
  <c r="E250" i="24"/>
  <c r="G250" i="24" s="1"/>
  <c r="C250" i="24"/>
  <c r="E249" i="24"/>
  <c r="G249" i="24" s="1"/>
  <c r="C249" i="24"/>
  <c r="E248" i="24"/>
  <c r="G248" i="24" s="1"/>
  <c r="C248" i="24"/>
  <c r="E247" i="24"/>
  <c r="G247" i="24" s="1"/>
  <c r="C247" i="24"/>
  <c r="E244" i="24"/>
  <c r="C244" i="24"/>
  <c r="B244" i="24"/>
  <c r="E242" i="24"/>
  <c r="G242" i="24" s="1"/>
  <c r="C242" i="24"/>
  <c r="E241" i="24"/>
  <c r="G241" i="24" s="1"/>
  <c r="C241" i="24"/>
  <c r="C240" i="24"/>
  <c r="E238" i="24"/>
  <c r="G238" i="24" s="1"/>
  <c r="C238" i="24"/>
  <c r="E237" i="24"/>
  <c r="G237" i="24" s="1"/>
  <c r="C237" i="24"/>
  <c r="C235" i="24"/>
  <c r="E235" i="24" s="1"/>
  <c r="G235" i="24" s="1"/>
  <c r="C234" i="24"/>
  <c r="E234" i="24" s="1"/>
  <c r="G234" i="24" s="1"/>
  <c r="C233" i="24"/>
  <c r="E231" i="24"/>
  <c r="G231" i="24" s="1"/>
  <c r="C231" i="24"/>
  <c r="E230" i="24"/>
  <c r="G230" i="24" s="1"/>
  <c r="C230" i="24"/>
  <c r="E229" i="24"/>
  <c r="G229" i="24" s="1"/>
  <c r="C229" i="24"/>
  <c r="E228" i="24"/>
  <c r="G228" i="24" s="1"/>
  <c r="C228" i="24"/>
  <c r="E227" i="24"/>
  <c r="G227" i="24" s="1"/>
  <c r="C227" i="24"/>
  <c r="E224" i="24"/>
  <c r="C224" i="24"/>
  <c r="B224" i="24"/>
  <c r="E222" i="24"/>
  <c r="G222" i="24" s="1"/>
  <c r="C222" i="24"/>
  <c r="E221" i="24"/>
  <c r="G221" i="24" s="1"/>
  <c r="C221" i="24"/>
  <c r="C220" i="24"/>
  <c r="E218" i="24"/>
  <c r="G218" i="24" s="1"/>
  <c r="C218" i="24"/>
  <c r="E217" i="24"/>
  <c r="G217" i="24" s="1"/>
  <c r="C217" i="24"/>
  <c r="C215" i="24"/>
  <c r="E215" i="24" s="1"/>
  <c r="G215" i="24" s="1"/>
  <c r="C214" i="24"/>
  <c r="E214" i="24" s="1"/>
  <c r="G214" i="24" s="1"/>
  <c r="C213" i="24"/>
  <c r="E211" i="24"/>
  <c r="G211" i="24" s="1"/>
  <c r="C211" i="24"/>
  <c r="E210" i="24"/>
  <c r="G210" i="24" s="1"/>
  <c r="C210" i="24"/>
  <c r="E209" i="24"/>
  <c r="G209" i="24" s="1"/>
  <c r="C209" i="24"/>
  <c r="E208" i="24"/>
  <c r="G208" i="24" s="1"/>
  <c r="C208" i="24"/>
  <c r="E207" i="24"/>
  <c r="G207" i="24" s="1"/>
  <c r="C207" i="24"/>
  <c r="E204" i="24"/>
  <c r="C204" i="24"/>
  <c r="B204" i="24"/>
  <c r="E202" i="24"/>
  <c r="G202" i="24" s="1"/>
  <c r="C202" i="24"/>
  <c r="E201" i="24"/>
  <c r="G201" i="24" s="1"/>
  <c r="C201" i="24"/>
  <c r="C200" i="24"/>
  <c r="E198" i="24"/>
  <c r="G198" i="24" s="1"/>
  <c r="C198" i="24"/>
  <c r="E197" i="24"/>
  <c r="G197" i="24" s="1"/>
  <c r="C197" i="24"/>
  <c r="C195" i="24"/>
  <c r="E195" i="24" s="1"/>
  <c r="G195" i="24" s="1"/>
  <c r="C194" i="24"/>
  <c r="C193" i="24"/>
  <c r="E193" i="24" s="1"/>
  <c r="G193" i="24" s="1"/>
  <c r="E191" i="24"/>
  <c r="G191" i="24" s="1"/>
  <c r="C191" i="24"/>
  <c r="E190" i="24"/>
  <c r="G190" i="24" s="1"/>
  <c r="C190" i="24"/>
  <c r="E189" i="24"/>
  <c r="G189" i="24" s="1"/>
  <c r="C189" i="24"/>
  <c r="E188" i="24"/>
  <c r="G188" i="24" s="1"/>
  <c r="C188" i="24"/>
  <c r="E187" i="24"/>
  <c r="G187" i="24" s="1"/>
  <c r="C187" i="24"/>
  <c r="E184" i="24"/>
  <c r="C184" i="24"/>
  <c r="B184" i="24"/>
  <c r="E182" i="24"/>
  <c r="G182" i="24" s="1"/>
  <c r="C182" i="24"/>
  <c r="E181" i="24"/>
  <c r="G181" i="24" s="1"/>
  <c r="C181" i="24"/>
  <c r="C180" i="24"/>
  <c r="E178" i="24"/>
  <c r="G178" i="24" s="1"/>
  <c r="C178" i="24"/>
  <c r="E177" i="24"/>
  <c r="G177" i="24" s="1"/>
  <c r="C177" i="24"/>
  <c r="C175" i="24"/>
  <c r="E175" i="24" s="1"/>
  <c r="G175" i="24" s="1"/>
  <c r="C174" i="24"/>
  <c r="C173" i="24"/>
  <c r="E173" i="24" s="1"/>
  <c r="G173" i="24" s="1"/>
  <c r="E171" i="24"/>
  <c r="G171" i="24" s="1"/>
  <c r="C171" i="24"/>
  <c r="E170" i="24"/>
  <c r="G170" i="24" s="1"/>
  <c r="C170" i="24"/>
  <c r="E169" i="24"/>
  <c r="G169" i="24" s="1"/>
  <c r="C169" i="24"/>
  <c r="E168" i="24"/>
  <c r="G168" i="24" s="1"/>
  <c r="C168" i="24"/>
  <c r="E167" i="24"/>
  <c r="G167" i="24" s="1"/>
  <c r="C167" i="24"/>
  <c r="E164" i="24"/>
  <c r="C164" i="24"/>
  <c r="B164" i="24"/>
  <c r="E162" i="24"/>
  <c r="G162" i="24" s="1"/>
  <c r="C162" i="24"/>
  <c r="E161" i="24"/>
  <c r="G161" i="24" s="1"/>
  <c r="C161" i="24"/>
  <c r="C160" i="24"/>
  <c r="E158" i="24"/>
  <c r="G158" i="24" s="1"/>
  <c r="C158" i="24"/>
  <c r="E157" i="24"/>
  <c r="G157" i="24" s="1"/>
  <c r="C157" i="24"/>
  <c r="C155" i="24"/>
  <c r="E155" i="24" s="1"/>
  <c r="G155" i="24" s="1"/>
  <c r="C154" i="24"/>
  <c r="E154" i="24" s="1"/>
  <c r="G154" i="24" s="1"/>
  <c r="C153" i="24"/>
  <c r="E151" i="24"/>
  <c r="G151" i="24" s="1"/>
  <c r="C151" i="24"/>
  <c r="E150" i="24"/>
  <c r="G150" i="24" s="1"/>
  <c r="C150" i="24"/>
  <c r="E149" i="24"/>
  <c r="G149" i="24" s="1"/>
  <c r="C149" i="24"/>
  <c r="E148" i="24"/>
  <c r="G148" i="24" s="1"/>
  <c r="C148" i="24"/>
  <c r="E147" i="24"/>
  <c r="G147" i="24" s="1"/>
  <c r="C147" i="24"/>
  <c r="E144" i="24"/>
  <c r="C144" i="24"/>
  <c r="B144" i="24"/>
  <c r="E142" i="24"/>
  <c r="G142" i="24" s="1"/>
  <c r="C142" i="24"/>
  <c r="E141" i="24"/>
  <c r="G141" i="24" s="1"/>
  <c r="C141" i="24"/>
  <c r="C140" i="24"/>
  <c r="E138" i="24"/>
  <c r="G138" i="24" s="1"/>
  <c r="C138" i="24"/>
  <c r="E137" i="24"/>
  <c r="G137" i="24" s="1"/>
  <c r="C137" i="24"/>
  <c r="C135" i="24"/>
  <c r="E135" i="24" s="1"/>
  <c r="G135" i="24" s="1"/>
  <c r="C134" i="24"/>
  <c r="E134" i="24" s="1"/>
  <c r="G134" i="24" s="1"/>
  <c r="C133" i="24"/>
  <c r="E131" i="24"/>
  <c r="G131" i="24" s="1"/>
  <c r="C131" i="24"/>
  <c r="E130" i="24"/>
  <c r="G130" i="24" s="1"/>
  <c r="C130" i="24"/>
  <c r="E129" i="24"/>
  <c r="G129" i="24" s="1"/>
  <c r="C129" i="24"/>
  <c r="E128" i="24"/>
  <c r="G128" i="24" s="1"/>
  <c r="C128" i="24"/>
  <c r="E127" i="24"/>
  <c r="G127" i="24" s="1"/>
  <c r="C127" i="24"/>
  <c r="E124" i="24"/>
  <c r="C124" i="24"/>
  <c r="B124" i="24"/>
  <c r="E122" i="24"/>
  <c r="G122" i="24" s="1"/>
  <c r="C122" i="24"/>
  <c r="E121" i="24"/>
  <c r="G121" i="24" s="1"/>
  <c r="C121" i="24"/>
  <c r="C120" i="24"/>
  <c r="E118" i="24"/>
  <c r="G118" i="24" s="1"/>
  <c r="C118" i="24"/>
  <c r="E117" i="24"/>
  <c r="G117" i="24" s="1"/>
  <c r="C117" i="24"/>
  <c r="C115" i="24"/>
  <c r="E115" i="24" s="1"/>
  <c r="G115" i="24" s="1"/>
  <c r="C114" i="24"/>
  <c r="C113" i="24"/>
  <c r="E113" i="24" s="1"/>
  <c r="G113" i="24" s="1"/>
  <c r="E111" i="24"/>
  <c r="G111" i="24" s="1"/>
  <c r="C111" i="24"/>
  <c r="E110" i="24"/>
  <c r="G110" i="24" s="1"/>
  <c r="C110" i="24"/>
  <c r="E109" i="24"/>
  <c r="G109" i="24" s="1"/>
  <c r="C109" i="24"/>
  <c r="E108" i="24"/>
  <c r="G108" i="24" s="1"/>
  <c r="C108" i="24"/>
  <c r="E107" i="24"/>
  <c r="G107" i="24" s="1"/>
  <c r="C107" i="24"/>
  <c r="E104" i="24"/>
  <c r="C104" i="24"/>
  <c r="B104" i="24"/>
  <c r="E102" i="24"/>
  <c r="G102" i="24" s="1"/>
  <c r="C102" i="24"/>
  <c r="E101" i="24"/>
  <c r="G101" i="24" s="1"/>
  <c r="C101" i="24"/>
  <c r="C100" i="24"/>
  <c r="E98" i="24"/>
  <c r="G98" i="24" s="1"/>
  <c r="C98" i="24"/>
  <c r="E97" i="24"/>
  <c r="G97" i="24" s="1"/>
  <c r="C97" i="24"/>
  <c r="C95" i="24"/>
  <c r="E95" i="24" s="1"/>
  <c r="G95" i="24" s="1"/>
  <c r="C94" i="24"/>
  <c r="C93" i="24"/>
  <c r="E93" i="24" s="1"/>
  <c r="G93" i="24" s="1"/>
  <c r="E91" i="24"/>
  <c r="G91" i="24" s="1"/>
  <c r="C91" i="24"/>
  <c r="E90" i="24"/>
  <c r="G90" i="24" s="1"/>
  <c r="C90" i="24"/>
  <c r="E89" i="24"/>
  <c r="G89" i="24" s="1"/>
  <c r="C89" i="24"/>
  <c r="E88" i="24"/>
  <c r="G88" i="24" s="1"/>
  <c r="C88" i="24"/>
  <c r="E87" i="24"/>
  <c r="G87" i="24" s="1"/>
  <c r="C87" i="24"/>
  <c r="E84" i="24"/>
  <c r="C84" i="24"/>
  <c r="B84" i="24"/>
  <c r="E82" i="24"/>
  <c r="G82" i="24" s="1"/>
  <c r="C82" i="24"/>
  <c r="E81" i="24"/>
  <c r="G81" i="24" s="1"/>
  <c r="C81" i="24"/>
  <c r="C80" i="24"/>
  <c r="E78" i="24"/>
  <c r="G78" i="24" s="1"/>
  <c r="C78" i="24"/>
  <c r="E77" i="24"/>
  <c r="G77" i="24" s="1"/>
  <c r="C77" i="24"/>
  <c r="C75" i="24"/>
  <c r="E75" i="24" s="1"/>
  <c r="G75" i="24" s="1"/>
  <c r="C74" i="24"/>
  <c r="C73" i="24"/>
  <c r="E73" i="24" s="1"/>
  <c r="G73" i="24" s="1"/>
  <c r="E71" i="24"/>
  <c r="G71" i="24" s="1"/>
  <c r="C71" i="24"/>
  <c r="E70" i="24"/>
  <c r="G70" i="24" s="1"/>
  <c r="C70" i="24"/>
  <c r="E69" i="24"/>
  <c r="G69" i="24" s="1"/>
  <c r="C69" i="24"/>
  <c r="E68" i="24"/>
  <c r="G68" i="24" s="1"/>
  <c r="C68" i="24"/>
  <c r="E67" i="24"/>
  <c r="G67" i="24" s="1"/>
  <c r="C67" i="24"/>
  <c r="E64" i="24"/>
  <c r="C64" i="24"/>
  <c r="B64" i="24"/>
  <c r="E62" i="24"/>
  <c r="G62" i="24" s="1"/>
  <c r="C62" i="24"/>
  <c r="E61" i="24"/>
  <c r="G61" i="24" s="1"/>
  <c r="C61" i="24"/>
  <c r="C60" i="24"/>
  <c r="E58" i="24"/>
  <c r="G58" i="24" s="1"/>
  <c r="C58" i="24"/>
  <c r="E57" i="24"/>
  <c r="G57" i="24" s="1"/>
  <c r="C57" i="24"/>
  <c r="C55" i="24"/>
  <c r="E55" i="24" s="1"/>
  <c r="G55" i="24" s="1"/>
  <c r="C54" i="24"/>
  <c r="C53" i="24"/>
  <c r="E53" i="24" s="1"/>
  <c r="G53" i="24" s="1"/>
  <c r="E51" i="24"/>
  <c r="G51" i="24" s="1"/>
  <c r="C51" i="24"/>
  <c r="E50" i="24"/>
  <c r="G50" i="24" s="1"/>
  <c r="C50" i="24"/>
  <c r="E49" i="24"/>
  <c r="G49" i="24" s="1"/>
  <c r="C49" i="24"/>
  <c r="E48" i="24"/>
  <c r="G48" i="24" s="1"/>
  <c r="C48" i="24"/>
  <c r="E47" i="24"/>
  <c r="G47" i="24" s="1"/>
  <c r="C47" i="24"/>
  <c r="E44" i="24"/>
  <c r="C44" i="24"/>
  <c r="B44" i="24"/>
  <c r="E42" i="24"/>
  <c r="G42" i="24" s="1"/>
  <c r="C42" i="24"/>
  <c r="E41" i="24"/>
  <c r="G41" i="24" s="1"/>
  <c r="C41" i="24"/>
  <c r="C40" i="24"/>
  <c r="E38" i="24"/>
  <c r="G38" i="24" s="1"/>
  <c r="C38" i="24"/>
  <c r="E37" i="24"/>
  <c r="G37" i="24" s="1"/>
  <c r="C37" i="24"/>
  <c r="C35" i="24"/>
  <c r="E35" i="24" s="1"/>
  <c r="G35" i="24" s="1"/>
  <c r="C34" i="24"/>
  <c r="C33" i="24"/>
  <c r="E33" i="24" s="1"/>
  <c r="G33" i="24" s="1"/>
  <c r="E31" i="24"/>
  <c r="G31" i="24" s="1"/>
  <c r="C31" i="24"/>
  <c r="E30" i="24"/>
  <c r="G30" i="24" s="1"/>
  <c r="C30" i="24"/>
  <c r="E29" i="24"/>
  <c r="D29" i="24"/>
  <c r="C29" i="24"/>
  <c r="E28" i="24"/>
  <c r="G28" i="24" s="1"/>
  <c r="C28" i="24"/>
  <c r="E27" i="24"/>
  <c r="G27" i="24" s="1"/>
  <c r="C27" i="24"/>
  <c r="E24" i="24"/>
  <c r="C24" i="24"/>
  <c r="B24" i="24"/>
  <c r="E22" i="24"/>
  <c r="G22" i="24" s="1"/>
  <c r="C22" i="24"/>
  <c r="E21" i="24"/>
  <c r="G21" i="24" s="1"/>
  <c r="C21" i="24"/>
  <c r="C20" i="24"/>
  <c r="E18" i="24"/>
  <c r="G18" i="24" s="1"/>
  <c r="C18" i="24"/>
  <c r="E17" i="24"/>
  <c r="G17" i="24" s="1"/>
  <c r="C17" i="24"/>
  <c r="C15" i="24"/>
  <c r="E15" i="24" s="1"/>
  <c r="G15" i="24" s="1"/>
  <c r="C14" i="24"/>
  <c r="E14" i="24" s="1"/>
  <c r="G14" i="24" s="1"/>
  <c r="C13" i="24"/>
  <c r="E11" i="24"/>
  <c r="G11" i="24" s="1"/>
  <c r="C11" i="24"/>
  <c r="E10" i="24"/>
  <c r="G10" i="24" s="1"/>
  <c r="C10" i="24"/>
  <c r="E9" i="24"/>
  <c r="G9" i="24" s="1"/>
  <c r="C9" i="24"/>
  <c r="E8" i="24"/>
  <c r="G8" i="24" s="1"/>
  <c r="C8" i="24"/>
  <c r="E7" i="24"/>
  <c r="G7" i="24" s="1"/>
  <c r="C7" i="24"/>
  <c r="E4" i="24"/>
  <c r="C4" i="24"/>
  <c r="B4" i="24"/>
  <c r="B1241" i="24"/>
  <c r="C1241" i="24"/>
  <c r="E1241" i="24"/>
  <c r="C1244" i="24"/>
  <c r="C1245" i="24"/>
  <c r="E1245" i="24"/>
  <c r="G1245" i="24" s="1"/>
  <c r="C1246" i="24"/>
  <c r="E1246" i="24"/>
  <c r="G1246" i="24" s="1"/>
  <c r="C1247" i="24"/>
  <c r="E1247" i="24"/>
  <c r="G1247" i="24" s="1"/>
  <c r="C1248" i="24"/>
  <c r="E1248" i="24"/>
  <c r="G1248" i="24" s="1"/>
  <c r="C1250" i="24"/>
  <c r="E1250" i="24" s="1"/>
  <c r="G1250" i="24" s="1"/>
  <c r="C1251" i="24"/>
  <c r="C1252" i="24"/>
  <c r="E1252" i="24" s="1"/>
  <c r="G1252" i="24" s="1"/>
  <c r="C1254" i="24"/>
  <c r="E1254" i="24"/>
  <c r="G1254" i="24" s="1"/>
  <c r="C1255" i="24"/>
  <c r="E1255" i="24"/>
  <c r="G1255" i="24" s="1"/>
  <c r="C1257" i="24"/>
  <c r="C1258" i="24"/>
  <c r="E1258" i="24"/>
  <c r="G1258" i="24" s="1"/>
  <c r="C1259" i="24"/>
  <c r="E1259" i="24"/>
  <c r="G1259" i="24" s="1"/>
  <c r="B1261" i="24"/>
  <c r="C1261" i="24"/>
  <c r="E1261" i="24"/>
  <c r="C1264" i="24"/>
  <c r="C1265" i="24"/>
  <c r="E1265" i="24"/>
  <c r="G1265" i="24" s="1"/>
  <c r="C1266" i="24"/>
  <c r="E1266" i="24"/>
  <c r="G1266" i="24" s="1"/>
  <c r="C1267" i="24"/>
  <c r="E1267" i="24"/>
  <c r="G1267" i="24" s="1"/>
  <c r="C1268" i="24"/>
  <c r="E1268" i="24"/>
  <c r="G1268" i="24" s="1"/>
  <c r="C1270" i="24"/>
  <c r="E1270" i="24" s="1"/>
  <c r="G1270" i="24" s="1"/>
  <c r="C1271" i="24"/>
  <c r="C1272" i="24"/>
  <c r="E1272" i="24" s="1"/>
  <c r="G1272" i="24" s="1"/>
  <c r="C1274" i="24"/>
  <c r="E1274" i="24"/>
  <c r="G1274" i="24" s="1"/>
  <c r="C1275" i="24"/>
  <c r="E1275" i="24"/>
  <c r="G1275" i="24" s="1"/>
  <c r="C1277" i="24"/>
  <c r="C1278" i="24"/>
  <c r="E1278" i="24"/>
  <c r="G1278" i="24" s="1"/>
  <c r="C1279" i="24"/>
  <c r="E1279" i="24"/>
  <c r="G1279" i="24" s="1"/>
  <c r="B1281" i="24"/>
  <c r="C1281" i="24"/>
  <c r="E1281" i="24"/>
  <c r="C1284" i="24"/>
  <c r="C1285" i="24"/>
  <c r="E1285" i="24"/>
  <c r="G1285" i="24" s="1"/>
  <c r="C1286" i="24"/>
  <c r="E1286" i="24"/>
  <c r="G1286" i="24" s="1"/>
  <c r="C1287" i="24"/>
  <c r="E1287" i="24"/>
  <c r="G1287" i="24" s="1"/>
  <c r="C1288" i="24"/>
  <c r="E1288" i="24"/>
  <c r="G1288" i="24" s="1"/>
  <c r="C1290" i="24"/>
  <c r="E1290" i="24" s="1"/>
  <c r="G1290" i="24" s="1"/>
  <c r="C1291" i="24"/>
  <c r="C1292" i="24"/>
  <c r="E1292" i="24" s="1"/>
  <c r="G1292" i="24" s="1"/>
  <c r="C1294" i="24"/>
  <c r="E1294" i="24"/>
  <c r="G1294" i="24" s="1"/>
  <c r="C1295" i="24"/>
  <c r="E1295" i="24"/>
  <c r="G1295" i="24" s="1"/>
  <c r="C1297" i="24"/>
  <c r="C1298" i="24"/>
  <c r="E1298" i="24"/>
  <c r="G1298" i="24" s="1"/>
  <c r="C1299" i="24"/>
  <c r="E1299" i="24"/>
  <c r="G1299" i="24" s="1"/>
  <c r="B1301" i="24"/>
  <c r="C1301" i="24"/>
  <c r="E1301" i="24"/>
  <c r="C1304" i="24"/>
  <c r="C1305" i="24"/>
  <c r="E1305" i="24"/>
  <c r="G1305" i="24" s="1"/>
  <c r="C1306" i="24"/>
  <c r="E1306" i="24"/>
  <c r="G1306" i="24" s="1"/>
  <c r="C1307" i="24"/>
  <c r="C1308" i="24"/>
  <c r="E1308" i="24"/>
  <c r="G1308" i="24" s="1"/>
  <c r="C1309" i="24"/>
  <c r="E1309" i="24"/>
  <c r="G1309" i="24" s="1"/>
  <c r="C1311" i="24"/>
  <c r="E1311" i="24" s="1"/>
  <c r="G1311" i="24" s="1"/>
  <c r="C1312" i="24"/>
  <c r="C1313" i="24"/>
  <c r="E1313" i="24" s="1"/>
  <c r="G1313" i="24" s="1"/>
  <c r="C1315" i="24"/>
  <c r="E1315" i="24"/>
  <c r="G1315" i="24" s="1"/>
  <c r="C1316" i="24"/>
  <c r="E1316" i="24"/>
  <c r="G1316" i="24" s="1"/>
  <c r="C1318" i="24"/>
  <c r="C1319" i="24"/>
  <c r="E1319" i="24"/>
  <c r="G1319" i="24" s="1"/>
  <c r="C1320" i="24"/>
  <c r="E1320" i="24"/>
  <c r="G1320" i="24" s="1"/>
  <c r="B1322" i="24"/>
  <c r="C1322" i="24"/>
  <c r="E1322" i="24"/>
  <c r="C1325" i="24"/>
  <c r="C1326" i="24"/>
  <c r="E1326" i="24"/>
  <c r="G1326" i="24" s="1"/>
  <c r="C1327" i="24"/>
  <c r="E1327" i="24"/>
  <c r="G1327" i="24" s="1"/>
  <c r="C1328" i="24"/>
  <c r="C1329" i="24"/>
  <c r="E1329" i="24"/>
  <c r="G1329" i="24" s="1"/>
  <c r="C1331" i="24"/>
  <c r="C1332" i="24"/>
  <c r="E1332" i="24" s="1"/>
  <c r="G1332" i="24" s="1"/>
  <c r="C1333" i="24"/>
  <c r="E1333" i="24" s="1"/>
  <c r="G1333" i="24" s="1"/>
  <c r="C1335" i="24"/>
  <c r="E1335" i="24"/>
  <c r="G1335" i="24" s="1"/>
  <c r="C1336" i="24"/>
  <c r="E1336" i="24"/>
  <c r="G1336" i="24" s="1"/>
  <c r="C1338" i="24"/>
  <c r="C1339" i="24"/>
  <c r="E1339" i="24"/>
  <c r="G1339" i="24" s="1"/>
  <c r="C1340" i="24"/>
  <c r="E1340" i="24"/>
  <c r="G1340" i="24" s="1"/>
  <c r="B1342" i="24"/>
  <c r="C1342" i="24"/>
  <c r="E1342" i="24"/>
  <c r="C1345" i="24"/>
  <c r="E1345" i="24"/>
  <c r="G1345" i="24" s="1"/>
  <c r="C1346" i="24"/>
  <c r="E1346" i="24"/>
  <c r="G1346" i="24" s="1"/>
  <c r="C1347" i="24"/>
  <c r="E1347" i="24"/>
  <c r="G1347" i="24" s="1"/>
  <c r="C1348" i="24"/>
  <c r="E1348" i="24"/>
  <c r="G1348" i="24" s="1"/>
  <c r="C1349" i="24"/>
  <c r="E1349" i="24"/>
  <c r="G1349" i="24" s="1"/>
  <c r="C1351" i="24"/>
  <c r="E1351" i="24" s="1"/>
  <c r="G1351" i="24" s="1"/>
  <c r="C1352" i="24"/>
  <c r="C1353" i="24"/>
  <c r="E1353" i="24" s="1"/>
  <c r="G1353" i="24" s="1"/>
  <c r="C1355" i="24"/>
  <c r="E1355" i="24"/>
  <c r="G1355" i="24" s="1"/>
  <c r="C1356" i="24"/>
  <c r="E1356" i="24"/>
  <c r="G1356" i="24" s="1"/>
  <c r="C1358" i="24"/>
  <c r="C1359" i="24"/>
  <c r="E1359" i="24"/>
  <c r="G1359" i="24" s="1"/>
  <c r="C1360" i="24"/>
  <c r="E1360" i="24"/>
  <c r="G1360" i="24" s="1"/>
  <c r="B1362" i="24"/>
  <c r="C1362" i="24"/>
  <c r="E1362" i="24"/>
  <c r="C1365" i="24"/>
  <c r="C1366" i="24"/>
  <c r="C1367" i="24"/>
  <c r="E1367" i="24"/>
  <c r="G1367" i="24" s="1"/>
  <c r="C1368" i="24"/>
  <c r="E1368" i="24"/>
  <c r="G1368" i="24" s="1"/>
  <c r="C1369" i="24"/>
  <c r="E1369" i="24"/>
  <c r="G1369" i="24" s="1"/>
  <c r="C1370" i="24"/>
  <c r="E1370" i="24"/>
  <c r="G1370" i="24" s="1"/>
  <c r="C1371" i="24"/>
  <c r="E1371" i="24"/>
  <c r="G1371" i="24" s="1"/>
  <c r="C1372" i="24"/>
  <c r="E1372" i="24"/>
  <c r="G1372" i="24" s="1"/>
  <c r="C1373" i="24"/>
  <c r="C1375" i="24"/>
  <c r="C1376" i="24"/>
  <c r="E1376" i="24" s="1"/>
  <c r="G1376" i="24" s="1"/>
  <c r="C1377" i="24"/>
  <c r="E1377" i="24" s="1"/>
  <c r="G1377" i="24" s="1"/>
  <c r="C1379" i="24"/>
  <c r="E1379" i="24"/>
  <c r="G1379" i="24" s="1"/>
  <c r="C1380" i="24"/>
  <c r="E1380" i="24"/>
  <c r="G1380" i="24" s="1"/>
  <c r="C1382" i="24"/>
  <c r="C1383" i="24"/>
  <c r="E1383" i="24"/>
  <c r="G1383" i="24" s="1"/>
  <c r="C1384" i="24"/>
  <c r="E1384" i="24"/>
  <c r="G1384" i="24" s="1"/>
  <c r="B1386" i="24"/>
  <c r="C1386" i="24"/>
  <c r="E1386" i="24"/>
  <c r="C1389" i="24"/>
  <c r="C1390" i="24"/>
  <c r="C1391" i="24"/>
  <c r="E1391" i="24"/>
  <c r="G1391" i="24" s="1"/>
  <c r="C1392" i="24"/>
  <c r="E1392" i="24"/>
  <c r="G1392" i="24" s="1"/>
  <c r="C1393" i="24"/>
  <c r="E1393" i="24"/>
  <c r="G1393" i="24" s="1"/>
  <c r="C1394" i="24"/>
  <c r="C1395" i="24"/>
  <c r="E1395" i="24"/>
  <c r="G1395" i="24" s="1"/>
  <c r="C1396" i="24"/>
  <c r="E1396" i="24"/>
  <c r="G1396" i="24" s="1"/>
  <c r="C1397" i="24"/>
  <c r="E1397" i="24"/>
  <c r="G1397" i="24" s="1"/>
  <c r="C1398" i="24"/>
  <c r="C1399" i="24"/>
  <c r="E1399" i="24"/>
  <c r="G1399" i="24" s="1"/>
  <c r="C1401" i="24"/>
  <c r="E1401" i="24" s="1"/>
  <c r="G1401" i="24" s="1"/>
  <c r="C1402" i="24"/>
  <c r="C1403" i="24"/>
  <c r="E1403" i="24" s="1"/>
  <c r="G1403" i="24" s="1"/>
  <c r="C1405" i="24"/>
  <c r="E1405" i="24"/>
  <c r="G1405" i="24" s="1"/>
  <c r="C1406" i="24"/>
  <c r="E1406" i="24"/>
  <c r="G1406" i="24" s="1"/>
  <c r="C1408" i="24"/>
  <c r="C1409" i="24"/>
  <c r="E1409" i="24"/>
  <c r="G1409" i="24" s="1"/>
  <c r="C1410" i="24"/>
  <c r="E1410" i="24"/>
  <c r="G1410" i="24" s="1"/>
  <c r="B1412" i="24"/>
  <c r="C1412" i="24"/>
  <c r="E1412" i="24"/>
  <c r="C1415" i="24"/>
  <c r="C1416" i="24"/>
  <c r="C1417" i="24"/>
  <c r="E1417" i="24"/>
  <c r="G1417" i="24" s="1"/>
  <c r="C1418" i="24"/>
  <c r="E1418" i="24"/>
  <c r="G1418" i="24" s="1"/>
  <c r="C1419" i="24"/>
  <c r="E1419" i="24"/>
  <c r="G1419" i="24" s="1"/>
  <c r="C1420" i="24"/>
  <c r="E1420" i="24"/>
  <c r="G1420" i="24" s="1"/>
  <c r="C1421" i="24"/>
  <c r="E1421" i="24"/>
  <c r="G1421" i="24" s="1"/>
  <c r="C1422" i="24"/>
  <c r="E1422" i="24"/>
  <c r="G1422" i="24" s="1"/>
  <c r="C1423" i="24"/>
  <c r="C1425" i="24"/>
  <c r="C1426" i="24"/>
  <c r="E1426" i="24" s="1"/>
  <c r="G1426" i="24" s="1"/>
  <c r="C1427" i="24"/>
  <c r="E1427" i="24" s="1"/>
  <c r="G1427" i="24" s="1"/>
  <c r="C1429" i="24"/>
  <c r="E1429" i="24"/>
  <c r="G1429" i="24" s="1"/>
  <c r="C1430" i="24"/>
  <c r="E1430" i="24"/>
  <c r="G1430" i="24" s="1"/>
  <c r="C1432" i="24"/>
  <c r="C1433" i="24"/>
  <c r="E1433" i="24"/>
  <c r="G1433" i="24" s="1"/>
  <c r="C1434" i="24"/>
  <c r="E1434" i="24"/>
  <c r="G1434" i="24" s="1"/>
  <c r="B1436" i="24"/>
  <c r="C1436" i="24"/>
  <c r="E1436" i="24"/>
  <c r="C1439" i="24"/>
  <c r="C1440" i="24"/>
  <c r="C1441" i="24"/>
  <c r="E1441" i="24"/>
  <c r="G1441" i="24" s="1"/>
  <c r="C1442" i="24"/>
  <c r="E1442" i="24"/>
  <c r="G1442" i="24" s="1"/>
  <c r="C1443" i="24"/>
  <c r="E1443" i="24"/>
  <c r="G1443" i="24" s="1"/>
  <c r="C1444" i="24"/>
  <c r="C1445" i="24"/>
  <c r="E1445" i="24"/>
  <c r="G1445" i="24" s="1"/>
  <c r="C1446" i="24"/>
  <c r="E1446" i="24"/>
  <c r="G1446" i="24" s="1"/>
  <c r="C1447" i="24"/>
  <c r="E1447" i="24"/>
  <c r="G1447" i="24" s="1"/>
  <c r="C1448" i="24"/>
  <c r="C1449" i="24"/>
  <c r="E1449" i="24"/>
  <c r="G1449" i="24" s="1"/>
  <c r="C1451" i="24"/>
  <c r="E1451" i="24" s="1"/>
  <c r="G1451" i="24" s="1"/>
  <c r="C1452" i="24"/>
  <c r="C1453" i="24"/>
  <c r="E1453" i="24" s="1"/>
  <c r="G1453" i="24" s="1"/>
  <c r="C1455" i="24"/>
  <c r="E1455" i="24"/>
  <c r="G1455" i="24" s="1"/>
  <c r="C1456" i="24"/>
  <c r="E1456" i="24"/>
  <c r="G1456" i="24" s="1"/>
  <c r="C1458" i="24"/>
  <c r="C1459" i="24"/>
  <c r="E1459" i="24"/>
  <c r="G1459" i="24" s="1"/>
  <c r="C1460" i="24"/>
  <c r="E1460" i="24"/>
  <c r="G1460" i="24" s="1"/>
  <c r="B1462" i="24"/>
  <c r="C1462" i="24"/>
  <c r="E1462" i="24"/>
  <c r="C1465" i="24"/>
  <c r="C1466" i="24"/>
  <c r="E1466" i="24"/>
  <c r="G1466" i="24" s="1"/>
  <c r="C1467" i="24"/>
  <c r="E1467" i="24"/>
  <c r="G1467" i="24" s="1"/>
  <c r="C1468" i="24"/>
  <c r="E1468" i="24"/>
  <c r="G1468" i="24" s="1"/>
  <c r="C1469" i="24"/>
  <c r="E1469" i="24"/>
  <c r="G1469" i="24" s="1"/>
  <c r="C1471" i="24"/>
  <c r="C1472" i="24"/>
  <c r="E1472" i="24" s="1"/>
  <c r="G1472" i="24" s="1"/>
  <c r="C1473" i="24"/>
  <c r="E1473" i="24" s="1"/>
  <c r="G1473" i="24" s="1"/>
  <c r="C1475" i="24"/>
  <c r="E1475" i="24"/>
  <c r="G1475" i="24" s="1"/>
  <c r="C1476" i="24"/>
  <c r="E1476" i="24"/>
  <c r="G1476" i="24" s="1"/>
  <c r="C1478" i="24"/>
  <c r="C1479" i="24"/>
  <c r="E1479" i="24"/>
  <c r="G1479" i="24" s="1"/>
  <c r="C1480" i="24"/>
  <c r="E1480" i="24"/>
  <c r="G1480" i="24" s="1"/>
  <c r="B1482" i="24"/>
  <c r="C1482" i="24"/>
  <c r="E1482" i="24"/>
  <c r="C1485" i="24"/>
  <c r="E1485" i="24"/>
  <c r="G1485" i="24" s="1"/>
  <c r="C1486" i="24"/>
  <c r="E1486" i="24"/>
  <c r="G1486" i="24" s="1"/>
  <c r="C1487" i="24"/>
  <c r="E1487" i="24"/>
  <c r="G1487" i="24" s="1"/>
  <c r="C1488" i="24"/>
  <c r="E1488" i="24"/>
  <c r="G1488" i="24" s="1"/>
  <c r="C1489" i="24"/>
  <c r="E1489" i="24"/>
  <c r="G1489" i="24" s="1"/>
  <c r="C1490" i="24"/>
  <c r="C1491" i="24"/>
  <c r="C1493" i="24"/>
  <c r="C1494" i="24"/>
  <c r="E1494" i="24" s="1"/>
  <c r="G1494" i="24" s="1"/>
  <c r="C1495" i="24"/>
  <c r="E1495" i="24" s="1"/>
  <c r="G1495" i="24" s="1"/>
  <c r="C1497" i="24"/>
  <c r="E1497" i="24"/>
  <c r="G1497" i="24" s="1"/>
  <c r="C1498" i="24"/>
  <c r="E1498" i="24"/>
  <c r="G1498" i="24" s="1"/>
  <c r="C1500" i="24"/>
  <c r="C1501" i="24"/>
  <c r="E1501" i="24"/>
  <c r="G1501" i="24" s="1"/>
  <c r="C1502" i="24"/>
  <c r="E1502" i="24"/>
  <c r="G1502" i="24" s="1"/>
  <c r="B1504" i="24"/>
  <c r="C1504" i="24"/>
  <c r="E1504" i="24"/>
  <c r="C1507" i="24"/>
  <c r="C1508" i="24"/>
  <c r="E1508" i="24"/>
  <c r="G1508" i="24" s="1"/>
  <c r="C1509" i="24"/>
  <c r="E1509" i="24"/>
  <c r="G1509" i="24" s="1"/>
  <c r="C1510" i="24"/>
  <c r="E1510" i="24"/>
  <c r="G1510" i="24" s="1"/>
  <c r="C1511" i="24"/>
  <c r="E1511" i="24"/>
  <c r="G1511" i="24" s="1"/>
  <c r="C1512" i="24"/>
  <c r="C1513" i="24"/>
  <c r="C1515" i="24"/>
  <c r="C1516" i="24"/>
  <c r="E1516" i="24" s="1"/>
  <c r="G1516" i="24" s="1"/>
  <c r="C1517" i="24"/>
  <c r="E1517" i="24" s="1"/>
  <c r="G1517" i="24" s="1"/>
  <c r="C1519" i="24"/>
  <c r="E1519" i="24"/>
  <c r="G1519" i="24" s="1"/>
  <c r="C1520" i="24"/>
  <c r="E1520" i="24"/>
  <c r="G1520" i="24" s="1"/>
  <c r="C1522" i="24"/>
  <c r="C1523" i="24"/>
  <c r="E1523" i="24"/>
  <c r="G1523" i="24" s="1"/>
  <c r="C1524" i="24"/>
  <c r="E1524" i="24"/>
  <c r="G1524" i="24" s="1"/>
  <c r="B1526" i="24"/>
  <c r="C1526" i="24"/>
  <c r="E1526" i="24"/>
  <c r="C1529" i="24"/>
  <c r="E1529" i="24"/>
  <c r="G1529" i="24" s="1"/>
  <c r="C1530" i="24"/>
  <c r="E1530" i="24"/>
  <c r="G1530" i="24" s="1"/>
  <c r="C1531" i="24"/>
  <c r="E1531" i="24"/>
  <c r="G1531" i="24" s="1"/>
  <c r="C1532" i="24"/>
  <c r="E1532" i="24"/>
  <c r="G1532" i="24" s="1"/>
  <c r="C1533" i="24"/>
  <c r="E1533" i="24"/>
  <c r="G1533" i="24" s="1"/>
  <c r="C1534" i="24"/>
  <c r="E1534" i="24"/>
  <c r="G1534" i="24" s="1"/>
  <c r="C1535" i="24"/>
  <c r="E1535" i="24"/>
  <c r="G1535" i="24" s="1"/>
  <c r="C1536" i="24"/>
  <c r="E1536" i="24"/>
  <c r="G1536" i="24" s="1"/>
  <c r="C1537" i="24"/>
  <c r="E1537" i="24"/>
  <c r="G1537" i="24" s="1"/>
  <c r="C1538" i="24"/>
  <c r="C1540" i="24"/>
  <c r="C1541" i="24"/>
  <c r="C1542" i="24"/>
  <c r="E1542" i="24" s="1"/>
  <c r="G1542" i="24" s="1"/>
  <c r="C1544" i="24"/>
  <c r="E1544" i="24"/>
  <c r="G1544" i="24" s="1"/>
  <c r="C1545" i="24"/>
  <c r="E1545" i="24"/>
  <c r="G1545" i="24" s="1"/>
  <c r="C1547" i="24"/>
  <c r="C1548" i="24"/>
  <c r="E1548" i="24"/>
  <c r="G1548" i="24" s="1"/>
  <c r="C1549" i="24"/>
  <c r="E1549" i="24"/>
  <c r="G1549" i="24" s="1"/>
  <c r="B1551" i="24"/>
  <c r="C1551" i="24"/>
  <c r="E1551" i="24"/>
  <c r="C1554" i="24"/>
  <c r="E1554" i="24"/>
  <c r="G1554" i="24" s="1"/>
  <c r="C1555" i="24"/>
  <c r="E1555" i="24"/>
  <c r="G1555" i="24" s="1"/>
  <c r="C1556" i="24"/>
  <c r="E1556" i="24"/>
  <c r="G1556" i="24" s="1"/>
  <c r="C1557" i="24"/>
  <c r="E1557" i="24"/>
  <c r="G1557" i="24" s="1"/>
  <c r="C1558" i="24"/>
  <c r="E1558" i="24"/>
  <c r="G1558" i="24" s="1"/>
  <c r="C1560" i="24"/>
  <c r="C1561" i="24"/>
  <c r="C1562" i="24"/>
  <c r="E1562" i="24" s="1"/>
  <c r="G1562" i="24" s="1"/>
  <c r="C1564" i="24"/>
  <c r="E1564" i="24"/>
  <c r="G1564" i="24" s="1"/>
  <c r="C1565" i="24"/>
  <c r="E1565" i="24"/>
  <c r="G1565" i="24" s="1"/>
  <c r="C1567" i="24"/>
  <c r="C1568" i="24"/>
  <c r="E1568" i="24"/>
  <c r="G1568" i="24" s="1"/>
  <c r="C1569" i="24"/>
  <c r="E1569" i="24"/>
  <c r="G1569" i="24" s="1"/>
  <c r="B1571" i="24"/>
  <c r="C1571" i="24"/>
  <c r="E1571" i="24"/>
  <c r="C1574" i="24"/>
  <c r="E1574" i="24"/>
  <c r="G1574" i="24" s="1"/>
  <c r="C1575" i="24"/>
  <c r="E1575" i="24"/>
  <c r="G1575" i="24" s="1"/>
  <c r="C1576" i="24"/>
  <c r="E1576" i="24"/>
  <c r="G1576" i="24" s="1"/>
  <c r="C1577" i="24"/>
  <c r="E1577" i="24"/>
  <c r="G1577" i="24" s="1"/>
  <c r="C1578" i="24"/>
  <c r="E1578" i="24"/>
  <c r="G1578" i="24" s="1"/>
  <c r="C1580" i="24"/>
  <c r="C1581" i="24"/>
  <c r="C1582" i="24"/>
  <c r="E1582" i="24" s="1"/>
  <c r="G1582" i="24" s="1"/>
  <c r="C1584" i="24"/>
  <c r="E1584" i="24"/>
  <c r="G1584" i="24" s="1"/>
  <c r="C1585" i="24"/>
  <c r="E1585" i="24"/>
  <c r="G1585" i="24" s="1"/>
  <c r="C1587" i="24"/>
  <c r="C1588" i="24"/>
  <c r="E1588" i="24"/>
  <c r="G1588" i="24" s="1"/>
  <c r="C1589" i="24"/>
  <c r="E1589" i="24"/>
  <c r="G1589" i="24" s="1"/>
  <c r="B1591" i="24"/>
  <c r="C1591" i="24"/>
  <c r="E1591" i="24"/>
  <c r="C1594" i="24"/>
  <c r="E1594" i="24"/>
  <c r="G1594" i="24" s="1"/>
  <c r="C1595" i="24"/>
  <c r="E1595" i="24"/>
  <c r="G1595" i="24" s="1"/>
  <c r="C1596" i="24"/>
  <c r="E1596" i="24"/>
  <c r="G1596" i="24" s="1"/>
  <c r="C1597" i="24"/>
  <c r="E1597" i="24"/>
  <c r="G1597" i="24" s="1"/>
  <c r="C1598" i="24"/>
  <c r="E1598" i="24"/>
  <c r="G1598" i="24" s="1"/>
  <c r="C1600" i="24"/>
  <c r="C1601" i="24"/>
  <c r="E1601" i="24" s="1"/>
  <c r="G1601" i="24" s="1"/>
  <c r="C1602" i="24"/>
  <c r="E1602" i="24" s="1"/>
  <c r="G1602" i="24" s="1"/>
  <c r="C1604" i="24"/>
  <c r="E1604" i="24"/>
  <c r="G1604" i="24" s="1"/>
  <c r="C1605" i="24"/>
  <c r="E1605" i="24"/>
  <c r="G1605" i="24" s="1"/>
  <c r="C1607" i="24"/>
  <c r="C1608" i="24"/>
  <c r="E1608" i="24"/>
  <c r="G1608" i="24" s="1"/>
  <c r="C1609" i="24"/>
  <c r="E1609" i="24"/>
  <c r="G1609" i="24" s="1"/>
  <c r="B1611" i="24"/>
  <c r="C1611" i="24"/>
  <c r="E1611" i="24"/>
  <c r="C1614" i="24"/>
  <c r="E1614" i="24"/>
  <c r="G1614" i="24" s="1"/>
  <c r="C1615" i="24"/>
  <c r="E1615" i="24"/>
  <c r="G1615" i="24" s="1"/>
  <c r="C1616" i="24"/>
  <c r="E1616" i="24"/>
  <c r="G1616" i="24" s="1"/>
  <c r="C1617" i="24"/>
  <c r="E1617" i="24"/>
  <c r="G1617" i="24" s="1"/>
  <c r="C1618" i="24"/>
  <c r="E1618" i="24"/>
  <c r="G1618" i="24" s="1"/>
  <c r="C1620" i="24"/>
  <c r="E1620" i="24" s="1"/>
  <c r="G1620" i="24" s="1"/>
  <c r="C1621" i="24"/>
  <c r="C1622" i="24"/>
  <c r="E1622" i="24" s="1"/>
  <c r="G1622" i="24" s="1"/>
  <c r="C1624" i="24"/>
  <c r="E1624" i="24"/>
  <c r="G1624" i="24" s="1"/>
  <c r="C1625" i="24"/>
  <c r="E1625" i="24"/>
  <c r="G1625" i="24" s="1"/>
  <c r="C1627" i="24"/>
  <c r="C1628" i="24"/>
  <c r="E1628" i="24"/>
  <c r="G1628" i="24" s="1"/>
  <c r="C1629" i="24"/>
  <c r="E1629" i="24"/>
  <c r="G1629" i="24" s="1"/>
  <c r="B1631" i="24"/>
  <c r="C1631" i="24"/>
  <c r="E1631" i="24"/>
  <c r="C1634" i="24"/>
  <c r="E1634" i="24"/>
  <c r="G1634" i="24" s="1"/>
  <c r="C1635" i="24"/>
  <c r="E1635" i="24"/>
  <c r="G1635" i="24" s="1"/>
  <c r="C1636" i="24"/>
  <c r="E1636" i="24"/>
  <c r="G1636" i="24" s="1"/>
  <c r="C1637" i="24"/>
  <c r="E1637" i="24"/>
  <c r="G1637" i="24" s="1"/>
  <c r="C1638" i="24"/>
  <c r="E1638" i="24"/>
  <c r="G1638" i="24" s="1"/>
  <c r="C1640" i="24"/>
  <c r="C1641" i="24"/>
  <c r="E1641" i="24" s="1"/>
  <c r="G1641" i="24" s="1"/>
  <c r="C1642" i="24"/>
  <c r="C1644" i="24"/>
  <c r="E1644" i="24"/>
  <c r="G1644" i="24" s="1"/>
  <c r="C1645" i="24"/>
  <c r="E1645" i="24"/>
  <c r="G1645" i="24" s="1"/>
  <c r="C1647" i="24"/>
  <c r="C1648" i="24"/>
  <c r="E1648" i="24"/>
  <c r="G1648" i="24" s="1"/>
  <c r="C1649" i="24"/>
  <c r="E1649" i="24"/>
  <c r="G1649" i="24" s="1"/>
  <c r="B1651" i="24"/>
  <c r="C1651" i="24"/>
  <c r="E1651" i="24"/>
  <c r="C1654" i="24"/>
  <c r="E1654" i="24"/>
  <c r="G1654" i="24" s="1"/>
  <c r="C1655" i="24"/>
  <c r="E1655" i="24"/>
  <c r="G1655" i="24" s="1"/>
  <c r="C1656" i="24"/>
  <c r="E1656" i="24"/>
  <c r="G1656" i="24" s="1"/>
  <c r="C1657" i="24"/>
  <c r="E1657" i="24"/>
  <c r="G1657" i="24" s="1"/>
  <c r="C1658" i="24"/>
  <c r="E1658" i="24"/>
  <c r="G1658" i="24" s="1"/>
  <c r="C1660" i="24"/>
  <c r="C1661" i="24"/>
  <c r="E1661" i="24" s="1"/>
  <c r="G1661" i="24" s="1"/>
  <c r="C1662" i="24"/>
  <c r="E1662" i="24" s="1"/>
  <c r="G1662" i="24" s="1"/>
  <c r="C1664" i="24"/>
  <c r="E1664" i="24"/>
  <c r="G1664" i="24" s="1"/>
  <c r="C1665" i="24"/>
  <c r="E1665" i="24"/>
  <c r="G1665" i="24" s="1"/>
  <c r="C1667" i="24"/>
  <c r="C1668" i="24"/>
  <c r="E1668" i="24"/>
  <c r="G1668" i="24" s="1"/>
  <c r="C1669" i="24"/>
  <c r="E1669" i="24"/>
  <c r="G1669" i="24" s="1"/>
  <c r="B1671" i="24"/>
  <c r="C1671" i="24"/>
  <c r="E1671" i="24"/>
  <c r="C1674" i="24"/>
  <c r="E1674" i="24"/>
  <c r="G1674" i="24" s="1"/>
  <c r="C1675" i="24"/>
  <c r="E1675" i="24"/>
  <c r="G1675" i="24" s="1"/>
  <c r="C1676" i="24"/>
  <c r="E1676" i="24"/>
  <c r="G1676" i="24" s="1"/>
  <c r="C1677" i="24"/>
  <c r="E1677" i="24"/>
  <c r="G1677" i="24" s="1"/>
  <c r="C1678" i="24"/>
  <c r="E1678" i="24"/>
  <c r="G1678" i="24" s="1"/>
  <c r="C1680" i="24"/>
  <c r="C1681" i="24"/>
  <c r="E1681" i="24" s="1"/>
  <c r="G1681" i="24" s="1"/>
  <c r="C1682" i="24"/>
  <c r="E1682" i="24" s="1"/>
  <c r="G1682" i="24" s="1"/>
  <c r="C1684" i="24"/>
  <c r="E1684" i="24"/>
  <c r="G1684" i="24" s="1"/>
  <c r="C1685" i="24"/>
  <c r="E1685" i="24"/>
  <c r="G1685" i="24" s="1"/>
  <c r="C1687" i="24"/>
  <c r="C1688" i="24"/>
  <c r="E1688" i="24"/>
  <c r="G1688" i="24" s="1"/>
  <c r="C1689" i="24"/>
  <c r="E1689" i="24"/>
  <c r="G1689" i="24" s="1"/>
  <c r="B1691" i="24"/>
  <c r="C1691" i="24"/>
  <c r="E1691" i="24"/>
  <c r="C1694" i="24"/>
  <c r="E1694" i="24"/>
  <c r="G1694" i="24" s="1"/>
  <c r="C1695" i="24"/>
  <c r="E1695" i="24"/>
  <c r="G1695" i="24" s="1"/>
  <c r="C1696" i="24"/>
  <c r="E1696" i="24"/>
  <c r="G1696" i="24" s="1"/>
  <c r="C1697" i="24"/>
  <c r="E1697" i="24"/>
  <c r="G1697" i="24" s="1"/>
  <c r="C1698" i="24"/>
  <c r="E1698" i="24"/>
  <c r="G1698" i="24" s="1"/>
  <c r="C1700" i="24"/>
  <c r="C1701" i="24"/>
  <c r="E1701" i="24" s="1"/>
  <c r="G1701" i="24" s="1"/>
  <c r="C1702" i="24"/>
  <c r="E1702" i="24" s="1"/>
  <c r="G1702" i="24" s="1"/>
  <c r="C1704" i="24"/>
  <c r="E1704" i="24"/>
  <c r="G1704" i="24" s="1"/>
  <c r="C1705" i="24"/>
  <c r="E1705" i="24"/>
  <c r="G1705" i="24" s="1"/>
  <c r="C1707" i="24"/>
  <c r="C1708" i="24"/>
  <c r="E1708" i="24"/>
  <c r="G1708" i="24" s="1"/>
  <c r="C1709" i="24"/>
  <c r="E1709" i="24"/>
  <c r="G1709" i="24" s="1"/>
  <c r="C1710" i="24" a="1"/>
  <c r="C1710" i="24" s="1"/>
  <c r="E1710" i="24" a="1"/>
  <c r="E1710" i="24" s="1"/>
  <c r="G1710" i="24" s="1"/>
  <c r="B1712" i="24"/>
  <c r="C1712" i="24"/>
  <c r="E1712" i="24"/>
  <c r="C1715" i="24"/>
  <c r="E1715" i="24"/>
  <c r="G1715" i="24" s="1"/>
  <c r="C1716" i="24"/>
  <c r="E1716" i="24"/>
  <c r="G1716" i="24" s="1"/>
  <c r="C1717" i="24"/>
  <c r="E1717" i="24"/>
  <c r="G1717" i="24" s="1"/>
  <c r="C1718" i="24"/>
  <c r="E1718" i="24"/>
  <c r="G1718" i="24" s="1"/>
  <c r="C1719" i="24"/>
  <c r="E1719" i="24"/>
  <c r="G1719" i="24" s="1"/>
  <c r="C1721" i="24"/>
  <c r="C1722" i="24"/>
  <c r="E1722" i="24" s="1"/>
  <c r="G1722" i="24" s="1"/>
  <c r="C1723" i="24"/>
  <c r="E1723" i="24" s="1"/>
  <c r="G1723" i="24" s="1"/>
  <c r="C1725" i="24"/>
  <c r="E1725" i="24"/>
  <c r="G1725" i="24" s="1"/>
  <c r="C1726" i="24"/>
  <c r="E1726" i="24"/>
  <c r="G1726" i="24" s="1"/>
  <c r="C1728" i="24"/>
  <c r="C1729" i="24"/>
  <c r="E1729" i="24"/>
  <c r="G1729" i="24" s="1"/>
  <c r="C1730" i="24"/>
  <c r="E1730" i="24"/>
  <c r="G1730" i="24" s="1"/>
  <c r="B1732" i="24"/>
  <c r="C1732" i="24"/>
  <c r="E1732" i="24"/>
  <c r="C1735" i="24"/>
  <c r="C1736" i="24"/>
  <c r="E1736" i="24"/>
  <c r="G1736" i="24" s="1"/>
  <c r="C1737" i="24"/>
  <c r="E1737" i="24"/>
  <c r="G1737" i="24" s="1"/>
  <c r="C1738" i="24"/>
  <c r="E1738" i="24"/>
  <c r="G1738" i="24" s="1"/>
  <c r="C1739" i="24"/>
  <c r="C1741" i="24"/>
  <c r="E1741" i="24" s="1"/>
  <c r="G1741" i="24" s="1"/>
  <c r="C1742" i="24"/>
  <c r="C1743" i="24"/>
  <c r="E1743" i="24" s="1"/>
  <c r="G1743" i="24" s="1"/>
  <c r="C1745" i="24"/>
  <c r="E1745" i="24"/>
  <c r="G1745" i="24" s="1"/>
  <c r="C1746" i="24"/>
  <c r="E1746" i="24"/>
  <c r="G1746" i="24" s="1"/>
  <c r="C1748" i="24"/>
  <c r="C1749" i="24"/>
  <c r="E1749" i="24"/>
  <c r="G1749" i="24" s="1"/>
  <c r="C1750" i="24"/>
  <c r="E1750" i="24"/>
  <c r="G1750" i="24" s="1"/>
  <c r="B604" i="21"/>
  <c r="C604" i="21"/>
  <c r="E604" i="21"/>
  <c r="C607" i="21"/>
  <c r="E607" i="21"/>
  <c r="G607" i="21" s="1"/>
  <c r="C608" i="21"/>
  <c r="E608" i="21"/>
  <c r="G608" i="21" s="1"/>
  <c r="C609" i="21"/>
  <c r="E609" i="21"/>
  <c r="G609" i="21" s="1"/>
  <c r="C610" i="21"/>
  <c r="E610" i="21"/>
  <c r="G610" i="21" s="1"/>
  <c r="C611" i="21"/>
  <c r="E611" i="21"/>
  <c r="G611" i="21" s="1"/>
  <c r="C613" i="21"/>
  <c r="E613" i="21" s="1"/>
  <c r="G613" i="21" s="1"/>
  <c r="C614" i="21"/>
  <c r="C615" i="21"/>
  <c r="E615" i="21" s="1"/>
  <c r="G615" i="21" s="1"/>
  <c r="C617" i="21"/>
  <c r="E617" i="21"/>
  <c r="G617" i="21" s="1"/>
  <c r="C618" i="21"/>
  <c r="E618" i="21"/>
  <c r="G618" i="21" s="1"/>
  <c r="C620" i="21"/>
  <c r="C621" i="21"/>
  <c r="E621" i="21"/>
  <c r="G621" i="21" s="1"/>
  <c r="C622" i="21"/>
  <c r="E622" i="21"/>
  <c r="G622" i="21" s="1"/>
  <c r="B624" i="21"/>
  <c r="C624" i="21"/>
  <c r="E624" i="21"/>
  <c r="C627" i="21"/>
  <c r="E627" i="21"/>
  <c r="G627" i="21" s="1"/>
  <c r="C628" i="21"/>
  <c r="E628" i="21"/>
  <c r="G628" i="21" s="1"/>
  <c r="C629" i="21"/>
  <c r="E629" i="21"/>
  <c r="G629" i="21" s="1"/>
  <c r="C630" i="21"/>
  <c r="E630" i="21"/>
  <c r="G630" i="21" s="1"/>
  <c r="C631" i="21"/>
  <c r="E631" i="21"/>
  <c r="G631" i="21" s="1"/>
  <c r="C633" i="21"/>
  <c r="C634" i="21"/>
  <c r="E634" i="21" s="1"/>
  <c r="G634" i="21" s="1"/>
  <c r="C635" i="21"/>
  <c r="E635" i="21" s="1"/>
  <c r="G635" i="21" s="1"/>
  <c r="C637" i="21"/>
  <c r="E637" i="21"/>
  <c r="G637" i="21" s="1"/>
  <c r="C638" i="21"/>
  <c r="E638" i="21"/>
  <c r="G638" i="21" s="1"/>
  <c r="C640" i="21"/>
  <c r="C641" i="21"/>
  <c r="E641" i="21"/>
  <c r="G641" i="21" s="1"/>
  <c r="C642" i="21"/>
  <c r="E642" i="21"/>
  <c r="G642" i="21" s="1"/>
  <c r="B644" i="21"/>
  <c r="C644" i="21"/>
  <c r="E644" i="21"/>
  <c r="C647" i="21"/>
  <c r="E647" i="21"/>
  <c r="G647" i="21" s="1"/>
  <c r="C648" i="21"/>
  <c r="E648" i="21"/>
  <c r="G648" i="21" s="1"/>
  <c r="C649" i="21"/>
  <c r="E649" i="21"/>
  <c r="G649" i="21" s="1"/>
  <c r="C650" i="21"/>
  <c r="E650" i="21"/>
  <c r="G650" i="21" s="1"/>
  <c r="C651" i="21"/>
  <c r="E651" i="21"/>
  <c r="G651" i="21" s="1"/>
  <c r="C653" i="21"/>
  <c r="C654" i="21"/>
  <c r="E654" i="21" s="1"/>
  <c r="G654" i="21" s="1"/>
  <c r="C655" i="21"/>
  <c r="E655" i="21" s="1"/>
  <c r="G655" i="21" s="1"/>
  <c r="C657" i="21"/>
  <c r="E657" i="21"/>
  <c r="G657" i="21" s="1"/>
  <c r="C658" i="21"/>
  <c r="E658" i="21"/>
  <c r="G658" i="21" s="1"/>
  <c r="C660" i="21"/>
  <c r="C661" i="21"/>
  <c r="E661" i="21"/>
  <c r="G661" i="21" s="1"/>
  <c r="C662" i="21"/>
  <c r="E662" i="21"/>
  <c r="G662" i="21" s="1"/>
  <c r="B664" i="21"/>
  <c r="C664" i="21"/>
  <c r="E664" i="21"/>
  <c r="C667" i="21"/>
  <c r="E667" i="21"/>
  <c r="G667" i="21" s="1"/>
  <c r="C668" i="21"/>
  <c r="E668" i="21"/>
  <c r="G668" i="21" s="1"/>
  <c r="C669" i="21"/>
  <c r="E669" i="21"/>
  <c r="G669" i="21" s="1"/>
  <c r="C670" i="21"/>
  <c r="E670" i="21"/>
  <c r="G670" i="21" s="1"/>
  <c r="C671" i="21"/>
  <c r="E671" i="21"/>
  <c r="G671" i="21" s="1"/>
  <c r="C673" i="21"/>
  <c r="C674" i="21"/>
  <c r="E674" i="21" s="1"/>
  <c r="G674" i="21" s="1"/>
  <c r="C675" i="21"/>
  <c r="E675" i="21" s="1"/>
  <c r="G675" i="21" s="1"/>
  <c r="C677" i="21"/>
  <c r="E677" i="21"/>
  <c r="G677" i="21" s="1"/>
  <c r="C678" i="21"/>
  <c r="E678" i="21"/>
  <c r="G678" i="21" s="1"/>
  <c r="C680" i="21"/>
  <c r="C681" i="21"/>
  <c r="E681" i="21"/>
  <c r="G681" i="21" s="1"/>
  <c r="C682" i="21"/>
  <c r="E682" i="21"/>
  <c r="G682" i="21" s="1"/>
  <c r="B684" i="21"/>
  <c r="C684" i="21"/>
  <c r="E684" i="21"/>
  <c r="C687" i="21"/>
  <c r="E687" i="21"/>
  <c r="G687" i="21" s="1"/>
  <c r="C688" i="21"/>
  <c r="E688" i="21"/>
  <c r="G688" i="21" s="1"/>
  <c r="C689" i="21"/>
  <c r="E689" i="21"/>
  <c r="G689" i="21" s="1"/>
  <c r="C690" i="21"/>
  <c r="E690" i="21"/>
  <c r="G690" i="21" s="1"/>
  <c r="C691" i="21"/>
  <c r="E691" i="21"/>
  <c r="G691" i="21" s="1"/>
  <c r="C693" i="21"/>
  <c r="C694" i="21"/>
  <c r="E694" i="21" s="1"/>
  <c r="G694" i="21" s="1"/>
  <c r="C695" i="21"/>
  <c r="E695" i="21" s="1"/>
  <c r="G695" i="21" s="1"/>
  <c r="C697" i="21"/>
  <c r="E697" i="21"/>
  <c r="G697" i="21" s="1"/>
  <c r="C698" i="21"/>
  <c r="E698" i="21"/>
  <c r="G698" i="21" s="1"/>
  <c r="C700" i="21"/>
  <c r="C701" i="21"/>
  <c r="E701" i="21"/>
  <c r="G701" i="21" s="1"/>
  <c r="C702" i="21"/>
  <c r="E702" i="21"/>
  <c r="G702" i="21" s="1"/>
  <c r="B704" i="21"/>
  <c r="C704" i="21"/>
  <c r="E704" i="21"/>
  <c r="C707" i="21"/>
  <c r="E707" i="21"/>
  <c r="G707" i="21" s="1"/>
  <c r="C708" i="21"/>
  <c r="E708" i="21"/>
  <c r="G708" i="21" s="1"/>
  <c r="C709" i="21"/>
  <c r="E709" i="21"/>
  <c r="G709" i="21" s="1"/>
  <c r="C710" i="21"/>
  <c r="E710" i="21"/>
  <c r="G710" i="21" s="1"/>
  <c r="C711" i="21"/>
  <c r="E711" i="21"/>
  <c r="G711" i="21" s="1"/>
  <c r="C713" i="21"/>
  <c r="C714" i="21"/>
  <c r="E714" i="21" s="1"/>
  <c r="G714" i="21" s="1"/>
  <c r="C715" i="21"/>
  <c r="E715" i="21" s="1"/>
  <c r="G715" i="21" s="1"/>
  <c r="C717" i="21"/>
  <c r="E717" i="21"/>
  <c r="G717" i="21" s="1"/>
  <c r="C718" i="21"/>
  <c r="E718" i="21"/>
  <c r="G718" i="21" s="1"/>
  <c r="C720" i="21"/>
  <c r="C721" i="21"/>
  <c r="E721" i="21"/>
  <c r="G721" i="21" s="1"/>
  <c r="C722" i="21"/>
  <c r="E722" i="21"/>
  <c r="G722" i="21" s="1"/>
  <c r="B724" i="21"/>
  <c r="C724" i="21"/>
  <c r="E724" i="21"/>
  <c r="C727" i="21"/>
  <c r="E727" i="21"/>
  <c r="G727" i="21" s="1"/>
  <c r="C728" i="21"/>
  <c r="E728" i="21"/>
  <c r="G728" i="21" s="1"/>
  <c r="C729" i="21"/>
  <c r="E729" i="21"/>
  <c r="G729" i="21" s="1"/>
  <c r="C730" i="21"/>
  <c r="E730" i="21"/>
  <c r="G730" i="21" s="1"/>
  <c r="C731" i="21"/>
  <c r="E731" i="21"/>
  <c r="G731" i="21" s="1"/>
  <c r="C733" i="21"/>
  <c r="E733" i="21" s="1"/>
  <c r="G733" i="21" s="1"/>
  <c r="C734" i="21"/>
  <c r="E734" i="21" s="1"/>
  <c r="G734" i="21" s="1"/>
  <c r="C735" i="21"/>
  <c r="C737" i="21"/>
  <c r="E737" i="21"/>
  <c r="G737" i="21" s="1"/>
  <c r="C738" i="21"/>
  <c r="E738" i="21"/>
  <c r="G738" i="21" s="1"/>
  <c r="C740" i="21"/>
  <c r="C741" i="21"/>
  <c r="E741" i="21"/>
  <c r="G741" i="21" s="1"/>
  <c r="C742" i="21"/>
  <c r="E742" i="21"/>
  <c r="G742" i="21" s="1"/>
  <c r="B744" i="21"/>
  <c r="C744" i="21"/>
  <c r="E744" i="21"/>
  <c r="C747" i="21"/>
  <c r="E747" i="21"/>
  <c r="G747" i="21" s="1"/>
  <c r="C748" i="21"/>
  <c r="E748" i="21"/>
  <c r="G748" i="21" s="1"/>
  <c r="C749" i="21"/>
  <c r="E749" i="21"/>
  <c r="G749" i="21" s="1"/>
  <c r="C750" i="21"/>
  <c r="E750" i="21"/>
  <c r="G750" i="21" s="1"/>
  <c r="C751" i="21"/>
  <c r="E751" i="21"/>
  <c r="G751" i="21" s="1"/>
  <c r="C753" i="21"/>
  <c r="E753" i="21" s="1"/>
  <c r="G753" i="21" s="1"/>
  <c r="C754" i="21"/>
  <c r="E754" i="21" s="1"/>
  <c r="G754" i="21" s="1"/>
  <c r="C755" i="21"/>
  <c r="C757" i="21"/>
  <c r="E757" i="21"/>
  <c r="G757" i="21" s="1"/>
  <c r="C758" i="21"/>
  <c r="E758" i="21"/>
  <c r="G758" i="21" s="1"/>
  <c r="C760" i="21"/>
  <c r="C761" i="21"/>
  <c r="E761" i="21"/>
  <c r="G761" i="21" s="1"/>
  <c r="C762" i="21"/>
  <c r="E762" i="21"/>
  <c r="G762" i="21" s="1"/>
  <c r="B764" i="21"/>
  <c r="C764" i="21"/>
  <c r="E764" i="21"/>
  <c r="C767" i="21"/>
  <c r="E767" i="21"/>
  <c r="G767" i="21" s="1"/>
  <c r="C768" i="21"/>
  <c r="E768" i="21"/>
  <c r="G768" i="21" s="1"/>
  <c r="C769" i="21"/>
  <c r="E769" i="21"/>
  <c r="G769" i="21" s="1"/>
  <c r="C770" i="21"/>
  <c r="E770" i="21"/>
  <c r="G770" i="21" s="1"/>
  <c r="C771" i="21"/>
  <c r="E771" i="21"/>
  <c r="G771" i="21" s="1"/>
  <c r="C773" i="21"/>
  <c r="C774" i="21"/>
  <c r="E774" i="21" s="1"/>
  <c r="G774" i="21" s="1"/>
  <c r="C775" i="21"/>
  <c r="E775" i="21" s="1"/>
  <c r="G775" i="21" s="1"/>
  <c r="C777" i="21"/>
  <c r="E777" i="21"/>
  <c r="G777" i="21" s="1"/>
  <c r="C778" i="21"/>
  <c r="E778" i="21"/>
  <c r="G778" i="21" s="1"/>
  <c r="C780" i="21"/>
  <c r="C781" i="21"/>
  <c r="E781" i="21"/>
  <c r="G781" i="21" s="1"/>
  <c r="C782" i="21"/>
  <c r="E782" i="21"/>
  <c r="G782" i="21" s="1"/>
  <c r="B784" i="21"/>
  <c r="C784" i="21"/>
  <c r="E784" i="21"/>
  <c r="C787" i="21"/>
  <c r="E787" i="21"/>
  <c r="G787" i="21" s="1"/>
  <c r="C788" i="21"/>
  <c r="E788" i="21"/>
  <c r="G788" i="21" s="1"/>
  <c r="C789" i="21"/>
  <c r="E789" i="21"/>
  <c r="G789" i="21" s="1"/>
  <c r="C790" i="21"/>
  <c r="E790" i="21"/>
  <c r="G790" i="21" s="1"/>
  <c r="C791" i="21"/>
  <c r="E791" i="21"/>
  <c r="G791" i="21" s="1"/>
  <c r="C793" i="21"/>
  <c r="C794" i="21"/>
  <c r="E794" i="21" s="1"/>
  <c r="G794" i="21" s="1"/>
  <c r="C795" i="21"/>
  <c r="E795" i="21" s="1"/>
  <c r="G795" i="21" s="1"/>
  <c r="C797" i="21"/>
  <c r="E797" i="21"/>
  <c r="G797" i="21" s="1"/>
  <c r="C798" i="21"/>
  <c r="E798" i="21"/>
  <c r="G798" i="21" s="1"/>
  <c r="C800" i="21"/>
  <c r="C801" i="21"/>
  <c r="E801" i="21"/>
  <c r="G801" i="21" s="1"/>
  <c r="C802" i="21"/>
  <c r="E802" i="21"/>
  <c r="G802" i="21" s="1"/>
  <c r="B804" i="21"/>
  <c r="C804" i="21"/>
  <c r="E804" i="21"/>
  <c r="C807" i="21"/>
  <c r="E807" i="21"/>
  <c r="G807" i="21" s="1"/>
  <c r="C808" i="21"/>
  <c r="E808" i="21"/>
  <c r="G808" i="21" s="1"/>
  <c r="C809" i="21"/>
  <c r="E809" i="21"/>
  <c r="G809" i="21" s="1"/>
  <c r="C810" i="21"/>
  <c r="E810" i="21"/>
  <c r="G810" i="21" s="1"/>
  <c r="C811" i="21"/>
  <c r="E811" i="21"/>
  <c r="G811" i="21" s="1"/>
  <c r="C813" i="21"/>
  <c r="C814" i="21"/>
  <c r="E814" i="21" s="1"/>
  <c r="G814" i="21" s="1"/>
  <c r="C815" i="21"/>
  <c r="E815" i="21" s="1"/>
  <c r="G815" i="21" s="1"/>
  <c r="C817" i="21"/>
  <c r="E817" i="21"/>
  <c r="G817" i="21" s="1"/>
  <c r="C818" i="21"/>
  <c r="E818" i="21"/>
  <c r="G818" i="21" s="1"/>
  <c r="C820" i="21"/>
  <c r="C821" i="21"/>
  <c r="E821" i="21"/>
  <c r="G821" i="21" s="1"/>
  <c r="C822" i="21"/>
  <c r="E822" i="21"/>
  <c r="G822" i="21" s="1"/>
  <c r="B824" i="21"/>
  <c r="C824" i="21"/>
  <c r="E824" i="21"/>
  <c r="C827" i="21"/>
  <c r="C828" i="21"/>
  <c r="E828" i="21"/>
  <c r="G828" i="21" s="1"/>
  <c r="C829" i="21"/>
  <c r="E829" i="21"/>
  <c r="G829" i="21" s="1"/>
  <c r="C830" i="21"/>
  <c r="C831" i="21"/>
  <c r="E831" i="21"/>
  <c r="G831" i="21" s="1"/>
  <c r="C832" i="21"/>
  <c r="C833" i="21"/>
  <c r="E833" i="21"/>
  <c r="G833" i="21" s="1"/>
  <c r="C834" i="21"/>
  <c r="E834" i="21"/>
  <c r="G834" i="21" s="1"/>
  <c r="C836" i="21"/>
  <c r="E836" i="21" s="1"/>
  <c r="G836" i="21" s="1"/>
  <c r="C837" i="21"/>
  <c r="C838" i="21"/>
  <c r="E838" i="21" s="1"/>
  <c r="G838" i="21" s="1"/>
  <c r="C840" i="21"/>
  <c r="E840" i="21"/>
  <c r="G840" i="21" s="1"/>
  <c r="C841" i="21"/>
  <c r="E841" i="21"/>
  <c r="G841" i="21" s="1"/>
  <c r="C843" i="21"/>
  <c r="C844" i="21"/>
  <c r="E844" i="21"/>
  <c r="G844" i="21" s="1"/>
  <c r="C845" i="21"/>
  <c r="E845" i="21"/>
  <c r="G845" i="21" s="1"/>
  <c r="B847" i="21"/>
  <c r="C847" i="21"/>
  <c r="E847" i="21"/>
  <c r="C850" i="21"/>
  <c r="E850" i="21"/>
  <c r="G850" i="21" s="1"/>
  <c r="C851" i="21"/>
  <c r="E851" i="21"/>
  <c r="G851" i="21" s="1"/>
  <c r="C852" i="21"/>
  <c r="E852" i="21"/>
  <c r="G852" i="21" s="1"/>
  <c r="C853" i="21"/>
  <c r="E853" i="21"/>
  <c r="G853" i="21" s="1"/>
  <c r="C854" i="21"/>
  <c r="E854" i="21"/>
  <c r="G854" i="21" s="1"/>
  <c r="C856" i="21"/>
  <c r="C857" i="21"/>
  <c r="E857" i="21" s="1"/>
  <c r="G857" i="21" s="1"/>
  <c r="C858" i="21"/>
  <c r="E858" i="21" s="1"/>
  <c r="G858" i="21" s="1"/>
  <c r="C860" i="21"/>
  <c r="E860" i="21"/>
  <c r="G860" i="21" s="1"/>
  <c r="C861" i="21"/>
  <c r="E861" i="21"/>
  <c r="G861" i="21" s="1"/>
  <c r="C863" i="21"/>
  <c r="C864" i="21"/>
  <c r="E864" i="21"/>
  <c r="G864" i="21" s="1"/>
  <c r="C865" i="21"/>
  <c r="E865" i="21"/>
  <c r="G865" i="21" s="1"/>
  <c r="B867" i="21"/>
  <c r="C867" i="21"/>
  <c r="E867" i="21"/>
  <c r="C870" i="21"/>
  <c r="E870" i="21"/>
  <c r="G870" i="21" s="1"/>
  <c r="C871" i="21"/>
  <c r="E871" i="21"/>
  <c r="G871" i="21" s="1"/>
  <c r="C872" i="21"/>
  <c r="E872" i="21"/>
  <c r="G872" i="21" s="1"/>
  <c r="C873" i="21"/>
  <c r="E873" i="21"/>
  <c r="G873" i="21" s="1"/>
  <c r="C874" i="21"/>
  <c r="E874" i="21"/>
  <c r="G874" i="21" s="1"/>
  <c r="C876" i="21"/>
  <c r="C877" i="21"/>
  <c r="E877" i="21" s="1"/>
  <c r="G877" i="21" s="1"/>
  <c r="C878" i="21"/>
  <c r="E878" i="21" s="1"/>
  <c r="G878" i="21" s="1"/>
  <c r="C880" i="21"/>
  <c r="E880" i="21"/>
  <c r="G880" i="21" s="1"/>
  <c r="C881" i="21"/>
  <c r="E881" i="21"/>
  <c r="G881" i="21" s="1"/>
  <c r="C883" i="21"/>
  <c r="C884" i="21"/>
  <c r="E884" i="21"/>
  <c r="G884" i="21" s="1"/>
  <c r="C885" i="21"/>
  <c r="E885" i="21"/>
  <c r="G885" i="21" s="1"/>
  <c r="B887" i="21"/>
  <c r="C887" i="21"/>
  <c r="E887" i="21"/>
  <c r="C890" i="21"/>
  <c r="C891" i="21"/>
  <c r="C892" i="21"/>
  <c r="C893" i="21"/>
  <c r="E893" i="21"/>
  <c r="G893" i="21" s="1"/>
  <c r="C894" i="21"/>
  <c r="E894" i="21"/>
  <c r="G894" i="21" s="1"/>
  <c r="C895" i="21"/>
  <c r="E895" i="21"/>
  <c r="G895" i="21" s="1"/>
  <c r="C896" i="21"/>
  <c r="E896" i="21"/>
  <c r="G896" i="21" s="1"/>
  <c r="C898" i="21"/>
  <c r="C899" i="21"/>
  <c r="E899" i="21" s="1"/>
  <c r="G899" i="21" s="1"/>
  <c r="C900" i="21"/>
  <c r="E900" i="21" s="1"/>
  <c r="G900" i="21" s="1"/>
  <c r="C902" i="21"/>
  <c r="E902" i="21"/>
  <c r="G902" i="21" s="1"/>
  <c r="C903" i="21"/>
  <c r="E903" i="21"/>
  <c r="G903" i="21" s="1"/>
  <c r="C905" i="21"/>
  <c r="C906" i="21"/>
  <c r="E906" i="21"/>
  <c r="G906" i="21" s="1"/>
  <c r="C907" i="21"/>
  <c r="E907" i="21"/>
  <c r="G907" i="21" s="1"/>
  <c r="B909" i="21"/>
  <c r="C909" i="21"/>
  <c r="E909" i="21"/>
  <c r="C912" i="21"/>
  <c r="C913" i="21"/>
  <c r="E913" i="21"/>
  <c r="G913" i="21" s="1"/>
  <c r="C914" i="21"/>
  <c r="E914" i="21"/>
  <c r="G914" i="21" s="1"/>
  <c r="C915" i="21"/>
  <c r="C916" i="21"/>
  <c r="E916" i="21"/>
  <c r="G916" i="21" s="1"/>
  <c r="C917" i="21"/>
  <c r="E917" i="21"/>
  <c r="G917" i="21" s="1"/>
  <c r="C918" i="21"/>
  <c r="C919" i="21"/>
  <c r="E919" i="21"/>
  <c r="G919" i="21" s="1"/>
  <c r="C921" i="21"/>
  <c r="E921" i="21" s="1"/>
  <c r="G921" i="21" s="1"/>
  <c r="C922" i="21"/>
  <c r="C923" i="21"/>
  <c r="E923" i="21" s="1"/>
  <c r="G923" i="21" s="1"/>
  <c r="C925" i="21"/>
  <c r="E925" i="21"/>
  <c r="G925" i="21" s="1"/>
  <c r="C926" i="21"/>
  <c r="E926" i="21"/>
  <c r="G926" i="21" s="1"/>
  <c r="C928" i="21"/>
  <c r="C929" i="21"/>
  <c r="E929" i="21"/>
  <c r="G929" i="21" s="1"/>
  <c r="C930" i="21"/>
  <c r="E930" i="21"/>
  <c r="G930" i="21" s="1"/>
  <c r="B932" i="21"/>
  <c r="C932" i="21"/>
  <c r="E932" i="21"/>
  <c r="C935" i="21"/>
  <c r="E935" i="21"/>
  <c r="G935" i="21" s="1"/>
  <c r="C936" i="21"/>
  <c r="E936" i="21"/>
  <c r="G936" i="21" s="1"/>
  <c r="C937" i="21"/>
  <c r="E937" i="21"/>
  <c r="G937" i="21" s="1"/>
  <c r="C938" i="21"/>
  <c r="E938" i="21"/>
  <c r="G938" i="21" s="1"/>
  <c r="C939" i="21"/>
  <c r="E939" i="21"/>
  <c r="G939" i="21" s="1"/>
  <c r="C941" i="21"/>
  <c r="C942" i="21"/>
  <c r="E942" i="21" s="1"/>
  <c r="G942" i="21" s="1"/>
  <c r="C943" i="21"/>
  <c r="E943" i="21" s="1"/>
  <c r="G943" i="21" s="1"/>
  <c r="C945" i="21"/>
  <c r="E945" i="21"/>
  <c r="G945" i="21" s="1"/>
  <c r="C946" i="21"/>
  <c r="E946" i="21"/>
  <c r="G946" i="21" s="1"/>
  <c r="C948" i="21"/>
  <c r="C949" i="21"/>
  <c r="E949" i="21"/>
  <c r="G949" i="21" s="1"/>
  <c r="C950" i="21"/>
  <c r="E950" i="21"/>
  <c r="G950" i="21" s="1"/>
  <c r="B952" i="21"/>
  <c r="C952" i="21"/>
  <c r="E952" i="21"/>
  <c r="C955" i="21"/>
  <c r="E955" i="21"/>
  <c r="G955" i="21" s="1"/>
  <c r="C956" i="21"/>
  <c r="E956" i="21"/>
  <c r="G956" i="21" s="1"/>
  <c r="C957" i="21"/>
  <c r="E957" i="21"/>
  <c r="G957" i="21" s="1"/>
  <c r="C958" i="21"/>
  <c r="E958" i="21"/>
  <c r="G958" i="21" s="1"/>
  <c r="C959" i="21"/>
  <c r="E959" i="21"/>
  <c r="G959" i="21" s="1"/>
  <c r="C961" i="21"/>
  <c r="C962" i="21"/>
  <c r="E962" i="21" s="1"/>
  <c r="G962" i="21" s="1"/>
  <c r="C963" i="21"/>
  <c r="E963" i="21" s="1"/>
  <c r="G963" i="21" s="1"/>
  <c r="C965" i="21"/>
  <c r="E965" i="21"/>
  <c r="G965" i="21" s="1"/>
  <c r="C966" i="21"/>
  <c r="E966" i="21"/>
  <c r="G966" i="21" s="1"/>
  <c r="C968" i="21"/>
  <c r="C969" i="21"/>
  <c r="E969" i="21"/>
  <c r="G969" i="21" s="1"/>
  <c r="C970" i="21"/>
  <c r="E970" i="21"/>
  <c r="G970" i="21" s="1"/>
  <c r="B972" i="21"/>
  <c r="C972" i="21"/>
  <c r="E972" i="21"/>
  <c r="C975" i="21"/>
  <c r="E975" i="21"/>
  <c r="G975" i="21" s="1"/>
  <c r="C976" i="21"/>
  <c r="E976" i="21"/>
  <c r="G976" i="21" s="1"/>
  <c r="C977" i="21"/>
  <c r="E977" i="21"/>
  <c r="G977" i="21" s="1"/>
  <c r="C978" i="21"/>
  <c r="E978" i="21"/>
  <c r="G978" i="21" s="1"/>
  <c r="C979" i="21"/>
  <c r="E979" i="21"/>
  <c r="G979" i="21" s="1"/>
  <c r="C981" i="21"/>
  <c r="C982" i="21"/>
  <c r="E982" i="21" s="1"/>
  <c r="G982" i="21" s="1"/>
  <c r="C983" i="21"/>
  <c r="E983" i="21" s="1"/>
  <c r="G983" i="21" s="1"/>
  <c r="C985" i="21"/>
  <c r="E985" i="21"/>
  <c r="G985" i="21" s="1"/>
  <c r="C986" i="21"/>
  <c r="E986" i="21"/>
  <c r="G986" i="21" s="1"/>
  <c r="C988" i="21"/>
  <c r="C989" i="21"/>
  <c r="E989" i="21"/>
  <c r="G989" i="21" s="1"/>
  <c r="C990" i="21"/>
  <c r="E990" i="21"/>
  <c r="G990" i="21" s="1"/>
  <c r="B992" i="21"/>
  <c r="C992" i="21"/>
  <c r="E992" i="21"/>
  <c r="C995" i="21"/>
  <c r="E995" i="21"/>
  <c r="G995" i="21" s="1"/>
  <c r="C996" i="21"/>
  <c r="E996" i="21"/>
  <c r="G996" i="21" s="1"/>
  <c r="C997" i="21"/>
  <c r="E997" i="21"/>
  <c r="G997" i="21" s="1"/>
  <c r="C998" i="21"/>
  <c r="E998" i="21"/>
  <c r="G998" i="21" s="1"/>
  <c r="C999" i="21"/>
  <c r="E999" i="21"/>
  <c r="G999" i="21" s="1"/>
  <c r="C1001" i="21"/>
  <c r="C1002" i="21"/>
  <c r="E1002" i="21" s="1"/>
  <c r="G1002" i="21" s="1"/>
  <c r="C1003" i="21"/>
  <c r="E1003" i="21" s="1"/>
  <c r="G1003" i="21" s="1"/>
  <c r="C1005" i="21"/>
  <c r="E1005" i="21"/>
  <c r="G1005" i="21" s="1"/>
  <c r="C1006" i="21"/>
  <c r="E1006" i="21"/>
  <c r="G1006" i="21" s="1"/>
  <c r="C1008" i="21"/>
  <c r="C1009" i="21"/>
  <c r="E1009" i="21"/>
  <c r="G1009" i="21" s="1"/>
  <c r="C1010" i="21"/>
  <c r="E1010" i="21"/>
  <c r="G1010" i="21" s="1"/>
  <c r="B1012" i="21"/>
  <c r="C1012" i="21"/>
  <c r="E1012" i="21"/>
  <c r="C1015" i="21"/>
  <c r="E1015" i="21"/>
  <c r="G1015" i="21" s="1"/>
  <c r="C1016" i="21"/>
  <c r="E1016" i="21"/>
  <c r="G1016" i="21" s="1"/>
  <c r="C1017" i="21"/>
  <c r="E1017" i="21"/>
  <c r="G1017" i="21" s="1"/>
  <c r="C1018" i="21"/>
  <c r="E1018" i="21"/>
  <c r="G1018" i="21" s="1"/>
  <c r="C1019" i="21"/>
  <c r="E1019" i="21"/>
  <c r="G1019" i="21" s="1"/>
  <c r="C1021" i="21"/>
  <c r="C1022" i="21"/>
  <c r="E1022" i="21" s="1"/>
  <c r="G1022" i="21" s="1"/>
  <c r="C1023" i="21"/>
  <c r="E1023" i="21" s="1"/>
  <c r="G1023" i="21" s="1"/>
  <c r="C1025" i="21"/>
  <c r="E1025" i="21"/>
  <c r="G1025" i="21" s="1"/>
  <c r="C1026" i="21"/>
  <c r="E1026" i="21"/>
  <c r="G1026" i="21" s="1"/>
  <c r="C1028" i="21"/>
  <c r="C1029" i="21"/>
  <c r="E1029" i="21"/>
  <c r="G1029" i="21" s="1"/>
  <c r="C1030" i="21"/>
  <c r="E1030" i="21"/>
  <c r="G1030" i="21" s="1"/>
  <c r="B1032" i="21"/>
  <c r="C1032" i="21"/>
  <c r="E1032" i="21"/>
  <c r="C1035" i="21"/>
  <c r="E1035" i="21"/>
  <c r="G1035" i="21" s="1"/>
  <c r="C1036" i="21"/>
  <c r="E1036" i="21"/>
  <c r="G1036" i="21" s="1"/>
  <c r="C1037" i="21"/>
  <c r="E1037" i="21"/>
  <c r="G1037" i="21" s="1"/>
  <c r="C1038" i="21"/>
  <c r="E1038" i="21"/>
  <c r="G1038" i="21" s="1"/>
  <c r="C1039" i="21"/>
  <c r="E1039" i="21"/>
  <c r="G1039" i="21" s="1"/>
  <c r="C1041" i="21"/>
  <c r="C1042" i="21"/>
  <c r="E1042" i="21" s="1"/>
  <c r="G1042" i="21" s="1"/>
  <c r="C1043" i="21"/>
  <c r="E1043" i="21" s="1"/>
  <c r="G1043" i="21" s="1"/>
  <c r="C1045" i="21"/>
  <c r="E1045" i="21"/>
  <c r="G1045" i="21" s="1"/>
  <c r="C1046" i="21"/>
  <c r="E1046" i="21"/>
  <c r="G1046" i="21" s="1"/>
  <c r="C1048" i="21"/>
  <c r="C1049" i="21"/>
  <c r="E1049" i="21"/>
  <c r="G1049" i="21" s="1"/>
  <c r="C1050" i="21"/>
  <c r="E1050" i="21"/>
  <c r="G1050" i="21" s="1"/>
  <c r="B1052" i="21"/>
  <c r="C1052" i="21"/>
  <c r="E1052" i="21"/>
  <c r="C1055" i="21"/>
  <c r="C1056" i="21"/>
  <c r="C1057" i="21"/>
  <c r="E1057" i="21"/>
  <c r="G1057" i="21" s="1"/>
  <c r="C1058" i="21"/>
  <c r="E1058" i="21"/>
  <c r="G1058" i="21" s="1"/>
  <c r="C1059" i="21"/>
  <c r="C1061" i="21"/>
  <c r="C1062" i="21"/>
  <c r="E1062" i="21" s="1"/>
  <c r="G1062" i="21" s="1"/>
  <c r="C1063" i="21"/>
  <c r="E1063" i="21" s="1"/>
  <c r="G1063" i="21" s="1"/>
  <c r="C1065" i="21"/>
  <c r="E1065" i="21"/>
  <c r="G1065" i="21" s="1"/>
  <c r="C1066" i="21"/>
  <c r="E1066" i="21"/>
  <c r="G1066" i="21" s="1"/>
  <c r="C1068" i="21"/>
  <c r="C1069" i="21"/>
  <c r="E1069" i="21"/>
  <c r="G1069" i="21" s="1"/>
  <c r="C1070" i="21"/>
  <c r="E1070" i="21"/>
  <c r="G1070" i="21" s="1"/>
  <c r="B1072" i="21"/>
  <c r="C1072" i="21"/>
  <c r="E1072" i="21"/>
  <c r="C1075" i="21"/>
  <c r="C1076" i="21"/>
  <c r="D1076" i="21"/>
  <c r="C1077" i="21"/>
  <c r="E1077" i="21"/>
  <c r="G1077" i="21" s="1"/>
  <c r="C1078" i="21"/>
  <c r="E1078" i="21"/>
  <c r="G1078" i="21" s="1"/>
  <c r="C1079" i="21"/>
  <c r="C1080" i="21"/>
  <c r="E1080" i="21"/>
  <c r="G1080" i="21" s="1"/>
  <c r="C1081" i="21"/>
  <c r="E1081" i="21"/>
  <c r="G1081" i="21" s="1"/>
  <c r="C1082" i="21"/>
  <c r="E1082" i="21"/>
  <c r="G1082" i="21" s="1"/>
  <c r="C1084" i="21"/>
  <c r="C1085" i="21"/>
  <c r="E1085" i="21" s="1"/>
  <c r="G1085" i="21" s="1"/>
  <c r="C1086" i="21"/>
  <c r="E1086" i="21" s="1"/>
  <c r="G1086" i="21" s="1"/>
  <c r="C1088" i="21"/>
  <c r="E1088" i="21"/>
  <c r="G1088" i="21" s="1"/>
  <c r="C1089" i="21"/>
  <c r="E1089" i="21"/>
  <c r="G1089" i="21" s="1"/>
  <c r="C1091" i="21"/>
  <c r="C1092" i="21"/>
  <c r="E1092" i="21"/>
  <c r="G1092" i="21" s="1"/>
  <c r="C1093" i="21"/>
  <c r="E1093" i="21"/>
  <c r="G1093" i="21" s="1"/>
  <c r="B1095" i="21"/>
  <c r="C1095" i="21"/>
  <c r="E1095" i="21"/>
  <c r="C1098" i="21"/>
  <c r="E1098" i="21"/>
  <c r="G1098" i="21" s="1"/>
  <c r="C1099" i="21"/>
  <c r="E1099" i="21"/>
  <c r="G1099" i="21" s="1"/>
  <c r="C1100" i="21"/>
  <c r="E1100" i="21"/>
  <c r="G1100" i="21" s="1"/>
  <c r="C1101" i="21"/>
  <c r="E1101" i="21"/>
  <c r="G1101" i="21" s="1"/>
  <c r="C1102" i="21"/>
  <c r="E1102" i="21"/>
  <c r="G1102" i="21" s="1"/>
  <c r="C1104" i="21"/>
  <c r="C1105" i="21"/>
  <c r="E1105" i="21" s="1"/>
  <c r="G1105" i="21" s="1"/>
  <c r="C1106" i="21"/>
  <c r="E1106" i="21" s="1"/>
  <c r="G1106" i="21" s="1"/>
  <c r="C1108" i="21"/>
  <c r="E1108" i="21"/>
  <c r="G1108" i="21" s="1"/>
  <c r="C1109" i="21"/>
  <c r="E1109" i="21"/>
  <c r="G1109" i="21" s="1"/>
  <c r="C1111" i="21"/>
  <c r="C1112" i="21"/>
  <c r="E1112" i="21"/>
  <c r="G1112" i="21" s="1"/>
  <c r="C1113" i="21"/>
  <c r="E1113" i="21"/>
  <c r="G1113" i="21" s="1"/>
  <c r="B1115" i="21"/>
  <c r="C1115" i="21"/>
  <c r="E1115" i="21"/>
  <c r="C1118" i="21"/>
  <c r="E1118" i="21"/>
  <c r="G1118" i="21" s="1"/>
  <c r="C1119" i="21"/>
  <c r="E1119" i="21"/>
  <c r="G1119" i="21" s="1"/>
  <c r="C1120" i="21"/>
  <c r="E1120" i="21"/>
  <c r="G1120" i="21" s="1"/>
  <c r="C1121" i="21"/>
  <c r="E1121" i="21"/>
  <c r="G1121" i="21" s="1"/>
  <c r="C1122" i="21"/>
  <c r="E1122" i="21"/>
  <c r="G1122" i="21" s="1"/>
  <c r="C1124" i="21"/>
  <c r="C1125" i="21"/>
  <c r="E1125" i="21" s="1"/>
  <c r="G1125" i="21" s="1"/>
  <c r="C1126" i="21"/>
  <c r="E1126" i="21" s="1"/>
  <c r="G1126" i="21" s="1"/>
  <c r="C1128" i="21"/>
  <c r="E1128" i="21"/>
  <c r="G1128" i="21" s="1"/>
  <c r="C1129" i="21"/>
  <c r="E1129" i="21"/>
  <c r="G1129" i="21" s="1"/>
  <c r="C1131" i="21"/>
  <c r="C1132" i="21"/>
  <c r="E1132" i="21"/>
  <c r="G1132" i="21" s="1"/>
  <c r="C1133" i="21"/>
  <c r="E1133" i="21"/>
  <c r="G1133" i="21" s="1"/>
  <c r="B1135" i="21"/>
  <c r="C1135" i="21"/>
  <c r="E1135" i="21"/>
  <c r="C1138" i="21"/>
  <c r="C1139" i="21"/>
  <c r="D1139" i="21"/>
  <c r="C1140" i="21"/>
  <c r="E1140" i="21"/>
  <c r="G1140" i="21" s="1"/>
  <c r="C1141" i="21"/>
  <c r="E1141" i="21"/>
  <c r="G1141" i="21" s="1"/>
  <c r="C1142" i="21"/>
  <c r="C1143" i="21"/>
  <c r="E1143" i="21"/>
  <c r="G1143" i="21" s="1"/>
  <c r="C1144" i="21"/>
  <c r="E1144" i="21"/>
  <c r="G1144" i="21" s="1"/>
  <c r="C1145" i="21"/>
  <c r="E1145" i="21"/>
  <c r="G1145" i="21" s="1"/>
  <c r="C1147" i="21"/>
  <c r="E1147" i="21" s="1"/>
  <c r="G1147" i="21" s="1"/>
  <c r="C1148" i="21"/>
  <c r="C1149" i="21"/>
  <c r="E1149" i="21" s="1"/>
  <c r="G1149" i="21" s="1"/>
  <c r="C1151" i="21"/>
  <c r="E1151" i="21"/>
  <c r="G1151" i="21" s="1"/>
  <c r="C1152" i="21"/>
  <c r="E1152" i="21"/>
  <c r="G1152" i="21" s="1"/>
  <c r="C1154" i="21"/>
  <c r="C1155" i="21"/>
  <c r="E1155" i="21"/>
  <c r="G1155" i="21" s="1"/>
  <c r="C1156" i="21"/>
  <c r="E1156" i="21"/>
  <c r="G1156" i="21" s="1"/>
  <c r="B1158" i="21"/>
  <c r="C1158" i="21"/>
  <c r="E1158" i="21"/>
  <c r="C1161" i="21"/>
  <c r="C1162" i="21"/>
  <c r="D1162" i="21"/>
  <c r="C1163" i="21"/>
  <c r="E1163" i="21"/>
  <c r="G1163" i="21" s="1"/>
  <c r="C1164" i="21"/>
  <c r="E1164" i="21"/>
  <c r="G1164" i="21" s="1"/>
  <c r="C1165" i="21"/>
  <c r="C1166" i="21"/>
  <c r="E1166" i="21"/>
  <c r="G1166" i="21" s="1"/>
  <c r="C1167" i="21"/>
  <c r="E1167" i="21"/>
  <c r="G1167" i="21" s="1"/>
  <c r="C1168" i="21"/>
  <c r="E1168" i="21"/>
  <c r="G1168" i="21" s="1"/>
  <c r="C1170" i="21"/>
  <c r="E1170" i="21" s="1"/>
  <c r="G1170" i="21" s="1"/>
  <c r="C1171" i="21"/>
  <c r="C1172" i="21"/>
  <c r="E1172" i="21" s="1"/>
  <c r="G1172" i="21" s="1"/>
  <c r="C1174" i="21"/>
  <c r="E1174" i="21"/>
  <c r="G1174" i="21" s="1"/>
  <c r="C1175" i="21"/>
  <c r="E1175" i="21"/>
  <c r="G1175" i="21" s="1"/>
  <c r="C1177" i="21"/>
  <c r="C1178" i="21"/>
  <c r="E1178" i="21"/>
  <c r="G1178" i="21" s="1"/>
  <c r="C1179" i="21"/>
  <c r="E1179" i="21"/>
  <c r="G1179" i="21" s="1"/>
  <c r="B1181" i="21"/>
  <c r="C1181" i="21"/>
  <c r="E1181" i="21"/>
  <c r="C1184" i="21"/>
  <c r="C1185" i="21"/>
  <c r="C1186" i="21"/>
  <c r="E1186" i="21"/>
  <c r="G1186" i="21" s="1"/>
  <c r="C1187" i="21"/>
  <c r="E1187" i="21"/>
  <c r="G1187" i="21" s="1"/>
  <c r="C1188" i="21"/>
  <c r="C1189" i="21"/>
  <c r="E1189" i="21"/>
  <c r="G1189" i="21" s="1"/>
  <c r="C1190" i="21"/>
  <c r="E1190" i="21"/>
  <c r="G1190" i="21" s="1"/>
  <c r="C1191" i="21"/>
  <c r="E1191" i="21"/>
  <c r="G1191" i="21" s="1"/>
  <c r="C1193" i="21"/>
  <c r="E1193" i="21" s="1"/>
  <c r="G1193" i="21" s="1"/>
  <c r="C1194" i="21"/>
  <c r="C1195" i="21"/>
  <c r="E1195" i="21" s="1"/>
  <c r="G1195" i="21" s="1"/>
  <c r="C1197" i="21"/>
  <c r="E1197" i="21"/>
  <c r="G1197" i="21" s="1"/>
  <c r="C1198" i="21"/>
  <c r="E1198" i="21"/>
  <c r="G1198" i="21" s="1"/>
  <c r="C1200" i="21"/>
  <c r="C1201" i="21"/>
  <c r="E1201" i="21"/>
  <c r="G1201" i="21" s="1"/>
  <c r="C1202" i="21"/>
  <c r="E1202" i="21"/>
  <c r="G1202" i="21" s="1"/>
  <c r="B1204" i="21"/>
  <c r="C1204" i="21"/>
  <c r="E1204" i="21"/>
  <c r="C1207" i="21"/>
  <c r="E1207" i="21"/>
  <c r="G1207" i="21" s="1"/>
  <c r="C1208" i="21"/>
  <c r="E1208" i="21"/>
  <c r="G1208" i="21" s="1"/>
  <c r="C1209" i="21"/>
  <c r="E1209" i="21"/>
  <c r="G1209" i="21" s="1"/>
  <c r="C1210" i="21"/>
  <c r="E1210" i="21"/>
  <c r="G1210" i="21" s="1"/>
  <c r="C1211" i="21"/>
  <c r="E1211" i="21"/>
  <c r="G1211" i="21" s="1"/>
  <c r="C1213" i="21"/>
  <c r="C1214" i="21"/>
  <c r="E1214" i="21" s="1"/>
  <c r="G1214" i="21" s="1"/>
  <c r="C1215" i="21"/>
  <c r="E1215" i="21" s="1"/>
  <c r="G1215" i="21" s="1"/>
  <c r="C1217" i="21"/>
  <c r="E1217" i="21"/>
  <c r="G1217" i="21" s="1"/>
  <c r="C1218" i="21"/>
  <c r="E1218" i="21"/>
  <c r="G1218" i="21" s="1"/>
  <c r="C1220" i="21"/>
  <c r="C1221" i="21"/>
  <c r="E1221" i="21"/>
  <c r="G1221" i="21" s="1"/>
  <c r="C1222" i="21"/>
  <c r="E1222" i="21"/>
  <c r="G1222" i="21" s="1"/>
  <c r="B1224" i="21"/>
  <c r="C1224" i="21"/>
  <c r="E1224" i="21"/>
  <c r="C1227" i="21"/>
  <c r="E1227" i="21"/>
  <c r="G1227" i="21" s="1"/>
  <c r="C1228" i="21"/>
  <c r="E1228" i="21"/>
  <c r="G1228" i="21" s="1"/>
  <c r="C1229" i="21"/>
  <c r="E1229" i="21"/>
  <c r="G1229" i="21" s="1"/>
  <c r="C1230" i="21"/>
  <c r="E1230" i="21"/>
  <c r="G1230" i="21" s="1"/>
  <c r="C1231" i="21"/>
  <c r="E1231" i="21"/>
  <c r="G1231" i="21" s="1"/>
  <c r="C1233" i="21"/>
  <c r="C1234" i="21"/>
  <c r="E1234" i="21" s="1"/>
  <c r="G1234" i="21" s="1"/>
  <c r="C1235" i="21"/>
  <c r="E1235" i="21" s="1"/>
  <c r="G1235" i="21" s="1"/>
  <c r="C1237" i="21"/>
  <c r="E1237" i="21"/>
  <c r="G1237" i="21" s="1"/>
  <c r="C1238" i="21"/>
  <c r="E1238" i="21"/>
  <c r="G1238" i="21" s="1"/>
  <c r="C1240" i="21"/>
  <c r="C1241" i="21"/>
  <c r="E1241" i="21"/>
  <c r="G1241" i="21" s="1"/>
  <c r="C1242" i="21"/>
  <c r="E1242" i="21"/>
  <c r="G1242" i="21" s="1"/>
  <c r="B1244" i="21"/>
  <c r="C1244" i="21"/>
  <c r="E1244" i="21"/>
  <c r="C1247" i="21"/>
  <c r="E1247" i="21"/>
  <c r="G1247" i="21" s="1"/>
  <c r="C1248" i="21"/>
  <c r="E1248" i="21"/>
  <c r="G1248" i="21" s="1"/>
  <c r="C1249" i="21"/>
  <c r="E1249" i="21"/>
  <c r="G1249" i="21" s="1"/>
  <c r="C1250" i="21"/>
  <c r="E1250" i="21"/>
  <c r="G1250" i="21" s="1"/>
  <c r="C1251" i="21"/>
  <c r="E1251" i="21"/>
  <c r="G1251" i="21" s="1"/>
  <c r="C1253" i="21"/>
  <c r="C1254" i="21"/>
  <c r="E1254" i="21" s="1"/>
  <c r="G1254" i="21" s="1"/>
  <c r="C1255" i="21"/>
  <c r="E1255" i="21" s="1"/>
  <c r="G1255" i="21" s="1"/>
  <c r="C1257" i="21"/>
  <c r="E1257" i="21"/>
  <c r="G1257" i="21" s="1"/>
  <c r="C1258" i="21"/>
  <c r="E1258" i="21"/>
  <c r="G1258" i="21" s="1"/>
  <c r="C1260" i="21"/>
  <c r="C1261" i="21"/>
  <c r="E1261" i="21"/>
  <c r="G1261" i="21" s="1"/>
  <c r="C1262" i="21"/>
  <c r="E1262" i="21"/>
  <c r="G1262" i="21" s="1"/>
  <c r="B1264" i="21"/>
  <c r="C1264" i="21"/>
  <c r="E1264" i="21"/>
  <c r="C1267" i="21"/>
  <c r="E1267" i="21"/>
  <c r="G1267" i="21" s="1"/>
  <c r="C1268" i="21"/>
  <c r="E1268" i="21"/>
  <c r="G1268" i="21" s="1"/>
  <c r="C1269" i="21"/>
  <c r="E1269" i="21"/>
  <c r="G1269" i="21" s="1"/>
  <c r="C1270" i="21"/>
  <c r="E1270" i="21"/>
  <c r="G1270" i="21" s="1"/>
  <c r="C1271" i="21"/>
  <c r="E1271" i="21"/>
  <c r="G1271" i="21" s="1"/>
  <c r="C1273" i="21"/>
  <c r="C1274" i="21"/>
  <c r="E1274" i="21" s="1"/>
  <c r="G1274" i="21" s="1"/>
  <c r="C1275" i="21"/>
  <c r="E1275" i="21" s="1"/>
  <c r="G1275" i="21" s="1"/>
  <c r="C1277" i="21"/>
  <c r="E1277" i="21"/>
  <c r="G1277" i="21" s="1"/>
  <c r="C1278" i="21"/>
  <c r="E1278" i="21"/>
  <c r="G1278" i="21" s="1"/>
  <c r="C1280" i="21"/>
  <c r="C1281" i="21"/>
  <c r="E1281" i="21"/>
  <c r="G1281" i="21" s="1"/>
  <c r="C1282" i="21"/>
  <c r="E1282" i="21"/>
  <c r="G1282" i="21" s="1"/>
  <c r="B1284" i="21"/>
  <c r="C1284" i="21"/>
  <c r="E1284" i="21"/>
  <c r="C1287" i="21"/>
  <c r="E1287" i="21"/>
  <c r="G1287" i="21" s="1"/>
  <c r="C1288" i="21"/>
  <c r="E1288" i="21"/>
  <c r="G1288" i="21" s="1"/>
  <c r="C1289" i="21"/>
  <c r="E1289" i="21"/>
  <c r="G1289" i="21" s="1"/>
  <c r="C1290" i="21"/>
  <c r="E1290" i="21"/>
  <c r="G1290" i="21" s="1"/>
  <c r="C1291" i="21"/>
  <c r="E1291" i="21"/>
  <c r="G1291" i="21" s="1"/>
  <c r="C1293" i="21"/>
  <c r="C1294" i="21"/>
  <c r="E1294" i="21" s="1"/>
  <c r="G1294" i="21" s="1"/>
  <c r="C1295" i="21"/>
  <c r="E1295" i="21" s="1"/>
  <c r="G1295" i="21" s="1"/>
  <c r="C1297" i="21"/>
  <c r="E1297" i="21"/>
  <c r="G1297" i="21" s="1"/>
  <c r="C1298" i="21"/>
  <c r="E1298" i="21"/>
  <c r="G1298" i="21" s="1"/>
  <c r="C1300" i="21"/>
  <c r="C1301" i="21"/>
  <c r="E1301" i="21"/>
  <c r="G1301" i="21" s="1"/>
  <c r="C1302" i="21"/>
  <c r="E1302" i="21"/>
  <c r="G1302" i="21" s="1"/>
  <c r="B1304" i="21"/>
  <c r="C1304" i="21"/>
  <c r="E1304" i="21"/>
  <c r="C1307" i="21"/>
  <c r="C1308" i="21"/>
  <c r="C1309" i="21"/>
  <c r="E1309" i="21"/>
  <c r="G1309" i="21" s="1"/>
  <c r="C1310" i="21"/>
  <c r="E1310" i="21"/>
  <c r="G1310" i="21" s="1"/>
  <c r="C1311" i="21"/>
  <c r="C1312" i="21"/>
  <c r="E1312" i="21"/>
  <c r="G1312" i="21" s="1"/>
  <c r="C1313" i="21"/>
  <c r="E1313" i="21"/>
  <c r="G1313" i="21" s="1"/>
  <c r="C1314" i="21"/>
  <c r="E1314" i="21"/>
  <c r="G1314" i="21" s="1"/>
  <c r="C1315" i="21"/>
  <c r="E1315" i="21"/>
  <c r="G1315" i="21" s="1"/>
  <c r="C1317" i="21"/>
  <c r="E1317" i="21" s="1"/>
  <c r="G1317" i="21" s="1"/>
  <c r="C1318" i="21"/>
  <c r="C1319" i="21"/>
  <c r="E1319" i="21" s="1"/>
  <c r="G1319" i="21" s="1"/>
  <c r="C1321" i="21"/>
  <c r="E1321" i="21"/>
  <c r="G1321" i="21" s="1"/>
  <c r="C1322" i="21"/>
  <c r="E1322" i="21"/>
  <c r="G1322" i="21" s="1"/>
  <c r="C1324" i="21"/>
  <c r="C1325" i="21"/>
  <c r="E1325" i="21"/>
  <c r="G1325" i="21" s="1"/>
  <c r="C1326" i="21"/>
  <c r="E1326" i="21"/>
  <c r="G1326" i="21" s="1"/>
  <c r="B1328" i="21"/>
  <c r="C1328" i="21"/>
  <c r="E1328" i="21"/>
  <c r="C1331" i="21"/>
  <c r="E1331" i="21"/>
  <c r="G1331" i="21" s="1"/>
  <c r="C1332" i="21"/>
  <c r="E1332" i="21"/>
  <c r="G1332" i="21" s="1"/>
  <c r="C1333" i="21"/>
  <c r="E1333" i="21"/>
  <c r="G1333" i="21" s="1"/>
  <c r="C1334" i="21"/>
  <c r="E1334" i="21"/>
  <c r="G1334" i="21" s="1"/>
  <c r="C1335" i="21"/>
  <c r="E1335" i="21"/>
  <c r="G1335" i="21" s="1"/>
  <c r="C1337" i="21"/>
  <c r="C1338" i="21"/>
  <c r="E1338" i="21" s="1"/>
  <c r="G1338" i="21" s="1"/>
  <c r="C1339" i="21"/>
  <c r="E1339" i="21" s="1"/>
  <c r="G1339" i="21" s="1"/>
  <c r="C1341" i="21"/>
  <c r="E1341" i="21"/>
  <c r="G1341" i="21" s="1"/>
  <c r="C1342" i="21"/>
  <c r="E1342" i="21"/>
  <c r="G1342" i="21" s="1"/>
  <c r="C1344" i="21"/>
  <c r="C1345" i="21"/>
  <c r="E1345" i="21"/>
  <c r="G1345" i="21" s="1"/>
  <c r="C1346" i="21"/>
  <c r="E1346" i="21"/>
  <c r="G1346" i="21" s="1"/>
  <c r="B1348" i="21"/>
  <c r="C1348" i="21"/>
  <c r="E1348" i="21"/>
  <c r="C1351" i="21"/>
  <c r="C1352" i="21"/>
  <c r="C1353" i="21"/>
  <c r="E1353" i="21"/>
  <c r="G1353" i="21" s="1"/>
  <c r="C1354" i="21"/>
  <c r="E1354" i="21"/>
  <c r="G1354" i="21" s="1"/>
  <c r="C1355" i="21"/>
  <c r="E1355" i="21"/>
  <c r="G1355" i="21" s="1"/>
  <c r="C1357" i="21"/>
  <c r="C1358" i="21"/>
  <c r="E1358" i="21" s="1"/>
  <c r="G1358" i="21" s="1"/>
  <c r="C1359" i="21"/>
  <c r="E1359" i="21" s="1"/>
  <c r="G1359" i="21" s="1"/>
  <c r="C1361" i="21"/>
  <c r="E1361" i="21"/>
  <c r="G1361" i="21" s="1"/>
  <c r="C1362" i="21"/>
  <c r="E1362" i="21"/>
  <c r="G1362" i="21" s="1"/>
  <c r="C1364" i="21"/>
  <c r="C1365" i="21"/>
  <c r="E1365" i="21"/>
  <c r="G1365" i="21" s="1"/>
  <c r="C1366" i="21"/>
  <c r="E1366" i="21"/>
  <c r="G1366" i="21" s="1"/>
  <c r="B1368" i="21"/>
  <c r="C1368" i="21"/>
  <c r="E1368" i="21"/>
  <c r="C1371" i="21"/>
  <c r="E1371" i="21"/>
  <c r="G1371" i="21" s="1"/>
  <c r="C1372" i="21"/>
  <c r="E1372" i="21"/>
  <c r="G1372" i="21" s="1"/>
  <c r="C1373" i="21"/>
  <c r="E1373" i="21"/>
  <c r="G1373" i="21" s="1"/>
  <c r="C1374" i="21"/>
  <c r="E1374" i="21"/>
  <c r="G1374" i="21" s="1"/>
  <c r="C1375" i="21"/>
  <c r="E1375" i="21"/>
  <c r="G1375" i="21" s="1"/>
  <c r="C1377" i="21"/>
  <c r="C1378" i="21"/>
  <c r="E1378" i="21" s="1"/>
  <c r="G1378" i="21" s="1"/>
  <c r="C1379" i="21"/>
  <c r="E1379" i="21" s="1"/>
  <c r="G1379" i="21" s="1"/>
  <c r="C1381" i="21"/>
  <c r="E1381" i="21"/>
  <c r="G1381" i="21" s="1"/>
  <c r="C1382" i="21"/>
  <c r="E1382" i="21"/>
  <c r="G1382" i="21" s="1"/>
  <c r="C1384" i="21"/>
  <c r="C1385" i="21"/>
  <c r="E1385" i="21"/>
  <c r="G1385" i="21" s="1"/>
  <c r="C1386" i="21"/>
  <c r="E1386" i="21"/>
  <c r="G1386" i="21" s="1"/>
  <c r="B1388" i="21"/>
  <c r="C1388" i="21"/>
  <c r="E1388" i="21"/>
  <c r="C1391" i="21"/>
  <c r="E1391" i="21"/>
  <c r="G1391" i="21" s="1"/>
  <c r="C1392" i="21"/>
  <c r="E1392" i="21"/>
  <c r="G1392" i="21" s="1"/>
  <c r="C1393" i="21"/>
  <c r="E1393" i="21"/>
  <c r="G1393" i="21" s="1"/>
  <c r="C1394" i="21"/>
  <c r="E1394" i="21"/>
  <c r="G1394" i="21" s="1"/>
  <c r="C1395" i="21"/>
  <c r="E1395" i="21"/>
  <c r="G1395" i="21" s="1"/>
  <c r="C1397" i="21"/>
  <c r="E1397" i="21" s="1"/>
  <c r="G1397" i="21" s="1"/>
  <c r="C1398" i="21"/>
  <c r="C1399" i="21"/>
  <c r="E1399" i="21" s="1"/>
  <c r="G1399" i="21" s="1"/>
  <c r="C1401" i="21"/>
  <c r="E1401" i="21"/>
  <c r="G1401" i="21" s="1"/>
  <c r="C1402" i="21"/>
  <c r="E1402" i="21"/>
  <c r="G1402" i="21" s="1"/>
  <c r="C1404" i="21"/>
  <c r="C1405" i="21"/>
  <c r="E1405" i="21"/>
  <c r="G1405" i="21" s="1"/>
  <c r="C1406" i="21"/>
  <c r="E1406" i="21"/>
  <c r="G1406" i="21" s="1"/>
  <c r="B1408" i="21"/>
  <c r="C1408" i="21"/>
  <c r="E1408" i="21"/>
  <c r="C1411" i="21"/>
  <c r="E1411" i="21"/>
  <c r="G1411" i="21" s="1"/>
  <c r="C1412" i="21"/>
  <c r="E1412" i="21"/>
  <c r="G1412" i="21" s="1"/>
  <c r="C1413" i="21"/>
  <c r="E1413" i="21"/>
  <c r="G1413" i="21" s="1"/>
  <c r="C1414" i="21"/>
  <c r="E1414" i="21"/>
  <c r="G1414" i="21" s="1"/>
  <c r="C1415" i="21"/>
  <c r="E1415" i="21"/>
  <c r="G1415" i="21" s="1"/>
  <c r="C1417" i="21"/>
  <c r="E1417" i="21" s="1"/>
  <c r="G1417" i="21" s="1"/>
  <c r="C1418" i="21"/>
  <c r="C1419" i="21"/>
  <c r="E1419" i="21" s="1"/>
  <c r="G1419" i="21" s="1"/>
  <c r="C1421" i="21"/>
  <c r="E1421" i="21"/>
  <c r="G1421" i="21" s="1"/>
  <c r="C1422" i="21"/>
  <c r="E1422" i="21"/>
  <c r="G1422" i="21" s="1"/>
  <c r="C1424" i="21"/>
  <c r="C1425" i="21"/>
  <c r="E1425" i="21"/>
  <c r="G1425" i="21" s="1"/>
  <c r="C1426" i="21"/>
  <c r="E1426" i="21"/>
  <c r="G1426" i="21" s="1"/>
  <c r="B1428" i="21"/>
  <c r="C1428" i="21"/>
  <c r="E1428" i="21"/>
  <c r="C1431" i="21"/>
  <c r="E1431" i="21"/>
  <c r="G1431" i="21" s="1"/>
  <c r="C1432" i="21"/>
  <c r="E1432" i="21"/>
  <c r="G1432" i="21" s="1"/>
  <c r="C1433" i="21"/>
  <c r="E1433" i="21"/>
  <c r="G1433" i="21" s="1"/>
  <c r="C1434" i="21"/>
  <c r="E1434" i="21"/>
  <c r="G1434" i="21" s="1"/>
  <c r="C1435" i="21"/>
  <c r="E1435" i="21"/>
  <c r="G1435" i="21" s="1"/>
  <c r="C1437" i="21"/>
  <c r="C1438" i="21"/>
  <c r="E1438" i="21" s="1"/>
  <c r="G1438" i="21" s="1"/>
  <c r="C1439" i="21"/>
  <c r="E1439" i="21" s="1"/>
  <c r="G1439" i="21" s="1"/>
  <c r="C1441" i="21"/>
  <c r="E1441" i="21"/>
  <c r="G1441" i="21" s="1"/>
  <c r="C1442" i="21"/>
  <c r="E1442" i="21"/>
  <c r="G1442" i="21" s="1"/>
  <c r="C1444" i="21"/>
  <c r="C1445" i="21"/>
  <c r="E1445" i="21"/>
  <c r="G1445" i="21" s="1"/>
  <c r="C1446" i="21"/>
  <c r="E1446" i="21"/>
  <c r="G1446" i="21" s="1"/>
  <c r="B1448" i="21"/>
  <c r="C1448" i="21"/>
  <c r="E1448" i="21"/>
  <c r="C1451" i="21"/>
  <c r="E1451" i="21"/>
  <c r="G1451" i="21" s="1"/>
  <c r="C1452" i="21"/>
  <c r="E1452" i="21"/>
  <c r="G1452" i="21" s="1"/>
  <c r="C1453" i="21"/>
  <c r="E1453" i="21"/>
  <c r="G1453" i="21" s="1"/>
  <c r="C1454" i="21"/>
  <c r="E1454" i="21"/>
  <c r="G1454" i="21" s="1"/>
  <c r="C1455" i="21"/>
  <c r="E1455" i="21"/>
  <c r="G1455" i="21" s="1"/>
  <c r="C1457" i="21"/>
  <c r="C1458" i="21"/>
  <c r="E1458" i="21" s="1"/>
  <c r="G1458" i="21" s="1"/>
  <c r="C1459" i="21"/>
  <c r="E1459" i="21" s="1"/>
  <c r="G1459" i="21" s="1"/>
  <c r="C1461" i="21"/>
  <c r="E1461" i="21"/>
  <c r="G1461" i="21" s="1"/>
  <c r="C1462" i="21"/>
  <c r="E1462" i="21"/>
  <c r="G1462" i="21" s="1"/>
  <c r="C1464" i="21"/>
  <c r="C1465" i="21"/>
  <c r="E1465" i="21"/>
  <c r="G1465" i="21" s="1"/>
  <c r="C1466" i="21"/>
  <c r="E1466" i="21"/>
  <c r="G1466" i="21" s="1"/>
  <c r="B1468" i="21"/>
  <c r="C1468" i="21"/>
  <c r="E1468" i="21"/>
  <c r="C1471" i="21"/>
  <c r="E1471" i="21"/>
  <c r="G1471" i="21" s="1"/>
  <c r="C1472" i="21"/>
  <c r="E1472" i="21"/>
  <c r="G1472" i="21" s="1"/>
  <c r="C1473" i="21"/>
  <c r="E1473" i="21"/>
  <c r="G1473" i="21" s="1"/>
  <c r="C1474" i="21"/>
  <c r="E1474" i="21"/>
  <c r="G1474" i="21" s="1"/>
  <c r="C1475" i="21"/>
  <c r="E1475" i="21"/>
  <c r="G1475" i="21" s="1"/>
  <c r="C1477" i="21"/>
  <c r="C1478" i="21"/>
  <c r="E1478" i="21" s="1"/>
  <c r="G1478" i="21" s="1"/>
  <c r="C1479" i="21"/>
  <c r="E1479" i="21" s="1"/>
  <c r="G1479" i="21" s="1"/>
  <c r="C1481" i="21"/>
  <c r="E1481" i="21"/>
  <c r="G1481" i="21" s="1"/>
  <c r="C1482" i="21"/>
  <c r="E1482" i="21"/>
  <c r="G1482" i="21" s="1"/>
  <c r="C1484" i="21"/>
  <c r="C1485" i="21"/>
  <c r="E1485" i="21"/>
  <c r="G1485" i="21" s="1"/>
  <c r="C1486" i="21"/>
  <c r="E1486" i="21"/>
  <c r="G1486" i="21" s="1"/>
  <c r="B1488" i="21"/>
  <c r="C1488" i="21"/>
  <c r="E1488" i="21"/>
  <c r="C1491" i="21"/>
  <c r="E1491" i="21"/>
  <c r="G1491" i="21" s="1"/>
  <c r="C1492" i="21"/>
  <c r="E1492" i="21"/>
  <c r="G1492" i="21" s="1"/>
  <c r="C1493" i="21"/>
  <c r="E1493" i="21"/>
  <c r="G1493" i="21" s="1"/>
  <c r="C1494" i="21"/>
  <c r="E1494" i="21"/>
  <c r="G1494" i="21" s="1"/>
  <c r="C1495" i="21"/>
  <c r="E1495" i="21"/>
  <c r="G1495" i="21" s="1"/>
  <c r="C1497" i="21"/>
  <c r="C1498" i="21"/>
  <c r="E1498" i="21" s="1"/>
  <c r="G1498" i="21" s="1"/>
  <c r="C1499" i="21"/>
  <c r="E1499" i="21" s="1"/>
  <c r="G1499" i="21" s="1"/>
  <c r="C1501" i="21"/>
  <c r="E1501" i="21"/>
  <c r="G1501" i="21"/>
  <c r="C1502" i="21"/>
  <c r="E1502" i="21"/>
  <c r="G1502" i="21" s="1"/>
  <c r="C1504" i="21"/>
  <c r="C1505" i="21"/>
  <c r="E1505" i="21"/>
  <c r="G1505" i="21" s="1"/>
  <c r="C1506" i="21"/>
  <c r="E1506" i="21"/>
  <c r="G1506" i="21" s="1"/>
  <c r="B1508" i="21"/>
  <c r="C1508" i="21"/>
  <c r="E1508" i="21"/>
  <c r="C1511" i="21"/>
  <c r="E1511" i="21"/>
  <c r="G1511" i="21" s="1"/>
  <c r="C1512" i="21"/>
  <c r="E1512" i="21"/>
  <c r="G1512" i="21" s="1"/>
  <c r="C1513" i="21"/>
  <c r="E1513" i="21"/>
  <c r="G1513" i="21" s="1"/>
  <c r="C1514" i="21"/>
  <c r="E1514" i="21"/>
  <c r="G1514" i="21" s="1"/>
  <c r="C1515" i="21"/>
  <c r="E1515" i="21"/>
  <c r="G1515" i="21" s="1"/>
  <c r="C1517" i="21"/>
  <c r="C1518" i="21"/>
  <c r="E1518" i="21" s="1"/>
  <c r="G1518" i="21" s="1"/>
  <c r="C1519" i="21"/>
  <c r="E1519" i="21" s="1"/>
  <c r="G1519" i="21" s="1"/>
  <c r="C1521" i="21"/>
  <c r="E1521" i="21"/>
  <c r="G1521" i="21" s="1"/>
  <c r="C1522" i="21"/>
  <c r="E1522" i="21"/>
  <c r="G1522" i="21" s="1"/>
  <c r="C1524" i="21"/>
  <c r="C1525" i="21"/>
  <c r="E1525" i="21"/>
  <c r="G1525" i="21" s="1"/>
  <c r="C1526" i="21"/>
  <c r="E1526" i="21"/>
  <c r="G1526" i="21" s="1"/>
  <c r="B1528" i="21"/>
  <c r="C1528" i="21"/>
  <c r="E1528" i="21"/>
  <c r="C1531" i="21"/>
  <c r="E1531" i="21"/>
  <c r="G1531" i="21" s="1"/>
  <c r="C1532" i="21"/>
  <c r="E1532" i="21"/>
  <c r="G1532" i="21" s="1"/>
  <c r="C1533" i="21"/>
  <c r="E1533" i="21"/>
  <c r="G1533" i="21" s="1"/>
  <c r="C1534" i="21"/>
  <c r="E1534" i="21"/>
  <c r="G1534" i="21" s="1"/>
  <c r="C1535" i="21"/>
  <c r="E1535" i="21"/>
  <c r="G1535" i="21" s="1"/>
  <c r="C1537" i="21"/>
  <c r="C1538" i="21"/>
  <c r="E1538" i="21" s="1"/>
  <c r="G1538" i="21" s="1"/>
  <c r="C1539" i="21"/>
  <c r="E1539" i="21" s="1"/>
  <c r="G1539" i="21" s="1"/>
  <c r="C1541" i="21"/>
  <c r="E1541" i="21"/>
  <c r="G1541" i="21" s="1"/>
  <c r="C1542" i="21"/>
  <c r="E1542" i="21"/>
  <c r="G1542" i="21" s="1"/>
  <c r="C1544" i="21"/>
  <c r="C1545" i="21"/>
  <c r="E1545" i="21"/>
  <c r="G1545" i="21" s="1"/>
  <c r="C1546" i="21"/>
  <c r="E1546" i="21"/>
  <c r="G1546" i="21" s="1"/>
  <c r="B1548" i="21"/>
  <c r="C1548" i="21"/>
  <c r="E1548" i="21"/>
  <c r="C1551" i="21"/>
  <c r="E1551" i="21"/>
  <c r="G1551" i="21" s="1"/>
  <c r="C1552" i="21"/>
  <c r="E1552" i="21"/>
  <c r="G1552" i="21" s="1"/>
  <c r="C1553" i="21"/>
  <c r="E1553" i="21"/>
  <c r="G1553" i="21" s="1"/>
  <c r="C1554" i="21"/>
  <c r="E1554" i="21"/>
  <c r="G1554" i="21" s="1"/>
  <c r="C1555" i="21"/>
  <c r="E1555" i="21"/>
  <c r="G1555" i="21" s="1"/>
  <c r="C1557" i="21"/>
  <c r="C1558" i="21"/>
  <c r="E1558" i="21" s="1"/>
  <c r="G1558" i="21" s="1"/>
  <c r="C1559" i="21"/>
  <c r="E1559" i="21" s="1"/>
  <c r="G1559" i="21" s="1"/>
  <c r="C1561" i="21"/>
  <c r="E1561" i="21"/>
  <c r="G1561" i="21" s="1"/>
  <c r="C1562" i="21"/>
  <c r="E1562" i="21"/>
  <c r="G1562" i="21" s="1"/>
  <c r="C1564" i="21"/>
  <c r="C1565" i="21"/>
  <c r="E1565" i="21"/>
  <c r="G1565" i="21" s="1"/>
  <c r="C1566" i="21"/>
  <c r="E1566" i="21"/>
  <c r="G1566" i="21" s="1"/>
  <c r="B1568" i="21"/>
  <c r="C1568" i="21"/>
  <c r="E1568" i="21"/>
  <c r="C1571" i="21"/>
  <c r="E1571" i="21"/>
  <c r="G1571" i="21" s="1"/>
  <c r="C1572" i="21"/>
  <c r="E1572" i="21"/>
  <c r="G1572" i="21" s="1"/>
  <c r="C1573" i="21"/>
  <c r="E1573" i="21"/>
  <c r="G1573" i="21" s="1"/>
  <c r="C1574" i="21"/>
  <c r="E1574" i="21"/>
  <c r="G1574" i="21" s="1"/>
  <c r="C1575" i="21"/>
  <c r="E1575" i="21"/>
  <c r="G1575" i="21" s="1"/>
  <c r="C1577" i="21"/>
  <c r="C1578" i="21"/>
  <c r="E1578" i="21" s="1"/>
  <c r="G1578" i="21" s="1"/>
  <c r="C1579" i="21"/>
  <c r="E1579" i="21" s="1"/>
  <c r="G1579" i="21" s="1"/>
  <c r="C1581" i="21"/>
  <c r="E1581" i="21"/>
  <c r="G1581" i="21" s="1"/>
  <c r="C1582" i="21"/>
  <c r="E1582" i="21"/>
  <c r="G1582" i="21" s="1"/>
  <c r="C1584" i="21"/>
  <c r="C1585" i="21"/>
  <c r="E1585" i="21"/>
  <c r="G1585" i="21" s="1"/>
  <c r="C1586" i="21"/>
  <c r="E1586" i="21"/>
  <c r="G1586" i="21" s="1"/>
  <c r="B1588" i="21"/>
  <c r="C1588" i="21"/>
  <c r="E1588" i="21"/>
  <c r="C1591" i="21"/>
  <c r="E1591" i="21"/>
  <c r="G1591" i="21" s="1"/>
  <c r="C1592" i="21"/>
  <c r="E1592" i="21"/>
  <c r="G1592" i="21" s="1"/>
  <c r="C1593" i="21"/>
  <c r="E1593" i="21"/>
  <c r="G1593" i="21" s="1"/>
  <c r="C1594" i="21"/>
  <c r="E1594" i="21"/>
  <c r="G1594" i="21" s="1"/>
  <c r="C1595" i="21"/>
  <c r="E1595" i="21"/>
  <c r="G1595" i="21" s="1"/>
  <c r="C1597" i="21"/>
  <c r="C1598" i="21"/>
  <c r="E1598" i="21" s="1"/>
  <c r="G1598" i="21" s="1"/>
  <c r="C1599" i="21"/>
  <c r="E1599" i="21" s="1"/>
  <c r="G1599" i="21" s="1"/>
  <c r="C1601" i="21"/>
  <c r="E1601" i="21"/>
  <c r="G1601" i="21" s="1"/>
  <c r="C1602" i="21"/>
  <c r="E1602" i="21"/>
  <c r="G1602" i="21" s="1"/>
  <c r="C1604" i="21"/>
  <c r="C1605" i="21"/>
  <c r="E1605" i="21"/>
  <c r="G1605" i="21" s="1"/>
  <c r="C1606" i="21"/>
  <c r="E1606" i="21"/>
  <c r="G1606" i="21" s="1"/>
  <c r="B1608" i="21"/>
  <c r="C1608" i="21"/>
  <c r="E1608" i="21"/>
  <c r="C1611" i="21"/>
  <c r="E1611" i="21"/>
  <c r="G1611" i="21" s="1"/>
  <c r="C1612" i="21"/>
  <c r="E1612" i="21"/>
  <c r="G1612" i="21" s="1"/>
  <c r="C1613" i="21"/>
  <c r="E1613" i="21"/>
  <c r="G1613" i="21" s="1"/>
  <c r="C1614" i="21"/>
  <c r="E1614" i="21"/>
  <c r="G1614" i="21" s="1"/>
  <c r="C1615" i="21"/>
  <c r="E1615" i="21"/>
  <c r="G1615" i="21" s="1"/>
  <c r="C1617" i="21"/>
  <c r="C1618" i="21"/>
  <c r="E1618" i="21" s="1"/>
  <c r="G1618" i="21" s="1"/>
  <c r="C1619" i="21"/>
  <c r="E1619" i="21" s="1"/>
  <c r="G1619" i="21" s="1"/>
  <c r="C1621" i="21"/>
  <c r="E1621" i="21"/>
  <c r="G1621" i="21" s="1"/>
  <c r="C1622" i="21"/>
  <c r="E1622" i="21"/>
  <c r="G1622" i="21" s="1"/>
  <c r="C1624" i="21"/>
  <c r="C1625" i="21"/>
  <c r="E1625" i="21"/>
  <c r="G1625" i="21" s="1"/>
  <c r="C1626" i="21"/>
  <c r="E1626" i="21"/>
  <c r="G1626" i="21" s="1"/>
  <c r="B1628" i="21"/>
  <c r="C1628" i="21"/>
  <c r="E1628" i="21"/>
  <c r="C1631" i="21"/>
  <c r="E1631" i="21"/>
  <c r="G1631" i="21" s="1"/>
  <c r="C1632" i="21"/>
  <c r="E1632" i="21"/>
  <c r="G1632" i="21" s="1"/>
  <c r="C1633" i="21"/>
  <c r="E1633" i="21"/>
  <c r="G1633" i="21" s="1"/>
  <c r="C1634" i="21"/>
  <c r="E1634" i="21"/>
  <c r="G1634" i="21" s="1"/>
  <c r="C1635" i="21"/>
  <c r="E1635" i="21"/>
  <c r="G1635" i="21" s="1"/>
  <c r="C1637" i="21"/>
  <c r="C1638" i="21"/>
  <c r="E1638" i="21" s="1"/>
  <c r="G1638" i="21" s="1"/>
  <c r="C1639" i="21"/>
  <c r="E1639" i="21" s="1"/>
  <c r="G1639" i="21" s="1"/>
  <c r="C1641" i="21"/>
  <c r="E1641" i="21"/>
  <c r="G1641" i="21" s="1"/>
  <c r="C1642" i="21"/>
  <c r="E1642" i="21"/>
  <c r="G1642" i="21" s="1"/>
  <c r="C1644" i="21"/>
  <c r="C1645" i="21"/>
  <c r="E1645" i="21"/>
  <c r="G1645" i="21" s="1"/>
  <c r="C1646" i="21"/>
  <c r="E1646" i="21"/>
  <c r="G1646" i="21" s="1"/>
  <c r="B1648" i="21"/>
  <c r="C1648" i="21"/>
  <c r="E1648" i="21"/>
  <c r="C1651" i="21"/>
  <c r="E1651" i="21"/>
  <c r="G1651" i="21" s="1"/>
  <c r="C1652" i="21"/>
  <c r="E1652" i="21"/>
  <c r="G1652" i="21" s="1"/>
  <c r="C1653" i="21"/>
  <c r="E1653" i="21"/>
  <c r="G1653" i="21" s="1"/>
  <c r="C1654" i="21"/>
  <c r="E1654" i="21"/>
  <c r="G1654" i="21" s="1"/>
  <c r="C1655" i="21"/>
  <c r="E1655" i="21"/>
  <c r="G1655" i="21" s="1"/>
  <c r="C1657" i="21"/>
  <c r="C1658" i="21"/>
  <c r="E1658" i="21" s="1"/>
  <c r="G1658" i="21" s="1"/>
  <c r="C1659" i="21"/>
  <c r="E1659" i="21" s="1"/>
  <c r="G1659" i="21" s="1"/>
  <c r="C1661" i="21"/>
  <c r="E1661" i="21"/>
  <c r="G1661" i="21" s="1"/>
  <c r="C1662" i="21"/>
  <c r="E1662" i="21"/>
  <c r="G1662" i="21" s="1"/>
  <c r="C1664" i="21"/>
  <c r="C1665" i="21"/>
  <c r="E1665" i="21"/>
  <c r="G1665" i="21" s="1"/>
  <c r="C1666" i="21"/>
  <c r="E1666" i="21"/>
  <c r="G1666" i="21" s="1"/>
  <c r="B1668" i="21"/>
  <c r="C1668" i="21"/>
  <c r="E1668" i="21"/>
  <c r="C1671" i="21"/>
  <c r="E1671" i="21"/>
  <c r="G1671" i="21" s="1"/>
  <c r="C1672" i="21"/>
  <c r="E1672" i="21"/>
  <c r="G1672" i="21" s="1"/>
  <c r="C1673" i="21"/>
  <c r="E1673" i="21"/>
  <c r="G1673" i="21" s="1"/>
  <c r="C1674" i="21"/>
  <c r="E1674" i="21"/>
  <c r="G1674" i="21" s="1"/>
  <c r="C1675" i="21"/>
  <c r="E1675" i="21"/>
  <c r="G1675" i="21" s="1"/>
  <c r="C1677" i="21"/>
  <c r="C1678" i="21"/>
  <c r="E1678" i="21" s="1"/>
  <c r="G1678" i="21" s="1"/>
  <c r="C1679" i="21"/>
  <c r="E1679" i="21" s="1"/>
  <c r="G1679" i="21" s="1"/>
  <c r="C1681" i="21"/>
  <c r="E1681" i="21"/>
  <c r="G1681" i="21" s="1"/>
  <c r="C1682" i="21"/>
  <c r="E1682" i="21"/>
  <c r="G1682" i="21" s="1"/>
  <c r="C1684" i="21"/>
  <c r="C1685" i="21"/>
  <c r="E1685" i="21"/>
  <c r="G1685" i="21" s="1"/>
  <c r="C1686" i="21"/>
  <c r="E1686" i="21"/>
  <c r="G1686" i="21" s="1"/>
  <c r="B1688" i="21"/>
  <c r="C1688" i="21"/>
  <c r="E1688" i="21"/>
  <c r="C1691" i="21"/>
  <c r="E1691" i="21"/>
  <c r="G1691" i="21" s="1"/>
  <c r="C1692" i="21"/>
  <c r="E1692" i="21"/>
  <c r="G1692" i="21" s="1"/>
  <c r="C1693" i="21"/>
  <c r="E1693" i="21"/>
  <c r="G1693" i="21" s="1"/>
  <c r="C1694" i="21"/>
  <c r="E1694" i="21"/>
  <c r="G1694" i="21" s="1"/>
  <c r="C1695" i="21"/>
  <c r="E1695" i="21"/>
  <c r="G1695" i="21" s="1"/>
  <c r="C1697" i="21"/>
  <c r="C1698" i="21"/>
  <c r="E1698" i="21" s="1"/>
  <c r="G1698" i="21" s="1"/>
  <c r="C1699" i="21"/>
  <c r="E1699" i="21" s="1"/>
  <c r="G1699" i="21" s="1"/>
  <c r="C1701" i="21"/>
  <c r="E1701" i="21"/>
  <c r="G1701" i="21" s="1"/>
  <c r="C1702" i="21"/>
  <c r="E1702" i="21"/>
  <c r="G1702" i="21" s="1"/>
  <c r="C1704" i="21"/>
  <c r="C1705" i="21"/>
  <c r="E1705" i="21"/>
  <c r="G1705" i="21" s="1"/>
  <c r="C1706" i="21"/>
  <c r="E1706" i="21"/>
  <c r="G1706" i="21" s="1"/>
  <c r="B1708" i="21"/>
  <c r="C1708" i="21"/>
  <c r="E1708" i="21"/>
  <c r="C1711" i="21"/>
  <c r="E1711" i="21"/>
  <c r="G1711" i="21" s="1"/>
  <c r="C1712" i="21"/>
  <c r="E1712" i="21"/>
  <c r="G1712" i="21" s="1"/>
  <c r="C1713" i="21"/>
  <c r="E1713" i="21"/>
  <c r="G1713" i="21" s="1"/>
  <c r="C1714" i="21"/>
  <c r="E1714" i="21"/>
  <c r="G1714" i="21" s="1"/>
  <c r="C1715" i="21"/>
  <c r="E1715" i="21"/>
  <c r="G1715" i="21" s="1"/>
  <c r="C1717" i="21"/>
  <c r="C1718" i="21"/>
  <c r="E1718" i="21" s="1"/>
  <c r="G1718" i="21" s="1"/>
  <c r="C1719" i="21"/>
  <c r="E1719" i="21" s="1"/>
  <c r="G1719" i="21" s="1"/>
  <c r="C1721" i="21"/>
  <c r="E1721" i="21"/>
  <c r="G1721" i="21" s="1"/>
  <c r="C1722" i="21"/>
  <c r="E1722" i="21"/>
  <c r="G1722" i="21" s="1"/>
  <c r="C1724" i="21"/>
  <c r="C1725" i="21"/>
  <c r="E1725" i="21"/>
  <c r="G1725" i="21" s="1"/>
  <c r="C1726" i="21"/>
  <c r="E1726" i="21"/>
  <c r="G1726" i="21" s="1"/>
  <c r="B1728" i="21"/>
  <c r="C1728" i="21"/>
  <c r="E1728" i="21"/>
  <c r="C1731" i="21"/>
  <c r="E1731" i="21"/>
  <c r="G1731" i="21" s="1"/>
  <c r="C1732" i="21"/>
  <c r="E1732" i="21"/>
  <c r="G1732" i="21" s="1"/>
  <c r="C1733" i="21"/>
  <c r="E1733" i="21"/>
  <c r="G1733" i="21" s="1"/>
  <c r="C1734" i="21"/>
  <c r="E1734" i="21"/>
  <c r="G1734" i="21" s="1"/>
  <c r="C1735" i="21"/>
  <c r="E1735" i="21"/>
  <c r="G1735" i="21" s="1"/>
  <c r="C1737" i="21"/>
  <c r="C1738" i="21"/>
  <c r="E1738" i="21" s="1"/>
  <c r="G1738" i="21" s="1"/>
  <c r="C1739" i="21"/>
  <c r="E1739" i="21" s="1"/>
  <c r="G1739" i="21" s="1"/>
  <c r="C1741" i="21"/>
  <c r="E1741" i="21"/>
  <c r="G1741" i="21" s="1"/>
  <c r="C1742" i="21"/>
  <c r="E1742" i="21"/>
  <c r="G1742" i="21" s="1"/>
  <c r="C1744" i="21"/>
  <c r="C1745" i="21"/>
  <c r="E1745" i="21"/>
  <c r="G1745" i="21" s="1"/>
  <c r="C1746" i="21"/>
  <c r="E1746" i="21"/>
  <c r="G1746" i="21" s="1"/>
  <c r="B1748" i="21"/>
  <c r="C1748" i="21"/>
  <c r="E1748" i="21"/>
  <c r="C1751" i="21"/>
  <c r="E1751" i="21"/>
  <c r="G1751" i="21" s="1"/>
  <c r="C1752" i="21"/>
  <c r="E1752" i="21"/>
  <c r="G1752" i="21" s="1"/>
  <c r="C1753" i="21"/>
  <c r="E1753" i="21"/>
  <c r="G1753" i="21" s="1"/>
  <c r="C1754" i="21"/>
  <c r="E1754" i="21"/>
  <c r="G1754" i="21" s="1"/>
  <c r="C1755" i="21"/>
  <c r="E1755" i="21"/>
  <c r="G1755" i="21" s="1"/>
  <c r="C1757" i="21"/>
  <c r="C1758" i="21"/>
  <c r="E1758" i="21" s="1"/>
  <c r="G1758" i="21" s="1"/>
  <c r="C1759" i="21"/>
  <c r="E1759" i="21" s="1"/>
  <c r="G1759" i="21" s="1"/>
  <c r="C1761" i="21"/>
  <c r="E1761" i="21"/>
  <c r="G1761" i="21" s="1"/>
  <c r="C1762" i="21"/>
  <c r="E1762" i="21"/>
  <c r="G1762" i="21" s="1"/>
  <c r="C1764" i="21"/>
  <c r="C1765" i="21"/>
  <c r="E1765" i="21"/>
  <c r="G1765" i="21" s="1"/>
  <c r="C1766" i="21"/>
  <c r="E1766" i="21"/>
  <c r="G1766" i="21" s="1"/>
  <c r="B1768" i="21"/>
  <c r="C1768" i="21"/>
  <c r="E1768" i="21"/>
  <c r="C1771" i="21"/>
  <c r="E1771" i="21"/>
  <c r="G1771" i="21" s="1"/>
  <c r="C1772" i="21"/>
  <c r="E1772" i="21"/>
  <c r="G1772" i="21" s="1"/>
  <c r="C1773" i="21"/>
  <c r="E1773" i="21"/>
  <c r="G1773" i="21" s="1"/>
  <c r="C1774" i="21"/>
  <c r="E1774" i="21"/>
  <c r="G1774" i="21" s="1"/>
  <c r="C1775" i="21"/>
  <c r="E1775" i="21"/>
  <c r="G1775" i="21" s="1"/>
  <c r="C1777" i="21"/>
  <c r="E1777" i="21" s="1"/>
  <c r="G1777" i="21" s="1"/>
  <c r="C1778" i="21"/>
  <c r="E1778" i="21" s="1"/>
  <c r="G1778" i="21" s="1"/>
  <c r="C1779" i="21"/>
  <c r="E1779" i="21" s="1"/>
  <c r="G1779" i="21" s="1"/>
  <c r="C1781" i="21"/>
  <c r="E1781" i="21"/>
  <c r="G1781" i="21" s="1"/>
  <c r="C1782" i="21"/>
  <c r="E1782" i="21"/>
  <c r="G1782" i="21" s="1"/>
  <c r="C1784" i="21"/>
  <c r="E1784" i="21"/>
  <c r="G1784" i="21" s="1"/>
  <c r="C1785" i="21"/>
  <c r="E1785" i="21"/>
  <c r="G1785" i="21" s="1"/>
  <c r="C1786" i="21"/>
  <c r="E1786" i="21"/>
  <c r="G1786" i="21" s="1"/>
  <c r="B1788" i="21"/>
  <c r="C1788" i="21"/>
  <c r="E1788" i="21"/>
  <c r="C1791" i="21"/>
  <c r="E1791" i="21"/>
  <c r="G1791" i="21" s="1"/>
  <c r="C1792" i="21"/>
  <c r="E1792" i="21"/>
  <c r="G1792" i="21" s="1"/>
  <c r="C1793" i="21"/>
  <c r="E1793" i="21"/>
  <c r="G1793" i="21" s="1"/>
  <c r="C1794" i="21"/>
  <c r="E1794" i="21"/>
  <c r="G1794" i="21" s="1"/>
  <c r="C1795" i="21"/>
  <c r="E1795" i="21"/>
  <c r="G1795" i="21" s="1"/>
  <c r="C1797" i="21"/>
  <c r="E1797" i="21" s="1"/>
  <c r="G1797" i="21" s="1"/>
  <c r="C1798" i="21"/>
  <c r="E1798" i="21" s="1"/>
  <c r="G1798" i="21" s="1"/>
  <c r="C1799" i="21"/>
  <c r="E1799" i="21" s="1"/>
  <c r="G1799" i="21" s="1"/>
  <c r="C1801" i="21"/>
  <c r="E1801" i="21"/>
  <c r="G1801" i="21" s="1"/>
  <c r="C1802" i="21"/>
  <c r="E1802" i="21"/>
  <c r="G1802" i="21" s="1"/>
  <c r="C1804" i="21"/>
  <c r="E1804" i="21"/>
  <c r="G1804" i="21" s="1"/>
  <c r="C1805" i="21"/>
  <c r="E1805" i="21"/>
  <c r="G1805" i="21" s="1"/>
  <c r="C1806" i="21"/>
  <c r="E1806" i="21"/>
  <c r="G1806" i="21" s="1"/>
  <c r="B1808" i="21"/>
  <c r="C1808" i="21"/>
  <c r="E1808" i="21"/>
  <c r="C1811" i="21"/>
  <c r="E1811" i="21"/>
  <c r="G1811" i="21" s="1"/>
  <c r="C1812" i="21"/>
  <c r="E1812" i="21"/>
  <c r="G1812" i="21" s="1"/>
  <c r="C1813" i="21"/>
  <c r="E1813" i="21"/>
  <c r="G1813" i="21" s="1"/>
  <c r="C1814" i="21"/>
  <c r="E1814" i="21"/>
  <c r="G1814" i="21" s="1"/>
  <c r="C1815" i="21"/>
  <c r="E1815" i="21"/>
  <c r="G1815" i="21" s="1"/>
  <c r="C1817" i="21"/>
  <c r="C1818" i="21"/>
  <c r="E1818" i="21" s="1"/>
  <c r="G1818" i="21" s="1"/>
  <c r="C1819" i="21"/>
  <c r="E1819" i="21" s="1"/>
  <c r="G1819" i="21" s="1"/>
  <c r="C1821" i="21"/>
  <c r="E1821" i="21"/>
  <c r="G1821" i="21" s="1"/>
  <c r="C1822" i="21"/>
  <c r="E1822" i="21"/>
  <c r="G1822" i="21" s="1"/>
  <c r="C1824" i="21"/>
  <c r="C1825" i="21"/>
  <c r="E1825" i="21"/>
  <c r="G1825" i="21" s="1"/>
  <c r="C1826" i="21"/>
  <c r="E1826" i="21"/>
  <c r="G1826" i="21" s="1"/>
  <c r="B1828" i="21"/>
  <c r="C1828" i="21"/>
  <c r="E1828" i="21"/>
  <c r="C1831" i="21"/>
  <c r="E1831" i="21"/>
  <c r="G1831" i="21" s="1"/>
  <c r="C1832" i="21"/>
  <c r="E1832" i="21"/>
  <c r="G1832" i="21" s="1"/>
  <c r="C1833" i="21"/>
  <c r="E1833" i="21"/>
  <c r="G1833" i="21" s="1"/>
  <c r="C1834" i="21"/>
  <c r="E1834" i="21"/>
  <c r="G1834" i="21" s="1"/>
  <c r="C1835" i="21"/>
  <c r="E1835" i="21"/>
  <c r="G1835" i="21" s="1"/>
  <c r="C1837" i="21"/>
  <c r="C1838" i="21"/>
  <c r="E1838" i="21" s="1"/>
  <c r="G1838" i="21" s="1"/>
  <c r="C1839" i="21"/>
  <c r="E1839" i="21" s="1"/>
  <c r="G1839" i="21" s="1"/>
  <c r="C1841" i="21"/>
  <c r="E1841" i="21"/>
  <c r="G1841" i="21" s="1"/>
  <c r="C1842" i="21"/>
  <c r="E1842" i="21"/>
  <c r="G1842" i="21" s="1"/>
  <c r="C1844" i="21"/>
  <c r="C1845" i="21"/>
  <c r="E1845" i="21"/>
  <c r="G1845" i="21" s="1"/>
  <c r="C1846" i="21"/>
  <c r="E1846" i="21"/>
  <c r="G1846" i="21" s="1"/>
  <c r="B1895" i="16"/>
  <c r="C1895" i="16"/>
  <c r="E1895" i="16"/>
  <c r="C1898" i="16"/>
  <c r="D1898" i="16"/>
  <c r="E1898" i="16"/>
  <c r="C1899" i="16"/>
  <c r="E1899" i="16"/>
  <c r="G1899" i="16" s="1"/>
  <c r="C1900" i="16"/>
  <c r="E1900" i="16"/>
  <c r="G1900" i="16" s="1"/>
  <c r="C1901" i="16"/>
  <c r="E1901" i="16"/>
  <c r="G1901" i="16" s="1"/>
  <c r="C1902" i="16"/>
  <c r="E1902" i="16"/>
  <c r="G1902" i="16" s="1"/>
  <c r="C1904" i="16"/>
  <c r="C1905" i="16"/>
  <c r="E1905" i="16" s="1"/>
  <c r="G1905" i="16" s="1"/>
  <c r="C1906" i="16"/>
  <c r="E1906" i="16" s="1"/>
  <c r="G1906" i="16" s="1"/>
  <c r="C1908" i="16"/>
  <c r="E1908" i="16"/>
  <c r="G1908" i="16" s="1"/>
  <c r="C1909" i="16"/>
  <c r="E1909" i="16"/>
  <c r="G1909" i="16" s="1"/>
  <c r="C1911" i="16"/>
  <c r="C1912" i="16"/>
  <c r="E1912" i="16"/>
  <c r="G1912" i="16" s="1"/>
  <c r="C1913" i="16"/>
  <c r="E1913" i="16"/>
  <c r="G1913" i="16" s="1"/>
  <c r="B1915" i="16"/>
  <c r="C1915" i="16"/>
  <c r="E1915" i="16"/>
  <c r="C1918" i="16"/>
  <c r="D1918" i="16"/>
  <c r="E1918" i="16"/>
  <c r="C1919" i="16"/>
  <c r="E1919" i="16"/>
  <c r="G1919" i="16" s="1"/>
  <c r="C1920" i="16"/>
  <c r="E1920" i="16"/>
  <c r="G1920" i="16" s="1"/>
  <c r="C1921" i="16"/>
  <c r="E1921" i="16"/>
  <c r="G1921" i="16" s="1"/>
  <c r="C1922" i="16"/>
  <c r="E1922" i="16"/>
  <c r="G1922" i="16" s="1"/>
  <c r="C1924" i="16"/>
  <c r="C1925" i="16"/>
  <c r="E1925" i="16" s="1"/>
  <c r="G1925" i="16" s="1"/>
  <c r="C1926" i="16"/>
  <c r="E1926" i="16" s="1"/>
  <c r="G1926" i="16" s="1"/>
  <c r="C1928" i="16"/>
  <c r="E1928" i="16"/>
  <c r="G1928" i="16" s="1"/>
  <c r="C1929" i="16"/>
  <c r="E1929" i="16"/>
  <c r="G1929" i="16" s="1"/>
  <c r="C1931" i="16"/>
  <c r="C1932" i="16"/>
  <c r="E1932" i="16"/>
  <c r="G1932" i="16" s="1"/>
  <c r="C1933" i="16"/>
  <c r="E1933" i="16"/>
  <c r="G1933" i="16" s="1"/>
  <c r="B1935" i="16"/>
  <c r="C1935" i="16"/>
  <c r="E1935" i="16"/>
  <c r="C1938" i="16"/>
  <c r="D1938" i="16"/>
  <c r="E1938" i="16"/>
  <c r="C1939" i="16"/>
  <c r="E1939" i="16"/>
  <c r="G1939" i="16" s="1"/>
  <c r="C1940" i="16"/>
  <c r="E1940" i="16"/>
  <c r="G1940" i="16" s="1"/>
  <c r="C1941" i="16"/>
  <c r="E1941" i="16"/>
  <c r="G1941" i="16" s="1"/>
  <c r="C1942" i="16"/>
  <c r="E1942" i="16"/>
  <c r="G1942" i="16" s="1"/>
  <c r="C1944" i="16"/>
  <c r="C1945" i="16"/>
  <c r="E1945" i="16" s="1"/>
  <c r="G1945" i="16" s="1"/>
  <c r="C1946" i="16"/>
  <c r="E1946" i="16" s="1"/>
  <c r="G1946" i="16" s="1"/>
  <c r="C1948" i="16"/>
  <c r="E1948" i="16"/>
  <c r="G1948" i="16" s="1"/>
  <c r="C1949" i="16"/>
  <c r="E1949" i="16"/>
  <c r="G1949" i="16" s="1"/>
  <c r="C1951" i="16"/>
  <c r="C1952" i="16"/>
  <c r="E1952" i="16"/>
  <c r="G1952" i="16" s="1"/>
  <c r="C1953" i="16"/>
  <c r="E1953" i="16"/>
  <c r="G1953" i="16" s="1"/>
  <c r="B1955" i="16"/>
  <c r="C1955" i="16"/>
  <c r="E1955" i="16"/>
  <c r="C1958" i="16"/>
  <c r="E1958" i="16"/>
  <c r="G1958" i="16" s="1"/>
  <c r="C1959" i="16"/>
  <c r="E1959" i="16"/>
  <c r="G1959" i="16" s="1"/>
  <c r="C1960" i="16"/>
  <c r="E1960" i="16"/>
  <c r="G1960" i="16" s="1"/>
  <c r="C1961" i="16"/>
  <c r="E1961" i="16"/>
  <c r="G1961" i="16" s="1"/>
  <c r="C1962" i="16"/>
  <c r="E1962" i="16"/>
  <c r="G1962" i="16" s="1"/>
  <c r="C1964" i="16"/>
  <c r="C1965" i="16"/>
  <c r="E1965" i="16" s="1"/>
  <c r="G1965" i="16" s="1"/>
  <c r="C1966" i="16"/>
  <c r="E1966" i="16" s="1"/>
  <c r="G1966" i="16" s="1"/>
  <c r="C1968" i="16"/>
  <c r="E1968" i="16"/>
  <c r="G1968" i="16" s="1"/>
  <c r="C1969" i="16"/>
  <c r="E1969" i="16"/>
  <c r="G1969" i="16" s="1"/>
  <c r="C1971" i="16"/>
  <c r="C1972" i="16"/>
  <c r="E1972" i="16"/>
  <c r="G1972" i="16" s="1"/>
  <c r="C1973" i="16"/>
  <c r="E1973" i="16"/>
  <c r="G1973" i="16" s="1"/>
  <c r="B1975" i="16"/>
  <c r="C1975" i="16"/>
  <c r="E1975" i="16"/>
  <c r="C1978" i="16"/>
  <c r="E1978" i="16"/>
  <c r="G1978" i="16" s="1"/>
  <c r="C1979" i="16"/>
  <c r="E1979" i="16"/>
  <c r="G1979" i="16" s="1"/>
  <c r="C1980" i="16"/>
  <c r="E1980" i="16"/>
  <c r="G1980" i="16" s="1"/>
  <c r="C1981" i="16"/>
  <c r="E1981" i="16"/>
  <c r="G1981" i="16" s="1"/>
  <c r="C1982" i="16"/>
  <c r="E1982" i="16"/>
  <c r="G1982" i="16" s="1"/>
  <c r="C1984" i="16"/>
  <c r="C1985" i="16"/>
  <c r="E1985" i="16" s="1"/>
  <c r="G1985" i="16" s="1"/>
  <c r="C1986" i="16"/>
  <c r="E1986" i="16" s="1"/>
  <c r="G1986" i="16" s="1"/>
  <c r="C1988" i="16"/>
  <c r="E1988" i="16"/>
  <c r="G1988" i="16" s="1"/>
  <c r="C1989" i="16"/>
  <c r="E1989" i="16"/>
  <c r="G1989" i="16" s="1"/>
  <c r="C1991" i="16"/>
  <c r="C1992" i="16"/>
  <c r="E1992" i="16"/>
  <c r="G1992" i="16" s="1"/>
  <c r="C1993" i="16"/>
  <c r="E1993" i="16"/>
  <c r="G1993" i="16" s="1"/>
  <c r="B1995" i="16"/>
  <c r="C1995" i="16"/>
  <c r="E1995" i="16"/>
  <c r="C1998" i="16"/>
  <c r="E1998" i="16"/>
  <c r="G1998" i="16" s="1"/>
  <c r="C1999" i="16"/>
  <c r="E1999" i="16"/>
  <c r="G1999" i="16" s="1"/>
  <c r="C2000" i="16"/>
  <c r="E2000" i="16"/>
  <c r="G2000" i="16" s="1"/>
  <c r="C2001" i="16"/>
  <c r="E2001" i="16"/>
  <c r="G2001" i="16" s="1"/>
  <c r="C2002" i="16"/>
  <c r="E2002" i="16"/>
  <c r="G2002" i="16" s="1"/>
  <c r="C2004" i="16"/>
  <c r="C2005" i="16"/>
  <c r="E2005" i="16" s="1"/>
  <c r="G2005" i="16" s="1"/>
  <c r="C2006" i="16"/>
  <c r="E2006" i="16" s="1"/>
  <c r="G2006" i="16" s="1"/>
  <c r="C2008" i="16"/>
  <c r="E2008" i="16"/>
  <c r="G2008" i="16" s="1"/>
  <c r="C2009" i="16"/>
  <c r="E2009" i="16"/>
  <c r="G2009" i="16" s="1"/>
  <c r="C2011" i="16"/>
  <c r="C2012" i="16"/>
  <c r="E2012" i="16"/>
  <c r="G2012" i="16" s="1"/>
  <c r="C2013" i="16"/>
  <c r="E2013" i="16"/>
  <c r="G2013" i="16" s="1"/>
  <c r="B2015" i="16"/>
  <c r="C2015" i="16"/>
  <c r="E2015" i="16"/>
  <c r="C2018" i="16"/>
  <c r="E2018" i="16"/>
  <c r="G2018" i="16" s="1"/>
  <c r="C2019" i="16"/>
  <c r="E2019" i="16"/>
  <c r="G2019" i="16" s="1"/>
  <c r="C2020" i="16"/>
  <c r="E2020" i="16"/>
  <c r="G2020" i="16" s="1"/>
  <c r="C2021" i="16"/>
  <c r="E2021" i="16"/>
  <c r="G2021" i="16" s="1"/>
  <c r="C2022" i="16"/>
  <c r="E2022" i="16"/>
  <c r="G2022" i="16" s="1"/>
  <c r="C2024" i="16"/>
  <c r="C2025" i="16"/>
  <c r="E2025" i="16" s="1"/>
  <c r="G2025" i="16" s="1"/>
  <c r="C2026" i="16"/>
  <c r="E2026" i="16" s="1"/>
  <c r="G2026" i="16" s="1"/>
  <c r="C2028" i="16"/>
  <c r="E2028" i="16"/>
  <c r="G2028" i="16" s="1"/>
  <c r="C2029" i="16"/>
  <c r="E2029" i="16"/>
  <c r="G2029" i="16" s="1"/>
  <c r="C2031" i="16"/>
  <c r="C2032" i="16"/>
  <c r="E2032" i="16"/>
  <c r="G2032" i="16" s="1"/>
  <c r="C2033" i="16"/>
  <c r="E2033" i="16"/>
  <c r="G2033" i="16" s="1"/>
  <c r="B2035" i="16"/>
  <c r="C2035" i="16"/>
  <c r="E2035" i="16"/>
  <c r="C2038" i="16"/>
  <c r="E2038" i="16"/>
  <c r="G2038" i="16" s="1"/>
  <c r="C2039" i="16"/>
  <c r="E2039" i="16"/>
  <c r="G2039" i="16" s="1"/>
  <c r="C2040" i="16"/>
  <c r="E2040" i="16"/>
  <c r="G2040" i="16" s="1"/>
  <c r="C2041" i="16"/>
  <c r="E2041" i="16"/>
  <c r="G2041" i="16" s="1"/>
  <c r="C2042" i="16"/>
  <c r="E2042" i="16"/>
  <c r="G2042" i="16" s="1"/>
  <c r="C2043" i="16"/>
  <c r="E2043" i="16"/>
  <c r="G2043" i="16" s="1"/>
  <c r="C2044" i="16"/>
  <c r="E2044" i="16"/>
  <c r="G2044" i="16" s="1"/>
  <c r="C2046" i="16"/>
  <c r="E2046" i="16" s="1"/>
  <c r="G2046" i="16" s="1"/>
  <c r="C2047" i="16"/>
  <c r="C2048" i="16"/>
  <c r="E2048" i="16" s="1"/>
  <c r="G2048" i="16" s="1"/>
  <c r="C2050" i="16"/>
  <c r="E2050" i="16"/>
  <c r="G2050" i="16" s="1"/>
  <c r="C2051" i="16"/>
  <c r="E2051" i="16"/>
  <c r="G2051" i="16" s="1"/>
  <c r="C2053" i="16"/>
  <c r="C2054" i="16"/>
  <c r="E2054" i="16"/>
  <c r="G2054" i="16" s="1"/>
  <c r="C2055" i="16"/>
  <c r="E2055" i="16"/>
  <c r="G2055" i="16" s="1"/>
  <c r="B2057" i="16"/>
  <c r="C2057" i="16"/>
  <c r="E2057" i="16"/>
  <c r="C2060" i="16"/>
  <c r="E2060" i="16"/>
  <c r="G2060" i="16" s="1"/>
  <c r="C2061" i="16"/>
  <c r="E2061" i="16"/>
  <c r="G2061" i="16" s="1"/>
  <c r="C2062" i="16"/>
  <c r="E2062" i="16"/>
  <c r="G2062" i="16" s="1"/>
  <c r="C2063" i="16"/>
  <c r="E2063" i="16"/>
  <c r="G2063" i="16" s="1"/>
  <c r="C2064" i="16"/>
  <c r="E2064" i="16"/>
  <c r="G2064" i="16" s="1"/>
  <c r="C2066" i="16"/>
  <c r="C2067" i="16"/>
  <c r="E2067" i="16" s="1"/>
  <c r="G2067" i="16" s="1"/>
  <c r="C2068" i="16"/>
  <c r="E2068" i="16" s="1"/>
  <c r="G2068" i="16" s="1"/>
  <c r="C2070" i="16"/>
  <c r="E2070" i="16"/>
  <c r="G2070" i="16" s="1"/>
  <c r="C2071" i="16"/>
  <c r="E2071" i="16"/>
  <c r="G2071" i="16" s="1"/>
  <c r="C2073" i="16"/>
  <c r="C2074" i="16"/>
  <c r="E2074" i="16"/>
  <c r="G2074" i="16" s="1"/>
  <c r="C2075" i="16"/>
  <c r="E2075" i="16"/>
  <c r="G2075" i="16" s="1"/>
  <c r="B2077" i="16"/>
  <c r="C2077" i="16"/>
  <c r="E2077" i="16"/>
  <c r="C2080" i="16"/>
  <c r="C2081" i="16"/>
  <c r="E2081" i="16"/>
  <c r="G2081" i="16" s="1"/>
  <c r="C2082" i="16"/>
  <c r="E2082" i="16"/>
  <c r="G2082" i="16" s="1"/>
  <c r="C2083" i="16"/>
  <c r="E2083" i="16"/>
  <c r="G2083" i="16" s="1"/>
  <c r="C2084" i="16"/>
  <c r="E2084" i="16"/>
  <c r="G2084" i="16" s="1"/>
  <c r="C2086" i="16"/>
  <c r="C2087" i="16"/>
  <c r="E2087" i="16" s="1"/>
  <c r="G2087" i="16" s="1"/>
  <c r="C2088" i="16"/>
  <c r="E2088" i="16" s="1"/>
  <c r="G2088" i="16" s="1"/>
  <c r="C2090" i="16"/>
  <c r="E2090" i="16"/>
  <c r="G2090" i="16" s="1"/>
  <c r="C2091" i="16"/>
  <c r="E2091" i="16"/>
  <c r="G2091" i="16" s="1"/>
  <c r="C2093" i="16"/>
  <c r="C2094" i="16"/>
  <c r="E2094" i="16"/>
  <c r="G2094" i="16" s="1"/>
  <c r="C2095" i="16"/>
  <c r="E2095" i="16"/>
  <c r="G2095" i="16" s="1"/>
  <c r="B2097" i="16"/>
  <c r="C2097" i="16"/>
  <c r="E2097" i="16"/>
  <c r="C2100" i="16"/>
  <c r="E2100" i="16"/>
  <c r="G2100" i="16" s="1"/>
  <c r="C2101" i="16"/>
  <c r="E2101" i="16"/>
  <c r="G2101" i="16" s="1"/>
  <c r="C2102" i="16"/>
  <c r="E2102" i="16"/>
  <c r="G2102" i="16" s="1"/>
  <c r="C2103" i="16"/>
  <c r="E2103" i="16"/>
  <c r="G2103" i="16" s="1"/>
  <c r="C2104" i="16"/>
  <c r="E2104" i="16"/>
  <c r="G2104" i="16" s="1"/>
  <c r="C2106" i="16"/>
  <c r="C2107" i="16"/>
  <c r="E2107" i="16" s="1"/>
  <c r="G2107" i="16" s="1"/>
  <c r="C2108" i="16"/>
  <c r="E2108" i="16" s="1"/>
  <c r="G2108" i="16" s="1"/>
  <c r="C2110" i="16"/>
  <c r="E2110" i="16"/>
  <c r="G2110" i="16" s="1"/>
  <c r="C2111" i="16"/>
  <c r="E2111" i="16"/>
  <c r="G2111" i="16" s="1"/>
  <c r="C2113" i="16"/>
  <c r="C2114" i="16"/>
  <c r="E2114" i="16"/>
  <c r="G2114" i="16" s="1"/>
  <c r="C2115" i="16"/>
  <c r="E2115" i="16"/>
  <c r="G2115" i="16" s="1"/>
  <c r="B2117" i="16"/>
  <c r="C2117" i="16"/>
  <c r="E2117" i="16"/>
  <c r="C2120" i="16"/>
  <c r="E2120" i="16"/>
  <c r="G2120" i="16" s="1"/>
  <c r="C2121" i="16"/>
  <c r="E2121" i="16"/>
  <c r="G2121" i="16" s="1"/>
  <c r="C2122" i="16"/>
  <c r="E2122" i="16"/>
  <c r="G2122" i="16" s="1"/>
  <c r="C2123" i="16"/>
  <c r="E2123" i="16"/>
  <c r="G2123" i="16" s="1"/>
  <c r="C2124" i="16"/>
  <c r="E2124" i="16"/>
  <c r="G2124" i="16" s="1"/>
  <c r="C2126" i="16"/>
  <c r="E2126" i="16" s="1"/>
  <c r="G2126" i="16" s="1"/>
  <c r="C2127" i="16"/>
  <c r="C2128" i="16"/>
  <c r="E2128" i="16" s="1"/>
  <c r="G2128" i="16" s="1"/>
  <c r="C2130" i="16"/>
  <c r="E2130" i="16"/>
  <c r="G2130" i="16" s="1"/>
  <c r="C2131" i="16"/>
  <c r="E2131" i="16"/>
  <c r="G2131" i="16" s="1"/>
  <c r="C2133" i="16"/>
  <c r="C2134" i="16"/>
  <c r="E2134" i="16"/>
  <c r="G2134" i="16" s="1"/>
  <c r="C2135" i="16"/>
  <c r="E2135" i="16"/>
  <c r="G2135" i="16" s="1"/>
  <c r="B2137" i="16"/>
  <c r="C2137" i="16"/>
  <c r="E2137" i="16"/>
  <c r="C2140" i="16"/>
  <c r="E2140" i="16"/>
  <c r="G2140" i="16" s="1"/>
  <c r="C2141" i="16"/>
  <c r="E2141" i="16"/>
  <c r="G2141" i="16" s="1"/>
  <c r="C2142" i="16"/>
  <c r="E2142" i="16"/>
  <c r="G2142" i="16" s="1"/>
  <c r="C2143" i="16"/>
  <c r="E2143" i="16"/>
  <c r="G2143" i="16" s="1"/>
  <c r="C2144" i="16"/>
  <c r="E2144" i="16"/>
  <c r="G2144" i="16" s="1"/>
  <c r="C2146" i="16"/>
  <c r="C2147" i="16"/>
  <c r="C2148" i="16"/>
  <c r="E2148" i="16" s="1"/>
  <c r="G2148" i="16" s="1"/>
  <c r="C2150" i="16"/>
  <c r="E2150" i="16"/>
  <c r="G2150" i="16" s="1"/>
  <c r="C2151" i="16"/>
  <c r="E2151" i="16"/>
  <c r="G2151" i="16" s="1"/>
  <c r="C2153" i="16"/>
  <c r="C2154" i="16"/>
  <c r="E2154" i="16"/>
  <c r="G2154" i="16" s="1"/>
  <c r="C2155" i="16"/>
  <c r="E2155" i="16"/>
  <c r="G2155" i="16" s="1"/>
  <c r="B2157" i="16"/>
  <c r="C2157" i="16"/>
  <c r="E2157" i="16"/>
  <c r="C2160" i="16"/>
  <c r="C2161" i="16"/>
  <c r="E2161" i="16"/>
  <c r="G2161" i="16" s="1"/>
  <c r="C2162" i="16"/>
  <c r="E2162" i="16"/>
  <c r="G2162" i="16" s="1"/>
  <c r="C2163" i="16"/>
  <c r="E2163" i="16"/>
  <c r="G2163" i="16" s="1"/>
  <c r="C2164" i="16"/>
  <c r="E2164" i="16"/>
  <c r="G2164" i="16" s="1"/>
  <c r="C2166" i="16"/>
  <c r="C2167" i="16"/>
  <c r="E2167" i="16" s="1"/>
  <c r="G2167" i="16" s="1"/>
  <c r="C2168" i="16"/>
  <c r="E2168" i="16" s="1"/>
  <c r="G2168" i="16" s="1"/>
  <c r="C2170" i="16"/>
  <c r="E2170" i="16"/>
  <c r="G2170" i="16" s="1"/>
  <c r="C2171" i="16"/>
  <c r="E2171" i="16"/>
  <c r="G2171" i="16" s="1"/>
  <c r="C2173" i="16"/>
  <c r="C2174" i="16"/>
  <c r="E2174" i="16"/>
  <c r="G2174" i="16" s="1"/>
  <c r="C2175" i="16"/>
  <c r="E2175" i="16"/>
  <c r="G2175" i="16" s="1"/>
  <c r="B2177" i="16"/>
  <c r="C2177" i="16"/>
  <c r="E2177" i="16"/>
  <c r="C2180" i="16"/>
  <c r="C2181" i="16"/>
  <c r="E2181" i="16"/>
  <c r="G2181" i="16" s="1"/>
  <c r="C2182" i="16"/>
  <c r="E2182" i="16"/>
  <c r="G2182" i="16" s="1"/>
  <c r="C2183" i="16"/>
  <c r="E2183" i="16"/>
  <c r="G2183" i="16" s="1"/>
  <c r="C2184" i="16"/>
  <c r="E2184" i="16"/>
  <c r="G2184" i="16" s="1"/>
  <c r="C2186" i="16"/>
  <c r="C2187" i="16"/>
  <c r="E2187" i="16" s="1"/>
  <c r="G2187" i="16" s="1"/>
  <c r="C2188" i="16"/>
  <c r="E2188" i="16" s="1"/>
  <c r="G2188" i="16" s="1"/>
  <c r="C2190" i="16"/>
  <c r="E2190" i="16"/>
  <c r="G2190" i="16" s="1"/>
  <c r="C2191" i="16"/>
  <c r="E2191" i="16"/>
  <c r="G2191" i="16" s="1"/>
  <c r="C2193" i="16"/>
  <c r="C2194" i="16"/>
  <c r="E2194" i="16"/>
  <c r="G2194" i="16" s="1"/>
  <c r="C2195" i="16"/>
  <c r="E2195" i="16"/>
  <c r="G2195" i="16" s="1"/>
  <c r="B2197" i="16"/>
  <c r="C2197" i="16"/>
  <c r="E2197" i="16"/>
  <c r="C2200" i="16"/>
  <c r="C2201" i="16"/>
  <c r="E2201" i="16"/>
  <c r="G2201" i="16" s="1"/>
  <c r="C2202" i="16"/>
  <c r="E2202" i="16"/>
  <c r="G2202" i="16" s="1"/>
  <c r="C2203" i="16"/>
  <c r="E2203" i="16"/>
  <c r="G2203" i="16" s="1"/>
  <c r="C2204" i="16"/>
  <c r="E2204" i="16"/>
  <c r="G2204" i="16" s="1"/>
  <c r="C2206" i="16"/>
  <c r="C2207" i="16"/>
  <c r="E2207" i="16" s="1"/>
  <c r="G2207" i="16" s="1"/>
  <c r="C2208" i="16"/>
  <c r="E2208" i="16" s="1"/>
  <c r="G2208" i="16" s="1"/>
  <c r="C2210" i="16"/>
  <c r="E2210" i="16"/>
  <c r="G2210" i="16" s="1"/>
  <c r="C2211" i="16"/>
  <c r="E2211" i="16"/>
  <c r="G2211" i="16" s="1"/>
  <c r="C2213" i="16"/>
  <c r="C2214" i="16"/>
  <c r="E2214" i="16"/>
  <c r="G2214" i="16" s="1"/>
  <c r="C2215" i="16"/>
  <c r="E2215" i="16"/>
  <c r="G2215" i="16" s="1"/>
  <c r="B2217" i="16"/>
  <c r="C2217" i="16"/>
  <c r="E2217" i="16"/>
  <c r="C2220" i="16"/>
  <c r="C2221" i="16"/>
  <c r="E2221" i="16"/>
  <c r="G2221" i="16" s="1"/>
  <c r="C2222" i="16"/>
  <c r="E2222" i="16"/>
  <c r="G2222" i="16" s="1"/>
  <c r="C2223" i="16"/>
  <c r="E2223" i="16"/>
  <c r="G2223" i="16" s="1"/>
  <c r="C2224" i="16"/>
  <c r="E2224" i="16"/>
  <c r="G2224" i="16" s="1"/>
  <c r="C2226" i="16"/>
  <c r="C2227" i="16"/>
  <c r="E2227" i="16" s="1"/>
  <c r="G2227" i="16" s="1"/>
  <c r="C2228" i="16"/>
  <c r="E2228" i="16" s="1"/>
  <c r="G2228" i="16" s="1"/>
  <c r="C2230" i="16"/>
  <c r="E2230" i="16"/>
  <c r="G2230" i="16" s="1"/>
  <c r="C2231" i="16"/>
  <c r="E2231" i="16"/>
  <c r="G2231" i="16" s="1"/>
  <c r="C2233" i="16"/>
  <c r="C2234" i="16"/>
  <c r="E2234" i="16"/>
  <c r="G2234" i="16" s="1"/>
  <c r="C2235" i="16"/>
  <c r="E2235" i="16"/>
  <c r="G2235" i="16" s="1"/>
  <c r="B2237" i="16"/>
  <c r="C2237" i="16"/>
  <c r="E2237" i="16"/>
  <c r="C2240" i="16"/>
  <c r="E2240" i="16"/>
  <c r="G2240" i="16" s="1"/>
  <c r="C2241" i="16"/>
  <c r="E2241" i="16"/>
  <c r="G2241" i="16" s="1"/>
  <c r="C2242" i="16"/>
  <c r="E2242" i="16"/>
  <c r="G2242" i="16" s="1"/>
  <c r="C2243" i="16"/>
  <c r="E2243" i="16"/>
  <c r="G2243" i="16" s="1"/>
  <c r="C2244" i="16"/>
  <c r="E2244" i="16"/>
  <c r="G2244" i="16" s="1"/>
  <c r="C2246" i="16"/>
  <c r="C2247" i="16"/>
  <c r="E2247" i="16" s="1"/>
  <c r="G2247" i="16" s="1"/>
  <c r="C2248" i="16"/>
  <c r="E2248" i="16" s="1"/>
  <c r="G2248" i="16" s="1"/>
  <c r="C2250" i="16"/>
  <c r="E2250" i="16"/>
  <c r="G2250" i="16" s="1"/>
  <c r="C2251" i="16"/>
  <c r="E2251" i="16"/>
  <c r="G2251" i="16" s="1"/>
  <c r="C2253" i="16"/>
  <c r="C2254" i="16"/>
  <c r="E2254" i="16"/>
  <c r="G2254" i="16" s="1"/>
  <c r="C2255" i="16"/>
  <c r="E2255" i="16"/>
  <c r="G2255" i="16" s="1"/>
  <c r="B2257" i="16"/>
  <c r="C2257" i="16"/>
  <c r="E2257" i="16"/>
  <c r="C2260" i="16"/>
  <c r="E2260" i="16"/>
  <c r="G2260" i="16" s="1"/>
  <c r="C2261" i="16"/>
  <c r="C2262" i="16"/>
  <c r="E2262" i="16"/>
  <c r="G2262" i="16" s="1"/>
  <c r="C2263" i="16"/>
  <c r="E2263" i="16"/>
  <c r="G2263" i="16" s="1"/>
  <c r="C2264" i="16"/>
  <c r="E2264" i="16"/>
  <c r="G2264" i="16" s="1"/>
  <c r="C2266" i="16"/>
  <c r="C2267" i="16"/>
  <c r="E2267" i="16" s="1"/>
  <c r="G2267" i="16" s="1"/>
  <c r="C2268" i="16"/>
  <c r="E2268" i="16" s="1"/>
  <c r="G2268" i="16" s="1"/>
  <c r="C2270" i="16"/>
  <c r="E2270" i="16"/>
  <c r="G2270" i="16" s="1"/>
  <c r="C2271" i="16"/>
  <c r="E2271" i="16"/>
  <c r="G2271" i="16" s="1"/>
  <c r="C2273" i="16"/>
  <c r="C2274" i="16"/>
  <c r="E2274" i="16"/>
  <c r="G2274" i="16" s="1"/>
  <c r="C2275" i="16"/>
  <c r="E2275" i="16"/>
  <c r="G2275" i="16" s="1"/>
  <c r="B2277" i="16"/>
  <c r="C2277" i="16"/>
  <c r="E2277" i="16"/>
  <c r="C2280" i="16"/>
  <c r="E2280" i="16"/>
  <c r="G2280" i="16" s="1"/>
  <c r="C2281" i="16"/>
  <c r="E2281" i="16"/>
  <c r="G2281" i="16" s="1"/>
  <c r="C2282" i="16"/>
  <c r="E2282" i="16"/>
  <c r="G2282" i="16" s="1"/>
  <c r="C2283" i="16"/>
  <c r="E2283" i="16"/>
  <c r="G2283" i="16" s="1"/>
  <c r="C2284" i="16"/>
  <c r="E2284" i="16"/>
  <c r="G2284" i="16" s="1"/>
  <c r="C2286" i="16"/>
  <c r="C2287" i="16"/>
  <c r="E2287" i="16" s="1"/>
  <c r="G2287" i="16" s="1"/>
  <c r="C2288" i="16"/>
  <c r="E2288" i="16" s="1"/>
  <c r="G2288" i="16" s="1"/>
  <c r="C2290" i="16"/>
  <c r="E2290" i="16"/>
  <c r="G2290" i="16" s="1"/>
  <c r="C2291" i="16"/>
  <c r="E2291" i="16"/>
  <c r="G2291" i="16" s="1"/>
  <c r="C2293" i="16"/>
  <c r="C2294" i="16"/>
  <c r="E2294" i="16"/>
  <c r="G2294" i="16" s="1"/>
  <c r="C2295" i="16"/>
  <c r="E2295" i="16"/>
  <c r="G2295" i="16" s="1"/>
  <c r="B2297" i="16"/>
  <c r="C2297" i="16"/>
  <c r="E2297" i="16"/>
  <c r="C2300" i="16"/>
  <c r="E2300" i="16"/>
  <c r="G2300" i="16" s="1"/>
  <c r="C2301" i="16"/>
  <c r="C2302" i="16"/>
  <c r="E2302" i="16"/>
  <c r="G2302" i="16" s="1"/>
  <c r="C2303" i="16"/>
  <c r="E2303" i="16"/>
  <c r="G2303" i="16" s="1"/>
  <c r="C2304" i="16"/>
  <c r="E2304" i="16"/>
  <c r="G2304" i="16" s="1"/>
  <c r="C2306" i="16"/>
  <c r="C2307" i="16"/>
  <c r="E2307" i="16" s="1"/>
  <c r="G2307" i="16" s="1"/>
  <c r="C2308" i="16"/>
  <c r="E2308" i="16" s="1"/>
  <c r="G2308" i="16" s="1"/>
  <c r="C2310" i="16"/>
  <c r="E2310" i="16"/>
  <c r="G2310" i="16" s="1"/>
  <c r="C2311" i="16"/>
  <c r="E2311" i="16"/>
  <c r="G2311" i="16" s="1"/>
  <c r="C2313" i="16"/>
  <c r="C2314" i="16"/>
  <c r="E2314" i="16"/>
  <c r="G2314" i="16" s="1"/>
  <c r="C2315" i="16"/>
  <c r="E2315" i="16"/>
  <c r="G2315" i="16" s="1"/>
  <c r="B2317" i="16"/>
  <c r="C2317" i="16"/>
  <c r="E2317" i="16"/>
  <c r="C2320" i="16"/>
  <c r="E2320" i="16"/>
  <c r="G2320" i="16" s="1"/>
  <c r="C2321" i="16"/>
  <c r="E2321" i="16"/>
  <c r="G2321" i="16" s="1"/>
  <c r="C2322" i="16"/>
  <c r="C2323" i="16"/>
  <c r="E2323" i="16"/>
  <c r="G2323" i="16" s="1"/>
  <c r="C2324" i="16"/>
  <c r="E2324" i="16"/>
  <c r="G2324" i="16" s="1"/>
  <c r="C2326" i="16"/>
  <c r="E2326" i="16" s="1"/>
  <c r="G2326" i="16" s="1"/>
  <c r="C2327" i="16"/>
  <c r="C2328" i="16"/>
  <c r="E2328" i="16" s="1"/>
  <c r="G2328" i="16" s="1"/>
  <c r="C2330" i="16"/>
  <c r="E2330" i="16"/>
  <c r="G2330" i="16" s="1"/>
  <c r="C2331" i="16"/>
  <c r="E2331" i="16"/>
  <c r="G2331" i="16" s="1"/>
  <c r="C2333" i="16"/>
  <c r="C2334" i="16"/>
  <c r="E2334" i="16"/>
  <c r="G2334" i="16" s="1"/>
  <c r="C2335" i="16"/>
  <c r="E2335" i="16"/>
  <c r="G2335" i="16" s="1"/>
  <c r="B2337" i="16"/>
  <c r="C2337" i="16"/>
  <c r="E2337" i="16"/>
  <c r="C2340" i="16"/>
  <c r="E2340" i="16"/>
  <c r="G2340" i="16" s="1"/>
  <c r="C2341" i="16"/>
  <c r="E2341" i="16"/>
  <c r="G2341" i="16" s="1"/>
  <c r="C2342" i="16"/>
  <c r="E2342" i="16"/>
  <c r="G2342" i="16" s="1"/>
  <c r="C2343" i="16"/>
  <c r="E2343" i="16"/>
  <c r="G2343" i="16" s="1"/>
  <c r="C2344" i="16"/>
  <c r="E2344" i="16"/>
  <c r="G2344" i="16" s="1"/>
  <c r="C2346" i="16"/>
  <c r="C2347" i="16"/>
  <c r="E2347" i="16" s="1"/>
  <c r="G2347" i="16" s="1"/>
  <c r="C2348" i="16"/>
  <c r="E2348" i="16" s="1"/>
  <c r="G2348" i="16" s="1"/>
  <c r="C2350" i="16"/>
  <c r="E2350" i="16"/>
  <c r="G2350" i="16" s="1"/>
  <c r="C2351" i="16"/>
  <c r="E2351" i="16"/>
  <c r="G2351" i="16" s="1"/>
  <c r="C2353" i="16"/>
  <c r="C2354" i="16"/>
  <c r="E2354" i="16"/>
  <c r="G2354" i="16" s="1"/>
  <c r="C2355" i="16"/>
  <c r="E2355" i="16"/>
  <c r="G2355" i="16" s="1"/>
  <c r="B2357" i="16"/>
  <c r="C2357" i="16"/>
  <c r="E2357" i="16"/>
  <c r="C2360" i="16"/>
  <c r="E2360" i="16"/>
  <c r="G2360" i="16" s="1"/>
  <c r="C2361" i="16"/>
  <c r="E2361" i="16"/>
  <c r="G2361" i="16" s="1"/>
  <c r="C2362" i="16"/>
  <c r="E2362" i="16"/>
  <c r="G2362" i="16" s="1"/>
  <c r="C2363" i="16"/>
  <c r="E2363" i="16"/>
  <c r="G2363" i="16" s="1"/>
  <c r="C2364" i="16"/>
  <c r="E2364" i="16"/>
  <c r="G2364" i="16" s="1"/>
  <c r="C2366" i="16"/>
  <c r="C2367" i="16"/>
  <c r="E2367" i="16" s="1"/>
  <c r="G2367" i="16" s="1"/>
  <c r="C2368" i="16"/>
  <c r="E2368" i="16" s="1"/>
  <c r="G2368" i="16" s="1"/>
  <c r="C2370" i="16"/>
  <c r="E2370" i="16"/>
  <c r="G2370" i="16" s="1"/>
  <c r="C2371" i="16"/>
  <c r="E2371" i="16"/>
  <c r="G2371" i="16" s="1"/>
  <c r="C2373" i="16"/>
  <c r="C2374" i="16"/>
  <c r="E2374" i="16"/>
  <c r="G2374" i="16" s="1"/>
  <c r="C2375" i="16"/>
  <c r="E2375" i="16"/>
  <c r="G2375" i="16" s="1"/>
  <c r="B2377" i="16"/>
  <c r="C2377" i="16"/>
  <c r="E2377" i="16"/>
  <c r="C2380" i="16"/>
  <c r="E2380" i="16"/>
  <c r="G2380" i="16" s="1"/>
  <c r="C2381" i="16"/>
  <c r="E2381" i="16"/>
  <c r="G2381" i="16" s="1"/>
  <c r="C2382" i="16"/>
  <c r="E2382" i="16"/>
  <c r="G2382" i="16" s="1"/>
  <c r="C2383" i="16"/>
  <c r="E2383" i="16"/>
  <c r="G2383" i="16" s="1"/>
  <c r="C2384" i="16"/>
  <c r="E2384" i="16"/>
  <c r="G2384" i="16" s="1"/>
  <c r="C2386" i="16"/>
  <c r="E2386" i="16" s="1"/>
  <c r="G2386" i="16" s="1"/>
  <c r="C2387" i="16"/>
  <c r="C2388" i="16"/>
  <c r="E2388" i="16" s="1"/>
  <c r="G2388" i="16" s="1"/>
  <c r="C2390" i="16"/>
  <c r="E2390" i="16"/>
  <c r="G2390" i="16" s="1"/>
  <c r="C2391" i="16"/>
  <c r="E2391" i="16"/>
  <c r="G2391" i="16" s="1"/>
  <c r="C2393" i="16"/>
  <c r="C2394" i="16"/>
  <c r="E2394" i="16"/>
  <c r="G2394" i="16" s="1"/>
  <c r="C2395" i="16"/>
  <c r="E2395" i="16"/>
  <c r="G2395" i="16" s="1"/>
  <c r="B2397" i="16"/>
  <c r="C2397" i="16"/>
  <c r="E2397" i="16"/>
  <c r="C2400" i="16"/>
  <c r="E2400" i="16"/>
  <c r="G2400" i="16" s="1"/>
  <c r="C2401" i="16"/>
  <c r="D2401" i="16"/>
  <c r="E2401" i="16"/>
  <c r="C2402" i="16"/>
  <c r="E2402" i="16"/>
  <c r="G2402" i="16" s="1"/>
  <c r="C2403" i="16"/>
  <c r="D2403" i="16"/>
  <c r="E2403" i="16"/>
  <c r="C2404" i="16"/>
  <c r="E2404" i="16"/>
  <c r="G2404" i="16" s="1"/>
  <c r="C2405" i="16"/>
  <c r="E2405" i="16"/>
  <c r="G2405" i="16" s="1"/>
  <c r="C2407" i="16"/>
  <c r="E2407" i="16" s="1"/>
  <c r="G2407" i="16" s="1"/>
  <c r="C2408" i="16"/>
  <c r="C2409" i="16"/>
  <c r="E2409" i="16" s="1"/>
  <c r="G2409" i="16" s="1"/>
  <c r="C2411" i="16"/>
  <c r="E2411" i="16"/>
  <c r="G2411" i="16" s="1"/>
  <c r="C2412" i="16"/>
  <c r="E2412" i="16"/>
  <c r="G2412" i="16" s="1"/>
  <c r="C2414" i="16"/>
  <c r="C2415" i="16"/>
  <c r="E2415" i="16"/>
  <c r="G2415" i="16" s="1"/>
  <c r="C2416" i="16"/>
  <c r="E2416" i="16"/>
  <c r="G2416" i="16" s="1"/>
  <c r="B2418" i="16"/>
  <c r="C2418" i="16"/>
  <c r="E2418" i="16"/>
  <c r="C2421" i="16"/>
  <c r="E2421" i="16"/>
  <c r="G2421" i="16" s="1"/>
  <c r="C2422" i="16"/>
  <c r="E2422" i="16"/>
  <c r="G2422" i="16" s="1"/>
  <c r="C2423" i="16"/>
  <c r="E2423" i="16"/>
  <c r="G2423" i="16" s="1"/>
  <c r="C2424" i="16"/>
  <c r="E2424" i="16"/>
  <c r="G2424" i="16" s="1"/>
  <c r="C2425" i="16"/>
  <c r="E2425" i="16"/>
  <c r="G2425" i="16" s="1"/>
  <c r="C2427" i="16"/>
  <c r="C2428" i="16"/>
  <c r="E2428" i="16" s="1"/>
  <c r="G2428" i="16" s="1"/>
  <c r="C2429" i="16"/>
  <c r="E2429" i="16" s="1"/>
  <c r="G2429" i="16" s="1"/>
  <c r="C2431" i="16"/>
  <c r="E2431" i="16"/>
  <c r="G2431" i="16" s="1"/>
  <c r="C2432" i="16"/>
  <c r="E2432" i="16"/>
  <c r="G2432" i="16" s="1"/>
  <c r="C2434" i="16"/>
  <c r="C2435" i="16"/>
  <c r="E2435" i="16"/>
  <c r="G2435" i="16" s="1"/>
  <c r="C2436" i="16"/>
  <c r="E2436" i="16"/>
  <c r="G2436" i="16" s="1"/>
  <c r="B2438" i="16"/>
  <c r="C2438" i="16"/>
  <c r="E2438" i="16"/>
  <c r="C2441" i="16"/>
  <c r="E2441" i="16"/>
  <c r="G2441" i="16" s="1"/>
  <c r="C2442" i="16"/>
  <c r="E2442" i="16"/>
  <c r="G2442" i="16" s="1"/>
  <c r="C2443" i="16"/>
  <c r="E2443" i="16"/>
  <c r="G2443" i="16" s="1"/>
  <c r="C2444" i="16"/>
  <c r="E2444" i="16"/>
  <c r="G2444" i="16" s="1"/>
  <c r="C2445" i="16"/>
  <c r="E2445" i="16"/>
  <c r="G2445" i="16" s="1"/>
  <c r="C2447" i="16"/>
  <c r="C2448" i="16"/>
  <c r="E2448" i="16" s="1"/>
  <c r="G2448" i="16" s="1"/>
  <c r="C2449" i="16"/>
  <c r="E2449" i="16" s="1"/>
  <c r="G2449" i="16" s="1"/>
  <c r="C2451" i="16"/>
  <c r="E2451" i="16"/>
  <c r="G2451" i="16" s="1"/>
  <c r="C2452" i="16"/>
  <c r="E2452" i="16"/>
  <c r="G2452" i="16" s="1"/>
  <c r="C2454" i="16"/>
  <c r="C2455" i="16"/>
  <c r="E2455" i="16"/>
  <c r="G2455" i="16" s="1"/>
  <c r="C2456" i="16"/>
  <c r="E2456" i="16"/>
  <c r="G2456" i="16" s="1"/>
  <c r="B2458" i="16"/>
  <c r="C2458" i="16"/>
  <c r="E2458" i="16"/>
  <c r="C2461" i="16"/>
  <c r="E2461" i="16"/>
  <c r="G2461" i="16" s="1"/>
  <c r="C2462" i="16"/>
  <c r="D2462" i="16"/>
  <c r="E2462" i="16"/>
  <c r="C2463" i="16"/>
  <c r="E2463" i="16"/>
  <c r="G2463" i="16" s="1"/>
  <c r="C2464" i="16"/>
  <c r="E2464" i="16"/>
  <c r="G2464" i="16" s="1"/>
  <c r="C2465" i="16"/>
  <c r="E2465" i="16"/>
  <c r="G2465" i="16" s="1"/>
  <c r="C2467" i="16"/>
  <c r="E2467" i="16" s="1"/>
  <c r="G2467" i="16" s="1"/>
  <c r="C2468" i="16"/>
  <c r="C2469" i="16"/>
  <c r="E2469" i="16" s="1"/>
  <c r="G2469" i="16" s="1"/>
  <c r="C2471" i="16"/>
  <c r="E2471" i="16"/>
  <c r="G2471" i="16" s="1"/>
  <c r="C2472" i="16"/>
  <c r="E2472" i="16"/>
  <c r="G2472" i="16" s="1"/>
  <c r="C2474" i="16"/>
  <c r="C2475" i="16"/>
  <c r="E2475" i="16"/>
  <c r="G2475" i="16" s="1"/>
  <c r="C2476" i="16"/>
  <c r="E2476" i="16"/>
  <c r="G2476" i="16" s="1"/>
  <c r="B2478" i="16"/>
  <c r="C2478" i="16"/>
  <c r="E2478" i="16"/>
  <c r="C2481" i="16"/>
  <c r="E2481" i="16"/>
  <c r="G2481" i="16" s="1"/>
  <c r="C2482" i="16"/>
  <c r="E2482" i="16"/>
  <c r="G2482" i="16" s="1"/>
  <c r="C2483" i="16"/>
  <c r="E2483" i="16"/>
  <c r="G2483" i="16" s="1"/>
  <c r="C2484" i="16"/>
  <c r="E2484" i="16"/>
  <c r="G2484" i="16" s="1"/>
  <c r="C2485" i="16"/>
  <c r="E2485" i="16"/>
  <c r="G2485" i="16" s="1"/>
  <c r="C2487" i="16"/>
  <c r="E2487" i="16" s="1"/>
  <c r="G2487" i="16" s="1"/>
  <c r="C2488" i="16"/>
  <c r="C2489" i="16"/>
  <c r="E2489" i="16" s="1"/>
  <c r="G2489" i="16" s="1"/>
  <c r="C2491" i="16"/>
  <c r="E2491" i="16"/>
  <c r="G2491" i="16" s="1"/>
  <c r="C2492" i="16"/>
  <c r="E2492" i="16"/>
  <c r="G2492" i="16" s="1"/>
  <c r="C2494" i="16"/>
  <c r="C2495" i="16"/>
  <c r="E2495" i="16"/>
  <c r="G2495" i="16" s="1"/>
  <c r="C2496" i="16"/>
  <c r="E2496" i="16"/>
  <c r="G2496" i="16" s="1"/>
  <c r="B2498" i="16"/>
  <c r="C2498" i="16"/>
  <c r="E2498" i="16"/>
  <c r="C2501" i="16"/>
  <c r="E2501" i="16"/>
  <c r="G2501" i="16" s="1"/>
  <c r="C2502" i="16"/>
  <c r="E2502" i="16"/>
  <c r="G2502" i="16" s="1"/>
  <c r="C2503" i="16"/>
  <c r="E2503" i="16"/>
  <c r="G2503" i="16" s="1"/>
  <c r="C2504" i="16"/>
  <c r="E2504" i="16"/>
  <c r="G2504" i="16" s="1"/>
  <c r="C2505" i="16"/>
  <c r="E2505" i="16"/>
  <c r="G2505" i="16" s="1"/>
  <c r="C2507" i="16"/>
  <c r="C2508" i="16"/>
  <c r="C2509" i="16"/>
  <c r="E2509" i="16" s="1"/>
  <c r="G2509" i="16" s="1"/>
  <c r="C2511" i="16"/>
  <c r="E2511" i="16"/>
  <c r="G2511" i="16" s="1"/>
  <c r="C2512" i="16"/>
  <c r="E2512" i="16"/>
  <c r="G2512" i="16" s="1"/>
  <c r="C2514" i="16"/>
  <c r="C2515" i="16"/>
  <c r="E2515" i="16"/>
  <c r="G2515" i="16" s="1"/>
  <c r="C2516" i="16"/>
  <c r="E2516" i="16"/>
  <c r="G2516" i="16" s="1"/>
  <c r="B2518" i="16"/>
  <c r="C2518" i="16"/>
  <c r="E2518" i="16"/>
  <c r="C2521" i="16"/>
  <c r="E2521" i="16"/>
  <c r="G2521" i="16" s="1"/>
  <c r="C2522" i="16"/>
  <c r="E2522" i="16"/>
  <c r="G2522" i="16" s="1"/>
  <c r="C2523" i="16"/>
  <c r="E2523" i="16"/>
  <c r="G2523" i="16" s="1"/>
  <c r="C2524" i="16"/>
  <c r="E2524" i="16"/>
  <c r="G2524" i="16" s="1"/>
  <c r="C2525" i="16"/>
  <c r="E2525" i="16"/>
  <c r="G2525" i="16" s="1"/>
  <c r="C2527" i="16"/>
  <c r="E2527" i="16" s="1"/>
  <c r="G2527" i="16" s="1"/>
  <c r="C2528" i="16"/>
  <c r="C2529" i="16"/>
  <c r="E2529" i="16" s="1"/>
  <c r="G2529" i="16" s="1"/>
  <c r="C2531" i="16"/>
  <c r="E2531" i="16"/>
  <c r="G2531" i="16" s="1"/>
  <c r="C2532" i="16"/>
  <c r="E2532" i="16"/>
  <c r="G2532" i="16" s="1"/>
  <c r="C2534" i="16"/>
  <c r="C2535" i="16"/>
  <c r="E2535" i="16"/>
  <c r="G2535" i="16" s="1"/>
  <c r="C2536" i="16"/>
  <c r="E2536" i="16"/>
  <c r="G2536" i="16" s="1"/>
  <c r="B2538" i="16"/>
  <c r="C2538" i="16"/>
  <c r="E2538" i="16"/>
  <c r="C2541" i="16"/>
  <c r="E2541" i="16"/>
  <c r="G2541" i="16" s="1"/>
  <c r="C2542" i="16"/>
  <c r="E2542" i="16"/>
  <c r="G2542" i="16" s="1"/>
  <c r="C2543" i="16"/>
  <c r="E2543" i="16"/>
  <c r="G2543" i="16" s="1"/>
  <c r="C2544" i="16"/>
  <c r="E2544" i="16"/>
  <c r="G2544" i="16" s="1"/>
  <c r="C2545" i="16"/>
  <c r="E2545" i="16"/>
  <c r="G2545" i="16" s="1"/>
  <c r="C2547" i="16"/>
  <c r="C2548" i="16"/>
  <c r="E2548" i="16" s="1"/>
  <c r="G2548" i="16" s="1"/>
  <c r="C2549" i="16"/>
  <c r="E2549" i="16" s="1"/>
  <c r="G2549" i="16" s="1"/>
  <c r="C2551" i="16"/>
  <c r="E2551" i="16"/>
  <c r="G2551" i="16" s="1"/>
  <c r="C2552" i="16"/>
  <c r="E2552" i="16"/>
  <c r="G2552" i="16" s="1"/>
  <c r="C2554" i="16"/>
  <c r="C2555" i="16"/>
  <c r="E2555" i="16"/>
  <c r="G2555" i="16" s="1"/>
  <c r="C2556" i="16"/>
  <c r="E2556" i="16"/>
  <c r="G2556" i="16" s="1"/>
  <c r="B2558" i="16"/>
  <c r="C2558" i="16"/>
  <c r="E2558" i="16"/>
  <c r="C2561" i="16"/>
  <c r="E2561" i="16"/>
  <c r="G2561" i="16" s="1"/>
  <c r="C2562" i="16"/>
  <c r="E2562" i="16"/>
  <c r="G2562" i="16" s="1"/>
  <c r="C2563" i="16"/>
  <c r="E2563" i="16"/>
  <c r="G2563" i="16" s="1"/>
  <c r="C2564" i="16"/>
  <c r="E2564" i="16"/>
  <c r="G2564" i="16" s="1"/>
  <c r="C2565" i="16"/>
  <c r="E2565" i="16"/>
  <c r="G2565" i="16" s="1"/>
  <c r="C2567" i="16"/>
  <c r="C2568" i="16"/>
  <c r="E2568" i="16" s="1"/>
  <c r="G2568" i="16" s="1"/>
  <c r="C2569" i="16"/>
  <c r="E2569" i="16" s="1"/>
  <c r="G2569" i="16" s="1"/>
  <c r="C2571" i="16"/>
  <c r="E2571" i="16"/>
  <c r="G2571" i="16" s="1"/>
  <c r="C2572" i="16"/>
  <c r="E2572" i="16"/>
  <c r="G2572" i="16" s="1"/>
  <c r="C2574" i="16"/>
  <c r="C2575" i="16"/>
  <c r="E2575" i="16"/>
  <c r="G2575" i="16" s="1"/>
  <c r="C2576" i="16"/>
  <c r="E2576" i="16"/>
  <c r="G2576" i="16" s="1"/>
  <c r="B2578" i="16"/>
  <c r="C2578" i="16"/>
  <c r="E2578" i="16"/>
  <c r="C2581" i="16"/>
  <c r="E2581" i="16"/>
  <c r="G2581" i="16" s="1"/>
  <c r="C2582" i="16"/>
  <c r="E2582" i="16"/>
  <c r="G2582" i="16" s="1"/>
  <c r="C2583" i="16"/>
  <c r="E2583" i="16"/>
  <c r="G2583" i="16" s="1"/>
  <c r="C2584" i="16"/>
  <c r="E2584" i="16"/>
  <c r="G2584" i="16" s="1"/>
  <c r="C2585" i="16"/>
  <c r="E2585" i="16"/>
  <c r="G2585" i="16" s="1"/>
  <c r="C2587" i="16"/>
  <c r="E2587" i="16" s="1"/>
  <c r="G2587" i="16" s="1"/>
  <c r="C2588" i="16"/>
  <c r="C2589" i="16"/>
  <c r="E2589" i="16" s="1"/>
  <c r="G2589" i="16" s="1"/>
  <c r="C2591" i="16"/>
  <c r="E2591" i="16"/>
  <c r="G2591" i="16" s="1"/>
  <c r="C2592" i="16"/>
  <c r="E2592" i="16"/>
  <c r="G2592" i="16" s="1"/>
  <c r="C2594" i="16"/>
  <c r="C2595" i="16"/>
  <c r="E2595" i="16"/>
  <c r="G2595" i="16" s="1"/>
  <c r="C2596" i="16"/>
  <c r="E2596" i="16"/>
  <c r="G2596" i="16" s="1"/>
  <c r="B2598" i="16"/>
  <c r="C2598" i="16"/>
  <c r="E2598" i="16"/>
  <c r="C2601" i="16"/>
  <c r="C2602" i="16"/>
  <c r="E2602" i="16"/>
  <c r="G2602" i="16" s="1"/>
  <c r="C2603" i="16"/>
  <c r="E2603" i="16"/>
  <c r="G2603" i="16" s="1"/>
  <c r="C2604" i="16"/>
  <c r="E2604" i="16"/>
  <c r="G2604" i="16" s="1"/>
  <c r="C2605" i="16"/>
  <c r="E2605" i="16"/>
  <c r="G2605" i="16" s="1"/>
  <c r="C2607" i="16"/>
  <c r="C2608" i="16"/>
  <c r="E2608" i="16" s="1"/>
  <c r="G2608" i="16" s="1"/>
  <c r="C2609" i="16"/>
  <c r="E2609" i="16" s="1"/>
  <c r="G2609" i="16" s="1"/>
  <c r="C2611" i="16"/>
  <c r="E2611" i="16"/>
  <c r="G2611" i="16" s="1"/>
  <c r="C2612" i="16"/>
  <c r="E2612" i="16"/>
  <c r="G2612" i="16" s="1"/>
  <c r="C2614" i="16"/>
  <c r="C2615" i="16"/>
  <c r="E2615" i="16"/>
  <c r="G2615" i="16" s="1"/>
  <c r="C2616" i="16"/>
  <c r="E2616" i="16"/>
  <c r="G2616" i="16" s="1"/>
  <c r="B2618" i="16"/>
  <c r="C2618" i="16"/>
  <c r="E2618" i="16"/>
  <c r="C2621" i="16"/>
  <c r="E2621" i="16"/>
  <c r="G2621" i="16" s="1"/>
  <c r="C2622" i="16"/>
  <c r="E2622" i="16"/>
  <c r="G2622" i="16" s="1"/>
  <c r="C2623" i="16"/>
  <c r="E2623" i="16"/>
  <c r="G2623" i="16" s="1"/>
  <c r="C2624" i="16"/>
  <c r="E2624" i="16"/>
  <c r="G2624" i="16" s="1"/>
  <c r="C2625" i="16"/>
  <c r="E2625" i="16"/>
  <c r="G2625" i="16" s="1"/>
  <c r="C2627" i="16"/>
  <c r="E2627" i="16" s="1"/>
  <c r="G2627" i="16" s="1"/>
  <c r="C2628" i="16"/>
  <c r="C2629" i="16"/>
  <c r="E2629" i="16" s="1"/>
  <c r="G2629" i="16" s="1"/>
  <c r="C2631" i="16"/>
  <c r="E2631" i="16"/>
  <c r="G2631" i="16" s="1"/>
  <c r="C2632" i="16"/>
  <c r="E2632" i="16"/>
  <c r="G2632" i="16" s="1"/>
  <c r="C2634" i="16"/>
  <c r="C2635" i="16"/>
  <c r="E2635" i="16"/>
  <c r="G2635" i="16" s="1"/>
  <c r="C2636" i="16"/>
  <c r="E2636" i="16"/>
  <c r="G2636" i="16" s="1"/>
  <c r="B2638" i="16"/>
  <c r="C2638" i="16"/>
  <c r="E2638" i="16"/>
  <c r="C2641" i="16"/>
  <c r="E2641" i="16"/>
  <c r="G2641" i="16" s="1"/>
  <c r="C2642" i="16"/>
  <c r="E2642" i="16"/>
  <c r="G2642" i="16" s="1"/>
  <c r="C2643" i="16"/>
  <c r="E2643" i="16"/>
  <c r="G2643" i="16" s="1"/>
  <c r="C2644" i="16"/>
  <c r="E2644" i="16"/>
  <c r="G2644" i="16" s="1"/>
  <c r="C2645" i="16"/>
  <c r="E2645" i="16"/>
  <c r="G2645" i="16" s="1"/>
  <c r="C2647" i="16"/>
  <c r="C2648" i="16"/>
  <c r="E2648" i="16" s="1"/>
  <c r="G2648" i="16" s="1"/>
  <c r="C2649" i="16"/>
  <c r="E2649" i="16" s="1"/>
  <c r="G2649" i="16" s="1"/>
  <c r="C2651" i="16"/>
  <c r="E2651" i="16"/>
  <c r="G2651" i="16" s="1"/>
  <c r="C2652" i="16"/>
  <c r="E2652" i="16"/>
  <c r="G2652" i="16" s="1"/>
  <c r="C2654" i="16"/>
  <c r="C2655" i="16"/>
  <c r="E2655" i="16"/>
  <c r="G2655" i="16" s="1"/>
  <c r="C2656" i="16"/>
  <c r="E2656" i="16"/>
  <c r="G2656" i="16" s="1"/>
  <c r="B2658" i="16"/>
  <c r="C2658" i="16"/>
  <c r="E2658" i="16"/>
  <c r="C2661" i="16"/>
  <c r="D2661" i="16"/>
  <c r="E2661" i="16"/>
  <c r="C2662" i="16"/>
  <c r="E2662" i="16"/>
  <c r="G2662" i="16" s="1"/>
  <c r="C2663" i="16"/>
  <c r="E2663" i="16"/>
  <c r="G2663" i="16" s="1"/>
  <c r="C2664" i="16"/>
  <c r="E2664" i="16"/>
  <c r="G2664" i="16" s="1"/>
  <c r="C2665" i="16"/>
  <c r="E2665" i="16"/>
  <c r="G2665" i="16" s="1"/>
  <c r="C2667" i="16"/>
  <c r="C2668" i="16"/>
  <c r="E2668" i="16" s="1"/>
  <c r="G2668" i="16" s="1"/>
  <c r="C2669" i="16"/>
  <c r="E2669" i="16" s="1"/>
  <c r="G2669" i="16" s="1"/>
  <c r="C2671" i="16"/>
  <c r="E2671" i="16"/>
  <c r="G2671" i="16" s="1"/>
  <c r="C2672" i="16"/>
  <c r="E2672" i="16"/>
  <c r="G2672" i="16" s="1"/>
  <c r="C2674" i="16"/>
  <c r="C2675" i="16"/>
  <c r="E2675" i="16"/>
  <c r="G2675" i="16" s="1"/>
  <c r="C2676" i="16"/>
  <c r="E2676" i="16"/>
  <c r="G2676" i="16" s="1"/>
  <c r="B2678" i="16"/>
  <c r="C2678" i="16"/>
  <c r="E2678" i="16"/>
  <c r="C2681" i="16"/>
  <c r="E2681" i="16"/>
  <c r="G2681" i="16" s="1"/>
  <c r="C2682" i="16"/>
  <c r="E2682" i="16"/>
  <c r="G2682" i="16" s="1"/>
  <c r="C2683" i="16"/>
  <c r="E2683" i="16"/>
  <c r="G2683" i="16" s="1"/>
  <c r="C2684" i="16"/>
  <c r="E2684" i="16"/>
  <c r="G2684" i="16" s="1"/>
  <c r="C2685" i="16"/>
  <c r="E2685" i="16"/>
  <c r="G2685" i="16" s="1"/>
  <c r="C2687" i="16"/>
  <c r="C2688" i="16"/>
  <c r="E2688" i="16" s="1"/>
  <c r="G2688" i="16" s="1"/>
  <c r="C2689" i="16"/>
  <c r="E2689" i="16" s="1"/>
  <c r="G2689" i="16" s="1"/>
  <c r="C2691" i="16"/>
  <c r="E2691" i="16"/>
  <c r="G2691" i="16" s="1"/>
  <c r="C2692" i="16"/>
  <c r="E2692" i="16"/>
  <c r="G2692" i="16" s="1"/>
  <c r="C2694" i="16"/>
  <c r="C2695" i="16"/>
  <c r="E2695" i="16"/>
  <c r="G2695" i="16" s="1"/>
  <c r="C2696" i="16"/>
  <c r="E2696" i="16"/>
  <c r="G2696" i="16" s="1"/>
  <c r="B2698" i="16"/>
  <c r="C2698" i="16"/>
  <c r="E2698" i="16"/>
  <c r="C2701" i="16"/>
  <c r="E2701" i="16"/>
  <c r="G2701" i="16" s="1"/>
  <c r="C2702" i="16"/>
  <c r="E2702" i="16"/>
  <c r="G2702" i="16" s="1"/>
  <c r="C2703" i="16"/>
  <c r="E2703" i="16"/>
  <c r="G2703" i="16" s="1"/>
  <c r="C2704" i="16"/>
  <c r="E2704" i="16"/>
  <c r="G2704" i="16" s="1"/>
  <c r="C2705" i="16"/>
  <c r="E2705" i="16"/>
  <c r="G2705" i="16" s="1"/>
  <c r="C2707" i="16"/>
  <c r="C2708" i="16"/>
  <c r="E2708" i="16" s="1"/>
  <c r="G2708" i="16" s="1"/>
  <c r="C2709" i="16"/>
  <c r="E2709" i="16" s="1"/>
  <c r="G2709" i="16" s="1"/>
  <c r="C2711" i="16"/>
  <c r="E2711" i="16"/>
  <c r="G2711" i="16" s="1"/>
  <c r="C2712" i="16"/>
  <c r="E2712" i="16"/>
  <c r="G2712" i="16" s="1"/>
  <c r="C2714" i="16"/>
  <c r="C2715" i="16"/>
  <c r="E2715" i="16"/>
  <c r="G2715" i="16" s="1"/>
  <c r="C2716" i="16"/>
  <c r="E2716" i="16"/>
  <c r="G2716" i="16" s="1"/>
  <c r="B1795" i="16"/>
  <c r="C1795" i="16"/>
  <c r="E1795" i="16"/>
  <c r="C1798" i="16"/>
  <c r="E1798" i="16"/>
  <c r="G1798" i="16" s="1"/>
  <c r="C1799" i="16"/>
  <c r="D1799" i="16"/>
  <c r="C1800" i="16"/>
  <c r="E1800" i="16"/>
  <c r="G1800" i="16" s="1"/>
  <c r="C1801" i="16"/>
  <c r="E1801" i="16"/>
  <c r="G1801" i="16" s="1"/>
  <c r="C1802" i="16"/>
  <c r="E1802" i="16"/>
  <c r="G1802" i="16" s="1"/>
  <c r="C1804" i="16"/>
  <c r="C1805" i="16"/>
  <c r="E1805" i="16" s="1"/>
  <c r="G1805" i="16" s="1"/>
  <c r="C1806" i="16"/>
  <c r="E1806" i="16" s="1"/>
  <c r="G1806" i="16" s="1"/>
  <c r="C1808" i="16"/>
  <c r="E1808" i="16"/>
  <c r="G1808" i="16" s="1"/>
  <c r="C1809" i="16"/>
  <c r="E1809" i="16"/>
  <c r="G1809" i="16" s="1"/>
  <c r="C1811" i="16"/>
  <c r="C1812" i="16" a="1"/>
  <c r="C1812" i="16" s="1"/>
  <c r="E1812" i="16"/>
  <c r="G1812" i="16" s="1"/>
  <c r="C1813" i="16" a="1"/>
  <c r="C1813" i="16" s="1"/>
  <c r="E1813" i="16"/>
  <c r="G1813" i="16" s="1"/>
  <c r="B1815" i="16"/>
  <c r="C1815" i="16"/>
  <c r="E1815" i="16"/>
  <c r="C1818" i="16"/>
  <c r="E1818" i="16"/>
  <c r="G1818" i="16" s="1"/>
  <c r="C1819" i="16"/>
  <c r="E1819" i="16"/>
  <c r="G1819" i="16" s="1"/>
  <c r="C1820" i="16"/>
  <c r="E1820" i="16"/>
  <c r="G1820" i="16" s="1"/>
  <c r="C1821" i="16"/>
  <c r="E1821" i="16"/>
  <c r="G1821" i="16" s="1"/>
  <c r="C1822" i="16"/>
  <c r="E1822" i="16"/>
  <c r="G1822" i="16" s="1"/>
  <c r="C1824" i="16"/>
  <c r="C1825" i="16"/>
  <c r="C1826" i="16"/>
  <c r="E1826" i="16" s="1"/>
  <c r="G1826" i="16" s="1"/>
  <c r="C1828" i="16"/>
  <c r="E1828" i="16"/>
  <c r="G1828" i="16" s="1"/>
  <c r="C1829" i="16"/>
  <c r="E1829" i="16"/>
  <c r="G1829" i="16" s="1"/>
  <c r="C1831" i="16"/>
  <c r="C1832" i="16" a="1"/>
  <c r="C1832" i="16" s="1"/>
  <c r="E1832" i="16"/>
  <c r="G1832" i="16" s="1"/>
  <c r="C1833" i="16" a="1"/>
  <c r="C1833" i="16" s="1"/>
  <c r="E1833" i="16"/>
  <c r="G1833" i="16" s="1"/>
  <c r="B1835" i="16"/>
  <c r="C1835" i="16"/>
  <c r="E1835" i="16"/>
  <c r="C1838" i="16"/>
  <c r="E1838" i="16"/>
  <c r="G1838" i="16" s="1"/>
  <c r="C1839" i="16"/>
  <c r="E1839" i="16"/>
  <c r="G1839" i="16" s="1"/>
  <c r="C1840" i="16"/>
  <c r="E1840" i="16"/>
  <c r="G1840" i="16" s="1"/>
  <c r="C1841" i="16"/>
  <c r="E1841" i="16"/>
  <c r="G1841" i="16" s="1"/>
  <c r="C1842" i="16"/>
  <c r="E1842" i="16"/>
  <c r="G1842" i="16" s="1"/>
  <c r="C1844" i="16"/>
  <c r="C1845" i="16"/>
  <c r="E1845" i="16" s="1"/>
  <c r="G1845" i="16" s="1"/>
  <c r="C1846" i="16"/>
  <c r="E1846" i="16" s="1"/>
  <c r="G1846" i="16" s="1"/>
  <c r="C1848" i="16"/>
  <c r="E1848" i="16"/>
  <c r="G1848" i="16" s="1"/>
  <c r="C1849" i="16"/>
  <c r="E1849" i="16"/>
  <c r="G1849" i="16" s="1"/>
  <c r="C1851" i="16"/>
  <c r="C1852" i="16" a="1"/>
  <c r="C1852" i="16" s="1"/>
  <c r="E1852" i="16"/>
  <c r="G1852" i="16" s="1"/>
  <c r="C1853" i="16" a="1"/>
  <c r="C1853" i="16" s="1"/>
  <c r="E1853" i="16"/>
  <c r="G1853" i="16" s="1"/>
  <c r="B1855" i="16"/>
  <c r="C1855" i="16"/>
  <c r="E1855" i="16"/>
  <c r="C1858" i="16"/>
  <c r="E1858" i="16"/>
  <c r="G1858" i="16" s="1"/>
  <c r="C1859" i="16"/>
  <c r="E1859" i="16"/>
  <c r="G1859" i="16" s="1"/>
  <c r="C1860" i="16"/>
  <c r="E1860" i="16"/>
  <c r="G1860" i="16" s="1"/>
  <c r="C1861" i="16"/>
  <c r="E1861" i="16"/>
  <c r="G1861" i="16" s="1"/>
  <c r="C1862" i="16"/>
  <c r="E1862" i="16"/>
  <c r="G1862" i="16" s="1"/>
  <c r="C1864" i="16"/>
  <c r="C1865" i="16"/>
  <c r="E1865" i="16" s="1"/>
  <c r="G1865" i="16" s="1"/>
  <c r="C1866" i="16"/>
  <c r="E1866" i="16" s="1"/>
  <c r="G1866" i="16" s="1"/>
  <c r="C1868" i="16"/>
  <c r="E1868" i="16"/>
  <c r="G1868" i="16" s="1"/>
  <c r="C1869" i="16"/>
  <c r="E1869" i="16"/>
  <c r="G1869" i="16" s="1"/>
  <c r="C1871" i="16"/>
  <c r="C1872" i="16" a="1"/>
  <c r="C1872" i="16" s="1"/>
  <c r="E1872" i="16"/>
  <c r="G1872" i="16" s="1"/>
  <c r="C1873" i="16" a="1"/>
  <c r="C1873" i="16" s="1"/>
  <c r="E1873" i="16"/>
  <c r="G1873" i="16" s="1"/>
  <c r="B1875" i="16"/>
  <c r="C1875" i="16"/>
  <c r="E1875" i="16"/>
  <c r="C1878" i="16"/>
  <c r="E1878" i="16"/>
  <c r="G1878" i="16" s="1"/>
  <c r="C1879" i="16"/>
  <c r="E1879" i="16"/>
  <c r="G1879" i="16" s="1"/>
  <c r="C1880" i="16"/>
  <c r="E1880" i="16"/>
  <c r="G1880" i="16" s="1"/>
  <c r="C1881" i="16"/>
  <c r="E1881" i="16"/>
  <c r="G1881" i="16" s="1"/>
  <c r="C1882" i="16"/>
  <c r="E1882" i="16"/>
  <c r="G1882" i="16" s="1"/>
  <c r="C1884" i="16"/>
  <c r="C1885" i="16"/>
  <c r="E1885" i="16" s="1"/>
  <c r="G1885" i="16" s="1"/>
  <c r="C1886" i="16"/>
  <c r="E1886" i="16" s="1"/>
  <c r="G1886" i="16" s="1"/>
  <c r="C1888" i="16"/>
  <c r="E1888" i="16"/>
  <c r="G1888" i="16" s="1"/>
  <c r="C1889" i="16"/>
  <c r="E1889" i="16"/>
  <c r="G1889" i="16" s="1"/>
  <c r="C1891" i="16"/>
  <c r="C1892" i="16" a="1"/>
  <c r="C1892" i="16" s="1"/>
  <c r="E1892" i="16"/>
  <c r="G1892" i="16" s="1"/>
  <c r="C1893" i="16" a="1"/>
  <c r="C1893" i="16" s="1"/>
  <c r="E1893" i="16"/>
  <c r="G1893" i="16" s="1"/>
  <c r="B899" i="16"/>
  <c r="C899" i="16"/>
  <c r="E899" i="16"/>
  <c r="C902" i="16"/>
  <c r="E902" i="16"/>
  <c r="G902" i="16" s="1"/>
  <c r="C903" i="16"/>
  <c r="E903" i="16"/>
  <c r="G903" i="16" s="1"/>
  <c r="C904" i="16"/>
  <c r="E904" i="16"/>
  <c r="G904" i="16" s="1"/>
  <c r="C905" i="16"/>
  <c r="E905" i="16"/>
  <c r="G905" i="16" s="1"/>
  <c r="C906" i="16"/>
  <c r="E906" i="16"/>
  <c r="G906" i="16" s="1"/>
  <c r="C908" i="16"/>
  <c r="C909" i="16"/>
  <c r="C910" i="16"/>
  <c r="E910" i="16" s="1"/>
  <c r="G910" i="16" s="1"/>
  <c r="C912" i="16"/>
  <c r="E912" i="16"/>
  <c r="G912" i="16" s="1"/>
  <c r="C913" i="16"/>
  <c r="E913" i="16"/>
  <c r="G913" i="16" s="1"/>
  <c r="C915" i="16"/>
  <c r="C916" i="16" a="1"/>
  <c r="C916" i="16" s="1"/>
  <c r="E916" i="16"/>
  <c r="G916" i="16" s="1"/>
  <c r="C917" i="16" a="1"/>
  <c r="C917" i="16" s="1"/>
  <c r="E917" i="16"/>
  <c r="G917" i="16" s="1"/>
  <c r="B919" i="16"/>
  <c r="C919" i="16"/>
  <c r="E919" i="16"/>
  <c r="C922" i="16"/>
  <c r="E922" i="16"/>
  <c r="G922" i="16" s="1"/>
  <c r="C923" i="16"/>
  <c r="E923" i="16"/>
  <c r="G923" i="16" s="1"/>
  <c r="C924" i="16"/>
  <c r="E924" i="16"/>
  <c r="G924" i="16" s="1"/>
  <c r="C925" i="16"/>
  <c r="E925" i="16"/>
  <c r="G925" i="16" s="1"/>
  <c r="C926" i="16"/>
  <c r="E926" i="16"/>
  <c r="G926" i="16" s="1"/>
  <c r="C928" i="16"/>
  <c r="C929" i="16"/>
  <c r="C930" i="16"/>
  <c r="E930" i="16" s="1"/>
  <c r="G930" i="16" s="1"/>
  <c r="C932" i="16"/>
  <c r="E932" i="16"/>
  <c r="G932" i="16" s="1"/>
  <c r="C933" i="16"/>
  <c r="E933" i="16"/>
  <c r="G933" i="16" s="1"/>
  <c r="C935" i="16"/>
  <c r="C936" i="16" a="1"/>
  <c r="C936" i="16" s="1"/>
  <c r="E936" i="16"/>
  <c r="G936" i="16" s="1"/>
  <c r="C937" i="16" a="1"/>
  <c r="C937" i="16" s="1"/>
  <c r="E937" i="16"/>
  <c r="G937" i="16" s="1"/>
  <c r="B939" i="16"/>
  <c r="C939" i="16"/>
  <c r="E939" i="16"/>
  <c r="C942" i="16"/>
  <c r="E942" i="16"/>
  <c r="G942" i="16" s="1"/>
  <c r="C943" i="16"/>
  <c r="E943" i="16"/>
  <c r="G943" i="16" s="1"/>
  <c r="C944" i="16"/>
  <c r="E944" i="16"/>
  <c r="G944" i="16" s="1"/>
  <c r="C945" i="16"/>
  <c r="E945" i="16"/>
  <c r="G945" i="16" s="1"/>
  <c r="C946" i="16"/>
  <c r="E946" i="16"/>
  <c r="G946" i="16" s="1"/>
  <c r="C948" i="16"/>
  <c r="C949" i="16"/>
  <c r="C950" i="16"/>
  <c r="E950" i="16" s="1"/>
  <c r="G950" i="16" s="1"/>
  <c r="C952" i="16"/>
  <c r="E952" i="16"/>
  <c r="G952" i="16" s="1"/>
  <c r="C953" i="16"/>
  <c r="E953" i="16"/>
  <c r="G953" i="16" s="1"/>
  <c r="C955" i="16"/>
  <c r="C956" i="16" a="1"/>
  <c r="C956" i="16" s="1"/>
  <c r="E956" i="16"/>
  <c r="G956" i="16" s="1"/>
  <c r="C957" i="16" a="1"/>
  <c r="C957" i="16" s="1"/>
  <c r="E957" i="16"/>
  <c r="G957" i="16" s="1"/>
  <c r="B959" i="16"/>
  <c r="C959" i="16"/>
  <c r="E959" i="16"/>
  <c r="C962" i="16"/>
  <c r="E962" i="16"/>
  <c r="G962" i="16" s="1"/>
  <c r="C963" i="16"/>
  <c r="E963" i="16"/>
  <c r="G963" i="16" s="1"/>
  <c r="C964" i="16"/>
  <c r="E964" i="16"/>
  <c r="G964" i="16" s="1"/>
  <c r="C965" i="16"/>
  <c r="E965" i="16"/>
  <c r="G965" i="16" s="1"/>
  <c r="C966" i="16"/>
  <c r="E966" i="16"/>
  <c r="G966" i="16" s="1"/>
  <c r="C968" i="16"/>
  <c r="C969" i="16"/>
  <c r="C970" i="16"/>
  <c r="E970" i="16" s="1"/>
  <c r="G970" i="16" s="1"/>
  <c r="C972" i="16"/>
  <c r="E972" i="16"/>
  <c r="G972" i="16" s="1"/>
  <c r="C973" i="16"/>
  <c r="E973" i="16"/>
  <c r="G973" i="16" s="1"/>
  <c r="C975" i="16"/>
  <c r="C976" i="16" a="1"/>
  <c r="C976" i="16" s="1"/>
  <c r="E976" i="16"/>
  <c r="G976" i="16" s="1"/>
  <c r="C977" i="16" a="1"/>
  <c r="C977" i="16" s="1"/>
  <c r="E977" i="16"/>
  <c r="G977" i="16" s="1"/>
  <c r="B979" i="16"/>
  <c r="C979" i="16"/>
  <c r="E979" i="16"/>
  <c r="C982" i="16"/>
  <c r="E982" i="16"/>
  <c r="G982" i="16" s="1"/>
  <c r="C983" i="16"/>
  <c r="E983" i="16"/>
  <c r="G983" i="16" s="1"/>
  <c r="C984" i="16"/>
  <c r="E984" i="16"/>
  <c r="G984" i="16" s="1"/>
  <c r="C985" i="16"/>
  <c r="E985" i="16"/>
  <c r="G985" i="16" s="1"/>
  <c r="C986" i="16"/>
  <c r="E986" i="16"/>
  <c r="G986" i="16" s="1"/>
  <c r="C988" i="16"/>
  <c r="C989" i="16"/>
  <c r="C990" i="16"/>
  <c r="E990" i="16" s="1"/>
  <c r="G990" i="16" s="1"/>
  <c r="C992" i="16"/>
  <c r="E992" i="16"/>
  <c r="G992" i="16" s="1"/>
  <c r="C993" i="16"/>
  <c r="E993" i="16"/>
  <c r="G993" i="16" s="1"/>
  <c r="C995" i="16"/>
  <c r="C996" i="16" a="1"/>
  <c r="C996" i="16" s="1"/>
  <c r="E996" i="16"/>
  <c r="G996" i="16" s="1"/>
  <c r="C997" i="16" a="1"/>
  <c r="C997" i="16" s="1"/>
  <c r="E997" i="16"/>
  <c r="G997" i="16" s="1"/>
  <c r="B999" i="16"/>
  <c r="C999" i="16"/>
  <c r="E999" i="16"/>
  <c r="C1002" i="16"/>
  <c r="E1002" i="16"/>
  <c r="G1002" i="16" s="1"/>
  <c r="C1003" i="16"/>
  <c r="E1003" i="16"/>
  <c r="G1003" i="16" s="1"/>
  <c r="C1004" i="16"/>
  <c r="E1004" i="16"/>
  <c r="G1004" i="16" s="1"/>
  <c r="C1005" i="16"/>
  <c r="E1005" i="16"/>
  <c r="G1005" i="16" s="1"/>
  <c r="C1006" i="16"/>
  <c r="E1006" i="16"/>
  <c r="G1006" i="16" s="1"/>
  <c r="C1008" i="16"/>
  <c r="C1009" i="16"/>
  <c r="C1010" i="16"/>
  <c r="E1010" i="16" s="1"/>
  <c r="G1010" i="16" s="1"/>
  <c r="C1012" i="16"/>
  <c r="E1012" i="16"/>
  <c r="G1012" i="16" s="1"/>
  <c r="C1013" i="16"/>
  <c r="E1013" i="16"/>
  <c r="G1013" i="16" s="1"/>
  <c r="C1015" i="16"/>
  <c r="C1016" i="16" a="1"/>
  <c r="C1016" i="16" s="1"/>
  <c r="E1016" i="16"/>
  <c r="G1016" i="16" s="1"/>
  <c r="C1017" i="16" a="1"/>
  <c r="C1017" i="16" s="1"/>
  <c r="E1017" i="16"/>
  <c r="G1017" i="16" s="1"/>
  <c r="B1019" i="16"/>
  <c r="C1019" i="16"/>
  <c r="E1019" i="16"/>
  <c r="C1022" i="16"/>
  <c r="E1022" i="16"/>
  <c r="G1022" i="16" s="1"/>
  <c r="C1023" i="16"/>
  <c r="E1023" i="16"/>
  <c r="G1023" i="16" s="1"/>
  <c r="C1024" i="16"/>
  <c r="E1024" i="16"/>
  <c r="G1024" i="16" s="1"/>
  <c r="C1025" i="16"/>
  <c r="E1025" i="16"/>
  <c r="G1025" i="16" s="1"/>
  <c r="C1026" i="16"/>
  <c r="E1026" i="16"/>
  <c r="G1026" i="16" s="1"/>
  <c r="C1028" i="16"/>
  <c r="C1029" i="16"/>
  <c r="C1030" i="16"/>
  <c r="E1030" i="16" s="1"/>
  <c r="G1030" i="16" s="1"/>
  <c r="C1032" i="16"/>
  <c r="E1032" i="16"/>
  <c r="G1032" i="16" s="1"/>
  <c r="C1033" i="16"/>
  <c r="E1033" i="16"/>
  <c r="G1033" i="16" s="1"/>
  <c r="C1035" i="16"/>
  <c r="C1036" i="16" a="1"/>
  <c r="C1036" i="16" s="1"/>
  <c r="E1036" i="16"/>
  <c r="G1036" i="16" s="1"/>
  <c r="C1037" i="16" a="1"/>
  <c r="C1037" i="16" s="1"/>
  <c r="E1037" i="16"/>
  <c r="G1037" i="16" s="1"/>
  <c r="B1039" i="16"/>
  <c r="C1039" i="16"/>
  <c r="E1039" i="16"/>
  <c r="C1042" i="16"/>
  <c r="E1042" i="16"/>
  <c r="G1042" i="16" s="1"/>
  <c r="C1043" i="16"/>
  <c r="E1043" i="16"/>
  <c r="G1043" i="16" s="1"/>
  <c r="C1044" i="16"/>
  <c r="E1044" i="16"/>
  <c r="G1044" i="16" s="1"/>
  <c r="C1045" i="16"/>
  <c r="E1045" i="16"/>
  <c r="G1045" i="16" s="1"/>
  <c r="C1046" i="16"/>
  <c r="E1046" i="16"/>
  <c r="G1046" i="16" s="1"/>
  <c r="C1048" i="16"/>
  <c r="C1049" i="16"/>
  <c r="C1050" i="16"/>
  <c r="E1050" i="16" s="1"/>
  <c r="G1050" i="16" s="1"/>
  <c r="C1052" i="16"/>
  <c r="E1052" i="16"/>
  <c r="G1052" i="16" s="1"/>
  <c r="C1053" i="16"/>
  <c r="E1053" i="16"/>
  <c r="G1053" i="16" s="1"/>
  <c r="C1055" i="16"/>
  <c r="C1056" i="16" a="1"/>
  <c r="C1056" i="16" s="1"/>
  <c r="E1056" i="16"/>
  <c r="G1056" i="16" s="1"/>
  <c r="C1057" i="16" a="1"/>
  <c r="C1057" i="16" s="1"/>
  <c r="E1057" i="16"/>
  <c r="G1057" i="16" s="1"/>
  <c r="B1059" i="16"/>
  <c r="C1059" i="16"/>
  <c r="E1059" i="16"/>
  <c r="C1062" i="16"/>
  <c r="E1062" i="16"/>
  <c r="G1062" i="16" s="1"/>
  <c r="C1063" i="16"/>
  <c r="E1063" i="16"/>
  <c r="G1063" i="16" s="1"/>
  <c r="C1064" i="16"/>
  <c r="E1064" i="16"/>
  <c r="G1064" i="16" s="1"/>
  <c r="C1065" i="16"/>
  <c r="E1065" i="16"/>
  <c r="G1065" i="16" s="1"/>
  <c r="C1066" i="16"/>
  <c r="E1066" i="16"/>
  <c r="G1066" i="16" s="1"/>
  <c r="C1067" i="16"/>
  <c r="E1067" i="16"/>
  <c r="G1067" i="16" s="1"/>
  <c r="C1068" i="16"/>
  <c r="E1068" i="16"/>
  <c r="G1068" i="16" s="1"/>
  <c r="C1069" i="16"/>
  <c r="E1069" i="16"/>
  <c r="G1069" i="16" s="1"/>
  <c r="C1070" i="16"/>
  <c r="E1070" i="16"/>
  <c r="G1070" i="16" s="1"/>
  <c r="C1071" i="16"/>
  <c r="E1071" i="16"/>
  <c r="G1071" i="16" s="1"/>
  <c r="C1073" i="16"/>
  <c r="C1074" i="16"/>
  <c r="C1075" i="16"/>
  <c r="E1075" i="16" s="1"/>
  <c r="G1075" i="16" s="1"/>
  <c r="C1077" i="16"/>
  <c r="E1077" i="16"/>
  <c r="G1077" i="16" s="1"/>
  <c r="C1078" i="16"/>
  <c r="E1078" i="16"/>
  <c r="G1078" i="16" s="1"/>
  <c r="C1080" i="16"/>
  <c r="C1081" i="16" a="1"/>
  <c r="C1081" i="16" s="1"/>
  <c r="E1081" i="16"/>
  <c r="G1081" i="16" s="1"/>
  <c r="C1082" i="16" a="1"/>
  <c r="C1082" i="16" s="1"/>
  <c r="E1082" i="16"/>
  <c r="G1082" i="16" s="1"/>
  <c r="B1084" i="16"/>
  <c r="C1084" i="16"/>
  <c r="E1084" i="16"/>
  <c r="C1087" i="16"/>
  <c r="E1087" i="16"/>
  <c r="G1087" i="16" s="1"/>
  <c r="C1088" i="16"/>
  <c r="E1088" i="16"/>
  <c r="G1088" i="16" s="1"/>
  <c r="C1089" i="16"/>
  <c r="E1089" i="16"/>
  <c r="G1089" i="16" s="1"/>
  <c r="C1090" i="16"/>
  <c r="E1090" i="16"/>
  <c r="G1090" i="16" s="1"/>
  <c r="C1091" i="16"/>
  <c r="E1091" i="16"/>
  <c r="G1091" i="16" s="1"/>
  <c r="C1092" i="16"/>
  <c r="E1092" i="16"/>
  <c r="G1092" i="16" s="1"/>
  <c r="C1093" i="16"/>
  <c r="E1093" i="16"/>
  <c r="G1093" i="16" s="1"/>
  <c r="C1094" i="16"/>
  <c r="E1094" i="16"/>
  <c r="G1094" i="16" s="1"/>
  <c r="C1095" i="16"/>
  <c r="E1095" i="16"/>
  <c r="G1095" i="16" s="1"/>
  <c r="C1096" i="16"/>
  <c r="E1096" i="16"/>
  <c r="G1096" i="16" s="1"/>
  <c r="C1098" i="16"/>
  <c r="C1099" i="16"/>
  <c r="C1100" i="16"/>
  <c r="E1100" i="16" s="1"/>
  <c r="G1100" i="16" s="1"/>
  <c r="C1102" i="16"/>
  <c r="E1102" i="16"/>
  <c r="G1102" i="16" s="1"/>
  <c r="C1103" i="16"/>
  <c r="E1103" i="16"/>
  <c r="G1103" i="16" s="1"/>
  <c r="C1105" i="16"/>
  <c r="C1106" i="16" a="1"/>
  <c r="C1106" i="16" s="1"/>
  <c r="E1106" i="16"/>
  <c r="G1106" i="16" s="1"/>
  <c r="C1107" i="16" a="1"/>
  <c r="C1107" i="16" s="1"/>
  <c r="E1107" i="16"/>
  <c r="G1107" i="16" s="1"/>
  <c r="B1109" i="16"/>
  <c r="C1109" i="16"/>
  <c r="E1109" i="16"/>
  <c r="C1112" i="16"/>
  <c r="E1112" i="16"/>
  <c r="G1112" i="16" s="1"/>
  <c r="C1113" i="16"/>
  <c r="E1113" i="16"/>
  <c r="G1113" i="16" s="1"/>
  <c r="C1114" i="16"/>
  <c r="E1114" i="16"/>
  <c r="G1114" i="16" s="1"/>
  <c r="C1115" i="16"/>
  <c r="E1115" i="16"/>
  <c r="G1115" i="16" s="1"/>
  <c r="C1116" i="16"/>
  <c r="E1116" i="16"/>
  <c r="G1116" i="16" s="1"/>
  <c r="C1117" i="16"/>
  <c r="E1117" i="16"/>
  <c r="G1117" i="16" s="1"/>
  <c r="C1118" i="16"/>
  <c r="E1118" i="16"/>
  <c r="G1118" i="16" s="1"/>
  <c r="C1119" i="16"/>
  <c r="E1119" i="16"/>
  <c r="G1119" i="16" s="1"/>
  <c r="C1120" i="16"/>
  <c r="E1120" i="16"/>
  <c r="G1120" i="16" s="1"/>
  <c r="C1121" i="16"/>
  <c r="E1121" i="16"/>
  <c r="G1121" i="16" s="1"/>
  <c r="C1123" i="16"/>
  <c r="C1124" i="16"/>
  <c r="C1125" i="16"/>
  <c r="E1125" i="16" s="1"/>
  <c r="G1125" i="16" s="1"/>
  <c r="C1127" i="16"/>
  <c r="E1127" i="16"/>
  <c r="G1127" i="16" s="1"/>
  <c r="C1128" i="16"/>
  <c r="E1128" i="16"/>
  <c r="G1128" i="16" s="1"/>
  <c r="C1130" i="16"/>
  <c r="C1131" i="16" a="1"/>
  <c r="C1131" i="16" s="1"/>
  <c r="E1131" i="16"/>
  <c r="G1131" i="16" s="1"/>
  <c r="C1132" i="16" a="1"/>
  <c r="C1132" i="16" s="1"/>
  <c r="E1132" i="16"/>
  <c r="G1132" i="16" s="1"/>
  <c r="B1134" i="16"/>
  <c r="C1134" i="16"/>
  <c r="E1134" i="16"/>
  <c r="C1137" i="16"/>
  <c r="E1137" i="16"/>
  <c r="G1137" i="16" s="1"/>
  <c r="C1138" i="16"/>
  <c r="E1138" i="16"/>
  <c r="G1138" i="16" s="1"/>
  <c r="C1139" i="16"/>
  <c r="E1139" i="16"/>
  <c r="G1139" i="16" s="1"/>
  <c r="C1140" i="16"/>
  <c r="E1140" i="16"/>
  <c r="G1140" i="16" s="1"/>
  <c r="C1141" i="16"/>
  <c r="E1141" i="16"/>
  <c r="G1141" i="16" s="1"/>
  <c r="C1143" i="16"/>
  <c r="C1144" i="16"/>
  <c r="C1145" i="16"/>
  <c r="E1145" i="16" s="1"/>
  <c r="G1145" i="16" s="1"/>
  <c r="C1147" i="16"/>
  <c r="E1147" i="16"/>
  <c r="G1147" i="16" s="1"/>
  <c r="C1148" i="16"/>
  <c r="E1148" i="16"/>
  <c r="G1148" i="16" s="1"/>
  <c r="C1150" i="16"/>
  <c r="C1151" i="16" a="1"/>
  <c r="C1151" i="16" s="1"/>
  <c r="E1151" i="16"/>
  <c r="G1151" i="16" s="1"/>
  <c r="C1152" i="16" a="1"/>
  <c r="C1152" i="16" s="1"/>
  <c r="E1152" i="16"/>
  <c r="G1152" i="16" s="1"/>
  <c r="B1154" i="16"/>
  <c r="C1154" i="16"/>
  <c r="E1154" i="16"/>
  <c r="C1157" i="16"/>
  <c r="E1157" i="16"/>
  <c r="G1157" i="16" s="1"/>
  <c r="C1158" i="16"/>
  <c r="E1158" i="16"/>
  <c r="G1158" i="16" s="1"/>
  <c r="C1159" i="16"/>
  <c r="E1159" i="16"/>
  <c r="G1159" i="16" s="1"/>
  <c r="C1160" i="16"/>
  <c r="E1160" i="16"/>
  <c r="G1160" i="16" s="1"/>
  <c r="C1161" i="16"/>
  <c r="E1161" i="16"/>
  <c r="G1161" i="16" s="1"/>
  <c r="C1163" i="16"/>
  <c r="C1164" i="16"/>
  <c r="C1165" i="16"/>
  <c r="E1165" i="16" s="1"/>
  <c r="G1165" i="16" s="1"/>
  <c r="C1167" i="16"/>
  <c r="E1167" i="16"/>
  <c r="G1167" i="16" s="1"/>
  <c r="C1168" i="16"/>
  <c r="E1168" i="16"/>
  <c r="G1168" i="16" s="1"/>
  <c r="C1170" i="16"/>
  <c r="C1171" i="16" a="1"/>
  <c r="C1171" i="16" s="1"/>
  <c r="E1171" i="16"/>
  <c r="G1171" i="16" s="1"/>
  <c r="C1172" i="16" a="1"/>
  <c r="C1172" i="16" s="1"/>
  <c r="E1172" i="16"/>
  <c r="G1172" i="16" s="1"/>
  <c r="B1174" i="16"/>
  <c r="C1174" i="16"/>
  <c r="E1174" i="16"/>
  <c r="C1177" i="16"/>
  <c r="E1177" i="16"/>
  <c r="G1177" i="16" s="1"/>
  <c r="C1178" i="16"/>
  <c r="E1178" i="16"/>
  <c r="G1178" i="16" s="1"/>
  <c r="C1179" i="16"/>
  <c r="E1179" i="16"/>
  <c r="G1179" i="16" s="1"/>
  <c r="C1180" i="16"/>
  <c r="E1180" i="16"/>
  <c r="G1180" i="16" s="1"/>
  <c r="C1181" i="16"/>
  <c r="E1181" i="16"/>
  <c r="G1181" i="16" s="1"/>
  <c r="C1182" i="16"/>
  <c r="E1182" i="16"/>
  <c r="G1182" i="16" s="1"/>
  <c r="C1184" i="16"/>
  <c r="E1184" i="16" s="1"/>
  <c r="G1184" i="16" s="1"/>
  <c r="C1185" i="16"/>
  <c r="C1186" i="16"/>
  <c r="E1186" i="16" s="1"/>
  <c r="G1186" i="16" s="1"/>
  <c r="C1188" i="16"/>
  <c r="E1188" i="16"/>
  <c r="G1188" i="16" s="1"/>
  <c r="C1189" i="16"/>
  <c r="E1189" i="16"/>
  <c r="G1189" i="16" s="1"/>
  <c r="C1191" i="16"/>
  <c r="C1192" i="16" a="1"/>
  <c r="C1192" i="16" s="1"/>
  <c r="E1192" i="16"/>
  <c r="G1192" i="16" s="1"/>
  <c r="C1193" i="16" a="1"/>
  <c r="C1193" i="16" s="1"/>
  <c r="E1193" i="16"/>
  <c r="G1193" i="16" s="1"/>
  <c r="B1195" i="16"/>
  <c r="C1195" i="16"/>
  <c r="E1195" i="16"/>
  <c r="C1198" i="16"/>
  <c r="E1198" i="16"/>
  <c r="G1198" i="16" s="1"/>
  <c r="C1199" i="16"/>
  <c r="E1199" i="16"/>
  <c r="G1199" i="16" s="1"/>
  <c r="C1200" i="16"/>
  <c r="E1200" i="16"/>
  <c r="G1200" i="16" s="1"/>
  <c r="C1201" i="16"/>
  <c r="E1201" i="16"/>
  <c r="G1201" i="16" s="1"/>
  <c r="C1202" i="16"/>
  <c r="E1202" i="16"/>
  <c r="G1202" i="16" s="1"/>
  <c r="C1204" i="16"/>
  <c r="E1204" i="16" s="1"/>
  <c r="G1204" i="16" s="1"/>
  <c r="C1205" i="16"/>
  <c r="C1206" i="16"/>
  <c r="E1206" i="16" s="1"/>
  <c r="G1206" i="16" s="1"/>
  <c r="C1208" i="16"/>
  <c r="E1208" i="16"/>
  <c r="G1208" i="16" s="1"/>
  <c r="C1209" i="16"/>
  <c r="E1209" i="16"/>
  <c r="G1209" i="16" s="1"/>
  <c r="C1211" i="16"/>
  <c r="C1212" i="16" a="1"/>
  <c r="C1212" i="16" s="1"/>
  <c r="E1212" i="16"/>
  <c r="G1212" i="16" s="1"/>
  <c r="C1213" i="16" a="1"/>
  <c r="C1213" i="16" s="1"/>
  <c r="E1213" i="16"/>
  <c r="G1213" i="16" s="1"/>
  <c r="B1215" i="16"/>
  <c r="C1215" i="16"/>
  <c r="E1215" i="16"/>
  <c r="C1218" i="16"/>
  <c r="E1218" i="16"/>
  <c r="G1218" i="16" s="1"/>
  <c r="C1219" i="16"/>
  <c r="E1219" i="16"/>
  <c r="G1219" i="16" s="1"/>
  <c r="C1220" i="16"/>
  <c r="E1220" i="16"/>
  <c r="G1220" i="16" s="1"/>
  <c r="C1221" i="16"/>
  <c r="E1221" i="16"/>
  <c r="G1221" i="16" s="1"/>
  <c r="C1222" i="16"/>
  <c r="E1222" i="16"/>
  <c r="G1222" i="16" s="1"/>
  <c r="C1224" i="16"/>
  <c r="E1224" i="16" s="1"/>
  <c r="G1224" i="16" s="1"/>
  <c r="C1225" i="16"/>
  <c r="C1226" i="16"/>
  <c r="E1226" i="16" s="1"/>
  <c r="G1226" i="16" s="1"/>
  <c r="C1228" i="16"/>
  <c r="E1228" i="16"/>
  <c r="G1228" i="16" s="1"/>
  <c r="C1229" i="16"/>
  <c r="E1229" i="16"/>
  <c r="G1229" i="16" s="1"/>
  <c r="C1231" i="16"/>
  <c r="C1232" i="16" a="1"/>
  <c r="C1232" i="16" s="1"/>
  <c r="E1232" i="16"/>
  <c r="G1232" i="16" s="1"/>
  <c r="C1233" i="16" a="1"/>
  <c r="C1233" i="16" s="1"/>
  <c r="E1233" i="16"/>
  <c r="G1233" i="16" s="1"/>
  <c r="B1235" i="16"/>
  <c r="C1235" i="16"/>
  <c r="E1235" i="16"/>
  <c r="C1238" i="16"/>
  <c r="E1238" i="16"/>
  <c r="G1238" i="16" s="1"/>
  <c r="C1239" i="16"/>
  <c r="E1239" i="16"/>
  <c r="G1239" i="16" s="1"/>
  <c r="C1240" i="16"/>
  <c r="E1240" i="16"/>
  <c r="G1240" i="16" s="1"/>
  <c r="C1241" i="16"/>
  <c r="E1241" i="16"/>
  <c r="G1241" i="16" s="1"/>
  <c r="C1242" i="16"/>
  <c r="E1242" i="16"/>
  <c r="G1242" i="16" s="1"/>
  <c r="C1244" i="16"/>
  <c r="E1244" i="16" s="1"/>
  <c r="G1244" i="16" s="1"/>
  <c r="C1245" i="16"/>
  <c r="C1246" i="16"/>
  <c r="E1246" i="16" s="1"/>
  <c r="G1246" i="16" s="1"/>
  <c r="C1248" i="16"/>
  <c r="E1248" i="16"/>
  <c r="G1248" i="16" s="1"/>
  <c r="C1249" i="16"/>
  <c r="E1249" i="16"/>
  <c r="G1249" i="16" s="1"/>
  <c r="C1251" i="16"/>
  <c r="C1252" i="16" a="1"/>
  <c r="C1252" i="16" s="1"/>
  <c r="E1252" i="16"/>
  <c r="G1252" i="16" s="1"/>
  <c r="C1253" i="16" a="1"/>
  <c r="C1253" i="16" s="1"/>
  <c r="E1253" i="16"/>
  <c r="G1253" i="16" s="1"/>
  <c r="B1255" i="16"/>
  <c r="C1255" i="16"/>
  <c r="E1255" i="16"/>
  <c r="C1258" i="16"/>
  <c r="E1258" i="16"/>
  <c r="G1258" i="16" s="1"/>
  <c r="C1259" i="16"/>
  <c r="E1259" i="16"/>
  <c r="G1259" i="16" s="1"/>
  <c r="C1260" i="16"/>
  <c r="E1260" i="16"/>
  <c r="G1260" i="16" s="1"/>
  <c r="C1261" i="16"/>
  <c r="E1261" i="16"/>
  <c r="G1261" i="16" s="1"/>
  <c r="C1262" i="16"/>
  <c r="E1262" i="16"/>
  <c r="G1262" i="16" s="1"/>
  <c r="C1264" i="16"/>
  <c r="E1264" i="16" s="1"/>
  <c r="G1264" i="16" s="1"/>
  <c r="C1265" i="16"/>
  <c r="C1266" i="16"/>
  <c r="E1266" i="16" s="1"/>
  <c r="G1266" i="16" s="1"/>
  <c r="C1268" i="16"/>
  <c r="E1268" i="16"/>
  <c r="G1268" i="16" s="1"/>
  <c r="C1269" i="16"/>
  <c r="E1269" i="16"/>
  <c r="G1269" i="16" s="1"/>
  <c r="C1271" i="16"/>
  <c r="C1272" i="16" a="1"/>
  <c r="C1272" i="16" s="1"/>
  <c r="E1272" i="16"/>
  <c r="G1272" i="16" s="1"/>
  <c r="C1273" i="16" a="1"/>
  <c r="C1273" i="16" s="1"/>
  <c r="E1273" i="16"/>
  <c r="G1273" i="16" s="1"/>
  <c r="B1275" i="16"/>
  <c r="C1275" i="16"/>
  <c r="E1275" i="16"/>
  <c r="C1278" i="16"/>
  <c r="E1278" i="16"/>
  <c r="G1278" i="16" s="1"/>
  <c r="C1279" i="16"/>
  <c r="E1279" i="16"/>
  <c r="G1279" i="16" s="1"/>
  <c r="C1280" i="16"/>
  <c r="E1280" i="16"/>
  <c r="G1280" i="16" s="1"/>
  <c r="C1281" i="16"/>
  <c r="E1281" i="16"/>
  <c r="G1281" i="16" s="1"/>
  <c r="C1282" i="16"/>
  <c r="E1282" i="16"/>
  <c r="G1282" i="16" s="1"/>
  <c r="C1284" i="16"/>
  <c r="C1285" i="16"/>
  <c r="C1286" i="16"/>
  <c r="E1286" i="16" s="1"/>
  <c r="G1286" i="16" s="1"/>
  <c r="C1288" i="16"/>
  <c r="E1288" i="16"/>
  <c r="G1288" i="16" s="1"/>
  <c r="C1289" i="16"/>
  <c r="E1289" i="16"/>
  <c r="G1289" i="16" s="1"/>
  <c r="C1291" i="16"/>
  <c r="C1292" i="16" a="1"/>
  <c r="C1292" i="16" s="1"/>
  <c r="E1292" i="16"/>
  <c r="G1292" i="16" s="1"/>
  <c r="C1293" i="16" a="1"/>
  <c r="C1293" i="16" s="1"/>
  <c r="E1293" i="16"/>
  <c r="G1293" i="16" s="1"/>
  <c r="B1295" i="16"/>
  <c r="C1295" i="16"/>
  <c r="E1295" i="16"/>
  <c r="C1298" i="16"/>
  <c r="E1298" i="16"/>
  <c r="G1298" i="16" s="1"/>
  <c r="C1299" i="16"/>
  <c r="E1299" i="16"/>
  <c r="G1299" i="16" s="1"/>
  <c r="C1300" i="16"/>
  <c r="E1300" i="16"/>
  <c r="G1300" i="16" s="1"/>
  <c r="C1301" i="16"/>
  <c r="E1301" i="16"/>
  <c r="G1301" i="16" s="1"/>
  <c r="C1302" i="16"/>
  <c r="E1302" i="16"/>
  <c r="G1302" i="16" s="1"/>
  <c r="C1304" i="16"/>
  <c r="E1304" i="16" s="1"/>
  <c r="G1304" i="16" s="1"/>
  <c r="C1305" i="16"/>
  <c r="C1306" i="16"/>
  <c r="E1306" i="16" s="1"/>
  <c r="G1306" i="16" s="1"/>
  <c r="C1308" i="16"/>
  <c r="E1308" i="16"/>
  <c r="G1308" i="16" s="1"/>
  <c r="C1309" i="16"/>
  <c r="E1309" i="16"/>
  <c r="G1309" i="16" s="1"/>
  <c r="C1311" i="16"/>
  <c r="C1312" i="16" a="1"/>
  <c r="C1312" i="16" s="1"/>
  <c r="E1312" i="16"/>
  <c r="G1312" i="16" s="1"/>
  <c r="C1313" i="16" a="1"/>
  <c r="C1313" i="16" s="1"/>
  <c r="E1313" i="16"/>
  <c r="G1313" i="16" s="1"/>
  <c r="B1315" i="16"/>
  <c r="C1315" i="16"/>
  <c r="E1315" i="16"/>
  <c r="C1318" i="16"/>
  <c r="E1318" i="16"/>
  <c r="G1318" i="16" s="1"/>
  <c r="C1319" i="16"/>
  <c r="E1319" i="16"/>
  <c r="G1319" i="16" s="1"/>
  <c r="C1320" i="16"/>
  <c r="E1320" i="16"/>
  <c r="G1320" i="16" s="1"/>
  <c r="C1321" i="16"/>
  <c r="E1321" i="16"/>
  <c r="G1321" i="16" s="1"/>
  <c r="C1322" i="16"/>
  <c r="E1322" i="16"/>
  <c r="G1322" i="16" s="1"/>
  <c r="C1324" i="16"/>
  <c r="E1324" i="16" s="1"/>
  <c r="G1324" i="16" s="1"/>
  <c r="C1325" i="16"/>
  <c r="C1326" i="16"/>
  <c r="E1326" i="16" s="1"/>
  <c r="G1326" i="16" s="1"/>
  <c r="C1328" i="16"/>
  <c r="E1328" i="16"/>
  <c r="G1328" i="16" s="1"/>
  <c r="C1329" i="16"/>
  <c r="E1329" i="16"/>
  <c r="G1329" i="16" s="1"/>
  <c r="C1331" i="16"/>
  <c r="C1332" i="16" a="1"/>
  <c r="C1332" i="16" s="1"/>
  <c r="E1332" i="16"/>
  <c r="G1332" i="16" s="1"/>
  <c r="C1333" i="16" a="1"/>
  <c r="C1333" i="16" s="1"/>
  <c r="E1333" i="16"/>
  <c r="G1333" i="16" s="1"/>
  <c r="B1335" i="16"/>
  <c r="C1335" i="16"/>
  <c r="E1335" i="16"/>
  <c r="C1338" i="16"/>
  <c r="E1338" i="16"/>
  <c r="G1338" i="16" s="1"/>
  <c r="C1339" i="16"/>
  <c r="E1339" i="16"/>
  <c r="G1339" i="16" s="1"/>
  <c r="C1340" i="16"/>
  <c r="E1340" i="16"/>
  <c r="G1340" i="16" s="1"/>
  <c r="C1341" i="16"/>
  <c r="E1341" i="16"/>
  <c r="G1341" i="16" s="1"/>
  <c r="C1342" i="16"/>
  <c r="E1342" i="16"/>
  <c r="G1342" i="16" s="1"/>
  <c r="C1344" i="16"/>
  <c r="E1344" i="16" s="1"/>
  <c r="G1344" i="16" s="1"/>
  <c r="C1345" i="16"/>
  <c r="C1346" i="16"/>
  <c r="E1346" i="16" s="1"/>
  <c r="G1346" i="16" s="1"/>
  <c r="C1348" i="16"/>
  <c r="E1348" i="16"/>
  <c r="G1348" i="16" s="1"/>
  <c r="C1349" i="16"/>
  <c r="E1349" i="16"/>
  <c r="G1349" i="16" s="1"/>
  <c r="C1351" i="16"/>
  <c r="C1352" i="16" a="1"/>
  <c r="C1352" i="16" s="1"/>
  <c r="E1352" i="16"/>
  <c r="G1352" i="16" s="1"/>
  <c r="C1353" i="16" a="1"/>
  <c r="C1353" i="16" s="1"/>
  <c r="E1353" i="16"/>
  <c r="G1353" i="16" s="1"/>
  <c r="B1355" i="16"/>
  <c r="C1355" i="16"/>
  <c r="E1355" i="16"/>
  <c r="C1358" i="16"/>
  <c r="E1358" i="16"/>
  <c r="G1358" i="16" s="1"/>
  <c r="C1359" i="16"/>
  <c r="E1359" i="16"/>
  <c r="G1359" i="16" s="1"/>
  <c r="C1360" i="16"/>
  <c r="E1360" i="16"/>
  <c r="G1360" i="16" s="1"/>
  <c r="C1361" i="16"/>
  <c r="E1361" i="16"/>
  <c r="G1361" i="16" s="1"/>
  <c r="C1362" i="16"/>
  <c r="E1362" i="16"/>
  <c r="G1362" i="16" s="1"/>
  <c r="C1364" i="16"/>
  <c r="E1364" i="16" s="1"/>
  <c r="G1364" i="16" s="1"/>
  <c r="C1365" i="16"/>
  <c r="C1366" i="16"/>
  <c r="E1366" i="16" s="1"/>
  <c r="G1366" i="16" s="1"/>
  <c r="C1368" i="16"/>
  <c r="E1368" i="16"/>
  <c r="G1368" i="16" s="1"/>
  <c r="C1369" i="16"/>
  <c r="E1369" i="16"/>
  <c r="G1369" i="16" s="1"/>
  <c r="C1371" i="16"/>
  <c r="C1372" i="16" a="1"/>
  <c r="C1372" i="16" s="1"/>
  <c r="E1372" i="16"/>
  <c r="G1372" i="16" s="1"/>
  <c r="C1373" i="16" a="1"/>
  <c r="C1373" i="16" s="1"/>
  <c r="E1373" i="16"/>
  <c r="G1373" i="16" s="1"/>
  <c r="B1375" i="16"/>
  <c r="C1375" i="16"/>
  <c r="E1375" i="16"/>
  <c r="C1378" i="16"/>
  <c r="E1378" i="16"/>
  <c r="G1378" i="16" s="1"/>
  <c r="C1379" i="16"/>
  <c r="E1379" i="16"/>
  <c r="G1379" i="16" s="1"/>
  <c r="C1380" i="16"/>
  <c r="E1380" i="16"/>
  <c r="G1380" i="16" s="1"/>
  <c r="C1381" i="16"/>
  <c r="E1381" i="16"/>
  <c r="G1381" i="16" s="1"/>
  <c r="C1382" i="16"/>
  <c r="E1382" i="16"/>
  <c r="G1382" i="16" s="1"/>
  <c r="C1384" i="16"/>
  <c r="E1384" i="16" s="1"/>
  <c r="G1384" i="16" s="1"/>
  <c r="C1385" i="16"/>
  <c r="C1386" i="16"/>
  <c r="E1386" i="16" s="1"/>
  <c r="G1386" i="16" s="1"/>
  <c r="C1388" i="16"/>
  <c r="E1388" i="16"/>
  <c r="G1388" i="16" s="1"/>
  <c r="C1389" i="16"/>
  <c r="E1389" i="16"/>
  <c r="G1389" i="16" s="1"/>
  <c r="C1391" i="16"/>
  <c r="C1392" i="16" a="1"/>
  <c r="C1392" i="16" s="1"/>
  <c r="E1392" i="16"/>
  <c r="G1392" i="16" s="1"/>
  <c r="C1393" i="16" a="1"/>
  <c r="C1393" i="16" s="1"/>
  <c r="E1393" i="16"/>
  <c r="G1393" i="16" s="1"/>
  <c r="B1395" i="16"/>
  <c r="C1395" i="16"/>
  <c r="E1395" i="16"/>
  <c r="C1398" i="16"/>
  <c r="E1398" i="16"/>
  <c r="G1398" i="16" s="1"/>
  <c r="C1399" i="16"/>
  <c r="E1399" i="16"/>
  <c r="G1399" i="16" s="1"/>
  <c r="C1400" i="16"/>
  <c r="E1400" i="16"/>
  <c r="G1400" i="16" s="1"/>
  <c r="C1401" i="16"/>
  <c r="E1401" i="16"/>
  <c r="G1401" i="16" s="1"/>
  <c r="C1402" i="16"/>
  <c r="E1402" i="16"/>
  <c r="G1402" i="16" s="1"/>
  <c r="C1404" i="16"/>
  <c r="E1404" i="16" s="1"/>
  <c r="G1404" i="16" s="1"/>
  <c r="C1405" i="16"/>
  <c r="C1406" i="16"/>
  <c r="E1406" i="16" s="1"/>
  <c r="G1406" i="16" s="1"/>
  <c r="C1408" i="16"/>
  <c r="E1408" i="16"/>
  <c r="G1408" i="16" s="1"/>
  <c r="C1409" i="16"/>
  <c r="E1409" i="16"/>
  <c r="G1409" i="16" s="1"/>
  <c r="C1411" i="16"/>
  <c r="C1412" i="16" a="1"/>
  <c r="C1412" i="16" s="1"/>
  <c r="E1412" i="16"/>
  <c r="G1412" i="16" s="1"/>
  <c r="C1413" i="16" a="1"/>
  <c r="C1413" i="16" s="1"/>
  <c r="E1413" i="16"/>
  <c r="G1413" i="16" s="1"/>
  <c r="B1415" i="16"/>
  <c r="C1415" i="16"/>
  <c r="E1415" i="16"/>
  <c r="C1418" i="16"/>
  <c r="E1418" i="16"/>
  <c r="G1418" i="16" s="1"/>
  <c r="C1419" i="16"/>
  <c r="E1419" i="16"/>
  <c r="G1419" i="16" s="1"/>
  <c r="C1420" i="16"/>
  <c r="E1420" i="16"/>
  <c r="G1420" i="16" s="1"/>
  <c r="C1421" i="16"/>
  <c r="E1421" i="16"/>
  <c r="G1421" i="16" s="1"/>
  <c r="C1422" i="16"/>
  <c r="E1422" i="16"/>
  <c r="G1422" i="16" s="1"/>
  <c r="C1424" i="16"/>
  <c r="E1424" i="16" s="1"/>
  <c r="G1424" i="16" s="1"/>
  <c r="C1425" i="16"/>
  <c r="C1426" i="16"/>
  <c r="E1426" i="16" s="1"/>
  <c r="G1426" i="16" s="1"/>
  <c r="C1428" i="16"/>
  <c r="E1428" i="16"/>
  <c r="G1428" i="16" s="1"/>
  <c r="C1429" i="16"/>
  <c r="E1429" i="16"/>
  <c r="G1429" i="16" s="1"/>
  <c r="C1431" i="16"/>
  <c r="C1432" i="16" a="1"/>
  <c r="C1432" i="16" s="1"/>
  <c r="E1432" i="16"/>
  <c r="G1432" i="16" s="1"/>
  <c r="C1433" i="16" a="1"/>
  <c r="C1433" i="16" s="1"/>
  <c r="E1433" i="16"/>
  <c r="G1433" i="16" s="1"/>
  <c r="B1435" i="16"/>
  <c r="C1435" i="16"/>
  <c r="E1435" i="16"/>
  <c r="C1438" i="16"/>
  <c r="E1438" i="16"/>
  <c r="G1438" i="16" s="1"/>
  <c r="C1439" i="16"/>
  <c r="E1439" i="16"/>
  <c r="G1439" i="16" s="1"/>
  <c r="C1440" i="16"/>
  <c r="E1440" i="16"/>
  <c r="G1440" i="16" s="1"/>
  <c r="C1441" i="16"/>
  <c r="E1441" i="16"/>
  <c r="G1441" i="16" s="1"/>
  <c r="C1442" i="16"/>
  <c r="E1442" i="16"/>
  <c r="G1442" i="16" s="1"/>
  <c r="C1444" i="16"/>
  <c r="C1445" i="16"/>
  <c r="C1446" i="16"/>
  <c r="E1446" i="16" s="1"/>
  <c r="G1446" i="16" s="1"/>
  <c r="C1448" i="16"/>
  <c r="E1448" i="16"/>
  <c r="G1448" i="16" s="1"/>
  <c r="C1449" i="16"/>
  <c r="E1449" i="16"/>
  <c r="G1449" i="16" s="1"/>
  <c r="C1451" i="16"/>
  <c r="C1452" i="16" a="1"/>
  <c r="C1452" i="16" s="1"/>
  <c r="E1452" i="16"/>
  <c r="G1452" i="16" s="1"/>
  <c r="C1453" i="16" a="1"/>
  <c r="C1453" i="16" s="1"/>
  <c r="E1453" i="16"/>
  <c r="G1453" i="16" s="1"/>
  <c r="B1455" i="16"/>
  <c r="C1455" i="16"/>
  <c r="E1455" i="16"/>
  <c r="C1458" i="16"/>
  <c r="E1458" i="16"/>
  <c r="G1458" i="16" s="1"/>
  <c r="C1459" i="16"/>
  <c r="E1459" i="16"/>
  <c r="G1459" i="16" s="1"/>
  <c r="C1460" i="16"/>
  <c r="E1460" i="16"/>
  <c r="G1460" i="16" s="1"/>
  <c r="C1461" i="16"/>
  <c r="E1461" i="16"/>
  <c r="G1461" i="16" s="1"/>
  <c r="C1462" i="16"/>
  <c r="E1462" i="16"/>
  <c r="G1462" i="16" s="1"/>
  <c r="C1464" i="16"/>
  <c r="C1465" i="16"/>
  <c r="C1466" i="16"/>
  <c r="E1466" i="16" s="1"/>
  <c r="G1466" i="16" s="1"/>
  <c r="C1468" i="16"/>
  <c r="E1468" i="16"/>
  <c r="G1468" i="16" s="1"/>
  <c r="C1469" i="16"/>
  <c r="E1469" i="16"/>
  <c r="G1469" i="16" s="1"/>
  <c r="C1471" i="16"/>
  <c r="C1472" i="16" a="1"/>
  <c r="C1472" i="16" s="1"/>
  <c r="E1472" i="16"/>
  <c r="G1472" i="16" s="1"/>
  <c r="C1473" i="16" a="1"/>
  <c r="C1473" i="16" s="1"/>
  <c r="E1473" i="16"/>
  <c r="G1473" i="16" s="1"/>
  <c r="B1475" i="16"/>
  <c r="C1475" i="16"/>
  <c r="E1475" i="16"/>
  <c r="C1478" i="16"/>
  <c r="E1478" i="16"/>
  <c r="G1478" i="16" s="1"/>
  <c r="C1479" i="16"/>
  <c r="E1479" i="16"/>
  <c r="G1479" i="16" s="1"/>
  <c r="C1480" i="16"/>
  <c r="E1480" i="16"/>
  <c r="G1480" i="16" s="1"/>
  <c r="C1481" i="16"/>
  <c r="E1481" i="16"/>
  <c r="G1481" i="16" s="1"/>
  <c r="C1482" i="16"/>
  <c r="E1482" i="16"/>
  <c r="G1482" i="16" s="1"/>
  <c r="C1484" i="16"/>
  <c r="C1485" i="16"/>
  <c r="C1486" i="16"/>
  <c r="C1488" i="16"/>
  <c r="E1488" i="16"/>
  <c r="G1488" i="16" s="1"/>
  <c r="C1489" i="16"/>
  <c r="E1489" i="16"/>
  <c r="G1489" i="16" s="1"/>
  <c r="C1491" i="16"/>
  <c r="C1492" i="16" a="1"/>
  <c r="C1492" i="16" s="1"/>
  <c r="E1492" i="16"/>
  <c r="G1492" i="16" s="1"/>
  <c r="C1493" i="16" a="1"/>
  <c r="C1493" i="16" s="1"/>
  <c r="E1493" i="16"/>
  <c r="G1493" i="16" s="1"/>
  <c r="B1495" i="16"/>
  <c r="C1495" i="16"/>
  <c r="E1495" i="16"/>
  <c r="C1498" i="16"/>
  <c r="E1498" i="16"/>
  <c r="G1498" i="16" s="1"/>
  <c r="C1499" i="16"/>
  <c r="E1499" i="16"/>
  <c r="G1499" i="16" s="1"/>
  <c r="C1500" i="16"/>
  <c r="E1500" i="16"/>
  <c r="G1500" i="16" s="1"/>
  <c r="C1501" i="16"/>
  <c r="E1501" i="16"/>
  <c r="G1501" i="16" s="1"/>
  <c r="C1502" i="16"/>
  <c r="E1502" i="16"/>
  <c r="G1502" i="16" s="1"/>
  <c r="C1504" i="16"/>
  <c r="C1505" i="16"/>
  <c r="C1506" i="16"/>
  <c r="E1506" i="16" s="1"/>
  <c r="G1506" i="16" s="1"/>
  <c r="C1508" i="16"/>
  <c r="E1508" i="16"/>
  <c r="G1508" i="16" s="1"/>
  <c r="C1509" i="16"/>
  <c r="E1509" i="16"/>
  <c r="G1509" i="16" s="1"/>
  <c r="C1511" i="16"/>
  <c r="C1512" i="16" a="1"/>
  <c r="C1512" i="16" s="1"/>
  <c r="E1512" i="16"/>
  <c r="G1512" i="16" s="1"/>
  <c r="C1513" i="16" a="1"/>
  <c r="C1513" i="16" s="1"/>
  <c r="E1513" i="16"/>
  <c r="G1513" i="16" s="1"/>
  <c r="B1515" i="16"/>
  <c r="C1515" i="16"/>
  <c r="E1515" i="16"/>
  <c r="C1518" i="16"/>
  <c r="E1518" i="16"/>
  <c r="G1518" i="16" s="1"/>
  <c r="C1519" i="16"/>
  <c r="E1519" i="16"/>
  <c r="G1519" i="16" s="1"/>
  <c r="C1520" i="16"/>
  <c r="E1520" i="16"/>
  <c r="G1520" i="16" s="1"/>
  <c r="C1521" i="16"/>
  <c r="E1521" i="16"/>
  <c r="G1521" i="16" s="1"/>
  <c r="C1522" i="16"/>
  <c r="E1522" i="16"/>
  <c r="G1522" i="16" s="1"/>
  <c r="C1524" i="16"/>
  <c r="E1524" i="16" s="1"/>
  <c r="G1524" i="16" s="1"/>
  <c r="C1525" i="16"/>
  <c r="C1526" i="16"/>
  <c r="E1526" i="16" s="1"/>
  <c r="G1526" i="16" s="1"/>
  <c r="C1528" i="16"/>
  <c r="E1528" i="16"/>
  <c r="G1528" i="16" s="1"/>
  <c r="C1529" i="16"/>
  <c r="E1529" i="16"/>
  <c r="G1529" i="16" s="1"/>
  <c r="C1531" i="16"/>
  <c r="C1532" i="16" a="1"/>
  <c r="C1532" i="16" s="1"/>
  <c r="E1532" i="16"/>
  <c r="G1532" i="16" s="1"/>
  <c r="C1533" i="16" a="1"/>
  <c r="C1533" i="16" s="1"/>
  <c r="E1533" i="16"/>
  <c r="G1533" i="16" s="1"/>
  <c r="B1535" i="16"/>
  <c r="C1535" i="16"/>
  <c r="E1535" i="16"/>
  <c r="C1538" i="16"/>
  <c r="E1538" i="16"/>
  <c r="G1538" i="16" s="1"/>
  <c r="C1539" i="16"/>
  <c r="E1539" i="16"/>
  <c r="G1539" i="16" s="1"/>
  <c r="C1540" i="16"/>
  <c r="E1540" i="16"/>
  <c r="G1540" i="16" s="1"/>
  <c r="C1541" i="16"/>
  <c r="E1541" i="16"/>
  <c r="G1541" i="16" s="1"/>
  <c r="C1542" i="16"/>
  <c r="E1542" i="16"/>
  <c r="G1542" i="16" s="1"/>
  <c r="C1544" i="16"/>
  <c r="E1544" i="16" s="1"/>
  <c r="G1544" i="16" s="1"/>
  <c r="C1545" i="16"/>
  <c r="C1546" i="16"/>
  <c r="E1546" i="16" s="1"/>
  <c r="G1546" i="16" s="1"/>
  <c r="C1548" i="16"/>
  <c r="E1548" i="16"/>
  <c r="G1548" i="16" s="1"/>
  <c r="C1549" i="16"/>
  <c r="E1549" i="16"/>
  <c r="G1549" i="16" s="1"/>
  <c r="C1551" i="16"/>
  <c r="C1552" i="16" a="1"/>
  <c r="C1552" i="16" s="1"/>
  <c r="E1552" i="16"/>
  <c r="G1552" i="16" s="1"/>
  <c r="C1553" i="16" a="1"/>
  <c r="C1553" i="16" s="1"/>
  <c r="E1553" i="16"/>
  <c r="G1553" i="16" s="1"/>
  <c r="B1555" i="16"/>
  <c r="C1555" i="16"/>
  <c r="E1555" i="16"/>
  <c r="C1558" i="16"/>
  <c r="E1558" i="16"/>
  <c r="G1558" i="16" s="1"/>
  <c r="C1559" i="16"/>
  <c r="E1559" i="16"/>
  <c r="G1559" i="16" s="1"/>
  <c r="C1560" i="16"/>
  <c r="E1560" i="16"/>
  <c r="G1560" i="16" s="1"/>
  <c r="C1561" i="16"/>
  <c r="E1561" i="16"/>
  <c r="G1561" i="16" s="1"/>
  <c r="C1562" i="16"/>
  <c r="E1562" i="16"/>
  <c r="G1562" i="16" s="1"/>
  <c r="C1564" i="16"/>
  <c r="E1564" i="16" s="1"/>
  <c r="G1564" i="16" s="1"/>
  <c r="C1565" i="16"/>
  <c r="C1566" i="16"/>
  <c r="E1566" i="16" s="1"/>
  <c r="G1566" i="16" s="1"/>
  <c r="C1568" i="16"/>
  <c r="E1568" i="16"/>
  <c r="G1568" i="16" s="1"/>
  <c r="C1569" i="16"/>
  <c r="E1569" i="16"/>
  <c r="G1569" i="16" s="1"/>
  <c r="C1571" i="16"/>
  <c r="C1572" i="16" a="1"/>
  <c r="C1572" i="16" s="1"/>
  <c r="E1572" i="16"/>
  <c r="G1572" i="16" s="1"/>
  <c r="C1573" i="16" a="1"/>
  <c r="C1573" i="16" s="1"/>
  <c r="E1573" i="16"/>
  <c r="G1573" i="16" s="1"/>
  <c r="B1575" i="16"/>
  <c r="C1575" i="16"/>
  <c r="E1575" i="16"/>
  <c r="C1578" i="16"/>
  <c r="E1578" i="16"/>
  <c r="G1578" i="16" s="1"/>
  <c r="C1579" i="16"/>
  <c r="E1579" i="16"/>
  <c r="G1579" i="16" s="1"/>
  <c r="C1580" i="16"/>
  <c r="E1580" i="16"/>
  <c r="G1580" i="16" s="1"/>
  <c r="C1581" i="16"/>
  <c r="E1581" i="16"/>
  <c r="G1581" i="16" s="1"/>
  <c r="C1582" i="16"/>
  <c r="E1582" i="16"/>
  <c r="G1582" i="16" s="1"/>
  <c r="C1584" i="16"/>
  <c r="C1585" i="16"/>
  <c r="C1586" i="16"/>
  <c r="E1586" i="16" s="1"/>
  <c r="G1586" i="16" s="1"/>
  <c r="C1588" i="16"/>
  <c r="E1588" i="16"/>
  <c r="G1588" i="16" s="1"/>
  <c r="C1589" i="16"/>
  <c r="E1589" i="16"/>
  <c r="G1589" i="16" s="1"/>
  <c r="C1591" i="16"/>
  <c r="C1592" i="16" a="1"/>
  <c r="C1592" i="16" s="1"/>
  <c r="E1592" i="16"/>
  <c r="G1592" i="16" s="1"/>
  <c r="C1593" i="16" a="1"/>
  <c r="C1593" i="16" s="1"/>
  <c r="E1593" i="16"/>
  <c r="G1593" i="16" s="1"/>
  <c r="B1595" i="16"/>
  <c r="C1595" i="16"/>
  <c r="E1595" i="16"/>
  <c r="C1598" i="16"/>
  <c r="E1598" i="16"/>
  <c r="G1598" i="16" s="1"/>
  <c r="C1599" i="16"/>
  <c r="E1599" i="16"/>
  <c r="G1599" i="16" s="1"/>
  <c r="C1600" i="16"/>
  <c r="E1600" i="16"/>
  <c r="G1600" i="16" s="1"/>
  <c r="C1601" i="16"/>
  <c r="E1601" i="16"/>
  <c r="G1601" i="16" s="1"/>
  <c r="C1602" i="16"/>
  <c r="E1602" i="16"/>
  <c r="G1602" i="16" s="1"/>
  <c r="C1604" i="16"/>
  <c r="E1604" i="16" s="1"/>
  <c r="G1604" i="16" s="1"/>
  <c r="C1605" i="16"/>
  <c r="C1606" i="16"/>
  <c r="E1606" i="16" s="1"/>
  <c r="G1606" i="16" s="1"/>
  <c r="C1608" i="16"/>
  <c r="E1608" i="16"/>
  <c r="G1608" i="16" s="1"/>
  <c r="C1609" i="16"/>
  <c r="E1609" i="16"/>
  <c r="G1609" i="16" s="1"/>
  <c r="C1611" i="16"/>
  <c r="C1612" i="16" a="1"/>
  <c r="C1612" i="16" s="1"/>
  <c r="E1612" i="16"/>
  <c r="G1612" i="16" s="1"/>
  <c r="C1613" i="16" a="1"/>
  <c r="C1613" i="16" s="1"/>
  <c r="E1613" i="16"/>
  <c r="G1613" i="16" s="1"/>
  <c r="B1615" i="16"/>
  <c r="C1615" i="16"/>
  <c r="E1615" i="16"/>
  <c r="C1618" i="16"/>
  <c r="E1618" i="16"/>
  <c r="G1618" i="16" s="1"/>
  <c r="C1619" i="16"/>
  <c r="E1619" i="16"/>
  <c r="G1619" i="16" s="1"/>
  <c r="C1620" i="16"/>
  <c r="E1620" i="16"/>
  <c r="G1620" i="16" s="1"/>
  <c r="C1621" i="16"/>
  <c r="E1621" i="16"/>
  <c r="G1621" i="16" s="1"/>
  <c r="C1622" i="16"/>
  <c r="E1622" i="16"/>
  <c r="G1622" i="16" s="1"/>
  <c r="C1624" i="16"/>
  <c r="E1624" i="16" s="1"/>
  <c r="G1624" i="16" s="1"/>
  <c r="C1625" i="16"/>
  <c r="C1626" i="16"/>
  <c r="E1626" i="16" s="1"/>
  <c r="G1626" i="16" s="1"/>
  <c r="C1628" i="16"/>
  <c r="E1628" i="16"/>
  <c r="G1628" i="16" s="1"/>
  <c r="C1629" i="16"/>
  <c r="E1629" i="16"/>
  <c r="G1629" i="16" s="1"/>
  <c r="C1631" i="16"/>
  <c r="C1632" i="16" a="1"/>
  <c r="C1632" i="16" s="1"/>
  <c r="E1632" i="16"/>
  <c r="G1632" i="16" s="1"/>
  <c r="C1633" i="16" a="1"/>
  <c r="C1633" i="16" s="1"/>
  <c r="E1633" i="16"/>
  <c r="G1633" i="16" s="1"/>
  <c r="B1635" i="16"/>
  <c r="C1635" i="16"/>
  <c r="E1635" i="16"/>
  <c r="C1638" i="16"/>
  <c r="E1638" i="16"/>
  <c r="G1638" i="16" s="1"/>
  <c r="C1639" i="16"/>
  <c r="E1639" i="16"/>
  <c r="G1639" i="16" s="1"/>
  <c r="C1640" i="16"/>
  <c r="E1640" i="16"/>
  <c r="G1640" i="16" s="1"/>
  <c r="C1641" i="16"/>
  <c r="E1641" i="16"/>
  <c r="G1641" i="16" s="1"/>
  <c r="C1642" i="16"/>
  <c r="E1642" i="16"/>
  <c r="G1642" i="16" s="1"/>
  <c r="C1644" i="16"/>
  <c r="E1644" i="16" s="1"/>
  <c r="G1644" i="16" s="1"/>
  <c r="C1645" i="16"/>
  <c r="C1646" i="16"/>
  <c r="E1646" i="16" s="1"/>
  <c r="G1646" i="16" s="1"/>
  <c r="C1648" i="16"/>
  <c r="E1648" i="16"/>
  <c r="G1648" i="16" s="1"/>
  <c r="C1649" i="16"/>
  <c r="E1649" i="16"/>
  <c r="G1649" i="16" s="1"/>
  <c r="C1651" i="16"/>
  <c r="C1652" i="16" a="1"/>
  <c r="C1652" i="16" s="1"/>
  <c r="E1652" i="16"/>
  <c r="G1652" i="16" s="1"/>
  <c r="C1653" i="16" a="1"/>
  <c r="C1653" i="16" s="1"/>
  <c r="E1653" i="16"/>
  <c r="G1653" i="16" s="1"/>
  <c r="B1655" i="16"/>
  <c r="C1655" i="16"/>
  <c r="E1655" i="16"/>
  <c r="C1658" i="16"/>
  <c r="E1658" i="16"/>
  <c r="G1658" i="16" s="1"/>
  <c r="C1659" i="16"/>
  <c r="E1659" i="16"/>
  <c r="G1659" i="16" s="1"/>
  <c r="C1660" i="16"/>
  <c r="E1660" i="16"/>
  <c r="G1660" i="16" s="1"/>
  <c r="C1661" i="16"/>
  <c r="E1661" i="16"/>
  <c r="G1661" i="16" s="1"/>
  <c r="C1662" i="16"/>
  <c r="E1662" i="16"/>
  <c r="G1662" i="16" s="1"/>
  <c r="C1664" i="16"/>
  <c r="E1664" i="16" s="1"/>
  <c r="G1664" i="16" s="1"/>
  <c r="C1665" i="16"/>
  <c r="C1666" i="16"/>
  <c r="E1666" i="16" s="1"/>
  <c r="G1666" i="16" s="1"/>
  <c r="C1668" i="16"/>
  <c r="E1668" i="16"/>
  <c r="G1668" i="16" s="1"/>
  <c r="C1669" i="16"/>
  <c r="E1669" i="16"/>
  <c r="G1669" i="16" s="1"/>
  <c r="C1671" i="16"/>
  <c r="C1672" i="16" a="1"/>
  <c r="C1672" i="16" s="1"/>
  <c r="E1672" i="16"/>
  <c r="G1672" i="16" s="1"/>
  <c r="C1673" i="16" a="1"/>
  <c r="C1673" i="16" s="1"/>
  <c r="E1673" i="16"/>
  <c r="G1673" i="16" s="1"/>
  <c r="B1675" i="16"/>
  <c r="C1675" i="16"/>
  <c r="E1675" i="16"/>
  <c r="C1678" i="16"/>
  <c r="E1678" i="16"/>
  <c r="G1678" i="16" s="1"/>
  <c r="C1679" i="16"/>
  <c r="E1679" i="16"/>
  <c r="G1679" i="16" s="1"/>
  <c r="C1680" i="16"/>
  <c r="E1680" i="16"/>
  <c r="G1680" i="16" s="1"/>
  <c r="C1681" i="16"/>
  <c r="E1681" i="16"/>
  <c r="G1681" i="16" s="1"/>
  <c r="C1682" i="16"/>
  <c r="E1682" i="16"/>
  <c r="G1682" i="16" s="1"/>
  <c r="C1684" i="16"/>
  <c r="E1684" i="16" s="1"/>
  <c r="G1684" i="16" s="1"/>
  <c r="C1685" i="16"/>
  <c r="C1686" i="16"/>
  <c r="E1686" i="16" s="1"/>
  <c r="G1686" i="16" s="1"/>
  <c r="C1688" i="16"/>
  <c r="E1688" i="16"/>
  <c r="G1688" i="16" s="1"/>
  <c r="C1689" i="16"/>
  <c r="E1689" i="16"/>
  <c r="G1689" i="16" s="1"/>
  <c r="C1691" i="16"/>
  <c r="C1692" i="16" a="1"/>
  <c r="C1692" i="16" s="1"/>
  <c r="E1692" i="16"/>
  <c r="G1692" i="16" s="1"/>
  <c r="C1693" i="16" a="1"/>
  <c r="C1693" i="16" s="1"/>
  <c r="E1693" i="16"/>
  <c r="G1693" i="16" s="1"/>
  <c r="B1695" i="16"/>
  <c r="C1695" i="16"/>
  <c r="E1695" i="16"/>
  <c r="C1698" i="16"/>
  <c r="E1698" i="16"/>
  <c r="G1698" i="16" s="1"/>
  <c r="C1699" i="16"/>
  <c r="E1699" i="16"/>
  <c r="G1699" i="16" s="1"/>
  <c r="C1700" i="16"/>
  <c r="E1700" i="16"/>
  <c r="G1700" i="16" s="1"/>
  <c r="C1701" i="16"/>
  <c r="E1701" i="16"/>
  <c r="G1701" i="16" s="1"/>
  <c r="C1702" i="16"/>
  <c r="E1702" i="16"/>
  <c r="G1702" i="16" s="1"/>
  <c r="C1704" i="16"/>
  <c r="E1704" i="16" s="1"/>
  <c r="G1704" i="16" s="1"/>
  <c r="C1705" i="16"/>
  <c r="C1706" i="16"/>
  <c r="E1706" i="16" s="1"/>
  <c r="G1706" i="16" s="1"/>
  <c r="C1708" i="16"/>
  <c r="E1708" i="16"/>
  <c r="G1708" i="16" s="1"/>
  <c r="C1709" i="16"/>
  <c r="E1709" i="16"/>
  <c r="G1709" i="16" s="1"/>
  <c r="C1711" i="16"/>
  <c r="C1712" i="16" a="1"/>
  <c r="C1712" i="16" s="1"/>
  <c r="E1712" i="16"/>
  <c r="G1712" i="16" s="1"/>
  <c r="C1713" i="16" a="1"/>
  <c r="C1713" i="16" s="1"/>
  <c r="E1713" i="16"/>
  <c r="G1713" i="16" s="1"/>
  <c r="B1715" i="16"/>
  <c r="C1715" i="16"/>
  <c r="E1715" i="16"/>
  <c r="C1718" i="16"/>
  <c r="E1718" i="16"/>
  <c r="G1718" i="16" s="1"/>
  <c r="C1719" i="16"/>
  <c r="E1719" i="16"/>
  <c r="G1719" i="16" s="1"/>
  <c r="C1720" i="16"/>
  <c r="E1720" i="16"/>
  <c r="G1720" i="16" s="1"/>
  <c r="C1721" i="16"/>
  <c r="E1721" i="16"/>
  <c r="G1721" i="16" s="1"/>
  <c r="C1722" i="16"/>
  <c r="E1722" i="16"/>
  <c r="G1722" i="16" s="1"/>
  <c r="C1724" i="16"/>
  <c r="E1724" i="16" s="1"/>
  <c r="G1724" i="16" s="1"/>
  <c r="C1725" i="16"/>
  <c r="C1726" i="16"/>
  <c r="E1726" i="16" s="1"/>
  <c r="G1726" i="16" s="1"/>
  <c r="C1728" i="16"/>
  <c r="E1728" i="16"/>
  <c r="G1728" i="16" s="1"/>
  <c r="C1729" i="16"/>
  <c r="E1729" i="16"/>
  <c r="G1729" i="16" s="1"/>
  <c r="C1731" i="16"/>
  <c r="C1732" i="16" a="1"/>
  <c r="C1732" i="16" s="1"/>
  <c r="E1732" i="16"/>
  <c r="G1732" i="16" s="1"/>
  <c r="C1733" i="16" a="1"/>
  <c r="C1733" i="16" s="1"/>
  <c r="E1733" i="16"/>
  <c r="G1733" i="16" s="1"/>
  <c r="B1735" i="16"/>
  <c r="C1735" i="16"/>
  <c r="E1735" i="16"/>
  <c r="C1738" i="16"/>
  <c r="E1738" i="16"/>
  <c r="G1738" i="16" s="1"/>
  <c r="C1739" i="16"/>
  <c r="E1739" i="16"/>
  <c r="G1739" i="16" s="1"/>
  <c r="C1740" i="16"/>
  <c r="E1740" i="16"/>
  <c r="G1740" i="16" s="1"/>
  <c r="C1741" i="16"/>
  <c r="E1741" i="16"/>
  <c r="G1741" i="16" s="1"/>
  <c r="C1742" i="16"/>
  <c r="E1742" i="16"/>
  <c r="G1742" i="16" s="1"/>
  <c r="C1744" i="16"/>
  <c r="E1744" i="16" s="1"/>
  <c r="G1744" i="16" s="1"/>
  <c r="C1745" i="16"/>
  <c r="C1746" i="16"/>
  <c r="E1746" i="16" s="1"/>
  <c r="G1746" i="16" s="1"/>
  <c r="C1748" i="16"/>
  <c r="E1748" i="16"/>
  <c r="G1748" i="16" s="1"/>
  <c r="C1749" i="16"/>
  <c r="E1749" i="16"/>
  <c r="G1749" i="16" s="1"/>
  <c r="C1751" i="16"/>
  <c r="C1752" i="16" a="1"/>
  <c r="C1752" i="16" s="1"/>
  <c r="E1752" i="16"/>
  <c r="G1752" i="16" s="1"/>
  <c r="C1753" i="16" a="1"/>
  <c r="C1753" i="16" s="1"/>
  <c r="E1753" i="16"/>
  <c r="G1753" i="16" s="1"/>
  <c r="B1755" i="16"/>
  <c r="C1755" i="16"/>
  <c r="E1755" i="16"/>
  <c r="C1758" i="16"/>
  <c r="E1758" i="16"/>
  <c r="G1758" i="16" s="1"/>
  <c r="C1759" i="16"/>
  <c r="E1759" i="16"/>
  <c r="G1759" i="16" s="1"/>
  <c r="C1760" i="16"/>
  <c r="E1760" i="16"/>
  <c r="G1760" i="16" s="1"/>
  <c r="C1761" i="16"/>
  <c r="E1761" i="16"/>
  <c r="G1761" i="16" s="1"/>
  <c r="C1762" i="16"/>
  <c r="E1762" i="16"/>
  <c r="G1762" i="16" s="1"/>
  <c r="C1764" i="16"/>
  <c r="E1764" i="16" s="1"/>
  <c r="G1764" i="16" s="1"/>
  <c r="C1765" i="16"/>
  <c r="C1766" i="16"/>
  <c r="E1766" i="16" s="1"/>
  <c r="G1766" i="16" s="1"/>
  <c r="C1768" i="16"/>
  <c r="E1768" i="16"/>
  <c r="G1768" i="16" s="1"/>
  <c r="C1769" i="16"/>
  <c r="E1769" i="16"/>
  <c r="G1769" i="16" s="1"/>
  <c r="C1771" i="16"/>
  <c r="C1772" i="16" a="1"/>
  <c r="C1772" i="16" s="1"/>
  <c r="E1772" i="16"/>
  <c r="G1772" i="16" s="1"/>
  <c r="C1773" i="16" a="1"/>
  <c r="C1773" i="16" s="1"/>
  <c r="E1773" i="16"/>
  <c r="G1773" i="16" s="1"/>
  <c r="B1775" i="16"/>
  <c r="C1775" i="16"/>
  <c r="E1775" i="16"/>
  <c r="C1778" i="16"/>
  <c r="E1778" i="16"/>
  <c r="G1778" i="16" s="1"/>
  <c r="C1779" i="16"/>
  <c r="E1779" i="16"/>
  <c r="G1779" i="16" s="1"/>
  <c r="C1780" i="16"/>
  <c r="E1780" i="16"/>
  <c r="G1780" i="16" s="1"/>
  <c r="C1781" i="16"/>
  <c r="E1781" i="16"/>
  <c r="G1781" i="16" s="1"/>
  <c r="C1782" i="16"/>
  <c r="E1782" i="16"/>
  <c r="G1782" i="16" s="1"/>
  <c r="C1784" i="16"/>
  <c r="C1785" i="16"/>
  <c r="C1786" i="16"/>
  <c r="E1786" i="16" s="1"/>
  <c r="G1786" i="16" s="1"/>
  <c r="C1788" i="16"/>
  <c r="E1788" i="16"/>
  <c r="G1788" i="16" s="1"/>
  <c r="C1789" i="16"/>
  <c r="E1789" i="16"/>
  <c r="G1789" i="16" s="1"/>
  <c r="C1791" i="16"/>
  <c r="C1792" i="16" a="1"/>
  <c r="C1792" i="16" s="1"/>
  <c r="E1792" i="16"/>
  <c r="G1792" i="16" s="1"/>
  <c r="C1793" i="16" a="1"/>
  <c r="C1793" i="16" s="1"/>
  <c r="E1793" i="16"/>
  <c r="G1793" i="16" s="1"/>
  <c r="B224" i="16"/>
  <c r="C224" i="16"/>
  <c r="E224" i="16"/>
  <c r="C227" i="16"/>
  <c r="E227" i="16"/>
  <c r="G227" i="16" s="1"/>
  <c r="C228" i="16"/>
  <c r="E228" i="16"/>
  <c r="G228" i="16" s="1"/>
  <c r="C229" i="16"/>
  <c r="E229" i="16"/>
  <c r="G229" i="16" s="1"/>
  <c r="C230" i="16"/>
  <c r="E230" i="16"/>
  <c r="G230" i="16" s="1"/>
  <c r="C231" i="16"/>
  <c r="E231" i="16"/>
  <c r="G231" i="16" s="1"/>
  <c r="C233" i="16"/>
  <c r="C234" i="16"/>
  <c r="C235" i="16"/>
  <c r="E235" i="16" s="1"/>
  <c r="G235" i="16" s="1"/>
  <c r="C237" i="16"/>
  <c r="E237" i="16"/>
  <c r="G237" i="16" s="1"/>
  <c r="C238" i="16"/>
  <c r="E238" i="16"/>
  <c r="G238" i="16" s="1"/>
  <c r="C240" i="16"/>
  <c r="C241" i="16" a="1"/>
  <c r="C241" i="16" s="1"/>
  <c r="E241" i="16"/>
  <c r="G241" i="16" s="1"/>
  <c r="C242" i="16" a="1"/>
  <c r="C242" i="16" s="1"/>
  <c r="E242" i="16"/>
  <c r="G242" i="16" s="1"/>
  <c r="B244" i="16"/>
  <c r="C244" i="16"/>
  <c r="E244" i="16"/>
  <c r="C247" i="16"/>
  <c r="E247" i="16"/>
  <c r="G247" i="16" s="1"/>
  <c r="C248" i="16"/>
  <c r="E248" i="16"/>
  <c r="G248" i="16" s="1"/>
  <c r="C249" i="16"/>
  <c r="E249" i="16"/>
  <c r="G249" i="16" s="1"/>
  <c r="C250" i="16"/>
  <c r="E250" i="16"/>
  <c r="G250" i="16" s="1"/>
  <c r="C251" i="16"/>
  <c r="E251" i="16"/>
  <c r="G251" i="16" s="1"/>
  <c r="C253" i="16"/>
  <c r="C254" i="16"/>
  <c r="C255" i="16"/>
  <c r="E255" i="16" s="1"/>
  <c r="G255" i="16" s="1"/>
  <c r="C257" i="16"/>
  <c r="E257" i="16"/>
  <c r="G257" i="16" s="1"/>
  <c r="C258" i="16"/>
  <c r="E258" i="16"/>
  <c r="G258" i="16" s="1"/>
  <c r="C260" i="16"/>
  <c r="C261" i="16" a="1"/>
  <c r="C261" i="16" s="1"/>
  <c r="E261" i="16"/>
  <c r="G261" i="16" s="1"/>
  <c r="C262" i="16" a="1"/>
  <c r="C262" i="16" s="1"/>
  <c r="E262" i="16"/>
  <c r="G262" i="16" s="1"/>
  <c r="B264" i="16"/>
  <c r="C264" i="16"/>
  <c r="E264" i="16"/>
  <c r="C267" i="16"/>
  <c r="E267" i="16"/>
  <c r="G267" i="16" s="1"/>
  <c r="C268" i="16"/>
  <c r="E268" i="16"/>
  <c r="G268" i="16" s="1"/>
  <c r="C269" i="16"/>
  <c r="E269" i="16"/>
  <c r="G269" i="16" s="1"/>
  <c r="C270" i="16"/>
  <c r="E270" i="16"/>
  <c r="G270" i="16" s="1"/>
  <c r="C271" i="16"/>
  <c r="E271" i="16"/>
  <c r="G271" i="16" s="1"/>
  <c r="C273" i="16"/>
  <c r="C274" i="16"/>
  <c r="C275" i="16"/>
  <c r="E275" i="16" s="1"/>
  <c r="G275" i="16" s="1"/>
  <c r="C277" i="16"/>
  <c r="E277" i="16"/>
  <c r="G277" i="16" s="1"/>
  <c r="C278" i="16"/>
  <c r="E278" i="16"/>
  <c r="G278" i="16" s="1"/>
  <c r="C280" i="16"/>
  <c r="C281" i="16" a="1"/>
  <c r="C281" i="16" s="1"/>
  <c r="E281" i="16"/>
  <c r="G281" i="16" s="1"/>
  <c r="C282" i="16" a="1"/>
  <c r="C282" i="16" s="1"/>
  <c r="E282" i="16"/>
  <c r="G282" i="16" s="1"/>
  <c r="B284" i="16"/>
  <c r="C284" i="16"/>
  <c r="E284" i="16"/>
  <c r="C287" i="16"/>
  <c r="E287" i="16"/>
  <c r="G287" i="16" s="1"/>
  <c r="C288" i="16"/>
  <c r="E288" i="16"/>
  <c r="G288" i="16" s="1"/>
  <c r="C289" i="16"/>
  <c r="E289" i="16"/>
  <c r="G289" i="16" s="1"/>
  <c r="C290" i="16"/>
  <c r="E290" i="16"/>
  <c r="G290" i="16" s="1"/>
  <c r="C291" i="16"/>
  <c r="E291" i="16"/>
  <c r="G291" i="16" s="1"/>
  <c r="C293" i="16"/>
  <c r="C294" i="16"/>
  <c r="C295" i="16"/>
  <c r="E295" i="16" s="1"/>
  <c r="G295" i="16" s="1"/>
  <c r="C297" i="16"/>
  <c r="E297" i="16"/>
  <c r="G297" i="16" s="1"/>
  <c r="C298" i="16"/>
  <c r="E298" i="16"/>
  <c r="G298" i="16" s="1"/>
  <c r="C300" i="16"/>
  <c r="C301" i="16" a="1"/>
  <c r="C301" i="16" s="1"/>
  <c r="E301" i="16"/>
  <c r="G301" i="16" s="1"/>
  <c r="C302" i="16" a="1"/>
  <c r="C302" i="16" s="1"/>
  <c r="E302" i="16"/>
  <c r="G302" i="16" s="1"/>
  <c r="B304" i="16"/>
  <c r="C304" i="16"/>
  <c r="E304" i="16"/>
  <c r="C307" i="16"/>
  <c r="E307" i="16"/>
  <c r="G307" i="16" s="1"/>
  <c r="C308" i="16"/>
  <c r="E308" i="16"/>
  <c r="G308" i="16" s="1"/>
  <c r="C309" i="16"/>
  <c r="E309" i="16"/>
  <c r="G309" i="16" s="1"/>
  <c r="C310" i="16"/>
  <c r="E310" i="16"/>
  <c r="G310" i="16" s="1"/>
  <c r="C311" i="16"/>
  <c r="E311" i="16"/>
  <c r="G311" i="16" s="1"/>
  <c r="C313" i="16"/>
  <c r="C314" i="16"/>
  <c r="C315" i="16"/>
  <c r="E315" i="16" s="1"/>
  <c r="G315" i="16" s="1"/>
  <c r="C317" i="16"/>
  <c r="E317" i="16"/>
  <c r="G317" i="16" s="1"/>
  <c r="C318" i="16"/>
  <c r="E318" i="16"/>
  <c r="G318" i="16" s="1"/>
  <c r="C320" i="16"/>
  <c r="C321" i="16" a="1"/>
  <c r="C321" i="16" s="1"/>
  <c r="E321" i="16"/>
  <c r="G321" i="16" s="1"/>
  <c r="C322" i="16" a="1"/>
  <c r="C322" i="16" s="1"/>
  <c r="E322" i="16"/>
  <c r="G322" i="16" s="1"/>
  <c r="B324" i="16"/>
  <c r="C324" i="16"/>
  <c r="E324" i="16"/>
  <c r="C327" i="16"/>
  <c r="E327" i="16"/>
  <c r="G327" i="16" s="1"/>
  <c r="C328" i="16"/>
  <c r="E328" i="16"/>
  <c r="G328" i="16" s="1"/>
  <c r="C329" i="16"/>
  <c r="E329" i="16"/>
  <c r="G329" i="16" s="1"/>
  <c r="C330" i="16"/>
  <c r="E330" i="16"/>
  <c r="G330" i="16" s="1"/>
  <c r="C331" i="16"/>
  <c r="E331" i="16"/>
  <c r="G331" i="16" s="1"/>
  <c r="C333" i="16"/>
  <c r="C334" i="16"/>
  <c r="C335" i="16"/>
  <c r="E335" i="16" s="1"/>
  <c r="G335" i="16" s="1"/>
  <c r="C337" i="16"/>
  <c r="E337" i="16"/>
  <c r="G337" i="16" s="1"/>
  <c r="C338" i="16"/>
  <c r="E338" i="16"/>
  <c r="G338" i="16" s="1"/>
  <c r="C340" i="16"/>
  <c r="C341" i="16" a="1"/>
  <c r="C341" i="16" s="1"/>
  <c r="E341" i="16"/>
  <c r="G341" i="16" s="1"/>
  <c r="C342" i="16" a="1"/>
  <c r="C342" i="16" s="1"/>
  <c r="E342" i="16"/>
  <c r="G342" i="16" s="1"/>
  <c r="B344" i="16"/>
  <c r="C344" i="16"/>
  <c r="E344" i="16"/>
  <c r="C347" i="16"/>
  <c r="E347" i="16"/>
  <c r="G347" i="16" s="1"/>
  <c r="C348" i="16"/>
  <c r="E348" i="16"/>
  <c r="G348" i="16" s="1"/>
  <c r="C349" i="16"/>
  <c r="E349" i="16"/>
  <c r="G349" i="16" s="1"/>
  <c r="C350" i="16"/>
  <c r="E350" i="16"/>
  <c r="G350" i="16" s="1"/>
  <c r="C351" i="16"/>
  <c r="E351" i="16"/>
  <c r="G351" i="16" s="1"/>
  <c r="C353" i="16"/>
  <c r="C354" i="16"/>
  <c r="C355" i="16"/>
  <c r="E355" i="16" s="1"/>
  <c r="G355" i="16" s="1"/>
  <c r="C357" i="16"/>
  <c r="E357" i="16"/>
  <c r="G357" i="16" s="1"/>
  <c r="C358" i="16"/>
  <c r="E358" i="16"/>
  <c r="G358" i="16" s="1"/>
  <c r="C360" i="16"/>
  <c r="C361" i="16" a="1"/>
  <c r="C361" i="16" s="1"/>
  <c r="E361" i="16"/>
  <c r="G361" i="16" s="1"/>
  <c r="C362" i="16" a="1"/>
  <c r="C362" i="16" s="1"/>
  <c r="E362" i="16"/>
  <c r="G362" i="16" s="1"/>
  <c r="B364" i="16"/>
  <c r="C364" i="16"/>
  <c r="E364" i="16"/>
  <c r="C367" i="16"/>
  <c r="E367" i="16"/>
  <c r="G367" i="16" s="1"/>
  <c r="C368" i="16"/>
  <c r="E368" i="16"/>
  <c r="G368" i="16" s="1"/>
  <c r="C369" i="16"/>
  <c r="E369" i="16"/>
  <c r="G369" i="16" s="1"/>
  <c r="C370" i="16"/>
  <c r="E370" i="16"/>
  <c r="G370" i="16" s="1"/>
  <c r="C371" i="16"/>
  <c r="E371" i="16"/>
  <c r="G371" i="16" s="1"/>
  <c r="C373" i="16"/>
  <c r="C374" i="16"/>
  <c r="C375" i="16"/>
  <c r="E375" i="16" s="1"/>
  <c r="G375" i="16" s="1"/>
  <c r="C377" i="16"/>
  <c r="E377" i="16"/>
  <c r="G377" i="16" s="1"/>
  <c r="C378" i="16"/>
  <c r="E378" i="16"/>
  <c r="G378" i="16" s="1"/>
  <c r="C380" i="16"/>
  <c r="C381" i="16" a="1"/>
  <c r="C381" i="16" s="1"/>
  <c r="E381" i="16"/>
  <c r="G381" i="16" s="1"/>
  <c r="C382" i="16" a="1"/>
  <c r="C382" i="16" s="1"/>
  <c r="E382" i="16"/>
  <c r="G382" i="16" s="1"/>
  <c r="B384" i="16"/>
  <c r="C384" i="16"/>
  <c r="E384" i="16"/>
  <c r="C387" i="16"/>
  <c r="E387" i="16"/>
  <c r="G387" i="16" s="1"/>
  <c r="C388" i="16"/>
  <c r="E388" i="16"/>
  <c r="G388" i="16" s="1"/>
  <c r="C389" i="16"/>
  <c r="E389" i="16"/>
  <c r="G389" i="16" s="1"/>
  <c r="C390" i="16"/>
  <c r="E390" i="16"/>
  <c r="G390" i="16" s="1"/>
  <c r="C391" i="16"/>
  <c r="E391" i="16"/>
  <c r="G391" i="16" s="1"/>
  <c r="C393" i="16"/>
  <c r="C394" i="16"/>
  <c r="C395" i="16"/>
  <c r="E395" i="16" s="1"/>
  <c r="G395" i="16" s="1"/>
  <c r="C397" i="16"/>
  <c r="E397" i="16"/>
  <c r="G397" i="16" s="1"/>
  <c r="C398" i="16"/>
  <c r="E398" i="16"/>
  <c r="G398" i="16" s="1"/>
  <c r="C400" i="16"/>
  <c r="C401" i="16" a="1"/>
  <c r="C401" i="16" s="1"/>
  <c r="E401" i="16"/>
  <c r="G401" i="16" s="1"/>
  <c r="C402" i="16" a="1"/>
  <c r="C402" i="16" s="1"/>
  <c r="E402" i="16"/>
  <c r="G402" i="16" s="1"/>
  <c r="B404" i="16"/>
  <c r="C404" i="16"/>
  <c r="E404" i="16"/>
  <c r="C407" i="16"/>
  <c r="E407" i="16"/>
  <c r="G407" i="16" s="1"/>
  <c r="C408" i="16"/>
  <c r="E408" i="16"/>
  <c r="G408" i="16" s="1"/>
  <c r="C409" i="16"/>
  <c r="E409" i="16"/>
  <c r="G409" i="16" s="1"/>
  <c r="C410" i="16"/>
  <c r="E410" i="16"/>
  <c r="G410" i="16" s="1"/>
  <c r="C411" i="16"/>
  <c r="E411" i="16"/>
  <c r="G411" i="16" s="1"/>
  <c r="C413" i="16"/>
  <c r="C414" i="16"/>
  <c r="C415" i="16"/>
  <c r="E415" i="16" s="1"/>
  <c r="G415" i="16" s="1"/>
  <c r="C417" i="16"/>
  <c r="E417" i="16"/>
  <c r="G417" i="16" s="1"/>
  <c r="C418" i="16"/>
  <c r="E418" i="16"/>
  <c r="G418" i="16" s="1"/>
  <c r="C420" i="16"/>
  <c r="C421" i="16" a="1"/>
  <c r="C421" i="16" s="1"/>
  <c r="E421" i="16"/>
  <c r="G421" i="16" s="1"/>
  <c r="C422" i="16" a="1"/>
  <c r="C422" i="16" s="1"/>
  <c r="E422" i="16"/>
  <c r="G422" i="16" s="1"/>
  <c r="B424" i="16"/>
  <c r="C424" i="16"/>
  <c r="E424" i="16"/>
  <c r="C427" i="16"/>
  <c r="E427" i="16"/>
  <c r="G427" i="16" s="1"/>
  <c r="C428" i="16"/>
  <c r="E428" i="16"/>
  <c r="G428" i="16" s="1"/>
  <c r="C429" i="16"/>
  <c r="E429" i="16"/>
  <c r="G429" i="16" s="1"/>
  <c r="C430" i="16"/>
  <c r="E430" i="16"/>
  <c r="G430" i="16" s="1"/>
  <c r="C431" i="16"/>
  <c r="E431" i="16"/>
  <c r="G431" i="16" s="1"/>
  <c r="C433" i="16"/>
  <c r="C434" i="16"/>
  <c r="C435" i="16"/>
  <c r="E435" i="16" s="1"/>
  <c r="G435" i="16" s="1"/>
  <c r="C437" i="16"/>
  <c r="E437" i="16"/>
  <c r="G437" i="16" s="1"/>
  <c r="C438" i="16"/>
  <c r="E438" i="16"/>
  <c r="G438" i="16" s="1"/>
  <c r="C440" i="16"/>
  <c r="C441" i="16" a="1"/>
  <c r="C441" i="16" s="1"/>
  <c r="E441" i="16"/>
  <c r="G441" i="16" s="1"/>
  <c r="C442" i="16" a="1"/>
  <c r="C442" i="16" s="1"/>
  <c r="E442" i="16"/>
  <c r="G442" i="16" s="1"/>
  <c r="B444" i="16"/>
  <c r="C444" i="16"/>
  <c r="E444" i="16"/>
  <c r="C447" i="16"/>
  <c r="E447" i="16"/>
  <c r="G447" i="16" s="1"/>
  <c r="C448" i="16"/>
  <c r="E448" i="16"/>
  <c r="G448" i="16" s="1"/>
  <c r="C449" i="16"/>
  <c r="E449" i="16"/>
  <c r="G449" i="16" s="1"/>
  <c r="C450" i="16"/>
  <c r="E450" i="16"/>
  <c r="G450" i="16" s="1"/>
  <c r="C451" i="16"/>
  <c r="E451" i="16"/>
  <c r="G451" i="16" s="1"/>
  <c r="C453" i="16"/>
  <c r="C454" i="16"/>
  <c r="C455" i="16"/>
  <c r="E455" i="16" s="1"/>
  <c r="G455" i="16" s="1"/>
  <c r="C457" i="16"/>
  <c r="E457" i="16"/>
  <c r="G457" i="16" s="1"/>
  <c r="C458" i="16"/>
  <c r="E458" i="16"/>
  <c r="G458" i="16" s="1"/>
  <c r="C460" i="16"/>
  <c r="C461" i="16" a="1"/>
  <c r="C461" i="16" s="1"/>
  <c r="E461" i="16"/>
  <c r="G461" i="16" s="1"/>
  <c r="C462" i="16" a="1"/>
  <c r="C462" i="16" s="1"/>
  <c r="E462" i="16"/>
  <c r="G462" i="16" s="1"/>
  <c r="B464" i="16"/>
  <c r="C464" i="16"/>
  <c r="E464" i="16"/>
  <c r="C467" i="16"/>
  <c r="E467" i="16"/>
  <c r="G467" i="16" s="1"/>
  <c r="C468" i="16"/>
  <c r="E468" i="16"/>
  <c r="G468" i="16" s="1"/>
  <c r="C469" i="16"/>
  <c r="E469" i="16"/>
  <c r="G469" i="16" s="1"/>
  <c r="C470" i="16"/>
  <c r="E470" i="16"/>
  <c r="G470" i="16" s="1"/>
  <c r="C471" i="16"/>
  <c r="E471" i="16"/>
  <c r="G471" i="16" s="1"/>
  <c r="C472" i="16"/>
  <c r="E472" i="16"/>
  <c r="G472" i="16" s="1"/>
  <c r="C473" i="16"/>
  <c r="E473" i="16"/>
  <c r="G473" i="16" s="1"/>
  <c r="C474" i="16"/>
  <c r="E474" i="16"/>
  <c r="G474" i="16" s="1"/>
  <c r="C476" i="16"/>
  <c r="C477" i="16"/>
  <c r="E477" i="16" s="1"/>
  <c r="G477" i="16" s="1"/>
  <c r="C478" i="16"/>
  <c r="E478" i="16" s="1"/>
  <c r="G478" i="16" s="1"/>
  <c r="C480" i="16"/>
  <c r="E480" i="16"/>
  <c r="G480" i="16" s="1"/>
  <c r="C481" i="16"/>
  <c r="E481" i="16"/>
  <c r="G481" i="16" s="1"/>
  <c r="C483" i="16"/>
  <c r="C484" i="16" a="1"/>
  <c r="C484" i="16" s="1"/>
  <c r="E484" i="16"/>
  <c r="G484" i="16" s="1"/>
  <c r="C485" i="16" a="1"/>
  <c r="C485" i="16" s="1"/>
  <c r="E485" i="16"/>
  <c r="G485" i="16" s="1"/>
  <c r="B487" i="16"/>
  <c r="C487" i="16"/>
  <c r="E487" i="16"/>
  <c r="C490" i="16"/>
  <c r="E490" i="16"/>
  <c r="G490" i="16" s="1"/>
  <c r="C491" i="16"/>
  <c r="E491" i="16"/>
  <c r="G491" i="16" s="1"/>
  <c r="C492" i="16"/>
  <c r="E492" i="16"/>
  <c r="G492" i="16" s="1"/>
  <c r="C493" i="16"/>
  <c r="E493" i="16"/>
  <c r="G493" i="16" s="1"/>
  <c r="C494" i="16"/>
  <c r="E494" i="16"/>
  <c r="G494" i="16" s="1"/>
  <c r="C496" i="16"/>
  <c r="C497" i="16"/>
  <c r="E497" i="16" s="1"/>
  <c r="G497" i="16" s="1"/>
  <c r="C498" i="16"/>
  <c r="E498" i="16" s="1"/>
  <c r="G498" i="16" s="1"/>
  <c r="C500" i="16"/>
  <c r="E500" i="16"/>
  <c r="G500" i="16" s="1"/>
  <c r="C501" i="16"/>
  <c r="E501" i="16"/>
  <c r="G501" i="16" s="1"/>
  <c r="C503" i="16"/>
  <c r="C504" i="16" a="1"/>
  <c r="C504" i="16" s="1"/>
  <c r="E504" i="16"/>
  <c r="G504" i="16" s="1"/>
  <c r="C505" i="16" a="1"/>
  <c r="C505" i="16" s="1"/>
  <c r="E505" i="16"/>
  <c r="G505" i="16" s="1"/>
  <c r="B507" i="16"/>
  <c r="C507" i="16"/>
  <c r="E507" i="16"/>
  <c r="C510" i="16"/>
  <c r="E510" i="16"/>
  <c r="G510" i="16" s="1"/>
  <c r="C511" i="16"/>
  <c r="E511" i="16"/>
  <c r="G511" i="16" s="1"/>
  <c r="C512" i="16"/>
  <c r="E512" i="16"/>
  <c r="G512" i="16" s="1"/>
  <c r="C513" i="16"/>
  <c r="E513" i="16"/>
  <c r="G513" i="16" s="1"/>
  <c r="C514" i="16"/>
  <c r="E514" i="16"/>
  <c r="G514" i="16" s="1"/>
  <c r="C515" i="16"/>
  <c r="E515" i="16"/>
  <c r="G515" i="16" s="1"/>
  <c r="C516" i="16"/>
  <c r="E516" i="16"/>
  <c r="G516" i="16" s="1"/>
  <c r="C517" i="16"/>
  <c r="E517" i="16"/>
  <c r="G517" i="16" s="1"/>
  <c r="C519" i="16"/>
  <c r="C520" i="16"/>
  <c r="E520" i="16" s="1"/>
  <c r="G520" i="16" s="1"/>
  <c r="C521" i="16"/>
  <c r="E521" i="16" s="1"/>
  <c r="G521" i="16" s="1"/>
  <c r="C523" i="16"/>
  <c r="E523" i="16"/>
  <c r="G523" i="16" s="1"/>
  <c r="C524" i="16"/>
  <c r="E524" i="16"/>
  <c r="G524" i="16" s="1"/>
  <c r="C526" i="16"/>
  <c r="C527" i="16" a="1"/>
  <c r="C527" i="16" s="1"/>
  <c r="E527" i="16"/>
  <c r="G527" i="16" s="1"/>
  <c r="C528" i="16" a="1"/>
  <c r="C528" i="16" s="1"/>
  <c r="E528" i="16"/>
  <c r="G528" i="16" s="1"/>
  <c r="B530" i="16"/>
  <c r="C530" i="16"/>
  <c r="E530" i="16"/>
  <c r="C533" i="16"/>
  <c r="E533" i="16"/>
  <c r="G533" i="16" s="1"/>
  <c r="C534" i="16"/>
  <c r="E534" i="16"/>
  <c r="G534" i="16" s="1"/>
  <c r="C535" i="16"/>
  <c r="E535" i="16"/>
  <c r="G535" i="16" s="1"/>
  <c r="C536" i="16"/>
  <c r="E536" i="16"/>
  <c r="G536" i="16" s="1"/>
  <c r="C537" i="16"/>
  <c r="E537" i="16"/>
  <c r="G537" i="16" s="1"/>
  <c r="C538" i="16"/>
  <c r="E538" i="16"/>
  <c r="G538" i="16" s="1"/>
  <c r="C539" i="16"/>
  <c r="E539" i="16"/>
  <c r="G539" i="16" s="1"/>
  <c r="C540" i="16"/>
  <c r="E540" i="16"/>
  <c r="G540" i="16" s="1"/>
  <c r="C542" i="16"/>
  <c r="C543" i="16"/>
  <c r="E543" i="16" s="1"/>
  <c r="G543" i="16" s="1"/>
  <c r="C544" i="16"/>
  <c r="E544" i="16" s="1"/>
  <c r="G544" i="16" s="1"/>
  <c r="C546" i="16"/>
  <c r="E546" i="16"/>
  <c r="G546" i="16" s="1"/>
  <c r="C547" i="16"/>
  <c r="E547" i="16"/>
  <c r="G547" i="16" s="1"/>
  <c r="C549" i="16"/>
  <c r="C550" i="16" a="1"/>
  <c r="C550" i="16" s="1"/>
  <c r="E550" i="16"/>
  <c r="G550" i="16" s="1"/>
  <c r="C551" i="16" a="1"/>
  <c r="C551" i="16" s="1"/>
  <c r="E551" i="16"/>
  <c r="G551" i="16" s="1"/>
  <c r="B553" i="16"/>
  <c r="C553" i="16"/>
  <c r="E553" i="16"/>
  <c r="C556" i="16"/>
  <c r="E556" i="16"/>
  <c r="G556" i="16" s="1"/>
  <c r="C557" i="16"/>
  <c r="E557" i="16"/>
  <c r="G557" i="16" s="1"/>
  <c r="C558" i="16"/>
  <c r="E558" i="16"/>
  <c r="G558" i="16" s="1"/>
  <c r="C559" i="16"/>
  <c r="E559" i="16"/>
  <c r="G559" i="16" s="1"/>
  <c r="C560" i="16"/>
  <c r="E560" i="16"/>
  <c r="G560" i="16" s="1"/>
  <c r="C562" i="16"/>
  <c r="C563" i="16"/>
  <c r="C564" i="16"/>
  <c r="E564" i="16" s="1"/>
  <c r="G564" i="16" s="1"/>
  <c r="C566" i="16"/>
  <c r="E566" i="16"/>
  <c r="G566" i="16" s="1"/>
  <c r="C567" i="16"/>
  <c r="E567" i="16"/>
  <c r="G567" i="16" s="1"/>
  <c r="C569" i="16"/>
  <c r="C570" i="16" a="1"/>
  <c r="C570" i="16" s="1"/>
  <c r="E570" i="16"/>
  <c r="G570" i="16" s="1"/>
  <c r="C571" i="16" a="1"/>
  <c r="C571" i="16" s="1"/>
  <c r="E571" i="16"/>
  <c r="G571" i="16" s="1"/>
  <c r="B573" i="16"/>
  <c r="C573" i="16"/>
  <c r="E573" i="16"/>
  <c r="C576" i="16"/>
  <c r="E576" i="16"/>
  <c r="G576" i="16" s="1"/>
  <c r="C577" i="16"/>
  <c r="E577" i="16"/>
  <c r="G577" i="16" s="1"/>
  <c r="C578" i="16"/>
  <c r="E578" i="16"/>
  <c r="G578" i="16" s="1"/>
  <c r="C579" i="16"/>
  <c r="E579" i="16"/>
  <c r="G579" i="16" s="1"/>
  <c r="C580" i="16"/>
  <c r="E580" i="16"/>
  <c r="G580" i="16" s="1"/>
  <c r="C582" i="16"/>
  <c r="C583" i="16"/>
  <c r="C584" i="16"/>
  <c r="E584" i="16" s="1"/>
  <c r="G584" i="16" s="1"/>
  <c r="C586" i="16"/>
  <c r="E586" i="16"/>
  <c r="G586" i="16" s="1"/>
  <c r="C587" i="16"/>
  <c r="E587" i="16"/>
  <c r="G587" i="16" s="1"/>
  <c r="C589" i="16"/>
  <c r="C590" i="16" a="1"/>
  <c r="C590" i="16" s="1"/>
  <c r="E590" i="16"/>
  <c r="G590" i="16" s="1"/>
  <c r="C591" i="16" a="1"/>
  <c r="C591" i="16" s="1"/>
  <c r="E591" i="16"/>
  <c r="G591" i="16" s="1"/>
  <c r="B593" i="16"/>
  <c r="C593" i="16"/>
  <c r="E593" i="16"/>
  <c r="C596" i="16"/>
  <c r="E596" i="16"/>
  <c r="G596" i="16" s="1"/>
  <c r="C597" i="16"/>
  <c r="E597" i="16"/>
  <c r="G597" i="16" s="1"/>
  <c r="C598" i="16"/>
  <c r="E598" i="16"/>
  <c r="G598" i="16" s="1"/>
  <c r="C599" i="16"/>
  <c r="E599" i="16"/>
  <c r="G599" i="16" s="1"/>
  <c r="C600" i="16"/>
  <c r="E600" i="16"/>
  <c r="G600" i="16" s="1"/>
  <c r="C601" i="16"/>
  <c r="E601" i="16"/>
  <c r="G601" i="16" s="1"/>
  <c r="C602" i="16"/>
  <c r="E602" i="16"/>
  <c r="G602" i="16" s="1"/>
  <c r="C603" i="16"/>
  <c r="E603" i="16"/>
  <c r="G603" i="16" s="1"/>
  <c r="C605" i="16"/>
  <c r="C606" i="16"/>
  <c r="C607" i="16"/>
  <c r="E607" i="16" s="1"/>
  <c r="G607" i="16" s="1"/>
  <c r="C609" i="16"/>
  <c r="E609" i="16"/>
  <c r="G609" i="16" s="1"/>
  <c r="C610" i="16"/>
  <c r="E610" i="16"/>
  <c r="G610" i="16" s="1"/>
  <c r="C612" i="16"/>
  <c r="C613" i="16" a="1"/>
  <c r="C613" i="16" s="1"/>
  <c r="E613" i="16"/>
  <c r="G613" i="16" s="1"/>
  <c r="C614" i="16" a="1"/>
  <c r="C614" i="16" s="1"/>
  <c r="E614" i="16"/>
  <c r="G614" i="16" s="1"/>
  <c r="B616" i="16"/>
  <c r="C616" i="16"/>
  <c r="E616" i="16"/>
  <c r="C619" i="16"/>
  <c r="E619" i="16"/>
  <c r="G619" i="16" s="1"/>
  <c r="C620" i="16"/>
  <c r="E620" i="16"/>
  <c r="G620" i="16" s="1"/>
  <c r="C621" i="16"/>
  <c r="E621" i="16"/>
  <c r="G621" i="16" s="1"/>
  <c r="C622" i="16"/>
  <c r="E622" i="16"/>
  <c r="G622" i="16" s="1"/>
  <c r="C623" i="16"/>
  <c r="E623" i="16"/>
  <c r="G623" i="16" s="1"/>
  <c r="C624" i="16"/>
  <c r="E624" i="16"/>
  <c r="G624" i="16" s="1"/>
  <c r="C625" i="16"/>
  <c r="E625" i="16"/>
  <c r="G625" i="16" s="1"/>
  <c r="C626" i="16"/>
  <c r="E626" i="16"/>
  <c r="G626" i="16" s="1"/>
  <c r="C628" i="16"/>
  <c r="C629" i="16"/>
  <c r="C630" i="16"/>
  <c r="E630" i="16" s="1"/>
  <c r="G630" i="16" s="1"/>
  <c r="C632" i="16"/>
  <c r="E632" i="16"/>
  <c r="G632" i="16" s="1"/>
  <c r="C633" i="16"/>
  <c r="E633" i="16"/>
  <c r="G633" i="16" s="1"/>
  <c r="C635" i="16"/>
  <c r="C636" i="16" a="1"/>
  <c r="C636" i="16" s="1"/>
  <c r="E636" i="16"/>
  <c r="G636" i="16" s="1"/>
  <c r="C637" i="16" a="1"/>
  <c r="C637" i="16" s="1"/>
  <c r="E637" i="16"/>
  <c r="G637" i="16" s="1"/>
  <c r="B639" i="16"/>
  <c r="C639" i="16"/>
  <c r="E639" i="16"/>
  <c r="C642" i="16"/>
  <c r="E642" i="16"/>
  <c r="G642" i="16" s="1"/>
  <c r="C643" i="16"/>
  <c r="E643" i="16"/>
  <c r="G643" i="16" s="1"/>
  <c r="C644" i="16"/>
  <c r="E644" i="16"/>
  <c r="G644" i="16" s="1"/>
  <c r="C645" i="16"/>
  <c r="E645" i="16"/>
  <c r="G645" i="16" s="1"/>
  <c r="C646" i="16"/>
  <c r="E646" i="16"/>
  <c r="G646" i="16" s="1"/>
  <c r="C648" i="16"/>
  <c r="C649" i="16"/>
  <c r="E649" i="16" s="1"/>
  <c r="G649" i="16" s="1"/>
  <c r="C650" i="16"/>
  <c r="E650" i="16" s="1"/>
  <c r="G650" i="16" s="1"/>
  <c r="C652" i="16"/>
  <c r="E652" i="16"/>
  <c r="G652" i="16" s="1"/>
  <c r="C653" i="16"/>
  <c r="E653" i="16"/>
  <c r="G653" i="16" s="1"/>
  <c r="C655" i="16"/>
  <c r="C656" i="16" a="1"/>
  <c r="C656" i="16" s="1"/>
  <c r="E656" i="16"/>
  <c r="G656" i="16" s="1"/>
  <c r="C657" i="16" a="1"/>
  <c r="C657" i="16" s="1"/>
  <c r="E657" i="16"/>
  <c r="G657" i="16" s="1"/>
  <c r="B659" i="16"/>
  <c r="C659" i="16"/>
  <c r="E659" i="16"/>
  <c r="C662" i="16"/>
  <c r="E662" i="16"/>
  <c r="G662" i="16" s="1"/>
  <c r="C663" i="16"/>
  <c r="E663" i="16"/>
  <c r="G663" i="16" s="1"/>
  <c r="C664" i="16"/>
  <c r="E664" i="16"/>
  <c r="G664" i="16" s="1"/>
  <c r="C665" i="16"/>
  <c r="E665" i="16"/>
  <c r="G665" i="16" s="1"/>
  <c r="C666" i="16"/>
  <c r="E666" i="16"/>
  <c r="G666" i="16" s="1"/>
  <c r="C668" i="16"/>
  <c r="C669" i="16"/>
  <c r="E669" i="16" s="1"/>
  <c r="G669" i="16" s="1"/>
  <c r="C670" i="16"/>
  <c r="E670" i="16" s="1"/>
  <c r="G670" i="16" s="1"/>
  <c r="C672" i="16"/>
  <c r="E672" i="16"/>
  <c r="G672" i="16" s="1"/>
  <c r="C673" i="16"/>
  <c r="E673" i="16"/>
  <c r="G673" i="16" s="1"/>
  <c r="C675" i="16"/>
  <c r="C676" i="16" a="1"/>
  <c r="C676" i="16" s="1"/>
  <c r="E676" i="16"/>
  <c r="G676" i="16" s="1"/>
  <c r="C677" i="16" a="1"/>
  <c r="C677" i="16" s="1"/>
  <c r="E677" i="16"/>
  <c r="G677" i="16" s="1"/>
  <c r="B679" i="16"/>
  <c r="C679" i="16"/>
  <c r="E679" i="16"/>
  <c r="C682" i="16"/>
  <c r="E682" i="16"/>
  <c r="G682" i="16" s="1"/>
  <c r="C683" i="16"/>
  <c r="E683" i="16"/>
  <c r="G683" i="16" s="1"/>
  <c r="C684" i="16"/>
  <c r="E684" i="16"/>
  <c r="G684" i="16" s="1"/>
  <c r="C685" i="16"/>
  <c r="E685" i="16"/>
  <c r="G685" i="16" s="1"/>
  <c r="C686" i="16"/>
  <c r="E686" i="16"/>
  <c r="G686" i="16" s="1"/>
  <c r="C688" i="16"/>
  <c r="C689" i="16"/>
  <c r="E689" i="16" s="1"/>
  <c r="G689" i="16" s="1"/>
  <c r="C690" i="16"/>
  <c r="E690" i="16" s="1"/>
  <c r="G690" i="16" s="1"/>
  <c r="C692" i="16"/>
  <c r="E692" i="16"/>
  <c r="G692" i="16" s="1"/>
  <c r="C693" i="16"/>
  <c r="E693" i="16"/>
  <c r="G693" i="16" s="1"/>
  <c r="C695" i="16"/>
  <c r="C696" i="16" a="1"/>
  <c r="C696" i="16" s="1"/>
  <c r="E696" i="16"/>
  <c r="G696" i="16" s="1"/>
  <c r="C697" i="16" a="1"/>
  <c r="C697" i="16" s="1"/>
  <c r="E697" i="16"/>
  <c r="G697" i="16" s="1"/>
  <c r="B699" i="16"/>
  <c r="C699" i="16"/>
  <c r="E699" i="16"/>
  <c r="C702" i="16"/>
  <c r="E702" i="16"/>
  <c r="G702" i="16" s="1"/>
  <c r="C703" i="16"/>
  <c r="E703" i="16"/>
  <c r="G703" i="16" s="1"/>
  <c r="C704" i="16"/>
  <c r="E704" i="16"/>
  <c r="G704" i="16" s="1"/>
  <c r="C705" i="16"/>
  <c r="E705" i="16"/>
  <c r="G705" i="16" s="1"/>
  <c r="C706" i="16"/>
  <c r="E706" i="16"/>
  <c r="G706" i="16" s="1"/>
  <c r="C708" i="16"/>
  <c r="C709" i="16"/>
  <c r="E709" i="16" s="1"/>
  <c r="G709" i="16" s="1"/>
  <c r="C710" i="16"/>
  <c r="E710" i="16" s="1"/>
  <c r="G710" i="16" s="1"/>
  <c r="C712" i="16"/>
  <c r="E712" i="16"/>
  <c r="G712" i="16" s="1"/>
  <c r="C713" i="16"/>
  <c r="E713" i="16"/>
  <c r="G713" i="16" s="1"/>
  <c r="C715" i="16"/>
  <c r="C716" i="16" a="1"/>
  <c r="C716" i="16" s="1"/>
  <c r="E716" i="16"/>
  <c r="G716" i="16" s="1"/>
  <c r="C717" i="16" a="1"/>
  <c r="C717" i="16" s="1"/>
  <c r="E717" i="16"/>
  <c r="G717" i="16" s="1"/>
  <c r="B719" i="16"/>
  <c r="C719" i="16"/>
  <c r="E719" i="16"/>
  <c r="C722" i="16"/>
  <c r="E722" i="16"/>
  <c r="G722" i="16" s="1"/>
  <c r="C723" i="16"/>
  <c r="E723" i="16"/>
  <c r="G723" i="16" s="1"/>
  <c r="C724" i="16"/>
  <c r="E724" i="16"/>
  <c r="G724" i="16" s="1"/>
  <c r="C725" i="16"/>
  <c r="E725" i="16"/>
  <c r="G725" i="16" s="1"/>
  <c r="C726" i="16"/>
  <c r="E726" i="16"/>
  <c r="G726" i="16" s="1"/>
  <c r="C728" i="16"/>
  <c r="C729" i="16"/>
  <c r="E729" i="16" s="1"/>
  <c r="G729" i="16" s="1"/>
  <c r="C730" i="16"/>
  <c r="E730" i="16" s="1"/>
  <c r="G730" i="16" s="1"/>
  <c r="C732" i="16"/>
  <c r="E732" i="16"/>
  <c r="G732" i="16" s="1"/>
  <c r="C733" i="16"/>
  <c r="E733" i="16"/>
  <c r="G733" i="16" s="1"/>
  <c r="C735" i="16"/>
  <c r="C736" i="16" a="1"/>
  <c r="C736" i="16" s="1"/>
  <c r="E736" i="16"/>
  <c r="G736" i="16" s="1"/>
  <c r="C737" i="16" a="1"/>
  <c r="C737" i="16" s="1"/>
  <c r="E737" i="16"/>
  <c r="G737" i="16" s="1"/>
  <c r="B739" i="16"/>
  <c r="C739" i="16"/>
  <c r="E739" i="16"/>
  <c r="C742" i="16"/>
  <c r="E742" i="16"/>
  <c r="G742" i="16" s="1"/>
  <c r="C743" i="16"/>
  <c r="E743" i="16"/>
  <c r="G743" i="16" s="1"/>
  <c r="C744" i="16"/>
  <c r="E744" i="16"/>
  <c r="G744" i="16" s="1"/>
  <c r="C745" i="16"/>
  <c r="E745" i="16"/>
  <c r="G745" i="16" s="1"/>
  <c r="C746" i="16"/>
  <c r="E746" i="16"/>
  <c r="G746" i="16" s="1"/>
  <c r="C748" i="16"/>
  <c r="C749" i="16"/>
  <c r="E749" i="16" s="1"/>
  <c r="G749" i="16" s="1"/>
  <c r="C750" i="16"/>
  <c r="E750" i="16" s="1"/>
  <c r="G750" i="16" s="1"/>
  <c r="C752" i="16"/>
  <c r="E752" i="16"/>
  <c r="G752" i="16" s="1"/>
  <c r="C753" i="16"/>
  <c r="E753" i="16"/>
  <c r="G753" i="16" s="1"/>
  <c r="C755" i="16"/>
  <c r="C756" i="16" a="1"/>
  <c r="C756" i="16" s="1"/>
  <c r="E756" i="16"/>
  <c r="G756" i="16" s="1"/>
  <c r="C757" i="16" a="1"/>
  <c r="C757" i="16" s="1"/>
  <c r="E757" i="16"/>
  <c r="G757" i="16" s="1"/>
  <c r="B759" i="16"/>
  <c r="C759" i="16"/>
  <c r="E759" i="16"/>
  <c r="C762" i="16"/>
  <c r="E762" i="16"/>
  <c r="G762" i="16" s="1"/>
  <c r="C763" i="16"/>
  <c r="E763" i="16"/>
  <c r="G763" i="16" s="1"/>
  <c r="C764" i="16"/>
  <c r="E764" i="16"/>
  <c r="G764" i="16" s="1"/>
  <c r="C765" i="16"/>
  <c r="E765" i="16"/>
  <c r="G765" i="16" s="1"/>
  <c r="C766" i="16"/>
  <c r="E766" i="16"/>
  <c r="G766" i="16" s="1"/>
  <c r="C768" i="16"/>
  <c r="C769" i="16"/>
  <c r="E769" i="16" s="1"/>
  <c r="G769" i="16" s="1"/>
  <c r="C770" i="16"/>
  <c r="E770" i="16" s="1"/>
  <c r="G770" i="16" s="1"/>
  <c r="C772" i="16"/>
  <c r="E772" i="16"/>
  <c r="G772" i="16" s="1"/>
  <c r="C773" i="16"/>
  <c r="E773" i="16"/>
  <c r="G773" i="16" s="1"/>
  <c r="C775" i="16"/>
  <c r="C776" i="16" a="1"/>
  <c r="C776" i="16" s="1"/>
  <c r="E776" i="16"/>
  <c r="G776" i="16" s="1"/>
  <c r="C777" i="16" a="1"/>
  <c r="C777" i="16" s="1"/>
  <c r="E777" i="16"/>
  <c r="G777" i="16" s="1"/>
  <c r="B779" i="16"/>
  <c r="C779" i="16"/>
  <c r="E779" i="16"/>
  <c r="C782" i="16"/>
  <c r="E782" i="16"/>
  <c r="G782" i="16" s="1"/>
  <c r="C783" i="16"/>
  <c r="E783" i="16"/>
  <c r="G783" i="16" s="1"/>
  <c r="C784" i="16"/>
  <c r="E784" i="16"/>
  <c r="G784" i="16" s="1"/>
  <c r="C785" i="16"/>
  <c r="E785" i="16"/>
  <c r="G785" i="16" s="1"/>
  <c r="C786" i="16"/>
  <c r="E786" i="16"/>
  <c r="G786" i="16" s="1"/>
  <c r="C788" i="16"/>
  <c r="C789" i="16"/>
  <c r="E789" i="16" s="1"/>
  <c r="G789" i="16" s="1"/>
  <c r="C790" i="16"/>
  <c r="E790" i="16" s="1"/>
  <c r="G790" i="16" s="1"/>
  <c r="C792" i="16"/>
  <c r="E792" i="16"/>
  <c r="G792" i="16" s="1"/>
  <c r="C793" i="16"/>
  <c r="E793" i="16"/>
  <c r="G793" i="16" s="1"/>
  <c r="C795" i="16"/>
  <c r="C796" i="16" a="1"/>
  <c r="C796" i="16" s="1"/>
  <c r="E796" i="16"/>
  <c r="G796" i="16" s="1"/>
  <c r="C797" i="16" a="1"/>
  <c r="C797" i="16" s="1"/>
  <c r="E797" i="16"/>
  <c r="G797" i="16" s="1"/>
  <c r="B799" i="16"/>
  <c r="C799" i="16"/>
  <c r="E799" i="16"/>
  <c r="C802" i="16"/>
  <c r="E802" i="16"/>
  <c r="G802" i="16" s="1"/>
  <c r="C803" i="16"/>
  <c r="E803" i="16"/>
  <c r="G803" i="16" s="1"/>
  <c r="C804" i="16"/>
  <c r="E804" i="16"/>
  <c r="G804" i="16" s="1"/>
  <c r="C805" i="16"/>
  <c r="E805" i="16"/>
  <c r="G805" i="16" s="1"/>
  <c r="C806" i="16"/>
  <c r="E806" i="16"/>
  <c r="G806" i="16" s="1"/>
  <c r="C808" i="16"/>
  <c r="C809" i="16"/>
  <c r="E809" i="16" s="1"/>
  <c r="G809" i="16" s="1"/>
  <c r="C810" i="16"/>
  <c r="E810" i="16" s="1"/>
  <c r="G810" i="16" s="1"/>
  <c r="C812" i="16"/>
  <c r="E812" i="16"/>
  <c r="G812" i="16" s="1"/>
  <c r="C813" i="16"/>
  <c r="E813" i="16"/>
  <c r="G813" i="16" s="1"/>
  <c r="C815" i="16"/>
  <c r="C816" i="16" a="1"/>
  <c r="C816" i="16" s="1"/>
  <c r="E816" i="16"/>
  <c r="G816" i="16" s="1"/>
  <c r="C817" i="16" a="1"/>
  <c r="C817" i="16" s="1"/>
  <c r="E817" i="16"/>
  <c r="G817" i="16" s="1"/>
  <c r="B819" i="16"/>
  <c r="C819" i="16"/>
  <c r="E819" i="16"/>
  <c r="C822" i="16"/>
  <c r="E822" i="16"/>
  <c r="G822" i="16" s="1"/>
  <c r="C823" i="16"/>
  <c r="E823" i="16"/>
  <c r="G823" i="16" s="1"/>
  <c r="C824" i="16"/>
  <c r="E824" i="16"/>
  <c r="G824" i="16" s="1"/>
  <c r="C825" i="16"/>
  <c r="E825" i="16"/>
  <c r="G825" i="16" s="1"/>
  <c r="C826" i="16"/>
  <c r="E826" i="16"/>
  <c r="G826" i="16" s="1"/>
  <c r="C828" i="16"/>
  <c r="C829" i="16"/>
  <c r="E829" i="16" s="1"/>
  <c r="G829" i="16" s="1"/>
  <c r="C830" i="16"/>
  <c r="E830" i="16" s="1"/>
  <c r="G830" i="16" s="1"/>
  <c r="C832" i="16"/>
  <c r="E832" i="16"/>
  <c r="G832" i="16" s="1"/>
  <c r="C833" i="16"/>
  <c r="E833" i="16"/>
  <c r="G833" i="16" s="1"/>
  <c r="C835" i="16"/>
  <c r="C836" i="16" a="1"/>
  <c r="C836" i="16" s="1"/>
  <c r="E836" i="16"/>
  <c r="G836" i="16" s="1"/>
  <c r="C837" i="16" a="1"/>
  <c r="C837" i="16" s="1"/>
  <c r="E837" i="16"/>
  <c r="G837" i="16" s="1"/>
  <c r="B839" i="16"/>
  <c r="C839" i="16"/>
  <c r="E839" i="16"/>
  <c r="C842" i="16"/>
  <c r="E842" i="16"/>
  <c r="G842" i="16" s="1"/>
  <c r="C843" i="16"/>
  <c r="E843" i="16"/>
  <c r="G843" i="16" s="1"/>
  <c r="C844" i="16"/>
  <c r="E844" i="16"/>
  <c r="G844" i="16" s="1"/>
  <c r="C845" i="16"/>
  <c r="E845" i="16"/>
  <c r="G845" i="16" s="1"/>
  <c r="C846" i="16"/>
  <c r="E846" i="16"/>
  <c r="G846" i="16" s="1"/>
  <c r="C848" i="16"/>
  <c r="C849" i="16"/>
  <c r="E849" i="16" s="1"/>
  <c r="G849" i="16" s="1"/>
  <c r="C850" i="16"/>
  <c r="E850" i="16" s="1"/>
  <c r="G850" i="16" s="1"/>
  <c r="C852" i="16"/>
  <c r="E852" i="16"/>
  <c r="G852" i="16" s="1"/>
  <c r="C853" i="16"/>
  <c r="E853" i="16"/>
  <c r="G853" i="16" s="1"/>
  <c r="C855" i="16"/>
  <c r="C856" i="16" a="1"/>
  <c r="C856" i="16" s="1"/>
  <c r="E856" i="16"/>
  <c r="G856" i="16" s="1"/>
  <c r="C857" i="16" a="1"/>
  <c r="C857" i="16" s="1"/>
  <c r="E857" i="16"/>
  <c r="G857" i="16" s="1"/>
  <c r="B859" i="16"/>
  <c r="C859" i="16"/>
  <c r="E859" i="16"/>
  <c r="C862" i="16"/>
  <c r="E862" i="16"/>
  <c r="G862" i="16" s="1"/>
  <c r="C863" i="16"/>
  <c r="E863" i="16"/>
  <c r="G863" i="16" s="1"/>
  <c r="C864" i="16"/>
  <c r="E864" i="16"/>
  <c r="G864" i="16" s="1"/>
  <c r="C865" i="16"/>
  <c r="E865" i="16"/>
  <c r="G865" i="16" s="1"/>
  <c r="C866" i="16"/>
  <c r="E866" i="16"/>
  <c r="G866" i="16" s="1"/>
  <c r="C868" i="16"/>
  <c r="C869" i="16"/>
  <c r="E869" i="16" s="1"/>
  <c r="G869" i="16" s="1"/>
  <c r="C870" i="16"/>
  <c r="E870" i="16" s="1"/>
  <c r="G870" i="16" s="1"/>
  <c r="C872" i="16"/>
  <c r="E872" i="16"/>
  <c r="G872" i="16" s="1"/>
  <c r="C873" i="16"/>
  <c r="E873" i="16"/>
  <c r="G873" i="16" s="1"/>
  <c r="C875" i="16"/>
  <c r="C876" i="16" a="1"/>
  <c r="C876" i="16" s="1"/>
  <c r="E876" i="16"/>
  <c r="G876" i="16" s="1"/>
  <c r="C877" i="16" a="1"/>
  <c r="C877" i="16" s="1"/>
  <c r="E877" i="16"/>
  <c r="G877" i="16" s="1"/>
  <c r="B879" i="16"/>
  <c r="C879" i="16"/>
  <c r="E879" i="16"/>
  <c r="C882" i="16"/>
  <c r="E882" i="16"/>
  <c r="G882" i="16" s="1"/>
  <c r="C883" i="16"/>
  <c r="E883" i="16"/>
  <c r="G883" i="16" s="1"/>
  <c r="C884" i="16"/>
  <c r="E884" i="16"/>
  <c r="G884" i="16" s="1"/>
  <c r="C885" i="16"/>
  <c r="E885" i="16"/>
  <c r="G885" i="16" s="1"/>
  <c r="C886" i="16"/>
  <c r="E886" i="16"/>
  <c r="G886" i="16" s="1"/>
  <c r="C888" i="16"/>
  <c r="C889" i="16"/>
  <c r="E889" i="16" s="1"/>
  <c r="G889" i="16" s="1"/>
  <c r="C890" i="16"/>
  <c r="E890" i="16" s="1"/>
  <c r="G890" i="16" s="1"/>
  <c r="C892" i="16"/>
  <c r="E892" i="16"/>
  <c r="G892" i="16" s="1"/>
  <c r="C893" i="16"/>
  <c r="E893" i="16"/>
  <c r="G893" i="16" s="1"/>
  <c r="C895" i="16"/>
  <c r="C896" i="16" a="1"/>
  <c r="C896" i="16" s="1"/>
  <c r="E896" i="16"/>
  <c r="G896" i="16" s="1"/>
  <c r="C897" i="16" a="1"/>
  <c r="C897" i="16" s="1"/>
  <c r="E897" i="16"/>
  <c r="G897" i="16" s="1"/>
  <c r="B1020" i="13"/>
  <c r="C1020" i="13"/>
  <c r="E1020" i="13"/>
  <c r="C1023" i="13"/>
  <c r="E1023" i="13"/>
  <c r="G1023" i="13" s="1"/>
  <c r="C1024" i="13"/>
  <c r="E1024" i="13"/>
  <c r="G1024" i="13" s="1"/>
  <c r="C1025" i="13"/>
  <c r="E1025" i="13"/>
  <c r="G1025" i="13" s="1"/>
  <c r="C1026" i="13"/>
  <c r="E1026" i="13"/>
  <c r="G1026" i="13" s="1"/>
  <c r="C1027" i="13"/>
  <c r="E1027" i="13"/>
  <c r="G1027" i="13" s="1"/>
  <c r="C1029" i="13"/>
  <c r="C1030" i="13"/>
  <c r="E1030" i="13" s="1"/>
  <c r="G1030" i="13" s="1"/>
  <c r="C1031" i="13"/>
  <c r="E1031" i="13" s="1"/>
  <c r="G1031" i="13" s="1"/>
  <c r="C1033" i="13"/>
  <c r="E1033" i="13"/>
  <c r="G1033" i="13" s="1"/>
  <c r="C1034" i="13"/>
  <c r="E1034" i="13"/>
  <c r="G1034" i="13" s="1"/>
  <c r="C1036" i="13"/>
  <c r="C1037" i="13" a="1"/>
  <c r="C1037" i="13" s="1"/>
  <c r="E1037" i="13"/>
  <c r="G1037" i="13" s="1"/>
  <c r="C1038" i="13" a="1"/>
  <c r="C1038" i="13" s="1"/>
  <c r="E1038" i="13"/>
  <c r="G1038" i="13" s="1"/>
  <c r="B1040" i="13"/>
  <c r="C1040" i="13"/>
  <c r="E1040" i="13"/>
  <c r="C1043" i="13"/>
  <c r="E1043" i="13"/>
  <c r="G1043" i="13" s="1"/>
  <c r="C1044" i="13"/>
  <c r="E1044" i="13"/>
  <c r="G1044" i="13" s="1"/>
  <c r="C1045" i="13"/>
  <c r="E1045" i="13"/>
  <c r="G1045" i="13" s="1"/>
  <c r="C1046" i="13"/>
  <c r="E1046" i="13"/>
  <c r="G1046" i="13" s="1"/>
  <c r="C1047" i="13"/>
  <c r="E1047" i="13"/>
  <c r="G1047" i="13" s="1"/>
  <c r="C1049" i="13"/>
  <c r="C1050" i="13"/>
  <c r="C1051" i="13"/>
  <c r="E1051" i="13" s="1"/>
  <c r="G1051" i="13" s="1"/>
  <c r="C1053" i="13"/>
  <c r="E1053" i="13"/>
  <c r="G1053" i="13" s="1"/>
  <c r="C1054" i="13"/>
  <c r="E1054" i="13"/>
  <c r="G1054" i="13" s="1"/>
  <c r="C1056" i="13"/>
  <c r="C1057" i="13" a="1"/>
  <c r="C1057" i="13" s="1"/>
  <c r="E1057" i="13"/>
  <c r="G1057" i="13" s="1"/>
  <c r="C1058" i="13" a="1"/>
  <c r="C1058" i="13" s="1"/>
  <c r="E1058" i="13"/>
  <c r="G1058" i="13" s="1"/>
  <c r="B1060" i="13"/>
  <c r="C1060" i="13"/>
  <c r="E1060" i="13"/>
  <c r="C1063" i="13"/>
  <c r="E1063" i="13"/>
  <c r="G1063" i="13" s="1"/>
  <c r="C1064" i="13"/>
  <c r="E1064" i="13"/>
  <c r="G1064" i="13" s="1"/>
  <c r="C1065" i="13"/>
  <c r="E1065" i="13"/>
  <c r="G1065" i="13" s="1"/>
  <c r="C1066" i="13"/>
  <c r="E1066" i="13"/>
  <c r="G1066" i="13" s="1"/>
  <c r="C1067" i="13"/>
  <c r="E1067" i="13"/>
  <c r="G1067" i="13" s="1"/>
  <c r="C1069" i="13"/>
  <c r="C1070" i="13"/>
  <c r="C1071" i="13"/>
  <c r="E1071" i="13" s="1"/>
  <c r="G1071" i="13" s="1"/>
  <c r="C1073" i="13"/>
  <c r="E1073" i="13"/>
  <c r="G1073" i="13" s="1"/>
  <c r="C1074" i="13"/>
  <c r="E1074" i="13"/>
  <c r="G1074" i="13" s="1"/>
  <c r="C1076" i="13"/>
  <c r="C1077" i="13" a="1"/>
  <c r="C1077" i="13" s="1"/>
  <c r="E1077" i="13"/>
  <c r="G1077" i="13" s="1"/>
  <c r="C1078" i="13" a="1"/>
  <c r="C1078" i="13" s="1"/>
  <c r="E1078" i="13"/>
  <c r="G1078" i="13" s="1"/>
  <c r="B1080" i="13"/>
  <c r="C1080" i="13"/>
  <c r="E1080" i="13"/>
  <c r="C1083" i="13"/>
  <c r="E1083" i="13"/>
  <c r="G1083" i="13" s="1"/>
  <c r="C1084" i="13"/>
  <c r="E1084" i="13"/>
  <c r="G1084" i="13" s="1"/>
  <c r="C1085" i="13"/>
  <c r="E1085" i="13"/>
  <c r="G1085" i="13" s="1"/>
  <c r="C1086" i="13"/>
  <c r="E1086" i="13"/>
  <c r="G1086" i="13" s="1"/>
  <c r="C1087" i="13"/>
  <c r="E1087" i="13"/>
  <c r="G1087" i="13" s="1"/>
  <c r="C1089" i="13"/>
  <c r="C1090" i="13"/>
  <c r="E1090" i="13" s="1"/>
  <c r="G1090" i="13" s="1"/>
  <c r="C1091" i="13"/>
  <c r="E1091" i="13" s="1"/>
  <c r="G1091" i="13" s="1"/>
  <c r="C1093" i="13"/>
  <c r="E1093" i="13"/>
  <c r="G1093" i="13" s="1"/>
  <c r="C1094" i="13"/>
  <c r="E1094" i="13"/>
  <c r="G1094" i="13" s="1"/>
  <c r="C1096" i="13"/>
  <c r="C1097" i="13" a="1"/>
  <c r="C1097" i="13" s="1"/>
  <c r="E1097" i="13"/>
  <c r="G1097" i="13" s="1"/>
  <c r="C1098" i="13" a="1"/>
  <c r="C1098" i="13" s="1"/>
  <c r="E1098" i="13"/>
  <c r="G1098" i="13" s="1"/>
  <c r="B1100" i="13"/>
  <c r="C1100" i="13"/>
  <c r="E1100" i="13"/>
  <c r="C1103" i="13"/>
  <c r="E1103" i="13"/>
  <c r="G1103" i="13" s="1"/>
  <c r="C1104" i="13"/>
  <c r="E1104" i="13"/>
  <c r="G1104" i="13" s="1"/>
  <c r="C1105" i="13"/>
  <c r="E1105" i="13"/>
  <c r="G1105" i="13" s="1"/>
  <c r="C1106" i="13"/>
  <c r="E1106" i="13"/>
  <c r="G1106" i="13" s="1"/>
  <c r="C1107" i="13"/>
  <c r="E1107" i="13"/>
  <c r="G1107" i="13" s="1"/>
  <c r="C1109" i="13"/>
  <c r="C1110" i="13"/>
  <c r="E1110" i="13" s="1"/>
  <c r="G1110" i="13" s="1"/>
  <c r="C1111" i="13"/>
  <c r="E1111" i="13" s="1"/>
  <c r="G1111" i="13" s="1"/>
  <c r="C1113" i="13"/>
  <c r="E1113" i="13"/>
  <c r="G1113" i="13" s="1"/>
  <c r="C1114" i="13"/>
  <c r="E1114" i="13"/>
  <c r="G1114" i="13" s="1"/>
  <c r="C1116" i="13"/>
  <c r="C1117" i="13" a="1"/>
  <c r="C1117" i="13" s="1"/>
  <c r="E1117" i="13"/>
  <c r="G1117" i="13" s="1"/>
  <c r="C1118" i="13" a="1"/>
  <c r="C1118" i="13" s="1"/>
  <c r="E1118" i="13"/>
  <c r="G1118" i="13" s="1"/>
  <c r="B1120" i="13"/>
  <c r="C1120" i="13"/>
  <c r="E1120" i="13"/>
  <c r="C1123" i="13"/>
  <c r="E1123" i="13"/>
  <c r="G1123" i="13" s="1"/>
  <c r="C1124" i="13"/>
  <c r="E1124" i="13"/>
  <c r="G1124" i="13" s="1"/>
  <c r="C1125" i="13"/>
  <c r="E1125" i="13"/>
  <c r="G1125" i="13" s="1"/>
  <c r="C1126" i="13"/>
  <c r="E1126" i="13"/>
  <c r="G1126" i="13" s="1"/>
  <c r="C1127" i="13"/>
  <c r="E1127" i="13"/>
  <c r="G1127" i="13" s="1"/>
  <c r="C1129" i="13"/>
  <c r="C1130" i="13"/>
  <c r="E1130" i="13" s="1"/>
  <c r="G1130" i="13" s="1"/>
  <c r="C1131" i="13"/>
  <c r="E1131" i="13" s="1"/>
  <c r="G1131" i="13" s="1"/>
  <c r="C1133" i="13"/>
  <c r="E1133" i="13"/>
  <c r="G1133" i="13" s="1"/>
  <c r="C1134" i="13"/>
  <c r="E1134" i="13"/>
  <c r="G1134" i="13" s="1"/>
  <c r="C1136" i="13"/>
  <c r="C1137" i="13" a="1"/>
  <c r="C1137" i="13" s="1"/>
  <c r="E1137" i="13"/>
  <c r="G1137" i="13" s="1"/>
  <c r="C1138" i="13" a="1"/>
  <c r="C1138" i="13" s="1"/>
  <c r="E1138" i="13"/>
  <c r="G1138" i="13" s="1"/>
  <c r="B1140" i="13"/>
  <c r="C1140" i="13"/>
  <c r="E1140" i="13"/>
  <c r="C1143" i="13"/>
  <c r="E1143" i="13"/>
  <c r="G1143" i="13" s="1"/>
  <c r="C1144" i="13"/>
  <c r="E1144" i="13"/>
  <c r="G1144" i="13" s="1"/>
  <c r="C1145" i="13"/>
  <c r="E1145" i="13"/>
  <c r="G1145" i="13" s="1"/>
  <c r="C1146" i="13"/>
  <c r="E1146" i="13"/>
  <c r="G1146" i="13" s="1"/>
  <c r="C1147" i="13"/>
  <c r="E1147" i="13"/>
  <c r="G1147" i="13" s="1"/>
  <c r="C1149" i="13"/>
  <c r="C1150" i="13"/>
  <c r="E1150" i="13" s="1"/>
  <c r="G1150" i="13" s="1"/>
  <c r="C1151" i="13"/>
  <c r="E1151" i="13" s="1"/>
  <c r="G1151" i="13" s="1"/>
  <c r="C1153" i="13"/>
  <c r="E1153" i="13"/>
  <c r="G1153" i="13" s="1"/>
  <c r="C1154" i="13"/>
  <c r="E1154" i="13"/>
  <c r="G1154" i="13" s="1"/>
  <c r="C1156" i="13"/>
  <c r="C1157" i="13" a="1"/>
  <c r="C1157" i="13" s="1"/>
  <c r="E1157" i="13"/>
  <c r="G1157" i="13" s="1"/>
  <c r="C1158" i="13" a="1"/>
  <c r="C1158" i="13" s="1"/>
  <c r="E1158" i="13"/>
  <c r="G1158" i="13" s="1"/>
  <c r="B1160" i="13"/>
  <c r="C1160" i="13"/>
  <c r="E1160" i="13"/>
  <c r="C1163" i="13"/>
  <c r="E1163" i="13"/>
  <c r="G1163" i="13" s="1"/>
  <c r="C1164" i="13"/>
  <c r="E1164" i="13"/>
  <c r="G1164" i="13" s="1"/>
  <c r="C1165" i="13"/>
  <c r="E1165" i="13"/>
  <c r="G1165" i="13" s="1"/>
  <c r="C1166" i="13"/>
  <c r="E1166" i="13"/>
  <c r="G1166" i="13" s="1"/>
  <c r="C1167" i="13"/>
  <c r="E1167" i="13"/>
  <c r="G1167" i="13" s="1"/>
  <c r="C1169" i="13"/>
  <c r="C1170" i="13"/>
  <c r="E1170" i="13" s="1"/>
  <c r="G1170" i="13" s="1"/>
  <c r="C1171" i="13"/>
  <c r="E1171" i="13" s="1"/>
  <c r="G1171" i="13" s="1"/>
  <c r="C1173" i="13"/>
  <c r="E1173" i="13"/>
  <c r="G1173" i="13" s="1"/>
  <c r="C1174" i="13"/>
  <c r="E1174" i="13"/>
  <c r="G1174" i="13" s="1"/>
  <c r="C1176" i="13"/>
  <c r="C1177" i="13" a="1"/>
  <c r="C1177" i="13" s="1"/>
  <c r="E1177" i="13"/>
  <c r="G1177" i="13" s="1"/>
  <c r="C1178" i="13" a="1"/>
  <c r="C1178" i="13" s="1"/>
  <c r="E1178" i="13"/>
  <c r="G1178" i="13" s="1"/>
  <c r="B1180" i="13"/>
  <c r="C1180" i="13"/>
  <c r="E1180" i="13"/>
  <c r="C1183" i="13"/>
  <c r="E1183" i="13"/>
  <c r="G1183" i="13" s="1"/>
  <c r="C1184" i="13"/>
  <c r="E1184" i="13"/>
  <c r="G1184" i="13" s="1"/>
  <c r="C1185" i="13"/>
  <c r="E1185" i="13"/>
  <c r="G1185" i="13" s="1"/>
  <c r="C1186" i="13"/>
  <c r="E1186" i="13"/>
  <c r="G1186" i="13" s="1"/>
  <c r="C1187" i="13"/>
  <c r="E1187" i="13"/>
  <c r="G1187" i="13" s="1"/>
  <c r="C1189" i="13"/>
  <c r="C1190" i="13"/>
  <c r="E1190" i="13" s="1"/>
  <c r="G1190" i="13" s="1"/>
  <c r="C1191" i="13"/>
  <c r="E1191" i="13" s="1"/>
  <c r="G1191" i="13" s="1"/>
  <c r="C1193" i="13"/>
  <c r="E1193" i="13"/>
  <c r="G1193" i="13" s="1"/>
  <c r="C1194" i="13"/>
  <c r="E1194" i="13"/>
  <c r="G1194" i="13" s="1"/>
  <c r="C1196" i="13"/>
  <c r="C1197" i="13" a="1"/>
  <c r="C1197" i="13" s="1"/>
  <c r="E1197" i="13"/>
  <c r="G1197" i="13" s="1"/>
  <c r="C1198" i="13" a="1"/>
  <c r="C1198" i="13" s="1"/>
  <c r="E1198" i="13"/>
  <c r="G1198" i="13" s="1"/>
  <c r="B1200" i="13"/>
  <c r="C1200" i="13"/>
  <c r="E1200" i="13"/>
  <c r="C1203" i="13"/>
  <c r="C1204" i="13"/>
  <c r="E1204" i="13"/>
  <c r="G1204" i="13" s="1"/>
  <c r="C1205" i="13"/>
  <c r="E1205" i="13"/>
  <c r="G1205" i="13" s="1"/>
  <c r="C1206" i="13"/>
  <c r="E1206" i="13"/>
  <c r="G1206" i="13" s="1"/>
  <c r="C1207" i="13"/>
  <c r="E1207" i="13"/>
  <c r="G1207" i="13" s="1"/>
  <c r="C1209" i="13"/>
  <c r="C1210" i="13"/>
  <c r="E1210" i="13" s="1"/>
  <c r="G1210" i="13" s="1"/>
  <c r="C1211" i="13"/>
  <c r="E1211" i="13" s="1"/>
  <c r="G1211" i="13" s="1"/>
  <c r="C1213" i="13"/>
  <c r="E1213" i="13"/>
  <c r="G1213" i="13" s="1"/>
  <c r="C1214" i="13"/>
  <c r="E1214" i="13"/>
  <c r="G1214" i="13" s="1"/>
  <c r="C1216" i="13"/>
  <c r="C1217" i="13" a="1"/>
  <c r="C1217" i="13" s="1"/>
  <c r="E1217" i="13"/>
  <c r="G1217" i="13" s="1"/>
  <c r="C1218" i="13" a="1"/>
  <c r="C1218" i="13" s="1"/>
  <c r="E1218" i="13"/>
  <c r="G1218" i="13" s="1"/>
  <c r="B1220" i="13"/>
  <c r="C1220" i="13"/>
  <c r="E1220" i="13"/>
  <c r="C1223" i="13"/>
  <c r="E1223" i="13"/>
  <c r="G1223" i="13" s="1"/>
  <c r="C1224" i="13"/>
  <c r="E1224" i="13"/>
  <c r="G1224" i="13" s="1"/>
  <c r="C1225" i="13"/>
  <c r="E1225" i="13"/>
  <c r="G1225" i="13" s="1"/>
  <c r="C1226" i="13"/>
  <c r="E1226" i="13"/>
  <c r="G1226" i="13" s="1"/>
  <c r="C1227" i="13"/>
  <c r="E1227" i="13"/>
  <c r="G1227" i="13" s="1"/>
  <c r="C1229" i="13"/>
  <c r="C1230" i="13"/>
  <c r="E1230" i="13" s="1"/>
  <c r="G1230" i="13" s="1"/>
  <c r="C1231" i="13"/>
  <c r="E1231" i="13" s="1"/>
  <c r="G1231" i="13" s="1"/>
  <c r="C1233" i="13"/>
  <c r="E1233" i="13"/>
  <c r="G1233" i="13" s="1"/>
  <c r="C1234" i="13"/>
  <c r="E1234" i="13"/>
  <c r="G1234" i="13" s="1"/>
  <c r="C1236" i="13"/>
  <c r="C1237" i="13" a="1"/>
  <c r="C1237" i="13" s="1"/>
  <c r="E1237" i="13"/>
  <c r="G1237" i="13" s="1"/>
  <c r="C1238" i="13" a="1"/>
  <c r="C1238" i="13" s="1"/>
  <c r="E1238" i="13"/>
  <c r="G1238" i="13" s="1"/>
  <c r="B1240" i="13"/>
  <c r="C1240" i="13"/>
  <c r="E1240" i="13"/>
  <c r="C1243" i="13"/>
  <c r="E1243" i="13"/>
  <c r="G1243" i="13" s="1"/>
  <c r="C1244" i="13"/>
  <c r="E1244" i="13"/>
  <c r="G1244" i="13" s="1"/>
  <c r="C1245" i="13"/>
  <c r="E1245" i="13"/>
  <c r="G1245" i="13" s="1"/>
  <c r="C1246" i="13"/>
  <c r="E1246" i="13"/>
  <c r="G1246" i="13" s="1"/>
  <c r="C1247" i="13"/>
  <c r="E1247" i="13"/>
  <c r="G1247" i="13" s="1"/>
  <c r="C1249" i="13"/>
  <c r="C1250" i="13"/>
  <c r="E1250" i="13" s="1"/>
  <c r="G1250" i="13" s="1"/>
  <c r="C1251" i="13"/>
  <c r="E1251" i="13" s="1"/>
  <c r="G1251" i="13" s="1"/>
  <c r="C1253" i="13"/>
  <c r="E1253" i="13"/>
  <c r="G1253" i="13" s="1"/>
  <c r="C1254" i="13"/>
  <c r="E1254" i="13"/>
  <c r="G1254" i="13" s="1"/>
  <c r="C1256" i="13"/>
  <c r="C1257" i="13" a="1"/>
  <c r="C1257" i="13" s="1"/>
  <c r="E1257" i="13"/>
  <c r="G1257" i="13" s="1"/>
  <c r="C1258" i="13" a="1"/>
  <c r="C1258" i="13" s="1"/>
  <c r="E1258" i="13"/>
  <c r="G1258" i="13" s="1"/>
  <c r="B1260" i="13"/>
  <c r="C1260" i="13"/>
  <c r="E1260" i="13"/>
  <c r="C1263" i="13"/>
  <c r="E1263" i="13"/>
  <c r="G1263" i="13" s="1"/>
  <c r="C1264" i="13"/>
  <c r="E1264" i="13"/>
  <c r="G1264" i="13" s="1"/>
  <c r="C1265" i="13"/>
  <c r="E1265" i="13"/>
  <c r="G1265" i="13" s="1"/>
  <c r="C1266" i="13"/>
  <c r="E1266" i="13"/>
  <c r="G1266" i="13" s="1"/>
  <c r="C1267" i="13"/>
  <c r="E1267" i="13"/>
  <c r="G1267" i="13" s="1"/>
  <c r="C1269" i="13"/>
  <c r="C1270" i="13"/>
  <c r="E1270" i="13" s="1"/>
  <c r="G1270" i="13" s="1"/>
  <c r="C1271" i="13"/>
  <c r="E1271" i="13" s="1"/>
  <c r="G1271" i="13" s="1"/>
  <c r="C1273" i="13"/>
  <c r="E1273" i="13"/>
  <c r="G1273" i="13" s="1"/>
  <c r="C1274" i="13"/>
  <c r="E1274" i="13"/>
  <c r="G1274" i="13" s="1"/>
  <c r="C1276" i="13"/>
  <c r="C1277" i="13" a="1"/>
  <c r="C1277" i="13" s="1"/>
  <c r="E1277" i="13"/>
  <c r="G1277" i="13" s="1"/>
  <c r="C1278" i="13" a="1"/>
  <c r="C1278" i="13" s="1"/>
  <c r="E1278" i="13"/>
  <c r="G1278" i="13" s="1"/>
  <c r="B1280" i="13"/>
  <c r="C1280" i="13"/>
  <c r="E1280" i="13"/>
  <c r="C1283" i="13"/>
  <c r="E1283" i="13"/>
  <c r="G1283" i="13" s="1"/>
  <c r="C1284" i="13"/>
  <c r="E1284" i="13"/>
  <c r="G1284" i="13" s="1"/>
  <c r="C1285" i="13"/>
  <c r="E1285" i="13"/>
  <c r="G1285" i="13" s="1"/>
  <c r="C1286" i="13"/>
  <c r="E1286" i="13"/>
  <c r="G1286" i="13" s="1"/>
  <c r="C1287" i="13"/>
  <c r="E1287" i="13"/>
  <c r="G1287" i="13" s="1"/>
  <c r="C1289" i="13"/>
  <c r="C1290" i="13"/>
  <c r="E1290" i="13" s="1"/>
  <c r="G1290" i="13" s="1"/>
  <c r="C1291" i="13"/>
  <c r="E1291" i="13" s="1"/>
  <c r="G1291" i="13" s="1"/>
  <c r="C1293" i="13"/>
  <c r="E1293" i="13"/>
  <c r="G1293" i="13" s="1"/>
  <c r="C1294" i="13"/>
  <c r="E1294" i="13"/>
  <c r="G1294" i="13" s="1"/>
  <c r="C1296" i="13"/>
  <c r="C1297" i="13" a="1"/>
  <c r="C1297" i="13" s="1"/>
  <c r="E1297" i="13"/>
  <c r="G1297" i="13" s="1"/>
  <c r="C1298" i="13" a="1"/>
  <c r="C1298" i="13" s="1"/>
  <c r="E1298" i="13"/>
  <c r="G1298" i="13" s="1"/>
  <c r="B1300" i="13"/>
  <c r="C1300" i="13"/>
  <c r="E1300" i="13"/>
  <c r="C1303" i="13"/>
  <c r="E1303" i="13"/>
  <c r="G1303" i="13" s="1"/>
  <c r="C1304" i="13"/>
  <c r="E1304" i="13"/>
  <c r="G1304" i="13" s="1"/>
  <c r="C1305" i="13"/>
  <c r="E1305" i="13"/>
  <c r="G1305" i="13" s="1"/>
  <c r="C1306" i="13"/>
  <c r="E1306" i="13"/>
  <c r="G1306" i="13" s="1"/>
  <c r="C1307" i="13"/>
  <c r="E1307" i="13"/>
  <c r="G1307" i="13" s="1"/>
  <c r="C1309" i="13"/>
  <c r="C1310" i="13"/>
  <c r="E1310" i="13" s="1"/>
  <c r="G1310" i="13" s="1"/>
  <c r="C1311" i="13"/>
  <c r="E1311" i="13" s="1"/>
  <c r="G1311" i="13" s="1"/>
  <c r="C1313" i="13"/>
  <c r="E1313" i="13"/>
  <c r="G1313" i="13" s="1"/>
  <c r="C1314" i="13"/>
  <c r="E1314" i="13"/>
  <c r="G1314" i="13" s="1"/>
  <c r="C1316" i="13"/>
  <c r="C1317" i="13" a="1"/>
  <c r="C1317" i="13" s="1"/>
  <c r="E1317" i="13"/>
  <c r="G1317" i="13" s="1"/>
  <c r="C1318" i="13" a="1"/>
  <c r="C1318" i="13" s="1"/>
  <c r="E1318" i="13"/>
  <c r="G1318" i="13" s="1"/>
  <c r="B1320" i="13"/>
  <c r="C1320" i="13"/>
  <c r="E1320" i="13"/>
  <c r="C1323" i="13"/>
  <c r="E1323" i="13"/>
  <c r="G1323" i="13" s="1"/>
  <c r="C1324" i="13"/>
  <c r="E1324" i="13"/>
  <c r="G1324" i="13" s="1"/>
  <c r="C1325" i="13"/>
  <c r="E1325" i="13"/>
  <c r="G1325" i="13" s="1"/>
  <c r="C1326" i="13"/>
  <c r="E1326" i="13"/>
  <c r="G1326" i="13" s="1"/>
  <c r="C1327" i="13"/>
  <c r="E1327" i="13"/>
  <c r="G1327" i="13" s="1"/>
  <c r="C1329" i="13"/>
  <c r="C1330" i="13"/>
  <c r="E1330" i="13" s="1"/>
  <c r="G1330" i="13" s="1"/>
  <c r="C1331" i="13"/>
  <c r="E1331" i="13" s="1"/>
  <c r="G1331" i="13" s="1"/>
  <c r="C1333" i="13"/>
  <c r="E1333" i="13"/>
  <c r="G1333" i="13" s="1"/>
  <c r="C1334" i="13"/>
  <c r="E1334" i="13"/>
  <c r="G1334" i="13" s="1"/>
  <c r="C1336" i="13"/>
  <c r="C1337" i="13" a="1"/>
  <c r="C1337" i="13" s="1"/>
  <c r="E1337" i="13"/>
  <c r="G1337" i="13" s="1"/>
  <c r="C1338" i="13" a="1"/>
  <c r="C1338" i="13" s="1"/>
  <c r="E1338" i="13"/>
  <c r="G1338" i="13" s="1"/>
  <c r="B1340" i="13"/>
  <c r="C1340" i="13"/>
  <c r="E1340" i="13"/>
  <c r="C1343" i="13"/>
  <c r="E1343" i="13"/>
  <c r="G1343" i="13" s="1"/>
  <c r="C1344" i="13"/>
  <c r="E1344" i="13"/>
  <c r="G1344" i="13" s="1"/>
  <c r="C1345" i="13"/>
  <c r="E1345" i="13"/>
  <c r="G1345" i="13" s="1"/>
  <c r="C1346" i="13"/>
  <c r="E1346" i="13"/>
  <c r="G1346" i="13" s="1"/>
  <c r="C1347" i="13"/>
  <c r="E1347" i="13"/>
  <c r="G1347" i="13" s="1"/>
  <c r="C1349" i="13"/>
  <c r="C1350" i="13"/>
  <c r="E1350" i="13" s="1"/>
  <c r="G1350" i="13" s="1"/>
  <c r="C1351" i="13"/>
  <c r="E1351" i="13" s="1"/>
  <c r="G1351" i="13" s="1"/>
  <c r="C1353" i="13"/>
  <c r="E1353" i="13"/>
  <c r="G1353" i="13" s="1"/>
  <c r="C1354" i="13"/>
  <c r="E1354" i="13"/>
  <c r="G1354" i="13" s="1"/>
  <c r="C1356" i="13"/>
  <c r="C1357" i="13" a="1"/>
  <c r="C1357" i="13" s="1"/>
  <c r="E1357" i="13"/>
  <c r="G1357" i="13" s="1"/>
  <c r="C1358" i="13" a="1"/>
  <c r="C1358" i="13" s="1"/>
  <c r="E1358" i="13"/>
  <c r="G1358" i="13" s="1"/>
  <c r="B1360" i="13"/>
  <c r="C1360" i="13"/>
  <c r="E1360" i="13"/>
  <c r="C1363" i="13"/>
  <c r="E1363" i="13"/>
  <c r="G1363" i="13" s="1"/>
  <c r="C1364" i="13"/>
  <c r="E1364" i="13"/>
  <c r="G1364" i="13" s="1"/>
  <c r="C1365" i="13"/>
  <c r="E1365" i="13"/>
  <c r="G1365" i="13" s="1"/>
  <c r="C1366" i="13"/>
  <c r="E1366" i="13"/>
  <c r="G1366" i="13" s="1"/>
  <c r="C1367" i="13"/>
  <c r="E1367" i="13"/>
  <c r="G1367" i="13" s="1"/>
  <c r="C1369" i="13"/>
  <c r="C1370" i="13"/>
  <c r="E1370" i="13" s="1"/>
  <c r="G1370" i="13" s="1"/>
  <c r="C1371" i="13"/>
  <c r="E1371" i="13" s="1"/>
  <c r="G1371" i="13" s="1"/>
  <c r="C1373" i="13"/>
  <c r="E1373" i="13"/>
  <c r="G1373" i="13" s="1"/>
  <c r="C1374" i="13"/>
  <c r="E1374" i="13"/>
  <c r="G1374" i="13" s="1"/>
  <c r="C1376" i="13"/>
  <c r="C1377" i="13" a="1"/>
  <c r="C1377" i="13" s="1"/>
  <c r="E1377" i="13"/>
  <c r="G1377" i="13" s="1"/>
  <c r="C1378" i="13" a="1"/>
  <c r="C1378" i="13" s="1"/>
  <c r="E1378" i="13"/>
  <c r="G1378" i="13" s="1"/>
  <c r="B1380" i="13"/>
  <c r="C1380" i="13"/>
  <c r="E1380" i="13"/>
  <c r="C1383" i="13"/>
  <c r="E1383" i="13"/>
  <c r="G1383" i="13" s="1"/>
  <c r="C1384" i="13"/>
  <c r="E1384" i="13"/>
  <c r="G1384" i="13" s="1"/>
  <c r="C1385" i="13"/>
  <c r="E1385" i="13"/>
  <c r="G1385" i="13" s="1"/>
  <c r="C1386" i="13"/>
  <c r="E1386" i="13"/>
  <c r="G1386" i="13" s="1"/>
  <c r="C1387" i="13"/>
  <c r="E1387" i="13"/>
  <c r="G1387" i="13" s="1"/>
  <c r="C1389" i="13"/>
  <c r="C1390" i="13"/>
  <c r="E1390" i="13" s="1"/>
  <c r="G1390" i="13" s="1"/>
  <c r="C1391" i="13"/>
  <c r="E1391" i="13" s="1"/>
  <c r="G1391" i="13" s="1"/>
  <c r="C1393" i="13"/>
  <c r="E1393" i="13"/>
  <c r="G1393" i="13" s="1"/>
  <c r="C1394" i="13"/>
  <c r="E1394" i="13"/>
  <c r="G1394" i="13" s="1"/>
  <c r="C1396" i="13"/>
  <c r="C1397" i="13" a="1"/>
  <c r="C1397" i="13" s="1"/>
  <c r="E1397" i="13"/>
  <c r="G1397" i="13" s="1"/>
  <c r="C1398" i="13" a="1"/>
  <c r="C1398" i="13" s="1"/>
  <c r="E1398" i="13"/>
  <c r="G1398" i="13" s="1"/>
  <c r="B1400" i="13"/>
  <c r="C1400" i="13"/>
  <c r="E1400" i="13"/>
  <c r="C1403" i="13"/>
  <c r="E1403" i="13"/>
  <c r="G1403" i="13" s="1"/>
  <c r="C1404" i="13"/>
  <c r="E1404" i="13"/>
  <c r="G1404" i="13" s="1"/>
  <c r="C1405" i="13"/>
  <c r="E1405" i="13"/>
  <c r="G1405" i="13" s="1"/>
  <c r="C1406" i="13"/>
  <c r="E1406" i="13"/>
  <c r="G1406" i="13" s="1"/>
  <c r="C1407" i="13"/>
  <c r="E1407" i="13"/>
  <c r="G1407" i="13" s="1"/>
  <c r="C1409" i="13"/>
  <c r="C1410" i="13"/>
  <c r="E1410" i="13" s="1"/>
  <c r="G1410" i="13" s="1"/>
  <c r="C1411" i="13"/>
  <c r="E1411" i="13" s="1"/>
  <c r="G1411" i="13" s="1"/>
  <c r="C1413" i="13"/>
  <c r="E1413" i="13"/>
  <c r="G1413" i="13" s="1"/>
  <c r="C1414" i="13"/>
  <c r="E1414" i="13"/>
  <c r="G1414" i="13" s="1"/>
  <c r="C1416" i="13"/>
  <c r="C1417" i="13" a="1"/>
  <c r="C1417" i="13" s="1"/>
  <c r="E1417" i="13"/>
  <c r="G1417" i="13" s="1"/>
  <c r="C1418" i="13" a="1"/>
  <c r="C1418" i="13" s="1"/>
  <c r="E1418" i="13"/>
  <c r="G1418" i="13" s="1"/>
  <c r="B1420" i="13"/>
  <c r="C1420" i="13"/>
  <c r="E1420" i="13"/>
  <c r="C1423" i="13"/>
  <c r="E1423" i="13"/>
  <c r="G1423" i="13" s="1"/>
  <c r="C1424" i="13"/>
  <c r="E1424" i="13"/>
  <c r="G1424" i="13" s="1"/>
  <c r="C1425" i="13"/>
  <c r="E1425" i="13"/>
  <c r="G1425" i="13" s="1"/>
  <c r="C1426" i="13"/>
  <c r="E1426" i="13"/>
  <c r="G1426" i="13" s="1"/>
  <c r="C1427" i="13"/>
  <c r="E1427" i="13"/>
  <c r="G1427" i="13" s="1"/>
  <c r="C1429" i="13"/>
  <c r="C1430" i="13"/>
  <c r="E1430" i="13" s="1"/>
  <c r="G1430" i="13" s="1"/>
  <c r="C1431" i="13"/>
  <c r="E1431" i="13" s="1"/>
  <c r="G1431" i="13" s="1"/>
  <c r="C1433" i="13"/>
  <c r="E1433" i="13"/>
  <c r="G1433" i="13" s="1"/>
  <c r="C1434" i="13"/>
  <c r="E1434" i="13"/>
  <c r="G1434" i="13" s="1"/>
  <c r="C1436" i="13"/>
  <c r="C1437" i="13" a="1"/>
  <c r="C1437" i="13" s="1"/>
  <c r="E1437" i="13"/>
  <c r="G1437" i="13" s="1"/>
  <c r="C1438" i="13" a="1"/>
  <c r="C1438" i="13" s="1"/>
  <c r="E1438" i="13"/>
  <c r="G1438" i="13" s="1"/>
  <c r="B1440" i="13"/>
  <c r="C1440" i="13"/>
  <c r="E1440" i="13"/>
  <c r="C1443" i="13"/>
  <c r="E1443" i="13"/>
  <c r="G1443" i="13" s="1"/>
  <c r="C1444" i="13"/>
  <c r="E1444" i="13"/>
  <c r="G1444" i="13" s="1"/>
  <c r="C1445" i="13"/>
  <c r="E1445" i="13"/>
  <c r="G1445" i="13" s="1"/>
  <c r="C1446" i="13"/>
  <c r="E1446" i="13"/>
  <c r="G1446" i="13" s="1"/>
  <c r="C1447" i="13"/>
  <c r="E1447" i="13"/>
  <c r="G1447" i="13" s="1"/>
  <c r="C1449" i="13"/>
  <c r="C1450" i="13"/>
  <c r="E1450" i="13" s="1"/>
  <c r="G1450" i="13" s="1"/>
  <c r="C1451" i="13"/>
  <c r="E1451" i="13" s="1"/>
  <c r="G1451" i="13" s="1"/>
  <c r="C1453" i="13"/>
  <c r="E1453" i="13"/>
  <c r="G1453" i="13" s="1"/>
  <c r="C1454" i="13"/>
  <c r="E1454" i="13"/>
  <c r="G1454" i="13" s="1"/>
  <c r="C1456" i="13"/>
  <c r="C1457" i="13" a="1"/>
  <c r="C1457" i="13" s="1"/>
  <c r="E1457" i="13"/>
  <c r="G1457" i="13" s="1"/>
  <c r="C1458" i="13" a="1"/>
  <c r="C1458" i="13" s="1"/>
  <c r="E1458" i="13"/>
  <c r="G1458" i="13" s="1"/>
  <c r="B1460" i="13"/>
  <c r="C1460" i="13"/>
  <c r="E1460" i="13"/>
  <c r="C1463" i="13"/>
  <c r="E1463" i="13"/>
  <c r="G1463" i="13" s="1"/>
  <c r="C1464" i="13"/>
  <c r="E1464" i="13"/>
  <c r="G1464" i="13" s="1"/>
  <c r="C1465" i="13"/>
  <c r="E1465" i="13"/>
  <c r="G1465" i="13" s="1"/>
  <c r="C1466" i="13"/>
  <c r="E1466" i="13"/>
  <c r="G1466" i="13" s="1"/>
  <c r="C1467" i="13"/>
  <c r="E1467" i="13"/>
  <c r="G1467" i="13" s="1"/>
  <c r="C1469" i="13"/>
  <c r="C1470" i="13"/>
  <c r="E1470" i="13" s="1"/>
  <c r="G1470" i="13" s="1"/>
  <c r="C1471" i="13"/>
  <c r="E1471" i="13" s="1"/>
  <c r="G1471" i="13" s="1"/>
  <c r="C1473" i="13"/>
  <c r="E1473" i="13"/>
  <c r="G1473" i="13" s="1"/>
  <c r="C1474" i="13"/>
  <c r="E1474" i="13"/>
  <c r="G1474" i="13" s="1"/>
  <c r="C1476" i="13"/>
  <c r="C1477" i="13" a="1"/>
  <c r="C1477" i="13" s="1"/>
  <c r="E1477" i="13"/>
  <c r="G1477" i="13" s="1"/>
  <c r="C1478" i="13" a="1"/>
  <c r="C1478" i="13" s="1"/>
  <c r="E1478" i="13"/>
  <c r="G1478" i="13" s="1"/>
  <c r="B1480" i="13"/>
  <c r="C1480" i="13"/>
  <c r="E1480" i="13"/>
  <c r="C1483" i="13"/>
  <c r="E1483" i="13"/>
  <c r="G1483" i="13" s="1"/>
  <c r="C1484" i="13"/>
  <c r="E1484" i="13"/>
  <c r="G1484" i="13" s="1"/>
  <c r="C1485" i="13"/>
  <c r="E1485" i="13"/>
  <c r="G1485" i="13" s="1"/>
  <c r="C1486" i="13"/>
  <c r="E1486" i="13"/>
  <c r="G1486" i="13" s="1"/>
  <c r="C1487" i="13"/>
  <c r="E1487" i="13"/>
  <c r="G1487" i="13" s="1"/>
  <c r="C1489" i="13"/>
  <c r="C1490" i="13"/>
  <c r="E1490" i="13" s="1"/>
  <c r="G1490" i="13" s="1"/>
  <c r="C1491" i="13"/>
  <c r="E1491" i="13" s="1"/>
  <c r="G1491" i="13" s="1"/>
  <c r="C1493" i="13"/>
  <c r="E1493" i="13"/>
  <c r="G1493" i="13" s="1"/>
  <c r="C1494" i="13"/>
  <c r="E1494" i="13"/>
  <c r="G1494" i="13" s="1"/>
  <c r="C1496" i="13"/>
  <c r="C1497" i="13" a="1"/>
  <c r="C1497" i="13" s="1"/>
  <c r="E1497" i="13"/>
  <c r="G1497" i="13" s="1"/>
  <c r="C1498" i="13" a="1"/>
  <c r="C1498" i="13" s="1"/>
  <c r="E1498" i="13"/>
  <c r="G1498" i="13" s="1"/>
  <c r="B1500" i="13"/>
  <c r="C1500" i="13"/>
  <c r="E1500" i="13"/>
  <c r="C1503" i="13"/>
  <c r="E1503" i="13"/>
  <c r="G1503" i="13" s="1"/>
  <c r="C1504" i="13"/>
  <c r="E1504" i="13"/>
  <c r="G1504" i="13" s="1"/>
  <c r="C1505" i="13"/>
  <c r="E1505" i="13"/>
  <c r="G1505" i="13" s="1"/>
  <c r="C1506" i="13"/>
  <c r="E1506" i="13"/>
  <c r="G1506" i="13" s="1"/>
  <c r="C1507" i="13"/>
  <c r="E1507" i="13"/>
  <c r="G1507" i="13" s="1"/>
  <c r="C1509" i="13"/>
  <c r="C1510" i="13"/>
  <c r="E1510" i="13" s="1"/>
  <c r="G1510" i="13" s="1"/>
  <c r="C1511" i="13"/>
  <c r="E1511" i="13" s="1"/>
  <c r="G1511" i="13" s="1"/>
  <c r="C1513" i="13"/>
  <c r="E1513" i="13"/>
  <c r="G1513" i="13" s="1"/>
  <c r="C1514" i="13"/>
  <c r="E1514" i="13"/>
  <c r="G1514" i="13" s="1"/>
  <c r="C1516" i="13"/>
  <c r="C1517" i="13" a="1"/>
  <c r="C1517" i="13" s="1"/>
  <c r="E1517" i="13"/>
  <c r="G1517" i="13" s="1"/>
  <c r="C1518" i="13" a="1"/>
  <c r="C1518" i="13" s="1"/>
  <c r="E1518" i="13"/>
  <c r="G1518" i="13" s="1"/>
  <c r="B1520" i="13"/>
  <c r="C1520" i="13"/>
  <c r="E1520" i="13"/>
  <c r="C1523" i="13"/>
  <c r="E1523" i="13"/>
  <c r="G1523" i="13" s="1"/>
  <c r="C1524" i="13"/>
  <c r="E1524" i="13"/>
  <c r="G1524" i="13" s="1"/>
  <c r="C1525" i="13"/>
  <c r="E1525" i="13"/>
  <c r="G1525" i="13" s="1"/>
  <c r="C1526" i="13"/>
  <c r="E1526" i="13"/>
  <c r="G1526" i="13" s="1"/>
  <c r="C1527" i="13"/>
  <c r="E1527" i="13"/>
  <c r="G1527" i="13" s="1"/>
  <c r="C1529" i="13"/>
  <c r="C1530" i="13"/>
  <c r="E1530" i="13" s="1"/>
  <c r="G1530" i="13" s="1"/>
  <c r="C1531" i="13"/>
  <c r="E1531" i="13" s="1"/>
  <c r="G1531" i="13" s="1"/>
  <c r="C1533" i="13"/>
  <c r="E1533" i="13"/>
  <c r="G1533" i="13" s="1"/>
  <c r="C1534" i="13"/>
  <c r="E1534" i="13"/>
  <c r="G1534" i="13" s="1"/>
  <c r="C1536" i="13"/>
  <c r="C1537" i="13" a="1"/>
  <c r="C1537" i="13" s="1"/>
  <c r="E1537" i="13"/>
  <c r="G1537" i="13" s="1"/>
  <c r="C1538" i="13" a="1"/>
  <c r="C1538" i="13" s="1"/>
  <c r="E1538" i="13"/>
  <c r="G1538" i="13" s="1"/>
  <c r="B1540" i="13"/>
  <c r="C1540" i="13"/>
  <c r="E1540" i="13"/>
  <c r="C1543" i="13"/>
  <c r="E1543" i="13"/>
  <c r="G1543" i="13" s="1"/>
  <c r="C1544" i="13"/>
  <c r="E1544" i="13"/>
  <c r="G1544" i="13" s="1"/>
  <c r="C1545" i="13"/>
  <c r="E1545" i="13"/>
  <c r="G1545" i="13" s="1"/>
  <c r="C1546" i="13"/>
  <c r="E1546" i="13"/>
  <c r="G1546" i="13" s="1"/>
  <c r="C1547" i="13"/>
  <c r="E1547" i="13"/>
  <c r="G1547" i="13" s="1"/>
  <c r="C1549" i="13"/>
  <c r="C1550" i="13"/>
  <c r="E1550" i="13" s="1"/>
  <c r="G1550" i="13" s="1"/>
  <c r="C1551" i="13"/>
  <c r="E1551" i="13" s="1"/>
  <c r="G1551" i="13" s="1"/>
  <c r="C1553" i="13"/>
  <c r="E1553" i="13"/>
  <c r="G1553" i="13" s="1"/>
  <c r="C1554" i="13"/>
  <c r="E1554" i="13"/>
  <c r="G1554" i="13" s="1"/>
  <c r="C1556" i="13"/>
  <c r="C1557" i="13" a="1"/>
  <c r="C1557" i="13" s="1"/>
  <c r="E1557" i="13"/>
  <c r="G1557" i="13" s="1"/>
  <c r="C1558" i="13" a="1"/>
  <c r="C1558" i="13" s="1"/>
  <c r="E1558" i="13"/>
  <c r="G1558" i="13" s="1"/>
  <c r="B1560" i="13"/>
  <c r="C1560" i="13"/>
  <c r="E1560" i="13"/>
  <c r="C1563" i="13"/>
  <c r="E1563" i="13"/>
  <c r="G1563" i="13" s="1"/>
  <c r="C1564" i="13"/>
  <c r="D1564" i="13"/>
  <c r="E1564" i="13"/>
  <c r="C1565" i="13"/>
  <c r="E1565" i="13"/>
  <c r="G1565" i="13" s="1"/>
  <c r="C1566" i="13"/>
  <c r="E1566" i="13"/>
  <c r="G1566" i="13" s="1"/>
  <c r="C1567" i="13"/>
  <c r="E1567" i="13"/>
  <c r="G1567" i="13" s="1"/>
  <c r="C1569" i="13"/>
  <c r="C1570" i="13"/>
  <c r="E1570" i="13" s="1"/>
  <c r="G1570" i="13" s="1"/>
  <c r="C1571" i="13"/>
  <c r="E1571" i="13" s="1"/>
  <c r="G1571" i="13" s="1"/>
  <c r="C1573" i="13"/>
  <c r="E1573" i="13"/>
  <c r="G1573" i="13" s="1"/>
  <c r="C1574" i="13"/>
  <c r="E1574" i="13"/>
  <c r="G1574" i="13" s="1"/>
  <c r="C1576" i="13"/>
  <c r="C1577" i="13" a="1"/>
  <c r="C1577" i="13" s="1"/>
  <c r="E1577" i="13"/>
  <c r="G1577" i="13" s="1"/>
  <c r="C1578" i="13" a="1"/>
  <c r="C1578" i="13" s="1"/>
  <c r="E1578" i="13"/>
  <c r="G1578" i="13" s="1"/>
  <c r="B1580" i="13"/>
  <c r="C1580" i="13"/>
  <c r="E1580" i="13"/>
  <c r="C1583" i="13"/>
  <c r="E1583" i="13"/>
  <c r="G1583" i="13" s="1"/>
  <c r="C1584" i="13"/>
  <c r="D1584" i="13"/>
  <c r="E1584" i="13"/>
  <c r="C1585" i="13"/>
  <c r="E1585" i="13"/>
  <c r="G1585" i="13" s="1"/>
  <c r="C1586" i="13"/>
  <c r="E1586" i="13"/>
  <c r="G1586" i="13" s="1"/>
  <c r="C1587" i="13"/>
  <c r="E1587" i="13"/>
  <c r="G1587" i="13" s="1"/>
  <c r="C1589" i="13"/>
  <c r="C1590" i="13"/>
  <c r="E1590" i="13" s="1"/>
  <c r="G1590" i="13" s="1"/>
  <c r="C1591" i="13"/>
  <c r="E1591" i="13" s="1"/>
  <c r="G1591" i="13" s="1"/>
  <c r="C1593" i="13"/>
  <c r="E1593" i="13"/>
  <c r="G1593" i="13" s="1"/>
  <c r="C1594" i="13"/>
  <c r="E1594" i="13"/>
  <c r="G1594" i="13" s="1"/>
  <c r="C1596" i="13"/>
  <c r="C1597" i="13" a="1"/>
  <c r="C1597" i="13" s="1"/>
  <c r="E1597" i="13"/>
  <c r="G1597" i="13" s="1"/>
  <c r="C1598" i="13" a="1"/>
  <c r="C1598" i="13" s="1"/>
  <c r="E1598" i="13"/>
  <c r="G1598" i="13" s="1"/>
  <c r="B1600" i="13"/>
  <c r="C1600" i="13"/>
  <c r="E1600" i="13"/>
  <c r="C1603" i="13"/>
  <c r="E1603" i="13"/>
  <c r="G1603" i="13" s="1"/>
  <c r="C1604" i="13"/>
  <c r="D1604" i="13"/>
  <c r="E1604" i="13"/>
  <c r="C1605" i="13"/>
  <c r="E1605" i="13"/>
  <c r="G1605" i="13" s="1"/>
  <c r="C1606" i="13"/>
  <c r="E1606" i="13"/>
  <c r="G1606" i="13" s="1"/>
  <c r="C1607" i="13"/>
  <c r="E1607" i="13"/>
  <c r="G1607" i="13" s="1"/>
  <c r="C1609" i="13"/>
  <c r="C1610" i="13"/>
  <c r="E1610" i="13" s="1"/>
  <c r="G1610" i="13" s="1"/>
  <c r="C1611" i="13"/>
  <c r="E1611" i="13" s="1"/>
  <c r="G1611" i="13" s="1"/>
  <c r="C1613" i="13"/>
  <c r="E1613" i="13"/>
  <c r="G1613" i="13" s="1"/>
  <c r="C1614" i="13"/>
  <c r="E1614" i="13"/>
  <c r="G1614" i="13" s="1"/>
  <c r="C1616" i="13"/>
  <c r="C1617" i="13" a="1"/>
  <c r="C1617" i="13" s="1"/>
  <c r="E1617" i="13"/>
  <c r="G1617" i="13" s="1"/>
  <c r="C1618" i="13" a="1"/>
  <c r="C1618" i="13" s="1"/>
  <c r="E1618" i="13"/>
  <c r="G1618" i="13" s="1"/>
  <c r="B1620" i="13"/>
  <c r="C1620" i="13"/>
  <c r="E1620" i="13"/>
  <c r="C1623" i="13"/>
  <c r="E1623" i="13"/>
  <c r="G1623" i="13" s="1"/>
  <c r="C1624" i="13"/>
  <c r="D1624" i="13"/>
  <c r="E1624" i="13"/>
  <c r="C1625" i="13"/>
  <c r="E1625" i="13"/>
  <c r="G1625" i="13" s="1"/>
  <c r="C1626" i="13"/>
  <c r="E1626" i="13"/>
  <c r="G1626" i="13" s="1"/>
  <c r="C1627" i="13"/>
  <c r="E1627" i="13"/>
  <c r="G1627" i="13" s="1"/>
  <c r="C1629" i="13"/>
  <c r="C1630" i="13"/>
  <c r="E1630" i="13" s="1"/>
  <c r="G1630" i="13" s="1"/>
  <c r="C1631" i="13"/>
  <c r="E1631" i="13" s="1"/>
  <c r="G1631" i="13" s="1"/>
  <c r="C1633" i="13"/>
  <c r="E1633" i="13"/>
  <c r="G1633" i="13" s="1"/>
  <c r="C1634" i="13"/>
  <c r="E1634" i="13"/>
  <c r="G1634" i="13" s="1"/>
  <c r="C1636" i="13"/>
  <c r="C1637" i="13" a="1"/>
  <c r="C1637" i="13" s="1"/>
  <c r="E1637" i="13"/>
  <c r="G1637" i="13" s="1"/>
  <c r="C1638" i="13" a="1"/>
  <c r="C1638" i="13" s="1"/>
  <c r="E1638" i="13"/>
  <c r="G1638" i="13" s="1"/>
  <c r="B1640" i="13"/>
  <c r="C1640" i="13"/>
  <c r="E1640" i="13"/>
  <c r="C1643" i="13"/>
  <c r="E1643" i="13"/>
  <c r="G1643" i="13" s="1"/>
  <c r="C1644" i="13"/>
  <c r="D1644" i="13"/>
  <c r="E1644" i="13"/>
  <c r="C1645" i="13"/>
  <c r="E1645" i="13"/>
  <c r="G1645" i="13" s="1"/>
  <c r="C1646" i="13"/>
  <c r="E1646" i="13"/>
  <c r="G1646" i="13" s="1"/>
  <c r="C1647" i="13"/>
  <c r="E1647" i="13"/>
  <c r="G1647" i="13" s="1"/>
  <c r="C1649" i="13"/>
  <c r="C1650" i="13"/>
  <c r="E1650" i="13" s="1"/>
  <c r="G1650" i="13" s="1"/>
  <c r="C1651" i="13"/>
  <c r="E1651" i="13" s="1"/>
  <c r="G1651" i="13" s="1"/>
  <c r="C1653" i="13"/>
  <c r="E1653" i="13"/>
  <c r="G1653" i="13" s="1"/>
  <c r="C1654" i="13"/>
  <c r="E1654" i="13"/>
  <c r="G1654" i="13" s="1"/>
  <c r="C1656" i="13"/>
  <c r="C1657" i="13" a="1"/>
  <c r="C1657" i="13" s="1"/>
  <c r="E1657" i="13"/>
  <c r="G1657" i="13" s="1"/>
  <c r="C1658" i="13" a="1"/>
  <c r="C1658" i="13" s="1"/>
  <c r="E1658" i="13"/>
  <c r="G1658" i="13" s="1"/>
  <c r="B1660" i="13"/>
  <c r="C1660" i="13"/>
  <c r="E1660" i="13"/>
  <c r="C1663" i="13"/>
  <c r="E1663" i="13"/>
  <c r="G1663" i="13" s="1"/>
  <c r="C1664" i="13"/>
  <c r="D1664" i="13"/>
  <c r="E1664" i="13"/>
  <c r="C1665" i="13"/>
  <c r="E1665" i="13"/>
  <c r="G1665" i="13" s="1"/>
  <c r="C1666" i="13"/>
  <c r="E1666" i="13"/>
  <c r="G1666" i="13" s="1"/>
  <c r="C1667" i="13"/>
  <c r="E1667" i="13"/>
  <c r="G1667" i="13" s="1"/>
  <c r="C1669" i="13"/>
  <c r="C1670" i="13"/>
  <c r="E1670" i="13" s="1"/>
  <c r="G1670" i="13" s="1"/>
  <c r="C1671" i="13"/>
  <c r="E1671" i="13" s="1"/>
  <c r="G1671" i="13" s="1"/>
  <c r="C1673" i="13"/>
  <c r="E1673" i="13"/>
  <c r="G1673" i="13" s="1"/>
  <c r="C1674" i="13"/>
  <c r="E1674" i="13"/>
  <c r="G1674" i="13" s="1"/>
  <c r="C1676" i="13"/>
  <c r="C1677" i="13" a="1"/>
  <c r="C1677" i="13" s="1"/>
  <c r="E1677" i="13"/>
  <c r="G1677" i="13" s="1"/>
  <c r="C1678" i="13" a="1"/>
  <c r="C1678" i="13" s="1"/>
  <c r="E1678" i="13"/>
  <c r="G1678" i="13" s="1"/>
  <c r="B1680" i="13"/>
  <c r="C1680" i="13"/>
  <c r="E1680" i="13"/>
  <c r="C1683" i="13"/>
  <c r="E1683" i="13"/>
  <c r="G1683" i="13" s="1"/>
  <c r="C1684" i="13"/>
  <c r="D1684" i="13"/>
  <c r="E1684" i="13"/>
  <c r="C1685" i="13"/>
  <c r="E1685" i="13"/>
  <c r="G1685" i="13" s="1"/>
  <c r="C1686" i="13"/>
  <c r="E1686" i="13"/>
  <c r="G1686" i="13" s="1"/>
  <c r="C1687" i="13"/>
  <c r="E1687" i="13"/>
  <c r="G1687" i="13" s="1"/>
  <c r="C1689" i="13"/>
  <c r="C1690" i="13"/>
  <c r="E1690" i="13" s="1"/>
  <c r="G1690" i="13" s="1"/>
  <c r="C1691" i="13"/>
  <c r="E1691" i="13" s="1"/>
  <c r="G1691" i="13" s="1"/>
  <c r="C1693" i="13"/>
  <c r="E1693" i="13"/>
  <c r="G1693" i="13" s="1"/>
  <c r="C1694" i="13"/>
  <c r="E1694" i="13"/>
  <c r="G1694" i="13" s="1"/>
  <c r="C1696" i="13"/>
  <c r="C1697" i="13" a="1"/>
  <c r="C1697" i="13" s="1"/>
  <c r="E1697" i="13"/>
  <c r="G1697" i="13" s="1"/>
  <c r="C1698" i="13" a="1"/>
  <c r="C1698" i="13" s="1"/>
  <c r="E1698" i="13"/>
  <c r="G1698" i="13" s="1"/>
  <c r="B1700" i="13"/>
  <c r="C1700" i="13"/>
  <c r="E1700" i="13"/>
  <c r="C1703" i="13"/>
  <c r="E1703" i="13"/>
  <c r="G1703" i="13" s="1"/>
  <c r="C1704" i="13"/>
  <c r="D1704" i="13"/>
  <c r="E1704" i="13"/>
  <c r="C1705" i="13"/>
  <c r="E1705" i="13"/>
  <c r="G1705" i="13" s="1"/>
  <c r="C1706" i="13"/>
  <c r="E1706" i="13"/>
  <c r="G1706" i="13" s="1"/>
  <c r="C1707" i="13"/>
  <c r="E1707" i="13"/>
  <c r="G1707" i="13" s="1"/>
  <c r="C1709" i="13"/>
  <c r="C1710" i="13"/>
  <c r="E1710" i="13" s="1"/>
  <c r="G1710" i="13" s="1"/>
  <c r="C1711" i="13"/>
  <c r="E1711" i="13" s="1"/>
  <c r="G1711" i="13" s="1"/>
  <c r="C1713" i="13"/>
  <c r="E1713" i="13"/>
  <c r="G1713" i="13" s="1"/>
  <c r="C1714" i="13"/>
  <c r="E1714" i="13"/>
  <c r="G1714" i="13" s="1"/>
  <c r="C1716" i="13"/>
  <c r="C1717" i="13" a="1"/>
  <c r="C1717" i="13" s="1"/>
  <c r="E1717" i="13"/>
  <c r="G1717" i="13" s="1"/>
  <c r="C1718" i="13" a="1"/>
  <c r="C1718" i="13" s="1"/>
  <c r="E1718" i="13"/>
  <c r="G1718" i="13" s="1"/>
  <c r="B1720" i="13"/>
  <c r="C1720" i="13"/>
  <c r="E1720" i="13"/>
  <c r="C1723" i="13"/>
  <c r="E1723" i="13"/>
  <c r="G1723" i="13" s="1"/>
  <c r="C1724" i="13"/>
  <c r="D1724" i="13"/>
  <c r="E1724" i="13"/>
  <c r="C1725" i="13"/>
  <c r="E1725" i="13"/>
  <c r="G1725" i="13" s="1"/>
  <c r="C1726" i="13"/>
  <c r="E1726" i="13"/>
  <c r="G1726" i="13" s="1"/>
  <c r="C1727" i="13"/>
  <c r="E1727" i="13"/>
  <c r="G1727" i="13" s="1"/>
  <c r="C1729" i="13"/>
  <c r="C1730" i="13"/>
  <c r="E1730" i="13" s="1"/>
  <c r="G1730" i="13" s="1"/>
  <c r="C1731" i="13"/>
  <c r="E1731" i="13" s="1"/>
  <c r="G1731" i="13" s="1"/>
  <c r="C1733" i="13"/>
  <c r="E1733" i="13"/>
  <c r="G1733" i="13" s="1"/>
  <c r="C1734" i="13"/>
  <c r="E1734" i="13"/>
  <c r="G1734" i="13" s="1"/>
  <c r="C1736" i="13"/>
  <c r="C1737" i="13" a="1"/>
  <c r="C1737" i="13" s="1"/>
  <c r="E1737" i="13"/>
  <c r="G1737" i="13" s="1"/>
  <c r="C1738" i="13" a="1"/>
  <c r="C1738" i="13" s="1"/>
  <c r="E1738" i="13"/>
  <c r="G1738" i="13" s="1"/>
  <c r="B1740" i="13"/>
  <c r="C1740" i="13"/>
  <c r="E1740" i="13"/>
  <c r="C1743" i="13"/>
  <c r="E1743" i="13"/>
  <c r="G1743" i="13" s="1"/>
  <c r="C1744" i="13"/>
  <c r="D1744" i="13"/>
  <c r="E1744" i="13"/>
  <c r="C1745" i="13"/>
  <c r="E1745" i="13"/>
  <c r="G1745" i="13" s="1"/>
  <c r="C1746" i="13"/>
  <c r="E1746" i="13"/>
  <c r="G1746" i="13" s="1"/>
  <c r="C1747" i="13"/>
  <c r="E1747" i="13"/>
  <c r="G1747" i="13" s="1"/>
  <c r="C1749" i="13"/>
  <c r="C1750" i="13"/>
  <c r="E1750" i="13" s="1"/>
  <c r="G1750" i="13" s="1"/>
  <c r="C1751" i="13"/>
  <c r="E1751" i="13" s="1"/>
  <c r="G1751" i="13" s="1"/>
  <c r="C1753" i="13"/>
  <c r="E1753" i="13"/>
  <c r="G1753" i="13" s="1"/>
  <c r="C1754" i="13"/>
  <c r="E1754" i="13"/>
  <c r="G1754" i="13" s="1"/>
  <c r="C1756" i="13"/>
  <c r="C1757" i="13" a="1"/>
  <c r="C1757" i="13" s="1"/>
  <c r="E1757" i="13"/>
  <c r="G1757" i="13" s="1"/>
  <c r="C1758" i="13" a="1"/>
  <c r="C1758" i="13" s="1"/>
  <c r="E1758" i="13"/>
  <c r="G1758" i="13" s="1"/>
  <c r="B1760" i="13"/>
  <c r="C1760" i="13"/>
  <c r="E1760" i="13"/>
  <c r="C1763" i="13"/>
  <c r="E1763" i="13"/>
  <c r="G1763" i="13" s="1"/>
  <c r="C1764" i="13"/>
  <c r="D1764" i="13"/>
  <c r="E1764" i="13"/>
  <c r="C1765" i="13"/>
  <c r="E1765" i="13"/>
  <c r="G1765" i="13" s="1"/>
  <c r="C1766" i="13"/>
  <c r="E1766" i="13"/>
  <c r="G1766" i="13" s="1"/>
  <c r="C1767" i="13"/>
  <c r="E1767" i="13"/>
  <c r="G1767" i="13" s="1"/>
  <c r="C1769" i="13"/>
  <c r="C1770" i="13"/>
  <c r="E1770" i="13" s="1"/>
  <c r="G1770" i="13" s="1"/>
  <c r="C1771" i="13"/>
  <c r="E1771" i="13" s="1"/>
  <c r="G1771" i="13" s="1"/>
  <c r="C1773" i="13"/>
  <c r="E1773" i="13"/>
  <c r="G1773" i="13" s="1"/>
  <c r="C1774" i="13"/>
  <c r="E1774" i="13"/>
  <c r="G1774" i="13" s="1"/>
  <c r="C1776" i="13"/>
  <c r="C1777" i="13" a="1"/>
  <c r="C1777" i="13" s="1"/>
  <c r="E1777" i="13"/>
  <c r="G1777" i="13" s="1"/>
  <c r="C1778" i="13" a="1"/>
  <c r="C1778" i="13" s="1"/>
  <c r="E1778" i="13"/>
  <c r="G1778" i="13" s="1"/>
  <c r="B1780" i="13"/>
  <c r="C1780" i="13"/>
  <c r="E1780" i="13"/>
  <c r="C1783" i="13"/>
  <c r="E1783" i="13"/>
  <c r="G1783" i="13" s="1"/>
  <c r="C1784" i="13"/>
  <c r="D1784" i="13"/>
  <c r="E1784" i="13"/>
  <c r="C1785" i="13"/>
  <c r="E1785" i="13"/>
  <c r="G1785" i="13" s="1"/>
  <c r="C1786" i="13"/>
  <c r="E1786" i="13"/>
  <c r="G1786" i="13" s="1"/>
  <c r="C1787" i="13"/>
  <c r="E1787" i="13"/>
  <c r="G1787" i="13" s="1"/>
  <c r="C1789" i="13"/>
  <c r="C1790" i="13"/>
  <c r="E1790" i="13" s="1"/>
  <c r="G1790" i="13" s="1"/>
  <c r="C1791" i="13"/>
  <c r="E1791" i="13" s="1"/>
  <c r="G1791" i="13" s="1"/>
  <c r="C1793" i="13"/>
  <c r="E1793" i="13"/>
  <c r="G1793" i="13" s="1"/>
  <c r="C1794" i="13"/>
  <c r="E1794" i="13"/>
  <c r="G1794" i="13" s="1"/>
  <c r="C1796" i="13"/>
  <c r="C1797" i="13" a="1"/>
  <c r="C1797" i="13" s="1"/>
  <c r="E1797" i="13"/>
  <c r="G1797" i="13" s="1"/>
  <c r="C1798" i="13" a="1"/>
  <c r="C1798" i="13" s="1"/>
  <c r="E1798" i="13"/>
  <c r="G1798" i="13" s="1"/>
  <c r="B1800" i="13"/>
  <c r="C1800" i="13"/>
  <c r="E1800" i="13"/>
  <c r="C1803" i="13"/>
  <c r="E1803" i="13"/>
  <c r="G1803" i="13" s="1"/>
  <c r="C1804" i="13"/>
  <c r="D1804" i="13"/>
  <c r="E1804" i="13"/>
  <c r="C1805" i="13"/>
  <c r="E1805" i="13"/>
  <c r="G1805" i="13" s="1"/>
  <c r="C1806" i="13"/>
  <c r="E1806" i="13"/>
  <c r="G1806" i="13" s="1"/>
  <c r="C1807" i="13"/>
  <c r="E1807" i="13"/>
  <c r="G1807" i="13" s="1"/>
  <c r="C1809" i="13"/>
  <c r="C1810" i="13"/>
  <c r="E1810" i="13" s="1"/>
  <c r="G1810" i="13" s="1"/>
  <c r="C1811" i="13"/>
  <c r="E1811" i="13" s="1"/>
  <c r="G1811" i="13" s="1"/>
  <c r="C1813" i="13"/>
  <c r="E1813" i="13"/>
  <c r="G1813" i="13" s="1"/>
  <c r="C1814" i="13"/>
  <c r="E1814" i="13"/>
  <c r="G1814" i="13" s="1"/>
  <c r="C1816" i="13"/>
  <c r="C1817" i="13" a="1"/>
  <c r="C1817" i="13" s="1"/>
  <c r="E1817" i="13"/>
  <c r="G1817" i="13" s="1"/>
  <c r="C1818" i="13" a="1"/>
  <c r="C1818" i="13" s="1"/>
  <c r="E1818" i="13"/>
  <c r="G1818" i="13" s="1"/>
  <c r="B1820" i="13"/>
  <c r="C1820" i="13"/>
  <c r="E1820" i="13"/>
  <c r="C1823" i="13"/>
  <c r="E1823" i="13"/>
  <c r="G1823" i="13" s="1"/>
  <c r="C1824" i="13"/>
  <c r="D1824" i="13"/>
  <c r="E1824" i="13"/>
  <c r="C1825" i="13"/>
  <c r="E1825" i="13"/>
  <c r="G1825" i="13" s="1"/>
  <c r="C1826" i="13"/>
  <c r="E1826" i="13"/>
  <c r="G1826" i="13" s="1"/>
  <c r="C1827" i="13"/>
  <c r="E1827" i="13"/>
  <c r="G1827" i="13" s="1"/>
  <c r="C1829" i="13"/>
  <c r="C1830" i="13"/>
  <c r="E1830" i="13" s="1"/>
  <c r="G1830" i="13" s="1"/>
  <c r="C1831" i="13"/>
  <c r="E1831" i="13" s="1"/>
  <c r="G1831" i="13" s="1"/>
  <c r="C1833" i="13"/>
  <c r="E1833" i="13"/>
  <c r="G1833" i="13" s="1"/>
  <c r="C1834" i="13"/>
  <c r="E1834" i="13"/>
  <c r="G1834" i="13" s="1"/>
  <c r="C1836" i="13"/>
  <c r="C1837" i="13" a="1"/>
  <c r="C1837" i="13" s="1"/>
  <c r="E1837" i="13"/>
  <c r="G1837" i="13" s="1"/>
  <c r="C1838" i="13" a="1"/>
  <c r="C1838" i="13" s="1"/>
  <c r="E1838" i="13"/>
  <c r="G1838" i="13" s="1"/>
  <c r="B1840" i="13"/>
  <c r="C1840" i="13"/>
  <c r="E1840" i="13"/>
  <c r="C1843" i="13"/>
  <c r="E1843" i="13"/>
  <c r="G1843" i="13" s="1"/>
  <c r="C1844" i="13"/>
  <c r="D1844" i="13"/>
  <c r="E1844" i="13"/>
  <c r="C1845" i="13"/>
  <c r="E1845" i="13"/>
  <c r="G1845" i="13" s="1"/>
  <c r="C1846" i="13"/>
  <c r="E1846" i="13"/>
  <c r="G1846" i="13" s="1"/>
  <c r="C1847" i="13"/>
  <c r="E1847" i="13"/>
  <c r="G1847" i="13" s="1"/>
  <c r="C1849" i="13"/>
  <c r="C1850" i="13"/>
  <c r="E1850" i="13" s="1"/>
  <c r="G1850" i="13" s="1"/>
  <c r="C1851" i="13"/>
  <c r="E1851" i="13" s="1"/>
  <c r="G1851" i="13" s="1"/>
  <c r="C1853" i="13"/>
  <c r="E1853" i="13"/>
  <c r="G1853" i="13" s="1"/>
  <c r="C1854" i="13"/>
  <c r="E1854" i="13"/>
  <c r="G1854" i="13" s="1"/>
  <c r="C1856" i="13"/>
  <c r="C1857" i="13" a="1"/>
  <c r="C1857" i="13" s="1"/>
  <c r="E1857" i="13"/>
  <c r="G1857" i="13" s="1"/>
  <c r="C1858" i="13" a="1"/>
  <c r="C1858" i="13" s="1"/>
  <c r="E1858" i="13"/>
  <c r="G1858" i="13" s="1"/>
  <c r="B1860" i="13"/>
  <c r="C1860" i="13"/>
  <c r="E1860" i="13"/>
  <c r="C1863" i="13"/>
  <c r="E1863" i="13"/>
  <c r="G1863" i="13" s="1"/>
  <c r="C1864" i="13"/>
  <c r="D1864" i="13"/>
  <c r="E1864" i="13"/>
  <c r="C1865" i="13"/>
  <c r="E1865" i="13"/>
  <c r="G1865" i="13" s="1"/>
  <c r="C1866" i="13"/>
  <c r="E1866" i="13"/>
  <c r="G1866" i="13" s="1"/>
  <c r="C1867" i="13"/>
  <c r="E1867" i="13"/>
  <c r="G1867" i="13" s="1"/>
  <c r="C1869" i="13"/>
  <c r="C1870" i="13"/>
  <c r="E1870" i="13" s="1"/>
  <c r="G1870" i="13" s="1"/>
  <c r="C1871" i="13"/>
  <c r="E1871" i="13" s="1"/>
  <c r="G1871" i="13" s="1"/>
  <c r="C1873" i="13"/>
  <c r="E1873" i="13"/>
  <c r="G1873" i="13" s="1"/>
  <c r="C1874" i="13"/>
  <c r="E1874" i="13"/>
  <c r="G1874" i="13" s="1"/>
  <c r="C1876" i="13"/>
  <c r="C1877" i="13" a="1"/>
  <c r="C1877" i="13" s="1"/>
  <c r="E1877" i="13"/>
  <c r="G1877" i="13" s="1"/>
  <c r="C1878" i="13" a="1"/>
  <c r="C1878" i="13" s="1"/>
  <c r="E1878" i="13"/>
  <c r="G1878" i="13" s="1"/>
  <c r="B1880" i="13"/>
  <c r="C1880" i="13"/>
  <c r="E1880" i="13"/>
  <c r="C1883" i="13"/>
  <c r="E1883" i="13"/>
  <c r="G1883" i="13" s="1"/>
  <c r="C1884" i="13"/>
  <c r="D1884" i="13"/>
  <c r="E1884" i="13"/>
  <c r="C1885" i="13"/>
  <c r="E1885" i="13"/>
  <c r="G1885" i="13" s="1"/>
  <c r="C1886" i="13"/>
  <c r="E1886" i="13"/>
  <c r="G1886" i="13" s="1"/>
  <c r="C1887" i="13"/>
  <c r="E1887" i="13"/>
  <c r="G1887" i="13" s="1"/>
  <c r="C1889" i="13"/>
  <c r="C1890" i="13"/>
  <c r="E1890" i="13" s="1"/>
  <c r="G1890" i="13" s="1"/>
  <c r="C1891" i="13"/>
  <c r="E1891" i="13" s="1"/>
  <c r="G1891" i="13" s="1"/>
  <c r="C1893" i="13"/>
  <c r="E1893" i="13"/>
  <c r="G1893" i="13" s="1"/>
  <c r="C1894" i="13"/>
  <c r="E1894" i="13"/>
  <c r="G1894" i="13" s="1"/>
  <c r="C1896" i="13"/>
  <c r="C1897" i="13" a="1"/>
  <c r="C1897" i="13" s="1"/>
  <c r="E1897" i="13"/>
  <c r="G1897" i="13" s="1"/>
  <c r="C1898" i="13" a="1"/>
  <c r="C1898" i="13" s="1"/>
  <c r="E1898" i="13"/>
  <c r="G1898" i="13" s="1"/>
  <c r="B1900" i="13"/>
  <c r="C1900" i="13"/>
  <c r="E1900" i="13"/>
  <c r="C1903" i="13"/>
  <c r="E1903" i="13"/>
  <c r="G1903" i="13" s="1"/>
  <c r="C1904" i="13"/>
  <c r="E1904" i="13"/>
  <c r="G1904" i="13" s="1"/>
  <c r="C1905" i="13"/>
  <c r="E1905" i="13"/>
  <c r="G1905" i="13" s="1"/>
  <c r="C1906" i="13"/>
  <c r="E1906" i="13"/>
  <c r="G1906" i="13" s="1"/>
  <c r="C1907" i="13"/>
  <c r="E1907" i="13"/>
  <c r="G1907" i="13" s="1"/>
  <c r="C1909" i="13"/>
  <c r="C1910" i="13"/>
  <c r="E1910" i="13" s="1"/>
  <c r="G1910" i="13" s="1"/>
  <c r="C1911" i="13"/>
  <c r="E1911" i="13" s="1"/>
  <c r="G1911" i="13" s="1"/>
  <c r="C1913" i="13"/>
  <c r="E1913" i="13"/>
  <c r="G1913" i="13" s="1"/>
  <c r="C1914" i="13"/>
  <c r="E1914" i="13"/>
  <c r="G1914" i="13" s="1"/>
  <c r="C1916" i="13"/>
  <c r="C1917" i="13" a="1"/>
  <c r="C1917" i="13" s="1"/>
  <c r="E1917" i="13"/>
  <c r="G1917" i="13" s="1"/>
  <c r="C1918" i="13" a="1"/>
  <c r="C1918" i="13" s="1"/>
  <c r="E1918" i="13"/>
  <c r="G1918" i="13" s="1"/>
  <c r="B1920" i="13"/>
  <c r="C1920" i="13"/>
  <c r="E1920" i="13"/>
  <c r="C1923" i="13"/>
  <c r="E1923" i="13"/>
  <c r="G1923" i="13" s="1"/>
  <c r="C1924" i="13"/>
  <c r="E1924" i="13"/>
  <c r="G1924" i="13" s="1"/>
  <c r="C1925" i="13"/>
  <c r="E1925" i="13"/>
  <c r="G1925" i="13" s="1"/>
  <c r="C1926" i="13"/>
  <c r="E1926" i="13"/>
  <c r="G1926" i="13" s="1"/>
  <c r="C1927" i="13"/>
  <c r="E1927" i="13"/>
  <c r="G1927" i="13" s="1"/>
  <c r="C1929" i="13"/>
  <c r="C1930" i="13"/>
  <c r="E1930" i="13" s="1"/>
  <c r="G1930" i="13" s="1"/>
  <c r="C1931" i="13"/>
  <c r="E1931" i="13" s="1"/>
  <c r="G1931" i="13" s="1"/>
  <c r="C1933" i="13"/>
  <c r="E1933" i="13"/>
  <c r="G1933" i="13" s="1"/>
  <c r="C1934" i="13"/>
  <c r="E1934" i="13"/>
  <c r="G1934" i="13" s="1"/>
  <c r="C1936" i="13"/>
  <c r="C1937" i="13" a="1"/>
  <c r="C1937" i="13" s="1"/>
  <c r="E1937" i="13"/>
  <c r="G1937" i="13" s="1"/>
  <c r="C1938" i="13" a="1"/>
  <c r="C1938" i="13" s="1"/>
  <c r="E1938" i="13"/>
  <c r="G1938" i="13" s="1"/>
  <c r="B1940" i="13"/>
  <c r="C1940" i="13"/>
  <c r="E1940" i="13"/>
  <c r="C1943" i="13"/>
  <c r="E1943" i="13"/>
  <c r="G1943" i="13" s="1"/>
  <c r="C1944" i="13"/>
  <c r="E1944" i="13"/>
  <c r="G1944" i="13" s="1"/>
  <c r="C1945" i="13"/>
  <c r="E1945" i="13"/>
  <c r="G1945" i="13" s="1"/>
  <c r="C1946" i="13"/>
  <c r="E1946" i="13"/>
  <c r="G1946" i="13" s="1"/>
  <c r="C1947" i="13"/>
  <c r="E1947" i="13"/>
  <c r="G1947" i="13" s="1"/>
  <c r="C1949" i="13"/>
  <c r="C1950" i="13"/>
  <c r="E1950" i="13" s="1"/>
  <c r="G1950" i="13" s="1"/>
  <c r="C1951" i="13"/>
  <c r="E1951" i="13" s="1"/>
  <c r="G1951" i="13" s="1"/>
  <c r="C1953" i="13"/>
  <c r="E1953" i="13"/>
  <c r="G1953" i="13" s="1"/>
  <c r="C1954" i="13"/>
  <c r="E1954" i="13"/>
  <c r="G1954" i="13" s="1"/>
  <c r="C1956" i="13"/>
  <c r="C1957" i="13" a="1"/>
  <c r="C1957" i="13" s="1"/>
  <c r="E1957" i="13"/>
  <c r="G1957" i="13" s="1"/>
  <c r="C1958" i="13" a="1"/>
  <c r="C1958" i="13" s="1"/>
  <c r="E1958" i="13"/>
  <c r="G1958" i="13" s="1"/>
  <c r="B1960" i="13"/>
  <c r="C1960" i="13"/>
  <c r="E1960" i="13"/>
  <c r="C1963" i="13"/>
  <c r="E1963" i="13"/>
  <c r="G1963" i="13" s="1"/>
  <c r="C1964" i="13"/>
  <c r="E1964" i="13"/>
  <c r="G1964" i="13" s="1"/>
  <c r="C1965" i="13"/>
  <c r="E1965" i="13"/>
  <c r="G1965" i="13" s="1"/>
  <c r="C1966" i="13"/>
  <c r="E1966" i="13"/>
  <c r="G1966" i="13" s="1"/>
  <c r="C1967" i="13"/>
  <c r="E1967" i="13"/>
  <c r="G1967" i="13" s="1"/>
  <c r="C1969" i="13"/>
  <c r="C1970" i="13"/>
  <c r="C1971" i="13"/>
  <c r="E1971" i="13" s="1"/>
  <c r="G1971" i="13" s="1"/>
  <c r="C1973" i="13"/>
  <c r="E1973" i="13"/>
  <c r="G1973" i="13" s="1"/>
  <c r="C1974" i="13"/>
  <c r="E1974" i="13"/>
  <c r="G1974" i="13" s="1"/>
  <c r="C1976" i="13"/>
  <c r="C1977" i="13" a="1"/>
  <c r="C1977" i="13" s="1"/>
  <c r="E1977" i="13"/>
  <c r="G1977" i="13" s="1"/>
  <c r="C1978" i="13" a="1"/>
  <c r="C1978" i="13" s="1"/>
  <c r="E1978" i="13"/>
  <c r="G1978" i="13" s="1"/>
  <c r="B1980" i="13"/>
  <c r="C1980" i="13"/>
  <c r="E1980" i="13"/>
  <c r="C1983" i="13"/>
  <c r="E1983" i="13"/>
  <c r="G1983" i="13" s="1"/>
  <c r="C1984" i="13"/>
  <c r="E1984" i="13"/>
  <c r="G1984" i="13" s="1"/>
  <c r="C1985" i="13"/>
  <c r="E1985" i="13"/>
  <c r="G1985" i="13" s="1"/>
  <c r="C1986" i="13"/>
  <c r="E1986" i="13"/>
  <c r="G1986" i="13" s="1"/>
  <c r="C1987" i="13"/>
  <c r="E1987" i="13"/>
  <c r="G1987" i="13" s="1"/>
  <c r="C1989" i="13"/>
  <c r="C1990" i="13"/>
  <c r="C1991" i="13"/>
  <c r="E1991" i="13" s="1"/>
  <c r="G1991" i="13" s="1"/>
  <c r="C1993" i="13"/>
  <c r="E1993" i="13"/>
  <c r="G1993" i="13" s="1"/>
  <c r="C1994" i="13"/>
  <c r="E1994" i="13"/>
  <c r="G1994" i="13" s="1"/>
  <c r="C1996" i="13"/>
  <c r="C1997" i="13" a="1"/>
  <c r="C1997" i="13" s="1"/>
  <c r="E1997" i="13"/>
  <c r="G1997" i="13" s="1"/>
  <c r="C1998" i="13" a="1"/>
  <c r="C1998" i="13" s="1"/>
  <c r="E1998" i="13"/>
  <c r="G1998" i="13" s="1"/>
  <c r="B2000" i="13"/>
  <c r="C2000" i="13"/>
  <c r="E2000" i="13"/>
  <c r="C2003" i="13"/>
  <c r="E2003" i="13"/>
  <c r="G2003" i="13" s="1"/>
  <c r="C2004" i="13"/>
  <c r="E2004" i="13"/>
  <c r="G2004" i="13" s="1"/>
  <c r="C2005" i="13"/>
  <c r="E2005" i="13"/>
  <c r="G2005" i="13" s="1"/>
  <c r="C2006" i="13"/>
  <c r="E2006" i="13"/>
  <c r="G2006" i="13" s="1"/>
  <c r="C2007" i="13"/>
  <c r="E2007" i="13"/>
  <c r="G2007" i="13" s="1"/>
  <c r="C2009" i="13"/>
  <c r="C2010" i="13"/>
  <c r="C2011" i="13"/>
  <c r="E2011" i="13" s="1"/>
  <c r="G2011" i="13" s="1"/>
  <c r="C2013" i="13"/>
  <c r="E2013" i="13"/>
  <c r="G2013" i="13" s="1"/>
  <c r="C2014" i="13"/>
  <c r="E2014" i="13"/>
  <c r="G2014" i="13" s="1"/>
  <c r="C2016" i="13"/>
  <c r="C2017" i="13" a="1"/>
  <c r="C2017" i="13" s="1"/>
  <c r="E2017" i="13"/>
  <c r="G2017" i="13" s="1"/>
  <c r="C2018" i="13" a="1"/>
  <c r="C2018" i="13" s="1"/>
  <c r="E2018" i="13"/>
  <c r="G2018" i="13" s="1"/>
  <c r="B2020" i="13"/>
  <c r="C2020" i="13"/>
  <c r="E2020" i="13"/>
  <c r="C2023" i="13"/>
  <c r="E2023" i="13"/>
  <c r="G2023" i="13" s="1"/>
  <c r="C2024" i="13"/>
  <c r="E2024" i="13"/>
  <c r="G2024" i="13" s="1"/>
  <c r="C2025" i="13"/>
  <c r="E2025" i="13"/>
  <c r="G2025" i="13" s="1"/>
  <c r="C2026" i="13"/>
  <c r="E2026" i="13"/>
  <c r="G2026" i="13" s="1"/>
  <c r="C2027" i="13"/>
  <c r="E2027" i="13"/>
  <c r="G2027" i="13" s="1"/>
  <c r="C2029" i="13"/>
  <c r="C2030" i="13"/>
  <c r="C2031" i="13"/>
  <c r="E2031" i="13" s="1"/>
  <c r="G2031" i="13" s="1"/>
  <c r="C2033" i="13"/>
  <c r="E2033" i="13"/>
  <c r="G2033" i="13" s="1"/>
  <c r="C2034" i="13"/>
  <c r="E2034" i="13"/>
  <c r="G2034" i="13" s="1"/>
  <c r="C2036" i="13"/>
  <c r="C2037" i="13" a="1"/>
  <c r="C2037" i="13" s="1"/>
  <c r="E2037" i="13"/>
  <c r="G2037" i="13" s="1"/>
  <c r="C2038" i="13" a="1"/>
  <c r="C2038" i="13" s="1"/>
  <c r="E2038" i="13"/>
  <c r="G2038" i="13" s="1"/>
  <c r="B2040" i="13"/>
  <c r="C2040" i="13"/>
  <c r="E2040" i="13"/>
  <c r="C2043" i="13"/>
  <c r="E2043" i="13"/>
  <c r="G2043" i="13" s="1"/>
  <c r="C2044" i="13"/>
  <c r="E2044" i="13"/>
  <c r="G2044" i="13" s="1"/>
  <c r="C2045" i="13"/>
  <c r="E2045" i="13"/>
  <c r="G2045" i="13" s="1"/>
  <c r="C2046" i="13"/>
  <c r="E2046" i="13"/>
  <c r="G2046" i="13" s="1"/>
  <c r="C2047" i="13"/>
  <c r="E2047" i="13"/>
  <c r="G2047" i="13" s="1"/>
  <c r="C2049" i="13"/>
  <c r="C2050" i="13"/>
  <c r="E2050" i="13" s="1"/>
  <c r="G2050" i="13" s="1"/>
  <c r="C2051" i="13"/>
  <c r="E2051" i="13" s="1"/>
  <c r="G2051" i="13" s="1"/>
  <c r="C2053" i="13"/>
  <c r="E2053" i="13"/>
  <c r="G2053" i="13" s="1"/>
  <c r="C2054" i="13"/>
  <c r="E2054" i="13"/>
  <c r="G2054" i="13" s="1"/>
  <c r="C2056" i="13"/>
  <c r="C2057" i="13" a="1"/>
  <c r="C2057" i="13" s="1"/>
  <c r="E2057" i="13"/>
  <c r="G2057" i="13" s="1"/>
  <c r="C2058" i="13" a="1"/>
  <c r="C2058" i="13" s="1"/>
  <c r="E2058" i="13"/>
  <c r="G2058" i="13" s="1"/>
  <c r="B2060" i="13"/>
  <c r="C2060" i="13"/>
  <c r="E2060" i="13"/>
  <c r="C2063" i="13"/>
  <c r="E2063" i="13"/>
  <c r="G2063" i="13" s="1"/>
  <c r="C2064" i="13"/>
  <c r="E2064" i="13"/>
  <c r="G2064" i="13" s="1"/>
  <c r="C2065" i="13"/>
  <c r="E2065" i="13"/>
  <c r="G2065" i="13" s="1"/>
  <c r="C2066" i="13"/>
  <c r="E2066" i="13"/>
  <c r="G2066" i="13" s="1"/>
  <c r="C2067" i="13"/>
  <c r="E2067" i="13"/>
  <c r="G2067" i="13" s="1"/>
  <c r="C2069" i="13"/>
  <c r="C2070" i="13"/>
  <c r="E2070" i="13" s="1"/>
  <c r="G2070" i="13" s="1"/>
  <c r="C2071" i="13"/>
  <c r="E2071" i="13" s="1"/>
  <c r="G2071" i="13" s="1"/>
  <c r="C2073" i="13"/>
  <c r="E2073" i="13"/>
  <c r="G2073" i="13" s="1"/>
  <c r="C2074" i="13"/>
  <c r="E2074" i="13"/>
  <c r="G2074" i="13" s="1"/>
  <c r="C2076" i="13"/>
  <c r="C2077" i="13" a="1"/>
  <c r="C2077" i="13" s="1"/>
  <c r="E2077" i="13"/>
  <c r="G2077" i="13" s="1"/>
  <c r="C2078" i="13" a="1"/>
  <c r="C2078" i="13" s="1"/>
  <c r="E2078" i="13"/>
  <c r="G2078" i="13" s="1"/>
  <c r="B2080" i="13"/>
  <c r="C2080" i="13"/>
  <c r="E2080" i="13"/>
  <c r="C2083" i="13"/>
  <c r="E2083" i="13"/>
  <c r="G2083" i="13" s="1"/>
  <c r="C2084" i="13"/>
  <c r="E2084" i="13"/>
  <c r="G2084" i="13" s="1"/>
  <c r="C2085" i="13"/>
  <c r="E2085" i="13"/>
  <c r="G2085" i="13" s="1"/>
  <c r="C2086" i="13"/>
  <c r="E2086" i="13"/>
  <c r="G2086" i="13" s="1"/>
  <c r="C2087" i="13"/>
  <c r="E2087" i="13"/>
  <c r="G2087" i="13" s="1"/>
  <c r="C2089" i="13"/>
  <c r="C2090" i="13"/>
  <c r="E2090" i="13" s="1"/>
  <c r="G2090" i="13" s="1"/>
  <c r="C2091" i="13"/>
  <c r="E2091" i="13" s="1"/>
  <c r="G2091" i="13" s="1"/>
  <c r="C2093" i="13"/>
  <c r="E2093" i="13"/>
  <c r="G2093" i="13" s="1"/>
  <c r="C2094" i="13"/>
  <c r="E2094" i="13"/>
  <c r="G2094" i="13" s="1"/>
  <c r="C2096" i="13"/>
  <c r="C2097" i="13" a="1"/>
  <c r="C2097" i="13" s="1"/>
  <c r="E2097" i="13"/>
  <c r="G2097" i="13" s="1"/>
  <c r="C2098" i="13" a="1"/>
  <c r="C2098" i="13" s="1"/>
  <c r="E2098" i="13"/>
  <c r="G2098" i="13" s="1"/>
  <c r="B2100" i="13"/>
  <c r="C2100" i="13"/>
  <c r="E2100" i="13"/>
  <c r="C2103" i="13"/>
  <c r="E2103" i="13"/>
  <c r="G2103" i="13" s="1"/>
  <c r="C2104" i="13"/>
  <c r="E2104" i="13"/>
  <c r="G2104" i="13" s="1"/>
  <c r="C2105" i="13"/>
  <c r="E2105" i="13"/>
  <c r="G2105" i="13" s="1"/>
  <c r="C2106" i="13"/>
  <c r="E2106" i="13"/>
  <c r="G2106" i="13" s="1"/>
  <c r="C2107" i="13"/>
  <c r="E2107" i="13"/>
  <c r="G2107" i="13" s="1"/>
  <c r="C2109" i="13"/>
  <c r="C2110" i="13"/>
  <c r="E2110" i="13" s="1"/>
  <c r="G2110" i="13" s="1"/>
  <c r="C2111" i="13"/>
  <c r="E2111" i="13" s="1"/>
  <c r="G2111" i="13" s="1"/>
  <c r="C2113" i="13"/>
  <c r="E2113" i="13"/>
  <c r="G2113" i="13" s="1"/>
  <c r="C2114" i="13"/>
  <c r="E2114" i="13"/>
  <c r="G2114" i="13" s="1"/>
  <c r="C2116" i="13"/>
  <c r="C2117" i="13" a="1"/>
  <c r="C2117" i="13" s="1"/>
  <c r="E2117" i="13"/>
  <c r="G2117" i="13" s="1"/>
  <c r="C2118" i="13" a="1"/>
  <c r="C2118" i="13" s="1"/>
  <c r="E2118" i="13"/>
  <c r="G2118" i="13" s="1"/>
  <c r="B2120" i="13"/>
  <c r="C2120" i="13"/>
  <c r="E2120" i="13"/>
  <c r="C2123" i="13"/>
  <c r="C2124" i="13"/>
  <c r="E2124" i="13"/>
  <c r="G2124" i="13" s="1"/>
  <c r="C2125" i="13"/>
  <c r="E2125" i="13"/>
  <c r="G2125" i="13" s="1"/>
  <c r="C2126" i="13"/>
  <c r="E2126" i="13"/>
  <c r="G2126" i="13" s="1"/>
  <c r="C2127" i="13"/>
  <c r="E2127" i="13"/>
  <c r="G2127" i="13" s="1"/>
  <c r="C2129" i="13"/>
  <c r="C2130" i="13"/>
  <c r="E2130" i="13" s="1"/>
  <c r="G2130" i="13" s="1"/>
  <c r="C2131" i="13"/>
  <c r="E2131" i="13" s="1"/>
  <c r="G2131" i="13" s="1"/>
  <c r="C2133" i="13"/>
  <c r="E2133" i="13"/>
  <c r="G2133" i="13" s="1"/>
  <c r="C2134" i="13"/>
  <c r="E2134" i="13"/>
  <c r="G2134" i="13" s="1"/>
  <c r="C2136" i="13"/>
  <c r="C2137" i="13" a="1"/>
  <c r="C2137" i="13" s="1"/>
  <c r="E2137" i="13"/>
  <c r="G2137" i="13" s="1"/>
  <c r="C2138" i="13" a="1"/>
  <c r="C2138" i="13" s="1"/>
  <c r="E2138" i="13"/>
  <c r="G2138" i="13" s="1"/>
  <c r="B2140" i="13"/>
  <c r="C2140" i="13"/>
  <c r="E2140" i="13"/>
  <c r="C2143" i="13"/>
  <c r="C2144" i="13"/>
  <c r="E2144" i="13"/>
  <c r="G2144" i="13" s="1"/>
  <c r="C2145" i="13"/>
  <c r="E2145" i="13"/>
  <c r="G2145" i="13" s="1"/>
  <c r="C2146" i="13"/>
  <c r="E2146" i="13"/>
  <c r="G2146" i="13" s="1"/>
  <c r="C2147" i="13"/>
  <c r="E2147" i="13"/>
  <c r="G2147" i="13" s="1"/>
  <c r="C2149" i="13"/>
  <c r="C2150" i="13"/>
  <c r="E2150" i="13" s="1"/>
  <c r="G2150" i="13" s="1"/>
  <c r="C2151" i="13"/>
  <c r="E2151" i="13" s="1"/>
  <c r="G2151" i="13" s="1"/>
  <c r="C2153" i="13"/>
  <c r="E2153" i="13"/>
  <c r="G2153" i="13" s="1"/>
  <c r="C2154" i="13"/>
  <c r="E2154" i="13"/>
  <c r="G2154" i="13" s="1"/>
  <c r="C2156" i="13"/>
  <c r="C2157" i="13" a="1"/>
  <c r="C2157" i="13" s="1"/>
  <c r="E2157" i="13"/>
  <c r="G2157" i="13" s="1"/>
  <c r="C2158" i="13" a="1"/>
  <c r="C2158" i="13" s="1"/>
  <c r="E2158" i="13"/>
  <c r="G2158" i="13" s="1"/>
  <c r="B2160" i="13"/>
  <c r="C2160" i="13"/>
  <c r="E2160" i="13"/>
  <c r="C2163" i="13"/>
  <c r="C2164" i="13"/>
  <c r="E2164" i="13"/>
  <c r="G2164" i="13" s="1"/>
  <c r="C2165" i="13"/>
  <c r="E2165" i="13"/>
  <c r="G2165" i="13" s="1"/>
  <c r="C2166" i="13"/>
  <c r="E2166" i="13"/>
  <c r="G2166" i="13" s="1"/>
  <c r="C2167" i="13"/>
  <c r="E2167" i="13"/>
  <c r="G2167" i="13" s="1"/>
  <c r="C2169" i="13"/>
  <c r="C2170" i="13"/>
  <c r="E2170" i="13" s="1"/>
  <c r="G2170" i="13" s="1"/>
  <c r="C2171" i="13"/>
  <c r="E2171" i="13" s="1"/>
  <c r="G2171" i="13" s="1"/>
  <c r="C2173" i="13"/>
  <c r="E2173" i="13"/>
  <c r="G2173" i="13" s="1"/>
  <c r="C2174" i="13"/>
  <c r="E2174" i="13"/>
  <c r="G2174" i="13" s="1"/>
  <c r="C2176" i="13"/>
  <c r="C2177" i="13" a="1"/>
  <c r="C2177" i="13" s="1"/>
  <c r="E2177" i="13"/>
  <c r="G2177" i="13" s="1"/>
  <c r="C2178" i="13" a="1"/>
  <c r="C2178" i="13" s="1"/>
  <c r="E2178" i="13"/>
  <c r="G2178" i="13" s="1"/>
  <c r="B2180" i="13"/>
  <c r="C2180" i="13"/>
  <c r="E2180" i="13"/>
  <c r="C2183" i="13"/>
  <c r="C2184" i="13"/>
  <c r="E2184" i="13"/>
  <c r="G2184" i="13" s="1"/>
  <c r="C2185" i="13"/>
  <c r="E2185" i="13"/>
  <c r="G2185" i="13" s="1"/>
  <c r="C2186" i="13"/>
  <c r="E2186" i="13"/>
  <c r="G2186" i="13" s="1"/>
  <c r="C2187" i="13"/>
  <c r="E2187" i="13"/>
  <c r="G2187" i="13" s="1"/>
  <c r="C2189" i="13"/>
  <c r="C2190" i="13"/>
  <c r="E2190" i="13" s="1"/>
  <c r="G2190" i="13" s="1"/>
  <c r="C2191" i="13"/>
  <c r="E2191" i="13" s="1"/>
  <c r="G2191" i="13" s="1"/>
  <c r="C2193" i="13"/>
  <c r="E2193" i="13"/>
  <c r="G2193" i="13" s="1"/>
  <c r="C2194" i="13"/>
  <c r="E2194" i="13"/>
  <c r="G2194" i="13" s="1"/>
  <c r="C2196" i="13"/>
  <c r="C2197" i="13" a="1"/>
  <c r="C2197" i="13" s="1"/>
  <c r="E2197" i="13"/>
  <c r="G2197" i="13" s="1"/>
  <c r="C2198" i="13" a="1"/>
  <c r="C2198" i="13" s="1"/>
  <c r="E2198" i="13"/>
  <c r="G2198" i="13" s="1"/>
  <c r="B2200" i="13"/>
  <c r="C2200" i="13"/>
  <c r="E2200" i="13"/>
  <c r="C2203" i="13"/>
  <c r="C2204" i="13"/>
  <c r="E2204" i="13"/>
  <c r="G2204" i="13" s="1"/>
  <c r="C2205" i="13"/>
  <c r="E2205" i="13"/>
  <c r="G2205" i="13" s="1"/>
  <c r="C2206" i="13"/>
  <c r="E2206" i="13"/>
  <c r="G2206" i="13" s="1"/>
  <c r="C2207" i="13"/>
  <c r="E2207" i="13"/>
  <c r="G2207" i="13" s="1"/>
  <c r="C2209" i="13"/>
  <c r="C2210" i="13"/>
  <c r="E2210" i="13" s="1"/>
  <c r="G2210" i="13" s="1"/>
  <c r="C2211" i="13"/>
  <c r="E2211" i="13" s="1"/>
  <c r="G2211" i="13" s="1"/>
  <c r="C2213" i="13"/>
  <c r="E2213" i="13"/>
  <c r="G2213" i="13" s="1"/>
  <c r="C2214" i="13"/>
  <c r="E2214" i="13"/>
  <c r="G2214" i="13" s="1"/>
  <c r="C2216" i="13"/>
  <c r="C2217" i="13" a="1"/>
  <c r="C2217" i="13" s="1"/>
  <c r="E2217" i="13"/>
  <c r="G2217" i="13" s="1"/>
  <c r="C2218" i="13" a="1"/>
  <c r="C2218" i="13" s="1"/>
  <c r="E2218" i="13"/>
  <c r="G2218" i="13" s="1"/>
  <c r="B2220" i="13"/>
  <c r="C2220" i="13"/>
  <c r="E2220" i="13"/>
  <c r="C2223" i="13"/>
  <c r="C2224" i="13"/>
  <c r="E2224" i="13"/>
  <c r="G2224" i="13" s="1"/>
  <c r="C2225" i="13"/>
  <c r="E2225" i="13"/>
  <c r="G2225" i="13" s="1"/>
  <c r="C2226" i="13"/>
  <c r="E2226" i="13"/>
  <c r="G2226" i="13" s="1"/>
  <c r="C2227" i="13"/>
  <c r="E2227" i="13"/>
  <c r="G2227" i="13" s="1"/>
  <c r="C2229" i="13"/>
  <c r="C2230" i="13"/>
  <c r="E2230" i="13" s="1"/>
  <c r="G2230" i="13" s="1"/>
  <c r="C2231" i="13"/>
  <c r="E2231" i="13" s="1"/>
  <c r="G2231" i="13" s="1"/>
  <c r="C2233" i="13"/>
  <c r="E2233" i="13"/>
  <c r="G2233" i="13" s="1"/>
  <c r="C2234" i="13"/>
  <c r="E2234" i="13"/>
  <c r="G2234" i="13" s="1"/>
  <c r="C2236" i="13"/>
  <c r="C2237" i="13" a="1"/>
  <c r="C2237" i="13" s="1"/>
  <c r="E2237" i="13"/>
  <c r="G2237" i="13" s="1"/>
  <c r="C2238" i="13" a="1"/>
  <c r="C2238" i="13" s="1"/>
  <c r="E2238" i="13"/>
  <c r="G2238" i="13" s="1"/>
  <c r="B2240" i="13"/>
  <c r="C2240" i="13"/>
  <c r="E2240" i="13"/>
  <c r="C2243" i="13"/>
  <c r="C2244" i="13"/>
  <c r="E2244" i="13"/>
  <c r="G2244" i="13" s="1"/>
  <c r="C2245" i="13"/>
  <c r="E2245" i="13"/>
  <c r="G2245" i="13" s="1"/>
  <c r="C2246" i="13"/>
  <c r="E2246" i="13"/>
  <c r="G2246" i="13" s="1"/>
  <c r="C2247" i="13"/>
  <c r="E2247" i="13"/>
  <c r="G2247" i="13" s="1"/>
  <c r="C2249" i="13"/>
  <c r="C2250" i="13"/>
  <c r="E2250" i="13" s="1"/>
  <c r="G2250" i="13" s="1"/>
  <c r="C2251" i="13"/>
  <c r="E2251" i="13" s="1"/>
  <c r="G2251" i="13" s="1"/>
  <c r="C2253" i="13"/>
  <c r="E2253" i="13"/>
  <c r="G2253" i="13" s="1"/>
  <c r="C2254" i="13"/>
  <c r="E2254" i="13"/>
  <c r="G2254" i="13" s="1"/>
  <c r="C2256" i="13"/>
  <c r="C2257" i="13" a="1"/>
  <c r="C2257" i="13" s="1"/>
  <c r="E2257" i="13"/>
  <c r="G2257" i="13" s="1"/>
  <c r="C2258" i="13" a="1"/>
  <c r="C2258" i="13" s="1"/>
  <c r="E2258" i="13"/>
  <c r="G2258" i="13" s="1"/>
  <c r="B2260" i="13"/>
  <c r="C2260" i="13"/>
  <c r="E2260" i="13"/>
  <c r="C2263" i="13"/>
  <c r="C2264" i="13"/>
  <c r="E2264" i="13"/>
  <c r="G2264" i="13" s="1"/>
  <c r="C2265" i="13"/>
  <c r="E2265" i="13"/>
  <c r="G2265" i="13" s="1"/>
  <c r="C2266" i="13"/>
  <c r="E2266" i="13"/>
  <c r="G2266" i="13" s="1"/>
  <c r="C2267" i="13"/>
  <c r="E2267" i="13"/>
  <c r="G2267" i="13" s="1"/>
  <c r="C2269" i="13"/>
  <c r="C2270" i="13"/>
  <c r="E2270" i="13" s="1"/>
  <c r="G2270" i="13" s="1"/>
  <c r="C2271" i="13"/>
  <c r="E2271" i="13" s="1"/>
  <c r="G2271" i="13" s="1"/>
  <c r="C2273" i="13"/>
  <c r="E2273" i="13"/>
  <c r="G2273" i="13" s="1"/>
  <c r="C2274" i="13"/>
  <c r="E2274" i="13"/>
  <c r="G2274" i="13" s="1"/>
  <c r="C2276" i="13"/>
  <c r="C2277" i="13" a="1"/>
  <c r="C2277" i="13" s="1"/>
  <c r="E2277" i="13"/>
  <c r="G2277" i="13" s="1"/>
  <c r="C2278" i="13" a="1"/>
  <c r="C2278" i="13" s="1"/>
  <c r="E2278" i="13"/>
  <c r="G2278" i="13" s="1"/>
  <c r="B2280" i="13"/>
  <c r="C2280" i="13"/>
  <c r="E2280" i="13"/>
  <c r="C2283" i="13"/>
  <c r="E2283" i="13"/>
  <c r="G2283" i="13" s="1"/>
  <c r="C2284" i="13"/>
  <c r="E2284" i="13"/>
  <c r="G2284" i="13" s="1"/>
  <c r="C2285" i="13"/>
  <c r="E2285" i="13"/>
  <c r="G2285" i="13" s="1"/>
  <c r="C2286" i="13"/>
  <c r="E2286" i="13"/>
  <c r="G2286" i="13" s="1"/>
  <c r="C2287" i="13"/>
  <c r="E2287" i="13"/>
  <c r="G2287" i="13" s="1"/>
  <c r="C2289" i="13"/>
  <c r="C2290" i="13"/>
  <c r="E2290" i="13" s="1"/>
  <c r="G2290" i="13" s="1"/>
  <c r="C2291" i="13"/>
  <c r="E2291" i="13" s="1"/>
  <c r="G2291" i="13" s="1"/>
  <c r="C2293" i="13"/>
  <c r="E2293" i="13"/>
  <c r="G2293" i="13" s="1"/>
  <c r="C2294" i="13"/>
  <c r="E2294" i="13"/>
  <c r="G2294" i="13" s="1"/>
  <c r="C2296" i="13"/>
  <c r="C2297" i="13" a="1"/>
  <c r="C2297" i="13" s="1"/>
  <c r="E2297" i="13"/>
  <c r="G2297" i="13" s="1"/>
  <c r="C2298" i="13" a="1"/>
  <c r="C2298" i="13" s="1"/>
  <c r="E2298" i="13"/>
  <c r="G2298" i="13" s="1"/>
  <c r="B2300" i="13"/>
  <c r="C2300" i="13"/>
  <c r="E2300" i="13"/>
  <c r="C2303" i="13"/>
  <c r="E2303" i="13"/>
  <c r="G2303" i="13" s="1"/>
  <c r="C2304" i="13"/>
  <c r="E2304" i="13"/>
  <c r="G2304" i="13" s="1"/>
  <c r="C2305" i="13"/>
  <c r="E2305" i="13"/>
  <c r="G2305" i="13" s="1"/>
  <c r="C2306" i="13"/>
  <c r="E2306" i="13"/>
  <c r="G2306" i="13" s="1"/>
  <c r="C2307" i="13"/>
  <c r="E2307" i="13"/>
  <c r="G2307" i="13" s="1"/>
  <c r="C2309" i="13"/>
  <c r="C2310" i="13"/>
  <c r="E2310" i="13" s="1"/>
  <c r="G2310" i="13" s="1"/>
  <c r="C2311" i="13"/>
  <c r="E2311" i="13" s="1"/>
  <c r="G2311" i="13" s="1"/>
  <c r="C2313" i="13"/>
  <c r="E2313" i="13"/>
  <c r="G2313" i="13" s="1"/>
  <c r="C2314" i="13"/>
  <c r="E2314" i="13"/>
  <c r="G2314" i="13" s="1"/>
  <c r="C2316" i="13"/>
  <c r="C2317" i="13" a="1"/>
  <c r="C2317" i="13" s="1"/>
  <c r="E2317" i="13"/>
  <c r="G2317" i="13" s="1"/>
  <c r="C2318" i="13" a="1"/>
  <c r="C2318" i="13" s="1"/>
  <c r="E2318" i="13"/>
  <c r="G2318" i="13" s="1"/>
  <c r="B2320" i="13"/>
  <c r="C2320" i="13"/>
  <c r="E2320" i="13"/>
  <c r="C2323" i="13"/>
  <c r="E2323" i="13"/>
  <c r="G2323" i="13" s="1"/>
  <c r="C2324" i="13"/>
  <c r="E2324" i="13"/>
  <c r="G2324" i="13" s="1"/>
  <c r="C2325" i="13"/>
  <c r="E2325" i="13"/>
  <c r="G2325" i="13" s="1"/>
  <c r="C2326" i="13"/>
  <c r="E2326" i="13"/>
  <c r="G2326" i="13" s="1"/>
  <c r="C2327" i="13"/>
  <c r="E2327" i="13"/>
  <c r="G2327" i="13" s="1"/>
  <c r="C2329" i="13"/>
  <c r="C2330" i="13"/>
  <c r="E2330" i="13" s="1"/>
  <c r="G2330" i="13" s="1"/>
  <c r="C2331" i="13"/>
  <c r="E2331" i="13" s="1"/>
  <c r="G2331" i="13" s="1"/>
  <c r="C2333" i="13"/>
  <c r="E2333" i="13"/>
  <c r="G2333" i="13" s="1"/>
  <c r="C2334" i="13"/>
  <c r="E2334" i="13"/>
  <c r="G2334" i="13" s="1"/>
  <c r="C2336" i="13"/>
  <c r="C2337" i="13" a="1"/>
  <c r="C2337" i="13" s="1"/>
  <c r="E2337" i="13"/>
  <c r="G2337" i="13" s="1"/>
  <c r="C2338" i="13" a="1"/>
  <c r="C2338" i="13" s="1"/>
  <c r="E2338" i="13"/>
  <c r="G2338" i="13" s="1"/>
  <c r="B2340" i="13"/>
  <c r="C2340" i="13"/>
  <c r="E2340" i="13"/>
  <c r="C2343" i="13"/>
  <c r="E2343" i="13"/>
  <c r="G2343" i="13" s="1"/>
  <c r="C2344" i="13"/>
  <c r="E2344" i="13"/>
  <c r="G2344" i="13" s="1"/>
  <c r="C2345" i="13"/>
  <c r="E2345" i="13"/>
  <c r="G2345" i="13" s="1"/>
  <c r="C2346" i="13"/>
  <c r="E2346" i="13"/>
  <c r="G2346" i="13" s="1"/>
  <c r="C2347" i="13"/>
  <c r="E2347" i="13"/>
  <c r="G2347" i="13" s="1"/>
  <c r="C2349" i="13"/>
  <c r="C2350" i="13"/>
  <c r="E2350" i="13" s="1"/>
  <c r="G2350" i="13" s="1"/>
  <c r="C2351" i="13"/>
  <c r="E2351" i="13" s="1"/>
  <c r="G2351" i="13" s="1"/>
  <c r="C2353" i="13"/>
  <c r="E2353" i="13"/>
  <c r="G2353" i="13" s="1"/>
  <c r="C2354" i="13"/>
  <c r="E2354" i="13"/>
  <c r="G2354" i="13" s="1"/>
  <c r="C2356" i="13"/>
  <c r="C2357" i="13" a="1"/>
  <c r="C2357" i="13" s="1"/>
  <c r="E2357" i="13"/>
  <c r="G2357" i="13" s="1"/>
  <c r="C2358" i="13" a="1"/>
  <c r="C2358" i="13" s="1"/>
  <c r="E2358" i="13"/>
  <c r="G2358" i="13" s="1"/>
  <c r="B2360" i="13"/>
  <c r="C2360" i="13"/>
  <c r="E2360" i="13"/>
  <c r="C2363" i="13"/>
  <c r="E2363" i="13"/>
  <c r="G2363" i="13" s="1"/>
  <c r="C2364" i="13"/>
  <c r="E2364" i="13"/>
  <c r="G2364" i="13" s="1"/>
  <c r="C2365" i="13"/>
  <c r="E2365" i="13"/>
  <c r="G2365" i="13" s="1"/>
  <c r="C2366" i="13"/>
  <c r="E2366" i="13"/>
  <c r="G2366" i="13" s="1"/>
  <c r="C2367" i="13"/>
  <c r="E2367" i="13"/>
  <c r="G2367" i="13" s="1"/>
  <c r="C2369" i="13"/>
  <c r="C2370" i="13"/>
  <c r="E2370" i="13" s="1"/>
  <c r="G2370" i="13" s="1"/>
  <c r="C2371" i="13"/>
  <c r="E2371" i="13" s="1"/>
  <c r="G2371" i="13" s="1"/>
  <c r="C2373" i="13"/>
  <c r="E2373" i="13"/>
  <c r="G2373" i="13" s="1"/>
  <c r="C2374" i="13"/>
  <c r="E2374" i="13"/>
  <c r="G2374" i="13" s="1"/>
  <c r="C2376" i="13"/>
  <c r="C2377" i="13" a="1"/>
  <c r="C2377" i="13" s="1"/>
  <c r="E2377" i="13"/>
  <c r="G2377" i="13" s="1"/>
  <c r="C2378" i="13" a="1"/>
  <c r="C2378" i="13" s="1"/>
  <c r="E2378" i="13"/>
  <c r="G2378" i="13" s="1"/>
  <c r="B2380" i="13"/>
  <c r="C2380" i="13"/>
  <c r="E2380" i="13"/>
  <c r="C2383" i="13"/>
  <c r="E2383" i="13"/>
  <c r="G2383" i="13" s="1"/>
  <c r="C2384" i="13"/>
  <c r="E2384" i="13"/>
  <c r="G2384" i="13" s="1"/>
  <c r="C2385" i="13"/>
  <c r="E2385" i="13"/>
  <c r="G2385" i="13" s="1"/>
  <c r="C2386" i="13"/>
  <c r="E2386" i="13"/>
  <c r="G2386" i="13" s="1"/>
  <c r="C2387" i="13"/>
  <c r="E2387" i="13"/>
  <c r="G2387" i="13" s="1"/>
  <c r="C2389" i="13"/>
  <c r="C2390" i="13"/>
  <c r="E2390" i="13" s="1"/>
  <c r="G2390" i="13" s="1"/>
  <c r="C2391" i="13"/>
  <c r="E2391" i="13" s="1"/>
  <c r="G2391" i="13" s="1"/>
  <c r="C2393" i="13"/>
  <c r="E2393" i="13"/>
  <c r="G2393" i="13" s="1"/>
  <c r="C2394" i="13"/>
  <c r="E2394" i="13"/>
  <c r="G2394" i="13" s="1"/>
  <c r="C2396" i="13"/>
  <c r="C2397" i="13" a="1"/>
  <c r="C2397" i="13" s="1"/>
  <c r="E2397" i="13"/>
  <c r="G2397" i="13" s="1"/>
  <c r="C2398" i="13" a="1"/>
  <c r="C2398" i="13" s="1"/>
  <c r="E2398" i="13"/>
  <c r="G2398" i="13" s="1"/>
  <c r="B2400" i="13"/>
  <c r="C2400" i="13"/>
  <c r="E2400" i="13"/>
  <c r="C2403" i="13"/>
  <c r="E2403" i="13"/>
  <c r="G2403" i="13" s="1"/>
  <c r="C2404" i="13"/>
  <c r="E2404" i="13"/>
  <c r="C2405" i="13"/>
  <c r="E2405" i="13"/>
  <c r="G2405" i="13" s="1"/>
  <c r="C2406" i="13"/>
  <c r="E2406" i="13"/>
  <c r="G2406" i="13" s="1"/>
  <c r="C2407" i="13"/>
  <c r="E2407" i="13"/>
  <c r="G2407" i="13" s="1"/>
  <c r="C2409" i="13"/>
  <c r="C2410" i="13"/>
  <c r="E2410" i="13" s="1"/>
  <c r="G2410" i="13" s="1"/>
  <c r="C2411" i="13"/>
  <c r="E2411" i="13" s="1"/>
  <c r="G2411" i="13" s="1"/>
  <c r="C2413" i="13"/>
  <c r="E2413" i="13"/>
  <c r="G2413" i="13" s="1"/>
  <c r="C2414" i="13"/>
  <c r="E2414" i="13"/>
  <c r="G2414" i="13" s="1"/>
  <c r="C2416" i="13"/>
  <c r="C2417" i="13" a="1"/>
  <c r="C2417" i="13" s="1"/>
  <c r="E2417" i="13"/>
  <c r="G2417" i="13" s="1"/>
  <c r="C2418" i="13" a="1"/>
  <c r="C2418" i="13" s="1"/>
  <c r="E2418" i="13"/>
  <c r="G2418" i="13" s="1"/>
  <c r="B2420" i="13"/>
  <c r="C2420" i="13"/>
  <c r="E2420" i="13"/>
  <c r="C2423" i="13"/>
  <c r="E2423" i="13"/>
  <c r="G2423" i="13" s="1"/>
  <c r="C2424" i="13"/>
  <c r="E2424" i="13"/>
  <c r="G2424" i="13" s="1"/>
  <c r="C2425" i="13"/>
  <c r="E2425" i="13"/>
  <c r="G2425" i="13" s="1"/>
  <c r="C2426" i="13"/>
  <c r="E2426" i="13"/>
  <c r="G2426" i="13" s="1"/>
  <c r="C2427" i="13"/>
  <c r="E2427" i="13"/>
  <c r="G2427" i="13" s="1"/>
  <c r="C2429" i="13"/>
  <c r="C2430" i="13"/>
  <c r="E2430" i="13" s="1"/>
  <c r="G2430" i="13" s="1"/>
  <c r="C2431" i="13"/>
  <c r="E2431" i="13" s="1"/>
  <c r="G2431" i="13" s="1"/>
  <c r="C2433" i="13"/>
  <c r="E2433" i="13"/>
  <c r="G2433" i="13" s="1"/>
  <c r="C2434" i="13"/>
  <c r="E2434" i="13"/>
  <c r="G2434" i="13" s="1"/>
  <c r="C2436" i="13"/>
  <c r="C2437" i="13" a="1"/>
  <c r="C2437" i="13" s="1"/>
  <c r="E2437" i="13"/>
  <c r="G2437" i="13" s="1"/>
  <c r="C2438" i="13" a="1"/>
  <c r="C2438" i="13" s="1"/>
  <c r="E2438" i="13"/>
  <c r="G2438" i="13" s="1"/>
  <c r="B2440" i="13"/>
  <c r="C2440" i="13"/>
  <c r="E2440" i="13"/>
  <c r="C2443" i="13"/>
  <c r="E2443" i="13"/>
  <c r="G2443" i="13" s="1"/>
  <c r="C2444" i="13"/>
  <c r="E2444" i="13"/>
  <c r="G2444" i="13" s="1"/>
  <c r="C2445" i="13"/>
  <c r="E2445" i="13"/>
  <c r="G2445" i="13" s="1"/>
  <c r="C2446" i="13"/>
  <c r="E2446" i="13"/>
  <c r="G2446" i="13" s="1"/>
  <c r="C2447" i="13"/>
  <c r="E2447" i="13"/>
  <c r="G2447" i="13" s="1"/>
  <c r="C2449" i="13"/>
  <c r="C2450" i="13"/>
  <c r="E2450" i="13" s="1"/>
  <c r="G2450" i="13" s="1"/>
  <c r="C2451" i="13"/>
  <c r="E2451" i="13" s="1"/>
  <c r="G2451" i="13" s="1"/>
  <c r="C2453" i="13"/>
  <c r="E2453" i="13"/>
  <c r="G2453" i="13" s="1"/>
  <c r="C2454" i="13"/>
  <c r="E2454" i="13"/>
  <c r="G2454" i="13" s="1"/>
  <c r="C2456" i="13"/>
  <c r="C2457" i="13" a="1"/>
  <c r="C2457" i="13" s="1"/>
  <c r="E2457" i="13"/>
  <c r="G2457" i="13" s="1"/>
  <c r="C2458" i="13" a="1"/>
  <c r="C2458" i="13" s="1"/>
  <c r="E2458" i="13"/>
  <c r="G2458" i="13" s="1"/>
  <c r="B2460" i="13"/>
  <c r="C2460" i="13"/>
  <c r="E2460" i="13"/>
  <c r="C2463" i="13"/>
  <c r="E2463" i="13"/>
  <c r="G2463" i="13" s="1"/>
  <c r="C2464" i="13"/>
  <c r="E2464" i="13"/>
  <c r="G2464" i="13" s="1"/>
  <c r="C2465" i="13"/>
  <c r="E2465" i="13"/>
  <c r="G2465" i="13" s="1"/>
  <c r="C2466" i="13"/>
  <c r="E2466" i="13"/>
  <c r="G2466" i="13" s="1"/>
  <c r="C2467" i="13"/>
  <c r="E2467" i="13"/>
  <c r="G2467" i="13" s="1"/>
  <c r="C2469" i="13"/>
  <c r="C2470" i="13"/>
  <c r="E2470" i="13" s="1"/>
  <c r="G2470" i="13" s="1"/>
  <c r="C2471" i="13"/>
  <c r="E2471" i="13" s="1"/>
  <c r="G2471" i="13" s="1"/>
  <c r="C2473" i="13"/>
  <c r="E2473" i="13"/>
  <c r="G2473" i="13" s="1"/>
  <c r="C2474" i="13"/>
  <c r="E2474" i="13"/>
  <c r="G2474" i="13" s="1"/>
  <c r="C2476" i="13"/>
  <c r="C2477" i="13" a="1"/>
  <c r="C2477" i="13" s="1"/>
  <c r="E2477" i="13"/>
  <c r="G2477" i="13" s="1"/>
  <c r="C2478" i="13" a="1"/>
  <c r="C2478" i="13" s="1"/>
  <c r="E2478" i="13"/>
  <c r="G2478" i="13" s="1"/>
  <c r="B2480" i="13"/>
  <c r="C2480" i="13"/>
  <c r="E2480" i="13"/>
  <c r="C2483" i="13"/>
  <c r="E2483" i="13"/>
  <c r="G2483" i="13" s="1"/>
  <c r="C2484" i="13"/>
  <c r="E2484" i="13"/>
  <c r="G2484" i="13" s="1"/>
  <c r="C2485" i="13"/>
  <c r="E2485" i="13"/>
  <c r="G2485" i="13" s="1"/>
  <c r="C2486" i="13"/>
  <c r="E2486" i="13"/>
  <c r="G2486" i="13" s="1"/>
  <c r="C2487" i="13"/>
  <c r="E2487" i="13"/>
  <c r="G2487" i="13" s="1"/>
  <c r="C2489" i="13"/>
  <c r="C2490" i="13"/>
  <c r="E2490" i="13" s="1"/>
  <c r="G2490" i="13" s="1"/>
  <c r="C2491" i="13"/>
  <c r="E2491" i="13" s="1"/>
  <c r="G2491" i="13" s="1"/>
  <c r="C2493" i="13"/>
  <c r="E2493" i="13"/>
  <c r="G2493" i="13" s="1"/>
  <c r="C2494" i="13"/>
  <c r="E2494" i="13"/>
  <c r="G2494" i="13" s="1"/>
  <c r="C2496" i="13"/>
  <c r="C2497" i="13" a="1"/>
  <c r="C2497" i="13" s="1"/>
  <c r="E2497" i="13"/>
  <c r="G2497" i="13" s="1"/>
  <c r="C2498" i="13" a="1"/>
  <c r="C2498" i="13" s="1"/>
  <c r="E2498" i="13"/>
  <c r="G2498" i="13" s="1"/>
  <c r="B2500" i="13"/>
  <c r="C2500" i="13"/>
  <c r="E2500" i="13"/>
  <c r="C2503" i="13"/>
  <c r="E2503" i="13"/>
  <c r="G2503" i="13" s="1"/>
  <c r="C2504" i="13"/>
  <c r="E2504" i="13"/>
  <c r="G2504" i="13" s="1"/>
  <c r="C2505" i="13"/>
  <c r="E2505" i="13"/>
  <c r="G2505" i="13" s="1"/>
  <c r="C2506" i="13"/>
  <c r="E2506" i="13"/>
  <c r="G2506" i="13" s="1"/>
  <c r="C2507" i="13"/>
  <c r="E2507" i="13"/>
  <c r="G2507" i="13" s="1"/>
  <c r="C2509" i="13"/>
  <c r="C2510" i="13"/>
  <c r="E2510" i="13" s="1"/>
  <c r="G2510" i="13" s="1"/>
  <c r="C2511" i="13"/>
  <c r="E2511" i="13" s="1"/>
  <c r="G2511" i="13" s="1"/>
  <c r="C2513" i="13"/>
  <c r="E2513" i="13"/>
  <c r="G2513" i="13" s="1"/>
  <c r="C2514" i="13"/>
  <c r="E2514" i="13"/>
  <c r="G2514" i="13" s="1"/>
  <c r="C2516" i="13"/>
  <c r="C2517" i="13" a="1"/>
  <c r="C2517" i="13" s="1"/>
  <c r="E2517" i="13"/>
  <c r="G2517" i="13" s="1"/>
  <c r="C2518" i="13" a="1"/>
  <c r="C2518" i="13" s="1"/>
  <c r="E2518" i="13"/>
  <c r="G2518" i="13" s="1"/>
  <c r="B2520" i="13"/>
  <c r="C2520" i="13"/>
  <c r="E2520" i="13"/>
  <c r="C2523" i="13"/>
  <c r="E2523" i="13"/>
  <c r="G2523" i="13" s="1"/>
  <c r="C2524" i="13"/>
  <c r="E2524" i="13"/>
  <c r="G2524" i="13" s="1"/>
  <c r="C2525" i="13"/>
  <c r="E2525" i="13"/>
  <c r="G2525" i="13" s="1"/>
  <c r="C2526" i="13"/>
  <c r="E2526" i="13"/>
  <c r="G2526" i="13" s="1"/>
  <c r="C2527" i="13"/>
  <c r="E2527" i="13"/>
  <c r="G2527" i="13" s="1"/>
  <c r="C2529" i="13"/>
  <c r="C2530" i="13"/>
  <c r="E2530" i="13" s="1"/>
  <c r="G2530" i="13" s="1"/>
  <c r="C2531" i="13"/>
  <c r="E2531" i="13" s="1"/>
  <c r="G2531" i="13" s="1"/>
  <c r="C2533" i="13"/>
  <c r="E2533" i="13"/>
  <c r="G2533" i="13" s="1"/>
  <c r="C2534" i="13"/>
  <c r="E2534" i="13"/>
  <c r="G2534" i="13" s="1"/>
  <c r="C2536" i="13"/>
  <c r="C2537" i="13" a="1"/>
  <c r="C2537" i="13" s="1"/>
  <c r="E2537" i="13"/>
  <c r="G2537" i="13" s="1"/>
  <c r="C2538" i="13" a="1"/>
  <c r="C2538" i="13" s="1"/>
  <c r="E2538" i="13"/>
  <c r="G2538" i="13" s="1"/>
  <c r="B2540" i="13"/>
  <c r="C2540" i="13"/>
  <c r="E2540" i="13"/>
  <c r="C2543" i="13"/>
  <c r="E2543" i="13"/>
  <c r="G2543" i="13" s="1"/>
  <c r="C2544" i="13"/>
  <c r="E2544" i="13"/>
  <c r="G2544" i="13" s="1"/>
  <c r="C2545" i="13"/>
  <c r="E2545" i="13"/>
  <c r="G2545" i="13" s="1"/>
  <c r="C2546" i="13"/>
  <c r="E2546" i="13"/>
  <c r="G2546" i="13" s="1"/>
  <c r="C2547" i="13"/>
  <c r="E2547" i="13"/>
  <c r="G2547" i="13" s="1"/>
  <c r="C2549" i="13"/>
  <c r="C2550" i="13"/>
  <c r="E2550" i="13" s="1"/>
  <c r="G2550" i="13" s="1"/>
  <c r="C2551" i="13"/>
  <c r="E2551" i="13" s="1"/>
  <c r="G2551" i="13" s="1"/>
  <c r="C2553" i="13"/>
  <c r="E2553" i="13"/>
  <c r="G2553" i="13" s="1"/>
  <c r="C2554" i="13"/>
  <c r="E2554" i="13"/>
  <c r="G2554" i="13" s="1"/>
  <c r="C2556" i="13"/>
  <c r="C2557" i="13" a="1"/>
  <c r="C2557" i="13" s="1"/>
  <c r="E2557" i="13"/>
  <c r="G2557" i="13" s="1"/>
  <c r="C2558" i="13" a="1"/>
  <c r="C2558" i="13" s="1"/>
  <c r="E2558" i="13"/>
  <c r="G2558" i="13" s="1"/>
  <c r="B2560" i="13"/>
  <c r="C2560" i="13"/>
  <c r="E2560" i="13"/>
  <c r="C2563" i="13"/>
  <c r="E2563" i="13"/>
  <c r="G2563" i="13" s="1"/>
  <c r="C2564" i="13"/>
  <c r="E2564" i="13"/>
  <c r="G2564" i="13" s="1"/>
  <c r="C2565" i="13"/>
  <c r="E2565" i="13"/>
  <c r="G2565" i="13" s="1"/>
  <c r="C2566" i="13"/>
  <c r="E2566" i="13"/>
  <c r="G2566" i="13" s="1"/>
  <c r="C2567" i="13"/>
  <c r="E2567" i="13"/>
  <c r="G2567" i="13" s="1"/>
  <c r="C2569" i="13"/>
  <c r="C2570" i="13"/>
  <c r="E2570" i="13" s="1"/>
  <c r="G2570" i="13" s="1"/>
  <c r="C2571" i="13"/>
  <c r="E2571" i="13" s="1"/>
  <c r="G2571" i="13" s="1"/>
  <c r="C2573" i="13"/>
  <c r="E2573" i="13"/>
  <c r="G2573" i="13" s="1"/>
  <c r="C2574" i="13"/>
  <c r="E2574" i="13"/>
  <c r="G2574" i="13" s="1"/>
  <c r="C2576" i="13"/>
  <c r="C2577" i="13" a="1"/>
  <c r="C2577" i="13" s="1"/>
  <c r="E2577" i="13"/>
  <c r="G2577" i="13" s="1"/>
  <c r="C2578" i="13" a="1"/>
  <c r="C2578" i="13" s="1"/>
  <c r="E2578" i="13"/>
  <c r="G2578" i="13" s="1"/>
  <c r="B2580" i="13"/>
  <c r="C2580" i="13"/>
  <c r="E2580" i="13"/>
  <c r="C2583" i="13"/>
  <c r="E2583" i="13"/>
  <c r="G2583" i="13" s="1"/>
  <c r="C2584" i="13"/>
  <c r="E2584" i="13"/>
  <c r="G2584" i="13" s="1"/>
  <c r="C2585" i="13"/>
  <c r="E2585" i="13"/>
  <c r="G2585" i="13" s="1"/>
  <c r="C2586" i="13"/>
  <c r="E2586" i="13"/>
  <c r="G2586" i="13" s="1"/>
  <c r="C2587" i="13"/>
  <c r="E2587" i="13"/>
  <c r="G2587" i="13" s="1"/>
  <c r="C2589" i="13"/>
  <c r="C2590" i="13"/>
  <c r="E2590" i="13" s="1"/>
  <c r="G2590" i="13" s="1"/>
  <c r="C2591" i="13"/>
  <c r="E2591" i="13" s="1"/>
  <c r="G2591" i="13" s="1"/>
  <c r="C2593" i="13"/>
  <c r="E2593" i="13"/>
  <c r="G2593" i="13" s="1"/>
  <c r="C2594" i="13"/>
  <c r="E2594" i="13"/>
  <c r="G2594" i="13" s="1"/>
  <c r="C2596" i="13"/>
  <c r="C2597" i="13" a="1"/>
  <c r="C2597" i="13" s="1"/>
  <c r="E2597" i="13"/>
  <c r="G2597" i="13" s="1"/>
  <c r="C2598" i="13" a="1"/>
  <c r="C2598" i="13" s="1"/>
  <c r="E2598" i="13"/>
  <c r="G2598" i="13" s="1"/>
  <c r="B2600" i="13"/>
  <c r="C2600" i="13"/>
  <c r="E2600" i="13"/>
  <c r="C2603" i="13"/>
  <c r="E2603" i="13"/>
  <c r="G2603" i="13" s="1"/>
  <c r="C2604" i="13"/>
  <c r="E2604" i="13"/>
  <c r="G2604" i="13" s="1"/>
  <c r="C2605" i="13"/>
  <c r="E2605" i="13"/>
  <c r="G2605" i="13" s="1"/>
  <c r="C2606" i="13"/>
  <c r="E2606" i="13"/>
  <c r="G2606" i="13" s="1"/>
  <c r="C2607" i="13"/>
  <c r="E2607" i="13"/>
  <c r="G2607" i="13" s="1"/>
  <c r="C2609" i="13"/>
  <c r="C2610" i="13"/>
  <c r="E2610" i="13" s="1"/>
  <c r="G2610" i="13" s="1"/>
  <c r="C2611" i="13"/>
  <c r="E2611" i="13" s="1"/>
  <c r="G2611" i="13" s="1"/>
  <c r="C2613" i="13"/>
  <c r="E2613" i="13"/>
  <c r="G2613" i="13" s="1"/>
  <c r="C2614" i="13"/>
  <c r="E2614" i="13"/>
  <c r="G2614" i="13" s="1"/>
  <c r="C2616" i="13"/>
  <c r="C2617" i="13" a="1"/>
  <c r="C2617" i="13" s="1"/>
  <c r="E2617" i="13"/>
  <c r="G2617" i="13" s="1"/>
  <c r="C2618" i="13" a="1"/>
  <c r="C2618" i="13" s="1"/>
  <c r="E2618" i="13"/>
  <c r="G2618" i="13" s="1"/>
  <c r="B2620" i="13"/>
  <c r="C2620" i="13"/>
  <c r="E2620" i="13"/>
  <c r="C2623" i="13"/>
  <c r="E2623" i="13"/>
  <c r="G2623" i="13" s="1"/>
  <c r="C2624" i="13"/>
  <c r="E2624" i="13"/>
  <c r="G2624" i="13" s="1"/>
  <c r="C2625" i="13"/>
  <c r="E2625" i="13"/>
  <c r="G2625" i="13" s="1"/>
  <c r="C2626" i="13"/>
  <c r="E2626" i="13"/>
  <c r="G2626" i="13" s="1"/>
  <c r="C2627" i="13"/>
  <c r="E2627" i="13"/>
  <c r="G2627" i="13" s="1"/>
  <c r="C2629" i="13"/>
  <c r="C2630" i="13"/>
  <c r="E2630" i="13" s="1"/>
  <c r="G2630" i="13" s="1"/>
  <c r="C2631" i="13"/>
  <c r="E2631" i="13" s="1"/>
  <c r="G2631" i="13" s="1"/>
  <c r="C2633" i="13"/>
  <c r="E2633" i="13"/>
  <c r="G2633" i="13" s="1"/>
  <c r="C2634" i="13"/>
  <c r="E2634" i="13"/>
  <c r="G2634" i="13" s="1"/>
  <c r="C2636" i="13"/>
  <c r="C2637" i="13" a="1"/>
  <c r="C2637" i="13" s="1"/>
  <c r="E2637" i="13"/>
  <c r="G2637" i="13" s="1"/>
  <c r="C2638" i="13" a="1"/>
  <c r="C2638" i="13" s="1"/>
  <c r="E2638" i="13"/>
  <c r="G2638" i="13" s="1"/>
  <c r="B2640" i="13"/>
  <c r="C2640" i="13"/>
  <c r="E2640" i="13"/>
  <c r="C2643" i="13"/>
  <c r="E2643" i="13"/>
  <c r="G2643" i="13" s="1"/>
  <c r="C2644" i="13"/>
  <c r="E2644" i="13"/>
  <c r="G2644" i="13" s="1"/>
  <c r="C2645" i="13"/>
  <c r="E2645" i="13"/>
  <c r="G2645" i="13" s="1"/>
  <c r="C2646" i="13"/>
  <c r="E2646" i="13"/>
  <c r="G2646" i="13" s="1"/>
  <c r="C2647" i="13"/>
  <c r="E2647" i="13"/>
  <c r="G2647" i="13" s="1"/>
  <c r="C2649" i="13"/>
  <c r="C2650" i="13"/>
  <c r="E2650" i="13" s="1"/>
  <c r="G2650" i="13" s="1"/>
  <c r="C2651" i="13"/>
  <c r="E2651" i="13" s="1"/>
  <c r="G2651" i="13" s="1"/>
  <c r="C2653" i="13"/>
  <c r="E2653" i="13"/>
  <c r="G2653" i="13" s="1"/>
  <c r="C2654" i="13"/>
  <c r="E2654" i="13"/>
  <c r="G2654" i="13" s="1"/>
  <c r="C2656" i="13"/>
  <c r="C2657" i="13" a="1"/>
  <c r="C2657" i="13" s="1"/>
  <c r="E2657" i="13"/>
  <c r="G2657" i="13" s="1"/>
  <c r="C2658" i="13" a="1"/>
  <c r="C2658" i="13" s="1"/>
  <c r="E2658" i="13"/>
  <c r="G2658" i="13" s="1"/>
  <c r="B2660" i="13"/>
  <c r="C2660" i="13"/>
  <c r="E2660" i="13"/>
  <c r="C2663" i="13"/>
  <c r="E2663" i="13"/>
  <c r="G2663" i="13" s="1"/>
  <c r="C2664" i="13"/>
  <c r="E2664" i="13"/>
  <c r="G2664" i="13" s="1"/>
  <c r="C2665" i="13"/>
  <c r="E2665" i="13"/>
  <c r="G2665" i="13" s="1"/>
  <c r="C2666" i="13"/>
  <c r="E2666" i="13"/>
  <c r="G2666" i="13" s="1"/>
  <c r="C2667" i="13"/>
  <c r="E2667" i="13"/>
  <c r="G2667" i="13" s="1"/>
  <c r="C2669" i="13"/>
  <c r="C2670" i="13"/>
  <c r="E2670" i="13" s="1"/>
  <c r="G2670" i="13" s="1"/>
  <c r="C2671" i="13"/>
  <c r="E2671" i="13" s="1"/>
  <c r="G2671" i="13" s="1"/>
  <c r="C2673" i="13"/>
  <c r="E2673" i="13"/>
  <c r="G2673" i="13" s="1"/>
  <c r="C2674" i="13"/>
  <c r="E2674" i="13"/>
  <c r="G2674" i="13" s="1"/>
  <c r="C2676" i="13"/>
  <c r="C2677" i="13" a="1"/>
  <c r="C2677" i="13" s="1"/>
  <c r="E2677" i="13"/>
  <c r="G2677" i="13" s="1"/>
  <c r="C2678" i="13" a="1"/>
  <c r="C2678" i="13" s="1"/>
  <c r="E2678" i="13"/>
  <c r="G2678" i="13" s="1"/>
  <c r="B2680" i="13"/>
  <c r="C2680" i="13"/>
  <c r="E2680" i="13"/>
  <c r="C2683" i="13"/>
  <c r="E2683" i="13"/>
  <c r="G2683" i="13" s="1"/>
  <c r="C2684" i="13"/>
  <c r="E2684" i="13"/>
  <c r="G2684" i="13" s="1"/>
  <c r="C2685" i="13"/>
  <c r="E2685" i="13"/>
  <c r="G2685" i="13" s="1"/>
  <c r="C2686" i="13"/>
  <c r="E2686" i="13"/>
  <c r="G2686" i="13" s="1"/>
  <c r="C2687" i="13"/>
  <c r="E2687" i="13"/>
  <c r="G2687" i="13" s="1"/>
  <c r="C2689" i="13"/>
  <c r="C2690" i="13"/>
  <c r="E2690" i="13" s="1"/>
  <c r="G2690" i="13" s="1"/>
  <c r="C2691" i="13"/>
  <c r="E2691" i="13" s="1"/>
  <c r="G2691" i="13" s="1"/>
  <c r="C2693" i="13"/>
  <c r="E2693" i="13"/>
  <c r="G2693" i="13" s="1"/>
  <c r="C2694" i="13"/>
  <c r="E2694" i="13"/>
  <c r="G2694" i="13" s="1"/>
  <c r="C2696" i="13"/>
  <c r="C2697" i="13" a="1"/>
  <c r="C2697" i="13" s="1"/>
  <c r="E2697" i="13"/>
  <c r="G2697" i="13" s="1"/>
  <c r="C2698" i="13" a="1"/>
  <c r="C2698" i="13" s="1"/>
  <c r="E2698" i="13"/>
  <c r="G2698" i="13" s="1"/>
  <c r="B2700" i="13"/>
  <c r="C2700" i="13"/>
  <c r="E2700" i="13"/>
  <c r="C2703" i="13"/>
  <c r="E2703" i="13"/>
  <c r="G2703" i="13" s="1"/>
  <c r="C2704" i="13"/>
  <c r="E2704" i="13"/>
  <c r="G2704" i="13" s="1"/>
  <c r="C2705" i="13"/>
  <c r="E2705" i="13"/>
  <c r="G2705" i="13" s="1"/>
  <c r="C2706" i="13"/>
  <c r="E2706" i="13"/>
  <c r="G2706" i="13" s="1"/>
  <c r="C2707" i="13"/>
  <c r="E2707" i="13"/>
  <c r="G2707" i="13" s="1"/>
  <c r="C2709" i="13"/>
  <c r="C2710" i="13"/>
  <c r="E2710" i="13" s="1"/>
  <c r="G2710" i="13" s="1"/>
  <c r="C2711" i="13"/>
  <c r="E2711" i="13" s="1"/>
  <c r="G2711" i="13" s="1"/>
  <c r="C2713" i="13"/>
  <c r="E2713" i="13"/>
  <c r="G2713" i="13" s="1"/>
  <c r="C2714" i="13"/>
  <c r="E2714" i="13"/>
  <c r="G2714" i="13" s="1"/>
  <c r="C2716" i="13"/>
  <c r="C2717" i="13" a="1"/>
  <c r="C2717" i="13" s="1"/>
  <c r="E2717" i="13"/>
  <c r="G2717" i="13" s="1"/>
  <c r="C2718" i="13" a="1"/>
  <c r="C2718" i="13" s="1"/>
  <c r="E2718" i="13"/>
  <c r="G2718" i="13" s="1"/>
  <c r="B2720" i="13"/>
  <c r="C2720" i="13"/>
  <c r="E2720" i="13"/>
  <c r="C2723" i="13"/>
  <c r="E2723" i="13"/>
  <c r="G2723" i="13" s="1"/>
  <c r="C2724" i="13"/>
  <c r="E2724" i="13"/>
  <c r="G2724" i="13" s="1"/>
  <c r="C2725" i="13"/>
  <c r="E2725" i="13"/>
  <c r="G2725" i="13" s="1"/>
  <c r="C2726" i="13"/>
  <c r="E2726" i="13"/>
  <c r="G2726" i="13" s="1"/>
  <c r="C2727" i="13"/>
  <c r="E2727" i="13"/>
  <c r="G2727" i="13" s="1"/>
  <c r="C2729" i="13"/>
  <c r="C2730" i="13"/>
  <c r="E2730" i="13" s="1"/>
  <c r="G2730" i="13" s="1"/>
  <c r="C2731" i="13"/>
  <c r="E2731" i="13" s="1"/>
  <c r="G2731" i="13" s="1"/>
  <c r="C2733" i="13"/>
  <c r="E2733" i="13"/>
  <c r="G2733" i="13" s="1"/>
  <c r="C2734" i="13"/>
  <c r="E2734" i="13"/>
  <c r="G2734" i="13" s="1"/>
  <c r="C2736" i="13"/>
  <c r="C2737" i="13" a="1"/>
  <c r="C2737" i="13" s="1"/>
  <c r="E2737" i="13"/>
  <c r="G2737" i="13" s="1"/>
  <c r="C2738" i="13" a="1"/>
  <c r="C2738" i="13" s="1"/>
  <c r="E2738" i="13"/>
  <c r="G2738" i="13" s="1"/>
  <c r="B2740" i="13"/>
  <c r="C2740" i="13"/>
  <c r="E2740" i="13"/>
  <c r="C2743" i="13"/>
  <c r="E2743" i="13"/>
  <c r="G2743" i="13" s="1"/>
  <c r="C2744" i="13"/>
  <c r="E2744" i="13"/>
  <c r="G2744" i="13" s="1"/>
  <c r="C2745" i="13"/>
  <c r="E2745" i="13"/>
  <c r="G2745" i="13" s="1"/>
  <c r="C2746" i="13"/>
  <c r="E2746" i="13"/>
  <c r="G2746" i="13" s="1"/>
  <c r="C2747" i="13"/>
  <c r="E2747" i="13"/>
  <c r="G2747" i="13" s="1"/>
  <c r="C2749" i="13"/>
  <c r="C2750" i="13"/>
  <c r="E2750" i="13" s="1"/>
  <c r="G2750" i="13" s="1"/>
  <c r="C2751" i="13"/>
  <c r="E2751" i="13" s="1"/>
  <c r="G2751" i="13" s="1"/>
  <c r="C2753" i="13"/>
  <c r="E2753" i="13"/>
  <c r="G2753" i="13" s="1"/>
  <c r="C2754" i="13"/>
  <c r="E2754" i="13"/>
  <c r="G2754" i="13" s="1"/>
  <c r="C2756" i="13"/>
  <c r="C2757" i="13" a="1"/>
  <c r="C2757" i="13" s="1"/>
  <c r="E2757" i="13"/>
  <c r="G2757" i="13" s="1"/>
  <c r="C2758" i="13" a="1"/>
  <c r="C2758" i="13" s="1"/>
  <c r="E2758" i="13"/>
  <c r="G2758" i="13" s="1"/>
  <c r="B2760" i="13"/>
  <c r="C2760" i="13"/>
  <c r="E2760" i="13"/>
  <c r="C2763" i="13"/>
  <c r="E2763" i="13"/>
  <c r="G2763" i="13" s="1"/>
  <c r="C2764" i="13"/>
  <c r="E2764" i="13"/>
  <c r="G2764" i="13" s="1"/>
  <c r="C2765" i="13"/>
  <c r="E2765" i="13"/>
  <c r="G2765" i="13" s="1"/>
  <c r="C2766" i="13"/>
  <c r="E2766" i="13"/>
  <c r="G2766" i="13" s="1"/>
  <c r="C2767" i="13"/>
  <c r="E2767" i="13"/>
  <c r="G2767" i="13" s="1"/>
  <c r="C2769" i="13"/>
  <c r="C2770" i="13"/>
  <c r="E2770" i="13" s="1"/>
  <c r="G2770" i="13" s="1"/>
  <c r="C2771" i="13"/>
  <c r="E2771" i="13" s="1"/>
  <c r="G2771" i="13" s="1"/>
  <c r="C2773" i="13"/>
  <c r="E2773" i="13"/>
  <c r="G2773" i="13" s="1"/>
  <c r="C2774" i="13"/>
  <c r="E2774" i="13"/>
  <c r="G2774" i="13" s="1"/>
  <c r="C2776" i="13"/>
  <c r="C2777" i="13" a="1"/>
  <c r="C2777" i="13" s="1"/>
  <c r="E2777" i="13"/>
  <c r="G2777" i="13" s="1"/>
  <c r="C2778" i="13" a="1"/>
  <c r="C2778" i="13" s="1"/>
  <c r="E2778" i="13"/>
  <c r="G2778" i="13" s="1"/>
  <c r="B284" i="11"/>
  <c r="C284" i="11"/>
  <c r="E284" i="11"/>
  <c r="C287" i="11"/>
  <c r="E287" i="11"/>
  <c r="G287" i="11" s="1"/>
  <c r="C288" i="11"/>
  <c r="E288" i="11"/>
  <c r="G288" i="11" s="1"/>
  <c r="C289" i="11"/>
  <c r="E289" i="11"/>
  <c r="G289" i="11" s="1"/>
  <c r="C290" i="11"/>
  <c r="E290" i="11"/>
  <c r="G290" i="11" s="1"/>
  <c r="C291" i="11"/>
  <c r="E291" i="11"/>
  <c r="G291" i="11" s="1"/>
  <c r="C293" i="11"/>
  <c r="E293" i="11" s="1"/>
  <c r="G293" i="11" s="1"/>
  <c r="C294" i="11"/>
  <c r="E294" i="11" s="1"/>
  <c r="G294" i="11" s="1"/>
  <c r="C295" i="11"/>
  <c r="E295" i="11" s="1"/>
  <c r="G295" i="11" s="1"/>
  <c r="C297" i="11"/>
  <c r="E297" i="11"/>
  <c r="G297" i="11" s="1"/>
  <c r="C298" i="11"/>
  <c r="E298" i="11"/>
  <c r="G298" i="11" s="1"/>
  <c r="C300" i="11"/>
  <c r="C301" i="11" a="1"/>
  <c r="C301" i="11" s="1"/>
  <c r="E301" i="11"/>
  <c r="G301" i="11" s="1"/>
  <c r="C302" i="11" a="1"/>
  <c r="C302" i="11" s="1"/>
  <c r="E302" i="11"/>
  <c r="G302" i="11" s="1"/>
  <c r="B304" i="11"/>
  <c r="C304" i="11"/>
  <c r="E304" i="11"/>
  <c r="C307" i="11"/>
  <c r="D307" i="11"/>
  <c r="C308" i="11"/>
  <c r="C309" i="11"/>
  <c r="E309" i="11"/>
  <c r="G309" i="11" s="1"/>
  <c r="C310" i="11"/>
  <c r="E310" i="11"/>
  <c r="G310" i="11" s="1"/>
  <c r="C311" i="11"/>
  <c r="E311" i="11"/>
  <c r="G311" i="11" s="1"/>
  <c r="C313" i="11"/>
  <c r="C314" i="11"/>
  <c r="C315" i="11"/>
  <c r="E315" i="11" s="1"/>
  <c r="G315" i="11" s="1"/>
  <c r="C317" i="11"/>
  <c r="E317" i="11"/>
  <c r="G317" i="11" s="1"/>
  <c r="C318" i="11"/>
  <c r="E318" i="11"/>
  <c r="G318" i="11" s="1"/>
  <c r="C320" i="11"/>
  <c r="C321" i="11" a="1"/>
  <c r="C321" i="11" s="1"/>
  <c r="E321" i="11"/>
  <c r="G321" i="11" s="1"/>
  <c r="C322" i="11" a="1"/>
  <c r="C322" i="11" s="1"/>
  <c r="E322" i="11"/>
  <c r="G322" i="11" s="1"/>
  <c r="B324" i="11"/>
  <c r="C324" i="11"/>
  <c r="E324" i="11"/>
  <c r="C327" i="11"/>
  <c r="D327" i="11"/>
  <c r="C328" i="11"/>
  <c r="C329" i="11"/>
  <c r="E329" i="11"/>
  <c r="G329" i="11" s="1"/>
  <c r="C330" i="11"/>
  <c r="E330" i="11"/>
  <c r="G330" i="11" s="1"/>
  <c r="C331" i="11"/>
  <c r="E331" i="11"/>
  <c r="G331" i="11" s="1"/>
  <c r="C333" i="11"/>
  <c r="E333" i="11" s="1"/>
  <c r="G333" i="11" s="1"/>
  <c r="C334" i="11"/>
  <c r="C335" i="11"/>
  <c r="C337" i="11"/>
  <c r="E337" i="11"/>
  <c r="G337" i="11" s="1"/>
  <c r="C338" i="11"/>
  <c r="E338" i="11"/>
  <c r="G338" i="11" s="1"/>
  <c r="C340" i="11"/>
  <c r="C341" i="11" a="1"/>
  <c r="C341" i="11" s="1"/>
  <c r="E341" i="11"/>
  <c r="G341" i="11" s="1"/>
  <c r="C342" i="11" a="1"/>
  <c r="C342" i="11" s="1"/>
  <c r="E342" i="11"/>
  <c r="G342" i="11" s="1"/>
  <c r="B344" i="11"/>
  <c r="C344" i="11"/>
  <c r="E344" i="11"/>
  <c r="C347" i="11"/>
  <c r="C348" i="11"/>
  <c r="E348" i="11"/>
  <c r="G348" i="11" s="1"/>
  <c r="C349" i="11"/>
  <c r="E349" i="11"/>
  <c r="G349" i="11" s="1"/>
  <c r="C350" i="11"/>
  <c r="E350" i="11"/>
  <c r="G350" i="11" s="1"/>
  <c r="C351" i="11"/>
  <c r="E351" i="11"/>
  <c r="G351" i="11" s="1"/>
  <c r="C353" i="11"/>
  <c r="E353" i="11" s="1"/>
  <c r="G353" i="11" s="1"/>
  <c r="C354" i="11"/>
  <c r="C355" i="11"/>
  <c r="C357" i="11"/>
  <c r="E357" i="11"/>
  <c r="G357" i="11" s="1"/>
  <c r="C358" i="11"/>
  <c r="E358" i="11"/>
  <c r="G358" i="11" s="1"/>
  <c r="C360" i="11"/>
  <c r="C361" i="11" a="1"/>
  <c r="C361" i="11" s="1"/>
  <c r="E361" i="11"/>
  <c r="G361" i="11" s="1"/>
  <c r="C362" i="11" a="1"/>
  <c r="C362" i="11" s="1"/>
  <c r="E362" i="11"/>
  <c r="G362" i="11" s="1"/>
  <c r="B364" i="11"/>
  <c r="C364" i="11"/>
  <c r="E364" i="11"/>
  <c r="C367" i="11"/>
  <c r="C368" i="11"/>
  <c r="E368" i="11"/>
  <c r="G368" i="11" s="1"/>
  <c r="C369" i="11"/>
  <c r="E369" i="11"/>
  <c r="G369" i="11" s="1"/>
  <c r="C370" i="11"/>
  <c r="E370" i="11"/>
  <c r="G370" i="11" s="1"/>
  <c r="C371" i="11"/>
  <c r="E371" i="11"/>
  <c r="G371" i="11" s="1"/>
  <c r="C373" i="11"/>
  <c r="E373" i="11" s="1"/>
  <c r="G373" i="11" s="1"/>
  <c r="C374" i="11"/>
  <c r="C375" i="11"/>
  <c r="C377" i="11"/>
  <c r="E377" i="11"/>
  <c r="G377" i="11" s="1"/>
  <c r="C378" i="11"/>
  <c r="E378" i="11"/>
  <c r="G378" i="11" s="1"/>
  <c r="C380" i="11"/>
  <c r="C381" i="11" a="1"/>
  <c r="C381" i="11" s="1"/>
  <c r="E381" i="11"/>
  <c r="G381" i="11" s="1"/>
  <c r="C382" i="11" a="1"/>
  <c r="C382" i="11" s="1"/>
  <c r="E382" i="11"/>
  <c r="G382" i="11" s="1"/>
  <c r="B384" i="11"/>
  <c r="C384" i="11"/>
  <c r="E384" i="11"/>
  <c r="C387" i="11"/>
  <c r="C388" i="11"/>
  <c r="E388" i="11"/>
  <c r="G388" i="11" s="1"/>
  <c r="C389" i="11"/>
  <c r="E389" i="11"/>
  <c r="G389" i="11" s="1"/>
  <c r="C390" i="11"/>
  <c r="E390" i="11"/>
  <c r="G390" i="11" s="1"/>
  <c r="C391" i="11"/>
  <c r="E391" i="11"/>
  <c r="G391" i="11" s="1"/>
  <c r="C393" i="11"/>
  <c r="E393" i="11" s="1"/>
  <c r="G393" i="11" s="1"/>
  <c r="C394" i="11"/>
  <c r="C395" i="11"/>
  <c r="C397" i="11"/>
  <c r="E397" i="11"/>
  <c r="G397" i="11" s="1"/>
  <c r="C398" i="11"/>
  <c r="E398" i="11"/>
  <c r="G398" i="11" s="1"/>
  <c r="C400" i="11"/>
  <c r="C401" i="11" a="1"/>
  <c r="C401" i="11" s="1"/>
  <c r="E401" i="11"/>
  <c r="G401" i="11" s="1"/>
  <c r="C402" i="11" a="1"/>
  <c r="C402" i="11" s="1"/>
  <c r="E402" i="11"/>
  <c r="G402" i="11" s="1"/>
  <c r="B404" i="11"/>
  <c r="C404" i="11"/>
  <c r="E404" i="11"/>
  <c r="C407" i="11"/>
  <c r="C408" i="11"/>
  <c r="E408" i="11"/>
  <c r="G408" i="11" s="1"/>
  <c r="C409" i="11"/>
  <c r="E409" i="11"/>
  <c r="G409" i="11" s="1"/>
  <c r="C410" i="11"/>
  <c r="E410" i="11"/>
  <c r="G410" i="11" s="1"/>
  <c r="C411" i="11"/>
  <c r="E411" i="11"/>
  <c r="G411" i="11" s="1"/>
  <c r="C413" i="11"/>
  <c r="E413" i="11" s="1"/>
  <c r="G413" i="11" s="1"/>
  <c r="C414" i="11"/>
  <c r="C415" i="11"/>
  <c r="C417" i="11"/>
  <c r="E417" i="11"/>
  <c r="G417" i="11" s="1"/>
  <c r="C418" i="11"/>
  <c r="E418" i="11"/>
  <c r="G418" i="11" s="1"/>
  <c r="C420" i="11"/>
  <c r="C421" i="11" a="1"/>
  <c r="C421" i="11" s="1"/>
  <c r="E421" i="11"/>
  <c r="G421" i="11" s="1"/>
  <c r="C422" i="11" a="1"/>
  <c r="C422" i="11" s="1"/>
  <c r="E422" i="11"/>
  <c r="G422" i="11" s="1"/>
  <c r="B424" i="11"/>
  <c r="C424" i="11"/>
  <c r="E424" i="11"/>
  <c r="C427" i="11"/>
  <c r="C428" i="11"/>
  <c r="E428" i="11"/>
  <c r="G428" i="11" s="1"/>
  <c r="C429" i="11"/>
  <c r="E429" i="11"/>
  <c r="G429" i="11" s="1"/>
  <c r="C430" i="11"/>
  <c r="E430" i="11"/>
  <c r="G430" i="11" s="1"/>
  <c r="C431" i="11"/>
  <c r="E431" i="11"/>
  <c r="G431" i="11" s="1"/>
  <c r="C433" i="11"/>
  <c r="E433" i="11" s="1"/>
  <c r="G433" i="11" s="1"/>
  <c r="C434" i="11"/>
  <c r="C435" i="11"/>
  <c r="C437" i="11"/>
  <c r="E437" i="11"/>
  <c r="G437" i="11" s="1"/>
  <c r="C438" i="11"/>
  <c r="E438" i="11"/>
  <c r="G438" i="11" s="1"/>
  <c r="C440" i="11"/>
  <c r="C441" i="11" a="1"/>
  <c r="C441" i="11" s="1"/>
  <c r="E441" i="11"/>
  <c r="G441" i="11" s="1"/>
  <c r="C442" i="11" a="1"/>
  <c r="C442" i="11" s="1"/>
  <c r="E442" i="11"/>
  <c r="G442" i="11" s="1"/>
  <c r="B444" i="11"/>
  <c r="C444" i="11"/>
  <c r="E444" i="11"/>
  <c r="C447" i="11"/>
  <c r="C448" i="11"/>
  <c r="E448" i="11"/>
  <c r="G448" i="11" s="1"/>
  <c r="C449" i="11"/>
  <c r="E449" i="11"/>
  <c r="G449" i="11" s="1"/>
  <c r="C450" i="11"/>
  <c r="E450" i="11"/>
  <c r="G450" i="11" s="1"/>
  <c r="C451" i="11"/>
  <c r="E451" i="11"/>
  <c r="G451" i="11" s="1"/>
  <c r="C453" i="11"/>
  <c r="E453" i="11" s="1"/>
  <c r="G453" i="11" s="1"/>
  <c r="C454" i="11"/>
  <c r="C455" i="11"/>
  <c r="C457" i="11"/>
  <c r="E457" i="11"/>
  <c r="G457" i="11" s="1"/>
  <c r="C458" i="11"/>
  <c r="E458" i="11"/>
  <c r="G458" i="11" s="1"/>
  <c r="C460" i="11"/>
  <c r="C461" i="11" a="1"/>
  <c r="C461" i="11" s="1"/>
  <c r="E461" i="11"/>
  <c r="G461" i="11" s="1"/>
  <c r="C462" i="11" a="1"/>
  <c r="C462" i="11" s="1"/>
  <c r="E462" i="11"/>
  <c r="G462" i="11" s="1"/>
  <c r="B464" i="11"/>
  <c r="C464" i="11"/>
  <c r="E464" i="11"/>
  <c r="C467" i="11"/>
  <c r="C468" i="11"/>
  <c r="E468" i="11"/>
  <c r="G468" i="11" s="1"/>
  <c r="C469" i="11"/>
  <c r="E469" i="11"/>
  <c r="G469" i="11" s="1"/>
  <c r="C470" i="11"/>
  <c r="E470" i="11"/>
  <c r="G470" i="11" s="1"/>
  <c r="C471" i="11"/>
  <c r="E471" i="11"/>
  <c r="G471" i="11" s="1"/>
  <c r="C473" i="11"/>
  <c r="E473" i="11" s="1"/>
  <c r="G473" i="11" s="1"/>
  <c r="C474" i="11"/>
  <c r="C475" i="11"/>
  <c r="C477" i="11"/>
  <c r="E477" i="11"/>
  <c r="G477" i="11" s="1"/>
  <c r="C478" i="11"/>
  <c r="E478" i="11"/>
  <c r="G478" i="11" s="1"/>
  <c r="C480" i="11"/>
  <c r="C481" i="11" a="1"/>
  <c r="C481" i="11" s="1"/>
  <c r="E481" i="11"/>
  <c r="G481" i="11" s="1"/>
  <c r="C482" i="11" a="1"/>
  <c r="C482" i="11" s="1"/>
  <c r="E482" i="11"/>
  <c r="G482" i="11" s="1"/>
  <c r="B484" i="11"/>
  <c r="C484" i="11"/>
  <c r="E484" i="11"/>
  <c r="C487" i="11"/>
  <c r="C488" i="11"/>
  <c r="E488" i="11"/>
  <c r="G488" i="11" s="1"/>
  <c r="C489" i="11"/>
  <c r="E489" i="11"/>
  <c r="G489" i="11" s="1"/>
  <c r="C490" i="11"/>
  <c r="E490" i="11"/>
  <c r="G490" i="11" s="1"/>
  <c r="C491" i="11"/>
  <c r="E491" i="11"/>
  <c r="G491" i="11" s="1"/>
  <c r="C493" i="11"/>
  <c r="E493" i="11" s="1"/>
  <c r="G493" i="11" s="1"/>
  <c r="C494" i="11"/>
  <c r="C495" i="11"/>
  <c r="C497" i="11"/>
  <c r="E497" i="11"/>
  <c r="G497" i="11" s="1"/>
  <c r="C498" i="11"/>
  <c r="E498" i="11"/>
  <c r="G498" i="11" s="1"/>
  <c r="C500" i="11"/>
  <c r="C501" i="11" a="1"/>
  <c r="C501" i="11" s="1"/>
  <c r="E501" i="11"/>
  <c r="G501" i="11" s="1"/>
  <c r="C502" i="11" a="1"/>
  <c r="C502" i="11" s="1"/>
  <c r="E502" i="11"/>
  <c r="G502" i="11" s="1"/>
  <c r="B504" i="11"/>
  <c r="C504" i="11"/>
  <c r="E504" i="11"/>
  <c r="C507" i="11"/>
  <c r="C508" i="11"/>
  <c r="E508" i="11"/>
  <c r="G508" i="11" s="1"/>
  <c r="C509" i="11"/>
  <c r="E509" i="11"/>
  <c r="G509" i="11" s="1"/>
  <c r="C510" i="11"/>
  <c r="E510" i="11"/>
  <c r="G510" i="11" s="1"/>
  <c r="C511" i="11"/>
  <c r="E511" i="11"/>
  <c r="G511" i="11" s="1"/>
  <c r="C513" i="11"/>
  <c r="E513" i="11" s="1"/>
  <c r="G513" i="11" s="1"/>
  <c r="C514" i="11"/>
  <c r="C515" i="11"/>
  <c r="C517" i="11"/>
  <c r="E517" i="11"/>
  <c r="G517" i="11" s="1"/>
  <c r="C518" i="11"/>
  <c r="E518" i="11"/>
  <c r="G518" i="11" s="1"/>
  <c r="C520" i="11"/>
  <c r="C521" i="11" a="1"/>
  <c r="C521" i="11" s="1"/>
  <c r="E521" i="11"/>
  <c r="G521" i="11" s="1"/>
  <c r="C522" i="11" a="1"/>
  <c r="C522" i="11" s="1"/>
  <c r="E522" i="11"/>
  <c r="G522" i="11" s="1"/>
  <c r="B524" i="11"/>
  <c r="C524" i="11"/>
  <c r="E524" i="11"/>
  <c r="C527" i="11"/>
  <c r="C528" i="11"/>
  <c r="E528" i="11"/>
  <c r="G528" i="11" s="1"/>
  <c r="C529" i="11"/>
  <c r="E529" i="11"/>
  <c r="G529" i="11" s="1"/>
  <c r="C530" i="11"/>
  <c r="E530" i="11"/>
  <c r="G530" i="11" s="1"/>
  <c r="C531" i="11"/>
  <c r="E531" i="11"/>
  <c r="G531" i="11" s="1"/>
  <c r="C533" i="11"/>
  <c r="E533" i="11" s="1"/>
  <c r="G533" i="11" s="1"/>
  <c r="C534" i="11"/>
  <c r="C535" i="11"/>
  <c r="C537" i="11"/>
  <c r="E537" i="11"/>
  <c r="G537" i="11" s="1"/>
  <c r="C538" i="11"/>
  <c r="E538" i="11"/>
  <c r="G538" i="11" s="1"/>
  <c r="C540" i="11"/>
  <c r="C541" i="11" a="1"/>
  <c r="C541" i="11" s="1"/>
  <c r="E541" i="11"/>
  <c r="G541" i="11" s="1"/>
  <c r="C542" i="11" a="1"/>
  <c r="C542" i="11" s="1"/>
  <c r="E542" i="11"/>
  <c r="G542" i="11" s="1"/>
  <c r="B544" i="11"/>
  <c r="C544" i="11"/>
  <c r="E544" i="11"/>
  <c r="C547" i="11"/>
  <c r="C548" i="11"/>
  <c r="E548" i="11"/>
  <c r="G548" i="11" s="1"/>
  <c r="C549" i="11"/>
  <c r="E549" i="11"/>
  <c r="G549" i="11" s="1"/>
  <c r="C550" i="11"/>
  <c r="E550" i="11"/>
  <c r="G550" i="11" s="1"/>
  <c r="C551" i="11"/>
  <c r="E551" i="11"/>
  <c r="G551" i="11" s="1"/>
  <c r="C553" i="11"/>
  <c r="E553" i="11" s="1"/>
  <c r="G553" i="11" s="1"/>
  <c r="C554" i="11"/>
  <c r="C555" i="11"/>
  <c r="C557" i="11"/>
  <c r="E557" i="11"/>
  <c r="G557" i="11" s="1"/>
  <c r="C558" i="11"/>
  <c r="E558" i="11"/>
  <c r="G558" i="11" s="1"/>
  <c r="C560" i="11"/>
  <c r="C561" i="11" a="1"/>
  <c r="C561" i="11" s="1"/>
  <c r="E561" i="11"/>
  <c r="G561" i="11" s="1"/>
  <c r="C562" i="11" a="1"/>
  <c r="C562" i="11" s="1"/>
  <c r="E562" i="11"/>
  <c r="G562" i="11" s="1"/>
  <c r="B564" i="11"/>
  <c r="C564" i="11"/>
  <c r="E564" i="11"/>
  <c r="C567" i="11"/>
  <c r="C568" i="11"/>
  <c r="E568" i="11"/>
  <c r="G568" i="11" s="1"/>
  <c r="C569" i="11"/>
  <c r="E569" i="11"/>
  <c r="G569" i="11" s="1"/>
  <c r="C570" i="11"/>
  <c r="E570" i="11"/>
  <c r="G570" i="11" s="1"/>
  <c r="C571" i="11"/>
  <c r="E571" i="11"/>
  <c r="G571" i="11" s="1"/>
  <c r="C573" i="11"/>
  <c r="E573" i="11" s="1"/>
  <c r="G573" i="11" s="1"/>
  <c r="C574" i="11"/>
  <c r="C575" i="11"/>
  <c r="C577" i="11"/>
  <c r="E577" i="11"/>
  <c r="G577" i="11" s="1"/>
  <c r="C578" i="11"/>
  <c r="E578" i="11"/>
  <c r="G578" i="11" s="1"/>
  <c r="C580" i="11"/>
  <c r="C581" i="11" a="1"/>
  <c r="C581" i="11" s="1"/>
  <c r="E581" i="11"/>
  <c r="G581" i="11" s="1"/>
  <c r="C582" i="11" a="1"/>
  <c r="C582" i="11" s="1"/>
  <c r="E582" i="11"/>
  <c r="G582" i="11" s="1"/>
  <c r="B584" i="11"/>
  <c r="C584" i="11"/>
  <c r="E584" i="11"/>
  <c r="C587" i="11"/>
  <c r="C588" i="11"/>
  <c r="C589" i="11"/>
  <c r="E589" i="11"/>
  <c r="G589" i="11" s="1"/>
  <c r="C590" i="11"/>
  <c r="E590" i="11"/>
  <c r="G590" i="11" s="1"/>
  <c r="C591" i="11"/>
  <c r="E591" i="11"/>
  <c r="G591" i="11" s="1"/>
  <c r="C593" i="11"/>
  <c r="E593" i="11" s="1"/>
  <c r="G593" i="11" s="1"/>
  <c r="C594" i="11"/>
  <c r="C595" i="11"/>
  <c r="C597" i="11"/>
  <c r="E597" i="11"/>
  <c r="G597" i="11" s="1"/>
  <c r="C598" i="11"/>
  <c r="E598" i="11"/>
  <c r="G598" i="11" s="1"/>
  <c r="C600" i="11"/>
  <c r="C601" i="11" a="1"/>
  <c r="C601" i="11" s="1"/>
  <c r="E601" i="11"/>
  <c r="G601" i="11" s="1"/>
  <c r="C602" i="11" a="1"/>
  <c r="C602" i="11" s="1"/>
  <c r="E602" i="11"/>
  <c r="G602" i="11" s="1"/>
  <c r="B604" i="11"/>
  <c r="C604" i="11"/>
  <c r="E604" i="11"/>
  <c r="C607" i="11"/>
  <c r="C608" i="11"/>
  <c r="C609" i="11"/>
  <c r="E609" i="11"/>
  <c r="G609" i="11" s="1"/>
  <c r="C610" i="11"/>
  <c r="E610" i="11"/>
  <c r="G610" i="11" s="1"/>
  <c r="C611" i="11"/>
  <c r="E611" i="11"/>
  <c r="G611" i="11" s="1"/>
  <c r="C613" i="11"/>
  <c r="E613" i="11" s="1"/>
  <c r="G613" i="11" s="1"/>
  <c r="C614" i="11"/>
  <c r="C615" i="11"/>
  <c r="C617" i="11"/>
  <c r="E617" i="11"/>
  <c r="G617" i="11" s="1"/>
  <c r="C618" i="11"/>
  <c r="E618" i="11"/>
  <c r="G618" i="11" s="1"/>
  <c r="C620" i="11"/>
  <c r="C621" i="11" a="1"/>
  <c r="C621" i="11" s="1"/>
  <c r="E621" i="11"/>
  <c r="G621" i="11" s="1"/>
  <c r="C622" i="11" a="1"/>
  <c r="C622" i="11" s="1"/>
  <c r="E622" i="11"/>
  <c r="G622" i="11" s="1"/>
  <c r="B624" i="11"/>
  <c r="C624" i="11"/>
  <c r="E624" i="11"/>
  <c r="C627" i="11"/>
  <c r="C628" i="11"/>
  <c r="C629" i="11"/>
  <c r="E629" i="11"/>
  <c r="G629" i="11" s="1"/>
  <c r="C630" i="11"/>
  <c r="E630" i="11"/>
  <c r="G630" i="11" s="1"/>
  <c r="C631" i="11"/>
  <c r="E631" i="11"/>
  <c r="G631" i="11" s="1"/>
  <c r="C633" i="11"/>
  <c r="E633" i="11" s="1"/>
  <c r="G633" i="11" s="1"/>
  <c r="C634" i="11"/>
  <c r="C635" i="11"/>
  <c r="C637" i="11"/>
  <c r="E637" i="11"/>
  <c r="G637" i="11" s="1"/>
  <c r="C638" i="11"/>
  <c r="E638" i="11"/>
  <c r="G638" i="11" s="1"/>
  <c r="C640" i="11"/>
  <c r="C641" i="11" a="1"/>
  <c r="C641" i="11" s="1"/>
  <c r="E641" i="11"/>
  <c r="G641" i="11" s="1"/>
  <c r="C642" i="11" a="1"/>
  <c r="C642" i="11" s="1"/>
  <c r="E642" i="11"/>
  <c r="G642" i="11" s="1"/>
  <c r="B644" i="11"/>
  <c r="C644" i="11"/>
  <c r="E644" i="11"/>
  <c r="C647" i="11"/>
  <c r="C648" i="11"/>
  <c r="C649" i="11"/>
  <c r="E649" i="11"/>
  <c r="G649" i="11" s="1"/>
  <c r="C650" i="11"/>
  <c r="E650" i="11"/>
  <c r="G650" i="11" s="1"/>
  <c r="C651" i="11"/>
  <c r="E651" i="11"/>
  <c r="G651" i="11" s="1"/>
  <c r="C653" i="11"/>
  <c r="E653" i="11" s="1"/>
  <c r="G653" i="11" s="1"/>
  <c r="C654" i="11"/>
  <c r="C655" i="11"/>
  <c r="C657" i="11"/>
  <c r="E657" i="11"/>
  <c r="G657" i="11" s="1"/>
  <c r="C658" i="11"/>
  <c r="E658" i="11"/>
  <c r="G658" i="11" s="1"/>
  <c r="C660" i="11"/>
  <c r="C661" i="11" a="1"/>
  <c r="C661" i="11" s="1"/>
  <c r="E661" i="11"/>
  <c r="G661" i="11" s="1"/>
  <c r="C662" i="11" a="1"/>
  <c r="C662" i="11" s="1"/>
  <c r="E662" i="11"/>
  <c r="G662" i="11" s="1"/>
  <c r="B664" i="11"/>
  <c r="C664" i="11"/>
  <c r="E664" i="11"/>
  <c r="C667" i="11"/>
  <c r="C668" i="11"/>
  <c r="C669" i="11"/>
  <c r="E669" i="11"/>
  <c r="G669" i="11" s="1"/>
  <c r="C670" i="11"/>
  <c r="E670" i="11"/>
  <c r="G670" i="11" s="1"/>
  <c r="C671" i="11"/>
  <c r="E671" i="11"/>
  <c r="G671" i="11" s="1"/>
  <c r="C673" i="11"/>
  <c r="E673" i="11" s="1"/>
  <c r="G673" i="11" s="1"/>
  <c r="C674" i="11"/>
  <c r="C675" i="11"/>
  <c r="C677" i="11"/>
  <c r="E677" i="11"/>
  <c r="G677" i="11" s="1"/>
  <c r="C678" i="11"/>
  <c r="E678" i="11"/>
  <c r="G678" i="11" s="1"/>
  <c r="C680" i="11"/>
  <c r="C681" i="11" a="1"/>
  <c r="C681" i="11" s="1"/>
  <c r="E681" i="11"/>
  <c r="G681" i="11" s="1"/>
  <c r="C682" i="11" a="1"/>
  <c r="C682" i="11" s="1"/>
  <c r="E682" i="11"/>
  <c r="G682" i="11" s="1"/>
  <c r="B684" i="11"/>
  <c r="C684" i="11"/>
  <c r="E684" i="11"/>
  <c r="C687" i="11"/>
  <c r="C688" i="11"/>
  <c r="C689" i="11"/>
  <c r="E689" i="11"/>
  <c r="G689" i="11" s="1"/>
  <c r="C690" i="11"/>
  <c r="E690" i="11"/>
  <c r="G690" i="11" s="1"/>
  <c r="C691" i="11"/>
  <c r="E691" i="11"/>
  <c r="G691" i="11" s="1"/>
  <c r="C693" i="11"/>
  <c r="E693" i="11" s="1"/>
  <c r="G693" i="11" s="1"/>
  <c r="C694" i="11"/>
  <c r="C695" i="11"/>
  <c r="C697" i="11"/>
  <c r="E697" i="11"/>
  <c r="G697" i="11" s="1"/>
  <c r="C698" i="11"/>
  <c r="E698" i="11"/>
  <c r="G698" i="11" s="1"/>
  <c r="C700" i="11"/>
  <c r="C701" i="11" a="1"/>
  <c r="C701" i="11" s="1"/>
  <c r="E701" i="11"/>
  <c r="G701" i="11" s="1"/>
  <c r="C702" i="11" a="1"/>
  <c r="C702" i="11" s="1"/>
  <c r="E702" i="11"/>
  <c r="G702" i="11" s="1"/>
  <c r="B704" i="11"/>
  <c r="C704" i="11"/>
  <c r="E704" i="11"/>
  <c r="C707" i="11"/>
  <c r="C708" i="11"/>
  <c r="C709" i="11"/>
  <c r="E709" i="11"/>
  <c r="G709" i="11" s="1"/>
  <c r="C710" i="11"/>
  <c r="E710" i="11"/>
  <c r="G710" i="11" s="1"/>
  <c r="C711" i="11"/>
  <c r="E711" i="11"/>
  <c r="G711" i="11" s="1"/>
  <c r="C713" i="11"/>
  <c r="E713" i="11" s="1"/>
  <c r="G713" i="11" s="1"/>
  <c r="C714" i="11"/>
  <c r="C715" i="11"/>
  <c r="C717" i="11"/>
  <c r="E717" i="11"/>
  <c r="G717" i="11" s="1"/>
  <c r="C718" i="11"/>
  <c r="E718" i="11"/>
  <c r="G718" i="11" s="1"/>
  <c r="C720" i="11"/>
  <c r="C721" i="11" a="1"/>
  <c r="C721" i="11" s="1"/>
  <c r="E721" i="11"/>
  <c r="G721" i="11" s="1"/>
  <c r="C722" i="11" a="1"/>
  <c r="C722" i="11" s="1"/>
  <c r="E722" i="11"/>
  <c r="G722" i="11" s="1"/>
  <c r="B724" i="11"/>
  <c r="C724" i="11"/>
  <c r="E724" i="11"/>
  <c r="C727" i="11"/>
  <c r="C728" i="11"/>
  <c r="C729" i="11"/>
  <c r="E729" i="11"/>
  <c r="G729" i="11" s="1"/>
  <c r="C730" i="11"/>
  <c r="E730" i="11"/>
  <c r="G730" i="11" s="1"/>
  <c r="C731" i="11"/>
  <c r="E731" i="11"/>
  <c r="G731" i="11" s="1"/>
  <c r="C733" i="11"/>
  <c r="E733" i="11" s="1"/>
  <c r="G733" i="11" s="1"/>
  <c r="C734" i="11"/>
  <c r="C735" i="11"/>
  <c r="C737" i="11"/>
  <c r="E737" i="11"/>
  <c r="G737" i="11" s="1"/>
  <c r="C738" i="11"/>
  <c r="E738" i="11"/>
  <c r="G738" i="11" s="1"/>
  <c r="C740" i="11"/>
  <c r="C741" i="11" a="1"/>
  <c r="C741" i="11" s="1"/>
  <c r="E741" i="11"/>
  <c r="G741" i="11" s="1"/>
  <c r="C742" i="11" a="1"/>
  <c r="C742" i="11" s="1"/>
  <c r="E742" i="11"/>
  <c r="G742" i="11" s="1"/>
  <c r="B744" i="11"/>
  <c r="C744" i="11"/>
  <c r="E744" i="11"/>
  <c r="C747" i="11"/>
  <c r="C748" i="11"/>
  <c r="C749" i="11"/>
  <c r="E749" i="11"/>
  <c r="G749" i="11" s="1"/>
  <c r="C750" i="11"/>
  <c r="E750" i="11"/>
  <c r="G750" i="11" s="1"/>
  <c r="C751" i="11"/>
  <c r="E751" i="11"/>
  <c r="G751" i="11" s="1"/>
  <c r="C753" i="11"/>
  <c r="E753" i="11" s="1"/>
  <c r="G753" i="11" s="1"/>
  <c r="C754" i="11"/>
  <c r="C755" i="11"/>
  <c r="C757" i="11"/>
  <c r="E757" i="11"/>
  <c r="G757" i="11" s="1"/>
  <c r="C758" i="11"/>
  <c r="E758" i="11"/>
  <c r="G758" i="11" s="1"/>
  <c r="C760" i="11"/>
  <c r="C761" i="11" a="1"/>
  <c r="C761" i="11" s="1"/>
  <c r="E761" i="11"/>
  <c r="G761" i="11" s="1"/>
  <c r="C762" i="11" a="1"/>
  <c r="C762" i="11" s="1"/>
  <c r="E762" i="11"/>
  <c r="G762" i="11" s="1"/>
  <c r="B764" i="11"/>
  <c r="C764" i="11"/>
  <c r="E764" i="11"/>
  <c r="C767" i="11"/>
  <c r="C768" i="11"/>
  <c r="C769" i="11"/>
  <c r="E769" i="11"/>
  <c r="G769" i="11" s="1"/>
  <c r="C770" i="11"/>
  <c r="E770" i="11"/>
  <c r="G770" i="11" s="1"/>
  <c r="C771" i="11"/>
  <c r="E771" i="11"/>
  <c r="G771" i="11" s="1"/>
  <c r="C773" i="11"/>
  <c r="E773" i="11" s="1"/>
  <c r="G773" i="11" s="1"/>
  <c r="C774" i="11"/>
  <c r="C775" i="11"/>
  <c r="C777" i="11"/>
  <c r="E777" i="11"/>
  <c r="G777" i="11" s="1"/>
  <c r="C778" i="11"/>
  <c r="E778" i="11"/>
  <c r="G778" i="11" s="1"/>
  <c r="C780" i="11"/>
  <c r="C781" i="11" a="1"/>
  <c r="C781" i="11" s="1"/>
  <c r="E781" i="11"/>
  <c r="G781" i="11" s="1"/>
  <c r="C782" i="11" a="1"/>
  <c r="C782" i="11" s="1"/>
  <c r="E782" i="11"/>
  <c r="G782" i="11" s="1"/>
  <c r="B784" i="11"/>
  <c r="C784" i="11"/>
  <c r="E784" i="11"/>
  <c r="C787" i="11"/>
  <c r="C788" i="11"/>
  <c r="C789" i="11"/>
  <c r="E789" i="11"/>
  <c r="G789" i="11" s="1"/>
  <c r="C790" i="11"/>
  <c r="E790" i="11"/>
  <c r="G790" i="11" s="1"/>
  <c r="C791" i="11"/>
  <c r="E791" i="11"/>
  <c r="G791" i="11" s="1"/>
  <c r="C793" i="11"/>
  <c r="E793" i="11" s="1"/>
  <c r="G793" i="11" s="1"/>
  <c r="C794" i="11"/>
  <c r="C795" i="11"/>
  <c r="C797" i="11"/>
  <c r="E797" i="11"/>
  <c r="G797" i="11" s="1"/>
  <c r="C798" i="11"/>
  <c r="E798" i="11"/>
  <c r="G798" i="11" s="1"/>
  <c r="C800" i="11"/>
  <c r="C801" i="11" a="1"/>
  <c r="C801" i="11" s="1"/>
  <c r="E801" i="11"/>
  <c r="G801" i="11" s="1"/>
  <c r="C802" i="11" a="1"/>
  <c r="C802" i="11" s="1"/>
  <c r="E802" i="11"/>
  <c r="G802" i="11" s="1"/>
  <c r="B804" i="11"/>
  <c r="C804" i="11"/>
  <c r="E804" i="11"/>
  <c r="C807" i="11"/>
  <c r="C808" i="11"/>
  <c r="C809" i="11"/>
  <c r="E809" i="11"/>
  <c r="G809" i="11" s="1"/>
  <c r="C810" i="11"/>
  <c r="E810" i="11"/>
  <c r="G810" i="11" s="1"/>
  <c r="C811" i="11"/>
  <c r="E811" i="11"/>
  <c r="G811" i="11" s="1"/>
  <c r="C813" i="11"/>
  <c r="E813" i="11" s="1"/>
  <c r="G813" i="11" s="1"/>
  <c r="C814" i="11"/>
  <c r="C815" i="11"/>
  <c r="C817" i="11"/>
  <c r="E817" i="11"/>
  <c r="G817" i="11" s="1"/>
  <c r="C818" i="11"/>
  <c r="E818" i="11"/>
  <c r="G818" i="11" s="1"/>
  <c r="C820" i="11"/>
  <c r="C821" i="11" a="1"/>
  <c r="C821" i="11" s="1"/>
  <c r="E821" i="11"/>
  <c r="G821" i="11" s="1"/>
  <c r="C822" i="11" a="1"/>
  <c r="C822" i="11" s="1"/>
  <c r="E822" i="11"/>
  <c r="G822" i="11" s="1"/>
  <c r="B824" i="11"/>
  <c r="C824" i="11"/>
  <c r="E824" i="11"/>
  <c r="C827" i="11"/>
  <c r="C828" i="11"/>
  <c r="E828" i="11"/>
  <c r="G828" i="11" s="1"/>
  <c r="C829" i="11"/>
  <c r="E829" i="11"/>
  <c r="G829" i="11" s="1"/>
  <c r="C830" i="11"/>
  <c r="E830" i="11"/>
  <c r="G830" i="11" s="1"/>
  <c r="C831" i="11"/>
  <c r="E831" i="11"/>
  <c r="G831" i="11" s="1"/>
  <c r="C833" i="11"/>
  <c r="E833" i="11" s="1"/>
  <c r="G833" i="11" s="1"/>
  <c r="C834" i="11"/>
  <c r="E834" i="11" s="1"/>
  <c r="G834" i="11" s="1"/>
  <c r="C835" i="11"/>
  <c r="C837" i="11"/>
  <c r="E837" i="11"/>
  <c r="G837" i="11" s="1"/>
  <c r="C838" i="11"/>
  <c r="E838" i="11"/>
  <c r="G838" i="11" s="1"/>
  <c r="C840" i="11"/>
  <c r="C841" i="11" a="1"/>
  <c r="C841" i="11" s="1"/>
  <c r="E841" i="11"/>
  <c r="G841" i="11" s="1"/>
  <c r="C842" i="11" a="1"/>
  <c r="C842" i="11" s="1"/>
  <c r="E842" i="11"/>
  <c r="G842" i="11" s="1"/>
  <c r="B844" i="11"/>
  <c r="C844" i="11"/>
  <c r="E844" i="11"/>
  <c r="C847" i="11"/>
  <c r="E847" i="11"/>
  <c r="G847" i="11" s="1"/>
  <c r="C848" i="11"/>
  <c r="E848" i="11"/>
  <c r="G848" i="11" s="1"/>
  <c r="C849" i="11"/>
  <c r="E849" i="11"/>
  <c r="G849" i="11" s="1"/>
  <c r="C850" i="11"/>
  <c r="E850" i="11"/>
  <c r="G850" i="11" s="1"/>
  <c r="C851" i="11"/>
  <c r="E851" i="11"/>
  <c r="G851" i="11" s="1"/>
  <c r="C853" i="11"/>
  <c r="E853" i="11" s="1"/>
  <c r="G853" i="11" s="1"/>
  <c r="C854" i="11"/>
  <c r="C855" i="11"/>
  <c r="C857" i="11"/>
  <c r="E857" i="11"/>
  <c r="G857" i="11" s="1"/>
  <c r="C858" i="11"/>
  <c r="E858" i="11"/>
  <c r="G858" i="11" s="1"/>
  <c r="C860" i="11"/>
  <c r="C861" i="11" a="1"/>
  <c r="C861" i="11" s="1"/>
  <c r="E861" i="11"/>
  <c r="G861" i="11" s="1"/>
  <c r="C862" i="11" a="1"/>
  <c r="C862" i="11" s="1"/>
  <c r="E862" i="11"/>
  <c r="G862" i="11" s="1"/>
  <c r="B864" i="11"/>
  <c r="C864" i="11"/>
  <c r="E864" i="11"/>
  <c r="C867" i="11"/>
  <c r="E867" i="11"/>
  <c r="G867" i="11" s="1"/>
  <c r="C868" i="11"/>
  <c r="E868" i="11"/>
  <c r="G868" i="11" s="1"/>
  <c r="C869" i="11"/>
  <c r="E869" i="11"/>
  <c r="G869" i="11" s="1"/>
  <c r="C870" i="11"/>
  <c r="E870" i="11"/>
  <c r="G870" i="11" s="1"/>
  <c r="C871" i="11"/>
  <c r="E871" i="11"/>
  <c r="G871" i="11" s="1"/>
  <c r="C873" i="11"/>
  <c r="E873" i="11" s="1"/>
  <c r="G873" i="11" s="1"/>
  <c r="C874" i="11"/>
  <c r="C875" i="11"/>
  <c r="C877" i="11"/>
  <c r="E877" i="11"/>
  <c r="G877" i="11" s="1"/>
  <c r="C878" i="11"/>
  <c r="E878" i="11"/>
  <c r="G878" i="11" s="1"/>
  <c r="C880" i="11"/>
  <c r="C881" i="11" a="1"/>
  <c r="C881" i="11" s="1"/>
  <c r="E881" i="11"/>
  <c r="G881" i="11" s="1"/>
  <c r="C882" i="11" a="1"/>
  <c r="C882" i="11" s="1"/>
  <c r="E882" i="11"/>
  <c r="G882" i="11" s="1"/>
  <c r="B884" i="11"/>
  <c r="C884" i="11"/>
  <c r="E884" i="11"/>
  <c r="C887" i="11"/>
  <c r="E887" i="11"/>
  <c r="G887" i="11" s="1"/>
  <c r="C888" i="11"/>
  <c r="E888" i="11"/>
  <c r="G888" i="11" s="1"/>
  <c r="C889" i="11"/>
  <c r="E889" i="11"/>
  <c r="G889" i="11" s="1"/>
  <c r="C890" i="11"/>
  <c r="E890" i="11"/>
  <c r="G890" i="11" s="1"/>
  <c r="C891" i="11"/>
  <c r="E891" i="11"/>
  <c r="G891" i="11" s="1"/>
  <c r="C893" i="11"/>
  <c r="E893" i="11" s="1"/>
  <c r="G893" i="11" s="1"/>
  <c r="C894" i="11"/>
  <c r="C895" i="11"/>
  <c r="C897" i="11"/>
  <c r="E897" i="11"/>
  <c r="G897" i="11" s="1"/>
  <c r="C898" i="11"/>
  <c r="E898" i="11"/>
  <c r="G898" i="11" s="1"/>
  <c r="C900" i="11"/>
  <c r="C901" i="11" a="1"/>
  <c r="C901" i="11" s="1"/>
  <c r="E901" i="11"/>
  <c r="G901" i="11" s="1"/>
  <c r="C902" i="11" a="1"/>
  <c r="C902" i="11" s="1"/>
  <c r="E902" i="11"/>
  <c r="G902" i="11" s="1"/>
  <c r="B904" i="11"/>
  <c r="C904" i="11"/>
  <c r="E904" i="11"/>
  <c r="C907" i="11"/>
  <c r="C908" i="11"/>
  <c r="E908" i="11"/>
  <c r="G908" i="11" s="1"/>
  <c r="C909" i="11"/>
  <c r="E909" i="11"/>
  <c r="G909" i="11" s="1"/>
  <c r="C910" i="11"/>
  <c r="E910" i="11"/>
  <c r="G910" i="11" s="1"/>
  <c r="C911" i="11"/>
  <c r="E911" i="11"/>
  <c r="G911" i="11" s="1"/>
  <c r="C913" i="11"/>
  <c r="E913" i="11" s="1"/>
  <c r="G913" i="11" s="1"/>
  <c r="C914" i="11"/>
  <c r="C915" i="11"/>
  <c r="C917" i="11"/>
  <c r="E917" i="11"/>
  <c r="G917" i="11" s="1"/>
  <c r="C918" i="11"/>
  <c r="E918" i="11"/>
  <c r="G918" i="11" s="1"/>
  <c r="C920" i="11"/>
  <c r="C921" i="11" a="1"/>
  <c r="C921" i="11" s="1"/>
  <c r="E921" i="11"/>
  <c r="G921" i="11" s="1"/>
  <c r="C922" i="11" a="1"/>
  <c r="C922" i="11" s="1"/>
  <c r="E922" i="11"/>
  <c r="G922" i="11" s="1"/>
  <c r="B924" i="11"/>
  <c r="C924" i="11"/>
  <c r="E924" i="11"/>
  <c r="C927" i="11"/>
  <c r="C928" i="11"/>
  <c r="E928" i="11"/>
  <c r="G928" i="11" s="1"/>
  <c r="C929" i="11"/>
  <c r="E929" i="11"/>
  <c r="G929" i="11" s="1"/>
  <c r="C930" i="11"/>
  <c r="E930" i="11"/>
  <c r="G930" i="11" s="1"/>
  <c r="C931" i="11"/>
  <c r="E931" i="11"/>
  <c r="G931" i="11" s="1"/>
  <c r="C933" i="11"/>
  <c r="E933" i="11" s="1"/>
  <c r="G933" i="11" s="1"/>
  <c r="C934" i="11"/>
  <c r="C935" i="11"/>
  <c r="C937" i="11"/>
  <c r="E937" i="11"/>
  <c r="G937" i="11" s="1"/>
  <c r="C938" i="11"/>
  <c r="E938" i="11"/>
  <c r="G938" i="11" s="1"/>
  <c r="C940" i="11"/>
  <c r="C941" i="11" a="1"/>
  <c r="C941" i="11" s="1"/>
  <c r="E941" i="11"/>
  <c r="G941" i="11" s="1"/>
  <c r="C942" i="11" a="1"/>
  <c r="C942" i="11" s="1"/>
  <c r="E942" i="11"/>
  <c r="G942" i="11" s="1"/>
  <c r="B944" i="11"/>
  <c r="C944" i="11"/>
  <c r="E944" i="11"/>
  <c r="C947" i="11"/>
  <c r="C948" i="11"/>
  <c r="E948" i="11"/>
  <c r="G948" i="11" s="1"/>
  <c r="C949" i="11"/>
  <c r="E949" i="11"/>
  <c r="G949" i="11" s="1"/>
  <c r="C950" i="11"/>
  <c r="E950" i="11"/>
  <c r="G950" i="11" s="1"/>
  <c r="C951" i="11"/>
  <c r="E951" i="11"/>
  <c r="G951" i="11" s="1"/>
  <c r="C953" i="11"/>
  <c r="E953" i="11" s="1"/>
  <c r="G953" i="11" s="1"/>
  <c r="C954" i="11"/>
  <c r="C955" i="11"/>
  <c r="C957" i="11"/>
  <c r="E957" i="11"/>
  <c r="G957" i="11" s="1"/>
  <c r="C958" i="11"/>
  <c r="E958" i="11"/>
  <c r="G958" i="11" s="1"/>
  <c r="C960" i="11"/>
  <c r="C961" i="11" a="1"/>
  <c r="C961" i="11" s="1"/>
  <c r="E961" i="11"/>
  <c r="G961" i="11" s="1"/>
  <c r="C962" i="11" a="1"/>
  <c r="C962" i="11" s="1"/>
  <c r="E962" i="11"/>
  <c r="G962" i="11" s="1"/>
  <c r="B964" i="11"/>
  <c r="C964" i="11"/>
  <c r="E964" i="11"/>
  <c r="C967" i="11"/>
  <c r="C968" i="11"/>
  <c r="E968" i="11"/>
  <c r="G968" i="11" s="1"/>
  <c r="C969" i="11"/>
  <c r="E969" i="11"/>
  <c r="G969" i="11" s="1"/>
  <c r="C970" i="11"/>
  <c r="E970" i="11"/>
  <c r="G970" i="11" s="1"/>
  <c r="C971" i="11"/>
  <c r="E971" i="11"/>
  <c r="G971" i="11" s="1"/>
  <c r="C973" i="11"/>
  <c r="E973" i="11" s="1"/>
  <c r="G973" i="11" s="1"/>
  <c r="C974" i="11"/>
  <c r="C975" i="11"/>
  <c r="C977" i="11"/>
  <c r="E977" i="11"/>
  <c r="G977" i="11" s="1"/>
  <c r="C978" i="11"/>
  <c r="E978" i="11"/>
  <c r="G978" i="11" s="1"/>
  <c r="C980" i="11"/>
  <c r="C981" i="11" a="1"/>
  <c r="C981" i="11" s="1"/>
  <c r="E981" i="11"/>
  <c r="G981" i="11" s="1"/>
  <c r="C982" i="11" a="1"/>
  <c r="C982" i="11" s="1"/>
  <c r="E982" i="11"/>
  <c r="G982" i="11" s="1"/>
  <c r="B984" i="11"/>
  <c r="C984" i="11"/>
  <c r="E984" i="11"/>
  <c r="C987" i="11"/>
  <c r="C988" i="11"/>
  <c r="E988" i="11"/>
  <c r="G988" i="11" s="1"/>
  <c r="C989" i="11"/>
  <c r="E989" i="11"/>
  <c r="G989" i="11" s="1"/>
  <c r="C990" i="11"/>
  <c r="E990" i="11"/>
  <c r="G990" i="11" s="1"/>
  <c r="C991" i="11"/>
  <c r="E991" i="11"/>
  <c r="G991" i="11" s="1"/>
  <c r="C993" i="11"/>
  <c r="E993" i="11" s="1"/>
  <c r="G993" i="11" s="1"/>
  <c r="C994" i="11"/>
  <c r="C995" i="11"/>
  <c r="C997" i="11"/>
  <c r="E997" i="11"/>
  <c r="G997" i="11" s="1"/>
  <c r="C998" i="11"/>
  <c r="E998" i="11"/>
  <c r="G998" i="11" s="1"/>
  <c r="C1000" i="11"/>
  <c r="C1001" i="11" a="1"/>
  <c r="C1001" i="11" s="1"/>
  <c r="E1001" i="11"/>
  <c r="G1001" i="11" s="1"/>
  <c r="C1002" i="11" a="1"/>
  <c r="C1002" i="11" s="1"/>
  <c r="E1002" i="11"/>
  <c r="G1002" i="11" s="1"/>
  <c r="B1004" i="11"/>
  <c r="C1004" i="11"/>
  <c r="E1004" i="11"/>
  <c r="C1007" i="11"/>
  <c r="C1008" i="11"/>
  <c r="E1008" i="11"/>
  <c r="G1008" i="11" s="1"/>
  <c r="C1009" i="11"/>
  <c r="E1009" i="11"/>
  <c r="G1009" i="11" s="1"/>
  <c r="C1010" i="11"/>
  <c r="E1010" i="11"/>
  <c r="G1010" i="11" s="1"/>
  <c r="C1011" i="11"/>
  <c r="E1011" i="11"/>
  <c r="G1011" i="11" s="1"/>
  <c r="C1013" i="11"/>
  <c r="E1013" i="11" s="1"/>
  <c r="G1013" i="11" s="1"/>
  <c r="C1014" i="11"/>
  <c r="C1015" i="11"/>
  <c r="C1017" i="11"/>
  <c r="E1017" i="11"/>
  <c r="G1017" i="11" s="1"/>
  <c r="C1018" i="11"/>
  <c r="E1018" i="11"/>
  <c r="G1018" i="11" s="1"/>
  <c r="C1020" i="11"/>
  <c r="C1021" i="11" a="1"/>
  <c r="C1021" i="11" s="1"/>
  <c r="E1021" i="11"/>
  <c r="G1021" i="11" s="1"/>
  <c r="C1022" i="11" a="1"/>
  <c r="C1022" i="11" s="1"/>
  <c r="E1022" i="11"/>
  <c r="G1022" i="11" s="1"/>
  <c r="B1024" i="11"/>
  <c r="C1024" i="11"/>
  <c r="E1024" i="11"/>
  <c r="C1027" i="11"/>
  <c r="D1027" i="11"/>
  <c r="C1028" i="11"/>
  <c r="C1029" i="11"/>
  <c r="E1029" i="11"/>
  <c r="G1029" i="11" s="1"/>
  <c r="C1030" i="11"/>
  <c r="E1030" i="11"/>
  <c r="G1030" i="11" s="1"/>
  <c r="C1031" i="11"/>
  <c r="E1031" i="11"/>
  <c r="G1031" i="11" s="1"/>
  <c r="C1033" i="11"/>
  <c r="C1034" i="11"/>
  <c r="C1035" i="11"/>
  <c r="E1035" i="11" s="1"/>
  <c r="G1035" i="11" s="1"/>
  <c r="C1037" i="11"/>
  <c r="E1037" i="11"/>
  <c r="G1037" i="11" s="1"/>
  <c r="C1038" i="11"/>
  <c r="E1038" i="11"/>
  <c r="G1038" i="11" s="1"/>
  <c r="C1040" i="11"/>
  <c r="C1041" i="11" a="1"/>
  <c r="C1041" i="11" s="1"/>
  <c r="E1041" i="11"/>
  <c r="G1041" i="11" s="1"/>
  <c r="C1042" i="11" a="1"/>
  <c r="C1042" i="11" s="1"/>
  <c r="E1042" i="11"/>
  <c r="G1042" i="11" s="1"/>
  <c r="B1044" i="11"/>
  <c r="C1044" i="11"/>
  <c r="E1044" i="11"/>
  <c r="C1047" i="11"/>
  <c r="D1047" i="11"/>
  <c r="C1048" i="11"/>
  <c r="C1049" i="11"/>
  <c r="E1049" i="11"/>
  <c r="G1049" i="11" s="1"/>
  <c r="C1050" i="11"/>
  <c r="E1050" i="11"/>
  <c r="G1050" i="11" s="1"/>
  <c r="C1051" i="11"/>
  <c r="E1051" i="11"/>
  <c r="G1051" i="11" s="1"/>
  <c r="C1053" i="11"/>
  <c r="C1054" i="11"/>
  <c r="C1055" i="11"/>
  <c r="E1055" i="11" s="1"/>
  <c r="G1055" i="11" s="1"/>
  <c r="C1057" i="11"/>
  <c r="E1057" i="11"/>
  <c r="G1057" i="11" s="1"/>
  <c r="C1058" i="11"/>
  <c r="E1058" i="11"/>
  <c r="G1058" i="11" s="1"/>
  <c r="C1060" i="11"/>
  <c r="C1061" i="11" a="1"/>
  <c r="C1061" i="11" s="1"/>
  <c r="E1061" i="11"/>
  <c r="G1061" i="11" s="1"/>
  <c r="C1062" i="11" a="1"/>
  <c r="C1062" i="11" s="1"/>
  <c r="E1062" i="11"/>
  <c r="G1062" i="11" s="1"/>
  <c r="B1064" i="11"/>
  <c r="C1064" i="11"/>
  <c r="E1064" i="11"/>
  <c r="C1067" i="11"/>
  <c r="D1067" i="11"/>
  <c r="C1068" i="11"/>
  <c r="E1068" i="11"/>
  <c r="G1068" i="11" s="1"/>
  <c r="C1069" i="11"/>
  <c r="E1069" i="11"/>
  <c r="G1069" i="11" s="1"/>
  <c r="C1070" i="11"/>
  <c r="E1070" i="11"/>
  <c r="G1070" i="11" s="1"/>
  <c r="C1071" i="11"/>
  <c r="E1071" i="11"/>
  <c r="G1071" i="11" s="1"/>
  <c r="C1073" i="11"/>
  <c r="C1074" i="11"/>
  <c r="C1075" i="11"/>
  <c r="E1075" i="11" s="1"/>
  <c r="G1075" i="11" s="1"/>
  <c r="C1077" i="11"/>
  <c r="E1077" i="11"/>
  <c r="G1077" i="11" s="1"/>
  <c r="C1078" i="11"/>
  <c r="E1078" i="11"/>
  <c r="G1078" i="11" s="1"/>
  <c r="C1080" i="11"/>
  <c r="C1081" i="11" a="1"/>
  <c r="C1081" i="11" s="1"/>
  <c r="E1081" i="11"/>
  <c r="G1081" i="11" s="1"/>
  <c r="C1082" i="11" a="1"/>
  <c r="C1082" i="11" s="1"/>
  <c r="E1082" i="11"/>
  <c r="G1082" i="11" s="1"/>
  <c r="B1084" i="11"/>
  <c r="C1084" i="11"/>
  <c r="E1084" i="11"/>
  <c r="C1087" i="11"/>
  <c r="E1087" i="11"/>
  <c r="G1087" i="11" s="1"/>
  <c r="C1088" i="11"/>
  <c r="E1088" i="11"/>
  <c r="G1088" i="11" s="1"/>
  <c r="C1089" i="11"/>
  <c r="E1089" i="11"/>
  <c r="G1089" i="11" s="1"/>
  <c r="C1090" i="11"/>
  <c r="E1090" i="11"/>
  <c r="G1090" i="11" s="1"/>
  <c r="C1091" i="11"/>
  <c r="E1091" i="11"/>
  <c r="G1091" i="11" s="1"/>
  <c r="C1093" i="11"/>
  <c r="E1093" i="11" s="1"/>
  <c r="G1093" i="11" s="1"/>
  <c r="C1094" i="11"/>
  <c r="C1095" i="11"/>
  <c r="C1097" i="11"/>
  <c r="E1097" i="11"/>
  <c r="G1097" i="11" s="1"/>
  <c r="C1098" i="11"/>
  <c r="E1098" i="11"/>
  <c r="G1098" i="11" s="1"/>
  <c r="C1100" i="11"/>
  <c r="C1101" i="11" a="1"/>
  <c r="C1101" i="11" s="1"/>
  <c r="E1101" i="11"/>
  <c r="G1101" i="11" s="1"/>
  <c r="C1102" i="11" a="1"/>
  <c r="C1102" i="11" s="1"/>
  <c r="E1102" i="11"/>
  <c r="G1102" i="11" s="1"/>
  <c r="B1104" i="11"/>
  <c r="C1104" i="11"/>
  <c r="E1104" i="11"/>
  <c r="C1107" i="11"/>
  <c r="C1108" i="11"/>
  <c r="C1109" i="11"/>
  <c r="E1109" i="11"/>
  <c r="G1109" i="11" s="1"/>
  <c r="C1110" i="11"/>
  <c r="E1110" i="11"/>
  <c r="G1110" i="11" s="1"/>
  <c r="C1111" i="11"/>
  <c r="E1111" i="11"/>
  <c r="G1111" i="11" s="1"/>
  <c r="C1113" i="11"/>
  <c r="E1113" i="11" s="1"/>
  <c r="G1113" i="11" s="1"/>
  <c r="C1114" i="11"/>
  <c r="C1115" i="11"/>
  <c r="C1117" i="11"/>
  <c r="E1117" i="11"/>
  <c r="G1117" i="11" s="1"/>
  <c r="C1118" i="11"/>
  <c r="E1118" i="11"/>
  <c r="G1118" i="11" s="1"/>
  <c r="C1120" i="11"/>
  <c r="C1121" i="11" a="1"/>
  <c r="C1121" i="11" s="1"/>
  <c r="E1121" i="11"/>
  <c r="G1121" i="11" s="1"/>
  <c r="C1122" i="11" a="1"/>
  <c r="C1122" i="11" s="1"/>
  <c r="E1122" i="11"/>
  <c r="G1122" i="11" s="1"/>
  <c r="B1124" i="11"/>
  <c r="C1124" i="11"/>
  <c r="E1124" i="11"/>
  <c r="C1127" i="11"/>
  <c r="C1128" i="11"/>
  <c r="C1129" i="11"/>
  <c r="E1129" i="11"/>
  <c r="G1129" i="11" s="1"/>
  <c r="C1130" i="11"/>
  <c r="E1130" i="11"/>
  <c r="G1130" i="11" s="1"/>
  <c r="C1131" i="11"/>
  <c r="E1131" i="11"/>
  <c r="G1131" i="11" s="1"/>
  <c r="C1133" i="11"/>
  <c r="E1133" i="11" s="1"/>
  <c r="G1133" i="11" s="1"/>
  <c r="C1134" i="11"/>
  <c r="C1135" i="11"/>
  <c r="C1137" i="11"/>
  <c r="E1137" i="11"/>
  <c r="G1137" i="11" s="1"/>
  <c r="C1138" i="11"/>
  <c r="E1138" i="11"/>
  <c r="G1138" i="11" s="1"/>
  <c r="C1140" i="11"/>
  <c r="C1141" i="11" a="1"/>
  <c r="C1141" i="11" s="1"/>
  <c r="E1141" i="11"/>
  <c r="G1141" i="11" s="1"/>
  <c r="C1142" i="11" a="1"/>
  <c r="C1142" i="11" s="1"/>
  <c r="E1142" i="11"/>
  <c r="G1142" i="11" s="1"/>
  <c r="B1144" i="11"/>
  <c r="C1144" i="11"/>
  <c r="E1144" i="11"/>
  <c r="C1147" i="11"/>
  <c r="C1148" i="11"/>
  <c r="C1149" i="11"/>
  <c r="E1149" i="11"/>
  <c r="G1149" i="11" s="1"/>
  <c r="C1150" i="11"/>
  <c r="E1150" i="11"/>
  <c r="G1150" i="11" s="1"/>
  <c r="C1151" i="11"/>
  <c r="E1151" i="11"/>
  <c r="G1151" i="11" s="1"/>
  <c r="C1153" i="11"/>
  <c r="E1153" i="11" s="1"/>
  <c r="G1153" i="11" s="1"/>
  <c r="C1154" i="11"/>
  <c r="C1155" i="11"/>
  <c r="C1157" i="11"/>
  <c r="E1157" i="11"/>
  <c r="G1157" i="11" s="1"/>
  <c r="C1158" i="11"/>
  <c r="E1158" i="11"/>
  <c r="G1158" i="11" s="1"/>
  <c r="C1160" i="11"/>
  <c r="C1161" i="11" a="1"/>
  <c r="C1161" i="11" s="1"/>
  <c r="E1161" i="11"/>
  <c r="G1161" i="11" s="1"/>
  <c r="C1162" i="11" a="1"/>
  <c r="C1162" i="11" s="1"/>
  <c r="E1162" i="11"/>
  <c r="G1162" i="11" s="1"/>
  <c r="B1164" i="11"/>
  <c r="C1164" i="11"/>
  <c r="E1164" i="11"/>
  <c r="C1167" i="11"/>
  <c r="C1168" i="11"/>
  <c r="C1169" i="11"/>
  <c r="E1169" i="11"/>
  <c r="G1169" i="11" s="1"/>
  <c r="C1170" i="11"/>
  <c r="E1170" i="11"/>
  <c r="G1170" i="11" s="1"/>
  <c r="C1171" i="11"/>
  <c r="E1171" i="11"/>
  <c r="G1171" i="11" s="1"/>
  <c r="C1173" i="11"/>
  <c r="E1173" i="11" s="1"/>
  <c r="G1173" i="11" s="1"/>
  <c r="C1174" i="11"/>
  <c r="C1175" i="11"/>
  <c r="C1177" i="11"/>
  <c r="E1177" i="11"/>
  <c r="G1177" i="11" s="1"/>
  <c r="C1178" i="11"/>
  <c r="E1178" i="11"/>
  <c r="G1178" i="11" s="1"/>
  <c r="C1180" i="11"/>
  <c r="C1181" i="11" a="1"/>
  <c r="C1181" i="11" s="1"/>
  <c r="E1181" i="11"/>
  <c r="G1181" i="11" s="1"/>
  <c r="C1182" i="11" a="1"/>
  <c r="C1182" i="11" s="1"/>
  <c r="E1182" i="11"/>
  <c r="G1182" i="11" s="1"/>
  <c r="B1184" i="11"/>
  <c r="C1184" i="11"/>
  <c r="E1184" i="11"/>
  <c r="C1187" i="11"/>
  <c r="C1188" i="11"/>
  <c r="C1189" i="11"/>
  <c r="E1189" i="11"/>
  <c r="G1189" i="11" s="1"/>
  <c r="C1190" i="11"/>
  <c r="E1190" i="11"/>
  <c r="G1190" i="11" s="1"/>
  <c r="C1191" i="11"/>
  <c r="E1191" i="11"/>
  <c r="G1191" i="11" s="1"/>
  <c r="C1193" i="11"/>
  <c r="E1193" i="11" s="1"/>
  <c r="G1193" i="11" s="1"/>
  <c r="C1194" i="11"/>
  <c r="C1195" i="11"/>
  <c r="C1197" i="11"/>
  <c r="E1197" i="11"/>
  <c r="G1197" i="11" s="1"/>
  <c r="C1198" i="11"/>
  <c r="E1198" i="11"/>
  <c r="G1198" i="11" s="1"/>
  <c r="C1200" i="11"/>
  <c r="C1201" i="11" a="1"/>
  <c r="C1201" i="11" s="1"/>
  <c r="E1201" i="11"/>
  <c r="G1201" i="11" s="1"/>
  <c r="C1202" i="11" a="1"/>
  <c r="C1202" i="11" s="1"/>
  <c r="E1202" i="11"/>
  <c r="G1202" i="11" s="1"/>
  <c r="B1204" i="11"/>
  <c r="C1204" i="11"/>
  <c r="E1204" i="11"/>
  <c r="C1207" i="11"/>
  <c r="C1208" i="11"/>
  <c r="C1209" i="11"/>
  <c r="E1209" i="11"/>
  <c r="G1209" i="11" s="1"/>
  <c r="C1210" i="11"/>
  <c r="E1210" i="11"/>
  <c r="G1210" i="11" s="1"/>
  <c r="C1211" i="11"/>
  <c r="E1211" i="11"/>
  <c r="G1211" i="11" s="1"/>
  <c r="C1213" i="11"/>
  <c r="E1213" i="11" s="1"/>
  <c r="G1213" i="11" s="1"/>
  <c r="C1214" i="11"/>
  <c r="C1215" i="11"/>
  <c r="C1217" i="11"/>
  <c r="E1217" i="11"/>
  <c r="G1217" i="11" s="1"/>
  <c r="C1218" i="11"/>
  <c r="E1218" i="11"/>
  <c r="G1218" i="11" s="1"/>
  <c r="C1220" i="11"/>
  <c r="C1221" i="11" a="1"/>
  <c r="C1221" i="11" s="1"/>
  <c r="E1221" i="11"/>
  <c r="G1221" i="11" s="1"/>
  <c r="C1222" i="11" a="1"/>
  <c r="C1222" i="11" s="1"/>
  <c r="E1222" i="11"/>
  <c r="G1222" i="11" s="1"/>
  <c r="B1224" i="11"/>
  <c r="C1224" i="11"/>
  <c r="E1224" i="11"/>
  <c r="C1227" i="11"/>
  <c r="E1227" i="11"/>
  <c r="G1227" i="11" s="1"/>
  <c r="C1228" i="11"/>
  <c r="D1228" i="11"/>
  <c r="E1228" i="11"/>
  <c r="C1229" i="11"/>
  <c r="E1229" i="11"/>
  <c r="G1229" i="11" s="1"/>
  <c r="C1230" i="11"/>
  <c r="E1230" i="11"/>
  <c r="G1230" i="11" s="1"/>
  <c r="C1231" i="11"/>
  <c r="E1231" i="11"/>
  <c r="G1231" i="11" s="1"/>
  <c r="C1233" i="11"/>
  <c r="E1233" i="11" s="1"/>
  <c r="G1233" i="11" s="1"/>
  <c r="C1234" i="11"/>
  <c r="E1234" i="11" s="1"/>
  <c r="G1234" i="11" s="1"/>
  <c r="C1235" i="11"/>
  <c r="C1237" i="11"/>
  <c r="E1237" i="11"/>
  <c r="G1237" i="11" s="1"/>
  <c r="C1238" i="11"/>
  <c r="E1238" i="11"/>
  <c r="G1238" i="11" s="1"/>
  <c r="C1240" i="11"/>
  <c r="C1241" i="11" a="1"/>
  <c r="C1241" i="11" s="1"/>
  <c r="E1241" i="11"/>
  <c r="G1241" i="11" s="1"/>
  <c r="C1242" i="11" a="1"/>
  <c r="C1242" i="11" s="1"/>
  <c r="E1242" i="11"/>
  <c r="G1242" i="11" s="1"/>
  <c r="B1244" i="11"/>
  <c r="C1244" i="11"/>
  <c r="E1244" i="11"/>
  <c r="C1247" i="11"/>
  <c r="C1248" i="11"/>
  <c r="D1248" i="11"/>
  <c r="C1249" i="11"/>
  <c r="E1249" i="11"/>
  <c r="G1249" i="11" s="1"/>
  <c r="C1250" i="11"/>
  <c r="E1250" i="11"/>
  <c r="G1250" i="11" s="1"/>
  <c r="C1251" i="11"/>
  <c r="E1251" i="11"/>
  <c r="G1251" i="11" s="1"/>
  <c r="C1253" i="11"/>
  <c r="E1253" i="11" s="1"/>
  <c r="G1253" i="11" s="1"/>
  <c r="C1254" i="11"/>
  <c r="C1255" i="11"/>
  <c r="C1257" i="11"/>
  <c r="E1257" i="11"/>
  <c r="G1257" i="11" s="1"/>
  <c r="C1258" i="11"/>
  <c r="E1258" i="11"/>
  <c r="G1258" i="11" s="1"/>
  <c r="C1260" i="11"/>
  <c r="C1261" i="11" a="1"/>
  <c r="C1261" i="11" s="1"/>
  <c r="E1261" i="11"/>
  <c r="G1261" i="11" s="1"/>
  <c r="C1262" i="11" a="1"/>
  <c r="C1262" i="11" s="1"/>
  <c r="E1262" i="11"/>
  <c r="G1262" i="11" s="1"/>
  <c r="B1264" i="11"/>
  <c r="C1264" i="11"/>
  <c r="E1264" i="11"/>
  <c r="C1267" i="11"/>
  <c r="D1267" i="11"/>
  <c r="C1268" i="11"/>
  <c r="D1268" i="11"/>
  <c r="C1269" i="11"/>
  <c r="E1269" i="11"/>
  <c r="G1269" i="11" s="1"/>
  <c r="C1270" i="11"/>
  <c r="E1270" i="11"/>
  <c r="G1270" i="11" s="1"/>
  <c r="C1271" i="11"/>
  <c r="E1271" i="11"/>
  <c r="G1271" i="11" s="1"/>
  <c r="C1273" i="11"/>
  <c r="C1274" i="11"/>
  <c r="C1275" i="11"/>
  <c r="E1275" i="11" s="1"/>
  <c r="G1275" i="11" s="1"/>
  <c r="C1277" i="11"/>
  <c r="E1277" i="11"/>
  <c r="G1277" i="11" s="1"/>
  <c r="C1278" i="11"/>
  <c r="E1278" i="11"/>
  <c r="G1278" i="11" s="1"/>
  <c r="C1280" i="11"/>
  <c r="C1281" i="11" a="1"/>
  <c r="C1281" i="11" s="1"/>
  <c r="E1281" i="11"/>
  <c r="G1281" i="11" s="1"/>
  <c r="C1282" i="11" a="1"/>
  <c r="C1282" i="11" s="1"/>
  <c r="E1282" i="11"/>
  <c r="G1282" i="11" s="1"/>
  <c r="B1284" i="11"/>
  <c r="C1284" i="11"/>
  <c r="E1284" i="11"/>
  <c r="C1287" i="11"/>
  <c r="D1287" i="11"/>
  <c r="C1288" i="11"/>
  <c r="D1288" i="11"/>
  <c r="C1289" i="11"/>
  <c r="E1289" i="11"/>
  <c r="G1289" i="11" s="1"/>
  <c r="C1290" i="11"/>
  <c r="E1290" i="11"/>
  <c r="G1290" i="11" s="1"/>
  <c r="C1291" i="11"/>
  <c r="E1291" i="11"/>
  <c r="G1291" i="11" s="1"/>
  <c r="C1293" i="11"/>
  <c r="C1294" i="11"/>
  <c r="C1295" i="11"/>
  <c r="E1295" i="11" s="1"/>
  <c r="G1295" i="11" s="1"/>
  <c r="C1297" i="11"/>
  <c r="E1297" i="11"/>
  <c r="G1297" i="11" s="1"/>
  <c r="C1298" i="11"/>
  <c r="E1298" i="11"/>
  <c r="G1298" i="11" s="1"/>
  <c r="C1300" i="11"/>
  <c r="C1301" i="11" a="1"/>
  <c r="C1301" i="11" s="1"/>
  <c r="E1301" i="11"/>
  <c r="G1301" i="11" s="1"/>
  <c r="C1302" i="11" a="1"/>
  <c r="C1302" i="11" s="1"/>
  <c r="E1302" i="11"/>
  <c r="G1302" i="11" s="1"/>
  <c r="B1304" i="11"/>
  <c r="C1304" i="11"/>
  <c r="E1304" i="11"/>
  <c r="C1307" i="11"/>
  <c r="D1307" i="11"/>
  <c r="C1308" i="11"/>
  <c r="D1308" i="11"/>
  <c r="C1309" i="11"/>
  <c r="E1309" i="11"/>
  <c r="G1309" i="11" s="1"/>
  <c r="C1310" i="11"/>
  <c r="E1310" i="11"/>
  <c r="G1310" i="11" s="1"/>
  <c r="C1311" i="11"/>
  <c r="E1311" i="11"/>
  <c r="G1311" i="11" s="1"/>
  <c r="C1313" i="11"/>
  <c r="C1314" i="11"/>
  <c r="C1315" i="11"/>
  <c r="E1315" i="11" s="1"/>
  <c r="G1315" i="11" s="1"/>
  <c r="C1317" i="11"/>
  <c r="E1317" i="11"/>
  <c r="G1317" i="11" s="1"/>
  <c r="C1318" i="11"/>
  <c r="E1318" i="11"/>
  <c r="G1318" i="11" s="1"/>
  <c r="C1320" i="11"/>
  <c r="C1321" i="11" a="1"/>
  <c r="C1321" i="11" s="1"/>
  <c r="E1321" i="11"/>
  <c r="G1321" i="11" s="1"/>
  <c r="C1322" i="11" a="1"/>
  <c r="C1322" i="11" s="1"/>
  <c r="E1322" i="11"/>
  <c r="G1322" i="11" s="1"/>
  <c r="B1324" i="11"/>
  <c r="C1324" i="11"/>
  <c r="E1324" i="11"/>
  <c r="C1327" i="11"/>
  <c r="E1327" i="11"/>
  <c r="G1327" i="11" s="1"/>
  <c r="C1328" i="11"/>
  <c r="E1328" i="11"/>
  <c r="G1328" i="11" s="1"/>
  <c r="C1329" i="11"/>
  <c r="E1329" i="11"/>
  <c r="G1329" i="11" s="1"/>
  <c r="C1330" i="11"/>
  <c r="E1330" i="11"/>
  <c r="G1330" i="11" s="1"/>
  <c r="C1331" i="11"/>
  <c r="E1331" i="11"/>
  <c r="G1331" i="11" s="1"/>
  <c r="C1333" i="11"/>
  <c r="E1333" i="11" s="1"/>
  <c r="G1333" i="11" s="1"/>
  <c r="C1334" i="11"/>
  <c r="C1335" i="11"/>
  <c r="E1335" i="11" s="1"/>
  <c r="G1335" i="11" s="1"/>
  <c r="C1337" i="11"/>
  <c r="E1337" i="11"/>
  <c r="G1337" i="11" s="1"/>
  <c r="C1338" i="11"/>
  <c r="E1338" i="11"/>
  <c r="G1338" i="11" s="1"/>
  <c r="C1340" i="11"/>
  <c r="C1341" i="11" a="1"/>
  <c r="C1341" i="11" s="1"/>
  <c r="E1341" i="11"/>
  <c r="G1341" i="11" s="1"/>
  <c r="C1342" i="11" a="1"/>
  <c r="C1342" i="11" s="1"/>
  <c r="E1342" i="11"/>
  <c r="G1342" i="11" s="1"/>
  <c r="B1344" i="11"/>
  <c r="C1344" i="11"/>
  <c r="E1344" i="11"/>
  <c r="C1347" i="11"/>
  <c r="C1348" i="11"/>
  <c r="E1348" i="11"/>
  <c r="G1348" i="11" s="1"/>
  <c r="C1349" i="11"/>
  <c r="E1349" i="11"/>
  <c r="G1349" i="11" s="1"/>
  <c r="C1350" i="11"/>
  <c r="E1350" i="11"/>
  <c r="G1350" i="11" s="1"/>
  <c r="C1351" i="11"/>
  <c r="E1351" i="11"/>
  <c r="G1351" i="11" s="1"/>
  <c r="C1353" i="11"/>
  <c r="E1353" i="11" s="1"/>
  <c r="G1353" i="11" s="1"/>
  <c r="C1354" i="11"/>
  <c r="C1355" i="11"/>
  <c r="C1357" i="11"/>
  <c r="E1357" i="11"/>
  <c r="G1357" i="11" s="1"/>
  <c r="C1358" i="11"/>
  <c r="E1358" i="11"/>
  <c r="G1358" i="11" s="1"/>
  <c r="C1360" i="11"/>
  <c r="F1360" i="11"/>
  <c r="C1361" i="11" a="1"/>
  <c r="C1361" i="11" s="1"/>
  <c r="E1361" i="11"/>
  <c r="G1361" i="11" s="1"/>
  <c r="C1362" i="11" a="1"/>
  <c r="C1362" i="11" s="1"/>
  <c r="E1362" i="11"/>
  <c r="G1362" i="11" s="1"/>
  <c r="B1364" i="11"/>
  <c r="C1364" i="11"/>
  <c r="E1364" i="11"/>
  <c r="C1367" i="11"/>
  <c r="E1367" i="11"/>
  <c r="G1367" i="11" s="1"/>
  <c r="C1368" i="11"/>
  <c r="E1368" i="11"/>
  <c r="G1368" i="11" s="1"/>
  <c r="C1369" i="11"/>
  <c r="E1369" i="11"/>
  <c r="G1369" i="11" s="1"/>
  <c r="C1370" i="11"/>
  <c r="E1370" i="11"/>
  <c r="G1370" i="11" s="1"/>
  <c r="C1371" i="11"/>
  <c r="E1371" i="11"/>
  <c r="G1371" i="11" s="1"/>
  <c r="C1373" i="11"/>
  <c r="C1374" i="11"/>
  <c r="C1375" i="11"/>
  <c r="E1375" i="11" s="1"/>
  <c r="G1375" i="11" s="1"/>
  <c r="C1377" i="11"/>
  <c r="E1377" i="11"/>
  <c r="G1377" i="11" s="1"/>
  <c r="C1378" i="11"/>
  <c r="E1378" i="11"/>
  <c r="G1378" i="11" s="1"/>
  <c r="C1380" i="11"/>
  <c r="C1381" i="11" a="1"/>
  <c r="C1381" i="11" s="1"/>
  <c r="E1381" i="11"/>
  <c r="G1381" i="11" s="1"/>
  <c r="C1382" i="11" a="1"/>
  <c r="C1382" i="11" s="1"/>
  <c r="E1382" i="11"/>
  <c r="G1382" i="11" s="1"/>
  <c r="B1384" i="11"/>
  <c r="C1384" i="11"/>
  <c r="E1384" i="11"/>
  <c r="C1387" i="11"/>
  <c r="E1387" i="11"/>
  <c r="G1387" i="11" s="1"/>
  <c r="C1388" i="11"/>
  <c r="E1388" i="11"/>
  <c r="G1388" i="11" s="1"/>
  <c r="C1389" i="11"/>
  <c r="E1389" i="11"/>
  <c r="G1389" i="11" s="1"/>
  <c r="C1390" i="11"/>
  <c r="E1390" i="11"/>
  <c r="G1390" i="11" s="1"/>
  <c r="C1391" i="11"/>
  <c r="E1391" i="11"/>
  <c r="G1391" i="11" s="1"/>
  <c r="C1393" i="11"/>
  <c r="C1394" i="11"/>
  <c r="C1395" i="11"/>
  <c r="E1395" i="11" s="1"/>
  <c r="G1395" i="11" s="1"/>
  <c r="C1397" i="11"/>
  <c r="E1397" i="11"/>
  <c r="G1397" i="11" s="1"/>
  <c r="C1398" i="11"/>
  <c r="E1398" i="11"/>
  <c r="G1398" i="11" s="1"/>
  <c r="C1400" i="11"/>
  <c r="C1401" i="11" a="1"/>
  <c r="C1401" i="11" s="1"/>
  <c r="E1401" i="11"/>
  <c r="G1401" i="11" s="1"/>
  <c r="C1402" i="11" a="1"/>
  <c r="C1402" i="11" s="1"/>
  <c r="E1402" i="11"/>
  <c r="G1402" i="11" s="1"/>
  <c r="B1404" i="11"/>
  <c r="C1404" i="11"/>
  <c r="E1404" i="11"/>
  <c r="C1407" i="11"/>
  <c r="E1407" i="11"/>
  <c r="G1407" i="11" s="1"/>
  <c r="C1408" i="11"/>
  <c r="E1408" i="11"/>
  <c r="G1408" i="11" s="1"/>
  <c r="C1409" i="11"/>
  <c r="E1409" i="11"/>
  <c r="G1409" i="11" s="1"/>
  <c r="C1410" i="11"/>
  <c r="E1410" i="11"/>
  <c r="G1410" i="11" s="1"/>
  <c r="C1411" i="11"/>
  <c r="E1411" i="11"/>
  <c r="G1411" i="11" s="1"/>
  <c r="C1413" i="11"/>
  <c r="C1414" i="11"/>
  <c r="C1415" i="11"/>
  <c r="E1415" i="11" s="1"/>
  <c r="G1415" i="11" s="1"/>
  <c r="C1417" i="11"/>
  <c r="E1417" i="11"/>
  <c r="G1417" i="11" s="1"/>
  <c r="C1418" i="11"/>
  <c r="E1418" i="11"/>
  <c r="G1418" i="11" s="1"/>
  <c r="C1420" i="11"/>
  <c r="C1421" i="11" a="1"/>
  <c r="C1421" i="11" s="1"/>
  <c r="E1421" i="11"/>
  <c r="G1421" i="11" s="1"/>
  <c r="C1422" i="11" a="1"/>
  <c r="C1422" i="11" s="1"/>
  <c r="E1422" i="11"/>
  <c r="G1422" i="11" s="1"/>
  <c r="B1424" i="11"/>
  <c r="C1424" i="11"/>
  <c r="E1424" i="11"/>
  <c r="C1427" i="11"/>
  <c r="E1427" i="11"/>
  <c r="G1427" i="11" s="1"/>
  <c r="C1428" i="11"/>
  <c r="E1428" i="11"/>
  <c r="G1428" i="11" s="1"/>
  <c r="C1429" i="11"/>
  <c r="E1429" i="11"/>
  <c r="G1429" i="11" s="1"/>
  <c r="C1430" i="11"/>
  <c r="E1430" i="11"/>
  <c r="G1430" i="11" s="1"/>
  <c r="C1431" i="11"/>
  <c r="E1431" i="11"/>
  <c r="G1431" i="11" s="1"/>
  <c r="C1433" i="11"/>
  <c r="C1434" i="11"/>
  <c r="C1435" i="11"/>
  <c r="E1435" i="11" s="1"/>
  <c r="G1435" i="11" s="1"/>
  <c r="C1437" i="11"/>
  <c r="E1437" i="11"/>
  <c r="G1437" i="11" s="1"/>
  <c r="C1438" i="11"/>
  <c r="E1438" i="11"/>
  <c r="G1438" i="11" s="1"/>
  <c r="C1440" i="11"/>
  <c r="C1441" i="11" a="1"/>
  <c r="C1441" i="11" s="1"/>
  <c r="E1441" i="11"/>
  <c r="G1441" i="11" s="1"/>
  <c r="C1442" i="11" a="1"/>
  <c r="C1442" i="11" s="1"/>
  <c r="E1442" i="11"/>
  <c r="G1442" i="11" s="1"/>
  <c r="B1444" i="11"/>
  <c r="C1444" i="11"/>
  <c r="E1444" i="11"/>
  <c r="C1447" i="11"/>
  <c r="E1447" i="11"/>
  <c r="G1447" i="11" s="1"/>
  <c r="C1448" i="11"/>
  <c r="E1448" i="11"/>
  <c r="G1448" i="11" s="1"/>
  <c r="C1449" i="11"/>
  <c r="E1449" i="11"/>
  <c r="G1449" i="11" s="1"/>
  <c r="C1450" i="11"/>
  <c r="E1450" i="11"/>
  <c r="G1450" i="11" s="1"/>
  <c r="C1451" i="11"/>
  <c r="E1451" i="11"/>
  <c r="G1451" i="11" s="1"/>
  <c r="C1453" i="11"/>
  <c r="C1454" i="11"/>
  <c r="C1455" i="11"/>
  <c r="E1455" i="11" s="1"/>
  <c r="G1455" i="11" s="1"/>
  <c r="C1457" i="11"/>
  <c r="E1457" i="11"/>
  <c r="G1457" i="11" s="1"/>
  <c r="C1458" i="11"/>
  <c r="E1458" i="11"/>
  <c r="G1458" i="11" s="1"/>
  <c r="C1460" i="11"/>
  <c r="C1461" i="11" a="1"/>
  <c r="C1461" i="11" s="1"/>
  <c r="E1461" i="11"/>
  <c r="G1461" i="11" s="1"/>
  <c r="C1462" i="11" a="1"/>
  <c r="C1462" i="11" s="1"/>
  <c r="E1462" i="11"/>
  <c r="G1462" i="11" s="1"/>
  <c r="B1464" i="11"/>
  <c r="C1464" i="11"/>
  <c r="E1464" i="11"/>
  <c r="C1467" i="11"/>
  <c r="E1467" i="11"/>
  <c r="G1467" i="11" s="1"/>
  <c r="C1468" i="11"/>
  <c r="E1468" i="11"/>
  <c r="G1468" i="11" s="1"/>
  <c r="C1469" i="11"/>
  <c r="E1469" i="11"/>
  <c r="G1469" i="11" s="1"/>
  <c r="C1470" i="11"/>
  <c r="E1470" i="11"/>
  <c r="G1470" i="11" s="1"/>
  <c r="C1471" i="11"/>
  <c r="E1471" i="11"/>
  <c r="G1471" i="11" s="1"/>
  <c r="C1473" i="11"/>
  <c r="C1474" i="11"/>
  <c r="C1475" i="11"/>
  <c r="E1475" i="11" s="1"/>
  <c r="G1475" i="11" s="1"/>
  <c r="C1477" i="11"/>
  <c r="E1477" i="11"/>
  <c r="G1477" i="11" s="1"/>
  <c r="C1478" i="11"/>
  <c r="E1478" i="11"/>
  <c r="G1478" i="11" s="1"/>
  <c r="C1480" i="11"/>
  <c r="C1481" i="11" a="1"/>
  <c r="C1481" i="11" s="1"/>
  <c r="E1481" i="11"/>
  <c r="G1481" i="11" s="1"/>
  <c r="C1482" i="11" a="1"/>
  <c r="C1482" i="11" s="1"/>
  <c r="E1482" i="11"/>
  <c r="G1482" i="11" s="1"/>
  <c r="B1484" i="11"/>
  <c r="C1484" i="11"/>
  <c r="E1484" i="11"/>
  <c r="C1487" i="11"/>
  <c r="C1488" i="11"/>
  <c r="E1488" i="11"/>
  <c r="G1488" i="11" s="1"/>
  <c r="C1489" i="11"/>
  <c r="E1489" i="11"/>
  <c r="G1489" i="11" s="1"/>
  <c r="C1490" i="11"/>
  <c r="E1490" i="11"/>
  <c r="G1490" i="11" s="1"/>
  <c r="C1491" i="11"/>
  <c r="E1491" i="11"/>
  <c r="G1491" i="11" s="1"/>
  <c r="C1493" i="11"/>
  <c r="E1493" i="11" s="1"/>
  <c r="G1493" i="11" s="1"/>
  <c r="C1494" i="11"/>
  <c r="E1494" i="11" s="1"/>
  <c r="G1494" i="11" s="1"/>
  <c r="C1495" i="11"/>
  <c r="E1495" i="11" s="1"/>
  <c r="G1495" i="11" s="1"/>
  <c r="C1496" i="11"/>
  <c r="C1498" i="11"/>
  <c r="E1498" i="11"/>
  <c r="G1498" i="11" s="1"/>
  <c r="C1499" i="11"/>
  <c r="E1499" i="11"/>
  <c r="G1499" i="11" s="1"/>
  <c r="C1501" i="11"/>
  <c r="C1502" i="11" a="1"/>
  <c r="C1502" i="11" s="1"/>
  <c r="E1502" i="11"/>
  <c r="G1502" i="11" s="1"/>
  <c r="C1503" i="11" a="1"/>
  <c r="C1503" i="11" s="1"/>
  <c r="E1503" i="11"/>
  <c r="G1503" i="11" s="1"/>
  <c r="B1505" i="11"/>
  <c r="C1505" i="11"/>
  <c r="E1505" i="11"/>
  <c r="C1508" i="11"/>
  <c r="C1509" i="11"/>
  <c r="E1509" i="11"/>
  <c r="G1509" i="11" s="1"/>
  <c r="C1510" i="11"/>
  <c r="E1510" i="11"/>
  <c r="G1510" i="11" s="1"/>
  <c r="C1511" i="11"/>
  <c r="E1511" i="11"/>
  <c r="G1511" i="11" s="1"/>
  <c r="C1512" i="11"/>
  <c r="E1512" i="11"/>
  <c r="G1512" i="11" s="1"/>
  <c r="C1514" i="11"/>
  <c r="E1514" i="11" s="1"/>
  <c r="G1514" i="11" s="1"/>
  <c r="C1515" i="11"/>
  <c r="E1515" i="11" s="1"/>
  <c r="G1515" i="11" s="1"/>
  <c r="C1516" i="11"/>
  <c r="E1516" i="11" s="1"/>
  <c r="G1516" i="11" s="1"/>
  <c r="C1517" i="11"/>
  <c r="C1519" i="11"/>
  <c r="E1519" i="11"/>
  <c r="G1519" i="11" s="1"/>
  <c r="C1520" i="11"/>
  <c r="E1520" i="11"/>
  <c r="G1520" i="11" s="1"/>
  <c r="C1522" i="11"/>
  <c r="C1523" i="11" a="1"/>
  <c r="C1523" i="11" s="1"/>
  <c r="E1523" i="11"/>
  <c r="G1523" i="11" s="1"/>
  <c r="C1524" i="11" a="1"/>
  <c r="C1524" i="11" s="1"/>
  <c r="E1524" i="11"/>
  <c r="G1524" i="11" s="1"/>
  <c r="B1526" i="11"/>
  <c r="C1526" i="11"/>
  <c r="E1526" i="11"/>
  <c r="C1529" i="11"/>
  <c r="C1530" i="11"/>
  <c r="E1530" i="11"/>
  <c r="G1530" i="11" s="1"/>
  <c r="C1531" i="11"/>
  <c r="E1531" i="11"/>
  <c r="G1531" i="11" s="1"/>
  <c r="C1532" i="11"/>
  <c r="E1532" i="11"/>
  <c r="G1532" i="11" s="1"/>
  <c r="C1533" i="11"/>
  <c r="E1533" i="11"/>
  <c r="G1533" i="11" s="1"/>
  <c r="C1535" i="11"/>
  <c r="E1535" i="11" s="1"/>
  <c r="G1535" i="11" s="1"/>
  <c r="C1536" i="11"/>
  <c r="E1536" i="11" s="1"/>
  <c r="G1536" i="11" s="1"/>
  <c r="C1537" i="11"/>
  <c r="E1537" i="11" s="1"/>
  <c r="G1537" i="11" s="1"/>
  <c r="C1538" i="11"/>
  <c r="C1540" i="11"/>
  <c r="E1540" i="11"/>
  <c r="G1540" i="11" s="1"/>
  <c r="C1541" i="11"/>
  <c r="E1541" i="11"/>
  <c r="G1541" i="11" s="1"/>
  <c r="C1543" i="11"/>
  <c r="C1544" i="11" a="1"/>
  <c r="C1544" i="11" s="1"/>
  <c r="E1544" i="11"/>
  <c r="G1544" i="11" s="1"/>
  <c r="C1545" i="11" a="1"/>
  <c r="C1545" i="11" s="1"/>
  <c r="E1545" i="11"/>
  <c r="G1545" i="11" s="1"/>
  <c r="B1547" i="11"/>
  <c r="C1547" i="11"/>
  <c r="E1547" i="11"/>
  <c r="C1550" i="11"/>
  <c r="C1551" i="11"/>
  <c r="E1551" i="11"/>
  <c r="G1551" i="11" s="1"/>
  <c r="C1552" i="11"/>
  <c r="E1552" i="11"/>
  <c r="G1552" i="11" s="1"/>
  <c r="C1553" i="11"/>
  <c r="E1553" i="11"/>
  <c r="G1553" i="11" s="1"/>
  <c r="C1554" i="11"/>
  <c r="E1554" i="11"/>
  <c r="G1554" i="11" s="1"/>
  <c r="C1556" i="11"/>
  <c r="E1556" i="11" s="1"/>
  <c r="G1556" i="11" s="1"/>
  <c r="C1557" i="11"/>
  <c r="E1557" i="11" s="1"/>
  <c r="G1557" i="11" s="1"/>
  <c r="C1558" i="11"/>
  <c r="E1558" i="11" s="1"/>
  <c r="G1558" i="11" s="1"/>
  <c r="C1559" i="11"/>
  <c r="C1561" i="11"/>
  <c r="E1561" i="11"/>
  <c r="G1561" i="11" s="1"/>
  <c r="C1562" i="11"/>
  <c r="E1562" i="11"/>
  <c r="G1562" i="11" s="1"/>
  <c r="C1564" i="11"/>
  <c r="C1565" i="11" a="1"/>
  <c r="C1565" i="11" s="1"/>
  <c r="E1565" i="11"/>
  <c r="G1565" i="11" s="1"/>
  <c r="C1566" i="11" a="1"/>
  <c r="C1566" i="11" s="1"/>
  <c r="E1566" i="11"/>
  <c r="G1566" i="11" s="1"/>
  <c r="B1568" i="11"/>
  <c r="C1568" i="11"/>
  <c r="E1568" i="11"/>
  <c r="C1571" i="11"/>
  <c r="C1572" i="11"/>
  <c r="E1572" i="11"/>
  <c r="G1572" i="11" s="1"/>
  <c r="C1573" i="11"/>
  <c r="E1573" i="11"/>
  <c r="G1573" i="11" s="1"/>
  <c r="C1574" i="11"/>
  <c r="E1574" i="11"/>
  <c r="G1574" i="11" s="1"/>
  <c r="C1575" i="11"/>
  <c r="E1575" i="11"/>
  <c r="G1575" i="11" s="1"/>
  <c r="C1577" i="11"/>
  <c r="E1577" i="11" s="1"/>
  <c r="G1577" i="11" s="1"/>
  <c r="C1578" i="11"/>
  <c r="E1578" i="11" s="1"/>
  <c r="G1578" i="11" s="1"/>
  <c r="C1579" i="11"/>
  <c r="E1579" i="11" s="1"/>
  <c r="G1579" i="11" s="1"/>
  <c r="C1580" i="11"/>
  <c r="C1582" i="11"/>
  <c r="E1582" i="11"/>
  <c r="G1582" i="11" s="1"/>
  <c r="C1583" i="11"/>
  <c r="E1583" i="11"/>
  <c r="G1583" i="11" s="1"/>
  <c r="C1585" i="11"/>
  <c r="C1586" i="11" a="1"/>
  <c r="C1586" i="11" s="1"/>
  <c r="E1586" i="11"/>
  <c r="G1586" i="11" s="1"/>
  <c r="C1587" i="11" a="1"/>
  <c r="C1587" i="11" s="1"/>
  <c r="E1587" i="11"/>
  <c r="G1587" i="11" s="1"/>
  <c r="B1589" i="11"/>
  <c r="C1589" i="11"/>
  <c r="E1589" i="11"/>
  <c r="C1592" i="11"/>
  <c r="C1593" i="11"/>
  <c r="E1593" i="11"/>
  <c r="G1593" i="11" s="1"/>
  <c r="C1594" i="11"/>
  <c r="E1594" i="11"/>
  <c r="G1594" i="11" s="1"/>
  <c r="C1595" i="11"/>
  <c r="E1595" i="11"/>
  <c r="G1595" i="11" s="1"/>
  <c r="C1596" i="11"/>
  <c r="E1596" i="11"/>
  <c r="G1596" i="11" s="1"/>
  <c r="C1598" i="11"/>
  <c r="E1598" i="11" s="1"/>
  <c r="G1598" i="11" s="1"/>
  <c r="C1599" i="11"/>
  <c r="E1599" i="11" s="1"/>
  <c r="G1599" i="11" s="1"/>
  <c r="C1600" i="11"/>
  <c r="E1600" i="11" s="1"/>
  <c r="G1600" i="11" s="1"/>
  <c r="C1601" i="11"/>
  <c r="C1603" i="11"/>
  <c r="E1603" i="11"/>
  <c r="G1603" i="11" s="1"/>
  <c r="C1604" i="11"/>
  <c r="E1604" i="11"/>
  <c r="G1604" i="11" s="1"/>
  <c r="C1606" i="11"/>
  <c r="C1607" i="11" a="1"/>
  <c r="C1607" i="11" s="1"/>
  <c r="E1607" i="11"/>
  <c r="G1607" i="11" s="1"/>
  <c r="C1608" i="11" a="1"/>
  <c r="C1608" i="11" s="1"/>
  <c r="E1608" i="11"/>
  <c r="G1608" i="11" s="1"/>
  <c r="B1610" i="11"/>
  <c r="C1610" i="11"/>
  <c r="E1610" i="11"/>
  <c r="C1613" i="11"/>
  <c r="C1614" i="11"/>
  <c r="D1614" i="11"/>
  <c r="C1615" i="11"/>
  <c r="E1615" i="11"/>
  <c r="G1615" i="11" s="1"/>
  <c r="C1616" i="11"/>
  <c r="E1616" i="11"/>
  <c r="G1616" i="11" s="1"/>
  <c r="C1617" i="11"/>
  <c r="E1617" i="11"/>
  <c r="G1617" i="11" s="1"/>
  <c r="C1619" i="11"/>
  <c r="E1619" i="11" s="1"/>
  <c r="G1619" i="11" s="1"/>
  <c r="C1620" i="11"/>
  <c r="C1621" i="11"/>
  <c r="E1621" i="11" s="1"/>
  <c r="G1621" i="11" s="1"/>
  <c r="C1623" i="11"/>
  <c r="E1623" i="11"/>
  <c r="G1623" i="11" s="1"/>
  <c r="C1624" i="11"/>
  <c r="E1624" i="11"/>
  <c r="G1624" i="11" s="1"/>
  <c r="C1626" i="11"/>
  <c r="C1627" i="11" a="1"/>
  <c r="C1627" i="11" s="1"/>
  <c r="E1627" i="11"/>
  <c r="G1627" i="11" s="1"/>
  <c r="C1628" i="11" a="1"/>
  <c r="C1628" i="11" s="1"/>
  <c r="E1628" i="11"/>
  <c r="G1628" i="11" s="1"/>
  <c r="B1630" i="11"/>
  <c r="C1630" i="11"/>
  <c r="E1630" i="11"/>
  <c r="C1633" i="11"/>
  <c r="C1634" i="11"/>
  <c r="C1635" i="11"/>
  <c r="E1635" i="11"/>
  <c r="G1635" i="11" s="1"/>
  <c r="C1636" i="11"/>
  <c r="E1636" i="11"/>
  <c r="G1636" i="11" s="1"/>
  <c r="C1637" i="11"/>
  <c r="E1637" i="11"/>
  <c r="G1637" i="11" s="1"/>
  <c r="C1639" i="11"/>
  <c r="E1639" i="11" s="1"/>
  <c r="G1639" i="11" s="1"/>
  <c r="C1640" i="11"/>
  <c r="C1641" i="11"/>
  <c r="E1641" i="11" s="1"/>
  <c r="G1641" i="11" s="1"/>
  <c r="C1643" i="11"/>
  <c r="E1643" i="11"/>
  <c r="G1643" i="11" s="1"/>
  <c r="C1644" i="11"/>
  <c r="E1644" i="11"/>
  <c r="G1644" i="11" s="1"/>
  <c r="C1646" i="11"/>
  <c r="C1647" i="11" a="1"/>
  <c r="C1647" i="11" s="1"/>
  <c r="E1647" i="11"/>
  <c r="G1647" i="11" s="1"/>
  <c r="C1648" i="11" a="1"/>
  <c r="C1648" i="11" s="1"/>
  <c r="E1648" i="11"/>
  <c r="G1648" i="11" s="1"/>
  <c r="B1650" i="11"/>
  <c r="C1650" i="11"/>
  <c r="E1650" i="11"/>
  <c r="C1653" i="11"/>
  <c r="C1654" i="11"/>
  <c r="C1655" i="11"/>
  <c r="E1655" i="11"/>
  <c r="G1655" i="11" s="1"/>
  <c r="C1656" i="11"/>
  <c r="E1656" i="11"/>
  <c r="G1656" i="11" s="1"/>
  <c r="C1657" i="11"/>
  <c r="E1657" i="11"/>
  <c r="G1657" i="11" s="1"/>
  <c r="C1659" i="11"/>
  <c r="E1659" i="11" s="1"/>
  <c r="G1659" i="11" s="1"/>
  <c r="C1660" i="11"/>
  <c r="E1660" i="11" s="1"/>
  <c r="G1660" i="11" s="1"/>
  <c r="C1661" i="11"/>
  <c r="E1661" i="11" s="1"/>
  <c r="G1661" i="11" s="1"/>
  <c r="C1662" i="11"/>
  <c r="E1662" i="11" s="1"/>
  <c r="G1662" i="11" s="1"/>
  <c r="C1663" i="11"/>
  <c r="E1663" i="11" s="1"/>
  <c r="G1663" i="11" s="1"/>
  <c r="C1664" i="11"/>
  <c r="C1666" i="11"/>
  <c r="E1666" i="11"/>
  <c r="G1666" i="11" s="1"/>
  <c r="C1667" i="11"/>
  <c r="E1667" i="11"/>
  <c r="G1667" i="11" s="1"/>
  <c r="C1669" i="11"/>
  <c r="C1670" i="11" a="1"/>
  <c r="C1670" i="11" s="1"/>
  <c r="E1670" i="11"/>
  <c r="G1670" i="11" s="1"/>
  <c r="C1671" i="11" a="1"/>
  <c r="C1671" i="11" s="1"/>
  <c r="E1671" i="11"/>
  <c r="G1671" i="11" s="1"/>
  <c r="B1673" i="11"/>
  <c r="C1673" i="11"/>
  <c r="E1673" i="11"/>
  <c r="C1676" i="11"/>
  <c r="E1676" i="11"/>
  <c r="G1676" i="11" s="1"/>
  <c r="C1677" i="11"/>
  <c r="C1678" i="11"/>
  <c r="E1678" i="11"/>
  <c r="G1678" i="11" s="1"/>
  <c r="C1679" i="11"/>
  <c r="E1679" i="11"/>
  <c r="G1679" i="11" s="1"/>
  <c r="C1680" i="11"/>
  <c r="E1680" i="11"/>
  <c r="G1680" i="11" s="1"/>
  <c r="C1682" i="11"/>
  <c r="E1682" i="11" s="1"/>
  <c r="G1682" i="11" s="1"/>
  <c r="C1683" i="11"/>
  <c r="E1683" i="11" s="1"/>
  <c r="G1683" i="11" s="1"/>
  <c r="C1684" i="11"/>
  <c r="E1684" i="11" s="1"/>
  <c r="G1684" i="11" s="1"/>
  <c r="C1685" i="11"/>
  <c r="E1685" i="11" s="1"/>
  <c r="G1685" i="11" s="1"/>
  <c r="C1686" i="11"/>
  <c r="E1686" i="11" s="1"/>
  <c r="G1686" i="11" s="1"/>
  <c r="C1687" i="11"/>
  <c r="C1689" i="11"/>
  <c r="E1689" i="11"/>
  <c r="G1689" i="11" s="1"/>
  <c r="C1690" i="11"/>
  <c r="E1690" i="11"/>
  <c r="G1690" i="11" s="1"/>
  <c r="C1692" i="11"/>
  <c r="C1693" i="11" a="1"/>
  <c r="C1693" i="11" s="1"/>
  <c r="E1693" i="11"/>
  <c r="G1693" i="11" s="1"/>
  <c r="C1694" i="11" a="1"/>
  <c r="C1694" i="11" s="1"/>
  <c r="E1694" i="11"/>
  <c r="G1694" i="11" s="1"/>
  <c r="B1696" i="11"/>
  <c r="C1696" i="11"/>
  <c r="E1696" i="11"/>
  <c r="C1699" i="11"/>
  <c r="C1700" i="11"/>
  <c r="C1701" i="11"/>
  <c r="E1701" i="11"/>
  <c r="G1701" i="11" s="1"/>
  <c r="C1702" i="11"/>
  <c r="E1702" i="11"/>
  <c r="G1702" i="11" s="1"/>
  <c r="C1703" i="11"/>
  <c r="E1703" i="11"/>
  <c r="G1703" i="11" s="1"/>
  <c r="C1705" i="11"/>
  <c r="E1705" i="11" s="1"/>
  <c r="G1705" i="11" s="1"/>
  <c r="C1706" i="11"/>
  <c r="E1706" i="11" s="1"/>
  <c r="G1706" i="11" s="1"/>
  <c r="C1707" i="11"/>
  <c r="E1707" i="11" s="1"/>
  <c r="G1707" i="11" s="1"/>
  <c r="C1708" i="11"/>
  <c r="E1708" i="11" s="1"/>
  <c r="G1708" i="11" s="1"/>
  <c r="C1709" i="11"/>
  <c r="E1709" i="11" s="1"/>
  <c r="G1709" i="11" s="1"/>
  <c r="C1710" i="11"/>
  <c r="C1712" i="11"/>
  <c r="E1712" i="11"/>
  <c r="G1712" i="11" s="1"/>
  <c r="C1713" i="11"/>
  <c r="E1713" i="11"/>
  <c r="G1713" i="11" s="1"/>
  <c r="C1715" i="11"/>
  <c r="C1716" i="11" a="1"/>
  <c r="C1716" i="11" s="1"/>
  <c r="E1716" i="11"/>
  <c r="G1716" i="11" s="1"/>
  <c r="C1717" i="11" a="1"/>
  <c r="C1717" i="11" s="1"/>
  <c r="E1717" i="11"/>
  <c r="G1717" i="11" s="1"/>
  <c r="B1719" i="11"/>
  <c r="C1719" i="11"/>
  <c r="E1719" i="11"/>
  <c r="C1722" i="11"/>
  <c r="C1723" i="11"/>
  <c r="C1724" i="11"/>
  <c r="E1724" i="11"/>
  <c r="G1724" i="11" s="1"/>
  <c r="C1725" i="11"/>
  <c r="E1725" i="11"/>
  <c r="G1725" i="11" s="1"/>
  <c r="C1726" i="11"/>
  <c r="E1726" i="11"/>
  <c r="G1726" i="11" s="1"/>
  <c r="C1728" i="11"/>
  <c r="E1728" i="11" s="1"/>
  <c r="G1728" i="11" s="1"/>
  <c r="C1729" i="11"/>
  <c r="E1729" i="11" s="1"/>
  <c r="G1729" i="11" s="1"/>
  <c r="C1730" i="11"/>
  <c r="E1730" i="11" s="1"/>
  <c r="G1730" i="11" s="1"/>
  <c r="C1731" i="11"/>
  <c r="E1731" i="11" s="1"/>
  <c r="G1731" i="11" s="1"/>
  <c r="C1732" i="11"/>
  <c r="E1732" i="11" s="1"/>
  <c r="G1732" i="11" s="1"/>
  <c r="C1733" i="11"/>
  <c r="C1735" i="11"/>
  <c r="E1735" i="11"/>
  <c r="G1735" i="11" s="1"/>
  <c r="C1736" i="11"/>
  <c r="E1736" i="11"/>
  <c r="G1736" i="11" s="1"/>
  <c r="C1738" i="11"/>
  <c r="C1739" i="11" a="1"/>
  <c r="C1739" i="11" s="1"/>
  <c r="E1739" i="11"/>
  <c r="G1739" i="11" s="1"/>
  <c r="C1740" i="11" a="1"/>
  <c r="C1740" i="11" s="1"/>
  <c r="E1740" i="11"/>
  <c r="G1740" i="11" s="1"/>
  <c r="B1742" i="11"/>
  <c r="C1742" i="11"/>
  <c r="E1742" i="11"/>
  <c r="C1745" i="11"/>
  <c r="E1745" i="11"/>
  <c r="G1745" i="11" s="1"/>
  <c r="C1746" i="11"/>
  <c r="C1747" i="11"/>
  <c r="E1747" i="11"/>
  <c r="G1747" i="11" s="1"/>
  <c r="C1748" i="11"/>
  <c r="E1748" i="11"/>
  <c r="G1748" i="11" s="1"/>
  <c r="C1749" i="11"/>
  <c r="E1749" i="11"/>
  <c r="G1749" i="11" s="1"/>
  <c r="C1751" i="11"/>
  <c r="E1751" i="11" s="1"/>
  <c r="G1751" i="11" s="1"/>
  <c r="C1752" i="11"/>
  <c r="E1752" i="11" s="1"/>
  <c r="G1752" i="11" s="1"/>
  <c r="C1753" i="11"/>
  <c r="E1753" i="11" s="1"/>
  <c r="G1753" i="11" s="1"/>
  <c r="C1754" i="11"/>
  <c r="E1754" i="11" s="1"/>
  <c r="G1754" i="11" s="1"/>
  <c r="C1755" i="11"/>
  <c r="E1755" i="11" s="1"/>
  <c r="G1755" i="11" s="1"/>
  <c r="C1756" i="11"/>
  <c r="C1758" i="11"/>
  <c r="E1758" i="11"/>
  <c r="G1758" i="11" s="1"/>
  <c r="C1759" i="11"/>
  <c r="E1759" i="11"/>
  <c r="G1759" i="11" s="1"/>
  <c r="C1761" i="11"/>
  <c r="C1762" i="11" a="1"/>
  <c r="C1762" i="11" s="1"/>
  <c r="E1762" i="11"/>
  <c r="G1762" i="11" s="1"/>
  <c r="C1763" i="11" a="1"/>
  <c r="C1763" i="11" s="1"/>
  <c r="E1763" i="11"/>
  <c r="G1763" i="11" s="1"/>
  <c r="B1765" i="11"/>
  <c r="C1765" i="11"/>
  <c r="E1765" i="11"/>
  <c r="C1768" i="11"/>
  <c r="C1769" i="11"/>
  <c r="C1770" i="11"/>
  <c r="E1770" i="11"/>
  <c r="G1770" i="11" s="1"/>
  <c r="C1771" i="11"/>
  <c r="E1771" i="11"/>
  <c r="G1771" i="11" s="1"/>
  <c r="C1772" i="11"/>
  <c r="E1772" i="11"/>
  <c r="G1772" i="11" s="1"/>
  <c r="C1774" i="11"/>
  <c r="E1774" i="11" s="1"/>
  <c r="G1774" i="11" s="1"/>
  <c r="C1775" i="11"/>
  <c r="E1775" i="11" s="1"/>
  <c r="G1775" i="11" s="1"/>
  <c r="C1776" i="11"/>
  <c r="E1776" i="11" s="1"/>
  <c r="G1776" i="11" s="1"/>
  <c r="C1777" i="11"/>
  <c r="E1777" i="11" s="1"/>
  <c r="G1777" i="11" s="1"/>
  <c r="C1778" i="11"/>
  <c r="E1778" i="11" s="1"/>
  <c r="G1778" i="11" s="1"/>
  <c r="C1779" i="11"/>
  <c r="C1781" i="11"/>
  <c r="E1781" i="11"/>
  <c r="G1781" i="11" s="1"/>
  <c r="C1782" i="11"/>
  <c r="E1782" i="11"/>
  <c r="G1782" i="11" s="1"/>
  <c r="C1784" i="11"/>
  <c r="C1785" i="11" a="1"/>
  <c r="C1785" i="11" s="1"/>
  <c r="E1785" i="11"/>
  <c r="G1785" i="11" s="1"/>
  <c r="C1786" i="11" a="1"/>
  <c r="C1786" i="11" s="1"/>
  <c r="E1786" i="11"/>
  <c r="G1786" i="11" s="1"/>
  <c r="B1788" i="11"/>
  <c r="C1788" i="11"/>
  <c r="E1788" i="11"/>
  <c r="C1791" i="11"/>
  <c r="E1791" i="11"/>
  <c r="G1791" i="11" s="1"/>
  <c r="C1792" i="11"/>
  <c r="C1793" i="11"/>
  <c r="E1793" i="11"/>
  <c r="G1793" i="11" s="1"/>
  <c r="C1794" i="11"/>
  <c r="E1794" i="11"/>
  <c r="G1794" i="11" s="1"/>
  <c r="C1795" i="11"/>
  <c r="E1795" i="11"/>
  <c r="G1795" i="11" s="1"/>
  <c r="C1797" i="11"/>
  <c r="E1797" i="11" s="1"/>
  <c r="G1797" i="11" s="1"/>
  <c r="C1798" i="11"/>
  <c r="E1798" i="11" s="1"/>
  <c r="G1798" i="11" s="1"/>
  <c r="C1799" i="11"/>
  <c r="E1799" i="11" s="1"/>
  <c r="G1799" i="11" s="1"/>
  <c r="C1800" i="11"/>
  <c r="E1800" i="11" s="1"/>
  <c r="G1800" i="11" s="1"/>
  <c r="C1801" i="11"/>
  <c r="E1801" i="11" s="1"/>
  <c r="G1801" i="11" s="1"/>
  <c r="C1802" i="11"/>
  <c r="C1804" i="11"/>
  <c r="E1804" i="11"/>
  <c r="G1804" i="11" s="1"/>
  <c r="C1805" i="11"/>
  <c r="E1805" i="11"/>
  <c r="G1805" i="11" s="1"/>
  <c r="C1807" i="11"/>
  <c r="C1808" i="11" a="1"/>
  <c r="C1808" i="11" s="1"/>
  <c r="E1808" i="11"/>
  <c r="G1808" i="11" s="1"/>
  <c r="C1809" i="11" a="1"/>
  <c r="C1809" i="11" s="1"/>
  <c r="E1809" i="11"/>
  <c r="G1809" i="11" s="1"/>
  <c r="B1811" i="11"/>
  <c r="C1811" i="11"/>
  <c r="E1811" i="11"/>
  <c r="C1814" i="11"/>
  <c r="C1815" i="11"/>
  <c r="C1816" i="11"/>
  <c r="E1816" i="11"/>
  <c r="G1816" i="11" s="1"/>
  <c r="C1817" i="11"/>
  <c r="E1817" i="11"/>
  <c r="G1817" i="11" s="1"/>
  <c r="C1818" i="11"/>
  <c r="E1818" i="11"/>
  <c r="G1818" i="11" s="1"/>
  <c r="C1820" i="11"/>
  <c r="E1820" i="11" s="1"/>
  <c r="G1820" i="11" s="1"/>
  <c r="C1821" i="11"/>
  <c r="E1821" i="11" s="1"/>
  <c r="G1821" i="11" s="1"/>
  <c r="H1821" i="11" s="1"/>
  <c r="C1822" i="11"/>
  <c r="E1822" i="11" s="1"/>
  <c r="G1822" i="11" s="1"/>
  <c r="C1823" i="11"/>
  <c r="E1823" i="11" s="1"/>
  <c r="G1823" i="11" s="1"/>
  <c r="C1824" i="11"/>
  <c r="E1824" i="11" s="1"/>
  <c r="G1824" i="11" s="1"/>
  <c r="C1825" i="11"/>
  <c r="C1827" i="11"/>
  <c r="E1827" i="11"/>
  <c r="G1827" i="11" s="1"/>
  <c r="C1828" i="11"/>
  <c r="E1828" i="11"/>
  <c r="G1828" i="11" s="1"/>
  <c r="C1830" i="11"/>
  <c r="C1831" i="11" a="1"/>
  <c r="C1831" i="11" s="1"/>
  <c r="E1831" i="11"/>
  <c r="G1831" i="11" s="1"/>
  <c r="C1832" i="11" a="1"/>
  <c r="C1832" i="11" s="1"/>
  <c r="E1832" i="11"/>
  <c r="G1832" i="11" s="1"/>
  <c r="B1834" i="11"/>
  <c r="C1834" i="11"/>
  <c r="E1834" i="11"/>
  <c r="C1837" i="11"/>
  <c r="C1838" i="11"/>
  <c r="C1839" i="11"/>
  <c r="E1839" i="11"/>
  <c r="G1839" i="11" s="1"/>
  <c r="C1840" i="11"/>
  <c r="E1840" i="11"/>
  <c r="G1840" i="11" s="1"/>
  <c r="C1841" i="11"/>
  <c r="E1841" i="11"/>
  <c r="G1841" i="11" s="1"/>
  <c r="C1843" i="11"/>
  <c r="E1843" i="11" s="1"/>
  <c r="G1843" i="11" s="1"/>
  <c r="C1844" i="11"/>
  <c r="E1844" i="11" s="1"/>
  <c r="G1844" i="11" s="1"/>
  <c r="C1845" i="11"/>
  <c r="E1845" i="11" s="1"/>
  <c r="G1845" i="11" s="1"/>
  <c r="C1846" i="11"/>
  <c r="E1846" i="11" s="1"/>
  <c r="G1846" i="11" s="1"/>
  <c r="C1847" i="11"/>
  <c r="E1847" i="11" s="1"/>
  <c r="G1847" i="11" s="1"/>
  <c r="C1848" i="11"/>
  <c r="C1850" i="11"/>
  <c r="E1850" i="11"/>
  <c r="G1850" i="11" s="1"/>
  <c r="C1851" i="11"/>
  <c r="E1851" i="11"/>
  <c r="G1851" i="11" s="1"/>
  <c r="C1853" i="11"/>
  <c r="C1854" i="11" a="1"/>
  <c r="C1854" i="11" s="1"/>
  <c r="E1854" i="11"/>
  <c r="G1854" i="11" s="1"/>
  <c r="C1855" i="11" a="1"/>
  <c r="C1855" i="11" s="1"/>
  <c r="E1855" i="11"/>
  <c r="G1855" i="11" s="1"/>
  <c r="B1857" i="11"/>
  <c r="C1857" i="11"/>
  <c r="E1857" i="11"/>
  <c r="C1860" i="11"/>
  <c r="E1860" i="11"/>
  <c r="G1860" i="11" s="1"/>
  <c r="C1861" i="11"/>
  <c r="C1862" i="11"/>
  <c r="E1862" i="11"/>
  <c r="G1862" i="11" s="1"/>
  <c r="C1863" i="11"/>
  <c r="E1863" i="11"/>
  <c r="G1863" i="11" s="1"/>
  <c r="C1864" i="11"/>
  <c r="E1864" i="11"/>
  <c r="G1864" i="11" s="1"/>
  <c r="C1866" i="11"/>
  <c r="E1866" i="11" s="1"/>
  <c r="G1866" i="11" s="1"/>
  <c r="C1867" i="11"/>
  <c r="E1867" i="11" s="1"/>
  <c r="G1867" i="11" s="1"/>
  <c r="C1868" i="11"/>
  <c r="E1868" i="11" s="1"/>
  <c r="G1868" i="11" s="1"/>
  <c r="C1869" i="11"/>
  <c r="E1869" i="11" s="1"/>
  <c r="G1869" i="11" s="1"/>
  <c r="C1870" i="11"/>
  <c r="E1870" i="11" s="1"/>
  <c r="G1870" i="11" s="1"/>
  <c r="C1871" i="11"/>
  <c r="C1873" i="11"/>
  <c r="E1873" i="11"/>
  <c r="G1873" i="11" s="1"/>
  <c r="C1874" i="11"/>
  <c r="E1874" i="11"/>
  <c r="G1874" i="11" s="1"/>
  <c r="C1876" i="11"/>
  <c r="C1877" i="11" a="1"/>
  <c r="C1877" i="11" s="1"/>
  <c r="E1877" i="11"/>
  <c r="G1877" i="11" s="1"/>
  <c r="C1878" i="11" a="1"/>
  <c r="C1878" i="11" s="1"/>
  <c r="E1878" i="11"/>
  <c r="G1878" i="11" s="1"/>
  <c r="B1880" i="11"/>
  <c r="C1880" i="11"/>
  <c r="E1880" i="11"/>
  <c r="C1883" i="11"/>
  <c r="C1884" i="11"/>
  <c r="C1885" i="11"/>
  <c r="E1885" i="11"/>
  <c r="G1885" i="11" s="1"/>
  <c r="C1886" i="11"/>
  <c r="E1886" i="11"/>
  <c r="G1886" i="11" s="1"/>
  <c r="C1887" i="11"/>
  <c r="E1887" i="11"/>
  <c r="G1887" i="11" s="1"/>
  <c r="C1889" i="11"/>
  <c r="E1889" i="11" s="1"/>
  <c r="G1889" i="11" s="1"/>
  <c r="C1890" i="11"/>
  <c r="E1890" i="11" s="1"/>
  <c r="G1890" i="11" s="1"/>
  <c r="C1891" i="11"/>
  <c r="E1891" i="11" s="1"/>
  <c r="G1891" i="11" s="1"/>
  <c r="C1892" i="11"/>
  <c r="E1892" i="11" s="1"/>
  <c r="G1892" i="11" s="1"/>
  <c r="C1893" i="11"/>
  <c r="E1893" i="11" s="1"/>
  <c r="G1893" i="11" s="1"/>
  <c r="C1894" i="11"/>
  <c r="C1896" i="11"/>
  <c r="E1896" i="11"/>
  <c r="G1896" i="11" s="1"/>
  <c r="C1897" i="11"/>
  <c r="E1897" i="11"/>
  <c r="G1897" i="11" s="1"/>
  <c r="C1899" i="11"/>
  <c r="C1900" i="11" a="1"/>
  <c r="C1900" i="11" s="1"/>
  <c r="E1900" i="11"/>
  <c r="G1900" i="11" s="1"/>
  <c r="C1901" i="11" a="1"/>
  <c r="C1901" i="11" s="1"/>
  <c r="E1901" i="11"/>
  <c r="G1901" i="11" s="1"/>
  <c r="B1903" i="11"/>
  <c r="C1903" i="11"/>
  <c r="E1903" i="11"/>
  <c r="C1906" i="11"/>
  <c r="E1906" i="11"/>
  <c r="G1906" i="11" s="1"/>
  <c r="C1907" i="11"/>
  <c r="C1908" i="11"/>
  <c r="E1908" i="11"/>
  <c r="G1908" i="11" s="1"/>
  <c r="C1909" i="11"/>
  <c r="E1909" i="11"/>
  <c r="G1909" i="11" s="1"/>
  <c r="C1910" i="11"/>
  <c r="E1910" i="11"/>
  <c r="G1910" i="11" s="1"/>
  <c r="C1912" i="11"/>
  <c r="E1912" i="11" s="1"/>
  <c r="G1912" i="11" s="1"/>
  <c r="C1913" i="11"/>
  <c r="E1913" i="11" s="1"/>
  <c r="G1913" i="11" s="1"/>
  <c r="C1914" i="11"/>
  <c r="E1914" i="11" s="1"/>
  <c r="G1914" i="11" s="1"/>
  <c r="C1915" i="11"/>
  <c r="E1915" i="11" s="1"/>
  <c r="G1915" i="11" s="1"/>
  <c r="C1916" i="11"/>
  <c r="E1916" i="11" s="1"/>
  <c r="G1916" i="11" s="1"/>
  <c r="C1917" i="11"/>
  <c r="C1919" i="11"/>
  <c r="E1919" i="11"/>
  <c r="G1919" i="11" s="1"/>
  <c r="C1920" i="11"/>
  <c r="E1920" i="11"/>
  <c r="G1920" i="11" s="1"/>
  <c r="C1922" i="11"/>
  <c r="C1923" i="11" a="1"/>
  <c r="C1923" i="11" s="1"/>
  <c r="E1923" i="11"/>
  <c r="G1923" i="11" s="1"/>
  <c r="C1924" i="11" a="1"/>
  <c r="C1924" i="11" s="1"/>
  <c r="E1924" i="11"/>
  <c r="G1924" i="11" s="1"/>
  <c r="B1926" i="11"/>
  <c r="C1926" i="11"/>
  <c r="E1926" i="11"/>
  <c r="C1929" i="11"/>
  <c r="C1930" i="11"/>
  <c r="C1931" i="11"/>
  <c r="E1931" i="11"/>
  <c r="G1931" i="11" s="1"/>
  <c r="C1932" i="11"/>
  <c r="E1932" i="11"/>
  <c r="G1932" i="11" s="1"/>
  <c r="C1933" i="11"/>
  <c r="E1933" i="11"/>
  <c r="G1933" i="11" s="1"/>
  <c r="C1935" i="11"/>
  <c r="E1935" i="11" s="1"/>
  <c r="G1935" i="11" s="1"/>
  <c r="C1936" i="11"/>
  <c r="E1936" i="11" s="1"/>
  <c r="G1936" i="11" s="1"/>
  <c r="C1937" i="11"/>
  <c r="E1937" i="11" s="1"/>
  <c r="G1937" i="11" s="1"/>
  <c r="C1938" i="11"/>
  <c r="E1938" i="11" s="1"/>
  <c r="G1938" i="11" s="1"/>
  <c r="C1939" i="11"/>
  <c r="E1939" i="11" s="1"/>
  <c r="G1939" i="11" s="1"/>
  <c r="C1940" i="11"/>
  <c r="C1942" i="11"/>
  <c r="E1942" i="11"/>
  <c r="G1942" i="11" s="1"/>
  <c r="C1943" i="11"/>
  <c r="E1943" i="11"/>
  <c r="G1943" i="11" s="1"/>
  <c r="C1945" i="11"/>
  <c r="C1946" i="11" a="1"/>
  <c r="C1946" i="11" s="1"/>
  <c r="E1946" i="11"/>
  <c r="G1946" i="11" s="1"/>
  <c r="C1947" i="11" a="1"/>
  <c r="C1947" i="11" s="1"/>
  <c r="E1947" i="11"/>
  <c r="G1947" i="11" s="1"/>
  <c r="B1949" i="11"/>
  <c r="C1949" i="11"/>
  <c r="E1949" i="11"/>
  <c r="C1952" i="11"/>
  <c r="E1952" i="11"/>
  <c r="G1952" i="11" s="1"/>
  <c r="C1953" i="11"/>
  <c r="C1954" i="11"/>
  <c r="E1954" i="11"/>
  <c r="G1954" i="11" s="1"/>
  <c r="C1955" i="11"/>
  <c r="E1955" i="11"/>
  <c r="G1955" i="11" s="1"/>
  <c r="C1956" i="11"/>
  <c r="E1956" i="11"/>
  <c r="G1956" i="11" s="1"/>
  <c r="C1958" i="11"/>
  <c r="E1958" i="11" s="1"/>
  <c r="G1958" i="11" s="1"/>
  <c r="C1959" i="11"/>
  <c r="E1959" i="11" s="1"/>
  <c r="G1959" i="11" s="1"/>
  <c r="C1960" i="11"/>
  <c r="E1960" i="11" s="1"/>
  <c r="G1960" i="11" s="1"/>
  <c r="C1961" i="11"/>
  <c r="E1961" i="11" s="1"/>
  <c r="G1961" i="11" s="1"/>
  <c r="C1962" i="11"/>
  <c r="E1962" i="11" s="1"/>
  <c r="G1962" i="11" s="1"/>
  <c r="C1963" i="11"/>
  <c r="C1965" i="11"/>
  <c r="E1965" i="11"/>
  <c r="G1965" i="11" s="1"/>
  <c r="C1966" i="11"/>
  <c r="E1966" i="11"/>
  <c r="G1966" i="11" s="1"/>
  <c r="C1968" i="11"/>
  <c r="C1969" i="11" a="1"/>
  <c r="C1969" i="11" s="1"/>
  <c r="E1969" i="11"/>
  <c r="G1969" i="11" s="1"/>
  <c r="C1970" i="11" a="1"/>
  <c r="C1970" i="11" s="1"/>
  <c r="E1970" i="11"/>
  <c r="G1970" i="11" s="1"/>
  <c r="B1972" i="11"/>
  <c r="C1972" i="11"/>
  <c r="E1972" i="11"/>
  <c r="C1975" i="11"/>
  <c r="E1975" i="11"/>
  <c r="G1975" i="11" s="1"/>
  <c r="C1976" i="11"/>
  <c r="C1977" i="11"/>
  <c r="E1977" i="11"/>
  <c r="G1977" i="11" s="1"/>
  <c r="C1978" i="11"/>
  <c r="E1978" i="11"/>
  <c r="G1978" i="11" s="1"/>
  <c r="C1979" i="11"/>
  <c r="E1979" i="11"/>
  <c r="G1979" i="11" s="1"/>
  <c r="C1981" i="11"/>
  <c r="E1981" i="11" s="1"/>
  <c r="G1981" i="11" s="1"/>
  <c r="C1982" i="11"/>
  <c r="E1982" i="11" s="1"/>
  <c r="G1982" i="11" s="1"/>
  <c r="C1983" i="11"/>
  <c r="E1983" i="11" s="1"/>
  <c r="G1983" i="11" s="1"/>
  <c r="C1984" i="11"/>
  <c r="E1984" i="11" s="1"/>
  <c r="G1984" i="11" s="1"/>
  <c r="C1985" i="11"/>
  <c r="E1985" i="11" s="1"/>
  <c r="G1985" i="11" s="1"/>
  <c r="C1986" i="11"/>
  <c r="C1988" i="11"/>
  <c r="E1988" i="11"/>
  <c r="G1988" i="11" s="1"/>
  <c r="C1989" i="11"/>
  <c r="E1989" i="11"/>
  <c r="G1989" i="11" s="1"/>
  <c r="C1991" i="11"/>
  <c r="C1992" i="11" a="1"/>
  <c r="C1992" i="11" s="1"/>
  <c r="E1992" i="11"/>
  <c r="G1992" i="11" s="1"/>
  <c r="C1993" i="11" a="1"/>
  <c r="C1993" i="11" s="1"/>
  <c r="E1993" i="11"/>
  <c r="G1993" i="11" s="1"/>
  <c r="B1995" i="11"/>
  <c r="C1995" i="11"/>
  <c r="E1995" i="11"/>
  <c r="C1998" i="11"/>
  <c r="C1999" i="11"/>
  <c r="C2000" i="11"/>
  <c r="E2000" i="11"/>
  <c r="G2000" i="11" s="1"/>
  <c r="C2001" i="11"/>
  <c r="E2001" i="11"/>
  <c r="G2001" i="11" s="1"/>
  <c r="C2002" i="11"/>
  <c r="E2002" i="11"/>
  <c r="G2002" i="11" s="1"/>
  <c r="C2004" i="11"/>
  <c r="E2004" i="11" s="1"/>
  <c r="G2004" i="11" s="1"/>
  <c r="C2005" i="11"/>
  <c r="C2006" i="11"/>
  <c r="C2008" i="11"/>
  <c r="E2008" i="11"/>
  <c r="G2008" i="11" s="1"/>
  <c r="C2009" i="11"/>
  <c r="E2009" i="11"/>
  <c r="G2009" i="11" s="1"/>
  <c r="C2011" i="11"/>
  <c r="C2012" i="11" a="1"/>
  <c r="C2012" i="11" s="1"/>
  <c r="E2012" i="11"/>
  <c r="G2012" i="11" s="1"/>
  <c r="C2013" i="11" a="1"/>
  <c r="C2013" i="11" s="1"/>
  <c r="E2013" i="11"/>
  <c r="G2013" i="11" s="1"/>
  <c r="B2015" i="11"/>
  <c r="C2015" i="11"/>
  <c r="E2015" i="11"/>
  <c r="C2018" i="11"/>
  <c r="C2019" i="11"/>
  <c r="C2020" i="11"/>
  <c r="E2020" i="11"/>
  <c r="G2020" i="11" s="1"/>
  <c r="C2021" i="11"/>
  <c r="E2021" i="11"/>
  <c r="G2021" i="11" s="1"/>
  <c r="C2022" i="11"/>
  <c r="E2022" i="11"/>
  <c r="G2022" i="11" s="1"/>
  <c r="C2024" i="11"/>
  <c r="E2024" i="11" s="1"/>
  <c r="G2024" i="11" s="1"/>
  <c r="C2025" i="11"/>
  <c r="C2026" i="11"/>
  <c r="C2028" i="11"/>
  <c r="E2028" i="11"/>
  <c r="G2028" i="11" s="1"/>
  <c r="C2029" i="11"/>
  <c r="E2029" i="11"/>
  <c r="G2029" i="11" s="1"/>
  <c r="C2031" i="11"/>
  <c r="C2032" i="11" a="1"/>
  <c r="C2032" i="11" s="1"/>
  <c r="E2032" i="11"/>
  <c r="G2032" i="11" s="1"/>
  <c r="C2033" i="11" a="1"/>
  <c r="C2033" i="11" s="1"/>
  <c r="E2033" i="11"/>
  <c r="G2033" i="11" s="1"/>
  <c r="B2035" i="11"/>
  <c r="C2035" i="11"/>
  <c r="E2035" i="11"/>
  <c r="C2038" i="11"/>
  <c r="E2038" i="11"/>
  <c r="G2038" i="11" s="1"/>
  <c r="C2039" i="11"/>
  <c r="C2040" i="11"/>
  <c r="E2040" i="11"/>
  <c r="G2040" i="11" s="1"/>
  <c r="C2041" i="11"/>
  <c r="E2041" i="11"/>
  <c r="G2041" i="11" s="1"/>
  <c r="C2042" i="11"/>
  <c r="E2042" i="11"/>
  <c r="G2042" i="11" s="1"/>
  <c r="C2044" i="11"/>
  <c r="E2044" i="11" s="1"/>
  <c r="G2044" i="11" s="1"/>
  <c r="C2045" i="11"/>
  <c r="C2046" i="11"/>
  <c r="C2048" i="11"/>
  <c r="E2048" i="11"/>
  <c r="G2048" i="11" s="1"/>
  <c r="C2049" i="11"/>
  <c r="E2049" i="11"/>
  <c r="G2049" i="11" s="1"/>
  <c r="C2051" i="11"/>
  <c r="C2052" i="11" a="1"/>
  <c r="C2052" i="11" s="1"/>
  <c r="E2052" i="11"/>
  <c r="G2052" i="11" s="1"/>
  <c r="C2053" i="11" a="1"/>
  <c r="C2053" i="11" s="1"/>
  <c r="E2053" i="11"/>
  <c r="G2053" i="11" s="1"/>
  <c r="B2055" i="11"/>
  <c r="C2055" i="11"/>
  <c r="E2055" i="11"/>
  <c r="C2058" i="11"/>
  <c r="C2059" i="11"/>
  <c r="C2060" i="11"/>
  <c r="E2060" i="11"/>
  <c r="G2060" i="11" s="1"/>
  <c r="C2061" i="11"/>
  <c r="E2061" i="11"/>
  <c r="G2061" i="11" s="1"/>
  <c r="C2062" i="11"/>
  <c r="E2062" i="11"/>
  <c r="G2062" i="11" s="1"/>
  <c r="C2064" i="11"/>
  <c r="E2064" i="11" s="1"/>
  <c r="G2064" i="11" s="1"/>
  <c r="C2065" i="11"/>
  <c r="C2066" i="11"/>
  <c r="C2068" i="11"/>
  <c r="E2068" i="11"/>
  <c r="G2068" i="11" s="1"/>
  <c r="C2069" i="11"/>
  <c r="E2069" i="11"/>
  <c r="G2069" i="11" s="1"/>
  <c r="C2071" i="11"/>
  <c r="C2072" i="11" a="1"/>
  <c r="C2072" i="11" s="1"/>
  <c r="E2072" i="11"/>
  <c r="G2072" i="11" s="1"/>
  <c r="C2073" i="11" a="1"/>
  <c r="C2073" i="11" s="1"/>
  <c r="E2073" i="11"/>
  <c r="G2073" i="11" s="1"/>
  <c r="B2075" i="11"/>
  <c r="C2075" i="11"/>
  <c r="E2075" i="11"/>
  <c r="C2078" i="11"/>
  <c r="C2079" i="11"/>
  <c r="C2080" i="11"/>
  <c r="E2080" i="11"/>
  <c r="G2080" i="11" s="1"/>
  <c r="C2081" i="11"/>
  <c r="E2081" i="11"/>
  <c r="G2081" i="11" s="1"/>
  <c r="C2082" i="11"/>
  <c r="E2082" i="11"/>
  <c r="G2082" i="11" s="1"/>
  <c r="C2084" i="11"/>
  <c r="E2084" i="11" s="1"/>
  <c r="G2084" i="11" s="1"/>
  <c r="C2085" i="11"/>
  <c r="C2086" i="11"/>
  <c r="C2088" i="11"/>
  <c r="E2088" i="11"/>
  <c r="G2088" i="11" s="1"/>
  <c r="C2089" i="11"/>
  <c r="E2089" i="11"/>
  <c r="G2089" i="11" s="1"/>
  <c r="C2091" i="11"/>
  <c r="C2092" i="11" a="1"/>
  <c r="C2092" i="11" s="1"/>
  <c r="E2092" i="11"/>
  <c r="G2092" i="11" s="1"/>
  <c r="C2093" i="11" a="1"/>
  <c r="C2093" i="11" s="1"/>
  <c r="E2093" i="11"/>
  <c r="G2093" i="11" s="1"/>
  <c r="B2095" i="11"/>
  <c r="C2095" i="11"/>
  <c r="E2095" i="11"/>
  <c r="C2098" i="11"/>
  <c r="C2099" i="11"/>
  <c r="C2100" i="11"/>
  <c r="E2100" i="11"/>
  <c r="G2100" i="11" s="1"/>
  <c r="C2101" i="11"/>
  <c r="E2101" i="11"/>
  <c r="G2101" i="11" s="1"/>
  <c r="C2102" i="11"/>
  <c r="E2102" i="11"/>
  <c r="G2102" i="11" s="1"/>
  <c r="C2104" i="11"/>
  <c r="E2104" i="11" s="1"/>
  <c r="G2104" i="11" s="1"/>
  <c r="C2105" i="11"/>
  <c r="C2106" i="11"/>
  <c r="C2108" i="11"/>
  <c r="E2108" i="11"/>
  <c r="G2108" i="11" s="1"/>
  <c r="C2109" i="11"/>
  <c r="E2109" i="11"/>
  <c r="G2109" i="11" s="1"/>
  <c r="C2111" i="11"/>
  <c r="C2112" i="11" a="1"/>
  <c r="C2112" i="11" s="1"/>
  <c r="E2112" i="11"/>
  <c r="G2112" i="11" s="1"/>
  <c r="C2113" i="11" a="1"/>
  <c r="C2113" i="11" s="1"/>
  <c r="E2113" i="11"/>
  <c r="G2113" i="11" s="1"/>
  <c r="B2115" i="11"/>
  <c r="C2115" i="11"/>
  <c r="E2115" i="11"/>
  <c r="C2118" i="11"/>
  <c r="C2119" i="11"/>
  <c r="C2120" i="11"/>
  <c r="E2120" i="11"/>
  <c r="G2120" i="11" s="1"/>
  <c r="C2121" i="11"/>
  <c r="E2121" i="11"/>
  <c r="G2121" i="11" s="1"/>
  <c r="C2122" i="11"/>
  <c r="E2122" i="11"/>
  <c r="G2122" i="11" s="1"/>
  <c r="C2124" i="11"/>
  <c r="E2124" i="11" s="1"/>
  <c r="G2124" i="11" s="1"/>
  <c r="C2125" i="11"/>
  <c r="C2126" i="11"/>
  <c r="C2128" i="11"/>
  <c r="E2128" i="11"/>
  <c r="G2128" i="11" s="1"/>
  <c r="C2129" i="11"/>
  <c r="E2129" i="11"/>
  <c r="G2129" i="11" s="1"/>
  <c r="C2131" i="11"/>
  <c r="C2132" i="11" a="1"/>
  <c r="C2132" i="11" s="1"/>
  <c r="E2132" i="11"/>
  <c r="G2132" i="11" s="1"/>
  <c r="C2133" i="11" a="1"/>
  <c r="C2133" i="11" s="1"/>
  <c r="E2133" i="11"/>
  <c r="G2133" i="11" s="1"/>
  <c r="B2135" i="11"/>
  <c r="C2135" i="11"/>
  <c r="E2135" i="11"/>
  <c r="C2138" i="11"/>
  <c r="C2139" i="11"/>
  <c r="C2140" i="11"/>
  <c r="E2140" i="11"/>
  <c r="G2140" i="11" s="1"/>
  <c r="C2141" i="11"/>
  <c r="E2141" i="11"/>
  <c r="G2141" i="11" s="1"/>
  <c r="C2142" i="11"/>
  <c r="E2142" i="11"/>
  <c r="G2142" i="11" s="1"/>
  <c r="C2144" i="11"/>
  <c r="E2144" i="11" s="1"/>
  <c r="G2144" i="11" s="1"/>
  <c r="C2145" i="11"/>
  <c r="E2145" i="11" s="1"/>
  <c r="G2145" i="11" s="1"/>
  <c r="C2146" i="11"/>
  <c r="E2146" i="11" s="1"/>
  <c r="G2146" i="11" s="1"/>
  <c r="C2147" i="11"/>
  <c r="E2147" i="11" s="1"/>
  <c r="G2147" i="11" s="1"/>
  <c r="C2148" i="11"/>
  <c r="E2148" i="11" s="1"/>
  <c r="G2148" i="11" s="1"/>
  <c r="C2149" i="11"/>
  <c r="C2151" i="11"/>
  <c r="E2151" i="11"/>
  <c r="G2151" i="11" s="1"/>
  <c r="C2152" i="11"/>
  <c r="E2152" i="11"/>
  <c r="G2152" i="11" s="1"/>
  <c r="C2154" i="11"/>
  <c r="C2155" i="11" a="1"/>
  <c r="C2155" i="11" s="1"/>
  <c r="E2155" i="11"/>
  <c r="G2155" i="11" s="1"/>
  <c r="C2156" i="11" a="1"/>
  <c r="C2156" i="11" s="1"/>
  <c r="E2156" i="11"/>
  <c r="G2156" i="11" s="1"/>
  <c r="B2158" i="11"/>
  <c r="C2158" i="11"/>
  <c r="E2158" i="11"/>
  <c r="C2161" i="11"/>
  <c r="C2162" i="11"/>
  <c r="C2163" i="11"/>
  <c r="E2163" i="11"/>
  <c r="G2163" i="11" s="1"/>
  <c r="C2164" i="11"/>
  <c r="E2164" i="11"/>
  <c r="G2164" i="11" s="1"/>
  <c r="C2165" i="11"/>
  <c r="E2165" i="11"/>
  <c r="G2165" i="11" s="1"/>
  <c r="C2167" i="11"/>
  <c r="E2167" i="11" s="1"/>
  <c r="G2167" i="11" s="1"/>
  <c r="C2168" i="11"/>
  <c r="E2168" i="11" s="1"/>
  <c r="G2168" i="11" s="1"/>
  <c r="C2169" i="11"/>
  <c r="E2169" i="11" s="1"/>
  <c r="G2169" i="11" s="1"/>
  <c r="C2170" i="11"/>
  <c r="E2170" i="11" s="1"/>
  <c r="G2170" i="11" s="1"/>
  <c r="C2171" i="11"/>
  <c r="E2171" i="11" s="1"/>
  <c r="G2171" i="11" s="1"/>
  <c r="C2172" i="11"/>
  <c r="C2174" i="11"/>
  <c r="E2174" i="11"/>
  <c r="G2174" i="11" s="1"/>
  <c r="C2175" i="11"/>
  <c r="E2175" i="11"/>
  <c r="G2175" i="11" s="1"/>
  <c r="C2177" i="11"/>
  <c r="C2178" i="11" a="1"/>
  <c r="C2178" i="11" s="1"/>
  <c r="E2178" i="11"/>
  <c r="G2178" i="11" s="1"/>
  <c r="C2179" i="11" a="1"/>
  <c r="C2179" i="11" s="1"/>
  <c r="E2179" i="11"/>
  <c r="G2179" i="11" s="1"/>
  <c r="B2181" i="11"/>
  <c r="C2181" i="11"/>
  <c r="E2181" i="11"/>
  <c r="C2184" i="11"/>
  <c r="E2184" i="11"/>
  <c r="G2184" i="11" s="1"/>
  <c r="C2185" i="11"/>
  <c r="C2186" i="11"/>
  <c r="E2186" i="11"/>
  <c r="G2186" i="11" s="1"/>
  <c r="C2187" i="11"/>
  <c r="E2187" i="11"/>
  <c r="G2187" i="11" s="1"/>
  <c r="C2188" i="11"/>
  <c r="E2188" i="11"/>
  <c r="G2188" i="11" s="1"/>
  <c r="C2190" i="11"/>
  <c r="E2190" i="11" s="1"/>
  <c r="G2190" i="11" s="1"/>
  <c r="C2191" i="11"/>
  <c r="E2191" i="11" s="1"/>
  <c r="G2191" i="11" s="1"/>
  <c r="C2192" i="11"/>
  <c r="E2192" i="11" s="1"/>
  <c r="G2192" i="11" s="1"/>
  <c r="C2193" i="11"/>
  <c r="E2193" i="11" s="1"/>
  <c r="G2193" i="11" s="1"/>
  <c r="C2194" i="11"/>
  <c r="E2194" i="11" s="1"/>
  <c r="G2194" i="11" s="1"/>
  <c r="C2195" i="11"/>
  <c r="C2197" i="11"/>
  <c r="E2197" i="11"/>
  <c r="G2197" i="11" s="1"/>
  <c r="C2198" i="11"/>
  <c r="E2198" i="11"/>
  <c r="G2198" i="11" s="1"/>
  <c r="C2200" i="11"/>
  <c r="C2201" i="11" a="1"/>
  <c r="C2201" i="11" s="1"/>
  <c r="E2201" i="11"/>
  <c r="G2201" i="11" s="1"/>
  <c r="C2202" i="11" a="1"/>
  <c r="C2202" i="11" s="1"/>
  <c r="E2202" i="11"/>
  <c r="G2202" i="11" s="1"/>
  <c r="B2204" i="11"/>
  <c r="C2204" i="11"/>
  <c r="E2204" i="11"/>
  <c r="C2207" i="11"/>
  <c r="C2208" i="11"/>
  <c r="C2209" i="11"/>
  <c r="E2209" i="11"/>
  <c r="G2209" i="11" s="1"/>
  <c r="C2210" i="11"/>
  <c r="E2210" i="11"/>
  <c r="G2210" i="11" s="1"/>
  <c r="C2211" i="11"/>
  <c r="E2211" i="11"/>
  <c r="G2211" i="11" s="1"/>
  <c r="C2213" i="11"/>
  <c r="E2213" i="11" s="1"/>
  <c r="G2213" i="11" s="1"/>
  <c r="C2214" i="11"/>
  <c r="E2214" i="11" s="1"/>
  <c r="G2214" i="11" s="1"/>
  <c r="C2215" i="11"/>
  <c r="E2215" i="11" s="1"/>
  <c r="G2215" i="11" s="1"/>
  <c r="C2216" i="11"/>
  <c r="E2216" i="11" s="1"/>
  <c r="G2216" i="11" s="1"/>
  <c r="C2217" i="11"/>
  <c r="E2217" i="11" s="1"/>
  <c r="G2217" i="11" s="1"/>
  <c r="C2218" i="11"/>
  <c r="C2220" i="11"/>
  <c r="E2220" i="11"/>
  <c r="G2220" i="11" s="1"/>
  <c r="C2221" i="11"/>
  <c r="E2221" i="11"/>
  <c r="G2221" i="11" s="1"/>
  <c r="C2223" i="11"/>
  <c r="C2224" i="11" a="1"/>
  <c r="C2224" i="11" s="1"/>
  <c r="E2224" i="11"/>
  <c r="G2224" i="11" s="1"/>
  <c r="C2225" i="11" a="1"/>
  <c r="C2225" i="11" s="1"/>
  <c r="E2225" i="11"/>
  <c r="G2225" i="11" s="1"/>
  <c r="B2227" i="11"/>
  <c r="C2227" i="11"/>
  <c r="E2227" i="11"/>
  <c r="C2230" i="11"/>
  <c r="C2231" i="11"/>
  <c r="C2232" i="11"/>
  <c r="E2232" i="11"/>
  <c r="G2232" i="11" s="1"/>
  <c r="C2233" i="11"/>
  <c r="E2233" i="11"/>
  <c r="G2233" i="11" s="1"/>
  <c r="C2234" i="11"/>
  <c r="E2234" i="11"/>
  <c r="G2234" i="11" s="1"/>
  <c r="C2236" i="11"/>
  <c r="E2236" i="11" s="1"/>
  <c r="G2236" i="11" s="1"/>
  <c r="C2237" i="11"/>
  <c r="E2237" i="11" s="1"/>
  <c r="G2237" i="11" s="1"/>
  <c r="C2238" i="11"/>
  <c r="C2240" i="11"/>
  <c r="E2240" i="11"/>
  <c r="G2240" i="11" s="1"/>
  <c r="C2241" i="11"/>
  <c r="E2241" i="11"/>
  <c r="G2241" i="11" s="1"/>
  <c r="C2243" i="11"/>
  <c r="C2244" i="11" a="1"/>
  <c r="C2244" i="11" s="1"/>
  <c r="E2244" i="11"/>
  <c r="G2244" i="11" s="1"/>
  <c r="C2245" i="11" a="1"/>
  <c r="C2245" i="11" s="1"/>
  <c r="E2245" i="11"/>
  <c r="G2245" i="11" s="1"/>
  <c r="B2247" i="11"/>
  <c r="C2247" i="11"/>
  <c r="E2247" i="11"/>
  <c r="C2250" i="11"/>
  <c r="C2251" i="11"/>
  <c r="C2252" i="11"/>
  <c r="E2252" i="11"/>
  <c r="G2252" i="11" s="1"/>
  <c r="C2253" i="11"/>
  <c r="E2253" i="11"/>
  <c r="G2253" i="11" s="1"/>
  <c r="C2254" i="11"/>
  <c r="E2254" i="11"/>
  <c r="G2254" i="11" s="1"/>
  <c r="C2256" i="11"/>
  <c r="E2256" i="11" s="1"/>
  <c r="G2256" i="11" s="1"/>
  <c r="C2257" i="11"/>
  <c r="E2257" i="11" s="1"/>
  <c r="G2257" i="11" s="1"/>
  <c r="C2258" i="11"/>
  <c r="C2260" i="11"/>
  <c r="E2260" i="11"/>
  <c r="G2260" i="11" s="1"/>
  <c r="C2261" i="11"/>
  <c r="E2261" i="11"/>
  <c r="G2261" i="11" s="1"/>
  <c r="C2263" i="11"/>
  <c r="C2264" i="11" a="1"/>
  <c r="C2264" i="11" s="1"/>
  <c r="E2264" i="11"/>
  <c r="G2264" i="11" s="1"/>
  <c r="C2265" i="11" a="1"/>
  <c r="C2265" i="11" s="1"/>
  <c r="E2265" i="11"/>
  <c r="G2265" i="11" s="1"/>
  <c r="B2267" i="11"/>
  <c r="C2267" i="11"/>
  <c r="E2267" i="11"/>
  <c r="C2270" i="11"/>
  <c r="E2270" i="11"/>
  <c r="G2270" i="11" s="1"/>
  <c r="C2271" i="11"/>
  <c r="E2271" i="11"/>
  <c r="G2271" i="11" s="1"/>
  <c r="C2272" i="11"/>
  <c r="E2272" i="11"/>
  <c r="G2272" i="11" s="1"/>
  <c r="C2273" i="11"/>
  <c r="E2273" i="11"/>
  <c r="G2273" i="11" s="1"/>
  <c r="C2274" i="11"/>
  <c r="E2274" i="11"/>
  <c r="G2274" i="11" s="1"/>
  <c r="C2276" i="11"/>
  <c r="C2277" i="11"/>
  <c r="C2278" i="11"/>
  <c r="E2278" i="11" s="1"/>
  <c r="G2278" i="11" s="1"/>
  <c r="C2280" i="11"/>
  <c r="E2280" i="11"/>
  <c r="G2280" i="11" s="1"/>
  <c r="C2281" i="11"/>
  <c r="E2281" i="11"/>
  <c r="G2281" i="11" s="1"/>
  <c r="C2283" i="11"/>
  <c r="C2284" i="11" a="1"/>
  <c r="C2284" i="11" s="1"/>
  <c r="E2284" i="11"/>
  <c r="G2284" i="11" s="1"/>
  <c r="C2285" i="11" a="1"/>
  <c r="C2285" i="11" s="1"/>
  <c r="E2285" i="11"/>
  <c r="G2285" i="11" s="1"/>
  <c r="B2287" i="11"/>
  <c r="C2287" i="11"/>
  <c r="E2287" i="11"/>
  <c r="C2290" i="11"/>
  <c r="E2290" i="11"/>
  <c r="G2290" i="11" s="1"/>
  <c r="C2291" i="11"/>
  <c r="E2291" i="11"/>
  <c r="G2291" i="11" s="1"/>
  <c r="C2292" i="11"/>
  <c r="E2292" i="11"/>
  <c r="G2292" i="11" s="1"/>
  <c r="C2293" i="11"/>
  <c r="E2293" i="11"/>
  <c r="G2293" i="11" s="1"/>
  <c r="C2294" i="11"/>
  <c r="E2294" i="11"/>
  <c r="G2294" i="11" s="1"/>
  <c r="C2296" i="11"/>
  <c r="C2297" i="11"/>
  <c r="E2297" i="11" s="1"/>
  <c r="G2297" i="11" s="1"/>
  <c r="C2298" i="11"/>
  <c r="E2298" i="11" s="1"/>
  <c r="G2298" i="11" s="1"/>
  <c r="C2300" i="11"/>
  <c r="E2300" i="11"/>
  <c r="G2300" i="11" s="1"/>
  <c r="C2301" i="11"/>
  <c r="E2301" i="11"/>
  <c r="G2301" i="11" s="1"/>
  <c r="C2303" i="11"/>
  <c r="C2304" i="11" a="1"/>
  <c r="C2304" i="11" s="1"/>
  <c r="E2304" i="11"/>
  <c r="G2304" i="11" s="1"/>
  <c r="C2305" i="11" a="1"/>
  <c r="C2305" i="11" s="1"/>
  <c r="E2305" i="11"/>
  <c r="G2305" i="11" s="1"/>
  <c r="B2307" i="11"/>
  <c r="C2307" i="11"/>
  <c r="E2307" i="11"/>
  <c r="C2310" i="11"/>
  <c r="E2310" i="11"/>
  <c r="G2310" i="11" s="1"/>
  <c r="C2311" i="11"/>
  <c r="E2311" i="11"/>
  <c r="G2311" i="11" s="1"/>
  <c r="C2312" i="11"/>
  <c r="E2312" i="11"/>
  <c r="G2312" i="11" s="1"/>
  <c r="C2313" i="11"/>
  <c r="E2313" i="11"/>
  <c r="G2313" i="11" s="1"/>
  <c r="C2314" i="11"/>
  <c r="E2314" i="11"/>
  <c r="G2314" i="11" s="1"/>
  <c r="C2316" i="11"/>
  <c r="E2316" i="11" s="1"/>
  <c r="G2316" i="11" s="1"/>
  <c r="C2317" i="11"/>
  <c r="C2318" i="11"/>
  <c r="E2318" i="11" s="1"/>
  <c r="G2318" i="11" s="1"/>
  <c r="C2320" i="11"/>
  <c r="D2320" i="11"/>
  <c r="E2320" i="11"/>
  <c r="C2321" i="11"/>
  <c r="E2321" i="11"/>
  <c r="G2321" i="11" s="1"/>
  <c r="C2323" i="11"/>
  <c r="C2324" i="11" a="1"/>
  <c r="C2324" i="11" s="1"/>
  <c r="E2324" i="11"/>
  <c r="G2324" i="11" s="1"/>
  <c r="C2325" i="11" a="1"/>
  <c r="C2325" i="11" s="1"/>
  <c r="E2325" i="11"/>
  <c r="G2325" i="11" s="1"/>
  <c r="B2327" i="11"/>
  <c r="C2327" i="11"/>
  <c r="E2327" i="11"/>
  <c r="C2330" i="11"/>
  <c r="C2331" i="11"/>
  <c r="C2332" i="11"/>
  <c r="E2332" i="11"/>
  <c r="G2332" i="11" s="1"/>
  <c r="C2333" i="11"/>
  <c r="E2333" i="11"/>
  <c r="G2333" i="11" s="1"/>
  <c r="C2334" i="11"/>
  <c r="E2334" i="11"/>
  <c r="G2334" i="11" s="1"/>
  <c r="C2336" i="11"/>
  <c r="E2336" i="11" s="1"/>
  <c r="G2336" i="11" s="1"/>
  <c r="C2337" i="11"/>
  <c r="E2337" i="11" s="1"/>
  <c r="G2337" i="11" s="1"/>
  <c r="C2338" i="11"/>
  <c r="E2338" i="11" s="1"/>
  <c r="G2338" i="11" s="1"/>
  <c r="C2339" i="11"/>
  <c r="E2339" i="11" s="1"/>
  <c r="G2339" i="11" s="1"/>
  <c r="C2340" i="11"/>
  <c r="E2340" i="11" s="1"/>
  <c r="G2340" i="11" s="1"/>
  <c r="C2341" i="11"/>
  <c r="C2343" i="11"/>
  <c r="E2343" i="11"/>
  <c r="G2343" i="11" s="1"/>
  <c r="C2344" i="11"/>
  <c r="E2344" i="11"/>
  <c r="G2344" i="11" s="1"/>
  <c r="C2346" i="11"/>
  <c r="C2347" i="11" a="1"/>
  <c r="C2347" i="11" s="1"/>
  <c r="E2347" i="11"/>
  <c r="G2347" i="11" s="1"/>
  <c r="C2348" i="11" a="1"/>
  <c r="C2348" i="11" s="1"/>
  <c r="E2348" i="11"/>
  <c r="G2348" i="11" s="1"/>
  <c r="B2350" i="11"/>
  <c r="C2350" i="11"/>
  <c r="E2350" i="11"/>
  <c r="C2353" i="11"/>
  <c r="C2354" i="11"/>
  <c r="D2354" i="11"/>
  <c r="C2355" i="11"/>
  <c r="E2355" i="11"/>
  <c r="G2355" i="11" s="1"/>
  <c r="C2356" i="11"/>
  <c r="E2356" i="11"/>
  <c r="G2356" i="11" s="1"/>
  <c r="C2357" i="11"/>
  <c r="E2357" i="11"/>
  <c r="G2357" i="11" s="1"/>
  <c r="C2359" i="11"/>
  <c r="E2359" i="11" s="1"/>
  <c r="G2359" i="11" s="1"/>
  <c r="C2360" i="11"/>
  <c r="E2360" i="11" s="1"/>
  <c r="G2360" i="11" s="1"/>
  <c r="C2361" i="11"/>
  <c r="E2361" i="11" s="1"/>
  <c r="G2361" i="11" s="1"/>
  <c r="C2362" i="11"/>
  <c r="E2362" i="11" s="1"/>
  <c r="G2362" i="11" s="1"/>
  <c r="C2363" i="11"/>
  <c r="E2363" i="11" s="1"/>
  <c r="G2363" i="11" s="1"/>
  <c r="C2364" i="11"/>
  <c r="C2366" i="11"/>
  <c r="E2366" i="11"/>
  <c r="G2366" i="11" s="1"/>
  <c r="C2367" i="11"/>
  <c r="E2367" i="11"/>
  <c r="G2367" i="11" s="1"/>
  <c r="C2369" i="11"/>
  <c r="C2370" i="11" a="1"/>
  <c r="C2370" i="11" s="1"/>
  <c r="E2370" i="11"/>
  <c r="G2370" i="11" s="1"/>
  <c r="C2371" i="11" a="1"/>
  <c r="C2371" i="11" s="1"/>
  <c r="E2371" i="11"/>
  <c r="G2371" i="11" s="1"/>
  <c r="B2373" i="11"/>
  <c r="C2373" i="11"/>
  <c r="E2373" i="11"/>
  <c r="C2376" i="11"/>
  <c r="C2377" i="11"/>
  <c r="C2378" i="11"/>
  <c r="E2378" i="11"/>
  <c r="G2378" i="11" s="1"/>
  <c r="C2379" i="11"/>
  <c r="E2379" i="11"/>
  <c r="G2379" i="11" s="1"/>
  <c r="C2380" i="11"/>
  <c r="E2380" i="11"/>
  <c r="G2380" i="11" s="1"/>
  <c r="C2382" i="11"/>
  <c r="E2382" i="11" s="1"/>
  <c r="G2382" i="11" s="1"/>
  <c r="C2383" i="11"/>
  <c r="E2383" i="11" s="1"/>
  <c r="G2383" i="11" s="1"/>
  <c r="C2384" i="11"/>
  <c r="E2384" i="11" s="1"/>
  <c r="G2384" i="11" s="1"/>
  <c r="C2385" i="11"/>
  <c r="E2385" i="11" s="1"/>
  <c r="G2385" i="11" s="1"/>
  <c r="C2386" i="11"/>
  <c r="E2386" i="11" s="1"/>
  <c r="G2386" i="11" s="1"/>
  <c r="C2387" i="11"/>
  <c r="C2389" i="11"/>
  <c r="E2389" i="11"/>
  <c r="G2389" i="11" s="1"/>
  <c r="C2390" i="11"/>
  <c r="E2390" i="11"/>
  <c r="G2390" i="11" s="1"/>
  <c r="C2392" i="11"/>
  <c r="C2393" i="11" a="1"/>
  <c r="C2393" i="11" s="1"/>
  <c r="E2393" i="11"/>
  <c r="G2393" i="11" s="1"/>
  <c r="C2394" i="11" a="1"/>
  <c r="C2394" i="11" s="1"/>
  <c r="E2394" i="11"/>
  <c r="G2394" i="11" s="1"/>
  <c r="B2396" i="11"/>
  <c r="C2396" i="11"/>
  <c r="E2396" i="11"/>
  <c r="C2399" i="11"/>
  <c r="C2400" i="11"/>
  <c r="C2401" i="11"/>
  <c r="E2401" i="11"/>
  <c r="G2401" i="11" s="1"/>
  <c r="C2402" i="11"/>
  <c r="E2402" i="11"/>
  <c r="G2402" i="11" s="1"/>
  <c r="C2403" i="11"/>
  <c r="E2403" i="11"/>
  <c r="G2403" i="11" s="1"/>
  <c r="C2405" i="11"/>
  <c r="E2405" i="11" s="1"/>
  <c r="G2405" i="11" s="1"/>
  <c r="C2406" i="11"/>
  <c r="E2406" i="11" s="1"/>
  <c r="G2406" i="11" s="1"/>
  <c r="C2407" i="11"/>
  <c r="E2407" i="11" s="1"/>
  <c r="G2407" i="11" s="1"/>
  <c r="C2408" i="11"/>
  <c r="E2408" i="11" s="1"/>
  <c r="G2408" i="11" s="1"/>
  <c r="C2409" i="11"/>
  <c r="E2409" i="11" s="1"/>
  <c r="G2409" i="11" s="1"/>
  <c r="C2410" i="11"/>
  <c r="C2412" i="11"/>
  <c r="E2412" i="11"/>
  <c r="G2412" i="11" s="1"/>
  <c r="C2413" i="11"/>
  <c r="E2413" i="11"/>
  <c r="G2413" i="11" s="1"/>
  <c r="C2415" i="11"/>
  <c r="C2416" i="11" a="1"/>
  <c r="C2416" i="11" s="1"/>
  <c r="E2416" i="11"/>
  <c r="G2416" i="11" s="1"/>
  <c r="C2417" i="11" a="1"/>
  <c r="C2417" i="11" s="1"/>
  <c r="E2417" i="11"/>
  <c r="G2417" i="11" s="1"/>
  <c r="B2419" i="11"/>
  <c r="C2419" i="11"/>
  <c r="E2419" i="11"/>
  <c r="C2422" i="11"/>
  <c r="C2423" i="11"/>
  <c r="C2424" i="11"/>
  <c r="E2424" i="11"/>
  <c r="G2424" i="11" s="1"/>
  <c r="C2425" i="11"/>
  <c r="E2425" i="11"/>
  <c r="G2425" i="11" s="1"/>
  <c r="C2426" i="11"/>
  <c r="E2426" i="11"/>
  <c r="G2426" i="11" s="1"/>
  <c r="C2428" i="11"/>
  <c r="E2428" i="11" s="1"/>
  <c r="G2428" i="11" s="1"/>
  <c r="C2429" i="11"/>
  <c r="E2429" i="11" s="1"/>
  <c r="G2429" i="11" s="1"/>
  <c r="C2430" i="11"/>
  <c r="E2430" i="11" s="1"/>
  <c r="G2430" i="11" s="1"/>
  <c r="C2431" i="11"/>
  <c r="E2431" i="11" s="1"/>
  <c r="G2431" i="11" s="1"/>
  <c r="C2432" i="11"/>
  <c r="E2432" i="11" s="1"/>
  <c r="G2432" i="11" s="1"/>
  <c r="C2433" i="11"/>
  <c r="C2435" i="11"/>
  <c r="E2435" i="11"/>
  <c r="G2435" i="11" s="1"/>
  <c r="C2436" i="11"/>
  <c r="E2436" i="11"/>
  <c r="G2436" i="11" s="1"/>
  <c r="C2438" i="11"/>
  <c r="C2439" i="11" a="1"/>
  <c r="C2439" i="11" s="1"/>
  <c r="E2439" i="11"/>
  <c r="G2439" i="11" s="1"/>
  <c r="C2440" i="11" a="1"/>
  <c r="C2440" i="11" s="1"/>
  <c r="E2440" i="11"/>
  <c r="G2440" i="11" s="1"/>
  <c r="B2442" i="11"/>
  <c r="C2442" i="11"/>
  <c r="E2442" i="11"/>
  <c r="C2445" i="11"/>
  <c r="C2446" i="11"/>
  <c r="C2447" i="11"/>
  <c r="E2447" i="11"/>
  <c r="G2447" i="11" s="1"/>
  <c r="C2448" i="11"/>
  <c r="E2448" i="11"/>
  <c r="G2448" i="11" s="1"/>
  <c r="C2449" i="11"/>
  <c r="E2449" i="11"/>
  <c r="G2449" i="11" s="1"/>
  <c r="C2451" i="11"/>
  <c r="E2451" i="11" s="1"/>
  <c r="G2451" i="11" s="1"/>
  <c r="C2452" i="11"/>
  <c r="E2452" i="11" s="1"/>
  <c r="G2452" i="11" s="1"/>
  <c r="C2453" i="11"/>
  <c r="E2453" i="11" s="1"/>
  <c r="G2453" i="11" s="1"/>
  <c r="C2454" i="11"/>
  <c r="E2454" i="11" s="1"/>
  <c r="G2454" i="11" s="1"/>
  <c r="C2455" i="11"/>
  <c r="E2455" i="11" s="1"/>
  <c r="G2455" i="11" s="1"/>
  <c r="C2456" i="11"/>
  <c r="C2458" i="11"/>
  <c r="E2458" i="11"/>
  <c r="G2458" i="11" s="1"/>
  <c r="C2459" i="11"/>
  <c r="E2459" i="11"/>
  <c r="G2459" i="11" s="1"/>
  <c r="C2461" i="11"/>
  <c r="C2462" i="11" a="1"/>
  <c r="C2462" i="11" s="1"/>
  <c r="E2462" i="11"/>
  <c r="G2462" i="11" s="1"/>
  <c r="C2463" i="11" a="1"/>
  <c r="C2463" i="11" s="1"/>
  <c r="E2463" i="11"/>
  <c r="G2463" i="11" s="1"/>
  <c r="B2465" i="11"/>
  <c r="C2465" i="11"/>
  <c r="E2465" i="11"/>
  <c r="C2468" i="11"/>
  <c r="C2469" i="11"/>
  <c r="C2470" i="11"/>
  <c r="E2470" i="11"/>
  <c r="G2470" i="11" s="1"/>
  <c r="C2471" i="11"/>
  <c r="E2471" i="11"/>
  <c r="G2471" i="11" s="1"/>
  <c r="C2472" i="11"/>
  <c r="E2472" i="11"/>
  <c r="G2472" i="11" s="1"/>
  <c r="C2474" i="11"/>
  <c r="E2474" i="11" s="1"/>
  <c r="G2474" i="11" s="1"/>
  <c r="C2475" i="11"/>
  <c r="E2475" i="11" s="1"/>
  <c r="G2475" i="11" s="1"/>
  <c r="C2476" i="11"/>
  <c r="E2476" i="11" s="1"/>
  <c r="G2476" i="11" s="1"/>
  <c r="C2477" i="11"/>
  <c r="E2477" i="11" s="1"/>
  <c r="G2477" i="11" s="1"/>
  <c r="C2478" i="11"/>
  <c r="E2478" i="11" s="1"/>
  <c r="G2478" i="11" s="1"/>
  <c r="C2479" i="11"/>
  <c r="C2481" i="11"/>
  <c r="E2481" i="11"/>
  <c r="G2481" i="11" s="1"/>
  <c r="C2482" i="11"/>
  <c r="E2482" i="11"/>
  <c r="G2482" i="11" s="1"/>
  <c r="C2484" i="11"/>
  <c r="C2485" i="11" a="1"/>
  <c r="C2485" i="11" s="1"/>
  <c r="E2485" i="11"/>
  <c r="G2485" i="11" s="1"/>
  <c r="C2486" i="11" a="1"/>
  <c r="C2486" i="11" s="1"/>
  <c r="E2486" i="11"/>
  <c r="G2486" i="11" s="1"/>
  <c r="B2488" i="11"/>
  <c r="C2488" i="11"/>
  <c r="E2488" i="11"/>
  <c r="C2491" i="11"/>
  <c r="C2492" i="11"/>
  <c r="C2493" i="11"/>
  <c r="E2493" i="11"/>
  <c r="G2493" i="11" s="1"/>
  <c r="C2494" i="11"/>
  <c r="E2494" i="11"/>
  <c r="G2494" i="11" s="1"/>
  <c r="C2495" i="11"/>
  <c r="E2495" i="11"/>
  <c r="G2495" i="11" s="1"/>
  <c r="C2497" i="11"/>
  <c r="E2497" i="11" s="1"/>
  <c r="G2497" i="11" s="1"/>
  <c r="C2498" i="11"/>
  <c r="E2498" i="11" s="1"/>
  <c r="G2498" i="11" s="1"/>
  <c r="C2499" i="11"/>
  <c r="E2499" i="11" s="1"/>
  <c r="G2499" i="11" s="1"/>
  <c r="C2500" i="11"/>
  <c r="E2500" i="11" s="1"/>
  <c r="G2500" i="11" s="1"/>
  <c r="C2501" i="11"/>
  <c r="E2501" i="11" s="1"/>
  <c r="G2501" i="11" s="1"/>
  <c r="C2502" i="11"/>
  <c r="C2504" i="11"/>
  <c r="E2504" i="11"/>
  <c r="G2504" i="11" s="1"/>
  <c r="C2505" i="11"/>
  <c r="E2505" i="11"/>
  <c r="G2505" i="11" s="1"/>
  <c r="C2507" i="11"/>
  <c r="C2508" i="11" a="1"/>
  <c r="C2508" i="11" s="1"/>
  <c r="E2508" i="11"/>
  <c r="G2508" i="11" s="1"/>
  <c r="C2509" i="11" a="1"/>
  <c r="C2509" i="11" s="1"/>
  <c r="E2509" i="11"/>
  <c r="G2509" i="11" s="1"/>
  <c r="B2511" i="11"/>
  <c r="C2511" i="11"/>
  <c r="E2511" i="11"/>
  <c r="C2514" i="11"/>
  <c r="C2515" i="11"/>
  <c r="C2516" i="11"/>
  <c r="E2516" i="11"/>
  <c r="G2516" i="11" s="1"/>
  <c r="C2517" i="11"/>
  <c r="E2517" i="11"/>
  <c r="G2517" i="11" s="1"/>
  <c r="C2518" i="11"/>
  <c r="E2518" i="11"/>
  <c r="G2518" i="11" s="1"/>
  <c r="C2520" i="11"/>
  <c r="E2520" i="11" s="1"/>
  <c r="G2520" i="11" s="1"/>
  <c r="C2521" i="11"/>
  <c r="E2521" i="11" s="1"/>
  <c r="G2521" i="11" s="1"/>
  <c r="C2522" i="11"/>
  <c r="E2522" i="11" s="1"/>
  <c r="G2522" i="11" s="1"/>
  <c r="C2523" i="11"/>
  <c r="E2523" i="11" s="1"/>
  <c r="G2523" i="11" s="1"/>
  <c r="C2524" i="11"/>
  <c r="E2524" i="11" s="1"/>
  <c r="G2524" i="11" s="1"/>
  <c r="C2525" i="11"/>
  <c r="C2527" i="11"/>
  <c r="E2527" i="11"/>
  <c r="G2527" i="11" s="1"/>
  <c r="C2528" i="11"/>
  <c r="E2528" i="11"/>
  <c r="G2528" i="11" s="1"/>
  <c r="C2530" i="11"/>
  <c r="C2531" i="11" a="1"/>
  <c r="C2531" i="11" s="1"/>
  <c r="E2531" i="11"/>
  <c r="G2531" i="11" s="1"/>
  <c r="C2532" i="11" a="1"/>
  <c r="C2532" i="11" s="1"/>
  <c r="E2532" i="11"/>
  <c r="G2532" i="11" s="1"/>
  <c r="B2534" i="11"/>
  <c r="C2534" i="11"/>
  <c r="E2534" i="11"/>
  <c r="C2537" i="11"/>
  <c r="C2538" i="11"/>
  <c r="C2539" i="11"/>
  <c r="E2539" i="11"/>
  <c r="G2539" i="11" s="1"/>
  <c r="C2540" i="11"/>
  <c r="E2540" i="11"/>
  <c r="G2540" i="11" s="1"/>
  <c r="C2541" i="11"/>
  <c r="E2541" i="11"/>
  <c r="G2541" i="11" s="1"/>
  <c r="C2543" i="11"/>
  <c r="E2543" i="11" s="1"/>
  <c r="G2543" i="11" s="1"/>
  <c r="C2544" i="11"/>
  <c r="C2545" i="11"/>
  <c r="C2547" i="11"/>
  <c r="E2547" i="11"/>
  <c r="G2547" i="11" s="1"/>
  <c r="C2548" i="11"/>
  <c r="E2548" i="11"/>
  <c r="G2548" i="11" s="1"/>
  <c r="C2550" i="11"/>
  <c r="C2551" i="11" a="1"/>
  <c r="C2551" i="11" s="1"/>
  <c r="E2551" i="11"/>
  <c r="G2551" i="11" s="1"/>
  <c r="C2552" i="11" a="1"/>
  <c r="C2552" i="11" s="1"/>
  <c r="E2552" i="11"/>
  <c r="G2552" i="11" s="1"/>
  <c r="B2554" i="11"/>
  <c r="C2554" i="11"/>
  <c r="E2554" i="11"/>
  <c r="C2557" i="11"/>
  <c r="D2557" i="11"/>
  <c r="C2558" i="11"/>
  <c r="C2559" i="11"/>
  <c r="E2559" i="11"/>
  <c r="G2559" i="11" s="1"/>
  <c r="C2560" i="11"/>
  <c r="E2560" i="11"/>
  <c r="G2560" i="11" s="1"/>
  <c r="C2561" i="11"/>
  <c r="E2561" i="11"/>
  <c r="G2561" i="11" s="1"/>
  <c r="C2563" i="11"/>
  <c r="E2563" i="11" s="1"/>
  <c r="G2563" i="11" s="1"/>
  <c r="C2564" i="11"/>
  <c r="C2565" i="11"/>
  <c r="C2567" i="11"/>
  <c r="E2567" i="11"/>
  <c r="G2567" i="11" s="1"/>
  <c r="C2568" i="11"/>
  <c r="E2568" i="11"/>
  <c r="G2568" i="11" s="1"/>
  <c r="C2570" i="11"/>
  <c r="C2571" i="11" a="1"/>
  <c r="C2571" i="11" s="1"/>
  <c r="E2571" i="11"/>
  <c r="G2571" i="11" s="1"/>
  <c r="C2572" i="11" a="1"/>
  <c r="C2572" i="11" s="1"/>
  <c r="E2572" i="11"/>
  <c r="G2572" i="11" s="1"/>
  <c r="B2574" i="11"/>
  <c r="C2574" i="11"/>
  <c r="E2574" i="11"/>
  <c r="C2577" i="11"/>
  <c r="C2578" i="11"/>
  <c r="C2579" i="11"/>
  <c r="E2579" i="11"/>
  <c r="G2579" i="11" s="1"/>
  <c r="C2580" i="11"/>
  <c r="E2580" i="11"/>
  <c r="G2580" i="11" s="1"/>
  <c r="C2581" i="11"/>
  <c r="E2581" i="11"/>
  <c r="G2581" i="11" s="1"/>
  <c r="C2583" i="11"/>
  <c r="E2583" i="11" s="1"/>
  <c r="G2583" i="11" s="1"/>
  <c r="C2584" i="11"/>
  <c r="C2585" i="11"/>
  <c r="C2587" i="11"/>
  <c r="E2587" i="11"/>
  <c r="G2587" i="11" s="1"/>
  <c r="C2588" i="11"/>
  <c r="E2588" i="11"/>
  <c r="G2588" i="11" s="1"/>
  <c r="C2590" i="11"/>
  <c r="C2591" i="11" a="1"/>
  <c r="C2591" i="11" s="1"/>
  <c r="E2591" i="11"/>
  <c r="G2591" i="11" s="1"/>
  <c r="C2592" i="11" a="1"/>
  <c r="C2592" i="11" s="1"/>
  <c r="E2592" i="11"/>
  <c r="G2592" i="11" s="1"/>
  <c r="B2594" i="11"/>
  <c r="C2594" i="11"/>
  <c r="E2594" i="11"/>
  <c r="C2597" i="11"/>
  <c r="C2598" i="11"/>
  <c r="C2599" i="11"/>
  <c r="E2599" i="11"/>
  <c r="G2599" i="11" s="1"/>
  <c r="C2600" i="11"/>
  <c r="E2600" i="11"/>
  <c r="G2600" i="11" s="1"/>
  <c r="C2601" i="11"/>
  <c r="E2601" i="11"/>
  <c r="G2601" i="11" s="1"/>
  <c r="C2603" i="11"/>
  <c r="E2603" i="11" s="1"/>
  <c r="G2603" i="11" s="1"/>
  <c r="C2604" i="11"/>
  <c r="C2605" i="11"/>
  <c r="C2607" i="11"/>
  <c r="E2607" i="11"/>
  <c r="G2607" i="11" s="1"/>
  <c r="C2608" i="11"/>
  <c r="E2608" i="11"/>
  <c r="G2608" i="11" s="1"/>
  <c r="C2610" i="11"/>
  <c r="C2611" i="11" a="1"/>
  <c r="C2611" i="11" s="1"/>
  <c r="E2611" i="11"/>
  <c r="G2611" i="11" s="1"/>
  <c r="C2612" i="11" a="1"/>
  <c r="C2612" i="11" s="1"/>
  <c r="E2612" i="11"/>
  <c r="G2612" i="11" s="1"/>
  <c r="B2614" i="11"/>
  <c r="C2614" i="11"/>
  <c r="E2614" i="11"/>
  <c r="C2617" i="11"/>
  <c r="C2618" i="11"/>
  <c r="C2619" i="11"/>
  <c r="E2619" i="11"/>
  <c r="G2619" i="11" s="1"/>
  <c r="C2620" i="11"/>
  <c r="E2620" i="11"/>
  <c r="G2620" i="11" s="1"/>
  <c r="C2621" i="11"/>
  <c r="E2621" i="11"/>
  <c r="G2621" i="11" s="1"/>
  <c r="C2623" i="11"/>
  <c r="E2623" i="11" s="1"/>
  <c r="G2623" i="11" s="1"/>
  <c r="C2624" i="11"/>
  <c r="C2625" i="11"/>
  <c r="C2627" i="11"/>
  <c r="E2627" i="11"/>
  <c r="G2627" i="11" s="1"/>
  <c r="C2628" i="11"/>
  <c r="E2628" i="11"/>
  <c r="G2628" i="11" s="1"/>
  <c r="C2630" i="11"/>
  <c r="C2631" i="11" a="1"/>
  <c r="C2631" i="11" s="1"/>
  <c r="E2631" i="11"/>
  <c r="G2631" i="11" s="1"/>
  <c r="C2632" i="11" a="1"/>
  <c r="C2632" i="11" s="1"/>
  <c r="E2632" i="11"/>
  <c r="G2632" i="11" s="1"/>
  <c r="B2634" i="11"/>
  <c r="C2634" i="11"/>
  <c r="E2634" i="11"/>
  <c r="C2637" i="11"/>
  <c r="C2638" i="11"/>
  <c r="C2639" i="11"/>
  <c r="E2639" i="11"/>
  <c r="G2639" i="11" s="1"/>
  <c r="C2640" i="11"/>
  <c r="E2640" i="11"/>
  <c r="G2640" i="11" s="1"/>
  <c r="C2641" i="11"/>
  <c r="E2641" i="11"/>
  <c r="G2641" i="11" s="1"/>
  <c r="C2643" i="11"/>
  <c r="E2643" i="11" s="1"/>
  <c r="G2643" i="11" s="1"/>
  <c r="C2644" i="11"/>
  <c r="C2645" i="11"/>
  <c r="C2647" i="11"/>
  <c r="E2647" i="11"/>
  <c r="G2647" i="11" s="1"/>
  <c r="C2648" i="11"/>
  <c r="E2648" i="11"/>
  <c r="G2648" i="11" s="1"/>
  <c r="C2650" i="11"/>
  <c r="C2651" i="11" a="1"/>
  <c r="C2651" i="11" s="1"/>
  <c r="E2651" i="11"/>
  <c r="G2651" i="11" s="1"/>
  <c r="C2652" i="11" a="1"/>
  <c r="C2652" i="11" s="1"/>
  <c r="E2652" i="11"/>
  <c r="G2652" i="11" s="1"/>
  <c r="B2654" i="11"/>
  <c r="C2654" i="11"/>
  <c r="E2654" i="11"/>
  <c r="C2657" i="11"/>
  <c r="C2658" i="11"/>
  <c r="C2659" i="11"/>
  <c r="E2659" i="11"/>
  <c r="G2659" i="11" s="1"/>
  <c r="C2660" i="11"/>
  <c r="E2660" i="11"/>
  <c r="G2660" i="11" s="1"/>
  <c r="C2661" i="11"/>
  <c r="E2661" i="11"/>
  <c r="G2661" i="11" s="1"/>
  <c r="C2663" i="11"/>
  <c r="E2663" i="11" s="1"/>
  <c r="G2663" i="11" s="1"/>
  <c r="C2664" i="11"/>
  <c r="C2665" i="11"/>
  <c r="C2667" i="11"/>
  <c r="E2667" i="11"/>
  <c r="G2667" i="11" s="1"/>
  <c r="C2668" i="11"/>
  <c r="E2668" i="11"/>
  <c r="G2668" i="11" s="1"/>
  <c r="C2670" i="11"/>
  <c r="C2671" i="11" a="1"/>
  <c r="C2671" i="11" s="1"/>
  <c r="E2671" i="11"/>
  <c r="G2671" i="11" s="1"/>
  <c r="C2672" i="11" a="1"/>
  <c r="C2672" i="11" s="1"/>
  <c r="E2672" i="11"/>
  <c r="G2672" i="11" s="1"/>
  <c r="B2674" i="11"/>
  <c r="C2674" i="11"/>
  <c r="E2674" i="11"/>
  <c r="C2677" i="11"/>
  <c r="C2678" i="11"/>
  <c r="C2679" i="11"/>
  <c r="E2679" i="11"/>
  <c r="G2679" i="11" s="1"/>
  <c r="C2680" i="11"/>
  <c r="E2680" i="11"/>
  <c r="G2680" i="11" s="1"/>
  <c r="C2681" i="11"/>
  <c r="E2681" i="11"/>
  <c r="G2681" i="11" s="1"/>
  <c r="C2683" i="11"/>
  <c r="E2683" i="11" s="1"/>
  <c r="G2683" i="11" s="1"/>
  <c r="C2684" i="11"/>
  <c r="C2685" i="11"/>
  <c r="C2687" i="11"/>
  <c r="E2687" i="11"/>
  <c r="G2687" i="11" s="1"/>
  <c r="C2688" i="11"/>
  <c r="E2688" i="11"/>
  <c r="G2688" i="11" s="1"/>
  <c r="C2690" i="11"/>
  <c r="C2691" i="11" a="1"/>
  <c r="C2691" i="11" s="1"/>
  <c r="E2691" i="11"/>
  <c r="G2691" i="11" s="1"/>
  <c r="C2692" i="11" a="1"/>
  <c r="C2692" i="11" s="1"/>
  <c r="E2692" i="11"/>
  <c r="G2692" i="11" s="1"/>
  <c r="B2694" i="11"/>
  <c r="C2694" i="11"/>
  <c r="E2694" i="11"/>
  <c r="C2697" i="11"/>
  <c r="C2698" i="11"/>
  <c r="C2699" i="11"/>
  <c r="E2699" i="11"/>
  <c r="G2699" i="11" s="1"/>
  <c r="C2700" i="11"/>
  <c r="E2700" i="11"/>
  <c r="G2700" i="11" s="1"/>
  <c r="C2701" i="11"/>
  <c r="E2701" i="11"/>
  <c r="G2701" i="11" s="1"/>
  <c r="C2703" i="11"/>
  <c r="E2703" i="11" s="1"/>
  <c r="G2703" i="11" s="1"/>
  <c r="C2704" i="11"/>
  <c r="C2705" i="11"/>
  <c r="C2707" i="11"/>
  <c r="E2707" i="11"/>
  <c r="G2707" i="11" s="1"/>
  <c r="C2708" i="11"/>
  <c r="E2708" i="11"/>
  <c r="G2708" i="11" s="1"/>
  <c r="C2710" i="11"/>
  <c r="C2711" i="11" a="1"/>
  <c r="C2711" i="11" s="1"/>
  <c r="E2711" i="11"/>
  <c r="G2711" i="11" s="1"/>
  <c r="C2712" i="11" a="1"/>
  <c r="C2712" i="11" s="1"/>
  <c r="E2712" i="11"/>
  <c r="G2712" i="11" s="1"/>
  <c r="B2714" i="11"/>
  <c r="C2714" i="11"/>
  <c r="E2714" i="11"/>
  <c r="C2717" i="11"/>
  <c r="C2718" i="11"/>
  <c r="C2719" i="11"/>
  <c r="E2719" i="11"/>
  <c r="G2719" i="11" s="1"/>
  <c r="C2720" i="11"/>
  <c r="E2720" i="11"/>
  <c r="G2720" i="11" s="1"/>
  <c r="C2721" i="11"/>
  <c r="E2721" i="11"/>
  <c r="G2721" i="11" s="1"/>
  <c r="C2723" i="11"/>
  <c r="E2723" i="11" s="1"/>
  <c r="G2723" i="11" s="1"/>
  <c r="C2724" i="11"/>
  <c r="C2725" i="11"/>
  <c r="C2727" i="11"/>
  <c r="E2727" i="11"/>
  <c r="G2727" i="11" s="1"/>
  <c r="C2728" i="11"/>
  <c r="E2728" i="11"/>
  <c r="G2728" i="11" s="1"/>
  <c r="C2730" i="11"/>
  <c r="C2731" i="11" a="1"/>
  <c r="C2731" i="11" s="1"/>
  <c r="E2731" i="11"/>
  <c r="G2731" i="11" s="1"/>
  <c r="C2732" i="11" a="1"/>
  <c r="C2732" i="11" s="1"/>
  <c r="E2732" i="11"/>
  <c r="G2732" i="11" s="1"/>
  <c r="B2734" i="11"/>
  <c r="C2734" i="11"/>
  <c r="E2734" i="11"/>
  <c r="C2737" i="11"/>
  <c r="C2738" i="11"/>
  <c r="C2739" i="11"/>
  <c r="E2739" i="11"/>
  <c r="G2739" i="11" s="1"/>
  <c r="C2740" i="11"/>
  <c r="E2740" i="11"/>
  <c r="G2740" i="11" s="1"/>
  <c r="C2741" i="11"/>
  <c r="E2741" i="11"/>
  <c r="G2741" i="11" s="1"/>
  <c r="C2743" i="11"/>
  <c r="E2743" i="11" s="1"/>
  <c r="G2743" i="11" s="1"/>
  <c r="C2744" i="11"/>
  <c r="C2745" i="11"/>
  <c r="C2747" i="11"/>
  <c r="E2747" i="11"/>
  <c r="G2747" i="11" s="1"/>
  <c r="C2748" i="11"/>
  <c r="E2748" i="11"/>
  <c r="G2748" i="11" s="1"/>
  <c r="C2750" i="11"/>
  <c r="C2751" i="11" a="1"/>
  <c r="C2751" i="11" s="1"/>
  <c r="E2751" i="11"/>
  <c r="G2751" i="11" s="1"/>
  <c r="C2752" i="11" a="1"/>
  <c r="C2752" i="11" s="1"/>
  <c r="E2752" i="11"/>
  <c r="G2752" i="11" s="1"/>
  <c r="B2754" i="11"/>
  <c r="C2754" i="11"/>
  <c r="E2754" i="11"/>
  <c r="C2757" i="11"/>
  <c r="C2758" i="11"/>
  <c r="C2759" i="11"/>
  <c r="E2759" i="11"/>
  <c r="G2759" i="11" s="1"/>
  <c r="C2760" i="11"/>
  <c r="E2760" i="11"/>
  <c r="G2760" i="11" s="1"/>
  <c r="C2761" i="11"/>
  <c r="E2761" i="11"/>
  <c r="G2761" i="11" s="1"/>
  <c r="C2763" i="11"/>
  <c r="E2763" i="11" s="1"/>
  <c r="G2763" i="11" s="1"/>
  <c r="C2764" i="11"/>
  <c r="C2765" i="11"/>
  <c r="C2767" i="11"/>
  <c r="E2767" i="11"/>
  <c r="G2767" i="11" s="1"/>
  <c r="C2768" i="11"/>
  <c r="E2768" i="11"/>
  <c r="G2768" i="11" s="1"/>
  <c r="C2770" i="11"/>
  <c r="C2771" i="11" a="1"/>
  <c r="C2771" i="11" s="1"/>
  <c r="E2771" i="11"/>
  <c r="G2771" i="11" s="1"/>
  <c r="C2772" i="11" a="1"/>
  <c r="C2772" i="11" s="1"/>
  <c r="E2772" i="11"/>
  <c r="G2772" i="11" s="1"/>
  <c r="B2774" i="11"/>
  <c r="C2774" i="11"/>
  <c r="E2774" i="11"/>
  <c r="C2777" i="11"/>
  <c r="C2778" i="11"/>
  <c r="C2779" i="11"/>
  <c r="E2779" i="11"/>
  <c r="G2779" i="11" s="1"/>
  <c r="C2780" i="11"/>
  <c r="E2780" i="11"/>
  <c r="G2780" i="11" s="1"/>
  <c r="C2781" i="11"/>
  <c r="E2781" i="11"/>
  <c r="G2781" i="11" s="1"/>
  <c r="C2783" i="11"/>
  <c r="E2783" i="11" s="1"/>
  <c r="G2783" i="11" s="1"/>
  <c r="C2784" i="11"/>
  <c r="E2784" i="11" s="1"/>
  <c r="G2784" i="11" s="1"/>
  <c r="C2785" i="11"/>
  <c r="E2785" i="11" s="1"/>
  <c r="G2785" i="11" s="1"/>
  <c r="C2786" i="11"/>
  <c r="E2786" i="11" s="1"/>
  <c r="G2786" i="11" s="1"/>
  <c r="C2787" i="11"/>
  <c r="E2787" i="11" s="1"/>
  <c r="G2787" i="11" s="1"/>
  <c r="C2788" i="11"/>
  <c r="C2790" i="11"/>
  <c r="E2790" i="11"/>
  <c r="G2790" i="11" s="1"/>
  <c r="C2791" i="11"/>
  <c r="E2791" i="11"/>
  <c r="G2791" i="11" s="1"/>
  <c r="C2793" i="11"/>
  <c r="C2794" i="11" a="1"/>
  <c r="C2794" i="11" s="1"/>
  <c r="E2794" i="11"/>
  <c r="G2794" i="11" s="1"/>
  <c r="C2795" i="11" a="1"/>
  <c r="C2795" i="11" s="1"/>
  <c r="E2795" i="11"/>
  <c r="G2795" i="11" s="1"/>
  <c r="B2797" i="11"/>
  <c r="C2797" i="11"/>
  <c r="E2797" i="11"/>
  <c r="C2800" i="11"/>
  <c r="C2801" i="11"/>
  <c r="C2802" i="11"/>
  <c r="E2802" i="11"/>
  <c r="G2802" i="11" s="1"/>
  <c r="C2803" i="11"/>
  <c r="E2803" i="11"/>
  <c r="G2803" i="11" s="1"/>
  <c r="C2804" i="11"/>
  <c r="E2804" i="11"/>
  <c r="G2804" i="11" s="1"/>
  <c r="C2806" i="11"/>
  <c r="E2806" i="11" s="1"/>
  <c r="G2806" i="11" s="1"/>
  <c r="C2807" i="11"/>
  <c r="E2807" i="11" s="1"/>
  <c r="G2807" i="11" s="1"/>
  <c r="C2808" i="11"/>
  <c r="E2808" i="11" s="1"/>
  <c r="G2808" i="11" s="1"/>
  <c r="C2809" i="11"/>
  <c r="E2809" i="11" s="1"/>
  <c r="G2809" i="11" s="1"/>
  <c r="C2810" i="11"/>
  <c r="E2810" i="11" s="1"/>
  <c r="G2810" i="11" s="1"/>
  <c r="C2811" i="11"/>
  <c r="C2813" i="11"/>
  <c r="E2813" i="11"/>
  <c r="G2813" i="11" s="1"/>
  <c r="C2814" i="11"/>
  <c r="E2814" i="11"/>
  <c r="G2814" i="11" s="1"/>
  <c r="C2816" i="11"/>
  <c r="C2817" i="11" a="1"/>
  <c r="C2817" i="11" s="1"/>
  <c r="E2817" i="11"/>
  <c r="G2817" i="11" s="1"/>
  <c r="C2818" i="11" a="1"/>
  <c r="C2818" i="11" s="1"/>
  <c r="E2818" i="11"/>
  <c r="G2818" i="11" s="1"/>
  <c r="B2820" i="11"/>
  <c r="C2820" i="11"/>
  <c r="E2820" i="11"/>
  <c r="C2823" i="11"/>
  <c r="C2824" i="11"/>
  <c r="C2825" i="11"/>
  <c r="E2825" i="11"/>
  <c r="G2825" i="11" s="1"/>
  <c r="C2826" i="11"/>
  <c r="E2826" i="11"/>
  <c r="G2826" i="11" s="1"/>
  <c r="C2827" i="11"/>
  <c r="E2827" i="11"/>
  <c r="G2827" i="11" s="1"/>
  <c r="C2829" i="11"/>
  <c r="E2829" i="11" s="1"/>
  <c r="G2829" i="11" s="1"/>
  <c r="C2830" i="11"/>
  <c r="E2830" i="11" s="1"/>
  <c r="G2830" i="11" s="1"/>
  <c r="C2831" i="11"/>
  <c r="E2831" i="11" s="1"/>
  <c r="G2831" i="11" s="1"/>
  <c r="C2832" i="11"/>
  <c r="E2832" i="11" s="1"/>
  <c r="G2832" i="11" s="1"/>
  <c r="C2833" i="11"/>
  <c r="E2833" i="11" s="1"/>
  <c r="G2833" i="11" s="1"/>
  <c r="C2834" i="11"/>
  <c r="C2836" i="11"/>
  <c r="E2836" i="11"/>
  <c r="G2836" i="11" s="1"/>
  <c r="C2837" i="11"/>
  <c r="E2837" i="11"/>
  <c r="G2837" i="11" s="1"/>
  <c r="C2839" i="11"/>
  <c r="C2840" i="11" a="1"/>
  <c r="C2840" i="11" s="1"/>
  <c r="E2840" i="11"/>
  <c r="G2840" i="11" s="1"/>
  <c r="C2841" i="11" a="1"/>
  <c r="C2841" i="11" s="1"/>
  <c r="E2841" i="11"/>
  <c r="G2841" i="11" s="1"/>
  <c r="B2843" i="11"/>
  <c r="C2843" i="11"/>
  <c r="E2843" i="11"/>
  <c r="C2846" i="11"/>
  <c r="C2847" i="11"/>
  <c r="C2848" i="11"/>
  <c r="E2848" i="11"/>
  <c r="G2848" i="11" s="1"/>
  <c r="C2849" i="11"/>
  <c r="E2849" i="11"/>
  <c r="G2849" i="11" s="1"/>
  <c r="C2850" i="11"/>
  <c r="E2850" i="11"/>
  <c r="G2850" i="11" s="1"/>
  <c r="C2852" i="11"/>
  <c r="E2852" i="11" s="1"/>
  <c r="G2852" i="11" s="1"/>
  <c r="C2853" i="11"/>
  <c r="E2853" i="11" s="1"/>
  <c r="G2853" i="11" s="1"/>
  <c r="C2854" i="11"/>
  <c r="E2854" i="11" s="1"/>
  <c r="G2854" i="11" s="1"/>
  <c r="C2855" i="11"/>
  <c r="E2855" i="11" s="1"/>
  <c r="G2855" i="11" s="1"/>
  <c r="C2856" i="11"/>
  <c r="E2856" i="11" s="1"/>
  <c r="G2856" i="11" s="1"/>
  <c r="C2857" i="11"/>
  <c r="C2859" i="11"/>
  <c r="E2859" i="11"/>
  <c r="G2859" i="11" s="1"/>
  <c r="C2860" i="11"/>
  <c r="E2860" i="11"/>
  <c r="G2860" i="11" s="1"/>
  <c r="C2862" i="11"/>
  <c r="C2863" i="11" a="1"/>
  <c r="C2863" i="11" s="1"/>
  <c r="E2863" i="11"/>
  <c r="G2863" i="11" s="1"/>
  <c r="C2864" i="11" a="1"/>
  <c r="C2864" i="11" s="1"/>
  <c r="E2864" i="11"/>
  <c r="G2864" i="11" s="1"/>
  <c r="B2866" i="11"/>
  <c r="C2866" i="11"/>
  <c r="E2866" i="11"/>
  <c r="C2869" i="11"/>
  <c r="C2870" i="11"/>
  <c r="C2871" i="11"/>
  <c r="E2871" i="11"/>
  <c r="G2871" i="11" s="1"/>
  <c r="C2872" i="11"/>
  <c r="E2872" i="11"/>
  <c r="G2872" i="11" s="1"/>
  <c r="C2873" i="11"/>
  <c r="E2873" i="11"/>
  <c r="G2873" i="11" s="1"/>
  <c r="C2875" i="11"/>
  <c r="E2875" i="11" s="1"/>
  <c r="G2875" i="11" s="1"/>
  <c r="C2876" i="11"/>
  <c r="E2876" i="11" s="1"/>
  <c r="G2876" i="11" s="1"/>
  <c r="C2877" i="11"/>
  <c r="E2877" i="11" s="1"/>
  <c r="G2877" i="11" s="1"/>
  <c r="C2878" i="11"/>
  <c r="E2878" i="11" s="1"/>
  <c r="G2878" i="11" s="1"/>
  <c r="C2879" i="11"/>
  <c r="E2879" i="11" s="1"/>
  <c r="G2879" i="11" s="1"/>
  <c r="C2880" i="11"/>
  <c r="C2882" i="11"/>
  <c r="E2882" i="11"/>
  <c r="G2882" i="11" s="1"/>
  <c r="C2883" i="11"/>
  <c r="E2883" i="11"/>
  <c r="G2883" i="11" s="1"/>
  <c r="C2885" i="11"/>
  <c r="C2886" i="11" a="1"/>
  <c r="C2886" i="11" s="1"/>
  <c r="E2886" i="11"/>
  <c r="G2886" i="11" s="1"/>
  <c r="C2887" i="11" a="1"/>
  <c r="C2887" i="11" s="1"/>
  <c r="E2887" i="11"/>
  <c r="G2887" i="11" s="1"/>
  <c r="B2889" i="11"/>
  <c r="C2889" i="11"/>
  <c r="E2889" i="11"/>
  <c r="C2892" i="11"/>
  <c r="C2893" i="11"/>
  <c r="C2894" i="11"/>
  <c r="E2894" i="11"/>
  <c r="G2894" i="11" s="1"/>
  <c r="C2895" i="11"/>
  <c r="E2895" i="11"/>
  <c r="G2895" i="11" s="1"/>
  <c r="C2896" i="11"/>
  <c r="E2896" i="11"/>
  <c r="G2896" i="11" s="1"/>
  <c r="C2898" i="11"/>
  <c r="E2898" i="11" s="1"/>
  <c r="G2898" i="11" s="1"/>
  <c r="C2899" i="11"/>
  <c r="E2899" i="11" s="1"/>
  <c r="G2899" i="11" s="1"/>
  <c r="C2900" i="11"/>
  <c r="E2900" i="11" s="1"/>
  <c r="G2900" i="11" s="1"/>
  <c r="C2901" i="11"/>
  <c r="E2901" i="11" s="1"/>
  <c r="G2901" i="11" s="1"/>
  <c r="C2902" i="11"/>
  <c r="E2902" i="11" s="1"/>
  <c r="G2902" i="11" s="1"/>
  <c r="C2903" i="11"/>
  <c r="C2905" i="11"/>
  <c r="E2905" i="11"/>
  <c r="G2905" i="11" s="1"/>
  <c r="C2906" i="11"/>
  <c r="E2906" i="11"/>
  <c r="G2906" i="11" s="1"/>
  <c r="C2908" i="11"/>
  <c r="C2909" i="11" a="1"/>
  <c r="C2909" i="11" s="1"/>
  <c r="E2909" i="11"/>
  <c r="G2909" i="11" s="1"/>
  <c r="C2910" i="11" a="1"/>
  <c r="C2910" i="11" s="1"/>
  <c r="E2910" i="11"/>
  <c r="G2910" i="11" s="1"/>
  <c r="B2912" i="11"/>
  <c r="C2912" i="11"/>
  <c r="E2912" i="11"/>
  <c r="C2915" i="11"/>
  <c r="C2916" i="11"/>
  <c r="D2916" i="11"/>
  <c r="C2917" i="11"/>
  <c r="E2917" i="11"/>
  <c r="G2917" i="11" s="1"/>
  <c r="C2918" i="11"/>
  <c r="E2918" i="11"/>
  <c r="G2918" i="11" s="1"/>
  <c r="C2919" i="11"/>
  <c r="E2919" i="11"/>
  <c r="G2919" i="11" s="1"/>
  <c r="C2921" i="11"/>
  <c r="E2921" i="11" s="1"/>
  <c r="G2921" i="11" s="1"/>
  <c r="C2922" i="11"/>
  <c r="C2923" i="11"/>
  <c r="C2925" i="11"/>
  <c r="E2925" i="11"/>
  <c r="G2925" i="11" s="1"/>
  <c r="C2926" i="11"/>
  <c r="E2926" i="11"/>
  <c r="G2926" i="11" s="1"/>
  <c r="C2928" i="11"/>
  <c r="C2929" i="11" a="1"/>
  <c r="C2929" i="11" s="1"/>
  <c r="E2929" i="11"/>
  <c r="G2929" i="11" s="1"/>
  <c r="C2930" i="11" a="1"/>
  <c r="C2930" i="11" s="1"/>
  <c r="E2930" i="11"/>
  <c r="G2930" i="11" s="1"/>
  <c r="B2932" i="11"/>
  <c r="C2932" i="11"/>
  <c r="E2932" i="11"/>
  <c r="C2935" i="11"/>
  <c r="C2936" i="11"/>
  <c r="D2936" i="11"/>
  <c r="C2937" i="11"/>
  <c r="E2937" i="11"/>
  <c r="G2937" i="11" s="1"/>
  <c r="C2938" i="11"/>
  <c r="E2938" i="11"/>
  <c r="G2938" i="11" s="1"/>
  <c r="C2939" i="11"/>
  <c r="E2939" i="11"/>
  <c r="G2939" i="11" s="1"/>
  <c r="C2941" i="11"/>
  <c r="E2941" i="11" s="1"/>
  <c r="G2941" i="11" s="1"/>
  <c r="C2942" i="11"/>
  <c r="C2943" i="11"/>
  <c r="C2945" i="11"/>
  <c r="E2945" i="11"/>
  <c r="G2945" i="11" s="1"/>
  <c r="C2946" i="11"/>
  <c r="E2946" i="11"/>
  <c r="G2946" i="11" s="1"/>
  <c r="C2948" i="11"/>
  <c r="C2949" i="11" a="1"/>
  <c r="C2949" i="11" s="1"/>
  <c r="E2949" i="11"/>
  <c r="G2949" i="11" s="1"/>
  <c r="C2950" i="11" a="1"/>
  <c r="C2950" i="11" s="1"/>
  <c r="E2950" i="11"/>
  <c r="G2950" i="11" s="1"/>
  <c r="B2952" i="11"/>
  <c r="C2952" i="11"/>
  <c r="E2952" i="11"/>
  <c r="C2955" i="11"/>
  <c r="C2956" i="11"/>
  <c r="C2957" i="11"/>
  <c r="E2957" i="11"/>
  <c r="G2957" i="11" s="1"/>
  <c r="C2958" i="11"/>
  <c r="E2958" i="11"/>
  <c r="G2958" i="11" s="1"/>
  <c r="C2959" i="11"/>
  <c r="E2959" i="11"/>
  <c r="G2959" i="11" s="1"/>
  <c r="C2961" i="11"/>
  <c r="E2961" i="11" s="1"/>
  <c r="C2962" i="11"/>
  <c r="C2963" i="11"/>
  <c r="C2965" i="11"/>
  <c r="E2965" i="11"/>
  <c r="G2965" i="11" s="1"/>
  <c r="C2966" i="11"/>
  <c r="E2966" i="11"/>
  <c r="G2966" i="11" s="1"/>
  <c r="C2968" i="11"/>
  <c r="C2969" i="11" a="1"/>
  <c r="C2969" i="11" s="1"/>
  <c r="E2969" i="11"/>
  <c r="G2969" i="11" s="1"/>
  <c r="C2970" i="11" a="1"/>
  <c r="C2970" i="11" s="1"/>
  <c r="E2970" i="11"/>
  <c r="G2970" i="11" s="1"/>
  <c r="B2972" i="11"/>
  <c r="C2972" i="11"/>
  <c r="E2972" i="11"/>
  <c r="C2975" i="11"/>
  <c r="C2976" i="11"/>
  <c r="E2976" i="11"/>
  <c r="G2976" i="11" s="1"/>
  <c r="C2977" i="11"/>
  <c r="E2977" i="11"/>
  <c r="G2977" i="11" s="1"/>
  <c r="C2978" i="11"/>
  <c r="E2978" i="11"/>
  <c r="G2978" i="11" s="1"/>
  <c r="C2979" i="11"/>
  <c r="E2979" i="11"/>
  <c r="G2979" i="11" s="1"/>
  <c r="C2981" i="11"/>
  <c r="C2982" i="11"/>
  <c r="C2983" i="11"/>
  <c r="E2983" i="11" s="1"/>
  <c r="G2983" i="11" s="1"/>
  <c r="C2985" i="11"/>
  <c r="E2985" i="11"/>
  <c r="G2985" i="11" s="1"/>
  <c r="C2986" i="11"/>
  <c r="E2986" i="11"/>
  <c r="G2986" i="11" s="1"/>
  <c r="C2988" i="11"/>
  <c r="C2989" i="11" a="1"/>
  <c r="C2989" i="11" s="1"/>
  <c r="E2989" i="11"/>
  <c r="G2989" i="11" s="1"/>
  <c r="C2990" i="11" a="1"/>
  <c r="C2990" i="11" s="1"/>
  <c r="E2990" i="11"/>
  <c r="G2990" i="11" s="1"/>
  <c r="B1886" i="8"/>
  <c r="C1886" i="8"/>
  <c r="E1886" i="8"/>
  <c r="C1889" i="8"/>
  <c r="E1889" i="8"/>
  <c r="G1889" i="8" s="1"/>
  <c r="C1890" i="8"/>
  <c r="E1890" i="8"/>
  <c r="G1890" i="8" s="1"/>
  <c r="C1891" i="8"/>
  <c r="E1891" i="8"/>
  <c r="G1891" i="8" s="1"/>
  <c r="C1892" i="8"/>
  <c r="E1892" i="8"/>
  <c r="G1892" i="8" s="1"/>
  <c r="C1893" i="8"/>
  <c r="E1893" i="8"/>
  <c r="G1893" i="8" s="1"/>
  <c r="C1895" i="8"/>
  <c r="C1896" i="8"/>
  <c r="C1897" i="8"/>
  <c r="E1897" i="8" s="1"/>
  <c r="G1897" i="8" s="1"/>
  <c r="C1899" i="8"/>
  <c r="E1899" i="8"/>
  <c r="G1899" i="8" s="1"/>
  <c r="C1900" i="8"/>
  <c r="E1900" i="8"/>
  <c r="G1900" i="8" s="1"/>
  <c r="C1902" i="8"/>
  <c r="C1903" i="8" a="1"/>
  <c r="C1903" i="8" s="1"/>
  <c r="E1903" i="8"/>
  <c r="G1903" i="8" s="1"/>
  <c r="C1904" i="8" a="1"/>
  <c r="C1904" i="8" s="1"/>
  <c r="E1904" i="8"/>
  <c r="G1904" i="8" s="1"/>
  <c r="B1906" i="8"/>
  <c r="C1906" i="8"/>
  <c r="E1906" i="8"/>
  <c r="C1909" i="8"/>
  <c r="E1909" i="8"/>
  <c r="G1909" i="8" s="1"/>
  <c r="C1910" i="8"/>
  <c r="E1910" i="8"/>
  <c r="G1910" i="8" s="1"/>
  <c r="C1911" i="8"/>
  <c r="E1911" i="8"/>
  <c r="G1911" i="8" s="1"/>
  <c r="C1912" i="8"/>
  <c r="E1912" i="8"/>
  <c r="G1912" i="8" s="1"/>
  <c r="C1913" i="8"/>
  <c r="E1913" i="8"/>
  <c r="G1913" i="8" s="1"/>
  <c r="C1915" i="8"/>
  <c r="E1915" i="8" s="1"/>
  <c r="G1915" i="8" s="1"/>
  <c r="C1916" i="8"/>
  <c r="C1917" i="8"/>
  <c r="E1917" i="8" s="1"/>
  <c r="G1917" i="8" s="1"/>
  <c r="C1919" i="8"/>
  <c r="E1919" i="8"/>
  <c r="G1919" i="8" s="1"/>
  <c r="C1920" i="8"/>
  <c r="E1920" i="8"/>
  <c r="G1920" i="8" s="1"/>
  <c r="C1922" i="8"/>
  <c r="C1923" i="8" a="1"/>
  <c r="C1923" i="8" s="1"/>
  <c r="E1923" i="8"/>
  <c r="G1923" i="8" s="1"/>
  <c r="C1924" i="8" a="1"/>
  <c r="C1924" i="8" s="1"/>
  <c r="E1924" i="8"/>
  <c r="G1924" i="8" s="1"/>
  <c r="B1926" i="8"/>
  <c r="C1926" i="8"/>
  <c r="E1926" i="8"/>
  <c r="C1929" i="8"/>
  <c r="E1929" i="8"/>
  <c r="G1929" i="8" s="1"/>
  <c r="C1930" i="8"/>
  <c r="E1930" i="8"/>
  <c r="G1930" i="8" s="1"/>
  <c r="C1931" i="8"/>
  <c r="E1931" i="8"/>
  <c r="G1931" i="8" s="1"/>
  <c r="C1932" i="8"/>
  <c r="E1932" i="8"/>
  <c r="G1932" i="8" s="1"/>
  <c r="C1933" i="8"/>
  <c r="E1933" i="8"/>
  <c r="G1933" i="8" s="1"/>
  <c r="C1935" i="8"/>
  <c r="E1935" i="8" s="1"/>
  <c r="G1935" i="8" s="1"/>
  <c r="C1936" i="8"/>
  <c r="C1937" i="8"/>
  <c r="E1937" i="8" s="1"/>
  <c r="G1937" i="8" s="1"/>
  <c r="C1939" i="8"/>
  <c r="E1939" i="8"/>
  <c r="G1939" i="8" s="1"/>
  <c r="C1940" i="8"/>
  <c r="E1940" i="8"/>
  <c r="G1940" i="8" s="1"/>
  <c r="C1942" i="8"/>
  <c r="C1943" i="8" a="1"/>
  <c r="C1943" i="8" s="1"/>
  <c r="E1943" i="8"/>
  <c r="G1943" i="8" s="1"/>
  <c r="C1944" i="8" a="1"/>
  <c r="C1944" i="8" s="1"/>
  <c r="E1944" i="8"/>
  <c r="G1944" i="8" s="1"/>
  <c r="B1946" i="8"/>
  <c r="C1946" i="8"/>
  <c r="E1946" i="8"/>
  <c r="C1949" i="8"/>
  <c r="E1949" i="8"/>
  <c r="G1949" i="8" s="1"/>
  <c r="C1950" i="8"/>
  <c r="E1950" i="8"/>
  <c r="G1950" i="8" s="1"/>
  <c r="C1951" i="8"/>
  <c r="E1951" i="8"/>
  <c r="G1951" i="8" s="1"/>
  <c r="C1952" i="8"/>
  <c r="E1952" i="8"/>
  <c r="G1952" i="8" s="1"/>
  <c r="C1953" i="8"/>
  <c r="E1953" i="8"/>
  <c r="G1953" i="8" s="1"/>
  <c r="C1955" i="8"/>
  <c r="C1956" i="8"/>
  <c r="C1957" i="8"/>
  <c r="E1957" i="8" s="1"/>
  <c r="G1957" i="8" s="1"/>
  <c r="C1959" i="8"/>
  <c r="E1959" i="8"/>
  <c r="G1959" i="8" s="1"/>
  <c r="C1960" i="8"/>
  <c r="E1960" i="8"/>
  <c r="G1960" i="8" s="1"/>
  <c r="C1962" i="8"/>
  <c r="C1963" i="8" a="1"/>
  <c r="C1963" i="8" s="1"/>
  <c r="E1963" i="8"/>
  <c r="G1963" i="8" s="1"/>
  <c r="C1964" i="8" a="1"/>
  <c r="C1964" i="8" s="1"/>
  <c r="E1964" i="8"/>
  <c r="G1964" i="8" s="1"/>
  <c r="B1966" i="8"/>
  <c r="C1966" i="8"/>
  <c r="E1966" i="8"/>
  <c r="C1969" i="8"/>
  <c r="E1969" i="8"/>
  <c r="G1969" i="8" s="1"/>
  <c r="C1970" i="8"/>
  <c r="E1970" i="8"/>
  <c r="G1970" i="8" s="1"/>
  <c r="C1971" i="8"/>
  <c r="E1971" i="8"/>
  <c r="G1971" i="8" s="1"/>
  <c r="C1972" i="8"/>
  <c r="E1972" i="8"/>
  <c r="G1972" i="8" s="1"/>
  <c r="C1973" i="8"/>
  <c r="E1973" i="8"/>
  <c r="G1973" i="8" s="1"/>
  <c r="C1975" i="8"/>
  <c r="E1975" i="8" s="1"/>
  <c r="G1975" i="8" s="1"/>
  <c r="C1976" i="8"/>
  <c r="E1976" i="8" s="1"/>
  <c r="G1976" i="8" s="1"/>
  <c r="C1977" i="8"/>
  <c r="C1978" i="8"/>
  <c r="C1979" i="8"/>
  <c r="C1981" i="8"/>
  <c r="E1981" i="8"/>
  <c r="G1981" i="8" s="1"/>
  <c r="C1982" i="8"/>
  <c r="E1982" i="8"/>
  <c r="G1982" i="8" s="1"/>
  <c r="C1984" i="8"/>
  <c r="C1985" i="8" a="1"/>
  <c r="C1985" i="8" s="1"/>
  <c r="E1985" i="8"/>
  <c r="G1985" i="8" s="1"/>
  <c r="C1986" i="8" a="1"/>
  <c r="C1986" i="8" s="1"/>
  <c r="E1986" i="8"/>
  <c r="G1986" i="8" s="1"/>
  <c r="B1988" i="8"/>
  <c r="C1988" i="8"/>
  <c r="E1988" i="8"/>
  <c r="C1991" i="8"/>
  <c r="E1991" i="8"/>
  <c r="G1991" i="8" s="1"/>
  <c r="C1992" i="8"/>
  <c r="E1992" i="8"/>
  <c r="G1992" i="8" s="1"/>
  <c r="C1993" i="8"/>
  <c r="E1993" i="8"/>
  <c r="G1993" i="8" s="1"/>
  <c r="C1994" i="8"/>
  <c r="E1994" i="8"/>
  <c r="G1994" i="8" s="1"/>
  <c r="C1995" i="8"/>
  <c r="E1995" i="8"/>
  <c r="G1995" i="8" s="1"/>
  <c r="C1997" i="8"/>
  <c r="E1997" i="8" s="1"/>
  <c r="G1997" i="8" s="1"/>
  <c r="C1998" i="8"/>
  <c r="C1999" i="8"/>
  <c r="C2000" i="8"/>
  <c r="C2002" i="8"/>
  <c r="E2002" i="8"/>
  <c r="G2002" i="8" s="1"/>
  <c r="C2003" i="8"/>
  <c r="E2003" i="8"/>
  <c r="G2003" i="8" s="1"/>
  <c r="C2005" i="8"/>
  <c r="C2006" i="8" a="1"/>
  <c r="C2006" i="8" s="1"/>
  <c r="E2006" i="8"/>
  <c r="G2006" i="8" s="1"/>
  <c r="C2007" i="8" a="1"/>
  <c r="C2007" i="8" s="1"/>
  <c r="E2007" i="8"/>
  <c r="G2007" i="8" s="1"/>
  <c r="B2009" i="8"/>
  <c r="C2009" i="8"/>
  <c r="E2009" i="8"/>
  <c r="C2012" i="8"/>
  <c r="E2012" i="8"/>
  <c r="G2012" i="8" s="1"/>
  <c r="C2013" i="8"/>
  <c r="E2013" i="8"/>
  <c r="G2013" i="8" s="1"/>
  <c r="C2014" i="8"/>
  <c r="E2014" i="8"/>
  <c r="G2014" i="8" s="1"/>
  <c r="C2015" i="8"/>
  <c r="E2015" i="8"/>
  <c r="G2015" i="8" s="1"/>
  <c r="C2016" i="8"/>
  <c r="E2016" i="8"/>
  <c r="G2016" i="8" s="1"/>
  <c r="C2018" i="8"/>
  <c r="E2018" i="8" s="1"/>
  <c r="G2018" i="8" s="1"/>
  <c r="C2019" i="8"/>
  <c r="C2020" i="8"/>
  <c r="C2021" i="8"/>
  <c r="C2023" i="8"/>
  <c r="E2023" i="8"/>
  <c r="G2023" i="8" s="1"/>
  <c r="C2024" i="8"/>
  <c r="E2024" i="8"/>
  <c r="G2024" i="8" s="1"/>
  <c r="C2026" i="8"/>
  <c r="C2027" i="8" a="1"/>
  <c r="C2027" i="8" s="1"/>
  <c r="E2027" i="8"/>
  <c r="G2027" i="8" s="1"/>
  <c r="C2028" i="8" a="1"/>
  <c r="C2028" i="8" s="1"/>
  <c r="E2028" i="8"/>
  <c r="G2028" i="8" s="1"/>
  <c r="B2030" i="8"/>
  <c r="C2030" i="8"/>
  <c r="E2030" i="8"/>
  <c r="C2033" i="8"/>
  <c r="E2033" i="8"/>
  <c r="G2033" i="8" s="1"/>
  <c r="C2034" i="8"/>
  <c r="E2034" i="8"/>
  <c r="G2034" i="8" s="1"/>
  <c r="C2035" i="8"/>
  <c r="E2035" i="8"/>
  <c r="G2035" i="8" s="1"/>
  <c r="C2036" i="8"/>
  <c r="E2036" i="8"/>
  <c r="G2036" i="8" s="1"/>
  <c r="C2037" i="8"/>
  <c r="E2037" i="8"/>
  <c r="G2037" i="8" s="1"/>
  <c r="C2039" i="8"/>
  <c r="E2039" i="8" s="1"/>
  <c r="G2039" i="8" s="1"/>
  <c r="C2040" i="8"/>
  <c r="C2041" i="8"/>
  <c r="C2042" i="8"/>
  <c r="C2044" i="8"/>
  <c r="E2044" i="8"/>
  <c r="G2044" i="8" s="1"/>
  <c r="C2045" i="8"/>
  <c r="E2045" i="8"/>
  <c r="G2045" i="8" s="1"/>
  <c r="C2047" i="8"/>
  <c r="C2048" i="8" a="1"/>
  <c r="C2048" i="8" s="1"/>
  <c r="E2048" i="8"/>
  <c r="G2048" i="8" s="1"/>
  <c r="C2049" i="8" a="1"/>
  <c r="C2049" i="8" s="1"/>
  <c r="E2049" i="8"/>
  <c r="G2049" i="8" s="1"/>
  <c r="B2051" i="8"/>
  <c r="C2051" i="8"/>
  <c r="E2051" i="8"/>
  <c r="C2054" i="8"/>
  <c r="E2054" i="8"/>
  <c r="G2054" i="8" s="1"/>
  <c r="C2055" i="8"/>
  <c r="E2055" i="8"/>
  <c r="G2055" i="8" s="1"/>
  <c r="C2056" i="8"/>
  <c r="E2056" i="8"/>
  <c r="G2056" i="8" s="1"/>
  <c r="C2057" i="8"/>
  <c r="E2057" i="8"/>
  <c r="G2057" i="8" s="1"/>
  <c r="C2058" i="8"/>
  <c r="E2058" i="8"/>
  <c r="G2058" i="8" s="1"/>
  <c r="C2060" i="8"/>
  <c r="E2060" i="8" s="1"/>
  <c r="G2060" i="8" s="1"/>
  <c r="C2061" i="8"/>
  <c r="C2062" i="8"/>
  <c r="C2063" i="8"/>
  <c r="C2065" i="8"/>
  <c r="E2065" i="8"/>
  <c r="G2065" i="8" s="1"/>
  <c r="C2066" i="8"/>
  <c r="E2066" i="8"/>
  <c r="G2066" i="8" s="1"/>
  <c r="C2068" i="8"/>
  <c r="C2069" i="8" a="1"/>
  <c r="C2069" i="8" s="1"/>
  <c r="E2069" i="8"/>
  <c r="G2069" i="8" s="1"/>
  <c r="C2070" i="8" a="1"/>
  <c r="C2070" i="8" s="1"/>
  <c r="E2070" i="8"/>
  <c r="G2070" i="8" s="1"/>
  <c r="B2072" i="8"/>
  <c r="C2072" i="8"/>
  <c r="E2072" i="8"/>
  <c r="C2075" i="8"/>
  <c r="E2075" i="8"/>
  <c r="G2075" i="8" s="1"/>
  <c r="C2076" i="8"/>
  <c r="E2076" i="8"/>
  <c r="G2076" i="8" s="1"/>
  <c r="C2077" i="8"/>
  <c r="E2077" i="8"/>
  <c r="G2077" i="8" s="1"/>
  <c r="C2078" i="8"/>
  <c r="E2078" i="8"/>
  <c r="G2078" i="8" s="1"/>
  <c r="C2079" i="8"/>
  <c r="E2079" i="8"/>
  <c r="G2079" i="8" s="1"/>
  <c r="C2081" i="8"/>
  <c r="C2082" i="8"/>
  <c r="C2083" i="8"/>
  <c r="E2083" i="8" s="1"/>
  <c r="G2083" i="8" s="1"/>
  <c r="C2085" i="8"/>
  <c r="E2085" i="8"/>
  <c r="G2085" i="8" s="1"/>
  <c r="C2086" i="8"/>
  <c r="E2086" i="8"/>
  <c r="G2086" i="8" s="1"/>
  <c r="C2088" i="8"/>
  <c r="C2089" i="8" a="1"/>
  <c r="C2089" i="8" s="1"/>
  <c r="E2089" i="8"/>
  <c r="G2089" i="8" s="1"/>
  <c r="C2090" i="8" a="1"/>
  <c r="C2090" i="8" s="1"/>
  <c r="E2090" i="8"/>
  <c r="G2090" i="8" s="1"/>
  <c r="B2092" i="8"/>
  <c r="C2092" i="8"/>
  <c r="E2092" i="8"/>
  <c r="C2095" i="8"/>
  <c r="E2095" i="8"/>
  <c r="G2095" i="8" s="1"/>
  <c r="C2096" i="8"/>
  <c r="E2096" i="8"/>
  <c r="G2096" i="8" s="1"/>
  <c r="C2097" i="8"/>
  <c r="E2097" i="8"/>
  <c r="G2097" i="8" s="1"/>
  <c r="C2098" i="8"/>
  <c r="E2098" i="8"/>
  <c r="G2098" i="8" s="1"/>
  <c r="C2099" i="8"/>
  <c r="E2099" i="8"/>
  <c r="G2099" i="8" s="1"/>
  <c r="C2101" i="8"/>
  <c r="E2101" i="8" s="1"/>
  <c r="G2101" i="8" s="1"/>
  <c r="C2102" i="8"/>
  <c r="C2103" i="8"/>
  <c r="E2103" i="8" s="1"/>
  <c r="G2103" i="8" s="1"/>
  <c r="C2105" i="8"/>
  <c r="E2105" i="8"/>
  <c r="G2105" i="8" s="1"/>
  <c r="C2106" i="8"/>
  <c r="E2106" i="8"/>
  <c r="G2106" i="8" s="1"/>
  <c r="C2108" i="8"/>
  <c r="C2109" i="8" a="1"/>
  <c r="C2109" i="8" s="1"/>
  <c r="E2109" i="8"/>
  <c r="G2109" i="8" s="1"/>
  <c r="C2110" i="8" a="1"/>
  <c r="C2110" i="8" s="1"/>
  <c r="E2110" i="8"/>
  <c r="G2110" i="8" s="1"/>
  <c r="B2112" i="8"/>
  <c r="C2112" i="8"/>
  <c r="E2112" i="8"/>
  <c r="C2115" i="8"/>
  <c r="E2115" i="8"/>
  <c r="G2115" i="8" s="1"/>
  <c r="C2116" i="8"/>
  <c r="E2116" i="8"/>
  <c r="G2116" i="8" s="1"/>
  <c r="C2117" i="8"/>
  <c r="E2117" i="8"/>
  <c r="G2117" i="8" s="1"/>
  <c r="C2118" i="8"/>
  <c r="E2118" i="8"/>
  <c r="G2118" i="8" s="1"/>
  <c r="C2119" i="8"/>
  <c r="E2119" i="8"/>
  <c r="G2119" i="8" s="1"/>
  <c r="C2121" i="8"/>
  <c r="C2122" i="8"/>
  <c r="C2123" i="8"/>
  <c r="E2123" i="8" s="1"/>
  <c r="G2123" i="8" s="1"/>
  <c r="C2125" i="8"/>
  <c r="E2125" i="8"/>
  <c r="G2125" i="8" s="1"/>
  <c r="C2126" i="8"/>
  <c r="E2126" i="8"/>
  <c r="G2126" i="8" s="1"/>
  <c r="C2128" i="8"/>
  <c r="C2129" i="8" a="1"/>
  <c r="C2129" i="8" s="1"/>
  <c r="E2129" i="8"/>
  <c r="G2129" i="8" s="1"/>
  <c r="C2130" i="8" a="1"/>
  <c r="C2130" i="8" s="1"/>
  <c r="E2130" i="8"/>
  <c r="G2130" i="8" s="1"/>
  <c r="B2132" i="8"/>
  <c r="C2132" i="8"/>
  <c r="E2132" i="8"/>
  <c r="C2135" i="8"/>
  <c r="E2135" i="8"/>
  <c r="G2135" i="8" s="1"/>
  <c r="C2136" i="8"/>
  <c r="E2136" i="8"/>
  <c r="G2136" i="8" s="1"/>
  <c r="C2137" i="8"/>
  <c r="E2137" i="8"/>
  <c r="G2137" i="8" s="1"/>
  <c r="C2138" i="8"/>
  <c r="E2138" i="8"/>
  <c r="G2138" i="8" s="1"/>
  <c r="C2139" i="8"/>
  <c r="E2139" i="8"/>
  <c r="G2139" i="8" s="1"/>
  <c r="C2141" i="8"/>
  <c r="C2142" i="8"/>
  <c r="C2143" i="8"/>
  <c r="E2143" i="8" s="1"/>
  <c r="G2143" i="8" s="1"/>
  <c r="C2145" i="8"/>
  <c r="E2145" i="8"/>
  <c r="G2145" i="8" s="1"/>
  <c r="C2146" i="8"/>
  <c r="E2146" i="8"/>
  <c r="G2146" i="8" s="1"/>
  <c r="C2148" i="8"/>
  <c r="C2149" i="8" a="1"/>
  <c r="C2149" i="8" s="1"/>
  <c r="E2149" i="8"/>
  <c r="G2149" i="8" s="1"/>
  <c r="C2150" i="8" a="1"/>
  <c r="C2150" i="8" s="1"/>
  <c r="E2150" i="8"/>
  <c r="G2150" i="8" s="1"/>
  <c r="B2152" i="8"/>
  <c r="C2152" i="8"/>
  <c r="E2152" i="8"/>
  <c r="C2155" i="8"/>
  <c r="E2155" i="8"/>
  <c r="G2155" i="8" s="1"/>
  <c r="C2156" i="8"/>
  <c r="E2156" i="8"/>
  <c r="G2156" i="8" s="1"/>
  <c r="C2157" i="8"/>
  <c r="E2157" i="8"/>
  <c r="G2157" i="8" s="1"/>
  <c r="C2158" i="8"/>
  <c r="E2158" i="8"/>
  <c r="G2158" i="8" s="1"/>
  <c r="C2159" i="8"/>
  <c r="E2159" i="8"/>
  <c r="G2159" i="8" s="1"/>
  <c r="C2161" i="8"/>
  <c r="C2162" i="8"/>
  <c r="C2163" i="8"/>
  <c r="E2163" i="8" s="1"/>
  <c r="G2163" i="8" s="1"/>
  <c r="C2165" i="8"/>
  <c r="E2165" i="8"/>
  <c r="G2165" i="8" s="1"/>
  <c r="C2166" i="8"/>
  <c r="E2166" i="8"/>
  <c r="G2166" i="8" s="1"/>
  <c r="C2168" i="8"/>
  <c r="C2169" i="8" a="1"/>
  <c r="C2169" i="8" s="1"/>
  <c r="E2169" i="8"/>
  <c r="G2169" i="8" s="1"/>
  <c r="C2170" i="8" a="1"/>
  <c r="C2170" i="8" s="1"/>
  <c r="E2170" i="8"/>
  <c r="G2170" i="8" s="1"/>
  <c r="B2172" i="8"/>
  <c r="C2172" i="8"/>
  <c r="E2172" i="8"/>
  <c r="C2175" i="8"/>
  <c r="E2175" i="8"/>
  <c r="G2175" i="8" s="1"/>
  <c r="C2176" i="8"/>
  <c r="E2176" i="8"/>
  <c r="G2176" i="8" s="1"/>
  <c r="C2177" i="8"/>
  <c r="E2177" i="8"/>
  <c r="G2177" i="8" s="1"/>
  <c r="C2178" i="8"/>
  <c r="E2178" i="8"/>
  <c r="G2178" i="8" s="1"/>
  <c r="C2179" i="8"/>
  <c r="E2179" i="8"/>
  <c r="G2179" i="8" s="1"/>
  <c r="C2181" i="8"/>
  <c r="E2181" i="8" s="1"/>
  <c r="G2181" i="8" s="1"/>
  <c r="C2182" i="8"/>
  <c r="C2183" i="8"/>
  <c r="C2185" i="8"/>
  <c r="E2185" i="8"/>
  <c r="G2185" i="8" s="1"/>
  <c r="C2186" i="8"/>
  <c r="E2186" i="8"/>
  <c r="G2186" i="8" s="1"/>
  <c r="C2188" i="8"/>
  <c r="C2189" i="8" a="1"/>
  <c r="C2189" i="8" s="1"/>
  <c r="E2189" i="8"/>
  <c r="G2189" i="8" s="1"/>
  <c r="C2190" i="8" a="1"/>
  <c r="C2190" i="8" s="1"/>
  <c r="E2190" i="8"/>
  <c r="G2190" i="8" s="1"/>
  <c r="B2192" i="8"/>
  <c r="C2192" i="8"/>
  <c r="E2192" i="8"/>
  <c r="C2195" i="8"/>
  <c r="E2195" i="8"/>
  <c r="G2195" i="8" s="1"/>
  <c r="C2196" i="8"/>
  <c r="E2196" i="8"/>
  <c r="G2196" i="8" s="1"/>
  <c r="C2197" i="8"/>
  <c r="E2197" i="8"/>
  <c r="G2197" i="8" s="1"/>
  <c r="C2198" i="8"/>
  <c r="E2198" i="8"/>
  <c r="G2198" i="8" s="1"/>
  <c r="C2199" i="8"/>
  <c r="E2199" i="8"/>
  <c r="G2199" i="8" s="1"/>
  <c r="C2201" i="8"/>
  <c r="E2201" i="8" s="1"/>
  <c r="G2201" i="8" s="1"/>
  <c r="C2202" i="8"/>
  <c r="C2203" i="8"/>
  <c r="C2205" i="8"/>
  <c r="E2205" i="8"/>
  <c r="G2205" i="8" s="1"/>
  <c r="C2206" i="8"/>
  <c r="E2206" i="8"/>
  <c r="G2206" i="8" s="1"/>
  <c r="C2208" i="8"/>
  <c r="C2209" i="8" a="1"/>
  <c r="C2209" i="8" s="1"/>
  <c r="G2209" i="8"/>
  <c r="C2210" i="8" a="1"/>
  <c r="C2210" i="8" s="1"/>
  <c r="E2210" i="8"/>
  <c r="G2210" i="8" s="1"/>
  <c r="B2212" i="8"/>
  <c r="C2212" i="8"/>
  <c r="E2212" i="8"/>
  <c r="C2215" i="8"/>
  <c r="E2215" i="8"/>
  <c r="G2215" i="8" s="1"/>
  <c r="C2216" i="8"/>
  <c r="E2216" i="8"/>
  <c r="G2216" i="8" s="1"/>
  <c r="C2217" i="8"/>
  <c r="E2217" i="8"/>
  <c r="G2217" i="8" s="1"/>
  <c r="C2218" i="8"/>
  <c r="E2218" i="8"/>
  <c r="G2218" i="8" s="1"/>
  <c r="C2219" i="8"/>
  <c r="E2219" i="8"/>
  <c r="G2219" i="8" s="1"/>
  <c r="C2221" i="8"/>
  <c r="E2221" i="8" s="1"/>
  <c r="G2221" i="8" s="1"/>
  <c r="C2222" i="8"/>
  <c r="C2223" i="8"/>
  <c r="C2225" i="8"/>
  <c r="E2225" i="8"/>
  <c r="G2225" i="8" s="1"/>
  <c r="C2226" i="8"/>
  <c r="E2226" i="8"/>
  <c r="G2226" i="8" s="1"/>
  <c r="C2228" i="8"/>
  <c r="C2229" i="8" a="1"/>
  <c r="C2229" i="8" s="1"/>
  <c r="E2229" i="8"/>
  <c r="G2229" i="8" s="1"/>
  <c r="C2230" i="8" a="1"/>
  <c r="C2230" i="8" s="1"/>
  <c r="E2230" i="8"/>
  <c r="G2230" i="8" s="1"/>
  <c r="B2232" i="8"/>
  <c r="C2232" i="8"/>
  <c r="E2232" i="8"/>
  <c r="C2235" i="8"/>
  <c r="E2235" i="8"/>
  <c r="G2235" i="8" s="1"/>
  <c r="C2236" i="8"/>
  <c r="E2236" i="8"/>
  <c r="G2236" i="8" s="1"/>
  <c r="C2237" i="8"/>
  <c r="E2237" i="8"/>
  <c r="G2237" i="8" s="1"/>
  <c r="C2238" i="8"/>
  <c r="E2238" i="8"/>
  <c r="G2238" i="8" s="1"/>
  <c r="C2239" i="8"/>
  <c r="E2239" i="8"/>
  <c r="G2239" i="8" s="1"/>
  <c r="C2241" i="8"/>
  <c r="C2242" i="8"/>
  <c r="C2243" i="8"/>
  <c r="E2243" i="8" s="1"/>
  <c r="G2243" i="8" s="1"/>
  <c r="C2245" i="8"/>
  <c r="E2245" i="8"/>
  <c r="G2245" i="8" s="1"/>
  <c r="C2246" i="8"/>
  <c r="E2246" i="8"/>
  <c r="G2246" i="8" s="1"/>
  <c r="C2248" i="8"/>
  <c r="C2249" i="8" a="1"/>
  <c r="C2249" i="8" s="1"/>
  <c r="E2249" i="8"/>
  <c r="G2249" i="8" s="1"/>
  <c r="C2250" i="8" a="1"/>
  <c r="C2250" i="8" s="1"/>
  <c r="E2250" i="8"/>
  <c r="G2250" i="8" s="1"/>
  <c r="B2252" i="8"/>
  <c r="C2252" i="8"/>
  <c r="E2252" i="8"/>
  <c r="C2255" i="8"/>
  <c r="E2255" i="8"/>
  <c r="G2255" i="8" s="1"/>
  <c r="C2256" i="8"/>
  <c r="E2256" i="8"/>
  <c r="G2256" i="8" s="1"/>
  <c r="C2257" i="8"/>
  <c r="E2257" i="8"/>
  <c r="G2257" i="8" s="1"/>
  <c r="C2258" i="8"/>
  <c r="E2258" i="8"/>
  <c r="G2258" i="8" s="1"/>
  <c r="C2259" i="8"/>
  <c r="E2259" i="8"/>
  <c r="G2259" i="8" s="1"/>
  <c r="C2261" i="8"/>
  <c r="E2261" i="8" s="1"/>
  <c r="G2261" i="8" s="1"/>
  <c r="C2262" i="8"/>
  <c r="C2263" i="8"/>
  <c r="E2263" i="8" s="1"/>
  <c r="G2263" i="8" s="1"/>
  <c r="C2265" i="8"/>
  <c r="E2265" i="8"/>
  <c r="G2265" i="8" s="1"/>
  <c r="C2266" i="8"/>
  <c r="E2266" i="8"/>
  <c r="G2266" i="8" s="1"/>
  <c r="C2268" i="8"/>
  <c r="C2269" i="8" a="1"/>
  <c r="C2269" i="8" s="1"/>
  <c r="E2269" i="8"/>
  <c r="G2269" i="8" s="1"/>
  <c r="C2270" i="8" a="1"/>
  <c r="C2270" i="8" s="1"/>
  <c r="E2270" i="8"/>
  <c r="G2270" i="8" s="1"/>
  <c r="B2272" i="8"/>
  <c r="C2272" i="8"/>
  <c r="E2272" i="8"/>
  <c r="C2275" i="8"/>
  <c r="E2275" i="8"/>
  <c r="G2275" i="8" s="1"/>
  <c r="C2276" i="8"/>
  <c r="E2276" i="8"/>
  <c r="G2276" i="8" s="1"/>
  <c r="C2277" i="8"/>
  <c r="E2277" i="8"/>
  <c r="G2277" i="8" s="1"/>
  <c r="C2278" i="8"/>
  <c r="E2278" i="8"/>
  <c r="G2278" i="8" s="1"/>
  <c r="C2279" i="8"/>
  <c r="E2279" i="8"/>
  <c r="G2279" i="8" s="1"/>
  <c r="C2281" i="8"/>
  <c r="C2282" i="8"/>
  <c r="C2283" i="8"/>
  <c r="E2283" i="8" s="1"/>
  <c r="G2283" i="8" s="1"/>
  <c r="C2285" i="8"/>
  <c r="E2285" i="8"/>
  <c r="G2285" i="8" s="1"/>
  <c r="C2286" i="8"/>
  <c r="E2286" i="8"/>
  <c r="G2286" i="8" s="1"/>
  <c r="C2288" i="8"/>
  <c r="C2289" i="8" a="1"/>
  <c r="C2289" i="8" s="1"/>
  <c r="E2289" i="8"/>
  <c r="G2289" i="8" s="1"/>
  <c r="C2290" i="8" a="1"/>
  <c r="C2290" i="8" s="1"/>
  <c r="E2290" i="8"/>
  <c r="G2290" i="8" s="1"/>
  <c r="B2292" i="8"/>
  <c r="C2292" i="8"/>
  <c r="E2292" i="8"/>
  <c r="C2295" i="8"/>
  <c r="E2295" i="8"/>
  <c r="G2295" i="8" s="1"/>
  <c r="C2296" i="8"/>
  <c r="E2296" i="8"/>
  <c r="G2296" i="8" s="1"/>
  <c r="C2297" i="8"/>
  <c r="E2297" i="8"/>
  <c r="G2297" i="8" s="1"/>
  <c r="C2298" i="8"/>
  <c r="E2298" i="8"/>
  <c r="G2298" i="8" s="1"/>
  <c r="C2299" i="8"/>
  <c r="E2299" i="8"/>
  <c r="G2299" i="8" s="1"/>
  <c r="C2301" i="8"/>
  <c r="C2302" i="8"/>
  <c r="C2303" i="8"/>
  <c r="E2303" i="8" s="1"/>
  <c r="G2303" i="8" s="1"/>
  <c r="C2305" i="8"/>
  <c r="E2305" i="8"/>
  <c r="G2305" i="8" s="1"/>
  <c r="C2306" i="8"/>
  <c r="E2306" i="8"/>
  <c r="G2306" i="8" s="1"/>
  <c r="C2308" i="8"/>
  <c r="C2309" i="8" a="1"/>
  <c r="C2309" i="8" s="1"/>
  <c r="E2309" i="8"/>
  <c r="G2309" i="8" s="1"/>
  <c r="C2310" i="8" a="1"/>
  <c r="C2310" i="8" s="1"/>
  <c r="E2310" i="8"/>
  <c r="G2310" i="8" s="1"/>
  <c r="B2312" i="8"/>
  <c r="C2312" i="8"/>
  <c r="E2312" i="8"/>
  <c r="C2315" i="8"/>
  <c r="E2315" i="8"/>
  <c r="G2315" i="8" s="1"/>
  <c r="C2316" i="8"/>
  <c r="E2316" i="8"/>
  <c r="G2316" i="8" s="1"/>
  <c r="C2317" i="8"/>
  <c r="E2317" i="8"/>
  <c r="G2317" i="8" s="1"/>
  <c r="C2318" i="8"/>
  <c r="E2318" i="8"/>
  <c r="G2318" i="8" s="1"/>
  <c r="C2319" i="8"/>
  <c r="E2319" i="8"/>
  <c r="G2319" i="8" s="1"/>
  <c r="C2321" i="8"/>
  <c r="C2322" i="8"/>
  <c r="C2323" i="8"/>
  <c r="E2323" i="8" s="1"/>
  <c r="G2323" i="8" s="1"/>
  <c r="C2325" i="8"/>
  <c r="E2325" i="8"/>
  <c r="G2325" i="8" s="1"/>
  <c r="C2326" i="8"/>
  <c r="E2326" i="8"/>
  <c r="G2326" i="8" s="1"/>
  <c r="C2328" i="8"/>
  <c r="C2329" i="8" a="1"/>
  <c r="C2329" i="8" s="1"/>
  <c r="E2329" i="8"/>
  <c r="G2329" i="8" s="1"/>
  <c r="C2330" i="8" a="1"/>
  <c r="C2330" i="8" s="1"/>
  <c r="E2330" i="8"/>
  <c r="G2330" i="8" s="1"/>
  <c r="B2332" i="8"/>
  <c r="C2332" i="8"/>
  <c r="E2332" i="8"/>
  <c r="C2335" i="8"/>
  <c r="E2335" i="8"/>
  <c r="G2335" i="8" s="1"/>
  <c r="C2336" i="8"/>
  <c r="E2336" i="8"/>
  <c r="G2336" i="8" s="1"/>
  <c r="C2337" i="8"/>
  <c r="E2337" i="8"/>
  <c r="G2337" i="8" s="1"/>
  <c r="C2338" i="8"/>
  <c r="E2338" i="8"/>
  <c r="G2338" i="8" s="1"/>
  <c r="C2339" i="8"/>
  <c r="E2339" i="8"/>
  <c r="G2339" i="8" s="1"/>
  <c r="C2341" i="8"/>
  <c r="E2341" i="8" s="1"/>
  <c r="G2341" i="8" s="1"/>
  <c r="C2342" i="8"/>
  <c r="C2343" i="8"/>
  <c r="C2345" i="8"/>
  <c r="E2345" i="8"/>
  <c r="G2345" i="8" s="1"/>
  <c r="C2346" i="8"/>
  <c r="E2346" i="8"/>
  <c r="G2346" i="8" s="1"/>
  <c r="C2348" i="8"/>
  <c r="C2349" i="8" a="1"/>
  <c r="C2349" i="8" s="1"/>
  <c r="E2349" i="8"/>
  <c r="G2349" i="8" s="1"/>
  <c r="C2350" i="8" a="1"/>
  <c r="C2350" i="8" s="1"/>
  <c r="E2350" i="8"/>
  <c r="G2350" i="8" s="1"/>
  <c r="B2352" i="8"/>
  <c r="C2352" i="8"/>
  <c r="E2352" i="8"/>
  <c r="C2355" i="8"/>
  <c r="E2355" i="8"/>
  <c r="G2355" i="8" s="1"/>
  <c r="C2356" i="8"/>
  <c r="E2356" i="8"/>
  <c r="G2356" i="8" s="1"/>
  <c r="C2357" i="8"/>
  <c r="E2357" i="8"/>
  <c r="G2357" i="8" s="1"/>
  <c r="C2358" i="8"/>
  <c r="E2358" i="8"/>
  <c r="G2358" i="8" s="1"/>
  <c r="C2359" i="8"/>
  <c r="E2359" i="8"/>
  <c r="G2359" i="8" s="1"/>
  <c r="C2361" i="8"/>
  <c r="E2361" i="8" s="1"/>
  <c r="G2361" i="8" s="1"/>
  <c r="C2362" i="8"/>
  <c r="C2363" i="8"/>
  <c r="C2365" i="8"/>
  <c r="E2365" i="8"/>
  <c r="G2365" i="8" s="1"/>
  <c r="C2366" i="8"/>
  <c r="E2366" i="8"/>
  <c r="G2366" i="8" s="1"/>
  <c r="C2368" i="8"/>
  <c r="C2369" i="8" a="1"/>
  <c r="C2369" i="8" s="1"/>
  <c r="E2369" i="8"/>
  <c r="G2369" i="8" s="1"/>
  <c r="C2370" i="8" a="1"/>
  <c r="C2370" i="8" s="1"/>
  <c r="E2370" i="8"/>
  <c r="G2370" i="8" s="1"/>
  <c r="B2372" i="8"/>
  <c r="C2372" i="8"/>
  <c r="E2372" i="8"/>
  <c r="C2375" i="8"/>
  <c r="E2375" i="8"/>
  <c r="G2375" i="8" s="1"/>
  <c r="C2376" i="8"/>
  <c r="E2376" i="8"/>
  <c r="G2376" i="8" s="1"/>
  <c r="C2377" i="8"/>
  <c r="E2377" i="8"/>
  <c r="G2377" i="8" s="1"/>
  <c r="C2378" i="8"/>
  <c r="E2378" i="8"/>
  <c r="G2378" i="8" s="1"/>
  <c r="C2379" i="8"/>
  <c r="E2379" i="8"/>
  <c r="G2379" i="8" s="1"/>
  <c r="C2381" i="8"/>
  <c r="E2381" i="8" s="1"/>
  <c r="G2381" i="8" s="1"/>
  <c r="C2382" i="8"/>
  <c r="C2383" i="8"/>
  <c r="C2385" i="8"/>
  <c r="E2385" i="8"/>
  <c r="G2385" i="8" s="1"/>
  <c r="C2386" i="8"/>
  <c r="E2386" i="8"/>
  <c r="G2386" i="8" s="1"/>
  <c r="C2388" i="8"/>
  <c r="C2389" i="8" a="1"/>
  <c r="C2389" i="8" s="1"/>
  <c r="E2389" i="8"/>
  <c r="G2389" i="8" s="1"/>
  <c r="C2390" i="8" a="1"/>
  <c r="C2390" i="8" s="1"/>
  <c r="E2390" i="8"/>
  <c r="G2390" i="8" s="1"/>
  <c r="B2392" i="8"/>
  <c r="C2392" i="8"/>
  <c r="E2392" i="8"/>
  <c r="C2395" i="8"/>
  <c r="E2395" i="8"/>
  <c r="G2395" i="8" s="1"/>
  <c r="C2396" i="8"/>
  <c r="E2396" i="8"/>
  <c r="G2396" i="8" s="1"/>
  <c r="C2397" i="8"/>
  <c r="E2397" i="8"/>
  <c r="G2397" i="8" s="1"/>
  <c r="C2398" i="8"/>
  <c r="E2398" i="8"/>
  <c r="G2398" i="8" s="1"/>
  <c r="C2399" i="8"/>
  <c r="E2399" i="8"/>
  <c r="G2399" i="8" s="1"/>
  <c r="C2401" i="8"/>
  <c r="E2401" i="8" s="1"/>
  <c r="F2401" i="8"/>
  <c r="C2402" i="8"/>
  <c r="C2403" i="8"/>
  <c r="E2403" i="8" s="1"/>
  <c r="G2403" i="8" s="1"/>
  <c r="C2405" i="8"/>
  <c r="E2405" i="8"/>
  <c r="G2405" i="8" s="1"/>
  <c r="C2406" i="8"/>
  <c r="E2406" i="8"/>
  <c r="G2406" i="8" s="1"/>
  <c r="C2408" i="8"/>
  <c r="C2409" i="8" a="1"/>
  <c r="C2409" i="8" s="1"/>
  <c r="E2409" i="8"/>
  <c r="G2409" i="8" s="1"/>
  <c r="C2410" i="8" a="1"/>
  <c r="C2410" i="8" s="1"/>
  <c r="E2410" i="8"/>
  <c r="G2410" i="8" s="1"/>
  <c r="B2412" i="8"/>
  <c r="C2412" i="8"/>
  <c r="E2412" i="8"/>
  <c r="C2415" i="8"/>
  <c r="E2415" i="8"/>
  <c r="G2415" i="8" s="1"/>
  <c r="C2416" i="8"/>
  <c r="E2416" i="8"/>
  <c r="G2416" i="8" s="1"/>
  <c r="C2417" i="8"/>
  <c r="E2417" i="8"/>
  <c r="G2417" i="8" s="1"/>
  <c r="C2418" i="8"/>
  <c r="E2418" i="8"/>
  <c r="G2418" i="8" s="1"/>
  <c r="C2419" i="8"/>
  <c r="E2419" i="8"/>
  <c r="G2419" i="8" s="1"/>
  <c r="C2421" i="8"/>
  <c r="E2421" i="8" s="1"/>
  <c r="G2421" i="8" s="1"/>
  <c r="C2422" i="8"/>
  <c r="C2423" i="8"/>
  <c r="E2423" i="8" s="1"/>
  <c r="G2423" i="8" s="1"/>
  <c r="C2425" i="8"/>
  <c r="E2425" i="8"/>
  <c r="G2425" i="8" s="1"/>
  <c r="C2426" i="8"/>
  <c r="E2426" i="8"/>
  <c r="G2426" i="8" s="1"/>
  <c r="C2428" i="8"/>
  <c r="C2429" i="8" a="1"/>
  <c r="C2429" i="8" s="1"/>
  <c r="E2429" i="8"/>
  <c r="G2429" i="8" s="1"/>
  <c r="C2430" i="8" a="1"/>
  <c r="C2430" i="8" s="1"/>
  <c r="E2430" i="8"/>
  <c r="G2430" i="8" s="1"/>
  <c r="B2432" i="8"/>
  <c r="C2432" i="8"/>
  <c r="E2432" i="8"/>
  <c r="C2435" i="8"/>
  <c r="E2435" i="8"/>
  <c r="G2435" i="8" s="1"/>
  <c r="C2436" i="8"/>
  <c r="E2436" i="8"/>
  <c r="G2436" i="8" s="1"/>
  <c r="C2437" i="8"/>
  <c r="E2437" i="8"/>
  <c r="G2437" i="8" s="1"/>
  <c r="C2438" i="8"/>
  <c r="E2438" i="8"/>
  <c r="G2438" i="8" s="1"/>
  <c r="C2439" i="8"/>
  <c r="E2439" i="8"/>
  <c r="G2439" i="8" s="1"/>
  <c r="C2441" i="8"/>
  <c r="E2441" i="8" s="1"/>
  <c r="G2441" i="8" s="1"/>
  <c r="C2442" i="8"/>
  <c r="C2443" i="8"/>
  <c r="E2443" i="8" s="1"/>
  <c r="G2443" i="8" s="1"/>
  <c r="C2445" i="8"/>
  <c r="E2445" i="8"/>
  <c r="G2445" i="8" s="1"/>
  <c r="C2446" i="8"/>
  <c r="E2446" i="8"/>
  <c r="G2446" i="8" s="1"/>
  <c r="C2448" i="8"/>
  <c r="C2449" i="8" a="1"/>
  <c r="C2449" i="8" s="1"/>
  <c r="E2449" i="8"/>
  <c r="G2449" i="8" s="1"/>
  <c r="C2450" i="8" a="1"/>
  <c r="C2450" i="8" s="1"/>
  <c r="E2450" i="8"/>
  <c r="G2450" i="8" s="1"/>
  <c r="B2452" i="8"/>
  <c r="C2452" i="8"/>
  <c r="E2452" i="8"/>
  <c r="C2455" i="8"/>
  <c r="E2455" i="8"/>
  <c r="G2455" i="8" s="1"/>
  <c r="C2456" i="8"/>
  <c r="E2456" i="8"/>
  <c r="G2456" i="8" s="1"/>
  <c r="C2457" i="8"/>
  <c r="E2457" i="8"/>
  <c r="G2457" i="8" s="1"/>
  <c r="C2458" i="8"/>
  <c r="E2458" i="8"/>
  <c r="G2458" i="8" s="1"/>
  <c r="C2459" i="8"/>
  <c r="E2459" i="8"/>
  <c r="G2459" i="8" s="1"/>
  <c r="C2461" i="8"/>
  <c r="E2461" i="8" s="1"/>
  <c r="G2461" i="8" s="1"/>
  <c r="C2462" i="8"/>
  <c r="C2463" i="8"/>
  <c r="C2465" i="8"/>
  <c r="E2465" i="8"/>
  <c r="G2465" i="8" s="1"/>
  <c r="C2466" i="8"/>
  <c r="E2466" i="8"/>
  <c r="G2466" i="8" s="1"/>
  <c r="C2468" i="8"/>
  <c r="C2469" i="8" a="1"/>
  <c r="C2469" i="8" s="1"/>
  <c r="E2469" i="8"/>
  <c r="G2469" i="8" s="1"/>
  <c r="C2470" i="8" a="1"/>
  <c r="C2470" i="8" s="1"/>
  <c r="E2470" i="8"/>
  <c r="G2470" i="8" s="1"/>
  <c r="B2472" i="8"/>
  <c r="C2472" i="8"/>
  <c r="E2472" i="8"/>
  <c r="C2475" i="8"/>
  <c r="E2475" i="8"/>
  <c r="G2475" i="8" s="1"/>
  <c r="C2476" i="8"/>
  <c r="E2476" i="8"/>
  <c r="G2476" i="8" s="1"/>
  <c r="C2477" i="8"/>
  <c r="E2477" i="8"/>
  <c r="G2477" i="8" s="1"/>
  <c r="C2478" i="8"/>
  <c r="E2478" i="8"/>
  <c r="G2478" i="8" s="1"/>
  <c r="C2479" i="8"/>
  <c r="E2479" i="8"/>
  <c r="G2479" i="8" s="1"/>
  <c r="C2481" i="8"/>
  <c r="E2481" i="8" s="1"/>
  <c r="G2481" i="8" s="1"/>
  <c r="C2482" i="8"/>
  <c r="C2483" i="8"/>
  <c r="C2485" i="8"/>
  <c r="E2485" i="8"/>
  <c r="G2485" i="8" s="1"/>
  <c r="C2486" i="8"/>
  <c r="E2486" i="8"/>
  <c r="G2486" i="8" s="1"/>
  <c r="C2488" i="8"/>
  <c r="C2489" i="8" a="1"/>
  <c r="C2489" i="8" s="1"/>
  <c r="E2489" i="8"/>
  <c r="G2489" i="8" s="1"/>
  <c r="C2490" i="8" a="1"/>
  <c r="C2490" i="8" s="1"/>
  <c r="E2490" i="8"/>
  <c r="G2490" i="8" s="1"/>
  <c r="B2492" i="8"/>
  <c r="C2492" i="8"/>
  <c r="E2492" i="8"/>
  <c r="C2495" i="8"/>
  <c r="E2495" i="8"/>
  <c r="G2495" i="8" s="1"/>
  <c r="C2496" i="8"/>
  <c r="E2496" i="8"/>
  <c r="G2496" i="8" s="1"/>
  <c r="C2497" i="8"/>
  <c r="E2497" i="8"/>
  <c r="G2497" i="8" s="1"/>
  <c r="C2498" i="8"/>
  <c r="E2498" i="8"/>
  <c r="G2498" i="8" s="1"/>
  <c r="C2499" i="8"/>
  <c r="E2499" i="8"/>
  <c r="G2499" i="8" s="1"/>
  <c r="C2501" i="8"/>
  <c r="E2501" i="8" s="1"/>
  <c r="G2501" i="8" s="1"/>
  <c r="C2502" i="8"/>
  <c r="E2502" i="8" s="1"/>
  <c r="G2502" i="8" s="1"/>
  <c r="C2503" i="8"/>
  <c r="C2504" i="8"/>
  <c r="C2506" i="8"/>
  <c r="E2506" i="8"/>
  <c r="G2506" i="8" s="1"/>
  <c r="C2507" i="8"/>
  <c r="E2507" i="8"/>
  <c r="G2507" i="8" s="1"/>
  <c r="C2509" i="8"/>
  <c r="C2510" i="8" a="1"/>
  <c r="C2510" i="8" s="1"/>
  <c r="E2510" i="8"/>
  <c r="G2510" i="8" s="1"/>
  <c r="C2511" i="8" a="1"/>
  <c r="C2511" i="8" s="1"/>
  <c r="E2511" i="8"/>
  <c r="G2511" i="8" s="1"/>
  <c r="B2513" i="8"/>
  <c r="C2513" i="8"/>
  <c r="E2513" i="8"/>
  <c r="C2516" i="8"/>
  <c r="E2516" i="8"/>
  <c r="G2516" i="8" s="1"/>
  <c r="C2517" i="8"/>
  <c r="E2517" i="8"/>
  <c r="G2517" i="8" s="1"/>
  <c r="C2518" i="8"/>
  <c r="E2518" i="8"/>
  <c r="G2518" i="8" s="1"/>
  <c r="C2519" i="8"/>
  <c r="E2519" i="8"/>
  <c r="G2519" i="8" s="1"/>
  <c r="C2520" i="8"/>
  <c r="E2520" i="8"/>
  <c r="G2520" i="8" s="1"/>
  <c r="C2522" i="8"/>
  <c r="C2523" i="8"/>
  <c r="C2524" i="8"/>
  <c r="E2524" i="8" s="1"/>
  <c r="G2524" i="8" s="1"/>
  <c r="C2526" i="8"/>
  <c r="E2526" i="8"/>
  <c r="G2526" i="8" s="1"/>
  <c r="C2527" i="8"/>
  <c r="E2527" i="8"/>
  <c r="G2527" i="8" s="1"/>
  <c r="C2529" i="8"/>
  <c r="C2530" i="8" a="1"/>
  <c r="C2530" i="8" s="1"/>
  <c r="E2530" i="8"/>
  <c r="G2530" i="8" s="1"/>
  <c r="C2531" i="8" a="1"/>
  <c r="C2531" i="8" s="1"/>
  <c r="E2531" i="8"/>
  <c r="G2531" i="8" s="1"/>
  <c r="B2533" i="8"/>
  <c r="C2533" i="8"/>
  <c r="E2533" i="8"/>
  <c r="C2536" i="8"/>
  <c r="E2536" i="8"/>
  <c r="G2536" i="8" s="1"/>
  <c r="C2537" i="8"/>
  <c r="E2537" i="8"/>
  <c r="G2537" i="8" s="1"/>
  <c r="C2538" i="8"/>
  <c r="E2538" i="8"/>
  <c r="G2538" i="8" s="1"/>
  <c r="C2539" i="8"/>
  <c r="E2539" i="8"/>
  <c r="G2539" i="8" s="1"/>
  <c r="C2540" i="8"/>
  <c r="E2540" i="8"/>
  <c r="G2540" i="8" s="1"/>
  <c r="C2542" i="8"/>
  <c r="E2542" i="8" s="1"/>
  <c r="G2542" i="8" s="1"/>
  <c r="C2543" i="8"/>
  <c r="C2544" i="8"/>
  <c r="E2544" i="8" s="1"/>
  <c r="G2544" i="8" s="1"/>
  <c r="C2546" i="8"/>
  <c r="E2546" i="8"/>
  <c r="G2546" i="8" s="1"/>
  <c r="C2547" i="8"/>
  <c r="E2547" i="8"/>
  <c r="G2547" i="8" s="1"/>
  <c r="C2549" i="8"/>
  <c r="C2550" i="8" a="1"/>
  <c r="C2550" i="8" s="1"/>
  <c r="E2550" i="8"/>
  <c r="G2550" i="8" s="1"/>
  <c r="C2551" i="8" a="1"/>
  <c r="C2551" i="8" s="1"/>
  <c r="E2551" i="8"/>
  <c r="G2551" i="8" s="1"/>
  <c r="B2553" i="8"/>
  <c r="C2553" i="8"/>
  <c r="E2553" i="8"/>
  <c r="C2556" i="8"/>
  <c r="E2556" i="8"/>
  <c r="G2556" i="8" s="1"/>
  <c r="C2557" i="8"/>
  <c r="E2557" i="8"/>
  <c r="G2557" i="8" s="1"/>
  <c r="C2558" i="8"/>
  <c r="E2558" i="8"/>
  <c r="G2558" i="8" s="1"/>
  <c r="C2559" i="8"/>
  <c r="E2559" i="8"/>
  <c r="G2559" i="8" s="1"/>
  <c r="C2560" i="8"/>
  <c r="E2560" i="8"/>
  <c r="G2560" i="8" s="1"/>
  <c r="C2562" i="8"/>
  <c r="C2563" i="8"/>
  <c r="C2564" i="8"/>
  <c r="E2564" i="8" s="1"/>
  <c r="G2564" i="8" s="1"/>
  <c r="F2564" i="8"/>
  <c r="C2566" i="8"/>
  <c r="E2566" i="8"/>
  <c r="G2566" i="8" s="1"/>
  <c r="C2567" i="8"/>
  <c r="E2567" i="8"/>
  <c r="G2567" i="8" s="1"/>
  <c r="C2569" i="8"/>
  <c r="C2570" i="8" a="1"/>
  <c r="C2570" i="8" s="1"/>
  <c r="E2570" i="8"/>
  <c r="G2570" i="8" s="1"/>
  <c r="C2571" i="8" a="1"/>
  <c r="C2571" i="8" s="1"/>
  <c r="E2571" i="8"/>
  <c r="G2571" i="8" s="1"/>
  <c r="B2573" i="8"/>
  <c r="C2573" i="8"/>
  <c r="E2573" i="8"/>
  <c r="C2576" i="8"/>
  <c r="E2576" i="8"/>
  <c r="G2576" i="8" s="1"/>
  <c r="C2577" i="8"/>
  <c r="E2577" i="8"/>
  <c r="G2577" i="8" s="1"/>
  <c r="C2578" i="8"/>
  <c r="E2578" i="8"/>
  <c r="G2578" i="8" s="1"/>
  <c r="C2579" i="8"/>
  <c r="E2579" i="8"/>
  <c r="G2579" i="8" s="1"/>
  <c r="C2580" i="8"/>
  <c r="E2580" i="8"/>
  <c r="G2580" i="8" s="1"/>
  <c r="C2582" i="8"/>
  <c r="C2583" i="8"/>
  <c r="C2584" i="8"/>
  <c r="E2584" i="8" s="1"/>
  <c r="G2584" i="8" s="1"/>
  <c r="F2584" i="8"/>
  <c r="C2586" i="8"/>
  <c r="E2586" i="8"/>
  <c r="G2586" i="8" s="1"/>
  <c r="C2587" i="8"/>
  <c r="E2587" i="8"/>
  <c r="G2587" i="8" s="1"/>
  <c r="C2589" i="8"/>
  <c r="C2590" i="8" a="1"/>
  <c r="C2590" i="8" s="1"/>
  <c r="E2590" i="8"/>
  <c r="G2590" i="8" s="1"/>
  <c r="C2591" i="8" a="1"/>
  <c r="C2591" i="8" s="1"/>
  <c r="E2591" i="8"/>
  <c r="G2591" i="8" s="1"/>
  <c r="B2593" i="8"/>
  <c r="C2593" i="8"/>
  <c r="E2593" i="8"/>
  <c r="C2596" i="8"/>
  <c r="E2596" i="8"/>
  <c r="G2596" i="8" s="1"/>
  <c r="C2597" i="8"/>
  <c r="E2597" i="8"/>
  <c r="G2597" i="8" s="1"/>
  <c r="C2598" i="8"/>
  <c r="E2598" i="8"/>
  <c r="G2598" i="8" s="1"/>
  <c r="C2599" i="8"/>
  <c r="E2599" i="8"/>
  <c r="G2599" i="8" s="1"/>
  <c r="C2600" i="8"/>
  <c r="E2600" i="8"/>
  <c r="G2600" i="8" s="1"/>
  <c r="C2602" i="8"/>
  <c r="C2603" i="8"/>
  <c r="C2604" i="8"/>
  <c r="E2604" i="8" s="1"/>
  <c r="G2604" i="8" s="1"/>
  <c r="C2606" i="8"/>
  <c r="E2606" i="8"/>
  <c r="G2606" i="8" s="1"/>
  <c r="C2607" i="8"/>
  <c r="E2607" i="8"/>
  <c r="G2607" i="8" s="1"/>
  <c r="C2609" i="8"/>
  <c r="C2610" i="8" a="1"/>
  <c r="C2610" i="8" s="1"/>
  <c r="E2610" i="8"/>
  <c r="G2610" i="8" s="1"/>
  <c r="C2611" i="8" a="1"/>
  <c r="C2611" i="8" s="1"/>
  <c r="E2611" i="8"/>
  <c r="G2611" i="8" s="1"/>
  <c r="B2613" i="8"/>
  <c r="C2613" i="8"/>
  <c r="E2613" i="8"/>
  <c r="C2616" i="8"/>
  <c r="E2616" i="8"/>
  <c r="G2616" i="8" s="1"/>
  <c r="C2617" i="8"/>
  <c r="E2617" i="8"/>
  <c r="G2617" i="8" s="1"/>
  <c r="C2618" i="8"/>
  <c r="E2618" i="8"/>
  <c r="G2618" i="8" s="1"/>
  <c r="C2619" i="8"/>
  <c r="E2619" i="8"/>
  <c r="G2619" i="8" s="1"/>
  <c r="C2620" i="8"/>
  <c r="E2620" i="8"/>
  <c r="G2620" i="8" s="1"/>
  <c r="C2622" i="8"/>
  <c r="C2623" i="8"/>
  <c r="C2624" i="8"/>
  <c r="E2624" i="8" s="1"/>
  <c r="G2624" i="8" s="1"/>
  <c r="C2626" i="8"/>
  <c r="E2626" i="8"/>
  <c r="G2626" i="8" s="1"/>
  <c r="C2627" i="8"/>
  <c r="E2627" i="8"/>
  <c r="G2627" i="8" s="1"/>
  <c r="C2629" i="8"/>
  <c r="C2630" i="8" a="1"/>
  <c r="C2630" i="8" s="1"/>
  <c r="E2630" i="8"/>
  <c r="G2630" i="8" s="1"/>
  <c r="C2631" i="8" a="1"/>
  <c r="C2631" i="8" s="1"/>
  <c r="E2631" i="8"/>
  <c r="G2631" i="8" s="1"/>
  <c r="B2633" i="8"/>
  <c r="C2633" i="8"/>
  <c r="E2633" i="8"/>
  <c r="C2636" i="8"/>
  <c r="E2636" i="8"/>
  <c r="G2636" i="8" s="1"/>
  <c r="C2637" i="8"/>
  <c r="E2637" i="8"/>
  <c r="G2637" i="8" s="1"/>
  <c r="C2638" i="8"/>
  <c r="E2638" i="8"/>
  <c r="G2638" i="8" s="1"/>
  <c r="C2639" i="8"/>
  <c r="E2639" i="8"/>
  <c r="G2639" i="8" s="1"/>
  <c r="C2640" i="8"/>
  <c r="E2640" i="8"/>
  <c r="G2640" i="8" s="1"/>
  <c r="C2642" i="8"/>
  <c r="C2643" i="8"/>
  <c r="C2644" i="8"/>
  <c r="E2644" i="8" s="1"/>
  <c r="G2644" i="8" s="1"/>
  <c r="C2646" i="8"/>
  <c r="E2646" i="8"/>
  <c r="G2646" i="8" s="1"/>
  <c r="C2647" i="8"/>
  <c r="E2647" i="8"/>
  <c r="G2647" i="8" s="1"/>
  <c r="C2649" i="8"/>
  <c r="C2650" i="8" a="1"/>
  <c r="C2650" i="8" s="1"/>
  <c r="E2650" i="8"/>
  <c r="G2650" i="8" s="1"/>
  <c r="C2651" i="8" a="1"/>
  <c r="C2651" i="8" s="1"/>
  <c r="E2651" i="8"/>
  <c r="G2651" i="8" s="1"/>
  <c r="B2653" i="8"/>
  <c r="C2653" i="8"/>
  <c r="E2653" i="8"/>
  <c r="C2656" i="8"/>
  <c r="E2656" i="8"/>
  <c r="G2656" i="8" s="1"/>
  <c r="C2657" i="8"/>
  <c r="E2657" i="8"/>
  <c r="G2657" i="8" s="1"/>
  <c r="C2658" i="8"/>
  <c r="E2658" i="8"/>
  <c r="G2658" i="8" s="1"/>
  <c r="C2659" i="8"/>
  <c r="E2659" i="8"/>
  <c r="G2659" i="8" s="1"/>
  <c r="C2660" i="8"/>
  <c r="E2660" i="8"/>
  <c r="G2660" i="8" s="1"/>
  <c r="C2662" i="8"/>
  <c r="E2662" i="8" s="1"/>
  <c r="G2662" i="8" s="1"/>
  <c r="C2663" i="8"/>
  <c r="C2664" i="8"/>
  <c r="E2664" i="8" s="1"/>
  <c r="G2664" i="8" s="1"/>
  <c r="C2666" i="8"/>
  <c r="E2666" i="8"/>
  <c r="G2666" i="8" s="1"/>
  <c r="C2667" i="8"/>
  <c r="E2667" i="8"/>
  <c r="G2667" i="8" s="1"/>
  <c r="C2669" i="8"/>
  <c r="C2670" i="8" a="1"/>
  <c r="C2670" i="8" s="1"/>
  <c r="E2670" i="8"/>
  <c r="G2670" i="8" s="1"/>
  <c r="C2671" i="8" a="1"/>
  <c r="C2671" i="8" s="1"/>
  <c r="E2671" i="8"/>
  <c r="G2671" i="8" s="1"/>
  <c r="B2673" i="8"/>
  <c r="C2673" i="8"/>
  <c r="E2673" i="8"/>
  <c r="C2676" i="8"/>
  <c r="E2676" i="8"/>
  <c r="G2676" i="8" s="1"/>
  <c r="C2677" i="8"/>
  <c r="E2677" i="8"/>
  <c r="G2677" i="8" s="1"/>
  <c r="C2678" i="8"/>
  <c r="E2678" i="8"/>
  <c r="G2678" i="8" s="1"/>
  <c r="C2679" i="8"/>
  <c r="E2679" i="8"/>
  <c r="G2679" i="8" s="1"/>
  <c r="C2680" i="8"/>
  <c r="E2680" i="8"/>
  <c r="G2680" i="8" s="1"/>
  <c r="C2682" i="8"/>
  <c r="E2682" i="8" s="1"/>
  <c r="G2682" i="8" s="1"/>
  <c r="C2683" i="8"/>
  <c r="C2684" i="8"/>
  <c r="E2684" i="8" s="1"/>
  <c r="G2684" i="8" s="1"/>
  <c r="C2686" i="8"/>
  <c r="E2686" i="8"/>
  <c r="G2686" i="8" s="1"/>
  <c r="C2687" i="8"/>
  <c r="E2687" i="8"/>
  <c r="G2687" i="8" s="1"/>
  <c r="C2689" i="8"/>
  <c r="C2690" i="8" a="1"/>
  <c r="C2690" i="8" s="1"/>
  <c r="E2690" i="8"/>
  <c r="G2690" i="8" s="1"/>
  <c r="C2691" i="8" a="1"/>
  <c r="C2691" i="8" s="1"/>
  <c r="E2691" i="8"/>
  <c r="G2691" i="8" s="1"/>
  <c r="B2693" i="8"/>
  <c r="C2693" i="8"/>
  <c r="E2693" i="8"/>
  <c r="C2696" i="8"/>
  <c r="E2696" i="8"/>
  <c r="G2696" i="8" s="1"/>
  <c r="C2697" i="8"/>
  <c r="E2697" i="8"/>
  <c r="G2697" i="8" s="1"/>
  <c r="C2698" i="8"/>
  <c r="E2698" i="8"/>
  <c r="G2698" i="8" s="1"/>
  <c r="C2699" i="8"/>
  <c r="E2699" i="8"/>
  <c r="G2699" i="8" s="1"/>
  <c r="C2700" i="8"/>
  <c r="E2700" i="8"/>
  <c r="G2700" i="8" s="1"/>
  <c r="C2702" i="8"/>
  <c r="C2703" i="8"/>
  <c r="C2704" i="8"/>
  <c r="E2704" i="8" s="1"/>
  <c r="G2704" i="8" s="1"/>
  <c r="C2706" i="8"/>
  <c r="E2706" i="8"/>
  <c r="G2706" i="8" s="1"/>
  <c r="C2707" i="8"/>
  <c r="E2707" i="8"/>
  <c r="G2707" i="8" s="1"/>
  <c r="C2709" i="8"/>
  <c r="F2709" i="8"/>
  <c r="C2710" i="8" a="1"/>
  <c r="C2710" i="8" s="1"/>
  <c r="E2710" i="8"/>
  <c r="G2710" i="8" s="1"/>
  <c r="C2711" i="8" a="1"/>
  <c r="C2711" i="8" s="1"/>
  <c r="E2711" i="8"/>
  <c r="G2711" i="8" s="1"/>
  <c r="B2713" i="8"/>
  <c r="C2713" i="8"/>
  <c r="E2713" i="8"/>
  <c r="C2716" i="8"/>
  <c r="E2716" i="8"/>
  <c r="G2716" i="8" s="1"/>
  <c r="C2717" i="8"/>
  <c r="E2717" i="8"/>
  <c r="G2717" i="8" s="1"/>
  <c r="C2718" i="8"/>
  <c r="E2718" i="8"/>
  <c r="G2718" i="8" s="1"/>
  <c r="C2719" i="8"/>
  <c r="E2719" i="8"/>
  <c r="G2719" i="8" s="1"/>
  <c r="C2720" i="8"/>
  <c r="E2720" i="8"/>
  <c r="G2720" i="8" s="1"/>
  <c r="C2722" i="8"/>
  <c r="C2723" i="8"/>
  <c r="C2724" i="8"/>
  <c r="E2724" i="8" s="1"/>
  <c r="G2724" i="8" s="1"/>
  <c r="C2726" i="8"/>
  <c r="E2726" i="8"/>
  <c r="G2726" i="8" s="1"/>
  <c r="C2727" i="8"/>
  <c r="E2727" i="8"/>
  <c r="G2727" i="8" s="1"/>
  <c r="C2729" i="8"/>
  <c r="C2730" i="8" a="1"/>
  <c r="C2730" i="8" s="1"/>
  <c r="E2730" i="8"/>
  <c r="G2730" i="8" s="1"/>
  <c r="C2731" i="8" a="1"/>
  <c r="C2731" i="8" s="1"/>
  <c r="E2731" i="8"/>
  <c r="G2731" i="8" s="1"/>
  <c r="B2733" i="8"/>
  <c r="C2733" i="8"/>
  <c r="E2733" i="8"/>
  <c r="C2736" i="8"/>
  <c r="E2736" i="8"/>
  <c r="G2736" i="8" s="1"/>
  <c r="C2737" i="8"/>
  <c r="E2737" i="8"/>
  <c r="G2737" i="8" s="1"/>
  <c r="C2738" i="8"/>
  <c r="E2738" i="8"/>
  <c r="G2738" i="8" s="1"/>
  <c r="C2739" i="8"/>
  <c r="E2739" i="8"/>
  <c r="G2739" i="8" s="1"/>
  <c r="C2740" i="8"/>
  <c r="E2740" i="8"/>
  <c r="G2740" i="8" s="1"/>
  <c r="C2742" i="8"/>
  <c r="C2743" i="8"/>
  <c r="C2744" i="8"/>
  <c r="E2744" i="8" s="1"/>
  <c r="G2744" i="8" s="1"/>
  <c r="C2746" i="8"/>
  <c r="E2746" i="8"/>
  <c r="G2746" i="8" s="1"/>
  <c r="C2747" i="8"/>
  <c r="E2747" i="8"/>
  <c r="G2747" i="8" s="1"/>
  <c r="C2749" i="8"/>
  <c r="C2750" i="8" a="1"/>
  <c r="C2750" i="8" s="1"/>
  <c r="E2750" i="8"/>
  <c r="G2750" i="8" s="1"/>
  <c r="C2751" i="8" a="1"/>
  <c r="C2751" i="8" s="1"/>
  <c r="E2751" i="8"/>
  <c r="G2751" i="8" s="1"/>
  <c r="B2753" i="8"/>
  <c r="C2753" i="8"/>
  <c r="E2753" i="8"/>
  <c r="C2756" i="8"/>
  <c r="E2756" i="8"/>
  <c r="G2756" i="8" s="1"/>
  <c r="C2757" i="8"/>
  <c r="E2757" i="8"/>
  <c r="G2757" i="8" s="1"/>
  <c r="C2758" i="8"/>
  <c r="E2758" i="8"/>
  <c r="G2758" i="8" s="1"/>
  <c r="C2759" i="8"/>
  <c r="E2759" i="8"/>
  <c r="G2759" i="8" s="1"/>
  <c r="C2760" i="8"/>
  <c r="E2760" i="8"/>
  <c r="G2760" i="8" s="1"/>
  <c r="C2762" i="8"/>
  <c r="C2763" i="8"/>
  <c r="C2764" i="8"/>
  <c r="E2764" i="8" s="1"/>
  <c r="G2764" i="8" s="1"/>
  <c r="C2766" i="8"/>
  <c r="E2766" i="8"/>
  <c r="G2766" i="8" s="1"/>
  <c r="C2767" i="8"/>
  <c r="E2767" i="8"/>
  <c r="G2767" i="8" s="1"/>
  <c r="C2769" i="8"/>
  <c r="C2770" i="8" a="1"/>
  <c r="C2770" i="8" s="1"/>
  <c r="E2770" i="8"/>
  <c r="G2770" i="8" s="1"/>
  <c r="C2771" i="8" a="1"/>
  <c r="C2771" i="8" s="1"/>
  <c r="E2771" i="8"/>
  <c r="G2771" i="8" s="1"/>
  <c r="B2773" i="8"/>
  <c r="C2773" i="8"/>
  <c r="E2773" i="8"/>
  <c r="C2776" i="8"/>
  <c r="E2776" i="8"/>
  <c r="G2776" i="8" s="1"/>
  <c r="C2777" i="8"/>
  <c r="E2777" i="8"/>
  <c r="G2777" i="8" s="1"/>
  <c r="C2778" i="8"/>
  <c r="E2778" i="8"/>
  <c r="G2778" i="8" s="1"/>
  <c r="C2779" i="8"/>
  <c r="E2779" i="8"/>
  <c r="G2779" i="8" s="1"/>
  <c r="C2780" i="8"/>
  <c r="E2780" i="8"/>
  <c r="G2780" i="8" s="1"/>
  <c r="C2782" i="8"/>
  <c r="C2783" i="8"/>
  <c r="C2784" i="8"/>
  <c r="E2784" i="8" s="1"/>
  <c r="G2784" i="8" s="1"/>
  <c r="C2786" i="8"/>
  <c r="E2786" i="8"/>
  <c r="G2786" i="8" s="1"/>
  <c r="C2787" i="8"/>
  <c r="E2787" i="8"/>
  <c r="G2787" i="8" s="1"/>
  <c r="C2789" i="8"/>
  <c r="C2790" i="8" a="1"/>
  <c r="C2790" i="8" s="1"/>
  <c r="E2790" i="8"/>
  <c r="G2790" i="8" s="1"/>
  <c r="C2791" i="8" a="1"/>
  <c r="C2791" i="8" s="1"/>
  <c r="E2791" i="8"/>
  <c r="G2791" i="8" s="1"/>
  <c r="B2793" i="8"/>
  <c r="C2793" i="8"/>
  <c r="E2793" i="8"/>
  <c r="C2796" i="8"/>
  <c r="E2796" i="8"/>
  <c r="G2796" i="8" s="1"/>
  <c r="C2797" i="8"/>
  <c r="E2797" i="8"/>
  <c r="G2797" i="8" s="1"/>
  <c r="C2798" i="8"/>
  <c r="E2798" i="8"/>
  <c r="G2798" i="8" s="1"/>
  <c r="C2799" i="8"/>
  <c r="E2799" i="8"/>
  <c r="G2799" i="8" s="1"/>
  <c r="C2800" i="8"/>
  <c r="E2800" i="8"/>
  <c r="G2800" i="8" s="1"/>
  <c r="C2802" i="8"/>
  <c r="C2803" i="8"/>
  <c r="C2804" i="8"/>
  <c r="E2804" i="8" s="1"/>
  <c r="G2804" i="8" s="1"/>
  <c r="C2806" i="8"/>
  <c r="E2806" i="8"/>
  <c r="G2806" i="8" s="1"/>
  <c r="C2807" i="8"/>
  <c r="E2807" i="8"/>
  <c r="G2807" i="8" s="1"/>
  <c r="C2809" i="8"/>
  <c r="C2810" i="8" a="1"/>
  <c r="C2810" i="8" s="1"/>
  <c r="E2810" i="8"/>
  <c r="G2810" i="8" s="1"/>
  <c r="C2811" i="8" a="1"/>
  <c r="C2811" i="8" s="1"/>
  <c r="E2811" i="8"/>
  <c r="G2811" i="8" s="1"/>
  <c r="B2813" i="8"/>
  <c r="C2813" i="8"/>
  <c r="E2813" i="8"/>
  <c r="C2816" i="8"/>
  <c r="E2816" i="8"/>
  <c r="G2816" i="8" s="1"/>
  <c r="C2817" i="8"/>
  <c r="E2817" i="8"/>
  <c r="G2817" i="8" s="1"/>
  <c r="C2818" i="8"/>
  <c r="E2818" i="8"/>
  <c r="G2818" i="8" s="1"/>
  <c r="C2819" i="8"/>
  <c r="E2819" i="8"/>
  <c r="G2819" i="8" s="1"/>
  <c r="C2820" i="8"/>
  <c r="E2820" i="8"/>
  <c r="G2820" i="8" s="1"/>
  <c r="C2822" i="8"/>
  <c r="C2823" i="8"/>
  <c r="C2824" i="8"/>
  <c r="E2824" i="8" s="1"/>
  <c r="G2824" i="8" s="1"/>
  <c r="C2826" i="8"/>
  <c r="E2826" i="8"/>
  <c r="G2826" i="8" s="1"/>
  <c r="C2827" i="8"/>
  <c r="E2827" i="8"/>
  <c r="G2827" i="8" s="1"/>
  <c r="C2829" i="8"/>
  <c r="C2830" i="8" a="1"/>
  <c r="C2830" i="8" s="1"/>
  <c r="E2830" i="8"/>
  <c r="G2830" i="8" s="1"/>
  <c r="C2831" i="8" a="1"/>
  <c r="C2831" i="8" s="1"/>
  <c r="E2831" i="8"/>
  <c r="G2831" i="8" s="1"/>
  <c r="B906" i="8"/>
  <c r="C906" i="8"/>
  <c r="E906" i="8"/>
  <c r="C909" i="8"/>
  <c r="E909" i="8"/>
  <c r="G909" i="8" s="1"/>
  <c r="C910" i="8"/>
  <c r="E910" i="8"/>
  <c r="G910" i="8" s="1"/>
  <c r="C911" i="8"/>
  <c r="E911" i="8"/>
  <c r="G911" i="8" s="1"/>
  <c r="C912" i="8"/>
  <c r="E912" i="8"/>
  <c r="G912" i="8" s="1"/>
  <c r="C913" i="8"/>
  <c r="E913" i="8"/>
  <c r="G913" i="8" s="1"/>
  <c r="C915" i="8"/>
  <c r="C916" i="8"/>
  <c r="E916" i="8" s="1"/>
  <c r="G916" i="8" s="1"/>
  <c r="C917" i="8"/>
  <c r="E917" i="8" s="1"/>
  <c r="G917" i="8" s="1"/>
  <c r="C919" i="8"/>
  <c r="E919" i="8"/>
  <c r="G919" i="8" s="1"/>
  <c r="C920" i="8"/>
  <c r="E920" i="8"/>
  <c r="G920" i="8" s="1"/>
  <c r="C922" i="8"/>
  <c r="C923" i="8" a="1"/>
  <c r="C923" i="8" s="1"/>
  <c r="E923" i="8"/>
  <c r="G923" i="8" s="1"/>
  <c r="C924" i="8" a="1"/>
  <c r="C924" i="8" s="1"/>
  <c r="E924" i="8"/>
  <c r="G924" i="8" s="1"/>
  <c r="B926" i="8"/>
  <c r="C926" i="8"/>
  <c r="E926" i="8"/>
  <c r="C929" i="8"/>
  <c r="E929" i="8"/>
  <c r="G929" i="8" s="1"/>
  <c r="C930" i="8"/>
  <c r="E930" i="8"/>
  <c r="G930" i="8" s="1"/>
  <c r="C931" i="8"/>
  <c r="E931" i="8"/>
  <c r="G931" i="8" s="1"/>
  <c r="C932" i="8"/>
  <c r="E932" i="8"/>
  <c r="G932" i="8" s="1"/>
  <c r="C933" i="8"/>
  <c r="E933" i="8"/>
  <c r="G933" i="8" s="1"/>
  <c r="C935" i="8"/>
  <c r="C936" i="8"/>
  <c r="C937" i="8"/>
  <c r="C939" i="8"/>
  <c r="E939" i="8"/>
  <c r="G939" i="8" s="1"/>
  <c r="C940" i="8"/>
  <c r="E940" i="8"/>
  <c r="G940" i="8" s="1"/>
  <c r="C942" i="8"/>
  <c r="C943" i="8" a="1"/>
  <c r="C943" i="8" s="1"/>
  <c r="E943" i="8"/>
  <c r="G943" i="8" s="1"/>
  <c r="C944" i="8" a="1"/>
  <c r="C944" i="8" s="1"/>
  <c r="E944" i="8"/>
  <c r="G944" i="8" s="1"/>
  <c r="B946" i="8"/>
  <c r="C946" i="8"/>
  <c r="E946" i="8"/>
  <c r="C949" i="8"/>
  <c r="E949" i="8"/>
  <c r="G949" i="8" s="1"/>
  <c r="C950" i="8"/>
  <c r="E950" i="8"/>
  <c r="G950" i="8" s="1"/>
  <c r="C951" i="8"/>
  <c r="E951" i="8"/>
  <c r="G951" i="8" s="1"/>
  <c r="C952" i="8"/>
  <c r="E952" i="8"/>
  <c r="G952" i="8" s="1"/>
  <c r="C953" i="8"/>
  <c r="E953" i="8"/>
  <c r="G953" i="8" s="1"/>
  <c r="C955" i="8"/>
  <c r="C956" i="8"/>
  <c r="C957" i="8"/>
  <c r="E957" i="8" s="1"/>
  <c r="G957" i="8" s="1"/>
  <c r="C959" i="8"/>
  <c r="E959" i="8"/>
  <c r="G959" i="8" s="1"/>
  <c r="C960" i="8"/>
  <c r="E960" i="8"/>
  <c r="G960" i="8" s="1"/>
  <c r="C962" i="8"/>
  <c r="C963" i="8" a="1"/>
  <c r="C963" i="8" s="1"/>
  <c r="E963" i="8"/>
  <c r="G963" i="8" s="1"/>
  <c r="C964" i="8" a="1"/>
  <c r="C964" i="8" s="1"/>
  <c r="E964" i="8"/>
  <c r="G964" i="8" s="1"/>
  <c r="B966" i="8"/>
  <c r="C966" i="8"/>
  <c r="E966" i="8"/>
  <c r="C969" i="8"/>
  <c r="E969" i="8"/>
  <c r="G969" i="8" s="1"/>
  <c r="C970" i="8"/>
  <c r="E970" i="8"/>
  <c r="G970" i="8" s="1"/>
  <c r="C971" i="8"/>
  <c r="E971" i="8"/>
  <c r="G971" i="8" s="1"/>
  <c r="C972" i="8"/>
  <c r="E972" i="8"/>
  <c r="G972" i="8" s="1"/>
  <c r="C973" i="8"/>
  <c r="E973" i="8"/>
  <c r="G973" i="8" s="1"/>
  <c r="C975" i="8"/>
  <c r="E975" i="8" s="1"/>
  <c r="G975" i="8" s="1"/>
  <c r="C976" i="8"/>
  <c r="E976" i="8" s="1"/>
  <c r="G976" i="8" s="1"/>
  <c r="C977" i="8"/>
  <c r="C979" i="8"/>
  <c r="E979" i="8"/>
  <c r="G979" i="8" s="1"/>
  <c r="C980" i="8"/>
  <c r="E980" i="8"/>
  <c r="G980" i="8" s="1"/>
  <c r="C982" i="8"/>
  <c r="C983" i="8" a="1"/>
  <c r="C983" i="8" s="1"/>
  <c r="E983" i="8"/>
  <c r="G983" i="8" s="1"/>
  <c r="C984" i="8" a="1"/>
  <c r="C984" i="8" s="1"/>
  <c r="E984" i="8"/>
  <c r="G984" i="8" s="1"/>
  <c r="B986" i="8"/>
  <c r="C986" i="8"/>
  <c r="E986" i="8"/>
  <c r="C989" i="8"/>
  <c r="E989" i="8"/>
  <c r="G989" i="8" s="1"/>
  <c r="C990" i="8"/>
  <c r="E990" i="8"/>
  <c r="G990" i="8" s="1"/>
  <c r="C991" i="8"/>
  <c r="E991" i="8"/>
  <c r="G991" i="8" s="1"/>
  <c r="C992" i="8"/>
  <c r="E992" i="8"/>
  <c r="G992" i="8" s="1"/>
  <c r="C993" i="8"/>
  <c r="E993" i="8"/>
  <c r="G993" i="8" s="1"/>
  <c r="C995" i="8"/>
  <c r="E995" i="8" s="1"/>
  <c r="G995" i="8" s="1"/>
  <c r="C996" i="8"/>
  <c r="C997" i="8"/>
  <c r="E997" i="8" s="1"/>
  <c r="G997" i="8" s="1"/>
  <c r="C999" i="8"/>
  <c r="E999" i="8"/>
  <c r="G999" i="8" s="1"/>
  <c r="C1000" i="8"/>
  <c r="E1000" i="8"/>
  <c r="G1000" i="8" s="1"/>
  <c r="C1002" i="8"/>
  <c r="C1003" i="8" a="1"/>
  <c r="C1003" i="8" s="1"/>
  <c r="E1003" i="8"/>
  <c r="G1003" i="8" s="1"/>
  <c r="C1004" i="8" a="1"/>
  <c r="C1004" i="8" s="1"/>
  <c r="E1004" i="8"/>
  <c r="G1004" i="8" s="1"/>
  <c r="B1006" i="8"/>
  <c r="C1006" i="8"/>
  <c r="E1006" i="8"/>
  <c r="C1009" i="8"/>
  <c r="E1009" i="8"/>
  <c r="G1009" i="8" s="1"/>
  <c r="C1010" i="8"/>
  <c r="E1010" i="8"/>
  <c r="G1010" i="8" s="1"/>
  <c r="C1011" i="8"/>
  <c r="E1011" i="8"/>
  <c r="G1011" i="8" s="1"/>
  <c r="C1012" i="8"/>
  <c r="E1012" i="8"/>
  <c r="G1012" i="8" s="1"/>
  <c r="C1013" i="8"/>
  <c r="E1013" i="8"/>
  <c r="G1013" i="8" s="1"/>
  <c r="C1015" i="8"/>
  <c r="E1015" i="8" s="1"/>
  <c r="G1015" i="8" s="1"/>
  <c r="C1016" i="8"/>
  <c r="C1017" i="8"/>
  <c r="E1017" i="8" s="1"/>
  <c r="G1017" i="8" s="1"/>
  <c r="C1019" i="8"/>
  <c r="E1019" i="8"/>
  <c r="G1019" i="8" s="1"/>
  <c r="C1020" i="8"/>
  <c r="E1020" i="8"/>
  <c r="G1020" i="8" s="1"/>
  <c r="C1022" i="8"/>
  <c r="C1023" i="8" a="1"/>
  <c r="C1023" i="8" s="1"/>
  <c r="E1023" i="8"/>
  <c r="G1023" i="8" s="1"/>
  <c r="C1024" i="8" a="1"/>
  <c r="C1024" i="8" s="1"/>
  <c r="E1024" i="8"/>
  <c r="G1024" i="8" s="1"/>
  <c r="B1026" i="8"/>
  <c r="C1026" i="8"/>
  <c r="E1026" i="8"/>
  <c r="C1029" i="8"/>
  <c r="E1029" i="8"/>
  <c r="G1029" i="8" s="1"/>
  <c r="C1030" i="8"/>
  <c r="E1030" i="8"/>
  <c r="G1030" i="8" s="1"/>
  <c r="C1031" i="8"/>
  <c r="E1031" i="8"/>
  <c r="G1031" i="8" s="1"/>
  <c r="C1032" i="8"/>
  <c r="E1032" i="8"/>
  <c r="G1032" i="8" s="1"/>
  <c r="C1033" i="8"/>
  <c r="E1033" i="8"/>
  <c r="G1033" i="8" s="1"/>
  <c r="C1035" i="8"/>
  <c r="C1036" i="8"/>
  <c r="C1037" i="8"/>
  <c r="E1037" i="8" s="1"/>
  <c r="G1037" i="8" s="1"/>
  <c r="C1039" i="8"/>
  <c r="E1039" i="8"/>
  <c r="G1039" i="8" s="1"/>
  <c r="C1040" i="8"/>
  <c r="E1040" i="8"/>
  <c r="G1040" i="8" s="1"/>
  <c r="C1042" i="8"/>
  <c r="C1043" i="8" a="1"/>
  <c r="C1043" i="8" s="1"/>
  <c r="E1043" i="8"/>
  <c r="G1043" i="8" s="1"/>
  <c r="C1044" i="8" a="1"/>
  <c r="C1044" i="8" s="1"/>
  <c r="E1044" i="8"/>
  <c r="G1044" i="8" s="1"/>
  <c r="B1046" i="8"/>
  <c r="C1046" i="8"/>
  <c r="E1046" i="8"/>
  <c r="C1049" i="8"/>
  <c r="E1049" i="8"/>
  <c r="G1049" i="8" s="1"/>
  <c r="C1050" i="8"/>
  <c r="E1050" i="8"/>
  <c r="G1050" i="8" s="1"/>
  <c r="C1051" i="8"/>
  <c r="E1051" i="8"/>
  <c r="G1051" i="8" s="1"/>
  <c r="C1052" i="8"/>
  <c r="E1052" i="8"/>
  <c r="G1052" i="8" s="1"/>
  <c r="C1053" i="8"/>
  <c r="E1053" i="8"/>
  <c r="G1053" i="8" s="1"/>
  <c r="C1055" i="8"/>
  <c r="C1056" i="8"/>
  <c r="C1057" i="8"/>
  <c r="E1057" i="8" s="1"/>
  <c r="G1057" i="8" s="1"/>
  <c r="C1059" i="8"/>
  <c r="E1059" i="8"/>
  <c r="G1059" i="8" s="1"/>
  <c r="C1060" i="8"/>
  <c r="E1060" i="8"/>
  <c r="G1060" i="8" s="1"/>
  <c r="C1062" i="8"/>
  <c r="C1063" i="8" a="1"/>
  <c r="C1063" i="8" s="1"/>
  <c r="E1063" i="8"/>
  <c r="G1063" i="8" s="1"/>
  <c r="C1064" i="8" a="1"/>
  <c r="C1064" i="8" s="1"/>
  <c r="E1064" i="8"/>
  <c r="G1064" i="8" s="1"/>
  <c r="B1066" i="8"/>
  <c r="C1066" i="8"/>
  <c r="E1066" i="8"/>
  <c r="C1069" i="8"/>
  <c r="E1069" i="8"/>
  <c r="G1069" i="8" s="1"/>
  <c r="C1070" i="8"/>
  <c r="E1070" i="8"/>
  <c r="G1070" i="8" s="1"/>
  <c r="C1071" i="8"/>
  <c r="E1071" i="8"/>
  <c r="G1071" i="8" s="1"/>
  <c r="C1072" i="8"/>
  <c r="E1072" i="8"/>
  <c r="G1072" i="8" s="1"/>
  <c r="C1073" i="8"/>
  <c r="E1073" i="8"/>
  <c r="G1073" i="8" s="1"/>
  <c r="C1075" i="8"/>
  <c r="E1075" i="8" s="1"/>
  <c r="G1075" i="8" s="1"/>
  <c r="C1076" i="8"/>
  <c r="C1077" i="8"/>
  <c r="E1077" i="8" s="1"/>
  <c r="G1077" i="8" s="1"/>
  <c r="C1079" i="8"/>
  <c r="E1079" i="8"/>
  <c r="G1079" i="8" s="1"/>
  <c r="C1080" i="8"/>
  <c r="E1080" i="8"/>
  <c r="G1080" i="8" s="1"/>
  <c r="C1082" i="8"/>
  <c r="C1083" i="8" a="1"/>
  <c r="C1083" i="8" s="1"/>
  <c r="E1083" i="8"/>
  <c r="G1083" i="8" s="1"/>
  <c r="C1084" i="8" a="1"/>
  <c r="C1084" i="8" s="1"/>
  <c r="E1084" i="8"/>
  <c r="G1084" i="8" s="1"/>
  <c r="B1086" i="8"/>
  <c r="C1086" i="8"/>
  <c r="E1086" i="8"/>
  <c r="C1089" i="8"/>
  <c r="E1089" i="8"/>
  <c r="G1089" i="8" s="1"/>
  <c r="C1090" i="8"/>
  <c r="E1090" i="8"/>
  <c r="G1090" i="8" s="1"/>
  <c r="C1091" i="8"/>
  <c r="E1091" i="8"/>
  <c r="G1091" i="8" s="1"/>
  <c r="C1092" i="8"/>
  <c r="E1092" i="8"/>
  <c r="G1092" i="8" s="1"/>
  <c r="C1093" i="8"/>
  <c r="E1093" i="8"/>
  <c r="G1093" i="8" s="1"/>
  <c r="C1095" i="8"/>
  <c r="E1095" i="8" s="1"/>
  <c r="G1095" i="8" s="1"/>
  <c r="C1096" i="8"/>
  <c r="C1097" i="8"/>
  <c r="E1097" i="8" s="1"/>
  <c r="G1097" i="8" s="1"/>
  <c r="C1099" i="8"/>
  <c r="E1099" i="8"/>
  <c r="G1099" i="8" s="1"/>
  <c r="C1100" i="8"/>
  <c r="E1100" i="8"/>
  <c r="G1100" i="8" s="1"/>
  <c r="C1102" i="8"/>
  <c r="C1103" i="8" a="1"/>
  <c r="C1103" i="8" s="1"/>
  <c r="E1103" i="8"/>
  <c r="G1103" i="8" s="1"/>
  <c r="C1104" i="8" a="1"/>
  <c r="C1104" i="8" s="1"/>
  <c r="E1104" i="8"/>
  <c r="G1104" i="8" s="1"/>
  <c r="B1106" i="8"/>
  <c r="C1106" i="8"/>
  <c r="E1106" i="8"/>
  <c r="C1109" i="8"/>
  <c r="E1109" i="8"/>
  <c r="G1109" i="8" s="1"/>
  <c r="C1110" i="8"/>
  <c r="E1110" i="8"/>
  <c r="G1110" i="8" s="1"/>
  <c r="C1111" i="8"/>
  <c r="E1111" i="8"/>
  <c r="G1111" i="8" s="1"/>
  <c r="C1112" i="8"/>
  <c r="E1112" i="8"/>
  <c r="G1112" i="8" s="1"/>
  <c r="C1113" i="8"/>
  <c r="E1113" i="8"/>
  <c r="G1113" i="8" s="1"/>
  <c r="C1115" i="8"/>
  <c r="C1116" i="8"/>
  <c r="E1116" i="8" s="1"/>
  <c r="G1116" i="8" s="1"/>
  <c r="C1117" i="8"/>
  <c r="E1117" i="8" s="1"/>
  <c r="G1117" i="8" s="1"/>
  <c r="C1119" i="8"/>
  <c r="E1119" i="8"/>
  <c r="G1119" i="8" s="1"/>
  <c r="C1120" i="8"/>
  <c r="E1120" i="8"/>
  <c r="G1120" i="8" s="1"/>
  <c r="C1122" i="8"/>
  <c r="C1123" i="8" a="1"/>
  <c r="C1123" i="8" s="1"/>
  <c r="E1123" i="8"/>
  <c r="G1123" i="8" s="1"/>
  <c r="C1124" i="8" a="1"/>
  <c r="C1124" i="8" s="1"/>
  <c r="E1124" i="8"/>
  <c r="G1124" i="8" s="1"/>
  <c r="B1126" i="8"/>
  <c r="C1126" i="8"/>
  <c r="E1126" i="8"/>
  <c r="C1129" i="8"/>
  <c r="E1129" i="8"/>
  <c r="G1129" i="8" s="1"/>
  <c r="C1130" i="8"/>
  <c r="E1130" i="8"/>
  <c r="G1130" i="8" s="1"/>
  <c r="C1131" i="8"/>
  <c r="E1131" i="8"/>
  <c r="G1131" i="8" s="1"/>
  <c r="C1132" i="8"/>
  <c r="E1132" i="8"/>
  <c r="G1132" i="8" s="1"/>
  <c r="C1133" i="8"/>
  <c r="E1133" i="8"/>
  <c r="G1133" i="8" s="1"/>
  <c r="C1135" i="8"/>
  <c r="C1136" i="8"/>
  <c r="E1136" i="8" s="1"/>
  <c r="G1136" i="8" s="1"/>
  <c r="C1137" i="8"/>
  <c r="E1137" i="8" s="1"/>
  <c r="G1137" i="8" s="1"/>
  <c r="C1139" i="8"/>
  <c r="E1139" i="8"/>
  <c r="G1139" i="8" s="1"/>
  <c r="C1140" i="8"/>
  <c r="E1140" i="8"/>
  <c r="G1140" i="8" s="1"/>
  <c r="C1142" i="8"/>
  <c r="C1143" i="8" a="1"/>
  <c r="C1143" i="8" s="1"/>
  <c r="E1143" i="8"/>
  <c r="G1143" i="8" s="1"/>
  <c r="C1144" i="8" a="1"/>
  <c r="C1144" i="8" s="1"/>
  <c r="E1144" i="8"/>
  <c r="G1144" i="8" s="1"/>
  <c r="B1146" i="8"/>
  <c r="C1146" i="8"/>
  <c r="E1146" i="8"/>
  <c r="C1149" i="8"/>
  <c r="E1149" i="8"/>
  <c r="G1149" i="8" s="1"/>
  <c r="C1150" i="8"/>
  <c r="E1150" i="8"/>
  <c r="G1150" i="8" s="1"/>
  <c r="C1151" i="8"/>
  <c r="E1151" i="8"/>
  <c r="G1151" i="8" s="1"/>
  <c r="C1152" i="8"/>
  <c r="E1152" i="8"/>
  <c r="G1152" i="8" s="1"/>
  <c r="C1153" i="8"/>
  <c r="E1153" i="8"/>
  <c r="G1153" i="8" s="1"/>
  <c r="C1155" i="8"/>
  <c r="C1156" i="8"/>
  <c r="E1156" i="8" s="1"/>
  <c r="G1156" i="8" s="1"/>
  <c r="C1157" i="8"/>
  <c r="E1157" i="8" s="1"/>
  <c r="G1157" i="8" s="1"/>
  <c r="C1159" i="8"/>
  <c r="E1159" i="8"/>
  <c r="G1159" i="8" s="1"/>
  <c r="C1160" i="8"/>
  <c r="E1160" i="8"/>
  <c r="G1160" i="8" s="1"/>
  <c r="C1162" i="8"/>
  <c r="C1163" i="8" a="1"/>
  <c r="C1163" i="8" s="1"/>
  <c r="E1163" i="8"/>
  <c r="G1163" i="8" s="1"/>
  <c r="C1164" i="8" a="1"/>
  <c r="C1164" i="8" s="1"/>
  <c r="E1164" i="8"/>
  <c r="G1164" i="8" s="1"/>
  <c r="B1166" i="8"/>
  <c r="C1166" i="8"/>
  <c r="E1166" i="8"/>
  <c r="C1169" i="8"/>
  <c r="E1169" i="8"/>
  <c r="G1169" i="8" s="1"/>
  <c r="C1170" i="8"/>
  <c r="E1170" i="8"/>
  <c r="G1170" i="8" s="1"/>
  <c r="C1171" i="8"/>
  <c r="E1171" i="8"/>
  <c r="G1171" i="8" s="1"/>
  <c r="C1172" i="8"/>
  <c r="E1172" i="8"/>
  <c r="G1172" i="8" s="1"/>
  <c r="C1173" i="8"/>
  <c r="E1173" i="8"/>
  <c r="G1173" i="8" s="1"/>
  <c r="C1175" i="8"/>
  <c r="C1176" i="8"/>
  <c r="C1177" i="8"/>
  <c r="C1179" i="8"/>
  <c r="E1179" i="8"/>
  <c r="G1179" i="8" s="1"/>
  <c r="C1180" i="8"/>
  <c r="E1180" i="8"/>
  <c r="G1180" i="8" s="1"/>
  <c r="C1182" i="8"/>
  <c r="C1183" i="8" a="1"/>
  <c r="C1183" i="8" s="1"/>
  <c r="E1183" i="8"/>
  <c r="G1183" i="8" s="1"/>
  <c r="C1184" i="8" a="1"/>
  <c r="C1184" i="8" s="1"/>
  <c r="E1184" i="8"/>
  <c r="G1184" i="8" s="1"/>
  <c r="B1186" i="8"/>
  <c r="C1186" i="8"/>
  <c r="E1186" i="8"/>
  <c r="C1189" i="8"/>
  <c r="E1189" i="8"/>
  <c r="G1189" i="8" s="1"/>
  <c r="C1190" i="8"/>
  <c r="E1190" i="8"/>
  <c r="G1190" i="8" s="1"/>
  <c r="C1191" i="8"/>
  <c r="E1191" i="8"/>
  <c r="G1191" i="8" s="1"/>
  <c r="C1192" i="8"/>
  <c r="E1192" i="8"/>
  <c r="G1192" i="8" s="1"/>
  <c r="C1193" i="8"/>
  <c r="E1193" i="8"/>
  <c r="G1193" i="8" s="1"/>
  <c r="C1195" i="8"/>
  <c r="C1196" i="8"/>
  <c r="C1197" i="8"/>
  <c r="C1199" i="8"/>
  <c r="E1199" i="8"/>
  <c r="G1199" i="8" s="1"/>
  <c r="C1200" i="8"/>
  <c r="E1200" i="8"/>
  <c r="G1200" i="8" s="1"/>
  <c r="C1202" i="8"/>
  <c r="C1203" i="8" a="1"/>
  <c r="C1203" i="8" s="1"/>
  <c r="E1203" i="8"/>
  <c r="G1203" i="8" s="1"/>
  <c r="C1204" i="8" a="1"/>
  <c r="C1204" i="8" s="1"/>
  <c r="E1204" i="8"/>
  <c r="G1204" i="8" s="1"/>
  <c r="B1206" i="8"/>
  <c r="C1206" i="8"/>
  <c r="E1206" i="8"/>
  <c r="C1209" i="8"/>
  <c r="E1209" i="8"/>
  <c r="G1209" i="8" s="1"/>
  <c r="C1210" i="8"/>
  <c r="E1210" i="8"/>
  <c r="G1210" i="8" s="1"/>
  <c r="C1211" i="8"/>
  <c r="E1211" i="8"/>
  <c r="G1211" i="8" s="1"/>
  <c r="C1212" i="8"/>
  <c r="E1212" i="8"/>
  <c r="G1212" i="8" s="1"/>
  <c r="C1213" i="8"/>
  <c r="E1213" i="8"/>
  <c r="G1213" i="8" s="1"/>
  <c r="C1215" i="8"/>
  <c r="E1215" i="8" s="1"/>
  <c r="G1215" i="8" s="1"/>
  <c r="C1216" i="8"/>
  <c r="C1217" i="8"/>
  <c r="C1219" i="8"/>
  <c r="E1219" i="8"/>
  <c r="G1219" i="8" s="1"/>
  <c r="C1220" i="8"/>
  <c r="E1220" i="8"/>
  <c r="G1220" i="8" s="1"/>
  <c r="C1222" i="8"/>
  <c r="C1223" i="8" a="1"/>
  <c r="C1223" i="8" s="1"/>
  <c r="E1223" i="8"/>
  <c r="G1223" i="8" s="1"/>
  <c r="C1224" i="8" a="1"/>
  <c r="C1224" i="8" s="1"/>
  <c r="E1224" i="8"/>
  <c r="G1224" i="8" s="1"/>
  <c r="B1226" i="8"/>
  <c r="C1226" i="8"/>
  <c r="E1226" i="8"/>
  <c r="C1229" i="8"/>
  <c r="E1229" i="8"/>
  <c r="G1229" i="8" s="1"/>
  <c r="C1230" i="8"/>
  <c r="E1230" i="8"/>
  <c r="G1230" i="8" s="1"/>
  <c r="C1231" i="8"/>
  <c r="E1231" i="8"/>
  <c r="G1231" i="8" s="1"/>
  <c r="C1232" i="8"/>
  <c r="E1232" i="8"/>
  <c r="G1232" i="8" s="1"/>
  <c r="C1233" i="8"/>
  <c r="E1233" i="8"/>
  <c r="G1233" i="8" s="1"/>
  <c r="C1235" i="8"/>
  <c r="E1235" i="8" s="1"/>
  <c r="G1235" i="8" s="1"/>
  <c r="C1236" i="8"/>
  <c r="C1237" i="8"/>
  <c r="E1237" i="8" s="1"/>
  <c r="G1237" i="8" s="1"/>
  <c r="C1239" i="8"/>
  <c r="E1239" i="8"/>
  <c r="G1239" i="8" s="1"/>
  <c r="C1240" i="8"/>
  <c r="E1240" i="8"/>
  <c r="G1240" i="8" s="1"/>
  <c r="C1242" i="8"/>
  <c r="C1243" i="8" a="1"/>
  <c r="C1243" i="8" s="1"/>
  <c r="E1243" i="8"/>
  <c r="G1243" i="8" s="1"/>
  <c r="C1244" i="8" a="1"/>
  <c r="C1244" i="8" s="1"/>
  <c r="E1244" i="8"/>
  <c r="G1244" i="8" s="1"/>
  <c r="B1246" i="8"/>
  <c r="C1246" i="8"/>
  <c r="E1246" i="8"/>
  <c r="C1249" i="8"/>
  <c r="E1249" i="8"/>
  <c r="G1249" i="8" s="1"/>
  <c r="C1250" i="8"/>
  <c r="E1250" i="8"/>
  <c r="G1250" i="8" s="1"/>
  <c r="C1251" i="8"/>
  <c r="E1251" i="8"/>
  <c r="G1251" i="8" s="1"/>
  <c r="C1252" i="8"/>
  <c r="E1252" i="8"/>
  <c r="G1252" i="8" s="1"/>
  <c r="C1253" i="8"/>
  <c r="E1253" i="8"/>
  <c r="G1253" i="8" s="1"/>
  <c r="C1255" i="8"/>
  <c r="E1255" i="8" s="1"/>
  <c r="G1255" i="8" s="1"/>
  <c r="C1256" i="8"/>
  <c r="C1257" i="8"/>
  <c r="E1257" i="8" s="1"/>
  <c r="G1257" i="8" s="1"/>
  <c r="C1259" i="8"/>
  <c r="E1259" i="8"/>
  <c r="G1259" i="8" s="1"/>
  <c r="C1260" i="8"/>
  <c r="E1260" i="8"/>
  <c r="G1260" i="8" s="1"/>
  <c r="C1262" i="8"/>
  <c r="C1263" i="8" a="1"/>
  <c r="C1263" i="8" s="1"/>
  <c r="E1263" i="8"/>
  <c r="G1263" i="8" s="1"/>
  <c r="C1264" i="8" a="1"/>
  <c r="C1264" i="8" s="1"/>
  <c r="E1264" i="8"/>
  <c r="G1264" i="8" s="1"/>
  <c r="B1266" i="8"/>
  <c r="C1266" i="8"/>
  <c r="E1266" i="8"/>
  <c r="C1269" i="8"/>
  <c r="E1269" i="8"/>
  <c r="G1269" i="8" s="1"/>
  <c r="C1270" i="8"/>
  <c r="E1270" i="8"/>
  <c r="G1270" i="8" s="1"/>
  <c r="C1271" i="8"/>
  <c r="E1271" i="8"/>
  <c r="G1271" i="8" s="1"/>
  <c r="C1272" i="8"/>
  <c r="E1272" i="8"/>
  <c r="G1272" i="8" s="1"/>
  <c r="C1273" i="8"/>
  <c r="E1273" i="8"/>
  <c r="G1273" i="8" s="1"/>
  <c r="C1275" i="8"/>
  <c r="C1276" i="8"/>
  <c r="C1277" i="8"/>
  <c r="E1277" i="8" s="1"/>
  <c r="G1277" i="8" s="1"/>
  <c r="C1279" i="8"/>
  <c r="E1279" i="8"/>
  <c r="G1279" i="8" s="1"/>
  <c r="C1280" i="8"/>
  <c r="E1280" i="8"/>
  <c r="G1280" i="8" s="1"/>
  <c r="C1282" i="8"/>
  <c r="C1283" i="8" a="1"/>
  <c r="C1283" i="8" s="1"/>
  <c r="E1283" i="8"/>
  <c r="G1283" i="8" s="1"/>
  <c r="C1284" i="8" a="1"/>
  <c r="C1284" i="8" s="1"/>
  <c r="E1284" i="8"/>
  <c r="G1284" i="8" s="1"/>
  <c r="B1286" i="8"/>
  <c r="C1286" i="8"/>
  <c r="E1286" i="8"/>
  <c r="C1289" i="8"/>
  <c r="E1289" i="8"/>
  <c r="G1289" i="8" s="1"/>
  <c r="C1290" i="8"/>
  <c r="E1290" i="8"/>
  <c r="G1290" i="8" s="1"/>
  <c r="C1291" i="8"/>
  <c r="E1291" i="8"/>
  <c r="G1291" i="8" s="1"/>
  <c r="C1292" i="8"/>
  <c r="E1292" i="8"/>
  <c r="G1292" i="8" s="1"/>
  <c r="C1293" i="8"/>
  <c r="E1293" i="8"/>
  <c r="G1293" i="8" s="1"/>
  <c r="C1295" i="8"/>
  <c r="C1296" i="8"/>
  <c r="C1297" i="8"/>
  <c r="E1297" i="8" s="1"/>
  <c r="G1297" i="8" s="1"/>
  <c r="C1299" i="8"/>
  <c r="E1299" i="8"/>
  <c r="G1299" i="8" s="1"/>
  <c r="C1300" i="8"/>
  <c r="E1300" i="8"/>
  <c r="G1300" i="8" s="1"/>
  <c r="C1302" i="8"/>
  <c r="C1303" i="8" a="1"/>
  <c r="C1303" i="8" s="1"/>
  <c r="E1303" i="8"/>
  <c r="G1303" i="8" s="1"/>
  <c r="C1304" i="8" a="1"/>
  <c r="C1304" i="8" s="1"/>
  <c r="E1304" i="8"/>
  <c r="G1304" i="8" s="1"/>
  <c r="B1306" i="8"/>
  <c r="C1306" i="8"/>
  <c r="E1306" i="8"/>
  <c r="C1309" i="8"/>
  <c r="E1309" i="8"/>
  <c r="G1309" i="8" s="1"/>
  <c r="C1310" i="8"/>
  <c r="E1310" i="8"/>
  <c r="G1310" i="8" s="1"/>
  <c r="C1311" i="8"/>
  <c r="E1311" i="8"/>
  <c r="G1311" i="8" s="1"/>
  <c r="C1312" i="8"/>
  <c r="E1312" i="8"/>
  <c r="G1312" i="8" s="1"/>
  <c r="C1313" i="8"/>
  <c r="E1313" i="8"/>
  <c r="G1313" i="8" s="1"/>
  <c r="C1315" i="8"/>
  <c r="E1315" i="8" s="1"/>
  <c r="G1315" i="8" s="1"/>
  <c r="C1316" i="8"/>
  <c r="C1317" i="8"/>
  <c r="C1319" i="8"/>
  <c r="E1319" i="8"/>
  <c r="G1319" i="8" s="1"/>
  <c r="C1320" i="8"/>
  <c r="E1320" i="8"/>
  <c r="G1320" i="8" s="1"/>
  <c r="C1322" i="8"/>
  <c r="C1323" i="8" a="1"/>
  <c r="C1323" i="8" s="1"/>
  <c r="E1323" i="8"/>
  <c r="G1323" i="8" s="1"/>
  <c r="C1324" i="8" a="1"/>
  <c r="C1324" i="8" s="1"/>
  <c r="E1324" i="8"/>
  <c r="G1324" i="8" s="1"/>
  <c r="B1326" i="8"/>
  <c r="C1326" i="8"/>
  <c r="E1326" i="8"/>
  <c r="C1329" i="8"/>
  <c r="E1329" i="8"/>
  <c r="G1329" i="8" s="1"/>
  <c r="C1330" i="8"/>
  <c r="E1330" i="8"/>
  <c r="G1330" i="8" s="1"/>
  <c r="C1331" i="8"/>
  <c r="E1331" i="8"/>
  <c r="G1331" i="8" s="1"/>
  <c r="C1332" i="8"/>
  <c r="E1332" i="8"/>
  <c r="G1332" i="8" s="1"/>
  <c r="C1333" i="8"/>
  <c r="E1333" i="8"/>
  <c r="G1333" i="8" s="1"/>
  <c r="C1335" i="8"/>
  <c r="C1336" i="8"/>
  <c r="C1337" i="8"/>
  <c r="C1339" i="8"/>
  <c r="E1339" i="8"/>
  <c r="G1339" i="8" s="1"/>
  <c r="C1340" i="8"/>
  <c r="E1340" i="8"/>
  <c r="G1340" i="8" s="1"/>
  <c r="C1342" i="8"/>
  <c r="C1343" i="8" a="1"/>
  <c r="C1343" i="8" s="1"/>
  <c r="E1343" i="8"/>
  <c r="G1343" i="8" s="1"/>
  <c r="C1344" i="8" a="1"/>
  <c r="C1344" i="8" s="1"/>
  <c r="E1344" i="8"/>
  <c r="G1344" i="8" s="1"/>
  <c r="B1346" i="8"/>
  <c r="C1346" i="8"/>
  <c r="E1346" i="8"/>
  <c r="C1349" i="8"/>
  <c r="E1349" i="8"/>
  <c r="G1349" i="8" s="1"/>
  <c r="C1350" i="8"/>
  <c r="E1350" i="8"/>
  <c r="G1350" i="8" s="1"/>
  <c r="C1351" i="8"/>
  <c r="E1351" i="8"/>
  <c r="G1351" i="8" s="1"/>
  <c r="C1352" i="8"/>
  <c r="E1352" i="8"/>
  <c r="G1352" i="8" s="1"/>
  <c r="C1353" i="8"/>
  <c r="E1353" i="8"/>
  <c r="G1353" i="8" s="1"/>
  <c r="C1355" i="8"/>
  <c r="C1356" i="8"/>
  <c r="C1357" i="8"/>
  <c r="E1357" i="8" s="1"/>
  <c r="G1357" i="8" s="1"/>
  <c r="C1359" i="8"/>
  <c r="E1359" i="8"/>
  <c r="G1359" i="8" s="1"/>
  <c r="C1360" i="8"/>
  <c r="E1360" i="8"/>
  <c r="G1360" i="8" s="1"/>
  <c r="C1362" i="8"/>
  <c r="C1363" i="8" a="1"/>
  <c r="C1363" i="8" s="1"/>
  <c r="E1363" i="8"/>
  <c r="G1363" i="8" s="1"/>
  <c r="C1364" i="8" a="1"/>
  <c r="C1364" i="8" s="1"/>
  <c r="E1364" i="8"/>
  <c r="G1364" i="8" s="1"/>
  <c r="B1366" i="8"/>
  <c r="C1366" i="8"/>
  <c r="E1366" i="8"/>
  <c r="C1369" i="8"/>
  <c r="E1369" i="8"/>
  <c r="G1369" i="8" s="1"/>
  <c r="C1370" i="8"/>
  <c r="E1370" i="8"/>
  <c r="G1370" i="8" s="1"/>
  <c r="C1371" i="8"/>
  <c r="E1371" i="8"/>
  <c r="G1371" i="8" s="1"/>
  <c r="C1372" i="8"/>
  <c r="E1372" i="8"/>
  <c r="G1372" i="8" s="1"/>
  <c r="C1373" i="8"/>
  <c r="E1373" i="8"/>
  <c r="G1373" i="8" s="1"/>
  <c r="C1375" i="8"/>
  <c r="C1376" i="8"/>
  <c r="C1377" i="8"/>
  <c r="E1377" i="8" s="1"/>
  <c r="G1377" i="8" s="1"/>
  <c r="C1379" i="8"/>
  <c r="E1379" i="8"/>
  <c r="G1379" i="8" s="1"/>
  <c r="C1380" i="8"/>
  <c r="E1380" i="8"/>
  <c r="G1380" i="8" s="1"/>
  <c r="C1382" i="8"/>
  <c r="C1383" i="8" a="1"/>
  <c r="C1383" i="8" s="1"/>
  <c r="E1383" i="8"/>
  <c r="G1383" i="8" s="1"/>
  <c r="C1384" i="8" a="1"/>
  <c r="C1384" i="8" s="1"/>
  <c r="E1384" i="8"/>
  <c r="G1384" i="8" s="1"/>
  <c r="B1386" i="8"/>
  <c r="C1386" i="8"/>
  <c r="E1386" i="8"/>
  <c r="C1389" i="8"/>
  <c r="E1389" i="8"/>
  <c r="G1389" i="8" s="1"/>
  <c r="C1390" i="8"/>
  <c r="E1390" i="8"/>
  <c r="G1390" i="8" s="1"/>
  <c r="C1391" i="8"/>
  <c r="E1391" i="8"/>
  <c r="G1391" i="8" s="1"/>
  <c r="C1392" i="8"/>
  <c r="E1392" i="8"/>
  <c r="G1392" i="8" s="1"/>
  <c r="C1393" i="8"/>
  <c r="E1393" i="8"/>
  <c r="G1393" i="8" s="1"/>
  <c r="C1395" i="8"/>
  <c r="C1396" i="8"/>
  <c r="C1397" i="8"/>
  <c r="E1397" i="8" s="1"/>
  <c r="G1397" i="8" s="1"/>
  <c r="C1399" i="8"/>
  <c r="E1399" i="8"/>
  <c r="G1399" i="8" s="1"/>
  <c r="C1400" i="8"/>
  <c r="E1400" i="8"/>
  <c r="G1400" i="8" s="1"/>
  <c r="C1402" i="8"/>
  <c r="C1403" i="8" a="1"/>
  <c r="C1403" i="8" s="1"/>
  <c r="E1403" i="8"/>
  <c r="G1403" i="8" s="1"/>
  <c r="C1404" i="8" a="1"/>
  <c r="C1404" i="8" s="1"/>
  <c r="E1404" i="8"/>
  <c r="G1404" i="8" s="1"/>
  <c r="B1406" i="8"/>
  <c r="C1406" i="8"/>
  <c r="E1406" i="8"/>
  <c r="C1409" i="8"/>
  <c r="E1409" i="8"/>
  <c r="G1409" i="8" s="1"/>
  <c r="C1410" i="8"/>
  <c r="E1410" i="8"/>
  <c r="G1410" i="8" s="1"/>
  <c r="C1411" i="8"/>
  <c r="E1411" i="8"/>
  <c r="G1411" i="8" s="1"/>
  <c r="C1412" i="8"/>
  <c r="E1412" i="8"/>
  <c r="G1412" i="8" s="1"/>
  <c r="C1413" i="8"/>
  <c r="E1413" i="8"/>
  <c r="G1413" i="8" s="1"/>
  <c r="C1415" i="8"/>
  <c r="C1416" i="8"/>
  <c r="C1417" i="8"/>
  <c r="E1417" i="8" s="1"/>
  <c r="G1417" i="8" s="1"/>
  <c r="C1419" i="8"/>
  <c r="E1419" i="8"/>
  <c r="G1419" i="8" s="1"/>
  <c r="C1420" i="8"/>
  <c r="E1420" i="8"/>
  <c r="G1420" i="8" s="1"/>
  <c r="C1422" i="8"/>
  <c r="C1423" i="8" a="1"/>
  <c r="C1423" i="8" s="1"/>
  <c r="E1423" i="8"/>
  <c r="G1423" i="8" s="1"/>
  <c r="C1424" i="8" a="1"/>
  <c r="C1424" i="8" s="1"/>
  <c r="E1424" i="8"/>
  <c r="G1424" i="8" s="1"/>
  <c r="B1426" i="8"/>
  <c r="C1426" i="8"/>
  <c r="E1426" i="8"/>
  <c r="C1429" i="8"/>
  <c r="E1429" i="8"/>
  <c r="G1429" i="8" s="1"/>
  <c r="C1430" i="8"/>
  <c r="E1430" i="8"/>
  <c r="G1430" i="8" s="1"/>
  <c r="C1431" i="8"/>
  <c r="E1431" i="8"/>
  <c r="G1431" i="8" s="1"/>
  <c r="C1432" i="8"/>
  <c r="E1432" i="8"/>
  <c r="G1432" i="8" s="1"/>
  <c r="C1433" i="8"/>
  <c r="E1433" i="8"/>
  <c r="G1433" i="8" s="1"/>
  <c r="C1435" i="8"/>
  <c r="C1436" i="8"/>
  <c r="C1437" i="8"/>
  <c r="E1437" i="8" s="1"/>
  <c r="G1437" i="8" s="1"/>
  <c r="C1439" i="8"/>
  <c r="E1439" i="8"/>
  <c r="G1439" i="8" s="1"/>
  <c r="C1440" i="8"/>
  <c r="E1440" i="8"/>
  <c r="G1440" i="8" s="1"/>
  <c r="C1442" i="8"/>
  <c r="C1443" i="8" a="1"/>
  <c r="C1443" i="8" s="1"/>
  <c r="E1443" i="8"/>
  <c r="G1443" i="8" s="1"/>
  <c r="C1444" i="8" a="1"/>
  <c r="C1444" i="8" s="1"/>
  <c r="E1444" i="8"/>
  <c r="G1444" i="8" s="1"/>
  <c r="B1446" i="8"/>
  <c r="C1446" i="8"/>
  <c r="E1446" i="8"/>
  <c r="C1449" i="8"/>
  <c r="E1449" i="8"/>
  <c r="G1449" i="8" s="1"/>
  <c r="C1450" i="8"/>
  <c r="E1450" i="8"/>
  <c r="G1450" i="8" s="1"/>
  <c r="C1451" i="8"/>
  <c r="E1451" i="8"/>
  <c r="G1451" i="8" s="1"/>
  <c r="C1452" i="8"/>
  <c r="E1452" i="8"/>
  <c r="G1452" i="8" s="1"/>
  <c r="C1453" i="8"/>
  <c r="E1453" i="8"/>
  <c r="G1453" i="8" s="1"/>
  <c r="C1455" i="8"/>
  <c r="C1456" i="8"/>
  <c r="C1457" i="8"/>
  <c r="E1457" i="8" s="1"/>
  <c r="G1457" i="8" s="1"/>
  <c r="C1459" i="8"/>
  <c r="E1459" i="8"/>
  <c r="G1459" i="8" s="1"/>
  <c r="C1460" i="8"/>
  <c r="E1460" i="8"/>
  <c r="G1460" i="8" s="1"/>
  <c r="C1462" i="8"/>
  <c r="C1463" i="8" a="1"/>
  <c r="C1463" i="8" s="1"/>
  <c r="E1463" i="8"/>
  <c r="G1463" i="8" s="1"/>
  <c r="C1464" i="8" a="1"/>
  <c r="C1464" i="8" s="1"/>
  <c r="E1464" i="8"/>
  <c r="G1464" i="8" s="1"/>
  <c r="B1466" i="8"/>
  <c r="C1466" i="8"/>
  <c r="E1466" i="8"/>
  <c r="C1469" i="8"/>
  <c r="E1469" i="8"/>
  <c r="G1469" i="8" s="1"/>
  <c r="C1470" i="8"/>
  <c r="E1470" i="8"/>
  <c r="G1470" i="8" s="1"/>
  <c r="C1471" i="8"/>
  <c r="E1471" i="8"/>
  <c r="G1471" i="8" s="1"/>
  <c r="C1472" i="8"/>
  <c r="E1472" i="8"/>
  <c r="G1472" i="8" s="1"/>
  <c r="C1473" i="8"/>
  <c r="E1473" i="8"/>
  <c r="G1473" i="8" s="1"/>
  <c r="C1475" i="8"/>
  <c r="C1476" i="8"/>
  <c r="C1477" i="8"/>
  <c r="E1477" i="8" s="1"/>
  <c r="G1477" i="8" s="1"/>
  <c r="C1479" i="8"/>
  <c r="E1479" i="8"/>
  <c r="G1479" i="8" s="1"/>
  <c r="C1480" i="8"/>
  <c r="E1480" i="8"/>
  <c r="G1480" i="8" s="1"/>
  <c r="C1482" i="8"/>
  <c r="C1483" i="8" a="1"/>
  <c r="C1483" i="8" s="1"/>
  <c r="E1483" i="8"/>
  <c r="G1483" i="8" s="1"/>
  <c r="C1484" i="8" a="1"/>
  <c r="C1484" i="8" s="1"/>
  <c r="E1484" i="8"/>
  <c r="G1484" i="8" s="1"/>
  <c r="B1486" i="8"/>
  <c r="C1486" i="8"/>
  <c r="E1486" i="8"/>
  <c r="C1489" i="8"/>
  <c r="E1489" i="8"/>
  <c r="G1489" i="8" s="1"/>
  <c r="C1490" i="8"/>
  <c r="E1490" i="8"/>
  <c r="G1490" i="8" s="1"/>
  <c r="C1491" i="8"/>
  <c r="E1491" i="8"/>
  <c r="G1491" i="8" s="1"/>
  <c r="C1492" i="8"/>
  <c r="E1492" i="8"/>
  <c r="G1492" i="8" s="1"/>
  <c r="C1493" i="8"/>
  <c r="E1493" i="8"/>
  <c r="G1493" i="8" s="1"/>
  <c r="C1495" i="8"/>
  <c r="C1496" i="8"/>
  <c r="C1497" i="8"/>
  <c r="E1497" i="8" s="1"/>
  <c r="G1497" i="8" s="1"/>
  <c r="C1499" i="8"/>
  <c r="E1499" i="8"/>
  <c r="G1499" i="8" s="1"/>
  <c r="C1500" i="8"/>
  <c r="E1500" i="8"/>
  <c r="G1500" i="8" s="1"/>
  <c r="C1502" i="8"/>
  <c r="C1503" i="8" a="1"/>
  <c r="C1503" i="8" s="1"/>
  <c r="E1503" i="8"/>
  <c r="G1503" i="8" s="1"/>
  <c r="C1504" i="8" a="1"/>
  <c r="C1504" i="8" s="1"/>
  <c r="E1504" i="8"/>
  <c r="G1504" i="8" s="1"/>
  <c r="B1506" i="8"/>
  <c r="C1506" i="8"/>
  <c r="E1506" i="8"/>
  <c r="C1509" i="8"/>
  <c r="E1509" i="8"/>
  <c r="G1509" i="8" s="1"/>
  <c r="C1510" i="8"/>
  <c r="E1510" i="8"/>
  <c r="G1510" i="8" s="1"/>
  <c r="C1511" i="8"/>
  <c r="E1511" i="8"/>
  <c r="G1511" i="8" s="1"/>
  <c r="C1512" i="8"/>
  <c r="E1512" i="8"/>
  <c r="G1512" i="8" s="1"/>
  <c r="C1513" i="8"/>
  <c r="E1513" i="8"/>
  <c r="G1513" i="8" s="1"/>
  <c r="C1515" i="8"/>
  <c r="C1516" i="8"/>
  <c r="C1517" i="8"/>
  <c r="C1519" i="8"/>
  <c r="E1519" i="8"/>
  <c r="G1519" i="8" s="1"/>
  <c r="C1520" i="8"/>
  <c r="E1520" i="8"/>
  <c r="G1520" i="8" s="1"/>
  <c r="C1522" i="8"/>
  <c r="C1523" i="8" a="1"/>
  <c r="C1523" i="8" s="1"/>
  <c r="E1523" i="8"/>
  <c r="G1523" i="8" s="1"/>
  <c r="C1524" i="8" a="1"/>
  <c r="C1524" i="8" s="1"/>
  <c r="E1524" i="8"/>
  <c r="G1524" i="8" s="1"/>
  <c r="B1526" i="8"/>
  <c r="C1526" i="8"/>
  <c r="E1526" i="8"/>
  <c r="C1529" i="8"/>
  <c r="E1529" i="8"/>
  <c r="G1529" i="8" s="1"/>
  <c r="C1530" i="8"/>
  <c r="E1530" i="8"/>
  <c r="G1530" i="8" s="1"/>
  <c r="C1531" i="8"/>
  <c r="E1531" i="8"/>
  <c r="G1531" i="8" s="1"/>
  <c r="C1532" i="8"/>
  <c r="E1532" i="8"/>
  <c r="G1532" i="8" s="1"/>
  <c r="C1533" i="8"/>
  <c r="E1533" i="8"/>
  <c r="G1533" i="8" s="1"/>
  <c r="C1535" i="8"/>
  <c r="C1536" i="8"/>
  <c r="C1537" i="8"/>
  <c r="E1537" i="8" s="1"/>
  <c r="G1537" i="8" s="1"/>
  <c r="C1539" i="8"/>
  <c r="E1539" i="8"/>
  <c r="G1539" i="8" s="1"/>
  <c r="C1540" i="8"/>
  <c r="E1540" i="8"/>
  <c r="G1540" i="8" s="1"/>
  <c r="C1542" i="8"/>
  <c r="C1543" i="8" a="1"/>
  <c r="C1543" i="8" s="1"/>
  <c r="E1543" i="8"/>
  <c r="G1543" i="8" s="1"/>
  <c r="C1544" i="8" a="1"/>
  <c r="C1544" i="8" s="1"/>
  <c r="E1544" i="8"/>
  <c r="G1544" i="8" s="1"/>
  <c r="B1546" i="8"/>
  <c r="C1546" i="8"/>
  <c r="E1546" i="8"/>
  <c r="C1549" i="8"/>
  <c r="E1549" i="8"/>
  <c r="G1549" i="8" s="1"/>
  <c r="C1550" i="8"/>
  <c r="E1550" i="8"/>
  <c r="G1550" i="8" s="1"/>
  <c r="C1551" i="8"/>
  <c r="E1551" i="8"/>
  <c r="G1551" i="8" s="1"/>
  <c r="C1552" i="8"/>
  <c r="E1552" i="8"/>
  <c r="G1552" i="8" s="1"/>
  <c r="C1553" i="8"/>
  <c r="E1553" i="8"/>
  <c r="G1553" i="8" s="1"/>
  <c r="C1555" i="8"/>
  <c r="C1556" i="8"/>
  <c r="C1557" i="8"/>
  <c r="E1557" i="8" s="1"/>
  <c r="G1557" i="8" s="1"/>
  <c r="C1559" i="8"/>
  <c r="E1559" i="8"/>
  <c r="G1559" i="8" s="1"/>
  <c r="C1560" i="8"/>
  <c r="E1560" i="8"/>
  <c r="G1560" i="8" s="1"/>
  <c r="C1562" i="8"/>
  <c r="C1563" i="8" a="1"/>
  <c r="C1563" i="8" s="1"/>
  <c r="E1563" i="8"/>
  <c r="G1563" i="8" s="1"/>
  <c r="C1564" i="8" a="1"/>
  <c r="C1564" i="8" s="1"/>
  <c r="E1564" i="8"/>
  <c r="G1564" i="8" s="1"/>
  <c r="B1566" i="8"/>
  <c r="C1566" i="8"/>
  <c r="E1566" i="8"/>
  <c r="C1569" i="8"/>
  <c r="E1569" i="8"/>
  <c r="G1569" i="8" s="1"/>
  <c r="C1570" i="8"/>
  <c r="E1570" i="8"/>
  <c r="G1570" i="8" s="1"/>
  <c r="C1571" i="8"/>
  <c r="E1571" i="8"/>
  <c r="G1571" i="8" s="1"/>
  <c r="C1572" i="8"/>
  <c r="E1572" i="8"/>
  <c r="G1572" i="8" s="1"/>
  <c r="C1573" i="8"/>
  <c r="E1573" i="8"/>
  <c r="G1573" i="8" s="1"/>
  <c r="C1575" i="8"/>
  <c r="C1576" i="8"/>
  <c r="C1577" i="8"/>
  <c r="C1579" i="8"/>
  <c r="E1579" i="8"/>
  <c r="G1579" i="8" s="1"/>
  <c r="C1580" i="8"/>
  <c r="E1580" i="8"/>
  <c r="G1580" i="8" s="1"/>
  <c r="C1582" i="8"/>
  <c r="C1583" i="8" a="1"/>
  <c r="C1583" i="8" s="1"/>
  <c r="E1583" i="8"/>
  <c r="G1583" i="8" s="1"/>
  <c r="C1584" i="8" a="1"/>
  <c r="C1584" i="8" s="1"/>
  <c r="E1584" i="8"/>
  <c r="G1584" i="8" s="1"/>
  <c r="B1586" i="8"/>
  <c r="C1586" i="8"/>
  <c r="E1586" i="8"/>
  <c r="C1589" i="8"/>
  <c r="E1589" i="8"/>
  <c r="G1589" i="8" s="1"/>
  <c r="C1590" i="8"/>
  <c r="E1590" i="8"/>
  <c r="G1590" i="8" s="1"/>
  <c r="C1591" i="8"/>
  <c r="E1591" i="8"/>
  <c r="G1591" i="8" s="1"/>
  <c r="C1592" i="8"/>
  <c r="E1592" i="8"/>
  <c r="G1592" i="8" s="1"/>
  <c r="C1593" i="8"/>
  <c r="E1593" i="8"/>
  <c r="G1593" i="8" s="1"/>
  <c r="C1595" i="8"/>
  <c r="E1595" i="8" s="1"/>
  <c r="G1595" i="8" s="1"/>
  <c r="C1596" i="8"/>
  <c r="C1597" i="8"/>
  <c r="E1597" i="8" s="1"/>
  <c r="G1597" i="8" s="1"/>
  <c r="C1599" i="8"/>
  <c r="E1599" i="8"/>
  <c r="G1599" i="8" s="1"/>
  <c r="C1600" i="8"/>
  <c r="E1600" i="8"/>
  <c r="G1600" i="8" s="1"/>
  <c r="C1602" i="8"/>
  <c r="C1603" i="8" a="1"/>
  <c r="C1603" i="8" s="1"/>
  <c r="E1603" i="8"/>
  <c r="G1603" i="8" s="1"/>
  <c r="C1604" i="8" a="1"/>
  <c r="C1604" i="8" s="1"/>
  <c r="E1604" i="8"/>
  <c r="G1604" i="8" s="1"/>
  <c r="B1606" i="8"/>
  <c r="C1606" i="8"/>
  <c r="E1606" i="8"/>
  <c r="C1609" i="8"/>
  <c r="E1609" i="8"/>
  <c r="G1609" i="8" s="1"/>
  <c r="C1610" i="8"/>
  <c r="E1610" i="8"/>
  <c r="G1610" i="8" s="1"/>
  <c r="C1611" i="8"/>
  <c r="E1611" i="8"/>
  <c r="G1611" i="8" s="1"/>
  <c r="C1612" i="8"/>
  <c r="E1612" i="8"/>
  <c r="G1612" i="8" s="1"/>
  <c r="C1613" i="8"/>
  <c r="E1613" i="8"/>
  <c r="G1613" i="8" s="1"/>
  <c r="C1615" i="8"/>
  <c r="E1615" i="8" s="1"/>
  <c r="G1615" i="8" s="1"/>
  <c r="C1616" i="8"/>
  <c r="C1617" i="8"/>
  <c r="E1617" i="8" s="1"/>
  <c r="G1617" i="8" s="1"/>
  <c r="C1619" i="8"/>
  <c r="E1619" i="8"/>
  <c r="G1619" i="8" s="1"/>
  <c r="C1620" i="8"/>
  <c r="E1620" i="8"/>
  <c r="G1620" i="8" s="1"/>
  <c r="C1622" i="8"/>
  <c r="C1623" i="8" a="1"/>
  <c r="C1623" i="8" s="1"/>
  <c r="E1623" i="8"/>
  <c r="G1623" i="8" s="1"/>
  <c r="C1624" i="8" a="1"/>
  <c r="C1624" i="8" s="1"/>
  <c r="E1624" i="8"/>
  <c r="G1624" i="8" s="1"/>
  <c r="B1626" i="8"/>
  <c r="C1626" i="8"/>
  <c r="E1626" i="8"/>
  <c r="C1629" i="8"/>
  <c r="E1629" i="8"/>
  <c r="G1629" i="8" s="1"/>
  <c r="C1630" i="8"/>
  <c r="E1630" i="8"/>
  <c r="G1630" i="8" s="1"/>
  <c r="C1631" i="8"/>
  <c r="E1631" i="8"/>
  <c r="G1631" i="8" s="1"/>
  <c r="C1632" i="8"/>
  <c r="E1632" i="8"/>
  <c r="G1632" i="8" s="1"/>
  <c r="C1633" i="8"/>
  <c r="E1633" i="8"/>
  <c r="G1633" i="8" s="1"/>
  <c r="C1635" i="8"/>
  <c r="C1636" i="8"/>
  <c r="E1636" i="8" s="1"/>
  <c r="G1636" i="8" s="1"/>
  <c r="C1637" i="8"/>
  <c r="E1637" i="8" s="1"/>
  <c r="G1637" i="8" s="1"/>
  <c r="C1639" i="8"/>
  <c r="E1639" i="8"/>
  <c r="G1639" i="8" s="1"/>
  <c r="C1640" i="8"/>
  <c r="E1640" i="8"/>
  <c r="G1640" i="8" s="1"/>
  <c r="C1642" i="8"/>
  <c r="C1643" i="8" a="1"/>
  <c r="C1643" i="8" s="1"/>
  <c r="E1643" i="8"/>
  <c r="G1643" i="8" s="1"/>
  <c r="C1644" i="8" a="1"/>
  <c r="C1644" i="8" s="1"/>
  <c r="E1644" i="8"/>
  <c r="G1644" i="8" s="1"/>
  <c r="B1646" i="8"/>
  <c r="C1646" i="8"/>
  <c r="E1646" i="8"/>
  <c r="C1649" i="8"/>
  <c r="E1649" i="8"/>
  <c r="G1649" i="8" s="1"/>
  <c r="C1650" i="8"/>
  <c r="E1650" i="8"/>
  <c r="G1650" i="8" s="1"/>
  <c r="C1651" i="8"/>
  <c r="E1651" i="8"/>
  <c r="G1651" i="8" s="1"/>
  <c r="C1652" i="8"/>
  <c r="E1652" i="8"/>
  <c r="G1652" i="8" s="1"/>
  <c r="C1653" i="8"/>
  <c r="E1653" i="8"/>
  <c r="G1653" i="8" s="1"/>
  <c r="C1655" i="8"/>
  <c r="C1656" i="8"/>
  <c r="C1657" i="8"/>
  <c r="E1657" i="8" s="1"/>
  <c r="G1657" i="8" s="1"/>
  <c r="C1659" i="8"/>
  <c r="E1659" i="8"/>
  <c r="G1659" i="8" s="1"/>
  <c r="C1660" i="8"/>
  <c r="E1660" i="8"/>
  <c r="G1660" i="8" s="1"/>
  <c r="C1662" i="8"/>
  <c r="C1663" i="8" a="1"/>
  <c r="C1663" i="8" s="1"/>
  <c r="E1663" i="8"/>
  <c r="G1663" i="8" s="1"/>
  <c r="C1664" i="8" a="1"/>
  <c r="C1664" i="8" s="1"/>
  <c r="E1664" i="8"/>
  <c r="G1664" i="8" s="1"/>
  <c r="B1666" i="8"/>
  <c r="C1666" i="8"/>
  <c r="E1666" i="8"/>
  <c r="C1669" i="8"/>
  <c r="E1669" i="8"/>
  <c r="G1669" i="8" s="1"/>
  <c r="C1670" i="8"/>
  <c r="E1670" i="8"/>
  <c r="G1670" i="8" s="1"/>
  <c r="C1671" i="8"/>
  <c r="E1671" i="8"/>
  <c r="G1671" i="8" s="1"/>
  <c r="C1672" i="8"/>
  <c r="E1672" i="8"/>
  <c r="G1672" i="8" s="1"/>
  <c r="C1673" i="8"/>
  <c r="E1673" i="8"/>
  <c r="G1673" i="8" s="1"/>
  <c r="C1675" i="8"/>
  <c r="C1676" i="8"/>
  <c r="C1677" i="8"/>
  <c r="C1679" i="8"/>
  <c r="E1679" i="8"/>
  <c r="G1679" i="8" s="1"/>
  <c r="C1680" i="8"/>
  <c r="E1680" i="8"/>
  <c r="G1680" i="8" s="1"/>
  <c r="C1682" i="8"/>
  <c r="C1683" i="8" a="1"/>
  <c r="C1683" i="8" s="1"/>
  <c r="E1683" i="8"/>
  <c r="G1683" i="8" s="1"/>
  <c r="C1684" i="8" a="1"/>
  <c r="C1684" i="8" s="1"/>
  <c r="E1684" i="8"/>
  <c r="G1684" i="8" s="1"/>
  <c r="B1686" i="8"/>
  <c r="C1686" i="8"/>
  <c r="E1686" i="8"/>
  <c r="C1689" i="8"/>
  <c r="E1689" i="8"/>
  <c r="G1689" i="8" s="1"/>
  <c r="C1690" i="8"/>
  <c r="E1690" i="8"/>
  <c r="G1690" i="8" s="1"/>
  <c r="C1691" i="8"/>
  <c r="E1691" i="8"/>
  <c r="G1691" i="8" s="1"/>
  <c r="C1692" i="8"/>
  <c r="E1692" i="8"/>
  <c r="G1692" i="8" s="1"/>
  <c r="C1693" i="8"/>
  <c r="E1693" i="8"/>
  <c r="G1693" i="8" s="1"/>
  <c r="C1695" i="8"/>
  <c r="C1696" i="8"/>
  <c r="C1697" i="8"/>
  <c r="E1697" i="8" s="1"/>
  <c r="G1697" i="8" s="1"/>
  <c r="C1699" i="8"/>
  <c r="E1699" i="8"/>
  <c r="G1699" i="8" s="1"/>
  <c r="C1700" i="8"/>
  <c r="E1700" i="8"/>
  <c r="G1700" i="8" s="1"/>
  <c r="C1702" i="8"/>
  <c r="C1703" i="8" a="1"/>
  <c r="C1703" i="8" s="1"/>
  <c r="E1703" i="8"/>
  <c r="G1703" i="8" s="1"/>
  <c r="C1704" i="8" a="1"/>
  <c r="C1704" i="8" s="1"/>
  <c r="E1704" i="8"/>
  <c r="G1704" i="8" s="1"/>
  <c r="B1706" i="8"/>
  <c r="C1706" i="8"/>
  <c r="E1706" i="8"/>
  <c r="C1709" i="8"/>
  <c r="E1709" i="8"/>
  <c r="G1709" i="8" s="1"/>
  <c r="C1710" i="8"/>
  <c r="E1710" i="8"/>
  <c r="G1710" i="8" s="1"/>
  <c r="C1711" i="8"/>
  <c r="E1711" i="8"/>
  <c r="G1711" i="8" s="1"/>
  <c r="C1712" i="8"/>
  <c r="E1712" i="8"/>
  <c r="G1712" i="8" s="1"/>
  <c r="C1713" i="8"/>
  <c r="E1713" i="8"/>
  <c r="G1713" i="8" s="1"/>
  <c r="C1715" i="8"/>
  <c r="C1716" i="8"/>
  <c r="C1717" i="8"/>
  <c r="E1717" i="8" s="1"/>
  <c r="G1717" i="8" s="1"/>
  <c r="C1719" i="8"/>
  <c r="E1719" i="8"/>
  <c r="G1719" i="8" s="1"/>
  <c r="C1720" i="8"/>
  <c r="E1720" i="8"/>
  <c r="G1720" i="8" s="1"/>
  <c r="C1722" i="8"/>
  <c r="C1723" i="8" a="1"/>
  <c r="C1723" i="8" s="1"/>
  <c r="E1723" i="8"/>
  <c r="G1723" i="8" s="1"/>
  <c r="C1724" i="8" a="1"/>
  <c r="C1724" i="8" s="1"/>
  <c r="E1724" i="8"/>
  <c r="G1724" i="8" s="1"/>
  <c r="B1726" i="8"/>
  <c r="C1726" i="8"/>
  <c r="E1726" i="8"/>
  <c r="C1729" i="8"/>
  <c r="E1729" i="8"/>
  <c r="G1729" i="8" s="1"/>
  <c r="C1730" i="8"/>
  <c r="E1730" i="8"/>
  <c r="G1730" i="8" s="1"/>
  <c r="C1731" i="8"/>
  <c r="E1731" i="8"/>
  <c r="G1731" i="8" s="1"/>
  <c r="C1732" i="8"/>
  <c r="E1732" i="8"/>
  <c r="G1732" i="8" s="1"/>
  <c r="C1733" i="8"/>
  <c r="E1733" i="8"/>
  <c r="G1733" i="8" s="1"/>
  <c r="C1735" i="8"/>
  <c r="C1736" i="8"/>
  <c r="C1737" i="8"/>
  <c r="C1739" i="8"/>
  <c r="E1739" i="8"/>
  <c r="G1739" i="8" s="1"/>
  <c r="C1740" i="8"/>
  <c r="E1740" i="8"/>
  <c r="G1740" i="8" s="1"/>
  <c r="C1742" i="8"/>
  <c r="C1743" i="8" a="1"/>
  <c r="C1743" i="8" s="1"/>
  <c r="E1743" i="8"/>
  <c r="G1743" i="8" s="1"/>
  <c r="C1744" i="8" a="1"/>
  <c r="C1744" i="8" s="1"/>
  <c r="E1744" i="8"/>
  <c r="G1744" i="8" s="1"/>
  <c r="B1746" i="8"/>
  <c r="C1746" i="8"/>
  <c r="E1746" i="8"/>
  <c r="C1749" i="8"/>
  <c r="E1749" i="8"/>
  <c r="G1749" i="8" s="1"/>
  <c r="C1750" i="8"/>
  <c r="E1750" i="8"/>
  <c r="G1750" i="8" s="1"/>
  <c r="C1751" i="8"/>
  <c r="E1751" i="8"/>
  <c r="G1751" i="8" s="1"/>
  <c r="C1752" i="8"/>
  <c r="E1752" i="8"/>
  <c r="G1752" i="8" s="1"/>
  <c r="C1753" i="8"/>
  <c r="E1753" i="8"/>
  <c r="G1753" i="8" s="1"/>
  <c r="C1755" i="8"/>
  <c r="E1755" i="8" s="1"/>
  <c r="G1755" i="8" s="1"/>
  <c r="C1756" i="8"/>
  <c r="C1757" i="8"/>
  <c r="C1759" i="8"/>
  <c r="E1759" i="8"/>
  <c r="G1759" i="8" s="1"/>
  <c r="C1760" i="8"/>
  <c r="E1760" i="8"/>
  <c r="G1760" i="8" s="1"/>
  <c r="C1762" i="8"/>
  <c r="C1763" i="8" a="1"/>
  <c r="C1763" i="8" s="1"/>
  <c r="E1763" i="8"/>
  <c r="G1763" i="8" s="1"/>
  <c r="C1764" i="8" a="1"/>
  <c r="C1764" i="8" s="1"/>
  <c r="E1764" i="8"/>
  <c r="G1764" i="8" s="1"/>
  <c r="B1766" i="8"/>
  <c r="C1766" i="8"/>
  <c r="E1766" i="8"/>
  <c r="C1769" i="8"/>
  <c r="E1769" i="8"/>
  <c r="G1769" i="8" s="1"/>
  <c r="C1770" i="8"/>
  <c r="E1770" i="8"/>
  <c r="G1770" i="8" s="1"/>
  <c r="C1771" i="8"/>
  <c r="E1771" i="8"/>
  <c r="G1771" i="8" s="1"/>
  <c r="C1772" i="8"/>
  <c r="E1772" i="8"/>
  <c r="G1772" i="8" s="1"/>
  <c r="C1773" i="8"/>
  <c r="E1773" i="8"/>
  <c r="G1773" i="8" s="1"/>
  <c r="C1775" i="8"/>
  <c r="C1776" i="8"/>
  <c r="C1777" i="8"/>
  <c r="C1779" i="8"/>
  <c r="E1779" i="8"/>
  <c r="G1779" i="8" s="1"/>
  <c r="C1780" i="8"/>
  <c r="E1780" i="8"/>
  <c r="G1780" i="8" s="1"/>
  <c r="C1782" i="8"/>
  <c r="C1783" i="8" a="1"/>
  <c r="C1783" i="8" s="1"/>
  <c r="E1783" i="8"/>
  <c r="G1783" i="8" s="1"/>
  <c r="C1784" i="8" a="1"/>
  <c r="C1784" i="8" s="1"/>
  <c r="E1784" i="8"/>
  <c r="G1784" i="8" s="1"/>
  <c r="B1786" i="8"/>
  <c r="C1786" i="8"/>
  <c r="E1786" i="8"/>
  <c r="C1789" i="8"/>
  <c r="E1789" i="8"/>
  <c r="G1789" i="8" s="1"/>
  <c r="C1790" i="8"/>
  <c r="E1790" i="8"/>
  <c r="G1790" i="8" s="1"/>
  <c r="C1791" i="8"/>
  <c r="E1791" i="8"/>
  <c r="G1791" i="8" s="1"/>
  <c r="C1792" i="8"/>
  <c r="E1792" i="8"/>
  <c r="G1792" i="8" s="1"/>
  <c r="C1793" i="8"/>
  <c r="E1793" i="8"/>
  <c r="G1793" i="8" s="1"/>
  <c r="C1795" i="8"/>
  <c r="E1795" i="8" s="1"/>
  <c r="G1795" i="8" s="1"/>
  <c r="C1796" i="8"/>
  <c r="C1797" i="8"/>
  <c r="C1799" i="8"/>
  <c r="E1799" i="8"/>
  <c r="G1799" i="8" s="1"/>
  <c r="C1800" i="8"/>
  <c r="E1800" i="8"/>
  <c r="G1800" i="8" s="1"/>
  <c r="C1802" i="8"/>
  <c r="C1803" i="8" a="1"/>
  <c r="C1803" i="8" s="1"/>
  <c r="E1803" i="8"/>
  <c r="G1803" i="8" s="1"/>
  <c r="C1804" i="8" a="1"/>
  <c r="C1804" i="8" s="1"/>
  <c r="E1804" i="8"/>
  <c r="G1804" i="8" s="1"/>
  <c r="B1806" i="8"/>
  <c r="C1806" i="8"/>
  <c r="E1806" i="8"/>
  <c r="C1809" i="8"/>
  <c r="E1809" i="8"/>
  <c r="G1809" i="8" s="1"/>
  <c r="C1810" i="8"/>
  <c r="E1810" i="8"/>
  <c r="G1810" i="8" s="1"/>
  <c r="C1811" i="8"/>
  <c r="E1811" i="8"/>
  <c r="G1811" i="8" s="1"/>
  <c r="C1812" i="8"/>
  <c r="E1812" i="8"/>
  <c r="G1812" i="8" s="1"/>
  <c r="C1813" i="8"/>
  <c r="E1813" i="8"/>
  <c r="G1813" i="8" s="1"/>
  <c r="C1815" i="8"/>
  <c r="C1816" i="8"/>
  <c r="C1817" i="8"/>
  <c r="E1817" i="8" s="1"/>
  <c r="G1817" i="8" s="1"/>
  <c r="C1819" i="8"/>
  <c r="E1819" i="8"/>
  <c r="G1819" i="8" s="1"/>
  <c r="C1820" i="8"/>
  <c r="E1820" i="8"/>
  <c r="G1820" i="8" s="1"/>
  <c r="C1822" i="8"/>
  <c r="C1823" i="8" a="1"/>
  <c r="C1823" i="8" s="1"/>
  <c r="E1823" i="8"/>
  <c r="G1823" i="8" s="1"/>
  <c r="C1824" i="8" a="1"/>
  <c r="C1824" i="8" s="1"/>
  <c r="E1824" i="8"/>
  <c r="G1824" i="8" s="1"/>
  <c r="B1826" i="8"/>
  <c r="C1826" i="8"/>
  <c r="E1826" i="8"/>
  <c r="C1829" i="8"/>
  <c r="E1829" i="8"/>
  <c r="G1829" i="8" s="1"/>
  <c r="C1830" i="8"/>
  <c r="E1830" i="8"/>
  <c r="G1830" i="8" s="1"/>
  <c r="C1831" i="8"/>
  <c r="E1831" i="8"/>
  <c r="G1831" i="8" s="1"/>
  <c r="C1832" i="8"/>
  <c r="E1832" i="8"/>
  <c r="G1832" i="8" s="1"/>
  <c r="C1833" i="8"/>
  <c r="E1833" i="8"/>
  <c r="G1833" i="8" s="1"/>
  <c r="C1835" i="8"/>
  <c r="C1836" i="8"/>
  <c r="C1837" i="8"/>
  <c r="E1837" i="8" s="1"/>
  <c r="G1837" i="8" s="1"/>
  <c r="C1839" i="8"/>
  <c r="E1839" i="8"/>
  <c r="G1839" i="8" s="1"/>
  <c r="C1840" i="8"/>
  <c r="E1840" i="8"/>
  <c r="G1840" i="8" s="1"/>
  <c r="C1842" i="8"/>
  <c r="C1843" i="8" a="1"/>
  <c r="C1843" i="8" s="1"/>
  <c r="E1843" i="8"/>
  <c r="G1843" i="8" s="1"/>
  <c r="C1844" i="8" a="1"/>
  <c r="C1844" i="8" s="1"/>
  <c r="E1844" i="8"/>
  <c r="G1844" i="8" s="1"/>
  <c r="B1846" i="8"/>
  <c r="C1846" i="8"/>
  <c r="E1846" i="8"/>
  <c r="C1849" i="8"/>
  <c r="E1849" i="8"/>
  <c r="G1849" i="8" s="1"/>
  <c r="C1850" i="8"/>
  <c r="E1850" i="8"/>
  <c r="G1850" i="8" s="1"/>
  <c r="C1851" i="8"/>
  <c r="E1851" i="8"/>
  <c r="G1851" i="8" s="1"/>
  <c r="C1852" i="8"/>
  <c r="E1852" i="8"/>
  <c r="G1852" i="8" s="1"/>
  <c r="C1853" i="8"/>
  <c r="E1853" i="8"/>
  <c r="G1853" i="8" s="1"/>
  <c r="C1855" i="8"/>
  <c r="C1856" i="8"/>
  <c r="C1857" i="8"/>
  <c r="C1859" i="8"/>
  <c r="E1859" i="8"/>
  <c r="G1859" i="8" s="1"/>
  <c r="C1860" i="8"/>
  <c r="E1860" i="8"/>
  <c r="G1860" i="8" s="1"/>
  <c r="C1862" i="8"/>
  <c r="C1863" i="8" a="1"/>
  <c r="C1863" i="8" s="1"/>
  <c r="E1863" i="8"/>
  <c r="G1863" i="8" s="1"/>
  <c r="C1864" i="8" a="1"/>
  <c r="C1864" i="8" s="1"/>
  <c r="E1864" i="8"/>
  <c r="G1864" i="8" s="1"/>
  <c r="B1866" i="8"/>
  <c r="C1866" i="8"/>
  <c r="E1866" i="8"/>
  <c r="C1869" i="8"/>
  <c r="E1869" i="8"/>
  <c r="G1869" i="8" s="1"/>
  <c r="C1870" i="8"/>
  <c r="E1870" i="8"/>
  <c r="G1870" i="8" s="1"/>
  <c r="C1871" i="8"/>
  <c r="E1871" i="8"/>
  <c r="G1871" i="8" s="1"/>
  <c r="C1872" i="8"/>
  <c r="E1872" i="8"/>
  <c r="G1872" i="8" s="1"/>
  <c r="C1873" i="8"/>
  <c r="E1873" i="8"/>
  <c r="G1873" i="8" s="1"/>
  <c r="C1875" i="8"/>
  <c r="C1876" i="8"/>
  <c r="C1877" i="8"/>
  <c r="E1877" i="8" s="1"/>
  <c r="G1877" i="8" s="1"/>
  <c r="C1879" i="8"/>
  <c r="E1879" i="8"/>
  <c r="G1879" i="8" s="1"/>
  <c r="C1880" i="8"/>
  <c r="E1880" i="8"/>
  <c r="G1880" i="8" s="1"/>
  <c r="C1882" i="8"/>
  <c r="C1883" i="8" a="1"/>
  <c r="C1883" i="8" s="1"/>
  <c r="E1883" i="8"/>
  <c r="G1883" i="8" s="1"/>
  <c r="C1884" i="8" a="1"/>
  <c r="C1884" i="8" s="1"/>
  <c r="E1884" i="8"/>
  <c r="G1884" i="8" s="1"/>
  <c r="E1666" i="32"/>
  <c r="C1666" i="32"/>
  <c r="E1665" i="32"/>
  <c r="C1665" i="32"/>
  <c r="C1664" i="32"/>
  <c r="E1662" i="32"/>
  <c r="C1662" i="32"/>
  <c r="E1661" i="32"/>
  <c r="C1661" i="32"/>
  <c r="C1659" i="32"/>
  <c r="E1659" i="32" s="1"/>
  <c r="C1658" i="32"/>
  <c r="C1657" i="32"/>
  <c r="E1655" i="32"/>
  <c r="C1655" i="32"/>
  <c r="E1654" i="32"/>
  <c r="C1654" i="32"/>
  <c r="E1653" i="32"/>
  <c r="C1653" i="32"/>
  <c r="E1652" i="32"/>
  <c r="C1652" i="32"/>
  <c r="E1651" i="32"/>
  <c r="C1651" i="32"/>
  <c r="E1646" i="32"/>
  <c r="C1646" i="32"/>
  <c r="E1645" i="32"/>
  <c r="C1645" i="32"/>
  <c r="C1644" i="32"/>
  <c r="E1642" i="32"/>
  <c r="C1642" i="32"/>
  <c r="E1641" i="32"/>
  <c r="C1641" i="32"/>
  <c r="C1639" i="32"/>
  <c r="E1639" i="32" s="1"/>
  <c r="C1638" i="32"/>
  <c r="C1637" i="32"/>
  <c r="E1635" i="32"/>
  <c r="C1635" i="32"/>
  <c r="E1634" i="32"/>
  <c r="C1634" i="32"/>
  <c r="E1633" i="32"/>
  <c r="C1633" i="32"/>
  <c r="E1632" i="32"/>
  <c r="C1632" i="32"/>
  <c r="E1631" i="32"/>
  <c r="C1631" i="32"/>
  <c r="E1626" i="32"/>
  <c r="C1626" i="32"/>
  <c r="E1625" i="32"/>
  <c r="C1625" i="32"/>
  <c r="C1624" i="32"/>
  <c r="E1622" i="32"/>
  <c r="C1622" i="32"/>
  <c r="E1621" i="32"/>
  <c r="C1621" i="32"/>
  <c r="C1619" i="32"/>
  <c r="E1619" i="32" s="1"/>
  <c r="C1618" i="32"/>
  <c r="C1617" i="32"/>
  <c r="E1615" i="32"/>
  <c r="C1615" i="32"/>
  <c r="E1614" i="32"/>
  <c r="C1614" i="32"/>
  <c r="E1613" i="32"/>
  <c r="C1613" i="32"/>
  <c r="E1612" i="32"/>
  <c r="C1612" i="32"/>
  <c r="E1611" i="32"/>
  <c r="C1611" i="32"/>
  <c r="E1606" i="32"/>
  <c r="C1606" i="32"/>
  <c r="E1605" i="32"/>
  <c r="C1605" i="32"/>
  <c r="C1604" i="32"/>
  <c r="E1602" i="32"/>
  <c r="C1602" i="32"/>
  <c r="E1601" i="32"/>
  <c r="C1601" i="32"/>
  <c r="C1599" i="32"/>
  <c r="E1599" i="32" s="1"/>
  <c r="C1598" i="32"/>
  <c r="C1597" i="32"/>
  <c r="E1595" i="32"/>
  <c r="C1595" i="32"/>
  <c r="E1594" i="32"/>
  <c r="C1594" i="32"/>
  <c r="E1593" i="32"/>
  <c r="C1593" i="32"/>
  <c r="E1592" i="32"/>
  <c r="C1592" i="32"/>
  <c r="E1591" i="32"/>
  <c r="C1591" i="32"/>
  <c r="E1586" i="32"/>
  <c r="C1586" i="32"/>
  <c r="E1585" i="32"/>
  <c r="C1585" i="32"/>
  <c r="C1584" i="32"/>
  <c r="E1582" i="32"/>
  <c r="C1582" i="32"/>
  <c r="E1581" i="32"/>
  <c r="C1581" i="32"/>
  <c r="C1579" i="32"/>
  <c r="E1579" i="32" s="1"/>
  <c r="C1578" i="32"/>
  <c r="C1577" i="32"/>
  <c r="E1575" i="32"/>
  <c r="C1575" i="32"/>
  <c r="E1574" i="32"/>
  <c r="C1574" i="32"/>
  <c r="E1573" i="32"/>
  <c r="C1573" i="32"/>
  <c r="E1572" i="32"/>
  <c r="C1572" i="32"/>
  <c r="E1571" i="32"/>
  <c r="C1571" i="32"/>
  <c r="E1566" i="32"/>
  <c r="C1566" i="32"/>
  <c r="E1565" i="32"/>
  <c r="C1565" i="32"/>
  <c r="C1564" i="32"/>
  <c r="E1562" i="32"/>
  <c r="C1562" i="32"/>
  <c r="E1561" i="32"/>
  <c r="C1561" i="32"/>
  <c r="C1559" i="32"/>
  <c r="E1559" i="32" s="1"/>
  <c r="C1558" i="32"/>
  <c r="C1557" i="32"/>
  <c r="E1555" i="32"/>
  <c r="C1555" i="32"/>
  <c r="E1554" i="32"/>
  <c r="C1554" i="32"/>
  <c r="E1553" i="32"/>
  <c r="C1553" i="32"/>
  <c r="E1552" i="32"/>
  <c r="C1552" i="32"/>
  <c r="E1551" i="32"/>
  <c r="C1551" i="32"/>
  <c r="E1546" i="32"/>
  <c r="C1546" i="32"/>
  <c r="E1545" i="32"/>
  <c r="C1545" i="32"/>
  <c r="C1544" i="32"/>
  <c r="E1542" i="32"/>
  <c r="C1542" i="32"/>
  <c r="E1541" i="32"/>
  <c r="C1541" i="32"/>
  <c r="C1539" i="32"/>
  <c r="E1539" i="32" s="1"/>
  <c r="C1538" i="32"/>
  <c r="C1537" i="32"/>
  <c r="E1535" i="32"/>
  <c r="C1535" i="32"/>
  <c r="E1534" i="32"/>
  <c r="C1534" i="32"/>
  <c r="E1533" i="32"/>
  <c r="C1533" i="32"/>
  <c r="E1532" i="32"/>
  <c r="C1532" i="32"/>
  <c r="E1531" i="32"/>
  <c r="C1531" i="32"/>
  <c r="E1526" i="32"/>
  <c r="C1526" i="32"/>
  <c r="E1525" i="32"/>
  <c r="C1525" i="32"/>
  <c r="C1524" i="32"/>
  <c r="E1522" i="32"/>
  <c r="C1522" i="32"/>
  <c r="E1521" i="32"/>
  <c r="C1521" i="32"/>
  <c r="C1519" i="32"/>
  <c r="E1519" i="32" s="1"/>
  <c r="C1518" i="32"/>
  <c r="C1517" i="32"/>
  <c r="E1515" i="32"/>
  <c r="C1515" i="32"/>
  <c r="E1514" i="32"/>
  <c r="C1514" i="32"/>
  <c r="E1513" i="32"/>
  <c r="C1513" i="32"/>
  <c r="E1512" i="32"/>
  <c r="C1512" i="32"/>
  <c r="E1511" i="32"/>
  <c r="C1511" i="32"/>
  <c r="E1506" i="32"/>
  <c r="C1506" i="32"/>
  <c r="E1505" i="32"/>
  <c r="C1505" i="32"/>
  <c r="C1504" i="32"/>
  <c r="E1502" i="32"/>
  <c r="C1502" i="32"/>
  <c r="E1501" i="32"/>
  <c r="C1501" i="32"/>
  <c r="C1499" i="32"/>
  <c r="E1499" i="32" s="1"/>
  <c r="C1498" i="32"/>
  <c r="C1497" i="32"/>
  <c r="E1495" i="32"/>
  <c r="C1495" i="32"/>
  <c r="E1494" i="32"/>
  <c r="C1494" i="32"/>
  <c r="E1493" i="32"/>
  <c r="C1493" i="32"/>
  <c r="E1492" i="32"/>
  <c r="C1492" i="32"/>
  <c r="E1491" i="32"/>
  <c r="C1491" i="32"/>
  <c r="E1486" i="32"/>
  <c r="C1486" i="32"/>
  <c r="E1485" i="32"/>
  <c r="C1485" i="32"/>
  <c r="C1484" i="32"/>
  <c r="E1482" i="32"/>
  <c r="C1482" i="32"/>
  <c r="E1481" i="32"/>
  <c r="C1481" i="32"/>
  <c r="C1479" i="32"/>
  <c r="E1479" i="32" s="1"/>
  <c r="C1478" i="32"/>
  <c r="C1477" i="32"/>
  <c r="E1466" i="32"/>
  <c r="C1466" i="32"/>
  <c r="E1465" i="32"/>
  <c r="C1465" i="32"/>
  <c r="C1464" i="32"/>
  <c r="E1462" i="32"/>
  <c r="C1462" i="32"/>
  <c r="E1461" i="32"/>
  <c r="C1461" i="32"/>
  <c r="C1459" i="32"/>
  <c r="E1459" i="32" s="1"/>
  <c r="C1458" i="32"/>
  <c r="C1457" i="32"/>
  <c r="E1446" i="32"/>
  <c r="C1446" i="32"/>
  <c r="E1445" i="32"/>
  <c r="C1445" i="32"/>
  <c r="C1444" i="32"/>
  <c r="E1442" i="32"/>
  <c r="C1442" i="32"/>
  <c r="E1441" i="32"/>
  <c r="C1441" i="32"/>
  <c r="C1439" i="32"/>
  <c r="E1439" i="32" s="1"/>
  <c r="C1438" i="32"/>
  <c r="C1437" i="32"/>
  <c r="E1437" i="32" s="1"/>
  <c r="E1426" i="32"/>
  <c r="C1426" i="32"/>
  <c r="E1425" i="32"/>
  <c r="C1425" i="32"/>
  <c r="C1424" i="32"/>
  <c r="E1422" i="32"/>
  <c r="C1422" i="32"/>
  <c r="E1421" i="32"/>
  <c r="C1421" i="32"/>
  <c r="C1419" i="32"/>
  <c r="E1419" i="32" s="1"/>
  <c r="C1418" i="32"/>
  <c r="C1417" i="32"/>
  <c r="E1417" i="32" s="1"/>
  <c r="E1406" i="32"/>
  <c r="C1406" i="32"/>
  <c r="E1405" i="32"/>
  <c r="C1405" i="32"/>
  <c r="C1404" i="32"/>
  <c r="E1402" i="32"/>
  <c r="C1402" i="32"/>
  <c r="E1401" i="32"/>
  <c r="C1401" i="32"/>
  <c r="C1399" i="32"/>
  <c r="E1399" i="32" s="1"/>
  <c r="C1398" i="32"/>
  <c r="C1397" i="32"/>
  <c r="E1397" i="32" s="1"/>
  <c r="E1386" i="32"/>
  <c r="C1386" i="32"/>
  <c r="E1385" i="32"/>
  <c r="C1385" i="32"/>
  <c r="C1384" i="32"/>
  <c r="E1382" i="32"/>
  <c r="C1382" i="32"/>
  <c r="E1381" i="32"/>
  <c r="C1381" i="32"/>
  <c r="C1379" i="32"/>
  <c r="E1379" i="32" s="1"/>
  <c r="C1378" i="32"/>
  <c r="C1377" i="32"/>
  <c r="E1377" i="32" s="1"/>
  <c r="E1366" i="32"/>
  <c r="C1366" i="32"/>
  <c r="E1365" i="32"/>
  <c r="C1365" i="32"/>
  <c r="C1364" i="32"/>
  <c r="E1362" i="32"/>
  <c r="C1362" i="32"/>
  <c r="E1361" i="32"/>
  <c r="C1361" i="32"/>
  <c r="C1359" i="32"/>
  <c r="E1359" i="32" s="1"/>
  <c r="C1358" i="32"/>
  <c r="C1357" i="32"/>
  <c r="E1346" i="32"/>
  <c r="C1346" i="32"/>
  <c r="E1345" i="32"/>
  <c r="C1345" i="32"/>
  <c r="C1344" i="32"/>
  <c r="E1342" i="32"/>
  <c r="C1342" i="32"/>
  <c r="E1341" i="32"/>
  <c r="C1341" i="32"/>
  <c r="C1339" i="32"/>
  <c r="E1339" i="32" s="1"/>
  <c r="C1338" i="32"/>
  <c r="E1338" i="32" s="1"/>
  <c r="C1337" i="32"/>
  <c r="E1326" i="32"/>
  <c r="C1326" i="32"/>
  <c r="E1325" i="32"/>
  <c r="C1325" i="32"/>
  <c r="C1324" i="32"/>
  <c r="E1322" i="32"/>
  <c r="C1322" i="32"/>
  <c r="E1321" i="32"/>
  <c r="C1321" i="32"/>
  <c r="C1319" i="32"/>
  <c r="E1319" i="32" s="1"/>
  <c r="C1318" i="32"/>
  <c r="E1318" i="32" s="1"/>
  <c r="C1317" i="32"/>
  <c r="E1306" i="32"/>
  <c r="C1306" i="32"/>
  <c r="E1305" i="32"/>
  <c r="C1305" i="32"/>
  <c r="C1304" i="32"/>
  <c r="E1302" i="32"/>
  <c r="C1302" i="32"/>
  <c r="E1301" i="32"/>
  <c r="C1301" i="32"/>
  <c r="C1299" i="32"/>
  <c r="E1299" i="32" s="1"/>
  <c r="C1298" i="32"/>
  <c r="E1298" i="32" s="1"/>
  <c r="C1297" i="32"/>
  <c r="E1286" i="32"/>
  <c r="C1286" i="32"/>
  <c r="E1285" i="32"/>
  <c r="C1285" i="32"/>
  <c r="C1284" i="32"/>
  <c r="E1282" i="32"/>
  <c r="C1282" i="32"/>
  <c r="E1281" i="32"/>
  <c r="C1281" i="32"/>
  <c r="C1279" i="32"/>
  <c r="E1279" i="32" s="1"/>
  <c r="C1278" i="32"/>
  <c r="E1278" i="32" s="1"/>
  <c r="C1277" i="32"/>
  <c r="E1266" i="32"/>
  <c r="C1266" i="32"/>
  <c r="E1265" i="32"/>
  <c r="C1265" i="32"/>
  <c r="C1264" i="32"/>
  <c r="E1262" i="32"/>
  <c r="C1262" i="32"/>
  <c r="E1261" i="32"/>
  <c r="C1261" i="32"/>
  <c r="C1259" i="32"/>
  <c r="E1259" i="32" s="1"/>
  <c r="C1258" i="32"/>
  <c r="E1258" i="32" s="1"/>
  <c r="C1257" i="32"/>
  <c r="E1246" i="32"/>
  <c r="C1246" i="32"/>
  <c r="E1245" i="32"/>
  <c r="C1245" i="32"/>
  <c r="C1244" i="32"/>
  <c r="E1242" i="32"/>
  <c r="C1242" i="32"/>
  <c r="E1241" i="32"/>
  <c r="C1241" i="32"/>
  <c r="C1239" i="32"/>
  <c r="E1239" i="32" s="1"/>
  <c r="C1238" i="32"/>
  <c r="E1238" i="32" s="1"/>
  <c r="C1237" i="32"/>
  <c r="E1226" i="32"/>
  <c r="C1226" i="32"/>
  <c r="E1225" i="32"/>
  <c r="C1225" i="32"/>
  <c r="C1224" i="32"/>
  <c r="E1222" i="32"/>
  <c r="C1222" i="32"/>
  <c r="E1221" i="32"/>
  <c r="C1221" i="32"/>
  <c r="C1219" i="32"/>
  <c r="E1219" i="32" s="1"/>
  <c r="C1218" i="32"/>
  <c r="E1218" i="32" s="1"/>
  <c r="C1217" i="32"/>
  <c r="E1206" i="32"/>
  <c r="C1206" i="32"/>
  <c r="E1205" i="32"/>
  <c r="C1205" i="32"/>
  <c r="C1204" i="32"/>
  <c r="E1202" i="32"/>
  <c r="C1202" i="32"/>
  <c r="E1201" i="32"/>
  <c r="C1201" i="32"/>
  <c r="C1199" i="32"/>
  <c r="E1199" i="32" s="1"/>
  <c r="C1198" i="32"/>
  <c r="E1198" i="32" s="1"/>
  <c r="C1197" i="32"/>
  <c r="E1186" i="32"/>
  <c r="C1186" i="32"/>
  <c r="E1185" i="32"/>
  <c r="C1185" i="32"/>
  <c r="C1184" i="32"/>
  <c r="E1182" i="32"/>
  <c r="C1182" i="32"/>
  <c r="E1181" i="32"/>
  <c r="C1181" i="32"/>
  <c r="C1179" i="32"/>
  <c r="E1179" i="32" s="1"/>
  <c r="C1178" i="32"/>
  <c r="E1178" i="32" s="1"/>
  <c r="C1177" i="32"/>
  <c r="E1166" i="32"/>
  <c r="C1166" i="32"/>
  <c r="E1165" i="32"/>
  <c r="C1165" i="32"/>
  <c r="C1164" i="32"/>
  <c r="E1162" i="32"/>
  <c r="C1162" i="32"/>
  <c r="E1161" i="32"/>
  <c r="C1161" i="32"/>
  <c r="C1159" i="32"/>
  <c r="E1159" i="32" s="1"/>
  <c r="C1158" i="32"/>
  <c r="E1158" i="32" s="1"/>
  <c r="C1157" i="32"/>
  <c r="E1146" i="32"/>
  <c r="C1146" i="32"/>
  <c r="E1145" i="32"/>
  <c r="C1145" i="32"/>
  <c r="C1144" i="32"/>
  <c r="E1142" i="32"/>
  <c r="C1142" i="32"/>
  <c r="E1141" i="32"/>
  <c r="C1141" i="32"/>
  <c r="C1139" i="32"/>
  <c r="E1139" i="32" s="1"/>
  <c r="C1138" i="32"/>
  <c r="C1137" i="32"/>
  <c r="E1126" i="32"/>
  <c r="C1126" i="32"/>
  <c r="E1125" i="32"/>
  <c r="C1125" i="32"/>
  <c r="C1124" i="32"/>
  <c r="E1122" i="32"/>
  <c r="C1122" i="32"/>
  <c r="E1121" i="32"/>
  <c r="C1121" i="32"/>
  <c r="C1119" i="32"/>
  <c r="E1119" i="32" s="1"/>
  <c r="C1118" i="32"/>
  <c r="C1117" i="32"/>
  <c r="E1106" i="32"/>
  <c r="C1106" i="32"/>
  <c r="E1105" i="32"/>
  <c r="C1105" i="32"/>
  <c r="C1104" i="32"/>
  <c r="E1102" i="32"/>
  <c r="C1102" i="32"/>
  <c r="E1101" i="32"/>
  <c r="C1101" i="32"/>
  <c r="C1099" i="32"/>
  <c r="E1099" i="32" s="1"/>
  <c r="C1098" i="32"/>
  <c r="E1098" i="32" s="1"/>
  <c r="C1097" i="32"/>
  <c r="E1086" i="32"/>
  <c r="C1086" i="32"/>
  <c r="E1085" i="32"/>
  <c r="C1085" i="32"/>
  <c r="C1084" i="32"/>
  <c r="E1082" i="32"/>
  <c r="C1082" i="32"/>
  <c r="E1081" i="32"/>
  <c r="C1081" i="32"/>
  <c r="C1079" i="32"/>
  <c r="E1079" i="32" s="1"/>
  <c r="C1078" i="32"/>
  <c r="E1078" i="32" s="1"/>
  <c r="C1077" i="32"/>
  <c r="E1066" i="32"/>
  <c r="C1066" i="32"/>
  <c r="E1065" i="32"/>
  <c r="C1065" i="32"/>
  <c r="C1064" i="32"/>
  <c r="E1062" i="32"/>
  <c r="C1062" i="32"/>
  <c r="E1061" i="32"/>
  <c r="C1061" i="32"/>
  <c r="C1059" i="32"/>
  <c r="E1059" i="32" s="1"/>
  <c r="C1058" i="32"/>
  <c r="E1058" i="32" s="1"/>
  <c r="C1057" i="32"/>
  <c r="E1046" i="32"/>
  <c r="C1046" i="32"/>
  <c r="E1045" i="32"/>
  <c r="C1045" i="32"/>
  <c r="C1044" i="32"/>
  <c r="E1042" i="32"/>
  <c r="C1042" i="32"/>
  <c r="E1041" i="32"/>
  <c r="C1041" i="32"/>
  <c r="C1039" i="32"/>
  <c r="E1039" i="32" s="1"/>
  <c r="C1038" i="32"/>
  <c r="E1038" i="32" s="1"/>
  <c r="C1037" i="32"/>
  <c r="E1026" i="32"/>
  <c r="C1026" i="32"/>
  <c r="E1025" i="32"/>
  <c r="C1025" i="32"/>
  <c r="C1024" i="32"/>
  <c r="E1022" i="32"/>
  <c r="C1022" i="32"/>
  <c r="E1021" i="32"/>
  <c r="C1021" i="32"/>
  <c r="C1019" i="32"/>
  <c r="E1019" i="32" s="1"/>
  <c r="C1018" i="32"/>
  <c r="E1018" i="32" s="1"/>
  <c r="C1017" i="32"/>
  <c r="E1006" i="32"/>
  <c r="C1006" i="32"/>
  <c r="E1005" i="32"/>
  <c r="C1005" i="32"/>
  <c r="C1004" i="32"/>
  <c r="E1002" i="32"/>
  <c r="C1002" i="32"/>
  <c r="E1001" i="32"/>
  <c r="C1001" i="32"/>
  <c r="C999" i="32"/>
  <c r="E999" i="32" s="1"/>
  <c r="C998" i="32"/>
  <c r="C997" i="32"/>
  <c r="E986" i="32"/>
  <c r="C986" i="32"/>
  <c r="E985" i="32"/>
  <c r="C985" i="32"/>
  <c r="C984" i="32"/>
  <c r="E982" i="32"/>
  <c r="C982" i="32"/>
  <c r="E981" i="32"/>
  <c r="C981" i="32"/>
  <c r="C979" i="32"/>
  <c r="E979" i="32" s="1"/>
  <c r="C978" i="32"/>
  <c r="C977" i="32"/>
  <c r="E966" i="32"/>
  <c r="C966" i="32"/>
  <c r="E965" i="32"/>
  <c r="C965" i="32"/>
  <c r="C964" i="32"/>
  <c r="E962" i="32"/>
  <c r="C962" i="32"/>
  <c r="E961" i="32"/>
  <c r="C961" i="32"/>
  <c r="C959" i="32"/>
  <c r="E959" i="32" s="1"/>
  <c r="C958" i="32"/>
  <c r="C957" i="32"/>
  <c r="E946" i="32"/>
  <c r="C946" i="32"/>
  <c r="E945" i="32"/>
  <c r="C945" i="32"/>
  <c r="C944" i="32"/>
  <c r="E942" i="32"/>
  <c r="C942" i="32"/>
  <c r="E941" i="32"/>
  <c r="C941" i="32"/>
  <c r="C939" i="32"/>
  <c r="E939" i="32" s="1"/>
  <c r="C938" i="32"/>
  <c r="C937" i="32"/>
  <c r="E926" i="32"/>
  <c r="C926" i="32"/>
  <c r="E925" i="32"/>
  <c r="C925" i="32"/>
  <c r="C924" i="32"/>
  <c r="E922" i="32"/>
  <c r="C922" i="32"/>
  <c r="E921" i="32"/>
  <c r="C921" i="32"/>
  <c r="C919" i="32"/>
  <c r="E919" i="32" s="1"/>
  <c r="C918" i="32"/>
  <c r="C917" i="32"/>
  <c r="E906" i="32"/>
  <c r="C906" i="32"/>
  <c r="E905" i="32"/>
  <c r="C905" i="32"/>
  <c r="C904" i="32"/>
  <c r="E902" i="32"/>
  <c r="C902" i="32"/>
  <c r="E901" i="32"/>
  <c r="C901" i="32"/>
  <c r="C899" i="32"/>
  <c r="E899" i="32" s="1"/>
  <c r="C898" i="32"/>
  <c r="C897" i="32"/>
  <c r="E886" i="32"/>
  <c r="C886" i="32"/>
  <c r="E885" i="32"/>
  <c r="C885" i="32"/>
  <c r="C884" i="32"/>
  <c r="E882" i="32"/>
  <c r="C882" i="32"/>
  <c r="E881" i="32"/>
  <c r="C881" i="32"/>
  <c r="C879" i="32"/>
  <c r="E879" i="32" s="1"/>
  <c r="C878" i="32"/>
  <c r="C877" i="32"/>
  <c r="E866" i="32"/>
  <c r="C866" i="32"/>
  <c r="E865" i="32"/>
  <c r="C865" i="32"/>
  <c r="C864" i="32"/>
  <c r="E862" i="32"/>
  <c r="C862" i="32"/>
  <c r="E861" i="32"/>
  <c r="C861" i="32"/>
  <c r="C859" i="32"/>
  <c r="E859" i="32" s="1"/>
  <c r="C858" i="32"/>
  <c r="C857" i="32"/>
  <c r="E846" i="32"/>
  <c r="C846" i="32"/>
  <c r="E845" i="32"/>
  <c r="C845" i="32"/>
  <c r="C844" i="32"/>
  <c r="E842" i="32"/>
  <c r="C842" i="32"/>
  <c r="E841" i="32"/>
  <c r="C841" i="32"/>
  <c r="C839" i="32"/>
  <c r="E839" i="32" s="1"/>
  <c r="C838" i="32"/>
  <c r="C837" i="32"/>
  <c r="E826" i="32"/>
  <c r="C826" i="32"/>
  <c r="E825" i="32"/>
  <c r="C825" i="32"/>
  <c r="C824" i="32"/>
  <c r="E822" i="32"/>
  <c r="C822" i="32"/>
  <c r="E821" i="32"/>
  <c r="C821" i="32"/>
  <c r="C819" i="32"/>
  <c r="E819" i="32" s="1"/>
  <c r="C818" i="32"/>
  <c r="E818" i="32" s="1"/>
  <c r="C817" i="32"/>
  <c r="E806" i="32"/>
  <c r="C806" i="32"/>
  <c r="E805" i="32"/>
  <c r="C805" i="32"/>
  <c r="C804" i="32"/>
  <c r="E802" i="32"/>
  <c r="C802" i="32"/>
  <c r="E801" i="32"/>
  <c r="C801" i="32"/>
  <c r="C799" i="32"/>
  <c r="E799" i="32" s="1"/>
  <c r="C798" i="32"/>
  <c r="E798" i="32" s="1"/>
  <c r="C797" i="32"/>
  <c r="E786" i="32"/>
  <c r="C786" i="32"/>
  <c r="E785" i="32"/>
  <c r="C785" i="32"/>
  <c r="C784" i="32"/>
  <c r="E782" i="32"/>
  <c r="C782" i="32"/>
  <c r="E781" i="32"/>
  <c r="C781" i="32"/>
  <c r="C779" i="32"/>
  <c r="E779" i="32" s="1"/>
  <c r="C778" i="32"/>
  <c r="E778" i="32" s="1"/>
  <c r="C777" i="32"/>
  <c r="E766" i="32"/>
  <c r="C766" i="32"/>
  <c r="E765" i="32"/>
  <c r="C765" i="32"/>
  <c r="C764" i="32"/>
  <c r="E762" i="32"/>
  <c r="C762" i="32"/>
  <c r="E761" i="32"/>
  <c r="C761" i="32"/>
  <c r="C759" i="32"/>
  <c r="E759" i="32" s="1"/>
  <c r="C758" i="32"/>
  <c r="E758" i="32" s="1"/>
  <c r="C757" i="32"/>
  <c r="E746" i="32"/>
  <c r="C746" i="32"/>
  <c r="E745" i="32"/>
  <c r="C745" i="32"/>
  <c r="C744" i="32"/>
  <c r="E742" i="32"/>
  <c r="C742" i="32"/>
  <c r="E741" i="32"/>
  <c r="C741" i="32"/>
  <c r="C739" i="32"/>
  <c r="E739" i="32" s="1"/>
  <c r="C738" i="32"/>
  <c r="E738" i="32" s="1"/>
  <c r="C737" i="32"/>
  <c r="E726" i="32"/>
  <c r="C726" i="32"/>
  <c r="E725" i="32"/>
  <c r="C725" i="32"/>
  <c r="C724" i="32"/>
  <c r="E722" i="32"/>
  <c r="C722" i="32"/>
  <c r="E721" i="32"/>
  <c r="C721" i="32"/>
  <c r="C719" i="32"/>
  <c r="E719" i="32" s="1"/>
  <c r="C718" i="32"/>
  <c r="E718" i="32" s="1"/>
  <c r="C717" i="32"/>
  <c r="E706" i="32"/>
  <c r="C706" i="32"/>
  <c r="E705" i="32"/>
  <c r="C705" i="32"/>
  <c r="C704" i="32"/>
  <c r="E702" i="32"/>
  <c r="C702" i="32"/>
  <c r="E701" i="32"/>
  <c r="C701" i="32"/>
  <c r="C699" i="32"/>
  <c r="E699" i="32" s="1"/>
  <c r="C698" i="32"/>
  <c r="E698" i="32" s="1"/>
  <c r="C697" i="32"/>
  <c r="E686" i="32"/>
  <c r="C686" i="32"/>
  <c r="E685" i="32"/>
  <c r="C685" i="32"/>
  <c r="C684" i="32"/>
  <c r="E682" i="32"/>
  <c r="C682" i="32"/>
  <c r="E681" i="32"/>
  <c r="C681" i="32"/>
  <c r="C679" i="32"/>
  <c r="E679" i="32" s="1"/>
  <c r="C678" i="32"/>
  <c r="C677" i="32"/>
  <c r="E666" i="32"/>
  <c r="C666" i="32"/>
  <c r="E665" i="32"/>
  <c r="C665" i="32"/>
  <c r="C664" i="32"/>
  <c r="E662" i="32"/>
  <c r="C662" i="32"/>
  <c r="E661" i="32"/>
  <c r="C661" i="32"/>
  <c r="C659" i="32"/>
  <c r="E659" i="32" s="1"/>
  <c r="C658" i="32"/>
  <c r="C657" i="32"/>
  <c r="E646" i="32"/>
  <c r="C646" i="32"/>
  <c r="E645" i="32"/>
  <c r="C645" i="32"/>
  <c r="C644" i="32"/>
  <c r="E642" i="32"/>
  <c r="C642" i="32"/>
  <c r="E641" i="32"/>
  <c r="C641" i="32"/>
  <c r="C639" i="32"/>
  <c r="E639" i="32" s="1"/>
  <c r="C638" i="32"/>
  <c r="C637" i="32"/>
  <c r="E626" i="32"/>
  <c r="C626" i="32"/>
  <c r="E625" i="32"/>
  <c r="C625" i="32"/>
  <c r="C624" i="32"/>
  <c r="E622" i="32"/>
  <c r="C622" i="32"/>
  <c r="E621" i="32"/>
  <c r="C621" i="32"/>
  <c r="C619" i="32"/>
  <c r="E619" i="32" s="1"/>
  <c r="C618" i="32"/>
  <c r="C617" i="32"/>
  <c r="E606" i="32"/>
  <c r="C606" i="32"/>
  <c r="E605" i="32"/>
  <c r="C605" i="32"/>
  <c r="C604" i="32"/>
  <c r="E602" i="32"/>
  <c r="C602" i="32"/>
  <c r="E601" i="32"/>
  <c r="C601" i="32"/>
  <c r="C599" i="32"/>
  <c r="E599" i="32" s="1"/>
  <c r="C598" i="32"/>
  <c r="C597" i="32"/>
  <c r="E586" i="32"/>
  <c r="C586" i="32"/>
  <c r="E585" i="32"/>
  <c r="C585" i="32"/>
  <c r="C584" i="32"/>
  <c r="E582" i="32"/>
  <c r="C582" i="32"/>
  <c r="E581" i="32"/>
  <c r="C581" i="32"/>
  <c r="C579" i="32"/>
  <c r="E579" i="32" s="1"/>
  <c r="C578" i="32"/>
  <c r="C577" i="32"/>
  <c r="E566" i="32"/>
  <c r="C566" i="32"/>
  <c r="E565" i="32"/>
  <c r="C565" i="32"/>
  <c r="C564" i="32"/>
  <c r="E562" i="32"/>
  <c r="C562" i="32"/>
  <c r="E561" i="32"/>
  <c r="C561" i="32"/>
  <c r="C559" i="32"/>
  <c r="E559" i="32" s="1"/>
  <c r="C558" i="32"/>
  <c r="C557" i="32"/>
  <c r="E546" i="32"/>
  <c r="C546" i="32"/>
  <c r="E545" i="32"/>
  <c r="C545" i="32"/>
  <c r="C544" i="32"/>
  <c r="E542" i="32"/>
  <c r="C542" i="32"/>
  <c r="E541" i="32"/>
  <c r="C541" i="32"/>
  <c r="C539" i="32"/>
  <c r="E539" i="32" s="1"/>
  <c r="C538" i="32"/>
  <c r="E538" i="32" s="1"/>
  <c r="C537" i="32"/>
  <c r="E526" i="32"/>
  <c r="C526" i="32"/>
  <c r="E525" i="32"/>
  <c r="C525" i="32"/>
  <c r="C524" i="32"/>
  <c r="E522" i="32"/>
  <c r="C522" i="32"/>
  <c r="E521" i="32"/>
  <c r="C521" i="32"/>
  <c r="C519" i="32"/>
  <c r="E519" i="32" s="1"/>
  <c r="C518" i="32"/>
  <c r="E518" i="32" s="1"/>
  <c r="C517" i="32"/>
  <c r="E506" i="32"/>
  <c r="C506" i="32"/>
  <c r="E505" i="32"/>
  <c r="C505" i="32"/>
  <c r="C504" i="32"/>
  <c r="E502" i="32"/>
  <c r="C502" i="32"/>
  <c r="E501" i="32"/>
  <c r="C501" i="32"/>
  <c r="C499" i="32"/>
  <c r="E499" i="32" s="1"/>
  <c r="C498" i="32"/>
  <c r="E498" i="32" s="1"/>
  <c r="C497" i="32"/>
  <c r="E486" i="32"/>
  <c r="C486" i="32"/>
  <c r="E485" i="32"/>
  <c r="C485" i="32"/>
  <c r="C484" i="32"/>
  <c r="E482" i="32"/>
  <c r="C482" i="32"/>
  <c r="E481" i="32"/>
  <c r="C481" i="32"/>
  <c r="C479" i="32"/>
  <c r="E479" i="32" s="1"/>
  <c r="C478" i="32"/>
  <c r="E478" i="32" s="1"/>
  <c r="C477" i="32"/>
  <c r="E466" i="32"/>
  <c r="C466" i="32"/>
  <c r="E465" i="32"/>
  <c r="C465" i="32"/>
  <c r="C464" i="32"/>
  <c r="E462" i="32"/>
  <c r="C462" i="32"/>
  <c r="E461" i="32"/>
  <c r="C461" i="32"/>
  <c r="C459" i="32"/>
  <c r="E459" i="32" s="1"/>
  <c r="C458" i="32"/>
  <c r="E458" i="32" s="1"/>
  <c r="C457" i="32"/>
  <c r="E446" i="32"/>
  <c r="C446" i="32"/>
  <c r="E445" i="32"/>
  <c r="C445" i="32"/>
  <c r="C444" i="32"/>
  <c r="E442" i="32"/>
  <c r="C442" i="32"/>
  <c r="E441" i="32"/>
  <c r="C441" i="32"/>
  <c r="C439" i="32"/>
  <c r="E439" i="32" s="1"/>
  <c r="C438" i="32"/>
  <c r="E438" i="32" s="1"/>
  <c r="C437" i="32"/>
  <c r="E426" i="32"/>
  <c r="C426" i="32"/>
  <c r="E425" i="32"/>
  <c r="C425" i="32"/>
  <c r="C424" i="32"/>
  <c r="E422" i="32"/>
  <c r="C422" i="32"/>
  <c r="E421" i="32"/>
  <c r="C421" i="32"/>
  <c r="C419" i="32"/>
  <c r="E419" i="32" s="1"/>
  <c r="C418" i="32"/>
  <c r="E418" i="32" s="1"/>
  <c r="C417" i="32"/>
  <c r="E406" i="32"/>
  <c r="C406" i="32"/>
  <c r="E405" i="32"/>
  <c r="C405" i="32"/>
  <c r="C404" i="32"/>
  <c r="E402" i="32"/>
  <c r="C402" i="32"/>
  <c r="E401" i="32"/>
  <c r="C401" i="32"/>
  <c r="C399" i="32"/>
  <c r="E399" i="32" s="1"/>
  <c r="C398" i="32"/>
  <c r="E398" i="32" s="1"/>
  <c r="C397" i="32"/>
  <c r="E386" i="32"/>
  <c r="C386" i="32"/>
  <c r="E385" i="32"/>
  <c r="C385" i="32"/>
  <c r="C384" i="32"/>
  <c r="E382" i="32"/>
  <c r="C382" i="32"/>
  <c r="E381" i="32"/>
  <c r="C381" i="32"/>
  <c r="C379" i="32"/>
  <c r="E379" i="32" s="1"/>
  <c r="C378" i="32"/>
  <c r="C377" i="32"/>
  <c r="E122" i="32"/>
  <c r="C122" i="32"/>
  <c r="E121" i="32"/>
  <c r="C121" i="32"/>
  <c r="C120" i="32"/>
  <c r="E118" i="32"/>
  <c r="C118" i="32"/>
  <c r="E117" i="32"/>
  <c r="C117" i="32"/>
  <c r="C115" i="32"/>
  <c r="C114" i="32"/>
  <c r="C113" i="32"/>
  <c r="E111" i="32"/>
  <c r="C111" i="32"/>
  <c r="E110" i="32"/>
  <c r="C110" i="32"/>
  <c r="E109" i="32"/>
  <c r="C109" i="32"/>
  <c r="E108" i="32"/>
  <c r="C108" i="32"/>
  <c r="E107" i="32"/>
  <c r="C107" i="32"/>
  <c r="E102" i="32"/>
  <c r="C102" i="32"/>
  <c r="E101" i="32"/>
  <c r="C101" i="32"/>
  <c r="C100" i="32"/>
  <c r="E98" i="32"/>
  <c r="C98" i="32"/>
  <c r="E97" i="32"/>
  <c r="C97" i="32"/>
  <c r="C95" i="32"/>
  <c r="C94" i="32"/>
  <c r="C93" i="32"/>
  <c r="E91" i="32"/>
  <c r="C91" i="32"/>
  <c r="E90" i="32"/>
  <c r="C90" i="32"/>
  <c r="E89" i="32"/>
  <c r="C89" i="32"/>
  <c r="E88" i="32"/>
  <c r="C88" i="32"/>
  <c r="E87" i="32"/>
  <c r="C87" i="32"/>
  <c r="E82" i="32"/>
  <c r="C82" i="32"/>
  <c r="E81" i="32"/>
  <c r="C81" i="32"/>
  <c r="C80" i="32"/>
  <c r="E78" i="32"/>
  <c r="C78" i="32"/>
  <c r="E77" i="32"/>
  <c r="C77" i="32"/>
  <c r="C75" i="32"/>
  <c r="C74" i="32"/>
  <c r="C73" i="32"/>
  <c r="E62" i="32"/>
  <c r="C62" i="32"/>
  <c r="E61" i="32"/>
  <c r="C61" i="32"/>
  <c r="C60" i="32"/>
  <c r="E58" i="32"/>
  <c r="C58" i="32"/>
  <c r="E57" i="32"/>
  <c r="C57" i="32"/>
  <c r="C55" i="32"/>
  <c r="C54" i="32"/>
  <c r="C53" i="32"/>
  <c r="E51" i="32"/>
  <c r="C51" i="32"/>
  <c r="E50" i="32"/>
  <c r="C50" i="32"/>
  <c r="E49" i="32"/>
  <c r="C49" i="32"/>
  <c r="E48" i="32"/>
  <c r="C48" i="32"/>
  <c r="E47" i="32"/>
  <c r="C47" i="32"/>
  <c r="E42" i="32"/>
  <c r="C42" i="32"/>
  <c r="E41" i="32"/>
  <c r="C41" i="32"/>
  <c r="C40" i="32"/>
  <c r="E38" i="32"/>
  <c r="C38" i="32"/>
  <c r="E37" i="32"/>
  <c r="C37" i="32"/>
  <c r="C35" i="32"/>
  <c r="C34" i="32"/>
  <c r="C33" i="32"/>
  <c r="E267" i="15"/>
  <c r="C267" i="15" a="1"/>
  <c r="C267" i="15" s="1"/>
  <c r="E266" i="15"/>
  <c r="C266" i="15" a="1"/>
  <c r="C266" i="15" s="1"/>
  <c r="C265" i="15"/>
  <c r="E263" i="15"/>
  <c r="C263" i="15"/>
  <c r="E262" i="15"/>
  <c r="C262" i="15"/>
  <c r="C260" i="15"/>
  <c r="C259" i="15"/>
  <c r="C258" i="15"/>
  <c r="E256" i="15"/>
  <c r="C256" i="15"/>
  <c r="E255" i="15"/>
  <c r="C255" i="15"/>
  <c r="E254" i="15"/>
  <c r="C254" i="15"/>
  <c r="E253" i="15"/>
  <c r="C253" i="15"/>
  <c r="E252" i="15"/>
  <c r="C252" i="15"/>
  <c r="E247" i="15"/>
  <c r="C247" i="15" a="1"/>
  <c r="C247" i="15" s="1"/>
  <c r="E246" i="15"/>
  <c r="C246" i="15" a="1"/>
  <c r="C246" i="15" s="1"/>
  <c r="C245" i="15"/>
  <c r="E243" i="15"/>
  <c r="C243" i="15"/>
  <c r="E242" i="15"/>
  <c r="C242" i="15"/>
  <c r="C240" i="15"/>
  <c r="C239" i="15"/>
  <c r="C238" i="15"/>
  <c r="E236" i="15"/>
  <c r="C236" i="15"/>
  <c r="E235" i="15"/>
  <c r="C235" i="15"/>
  <c r="E234" i="15"/>
  <c r="C234" i="15"/>
  <c r="E233" i="15"/>
  <c r="C233" i="15"/>
  <c r="E232" i="15"/>
  <c r="C232" i="15"/>
  <c r="E227" i="15"/>
  <c r="C227" i="15" a="1"/>
  <c r="C227" i="15" s="1"/>
  <c r="E226" i="15"/>
  <c r="C226" i="15" a="1"/>
  <c r="C226" i="15" s="1"/>
  <c r="C225" i="15"/>
  <c r="E223" i="15"/>
  <c r="C223" i="15"/>
  <c r="E222" i="15"/>
  <c r="C222" i="15"/>
  <c r="C220" i="15"/>
  <c r="C219" i="15"/>
  <c r="C218" i="15"/>
  <c r="E216" i="15"/>
  <c r="C216" i="15"/>
  <c r="E215" i="15"/>
  <c r="C215" i="15"/>
  <c r="E214" i="15"/>
  <c r="C214" i="15"/>
  <c r="E213" i="15"/>
  <c r="C213" i="15"/>
  <c r="E212" i="15"/>
  <c r="C212" i="15"/>
  <c r="E207" i="15"/>
  <c r="C207" i="15" a="1"/>
  <c r="C207" i="15" s="1"/>
  <c r="E206" i="15"/>
  <c r="C206" i="15" a="1"/>
  <c r="C206" i="15" s="1"/>
  <c r="C205" i="15"/>
  <c r="E203" i="15"/>
  <c r="C203" i="15"/>
  <c r="E202" i="15"/>
  <c r="C202" i="15"/>
  <c r="C200" i="15"/>
  <c r="C199" i="15"/>
  <c r="C198" i="15"/>
  <c r="E196" i="15"/>
  <c r="C196" i="15"/>
  <c r="E195" i="15"/>
  <c r="C195" i="15"/>
  <c r="E194" i="15"/>
  <c r="C194" i="15"/>
  <c r="E193" i="15"/>
  <c r="C193" i="15"/>
  <c r="E192" i="15"/>
  <c r="C192" i="15"/>
  <c r="E187" i="15"/>
  <c r="C187" i="15" a="1"/>
  <c r="C187" i="15" s="1"/>
  <c r="E186" i="15"/>
  <c r="C186" i="15" a="1"/>
  <c r="C186" i="15" s="1"/>
  <c r="C185" i="15"/>
  <c r="E183" i="15"/>
  <c r="C183" i="15"/>
  <c r="E182" i="15"/>
  <c r="C182" i="15"/>
  <c r="C180" i="15"/>
  <c r="C179" i="15"/>
  <c r="C178" i="15"/>
  <c r="E176" i="15"/>
  <c r="C176" i="15"/>
  <c r="E175" i="15"/>
  <c r="C175" i="15"/>
  <c r="E174" i="15"/>
  <c r="C174" i="15"/>
  <c r="E173" i="15"/>
  <c r="C173" i="15"/>
  <c r="E172" i="15"/>
  <c r="C172" i="15"/>
  <c r="E167" i="15"/>
  <c r="C167" i="15" a="1"/>
  <c r="C167" i="15" s="1"/>
  <c r="E166" i="15"/>
  <c r="C166" i="15" a="1"/>
  <c r="C166" i="15" s="1"/>
  <c r="C165" i="15"/>
  <c r="E163" i="15"/>
  <c r="C163" i="15"/>
  <c r="E162" i="15"/>
  <c r="C162" i="15"/>
  <c r="C160" i="15"/>
  <c r="C159" i="15"/>
  <c r="C158" i="15"/>
  <c r="E156" i="15"/>
  <c r="C156" i="15"/>
  <c r="E155" i="15"/>
  <c r="C155" i="15"/>
  <c r="E154" i="15"/>
  <c r="C154" i="15"/>
  <c r="E153" i="15"/>
  <c r="C153" i="15"/>
  <c r="E152" i="15"/>
  <c r="C152" i="15"/>
  <c r="E147" i="15"/>
  <c r="C147" i="15" a="1"/>
  <c r="C147" i="15" s="1"/>
  <c r="E146" i="15"/>
  <c r="C146" i="15" a="1"/>
  <c r="C146" i="15" s="1"/>
  <c r="C145" i="15"/>
  <c r="E143" i="15"/>
  <c r="C143" i="15"/>
  <c r="E142" i="15"/>
  <c r="C142" i="15"/>
  <c r="C140" i="15"/>
  <c r="C139" i="15"/>
  <c r="C138" i="15"/>
  <c r="E136" i="15"/>
  <c r="C136" i="15"/>
  <c r="E135" i="15"/>
  <c r="C135" i="15"/>
  <c r="E134" i="15"/>
  <c r="C134" i="15"/>
  <c r="E133" i="15"/>
  <c r="C133" i="15"/>
  <c r="E132" i="15"/>
  <c r="C132" i="15"/>
  <c r="E127" i="15"/>
  <c r="C127" i="15" a="1"/>
  <c r="C127" i="15" s="1"/>
  <c r="E126" i="15"/>
  <c r="C126" i="15" a="1"/>
  <c r="C126" i="15" s="1"/>
  <c r="C125" i="15"/>
  <c r="E123" i="15"/>
  <c r="C123" i="15"/>
  <c r="E122" i="15"/>
  <c r="C122" i="15"/>
  <c r="C120" i="15"/>
  <c r="C119" i="15"/>
  <c r="C118" i="15"/>
  <c r="E116" i="15"/>
  <c r="C116" i="15"/>
  <c r="E115" i="15"/>
  <c r="C115" i="15"/>
  <c r="E114" i="15"/>
  <c r="C114" i="15"/>
  <c r="E113" i="15"/>
  <c r="C113" i="15"/>
  <c r="E112" i="15"/>
  <c r="C112" i="15"/>
  <c r="E107" i="15"/>
  <c r="C107" i="15" a="1"/>
  <c r="C107" i="15" s="1"/>
  <c r="E106" i="15"/>
  <c r="C106" i="15" a="1"/>
  <c r="C106" i="15" s="1"/>
  <c r="C105" i="15"/>
  <c r="E103" i="15"/>
  <c r="C103" i="15"/>
  <c r="E102" i="15"/>
  <c r="C102" i="15"/>
  <c r="C100" i="15"/>
  <c r="C99" i="15"/>
  <c r="C98" i="15"/>
  <c r="E96" i="15"/>
  <c r="C96" i="15"/>
  <c r="E95" i="15"/>
  <c r="C95" i="15"/>
  <c r="E94" i="15"/>
  <c r="C94" i="15"/>
  <c r="E93" i="15"/>
  <c r="C93" i="15"/>
  <c r="E92" i="15"/>
  <c r="C92" i="15"/>
  <c r="E87" i="15"/>
  <c r="C87" i="15" a="1"/>
  <c r="C87" i="15" s="1"/>
  <c r="E86" i="15"/>
  <c r="C86" i="15" a="1"/>
  <c r="C86" i="15" s="1"/>
  <c r="C85" i="15"/>
  <c r="E83" i="15"/>
  <c r="C83" i="15"/>
  <c r="E82" i="15"/>
  <c r="C82" i="15"/>
  <c r="C80" i="15"/>
  <c r="C79" i="15"/>
  <c r="C78" i="15"/>
  <c r="E76" i="15"/>
  <c r="C76" i="15"/>
  <c r="E75" i="15"/>
  <c r="C75" i="15"/>
  <c r="E74" i="15"/>
  <c r="C74" i="15"/>
  <c r="E73" i="15"/>
  <c r="C73" i="15"/>
  <c r="E72" i="15"/>
  <c r="C72" i="15"/>
  <c r="H1824" i="11" l="1"/>
  <c r="H1822" i="11"/>
  <c r="H1823" i="11"/>
  <c r="G2401" i="8"/>
  <c r="H1050" i="33"/>
  <c r="H1057" i="33"/>
  <c r="H78" i="36"/>
  <c r="H71" i="36"/>
  <c r="H68" i="36"/>
  <c r="H74" i="36"/>
  <c r="H75" i="36"/>
  <c r="H69" i="36"/>
  <c r="H81" i="36"/>
  <c r="H70" i="36"/>
  <c r="H82" i="36"/>
  <c r="H67" i="36"/>
  <c r="G66" i="36"/>
  <c r="H73" i="36"/>
  <c r="G72" i="36"/>
  <c r="H72" i="36" s="1"/>
  <c r="H80" i="36"/>
  <c r="G79" i="36"/>
  <c r="H79" i="36" s="1"/>
  <c r="G76" i="36"/>
  <c r="H76" i="36" s="1"/>
  <c r="H77" i="36"/>
  <c r="H1801" i="16"/>
  <c r="H1983" i="26"/>
  <c r="H965" i="16"/>
  <c r="H2343" i="16"/>
  <c r="H1085" i="21"/>
  <c r="H916" i="21"/>
  <c r="H330" i="33"/>
  <c r="H2606" i="13"/>
  <c r="H721" i="33"/>
  <c r="H1250" i="33"/>
  <c r="H251" i="33"/>
  <c r="H350" i="33"/>
  <c r="H1170" i="33"/>
  <c r="H1034" i="33"/>
  <c r="H2922" i="26"/>
  <c r="H2465" i="26"/>
  <c r="H1190" i="33"/>
  <c r="H1952" i="30"/>
  <c r="H2421" i="26"/>
  <c r="H1202" i="33"/>
  <c r="H1194" i="33"/>
  <c r="H231" i="33"/>
  <c r="H310" i="33"/>
  <c r="H2597" i="26"/>
  <c r="H1182" i="33"/>
  <c r="H1169" i="33"/>
  <c r="H1643" i="26"/>
  <c r="H2942" i="26"/>
  <c r="H865" i="16"/>
  <c r="H2216" i="26"/>
  <c r="H2681" i="26"/>
  <c r="H891" i="33"/>
  <c r="H2366" i="13"/>
  <c r="H2487" i="26"/>
  <c r="H1690" i="30"/>
  <c r="H790" i="33"/>
  <c r="H2610" i="26"/>
  <c r="H2434" i="26"/>
  <c r="H758" i="33"/>
  <c r="H390" i="33"/>
  <c r="H895" i="33"/>
  <c r="H2471" i="26"/>
  <c r="H2575" i="26"/>
  <c r="H1715" i="26"/>
  <c r="H2522" i="26"/>
  <c r="H1262" i="33"/>
  <c r="H1249" i="33"/>
  <c r="H1173" i="33"/>
  <c r="H2573" i="13"/>
  <c r="H270" i="33"/>
  <c r="H2509" i="26"/>
  <c r="H430" i="33"/>
  <c r="H925" i="16"/>
  <c r="H1230" i="33"/>
  <c r="H1090" i="33"/>
  <c r="H2566" i="13"/>
  <c r="H1140" i="16"/>
  <c r="H630" i="33"/>
  <c r="H1906" i="13"/>
  <c r="H1329" i="24"/>
  <c r="H830" i="33"/>
  <c r="H1413" i="16"/>
  <c r="H602" i="33"/>
  <c r="H242" i="33"/>
  <c r="H1870" i="30"/>
  <c r="H1210" i="33"/>
  <c r="H829" i="33"/>
  <c r="H262" i="33"/>
  <c r="H1178" i="33"/>
  <c r="H2021" i="16"/>
  <c r="H1911" i="13"/>
  <c r="H2493" i="26"/>
  <c r="H890" i="33"/>
  <c r="H835" i="33"/>
  <c r="H1253" i="33"/>
  <c r="H1094" i="33"/>
  <c r="H1401" i="16"/>
  <c r="H1069" i="16"/>
  <c r="H310" i="16"/>
  <c r="H1730" i="30"/>
  <c r="H2613" i="13"/>
  <c r="H2929" i="26"/>
  <c r="H889" i="33"/>
  <c r="H1258" i="33"/>
  <c r="H1061" i="33"/>
  <c r="H2217" i="13"/>
  <c r="H2194" i="26"/>
  <c r="H1161" i="11"/>
  <c r="H42" i="24"/>
  <c r="H581" i="33"/>
  <c r="H2092" i="11"/>
  <c r="H969" i="21"/>
  <c r="H281" i="24"/>
  <c r="H1444" i="8"/>
  <c r="H2678" i="13"/>
  <c r="H2417" i="13"/>
  <c r="H502" i="24"/>
  <c r="H1857" i="13"/>
  <c r="H1912" i="16"/>
  <c r="H562" i="24"/>
  <c r="H1341" i="11"/>
  <c r="H2280" i="26"/>
  <c r="H2810" i="8"/>
  <c r="H2329" i="8"/>
  <c r="H1463" i="8"/>
  <c r="H2610" i="8"/>
  <c r="H2249" i="8"/>
  <c r="H2189" i="8"/>
  <c r="H2794" i="11"/>
  <c r="H1263" i="8"/>
  <c r="H2511" i="8"/>
  <c r="H2133" i="11"/>
  <c r="H1684" i="8"/>
  <c r="H1063" i="8"/>
  <c r="H2630" i="8"/>
  <c r="H2109" i="8"/>
  <c r="H2652" i="11"/>
  <c r="H2284" i="11"/>
  <c r="H2179" i="11"/>
  <c r="H1831" i="11"/>
  <c r="H642" i="11"/>
  <c r="H2710" i="8"/>
  <c r="H2552" i="11"/>
  <c r="H1143" i="8"/>
  <c r="H1044" i="8"/>
  <c r="H2752" i="11"/>
  <c r="H2052" i="11"/>
  <c r="H882" i="11"/>
  <c r="H1785" i="11"/>
  <c r="H1566" i="11"/>
  <c r="H2297" i="13"/>
  <c r="H2078" i="13"/>
  <c r="H1923" i="11"/>
  <c r="H981" i="11"/>
  <c r="H821" i="11"/>
  <c r="H2718" i="13"/>
  <c r="H2657" i="13"/>
  <c r="H2457" i="13"/>
  <c r="H2032" i="11"/>
  <c r="H1481" i="11"/>
  <c r="H901" i="11"/>
  <c r="H1121" i="11"/>
  <c r="H1081" i="11"/>
  <c r="H601" i="11"/>
  <c r="H2537" i="13"/>
  <c r="H1997" i="13"/>
  <c r="H2617" i="13"/>
  <c r="H2497" i="13"/>
  <c r="H2138" i="13"/>
  <c r="H2475" i="16"/>
  <c r="H1952" i="16"/>
  <c r="H1538" i="13"/>
  <c r="H1657" i="13"/>
  <c r="H1497" i="13"/>
  <c r="H1057" i="13"/>
  <c r="H2556" i="16"/>
  <c r="H2054" i="16"/>
  <c r="G1094" i="24"/>
  <c r="H1933" i="16"/>
  <c r="H1837" i="13"/>
  <c r="H241" i="24"/>
  <c r="H2615" i="16"/>
  <c r="H1923" i="30"/>
  <c r="H929" i="21"/>
  <c r="H422" i="24"/>
  <c r="H2154" i="26"/>
  <c r="H1730" i="24"/>
  <c r="H583" i="24"/>
  <c r="H917" i="24"/>
  <c r="H1097" i="24"/>
  <c r="H1702" i="30"/>
  <c r="H522" i="33"/>
  <c r="H1761" i="30"/>
  <c r="H182" i="24"/>
  <c r="H723" i="24"/>
  <c r="H1077" i="24"/>
  <c r="H2184" i="30"/>
  <c r="H1943" i="30"/>
  <c r="H462" i="24"/>
  <c r="H523" i="24"/>
  <c r="H2175" i="26"/>
  <c r="H2873" i="26"/>
  <c r="H2302" i="26"/>
  <c r="H1955" i="26"/>
  <c r="H342" i="24"/>
  <c r="H1841" i="30"/>
  <c r="H1681" i="30"/>
  <c r="G2349" i="16"/>
  <c r="H2349" i="16" s="1"/>
  <c r="G971" i="24"/>
  <c r="G2512" i="13"/>
  <c r="G1683" i="24"/>
  <c r="G2665" i="8"/>
  <c r="H1499" i="8"/>
  <c r="G336" i="11"/>
  <c r="G2072" i="13"/>
  <c r="H2072" i="13" s="1"/>
  <c r="G2464" i="8"/>
  <c r="H2464" i="8" s="1"/>
  <c r="G1918" i="8"/>
  <c r="H1585" i="24"/>
  <c r="H1497" i="24"/>
  <c r="G2484" i="8"/>
  <c r="H2351" i="16"/>
  <c r="G1166" i="16"/>
  <c r="H1166" i="16" s="1"/>
  <c r="G1136" i="11"/>
  <c r="H1136" i="11" s="1"/>
  <c r="G556" i="11"/>
  <c r="H556" i="11" s="1"/>
  <c r="G2029" i="26"/>
  <c r="G2043" i="8"/>
  <c r="G1836" i="30"/>
  <c r="H1836" i="30" s="1"/>
  <c r="G2332" i="13"/>
  <c r="G1543" i="24"/>
  <c r="H1543" i="24" s="1"/>
  <c r="G757" i="24"/>
  <c r="H757" i="24" s="1"/>
  <c r="G836" i="33"/>
  <c r="H836" i="33" s="1"/>
  <c r="G996" i="11"/>
  <c r="H996" i="11" s="1"/>
  <c r="G1156" i="33"/>
  <c r="H1156" i="33" s="1"/>
  <c r="H2687" i="11"/>
  <c r="G1367" i="16"/>
  <c r="H1367" i="16" s="1"/>
  <c r="G1497" i="11"/>
  <c r="H1398" i="11"/>
  <c r="H973" i="24"/>
  <c r="G2249" i="16"/>
  <c r="H2249" i="16" s="1"/>
  <c r="G676" i="11"/>
  <c r="H676" i="11" s="1"/>
  <c r="G2089" i="16"/>
  <c r="H2089" i="16" s="1"/>
  <c r="G2645" i="8"/>
  <c r="G696" i="11"/>
  <c r="H696" i="11" s="1"/>
  <c r="H1333" i="13"/>
  <c r="H847" i="24"/>
  <c r="G2572" i="13"/>
  <c r="H2572" i="13" s="1"/>
  <c r="H2033" i="13"/>
  <c r="G1952" i="13"/>
  <c r="H1952" i="13" s="1"/>
  <c r="H1913" i="13"/>
  <c r="G1532" i="13"/>
  <c r="G1730" i="26"/>
  <c r="H1730" i="26" s="1"/>
  <c r="H1759" i="8"/>
  <c r="H1094" i="13"/>
  <c r="H2071" i="16"/>
  <c r="H952" i="24"/>
  <c r="H2343" i="26"/>
  <c r="G2099" i="30"/>
  <c r="H2099" i="30" s="1"/>
  <c r="G1892" i="13"/>
  <c r="H1734" i="13"/>
  <c r="G2385" i="26"/>
  <c r="H1037" i="11"/>
  <c r="G2586" i="11"/>
  <c r="H2586" i="11" s="1"/>
  <c r="G2369" i="16"/>
  <c r="H2369" i="16" s="1"/>
  <c r="G816" i="33"/>
  <c r="H816" i="33" s="1"/>
  <c r="G2107" i="11"/>
  <c r="G856" i="11"/>
  <c r="H2109" i="11"/>
  <c r="G2705" i="8"/>
  <c r="H58" i="24"/>
  <c r="H97" i="24"/>
  <c r="G1052" i="13"/>
  <c r="H1052" i="13" s="1"/>
  <c r="G2605" i="8"/>
  <c r="H2605" i="8" s="1"/>
  <c r="H2425" i="8"/>
  <c r="G2712" i="13"/>
  <c r="G2672" i="13"/>
  <c r="H2672" i="13" s="1"/>
  <c r="G2412" i="13"/>
  <c r="H1594" i="13"/>
  <c r="G1432" i="13"/>
  <c r="H1432" i="13" s="1"/>
  <c r="G2590" i="16"/>
  <c r="H2590" i="16" s="1"/>
  <c r="G1840" i="21"/>
  <c r="H1840" i="21" s="1"/>
  <c r="G1500" i="21"/>
  <c r="G964" i="21"/>
  <c r="G2765" i="8"/>
  <c r="H2765" i="8" s="1"/>
  <c r="G2149" i="16"/>
  <c r="G2049" i="26"/>
  <c r="H2049" i="26" s="1"/>
  <c r="G2565" i="8"/>
  <c r="H2565" i="8" s="1"/>
  <c r="G2067" i="11"/>
  <c r="H2067" i="11" s="1"/>
  <c r="G2084" i="8"/>
  <c r="H2084" i="8" s="1"/>
  <c r="H677" i="11"/>
  <c r="H1673" i="13"/>
  <c r="G846" i="24"/>
  <c r="H846" i="24" s="1"/>
  <c r="H477" i="33"/>
  <c r="G2858" i="11"/>
  <c r="H2858" i="11" s="1"/>
  <c r="H2567" i="11"/>
  <c r="G1918" i="11"/>
  <c r="H1918" i="11" s="1"/>
  <c r="G1826" i="11"/>
  <c r="H1826" i="11" s="1"/>
  <c r="H2572" i="16"/>
  <c r="H2492" i="16"/>
  <c r="H860" i="21"/>
  <c r="G116" i="24"/>
  <c r="H116" i="24" s="1"/>
  <c r="H157" i="24"/>
  <c r="G2119" i="30"/>
  <c r="H2119" i="30" s="1"/>
  <c r="G2299" i="11"/>
  <c r="H2299" i="11" s="1"/>
  <c r="H1774" i="13"/>
  <c r="G56" i="24"/>
  <c r="G496" i="11"/>
  <c r="G2450" i="16"/>
  <c r="H2450" i="16" s="1"/>
  <c r="G2039" i="30"/>
  <c r="G1772" i="13"/>
  <c r="H1772" i="13" s="1"/>
  <c r="G1452" i="13"/>
  <c r="H1452" i="13" s="1"/>
  <c r="G956" i="11"/>
  <c r="H956" i="11" s="1"/>
  <c r="G1758" i="8"/>
  <c r="H1758" i="8" s="1"/>
  <c r="H2165" i="8"/>
  <c r="G2087" i="11"/>
  <c r="H577" i="11"/>
  <c r="G1992" i="13"/>
  <c r="H1248" i="16"/>
  <c r="G216" i="24"/>
  <c r="H216" i="24" s="1"/>
  <c r="G717" i="24"/>
  <c r="H717" i="24" s="1"/>
  <c r="G1710" i="26"/>
  <c r="G1709" i="26" s="1"/>
  <c r="H1709" i="26" s="1"/>
  <c r="G2687" i="26"/>
  <c r="G2232" i="26"/>
  <c r="H3049" i="26"/>
  <c r="G2787" i="26"/>
  <c r="G2625" i="8"/>
  <c r="H2625" i="8" s="1"/>
  <c r="G2510" i="16"/>
  <c r="H2510" i="16" s="1"/>
  <c r="G3027" i="26"/>
  <c r="H3027" i="26" s="1"/>
  <c r="G2847" i="26"/>
  <c r="H2847" i="26" s="1"/>
  <c r="G1672" i="13"/>
  <c r="G2725" i="8"/>
  <c r="H1919" i="8"/>
  <c r="G2457" i="11"/>
  <c r="H2457" i="11" s="1"/>
  <c r="G2342" i="11"/>
  <c r="H2342" i="11" s="1"/>
  <c r="H1693" i="13"/>
  <c r="G2867" i="26"/>
  <c r="H2867" i="26" s="1"/>
  <c r="H2465" i="8"/>
  <c r="G1711" i="11"/>
  <c r="G1642" i="11"/>
  <c r="G1602" i="11"/>
  <c r="H1602" i="11" s="1"/>
  <c r="G2292" i="13"/>
  <c r="H2292" i="13" s="1"/>
  <c r="G1132" i="13"/>
  <c r="H1132" i="13" s="1"/>
  <c r="H2001" i="30"/>
  <c r="H959" i="8"/>
  <c r="H2766" i="8"/>
  <c r="G2304" i="8"/>
  <c r="H2306" i="8"/>
  <c r="H2085" i="8"/>
  <c r="H2728" i="11"/>
  <c r="G2686" i="11"/>
  <c r="H2686" i="11" s="1"/>
  <c r="H2458" i="11"/>
  <c r="G1560" i="11"/>
  <c r="H1560" i="11" s="1"/>
  <c r="G1707" i="16"/>
  <c r="H1707" i="16" s="1"/>
  <c r="G2139" i="30"/>
  <c r="G2079" i="30"/>
  <c r="G1896" i="30"/>
  <c r="H1896" i="30" s="1"/>
  <c r="H838" i="33"/>
  <c r="G2364" i="8"/>
  <c r="H2364" i="8" s="1"/>
  <c r="G2789" i="11"/>
  <c r="H2789" i="11" s="1"/>
  <c r="H2505" i="11"/>
  <c r="H1667" i="11"/>
  <c r="G1456" i="11"/>
  <c r="G836" i="11"/>
  <c r="H2733" i="13"/>
  <c r="G2592" i="13"/>
  <c r="H2592" i="13" s="1"/>
  <c r="G2492" i="13"/>
  <c r="H2492" i="13" s="1"/>
  <c r="G2212" i="13"/>
  <c r="H2212" i="13" s="1"/>
  <c r="H1933" i="13"/>
  <c r="G1832" i="13"/>
  <c r="H1832" i="13" s="1"/>
  <c r="G1812" i="13"/>
  <c r="G2650" i="16"/>
  <c r="H2150" i="16"/>
  <c r="H118" i="24"/>
  <c r="H301" i="24"/>
  <c r="H801" i="24"/>
  <c r="G2069" i="26"/>
  <c r="H2069" i="26" s="1"/>
  <c r="G3089" i="26"/>
  <c r="H3089" i="26" s="1"/>
  <c r="H2101" i="30"/>
  <c r="H778" i="33"/>
  <c r="G496" i="33"/>
  <c r="H496" i="33" s="1"/>
  <c r="H1097" i="33"/>
  <c r="H78" i="24"/>
  <c r="G1999" i="30"/>
  <c r="H1999" i="30" s="1"/>
  <c r="H1740" i="8"/>
  <c r="G1578" i="8"/>
  <c r="H1578" i="8" s="1"/>
  <c r="G1538" i="8"/>
  <c r="H2486" i="8"/>
  <c r="G2164" i="8"/>
  <c r="H2164" i="8" s="1"/>
  <c r="H2707" i="11"/>
  <c r="H2667" i="11"/>
  <c r="G2566" i="11"/>
  <c r="H2566" i="11" s="1"/>
  <c r="H2068" i="11"/>
  <c r="H1294" i="13"/>
  <c r="G2670" i="16"/>
  <c r="G2189" i="16"/>
  <c r="H2189" i="16" s="1"/>
  <c r="H2090" i="16"/>
  <c r="H840" i="21"/>
  <c r="H1355" i="24"/>
  <c r="G597" i="24"/>
  <c r="H597" i="24" s="1"/>
  <c r="G777" i="24"/>
  <c r="H777" i="24" s="1"/>
  <c r="H869" i="24"/>
  <c r="G867" i="24"/>
  <c r="G1810" i="26"/>
  <c r="G1809" i="26" s="1"/>
  <c r="H1809" i="26" s="1"/>
  <c r="H618" i="33"/>
  <c r="G1116" i="33"/>
  <c r="H1116" i="33" s="1"/>
  <c r="G737" i="24"/>
  <c r="H737" i="24" s="1"/>
  <c r="H2849" i="26"/>
  <c r="G2785" i="8"/>
  <c r="H2785" i="8" s="1"/>
  <c r="G2384" i="8"/>
  <c r="H2384" i="8" s="1"/>
  <c r="H1939" i="8"/>
  <c r="G2726" i="11"/>
  <c r="G2365" i="11"/>
  <c r="H2365" i="11" s="1"/>
  <c r="G1895" i="11"/>
  <c r="H1895" i="11" s="1"/>
  <c r="H1603" i="11"/>
  <c r="H778" i="11"/>
  <c r="G616" i="11"/>
  <c r="H616" i="11" s="1"/>
  <c r="G2632" i="13"/>
  <c r="H2632" i="13" s="1"/>
  <c r="H2014" i="13"/>
  <c r="G1852" i="13"/>
  <c r="G1692" i="13"/>
  <c r="H1692" i="13" s="1"/>
  <c r="G1652" i="13"/>
  <c r="H2009" i="16"/>
  <c r="G96" i="24"/>
  <c r="H96" i="24" s="1"/>
  <c r="G156" i="24"/>
  <c r="H156" i="24" s="1"/>
  <c r="H779" i="24"/>
  <c r="H933" i="24"/>
  <c r="G1031" i="24"/>
  <c r="H2140" i="30"/>
  <c r="H1897" i="30"/>
  <c r="G136" i="24"/>
  <c r="H136" i="24" s="1"/>
  <c r="G1218" i="8"/>
  <c r="H1218" i="8" s="1"/>
  <c r="H2003" i="8"/>
  <c r="H1624" i="11"/>
  <c r="G2032" i="13"/>
  <c r="H2032" i="13" s="1"/>
  <c r="H1894" i="13"/>
  <c r="H1228" i="16"/>
  <c r="H2290" i="16"/>
  <c r="H2210" i="16"/>
  <c r="H2171" i="16"/>
  <c r="G677" i="24"/>
  <c r="H677" i="24" s="1"/>
  <c r="H2050" i="26"/>
  <c r="H937" i="33"/>
  <c r="G1136" i="33"/>
  <c r="H1136" i="33" s="1"/>
  <c r="H1137" i="33"/>
  <c r="H2546" i="8"/>
  <c r="H2024" i="8"/>
  <c r="G2881" i="11"/>
  <c r="H2881" i="11" s="1"/>
  <c r="H2587" i="11"/>
  <c r="H1643" i="11"/>
  <c r="H1217" i="11"/>
  <c r="G1492" i="13"/>
  <c r="H1492" i="13" s="1"/>
  <c r="H2250" i="16"/>
  <c r="H1519" i="24"/>
  <c r="H679" i="24"/>
  <c r="H1196" i="24"/>
  <c r="G2110" i="26"/>
  <c r="G2109" i="26" s="1"/>
  <c r="H2109" i="26" s="1"/>
  <c r="G2904" i="11"/>
  <c r="H2904" i="11" s="1"/>
  <c r="H1599" i="8"/>
  <c r="H1420" i="8"/>
  <c r="H1340" i="8"/>
  <c r="H1300" i="8"/>
  <c r="H1119" i="8"/>
  <c r="H2647" i="8"/>
  <c r="H2385" i="8"/>
  <c r="H2836" i="11"/>
  <c r="H2413" i="11"/>
  <c r="H2220" i="11"/>
  <c r="H1137" i="11"/>
  <c r="H2333" i="13"/>
  <c r="G2490" i="16"/>
  <c r="H2490" i="16" s="1"/>
  <c r="H1988" i="16"/>
  <c r="H1455" i="24"/>
  <c r="G800" i="24"/>
  <c r="H800" i="24" s="1"/>
  <c r="H3110" i="26"/>
  <c r="H3029" i="26"/>
  <c r="H2789" i="26"/>
  <c r="H735" i="24"/>
  <c r="H1272" i="24"/>
  <c r="G1087" i="24"/>
  <c r="H1087" i="24" s="1"/>
  <c r="H2118" i="30"/>
  <c r="H375" i="33"/>
  <c r="H2382" i="11"/>
  <c r="H916" i="8"/>
  <c r="H2824" i="8"/>
  <c r="H2341" i="8"/>
  <c r="H2529" i="16"/>
  <c r="H1048" i="24"/>
  <c r="H1976" i="8"/>
  <c r="H2337" i="11"/>
  <c r="H1897" i="8"/>
  <c r="G2961" i="11"/>
  <c r="H2961" i="11" s="1"/>
  <c r="H2603" i="11"/>
  <c r="H2428" i="11"/>
  <c r="G1985" i="26"/>
  <c r="H2386" i="16"/>
  <c r="H1871" i="13"/>
  <c r="H1151" i="13"/>
  <c r="H1030" i="13"/>
  <c r="H2158" i="30"/>
  <c r="H1071" i="13"/>
  <c r="H2648" i="16"/>
  <c r="H1988" i="26"/>
  <c r="H2409" i="16"/>
  <c r="H2708" i="16"/>
  <c r="G2844" i="26"/>
  <c r="H2844" i="26" s="1"/>
  <c r="H1854" i="30"/>
  <c r="H2188" i="16"/>
  <c r="G2784" i="26"/>
  <c r="H2784" i="26" s="1"/>
  <c r="H1190" i="13"/>
  <c r="H2307" i="16"/>
  <c r="H871" i="33"/>
  <c r="H1486" i="13"/>
  <c r="H682" i="33"/>
  <c r="H802" i="21"/>
  <c r="H579" i="16"/>
  <c r="H2713" i="26"/>
  <c r="H2746" i="13"/>
  <c r="H1533" i="16"/>
  <c r="H1370" i="11"/>
  <c r="H1377" i="11"/>
  <c r="H450" i="16"/>
  <c r="H370" i="16"/>
  <c r="H2758" i="13"/>
  <c r="H462" i="16"/>
  <c r="H1701" i="16"/>
  <c r="H1521" i="16"/>
  <c r="H2316" i="26"/>
  <c r="H2311" i="26"/>
  <c r="H1735" i="26"/>
  <c r="H1723" i="26"/>
  <c r="H2143" i="26"/>
  <c r="H1790" i="30"/>
  <c r="H790" i="21"/>
  <c r="H670" i="21"/>
  <c r="H1577" i="24"/>
  <c r="H2455" i="11"/>
  <c r="H2178" i="8"/>
  <c r="H2029" i="26"/>
  <c r="H2599" i="8"/>
  <c r="H958" i="21"/>
  <c r="H1657" i="24"/>
  <c r="H1754" i="21"/>
  <c r="H1574" i="21"/>
  <c r="H1711" i="13"/>
  <c r="H1166" i="13"/>
  <c r="H350" i="16"/>
  <c r="H1146" i="13"/>
  <c r="H1026" i="13"/>
  <c r="H513" i="16"/>
  <c r="H1781" i="16"/>
  <c r="H1681" i="16"/>
  <c r="H559" i="16"/>
  <c r="H536" i="16"/>
  <c r="H1094" i="16"/>
  <c r="H1426" i="13"/>
  <c r="H2731" i="11"/>
  <c r="H2449" i="11"/>
  <c r="H2781" i="11"/>
  <c r="H1513" i="13"/>
  <c r="H2190" i="16"/>
  <c r="H2495" i="11"/>
  <c r="H2494" i="11"/>
  <c r="H1506" i="13"/>
  <c r="H1892" i="8"/>
  <c r="H941" i="33"/>
  <c r="H2699" i="8"/>
  <c r="H2827" i="11"/>
  <c r="H762" i="33"/>
  <c r="H1895" i="26"/>
  <c r="H1675" i="26"/>
  <c r="H1663" i="26"/>
  <c r="H1890" i="30"/>
  <c r="H2553" i="26"/>
  <c r="H2611" i="16"/>
  <c r="H2363" i="16"/>
  <c r="H710" i="21"/>
  <c r="H2236" i="26"/>
  <c r="H1957" i="8"/>
  <c r="H2589" i="16"/>
  <c r="H2584" i="16"/>
  <c r="H865" i="21"/>
  <c r="H1707" i="11"/>
  <c r="H1883" i="26"/>
  <c r="H2821" i="26"/>
  <c r="H2646" i="13"/>
  <c r="H1446" i="13"/>
  <c r="H1406" i="13"/>
  <c r="H2041" i="16"/>
  <c r="H1250" i="21"/>
  <c r="H1443" i="24"/>
  <c r="H1348" i="24"/>
  <c r="H2653" i="13"/>
  <c r="H2117" i="13"/>
  <c r="H2106" i="13"/>
  <c r="H2026" i="13"/>
  <c r="H1417" i="13"/>
  <c r="H2243" i="16"/>
  <c r="H1826" i="21"/>
  <c r="H1814" i="21"/>
  <c r="H1646" i="21"/>
  <c r="H831" i="21"/>
  <c r="H1647" i="11"/>
  <c r="H1642" i="11"/>
  <c r="H1636" i="11"/>
  <c r="H2610" i="13"/>
  <c r="H2594" i="13"/>
  <c r="H1637" i="11"/>
  <c r="H1952" i="8"/>
  <c r="H2772" i="11"/>
  <c r="H2761" i="11"/>
  <c r="H1041" i="11"/>
  <c r="H602" i="11"/>
  <c r="H591" i="11"/>
  <c r="H1066" i="13"/>
  <c r="H2571" i="13"/>
  <c r="H2283" i="16"/>
  <c r="H1654" i="21"/>
  <c r="H1606" i="21"/>
  <c r="H1834" i="21"/>
  <c r="H1648" i="11"/>
  <c r="H1644" i="11"/>
  <c r="H1635" i="11"/>
  <c r="H873" i="21"/>
  <c r="H2841" i="26"/>
  <c r="H2133" i="30"/>
  <c r="H1774" i="21"/>
  <c r="H1270" i="21"/>
  <c r="H885" i="21"/>
  <c r="H2969" i="26"/>
  <c r="H2962" i="26"/>
  <c r="H2153" i="30"/>
  <c r="H1211" i="11"/>
  <c r="H1926" i="13"/>
  <c r="H1186" i="13"/>
  <c r="H1795" i="26"/>
  <c r="H2701" i="26"/>
  <c r="H1977" i="13"/>
  <c r="H1951" i="13"/>
  <c r="H474" i="16"/>
  <c r="H250" i="16"/>
  <c r="H1541" i="16"/>
  <c r="H2274" i="16"/>
  <c r="H1746" i="21"/>
  <c r="H1566" i="21"/>
  <c r="H1523" i="24"/>
  <c r="H2544" i="26"/>
  <c r="H2672" i="11"/>
  <c r="H2692" i="11"/>
  <c r="H2683" i="11"/>
  <c r="H2679" i="11"/>
  <c r="H2659" i="11"/>
  <c r="H1850" i="13"/>
  <c r="H1369" i="11"/>
  <c r="H1051" i="13"/>
  <c r="H1045" i="13"/>
  <c r="H2055" i="16"/>
  <c r="H1838" i="21"/>
  <c r="H1832" i="21"/>
  <c r="H1778" i="21"/>
  <c r="H1753" i="21"/>
  <c r="H1658" i="21"/>
  <c r="H1622" i="21"/>
  <c r="H1573" i="21"/>
  <c r="H1473" i="21"/>
  <c r="H1462" i="21"/>
  <c r="H1354" i="21"/>
  <c r="H1274" i="21"/>
  <c r="H1268" i="21"/>
  <c r="H1197" i="21"/>
  <c r="H1190" i="21"/>
  <c r="H1530" i="24"/>
  <c r="H470" i="16"/>
  <c r="H1893" i="16"/>
  <c r="H1881" i="16"/>
  <c r="H1841" i="16"/>
  <c r="H2489" i="16"/>
  <c r="H1466" i="21"/>
  <c r="H907" i="21"/>
  <c r="H2619" i="26"/>
  <c r="H2273" i="26"/>
  <c r="H2267" i="26"/>
  <c r="H2015" i="26"/>
  <c r="H1975" i="26"/>
  <c r="H1993" i="30"/>
  <c r="H2661" i="11"/>
  <c r="H2380" i="11"/>
  <c r="H2453" i="13"/>
  <c r="H1397" i="13"/>
  <c r="H2669" i="16"/>
  <c r="H1783" i="26"/>
  <c r="H2183" i="26"/>
  <c r="H2043" i="26"/>
  <c r="H1850" i="30"/>
  <c r="H342" i="16"/>
  <c r="H330" i="16"/>
  <c r="H1661" i="16"/>
  <c r="H1613" i="16"/>
  <c r="H2704" i="16"/>
  <c r="H1614" i="21"/>
  <c r="H1830" i="30"/>
  <c r="H1710" i="30"/>
  <c r="H2438" i="8"/>
  <c r="H2258" i="8"/>
  <c r="H2681" i="11"/>
  <c r="H725" i="16"/>
  <c r="H1281" i="16"/>
  <c r="H2689" i="16"/>
  <c r="H2295" i="26"/>
  <c r="H1601" i="16"/>
  <c r="H2103" i="16"/>
  <c r="H1734" i="21"/>
  <c r="H1369" i="24"/>
  <c r="H1683" i="26"/>
  <c r="H2531" i="26"/>
  <c r="H737" i="16"/>
  <c r="H626" i="16"/>
  <c r="H622" i="16"/>
  <c r="H390" i="16"/>
  <c r="H1341" i="16"/>
  <c r="H1025" i="16"/>
  <c r="H2443" i="26"/>
  <c r="H2992" i="26"/>
  <c r="H2982" i="26"/>
  <c r="H2680" i="11"/>
  <c r="H2660" i="11"/>
  <c r="H1938" i="13"/>
  <c r="H1611" i="13"/>
  <c r="H1606" i="13"/>
  <c r="H795" i="33"/>
  <c r="H1973" i="13"/>
  <c r="H1966" i="13"/>
  <c r="H1946" i="13"/>
  <c r="H885" i="16"/>
  <c r="H2484" i="16"/>
  <c r="H1695" i="26"/>
  <c r="H1903" i="26"/>
  <c r="H2175" i="11"/>
  <c r="H1885" i="16"/>
  <c r="H1879" i="16"/>
  <c r="H2101" i="16"/>
  <c r="H2042" i="16"/>
  <c r="H2038" i="16"/>
  <c r="H937" i="24"/>
  <c r="H2706" i="26"/>
  <c r="H2665" i="26"/>
  <c r="H2448" i="26"/>
  <c r="H2376" i="26"/>
  <c r="H1906" i="26"/>
  <c r="H1901" i="26"/>
  <c r="H1842" i="30"/>
  <c r="H1612" i="8"/>
  <c r="H2896" i="11"/>
  <c r="H2701" i="11"/>
  <c r="H2571" i="11"/>
  <c r="H2416" i="11"/>
  <c r="H2403" i="11"/>
  <c r="H2432" i="11"/>
  <c r="H2292" i="11"/>
  <c r="H1930" i="13"/>
  <c r="H1918" i="13"/>
  <c r="H1914" i="13"/>
  <c r="H1297" i="13"/>
  <c r="H1595" i="11"/>
  <c r="H1430" i="11"/>
  <c r="H2177" i="13"/>
  <c r="H1373" i="13"/>
  <c r="H1366" i="13"/>
  <c r="H1306" i="13"/>
  <c r="H2378" i="8"/>
  <c r="H2218" i="8"/>
  <c r="H1604" i="11"/>
  <c r="H1917" i="13"/>
  <c r="H1587" i="13"/>
  <c r="H1518" i="13"/>
  <c r="H1410" i="11"/>
  <c r="H1286" i="13"/>
  <c r="H1266" i="13"/>
  <c r="H990" i="21"/>
  <c r="H2180" i="30"/>
  <c r="H2173" i="30"/>
  <c r="H2073" i="30"/>
  <c r="H2053" i="30"/>
  <c r="H1910" i="30"/>
  <c r="H2238" i="8"/>
  <c r="H2098" i="8"/>
  <c r="H2190" i="8"/>
  <c r="H2331" i="13"/>
  <c r="H2325" i="13"/>
  <c r="H1937" i="13"/>
  <c r="H1461" i="21"/>
  <c r="H1553" i="11"/>
  <c r="H2726" i="13"/>
  <c r="H2326" i="13"/>
  <c r="H1466" i="13"/>
  <c r="H2881" i="26"/>
  <c r="H1317" i="13"/>
  <c r="H2861" i="26"/>
  <c r="H2093" i="30"/>
  <c r="H2338" i="13"/>
  <c r="H2330" i="13"/>
  <c r="H2324" i="13"/>
  <c r="H899" i="21"/>
  <c r="H2536" i="26"/>
  <c r="H1968" i="26"/>
  <c r="H1962" i="26"/>
  <c r="H1035" i="33"/>
  <c r="H1029" i="33"/>
  <c r="H2873" i="11"/>
  <c r="H2122" i="11"/>
  <c r="H1853" i="13"/>
  <c r="H1330" i="11"/>
  <c r="H2742" i="26"/>
  <c r="H1672" i="13"/>
  <c r="H1046" i="13"/>
  <c r="H2358" i="13"/>
  <c r="H2350" i="13"/>
  <c r="H1953" i="13"/>
  <c r="H750" i="33"/>
  <c r="H1241" i="11"/>
  <c r="H2018" i="13"/>
  <c r="H698" i="11"/>
  <c r="H2446" i="13"/>
  <c r="H1393" i="13"/>
  <c r="H2649" i="16"/>
  <c r="H2644" i="16"/>
  <c r="H978" i="21"/>
  <c r="H1863" i="26"/>
  <c r="H2377" i="8"/>
  <c r="H2033" i="11"/>
  <c r="H1943" i="11"/>
  <c r="H1938" i="11"/>
  <c r="H1931" i="11"/>
  <c r="H1916" i="11"/>
  <c r="H1683" i="11"/>
  <c r="H1185" i="13"/>
  <c r="H1078" i="13"/>
  <c r="H1065" i="13"/>
  <c r="H2051" i="16"/>
  <c r="H2044" i="16"/>
  <c r="H2040" i="16"/>
  <c r="H1889" i="30"/>
  <c r="H1818" i="11"/>
  <c r="H2072" i="11"/>
  <c r="H1115" i="16"/>
  <c r="H2383" i="16"/>
  <c r="H1334" i="21"/>
  <c r="H690" i="11"/>
  <c r="H641" i="11"/>
  <c r="H638" i="11"/>
  <c r="H1914" i="30"/>
  <c r="H1909" i="30"/>
  <c r="H2579" i="8"/>
  <c r="H2641" i="11"/>
  <c r="H1933" i="11"/>
  <c r="H1335" i="11"/>
  <c r="H2086" i="13"/>
  <c r="H1878" i="13"/>
  <c r="H2544" i="8"/>
  <c r="H1151" i="11"/>
  <c r="H691" i="11"/>
  <c r="H2123" i="16"/>
  <c r="H1864" i="11"/>
  <c r="H1827" i="11"/>
  <c r="H1808" i="11"/>
  <c r="H2043" i="16"/>
  <c r="H2039" i="16"/>
  <c r="H1661" i="24"/>
  <c r="H1655" i="24"/>
  <c r="H2066" i="13"/>
  <c r="H2006" i="13"/>
  <c r="H1192" i="8"/>
  <c r="H1689" i="11"/>
  <c r="H1678" i="11"/>
  <c r="H822" i="11"/>
  <c r="H811" i="11"/>
  <c r="H2471" i="13"/>
  <c r="H2466" i="13"/>
  <c r="H1761" i="16"/>
  <c r="H1119" i="16"/>
  <c r="H2001" i="16"/>
  <c r="H1866" i="13"/>
  <c r="H870" i="11"/>
  <c r="H2286" i="13"/>
  <c r="H1677" i="24"/>
  <c r="H1621" i="11"/>
  <c r="H1090" i="11"/>
  <c r="H2750" i="8"/>
  <c r="H1821" i="16"/>
  <c r="H1210" i="21"/>
  <c r="H1689" i="24"/>
  <c r="H1624" i="24"/>
  <c r="H3083" i="26"/>
  <c r="H3002" i="26"/>
  <c r="H1381" i="11"/>
  <c r="H518" i="11"/>
  <c r="H511" i="11"/>
  <c r="H418" i="11"/>
  <c r="H411" i="11"/>
  <c r="H2351" i="13"/>
  <c r="H2345" i="13"/>
  <c r="H2334" i="13"/>
  <c r="H2118" i="13"/>
  <c r="H2110" i="13"/>
  <c r="H1287" i="13"/>
  <c r="H1283" i="13"/>
  <c r="H1218" i="13"/>
  <c r="H1214" i="13"/>
  <c r="H1197" i="13"/>
  <c r="H1187" i="13"/>
  <c r="H2075" i="16"/>
  <c r="H1578" i="24"/>
  <c r="H3033" i="26"/>
  <c r="H535" i="33"/>
  <c r="H521" i="11"/>
  <c r="H1661" i="11"/>
  <c r="H410" i="11"/>
  <c r="H2614" i="13"/>
  <c r="H2570" i="13"/>
  <c r="H2564" i="13"/>
  <c r="H1483" i="13"/>
  <c r="H1453" i="13"/>
  <c r="H1447" i="13"/>
  <c r="H1407" i="13"/>
  <c r="H1403" i="13"/>
  <c r="H1832" i="16"/>
  <c r="H923" i="24"/>
  <c r="H3032" i="26"/>
  <c r="H1919" i="30"/>
  <c r="H1851" i="30"/>
  <c r="H1657" i="11"/>
  <c r="H497" i="11"/>
  <c r="H421" i="11"/>
  <c r="H1005" i="16"/>
  <c r="H2063" i="16"/>
  <c r="H3028" i="26"/>
  <c r="H2390" i="8"/>
  <c r="H2386" i="8"/>
  <c r="H2274" i="11"/>
  <c r="H2129" i="11"/>
  <c r="H1924" i="11"/>
  <c r="H1771" i="11"/>
  <c r="H1693" i="11"/>
  <c r="H1656" i="11"/>
  <c r="H1641" i="11"/>
  <c r="H1628" i="11"/>
  <c r="H1617" i="11"/>
  <c r="H2674" i="13"/>
  <c r="H2671" i="13"/>
  <c r="H1597" i="13"/>
  <c r="H1593" i="13"/>
  <c r="H1514" i="13"/>
  <c r="H1507" i="13"/>
  <c r="H1437" i="13"/>
  <c r="H1433" i="13"/>
  <c r="H789" i="16"/>
  <c r="H1340" i="24"/>
  <c r="H1287" i="24"/>
  <c r="H535" i="24"/>
  <c r="H864" i="24"/>
  <c r="H2338" i="8"/>
  <c r="H2621" i="11"/>
  <c r="H2455" i="16"/>
  <c r="H610" i="21"/>
  <c r="H1683" i="24"/>
  <c r="H3022" i="26"/>
  <c r="H2731" i="8"/>
  <c r="H2724" i="8"/>
  <c r="H2040" i="11"/>
  <c r="H2577" i="13"/>
  <c r="H2567" i="13"/>
  <c r="H2563" i="13"/>
  <c r="H1538" i="21"/>
  <c r="H1215" i="21"/>
  <c r="H1772" i="11"/>
  <c r="H1281" i="11"/>
  <c r="H1270" i="11"/>
  <c r="H2013" i="30"/>
  <c r="H1417" i="8"/>
  <c r="H2053" i="11"/>
  <c r="H1211" i="13"/>
  <c r="H1205" i="13"/>
  <c r="H1198" i="13"/>
  <c r="H1058" i="13"/>
  <c r="H1054" i="13"/>
  <c r="H398" i="16"/>
  <c r="H1749" i="16"/>
  <c r="H1402" i="16"/>
  <c r="H2182" i="16"/>
  <c r="H1911" i="30"/>
  <c r="H1891" i="30"/>
  <c r="H1887" i="30"/>
  <c r="H1423" i="8"/>
  <c r="H1412" i="8"/>
  <c r="H2739" i="8"/>
  <c r="H1592" i="8"/>
  <c r="H1092" i="8"/>
  <c r="H2209" i="8"/>
  <c r="H2198" i="8"/>
  <c r="H1776" i="11"/>
  <c r="H2953" i="26"/>
  <c r="H2944" i="26"/>
  <c r="H2444" i="16"/>
  <c r="H1222" i="21"/>
  <c r="H1629" i="24"/>
  <c r="H2298" i="8"/>
  <c r="H1912" i="8"/>
  <c r="H1680" i="8"/>
  <c r="H2177" i="8"/>
  <c r="H2146" i="8"/>
  <c r="H2939" i="11"/>
  <c r="H2832" i="11"/>
  <c r="H2826" i="11"/>
  <c r="H1775" i="11"/>
  <c r="H1710" i="13"/>
  <c r="H2709" i="16"/>
  <c r="H2483" i="16"/>
  <c r="H2014" i="30"/>
  <c r="H2010" i="30"/>
  <c r="H1980" i="30"/>
  <c r="H2587" i="8"/>
  <c r="H2591" i="8"/>
  <c r="H2787" i="8"/>
  <c r="H2786" i="8"/>
  <c r="H1401" i="11"/>
  <c r="H1390" i="11"/>
  <c r="H2717" i="13"/>
  <c r="H2706" i="13"/>
  <c r="H2551" i="13"/>
  <c r="H2546" i="13"/>
  <c r="H2386" i="13"/>
  <c r="H2046" i="13"/>
  <c r="H1086" i="13"/>
  <c r="H1588" i="16"/>
  <c r="H1441" i="16"/>
  <c r="H1557" i="24"/>
  <c r="H1944" i="26"/>
  <c r="H1814" i="30"/>
  <c r="H1670" i="30"/>
  <c r="H2711" i="8"/>
  <c r="H2437" i="8"/>
  <c r="H2895" i="11"/>
  <c r="H2872" i="11"/>
  <c r="H2700" i="11"/>
  <c r="H2525" i="13"/>
  <c r="H2485" i="13"/>
  <c r="H2413" i="13"/>
  <c r="H2406" i="13"/>
  <c r="H2186" i="13"/>
  <c r="H2137" i="13"/>
  <c r="H2125" i="13"/>
  <c r="H1691" i="13"/>
  <c r="H1686" i="13"/>
  <c r="H1217" i="13"/>
  <c r="H1206" i="13"/>
  <c r="H1191" i="13"/>
  <c r="H1031" i="13"/>
  <c r="H501" i="16"/>
  <c r="H381" i="16"/>
  <c r="H1706" i="16"/>
  <c r="H1580" i="16"/>
  <c r="H1253" i="16"/>
  <c r="H2635" i="16"/>
  <c r="H2631" i="16"/>
  <c r="H2503" i="16"/>
  <c r="H2064" i="16"/>
  <c r="H2060" i="16"/>
  <c r="H327" i="24"/>
  <c r="H331" i="24"/>
  <c r="H417" i="24"/>
  <c r="H840" i="24"/>
  <c r="H845" i="24"/>
  <c r="H993" i="24"/>
  <c r="H2036" i="8"/>
  <c r="H1018" i="11"/>
  <c r="H441" i="11"/>
  <c r="H2531" i="13"/>
  <c r="H2270" i="13"/>
  <c r="H1433" i="16"/>
  <c r="H1421" i="16"/>
  <c r="H1361" i="16"/>
  <c r="H1160" i="16"/>
  <c r="H2624" i="16"/>
  <c r="H2509" i="16"/>
  <c r="H2148" i="16"/>
  <c r="H1968" i="16"/>
  <c r="H1494" i="21"/>
  <c r="H2355" i="26"/>
  <c r="H1603" i="8"/>
  <c r="H1152" i="8"/>
  <c r="H923" i="8"/>
  <c r="H2697" i="8"/>
  <c r="H1994" i="8"/>
  <c r="H2699" i="11"/>
  <c r="H2385" i="11"/>
  <c r="H2379" i="11"/>
  <c r="H2253" i="11"/>
  <c r="H869" i="11"/>
  <c r="H590" i="11"/>
  <c r="H2544" i="13"/>
  <c r="H2530" i="13"/>
  <c r="H2514" i="13"/>
  <c r="H2510" i="13"/>
  <c r="H2505" i="13"/>
  <c r="H2490" i="13"/>
  <c r="H2484" i="13"/>
  <c r="H2337" i="13"/>
  <c r="H946" i="24"/>
  <c r="H2980" i="26"/>
  <c r="H1985" i="30"/>
  <c r="H1977" i="30"/>
  <c r="H622" i="33"/>
  <c r="H610" i="33"/>
  <c r="H2491" i="13"/>
  <c r="H1106" i="13"/>
  <c r="H2555" i="16"/>
  <c r="H2544" i="16"/>
  <c r="H2524" i="16"/>
  <c r="H1394" i="21"/>
  <c r="H642" i="21"/>
  <c r="H630" i="21"/>
  <c r="H1750" i="30"/>
  <c r="H730" i="33"/>
  <c r="H1130" i="33"/>
  <c r="H1413" i="8"/>
  <c r="H1409" i="8"/>
  <c r="H2819" i="8"/>
  <c r="H1391" i="8"/>
  <c r="H1311" i="8"/>
  <c r="H2624" i="8"/>
  <c r="H2618" i="8"/>
  <c r="H2305" i="8"/>
  <c r="H2299" i="8"/>
  <c r="H2295" i="8"/>
  <c r="H2289" i="8"/>
  <c r="H2257" i="8"/>
  <c r="H2049" i="8"/>
  <c r="H2035" i="8"/>
  <c r="H2900" i="11"/>
  <c r="H2877" i="11"/>
  <c r="H2841" i="11"/>
  <c r="H2763" i="11"/>
  <c r="H2651" i="11"/>
  <c r="H2632" i="11"/>
  <c r="H1781" i="11"/>
  <c r="H1545" i="11"/>
  <c r="H1537" i="11"/>
  <c r="H1520" i="11"/>
  <c r="H1509" i="11"/>
  <c r="H1502" i="11"/>
  <c r="H1488" i="11"/>
  <c r="H1402" i="11"/>
  <c r="H1282" i="11"/>
  <c r="H1278" i="11"/>
  <c r="H1271" i="11"/>
  <c r="H630" i="11"/>
  <c r="H2731" i="13"/>
  <c r="H2670" i="13"/>
  <c r="H2658" i="13"/>
  <c r="H2651" i="13"/>
  <c r="H2557" i="13"/>
  <c r="H2534" i="13"/>
  <c r="H2357" i="13"/>
  <c r="H2327" i="13"/>
  <c r="H2323" i="13"/>
  <c r="H2004" i="13"/>
  <c r="H1444" i="13"/>
  <c r="H1418" i="13"/>
  <c r="H1410" i="13"/>
  <c r="H1404" i="13"/>
  <c r="H1290" i="13"/>
  <c r="H1284" i="13"/>
  <c r="H1274" i="13"/>
  <c r="H1264" i="13"/>
  <c r="H1111" i="13"/>
  <c r="H1105" i="13"/>
  <c r="H1409" i="16"/>
  <c r="H2264" i="16"/>
  <c r="H2094" i="16"/>
  <c r="H2087" i="16"/>
  <c r="H2081" i="16"/>
  <c r="H2074" i="16"/>
  <c r="H2048" i="16"/>
  <c r="H867" i="24"/>
  <c r="H872" i="24"/>
  <c r="H883" i="24"/>
  <c r="H953" i="24"/>
  <c r="H2005" i="30"/>
  <c r="H1981" i="30"/>
  <c r="H1971" i="30"/>
  <c r="H1857" i="30"/>
  <c r="H2910" i="11"/>
  <c r="H361" i="11"/>
  <c r="H2538" i="13"/>
  <c r="H2265" i="13"/>
  <c r="H1694" i="13"/>
  <c r="H1651" i="13"/>
  <c r="H1338" i="13"/>
  <c r="H1326" i="13"/>
  <c r="H493" i="16"/>
  <c r="H952" i="16"/>
  <c r="H2700" i="8"/>
  <c r="H2696" i="8"/>
  <c r="H2304" i="8"/>
  <c r="H2263" i="8"/>
  <c r="H1993" i="8"/>
  <c r="H1900" i="8"/>
  <c r="H2899" i="11"/>
  <c r="H2876" i="11"/>
  <c r="H2830" i="11"/>
  <c r="H2768" i="11"/>
  <c r="H2726" i="11"/>
  <c r="H2720" i="11"/>
  <c r="H2708" i="11"/>
  <c r="H2703" i="11"/>
  <c r="H1387" i="11"/>
  <c r="H1242" i="11"/>
  <c r="H1231" i="11"/>
  <c r="H542" i="11"/>
  <c r="H2017" i="13"/>
  <c r="H1510" i="13"/>
  <c r="H1504" i="13"/>
  <c r="H1457" i="13"/>
  <c r="H1414" i="13"/>
  <c r="H1110" i="13"/>
  <c r="H2452" i="16"/>
  <c r="H2448" i="16"/>
  <c r="H2331" i="16"/>
  <c r="H2324" i="16"/>
  <c r="H2155" i="16"/>
  <c r="H2108" i="16"/>
  <c r="H2068" i="16"/>
  <c r="H2062" i="16"/>
  <c r="H838" i="24"/>
  <c r="H851" i="24"/>
  <c r="H868" i="24"/>
  <c r="H1160" i="24"/>
  <c r="H1748" i="26"/>
  <c r="H1694" i="26"/>
  <c r="H1682" i="26"/>
  <c r="H2347" i="26"/>
  <c r="H2334" i="26"/>
  <c r="H3020" i="26"/>
  <c r="H3000" i="26"/>
  <c r="H1922" i="30"/>
  <c r="H1918" i="30"/>
  <c r="H1901" i="30"/>
  <c r="H2917" i="11"/>
  <c r="H2902" i="11"/>
  <c r="H2887" i="11"/>
  <c r="H2879" i="11"/>
  <c r="H751" i="11"/>
  <c r="H631" i="11"/>
  <c r="H2550" i="13"/>
  <c r="H1961" i="16"/>
  <c r="H1945" i="16"/>
  <c r="H1500" i="21"/>
  <c r="H1018" i="21"/>
  <c r="H1755" i="26"/>
  <c r="H1743" i="26"/>
  <c r="H2095" i="26"/>
  <c r="H2083" i="26"/>
  <c r="H2902" i="26"/>
  <c r="H2721" i="26"/>
  <c r="H1002" i="33"/>
  <c r="H2937" i="11"/>
  <c r="H2930" i="11"/>
  <c r="H2926" i="11"/>
  <c r="H2919" i="11"/>
  <c r="H2909" i="11"/>
  <c r="H2905" i="11"/>
  <c r="H2882" i="11"/>
  <c r="H1541" i="11"/>
  <c r="H1512" i="11"/>
  <c r="H1491" i="11"/>
  <c r="H1442" i="11"/>
  <c r="H1438" i="11"/>
  <c r="H629" i="11"/>
  <c r="H2738" i="13"/>
  <c r="H1658" i="13"/>
  <c r="H1566" i="13"/>
  <c r="H2511" i="16"/>
  <c r="H168" i="24"/>
  <c r="H208" i="24"/>
  <c r="H408" i="24"/>
  <c r="H414" i="24"/>
  <c r="H943" i="24"/>
  <c r="H2353" i="26"/>
  <c r="H661" i="11"/>
  <c r="H2493" i="13"/>
  <c r="H2486" i="13"/>
  <c r="H1992" i="13"/>
  <c r="H1986" i="13"/>
  <c r="H1577" i="13"/>
  <c r="H1386" i="13"/>
  <c r="H1221" i="16"/>
  <c r="H2515" i="16"/>
  <c r="H2504" i="16"/>
  <c r="H1414" i="21"/>
  <c r="H650" i="21"/>
  <c r="H1495" i="11"/>
  <c r="H651" i="11"/>
  <c r="H2533" i="13"/>
  <c r="H2526" i="13"/>
  <c r="H2306" i="13"/>
  <c r="H1346" i="13"/>
  <c r="H765" i="16"/>
  <c r="H1180" i="16"/>
  <c r="H1873" i="16"/>
  <c r="H1861" i="16"/>
  <c r="H2143" i="16"/>
  <c r="H1113" i="21"/>
  <c r="H1101" i="21"/>
  <c r="H1038" i="21"/>
  <c r="H938" i="21"/>
  <c r="H1393" i="24"/>
  <c r="H1843" i="26"/>
  <c r="H2813" i="26"/>
  <c r="H2033" i="30"/>
  <c r="H1931" i="30"/>
  <c r="H1010" i="33"/>
  <c r="H2103" i="8"/>
  <c r="H2463" i="11"/>
  <c r="H2264" i="11"/>
  <c r="H2256" i="11"/>
  <c r="H2197" i="11"/>
  <c r="H2188" i="11"/>
  <c r="H1637" i="13"/>
  <c r="H1626" i="13"/>
  <c r="H369" i="16"/>
  <c r="H1700" i="16"/>
  <c r="H2605" i="16"/>
  <c r="H2201" i="16"/>
  <c r="H2191" i="16"/>
  <c r="H169" i="24"/>
  <c r="H409" i="24"/>
  <c r="H811" i="24"/>
  <c r="H815" i="24"/>
  <c r="H819" i="24"/>
  <c r="H829" i="24"/>
  <c r="H848" i="24"/>
  <c r="H881" i="24"/>
  <c r="H950" i="24"/>
  <c r="H2204" i="26"/>
  <c r="H1994" i="26"/>
  <c r="H771" i="11"/>
  <c r="H618" i="11"/>
  <c r="H1106" i="16"/>
  <c r="H1057" i="16"/>
  <c r="H1992" i="16"/>
  <c r="H1981" i="16"/>
  <c r="H1905" i="16"/>
  <c r="H1801" i="21"/>
  <c r="H2441" i="8"/>
  <c r="H2336" i="8"/>
  <c r="H2390" i="11"/>
  <c r="H2384" i="11"/>
  <c r="H871" i="11"/>
  <c r="H867" i="11"/>
  <c r="H390" i="11"/>
  <c r="H2750" i="13"/>
  <c r="H2744" i="13"/>
  <c r="H2730" i="13"/>
  <c r="H2724" i="13"/>
  <c r="H2677" i="13"/>
  <c r="H1873" i="13"/>
  <c r="H1670" i="13"/>
  <c r="H2476" i="16"/>
  <c r="H2472" i="16"/>
  <c r="H2302" i="16"/>
  <c r="H2162" i="16"/>
  <c r="H1920" i="16"/>
  <c r="H775" i="21"/>
  <c r="H1704" i="24"/>
  <c r="H1538" i="8"/>
  <c r="H1831" i="13"/>
  <c r="H1246" i="13"/>
  <c r="H1226" i="13"/>
  <c r="H825" i="16"/>
  <c r="H1301" i="16"/>
  <c r="H1806" i="21"/>
  <c r="H702" i="21"/>
  <c r="H1697" i="24"/>
  <c r="H1637" i="24"/>
  <c r="H491" i="33"/>
  <c r="H1660" i="8"/>
  <c r="H1604" i="8"/>
  <c r="H1593" i="8"/>
  <c r="H1537" i="8"/>
  <c r="H1531" i="8"/>
  <c r="H1404" i="8"/>
  <c r="H1400" i="8"/>
  <c r="H1393" i="8"/>
  <c r="H1389" i="8"/>
  <c r="H1043" i="8"/>
  <c r="H1031" i="8"/>
  <c r="H971" i="8"/>
  <c r="H2617" i="8"/>
  <c r="H2506" i="8"/>
  <c r="H2439" i="8"/>
  <c r="H2361" i="8"/>
  <c r="H2356" i="8"/>
  <c r="H2346" i="8"/>
  <c r="H2130" i="8"/>
  <c r="H2123" i="8"/>
  <c r="H2117" i="8"/>
  <c r="H2027" i="8"/>
  <c r="H1964" i="8"/>
  <c r="H1893" i="8"/>
  <c r="H2840" i="11"/>
  <c r="H2378" i="11"/>
  <c r="H1694" i="11"/>
  <c r="H1662" i="11"/>
  <c r="H1162" i="11"/>
  <c r="H1874" i="13"/>
  <c r="H1677" i="13"/>
  <c r="H1131" i="13"/>
  <c r="H1125" i="13"/>
  <c r="H1098" i="13"/>
  <c r="H1084" i="13"/>
  <c r="H505" i="16"/>
  <c r="H500" i="16"/>
  <c r="H1773" i="16"/>
  <c r="H1768" i="16"/>
  <c r="H2604" i="16"/>
  <c r="H2496" i="16"/>
  <c r="H2482" i="16"/>
  <c r="H2354" i="16"/>
  <c r="H2350" i="16"/>
  <c r="H2341" i="16"/>
  <c r="H2175" i="16"/>
  <c r="H2167" i="16"/>
  <c r="H2134" i="30"/>
  <c r="H1532" i="8"/>
  <c r="H2118" i="8"/>
  <c r="H2518" i="11"/>
  <c r="H1090" i="16"/>
  <c r="H1674" i="21"/>
  <c r="H1290" i="21"/>
  <c r="H690" i="21"/>
  <c r="H1673" i="8"/>
  <c r="H1669" i="8"/>
  <c r="H1663" i="8"/>
  <c r="H1324" i="8"/>
  <c r="H1064" i="8"/>
  <c r="H1037" i="8"/>
  <c r="H2725" i="8"/>
  <c r="H2718" i="8"/>
  <c r="H2349" i="8"/>
  <c r="H2044" i="8"/>
  <c r="H2002" i="8"/>
  <c r="H1951" i="8"/>
  <c r="H1923" i="8"/>
  <c r="H1918" i="8"/>
  <c r="H1913" i="8"/>
  <c r="H1909" i="8"/>
  <c r="H2691" i="11"/>
  <c r="H2408" i="11"/>
  <c r="H2389" i="11"/>
  <c r="H2383" i="11"/>
  <c r="H762" i="11"/>
  <c r="H650" i="11"/>
  <c r="H462" i="11"/>
  <c r="H2754" i="13"/>
  <c r="H2747" i="13"/>
  <c r="H2737" i="13"/>
  <c r="H2727" i="13"/>
  <c r="H2723" i="13"/>
  <c r="H1947" i="13"/>
  <c r="H1943" i="13"/>
  <c r="H1927" i="13"/>
  <c r="H1923" i="13"/>
  <c r="H1907" i="13"/>
  <c r="H1667" i="13"/>
  <c r="H2512" i="16"/>
  <c r="H2502" i="16"/>
  <c r="H2491" i="16"/>
  <c r="H1032" i="8"/>
  <c r="H1257" i="13"/>
  <c r="H1231" i="13"/>
  <c r="H1137" i="13"/>
  <c r="H1126" i="13"/>
  <c r="H745" i="16"/>
  <c r="H770" i="21"/>
  <c r="H1770" i="30"/>
  <c r="H410" i="33"/>
  <c r="H2229" i="8"/>
  <c r="H2126" i="8"/>
  <c r="H2116" i="8"/>
  <c r="H1686" i="11"/>
  <c r="H1680" i="11"/>
  <c r="H1422" i="11"/>
  <c r="H1234" i="11"/>
  <c r="H1222" i="11"/>
  <c r="H2332" i="13"/>
  <c r="H2251" i="13"/>
  <c r="H2197" i="13"/>
  <c r="H2187" i="13"/>
  <c r="H2166" i="13"/>
  <c r="H1958" i="13"/>
  <c r="H1846" i="13"/>
  <c r="H2461" i="16"/>
  <c r="H2340" i="16"/>
  <c r="H957" i="11"/>
  <c r="H962" i="11"/>
  <c r="H481" i="11"/>
  <c r="H1313" i="16"/>
  <c r="H905" i="16"/>
  <c r="H1794" i="21"/>
  <c r="H370" i="33"/>
  <c r="H1403" i="8"/>
  <c r="H1323" i="8"/>
  <c r="H1950" i="8"/>
  <c r="H2619" i="11"/>
  <c r="H1607" i="11"/>
  <c r="H1593" i="11"/>
  <c r="H1428" i="11"/>
  <c r="H1418" i="11"/>
  <c r="H1408" i="11"/>
  <c r="H1337" i="11"/>
  <c r="H1328" i="11"/>
  <c r="H1238" i="11"/>
  <c r="H818" i="11"/>
  <c r="H402" i="11"/>
  <c r="H388" i="11"/>
  <c r="H2511" i="13"/>
  <c r="H2250" i="13"/>
  <c r="H1954" i="13"/>
  <c r="H1950" i="13"/>
  <c r="H1791" i="13"/>
  <c r="H1713" i="13"/>
  <c r="H1703" i="13"/>
  <c r="H1593" i="16"/>
  <c r="H2516" i="16"/>
  <c r="H2505" i="16"/>
  <c r="H2464" i="16"/>
  <c r="H2174" i="16"/>
  <c r="H2111" i="16"/>
  <c r="H1543" i="8"/>
  <c r="H270" i="16"/>
  <c r="H2631" i="8"/>
  <c r="H2619" i="8"/>
  <c r="H2370" i="8"/>
  <c r="H2358" i="8"/>
  <c r="H2119" i="8"/>
  <c r="H398" i="11"/>
  <c r="H1906" i="16"/>
  <c r="H1675" i="21"/>
  <c r="H1291" i="21"/>
  <c r="H1287" i="21"/>
  <c r="H1231" i="21"/>
  <c r="H742" i="21"/>
  <c r="H1705" i="24"/>
  <c r="H1698" i="24"/>
  <c r="H1771" i="30"/>
  <c r="H611" i="11"/>
  <c r="H1045" i="16"/>
  <c r="H917" i="16"/>
  <c r="H1774" i="30"/>
  <c r="H1781" i="30"/>
  <c r="H2115" i="8"/>
  <c r="H1671" i="8"/>
  <c r="H1657" i="8"/>
  <c r="H1651" i="8"/>
  <c r="H2598" i="8"/>
  <c r="H2443" i="8"/>
  <c r="H2237" i="8"/>
  <c r="H2197" i="8"/>
  <c r="H2007" i="8"/>
  <c r="H1959" i="8"/>
  <c r="H1953" i="8"/>
  <c r="H1911" i="8"/>
  <c r="H2688" i="11"/>
  <c r="H2668" i="11"/>
  <c r="H2559" i="11"/>
  <c r="H2394" i="11"/>
  <c r="H2386" i="11"/>
  <c r="H2301" i="11"/>
  <c r="H2081" i="11"/>
  <c r="H1937" i="11"/>
  <c r="H1684" i="11"/>
  <c r="H1596" i="11"/>
  <c r="H1331" i="11"/>
  <c r="H878" i="11"/>
  <c r="H873" i="11"/>
  <c r="H868" i="11"/>
  <c r="H613" i="11"/>
  <c r="H589" i="11"/>
  <c r="H549" i="11"/>
  <c r="H391" i="11"/>
  <c r="H2665" i="13"/>
  <c r="H2645" i="13"/>
  <c r="H2607" i="13"/>
  <c r="H2603" i="13"/>
  <c r="H2587" i="13"/>
  <c r="H2518" i="13"/>
  <c r="H2431" i="13"/>
  <c r="H2285" i="13"/>
  <c r="H2258" i="13"/>
  <c r="H2247" i="13"/>
  <c r="H2191" i="13"/>
  <c r="H1863" i="13"/>
  <c r="H1490" i="13"/>
  <c r="H1253" i="13"/>
  <c r="H494" i="16"/>
  <c r="H1762" i="16"/>
  <c r="H1758" i="16"/>
  <c r="H1592" i="16"/>
  <c r="H1429" i="16"/>
  <c r="H1418" i="16"/>
  <c r="H2656" i="16"/>
  <c r="H2621" i="16"/>
  <c r="H2612" i="16"/>
  <c r="H2469" i="16"/>
  <c r="H2348" i="16"/>
  <c r="H1921" i="16"/>
  <c r="H1782" i="30"/>
  <c r="H1098" i="33"/>
  <c r="H1089" i="33"/>
  <c r="H729" i="21"/>
  <c r="H1708" i="24"/>
  <c r="H28" i="24"/>
  <c r="H688" i="24"/>
  <c r="H742" i="24"/>
  <c r="H1769" i="30"/>
  <c r="H1701" i="30"/>
  <c r="H1668" i="30"/>
  <c r="H749" i="33"/>
  <c r="H742" i="33"/>
  <c r="H1670" i="11"/>
  <c r="H1552" i="11"/>
  <c r="H1435" i="11"/>
  <c r="H1429" i="11"/>
  <c r="H1415" i="11"/>
  <c r="H1409" i="11"/>
  <c r="H1342" i="11"/>
  <c r="H1338" i="11"/>
  <c r="H1329" i="11"/>
  <c r="H969" i="11"/>
  <c r="H881" i="11"/>
  <c r="H770" i="11"/>
  <c r="H621" i="11"/>
  <c r="H2712" i="13"/>
  <c r="H2487" i="13"/>
  <c r="H2483" i="13"/>
  <c r="H2167" i="13"/>
  <c r="H2037" i="13"/>
  <c r="H1998" i="13"/>
  <c r="H1984" i="13"/>
  <c r="H1945" i="13"/>
  <c r="H1931" i="13"/>
  <c r="H1925" i="13"/>
  <c r="H1910" i="13"/>
  <c r="H1905" i="13"/>
  <c r="H1854" i="13"/>
  <c r="H1845" i="13"/>
  <c r="H1786" i="13"/>
  <c r="H1738" i="13"/>
  <c r="H1723" i="13"/>
  <c r="H1707" i="13"/>
  <c r="H1663" i="13"/>
  <c r="H1207" i="13"/>
  <c r="H1087" i="13"/>
  <c r="H1083" i="13"/>
  <c r="H2495" i="16"/>
  <c r="H2485" i="16"/>
  <c r="H2465" i="16"/>
  <c r="H2208" i="16"/>
  <c r="H2187" i="16"/>
  <c r="H1929" i="16"/>
  <c r="H1786" i="21"/>
  <c r="H1781" i="21"/>
  <c r="H1666" i="21"/>
  <c r="H1702" i="24"/>
  <c r="H1658" i="24"/>
  <c r="H1654" i="24"/>
  <c r="H1584" i="24"/>
  <c r="H328" i="24"/>
  <c r="H334" i="24"/>
  <c r="H418" i="24"/>
  <c r="H608" i="24"/>
  <c r="H612" i="24"/>
  <c r="H629" i="24"/>
  <c r="H639" i="24"/>
  <c r="H699" i="24"/>
  <c r="H749" i="24"/>
  <c r="H755" i="24"/>
  <c r="H2228" i="26"/>
  <c r="H2222" i="26"/>
  <c r="H1862" i="30"/>
  <c r="H1855" i="30"/>
  <c r="H1778" i="30"/>
  <c r="H1762" i="30"/>
  <c r="H761" i="33"/>
  <c r="H755" i="33"/>
  <c r="H836" i="21"/>
  <c r="H341" i="24"/>
  <c r="H388" i="24"/>
  <c r="H394" i="24"/>
  <c r="H407" i="24"/>
  <c r="H411" i="24"/>
  <c r="H531" i="24"/>
  <c r="H538" i="24"/>
  <c r="H559" i="24"/>
  <c r="H623" i="24"/>
  <c r="H743" i="24"/>
  <c r="H2457" i="26"/>
  <c r="H2290" i="26"/>
  <c r="H3042" i="26"/>
  <c r="H3021" i="26"/>
  <c r="H3001" i="26"/>
  <c r="H2981" i="26"/>
  <c r="H2117" i="30"/>
  <c r="H2111" i="30"/>
  <c r="H1849" i="30"/>
  <c r="H1833" i="30"/>
  <c r="H1265" i="24"/>
  <c r="H609" i="24"/>
  <c r="H739" i="24"/>
  <c r="H2317" i="26"/>
  <c r="H3013" i="26"/>
  <c r="H2993" i="26"/>
  <c r="H2800" i="26"/>
  <c r="H988" i="33"/>
  <c r="H948" i="33"/>
  <c r="H751" i="33"/>
  <c r="H175" i="24"/>
  <c r="H415" i="24"/>
  <c r="H702" i="24"/>
  <c r="H736" i="24"/>
  <c r="H2466" i="26"/>
  <c r="H2462" i="26"/>
  <c r="H2449" i="26"/>
  <c r="H2442" i="26"/>
  <c r="H2094" i="30"/>
  <c r="H2090" i="30"/>
  <c r="H1775" i="30"/>
  <c r="H998" i="33"/>
  <c r="H991" i="33"/>
  <c r="H987" i="33"/>
  <c r="H958" i="33"/>
  <c r="H2058" i="30"/>
  <c r="H2064" i="30"/>
  <c r="H2588" i="11"/>
  <c r="H2216" i="11"/>
  <c r="H341" i="11"/>
  <c r="H851" i="33"/>
  <c r="H2138" i="8"/>
  <c r="H2090" i="8"/>
  <c r="H2431" i="11"/>
  <c r="H2426" i="11"/>
  <c r="H1470" i="11"/>
  <c r="H890" i="11"/>
  <c r="H330" i="11"/>
  <c r="H1383" i="8"/>
  <c r="H1371" i="8"/>
  <c r="H1303" i="8"/>
  <c r="H1271" i="8"/>
  <c r="H1243" i="8"/>
  <c r="H1190" i="8"/>
  <c r="H1150" i="8"/>
  <c r="H1117" i="8"/>
  <c r="H2727" i="8"/>
  <c r="H2717" i="8"/>
  <c r="H2691" i="8"/>
  <c r="H2687" i="8"/>
  <c r="H2658" i="8"/>
  <c r="H2620" i="8"/>
  <c r="H2616" i="8"/>
  <c r="H2450" i="8"/>
  <c r="H2446" i="8"/>
  <c r="H2210" i="8"/>
  <c r="H2176" i="8"/>
  <c r="H2096" i="8"/>
  <c r="H1995" i="8"/>
  <c r="H1991" i="8"/>
  <c r="H1960" i="8"/>
  <c r="H2747" i="11"/>
  <c r="H2712" i="11"/>
  <c r="H2563" i="11"/>
  <c r="H2453" i="11"/>
  <c r="H2440" i="11"/>
  <c r="H2412" i="11"/>
  <c r="H2370" i="11"/>
  <c r="H2113" i="11"/>
  <c r="H2101" i="11"/>
  <c r="H2087" i="11"/>
  <c r="H2080" i="11"/>
  <c r="H2049" i="11"/>
  <c r="H2038" i="11"/>
  <c r="H1993" i="11"/>
  <c r="H1985" i="11"/>
  <c r="H1978" i="11"/>
  <c r="H1914" i="11"/>
  <c r="H1671" i="11"/>
  <c r="H1660" i="11"/>
  <c r="H931" i="11"/>
  <c r="H2057" i="30"/>
  <c r="H1112" i="8"/>
  <c r="H2659" i="8"/>
  <c r="H2581" i="11"/>
  <c r="H2102" i="11"/>
  <c r="H862" i="33"/>
  <c r="H2779" i="8"/>
  <c r="H1451" i="8"/>
  <c r="H1431" i="8"/>
  <c r="H1377" i="8"/>
  <c r="H1116" i="8"/>
  <c r="H911" i="8"/>
  <c r="H2590" i="8"/>
  <c r="H2261" i="8"/>
  <c r="H2256" i="8"/>
  <c r="H2186" i="8"/>
  <c r="H2149" i="8"/>
  <c r="H2137" i="8"/>
  <c r="H2086" i="8"/>
  <c r="H2083" i="8"/>
  <c r="H2077" i="8"/>
  <c r="H2950" i="11"/>
  <c r="H2790" i="11"/>
  <c r="H2785" i="11"/>
  <c r="H2779" i="11"/>
  <c r="H2740" i="11"/>
  <c r="H2572" i="11"/>
  <c r="H2568" i="11"/>
  <c r="H2551" i="11"/>
  <c r="H2540" i="11"/>
  <c r="H2523" i="11"/>
  <c r="H2517" i="11"/>
  <c r="H2447" i="11"/>
  <c r="H2436" i="11"/>
  <c r="H2430" i="11"/>
  <c r="H2425" i="11"/>
  <c r="H2407" i="11"/>
  <c r="H2402" i="11"/>
  <c r="H2355" i="11"/>
  <c r="H2257" i="11"/>
  <c r="H2215" i="11"/>
  <c r="H2202" i="11"/>
  <c r="H2198" i="11"/>
  <c r="H2192" i="11"/>
  <c r="H2120" i="11"/>
  <c r="H2093" i="11"/>
  <c r="H2042" i="11"/>
  <c r="H1989" i="11"/>
  <c r="H1984" i="11"/>
  <c r="H1913" i="11"/>
  <c r="H1702" i="11"/>
  <c r="H1663" i="11"/>
  <c r="H1655" i="11"/>
  <c r="H933" i="11"/>
  <c r="H941" i="11"/>
  <c r="H889" i="11"/>
  <c r="H862" i="11"/>
  <c r="H856" i="11"/>
  <c r="H849" i="11"/>
  <c r="H834" i="11"/>
  <c r="H2053" i="13"/>
  <c r="H2051" i="13"/>
  <c r="H2362" i="11"/>
  <c r="H912" i="8"/>
  <c r="H2150" i="8"/>
  <c r="H2741" i="11"/>
  <c r="H857" i="11"/>
  <c r="H850" i="11"/>
  <c r="H711" i="11"/>
  <c r="H336" i="11"/>
  <c r="H1860" i="8"/>
  <c r="H1624" i="8"/>
  <c r="H1597" i="8"/>
  <c r="H1591" i="8"/>
  <c r="H1557" i="8"/>
  <c r="H1529" i="8"/>
  <c r="H1500" i="8"/>
  <c r="H1457" i="8"/>
  <c r="H1424" i="8"/>
  <c r="H1297" i="8"/>
  <c r="H2757" i="8"/>
  <c r="H2720" i="8"/>
  <c r="H2517" i="8"/>
  <c r="H2449" i="8"/>
  <c r="H2226" i="8"/>
  <c r="H2206" i="8"/>
  <c r="H2199" i="8"/>
  <c r="H2195" i="8"/>
  <c r="H2179" i="8"/>
  <c r="H2143" i="8"/>
  <c r="H1917" i="8"/>
  <c r="H2946" i="11"/>
  <c r="H2833" i="11"/>
  <c r="H2784" i="11"/>
  <c r="H2767" i="11"/>
  <c r="H2760" i="11"/>
  <c r="H2579" i="11"/>
  <c r="H2561" i="11"/>
  <c r="H2532" i="11"/>
  <c r="H2522" i="11"/>
  <c r="H2509" i="11"/>
  <c r="H2214" i="11"/>
  <c r="H2209" i="11"/>
  <c r="H2191" i="11"/>
  <c r="H1983" i="11"/>
  <c r="H1919" i="11"/>
  <c r="H1906" i="11"/>
  <c r="H937" i="11"/>
  <c r="H930" i="11"/>
  <c r="H842" i="11"/>
  <c r="H2374" i="16"/>
  <c r="H2367" i="16"/>
  <c r="H2519" i="8"/>
  <c r="H2211" i="11"/>
  <c r="H858" i="33"/>
  <c r="H1452" i="8"/>
  <c r="H1443" i="8"/>
  <c r="H2478" i="8"/>
  <c r="H2751" i="11"/>
  <c r="H1510" i="8"/>
  <c r="H1290" i="8"/>
  <c r="H1204" i="8"/>
  <c r="H1164" i="8"/>
  <c r="H1124" i="8"/>
  <c r="H2777" i="8"/>
  <c r="H2726" i="8"/>
  <c r="H2476" i="8"/>
  <c r="H2290" i="8"/>
  <c r="H2276" i="8"/>
  <c r="H2089" i="8"/>
  <c r="H2429" i="11"/>
  <c r="H2401" i="11"/>
  <c r="H2321" i="11"/>
  <c r="H2316" i="11"/>
  <c r="H1910" i="11"/>
  <c r="H997" i="11"/>
  <c r="H1002" i="11"/>
  <c r="H1279" i="8"/>
  <c r="H2221" i="11"/>
  <c r="H1634" i="30"/>
  <c r="H1641" i="30"/>
  <c r="H1373" i="8"/>
  <c r="H2286" i="8"/>
  <c r="H2409" i="11"/>
  <c r="H2363" i="11"/>
  <c r="H1992" i="11"/>
  <c r="H1988" i="11"/>
  <c r="H1982" i="11"/>
  <c r="H1311" i="11"/>
  <c r="H990" i="11"/>
  <c r="H2213" i="13"/>
  <c r="H2206" i="13"/>
  <c r="H571" i="16"/>
  <c r="H566" i="16"/>
  <c r="H2770" i="8"/>
  <c r="H2759" i="8"/>
  <c r="H2664" i="8"/>
  <c r="H1310" i="11"/>
  <c r="H1111" i="11"/>
  <c r="H1630" i="30"/>
  <c r="H1439" i="8"/>
  <c r="H2278" i="8"/>
  <c r="H2078" i="8"/>
  <c r="H1269" i="8"/>
  <c r="H2719" i="8"/>
  <c r="H1851" i="8"/>
  <c r="H1840" i="8"/>
  <c r="H1633" i="8"/>
  <c r="H1629" i="8"/>
  <c r="H1617" i="8"/>
  <c r="H1611" i="8"/>
  <c r="H1520" i="8"/>
  <c r="H1513" i="8"/>
  <c r="H1509" i="8"/>
  <c r="H1464" i="8"/>
  <c r="H1460" i="8"/>
  <c r="H1453" i="8"/>
  <c r="H1449" i="8"/>
  <c r="H1440" i="8"/>
  <c r="H1433" i="8"/>
  <c r="H1429" i="8"/>
  <c r="H1397" i="8"/>
  <c r="H1384" i="8"/>
  <c r="H1380" i="8"/>
  <c r="H1304" i="8"/>
  <c r="H1293" i="8"/>
  <c r="H1123" i="8"/>
  <c r="H2807" i="8"/>
  <c r="H2744" i="8"/>
  <c r="H2738" i="8"/>
  <c r="H2527" i="8"/>
  <c r="H2436" i="8"/>
  <c r="H2326" i="8"/>
  <c r="H2139" i="8"/>
  <c r="H2135" i="8"/>
  <c r="H2079" i="8"/>
  <c r="H2075" i="8"/>
  <c r="H1924" i="8"/>
  <c r="H1915" i="8"/>
  <c r="H1910" i="8"/>
  <c r="H2970" i="11"/>
  <c r="H2966" i="11"/>
  <c r="H2959" i="11"/>
  <c r="H2945" i="11"/>
  <c r="H2938" i="11"/>
  <c r="H2748" i="11"/>
  <c r="H2531" i="11"/>
  <c r="H2357" i="11"/>
  <c r="H2225" i="11"/>
  <c r="H2217" i="11"/>
  <c r="H2213" i="11"/>
  <c r="H2088" i="11"/>
  <c r="H2061" i="11"/>
  <c r="H1478" i="11"/>
  <c r="H1471" i="11"/>
  <c r="H1122" i="11"/>
  <c r="H1010" i="11"/>
  <c r="H848" i="11"/>
  <c r="H769" i="11"/>
  <c r="H717" i="11"/>
  <c r="H710" i="11"/>
  <c r="H409" i="11"/>
  <c r="H350" i="11"/>
  <c r="H2673" i="13"/>
  <c r="H2438" i="13"/>
  <c r="H2405" i="13"/>
  <c r="H2190" i="13"/>
  <c r="H2185" i="13"/>
  <c r="H2050" i="13"/>
  <c r="H2045" i="13"/>
  <c r="H1852" i="13"/>
  <c r="H1785" i="13"/>
  <c r="H1706" i="13"/>
  <c r="H1697" i="13"/>
  <c r="H1685" i="13"/>
  <c r="H1666" i="13"/>
  <c r="H1625" i="13"/>
  <c r="H1610" i="13"/>
  <c r="H1605" i="13"/>
  <c r="H1586" i="13"/>
  <c r="H1565" i="13"/>
  <c r="H1118" i="13"/>
  <c r="H1104" i="13"/>
  <c r="H1074" i="13"/>
  <c r="H1064" i="13"/>
  <c r="H770" i="16"/>
  <c r="H448" i="16"/>
  <c r="H1973" i="16"/>
  <c r="H1096" i="24"/>
  <c r="H2649" i="26"/>
  <c r="H2642" i="26"/>
  <c r="H2324" i="26"/>
  <c r="H2320" i="26"/>
  <c r="H2065" i="30"/>
  <c r="H1735" i="30"/>
  <c r="H1642" i="30"/>
  <c r="H1533" i="11"/>
  <c r="H1499" i="11"/>
  <c r="H1475" i="11"/>
  <c r="H1441" i="11"/>
  <c r="H1421" i="11"/>
  <c r="H1417" i="11"/>
  <c r="H1368" i="11"/>
  <c r="H1315" i="11"/>
  <c r="H1237" i="11"/>
  <c r="H1230" i="11"/>
  <c r="H1221" i="11"/>
  <c r="H1117" i="11"/>
  <c r="H1110" i="11"/>
  <c r="H1009" i="11"/>
  <c r="H989" i="11"/>
  <c r="H982" i="11"/>
  <c r="H929" i="11"/>
  <c r="H858" i="11"/>
  <c r="H782" i="11"/>
  <c r="H662" i="11"/>
  <c r="H649" i="11"/>
  <c r="H637" i="11"/>
  <c r="H609" i="11"/>
  <c r="H598" i="11"/>
  <c r="H501" i="11"/>
  <c r="H498" i="11"/>
  <c r="H488" i="11"/>
  <c r="H450" i="11"/>
  <c r="H429" i="11"/>
  <c r="H422" i="11"/>
  <c r="H329" i="11"/>
  <c r="H2464" i="13"/>
  <c r="H2450" i="13"/>
  <c r="H2434" i="13"/>
  <c r="H2430" i="13"/>
  <c r="H2425" i="13"/>
  <c r="H2411" i="13"/>
  <c r="H2294" i="13"/>
  <c r="H2290" i="13"/>
  <c r="H2284" i="13"/>
  <c r="H2274" i="13"/>
  <c r="H2264" i="13"/>
  <c r="H2253" i="13"/>
  <c r="H2246" i="13"/>
  <c r="H2070" i="13"/>
  <c r="H2058" i="13"/>
  <c r="H1798" i="13"/>
  <c r="H1244" i="13"/>
  <c r="H1234" i="13"/>
  <c r="H1230" i="13"/>
  <c r="H1224" i="13"/>
  <c r="H1171" i="13"/>
  <c r="H1165" i="13"/>
  <c r="H1145" i="13"/>
  <c r="H1130" i="13"/>
  <c r="H1124" i="13"/>
  <c r="H1044" i="13"/>
  <c r="H551" i="16"/>
  <c r="H2591" i="16"/>
  <c r="H2566" i="26"/>
  <c r="H2557" i="26"/>
  <c r="H1742" i="30"/>
  <c r="H1516" i="11"/>
  <c r="H1510" i="11"/>
  <c r="H1389" i="11"/>
  <c r="H1275" i="11"/>
  <c r="H1269" i="11"/>
  <c r="H1149" i="11"/>
  <c r="H1035" i="11"/>
  <c r="H861" i="11"/>
  <c r="H851" i="11"/>
  <c r="H841" i="11"/>
  <c r="H836" i="11"/>
  <c r="H810" i="11"/>
  <c r="H761" i="11"/>
  <c r="H750" i="11"/>
  <c r="H408" i="11"/>
  <c r="H349" i="11"/>
  <c r="H342" i="11"/>
  <c r="H2667" i="13"/>
  <c r="H2618" i="13"/>
  <c r="H2605" i="13"/>
  <c r="H2590" i="13"/>
  <c r="H2585" i="13"/>
  <c r="H2418" i="13"/>
  <c r="H2410" i="13"/>
  <c r="H2211" i="13"/>
  <c r="H2194" i="13"/>
  <c r="H2184" i="13"/>
  <c r="H2044" i="13"/>
  <c r="H2011" i="13"/>
  <c r="H1847" i="13"/>
  <c r="H1794" i="13"/>
  <c r="H1790" i="13"/>
  <c r="H1730" i="13"/>
  <c r="H1705" i="13"/>
  <c r="H1690" i="13"/>
  <c r="H1678" i="13"/>
  <c r="H1671" i="13"/>
  <c r="H1665" i="13"/>
  <c r="H1630" i="13"/>
  <c r="H1618" i="13"/>
  <c r="H1614" i="13"/>
  <c r="H1598" i="13"/>
  <c r="H1591" i="13"/>
  <c r="H1585" i="13"/>
  <c r="H1570" i="13"/>
  <c r="H1517" i="13"/>
  <c r="H1485" i="13"/>
  <c r="H1470" i="13"/>
  <c r="H1450" i="13"/>
  <c r="H1445" i="13"/>
  <c r="H1405" i="13"/>
  <c r="H1391" i="13"/>
  <c r="H1378" i="13"/>
  <c r="H1370" i="13"/>
  <c r="H1364" i="13"/>
  <c r="H1354" i="13"/>
  <c r="H1350" i="13"/>
  <c r="H1310" i="13"/>
  <c r="H1298" i="13"/>
  <c r="H1291" i="13"/>
  <c r="H1285" i="13"/>
  <c r="H1170" i="13"/>
  <c r="H1158" i="13"/>
  <c r="H1138" i="13"/>
  <c r="H1134" i="13"/>
  <c r="H1114" i="13"/>
  <c r="H1107" i="13"/>
  <c r="H1097" i="13"/>
  <c r="H1093" i="13"/>
  <c r="H1067" i="13"/>
  <c r="H1034" i="13"/>
  <c r="H1024" i="13"/>
  <c r="H756" i="16"/>
  <c r="H750" i="16"/>
  <c r="H492" i="16"/>
  <c r="H451" i="16"/>
  <c r="H2135" i="16"/>
  <c r="H2973" i="26"/>
  <c r="H1909" i="11"/>
  <c r="H1868" i="11"/>
  <c r="H1847" i="11"/>
  <c r="H1843" i="11"/>
  <c r="H1809" i="11"/>
  <c r="H1799" i="11"/>
  <c r="H1729" i="11"/>
  <c r="H1532" i="11"/>
  <c r="H1515" i="11"/>
  <c r="H1497" i="11"/>
  <c r="H1395" i="11"/>
  <c r="H1382" i="11"/>
  <c r="H1378" i="11"/>
  <c r="H1371" i="11"/>
  <c r="H1357" i="11"/>
  <c r="H1262" i="11"/>
  <c r="H1258" i="11"/>
  <c r="H1251" i="11"/>
  <c r="H1229" i="11"/>
  <c r="H1109" i="11"/>
  <c r="H988" i="11"/>
  <c r="H938" i="11"/>
  <c r="H928" i="11"/>
  <c r="H658" i="11"/>
  <c r="H622" i="11"/>
  <c r="H541" i="11"/>
  <c r="H538" i="11"/>
  <c r="H531" i="11"/>
  <c r="H491" i="11"/>
  <c r="H442" i="11"/>
  <c r="H428" i="11"/>
  <c r="H2565" i="13"/>
  <c r="H2507" i="13"/>
  <c r="H2412" i="13"/>
  <c r="H2245" i="13"/>
  <c r="H2210" i="13"/>
  <c r="H2204" i="13"/>
  <c r="H2057" i="13"/>
  <c r="H1870" i="13"/>
  <c r="H1858" i="13"/>
  <c r="H1851" i="13"/>
  <c r="H1818" i="13"/>
  <c r="H1718" i="13"/>
  <c r="H1638" i="13"/>
  <c r="H1590" i="13"/>
  <c r="H1491" i="13"/>
  <c r="H1478" i="13"/>
  <c r="H1438" i="13"/>
  <c r="H1431" i="13"/>
  <c r="H1411" i="13"/>
  <c r="H1398" i="13"/>
  <c r="H1390" i="13"/>
  <c r="H1374" i="13"/>
  <c r="H1304" i="13"/>
  <c r="H1278" i="13"/>
  <c r="H1258" i="13"/>
  <c r="H1247" i="13"/>
  <c r="H1243" i="13"/>
  <c r="H1227" i="13"/>
  <c r="H1127" i="13"/>
  <c r="H1123" i="13"/>
  <c r="H1117" i="13"/>
  <c r="H1053" i="13"/>
  <c r="H1047" i="13"/>
  <c r="H1037" i="13"/>
  <c r="H504" i="16"/>
  <c r="H498" i="16"/>
  <c r="H2592" i="16"/>
  <c r="H2972" i="26"/>
  <c r="H1802" i="30"/>
  <c r="H1795" i="30"/>
  <c r="H438" i="11"/>
  <c r="H2407" i="13"/>
  <c r="H2047" i="13"/>
  <c r="H1812" i="13"/>
  <c r="H1803" i="13"/>
  <c r="H1797" i="13"/>
  <c r="H1787" i="13"/>
  <c r="H1698" i="13"/>
  <c r="H1687" i="13"/>
  <c r="H1634" i="13"/>
  <c r="H1627" i="13"/>
  <c r="H1613" i="13"/>
  <c r="H1607" i="13"/>
  <c r="H1578" i="13"/>
  <c r="H1574" i="13"/>
  <c r="H1567" i="13"/>
  <c r="H599" i="24"/>
  <c r="H598" i="24"/>
  <c r="H602" i="24"/>
  <c r="H3086" i="26"/>
  <c r="H3091" i="26"/>
  <c r="H502" i="11"/>
  <c r="H490" i="11"/>
  <c r="H338" i="11"/>
  <c r="H331" i="11"/>
  <c r="H2427" i="13"/>
  <c r="H2403" i="13"/>
  <c r="H2397" i="13"/>
  <c r="H2311" i="13"/>
  <c r="H2266" i="13"/>
  <c r="H1783" i="13"/>
  <c r="H1151" i="16"/>
  <c r="H972" i="16"/>
  <c r="H936" i="16"/>
  <c r="H318" i="24"/>
  <c r="H322" i="24"/>
  <c r="H351" i="24"/>
  <c r="H358" i="24"/>
  <c r="H478" i="24"/>
  <c r="H512" i="24"/>
  <c r="H1875" i="26"/>
  <c r="H3087" i="26"/>
  <c r="H1520" i="16"/>
  <c r="H1509" i="16"/>
  <c r="H1453" i="16"/>
  <c r="H1145" i="16"/>
  <c r="H1139" i="16"/>
  <c r="H2595" i="16"/>
  <c r="H2583" i="16"/>
  <c r="H2382" i="16"/>
  <c r="H2368" i="16"/>
  <c r="H2288" i="16"/>
  <c r="H2194" i="16"/>
  <c r="H2181" i="16"/>
  <c r="H2161" i="16"/>
  <c r="H2084" i="16"/>
  <c r="H1986" i="16"/>
  <c r="H1926" i="16"/>
  <c r="H1784" i="21"/>
  <c r="H1502" i="21"/>
  <c r="H1495" i="21"/>
  <c r="H1050" i="21"/>
  <c r="H985" i="21"/>
  <c r="H1346" i="24"/>
  <c r="H1316" i="24"/>
  <c r="H56" i="24"/>
  <c r="H189" i="24"/>
  <c r="H195" i="24"/>
  <c r="H201" i="24"/>
  <c r="H275" i="24"/>
  <c r="H329" i="24"/>
  <c r="H395" i="24"/>
  <c r="H483" i="24"/>
  <c r="H508" i="24"/>
  <c r="H695" i="24"/>
  <c r="H782" i="24"/>
  <c r="H792" i="24"/>
  <c r="H812" i="24"/>
  <c r="H816" i="24"/>
  <c r="H836" i="24"/>
  <c r="H890" i="24"/>
  <c r="H894" i="24"/>
  <c r="H928" i="24"/>
  <c r="H976" i="24"/>
  <c r="H1004" i="24"/>
  <c r="H1008" i="24"/>
  <c r="H1089" i="24"/>
  <c r="H1094" i="24"/>
  <c r="H1189" i="24"/>
  <c r="H1687" i="26"/>
  <c r="H1681" i="26"/>
  <c r="H2653" i="26"/>
  <c r="H2641" i="26"/>
  <c r="H2629" i="26"/>
  <c r="H2535" i="26"/>
  <c r="H2435" i="26"/>
  <c r="H2422" i="26"/>
  <c r="H2418" i="26"/>
  <c r="H2369" i="26"/>
  <c r="H2346" i="26"/>
  <c r="H2088" i="26"/>
  <c r="H2003" i="26"/>
  <c r="H1874" i="26"/>
  <c r="H1868" i="26"/>
  <c r="H3114" i="26"/>
  <c r="H3103" i="26"/>
  <c r="H2872" i="26"/>
  <c r="H2862" i="26"/>
  <c r="H2805" i="26"/>
  <c r="H2799" i="26"/>
  <c r="H2752" i="26"/>
  <c r="H2725" i="26"/>
  <c r="H2720" i="26"/>
  <c r="H2181" i="30"/>
  <c r="H2174" i="30"/>
  <c r="H2120" i="30"/>
  <c r="H2114" i="30"/>
  <c r="H2110" i="30"/>
  <c r="H2104" i="30"/>
  <c r="H2100" i="30"/>
  <c r="H1629" i="30"/>
  <c r="H1532" i="16"/>
  <c r="H1526" i="16"/>
  <c r="H1332" i="16"/>
  <c r="H970" i="16"/>
  <c r="H1872" i="16"/>
  <c r="H1860" i="16"/>
  <c r="H1806" i="16"/>
  <c r="H2375" i="16"/>
  <c r="H2362" i="16"/>
  <c r="H1980" i="16"/>
  <c r="H1960" i="16"/>
  <c r="H1949" i="16"/>
  <c r="H1835" i="21"/>
  <c r="H1655" i="21"/>
  <c r="H1651" i="21"/>
  <c r="H1542" i="21"/>
  <c r="H1271" i="21"/>
  <c r="H1267" i="21"/>
  <c r="H1195" i="21"/>
  <c r="H1189" i="21"/>
  <c r="H1537" i="24"/>
  <c r="H1456" i="24"/>
  <c r="H1268" i="24"/>
  <c r="H141" i="24"/>
  <c r="H271" i="24"/>
  <c r="H313" i="24"/>
  <c r="H389" i="24"/>
  <c r="H479" i="24"/>
  <c r="H532" i="24"/>
  <c r="H556" i="24"/>
  <c r="H572" i="24"/>
  <c r="H630" i="24"/>
  <c r="H668" i="24"/>
  <c r="H841" i="24"/>
  <c r="H966" i="24"/>
  <c r="H1076" i="24"/>
  <c r="H1145" i="24"/>
  <c r="H1149" i="24"/>
  <c r="H1822" i="26"/>
  <c r="H1751" i="26"/>
  <c r="H1744" i="26"/>
  <c r="H1728" i="26"/>
  <c r="H2705" i="26"/>
  <c r="H2699" i="26"/>
  <c r="H2061" i="30"/>
  <c r="H1755" i="30"/>
  <c r="H1751" i="30"/>
  <c r="H1738" i="30"/>
  <c r="H1734" i="30"/>
  <c r="H1729" i="30"/>
  <c r="H1638" i="30"/>
  <c r="H1586" i="16"/>
  <c r="H1452" i="16"/>
  <c r="H1446" i="16"/>
  <c r="H1138" i="16"/>
  <c r="H1052" i="16"/>
  <c r="H1016" i="16"/>
  <c r="H1882" i="16"/>
  <c r="H1866" i="16"/>
  <c r="H1820" i="16"/>
  <c r="H1805" i="16"/>
  <c r="H2582" i="16"/>
  <c r="H2260" i="16"/>
  <c r="H2184" i="16"/>
  <c r="H2164" i="16"/>
  <c r="H2083" i="16"/>
  <c r="H2013" i="16"/>
  <c r="H1989" i="16"/>
  <c r="H1985" i="16"/>
  <c r="H1966" i="16"/>
  <c r="H1953" i="16"/>
  <c r="H1842" i="21"/>
  <c r="H1662" i="21"/>
  <c r="H1685" i="24"/>
  <c r="H1678" i="24"/>
  <c r="H1674" i="24"/>
  <c r="H1596" i="24"/>
  <c r="H1349" i="24"/>
  <c r="H18" i="24"/>
  <c r="H22" i="24"/>
  <c r="H148" i="24"/>
  <c r="H162" i="24"/>
  <c r="H516" i="24"/>
  <c r="H522" i="24"/>
  <c r="H971" i="24"/>
  <c r="H977" i="24"/>
  <c r="H2325" i="26"/>
  <c r="H2303" i="26"/>
  <c r="H2299" i="26"/>
  <c r="H2288" i="26"/>
  <c r="H2281" i="26"/>
  <c r="H2277" i="26"/>
  <c r="H2271" i="26"/>
  <c r="H2008" i="26"/>
  <c r="H1866" i="26"/>
  <c r="H2900" i="26"/>
  <c r="I2900" i="26" s="1"/>
  <c r="H2802" i="26"/>
  <c r="H2733" i="26"/>
  <c r="H2719" i="26"/>
  <c r="H1788" i="30"/>
  <c r="H1741" i="30"/>
  <c r="H1720" i="16"/>
  <c r="H1686" i="16"/>
  <c r="H1632" i="16"/>
  <c r="H1224" i="16"/>
  <c r="H1219" i="16"/>
  <c r="H1044" i="16"/>
  <c r="H1865" i="16"/>
  <c r="H1859" i="16"/>
  <c r="H1826" i="16"/>
  <c r="H1813" i="16"/>
  <c r="H2549" i="16"/>
  <c r="H2532" i="16"/>
  <c r="H2295" i="16"/>
  <c r="H2281" i="16"/>
  <c r="H2095" i="16"/>
  <c r="H2088" i="16"/>
  <c r="H2029" i="16"/>
  <c r="H2019" i="16"/>
  <c r="H1979" i="16"/>
  <c r="H1965" i="16"/>
  <c r="H1959" i="16"/>
  <c r="H654" i="21"/>
  <c r="H1360" i="24"/>
  <c r="H48" i="24"/>
  <c r="H154" i="24"/>
  <c r="H349" i="24"/>
  <c r="H355" i="24"/>
  <c r="H474" i="24"/>
  <c r="H510" i="24"/>
  <c r="H595" i="24"/>
  <c r="H963" i="24"/>
  <c r="H1827" i="26"/>
  <c r="H1821" i="26"/>
  <c r="H1667" i="26"/>
  <c r="H2007" i="26"/>
  <c r="H3081" i="26"/>
  <c r="H1728" i="30"/>
  <c r="H1022" i="33"/>
  <c r="H1017" i="33"/>
  <c r="H1726" i="16"/>
  <c r="H1713" i="16"/>
  <c r="H1679" i="16"/>
  <c r="H1506" i="16"/>
  <c r="H1432" i="16"/>
  <c r="H1426" i="16"/>
  <c r="H1420" i="16"/>
  <c r="H1240" i="16"/>
  <c r="H1148" i="16"/>
  <c r="H973" i="16"/>
  <c r="H966" i="16"/>
  <c r="H922" i="16"/>
  <c r="H2585" i="16"/>
  <c r="H2548" i="16"/>
  <c r="H2542" i="16"/>
  <c r="H2522" i="16"/>
  <c r="H2404" i="16"/>
  <c r="H2384" i="16"/>
  <c r="H2183" i="16"/>
  <c r="H2168" i="16"/>
  <c r="H2163" i="16"/>
  <c r="H2151" i="16"/>
  <c r="H2141" i="16"/>
  <c r="H2082" i="16"/>
  <c r="H1993" i="16"/>
  <c r="H1969" i="16"/>
  <c r="H69" i="24"/>
  <c r="H75" i="24"/>
  <c r="H518" i="24"/>
  <c r="H1057" i="24"/>
  <c r="H1151" i="24"/>
  <c r="H1156" i="24"/>
  <c r="H2427" i="26"/>
  <c r="H2420" i="26"/>
  <c r="H2287" i="26"/>
  <c r="H2276" i="26"/>
  <c r="H2223" i="26"/>
  <c r="H2135" i="26"/>
  <c r="H2091" i="26"/>
  <c r="H2084" i="26"/>
  <c r="H2080" i="26"/>
  <c r="H3111" i="26"/>
  <c r="H3094" i="26"/>
  <c r="H2808" i="26"/>
  <c r="H2801" i="26"/>
  <c r="H2722" i="26"/>
  <c r="H2121" i="30"/>
  <c r="H2112" i="30"/>
  <c r="H1902" i="30"/>
  <c r="H1894" i="30"/>
  <c r="H1791" i="30"/>
  <c r="H1631" i="30"/>
  <c r="H1766" i="16"/>
  <c r="H1589" i="16"/>
  <c r="H1582" i="16"/>
  <c r="H1578" i="16"/>
  <c r="H1442" i="16"/>
  <c r="H1366" i="16"/>
  <c r="H1329" i="16"/>
  <c r="H1269" i="16"/>
  <c r="H1246" i="16"/>
  <c r="H1152" i="16"/>
  <c r="H1869" i="16"/>
  <c r="H1862" i="16"/>
  <c r="H1802" i="16"/>
  <c r="H2629" i="16"/>
  <c r="H2394" i="16"/>
  <c r="H2388" i="16"/>
  <c r="H2370" i="16"/>
  <c r="H2364" i="16"/>
  <c r="H2360" i="16"/>
  <c r="H2294" i="16"/>
  <c r="H2284" i="16"/>
  <c r="H2280" i="16"/>
  <c r="H2131" i="16"/>
  <c r="H2124" i="16"/>
  <c r="H1982" i="16"/>
  <c r="H1962" i="16"/>
  <c r="H1922" i="16"/>
  <c r="H1653" i="21"/>
  <c r="H1545" i="21"/>
  <c r="H1539" i="21"/>
  <c r="H1499" i="21"/>
  <c r="H1445" i="21"/>
  <c r="H1294" i="21"/>
  <c r="H1198" i="21"/>
  <c r="H1039" i="21"/>
  <c r="H1023" i="21"/>
  <c r="H872" i="21"/>
  <c r="H651" i="21"/>
  <c r="H635" i="21"/>
  <c r="H622" i="21"/>
  <c r="H1701" i="24"/>
  <c r="H1695" i="24"/>
  <c r="H1442" i="24"/>
  <c r="H1359" i="24"/>
  <c r="H1266" i="24"/>
  <c r="H1147" i="24"/>
  <c r="H1199" i="24"/>
  <c r="H1754" i="26"/>
  <c r="H2625" i="26"/>
  <c r="H2426" i="26"/>
  <c r="H2336" i="26"/>
  <c r="H2312" i="26"/>
  <c r="H2308" i="26"/>
  <c r="H2292" i="26"/>
  <c r="H2268" i="26"/>
  <c r="H2229" i="26"/>
  <c r="H2067" i="26"/>
  <c r="H2055" i="26"/>
  <c r="H3080" i="26"/>
  <c r="H2812" i="26"/>
  <c r="H2732" i="26"/>
  <c r="H2105" i="30"/>
  <c r="H2098" i="30"/>
  <c r="H1731" i="30"/>
  <c r="H1635" i="30"/>
  <c r="H1055" i="33"/>
  <c r="H555" i="33"/>
  <c r="H450" i="33"/>
  <c r="H358" i="33"/>
  <c r="H353" i="33"/>
  <c r="H1251" i="33"/>
  <c r="H1218" i="33"/>
  <c r="H1213" i="33"/>
  <c r="H1171" i="33"/>
  <c r="H1101" i="33"/>
  <c r="H362" i="33"/>
  <c r="H348" i="33"/>
  <c r="H313" i="33"/>
  <c r="H1255" i="33"/>
  <c r="H1221" i="33"/>
  <c r="H1208" i="33"/>
  <c r="H1175" i="33"/>
  <c r="H1058" i="33"/>
  <c r="H1051" i="33"/>
  <c r="H1940" i="16"/>
  <c r="H1902" i="16"/>
  <c r="H1845" i="21"/>
  <c r="H1779" i="21"/>
  <c r="H1742" i="21"/>
  <c r="H1731" i="21"/>
  <c r="H1701" i="21"/>
  <c r="H1665" i="21"/>
  <c r="H1659" i="21"/>
  <c r="H1615" i="21"/>
  <c r="H1611" i="21"/>
  <c r="H1599" i="21"/>
  <c r="H1533" i="21"/>
  <c r="H1498" i="21"/>
  <c r="H1455" i="21"/>
  <c r="H1221" i="21"/>
  <c r="H1186" i="21"/>
  <c r="H1046" i="21"/>
  <c r="H634" i="21"/>
  <c r="H1376" i="24"/>
  <c r="H1370" i="24"/>
  <c r="H1353" i="24"/>
  <c r="H33" i="24"/>
  <c r="H38" i="24"/>
  <c r="H155" i="24"/>
  <c r="H536" i="24"/>
  <c r="H542" i="24"/>
  <c r="H596" i="24"/>
  <c r="H628" i="24"/>
  <c r="H632" i="24"/>
  <c r="H839" i="24"/>
  <c r="H873" i="24"/>
  <c r="H1186" i="24"/>
  <c r="H1834" i="26"/>
  <c r="H1727" i="26"/>
  <c r="H1721" i="26"/>
  <c r="H1691" i="26"/>
  <c r="H1684" i="26"/>
  <c r="H1668" i="26"/>
  <c r="H2669" i="26"/>
  <c r="H2652" i="26"/>
  <c r="H2633" i="26"/>
  <c r="H2563" i="26"/>
  <c r="H2541" i="26"/>
  <c r="H2447" i="26"/>
  <c r="H2315" i="26"/>
  <c r="H2310" i="26"/>
  <c r="H2294" i="26"/>
  <c r="H2266" i="26"/>
  <c r="H2225" i="26"/>
  <c r="H2940" i="26"/>
  <c r="H2893" i="26"/>
  <c r="H2868" i="26"/>
  <c r="H2809" i="26"/>
  <c r="H2762" i="26"/>
  <c r="H2185" i="30"/>
  <c r="H2052" i="30"/>
  <c r="H2018" i="30"/>
  <c r="H1031" i="33"/>
  <c r="H834" i="33"/>
  <c r="H668" i="33"/>
  <c r="H601" i="33"/>
  <c r="H589" i="33"/>
  <c r="H475" i="33"/>
  <c r="H368" i="33"/>
  <c r="H273" i="33"/>
  <c r="H875" i="33"/>
  <c r="H861" i="33"/>
  <c r="H857" i="33"/>
  <c r="H850" i="33"/>
  <c r="H798" i="33"/>
  <c r="H781" i="33"/>
  <c r="H713" i="33"/>
  <c r="H708" i="33"/>
  <c r="H655" i="33"/>
  <c r="H607" i="33"/>
  <c r="H558" i="33"/>
  <c r="H382" i="33"/>
  <c r="H373" i="33"/>
  <c r="H282" i="33"/>
  <c r="H842" i="33"/>
  <c r="H831" i="33"/>
  <c r="H718" i="33"/>
  <c r="H654" i="33"/>
  <c r="H611" i="33"/>
  <c r="H595" i="33"/>
  <c r="H2418" i="8"/>
  <c r="H2850" i="11"/>
  <c r="H2804" i="11"/>
  <c r="H2601" i="11"/>
  <c r="H2472" i="11"/>
  <c r="H2142" i="11"/>
  <c r="H671" i="11"/>
  <c r="H1891" i="13"/>
  <c r="H1778" i="13"/>
  <c r="H1546" i="13"/>
  <c r="H1718" i="24"/>
  <c r="H437" i="24"/>
  <c r="H442" i="24"/>
  <c r="H1650" i="30"/>
  <c r="H1823" i="8"/>
  <c r="H1692" i="8"/>
  <c r="H1264" i="8"/>
  <c r="H1239" i="8"/>
  <c r="H1233" i="8"/>
  <c r="H1229" i="8"/>
  <c r="H1183" i="8"/>
  <c r="H1017" i="8"/>
  <c r="H933" i="8"/>
  <c r="H2800" i="8"/>
  <c r="H2680" i="8"/>
  <c r="H2646" i="8"/>
  <c r="H2640" i="8"/>
  <c r="H2636" i="8"/>
  <c r="H2560" i="8"/>
  <c r="H2556" i="8"/>
  <c r="H2499" i="8"/>
  <c r="H2495" i="8"/>
  <c r="H2459" i="8"/>
  <c r="H2423" i="8"/>
  <c r="H2319" i="8"/>
  <c r="H2219" i="8"/>
  <c r="H2159" i="8"/>
  <c r="H2155" i="8"/>
  <c r="H2016" i="8"/>
  <c r="H1986" i="8"/>
  <c r="H1982" i="8"/>
  <c r="H1937" i="8"/>
  <c r="H2989" i="11"/>
  <c r="H2978" i="11"/>
  <c r="H2864" i="11"/>
  <c r="H2856" i="11"/>
  <c r="H2810" i="11"/>
  <c r="H2348" i="11"/>
  <c r="H2344" i="11"/>
  <c r="H2314" i="11"/>
  <c r="H2310" i="11"/>
  <c r="H2244" i="11"/>
  <c r="H1462" i="11"/>
  <c r="H1451" i="11"/>
  <c r="H1447" i="11"/>
  <c r="H1302" i="11"/>
  <c r="H1298" i="11"/>
  <c r="H1291" i="11"/>
  <c r="H2094" i="13"/>
  <c r="H2090" i="13"/>
  <c r="H1898" i="13"/>
  <c r="H1885" i="13"/>
  <c r="H1770" i="13"/>
  <c r="H1765" i="13"/>
  <c r="H2676" i="16"/>
  <c r="H2671" i="16"/>
  <c r="H2057" i="8"/>
  <c r="H2234" i="11"/>
  <c r="H2171" i="11"/>
  <c r="H2165" i="11"/>
  <c r="H2002" i="11"/>
  <c r="H741" i="11"/>
  <c r="H731" i="11"/>
  <c r="H430" i="24"/>
  <c r="H1662" i="30"/>
  <c r="H1655" i="30"/>
  <c r="H970" i="33"/>
  <c r="H1884" i="8"/>
  <c r="H1873" i="8"/>
  <c r="H1869" i="8"/>
  <c r="H1793" i="8"/>
  <c r="H1493" i="8"/>
  <c r="H1489" i="8"/>
  <c r="H1349" i="8"/>
  <c r="H1880" i="8"/>
  <c r="H1863" i="8"/>
  <c r="H1833" i="8"/>
  <c r="H1829" i="8"/>
  <c r="H1817" i="8"/>
  <c r="H1811" i="8"/>
  <c r="H1800" i="8"/>
  <c r="H1664" i="8"/>
  <c r="H1644" i="8"/>
  <c r="H1640" i="8"/>
  <c r="H1623" i="8"/>
  <c r="H1600" i="8"/>
  <c r="H1590" i="8"/>
  <c r="H1450" i="8"/>
  <c r="H1370" i="8"/>
  <c r="H1211" i="8"/>
  <c r="H1200" i="8"/>
  <c r="H1193" i="8"/>
  <c r="H1171" i="8"/>
  <c r="H1160" i="8"/>
  <c r="H1153" i="8"/>
  <c r="H1131" i="8"/>
  <c r="H1120" i="8"/>
  <c r="H1083" i="8"/>
  <c r="H1071" i="8"/>
  <c r="H1039" i="8"/>
  <c r="H1011" i="8"/>
  <c r="H1000" i="8"/>
  <c r="H957" i="8"/>
  <c r="H951" i="8"/>
  <c r="H940" i="8"/>
  <c r="H917" i="8"/>
  <c r="H2790" i="8"/>
  <c r="H2780" i="8"/>
  <c r="H2776" i="8"/>
  <c r="H2760" i="8"/>
  <c r="H2756" i="8"/>
  <c r="H2706" i="8"/>
  <c r="H2690" i="8"/>
  <c r="H2670" i="8"/>
  <c r="H2667" i="8"/>
  <c r="H2645" i="8"/>
  <c r="H2611" i="8"/>
  <c r="H2580" i="8"/>
  <c r="H2576" i="8"/>
  <c r="H2570" i="8"/>
  <c r="H2530" i="8"/>
  <c r="H2520" i="8"/>
  <c r="H2516" i="8"/>
  <c r="H2489" i="8"/>
  <c r="H2485" i="8"/>
  <c r="H2479" i="8"/>
  <c r="H2475" i="8"/>
  <c r="H2469" i="8"/>
  <c r="H2430" i="8"/>
  <c r="H2417" i="8"/>
  <c r="H2403" i="8"/>
  <c r="H2397" i="8"/>
  <c r="H2366" i="8"/>
  <c r="H2359" i="8"/>
  <c r="H2339" i="8"/>
  <c r="H2309" i="8"/>
  <c r="H2279" i="8"/>
  <c r="H2136" i="8"/>
  <c r="H2110" i="8"/>
  <c r="H2099" i="8"/>
  <c r="H2070" i="8"/>
  <c r="H2056" i="8"/>
  <c r="H2043" i="8"/>
  <c r="H2006" i="8"/>
  <c r="H1992" i="8"/>
  <c r="H1971" i="8"/>
  <c r="H1931" i="8"/>
  <c r="H1920" i="8"/>
  <c r="H1904" i="8"/>
  <c r="H1890" i="8"/>
  <c r="H2901" i="11"/>
  <c r="H2894" i="11"/>
  <c r="H2878" i="11"/>
  <c r="H2871" i="11"/>
  <c r="H2860" i="11"/>
  <c r="H2855" i="11"/>
  <c r="H2849" i="11"/>
  <c r="H2837" i="11"/>
  <c r="H2831" i="11"/>
  <c r="H2818" i="11"/>
  <c r="H2809" i="11"/>
  <c r="H2803" i="11"/>
  <c r="H2732" i="11"/>
  <c r="H2719" i="11"/>
  <c r="H2628" i="11"/>
  <c r="H2623" i="11"/>
  <c r="H2607" i="11"/>
  <c r="H2600" i="11"/>
  <c r="H2539" i="11"/>
  <c r="H2528" i="11"/>
  <c r="H1713" i="11"/>
  <c r="H1712" i="11"/>
  <c r="H1587" i="11"/>
  <c r="H1565" i="11"/>
  <c r="H1562" i="11"/>
  <c r="H1558" i="11"/>
  <c r="H1061" i="11"/>
  <c r="H1051" i="11"/>
  <c r="H1030" i="11"/>
  <c r="H730" i="11"/>
  <c r="H1812" i="8"/>
  <c r="H1972" i="8"/>
  <c r="H1359" i="8"/>
  <c r="H944" i="8"/>
  <c r="H932" i="8"/>
  <c r="H2567" i="8"/>
  <c r="H2559" i="8"/>
  <c r="H2983" i="11"/>
  <c r="H2170" i="11"/>
  <c r="H1846" i="11"/>
  <c r="H1301" i="11"/>
  <c r="H1290" i="11"/>
  <c r="H1055" i="11"/>
  <c r="H290" i="11"/>
  <c r="H2631" i="13"/>
  <c r="H2237" i="13"/>
  <c r="H1237" i="8"/>
  <c r="H1170" i="8"/>
  <c r="H1136" i="8"/>
  <c r="H1070" i="8"/>
  <c r="H1024" i="8"/>
  <c r="H1010" i="8"/>
  <c r="H964" i="8"/>
  <c r="H950" i="8"/>
  <c r="H2684" i="8"/>
  <c r="H2651" i="8"/>
  <c r="H2604" i="8"/>
  <c r="H2510" i="8"/>
  <c r="H2426" i="8"/>
  <c r="H2416" i="8"/>
  <c r="H2243" i="8"/>
  <c r="H2230" i="8"/>
  <c r="H2066" i="8"/>
  <c r="H2055" i="8"/>
  <c r="H2028" i="8"/>
  <c r="H1970" i="8"/>
  <c r="H1930" i="8"/>
  <c r="H2848" i="11"/>
  <c r="H2808" i="11"/>
  <c r="H2802" i="11"/>
  <c r="H2500" i="11"/>
  <c r="H2486" i="11"/>
  <c r="H2482" i="11"/>
  <c r="H2476" i="11"/>
  <c r="H2470" i="11"/>
  <c r="H2232" i="11"/>
  <c r="H2174" i="11"/>
  <c r="H2169" i="11"/>
  <c r="H2163" i="11"/>
  <c r="H2152" i="11"/>
  <c r="H2140" i="11"/>
  <c r="H2107" i="11"/>
  <c r="H2000" i="11"/>
  <c r="H1850" i="11"/>
  <c r="H1845" i="11"/>
  <c r="H1748" i="11"/>
  <c r="H1732" i="11"/>
  <c r="H1586" i="11"/>
  <c r="H1557" i="11"/>
  <c r="H1361" i="11"/>
  <c r="H1349" i="11"/>
  <c r="H1141" i="11"/>
  <c r="H381" i="11"/>
  <c r="H370" i="11"/>
  <c r="H310" i="11"/>
  <c r="H295" i="11"/>
  <c r="H952" i="8"/>
  <c r="H1932" i="8"/>
  <c r="H1252" i="8"/>
  <c r="H1232" i="8"/>
  <c r="H1015" i="8"/>
  <c r="H2806" i="8"/>
  <c r="H2679" i="8"/>
  <c r="H2639" i="8"/>
  <c r="H2458" i="8"/>
  <c r="H2410" i="8"/>
  <c r="H2325" i="8"/>
  <c r="H1985" i="8"/>
  <c r="H2477" i="11"/>
  <c r="H1759" i="11"/>
  <c r="H1574" i="11"/>
  <c r="H1070" i="11"/>
  <c r="H1844" i="8"/>
  <c r="H1832" i="8"/>
  <c r="H1739" i="8"/>
  <c r="H1643" i="8"/>
  <c r="H1632" i="8"/>
  <c r="H1610" i="8"/>
  <c r="H1552" i="8"/>
  <c r="H1251" i="8"/>
  <c r="H1097" i="8"/>
  <c r="H1030" i="8"/>
  <c r="H1020" i="8"/>
  <c r="H976" i="8"/>
  <c r="H970" i="8"/>
  <c r="H931" i="8"/>
  <c r="H910" i="8"/>
  <c r="H2811" i="8"/>
  <c r="H2798" i="8"/>
  <c r="H2737" i="8"/>
  <c r="H2678" i="8"/>
  <c r="H2666" i="8"/>
  <c r="H2657" i="8"/>
  <c r="H2644" i="8"/>
  <c r="H2638" i="8"/>
  <c r="H2607" i="8"/>
  <c r="H2597" i="8"/>
  <c r="H2558" i="8"/>
  <c r="H2502" i="8"/>
  <c r="H2497" i="8"/>
  <c r="H2457" i="8"/>
  <c r="H2429" i="8"/>
  <c r="H2406" i="8"/>
  <c r="H2376" i="8"/>
  <c r="H2317" i="8"/>
  <c r="H2283" i="8"/>
  <c r="H2250" i="8"/>
  <c r="H2236" i="8"/>
  <c r="H2217" i="8"/>
  <c r="H2170" i="8"/>
  <c r="H2163" i="8"/>
  <c r="H2157" i="8"/>
  <c r="H2069" i="8"/>
  <c r="H2045" i="8"/>
  <c r="H2034" i="8"/>
  <c r="H2014" i="8"/>
  <c r="H1944" i="8"/>
  <c r="H2976" i="11"/>
  <c r="H2969" i="11"/>
  <c r="H2958" i="11"/>
  <c r="H2853" i="11"/>
  <c r="H2787" i="11"/>
  <c r="H2508" i="11"/>
  <c r="H2499" i="11"/>
  <c r="H2493" i="11"/>
  <c r="H2343" i="11"/>
  <c r="H2338" i="11"/>
  <c r="H2333" i="11"/>
  <c r="H2312" i="11"/>
  <c r="H2297" i="11"/>
  <c r="H2245" i="11"/>
  <c r="H2187" i="11"/>
  <c r="H2146" i="11"/>
  <c r="H2112" i="11"/>
  <c r="H2100" i="11"/>
  <c r="H1886" i="11"/>
  <c r="H1863" i="11"/>
  <c r="H1762" i="11"/>
  <c r="H1753" i="11"/>
  <c r="H1731" i="11"/>
  <c r="H1725" i="11"/>
  <c r="H1709" i="11"/>
  <c r="H1706" i="11"/>
  <c r="H1573" i="11"/>
  <c r="H568" i="11"/>
  <c r="H510" i="11"/>
  <c r="H470" i="11"/>
  <c r="H2231" i="13"/>
  <c r="H2398" i="8"/>
  <c r="H1872" i="8"/>
  <c r="H1804" i="8"/>
  <c r="H1137" i="8"/>
  <c r="H1077" i="8"/>
  <c r="H1004" i="8"/>
  <c r="H992" i="8"/>
  <c r="H960" i="8"/>
  <c r="H2318" i="8"/>
  <c r="H2015" i="8"/>
  <c r="H2977" i="11"/>
  <c r="H2854" i="11"/>
  <c r="H2347" i="11"/>
  <c r="H2339" i="11"/>
  <c r="H2334" i="11"/>
  <c r="H2313" i="11"/>
  <c r="H2178" i="11"/>
  <c r="H2156" i="11"/>
  <c r="H2147" i="11"/>
  <c r="H1841" i="11"/>
  <c r="H322" i="11"/>
  <c r="H2766" i="13"/>
  <c r="H2686" i="13"/>
  <c r="H1791" i="8"/>
  <c r="H1524" i="8"/>
  <c r="H1512" i="8"/>
  <c r="H1357" i="8"/>
  <c r="H1864" i="8"/>
  <c r="H1843" i="8"/>
  <c r="H1831" i="8"/>
  <c r="H1820" i="8"/>
  <c r="H1813" i="8"/>
  <c r="H1809" i="8"/>
  <c r="H1779" i="8"/>
  <c r="H1637" i="8"/>
  <c r="H1559" i="8"/>
  <c r="H1497" i="8"/>
  <c r="H1257" i="8"/>
  <c r="H1244" i="8"/>
  <c r="H1235" i="8"/>
  <c r="H1203" i="8"/>
  <c r="H1191" i="8"/>
  <c r="H1173" i="8"/>
  <c r="H1163" i="8"/>
  <c r="H1157" i="8"/>
  <c r="H1151" i="8"/>
  <c r="H1140" i="8"/>
  <c r="H1129" i="8"/>
  <c r="H1073" i="8"/>
  <c r="H984" i="8"/>
  <c r="H980" i="8"/>
  <c r="H953" i="8"/>
  <c r="H949" i="8"/>
  <c r="H943" i="8"/>
  <c r="H924" i="8"/>
  <c r="H920" i="8"/>
  <c r="H2804" i="8"/>
  <c r="H2791" i="8"/>
  <c r="H2784" i="8"/>
  <c r="H2778" i="8"/>
  <c r="H2764" i="8"/>
  <c r="H2758" i="8"/>
  <c r="H2704" i="8"/>
  <c r="H2671" i="8"/>
  <c r="H2665" i="8"/>
  <c r="H2578" i="8"/>
  <c r="H2551" i="8"/>
  <c r="H2538" i="8"/>
  <c r="H2518" i="8"/>
  <c r="H2490" i="8"/>
  <c r="H2477" i="8"/>
  <c r="H2419" i="8"/>
  <c r="H2399" i="8"/>
  <c r="H2395" i="8"/>
  <c r="H2369" i="8"/>
  <c r="H2357" i="8"/>
  <c r="H2337" i="8"/>
  <c r="H2323" i="8"/>
  <c r="H2310" i="8"/>
  <c r="H2277" i="8"/>
  <c r="H2246" i="8"/>
  <c r="H2097" i="8"/>
  <c r="H2058" i="8"/>
  <c r="H1973" i="8"/>
  <c r="H1933" i="8"/>
  <c r="H1929" i="8"/>
  <c r="H2807" i="11"/>
  <c r="H2786" i="11"/>
  <c r="H2780" i="11"/>
  <c r="H2620" i="11"/>
  <c r="H2591" i="11"/>
  <c r="H2504" i="11"/>
  <c r="H2498" i="11"/>
  <c r="H2481" i="11"/>
  <c r="H2475" i="11"/>
  <c r="H2325" i="11"/>
  <c r="H2318" i="11"/>
  <c r="H2305" i="11"/>
  <c r="H2237" i="11"/>
  <c r="H2194" i="11"/>
  <c r="H2168" i="11"/>
  <c r="H2145" i="11"/>
  <c r="H2132" i="11"/>
  <c r="H2048" i="11"/>
  <c r="H2041" i="11"/>
  <c r="H2013" i="11"/>
  <c r="H1891" i="11"/>
  <c r="H1878" i="11"/>
  <c r="H1870" i="11"/>
  <c r="H1832" i="11"/>
  <c r="H1801" i="11"/>
  <c r="H1752" i="11"/>
  <c r="H1747" i="11"/>
  <c r="H1740" i="11"/>
  <c r="H1736" i="11"/>
  <c r="H1711" i="11"/>
  <c r="H1455" i="11"/>
  <c r="H1348" i="11"/>
  <c r="H1201" i="11"/>
  <c r="H738" i="11"/>
  <c r="H682" i="11"/>
  <c r="H578" i="11"/>
  <c r="H550" i="11"/>
  <c r="H1072" i="8"/>
  <c r="H1012" i="8"/>
  <c r="H1503" i="8"/>
  <c r="H2799" i="8"/>
  <c r="H2564" i="8"/>
  <c r="H2498" i="8"/>
  <c r="H1892" i="11"/>
  <c r="H1726" i="11"/>
  <c r="H1461" i="11"/>
  <c r="H1457" i="11"/>
  <c r="H1450" i="11"/>
  <c r="H1202" i="11"/>
  <c r="H1198" i="11"/>
  <c r="H1191" i="11"/>
  <c r="H2154" i="13"/>
  <c r="H1810" i="8"/>
  <c r="H1883" i="8"/>
  <c r="H1871" i="8"/>
  <c r="H1850" i="8"/>
  <c r="H1731" i="8"/>
  <c r="H1491" i="8"/>
  <c r="H1870" i="8"/>
  <c r="H1853" i="8"/>
  <c r="H1837" i="8"/>
  <c r="H1824" i="8"/>
  <c r="H1790" i="8"/>
  <c r="H1730" i="8"/>
  <c r="H1631" i="8"/>
  <c r="H1620" i="8"/>
  <c r="H1613" i="8"/>
  <c r="H1609" i="8"/>
  <c r="H1551" i="8"/>
  <c r="H1523" i="8"/>
  <c r="H1511" i="8"/>
  <c r="H1411" i="8"/>
  <c r="H1379" i="8"/>
  <c r="H1339" i="8"/>
  <c r="H1250" i="8"/>
  <c r="H1184" i="8"/>
  <c r="H1180" i="8"/>
  <c r="H1156" i="8"/>
  <c r="H1144" i="8"/>
  <c r="H1084" i="8"/>
  <c r="H1080" i="8"/>
  <c r="H1051" i="8"/>
  <c r="H1033" i="8"/>
  <c r="H1029" i="8"/>
  <c r="H1023" i="8"/>
  <c r="H990" i="8"/>
  <c r="H973" i="8"/>
  <c r="H963" i="8"/>
  <c r="H930" i="8"/>
  <c r="H913" i="8"/>
  <c r="H2830" i="8"/>
  <c r="H2827" i="8"/>
  <c r="H2797" i="8"/>
  <c r="H2771" i="8"/>
  <c r="H2751" i="8"/>
  <c r="H2747" i="8"/>
  <c r="H2740" i="8"/>
  <c r="H2705" i="8"/>
  <c r="H2698" i="8"/>
  <c r="H2677" i="8"/>
  <c r="H2660" i="8"/>
  <c r="H2656" i="8"/>
  <c r="H2650" i="8"/>
  <c r="H2637" i="8"/>
  <c r="H2600" i="8"/>
  <c r="H2596" i="8"/>
  <c r="H2584" i="8"/>
  <c r="H2571" i="8"/>
  <c r="H2566" i="8"/>
  <c r="H2557" i="8"/>
  <c r="H2531" i="8"/>
  <c r="H2524" i="8"/>
  <c r="H2484" i="8"/>
  <c r="H2470" i="8"/>
  <c r="H2466" i="8"/>
  <c r="H2456" i="8"/>
  <c r="H2409" i="8"/>
  <c r="H2405" i="8"/>
  <c r="H2389" i="8"/>
  <c r="H2379" i="8"/>
  <c r="H2375" i="8"/>
  <c r="H2350" i="8"/>
  <c r="H2330" i="8"/>
  <c r="H2316" i="8"/>
  <c r="H2303" i="8"/>
  <c r="H2297" i="8"/>
  <c r="H2239" i="8"/>
  <c r="H2216" i="8"/>
  <c r="H2105" i="8"/>
  <c r="H2037" i="8"/>
  <c r="H2033" i="8"/>
  <c r="H2013" i="8"/>
  <c r="H1943" i="8"/>
  <c r="H2990" i="11"/>
  <c r="H2986" i="11"/>
  <c r="H2979" i="11"/>
  <c r="H2957" i="11"/>
  <c r="H2929" i="11"/>
  <c r="H2918" i="11"/>
  <c r="H2640" i="11"/>
  <c r="H2612" i="11"/>
  <c r="H2580" i="11"/>
  <c r="H2524" i="11"/>
  <c r="H2485" i="11"/>
  <c r="H2462" i="11"/>
  <c r="H2454" i="11"/>
  <c r="H2448" i="11"/>
  <c r="H2361" i="11"/>
  <c r="H2332" i="11"/>
  <c r="H2311" i="11"/>
  <c r="H2290" i="11"/>
  <c r="H2241" i="11"/>
  <c r="H2236" i="11"/>
  <c r="H2224" i="11"/>
  <c r="H2210" i="11"/>
  <c r="H2193" i="11"/>
  <c r="H2186" i="11"/>
  <c r="H2128" i="11"/>
  <c r="H2121" i="11"/>
  <c r="H1705" i="11"/>
  <c r="H1578" i="11"/>
  <c r="H1572" i="11"/>
  <c r="H721" i="11"/>
  <c r="H718" i="11"/>
  <c r="H722" i="11"/>
  <c r="H509" i="11"/>
  <c r="H469" i="11"/>
  <c r="H2020" i="11"/>
  <c r="H2009" i="11"/>
  <c r="H2004" i="11"/>
  <c r="H1947" i="11"/>
  <c r="H1939" i="11"/>
  <c r="H1890" i="11"/>
  <c r="H1874" i="11"/>
  <c r="H1869" i="11"/>
  <c r="H1862" i="11"/>
  <c r="H1844" i="11"/>
  <c r="H1839" i="11"/>
  <c r="H1817" i="11"/>
  <c r="H1805" i="11"/>
  <c r="H1800" i="11"/>
  <c r="H1786" i="11"/>
  <c r="H1730" i="11"/>
  <c r="H1724" i="11"/>
  <c r="H1616" i="11"/>
  <c r="H1579" i="11"/>
  <c r="H1551" i="11"/>
  <c r="H1536" i="11"/>
  <c r="H1531" i="11"/>
  <c r="H1524" i="11"/>
  <c r="H1449" i="11"/>
  <c r="H1322" i="11"/>
  <c r="H1318" i="11"/>
  <c r="H1295" i="11"/>
  <c r="H1289" i="11"/>
  <c r="H1261" i="11"/>
  <c r="H1250" i="11"/>
  <c r="H1190" i="11"/>
  <c r="H1158" i="11"/>
  <c r="H1130" i="11"/>
  <c r="H1069" i="11"/>
  <c r="H978" i="11"/>
  <c r="H953" i="11"/>
  <c r="H888" i="11"/>
  <c r="H689" i="11"/>
  <c r="H582" i="11"/>
  <c r="H571" i="11"/>
  <c r="H530" i="11"/>
  <c r="H449" i="11"/>
  <c r="H321" i="11"/>
  <c r="H294" i="11"/>
  <c r="H289" i="11"/>
  <c r="H2771" i="13"/>
  <c r="H2765" i="13"/>
  <c r="H2691" i="13"/>
  <c r="H2685" i="13"/>
  <c r="H2650" i="13"/>
  <c r="H2644" i="13"/>
  <c r="H2498" i="13"/>
  <c r="H2390" i="13"/>
  <c r="H2384" i="13"/>
  <c r="H2074" i="13"/>
  <c r="H2077" i="13"/>
  <c r="H1806" i="13"/>
  <c r="H1777" i="13"/>
  <c r="H1545" i="13"/>
  <c r="H1525" i="13"/>
  <c r="H2085" i="13"/>
  <c r="H1965" i="13"/>
  <c r="H1813" i="13"/>
  <c r="H1817" i="13"/>
  <c r="H1168" i="24"/>
  <c r="H1179" i="24"/>
  <c r="H1867" i="11"/>
  <c r="H1816" i="11"/>
  <c r="H1798" i="11"/>
  <c r="H1778" i="11"/>
  <c r="H1763" i="11"/>
  <c r="H1755" i="11"/>
  <c r="H1739" i="11"/>
  <c r="H1716" i="11"/>
  <c r="H1708" i="11"/>
  <c r="H1627" i="11"/>
  <c r="H1615" i="11"/>
  <c r="H1608" i="11"/>
  <c r="H1600" i="11"/>
  <c r="H1583" i="11"/>
  <c r="H1554" i="11"/>
  <c r="H1530" i="11"/>
  <c r="H1321" i="11"/>
  <c r="H1249" i="11"/>
  <c r="H1189" i="11"/>
  <c r="H1082" i="11"/>
  <c r="H1068" i="11"/>
  <c r="H898" i="11"/>
  <c r="H891" i="11"/>
  <c r="H702" i="11"/>
  <c r="H681" i="11"/>
  <c r="H581" i="11"/>
  <c r="H570" i="11"/>
  <c r="H358" i="11"/>
  <c r="H288" i="11"/>
  <c r="H2764" i="13"/>
  <c r="H2698" i="13"/>
  <c r="H2684" i="13"/>
  <c r="H2647" i="13"/>
  <c r="H2630" i="13"/>
  <c r="H2377" i="13"/>
  <c r="H2374" i="13"/>
  <c r="H2317" i="13"/>
  <c r="H2307" i="13"/>
  <c r="H2145" i="13"/>
  <c r="H2097" i="13"/>
  <c r="H1971" i="13"/>
  <c r="H1897" i="13"/>
  <c r="H1550" i="13"/>
  <c r="H1544" i="13"/>
  <c r="H1530" i="13"/>
  <c r="H1174" i="13"/>
  <c r="H1178" i="13"/>
  <c r="H893" i="16"/>
  <c r="H886" i="16"/>
  <c r="H2662" i="16"/>
  <c r="H2825" i="11"/>
  <c r="H2814" i="11"/>
  <c r="H2795" i="11"/>
  <c r="H2759" i="11"/>
  <c r="H2739" i="11"/>
  <c r="H2711" i="11"/>
  <c r="H2592" i="11"/>
  <c r="H2560" i="11"/>
  <c r="H2521" i="11"/>
  <c r="H2501" i="11"/>
  <c r="H2478" i="11"/>
  <c r="H2471" i="11"/>
  <c r="H2452" i="11"/>
  <c r="H2417" i="11"/>
  <c r="H2406" i="11"/>
  <c r="H2360" i="11"/>
  <c r="H2340" i="11"/>
  <c r="H2304" i="11"/>
  <c r="H2298" i="11"/>
  <c r="H2240" i="11"/>
  <c r="H2233" i="11"/>
  <c r="H2184" i="11"/>
  <c r="H2164" i="11"/>
  <c r="H2148" i="11"/>
  <c r="H2141" i="11"/>
  <c r="H2029" i="11"/>
  <c r="H2012" i="11"/>
  <c r="H2008" i="11"/>
  <c r="H2001" i="11"/>
  <c r="H1936" i="11"/>
  <c r="H1915" i="11"/>
  <c r="H1908" i="11"/>
  <c r="H1901" i="11"/>
  <c r="H1893" i="11"/>
  <c r="H1873" i="11"/>
  <c r="H1860" i="11"/>
  <c r="H1804" i="11"/>
  <c r="H1782" i="11"/>
  <c r="H1777" i="11"/>
  <c r="H1770" i="11"/>
  <c r="H1754" i="11"/>
  <c r="H1749" i="11"/>
  <c r="H1690" i="11"/>
  <c r="H1685" i="11"/>
  <c r="H1679" i="11"/>
  <c r="H1599" i="11"/>
  <c r="H1594" i="11"/>
  <c r="H1575" i="11"/>
  <c r="H1544" i="11"/>
  <c r="H1523" i="11"/>
  <c r="H1511" i="11"/>
  <c r="H1157" i="11"/>
  <c r="H1150" i="11"/>
  <c r="H1001" i="11"/>
  <c r="H991" i="11"/>
  <c r="H970" i="11"/>
  <c r="H951" i="11"/>
  <c r="H742" i="11"/>
  <c r="H729" i="11"/>
  <c r="H508" i="11"/>
  <c r="H496" i="11"/>
  <c r="H489" i="11"/>
  <c r="H482" i="11"/>
  <c r="H468" i="11"/>
  <c r="H389" i="11"/>
  <c r="H382" i="11"/>
  <c r="H2394" i="13"/>
  <c r="H2287" i="13"/>
  <c r="H2277" i="13"/>
  <c r="H2267" i="13"/>
  <c r="H2238" i="13"/>
  <c r="H2151" i="13"/>
  <c r="H2134" i="13"/>
  <c r="H2127" i="13"/>
  <c r="H2084" i="13"/>
  <c r="H1767" i="13"/>
  <c r="H1071" i="11"/>
  <c r="H1058" i="11"/>
  <c r="H1031" i="11"/>
  <c r="H958" i="11"/>
  <c r="H569" i="11"/>
  <c r="H562" i="11"/>
  <c r="H558" i="11"/>
  <c r="H291" i="11"/>
  <c r="H2777" i="13"/>
  <c r="H2767" i="13"/>
  <c r="H2687" i="13"/>
  <c r="H2293" i="13"/>
  <c r="H2234" i="13"/>
  <c r="H2230" i="13"/>
  <c r="H2224" i="13"/>
  <c r="H2150" i="13"/>
  <c r="H2144" i="13"/>
  <c r="H1810" i="13"/>
  <c r="H1547" i="13"/>
  <c r="H1543" i="13"/>
  <c r="H1527" i="13"/>
  <c r="H471" i="11"/>
  <c r="H378" i="11"/>
  <c r="H371" i="11"/>
  <c r="H318" i="11"/>
  <c r="H311" i="11"/>
  <c r="H2773" i="13"/>
  <c r="H2707" i="13"/>
  <c r="H2693" i="13"/>
  <c r="H2087" i="13"/>
  <c r="H2083" i="13"/>
  <c r="H1771" i="13"/>
  <c r="H1766" i="13"/>
  <c r="H1558" i="13"/>
  <c r="H1554" i="13"/>
  <c r="H1537" i="13"/>
  <c r="H481" i="16"/>
  <c r="H262" i="16"/>
  <c r="H1548" i="16"/>
  <c r="H1503" i="11"/>
  <c r="H1494" i="11"/>
  <c r="H1489" i="11"/>
  <c r="H1482" i="11"/>
  <c r="H1468" i="11"/>
  <c r="H1350" i="11"/>
  <c r="H1210" i="11"/>
  <c r="H1142" i="11"/>
  <c r="H1138" i="11"/>
  <c r="H1078" i="11"/>
  <c r="H1049" i="11"/>
  <c r="H1042" i="11"/>
  <c r="H1038" i="11"/>
  <c r="H1011" i="11"/>
  <c r="H971" i="11"/>
  <c r="H961" i="11"/>
  <c r="H949" i="11"/>
  <c r="H942" i="11"/>
  <c r="H902" i="11"/>
  <c r="H758" i="11"/>
  <c r="H701" i="11"/>
  <c r="H669" i="11"/>
  <c r="H653" i="11"/>
  <c r="H528" i="11"/>
  <c r="H478" i="11"/>
  <c r="H458" i="11"/>
  <c r="H451" i="11"/>
  <c r="H430" i="11"/>
  <c r="H393" i="11"/>
  <c r="H368" i="11"/>
  <c r="H351" i="11"/>
  <c r="H298" i="11"/>
  <c r="H2774" i="13"/>
  <c r="H2757" i="13"/>
  <c r="H2751" i="13"/>
  <c r="H2745" i="13"/>
  <c r="H2725" i="13"/>
  <c r="H2714" i="13"/>
  <c r="H2710" i="13"/>
  <c r="H2704" i="13"/>
  <c r="H2477" i="13"/>
  <c r="H2454" i="13"/>
  <c r="H2398" i="13"/>
  <c r="H2314" i="13"/>
  <c r="H2310" i="13"/>
  <c r="H2304" i="13"/>
  <c r="H2291" i="13"/>
  <c r="H2278" i="13"/>
  <c r="H2226" i="13"/>
  <c r="H2178" i="13"/>
  <c r="H2174" i="13"/>
  <c r="H2170" i="13"/>
  <c r="H2146" i="13"/>
  <c r="H2131" i="13"/>
  <c r="H1991" i="13"/>
  <c r="H1978" i="13"/>
  <c r="H1967" i="13"/>
  <c r="H1892" i="13"/>
  <c r="H1886" i="13"/>
  <c r="H1877" i="13"/>
  <c r="H1814" i="13"/>
  <c r="H1271" i="13"/>
  <c r="H1250" i="13"/>
  <c r="H1238" i="13"/>
  <c r="H1177" i="13"/>
  <c r="H1173" i="13"/>
  <c r="H1090" i="13"/>
  <c r="H876" i="16"/>
  <c r="H796" i="16"/>
  <c r="H790" i="16"/>
  <c r="H729" i="16"/>
  <c r="H723" i="16"/>
  <c r="H1544" i="16"/>
  <c r="H1406" i="16"/>
  <c r="H1339" i="16"/>
  <c r="H477" i="16"/>
  <c r="H338" i="16"/>
  <c r="H331" i="16"/>
  <c r="H327" i="16"/>
  <c r="H957" i="16"/>
  <c r="H2006" i="16"/>
  <c r="H1258" i="24"/>
  <c r="H70" i="24"/>
  <c r="H1387" i="13"/>
  <c r="H1383" i="13"/>
  <c r="H1357" i="13"/>
  <c r="H1353" i="13"/>
  <c r="H1347" i="13"/>
  <c r="H1343" i="13"/>
  <c r="H1331" i="13"/>
  <c r="H1318" i="13"/>
  <c r="H1307" i="13"/>
  <c r="H1164" i="13"/>
  <c r="H1154" i="13"/>
  <c r="H1150" i="13"/>
  <c r="H1144" i="13"/>
  <c r="H652" i="16"/>
  <c r="H633" i="16"/>
  <c r="H485" i="16"/>
  <c r="H402" i="16"/>
  <c r="H397" i="16"/>
  <c r="H341" i="16"/>
  <c r="H329" i="16"/>
  <c r="H268" i="16"/>
  <c r="H1753" i="16"/>
  <c r="H1288" i="16"/>
  <c r="H1233" i="16"/>
  <c r="H2569" i="16"/>
  <c r="H2270" i="16"/>
  <c r="H2275" i="16"/>
  <c r="H2005" i="16"/>
  <c r="H2000" i="16"/>
  <c r="H1490" i="11"/>
  <c r="H1469" i="11"/>
  <c r="H1456" i="11"/>
  <c r="H1431" i="11"/>
  <c r="H1427" i="11"/>
  <c r="H1411" i="11"/>
  <c r="H1407" i="11"/>
  <c r="H1375" i="11"/>
  <c r="H1362" i="11"/>
  <c r="H1351" i="11"/>
  <c r="H1309" i="11"/>
  <c r="H1118" i="11"/>
  <c r="H1089" i="11"/>
  <c r="H1075" i="11"/>
  <c r="H1062" i="11"/>
  <c r="H1050" i="11"/>
  <c r="H1029" i="11"/>
  <c r="H1022" i="11"/>
  <c r="H1008" i="11"/>
  <c r="H973" i="11"/>
  <c r="H968" i="11"/>
  <c r="H809" i="11"/>
  <c r="H749" i="11"/>
  <c r="H733" i="11"/>
  <c r="H709" i="11"/>
  <c r="H693" i="11"/>
  <c r="H670" i="11"/>
  <c r="H548" i="11"/>
  <c r="H529" i="11"/>
  <c r="H522" i="11"/>
  <c r="H448" i="11"/>
  <c r="H431" i="11"/>
  <c r="H369" i="11"/>
  <c r="H362" i="11"/>
  <c r="H348" i="11"/>
  <c r="H315" i="11"/>
  <c r="H309" i="11"/>
  <c r="H302" i="11"/>
  <c r="H2778" i="13"/>
  <c r="H2770" i="13"/>
  <c r="H2711" i="13"/>
  <c r="H2705" i="13"/>
  <c r="H2690" i="13"/>
  <c r="H2654" i="13"/>
  <c r="H2591" i="13"/>
  <c r="H2451" i="13"/>
  <c r="H2391" i="13"/>
  <c r="H2378" i="13"/>
  <c r="H2370" i="13"/>
  <c r="H2364" i="13"/>
  <c r="H2318" i="13"/>
  <c r="H2305" i="13"/>
  <c r="H2165" i="13"/>
  <c r="H2158" i="13"/>
  <c r="H2147" i="13"/>
  <c r="H2111" i="13"/>
  <c r="H2098" i="13"/>
  <c r="H2091" i="13"/>
  <c r="H2064" i="13"/>
  <c r="H2038" i="13"/>
  <c r="H2034" i="13"/>
  <c r="H2024" i="13"/>
  <c r="H1964" i="13"/>
  <c r="H1893" i="13"/>
  <c r="H1887" i="13"/>
  <c r="H1733" i="13"/>
  <c r="H1726" i="13"/>
  <c r="H1646" i="13"/>
  <c r="H1551" i="13"/>
  <c r="H1531" i="13"/>
  <c r="H1330" i="13"/>
  <c r="H1324" i="13"/>
  <c r="H1313" i="13"/>
  <c r="H2716" i="16"/>
  <c r="H2715" i="16"/>
  <c r="H2712" i="16"/>
  <c r="H2664" i="16"/>
  <c r="H1399" i="16"/>
  <c r="H1388" i="16"/>
  <c r="H1226" i="16"/>
  <c r="H1192" i="16"/>
  <c r="H1186" i="16"/>
  <c r="H1091" i="16"/>
  <c r="H1081" i="16"/>
  <c r="H1075" i="16"/>
  <c r="H1046" i="16"/>
  <c r="H2705" i="16"/>
  <c r="H2701" i="16"/>
  <c r="H2675" i="16"/>
  <c r="H2650" i="16"/>
  <c r="H2645" i="16"/>
  <c r="H2641" i="16"/>
  <c r="H791" i="21"/>
  <c r="H1729" i="24"/>
  <c r="H1723" i="24"/>
  <c r="H1648" i="24"/>
  <c r="H190" i="24"/>
  <c r="H202" i="24"/>
  <c r="H2694" i="13"/>
  <c r="H2637" i="13"/>
  <c r="H2611" i="13"/>
  <c r="H2598" i="13"/>
  <c r="H2578" i="13"/>
  <c r="H2527" i="13"/>
  <c r="H2523" i="13"/>
  <c r="H2512" i="13"/>
  <c r="H2470" i="13"/>
  <c r="H2458" i="13"/>
  <c r="H2445" i="13"/>
  <c r="H2385" i="13"/>
  <c r="H2371" i="13"/>
  <c r="H2365" i="13"/>
  <c r="H2257" i="13"/>
  <c r="H2225" i="13"/>
  <c r="H2218" i="13"/>
  <c r="H2205" i="13"/>
  <c r="H2198" i="13"/>
  <c r="H2157" i="13"/>
  <c r="H2130" i="13"/>
  <c r="H2124" i="13"/>
  <c r="H2114" i="13"/>
  <c r="H2107" i="13"/>
  <c r="H2103" i="13"/>
  <c r="H2067" i="13"/>
  <c r="H2063" i="13"/>
  <c r="H2027" i="13"/>
  <c r="H2005" i="13"/>
  <c r="H1985" i="13"/>
  <c r="H1974" i="13"/>
  <c r="H1883" i="13"/>
  <c r="H1865" i="13"/>
  <c r="H1811" i="13"/>
  <c r="H1805" i="13"/>
  <c r="H1727" i="13"/>
  <c r="H1683" i="13"/>
  <c r="H1652" i="13"/>
  <c r="H1647" i="13"/>
  <c r="H1623" i="13"/>
  <c r="H1603" i="13"/>
  <c r="H1563" i="13"/>
  <c r="H1511" i="13"/>
  <c r="H1474" i="13"/>
  <c r="H1467" i="13"/>
  <c r="H1463" i="13"/>
  <c r="H1394" i="13"/>
  <c r="H1367" i="13"/>
  <c r="H1337" i="13"/>
  <c r="H1325" i="13"/>
  <c r="H1270" i="13"/>
  <c r="H1265" i="13"/>
  <c r="H1254" i="13"/>
  <c r="H1038" i="13"/>
  <c r="H1025" i="13"/>
  <c r="H837" i="16"/>
  <c r="H832" i="16"/>
  <c r="H726" i="16"/>
  <c r="H391" i="16"/>
  <c r="H1780" i="16"/>
  <c r="H1732" i="16"/>
  <c r="H1728" i="16"/>
  <c r="H1573" i="16"/>
  <c r="H1068" i="16"/>
  <c r="H1053" i="16"/>
  <c r="H2665" i="16"/>
  <c r="H2655" i="16"/>
  <c r="H2411" i="16"/>
  <c r="H2402" i="16"/>
  <c r="H1822" i="21"/>
  <c r="H1319" i="21"/>
  <c r="H1717" i="24"/>
  <c r="H110" i="24"/>
  <c r="H1875" i="30"/>
  <c r="H1878" i="30"/>
  <c r="H1257" i="21"/>
  <c r="H1410" i="24"/>
  <c r="H1247" i="24"/>
  <c r="H2687" i="26"/>
  <c r="H2580" i="26"/>
  <c r="H1037" i="24"/>
  <c r="H1032" i="24"/>
  <c r="H1025" i="24"/>
  <c r="H1045" i="24"/>
  <c r="H2447" i="13"/>
  <c r="H2443" i="13"/>
  <c r="H2387" i="13"/>
  <c r="H2367" i="13"/>
  <c r="H2354" i="13"/>
  <c r="H2298" i="13"/>
  <c r="H2271" i="13"/>
  <c r="H2254" i="13"/>
  <c r="H2227" i="13"/>
  <c r="H2207" i="13"/>
  <c r="H2171" i="13"/>
  <c r="H2133" i="13"/>
  <c r="H2126" i="13"/>
  <c r="H2105" i="13"/>
  <c r="H2071" i="13"/>
  <c r="H2065" i="13"/>
  <c r="H2054" i="13"/>
  <c r="H2031" i="13"/>
  <c r="H2025" i="13"/>
  <c r="H2007" i="13"/>
  <c r="H2003" i="13"/>
  <c r="H1994" i="13"/>
  <c r="H1987" i="13"/>
  <c r="H1944" i="13"/>
  <c r="H1934" i="13"/>
  <c r="H1924" i="13"/>
  <c r="H1904" i="13"/>
  <c r="H1890" i="13"/>
  <c r="H1867" i="13"/>
  <c r="H1807" i="13"/>
  <c r="H1743" i="13"/>
  <c r="H1731" i="13"/>
  <c r="H1725" i="13"/>
  <c r="H1645" i="13"/>
  <c r="H1631" i="13"/>
  <c r="H1571" i="13"/>
  <c r="H1532" i="13"/>
  <c r="H1465" i="13"/>
  <c r="H1365" i="13"/>
  <c r="H1351" i="13"/>
  <c r="H1334" i="13"/>
  <c r="H1327" i="13"/>
  <c r="H1311" i="13"/>
  <c r="H1267" i="13"/>
  <c r="H1184" i="13"/>
  <c r="H1027" i="13"/>
  <c r="H810" i="16"/>
  <c r="H797" i="16"/>
  <c r="H663" i="16"/>
  <c r="H625" i="16"/>
  <c r="H621" i="16"/>
  <c r="H602" i="16"/>
  <c r="H560" i="16"/>
  <c r="H491" i="16"/>
  <c r="H427" i="16"/>
  <c r="H335" i="16"/>
  <c r="H1759" i="16"/>
  <c r="H1740" i="16"/>
  <c r="H1724" i="16"/>
  <c r="H1564" i="16"/>
  <c r="H1552" i="16"/>
  <c r="H1468" i="16"/>
  <c r="H1424" i="16"/>
  <c r="H1419" i="16"/>
  <c r="H1408" i="16"/>
  <c r="H1050" i="16"/>
  <c r="H984" i="16"/>
  <c r="H956" i="16"/>
  <c r="H950" i="16"/>
  <c r="H944" i="16"/>
  <c r="H910" i="16"/>
  <c r="H1819" i="16"/>
  <c r="H2696" i="16"/>
  <c r="H2565" i="16"/>
  <c r="H2435" i="16"/>
  <c r="H2330" i="16"/>
  <c r="H2234" i="16"/>
  <c r="H2235" i="16"/>
  <c r="H1569" i="24"/>
  <c r="H1564" i="24"/>
  <c r="H1409" i="24"/>
  <c r="H1397" i="24"/>
  <c r="H1298" i="24"/>
  <c r="H289" i="24"/>
  <c r="H429" i="24"/>
  <c r="H441" i="24"/>
  <c r="H650" i="24"/>
  <c r="H1471" i="13"/>
  <c r="H1458" i="13"/>
  <c r="H1451" i="13"/>
  <c r="H1385" i="13"/>
  <c r="H1371" i="13"/>
  <c r="H1358" i="13"/>
  <c r="H1345" i="13"/>
  <c r="H1305" i="13"/>
  <c r="H1251" i="13"/>
  <c r="H1245" i="13"/>
  <c r="H1225" i="13"/>
  <c r="H1210" i="13"/>
  <c r="H1204" i="13"/>
  <c r="H1194" i="13"/>
  <c r="H1167" i="13"/>
  <c r="H1163" i="13"/>
  <c r="H1147" i="13"/>
  <c r="H1091" i="13"/>
  <c r="H1085" i="13"/>
  <c r="H889" i="16"/>
  <c r="H826" i="16"/>
  <c r="H784" i="16"/>
  <c r="H736" i="16"/>
  <c r="H730" i="16"/>
  <c r="H637" i="16"/>
  <c r="H591" i="16"/>
  <c r="H586" i="16"/>
  <c r="H567" i="16"/>
  <c r="H457" i="16"/>
  <c r="H377" i="16"/>
  <c r="H309" i="16"/>
  <c r="H1752" i="16"/>
  <c r="H1746" i="16"/>
  <c r="H1733" i="16"/>
  <c r="H1729" i="16"/>
  <c r="H1722" i="16"/>
  <c r="H1718" i="16"/>
  <c r="H1528" i="16"/>
  <c r="H1460" i="16"/>
  <c r="H1400" i="16"/>
  <c r="H1352" i="16"/>
  <c r="H1346" i="16"/>
  <c r="H1286" i="16"/>
  <c r="H1273" i="16"/>
  <c r="H1188" i="16"/>
  <c r="H1043" i="16"/>
  <c r="H990" i="16"/>
  <c r="H1852" i="16"/>
  <c r="H2642" i="16"/>
  <c r="H2602" i="16"/>
  <c r="H2456" i="16"/>
  <c r="H2445" i="16"/>
  <c r="H2400" i="16"/>
  <c r="H2223" i="16"/>
  <c r="H1645" i="24"/>
  <c r="H1649" i="24"/>
  <c r="H1608" i="24"/>
  <c r="H1602" i="24"/>
  <c r="H1556" i="24"/>
  <c r="H1510" i="24"/>
  <c r="H382" i="24"/>
  <c r="H672" i="24"/>
  <c r="H2571" i="16"/>
  <c r="H2543" i="16"/>
  <c r="H2523" i="16"/>
  <c r="H2451" i="16"/>
  <c r="H2416" i="16"/>
  <c r="H2412" i="16"/>
  <c r="H2263" i="16"/>
  <c r="H2242" i="16"/>
  <c r="H2228" i="16"/>
  <c r="H2222" i="16"/>
  <c r="H2154" i="16"/>
  <c r="H2144" i="16"/>
  <c r="H2104" i="16"/>
  <c r="H2012" i="16"/>
  <c r="H1939" i="16"/>
  <c r="H1901" i="16"/>
  <c r="H1759" i="21"/>
  <c r="H1705" i="21"/>
  <c r="H1681" i="21"/>
  <c r="H1633" i="21"/>
  <c r="H1585" i="21"/>
  <c r="H1579" i="21"/>
  <c r="H1479" i="21"/>
  <c r="H1298" i="21"/>
  <c r="H1261" i="21"/>
  <c r="H1172" i="21"/>
  <c r="H1070" i="21"/>
  <c r="H1058" i="21"/>
  <c r="H963" i="21"/>
  <c r="H884" i="21"/>
  <c r="H878" i="21"/>
  <c r="H749" i="21"/>
  <c r="H609" i="21"/>
  <c r="H1746" i="24"/>
  <c r="H1722" i="24"/>
  <c r="H1665" i="24"/>
  <c r="H1636" i="24"/>
  <c r="H1601" i="24"/>
  <c r="H1562" i="24"/>
  <c r="H1549" i="24"/>
  <c r="H1517" i="24"/>
  <c r="H1480" i="24"/>
  <c r="H1449" i="24"/>
  <c r="H1403" i="24"/>
  <c r="H1392" i="24"/>
  <c r="H1380" i="24"/>
  <c r="H1339" i="24"/>
  <c r="H1320" i="24"/>
  <c r="H1292" i="24"/>
  <c r="H1286" i="24"/>
  <c r="H1279" i="24"/>
  <c r="H1270" i="24"/>
  <c r="H9" i="24"/>
  <c r="H14" i="24"/>
  <c r="H50" i="24"/>
  <c r="H81" i="24"/>
  <c r="H111" i="24"/>
  <c r="H117" i="24"/>
  <c r="H127" i="24"/>
  <c r="H131" i="24"/>
  <c r="H149" i="24"/>
  <c r="H158" i="24"/>
  <c r="H177" i="24"/>
  <c r="H268" i="24"/>
  <c r="H308" i="24"/>
  <c r="H314" i="24"/>
  <c r="H330" i="24"/>
  <c r="H367" i="24"/>
  <c r="H371" i="24"/>
  <c r="H402" i="24"/>
  <c r="H468" i="24"/>
  <c r="H472" i="24"/>
  <c r="H551" i="24"/>
  <c r="H568" i="24"/>
  <c r="H1013" i="24"/>
  <c r="H1016" i="24"/>
  <c r="H1026" i="24"/>
  <c r="H1961" i="30"/>
  <c r="H2311" i="16"/>
  <c r="H2304" i="16"/>
  <c r="H2268" i="16"/>
  <c r="H2251" i="16"/>
  <c r="H2248" i="16"/>
  <c r="H2204" i="16"/>
  <c r="H1825" i="21"/>
  <c r="H1758" i="21"/>
  <c r="H1698" i="21"/>
  <c r="H1639" i="21"/>
  <c r="H1578" i="21"/>
  <c r="H1378" i="21"/>
  <c r="H1322" i="21"/>
  <c r="H1255" i="21"/>
  <c r="H957" i="21"/>
  <c r="H877" i="21"/>
  <c r="H871" i="21"/>
  <c r="H621" i="21"/>
  <c r="H1688" i="24"/>
  <c r="H1676" i="24"/>
  <c r="H1595" i="24"/>
  <c r="H1555" i="24"/>
  <c r="H1516" i="24"/>
  <c r="H1396" i="24"/>
  <c r="H1384" i="24"/>
  <c r="H1372" i="24"/>
  <c r="H1333" i="24"/>
  <c r="H35" i="24"/>
  <c r="H67" i="24"/>
  <c r="H71" i="24"/>
  <c r="H113" i="24"/>
  <c r="H121" i="24"/>
  <c r="H138" i="24"/>
  <c r="H170" i="24"/>
  <c r="H191" i="24"/>
  <c r="H291" i="24"/>
  <c r="H302" i="24"/>
  <c r="H390" i="24"/>
  <c r="H431" i="24"/>
  <c r="H438" i="24"/>
  <c r="H503" i="24"/>
  <c r="H751" i="24"/>
  <c r="H916" i="24"/>
  <c r="H912" i="24"/>
  <c r="H904" i="24"/>
  <c r="H1166" i="24"/>
  <c r="H1707" i="26"/>
  <c r="H1956" i="30"/>
  <c r="H1721" i="30"/>
  <c r="H1714" i="30"/>
  <c r="H2328" i="16"/>
  <c r="H2262" i="16"/>
  <c r="H2255" i="16"/>
  <c r="H2247" i="16"/>
  <c r="H2227" i="16"/>
  <c r="H2221" i="16"/>
  <c r="H1942" i="16"/>
  <c r="H1925" i="16"/>
  <c r="H1900" i="16"/>
  <c r="H1818" i="21"/>
  <c r="H1685" i="21"/>
  <c r="H1638" i="21"/>
  <c r="H1613" i="21"/>
  <c r="H1559" i="21"/>
  <c r="H1465" i="21"/>
  <c r="H1453" i="21"/>
  <c r="H1365" i="21"/>
  <c r="H1359" i="21"/>
  <c r="H1326" i="21"/>
  <c r="H1302" i="21"/>
  <c r="H1170" i="21"/>
  <c r="H1152" i="21"/>
  <c r="H1145" i="21"/>
  <c r="H1093" i="21"/>
  <c r="H989" i="21"/>
  <c r="H964" i="21"/>
  <c r="H962" i="21"/>
  <c r="H945" i="21"/>
  <c r="H926" i="21"/>
  <c r="H795" i="21"/>
  <c r="H754" i="21"/>
  <c r="H675" i="21"/>
  <c r="H608" i="21"/>
  <c r="H1745" i="24"/>
  <c r="H1737" i="24"/>
  <c r="H1682" i="24"/>
  <c r="H1669" i="24"/>
  <c r="H1664" i="24"/>
  <c r="H1641" i="24"/>
  <c r="H1635" i="24"/>
  <c r="H1605" i="24"/>
  <c r="H1473" i="24"/>
  <c r="H1467" i="24"/>
  <c r="H1391" i="24"/>
  <c r="H1326" i="24"/>
  <c r="H1290" i="24"/>
  <c r="H1285" i="24"/>
  <c r="H10" i="24"/>
  <c r="H15" i="24"/>
  <c r="H30" i="24"/>
  <c r="H41" i="24"/>
  <c r="H82" i="24"/>
  <c r="H108" i="24"/>
  <c r="H128" i="24"/>
  <c r="H134" i="24"/>
  <c r="H150" i="24"/>
  <c r="H210" i="24"/>
  <c r="H269" i="24"/>
  <c r="H309" i="24"/>
  <c r="H321" i="24"/>
  <c r="H374" i="24"/>
  <c r="H469" i="24"/>
  <c r="H492" i="24"/>
  <c r="H659" i="24"/>
  <c r="H676" i="24"/>
  <c r="H698" i="24"/>
  <c r="H709" i="24"/>
  <c r="H715" i="24"/>
  <c r="H771" i="24"/>
  <c r="H790" i="24"/>
  <c r="H794" i="24"/>
  <c r="H830" i="24"/>
  <c r="H910" i="24"/>
  <c r="H925" i="24"/>
  <c r="H2081" i="30"/>
  <c r="H2080" i="30"/>
  <c r="H1965" i="30"/>
  <c r="H1846" i="16"/>
  <c r="H1822" i="16"/>
  <c r="H1818" i="16"/>
  <c r="H1812" i="16"/>
  <c r="H2702" i="16"/>
  <c r="H2663" i="16"/>
  <c r="H2643" i="16"/>
  <c r="H2616" i="16"/>
  <c r="H2609" i="16"/>
  <c r="H2603" i="16"/>
  <c r="H2596" i="16"/>
  <c r="H2568" i="16"/>
  <c r="H2443" i="16"/>
  <c r="H2432" i="16"/>
  <c r="H2415" i="16"/>
  <c r="H2405" i="16"/>
  <c r="H2381" i="16"/>
  <c r="H2371" i="16"/>
  <c r="H2355" i="16"/>
  <c r="H2342" i="16"/>
  <c r="H2287" i="16"/>
  <c r="H2282" i="16"/>
  <c r="H2267" i="16"/>
  <c r="H2214" i="16"/>
  <c r="H2203" i="16"/>
  <c r="H2067" i="16"/>
  <c r="H2008" i="16"/>
  <c r="H2002" i="16"/>
  <c r="H1998" i="16"/>
  <c r="H1946" i="16"/>
  <c r="H1919" i="16"/>
  <c r="H1913" i="16"/>
  <c r="H1909" i="16"/>
  <c r="H1739" i="21"/>
  <c r="H1679" i="21"/>
  <c r="H1673" i="21"/>
  <c r="H1625" i="21"/>
  <c r="H1619" i="21"/>
  <c r="H1575" i="21"/>
  <c r="H1518" i="21"/>
  <c r="H1459" i="21"/>
  <c r="H1321" i="21"/>
  <c r="H1309" i="21"/>
  <c r="H1218" i="21"/>
  <c r="H1105" i="21"/>
  <c r="H1043" i="21"/>
  <c r="H983" i="21"/>
  <c r="H970" i="21"/>
  <c r="H874" i="21"/>
  <c r="H858" i="21"/>
  <c r="H845" i="21"/>
  <c r="H794" i="21"/>
  <c r="H788" i="21"/>
  <c r="H1749" i="24"/>
  <c r="H1681" i="24"/>
  <c r="H1675" i="24"/>
  <c r="H1656" i="24"/>
  <c r="H1628" i="24"/>
  <c r="H1622" i="24"/>
  <c r="H1582" i="24"/>
  <c r="H1558" i="24"/>
  <c r="H1542" i="24"/>
  <c r="H1520" i="24"/>
  <c r="H1447" i="24"/>
  <c r="H1430" i="24"/>
  <c r="H1395" i="24"/>
  <c r="H1371" i="24"/>
  <c r="H1367" i="24"/>
  <c r="H1332" i="24"/>
  <c r="H1313" i="24"/>
  <c r="H1267" i="24"/>
  <c r="H1250" i="24"/>
  <c r="H68" i="24"/>
  <c r="H89" i="24"/>
  <c r="H122" i="24"/>
  <c r="H135" i="24"/>
  <c r="H167" i="24"/>
  <c r="H171" i="24"/>
  <c r="H188" i="24"/>
  <c r="H278" i="24"/>
  <c r="H294" i="24"/>
  <c r="H350" i="24"/>
  <c r="H357" i="24"/>
  <c r="H362" i="24"/>
  <c r="H563" i="24"/>
  <c r="H570" i="24"/>
  <c r="H611" i="24"/>
  <c r="H622" i="24"/>
  <c r="H670" i="24"/>
  <c r="H905" i="24"/>
  <c r="H1017" i="24"/>
  <c r="H1722" i="30"/>
  <c r="H1892" i="16"/>
  <c r="H1833" i="16"/>
  <c r="H1829" i="16"/>
  <c r="H2682" i="16"/>
  <c r="H2670" i="16"/>
  <c r="H2668" i="16"/>
  <c r="H2652" i="16"/>
  <c r="H2632" i="16"/>
  <c r="H2608" i="16"/>
  <c r="H2535" i="16"/>
  <c r="H2525" i="16"/>
  <c r="H2521" i="16"/>
  <c r="H2449" i="16"/>
  <c r="H2395" i="16"/>
  <c r="H2390" i="16"/>
  <c r="H2361" i="16"/>
  <c r="H2347" i="16"/>
  <c r="H2335" i="16"/>
  <c r="H2320" i="16"/>
  <c r="H2291" i="16"/>
  <c r="H2254" i="16"/>
  <c r="H2244" i="16"/>
  <c r="H2240" i="16"/>
  <c r="H2231" i="16"/>
  <c r="H2224" i="16"/>
  <c r="H2149" i="16"/>
  <c r="H2142" i="16"/>
  <c r="H2128" i="16"/>
  <c r="H2115" i="16"/>
  <c r="H2107" i="16"/>
  <c r="H2102" i="16"/>
  <c r="H2061" i="16"/>
  <c r="H1941" i="16"/>
  <c r="H1932" i="16"/>
  <c r="H1899" i="16"/>
  <c r="H1762" i="21"/>
  <c r="H1738" i="21"/>
  <c r="H1618" i="21"/>
  <c r="H1582" i="21"/>
  <c r="H1458" i="21"/>
  <c r="H1452" i="21"/>
  <c r="H1144" i="21"/>
  <c r="H1086" i="21"/>
  <c r="H1062" i="21"/>
  <c r="H1042" i="21"/>
  <c r="H1036" i="21"/>
  <c r="H949" i="21"/>
  <c r="H930" i="21"/>
  <c r="H881" i="21"/>
  <c r="H611" i="21"/>
  <c r="H1743" i="24"/>
  <c r="H1668" i="24"/>
  <c r="H1662" i="24"/>
  <c r="H1638" i="24"/>
  <c r="H1634" i="24"/>
  <c r="H1609" i="24"/>
  <c r="H1565" i="24"/>
  <c r="H1524" i="24"/>
  <c r="H1406" i="24"/>
  <c r="H1399" i="24"/>
  <c r="H1383" i="24"/>
  <c r="H1377" i="24"/>
  <c r="H1299" i="24"/>
  <c r="H1288" i="24"/>
  <c r="H31" i="24"/>
  <c r="H95" i="24"/>
  <c r="H109" i="24"/>
  <c r="H115" i="24"/>
  <c r="H129" i="24"/>
  <c r="H151" i="24"/>
  <c r="H161" i="24"/>
  <c r="H173" i="24"/>
  <c r="H178" i="24"/>
  <c r="H270" i="24"/>
  <c r="H282" i="24"/>
  <c r="H295" i="24"/>
  <c r="H310" i="24"/>
  <c r="H369" i="24"/>
  <c r="H470" i="24"/>
  <c r="H495" i="24"/>
  <c r="H576" i="24"/>
  <c r="H710" i="24"/>
  <c r="H985" i="24"/>
  <c r="H996" i="24"/>
  <c r="H1010" i="24"/>
  <c r="H1173" i="24"/>
  <c r="H1794" i="26"/>
  <c r="H1788" i="26"/>
  <c r="H2693" i="26"/>
  <c r="H2606" i="26"/>
  <c r="H2598" i="26"/>
  <c r="H2523" i="26"/>
  <c r="H2518" i="26"/>
  <c r="H2510" i="26"/>
  <c r="H2506" i="26"/>
  <c r="H2500" i="26"/>
  <c r="H2484" i="26"/>
  <c r="H2085" i="30"/>
  <c r="H1813" i="30"/>
  <c r="H1822" i="30"/>
  <c r="H2405" i="26"/>
  <c r="H2398" i="26"/>
  <c r="H2245" i="26"/>
  <c r="H2203" i="26"/>
  <c r="H2102" i="26"/>
  <c r="H2034" i="26"/>
  <c r="H1923" i="26"/>
  <c r="H1894" i="26"/>
  <c r="H1882" i="26"/>
  <c r="H1854" i="26"/>
  <c r="H1842" i="26"/>
  <c r="H3054" i="26"/>
  <c r="H3046" i="26"/>
  <c r="H3041" i="26"/>
  <c r="H2932" i="26"/>
  <c r="H2921" i="26"/>
  <c r="H2892" i="26"/>
  <c r="H2820" i="26"/>
  <c r="H1951" i="30"/>
  <c r="H1658" i="30"/>
  <c r="H1654" i="30"/>
  <c r="H1649" i="30"/>
  <c r="H1021" i="33"/>
  <c r="H981" i="33"/>
  <c r="H929" i="33"/>
  <c r="H381" i="24"/>
  <c r="H410" i="24"/>
  <c r="H451" i="24"/>
  <c r="H476" i="24"/>
  <c r="H511" i="24"/>
  <c r="H552" i="24"/>
  <c r="H558" i="24"/>
  <c r="H615" i="24"/>
  <c r="H636" i="24"/>
  <c r="H675" i="24"/>
  <c r="H683" i="24"/>
  <c r="H712" i="24"/>
  <c r="H759" i="24"/>
  <c r="H860" i="24"/>
  <c r="H866" i="24"/>
  <c r="H891" i="24"/>
  <c r="H924" i="24"/>
  <c r="H945" i="24"/>
  <c r="H957" i="24"/>
  <c r="H984" i="24"/>
  <c r="H1036" i="24"/>
  <c r="H1069" i="24"/>
  <c r="H1146" i="24"/>
  <c r="H1159" i="24"/>
  <c r="H1169" i="24"/>
  <c r="H1180" i="24"/>
  <c r="H1193" i="24"/>
  <c r="H1784" i="26"/>
  <c r="H2702" i="26"/>
  <c r="H2692" i="26"/>
  <c r="H2680" i="26"/>
  <c r="H2662" i="26"/>
  <c r="H2603" i="26"/>
  <c r="H2545" i="26"/>
  <c r="H2515" i="26"/>
  <c r="H2492" i="26"/>
  <c r="H2475" i="26"/>
  <c r="H2453" i="26"/>
  <c r="H2356" i="26"/>
  <c r="H2333" i="26"/>
  <c r="H2251" i="26"/>
  <c r="H2233" i="26"/>
  <c r="H2215" i="26"/>
  <c r="H2191" i="26"/>
  <c r="H2184" i="26"/>
  <c r="H2022" i="26"/>
  <c r="H1954" i="26"/>
  <c r="H1935" i="26"/>
  <c r="H3115" i="26"/>
  <c r="H1994" i="30"/>
  <c r="H1990" i="30"/>
  <c r="H1974" i="30"/>
  <c r="H1944" i="30"/>
  <c r="H1935" i="30"/>
  <c r="H1930" i="30"/>
  <c r="H1869" i="30"/>
  <c r="H1695" i="30"/>
  <c r="H1675" i="30"/>
  <c r="H1671" i="30"/>
  <c r="H548" i="24"/>
  <c r="H575" i="24"/>
  <c r="H631" i="24"/>
  <c r="H642" i="24"/>
  <c r="H669" i="24"/>
  <c r="H690" i="24"/>
  <c r="H696" i="24"/>
  <c r="H719" i="24"/>
  <c r="H756" i="24"/>
  <c r="H813" i="24"/>
  <c r="H817" i="24"/>
  <c r="H902" i="24"/>
  <c r="H906" i="24"/>
  <c r="H964" i="24"/>
  <c r="H990" i="24"/>
  <c r="H1002" i="24"/>
  <c r="H1006" i="24"/>
  <c r="H1023" i="24"/>
  <c r="H1109" i="24"/>
  <c r="H1117" i="24"/>
  <c r="H1176" i="24"/>
  <c r="H1187" i="24"/>
  <c r="H1708" i="26"/>
  <c r="H1648" i="26"/>
  <c r="H2686" i="26"/>
  <c r="H2673" i="26"/>
  <c r="H2602" i="26"/>
  <c r="H2596" i="26"/>
  <c r="H2567" i="26"/>
  <c r="H2540" i="26"/>
  <c r="H2514" i="26"/>
  <c r="H2508" i="26"/>
  <c r="H2497" i="26"/>
  <c r="H2486" i="26"/>
  <c r="H2470" i="26"/>
  <c r="H2464" i="26"/>
  <c r="H2444" i="26"/>
  <c r="H2440" i="26"/>
  <c r="H3045" i="26"/>
  <c r="H3040" i="26"/>
  <c r="H2920" i="26"/>
  <c r="H2885" i="26"/>
  <c r="H2860" i="26"/>
  <c r="H2833" i="26"/>
  <c r="H2819" i="26"/>
  <c r="H2773" i="26"/>
  <c r="H2172" i="30"/>
  <c r="H2145" i="30"/>
  <c r="H2138" i="30"/>
  <c r="H2132" i="30"/>
  <c r="H2077" i="30"/>
  <c r="H2071" i="30"/>
  <c r="H2040" i="30"/>
  <c r="H2044" i="30"/>
  <c r="H1874" i="30"/>
  <c r="H1758" i="30"/>
  <c r="H1754" i="30"/>
  <c r="H1749" i="30"/>
  <c r="H1648" i="30"/>
  <c r="H928" i="33"/>
  <c r="H2601" i="26"/>
  <c r="H2589" i="26"/>
  <c r="H2556" i="26"/>
  <c r="H2501" i="26"/>
  <c r="H2469" i="26"/>
  <c r="H2409" i="26"/>
  <c r="H2368" i="26"/>
  <c r="H2338" i="26"/>
  <c r="H2332" i="26"/>
  <c r="H2201" i="26"/>
  <c r="H2161" i="26"/>
  <c r="H2111" i="26"/>
  <c r="H1934" i="26"/>
  <c r="H3053" i="26"/>
  <c r="H2948" i="26"/>
  <c r="H2879" i="26"/>
  <c r="H2866" i="26"/>
  <c r="H2760" i="26"/>
  <c r="H2178" i="30"/>
  <c r="H2157" i="30"/>
  <c r="H2151" i="30"/>
  <c r="H2141" i="30"/>
  <c r="H2084" i="30"/>
  <c r="H2039" i="30"/>
  <c r="H1940" i="30"/>
  <c r="H1934" i="30"/>
  <c r="H1929" i="30"/>
  <c r="H1868" i="30"/>
  <c r="H1708" i="30"/>
  <c r="H938" i="33"/>
  <c r="H814" i="24"/>
  <c r="H818" i="24"/>
  <c r="H823" i="24"/>
  <c r="H903" i="24"/>
  <c r="H913" i="24"/>
  <c r="H930" i="24"/>
  <c r="H965" i="24"/>
  <c r="H992" i="24"/>
  <c r="H1056" i="24"/>
  <c r="H1070" i="24"/>
  <c r="H1172" i="24"/>
  <c r="H1188" i="24"/>
  <c r="H1195" i="24"/>
  <c r="H2708" i="26"/>
  <c r="H2672" i="26"/>
  <c r="H2554" i="26"/>
  <c r="H2519" i="26"/>
  <c r="H2513" i="26"/>
  <c r="H2507" i="26"/>
  <c r="H2491" i="26"/>
  <c r="H2474" i="26"/>
  <c r="H2463" i="26"/>
  <c r="H2413" i="26"/>
  <c r="H2360" i="26"/>
  <c r="H2259" i="26"/>
  <c r="H2255" i="26"/>
  <c r="H2207" i="26"/>
  <c r="H2115" i="26"/>
  <c r="H2100" i="26"/>
  <c r="H1985" i="26"/>
  <c r="H1921" i="26"/>
  <c r="H1884" i="26"/>
  <c r="H1844" i="26"/>
  <c r="H3108" i="26"/>
  <c r="H3082" i="26"/>
  <c r="H2941" i="26"/>
  <c r="H2912" i="26"/>
  <c r="H2908" i="26"/>
  <c r="H2889" i="26"/>
  <c r="H2869" i="26"/>
  <c r="H2865" i="26"/>
  <c r="H2859" i="26"/>
  <c r="H2829" i="26"/>
  <c r="H2822" i="26"/>
  <c r="H2818" i="26"/>
  <c r="H2769" i="26"/>
  <c r="H2764" i="26"/>
  <c r="H2177" i="30"/>
  <c r="H2171" i="30"/>
  <c r="H2161" i="30"/>
  <c r="H2139" i="30"/>
  <c r="H2137" i="30"/>
  <c r="H2131" i="30"/>
  <c r="H2074" i="30"/>
  <c r="H2038" i="30"/>
  <c r="H2032" i="30"/>
  <c r="H1998" i="30"/>
  <c r="H1953" i="30"/>
  <c r="H1949" i="30"/>
  <c r="H1882" i="30"/>
  <c r="H1811" i="30"/>
  <c r="H1798" i="30"/>
  <c r="H1794" i="30"/>
  <c r="H1789" i="30"/>
  <c r="H1748" i="30"/>
  <c r="H1682" i="30"/>
  <c r="H1674" i="30"/>
  <c r="H1651" i="30"/>
  <c r="H1037" i="33"/>
  <c r="H1030" i="33"/>
  <c r="H989" i="33"/>
  <c r="H961" i="33"/>
  <c r="H949" i="33"/>
  <c r="H909" i="33"/>
  <c r="H490" i="24"/>
  <c r="H515" i="24"/>
  <c r="H543" i="24"/>
  <c r="H550" i="24"/>
  <c r="H555" i="24"/>
  <c r="H571" i="24"/>
  <c r="H591" i="24"/>
  <c r="H618" i="24"/>
  <c r="H643" i="24"/>
  <c r="H692" i="24"/>
  <c r="H703" i="24"/>
  <c r="H716" i="24"/>
  <c r="H731" i="24"/>
  <c r="H858" i="24"/>
  <c r="H862" i="24"/>
  <c r="H880" i="24"/>
  <c r="H926" i="24"/>
  <c r="H936" i="24"/>
  <c r="H956" i="24"/>
  <c r="H970" i="24"/>
  <c r="H997" i="24"/>
  <c r="H1030" i="24"/>
  <c r="H1066" i="24"/>
  <c r="H1144" i="24"/>
  <c r="H1148" i="24"/>
  <c r="H1152" i="24"/>
  <c r="H1167" i="24"/>
  <c r="H1200" i="24"/>
  <c r="H1782" i="26"/>
  <c r="H1704" i="26"/>
  <c r="H1700" i="26"/>
  <c r="H1688" i="26"/>
  <c r="H2712" i="26"/>
  <c r="H2700" i="26"/>
  <c r="H2689" i="26"/>
  <c r="H2678" i="26"/>
  <c r="H2666" i="26"/>
  <c r="H2660" i="26"/>
  <c r="H2611" i="26"/>
  <c r="H2559" i="26"/>
  <c r="H2496" i="26"/>
  <c r="H2478" i="26"/>
  <c r="H2456" i="26"/>
  <c r="H2431" i="26"/>
  <c r="H2425" i="26"/>
  <c r="H2419" i="26"/>
  <c r="H2385" i="26"/>
  <c r="H2377" i="26"/>
  <c r="H2365" i="26"/>
  <c r="H2331" i="26"/>
  <c r="H2314" i="26"/>
  <c r="H2309" i="26"/>
  <c r="H2265" i="26"/>
  <c r="H2248" i="26"/>
  <c r="H2224" i="26"/>
  <c r="H2212" i="26"/>
  <c r="H2206" i="26"/>
  <c r="H2200" i="26"/>
  <c r="H2182" i="26"/>
  <c r="H2104" i="26"/>
  <c r="H2024" i="26"/>
  <c r="H1995" i="26"/>
  <c r="H1974" i="26"/>
  <c r="H1914" i="26"/>
  <c r="H1908" i="26"/>
  <c r="H1855" i="26"/>
  <c r="H3102" i="26"/>
  <c r="H3095" i="26"/>
  <c r="H3009" i="26"/>
  <c r="H2988" i="26"/>
  <c r="H2961" i="26"/>
  <c r="H2933" i="26"/>
  <c r="H2901" i="26"/>
  <c r="I2901" i="26" s="1"/>
  <c r="H2882" i="26"/>
  <c r="H2878" i="26"/>
  <c r="H2832" i="26"/>
  <c r="H2772" i="26"/>
  <c r="H2759" i="26"/>
  <c r="H2726" i="26"/>
  <c r="H2154" i="30"/>
  <c r="H2144" i="30"/>
  <c r="H2097" i="30"/>
  <c r="H2079" i="30"/>
  <c r="H2051" i="30"/>
  <c r="H2041" i="30"/>
  <c r="H1688" i="30"/>
  <c r="H1678" i="30"/>
  <c r="H1669" i="30"/>
  <c r="H642" i="33"/>
  <c r="H637" i="33"/>
  <c r="H1138" i="33"/>
  <c r="H1048" i="33"/>
  <c r="H629" i="33"/>
  <c r="H570" i="33"/>
  <c r="H442" i="33"/>
  <c r="H437" i="33"/>
  <c r="H1141" i="33"/>
  <c r="H1134" i="33"/>
  <c r="H1129" i="33"/>
  <c r="H1093" i="33"/>
  <c r="H1062" i="33"/>
  <c r="H1053" i="33"/>
  <c r="H1718" i="30"/>
  <c r="H1709" i="30"/>
  <c r="H1691" i="30"/>
  <c r="H1628" i="30"/>
  <c r="H995" i="33"/>
  <c r="H982" i="33"/>
  <c r="H942" i="33"/>
  <c r="H902" i="33"/>
  <c r="H855" i="33"/>
  <c r="H729" i="33"/>
  <c r="H711" i="33"/>
  <c r="H701" i="33"/>
  <c r="H690" i="33"/>
  <c r="H635" i="33"/>
  <c r="H521" i="33"/>
  <c r="H498" i="33"/>
  <c r="H478" i="33"/>
  <c r="H429" i="33"/>
  <c r="H395" i="33"/>
  <c r="H361" i="33"/>
  <c r="H351" i="33"/>
  <c r="H1211" i="33"/>
  <c r="H1088" i="33"/>
  <c r="H722" i="33"/>
  <c r="H634" i="33"/>
  <c r="H628" i="33"/>
  <c r="H593" i="33"/>
  <c r="H587" i="33"/>
  <c r="H490" i="33"/>
  <c r="H435" i="33"/>
  <c r="H378" i="33"/>
  <c r="H355" i="33"/>
  <c r="H237" i="33"/>
  <c r="H1215" i="33"/>
  <c r="H1188" i="33"/>
  <c r="H1114" i="33"/>
  <c r="H901" i="33"/>
  <c r="H882" i="33"/>
  <c r="H878" i="33"/>
  <c r="H837" i="33"/>
  <c r="H710" i="33"/>
  <c r="H689" i="33"/>
  <c r="H658" i="33"/>
  <c r="H621" i="33"/>
  <c r="H598" i="33"/>
  <c r="H591" i="33"/>
  <c r="H574" i="33"/>
  <c r="H502" i="33"/>
  <c r="H434" i="33"/>
  <c r="H428" i="33"/>
  <c r="H398" i="33"/>
  <c r="H1091" i="33"/>
  <c r="H631" i="33"/>
  <c r="H627" i="33"/>
  <c r="H514" i="33"/>
  <c r="H489" i="33"/>
  <c r="H1248" i="33"/>
  <c r="H1222" i="33"/>
  <c r="H1181" i="33"/>
  <c r="H1168" i="33"/>
  <c r="H1131" i="33"/>
  <c r="H1127" i="33"/>
  <c r="H1102" i="33"/>
  <c r="H2339" i="26"/>
  <c r="H2321" i="26"/>
  <c r="H2289" i="26"/>
  <c r="H2272" i="26"/>
  <c r="H2250" i="26"/>
  <c r="H2237" i="26"/>
  <c r="H2227" i="26"/>
  <c r="H2221" i="26"/>
  <c r="H2195" i="26"/>
  <c r="H2106" i="26"/>
  <c r="H2101" i="26"/>
  <c r="H2027" i="26"/>
  <c r="H1948" i="26"/>
  <c r="H1915" i="26"/>
  <c r="H3104" i="26"/>
  <c r="H3012" i="26"/>
  <c r="H2984" i="26"/>
  <c r="H2913" i="26"/>
  <c r="H2909" i="26"/>
  <c r="H2886" i="26"/>
  <c r="H2880" i="26"/>
  <c r="H2765" i="26"/>
  <c r="H2761" i="26"/>
  <c r="H2729" i="26"/>
  <c r="H2152" i="30"/>
  <c r="H2078" i="30"/>
  <c r="H2072" i="30"/>
  <c r="H2054" i="30"/>
  <c r="H2050" i="30"/>
  <c r="H2031" i="30"/>
  <c r="H2021" i="30"/>
  <c r="H2017" i="30"/>
  <c r="H2012" i="30"/>
  <c r="H1997" i="30"/>
  <c r="H1992" i="30"/>
  <c r="H1978" i="30"/>
  <c r="H1972" i="30"/>
  <c r="H1932" i="30"/>
  <c r="H1913" i="30"/>
  <c r="H1908" i="30"/>
  <c r="H1871" i="30"/>
  <c r="H1867" i="30"/>
  <c r="H1858" i="30"/>
  <c r="H1848" i="30"/>
  <c r="H1828" i="30"/>
  <c r="H1715" i="30"/>
  <c r="H1711" i="30"/>
  <c r="H1698" i="30"/>
  <c r="H1694" i="30"/>
  <c r="H1689" i="30"/>
  <c r="H1661" i="30"/>
  <c r="H1027" i="33"/>
  <c r="H1015" i="33"/>
  <c r="H975" i="33"/>
  <c r="H935" i="33"/>
  <c r="H922" i="33"/>
  <c r="H694" i="33"/>
  <c r="H662" i="33"/>
  <c r="H638" i="33"/>
  <c r="H615" i="33"/>
  <c r="H608" i="33"/>
  <c r="H542" i="33"/>
  <c r="H495" i="33"/>
  <c r="H481" i="33"/>
  <c r="H431" i="33"/>
  <c r="H349" i="33"/>
  <c r="H315" i="33"/>
  <c r="H1261" i="33"/>
  <c r="H1209" i="33"/>
  <c r="H1142" i="33"/>
  <c r="H1135" i="33"/>
  <c r="H1049" i="33"/>
  <c r="G1824" i="13"/>
  <c r="H1824" i="13" s="1"/>
  <c r="G1804" i="13"/>
  <c r="H1804" i="13" s="1"/>
  <c r="G2661" i="16"/>
  <c r="H2661" i="16" s="1"/>
  <c r="G2462" i="16"/>
  <c r="H2462" i="16" s="1"/>
  <c r="G1784" i="13"/>
  <c r="H1784" i="13" s="1"/>
  <c r="H1907" i="30"/>
  <c r="G1884" i="13"/>
  <c r="G1882" i="13" s="1"/>
  <c r="G1624" i="13"/>
  <c r="H1624" i="13" s="1"/>
  <c r="G1564" i="13"/>
  <c r="G1562" i="13" s="1"/>
  <c r="G787" i="33"/>
  <c r="H787" i="33" s="1"/>
  <c r="G1644" i="13"/>
  <c r="H1644" i="13" s="1"/>
  <c r="G1844" i="13"/>
  <c r="H1844" i="13" s="1"/>
  <c r="G1664" i="13"/>
  <c r="H1664" i="13" s="1"/>
  <c r="G807" i="33"/>
  <c r="H807" i="33" s="1"/>
  <c r="G2401" i="16"/>
  <c r="H2401" i="16" s="1"/>
  <c r="G1764" i="13"/>
  <c r="G1762" i="13" s="1"/>
  <c r="H869" i="33"/>
  <c r="G2404" i="13"/>
  <c r="H2404" i="13" s="1"/>
  <c r="G29" i="24"/>
  <c r="H29" i="24" s="1"/>
  <c r="G1126" i="33"/>
  <c r="H1126" i="33" s="1"/>
  <c r="H1128" i="33"/>
  <c r="G1066" i="33"/>
  <c r="H1066" i="33" s="1"/>
  <c r="G1106" i="33"/>
  <c r="H1106" i="33" s="1"/>
  <c r="G1146" i="33"/>
  <c r="H1146" i="33" s="1"/>
  <c r="H997" i="33"/>
  <c r="G996" i="33"/>
  <c r="H996" i="33" s="1"/>
  <c r="H578" i="33"/>
  <c r="G576" i="33"/>
  <c r="H576" i="33" s="1"/>
  <c r="G1036" i="33"/>
  <c r="H1036" i="33" s="1"/>
  <c r="H1038" i="33"/>
  <c r="H822" i="33"/>
  <c r="H735" i="33"/>
  <c r="H702" i="33"/>
  <c r="H571" i="33"/>
  <c r="H549" i="33"/>
  <c r="H238" i="33"/>
  <c r="H1238" i="33"/>
  <c r="H1233" i="33"/>
  <c r="H1201" i="33"/>
  <c r="G1196" i="33"/>
  <c r="H1196" i="33" s="1"/>
  <c r="H1197" i="33"/>
  <c r="G1192" i="33"/>
  <c r="H1192" i="33" s="1"/>
  <c r="H1193" i="33"/>
  <c r="H1161" i="33"/>
  <c r="H1122" i="33"/>
  <c r="H769" i="33"/>
  <c r="H734" i="33"/>
  <c r="H648" i="33"/>
  <c r="H497" i="33"/>
  <c r="H469" i="33"/>
  <c r="H462" i="33"/>
  <c r="H457" i="33"/>
  <c r="G1246" i="33"/>
  <c r="H1247" i="33"/>
  <c r="H1228" i="33"/>
  <c r="H1147" i="33"/>
  <c r="H1149" i="33"/>
  <c r="H1151" i="33"/>
  <c r="H1158" i="33"/>
  <c r="H1148" i="33"/>
  <c r="H1150" i="33"/>
  <c r="H1157" i="33"/>
  <c r="H1067" i="33"/>
  <c r="H1069" i="33"/>
  <c r="H969" i="33"/>
  <c r="G936" i="33"/>
  <c r="H936" i="33" s="1"/>
  <c r="H921" i="33"/>
  <c r="H821" i="33"/>
  <c r="H421" i="33"/>
  <c r="H1241" i="33"/>
  <c r="G1236" i="33"/>
  <c r="H1236" i="33" s="1"/>
  <c r="H1237" i="33"/>
  <c r="H1195" i="33"/>
  <c r="H1082" i="33"/>
  <c r="H1078" i="33"/>
  <c r="H1073" i="33"/>
  <c r="G1046" i="33"/>
  <c r="H1047" i="33"/>
  <c r="G1016" i="33"/>
  <c r="H1016" i="33" s="1"/>
  <c r="H881" i="33"/>
  <c r="H870" i="33"/>
  <c r="H854" i="33"/>
  <c r="H809" i="33"/>
  <c r="H731" i="33"/>
  <c r="G707" i="33"/>
  <c r="G706" i="33" s="1"/>
  <c r="H691" i="33"/>
  <c r="H551" i="33"/>
  <c r="H518" i="33"/>
  <c r="G476" i="33"/>
  <c r="H476" i="33" s="1"/>
  <c r="H474" i="33"/>
  <c r="H449" i="33"/>
  <c r="G436" i="33"/>
  <c r="H436" i="33" s="1"/>
  <c r="H438" i="33"/>
  <c r="H241" i="33"/>
  <c r="H1231" i="33"/>
  <c r="H1227" i="33"/>
  <c r="G1226" i="33"/>
  <c r="G1199" i="33"/>
  <c r="H1199" i="33" s="1"/>
  <c r="H1200" i="33"/>
  <c r="H1191" i="33"/>
  <c r="H1187" i="33"/>
  <c r="G1186" i="33"/>
  <c r="H1155" i="33"/>
  <c r="H1121" i="33"/>
  <c r="G1112" i="33"/>
  <c r="H1112" i="33" s="1"/>
  <c r="H1113" i="33"/>
  <c r="H1001" i="33"/>
  <c r="H968" i="33"/>
  <c r="H915" i="33"/>
  <c r="H898" i="33"/>
  <c r="H815" i="33"/>
  <c r="H794" i="33"/>
  <c r="H738" i="33"/>
  <c r="H681" i="33"/>
  <c r="H661" i="33"/>
  <c r="H650" i="33"/>
  <c r="H562" i="33"/>
  <c r="H557" i="33"/>
  <c r="H454" i="33"/>
  <c r="H1235" i="33"/>
  <c r="H1217" i="33"/>
  <c r="G1216" i="33"/>
  <c r="H1216" i="33" s="1"/>
  <c r="H1177" i="33"/>
  <c r="G1176" i="33"/>
  <c r="H1176" i="33" s="1"/>
  <c r="G1086" i="33"/>
  <c r="H1087" i="33"/>
  <c r="G1076" i="33"/>
  <c r="H1076" i="33" s="1"/>
  <c r="H1077" i="33"/>
  <c r="H1068" i="33"/>
  <c r="H810" i="33"/>
  <c r="H1042" i="33"/>
  <c r="H990" i="33"/>
  <c r="H814" i="33"/>
  <c r="H767" i="33"/>
  <c r="H695" i="33"/>
  <c r="H471" i="33"/>
  <c r="H1162" i="33"/>
  <c r="H1107" i="33"/>
  <c r="H1109" i="33"/>
  <c r="H1111" i="33"/>
  <c r="H1118" i="33"/>
  <c r="H1108" i="33"/>
  <c r="H1110" i="33"/>
  <c r="H1117" i="33"/>
  <c r="G1096" i="33"/>
  <c r="H1096" i="33" s="1"/>
  <c r="H1081" i="33"/>
  <c r="H1071" i="33"/>
  <c r="H978" i="33"/>
  <c r="H971" i="33"/>
  <c r="H967" i="33"/>
  <c r="H931" i="33"/>
  <c r="H801" i="33"/>
  <c r="H791" i="33"/>
  <c r="H678" i="33"/>
  <c r="H451" i="33"/>
  <c r="H448" i="33"/>
  <c r="H1257" i="33"/>
  <c r="G1256" i="33"/>
  <c r="H1256" i="33" s="1"/>
  <c r="H1198" i="33"/>
  <c r="H1115" i="33"/>
  <c r="H1075" i="33"/>
  <c r="H1041" i="33"/>
  <c r="H927" i="33"/>
  <c r="H911" i="33"/>
  <c r="H874" i="33"/>
  <c r="H818" i="33"/>
  <c r="H811" i="33"/>
  <c r="H797" i="33"/>
  <c r="H698" i="33"/>
  <c r="H567" i="33"/>
  <c r="H515" i="33"/>
  <c r="H470" i="33"/>
  <c r="G456" i="33"/>
  <c r="H456" i="33" s="1"/>
  <c r="H458" i="33"/>
  <c r="H1242" i="33"/>
  <c r="H1229" i="33"/>
  <c r="G1206" i="33"/>
  <c r="H1207" i="33"/>
  <c r="H1189" i="33"/>
  <c r="G1166" i="33"/>
  <c r="H1167" i="33"/>
  <c r="H1153" i="33"/>
  <c r="H1070" i="33"/>
  <c r="H531" i="33"/>
  <c r="G509" i="33"/>
  <c r="H509" i="33" s="1"/>
  <c r="H482" i="33"/>
  <c r="H322" i="33"/>
  <c r="H309" i="33"/>
  <c r="H269" i="33"/>
  <c r="H461" i="33"/>
  <c r="H415" i="33"/>
  <c r="H409" i="33"/>
  <c r="H318" i="33"/>
  <c r="H230" i="33"/>
  <c r="G1056" i="33"/>
  <c r="H1056" i="33" s="1"/>
  <c r="H802" i="33"/>
  <c r="H789" i="33"/>
  <c r="H641" i="33"/>
  <c r="H577" i="33"/>
  <c r="H511" i="33"/>
  <c r="H308" i="33"/>
  <c r="H278" i="33"/>
  <c r="H550" i="33"/>
  <c r="H418" i="33"/>
  <c r="H408" i="33"/>
  <c r="G396" i="33"/>
  <c r="H396" i="33" s="1"/>
  <c r="H229" i="33"/>
  <c r="H411" i="33"/>
  <c r="H401" i="33"/>
  <c r="H381" i="33"/>
  <c r="H369" i="33"/>
  <c r="H311" i="33"/>
  <c r="H281" i="33"/>
  <c r="G276" i="33"/>
  <c r="H276" i="33" s="1"/>
  <c r="H271" i="33"/>
  <c r="H261" i="33"/>
  <c r="H235" i="33"/>
  <c r="H455" i="33"/>
  <c r="H441" i="33"/>
  <c r="H422" i="33"/>
  <c r="H407" i="33"/>
  <c r="G1006" i="33"/>
  <c r="H1006" i="33" s="1"/>
  <c r="H1008" i="33"/>
  <c r="G426" i="33"/>
  <c r="H426" i="33" s="1"/>
  <c r="H427" i="33"/>
  <c r="H647" i="33"/>
  <c r="H287" i="33"/>
  <c r="H268" i="33"/>
  <c r="H1007" i="33"/>
  <c r="H530" i="33"/>
  <c r="G976" i="33"/>
  <c r="H976" i="33" s="1"/>
  <c r="H977" i="33"/>
  <c r="H947" i="33"/>
  <c r="G946" i="33"/>
  <c r="H893" i="33"/>
  <c r="G926" i="33"/>
  <c r="H930" i="33"/>
  <c r="G896" i="33"/>
  <c r="H896" i="33" s="1"/>
  <c r="H897" i="33"/>
  <c r="H841" i="33"/>
  <c r="H973" i="33"/>
  <c r="H918" i="33"/>
  <c r="G916" i="33"/>
  <c r="H916" i="33" s="1"/>
  <c r="G906" i="33"/>
  <c r="H907" i="33"/>
  <c r="H957" i="33"/>
  <c r="G956" i="33"/>
  <c r="H956" i="33" s="1"/>
  <c r="H613" i="33"/>
  <c r="G266" i="33"/>
  <c r="H267" i="33"/>
  <c r="H917" i="33"/>
  <c r="G776" i="33"/>
  <c r="H776" i="33" s="1"/>
  <c r="H777" i="33"/>
  <c r="H714" i="33"/>
  <c r="H709" i="33"/>
  <c r="G856" i="33"/>
  <c r="H856" i="33" s="1"/>
  <c r="H747" i="33"/>
  <c r="H657" i="33"/>
  <c r="G656" i="33"/>
  <c r="H656" i="33" s="1"/>
  <c r="G756" i="33"/>
  <c r="H756" i="33" s="1"/>
  <c r="H757" i="33"/>
  <c r="H1018" i="33"/>
  <c r="H1011" i="33"/>
  <c r="H1009" i="33"/>
  <c r="H955" i="33"/>
  <c r="H950" i="33"/>
  <c r="H908" i="33"/>
  <c r="G796" i="33"/>
  <c r="H796" i="33" s="1"/>
  <c r="H771" i="33"/>
  <c r="G616" i="33"/>
  <c r="H616" i="33" s="1"/>
  <c r="H617" i="33"/>
  <c r="H951" i="33"/>
  <c r="G966" i="33"/>
  <c r="H962" i="33"/>
  <c r="H782" i="33"/>
  <c r="H775" i="33"/>
  <c r="H517" i="33"/>
  <c r="G516" i="33"/>
  <c r="H516" i="33" s="1"/>
  <c r="H717" i="33"/>
  <c r="G716" i="33"/>
  <c r="H716" i="33" s="1"/>
  <c r="H910" i="33"/>
  <c r="H770" i="33"/>
  <c r="H741" i="33"/>
  <c r="H538" i="33"/>
  <c r="G536" i="33"/>
  <c r="H536" i="33" s="1"/>
  <c r="G986" i="33"/>
  <c r="H877" i="33"/>
  <c r="G876" i="33"/>
  <c r="H876" i="33" s="1"/>
  <c r="H849" i="33"/>
  <c r="H817" i="33"/>
  <c r="H697" i="33"/>
  <c r="G696" i="33"/>
  <c r="H696" i="33" s="1"/>
  <c r="H671" i="33"/>
  <c r="H573" i="33"/>
  <c r="H413" i="33"/>
  <c r="H670" i="33"/>
  <c r="H667" i="33"/>
  <c r="G666" i="33"/>
  <c r="G646" i="33"/>
  <c r="H541" i="33"/>
  <c r="H537" i="33"/>
  <c r="H467" i="33"/>
  <c r="H501" i="33"/>
  <c r="H673" i="33"/>
  <c r="H669" i="33"/>
  <c r="G596" i="33"/>
  <c r="H596" i="33" s="1"/>
  <c r="H597" i="33"/>
  <c r="H561" i="33"/>
  <c r="G736" i="33"/>
  <c r="H736" i="33" s="1"/>
  <c r="H737" i="33"/>
  <c r="H677" i="33"/>
  <c r="G676" i="33"/>
  <c r="H676" i="33" s="1"/>
  <c r="H653" i="33"/>
  <c r="G652" i="33"/>
  <c r="H652" i="33" s="1"/>
  <c r="H529" i="33"/>
  <c r="G386" i="33"/>
  <c r="H387" i="33"/>
  <c r="G636" i="33"/>
  <c r="H636" i="33" s="1"/>
  <c r="G626" i="33"/>
  <c r="G556" i="33"/>
  <c r="H556" i="33" s="1"/>
  <c r="H402" i="33"/>
  <c r="H397" i="33"/>
  <c r="H338" i="33"/>
  <c r="H333" i="33"/>
  <c r="H293" i="33"/>
  <c r="G406" i="33"/>
  <c r="H393" i="33"/>
  <c r="H302" i="33"/>
  <c r="H588" i="33"/>
  <c r="H510" i="33"/>
  <c r="G416" i="33"/>
  <c r="H416" i="33" s="1"/>
  <c r="H417" i="33"/>
  <c r="G376" i="33"/>
  <c r="H376" i="33" s="1"/>
  <c r="H377" i="33"/>
  <c r="H651" i="33"/>
  <c r="H649" i="33"/>
  <c r="H582" i="33"/>
  <c r="H391" i="33"/>
  <c r="H331" i="33"/>
  <c r="H327" i="33"/>
  <c r="G326" i="33"/>
  <c r="H321" i="33"/>
  <c r="H388" i="33"/>
  <c r="H335" i="33"/>
  <c r="H371" i="33"/>
  <c r="H367" i="33"/>
  <c r="G366" i="33"/>
  <c r="H357" i="33"/>
  <c r="G356" i="33"/>
  <c r="H356" i="33" s="1"/>
  <c r="H341" i="33"/>
  <c r="G336" i="33"/>
  <c r="H336" i="33" s="1"/>
  <c r="H337" i="33"/>
  <c r="H290" i="33"/>
  <c r="H249" i="33"/>
  <c r="H317" i="33"/>
  <c r="G316" i="33"/>
  <c r="H316" i="33" s="1"/>
  <c r="H289" i="33"/>
  <c r="H258" i="33"/>
  <c r="H298" i="33"/>
  <c r="H288" i="33"/>
  <c r="G256" i="33"/>
  <c r="H256" i="33" s="1"/>
  <c r="H257" i="33"/>
  <c r="H342" i="33"/>
  <c r="H329" i="33"/>
  <c r="G306" i="33"/>
  <c r="H307" i="33"/>
  <c r="H301" i="33"/>
  <c r="G296" i="33"/>
  <c r="H296" i="33" s="1"/>
  <c r="H297" i="33"/>
  <c r="H291" i="33"/>
  <c r="G286" i="33"/>
  <c r="H255" i="33"/>
  <c r="H250" i="33"/>
  <c r="G346" i="33"/>
  <c r="H347" i="33"/>
  <c r="H328" i="33"/>
  <c r="G236" i="33"/>
  <c r="H236" i="33" s="1"/>
  <c r="H277" i="33"/>
  <c r="G1886" i="30"/>
  <c r="H1886" i="30" s="1"/>
  <c r="G2049" i="30"/>
  <c r="H2049" i="30" s="1"/>
  <c r="H1888" i="30"/>
  <c r="H2070" i="30"/>
  <c r="G2069" i="30"/>
  <c r="H1928" i="30"/>
  <c r="G1927" i="30"/>
  <c r="H2150" i="30"/>
  <c r="G2149" i="30"/>
  <c r="G2169" i="30"/>
  <c r="H2170" i="30"/>
  <c r="G2159" i="30"/>
  <c r="H2159" i="30" s="1"/>
  <c r="H2160" i="30"/>
  <c r="H2130" i="30"/>
  <c r="G2129" i="30"/>
  <c r="H2124" i="30"/>
  <c r="G1948" i="30"/>
  <c r="H1950" i="30"/>
  <c r="G2089" i="30"/>
  <c r="H2091" i="30"/>
  <c r="G2059" i="30"/>
  <c r="H2059" i="30" s="1"/>
  <c r="H2060" i="30"/>
  <c r="H2004" i="30"/>
  <c r="H1893" i="30"/>
  <c r="H1970" i="30"/>
  <c r="G1969" i="30"/>
  <c r="H2030" i="30"/>
  <c r="G2029" i="30"/>
  <c r="G1989" i="30"/>
  <c r="H1991" i="30"/>
  <c r="H1964" i="30"/>
  <c r="H1955" i="30"/>
  <c r="H1960" i="30"/>
  <c r="G1959" i="30"/>
  <c r="H1959" i="30" s="1"/>
  <c r="H1939" i="30"/>
  <c r="G1938" i="30"/>
  <c r="H1938" i="30" s="1"/>
  <c r="H3084" i="26"/>
  <c r="H2125" i="30"/>
  <c r="H2092" i="30"/>
  <c r="H2037" i="30"/>
  <c r="H1847" i="30"/>
  <c r="G1846" i="30"/>
  <c r="H1807" i="30"/>
  <c r="G1806" i="30"/>
  <c r="H2020" i="30"/>
  <c r="H2000" i="30"/>
  <c r="H1984" i="30"/>
  <c r="G2179" i="30"/>
  <c r="H2179" i="30" s="1"/>
  <c r="H2164" i="30"/>
  <c r="H1797" i="30"/>
  <c r="G1796" i="30"/>
  <c r="H1796" i="30" s="1"/>
  <c r="H2024" i="30"/>
  <c r="H1877" i="30"/>
  <c r="G1876" i="30"/>
  <c r="H1876" i="30" s="1"/>
  <c r="G1826" i="30"/>
  <c r="H1827" i="30"/>
  <c r="G2019" i="30"/>
  <c r="H2019" i="30" s="1"/>
  <c r="H2011" i="30"/>
  <c r="H1973" i="30"/>
  <c r="G2109" i="30"/>
  <c r="H1898" i="30"/>
  <c r="G1816" i="30"/>
  <c r="H1816" i="30" s="1"/>
  <c r="H1817" i="30"/>
  <c r="G1656" i="30"/>
  <c r="H1656" i="30" s="1"/>
  <c r="H1657" i="30"/>
  <c r="G1736" i="30"/>
  <c r="H1736" i="30" s="1"/>
  <c r="H1737" i="30"/>
  <c r="H2165" i="30"/>
  <c r="H2113" i="30"/>
  <c r="H2045" i="30"/>
  <c r="H2034" i="30"/>
  <c r="H2025" i="30"/>
  <c r="G2009" i="30"/>
  <c r="G1979" i="30"/>
  <c r="H1979" i="30" s="1"/>
  <c r="G1812" i="30"/>
  <c r="H1812" i="30" s="1"/>
  <c r="G1786" i="30"/>
  <c r="H1787" i="30"/>
  <c r="G1776" i="30"/>
  <c r="H1776" i="30" s="1"/>
  <c r="H1777" i="30"/>
  <c r="H1687" i="30"/>
  <c r="G1686" i="30"/>
  <c r="G1917" i="30"/>
  <c r="H1917" i="30" s="1"/>
  <c r="H1881" i="30"/>
  <c r="G1866" i="30"/>
  <c r="H1835" i="30"/>
  <c r="G1706" i="30"/>
  <c r="H1707" i="30"/>
  <c r="G1626" i="30"/>
  <c r="H1627" i="30"/>
  <c r="H1815" i="30"/>
  <c r="H1810" i="30"/>
  <c r="H1677" i="30"/>
  <c r="G1676" i="30"/>
  <c r="H1676" i="30" s="1"/>
  <c r="G1906" i="30"/>
  <c r="H1829" i="30"/>
  <c r="H1727" i="30"/>
  <c r="G1726" i="30"/>
  <c r="H1647" i="30"/>
  <c r="G1646" i="30"/>
  <c r="H1861" i="30"/>
  <c r="G1856" i="30"/>
  <c r="H1856" i="30" s="1"/>
  <c r="H1838" i="30"/>
  <c r="H1821" i="30"/>
  <c r="H1809" i="30"/>
  <c r="H1801" i="30"/>
  <c r="H1768" i="30"/>
  <c r="G1696" i="30"/>
  <c r="H1696" i="30" s="1"/>
  <c r="H1697" i="30"/>
  <c r="G1746" i="30"/>
  <c r="H1747" i="30"/>
  <c r="G1666" i="30"/>
  <c r="H1667" i="30"/>
  <c r="H1837" i="30"/>
  <c r="H1831" i="30"/>
  <c r="H1818" i="30"/>
  <c r="H1808" i="30"/>
  <c r="H1767" i="30"/>
  <c r="G1766" i="30"/>
  <c r="H1757" i="30"/>
  <c r="G1756" i="30"/>
  <c r="H1756" i="30" s="1"/>
  <c r="H1717" i="30"/>
  <c r="G1716" i="30"/>
  <c r="H1716" i="30" s="1"/>
  <c r="H1637" i="30"/>
  <c r="G1636" i="30"/>
  <c r="H1636" i="30" s="1"/>
  <c r="G3079" i="26"/>
  <c r="H3079" i="26" s="1"/>
  <c r="G2707" i="26"/>
  <c r="H2707" i="26" s="1"/>
  <c r="H2622" i="26"/>
  <c r="H2617" i="26"/>
  <c r="H2578" i="26"/>
  <c r="H2573" i="26"/>
  <c r="H2412" i="26"/>
  <c r="H2391" i="26"/>
  <c r="H2381" i="26"/>
  <c r="H1942" i="26"/>
  <c r="H3004" i="26"/>
  <c r="H1831" i="26"/>
  <c r="H1824" i="26"/>
  <c r="H2408" i="26"/>
  <c r="H2400" i="26"/>
  <c r="H2397" i="26"/>
  <c r="H2386" i="26"/>
  <c r="H2380" i="26"/>
  <c r="H2375" i="26"/>
  <c r="H2166" i="26"/>
  <c r="G3069" i="26"/>
  <c r="H3069" i="26" s="1"/>
  <c r="H3071" i="26"/>
  <c r="G3048" i="26"/>
  <c r="H3048" i="26" s="1"/>
  <c r="H3050" i="26"/>
  <c r="H1787" i="26"/>
  <c r="H1781" i="26"/>
  <c r="H1747" i="26"/>
  <c r="H1741" i="26"/>
  <c r="H1711" i="26"/>
  <c r="H1701" i="26"/>
  <c r="G1690" i="26"/>
  <c r="G1689" i="26" s="1"/>
  <c r="H1689" i="26" s="1"/>
  <c r="H2682" i="26"/>
  <c r="H2620" i="26"/>
  <c r="H2581" i="26"/>
  <c r="H2576" i="26"/>
  <c r="H2572" i="26"/>
  <c r="H2390" i="26"/>
  <c r="H2378" i="26"/>
  <c r="H2354" i="26"/>
  <c r="G2319" i="26"/>
  <c r="H2319" i="26" s="1"/>
  <c r="H2164" i="26"/>
  <c r="H2160" i="26"/>
  <c r="H2051" i="26"/>
  <c r="H1987" i="26"/>
  <c r="G3109" i="26"/>
  <c r="H3109" i="26" s="1"/>
  <c r="H3100" i="26"/>
  <c r="H3066" i="26"/>
  <c r="H3059" i="26"/>
  <c r="H2989" i="26"/>
  <c r="G2987" i="26"/>
  <c r="H2987" i="26" s="1"/>
  <c r="H1823" i="26"/>
  <c r="H1722" i="26"/>
  <c r="H2668" i="26"/>
  <c r="H2552" i="26"/>
  <c r="H2537" i="26"/>
  <c r="H2530" i="26"/>
  <c r="G2473" i="26"/>
  <c r="H2473" i="26" s="1"/>
  <c r="G2407" i="26"/>
  <c r="H2407" i="26" s="1"/>
  <c r="H2396" i="26"/>
  <c r="H2359" i="26"/>
  <c r="H2243" i="26"/>
  <c r="H2171" i="26"/>
  <c r="G2009" i="26"/>
  <c r="H2009" i="26" s="1"/>
  <c r="H2010" i="26"/>
  <c r="H1928" i="26"/>
  <c r="H2964" i="26"/>
  <c r="H2949" i="26"/>
  <c r="G2947" i="26"/>
  <c r="H2947" i="26" s="1"/>
  <c r="H2399" i="26"/>
  <c r="G2231" i="26"/>
  <c r="H2231" i="26" s="1"/>
  <c r="H2232" i="26"/>
  <c r="H3062" i="26"/>
  <c r="H3074" i="26"/>
  <c r="H3070" i="26"/>
  <c r="H3063" i="26"/>
  <c r="H3044" i="26"/>
  <c r="G3007" i="26"/>
  <c r="H3007" i="26" s="1"/>
  <c r="H3008" i="26"/>
  <c r="H2146" i="26"/>
  <c r="H2141" i="26"/>
  <c r="H1964" i="26"/>
  <c r="H3065" i="26"/>
  <c r="H2661" i="26"/>
  <c r="H2624" i="26"/>
  <c r="H2618" i="26"/>
  <c r="H2595" i="26"/>
  <c r="H2574" i="26"/>
  <c r="H2488" i="26"/>
  <c r="H2404" i="26"/>
  <c r="H2383" i="26"/>
  <c r="H2352" i="26"/>
  <c r="H2162" i="26"/>
  <c r="H2054" i="26"/>
  <c r="H3075" i="26"/>
  <c r="H3061" i="26"/>
  <c r="H3024" i="26"/>
  <c r="H1731" i="26"/>
  <c r="H1724" i="26"/>
  <c r="H2623" i="26"/>
  <c r="H2584" i="26"/>
  <c r="H2579" i="26"/>
  <c r="H2558" i="26"/>
  <c r="H2550" i="26"/>
  <c r="H2532" i="26"/>
  <c r="H2528" i="26"/>
  <c r="H2403" i="26"/>
  <c r="H2387" i="26"/>
  <c r="H2361" i="26"/>
  <c r="H3106" i="26"/>
  <c r="H3067" i="26"/>
  <c r="H2828" i="26"/>
  <c r="G2827" i="26"/>
  <c r="H2827" i="26" s="1"/>
  <c r="H2782" i="26"/>
  <c r="H2768" i="26"/>
  <c r="G2767" i="26"/>
  <c r="H2767" i="26" s="1"/>
  <c r="H2749" i="26"/>
  <c r="G2967" i="26"/>
  <c r="H2967" i="26" s="1"/>
  <c r="H2968" i="26"/>
  <c r="H2924" i="26"/>
  <c r="H2804" i="26"/>
  <c r="H2728" i="26"/>
  <c r="G2727" i="26"/>
  <c r="H2727" i="26" s="1"/>
  <c r="H2044" i="26"/>
  <c r="H2040" i="26"/>
  <c r="H2020" i="26"/>
  <c r="H2014" i="26"/>
  <c r="H1963" i="26"/>
  <c r="H1891" i="26"/>
  <c r="H1871" i="26"/>
  <c r="H1848" i="26"/>
  <c r="H3038" i="26"/>
  <c r="G2887" i="26"/>
  <c r="H2887" i="26" s="1"/>
  <c r="H2888" i="26"/>
  <c r="H2853" i="26"/>
  <c r="H2840" i="26"/>
  <c r="H2781" i="26"/>
  <c r="G2747" i="26"/>
  <c r="H2747" i="26" s="1"/>
  <c r="H2748" i="26"/>
  <c r="G2717" i="26"/>
  <c r="H2718" i="26"/>
  <c r="G2341" i="26"/>
  <c r="H2341" i="26" s="1"/>
  <c r="H2246" i="26"/>
  <c r="H2163" i="26"/>
  <c r="H2142" i="26"/>
  <c r="H1943" i="26"/>
  <c r="H1922" i="26"/>
  <c r="H1904" i="26"/>
  <c r="H1862" i="26"/>
  <c r="H1841" i="26"/>
  <c r="H3090" i="26"/>
  <c r="G2857" i="26"/>
  <c r="H2858" i="26"/>
  <c r="H2960" i="26"/>
  <c r="G2927" i="26"/>
  <c r="H2927" i="26" s="1"/>
  <c r="H2928" i="26"/>
  <c r="H2852" i="26"/>
  <c r="H2848" i="26"/>
  <c r="H2839" i="26"/>
  <c r="H2793" i="26"/>
  <c r="H2780" i="26"/>
  <c r="H2746" i="26"/>
  <c r="H2741" i="26"/>
  <c r="H1861" i="26"/>
  <c r="G2907" i="26"/>
  <c r="H2907" i="26" s="1"/>
  <c r="G2877" i="26"/>
  <c r="H2202" i="26"/>
  <c r="H2186" i="26"/>
  <c r="H2181" i="26"/>
  <c r="H2061" i="26"/>
  <c r="H2042" i="26"/>
  <c r="H2031" i="26"/>
  <c r="H1971" i="26"/>
  <c r="H1931" i="26"/>
  <c r="H1911" i="26"/>
  <c r="H1888" i="26"/>
  <c r="H1851" i="26"/>
  <c r="H2952" i="26"/>
  <c r="H2842" i="26"/>
  <c r="H2838" i="26"/>
  <c r="G2837" i="26"/>
  <c r="H2824" i="26"/>
  <c r="G2817" i="26"/>
  <c r="G2807" i="26"/>
  <c r="H2807" i="26" s="1"/>
  <c r="H2792" i="26"/>
  <c r="H2788" i="26"/>
  <c r="H2779" i="26"/>
  <c r="H2740" i="26"/>
  <c r="H2244" i="26"/>
  <c r="H2208" i="26"/>
  <c r="H2155" i="26"/>
  <c r="H2151" i="26"/>
  <c r="H2144" i="26"/>
  <c r="H2114" i="26"/>
  <c r="H2094" i="26"/>
  <c r="G2089" i="26"/>
  <c r="H2089" i="26" s="1"/>
  <c r="H2081" i="26"/>
  <c r="H2035" i="26"/>
  <c r="H1951" i="26"/>
  <c r="H1924" i="26"/>
  <c r="H1902" i="26"/>
  <c r="H1881" i="26"/>
  <c r="H1864" i="26"/>
  <c r="H2787" i="26"/>
  <c r="H2753" i="26"/>
  <c r="H2904" i="26"/>
  <c r="I2904" i="26" s="1"/>
  <c r="G2039" i="26"/>
  <c r="H2039" i="26" s="1"/>
  <c r="H2041" i="26"/>
  <c r="G2505" i="26"/>
  <c r="H2505" i="26" s="1"/>
  <c r="G2019" i="26"/>
  <c r="H2019" i="26" s="1"/>
  <c r="H2002" i="26"/>
  <c r="H2659" i="26"/>
  <c r="G2461" i="26"/>
  <c r="H2461" i="26" s="1"/>
  <c r="H249" i="24"/>
  <c r="G2697" i="26"/>
  <c r="H2697" i="26" s="1"/>
  <c r="G2677" i="26"/>
  <c r="H2677" i="26" s="1"/>
  <c r="H2082" i="26"/>
  <c r="H2063" i="26"/>
  <c r="G2647" i="26"/>
  <c r="H2647" i="26" s="1"/>
  <c r="H2648" i="26"/>
  <c r="H2632" i="26"/>
  <c r="H2628" i="26"/>
  <c r="G2627" i="26"/>
  <c r="H2627" i="26" s="1"/>
  <c r="G2605" i="26"/>
  <c r="H2605" i="26" s="1"/>
  <c r="H2607" i="26"/>
  <c r="G2593" i="26"/>
  <c r="H1647" i="26"/>
  <c r="G1645" i="26"/>
  <c r="H1645" i="26" s="1"/>
  <c r="H2616" i="26"/>
  <c r="G2615" i="26"/>
  <c r="G2549" i="26"/>
  <c r="H2551" i="26"/>
  <c r="H2490" i="26"/>
  <c r="H2446" i="26"/>
  <c r="G1829" i="26"/>
  <c r="H1829" i="26" s="1"/>
  <c r="H1830" i="26"/>
  <c r="G2657" i="26"/>
  <c r="H2658" i="26"/>
  <c r="H2534" i="26"/>
  <c r="H2512" i="26"/>
  <c r="H2684" i="26"/>
  <c r="G2483" i="26"/>
  <c r="H2485" i="26"/>
  <c r="H2382" i="26"/>
  <c r="H2600" i="26"/>
  <c r="G2583" i="26"/>
  <c r="H2583" i="26" s="1"/>
  <c r="H2585" i="26"/>
  <c r="G2561" i="26"/>
  <c r="H2561" i="26" s="1"/>
  <c r="H2562" i="26"/>
  <c r="G2527" i="26"/>
  <c r="H2529" i="26"/>
  <c r="G2439" i="26"/>
  <c r="H2441" i="26"/>
  <c r="H2424" i="26"/>
  <c r="H1686" i="26"/>
  <c r="G1685" i="26"/>
  <c r="H1685" i="26" s="1"/>
  <c r="H2430" i="26"/>
  <c r="G2429" i="26"/>
  <c r="H2429" i="26" s="1"/>
  <c r="H2358" i="26"/>
  <c r="H255" i="24"/>
  <c r="H262" i="24"/>
  <c r="G517" i="24"/>
  <c r="H517" i="24" s="1"/>
  <c r="H1714" i="26"/>
  <c r="H2709" i="26"/>
  <c r="H2698" i="26"/>
  <c r="H2688" i="26"/>
  <c r="H2679" i="26"/>
  <c r="G2667" i="26"/>
  <c r="H2667" i="26" s="1"/>
  <c r="H2644" i="26"/>
  <c r="H2594" i="26"/>
  <c r="G2495" i="26"/>
  <c r="H2495" i="26" s="1"/>
  <c r="G2417" i="26"/>
  <c r="H250" i="24"/>
  <c r="H1642" i="26"/>
  <c r="G2539" i="26"/>
  <c r="H2539" i="26" s="1"/>
  <c r="H2468" i="26"/>
  <c r="H1820" i="26"/>
  <c r="G1750" i="26"/>
  <c r="H1750" i="26" s="1"/>
  <c r="H1655" i="26"/>
  <c r="G2571" i="26"/>
  <c r="H2452" i="26"/>
  <c r="G2451" i="26"/>
  <c r="H2451" i="26" s="1"/>
  <c r="G2169" i="26"/>
  <c r="H2169" i="26" s="1"/>
  <c r="H2170" i="26"/>
  <c r="H251" i="24"/>
  <c r="H257" i="24"/>
  <c r="H1835" i="26"/>
  <c r="H1791" i="26"/>
  <c r="H1703" i="26"/>
  <c r="H1651" i="26"/>
  <c r="H1646" i="26"/>
  <c r="H1641" i="26"/>
  <c r="H2293" i="26"/>
  <c r="H261" i="24"/>
  <c r="H1742" i="26"/>
  <c r="H248" i="24"/>
  <c r="H1702" i="26"/>
  <c r="H1664" i="26"/>
  <c r="H1654" i="26"/>
  <c r="H1644" i="26"/>
  <c r="H2402" i="26"/>
  <c r="G2395" i="26"/>
  <c r="H1811" i="26"/>
  <c r="H2588" i="26"/>
  <c r="G2517" i="26"/>
  <c r="H2517" i="26" s="1"/>
  <c r="H2479" i="26"/>
  <c r="H2264" i="26"/>
  <c r="G2263" i="26"/>
  <c r="H2337" i="26"/>
  <c r="H2128" i="26"/>
  <c r="H2258" i="26"/>
  <c r="G2149" i="26"/>
  <c r="H2149" i="26" s="1"/>
  <c r="H2150" i="26"/>
  <c r="H2124" i="26"/>
  <c r="H2123" i="26"/>
  <c r="H2120" i="26"/>
  <c r="H2122" i="26"/>
  <c r="G2351" i="26"/>
  <c r="H2270" i="26"/>
  <c r="H2249" i="26"/>
  <c r="H2131" i="26"/>
  <c r="H2364" i="26"/>
  <c r="G2363" i="26"/>
  <c r="H2363" i="26" s="1"/>
  <c r="G2189" i="26"/>
  <c r="H2189" i="26" s="1"/>
  <c r="H2190" i="26"/>
  <c r="H2174" i="26"/>
  <c r="H2126" i="26"/>
  <c r="G2125" i="26"/>
  <c r="H2125" i="26" s="1"/>
  <c r="H2342" i="26"/>
  <c r="H2298" i="26"/>
  <c r="G2297" i="26"/>
  <c r="H2297" i="26" s="1"/>
  <c r="G2275" i="26"/>
  <c r="H2275" i="26" s="1"/>
  <c r="H2254" i="26"/>
  <c r="G2253" i="26"/>
  <c r="H2253" i="26" s="1"/>
  <c r="H2075" i="26"/>
  <c r="H2071" i="26"/>
  <c r="H2060" i="26"/>
  <c r="G2307" i="26"/>
  <c r="H2121" i="26"/>
  <c r="H1846" i="26"/>
  <c r="H2070" i="26"/>
  <c r="H2062" i="26"/>
  <c r="H1986" i="26"/>
  <c r="H2127" i="26"/>
  <c r="H2107" i="26"/>
  <c r="H2074" i="26"/>
  <c r="H2046" i="26"/>
  <c r="H1860" i="26"/>
  <c r="G1859" i="26"/>
  <c r="G2220" i="26"/>
  <c r="G2139" i="26"/>
  <c r="H2140" i="26"/>
  <c r="H2086" i="26"/>
  <c r="H2064" i="26"/>
  <c r="G2211" i="26"/>
  <c r="G2199" i="26"/>
  <c r="H2180" i="26"/>
  <c r="G2179" i="26"/>
  <c r="H2134" i="26"/>
  <c r="G2129" i="26"/>
  <c r="H2129" i="26" s="1"/>
  <c r="H2130" i="26"/>
  <c r="H2068" i="26"/>
  <c r="H2030" i="26"/>
  <c r="H1982" i="26"/>
  <c r="H1930" i="26"/>
  <c r="G1929" i="26"/>
  <c r="H1929" i="26" s="1"/>
  <c r="G1879" i="26"/>
  <c r="H1880" i="26"/>
  <c r="H1890" i="26"/>
  <c r="G1889" i="26"/>
  <c r="H1889" i="26" s="1"/>
  <c r="G1839" i="26"/>
  <c r="H1840" i="26"/>
  <c r="H2047" i="26"/>
  <c r="H2023" i="26"/>
  <c r="H2021" i="26"/>
  <c r="H2011" i="26"/>
  <c r="H1991" i="26"/>
  <c r="H1981" i="26"/>
  <c r="H1960" i="26"/>
  <c r="H1850" i="26"/>
  <c r="G1849" i="26"/>
  <c r="H1849" i="26" s="1"/>
  <c r="G2159" i="26"/>
  <c r="H2090" i="26"/>
  <c r="G1909" i="26"/>
  <c r="H1909" i="26" s="1"/>
  <c r="H1910" i="26"/>
  <c r="G2119" i="26"/>
  <c r="H2103" i="26"/>
  <c r="G2059" i="26"/>
  <c r="G1989" i="26"/>
  <c r="H1989" i="26" s="1"/>
  <c r="H1990" i="26"/>
  <c r="H1984" i="26"/>
  <c r="H1980" i="26"/>
  <c r="G1979" i="26"/>
  <c r="H1970" i="26"/>
  <c r="G1969" i="26"/>
  <c r="H1969" i="26" s="1"/>
  <c r="G1869" i="26"/>
  <c r="H1869" i="26" s="1"/>
  <c r="H1870" i="26"/>
  <c r="G2099" i="26"/>
  <c r="G2079" i="26"/>
  <c r="H2004" i="26"/>
  <c r="G1949" i="26"/>
  <c r="H1949" i="26" s="1"/>
  <c r="H1950" i="26"/>
  <c r="H1900" i="26"/>
  <c r="G1899" i="26"/>
  <c r="H1886" i="26"/>
  <c r="G366" i="24"/>
  <c r="H366" i="24" s="1"/>
  <c r="H254" i="24"/>
  <c r="G266" i="24"/>
  <c r="H266" i="24" s="1"/>
  <c r="H231" i="24"/>
  <c r="H962" i="24"/>
  <c r="G126" i="24"/>
  <c r="H126" i="24" s="1"/>
  <c r="H1803" i="26"/>
  <c r="G66" i="24"/>
  <c r="H66" i="24" s="1"/>
  <c r="H1790" i="26"/>
  <c r="G1789" i="26"/>
  <c r="H1789" i="26" s="1"/>
  <c r="H1775" i="26"/>
  <c r="H1767" i="26"/>
  <c r="H1760" i="26"/>
  <c r="G1759" i="26"/>
  <c r="G1769" i="26"/>
  <c r="H1769" i="26" s="1"/>
  <c r="H1771" i="26"/>
  <c r="G106" i="24"/>
  <c r="H106" i="24" s="1"/>
  <c r="H107" i="24"/>
  <c r="H769" i="24"/>
  <c r="G767" i="24"/>
  <c r="H767" i="24" s="1"/>
  <c r="H1810" i="26"/>
  <c r="G1779" i="26"/>
  <c r="H1780" i="26"/>
  <c r="H1761" i="26"/>
  <c r="H1763" i="26"/>
  <c r="H1770" i="26"/>
  <c r="H1650" i="26"/>
  <c r="G1649" i="26"/>
  <c r="H1649" i="26" s="1"/>
  <c r="G1639" i="26"/>
  <c r="H1640" i="26"/>
  <c r="H147" i="24"/>
  <c r="G146" i="24"/>
  <c r="H146" i="24" s="1"/>
  <c r="H795" i="24"/>
  <c r="H1814" i="26"/>
  <c r="H1802" i="26"/>
  <c r="H1774" i="26"/>
  <c r="H1766" i="26"/>
  <c r="H1762" i="26"/>
  <c r="H1734" i="26"/>
  <c r="H1826" i="26"/>
  <c r="H1807" i="26"/>
  <c r="H229" i="24"/>
  <c r="H234" i="24"/>
  <c r="G1805" i="26"/>
  <c r="H1805" i="26" s="1"/>
  <c r="H1806" i="26"/>
  <c r="H1671" i="26"/>
  <c r="G1725" i="26"/>
  <c r="H1725" i="26" s="1"/>
  <c r="H1726" i="26"/>
  <c r="H1660" i="26"/>
  <c r="G1659" i="26"/>
  <c r="H361" i="24"/>
  <c r="H1801" i="26"/>
  <c r="G1699" i="26"/>
  <c r="G1679" i="26"/>
  <c r="H1680" i="26"/>
  <c r="H1662" i="26"/>
  <c r="H1815" i="26"/>
  <c r="G1819" i="26"/>
  <c r="H1808" i="26"/>
  <c r="H1764" i="26"/>
  <c r="G1729" i="26"/>
  <c r="H1729" i="26" s="1"/>
  <c r="G1719" i="26"/>
  <c r="H1720" i="26"/>
  <c r="H1706" i="26"/>
  <c r="G1705" i="26"/>
  <c r="H1705" i="26" s="1"/>
  <c r="H1674" i="26"/>
  <c r="G1669" i="26"/>
  <c r="H1669" i="26" s="1"/>
  <c r="H1670" i="26"/>
  <c r="G1665" i="26"/>
  <c r="H1665" i="26" s="1"/>
  <c r="H1666" i="26"/>
  <c r="H1740" i="26"/>
  <c r="G1739" i="26"/>
  <c r="G46" i="24"/>
  <c r="H46" i="24" s="1"/>
  <c r="H197" i="24"/>
  <c r="G196" i="24"/>
  <c r="H196" i="24" s="1"/>
  <c r="H235" i="24"/>
  <c r="H242" i="24"/>
  <c r="H835" i="24"/>
  <c r="H1804" i="26"/>
  <c r="H1800" i="26"/>
  <c r="G1799" i="26"/>
  <c r="H1746" i="26"/>
  <c r="G1745" i="26"/>
  <c r="H1745" i="26" s="1"/>
  <c r="H1661" i="26"/>
  <c r="H230" i="24"/>
  <c r="H519" i="24"/>
  <c r="H922" i="24"/>
  <c r="H983" i="24"/>
  <c r="H228" i="24"/>
  <c r="H1511" i="24"/>
  <c r="G6" i="24"/>
  <c r="H6" i="24" s="1"/>
  <c r="H87" i="24"/>
  <c r="G787" i="24"/>
  <c r="H787" i="24" s="1"/>
  <c r="H238" i="24"/>
  <c r="G1760" i="21"/>
  <c r="H1760" i="21" s="1"/>
  <c r="H1761" i="21"/>
  <c r="G16" i="24"/>
  <c r="H16" i="24" s="1"/>
  <c r="H17" i="24"/>
  <c r="H53" i="24"/>
  <c r="H1798" i="21"/>
  <c r="H1712" i="21"/>
  <c r="H1295" i="21"/>
  <c r="H1289" i="21"/>
  <c r="H1178" i="21"/>
  <c r="H1099" i="21"/>
  <c r="H661" i="21"/>
  <c r="H1618" i="24"/>
  <c r="H1494" i="24"/>
  <c r="H1245" i="24"/>
  <c r="H55" i="24"/>
  <c r="G76" i="24"/>
  <c r="H76" i="24" s="1"/>
  <c r="H77" i="24"/>
  <c r="H98" i="24"/>
  <c r="H102" i="24"/>
  <c r="G166" i="24"/>
  <c r="G176" i="24"/>
  <c r="H176" i="24" s="1"/>
  <c r="H218" i="24"/>
  <c r="H215" i="24"/>
  <c r="H211" i="24"/>
  <c r="H447" i="24"/>
  <c r="H1846" i="21"/>
  <c r="H1813" i="21"/>
  <c r="G1800" i="21"/>
  <c r="H1800" i="21" s="1"/>
  <c r="H1785" i="21"/>
  <c r="H1773" i="21"/>
  <c r="H1755" i="21"/>
  <c r="H1733" i="21"/>
  <c r="H1535" i="21"/>
  <c r="H1531" i="21"/>
  <c r="H1513" i="21"/>
  <c r="H1493" i="21"/>
  <c r="G1420" i="21"/>
  <c r="H1420" i="21" s="1"/>
  <c r="H1338" i="21"/>
  <c r="H1332" i="21"/>
  <c r="H1315" i="21"/>
  <c r="H1282" i="21"/>
  <c r="H1277" i="21"/>
  <c r="H1254" i="21"/>
  <c r="H1248" i="21"/>
  <c r="H1214" i="21"/>
  <c r="H982" i="21"/>
  <c r="H976" i="21"/>
  <c r="H695" i="21"/>
  <c r="H682" i="21"/>
  <c r="H1259" i="24"/>
  <c r="H1255" i="24"/>
  <c r="H8" i="24"/>
  <c r="H21" i="24"/>
  <c r="G36" i="24"/>
  <c r="H36" i="24" s="1"/>
  <c r="H37" i="24"/>
  <c r="H62" i="24"/>
  <c r="H91" i="24"/>
  <c r="H287" i="24"/>
  <c r="G286" i="24"/>
  <c r="H1791" i="21"/>
  <c r="H1766" i="21"/>
  <c r="H1693" i="21"/>
  <c r="H1425" i="21"/>
  <c r="H1413" i="21"/>
  <c r="H1391" i="21"/>
  <c r="H1373" i="21"/>
  <c r="H1325" i="21"/>
  <c r="H1310" i="21"/>
  <c r="H1269" i="21"/>
  <c r="H1258" i="21"/>
  <c r="H1149" i="21"/>
  <c r="H1143" i="21"/>
  <c r="H1102" i="21"/>
  <c r="H1098" i="21"/>
  <c r="H1057" i="21"/>
  <c r="H997" i="21"/>
  <c r="H925" i="21"/>
  <c r="H1453" i="24"/>
  <c r="H1248" i="24"/>
  <c r="H11" i="24"/>
  <c r="H51" i="24"/>
  <c r="H73" i="24"/>
  <c r="G86" i="24"/>
  <c r="H209" i="24"/>
  <c r="H1812" i="21"/>
  <c r="H1772" i="21"/>
  <c r="H1492" i="21"/>
  <c r="H1442" i="21"/>
  <c r="H1435" i="21"/>
  <c r="H1419" i="21"/>
  <c r="H1406" i="21"/>
  <c r="H1379" i="21"/>
  <c r="H1361" i="21"/>
  <c r="H1335" i="21"/>
  <c r="H1314" i="21"/>
  <c r="H1281" i="21"/>
  <c r="H1275" i="21"/>
  <c r="H1262" i="21"/>
  <c r="H1251" i="21"/>
  <c r="H1211" i="21"/>
  <c r="H1109" i="21"/>
  <c r="H1063" i="21"/>
  <c r="H1049" i="21"/>
  <c r="H1037" i="21"/>
  <c r="H1684" i="24"/>
  <c r="H49" i="24"/>
  <c r="H93" i="24"/>
  <c r="H1002" i="21"/>
  <c r="H1278" i="24"/>
  <c r="H47" i="24"/>
  <c r="H130" i="24"/>
  <c r="H1815" i="21"/>
  <c r="H1805" i="21"/>
  <c r="H1782" i="21"/>
  <c r="H1775" i="21"/>
  <c r="H1771" i="21"/>
  <c r="H1313" i="21"/>
  <c r="H1168" i="21"/>
  <c r="H1164" i="21"/>
  <c r="H1147" i="21"/>
  <c r="H1141" i="21"/>
  <c r="H1108" i="21"/>
  <c r="H781" i="21"/>
  <c r="H748" i="21"/>
  <c r="H1252" i="24"/>
  <c r="H57" i="24"/>
  <c r="H90" i="24"/>
  <c r="H101" i="24"/>
  <c r="H187" i="24"/>
  <c r="G186" i="24"/>
  <c r="H227" i="24"/>
  <c r="G226" i="24"/>
  <c r="H1793" i="21"/>
  <c r="G1700" i="21"/>
  <c r="H1700" i="21" s="1"/>
  <c r="H1695" i="21"/>
  <c r="H1691" i="21"/>
  <c r="H1411" i="21"/>
  <c r="G1216" i="21"/>
  <c r="H1216" i="21" s="1"/>
  <c r="H1030" i="21"/>
  <c r="H999" i="21"/>
  <c r="H88" i="24"/>
  <c r="H214" i="24"/>
  <c r="H1804" i="21"/>
  <c r="H1799" i="21"/>
  <c r="H1719" i="21"/>
  <c r="H1472" i="21"/>
  <c r="H1439" i="21"/>
  <c r="H1399" i="21"/>
  <c r="H1278" i="21"/>
  <c r="H1249" i="21"/>
  <c r="H1209" i="21"/>
  <c r="H1156" i="21"/>
  <c r="H1140" i="21"/>
  <c r="H1112" i="21"/>
  <c r="H1106" i="21"/>
  <c r="H966" i="21"/>
  <c r="H774" i="21"/>
  <c r="H769" i="21"/>
  <c r="H674" i="21"/>
  <c r="G1643" i="24"/>
  <c r="H1643" i="24" s="1"/>
  <c r="H1495" i="24"/>
  <c r="H1460" i="24"/>
  <c r="H7" i="24"/>
  <c r="H27" i="24"/>
  <c r="H137" i="24"/>
  <c r="H258" i="24"/>
  <c r="G256" i="24"/>
  <c r="H256" i="24" s="1"/>
  <c r="H956" i="21"/>
  <c r="H701" i="21"/>
  <c r="H689" i="21"/>
  <c r="H1716" i="24"/>
  <c r="H1710" i="24"/>
  <c r="H1589" i="24"/>
  <c r="H1576" i="24"/>
  <c r="H1509" i="24"/>
  <c r="H1446" i="24"/>
  <c r="H142" i="24"/>
  <c r="H247" i="24"/>
  <c r="G246" i="24"/>
  <c r="G316" i="24"/>
  <c r="H316" i="24" s="1"/>
  <c r="H317" i="24"/>
  <c r="H377" i="24"/>
  <c r="G376" i="24"/>
  <c r="H376" i="24" s="1"/>
  <c r="H181" i="24"/>
  <c r="H217" i="24"/>
  <c r="H273" i="24"/>
  <c r="H297" i="24"/>
  <c r="G296" i="24"/>
  <c r="H296" i="24" s="1"/>
  <c r="G426" i="24"/>
  <c r="H428" i="24"/>
  <c r="H482" i="24"/>
  <c r="H979" i="21"/>
  <c r="H975" i="21"/>
  <c r="H965" i="21"/>
  <c r="H959" i="21"/>
  <c r="H903" i="21"/>
  <c r="H857" i="21"/>
  <c r="H801" i="21"/>
  <c r="H762" i="21"/>
  <c r="H753" i="21"/>
  <c r="H694" i="21"/>
  <c r="H688" i="21"/>
  <c r="H629" i="21"/>
  <c r="H1719" i="24"/>
  <c r="H1715" i="24"/>
  <c r="H1696" i="24"/>
  <c r="H1598" i="24"/>
  <c r="H1575" i="24"/>
  <c r="H1554" i="24"/>
  <c r="H1508" i="24"/>
  <c r="H1445" i="24"/>
  <c r="H221" i="24"/>
  <c r="H467" i="24"/>
  <c r="G466" i="24"/>
  <c r="H900" i="21"/>
  <c r="H894" i="21"/>
  <c r="H789" i="21"/>
  <c r="H1738" i="24"/>
  <c r="H1709" i="24"/>
  <c r="H1625" i="24"/>
  <c r="H1615" i="24"/>
  <c r="H1604" i="24"/>
  <c r="H1594" i="24"/>
  <c r="G1583" i="24"/>
  <c r="H1583" i="24" s="1"/>
  <c r="H1475" i="24"/>
  <c r="H1441" i="24"/>
  <c r="H1418" i="24"/>
  <c r="H1319" i="24"/>
  <c r="H1246" i="24"/>
  <c r="H61" i="24"/>
  <c r="H193" i="24"/>
  <c r="H277" i="24"/>
  <c r="G276" i="24"/>
  <c r="H276" i="24" s="1"/>
  <c r="H307" i="24"/>
  <c r="G306" i="24"/>
  <c r="H353" i="24"/>
  <c r="H433" i="24"/>
  <c r="H838" i="21"/>
  <c r="H833" i="21"/>
  <c r="H698" i="21"/>
  <c r="H655" i="21"/>
  <c r="H638" i="21"/>
  <c r="H628" i="21"/>
  <c r="H1726" i="24"/>
  <c r="H1597" i="24"/>
  <c r="H1574" i="24"/>
  <c r="H207" i="24"/>
  <c r="G206" i="24"/>
  <c r="H222" i="24"/>
  <c r="G236" i="24"/>
  <c r="H236" i="24" s="1"/>
  <c r="H338" i="24"/>
  <c r="G336" i="24"/>
  <c r="H336" i="24" s="1"/>
  <c r="H421" i="24"/>
  <c r="H237" i="24"/>
  <c r="H333" i="24"/>
  <c r="H539" i="24"/>
  <c r="G537" i="24"/>
  <c r="H537" i="24" s="1"/>
  <c r="H458" i="24"/>
  <c r="H488" i="24"/>
  <c r="H708" i="24"/>
  <c r="H198" i="24"/>
  <c r="G406" i="24"/>
  <c r="G416" i="24"/>
  <c r="H416" i="24" s="1"/>
  <c r="H427" i="24"/>
  <c r="H496" i="24"/>
  <c r="G637" i="24"/>
  <c r="H637" i="24" s="1"/>
  <c r="H638" i="24"/>
  <c r="G647" i="24"/>
  <c r="H370" i="24"/>
  <c r="G396" i="24"/>
  <c r="H396" i="24" s="1"/>
  <c r="H461" i="24"/>
  <c r="H489" i="24"/>
  <c r="G326" i="24"/>
  <c r="H391" i="24"/>
  <c r="H397" i="24"/>
  <c r="G436" i="24"/>
  <c r="H436" i="24" s="1"/>
  <c r="H449" i="24"/>
  <c r="H290" i="24"/>
  <c r="H368" i="24"/>
  <c r="H453" i="24"/>
  <c r="G477" i="24"/>
  <c r="H477" i="24" s="1"/>
  <c r="G497" i="24"/>
  <c r="H497" i="24" s="1"/>
  <c r="H498" i="24"/>
  <c r="G557" i="24"/>
  <c r="H557" i="24" s="1"/>
  <c r="H589" i="24"/>
  <c r="G587" i="24"/>
  <c r="H1275" i="24"/>
  <c r="H267" i="24"/>
  <c r="H311" i="24"/>
  <c r="H347" i="24"/>
  <c r="H378" i="24"/>
  <c r="H401" i="24"/>
  <c r="H450" i="24"/>
  <c r="H610" i="24"/>
  <c r="G607" i="24"/>
  <c r="H387" i="24"/>
  <c r="G386" i="24"/>
  <c r="H398" i="24"/>
  <c r="H457" i="24"/>
  <c r="G456" i="24"/>
  <c r="H456" i="24" s="1"/>
  <c r="H499" i="24"/>
  <c r="H298" i="24"/>
  <c r="G356" i="24"/>
  <c r="H356" i="24" s="1"/>
  <c r="H528" i="24"/>
  <c r="G577" i="24"/>
  <c r="H577" i="24" s="1"/>
  <c r="H578" i="24"/>
  <c r="H619" i="24"/>
  <c r="G617" i="24"/>
  <c r="H617" i="24" s="1"/>
  <c r="G627" i="24"/>
  <c r="H655" i="24"/>
  <c r="H689" i="24"/>
  <c r="H797" i="24"/>
  <c r="H634" i="24"/>
  <c r="H748" i="24"/>
  <c r="G747" i="24"/>
  <c r="H588" i="24"/>
  <c r="H590" i="24"/>
  <c r="H592" i="24"/>
  <c r="H648" i="24"/>
  <c r="H651" i="24"/>
  <c r="H656" i="24"/>
  <c r="H729" i="24"/>
  <c r="G727" i="24"/>
  <c r="H582" i="24"/>
  <c r="H288" i="24"/>
  <c r="H337" i="24"/>
  <c r="H530" i="24"/>
  <c r="H579" i="24"/>
  <c r="H652" i="24"/>
  <c r="G657" i="24"/>
  <c r="H657" i="24" s="1"/>
  <c r="H471" i="24"/>
  <c r="H649" i="24"/>
  <c r="H662" i="24"/>
  <c r="H603" i="24"/>
  <c r="G697" i="24"/>
  <c r="H697" i="24" s="1"/>
  <c r="H762" i="24"/>
  <c r="H738" i="24"/>
  <c r="H658" i="24"/>
  <c r="H663" i="24"/>
  <c r="H718" i="24"/>
  <c r="H768" i="24"/>
  <c r="H770" i="24"/>
  <c r="H772" i="24"/>
  <c r="H788" i="24"/>
  <c r="H732" i="24"/>
  <c r="H730" i="24"/>
  <c r="H728" i="24"/>
  <c r="H776" i="24"/>
  <c r="H678" i="24"/>
  <c r="H722" i="24"/>
  <c r="H805" i="24"/>
  <c r="G810" i="24"/>
  <c r="H821" i="24"/>
  <c r="H982" i="24"/>
  <c r="G981" i="24"/>
  <c r="H826" i="24"/>
  <c r="G824" i="24"/>
  <c r="H824" i="24" s="1"/>
  <c r="H789" i="24"/>
  <c r="H791" i="24"/>
  <c r="H793" i="24"/>
  <c r="H802" i="24"/>
  <c r="H843" i="24"/>
  <c r="H682" i="24"/>
  <c r="H752" i="24"/>
  <c r="H758" i="24"/>
  <c r="H763" i="24"/>
  <c r="H778" i="24"/>
  <c r="H799" i="24"/>
  <c r="H806" i="24"/>
  <c r="G931" i="24"/>
  <c r="H931" i="24" s="1"/>
  <c r="H932" i="24"/>
  <c r="H750" i="24"/>
  <c r="H775" i="24"/>
  <c r="H825" i="24"/>
  <c r="H886" i="24"/>
  <c r="H948" i="24"/>
  <c r="H859" i="24"/>
  <c r="H861" i="24"/>
  <c r="H968" i="24"/>
  <c r="H1028" i="24"/>
  <c r="H884" i="24"/>
  <c r="H888" i="24"/>
  <c r="H988" i="24"/>
  <c r="H783" i="24"/>
  <c r="H852" i="24"/>
  <c r="H882" i="24"/>
  <c r="H895" i="24"/>
  <c r="H908" i="24"/>
  <c r="G921" i="24"/>
  <c r="G951" i="24"/>
  <c r="H951" i="24" s="1"/>
  <c r="H986" i="24"/>
  <c r="H1022" i="24"/>
  <c r="G1021" i="24"/>
  <c r="H1065" i="24"/>
  <c r="H1085" i="24"/>
  <c r="H1088" i="24"/>
  <c r="H1090" i="24"/>
  <c r="G1132" i="24"/>
  <c r="H1132" i="24" s="1"/>
  <c r="H1133" i="24"/>
  <c r="H1155" i="24"/>
  <c r="G1154" i="24"/>
  <c r="H1154" i="24" s="1"/>
  <c r="G1184" i="24"/>
  <c r="H1185" i="24"/>
  <c r="G1001" i="24"/>
  <c r="H1005" i="24"/>
  <c r="H1031" i="24"/>
  <c r="H1052" i="24"/>
  <c r="G1051" i="24"/>
  <c r="H1051" i="24" s="1"/>
  <c r="G1071" i="24"/>
  <c r="H1071" i="24" s="1"/>
  <c r="H1072" i="24"/>
  <c r="H1105" i="24"/>
  <c r="H1125" i="24"/>
  <c r="H1137" i="24"/>
  <c r="G1174" i="24"/>
  <c r="H1174" i="24" s="1"/>
  <c r="H1175" i="24"/>
  <c r="H1062" i="24"/>
  <c r="G1061" i="24"/>
  <c r="G1081" i="24"/>
  <c r="H1082" i="24"/>
  <c r="H1086" i="24"/>
  <c r="H1092" i="24"/>
  <c r="G1091" i="24"/>
  <c r="H1091" i="24" s="1"/>
  <c r="H1095" i="24"/>
  <c r="H1111" i="24"/>
  <c r="H1134" i="24"/>
  <c r="H1165" i="24"/>
  <c r="G1164" i="24"/>
  <c r="H942" i="24"/>
  <c r="H972" i="24"/>
  <c r="G1041" i="24"/>
  <c r="H1042" i="24"/>
  <c r="H1046" i="24"/>
  <c r="H1053" i="24"/>
  <c r="H1073" i="24"/>
  <c r="H1102" i="24"/>
  <c r="G1101" i="24"/>
  <c r="H1106" i="24"/>
  <c r="H1126" i="24"/>
  <c r="H1130" i="24"/>
  <c r="G1142" i="24"/>
  <c r="H1143" i="24"/>
  <c r="G889" i="24"/>
  <c r="H889" i="24" s="1"/>
  <c r="G911" i="24"/>
  <c r="H911" i="24" s="1"/>
  <c r="G961" i="24"/>
  <c r="H1003" i="24"/>
  <c r="H1033" i="24"/>
  <c r="H1063" i="24"/>
  <c r="H1083" i="24"/>
  <c r="H1093" i="24"/>
  <c r="H1113" i="24"/>
  <c r="G1112" i="24"/>
  <c r="H1112" i="24" s="1"/>
  <c r="H1118" i="24"/>
  <c r="H1138" i="24"/>
  <c r="G1170" i="24"/>
  <c r="H1170" i="24" s="1"/>
  <c r="H1171" i="24"/>
  <c r="H1012" i="24"/>
  <c r="G1011" i="24"/>
  <c r="H1011" i="24" s="1"/>
  <c r="H1024" i="24"/>
  <c r="H1043" i="24"/>
  <c r="H1103" i="24"/>
  <c r="H1107" i="24"/>
  <c r="H1123" i="24"/>
  <c r="G1122" i="24"/>
  <c r="H1127" i="24"/>
  <c r="G1177" i="24"/>
  <c r="H1177" i="24" s="1"/>
  <c r="H1178" i="24"/>
  <c r="H1064" i="24"/>
  <c r="H1084" i="24"/>
  <c r="H1114" i="24"/>
  <c r="H1131" i="24"/>
  <c r="G991" i="24"/>
  <c r="H991" i="24" s="1"/>
  <c r="H1044" i="24"/>
  <c r="H1104" i="24"/>
  <c r="H1124" i="24"/>
  <c r="G1194" i="24"/>
  <c r="H1194" i="24" s="1"/>
  <c r="H1536" i="24"/>
  <c r="H1419" i="24"/>
  <c r="H1616" i="24"/>
  <c r="H1486" i="24"/>
  <c r="G1693" i="24"/>
  <c r="H1694" i="24"/>
  <c r="G1724" i="24"/>
  <c r="H1724" i="24" s="1"/>
  <c r="H1725" i="24"/>
  <c r="H1451" i="24"/>
  <c r="H1568" i="24"/>
  <c r="H1459" i="24"/>
  <c r="H1620" i="24"/>
  <c r="H1617" i="24"/>
  <c r="H1548" i="24"/>
  <c r="H1545" i="24"/>
  <c r="H1535" i="24"/>
  <c r="H1532" i="24"/>
  <c r="H1351" i="24"/>
  <c r="G1744" i="24"/>
  <c r="H1744" i="24" s="1"/>
  <c r="G1714" i="24"/>
  <c r="H1614" i="24"/>
  <c r="H1501" i="24"/>
  <c r="H1498" i="24"/>
  <c r="H1487" i="24"/>
  <c r="H1466" i="24"/>
  <c r="H1434" i="24"/>
  <c r="H1401" i="24"/>
  <c r="H1741" i="24"/>
  <c r="G1703" i="24"/>
  <c r="H1703" i="24" s="1"/>
  <c r="G1613" i="24"/>
  <c r="G1553" i="24"/>
  <c r="H1529" i="24"/>
  <c r="H1479" i="24"/>
  <c r="H1476" i="24"/>
  <c r="H1472" i="24"/>
  <c r="H1469" i="24"/>
  <c r="H1429" i="24"/>
  <c r="H1750" i="24"/>
  <c r="H1736" i="24"/>
  <c r="G1673" i="24"/>
  <c r="G1663" i="24"/>
  <c r="H1663" i="24" s="1"/>
  <c r="G1603" i="24"/>
  <c r="H1603" i="24" s="1"/>
  <c r="H1544" i="24"/>
  <c r="H1534" i="24"/>
  <c r="H1531" i="24"/>
  <c r="G1633" i="24"/>
  <c r="H1489" i="24"/>
  <c r="H1468" i="24"/>
  <c r="H1427" i="24"/>
  <c r="H1422" i="24"/>
  <c r="G1404" i="24"/>
  <c r="H1404" i="24" s="1"/>
  <c r="H1405" i="24"/>
  <c r="H1311" i="24"/>
  <c r="H1588" i="24"/>
  <c r="G1573" i="24"/>
  <c r="H1502" i="24"/>
  <c r="H1420" i="24"/>
  <c r="H1433" i="24"/>
  <c r="G1623" i="24"/>
  <c r="H1623" i="24" s="1"/>
  <c r="G1563" i="24"/>
  <c r="H1563" i="24" s="1"/>
  <c r="H1533" i="24"/>
  <c r="H1485" i="24"/>
  <c r="H1426" i="24"/>
  <c r="H1421" i="24"/>
  <c r="H1122" i="21"/>
  <c r="G1653" i="24"/>
  <c r="H1644" i="24"/>
  <c r="G1593" i="24"/>
  <c r="H1488" i="24"/>
  <c r="H1417" i="24"/>
  <c r="G1518" i="24"/>
  <c r="H1518" i="24" s="1"/>
  <c r="G1496" i="24"/>
  <c r="H1496" i="24" s="1"/>
  <c r="G1474" i="24"/>
  <c r="H1474" i="24" s="1"/>
  <c r="H1347" i="24"/>
  <c r="H1356" i="24"/>
  <c r="H1327" i="24"/>
  <c r="G1454" i="24"/>
  <c r="H1454" i="24" s="1"/>
  <c r="H1368" i="24"/>
  <c r="H1306" i="24"/>
  <c r="G1354" i="24"/>
  <c r="H1354" i="24" s="1"/>
  <c r="H1336" i="24"/>
  <c r="H1309" i="24"/>
  <c r="H1305" i="24"/>
  <c r="H1295" i="24"/>
  <c r="G1273" i="24"/>
  <c r="H1273" i="24" s="1"/>
  <c r="H1274" i="24"/>
  <c r="G1378" i="24"/>
  <c r="H1378" i="24" s="1"/>
  <c r="H1379" i="24"/>
  <c r="G1344" i="24"/>
  <c r="H1345" i="24"/>
  <c r="H1315" i="24"/>
  <c r="G1314" i="24"/>
  <c r="H1314" i="24" s="1"/>
  <c r="G1428" i="24"/>
  <c r="H1428" i="24" s="1"/>
  <c r="G1334" i="24"/>
  <c r="H1334" i="24" s="1"/>
  <c r="H1335" i="24"/>
  <c r="H1308" i="24"/>
  <c r="H1294" i="24"/>
  <c r="G1293" i="24"/>
  <c r="H1293" i="24" s="1"/>
  <c r="H1254" i="24"/>
  <c r="G1253" i="24"/>
  <c r="H1253" i="24" s="1"/>
  <c r="H1375" i="21"/>
  <c r="H1301" i="21"/>
  <c r="G1440" i="21"/>
  <c r="H1440" i="21" s="1"/>
  <c r="H1441" i="21"/>
  <c r="G1296" i="21"/>
  <c r="H1296" i="21" s="1"/>
  <c r="H1297" i="21"/>
  <c r="H1345" i="21"/>
  <c r="H1526" i="21"/>
  <c r="G879" i="21"/>
  <c r="H879" i="21" s="1"/>
  <c r="H880" i="21"/>
  <c r="H1718" i="21"/>
  <c r="G1690" i="21"/>
  <c r="H1690" i="21" s="1"/>
  <c r="H1553" i="21"/>
  <c r="H1433" i="21"/>
  <c r="G1380" i="21"/>
  <c r="H1380" i="21" s="1"/>
  <c r="H1129" i="21"/>
  <c r="H1017" i="21"/>
  <c r="H1481" i="21"/>
  <c r="H1795" i="21"/>
  <c r="H1765" i="21"/>
  <c r="H1735" i="21"/>
  <c r="H1726" i="21"/>
  <c r="H1722" i="21"/>
  <c r="H1699" i="21"/>
  <c r="H1694" i="21"/>
  <c r="H1686" i="21"/>
  <c r="H1645" i="21"/>
  <c r="H1626" i="21"/>
  <c r="H1598" i="21"/>
  <c r="H1593" i="21"/>
  <c r="H1571" i="21"/>
  <c r="H1558" i="21"/>
  <c r="H1491" i="21"/>
  <c r="H1485" i="21"/>
  <c r="H1478" i="21"/>
  <c r="H1366" i="21"/>
  <c r="H1342" i="21"/>
  <c r="H1312" i="21"/>
  <c r="H1166" i="21"/>
  <c r="H1022" i="21"/>
  <c r="H914" i="21"/>
  <c r="H841" i="21"/>
  <c r="H782" i="21"/>
  <c r="H778" i="21"/>
  <c r="H1713" i="21"/>
  <c r="H1839" i="21"/>
  <c r="H1833" i="21"/>
  <c r="H1819" i="21"/>
  <c r="G1790" i="21"/>
  <c r="H1790" i="21" s="1"/>
  <c r="G1783" i="21"/>
  <c r="H1783" i="21" s="1"/>
  <c r="H1745" i="21"/>
  <c r="H1715" i="21"/>
  <c r="H1706" i="21"/>
  <c r="H1678" i="21"/>
  <c r="H1672" i="21"/>
  <c r="H1605" i="21"/>
  <c r="H1586" i="21"/>
  <c r="H1565" i="21"/>
  <c r="H1546" i="21"/>
  <c r="H1534" i="21"/>
  <c r="H1422" i="21"/>
  <c r="H1372" i="21"/>
  <c r="H1339" i="21"/>
  <c r="G1256" i="21"/>
  <c r="H1256" i="21" s="1"/>
  <c r="H1237" i="21"/>
  <c r="G944" i="21"/>
  <c r="H944" i="21" s="1"/>
  <c r="H939" i="21"/>
  <c r="G984" i="21"/>
  <c r="H984" i="21" s="1"/>
  <c r="H986" i="21"/>
  <c r="H1635" i="21"/>
  <c r="H1525" i="21"/>
  <c r="H1501" i="21"/>
  <c r="H1475" i="21"/>
  <c r="H1432" i="21"/>
  <c r="H1333" i="21"/>
  <c r="H1288" i="21"/>
  <c r="H1202" i="21"/>
  <c r="H950" i="21"/>
  <c r="H771" i="21"/>
  <c r="H761" i="21"/>
  <c r="H715" i="21"/>
  <c r="H1721" i="21"/>
  <c r="H1714" i="21"/>
  <c r="H1595" i="21"/>
  <c r="H1555" i="21"/>
  <c r="H1355" i="21"/>
  <c r="H906" i="21"/>
  <c r="H895" i="21"/>
  <c r="H1711" i="21"/>
  <c r="H1474" i="21"/>
  <c r="H1446" i="21"/>
  <c r="H1092" i="21"/>
  <c r="H1029" i="21"/>
  <c r="H1208" i="21"/>
  <c r="H1082" i="21"/>
  <c r="H1066" i="21"/>
  <c r="H1026" i="21"/>
  <c r="H943" i="21"/>
  <c r="H937" i="21"/>
  <c r="H913" i="21"/>
  <c r="G859" i="21"/>
  <c r="H859" i="21" s="1"/>
  <c r="H751" i="21"/>
  <c r="H709" i="21"/>
  <c r="H691" i="21"/>
  <c r="H678" i="21"/>
  <c r="H669" i="21"/>
  <c r="H618" i="21"/>
  <c r="H1201" i="21"/>
  <c r="H1191" i="21"/>
  <c r="H1167" i="21"/>
  <c r="H1163" i="21"/>
  <c r="H1089" i="21"/>
  <c r="H1077" i="21"/>
  <c r="H1016" i="21"/>
  <c r="H942" i="21"/>
  <c r="H923" i="21"/>
  <c r="H917" i="21"/>
  <c r="H893" i="21"/>
  <c r="H851" i="21"/>
  <c r="H834" i="21"/>
  <c r="H818" i="21"/>
  <c r="H681" i="21"/>
  <c r="H662" i="21"/>
  <c r="H649" i="21"/>
  <c r="H631" i="21"/>
  <c r="H1229" i="21"/>
  <c r="H1081" i="21"/>
  <c r="H1019" i="21"/>
  <c r="H977" i="21"/>
  <c r="H936" i="21"/>
  <c r="H896" i="21"/>
  <c r="H829" i="21"/>
  <c r="H822" i="21"/>
  <c r="H798" i="21"/>
  <c r="H668" i="21"/>
  <c r="H733" i="21"/>
  <c r="H658" i="21"/>
  <c r="H648" i="21"/>
  <c r="H1126" i="21"/>
  <c r="H1080" i="21"/>
  <c r="H828" i="21"/>
  <c r="H711" i="21"/>
  <c r="H671" i="21"/>
  <c r="H615" i="21"/>
  <c r="G1810" i="21"/>
  <c r="H1810" i="21" s="1"/>
  <c r="H1811" i="21"/>
  <c r="G1450" i="21"/>
  <c r="H1450" i="21" s="1"/>
  <c r="H1451" i="21"/>
  <c r="G1206" i="21"/>
  <c r="H1206" i="21" s="1"/>
  <c r="H1207" i="21"/>
  <c r="G1246" i="21"/>
  <c r="H1246" i="21" s="1"/>
  <c r="H1752" i="21"/>
  <c r="H1632" i="21"/>
  <c r="H1434" i="21"/>
  <c r="H1187" i="21"/>
  <c r="H1552" i="21"/>
  <c r="H1392" i="21"/>
  <c r="H1592" i="21"/>
  <c r="H1078" i="21"/>
  <c r="G1796" i="21"/>
  <c r="H1796" i="21" s="1"/>
  <c r="H1797" i="21"/>
  <c r="G1750" i="21"/>
  <c r="H1751" i="21"/>
  <c r="H1732" i="21"/>
  <c r="G1730" i="21"/>
  <c r="H1831" i="21"/>
  <c r="G1830" i="21"/>
  <c r="G1820" i="21"/>
  <c r="H1820" i="21" s="1"/>
  <c r="H1821" i="21"/>
  <c r="H1777" i="21"/>
  <c r="G1776" i="21"/>
  <c r="H1776" i="21" s="1"/>
  <c r="H1741" i="21"/>
  <c r="G1740" i="21"/>
  <c r="H1740" i="21" s="1"/>
  <c r="H1581" i="21"/>
  <c r="G1580" i="21"/>
  <c r="H1580" i="21" s="1"/>
  <c r="G1560" i="21"/>
  <c r="H1560" i="21" s="1"/>
  <c r="H1562" i="21"/>
  <c r="H1417" i="21"/>
  <c r="H1841" i="21"/>
  <c r="H1802" i="21"/>
  <c r="H1792" i="21"/>
  <c r="G1650" i="21"/>
  <c r="H1652" i="21"/>
  <c r="H1511" i="21"/>
  <c r="G1510" i="21"/>
  <c r="H1505" i="21"/>
  <c r="H1431" i="21"/>
  <c r="G1430" i="21"/>
  <c r="H1341" i="21"/>
  <c r="G1340" i="21"/>
  <c r="H1340" i="21" s="1"/>
  <c r="G2119" i="16"/>
  <c r="H2119" i="16" s="1"/>
  <c r="G2700" i="16"/>
  <c r="H2700" i="16" s="1"/>
  <c r="H2425" i="16"/>
  <c r="H1671" i="21"/>
  <c r="G1670" i="21"/>
  <c r="G1610" i="21"/>
  <c r="H1612" i="21"/>
  <c r="H1541" i="21"/>
  <c r="G1540" i="21"/>
  <c r="H1540" i="21" s="1"/>
  <c r="G1520" i="21"/>
  <c r="H1520" i="21" s="1"/>
  <c r="H1522" i="21"/>
  <c r="G1480" i="21"/>
  <c r="H1480" i="21" s="1"/>
  <c r="H1482" i="21"/>
  <c r="H1471" i="21"/>
  <c r="G1470" i="21"/>
  <c r="H1385" i="21"/>
  <c r="H1362" i="21"/>
  <c r="G1360" i="21"/>
  <c r="H1360" i="21" s="1"/>
  <c r="H1512" i="21"/>
  <c r="H1514" i="21"/>
  <c r="H1521" i="21"/>
  <c r="H1402" i="21"/>
  <c r="G1400" i="21"/>
  <c r="H1400" i="21" s="1"/>
  <c r="G1330" i="21"/>
  <c r="H1317" i="21"/>
  <c r="G1780" i="21"/>
  <c r="H1780" i="21" s="1"/>
  <c r="G1770" i="21"/>
  <c r="G1720" i="21"/>
  <c r="H1720" i="21" s="1"/>
  <c r="G1710" i="21"/>
  <c r="H1631" i="21"/>
  <c r="G1630" i="21"/>
  <c r="G1570" i="21"/>
  <c r="H1572" i="21"/>
  <c r="H1397" i="21"/>
  <c r="G1370" i="21"/>
  <c r="H2625" i="16"/>
  <c r="H1725" i="21"/>
  <c r="H1702" i="21"/>
  <c r="H1692" i="21"/>
  <c r="G1640" i="21"/>
  <c r="H1640" i="21" s="1"/>
  <c r="H1642" i="21"/>
  <c r="H1591" i="21"/>
  <c r="G1590" i="21"/>
  <c r="G1803" i="21"/>
  <c r="H1803" i="21" s="1"/>
  <c r="H1661" i="21"/>
  <c r="G1660" i="21"/>
  <c r="H1660" i="21" s="1"/>
  <c r="G1600" i="21"/>
  <c r="H1600" i="21" s="1"/>
  <c r="H1602" i="21"/>
  <c r="G1530" i="21"/>
  <c r="H1532" i="21"/>
  <c r="H1113" i="16"/>
  <c r="G1680" i="21"/>
  <c r="H1680" i="21" s="1"/>
  <c r="H1682" i="21"/>
  <c r="H1621" i="21"/>
  <c r="G1620" i="21"/>
  <c r="H1620" i="21" s="1"/>
  <c r="H1551" i="21"/>
  <c r="G1550" i="21"/>
  <c r="H1519" i="21"/>
  <c r="H1515" i="21"/>
  <c r="H1371" i="21"/>
  <c r="H1331" i="21"/>
  <c r="G1266" i="21"/>
  <c r="H1247" i="21"/>
  <c r="H1228" i="21"/>
  <c r="H1193" i="21"/>
  <c r="H1415" i="21"/>
  <c r="H1393" i="21"/>
  <c r="H1235" i="21"/>
  <c r="G1014" i="21"/>
  <c r="H1015" i="21"/>
  <c r="H1641" i="21"/>
  <c r="H1634" i="21"/>
  <c r="H1601" i="21"/>
  <c r="H1594" i="21"/>
  <c r="H1561" i="21"/>
  <c r="H1554" i="21"/>
  <c r="G1490" i="21"/>
  <c r="H1486" i="21"/>
  <c r="H1438" i="21"/>
  <c r="H1426" i="21"/>
  <c r="H1421" i="21"/>
  <c r="H1401" i="21"/>
  <c r="H1395" i="21"/>
  <c r="H1353" i="21"/>
  <c r="H1242" i="21"/>
  <c r="H1238" i="21"/>
  <c r="H1230" i="21"/>
  <c r="G1034" i="21"/>
  <c r="H1035" i="21"/>
  <c r="H1506" i="21"/>
  <c r="G1410" i="21"/>
  <c r="H1386" i="21"/>
  <c r="H1381" i="21"/>
  <c r="H1346" i="21"/>
  <c r="G1320" i="21"/>
  <c r="H1320" i="21" s="1"/>
  <c r="G1286" i="21"/>
  <c r="H1227" i="21"/>
  <c r="H1454" i="21"/>
  <c r="H1412" i="21"/>
  <c r="G1390" i="21"/>
  <c r="H1358" i="21"/>
  <c r="G1276" i="21"/>
  <c r="H1276" i="21" s="1"/>
  <c r="G1460" i="21"/>
  <c r="H1460" i="21" s="1"/>
  <c r="H1241" i="21"/>
  <c r="H1374" i="21"/>
  <c r="H1175" i="21"/>
  <c r="G1173" i="21"/>
  <c r="H1173" i="21" s="1"/>
  <c r="H1045" i="21"/>
  <c r="G1044" i="21"/>
  <c r="H1044" i="21" s="1"/>
  <c r="G994" i="21"/>
  <c r="H995" i="21"/>
  <c r="H1405" i="21"/>
  <c r="H1382" i="21"/>
  <c r="G1236" i="21"/>
  <c r="H1236" i="21" s="1"/>
  <c r="H1234" i="21"/>
  <c r="G1226" i="21"/>
  <c r="H1174" i="21"/>
  <c r="H1179" i="21"/>
  <c r="H1120" i="21"/>
  <c r="G1117" i="21"/>
  <c r="H1069" i="21"/>
  <c r="H1065" i="21"/>
  <c r="G1064" i="21"/>
  <c r="H1064" i="21" s="1"/>
  <c r="G1196" i="21"/>
  <c r="H1196" i="21" s="1"/>
  <c r="G1150" i="21"/>
  <c r="H1150" i="21" s="1"/>
  <c r="H1151" i="21"/>
  <c r="G1107" i="21"/>
  <c r="H1107" i="21" s="1"/>
  <c r="H1025" i="21"/>
  <c r="G1024" i="21"/>
  <c r="H1024" i="21" s="1"/>
  <c r="H1005" i="21"/>
  <c r="G1004" i="21"/>
  <c r="H1004" i="21" s="1"/>
  <c r="H955" i="21"/>
  <c r="G954" i="21"/>
  <c r="H1133" i="21"/>
  <c r="H1217" i="21"/>
  <c r="H1125" i="21"/>
  <c r="H1003" i="21"/>
  <c r="H1006" i="21"/>
  <c r="H1009" i="21"/>
  <c r="H1088" i="21"/>
  <c r="G1087" i="21"/>
  <c r="H1087" i="21" s="1"/>
  <c r="H996" i="21"/>
  <c r="H1155" i="21"/>
  <c r="H1121" i="21"/>
  <c r="H998" i="21"/>
  <c r="H921" i="21"/>
  <c r="H1132" i="21"/>
  <c r="H1128" i="21"/>
  <c r="G1127" i="21"/>
  <c r="H1127" i="21" s="1"/>
  <c r="H1118" i="21"/>
  <c r="H946" i="21"/>
  <c r="H1119" i="21"/>
  <c r="G974" i="21"/>
  <c r="G1097" i="21"/>
  <c r="G901" i="21"/>
  <c r="H901" i="21" s="1"/>
  <c r="H902" i="21"/>
  <c r="H1010" i="21"/>
  <c r="H1100" i="21"/>
  <c r="H935" i="21"/>
  <c r="G934" i="21"/>
  <c r="G816" i="21"/>
  <c r="H816" i="21" s="1"/>
  <c r="H817" i="21"/>
  <c r="H864" i="21"/>
  <c r="H854" i="21"/>
  <c r="H844" i="21"/>
  <c r="H811" i="21"/>
  <c r="G924" i="21"/>
  <c r="H924" i="21" s="1"/>
  <c r="H814" i="21"/>
  <c r="H821" i="21"/>
  <c r="H815" i="21"/>
  <c r="H919" i="21"/>
  <c r="G869" i="21"/>
  <c r="H870" i="21"/>
  <c r="H853" i="21"/>
  <c r="H850" i="21"/>
  <c r="G849" i="21"/>
  <c r="H861" i="21"/>
  <c r="H852" i="21"/>
  <c r="G806" i="21"/>
  <c r="H807" i="21"/>
  <c r="G796" i="21"/>
  <c r="H796" i="21" s="1"/>
  <c r="H797" i="21"/>
  <c r="G686" i="21"/>
  <c r="H687" i="21"/>
  <c r="H627" i="21"/>
  <c r="G626" i="21"/>
  <c r="H613" i="21"/>
  <c r="H741" i="21"/>
  <c r="G716" i="21"/>
  <c r="H716" i="21" s="1"/>
  <c r="H717" i="21"/>
  <c r="H657" i="21"/>
  <c r="G656" i="21"/>
  <c r="H656" i="21" s="1"/>
  <c r="H810" i="21"/>
  <c r="H734" i="21"/>
  <c r="H728" i="21"/>
  <c r="G646" i="21"/>
  <c r="H647" i="21"/>
  <c r="G606" i="21"/>
  <c r="H607" i="21"/>
  <c r="G839" i="21"/>
  <c r="H839" i="21" s="1"/>
  <c r="H738" i="21"/>
  <c r="H722" i="21"/>
  <c r="H697" i="21"/>
  <c r="G696" i="21"/>
  <c r="H696" i="21" s="1"/>
  <c r="G676" i="21"/>
  <c r="H676" i="21" s="1"/>
  <c r="H677" i="21"/>
  <c r="H617" i="21"/>
  <c r="G616" i="21"/>
  <c r="H616" i="21" s="1"/>
  <c r="H809" i="21"/>
  <c r="H768" i="21"/>
  <c r="H758" i="21"/>
  <c r="H731" i="21"/>
  <c r="G726" i="21"/>
  <c r="H727" i="21"/>
  <c r="H708" i="21"/>
  <c r="H747" i="21"/>
  <c r="G746" i="21"/>
  <c r="H737" i="21"/>
  <c r="G736" i="21"/>
  <c r="H736" i="21" s="1"/>
  <c r="G636" i="21"/>
  <c r="H636" i="21" s="1"/>
  <c r="H637" i="21"/>
  <c r="H808" i="21"/>
  <c r="G766" i="21"/>
  <c r="H767" i="21"/>
  <c r="G756" i="21"/>
  <c r="H756" i="21" s="1"/>
  <c r="H757" i="21"/>
  <c r="H730" i="21"/>
  <c r="H707" i="21"/>
  <c r="G706" i="21"/>
  <c r="H667" i="21"/>
  <c r="G666" i="21"/>
  <c r="H787" i="21"/>
  <c r="G786" i="21"/>
  <c r="H777" i="21"/>
  <c r="G776" i="21"/>
  <c r="H776" i="21" s="1"/>
  <c r="H750" i="21"/>
  <c r="H721" i="21"/>
  <c r="H718" i="21"/>
  <c r="H714" i="21"/>
  <c r="H641" i="21"/>
  <c r="H2140" i="16"/>
  <c r="G2139" i="16"/>
  <c r="H2139" i="16" s="1"/>
  <c r="G2279" i="16"/>
  <c r="H2279" i="16" s="1"/>
  <c r="G2059" i="16"/>
  <c r="H2059" i="16" s="1"/>
  <c r="G1898" i="16"/>
  <c r="H1898" i="16" s="1"/>
  <c r="H2442" i="16"/>
  <c r="G1997" i="16"/>
  <c r="H1997" i="16" s="1"/>
  <c r="G2403" i="16"/>
  <c r="H2403" i="16" s="1"/>
  <c r="G2560" i="16"/>
  <c r="H2560" i="16" s="1"/>
  <c r="G2580" i="16"/>
  <c r="H2580" i="16" s="1"/>
  <c r="G1938" i="16"/>
  <c r="H1938" i="16" s="1"/>
  <c r="H2627" i="16"/>
  <c r="H418" i="16"/>
  <c r="H358" i="16"/>
  <c r="H1213" i="16"/>
  <c r="H2703" i="16"/>
  <c r="G2570" i="16"/>
  <c r="H2570" i="16" s="1"/>
  <c r="H2564" i="16"/>
  <c r="H2561" i="16"/>
  <c r="H2536" i="16"/>
  <c r="H2431" i="16"/>
  <c r="G2430" i="16"/>
  <c r="H2430" i="16" s="1"/>
  <c r="H410" i="16"/>
  <c r="H2391" i="16"/>
  <c r="G2389" i="16"/>
  <c r="H2389" i="16" s="1"/>
  <c r="H897" i="16"/>
  <c r="H852" i="16"/>
  <c r="H833" i="16"/>
  <c r="H733" i="16"/>
  <c r="H710" i="16"/>
  <c r="H666" i="16"/>
  <c r="H297" i="16"/>
  <c r="H271" i="16"/>
  <c r="H267" i="16"/>
  <c r="H249" i="16"/>
  <c r="H1692" i="16"/>
  <c r="H1660" i="16"/>
  <c r="H1562" i="16"/>
  <c r="H1558" i="16"/>
  <c r="H1546" i="16"/>
  <c r="H1513" i="16"/>
  <c r="H1439" i="16"/>
  <c r="H1372" i="16"/>
  <c r="H1308" i="16"/>
  <c r="H1189" i="16"/>
  <c r="H1032" i="16"/>
  <c r="H977" i="16"/>
  <c r="H2685" i="16"/>
  <c r="H2651" i="16"/>
  <c r="G2610" i="16"/>
  <c r="H2610" i="16" s="1"/>
  <c r="H2581" i="16"/>
  <c r="H2563" i="16"/>
  <c r="H2541" i="16"/>
  <c r="G2540" i="16"/>
  <c r="H2421" i="16"/>
  <c r="H869" i="16"/>
  <c r="H863" i="16"/>
  <c r="H703" i="16"/>
  <c r="H630" i="16"/>
  <c r="H421" i="16"/>
  <c r="H1666" i="16"/>
  <c r="H1621" i="16"/>
  <c r="H1606" i="16"/>
  <c r="H1519" i="16"/>
  <c r="H1473" i="16"/>
  <c r="H1461" i="16"/>
  <c r="H1200" i="16"/>
  <c r="H1165" i="16"/>
  <c r="H1128" i="16"/>
  <c r="H2695" i="16"/>
  <c r="H2692" i="16"/>
  <c r="H2688" i="16"/>
  <c r="H2623" i="16"/>
  <c r="G2620" i="16"/>
  <c r="H2576" i="16"/>
  <c r="H2527" i="16"/>
  <c r="H2501" i="16"/>
  <c r="G2500" i="16"/>
  <c r="H2487" i="16"/>
  <c r="H2428" i="16"/>
  <c r="H2424" i="16"/>
  <c r="H2407" i="16"/>
  <c r="H850" i="16"/>
  <c r="H1628" i="16"/>
  <c r="H1266" i="16"/>
  <c r="H1120" i="16"/>
  <c r="H1116" i="16"/>
  <c r="H906" i="16"/>
  <c r="H2684" i="16"/>
  <c r="H2681" i="16"/>
  <c r="H2587" i="16"/>
  <c r="G2530" i="16"/>
  <c r="H2530" i="16" s="1"/>
  <c r="H2531" i="16"/>
  <c r="H2344" i="16"/>
  <c r="G2339" i="16"/>
  <c r="G2470" i="16"/>
  <c r="H2470" i="16" s="1"/>
  <c r="H2471" i="16"/>
  <c r="H873" i="16"/>
  <c r="H866" i="16"/>
  <c r="H843" i="16"/>
  <c r="H777" i="16"/>
  <c r="H772" i="16"/>
  <c r="G711" i="16"/>
  <c r="H623" i="16"/>
  <c r="H590" i="16"/>
  <c r="H511" i="16"/>
  <c r="H449" i="16"/>
  <c r="H1772" i="16"/>
  <c r="H1738" i="16"/>
  <c r="H1712" i="16"/>
  <c r="H1626" i="16"/>
  <c r="H1620" i="16"/>
  <c r="H1599" i="16"/>
  <c r="H1522" i="16"/>
  <c r="H1472" i="16"/>
  <c r="H1386" i="16"/>
  <c r="H1359" i="16"/>
  <c r="H1131" i="16"/>
  <c r="G2690" i="16"/>
  <c r="H2690" i="16" s="1"/>
  <c r="H2691" i="16"/>
  <c r="H2672" i="16"/>
  <c r="G2640" i="16"/>
  <c r="H2636" i="16"/>
  <c r="G2630" i="16"/>
  <c r="H2630" i="16" s="1"/>
  <c r="H2575" i="16"/>
  <c r="H2562" i="16"/>
  <c r="G2420" i="16"/>
  <c r="H422" i="16"/>
  <c r="H877" i="16"/>
  <c r="H676" i="16"/>
  <c r="H455" i="16"/>
  <c r="H281" i="16"/>
  <c r="H269" i="16"/>
  <c r="H251" i="16"/>
  <c r="H1566" i="16"/>
  <c r="H1482" i="16"/>
  <c r="H1478" i="16"/>
  <c r="H1466" i="16"/>
  <c r="H1369" i="16"/>
  <c r="G1867" i="16"/>
  <c r="H1867" i="16" s="1"/>
  <c r="H1868" i="16"/>
  <c r="H2711" i="16"/>
  <c r="G2710" i="16"/>
  <c r="H2710" i="16" s="1"/>
  <c r="G2680" i="16"/>
  <c r="G2480" i="16"/>
  <c r="H2481" i="16"/>
  <c r="H2326" i="16"/>
  <c r="H2321" i="16"/>
  <c r="G2440" i="16"/>
  <c r="H2441" i="16"/>
  <c r="H411" i="16"/>
  <c r="H407" i="16"/>
  <c r="H351" i="16"/>
  <c r="H275" i="16"/>
  <c r="H1673" i="16"/>
  <c r="H1609" i="16"/>
  <c r="H1602" i="16"/>
  <c r="H1489" i="16"/>
  <c r="H1302" i="16"/>
  <c r="H1262" i="16"/>
  <c r="H1258" i="16"/>
  <c r="H1209" i="16"/>
  <c r="H2683" i="16"/>
  <c r="H2622" i="16"/>
  <c r="H2551" i="16"/>
  <c r="G2550" i="16"/>
  <c r="H2550" i="16" s="1"/>
  <c r="H2436" i="16"/>
  <c r="H1889" i="16"/>
  <c r="H2380" i="16"/>
  <c r="G2379" i="16"/>
  <c r="H2314" i="16"/>
  <c r="H2310" i="16"/>
  <c r="G2309" i="16"/>
  <c r="H2309" i="16" s="1"/>
  <c r="G2239" i="16"/>
  <c r="H2241" i="16"/>
  <c r="H2114" i="16"/>
  <c r="G2229" i="16"/>
  <c r="H2229" i="16" s="1"/>
  <c r="H1908" i="16"/>
  <c r="G1907" i="16"/>
  <c r="H1907" i="16" s="1"/>
  <c r="H1422" i="16"/>
  <c r="H1348" i="16"/>
  <c r="H1322" i="16"/>
  <c r="H1272" i="16"/>
  <c r="H1249" i="16"/>
  <c r="H1242" i="16"/>
  <c r="H1238" i="16"/>
  <c r="H1222" i="16"/>
  <c r="H1206" i="16"/>
  <c r="H1172" i="16"/>
  <c r="H1125" i="16"/>
  <c r="H1093" i="16"/>
  <c r="H1089" i="16"/>
  <c r="H982" i="16"/>
  <c r="H964" i="16"/>
  <c r="H953" i="16"/>
  <c r="H1842" i="16"/>
  <c r="H1809" i="16"/>
  <c r="H1800" i="16"/>
  <c r="G2520" i="16"/>
  <c r="H2423" i="16"/>
  <c r="H2308" i="16"/>
  <c r="H2300" i="16"/>
  <c r="H2211" i="16"/>
  <c r="G2209" i="16"/>
  <c r="H2209" i="16" s="1"/>
  <c r="G2269" i="16"/>
  <c r="H2269" i="16" s="1"/>
  <c r="H2271" i="16"/>
  <c r="H1362" i="16"/>
  <c r="H1259" i="16"/>
  <c r="H1204" i="16"/>
  <c r="H1193" i="16"/>
  <c r="H1171" i="16"/>
  <c r="H1107" i="16"/>
  <c r="H1103" i="16"/>
  <c r="H1092" i="16"/>
  <c r="H1088" i="16"/>
  <c r="H963" i="16"/>
  <c r="H923" i="16"/>
  <c r="H1886" i="16"/>
  <c r="H2552" i="16"/>
  <c r="H2545" i="16"/>
  <c r="H2422" i="16"/>
  <c r="G2359" i="16"/>
  <c r="G2329" i="16"/>
  <c r="H2329" i="16" s="1"/>
  <c r="H2303" i="16"/>
  <c r="H1381" i="16"/>
  <c r="H1333" i="16"/>
  <c r="H1199" i="16"/>
  <c r="H1181" i="16"/>
  <c r="H1159" i="16"/>
  <c r="H1121" i="16"/>
  <c r="H904" i="16"/>
  <c r="H1880" i="16"/>
  <c r="H2467" i="16"/>
  <c r="H2463" i="16"/>
  <c r="H2429" i="16"/>
  <c r="H2315" i="16"/>
  <c r="H2134" i="16"/>
  <c r="H2170" i="16"/>
  <c r="G2169" i="16"/>
  <c r="H2169" i="16" s="1"/>
  <c r="H2323" i="16"/>
  <c r="G2289" i="16"/>
  <c r="H2289" i="16" s="1"/>
  <c r="H2207" i="16"/>
  <c r="H2195" i="16"/>
  <c r="H2126" i="16"/>
  <c r="H2122" i="16"/>
  <c r="G2027" i="16"/>
  <c r="H2027" i="16" s="1"/>
  <c r="H2028" i="16"/>
  <c r="H2230" i="16"/>
  <c r="G2037" i="16"/>
  <c r="H2032" i="16"/>
  <c r="H2130" i="16"/>
  <c r="G2129" i="16"/>
  <c r="H2129" i="16" s="1"/>
  <c r="H2121" i="16"/>
  <c r="H2215" i="16"/>
  <c r="H2070" i="16"/>
  <c r="G2069" i="16"/>
  <c r="H2069" i="16" s="1"/>
  <c r="H2026" i="16"/>
  <c r="G2410" i="16"/>
  <c r="H2410" i="16" s="1"/>
  <c r="H2120" i="16"/>
  <c r="H2334" i="16"/>
  <c r="G2099" i="16"/>
  <c r="H2100" i="16"/>
  <c r="H2046" i="16"/>
  <c r="H2033" i="16"/>
  <c r="H2025" i="16"/>
  <c r="H2020" i="16"/>
  <c r="G1927" i="16"/>
  <c r="H1927" i="16" s="1"/>
  <c r="H1928" i="16"/>
  <c r="G1987" i="16"/>
  <c r="H1987" i="16" s="1"/>
  <c r="H2050" i="16"/>
  <c r="G2049" i="16"/>
  <c r="H2049" i="16" s="1"/>
  <c r="H2202" i="16"/>
  <c r="H2110" i="16"/>
  <c r="G2109" i="16"/>
  <c r="H2109" i="16" s="1"/>
  <c r="G1967" i="16"/>
  <c r="H1967" i="16" s="1"/>
  <c r="H1958" i="16"/>
  <c r="G1957" i="16"/>
  <c r="H2022" i="16"/>
  <c r="H2018" i="16"/>
  <c r="G2017" i="16"/>
  <c r="H1978" i="16"/>
  <c r="G1977" i="16"/>
  <c r="H1948" i="16"/>
  <c r="G1947" i="16"/>
  <c r="H1947" i="16" s="1"/>
  <c r="G1918" i="16"/>
  <c r="G2007" i="16"/>
  <c r="H2007" i="16" s="1"/>
  <c r="H2091" i="16"/>
  <c r="H1999" i="16"/>
  <c r="H1972" i="16"/>
  <c r="H986" i="16"/>
  <c r="H1560" i="16"/>
  <c r="H1070" i="16"/>
  <c r="G1547" i="16"/>
  <c r="H1547" i="16" s="1"/>
  <c r="H1549" i="16"/>
  <c r="G1387" i="16"/>
  <c r="H1387" i="16" s="1"/>
  <c r="H1389" i="16"/>
  <c r="H1672" i="16"/>
  <c r="G1687" i="16"/>
  <c r="H1687" i="16" s="1"/>
  <c r="H1688" i="16"/>
  <c r="H1612" i="16"/>
  <c r="G1467" i="16"/>
  <c r="H1467" i="16" s="1"/>
  <c r="H1469" i="16"/>
  <c r="H1492" i="16"/>
  <c r="G1307" i="16"/>
  <c r="H1307" i="16" s="1"/>
  <c r="H1309" i="16"/>
  <c r="H1572" i="16"/>
  <c r="G1847" i="16"/>
  <c r="H1847" i="16" s="1"/>
  <c r="H1848" i="16"/>
  <c r="H1838" i="16"/>
  <c r="G1837" i="16"/>
  <c r="H1501" i="16"/>
  <c r="H849" i="16"/>
  <c r="H578" i="16"/>
  <c r="H539" i="16"/>
  <c r="H429" i="16"/>
  <c r="H375" i="16"/>
  <c r="H1786" i="16"/>
  <c r="H1739" i="16"/>
  <c r="H1709" i="16"/>
  <c r="G1647" i="16"/>
  <c r="H1647" i="16" s="1"/>
  <c r="H1640" i="16"/>
  <c r="H1579" i="16"/>
  <c r="H1542" i="16"/>
  <c r="H1481" i="16"/>
  <c r="H1326" i="16"/>
  <c r="H1320" i="16"/>
  <c r="H717" i="16"/>
  <c r="H584" i="16"/>
  <c r="H550" i="16"/>
  <c r="H535" i="16"/>
  <c r="H441" i="16"/>
  <c r="H435" i="16"/>
  <c r="H229" i="16"/>
  <c r="H1779" i="16"/>
  <c r="H1622" i="16"/>
  <c r="H1500" i="16"/>
  <c r="H1462" i="16"/>
  <c r="H1380" i="16"/>
  <c r="H1340" i="16"/>
  <c r="H1306" i="16"/>
  <c r="H1300" i="16"/>
  <c r="H1279" i="16"/>
  <c r="G1247" i="16"/>
  <c r="H1247" i="16" s="1"/>
  <c r="H1241" i="16"/>
  <c r="H1208" i="16"/>
  <c r="G1207" i="16"/>
  <c r="H1207" i="16" s="1"/>
  <c r="H1202" i="16"/>
  <c r="H1078" i="16"/>
  <c r="H1798" i="16"/>
  <c r="H1648" i="16"/>
  <c r="H853" i="16"/>
  <c r="H846" i="16"/>
  <c r="H824" i="16"/>
  <c r="H813" i="16"/>
  <c r="H577" i="16"/>
  <c r="H544" i="16"/>
  <c r="H538" i="16"/>
  <c r="G499" i="16"/>
  <c r="H499" i="16" s="1"/>
  <c r="H289" i="16"/>
  <c r="H235" i="16"/>
  <c r="H1793" i="16"/>
  <c r="H1742" i="16"/>
  <c r="H1699" i="16"/>
  <c r="H1633" i="16"/>
  <c r="H1619" i="16"/>
  <c r="G1587" i="16"/>
  <c r="H1587" i="16" s="1"/>
  <c r="H1512" i="16"/>
  <c r="H1493" i="16"/>
  <c r="H1293" i="16"/>
  <c r="H1212" i="16"/>
  <c r="H830" i="16"/>
  <c r="H769" i="16"/>
  <c r="H670" i="16"/>
  <c r="H664" i="16"/>
  <c r="H636" i="16"/>
  <c r="H534" i="16"/>
  <c r="H295" i="16"/>
  <c r="H282" i="16"/>
  <c r="H278" i="16"/>
  <c r="H1782" i="16"/>
  <c r="H1760" i="16"/>
  <c r="G1727" i="16"/>
  <c r="H1727" i="16" s="1"/>
  <c r="H1708" i="16"/>
  <c r="H1702" i="16"/>
  <c r="H1669" i="16"/>
  <c r="H1662" i="16"/>
  <c r="H1658" i="16"/>
  <c r="H1581" i="16"/>
  <c r="H1393" i="16"/>
  <c r="H1379" i="16"/>
  <c r="H1373" i="16"/>
  <c r="H1360" i="16"/>
  <c r="H1349" i="16"/>
  <c r="H1319" i="16"/>
  <c r="H1282" i="16"/>
  <c r="H1201" i="16"/>
  <c r="H1840" i="16"/>
  <c r="G336" i="16"/>
  <c r="H336" i="16" s="1"/>
  <c r="H870" i="16"/>
  <c r="H857" i="16"/>
  <c r="H845" i="16"/>
  <c r="H724" i="16"/>
  <c r="H689" i="16"/>
  <c r="H645" i="16"/>
  <c r="H624" i="16"/>
  <c r="H620" i="16"/>
  <c r="H587" i="16"/>
  <c r="H580" i="16"/>
  <c r="H543" i="16"/>
  <c r="H537" i="16"/>
  <c r="H431" i="16"/>
  <c r="H361" i="16"/>
  <c r="H288" i="16"/>
  <c r="H255" i="16"/>
  <c r="H1789" i="16"/>
  <c r="H1741" i="16"/>
  <c r="H1618" i="16"/>
  <c r="H1553" i="16"/>
  <c r="H1540" i="16"/>
  <c r="G1507" i="16"/>
  <c r="H1507" i="16" s="1"/>
  <c r="H1384" i="16"/>
  <c r="H1368" i="16"/>
  <c r="H1342" i="16"/>
  <c r="H1292" i="16"/>
  <c r="H1853" i="16"/>
  <c r="H1845" i="16"/>
  <c r="H547" i="16"/>
  <c r="H438" i="16"/>
  <c r="H1569" i="16"/>
  <c r="H1498" i="16"/>
  <c r="H1382" i="16"/>
  <c r="H1378" i="16"/>
  <c r="H1353" i="16"/>
  <c r="H1298" i="16"/>
  <c r="H1066" i="16"/>
  <c r="H1064" i="16"/>
  <c r="H1858" i="16"/>
  <c r="G1857" i="16"/>
  <c r="H1849" i="16"/>
  <c r="H1839" i="16"/>
  <c r="H1828" i="16"/>
  <c r="G1827" i="16"/>
  <c r="H1827" i="16" s="1"/>
  <c r="G1817" i="16"/>
  <c r="H856" i="16"/>
  <c r="H816" i="16"/>
  <c r="H656" i="16"/>
  <c r="H540" i="16"/>
  <c r="H442" i="16"/>
  <c r="H430" i="16"/>
  <c r="H1440" i="16"/>
  <c r="H1392" i="16"/>
  <c r="H1338" i="16"/>
  <c r="H1321" i="16"/>
  <c r="H1312" i="16"/>
  <c r="G1227" i="16"/>
  <c r="H1227" i="16" s="1"/>
  <c r="H1229" i="16"/>
  <c r="H1179" i="16"/>
  <c r="H1888" i="16"/>
  <c r="G1887" i="16"/>
  <c r="H1887" i="16" s="1"/>
  <c r="G1877" i="16"/>
  <c r="H1878" i="16"/>
  <c r="H1808" i="16"/>
  <c r="G1807" i="16"/>
  <c r="H1807" i="16" s="1"/>
  <c r="H1071" i="16"/>
  <c r="H1013" i="16"/>
  <c r="H1006" i="16"/>
  <c r="H1002" i="16"/>
  <c r="H996" i="16"/>
  <c r="H985" i="16"/>
  <c r="H1137" i="16"/>
  <c r="H1118" i="16"/>
  <c r="H1114" i="16"/>
  <c r="H1100" i="16"/>
  <c r="H1067" i="16"/>
  <c r="H930" i="16"/>
  <c r="H924" i="16"/>
  <c r="H903" i="16"/>
  <c r="G1031" i="16"/>
  <c r="H1031" i="16" s="1"/>
  <c r="H1182" i="16"/>
  <c r="H1117" i="16"/>
  <c r="H1063" i="16"/>
  <c r="H1280" i="16"/>
  <c r="H1261" i="16"/>
  <c r="H1252" i="16"/>
  <c r="H1178" i="16"/>
  <c r="H1158" i="16"/>
  <c r="H1096" i="16"/>
  <c r="H1004" i="16"/>
  <c r="G971" i="16"/>
  <c r="H971" i="16" s="1"/>
  <c r="H943" i="16"/>
  <c r="H937" i="16"/>
  <c r="H926" i="16"/>
  <c r="H913" i="16"/>
  <c r="H1010" i="16"/>
  <c r="H997" i="16"/>
  <c r="H933" i="16"/>
  <c r="H1561" i="16"/>
  <c r="H1539" i="16"/>
  <c r="H1502" i="16"/>
  <c r="H1480" i="16"/>
  <c r="H1459" i="16"/>
  <c r="H1318" i="16"/>
  <c r="H1299" i="16"/>
  <c r="H1289" i="16"/>
  <c r="H1260" i="16"/>
  <c r="H1232" i="16"/>
  <c r="H1220" i="16"/>
  <c r="G1187" i="16"/>
  <c r="H1187" i="16" s="1"/>
  <c r="H1168" i="16"/>
  <c r="H1161" i="16"/>
  <c r="H1157" i="16"/>
  <c r="H1141" i="16"/>
  <c r="H1132" i="16"/>
  <c r="H1095" i="16"/>
  <c r="H1082" i="16"/>
  <c r="H1065" i="16"/>
  <c r="H1017" i="16"/>
  <c r="H1003" i="16"/>
  <c r="H993" i="16"/>
  <c r="H946" i="16"/>
  <c r="G1397" i="16"/>
  <c r="H1397" i="16" s="1"/>
  <c r="H1398" i="16"/>
  <c r="G1257" i="16"/>
  <c r="H1257" i="16" s="1"/>
  <c r="G1136" i="16"/>
  <c r="H1136" i="16" s="1"/>
  <c r="H945" i="16"/>
  <c r="G921" i="16"/>
  <c r="H921" i="16" s="1"/>
  <c r="G1677" i="16"/>
  <c r="H1677" i="16" s="1"/>
  <c r="G1617" i="16"/>
  <c r="H1617" i="16" s="1"/>
  <c r="G1577" i="16"/>
  <c r="H1577" i="16" s="1"/>
  <c r="H1719" i="16"/>
  <c r="G296" i="16"/>
  <c r="H296" i="16" s="1"/>
  <c r="H1684" i="16"/>
  <c r="H1499" i="16"/>
  <c r="G1497" i="16"/>
  <c r="H1744" i="16"/>
  <c r="H1659" i="16"/>
  <c r="G1657" i="16"/>
  <c r="H1518" i="16"/>
  <c r="G1517" i="16"/>
  <c r="H1788" i="16"/>
  <c r="G1787" i="16"/>
  <c r="H1787" i="16" s="1"/>
  <c r="H1458" i="16"/>
  <c r="G1457" i="16"/>
  <c r="H1769" i="16"/>
  <c r="G1767" i="16"/>
  <c r="H1767" i="16" s="1"/>
  <c r="G1747" i="16"/>
  <c r="H1747" i="16" s="1"/>
  <c r="H1748" i="16"/>
  <c r="H1704" i="16"/>
  <c r="H1778" i="16"/>
  <c r="G1777" i="16"/>
  <c r="G1667" i="16"/>
  <c r="H1667" i="16" s="1"/>
  <c r="H1668" i="16"/>
  <c r="H1764" i="16"/>
  <c r="G1637" i="16"/>
  <c r="H1638" i="16"/>
  <c r="H1529" i="16"/>
  <c r="G1527" i="16"/>
  <c r="H1527" i="16" s="1"/>
  <c r="H521" i="16"/>
  <c r="H752" i="16"/>
  <c r="H705" i="16"/>
  <c r="H702" i="16"/>
  <c r="H610" i="16"/>
  <c r="H471" i="16"/>
  <c r="H347" i="16"/>
  <c r="H247" i="16"/>
  <c r="H1792" i="16"/>
  <c r="G1757" i="16"/>
  <c r="H1649" i="16"/>
  <c r="H1646" i="16"/>
  <c r="H1642" i="16"/>
  <c r="H1608" i="16"/>
  <c r="G1607" i="16"/>
  <c r="H1607" i="16" s="1"/>
  <c r="H1538" i="16"/>
  <c r="G1537" i="16"/>
  <c r="H1449" i="16"/>
  <c r="G1447" i="16"/>
  <c r="H1447" i="16" s="1"/>
  <c r="H516" i="16"/>
  <c r="G1697" i="16"/>
  <c r="H1698" i="16"/>
  <c r="H1652" i="16"/>
  <c r="H1624" i="16"/>
  <c r="H1568" i="16"/>
  <c r="G1567" i="16"/>
  <c r="H1567" i="16" s="1"/>
  <c r="H1559" i="16"/>
  <c r="G1557" i="16"/>
  <c r="H1524" i="16"/>
  <c r="H1479" i="16"/>
  <c r="G1477" i="16"/>
  <c r="H704" i="16"/>
  <c r="H614" i="16"/>
  <c r="H528" i="16"/>
  <c r="H512" i="16"/>
  <c r="H802" i="16"/>
  <c r="H783" i="16"/>
  <c r="H744" i="16"/>
  <c r="H711" i="16"/>
  <c r="H601" i="16"/>
  <c r="H515" i="16"/>
  <c r="G416" i="16"/>
  <c r="H416" i="16" s="1"/>
  <c r="H315" i="16"/>
  <c r="H302" i="16"/>
  <c r="H258" i="16"/>
  <c r="H228" i="16"/>
  <c r="H1664" i="16"/>
  <c r="H1639" i="16"/>
  <c r="H1488" i="16"/>
  <c r="G1487" i="16"/>
  <c r="H1487" i="16" s="1"/>
  <c r="H884" i="16"/>
  <c r="H862" i="16"/>
  <c r="H836" i="16"/>
  <c r="H805" i="16"/>
  <c r="H793" i="16"/>
  <c r="H764" i="16"/>
  <c r="H749" i="16"/>
  <c r="H709" i="16"/>
  <c r="H650" i="16"/>
  <c r="H644" i="16"/>
  <c r="H613" i="16"/>
  <c r="H607" i="16"/>
  <c r="H597" i="16"/>
  <c r="H473" i="16"/>
  <c r="H469" i="16"/>
  <c r="H355" i="16"/>
  <c r="H349" i="16"/>
  <c r="H308" i="16"/>
  <c r="H1678" i="16"/>
  <c r="H1680" i="16"/>
  <c r="H1682" i="16"/>
  <c r="H1689" i="16"/>
  <c r="H1693" i="16"/>
  <c r="H1598" i="16"/>
  <c r="G1597" i="16"/>
  <c r="H1438" i="16"/>
  <c r="G1437" i="16"/>
  <c r="H1404" i="16"/>
  <c r="H786" i="16"/>
  <c r="H773" i="16"/>
  <c r="H753" i="16"/>
  <c r="H649" i="16"/>
  <c r="H600" i="16"/>
  <c r="H558" i="16"/>
  <c r="H524" i="16"/>
  <c r="H520" i="16"/>
  <c r="H514" i="16"/>
  <c r="H395" i="16"/>
  <c r="H389" i="16"/>
  <c r="G376" i="16"/>
  <c r="H376" i="16" s="1"/>
  <c r="H368" i="16"/>
  <c r="H291" i="16"/>
  <c r="H242" i="16"/>
  <c r="H231" i="16"/>
  <c r="H1644" i="16"/>
  <c r="H883" i="16"/>
  <c r="H829" i="16"/>
  <c r="H817" i="16"/>
  <c r="H804" i="16"/>
  <c r="H782" i="16"/>
  <c r="H776" i="16"/>
  <c r="H763" i="16"/>
  <c r="H757" i="16"/>
  <c r="H746" i="16"/>
  <c r="H743" i="16"/>
  <c r="H716" i="16"/>
  <c r="H712" i="16"/>
  <c r="H706" i="16"/>
  <c r="H643" i="16"/>
  <c r="H596" i="16"/>
  <c r="H564" i="16"/>
  <c r="H527" i="16"/>
  <c r="H478" i="16"/>
  <c r="H472" i="16"/>
  <c r="H468" i="16"/>
  <c r="G456" i="16"/>
  <c r="H456" i="16" s="1"/>
  <c r="H415" i="16"/>
  <c r="H382" i="16"/>
  <c r="H371" i="16"/>
  <c r="H362" i="16"/>
  <c r="H348" i="16"/>
  <c r="H311" i="16"/>
  <c r="H261" i="16"/>
  <c r="G256" i="16"/>
  <c r="H256" i="16" s="1"/>
  <c r="H238" i="16"/>
  <c r="H1653" i="16"/>
  <c r="H598" i="16"/>
  <c r="H864" i="16"/>
  <c r="H844" i="16"/>
  <c r="H823" i="16"/>
  <c r="H809" i="16"/>
  <c r="H766" i="16"/>
  <c r="H673" i="16"/>
  <c r="H657" i="16"/>
  <c r="H653" i="16"/>
  <c r="H646" i="16"/>
  <c r="H603" i="16"/>
  <c r="H599" i="16"/>
  <c r="H557" i="16"/>
  <c r="H517" i="16"/>
  <c r="H497" i="16"/>
  <c r="H428" i="16"/>
  <c r="H409" i="16"/>
  <c r="H388" i="16"/>
  <c r="H322" i="16"/>
  <c r="H318" i="16"/>
  <c r="H301" i="16"/>
  <c r="H290" i="16"/>
  <c r="H230" i="16"/>
  <c r="G1737" i="16"/>
  <c r="G1717" i="16"/>
  <c r="G1627" i="16"/>
  <c r="H1627" i="16" s="1"/>
  <c r="H1629" i="16"/>
  <c r="H1604" i="16"/>
  <c r="G1427" i="16"/>
  <c r="H1427" i="16" s="1"/>
  <c r="H1428" i="16"/>
  <c r="H1364" i="16"/>
  <c r="H1448" i="16"/>
  <c r="G1076" i="16"/>
  <c r="H1076" i="16" s="1"/>
  <c r="H1077" i="16"/>
  <c r="G1267" i="16"/>
  <c r="H1267" i="16" s="1"/>
  <c r="H1268" i="16"/>
  <c r="H1244" i="16"/>
  <c r="G1417" i="16"/>
  <c r="H1412" i="16"/>
  <c r="H1344" i="16"/>
  <c r="G1337" i="16"/>
  <c r="G1297" i="16"/>
  <c r="G961" i="16"/>
  <c r="H962" i="16"/>
  <c r="H1508" i="16"/>
  <c r="G1237" i="16"/>
  <c r="H1239" i="16"/>
  <c r="G1101" i="16"/>
  <c r="H1101" i="16" s="1"/>
  <c r="H1102" i="16"/>
  <c r="H1721" i="16"/>
  <c r="H1641" i="16"/>
  <c r="H1324" i="16"/>
  <c r="H1304" i="16"/>
  <c r="G1197" i="16"/>
  <c r="H1198" i="16"/>
  <c r="H1184" i="16"/>
  <c r="H1600" i="16"/>
  <c r="H1358" i="16"/>
  <c r="G1357" i="16"/>
  <c r="H1278" i="16"/>
  <c r="G1277" i="16"/>
  <c r="H1264" i="16"/>
  <c r="G1061" i="16"/>
  <c r="G1041" i="16"/>
  <c r="H1042" i="16"/>
  <c r="G1011" i="16"/>
  <c r="H1011" i="16" s="1"/>
  <c r="H1012" i="16"/>
  <c r="H916" i="16"/>
  <c r="G1347" i="16"/>
  <c r="H1347" i="16" s="1"/>
  <c r="H1328" i="16"/>
  <c r="G1327" i="16"/>
  <c r="H1327" i="16" s="1"/>
  <c r="G1156" i="16"/>
  <c r="G901" i="16"/>
  <c r="H902" i="16"/>
  <c r="G1377" i="16"/>
  <c r="G1217" i="16"/>
  <c r="H1218" i="16"/>
  <c r="G1176" i="16"/>
  <c r="H1177" i="16"/>
  <c r="H1024" i="16"/>
  <c r="G1407" i="16"/>
  <c r="H1407" i="16" s="1"/>
  <c r="G1146" i="16"/>
  <c r="H1146" i="16" s="1"/>
  <c r="H1147" i="16"/>
  <c r="H1127" i="16"/>
  <c r="G1126" i="16"/>
  <c r="H1126" i="16" s="1"/>
  <c r="H1062" i="16"/>
  <c r="H1023" i="16"/>
  <c r="G931" i="16"/>
  <c r="H931" i="16" s="1"/>
  <c r="H932" i="16"/>
  <c r="G1317" i="16"/>
  <c r="G1287" i="16"/>
  <c r="H1287" i="16" s="1"/>
  <c r="G1051" i="16"/>
  <c r="H1051" i="16" s="1"/>
  <c r="H1037" i="16"/>
  <c r="H1033" i="16"/>
  <c r="H1167" i="16"/>
  <c r="H1036" i="16"/>
  <c r="H1026" i="16"/>
  <c r="G951" i="16"/>
  <c r="H951" i="16" s="1"/>
  <c r="H912" i="16"/>
  <c r="G911" i="16"/>
  <c r="H911" i="16" s="1"/>
  <c r="H1112" i="16"/>
  <c r="G1111" i="16"/>
  <c r="H1056" i="16"/>
  <c r="H1030" i="16"/>
  <c r="G1001" i="16"/>
  <c r="G1086" i="16"/>
  <c r="H1087" i="16"/>
  <c r="H1022" i="16"/>
  <c r="G1021" i="16"/>
  <c r="H992" i="16"/>
  <c r="G991" i="16"/>
  <c r="H991" i="16" s="1"/>
  <c r="H976" i="16"/>
  <c r="G981" i="16"/>
  <c r="H983" i="16"/>
  <c r="H942" i="16"/>
  <c r="G941" i="16"/>
  <c r="H785" i="16"/>
  <c r="G781" i="16"/>
  <c r="H781" i="16" s="1"/>
  <c r="G406" i="16"/>
  <c r="H406" i="16" s="1"/>
  <c r="G246" i="16"/>
  <c r="H246" i="16" s="1"/>
  <c r="G1228" i="11"/>
  <c r="H1228" i="11" s="1"/>
  <c r="G861" i="16"/>
  <c r="H861" i="16" s="1"/>
  <c r="G286" i="16"/>
  <c r="H286" i="16" s="1"/>
  <c r="G326" i="16"/>
  <c r="H326" i="16" s="1"/>
  <c r="G446" i="16"/>
  <c r="H446" i="16" s="1"/>
  <c r="G1604" i="13"/>
  <c r="H1604" i="13" s="1"/>
  <c r="G366" i="16"/>
  <c r="H366" i="16" s="1"/>
  <c r="G489" i="16"/>
  <c r="H489" i="16" s="1"/>
  <c r="H890" i="16"/>
  <c r="H882" i="16"/>
  <c r="H792" i="16"/>
  <c r="G791" i="16"/>
  <c r="H791" i="16" s="1"/>
  <c r="G751" i="16"/>
  <c r="H751" i="16" s="1"/>
  <c r="H722" i="16"/>
  <c r="G721" i="16"/>
  <c r="H576" i="16"/>
  <c r="G575" i="16"/>
  <c r="H570" i="16"/>
  <c r="G831" i="16"/>
  <c r="H831" i="16" s="1"/>
  <c r="G811" i="16"/>
  <c r="H811" i="16" s="1"/>
  <c r="H812" i="16"/>
  <c r="H806" i="16"/>
  <c r="H803" i="16"/>
  <c r="H732" i="16"/>
  <c r="G731" i="16"/>
  <c r="H731" i="16" s="1"/>
  <c r="H692" i="16"/>
  <c r="G691" i="16"/>
  <c r="H691" i="16" s="1"/>
  <c r="H872" i="16"/>
  <c r="G871" i="16"/>
  <c r="H871" i="16" s="1"/>
  <c r="H896" i="16"/>
  <c r="G891" i="16"/>
  <c r="H891" i="16" s="1"/>
  <c r="H892" i="16"/>
  <c r="G761" i="16"/>
  <c r="H762" i="16"/>
  <c r="G841" i="16"/>
  <c r="H842" i="16"/>
  <c r="H822" i="16"/>
  <c r="G821" i="16"/>
  <c r="H742" i="16"/>
  <c r="G741" i="16"/>
  <c r="G1584" i="13"/>
  <c r="H1584" i="13" s="1"/>
  <c r="G701" i="16"/>
  <c r="H533" i="16"/>
  <c r="G532" i="16"/>
  <c r="H484" i="16"/>
  <c r="H2343" i="13"/>
  <c r="G881" i="16"/>
  <c r="G851" i="16"/>
  <c r="H851" i="16" s="1"/>
  <c r="G801" i="16"/>
  <c r="G771" i="16"/>
  <c r="H771" i="16" s="1"/>
  <c r="H697" i="16"/>
  <c r="H686" i="16"/>
  <c r="H683" i="16"/>
  <c r="H665" i="16"/>
  <c r="H662" i="16"/>
  <c r="H632" i="16"/>
  <c r="G631" i="16"/>
  <c r="H631" i="16" s="1"/>
  <c r="H619" i="16"/>
  <c r="G618" i="16"/>
  <c r="G2702" i="13"/>
  <c r="H2702" i="13" s="1"/>
  <c r="H690" i="16"/>
  <c r="H677" i="16"/>
  <c r="G641" i="16"/>
  <c r="H642" i="16"/>
  <c r="H523" i="16"/>
  <c r="G522" i="16"/>
  <c r="H522" i="16" s="1"/>
  <c r="H2543" i="13"/>
  <c r="H682" i="16"/>
  <c r="G681" i="16"/>
  <c r="H669" i="16"/>
  <c r="G661" i="16"/>
  <c r="H510" i="16"/>
  <c r="G509" i="16"/>
  <c r="H693" i="16"/>
  <c r="H685" i="16"/>
  <c r="H546" i="16"/>
  <c r="G545" i="16"/>
  <c r="H545" i="16" s="1"/>
  <c r="H713" i="16"/>
  <c r="H696" i="16"/>
  <c r="G555" i="16"/>
  <c r="H556" i="16"/>
  <c r="H684" i="16"/>
  <c r="H672" i="16"/>
  <c r="G671" i="16"/>
  <c r="H671" i="16" s="1"/>
  <c r="H609" i="16"/>
  <c r="G608" i="16"/>
  <c r="H608" i="16" s="1"/>
  <c r="G356" i="16"/>
  <c r="H356" i="16" s="1"/>
  <c r="H357" i="16"/>
  <c r="G306" i="16"/>
  <c r="H307" i="16"/>
  <c r="H490" i="16"/>
  <c r="G651" i="16"/>
  <c r="H651" i="16" s="1"/>
  <c r="G595" i="16"/>
  <c r="G565" i="16"/>
  <c r="H565" i="16" s="1"/>
  <c r="G479" i="16"/>
  <c r="H479" i="16" s="1"/>
  <c r="H480" i="16"/>
  <c r="G436" i="16"/>
  <c r="H436" i="16" s="1"/>
  <c r="H437" i="16"/>
  <c r="H317" i="16"/>
  <c r="G316" i="16"/>
  <c r="H316" i="16" s="1"/>
  <c r="G276" i="16"/>
  <c r="H276" i="16" s="1"/>
  <c r="H277" i="16"/>
  <c r="G226" i="16"/>
  <c r="H227" i="16"/>
  <c r="G585" i="16"/>
  <c r="H585" i="16" s="1"/>
  <c r="H321" i="16"/>
  <c r="G466" i="16"/>
  <c r="H467" i="16"/>
  <c r="G386" i="16"/>
  <c r="H387" i="16"/>
  <c r="H241" i="16"/>
  <c r="H237" i="16"/>
  <c r="G236" i="16"/>
  <c r="H236" i="16" s="1"/>
  <c r="H461" i="16"/>
  <c r="H401" i="16"/>
  <c r="H458" i="16"/>
  <c r="H447" i="16"/>
  <c r="H417" i="16"/>
  <c r="H408" i="16"/>
  <c r="H378" i="16"/>
  <c r="H367" i="16"/>
  <c r="H337" i="16"/>
  <c r="H328" i="16"/>
  <c r="H298" i="16"/>
  <c r="H287" i="16"/>
  <c r="H257" i="16"/>
  <c r="H248" i="16"/>
  <c r="G426" i="16"/>
  <c r="G396" i="16"/>
  <c r="H396" i="16" s="1"/>
  <c r="G346" i="16"/>
  <c r="G266" i="16"/>
  <c r="G2442" i="13"/>
  <c r="H2442" i="13" s="1"/>
  <c r="H2164" i="13"/>
  <c r="G1042" i="13"/>
  <c r="H1042" i="13" s="1"/>
  <c r="H1043" i="13"/>
  <c r="G1482" i="13"/>
  <c r="H1482" i="13" s="1"/>
  <c r="G1522" i="13"/>
  <c r="H1522" i="13" s="1"/>
  <c r="H1523" i="13"/>
  <c r="G2662" i="13"/>
  <c r="H2662" i="13" s="1"/>
  <c r="H2663" i="13"/>
  <c r="G1382" i="13"/>
  <c r="H1382" i="13" s="1"/>
  <c r="G2522" i="13"/>
  <c r="H2522" i="13" s="1"/>
  <c r="G2302" i="13"/>
  <c r="H2302" i="13" s="1"/>
  <c r="G2622" i="13"/>
  <c r="H2622" i="13" s="1"/>
  <c r="G1684" i="13"/>
  <c r="H1684" i="13" s="1"/>
  <c r="G2462" i="13"/>
  <c r="H2462" i="13" s="1"/>
  <c r="H2504" i="13"/>
  <c r="G1724" i="13"/>
  <c r="H1724" i="13" s="1"/>
  <c r="G1282" i="13"/>
  <c r="H1282" i="13" s="1"/>
  <c r="H2463" i="13"/>
  <c r="H2624" i="13"/>
  <c r="G2542" i="13"/>
  <c r="H2542" i="13" s="1"/>
  <c r="H2424" i="13"/>
  <c r="G2342" i="13"/>
  <c r="H2342" i="13" s="1"/>
  <c r="G1864" i="13"/>
  <c r="H1864" i="13" s="1"/>
  <c r="G1744" i="13"/>
  <c r="H1744" i="13" s="1"/>
  <c r="G2602" i="13"/>
  <c r="H2602" i="13" s="1"/>
  <c r="H2584" i="13"/>
  <c r="H2664" i="13"/>
  <c r="H2683" i="13"/>
  <c r="G2682" i="13"/>
  <c r="H2734" i="13"/>
  <c r="G2732" i="13"/>
  <c r="H2732" i="13" s="1"/>
  <c r="H2743" i="13"/>
  <c r="G2742" i="13"/>
  <c r="G2752" i="13"/>
  <c r="H2752" i="13" s="1"/>
  <c r="H2753" i="13"/>
  <c r="G2762" i="13"/>
  <c r="H2763" i="13"/>
  <c r="G2722" i="13"/>
  <c r="G2652" i="13"/>
  <c r="H2652" i="13" s="1"/>
  <c r="H2643" i="13"/>
  <c r="G2642" i="13"/>
  <c r="H2437" i="13"/>
  <c r="G2432" i="13"/>
  <c r="H2432" i="13" s="1"/>
  <c r="G2382" i="13"/>
  <c r="H2383" i="13"/>
  <c r="G2772" i="13"/>
  <c r="H2772" i="13" s="1"/>
  <c r="H2713" i="13"/>
  <c r="H2703" i="13"/>
  <c r="H2697" i="13"/>
  <c r="G2692" i="13"/>
  <c r="H2692" i="13" s="1"/>
  <c r="H2597" i="13"/>
  <c r="H2503" i="13"/>
  <c r="G2502" i="13"/>
  <c r="G2372" i="13"/>
  <c r="H2372" i="13" s="1"/>
  <c r="H2373" i="13"/>
  <c r="G2362" i="13"/>
  <c r="H2583" i="13"/>
  <c r="G2582" i="13"/>
  <c r="H2393" i="13"/>
  <c r="G2392" i="13"/>
  <c r="H2392" i="13" s="1"/>
  <c r="H2553" i="13"/>
  <c r="G2552" i="13"/>
  <c r="H2552" i="13" s="1"/>
  <c r="H2423" i="13"/>
  <c r="G2422" i="13"/>
  <c r="H2517" i="13"/>
  <c r="H2473" i="13"/>
  <c r="G2472" i="13"/>
  <c r="H2472" i="13" s="1"/>
  <c r="G2612" i="13"/>
  <c r="H2612" i="13" s="1"/>
  <c r="G2562" i="13"/>
  <c r="G2532" i="13"/>
  <c r="H2532" i="13" s="1"/>
  <c r="G2482" i="13"/>
  <c r="G2452" i="13"/>
  <c r="H2452" i="13" s="1"/>
  <c r="H2173" i="13"/>
  <c r="G2172" i="13"/>
  <c r="H2172" i="13" s="1"/>
  <c r="G2102" i="13"/>
  <c r="H2104" i="13"/>
  <c r="H2666" i="13"/>
  <c r="H2638" i="13"/>
  <c r="H2634" i="13"/>
  <c r="H2627" i="13"/>
  <c r="H2625" i="13"/>
  <c r="H2623" i="13"/>
  <c r="H2593" i="13"/>
  <c r="H2586" i="13"/>
  <c r="H2558" i="13"/>
  <c r="H2554" i="13"/>
  <c r="H2547" i="13"/>
  <c r="H2545" i="13"/>
  <c r="H2513" i="13"/>
  <c r="H2506" i="13"/>
  <c r="H2478" i="13"/>
  <c r="H2474" i="13"/>
  <c r="H2467" i="13"/>
  <c r="H2465" i="13"/>
  <c r="H2433" i="13"/>
  <c r="H2426" i="13"/>
  <c r="H2363" i="13"/>
  <c r="H2313" i="13"/>
  <c r="G2312" i="13"/>
  <c r="H2312" i="13" s="1"/>
  <c r="H2153" i="13"/>
  <c r="G2152" i="13"/>
  <c r="H2152" i="13" s="1"/>
  <c r="H2604" i="13"/>
  <c r="H2574" i="13"/>
  <c r="H2524" i="13"/>
  <c r="H2494" i="13"/>
  <c r="H2444" i="13"/>
  <c r="H2414" i="13"/>
  <c r="H2347" i="13"/>
  <c r="H2113" i="13"/>
  <c r="G2112" i="13"/>
  <c r="H2112" i="13" s="1"/>
  <c r="H2344" i="13"/>
  <c r="H2633" i="13"/>
  <c r="H2626" i="13"/>
  <c r="G2352" i="13"/>
  <c r="H2352" i="13" s="1"/>
  <c r="H2353" i="13"/>
  <c r="H2283" i="13"/>
  <c r="G2282" i="13"/>
  <c r="H2346" i="13"/>
  <c r="H2233" i="13"/>
  <c r="G2232" i="13"/>
  <c r="H2232" i="13" s="1"/>
  <c r="G2192" i="13"/>
  <c r="H2192" i="13" s="1"/>
  <c r="G2322" i="13"/>
  <c r="G2272" i="13"/>
  <c r="H2272" i="13" s="1"/>
  <c r="H2303" i="13"/>
  <c r="H2273" i="13"/>
  <c r="H2193" i="13"/>
  <c r="G2082" i="13"/>
  <c r="G2022" i="13"/>
  <c r="H1843" i="13"/>
  <c r="G2252" i="13"/>
  <c r="H2252" i="13" s="1"/>
  <c r="G2132" i="13"/>
  <c r="H2132" i="13" s="1"/>
  <c r="G2062" i="13"/>
  <c r="H2043" i="13"/>
  <c r="G2042" i="13"/>
  <c r="G2002" i="13"/>
  <c r="G2052" i="13"/>
  <c r="H2052" i="13" s="1"/>
  <c r="G1962" i="13"/>
  <c r="H1963" i="13"/>
  <c r="H2244" i="13"/>
  <c r="H2214" i="13"/>
  <c r="H1983" i="13"/>
  <c r="G1982" i="13"/>
  <c r="H1753" i="13"/>
  <c r="G1752" i="13"/>
  <c r="H1752" i="13" s="1"/>
  <c r="H2093" i="13"/>
  <c r="G2092" i="13"/>
  <c r="H2092" i="13" s="1"/>
  <c r="H2013" i="13"/>
  <c r="G2012" i="13"/>
  <c r="H2012" i="13" s="1"/>
  <c r="H1737" i="13"/>
  <c r="G1932" i="13"/>
  <c r="H1932" i="13" s="1"/>
  <c r="G1872" i="13"/>
  <c r="H1872" i="13" s="1"/>
  <c r="H1826" i="13"/>
  <c r="H1751" i="13"/>
  <c r="H1746" i="13"/>
  <c r="H1717" i="13"/>
  <c r="H1617" i="13"/>
  <c r="H1830" i="13"/>
  <c r="H1750" i="13"/>
  <c r="H2073" i="13"/>
  <c r="H2023" i="13"/>
  <c r="H1993" i="13"/>
  <c r="H1957" i="13"/>
  <c r="G1922" i="13"/>
  <c r="G1902" i="13"/>
  <c r="H1903" i="13"/>
  <c r="H1833" i="13"/>
  <c r="H1745" i="13"/>
  <c r="H1573" i="13"/>
  <c r="G1572" i="13"/>
  <c r="H1572" i="13" s="1"/>
  <c r="G1942" i="13"/>
  <c r="H1758" i="13"/>
  <c r="H1754" i="13"/>
  <c r="H1757" i="13"/>
  <c r="G1972" i="13"/>
  <c r="H1972" i="13" s="1"/>
  <c r="G1912" i="13"/>
  <c r="H1912" i="13" s="1"/>
  <c r="H1825" i="13"/>
  <c r="H1823" i="13"/>
  <c r="G1732" i="13"/>
  <c r="H1732" i="13" s="1"/>
  <c r="H1464" i="13"/>
  <c r="G1462" i="13"/>
  <c r="H1838" i="13"/>
  <c r="H1827" i="13"/>
  <c r="G1792" i="13"/>
  <c r="H1792" i="13" s="1"/>
  <c r="H1793" i="13"/>
  <c r="H1747" i="13"/>
  <c r="H1714" i="13"/>
  <c r="G1712" i="13"/>
  <c r="H1712" i="13" s="1"/>
  <c r="H1583" i="13"/>
  <c r="G1322" i="13"/>
  <c r="H1323" i="13"/>
  <c r="H1773" i="13"/>
  <c r="H1633" i="13"/>
  <c r="G1632" i="13"/>
  <c r="H1632" i="13" s="1"/>
  <c r="G1342" i="13"/>
  <c r="H1344" i="13"/>
  <c r="H1654" i="13"/>
  <c r="H1477" i="13"/>
  <c r="H1473" i="13"/>
  <c r="G1472" i="13"/>
  <c r="H1472" i="13" s="1"/>
  <c r="H1763" i="13"/>
  <c r="H1674" i="13"/>
  <c r="H1650" i="13"/>
  <c r="G1612" i="13"/>
  <c r="H1612" i="13" s="1"/>
  <c r="H1834" i="13"/>
  <c r="H1653" i="13"/>
  <c r="H1643" i="13"/>
  <c r="H1557" i="13"/>
  <c r="H1553" i="13"/>
  <c r="G1552" i="13"/>
  <c r="H1552" i="13" s="1"/>
  <c r="H1503" i="13"/>
  <c r="G1502" i="13"/>
  <c r="G1442" i="13"/>
  <c r="H1443" i="13"/>
  <c r="G1704" i="13"/>
  <c r="G1592" i="13"/>
  <c r="H1592" i="13" s="1"/>
  <c r="H1498" i="13"/>
  <c r="H1487" i="13"/>
  <c r="H1434" i="13"/>
  <c r="H1423" i="13"/>
  <c r="G1402" i="13"/>
  <c r="H1377" i="13"/>
  <c r="H1277" i="13"/>
  <c r="G1542" i="13"/>
  <c r="H1533" i="13"/>
  <c r="H1524" i="13"/>
  <c r="G1512" i="13"/>
  <c r="H1512" i="13" s="1"/>
  <c r="H1505" i="13"/>
  <c r="H1454" i="13"/>
  <c r="H1430" i="13"/>
  <c r="G1332" i="13"/>
  <c r="H1332" i="13" s="1"/>
  <c r="G1302" i="13"/>
  <c r="H1303" i="13"/>
  <c r="H1273" i="13"/>
  <c r="G1272" i="13"/>
  <c r="H1272" i="13" s="1"/>
  <c r="H1526" i="13"/>
  <c r="H1494" i="13"/>
  <c r="H1484" i="13"/>
  <c r="H1425" i="13"/>
  <c r="H1413" i="13"/>
  <c r="G1412" i="13"/>
  <c r="H1412" i="13" s="1"/>
  <c r="G1372" i="13"/>
  <c r="H1372" i="13" s="1"/>
  <c r="H1363" i="13"/>
  <c r="G1362" i="13"/>
  <c r="H1427" i="13"/>
  <c r="G1312" i="13"/>
  <c r="H1312" i="13" s="1"/>
  <c r="H1314" i="13"/>
  <c r="G1212" i="13"/>
  <c r="H1212" i="13" s="1"/>
  <c r="H1213" i="13"/>
  <c r="H1534" i="13"/>
  <c r="H1493" i="13"/>
  <c r="H1424" i="13"/>
  <c r="H1293" i="13"/>
  <c r="G1292" i="13"/>
  <c r="H1292" i="13" s="1"/>
  <c r="G1072" i="13"/>
  <c r="H1072" i="13" s="1"/>
  <c r="H1073" i="13"/>
  <c r="H1063" i="13"/>
  <c r="G1062" i="13"/>
  <c r="H1033" i="13"/>
  <c r="G1032" i="13"/>
  <c r="H1032" i="13" s="1"/>
  <c r="G1422" i="13"/>
  <c r="G1392" i="13"/>
  <c r="H1392" i="13" s="1"/>
  <c r="G1352" i="13"/>
  <c r="H1352" i="13" s="1"/>
  <c r="G1022" i="13"/>
  <c r="H1023" i="13"/>
  <c r="G1162" i="13"/>
  <c r="G1242" i="13"/>
  <c r="H1157" i="13"/>
  <c r="G1152" i="13"/>
  <c r="H1152" i="13" s="1"/>
  <c r="H1153" i="13"/>
  <c r="H1384" i="13"/>
  <c r="H1237" i="13"/>
  <c r="G1232" i="13"/>
  <c r="H1232" i="13" s="1"/>
  <c r="H1233" i="13"/>
  <c r="H1193" i="13"/>
  <c r="G1192" i="13"/>
  <c r="H1192" i="13" s="1"/>
  <c r="G1182" i="13"/>
  <c r="H1183" i="13"/>
  <c r="H1143" i="13"/>
  <c r="G1142" i="13"/>
  <c r="G1262" i="13"/>
  <c r="H1263" i="13"/>
  <c r="H1223" i="13"/>
  <c r="G1222" i="13"/>
  <c r="H1133" i="13"/>
  <c r="H1113" i="13"/>
  <c r="G1112" i="13"/>
  <c r="H1112" i="13" s="1"/>
  <c r="G1102" i="13"/>
  <c r="H1103" i="13"/>
  <c r="G1082" i="13"/>
  <c r="G1252" i="13"/>
  <c r="H1252" i="13" s="1"/>
  <c r="G1172" i="13"/>
  <c r="H1172" i="13" s="1"/>
  <c r="G1122" i="13"/>
  <c r="G1092" i="13"/>
  <c r="H1092" i="13" s="1"/>
  <c r="H1077" i="13"/>
  <c r="H1391" i="11"/>
  <c r="H2356" i="11"/>
  <c r="H1975" i="11"/>
  <c r="G1446" i="11"/>
  <c r="H1446" i="11" s="1"/>
  <c r="G2289" i="11"/>
  <c r="H2289" i="11" s="1"/>
  <c r="H1885" i="11"/>
  <c r="H1932" i="11"/>
  <c r="H1840" i="11"/>
  <c r="H2294" i="11"/>
  <c r="H2252" i="11"/>
  <c r="H948" i="11"/>
  <c r="H1794" i="11"/>
  <c r="H610" i="11"/>
  <c r="G2984" i="11"/>
  <c r="H2984" i="11" s="1"/>
  <c r="H2985" i="11"/>
  <c r="H2806" i="11"/>
  <c r="H2921" i="11"/>
  <c r="H2863" i="11"/>
  <c r="G2835" i="11"/>
  <c r="H2835" i="11" s="1"/>
  <c r="H2941" i="11"/>
  <c r="H2898" i="11"/>
  <c r="H2852" i="11"/>
  <c r="G2964" i="11"/>
  <c r="H2964" i="11" s="1"/>
  <c r="H2965" i="11"/>
  <c r="H2829" i="11"/>
  <c r="H2925" i="11"/>
  <c r="G2924" i="11"/>
  <c r="H2924" i="11" s="1"/>
  <c r="H2783" i="11"/>
  <c r="H2949" i="11"/>
  <c r="H2886" i="11"/>
  <c r="H2875" i="11"/>
  <c r="H2771" i="11"/>
  <c r="H2817" i="11"/>
  <c r="H2813" i="11"/>
  <c r="G2812" i="11"/>
  <c r="H2812" i="11" s="1"/>
  <c r="H2906" i="11"/>
  <c r="H2859" i="11"/>
  <c r="G2646" i="11"/>
  <c r="H2646" i="11" s="1"/>
  <c r="H2647" i="11"/>
  <c r="G2494" i="8"/>
  <c r="H2494" i="8" s="1"/>
  <c r="H2743" i="11"/>
  <c r="H2883" i="11"/>
  <c r="H2791" i="11"/>
  <c r="G2944" i="11"/>
  <c r="H2944" i="11" s="1"/>
  <c r="H2723" i="11"/>
  <c r="H2663" i="11"/>
  <c r="G2746" i="11"/>
  <c r="H2746" i="11" s="1"/>
  <c r="H2643" i="11"/>
  <c r="H2727" i="11"/>
  <c r="G2766" i="11"/>
  <c r="H2766" i="11" s="1"/>
  <c r="G2706" i="11"/>
  <c r="H2706" i="11" s="1"/>
  <c r="G2666" i="11"/>
  <c r="H2666" i="11" s="1"/>
  <c r="H2547" i="11"/>
  <c r="H2543" i="11"/>
  <c r="H2527" i="11"/>
  <c r="G2526" i="11"/>
  <c r="H2526" i="11" s="1"/>
  <c r="H2648" i="11"/>
  <c r="H2608" i="11"/>
  <c r="G2606" i="11"/>
  <c r="H2606" i="11" s="1"/>
  <c r="H2599" i="11"/>
  <c r="H2324" i="11"/>
  <c r="H2721" i="11"/>
  <c r="H2639" i="11"/>
  <c r="H2627" i="11"/>
  <c r="G2626" i="11"/>
  <c r="H2626" i="11" s="1"/>
  <c r="H2497" i="11"/>
  <c r="H2611" i="11"/>
  <c r="G2546" i="11"/>
  <c r="H2546" i="11" s="1"/>
  <c r="H2541" i="11"/>
  <c r="H2435" i="11"/>
  <c r="G2434" i="11"/>
  <c r="H2434" i="11" s="1"/>
  <c r="H2671" i="11"/>
  <c r="H2359" i="11"/>
  <c r="H2631" i="11"/>
  <c r="H2548" i="11"/>
  <c r="H2474" i="11"/>
  <c r="H2451" i="11"/>
  <c r="H2336" i="11"/>
  <c r="H2583" i="11"/>
  <c r="H2405" i="11"/>
  <c r="H2280" i="11"/>
  <c r="G2279" i="11"/>
  <c r="H2279" i="11" s="1"/>
  <c r="H2155" i="11"/>
  <c r="H2151" i="11"/>
  <c r="G2150" i="11"/>
  <c r="H2150" i="11" s="1"/>
  <c r="H1946" i="11"/>
  <c r="H1942" i="11"/>
  <c r="G1941" i="11"/>
  <c r="H1941" i="11" s="1"/>
  <c r="H1935" i="11"/>
  <c r="H1774" i="11"/>
  <c r="H1745" i="11"/>
  <c r="G1734" i="11"/>
  <c r="H1734" i="11" s="1"/>
  <c r="H1735" i="11"/>
  <c r="H1682" i="11"/>
  <c r="H2520" i="11"/>
  <c r="H2439" i="11"/>
  <c r="H2271" i="11"/>
  <c r="H2144" i="11"/>
  <c r="H2124" i="11"/>
  <c r="H2104" i="11"/>
  <c r="H2371" i="11"/>
  <c r="H2285" i="11"/>
  <c r="H2260" i="11"/>
  <c r="G2259" i="11"/>
  <c r="H2259" i="11" s="1"/>
  <c r="H2201" i="11"/>
  <c r="H2190" i="11"/>
  <c r="H2044" i="11"/>
  <c r="H1959" i="11"/>
  <c r="G2503" i="11"/>
  <c r="H2503" i="11" s="1"/>
  <c r="G2411" i="11"/>
  <c r="H2411" i="11" s="1"/>
  <c r="H2393" i="11"/>
  <c r="G2388" i="11"/>
  <c r="H2388" i="11" s="1"/>
  <c r="H2366" i="11"/>
  <c r="H2278" i="11"/>
  <c r="H2273" i="11"/>
  <c r="G2219" i="11"/>
  <c r="H2219" i="11" s="1"/>
  <c r="H2167" i="11"/>
  <c r="H1958" i="11"/>
  <c r="H2516" i="11"/>
  <c r="H2424" i="11"/>
  <c r="H2270" i="11"/>
  <c r="G2196" i="11"/>
  <c r="H2196" i="11" s="1"/>
  <c r="H2084" i="11"/>
  <c r="G2480" i="11"/>
  <c r="H2480" i="11" s="1"/>
  <c r="G2320" i="11"/>
  <c r="H2281" i="11"/>
  <c r="G2239" i="11"/>
  <c r="H2239" i="11" s="1"/>
  <c r="H1981" i="11"/>
  <c r="H2459" i="11"/>
  <c r="G2309" i="11"/>
  <c r="H2272" i="11"/>
  <c r="H2064" i="11"/>
  <c r="H1962" i="11"/>
  <c r="H2367" i="11"/>
  <c r="H2291" i="11"/>
  <c r="H2293" i="11"/>
  <c r="H2300" i="11"/>
  <c r="G2269" i="11"/>
  <c r="H2024" i="11"/>
  <c r="H2265" i="11"/>
  <c r="H2261" i="11"/>
  <c r="H2254" i="11"/>
  <c r="G2127" i="11"/>
  <c r="H2127" i="11" s="1"/>
  <c r="G2007" i="11"/>
  <c r="H2007" i="11" s="1"/>
  <c r="H1954" i="11"/>
  <c r="H1877" i="11"/>
  <c r="H1866" i="11"/>
  <c r="H1797" i="11"/>
  <c r="H1728" i="11"/>
  <c r="H1676" i="11"/>
  <c r="G2173" i="11"/>
  <c r="H2173" i="11" s="1"/>
  <c r="H2108" i="11"/>
  <c r="H2089" i="11"/>
  <c r="H2082" i="11"/>
  <c r="H2069" i="11"/>
  <c r="H2060" i="11"/>
  <c r="G2047" i="11"/>
  <c r="H2047" i="11" s="1"/>
  <c r="H2021" i="11"/>
  <c r="G1987" i="11"/>
  <c r="H1987" i="11" s="1"/>
  <c r="H1970" i="11"/>
  <c r="H1900" i="11"/>
  <c r="H1820" i="11"/>
  <c r="H1659" i="11"/>
  <c r="H2062" i="11"/>
  <c r="H1956" i="11"/>
  <c r="H1758" i="11"/>
  <c r="G1757" i="11"/>
  <c r="H1757" i="11" s="1"/>
  <c r="H2028" i="11"/>
  <c r="H1966" i="11"/>
  <c r="H1961" i="11"/>
  <c r="H1952" i="11"/>
  <c r="H1912" i="11"/>
  <c r="H1666" i="11"/>
  <c r="G1665" i="11"/>
  <c r="H1665" i="11" s="1"/>
  <c r="H1969" i="11"/>
  <c r="H1960" i="11"/>
  <c r="H1955" i="11"/>
  <c r="H1889" i="11"/>
  <c r="H1854" i="11"/>
  <c r="H1751" i="11"/>
  <c r="H2073" i="11"/>
  <c r="G2027" i="11"/>
  <c r="H2027" i="11" s="1"/>
  <c r="H2022" i="11"/>
  <c r="H1965" i="11"/>
  <c r="G1964" i="11"/>
  <c r="H1964" i="11" s="1"/>
  <c r="G1872" i="11"/>
  <c r="H1872" i="11" s="1"/>
  <c r="G1803" i="11"/>
  <c r="H1803" i="11" s="1"/>
  <c r="H1397" i="11"/>
  <c r="G1396" i="11"/>
  <c r="H1396" i="11" s="1"/>
  <c r="H1979" i="11"/>
  <c r="H1977" i="11"/>
  <c r="H1896" i="11"/>
  <c r="H1887" i="11"/>
  <c r="H1855" i="11"/>
  <c r="H1851" i="11"/>
  <c r="H1437" i="11"/>
  <c r="G1436" i="11"/>
  <c r="H1436" i="11" s="1"/>
  <c r="G1849" i="11"/>
  <c r="H1849" i="11" s="1"/>
  <c r="G1780" i="11"/>
  <c r="H1780" i="11" s="1"/>
  <c r="G1688" i="11"/>
  <c r="H1688" i="11" s="1"/>
  <c r="H1598" i="11"/>
  <c r="H1514" i="11"/>
  <c r="H1353" i="11"/>
  <c r="H1333" i="11"/>
  <c r="H1920" i="11"/>
  <c r="H1828" i="11"/>
  <c r="H1795" i="11"/>
  <c r="H1793" i="11"/>
  <c r="H1791" i="11"/>
  <c r="H1703" i="11"/>
  <c r="H1701" i="11"/>
  <c r="H1535" i="11"/>
  <c r="H1639" i="11"/>
  <c r="H1623" i="11"/>
  <c r="G1622" i="11"/>
  <c r="H1622" i="11" s="1"/>
  <c r="H1577" i="11"/>
  <c r="H1540" i="11"/>
  <c r="G1539" i="11"/>
  <c r="H1539" i="11" s="1"/>
  <c r="H1519" i="11"/>
  <c r="G1518" i="11"/>
  <c r="H1518" i="11" s="1"/>
  <c r="H1388" i="11"/>
  <c r="G1386" i="11"/>
  <c r="H1358" i="11"/>
  <c r="G1356" i="11"/>
  <c r="H1356" i="11" s="1"/>
  <c r="H1897" i="11"/>
  <c r="H1619" i="11"/>
  <c r="H1556" i="11"/>
  <c r="G1581" i="11"/>
  <c r="H1581" i="11" s="1"/>
  <c r="G1366" i="11"/>
  <c r="H1367" i="11"/>
  <c r="H1717" i="11"/>
  <c r="G1476" i="11"/>
  <c r="H1476" i="11" s="1"/>
  <c r="H1467" i="11"/>
  <c r="G1466" i="11"/>
  <c r="H1582" i="11"/>
  <c r="H1498" i="11"/>
  <c r="G1316" i="11"/>
  <c r="H1316" i="11" s="1"/>
  <c r="H1317" i="11"/>
  <c r="G1276" i="11"/>
  <c r="H1276" i="11" s="1"/>
  <c r="H1277" i="11"/>
  <c r="H1173" i="11"/>
  <c r="G1376" i="11"/>
  <c r="H1376" i="11" s="1"/>
  <c r="G1336" i="11"/>
  <c r="H1336" i="11" s="1"/>
  <c r="G1296" i="11"/>
  <c r="H1296" i="11" s="1"/>
  <c r="H1297" i="11"/>
  <c r="H1253" i="11"/>
  <c r="H1561" i="11"/>
  <c r="H1493" i="11"/>
  <c r="H1477" i="11"/>
  <c r="G1416" i="11"/>
  <c r="H1416" i="11" s="1"/>
  <c r="G1406" i="11"/>
  <c r="H1213" i="11"/>
  <c r="H1197" i="11"/>
  <c r="G1196" i="11"/>
  <c r="H1196" i="11" s="1"/>
  <c r="H1458" i="11"/>
  <c r="G1426" i="11"/>
  <c r="H1227" i="11"/>
  <c r="H1093" i="11"/>
  <c r="H1448" i="11"/>
  <c r="G1256" i="11"/>
  <c r="H1256" i="11" s="1"/>
  <c r="H1257" i="11"/>
  <c r="H1233" i="11"/>
  <c r="H1193" i="11"/>
  <c r="H1327" i="11"/>
  <c r="G1326" i="11"/>
  <c r="H1218" i="11"/>
  <c r="H1170" i="11"/>
  <c r="H993" i="11"/>
  <c r="H908" i="11"/>
  <c r="H910" i="11"/>
  <c r="H917" i="11"/>
  <c r="H897" i="11"/>
  <c r="G896" i="11"/>
  <c r="H896" i="11" s="1"/>
  <c r="H887" i="11"/>
  <c r="G886" i="11"/>
  <c r="H781" i="11"/>
  <c r="H473" i="11"/>
  <c r="H413" i="11"/>
  <c r="G1156" i="11"/>
  <c r="H1156" i="11" s="1"/>
  <c r="H1131" i="11"/>
  <c r="H977" i="11"/>
  <c r="G976" i="11"/>
  <c r="H976" i="11" s="1"/>
  <c r="G1176" i="11"/>
  <c r="H1176" i="11" s="1"/>
  <c r="H1177" i="11"/>
  <c r="H1169" i="11"/>
  <c r="H1171" i="11"/>
  <c r="H1178" i="11"/>
  <c r="H1182" i="11"/>
  <c r="H1102" i="11"/>
  <c r="H1088" i="11"/>
  <c r="H1098" i="11"/>
  <c r="G1236" i="11"/>
  <c r="H1236" i="11" s="1"/>
  <c r="H1209" i="11"/>
  <c r="G1116" i="11"/>
  <c r="H1116" i="11" s="1"/>
  <c r="H1091" i="11"/>
  <c r="H1087" i="11"/>
  <c r="G1086" i="11"/>
  <c r="H1057" i="11"/>
  <c r="G1056" i="11"/>
  <c r="H1056" i="11" s="1"/>
  <c r="H1013" i="11"/>
  <c r="H1153" i="11"/>
  <c r="H1133" i="11"/>
  <c r="H1129" i="11"/>
  <c r="H1101" i="11"/>
  <c r="G1096" i="11"/>
  <c r="H1096" i="11" s="1"/>
  <c r="H1097" i="11"/>
  <c r="H1077" i="11"/>
  <c r="G1076" i="11"/>
  <c r="H1076" i="11" s="1"/>
  <c r="H1181" i="11"/>
  <c r="G1216" i="11"/>
  <c r="H1216" i="11" s="1"/>
  <c r="H1113" i="11"/>
  <c r="G1036" i="11"/>
  <c r="H1036" i="11" s="1"/>
  <c r="H1017" i="11"/>
  <c r="G1016" i="11"/>
  <c r="H1016" i="11" s="1"/>
  <c r="H773" i="11"/>
  <c r="G936" i="11"/>
  <c r="H936" i="11" s="1"/>
  <c r="H922" i="11"/>
  <c r="G866" i="11"/>
  <c r="H998" i="11"/>
  <c r="H918" i="11"/>
  <c r="H913" i="11"/>
  <c r="H909" i="11"/>
  <c r="H831" i="11"/>
  <c r="H817" i="11"/>
  <c r="G816" i="11"/>
  <c r="H816" i="11" s="1"/>
  <c r="H797" i="11"/>
  <c r="G796" i="11"/>
  <c r="H796" i="11" s="1"/>
  <c r="H791" i="11"/>
  <c r="H801" i="11"/>
  <c r="G756" i="11"/>
  <c r="H756" i="11" s="1"/>
  <c r="H757" i="11"/>
  <c r="H1021" i="11"/>
  <c r="H853" i="11"/>
  <c r="H790" i="11"/>
  <c r="H921" i="11"/>
  <c r="G916" i="11"/>
  <c r="H916" i="11" s="1"/>
  <c r="H877" i="11"/>
  <c r="G876" i="11"/>
  <c r="H876" i="11" s="1"/>
  <c r="H911" i="11"/>
  <c r="H893" i="11"/>
  <c r="H828" i="11"/>
  <c r="H830" i="11"/>
  <c r="H837" i="11"/>
  <c r="H802" i="11"/>
  <c r="H789" i="11"/>
  <c r="H847" i="11"/>
  <c r="G846" i="11"/>
  <c r="H838" i="11"/>
  <c r="H793" i="11"/>
  <c r="G596" i="11"/>
  <c r="H596" i="11" s="1"/>
  <c r="H597" i="11"/>
  <c r="H833" i="11"/>
  <c r="H829" i="11"/>
  <c r="H813" i="11"/>
  <c r="H798" i="11"/>
  <c r="G516" i="11"/>
  <c r="H516" i="11" s="1"/>
  <c r="H517" i="11"/>
  <c r="G776" i="11"/>
  <c r="H776" i="11" s="1"/>
  <c r="H777" i="11"/>
  <c r="H573" i="11"/>
  <c r="H673" i="11"/>
  <c r="H553" i="11"/>
  <c r="H950" i="11"/>
  <c r="H657" i="11"/>
  <c r="G656" i="11"/>
  <c r="H656" i="11" s="1"/>
  <c r="H633" i="11"/>
  <c r="H593" i="11"/>
  <c r="G576" i="11"/>
  <c r="H576" i="11" s="1"/>
  <c r="H513" i="11"/>
  <c r="H753" i="11"/>
  <c r="H713" i="11"/>
  <c r="H537" i="11"/>
  <c r="G536" i="11"/>
  <c r="H536" i="11" s="1"/>
  <c r="H737" i="11"/>
  <c r="G736" i="11"/>
  <c r="H736" i="11" s="1"/>
  <c r="H561" i="11"/>
  <c r="G716" i="11"/>
  <c r="H716" i="11" s="1"/>
  <c r="G636" i="11"/>
  <c r="H636" i="11" s="1"/>
  <c r="H453" i="11"/>
  <c r="G356" i="11"/>
  <c r="H356" i="11" s="1"/>
  <c r="H357" i="11"/>
  <c r="H293" i="11"/>
  <c r="G292" i="11"/>
  <c r="H292" i="11" s="1"/>
  <c r="H697" i="11"/>
  <c r="H617" i="11"/>
  <c r="H533" i="11"/>
  <c r="H401" i="11"/>
  <c r="H397" i="11"/>
  <c r="G396" i="11"/>
  <c r="H396" i="11" s="1"/>
  <c r="H301" i="11"/>
  <c r="H477" i="11"/>
  <c r="G476" i="11"/>
  <c r="H476" i="11" s="1"/>
  <c r="G436" i="11"/>
  <c r="H436" i="11" s="1"/>
  <c r="H437" i="11"/>
  <c r="G416" i="11"/>
  <c r="H416" i="11" s="1"/>
  <c r="H377" i="11"/>
  <c r="G376" i="11"/>
  <c r="H376" i="11" s="1"/>
  <c r="H297" i="11"/>
  <c r="G296" i="11"/>
  <c r="H296" i="11" s="1"/>
  <c r="G286" i="11"/>
  <c r="H287" i="11"/>
  <c r="H678" i="11"/>
  <c r="H557" i="11"/>
  <c r="H551" i="11"/>
  <c r="H493" i="11"/>
  <c r="H457" i="11"/>
  <c r="G456" i="11"/>
  <c r="H456" i="11" s="1"/>
  <c r="H317" i="11"/>
  <c r="G316" i="11"/>
  <c r="H316" i="11" s="1"/>
  <c r="H333" i="11"/>
  <c r="H373" i="11"/>
  <c r="H433" i="11"/>
  <c r="H417" i="11"/>
  <c r="H353" i="11"/>
  <c r="H337" i="11"/>
  <c r="H461" i="11"/>
  <c r="G2595" i="8"/>
  <c r="H2595" i="8" s="1"/>
  <c r="H1490" i="8"/>
  <c r="H1550" i="8"/>
  <c r="G2294" i="8"/>
  <c r="H2294" i="8" s="1"/>
  <c r="H2296" i="8"/>
  <c r="G2074" i="8"/>
  <c r="H2074" i="8" s="1"/>
  <c r="H2076" i="8"/>
  <c r="H2235" i="8"/>
  <c r="G2234" i="8"/>
  <c r="H2234" i="8" s="1"/>
  <c r="H1169" i="8"/>
  <c r="G2655" i="8"/>
  <c r="H2655" i="8" s="1"/>
  <c r="G2032" i="8"/>
  <c r="H2032" i="8" s="1"/>
  <c r="H1772" i="8"/>
  <c r="H1109" i="8"/>
  <c r="H2158" i="8"/>
  <c r="H1653" i="8"/>
  <c r="H1570" i="8"/>
  <c r="G1108" i="8"/>
  <c r="H1108" i="8" s="1"/>
  <c r="H1110" i="8"/>
  <c r="G1878" i="8"/>
  <c r="H1878" i="8" s="1"/>
  <c r="G1848" i="8"/>
  <c r="H1848" i="8" s="1"/>
  <c r="H1849" i="8"/>
  <c r="G1238" i="8"/>
  <c r="H1238" i="8" s="1"/>
  <c r="H1240" i="8"/>
  <c r="H1877" i="8"/>
  <c r="H1771" i="8"/>
  <c r="H1733" i="8"/>
  <c r="H1519" i="8"/>
  <c r="G1518" i="8"/>
  <c r="H1518" i="8" s="1"/>
  <c r="H1363" i="8"/>
  <c r="H1060" i="8"/>
  <c r="H1852" i="8"/>
  <c r="H1753" i="8"/>
  <c r="H1750" i="8"/>
  <c r="G1728" i="8"/>
  <c r="H1728" i="8" s="1"/>
  <c r="H1583" i="8"/>
  <c r="H1571" i="8"/>
  <c r="H1584" i="8"/>
  <c r="H1770" i="8"/>
  <c r="H1764" i="8"/>
  <c r="H1732" i="8"/>
  <c r="H1717" i="8"/>
  <c r="H1351" i="8"/>
  <c r="H1215" i="8"/>
  <c r="H1189" i="8"/>
  <c r="G1188" i="8"/>
  <c r="H1188" i="8" s="1"/>
  <c r="H2686" i="8"/>
  <c r="G2685" i="8"/>
  <c r="H2685" i="8" s="1"/>
  <c r="H2445" i="8"/>
  <c r="G2444" i="8"/>
  <c r="H2444" i="8" s="1"/>
  <c r="H1780" i="8"/>
  <c r="H1773" i="8"/>
  <c r="H1683" i="8"/>
  <c r="H1670" i="8"/>
  <c r="G1228" i="8"/>
  <c r="H1228" i="8" s="1"/>
  <c r="H1230" i="8"/>
  <c r="H2730" i="8"/>
  <c r="H1830" i="8"/>
  <c r="H1769" i="8"/>
  <c r="H1199" i="8"/>
  <c r="G1198" i="8"/>
  <c r="H1198" i="8" s="1"/>
  <c r="H1572" i="8"/>
  <c r="H1784" i="8"/>
  <c r="G1128" i="8"/>
  <c r="H1128" i="8" s="1"/>
  <c r="H2796" i="8"/>
  <c r="G2795" i="8"/>
  <c r="H2542" i="8"/>
  <c r="H2526" i="8"/>
  <c r="G2525" i="8"/>
  <c r="H2525" i="8" s="1"/>
  <c r="H1504" i="8"/>
  <c r="H1364" i="8"/>
  <c r="H1360" i="8"/>
  <c r="H1104" i="8"/>
  <c r="H1091" i="8"/>
  <c r="H1053" i="8"/>
  <c r="H1050" i="8"/>
  <c r="G2675" i="8"/>
  <c r="H2676" i="8"/>
  <c r="H2577" i="8"/>
  <c r="G2575" i="8"/>
  <c r="H2461" i="8"/>
  <c r="G1428" i="8"/>
  <c r="H1428" i="8" s="1"/>
  <c r="H1260" i="8"/>
  <c r="H1255" i="8"/>
  <c r="H1179" i="8"/>
  <c r="H1133" i="8"/>
  <c r="H1130" i="8"/>
  <c r="G1118" i="8"/>
  <c r="H1118" i="8" s="1"/>
  <c r="H1113" i="8"/>
  <c r="H1111" i="8"/>
  <c r="H1100" i="8"/>
  <c r="G1038" i="8"/>
  <c r="H1038" i="8" s="1"/>
  <c r="H1040" i="8"/>
  <c r="G2825" i="8"/>
  <c r="H2825" i="8" s="1"/>
  <c r="H2826" i="8"/>
  <c r="H2818" i="8"/>
  <c r="G2505" i="8"/>
  <c r="H2505" i="8" s="1"/>
  <c r="H2507" i="8"/>
  <c r="H1672" i="8"/>
  <c r="H1650" i="8"/>
  <c r="H1564" i="8"/>
  <c r="H1553" i="8"/>
  <c r="H1432" i="8"/>
  <c r="H1353" i="8"/>
  <c r="H1350" i="8"/>
  <c r="H1344" i="8"/>
  <c r="H1333" i="8"/>
  <c r="G1318" i="8"/>
  <c r="H1318" i="8" s="1"/>
  <c r="H1253" i="8"/>
  <c r="H1231" i="8"/>
  <c r="H1172" i="8"/>
  <c r="H1090" i="8"/>
  <c r="H1059" i="8"/>
  <c r="G1028" i="8"/>
  <c r="H1028" i="8" s="1"/>
  <c r="H983" i="8"/>
  <c r="H972" i="8"/>
  <c r="H969" i="8"/>
  <c r="H2716" i="8"/>
  <c r="G2715" i="8"/>
  <c r="H1744" i="8"/>
  <c r="H1636" i="8"/>
  <c r="H1544" i="8"/>
  <c r="H1540" i="8"/>
  <c r="G1498" i="8"/>
  <c r="H1498" i="8" s="1"/>
  <c r="H1437" i="8"/>
  <c r="H1390" i="8"/>
  <c r="H1372" i="8"/>
  <c r="H1292" i="8"/>
  <c r="H1289" i="8"/>
  <c r="H1132" i="8"/>
  <c r="H1103" i="8"/>
  <c r="H1052" i="8"/>
  <c r="G948" i="8"/>
  <c r="H948" i="8" s="1"/>
  <c r="H2831" i="8"/>
  <c r="H2817" i="8"/>
  <c r="G2635" i="8"/>
  <c r="H1783" i="8"/>
  <c r="H1752" i="8"/>
  <c r="H1649" i="8"/>
  <c r="H1573" i="8"/>
  <c r="H1533" i="8"/>
  <c r="H1410" i="8"/>
  <c r="G1358" i="8"/>
  <c r="H1358" i="8" s="1"/>
  <c r="H1273" i="8"/>
  <c r="H1259" i="8"/>
  <c r="G968" i="8"/>
  <c r="H968" i="8" s="1"/>
  <c r="G958" i="8"/>
  <c r="H958" i="8" s="1"/>
  <c r="H2746" i="8"/>
  <c r="G2745" i="8"/>
  <c r="H2745" i="8" s="1"/>
  <c r="G2735" i="8"/>
  <c r="H2736" i="8"/>
  <c r="H1803" i="8"/>
  <c r="H1792" i="8"/>
  <c r="H1703" i="8"/>
  <c r="H1652" i="8"/>
  <c r="H1630" i="8"/>
  <c r="H1580" i="8"/>
  <c r="H1563" i="8"/>
  <c r="H1530" i="8"/>
  <c r="H1492" i="8"/>
  <c r="H1392" i="8"/>
  <c r="H1352" i="8"/>
  <c r="H1343" i="8"/>
  <c r="H1057" i="8"/>
  <c r="H2820" i="8"/>
  <c r="H2816" i="8"/>
  <c r="G2815" i="8"/>
  <c r="G2805" i="8"/>
  <c r="H2805" i="8" s="1"/>
  <c r="G2775" i="8"/>
  <c r="H2682" i="8"/>
  <c r="H2662" i="8"/>
  <c r="G2615" i="8"/>
  <c r="G2555" i="8"/>
  <c r="G2434" i="8"/>
  <c r="H2435" i="8"/>
  <c r="G2414" i="8"/>
  <c r="H2415" i="8"/>
  <c r="H2401" i="8"/>
  <c r="H2285" i="8"/>
  <c r="G2284" i="8"/>
  <c r="H2284" i="8" s="1"/>
  <c r="G2755" i="8"/>
  <c r="G2695" i="8"/>
  <c r="H2381" i="8"/>
  <c r="H1093" i="8"/>
  <c r="H1013" i="8"/>
  <c r="H2627" i="8"/>
  <c r="H2586" i="8"/>
  <c r="G2585" i="8"/>
  <c r="H2585" i="8" s="1"/>
  <c r="H2540" i="8"/>
  <c r="H2537" i="8"/>
  <c r="G2515" i="8"/>
  <c r="H2496" i="8"/>
  <c r="H2196" i="8"/>
  <c r="G2194" i="8"/>
  <c r="H2547" i="8"/>
  <c r="H2421" i="8"/>
  <c r="H2221" i="8"/>
  <c r="G2204" i="8"/>
  <c r="H2204" i="8" s="1"/>
  <c r="H2205" i="8"/>
  <c r="H997" i="8"/>
  <c r="H2767" i="8"/>
  <c r="H2707" i="8"/>
  <c r="H2606" i="8"/>
  <c r="H2550" i="8"/>
  <c r="H2539" i="8"/>
  <c r="G2474" i="8"/>
  <c r="G2394" i="8"/>
  <c r="H2396" i="8"/>
  <c r="H2501" i="8"/>
  <c r="H2481" i="8"/>
  <c r="H2455" i="8"/>
  <c r="G2454" i="8"/>
  <c r="H2626" i="8"/>
  <c r="G2545" i="8"/>
  <c r="H2545" i="8" s="1"/>
  <c r="H2536" i="8"/>
  <c r="G2535" i="8"/>
  <c r="G2324" i="8"/>
  <c r="H2324" i="8" s="1"/>
  <c r="H2315" i="8"/>
  <c r="G2314" i="8"/>
  <c r="H2270" i="8"/>
  <c r="G2184" i="8"/>
  <c r="H2184" i="8" s="1"/>
  <c r="H2185" i="8"/>
  <c r="H2106" i="8"/>
  <c r="G2104" i="8"/>
  <c r="H2104" i="8" s="1"/>
  <c r="G2424" i="8"/>
  <c r="H2424" i="8" s="1"/>
  <c r="G2374" i="8"/>
  <c r="G2274" i="8"/>
  <c r="H2275" i="8"/>
  <c r="H2266" i="8"/>
  <c r="G2144" i="8"/>
  <c r="H2144" i="8" s="1"/>
  <c r="H2145" i="8"/>
  <c r="G2334" i="8"/>
  <c r="H2335" i="8"/>
  <c r="H2269" i="8"/>
  <c r="H2259" i="8"/>
  <c r="H2255" i="8"/>
  <c r="G2254" i="8"/>
  <c r="G2174" i="8"/>
  <c r="H2129" i="8"/>
  <c r="H1903" i="8"/>
  <c r="H2355" i="8"/>
  <c r="G2354" i="8"/>
  <c r="G2264" i="8"/>
  <c r="H2264" i="8" s="1"/>
  <c r="H2265" i="8"/>
  <c r="H2245" i="8"/>
  <c r="G2244" i="8"/>
  <c r="H2244" i="8" s="1"/>
  <c r="H2225" i="8"/>
  <c r="G2224" i="8"/>
  <c r="H2224" i="8" s="1"/>
  <c r="H2101" i="8"/>
  <c r="G2404" i="8"/>
  <c r="H2404" i="8" s="1"/>
  <c r="H2181" i="8"/>
  <c r="H2365" i="8"/>
  <c r="H2201" i="8"/>
  <c r="H2125" i="8"/>
  <c r="G2124" i="8"/>
  <c r="H2124" i="8" s="1"/>
  <c r="H2345" i="8"/>
  <c r="G2344" i="8"/>
  <c r="H2344" i="8" s="1"/>
  <c r="G2214" i="8"/>
  <c r="H2215" i="8"/>
  <c r="G2134" i="8"/>
  <c r="G2154" i="8"/>
  <c r="H2018" i="8"/>
  <c r="G1968" i="8"/>
  <c r="H1969" i="8"/>
  <c r="G1898" i="8"/>
  <c r="H1898" i="8" s="1"/>
  <c r="H1899" i="8"/>
  <c r="H2175" i="8"/>
  <c r="G2053" i="8"/>
  <c r="H2054" i="8"/>
  <c r="H2023" i="8"/>
  <c r="G2022" i="8"/>
  <c r="H2022" i="8" s="1"/>
  <c r="H1997" i="8"/>
  <c r="H1889" i="8"/>
  <c r="G1888" i="8"/>
  <c r="H2169" i="8"/>
  <c r="G2114" i="8"/>
  <c r="H2039" i="8"/>
  <c r="H1963" i="8"/>
  <c r="H2166" i="8"/>
  <c r="H2156" i="8"/>
  <c r="H2048" i="8"/>
  <c r="H1981" i="8"/>
  <c r="G1980" i="8"/>
  <c r="H1980" i="8" s="1"/>
  <c r="G1938" i="8"/>
  <c r="H1938" i="8" s="1"/>
  <c r="H1940" i="8"/>
  <c r="H1935" i="8"/>
  <c r="G2064" i="8"/>
  <c r="H2064" i="8" s="1"/>
  <c r="H2065" i="8"/>
  <c r="H2060" i="8"/>
  <c r="H1975" i="8"/>
  <c r="G1958" i="8"/>
  <c r="H1958" i="8" s="1"/>
  <c r="G1908" i="8"/>
  <c r="H1891" i="8"/>
  <c r="H2095" i="8"/>
  <c r="G2094" i="8"/>
  <c r="H2012" i="8"/>
  <c r="G2011" i="8"/>
  <c r="H1949" i="8"/>
  <c r="G1948" i="8"/>
  <c r="G1928" i="8"/>
  <c r="G2001" i="8"/>
  <c r="H2001" i="8" s="1"/>
  <c r="G1990" i="8"/>
  <c r="H1795" i="8"/>
  <c r="G1838" i="8"/>
  <c r="H1838" i="8" s="1"/>
  <c r="H1839" i="8"/>
  <c r="G1778" i="8"/>
  <c r="H1778" i="8" s="1"/>
  <c r="H1819" i="8"/>
  <c r="G1818" i="8"/>
  <c r="H1818" i="8" s="1"/>
  <c r="H1799" i="8"/>
  <c r="G1798" i="8"/>
  <c r="H1798" i="8" s="1"/>
  <c r="G1788" i="8"/>
  <c r="H1720" i="8"/>
  <c r="G1718" i="8"/>
  <c r="H1718" i="8" s="1"/>
  <c r="H1859" i="8"/>
  <c r="G1858" i="8"/>
  <c r="H1858" i="8" s="1"/>
  <c r="H1743" i="8"/>
  <c r="H1755" i="8"/>
  <c r="G1868" i="8"/>
  <c r="H1763" i="8"/>
  <c r="H1879" i="8"/>
  <c r="G1808" i="8"/>
  <c r="H1789" i="8"/>
  <c r="H1699" i="8"/>
  <c r="H1693" i="8"/>
  <c r="H1689" i="8"/>
  <c r="G1688" i="8"/>
  <c r="G1638" i="8"/>
  <c r="H1638" i="8" s="1"/>
  <c r="H1639" i="8"/>
  <c r="H1595" i="8"/>
  <c r="G1588" i="8"/>
  <c r="H1589" i="8"/>
  <c r="H1579" i="8"/>
  <c r="H1724" i="8"/>
  <c r="H1711" i="8"/>
  <c r="H1659" i="8"/>
  <c r="G1658" i="8"/>
  <c r="H1658" i="8" s="1"/>
  <c r="G1768" i="8"/>
  <c r="H1749" i="8"/>
  <c r="H1615" i="8"/>
  <c r="H1569" i="8"/>
  <c r="G1568" i="8"/>
  <c r="H1399" i="8"/>
  <c r="G1398" i="8"/>
  <c r="H1398" i="8" s="1"/>
  <c r="H1479" i="8"/>
  <c r="H1477" i="8"/>
  <c r="G1828" i="8"/>
  <c r="H1751" i="8"/>
  <c r="H1710" i="8"/>
  <c r="H1697" i="8"/>
  <c r="H1713" i="8"/>
  <c r="H1704" i="8"/>
  <c r="H1691" i="8"/>
  <c r="H1619" i="8"/>
  <c r="G1618" i="8"/>
  <c r="H1618" i="8" s="1"/>
  <c r="G1598" i="8"/>
  <c r="H1598" i="8" s="1"/>
  <c r="G1208" i="8"/>
  <c r="H1209" i="8"/>
  <c r="H1760" i="8"/>
  <c r="G1458" i="8"/>
  <c r="H1458" i="8" s="1"/>
  <c r="H1459" i="8"/>
  <c r="G1738" i="8"/>
  <c r="H1738" i="8" s="1"/>
  <c r="H1723" i="8"/>
  <c r="G1678" i="8"/>
  <c r="H1678" i="8" s="1"/>
  <c r="H1679" i="8"/>
  <c r="G1668" i="8"/>
  <c r="G1648" i="8"/>
  <c r="H1283" i="8"/>
  <c r="G1558" i="8"/>
  <c r="H1558" i="8" s="1"/>
  <c r="H1560" i="8"/>
  <c r="G1748" i="8"/>
  <c r="H1712" i="8"/>
  <c r="G1708" i="8"/>
  <c r="H1709" i="8"/>
  <c r="H1700" i="8"/>
  <c r="H1690" i="8"/>
  <c r="H1729" i="8"/>
  <c r="H1719" i="8"/>
  <c r="G1548" i="8"/>
  <c r="H1549" i="8"/>
  <c r="H1483" i="8"/>
  <c r="G1698" i="8"/>
  <c r="H1698" i="8" s="1"/>
  <c r="G1608" i="8"/>
  <c r="H1480" i="8"/>
  <c r="G1478" i="8"/>
  <c r="H1478" i="8" s="1"/>
  <c r="H1472" i="8"/>
  <c r="G1418" i="8"/>
  <c r="H1418" i="8" s="1"/>
  <c r="H1419" i="8"/>
  <c r="H1331" i="8"/>
  <c r="G1268" i="8"/>
  <c r="H1249" i="8"/>
  <c r="G1248" i="8"/>
  <c r="H1539" i="8"/>
  <c r="H1471" i="8"/>
  <c r="G1308" i="8"/>
  <c r="H1309" i="8"/>
  <c r="G1288" i="8"/>
  <c r="H1291" i="8"/>
  <c r="H1224" i="8"/>
  <c r="H919" i="8"/>
  <c r="G918" i="8"/>
  <c r="H918" i="8" s="1"/>
  <c r="G1628" i="8"/>
  <c r="G1528" i="8"/>
  <c r="H1470" i="8"/>
  <c r="H1223" i="8"/>
  <c r="H1212" i="8"/>
  <c r="H1220" i="8"/>
  <c r="G1448" i="8"/>
  <c r="G1408" i="8"/>
  <c r="G1378" i="8"/>
  <c r="H1378" i="8" s="1"/>
  <c r="G1368" i="8"/>
  <c r="H1369" i="8"/>
  <c r="H1329" i="8"/>
  <c r="G1328" i="8"/>
  <c r="H1315" i="8"/>
  <c r="H1319" i="8"/>
  <c r="H1310" i="8"/>
  <c r="H1312" i="8"/>
  <c r="H1320" i="8"/>
  <c r="G938" i="8"/>
  <c r="H938" i="8" s="1"/>
  <c r="H939" i="8"/>
  <c r="G1508" i="8"/>
  <c r="G1488" i="8"/>
  <c r="H1484" i="8"/>
  <c r="H1473" i="8"/>
  <c r="H1469" i="8"/>
  <c r="G1468" i="8"/>
  <c r="H1313" i="8"/>
  <c r="G1258" i="8"/>
  <c r="H1258" i="8" s="1"/>
  <c r="H1219" i="8"/>
  <c r="G1388" i="8"/>
  <c r="H1330" i="8"/>
  <c r="H1332" i="8"/>
  <c r="G1298" i="8"/>
  <c r="H1298" i="8" s="1"/>
  <c r="H1299" i="8"/>
  <c r="H1213" i="8"/>
  <c r="H1210" i="8"/>
  <c r="H1069" i="8"/>
  <c r="G1068" i="8"/>
  <c r="H1089" i="8"/>
  <c r="G1088" i="8"/>
  <c r="H929" i="8"/>
  <c r="G928" i="8"/>
  <c r="G1438" i="8"/>
  <c r="H1438" i="8" s="1"/>
  <c r="G1348" i="8"/>
  <c r="G1338" i="8"/>
  <c r="H1338" i="8" s="1"/>
  <c r="H1284" i="8"/>
  <c r="H1280" i="8"/>
  <c r="G1278" i="8"/>
  <c r="H1278" i="8" s="1"/>
  <c r="H1270" i="8"/>
  <c r="H1149" i="8"/>
  <c r="G1148" i="8"/>
  <c r="H1079" i="8"/>
  <c r="G1078" i="8"/>
  <c r="H1078" i="8" s="1"/>
  <c r="G1008" i="8"/>
  <c r="H1009" i="8"/>
  <c r="H995" i="8"/>
  <c r="H991" i="8"/>
  <c r="H909" i="8"/>
  <c r="G908" i="8"/>
  <c r="H1277" i="8"/>
  <c r="H1272" i="8"/>
  <c r="G1168" i="8"/>
  <c r="G1138" i="8"/>
  <c r="H1138" i="8" s="1"/>
  <c r="H1139" i="8"/>
  <c r="H1003" i="8"/>
  <c r="H999" i="8"/>
  <c r="G998" i="8"/>
  <c r="H998" i="8" s="1"/>
  <c r="H975" i="8"/>
  <c r="H1430" i="8"/>
  <c r="H1095" i="8"/>
  <c r="G1058" i="8"/>
  <c r="H1058" i="8" s="1"/>
  <c r="G1048" i="8"/>
  <c r="H1049" i="8"/>
  <c r="H993" i="8"/>
  <c r="H989" i="8"/>
  <c r="G988" i="8"/>
  <c r="G1178" i="8"/>
  <c r="H1178" i="8" s="1"/>
  <c r="H1159" i="8"/>
  <c r="G1158" i="8"/>
  <c r="H1158" i="8" s="1"/>
  <c r="G1098" i="8"/>
  <c r="H1098" i="8" s="1"/>
  <c r="H1099" i="8"/>
  <c r="H1075" i="8"/>
  <c r="H1019" i="8"/>
  <c r="G1018" i="8"/>
  <c r="H1018" i="8" s="1"/>
  <c r="G978" i="8"/>
  <c r="H978" i="8" s="1"/>
  <c r="H979" i="8"/>
  <c r="E1402" i="30"/>
  <c r="G1402" i="30" s="1"/>
  <c r="C1402" i="30"/>
  <c r="E1401" i="30"/>
  <c r="G1401" i="30" s="1"/>
  <c r="C1401" i="30"/>
  <c r="C1400" i="30"/>
  <c r="E1398" i="30"/>
  <c r="G1398" i="30" s="1"/>
  <c r="C1398" i="30"/>
  <c r="E1397" i="30"/>
  <c r="G1397" i="30" s="1"/>
  <c r="C1397" i="30"/>
  <c r="C1395" i="30"/>
  <c r="E1395" i="30" s="1"/>
  <c r="G1395" i="30" s="1"/>
  <c r="C1394" i="30"/>
  <c r="E1394" i="30" s="1"/>
  <c r="G1394" i="30" s="1"/>
  <c r="C1393" i="30"/>
  <c r="E1391" i="30"/>
  <c r="G1391" i="30" s="1"/>
  <c r="C1391" i="30"/>
  <c r="E1390" i="30"/>
  <c r="G1390" i="30" s="1"/>
  <c r="C1390" i="30"/>
  <c r="E1389" i="30"/>
  <c r="G1389" i="30" s="1"/>
  <c r="C1389" i="30"/>
  <c r="E1388" i="30"/>
  <c r="G1388" i="30" s="1"/>
  <c r="C1388" i="30"/>
  <c r="E1387" i="30"/>
  <c r="G1387" i="30" s="1"/>
  <c r="C1387" i="30"/>
  <c r="E1384" i="30"/>
  <c r="C1384" i="30"/>
  <c r="B1384" i="30"/>
  <c r="G64" i="36" l="1"/>
  <c r="H66" i="36"/>
  <c r="H64" i="36" s="1"/>
  <c r="G2460" i="16"/>
  <c r="H2460" i="16" s="1"/>
  <c r="G1842" i="13"/>
  <c r="H1842" i="13" s="1"/>
  <c r="H2110" i="26"/>
  <c r="H1710" i="26"/>
  <c r="H1690" i="26"/>
  <c r="G1782" i="13"/>
  <c r="H1782" i="13" s="1"/>
  <c r="G1822" i="13"/>
  <c r="H1822" i="13" s="1"/>
  <c r="H1564" i="13"/>
  <c r="G2660" i="16"/>
  <c r="H2660" i="16" s="1"/>
  <c r="G1802" i="13"/>
  <c r="H1802" i="13" s="1"/>
  <c r="G2402" i="13"/>
  <c r="H2402" i="13" s="1"/>
  <c r="G1622" i="13"/>
  <c r="H1622" i="13" s="1"/>
  <c r="H1764" i="13"/>
  <c r="H1884" i="13"/>
  <c r="G26" i="24"/>
  <c r="H26" i="24" s="1"/>
  <c r="G1642" i="13"/>
  <c r="H1642" i="13" s="1"/>
  <c r="G1662" i="13"/>
  <c r="H1662" i="13" s="1"/>
  <c r="H707" i="33"/>
  <c r="H1206" i="33"/>
  <c r="H1046" i="33"/>
  <c r="H1226" i="33"/>
  <c r="H1086" i="33"/>
  <c r="H1246" i="33"/>
  <c r="H1166" i="33"/>
  <c r="H1186" i="33"/>
  <c r="H1184" i="33" s="1"/>
  <c r="G1184" i="33"/>
  <c r="E1270" i="1" s="1"/>
  <c r="H366" i="33"/>
  <c r="H326" i="33"/>
  <c r="H706" i="33"/>
  <c r="H986" i="33"/>
  <c r="H266" i="33"/>
  <c r="H946" i="33"/>
  <c r="H346" i="33"/>
  <c r="H666" i="33"/>
  <c r="H906" i="33"/>
  <c r="H306" i="33"/>
  <c r="H286" i="33"/>
  <c r="H406" i="33"/>
  <c r="H626" i="33"/>
  <c r="H966" i="33"/>
  <c r="H386" i="33"/>
  <c r="H646" i="33"/>
  <c r="H926" i="33"/>
  <c r="H1846" i="30"/>
  <c r="H1969" i="30"/>
  <c r="H2129" i="30"/>
  <c r="H2149" i="30"/>
  <c r="H1786" i="30"/>
  <c r="H2029" i="30"/>
  <c r="H1686" i="30"/>
  <c r="H2089" i="30"/>
  <c r="H1646" i="30"/>
  <c r="H1626" i="30"/>
  <c r="H1948" i="30"/>
  <c r="H1927" i="30"/>
  <c r="H1666" i="30"/>
  <c r="H1906" i="30"/>
  <c r="H1706" i="30"/>
  <c r="H2009" i="30"/>
  <c r="H1766" i="30"/>
  <c r="H1826" i="30"/>
  <c r="H1806" i="30"/>
  <c r="H1989" i="30"/>
  <c r="H2069" i="30"/>
  <c r="H1746" i="30"/>
  <c r="H1726" i="30"/>
  <c r="H1866" i="30"/>
  <c r="H2109" i="30"/>
  <c r="H2169" i="30"/>
  <c r="G1937" i="16"/>
  <c r="H1937" i="16" s="1"/>
  <c r="H2857" i="26"/>
  <c r="H2817" i="26"/>
  <c r="H2877" i="26"/>
  <c r="H2717" i="26"/>
  <c r="H2837" i="26"/>
  <c r="H2307" i="26"/>
  <c r="H2657" i="26"/>
  <c r="H1979" i="26"/>
  <c r="H2079" i="26"/>
  <c r="H2211" i="26"/>
  <c r="G2210" i="26"/>
  <c r="H2210" i="26" s="1"/>
  <c r="H2099" i="26"/>
  <c r="H1839" i="26"/>
  <c r="H2199" i="26"/>
  <c r="G1749" i="26"/>
  <c r="H1749" i="26" s="1"/>
  <c r="H2139" i="26"/>
  <c r="H2417" i="26"/>
  <c r="H2483" i="26"/>
  <c r="H2549" i="26"/>
  <c r="H2119" i="26"/>
  <c r="H1899" i="26"/>
  <c r="H2220" i="26"/>
  <c r="H2351" i="26"/>
  <c r="H2263" i="26"/>
  <c r="H2571" i="26"/>
  <c r="H2439" i="26"/>
  <c r="H2615" i="26"/>
  <c r="H2593" i="26"/>
  <c r="H1879" i="26"/>
  <c r="G1897" i="16"/>
  <c r="H1897" i="16" s="1"/>
  <c r="H2059" i="26"/>
  <c r="H2159" i="26"/>
  <c r="H2179" i="26"/>
  <c r="H1859" i="26"/>
  <c r="H2395" i="26"/>
  <c r="H2527" i="26"/>
  <c r="H1679" i="26"/>
  <c r="H1739" i="26"/>
  <c r="H1699" i="26"/>
  <c r="H1659" i="26"/>
  <c r="H1759" i="26"/>
  <c r="H1819" i="26"/>
  <c r="H1719" i="26"/>
  <c r="H1639" i="26"/>
  <c r="H1799" i="26"/>
  <c r="H1779" i="26"/>
  <c r="G1162" i="24"/>
  <c r="E830" i="1" s="1"/>
  <c r="H1164" i="24"/>
  <c r="H1162" i="24" s="1"/>
  <c r="H406" i="24"/>
  <c r="H166" i="24"/>
  <c r="H1081" i="24"/>
  <c r="H1079" i="24" s="1"/>
  <c r="G1079" i="24"/>
  <c r="E826" i="1" s="1"/>
  <c r="H810" i="24"/>
  <c r="H426" i="24"/>
  <c r="H246" i="24"/>
  <c r="H1122" i="24"/>
  <c r="H961" i="24"/>
  <c r="H1142" i="24"/>
  <c r="H1061" i="24"/>
  <c r="H1001" i="24"/>
  <c r="H921" i="24"/>
  <c r="H981" i="24"/>
  <c r="H206" i="24"/>
  <c r="H466" i="24"/>
  <c r="H647" i="24"/>
  <c r="H587" i="24"/>
  <c r="H286" i="24"/>
  <c r="H1101" i="24"/>
  <c r="H747" i="24"/>
  <c r="H1184" i="24"/>
  <c r="H386" i="24"/>
  <c r="H306" i="24"/>
  <c r="H226" i="24"/>
  <c r="H1041" i="24"/>
  <c r="H727" i="24"/>
  <c r="H627" i="24"/>
  <c r="H326" i="24"/>
  <c r="H1021" i="24"/>
  <c r="H607" i="24"/>
  <c r="H186" i="24"/>
  <c r="H86" i="24"/>
  <c r="H1593" i="24"/>
  <c r="H1553" i="24"/>
  <c r="H1714" i="24"/>
  <c r="H1344" i="24"/>
  <c r="H1653" i="24"/>
  <c r="H1613" i="24"/>
  <c r="H1633" i="24"/>
  <c r="H1673" i="24"/>
  <c r="H1573" i="24"/>
  <c r="H1693" i="24"/>
  <c r="G1742" i="13"/>
  <c r="G1582" i="13"/>
  <c r="H1582" i="13" s="1"/>
  <c r="H869" i="21"/>
  <c r="H1226" i="21"/>
  <c r="G1768" i="21"/>
  <c r="E768" i="1" s="1"/>
  <c r="H1770" i="21"/>
  <c r="H1768" i="21" s="1"/>
  <c r="H1610" i="21"/>
  <c r="H1510" i="21"/>
  <c r="H786" i="21"/>
  <c r="H626" i="21"/>
  <c r="H806" i="21"/>
  <c r="H849" i="21"/>
  <c r="H934" i="21"/>
  <c r="H1830" i="21"/>
  <c r="H974" i="21"/>
  <c r="H1570" i="21"/>
  <c r="H1750" i="21"/>
  <c r="H666" i="21"/>
  <c r="H726" i="21"/>
  <c r="H1097" i="21"/>
  <c r="H1117" i="21"/>
  <c r="H994" i="21"/>
  <c r="H1410" i="21"/>
  <c r="H1266" i="21"/>
  <c r="H1530" i="21"/>
  <c r="H1630" i="21"/>
  <c r="H1670" i="21"/>
  <c r="H606" i="21"/>
  <c r="H1590" i="21"/>
  <c r="H1330" i="21"/>
  <c r="H1430" i="21"/>
  <c r="H746" i="21"/>
  <c r="H686" i="21"/>
  <c r="H1390" i="21"/>
  <c r="H1490" i="21"/>
  <c r="H1550" i="21"/>
  <c r="H1650" i="21"/>
  <c r="H1788" i="21"/>
  <c r="H646" i="21"/>
  <c r="H954" i="21"/>
  <c r="H1286" i="21"/>
  <c r="H1034" i="21"/>
  <c r="H1014" i="21"/>
  <c r="H1370" i="21"/>
  <c r="H1710" i="21"/>
  <c r="G1788" i="21"/>
  <c r="E769" i="1" s="1"/>
  <c r="H706" i="21"/>
  <c r="H766" i="21"/>
  <c r="H1470" i="21"/>
  <c r="H1730" i="21"/>
  <c r="G2399" i="16"/>
  <c r="H2399" i="16" s="1"/>
  <c r="H2480" i="16"/>
  <c r="H2099" i="16"/>
  <c r="H2339" i="16"/>
  <c r="H1977" i="16"/>
  <c r="H1957" i="16"/>
  <c r="H2680" i="16"/>
  <c r="H2500" i="16"/>
  <c r="H2620" i="16"/>
  <c r="H2017" i="16"/>
  <c r="H2239" i="16"/>
  <c r="H2540" i="16"/>
  <c r="H2520" i="16"/>
  <c r="H2379" i="16"/>
  <c r="H2420" i="16"/>
  <c r="H1918" i="16"/>
  <c r="G1917" i="16"/>
  <c r="H2037" i="16"/>
  <c r="H2359" i="16"/>
  <c r="H2640" i="16"/>
  <c r="H2440" i="16"/>
  <c r="H1877" i="16"/>
  <c r="H1857" i="16"/>
  <c r="H1817" i="16"/>
  <c r="H1837" i="16"/>
  <c r="H1217" i="16"/>
  <c r="H1197" i="16"/>
  <c r="H1297" i="16"/>
  <c r="H1697" i="16"/>
  <c r="H1757" i="16"/>
  <c r="H1337" i="16"/>
  <c r="H981" i="16"/>
  <c r="H1317" i="16"/>
  <c r="H1277" i="16"/>
  <c r="H1717" i="16"/>
  <c r="H1517" i="16"/>
  <c r="H1021" i="16"/>
  <c r="H901" i="16"/>
  <c r="H961" i="16"/>
  <c r="H1737" i="16"/>
  <c r="G1226" i="11"/>
  <c r="H1226" i="11" s="1"/>
  <c r="G1602" i="13"/>
  <c r="H1602" i="13" s="1"/>
  <c r="G1682" i="13"/>
  <c r="H1682" i="13" s="1"/>
  <c r="H1041" i="16"/>
  <c r="H1537" i="16"/>
  <c r="H1637" i="16"/>
  <c r="H1777" i="16"/>
  <c r="H1657" i="16"/>
  <c r="H1377" i="16"/>
  <c r="H1437" i="16"/>
  <c r="H1176" i="16"/>
  <c r="H1156" i="16"/>
  <c r="H1061" i="16"/>
  <c r="H1417" i="16"/>
  <c r="H1597" i="16"/>
  <c r="H1557" i="16"/>
  <c r="H1457" i="16"/>
  <c r="H1497" i="16"/>
  <c r="H1001" i="16"/>
  <c r="H1111" i="16"/>
  <c r="H1477" i="16"/>
  <c r="G1862" i="13"/>
  <c r="H1862" i="13" s="1"/>
  <c r="H941" i="16"/>
  <c r="H1086" i="16"/>
  <c r="H1357" i="16"/>
  <c r="H1237" i="16"/>
  <c r="H641" i="16"/>
  <c r="H426" i="16"/>
  <c r="H741" i="16"/>
  <c r="H761" i="16"/>
  <c r="H509" i="16"/>
  <c r="H532" i="16"/>
  <c r="H595" i="16"/>
  <c r="H801" i="16"/>
  <c r="H821" i="16"/>
  <c r="G1722" i="13"/>
  <c r="H1722" i="13" s="1"/>
  <c r="H266" i="16"/>
  <c r="H386" i="16"/>
  <c r="H306" i="16"/>
  <c r="H575" i="16"/>
  <c r="H555" i="16"/>
  <c r="H661" i="16"/>
  <c r="H346" i="16"/>
  <c r="H618" i="16"/>
  <c r="H881" i="16"/>
  <c r="H701" i="16"/>
  <c r="H841" i="16"/>
  <c r="H466" i="16"/>
  <c r="H226" i="16"/>
  <c r="H681" i="16"/>
  <c r="H721" i="16"/>
  <c r="H1982" i="13"/>
  <c r="H2422" i="13"/>
  <c r="H1022" i="13"/>
  <c r="H1562" i="13"/>
  <c r="H1762" i="13"/>
  <c r="H2022" i="13"/>
  <c r="H2322" i="13"/>
  <c r="H2562" i="13"/>
  <c r="H2582" i="13"/>
  <c r="H2762" i="13"/>
  <c r="H1222" i="13"/>
  <c r="H1142" i="13"/>
  <c r="H1704" i="13"/>
  <c r="G1702" i="13"/>
  <c r="H1342" i="13"/>
  <c r="H1462" i="13"/>
  <c r="H1882" i="13"/>
  <c r="H2502" i="13"/>
  <c r="H2722" i="13"/>
  <c r="H1082" i="13"/>
  <c r="H1242" i="13"/>
  <c r="H1422" i="13"/>
  <c r="H1362" i="13"/>
  <c r="H2002" i="13"/>
  <c r="H2082" i="13"/>
  <c r="H2282" i="13"/>
  <c r="H2102" i="13"/>
  <c r="H2682" i="13"/>
  <c r="H1302" i="13"/>
  <c r="H1502" i="13"/>
  <c r="H1322" i="13"/>
  <c r="H1942" i="13"/>
  <c r="H2042" i="13"/>
  <c r="H1122" i="13"/>
  <c r="H1162" i="13"/>
  <c r="H1402" i="13"/>
  <c r="H1442" i="13"/>
  <c r="H2362" i="13"/>
  <c r="H2642" i="13"/>
  <c r="H1102" i="13"/>
  <c r="H1262" i="13"/>
  <c r="H1182" i="13"/>
  <c r="H1062" i="13"/>
  <c r="H1542" i="13"/>
  <c r="H1902" i="13"/>
  <c r="H2062" i="13"/>
  <c r="H2482" i="13"/>
  <c r="H2382" i="13"/>
  <c r="H1922" i="13"/>
  <c r="H1962" i="13"/>
  <c r="H2742" i="13"/>
  <c r="H1326" i="11"/>
  <c r="H2269" i="11"/>
  <c r="H846" i="11"/>
  <c r="H1386" i="11"/>
  <c r="H286" i="11"/>
  <c r="H1406" i="11"/>
  <c r="H1466" i="11"/>
  <c r="H1086" i="11"/>
  <c r="H1426" i="11"/>
  <c r="H866" i="11"/>
  <c r="H2320" i="11"/>
  <c r="G2319" i="11"/>
  <c r="H2319" i="11" s="1"/>
  <c r="H1366" i="11"/>
  <c r="H886" i="11"/>
  <c r="H2309" i="11"/>
  <c r="H2114" i="8"/>
  <c r="H2174" i="8"/>
  <c r="H2394" i="8"/>
  <c r="H2695" i="8"/>
  <c r="H2575" i="8"/>
  <c r="H2454" i="8"/>
  <c r="H1908" i="8"/>
  <c r="H2615" i="8"/>
  <c r="H1948" i="8"/>
  <c r="H2154" i="8"/>
  <c r="H2474" i="8"/>
  <c r="H2434" i="8"/>
  <c r="H2815" i="8"/>
  <c r="H2715" i="8"/>
  <c r="H2675" i="8"/>
  <c r="H2274" i="8"/>
  <c r="H2515" i="8"/>
  <c r="H2374" i="8"/>
  <c r="H2635" i="8"/>
  <c r="H2414" i="8"/>
  <c r="H1990" i="8"/>
  <c r="H2011" i="8"/>
  <c r="H1888" i="8"/>
  <c r="H2134" i="8"/>
  <c r="H2535" i="8"/>
  <c r="H2735" i="8"/>
  <c r="H2755" i="8"/>
  <c r="H2775" i="8"/>
  <c r="H2795" i="8"/>
  <c r="H1968" i="8"/>
  <c r="H2314" i="8"/>
  <c r="H2194" i="8"/>
  <c r="H2254" i="8"/>
  <c r="H1928" i="8"/>
  <c r="H2094" i="8"/>
  <c r="H2053" i="8"/>
  <c r="H2214" i="8"/>
  <c r="H2354" i="8"/>
  <c r="H2334" i="8"/>
  <c r="H2555" i="8"/>
  <c r="H1048" i="8"/>
  <c r="H1328" i="8"/>
  <c r="H1808" i="8"/>
  <c r="H1708" i="8"/>
  <c r="H1768" i="8"/>
  <c r="H1388" i="8"/>
  <c r="H1448" i="8"/>
  <c r="H1688" i="8"/>
  <c r="H1348" i="8"/>
  <c r="H1368" i="8"/>
  <c r="H1268" i="8"/>
  <c r="H1748" i="8"/>
  <c r="H1788" i="8"/>
  <c r="H1148" i="8"/>
  <c r="H1088" i="8"/>
  <c r="H988" i="8"/>
  <c r="H908" i="8"/>
  <c r="H1008" i="8"/>
  <c r="H1628" i="8"/>
  <c r="H1608" i="8"/>
  <c r="H1548" i="8"/>
  <c r="H1648" i="8"/>
  <c r="H1588" i="8"/>
  <c r="H1488" i="8"/>
  <c r="H1288" i="8"/>
  <c r="H1668" i="8"/>
  <c r="H1828" i="8"/>
  <c r="H1868" i="8"/>
  <c r="H1068" i="8"/>
  <c r="H1468" i="8"/>
  <c r="H1508" i="8"/>
  <c r="H1528" i="8"/>
  <c r="H1208" i="8"/>
  <c r="H1168" i="8"/>
  <c r="H1248" i="8"/>
  <c r="H928" i="8"/>
  <c r="H1408" i="8"/>
  <c r="H1308" i="8"/>
  <c r="H1568" i="8"/>
  <c r="H1398" i="30"/>
  <c r="H1394" i="30"/>
  <c r="H1390" i="30"/>
  <c r="H1402" i="30"/>
  <c r="H1389" i="30"/>
  <c r="H1395" i="30"/>
  <c r="H1401" i="30"/>
  <c r="H1397" i="30"/>
  <c r="H1388" i="30"/>
  <c r="H1391" i="30"/>
  <c r="G1386" i="30"/>
  <c r="H1387" i="30"/>
  <c r="G1396" i="30"/>
  <c r="H1396" i="30" s="1"/>
  <c r="E1507" i="24"/>
  <c r="G1507" i="24" s="1"/>
  <c r="H1507" i="24" s="1"/>
  <c r="E2143" i="13"/>
  <c r="G2143" i="13" s="1"/>
  <c r="E2263" i="13"/>
  <c r="G2263" i="13" s="1"/>
  <c r="E2123" i="13"/>
  <c r="G2123" i="13" s="1"/>
  <c r="E2163" i="13"/>
  <c r="G2163" i="13" s="1"/>
  <c r="E2183" i="13"/>
  <c r="G2183" i="13" s="1"/>
  <c r="E857" i="24"/>
  <c r="G857" i="24" s="1"/>
  <c r="K64" i="36" l="1"/>
  <c r="J64" i="36"/>
  <c r="H1742" i="13"/>
  <c r="E879" i="24"/>
  <c r="G879" i="24" s="1"/>
  <c r="H879" i="24" s="1"/>
  <c r="E2203" i="13"/>
  <c r="G2203" i="13" s="1"/>
  <c r="H2183" i="13"/>
  <c r="G2182" i="13"/>
  <c r="H2182" i="13" s="1"/>
  <c r="E1264" i="24"/>
  <c r="G1264" i="24" s="1"/>
  <c r="E1304" i="24"/>
  <c r="G1304" i="24" s="1"/>
  <c r="H1304" i="24" s="1"/>
  <c r="E1244" i="24"/>
  <c r="G1244" i="24" s="1"/>
  <c r="E2243" i="13"/>
  <c r="G2243" i="13" s="1"/>
  <c r="E901" i="24"/>
  <c r="G901" i="24" s="1"/>
  <c r="H901" i="24" s="1"/>
  <c r="E1284" i="24"/>
  <c r="G1284" i="24" s="1"/>
  <c r="G2262" i="13"/>
  <c r="H2263" i="13"/>
  <c r="G856" i="24"/>
  <c r="H856" i="24" s="1"/>
  <c r="H857" i="24"/>
  <c r="H2143" i="13"/>
  <c r="G2142" i="13"/>
  <c r="H2142" i="13" s="1"/>
  <c r="E878" i="24"/>
  <c r="G878" i="24" s="1"/>
  <c r="E1394" i="24"/>
  <c r="G1394" i="24" s="1"/>
  <c r="H1394" i="24" s="1"/>
  <c r="E900" i="24"/>
  <c r="G900" i="24" s="1"/>
  <c r="E837" i="24"/>
  <c r="G837" i="24" s="1"/>
  <c r="E1735" i="24"/>
  <c r="G1735" i="24" s="1"/>
  <c r="H1735" i="24" s="1"/>
  <c r="E1444" i="24"/>
  <c r="G1444" i="24" s="1"/>
  <c r="H1444" i="24" s="1"/>
  <c r="E2223" i="13"/>
  <c r="G2223" i="13" s="1"/>
  <c r="H2163" i="13"/>
  <c r="G2162" i="13"/>
  <c r="H2162" i="13" s="1"/>
  <c r="G2122" i="13"/>
  <c r="H2122" i="13" s="1"/>
  <c r="H2123" i="13"/>
  <c r="K1184" i="33"/>
  <c r="K1079" i="24"/>
  <c r="K1162" i="24"/>
  <c r="K1788" i="21"/>
  <c r="K1768" i="21"/>
  <c r="H1917" i="16"/>
  <c r="H1702" i="13"/>
  <c r="H1386" i="30"/>
  <c r="G1666" i="32"/>
  <c r="G1665" i="32"/>
  <c r="G1662" i="32"/>
  <c r="G1661" i="32"/>
  <c r="G1659" i="32"/>
  <c r="G1655" i="32"/>
  <c r="G1654" i="32"/>
  <c r="G1653" i="32"/>
  <c r="G1652" i="32"/>
  <c r="G1651" i="32"/>
  <c r="E1648" i="32"/>
  <c r="C1648" i="32"/>
  <c r="B1648" i="32"/>
  <c r="G1646" i="32"/>
  <c r="G1645" i="32"/>
  <c r="G1642" i="32"/>
  <c r="G1641" i="32"/>
  <c r="G1639" i="32"/>
  <c r="G1635" i="32"/>
  <c r="G1634" i="32"/>
  <c r="G1633" i="32"/>
  <c r="G1632" i="32"/>
  <c r="G1631" i="32"/>
  <c r="E1628" i="32"/>
  <c r="C1628" i="32"/>
  <c r="B1628" i="32"/>
  <c r="G1626" i="32"/>
  <c r="G1625" i="32"/>
  <c r="G1622" i="32"/>
  <c r="G1621" i="32"/>
  <c r="G1619" i="32"/>
  <c r="G1615" i="32"/>
  <c r="G1614" i="32"/>
  <c r="G1613" i="32"/>
  <c r="G1612" i="32"/>
  <c r="G1611" i="32"/>
  <c r="E1608" i="32"/>
  <c r="C1608" i="32"/>
  <c r="B1608" i="32"/>
  <c r="G1606" i="32"/>
  <c r="G1605" i="32"/>
  <c r="G1602" i="32"/>
  <c r="G1601" i="32"/>
  <c r="G1599" i="32"/>
  <c r="G1595" i="32"/>
  <c r="G1594" i="32"/>
  <c r="G1593" i="32"/>
  <c r="G1592" i="32"/>
  <c r="G1591" i="32"/>
  <c r="E1588" i="32"/>
  <c r="C1588" i="32"/>
  <c r="B1588" i="32"/>
  <c r="G122" i="32"/>
  <c r="G121" i="32"/>
  <c r="G118" i="32"/>
  <c r="G117" i="32"/>
  <c r="G111" i="32"/>
  <c r="G110" i="32"/>
  <c r="G109" i="32"/>
  <c r="G108" i="32"/>
  <c r="G107" i="32"/>
  <c r="E104" i="32"/>
  <c r="C104" i="32"/>
  <c r="B104" i="32"/>
  <c r="G102" i="32"/>
  <c r="G101" i="32"/>
  <c r="G98" i="32"/>
  <c r="G97" i="32"/>
  <c r="G91" i="32"/>
  <c r="G90" i="32"/>
  <c r="G89" i="32"/>
  <c r="G88" i="32"/>
  <c r="G87" i="32"/>
  <c r="E84" i="32"/>
  <c r="C84" i="32"/>
  <c r="B84" i="32"/>
  <c r="G82" i="32"/>
  <c r="G81" i="32"/>
  <c r="G78" i="32"/>
  <c r="G77" i="32"/>
  <c r="E71" i="32"/>
  <c r="G71" i="32" s="1"/>
  <c r="C71" i="32"/>
  <c r="E70" i="32"/>
  <c r="G70" i="32" s="1"/>
  <c r="C70" i="32"/>
  <c r="E69" i="32"/>
  <c r="G69" i="32" s="1"/>
  <c r="C69" i="32"/>
  <c r="E68" i="32"/>
  <c r="G68" i="32" s="1"/>
  <c r="C68" i="32"/>
  <c r="E67" i="32"/>
  <c r="G67" i="32" s="1"/>
  <c r="C67" i="32"/>
  <c r="E64" i="32"/>
  <c r="C64" i="32"/>
  <c r="B64" i="32"/>
  <c r="G62" i="32"/>
  <c r="G61" i="32"/>
  <c r="G58" i="32"/>
  <c r="G57" i="32"/>
  <c r="G51" i="32"/>
  <c r="G50" i="32"/>
  <c r="G49" i="32"/>
  <c r="G48" i="32"/>
  <c r="G47" i="32"/>
  <c r="E44" i="32"/>
  <c r="C44" i="32"/>
  <c r="B44" i="32"/>
  <c r="G42" i="32"/>
  <c r="G41" i="32"/>
  <c r="G38" i="32"/>
  <c r="G37" i="32"/>
  <c r="E31" i="32"/>
  <c r="G31" i="32" s="1"/>
  <c r="C31" i="32"/>
  <c r="E30" i="32"/>
  <c r="G30" i="32" s="1"/>
  <c r="C30" i="32"/>
  <c r="E29" i="32"/>
  <c r="G29" i="32" s="1"/>
  <c r="C29" i="32"/>
  <c r="E28" i="32"/>
  <c r="G28" i="32" s="1"/>
  <c r="C28" i="32"/>
  <c r="E27" i="32"/>
  <c r="G27" i="32" s="1"/>
  <c r="C27" i="32"/>
  <c r="E24" i="32"/>
  <c r="C24" i="32"/>
  <c r="B24" i="32"/>
  <c r="E22" i="32"/>
  <c r="G22" i="32" s="1"/>
  <c r="C22" i="32"/>
  <c r="E21" i="32"/>
  <c r="G21" i="32" s="1"/>
  <c r="C21" i="32"/>
  <c r="C20" i="32"/>
  <c r="E18" i="32"/>
  <c r="G18" i="32" s="1"/>
  <c r="C18" i="32"/>
  <c r="E17" i="32"/>
  <c r="G17" i="32" s="1"/>
  <c r="C17" i="32"/>
  <c r="C15" i="32"/>
  <c r="C14" i="32"/>
  <c r="C13" i="32"/>
  <c r="E11" i="32"/>
  <c r="G11" i="32" s="1"/>
  <c r="C11" i="32"/>
  <c r="E10" i="32"/>
  <c r="G10" i="32" s="1"/>
  <c r="C10" i="32"/>
  <c r="E9" i="32"/>
  <c r="G9" i="32" s="1"/>
  <c r="C9" i="32"/>
  <c r="E8" i="32"/>
  <c r="G8" i="32" s="1"/>
  <c r="C8" i="32"/>
  <c r="E7" i="32"/>
  <c r="G7" i="32" s="1"/>
  <c r="C7" i="32"/>
  <c r="E4" i="32"/>
  <c r="C4" i="32"/>
  <c r="B4" i="32"/>
  <c r="G1600" i="32" l="1"/>
  <c r="H2243" i="13"/>
  <c r="G2242" i="13"/>
  <c r="H2242" i="13" s="1"/>
  <c r="G2222" i="13"/>
  <c r="H2222" i="13" s="1"/>
  <c r="H2223" i="13"/>
  <c r="G1243" i="24"/>
  <c r="H1243" i="24" s="1"/>
  <c r="H1244" i="24"/>
  <c r="G1263" i="24"/>
  <c r="H1264" i="24"/>
  <c r="H837" i="24"/>
  <c r="G834" i="24"/>
  <c r="H834" i="24" s="1"/>
  <c r="G899" i="24"/>
  <c r="H900" i="24"/>
  <c r="H2262" i="13"/>
  <c r="H1284" i="24"/>
  <c r="G1283" i="24"/>
  <c r="H1283" i="24" s="1"/>
  <c r="H2203" i="13"/>
  <c r="G2202" i="13"/>
  <c r="H878" i="24"/>
  <c r="G877" i="24"/>
  <c r="H877" i="24" s="1"/>
  <c r="G1620" i="32"/>
  <c r="H1620" i="32" s="1"/>
  <c r="H1655" i="32"/>
  <c r="H1653" i="32"/>
  <c r="H1659" i="32"/>
  <c r="H1652" i="32"/>
  <c r="H1662" i="32"/>
  <c r="H1665" i="32"/>
  <c r="H1654" i="32"/>
  <c r="H1666" i="32"/>
  <c r="H1646" i="32"/>
  <c r="H1632" i="32"/>
  <c r="H1635" i="32"/>
  <c r="H1642" i="32"/>
  <c r="H1633" i="32"/>
  <c r="H1639" i="32"/>
  <c r="H1645" i="32"/>
  <c r="H1634" i="32"/>
  <c r="H1661" i="32"/>
  <c r="G1660" i="32"/>
  <c r="H1660" i="32" s="1"/>
  <c r="G1650" i="32"/>
  <c r="H1651" i="32"/>
  <c r="H1641" i="32"/>
  <c r="G1640" i="32"/>
  <c r="H1640" i="32" s="1"/>
  <c r="G1630" i="32"/>
  <c r="H1631" i="32"/>
  <c r="H1612" i="32"/>
  <c r="H1615" i="32"/>
  <c r="H1613" i="32"/>
  <c r="H1619" i="32"/>
  <c r="H1614" i="32"/>
  <c r="H1625" i="32"/>
  <c r="H1621" i="32"/>
  <c r="H1626" i="32"/>
  <c r="H1601" i="32"/>
  <c r="H1602" i="32"/>
  <c r="H1593" i="32"/>
  <c r="H1599" i="32"/>
  <c r="H1592" i="32"/>
  <c r="H1595" i="32"/>
  <c r="H1606" i="32"/>
  <c r="H1594" i="32"/>
  <c r="H1600" i="32"/>
  <c r="H1591" i="32"/>
  <c r="H1605" i="32"/>
  <c r="G1610" i="32"/>
  <c r="H1611" i="32"/>
  <c r="H1622" i="32"/>
  <c r="G1590" i="32"/>
  <c r="G56" i="32"/>
  <c r="H56" i="32" s="1"/>
  <c r="G16" i="32"/>
  <c r="H16" i="32" s="1"/>
  <c r="G96" i="32"/>
  <c r="H96" i="32" s="1"/>
  <c r="H98" i="32"/>
  <c r="H18" i="32"/>
  <c r="H58" i="32"/>
  <c r="H111" i="32"/>
  <c r="H118" i="32"/>
  <c r="H109" i="32"/>
  <c r="H121" i="32"/>
  <c r="H108" i="32"/>
  <c r="H110" i="32"/>
  <c r="H122" i="32"/>
  <c r="H101" i="32"/>
  <c r="H102" i="32"/>
  <c r="H97" i="32"/>
  <c r="H91" i="32"/>
  <c r="H88" i="32"/>
  <c r="H90" i="32"/>
  <c r="H89" i="32"/>
  <c r="H69" i="32"/>
  <c r="H81" i="32"/>
  <c r="H70" i="32"/>
  <c r="H82" i="32"/>
  <c r="H68" i="32"/>
  <c r="H71" i="32"/>
  <c r="H78" i="32"/>
  <c r="H51" i="32"/>
  <c r="H62" i="32"/>
  <c r="H48" i="32"/>
  <c r="H49" i="32"/>
  <c r="H50" i="32"/>
  <c r="H61" i="32"/>
  <c r="H57" i="32"/>
  <c r="H29" i="32"/>
  <c r="H30" i="32"/>
  <c r="H41" i="32"/>
  <c r="H27" i="32"/>
  <c r="H42" i="32"/>
  <c r="H28" i="32"/>
  <c r="H31" i="32"/>
  <c r="H38" i="32"/>
  <c r="H9" i="32"/>
  <c r="H10" i="32"/>
  <c r="H21" i="32"/>
  <c r="H17" i="32"/>
  <c r="H11" i="32"/>
  <c r="H22" i="32"/>
  <c r="H8" i="32"/>
  <c r="H117" i="32"/>
  <c r="G116" i="32"/>
  <c r="H116" i="32" s="1"/>
  <c r="G106" i="32"/>
  <c r="H107" i="32"/>
  <c r="G86" i="32"/>
  <c r="H87" i="32"/>
  <c r="H77" i="32"/>
  <c r="G76" i="32"/>
  <c r="H76" i="32" s="1"/>
  <c r="G66" i="32"/>
  <c r="H67" i="32"/>
  <c r="G46" i="32"/>
  <c r="H47" i="32"/>
  <c r="H37" i="32"/>
  <c r="G36" i="32"/>
  <c r="H36" i="32" s="1"/>
  <c r="G26" i="32"/>
  <c r="G6" i="32"/>
  <c r="H7" i="32"/>
  <c r="E2119" i="15"/>
  <c r="C2119" i="15" a="1"/>
  <c r="C2119" i="15" s="1"/>
  <c r="E2118" i="15"/>
  <c r="C2118" i="15" a="1"/>
  <c r="C2118" i="15" s="1"/>
  <c r="C2117" i="15"/>
  <c r="E2115" i="15"/>
  <c r="C2115" i="15"/>
  <c r="E2114" i="15"/>
  <c r="C2114" i="15"/>
  <c r="C2112" i="15"/>
  <c r="E2112" i="15" s="1"/>
  <c r="C2111" i="15"/>
  <c r="E2111" i="15" s="1"/>
  <c r="C2110" i="15"/>
  <c r="E2108" i="15"/>
  <c r="C2108" i="15"/>
  <c r="E2107" i="15"/>
  <c r="C2107" i="15"/>
  <c r="E2106" i="15"/>
  <c r="C2106" i="15"/>
  <c r="E2105" i="15"/>
  <c r="C2105" i="15"/>
  <c r="E2104" i="15"/>
  <c r="C2104" i="15"/>
  <c r="E2099" i="15"/>
  <c r="C2099" i="15" a="1"/>
  <c r="C2099" i="15" s="1"/>
  <c r="E2098" i="15"/>
  <c r="C2098" i="15" a="1"/>
  <c r="C2098" i="15" s="1"/>
  <c r="C2097" i="15"/>
  <c r="E2095" i="15"/>
  <c r="C2095" i="15"/>
  <c r="E2094" i="15"/>
  <c r="C2094" i="15"/>
  <c r="C2092" i="15"/>
  <c r="E2092" i="15" s="1"/>
  <c r="C2091" i="15"/>
  <c r="E2091" i="15" s="1"/>
  <c r="C2090" i="15"/>
  <c r="E2088" i="15"/>
  <c r="C2088" i="15"/>
  <c r="E2087" i="15"/>
  <c r="C2087" i="15"/>
  <c r="E2086" i="15"/>
  <c r="C2086" i="15"/>
  <c r="E2085" i="15"/>
  <c r="C2085" i="15"/>
  <c r="E2084" i="15"/>
  <c r="C2084" i="15"/>
  <c r="E2079" i="15"/>
  <c r="C2079" i="15" a="1"/>
  <c r="C2079" i="15" s="1"/>
  <c r="E2078" i="15"/>
  <c r="C2078" i="15" a="1"/>
  <c r="C2078" i="15" s="1"/>
  <c r="C2077" i="15"/>
  <c r="E2075" i="15"/>
  <c r="C2075" i="15"/>
  <c r="E2074" i="15"/>
  <c r="C2074" i="15"/>
  <c r="C2072" i="15"/>
  <c r="E2072" i="15" s="1"/>
  <c r="C2071" i="15"/>
  <c r="E2071" i="15" s="1"/>
  <c r="C2070" i="15"/>
  <c r="E2068" i="15"/>
  <c r="C2068" i="15"/>
  <c r="E2067" i="15"/>
  <c r="C2067" i="15"/>
  <c r="E2066" i="15"/>
  <c r="C2066" i="15"/>
  <c r="E2065" i="15"/>
  <c r="C2065" i="15"/>
  <c r="E2064" i="15"/>
  <c r="C2064" i="15"/>
  <c r="E2059" i="15"/>
  <c r="C2059" i="15" a="1"/>
  <c r="C2059" i="15" s="1"/>
  <c r="E2058" i="15"/>
  <c r="C2058" i="15" a="1"/>
  <c r="C2058" i="15" s="1"/>
  <c r="C2057" i="15"/>
  <c r="E2055" i="15"/>
  <c r="C2055" i="15"/>
  <c r="E2054" i="15"/>
  <c r="C2054" i="15"/>
  <c r="C2052" i="15"/>
  <c r="E2052" i="15" s="1"/>
  <c r="C2051" i="15"/>
  <c r="E2051" i="15" s="1"/>
  <c r="C2050" i="15"/>
  <c r="E2048" i="15"/>
  <c r="C2048" i="15"/>
  <c r="E2047" i="15"/>
  <c r="C2047" i="15"/>
  <c r="E2046" i="15"/>
  <c r="C2046" i="15"/>
  <c r="E2045" i="15"/>
  <c r="C2045" i="15"/>
  <c r="E2044" i="15"/>
  <c r="C2044" i="15"/>
  <c r="E1988" i="15"/>
  <c r="C1988" i="15"/>
  <c r="E1987" i="15"/>
  <c r="G1987" i="15" s="1"/>
  <c r="C1987" i="15"/>
  <c r="E1986" i="15"/>
  <c r="G1986" i="15" s="1"/>
  <c r="C1986" i="15"/>
  <c r="E1985" i="15"/>
  <c r="C1985" i="15"/>
  <c r="E1984" i="15"/>
  <c r="C1984" i="15"/>
  <c r="E1983" i="15"/>
  <c r="C1983" i="15"/>
  <c r="E1982" i="15"/>
  <c r="C1982" i="15"/>
  <c r="E1966" i="15"/>
  <c r="C1966" i="15"/>
  <c r="E1965" i="15"/>
  <c r="G1965" i="15" s="1"/>
  <c r="C1965" i="15"/>
  <c r="E1964" i="15"/>
  <c r="G1964" i="15" s="1"/>
  <c r="C1964" i="15"/>
  <c r="E1963" i="15"/>
  <c r="C1963" i="15"/>
  <c r="E1962" i="15"/>
  <c r="C1962" i="15"/>
  <c r="E1961" i="15"/>
  <c r="C1961" i="15"/>
  <c r="E1960" i="15"/>
  <c r="C1960" i="15"/>
  <c r="E1944" i="15"/>
  <c r="C1944" i="15"/>
  <c r="E1943" i="15"/>
  <c r="G1943" i="15" s="1"/>
  <c r="C1943" i="15"/>
  <c r="E1942" i="15"/>
  <c r="G1942" i="15" s="1"/>
  <c r="C1942" i="15"/>
  <c r="E1941" i="15"/>
  <c r="C1941" i="15"/>
  <c r="E1940" i="15"/>
  <c r="C1940" i="15"/>
  <c r="E1939" i="15"/>
  <c r="C1939" i="15"/>
  <c r="E1938" i="15"/>
  <c r="C1938" i="15"/>
  <c r="H2202" i="13" l="1"/>
  <c r="H1263" i="24"/>
  <c r="H899" i="24"/>
  <c r="H1650" i="32"/>
  <c r="H1630" i="32"/>
  <c r="H1610" i="32"/>
  <c r="H1590" i="32"/>
  <c r="H106" i="32"/>
  <c r="H86" i="32"/>
  <c r="H66" i="32"/>
  <c r="H46" i="32"/>
  <c r="H26" i="32"/>
  <c r="H6" i="32"/>
  <c r="G267" i="15" l="1"/>
  <c r="G266" i="15"/>
  <c r="G263" i="15"/>
  <c r="G262" i="15"/>
  <c r="G256" i="15"/>
  <c r="G255" i="15"/>
  <c r="G254" i="15"/>
  <c r="G253" i="15"/>
  <c r="G252" i="15"/>
  <c r="E249" i="15"/>
  <c r="C249" i="15"/>
  <c r="B249" i="15"/>
  <c r="G247" i="15"/>
  <c r="G246" i="15"/>
  <c r="G243" i="15"/>
  <c r="G242" i="15"/>
  <c r="G236" i="15"/>
  <c r="G235" i="15"/>
  <c r="G234" i="15"/>
  <c r="G233" i="15"/>
  <c r="G232" i="15"/>
  <c r="E229" i="15"/>
  <c r="C229" i="15"/>
  <c r="B229" i="15"/>
  <c r="G227" i="15"/>
  <c r="G226" i="15"/>
  <c r="G223" i="15"/>
  <c r="G222" i="15"/>
  <c r="G216" i="15"/>
  <c r="G215" i="15"/>
  <c r="G214" i="15"/>
  <c r="G213" i="15"/>
  <c r="G212" i="15"/>
  <c r="E209" i="15"/>
  <c r="C209" i="15"/>
  <c r="B209" i="15"/>
  <c r="G207" i="15"/>
  <c r="G206" i="15"/>
  <c r="G203" i="15"/>
  <c r="G202" i="15"/>
  <c r="G196" i="15"/>
  <c r="G195" i="15"/>
  <c r="G194" i="15"/>
  <c r="G193" i="15"/>
  <c r="G192" i="15"/>
  <c r="E189" i="15"/>
  <c r="C189" i="15"/>
  <c r="B189" i="15"/>
  <c r="G187" i="15"/>
  <c r="G186" i="15"/>
  <c r="G183" i="15"/>
  <c r="G182" i="15"/>
  <c r="G176" i="15"/>
  <c r="G175" i="15"/>
  <c r="G174" i="15"/>
  <c r="G173" i="15"/>
  <c r="G172" i="15"/>
  <c r="E169" i="15"/>
  <c r="C169" i="15"/>
  <c r="B169" i="15"/>
  <c r="G167" i="15"/>
  <c r="G166" i="15"/>
  <c r="G163" i="15"/>
  <c r="G162" i="15"/>
  <c r="G156" i="15"/>
  <c r="G155" i="15"/>
  <c r="G154" i="15"/>
  <c r="G153" i="15"/>
  <c r="G152" i="15"/>
  <c r="E149" i="15"/>
  <c r="C149" i="15"/>
  <c r="B149" i="15"/>
  <c r="G147" i="15"/>
  <c r="G146" i="15"/>
  <c r="G143" i="15"/>
  <c r="G142" i="15"/>
  <c r="G136" i="15"/>
  <c r="G135" i="15"/>
  <c r="G134" i="15"/>
  <c r="G133" i="15"/>
  <c r="G132" i="15"/>
  <c r="E129" i="15"/>
  <c r="C129" i="15"/>
  <c r="B129" i="15"/>
  <c r="G127" i="15"/>
  <c r="G126" i="15"/>
  <c r="G123" i="15"/>
  <c r="G122" i="15"/>
  <c r="G116" i="15"/>
  <c r="G115" i="15"/>
  <c r="G114" i="15"/>
  <c r="G113" i="15"/>
  <c r="G112" i="15"/>
  <c r="E109" i="15"/>
  <c r="C109" i="15"/>
  <c r="B109" i="15"/>
  <c r="G107" i="15"/>
  <c r="G106" i="15"/>
  <c r="G103" i="15"/>
  <c r="G102" i="15"/>
  <c r="G96" i="15"/>
  <c r="G95" i="15"/>
  <c r="G94" i="15"/>
  <c r="G93" i="15"/>
  <c r="G92" i="15"/>
  <c r="E89" i="15"/>
  <c r="C89" i="15"/>
  <c r="B89" i="15"/>
  <c r="G87" i="15"/>
  <c r="G86" i="15"/>
  <c r="G83" i="15"/>
  <c r="G82" i="15"/>
  <c r="G76" i="15"/>
  <c r="G75" i="15"/>
  <c r="G74" i="15"/>
  <c r="G73" i="15"/>
  <c r="G72" i="15"/>
  <c r="E69" i="15"/>
  <c r="C69" i="15"/>
  <c r="B69" i="15"/>
  <c r="E67" i="15"/>
  <c r="G67" i="15" s="1"/>
  <c r="C67" i="15" a="1"/>
  <c r="C67" i="15" s="1"/>
  <c r="E66" i="15"/>
  <c r="G66" i="15" s="1"/>
  <c r="C66" i="15" a="1"/>
  <c r="C66" i="15" s="1"/>
  <c r="C65" i="15"/>
  <c r="E63" i="15"/>
  <c r="G63" i="15" s="1"/>
  <c r="C63" i="15"/>
  <c r="E62" i="15"/>
  <c r="G62" i="15" s="1"/>
  <c r="C62" i="15"/>
  <c r="C60" i="15"/>
  <c r="C59" i="15"/>
  <c r="C58" i="15"/>
  <c r="E56" i="15"/>
  <c r="G56" i="15" s="1"/>
  <c r="C56" i="15"/>
  <c r="E55" i="15"/>
  <c r="G55" i="15" s="1"/>
  <c r="C55" i="15"/>
  <c r="E54" i="15"/>
  <c r="G54" i="15" s="1"/>
  <c r="C54" i="15"/>
  <c r="E53" i="15"/>
  <c r="G53" i="15" s="1"/>
  <c r="C53" i="15"/>
  <c r="E52" i="15"/>
  <c r="G52" i="15" s="1"/>
  <c r="C52" i="15"/>
  <c r="E49" i="15"/>
  <c r="C49" i="15"/>
  <c r="B49" i="15"/>
  <c r="G241" i="15" l="1"/>
  <c r="H241" i="15" s="1"/>
  <c r="H263" i="15"/>
  <c r="H253" i="15"/>
  <c r="H254" i="15"/>
  <c r="H266" i="15"/>
  <c r="H255" i="15"/>
  <c r="H256" i="15"/>
  <c r="H267" i="15"/>
  <c r="H246" i="15"/>
  <c r="H242" i="15"/>
  <c r="H235" i="15"/>
  <c r="H236" i="15"/>
  <c r="H247" i="15"/>
  <c r="H233" i="15"/>
  <c r="H243" i="15"/>
  <c r="H234" i="15"/>
  <c r="H213" i="15"/>
  <c r="H214" i="15"/>
  <c r="H226" i="15"/>
  <c r="H215" i="15"/>
  <c r="H227" i="15"/>
  <c r="H223" i="15"/>
  <c r="H216" i="15"/>
  <c r="H195" i="15"/>
  <c r="H207" i="15"/>
  <c r="H196" i="15"/>
  <c r="H203" i="15"/>
  <c r="H193" i="15"/>
  <c r="H194" i="15"/>
  <c r="H206" i="15"/>
  <c r="H173" i="15"/>
  <c r="H186" i="15"/>
  <c r="H175" i="15"/>
  <c r="H187" i="15"/>
  <c r="H174" i="15"/>
  <c r="H176" i="15"/>
  <c r="H183" i="15"/>
  <c r="H167" i="15"/>
  <c r="H156" i="15"/>
  <c r="H163" i="15"/>
  <c r="H155" i="15"/>
  <c r="H153" i="15"/>
  <c r="H154" i="15"/>
  <c r="H166" i="15"/>
  <c r="H133" i="15"/>
  <c r="H146" i="15"/>
  <c r="H134" i="15"/>
  <c r="H147" i="15"/>
  <c r="H135" i="15"/>
  <c r="H143" i="15"/>
  <c r="H136" i="15"/>
  <c r="H127" i="15"/>
  <c r="H115" i="15"/>
  <c r="H116" i="15"/>
  <c r="H123" i="15"/>
  <c r="H126" i="15"/>
  <c r="H113" i="15"/>
  <c r="H114" i="15"/>
  <c r="H103" i="15"/>
  <c r="H93" i="15"/>
  <c r="H94" i="15"/>
  <c r="H106" i="15"/>
  <c r="H107" i="15"/>
  <c r="H96" i="15"/>
  <c r="H95" i="15"/>
  <c r="H74" i="15"/>
  <c r="H75" i="15"/>
  <c r="H87" i="15"/>
  <c r="H86" i="15"/>
  <c r="H83" i="15"/>
  <c r="H76" i="15"/>
  <c r="H73" i="15"/>
  <c r="H54" i="15"/>
  <c r="H66" i="15"/>
  <c r="H55" i="15"/>
  <c r="H63" i="15"/>
  <c r="H53" i="15"/>
  <c r="H56" i="15"/>
  <c r="H67" i="15"/>
  <c r="H252" i="15"/>
  <c r="G251" i="15"/>
  <c r="G261" i="15"/>
  <c r="H261" i="15" s="1"/>
  <c r="H262" i="15"/>
  <c r="H232" i="15"/>
  <c r="G231" i="15"/>
  <c r="H212" i="15"/>
  <c r="G211" i="15"/>
  <c r="G221" i="15"/>
  <c r="H221" i="15" s="1"/>
  <c r="H222" i="15"/>
  <c r="H192" i="15"/>
  <c r="G191" i="15"/>
  <c r="G201" i="15"/>
  <c r="H201" i="15" s="1"/>
  <c r="H202" i="15"/>
  <c r="H172" i="15"/>
  <c r="G171" i="15"/>
  <c r="G181" i="15"/>
  <c r="H181" i="15" s="1"/>
  <c r="H182" i="15"/>
  <c r="H152" i="15"/>
  <c r="G151" i="15"/>
  <c r="G161" i="15"/>
  <c r="H161" i="15" s="1"/>
  <c r="H162" i="15"/>
  <c r="H132" i="15"/>
  <c r="G131" i="15"/>
  <c r="G141" i="15"/>
  <c r="H141" i="15" s="1"/>
  <c r="H142" i="15"/>
  <c r="H112" i="15"/>
  <c r="G111" i="15"/>
  <c r="G121" i="15"/>
  <c r="H121" i="15" s="1"/>
  <c r="H122" i="15"/>
  <c r="H92" i="15"/>
  <c r="G91" i="15"/>
  <c r="G101" i="15"/>
  <c r="H101" i="15" s="1"/>
  <c r="H102" i="15"/>
  <c r="G81" i="15"/>
  <c r="H81" i="15" s="1"/>
  <c r="H82" i="15"/>
  <c r="H72" i="15"/>
  <c r="G71" i="15"/>
  <c r="G61" i="15"/>
  <c r="H61" i="15" s="1"/>
  <c r="H62" i="15"/>
  <c r="H52" i="15"/>
  <c r="G51" i="15"/>
  <c r="E62" i="36"/>
  <c r="G62" i="36" s="1"/>
  <c r="C62" i="36" a="1"/>
  <c r="C62" i="36" s="1"/>
  <c r="E61" i="36"/>
  <c r="G61" i="36" s="1"/>
  <c r="C61" i="36" a="1"/>
  <c r="C61" i="36" s="1"/>
  <c r="E60" i="36"/>
  <c r="G60" i="36" s="1"/>
  <c r="C60" i="36"/>
  <c r="E58" i="36"/>
  <c r="G58" i="36" s="1"/>
  <c r="C58" i="36"/>
  <c r="E57" i="36"/>
  <c r="G57" i="36" s="1"/>
  <c r="C57" i="36"/>
  <c r="C55" i="36"/>
  <c r="E55" i="36" s="1"/>
  <c r="G55" i="36" s="1"/>
  <c r="C54" i="36"/>
  <c r="E54" i="36" s="1"/>
  <c r="G54" i="36" s="1"/>
  <c r="C53" i="36"/>
  <c r="E53" i="36" s="1"/>
  <c r="G53" i="36" s="1"/>
  <c r="E51" i="36"/>
  <c r="G51" i="36" s="1"/>
  <c r="C51" i="36"/>
  <c r="E50" i="36"/>
  <c r="G50" i="36" s="1"/>
  <c r="C50" i="36"/>
  <c r="E49" i="36"/>
  <c r="G49" i="36" s="1"/>
  <c r="C49" i="36"/>
  <c r="E48" i="36"/>
  <c r="G48" i="36" s="1"/>
  <c r="C48" i="36"/>
  <c r="E47" i="36"/>
  <c r="G47" i="36" s="1"/>
  <c r="C47" i="36"/>
  <c r="E44" i="36"/>
  <c r="C44" i="36"/>
  <c r="B44" i="36"/>
  <c r="E162" i="32"/>
  <c r="G162" i="32" s="1"/>
  <c r="C162" i="32"/>
  <c r="E161" i="32"/>
  <c r="G161" i="32" s="1"/>
  <c r="C161" i="32"/>
  <c r="C160" i="32"/>
  <c r="E158" i="32"/>
  <c r="G158" i="32" s="1"/>
  <c r="C158" i="32"/>
  <c r="E157" i="32"/>
  <c r="G157" i="32" s="1"/>
  <c r="C157" i="32"/>
  <c r="C155" i="32"/>
  <c r="E155" i="32" s="1"/>
  <c r="G155" i="32" s="1"/>
  <c r="C154" i="32"/>
  <c r="E154" i="32" s="1"/>
  <c r="G154" i="32" s="1"/>
  <c r="C153" i="32"/>
  <c r="E151" i="32"/>
  <c r="G151" i="32" s="1"/>
  <c r="C151" i="32"/>
  <c r="E150" i="32"/>
  <c r="G150" i="32" s="1"/>
  <c r="C150" i="32"/>
  <c r="E149" i="32"/>
  <c r="G149" i="32" s="1"/>
  <c r="C149" i="32"/>
  <c r="C148" i="32"/>
  <c r="E147" i="32"/>
  <c r="G147" i="32" s="1"/>
  <c r="C147" i="32"/>
  <c r="G1486" i="32"/>
  <c r="G1485" i="32"/>
  <c r="G1479" i="32"/>
  <c r="E1475" i="32"/>
  <c r="G1475" i="32" s="1"/>
  <c r="C1475" i="32"/>
  <c r="E1474" i="32"/>
  <c r="G1474" i="32" s="1"/>
  <c r="C1474" i="32"/>
  <c r="E1473" i="32"/>
  <c r="G1473" i="32" s="1"/>
  <c r="C1473" i="32"/>
  <c r="E1472" i="32"/>
  <c r="G1472" i="32" s="1"/>
  <c r="C1472" i="32"/>
  <c r="E1471" i="32"/>
  <c r="G1471" i="32" s="1"/>
  <c r="C1471" i="32"/>
  <c r="C193" i="32"/>
  <c r="E193" i="32"/>
  <c r="G193" i="32" s="1"/>
  <c r="C194" i="32"/>
  <c r="C214" i="32"/>
  <c r="G1405" i="32"/>
  <c r="G1402" i="32"/>
  <c r="G1399" i="32"/>
  <c r="G1397" i="32"/>
  <c r="E1395" i="32"/>
  <c r="G1395" i="32" s="1"/>
  <c r="C1395" i="32"/>
  <c r="E1394" i="32"/>
  <c r="G1394" i="32" s="1"/>
  <c r="C1394" i="32"/>
  <c r="E1393" i="32"/>
  <c r="G1393" i="32" s="1"/>
  <c r="C1393" i="32"/>
  <c r="E1392" i="32"/>
  <c r="G1392" i="32" s="1"/>
  <c r="C1392" i="32"/>
  <c r="E1391" i="32"/>
  <c r="G1391" i="32" s="1"/>
  <c r="C1391" i="32"/>
  <c r="G1382" i="32"/>
  <c r="G1379" i="32"/>
  <c r="G1377" i="32"/>
  <c r="E1375" i="32"/>
  <c r="G1375" i="32" s="1"/>
  <c r="C1375" i="32"/>
  <c r="E1374" i="32"/>
  <c r="G1374" i="32" s="1"/>
  <c r="C1374" i="32"/>
  <c r="E1373" i="32"/>
  <c r="G1373" i="32" s="1"/>
  <c r="C1373" i="32"/>
  <c r="E1372" i="32"/>
  <c r="G1372" i="32" s="1"/>
  <c r="C1372" i="32"/>
  <c r="E1371" i="32"/>
  <c r="G1371" i="32" s="1"/>
  <c r="C1371" i="32"/>
  <c r="G1366" i="32"/>
  <c r="G1362" i="32"/>
  <c r="G1361" i="32"/>
  <c r="G1359" i="32"/>
  <c r="E1355" i="32"/>
  <c r="G1355" i="32" s="1"/>
  <c r="C1355" i="32"/>
  <c r="E1354" i="32"/>
  <c r="G1354" i="32" s="1"/>
  <c r="C1354" i="32"/>
  <c r="E1353" i="32"/>
  <c r="G1353" i="32" s="1"/>
  <c r="C1353" i="32"/>
  <c r="E1352" i="32"/>
  <c r="G1352" i="32" s="1"/>
  <c r="C1352" i="32"/>
  <c r="E1351" i="32"/>
  <c r="G1351" i="32" s="1"/>
  <c r="C1351" i="32"/>
  <c r="G1426" i="32"/>
  <c r="G1422" i="32"/>
  <c r="G1421" i="32"/>
  <c r="G1419" i="32"/>
  <c r="G1417" i="32"/>
  <c r="E1415" i="32"/>
  <c r="G1415" i="32" s="1"/>
  <c r="C1415" i="32"/>
  <c r="E1414" i="32"/>
  <c r="G1414" i="32" s="1"/>
  <c r="C1414" i="32"/>
  <c r="E1413" i="32"/>
  <c r="G1413" i="32" s="1"/>
  <c r="C1413" i="32"/>
  <c r="E1412" i="32"/>
  <c r="G1412" i="32" s="1"/>
  <c r="C1412" i="32"/>
  <c r="E1411" i="32"/>
  <c r="G1411" i="32" s="1"/>
  <c r="C1411" i="32"/>
  <c r="G1446" i="32"/>
  <c r="G1442" i="32"/>
  <c r="G1441" i="32"/>
  <c r="G1439" i="32"/>
  <c r="G1437" i="32"/>
  <c r="E1435" i="32"/>
  <c r="G1435" i="32" s="1"/>
  <c r="C1435" i="32"/>
  <c r="E1434" i="32"/>
  <c r="G1434" i="32" s="1"/>
  <c r="C1434" i="32"/>
  <c r="E1433" i="32"/>
  <c r="G1433" i="32" s="1"/>
  <c r="C1433" i="32"/>
  <c r="E1432" i="32"/>
  <c r="G1432" i="32" s="1"/>
  <c r="C1432" i="32"/>
  <c r="E1431" i="32"/>
  <c r="G1431" i="32" s="1"/>
  <c r="C1431" i="32"/>
  <c r="E366" i="32"/>
  <c r="G366" i="32" s="1"/>
  <c r="C366" i="32"/>
  <c r="E365" i="32"/>
  <c r="G365" i="32" s="1"/>
  <c r="C365" i="32"/>
  <c r="C364" i="32"/>
  <c r="E362" i="32"/>
  <c r="G362" i="32" s="1"/>
  <c r="C362" i="32"/>
  <c r="E361" i="32"/>
  <c r="G361" i="32" s="1"/>
  <c r="C361" i="32"/>
  <c r="C359" i="32"/>
  <c r="E359" i="32" s="1"/>
  <c r="G359" i="32" s="1"/>
  <c r="C358" i="32"/>
  <c r="C357" i="32"/>
  <c r="E357" i="32" s="1"/>
  <c r="G357" i="32" s="1"/>
  <c r="E355" i="32"/>
  <c r="G355" i="32" s="1"/>
  <c r="C355" i="32"/>
  <c r="E354" i="32"/>
  <c r="G354" i="32" s="1"/>
  <c r="C354" i="32"/>
  <c r="E353" i="32"/>
  <c r="G353" i="32" s="1"/>
  <c r="C353" i="32"/>
  <c r="E352" i="32"/>
  <c r="G352" i="32" s="1"/>
  <c r="C352" i="32"/>
  <c r="E351" i="32"/>
  <c r="G351" i="32" s="1"/>
  <c r="C351" i="32"/>
  <c r="E346" i="32"/>
  <c r="G346" i="32" s="1"/>
  <c r="C346" i="32"/>
  <c r="E345" i="32"/>
  <c r="G345" i="32" s="1"/>
  <c r="C345" i="32"/>
  <c r="C344" i="32"/>
  <c r="E342" i="32"/>
  <c r="G342" i="32" s="1"/>
  <c r="C342" i="32"/>
  <c r="E341" i="32"/>
  <c r="G341" i="32" s="1"/>
  <c r="C341" i="32"/>
  <c r="C339" i="32"/>
  <c r="E339" i="32" s="1"/>
  <c r="G339" i="32" s="1"/>
  <c r="C338" i="32"/>
  <c r="C337" i="32"/>
  <c r="E337" i="32" s="1"/>
  <c r="G337" i="32" s="1"/>
  <c r="E335" i="32"/>
  <c r="G335" i="32" s="1"/>
  <c r="C335" i="32"/>
  <c r="E334" i="32"/>
  <c r="G334" i="32" s="1"/>
  <c r="C334" i="32"/>
  <c r="E333" i="32"/>
  <c r="G333" i="32" s="1"/>
  <c r="C333" i="32"/>
  <c r="E332" i="32"/>
  <c r="G332" i="32" s="1"/>
  <c r="C332" i="32"/>
  <c r="E331" i="32"/>
  <c r="G331" i="32" s="1"/>
  <c r="C331" i="32"/>
  <c r="E326" i="32"/>
  <c r="G326" i="32" s="1"/>
  <c r="C326" i="32"/>
  <c r="E325" i="32"/>
  <c r="G325" i="32" s="1"/>
  <c r="C325" i="32"/>
  <c r="C324" i="32"/>
  <c r="E322" i="32"/>
  <c r="G322" i="32" s="1"/>
  <c r="C322" i="32"/>
  <c r="E321" i="32"/>
  <c r="G321" i="32" s="1"/>
  <c r="C321" i="32"/>
  <c r="C319" i="32"/>
  <c r="E319" i="32" s="1"/>
  <c r="G319" i="32" s="1"/>
  <c r="C318" i="32"/>
  <c r="C317" i="32"/>
  <c r="E317" i="32" s="1"/>
  <c r="G317" i="32" s="1"/>
  <c r="E315" i="32"/>
  <c r="G315" i="32" s="1"/>
  <c r="C315" i="32"/>
  <c r="E314" i="32"/>
  <c r="G314" i="32" s="1"/>
  <c r="C314" i="32"/>
  <c r="E313" i="32"/>
  <c r="G313" i="32" s="1"/>
  <c r="C313" i="32"/>
  <c r="E312" i="32"/>
  <c r="G312" i="32" s="1"/>
  <c r="C312" i="32"/>
  <c r="E311" i="32"/>
  <c r="G311" i="32" s="1"/>
  <c r="C311" i="32"/>
  <c r="E306" i="32"/>
  <c r="G306" i="32" s="1"/>
  <c r="C306" i="32"/>
  <c r="E305" i="32"/>
  <c r="G305" i="32" s="1"/>
  <c r="C305" i="32"/>
  <c r="C304" i="32"/>
  <c r="E302" i="32"/>
  <c r="G302" i="32" s="1"/>
  <c r="C302" i="32"/>
  <c r="E301" i="32"/>
  <c r="G301" i="32" s="1"/>
  <c r="C301" i="32"/>
  <c r="C299" i="32"/>
  <c r="E299" i="32" s="1"/>
  <c r="G299" i="32" s="1"/>
  <c r="C298" i="32"/>
  <c r="C297" i="32"/>
  <c r="E297" i="32" s="1"/>
  <c r="G297" i="32" s="1"/>
  <c r="E295" i="32"/>
  <c r="G295" i="32" s="1"/>
  <c r="C295" i="32"/>
  <c r="E294" i="32"/>
  <c r="G294" i="32" s="1"/>
  <c r="C294" i="32"/>
  <c r="E293" i="32"/>
  <c r="G293" i="32" s="1"/>
  <c r="C293" i="32"/>
  <c r="E292" i="32"/>
  <c r="G292" i="32" s="1"/>
  <c r="C292" i="32"/>
  <c r="E291" i="32"/>
  <c r="G291" i="32" s="1"/>
  <c r="C291" i="32"/>
  <c r="E286" i="32"/>
  <c r="G286" i="32" s="1"/>
  <c r="C286" i="32"/>
  <c r="E285" i="32"/>
  <c r="G285" i="32" s="1"/>
  <c r="C285" i="32"/>
  <c r="C284" i="32"/>
  <c r="E282" i="32"/>
  <c r="G282" i="32" s="1"/>
  <c r="C282" i="32"/>
  <c r="E281" i="32"/>
  <c r="G281" i="32" s="1"/>
  <c r="C281" i="32"/>
  <c r="C279" i="32"/>
  <c r="E279" i="32" s="1"/>
  <c r="G279" i="32" s="1"/>
  <c r="C278" i="32"/>
  <c r="C277" i="32"/>
  <c r="E277" i="32" s="1"/>
  <c r="G277" i="32" s="1"/>
  <c r="E275" i="32"/>
  <c r="G275" i="32" s="1"/>
  <c r="C275" i="32"/>
  <c r="E274" i="32"/>
  <c r="G274" i="32" s="1"/>
  <c r="C274" i="32"/>
  <c r="E273" i="32"/>
  <c r="G273" i="32" s="1"/>
  <c r="C273" i="32"/>
  <c r="E272" i="32"/>
  <c r="G272" i="32" s="1"/>
  <c r="C272" i="32"/>
  <c r="E271" i="32"/>
  <c r="G271" i="32" s="1"/>
  <c r="C271" i="32"/>
  <c r="G882" i="32"/>
  <c r="G879" i="32"/>
  <c r="E875" i="32"/>
  <c r="G875" i="32" s="1"/>
  <c r="C875" i="32"/>
  <c r="E874" i="32"/>
  <c r="G874" i="32" s="1"/>
  <c r="C874" i="32"/>
  <c r="E873" i="32"/>
  <c r="G873" i="32" s="1"/>
  <c r="C873" i="32"/>
  <c r="E872" i="32"/>
  <c r="G872" i="32" s="1"/>
  <c r="C872" i="32"/>
  <c r="E871" i="32"/>
  <c r="G871" i="32" s="1"/>
  <c r="C871" i="32"/>
  <c r="G866" i="32"/>
  <c r="G862" i="32"/>
  <c r="G861" i="32"/>
  <c r="G859" i="32"/>
  <c r="E855" i="32"/>
  <c r="G855" i="32" s="1"/>
  <c r="C855" i="32"/>
  <c r="E854" i="32"/>
  <c r="G854" i="32" s="1"/>
  <c r="C854" i="32"/>
  <c r="E853" i="32"/>
  <c r="G853" i="32" s="1"/>
  <c r="C853" i="32"/>
  <c r="E852" i="32"/>
  <c r="G852" i="32" s="1"/>
  <c r="C852" i="32"/>
  <c r="E851" i="32"/>
  <c r="G851" i="32" s="1"/>
  <c r="C851" i="32"/>
  <c r="G846" i="32"/>
  <c r="G842" i="32"/>
  <c r="G841" i="32"/>
  <c r="G839" i="32"/>
  <c r="E835" i="32"/>
  <c r="G835" i="32" s="1"/>
  <c r="C835" i="32"/>
  <c r="E834" i="32"/>
  <c r="G834" i="32" s="1"/>
  <c r="C834" i="32"/>
  <c r="E833" i="32"/>
  <c r="G833" i="32" s="1"/>
  <c r="C833" i="32"/>
  <c r="E832" i="32"/>
  <c r="G832" i="32" s="1"/>
  <c r="C832" i="32"/>
  <c r="E831" i="32"/>
  <c r="G831" i="32" s="1"/>
  <c r="C831" i="32"/>
  <c r="G986" i="32"/>
  <c r="G985" i="32"/>
  <c r="G981" i="32"/>
  <c r="G979" i="32"/>
  <c r="E975" i="32"/>
  <c r="G975" i="32" s="1"/>
  <c r="C975" i="32"/>
  <c r="E974" i="32"/>
  <c r="G974" i="32" s="1"/>
  <c r="C974" i="32"/>
  <c r="E973" i="32"/>
  <c r="G973" i="32" s="1"/>
  <c r="C973" i="32"/>
  <c r="E972" i="32"/>
  <c r="G972" i="32" s="1"/>
  <c r="C972" i="32"/>
  <c r="G965" i="32"/>
  <c r="G962" i="32"/>
  <c r="G959" i="32"/>
  <c r="E955" i="32"/>
  <c r="G955" i="32" s="1"/>
  <c r="C955" i="32"/>
  <c r="E954" i="32"/>
  <c r="G954" i="32" s="1"/>
  <c r="C954" i="32"/>
  <c r="E953" i="32"/>
  <c r="G953" i="32" s="1"/>
  <c r="C953" i="32"/>
  <c r="E952" i="32"/>
  <c r="G952" i="32" s="1"/>
  <c r="C952" i="32"/>
  <c r="E951" i="32"/>
  <c r="G951" i="32" s="1"/>
  <c r="C951" i="32"/>
  <c r="G942" i="32"/>
  <c r="G939" i="32"/>
  <c r="E935" i="32"/>
  <c r="G935" i="32" s="1"/>
  <c r="C935" i="32"/>
  <c r="E934" i="32"/>
  <c r="G934" i="32" s="1"/>
  <c r="C934" i="32"/>
  <c r="E933" i="32"/>
  <c r="G933" i="32" s="1"/>
  <c r="C933" i="32"/>
  <c r="E932" i="32"/>
  <c r="G932" i="32" s="1"/>
  <c r="C932" i="32"/>
  <c r="E931" i="32"/>
  <c r="G931" i="32" s="1"/>
  <c r="C931" i="32"/>
  <c r="G922" i="32"/>
  <c r="G919" i="32"/>
  <c r="E915" i="32"/>
  <c r="G915" i="32" s="1"/>
  <c r="C915" i="32"/>
  <c r="E914" i="32"/>
  <c r="G914" i="32" s="1"/>
  <c r="C914" i="32"/>
  <c r="E913" i="32"/>
  <c r="G913" i="32" s="1"/>
  <c r="C913" i="32"/>
  <c r="E912" i="32"/>
  <c r="G912" i="32" s="1"/>
  <c r="C912" i="32"/>
  <c r="E911" i="32"/>
  <c r="G911" i="32" s="1"/>
  <c r="C911" i="32"/>
  <c r="G901" i="32"/>
  <c r="G899" i="32"/>
  <c r="E895" i="32"/>
  <c r="G895" i="32" s="1"/>
  <c r="C895" i="32"/>
  <c r="E894" i="32"/>
  <c r="G894" i="32" s="1"/>
  <c r="C894" i="32"/>
  <c r="E893" i="32"/>
  <c r="G893" i="32" s="1"/>
  <c r="C893" i="32"/>
  <c r="E892" i="32"/>
  <c r="G892" i="32" s="1"/>
  <c r="C892" i="32"/>
  <c r="E891" i="32"/>
  <c r="G891" i="32" s="1"/>
  <c r="C891" i="32"/>
  <c r="G1245" i="32"/>
  <c r="G1239" i="32"/>
  <c r="G1238" i="32"/>
  <c r="E1235" i="32"/>
  <c r="G1235" i="32" s="1"/>
  <c r="C1235" i="32"/>
  <c r="E1234" i="32"/>
  <c r="G1234" i="32" s="1"/>
  <c r="C1234" i="32"/>
  <c r="E1233" i="32"/>
  <c r="G1233" i="32" s="1"/>
  <c r="C1233" i="32"/>
  <c r="E1232" i="32"/>
  <c r="G1232" i="32" s="1"/>
  <c r="C1232" i="32"/>
  <c r="E1231" i="32"/>
  <c r="G1231" i="32" s="1"/>
  <c r="C1231" i="32"/>
  <c r="G1225" i="32"/>
  <c r="G1222" i="32"/>
  <c r="G1219" i="32"/>
  <c r="G1218" i="32"/>
  <c r="E1215" i="32"/>
  <c r="G1215" i="32" s="1"/>
  <c r="C1215" i="32"/>
  <c r="E1214" i="32"/>
  <c r="G1214" i="32" s="1"/>
  <c r="C1214" i="32"/>
  <c r="E1213" i="32"/>
  <c r="G1213" i="32" s="1"/>
  <c r="C1213" i="32"/>
  <c r="E1212" i="32"/>
  <c r="G1212" i="32" s="1"/>
  <c r="C1212" i="32"/>
  <c r="E1211" i="32"/>
  <c r="G1211" i="32" s="1"/>
  <c r="C1211" i="32"/>
  <c r="G1205" i="32"/>
  <c r="G1202" i="32"/>
  <c r="G1199" i="32"/>
  <c r="G1198" i="32"/>
  <c r="E1195" i="32"/>
  <c r="G1195" i="32" s="1"/>
  <c r="C1195" i="32"/>
  <c r="E1194" i="32"/>
  <c r="G1194" i="32" s="1"/>
  <c r="C1194" i="32"/>
  <c r="E1193" i="32"/>
  <c r="G1193" i="32" s="1"/>
  <c r="C1193" i="32"/>
  <c r="E1192" i="32"/>
  <c r="G1192" i="32" s="1"/>
  <c r="C1192" i="32"/>
  <c r="E1191" i="32"/>
  <c r="G1191" i="32" s="1"/>
  <c r="C1191" i="32"/>
  <c r="G1186" i="32"/>
  <c r="G1185" i="32"/>
  <c r="G1182" i="32"/>
  <c r="G1181" i="32"/>
  <c r="G1179" i="32"/>
  <c r="G1178" i="32"/>
  <c r="E1175" i="32"/>
  <c r="G1175" i="32" s="1"/>
  <c r="C1175" i="32"/>
  <c r="E1174" i="32"/>
  <c r="G1174" i="32" s="1"/>
  <c r="C1174" i="32"/>
  <c r="E1173" i="32"/>
  <c r="G1173" i="32" s="1"/>
  <c r="C1173" i="32"/>
  <c r="E1172" i="32"/>
  <c r="G1172" i="32" s="1"/>
  <c r="C1172" i="32"/>
  <c r="E1171" i="32"/>
  <c r="G1171" i="32" s="1"/>
  <c r="C1171" i="32"/>
  <c r="G1166" i="32"/>
  <c r="G1162" i="32"/>
  <c r="G1161" i="32"/>
  <c r="G1159" i="32"/>
  <c r="G1158" i="32"/>
  <c r="E1155" i="32"/>
  <c r="G1155" i="32" s="1"/>
  <c r="C1155" i="32"/>
  <c r="E1154" i="32"/>
  <c r="G1154" i="32" s="1"/>
  <c r="C1154" i="32"/>
  <c r="E1153" i="32"/>
  <c r="G1153" i="32" s="1"/>
  <c r="C1153" i="32"/>
  <c r="E1152" i="32"/>
  <c r="G1152" i="32" s="1"/>
  <c r="C1152" i="32"/>
  <c r="E1151" i="32"/>
  <c r="G1151" i="32" s="1"/>
  <c r="C1151" i="32"/>
  <c r="G406" i="32"/>
  <c r="G405" i="32"/>
  <c r="G402" i="32"/>
  <c r="G401" i="32"/>
  <c r="G399" i="32"/>
  <c r="G398" i="32"/>
  <c r="E395" i="32"/>
  <c r="G395" i="32" s="1"/>
  <c r="C395" i="32"/>
  <c r="E394" i="32"/>
  <c r="G394" i="32" s="1"/>
  <c r="C394" i="32"/>
  <c r="E393" i="32"/>
  <c r="G393" i="32" s="1"/>
  <c r="C393" i="32"/>
  <c r="E392" i="32"/>
  <c r="G392" i="32" s="1"/>
  <c r="C392" i="32"/>
  <c r="E391" i="32"/>
  <c r="G391" i="32" s="1"/>
  <c r="C391" i="32"/>
  <c r="G386" i="32"/>
  <c r="G385" i="32"/>
  <c r="G381" i="32"/>
  <c r="G379" i="32"/>
  <c r="E375" i="32"/>
  <c r="G375" i="32" s="1"/>
  <c r="C375" i="32"/>
  <c r="E374" i="32"/>
  <c r="G374" i="32" s="1"/>
  <c r="C374" i="32"/>
  <c r="E373" i="32"/>
  <c r="G373" i="32" s="1"/>
  <c r="C373" i="32"/>
  <c r="E372" i="32"/>
  <c r="G372" i="32" s="1"/>
  <c r="C372" i="32"/>
  <c r="E371" i="32"/>
  <c r="G371" i="32" s="1"/>
  <c r="C371" i="32"/>
  <c r="G1286" i="32"/>
  <c r="G1285" i="32"/>
  <c r="G1282" i="32"/>
  <c r="G1279" i="32"/>
  <c r="G1278" i="32"/>
  <c r="E1275" i="32"/>
  <c r="G1275" i="32" s="1"/>
  <c r="C1275" i="32"/>
  <c r="E1274" i="32"/>
  <c r="G1274" i="32" s="1"/>
  <c r="C1274" i="32"/>
  <c r="E1273" i="32"/>
  <c r="G1273" i="32" s="1"/>
  <c r="C1273" i="32"/>
  <c r="E1272" i="32"/>
  <c r="G1272" i="32" s="1"/>
  <c r="C1272" i="32"/>
  <c r="E1271" i="32"/>
  <c r="G1271" i="32" s="1"/>
  <c r="C1271" i="32"/>
  <c r="G1265" i="32"/>
  <c r="G1259" i="32"/>
  <c r="G1258" i="32"/>
  <c r="E1255" i="32"/>
  <c r="G1255" i="32" s="1"/>
  <c r="C1255" i="32"/>
  <c r="E1254" i="32"/>
  <c r="G1254" i="32" s="1"/>
  <c r="C1254" i="32"/>
  <c r="E1253" i="32"/>
  <c r="G1253" i="32" s="1"/>
  <c r="C1253" i="32"/>
  <c r="E1252" i="32"/>
  <c r="G1252" i="32" s="1"/>
  <c r="C1252" i="32"/>
  <c r="E1251" i="32"/>
  <c r="G1251" i="32" s="1"/>
  <c r="C1251" i="32"/>
  <c r="G486" i="32"/>
  <c r="G485" i="32"/>
  <c r="G482" i="32"/>
  <c r="G479" i="32"/>
  <c r="G478" i="32"/>
  <c r="E475" i="32"/>
  <c r="G475" i="32" s="1"/>
  <c r="C475" i="32"/>
  <c r="E474" i="32"/>
  <c r="G474" i="32" s="1"/>
  <c r="C474" i="32"/>
  <c r="E473" i="32"/>
  <c r="G473" i="32" s="1"/>
  <c r="C473" i="32"/>
  <c r="E472" i="32"/>
  <c r="G472" i="32" s="1"/>
  <c r="C472" i="32"/>
  <c r="E471" i="32"/>
  <c r="G471" i="32" s="1"/>
  <c r="C471" i="32"/>
  <c r="G462" i="32"/>
  <c r="G459" i="32"/>
  <c r="G458" i="32"/>
  <c r="E455" i="32"/>
  <c r="G455" i="32" s="1"/>
  <c r="C455" i="32"/>
  <c r="E454" i="32"/>
  <c r="G454" i="32" s="1"/>
  <c r="C454" i="32"/>
  <c r="E453" i="32"/>
  <c r="G453" i="32" s="1"/>
  <c r="C453" i="32"/>
  <c r="E452" i="32"/>
  <c r="G452" i="32" s="1"/>
  <c r="C452" i="32"/>
  <c r="E451" i="32"/>
  <c r="G451" i="32" s="1"/>
  <c r="C451" i="32"/>
  <c r="G826" i="32"/>
  <c r="G825" i="32"/>
  <c r="G822" i="32"/>
  <c r="G821" i="32"/>
  <c r="G819" i="32"/>
  <c r="G818" i="32"/>
  <c r="E815" i="32"/>
  <c r="G815" i="32" s="1"/>
  <c r="C815" i="32"/>
  <c r="E814" i="32"/>
  <c r="G814" i="32" s="1"/>
  <c r="C814" i="32"/>
  <c r="E813" i="32"/>
  <c r="G813" i="32" s="1"/>
  <c r="C813" i="32"/>
  <c r="E812" i="32"/>
  <c r="G812" i="32" s="1"/>
  <c r="C812" i="32"/>
  <c r="E811" i="32"/>
  <c r="G811" i="32" s="1"/>
  <c r="C811" i="32"/>
  <c r="E751" i="32"/>
  <c r="G751" i="32" s="1"/>
  <c r="G806" i="32"/>
  <c r="G802" i="32"/>
  <c r="G801" i="32"/>
  <c r="G799" i="32"/>
  <c r="G798" i="32"/>
  <c r="E795" i="32"/>
  <c r="G795" i="32" s="1"/>
  <c r="C795" i="32"/>
  <c r="E794" i="32"/>
  <c r="G794" i="32" s="1"/>
  <c r="C794" i="32"/>
  <c r="E793" i="32"/>
  <c r="G793" i="32" s="1"/>
  <c r="C793" i="32"/>
  <c r="E792" i="32"/>
  <c r="G792" i="32" s="1"/>
  <c r="C792" i="32"/>
  <c r="E791" i="32"/>
  <c r="G791" i="32" s="1"/>
  <c r="C791" i="32"/>
  <c r="G786" i="32"/>
  <c r="G782" i="32"/>
  <c r="G781" i="32"/>
  <c r="G779" i="32"/>
  <c r="G778" i="32"/>
  <c r="E775" i="32"/>
  <c r="G775" i="32" s="1"/>
  <c r="C775" i="32"/>
  <c r="E774" i="32"/>
  <c r="G774" i="32" s="1"/>
  <c r="C774" i="32"/>
  <c r="E773" i="32"/>
  <c r="G773" i="32" s="1"/>
  <c r="C773" i="32"/>
  <c r="E772" i="32"/>
  <c r="G772" i="32" s="1"/>
  <c r="C772" i="32"/>
  <c r="E771" i="32"/>
  <c r="G771" i="32" s="1"/>
  <c r="C771" i="32"/>
  <c r="G766" i="32"/>
  <c r="G765" i="32"/>
  <c r="G762" i="32"/>
  <c r="G761" i="32"/>
  <c r="G759" i="32"/>
  <c r="G758" i="32"/>
  <c r="E755" i="32"/>
  <c r="G755" i="32" s="1"/>
  <c r="C755" i="32"/>
  <c r="E754" i="32"/>
  <c r="G754" i="32" s="1"/>
  <c r="C754" i="32"/>
  <c r="E753" i="32"/>
  <c r="G753" i="32" s="1"/>
  <c r="C753" i="32"/>
  <c r="E752" i="32"/>
  <c r="G752" i="32" s="1"/>
  <c r="C752" i="32"/>
  <c r="C751" i="32"/>
  <c r="G1106" i="32"/>
  <c r="G1105" i="32"/>
  <c r="G1102" i="32"/>
  <c r="G1101" i="32"/>
  <c r="G1099" i="32"/>
  <c r="G1098" i="32"/>
  <c r="E1095" i="32"/>
  <c r="G1095" i="32" s="1"/>
  <c r="C1095" i="32"/>
  <c r="E1094" i="32"/>
  <c r="G1094" i="32" s="1"/>
  <c r="C1094" i="32"/>
  <c r="E1093" i="32"/>
  <c r="G1093" i="32" s="1"/>
  <c r="C1093" i="32"/>
  <c r="E1092" i="32"/>
  <c r="G1092" i="32" s="1"/>
  <c r="C1092" i="32"/>
  <c r="E1091" i="32"/>
  <c r="G1091" i="32" s="1"/>
  <c r="C1091" i="32"/>
  <c r="E1071" i="32"/>
  <c r="G1071" i="32" s="1"/>
  <c r="G1085" i="32"/>
  <c r="G1082" i="32"/>
  <c r="G1079" i="32"/>
  <c r="G1078" i="32"/>
  <c r="E1075" i="32"/>
  <c r="G1075" i="32" s="1"/>
  <c r="C1075" i="32"/>
  <c r="E1074" i="32"/>
  <c r="G1074" i="32" s="1"/>
  <c r="C1074" i="32"/>
  <c r="E1073" i="32"/>
  <c r="G1073" i="32" s="1"/>
  <c r="C1073" i="32"/>
  <c r="E1072" i="32"/>
  <c r="G1072" i="32" s="1"/>
  <c r="C1072" i="32"/>
  <c r="C1071" i="32"/>
  <c r="G1066" i="32"/>
  <c r="G1065" i="32"/>
  <c r="G1062" i="32"/>
  <c r="G1061" i="32"/>
  <c r="G1059" i="32"/>
  <c r="G1058" i="32"/>
  <c r="E1055" i="32"/>
  <c r="G1055" i="32" s="1"/>
  <c r="C1055" i="32"/>
  <c r="E1054" i="32"/>
  <c r="G1054" i="32" s="1"/>
  <c r="C1054" i="32"/>
  <c r="E1053" i="32"/>
  <c r="G1053" i="32" s="1"/>
  <c r="C1053" i="32"/>
  <c r="E1052" i="32"/>
  <c r="G1052" i="32" s="1"/>
  <c r="C1052" i="32"/>
  <c r="E1051" i="32"/>
  <c r="G1051" i="32" s="1"/>
  <c r="C1051" i="32"/>
  <c r="G442" i="32"/>
  <c r="G439" i="32"/>
  <c r="G438" i="32"/>
  <c r="E435" i="32"/>
  <c r="G435" i="32" s="1"/>
  <c r="C435" i="32"/>
  <c r="E434" i="32"/>
  <c r="G434" i="32" s="1"/>
  <c r="C434" i="32"/>
  <c r="E433" i="32"/>
  <c r="G433" i="32" s="1"/>
  <c r="C433" i="32"/>
  <c r="E432" i="32"/>
  <c r="G432" i="32" s="1"/>
  <c r="C432" i="32"/>
  <c r="E431" i="32"/>
  <c r="G431" i="32" s="1"/>
  <c r="C431" i="32"/>
  <c r="G546" i="32"/>
  <c r="G545" i="32"/>
  <c r="G542" i="32"/>
  <c r="G541" i="32"/>
  <c r="G539" i="32"/>
  <c r="G538" i="32"/>
  <c r="E535" i="32"/>
  <c r="G535" i="32" s="1"/>
  <c r="C535" i="32"/>
  <c r="E534" i="32"/>
  <c r="G534" i="32" s="1"/>
  <c r="C534" i="32"/>
  <c r="E533" i="32"/>
  <c r="G533" i="32" s="1"/>
  <c r="C533" i="32"/>
  <c r="E532" i="32"/>
  <c r="G532" i="32" s="1"/>
  <c r="C532" i="32"/>
  <c r="E531" i="32"/>
  <c r="G531" i="32" s="1"/>
  <c r="C531" i="32"/>
  <c r="G526" i="32"/>
  <c r="G522" i="32"/>
  <c r="G521" i="32"/>
  <c r="G519" i="32"/>
  <c r="G518" i="32"/>
  <c r="E515" i="32"/>
  <c r="G515" i="32" s="1"/>
  <c r="C515" i="32"/>
  <c r="E514" i="32"/>
  <c r="G514" i="32" s="1"/>
  <c r="C514" i="32"/>
  <c r="E513" i="32"/>
  <c r="G513" i="32" s="1"/>
  <c r="C513" i="32"/>
  <c r="E512" i="32"/>
  <c r="G512" i="32" s="1"/>
  <c r="C512" i="32"/>
  <c r="E511" i="32"/>
  <c r="G511" i="32" s="1"/>
  <c r="C511" i="32"/>
  <c r="G506" i="32"/>
  <c r="G505" i="32"/>
  <c r="G502" i="32"/>
  <c r="G499" i="32"/>
  <c r="E495" i="32"/>
  <c r="G495" i="32" s="1"/>
  <c r="C495" i="32"/>
  <c r="E494" i="32"/>
  <c r="G494" i="32" s="1"/>
  <c r="C494" i="32"/>
  <c r="E493" i="32"/>
  <c r="G493" i="32" s="1"/>
  <c r="C493" i="32"/>
  <c r="E492" i="32"/>
  <c r="G492" i="32" s="1"/>
  <c r="C492" i="32"/>
  <c r="E491" i="32"/>
  <c r="G491" i="32" s="1"/>
  <c r="C491" i="32"/>
  <c r="G586" i="32"/>
  <c r="G585" i="32"/>
  <c r="G582" i="32"/>
  <c r="G581" i="32"/>
  <c r="G579" i="32"/>
  <c r="E575" i="32"/>
  <c r="G575" i="32" s="1"/>
  <c r="C575" i="32"/>
  <c r="E574" i="32"/>
  <c r="G574" i="32" s="1"/>
  <c r="C574" i="32"/>
  <c r="E573" i="32"/>
  <c r="G573" i="32" s="1"/>
  <c r="C573" i="32"/>
  <c r="E572" i="32"/>
  <c r="G572" i="32" s="1"/>
  <c r="C572" i="32"/>
  <c r="E571" i="32"/>
  <c r="G571" i="32" s="1"/>
  <c r="C571" i="32"/>
  <c r="G565" i="32"/>
  <c r="G562" i="32"/>
  <c r="G559" i="32"/>
  <c r="E555" i="32"/>
  <c r="G555" i="32" s="1"/>
  <c r="C555" i="32"/>
  <c r="E554" i="32"/>
  <c r="G554" i="32" s="1"/>
  <c r="C554" i="32"/>
  <c r="E553" i="32"/>
  <c r="G553" i="32" s="1"/>
  <c r="C553" i="32"/>
  <c r="E552" i="32"/>
  <c r="G552" i="32" s="1"/>
  <c r="C552" i="32"/>
  <c r="E551" i="32"/>
  <c r="G551" i="32" s="1"/>
  <c r="C551" i="32"/>
  <c r="G665" i="32"/>
  <c r="G662" i="32"/>
  <c r="G659" i="32"/>
  <c r="E655" i="32"/>
  <c r="G655" i="32" s="1"/>
  <c r="C655" i="32"/>
  <c r="E654" i="32"/>
  <c r="G654" i="32" s="1"/>
  <c r="C654" i="32"/>
  <c r="E653" i="32"/>
  <c r="G653" i="32" s="1"/>
  <c r="C653" i="32"/>
  <c r="E652" i="32"/>
  <c r="G652" i="32" s="1"/>
  <c r="C652" i="32"/>
  <c r="E651" i="32"/>
  <c r="G651" i="32" s="1"/>
  <c r="C651" i="32"/>
  <c r="G646" i="32"/>
  <c r="G645" i="32"/>
  <c r="G642" i="32"/>
  <c r="G641" i="32"/>
  <c r="G639" i="32"/>
  <c r="E635" i="32"/>
  <c r="G635" i="32" s="1"/>
  <c r="C635" i="32"/>
  <c r="E634" i="32"/>
  <c r="G634" i="32" s="1"/>
  <c r="C634" i="32"/>
  <c r="E633" i="32"/>
  <c r="G633" i="32" s="1"/>
  <c r="C633" i="32"/>
  <c r="E632" i="32"/>
  <c r="G632" i="32" s="1"/>
  <c r="C632" i="32"/>
  <c r="E631" i="32"/>
  <c r="G631" i="32" s="1"/>
  <c r="C631" i="32"/>
  <c r="G626" i="32"/>
  <c r="G625" i="32"/>
  <c r="G622" i="32"/>
  <c r="G621" i="32"/>
  <c r="G619" i="32"/>
  <c r="E615" i="32"/>
  <c r="G615" i="32" s="1"/>
  <c r="C615" i="32"/>
  <c r="E614" i="32"/>
  <c r="G614" i="32" s="1"/>
  <c r="C614" i="32"/>
  <c r="E613" i="32"/>
  <c r="G613" i="32" s="1"/>
  <c r="C613" i="32"/>
  <c r="E612" i="32"/>
  <c r="G612" i="32" s="1"/>
  <c r="C612" i="32"/>
  <c r="E611" i="32"/>
  <c r="G611" i="32" s="1"/>
  <c r="C611" i="32"/>
  <c r="G606" i="32"/>
  <c r="G601" i="32"/>
  <c r="G599" i="32"/>
  <c r="E595" i="32"/>
  <c r="G595" i="32" s="1"/>
  <c r="C595" i="32"/>
  <c r="E594" i="32"/>
  <c r="G594" i="32" s="1"/>
  <c r="C594" i="32"/>
  <c r="E593" i="32"/>
  <c r="G593" i="32" s="1"/>
  <c r="C593" i="32"/>
  <c r="E592" i="32"/>
  <c r="G592" i="32" s="1"/>
  <c r="C592" i="32"/>
  <c r="E591" i="32"/>
  <c r="G591" i="32" s="1"/>
  <c r="C591" i="32"/>
  <c r="G1146" i="32"/>
  <c r="G1145" i="32"/>
  <c r="G1142" i="32"/>
  <c r="G1141" i="32"/>
  <c r="G1139" i="32"/>
  <c r="E1135" i="32"/>
  <c r="G1135" i="32" s="1"/>
  <c r="C1135" i="32"/>
  <c r="E1134" i="32"/>
  <c r="G1134" i="32" s="1"/>
  <c r="C1134" i="32"/>
  <c r="E1133" i="32"/>
  <c r="G1133" i="32" s="1"/>
  <c r="C1133" i="32"/>
  <c r="E1132" i="32"/>
  <c r="G1132" i="32" s="1"/>
  <c r="C1132" i="32"/>
  <c r="E1131" i="32"/>
  <c r="G1131" i="32" s="1"/>
  <c r="C1131" i="32"/>
  <c r="G746" i="32"/>
  <c r="G745" i="32"/>
  <c r="G741" i="32"/>
  <c r="G739" i="32"/>
  <c r="G738" i="32"/>
  <c r="E735" i="32"/>
  <c r="G735" i="32" s="1"/>
  <c r="C735" i="32"/>
  <c r="E734" i="32"/>
  <c r="G734" i="32" s="1"/>
  <c r="C734" i="32"/>
  <c r="E733" i="32"/>
  <c r="G733" i="32" s="1"/>
  <c r="C733" i="32"/>
  <c r="E732" i="32"/>
  <c r="G732" i="32" s="1"/>
  <c r="C732" i="32"/>
  <c r="E731" i="32"/>
  <c r="G731" i="32" s="1"/>
  <c r="C731" i="32"/>
  <c r="G726" i="32"/>
  <c r="G725" i="32"/>
  <c r="G722" i="32"/>
  <c r="G721" i="32"/>
  <c r="G719" i="32"/>
  <c r="G718" i="32"/>
  <c r="E715" i="32"/>
  <c r="G715" i="32" s="1"/>
  <c r="C715" i="32"/>
  <c r="E714" i="32"/>
  <c r="G714" i="32" s="1"/>
  <c r="C714" i="32"/>
  <c r="E713" i="32"/>
  <c r="G713" i="32" s="1"/>
  <c r="C713" i="32"/>
  <c r="E712" i="32"/>
  <c r="G712" i="32" s="1"/>
  <c r="C712" i="32"/>
  <c r="E711" i="32"/>
  <c r="G711" i="32" s="1"/>
  <c r="C711" i="32"/>
  <c r="G705" i="32"/>
  <c r="G699" i="32"/>
  <c r="G698" i="32"/>
  <c r="E695" i="32"/>
  <c r="G695" i="32" s="1"/>
  <c r="C695" i="32"/>
  <c r="E694" i="32"/>
  <c r="G694" i="32" s="1"/>
  <c r="C694" i="32"/>
  <c r="E693" i="32"/>
  <c r="G693" i="32" s="1"/>
  <c r="C693" i="32"/>
  <c r="E692" i="32"/>
  <c r="G692" i="32" s="1"/>
  <c r="C692" i="32"/>
  <c r="E691" i="32"/>
  <c r="G691" i="32" s="1"/>
  <c r="C691" i="32"/>
  <c r="G686" i="32"/>
  <c r="G685" i="32"/>
  <c r="G681" i="32"/>
  <c r="G679" i="32"/>
  <c r="E675" i="32"/>
  <c r="G675" i="32" s="1"/>
  <c r="C675" i="32"/>
  <c r="E674" i="32"/>
  <c r="G674" i="32" s="1"/>
  <c r="C674" i="32"/>
  <c r="E673" i="32"/>
  <c r="G673" i="32" s="1"/>
  <c r="C673" i="32"/>
  <c r="E672" i="32"/>
  <c r="G672" i="32" s="1"/>
  <c r="C672" i="32"/>
  <c r="E671" i="32"/>
  <c r="G671" i="32" s="1"/>
  <c r="C671" i="32"/>
  <c r="G1322" i="32"/>
  <c r="G1319" i="32"/>
  <c r="G1318" i="32"/>
  <c r="E1315" i="32"/>
  <c r="G1315" i="32" s="1"/>
  <c r="C1315" i="32"/>
  <c r="E1314" i="32"/>
  <c r="G1314" i="32" s="1"/>
  <c r="C1314" i="32"/>
  <c r="E1313" i="32"/>
  <c r="G1313" i="32" s="1"/>
  <c r="C1313" i="32"/>
  <c r="E1312" i="32"/>
  <c r="G1312" i="32" s="1"/>
  <c r="C1312" i="32"/>
  <c r="E1311" i="32"/>
  <c r="G1311" i="32" s="1"/>
  <c r="C1311" i="32"/>
  <c r="G1302" i="32"/>
  <c r="G1301" i="32"/>
  <c r="G1299" i="32"/>
  <c r="G1298" i="32"/>
  <c r="E1295" i="32"/>
  <c r="G1295" i="32" s="1"/>
  <c r="C1295" i="32"/>
  <c r="E1294" i="32"/>
  <c r="G1294" i="32" s="1"/>
  <c r="C1294" i="32"/>
  <c r="E1293" i="32"/>
  <c r="G1293" i="32" s="1"/>
  <c r="C1293" i="32"/>
  <c r="E1292" i="32"/>
  <c r="G1292" i="32" s="1"/>
  <c r="C1292" i="32"/>
  <c r="E1291" i="32"/>
  <c r="G1291" i="32" s="1"/>
  <c r="C1291" i="32"/>
  <c r="G1046" i="32"/>
  <c r="G1042" i="32"/>
  <c r="G1041" i="32"/>
  <c r="G1039" i="32"/>
  <c r="G1038" i="32"/>
  <c r="E1035" i="32"/>
  <c r="G1035" i="32" s="1"/>
  <c r="C1035" i="32"/>
  <c r="E1034" i="32"/>
  <c r="G1034" i="32" s="1"/>
  <c r="C1034" i="32"/>
  <c r="E1033" i="32"/>
  <c r="G1033" i="32" s="1"/>
  <c r="C1033" i="32"/>
  <c r="E1032" i="32"/>
  <c r="G1032" i="32" s="1"/>
  <c r="C1032" i="32"/>
  <c r="E1031" i="32"/>
  <c r="G1031" i="32" s="1"/>
  <c r="C1031" i="32"/>
  <c r="G1026" i="32"/>
  <c r="G1022" i="32"/>
  <c r="G1021" i="32"/>
  <c r="G1019" i="32"/>
  <c r="G1018" i="32"/>
  <c r="E1015" i="32"/>
  <c r="G1015" i="32" s="1"/>
  <c r="C1015" i="32"/>
  <c r="E1014" i="32"/>
  <c r="G1014" i="32" s="1"/>
  <c r="C1014" i="32"/>
  <c r="E1013" i="32"/>
  <c r="G1013" i="32" s="1"/>
  <c r="C1013" i="32"/>
  <c r="E1012" i="32"/>
  <c r="G1012" i="32" s="1"/>
  <c r="C1012" i="32"/>
  <c r="E1011" i="32"/>
  <c r="G1011" i="32" s="1"/>
  <c r="C1011" i="32"/>
  <c r="G1006" i="32"/>
  <c r="G1005" i="32"/>
  <c r="G1001" i="32"/>
  <c r="G999" i="32"/>
  <c r="E995" i="32"/>
  <c r="G995" i="32" s="1"/>
  <c r="C995" i="32"/>
  <c r="E994" i="32"/>
  <c r="G994" i="32" s="1"/>
  <c r="C994" i="32"/>
  <c r="E993" i="32"/>
  <c r="G993" i="32" s="1"/>
  <c r="C993" i="32"/>
  <c r="E992" i="32"/>
  <c r="G992" i="32" s="1"/>
  <c r="C992" i="32"/>
  <c r="E991" i="32"/>
  <c r="G991" i="32" s="1"/>
  <c r="C991" i="32"/>
  <c r="E172" i="32"/>
  <c r="G172" i="32" s="1"/>
  <c r="C172" i="32"/>
  <c r="E171" i="32"/>
  <c r="G171" i="32" s="1"/>
  <c r="C171" i="32"/>
  <c r="E170" i="32"/>
  <c r="G170" i="32" s="1"/>
  <c r="C170" i="32"/>
  <c r="E169" i="32"/>
  <c r="G169" i="32" s="1"/>
  <c r="E167" i="32"/>
  <c r="G167" i="32" s="1"/>
  <c r="E667" i="15"/>
  <c r="G667" i="15" s="1"/>
  <c r="C667" i="15" a="1"/>
  <c r="C667" i="15" s="1"/>
  <c r="E666" i="15"/>
  <c r="G666" i="15" s="1"/>
  <c r="C666" i="15" a="1"/>
  <c r="C666" i="15" s="1"/>
  <c r="C665" i="15"/>
  <c r="E663" i="15"/>
  <c r="G663" i="15" s="1"/>
  <c r="C663" i="15"/>
  <c r="E662" i="15"/>
  <c r="G662" i="15" s="1"/>
  <c r="C662" i="15"/>
  <c r="C660" i="15"/>
  <c r="E660" i="15" s="1"/>
  <c r="G660" i="15" s="1"/>
  <c r="C659" i="15"/>
  <c r="E659" i="15" s="1"/>
  <c r="G659" i="15" s="1"/>
  <c r="C658" i="15"/>
  <c r="E656" i="15"/>
  <c r="G656" i="15" s="1"/>
  <c r="C656" i="15"/>
  <c r="E655" i="15"/>
  <c r="G655" i="15" s="1"/>
  <c r="C655" i="15"/>
  <c r="E654" i="15"/>
  <c r="G654" i="15" s="1"/>
  <c r="C654" i="15"/>
  <c r="E653" i="15"/>
  <c r="G653" i="15" s="1"/>
  <c r="C653" i="15"/>
  <c r="E652" i="15"/>
  <c r="G652" i="15" s="1"/>
  <c r="C652" i="15"/>
  <c r="E647" i="15"/>
  <c r="G647" i="15" s="1"/>
  <c r="C647" i="15" a="1"/>
  <c r="C647" i="15" s="1"/>
  <c r="E646" i="15"/>
  <c r="G646" i="15" s="1"/>
  <c r="C646" i="15" a="1"/>
  <c r="C646" i="15" s="1"/>
  <c r="C645" i="15"/>
  <c r="E643" i="15"/>
  <c r="G643" i="15" s="1"/>
  <c r="C643" i="15"/>
  <c r="E642" i="15"/>
  <c r="G642" i="15" s="1"/>
  <c r="C642" i="15"/>
  <c r="C640" i="15"/>
  <c r="E640" i="15" s="1"/>
  <c r="G640" i="15" s="1"/>
  <c r="C639" i="15"/>
  <c r="E639" i="15" s="1"/>
  <c r="G639" i="15" s="1"/>
  <c r="C638" i="15"/>
  <c r="E636" i="15"/>
  <c r="G636" i="15" s="1"/>
  <c r="C636" i="15"/>
  <c r="E635" i="15"/>
  <c r="G635" i="15" s="1"/>
  <c r="C635" i="15"/>
  <c r="E634" i="15"/>
  <c r="G634" i="15" s="1"/>
  <c r="C634" i="15"/>
  <c r="E633" i="15"/>
  <c r="G633" i="15" s="1"/>
  <c r="C633" i="15"/>
  <c r="E632" i="15"/>
  <c r="G632" i="15" s="1"/>
  <c r="C632" i="15"/>
  <c r="E627" i="15"/>
  <c r="G627" i="15" s="1"/>
  <c r="C627" i="15" a="1"/>
  <c r="C627" i="15" s="1"/>
  <c r="E626" i="15"/>
  <c r="G626" i="15" s="1"/>
  <c r="C626" i="15" a="1"/>
  <c r="C626" i="15" s="1"/>
  <c r="C625" i="15"/>
  <c r="E623" i="15"/>
  <c r="G623" i="15" s="1"/>
  <c r="C623" i="15"/>
  <c r="E622" i="15"/>
  <c r="G622" i="15" s="1"/>
  <c r="C622" i="15"/>
  <c r="C620" i="15"/>
  <c r="E620" i="15" s="1"/>
  <c r="G620" i="15" s="1"/>
  <c r="C619" i="15"/>
  <c r="E619" i="15" s="1"/>
  <c r="G619" i="15" s="1"/>
  <c r="C618" i="15"/>
  <c r="E616" i="15"/>
  <c r="G616" i="15" s="1"/>
  <c r="C616" i="15"/>
  <c r="E615" i="15"/>
  <c r="G615" i="15" s="1"/>
  <c r="C615" i="15"/>
  <c r="E614" i="15"/>
  <c r="G614" i="15" s="1"/>
  <c r="C614" i="15"/>
  <c r="E613" i="15"/>
  <c r="G613" i="15" s="1"/>
  <c r="C613" i="15"/>
  <c r="E612" i="15"/>
  <c r="G612" i="15" s="1"/>
  <c r="C612" i="15"/>
  <c r="E727" i="15"/>
  <c r="G727" i="15" s="1"/>
  <c r="C727" i="15" a="1"/>
  <c r="C727" i="15" s="1"/>
  <c r="E726" i="15"/>
  <c r="G726" i="15" s="1"/>
  <c r="C726" i="15" a="1"/>
  <c r="C726" i="15" s="1"/>
  <c r="C725" i="15"/>
  <c r="E723" i="15"/>
  <c r="G723" i="15" s="1"/>
  <c r="C723" i="15"/>
  <c r="E722" i="15"/>
  <c r="G722" i="15" s="1"/>
  <c r="C722" i="15"/>
  <c r="C720" i="15"/>
  <c r="E720" i="15" s="1"/>
  <c r="G720" i="15" s="1"/>
  <c r="C719" i="15"/>
  <c r="E719" i="15" s="1"/>
  <c r="G719" i="15" s="1"/>
  <c r="C718" i="15"/>
  <c r="E716" i="15"/>
  <c r="G716" i="15" s="1"/>
  <c r="C716" i="15"/>
  <c r="E715" i="15"/>
  <c r="G715" i="15" s="1"/>
  <c r="C715" i="15"/>
  <c r="E714" i="15"/>
  <c r="G714" i="15" s="1"/>
  <c r="C714" i="15"/>
  <c r="E713" i="15"/>
  <c r="G713" i="15" s="1"/>
  <c r="C713" i="15"/>
  <c r="E712" i="15"/>
  <c r="G712" i="15" s="1"/>
  <c r="C712" i="15"/>
  <c r="E707" i="15"/>
  <c r="G707" i="15" s="1"/>
  <c r="C707" i="15" a="1"/>
  <c r="C707" i="15" s="1"/>
  <c r="E706" i="15"/>
  <c r="G706" i="15" s="1"/>
  <c r="C706" i="15" a="1"/>
  <c r="C706" i="15" s="1"/>
  <c r="C705" i="15"/>
  <c r="E703" i="15"/>
  <c r="G703" i="15" s="1"/>
  <c r="C703" i="15"/>
  <c r="E702" i="15"/>
  <c r="G702" i="15" s="1"/>
  <c r="C702" i="15"/>
  <c r="C700" i="15"/>
  <c r="E700" i="15" s="1"/>
  <c r="G700" i="15" s="1"/>
  <c r="C699" i="15"/>
  <c r="E699" i="15" s="1"/>
  <c r="G699" i="15" s="1"/>
  <c r="C698" i="15"/>
  <c r="E696" i="15"/>
  <c r="G696" i="15" s="1"/>
  <c r="C696" i="15"/>
  <c r="E695" i="15"/>
  <c r="G695" i="15" s="1"/>
  <c r="C695" i="15"/>
  <c r="E694" i="15"/>
  <c r="G694" i="15" s="1"/>
  <c r="C694" i="15"/>
  <c r="E693" i="15"/>
  <c r="G693" i="15" s="1"/>
  <c r="C693" i="15"/>
  <c r="E692" i="15"/>
  <c r="G692" i="15" s="1"/>
  <c r="C692" i="15"/>
  <c r="C672" i="15"/>
  <c r="E672" i="15"/>
  <c r="G672" i="15" s="1"/>
  <c r="C673" i="15"/>
  <c r="E673" i="15"/>
  <c r="G673" i="15" s="1"/>
  <c r="C674" i="15"/>
  <c r="E674" i="15"/>
  <c r="G674" i="15" s="1"/>
  <c r="C675" i="15"/>
  <c r="E675" i="15"/>
  <c r="G675" i="15" s="1"/>
  <c r="C676" i="15"/>
  <c r="E676" i="15"/>
  <c r="G676" i="15" s="1"/>
  <c r="C678" i="15"/>
  <c r="C679" i="15"/>
  <c r="E679" i="15" s="1"/>
  <c r="G679" i="15" s="1"/>
  <c r="C680" i="15"/>
  <c r="E680" i="15" s="1"/>
  <c r="G680" i="15" s="1"/>
  <c r="C682" i="15"/>
  <c r="E682" i="15"/>
  <c r="G682" i="15" s="1"/>
  <c r="C683" i="15"/>
  <c r="E683" i="15"/>
  <c r="G683" i="15" s="1"/>
  <c r="C685" i="15"/>
  <c r="C686" i="15" a="1"/>
  <c r="C686" i="15" s="1"/>
  <c r="E686" i="15"/>
  <c r="G686" i="15" s="1"/>
  <c r="C687" i="15" a="1"/>
  <c r="C687" i="15" s="1"/>
  <c r="E687" i="15"/>
  <c r="G687" i="15" s="1"/>
  <c r="E787" i="15"/>
  <c r="G787" i="15" s="1"/>
  <c r="C787" i="15" a="1"/>
  <c r="C787" i="15" s="1"/>
  <c r="E786" i="15"/>
  <c r="G786" i="15" s="1"/>
  <c r="C786" i="15" a="1"/>
  <c r="C786" i="15" s="1"/>
  <c r="C785" i="15"/>
  <c r="E783" i="15"/>
  <c r="G783" i="15" s="1"/>
  <c r="C783" i="15"/>
  <c r="E782" i="15"/>
  <c r="G782" i="15" s="1"/>
  <c r="C782" i="15"/>
  <c r="C780" i="15"/>
  <c r="E780" i="15" s="1"/>
  <c r="G780" i="15" s="1"/>
  <c r="C779" i="15"/>
  <c r="E779" i="15" s="1"/>
  <c r="G779" i="15" s="1"/>
  <c r="C778" i="15"/>
  <c r="E776" i="15"/>
  <c r="G776" i="15" s="1"/>
  <c r="C776" i="15"/>
  <c r="E775" i="15"/>
  <c r="G775" i="15" s="1"/>
  <c r="C775" i="15"/>
  <c r="E774" i="15"/>
  <c r="G774" i="15" s="1"/>
  <c r="C774" i="15"/>
  <c r="E773" i="15"/>
  <c r="G773" i="15" s="1"/>
  <c r="C773" i="15"/>
  <c r="E772" i="15"/>
  <c r="G772" i="15" s="1"/>
  <c r="C772" i="15"/>
  <c r="E1267" i="15"/>
  <c r="G1267" i="15" s="1"/>
  <c r="C1267" i="15" a="1"/>
  <c r="C1267" i="15" s="1"/>
  <c r="E1266" i="15"/>
  <c r="G1266" i="15" s="1"/>
  <c r="C1266" i="15" a="1"/>
  <c r="C1266" i="15" s="1"/>
  <c r="C1265" i="15"/>
  <c r="E1263" i="15"/>
  <c r="G1263" i="15" s="1"/>
  <c r="C1263" i="15"/>
  <c r="E1262" i="15"/>
  <c r="G1262" i="15" s="1"/>
  <c r="C1262" i="15"/>
  <c r="C1260" i="15"/>
  <c r="E1260" i="15" s="1"/>
  <c r="G1260" i="15" s="1"/>
  <c r="C1259" i="15"/>
  <c r="E1259" i="15" s="1"/>
  <c r="G1259" i="15" s="1"/>
  <c r="C1258" i="15"/>
  <c r="E1256" i="15"/>
  <c r="G1256" i="15" s="1"/>
  <c r="C1256" i="15"/>
  <c r="E1255" i="15"/>
  <c r="G1255" i="15" s="1"/>
  <c r="C1255" i="15"/>
  <c r="E1254" i="15"/>
  <c r="G1254" i="15" s="1"/>
  <c r="C1254" i="15"/>
  <c r="E1253" i="15"/>
  <c r="G1253" i="15" s="1"/>
  <c r="C1253" i="15"/>
  <c r="E1252" i="15"/>
  <c r="G1252" i="15" s="1"/>
  <c r="C1252" i="15"/>
  <c r="E1247" i="15"/>
  <c r="G1247" i="15" s="1"/>
  <c r="C1247" i="15" a="1"/>
  <c r="C1247" i="15" s="1"/>
  <c r="E1246" i="15"/>
  <c r="G1246" i="15" s="1"/>
  <c r="C1246" i="15" a="1"/>
  <c r="C1246" i="15" s="1"/>
  <c r="C1245" i="15"/>
  <c r="E1243" i="15"/>
  <c r="G1243" i="15" s="1"/>
  <c r="C1243" i="15"/>
  <c r="E1242" i="15"/>
  <c r="G1242" i="15" s="1"/>
  <c r="C1242" i="15"/>
  <c r="C1240" i="15"/>
  <c r="E1240" i="15" s="1"/>
  <c r="G1240" i="15" s="1"/>
  <c r="C1239" i="15"/>
  <c r="E1239" i="15" s="1"/>
  <c r="G1239" i="15" s="1"/>
  <c r="C1238" i="15"/>
  <c r="E1236" i="15"/>
  <c r="G1236" i="15" s="1"/>
  <c r="C1236" i="15"/>
  <c r="E1235" i="15"/>
  <c r="G1235" i="15" s="1"/>
  <c r="C1235" i="15"/>
  <c r="E1234" i="15"/>
  <c r="G1234" i="15" s="1"/>
  <c r="C1234" i="15"/>
  <c r="E1233" i="15"/>
  <c r="G1233" i="15" s="1"/>
  <c r="C1233" i="15"/>
  <c r="E1232" i="15"/>
  <c r="G1232" i="15" s="1"/>
  <c r="C1232" i="15"/>
  <c r="E2039" i="15"/>
  <c r="G2039" i="15" s="1"/>
  <c r="C2039" i="15" a="1"/>
  <c r="C2039" i="15" s="1"/>
  <c r="E2038" i="15"/>
  <c r="G2038" i="15" s="1"/>
  <c r="C2038" i="15" a="1"/>
  <c r="C2038" i="15" s="1"/>
  <c r="C2037" i="15"/>
  <c r="E2035" i="15"/>
  <c r="G2035" i="15" s="1"/>
  <c r="C2035" i="15"/>
  <c r="E2034" i="15"/>
  <c r="G2034" i="15" s="1"/>
  <c r="C2034" i="15"/>
  <c r="C2032" i="15"/>
  <c r="E2032" i="15" s="1"/>
  <c r="G2032" i="15" s="1"/>
  <c r="C2031" i="15"/>
  <c r="E2031" i="15" s="1"/>
  <c r="G2031" i="15" s="1"/>
  <c r="C2030" i="15"/>
  <c r="E2028" i="15"/>
  <c r="G2028" i="15" s="1"/>
  <c r="C2028" i="15"/>
  <c r="E2027" i="15"/>
  <c r="G2027" i="15" s="1"/>
  <c r="C2027" i="15"/>
  <c r="E2026" i="15"/>
  <c r="G2026" i="15" s="1"/>
  <c r="C2026" i="15"/>
  <c r="E2025" i="15"/>
  <c r="G2025" i="15" s="1"/>
  <c r="C2025" i="15"/>
  <c r="E2024" i="15"/>
  <c r="G2024" i="15" s="1"/>
  <c r="C2024" i="15"/>
  <c r="E1933" i="15"/>
  <c r="G1933" i="15" s="1"/>
  <c r="C1933" i="15" a="1"/>
  <c r="C1933" i="15" s="1"/>
  <c r="E1932" i="15"/>
  <c r="G1932" i="15" s="1"/>
  <c r="C1932" i="15" a="1"/>
  <c r="C1932" i="15" s="1"/>
  <c r="C1931" i="15"/>
  <c r="E1929" i="15"/>
  <c r="G1929" i="15" s="1"/>
  <c r="C1929" i="15"/>
  <c r="E1928" i="15"/>
  <c r="G1928" i="15" s="1"/>
  <c r="C1928" i="15"/>
  <c r="C1926" i="15"/>
  <c r="E1926" i="15" s="1"/>
  <c r="G1926" i="15" s="1"/>
  <c r="C1925" i="15"/>
  <c r="E1925" i="15" s="1"/>
  <c r="G1925" i="15" s="1"/>
  <c r="C1924" i="15"/>
  <c r="E1922" i="15"/>
  <c r="G1922" i="15" s="1"/>
  <c r="C1922" i="15"/>
  <c r="E1921" i="15"/>
  <c r="G1921" i="15" s="1"/>
  <c r="C1921" i="15"/>
  <c r="E1920" i="15"/>
  <c r="G1920" i="15" s="1"/>
  <c r="C1920" i="15"/>
  <c r="E1919" i="15"/>
  <c r="G1919" i="15" s="1"/>
  <c r="C1919" i="15"/>
  <c r="E1918" i="15"/>
  <c r="G1918" i="15" s="1"/>
  <c r="C1918" i="15"/>
  <c r="E1917" i="15"/>
  <c r="G1917" i="15" s="1"/>
  <c r="C1917" i="15"/>
  <c r="E1916" i="15"/>
  <c r="G1916" i="15" s="1"/>
  <c r="C1916" i="15"/>
  <c r="C1898" i="15"/>
  <c r="E1898" i="15"/>
  <c r="G1898" i="15" s="1"/>
  <c r="C1899" i="15"/>
  <c r="E1899" i="15"/>
  <c r="G1899" i="15" s="1"/>
  <c r="E1889" i="15"/>
  <c r="G1889" i="15" s="1"/>
  <c r="C1889" i="15" a="1"/>
  <c r="C1889" i="15" s="1"/>
  <c r="E1888" i="15"/>
  <c r="G1888" i="15" s="1"/>
  <c r="C1888" i="15" a="1"/>
  <c r="C1888" i="15" s="1"/>
  <c r="C1887" i="15"/>
  <c r="E1885" i="15"/>
  <c r="G1885" i="15" s="1"/>
  <c r="C1885" i="15"/>
  <c r="E1884" i="15"/>
  <c r="G1884" i="15" s="1"/>
  <c r="C1884" i="15"/>
  <c r="C1882" i="15"/>
  <c r="E1882" i="15" s="1"/>
  <c r="G1882" i="15" s="1"/>
  <c r="C1881" i="15"/>
  <c r="E1881" i="15" s="1"/>
  <c r="G1881" i="15" s="1"/>
  <c r="C1880" i="15"/>
  <c r="E1878" i="15"/>
  <c r="G1878" i="15" s="1"/>
  <c r="C1878" i="15"/>
  <c r="E1877" i="15"/>
  <c r="G1877" i="15" s="1"/>
  <c r="C1877" i="15"/>
  <c r="E1876" i="15"/>
  <c r="G1876" i="15" s="1"/>
  <c r="C1876" i="15"/>
  <c r="C1875" i="15"/>
  <c r="C1874" i="15"/>
  <c r="E1874" i="15"/>
  <c r="G1874" i="15" s="1"/>
  <c r="E1854" i="15"/>
  <c r="G1854" i="15" s="1"/>
  <c r="E1869" i="15"/>
  <c r="G1869" i="15" s="1"/>
  <c r="C1869" i="15" a="1"/>
  <c r="C1869" i="15" s="1"/>
  <c r="E1868" i="15"/>
  <c r="G1868" i="15" s="1"/>
  <c r="C1868" i="15" a="1"/>
  <c r="C1868" i="15" s="1"/>
  <c r="C1867" i="15"/>
  <c r="E1865" i="15"/>
  <c r="G1865" i="15" s="1"/>
  <c r="C1865" i="15"/>
  <c r="E1864" i="15"/>
  <c r="G1864" i="15" s="1"/>
  <c r="C1864" i="15"/>
  <c r="C1862" i="15"/>
  <c r="E1862" i="15" s="1"/>
  <c r="G1862" i="15" s="1"/>
  <c r="C1861" i="15"/>
  <c r="E1861" i="15" s="1"/>
  <c r="G1861" i="15" s="1"/>
  <c r="C1860" i="15"/>
  <c r="E1858" i="15"/>
  <c r="G1858" i="15" s="1"/>
  <c r="C1858" i="15"/>
  <c r="E1857" i="15"/>
  <c r="G1857" i="15" s="1"/>
  <c r="C1857" i="15"/>
  <c r="E1856" i="15"/>
  <c r="G1856" i="15" s="1"/>
  <c r="C1856" i="15"/>
  <c r="C1855" i="15"/>
  <c r="C1854" i="15"/>
  <c r="E1849" i="15"/>
  <c r="G1849" i="15" s="1"/>
  <c r="C1849" i="15" a="1"/>
  <c r="C1849" i="15" s="1"/>
  <c r="E1848" i="15"/>
  <c r="G1848" i="15" s="1"/>
  <c r="C1848" i="15" a="1"/>
  <c r="C1848" i="15" s="1"/>
  <c r="C1847" i="15"/>
  <c r="E1845" i="15"/>
  <c r="G1845" i="15" s="1"/>
  <c r="C1845" i="15"/>
  <c r="E1844" i="15"/>
  <c r="G1844" i="15" s="1"/>
  <c r="C1844" i="15"/>
  <c r="C1842" i="15"/>
  <c r="E1842" i="15" s="1"/>
  <c r="G1842" i="15" s="1"/>
  <c r="C1841" i="15"/>
  <c r="E1841" i="15" s="1"/>
  <c r="G1841" i="15" s="1"/>
  <c r="C1840" i="15"/>
  <c r="E1838" i="15"/>
  <c r="G1838" i="15" s="1"/>
  <c r="C1838" i="15"/>
  <c r="E1837" i="15"/>
  <c r="G1837" i="15" s="1"/>
  <c r="C1837" i="15"/>
  <c r="E1836" i="15"/>
  <c r="G1836" i="15" s="1"/>
  <c r="C1836" i="15"/>
  <c r="C1835" i="15"/>
  <c r="C1834" i="15"/>
  <c r="E1814" i="15"/>
  <c r="G1814" i="15" s="1"/>
  <c r="E1829" i="15"/>
  <c r="G1829" i="15" s="1"/>
  <c r="C1829" i="15" a="1"/>
  <c r="C1829" i="15" s="1"/>
  <c r="E1828" i="15"/>
  <c r="G1828" i="15" s="1"/>
  <c r="C1828" i="15" a="1"/>
  <c r="C1828" i="15" s="1"/>
  <c r="C1827" i="15"/>
  <c r="E1825" i="15"/>
  <c r="G1825" i="15" s="1"/>
  <c r="C1825" i="15"/>
  <c r="E1824" i="15"/>
  <c r="G1824" i="15" s="1"/>
  <c r="C1824" i="15"/>
  <c r="C1822" i="15"/>
  <c r="E1822" i="15" s="1"/>
  <c r="G1822" i="15" s="1"/>
  <c r="C1821" i="15"/>
  <c r="E1821" i="15" s="1"/>
  <c r="G1821" i="15" s="1"/>
  <c r="C1820" i="15"/>
  <c r="E1818" i="15"/>
  <c r="G1818" i="15" s="1"/>
  <c r="C1818" i="15"/>
  <c r="E1817" i="15"/>
  <c r="G1817" i="15" s="1"/>
  <c r="C1817" i="15"/>
  <c r="E1816" i="15"/>
  <c r="G1816" i="15" s="1"/>
  <c r="C1816" i="15"/>
  <c r="C1815" i="15"/>
  <c r="C1814" i="15"/>
  <c r="E1789" i="15"/>
  <c r="G1789" i="15" s="1"/>
  <c r="C1789" i="15" a="1"/>
  <c r="C1789" i="15" s="1"/>
  <c r="E1788" i="15"/>
  <c r="G1788" i="15" s="1"/>
  <c r="C1788" i="15" a="1"/>
  <c r="C1788" i="15" s="1"/>
  <c r="C1787" i="15"/>
  <c r="E1785" i="15"/>
  <c r="G1785" i="15" s="1"/>
  <c r="C1785" i="15"/>
  <c r="E1784" i="15"/>
  <c r="G1784" i="15" s="1"/>
  <c r="C1784" i="15"/>
  <c r="C1782" i="15"/>
  <c r="E1782" i="15" s="1"/>
  <c r="G1782" i="15" s="1"/>
  <c r="C1781" i="15"/>
  <c r="E1781" i="15" s="1"/>
  <c r="G1781" i="15" s="1"/>
  <c r="C1780" i="15"/>
  <c r="E1778" i="15"/>
  <c r="G1778" i="15" s="1"/>
  <c r="C1778" i="15"/>
  <c r="E1777" i="15"/>
  <c r="G1777" i="15" s="1"/>
  <c r="C1777" i="15"/>
  <c r="E1776" i="15"/>
  <c r="G1776" i="15" s="1"/>
  <c r="C1776" i="15"/>
  <c r="C1775" i="15"/>
  <c r="C1774" i="15"/>
  <c r="E1774" i="15"/>
  <c r="G1774" i="15" s="1"/>
  <c r="E1794" i="15"/>
  <c r="G1794" i="15" s="1"/>
  <c r="E1729" i="15"/>
  <c r="G1729" i="15" s="1"/>
  <c r="C1729" i="15" a="1"/>
  <c r="C1729" i="15" s="1"/>
  <c r="E1728" i="15"/>
  <c r="G1728" i="15" s="1"/>
  <c r="C1728" i="15" a="1"/>
  <c r="C1728" i="15" s="1"/>
  <c r="C1727" i="15"/>
  <c r="E1725" i="15"/>
  <c r="G1725" i="15" s="1"/>
  <c r="C1725" i="15"/>
  <c r="E1724" i="15"/>
  <c r="G1724" i="15" s="1"/>
  <c r="C1724" i="15"/>
  <c r="C1722" i="15"/>
  <c r="E1722" i="15" s="1"/>
  <c r="G1722" i="15" s="1"/>
  <c r="C1721" i="15"/>
  <c r="E1721" i="15" s="1"/>
  <c r="G1721" i="15" s="1"/>
  <c r="C1720" i="15"/>
  <c r="E1718" i="15"/>
  <c r="G1718" i="15" s="1"/>
  <c r="C1718" i="15"/>
  <c r="E1717" i="15"/>
  <c r="G1717" i="15" s="1"/>
  <c r="C1717" i="15"/>
  <c r="E1716" i="15"/>
  <c r="G1716" i="15" s="1"/>
  <c r="C1716" i="15"/>
  <c r="E1715" i="15"/>
  <c r="G1715" i="15" s="1"/>
  <c r="C1715" i="15"/>
  <c r="E1714" i="15"/>
  <c r="G1714" i="15" s="1"/>
  <c r="C1714" i="15"/>
  <c r="E1749" i="15"/>
  <c r="G1749" i="15" s="1"/>
  <c r="C1749" i="15" a="1"/>
  <c r="C1749" i="15" s="1"/>
  <c r="E1748" i="15"/>
  <c r="G1748" i="15" s="1"/>
  <c r="C1748" i="15" a="1"/>
  <c r="C1748" i="15" s="1"/>
  <c r="C1747" i="15"/>
  <c r="E1745" i="15"/>
  <c r="G1745" i="15" s="1"/>
  <c r="C1745" i="15"/>
  <c r="E1744" i="15"/>
  <c r="G1744" i="15" s="1"/>
  <c r="C1744" i="15"/>
  <c r="C1742" i="15"/>
  <c r="E1742" i="15" s="1"/>
  <c r="G1742" i="15" s="1"/>
  <c r="C1741" i="15"/>
  <c r="E1741" i="15" s="1"/>
  <c r="G1741" i="15" s="1"/>
  <c r="C1740" i="15"/>
  <c r="E1738" i="15"/>
  <c r="G1738" i="15" s="1"/>
  <c r="C1738" i="15"/>
  <c r="E1737" i="15"/>
  <c r="G1737" i="15" s="1"/>
  <c r="C1737" i="15"/>
  <c r="E1736" i="15"/>
  <c r="G1736" i="15" s="1"/>
  <c r="C1736" i="15"/>
  <c r="E1735" i="15"/>
  <c r="G1735" i="15" s="1"/>
  <c r="C1735" i="15"/>
  <c r="E1734" i="15"/>
  <c r="G1734" i="15" s="1"/>
  <c r="C1734" i="15"/>
  <c r="E1629" i="15"/>
  <c r="G1629" i="15" s="1"/>
  <c r="C1629" i="15" a="1"/>
  <c r="C1629" i="15" s="1"/>
  <c r="E1628" i="15"/>
  <c r="G1628" i="15" s="1"/>
  <c r="C1628" i="15" a="1"/>
  <c r="C1628" i="15" s="1"/>
  <c r="C1627" i="15"/>
  <c r="E1625" i="15"/>
  <c r="G1625" i="15" s="1"/>
  <c r="C1625" i="15"/>
  <c r="E1624" i="15"/>
  <c r="G1624" i="15" s="1"/>
  <c r="C1624" i="15"/>
  <c r="C1622" i="15"/>
  <c r="E1622" i="15" s="1"/>
  <c r="G1622" i="15" s="1"/>
  <c r="C1621" i="15"/>
  <c r="E1621" i="15" s="1"/>
  <c r="G1621" i="15" s="1"/>
  <c r="C1620" i="15"/>
  <c r="E1618" i="15"/>
  <c r="G1618" i="15" s="1"/>
  <c r="C1618" i="15"/>
  <c r="E1617" i="15"/>
  <c r="G1617" i="15" s="1"/>
  <c r="C1617" i="15"/>
  <c r="E1616" i="15"/>
  <c r="G1616" i="15" s="1"/>
  <c r="C1616" i="15"/>
  <c r="E1615" i="15"/>
  <c r="G1615" i="15" s="1"/>
  <c r="C1615" i="15"/>
  <c r="E1614" i="15"/>
  <c r="G1614" i="15" s="1"/>
  <c r="C1614" i="15"/>
  <c r="E1649" i="15"/>
  <c r="G1649" i="15" s="1"/>
  <c r="C1649" i="15" a="1"/>
  <c r="C1649" i="15" s="1"/>
  <c r="E1648" i="15"/>
  <c r="G1648" i="15" s="1"/>
  <c r="C1648" i="15" a="1"/>
  <c r="C1648" i="15" s="1"/>
  <c r="C1647" i="15"/>
  <c r="E1645" i="15"/>
  <c r="G1645" i="15" s="1"/>
  <c r="C1645" i="15"/>
  <c r="E1644" i="15"/>
  <c r="G1644" i="15" s="1"/>
  <c r="C1644" i="15"/>
  <c r="C1642" i="15"/>
  <c r="E1642" i="15" s="1"/>
  <c r="G1642" i="15" s="1"/>
  <c r="C1641" i="15"/>
  <c r="E1641" i="15" s="1"/>
  <c r="G1641" i="15" s="1"/>
  <c r="C1640" i="15"/>
  <c r="E1638" i="15"/>
  <c r="G1638" i="15" s="1"/>
  <c r="C1638" i="15"/>
  <c r="E1637" i="15"/>
  <c r="G1637" i="15" s="1"/>
  <c r="C1637" i="15"/>
  <c r="E1636" i="15"/>
  <c r="G1636" i="15" s="1"/>
  <c r="C1636" i="15"/>
  <c r="E1635" i="15"/>
  <c r="G1635" i="15" s="1"/>
  <c r="C1635" i="15"/>
  <c r="E1634" i="15"/>
  <c r="G1634" i="15" s="1"/>
  <c r="C1634" i="15"/>
  <c r="E1709" i="15"/>
  <c r="G1709" i="15" s="1"/>
  <c r="C1709" i="15" a="1"/>
  <c r="C1709" i="15" s="1"/>
  <c r="E1708" i="15"/>
  <c r="G1708" i="15" s="1"/>
  <c r="C1708" i="15" a="1"/>
  <c r="C1708" i="15" s="1"/>
  <c r="C1707" i="15"/>
  <c r="E1705" i="15"/>
  <c r="G1705" i="15" s="1"/>
  <c r="C1705" i="15"/>
  <c r="E1704" i="15"/>
  <c r="G1704" i="15" s="1"/>
  <c r="C1704" i="15"/>
  <c r="C1702" i="15"/>
  <c r="E1702" i="15" s="1"/>
  <c r="G1702" i="15" s="1"/>
  <c r="C1701" i="15"/>
  <c r="E1701" i="15" s="1"/>
  <c r="G1701" i="15" s="1"/>
  <c r="C1700" i="15"/>
  <c r="E1698" i="15"/>
  <c r="G1698" i="15" s="1"/>
  <c r="C1698" i="15"/>
  <c r="E1697" i="15"/>
  <c r="G1697" i="15" s="1"/>
  <c r="C1697" i="15"/>
  <c r="E1696" i="15"/>
  <c r="G1696" i="15" s="1"/>
  <c r="C1696" i="15"/>
  <c r="E1695" i="15"/>
  <c r="G1695" i="15" s="1"/>
  <c r="C1695" i="15"/>
  <c r="E1694" i="15"/>
  <c r="G1694" i="15" s="1"/>
  <c r="C1694" i="15"/>
  <c r="E2139" i="15"/>
  <c r="G2139" i="15" s="1"/>
  <c r="C2139" i="15" a="1"/>
  <c r="C2139" i="15" s="1"/>
  <c r="E2138" i="15"/>
  <c r="G2138" i="15" s="1"/>
  <c r="C2138" i="15" a="1"/>
  <c r="C2138" i="15" s="1"/>
  <c r="C2137" i="15"/>
  <c r="E2135" i="15"/>
  <c r="G2135" i="15" s="1"/>
  <c r="C2135" i="15"/>
  <c r="E2134" i="15"/>
  <c r="G2134" i="15" s="1"/>
  <c r="C2134" i="15"/>
  <c r="C2132" i="15"/>
  <c r="E2132" i="15" s="1"/>
  <c r="G2132" i="15" s="1"/>
  <c r="C2131" i="15"/>
  <c r="C2130" i="15"/>
  <c r="E2128" i="15"/>
  <c r="G2128" i="15" s="1"/>
  <c r="C2128" i="15"/>
  <c r="E2127" i="15"/>
  <c r="G2127" i="15" s="1"/>
  <c r="C2127" i="15"/>
  <c r="E2126" i="15"/>
  <c r="G2126" i="15" s="1"/>
  <c r="C2126" i="15"/>
  <c r="E2125" i="15"/>
  <c r="G2125" i="15" s="1"/>
  <c r="C2125" i="15"/>
  <c r="E2124" i="15"/>
  <c r="G2124" i="15" s="1"/>
  <c r="C2124" i="15"/>
  <c r="G2119" i="15"/>
  <c r="G2118" i="15"/>
  <c r="G2115" i="15"/>
  <c r="G2114" i="15"/>
  <c r="G2112" i="15"/>
  <c r="G2111" i="15"/>
  <c r="G2108" i="15"/>
  <c r="G2107" i="15"/>
  <c r="G2106" i="15"/>
  <c r="G2105" i="15"/>
  <c r="G2104" i="15"/>
  <c r="E1669" i="15"/>
  <c r="G1669" i="15" s="1"/>
  <c r="C1669" i="15" a="1"/>
  <c r="C1669" i="15" s="1"/>
  <c r="E1668" i="15"/>
  <c r="G1668" i="15" s="1"/>
  <c r="C1668" i="15" a="1"/>
  <c r="C1668" i="15" s="1"/>
  <c r="C1667" i="15"/>
  <c r="E1665" i="15"/>
  <c r="G1665" i="15" s="1"/>
  <c r="C1665" i="15"/>
  <c r="E1664" i="15"/>
  <c r="G1664" i="15" s="1"/>
  <c r="C1664" i="15"/>
  <c r="C1662" i="15"/>
  <c r="E1662" i="15" s="1"/>
  <c r="G1662" i="15" s="1"/>
  <c r="C1661" i="15"/>
  <c r="E1661" i="15" s="1"/>
  <c r="G1661" i="15" s="1"/>
  <c r="C1660" i="15"/>
  <c r="E1658" i="15"/>
  <c r="G1658" i="15" s="1"/>
  <c r="C1658" i="15"/>
  <c r="E1657" i="15"/>
  <c r="G1657" i="15" s="1"/>
  <c r="C1657" i="15"/>
  <c r="E1656" i="15"/>
  <c r="G1656" i="15" s="1"/>
  <c r="C1656" i="15"/>
  <c r="E1655" i="15"/>
  <c r="G1655" i="15" s="1"/>
  <c r="C1655" i="15"/>
  <c r="E1654" i="15"/>
  <c r="G1654" i="15" s="1"/>
  <c r="C1654" i="15"/>
  <c r="E1769" i="15"/>
  <c r="G1769" i="15" s="1"/>
  <c r="C1769" i="15" a="1"/>
  <c r="C1769" i="15" s="1"/>
  <c r="E1768" i="15"/>
  <c r="G1768" i="15" s="1"/>
  <c r="C1768" i="15" a="1"/>
  <c r="C1768" i="15" s="1"/>
  <c r="C1767" i="15"/>
  <c r="E1765" i="15"/>
  <c r="G1765" i="15" s="1"/>
  <c r="C1765" i="15"/>
  <c r="E1764" i="15"/>
  <c r="G1764" i="15" s="1"/>
  <c r="C1764" i="15"/>
  <c r="C1762" i="15"/>
  <c r="E1762" i="15" s="1"/>
  <c r="G1762" i="15" s="1"/>
  <c r="C1761" i="15"/>
  <c r="E1761" i="15" s="1"/>
  <c r="G1761" i="15" s="1"/>
  <c r="C1760" i="15"/>
  <c r="E1758" i="15"/>
  <c r="G1758" i="15" s="1"/>
  <c r="C1758" i="15"/>
  <c r="E1757" i="15"/>
  <c r="G1757" i="15" s="1"/>
  <c r="C1757" i="15"/>
  <c r="E1756" i="15"/>
  <c r="G1756" i="15" s="1"/>
  <c r="C1756" i="15"/>
  <c r="E1755" i="15"/>
  <c r="G1755" i="15" s="1"/>
  <c r="C1755" i="15"/>
  <c r="E1754" i="15"/>
  <c r="G1754" i="15" s="1"/>
  <c r="C1754" i="15"/>
  <c r="G2099" i="15"/>
  <c r="G2098" i="15"/>
  <c r="G2095" i="15"/>
  <c r="G2094" i="15"/>
  <c r="G2092" i="15"/>
  <c r="G2091" i="15"/>
  <c r="G2088" i="15"/>
  <c r="G2087" i="15"/>
  <c r="G2086" i="15"/>
  <c r="G2085" i="15"/>
  <c r="G2084" i="15"/>
  <c r="E1494" i="15"/>
  <c r="G1494" i="15" s="1"/>
  <c r="E1509" i="15"/>
  <c r="G1509" i="15" s="1"/>
  <c r="C1509" i="15" a="1"/>
  <c r="C1509" i="15" s="1"/>
  <c r="E1508" i="15"/>
  <c r="G1508" i="15" s="1"/>
  <c r="C1508" i="15" a="1"/>
  <c r="C1508" i="15" s="1"/>
  <c r="C1507" i="15"/>
  <c r="E1505" i="15"/>
  <c r="G1505" i="15" s="1"/>
  <c r="C1505" i="15"/>
  <c r="E1504" i="15"/>
  <c r="G1504" i="15" s="1"/>
  <c r="C1504" i="15"/>
  <c r="C1502" i="15"/>
  <c r="E1502" i="15" s="1"/>
  <c r="G1502" i="15" s="1"/>
  <c r="C1501" i="15"/>
  <c r="E1501" i="15" s="1"/>
  <c r="G1501" i="15" s="1"/>
  <c r="C1500" i="15"/>
  <c r="E1498" i="15"/>
  <c r="G1498" i="15" s="1"/>
  <c r="C1498" i="15"/>
  <c r="E1497" i="15"/>
  <c r="G1497" i="15" s="1"/>
  <c r="C1497" i="15"/>
  <c r="E1496" i="15"/>
  <c r="G1496" i="15" s="1"/>
  <c r="C1496" i="15"/>
  <c r="E1495" i="15"/>
  <c r="G1495" i="15" s="1"/>
  <c r="C1495" i="15"/>
  <c r="C1494" i="15"/>
  <c r="E1414" i="15"/>
  <c r="G1414" i="15" s="1"/>
  <c r="E1429" i="15"/>
  <c r="G1429" i="15" s="1"/>
  <c r="C1429" i="15" a="1"/>
  <c r="C1429" i="15" s="1"/>
  <c r="E1428" i="15"/>
  <c r="G1428" i="15" s="1"/>
  <c r="C1428" i="15" a="1"/>
  <c r="C1428" i="15" s="1"/>
  <c r="C1427" i="15"/>
  <c r="E1425" i="15"/>
  <c r="G1425" i="15" s="1"/>
  <c r="C1425" i="15"/>
  <c r="E1424" i="15"/>
  <c r="G1424" i="15" s="1"/>
  <c r="C1424" i="15"/>
  <c r="C1422" i="15"/>
  <c r="E1422" i="15" s="1"/>
  <c r="G1422" i="15" s="1"/>
  <c r="C1421" i="15"/>
  <c r="E1421" i="15" s="1"/>
  <c r="G1421" i="15" s="1"/>
  <c r="C1420" i="15"/>
  <c r="E1418" i="15"/>
  <c r="G1418" i="15" s="1"/>
  <c r="C1418" i="15"/>
  <c r="E1417" i="15"/>
  <c r="G1417" i="15" s="1"/>
  <c r="C1417" i="15"/>
  <c r="E1416" i="15"/>
  <c r="G1416" i="15" s="1"/>
  <c r="C1416" i="15"/>
  <c r="E1415" i="15"/>
  <c r="G1415" i="15" s="1"/>
  <c r="C1415" i="15"/>
  <c r="C1414" i="15"/>
  <c r="E1409" i="15"/>
  <c r="G1409" i="15" s="1"/>
  <c r="C1409" i="15" a="1"/>
  <c r="C1409" i="15" s="1"/>
  <c r="E1408" i="15"/>
  <c r="G1408" i="15" s="1"/>
  <c r="C1408" i="15" a="1"/>
  <c r="C1408" i="15" s="1"/>
  <c r="C1407" i="15"/>
  <c r="E1405" i="15"/>
  <c r="G1405" i="15" s="1"/>
  <c r="C1405" i="15"/>
  <c r="E1404" i="15"/>
  <c r="G1404" i="15" s="1"/>
  <c r="C1404" i="15"/>
  <c r="C1402" i="15"/>
  <c r="E1402" i="15" s="1"/>
  <c r="G1402" i="15" s="1"/>
  <c r="C1401" i="15"/>
  <c r="E1401" i="15" s="1"/>
  <c r="G1401" i="15" s="1"/>
  <c r="C1400" i="15"/>
  <c r="E1398" i="15"/>
  <c r="G1398" i="15" s="1"/>
  <c r="C1398" i="15"/>
  <c r="E1397" i="15"/>
  <c r="G1397" i="15" s="1"/>
  <c r="C1397" i="15"/>
  <c r="E1396" i="15"/>
  <c r="G1396" i="15" s="1"/>
  <c r="C1396" i="15"/>
  <c r="E1395" i="15"/>
  <c r="G1395" i="15" s="1"/>
  <c r="C1395" i="15"/>
  <c r="C1394" i="15"/>
  <c r="E1394" i="15"/>
  <c r="G1394" i="15" s="1"/>
  <c r="E1574" i="15"/>
  <c r="G1574" i="15" s="1"/>
  <c r="G2064" i="15"/>
  <c r="E1589" i="15"/>
  <c r="G1589" i="15" s="1"/>
  <c r="C1589" i="15" a="1"/>
  <c r="C1589" i="15" s="1"/>
  <c r="E1588" i="15"/>
  <c r="G1588" i="15" s="1"/>
  <c r="C1588" i="15" a="1"/>
  <c r="C1588" i="15" s="1"/>
  <c r="C1587" i="15"/>
  <c r="E1585" i="15"/>
  <c r="G1585" i="15" s="1"/>
  <c r="C1585" i="15"/>
  <c r="E1584" i="15"/>
  <c r="G1584" i="15" s="1"/>
  <c r="C1584" i="15"/>
  <c r="C1582" i="15"/>
  <c r="E1582" i="15" s="1"/>
  <c r="G1582" i="15" s="1"/>
  <c r="C1581" i="15"/>
  <c r="E1581" i="15" s="1"/>
  <c r="G1581" i="15" s="1"/>
  <c r="C1580" i="15"/>
  <c r="E1578" i="15"/>
  <c r="G1578" i="15" s="1"/>
  <c r="C1578" i="15"/>
  <c r="E1577" i="15"/>
  <c r="G1577" i="15" s="1"/>
  <c r="C1577" i="15"/>
  <c r="E1576" i="15"/>
  <c r="G1576" i="15" s="1"/>
  <c r="C1576" i="15"/>
  <c r="E1575" i="15"/>
  <c r="G1575" i="15" s="1"/>
  <c r="C1575" i="15"/>
  <c r="C1574" i="15"/>
  <c r="G2079" i="15"/>
  <c r="G2078" i="15"/>
  <c r="G2075" i="15"/>
  <c r="G2074" i="15"/>
  <c r="G2072" i="15"/>
  <c r="G2071" i="15"/>
  <c r="G2068" i="15"/>
  <c r="G2067" i="15"/>
  <c r="G2066" i="15"/>
  <c r="G2065" i="15"/>
  <c r="E1554" i="15"/>
  <c r="G1554" i="15" s="1"/>
  <c r="E1569" i="15"/>
  <c r="G1569" i="15" s="1"/>
  <c r="C1569" i="15" a="1"/>
  <c r="C1569" i="15" s="1"/>
  <c r="E1568" i="15"/>
  <c r="G1568" i="15" s="1"/>
  <c r="C1568" i="15" a="1"/>
  <c r="C1568" i="15" s="1"/>
  <c r="C1567" i="15"/>
  <c r="E1565" i="15"/>
  <c r="G1565" i="15" s="1"/>
  <c r="C1565" i="15"/>
  <c r="E1564" i="15"/>
  <c r="G1564" i="15" s="1"/>
  <c r="C1564" i="15"/>
  <c r="C1562" i="15"/>
  <c r="E1562" i="15" s="1"/>
  <c r="G1562" i="15" s="1"/>
  <c r="C1561" i="15"/>
  <c r="E1561" i="15" s="1"/>
  <c r="G1561" i="15" s="1"/>
  <c r="C1560" i="15"/>
  <c r="E1558" i="15"/>
  <c r="G1558" i="15" s="1"/>
  <c r="C1558" i="15"/>
  <c r="E1557" i="15"/>
  <c r="G1557" i="15" s="1"/>
  <c r="C1557" i="15"/>
  <c r="E1556" i="15"/>
  <c r="G1556" i="15" s="1"/>
  <c r="C1556" i="15"/>
  <c r="E1555" i="15"/>
  <c r="G1555" i="15" s="1"/>
  <c r="C1555" i="15"/>
  <c r="C1554" i="15"/>
  <c r="E1389" i="15"/>
  <c r="G1389" i="15" s="1"/>
  <c r="C1389" i="15" a="1"/>
  <c r="C1389" i="15" s="1"/>
  <c r="E1388" i="15"/>
  <c r="G1388" i="15" s="1"/>
  <c r="C1388" i="15" a="1"/>
  <c r="C1388" i="15" s="1"/>
  <c r="C1387" i="15"/>
  <c r="E1385" i="15"/>
  <c r="G1385" i="15" s="1"/>
  <c r="C1385" i="15"/>
  <c r="E1384" i="15"/>
  <c r="G1384" i="15" s="1"/>
  <c r="C1384" i="15"/>
  <c r="C1382" i="15"/>
  <c r="E1382" i="15" s="1"/>
  <c r="G1382" i="15" s="1"/>
  <c r="C1381" i="15"/>
  <c r="E1381" i="15" s="1"/>
  <c r="G1381" i="15" s="1"/>
  <c r="C1380" i="15"/>
  <c r="E1378" i="15"/>
  <c r="G1378" i="15" s="1"/>
  <c r="C1378" i="15"/>
  <c r="E1377" i="15"/>
  <c r="G1377" i="15" s="1"/>
  <c r="C1377" i="15"/>
  <c r="E1376" i="15"/>
  <c r="G1376" i="15" s="1"/>
  <c r="C1376" i="15"/>
  <c r="E1375" i="15"/>
  <c r="G1375" i="15" s="1"/>
  <c r="C1375" i="15"/>
  <c r="C1374" i="15"/>
  <c r="E1534" i="15"/>
  <c r="G1534" i="15" s="1"/>
  <c r="E1549" i="15"/>
  <c r="G1549" i="15" s="1"/>
  <c r="C1549" i="15" a="1"/>
  <c r="C1549" i="15" s="1"/>
  <c r="E1548" i="15"/>
  <c r="G1548" i="15" s="1"/>
  <c r="C1548" i="15" a="1"/>
  <c r="C1548" i="15" s="1"/>
  <c r="C1547" i="15"/>
  <c r="E1545" i="15"/>
  <c r="G1545" i="15" s="1"/>
  <c r="C1545" i="15"/>
  <c r="E1544" i="15"/>
  <c r="G1544" i="15" s="1"/>
  <c r="C1544" i="15"/>
  <c r="C1542" i="15"/>
  <c r="E1542" i="15" s="1"/>
  <c r="G1542" i="15" s="1"/>
  <c r="C1541" i="15"/>
  <c r="E1541" i="15" s="1"/>
  <c r="G1541" i="15" s="1"/>
  <c r="C1540" i="15"/>
  <c r="E1538" i="15"/>
  <c r="G1538" i="15" s="1"/>
  <c r="C1538" i="15"/>
  <c r="E1537" i="15"/>
  <c r="G1537" i="15" s="1"/>
  <c r="C1537" i="15"/>
  <c r="E1536" i="15"/>
  <c r="G1536" i="15" s="1"/>
  <c r="C1536" i="15"/>
  <c r="E1535" i="15"/>
  <c r="G1535" i="15" s="1"/>
  <c r="C1535" i="15"/>
  <c r="C1534" i="15"/>
  <c r="E1369" i="15"/>
  <c r="G1369" i="15" s="1"/>
  <c r="C1369" i="15" a="1"/>
  <c r="C1369" i="15" s="1"/>
  <c r="E1368" i="15"/>
  <c r="G1368" i="15" s="1"/>
  <c r="C1368" i="15" a="1"/>
  <c r="C1368" i="15" s="1"/>
  <c r="C1367" i="15"/>
  <c r="E1365" i="15"/>
  <c r="G1365" i="15" s="1"/>
  <c r="C1365" i="15"/>
  <c r="E1364" i="15"/>
  <c r="G1364" i="15" s="1"/>
  <c r="C1364" i="15"/>
  <c r="C1362" i="15"/>
  <c r="E1362" i="15" s="1"/>
  <c r="G1362" i="15" s="1"/>
  <c r="C1361" i="15"/>
  <c r="E1361" i="15" s="1"/>
  <c r="G1361" i="15" s="1"/>
  <c r="C1360" i="15"/>
  <c r="E1358" i="15"/>
  <c r="G1358" i="15" s="1"/>
  <c r="C1358" i="15"/>
  <c r="E1357" i="15"/>
  <c r="G1357" i="15" s="1"/>
  <c r="C1357" i="15"/>
  <c r="E1356" i="15"/>
  <c r="G1356" i="15" s="1"/>
  <c r="C1356" i="15"/>
  <c r="E1355" i="15"/>
  <c r="G1355" i="15" s="1"/>
  <c r="C1355" i="15"/>
  <c r="C1354" i="15"/>
  <c r="E1334" i="15"/>
  <c r="G1334" i="15" s="1"/>
  <c r="E1349" i="15"/>
  <c r="G1349" i="15" s="1"/>
  <c r="C1349" i="15" a="1"/>
  <c r="C1349" i="15" s="1"/>
  <c r="E1348" i="15"/>
  <c r="G1348" i="15" s="1"/>
  <c r="C1348" i="15" a="1"/>
  <c r="C1348" i="15" s="1"/>
  <c r="C1347" i="15"/>
  <c r="E1345" i="15"/>
  <c r="G1345" i="15" s="1"/>
  <c r="C1345" i="15"/>
  <c r="E1344" i="15"/>
  <c r="G1344" i="15" s="1"/>
  <c r="C1344" i="15"/>
  <c r="C1342" i="15"/>
  <c r="E1342" i="15" s="1"/>
  <c r="G1342" i="15" s="1"/>
  <c r="C1341" i="15"/>
  <c r="E1341" i="15" s="1"/>
  <c r="G1341" i="15" s="1"/>
  <c r="C1340" i="15"/>
  <c r="E1338" i="15"/>
  <c r="G1338" i="15" s="1"/>
  <c r="C1338" i="15"/>
  <c r="E1337" i="15"/>
  <c r="G1337" i="15" s="1"/>
  <c r="C1337" i="15"/>
  <c r="E1336" i="15"/>
  <c r="G1336" i="15" s="1"/>
  <c r="C1336" i="15"/>
  <c r="E1335" i="15"/>
  <c r="G1335" i="15" s="1"/>
  <c r="C1335" i="15"/>
  <c r="C1334" i="15"/>
  <c r="G2044" i="15"/>
  <c r="G2059" i="15"/>
  <c r="G2058" i="15"/>
  <c r="G2055" i="15"/>
  <c r="G2054" i="15"/>
  <c r="G2052" i="15"/>
  <c r="G2051" i="15"/>
  <c r="G2048" i="15"/>
  <c r="G2047" i="15"/>
  <c r="G2046" i="15"/>
  <c r="G2045" i="15"/>
  <c r="G1982" i="15"/>
  <c r="E1999" i="15"/>
  <c r="G1999" i="15" s="1"/>
  <c r="C1999" i="15" a="1"/>
  <c r="C1999" i="15" s="1"/>
  <c r="E1998" i="15"/>
  <c r="G1998" i="15" s="1"/>
  <c r="C1998" i="15" a="1"/>
  <c r="C1998" i="15" s="1"/>
  <c r="C1997" i="15"/>
  <c r="E1995" i="15"/>
  <c r="G1995" i="15" s="1"/>
  <c r="C1995" i="15"/>
  <c r="E1994" i="15"/>
  <c r="G1994" i="15" s="1"/>
  <c r="C1994" i="15"/>
  <c r="C1992" i="15"/>
  <c r="E1992" i="15" s="1"/>
  <c r="G1992" i="15" s="1"/>
  <c r="C1991" i="15"/>
  <c r="E1991" i="15" s="1"/>
  <c r="G1991" i="15" s="1"/>
  <c r="C1990" i="15"/>
  <c r="G1988" i="15"/>
  <c r="G1985" i="15"/>
  <c r="G1984" i="15"/>
  <c r="G1983" i="15"/>
  <c r="E1474" i="15"/>
  <c r="G1474" i="15" s="1"/>
  <c r="E1489" i="15"/>
  <c r="G1489" i="15" s="1"/>
  <c r="C1489" i="15" a="1"/>
  <c r="C1489" i="15" s="1"/>
  <c r="E1488" i="15"/>
  <c r="G1488" i="15" s="1"/>
  <c r="C1488" i="15" a="1"/>
  <c r="C1488" i="15" s="1"/>
  <c r="C1487" i="15"/>
  <c r="E1485" i="15"/>
  <c r="G1485" i="15" s="1"/>
  <c r="C1485" i="15"/>
  <c r="E1484" i="15"/>
  <c r="G1484" i="15" s="1"/>
  <c r="C1484" i="15"/>
  <c r="C1482" i="15"/>
  <c r="E1482" i="15" s="1"/>
  <c r="G1482" i="15" s="1"/>
  <c r="C1481" i="15"/>
  <c r="E1481" i="15" s="1"/>
  <c r="G1481" i="15" s="1"/>
  <c r="C1480" i="15"/>
  <c r="E1478" i="15"/>
  <c r="G1478" i="15" s="1"/>
  <c r="C1478" i="15"/>
  <c r="E1477" i="15"/>
  <c r="G1477" i="15" s="1"/>
  <c r="C1477" i="15"/>
  <c r="E1476" i="15"/>
  <c r="G1476" i="15" s="1"/>
  <c r="C1476" i="15"/>
  <c r="E1475" i="15"/>
  <c r="G1475" i="15" s="1"/>
  <c r="C1475" i="15"/>
  <c r="C1474" i="15"/>
  <c r="E1977" i="15"/>
  <c r="G1977" i="15" s="1"/>
  <c r="C1977" i="15" a="1"/>
  <c r="C1977" i="15" s="1"/>
  <c r="E1976" i="15"/>
  <c r="G1976" i="15" s="1"/>
  <c r="C1976" i="15" a="1"/>
  <c r="C1976" i="15" s="1"/>
  <c r="C1975" i="15"/>
  <c r="E1973" i="15"/>
  <c r="G1973" i="15" s="1"/>
  <c r="C1973" i="15"/>
  <c r="E1972" i="15"/>
  <c r="G1972" i="15" s="1"/>
  <c r="C1972" i="15"/>
  <c r="C1970" i="15"/>
  <c r="E1970" i="15" s="1"/>
  <c r="G1970" i="15" s="1"/>
  <c r="C1969" i="15"/>
  <c r="E1969" i="15" s="1"/>
  <c r="G1969" i="15" s="1"/>
  <c r="C1968" i="15"/>
  <c r="G1966" i="15"/>
  <c r="G1963" i="15"/>
  <c r="G1962" i="15"/>
  <c r="G1961" i="15"/>
  <c r="G1960" i="15"/>
  <c r="E1469" i="15"/>
  <c r="G1469" i="15" s="1"/>
  <c r="C1469" i="15" a="1"/>
  <c r="C1469" i="15" s="1"/>
  <c r="E1468" i="15"/>
  <c r="G1468" i="15" s="1"/>
  <c r="C1468" i="15" a="1"/>
  <c r="C1468" i="15" s="1"/>
  <c r="C1467" i="15"/>
  <c r="E1465" i="15"/>
  <c r="G1465" i="15" s="1"/>
  <c r="C1465" i="15"/>
  <c r="E1464" i="15"/>
  <c r="G1464" i="15" s="1"/>
  <c r="C1464" i="15"/>
  <c r="C1462" i="15"/>
  <c r="E1462" i="15" s="1"/>
  <c r="G1462" i="15" s="1"/>
  <c r="C1461" i="15"/>
  <c r="E1461" i="15" s="1"/>
  <c r="G1461" i="15" s="1"/>
  <c r="C1460" i="15"/>
  <c r="E1458" i="15"/>
  <c r="G1458" i="15" s="1"/>
  <c r="C1458" i="15"/>
  <c r="E1457" i="15"/>
  <c r="G1457" i="15" s="1"/>
  <c r="C1457" i="15"/>
  <c r="E1456" i="15"/>
  <c r="G1456" i="15" s="1"/>
  <c r="C1456" i="15"/>
  <c r="E1455" i="15"/>
  <c r="G1455" i="15" s="1"/>
  <c r="C1455" i="15"/>
  <c r="C1454" i="15"/>
  <c r="E1454" i="15"/>
  <c r="G1454" i="15" s="1"/>
  <c r="E1434" i="15"/>
  <c r="G1434" i="15" s="1"/>
  <c r="E1449" i="15"/>
  <c r="G1449" i="15" s="1"/>
  <c r="C1449" i="15" a="1"/>
  <c r="C1449" i="15" s="1"/>
  <c r="E1448" i="15"/>
  <c r="G1448" i="15" s="1"/>
  <c r="C1448" i="15" a="1"/>
  <c r="C1448" i="15" s="1"/>
  <c r="C1447" i="15"/>
  <c r="E1445" i="15"/>
  <c r="G1445" i="15" s="1"/>
  <c r="C1445" i="15"/>
  <c r="E1444" i="15"/>
  <c r="G1444" i="15" s="1"/>
  <c r="C1444" i="15"/>
  <c r="C1442" i="15"/>
  <c r="E1442" i="15" s="1"/>
  <c r="G1442" i="15" s="1"/>
  <c r="C1441" i="15"/>
  <c r="E1441" i="15" s="1"/>
  <c r="G1441" i="15" s="1"/>
  <c r="C1440" i="15"/>
  <c r="E1438" i="15"/>
  <c r="G1438" i="15" s="1"/>
  <c r="C1438" i="15"/>
  <c r="E1437" i="15"/>
  <c r="G1437" i="15" s="1"/>
  <c r="C1437" i="15"/>
  <c r="E1436" i="15"/>
  <c r="G1436" i="15" s="1"/>
  <c r="C1436" i="15"/>
  <c r="E1435" i="15"/>
  <c r="G1435" i="15" s="1"/>
  <c r="C1435" i="15"/>
  <c r="C1434" i="15"/>
  <c r="E1529" i="15"/>
  <c r="G1529" i="15" s="1"/>
  <c r="C1529" i="15" a="1"/>
  <c r="C1529" i="15" s="1"/>
  <c r="E1528" i="15"/>
  <c r="G1528" i="15" s="1"/>
  <c r="C1528" i="15" a="1"/>
  <c r="C1528" i="15" s="1"/>
  <c r="C1527" i="15"/>
  <c r="E1525" i="15"/>
  <c r="G1525" i="15" s="1"/>
  <c r="C1525" i="15"/>
  <c r="E1524" i="15"/>
  <c r="G1524" i="15" s="1"/>
  <c r="C1524" i="15"/>
  <c r="C1522" i="15"/>
  <c r="E1522" i="15" s="1"/>
  <c r="G1522" i="15" s="1"/>
  <c r="C1521" i="15"/>
  <c r="E1521" i="15" s="1"/>
  <c r="G1521" i="15" s="1"/>
  <c r="C1520" i="15"/>
  <c r="E1518" i="15"/>
  <c r="G1518" i="15" s="1"/>
  <c r="C1518" i="15"/>
  <c r="E1517" i="15"/>
  <c r="G1517" i="15" s="1"/>
  <c r="C1517" i="15"/>
  <c r="E1516" i="15"/>
  <c r="G1516" i="15" s="1"/>
  <c r="C1516" i="15"/>
  <c r="E1515" i="15"/>
  <c r="G1515" i="15" s="1"/>
  <c r="C1515" i="15"/>
  <c r="C1514" i="15"/>
  <c r="E1514" i="15"/>
  <c r="G1514" i="15" s="1"/>
  <c r="E1132" i="15"/>
  <c r="G1132" i="15" s="1"/>
  <c r="E1207" i="15"/>
  <c r="G1207" i="15" s="1"/>
  <c r="C1207" i="15" a="1"/>
  <c r="C1207" i="15" s="1"/>
  <c r="E1206" i="15"/>
  <c r="G1206" i="15" s="1"/>
  <c r="C1206" i="15" a="1"/>
  <c r="C1206" i="15" s="1"/>
  <c r="C1205" i="15"/>
  <c r="E1203" i="15"/>
  <c r="G1203" i="15" s="1"/>
  <c r="C1203" i="15"/>
  <c r="E1202" i="15"/>
  <c r="G1202" i="15" s="1"/>
  <c r="C1202" i="15"/>
  <c r="C1200" i="15"/>
  <c r="E1200" i="15" s="1"/>
  <c r="G1200" i="15" s="1"/>
  <c r="C1199" i="15"/>
  <c r="E1199" i="15" s="1"/>
  <c r="G1199" i="15" s="1"/>
  <c r="C1198" i="15"/>
  <c r="E1196" i="15"/>
  <c r="G1196" i="15" s="1"/>
  <c r="C1196" i="15"/>
  <c r="E1195" i="15"/>
  <c r="G1195" i="15" s="1"/>
  <c r="C1195" i="15"/>
  <c r="E1194" i="15"/>
  <c r="G1194" i="15" s="1"/>
  <c r="C1194" i="15"/>
  <c r="E1193" i="15"/>
  <c r="G1193" i="15" s="1"/>
  <c r="C1193" i="15"/>
  <c r="C1192" i="15"/>
  <c r="E1192" i="15"/>
  <c r="G1192" i="15" s="1"/>
  <c r="E1187" i="15"/>
  <c r="G1187" i="15" s="1"/>
  <c r="C1187" i="15" a="1"/>
  <c r="C1187" i="15" s="1"/>
  <c r="E1186" i="15"/>
  <c r="G1186" i="15" s="1"/>
  <c r="C1186" i="15" a="1"/>
  <c r="C1186" i="15" s="1"/>
  <c r="C1185" i="15"/>
  <c r="E1183" i="15"/>
  <c r="G1183" i="15" s="1"/>
  <c r="C1183" i="15"/>
  <c r="E1182" i="15"/>
  <c r="G1182" i="15" s="1"/>
  <c r="C1182" i="15"/>
  <c r="C1180" i="15"/>
  <c r="E1180" i="15" s="1"/>
  <c r="G1180" i="15" s="1"/>
  <c r="C1179" i="15"/>
  <c r="E1179" i="15" s="1"/>
  <c r="G1179" i="15" s="1"/>
  <c r="C1178" i="15"/>
  <c r="E1176" i="15"/>
  <c r="G1176" i="15" s="1"/>
  <c r="C1176" i="15"/>
  <c r="E1175" i="15"/>
  <c r="G1175" i="15" s="1"/>
  <c r="C1175" i="15"/>
  <c r="E1174" i="15"/>
  <c r="G1174" i="15" s="1"/>
  <c r="C1174" i="15"/>
  <c r="E1173" i="15"/>
  <c r="G1173" i="15" s="1"/>
  <c r="C1173" i="15"/>
  <c r="C1172" i="15"/>
  <c r="E1172" i="15"/>
  <c r="G1172" i="15" s="1"/>
  <c r="E1152" i="15"/>
  <c r="G1152" i="15" s="1"/>
  <c r="E1167" i="15"/>
  <c r="G1167" i="15" s="1"/>
  <c r="C1167" i="15" a="1"/>
  <c r="C1167" i="15" s="1"/>
  <c r="E1166" i="15"/>
  <c r="G1166" i="15" s="1"/>
  <c r="C1166" i="15" a="1"/>
  <c r="C1166" i="15" s="1"/>
  <c r="C1165" i="15"/>
  <c r="E1163" i="15"/>
  <c r="G1163" i="15" s="1"/>
  <c r="C1163" i="15"/>
  <c r="E1162" i="15"/>
  <c r="G1162" i="15" s="1"/>
  <c r="C1162" i="15"/>
  <c r="C1160" i="15"/>
  <c r="E1160" i="15" s="1"/>
  <c r="G1160" i="15" s="1"/>
  <c r="C1159" i="15"/>
  <c r="E1159" i="15" s="1"/>
  <c r="G1159" i="15" s="1"/>
  <c r="C1158" i="15"/>
  <c r="E1156" i="15"/>
  <c r="G1156" i="15" s="1"/>
  <c r="C1156" i="15"/>
  <c r="E1155" i="15"/>
  <c r="G1155" i="15" s="1"/>
  <c r="C1155" i="15"/>
  <c r="E1154" i="15"/>
  <c r="G1154" i="15" s="1"/>
  <c r="C1154" i="15"/>
  <c r="E1153" i="15"/>
  <c r="G1153" i="15" s="1"/>
  <c r="C1153" i="15"/>
  <c r="C1152" i="15"/>
  <c r="E1092" i="15"/>
  <c r="G1092" i="15" s="1"/>
  <c r="E1107" i="15"/>
  <c r="G1107" i="15" s="1"/>
  <c r="C1107" i="15" a="1"/>
  <c r="C1107" i="15" s="1"/>
  <c r="E1106" i="15"/>
  <c r="G1106" i="15" s="1"/>
  <c r="C1106" i="15" a="1"/>
  <c r="C1106" i="15" s="1"/>
  <c r="C1105" i="15"/>
  <c r="E1103" i="15"/>
  <c r="G1103" i="15" s="1"/>
  <c r="C1103" i="15"/>
  <c r="E1102" i="15"/>
  <c r="G1102" i="15" s="1"/>
  <c r="C1102" i="15"/>
  <c r="C1100" i="15"/>
  <c r="E1100" i="15" s="1"/>
  <c r="G1100" i="15" s="1"/>
  <c r="C1099" i="15"/>
  <c r="E1099" i="15" s="1"/>
  <c r="G1099" i="15" s="1"/>
  <c r="C1098" i="15"/>
  <c r="E1096" i="15"/>
  <c r="G1096" i="15" s="1"/>
  <c r="C1096" i="15"/>
  <c r="E1095" i="15"/>
  <c r="G1095" i="15" s="1"/>
  <c r="C1095" i="15"/>
  <c r="E1094" i="15"/>
  <c r="G1094" i="15" s="1"/>
  <c r="C1094" i="15"/>
  <c r="E1093" i="15"/>
  <c r="G1093" i="15" s="1"/>
  <c r="C1093" i="15"/>
  <c r="C1092" i="15"/>
  <c r="E1072" i="15"/>
  <c r="G1072" i="15" s="1"/>
  <c r="E1087" i="15"/>
  <c r="G1087" i="15" s="1"/>
  <c r="C1087" i="15" a="1"/>
  <c r="C1087" i="15" s="1"/>
  <c r="E1086" i="15"/>
  <c r="G1086" i="15" s="1"/>
  <c r="C1086" i="15" a="1"/>
  <c r="C1086" i="15" s="1"/>
  <c r="C1085" i="15"/>
  <c r="E1083" i="15"/>
  <c r="G1083" i="15" s="1"/>
  <c r="C1083" i="15"/>
  <c r="E1082" i="15"/>
  <c r="G1082" i="15" s="1"/>
  <c r="C1082" i="15"/>
  <c r="C1080" i="15"/>
  <c r="E1080" i="15" s="1"/>
  <c r="G1080" i="15" s="1"/>
  <c r="C1079" i="15"/>
  <c r="E1079" i="15" s="1"/>
  <c r="G1079" i="15" s="1"/>
  <c r="C1078" i="15"/>
  <c r="E1076" i="15"/>
  <c r="G1076" i="15" s="1"/>
  <c r="C1076" i="15"/>
  <c r="E1075" i="15"/>
  <c r="G1075" i="15" s="1"/>
  <c r="C1075" i="15"/>
  <c r="E1074" i="15"/>
  <c r="G1074" i="15" s="1"/>
  <c r="C1074" i="15"/>
  <c r="E1073" i="15"/>
  <c r="G1073" i="15" s="1"/>
  <c r="C1073" i="15"/>
  <c r="C1072" i="15"/>
  <c r="E1047" i="15"/>
  <c r="G1047" i="15" s="1"/>
  <c r="C1047" i="15" a="1"/>
  <c r="C1047" i="15" s="1"/>
  <c r="E1046" i="15"/>
  <c r="G1046" i="15" s="1"/>
  <c r="C1046" i="15" a="1"/>
  <c r="C1046" i="15" s="1"/>
  <c r="C1045" i="15"/>
  <c r="E1043" i="15"/>
  <c r="G1043" i="15" s="1"/>
  <c r="C1043" i="15"/>
  <c r="E1042" i="15"/>
  <c r="G1042" i="15" s="1"/>
  <c r="C1042" i="15"/>
  <c r="C1040" i="15"/>
  <c r="E1040" i="15" s="1"/>
  <c r="G1040" i="15" s="1"/>
  <c r="C1039" i="15"/>
  <c r="C1038" i="15"/>
  <c r="E1036" i="15"/>
  <c r="G1036" i="15" s="1"/>
  <c r="C1036" i="15"/>
  <c r="E1035" i="15"/>
  <c r="G1035" i="15" s="1"/>
  <c r="C1035" i="15"/>
  <c r="E1034" i="15"/>
  <c r="G1034" i="15" s="1"/>
  <c r="C1034" i="15"/>
  <c r="E1033" i="15"/>
  <c r="G1033" i="15" s="1"/>
  <c r="C1033" i="15"/>
  <c r="C1032" i="15"/>
  <c r="E987" i="15"/>
  <c r="G987" i="15" s="1"/>
  <c r="C987" i="15" a="1"/>
  <c r="C987" i="15" s="1"/>
  <c r="E986" i="15"/>
  <c r="G986" i="15" s="1"/>
  <c r="C986" i="15" a="1"/>
  <c r="C986" i="15" s="1"/>
  <c r="C985" i="15"/>
  <c r="E983" i="15"/>
  <c r="G983" i="15" s="1"/>
  <c r="C983" i="15"/>
  <c r="E982" i="15"/>
  <c r="G982" i="15" s="1"/>
  <c r="C982" i="15"/>
  <c r="C980" i="15"/>
  <c r="E980" i="15" s="1"/>
  <c r="G980" i="15" s="1"/>
  <c r="C979" i="15"/>
  <c r="C978" i="15"/>
  <c r="E976" i="15"/>
  <c r="G976" i="15" s="1"/>
  <c r="C976" i="15"/>
  <c r="E975" i="15"/>
  <c r="G975" i="15" s="1"/>
  <c r="C975" i="15"/>
  <c r="E974" i="15"/>
  <c r="G974" i="15" s="1"/>
  <c r="C974" i="15"/>
  <c r="E973" i="15"/>
  <c r="G973" i="15" s="1"/>
  <c r="C973" i="15"/>
  <c r="C972" i="15"/>
  <c r="E1007" i="15"/>
  <c r="G1007" i="15" s="1"/>
  <c r="C1007" i="15" a="1"/>
  <c r="C1007" i="15" s="1"/>
  <c r="E1006" i="15"/>
  <c r="G1006" i="15" s="1"/>
  <c r="C1006" i="15" a="1"/>
  <c r="C1006" i="15" s="1"/>
  <c r="C1005" i="15"/>
  <c r="E1003" i="15"/>
  <c r="G1003" i="15" s="1"/>
  <c r="C1003" i="15"/>
  <c r="E1002" i="15"/>
  <c r="G1002" i="15" s="1"/>
  <c r="C1002" i="15"/>
  <c r="C1000" i="15"/>
  <c r="E1000" i="15" s="1"/>
  <c r="G1000" i="15" s="1"/>
  <c r="C999" i="15"/>
  <c r="C998" i="15"/>
  <c r="E996" i="15"/>
  <c r="G996" i="15" s="1"/>
  <c r="C996" i="15"/>
  <c r="E995" i="15"/>
  <c r="G995" i="15" s="1"/>
  <c r="C995" i="15"/>
  <c r="E994" i="15"/>
  <c r="G994" i="15" s="1"/>
  <c r="C994" i="15"/>
  <c r="E993" i="15"/>
  <c r="G993" i="15" s="1"/>
  <c r="C993" i="15"/>
  <c r="C992" i="15"/>
  <c r="E967" i="15"/>
  <c r="G967" i="15" s="1"/>
  <c r="C967" i="15" a="1"/>
  <c r="C967" i="15" s="1"/>
  <c r="E966" i="15"/>
  <c r="G966" i="15" s="1"/>
  <c r="C966" i="15" a="1"/>
  <c r="C966" i="15" s="1"/>
  <c r="C965" i="15"/>
  <c r="E963" i="15"/>
  <c r="G963" i="15" s="1"/>
  <c r="C963" i="15"/>
  <c r="E962" i="15"/>
  <c r="G962" i="15" s="1"/>
  <c r="C962" i="15"/>
  <c r="C960" i="15"/>
  <c r="E960" i="15" s="1"/>
  <c r="G960" i="15" s="1"/>
  <c r="C959" i="15"/>
  <c r="C958" i="15"/>
  <c r="E956" i="15"/>
  <c r="G956" i="15" s="1"/>
  <c r="C956" i="15"/>
  <c r="E955" i="15"/>
  <c r="G955" i="15" s="1"/>
  <c r="C955" i="15"/>
  <c r="E954" i="15"/>
  <c r="G954" i="15" s="1"/>
  <c r="C954" i="15"/>
  <c r="E953" i="15"/>
  <c r="G953" i="15" s="1"/>
  <c r="C953" i="15"/>
  <c r="C952" i="15"/>
  <c r="E947" i="15"/>
  <c r="G947" i="15" s="1"/>
  <c r="C947" i="15" a="1"/>
  <c r="C947" i="15" s="1"/>
  <c r="E946" i="15"/>
  <c r="G946" i="15" s="1"/>
  <c r="C946" i="15" a="1"/>
  <c r="C946" i="15" s="1"/>
  <c r="C945" i="15"/>
  <c r="E943" i="15"/>
  <c r="G943" i="15" s="1"/>
  <c r="C943" i="15"/>
  <c r="E942" i="15"/>
  <c r="G942" i="15" s="1"/>
  <c r="C942" i="15"/>
  <c r="C940" i="15"/>
  <c r="E940" i="15" s="1"/>
  <c r="G940" i="15" s="1"/>
  <c r="C939" i="15"/>
  <c r="C938" i="15"/>
  <c r="E936" i="15"/>
  <c r="G936" i="15" s="1"/>
  <c r="C936" i="15"/>
  <c r="E935" i="15"/>
  <c r="G935" i="15" s="1"/>
  <c r="C935" i="15"/>
  <c r="E934" i="15"/>
  <c r="G934" i="15" s="1"/>
  <c r="C934" i="15"/>
  <c r="E933" i="15"/>
  <c r="G933" i="15" s="1"/>
  <c r="C933" i="15"/>
  <c r="C932" i="15"/>
  <c r="E1032" i="15"/>
  <c r="G1032" i="15" s="1"/>
  <c r="E927" i="15"/>
  <c r="G927" i="15" s="1"/>
  <c r="C927" i="15" a="1"/>
  <c r="C927" i="15" s="1"/>
  <c r="E926" i="15"/>
  <c r="G926" i="15" s="1"/>
  <c r="C926" i="15" a="1"/>
  <c r="C926" i="15" s="1"/>
  <c r="C925" i="15"/>
  <c r="E923" i="15"/>
  <c r="G923" i="15" s="1"/>
  <c r="C923" i="15"/>
  <c r="E922" i="15"/>
  <c r="G922" i="15" s="1"/>
  <c r="C922" i="15"/>
  <c r="C920" i="15"/>
  <c r="E920" i="15" s="1"/>
  <c r="G920" i="15" s="1"/>
  <c r="C919" i="15"/>
  <c r="C918" i="15"/>
  <c r="E916" i="15"/>
  <c r="G916" i="15" s="1"/>
  <c r="C916" i="15"/>
  <c r="E915" i="15"/>
  <c r="G915" i="15" s="1"/>
  <c r="C915" i="15"/>
  <c r="E914" i="15"/>
  <c r="G914" i="15" s="1"/>
  <c r="C914" i="15"/>
  <c r="E913" i="15"/>
  <c r="G913" i="15" s="1"/>
  <c r="C913" i="15"/>
  <c r="C912" i="15"/>
  <c r="E907" i="15"/>
  <c r="G907" i="15" s="1"/>
  <c r="C907" i="15" a="1"/>
  <c r="C907" i="15" s="1"/>
  <c r="E906" i="15"/>
  <c r="G906" i="15" s="1"/>
  <c r="C906" i="15" a="1"/>
  <c r="C906" i="15" s="1"/>
  <c r="C905" i="15"/>
  <c r="E903" i="15"/>
  <c r="G903" i="15" s="1"/>
  <c r="C903" i="15"/>
  <c r="E902" i="15"/>
  <c r="G902" i="15" s="1"/>
  <c r="C902" i="15"/>
  <c r="C900" i="15"/>
  <c r="E900" i="15" s="1"/>
  <c r="G900" i="15" s="1"/>
  <c r="C899" i="15"/>
  <c r="C898" i="15"/>
  <c r="E896" i="15"/>
  <c r="G896" i="15" s="1"/>
  <c r="C896" i="15"/>
  <c r="E895" i="15"/>
  <c r="G895" i="15" s="1"/>
  <c r="C895" i="15"/>
  <c r="E894" i="15"/>
  <c r="G894" i="15" s="1"/>
  <c r="C894" i="15"/>
  <c r="E893" i="15"/>
  <c r="G893" i="15" s="1"/>
  <c r="C893" i="15"/>
  <c r="E932" i="15"/>
  <c r="G932" i="15" s="1"/>
  <c r="E1027" i="15"/>
  <c r="G1027" i="15" s="1"/>
  <c r="C1027" i="15" a="1"/>
  <c r="C1027" i="15" s="1"/>
  <c r="E1026" i="15"/>
  <c r="G1026" i="15" s="1"/>
  <c r="C1026" i="15" a="1"/>
  <c r="C1026" i="15" s="1"/>
  <c r="C1025" i="15"/>
  <c r="E1023" i="15"/>
  <c r="G1023" i="15" s="1"/>
  <c r="C1023" i="15"/>
  <c r="E1022" i="15"/>
  <c r="G1022" i="15" s="1"/>
  <c r="C1022" i="15"/>
  <c r="C1020" i="15"/>
  <c r="E1020" i="15" s="1"/>
  <c r="G1020" i="15" s="1"/>
  <c r="C1019" i="15"/>
  <c r="C1018" i="15"/>
  <c r="E1016" i="15"/>
  <c r="G1016" i="15" s="1"/>
  <c r="C1016" i="15"/>
  <c r="E1015" i="15"/>
  <c r="G1015" i="15" s="1"/>
  <c r="C1015" i="15"/>
  <c r="E1014" i="15"/>
  <c r="G1014" i="15" s="1"/>
  <c r="C1014" i="15"/>
  <c r="E1013" i="15"/>
  <c r="G1013" i="15" s="1"/>
  <c r="C1013" i="15"/>
  <c r="E972" i="15"/>
  <c r="G972" i="15" s="1"/>
  <c r="E872" i="15"/>
  <c r="G872" i="15" s="1"/>
  <c r="E887" i="15"/>
  <c r="G887" i="15" s="1"/>
  <c r="C887" i="15" a="1"/>
  <c r="C887" i="15" s="1"/>
  <c r="E886" i="15"/>
  <c r="G886" i="15" s="1"/>
  <c r="C886" i="15" a="1"/>
  <c r="C886" i="15" s="1"/>
  <c r="C885" i="15"/>
  <c r="E883" i="15"/>
  <c r="G883" i="15" s="1"/>
  <c r="C883" i="15"/>
  <c r="E882" i="15"/>
  <c r="G882" i="15" s="1"/>
  <c r="C882" i="15"/>
  <c r="C880" i="15"/>
  <c r="E880" i="15" s="1"/>
  <c r="G880" i="15" s="1"/>
  <c r="C879" i="15"/>
  <c r="C878" i="15"/>
  <c r="E876" i="15"/>
  <c r="G876" i="15" s="1"/>
  <c r="C876" i="15"/>
  <c r="E875" i="15"/>
  <c r="G875" i="15" s="1"/>
  <c r="C875" i="15"/>
  <c r="E874" i="15"/>
  <c r="G874" i="15" s="1"/>
  <c r="C874" i="15"/>
  <c r="E873" i="15"/>
  <c r="G873" i="15" s="1"/>
  <c r="C873" i="15"/>
  <c r="C872" i="15"/>
  <c r="E792" i="15"/>
  <c r="G792" i="15" s="1"/>
  <c r="E807" i="15"/>
  <c r="G807" i="15" s="1"/>
  <c r="C807" i="15" a="1"/>
  <c r="C807" i="15" s="1"/>
  <c r="E806" i="15"/>
  <c r="G806" i="15" s="1"/>
  <c r="C806" i="15" a="1"/>
  <c r="C806" i="15" s="1"/>
  <c r="C805" i="15"/>
  <c r="E803" i="15"/>
  <c r="G803" i="15" s="1"/>
  <c r="C803" i="15"/>
  <c r="E802" i="15"/>
  <c r="G802" i="15" s="1"/>
  <c r="C802" i="15"/>
  <c r="C800" i="15"/>
  <c r="E800" i="15" s="1"/>
  <c r="G800" i="15" s="1"/>
  <c r="C799" i="15"/>
  <c r="C798" i="15"/>
  <c r="E796" i="15"/>
  <c r="G796" i="15" s="1"/>
  <c r="C796" i="15"/>
  <c r="E795" i="15"/>
  <c r="G795" i="15" s="1"/>
  <c r="C795" i="15"/>
  <c r="E794" i="15"/>
  <c r="G794" i="15" s="1"/>
  <c r="C794" i="15"/>
  <c r="E793" i="15"/>
  <c r="G793" i="15" s="1"/>
  <c r="C793" i="15"/>
  <c r="C792" i="15"/>
  <c r="E812" i="15"/>
  <c r="G812" i="15" s="1"/>
  <c r="E827" i="15"/>
  <c r="G827" i="15" s="1"/>
  <c r="C827" i="15" a="1"/>
  <c r="C827" i="15" s="1"/>
  <c r="E826" i="15"/>
  <c r="G826" i="15" s="1"/>
  <c r="C826" i="15" a="1"/>
  <c r="C826" i="15" s="1"/>
  <c r="C825" i="15"/>
  <c r="E823" i="15"/>
  <c r="G823" i="15" s="1"/>
  <c r="C823" i="15"/>
  <c r="E822" i="15"/>
  <c r="G822" i="15" s="1"/>
  <c r="C822" i="15"/>
  <c r="C820" i="15"/>
  <c r="E820" i="15" s="1"/>
  <c r="G820" i="15" s="1"/>
  <c r="C819" i="15"/>
  <c r="C818" i="15"/>
  <c r="E816" i="15"/>
  <c r="G816" i="15" s="1"/>
  <c r="C816" i="15"/>
  <c r="E815" i="15"/>
  <c r="G815" i="15" s="1"/>
  <c r="C815" i="15"/>
  <c r="E814" i="15"/>
  <c r="G814" i="15" s="1"/>
  <c r="C814" i="15"/>
  <c r="E813" i="15"/>
  <c r="G813" i="15" s="1"/>
  <c r="C813" i="15"/>
  <c r="C812" i="15"/>
  <c r="E852" i="15"/>
  <c r="G852" i="15" s="1"/>
  <c r="E867" i="15"/>
  <c r="G867" i="15" s="1"/>
  <c r="C867" i="15" a="1"/>
  <c r="C867" i="15" s="1"/>
  <c r="E866" i="15"/>
  <c r="G866" i="15" s="1"/>
  <c r="C866" i="15" a="1"/>
  <c r="C866" i="15" s="1"/>
  <c r="C865" i="15"/>
  <c r="E863" i="15"/>
  <c r="G863" i="15" s="1"/>
  <c r="C863" i="15"/>
  <c r="E862" i="15"/>
  <c r="G862" i="15" s="1"/>
  <c r="C862" i="15"/>
  <c r="C860" i="15"/>
  <c r="E860" i="15" s="1"/>
  <c r="G860" i="15" s="1"/>
  <c r="C859" i="15"/>
  <c r="C858" i="15"/>
  <c r="E856" i="15"/>
  <c r="G856" i="15" s="1"/>
  <c r="C856" i="15"/>
  <c r="E855" i="15"/>
  <c r="G855" i="15" s="1"/>
  <c r="C855" i="15"/>
  <c r="E854" i="15"/>
  <c r="G854" i="15" s="1"/>
  <c r="C854" i="15"/>
  <c r="E853" i="15"/>
  <c r="G853" i="15" s="1"/>
  <c r="C853" i="15"/>
  <c r="C852" i="15"/>
  <c r="E832" i="15"/>
  <c r="G832" i="15" s="1"/>
  <c r="E1309" i="15"/>
  <c r="G1309" i="15" s="1"/>
  <c r="C1309" i="15" a="1"/>
  <c r="C1309" i="15" s="1"/>
  <c r="C1308" i="15" a="1"/>
  <c r="C1308" i="15" s="1"/>
  <c r="C1307" i="15"/>
  <c r="E1305" i="15"/>
  <c r="G1305" i="15" s="1"/>
  <c r="C1305" i="15"/>
  <c r="E1304" i="15"/>
  <c r="G1304" i="15" s="1"/>
  <c r="C1304" i="15"/>
  <c r="C1302" i="15"/>
  <c r="E1302" i="15" s="1"/>
  <c r="G1302" i="15" s="1"/>
  <c r="C1301" i="15"/>
  <c r="C1300" i="15"/>
  <c r="C1298" i="15"/>
  <c r="C1297" i="15"/>
  <c r="E1296" i="15"/>
  <c r="G1296" i="15" s="1"/>
  <c r="C1296" i="15"/>
  <c r="C1295" i="15"/>
  <c r="C1294" i="15"/>
  <c r="C1293" i="15"/>
  <c r="E1298" i="15"/>
  <c r="G1298" i="15" s="1"/>
  <c r="C1276" i="15"/>
  <c r="C1277" i="15"/>
  <c r="E1297" i="15"/>
  <c r="G1297" i="15" s="1"/>
  <c r="E1293" i="15"/>
  <c r="G1293" i="15" s="1"/>
  <c r="E573" i="15"/>
  <c r="G573" i="15" s="1"/>
  <c r="E572" i="15"/>
  <c r="G572" i="15" s="1"/>
  <c r="E472" i="15"/>
  <c r="G472" i="15" s="1"/>
  <c r="E487" i="15"/>
  <c r="G487" i="15" s="1"/>
  <c r="C487" i="15" a="1"/>
  <c r="C487" i="15" s="1"/>
  <c r="E486" i="15"/>
  <c r="G486" i="15" s="1"/>
  <c r="C486" i="15" a="1"/>
  <c r="C486" i="15" s="1"/>
  <c r="C485" i="15"/>
  <c r="E483" i="15"/>
  <c r="G483" i="15" s="1"/>
  <c r="C483" i="15"/>
  <c r="E482" i="15"/>
  <c r="G482" i="15" s="1"/>
  <c r="C482" i="15"/>
  <c r="C480" i="15"/>
  <c r="E480" i="15" s="1"/>
  <c r="G480" i="15" s="1"/>
  <c r="C479" i="15"/>
  <c r="C478" i="15"/>
  <c r="E476" i="15"/>
  <c r="G476" i="15" s="1"/>
  <c r="C476" i="15"/>
  <c r="E475" i="15"/>
  <c r="G475" i="15" s="1"/>
  <c r="C475" i="15"/>
  <c r="E474" i="15"/>
  <c r="G474" i="15" s="1"/>
  <c r="C474" i="15"/>
  <c r="E473" i="15"/>
  <c r="G473" i="15" s="1"/>
  <c r="C473" i="15"/>
  <c r="C472" i="15"/>
  <c r="E492" i="15"/>
  <c r="G492" i="15" s="1"/>
  <c r="E507" i="15"/>
  <c r="G507" i="15" s="1"/>
  <c r="C507" i="15" a="1"/>
  <c r="C507" i="15" s="1"/>
  <c r="E506" i="15"/>
  <c r="G506" i="15" s="1"/>
  <c r="C506" i="15" a="1"/>
  <c r="C506" i="15" s="1"/>
  <c r="C505" i="15"/>
  <c r="E503" i="15"/>
  <c r="G503" i="15" s="1"/>
  <c r="C503" i="15"/>
  <c r="E502" i="15"/>
  <c r="G502" i="15" s="1"/>
  <c r="C502" i="15"/>
  <c r="C500" i="15"/>
  <c r="E500" i="15" s="1"/>
  <c r="G500" i="15" s="1"/>
  <c r="C499" i="15"/>
  <c r="C498" i="15"/>
  <c r="E496" i="15"/>
  <c r="G496" i="15" s="1"/>
  <c r="C496" i="15"/>
  <c r="E495" i="15"/>
  <c r="G495" i="15" s="1"/>
  <c r="C495" i="15"/>
  <c r="E494" i="15"/>
  <c r="G494" i="15" s="1"/>
  <c r="C494" i="15"/>
  <c r="E493" i="15"/>
  <c r="G493" i="15" s="1"/>
  <c r="C493" i="15"/>
  <c r="C492" i="15"/>
  <c r="E527" i="15"/>
  <c r="G527" i="15" s="1"/>
  <c r="C527" i="15" a="1"/>
  <c r="C527" i="15" s="1"/>
  <c r="E526" i="15"/>
  <c r="G526" i="15" s="1"/>
  <c r="C526" i="15" a="1"/>
  <c r="C526" i="15" s="1"/>
  <c r="C525" i="15"/>
  <c r="E523" i="15"/>
  <c r="G523" i="15" s="1"/>
  <c r="C523" i="15"/>
  <c r="E522" i="15"/>
  <c r="G522" i="15" s="1"/>
  <c r="C522" i="15"/>
  <c r="C520" i="15"/>
  <c r="E520" i="15" s="1"/>
  <c r="G520" i="15" s="1"/>
  <c r="C519" i="15"/>
  <c r="C518" i="15"/>
  <c r="E512" i="15"/>
  <c r="G512" i="15" s="1"/>
  <c r="E532" i="15"/>
  <c r="G532" i="15" s="1"/>
  <c r="E547" i="15"/>
  <c r="G547" i="15" s="1"/>
  <c r="C547" i="15" a="1"/>
  <c r="C547" i="15" s="1"/>
  <c r="E546" i="15"/>
  <c r="G546" i="15" s="1"/>
  <c r="C546" i="15" a="1"/>
  <c r="C546" i="15" s="1"/>
  <c r="C545" i="15"/>
  <c r="E543" i="15"/>
  <c r="G543" i="15" s="1"/>
  <c r="C543" i="15"/>
  <c r="E542" i="15"/>
  <c r="G542" i="15" s="1"/>
  <c r="C542" i="15"/>
  <c r="C540" i="15"/>
  <c r="E540" i="15" s="1"/>
  <c r="G540" i="15" s="1"/>
  <c r="C539" i="15"/>
  <c r="C538" i="15"/>
  <c r="E536" i="15"/>
  <c r="G536" i="15" s="1"/>
  <c r="C536" i="15"/>
  <c r="E535" i="15"/>
  <c r="G535" i="15" s="1"/>
  <c r="C535" i="15"/>
  <c r="E534" i="15"/>
  <c r="G534" i="15" s="1"/>
  <c r="C534" i="15"/>
  <c r="E533" i="15"/>
  <c r="G533" i="15" s="1"/>
  <c r="C533" i="15"/>
  <c r="C532" i="15"/>
  <c r="E567" i="15"/>
  <c r="G567" i="15" s="1"/>
  <c r="C567" i="15" a="1"/>
  <c r="C567" i="15" s="1"/>
  <c r="E566" i="15"/>
  <c r="G566" i="15" s="1"/>
  <c r="C566" i="15" a="1"/>
  <c r="C566" i="15" s="1"/>
  <c r="C565" i="15"/>
  <c r="E563" i="15"/>
  <c r="G563" i="15" s="1"/>
  <c r="C563" i="15"/>
  <c r="E562" i="15"/>
  <c r="G562" i="15" s="1"/>
  <c r="C562" i="15"/>
  <c r="C560" i="15"/>
  <c r="E560" i="15" s="1"/>
  <c r="G560" i="15" s="1"/>
  <c r="C559" i="15"/>
  <c r="C558" i="15"/>
  <c r="E447" i="15"/>
  <c r="G447" i="15" s="1"/>
  <c r="C447" i="15" a="1"/>
  <c r="C447" i="15" s="1"/>
  <c r="E446" i="15"/>
  <c r="G446" i="15" s="1"/>
  <c r="C446" i="15" a="1"/>
  <c r="C446" i="15" s="1"/>
  <c r="C445" i="15"/>
  <c r="E443" i="15"/>
  <c r="G443" i="15" s="1"/>
  <c r="C443" i="15"/>
  <c r="E442" i="15"/>
  <c r="G442" i="15" s="1"/>
  <c r="C442" i="15"/>
  <c r="C440" i="15"/>
  <c r="E440" i="15" s="1"/>
  <c r="G440" i="15" s="1"/>
  <c r="C439" i="15"/>
  <c r="C438" i="15"/>
  <c r="E436" i="15"/>
  <c r="G436" i="15" s="1"/>
  <c r="C436" i="15"/>
  <c r="E435" i="15"/>
  <c r="G435" i="15" s="1"/>
  <c r="C435" i="15"/>
  <c r="E434" i="15"/>
  <c r="G434" i="15" s="1"/>
  <c r="C434" i="15"/>
  <c r="E433" i="15"/>
  <c r="G433" i="15" s="1"/>
  <c r="C433" i="15"/>
  <c r="C432" i="15"/>
  <c r="E432" i="15"/>
  <c r="G432" i="15" s="1"/>
  <c r="E452" i="15"/>
  <c r="G452" i="15" s="1"/>
  <c r="E412" i="15"/>
  <c r="G412" i="15" s="1"/>
  <c r="C379" i="15"/>
  <c r="E379" i="15" s="1"/>
  <c r="G379" i="15" s="1"/>
  <c r="C378" i="15"/>
  <c r="C356" i="15"/>
  <c r="E10" i="15"/>
  <c r="G10" i="15" s="1"/>
  <c r="E313" i="15"/>
  <c r="G313" i="15" s="1"/>
  <c r="E356" i="15"/>
  <c r="G356" i="15" s="1"/>
  <c r="E36" i="15"/>
  <c r="G36" i="15" s="1"/>
  <c r="E31" i="15"/>
  <c r="G31" i="15" s="1"/>
  <c r="E34" i="15"/>
  <c r="G34" i="15" s="1"/>
  <c r="E35" i="15"/>
  <c r="G35" i="15" s="1"/>
  <c r="E315" i="15"/>
  <c r="G315" i="15" s="1"/>
  <c r="E332" i="15"/>
  <c r="G332" i="15" s="1"/>
  <c r="E8" i="15"/>
  <c r="G8" i="15" s="1"/>
  <c r="E7" i="15"/>
  <c r="G7" i="15" s="1"/>
  <c r="E312" i="15"/>
  <c r="G312" i="15" s="1"/>
  <c r="E9" i="15"/>
  <c r="G9" i="15" s="1"/>
  <c r="E32" i="15"/>
  <c r="G32" i="15" s="1"/>
  <c r="E347" i="15"/>
  <c r="G347" i="15" s="1"/>
  <c r="C347" i="15" a="1"/>
  <c r="C347" i="15" s="1"/>
  <c r="E346" i="15"/>
  <c r="G346" i="15" s="1"/>
  <c r="C346" i="15" a="1"/>
  <c r="C346" i="15" s="1"/>
  <c r="C345" i="15"/>
  <c r="E343" i="15"/>
  <c r="G343" i="15" s="1"/>
  <c r="C343" i="15"/>
  <c r="E342" i="15"/>
  <c r="G342" i="15" s="1"/>
  <c r="C342" i="15"/>
  <c r="C340" i="15"/>
  <c r="E340" i="15" s="1"/>
  <c r="G340" i="15" s="1"/>
  <c r="C339" i="15"/>
  <c r="C338" i="15"/>
  <c r="E336" i="15"/>
  <c r="G336" i="15" s="1"/>
  <c r="C336" i="15"/>
  <c r="C335" i="15"/>
  <c r="E334" i="15"/>
  <c r="G334" i="15" s="1"/>
  <c r="C334" i="15"/>
  <c r="C333" i="15"/>
  <c r="C332" i="15"/>
  <c r="E327" i="15"/>
  <c r="G327" i="15" s="1"/>
  <c r="C327" i="15" a="1"/>
  <c r="C327" i="15" s="1"/>
  <c r="E326" i="15"/>
  <c r="G326" i="15" s="1"/>
  <c r="C326" i="15" a="1"/>
  <c r="C326" i="15" s="1"/>
  <c r="C325" i="15"/>
  <c r="E323" i="15"/>
  <c r="G323" i="15" s="1"/>
  <c r="C323" i="15"/>
  <c r="E322" i="15"/>
  <c r="G322" i="15" s="1"/>
  <c r="C322" i="15"/>
  <c r="C320" i="15"/>
  <c r="E320" i="15" s="1"/>
  <c r="G320" i="15" s="1"/>
  <c r="C319" i="15"/>
  <c r="C318" i="15"/>
  <c r="C316" i="15"/>
  <c r="C315" i="15"/>
  <c r="E314" i="15"/>
  <c r="G314" i="15" s="1"/>
  <c r="C314" i="15"/>
  <c r="C313" i="15"/>
  <c r="C312" i="15"/>
  <c r="E22" i="15"/>
  <c r="G22" i="15" s="1"/>
  <c r="C22" i="15" a="1"/>
  <c r="C22" i="15" s="1"/>
  <c r="E21" i="15"/>
  <c r="G21" i="15" s="1"/>
  <c r="C21" i="15" a="1"/>
  <c r="C21" i="15" s="1"/>
  <c r="C20" i="15"/>
  <c r="E18" i="15"/>
  <c r="G18" i="15" s="1"/>
  <c r="C18" i="15"/>
  <c r="E17" i="15"/>
  <c r="G17" i="15" s="1"/>
  <c r="C17" i="15"/>
  <c r="C15" i="15"/>
  <c r="E15" i="15" s="1"/>
  <c r="G15" i="15" s="1"/>
  <c r="C14" i="15"/>
  <c r="C13" i="15"/>
  <c r="E11" i="15"/>
  <c r="G11" i="15" s="1"/>
  <c r="C11" i="15"/>
  <c r="C10" i="15"/>
  <c r="C9" i="15"/>
  <c r="C8" i="15"/>
  <c r="C7" i="15"/>
  <c r="C394" i="15"/>
  <c r="E394" i="15"/>
  <c r="G394" i="15" s="1"/>
  <c r="H394" i="15" s="1"/>
  <c r="C395" i="15"/>
  <c r="E395" i="15"/>
  <c r="G395" i="15" s="1"/>
  <c r="H395" i="15" s="1"/>
  <c r="C396" i="15"/>
  <c r="E396" i="15"/>
  <c r="G396" i="15" s="1"/>
  <c r="C36" i="15"/>
  <c r="C30" i="15"/>
  <c r="E30" i="15"/>
  <c r="G30" i="15" s="1"/>
  <c r="C31" i="15"/>
  <c r="C32" i="15"/>
  <c r="C33" i="15"/>
  <c r="E33" i="15"/>
  <c r="G33" i="15" s="1"/>
  <c r="C34" i="15"/>
  <c r="C35" i="15"/>
  <c r="E316" i="15"/>
  <c r="G316" i="15" s="1"/>
  <c r="E333" i="15"/>
  <c r="G333" i="15" s="1"/>
  <c r="E335" i="15"/>
  <c r="G335" i="15" s="1"/>
  <c r="E747" i="15"/>
  <c r="G747" i="15" s="1"/>
  <c r="C747" i="15" a="1"/>
  <c r="C747" i="15" s="1"/>
  <c r="E746" i="15"/>
  <c r="G746" i="15" s="1"/>
  <c r="C746" i="15" a="1"/>
  <c r="C746" i="15" s="1"/>
  <c r="C745" i="15"/>
  <c r="E743" i="15"/>
  <c r="G743" i="15" s="1"/>
  <c r="C743" i="15"/>
  <c r="E742" i="15"/>
  <c r="G742" i="15" s="1"/>
  <c r="C742" i="15"/>
  <c r="C740" i="15"/>
  <c r="E740" i="15" s="1"/>
  <c r="G740" i="15" s="1"/>
  <c r="C739" i="15"/>
  <c r="E739" i="15" s="1"/>
  <c r="G739" i="15" s="1"/>
  <c r="C738" i="15"/>
  <c r="E736" i="15"/>
  <c r="G736" i="15" s="1"/>
  <c r="C736" i="15"/>
  <c r="E735" i="15"/>
  <c r="G735" i="15" s="1"/>
  <c r="C735" i="15"/>
  <c r="E734" i="15"/>
  <c r="G734" i="15" s="1"/>
  <c r="C734" i="15"/>
  <c r="E733" i="15"/>
  <c r="G733" i="15" s="1"/>
  <c r="C733" i="15"/>
  <c r="E732" i="15"/>
  <c r="G732" i="15" s="1"/>
  <c r="C732" i="15"/>
  <c r="E729" i="15"/>
  <c r="C729" i="15"/>
  <c r="B729" i="15"/>
  <c r="E649" i="15"/>
  <c r="C649" i="15"/>
  <c r="B649" i="15"/>
  <c r="E629" i="15"/>
  <c r="C629" i="15"/>
  <c r="B629" i="15"/>
  <c r="E609" i="15"/>
  <c r="C609" i="15"/>
  <c r="B609" i="15"/>
  <c r="E709" i="15"/>
  <c r="C709" i="15"/>
  <c r="B709" i="15"/>
  <c r="E689" i="15"/>
  <c r="C689" i="15"/>
  <c r="B689" i="15"/>
  <c r="E669" i="15"/>
  <c r="C669" i="15"/>
  <c r="B669" i="15"/>
  <c r="E769" i="15"/>
  <c r="C769" i="15"/>
  <c r="B769" i="15"/>
  <c r="E767" i="15"/>
  <c r="G767" i="15" s="1"/>
  <c r="C767" i="15" a="1"/>
  <c r="C767" i="15" s="1"/>
  <c r="E766" i="15"/>
  <c r="G766" i="15" s="1"/>
  <c r="C766" i="15" a="1"/>
  <c r="C766" i="15" s="1"/>
  <c r="C765" i="15"/>
  <c r="E763" i="15"/>
  <c r="G763" i="15" s="1"/>
  <c r="C763" i="15"/>
  <c r="E762" i="15"/>
  <c r="G762" i="15" s="1"/>
  <c r="C762" i="15"/>
  <c r="C760" i="15"/>
  <c r="E760" i="15" s="1"/>
  <c r="G760" i="15" s="1"/>
  <c r="C759" i="15"/>
  <c r="E759" i="15" s="1"/>
  <c r="G759" i="15" s="1"/>
  <c r="C758" i="15"/>
  <c r="E756" i="15"/>
  <c r="G756" i="15" s="1"/>
  <c r="C756" i="15"/>
  <c r="E755" i="15"/>
  <c r="G755" i="15" s="1"/>
  <c r="C755" i="15"/>
  <c r="E754" i="15"/>
  <c r="G754" i="15" s="1"/>
  <c r="C754" i="15"/>
  <c r="E753" i="15"/>
  <c r="G753" i="15" s="1"/>
  <c r="C753" i="15"/>
  <c r="E752" i="15"/>
  <c r="G752" i="15" s="1"/>
  <c r="C752" i="15"/>
  <c r="E749" i="15"/>
  <c r="C749" i="15"/>
  <c r="B749" i="15"/>
  <c r="E1249" i="15"/>
  <c r="C1249" i="15"/>
  <c r="B1249" i="15"/>
  <c r="E1229" i="15"/>
  <c r="C1229" i="15"/>
  <c r="B1229" i="15"/>
  <c r="E1227" i="15"/>
  <c r="G1227" i="15" s="1"/>
  <c r="C1227" i="15" a="1"/>
  <c r="C1227" i="15" s="1"/>
  <c r="E1226" i="15"/>
  <c r="G1226" i="15" s="1"/>
  <c r="C1226" i="15" a="1"/>
  <c r="C1226" i="15" s="1"/>
  <c r="C1225" i="15"/>
  <c r="E1223" i="15"/>
  <c r="G1223" i="15" s="1"/>
  <c r="C1223" i="15"/>
  <c r="E1222" i="15"/>
  <c r="G1222" i="15" s="1"/>
  <c r="C1222" i="15"/>
  <c r="C1220" i="15"/>
  <c r="E1220" i="15" s="1"/>
  <c r="G1220" i="15" s="1"/>
  <c r="C1219" i="15"/>
  <c r="E1219" i="15" s="1"/>
  <c r="G1219" i="15" s="1"/>
  <c r="C1218" i="15"/>
  <c r="E1216" i="15"/>
  <c r="G1216" i="15" s="1"/>
  <c r="C1216" i="15"/>
  <c r="E1215" i="15"/>
  <c r="G1215" i="15" s="1"/>
  <c r="C1215" i="15"/>
  <c r="E1214" i="15"/>
  <c r="G1214" i="15" s="1"/>
  <c r="C1214" i="15"/>
  <c r="E1213" i="15"/>
  <c r="G1213" i="15" s="1"/>
  <c r="C1213" i="15"/>
  <c r="E1212" i="15"/>
  <c r="G1212" i="15" s="1"/>
  <c r="C1212" i="15"/>
  <c r="E1209" i="15"/>
  <c r="C1209" i="15"/>
  <c r="B1209" i="15"/>
  <c r="E1127" i="15"/>
  <c r="G1127" i="15" s="1"/>
  <c r="C1127" i="15" a="1"/>
  <c r="C1127" i="15" s="1"/>
  <c r="E1126" i="15"/>
  <c r="G1126" i="15" s="1"/>
  <c r="C1126" i="15" a="1"/>
  <c r="C1126" i="15" s="1"/>
  <c r="C1125" i="15"/>
  <c r="E1123" i="15"/>
  <c r="G1123" i="15" s="1"/>
  <c r="C1123" i="15"/>
  <c r="E1122" i="15"/>
  <c r="G1122" i="15" s="1"/>
  <c r="C1122" i="15"/>
  <c r="C1120" i="15"/>
  <c r="E1120" i="15" s="1"/>
  <c r="G1120" i="15" s="1"/>
  <c r="C1119" i="15"/>
  <c r="E1119" i="15" s="1"/>
  <c r="G1119" i="15" s="1"/>
  <c r="C1118" i="15"/>
  <c r="E1116" i="15"/>
  <c r="G1116" i="15" s="1"/>
  <c r="C1116" i="15"/>
  <c r="E1115" i="15"/>
  <c r="G1115" i="15" s="1"/>
  <c r="C1115" i="15"/>
  <c r="E1114" i="15"/>
  <c r="G1114" i="15" s="1"/>
  <c r="C1114" i="15"/>
  <c r="E1113" i="15"/>
  <c r="G1113" i="15" s="1"/>
  <c r="C1113" i="15"/>
  <c r="E1112" i="15"/>
  <c r="G1112" i="15" s="1"/>
  <c r="C1112" i="15"/>
  <c r="E1109" i="15"/>
  <c r="C1109" i="15"/>
  <c r="B1109" i="15"/>
  <c r="E2021" i="15"/>
  <c r="C2021" i="15"/>
  <c r="B2021" i="15"/>
  <c r="E2019" i="15"/>
  <c r="G2019" i="15" s="1"/>
  <c r="C2019" i="15" a="1"/>
  <c r="C2019" i="15" s="1"/>
  <c r="E2018" i="15"/>
  <c r="G2018" i="15" s="1"/>
  <c r="C2018" i="15" a="1"/>
  <c r="C2018" i="15" s="1"/>
  <c r="C2017" i="15"/>
  <c r="E2015" i="15"/>
  <c r="G2015" i="15" s="1"/>
  <c r="C2015" i="15"/>
  <c r="E2014" i="15"/>
  <c r="G2014" i="15" s="1"/>
  <c r="C2014" i="15"/>
  <c r="C2012" i="15"/>
  <c r="E2012" i="15" s="1"/>
  <c r="G2012" i="15" s="1"/>
  <c r="C2011" i="15"/>
  <c r="E2011" i="15" s="1"/>
  <c r="G2011" i="15" s="1"/>
  <c r="C2010" i="15"/>
  <c r="E2008" i="15"/>
  <c r="G2008" i="15" s="1"/>
  <c r="C2008" i="15"/>
  <c r="E2007" i="15"/>
  <c r="G2007" i="15" s="1"/>
  <c r="C2007" i="15"/>
  <c r="E2006" i="15"/>
  <c r="G2006" i="15" s="1"/>
  <c r="C2006" i="15"/>
  <c r="E2005" i="15"/>
  <c r="G2005" i="15" s="1"/>
  <c r="C2005" i="15"/>
  <c r="E2004" i="15"/>
  <c r="G2004" i="15" s="1"/>
  <c r="C2004" i="15"/>
  <c r="E2001" i="15"/>
  <c r="C2001" i="15"/>
  <c r="B2001" i="15"/>
  <c r="C7" i="8"/>
  <c r="E7" i="8"/>
  <c r="G7" i="8" s="1"/>
  <c r="C8" i="8"/>
  <c r="E8" i="8"/>
  <c r="G8" i="8" s="1"/>
  <c r="E9" i="8"/>
  <c r="G9" i="8" s="1"/>
  <c r="E10" i="8"/>
  <c r="E11" i="8"/>
  <c r="C13" i="8"/>
  <c r="E13" i="8" s="1"/>
  <c r="G13" i="8" s="1"/>
  <c r="C14" i="8"/>
  <c r="E14" i="8" s="1"/>
  <c r="G14" i="8" s="1"/>
  <c r="C15" i="8"/>
  <c r="E15" i="8" s="1"/>
  <c r="G15" i="8" s="1"/>
  <c r="E17" i="8"/>
  <c r="G17" i="8" s="1"/>
  <c r="E18" i="8"/>
  <c r="G18" i="8" s="1"/>
  <c r="E20" i="8"/>
  <c r="G20" i="8" s="1"/>
  <c r="E21" i="8"/>
  <c r="G21" i="8" s="1"/>
  <c r="E22" i="8"/>
  <c r="G22" i="8" s="1"/>
  <c r="C9" i="8"/>
  <c r="C10" i="8"/>
  <c r="C11" i="8"/>
  <c r="C17" i="8"/>
  <c r="C18" i="8"/>
  <c r="C20" i="8"/>
  <c r="C21" i="8"/>
  <c r="C22" i="8"/>
  <c r="E27" i="8"/>
  <c r="G27" i="8" s="1"/>
  <c r="E28" i="8"/>
  <c r="G28" i="8" s="1"/>
  <c r="E29" i="8"/>
  <c r="G29" i="8" s="1"/>
  <c r="E30" i="8"/>
  <c r="G30" i="8" s="1"/>
  <c r="E31" i="8"/>
  <c r="G31" i="8" s="1"/>
  <c r="C33" i="8"/>
  <c r="E33" i="8" s="1"/>
  <c r="G33" i="8" s="1"/>
  <c r="C34" i="8"/>
  <c r="E34" i="8" s="1"/>
  <c r="G34" i="8" s="1"/>
  <c r="C35" i="8"/>
  <c r="E35" i="8" s="1"/>
  <c r="G35" i="8" s="1"/>
  <c r="E37" i="8"/>
  <c r="G37" i="8" s="1"/>
  <c r="E38" i="8"/>
  <c r="G38" i="8" s="1"/>
  <c r="E40" i="8"/>
  <c r="G40" i="8" s="1"/>
  <c r="E41" i="8"/>
  <c r="G41" i="8" s="1"/>
  <c r="E42" i="8"/>
  <c r="G42" i="8" s="1"/>
  <c r="C27" i="8"/>
  <c r="C28" i="8"/>
  <c r="C29" i="8"/>
  <c r="C30" i="8"/>
  <c r="C31" i="8"/>
  <c r="C37" i="8"/>
  <c r="C38" i="8"/>
  <c r="C40" i="8"/>
  <c r="C41" i="8"/>
  <c r="C42" i="8"/>
  <c r="E47" i="8"/>
  <c r="G47" i="8" s="1"/>
  <c r="E48" i="8"/>
  <c r="G48" i="8" s="1"/>
  <c r="E49" i="8"/>
  <c r="G49" i="8" s="1"/>
  <c r="E51" i="8"/>
  <c r="G51" i="8" s="1"/>
  <c r="C53" i="8"/>
  <c r="E61" i="8"/>
  <c r="G61" i="8" s="1"/>
  <c r="E62" i="8"/>
  <c r="G62" i="8" s="1"/>
  <c r="C54" i="8"/>
  <c r="C55" i="8"/>
  <c r="E55" i="8" s="1"/>
  <c r="G55" i="8" s="1"/>
  <c r="E57" i="8"/>
  <c r="G57" i="8" s="1"/>
  <c r="E58" i="8"/>
  <c r="G58" i="8" s="1"/>
  <c r="C47" i="8"/>
  <c r="C48" i="8"/>
  <c r="C49" i="8"/>
  <c r="C50" i="8"/>
  <c r="C51" i="8"/>
  <c r="C57" i="8"/>
  <c r="C58" i="8"/>
  <c r="C60" i="8"/>
  <c r="C61" i="8"/>
  <c r="C62" i="8"/>
  <c r="E67" i="8"/>
  <c r="G67" i="8" s="1"/>
  <c r="E68" i="8"/>
  <c r="G68" i="8" s="1"/>
  <c r="E69" i="8"/>
  <c r="G69" i="8" s="1"/>
  <c r="E70" i="8"/>
  <c r="G70" i="8" s="1"/>
  <c r="E71" i="8"/>
  <c r="G71" i="8" s="1"/>
  <c r="C73" i="8"/>
  <c r="E81" i="8"/>
  <c r="G81" i="8" s="1"/>
  <c r="E82" i="8"/>
  <c r="G82" i="8" s="1"/>
  <c r="C74" i="8"/>
  <c r="E74" i="8" s="1"/>
  <c r="G74" i="8" s="1"/>
  <c r="C75" i="8"/>
  <c r="E75" i="8" s="1"/>
  <c r="G75" i="8" s="1"/>
  <c r="E77" i="8"/>
  <c r="G77" i="8" s="1"/>
  <c r="E78" i="8"/>
  <c r="G78" i="8" s="1"/>
  <c r="C67" i="8"/>
  <c r="C68" i="8"/>
  <c r="C69" i="8"/>
  <c r="C70" i="8"/>
  <c r="C71" i="8"/>
  <c r="C77" i="8"/>
  <c r="C78" i="8"/>
  <c r="C80" i="8"/>
  <c r="C81" i="8"/>
  <c r="C82" i="8"/>
  <c r="E87" i="8"/>
  <c r="G87" i="8" s="1"/>
  <c r="E88" i="8"/>
  <c r="G88" i="8" s="1"/>
  <c r="E89" i="8"/>
  <c r="G89" i="8" s="1"/>
  <c r="E92" i="8"/>
  <c r="G92" i="8" s="1"/>
  <c r="E27" i="6"/>
  <c r="G27" i="6" s="1"/>
  <c r="E28" i="6"/>
  <c r="G28" i="6" s="1"/>
  <c r="E29" i="6"/>
  <c r="G29" i="6" s="1"/>
  <c r="E30" i="6"/>
  <c r="G30" i="6" s="1"/>
  <c r="E31" i="6"/>
  <c r="G31" i="6" s="1"/>
  <c r="C33" i="6"/>
  <c r="E33" i="6" s="1"/>
  <c r="G33" i="6" s="1"/>
  <c r="C34" i="6"/>
  <c r="C35" i="6"/>
  <c r="E35" i="6" s="1"/>
  <c r="G35" i="6" s="1"/>
  <c r="D37" i="6"/>
  <c r="E37" i="6"/>
  <c r="E38" i="6"/>
  <c r="G38" i="6" s="1"/>
  <c r="E41" i="6"/>
  <c r="G41" i="6" s="1"/>
  <c r="E42" i="6"/>
  <c r="G42" i="6" s="1"/>
  <c r="E94" i="8"/>
  <c r="G94" i="8" s="1"/>
  <c r="E95" i="8"/>
  <c r="G95" i="8" s="1"/>
  <c r="E96" i="8"/>
  <c r="G96" i="8" s="1"/>
  <c r="E97" i="8"/>
  <c r="G97" i="8" s="1"/>
  <c r="E98" i="8"/>
  <c r="G98" i="8" s="1"/>
  <c r="D99" i="8"/>
  <c r="E99" i="8"/>
  <c r="E100" i="8"/>
  <c r="G100" i="8" s="1"/>
  <c r="C102" i="8"/>
  <c r="E110" i="8"/>
  <c r="G110" i="8" s="1"/>
  <c r="E111" i="8"/>
  <c r="G111" i="8" s="1"/>
  <c r="C103" i="8"/>
  <c r="C104" i="8"/>
  <c r="E104" i="8" s="1"/>
  <c r="G104" i="8" s="1"/>
  <c r="D106" i="8"/>
  <c r="E106" i="8"/>
  <c r="E107" i="8"/>
  <c r="G107" i="8" s="1"/>
  <c r="C87" i="8"/>
  <c r="C88" i="8"/>
  <c r="C89" i="8"/>
  <c r="C90" i="8"/>
  <c r="C91" i="8"/>
  <c r="C92" i="8"/>
  <c r="C93" i="8"/>
  <c r="C94" i="8"/>
  <c r="C95" i="8"/>
  <c r="C96" i="8"/>
  <c r="C97" i="8"/>
  <c r="C98" i="8"/>
  <c r="C99" i="8"/>
  <c r="C100" i="8"/>
  <c r="C106" i="8"/>
  <c r="C107" i="8"/>
  <c r="C109" i="8"/>
  <c r="C110" i="8"/>
  <c r="C111" i="8"/>
  <c r="E116" i="8"/>
  <c r="G116" i="8" s="1"/>
  <c r="E118" i="8"/>
  <c r="G118" i="8" s="1"/>
  <c r="E119" i="8"/>
  <c r="G119" i="8" s="1"/>
  <c r="E122" i="8"/>
  <c r="G122" i="8" s="1"/>
  <c r="E123" i="8"/>
  <c r="G123" i="8" s="1"/>
  <c r="E124" i="8"/>
  <c r="G124" i="8" s="1"/>
  <c r="E125" i="8"/>
  <c r="G125" i="8" s="1"/>
  <c r="E126" i="8"/>
  <c r="G126" i="8" s="1"/>
  <c r="E127" i="8"/>
  <c r="G127" i="8" s="1"/>
  <c r="E128" i="8"/>
  <c r="G128" i="8" s="1"/>
  <c r="C130" i="8"/>
  <c r="E138" i="8"/>
  <c r="G138" i="8" s="1"/>
  <c r="E139" i="8"/>
  <c r="G139" i="8" s="1"/>
  <c r="C131" i="8"/>
  <c r="C132" i="8"/>
  <c r="E132" i="8" s="1"/>
  <c r="G132" i="8" s="1"/>
  <c r="D134" i="8"/>
  <c r="E134" i="8"/>
  <c r="E135" i="8"/>
  <c r="G135" i="8" s="1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34" i="8"/>
  <c r="C135" i="8"/>
  <c r="C137" i="8"/>
  <c r="C138" i="8"/>
  <c r="C139" i="8"/>
  <c r="E144" i="8"/>
  <c r="G144" i="8" s="1"/>
  <c r="E145" i="8"/>
  <c r="G145" i="8" s="1"/>
  <c r="E146" i="8"/>
  <c r="G146" i="8" s="1"/>
  <c r="E147" i="8"/>
  <c r="G147" i="8" s="1"/>
  <c r="E148" i="8"/>
  <c r="G148" i="8" s="1"/>
  <c r="C150" i="8"/>
  <c r="E158" i="8"/>
  <c r="G158" i="8" s="1"/>
  <c r="E159" i="8"/>
  <c r="G159" i="8" s="1"/>
  <c r="C151" i="8"/>
  <c r="C152" i="8"/>
  <c r="E152" i="8" s="1"/>
  <c r="G152" i="8" s="1"/>
  <c r="E154" i="8"/>
  <c r="G154" i="8" s="1"/>
  <c r="E155" i="8"/>
  <c r="G155" i="8" s="1"/>
  <c r="C144" i="8"/>
  <c r="C145" i="8"/>
  <c r="C146" i="8"/>
  <c r="C147" i="8"/>
  <c r="C148" i="8"/>
  <c r="C154" i="8"/>
  <c r="C155" i="8"/>
  <c r="C157" i="8"/>
  <c r="C158" i="8"/>
  <c r="C159" i="8"/>
  <c r="E164" i="8"/>
  <c r="G164" i="8" s="1"/>
  <c r="E165" i="8"/>
  <c r="G165" i="8" s="1"/>
  <c r="E166" i="8"/>
  <c r="G166" i="8" s="1"/>
  <c r="E167" i="8"/>
  <c r="G167" i="8" s="1"/>
  <c r="E168" i="8"/>
  <c r="G168" i="8" s="1"/>
  <c r="C170" i="8"/>
  <c r="E178" i="8"/>
  <c r="G178" i="8" s="1"/>
  <c r="E179" i="8"/>
  <c r="G179" i="8" s="1"/>
  <c r="C171" i="8"/>
  <c r="C172" i="8"/>
  <c r="E172" i="8" s="1"/>
  <c r="G172" i="8" s="1"/>
  <c r="E174" i="8"/>
  <c r="G174" i="8" s="1"/>
  <c r="E175" i="8"/>
  <c r="G175" i="8" s="1"/>
  <c r="C164" i="8"/>
  <c r="C165" i="8"/>
  <c r="C166" i="8"/>
  <c r="C167" i="8"/>
  <c r="C168" i="8"/>
  <c r="C174" i="8"/>
  <c r="C175" i="8"/>
  <c r="C177" i="8"/>
  <c r="C178" i="8"/>
  <c r="C179" i="8"/>
  <c r="E184" i="8"/>
  <c r="G184" i="8" s="1"/>
  <c r="E185" i="8"/>
  <c r="G185" i="8" s="1"/>
  <c r="E187" i="8"/>
  <c r="G187" i="8" s="1"/>
  <c r="E188" i="8"/>
  <c r="G188" i="8" s="1"/>
  <c r="C190" i="8"/>
  <c r="E198" i="8"/>
  <c r="G198" i="8" s="1"/>
  <c r="E199" i="8"/>
  <c r="G199" i="8" s="1"/>
  <c r="C191" i="8"/>
  <c r="C192" i="8"/>
  <c r="E192" i="8" s="1"/>
  <c r="G192" i="8" s="1"/>
  <c r="E194" i="8"/>
  <c r="G194" i="8" s="1"/>
  <c r="E195" i="8"/>
  <c r="G195" i="8" s="1"/>
  <c r="C184" i="8"/>
  <c r="C185" i="8"/>
  <c r="C186" i="8"/>
  <c r="C187" i="8"/>
  <c r="C188" i="8"/>
  <c r="C194" i="8"/>
  <c r="C195" i="8"/>
  <c r="C197" i="8"/>
  <c r="C198" i="8"/>
  <c r="C199" i="8"/>
  <c r="E204" i="8"/>
  <c r="G204" i="8" s="1"/>
  <c r="D205" i="8"/>
  <c r="E205" i="8"/>
  <c r="E207" i="8"/>
  <c r="G207" i="8" s="1"/>
  <c r="E208" i="8"/>
  <c r="G208" i="8" s="1"/>
  <c r="C210" i="8"/>
  <c r="E218" i="8"/>
  <c r="G218" i="8" s="1"/>
  <c r="E219" i="8"/>
  <c r="G219" i="8" s="1"/>
  <c r="C211" i="8"/>
  <c r="C212" i="8"/>
  <c r="E212" i="8" s="1"/>
  <c r="G212" i="8" s="1"/>
  <c r="E214" i="8"/>
  <c r="G214" i="8" s="1"/>
  <c r="E215" i="8"/>
  <c r="G215" i="8" s="1"/>
  <c r="C204" i="8"/>
  <c r="C205" i="8"/>
  <c r="C206" i="8"/>
  <c r="C207" i="8"/>
  <c r="C208" i="8"/>
  <c r="C214" i="8"/>
  <c r="C215" i="8"/>
  <c r="C217" i="8"/>
  <c r="C218" i="8"/>
  <c r="C219" i="8"/>
  <c r="E224" i="8"/>
  <c r="G224" i="8" s="1"/>
  <c r="E225" i="8"/>
  <c r="G225" i="8" s="1"/>
  <c r="E226" i="8"/>
  <c r="G226" i="8" s="1"/>
  <c r="E228" i="8"/>
  <c r="G228" i="8" s="1"/>
  <c r="C230" i="8"/>
  <c r="E238" i="8"/>
  <c r="G238" i="8" s="1"/>
  <c r="E239" i="8"/>
  <c r="G239" i="8" s="1"/>
  <c r="C231" i="8"/>
  <c r="E231" i="8" s="1"/>
  <c r="G231" i="8" s="1"/>
  <c r="C232" i="8"/>
  <c r="E232" i="8" s="1"/>
  <c r="G232" i="8" s="1"/>
  <c r="E234" i="8"/>
  <c r="G234" i="8" s="1"/>
  <c r="E235" i="8"/>
  <c r="G235" i="8" s="1"/>
  <c r="C224" i="8"/>
  <c r="C225" i="8"/>
  <c r="C226" i="8"/>
  <c r="C227" i="8"/>
  <c r="C228" i="8"/>
  <c r="C234" i="8"/>
  <c r="C235" i="8"/>
  <c r="C237" i="8"/>
  <c r="C238" i="8"/>
  <c r="C239" i="8"/>
  <c r="E244" i="8"/>
  <c r="G244" i="8" s="1"/>
  <c r="E245" i="8"/>
  <c r="G245" i="8" s="1"/>
  <c r="E246" i="8"/>
  <c r="G246" i="8" s="1"/>
  <c r="E248" i="8"/>
  <c r="G248" i="8" s="1"/>
  <c r="C250" i="8"/>
  <c r="E258" i="8"/>
  <c r="G258" i="8" s="1"/>
  <c r="E259" i="8"/>
  <c r="G259" i="8" s="1"/>
  <c r="C251" i="8"/>
  <c r="C252" i="8"/>
  <c r="E252" i="8" s="1"/>
  <c r="G252" i="8" s="1"/>
  <c r="E254" i="8"/>
  <c r="G254" i="8" s="1"/>
  <c r="E255" i="8"/>
  <c r="G255" i="8" s="1"/>
  <c r="C244" i="8"/>
  <c r="C245" i="8"/>
  <c r="C246" i="8"/>
  <c r="C247" i="8"/>
  <c r="C248" i="8"/>
  <c r="C254" i="8"/>
  <c r="C255" i="8"/>
  <c r="C257" i="8"/>
  <c r="C258" i="8"/>
  <c r="C259" i="8"/>
  <c r="E264" i="8"/>
  <c r="G264" i="8" s="1"/>
  <c r="E265" i="8"/>
  <c r="G265" i="8" s="1"/>
  <c r="E267" i="8"/>
  <c r="G267" i="8" s="1"/>
  <c r="E268" i="8"/>
  <c r="G268" i="8" s="1"/>
  <c r="C270" i="8"/>
  <c r="E278" i="8"/>
  <c r="G278" i="8" s="1"/>
  <c r="E279" i="8"/>
  <c r="G279" i="8" s="1"/>
  <c r="C271" i="8"/>
  <c r="C272" i="8"/>
  <c r="E272" i="8" s="1"/>
  <c r="G272" i="8" s="1"/>
  <c r="E274" i="8"/>
  <c r="G274" i="8" s="1"/>
  <c r="E275" i="8"/>
  <c r="G275" i="8" s="1"/>
  <c r="C264" i="8"/>
  <c r="C265" i="8"/>
  <c r="C266" i="8"/>
  <c r="C267" i="8"/>
  <c r="C268" i="8"/>
  <c r="C274" i="8"/>
  <c r="C275" i="8"/>
  <c r="C277" i="8"/>
  <c r="C278" i="8"/>
  <c r="C279" i="8"/>
  <c r="E284" i="8"/>
  <c r="G284" i="8" s="1"/>
  <c r="E285" i="8"/>
  <c r="G285" i="8" s="1"/>
  <c r="E286" i="8"/>
  <c r="G286" i="8" s="1"/>
  <c r="E287" i="8"/>
  <c r="G287" i="8" s="1"/>
  <c r="E288" i="8"/>
  <c r="G288" i="8" s="1"/>
  <c r="C290" i="8"/>
  <c r="E298" i="8"/>
  <c r="G298" i="8" s="1"/>
  <c r="E299" i="8"/>
  <c r="G299" i="8" s="1"/>
  <c r="C291" i="8"/>
  <c r="E291" i="8" s="1"/>
  <c r="G291" i="8" s="1"/>
  <c r="C292" i="8"/>
  <c r="E292" i="8" s="1"/>
  <c r="G292" i="8" s="1"/>
  <c r="E294" i="8"/>
  <c r="G294" i="8" s="1"/>
  <c r="E295" i="8"/>
  <c r="G295" i="8" s="1"/>
  <c r="C284" i="8"/>
  <c r="C285" i="8"/>
  <c r="C286" i="8"/>
  <c r="C287" i="8"/>
  <c r="C288" i="8"/>
  <c r="C294" i="8"/>
  <c r="C295" i="8"/>
  <c r="C297" i="8"/>
  <c r="C298" i="8"/>
  <c r="C299" i="8"/>
  <c r="E304" i="8"/>
  <c r="G304" i="8" s="1"/>
  <c r="E305" i="8"/>
  <c r="G305" i="8" s="1"/>
  <c r="E306" i="8"/>
  <c r="G306" i="8" s="1"/>
  <c r="E307" i="8"/>
  <c r="G307" i="8" s="1"/>
  <c r="E308" i="8"/>
  <c r="G308" i="8" s="1"/>
  <c r="C310" i="8"/>
  <c r="C311" i="8"/>
  <c r="E311" i="8" s="1"/>
  <c r="G311" i="8" s="1"/>
  <c r="C312" i="8"/>
  <c r="E312" i="8" s="1"/>
  <c r="G312" i="8" s="1"/>
  <c r="E314" i="8"/>
  <c r="G314" i="8" s="1"/>
  <c r="E315" i="8"/>
  <c r="G315" i="8" s="1"/>
  <c r="C304" i="8"/>
  <c r="C305" i="8"/>
  <c r="C306" i="8"/>
  <c r="C307" i="8"/>
  <c r="C308" i="8"/>
  <c r="C314" i="8"/>
  <c r="C315" i="8"/>
  <c r="C317" i="8"/>
  <c r="C318" i="8"/>
  <c r="C319" i="8"/>
  <c r="E325" i="8"/>
  <c r="G325" i="8" s="1"/>
  <c r="E326" i="8"/>
  <c r="G326" i="8" s="1"/>
  <c r="E327" i="8"/>
  <c r="G327" i="8" s="1"/>
  <c r="E328" i="8"/>
  <c r="G328" i="8" s="1"/>
  <c r="C330" i="8"/>
  <c r="E338" i="8"/>
  <c r="G338" i="8" s="1"/>
  <c r="E339" i="8"/>
  <c r="G339" i="8" s="1"/>
  <c r="C331" i="8"/>
  <c r="E331" i="8" s="1"/>
  <c r="G331" i="8" s="1"/>
  <c r="C332" i="8"/>
  <c r="E332" i="8" s="1"/>
  <c r="G332" i="8" s="1"/>
  <c r="E334" i="8"/>
  <c r="G334" i="8" s="1"/>
  <c r="E335" i="8"/>
  <c r="G335" i="8" s="1"/>
  <c r="C324" i="8"/>
  <c r="C325" i="8"/>
  <c r="C326" i="8"/>
  <c r="C327" i="8"/>
  <c r="C328" i="8"/>
  <c r="C334" i="8"/>
  <c r="C335" i="8"/>
  <c r="C337" i="8"/>
  <c r="C338" i="8" a="1"/>
  <c r="C338" i="8" s="1"/>
  <c r="C339" i="8" a="1"/>
  <c r="C339" i="8" s="1"/>
  <c r="E344" i="8"/>
  <c r="G344" i="8" s="1"/>
  <c r="E345" i="8"/>
  <c r="G345" i="8" s="1"/>
  <c r="E346" i="8"/>
  <c r="G346" i="8" s="1"/>
  <c r="E347" i="8"/>
  <c r="G347" i="8" s="1"/>
  <c r="E348" i="8"/>
  <c r="G348" i="8" s="1"/>
  <c r="C350" i="8"/>
  <c r="E358" i="8"/>
  <c r="G358" i="8" s="1"/>
  <c r="E359" i="8"/>
  <c r="G359" i="8" s="1"/>
  <c r="C351" i="8"/>
  <c r="C352" i="8"/>
  <c r="E352" i="8" s="1"/>
  <c r="G352" i="8" s="1"/>
  <c r="E354" i="8"/>
  <c r="G354" i="8" s="1"/>
  <c r="E355" i="8"/>
  <c r="G355" i="8" s="1"/>
  <c r="C344" i="8"/>
  <c r="C345" i="8"/>
  <c r="C346" i="8"/>
  <c r="C347" i="8"/>
  <c r="C348" i="8"/>
  <c r="C354" i="8"/>
  <c r="C355" i="8"/>
  <c r="C357" i="8"/>
  <c r="C358" i="8" a="1"/>
  <c r="C358" i="8" s="1"/>
  <c r="C359" i="8" a="1"/>
  <c r="C359" i="8" s="1"/>
  <c r="E364" i="8"/>
  <c r="G364" i="8" s="1"/>
  <c r="E365" i="8"/>
  <c r="G365" i="8" s="1"/>
  <c r="E366" i="8"/>
  <c r="G366" i="8" s="1"/>
  <c r="E367" i="8"/>
  <c r="G367" i="8" s="1"/>
  <c r="E368" i="8"/>
  <c r="G368" i="8" s="1"/>
  <c r="C370" i="8"/>
  <c r="E378" i="8"/>
  <c r="G378" i="8" s="1"/>
  <c r="E379" i="8"/>
  <c r="G379" i="8" s="1"/>
  <c r="C371" i="8"/>
  <c r="C372" i="8"/>
  <c r="E372" i="8" s="1"/>
  <c r="G372" i="8" s="1"/>
  <c r="E374" i="8"/>
  <c r="G374" i="8" s="1"/>
  <c r="E375" i="8"/>
  <c r="G375" i="8" s="1"/>
  <c r="C364" i="8"/>
  <c r="C365" i="8"/>
  <c r="C366" i="8"/>
  <c r="C367" i="8"/>
  <c r="C368" i="8"/>
  <c r="C374" i="8"/>
  <c r="C375" i="8"/>
  <c r="C377" i="8"/>
  <c r="C378" i="8" a="1"/>
  <c r="C378" i="8" s="1"/>
  <c r="C379" i="8" a="1"/>
  <c r="C379" i="8" s="1"/>
  <c r="E384" i="8"/>
  <c r="G384" i="8" s="1"/>
  <c r="E385" i="8"/>
  <c r="G385" i="8" s="1"/>
  <c r="E386" i="8"/>
  <c r="G386" i="8" s="1"/>
  <c r="E387" i="8"/>
  <c r="G387" i="8" s="1"/>
  <c r="E388" i="8"/>
  <c r="G388" i="8" s="1"/>
  <c r="C390" i="8"/>
  <c r="E390" i="8" s="1"/>
  <c r="G390" i="8" s="1"/>
  <c r="C391" i="8"/>
  <c r="E398" i="8"/>
  <c r="G398" i="8" s="1"/>
  <c r="E399" i="8"/>
  <c r="G399" i="8" s="1"/>
  <c r="C392" i="8"/>
  <c r="E394" i="8"/>
  <c r="G394" i="8" s="1"/>
  <c r="E395" i="8"/>
  <c r="G395" i="8" s="1"/>
  <c r="C384" i="8"/>
  <c r="C385" i="8"/>
  <c r="C386" i="8"/>
  <c r="C387" i="8"/>
  <c r="C388" i="8"/>
  <c r="C394" i="8"/>
  <c r="C395" i="8"/>
  <c r="C397" i="8"/>
  <c r="C398" i="8" a="1"/>
  <c r="C398" i="8" s="1"/>
  <c r="C399" i="8" a="1"/>
  <c r="C399" i="8" s="1"/>
  <c r="E404" i="8"/>
  <c r="G404" i="8" s="1"/>
  <c r="E405" i="8"/>
  <c r="G405" i="8" s="1"/>
  <c r="E406" i="8"/>
  <c r="G406" i="8" s="1"/>
  <c r="E407" i="8"/>
  <c r="G407" i="8" s="1"/>
  <c r="E408" i="8"/>
  <c r="G408" i="8" s="1"/>
  <c r="C410" i="8"/>
  <c r="E418" i="8"/>
  <c r="G418" i="8" s="1"/>
  <c r="E419" i="8"/>
  <c r="G419" i="8" s="1"/>
  <c r="C411" i="8"/>
  <c r="E411" i="8" s="1"/>
  <c r="G411" i="8" s="1"/>
  <c r="C412" i="8"/>
  <c r="E412" i="8" s="1"/>
  <c r="G412" i="8" s="1"/>
  <c r="E414" i="8"/>
  <c r="G414" i="8" s="1"/>
  <c r="E415" i="8"/>
  <c r="G415" i="8" s="1"/>
  <c r="C404" i="8"/>
  <c r="C405" i="8"/>
  <c r="C406" i="8"/>
  <c r="C407" i="8"/>
  <c r="C408" i="8"/>
  <c r="C414" i="8"/>
  <c r="C415" i="8"/>
  <c r="C417" i="8"/>
  <c r="C418" i="8" a="1"/>
  <c r="C418" i="8" s="1"/>
  <c r="C419" i="8" a="1"/>
  <c r="C419" i="8" s="1"/>
  <c r="E424" i="8"/>
  <c r="G424" i="8" s="1"/>
  <c r="E425" i="8"/>
  <c r="G425" i="8" s="1"/>
  <c r="E426" i="8"/>
  <c r="G426" i="8" s="1"/>
  <c r="E427" i="8"/>
  <c r="G427" i="8" s="1"/>
  <c r="E428" i="8"/>
  <c r="G428" i="8" s="1"/>
  <c r="C430" i="8"/>
  <c r="E439" i="8"/>
  <c r="G439" i="8" s="1"/>
  <c r="C431" i="8"/>
  <c r="E431" i="8" s="1"/>
  <c r="G431" i="8" s="1"/>
  <c r="C432" i="8"/>
  <c r="E432" i="8" s="1"/>
  <c r="G432" i="8" s="1"/>
  <c r="E434" i="8"/>
  <c r="G434" i="8" s="1"/>
  <c r="E435" i="8"/>
  <c r="G435" i="8" s="1"/>
  <c r="C424" i="8"/>
  <c r="C425" i="8"/>
  <c r="C426" i="8"/>
  <c r="C427" i="8"/>
  <c r="C428" i="8"/>
  <c r="C434" i="8"/>
  <c r="C435" i="8"/>
  <c r="C437" i="8"/>
  <c r="C438" i="8" a="1"/>
  <c r="C438" i="8" s="1"/>
  <c r="C439" i="8" a="1"/>
  <c r="C439" i="8" s="1"/>
  <c r="E444" i="8"/>
  <c r="G444" i="8" s="1"/>
  <c r="E445" i="8"/>
  <c r="G445" i="8" s="1"/>
  <c r="E446" i="8"/>
  <c r="G446" i="8" s="1"/>
  <c r="E447" i="8"/>
  <c r="G447" i="8" s="1"/>
  <c r="E448" i="8"/>
  <c r="G448" i="8" s="1"/>
  <c r="C450" i="8"/>
  <c r="E458" i="8"/>
  <c r="G458" i="8" s="1"/>
  <c r="E459" i="8"/>
  <c r="G459" i="8" s="1"/>
  <c r="C451" i="8"/>
  <c r="C452" i="8"/>
  <c r="E452" i="8" s="1"/>
  <c r="G452" i="8" s="1"/>
  <c r="E454" i="8"/>
  <c r="G454" i="8" s="1"/>
  <c r="E455" i="8"/>
  <c r="G455" i="8" s="1"/>
  <c r="C444" i="8"/>
  <c r="C445" i="8"/>
  <c r="C446" i="8"/>
  <c r="C447" i="8"/>
  <c r="C448" i="8"/>
  <c r="C454" i="8"/>
  <c r="C455" i="8"/>
  <c r="C457" i="8"/>
  <c r="C458" i="8" a="1"/>
  <c r="C458" i="8" s="1"/>
  <c r="C459" i="8" a="1"/>
  <c r="C459" i="8" s="1"/>
  <c r="E464" i="8"/>
  <c r="G464" i="8" s="1"/>
  <c r="E465" i="8"/>
  <c r="G465" i="8" s="1"/>
  <c r="E466" i="8"/>
  <c r="G466" i="8" s="1"/>
  <c r="E467" i="8"/>
  <c r="G467" i="8" s="1"/>
  <c r="E468" i="8"/>
  <c r="G468" i="8" s="1"/>
  <c r="C470" i="8"/>
  <c r="E478" i="8"/>
  <c r="G478" i="8" s="1"/>
  <c r="E479" i="8"/>
  <c r="G479" i="8" s="1"/>
  <c r="C471" i="8"/>
  <c r="E471" i="8" s="1"/>
  <c r="G471" i="8" s="1"/>
  <c r="C472" i="8"/>
  <c r="E472" i="8" s="1"/>
  <c r="G472" i="8" s="1"/>
  <c r="E474" i="8"/>
  <c r="G474" i="8" s="1"/>
  <c r="E475" i="8"/>
  <c r="G475" i="8" s="1"/>
  <c r="C464" i="8"/>
  <c r="C465" i="8"/>
  <c r="C466" i="8"/>
  <c r="C467" i="8"/>
  <c r="C468" i="8"/>
  <c r="C474" i="8"/>
  <c r="C475" i="8"/>
  <c r="C477" i="8"/>
  <c r="C478" i="8" a="1"/>
  <c r="C478" i="8" s="1"/>
  <c r="C479" i="8" a="1"/>
  <c r="C479" i="8" s="1"/>
  <c r="E484" i="8"/>
  <c r="G484" i="8" s="1"/>
  <c r="E485" i="8"/>
  <c r="G485" i="8" s="1"/>
  <c r="E486" i="8"/>
  <c r="G486" i="8" s="1"/>
  <c r="E487" i="8"/>
  <c r="G487" i="8" s="1"/>
  <c r="E488" i="8"/>
  <c r="G488" i="8" s="1"/>
  <c r="C490" i="8"/>
  <c r="E490" i="8" s="1"/>
  <c r="G490" i="8" s="1"/>
  <c r="C491" i="8"/>
  <c r="E491" i="8" s="1"/>
  <c r="G491" i="8" s="1"/>
  <c r="C492" i="8"/>
  <c r="E492" i="8" s="1"/>
  <c r="G492" i="8" s="1"/>
  <c r="E494" i="8"/>
  <c r="G494" i="8" s="1"/>
  <c r="E495" i="8"/>
  <c r="G495" i="8" s="1"/>
  <c r="E498" i="8"/>
  <c r="G498" i="8" s="1"/>
  <c r="E499" i="8"/>
  <c r="G499" i="8" s="1"/>
  <c r="C484" i="8"/>
  <c r="C485" i="8"/>
  <c r="C486" i="8"/>
  <c r="C487" i="8"/>
  <c r="C488" i="8"/>
  <c r="C494" i="8"/>
  <c r="C495" i="8"/>
  <c r="C497" i="8"/>
  <c r="C498" i="8" a="1"/>
  <c r="C498" i="8" s="1"/>
  <c r="C499" i="8" a="1"/>
  <c r="C499" i="8" s="1"/>
  <c r="E504" i="8"/>
  <c r="G504" i="8" s="1"/>
  <c r="E505" i="8"/>
  <c r="G505" i="8" s="1"/>
  <c r="E506" i="8"/>
  <c r="G506" i="8" s="1"/>
  <c r="E507" i="8"/>
  <c r="G507" i="8" s="1"/>
  <c r="E508" i="8"/>
  <c r="G508" i="8" s="1"/>
  <c r="C510" i="8"/>
  <c r="E518" i="8"/>
  <c r="G518" i="8" s="1"/>
  <c r="E519" i="8"/>
  <c r="G519" i="8" s="1"/>
  <c r="C511" i="8"/>
  <c r="C512" i="8"/>
  <c r="E512" i="8" s="1"/>
  <c r="G512" i="8" s="1"/>
  <c r="E514" i="8"/>
  <c r="G514" i="8" s="1"/>
  <c r="E515" i="8"/>
  <c r="G515" i="8" s="1"/>
  <c r="C504" i="8"/>
  <c r="C505" i="8"/>
  <c r="C506" i="8"/>
  <c r="C507" i="8"/>
  <c r="C508" i="8"/>
  <c r="C514" i="8"/>
  <c r="C515" i="8"/>
  <c r="C517" i="8"/>
  <c r="C518" i="8" a="1"/>
  <c r="C518" i="8" s="1"/>
  <c r="C519" i="8" a="1"/>
  <c r="C519" i="8" s="1"/>
  <c r="E524" i="8"/>
  <c r="G524" i="8" s="1"/>
  <c r="E525" i="8"/>
  <c r="G525" i="8" s="1"/>
  <c r="E526" i="8"/>
  <c r="G526" i="8" s="1"/>
  <c r="E527" i="8"/>
  <c r="G527" i="8" s="1"/>
  <c r="E528" i="8"/>
  <c r="G528" i="8" s="1"/>
  <c r="C530" i="8"/>
  <c r="E538" i="8"/>
  <c r="G538" i="8" s="1"/>
  <c r="E539" i="8"/>
  <c r="G539" i="8" s="1"/>
  <c r="C531" i="8"/>
  <c r="C532" i="8"/>
  <c r="E532" i="8" s="1"/>
  <c r="G532" i="8" s="1"/>
  <c r="E534" i="8"/>
  <c r="G534" i="8" s="1"/>
  <c r="E535" i="8"/>
  <c r="G535" i="8" s="1"/>
  <c r="C524" i="8"/>
  <c r="C525" i="8"/>
  <c r="C526" i="8"/>
  <c r="C527" i="8"/>
  <c r="C528" i="8"/>
  <c r="C534" i="8"/>
  <c r="C535" i="8"/>
  <c r="C537" i="8"/>
  <c r="C538" i="8" a="1"/>
  <c r="C538" i="8" s="1"/>
  <c r="C539" i="8" a="1"/>
  <c r="C539" i="8" s="1"/>
  <c r="E544" i="8"/>
  <c r="G544" i="8" s="1"/>
  <c r="E545" i="8"/>
  <c r="G545" i="8" s="1"/>
  <c r="E546" i="8"/>
  <c r="G546" i="8" s="1"/>
  <c r="E547" i="8"/>
  <c r="G547" i="8" s="1"/>
  <c r="E548" i="8"/>
  <c r="G548" i="8" s="1"/>
  <c r="C550" i="8"/>
  <c r="E558" i="8"/>
  <c r="G558" i="8" s="1"/>
  <c r="E559" i="8"/>
  <c r="G559" i="8" s="1"/>
  <c r="C551" i="8"/>
  <c r="C552" i="8"/>
  <c r="E552" i="8" s="1"/>
  <c r="G552" i="8" s="1"/>
  <c r="E554" i="8"/>
  <c r="G554" i="8" s="1"/>
  <c r="E555" i="8"/>
  <c r="G555" i="8" s="1"/>
  <c r="C544" i="8"/>
  <c r="C545" i="8"/>
  <c r="C546" i="8"/>
  <c r="C547" i="8"/>
  <c r="C548" i="8"/>
  <c r="C554" i="8"/>
  <c r="C555" i="8"/>
  <c r="C557" i="8"/>
  <c r="C558" i="8" a="1"/>
  <c r="C558" i="8" s="1"/>
  <c r="C559" i="8" a="1"/>
  <c r="C559" i="8" s="1"/>
  <c r="E564" i="8"/>
  <c r="G564" i="8" s="1"/>
  <c r="E565" i="8"/>
  <c r="G565" i="8" s="1"/>
  <c r="E566" i="8"/>
  <c r="G566" i="8" s="1"/>
  <c r="E567" i="8"/>
  <c r="G567" i="8" s="1"/>
  <c r="E568" i="8"/>
  <c r="G568" i="8" s="1"/>
  <c r="C570" i="8"/>
  <c r="E579" i="8"/>
  <c r="G579" i="8" s="1"/>
  <c r="C571" i="8"/>
  <c r="C572" i="8"/>
  <c r="E572" i="8" s="1"/>
  <c r="G572" i="8" s="1"/>
  <c r="E574" i="8"/>
  <c r="G574" i="8" s="1"/>
  <c r="E575" i="8"/>
  <c r="G575" i="8" s="1"/>
  <c r="C564" i="8"/>
  <c r="C565" i="8"/>
  <c r="C566" i="8"/>
  <c r="C567" i="8"/>
  <c r="C568" i="8"/>
  <c r="C574" i="8"/>
  <c r="C575" i="8"/>
  <c r="C577" i="8"/>
  <c r="C578" i="8" a="1"/>
  <c r="C578" i="8" s="1"/>
  <c r="C579" i="8" a="1"/>
  <c r="C579" i="8" s="1"/>
  <c r="E584" i="8"/>
  <c r="G584" i="8" s="1"/>
  <c r="E586" i="8"/>
  <c r="G586" i="8" s="1"/>
  <c r="E587" i="8"/>
  <c r="G587" i="8" s="1"/>
  <c r="E588" i="8"/>
  <c r="G588" i="8" s="1"/>
  <c r="C590" i="8"/>
  <c r="E590" i="8" s="1"/>
  <c r="G590" i="8" s="1"/>
  <c r="C591" i="8"/>
  <c r="E598" i="8"/>
  <c r="G598" i="8" s="1"/>
  <c r="E599" i="8"/>
  <c r="G599" i="8" s="1"/>
  <c r="C592" i="8"/>
  <c r="E592" i="8" s="1"/>
  <c r="G592" i="8" s="1"/>
  <c r="E594" i="8"/>
  <c r="G594" i="8" s="1"/>
  <c r="E595" i="8"/>
  <c r="G595" i="8" s="1"/>
  <c r="C584" i="8"/>
  <c r="C585" i="8"/>
  <c r="C586" i="8"/>
  <c r="C587" i="8"/>
  <c r="C588" i="8"/>
  <c r="C594" i="8"/>
  <c r="C595" i="8"/>
  <c r="C597" i="8"/>
  <c r="C598" i="8" a="1"/>
  <c r="C598" i="8" s="1"/>
  <c r="C599" i="8" a="1"/>
  <c r="C599" i="8" s="1"/>
  <c r="E604" i="8"/>
  <c r="G604" i="8" s="1"/>
  <c r="E606" i="8"/>
  <c r="G606" i="8" s="1"/>
  <c r="E607" i="8"/>
  <c r="G607" i="8" s="1"/>
  <c r="E608" i="8"/>
  <c r="G608" i="8" s="1"/>
  <c r="C610" i="8"/>
  <c r="E610" i="8" s="1"/>
  <c r="G610" i="8" s="1"/>
  <c r="C611" i="8"/>
  <c r="E618" i="8"/>
  <c r="G618" i="8" s="1"/>
  <c r="E619" i="8"/>
  <c r="G619" i="8" s="1"/>
  <c r="C612" i="8"/>
  <c r="E612" i="8" s="1"/>
  <c r="G612" i="8" s="1"/>
  <c r="E614" i="8"/>
  <c r="G614" i="8" s="1"/>
  <c r="E615" i="8"/>
  <c r="G615" i="8" s="1"/>
  <c r="C604" i="8"/>
  <c r="C605" i="8"/>
  <c r="C606" i="8"/>
  <c r="C607" i="8"/>
  <c r="C608" i="8"/>
  <c r="C614" i="8"/>
  <c r="C615" i="8"/>
  <c r="C617" i="8"/>
  <c r="C618" i="8" a="1"/>
  <c r="C618" i="8" s="1"/>
  <c r="C619" i="8" a="1"/>
  <c r="C619" i="8" s="1"/>
  <c r="E624" i="8"/>
  <c r="G624" i="8" s="1"/>
  <c r="E626" i="8"/>
  <c r="G626" i="8" s="1"/>
  <c r="E627" i="8"/>
  <c r="G627" i="8" s="1"/>
  <c r="E628" i="8"/>
  <c r="G628" i="8" s="1"/>
  <c r="C630" i="8"/>
  <c r="E630" i="8" s="1"/>
  <c r="G630" i="8" s="1"/>
  <c r="C631" i="8"/>
  <c r="E638" i="8"/>
  <c r="G638" i="8" s="1"/>
  <c r="E639" i="8"/>
  <c r="G639" i="8" s="1"/>
  <c r="C632" i="8"/>
  <c r="E632" i="8" s="1"/>
  <c r="G632" i="8" s="1"/>
  <c r="E634" i="8"/>
  <c r="G634" i="8" s="1"/>
  <c r="E635" i="8"/>
  <c r="G635" i="8" s="1"/>
  <c r="C624" i="8"/>
  <c r="C625" i="8"/>
  <c r="C626" i="8"/>
  <c r="C627" i="8"/>
  <c r="C628" i="8"/>
  <c r="C634" i="8"/>
  <c r="C635" i="8"/>
  <c r="C637" i="8"/>
  <c r="C638" i="8" a="1"/>
  <c r="C638" i="8" s="1"/>
  <c r="C639" i="8" a="1"/>
  <c r="C639" i="8" s="1"/>
  <c r="E644" i="8"/>
  <c r="G644" i="8" s="1"/>
  <c r="E645" i="8"/>
  <c r="G645" i="8" s="1"/>
  <c r="E646" i="8"/>
  <c r="G646" i="8" s="1"/>
  <c r="E647" i="8"/>
  <c r="G647" i="8" s="1"/>
  <c r="E648" i="8"/>
  <c r="G648" i="8" s="1"/>
  <c r="C650" i="8"/>
  <c r="E658" i="8"/>
  <c r="G658" i="8" s="1"/>
  <c r="E659" i="8"/>
  <c r="G659" i="8" s="1"/>
  <c r="C651" i="8"/>
  <c r="E651" i="8" s="1"/>
  <c r="G651" i="8" s="1"/>
  <c r="C652" i="8"/>
  <c r="E652" i="8" s="1"/>
  <c r="G652" i="8" s="1"/>
  <c r="E654" i="8"/>
  <c r="G654" i="8" s="1"/>
  <c r="E655" i="8"/>
  <c r="G655" i="8" s="1"/>
  <c r="C644" i="8"/>
  <c r="C645" i="8"/>
  <c r="C646" i="8"/>
  <c r="C647" i="8"/>
  <c r="C648" i="8"/>
  <c r="C654" i="8"/>
  <c r="C655" i="8"/>
  <c r="C657" i="8"/>
  <c r="C658" i="8" a="1"/>
  <c r="C658" i="8" s="1"/>
  <c r="C659" i="8" a="1"/>
  <c r="C659" i="8" s="1"/>
  <c r="E664" i="8"/>
  <c r="G664" i="8" s="1"/>
  <c r="E665" i="8"/>
  <c r="G665" i="8" s="1"/>
  <c r="E666" i="8"/>
  <c r="G666" i="8" s="1"/>
  <c r="E667" i="8"/>
  <c r="G667" i="8" s="1"/>
  <c r="E668" i="8"/>
  <c r="G668" i="8" s="1"/>
  <c r="C670" i="8"/>
  <c r="E678" i="8"/>
  <c r="G678" i="8" s="1"/>
  <c r="E679" i="8"/>
  <c r="G679" i="8" s="1"/>
  <c r="C671" i="8"/>
  <c r="C672" i="8"/>
  <c r="E672" i="8" s="1"/>
  <c r="G672" i="8" s="1"/>
  <c r="E674" i="8"/>
  <c r="G674" i="8" s="1"/>
  <c r="E675" i="8"/>
  <c r="G675" i="8" s="1"/>
  <c r="C664" i="8"/>
  <c r="C665" i="8"/>
  <c r="C666" i="8"/>
  <c r="C667" i="8"/>
  <c r="C668" i="8"/>
  <c r="C674" i="8"/>
  <c r="C675" i="8"/>
  <c r="C677" i="8"/>
  <c r="C678" i="8" a="1"/>
  <c r="C678" i="8" s="1"/>
  <c r="C679" i="8" a="1"/>
  <c r="C679" i="8" s="1"/>
  <c r="E684" i="8"/>
  <c r="G684" i="8" s="1"/>
  <c r="E685" i="8"/>
  <c r="G685" i="8" s="1"/>
  <c r="E686" i="8"/>
  <c r="G686" i="8" s="1"/>
  <c r="E687" i="8"/>
  <c r="G687" i="8" s="1"/>
  <c r="E688" i="8"/>
  <c r="G688" i="8" s="1"/>
  <c r="C690" i="8"/>
  <c r="E690" i="8" s="1"/>
  <c r="G690" i="8" s="1"/>
  <c r="C691" i="8"/>
  <c r="E698" i="8"/>
  <c r="G698" i="8" s="1"/>
  <c r="E699" i="8"/>
  <c r="G699" i="8" s="1"/>
  <c r="C692" i="8"/>
  <c r="E692" i="8" s="1"/>
  <c r="G692" i="8" s="1"/>
  <c r="E694" i="8"/>
  <c r="G694" i="8" s="1"/>
  <c r="E695" i="8"/>
  <c r="G695" i="8" s="1"/>
  <c r="C684" i="8"/>
  <c r="C685" i="8"/>
  <c r="C686" i="8"/>
  <c r="C687" i="8"/>
  <c r="C688" i="8"/>
  <c r="C694" i="8"/>
  <c r="C695" i="8"/>
  <c r="C697" i="8"/>
  <c r="C698" i="8" a="1"/>
  <c r="C698" i="8" s="1"/>
  <c r="C699" i="8" a="1"/>
  <c r="C699" i="8" s="1"/>
  <c r="E704" i="8"/>
  <c r="G704" i="8" s="1"/>
  <c r="E705" i="8"/>
  <c r="G705" i="8" s="1"/>
  <c r="E706" i="8"/>
  <c r="G706" i="8" s="1"/>
  <c r="E708" i="8"/>
  <c r="G708" i="8" s="1"/>
  <c r="C710" i="8"/>
  <c r="E718" i="8"/>
  <c r="G718" i="8" s="1"/>
  <c r="E719" i="8"/>
  <c r="G719" i="8" s="1"/>
  <c r="C711" i="8"/>
  <c r="C712" i="8"/>
  <c r="E712" i="8" s="1"/>
  <c r="G712" i="8" s="1"/>
  <c r="E714" i="8"/>
  <c r="G714" i="8" s="1"/>
  <c r="E715" i="8"/>
  <c r="G715" i="8" s="1"/>
  <c r="C704" i="8"/>
  <c r="C705" i="8"/>
  <c r="C706" i="8"/>
  <c r="C707" i="8"/>
  <c r="C708" i="8"/>
  <c r="C714" i="8"/>
  <c r="C715" i="8"/>
  <c r="C717" i="8"/>
  <c r="C718" i="8" a="1"/>
  <c r="C718" i="8" s="1"/>
  <c r="C719" i="8" a="1"/>
  <c r="C719" i="8" s="1"/>
  <c r="E724" i="8"/>
  <c r="G724" i="8" s="1"/>
  <c r="E725" i="8"/>
  <c r="G725" i="8" s="1"/>
  <c r="E726" i="8"/>
  <c r="G726" i="8" s="1"/>
  <c r="E727" i="8"/>
  <c r="G727" i="8" s="1"/>
  <c r="E728" i="8"/>
  <c r="G728" i="8" s="1"/>
  <c r="E729" i="8"/>
  <c r="G729" i="8" s="1"/>
  <c r="E730" i="8"/>
  <c r="G730" i="8" s="1"/>
  <c r="C732" i="8"/>
  <c r="E740" i="8"/>
  <c r="G740" i="8" s="1"/>
  <c r="E741" i="8"/>
  <c r="G741" i="8" s="1"/>
  <c r="C733" i="8"/>
  <c r="E733" i="8" s="1"/>
  <c r="G733" i="8" s="1"/>
  <c r="C734" i="8"/>
  <c r="E734" i="8" s="1"/>
  <c r="G734" i="8" s="1"/>
  <c r="E736" i="8"/>
  <c r="G736" i="8" s="1"/>
  <c r="E737" i="8"/>
  <c r="G737" i="8" s="1"/>
  <c r="C724" i="8"/>
  <c r="C725" i="8"/>
  <c r="C726" i="8"/>
  <c r="C727" i="8"/>
  <c r="C728" i="8"/>
  <c r="C729" i="8"/>
  <c r="C730" i="8"/>
  <c r="C736" i="8"/>
  <c r="C737" i="8"/>
  <c r="C739" i="8"/>
  <c r="C740" i="8" a="1"/>
  <c r="C740" i="8" s="1"/>
  <c r="C741" i="8" a="1"/>
  <c r="C741" i="8" s="1"/>
  <c r="E747" i="8"/>
  <c r="G747" i="8" s="1"/>
  <c r="E748" i="8"/>
  <c r="G748" i="8" s="1"/>
  <c r="E749" i="8"/>
  <c r="G749" i="8" s="1"/>
  <c r="E750" i="8"/>
  <c r="G750" i="8" s="1"/>
  <c r="E751" i="8"/>
  <c r="G751" i="8" s="1"/>
  <c r="E752" i="8"/>
  <c r="G752" i="8" s="1"/>
  <c r="E753" i="8"/>
  <c r="G753" i="8" s="1"/>
  <c r="C755" i="8"/>
  <c r="E763" i="8"/>
  <c r="G763" i="8" s="1"/>
  <c r="E764" i="8"/>
  <c r="G764" i="8" s="1"/>
  <c r="C756" i="8"/>
  <c r="E756" i="8" s="1"/>
  <c r="G756" i="8" s="1"/>
  <c r="C757" i="8"/>
  <c r="E757" i="8" s="1"/>
  <c r="G757" i="8" s="1"/>
  <c r="E759" i="8"/>
  <c r="G759" i="8" s="1"/>
  <c r="E760" i="8"/>
  <c r="G760" i="8" s="1"/>
  <c r="C746" i="8"/>
  <c r="C747" i="8"/>
  <c r="C748" i="8"/>
  <c r="C749" i="8"/>
  <c r="C750" i="8"/>
  <c r="C751" i="8"/>
  <c r="C752" i="8"/>
  <c r="C753" i="8"/>
  <c r="C759" i="8"/>
  <c r="C760" i="8"/>
  <c r="C762" i="8"/>
  <c r="C763" i="8" a="1"/>
  <c r="C763" i="8" s="1"/>
  <c r="C764" i="8" a="1"/>
  <c r="C764" i="8" s="1"/>
  <c r="E769" i="8"/>
  <c r="G769" i="8" s="1"/>
  <c r="E770" i="8"/>
  <c r="G770" i="8" s="1"/>
  <c r="E771" i="8"/>
  <c r="G771" i="8" s="1"/>
  <c r="E772" i="8"/>
  <c r="G772" i="8" s="1"/>
  <c r="E773" i="8"/>
  <c r="G773" i="8" s="1"/>
  <c r="C775" i="8"/>
  <c r="E783" i="8"/>
  <c r="G783" i="8" s="1"/>
  <c r="E784" i="8"/>
  <c r="G784" i="8" s="1"/>
  <c r="C776" i="8"/>
  <c r="C777" i="8"/>
  <c r="E777" i="8" s="1"/>
  <c r="G777" i="8" s="1"/>
  <c r="E779" i="8"/>
  <c r="G779" i="8" s="1"/>
  <c r="E780" i="8"/>
  <c r="G780" i="8" s="1"/>
  <c r="C769" i="8"/>
  <c r="C770" i="8"/>
  <c r="C771" i="8"/>
  <c r="C772" i="8"/>
  <c r="C773" i="8"/>
  <c r="C779" i="8"/>
  <c r="C780" i="8"/>
  <c r="C782" i="8"/>
  <c r="C783" i="8" a="1"/>
  <c r="C783" i="8" s="1"/>
  <c r="C784" i="8" a="1"/>
  <c r="C784" i="8" s="1"/>
  <c r="E789" i="8"/>
  <c r="G789" i="8" s="1"/>
  <c r="E790" i="8"/>
  <c r="G790" i="8" s="1"/>
  <c r="E791" i="8"/>
  <c r="G791" i="8" s="1"/>
  <c r="E792" i="8"/>
  <c r="G792" i="8" s="1"/>
  <c r="E793" i="8"/>
  <c r="G793" i="8" s="1"/>
  <c r="C795" i="8"/>
  <c r="E803" i="8"/>
  <c r="G803" i="8" s="1"/>
  <c r="E804" i="8"/>
  <c r="G804" i="8" s="1"/>
  <c r="C796" i="8"/>
  <c r="E796" i="8" s="1"/>
  <c r="G796" i="8" s="1"/>
  <c r="C797" i="8"/>
  <c r="E797" i="8" s="1"/>
  <c r="G797" i="8" s="1"/>
  <c r="E799" i="8"/>
  <c r="G799" i="8" s="1"/>
  <c r="E800" i="8"/>
  <c r="G800" i="8" s="1"/>
  <c r="C789" i="8"/>
  <c r="C790" i="8"/>
  <c r="C791" i="8"/>
  <c r="C792" i="8"/>
  <c r="C793" i="8"/>
  <c r="C799" i="8"/>
  <c r="C800" i="8"/>
  <c r="C802" i="8"/>
  <c r="C803" i="8" a="1"/>
  <c r="C803" i="8" s="1"/>
  <c r="C804" i="8" a="1"/>
  <c r="C804" i="8" s="1"/>
  <c r="E810" i="8"/>
  <c r="G810" i="8" s="1"/>
  <c r="E811" i="8"/>
  <c r="G811" i="8" s="1"/>
  <c r="E812" i="8"/>
  <c r="G812" i="8" s="1"/>
  <c r="E813" i="8"/>
  <c r="G813" i="8" s="1"/>
  <c r="C815" i="8"/>
  <c r="E823" i="8"/>
  <c r="G823" i="8" s="1"/>
  <c r="E824" i="8"/>
  <c r="G824" i="8" s="1"/>
  <c r="C816" i="8"/>
  <c r="E816" i="8" s="1"/>
  <c r="G816" i="8" s="1"/>
  <c r="C817" i="8"/>
  <c r="E817" i="8" s="1"/>
  <c r="G817" i="8" s="1"/>
  <c r="E819" i="8"/>
  <c r="G819" i="8" s="1"/>
  <c r="E820" i="8"/>
  <c r="G820" i="8" s="1"/>
  <c r="C809" i="8"/>
  <c r="C810" i="8"/>
  <c r="C811" i="8"/>
  <c r="C812" i="8"/>
  <c r="C813" i="8"/>
  <c r="C819" i="8"/>
  <c r="C820" i="8"/>
  <c r="C822" i="8"/>
  <c r="C823" i="8" a="1"/>
  <c r="C823" i="8" s="1"/>
  <c r="C824" i="8" a="1"/>
  <c r="C824" i="8" s="1"/>
  <c r="E830" i="8"/>
  <c r="G830" i="8" s="1"/>
  <c r="E831" i="8"/>
  <c r="G831" i="8" s="1"/>
  <c r="E832" i="8"/>
  <c r="G832" i="8" s="1"/>
  <c r="E833" i="8"/>
  <c r="G833" i="8" s="1"/>
  <c r="C835" i="8"/>
  <c r="E843" i="8"/>
  <c r="G843" i="8" s="1"/>
  <c r="E844" i="8"/>
  <c r="G844" i="8" s="1"/>
  <c r="C836" i="8"/>
  <c r="E836" i="8" s="1"/>
  <c r="G836" i="8" s="1"/>
  <c r="C837" i="8"/>
  <c r="E837" i="8" s="1"/>
  <c r="G837" i="8" s="1"/>
  <c r="E839" i="8"/>
  <c r="G839" i="8" s="1"/>
  <c r="E840" i="8"/>
  <c r="G840" i="8" s="1"/>
  <c r="C829" i="8"/>
  <c r="C830" i="8"/>
  <c r="C831" i="8"/>
  <c r="C832" i="8"/>
  <c r="C833" i="8"/>
  <c r="C839" i="8"/>
  <c r="C840" i="8"/>
  <c r="C842" i="8"/>
  <c r="C843" i="8" a="1"/>
  <c r="C843" i="8" s="1"/>
  <c r="C844" i="8" a="1"/>
  <c r="C844" i="8" s="1"/>
  <c r="E849" i="8"/>
  <c r="G849" i="8" s="1"/>
  <c r="E851" i="8"/>
  <c r="G851" i="8" s="1"/>
  <c r="E852" i="8"/>
  <c r="G852" i="8" s="1"/>
  <c r="E853" i="8"/>
  <c r="G853" i="8" s="1"/>
  <c r="C855" i="8"/>
  <c r="E863" i="8"/>
  <c r="G863" i="8" s="1"/>
  <c r="E864" i="8"/>
  <c r="G864" i="8" s="1"/>
  <c r="C856" i="8"/>
  <c r="C857" i="8"/>
  <c r="E857" i="8" s="1"/>
  <c r="G857" i="8" s="1"/>
  <c r="E859" i="8"/>
  <c r="G859" i="8" s="1"/>
  <c r="E860" i="8"/>
  <c r="G860" i="8" s="1"/>
  <c r="C849" i="8"/>
  <c r="C850" i="8"/>
  <c r="C851" i="8"/>
  <c r="C852" i="8"/>
  <c r="C853" i="8"/>
  <c r="C859" i="8"/>
  <c r="C860" i="8"/>
  <c r="C862" i="8"/>
  <c r="C863" i="8" a="1"/>
  <c r="C863" i="8" s="1"/>
  <c r="C864" i="8" a="1"/>
  <c r="C864" i="8" s="1"/>
  <c r="E869" i="8"/>
  <c r="G869" i="8" s="1"/>
  <c r="E870" i="8"/>
  <c r="G870" i="8" s="1"/>
  <c r="E872" i="8"/>
  <c r="G872" i="8" s="1"/>
  <c r="E873" i="8"/>
  <c r="G873" i="8" s="1"/>
  <c r="C875" i="8"/>
  <c r="E883" i="8"/>
  <c r="G883" i="8" s="1"/>
  <c r="E884" i="8"/>
  <c r="G884" i="8" s="1"/>
  <c r="C876" i="8"/>
  <c r="C877" i="8"/>
  <c r="E877" i="8" s="1"/>
  <c r="G877" i="8" s="1"/>
  <c r="E879" i="8"/>
  <c r="G879" i="8" s="1"/>
  <c r="E880" i="8"/>
  <c r="G880" i="8" s="1"/>
  <c r="C869" i="8"/>
  <c r="C870" i="8"/>
  <c r="C871" i="8"/>
  <c r="C872" i="8"/>
  <c r="C873" i="8"/>
  <c r="C879" i="8"/>
  <c r="C880" i="8"/>
  <c r="C882" i="8"/>
  <c r="C883" i="8" a="1"/>
  <c r="C883" i="8" s="1"/>
  <c r="C884" i="8" a="1"/>
  <c r="C884" i="8" s="1"/>
  <c r="E889" i="8"/>
  <c r="G889" i="8" s="1"/>
  <c r="E890" i="8"/>
  <c r="G890" i="8" s="1"/>
  <c r="E891" i="8"/>
  <c r="G891" i="8" s="1"/>
  <c r="E892" i="8"/>
  <c r="G892" i="8" s="1"/>
  <c r="E893" i="8"/>
  <c r="G893" i="8" s="1"/>
  <c r="C895" i="8"/>
  <c r="E895" i="8" s="1"/>
  <c r="G895" i="8" s="1"/>
  <c r="C896" i="8"/>
  <c r="E896" i="8" s="1"/>
  <c r="G896" i="8" s="1"/>
  <c r="C897" i="8"/>
  <c r="E897" i="8" s="1"/>
  <c r="G897" i="8" s="1"/>
  <c r="E899" i="8"/>
  <c r="G899" i="8" s="1"/>
  <c r="E900" i="8"/>
  <c r="G900" i="8" s="1"/>
  <c r="E903" i="8"/>
  <c r="G903" i="8" s="1"/>
  <c r="E904" i="8"/>
  <c r="G904" i="8" s="1"/>
  <c r="C889" i="8"/>
  <c r="C890" i="8"/>
  <c r="C891" i="8"/>
  <c r="C892" i="8"/>
  <c r="C893" i="8"/>
  <c r="C899" i="8"/>
  <c r="C900" i="8"/>
  <c r="C902" i="8"/>
  <c r="C903" i="8" a="1"/>
  <c r="C903" i="8" s="1"/>
  <c r="C904" i="8" a="1"/>
  <c r="C904" i="8" s="1"/>
  <c r="C7" i="11"/>
  <c r="D7" i="11"/>
  <c r="E207" i="6"/>
  <c r="G207" i="6" s="1"/>
  <c r="E208" i="6"/>
  <c r="G208" i="6" s="1"/>
  <c r="E209" i="6"/>
  <c r="G209" i="6" s="1"/>
  <c r="E211" i="6"/>
  <c r="G211" i="6" s="1"/>
  <c r="C213" i="6"/>
  <c r="E213" i="6" s="1"/>
  <c r="G213" i="6" s="1"/>
  <c r="C214" i="6"/>
  <c r="C215" i="6"/>
  <c r="E215" i="6" s="1"/>
  <c r="G215" i="6" s="1"/>
  <c r="E217" i="6"/>
  <c r="G217" i="6" s="1"/>
  <c r="E218" i="6"/>
  <c r="G218" i="6" s="1"/>
  <c r="E221" i="6"/>
  <c r="G221" i="6" s="1"/>
  <c r="E222" i="6"/>
  <c r="G222" i="6" s="1"/>
  <c r="C8" i="11"/>
  <c r="D8" i="11"/>
  <c r="D9" i="11"/>
  <c r="E9" i="11"/>
  <c r="E11" i="11"/>
  <c r="G11" i="11" s="1"/>
  <c r="C13" i="11"/>
  <c r="E21" i="11"/>
  <c r="G21" i="11" s="1"/>
  <c r="E22" i="11"/>
  <c r="G22" i="11" s="1"/>
  <c r="C14" i="11"/>
  <c r="C15" i="11"/>
  <c r="E15" i="11" s="1"/>
  <c r="G15" i="11" s="1"/>
  <c r="E17" i="11"/>
  <c r="G17" i="11" s="1"/>
  <c r="E18" i="11"/>
  <c r="G18" i="11" s="1"/>
  <c r="C9" i="11"/>
  <c r="C10" i="11"/>
  <c r="C11" i="11"/>
  <c r="C17" i="11"/>
  <c r="C18" i="11"/>
  <c r="C20" i="11"/>
  <c r="C21" i="11" a="1"/>
  <c r="C21" i="11" s="1"/>
  <c r="C22" i="11" a="1"/>
  <c r="C22" i="11" s="1"/>
  <c r="D27" i="11"/>
  <c r="D28" i="11"/>
  <c r="D29" i="11"/>
  <c r="E29" i="11"/>
  <c r="D30" i="11"/>
  <c r="D31" i="11"/>
  <c r="E31" i="11"/>
  <c r="C33" i="11"/>
  <c r="E41" i="11"/>
  <c r="G41" i="11" s="1"/>
  <c r="E42" i="11"/>
  <c r="G42" i="11" s="1"/>
  <c r="C34" i="11"/>
  <c r="C35" i="11"/>
  <c r="E35" i="11" s="1"/>
  <c r="G35" i="11" s="1"/>
  <c r="E37" i="11"/>
  <c r="G37" i="11" s="1"/>
  <c r="E38" i="11"/>
  <c r="G38" i="11" s="1"/>
  <c r="C27" i="11"/>
  <c r="C28" i="11"/>
  <c r="C29" i="11"/>
  <c r="C30" i="11"/>
  <c r="C31" i="11"/>
  <c r="C37" i="11"/>
  <c r="C38" i="11"/>
  <c r="C40" i="11"/>
  <c r="C41" i="11" a="1"/>
  <c r="C41" i="11" s="1"/>
  <c r="C42" i="11" a="1"/>
  <c r="C42" i="11" s="1"/>
  <c r="D47" i="11"/>
  <c r="D48" i="11"/>
  <c r="D49" i="11"/>
  <c r="E49" i="11"/>
  <c r="E51" i="11"/>
  <c r="G51" i="11" s="1"/>
  <c r="C53" i="11"/>
  <c r="E61" i="11"/>
  <c r="G61" i="11" s="1"/>
  <c r="E62" i="11"/>
  <c r="G62" i="11" s="1"/>
  <c r="C54" i="11"/>
  <c r="C55" i="11"/>
  <c r="E55" i="11" s="1"/>
  <c r="G55" i="11" s="1"/>
  <c r="E57" i="11"/>
  <c r="G57" i="11" s="1"/>
  <c r="E58" i="11"/>
  <c r="G58" i="11" s="1"/>
  <c r="C47" i="11"/>
  <c r="C48" i="11"/>
  <c r="C49" i="11"/>
  <c r="C50" i="11"/>
  <c r="C51" i="11"/>
  <c r="C57" i="11"/>
  <c r="C58" i="11"/>
  <c r="C60" i="11"/>
  <c r="C61" i="11" a="1"/>
  <c r="C61" i="11" s="1"/>
  <c r="C62" i="11" a="1"/>
  <c r="C62" i="11" s="1"/>
  <c r="D67" i="11"/>
  <c r="D68" i="11"/>
  <c r="D69" i="11"/>
  <c r="E69" i="11"/>
  <c r="D70" i="11"/>
  <c r="D71" i="11"/>
  <c r="E71" i="11"/>
  <c r="C73" i="11"/>
  <c r="E81" i="11"/>
  <c r="G81" i="11" s="1"/>
  <c r="E82" i="11"/>
  <c r="G82" i="11" s="1"/>
  <c r="C74" i="11"/>
  <c r="C75" i="11"/>
  <c r="E75" i="11" s="1"/>
  <c r="G75" i="11" s="1"/>
  <c r="E77" i="11"/>
  <c r="G77" i="11" s="1"/>
  <c r="E78" i="11"/>
  <c r="G78" i="11" s="1"/>
  <c r="C67" i="11"/>
  <c r="C68" i="11"/>
  <c r="C69" i="11"/>
  <c r="C70" i="11"/>
  <c r="C71" i="11"/>
  <c r="C77" i="11"/>
  <c r="C78" i="11"/>
  <c r="C80" i="11"/>
  <c r="C81" i="11" a="1"/>
  <c r="C81" i="11" s="1"/>
  <c r="C82" i="11" a="1"/>
  <c r="C82" i="11" s="1"/>
  <c r="D87" i="11"/>
  <c r="D88" i="11"/>
  <c r="D89" i="11"/>
  <c r="E89" i="11"/>
  <c r="E91" i="11"/>
  <c r="G91" i="11" s="1"/>
  <c r="C93" i="11"/>
  <c r="E101" i="11"/>
  <c r="G101" i="11" s="1"/>
  <c r="E102" i="11"/>
  <c r="G102" i="11" s="1"/>
  <c r="C94" i="11"/>
  <c r="C95" i="11"/>
  <c r="E95" i="11" s="1"/>
  <c r="G95" i="11" s="1"/>
  <c r="E97" i="11"/>
  <c r="G97" i="11" s="1"/>
  <c r="E98" i="11"/>
  <c r="G98" i="11" s="1"/>
  <c r="C87" i="11"/>
  <c r="C88" i="11"/>
  <c r="C89" i="11"/>
  <c r="C90" i="11"/>
  <c r="C91" i="11"/>
  <c r="C97" i="11"/>
  <c r="C98" i="11"/>
  <c r="C100" i="11"/>
  <c r="C101" i="11" a="1"/>
  <c r="C101" i="11" s="1"/>
  <c r="C102" i="11" a="1"/>
  <c r="C102" i="11" s="1"/>
  <c r="D107" i="11"/>
  <c r="D108" i="11"/>
  <c r="D109" i="11"/>
  <c r="E109" i="11"/>
  <c r="E111" i="11"/>
  <c r="G111" i="11" s="1"/>
  <c r="C113" i="11"/>
  <c r="E121" i="11"/>
  <c r="G121" i="11" s="1"/>
  <c r="E122" i="11"/>
  <c r="G122" i="11" s="1"/>
  <c r="C114" i="11"/>
  <c r="C115" i="11"/>
  <c r="E115" i="11" s="1"/>
  <c r="G115" i="11" s="1"/>
  <c r="E117" i="11"/>
  <c r="G117" i="11" s="1"/>
  <c r="E118" i="11"/>
  <c r="G118" i="11" s="1"/>
  <c r="C107" i="11"/>
  <c r="C108" i="11"/>
  <c r="C109" i="11"/>
  <c r="C110" i="11"/>
  <c r="C111" i="11"/>
  <c r="C117" i="11"/>
  <c r="C118" i="11"/>
  <c r="C120" i="11"/>
  <c r="C121" i="11" a="1"/>
  <c r="C121" i="11" s="1"/>
  <c r="C122" i="11" a="1"/>
  <c r="C122" i="11" s="1"/>
  <c r="D127" i="11"/>
  <c r="D128" i="11"/>
  <c r="E47" i="6"/>
  <c r="G47" i="6" s="1"/>
  <c r="E48" i="6"/>
  <c r="G48" i="6" s="1"/>
  <c r="E49" i="6"/>
  <c r="G49" i="6" s="1"/>
  <c r="E50" i="6"/>
  <c r="G50" i="6" s="1"/>
  <c r="E51" i="6"/>
  <c r="G51" i="6" s="1"/>
  <c r="C53" i="6"/>
  <c r="E53" i="6" s="1"/>
  <c r="G53" i="6" s="1"/>
  <c r="C54" i="6"/>
  <c r="C55" i="6"/>
  <c r="E55" i="6" s="1"/>
  <c r="G55" i="6" s="1"/>
  <c r="D57" i="6"/>
  <c r="E57" i="6"/>
  <c r="E58" i="6"/>
  <c r="G58" i="6" s="1"/>
  <c r="E61" i="6"/>
  <c r="G61" i="6" s="1"/>
  <c r="E62" i="6"/>
  <c r="G62" i="6" s="1"/>
  <c r="D129" i="11"/>
  <c r="E129" i="11"/>
  <c r="E131" i="11"/>
  <c r="G131" i="11" s="1"/>
  <c r="C133" i="11"/>
  <c r="E141" i="11"/>
  <c r="G141" i="11" s="1"/>
  <c r="E142" i="11"/>
  <c r="G142" i="11" s="1"/>
  <c r="C134" i="11"/>
  <c r="C135" i="11"/>
  <c r="E135" i="11" s="1"/>
  <c r="G135" i="11" s="1"/>
  <c r="E137" i="11"/>
  <c r="G137" i="11" s="1"/>
  <c r="E138" i="11"/>
  <c r="G138" i="11" s="1"/>
  <c r="C127" i="11"/>
  <c r="C128" i="11"/>
  <c r="C129" i="11"/>
  <c r="C130" i="11"/>
  <c r="C131" i="11"/>
  <c r="C137" i="11"/>
  <c r="C138" i="11"/>
  <c r="C140" i="11"/>
  <c r="C141" i="11" a="1"/>
  <c r="C141" i="11" s="1"/>
  <c r="C142" i="11" a="1"/>
  <c r="C142" i="11" s="1"/>
  <c r="D147" i="11"/>
  <c r="D148" i="11"/>
  <c r="D149" i="11"/>
  <c r="E149" i="11"/>
  <c r="E151" i="11"/>
  <c r="G151" i="11" s="1"/>
  <c r="C153" i="11"/>
  <c r="E161" i="11"/>
  <c r="G161" i="11" s="1"/>
  <c r="E162" i="11"/>
  <c r="G162" i="11" s="1"/>
  <c r="C154" i="11"/>
  <c r="C155" i="11"/>
  <c r="E155" i="11" s="1"/>
  <c r="G155" i="11" s="1"/>
  <c r="E157" i="11"/>
  <c r="G157" i="11" s="1"/>
  <c r="E158" i="11"/>
  <c r="G158" i="11" s="1"/>
  <c r="C147" i="11"/>
  <c r="C148" i="11"/>
  <c r="C149" i="11"/>
  <c r="C150" i="11"/>
  <c r="C151" i="11"/>
  <c r="C157" i="11"/>
  <c r="C158" i="11"/>
  <c r="C160" i="11"/>
  <c r="C161" i="11" a="1"/>
  <c r="C161" i="11" s="1"/>
  <c r="C162" i="11" a="1"/>
  <c r="C162" i="11" s="1"/>
  <c r="E167" i="11"/>
  <c r="G167" i="11" s="1"/>
  <c r="E168" i="11"/>
  <c r="G168" i="11" s="1"/>
  <c r="E169" i="11"/>
  <c r="G169" i="11" s="1"/>
  <c r="E170" i="11"/>
  <c r="G170" i="11" s="1"/>
  <c r="E171" i="11"/>
  <c r="G171" i="11" s="1"/>
  <c r="C173" i="11"/>
  <c r="E181" i="11"/>
  <c r="G181" i="11" s="1"/>
  <c r="E182" i="11"/>
  <c r="G182" i="11" s="1"/>
  <c r="C174" i="11"/>
  <c r="E174" i="11" s="1"/>
  <c r="G174" i="11" s="1"/>
  <c r="C175" i="11"/>
  <c r="E175" i="11" s="1"/>
  <c r="G175" i="11" s="1"/>
  <c r="E177" i="11"/>
  <c r="G177" i="11" s="1"/>
  <c r="E178" i="11"/>
  <c r="G178" i="11" s="1"/>
  <c r="C167" i="11"/>
  <c r="C168" i="11"/>
  <c r="C169" i="11"/>
  <c r="C170" i="11"/>
  <c r="C171" i="11"/>
  <c r="C177" i="11"/>
  <c r="C178" i="11"/>
  <c r="C180" i="11"/>
  <c r="C181" i="11" a="1"/>
  <c r="C181" i="11" s="1"/>
  <c r="C182" i="11" a="1"/>
  <c r="C182" i="11" s="1"/>
  <c r="E187" i="11"/>
  <c r="G187" i="11" s="1"/>
  <c r="E188" i="11"/>
  <c r="G188" i="11" s="1"/>
  <c r="E189" i="11"/>
  <c r="G189" i="11" s="1"/>
  <c r="E190" i="11"/>
  <c r="G190" i="11" s="1"/>
  <c r="E191" i="11"/>
  <c r="G191" i="11" s="1"/>
  <c r="C193" i="11"/>
  <c r="E201" i="11"/>
  <c r="G201" i="11" s="1"/>
  <c r="E202" i="11"/>
  <c r="G202" i="11" s="1"/>
  <c r="C194" i="11"/>
  <c r="E194" i="11" s="1"/>
  <c r="G194" i="11" s="1"/>
  <c r="C195" i="11"/>
  <c r="E195" i="11" s="1"/>
  <c r="G195" i="11" s="1"/>
  <c r="E197" i="11"/>
  <c r="G197" i="11" s="1"/>
  <c r="E198" i="11"/>
  <c r="G198" i="11" s="1"/>
  <c r="C187" i="11"/>
  <c r="C188" i="11"/>
  <c r="C189" i="11"/>
  <c r="C190" i="11"/>
  <c r="C191" i="11"/>
  <c r="C197" i="11"/>
  <c r="C198" i="11"/>
  <c r="C200" i="11"/>
  <c r="C201" i="11" a="1"/>
  <c r="C201" i="11" s="1"/>
  <c r="C202" i="11" a="1"/>
  <c r="C202" i="11" s="1"/>
  <c r="E207" i="11"/>
  <c r="G207" i="11" s="1"/>
  <c r="E208" i="11"/>
  <c r="G208" i="11" s="1"/>
  <c r="E209" i="11"/>
  <c r="G209" i="11" s="1"/>
  <c r="E210" i="11"/>
  <c r="G210" i="11" s="1"/>
  <c r="E211" i="11"/>
  <c r="G211" i="11" s="1"/>
  <c r="C213" i="11"/>
  <c r="E221" i="11"/>
  <c r="G221" i="11" s="1"/>
  <c r="E222" i="11"/>
  <c r="G222" i="11" s="1"/>
  <c r="C214" i="11"/>
  <c r="C215" i="11"/>
  <c r="E215" i="11" s="1"/>
  <c r="G215" i="11" s="1"/>
  <c r="E217" i="11"/>
  <c r="G217" i="11" s="1"/>
  <c r="E218" i="11"/>
  <c r="G218" i="11" s="1"/>
  <c r="C207" i="11"/>
  <c r="C208" i="11"/>
  <c r="C209" i="11"/>
  <c r="C210" i="11"/>
  <c r="C211" i="11"/>
  <c r="C217" i="11"/>
  <c r="C218" i="11"/>
  <c r="C220" i="11"/>
  <c r="C221" i="11" a="1"/>
  <c r="C221" i="11" s="1"/>
  <c r="C222" i="11" a="1"/>
  <c r="C222" i="11" s="1"/>
  <c r="E227" i="11"/>
  <c r="G227" i="11" s="1"/>
  <c r="E228" i="11"/>
  <c r="G228" i="11" s="1"/>
  <c r="E229" i="11"/>
  <c r="G229" i="11" s="1"/>
  <c r="E230" i="11"/>
  <c r="G230" i="11" s="1"/>
  <c r="E231" i="11"/>
  <c r="G231" i="11" s="1"/>
  <c r="C233" i="11"/>
  <c r="E241" i="11"/>
  <c r="G241" i="11" s="1"/>
  <c r="E242" i="11"/>
  <c r="G242" i="11" s="1"/>
  <c r="C234" i="11"/>
  <c r="C235" i="11"/>
  <c r="E235" i="11" s="1"/>
  <c r="G235" i="11" s="1"/>
  <c r="E237" i="11"/>
  <c r="G237" i="11" s="1"/>
  <c r="E238" i="11"/>
  <c r="G238" i="11" s="1"/>
  <c r="C227" i="11"/>
  <c r="C228" i="11"/>
  <c r="C229" i="11"/>
  <c r="C230" i="11"/>
  <c r="C231" i="11"/>
  <c r="C237" i="11"/>
  <c r="C238" i="11"/>
  <c r="C240" i="11"/>
  <c r="C241" i="11" a="1"/>
  <c r="C241" i="11" s="1"/>
  <c r="C242" i="11" a="1"/>
  <c r="C242" i="11" s="1"/>
  <c r="E247" i="11"/>
  <c r="G247" i="11" s="1"/>
  <c r="E248" i="11"/>
  <c r="G248" i="11" s="1"/>
  <c r="E249" i="11"/>
  <c r="G249" i="11" s="1"/>
  <c r="E250" i="11"/>
  <c r="G250" i="11" s="1"/>
  <c r="E251" i="11"/>
  <c r="G251" i="11" s="1"/>
  <c r="C253" i="11"/>
  <c r="E261" i="11"/>
  <c r="G261" i="11" s="1"/>
  <c r="E262" i="11"/>
  <c r="G262" i="11" s="1"/>
  <c r="C254" i="11"/>
  <c r="C255" i="11"/>
  <c r="E255" i="11" s="1"/>
  <c r="G255" i="11" s="1"/>
  <c r="E257" i="11"/>
  <c r="G257" i="11" s="1"/>
  <c r="E258" i="11"/>
  <c r="G258" i="11" s="1"/>
  <c r="C247" i="11"/>
  <c r="C248" i="11"/>
  <c r="C249" i="11"/>
  <c r="C250" i="11"/>
  <c r="C251" i="11"/>
  <c r="C257" i="11"/>
  <c r="C258" i="11"/>
  <c r="C260" i="11"/>
  <c r="C261" i="11" a="1"/>
  <c r="C261" i="11" s="1"/>
  <c r="C262" i="11" a="1"/>
  <c r="C262" i="11" s="1"/>
  <c r="E268" i="11"/>
  <c r="G268" i="11" s="1"/>
  <c r="E269" i="11"/>
  <c r="G269" i="11" s="1"/>
  <c r="E270" i="11"/>
  <c r="G270" i="11" s="1"/>
  <c r="E271" i="11"/>
  <c r="G271" i="11" s="1"/>
  <c r="C273" i="11"/>
  <c r="E281" i="11"/>
  <c r="G281" i="11" s="1"/>
  <c r="E282" i="11"/>
  <c r="G282" i="11" s="1"/>
  <c r="C274" i="11"/>
  <c r="E274" i="11" s="1"/>
  <c r="G274" i="11" s="1"/>
  <c r="C275" i="11"/>
  <c r="E275" i="11" s="1"/>
  <c r="G275" i="11" s="1"/>
  <c r="E277" i="11"/>
  <c r="G277" i="11" s="1"/>
  <c r="E278" i="11"/>
  <c r="G278" i="11" s="1"/>
  <c r="C267" i="11"/>
  <c r="C268" i="11"/>
  <c r="C269" i="11"/>
  <c r="C270" i="11"/>
  <c r="C271" i="11"/>
  <c r="C277" i="11"/>
  <c r="C278" i="11"/>
  <c r="C280" i="11"/>
  <c r="C281" i="11" a="1"/>
  <c r="C281" i="11" s="1"/>
  <c r="C282" i="11" a="1"/>
  <c r="C282" i="11" s="1"/>
  <c r="E67" i="6"/>
  <c r="G67" i="6" s="1"/>
  <c r="E68" i="6"/>
  <c r="G68" i="6" s="1"/>
  <c r="E69" i="6"/>
  <c r="G69" i="6" s="1"/>
  <c r="E70" i="6"/>
  <c r="G70" i="6" s="1"/>
  <c r="E71" i="6"/>
  <c r="G71" i="6" s="1"/>
  <c r="C73" i="6"/>
  <c r="E73" i="6" s="1"/>
  <c r="G73" i="6" s="1"/>
  <c r="C74" i="6"/>
  <c r="C75" i="6"/>
  <c r="E75" i="6" s="1"/>
  <c r="G75" i="6" s="1"/>
  <c r="D77" i="6"/>
  <c r="E77" i="6"/>
  <c r="E78" i="6"/>
  <c r="G78" i="6" s="1"/>
  <c r="E81" i="6"/>
  <c r="G81" i="6" s="1"/>
  <c r="E82" i="6"/>
  <c r="G82" i="6" s="1"/>
  <c r="E87" i="6"/>
  <c r="G87" i="6" s="1"/>
  <c r="E88" i="6"/>
  <c r="G88" i="6" s="1"/>
  <c r="E89" i="6"/>
  <c r="G89" i="6" s="1"/>
  <c r="E90" i="6"/>
  <c r="G90" i="6" s="1"/>
  <c r="E91" i="6"/>
  <c r="G91" i="6" s="1"/>
  <c r="C93" i="6"/>
  <c r="E93" i="6" s="1"/>
  <c r="G93" i="6" s="1"/>
  <c r="C94" i="6"/>
  <c r="C95" i="6"/>
  <c r="E95" i="6" s="1"/>
  <c r="G95" i="6" s="1"/>
  <c r="D97" i="6"/>
  <c r="E97" i="6"/>
  <c r="E98" i="6"/>
  <c r="G98" i="6" s="1"/>
  <c r="E101" i="6"/>
  <c r="G101" i="6" s="1"/>
  <c r="E102" i="6"/>
  <c r="G102" i="6" s="1"/>
  <c r="E188" i="6"/>
  <c r="G188" i="6" s="1"/>
  <c r="E189" i="6"/>
  <c r="G189" i="6" s="1"/>
  <c r="E191" i="6"/>
  <c r="G191" i="6" s="1"/>
  <c r="C193" i="6"/>
  <c r="E193" i="6" s="1"/>
  <c r="G193" i="6" s="1"/>
  <c r="C194" i="6"/>
  <c r="C195" i="6"/>
  <c r="E195" i="6" s="1"/>
  <c r="G195" i="6" s="1"/>
  <c r="E197" i="6"/>
  <c r="G197" i="6" s="1"/>
  <c r="E198" i="6"/>
  <c r="G198" i="6" s="1"/>
  <c r="E201" i="6"/>
  <c r="G201" i="6" s="1"/>
  <c r="E202" i="6"/>
  <c r="G202" i="6" s="1"/>
  <c r="E147" i="6"/>
  <c r="G147" i="6" s="1"/>
  <c r="E148" i="6"/>
  <c r="G148" i="6" s="1"/>
  <c r="E149" i="6"/>
  <c r="G149" i="6" s="1"/>
  <c r="E150" i="6"/>
  <c r="G150" i="6" s="1"/>
  <c r="E151" i="6"/>
  <c r="G151" i="6" s="1"/>
  <c r="C153" i="6"/>
  <c r="E161" i="6"/>
  <c r="G161" i="6" s="1"/>
  <c r="E162" i="6"/>
  <c r="G162" i="6" s="1"/>
  <c r="C154" i="6"/>
  <c r="E154" i="6" s="1"/>
  <c r="G154" i="6" s="1"/>
  <c r="C155" i="6"/>
  <c r="E155" i="6" s="1"/>
  <c r="G155" i="6" s="1"/>
  <c r="D157" i="6"/>
  <c r="E157" i="6"/>
  <c r="E158" i="6"/>
  <c r="G158" i="6" s="1"/>
  <c r="C7" i="13"/>
  <c r="E7" i="13"/>
  <c r="C8" i="13"/>
  <c r="E8" i="13"/>
  <c r="G8" i="13" s="1"/>
  <c r="E9" i="13"/>
  <c r="G9" i="13" s="1"/>
  <c r="E10" i="13"/>
  <c r="E11" i="13"/>
  <c r="G11" i="13" s="1"/>
  <c r="C13" i="13"/>
  <c r="E21" i="13"/>
  <c r="G21" i="13" s="1"/>
  <c r="E22" i="13"/>
  <c r="G22" i="13" s="1"/>
  <c r="C14" i="13"/>
  <c r="C15" i="13"/>
  <c r="E15" i="13" s="1"/>
  <c r="G15" i="13" s="1"/>
  <c r="E17" i="13"/>
  <c r="G17" i="13" s="1"/>
  <c r="E18" i="13"/>
  <c r="G18" i="13" s="1"/>
  <c r="C9" i="13"/>
  <c r="C10" i="13"/>
  <c r="C11" i="13"/>
  <c r="C17" i="13"/>
  <c r="C18" i="13"/>
  <c r="C20" i="13"/>
  <c r="C21" i="13" a="1"/>
  <c r="C21" i="13" s="1"/>
  <c r="C22" i="13" a="1"/>
  <c r="C22" i="13" s="1"/>
  <c r="E27" i="13"/>
  <c r="G27" i="13" s="1"/>
  <c r="E29" i="13"/>
  <c r="G29" i="13" s="1"/>
  <c r="E30" i="13"/>
  <c r="G30" i="13" s="1"/>
  <c r="E31" i="13"/>
  <c r="G31" i="13" s="1"/>
  <c r="C33" i="13"/>
  <c r="E41" i="13"/>
  <c r="G41" i="13" s="1"/>
  <c r="E42" i="13"/>
  <c r="G42" i="13" s="1"/>
  <c r="C34" i="13"/>
  <c r="C35" i="13"/>
  <c r="E37" i="13"/>
  <c r="G37" i="13" s="1"/>
  <c r="E38" i="13"/>
  <c r="G38" i="13" s="1"/>
  <c r="C27" i="13"/>
  <c r="C28" i="13"/>
  <c r="C29" i="13"/>
  <c r="C30" i="13"/>
  <c r="C31" i="13"/>
  <c r="C37" i="13"/>
  <c r="C38" i="13"/>
  <c r="C40" i="13"/>
  <c r="C41" i="13" a="1"/>
  <c r="C41" i="13" s="1"/>
  <c r="C42" i="13" a="1"/>
  <c r="C42" i="13" s="1"/>
  <c r="E47" i="13"/>
  <c r="G47" i="13" s="1"/>
  <c r="E48" i="13"/>
  <c r="G48" i="13" s="1"/>
  <c r="E49" i="13"/>
  <c r="G49" i="13" s="1"/>
  <c r="E50" i="13"/>
  <c r="G50" i="13" s="1"/>
  <c r="E51" i="13"/>
  <c r="G51" i="13" s="1"/>
  <c r="C53" i="13"/>
  <c r="C54" i="13"/>
  <c r="E61" i="13"/>
  <c r="G61" i="13" s="1"/>
  <c r="E62" i="13"/>
  <c r="G62" i="13" s="1"/>
  <c r="C55" i="13"/>
  <c r="E55" i="13" s="1"/>
  <c r="G55" i="13" s="1"/>
  <c r="E57" i="13"/>
  <c r="G57" i="13" s="1"/>
  <c r="E58" i="13"/>
  <c r="G58" i="13" s="1"/>
  <c r="C47" i="13"/>
  <c r="C48" i="13"/>
  <c r="C49" i="13"/>
  <c r="C50" i="13"/>
  <c r="C51" i="13"/>
  <c r="C57" i="13"/>
  <c r="C58" i="13"/>
  <c r="C60" i="13"/>
  <c r="C61" i="13" a="1"/>
  <c r="C61" i="13" s="1"/>
  <c r="C62" i="13" a="1"/>
  <c r="C62" i="13" s="1"/>
  <c r="D67" i="13"/>
  <c r="E68" i="13"/>
  <c r="G68" i="13" s="1"/>
  <c r="E69" i="13"/>
  <c r="G69" i="13" s="1"/>
  <c r="E70" i="13"/>
  <c r="G70" i="13" s="1"/>
  <c r="D72" i="13"/>
  <c r="E72" i="13"/>
  <c r="C74" i="13"/>
  <c r="E82" i="13"/>
  <c r="G82" i="13" s="1"/>
  <c r="E83" i="13"/>
  <c r="G83" i="13" s="1"/>
  <c r="C75" i="13"/>
  <c r="E75" i="13" s="1"/>
  <c r="G75" i="13" s="1"/>
  <c r="C76" i="13"/>
  <c r="E76" i="13" s="1"/>
  <c r="G76" i="13" s="1"/>
  <c r="E78" i="13"/>
  <c r="G78" i="13" s="1"/>
  <c r="E79" i="13"/>
  <c r="G79" i="13" s="1"/>
  <c r="C67" i="13"/>
  <c r="C68" i="13"/>
  <c r="C69" i="13"/>
  <c r="C70" i="13"/>
  <c r="C71" i="13"/>
  <c r="C72" i="13"/>
  <c r="C78" i="13"/>
  <c r="C79" i="13"/>
  <c r="C81" i="13"/>
  <c r="C82" i="13" a="1"/>
  <c r="C82" i="13" s="1"/>
  <c r="C83" i="13" a="1"/>
  <c r="C83" i="13" s="1"/>
  <c r="D88" i="13"/>
  <c r="E89" i="13"/>
  <c r="G89" i="13" s="1"/>
  <c r="E90" i="13"/>
  <c r="G90" i="13" s="1"/>
  <c r="E91" i="13"/>
  <c r="G91" i="13" s="1"/>
  <c r="D93" i="13"/>
  <c r="E93" i="13"/>
  <c r="C95" i="13"/>
  <c r="E103" i="13"/>
  <c r="G103" i="13" s="1"/>
  <c r="E104" i="13"/>
  <c r="G104" i="13" s="1"/>
  <c r="C96" i="13"/>
  <c r="E96" i="13" s="1"/>
  <c r="G96" i="13" s="1"/>
  <c r="C97" i="13"/>
  <c r="E97" i="13" s="1"/>
  <c r="G97" i="13" s="1"/>
  <c r="E99" i="13"/>
  <c r="G99" i="13" s="1"/>
  <c r="E100" i="13"/>
  <c r="G100" i="13" s="1"/>
  <c r="C88" i="13"/>
  <c r="C89" i="13"/>
  <c r="C90" i="13"/>
  <c r="C91" i="13"/>
  <c r="C92" i="13"/>
  <c r="C93" i="13"/>
  <c r="C99" i="13"/>
  <c r="C100" i="13"/>
  <c r="C102" i="13"/>
  <c r="C103" i="13" a="1"/>
  <c r="C103" i="13" s="1"/>
  <c r="C104" i="13" a="1"/>
  <c r="C104" i="13" s="1"/>
  <c r="D109" i="13"/>
  <c r="E110" i="13"/>
  <c r="G110" i="13" s="1"/>
  <c r="E111" i="13"/>
  <c r="G111" i="13" s="1"/>
  <c r="E112" i="13"/>
  <c r="G112" i="13" s="1"/>
  <c r="D114" i="13"/>
  <c r="E114" i="13"/>
  <c r="C116" i="13"/>
  <c r="E124" i="13"/>
  <c r="G124" i="13" s="1"/>
  <c r="E125" i="13"/>
  <c r="G125" i="13" s="1"/>
  <c r="C117" i="13"/>
  <c r="E117" i="13" s="1"/>
  <c r="G117" i="13" s="1"/>
  <c r="C118" i="13"/>
  <c r="E118" i="13" s="1"/>
  <c r="G118" i="13" s="1"/>
  <c r="E120" i="13"/>
  <c r="G120" i="13" s="1"/>
  <c r="E121" i="13"/>
  <c r="G121" i="13" s="1"/>
  <c r="C109" i="13"/>
  <c r="C110" i="13"/>
  <c r="C111" i="13"/>
  <c r="C112" i="13"/>
  <c r="C113" i="13"/>
  <c r="C114" i="13"/>
  <c r="C120" i="13"/>
  <c r="C121" i="13"/>
  <c r="C123" i="13"/>
  <c r="C124" i="13" a="1"/>
  <c r="C124" i="13" s="1"/>
  <c r="C125" i="13" a="1"/>
  <c r="C125" i="13" s="1"/>
  <c r="D130" i="13"/>
  <c r="E131" i="13"/>
  <c r="G131" i="13" s="1"/>
  <c r="E132" i="13"/>
  <c r="G132" i="13" s="1"/>
  <c r="E133" i="13"/>
  <c r="G133" i="13" s="1"/>
  <c r="D135" i="13"/>
  <c r="E135" i="13"/>
  <c r="C137" i="13"/>
  <c r="E145" i="13"/>
  <c r="G145" i="13" s="1"/>
  <c r="E146" i="13"/>
  <c r="G146" i="13" s="1"/>
  <c r="C138" i="13"/>
  <c r="E138" i="13" s="1"/>
  <c r="G138" i="13" s="1"/>
  <c r="C139" i="13"/>
  <c r="E139" i="13" s="1"/>
  <c r="G139" i="13" s="1"/>
  <c r="E141" i="13"/>
  <c r="G141" i="13" s="1"/>
  <c r="E142" i="13"/>
  <c r="G142" i="13" s="1"/>
  <c r="C130" i="13"/>
  <c r="C131" i="13"/>
  <c r="C132" i="13"/>
  <c r="C133" i="13"/>
  <c r="C134" i="13"/>
  <c r="C135" i="13"/>
  <c r="C141" i="13"/>
  <c r="C142" i="13"/>
  <c r="C144" i="13"/>
  <c r="C145" i="13" a="1"/>
  <c r="C145" i="13" s="1"/>
  <c r="C146" i="13" a="1"/>
  <c r="C146" i="13" s="1"/>
  <c r="E151" i="13"/>
  <c r="G151" i="13" s="1"/>
  <c r="E152" i="13"/>
  <c r="G152" i="13" s="1"/>
  <c r="E153" i="13"/>
  <c r="G153" i="13" s="1"/>
  <c r="E154" i="13"/>
  <c r="G154" i="13" s="1"/>
  <c r="E155" i="13"/>
  <c r="G155" i="13" s="1"/>
  <c r="C157" i="13"/>
  <c r="E157" i="13" s="1"/>
  <c r="G157" i="13" s="1"/>
  <c r="C158" i="13"/>
  <c r="E165" i="13"/>
  <c r="G165" i="13" s="1"/>
  <c r="E166" i="13"/>
  <c r="G166" i="13" s="1"/>
  <c r="C159" i="13"/>
  <c r="E159" i="13" s="1"/>
  <c r="G159" i="13" s="1"/>
  <c r="E161" i="13"/>
  <c r="G161" i="13" s="1"/>
  <c r="E162" i="13"/>
  <c r="G162" i="13" s="1"/>
  <c r="C151" i="13"/>
  <c r="C152" i="13"/>
  <c r="C153" i="13"/>
  <c r="C154" i="13"/>
  <c r="C155" i="13"/>
  <c r="C161" i="13"/>
  <c r="C162" i="13"/>
  <c r="C164" i="13"/>
  <c r="C165" i="13" a="1"/>
  <c r="C165" i="13" s="1"/>
  <c r="C166" i="13" a="1"/>
  <c r="C166" i="13" s="1"/>
  <c r="E171" i="13"/>
  <c r="G171" i="13" s="1"/>
  <c r="E172" i="13"/>
  <c r="G172" i="13" s="1"/>
  <c r="E173" i="13"/>
  <c r="G173" i="13" s="1"/>
  <c r="E174" i="13"/>
  <c r="G174" i="13" s="1"/>
  <c r="E175" i="13"/>
  <c r="G175" i="13" s="1"/>
  <c r="C177" i="13"/>
  <c r="E177" i="13" s="1"/>
  <c r="G177" i="13" s="1"/>
  <c r="C178" i="13"/>
  <c r="E185" i="13"/>
  <c r="G185" i="13" s="1"/>
  <c r="E186" i="13"/>
  <c r="G186" i="13" s="1"/>
  <c r="C179" i="13"/>
  <c r="E179" i="13" s="1"/>
  <c r="G179" i="13" s="1"/>
  <c r="E181" i="13"/>
  <c r="G181" i="13" s="1"/>
  <c r="E182" i="13"/>
  <c r="G182" i="13" s="1"/>
  <c r="C171" i="13"/>
  <c r="C172" i="13"/>
  <c r="C173" i="13"/>
  <c r="C174" i="13"/>
  <c r="C175" i="13"/>
  <c r="C181" i="13"/>
  <c r="C182" i="13"/>
  <c r="C184" i="13"/>
  <c r="C185" i="13" a="1"/>
  <c r="C185" i="13" s="1"/>
  <c r="C186" i="13" a="1"/>
  <c r="C186" i="13" s="1"/>
  <c r="E191" i="13"/>
  <c r="G191" i="13" s="1"/>
  <c r="E192" i="13"/>
  <c r="G192" i="13" s="1"/>
  <c r="E193" i="13"/>
  <c r="G193" i="13" s="1"/>
  <c r="E194" i="13"/>
  <c r="G194" i="13" s="1"/>
  <c r="E195" i="13"/>
  <c r="G195" i="13" s="1"/>
  <c r="C197" i="13"/>
  <c r="E197" i="13" s="1"/>
  <c r="G197" i="13" s="1"/>
  <c r="C198" i="13"/>
  <c r="E205" i="13"/>
  <c r="G205" i="13" s="1"/>
  <c r="E206" i="13"/>
  <c r="G206" i="13" s="1"/>
  <c r="C199" i="13"/>
  <c r="E199" i="13" s="1"/>
  <c r="G199" i="13" s="1"/>
  <c r="E201" i="13"/>
  <c r="G201" i="13" s="1"/>
  <c r="E202" i="13"/>
  <c r="G202" i="13" s="1"/>
  <c r="C191" i="13"/>
  <c r="C192" i="13"/>
  <c r="C193" i="13"/>
  <c r="C194" i="13"/>
  <c r="C195" i="13"/>
  <c r="C201" i="13"/>
  <c r="C202" i="13"/>
  <c r="C204" i="13"/>
  <c r="C205" i="13" a="1"/>
  <c r="C205" i="13" s="1"/>
  <c r="C206" i="13" a="1"/>
  <c r="C206" i="13" s="1"/>
  <c r="E211" i="13"/>
  <c r="G211" i="13" s="1"/>
  <c r="E212" i="13"/>
  <c r="G212" i="13" s="1"/>
  <c r="E213" i="13"/>
  <c r="G213" i="13" s="1"/>
  <c r="E214" i="13"/>
  <c r="G214" i="13" s="1"/>
  <c r="E215" i="13"/>
  <c r="G215" i="13" s="1"/>
  <c r="C217" i="13"/>
  <c r="E217" i="13" s="1"/>
  <c r="G217" i="13" s="1"/>
  <c r="C218" i="13"/>
  <c r="E225" i="13"/>
  <c r="G225" i="13" s="1"/>
  <c r="E226" i="13"/>
  <c r="G226" i="13" s="1"/>
  <c r="C219" i="13"/>
  <c r="E219" i="13" s="1"/>
  <c r="G219" i="13" s="1"/>
  <c r="E221" i="13"/>
  <c r="G221" i="13" s="1"/>
  <c r="E222" i="13"/>
  <c r="G222" i="13" s="1"/>
  <c r="C211" i="13"/>
  <c r="C212" i="13"/>
  <c r="C213" i="13"/>
  <c r="C214" i="13"/>
  <c r="C215" i="13"/>
  <c r="C221" i="13"/>
  <c r="C222" i="13"/>
  <c r="C224" i="13"/>
  <c r="C225" i="13" a="1"/>
  <c r="C225" i="13" s="1"/>
  <c r="C226" i="13" a="1"/>
  <c r="C226" i="13" s="1"/>
  <c r="E231" i="13"/>
  <c r="G231" i="13" s="1"/>
  <c r="E233" i="13"/>
  <c r="G233" i="13" s="1"/>
  <c r="E234" i="13"/>
  <c r="G234" i="13" s="1"/>
  <c r="E235" i="13"/>
  <c r="G235" i="13" s="1"/>
  <c r="C237" i="13"/>
  <c r="C238" i="13"/>
  <c r="E245" i="13"/>
  <c r="G245" i="13" s="1"/>
  <c r="E246" i="13"/>
  <c r="G246" i="13" s="1"/>
  <c r="C239" i="13"/>
  <c r="E239" i="13" s="1"/>
  <c r="G239" i="13" s="1"/>
  <c r="E241" i="13"/>
  <c r="G241" i="13" s="1"/>
  <c r="E242" i="13"/>
  <c r="G242" i="13" s="1"/>
  <c r="C231" i="13"/>
  <c r="C232" i="13"/>
  <c r="C233" i="13"/>
  <c r="C234" i="13"/>
  <c r="C235" i="13"/>
  <c r="C241" i="13"/>
  <c r="C242" i="13"/>
  <c r="C244" i="13"/>
  <c r="C245" i="13" a="1"/>
  <c r="C245" i="13" s="1"/>
  <c r="C246" i="13" a="1"/>
  <c r="C246" i="13" s="1"/>
  <c r="E251" i="13"/>
  <c r="G251" i="13" s="1"/>
  <c r="E253" i="13"/>
  <c r="G253" i="13" s="1"/>
  <c r="E254" i="13"/>
  <c r="G254" i="13" s="1"/>
  <c r="E255" i="13"/>
  <c r="G255" i="13" s="1"/>
  <c r="C257" i="13"/>
  <c r="C258" i="13"/>
  <c r="E265" i="13"/>
  <c r="G265" i="13" s="1"/>
  <c r="E266" i="13"/>
  <c r="G266" i="13" s="1"/>
  <c r="C259" i="13"/>
  <c r="E259" i="13" s="1"/>
  <c r="G259" i="13" s="1"/>
  <c r="E261" i="13"/>
  <c r="G261" i="13" s="1"/>
  <c r="E262" i="13"/>
  <c r="G262" i="13" s="1"/>
  <c r="C251" i="13"/>
  <c r="C252" i="13"/>
  <c r="C253" i="13"/>
  <c r="C254" i="13"/>
  <c r="C255" i="13"/>
  <c r="C261" i="13"/>
  <c r="C262" i="13"/>
  <c r="C264" i="13"/>
  <c r="C265" i="13" a="1"/>
  <c r="C265" i="13" s="1"/>
  <c r="C266" i="13" a="1"/>
  <c r="C266" i="13" s="1"/>
  <c r="E271" i="13"/>
  <c r="G271" i="13" s="1"/>
  <c r="E273" i="13"/>
  <c r="G273" i="13" s="1"/>
  <c r="E274" i="13"/>
  <c r="G274" i="13" s="1"/>
  <c r="E275" i="13"/>
  <c r="G275" i="13" s="1"/>
  <c r="C277" i="13"/>
  <c r="C278" i="13"/>
  <c r="E285" i="13"/>
  <c r="G285" i="13" s="1"/>
  <c r="E286" i="13"/>
  <c r="G286" i="13" s="1"/>
  <c r="C279" i="13"/>
  <c r="E279" i="13" s="1"/>
  <c r="G279" i="13" s="1"/>
  <c r="E281" i="13"/>
  <c r="G281" i="13" s="1"/>
  <c r="E282" i="13"/>
  <c r="G282" i="13" s="1"/>
  <c r="C271" i="13"/>
  <c r="C272" i="13"/>
  <c r="C273" i="13"/>
  <c r="C274" i="13"/>
  <c r="C275" i="13"/>
  <c r="C281" i="13"/>
  <c r="C282" i="13"/>
  <c r="C284" i="13"/>
  <c r="C285" i="13" a="1"/>
  <c r="C285" i="13" s="1"/>
  <c r="C286" i="13" a="1"/>
  <c r="C286" i="13" s="1"/>
  <c r="E291" i="13"/>
  <c r="G291" i="13" s="1"/>
  <c r="E293" i="13"/>
  <c r="G293" i="13" s="1"/>
  <c r="E294" i="13"/>
  <c r="G294" i="13" s="1"/>
  <c r="E295" i="13"/>
  <c r="G295" i="13" s="1"/>
  <c r="C297" i="13"/>
  <c r="C298" i="13"/>
  <c r="E305" i="13"/>
  <c r="G305" i="13" s="1"/>
  <c r="E306" i="13"/>
  <c r="G306" i="13" s="1"/>
  <c r="C299" i="13"/>
  <c r="E299" i="13" s="1"/>
  <c r="G299" i="13" s="1"/>
  <c r="E301" i="13"/>
  <c r="G301" i="13" s="1"/>
  <c r="E302" i="13"/>
  <c r="G302" i="13" s="1"/>
  <c r="C291" i="13"/>
  <c r="C292" i="13"/>
  <c r="C293" i="13"/>
  <c r="C294" i="13"/>
  <c r="C295" i="13"/>
  <c r="C301" i="13"/>
  <c r="C302" i="13"/>
  <c r="C304" i="13"/>
  <c r="C305" i="13" a="1"/>
  <c r="C306" i="13" a="1"/>
  <c r="C306" i="13" s="1"/>
  <c r="E312" i="13"/>
  <c r="G312" i="13" s="1"/>
  <c r="E313" i="13"/>
  <c r="G313" i="13" s="1"/>
  <c r="E314" i="13"/>
  <c r="G314" i="13" s="1"/>
  <c r="E315" i="13"/>
  <c r="G315" i="13" s="1"/>
  <c r="C317" i="13"/>
  <c r="E325" i="13"/>
  <c r="G325" i="13" s="1"/>
  <c r="E326" i="13"/>
  <c r="G326" i="13" s="1"/>
  <c r="C318" i="13"/>
  <c r="C319" i="13"/>
  <c r="E319" i="13" s="1"/>
  <c r="G319" i="13" s="1"/>
  <c r="E321" i="13"/>
  <c r="G321" i="13" s="1"/>
  <c r="E322" i="13"/>
  <c r="G322" i="13" s="1"/>
  <c r="C311" i="13"/>
  <c r="C312" i="13"/>
  <c r="C313" i="13"/>
  <c r="C314" i="13"/>
  <c r="C315" i="13"/>
  <c r="C321" i="13"/>
  <c r="C322" i="13"/>
  <c r="C324" i="13"/>
  <c r="C325" i="13" a="1"/>
  <c r="C325" i="13" s="1"/>
  <c r="C326" i="13" a="1"/>
  <c r="C326" i="13" s="1"/>
  <c r="E331" i="13"/>
  <c r="G331" i="13" s="1"/>
  <c r="E332" i="13"/>
  <c r="G332" i="13" s="1"/>
  <c r="E333" i="13"/>
  <c r="G333" i="13" s="1"/>
  <c r="E334" i="13"/>
  <c r="G334" i="13" s="1"/>
  <c r="E335" i="13"/>
  <c r="G335" i="13" s="1"/>
  <c r="C337" i="13"/>
  <c r="E345" i="13"/>
  <c r="G345" i="13" s="1"/>
  <c r="E346" i="13"/>
  <c r="G346" i="13" s="1"/>
  <c r="C338" i="13"/>
  <c r="E338" i="13" s="1"/>
  <c r="G338" i="13" s="1"/>
  <c r="C339" i="13"/>
  <c r="E339" i="13" s="1"/>
  <c r="G339" i="13" s="1"/>
  <c r="E341" i="13"/>
  <c r="G341" i="13" s="1"/>
  <c r="E342" i="13"/>
  <c r="G342" i="13" s="1"/>
  <c r="C331" i="13"/>
  <c r="C332" i="13"/>
  <c r="C333" i="13"/>
  <c r="C334" i="13"/>
  <c r="C335" i="13"/>
  <c r="C341" i="13"/>
  <c r="C342" i="13"/>
  <c r="C344" i="13"/>
  <c r="C345" i="13" a="1"/>
  <c r="C345" i="13" s="1"/>
  <c r="C346" i="13" a="1"/>
  <c r="C346" i="13" s="1"/>
  <c r="E351" i="13"/>
  <c r="G351" i="13" s="1"/>
  <c r="E353" i="13"/>
  <c r="G353" i="13" s="1"/>
  <c r="E354" i="13"/>
  <c r="G354" i="13" s="1"/>
  <c r="E355" i="13"/>
  <c r="G355" i="13" s="1"/>
  <c r="C357" i="13"/>
  <c r="C358" i="13"/>
  <c r="E365" i="13"/>
  <c r="G365" i="13" s="1"/>
  <c r="E366" i="13"/>
  <c r="G366" i="13" s="1"/>
  <c r="C359" i="13"/>
  <c r="E361" i="13"/>
  <c r="G361" i="13" s="1"/>
  <c r="E362" i="13"/>
  <c r="G362" i="13" s="1"/>
  <c r="C351" i="13"/>
  <c r="C352" i="13"/>
  <c r="C353" i="13"/>
  <c r="C354" i="13"/>
  <c r="C355" i="13"/>
  <c r="C361" i="13"/>
  <c r="C362" i="13"/>
  <c r="C364" i="13"/>
  <c r="C365" i="13" a="1"/>
  <c r="C365" i="13" s="1"/>
  <c r="C366" i="13" a="1"/>
  <c r="C366" i="13" s="1"/>
  <c r="E371" i="13"/>
  <c r="G371" i="13" s="1"/>
  <c r="E373" i="13"/>
  <c r="G373" i="13" s="1"/>
  <c r="E374" i="13"/>
  <c r="G374" i="13" s="1"/>
  <c r="E375" i="13"/>
  <c r="G375" i="13" s="1"/>
  <c r="C377" i="13"/>
  <c r="C378" i="13"/>
  <c r="E385" i="13"/>
  <c r="G385" i="13" s="1"/>
  <c r="E386" i="13"/>
  <c r="G386" i="13" s="1"/>
  <c r="C379" i="13"/>
  <c r="E381" i="13"/>
  <c r="G381" i="13" s="1"/>
  <c r="E382" i="13"/>
  <c r="G382" i="13" s="1"/>
  <c r="C371" i="13"/>
  <c r="C372" i="13"/>
  <c r="C373" i="13"/>
  <c r="C374" i="13"/>
  <c r="C375" i="13"/>
  <c r="C381" i="13"/>
  <c r="C382" i="13"/>
  <c r="C384" i="13"/>
  <c r="C385" i="13" a="1"/>
  <c r="C385" i="13" s="1"/>
  <c r="C386" i="13" a="1"/>
  <c r="C386" i="13" s="1"/>
  <c r="E391" i="13"/>
  <c r="G391" i="13" s="1"/>
  <c r="E393" i="13"/>
  <c r="G393" i="13" s="1"/>
  <c r="E394" i="13"/>
  <c r="G394" i="13" s="1"/>
  <c r="E395" i="13"/>
  <c r="G395" i="13" s="1"/>
  <c r="C397" i="13"/>
  <c r="C398" i="13"/>
  <c r="E405" i="13"/>
  <c r="G405" i="13" s="1"/>
  <c r="E406" i="13"/>
  <c r="G406" i="13" s="1"/>
  <c r="C399" i="13"/>
  <c r="E401" i="13"/>
  <c r="G401" i="13" s="1"/>
  <c r="E402" i="13"/>
  <c r="G402" i="13" s="1"/>
  <c r="C391" i="13"/>
  <c r="C392" i="13"/>
  <c r="C393" i="13"/>
  <c r="C394" i="13"/>
  <c r="C395" i="13"/>
  <c r="C401" i="13"/>
  <c r="C402" i="13"/>
  <c r="C404" i="13"/>
  <c r="C405" i="13" a="1"/>
  <c r="C405" i="13" s="1"/>
  <c r="C406" i="13" a="1"/>
  <c r="C406" i="13" s="1"/>
  <c r="E411" i="13"/>
  <c r="G411" i="13" s="1"/>
  <c r="E413" i="13"/>
  <c r="G413" i="13" s="1"/>
  <c r="E414" i="13"/>
  <c r="G414" i="13" s="1"/>
  <c r="E415" i="13"/>
  <c r="G415" i="13" s="1"/>
  <c r="C417" i="13"/>
  <c r="C418" i="13"/>
  <c r="E425" i="13"/>
  <c r="G425" i="13" s="1"/>
  <c r="E426" i="13"/>
  <c r="G426" i="13" s="1"/>
  <c r="C419" i="13"/>
  <c r="E421" i="13"/>
  <c r="G421" i="13" s="1"/>
  <c r="E422" i="13"/>
  <c r="G422" i="13" s="1"/>
  <c r="C411" i="13"/>
  <c r="C412" i="13"/>
  <c r="C413" i="13"/>
  <c r="C414" i="13"/>
  <c r="C415" i="13"/>
  <c r="C421" i="13"/>
  <c r="C422" i="13"/>
  <c r="C424" i="13"/>
  <c r="C425" i="13" a="1"/>
  <c r="C425" i="13" s="1"/>
  <c r="C426" i="13" a="1"/>
  <c r="C426" i="13" s="1"/>
  <c r="E431" i="13"/>
  <c r="G431" i="13" s="1"/>
  <c r="E433" i="13"/>
  <c r="G433" i="13" s="1"/>
  <c r="E434" i="13"/>
  <c r="G434" i="13" s="1"/>
  <c r="E435" i="13"/>
  <c r="G435" i="13" s="1"/>
  <c r="C437" i="13"/>
  <c r="C438" i="13"/>
  <c r="E445" i="13"/>
  <c r="G445" i="13" s="1"/>
  <c r="E446" i="13"/>
  <c r="G446" i="13" s="1"/>
  <c r="C439" i="13"/>
  <c r="E441" i="13"/>
  <c r="G441" i="13" s="1"/>
  <c r="E442" i="13"/>
  <c r="G442" i="13" s="1"/>
  <c r="C431" i="13"/>
  <c r="C432" i="13"/>
  <c r="C433" i="13"/>
  <c r="C434" i="13"/>
  <c r="C435" i="13"/>
  <c r="C441" i="13"/>
  <c r="C442" i="13"/>
  <c r="C444" i="13"/>
  <c r="C445" i="13" a="1"/>
  <c r="C445" i="13" s="1"/>
  <c r="C446" i="13" a="1"/>
  <c r="C446" i="13" s="1"/>
  <c r="E451" i="13"/>
  <c r="G451" i="13" s="1"/>
  <c r="E452" i="13"/>
  <c r="G452" i="13" s="1"/>
  <c r="E453" i="13"/>
  <c r="G453" i="13" s="1"/>
  <c r="E454" i="13"/>
  <c r="G454" i="13" s="1"/>
  <c r="E455" i="13"/>
  <c r="G455" i="13" s="1"/>
  <c r="E456" i="13"/>
  <c r="G456" i="13" s="1"/>
  <c r="E457" i="13"/>
  <c r="G457" i="13" s="1"/>
  <c r="E458" i="13"/>
  <c r="G458" i="13" s="1"/>
  <c r="C460" i="13"/>
  <c r="C461" i="13"/>
  <c r="E468" i="13"/>
  <c r="G468" i="13" s="1"/>
  <c r="E469" i="13"/>
  <c r="G469" i="13" s="1"/>
  <c r="C462" i="13"/>
  <c r="E462" i="13" s="1"/>
  <c r="G462" i="13" s="1"/>
  <c r="E464" i="13"/>
  <c r="G464" i="13" s="1"/>
  <c r="E465" i="13"/>
  <c r="G465" i="13" s="1"/>
  <c r="C451" i="13"/>
  <c r="C452" i="13"/>
  <c r="C453" i="13"/>
  <c r="C454" i="13"/>
  <c r="C455" i="13"/>
  <c r="C456" i="13"/>
  <c r="C457" i="13"/>
  <c r="C458" i="13"/>
  <c r="C464" i="13"/>
  <c r="C465" i="13"/>
  <c r="C467" i="13"/>
  <c r="C468" i="13" a="1"/>
  <c r="C468" i="13" s="1"/>
  <c r="C469" i="13" a="1"/>
  <c r="C469" i="13" s="1"/>
  <c r="E474" i="13"/>
  <c r="G474" i="13" s="1"/>
  <c r="E475" i="13"/>
  <c r="G475" i="13" s="1"/>
  <c r="E476" i="13"/>
  <c r="G476" i="13" s="1"/>
  <c r="E477" i="13"/>
  <c r="G477" i="13" s="1"/>
  <c r="E478" i="13"/>
  <c r="G478" i="13" s="1"/>
  <c r="E479" i="13"/>
  <c r="G479" i="13" s="1"/>
  <c r="E480" i="13"/>
  <c r="G480" i="13" s="1"/>
  <c r="E481" i="13"/>
  <c r="G481" i="13" s="1"/>
  <c r="C483" i="13"/>
  <c r="C484" i="13"/>
  <c r="E491" i="13"/>
  <c r="G491" i="13" s="1"/>
  <c r="E492" i="13"/>
  <c r="G492" i="13" s="1"/>
  <c r="C485" i="13"/>
  <c r="E485" i="13" s="1"/>
  <c r="G485" i="13" s="1"/>
  <c r="E487" i="13"/>
  <c r="G487" i="13" s="1"/>
  <c r="E488" i="13"/>
  <c r="G488" i="13" s="1"/>
  <c r="C474" i="13"/>
  <c r="C475" i="13"/>
  <c r="C476" i="13"/>
  <c r="C477" i="13"/>
  <c r="C478" i="13"/>
  <c r="C479" i="13"/>
  <c r="C480" i="13"/>
  <c r="C481" i="13"/>
  <c r="C487" i="13"/>
  <c r="C488" i="13"/>
  <c r="C490" i="13"/>
  <c r="C491" i="13" a="1"/>
  <c r="C491" i="13" s="1"/>
  <c r="C492" i="13" a="1"/>
  <c r="C492" i="13" s="1"/>
  <c r="E497" i="13"/>
  <c r="G497" i="13" s="1"/>
  <c r="E498" i="13"/>
  <c r="G498" i="13" s="1"/>
  <c r="E499" i="13"/>
  <c r="G499" i="13" s="1"/>
  <c r="E500" i="13"/>
  <c r="G500" i="13" s="1"/>
  <c r="E501" i="13"/>
  <c r="G501" i="13" s="1"/>
  <c r="E502" i="13"/>
  <c r="G502" i="13" s="1"/>
  <c r="E503" i="13"/>
  <c r="G503" i="13" s="1"/>
  <c r="E504" i="13"/>
  <c r="G504" i="13" s="1"/>
  <c r="C506" i="13"/>
  <c r="C507" i="13"/>
  <c r="E514" i="13"/>
  <c r="G514" i="13" s="1"/>
  <c r="E515" i="13"/>
  <c r="G515" i="13" s="1"/>
  <c r="C508" i="13"/>
  <c r="E508" i="13" s="1"/>
  <c r="G508" i="13" s="1"/>
  <c r="E510" i="13"/>
  <c r="G510" i="13" s="1"/>
  <c r="E511" i="13"/>
  <c r="G511" i="13" s="1"/>
  <c r="C497" i="13"/>
  <c r="C498" i="13"/>
  <c r="C499" i="13"/>
  <c r="C500" i="13"/>
  <c r="C501" i="13"/>
  <c r="C502" i="13"/>
  <c r="C503" i="13"/>
  <c r="C504" i="13"/>
  <c r="C510" i="13"/>
  <c r="C511" i="13"/>
  <c r="C513" i="13"/>
  <c r="C514" i="13" a="1"/>
  <c r="C514" i="13" s="1"/>
  <c r="C515" i="13" a="1"/>
  <c r="C515" i="13" s="1"/>
  <c r="E520" i="13"/>
  <c r="G520" i="13" s="1"/>
  <c r="E521" i="13"/>
  <c r="G521" i="13" s="1"/>
  <c r="E522" i="13"/>
  <c r="G522" i="13" s="1"/>
  <c r="E523" i="13"/>
  <c r="G523" i="13" s="1"/>
  <c r="E524" i="13"/>
  <c r="G524" i="13" s="1"/>
  <c r="E525" i="13"/>
  <c r="G525" i="13" s="1"/>
  <c r="E526" i="13"/>
  <c r="G526" i="13" s="1"/>
  <c r="E527" i="13"/>
  <c r="G527" i="13" s="1"/>
  <c r="C529" i="13"/>
  <c r="C530" i="13"/>
  <c r="E537" i="13"/>
  <c r="G537" i="13" s="1"/>
  <c r="E538" i="13"/>
  <c r="G538" i="13" s="1"/>
  <c r="C531" i="13"/>
  <c r="E531" i="13" s="1"/>
  <c r="G531" i="13" s="1"/>
  <c r="E533" i="13"/>
  <c r="G533" i="13" s="1"/>
  <c r="E534" i="13"/>
  <c r="G534" i="13" s="1"/>
  <c r="C520" i="13"/>
  <c r="C521" i="13"/>
  <c r="C522" i="13"/>
  <c r="C523" i="13"/>
  <c r="C524" i="13"/>
  <c r="C525" i="13"/>
  <c r="C526" i="13"/>
  <c r="C527" i="13"/>
  <c r="C533" i="13"/>
  <c r="C534" i="13"/>
  <c r="C536" i="13"/>
  <c r="C537" i="13" a="1"/>
  <c r="C537" i="13" s="1"/>
  <c r="C538" i="13" a="1"/>
  <c r="C538" i="13" s="1"/>
  <c r="E543" i="13"/>
  <c r="G543" i="13" s="1"/>
  <c r="E544" i="13"/>
  <c r="G544" i="13" s="1"/>
  <c r="E545" i="13"/>
  <c r="G545" i="13" s="1"/>
  <c r="E546" i="13"/>
  <c r="G546" i="13" s="1"/>
  <c r="E547" i="13"/>
  <c r="G547" i="13" s="1"/>
  <c r="E548" i="13"/>
  <c r="G548" i="13" s="1"/>
  <c r="E549" i="13"/>
  <c r="G549" i="13" s="1"/>
  <c r="E550" i="13"/>
  <c r="G550" i="13" s="1"/>
  <c r="C552" i="13"/>
  <c r="C553" i="13"/>
  <c r="E560" i="13"/>
  <c r="G560" i="13" s="1"/>
  <c r="E561" i="13"/>
  <c r="G561" i="13" s="1"/>
  <c r="C554" i="13"/>
  <c r="E554" i="13" s="1"/>
  <c r="G554" i="13" s="1"/>
  <c r="E556" i="13"/>
  <c r="G556" i="13" s="1"/>
  <c r="E557" i="13"/>
  <c r="G557" i="13" s="1"/>
  <c r="C543" i="13"/>
  <c r="C544" i="13"/>
  <c r="C545" i="13"/>
  <c r="C546" i="13"/>
  <c r="C547" i="13"/>
  <c r="C548" i="13"/>
  <c r="C549" i="13"/>
  <c r="C550" i="13"/>
  <c r="C556" i="13"/>
  <c r="C557" i="13"/>
  <c r="C559" i="13"/>
  <c r="C560" i="13" a="1"/>
  <c r="C560" i="13" s="1"/>
  <c r="C561" i="13" a="1"/>
  <c r="C561" i="13" s="1"/>
  <c r="E566" i="13"/>
  <c r="G566" i="13" s="1"/>
  <c r="E567" i="13"/>
  <c r="G567" i="13" s="1"/>
  <c r="E568" i="13"/>
  <c r="G568" i="13" s="1"/>
  <c r="E569" i="13"/>
  <c r="G569" i="13" s="1"/>
  <c r="E570" i="13"/>
  <c r="G570" i="13" s="1"/>
  <c r="E571" i="13"/>
  <c r="G571" i="13" s="1"/>
  <c r="E572" i="13"/>
  <c r="G572" i="13" s="1"/>
  <c r="E573" i="13"/>
  <c r="G573" i="13" s="1"/>
  <c r="E574" i="13"/>
  <c r="G574" i="13" s="1"/>
  <c r="C576" i="13"/>
  <c r="C577" i="13"/>
  <c r="E584" i="13"/>
  <c r="G584" i="13" s="1"/>
  <c r="E585" i="13"/>
  <c r="G585" i="13" s="1"/>
  <c r="C578" i="13"/>
  <c r="E578" i="13" s="1"/>
  <c r="G578" i="13" s="1"/>
  <c r="E580" i="13"/>
  <c r="G580" i="13" s="1"/>
  <c r="E581" i="13"/>
  <c r="G581" i="13" s="1"/>
  <c r="C566" i="13"/>
  <c r="C567" i="13"/>
  <c r="C568" i="13"/>
  <c r="C569" i="13"/>
  <c r="C570" i="13"/>
  <c r="C571" i="13"/>
  <c r="C572" i="13"/>
  <c r="C573" i="13"/>
  <c r="C574" i="13"/>
  <c r="C580" i="13"/>
  <c r="C581" i="13"/>
  <c r="C583" i="13"/>
  <c r="C584" i="13" a="1"/>
  <c r="C584" i="13" s="1"/>
  <c r="C585" i="13" a="1"/>
  <c r="C585" i="13" s="1"/>
  <c r="E590" i="13"/>
  <c r="G590" i="13" s="1"/>
  <c r="E591" i="13"/>
  <c r="G591" i="13" s="1"/>
  <c r="E592" i="13"/>
  <c r="G592" i="13" s="1"/>
  <c r="E593" i="13"/>
  <c r="G593" i="13" s="1"/>
  <c r="E594" i="13"/>
  <c r="G594" i="13" s="1"/>
  <c r="E595" i="13"/>
  <c r="G595" i="13" s="1"/>
  <c r="E596" i="13"/>
  <c r="G596" i="13" s="1"/>
  <c r="E597" i="13"/>
  <c r="G597" i="13" s="1"/>
  <c r="C599" i="13"/>
  <c r="C600" i="13"/>
  <c r="E607" i="13"/>
  <c r="G607" i="13" s="1"/>
  <c r="E608" i="13"/>
  <c r="G608" i="13" s="1"/>
  <c r="C601" i="13"/>
  <c r="E601" i="13" s="1"/>
  <c r="G601" i="13" s="1"/>
  <c r="E603" i="13"/>
  <c r="G603" i="13" s="1"/>
  <c r="E604" i="13"/>
  <c r="G604" i="13" s="1"/>
  <c r="C590" i="13"/>
  <c r="C591" i="13"/>
  <c r="C592" i="13"/>
  <c r="C593" i="13"/>
  <c r="C594" i="13"/>
  <c r="C595" i="13"/>
  <c r="C596" i="13"/>
  <c r="C597" i="13"/>
  <c r="C603" i="13"/>
  <c r="C604" i="13"/>
  <c r="C606" i="13"/>
  <c r="C607" i="13" a="1"/>
  <c r="C607" i="13" s="1"/>
  <c r="C608" i="13" a="1"/>
  <c r="C608" i="13" s="1"/>
  <c r="E613" i="13"/>
  <c r="G613" i="13" s="1"/>
  <c r="E614" i="13"/>
  <c r="G614" i="13" s="1"/>
  <c r="E615" i="13"/>
  <c r="G615" i="13" s="1"/>
  <c r="E616" i="13"/>
  <c r="G616" i="13" s="1"/>
  <c r="E617" i="13"/>
  <c r="G617" i="13" s="1"/>
  <c r="E618" i="13"/>
  <c r="G618" i="13" s="1"/>
  <c r="E619" i="13"/>
  <c r="G619" i="13" s="1"/>
  <c r="E620" i="13"/>
  <c r="G620" i="13" s="1"/>
  <c r="C622" i="13"/>
  <c r="C623" i="13"/>
  <c r="E630" i="13"/>
  <c r="G630" i="13" s="1"/>
  <c r="E631" i="13"/>
  <c r="G631" i="13" s="1"/>
  <c r="C624" i="13"/>
  <c r="E624" i="13" s="1"/>
  <c r="G624" i="13" s="1"/>
  <c r="E626" i="13"/>
  <c r="G626" i="13" s="1"/>
  <c r="E627" i="13"/>
  <c r="G627" i="13" s="1"/>
  <c r="C613" i="13"/>
  <c r="C614" i="13"/>
  <c r="C615" i="13"/>
  <c r="C616" i="13"/>
  <c r="C617" i="13"/>
  <c r="C618" i="13"/>
  <c r="C619" i="13"/>
  <c r="C620" i="13"/>
  <c r="C626" i="13"/>
  <c r="C627" i="13"/>
  <c r="C629" i="13"/>
  <c r="C630" i="13" a="1"/>
  <c r="C630" i="13" s="1"/>
  <c r="C631" i="13" a="1"/>
  <c r="C631" i="13" s="1"/>
  <c r="E636" i="13"/>
  <c r="G636" i="13" s="1"/>
  <c r="E637" i="13"/>
  <c r="G637" i="13" s="1"/>
  <c r="E638" i="13"/>
  <c r="G638" i="13" s="1"/>
  <c r="E639" i="13"/>
  <c r="G639" i="13" s="1"/>
  <c r="E640" i="13"/>
  <c r="G640" i="13" s="1"/>
  <c r="E641" i="13"/>
  <c r="G641" i="13" s="1"/>
  <c r="E642" i="13"/>
  <c r="G642" i="13" s="1"/>
  <c r="E643" i="13"/>
  <c r="G643" i="13" s="1"/>
  <c r="E644" i="13"/>
  <c r="G644" i="13" s="1"/>
  <c r="C646" i="13"/>
  <c r="C647" i="13"/>
  <c r="E654" i="13"/>
  <c r="G654" i="13" s="1"/>
  <c r="E655" i="13"/>
  <c r="G655" i="13" s="1"/>
  <c r="C648" i="13"/>
  <c r="E648" i="13" s="1"/>
  <c r="G648" i="13" s="1"/>
  <c r="E650" i="13"/>
  <c r="G650" i="13" s="1"/>
  <c r="E651" i="13"/>
  <c r="G651" i="13" s="1"/>
  <c r="C636" i="13"/>
  <c r="C637" i="13"/>
  <c r="C638" i="13"/>
  <c r="C639" i="13"/>
  <c r="C640" i="13"/>
  <c r="C641" i="13"/>
  <c r="C642" i="13"/>
  <c r="C643" i="13"/>
  <c r="C644" i="13"/>
  <c r="C650" i="13"/>
  <c r="C651" i="13"/>
  <c r="C653" i="13"/>
  <c r="C654" i="13" a="1"/>
  <c r="C654" i="13" s="1"/>
  <c r="C655" i="13" a="1"/>
  <c r="C655" i="13" s="1"/>
  <c r="E660" i="13"/>
  <c r="G660" i="13" s="1"/>
  <c r="E661" i="13"/>
  <c r="G661" i="13" s="1"/>
  <c r="E662" i="13"/>
  <c r="G662" i="13" s="1"/>
  <c r="E663" i="13"/>
  <c r="G663" i="13" s="1"/>
  <c r="E664" i="13"/>
  <c r="G664" i="13" s="1"/>
  <c r="E665" i="13"/>
  <c r="G665" i="13" s="1"/>
  <c r="E666" i="13"/>
  <c r="G666" i="13" s="1"/>
  <c r="E667" i="13"/>
  <c r="G667" i="13" s="1"/>
  <c r="C669" i="13"/>
  <c r="C670" i="13"/>
  <c r="E677" i="13"/>
  <c r="G677" i="13" s="1"/>
  <c r="E678" i="13"/>
  <c r="G678" i="13" s="1"/>
  <c r="C671" i="13"/>
  <c r="E671" i="13" s="1"/>
  <c r="G671" i="13" s="1"/>
  <c r="E673" i="13"/>
  <c r="G673" i="13" s="1"/>
  <c r="E674" i="13"/>
  <c r="G674" i="13" s="1"/>
  <c r="C660" i="13"/>
  <c r="C661" i="13"/>
  <c r="C662" i="13"/>
  <c r="C663" i="13"/>
  <c r="C664" i="13"/>
  <c r="C665" i="13"/>
  <c r="C666" i="13"/>
  <c r="C667" i="13"/>
  <c r="C673" i="13"/>
  <c r="C674" i="13"/>
  <c r="C676" i="13"/>
  <c r="C677" i="13" a="1"/>
  <c r="C677" i="13" s="1"/>
  <c r="C678" i="13" a="1"/>
  <c r="C678" i="13" s="1"/>
  <c r="E683" i="13"/>
  <c r="G683" i="13" s="1"/>
  <c r="E685" i="13"/>
  <c r="G685" i="13" s="1"/>
  <c r="E686" i="13"/>
  <c r="G686" i="13" s="1"/>
  <c r="E687" i="13"/>
  <c r="G687" i="13" s="1"/>
  <c r="C689" i="13"/>
  <c r="C690" i="13"/>
  <c r="E697" i="13"/>
  <c r="G697" i="13" s="1"/>
  <c r="E698" i="13"/>
  <c r="G698" i="13" s="1"/>
  <c r="C691" i="13"/>
  <c r="E693" i="13"/>
  <c r="G693" i="13" s="1"/>
  <c r="E694" i="13"/>
  <c r="G694" i="13" s="1"/>
  <c r="C683" i="13"/>
  <c r="C684" i="13"/>
  <c r="C685" i="13"/>
  <c r="C686" i="13"/>
  <c r="C687" i="13"/>
  <c r="C693" i="13"/>
  <c r="C694" i="13"/>
  <c r="C696" i="13"/>
  <c r="C697" i="13" a="1"/>
  <c r="C697" i="13" s="1"/>
  <c r="C698" i="13" a="1"/>
  <c r="C698" i="13" s="1"/>
  <c r="E703" i="13"/>
  <c r="G703" i="13" s="1"/>
  <c r="E705" i="13"/>
  <c r="G705" i="13" s="1"/>
  <c r="E706" i="13"/>
  <c r="G706" i="13" s="1"/>
  <c r="E707" i="13"/>
  <c r="G707" i="13" s="1"/>
  <c r="C709" i="13"/>
  <c r="C710" i="13"/>
  <c r="E717" i="13"/>
  <c r="G717" i="13" s="1"/>
  <c r="E718" i="13"/>
  <c r="G718" i="13" s="1"/>
  <c r="C711" i="13"/>
  <c r="E713" i="13"/>
  <c r="G713" i="13" s="1"/>
  <c r="E714" i="13"/>
  <c r="G714" i="13" s="1"/>
  <c r="C703" i="13"/>
  <c r="C704" i="13"/>
  <c r="C705" i="13"/>
  <c r="C706" i="13"/>
  <c r="C707" i="13"/>
  <c r="C713" i="13"/>
  <c r="C714" i="13"/>
  <c r="C716" i="13"/>
  <c r="C717" i="13" a="1"/>
  <c r="C717" i="13" s="1"/>
  <c r="C718" i="13" a="1"/>
  <c r="C718" i="13" s="1"/>
  <c r="E723" i="13"/>
  <c r="G723" i="13" s="1"/>
  <c r="E725" i="13"/>
  <c r="G725" i="13" s="1"/>
  <c r="E726" i="13"/>
  <c r="G726" i="13" s="1"/>
  <c r="E727" i="13"/>
  <c r="G727" i="13" s="1"/>
  <c r="C729" i="13"/>
  <c r="C730" i="13"/>
  <c r="E737" i="13"/>
  <c r="G737" i="13" s="1"/>
  <c r="E738" i="13"/>
  <c r="G738" i="13" s="1"/>
  <c r="C731" i="13"/>
  <c r="E733" i="13"/>
  <c r="G733" i="13" s="1"/>
  <c r="E734" i="13"/>
  <c r="G734" i="13" s="1"/>
  <c r="C723" i="13"/>
  <c r="C724" i="13"/>
  <c r="C725" i="13"/>
  <c r="C726" i="13"/>
  <c r="C727" i="13"/>
  <c r="C733" i="13"/>
  <c r="C734" i="13"/>
  <c r="C736" i="13"/>
  <c r="C737" i="13" a="1"/>
  <c r="C737" i="13" s="1"/>
  <c r="C738" i="13" a="1"/>
  <c r="C738" i="13" s="1"/>
  <c r="E743" i="13"/>
  <c r="G743" i="13" s="1"/>
  <c r="E745" i="13"/>
  <c r="G745" i="13" s="1"/>
  <c r="E746" i="13"/>
  <c r="G746" i="13" s="1"/>
  <c r="E747" i="13"/>
  <c r="G747" i="13" s="1"/>
  <c r="C749" i="13"/>
  <c r="C750" i="13"/>
  <c r="E757" i="13"/>
  <c r="G757" i="13" s="1"/>
  <c r="E758" i="13"/>
  <c r="G758" i="13" s="1"/>
  <c r="C751" i="13"/>
  <c r="E753" i="13"/>
  <c r="G753" i="13" s="1"/>
  <c r="E754" i="13"/>
  <c r="G754" i="13" s="1"/>
  <c r="C743" i="13"/>
  <c r="C744" i="13"/>
  <c r="C745" i="13"/>
  <c r="C746" i="13"/>
  <c r="C747" i="13"/>
  <c r="C753" i="13"/>
  <c r="C754" i="13"/>
  <c r="C756" i="13"/>
  <c r="C757" i="13" a="1"/>
  <c r="C757" i="13" s="1"/>
  <c r="C758" i="13" a="1"/>
  <c r="C758" i="13" s="1"/>
  <c r="E763" i="13"/>
  <c r="G763" i="13" s="1"/>
  <c r="E765" i="13"/>
  <c r="G765" i="13" s="1"/>
  <c r="E766" i="13"/>
  <c r="G766" i="13" s="1"/>
  <c r="E767" i="13"/>
  <c r="G767" i="13" s="1"/>
  <c r="C769" i="13"/>
  <c r="C770" i="13"/>
  <c r="E777" i="13"/>
  <c r="G777" i="13" s="1"/>
  <c r="E778" i="13"/>
  <c r="G778" i="13" s="1"/>
  <c r="C771" i="13"/>
  <c r="E773" i="13"/>
  <c r="G773" i="13" s="1"/>
  <c r="E774" i="13"/>
  <c r="G774" i="13" s="1"/>
  <c r="C763" i="13"/>
  <c r="C764" i="13"/>
  <c r="C765" i="13"/>
  <c r="C766" i="13"/>
  <c r="C767" i="13"/>
  <c r="C773" i="13"/>
  <c r="C774" i="13"/>
  <c r="C776" i="13"/>
  <c r="C777" i="13" a="1"/>
  <c r="C777" i="13" s="1"/>
  <c r="C778" i="13" a="1"/>
  <c r="C778" i="13" s="1"/>
  <c r="E783" i="13"/>
  <c r="G783" i="13" s="1"/>
  <c r="E785" i="13"/>
  <c r="G785" i="13" s="1"/>
  <c r="E786" i="13"/>
  <c r="G786" i="13" s="1"/>
  <c r="E787" i="13"/>
  <c r="G787" i="13" s="1"/>
  <c r="C789" i="13"/>
  <c r="C790" i="13"/>
  <c r="E797" i="13"/>
  <c r="G797" i="13" s="1"/>
  <c r="E798" i="13"/>
  <c r="G798" i="13" s="1"/>
  <c r="C791" i="13"/>
  <c r="E793" i="13"/>
  <c r="G793" i="13" s="1"/>
  <c r="E794" i="13"/>
  <c r="G794" i="13" s="1"/>
  <c r="C783" i="13"/>
  <c r="C784" i="13"/>
  <c r="C785" i="13"/>
  <c r="C786" i="13"/>
  <c r="C787" i="13"/>
  <c r="C793" i="13"/>
  <c r="C794" i="13"/>
  <c r="C796" i="13"/>
  <c r="C797" i="13" a="1"/>
  <c r="C797" i="13" s="1"/>
  <c r="C798" i="13" a="1"/>
  <c r="C798" i="13" s="1"/>
  <c r="E803" i="13"/>
  <c r="G803" i="13" s="1"/>
  <c r="E805" i="13"/>
  <c r="G805" i="13" s="1"/>
  <c r="E806" i="13"/>
  <c r="G806" i="13" s="1"/>
  <c r="E807" i="13"/>
  <c r="G807" i="13" s="1"/>
  <c r="C809" i="13"/>
  <c r="C810" i="13"/>
  <c r="E817" i="13"/>
  <c r="G817" i="13" s="1"/>
  <c r="E818" i="13"/>
  <c r="G818" i="13" s="1"/>
  <c r="C811" i="13"/>
  <c r="E813" i="13"/>
  <c r="G813" i="13" s="1"/>
  <c r="E814" i="13"/>
  <c r="G814" i="13" s="1"/>
  <c r="C803" i="13"/>
  <c r="C804" i="13"/>
  <c r="C805" i="13"/>
  <c r="C806" i="13"/>
  <c r="C807" i="13"/>
  <c r="C813" i="13"/>
  <c r="C814" i="13"/>
  <c r="C816" i="13"/>
  <c r="C817" i="13" a="1"/>
  <c r="C817" i="13" s="1"/>
  <c r="C818" i="13" a="1"/>
  <c r="C818" i="13" s="1"/>
  <c r="E823" i="13"/>
  <c r="G823" i="13" s="1"/>
  <c r="E824" i="13"/>
  <c r="G824" i="13" s="1"/>
  <c r="E825" i="13"/>
  <c r="G825" i="13" s="1"/>
  <c r="E826" i="13"/>
  <c r="G826" i="13" s="1"/>
  <c r="E827" i="13"/>
  <c r="G827" i="13" s="1"/>
  <c r="C829" i="13"/>
  <c r="E837" i="13"/>
  <c r="G837" i="13" s="1"/>
  <c r="E838" i="13"/>
  <c r="G838" i="13" s="1"/>
  <c r="C830" i="13"/>
  <c r="E830" i="13" s="1"/>
  <c r="G830" i="13" s="1"/>
  <c r="C831" i="13"/>
  <c r="E831" i="13" s="1"/>
  <c r="G831" i="13" s="1"/>
  <c r="E833" i="13"/>
  <c r="G833" i="13" s="1"/>
  <c r="E834" i="13"/>
  <c r="G834" i="13" s="1"/>
  <c r="C823" i="13"/>
  <c r="C824" i="13"/>
  <c r="C825" i="13"/>
  <c r="C826" i="13"/>
  <c r="C827" i="13"/>
  <c r="C833" i="13"/>
  <c r="C834" i="13"/>
  <c r="C836" i="13"/>
  <c r="C837" i="13" a="1"/>
  <c r="C837" i="13" s="1"/>
  <c r="C838" i="13" a="1"/>
  <c r="C838" i="13" s="1"/>
  <c r="E843" i="13"/>
  <c r="G843" i="13" s="1"/>
  <c r="E845" i="13"/>
  <c r="G845" i="13" s="1"/>
  <c r="E846" i="13"/>
  <c r="G846" i="13" s="1"/>
  <c r="E847" i="13"/>
  <c r="G847" i="13" s="1"/>
  <c r="C849" i="13"/>
  <c r="E857" i="13"/>
  <c r="G857" i="13" s="1"/>
  <c r="E858" i="13"/>
  <c r="G858" i="13" s="1"/>
  <c r="C850" i="13"/>
  <c r="C851" i="13"/>
  <c r="E851" i="13" s="1"/>
  <c r="G851" i="13" s="1"/>
  <c r="E853" i="13"/>
  <c r="G853" i="13" s="1"/>
  <c r="E854" i="13"/>
  <c r="G854" i="13" s="1"/>
  <c r="C843" i="13"/>
  <c r="C844" i="13"/>
  <c r="C845" i="13"/>
  <c r="C846" i="13"/>
  <c r="C847" i="13"/>
  <c r="C853" i="13"/>
  <c r="C854" i="13"/>
  <c r="C856" i="13"/>
  <c r="C857" i="13" a="1"/>
  <c r="C857" i="13" s="1"/>
  <c r="C858" i="13" a="1"/>
  <c r="C858" i="13" s="1"/>
  <c r="E864" i="13"/>
  <c r="G864" i="13" s="1"/>
  <c r="E865" i="13"/>
  <c r="G865" i="13" s="1"/>
  <c r="E866" i="13"/>
  <c r="G866" i="13" s="1"/>
  <c r="E867" i="13"/>
  <c r="G867" i="13" s="1"/>
  <c r="C869" i="13"/>
  <c r="C870" i="13"/>
  <c r="E877" i="13"/>
  <c r="G877" i="13" s="1"/>
  <c r="E878" i="13"/>
  <c r="G878" i="13" s="1"/>
  <c r="C871" i="13"/>
  <c r="E873" i="13"/>
  <c r="G873" i="13" s="1"/>
  <c r="E874" i="13"/>
  <c r="G874" i="13" s="1"/>
  <c r="C863" i="13"/>
  <c r="C864" i="13"/>
  <c r="C865" i="13"/>
  <c r="C866" i="13"/>
  <c r="C867" i="13"/>
  <c r="C873" i="13"/>
  <c r="C874" i="13"/>
  <c r="C876" i="13"/>
  <c r="C877" i="13" a="1"/>
  <c r="C877" i="13" s="1"/>
  <c r="C878" i="13" a="1"/>
  <c r="C878" i="13" s="1"/>
  <c r="E884" i="13"/>
  <c r="G884" i="13" s="1"/>
  <c r="E885" i="13"/>
  <c r="G885" i="13" s="1"/>
  <c r="E886" i="13"/>
  <c r="G886" i="13" s="1"/>
  <c r="E887" i="13"/>
  <c r="G887" i="13" s="1"/>
  <c r="C889" i="13"/>
  <c r="C890" i="13"/>
  <c r="E897" i="13"/>
  <c r="G897" i="13" s="1"/>
  <c r="E898" i="13"/>
  <c r="G898" i="13" s="1"/>
  <c r="C891" i="13"/>
  <c r="E893" i="13"/>
  <c r="G893" i="13" s="1"/>
  <c r="E894" i="13"/>
  <c r="G894" i="13" s="1"/>
  <c r="C883" i="13"/>
  <c r="C884" i="13"/>
  <c r="C885" i="13"/>
  <c r="C886" i="13"/>
  <c r="C887" i="13"/>
  <c r="C893" i="13"/>
  <c r="C894" i="13"/>
  <c r="C896" i="13"/>
  <c r="C897" i="13" a="1"/>
  <c r="C897" i="13" s="1"/>
  <c r="C898" i="13" a="1"/>
  <c r="C898" i="13" s="1"/>
  <c r="E904" i="13"/>
  <c r="G904" i="13" s="1"/>
  <c r="E905" i="13"/>
  <c r="G905" i="13" s="1"/>
  <c r="E906" i="13"/>
  <c r="G906" i="13" s="1"/>
  <c r="E907" i="13"/>
  <c r="G907" i="13" s="1"/>
  <c r="C909" i="13"/>
  <c r="C910" i="13"/>
  <c r="E917" i="13"/>
  <c r="G917" i="13" s="1"/>
  <c r="E918" i="13"/>
  <c r="G918" i="13" s="1"/>
  <c r="C911" i="13"/>
  <c r="E913" i="13"/>
  <c r="G913" i="13" s="1"/>
  <c r="E914" i="13"/>
  <c r="G914" i="13" s="1"/>
  <c r="C903" i="13"/>
  <c r="C904" i="13"/>
  <c r="C905" i="13"/>
  <c r="C906" i="13"/>
  <c r="C907" i="13"/>
  <c r="C913" i="13"/>
  <c r="C914" i="13"/>
  <c r="C916" i="13"/>
  <c r="C917" i="13" a="1"/>
  <c r="C917" i="13" s="1"/>
  <c r="C918" i="13" a="1"/>
  <c r="C918" i="13" s="1"/>
  <c r="E924" i="13"/>
  <c r="G924" i="13" s="1"/>
  <c r="E925" i="13"/>
  <c r="G925" i="13" s="1"/>
  <c r="E926" i="13"/>
  <c r="G926" i="13" s="1"/>
  <c r="E927" i="13"/>
  <c r="G927" i="13" s="1"/>
  <c r="C929" i="13"/>
  <c r="C930" i="13"/>
  <c r="E937" i="13"/>
  <c r="G937" i="13" s="1"/>
  <c r="E938" i="13"/>
  <c r="G938" i="13" s="1"/>
  <c r="C931" i="13"/>
  <c r="E933" i="13"/>
  <c r="G933" i="13" s="1"/>
  <c r="E934" i="13"/>
  <c r="G934" i="13" s="1"/>
  <c r="C923" i="13"/>
  <c r="C924" i="13"/>
  <c r="C925" i="13"/>
  <c r="C926" i="13"/>
  <c r="C927" i="13"/>
  <c r="C933" i="13"/>
  <c r="C934" i="13"/>
  <c r="C936" i="13"/>
  <c r="C937" i="13" a="1"/>
  <c r="C937" i="13" s="1"/>
  <c r="C938" i="13" a="1"/>
  <c r="C938" i="13" s="1"/>
  <c r="E944" i="13"/>
  <c r="G944" i="13" s="1"/>
  <c r="E945" i="13"/>
  <c r="G945" i="13" s="1"/>
  <c r="E946" i="13"/>
  <c r="G946" i="13" s="1"/>
  <c r="E947" i="13"/>
  <c r="G947" i="13" s="1"/>
  <c r="C949" i="13"/>
  <c r="C950" i="13"/>
  <c r="E957" i="13"/>
  <c r="G957" i="13" s="1"/>
  <c r="E958" i="13"/>
  <c r="G958" i="13" s="1"/>
  <c r="C951" i="13"/>
  <c r="E953" i="13"/>
  <c r="G953" i="13" s="1"/>
  <c r="E954" i="13"/>
  <c r="G954" i="13" s="1"/>
  <c r="C943" i="13"/>
  <c r="C944" i="13"/>
  <c r="C945" i="13"/>
  <c r="C946" i="13"/>
  <c r="C947" i="13"/>
  <c r="C953" i="13"/>
  <c r="C954" i="13"/>
  <c r="C956" i="13"/>
  <c r="C957" i="13" a="1"/>
  <c r="C957" i="13" s="1"/>
  <c r="C958" i="13" a="1"/>
  <c r="C958" i="13" s="1"/>
  <c r="E964" i="13"/>
  <c r="G964" i="13" s="1"/>
  <c r="E965" i="13"/>
  <c r="G965" i="13" s="1"/>
  <c r="E966" i="13"/>
  <c r="G966" i="13" s="1"/>
  <c r="E967" i="13"/>
  <c r="G967" i="13" s="1"/>
  <c r="C969" i="13"/>
  <c r="C970" i="13"/>
  <c r="E977" i="13"/>
  <c r="G977" i="13" s="1"/>
  <c r="E978" i="13"/>
  <c r="G978" i="13" s="1"/>
  <c r="C971" i="13"/>
  <c r="E973" i="13"/>
  <c r="G973" i="13" s="1"/>
  <c r="E974" i="13"/>
  <c r="G974" i="13" s="1"/>
  <c r="C963" i="13"/>
  <c r="C964" i="13"/>
  <c r="C965" i="13"/>
  <c r="C966" i="13"/>
  <c r="C967" i="13"/>
  <c r="C973" i="13"/>
  <c r="C974" i="13"/>
  <c r="C976" i="13"/>
  <c r="C977" i="13" a="1"/>
  <c r="C977" i="13" s="1"/>
  <c r="C978" i="13" a="1"/>
  <c r="C978" i="13" s="1"/>
  <c r="E983" i="13"/>
  <c r="G983" i="13" s="1"/>
  <c r="E985" i="13"/>
  <c r="G985" i="13" s="1"/>
  <c r="E986" i="13"/>
  <c r="G986" i="13" s="1"/>
  <c r="E987" i="13"/>
  <c r="G987" i="13" s="1"/>
  <c r="C989" i="13"/>
  <c r="C990" i="13"/>
  <c r="E997" i="13"/>
  <c r="G997" i="13" s="1"/>
  <c r="E998" i="13"/>
  <c r="G998" i="13" s="1"/>
  <c r="C991" i="13"/>
  <c r="E991" i="13" s="1"/>
  <c r="G991" i="13" s="1"/>
  <c r="E993" i="13"/>
  <c r="G993" i="13" s="1"/>
  <c r="E994" i="13"/>
  <c r="G994" i="13" s="1"/>
  <c r="C983" i="13"/>
  <c r="C984" i="13"/>
  <c r="C985" i="13"/>
  <c r="C986" i="13"/>
  <c r="C987" i="13"/>
  <c r="C993" i="13"/>
  <c r="C994" i="13"/>
  <c r="C996" i="13"/>
  <c r="C997" i="13" a="1"/>
  <c r="C997" i="13" s="1"/>
  <c r="C998" i="13" a="1"/>
  <c r="C998" i="13" s="1"/>
  <c r="E1003" i="13"/>
  <c r="G1003" i="13" s="1"/>
  <c r="E1005" i="13"/>
  <c r="G1005" i="13" s="1"/>
  <c r="E1006" i="13"/>
  <c r="G1006" i="13" s="1"/>
  <c r="E1007" i="13"/>
  <c r="G1007" i="13" s="1"/>
  <c r="C1009" i="13"/>
  <c r="C1010" i="13"/>
  <c r="E1017" i="13"/>
  <c r="G1017" i="13" s="1"/>
  <c r="E1018" i="13"/>
  <c r="G1018" i="13" s="1"/>
  <c r="C1011" i="13"/>
  <c r="E1011" i="13" s="1"/>
  <c r="G1011" i="13" s="1"/>
  <c r="E1013" i="13"/>
  <c r="G1013" i="13" s="1"/>
  <c r="E1014" i="13"/>
  <c r="G1014" i="13" s="1"/>
  <c r="C1003" i="13"/>
  <c r="C1004" i="13"/>
  <c r="C1005" i="13"/>
  <c r="C1006" i="13"/>
  <c r="C1007" i="13"/>
  <c r="C1013" i="13"/>
  <c r="C1014" i="13"/>
  <c r="C1016" i="13"/>
  <c r="C1017" i="13" a="1"/>
  <c r="C1017" i="13" s="1"/>
  <c r="C1018" i="13" a="1"/>
  <c r="C1018" i="13" s="1"/>
  <c r="C305" i="13"/>
  <c r="C27" i="15"/>
  <c r="E27" i="15"/>
  <c r="G27" i="15" s="1"/>
  <c r="C28" i="15"/>
  <c r="E28" i="15"/>
  <c r="G28" i="15" s="1"/>
  <c r="E29" i="15"/>
  <c r="G29" i="15" s="1"/>
  <c r="C38" i="15"/>
  <c r="C39" i="15"/>
  <c r="E46" i="15"/>
  <c r="G46" i="15" s="1"/>
  <c r="E47" i="15"/>
  <c r="G47" i="15" s="1"/>
  <c r="C40" i="15"/>
  <c r="E40" i="15" s="1"/>
  <c r="G40" i="15" s="1"/>
  <c r="E42" i="15"/>
  <c r="G42" i="15" s="1"/>
  <c r="E43" i="15"/>
  <c r="G43" i="15" s="1"/>
  <c r="C29" i="15"/>
  <c r="C42" i="15"/>
  <c r="C43" i="15"/>
  <c r="C45" i="15"/>
  <c r="C46" i="15" a="1"/>
  <c r="C46" i="15" s="1"/>
  <c r="C47" i="15" a="1"/>
  <c r="C47" i="15" s="1"/>
  <c r="E392" i="15"/>
  <c r="E393" i="15"/>
  <c r="G393" i="15" s="1"/>
  <c r="C398" i="15"/>
  <c r="E406" i="15"/>
  <c r="G406" i="15" s="1"/>
  <c r="E407" i="15"/>
  <c r="G407" i="15" s="1"/>
  <c r="C399" i="15"/>
  <c r="E399" i="15" s="1"/>
  <c r="G399" i="15" s="1"/>
  <c r="C400" i="15"/>
  <c r="E400" i="15" s="1"/>
  <c r="G400" i="15" s="1"/>
  <c r="E402" i="15"/>
  <c r="G402" i="15" s="1"/>
  <c r="E403" i="15"/>
  <c r="G403" i="15" s="1"/>
  <c r="C392" i="15"/>
  <c r="C393" i="15"/>
  <c r="C402" i="15"/>
  <c r="C403" i="15"/>
  <c r="C405" i="15"/>
  <c r="C406" i="15" a="1"/>
  <c r="C406" i="15" s="1"/>
  <c r="C407" i="15" a="1"/>
  <c r="C407" i="15" s="1"/>
  <c r="E272" i="15"/>
  <c r="G272" i="15" s="1"/>
  <c r="E273" i="15"/>
  <c r="G273" i="15" s="1"/>
  <c r="E274" i="15"/>
  <c r="G274" i="15" s="1"/>
  <c r="E275" i="15"/>
  <c r="G275" i="15" s="1"/>
  <c r="E276" i="15"/>
  <c r="G276" i="15" s="1"/>
  <c r="C278" i="15"/>
  <c r="E286" i="15"/>
  <c r="G286" i="15" s="1"/>
  <c r="E287" i="15"/>
  <c r="G287" i="15" s="1"/>
  <c r="C279" i="15"/>
  <c r="E279" i="15" s="1"/>
  <c r="G279" i="15" s="1"/>
  <c r="C280" i="15"/>
  <c r="E280" i="15" s="1"/>
  <c r="G280" i="15" s="1"/>
  <c r="E282" i="15"/>
  <c r="G282" i="15" s="1"/>
  <c r="E283" i="15"/>
  <c r="G283" i="15" s="1"/>
  <c r="C272" i="15"/>
  <c r="C273" i="15"/>
  <c r="C274" i="15"/>
  <c r="C275" i="15"/>
  <c r="C276" i="15"/>
  <c r="C282" i="15"/>
  <c r="C283" i="15"/>
  <c r="C285" i="15"/>
  <c r="C286" i="15" a="1"/>
  <c r="C286" i="15" s="1"/>
  <c r="C287" i="15" a="1"/>
  <c r="C287" i="15" s="1"/>
  <c r="E292" i="15"/>
  <c r="G292" i="15" s="1"/>
  <c r="E293" i="15"/>
  <c r="G293" i="15" s="1"/>
  <c r="E294" i="15"/>
  <c r="G294" i="15" s="1"/>
  <c r="E295" i="15"/>
  <c r="G295" i="15" s="1"/>
  <c r="E296" i="15"/>
  <c r="G296" i="15" s="1"/>
  <c r="C298" i="15"/>
  <c r="E306" i="15"/>
  <c r="G306" i="15" s="1"/>
  <c r="E307" i="15"/>
  <c r="G307" i="15" s="1"/>
  <c r="C299" i="15"/>
  <c r="C300" i="15"/>
  <c r="E300" i="15" s="1"/>
  <c r="G300" i="15" s="1"/>
  <c r="E302" i="15"/>
  <c r="G302" i="15" s="1"/>
  <c r="E303" i="15"/>
  <c r="G303" i="15" s="1"/>
  <c r="C292" i="15"/>
  <c r="C293" i="15"/>
  <c r="C294" i="15"/>
  <c r="C295" i="15"/>
  <c r="C296" i="15"/>
  <c r="C302" i="15"/>
  <c r="C303" i="15"/>
  <c r="C305" i="15"/>
  <c r="C306" i="15" a="1"/>
  <c r="C306" i="15" s="1"/>
  <c r="C307" i="15" a="1"/>
  <c r="C307" i="15" s="1"/>
  <c r="E352" i="15"/>
  <c r="G352" i="15" s="1"/>
  <c r="E353" i="15"/>
  <c r="G353" i="15" s="1"/>
  <c r="E354" i="15"/>
  <c r="G354" i="15" s="1"/>
  <c r="E355" i="15"/>
  <c r="G355" i="15" s="1"/>
  <c r="C358" i="15"/>
  <c r="C359" i="15"/>
  <c r="E366" i="15"/>
  <c r="G366" i="15" s="1"/>
  <c r="E367" i="15"/>
  <c r="G367" i="15" s="1"/>
  <c r="C360" i="15"/>
  <c r="E360" i="15" s="1"/>
  <c r="G360" i="15" s="1"/>
  <c r="E362" i="15"/>
  <c r="G362" i="15" s="1"/>
  <c r="E363" i="15"/>
  <c r="G363" i="15" s="1"/>
  <c r="C352" i="15"/>
  <c r="C353" i="15"/>
  <c r="C354" i="15"/>
  <c r="C355" i="15"/>
  <c r="C362" i="15"/>
  <c r="C363" i="15"/>
  <c r="C365" i="15"/>
  <c r="C366" i="15" a="1"/>
  <c r="C366" i="15" s="1"/>
  <c r="C367" i="15" a="1"/>
  <c r="C367" i="15" s="1"/>
  <c r="E372" i="15"/>
  <c r="G372" i="15" s="1"/>
  <c r="E373" i="15"/>
  <c r="G373" i="15" s="1"/>
  <c r="E374" i="15"/>
  <c r="G374" i="15" s="1"/>
  <c r="E375" i="15"/>
  <c r="G375" i="15" s="1"/>
  <c r="E376" i="15"/>
  <c r="G376" i="15" s="1"/>
  <c r="E386" i="15"/>
  <c r="G386" i="15" s="1"/>
  <c r="E387" i="15"/>
  <c r="G387" i="15" s="1"/>
  <c r="C380" i="15"/>
  <c r="E380" i="15" s="1"/>
  <c r="G380" i="15" s="1"/>
  <c r="E382" i="15"/>
  <c r="G382" i="15" s="1"/>
  <c r="E383" i="15"/>
  <c r="G383" i="15" s="1"/>
  <c r="C372" i="15"/>
  <c r="C373" i="15"/>
  <c r="C374" i="15"/>
  <c r="C375" i="15"/>
  <c r="C376" i="15"/>
  <c r="C382" i="15"/>
  <c r="C383" i="15"/>
  <c r="C385" i="15"/>
  <c r="C386" i="15" a="1"/>
  <c r="C386" i="15" s="1"/>
  <c r="C387" i="15" a="1"/>
  <c r="C387" i="15" s="1"/>
  <c r="E413" i="15"/>
  <c r="G413" i="15" s="1"/>
  <c r="E414" i="15"/>
  <c r="G414" i="15" s="1"/>
  <c r="E415" i="15"/>
  <c r="G415" i="15" s="1"/>
  <c r="E416" i="15"/>
  <c r="G416" i="15" s="1"/>
  <c r="C418" i="15"/>
  <c r="C419" i="15"/>
  <c r="C420" i="15"/>
  <c r="E420" i="15" s="1"/>
  <c r="G420" i="15" s="1"/>
  <c r="E422" i="15"/>
  <c r="G422" i="15" s="1"/>
  <c r="E423" i="15"/>
  <c r="G423" i="15" s="1"/>
  <c r="E426" i="15"/>
  <c r="G426" i="15" s="1"/>
  <c r="E427" i="15"/>
  <c r="G427" i="15" s="1"/>
  <c r="C412" i="15"/>
  <c r="C413" i="15"/>
  <c r="C414" i="15"/>
  <c r="C415" i="15"/>
  <c r="C416" i="15"/>
  <c r="C422" i="15"/>
  <c r="C423" i="15"/>
  <c r="C425" i="15"/>
  <c r="C426" i="15" a="1"/>
  <c r="C426" i="15" s="1"/>
  <c r="C427" i="15" a="1"/>
  <c r="C427" i="15" s="1"/>
  <c r="E453" i="15"/>
  <c r="G453" i="15" s="1"/>
  <c r="E454" i="15"/>
  <c r="G454" i="15" s="1"/>
  <c r="E455" i="15"/>
  <c r="G455" i="15" s="1"/>
  <c r="E456" i="15"/>
  <c r="G456" i="15" s="1"/>
  <c r="C458" i="15"/>
  <c r="E466" i="15"/>
  <c r="G466" i="15" s="1"/>
  <c r="E467" i="15"/>
  <c r="G467" i="15" s="1"/>
  <c r="C459" i="15"/>
  <c r="C460" i="15"/>
  <c r="E460" i="15" s="1"/>
  <c r="G460" i="15" s="1"/>
  <c r="E462" i="15"/>
  <c r="G462" i="15" s="1"/>
  <c r="E463" i="15"/>
  <c r="G463" i="15" s="1"/>
  <c r="C452" i="15"/>
  <c r="C453" i="15"/>
  <c r="C454" i="15"/>
  <c r="C455" i="15"/>
  <c r="C456" i="15"/>
  <c r="C462" i="15"/>
  <c r="C463" i="15"/>
  <c r="C465" i="15"/>
  <c r="C466" i="15" a="1"/>
  <c r="C466" i="15" s="1"/>
  <c r="C467" i="15" a="1"/>
  <c r="C467" i="15" s="1"/>
  <c r="E552" i="15"/>
  <c r="G552" i="15" s="1"/>
  <c r="E553" i="15"/>
  <c r="G553" i="15" s="1"/>
  <c r="E554" i="15"/>
  <c r="G554" i="15" s="1"/>
  <c r="E555" i="15"/>
  <c r="G555" i="15" s="1"/>
  <c r="E556" i="15"/>
  <c r="G556" i="15" s="1"/>
  <c r="C552" i="15"/>
  <c r="C553" i="15"/>
  <c r="C554" i="15"/>
  <c r="C555" i="15"/>
  <c r="C556" i="15"/>
  <c r="E513" i="15"/>
  <c r="G513" i="15" s="1"/>
  <c r="E514" i="15"/>
  <c r="G514" i="15" s="1"/>
  <c r="E515" i="15"/>
  <c r="G515" i="15" s="1"/>
  <c r="E516" i="15"/>
  <c r="G516" i="15" s="1"/>
  <c r="C512" i="15"/>
  <c r="C513" i="15"/>
  <c r="C514" i="15"/>
  <c r="C515" i="15"/>
  <c r="C516" i="15"/>
  <c r="E574" i="15"/>
  <c r="G574" i="15" s="1"/>
  <c r="E575" i="15"/>
  <c r="G575" i="15" s="1"/>
  <c r="E576" i="15"/>
  <c r="G576" i="15" s="1"/>
  <c r="C578" i="15"/>
  <c r="E586" i="15"/>
  <c r="G586" i="15" s="1"/>
  <c r="E587" i="15"/>
  <c r="G587" i="15" s="1"/>
  <c r="C579" i="15"/>
  <c r="E579" i="15" s="1"/>
  <c r="G579" i="15" s="1"/>
  <c r="C580" i="15"/>
  <c r="E580" i="15" s="1"/>
  <c r="G580" i="15" s="1"/>
  <c r="E582" i="15"/>
  <c r="G582" i="15" s="1"/>
  <c r="E583" i="15"/>
  <c r="G583" i="15" s="1"/>
  <c r="C572" i="15"/>
  <c r="C573" i="15"/>
  <c r="C574" i="15"/>
  <c r="C575" i="15"/>
  <c r="C576" i="15"/>
  <c r="C582" i="15"/>
  <c r="C583" i="15"/>
  <c r="C585" i="15"/>
  <c r="C586" i="15" a="1"/>
  <c r="C586" i="15" s="1"/>
  <c r="C587" i="15" a="1"/>
  <c r="C587" i="15" s="1"/>
  <c r="E1275" i="15"/>
  <c r="G1275" i="15" s="1"/>
  <c r="C1279" i="15"/>
  <c r="E1288" i="15"/>
  <c r="G1288" i="15" s="1"/>
  <c r="C1280" i="15"/>
  <c r="C1281" i="15"/>
  <c r="E1281" i="15" s="1"/>
  <c r="G1281" i="15" s="1"/>
  <c r="E1283" i="15"/>
  <c r="G1283" i="15" s="1"/>
  <c r="E1284" i="15"/>
  <c r="G1284" i="15" s="1"/>
  <c r="C1272" i="15"/>
  <c r="C1273" i="15"/>
  <c r="C1274" i="15"/>
  <c r="C1275" i="15"/>
  <c r="C1283" i="15"/>
  <c r="C1284" i="15"/>
  <c r="C1286" i="15"/>
  <c r="C1287" i="15" a="1"/>
  <c r="C1287" i="15" s="1"/>
  <c r="C1288" i="15" a="1"/>
  <c r="C1288" i="15" s="1"/>
  <c r="E592" i="15"/>
  <c r="G592" i="15" s="1"/>
  <c r="E593" i="15"/>
  <c r="G593" i="15" s="1"/>
  <c r="E594" i="15"/>
  <c r="G594" i="15" s="1"/>
  <c r="E595" i="15"/>
  <c r="G595" i="15" s="1"/>
  <c r="E596" i="15"/>
  <c r="G596" i="15" s="1"/>
  <c r="C598" i="15"/>
  <c r="C599" i="15"/>
  <c r="E599" i="15" s="1"/>
  <c r="G599" i="15" s="1"/>
  <c r="C600" i="15"/>
  <c r="E600" i="15" s="1"/>
  <c r="G600" i="15" s="1"/>
  <c r="E602" i="15"/>
  <c r="G602" i="15" s="1"/>
  <c r="E603" i="15"/>
  <c r="G603" i="15" s="1"/>
  <c r="E606" i="15"/>
  <c r="G606" i="15" s="1"/>
  <c r="E607" i="15"/>
  <c r="G607" i="15" s="1"/>
  <c r="C592" i="15"/>
  <c r="C593" i="15"/>
  <c r="C594" i="15"/>
  <c r="C595" i="15"/>
  <c r="C596" i="15"/>
  <c r="C602" i="15"/>
  <c r="C603" i="15"/>
  <c r="C605" i="15"/>
  <c r="C606" i="15" a="1"/>
  <c r="C606" i="15" s="1"/>
  <c r="C607" i="15" a="1"/>
  <c r="C607" i="15" s="1"/>
  <c r="E833" i="15"/>
  <c r="G833" i="15" s="1"/>
  <c r="E834" i="15"/>
  <c r="G834" i="15" s="1"/>
  <c r="E835" i="15"/>
  <c r="G835" i="15" s="1"/>
  <c r="E836" i="15"/>
  <c r="G836" i="15" s="1"/>
  <c r="C838" i="15"/>
  <c r="E846" i="15"/>
  <c r="G846" i="15" s="1"/>
  <c r="E847" i="15"/>
  <c r="G847" i="15" s="1"/>
  <c r="C839" i="15"/>
  <c r="C840" i="15"/>
  <c r="E840" i="15" s="1"/>
  <c r="G840" i="15" s="1"/>
  <c r="E842" i="15"/>
  <c r="G842" i="15" s="1"/>
  <c r="E843" i="15"/>
  <c r="G843" i="15" s="1"/>
  <c r="C832" i="15"/>
  <c r="C833" i="15"/>
  <c r="C834" i="15"/>
  <c r="C835" i="15"/>
  <c r="C836" i="15"/>
  <c r="C842" i="15"/>
  <c r="C843" i="15"/>
  <c r="C845" i="15"/>
  <c r="C846" i="15" a="1"/>
  <c r="C846" i="15" s="1"/>
  <c r="C847" i="15" a="1"/>
  <c r="C847" i="15" s="1"/>
  <c r="C1012" i="15"/>
  <c r="C892" i="15"/>
  <c r="E1053" i="15"/>
  <c r="G1053" i="15" s="1"/>
  <c r="E1054" i="15"/>
  <c r="G1054" i="15" s="1"/>
  <c r="E1055" i="15"/>
  <c r="G1055" i="15" s="1"/>
  <c r="E1056" i="15"/>
  <c r="G1056" i="15" s="1"/>
  <c r="C1058" i="15"/>
  <c r="C1059" i="15"/>
  <c r="E1059" i="15" s="1"/>
  <c r="G1059" i="15" s="1"/>
  <c r="C1060" i="15"/>
  <c r="E1060" i="15" s="1"/>
  <c r="G1060" i="15" s="1"/>
  <c r="E1062" i="15"/>
  <c r="G1062" i="15" s="1"/>
  <c r="E1063" i="15"/>
  <c r="G1063" i="15" s="1"/>
  <c r="E1066" i="15"/>
  <c r="G1066" i="15" s="1"/>
  <c r="E1067" i="15"/>
  <c r="G1067" i="15" s="1"/>
  <c r="C1052" i="15"/>
  <c r="C1053" i="15"/>
  <c r="C1054" i="15"/>
  <c r="C1055" i="15"/>
  <c r="C1056" i="15"/>
  <c r="C1062" i="15"/>
  <c r="C1063" i="15"/>
  <c r="C1065" i="15"/>
  <c r="C1066" i="15" a="1"/>
  <c r="C1066" i="15" s="1"/>
  <c r="C1067" i="15" a="1"/>
  <c r="C1067" i="15" s="1"/>
  <c r="E1133" i="15"/>
  <c r="G1133" i="15" s="1"/>
  <c r="E1134" i="15"/>
  <c r="G1134" i="15" s="1"/>
  <c r="E1135" i="15"/>
  <c r="G1135" i="15" s="1"/>
  <c r="E1136" i="15"/>
  <c r="G1136" i="15" s="1"/>
  <c r="C1138" i="15"/>
  <c r="C1139" i="15"/>
  <c r="C1140" i="15"/>
  <c r="E1140" i="15" s="1"/>
  <c r="G1140" i="15" s="1"/>
  <c r="E1142" i="15"/>
  <c r="G1142" i="15" s="1"/>
  <c r="E1143" i="15"/>
  <c r="G1143" i="15" s="1"/>
  <c r="E1146" i="15"/>
  <c r="G1146" i="15" s="1"/>
  <c r="E1147" i="15"/>
  <c r="G1147" i="15" s="1"/>
  <c r="C1132" i="15"/>
  <c r="C1133" i="15"/>
  <c r="C1134" i="15"/>
  <c r="C1135" i="15"/>
  <c r="C1136" i="15"/>
  <c r="C1142" i="15"/>
  <c r="C1143" i="15"/>
  <c r="C1145" i="15"/>
  <c r="C1146" i="15" a="1"/>
  <c r="C1146" i="15" s="1"/>
  <c r="C1147" i="15" a="1"/>
  <c r="C1147" i="15" s="1"/>
  <c r="E1315" i="15"/>
  <c r="G1315" i="15" s="1"/>
  <c r="E1316" i="15"/>
  <c r="G1316" i="15" s="1"/>
  <c r="E1317" i="15"/>
  <c r="G1317" i="15" s="1"/>
  <c r="E1318" i="15"/>
  <c r="G1318" i="15" s="1"/>
  <c r="C1320" i="15"/>
  <c r="C1321" i="15"/>
  <c r="E1321" i="15" s="1"/>
  <c r="G1321" i="15" s="1"/>
  <c r="C1322" i="15"/>
  <c r="E1322" i="15" s="1"/>
  <c r="G1322" i="15" s="1"/>
  <c r="E1324" i="15"/>
  <c r="G1324" i="15" s="1"/>
  <c r="E1325" i="15"/>
  <c r="G1325" i="15" s="1"/>
  <c r="E1328" i="15"/>
  <c r="G1328" i="15" s="1"/>
  <c r="E1329" i="15"/>
  <c r="G1329" i="15" s="1"/>
  <c r="C1314" i="15"/>
  <c r="C1315" i="15"/>
  <c r="C1316" i="15"/>
  <c r="C1317" i="15"/>
  <c r="C1318" i="15"/>
  <c r="C1324" i="15"/>
  <c r="C1325" i="15"/>
  <c r="C1327" i="15"/>
  <c r="C1328" i="15" a="1"/>
  <c r="C1328" i="15" s="1"/>
  <c r="C1329" i="15" a="1"/>
  <c r="C1329" i="15" s="1"/>
  <c r="G1938" i="15"/>
  <c r="G1939" i="15"/>
  <c r="G1940" i="15"/>
  <c r="G1941" i="15"/>
  <c r="G1944" i="15"/>
  <c r="C1946" i="15"/>
  <c r="C1947" i="15"/>
  <c r="E1947" i="15" s="1"/>
  <c r="G1947" i="15" s="1"/>
  <c r="C1948" i="15"/>
  <c r="E1948" i="15" s="1"/>
  <c r="G1948" i="15" s="1"/>
  <c r="E1950" i="15"/>
  <c r="G1950" i="15" s="1"/>
  <c r="E1951" i="15"/>
  <c r="G1951" i="15" s="1"/>
  <c r="E1954" i="15"/>
  <c r="G1954" i="15" s="1"/>
  <c r="E1955" i="15"/>
  <c r="G1955" i="15" s="1"/>
  <c r="C1950" i="15"/>
  <c r="C1951" i="15"/>
  <c r="C1953" i="15"/>
  <c r="C1954" i="15" a="1"/>
  <c r="C1954" i="15" s="1"/>
  <c r="C1955" i="15" a="1"/>
  <c r="C1955" i="15" s="1"/>
  <c r="E1594" i="15"/>
  <c r="G1594" i="15" s="1"/>
  <c r="E1595" i="15"/>
  <c r="G1595" i="15" s="1"/>
  <c r="E1596" i="15"/>
  <c r="G1596" i="15" s="1"/>
  <c r="E1597" i="15"/>
  <c r="G1597" i="15" s="1"/>
  <c r="E1598" i="15"/>
  <c r="G1598" i="15" s="1"/>
  <c r="C1600" i="15"/>
  <c r="C1601" i="15"/>
  <c r="E1601" i="15" s="1"/>
  <c r="G1601" i="15" s="1"/>
  <c r="C1602" i="15"/>
  <c r="E1602" i="15" s="1"/>
  <c r="G1602" i="15" s="1"/>
  <c r="E1604" i="15"/>
  <c r="G1604" i="15" s="1"/>
  <c r="E1605" i="15"/>
  <c r="G1605" i="15" s="1"/>
  <c r="E1608" i="15"/>
  <c r="G1608" i="15" s="1"/>
  <c r="E1609" i="15"/>
  <c r="G1609" i="15" s="1"/>
  <c r="C1594" i="15"/>
  <c r="C1595" i="15"/>
  <c r="C1596" i="15"/>
  <c r="C1597" i="15"/>
  <c r="C1598" i="15"/>
  <c r="C1604" i="15"/>
  <c r="C1605" i="15"/>
  <c r="C1607" i="15"/>
  <c r="C1608" i="15" a="1"/>
  <c r="C1608" i="15" s="1"/>
  <c r="C1609" i="15" a="1"/>
  <c r="C1609" i="15" s="1"/>
  <c r="E1674" i="15"/>
  <c r="G1674" i="15" s="1"/>
  <c r="E1675" i="15"/>
  <c r="G1675" i="15" s="1"/>
  <c r="E1676" i="15"/>
  <c r="G1676" i="15" s="1"/>
  <c r="E1677" i="15"/>
  <c r="G1677" i="15" s="1"/>
  <c r="E1678" i="15"/>
  <c r="G1678" i="15" s="1"/>
  <c r="C1680" i="15"/>
  <c r="C1681" i="15"/>
  <c r="E1681" i="15" s="1"/>
  <c r="G1681" i="15" s="1"/>
  <c r="C1682" i="15"/>
  <c r="E1682" i="15" s="1"/>
  <c r="G1682" i="15" s="1"/>
  <c r="E1684" i="15"/>
  <c r="G1684" i="15" s="1"/>
  <c r="E1685" i="15"/>
  <c r="G1685" i="15" s="1"/>
  <c r="E1688" i="15"/>
  <c r="G1688" i="15" s="1"/>
  <c r="E1689" i="15"/>
  <c r="G1689" i="15" s="1"/>
  <c r="C1674" i="15"/>
  <c r="C1675" i="15"/>
  <c r="C1676" i="15"/>
  <c r="C1677" i="15"/>
  <c r="C1678" i="15"/>
  <c r="C1684" i="15"/>
  <c r="C1685" i="15"/>
  <c r="C1687" i="15"/>
  <c r="C1688" i="15" a="1"/>
  <c r="C1688" i="15" s="1"/>
  <c r="C1689" i="15" a="1"/>
  <c r="C1689" i="15" s="1"/>
  <c r="E1796" i="15"/>
  <c r="G1796" i="15" s="1"/>
  <c r="E1797" i="15"/>
  <c r="G1797" i="15" s="1"/>
  <c r="E1798" i="15"/>
  <c r="G1798" i="15" s="1"/>
  <c r="C1800" i="15"/>
  <c r="C1801" i="15"/>
  <c r="E1801" i="15" s="1"/>
  <c r="G1801" i="15" s="1"/>
  <c r="C1802" i="15"/>
  <c r="E1802" i="15" s="1"/>
  <c r="G1802" i="15" s="1"/>
  <c r="E1804" i="15"/>
  <c r="G1804" i="15" s="1"/>
  <c r="E1805" i="15"/>
  <c r="G1805" i="15" s="1"/>
  <c r="E1808" i="15"/>
  <c r="G1808" i="15" s="1"/>
  <c r="E1809" i="15"/>
  <c r="G1809" i="15" s="1"/>
  <c r="C1794" i="15"/>
  <c r="C1795" i="15"/>
  <c r="C1796" i="15"/>
  <c r="C1797" i="15"/>
  <c r="C1798" i="15"/>
  <c r="C1804" i="15"/>
  <c r="C1805" i="15"/>
  <c r="C1807" i="15"/>
  <c r="C1808" i="15" a="1"/>
  <c r="C1808" i="15" s="1"/>
  <c r="C1809" i="15" a="1"/>
  <c r="C1809" i="15" s="1"/>
  <c r="E1894" i="15"/>
  <c r="G1894" i="15" s="1"/>
  <c r="E1895" i="15"/>
  <c r="G1895" i="15" s="1"/>
  <c r="E1896" i="15"/>
  <c r="G1896" i="15" s="1"/>
  <c r="E1897" i="15"/>
  <c r="G1897" i="15" s="1"/>
  <c r="E1900" i="15"/>
  <c r="G1900" i="15" s="1"/>
  <c r="C1902" i="15"/>
  <c r="C1903" i="15"/>
  <c r="E1903" i="15" s="1"/>
  <c r="G1903" i="15" s="1"/>
  <c r="C1904" i="15"/>
  <c r="E1904" i="15" s="1"/>
  <c r="G1904" i="15" s="1"/>
  <c r="E1906" i="15"/>
  <c r="G1906" i="15" s="1"/>
  <c r="E1907" i="15"/>
  <c r="G1907" i="15" s="1"/>
  <c r="E1910" i="15"/>
  <c r="G1910" i="15" s="1"/>
  <c r="E1911" i="15"/>
  <c r="G1911" i="15" s="1"/>
  <c r="C1894" i="15"/>
  <c r="C1895" i="15"/>
  <c r="C1896" i="15"/>
  <c r="C1897" i="15"/>
  <c r="C1900" i="15"/>
  <c r="C1906" i="15"/>
  <c r="C1907" i="15"/>
  <c r="C1909" i="15"/>
  <c r="C1910" i="15" a="1"/>
  <c r="C1910" i="15" s="1"/>
  <c r="C1911" i="15" a="1"/>
  <c r="C1911" i="15" s="1"/>
  <c r="C7" i="16"/>
  <c r="E7" i="16"/>
  <c r="G7" i="16" s="1"/>
  <c r="C8" i="16"/>
  <c r="E8" i="16"/>
  <c r="E9" i="16"/>
  <c r="E10" i="16"/>
  <c r="G10" i="16" s="1"/>
  <c r="E11" i="16"/>
  <c r="G11" i="16" s="1"/>
  <c r="C13" i="16"/>
  <c r="E13" i="16" s="1"/>
  <c r="G13" i="16" s="1"/>
  <c r="C14" i="16"/>
  <c r="E14" i="16" s="1"/>
  <c r="G14" i="16" s="1"/>
  <c r="C15" i="16"/>
  <c r="E15" i="16" s="1"/>
  <c r="G15" i="16" s="1"/>
  <c r="E17" i="16"/>
  <c r="G17" i="16" s="1"/>
  <c r="E18" i="16"/>
  <c r="G18" i="16" s="1"/>
  <c r="E20" i="16"/>
  <c r="G20" i="16" s="1"/>
  <c r="E21" i="16"/>
  <c r="G21" i="16" s="1"/>
  <c r="E22" i="16"/>
  <c r="G22" i="16" s="1"/>
  <c r="C9" i="16"/>
  <c r="C10" i="16"/>
  <c r="C11" i="16"/>
  <c r="C17" i="16"/>
  <c r="C18" i="16"/>
  <c r="C20" i="16"/>
  <c r="C21" i="16" a="1"/>
  <c r="C21" i="16" s="1"/>
  <c r="C22" i="16" a="1"/>
  <c r="C22" i="16" s="1"/>
  <c r="E27" i="16"/>
  <c r="G27" i="16" s="1"/>
  <c r="E28" i="16"/>
  <c r="G28" i="16" s="1"/>
  <c r="E29" i="16"/>
  <c r="G29" i="16" s="1"/>
  <c r="E30" i="16"/>
  <c r="G30" i="16" s="1"/>
  <c r="E31" i="16"/>
  <c r="G31" i="16" s="1"/>
  <c r="C33" i="16"/>
  <c r="E41" i="16"/>
  <c r="G41" i="16" s="1"/>
  <c r="E42" i="16"/>
  <c r="G42" i="16" s="1"/>
  <c r="C34" i="16"/>
  <c r="E34" i="16" s="1"/>
  <c r="G34" i="16" s="1"/>
  <c r="C35" i="16"/>
  <c r="E35" i="16" s="1"/>
  <c r="G35" i="16" s="1"/>
  <c r="E37" i="16"/>
  <c r="G37" i="16" s="1"/>
  <c r="E38" i="16"/>
  <c r="G38" i="16" s="1"/>
  <c r="C27" i="16"/>
  <c r="C28" i="16"/>
  <c r="C29" i="16"/>
  <c r="C30" i="16"/>
  <c r="C31" i="16"/>
  <c r="C37" i="16"/>
  <c r="C38" i="16"/>
  <c r="C40" i="16"/>
  <c r="C41" i="16" a="1"/>
  <c r="C41" i="16" s="1"/>
  <c r="C42" i="16" a="1"/>
  <c r="C42" i="16" s="1"/>
  <c r="E47" i="16"/>
  <c r="G47" i="16" s="1"/>
  <c r="E48" i="16"/>
  <c r="E49" i="16"/>
  <c r="G49" i="16" s="1"/>
  <c r="E50" i="16"/>
  <c r="G50" i="16" s="1"/>
  <c r="E51" i="16"/>
  <c r="G51" i="16" s="1"/>
  <c r="C53" i="16"/>
  <c r="E61" i="16"/>
  <c r="G61" i="16" s="1"/>
  <c r="E62" i="16"/>
  <c r="G62" i="16" s="1"/>
  <c r="C54" i="16"/>
  <c r="E54" i="16" s="1"/>
  <c r="G54" i="16" s="1"/>
  <c r="C55" i="16"/>
  <c r="E55" i="16" s="1"/>
  <c r="G55" i="16" s="1"/>
  <c r="E57" i="16"/>
  <c r="G57" i="16" s="1"/>
  <c r="E58" i="16"/>
  <c r="G58" i="16" s="1"/>
  <c r="C47" i="16"/>
  <c r="C48" i="16"/>
  <c r="C49" i="16"/>
  <c r="C50" i="16"/>
  <c r="C51" i="16"/>
  <c r="C57" i="16"/>
  <c r="C58" i="16"/>
  <c r="C60" i="16"/>
  <c r="C61" i="16" a="1"/>
  <c r="C61" i="16" s="1"/>
  <c r="C62" i="16" a="1"/>
  <c r="C62" i="16" s="1"/>
  <c r="E67" i="16"/>
  <c r="G67" i="16" s="1"/>
  <c r="E68" i="16"/>
  <c r="G68" i="16" s="1"/>
  <c r="E69" i="16"/>
  <c r="G69" i="16" s="1"/>
  <c r="E70" i="16"/>
  <c r="G70" i="16" s="1"/>
  <c r="E71" i="16"/>
  <c r="G71" i="16" s="1"/>
  <c r="C73" i="16"/>
  <c r="E81" i="16"/>
  <c r="G81" i="16" s="1"/>
  <c r="E82" i="16"/>
  <c r="G82" i="16" s="1"/>
  <c r="C74" i="16"/>
  <c r="E74" i="16" s="1"/>
  <c r="G74" i="16" s="1"/>
  <c r="C75" i="16"/>
  <c r="E75" i="16" s="1"/>
  <c r="G75" i="16" s="1"/>
  <c r="E77" i="16"/>
  <c r="G77" i="16" s="1"/>
  <c r="E78" i="16"/>
  <c r="G78" i="16" s="1"/>
  <c r="C67" i="16"/>
  <c r="C68" i="16"/>
  <c r="C69" i="16"/>
  <c r="C70" i="16"/>
  <c r="C71" i="16"/>
  <c r="C77" i="16"/>
  <c r="C78" i="16"/>
  <c r="C80" i="16"/>
  <c r="C81" i="16" a="1"/>
  <c r="C81" i="16" s="1"/>
  <c r="C82" i="16" a="1"/>
  <c r="C82" i="16" s="1"/>
  <c r="E87" i="16"/>
  <c r="G87" i="16" s="1"/>
  <c r="E88" i="16"/>
  <c r="G88" i="16" s="1"/>
  <c r="E89" i="16"/>
  <c r="G89" i="16" s="1"/>
  <c r="E90" i="16"/>
  <c r="G90" i="16" s="1"/>
  <c r="E91" i="16"/>
  <c r="G91" i="16" s="1"/>
  <c r="C93" i="16"/>
  <c r="E93" i="16" s="1"/>
  <c r="G93" i="16" s="1"/>
  <c r="C94" i="16"/>
  <c r="E94" i="16" s="1"/>
  <c r="G94" i="16" s="1"/>
  <c r="C95" i="16"/>
  <c r="E95" i="16" s="1"/>
  <c r="G95" i="16" s="1"/>
  <c r="E97" i="16"/>
  <c r="G97" i="16" s="1"/>
  <c r="E98" i="16"/>
  <c r="G98" i="16" s="1"/>
  <c r="E100" i="16"/>
  <c r="G100" i="16" s="1"/>
  <c r="E101" i="16"/>
  <c r="G101" i="16" s="1"/>
  <c r="E102" i="16"/>
  <c r="G102" i="16" s="1"/>
  <c r="C87" i="16"/>
  <c r="C88" i="16"/>
  <c r="C89" i="16"/>
  <c r="C90" i="16"/>
  <c r="C91" i="16"/>
  <c r="C97" i="16"/>
  <c r="C98" i="16"/>
  <c r="C100" i="16"/>
  <c r="C101" i="16" a="1"/>
  <c r="C101" i="16" s="1"/>
  <c r="C102" i="16" a="1"/>
  <c r="C102" i="16" s="1"/>
  <c r="E107" i="16"/>
  <c r="G107" i="16" s="1"/>
  <c r="E108" i="16"/>
  <c r="G108" i="16" s="1"/>
  <c r="E109" i="16"/>
  <c r="G109" i="16" s="1"/>
  <c r="E110" i="16"/>
  <c r="G110" i="16" s="1"/>
  <c r="E111" i="16"/>
  <c r="G111" i="16" s="1"/>
  <c r="C113" i="16"/>
  <c r="E121" i="16"/>
  <c r="G121" i="16" s="1"/>
  <c r="E122" i="16"/>
  <c r="G122" i="16" s="1"/>
  <c r="C114" i="16"/>
  <c r="E114" i="16" s="1"/>
  <c r="G114" i="16" s="1"/>
  <c r="C115" i="16"/>
  <c r="E115" i="16" s="1"/>
  <c r="G115" i="16" s="1"/>
  <c r="E117" i="16"/>
  <c r="G117" i="16" s="1"/>
  <c r="E118" i="16"/>
  <c r="G118" i="16" s="1"/>
  <c r="C107" i="16"/>
  <c r="C108" i="16"/>
  <c r="C109" i="16"/>
  <c r="C110" i="16"/>
  <c r="C111" i="16"/>
  <c r="C117" i="16"/>
  <c r="C118" i="16"/>
  <c r="C120" i="16"/>
  <c r="C121" i="16" a="1"/>
  <c r="C121" i="16" s="1"/>
  <c r="C122" i="16" a="1"/>
  <c r="C122" i="16" s="1"/>
  <c r="E127" i="16"/>
  <c r="G127" i="16" s="1"/>
  <c r="E128" i="16"/>
  <c r="G128" i="16" s="1"/>
  <c r="E129" i="16"/>
  <c r="G129" i="16" s="1"/>
  <c r="E130" i="16"/>
  <c r="G130" i="16" s="1"/>
  <c r="E131" i="16"/>
  <c r="G131" i="16" s="1"/>
  <c r="C133" i="16"/>
  <c r="E133" i="16" s="1"/>
  <c r="G133" i="16" s="1"/>
  <c r="C134" i="16"/>
  <c r="E134" i="16" s="1"/>
  <c r="G134" i="16" s="1"/>
  <c r="C135" i="16"/>
  <c r="E135" i="16" s="1"/>
  <c r="G135" i="16" s="1"/>
  <c r="E137" i="16"/>
  <c r="G137" i="16" s="1"/>
  <c r="E138" i="16"/>
  <c r="G138" i="16" s="1"/>
  <c r="E140" i="16"/>
  <c r="G140" i="16" s="1"/>
  <c r="E141" i="16"/>
  <c r="G141" i="16" s="1"/>
  <c r="E142" i="16"/>
  <c r="G142" i="16" s="1"/>
  <c r="C127" i="16"/>
  <c r="C128" i="16"/>
  <c r="C129" i="16"/>
  <c r="C130" i="16"/>
  <c r="C131" i="16"/>
  <c r="C137" i="16"/>
  <c r="C138" i="16"/>
  <c r="C140" i="16"/>
  <c r="C141" i="16" a="1"/>
  <c r="C141" i="16" s="1"/>
  <c r="C142" i="16" a="1"/>
  <c r="C142" i="16" s="1"/>
  <c r="E147" i="16"/>
  <c r="G147" i="16" s="1"/>
  <c r="E148" i="16"/>
  <c r="G148" i="16" s="1"/>
  <c r="E149" i="16"/>
  <c r="G149" i="16" s="1"/>
  <c r="E150" i="16"/>
  <c r="G150" i="16" s="1"/>
  <c r="E151" i="16"/>
  <c r="G151" i="16" s="1"/>
  <c r="C153" i="16"/>
  <c r="E161" i="16"/>
  <c r="G161" i="16" s="1"/>
  <c r="E162" i="16"/>
  <c r="G162" i="16" s="1"/>
  <c r="C154" i="16"/>
  <c r="C155" i="16"/>
  <c r="E155" i="16" s="1"/>
  <c r="G155" i="16" s="1"/>
  <c r="E157" i="16"/>
  <c r="G157" i="16" s="1"/>
  <c r="E158" i="16"/>
  <c r="G158" i="16" s="1"/>
  <c r="C147" i="16"/>
  <c r="C148" i="16"/>
  <c r="C149" i="16"/>
  <c r="C150" i="16"/>
  <c r="C151" i="16"/>
  <c r="C157" i="16"/>
  <c r="C158" i="16"/>
  <c r="C160" i="16"/>
  <c r="C161" i="16" a="1"/>
  <c r="C161" i="16" s="1"/>
  <c r="C162" i="16" a="1"/>
  <c r="C162" i="16" s="1"/>
  <c r="E167" i="16"/>
  <c r="G167" i="16" s="1"/>
  <c r="E168" i="16"/>
  <c r="G168" i="16" s="1"/>
  <c r="E169" i="16"/>
  <c r="G169" i="16" s="1"/>
  <c r="E170" i="16"/>
  <c r="G170" i="16" s="1"/>
  <c r="E171" i="16"/>
  <c r="G171" i="16" s="1"/>
  <c r="C173" i="16"/>
  <c r="E181" i="16"/>
  <c r="G181" i="16" s="1"/>
  <c r="E182" i="16"/>
  <c r="G182" i="16" s="1"/>
  <c r="C174" i="16"/>
  <c r="E174" i="16" s="1"/>
  <c r="G174" i="16" s="1"/>
  <c r="C175" i="16"/>
  <c r="E175" i="16" s="1"/>
  <c r="G175" i="16" s="1"/>
  <c r="E177" i="16"/>
  <c r="G177" i="16" s="1"/>
  <c r="E178" i="16"/>
  <c r="G178" i="16" s="1"/>
  <c r="C167" i="16"/>
  <c r="C168" i="16"/>
  <c r="C169" i="16"/>
  <c r="C170" i="16"/>
  <c r="C171" i="16"/>
  <c r="C177" i="16"/>
  <c r="C178" i="16"/>
  <c r="C180" i="16"/>
  <c r="C181" i="16" a="1"/>
  <c r="C181" i="16" s="1"/>
  <c r="C182" i="16" a="1"/>
  <c r="C182" i="16" s="1"/>
  <c r="E187" i="16"/>
  <c r="G187" i="16" s="1"/>
  <c r="E188" i="16"/>
  <c r="G188" i="16" s="1"/>
  <c r="E189" i="16"/>
  <c r="G189" i="16" s="1"/>
  <c r="E190" i="16"/>
  <c r="G190" i="16" s="1"/>
  <c r="E191" i="16"/>
  <c r="G191" i="16" s="1"/>
  <c r="C193" i="16"/>
  <c r="E201" i="16"/>
  <c r="G201" i="16" s="1"/>
  <c r="E202" i="16"/>
  <c r="G202" i="16" s="1"/>
  <c r="C194" i="16"/>
  <c r="E194" i="16" s="1"/>
  <c r="G194" i="16" s="1"/>
  <c r="C195" i="16"/>
  <c r="E195" i="16" s="1"/>
  <c r="G195" i="16" s="1"/>
  <c r="E197" i="16"/>
  <c r="G197" i="16" s="1"/>
  <c r="E198" i="16"/>
  <c r="G198" i="16" s="1"/>
  <c r="C187" i="16"/>
  <c r="C188" i="16"/>
  <c r="C189" i="16"/>
  <c r="C190" i="16"/>
  <c r="C191" i="16"/>
  <c r="C197" i="16"/>
  <c r="C198" i="16"/>
  <c r="C200" i="16"/>
  <c r="C201" i="16" a="1"/>
  <c r="C201" i="16" s="1"/>
  <c r="C202" i="16" a="1"/>
  <c r="C202" i="16" s="1"/>
  <c r="E207" i="16"/>
  <c r="G207" i="16" s="1"/>
  <c r="E208" i="16"/>
  <c r="G208" i="16" s="1"/>
  <c r="E209" i="16"/>
  <c r="G209" i="16" s="1"/>
  <c r="E210" i="16"/>
  <c r="G210" i="16" s="1"/>
  <c r="E211" i="16"/>
  <c r="G211" i="16" s="1"/>
  <c r="C213" i="16"/>
  <c r="E221" i="16"/>
  <c r="G221" i="16" s="1"/>
  <c r="E222" i="16"/>
  <c r="G222" i="16" s="1"/>
  <c r="C214" i="16"/>
  <c r="E214" i="16" s="1"/>
  <c r="G214" i="16" s="1"/>
  <c r="C215" i="16"/>
  <c r="E215" i="16" s="1"/>
  <c r="G215" i="16" s="1"/>
  <c r="E217" i="16"/>
  <c r="G217" i="16" s="1"/>
  <c r="E218" i="16"/>
  <c r="G218" i="16" s="1"/>
  <c r="C207" i="16"/>
  <c r="C208" i="16"/>
  <c r="C209" i="16"/>
  <c r="C210" i="16"/>
  <c r="C211" i="16"/>
  <c r="C217" i="16"/>
  <c r="C218" i="16"/>
  <c r="C220" i="16"/>
  <c r="C221" i="16" a="1"/>
  <c r="C221" i="16" s="1"/>
  <c r="C222" i="16" a="1"/>
  <c r="C222" i="16" s="1"/>
  <c r="E127" i="6"/>
  <c r="G127" i="6" s="1"/>
  <c r="E128" i="6"/>
  <c r="G128" i="6" s="1"/>
  <c r="E129" i="6"/>
  <c r="G129" i="6" s="1"/>
  <c r="E130" i="6"/>
  <c r="G130" i="6" s="1"/>
  <c r="E131" i="6"/>
  <c r="G131" i="6" s="1"/>
  <c r="C133" i="6"/>
  <c r="E141" i="6"/>
  <c r="G141" i="6" s="1"/>
  <c r="E142" i="6"/>
  <c r="G142" i="6" s="1"/>
  <c r="C134" i="6"/>
  <c r="E134" i="6" s="1"/>
  <c r="G134" i="6" s="1"/>
  <c r="C135" i="6"/>
  <c r="E135" i="6" s="1"/>
  <c r="G135" i="6" s="1"/>
  <c r="D137" i="6"/>
  <c r="E137" i="6"/>
  <c r="E138" i="6"/>
  <c r="G138" i="6" s="1"/>
  <c r="E167" i="6"/>
  <c r="G167" i="6" s="1"/>
  <c r="E168" i="6"/>
  <c r="G168" i="6" s="1"/>
  <c r="E169" i="6"/>
  <c r="G169" i="6" s="1"/>
  <c r="E170" i="6"/>
  <c r="G170" i="6" s="1"/>
  <c r="E171" i="6"/>
  <c r="G171" i="6" s="1"/>
  <c r="C173" i="6"/>
  <c r="E181" i="6"/>
  <c r="G181" i="6" s="1"/>
  <c r="E182" i="6"/>
  <c r="G182" i="6" s="1"/>
  <c r="C174" i="6"/>
  <c r="E174" i="6" s="1"/>
  <c r="G174" i="6" s="1"/>
  <c r="C175" i="6"/>
  <c r="E175" i="6" s="1"/>
  <c r="G175" i="6" s="1"/>
  <c r="D177" i="6"/>
  <c r="E177" i="6"/>
  <c r="E178" i="6"/>
  <c r="G178" i="6" s="1"/>
  <c r="C7" i="21"/>
  <c r="E7" i="21"/>
  <c r="C8" i="21"/>
  <c r="E8" i="21"/>
  <c r="G8" i="21" s="1"/>
  <c r="E9" i="21"/>
  <c r="G9" i="21" s="1"/>
  <c r="E10" i="21"/>
  <c r="G10" i="21" s="1"/>
  <c r="E11" i="21"/>
  <c r="G11" i="21" s="1"/>
  <c r="C13" i="21"/>
  <c r="E21" i="21"/>
  <c r="G21" i="21" s="1"/>
  <c r="E22" i="21"/>
  <c r="G22" i="21" s="1"/>
  <c r="C14" i="21"/>
  <c r="C15" i="21"/>
  <c r="E15" i="21" s="1"/>
  <c r="G15" i="21" s="1"/>
  <c r="E17" i="21"/>
  <c r="G17" i="21" s="1"/>
  <c r="E18" i="21"/>
  <c r="G18" i="21" s="1"/>
  <c r="C9" i="21"/>
  <c r="C10" i="21"/>
  <c r="C11" i="21"/>
  <c r="C17" i="21"/>
  <c r="C18" i="21"/>
  <c r="C20" i="21"/>
  <c r="C21" i="21"/>
  <c r="C22" i="21"/>
  <c r="E27" i="21"/>
  <c r="G27" i="21" s="1"/>
  <c r="E28" i="21"/>
  <c r="G28" i="21" s="1"/>
  <c r="E29" i="21"/>
  <c r="G29" i="21" s="1"/>
  <c r="E30" i="21"/>
  <c r="G30" i="21" s="1"/>
  <c r="E31" i="21"/>
  <c r="G31" i="21" s="1"/>
  <c r="C33" i="21"/>
  <c r="C34" i="21"/>
  <c r="E41" i="21"/>
  <c r="G41" i="21" s="1"/>
  <c r="E42" i="21"/>
  <c r="G42" i="21" s="1"/>
  <c r="C35" i="21"/>
  <c r="E35" i="21" s="1"/>
  <c r="G35" i="21" s="1"/>
  <c r="E37" i="21"/>
  <c r="G37" i="21" s="1"/>
  <c r="E38" i="21"/>
  <c r="G38" i="21" s="1"/>
  <c r="C27" i="21"/>
  <c r="C28" i="21"/>
  <c r="C29" i="21"/>
  <c r="C30" i="21"/>
  <c r="C31" i="21"/>
  <c r="C37" i="21"/>
  <c r="C38" i="21"/>
  <c r="C40" i="21"/>
  <c r="C41" i="21"/>
  <c r="C42" i="21"/>
  <c r="E47" i="21"/>
  <c r="G47" i="21" s="1"/>
  <c r="D48" i="21"/>
  <c r="E48" i="21"/>
  <c r="E49" i="21"/>
  <c r="G49" i="21" s="1"/>
  <c r="E50" i="21"/>
  <c r="G50" i="21" s="1"/>
  <c r="E51" i="21"/>
  <c r="G51" i="21" s="1"/>
  <c r="C53" i="21"/>
  <c r="E61" i="21"/>
  <c r="G61" i="21" s="1"/>
  <c r="E62" i="21"/>
  <c r="G62" i="21" s="1"/>
  <c r="C54" i="21"/>
  <c r="E54" i="21" s="1"/>
  <c r="G54" i="21" s="1"/>
  <c r="C55" i="21"/>
  <c r="E55" i="21" s="1"/>
  <c r="G55" i="21" s="1"/>
  <c r="E57" i="21"/>
  <c r="G57" i="21" s="1"/>
  <c r="E58" i="21"/>
  <c r="G58" i="21" s="1"/>
  <c r="C47" i="21"/>
  <c r="C48" i="21"/>
  <c r="C49" i="21"/>
  <c r="C50" i="21"/>
  <c r="C51" i="21"/>
  <c r="C57" i="21"/>
  <c r="C58" i="21"/>
  <c r="C60" i="21"/>
  <c r="C61" i="21"/>
  <c r="C62" i="21"/>
  <c r="E67" i="21"/>
  <c r="G67" i="21" s="1"/>
  <c r="E68" i="21"/>
  <c r="G68" i="21" s="1"/>
  <c r="E69" i="21"/>
  <c r="G69" i="21" s="1"/>
  <c r="E70" i="21"/>
  <c r="G70" i="21" s="1"/>
  <c r="E71" i="21"/>
  <c r="G71" i="21" s="1"/>
  <c r="C73" i="21"/>
  <c r="E73" i="21" s="1"/>
  <c r="G73" i="21" s="1"/>
  <c r="C74" i="21"/>
  <c r="E81" i="21"/>
  <c r="G81" i="21" s="1"/>
  <c r="E82" i="21"/>
  <c r="G82" i="21" s="1"/>
  <c r="C75" i="21"/>
  <c r="E75" i="21" s="1"/>
  <c r="G75" i="21" s="1"/>
  <c r="E77" i="21"/>
  <c r="G77" i="21" s="1"/>
  <c r="E78" i="21"/>
  <c r="G78" i="21" s="1"/>
  <c r="C67" i="21"/>
  <c r="C68" i="21"/>
  <c r="C69" i="21"/>
  <c r="C70" i="21"/>
  <c r="C71" i="21"/>
  <c r="C77" i="21"/>
  <c r="C78" i="21"/>
  <c r="C80" i="21"/>
  <c r="C81" i="21"/>
  <c r="C82" i="21"/>
  <c r="E87" i="21"/>
  <c r="G87" i="21" s="1"/>
  <c r="E88" i="21"/>
  <c r="G88" i="21" s="1"/>
  <c r="E89" i="21"/>
  <c r="G89" i="21" s="1"/>
  <c r="E90" i="21"/>
  <c r="G90" i="21" s="1"/>
  <c r="E91" i="21"/>
  <c r="G91" i="21" s="1"/>
  <c r="C93" i="21"/>
  <c r="C94" i="21"/>
  <c r="E101" i="21"/>
  <c r="G101" i="21" s="1"/>
  <c r="E102" i="21"/>
  <c r="G102" i="21" s="1"/>
  <c r="C95" i="21"/>
  <c r="E95" i="21" s="1"/>
  <c r="G95" i="21" s="1"/>
  <c r="E97" i="21"/>
  <c r="G97" i="21" s="1"/>
  <c r="E98" i="21"/>
  <c r="G98" i="21" s="1"/>
  <c r="C87" i="21"/>
  <c r="C88" i="21"/>
  <c r="C89" i="21"/>
  <c r="C90" i="21"/>
  <c r="C91" i="21"/>
  <c r="C97" i="21"/>
  <c r="C98" i="21"/>
  <c r="C100" i="21"/>
  <c r="C101" i="21"/>
  <c r="C102" i="21"/>
  <c r="E107" i="21"/>
  <c r="G107" i="21" s="1"/>
  <c r="E108" i="21"/>
  <c r="G108" i="21" s="1"/>
  <c r="E109" i="21"/>
  <c r="G109" i="21" s="1"/>
  <c r="E110" i="21"/>
  <c r="G110" i="21" s="1"/>
  <c r="E111" i="21"/>
  <c r="G111" i="21" s="1"/>
  <c r="C113" i="21"/>
  <c r="C114" i="21"/>
  <c r="E121" i="21"/>
  <c r="G121" i="21" s="1"/>
  <c r="E122" i="21"/>
  <c r="G122" i="21" s="1"/>
  <c r="C115" i="21"/>
  <c r="E115" i="21" s="1"/>
  <c r="G115" i="21" s="1"/>
  <c r="E117" i="21"/>
  <c r="G117" i="21" s="1"/>
  <c r="E118" i="21"/>
  <c r="G118" i="21" s="1"/>
  <c r="C107" i="21"/>
  <c r="C108" i="21"/>
  <c r="C109" i="21"/>
  <c r="C110" i="21"/>
  <c r="C111" i="21"/>
  <c r="C117" i="21"/>
  <c r="C118" i="21"/>
  <c r="C120" i="21"/>
  <c r="C121" i="21"/>
  <c r="C122" i="21"/>
  <c r="E127" i="21"/>
  <c r="G127" i="21" s="1"/>
  <c r="E128" i="21"/>
  <c r="G128" i="21" s="1"/>
  <c r="E129" i="21"/>
  <c r="G129" i="21" s="1"/>
  <c r="E130" i="21"/>
  <c r="G130" i="21" s="1"/>
  <c r="E131" i="21"/>
  <c r="G131" i="21" s="1"/>
  <c r="C133" i="21"/>
  <c r="C134" i="21"/>
  <c r="E141" i="21"/>
  <c r="G141" i="21" s="1"/>
  <c r="E142" i="21"/>
  <c r="G142" i="21" s="1"/>
  <c r="C135" i="21"/>
  <c r="E135" i="21" s="1"/>
  <c r="G135" i="21" s="1"/>
  <c r="E137" i="21"/>
  <c r="G137" i="21" s="1"/>
  <c r="E138" i="21"/>
  <c r="G138" i="21" s="1"/>
  <c r="C127" i="21"/>
  <c r="C128" i="21"/>
  <c r="C129" i="21"/>
  <c r="C130" i="21"/>
  <c r="C131" i="21"/>
  <c r="C137" i="21"/>
  <c r="C138" i="21"/>
  <c r="C140" i="21"/>
  <c r="C141" i="21"/>
  <c r="C142" i="21"/>
  <c r="E147" i="21"/>
  <c r="G147" i="21" s="1"/>
  <c r="E148" i="21"/>
  <c r="G148" i="21" s="1"/>
  <c r="E149" i="21"/>
  <c r="G149" i="21" s="1"/>
  <c r="E150" i="21"/>
  <c r="G150" i="21" s="1"/>
  <c r="E151" i="21"/>
  <c r="G151" i="21" s="1"/>
  <c r="C153" i="21"/>
  <c r="E153" i="21" s="1"/>
  <c r="G153" i="21" s="1"/>
  <c r="C154" i="21"/>
  <c r="E161" i="21"/>
  <c r="G161" i="21" s="1"/>
  <c r="E162" i="21"/>
  <c r="G162" i="21" s="1"/>
  <c r="C155" i="21"/>
  <c r="E155" i="21" s="1"/>
  <c r="G155" i="21" s="1"/>
  <c r="E157" i="21"/>
  <c r="G157" i="21" s="1"/>
  <c r="E158" i="21"/>
  <c r="G158" i="21" s="1"/>
  <c r="C147" i="21"/>
  <c r="C148" i="21"/>
  <c r="C149" i="21"/>
  <c r="C150" i="21"/>
  <c r="C151" i="21"/>
  <c r="C157" i="21"/>
  <c r="C158" i="21"/>
  <c r="C160" i="21"/>
  <c r="C161" i="21"/>
  <c r="C162" i="21"/>
  <c r="E167" i="21"/>
  <c r="G167" i="21" s="1"/>
  <c r="E168" i="21"/>
  <c r="G168" i="21" s="1"/>
  <c r="E169" i="21"/>
  <c r="G169" i="21" s="1"/>
  <c r="E170" i="21"/>
  <c r="G170" i="21" s="1"/>
  <c r="E171" i="21"/>
  <c r="G171" i="21" s="1"/>
  <c r="C173" i="21"/>
  <c r="C174" i="21"/>
  <c r="E181" i="21"/>
  <c r="G181" i="21" s="1"/>
  <c r="E182" i="21"/>
  <c r="G182" i="21" s="1"/>
  <c r="C175" i="21"/>
  <c r="E175" i="21" s="1"/>
  <c r="G175" i="21" s="1"/>
  <c r="E177" i="21"/>
  <c r="G177" i="21" s="1"/>
  <c r="E178" i="21"/>
  <c r="G178" i="21" s="1"/>
  <c r="C167" i="21"/>
  <c r="C169" i="21"/>
  <c r="C170" i="21"/>
  <c r="C171" i="21"/>
  <c r="C177" i="21"/>
  <c r="C178" i="21"/>
  <c r="C180" i="21"/>
  <c r="C181" i="21"/>
  <c r="C182" i="21"/>
  <c r="E187" i="21"/>
  <c r="G187" i="21" s="1"/>
  <c r="E188" i="21"/>
  <c r="G188" i="21" s="1"/>
  <c r="E189" i="21"/>
  <c r="G189" i="21" s="1"/>
  <c r="E190" i="21"/>
  <c r="G190" i="21" s="1"/>
  <c r="E191" i="21"/>
  <c r="G191" i="21" s="1"/>
  <c r="C193" i="21"/>
  <c r="E201" i="21"/>
  <c r="G201" i="21" s="1"/>
  <c r="E202" i="21"/>
  <c r="G202" i="21" s="1"/>
  <c r="C194" i="21"/>
  <c r="E194" i="21" s="1"/>
  <c r="G194" i="21" s="1"/>
  <c r="C195" i="21"/>
  <c r="E195" i="21" s="1"/>
  <c r="G195" i="21" s="1"/>
  <c r="E197" i="21"/>
  <c r="G197" i="21" s="1"/>
  <c r="E198" i="21"/>
  <c r="G198" i="21" s="1"/>
  <c r="C187" i="21"/>
  <c r="C188" i="21"/>
  <c r="C189" i="21"/>
  <c r="C190" i="21"/>
  <c r="C191" i="21"/>
  <c r="C197" i="21"/>
  <c r="C198" i="21"/>
  <c r="C200" i="21"/>
  <c r="C201" i="21"/>
  <c r="C202" i="21"/>
  <c r="E207" i="21"/>
  <c r="G207" i="21" s="1"/>
  <c r="E208" i="21"/>
  <c r="G208" i="21" s="1"/>
  <c r="E209" i="21"/>
  <c r="G209" i="21" s="1"/>
  <c r="E210" i="21"/>
  <c r="G210" i="21" s="1"/>
  <c r="E211" i="21"/>
  <c r="G211" i="21" s="1"/>
  <c r="C213" i="21"/>
  <c r="E213" i="21" s="1"/>
  <c r="G213" i="21" s="1"/>
  <c r="C214" i="21"/>
  <c r="E221" i="21"/>
  <c r="G221" i="21" s="1"/>
  <c r="E222" i="21"/>
  <c r="G222" i="21" s="1"/>
  <c r="C215" i="21"/>
  <c r="E215" i="21" s="1"/>
  <c r="G215" i="21" s="1"/>
  <c r="E217" i="21"/>
  <c r="G217" i="21" s="1"/>
  <c r="E218" i="21"/>
  <c r="G218" i="21" s="1"/>
  <c r="C207" i="21"/>
  <c r="C208" i="21"/>
  <c r="C209" i="21"/>
  <c r="C210" i="21"/>
  <c r="C211" i="21"/>
  <c r="C217" i="21"/>
  <c r="C218" i="21"/>
  <c r="C220" i="21"/>
  <c r="C221" i="21"/>
  <c r="C222" i="21"/>
  <c r="E227" i="21"/>
  <c r="G227" i="21" s="1"/>
  <c r="E228" i="21"/>
  <c r="G228" i="21" s="1"/>
  <c r="E229" i="21"/>
  <c r="G229" i="21" s="1"/>
  <c r="E230" i="21"/>
  <c r="G230" i="21" s="1"/>
  <c r="E231" i="21"/>
  <c r="G231" i="21" s="1"/>
  <c r="C233" i="21"/>
  <c r="E233" i="21" s="1"/>
  <c r="G233" i="21" s="1"/>
  <c r="C234" i="21"/>
  <c r="E241" i="21"/>
  <c r="G241" i="21" s="1"/>
  <c r="E242" i="21"/>
  <c r="G242" i="21" s="1"/>
  <c r="C235" i="21"/>
  <c r="E235" i="21" s="1"/>
  <c r="G235" i="21" s="1"/>
  <c r="E237" i="21"/>
  <c r="G237" i="21" s="1"/>
  <c r="E238" i="21"/>
  <c r="G238" i="21" s="1"/>
  <c r="C227" i="21"/>
  <c r="C228" i="21"/>
  <c r="C229" i="21"/>
  <c r="C230" i="21"/>
  <c r="C231" i="21"/>
  <c r="C237" i="21"/>
  <c r="C238" i="21"/>
  <c r="C240" i="21"/>
  <c r="C241" i="21"/>
  <c r="C242" i="21"/>
  <c r="E247" i="21"/>
  <c r="G247" i="21" s="1"/>
  <c r="E248" i="21"/>
  <c r="G248" i="21" s="1"/>
  <c r="E249" i="21"/>
  <c r="G249" i="21" s="1"/>
  <c r="E250" i="21"/>
  <c r="G250" i="21" s="1"/>
  <c r="E251" i="21"/>
  <c r="G251" i="21" s="1"/>
  <c r="C253" i="21"/>
  <c r="E261" i="21"/>
  <c r="G261" i="21" s="1"/>
  <c r="E262" i="21"/>
  <c r="G262" i="21" s="1"/>
  <c r="C254" i="21"/>
  <c r="E254" i="21" s="1"/>
  <c r="G254" i="21" s="1"/>
  <c r="C255" i="21"/>
  <c r="E255" i="21" s="1"/>
  <c r="G255" i="21" s="1"/>
  <c r="E257" i="21"/>
  <c r="G257" i="21" s="1"/>
  <c r="E258" i="21"/>
  <c r="G258" i="21" s="1"/>
  <c r="C247" i="21"/>
  <c r="C248" i="21"/>
  <c r="C249" i="21"/>
  <c r="C250" i="21"/>
  <c r="C251" i="21"/>
  <c r="C257" i="21"/>
  <c r="C258" i="21"/>
  <c r="C260" i="21"/>
  <c r="C261" i="21"/>
  <c r="C262" i="21"/>
  <c r="E267" i="21"/>
  <c r="G267" i="21" s="1"/>
  <c r="E268" i="21"/>
  <c r="G268" i="21" s="1"/>
  <c r="E269" i="21"/>
  <c r="G269" i="21" s="1"/>
  <c r="E270" i="21"/>
  <c r="G270" i="21" s="1"/>
  <c r="E271" i="21"/>
  <c r="G271" i="21" s="1"/>
  <c r="C273" i="21"/>
  <c r="E281" i="21"/>
  <c r="G281" i="21" s="1"/>
  <c r="E282" i="21"/>
  <c r="G282" i="21" s="1"/>
  <c r="C274" i="21"/>
  <c r="E274" i="21" s="1"/>
  <c r="G274" i="21" s="1"/>
  <c r="C275" i="21"/>
  <c r="E275" i="21" s="1"/>
  <c r="G275" i="21" s="1"/>
  <c r="E277" i="21"/>
  <c r="G277" i="21" s="1"/>
  <c r="E278" i="21"/>
  <c r="G278" i="21" s="1"/>
  <c r="C267" i="21"/>
  <c r="C268" i="21"/>
  <c r="C269" i="21"/>
  <c r="C270" i="21"/>
  <c r="C271" i="21"/>
  <c r="C277" i="21"/>
  <c r="C278" i="21"/>
  <c r="C280" i="21"/>
  <c r="C281" i="21"/>
  <c r="C282" i="21"/>
  <c r="E287" i="21"/>
  <c r="G287" i="21" s="1"/>
  <c r="E288" i="21"/>
  <c r="G288" i="21" s="1"/>
  <c r="E289" i="21"/>
  <c r="G289" i="21" s="1"/>
  <c r="E290" i="21"/>
  <c r="G290" i="21" s="1"/>
  <c r="E291" i="21"/>
  <c r="G291" i="21" s="1"/>
  <c r="C293" i="21"/>
  <c r="E301" i="21"/>
  <c r="G301" i="21" s="1"/>
  <c r="E302" i="21"/>
  <c r="G302" i="21" s="1"/>
  <c r="C294" i="21"/>
  <c r="C295" i="21"/>
  <c r="E295" i="21" s="1"/>
  <c r="G295" i="21" s="1"/>
  <c r="E297" i="21"/>
  <c r="G297" i="21" s="1"/>
  <c r="E298" i="21"/>
  <c r="G298" i="21" s="1"/>
  <c r="C287" i="21"/>
  <c r="C288" i="21"/>
  <c r="C289" i="21"/>
  <c r="C290" i="21"/>
  <c r="C291" i="21"/>
  <c r="C297" i="21"/>
  <c r="C298" i="21"/>
  <c r="C300" i="21"/>
  <c r="C301" i="21"/>
  <c r="C302" i="21"/>
  <c r="E307" i="21"/>
  <c r="G307" i="21" s="1"/>
  <c r="E308" i="21"/>
  <c r="G308" i="21" s="1"/>
  <c r="E309" i="21"/>
  <c r="G309" i="21" s="1"/>
  <c r="E310" i="21"/>
  <c r="E311" i="21"/>
  <c r="G311" i="21" s="1"/>
  <c r="C313" i="21"/>
  <c r="E321" i="21"/>
  <c r="G321" i="21" s="1"/>
  <c r="E322" i="21"/>
  <c r="G322" i="21" s="1"/>
  <c r="C314" i="21"/>
  <c r="E314" i="21" s="1"/>
  <c r="G314" i="21" s="1"/>
  <c r="C315" i="21"/>
  <c r="E315" i="21" s="1"/>
  <c r="G315" i="21" s="1"/>
  <c r="E317" i="21"/>
  <c r="G317" i="21" s="1"/>
  <c r="E318" i="21"/>
  <c r="G318" i="21" s="1"/>
  <c r="C307" i="21"/>
  <c r="C308" i="21"/>
  <c r="C309" i="21"/>
  <c r="C310" i="21"/>
  <c r="C311" i="21"/>
  <c r="C317" i="21"/>
  <c r="C318" i="21"/>
  <c r="C320" i="21"/>
  <c r="C321" i="21"/>
  <c r="C322" i="21"/>
  <c r="E327" i="21"/>
  <c r="G327" i="21" s="1"/>
  <c r="E328" i="21"/>
  <c r="G328" i="21" s="1"/>
  <c r="E329" i="21"/>
  <c r="G329" i="21" s="1"/>
  <c r="E330" i="21"/>
  <c r="G330" i="21" s="1"/>
  <c r="E331" i="21"/>
  <c r="G331" i="21" s="1"/>
  <c r="C333" i="21"/>
  <c r="E333" i="21" s="1"/>
  <c r="G333" i="21" s="1"/>
  <c r="C334" i="21"/>
  <c r="E341" i="21"/>
  <c r="G341" i="21" s="1"/>
  <c r="E342" i="21"/>
  <c r="G342" i="21" s="1"/>
  <c r="C335" i="21"/>
  <c r="E335" i="21" s="1"/>
  <c r="G335" i="21" s="1"/>
  <c r="E337" i="21"/>
  <c r="G337" i="21" s="1"/>
  <c r="E338" i="21"/>
  <c r="G338" i="21" s="1"/>
  <c r="C327" i="21"/>
  <c r="C328" i="21"/>
  <c r="C329" i="21"/>
  <c r="C330" i="21"/>
  <c r="C331" i="21"/>
  <c r="C337" i="21"/>
  <c r="C338" i="21"/>
  <c r="C340" i="21"/>
  <c r="C341" i="21"/>
  <c r="C342" i="21"/>
  <c r="E347" i="21"/>
  <c r="G347" i="21" s="1"/>
  <c r="E348" i="21"/>
  <c r="G348" i="21" s="1"/>
  <c r="E349" i="21"/>
  <c r="G349" i="21" s="1"/>
  <c r="E350" i="21"/>
  <c r="G350" i="21" s="1"/>
  <c r="E351" i="21"/>
  <c r="G351" i="21" s="1"/>
  <c r="C353" i="21"/>
  <c r="E361" i="21"/>
  <c r="G361" i="21" s="1"/>
  <c r="E362" i="21"/>
  <c r="G362" i="21" s="1"/>
  <c r="C354" i="21"/>
  <c r="E354" i="21" s="1"/>
  <c r="G354" i="21" s="1"/>
  <c r="C355" i="21"/>
  <c r="E355" i="21" s="1"/>
  <c r="G355" i="21" s="1"/>
  <c r="E357" i="21"/>
  <c r="G357" i="21" s="1"/>
  <c r="E358" i="21"/>
  <c r="G358" i="21" s="1"/>
  <c r="C347" i="21"/>
  <c r="C348" i="21"/>
  <c r="C349" i="21"/>
  <c r="C350" i="21"/>
  <c r="C351" i="21"/>
  <c r="C357" i="21"/>
  <c r="C358" i="21"/>
  <c r="C360" i="21"/>
  <c r="C361" i="21"/>
  <c r="C362" i="21"/>
  <c r="E367" i="21"/>
  <c r="G367" i="21" s="1"/>
  <c r="E368" i="21"/>
  <c r="G368" i="21" s="1"/>
  <c r="E369" i="21"/>
  <c r="G369" i="21" s="1"/>
  <c r="E370" i="21"/>
  <c r="G370" i="21" s="1"/>
  <c r="E371" i="21"/>
  <c r="G371" i="21" s="1"/>
  <c r="C373" i="21"/>
  <c r="E381" i="21"/>
  <c r="G381" i="21" s="1"/>
  <c r="E382" i="21"/>
  <c r="G382" i="21" s="1"/>
  <c r="C374" i="21"/>
  <c r="E374" i="21" s="1"/>
  <c r="G374" i="21" s="1"/>
  <c r="C375" i="21"/>
  <c r="E375" i="21" s="1"/>
  <c r="G375" i="21" s="1"/>
  <c r="E377" i="21"/>
  <c r="G377" i="21" s="1"/>
  <c r="E378" i="21"/>
  <c r="G378" i="21" s="1"/>
  <c r="C367" i="21"/>
  <c r="C368" i="21"/>
  <c r="C369" i="21"/>
  <c r="C370" i="21"/>
  <c r="C371" i="21"/>
  <c r="C377" i="21"/>
  <c r="C378" i="21"/>
  <c r="C380" i="21"/>
  <c r="C381" i="21"/>
  <c r="C382" i="21"/>
  <c r="E387" i="21"/>
  <c r="G387" i="21" s="1"/>
  <c r="E388" i="21"/>
  <c r="G388" i="21" s="1"/>
  <c r="E389" i="21"/>
  <c r="G389" i="21" s="1"/>
  <c r="E390" i="21"/>
  <c r="G390" i="21" s="1"/>
  <c r="E391" i="21"/>
  <c r="G391" i="21" s="1"/>
  <c r="C393" i="21"/>
  <c r="E401" i="21"/>
  <c r="G401" i="21" s="1"/>
  <c r="E402" i="21"/>
  <c r="G402" i="21" s="1"/>
  <c r="C394" i="21"/>
  <c r="E394" i="21" s="1"/>
  <c r="G394" i="21" s="1"/>
  <c r="C395" i="21"/>
  <c r="E395" i="21" s="1"/>
  <c r="G395" i="21" s="1"/>
  <c r="E397" i="21"/>
  <c r="G397" i="21" s="1"/>
  <c r="E398" i="21"/>
  <c r="G398" i="21" s="1"/>
  <c r="C387" i="21"/>
  <c r="C388" i="21"/>
  <c r="C389" i="21"/>
  <c r="C390" i="21"/>
  <c r="C391" i="21"/>
  <c r="C397" i="21"/>
  <c r="C398" i="21"/>
  <c r="C400" i="21"/>
  <c r="C401" i="21"/>
  <c r="C402" i="21"/>
  <c r="E407" i="21"/>
  <c r="G407" i="21" s="1"/>
  <c r="E408" i="21"/>
  <c r="G408" i="21" s="1"/>
  <c r="E409" i="21"/>
  <c r="G409" i="21" s="1"/>
  <c r="E410" i="21"/>
  <c r="G410" i="21" s="1"/>
  <c r="E411" i="21"/>
  <c r="G411" i="21" s="1"/>
  <c r="C413" i="21"/>
  <c r="C414" i="21"/>
  <c r="E421" i="21"/>
  <c r="G421" i="21" s="1"/>
  <c r="E422" i="21"/>
  <c r="G422" i="21" s="1"/>
  <c r="C415" i="21"/>
  <c r="E415" i="21" s="1"/>
  <c r="G415" i="21" s="1"/>
  <c r="E417" i="21"/>
  <c r="G417" i="21" s="1"/>
  <c r="E418" i="21"/>
  <c r="G418" i="21" s="1"/>
  <c r="C407" i="21"/>
  <c r="C408" i="21"/>
  <c r="C409" i="21"/>
  <c r="C410" i="21"/>
  <c r="C411" i="21"/>
  <c r="C417" i="21"/>
  <c r="C418" i="21"/>
  <c r="C420" i="21"/>
  <c r="C421" i="21"/>
  <c r="C422" i="21"/>
  <c r="E427" i="21"/>
  <c r="G427" i="21" s="1"/>
  <c r="E428" i="21"/>
  <c r="G428" i="21" s="1"/>
  <c r="E429" i="21"/>
  <c r="G429" i="21" s="1"/>
  <c r="E430" i="21"/>
  <c r="G430" i="21" s="1"/>
  <c r="E431" i="21"/>
  <c r="G431" i="21" s="1"/>
  <c r="C433" i="21"/>
  <c r="C434" i="21"/>
  <c r="E441" i="21"/>
  <c r="G441" i="21" s="1"/>
  <c r="E442" i="21"/>
  <c r="G442" i="21" s="1"/>
  <c r="C435" i="21"/>
  <c r="E435" i="21" s="1"/>
  <c r="G435" i="21" s="1"/>
  <c r="E437" i="21"/>
  <c r="G437" i="21" s="1"/>
  <c r="E438" i="21"/>
  <c r="G438" i="21" s="1"/>
  <c r="C427" i="21"/>
  <c r="C428" i="21"/>
  <c r="C429" i="21"/>
  <c r="C430" i="21"/>
  <c r="C431" i="21"/>
  <c r="C437" i="21"/>
  <c r="C438" i="21"/>
  <c r="C440" i="21"/>
  <c r="C441" i="21"/>
  <c r="C442" i="21"/>
  <c r="E447" i="21"/>
  <c r="G447" i="21" s="1"/>
  <c r="E448" i="21"/>
  <c r="G448" i="21" s="1"/>
  <c r="E449" i="21"/>
  <c r="G449" i="21" s="1"/>
  <c r="E450" i="21"/>
  <c r="G450" i="21" s="1"/>
  <c r="E451" i="21"/>
  <c r="G451" i="21" s="1"/>
  <c r="C453" i="21"/>
  <c r="C454" i="21"/>
  <c r="E461" i="21"/>
  <c r="G461" i="21" s="1"/>
  <c r="E462" i="21"/>
  <c r="G462" i="21" s="1"/>
  <c r="C455" i="21"/>
  <c r="E455" i="21" s="1"/>
  <c r="G455" i="21" s="1"/>
  <c r="E457" i="21"/>
  <c r="G457" i="21" s="1"/>
  <c r="E458" i="21"/>
  <c r="G458" i="21" s="1"/>
  <c r="C447" i="21"/>
  <c r="C448" i="21"/>
  <c r="C449" i="21"/>
  <c r="C450" i="21"/>
  <c r="C451" i="21"/>
  <c r="C457" i="21"/>
  <c r="C458" i="21"/>
  <c r="C460" i="21"/>
  <c r="C461" i="21"/>
  <c r="C462" i="21"/>
  <c r="E467" i="21"/>
  <c r="G467" i="21" s="1"/>
  <c r="E468" i="21"/>
  <c r="G468" i="21" s="1"/>
  <c r="E469" i="21"/>
  <c r="G469" i="21" s="1"/>
  <c r="E470" i="21"/>
  <c r="G470" i="21" s="1"/>
  <c r="E471" i="21"/>
  <c r="G471" i="21" s="1"/>
  <c r="C473" i="21"/>
  <c r="E481" i="21"/>
  <c r="G481" i="21" s="1"/>
  <c r="E482" i="21"/>
  <c r="G482" i="21" s="1"/>
  <c r="C474" i="21"/>
  <c r="E474" i="21" s="1"/>
  <c r="G474" i="21" s="1"/>
  <c r="C475" i="21"/>
  <c r="E475" i="21" s="1"/>
  <c r="G475" i="21" s="1"/>
  <c r="E477" i="21"/>
  <c r="G477" i="21" s="1"/>
  <c r="E478" i="21"/>
  <c r="G478" i="21" s="1"/>
  <c r="C467" i="21"/>
  <c r="C468" i="21"/>
  <c r="C469" i="21"/>
  <c r="C470" i="21"/>
  <c r="C471" i="21"/>
  <c r="C477" i="21"/>
  <c r="C478" i="21"/>
  <c r="C480" i="21"/>
  <c r="C481" i="21"/>
  <c r="C482" i="21"/>
  <c r="E487" i="21"/>
  <c r="G487" i="21" s="1"/>
  <c r="E488" i="21"/>
  <c r="G488" i="21" s="1"/>
  <c r="E489" i="21"/>
  <c r="G489" i="21" s="1"/>
  <c r="E490" i="21"/>
  <c r="G490" i="21" s="1"/>
  <c r="E491" i="21"/>
  <c r="G491" i="21" s="1"/>
  <c r="C493" i="21"/>
  <c r="E501" i="21"/>
  <c r="G501" i="21" s="1"/>
  <c r="E502" i="21"/>
  <c r="G502" i="21" s="1"/>
  <c r="C494" i="21"/>
  <c r="C495" i="21"/>
  <c r="E495" i="21" s="1"/>
  <c r="G495" i="21" s="1"/>
  <c r="E497" i="21"/>
  <c r="G497" i="21" s="1"/>
  <c r="E498" i="21"/>
  <c r="G498" i="21" s="1"/>
  <c r="C487" i="21"/>
  <c r="C488" i="21"/>
  <c r="C489" i="21"/>
  <c r="C490" i="21"/>
  <c r="C491" i="21"/>
  <c r="C497" i="21"/>
  <c r="C498" i="21"/>
  <c r="C500" i="21"/>
  <c r="C501" i="21"/>
  <c r="C502" i="21"/>
  <c r="E507" i="21"/>
  <c r="G507" i="21" s="1"/>
  <c r="E508" i="21"/>
  <c r="G508" i="21" s="1"/>
  <c r="E509" i="21"/>
  <c r="G509" i="21" s="1"/>
  <c r="E510" i="21"/>
  <c r="G510" i="21" s="1"/>
  <c r="E511" i="21"/>
  <c r="G511" i="21" s="1"/>
  <c r="C513" i="21"/>
  <c r="C514" i="21"/>
  <c r="E521" i="21"/>
  <c r="G521" i="21" s="1"/>
  <c r="E522" i="21"/>
  <c r="G522" i="21" s="1"/>
  <c r="C515" i="21"/>
  <c r="E515" i="21" s="1"/>
  <c r="G515" i="21" s="1"/>
  <c r="E517" i="21"/>
  <c r="G517" i="21" s="1"/>
  <c r="E518" i="21"/>
  <c r="G518" i="21" s="1"/>
  <c r="C507" i="21"/>
  <c r="C508" i="21"/>
  <c r="C509" i="21"/>
  <c r="C510" i="21"/>
  <c r="C511" i="21"/>
  <c r="C517" i="21"/>
  <c r="C518" i="21"/>
  <c r="C520" i="21"/>
  <c r="C521" i="21"/>
  <c r="C522" i="21"/>
  <c r="E527" i="21"/>
  <c r="G527" i="21" s="1"/>
  <c r="E528" i="21"/>
  <c r="G528" i="21" s="1"/>
  <c r="E529" i="21"/>
  <c r="G529" i="21" s="1"/>
  <c r="E530" i="21"/>
  <c r="G530" i="21" s="1"/>
  <c r="E531" i="21"/>
  <c r="G531" i="21" s="1"/>
  <c r="C533" i="21"/>
  <c r="E541" i="21"/>
  <c r="G541" i="21" s="1"/>
  <c r="E542" i="21"/>
  <c r="G542" i="21" s="1"/>
  <c r="C534" i="21"/>
  <c r="C535" i="21"/>
  <c r="E535" i="21" s="1"/>
  <c r="G535" i="21" s="1"/>
  <c r="E537" i="21"/>
  <c r="G537" i="21" s="1"/>
  <c r="E538" i="21"/>
  <c r="G538" i="21" s="1"/>
  <c r="C527" i="21"/>
  <c r="C528" i="21"/>
  <c r="C529" i="21"/>
  <c r="C530" i="21"/>
  <c r="C531" i="21"/>
  <c r="C537" i="21"/>
  <c r="C538" i="21"/>
  <c r="C540" i="21"/>
  <c r="C541" i="21"/>
  <c r="C542" i="21"/>
  <c r="E547" i="21"/>
  <c r="G547" i="21" s="1"/>
  <c r="E549" i="21"/>
  <c r="G549" i="21" s="1"/>
  <c r="E550" i="21"/>
  <c r="G550" i="21" s="1"/>
  <c r="E551" i="21"/>
  <c r="G551" i="21" s="1"/>
  <c r="C553" i="21"/>
  <c r="E561" i="21"/>
  <c r="G561" i="21" s="1"/>
  <c r="E562" i="21"/>
  <c r="G562" i="21" s="1"/>
  <c r="C554" i="21"/>
  <c r="E554" i="21" s="1"/>
  <c r="G554" i="21" s="1"/>
  <c r="C555" i="21"/>
  <c r="E555" i="21" s="1"/>
  <c r="G555" i="21" s="1"/>
  <c r="E557" i="21"/>
  <c r="G557" i="21" s="1"/>
  <c r="E558" i="21"/>
  <c r="G558" i="21" s="1"/>
  <c r="C547" i="21"/>
  <c r="C548" i="21"/>
  <c r="C549" i="21"/>
  <c r="C550" i="21"/>
  <c r="C551" i="21"/>
  <c r="C557" i="21"/>
  <c r="C558" i="21"/>
  <c r="C560" i="21"/>
  <c r="C561" i="21"/>
  <c r="C562" i="21"/>
  <c r="E567" i="21"/>
  <c r="G567" i="21" s="1"/>
  <c r="E568" i="21"/>
  <c r="G568" i="21" s="1"/>
  <c r="E569" i="21"/>
  <c r="G569" i="21" s="1"/>
  <c r="E570" i="21"/>
  <c r="G570" i="21" s="1"/>
  <c r="E571" i="21"/>
  <c r="G571" i="21" s="1"/>
  <c r="C573" i="21"/>
  <c r="E581" i="21"/>
  <c r="G581" i="21" s="1"/>
  <c r="E582" i="21"/>
  <c r="G582" i="21" s="1"/>
  <c r="C574" i="21"/>
  <c r="E574" i="21" s="1"/>
  <c r="G574" i="21" s="1"/>
  <c r="C575" i="21"/>
  <c r="E575" i="21" s="1"/>
  <c r="G575" i="21" s="1"/>
  <c r="E577" i="21"/>
  <c r="G577" i="21" s="1"/>
  <c r="E578" i="21"/>
  <c r="G578" i="21" s="1"/>
  <c r="C567" i="21"/>
  <c r="C568" i="21"/>
  <c r="C569" i="21"/>
  <c r="C570" i="21"/>
  <c r="C571" i="21"/>
  <c r="C577" i="21"/>
  <c r="C578" i="21"/>
  <c r="C580" i="21"/>
  <c r="C581" i="21"/>
  <c r="C582" i="21"/>
  <c r="E587" i="21"/>
  <c r="G587" i="21" s="1"/>
  <c r="E588" i="21"/>
  <c r="G588" i="21" s="1"/>
  <c r="E589" i="21"/>
  <c r="G589" i="21" s="1"/>
  <c r="E590" i="21"/>
  <c r="G590" i="21" s="1"/>
  <c r="E591" i="21"/>
  <c r="G591" i="21" s="1"/>
  <c r="C593" i="21"/>
  <c r="E593" i="21" s="1"/>
  <c r="G593" i="21" s="1"/>
  <c r="C594" i="21"/>
  <c r="E594" i="21" s="1"/>
  <c r="G594" i="21" s="1"/>
  <c r="C595" i="21"/>
  <c r="E601" i="21"/>
  <c r="G601" i="21" s="1"/>
  <c r="E602" i="21"/>
  <c r="G602" i="21" s="1"/>
  <c r="E597" i="21"/>
  <c r="G597" i="21" s="1"/>
  <c r="E598" i="21"/>
  <c r="G598" i="21" s="1"/>
  <c r="C587" i="21"/>
  <c r="C588" i="21"/>
  <c r="C589" i="21"/>
  <c r="C590" i="21"/>
  <c r="C591" i="21"/>
  <c r="C597" i="21"/>
  <c r="C598" i="21"/>
  <c r="C600" i="21"/>
  <c r="C601" i="21"/>
  <c r="C602" i="21"/>
  <c r="C1204" i="24"/>
  <c r="E1204" i="24"/>
  <c r="C1205" i="24"/>
  <c r="E1205" i="24"/>
  <c r="G1205" i="24" s="1"/>
  <c r="E1206" i="24"/>
  <c r="G1206" i="24" s="1"/>
  <c r="E1207" i="24"/>
  <c r="G1207" i="24" s="1"/>
  <c r="E1208" i="24"/>
  <c r="G1208" i="24" s="1"/>
  <c r="C1210" i="24"/>
  <c r="E1218" i="24"/>
  <c r="G1218" i="24" s="1"/>
  <c r="E1219" i="24"/>
  <c r="G1219" i="24" s="1"/>
  <c r="C1211" i="24"/>
  <c r="E1211" i="24" s="1"/>
  <c r="G1211" i="24" s="1"/>
  <c r="C1212" i="24"/>
  <c r="E1212" i="24" s="1"/>
  <c r="G1212" i="24" s="1"/>
  <c r="E1214" i="24"/>
  <c r="G1214" i="24" s="1"/>
  <c r="E1215" i="24"/>
  <c r="G1215" i="24" s="1"/>
  <c r="C1206" i="24"/>
  <c r="C1207" i="24"/>
  <c r="C1208" i="24"/>
  <c r="C1214" i="24"/>
  <c r="C1215" i="24"/>
  <c r="C1217" i="24"/>
  <c r="C1218" i="24"/>
  <c r="C1219" i="24"/>
  <c r="E1224" i="24"/>
  <c r="G1224" i="24" s="1"/>
  <c r="E1225" i="24"/>
  <c r="E1226" i="24"/>
  <c r="G1226" i="24" s="1"/>
  <c r="E1227" i="24"/>
  <c r="G1227" i="24" s="1"/>
  <c r="E1228" i="24"/>
  <c r="C1230" i="24"/>
  <c r="E1238" i="24"/>
  <c r="G1238" i="24" s="1"/>
  <c r="E1239" i="24"/>
  <c r="G1239" i="24" s="1"/>
  <c r="C1231" i="24"/>
  <c r="E1231" i="24" s="1"/>
  <c r="G1231" i="24" s="1"/>
  <c r="C1232" i="24"/>
  <c r="E1232" i="24" s="1"/>
  <c r="G1232" i="24" s="1"/>
  <c r="E1234" i="24"/>
  <c r="G1234" i="24" s="1"/>
  <c r="E1235" i="24"/>
  <c r="G1235" i="24" s="1"/>
  <c r="C1224" i="24"/>
  <c r="C1225" i="24"/>
  <c r="C1226" i="24"/>
  <c r="C1227" i="24"/>
  <c r="C1228" i="24"/>
  <c r="C1234" i="24"/>
  <c r="C1235" i="24"/>
  <c r="C1237" i="24"/>
  <c r="C1238" i="24"/>
  <c r="C1239" i="24"/>
  <c r="C7" i="26"/>
  <c r="E7" i="26"/>
  <c r="G7" i="26" s="1"/>
  <c r="C8" i="26"/>
  <c r="E8" i="26"/>
  <c r="G8" i="26" s="1"/>
  <c r="E9" i="26"/>
  <c r="G9" i="26" s="1"/>
  <c r="E10" i="26"/>
  <c r="G10" i="26" s="1"/>
  <c r="E11" i="26"/>
  <c r="G11" i="26" s="1"/>
  <c r="E12" i="26"/>
  <c r="G12" i="26" s="1"/>
  <c r="E13" i="26"/>
  <c r="E14" i="26"/>
  <c r="G14" i="26" s="1"/>
  <c r="E15" i="26"/>
  <c r="G15" i="26" s="1"/>
  <c r="E16" i="26"/>
  <c r="G16" i="26" s="1"/>
  <c r="E17" i="26"/>
  <c r="G17" i="26" s="1"/>
  <c r="E18" i="26"/>
  <c r="G18" i="26" s="1"/>
  <c r="D19" i="26"/>
  <c r="E19" i="26"/>
  <c r="E20" i="26"/>
  <c r="G20" i="26" s="1"/>
  <c r="E21" i="26"/>
  <c r="G21" i="26" s="1"/>
  <c r="C23" i="26"/>
  <c r="E23" i="26" s="1"/>
  <c r="G23" i="26" s="1"/>
  <c r="C24" i="26"/>
  <c r="E24" i="26" s="1"/>
  <c r="G24" i="26" s="1"/>
  <c r="C25" i="26"/>
  <c r="E25" i="26" s="1"/>
  <c r="G25" i="26" s="1"/>
  <c r="C26" i="26"/>
  <c r="E26" i="26" s="1"/>
  <c r="G26" i="26" s="1"/>
  <c r="C27" i="26"/>
  <c r="E27" i="26" s="1"/>
  <c r="G27" i="26" s="1"/>
  <c r="C28" i="26"/>
  <c r="E28" i="26" s="1"/>
  <c r="G28" i="26" s="1"/>
  <c r="C29" i="26"/>
  <c r="E35" i="26"/>
  <c r="G35" i="26" s="1"/>
  <c r="E36" i="26"/>
  <c r="G36" i="26" s="1"/>
  <c r="E31" i="26"/>
  <c r="G31" i="26" s="1"/>
  <c r="E32" i="26"/>
  <c r="G32" i="26" s="1"/>
  <c r="C9" i="26"/>
  <c r="C10" i="26"/>
  <c r="C11" i="26"/>
  <c r="C12" i="26"/>
  <c r="C13" i="26"/>
  <c r="C14" i="26"/>
  <c r="C15" i="26"/>
  <c r="C16" i="26"/>
  <c r="C17" i="26"/>
  <c r="C18" i="26"/>
  <c r="C19" i="26"/>
  <c r="C20" i="26"/>
  <c r="C21" i="26"/>
  <c r="C31" i="26"/>
  <c r="C32" i="26"/>
  <c r="C34" i="26"/>
  <c r="C35" i="26"/>
  <c r="C36" i="26"/>
  <c r="E41" i="26"/>
  <c r="G41" i="26" s="1"/>
  <c r="E42" i="26"/>
  <c r="G42" i="26" s="1"/>
  <c r="E43" i="26"/>
  <c r="G43" i="26" s="1"/>
  <c r="E44" i="26"/>
  <c r="G44" i="26" s="1"/>
  <c r="E45" i="26"/>
  <c r="G45" i="26" s="1"/>
  <c r="E46" i="26"/>
  <c r="G46" i="26" s="1"/>
  <c r="E47" i="26"/>
  <c r="G47" i="26" s="1"/>
  <c r="E48" i="26"/>
  <c r="G48" i="26" s="1"/>
  <c r="E49" i="26"/>
  <c r="G49" i="26" s="1"/>
  <c r="E50" i="26"/>
  <c r="G50" i="26" s="1"/>
  <c r="E51" i="26"/>
  <c r="G51" i="26" s="1"/>
  <c r="E52" i="26"/>
  <c r="G52" i="26" s="1"/>
  <c r="D53" i="26"/>
  <c r="E53" i="26"/>
  <c r="E54" i="26"/>
  <c r="G54" i="26" s="1"/>
  <c r="E55" i="26"/>
  <c r="G55" i="26" s="1"/>
  <c r="C57" i="26"/>
  <c r="E57" i="26" s="1"/>
  <c r="G57" i="26" s="1"/>
  <c r="C58" i="26"/>
  <c r="E58" i="26" s="1"/>
  <c r="G58" i="26" s="1"/>
  <c r="C59" i="26"/>
  <c r="E59" i="26" s="1"/>
  <c r="G59" i="26" s="1"/>
  <c r="C60" i="26"/>
  <c r="E60" i="26" s="1"/>
  <c r="G60" i="26" s="1"/>
  <c r="C61" i="26"/>
  <c r="E61" i="26" s="1"/>
  <c r="G61" i="26" s="1"/>
  <c r="C62" i="26"/>
  <c r="E62" i="26" s="1"/>
  <c r="G62" i="26" s="1"/>
  <c r="C63" i="26"/>
  <c r="E69" i="26"/>
  <c r="G69" i="26" s="1"/>
  <c r="E70" i="26"/>
  <c r="G70" i="26" s="1"/>
  <c r="E65" i="26"/>
  <c r="G65" i="26" s="1"/>
  <c r="E66" i="26"/>
  <c r="G66" i="26" s="1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65" i="26"/>
  <c r="C66" i="26"/>
  <c r="C68" i="26"/>
  <c r="C69" i="26"/>
  <c r="C70" i="26"/>
  <c r="E75" i="26"/>
  <c r="G75" i="26" s="1"/>
  <c r="E76" i="26"/>
  <c r="G76" i="26" s="1"/>
  <c r="E77" i="26"/>
  <c r="G77" i="26" s="1"/>
  <c r="E78" i="26"/>
  <c r="G78" i="26" s="1"/>
  <c r="E79" i="26"/>
  <c r="G79" i="26" s="1"/>
  <c r="E80" i="26"/>
  <c r="G80" i="26" s="1"/>
  <c r="E81" i="26"/>
  <c r="G81" i="26" s="1"/>
  <c r="E82" i="26"/>
  <c r="G82" i="26" s="1"/>
  <c r="E83" i="26"/>
  <c r="G83" i="26" s="1"/>
  <c r="E84" i="26"/>
  <c r="G84" i="26" s="1"/>
  <c r="E85" i="26"/>
  <c r="G85" i="26" s="1"/>
  <c r="E86" i="26"/>
  <c r="G86" i="26" s="1"/>
  <c r="D87" i="26"/>
  <c r="E87" i="26"/>
  <c r="E88" i="26"/>
  <c r="G88" i="26" s="1"/>
  <c r="E89" i="26"/>
  <c r="G89" i="26" s="1"/>
  <c r="C91" i="26"/>
  <c r="E91" i="26" s="1"/>
  <c r="G91" i="26" s="1"/>
  <c r="C92" i="26"/>
  <c r="E92" i="26" s="1"/>
  <c r="G92" i="26" s="1"/>
  <c r="C93" i="26"/>
  <c r="E93" i="26" s="1"/>
  <c r="G93" i="26" s="1"/>
  <c r="C94" i="26"/>
  <c r="E94" i="26" s="1"/>
  <c r="G94" i="26" s="1"/>
  <c r="C95" i="26"/>
  <c r="E95" i="26" s="1"/>
  <c r="G95" i="26" s="1"/>
  <c r="C96" i="26"/>
  <c r="E96" i="26" s="1"/>
  <c r="G96" i="26" s="1"/>
  <c r="C97" i="26"/>
  <c r="E103" i="26"/>
  <c r="G103" i="26" s="1"/>
  <c r="E104" i="26"/>
  <c r="G104" i="26" s="1"/>
  <c r="E99" i="26"/>
  <c r="G99" i="26" s="1"/>
  <c r="E100" i="26"/>
  <c r="G100" i="26" s="1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9" i="26"/>
  <c r="C100" i="26"/>
  <c r="C102" i="26"/>
  <c r="C103" i="26"/>
  <c r="C104" i="26"/>
  <c r="E109" i="26"/>
  <c r="G109" i="26" s="1"/>
  <c r="E110" i="26"/>
  <c r="G110" i="26" s="1"/>
  <c r="E111" i="26"/>
  <c r="G111" i="26" s="1"/>
  <c r="E112" i="26"/>
  <c r="G112" i="26" s="1"/>
  <c r="E113" i="26"/>
  <c r="G113" i="26" s="1"/>
  <c r="E114" i="26"/>
  <c r="G114" i="26" s="1"/>
  <c r="E115" i="26"/>
  <c r="G115" i="26" s="1"/>
  <c r="E116" i="26"/>
  <c r="G116" i="26" s="1"/>
  <c r="E117" i="26"/>
  <c r="G117" i="26" s="1"/>
  <c r="E118" i="26"/>
  <c r="G118" i="26" s="1"/>
  <c r="E119" i="26"/>
  <c r="G119" i="26" s="1"/>
  <c r="E120" i="26"/>
  <c r="G120" i="26" s="1"/>
  <c r="D121" i="26"/>
  <c r="E121" i="26"/>
  <c r="E122" i="26"/>
  <c r="G122" i="26" s="1"/>
  <c r="E123" i="26"/>
  <c r="G123" i="26" s="1"/>
  <c r="C125" i="26"/>
  <c r="E125" i="26" s="1"/>
  <c r="G125" i="26" s="1"/>
  <c r="C126" i="26"/>
  <c r="E126" i="26" s="1"/>
  <c r="G126" i="26" s="1"/>
  <c r="C127" i="26"/>
  <c r="E127" i="26" s="1"/>
  <c r="G127" i="26" s="1"/>
  <c r="C128" i="26"/>
  <c r="E128" i="26" s="1"/>
  <c r="G128" i="26" s="1"/>
  <c r="C129" i="26"/>
  <c r="E129" i="26" s="1"/>
  <c r="G129" i="26" s="1"/>
  <c r="C130" i="26"/>
  <c r="E130" i="26" s="1"/>
  <c r="G130" i="26" s="1"/>
  <c r="C131" i="26"/>
  <c r="E137" i="26"/>
  <c r="G137" i="26" s="1"/>
  <c r="E138" i="26"/>
  <c r="G138" i="26" s="1"/>
  <c r="E133" i="26"/>
  <c r="G133" i="26" s="1"/>
  <c r="E134" i="26"/>
  <c r="G134" i="26" s="1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33" i="26"/>
  <c r="C134" i="26"/>
  <c r="C136" i="26"/>
  <c r="C137" i="26"/>
  <c r="C138" i="26"/>
  <c r="E143" i="26"/>
  <c r="G143" i="26" s="1"/>
  <c r="E144" i="26"/>
  <c r="G144" i="26" s="1"/>
  <c r="E145" i="26"/>
  <c r="G145" i="26" s="1"/>
  <c r="E146" i="26"/>
  <c r="G146" i="26" s="1"/>
  <c r="E147" i="26"/>
  <c r="G147" i="26" s="1"/>
  <c r="E148" i="26"/>
  <c r="G148" i="26" s="1"/>
  <c r="E149" i="26"/>
  <c r="G149" i="26" s="1"/>
  <c r="E150" i="26"/>
  <c r="G150" i="26" s="1"/>
  <c r="E151" i="26"/>
  <c r="G151" i="26" s="1"/>
  <c r="E152" i="26"/>
  <c r="G152" i="26" s="1"/>
  <c r="E153" i="26"/>
  <c r="G153" i="26" s="1"/>
  <c r="E154" i="26"/>
  <c r="G154" i="26" s="1"/>
  <c r="E155" i="26"/>
  <c r="G155" i="26" s="1"/>
  <c r="D156" i="26"/>
  <c r="E156" i="26"/>
  <c r="E157" i="26"/>
  <c r="G157" i="26" s="1"/>
  <c r="E158" i="26"/>
  <c r="G158" i="26" s="1"/>
  <c r="C160" i="26"/>
  <c r="E160" i="26" s="1"/>
  <c r="G160" i="26" s="1"/>
  <c r="C161" i="26"/>
  <c r="E161" i="26" s="1"/>
  <c r="G161" i="26" s="1"/>
  <c r="C162" i="26"/>
  <c r="E162" i="26" s="1"/>
  <c r="G162" i="26" s="1"/>
  <c r="C163" i="26"/>
  <c r="E163" i="26" s="1"/>
  <c r="G163" i="26" s="1"/>
  <c r="C164" i="26"/>
  <c r="E164" i="26" s="1"/>
  <c r="G164" i="26" s="1"/>
  <c r="C165" i="26"/>
  <c r="E165" i="26" s="1"/>
  <c r="G165" i="26" s="1"/>
  <c r="C166" i="26"/>
  <c r="E172" i="26"/>
  <c r="G172" i="26" s="1"/>
  <c r="E173" i="26"/>
  <c r="G173" i="26" s="1"/>
  <c r="E168" i="26"/>
  <c r="G168" i="26" s="1"/>
  <c r="E169" i="26"/>
  <c r="G169" i="26" s="1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68" i="26"/>
  <c r="C169" i="26"/>
  <c r="C171" i="26"/>
  <c r="C172" i="26"/>
  <c r="C173" i="26"/>
  <c r="D178" i="26"/>
  <c r="E178" i="26"/>
  <c r="E179" i="26"/>
  <c r="G179" i="26" s="1"/>
  <c r="E180" i="26"/>
  <c r="G180" i="26" s="1"/>
  <c r="E181" i="26"/>
  <c r="G181" i="26" s="1"/>
  <c r="E182" i="26"/>
  <c r="G182" i="26" s="1"/>
  <c r="C184" i="26"/>
  <c r="E184" i="26" s="1"/>
  <c r="G184" i="26" s="1"/>
  <c r="C185" i="26"/>
  <c r="E185" i="26" s="1"/>
  <c r="G185" i="26" s="1"/>
  <c r="C186" i="26"/>
  <c r="E192" i="26"/>
  <c r="G192" i="26" s="1"/>
  <c r="E193" i="26"/>
  <c r="G193" i="26" s="1"/>
  <c r="E188" i="26"/>
  <c r="G188" i="26" s="1"/>
  <c r="E189" i="26"/>
  <c r="G189" i="26" s="1"/>
  <c r="C178" i="26"/>
  <c r="C179" i="26"/>
  <c r="C180" i="26"/>
  <c r="C181" i="26"/>
  <c r="C182" i="26"/>
  <c r="C188" i="26"/>
  <c r="C189" i="26"/>
  <c r="C191" i="26"/>
  <c r="C192" i="26"/>
  <c r="C193" i="26"/>
  <c r="D198" i="26"/>
  <c r="E198" i="26"/>
  <c r="E199" i="26"/>
  <c r="G199" i="26" s="1"/>
  <c r="E200" i="26"/>
  <c r="G200" i="26" s="1"/>
  <c r="E201" i="26"/>
  <c r="G201" i="26" s="1"/>
  <c r="E202" i="26"/>
  <c r="G202" i="26" s="1"/>
  <c r="C204" i="26"/>
  <c r="E204" i="26" s="1"/>
  <c r="G204" i="26" s="1"/>
  <c r="C205" i="26"/>
  <c r="E205" i="26" s="1"/>
  <c r="G205" i="26" s="1"/>
  <c r="C206" i="26"/>
  <c r="E212" i="26"/>
  <c r="G212" i="26" s="1"/>
  <c r="E213" i="26"/>
  <c r="G213" i="26" s="1"/>
  <c r="E208" i="26"/>
  <c r="G208" i="26" s="1"/>
  <c r="E209" i="26"/>
  <c r="G209" i="26" s="1"/>
  <c r="C198" i="26"/>
  <c r="C199" i="26"/>
  <c r="C200" i="26"/>
  <c r="C201" i="26"/>
  <c r="C202" i="26"/>
  <c r="C208" i="26"/>
  <c r="C209" i="26"/>
  <c r="C211" i="26"/>
  <c r="C212" i="26"/>
  <c r="C213" i="26"/>
  <c r="D218" i="26"/>
  <c r="E218" i="26"/>
  <c r="E219" i="26"/>
  <c r="G219" i="26" s="1"/>
  <c r="E220" i="26"/>
  <c r="G220" i="26" s="1"/>
  <c r="E221" i="26"/>
  <c r="G221" i="26" s="1"/>
  <c r="E222" i="26"/>
  <c r="G222" i="26" s="1"/>
  <c r="C224" i="26"/>
  <c r="E224" i="26" s="1"/>
  <c r="G224" i="26" s="1"/>
  <c r="C225" i="26"/>
  <c r="E225" i="26" s="1"/>
  <c r="G225" i="26" s="1"/>
  <c r="C226" i="26"/>
  <c r="E232" i="26"/>
  <c r="G232" i="26" s="1"/>
  <c r="E233" i="26"/>
  <c r="G233" i="26" s="1"/>
  <c r="E228" i="26"/>
  <c r="G228" i="26" s="1"/>
  <c r="E229" i="26"/>
  <c r="G229" i="26" s="1"/>
  <c r="C218" i="26"/>
  <c r="C219" i="26"/>
  <c r="C220" i="26"/>
  <c r="C221" i="26"/>
  <c r="C222" i="26"/>
  <c r="C228" i="26"/>
  <c r="C229" i="26"/>
  <c r="C231" i="26"/>
  <c r="C232" i="26"/>
  <c r="C233" i="26"/>
  <c r="E238" i="26"/>
  <c r="G238" i="26" s="1"/>
  <c r="D239" i="26"/>
  <c r="E239" i="26"/>
  <c r="E240" i="26"/>
  <c r="G240" i="26" s="1"/>
  <c r="E241" i="26"/>
  <c r="G241" i="26" s="1"/>
  <c r="E242" i="26"/>
  <c r="G242" i="26" s="1"/>
  <c r="C244" i="26"/>
  <c r="E244" i="26" s="1"/>
  <c r="G244" i="26" s="1"/>
  <c r="C245" i="26"/>
  <c r="E245" i="26" s="1"/>
  <c r="G245" i="26" s="1"/>
  <c r="C246" i="26"/>
  <c r="E253" i="26"/>
  <c r="G253" i="26" s="1"/>
  <c r="E254" i="26"/>
  <c r="G254" i="26" s="1"/>
  <c r="C247" i="26"/>
  <c r="E249" i="26"/>
  <c r="G249" i="26" s="1"/>
  <c r="E250" i="26"/>
  <c r="G250" i="26" s="1"/>
  <c r="C238" i="26"/>
  <c r="C239" i="26"/>
  <c r="C240" i="26"/>
  <c r="C241" i="26"/>
  <c r="C242" i="26"/>
  <c r="C249" i="26"/>
  <c r="C250" i="26"/>
  <c r="C252" i="26"/>
  <c r="C253" i="26"/>
  <c r="C254" i="26"/>
  <c r="E259" i="26"/>
  <c r="G259" i="26" s="1"/>
  <c r="D260" i="26"/>
  <c r="E260" i="26"/>
  <c r="E261" i="26"/>
  <c r="G261" i="26" s="1"/>
  <c r="E262" i="26"/>
  <c r="G262" i="26" s="1"/>
  <c r="E263" i="26"/>
  <c r="G263" i="26" s="1"/>
  <c r="C265" i="26"/>
  <c r="E265" i="26" s="1"/>
  <c r="G265" i="26" s="1"/>
  <c r="C266" i="26"/>
  <c r="E266" i="26" s="1"/>
  <c r="G266" i="26" s="1"/>
  <c r="C267" i="26"/>
  <c r="E274" i="26"/>
  <c r="G274" i="26" s="1"/>
  <c r="E275" i="26"/>
  <c r="G275" i="26" s="1"/>
  <c r="C268" i="26"/>
  <c r="E270" i="26"/>
  <c r="G270" i="26" s="1"/>
  <c r="E271" i="26"/>
  <c r="G271" i="26" s="1"/>
  <c r="C259" i="26"/>
  <c r="C260" i="26"/>
  <c r="C261" i="26"/>
  <c r="C262" i="26"/>
  <c r="C263" i="26"/>
  <c r="C270" i="26"/>
  <c r="C271" i="26"/>
  <c r="C273" i="26"/>
  <c r="C274" i="26"/>
  <c r="C275" i="26"/>
  <c r="E280" i="26"/>
  <c r="G280" i="26" s="1"/>
  <c r="D281" i="26"/>
  <c r="E281" i="26"/>
  <c r="E282" i="26"/>
  <c r="G282" i="26" s="1"/>
  <c r="E283" i="26"/>
  <c r="G283" i="26" s="1"/>
  <c r="E284" i="26"/>
  <c r="G284" i="26" s="1"/>
  <c r="C286" i="26"/>
  <c r="E286" i="26" s="1"/>
  <c r="G286" i="26" s="1"/>
  <c r="C287" i="26"/>
  <c r="E287" i="26" s="1"/>
  <c r="G287" i="26" s="1"/>
  <c r="C288" i="26"/>
  <c r="E295" i="26"/>
  <c r="G295" i="26" s="1"/>
  <c r="E296" i="26"/>
  <c r="G296" i="26" s="1"/>
  <c r="C289" i="26"/>
  <c r="E291" i="26"/>
  <c r="G291" i="26" s="1"/>
  <c r="E292" i="26"/>
  <c r="G292" i="26" s="1"/>
  <c r="C280" i="26"/>
  <c r="C281" i="26"/>
  <c r="C282" i="26"/>
  <c r="C283" i="26"/>
  <c r="C284" i="26"/>
  <c r="C291" i="26"/>
  <c r="C292" i="26"/>
  <c r="C294" i="26"/>
  <c r="C295" i="26"/>
  <c r="C296" i="26"/>
  <c r="E301" i="26"/>
  <c r="G301" i="26" s="1"/>
  <c r="D302" i="26"/>
  <c r="E302" i="26"/>
  <c r="E303" i="26"/>
  <c r="G303" i="26" s="1"/>
  <c r="E304" i="26"/>
  <c r="G304" i="26" s="1"/>
  <c r="E305" i="26"/>
  <c r="G305" i="26" s="1"/>
  <c r="C307" i="26"/>
  <c r="E307" i="26" s="1"/>
  <c r="G307" i="26" s="1"/>
  <c r="C308" i="26"/>
  <c r="E308" i="26" s="1"/>
  <c r="G308" i="26" s="1"/>
  <c r="C309" i="26"/>
  <c r="E316" i="26"/>
  <c r="G316" i="26" s="1"/>
  <c r="E317" i="26"/>
  <c r="G317" i="26" s="1"/>
  <c r="C310" i="26"/>
  <c r="E312" i="26"/>
  <c r="G312" i="26" s="1"/>
  <c r="E313" i="26"/>
  <c r="G313" i="26" s="1"/>
  <c r="C301" i="26"/>
  <c r="C302" i="26"/>
  <c r="C303" i="26"/>
  <c r="C304" i="26"/>
  <c r="C305" i="26"/>
  <c r="C312" i="26"/>
  <c r="C313" i="26"/>
  <c r="C315" i="26"/>
  <c r="C316" i="26"/>
  <c r="C317" i="26"/>
  <c r="E322" i="26"/>
  <c r="G322" i="26" s="1"/>
  <c r="D323" i="26"/>
  <c r="E323" i="26"/>
  <c r="E324" i="26"/>
  <c r="G324" i="26" s="1"/>
  <c r="E325" i="26"/>
  <c r="G325" i="26" s="1"/>
  <c r="E326" i="26"/>
  <c r="G326" i="26" s="1"/>
  <c r="C328" i="26"/>
  <c r="E328" i="26" s="1"/>
  <c r="G328" i="26" s="1"/>
  <c r="C329" i="26"/>
  <c r="E329" i="26" s="1"/>
  <c r="G329" i="26" s="1"/>
  <c r="C330" i="26"/>
  <c r="E337" i="26"/>
  <c r="G337" i="26" s="1"/>
  <c r="E338" i="26"/>
  <c r="G338" i="26" s="1"/>
  <c r="C331" i="26"/>
  <c r="E333" i="26"/>
  <c r="G333" i="26" s="1"/>
  <c r="E334" i="26"/>
  <c r="G334" i="26" s="1"/>
  <c r="C322" i="26"/>
  <c r="C323" i="26"/>
  <c r="C324" i="26"/>
  <c r="C325" i="26"/>
  <c r="C326" i="26"/>
  <c r="C333" i="26"/>
  <c r="C334" i="26"/>
  <c r="C336" i="26"/>
  <c r="C337" i="26"/>
  <c r="C338" i="26"/>
  <c r="D343" i="26"/>
  <c r="E343" i="26"/>
  <c r="E344" i="26"/>
  <c r="G344" i="26" s="1"/>
  <c r="E345" i="26"/>
  <c r="G345" i="26" s="1"/>
  <c r="E346" i="26"/>
  <c r="G346" i="26" s="1"/>
  <c r="E347" i="26"/>
  <c r="G347" i="26" s="1"/>
  <c r="C349" i="26"/>
  <c r="E349" i="26" s="1"/>
  <c r="G349" i="26" s="1"/>
  <c r="C350" i="26"/>
  <c r="E350" i="26" s="1"/>
  <c r="G350" i="26" s="1"/>
  <c r="C351" i="26"/>
  <c r="E358" i="26"/>
  <c r="G358" i="26" s="1"/>
  <c r="E359" i="26"/>
  <c r="G359" i="26" s="1"/>
  <c r="C352" i="26"/>
  <c r="E354" i="26"/>
  <c r="G354" i="26" s="1"/>
  <c r="E355" i="26"/>
  <c r="G355" i="26" s="1"/>
  <c r="C343" i="26"/>
  <c r="C344" i="26"/>
  <c r="C345" i="26"/>
  <c r="C346" i="26"/>
  <c r="C347" i="26"/>
  <c r="C354" i="26"/>
  <c r="C355" i="26"/>
  <c r="C357" i="26"/>
  <c r="C358" i="26"/>
  <c r="C359" i="26"/>
  <c r="E365" i="26"/>
  <c r="G365" i="26" s="1"/>
  <c r="E366" i="26"/>
  <c r="G366" i="26" s="1"/>
  <c r="E367" i="26"/>
  <c r="G367" i="26" s="1"/>
  <c r="E368" i="26"/>
  <c r="G368" i="26" s="1"/>
  <c r="C370" i="26"/>
  <c r="E378" i="26"/>
  <c r="G378" i="26" s="1"/>
  <c r="E379" i="26"/>
  <c r="G379" i="26" s="1"/>
  <c r="C371" i="26"/>
  <c r="C372" i="26"/>
  <c r="E372" i="26" s="1"/>
  <c r="G372" i="26" s="1"/>
  <c r="E374" i="26"/>
  <c r="G374" i="26" s="1"/>
  <c r="E375" i="26"/>
  <c r="G375" i="26" s="1"/>
  <c r="C364" i="26"/>
  <c r="C365" i="26"/>
  <c r="C366" i="26"/>
  <c r="C367" i="26"/>
  <c r="C368" i="26"/>
  <c r="C374" i="26"/>
  <c r="C375" i="26"/>
  <c r="C377" i="26"/>
  <c r="C378" i="26"/>
  <c r="C379" i="26"/>
  <c r="E385" i="26"/>
  <c r="G385" i="26" s="1"/>
  <c r="E386" i="26"/>
  <c r="G386" i="26" s="1"/>
  <c r="E387" i="26"/>
  <c r="G387" i="26" s="1"/>
  <c r="C390" i="26"/>
  <c r="E390" i="26" s="1"/>
  <c r="G390" i="26" s="1"/>
  <c r="C391" i="26"/>
  <c r="E398" i="26"/>
  <c r="G398" i="26" s="1"/>
  <c r="E399" i="26"/>
  <c r="G399" i="26" s="1"/>
  <c r="C392" i="26"/>
  <c r="E394" i="26"/>
  <c r="G394" i="26" s="1"/>
  <c r="E395" i="26"/>
  <c r="G395" i="26" s="1"/>
  <c r="C384" i="26"/>
  <c r="C385" i="26"/>
  <c r="C386" i="26"/>
  <c r="C387" i="26"/>
  <c r="C388" i="26"/>
  <c r="C394" i="26"/>
  <c r="C395" i="26"/>
  <c r="C397" i="26"/>
  <c r="C398" i="26"/>
  <c r="C399" i="26"/>
  <c r="E406" i="26"/>
  <c r="G406" i="26" s="1"/>
  <c r="E407" i="26"/>
  <c r="G407" i="26" s="1"/>
  <c r="E408" i="26"/>
  <c r="G408" i="26" s="1"/>
  <c r="C410" i="26"/>
  <c r="E418" i="26"/>
  <c r="G418" i="26" s="1"/>
  <c r="E419" i="26"/>
  <c r="G419" i="26" s="1"/>
  <c r="C411" i="26"/>
  <c r="C412" i="26"/>
  <c r="E412" i="26" s="1"/>
  <c r="G412" i="26" s="1"/>
  <c r="E414" i="26"/>
  <c r="G414" i="26" s="1"/>
  <c r="E415" i="26"/>
  <c r="G415" i="26" s="1"/>
  <c r="C404" i="26"/>
  <c r="C405" i="26"/>
  <c r="C406" i="26"/>
  <c r="C407" i="26"/>
  <c r="C408" i="26"/>
  <c r="C414" i="26"/>
  <c r="C415" i="26"/>
  <c r="C417" i="26"/>
  <c r="C418" i="26"/>
  <c r="C419" i="26"/>
  <c r="E7" i="6"/>
  <c r="G7" i="6" s="1"/>
  <c r="E8" i="6"/>
  <c r="G8" i="6" s="1"/>
  <c r="E9" i="6"/>
  <c r="G9" i="6" s="1"/>
  <c r="E10" i="6"/>
  <c r="G10" i="6" s="1"/>
  <c r="E11" i="6"/>
  <c r="G11" i="6" s="1"/>
  <c r="C13" i="6"/>
  <c r="E13" i="6" s="1"/>
  <c r="G13" i="6" s="1"/>
  <c r="C14" i="6"/>
  <c r="C15" i="6"/>
  <c r="E15" i="6" s="1"/>
  <c r="G15" i="6" s="1"/>
  <c r="D17" i="6"/>
  <c r="E17" i="6"/>
  <c r="E18" i="6"/>
  <c r="G18" i="6" s="1"/>
  <c r="E21" i="6"/>
  <c r="G21" i="6" s="1"/>
  <c r="E22" i="6"/>
  <c r="G22" i="6" s="1"/>
  <c r="D426" i="26"/>
  <c r="E427" i="26"/>
  <c r="G427" i="26" s="1"/>
  <c r="E428" i="26"/>
  <c r="G428" i="26" s="1"/>
  <c r="E429" i="26"/>
  <c r="G429" i="26" s="1"/>
  <c r="C431" i="26"/>
  <c r="E439" i="26"/>
  <c r="G439" i="26" s="1"/>
  <c r="E440" i="26"/>
  <c r="G440" i="26" s="1"/>
  <c r="C432" i="26"/>
  <c r="C433" i="26"/>
  <c r="E433" i="26" s="1"/>
  <c r="G433" i="26" s="1"/>
  <c r="E435" i="26"/>
  <c r="G435" i="26" s="1"/>
  <c r="E436" i="26"/>
  <c r="G436" i="26" s="1"/>
  <c r="C425" i="26"/>
  <c r="C426" i="26"/>
  <c r="C427" i="26"/>
  <c r="C428" i="26"/>
  <c r="C429" i="26"/>
  <c r="C435" i="26"/>
  <c r="C436" i="26"/>
  <c r="C438" i="26"/>
  <c r="C439" i="26"/>
  <c r="C440" i="26"/>
  <c r="D446" i="26"/>
  <c r="E447" i="26"/>
  <c r="G447" i="26" s="1"/>
  <c r="E448" i="26"/>
  <c r="G448" i="26" s="1"/>
  <c r="E449" i="26"/>
  <c r="G449" i="26" s="1"/>
  <c r="C451" i="26"/>
  <c r="E459" i="26"/>
  <c r="G459" i="26" s="1"/>
  <c r="E460" i="26"/>
  <c r="G460" i="26" s="1"/>
  <c r="C452" i="26"/>
  <c r="C453" i="26"/>
  <c r="E453" i="26" s="1"/>
  <c r="G453" i="26" s="1"/>
  <c r="E455" i="26"/>
  <c r="G455" i="26" s="1"/>
  <c r="E456" i="26"/>
  <c r="G456" i="26" s="1"/>
  <c r="C445" i="26"/>
  <c r="C446" i="26"/>
  <c r="C447" i="26"/>
  <c r="C448" i="26"/>
  <c r="C449" i="26"/>
  <c r="C455" i="26"/>
  <c r="C456" i="26"/>
  <c r="C458" i="26"/>
  <c r="C459" i="26"/>
  <c r="C460" i="26"/>
  <c r="D465" i="26"/>
  <c r="D466" i="26"/>
  <c r="E467" i="26"/>
  <c r="G467" i="26" s="1"/>
  <c r="E468" i="26"/>
  <c r="G468" i="26" s="1"/>
  <c r="E469" i="26"/>
  <c r="G469" i="26" s="1"/>
  <c r="C471" i="26"/>
  <c r="E479" i="26"/>
  <c r="G479" i="26" s="1"/>
  <c r="E480" i="26"/>
  <c r="G480" i="26" s="1"/>
  <c r="C472" i="26"/>
  <c r="C473" i="26"/>
  <c r="E473" i="26" s="1"/>
  <c r="G473" i="26" s="1"/>
  <c r="E475" i="26"/>
  <c r="G475" i="26" s="1"/>
  <c r="E476" i="26"/>
  <c r="G476" i="26" s="1"/>
  <c r="C465" i="26"/>
  <c r="C466" i="26"/>
  <c r="C467" i="26"/>
  <c r="C468" i="26"/>
  <c r="C469" i="26"/>
  <c r="C475" i="26"/>
  <c r="C476" i="26"/>
  <c r="C478" i="26"/>
  <c r="C479" i="26"/>
  <c r="C480" i="26"/>
  <c r="E486" i="26"/>
  <c r="G486" i="26" s="1"/>
  <c r="E487" i="26"/>
  <c r="G487" i="26" s="1"/>
  <c r="E488" i="26"/>
  <c r="G488" i="26" s="1"/>
  <c r="E489" i="26"/>
  <c r="G489" i="26" s="1"/>
  <c r="C491" i="26"/>
  <c r="E499" i="26"/>
  <c r="G499" i="26" s="1"/>
  <c r="E500" i="26"/>
  <c r="G500" i="26" s="1"/>
  <c r="C492" i="26"/>
  <c r="C493" i="26"/>
  <c r="E493" i="26" s="1"/>
  <c r="G493" i="26" s="1"/>
  <c r="E495" i="26"/>
  <c r="G495" i="26" s="1"/>
  <c r="E496" i="26"/>
  <c r="G496" i="26" s="1"/>
  <c r="C485" i="26"/>
  <c r="C486" i="26"/>
  <c r="C487" i="26"/>
  <c r="C488" i="26"/>
  <c r="C489" i="26"/>
  <c r="C495" i="26"/>
  <c r="C496" i="26"/>
  <c r="C498" i="26"/>
  <c r="C499" i="26"/>
  <c r="C500" i="26"/>
  <c r="E506" i="26"/>
  <c r="G506" i="26" s="1"/>
  <c r="E507" i="26"/>
  <c r="G507" i="26" s="1"/>
  <c r="E508" i="26"/>
  <c r="G508" i="26" s="1"/>
  <c r="E509" i="26"/>
  <c r="G509" i="26" s="1"/>
  <c r="C511" i="26"/>
  <c r="E519" i="26"/>
  <c r="G519" i="26" s="1"/>
  <c r="E520" i="26"/>
  <c r="G520" i="26" s="1"/>
  <c r="C512" i="26"/>
  <c r="C513" i="26"/>
  <c r="E513" i="26" s="1"/>
  <c r="G513" i="26" s="1"/>
  <c r="E515" i="26"/>
  <c r="G515" i="26" s="1"/>
  <c r="E516" i="26"/>
  <c r="G516" i="26" s="1"/>
  <c r="C505" i="26"/>
  <c r="C506" i="26"/>
  <c r="C507" i="26"/>
  <c r="C508" i="26"/>
  <c r="C509" i="26"/>
  <c r="C515" i="26"/>
  <c r="C516" i="26"/>
  <c r="C518" i="26"/>
  <c r="C519" i="26"/>
  <c r="C520" i="26"/>
  <c r="E525" i="26"/>
  <c r="G525" i="26" s="1"/>
  <c r="E526" i="26"/>
  <c r="G526" i="26" s="1"/>
  <c r="E527" i="26"/>
  <c r="G527" i="26" s="1"/>
  <c r="E528" i="26"/>
  <c r="G528" i="26" s="1"/>
  <c r="E529" i="26"/>
  <c r="G529" i="26" s="1"/>
  <c r="C531" i="26"/>
  <c r="E539" i="26"/>
  <c r="G539" i="26" s="1"/>
  <c r="E540" i="26"/>
  <c r="G540" i="26" s="1"/>
  <c r="C532" i="26"/>
  <c r="C533" i="26"/>
  <c r="E533" i="26" s="1"/>
  <c r="G533" i="26" s="1"/>
  <c r="E535" i="26"/>
  <c r="G535" i="26" s="1"/>
  <c r="E536" i="26"/>
  <c r="G536" i="26" s="1"/>
  <c r="C525" i="26"/>
  <c r="C526" i="26"/>
  <c r="C527" i="26"/>
  <c r="C528" i="26"/>
  <c r="C529" i="26"/>
  <c r="C535" i="26"/>
  <c r="C536" i="26"/>
  <c r="C538" i="26"/>
  <c r="C539" i="26"/>
  <c r="C540" i="26"/>
  <c r="E546" i="26"/>
  <c r="G546" i="26" s="1"/>
  <c r="E547" i="26"/>
  <c r="G547" i="26" s="1"/>
  <c r="C551" i="26"/>
  <c r="E551" i="26" s="1"/>
  <c r="G551" i="26" s="1"/>
  <c r="C552" i="26"/>
  <c r="E559" i="26"/>
  <c r="G559" i="26" s="1"/>
  <c r="E560" i="26"/>
  <c r="G560" i="26" s="1"/>
  <c r="C553" i="26"/>
  <c r="E555" i="26"/>
  <c r="G555" i="26" s="1"/>
  <c r="E556" i="26"/>
  <c r="G556" i="26" s="1"/>
  <c r="C545" i="26"/>
  <c r="C546" i="26"/>
  <c r="C547" i="26"/>
  <c r="C548" i="26"/>
  <c r="C549" i="26"/>
  <c r="C555" i="26"/>
  <c r="C556" i="26"/>
  <c r="C558" i="26"/>
  <c r="C559" i="26"/>
  <c r="C560" i="26"/>
  <c r="D565" i="26"/>
  <c r="E566" i="26"/>
  <c r="G566" i="26" s="1"/>
  <c r="E567" i="26"/>
  <c r="G567" i="26" s="1"/>
  <c r="C571" i="26"/>
  <c r="E571" i="26" s="1"/>
  <c r="G571" i="26" s="1"/>
  <c r="C572" i="26"/>
  <c r="E579" i="26"/>
  <c r="G579" i="26" s="1"/>
  <c r="E580" i="26"/>
  <c r="G580" i="26" s="1"/>
  <c r="C573" i="26"/>
  <c r="E575" i="26"/>
  <c r="G575" i="26" s="1"/>
  <c r="E576" i="26"/>
  <c r="G576" i="26" s="1"/>
  <c r="C565" i="26"/>
  <c r="C566" i="26"/>
  <c r="C567" i="26"/>
  <c r="C568" i="26"/>
  <c r="C569" i="26"/>
  <c r="C575" i="26"/>
  <c r="C576" i="26"/>
  <c r="C578" i="26"/>
  <c r="C579" i="26"/>
  <c r="C580" i="26"/>
  <c r="E585" i="26"/>
  <c r="G585" i="26" s="1"/>
  <c r="E586" i="26"/>
  <c r="G586" i="26" s="1"/>
  <c r="E587" i="26"/>
  <c r="G587" i="26" s="1"/>
  <c r="E588" i="26"/>
  <c r="G588" i="26" s="1"/>
  <c r="E589" i="26"/>
  <c r="G589" i="26" s="1"/>
  <c r="C591" i="26"/>
  <c r="E591" i="26" s="1"/>
  <c r="G591" i="26" s="1"/>
  <c r="C592" i="26"/>
  <c r="E599" i="26"/>
  <c r="G599" i="26" s="1"/>
  <c r="E600" i="26"/>
  <c r="G600" i="26" s="1"/>
  <c r="C593" i="26"/>
  <c r="E595" i="26"/>
  <c r="G595" i="26" s="1"/>
  <c r="E596" i="26"/>
  <c r="G596" i="26" s="1"/>
  <c r="C585" i="26"/>
  <c r="C586" i="26"/>
  <c r="C587" i="26"/>
  <c r="C588" i="26"/>
  <c r="C589" i="26"/>
  <c r="C595" i="26"/>
  <c r="C596" i="26"/>
  <c r="C598" i="26"/>
  <c r="C599" i="26"/>
  <c r="C600" i="26"/>
  <c r="E605" i="26"/>
  <c r="G605" i="26" s="1"/>
  <c r="E606" i="26"/>
  <c r="G606" i="26" s="1"/>
  <c r="E607" i="26"/>
  <c r="G607" i="26" s="1"/>
  <c r="E608" i="26"/>
  <c r="G608" i="26" s="1"/>
  <c r="E609" i="26"/>
  <c r="G609" i="26" s="1"/>
  <c r="C611" i="26"/>
  <c r="E611" i="26" s="1"/>
  <c r="G611" i="26" s="1"/>
  <c r="C612" i="26"/>
  <c r="E619" i="26"/>
  <c r="G619" i="26" s="1"/>
  <c r="E620" i="26"/>
  <c r="G620" i="26" s="1"/>
  <c r="C613" i="26"/>
  <c r="E615" i="26"/>
  <c r="G615" i="26" s="1"/>
  <c r="E616" i="26"/>
  <c r="G616" i="26" s="1"/>
  <c r="C605" i="26"/>
  <c r="C606" i="26"/>
  <c r="C607" i="26"/>
  <c r="C608" i="26"/>
  <c r="C609" i="26"/>
  <c r="C615" i="26"/>
  <c r="C616" i="26"/>
  <c r="C618" i="26"/>
  <c r="C619" i="26"/>
  <c r="C620" i="26"/>
  <c r="E625" i="26"/>
  <c r="G625" i="26" s="1"/>
  <c r="E626" i="26"/>
  <c r="G626" i="26" s="1"/>
  <c r="E627" i="26"/>
  <c r="G627" i="26" s="1"/>
  <c r="E628" i="26"/>
  <c r="G628" i="26" s="1"/>
  <c r="E629" i="26"/>
  <c r="G629" i="26" s="1"/>
  <c r="C631" i="26"/>
  <c r="E631" i="26" s="1"/>
  <c r="G631" i="26" s="1"/>
  <c r="C632" i="26"/>
  <c r="E639" i="26"/>
  <c r="G639" i="26" s="1"/>
  <c r="E640" i="26"/>
  <c r="G640" i="26" s="1"/>
  <c r="C633" i="26"/>
  <c r="E635" i="26"/>
  <c r="G635" i="26" s="1"/>
  <c r="E636" i="26"/>
  <c r="G636" i="26" s="1"/>
  <c r="C625" i="26"/>
  <c r="C626" i="26"/>
  <c r="C627" i="26"/>
  <c r="C628" i="26"/>
  <c r="C629" i="26"/>
  <c r="C635" i="26"/>
  <c r="C636" i="26"/>
  <c r="C638" i="26"/>
  <c r="C639" i="26"/>
  <c r="C640" i="26"/>
  <c r="E645" i="26"/>
  <c r="G645" i="26" s="1"/>
  <c r="E646" i="26"/>
  <c r="G646" i="26" s="1"/>
  <c r="E647" i="26"/>
  <c r="G647" i="26" s="1"/>
  <c r="E648" i="26"/>
  <c r="G648" i="26" s="1"/>
  <c r="E649" i="26"/>
  <c r="G649" i="26" s="1"/>
  <c r="C651" i="26"/>
  <c r="E651" i="26" s="1"/>
  <c r="G651" i="26" s="1"/>
  <c r="C652" i="26"/>
  <c r="E659" i="26"/>
  <c r="G659" i="26" s="1"/>
  <c r="E660" i="26"/>
  <c r="G660" i="26" s="1"/>
  <c r="C653" i="26"/>
  <c r="E655" i="26"/>
  <c r="G655" i="26" s="1"/>
  <c r="E656" i="26"/>
  <c r="G656" i="26" s="1"/>
  <c r="C645" i="26"/>
  <c r="C646" i="26"/>
  <c r="C647" i="26"/>
  <c r="C648" i="26"/>
  <c r="C649" i="26"/>
  <c r="C655" i="26"/>
  <c r="C656" i="26"/>
  <c r="C658" i="26"/>
  <c r="C659" i="26"/>
  <c r="C660" i="26"/>
  <c r="E665" i="26"/>
  <c r="G665" i="26" s="1"/>
  <c r="E666" i="26"/>
  <c r="G666" i="26" s="1"/>
  <c r="E667" i="26"/>
  <c r="G667" i="26" s="1"/>
  <c r="E668" i="26"/>
  <c r="G668" i="26" s="1"/>
  <c r="E669" i="26"/>
  <c r="G669" i="26" s="1"/>
  <c r="C671" i="26"/>
  <c r="E671" i="26" s="1"/>
  <c r="G671" i="26" s="1"/>
  <c r="C672" i="26"/>
  <c r="E679" i="26"/>
  <c r="G679" i="26" s="1"/>
  <c r="E680" i="26"/>
  <c r="G680" i="26" s="1"/>
  <c r="C673" i="26"/>
  <c r="E675" i="26"/>
  <c r="G675" i="26" s="1"/>
  <c r="E676" i="26"/>
  <c r="G676" i="26" s="1"/>
  <c r="C665" i="26"/>
  <c r="C666" i="26"/>
  <c r="C667" i="26"/>
  <c r="C668" i="26"/>
  <c r="C669" i="26"/>
  <c r="C675" i="26"/>
  <c r="C676" i="26"/>
  <c r="C678" i="26"/>
  <c r="C679" i="26"/>
  <c r="C680" i="26"/>
  <c r="C681" i="26" a="1"/>
  <c r="C681" i="26" s="1"/>
  <c r="E681" i="26" a="1"/>
  <c r="E681" i="26" s="1"/>
  <c r="G681" i="26" s="1"/>
  <c r="E686" i="26"/>
  <c r="G686" i="26" s="1"/>
  <c r="E687" i="26"/>
  <c r="G687" i="26" s="1"/>
  <c r="E688" i="26"/>
  <c r="G688" i="26" s="1"/>
  <c r="E689" i="26"/>
  <c r="G689" i="26" s="1"/>
  <c r="E690" i="26"/>
  <c r="G690" i="26" s="1"/>
  <c r="C692" i="26"/>
  <c r="E692" i="26" s="1"/>
  <c r="G692" i="26" s="1"/>
  <c r="C693" i="26"/>
  <c r="E700" i="26"/>
  <c r="G700" i="26" s="1"/>
  <c r="E701" i="26"/>
  <c r="G701" i="26" s="1"/>
  <c r="C694" i="26"/>
  <c r="E696" i="26"/>
  <c r="G696" i="26" s="1"/>
  <c r="E697" i="26"/>
  <c r="G697" i="26" s="1"/>
  <c r="C686" i="26"/>
  <c r="C687" i="26"/>
  <c r="C688" i="26"/>
  <c r="C689" i="26"/>
  <c r="C690" i="26"/>
  <c r="C696" i="26"/>
  <c r="C697" i="26"/>
  <c r="C699" i="26"/>
  <c r="C700" i="26"/>
  <c r="C701" i="26"/>
  <c r="E706" i="26"/>
  <c r="G706" i="26" s="1"/>
  <c r="E707" i="26"/>
  <c r="G707" i="26" s="1"/>
  <c r="E708" i="26"/>
  <c r="G708" i="26" s="1"/>
  <c r="E709" i="26"/>
  <c r="G709" i="26" s="1"/>
  <c r="E710" i="26"/>
  <c r="G710" i="26" s="1"/>
  <c r="C712" i="26"/>
  <c r="E720" i="26"/>
  <c r="G720" i="26" s="1"/>
  <c r="E721" i="26"/>
  <c r="G721" i="26" s="1"/>
  <c r="C713" i="26"/>
  <c r="C714" i="26"/>
  <c r="E714" i="26" s="1"/>
  <c r="G714" i="26" s="1"/>
  <c r="E716" i="26"/>
  <c r="G716" i="26" s="1"/>
  <c r="E717" i="26"/>
  <c r="G717" i="26" s="1"/>
  <c r="C706" i="26"/>
  <c r="C707" i="26"/>
  <c r="C708" i="26"/>
  <c r="C709" i="26"/>
  <c r="C710" i="26"/>
  <c r="C716" i="26"/>
  <c r="C717" i="26"/>
  <c r="C719" i="26"/>
  <c r="C720" i="26"/>
  <c r="C721" i="26"/>
  <c r="E726" i="26"/>
  <c r="G726" i="26" s="1"/>
  <c r="E727" i="26"/>
  <c r="G727" i="26" s="1"/>
  <c r="E728" i="26"/>
  <c r="G728" i="26" s="1"/>
  <c r="E729" i="26"/>
  <c r="G729" i="26" s="1"/>
  <c r="E730" i="26"/>
  <c r="G730" i="26" s="1"/>
  <c r="C732" i="26"/>
  <c r="E740" i="26"/>
  <c r="G740" i="26" s="1"/>
  <c r="E741" i="26"/>
  <c r="G741" i="26" s="1"/>
  <c r="C733" i="26"/>
  <c r="C734" i="26"/>
  <c r="E734" i="26" s="1"/>
  <c r="G734" i="26" s="1"/>
  <c r="E736" i="26"/>
  <c r="G736" i="26" s="1"/>
  <c r="E737" i="26"/>
  <c r="G737" i="26" s="1"/>
  <c r="C726" i="26"/>
  <c r="C727" i="26"/>
  <c r="C728" i="26"/>
  <c r="C729" i="26"/>
  <c r="C730" i="26"/>
  <c r="C736" i="26"/>
  <c r="C737" i="26"/>
  <c r="C739" i="26"/>
  <c r="C740" i="26"/>
  <c r="C741" i="26"/>
  <c r="E746" i="26"/>
  <c r="G746" i="26" s="1"/>
  <c r="E747" i="26"/>
  <c r="G747" i="26" s="1"/>
  <c r="E748" i="26"/>
  <c r="G748" i="26" s="1"/>
  <c r="E749" i="26"/>
  <c r="G749" i="26" s="1"/>
  <c r="E750" i="26"/>
  <c r="G750" i="26" s="1"/>
  <c r="C752" i="26"/>
  <c r="E760" i="26"/>
  <c r="G760" i="26" s="1"/>
  <c r="E761" i="26"/>
  <c r="G761" i="26" s="1"/>
  <c r="C753" i="26"/>
  <c r="C754" i="26"/>
  <c r="E754" i="26" s="1"/>
  <c r="G754" i="26" s="1"/>
  <c r="E756" i="26"/>
  <c r="G756" i="26" s="1"/>
  <c r="E757" i="26"/>
  <c r="G757" i="26" s="1"/>
  <c r="C746" i="26"/>
  <c r="C747" i="26"/>
  <c r="C748" i="26"/>
  <c r="C749" i="26"/>
  <c r="C750" i="26"/>
  <c r="C756" i="26"/>
  <c r="C757" i="26"/>
  <c r="C759" i="26"/>
  <c r="C760" i="26"/>
  <c r="C761" i="26"/>
  <c r="E766" i="26"/>
  <c r="G766" i="26" s="1"/>
  <c r="E767" i="26"/>
  <c r="G767" i="26" s="1"/>
  <c r="E768" i="26"/>
  <c r="G768" i="26" s="1"/>
  <c r="E769" i="26"/>
  <c r="G769" i="26" s="1"/>
  <c r="E770" i="26"/>
  <c r="G770" i="26" s="1"/>
  <c r="C772" i="26"/>
  <c r="E780" i="26"/>
  <c r="G780" i="26" s="1"/>
  <c r="E781" i="26"/>
  <c r="G781" i="26" s="1"/>
  <c r="C773" i="26"/>
  <c r="C774" i="26"/>
  <c r="E774" i="26" s="1"/>
  <c r="G774" i="26" s="1"/>
  <c r="E776" i="26"/>
  <c r="G776" i="26" s="1"/>
  <c r="E777" i="26"/>
  <c r="G777" i="26" s="1"/>
  <c r="C766" i="26"/>
  <c r="C767" i="26"/>
  <c r="C768" i="26"/>
  <c r="C769" i="26"/>
  <c r="C770" i="26"/>
  <c r="C776" i="26"/>
  <c r="C777" i="26"/>
  <c r="C779" i="26"/>
  <c r="C780" i="26"/>
  <c r="C781" i="26"/>
  <c r="E786" i="26"/>
  <c r="G786" i="26" s="1"/>
  <c r="E787" i="26"/>
  <c r="G787" i="26" s="1"/>
  <c r="E788" i="26"/>
  <c r="G788" i="26" s="1"/>
  <c r="E789" i="26"/>
  <c r="G789" i="26" s="1"/>
  <c r="E790" i="26"/>
  <c r="G790" i="26" s="1"/>
  <c r="C792" i="26"/>
  <c r="E800" i="26"/>
  <c r="G800" i="26" s="1"/>
  <c r="E801" i="26"/>
  <c r="G801" i="26" s="1"/>
  <c r="C793" i="26"/>
  <c r="C794" i="26"/>
  <c r="E794" i="26" s="1"/>
  <c r="G794" i="26" s="1"/>
  <c r="E796" i="26"/>
  <c r="G796" i="26" s="1"/>
  <c r="E797" i="26"/>
  <c r="G797" i="26" s="1"/>
  <c r="C786" i="26"/>
  <c r="C787" i="26"/>
  <c r="C788" i="26"/>
  <c r="C789" i="26"/>
  <c r="C790" i="26"/>
  <c r="C796" i="26"/>
  <c r="C797" i="26"/>
  <c r="C799" i="26"/>
  <c r="C800" i="26"/>
  <c r="C801" i="26"/>
  <c r="E806" i="26"/>
  <c r="G806" i="26" s="1"/>
  <c r="E807" i="26"/>
  <c r="G807" i="26" s="1"/>
  <c r="E808" i="26"/>
  <c r="G808" i="26" s="1"/>
  <c r="E809" i="26"/>
  <c r="G809" i="26" s="1"/>
  <c r="E810" i="26"/>
  <c r="G810" i="26" s="1"/>
  <c r="C812" i="26"/>
  <c r="E812" i="26" s="1"/>
  <c r="G812" i="26" s="1"/>
  <c r="C813" i="26"/>
  <c r="E820" i="26"/>
  <c r="G820" i="26" s="1"/>
  <c r="E821" i="26"/>
  <c r="G821" i="26" s="1"/>
  <c r="C814" i="26"/>
  <c r="E814" i="26" s="1"/>
  <c r="G814" i="26" s="1"/>
  <c r="E816" i="26"/>
  <c r="G816" i="26" s="1"/>
  <c r="E817" i="26"/>
  <c r="G817" i="26" s="1"/>
  <c r="C806" i="26"/>
  <c r="C807" i="26"/>
  <c r="C808" i="26"/>
  <c r="C809" i="26"/>
  <c r="C810" i="26"/>
  <c r="C816" i="26"/>
  <c r="C817" i="26"/>
  <c r="C819" i="26"/>
  <c r="C820" i="26"/>
  <c r="C821" i="26"/>
  <c r="E826" i="26"/>
  <c r="G826" i="26" s="1"/>
  <c r="E827" i="26"/>
  <c r="G827" i="26" s="1"/>
  <c r="E828" i="26"/>
  <c r="G828" i="26" s="1"/>
  <c r="E829" i="26"/>
  <c r="G829" i="26" s="1"/>
  <c r="E830" i="26"/>
  <c r="G830" i="26" s="1"/>
  <c r="C832" i="26"/>
  <c r="E840" i="26"/>
  <c r="G840" i="26" s="1"/>
  <c r="E841" i="26"/>
  <c r="G841" i="26" s="1"/>
  <c r="C833" i="26"/>
  <c r="C834" i="26"/>
  <c r="E834" i="26" s="1"/>
  <c r="G834" i="26" s="1"/>
  <c r="E836" i="26"/>
  <c r="G836" i="26" s="1"/>
  <c r="E837" i="26"/>
  <c r="G837" i="26" s="1"/>
  <c r="C826" i="26"/>
  <c r="C827" i="26"/>
  <c r="C828" i="26"/>
  <c r="C829" i="26"/>
  <c r="C830" i="26"/>
  <c r="C836" i="26"/>
  <c r="C837" i="26"/>
  <c r="C839" i="26"/>
  <c r="C840" i="26"/>
  <c r="C841" i="26"/>
  <c r="E846" i="26"/>
  <c r="G846" i="26" s="1"/>
  <c r="E847" i="26"/>
  <c r="G847" i="26" s="1"/>
  <c r="E848" i="26"/>
  <c r="G848" i="26" s="1"/>
  <c r="E849" i="26"/>
  <c r="G849" i="26" s="1"/>
  <c r="E850" i="26"/>
  <c r="G850" i="26" s="1"/>
  <c r="C852" i="26"/>
  <c r="E860" i="26"/>
  <c r="G860" i="26" s="1"/>
  <c r="E861" i="26"/>
  <c r="G861" i="26" s="1"/>
  <c r="C853" i="26"/>
  <c r="C854" i="26"/>
  <c r="E854" i="26" s="1"/>
  <c r="G854" i="26" s="1"/>
  <c r="E856" i="26"/>
  <c r="G856" i="26" s="1"/>
  <c r="E857" i="26"/>
  <c r="G857" i="26" s="1"/>
  <c r="C846" i="26"/>
  <c r="C847" i="26"/>
  <c r="C848" i="26"/>
  <c r="C849" i="26"/>
  <c r="C850" i="26"/>
  <c r="C856" i="26"/>
  <c r="C857" i="26"/>
  <c r="C859" i="26"/>
  <c r="C860" i="26"/>
  <c r="C861" i="26"/>
  <c r="E866" i="26"/>
  <c r="G866" i="26" s="1"/>
  <c r="E867" i="26"/>
  <c r="G867" i="26" s="1"/>
  <c r="E868" i="26"/>
  <c r="G868" i="26" s="1"/>
  <c r="E869" i="26"/>
  <c r="G869" i="26" s="1"/>
  <c r="E870" i="26"/>
  <c r="G870" i="26" s="1"/>
  <c r="C872" i="26"/>
  <c r="E880" i="26"/>
  <c r="G880" i="26" s="1"/>
  <c r="E881" i="26"/>
  <c r="G881" i="26" s="1"/>
  <c r="C873" i="26"/>
  <c r="C874" i="26"/>
  <c r="E874" i="26" s="1"/>
  <c r="G874" i="26" s="1"/>
  <c r="E876" i="26"/>
  <c r="G876" i="26" s="1"/>
  <c r="E877" i="26"/>
  <c r="G877" i="26" s="1"/>
  <c r="C866" i="26"/>
  <c r="C867" i="26"/>
  <c r="C868" i="26"/>
  <c r="C869" i="26"/>
  <c r="C870" i="26"/>
  <c r="C876" i="26"/>
  <c r="C877" i="26"/>
  <c r="C879" i="26"/>
  <c r="C880" i="26"/>
  <c r="C881" i="26"/>
  <c r="E886" i="26"/>
  <c r="G886" i="26" s="1"/>
  <c r="E887" i="26"/>
  <c r="G887" i="26" s="1"/>
  <c r="E888" i="26"/>
  <c r="G888" i="26" s="1"/>
  <c r="E889" i="26"/>
  <c r="G889" i="26" s="1"/>
  <c r="C892" i="26"/>
  <c r="E900" i="26"/>
  <c r="G900" i="26" s="1"/>
  <c r="E901" i="26"/>
  <c r="G901" i="26" s="1"/>
  <c r="C893" i="26"/>
  <c r="C894" i="26"/>
  <c r="E894" i="26" s="1"/>
  <c r="G894" i="26" s="1"/>
  <c r="E896" i="26"/>
  <c r="G896" i="26" s="1"/>
  <c r="E897" i="26"/>
  <c r="G897" i="26" s="1"/>
  <c r="C886" i="26"/>
  <c r="C887" i="26"/>
  <c r="C888" i="26"/>
  <c r="C889" i="26"/>
  <c r="C890" i="26"/>
  <c r="C896" i="26"/>
  <c r="C897" i="26"/>
  <c r="C899" i="26"/>
  <c r="C900" i="26"/>
  <c r="C901" i="26"/>
  <c r="E906" i="26"/>
  <c r="G906" i="26" s="1"/>
  <c r="E907" i="26"/>
  <c r="G907" i="26" s="1"/>
  <c r="E908" i="26"/>
  <c r="G908" i="26" s="1"/>
  <c r="E909" i="26"/>
  <c r="G909" i="26" s="1"/>
  <c r="C912" i="26"/>
  <c r="E920" i="26"/>
  <c r="G920" i="26" s="1"/>
  <c r="E921" i="26"/>
  <c r="G921" i="26" s="1"/>
  <c r="C913" i="26"/>
  <c r="C914" i="26"/>
  <c r="E914" i="26" s="1"/>
  <c r="G914" i="26" s="1"/>
  <c r="E916" i="26"/>
  <c r="G916" i="26" s="1"/>
  <c r="E917" i="26"/>
  <c r="G917" i="26" s="1"/>
  <c r="C906" i="26"/>
  <c r="C907" i="26"/>
  <c r="C908" i="26"/>
  <c r="C909" i="26"/>
  <c r="C910" i="26"/>
  <c r="C916" i="26"/>
  <c r="C917" i="26"/>
  <c r="C919" i="26"/>
  <c r="C920" i="26"/>
  <c r="C921" i="26"/>
  <c r="E926" i="26"/>
  <c r="G926" i="26" s="1"/>
  <c r="E927" i="26"/>
  <c r="G927" i="26" s="1"/>
  <c r="E928" i="26"/>
  <c r="G928" i="26" s="1"/>
  <c r="E929" i="26"/>
  <c r="G929" i="26" s="1"/>
  <c r="E930" i="26"/>
  <c r="G930" i="26" s="1"/>
  <c r="C932" i="26"/>
  <c r="E940" i="26"/>
  <c r="G940" i="26" s="1"/>
  <c r="E941" i="26"/>
  <c r="G941" i="26" s="1"/>
  <c r="C933" i="26"/>
  <c r="C934" i="26"/>
  <c r="E934" i="26" s="1"/>
  <c r="G934" i="26" s="1"/>
  <c r="E936" i="26"/>
  <c r="G936" i="26" s="1"/>
  <c r="E937" i="26"/>
  <c r="G937" i="26" s="1"/>
  <c r="C926" i="26"/>
  <c r="C927" i="26"/>
  <c r="C928" i="26"/>
  <c r="C929" i="26"/>
  <c r="C930" i="26"/>
  <c r="C936" i="26"/>
  <c r="C937" i="26"/>
  <c r="C939" i="26"/>
  <c r="C940" i="26"/>
  <c r="C941" i="26"/>
  <c r="E946" i="26"/>
  <c r="G946" i="26" s="1"/>
  <c r="E947" i="26"/>
  <c r="G947" i="26" s="1"/>
  <c r="E948" i="26"/>
  <c r="G948" i="26" s="1"/>
  <c r="E949" i="26"/>
  <c r="G949" i="26" s="1"/>
  <c r="E950" i="26"/>
  <c r="G950" i="26" s="1"/>
  <c r="C952" i="26"/>
  <c r="E960" i="26"/>
  <c r="G960" i="26" s="1"/>
  <c r="E961" i="26"/>
  <c r="G961" i="26" s="1"/>
  <c r="C953" i="26"/>
  <c r="C954" i="26"/>
  <c r="E954" i="26" s="1"/>
  <c r="G954" i="26" s="1"/>
  <c r="E956" i="26"/>
  <c r="G956" i="26" s="1"/>
  <c r="E957" i="26"/>
  <c r="G957" i="26" s="1"/>
  <c r="C946" i="26"/>
  <c r="C947" i="26"/>
  <c r="C948" i="26"/>
  <c r="C949" i="26"/>
  <c r="C950" i="26"/>
  <c r="C956" i="26"/>
  <c r="C957" i="26"/>
  <c r="C959" i="26"/>
  <c r="C960" i="26"/>
  <c r="C961" i="26"/>
  <c r="E966" i="26"/>
  <c r="G966" i="26" s="1"/>
  <c r="E967" i="26"/>
  <c r="G967" i="26" s="1"/>
  <c r="E968" i="26"/>
  <c r="G968" i="26" s="1"/>
  <c r="E969" i="26"/>
  <c r="G969" i="26" s="1"/>
  <c r="E970" i="26"/>
  <c r="G970" i="26" s="1"/>
  <c r="C972" i="26"/>
  <c r="E980" i="26"/>
  <c r="G980" i="26" s="1"/>
  <c r="E981" i="26"/>
  <c r="G981" i="26" s="1"/>
  <c r="C973" i="26"/>
  <c r="C974" i="26"/>
  <c r="E974" i="26" s="1"/>
  <c r="G974" i="26" s="1"/>
  <c r="E976" i="26"/>
  <c r="G976" i="26" s="1"/>
  <c r="E977" i="26"/>
  <c r="G977" i="26" s="1"/>
  <c r="C966" i="26"/>
  <c r="C967" i="26"/>
  <c r="C968" i="26"/>
  <c r="C969" i="26"/>
  <c r="C970" i="26"/>
  <c r="C976" i="26"/>
  <c r="C977" i="26"/>
  <c r="C979" i="26"/>
  <c r="C980" i="26"/>
  <c r="C981" i="26"/>
  <c r="E986" i="26"/>
  <c r="G986" i="26" s="1"/>
  <c r="E987" i="26"/>
  <c r="G987" i="26" s="1"/>
  <c r="E988" i="26"/>
  <c r="G988" i="26" s="1"/>
  <c r="E989" i="26"/>
  <c r="G989" i="26" s="1"/>
  <c r="E990" i="26"/>
  <c r="G990" i="26" s="1"/>
  <c r="C992" i="26"/>
  <c r="E1000" i="26"/>
  <c r="G1000" i="26" s="1"/>
  <c r="E1001" i="26"/>
  <c r="G1001" i="26" s="1"/>
  <c r="C993" i="26"/>
  <c r="C994" i="26"/>
  <c r="E994" i="26" s="1"/>
  <c r="G994" i="26" s="1"/>
  <c r="E996" i="26"/>
  <c r="G996" i="26" s="1"/>
  <c r="E997" i="26"/>
  <c r="G997" i="26" s="1"/>
  <c r="C986" i="26"/>
  <c r="C987" i="26"/>
  <c r="C988" i="26"/>
  <c r="C989" i="26"/>
  <c r="C990" i="26"/>
  <c r="C996" i="26"/>
  <c r="C997" i="26"/>
  <c r="C999" i="26"/>
  <c r="C1000" i="26"/>
  <c r="C1001" i="26"/>
  <c r="E1006" i="26"/>
  <c r="G1006" i="26" s="1"/>
  <c r="E1007" i="26"/>
  <c r="G1007" i="26" s="1"/>
  <c r="E1008" i="26"/>
  <c r="G1008" i="26" s="1"/>
  <c r="E1009" i="26"/>
  <c r="G1009" i="26" s="1"/>
  <c r="E1010" i="26"/>
  <c r="G1010" i="26" s="1"/>
  <c r="C1012" i="26"/>
  <c r="E1020" i="26"/>
  <c r="G1020" i="26" s="1"/>
  <c r="E1021" i="26"/>
  <c r="G1021" i="26" s="1"/>
  <c r="C1013" i="26"/>
  <c r="C1014" i="26"/>
  <c r="E1014" i="26" s="1"/>
  <c r="G1014" i="26" s="1"/>
  <c r="E1016" i="26"/>
  <c r="G1016" i="26" s="1"/>
  <c r="E1017" i="26"/>
  <c r="G1017" i="26" s="1"/>
  <c r="C1006" i="26"/>
  <c r="C1007" i="26"/>
  <c r="C1008" i="26"/>
  <c r="C1009" i="26"/>
  <c r="C1010" i="26"/>
  <c r="C1016" i="26"/>
  <c r="C1017" i="26"/>
  <c r="C1019" i="26"/>
  <c r="C1020" i="26"/>
  <c r="C1021" i="26"/>
  <c r="E1026" i="26"/>
  <c r="G1026" i="26" s="1"/>
  <c r="E1027" i="26"/>
  <c r="G1027" i="26" s="1"/>
  <c r="E1028" i="26"/>
  <c r="G1028" i="26" s="1"/>
  <c r="E1029" i="26"/>
  <c r="G1029" i="26" s="1"/>
  <c r="E1030" i="26"/>
  <c r="G1030" i="26" s="1"/>
  <c r="C1032" i="26"/>
  <c r="E1040" i="26"/>
  <c r="G1040" i="26" s="1"/>
  <c r="E1041" i="26"/>
  <c r="G1041" i="26" s="1"/>
  <c r="C1033" i="26"/>
  <c r="C1034" i="26"/>
  <c r="E1034" i="26" s="1"/>
  <c r="G1034" i="26" s="1"/>
  <c r="E1036" i="26"/>
  <c r="G1036" i="26" s="1"/>
  <c r="E1037" i="26"/>
  <c r="G1037" i="26" s="1"/>
  <c r="C1026" i="26"/>
  <c r="C1027" i="26"/>
  <c r="C1028" i="26"/>
  <c r="C1029" i="26"/>
  <c r="C1030" i="26"/>
  <c r="C1036" i="26"/>
  <c r="C1037" i="26"/>
  <c r="C1039" i="26"/>
  <c r="C1040" i="26"/>
  <c r="C1041" i="26"/>
  <c r="E1046" i="26"/>
  <c r="G1046" i="26" s="1"/>
  <c r="E1047" i="26"/>
  <c r="G1047" i="26" s="1"/>
  <c r="E1048" i="26"/>
  <c r="G1048" i="26" s="1"/>
  <c r="E1049" i="26"/>
  <c r="G1049" i="26" s="1"/>
  <c r="E1050" i="26"/>
  <c r="G1050" i="26" s="1"/>
  <c r="C1052" i="26"/>
  <c r="E1060" i="26"/>
  <c r="G1060" i="26" s="1"/>
  <c r="E1061" i="26"/>
  <c r="G1061" i="26" s="1"/>
  <c r="C1053" i="26"/>
  <c r="C1054" i="26"/>
  <c r="E1054" i="26" s="1"/>
  <c r="G1054" i="26" s="1"/>
  <c r="E1056" i="26"/>
  <c r="G1056" i="26" s="1"/>
  <c r="E1057" i="26"/>
  <c r="G1057" i="26" s="1"/>
  <c r="C1046" i="26"/>
  <c r="C1047" i="26"/>
  <c r="C1048" i="26"/>
  <c r="C1049" i="26"/>
  <c r="C1050" i="26"/>
  <c r="C1056" i="26"/>
  <c r="C1057" i="26"/>
  <c r="C1059" i="26"/>
  <c r="C1060" i="26"/>
  <c r="C1061" i="26"/>
  <c r="E1066" i="26"/>
  <c r="G1066" i="26" s="1"/>
  <c r="E1067" i="26"/>
  <c r="G1067" i="26" s="1"/>
  <c r="E1068" i="26"/>
  <c r="G1068" i="26" s="1"/>
  <c r="E1069" i="26"/>
  <c r="G1069" i="26" s="1"/>
  <c r="E1070" i="26"/>
  <c r="G1070" i="26" s="1"/>
  <c r="C1072" i="26"/>
  <c r="E1080" i="26"/>
  <c r="G1080" i="26" s="1"/>
  <c r="E1081" i="26"/>
  <c r="G1081" i="26" s="1"/>
  <c r="C1073" i="26"/>
  <c r="C1074" i="26"/>
  <c r="E1074" i="26" s="1"/>
  <c r="G1074" i="26" s="1"/>
  <c r="E1076" i="26"/>
  <c r="G1076" i="26" s="1"/>
  <c r="E1077" i="26"/>
  <c r="G1077" i="26" s="1"/>
  <c r="C1066" i="26"/>
  <c r="C1067" i="26"/>
  <c r="C1068" i="26"/>
  <c r="C1069" i="26"/>
  <c r="C1070" i="26"/>
  <c r="C1076" i="26"/>
  <c r="C1077" i="26"/>
  <c r="C1079" i="26"/>
  <c r="C1080" i="26"/>
  <c r="C1081" i="26"/>
  <c r="E1086" i="26"/>
  <c r="G1086" i="26" s="1"/>
  <c r="E1087" i="26"/>
  <c r="G1087" i="26" s="1"/>
  <c r="E1088" i="26"/>
  <c r="G1088" i="26" s="1"/>
  <c r="E1089" i="26"/>
  <c r="G1089" i="26" s="1"/>
  <c r="E1090" i="26"/>
  <c r="G1090" i="26" s="1"/>
  <c r="C1092" i="26"/>
  <c r="E1100" i="26"/>
  <c r="G1100" i="26" s="1"/>
  <c r="E1101" i="26"/>
  <c r="G1101" i="26" s="1"/>
  <c r="C1093" i="26"/>
  <c r="C1094" i="26"/>
  <c r="E1094" i="26" s="1"/>
  <c r="G1094" i="26" s="1"/>
  <c r="E1096" i="26"/>
  <c r="G1096" i="26" s="1"/>
  <c r="E1097" i="26"/>
  <c r="G1097" i="26" s="1"/>
  <c r="C1086" i="26"/>
  <c r="C1087" i="26"/>
  <c r="C1088" i="26"/>
  <c r="C1089" i="26"/>
  <c r="C1090" i="26"/>
  <c r="C1096" i="26"/>
  <c r="C1097" i="26"/>
  <c r="C1099" i="26"/>
  <c r="C1100" i="26"/>
  <c r="C1101" i="26"/>
  <c r="E1106" i="26"/>
  <c r="G1106" i="26" s="1"/>
  <c r="E1107" i="26"/>
  <c r="G1107" i="26" s="1"/>
  <c r="E1108" i="26"/>
  <c r="G1108" i="26" s="1"/>
  <c r="E1109" i="26"/>
  <c r="G1109" i="26" s="1"/>
  <c r="E1110" i="26"/>
  <c r="G1110" i="26" s="1"/>
  <c r="C1112" i="26"/>
  <c r="E1120" i="26"/>
  <c r="G1120" i="26" s="1"/>
  <c r="E1121" i="26"/>
  <c r="G1121" i="26" s="1"/>
  <c r="C1113" i="26"/>
  <c r="C1114" i="26"/>
  <c r="E1114" i="26" s="1"/>
  <c r="G1114" i="26" s="1"/>
  <c r="E1116" i="26"/>
  <c r="G1116" i="26" s="1"/>
  <c r="E1117" i="26"/>
  <c r="G1117" i="26" s="1"/>
  <c r="C1106" i="26"/>
  <c r="C1107" i="26"/>
  <c r="C1108" i="26"/>
  <c r="C1109" i="26"/>
  <c r="C1110" i="26"/>
  <c r="C1116" i="26"/>
  <c r="C1117" i="26"/>
  <c r="C1119" i="26"/>
  <c r="C1120" i="26"/>
  <c r="C1121" i="26"/>
  <c r="E1126" i="26"/>
  <c r="G1126" i="26" s="1"/>
  <c r="E1127" i="26"/>
  <c r="G1127" i="26" s="1"/>
  <c r="E1128" i="26"/>
  <c r="G1128" i="26" s="1"/>
  <c r="E1129" i="26"/>
  <c r="G1129" i="26" s="1"/>
  <c r="E1130" i="26"/>
  <c r="G1130" i="26" s="1"/>
  <c r="C1132" i="26"/>
  <c r="E1140" i="26"/>
  <c r="G1140" i="26" s="1"/>
  <c r="E1141" i="26"/>
  <c r="G1141" i="26" s="1"/>
  <c r="C1133" i="26"/>
  <c r="C1134" i="26"/>
  <c r="E1134" i="26" s="1"/>
  <c r="G1134" i="26" s="1"/>
  <c r="E1136" i="26"/>
  <c r="G1136" i="26" s="1"/>
  <c r="E1137" i="26"/>
  <c r="G1137" i="26" s="1"/>
  <c r="C1126" i="26"/>
  <c r="C1127" i="26"/>
  <c r="C1128" i="26"/>
  <c r="C1129" i="26"/>
  <c r="C1130" i="26"/>
  <c r="C1136" i="26"/>
  <c r="C1137" i="26"/>
  <c r="C1139" i="26"/>
  <c r="C1140" i="26"/>
  <c r="C1141" i="26"/>
  <c r="E1146" i="26"/>
  <c r="G1146" i="26" s="1"/>
  <c r="E1147" i="26"/>
  <c r="G1147" i="26" s="1"/>
  <c r="E1148" i="26"/>
  <c r="G1148" i="26" s="1"/>
  <c r="E1149" i="26"/>
  <c r="G1149" i="26" s="1"/>
  <c r="E1150" i="26"/>
  <c r="G1150" i="26" s="1"/>
  <c r="C1152" i="26"/>
  <c r="E1160" i="26"/>
  <c r="G1160" i="26" s="1"/>
  <c r="E1161" i="26"/>
  <c r="G1161" i="26" s="1"/>
  <c r="C1153" i="26"/>
  <c r="C1154" i="26"/>
  <c r="E1154" i="26" s="1"/>
  <c r="G1154" i="26" s="1"/>
  <c r="E1156" i="26"/>
  <c r="G1156" i="26" s="1"/>
  <c r="E1157" i="26"/>
  <c r="G1157" i="26" s="1"/>
  <c r="C1146" i="26"/>
  <c r="C1147" i="26"/>
  <c r="C1148" i="26"/>
  <c r="C1149" i="26"/>
  <c r="C1150" i="26"/>
  <c r="C1156" i="26"/>
  <c r="C1157" i="26"/>
  <c r="C1159" i="26"/>
  <c r="C1160" i="26"/>
  <c r="C1161" i="26"/>
  <c r="E1166" i="26"/>
  <c r="G1166" i="26" s="1"/>
  <c r="E1167" i="26"/>
  <c r="G1167" i="26" s="1"/>
  <c r="E1168" i="26"/>
  <c r="G1168" i="26" s="1"/>
  <c r="E1169" i="26"/>
  <c r="G1169" i="26" s="1"/>
  <c r="E1170" i="26"/>
  <c r="G1170" i="26" s="1"/>
  <c r="C1172" i="26"/>
  <c r="E1180" i="26"/>
  <c r="G1180" i="26" s="1"/>
  <c r="E1181" i="26"/>
  <c r="G1181" i="26" s="1"/>
  <c r="C1173" i="26"/>
  <c r="C1174" i="26"/>
  <c r="E1174" i="26" s="1"/>
  <c r="G1174" i="26" s="1"/>
  <c r="E1176" i="26"/>
  <c r="G1176" i="26" s="1"/>
  <c r="E1177" i="26"/>
  <c r="G1177" i="26" s="1"/>
  <c r="C1166" i="26"/>
  <c r="C1167" i="26"/>
  <c r="C1168" i="26"/>
  <c r="C1169" i="26"/>
  <c r="C1170" i="26"/>
  <c r="C1176" i="26"/>
  <c r="C1177" i="26"/>
  <c r="C1179" i="26"/>
  <c r="C1180" i="26"/>
  <c r="C1181" i="26"/>
  <c r="E1186" i="26"/>
  <c r="G1186" i="26" s="1"/>
  <c r="E1187" i="26"/>
  <c r="G1187" i="26" s="1"/>
  <c r="E1188" i="26"/>
  <c r="G1188" i="26" s="1"/>
  <c r="E1189" i="26"/>
  <c r="G1189" i="26" s="1"/>
  <c r="E1190" i="26"/>
  <c r="G1190" i="26" s="1"/>
  <c r="C1192" i="26"/>
  <c r="E1200" i="26"/>
  <c r="G1200" i="26" s="1"/>
  <c r="E1201" i="26"/>
  <c r="G1201" i="26" s="1"/>
  <c r="C1193" i="26"/>
  <c r="C1194" i="26"/>
  <c r="E1194" i="26" s="1"/>
  <c r="G1194" i="26" s="1"/>
  <c r="E1196" i="26"/>
  <c r="G1196" i="26" s="1"/>
  <c r="E1197" i="26"/>
  <c r="G1197" i="26" s="1"/>
  <c r="C1186" i="26"/>
  <c r="C1187" i="26"/>
  <c r="C1188" i="26"/>
  <c r="C1189" i="26"/>
  <c r="C1190" i="26"/>
  <c r="C1196" i="26"/>
  <c r="C1197" i="26"/>
  <c r="C1199" i="26"/>
  <c r="C1200" i="26"/>
  <c r="C1201" i="26"/>
  <c r="E1206" i="26"/>
  <c r="G1206" i="26" s="1"/>
  <c r="E1207" i="26"/>
  <c r="G1207" i="26" s="1"/>
  <c r="E1208" i="26"/>
  <c r="G1208" i="26" s="1"/>
  <c r="E1209" i="26"/>
  <c r="G1209" i="26" s="1"/>
  <c r="E1210" i="26"/>
  <c r="G1210" i="26" s="1"/>
  <c r="C1212" i="26"/>
  <c r="E1220" i="26"/>
  <c r="G1220" i="26" s="1"/>
  <c r="E1221" i="26"/>
  <c r="G1221" i="26" s="1"/>
  <c r="C1213" i="26"/>
  <c r="C1214" i="26"/>
  <c r="E1214" i="26" s="1"/>
  <c r="G1214" i="26" s="1"/>
  <c r="E1216" i="26"/>
  <c r="G1216" i="26" s="1"/>
  <c r="E1217" i="26"/>
  <c r="G1217" i="26" s="1"/>
  <c r="C1206" i="26"/>
  <c r="C1207" i="26"/>
  <c r="C1208" i="26"/>
  <c r="C1209" i="26"/>
  <c r="C1210" i="26"/>
  <c r="C1216" i="26"/>
  <c r="C1217" i="26"/>
  <c r="C1219" i="26"/>
  <c r="C1220" i="26"/>
  <c r="C1221" i="26"/>
  <c r="E1226" i="26"/>
  <c r="G1226" i="26" s="1"/>
  <c r="E1227" i="26"/>
  <c r="G1227" i="26" s="1"/>
  <c r="E1228" i="26"/>
  <c r="G1228" i="26" s="1"/>
  <c r="E1229" i="26"/>
  <c r="G1229" i="26" s="1"/>
  <c r="E1230" i="26"/>
  <c r="G1230" i="26" s="1"/>
  <c r="C1232" i="26"/>
  <c r="E1240" i="26"/>
  <c r="G1240" i="26" s="1"/>
  <c r="E1241" i="26"/>
  <c r="G1241" i="26" s="1"/>
  <c r="C1233" i="26"/>
  <c r="C1234" i="26"/>
  <c r="E1234" i="26" s="1"/>
  <c r="G1234" i="26" s="1"/>
  <c r="E1236" i="26"/>
  <c r="G1236" i="26" s="1"/>
  <c r="E1237" i="26"/>
  <c r="G1237" i="26" s="1"/>
  <c r="C1226" i="26"/>
  <c r="C1227" i="26"/>
  <c r="C1228" i="26"/>
  <c r="C1229" i="26"/>
  <c r="C1230" i="26"/>
  <c r="C1236" i="26"/>
  <c r="C1237" i="26"/>
  <c r="C1239" i="26"/>
  <c r="C1240" i="26"/>
  <c r="C1241" i="26"/>
  <c r="E1246" i="26"/>
  <c r="G1246" i="26" s="1"/>
  <c r="E1247" i="26"/>
  <c r="G1247" i="26" s="1"/>
  <c r="E1248" i="26"/>
  <c r="G1248" i="26" s="1"/>
  <c r="E1249" i="26"/>
  <c r="G1249" i="26" s="1"/>
  <c r="E1250" i="26"/>
  <c r="G1250" i="26" s="1"/>
  <c r="C1252" i="26"/>
  <c r="E1260" i="26"/>
  <c r="G1260" i="26" s="1"/>
  <c r="E1261" i="26"/>
  <c r="G1261" i="26" s="1"/>
  <c r="C1253" i="26"/>
  <c r="C1254" i="26"/>
  <c r="E1254" i="26" s="1"/>
  <c r="G1254" i="26" s="1"/>
  <c r="E1256" i="26"/>
  <c r="G1256" i="26" s="1"/>
  <c r="E1257" i="26"/>
  <c r="G1257" i="26" s="1"/>
  <c r="C1246" i="26"/>
  <c r="C1247" i="26"/>
  <c r="C1248" i="26"/>
  <c r="C1249" i="26"/>
  <c r="C1250" i="26"/>
  <c r="C1256" i="26"/>
  <c r="C1257" i="26"/>
  <c r="C1259" i="26"/>
  <c r="C1260" i="26"/>
  <c r="C1261" i="26"/>
  <c r="E1266" i="26"/>
  <c r="G1266" i="26" s="1"/>
  <c r="E1267" i="26"/>
  <c r="G1267" i="26" s="1"/>
  <c r="E1268" i="26"/>
  <c r="G1268" i="26" s="1"/>
  <c r="E1269" i="26"/>
  <c r="G1269" i="26" s="1"/>
  <c r="E1270" i="26"/>
  <c r="G1270" i="26" s="1"/>
  <c r="C1272" i="26"/>
  <c r="C1273" i="26"/>
  <c r="E1280" i="26"/>
  <c r="G1280" i="26" s="1"/>
  <c r="E1281" i="26"/>
  <c r="G1281" i="26" s="1"/>
  <c r="C1274" i="26"/>
  <c r="E1276" i="26"/>
  <c r="G1276" i="26" s="1"/>
  <c r="E1277" i="26"/>
  <c r="G1277" i="26" s="1"/>
  <c r="C1266" i="26"/>
  <c r="C1267" i="26"/>
  <c r="C1268" i="26"/>
  <c r="C1269" i="26"/>
  <c r="C1270" i="26"/>
  <c r="C1276" i="26"/>
  <c r="C1277" i="26"/>
  <c r="C1279" i="26"/>
  <c r="C1280" i="26"/>
  <c r="C1281" i="26"/>
  <c r="E1286" i="26"/>
  <c r="G1286" i="26" s="1"/>
  <c r="E1287" i="26"/>
  <c r="G1287" i="26" s="1"/>
  <c r="E1288" i="26"/>
  <c r="G1288" i="26" s="1"/>
  <c r="E1289" i="26"/>
  <c r="G1289" i="26" s="1"/>
  <c r="E1290" i="26"/>
  <c r="G1290" i="26" s="1"/>
  <c r="C1292" i="26"/>
  <c r="E1292" i="26" s="1"/>
  <c r="G1292" i="26" s="1"/>
  <c r="C1293" i="26"/>
  <c r="E1300" i="26"/>
  <c r="G1300" i="26" s="1"/>
  <c r="E1301" i="26"/>
  <c r="G1301" i="26" s="1"/>
  <c r="C1294" i="26"/>
  <c r="E1296" i="26"/>
  <c r="G1296" i="26" s="1"/>
  <c r="E1297" i="26"/>
  <c r="G1297" i="26" s="1"/>
  <c r="C1286" i="26"/>
  <c r="C1287" i="26"/>
  <c r="C1288" i="26"/>
  <c r="C1289" i="26"/>
  <c r="C1290" i="26"/>
  <c r="C1296" i="26"/>
  <c r="C1297" i="26"/>
  <c r="C1299" i="26"/>
  <c r="C1300" i="26"/>
  <c r="C1301" i="26"/>
  <c r="E1307" i="26"/>
  <c r="G1307" i="26" s="1"/>
  <c r="E1308" i="26"/>
  <c r="G1308" i="26" s="1"/>
  <c r="E1309" i="26"/>
  <c r="G1309" i="26" s="1"/>
  <c r="E1311" i="26"/>
  <c r="G1311" i="26" s="1"/>
  <c r="E1312" i="26"/>
  <c r="G1312" i="26" s="1"/>
  <c r="C1314" i="26"/>
  <c r="E1314" i="26" s="1"/>
  <c r="G1314" i="26" s="1"/>
  <c r="C1315" i="26"/>
  <c r="E1322" i="26"/>
  <c r="G1322" i="26" s="1"/>
  <c r="E1323" i="26"/>
  <c r="G1323" i="26" s="1"/>
  <c r="C1316" i="26"/>
  <c r="E1318" i="26"/>
  <c r="G1318" i="26" s="1"/>
  <c r="E1319" i="26"/>
  <c r="G1319" i="26" s="1"/>
  <c r="C1306" i="26"/>
  <c r="C1307" i="26"/>
  <c r="C1308" i="26"/>
  <c r="C1309" i="26"/>
  <c r="C1310" i="26"/>
  <c r="C1311" i="26"/>
  <c r="C1312" i="26"/>
  <c r="C1318" i="26"/>
  <c r="C1319" i="26"/>
  <c r="C1321" i="26"/>
  <c r="C1322" i="26"/>
  <c r="C1323" i="26"/>
  <c r="E1329" i="26"/>
  <c r="G1329" i="26" s="1"/>
  <c r="E1330" i="26"/>
  <c r="G1330" i="26" s="1"/>
  <c r="E1331" i="26"/>
  <c r="G1331" i="26" s="1"/>
  <c r="E1333" i="26"/>
  <c r="G1333" i="26" s="1"/>
  <c r="E1334" i="26"/>
  <c r="G1334" i="26" s="1"/>
  <c r="C1336" i="26"/>
  <c r="E1336" i="26" s="1"/>
  <c r="G1336" i="26" s="1"/>
  <c r="C1337" i="26"/>
  <c r="E1344" i="26"/>
  <c r="G1344" i="26" s="1"/>
  <c r="E1345" i="26"/>
  <c r="G1345" i="26" s="1"/>
  <c r="C1338" i="26"/>
  <c r="E1340" i="26"/>
  <c r="G1340" i="26" s="1"/>
  <c r="E1341" i="26"/>
  <c r="G1341" i="26" s="1"/>
  <c r="C1328" i="26"/>
  <c r="C1329" i="26"/>
  <c r="C1330" i="26"/>
  <c r="C1331" i="26"/>
  <c r="C1332" i="26"/>
  <c r="C1333" i="26"/>
  <c r="C1334" i="26"/>
  <c r="C1340" i="26"/>
  <c r="C1341" i="26"/>
  <c r="C1343" i="26"/>
  <c r="C1344" i="26"/>
  <c r="C1345" i="26"/>
  <c r="E1350" i="26"/>
  <c r="G1350" i="26" s="1"/>
  <c r="E1351" i="26"/>
  <c r="G1351" i="26" s="1"/>
  <c r="E1352" i="26"/>
  <c r="G1352" i="26" s="1"/>
  <c r="E1353" i="26"/>
  <c r="G1353" i="26" s="1"/>
  <c r="E1354" i="26"/>
  <c r="G1354" i="26" s="1"/>
  <c r="C1356" i="26"/>
  <c r="E1356" i="26" s="1"/>
  <c r="G1356" i="26" s="1"/>
  <c r="C1357" i="26"/>
  <c r="E1357" i="26" s="1"/>
  <c r="G1357" i="26" s="1"/>
  <c r="C1358" i="26"/>
  <c r="E1358" i="26" s="1"/>
  <c r="G1358" i="26" s="1"/>
  <c r="C1359" i="26"/>
  <c r="E1359" i="26" s="1"/>
  <c r="G1359" i="26" s="1"/>
  <c r="C1360" i="26"/>
  <c r="E1366" i="26"/>
  <c r="G1366" i="26" s="1"/>
  <c r="E1367" i="26"/>
  <c r="G1367" i="26" s="1"/>
  <c r="E1362" i="26"/>
  <c r="G1362" i="26" s="1"/>
  <c r="E1363" i="26"/>
  <c r="G1363" i="26" s="1"/>
  <c r="C1350" i="26"/>
  <c r="C1351" i="26"/>
  <c r="C1352" i="26"/>
  <c r="C1353" i="26"/>
  <c r="C1354" i="26"/>
  <c r="C1362" i="26"/>
  <c r="C1363" i="26"/>
  <c r="C1365" i="26"/>
  <c r="C1366" i="26"/>
  <c r="C1367" i="26"/>
  <c r="E1372" i="26"/>
  <c r="G1372" i="26" s="1"/>
  <c r="E1373" i="26"/>
  <c r="G1373" i="26" s="1"/>
  <c r="E1374" i="26"/>
  <c r="G1374" i="26" s="1"/>
  <c r="E1375" i="26"/>
  <c r="G1375" i="26" s="1"/>
  <c r="E1376" i="26"/>
  <c r="G1376" i="26" s="1"/>
  <c r="C1378" i="26"/>
  <c r="E1378" i="26" s="1"/>
  <c r="G1378" i="26" s="1"/>
  <c r="C1379" i="26"/>
  <c r="E1379" i="26" s="1"/>
  <c r="G1379" i="26" s="1"/>
  <c r="C1380" i="26"/>
  <c r="E1380" i="26" s="1"/>
  <c r="G1380" i="26" s="1"/>
  <c r="C1381" i="26"/>
  <c r="E1381" i="26" s="1"/>
  <c r="G1381" i="26" s="1"/>
  <c r="C1382" i="26"/>
  <c r="E1388" i="26"/>
  <c r="G1388" i="26" s="1"/>
  <c r="E1389" i="26"/>
  <c r="G1389" i="26" s="1"/>
  <c r="E1384" i="26"/>
  <c r="G1384" i="26" s="1"/>
  <c r="E1385" i="26"/>
  <c r="G1385" i="26" s="1"/>
  <c r="C1372" i="26"/>
  <c r="C1373" i="26"/>
  <c r="C1374" i="26"/>
  <c r="C1375" i="26"/>
  <c r="C1376" i="26"/>
  <c r="C1384" i="26"/>
  <c r="C1385" i="26"/>
  <c r="C1387" i="26"/>
  <c r="C1388" i="26"/>
  <c r="C1389" i="26"/>
  <c r="E1395" i="26"/>
  <c r="G1395" i="26" s="1"/>
  <c r="E1396" i="26"/>
  <c r="G1396" i="26" s="1"/>
  <c r="E1397" i="26"/>
  <c r="G1397" i="26" s="1"/>
  <c r="E1398" i="26"/>
  <c r="G1398" i="26" s="1"/>
  <c r="C1400" i="26"/>
  <c r="E1400" i="26" s="1"/>
  <c r="G1400" i="26" s="1"/>
  <c r="C1401" i="26"/>
  <c r="E1401" i="26" s="1"/>
  <c r="G1401" i="26" s="1"/>
  <c r="C1402" i="26"/>
  <c r="E1402" i="26" s="1"/>
  <c r="G1402" i="26" s="1"/>
  <c r="C1403" i="26"/>
  <c r="E1403" i="26" s="1"/>
  <c r="G1403" i="26" s="1"/>
  <c r="C1404" i="26"/>
  <c r="E1410" i="26"/>
  <c r="G1410" i="26" s="1"/>
  <c r="E1411" i="26"/>
  <c r="G1411" i="26" s="1"/>
  <c r="E1406" i="26"/>
  <c r="G1406" i="26" s="1"/>
  <c r="E1407" i="26"/>
  <c r="G1407" i="26" s="1"/>
  <c r="C1394" i="26"/>
  <c r="C1395" i="26"/>
  <c r="C1396" i="26"/>
  <c r="C1397" i="26"/>
  <c r="C1398" i="26"/>
  <c r="C1406" i="26"/>
  <c r="C1407" i="26"/>
  <c r="C1409" i="26"/>
  <c r="C1410" i="26"/>
  <c r="C1411" i="26"/>
  <c r="E1416" i="26"/>
  <c r="G1416" i="26" s="1"/>
  <c r="E1417" i="26"/>
  <c r="G1417" i="26" s="1"/>
  <c r="E1418" i="26"/>
  <c r="G1418" i="26" s="1"/>
  <c r="E1419" i="26"/>
  <c r="G1419" i="26" s="1"/>
  <c r="E1420" i="26"/>
  <c r="G1420" i="26" s="1"/>
  <c r="C1422" i="26"/>
  <c r="E1422" i="26" s="1"/>
  <c r="G1422" i="26" s="1"/>
  <c r="C1423" i="26"/>
  <c r="E1430" i="26"/>
  <c r="G1430" i="26" s="1"/>
  <c r="E1431" i="26"/>
  <c r="G1431" i="26" s="1"/>
  <c r="C1424" i="26"/>
  <c r="E1426" i="26"/>
  <c r="G1426" i="26" s="1"/>
  <c r="E1427" i="26"/>
  <c r="G1427" i="26" s="1"/>
  <c r="C1416" i="26"/>
  <c r="C1417" i="26"/>
  <c r="C1418" i="26"/>
  <c r="C1419" i="26"/>
  <c r="C1420" i="26"/>
  <c r="C1426" i="26"/>
  <c r="C1427" i="26"/>
  <c r="C1429" i="26"/>
  <c r="C1430" i="26"/>
  <c r="C1431" i="26"/>
  <c r="E1437" i="26"/>
  <c r="G1437" i="26" s="1"/>
  <c r="E1438" i="26"/>
  <c r="G1438" i="26" s="1"/>
  <c r="E1439" i="26"/>
  <c r="G1439" i="26" s="1"/>
  <c r="E1440" i="26"/>
  <c r="G1440" i="26" s="1"/>
  <c r="C1442" i="26"/>
  <c r="E1442" i="26" s="1"/>
  <c r="G1442" i="26" s="1"/>
  <c r="C1443" i="26"/>
  <c r="E1443" i="26" s="1"/>
  <c r="G1443" i="26" s="1"/>
  <c r="C1444" i="26"/>
  <c r="E1444" i="26" s="1"/>
  <c r="G1444" i="26" s="1"/>
  <c r="C1445" i="26"/>
  <c r="E1445" i="26" s="1"/>
  <c r="G1445" i="26" s="1"/>
  <c r="C1446" i="26"/>
  <c r="E1453" i="26"/>
  <c r="G1453" i="26" s="1"/>
  <c r="E1454" i="26"/>
  <c r="G1454" i="26" s="1"/>
  <c r="C1447" i="26"/>
  <c r="E1449" i="26"/>
  <c r="G1449" i="26" s="1"/>
  <c r="E1450" i="26"/>
  <c r="G1450" i="26" s="1"/>
  <c r="C1436" i="26"/>
  <c r="C1437" i="26"/>
  <c r="C1438" i="26"/>
  <c r="C1439" i="26"/>
  <c r="C1440" i="26"/>
  <c r="C1449" i="26"/>
  <c r="C1450" i="26"/>
  <c r="C1452" i="26"/>
  <c r="C1453" i="26"/>
  <c r="C1454" i="26"/>
  <c r="E1460" i="26"/>
  <c r="G1460" i="26" s="1"/>
  <c r="E1461" i="26"/>
  <c r="G1461" i="26" s="1"/>
  <c r="E1462" i="26"/>
  <c r="G1462" i="26" s="1"/>
  <c r="E1463" i="26"/>
  <c r="G1463" i="26" s="1"/>
  <c r="C1465" i="26"/>
  <c r="E1473" i="26"/>
  <c r="G1473" i="26" s="1"/>
  <c r="E1474" i="26"/>
  <c r="G1474" i="26" s="1"/>
  <c r="C1466" i="26"/>
  <c r="C1467" i="26"/>
  <c r="E1469" i="26"/>
  <c r="G1469" i="26" s="1"/>
  <c r="E1470" i="26"/>
  <c r="G1470" i="26" s="1"/>
  <c r="C1459" i="26"/>
  <c r="C1460" i="26"/>
  <c r="C1461" i="26"/>
  <c r="C1462" i="26"/>
  <c r="C1463" i="26"/>
  <c r="C1469" i="26"/>
  <c r="C1470" i="26"/>
  <c r="C1472" i="26"/>
  <c r="C1473" i="26"/>
  <c r="C1474" i="26"/>
  <c r="E1480" i="26"/>
  <c r="G1480" i="26" s="1"/>
  <c r="E1481" i="26"/>
  <c r="G1481" i="26" s="1"/>
  <c r="E1482" i="26"/>
  <c r="G1482" i="26" s="1"/>
  <c r="E1483" i="26"/>
  <c r="G1483" i="26" s="1"/>
  <c r="C1485" i="26"/>
  <c r="E1493" i="26"/>
  <c r="G1493" i="26" s="1"/>
  <c r="E1494" i="26"/>
  <c r="G1494" i="26" s="1"/>
  <c r="C1486" i="26"/>
  <c r="C1487" i="26"/>
  <c r="E1489" i="26"/>
  <c r="G1489" i="26" s="1"/>
  <c r="E1490" i="26"/>
  <c r="G1490" i="26" s="1"/>
  <c r="C1479" i="26"/>
  <c r="C1480" i="26"/>
  <c r="C1481" i="26"/>
  <c r="C1482" i="26"/>
  <c r="C1483" i="26"/>
  <c r="C1489" i="26"/>
  <c r="C1490" i="26"/>
  <c r="C1492" i="26"/>
  <c r="C1493" i="26"/>
  <c r="C1494" i="26"/>
  <c r="E1499" i="26"/>
  <c r="G1499" i="26" s="1"/>
  <c r="E1500" i="26"/>
  <c r="G1500" i="26" s="1"/>
  <c r="E1501" i="26"/>
  <c r="G1501" i="26" s="1"/>
  <c r="E1502" i="26"/>
  <c r="G1502" i="26" s="1"/>
  <c r="E1503" i="26"/>
  <c r="G1503" i="26" s="1"/>
  <c r="C1505" i="26"/>
  <c r="E1513" i="26"/>
  <c r="G1513" i="26" s="1"/>
  <c r="E1514" i="26"/>
  <c r="G1514" i="26" s="1"/>
  <c r="C1506" i="26"/>
  <c r="C1507" i="26"/>
  <c r="E1507" i="26" s="1"/>
  <c r="G1507" i="26" s="1"/>
  <c r="E1509" i="26"/>
  <c r="G1509" i="26" s="1"/>
  <c r="E1510" i="26"/>
  <c r="G1510" i="26" s="1"/>
  <c r="C1499" i="26"/>
  <c r="C1500" i="26"/>
  <c r="C1501" i="26"/>
  <c r="C1502" i="26"/>
  <c r="C1503" i="26"/>
  <c r="C1509" i="26"/>
  <c r="C1510" i="26"/>
  <c r="C1512" i="26"/>
  <c r="C1513" i="26"/>
  <c r="C1514" i="26"/>
  <c r="E1519" i="26"/>
  <c r="G1519" i="26" s="1"/>
  <c r="E1520" i="26"/>
  <c r="G1520" i="26" s="1"/>
  <c r="E1521" i="26"/>
  <c r="G1521" i="26" s="1"/>
  <c r="E1522" i="26"/>
  <c r="G1522" i="26" s="1"/>
  <c r="E1523" i="26"/>
  <c r="G1523" i="26" s="1"/>
  <c r="C1525" i="26"/>
  <c r="E1525" i="26" s="1"/>
  <c r="G1525" i="26" s="1"/>
  <c r="C1526" i="26"/>
  <c r="E1533" i="26"/>
  <c r="G1533" i="26" s="1"/>
  <c r="E1534" i="26"/>
  <c r="G1534" i="26" s="1"/>
  <c r="C1527" i="26"/>
  <c r="E1527" i="26" s="1"/>
  <c r="G1527" i="26" s="1"/>
  <c r="E1529" i="26"/>
  <c r="G1529" i="26" s="1"/>
  <c r="E1530" i="26"/>
  <c r="G1530" i="26" s="1"/>
  <c r="C1519" i="26"/>
  <c r="C1520" i="26"/>
  <c r="C1521" i="26"/>
  <c r="C1522" i="26"/>
  <c r="C1523" i="26"/>
  <c r="C1529" i="26"/>
  <c r="C1530" i="26"/>
  <c r="C1532" i="26"/>
  <c r="C1533" i="26"/>
  <c r="C1534" i="26"/>
  <c r="E1539" i="26"/>
  <c r="G1539" i="26" s="1"/>
  <c r="E1541" i="26"/>
  <c r="G1541" i="26" s="1"/>
  <c r="E1542" i="26"/>
  <c r="G1542" i="26" s="1"/>
  <c r="E1543" i="26"/>
  <c r="G1543" i="26" s="1"/>
  <c r="C1545" i="26"/>
  <c r="E1553" i="26"/>
  <c r="G1553" i="26" s="1"/>
  <c r="E1554" i="26"/>
  <c r="G1554" i="26" s="1"/>
  <c r="C1546" i="26"/>
  <c r="C1547" i="26"/>
  <c r="E1547" i="26" s="1"/>
  <c r="G1547" i="26" s="1"/>
  <c r="E1549" i="26"/>
  <c r="G1549" i="26" s="1"/>
  <c r="E1550" i="26"/>
  <c r="G1550" i="26" s="1"/>
  <c r="C1539" i="26"/>
  <c r="C1540" i="26"/>
  <c r="C1541" i="26"/>
  <c r="C1542" i="26"/>
  <c r="C1543" i="26"/>
  <c r="C1549" i="26"/>
  <c r="C1550" i="26"/>
  <c r="C1552" i="26"/>
  <c r="C1553" i="26"/>
  <c r="C1554" i="26"/>
  <c r="E1559" i="26"/>
  <c r="G1559" i="26" s="1"/>
  <c r="E1560" i="26"/>
  <c r="G1560" i="26" s="1"/>
  <c r="E1561" i="26"/>
  <c r="G1561" i="26" s="1"/>
  <c r="E1562" i="26"/>
  <c r="G1562" i="26" s="1"/>
  <c r="C1566" i="26"/>
  <c r="E1574" i="26"/>
  <c r="G1574" i="26" s="1"/>
  <c r="E1575" i="26"/>
  <c r="G1575" i="26" s="1"/>
  <c r="C1567" i="26"/>
  <c r="C1568" i="26"/>
  <c r="E1568" i="26" s="1"/>
  <c r="G1568" i="26" s="1"/>
  <c r="E1570" i="26"/>
  <c r="G1570" i="26" s="1"/>
  <c r="E1571" i="26"/>
  <c r="G1571" i="26" s="1"/>
  <c r="C1559" i="26"/>
  <c r="C1560" i="26"/>
  <c r="C1561" i="26"/>
  <c r="C1562" i="26"/>
  <c r="C1563" i="26"/>
  <c r="C1564" i="26"/>
  <c r="C1570" i="26"/>
  <c r="C1571" i="26"/>
  <c r="C1573" i="26"/>
  <c r="C1574" i="26"/>
  <c r="C1575" i="26"/>
  <c r="E1580" i="26"/>
  <c r="G1580" i="26" s="1"/>
  <c r="E1581" i="26"/>
  <c r="G1581" i="26" s="1"/>
  <c r="E1582" i="26"/>
  <c r="G1582" i="26" s="1"/>
  <c r="E1583" i="26"/>
  <c r="G1583" i="26" s="1"/>
  <c r="E1584" i="26"/>
  <c r="G1584" i="26" s="1"/>
  <c r="C1586" i="26"/>
  <c r="E1594" i="26"/>
  <c r="G1594" i="26" s="1"/>
  <c r="E1595" i="26"/>
  <c r="G1595" i="26" s="1"/>
  <c r="C1587" i="26"/>
  <c r="C1588" i="26"/>
  <c r="E1588" i="26" s="1"/>
  <c r="G1588" i="26" s="1"/>
  <c r="E1590" i="26"/>
  <c r="G1590" i="26" s="1"/>
  <c r="E1591" i="26"/>
  <c r="G1591" i="26" s="1"/>
  <c r="C1580" i="26"/>
  <c r="C1581" i="26"/>
  <c r="C1582" i="26"/>
  <c r="C1583" i="26"/>
  <c r="C1584" i="26"/>
  <c r="C1590" i="26"/>
  <c r="C1591" i="26"/>
  <c r="C1593" i="26"/>
  <c r="C1594" i="26"/>
  <c r="C1595" i="26"/>
  <c r="E1602" i="26"/>
  <c r="G1602" i="26" s="1"/>
  <c r="E1603" i="26"/>
  <c r="G1603" i="26" s="1"/>
  <c r="E1604" i="26"/>
  <c r="G1604" i="26" s="1"/>
  <c r="C1606" i="26"/>
  <c r="E1606" i="26" s="1"/>
  <c r="G1606" i="26" s="1"/>
  <c r="C1607" i="26"/>
  <c r="E1614" i="26"/>
  <c r="G1614" i="26" s="1"/>
  <c r="E1615" i="26"/>
  <c r="G1615" i="26" s="1"/>
  <c r="C1608" i="26"/>
  <c r="E1610" i="26"/>
  <c r="G1610" i="26" s="1"/>
  <c r="E1611" i="26"/>
  <c r="G1611" i="26" s="1"/>
  <c r="C1600" i="26"/>
  <c r="C1601" i="26"/>
  <c r="C1602" i="26"/>
  <c r="C1603" i="26"/>
  <c r="C1604" i="26"/>
  <c r="C1610" i="26"/>
  <c r="C1611" i="26"/>
  <c r="C1613" i="26"/>
  <c r="C1614" i="26"/>
  <c r="C1615" i="26"/>
  <c r="E1622" i="26"/>
  <c r="G1622" i="26" s="1"/>
  <c r="E1623" i="26"/>
  <c r="G1623" i="26" s="1"/>
  <c r="E1624" i="26"/>
  <c r="G1624" i="26" s="1"/>
  <c r="C1626" i="26"/>
  <c r="E1626" i="26" s="1"/>
  <c r="G1626" i="26" s="1"/>
  <c r="C1627" i="26"/>
  <c r="E1634" i="26"/>
  <c r="G1634" i="26" s="1"/>
  <c r="E1635" i="26"/>
  <c r="G1635" i="26" s="1"/>
  <c r="C1628" i="26"/>
  <c r="E1630" i="26"/>
  <c r="G1630" i="26" s="1"/>
  <c r="E1631" i="26"/>
  <c r="G1631" i="26" s="1"/>
  <c r="C1620" i="26"/>
  <c r="C1621" i="26"/>
  <c r="C1622" i="26"/>
  <c r="C1623" i="26"/>
  <c r="C1624" i="26"/>
  <c r="C1630" i="26"/>
  <c r="C1631" i="26"/>
  <c r="C1633" i="26"/>
  <c r="C1634" i="26"/>
  <c r="C1635" i="26"/>
  <c r="E108" i="6"/>
  <c r="G108" i="6" s="1"/>
  <c r="E109" i="6"/>
  <c r="G109" i="6" s="1"/>
  <c r="E110" i="6"/>
  <c r="G110" i="6" s="1"/>
  <c r="E111" i="6"/>
  <c r="G111" i="6" s="1"/>
  <c r="C113" i="6"/>
  <c r="E113" i="6" s="1"/>
  <c r="G113" i="6" s="1"/>
  <c r="C114" i="6"/>
  <c r="C115" i="6"/>
  <c r="D117" i="6"/>
  <c r="E117" i="6"/>
  <c r="E118" i="6"/>
  <c r="G118" i="6" s="1"/>
  <c r="E121" i="6"/>
  <c r="G121" i="6" s="1"/>
  <c r="E122" i="6"/>
  <c r="G122" i="6" s="1"/>
  <c r="C7" i="30"/>
  <c r="C8" i="30"/>
  <c r="E8" i="30"/>
  <c r="G8" i="30" s="1"/>
  <c r="E9" i="30"/>
  <c r="G9" i="30" s="1"/>
  <c r="E10" i="30"/>
  <c r="G10" i="30" s="1"/>
  <c r="E11" i="30"/>
  <c r="G11" i="30" s="1"/>
  <c r="C13" i="30"/>
  <c r="E21" i="30"/>
  <c r="G21" i="30" s="1"/>
  <c r="E22" i="30"/>
  <c r="G22" i="30" s="1"/>
  <c r="C14" i="30"/>
  <c r="C15" i="30"/>
  <c r="E15" i="30" s="1"/>
  <c r="G15" i="30" s="1"/>
  <c r="E17" i="30"/>
  <c r="G17" i="30" s="1"/>
  <c r="E18" i="30"/>
  <c r="G18" i="30" s="1"/>
  <c r="C9" i="30"/>
  <c r="C10" i="30"/>
  <c r="C11" i="30"/>
  <c r="C17" i="30"/>
  <c r="C18" i="30"/>
  <c r="C20" i="30"/>
  <c r="C21" i="30"/>
  <c r="C22" i="30"/>
  <c r="E28" i="30"/>
  <c r="G28" i="30" s="1"/>
  <c r="E29" i="30"/>
  <c r="G29" i="30" s="1"/>
  <c r="E30" i="30"/>
  <c r="G30" i="30" s="1"/>
  <c r="E31" i="30"/>
  <c r="G31" i="30" s="1"/>
  <c r="C33" i="30"/>
  <c r="E41" i="30"/>
  <c r="G41" i="30" s="1"/>
  <c r="E42" i="30"/>
  <c r="G42" i="30" s="1"/>
  <c r="C34" i="30"/>
  <c r="C35" i="30"/>
  <c r="E35" i="30" s="1"/>
  <c r="G35" i="30" s="1"/>
  <c r="E37" i="30"/>
  <c r="G37" i="30" s="1"/>
  <c r="E38" i="30"/>
  <c r="G38" i="30" s="1"/>
  <c r="C27" i="30"/>
  <c r="C28" i="30"/>
  <c r="C29" i="30"/>
  <c r="C30" i="30"/>
  <c r="C31" i="30"/>
  <c r="C37" i="30"/>
  <c r="C38" i="30"/>
  <c r="C40" i="30"/>
  <c r="C41" i="30"/>
  <c r="C42" i="30"/>
  <c r="E48" i="30"/>
  <c r="G48" i="30" s="1"/>
  <c r="E49" i="30"/>
  <c r="G49" i="30" s="1"/>
  <c r="E50" i="30"/>
  <c r="G50" i="30" s="1"/>
  <c r="E51" i="30"/>
  <c r="G51" i="30" s="1"/>
  <c r="C53" i="30"/>
  <c r="E61" i="30"/>
  <c r="G61" i="30" s="1"/>
  <c r="E62" i="30"/>
  <c r="G62" i="30" s="1"/>
  <c r="C54" i="30"/>
  <c r="C55" i="30"/>
  <c r="E55" i="30" s="1"/>
  <c r="G55" i="30" s="1"/>
  <c r="E57" i="30"/>
  <c r="G57" i="30" s="1"/>
  <c r="E58" i="30"/>
  <c r="G58" i="30" s="1"/>
  <c r="C47" i="30"/>
  <c r="C48" i="30"/>
  <c r="C49" i="30"/>
  <c r="C50" i="30"/>
  <c r="C51" i="30"/>
  <c r="C57" i="30"/>
  <c r="C58" i="30"/>
  <c r="C60" i="30"/>
  <c r="C61" i="30"/>
  <c r="C62" i="30"/>
  <c r="E69" i="30"/>
  <c r="G69" i="30" s="1"/>
  <c r="E70" i="30"/>
  <c r="G70" i="30" s="1"/>
  <c r="E71" i="30"/>
  <c r="G71" i="30" s="1"/>
  <c r="C73" i="30"/>
  <c r="E81" i="30"/>
  <c r="G81" i="30" s="1"/>
  <c r="E82" i="30"/>
  <c r="G82" i="30" s="1"/>
  <c r="C74" i="30"/>
  <c r="C75" i="30"/>
  <c r="E75" i="30" s="1"/>
  <c r="G75" i="30" s="1"/>
  <c r="E77" i="30"/>
  <c r="G77" i="30" s="1"/>
  <c r="E78" i="30"/>
  <c r="G78" i="30" s="1"/>
  <c r="C67" i="30"/>
  <c r="C68" i="30"/>
  <c r="C69" i="30"/>
  <c r="C70" i="30"/>
  <c r="C71" i="30"/>
  <c r="C77" i="30"/>
  <c r="C78" i="30"/>
  <c r="C80" i="30"/>
  <c r="C81" i="30"/>
  <c r="C82" i="30"/>
  <c r="E89" i="30"/>
  <c r="G89" i="30" s="1"/>
  <c r="E90" i="30"/>
  <c r="G90" i="30" s="1"/>
  <c r="E91" i="30"/>
  <c r="G91" i="30" s="1"/>
  <c r="C93" i="30"/>
  <c r="E93" i="30" s="1"/>
  <c r="G93" i="30" s="1"/>
  <c r="C94" i="30"/>
  <c r="C95" i="30"/>
  <c r="E95" i="30" s="1"/>
  <c r="G95" i="30" s="1"/>
  <c r="E97" i="30"/>
  <c r="G97" i="30" s="1"/>
  <c r="E98" i="30"/>
  <c r="G98" i="30" s="1"/>
  <c r="E101" i="30"/>
  <c r="G101" i="30" s="1"/>
  <c r="E102" i="30"/>
  <c r="G102" i="30" s="1"/>
  <c r="C87" i="30"/>
  <c r="C88" i="30"/>
  <c r="C89" i="30"/>
  <c r="C90" i="30"/>
  <c r="C91" i="30"/>
  <c r="C97" i="30"/>
  <c r="C98" i="30"/>
  <c r="C100" i="30"/>
  <c r="C101" i="30"/>
  <c r="C102" i="30"/>
  <c r="E109" i="30"/>
  <c r="G109" i="30" s="1"/>
  <c r="E110" i="30"/>
  <c r="G110" i="30" s="1"/>
  <c r="E111" i="30"/>
  <c r="G111" i="30" s="1"/>
  <c r="C113" i="30"/>
  <c r="E121" i="30"/>
  <c r="G121" i="30" s="1"/>
  <c r="E122" i="30"/>
  <c r="G122" i="30" s="1"/>
  <c r="C114" i="30"/>
  <c r="E114" i="30" s="1"/>
  <c r="G114" i="30" s="1"/>
  <c r="C115" i="30"/>
  <c r="E115" i="30" s="1"/>
  <c r="G115" i="30" s="1"/>
  <c r="E117" i="30"/>
  <c r="G117" i="30" s="1"/>
  <c r="E118" i="30"/>
  <c r="G118" i="30" s="1"/>
  <c r="C107" i="30"/>
  <c r="C108" i="30"/>
  <c r="C109" i="30"/>
  <c r="C110" i="30"/>
  <c r="C111" i="30"/>
  <c r="C117" i="30"/>
  <c r="C118" i="30"/>
  <c r="C120" i="30"/>
  <c r="C121" i="30"/>
  <c r="C122" i="30"/>
  <c r="E129" i="30"/>
  <c r="G129" i="30" s="1"/>
  <c r="E130" i="30"/>
  <c r="G130" i="30" s="1"/>
  <c r="E131" i="30"/>
  <c r="G131" i="30" s="1"/>
  <c r="C133" i="30"/>
  <c r="E141" i="30"/>
  <c r="G141" i="30" s="1"/>
  <c r="E142" i="30"/>
  <c r="G142" i="30" s="1"/>
  <c r="C134" i="30"/>
  <c r="C135" i="30"/>
  <c r="E135" i="30" s="1"/>
  <c r="G135" i="30" s="1"/>
  <c r="E137" i="30"/>
  <c r="G137" i="30" s="1"/>
  <c r="E138" i="30"/>
  <c r="G138" i="30" s="1"/>
  <c r="C127" i="30"/>
  <c r="C128" i="30"/>
  <c r="C129" i="30"/>
  <c r="C130" i="30"/>
  <c r="C131" i="30"/>
  <c r="C137" i="30"/>
  <c r="C138" i="30"/>
  <c r="C140" i="30"/>
  <c r="C141" i="30"/>
  <c r="C142" i="30"/>
  <c r="E148" i="30"/>
  <c r="G148" i="30" s="1"/>
  <c r="E149" i="30"/>
  <c r="G149" i="30" s="1"/>
  <c r="E150" i="30"/>
  <c r="G150" i="30" s="1"/>
  <c r="E151" i="30"/>
  <c r="G151" i="30" s="1"/>
  <c r="C153" i="30"/>
  <c r="E153" i="30" s="1"/>
  <c r="G153" i="30" s="1"/>
  <c r="C154" i="30"/>
  <c r="E154" i="30" s="1"/>
  <c r="G154" i="30" s="1"/>
  <c r="C155" i="30"/>
  <c r="E161" i="30"/>
  <c r="G161" i="30" s="1"/>
  <c r="E162" i="30"/>
  <c r="G162" i="30" s="1"/>
  <c r="E157" i="30"/>
  <c r="G157" i="30" s="1"/>
  <c r="E158" i="30"/>
  <c r="G158" i="30" s="1"/>
  <c r="C147" i="30"/>
  <c r="C148" i="30"/>
  <c r="C149" i="30"/>
  <c r="C150" i="30"/>
  <c r="C151" i="30"/>
  <c r="C157" i="30"/>
  <c r="C158" i="30"/>
  <c r="C160" i="30"/>
  <c r="C161" i="30"/>
  <c r="C162" i="30"/>
  <c r="E168" i="30"/>
  <c r="G168" i="30" s="1"/>
  <c r="E169" i="30"/>
  <c r="G169" i="30" s="1"/>
  <c r="E170" i="30"/>
  <c r="G170" i="30" s="1"/>
  <c r="E171" i="30"/>
  <c r="G171" i="30" s="1"/>
  <c r="C173" i="30"/>
  <c r="E173" i="30" s="1"/>
  <c r="G173" i="30" s="1"/>
  <c r="C174" i="30"/>
  <c r="C175" i="30"/>
  <c r="E175" i="30" s="1"/>
  <c r="G175" i="30" s="1"/>
  <c r="E177" i="30"/>
  <c r="G177" i="30" s="1"/>
  <c r="E178" i="30"/>
  <c r="G178" i="30" s="1"/>
  <c r="E181" i="30"/>
  <c r="G181" i="30" s="1"/>
  <c r="E182" i="30"/>
  <c r="G182" i="30" s="1"/>
  <c r="C167" i="30"/>
  <c r="C168" i="30"/>
  <c r="C169" i="30"/>
  <c r="C170" i="30"/>
  <c r="C171" i="30"/>
  <c r="C177" i="30"/>
  <c r="C178" i="30"/>
  <c r="C180" i="30"/>
  <c r="C181" i="30"/>
  <c r="C182" i="30"/>
  <c r="E188" i="30"/>
  <c r="G188" i="30" s="1"/>
  <c r="E189" i="30"/>
  <c r="G189" i="30" s="1"/>
  <c r="E190" i="30"/>
  <c r="G190" i="30" s="1"/>
  <c r="E191" i="30"/>
  <c r="G191" i="30" s="1"/>
  <c r="C193" i="30"/>
  <c r="E193" i="30" s="1"/>
  <c r="G193" i="30" s="1"/>
  <c r="C194" i="30"/>
  <c r="C195" i="30"/>
  <c r="E195" i="30" s="1"/>
  <c r="G195" i="30" s="1"/>
  <c r="E197" i="30"/>
  <c r="G197" i="30" s="1"/>
  <c r="E198" i="30"/>
  <c r="G198" i="30" s="1"/>
  <c r="E201" i="30"/>
  <c r="G201" i="30" s="1"/>
  <c r="E202" i="30"/>
  <c r="G202" i="30" s="1"/>
  <c r="C187" i="30"/>
  <c r="C188" i="30"/>
  <c r="C189" i="30"/>
  <c r="C190" i="30"/>
  <c r="C191" i="30"/>
  <c r="C197" i="30"/>
  <c r="C198" i="30"/>
  <c r="C200" i="30"/>
  <c r="C201" i="30"/>
  <c r="C202" i="30"/>
  <c r="E208" i="30"/>
  <c r="G208" i="30" s="1"/>
  <c r="E209" i="30"/>
  <c r="G209" i="30" s="1"/>
  <c r="E210" i="30"/>
  <c r="G210" i="30" s="1"/>
  <c r="E211" i="30"/>
  <c r="G211" i="30" s="1"/>
  <c r="C213" i="30"/>
  <c r="E213" i="30" s="1"/>
  <c r="G213" i="30" s="1"/>
  <c r="C214" i="30"/>
  <c r="C215" i="30"/>
  <c r="E215" i="30" s="1"/>
  <c r="G215" i="30" s="1"/>
  <c r="E217" i="30"/>
  <c r="G217" i="30" s="1"/>
  <c r="E218" i="30"/>
  <c r="G218" i="30" s="1"/>
  <c r="E221" i="30"/>
  <c r="G221" i="30" s="1"/>
  <c r="E222" i="30"/>
  <c r="G222" i="30" s="1"/>
  <c r="C207" i="30"/>
  <c r="C208" i="30"/>
  <c r="C209" i="30"/>
  <c r="C210" i="30"/>
  <c r="C211" i="30"/>
  <c r="C217" i="30"/>
  <c r="C218" i="30"/>
  <c r="C220" i="30"/>
  <c r="C221" i="30"/>
  <c r="C222" i="30"/>
  <c r="E229" i="30"/>
  <c r="G229" i="30" s="1"/>
  <c r="E230" i="30"/>
  <c r="G230" i="30" s="1"/>
  <c r="E231" i="30"/>
  <c r="G231" i="30" s="1"/>
  <c r="C233" i="30"/>
  <c r="E241" i="30"/>
  <c r="G241" i="30" s="1"/>
  <c r="E242" i="30"/>
  <c r="G242" i="30" s="1"/>
  <c r="C234" i="30"/>
  <c r="C235" i="30"/>
  <c r="E235" i="30" s="1"/>
  <c r="G235" i="30" s="1"/>
  <c r="E237" i="30"/>
  <c r="G237" i="30" s="1"/>
  <c r="E238" i="30"/>
  <c r="G238" i="30" s="1"/>
  <c r="C227" i="30"/>
  <c r="C228" i="30"/>
  <c r="C229" i="30"/>
  <c r="C230" i="30"/>
  <c r="C231" i="30"/>
  <c r="C237" i="30"/>
  <c r="C238" i="30"/>
  <c r="C240" i="30"/>
  <c r="C241" i="30"/>
  <c r="C242" i="30"/>
  <c r="E248" i="30"/>
  <c r="G248" i="30" s="1"/>
  <c r="E249" i="30"/>
  <c r="G249" i="30" s="1"/>
  <c r="E250" i="30"/>
  <c r="G250" i="30" s="1"/>
  <c r="E251" i="30"/>
  <c r="G251" i="30" s="1"/>
  <c r="C253" i="30"/>
  <c r="E261" i="30"/>
  <c r="G261" i="30" s="1"/>
  <c r="E262" i="30"/>
  <c r="G262" i="30" s="1"/>
  <c r="C254" i="30"/>
  <c r="C255" i="30"/>
  <c r="E255" i="30" s="1"/>
  <c r="G255" i="30" s="1"/>
  <c r="E257" i="30"/>
  <c r="G257" i="30" s="1"/>
  <c r="E258" i="30"/>
  <c r="G258" i="30" s="1"/>
  <c r="C247" i="30"/>
  <c r="C248" i="30"/>
  <c r="C249" i="30"/>
  <c r="C250" i="30"/>
  <c r="C251" i="30"/>
  <c r="C257" i="30"/>
  <c r="C258" i="30"/>
  <c r="C260" i="30"/>
  <c r="C261" i="30"/>
  <c r="C262" i="30"/>
  <c r="E268" i="30"/>
  <c r="G268" i="30" s="1"/>
  <c r="E270" i="30"/>
  <c r="G270" i="30" s="1"/>
  <c r="E271" i="30"/>
  <c r="G271" i="30" s="1"/>
  <c r="C273" i="30"/>
  <c r="E281" i="30"/>
  <c r="G281" i="30" s="1"/>
  <c r="E282" i="30"/>
  <c r="G282" i="30" s="1"/>
  <c r="C274" i="30"/>
  <c r="C275" i="30"/>
  <c r="E275" i="30" s="1"/>
  <c r="G275" i="30" s="1"/>
  <c r="E277" i="30"/>
  <c r="G277" i="30" s="1"/>
  <c r="E278" i="30"/>
  <c r="G278" i="30" s="1"/>
  <c r="C267" i="30"/>
  <c r="C268" i="30"/>
  <c r="C269" i="30"/>
  <c r="C270" i="30"/>
  <c r="C271" i="30"/>
  <c r="C277" i="30"/>
  <c r="C278" i="30"/>
  <c r="C280" i="30"/>
  <c r="C281" i="30"/>
  <c r="C282" i="30"/>
  <c r="E288" i="30"/>
  <c r="G288" i="30" s="1"/>
  <c r="E290" i="30"/>
  <c r="G290" i="30" s="1"/>
  <c r="E291" i="30"/>
  <c r="G291" i="30" s="1"/>
  <c r="C293" i="30"/>
  <c r="E301" i="30"/>
  <c r="G301" i="30" s="1"/>
  <c r="E302" i="30"/>
  <c r="G302" i="30" s="1"/>
  <c r="C294" i="30"/>
  <c r="C295" i="30"/>
  <c r="E295" i="30" s="1"/>
  <c r="G295" i="30" s="1"/>
  <c r="E297" i="30"/>
  <c r="G297" i="30" s="1"/>
  <c r="E298" i="30"/>
  <c r="G298" i="30" s="1"/>
  <c r="C287" i="30"/>
  <c r="C288" i="30"/>
  <c r="C289" i="30"/>
  <c r="C290" i="30"/>
  <c r="C291" i="30"/>
  <c r="C297" i="30"/>
  <c r="C298" i="30"/>
  <c r="C300" i="30"/>
  <c r="C301" i="30"/>
  <c r="C302" i="30"/>
  <c r="E308" i="30"/>
  <c r="G308" i="30" s="1"/>
  <c r="E310" i="30"/>
  <c r="G310" i="30" s="1"/>
  <c r="E311" i="30"/>
  <c r="G311" i="30" s="1"/>
  <c r="C313" i="30"/>
  <c r="E321" i="30"/>
  <c r="G321" i="30" s="1"/>
  <c r="E322" i="30"/>
  <c r="G322" i="30" s="1"/>
  <c r="C314" i="30"/>
  <c r="C315" i="30"/>
  <c r="E315" i="30" s="1"/>
  <c r="G315" i="30" s="1"/>
  <c r="E317" i="30"/>
  <c r="G317" i="30" s="1"/>
  <c r="E318" i="30"/>
  <c r="G318" i="30" s="1"/>
  <c r="C307" i="30"/>
  <c r="C308" i="30"/>
  <c r="C309" i="30"/>
  <c r="C310" i="30"/>
  <c r="C311" i="30"/>
  <c r="C317" i="30"/>
  <c r="C318" i="30"/>
  <c r="C320" i="30"/>
  <c r="C321" i="30"/>
  <c r="C322" i="30"/>
  <c r="E329" i="30"/>
  <c r="G329" i="30" s="1"/>
  <c r="E330" i="30"/>
  <c r="G330" i="30" s="1"/>
  <c r="E331" i="30"/>
  <c r="G331" i="30" s="1"/>
  <c r="C333" i="30"/>
  <c r="E333" i="30" s="1"/>
  <c r="G333" i="30" s="1"/>
  <c r="C334" i="30"/>
  <c r="C335" i="30"/>
  <c r="E335" i="30" s="1"/>
  <c r="G335" i="30" s="1"/>
  <c r="E337" i="30"/>
  <c r="G337" i="30" s="1"/>
  <c r="E338" i="30"/>
  <c r="G338" i="30" s="1"/>
  <c r="E341" i="30"/>
  <c r="G341" i="30" s="1"/>
  <c r="E342" i="30"/>
  <c r="G342" i="30" s="1"/>
  <c r="C327" i="30"/>
  <c r="C328" i="30"/>
  <c r="C329" i="30"/>
  <c r="C330" i="30"/>
  <c r="C331" i="30"/>
  <c r="C337" i="30"/>
  <c r="C338" i="30"/>
  <c r="C340" i="30"/>
  <c r="C341" i="30"/>
  <c r="C342" i="30"/>
  <c r="E347" i="30"/>
  <c r="G347" i="30" s="1"/>
  <c r="E348" i="30"/>
  <c r="G348" i="30" s="1"/>
  <c r="E349" i="30"/>
  <c r="G349" i="30" s="1"/>
  <c r="E350" i="30"/>
  <c r="G350" i="30" s="1"/>
  <c r="E351" i="30"/>
  <c r="G351" i="30" s="1"/>
  <c r="C353" i="30"/>
  <c r="E361" i="30"/>
  <c r="G361" i="30" s="1"/>
  <c r="E362" i="30"/>
  <c r="G362" i="30" s="1"/>
  <c r="C354" i="30"/>
  <c r="E354" i="30" s="1"/>
  <c r="G354" i="30" s="1"/>
  <c r="C355" i="30"/>
  <c r="E355" i="30" s="1"/>
  <c r="G355" i="30" s="1"/>
  <c r="E357" i="30"/>
  <c r="G357" i="30" s="1"/>
  <c r="E358" i="30"/>
  <c r="G358" i="30" s="1"/>
  <c r="C347" i="30"/>
  <c r="C348" i="30"/>
  <c r="C349" i="30"/>
  <c r="C350" i="30"/>
  <c r="C351" i="30"/>
  <c r="C357" i="30"/>
  <c r="C358" i="30"/>
  <c r="C360" i="30"/>
  <c r="C361" i="30"/>
  <c r="C362" i="30"/>
  <c r="E367" i="30"/>
  <c r="G367" i="30" s="1"/>
  <c r="E368" i="30"/>
  <c r="G368" i="30" s="1"/>
  <c r="E369" i="30"/>
  <c r="G369" i="30" s="1"/>
  <c r="E370" i="30"/>
  <c r="G370" i="30" s="1"/>
  <c r="E371" i="30"/>
  <c r="G371" i="30" s="1"/>
  <c r="C373" i="30"/>
  <c r="E381" i="30"/>
  <c r="G381" i="30" s="1"/>
  <c r="E382" i="30"/>
  <c r="G382" i="30" s="1"/>
  <c r="C374" i="30"/>
  <c r="E374" i="30" s="1"/>
  <c r="G374" i="30" s="1"/>
  <c r="C375" i="30"/>
  <c r="E375" i="30" s="1"/>
  <c r="G375" i="30" s="1"/>
  <c r="E377" i="30"/>
  <c r="G377" i="30" s="1"/>
  <c r="E378" i="30"/>
  <c r="G378" i="30" s="1"/>
  <c r="C367" i="30"/>
  <c r="C368" i="30"/>
  <c r="C369" i="30"/>
  <c r="C370" i="30"/>
  <c r="C371" i="30"/>
  <c r="C377" i="30"/>
  <c r="C378" i="30"/>
  <c r="C380" i="30"/>
  <c r="C381" i="30"/>
  <c r="C382" i="30"/>
  <c r="E387" i="30"/>
  <c r="G387" i="30" s="1"/>
  <c r="E388" i="30"/>
  <c r="G388" i="30" s="1"/>
  <c r="E389" i="30"/>
  <c r="G389" i="30" s="1"/>
  <c r="E390" i="30"/>
  <c r="G390" i="30" s="1"/>
  <c r="E391" i="30"/>
  <c r="G391" i="30" s="1"/>
  <c r="C393" i="30"/>
  <c r="E401" i="30"/>
  <c r="G401" i="30" s="1"/>
  <c r="E402" i="30"/>
  <c r="G402" i="30" s="1"/>
  <c r="C394" i="30"/>
  <c r="E394" i="30" s="1"/>
  <c r="G394" i="30" s="1"/>
  <c r="C395" i="30"/>
  <c r="E395" i="30" s="1"/>
  <c r="G395" i="30" s="1"/>
  <c r="E397" i="30"/>
  <c r="G397" i="30" s="1"/>
  <c r="E398" i="30"/>
  <c r="G398" i="30" s="1"/>
  <c r="C387" i="30"/>
  <c r="C388" i="30"/>
  <c r="C389" i="30"/>
  <c r="C390" i="30"/>
  <c r="C391" i="30"/>
  <c r="C397" i="30"/>
  <c r="C398" i="30"/>
  <c r="C400" i="30"/>
  <c r="C401" i="30"/>
  <c r="C402" i="30"/>
  <c r="E407" i="30"/>
  <c r="G407" i="30" s="1"/>
  <c r="E408" i="30"/>
  <c r="G408" i="30" s="1"/>
  <c r="E409" i="30"/>
  <c r="G409" i="30" s="1"/>
  <c r="E410" i="30"/>
  <c r="G410" i="30" s="1"/>
  <c r="E411" i="30"/>
  <c r="G411" i="30" s="1"/>
  <c r="C413" i="30"/>
  <c r="E421" i="30"/>
  <c r="G421" i="30" s="1"/>
  <c r="E422" i="30"/>
  <c r="G422" i="30" s="1"/>
  <c r="C414" i="30"/>
  <c r="E414" i="30" s="1"/>
  <c r="G414" i="30" s="1"/>
  <c r="C415" i="30"/>
  <c r="E415" i="30" s="1"/>
  <c r="G415" i="30" s="1"/>
  <c r="E417" i="30"/>
  <c r="G417" i="30" s="1"/>
  <c r="E418" i="30"/>
  <c r="G418" i="30" s="1"/>
  <c r="C407" i="30"/>
  <c r="C408" i="30"/>
  <c r="C409" i="30"/>
  <c r="C410" i="30"/>
  <c r="C411" i="30"/>
  <c r="C417" i="30"/>
  <c r="C418" i="30"/>
  <c r="C420" i="30"/>
  <c r="C421" i="30"/>
  <c r="C422" i="30"/>
  <c r="E429" i="30"/>
  <c r="G429" i="30" s="1"/>
  <c r="E430" i="30"/>
  <c r="G430" i="30" s="1"/>
  <c r="E431" i="30"/>
  <c r="G431" i="30" s="1"/>
  <c r="C433" i="30"/>
  <c r="E433" i="30" s="1"/>
  <c r="G433" i="30" s="1"/>
  <c r="C434" i="30"/>
  <c r="C435" i="30"/>
  <c r="E441" i="30"/>
  <c r="G441" i="30" s="1"/>
  <c r="E442" i="30"/>
  <c r="G442" i="30" s="1"/>
  <c r="E437" i="30"/>
  <c r="G437" i="30" s="1"/>
  <c r="E438" i="30"/>
  <c r="G438" i="30" s="1"/>
  <c r="C427" i="30"/>
  <c r="C428" i="30"/>
  <c r="C429" i="30"/>
  <c r="C430" i="30"/>
  <c r="C431" i="30"/>
  <c r="C437" i="30"/>
  <c r="C438" i="30"/>
  <c r="C440" i="30"/>
  <c r="C441" i="30"/>
  <c r="C442" i="30"/>
  <c r="E449" i="30"/>
  <c r="G449" i="30" s="1"/>
  <c r="E450" i="30"/>
  <c r="G450" i="30" s="1"/>
  <c r="E451" i="30"/>
  <c r="G451" i="30" s="1"/>
  <c r="C453" i="30"/>
  <c r="E453" i="30" s="1"/>
  <c r="G453" i="30" s="1"/>
  <c r="C454" i="30"/>
  <c r="C455" i="30"/>
  <c r="E461" i="30"/>
  <c r="G461" i="30" s="1"/>
  <c r="E462" i="30"/>
  <c r="G462" i="30" s="1"/>
  <c r="E457" i="30"/>
  <c r="G457" i="30" s="1"/>
  <c r="E458" i="30"/>
  <c r="G458" i="30" s="1"/>
  <c r="C447" i="30"/>
  <c r="C448" i="30"/>
  <c r="C449" i="30"/>
  <c r="C450" i="30"/>
  <c r="C451" i="30"/>
  <c r="C457" i="30"/>
  <c r="C458" i="30"/>
  <c r="C460" i="30"/>
  <c r="C461" i="30"/>
  <c r="C462" i="30"/>
  <c r="E469" i="30"/>
  <c r="G469" i="30" s="1"/>
  <c r="E470" i="30"/>
  <c r="G470" i="30" s="1"/>
  <c r="E471" i="30"/>
  <c r="G471" i="30" s="1"/>
  <c r="C473" i="30"/>
  <c r="E473" i="30" s="1"/>
  <c r="G473" i="30" s="1"/>
  <c r="C474" i="30"/>
  <c r="C475" i="30"/>
  <c r="E481" i="30"/>
  <c r="G481" i="30" s="1"/>
  <c r="E482" i="30"/>
  <c r="G482" i="30" s="1"/>
  <c r="E477" i="30"/>
  <c r="G477" i="30" s="1"/>
  <c r="E478" i="30"/>
  <c r="G478" i="30" s="1"/>
  <c r="C467" i="30"/>
  <c r="C468" i="30"/>
  <c r="C469" i="30"/>
  <c r="C470" i="30"/>
  <c r="C471" i="30"/>
  <c r="C477" i="30"/>
  <c r="C478" i="30"/>
  <c r="C480" i="30"/>
  <c r="C481" i="30"/>
  <c r="C482" i="30"/>
  <c r="E487" i="30"/>
  <c r="G487" i="30" s="1"/>
  <c r="E488" i="30"/>
  <c r="G488" i="30" s="1"/>
  <c r="E489" i="30"/>
  <c r="G489" i="30" s="1"/>
  <c r="E490" i="30"/>
  <c r="G490" i="30" s="1"/>
  <c r="E491" i="30"/>
  <c r="G491" i="30" s="1"/>
  <c r="C493" i="30"/>
  <c r="E501" i="30"/>
  <c r="G501" i="30" s="1"/>
  <c r="E502" i="30"/>
  <c r="G502" i="30" s="1"/>
  <c r="C494" i="30"/>
  <c r="C495" i="30"/>
  <c r="E495" i="30" s="1"/>
  <c r="G495" i="30" s="1"/>
  <c r="E497" i="30"/>
  <c r="G497" i="30" s="1"/>
  <c r="E498" i="30"/>
  <c r="G498" i="30" s="1"/>
  <c r="C487" i="30"/>
  <c r="C488" i="30"/>
  <c r="C489" i="30"/>
  <c r="C490" i="30"/>
  <c r="C491" i="30"/>
  <c r="C497" i="30"/>
  <c r="C498" i="30"/>
  <c r="C500" i="30"/>
  <c r="C501" i="30"/>
  <c r="C502" i="30"/>
  <c r="E507" i="30"/>
  <c r="G507" i="30" s="1"/>
  <c r="E508" i="30"/>
  <c r="G508" i="30" s="1"/>
  <c r="E509" i="30"/>
  <c r="G509" i="30" s="1"/>
  <c r="E510" i="30"/>
  <c r="G510" i="30" s="1"/>
  <c r="E511" i="30"/>
  <c r="G511" i="30" s="1"/>
  <c r="C513" i="30"/>
  <c r="E513" i="30" s="1"/>
  <c r="G513" i="30" s="1"/>
  <c r="C514" i="30"/>
  <c r="C515" i="30"/>
  <c r="E515" i="30" s="1"/>
  <c r="G515" i="30" s="1"/>
  <c r="E517" i="30"/>
  <c r="G517" i="30" s="1"/>
  <c r="E518" i="30"/>
  <c r="G518" i="30" s="1"/>
  <c r="E521" i="30"/>
  <c r="G521" i="30" s="1"/>
  <c r="E522" i="30"/>
  <c r="G522" i="30" s="1"/>
  <c r="C507" i="30"/>
  <c r="C508" i="30"/>
  <c r="C509" i="30"/>
  <c r="C510" i="30"/>
  <c r="C511" i="30"/>
  <c r="C517" i="30"/>
  <c r="C518" i="30"/>
  <c r="C520" i="30"/>
  <c r="C521" i="30"/>
  <c r="C522" i="30"/>
  <c r="E527" i="30"/>
  <c r="G527" i="30" s="1"/>
  <c r="E528" i="30"/>
  <c r="G528" i="30" s="1"/>
  <c r="E529" i="30"/>
  <c r="G529" i="30" s="1"/>
  <c r="E530" i="30"/>
  <c r="G530" i="30" s="1"/>
  <c r="E531" i="30"/>
  <c r="G531" i="30" s="1"/>
  <c r="C533" i="30"/>
  <c r="E533" i="30" s="1"/>
  <c r="G533" i="30" s="1"/>
  <c r="C534" i="30"/>
  <c r="C535" i="30"/>
  <c r="E535" i="30" s="1"/>
  <c r="G535" i="30" s="1"/>
  <c r="E537" i="30"/>
  <c r="G537" i="30" s="1"/>
  <c r="E538" i="30"/>
  <c r="G538" i="30" s="1"/>
  <c r="E541" i="30"/>
  <c r="G541" i="30" s="1"/>
  <c r="E542" i="30"/>
  <c r="G542" i="30" s="1"/>
  <c r="C527" i="30"/>
  <c r="C528" i="30"/>
  <c r="C529" i="30"/>
  <c r="C530" i="30"/>
  <c r="C531" i="30"/>
  <c r="C537" i="30"/>
  <c r="C538" i="30"/>
  <c r="C540" i="30"/>
  <c r="C541" i="30"/>
  <c r="C542" i="30"/>
  <c r="E547" i="30"/>
  <c r="G547" i="30" s="1"/>
  <c r="E548" i="30"/>
  <c r="G548" i="30" s="1"/>
  <c r="E549" i="30"/>
  <c r="G549" i="30" s="1"/>
  <c r="E550" i="30"/>
  <c r="G550" i="30" s="1"/>
  <c r="E551" i="30"/>
  <c r="G551" i="30" s="1"/>
  <c r="C553" i="30"/>
  <c r="E553" i="30" s="1"/>
  <c r="G553" i="30" s="1"/>
  <c r="C554" i="30"/>
  <c r="C555" i="30"/>
  <c r="E555" i="30" s="1"/>
  <c r="G555" i="30" s="1"/>
  <c r="E557" i="30"/>
  <c r="G557" i="30" s="1"/>
  <c r="E558" i="30"/>
  <c r="G558" i="30" s="1"/>
  <c r="E561" i="30"/>
  <c r="G561" i="30" s="1"/>
  <c r="E562" i="30"/>
  <c r="G562" i="30" s="1"/>
  <c r="C547" i="30"/>
  <c r="C548" i="30"/>
  <c r="C549" i="30"/>
  <c r="C550" i="30"/>
  <c r="C551" i="30"/>
  <c r="C557" i="30"/>
  <c r="C558" i="30"/>
  <c r="C560" i="30"/>
  <c r="C561" i="30"/>
  <c r="C562" i="30"/>
  <c r="E569" i="30"/>
  <c r="G569" i="30" s="1"/>
  <c r="E570" i="30"/>
  <c r="G570" i="30" s="1"/>
  <c r="E571" i="30"/>
  <c r="G571" i="30" s="1"/>
  <c r="C573" i="30"/>
  <c r="E581" i="30"/>
  <c r="G581" i="30" s="1"/>
  <c r="E582" i="30"/>
  <c r="G582" i="30" s="1"/>
  <c r="C574" i="30"/>
  <c r="E574" i="30" s="1"/>
  <c r="G574" i="30" s="1"/>
  <c r="C575" i="30"/>
  <c r="E575" i="30" s="1"/>
  <c r="G575" i="30" s="1"/>
  <c r="E577" i="30"/>
  <c r="G577" i="30" s="1"/>
  <c r="E578" i="30"/>
  <c r="G578" i="30" s="1"/>
  <c r="C567" i="30"/>
  <c r="C568" i="30"/>
  <c r="C569" i="30"/>
  <c r="C570" i="30"/>
  <c r="C571" i="30"/>
  <c r="C577" i="30"/>
  <c r="C578" i="30"/>
  <c r="C580" i="30"/>
  <c r="C581" i="30"/>
  <c r="C582" i="30"/>
  <c r="E587" i="30"/>
  <c r="G587" i="30" s="1"/>
  <c r="E588" i="30"/>
  <c r="G588" i="30" s="1"/>
  <c r="E589" i="30"/>
  <c r="G589" i="30" s="1"/>
  <c r="E590" i="30"/>
  <c r="G590" i="30" s="1"/>
  <c r="E591" i="30"/>
  <c r="G591" i="30" s="1"/>
  <c r="C593" i="30"/>
  <c r="E601" i="30"/>
  <c r="G601" i="30" s="1"/>
  <c r="E602" i="30"/>
  <c r="G602" i="30" s="1"/>
  <c r="C594" i="30"/>
  <c r="E594" i="30" s="1"/>
  <c r="G594" i="30" s="1"/>
  <c r="C595" i="30"/>
  <c r="E595" i="30" s="1"/>
  <c r="G595" i="30" s="1"/>
  <c r="E597" i="30"/>
  <c r="G597" i="30" s="1"/>
  <c r="E598" i="30"/>
  <c r="G598" i="30" s="1"/>
  <c r="C587" i="30"/>
  <c r="C588" i="30"/>
  <c r="C589" i="30"/>
  <c r="C590" i="30"/>
  <c r="C591" i="30"/>
  <c r="C597" i="30"/>
  <c r="C598" i="30"/>
  <c r="C600" i="30"/>
  <c r="C601" i="30"/>
  <c r="C602" i="30"/>
  <c r="E607" i="30"/>
  <c r="G607" i="30" s="1"/>
  <c r="E608" i="30"/>
  <c r="G608" i="30" s="1"/>
  <c r="E609" i="30"/>
  <c r="G609" i="30" s="1"/>
  <c r="E610" i="30"/>
  <c r="G610" i="30" s="1"/>
  <c r="E611" i="30"/>
  <c r="G611" i="30" s="1"/>
  <c r="C613" i="30"/>
  <c r="E621" i="30"/>
  <c r="G621" i="30" s="1"/>
  <c r="E622" i="30"/>
  <c r="G622" i="30" s="1"/>
  <c r="C614" i="30"/>
  <c r="E614" i="30" s="1"/>
  <c r="G614" i="30" s="1"/>
  <c r="C615" i="30"/>
  <c r="E615" i="30" s="1"/>
  <c r="G615" i="30" s="1"/>
  <c r="E617" i="30"/>
  <c r="G617" i="30" s="1"/>
  <c r="E618" i="30"/>
  <c r="G618" i="30" s="1"/>
  <c r="C607" i="30"/>
  <c r="C608" i="30"/>
  <c r="C609" i="30"/>
  <c r="C610" i="30"/>
  <c r="C611" i="30"/>
  <c r="C617" i="30"/>
  <c r="C618" i="30"/>
  <c r="C620" i="30"/>
  <c r="C621" i="30"/>
  <c r="C622" i="30"/>
  <c r="E629" i="30"/>
  <c r="G629" i="30" s="1"/>
  <c r="E630" i="30"/>
  <c r="G630" i="30" s="1"/>
  <c r="E631" i="30"/>
  <c r="G631" i="30" s="1"/>
  <c r="C633" i="30"/>
  <c r="E641" i="30"/>
  <c r="G641" i="30" s="1"/>
  <c r="E642" i="30"/>
  <c r="G642" i="30" s="1"/>
  <c r="C634" i="30"/>
  <c r="E634" i="30" s="1"/>
  <c r="G634" i="30" s="1"/>
  <c r="C635" i="30"/>
  <c r="E635" i="30" s="1"/>
  <c r="G635" i="30" s="1"/>
  <c r="E637" i="30"/>
  <c r="G637" i="30" s="1"/>
  <c r="E638" i="30"/>
  <c r="G638" i="30" s="1"/>
  <c r="C627" i="30"/>
  <c r="C628" i="30"/>
  <c r="C629" i="30"/>
  <c r="C630" i="30"/>
  <c r="C631" i="30"/>
  <c r="C637" i="30"/>
  <c r="C638" i="30"/>
  <c r="C640" i="30"/>
  <c r="C641" i="30"/>
  <c r="C642" i="30"/>
  <c r="E649" i="30"/>
  <c r="G649" i="30" s="1"/>
  <c r="E650" i="30"/>
  <c r="G650" i="30" s="1"/>
  <c r="E651" i="30"/>
  <c r="G651" i="30" s="1"/>
  <c r="C653" i="30"/>
  <c r="E661" i="30"/>
  <c r="G661" i="30" s="1"/>
  <c r="E662" i="30"/>
  <c r="G662" i="30" s="1"/>
  <c r="C654" i="30"/>
  <c r="E654" i="30" s="1"/>
  <c r="G654" i="30" s="1"/>
  <c r="C655" i="30"/>
  <c r="E655" i="30" s="1"/>
  <c r="G655" i="30" s="1"/>
  <c r="E657" i="30"/>
  <c r="G657" i="30" s="1"/>
  <c r="E658" i="30"/>
  <c r="G658" i="30" s="1"/>
  <c r="C647" i="30"/>
  <c r="C648" i="30"/>
  <c r="C649" i="30"/>
  <c r="C650" i="30"/>
  <c r="C651" i="30"/>
  <c r="C657" i="30"/>
  <c r="C658" i="30"/>
  <c r="C660" i="30"/>
  <c r="C661" i="30"/>
  <c r="C662" i="30"/>
  <c r="E669" i="30"/>
  <c r="G669" i="30" s="1"/>
  <c r="E670" i="30"/>
  <c r="G670" i="30" s="1"/>
  <c r="E671" i="30"/>
  <c r="G671" i="30" s="1"/>
  <c r="C673" i="30"/>
  <c r="E681" i="30"/>
  <c r="G681" i="30" s="1"/>
  <c r="E682" i="30"/>
  <c r="G682" i="30" s="1"/>
  <c r="C674" i="30"/>
  <c r="E674" i="30" s="1"/>
  <c r="G674" i="30" s="1"/>
  <c r="C675" i="30"/>
  <c r="E675" i="30" s="1"/>
  <c r="G675" i="30" s="1"/>
  <c r="E677" i="30"/>
  <c r="G677" i="30" s="1"/>
  <c r="E678" i="30"/>
  <c r="G678" i="30" s="1"/>
  <c r="C667" i="30"/>
  <c r="C668" i="30"/>
  <c r="C669" i="30"/>
  <c r="C670" i="30"/>
  <c r="C671" i="30"/>
  <c r="C677" i="30"/>
  <c r="C678" i="30"/>
  <c r="C680" i="30"/>
  <c r="C681" i="30"/>
  <c r="C682" i="30"/>
  <c r="E689" i="30"/>
  <c r="G689" i="30" s="1"/>
  <c r="E690" i="30"/>
  <c r="G690" i="30" s="1"/>
  <c r="E691" i="30"/>
  <c r="G691" i="30" s="1"/>
  <c r="C693" i="30"/>
  <c r="E701" i="30"/>
  <c r="G701" i="30" s="1"/>
  <c r="E702" i="30"/>
  <c r="G702" i="30" s="1"/>
  <c r="C694" i="30"/>
  <c r="E694" i="30" s="1"/>
  <c r="G694" i="30" s="1"/>
  <c r="C695" i="30"/>
  <c r="E695" i="30" s="1"/>
  <c r="G695" i="30" s="1"/>
  <c r="E697" i="30"/>
  <c r="G697" i="30" s="1"/>
  <c r="E698" i="30"/>
  <c r="G698" i="30" s="1"/>
  <c r="C687" i="30"/>
  <c r="C688" i="30"/>
  <c r="C689" i="30"/>
  <c r="C690" i="30"/>
  <c r="C691" i="30"/>
  <c r="C697" i="30"/>
  <c r="C698" i="30"/>
  <c r="C700" i="30"/>
  <c r="C701" i="30"/>
  <c r="C702" i="30"/>
  <c r="E707" i="30"/>
  <c r="G707" i="30" s="1"/>
  <c r="E709" i="30"/>
  <c r="G709" i="30" s="1"/>
  <c r="E710" i="30"/>
  <c r="G710" i="30" s="1"/>
  <c r="E711" i="30"/>
  <c r="G711" i="30" s="1"/>
  <c r="C713" i="30"/>
  <c r="E721" i="30"/>
  <c r="G721" i="30" s="1"/>
  <c r="E722" i="30"/>
  <c r="G722" i="30" s="1"/>
  <c r="C714" i="30"/>
  <c r="E714" i="30" s="1"/>
  <c r="G714" i="30" s="1"/>
  <c r="C715" i="30"/>
  <c r="E715" i="30" s="1"/>
  <c r="G715" i="30" s="1"/>
  <c r="E717" i="30"/>
  <c r="G717" i="30" s="1"/>
  <c r="E718" i="30"/>
  <c r="G718" i="30" s="1"/>
  <c r="C707" i="30"/>
  <c r="C708" i="30"/>
  <c r="C709" i="30"/>
  <c r="C710" i="30"/>
  <c r="C711" i="30"/>
  <c r="C717" i="30"/>
  <c r="C718" i="30"/>
  <c r="C720" i="30"/>
  <c r="C721" i="30"/>
  <c r="C722" i="30"/>
  <c r="E727" i="30"/>
  <c r="G727" i="30" s="1"/>
  <c r="E729" i="30"/>
  <c r="G729" i="30" s="1"/>
  <c r="E730" i="30"/>
  <c r="G730" i="30" s="1"/>
  <c r="E731" i="30"/>
  <c r="G731" i="30" s="1"/>
  <c r="C733" i="30"/>
  <c r="E741" i="30"/>
  <c r="G741" i="30" s="1"/>
  <c r="E742" i="30"/>
  <c r="G742" i="30" s="1"/>
  <c r="C734" i="30"/>
  <c r="E734" i="30" s="1"/>
  <c r="G734" i="30" s="1"/>
  <c r="C735" i="30"/>
  <c r="E735" i="30" s="1"/>
  <c r="G735" i="30" s="1"/>
  <c r="E737" i="30"/>
  <c r="G737" i="30" s="1"/>
  <c r="E738" i="30"/>
  <c r="G738" i="30" s="1"/>
  <c r="C727" i="30"/>
  <c r="C728" i="30"/>
  <c r="C729" i="30"/>
  <c r="C730" i="30"/>
  <c r="C731" i="30"/>
  <c r="C737" i="30"/>
  <c r="C738" i="30"/>
  <c r="C740" i="30"/>
  <c r="C741" i="30"/>
  <c r="C742" i="30"/>
  <c r="E747" i="30"/>
  <c r="G747" i="30" s="1"/>
  <c r="E748" i="30"/>
  <c r="G748" i="30" s="1"/>
  <c r="E749" i="30"/>
  <c r="G749" i="30" s="1"/>
  <c r="E750" i="30"/>
  <c r="G750" i="30" s="1"/>
  <c r="E751" i="30"/>
  <c r="G751" i="30" s="1"/>
  <c r="C753" i="30"/>
  <c r="E761" i="30"/>
  <c r="G761" i="30" s="1"/>
  <c r="E762" i="30"/>
  <c r="G762" i="30" s="1"/>
  <c r="C754" i="30"/>
  <c r="E754" i="30" s="1"/>
  <c r="G754" i="30" s="1"/>
  <c r="C755" i="30"/>
  <c r="E755" i="30" s="1"/>
  <c r="G755" i="30" s="1"/>
  <c r="E757" i="30"/>
  <c r="G757" i="30" s="1"/>
  <c r="E758" i="30"/>
  <c r="G758" i="30" s="1"/>
  <c r="C747" i="30"/>
  <c r="C748" i="30"/>
  <c r="C749" i="30"/>
  <c r="C750" i="30"/>
  <c r="C751" i="30"/>
  <c r="C757" i="30"/>
  <c r="C758" i="30"/>
  <c r="C760" i="30"/>
  <c r="C761" i="30"/>
  <c r="C762" i="30"/>
  <c r="E767" i="30"/>
  <c r="G767" i="30" s="1"/>
  <c r="E768" i="30"/>
  <c r="G768" i="30" s="1"/>
  <c r="E769" i="30"/>
  <c r="G769" i="30" s="1"/>
  <c r="E770" i="30"/>
  <c r="G770" i="30" s="1"/>
  <c r="E771" i="30"/>
  <c r="G771" i="30" s="1"/>
  <c r="C773" i="30"/>
  <c r="E773" i="30" s="1"/>
  <c r="G773" i="30" s="1"/>
  <c r="C774" i="30"/>
  <c r="E781" i="30"/>
  <c r="G781" i="30" s="1"/>
  <c r="E782" i="30"/>
  <c r="G782" i="30" s="1"/>
  <c r="C775" i="30"/>
  <c r="E775" i="30" s="1"/>
  <c r="G775" i="30" s="1"/>
  <c r="E777" i="30"/>
  <c r="G777" i="30" s="1"/>
  <c r="E778" i="30"/>
  <c r="G778" i="30" s="1"/>
  <c r="C767" i="30"/>
  <c r="C768" i="30"/>
  <c r="C769" i="30"/>
  <c r="C770" i="30"/>
  <c r="C771" i="30"/>
  <c r="C777" i="30"/>
  <c r="C778" i="30"/>
  <c r="C780" i="30"/>
  <c r="C781" i="30"/>
  <c r="C782" i="30"/>
  <c r="E787" i="30"/>
  <c r="G787" i="30" s="1"/>
  <c r="E788" i="30"/>
  <c r="G788" i="30" s="1"/>
  <c r="E789" i="30"/>
  <c r="G789" i="30" s="1"/>
  <c r="E790" i="30"/>
  <c r="G790" i="30" s="1"/>
  <c r="E791" i="30"/>
  <c r="G791" i="30" s="1"/>
  <c r="C793" i="30"/>
  <c r="E793" i="30" s="1"/>
  <c r="G793" i="30" s="1"/>
  <c r="C794" i="30"/>
  <c r="E801" i="30"/>
  <c r="G801" i="30" s="1"/>
  <c r="E802" i="30"/>
  <c r="G802" i="30" s="1"/>
  <c r="C795" i="30"/>
  <c r="E795" i="30" s="1"/>
  <c r="G795" i="30" s="1"/>
  <c r="E797" i="30"/>
  <c r="G797" i="30" s="1"/>
  <c r="E798" i="30"/>
  <c r="G798" i="30" s="1"/>
  <c r="C787" i="30"/>
  <c r="C788" i="30"/>
  <c r="C789" i="30"/>
  <c r="C790" i="30"/>
  <c r="C791" i="30"/>
  <c r="C797" i="30"/>
  <c r="C798" i="30"/>
  <c r="C800" i="30"/>
  <c r="C801" i="30"/>
  <c r="C802" i="30"/>
  <c r="E807" i="30"/>
  <c r="G807" i="30" s="1"/>
  <c r="E808" i="30"/>
  <c r="G808" i="30" s="1"/>
  <c r="E809" i="30"/>
  <c r="G809" i="30" s="1"/>
  <c r="E810" i="30"/>
  <c r="G810" i="30" s="1"/>
  <c r="E811" i="30"/>
  <c r="G811" i="30" s="1"/>
  <c r="C813" i="30"/>
  <c r="E813" i="30" s="1"/>
  <c r="G813" i="30" s="1"/>
  <c r="C814" i="30"/>
  <c r="E821" i="30"/>
  <c r="G821" i="30" s="1"/>
  <c r="E822" i="30"/>
  <c r="G822" i="30" s="1"/>
  <c r="C815" i="30"/>
  <c r="E815" i="30" s="1"/>
  <c r="G815" i="30" s="1"/>
  <c r="E817" i="30"/>
  <c r="G817" i="30" s="1"/>
  <c r="E818" i="30"/>
  <c r="G818" i="30" s="1"/>
  <c r="C807" i="30"/>
  <c r="C808" i="30"/>
  <c r="C809" i="30"/>
  <c r="C810" i="30"/>
  <c r="C811" i="30"/>
  <c r="C817" i="30"/>
  <c r="C818" i="30"/>
  <c r="C820" i="30"/>
  <c r="C821" i="30"/>
  <c r="C822" i="30"/>
  <c r="E827" i="30"/>
  <c r="G827" i="30" s="1"/>
  <c r="E828" i="30"/>
  <c r="G828" i="30" s="1"/>
  <c r="E829" i="30"/>
  <c r="G829" i="30" s="1"/>
  <c r="E830" i="30"/>
  <c r="G830" i="30" s="1"/>
  <c r="E831" i="30"/>
  <c r="G831" i="30" s="1"/>
  <c r="C833" i="30"/>
  <c r="E833" i="30" s="1"/>
  <c r="G833" i="30" s="1"/>
  <c r="C834" i="30"/>
  <c r="E841" i="30"/>
  <c r="G841" i="30" s="1"/>
  <c r="E842" i="30"/>
  <c r="G842" i="30" s="1"/>
  <c r="C835" i="30"/>
  <c r="E835" i="30" s="1"/>
  <c r="G835" i="30" s="1"/>
  <c r="E837" i="30"/>
  <c r="G837" i="30" s="1"/>
  <c r="E838" i="30"/>
  <c r="G838" i="30" s="1"/>
  <c r="C827" i="30"/>
  <c r="C828" i="30"/>
  <c r="C829" i="30"/>
  <c r="C830" i="30"/>
  <c r="C831" i="30"/>
  <c r="C837" i="30"/>
  <c r="C838" i="30"/>
  <c r="C840" i="30"/>
  <c r="C841" i="30"/>
  <c r="C842" i="30"/>
  <c r="E847" i="30"/>
  <c r="G847" i="30" s="1"/>
  <c r="E848" i="30"/>
  <c r="G848" i="30" s="1"/>
  <c r="E849" i="30"/>
  <c r="G849" i="30" s="1"/>
  <c r="E850" i="30"/>
  <c r="G850" i="30" s="1"/>
  <c r="E851" i="30"/>
  <c r="G851" i="30" s="1"/>
  <c r="C853" i="30"/>
  <c r="E853" i="30" s="1"/>
  <c r="G853" i="30" s="1"/>
  <c r="C854" i="30"/>
  <c r="E861" i="30"/>
  <c r="G861" i="30" s="1"/>
  <c r="E862" i="30"/>
  <c r="G862" i="30" s="1"/>
  <c r="C855" i="30"/>
  <c r="E855" i="30" s="1"/>
  <c r="G855" i="30" s="1"/>
  <c r="E857" i="30"/>
  <c r="G857" i="30" s="1"/>
  <c r="E858" i="30"/>
  <c r="G858" i="30" s="1"/>
  <c r="C847" i="30"/>
  <c r="C848" i="30"/>
  <c r="C849" i="30"/>
  <c r="C850" i="30"/>
  <c r="C851" i="30"/>
  <c r="C857" i="30"/>
  <c r="C858" i="30"/>
  <c r="C860" i="30"/>
  <c r="C861" i="30"/>
  <c r="C862" i="30"/>
  <c r="E867" i="30"/>
  <c r="G867" i="30" s="1"/>
  <c r="E868" i="30"/>
  <c r="G868" i="30" s="1"/>
  <c r="E869" i="30"/>
  <c r="G869" i="30" s="1"/>
  <c r="E870" i="30"/>
  <c r="G870" i="30" s="1"/>
  <c r="E871" i="30"/>
  <c r="G871" i="30" s="1"/>
  <c r="C873" i="30"/>
  <c r="E873" i="30" s="1"/>
  <c r="G873" i="30" s="1"/>
  <c r="C874" i="30"/>
  <c r="E881" i="30"/>
  <c r="G881" i="30" s="1"/>
  <c r="E882" i="30"/>
  <c r="G882" i="30" s="1"/>
  <c r="C875" i="30"/>
  <c r="E875" i="30" s="1"/>
  <c r="G875" i="30" s="1"/>
  <c r="E877" i="30"/>
  <c r="G877" i="30" s="1"/>
  <c r="E878" i="30"/>
  <c r="G878" i="30" s="1"/>
  <c r="C867" i="30"/>
  <c r="C868" i="30"/>
  <c r="C869" i="30"/>
  <c r="C870" i="30"/>
  <c r="C871" i="30"/>
  <c r="C877" i="30"/>
  <c r="C878" i="30"/>
  <c r="C880" i="30"/>
  <c r="C881" i="30"/>
  <c r="C882" i="30"/>
  <c r="E887" i="30"/>
  <c r="G887" i="30" s="1"/>
  <c r="E888" i="30"/>
  <c r="G888" i="30" s="1"/>
  <c r="E889" i="30"/>
  <c r="G889" i="30" s="1"/>
  <c r="E890" i="30"/>
  <c r="G890" i="30" s="1"/>
  <c r="E891" i="30"/>
  <c r="G891" i="30" s="1"/>
  <c r="C893" i="30"/>
  <c r="E893" i="30" s="1"/>
  <c r="G893" i="30" s="1"/>
  <c r="C894" i="30"/>
  <c r="E901" i="30"/>
  <c r="G901" i="30" s="1"/>
  <c r="E902" i="30"/>
  <c r="G902" i="30" s="1"/>
  <c r="C895" i="30"/>
  <c r="E895" i="30" s="1"/>
  <c r="G895" i="30" s="1"/>
  <c r="E897" i="30"/>
  <c r="G897" i="30" s="1"/>
  <c r="E898" i="30"/>
  <c r="G898" i="30" s="1"/>
  <c r="C887" i="30"/>
  <c r="C888" i="30"/>
  <c r="C889" i="30"/>
  <c r="C890" i="30"/>
  <c r="C891" i="30"/>
  <c r="C897" i="30"/>
  <c r="C898" i="30"/>
  <c r="C900" i="30"/>
  <c r="C901" i="30"/>
  <c r="C902" i="30"/>
  <c r="E909" i="30"/>
  <c r="G909" i="30" s="1"/>
  <c r="E910" i="30"/>
  <c r="G910" i="30" s="1"/>
  <c r="E911" i="30"/>
  <c r="G911" i="30" s="1"/>
  <c r="C913" i="30"/>
  <c r="E921" i="30"/>
  <c r="G921" i="30" s="1"/>
  <c r="E922" i="30"/>
  <c r="G922" i="30" s="1"/>
  <c r="C914" i="30"/>
  <c r="C915" i="30"/>
  <c r="E915" i="30" s="1"/>
  <c r="G915" i="30" s="1"/>
  <c r="E917" i="30"/>
  <c r="G917" i="30" s="1"/>
  <c r="E918" i="30"/>
  <c r="G918" i="30" s="1"/>
  <c r="C907" i="30"/>
  <c r="C908" i="30"/>
  <c r="C909" i="30"/>
  <c r="C910" i="30"/>
  <c r="C911" i="30"/>
  <c r="C917" i="30"/>
  <c r="C918" i="30"/>
  <c r="C920" i="30"/>
  <c r="C921" i="30"/>
  <c r="C922" i="30"/>
  <c r="E929" i="30"/>
  <c r="G929" i="30" s="1"/>
  <c r="E930" i="30"/>
  <c r="G930" i="30" s="1"/>
  <c r="E931" i="30"/>
  <c r="G931" i="30" s="1"/>
  <c r="C933" i="30"/>
  <c r="E941" i="30"/>
  <c r="G941" i="30" s="1"/>
  <c r="E942" i="30"/>
  <c r="G942" i="30" s="1"/>
  <c r="C934" i="30"/>
  <c r="E934" i="30" s="1"/>
  <c r="G934" i="30" s="1"/>
  <c r="C935" i="30"/>
  <c r="E935" i="30" s="1"/>
  <c r="G935" i="30" s="1"/>
  <c r="E937" i="30"/>
  <c r="G937" i="30" s="1"/>
  <c r="E938" i="30"/>
  <c r="G938" i="30" s="1"/>
  <c r="C927" i="30"/>
  <c r="C928" i="30"/>
  <c r="C929" i="30"/>
  <c r="C930" i="30"/>
  <c r="C931" i="30"/>
  <c r="C937" i="30"/>
  <c r="C938" i="30"/>
  <c r="C940" i="30"/>
  <c r="C941" i="30"/>
  <c r="C942" i="30"/>
  <c r="E949" i="30"/>
  <c r="G949" i="30" s="1"/>
  <c r="E950" i="30"/>
  <c r="G950" i="30" s="1"/>
  <c r="E951" i="30"/>
  <c r="G951" i="30" s="1"/>
  <c r="C953" i="30"/>
  <c r="E961" i="30"/>
  <c r="G961" i="30" s="1"/>
  <c r="E962" i="30"/>
  <c r="G962" i="30" s="1"/>
  <c r="C954" i="30"/>
  <c r="E954" i="30" s="1"/>
  <c r="G954" i="30" s="1"/>
  <c r="C955" i="30"/>
  <c r="E955" i="30" s="1"/>
  <c r="G955" i="30" s="1"/>
  <c r="E957" i="30"/>
  <c r="G957" i="30" s="1"/>
  <c r="E958" i="30"/>
  <c r="G958" i="30" s="1"/>
  <c r="C947" i="30"/>
  <c r="C948" i="30"/>
  <c r="C949" i="30"/>
  <c r="C950" i="30"/>
  <c r="C951" i="30"/>
  <c r="C957" i="30"/>
  <c r="C958" i="30"/>
  <c r="C960" i="30"/>
  <c r="C961" i="30"/>
  <c r="C962" i="30"/>
  <c r="E969" i="30"/>
  <c r="G969" i="30" s="1"/>
  <c r="E970" i="30"/>
  <c r="G970" i="30" s="1"/>
  <c r="E971" i="30"/>
  <c r="G971" i="30" s="1"/>
  <c r="C973" i="30"/>
  <c r="E981" i="30"/>
  <c r="G981" i="30" s="1"/>
  <c r="E982" i="30"/>
  <c r="G982" i="30" s="1"/>
  <c r="C974" i="30"/>
  <c r="E974" i="30" s="1"/>
  <c r="G974" i="30" s="1"/>
  <c r="C975" i="30"/>
  <c r="E975" i="30" s="1"/>
  <c r="G975" i="30" s="1"/>
  <c r="E977" i="30"/>
  <c r="G977" i="30" s="1"/>
  <c r="E978" i="30"/>
  <c r="G978" i="30" s="1"/>
  <c r="C967" i="30"/>
  <c r="C968" i="30"/>
  <c r="C969" i="30"/>
  <c r="C970" i="30"/>
  <c r="C971" i="30"/>
  <c r="C977" i="30"/>
  <c r="C978" i="30"/>
  <c r="C980" i="30"/>
  <c r="C981" i="30"/>
  <c r="C982" i="30"/>
  <c r="E989" i="30"/>
  <c r="G989" i="30" s="1"/>
  <c r="E990" i="30"/>
  <c r="G990" i="30" s="1"/>
  <c r="E991" i="30"/>
  <c r="G991" i="30" s="1"/>
  <c r="C993" i="30"/>
  <c r="E1001" i="30"/>
  <c r="G1001" i="30" s="1"/>
  <c r="E1002" i="30"/>
  <c r="G1002" i="30" s="1"/>
  <c r="C994" i="30"/>
  <c r="E994" i="30" s="1"/>
  <c r="G994" i="30" s="1"/>
  <c r="C995" i="30"/>
  <c r="E995" i="30" s="1"/>
  <c r="G995" i="30" s="1"/>
  <c r="E997" i="30"/>
  <c r="G997" i="30" s="1"/>
  <c r="E998" i="30"/>
  <c r="G998" i="30" s="1"/>
  <c r="C987" i="30"/>
  <c r="C988" i="30"/>
  <c r="C989" i="30"/>
  <c r="C990" i="30"/>
  <c r="C991" i="30"/>
  <c r="C997" i="30"/>
  <c r="C998" i="30"/>
  <c r="C1000" i="30"/>
  <c r="C1001" i="30"/>
  <c r="C1002" i="30"/>
  <c r="E1007" i="30"/>
  <c r="G1007" i="30" s="1"/>
  <c r="E1008" i="30"/>
  <c r="G1008" i="30" s="1"/>
  <c r="E1009" i="30"/>
  <c r="G1009" i="30" s="1"/>
  <c r="E1010" i="30"/>
  <c r="G1010" i="30" s="1"/>
  <c r="E1011" i="30"/>
  <c r="G1011" i="30" s="1"/>
  <c r="C1013" i="30"/>
  <c r="E1021" i="30"/>
  <c r="G1021" i="30" s="1"/>
  <c r="E1022" i="30"/>
  <c r="G1022" i="30" s="1"/>
  <c r="C1014" i="30"/>
  <c r="E1014" i="30" s="1"/>
  <c r="G1014" i="30" s="1"/>
  <c r="C1015" i="30"/>
  <c r="E1015" i="30" s="1"/>
  <c r="G1015" i="30" s="1"/>
  <c r="E1017" i="30"/>
  <c r="G1017" i="30" s="1"/>
  <c r="E1018" i="30"/>
  <c r="G1018" i="30" s="1"/>
  <c r="C1007" i="30"/>
  <c r="C1008" i="30"/>
  <c r="C1009" i="30"/>
  <c r="C1010" i="30"/>
  <c r="C1011" i="30"/>
  <c r="C1017" i="30"/>
  <c r="C1018" i="30"/>
  <c r="C1020" i="30"/>
  <c r="C1021" i="30"/>
  <c r="C1022" i="30"/>
  <c r="E1027" i="30"/>
  <c r="G1027" i="30" s="1"/>
  <c r="E1030" i="30"/>
  <c r="G1030" i="30" s="1"/>
  <c r="E1031" i="30"/>
  <c r="G1031" i="30" s="1"/>
  <c r="C1033" i="30"/>
  <c r="E1041" i="30"/>
  <c r="G1041" i="30" s="1"/>
  <c r="E1042" i="30"/>
  <c r="G1042" i="30" s="1"/>
  <c r="C1034" i="30"/>
  <c r="E1034" i="30" s="1"/>
  <c r="G1034" i="30" s="1"/>
  <c r="C1035" i="30"/>
  <c r="E1035" i="30" s="1"/>
  <c r="G1035" i="30" s="1"/>
  <c r="E1037" i="30"/>
  <c r="G1037" i="30" s="1"/>
  <c r="E1038" i="30"/>
  <c r="G1038" i="30" s="1"/>
  <c r="C1027" i="30"/>
  <c r="C1028" i="30"/>
  <c r="C1029" i="30"/>
  <c r="C1030" i="30"/>
  <c r="C1031" i="30"/>
  <c r="C1037" i="30"/>
  <c r="C1038" i="30"/>
  <c r="C1040" i="30"/>
  <c r="C1041" i="30"/>
  <c r="C1042" i="30"/>
  <c r="E1047" i="30"/>
  <c r="G1047" i="30" s="1"/>
  <c r="E1050" i="30"/>
  <c r="G1050" i="30" s="1"/>
  <c r="E1051" i="30"/>
  <c r="G1051" i="30" s="1"/>
  <c r="C1053" i="30"/>
  <c r="E1061" i="30"/>
  <c r="G1061" i="30" s="1"/>
  <c r="E1062" i="30"/>
  <c r="G1062" i="30" s="1"/>
  <c r="C1054" i="30"/>
  <c r="E1054" i="30" s="1"/>
  <c r="G1054" i="30" s="1"/>
  <c r="C1055" i="30"/>
  <c r="E1055" i="30" s="1"/>
  <c r="G1055" i="30" s="1"/>
  <c r="E1057" i="30"/>
  <c r="G1057" i="30" s="1"/>
  <c r="E1058" i="30"/>
  <c r="G1058" i="30" s="1"/>
  <c r="C1047" i="30"/>
  <c r="C1048" i="30"/>
  <c r="C1049" i="30"/>
  <c r="C1050" i="30"/>
  <c r="C1051" i="30"/>
  <c r="C1057" i="30"/>
  <c r="C1058" i="30"/>
  <c r="C1060" i="30"/>
  <c r="C1061" i="30"/>
  <c r="C1062" i="30"/>
  <c r="E1069" i="30"/>
  <c r="G1069" i="30" s="1"/>
  <c r="E1070" i="30"/>
  <c r="G1070" i="30" s="1"/>
  <c r="E1071" i="30"/>
  <c r="G1071" i="30" s="1"/>
  <c r="C1073" i="30"/>
  <c r="E1081" i="30"/>
  <c r="G1081" i="30" s="1"/>
  <c r="E1082" i="30"/>
  <c r="G1082" i="30" s="1"/>
  <c r="C1074" i="30"/>
  <c r="E1074" i="30" s="1"/>
  <c r="G1074" i="30" s="1"/>
  <c r="C1075" i="30"/>
  <c r="E1075" i="30" s="1"/>
  <c r="G1075" i="30" s="1"/>
  <c r="E1077" i="30"/>
  <c r="G1077" i="30" s="1"/>
  <c r="E1078" i="30"/>
  <c r="G1078" i="30" s="1"/>
  <c r="C1067" i="30"/>
  <c r="C1068" i="30"/>
  <c r="C1069" i="30"/>
  <c r="C1070" i="30"/>
  <c r="C1071" i="30"/>
  <c r="C1077" i="30"/>
  <c r="C1078" i="30"/>
  <c r="C1080" i="30"/>
  <c r="C1081" i="30"/>
  <c r="C1082" i="30"/>
  <c r="E1087" i="30"/>
  <c r="G1087" i="30" s="1"/>
  <c r="E1088" i="30"/>
  <c r="G1088" i="30" s="1"/>
  <c r="E1089" i="30"/>
  <c r="G1089" i="30" s="1"/>
  <c r="E1090" i="30"/>
  <c r="G1090" i="30" s="1"/>
  <c r="E1091" i="30"/>
  <c r="G1091" i="30" s="1"/>
  <c r="C1093" i="30"/>
  <c r="E1093" i="30" s="1"/>
  <c r="G1093" i="30" s="1"/>
  <c r="C1094" i="30"/>
  <c r="C1095" i="30"/>
  <c r="E1095" i="30" s="1"/>
  <c r="G1095" i="30" s="1"/>
  <c r="E1097" i="30"/>
  <c r="G1097" i="30" s="1"/>
  <c r="E1098" i="30"/>
  <c r="G1098" i="30" s="1"/>
  <c r="E1101" i="30"/>
  <c r="G1101" i="30" s="1"/>
  <c r="E1102" i="30"/>
  <c r="G1102" i="30" s="1"/>
  <c r="C1087" i="30"/>
  <c r="C1088" i="30"/>
  <c r="C1089" i="30"/>
  <c r="C1090" i="30"/>
  <c r="C1091" i="30"/>
  <c r="C1097" i="30"/>
  <c r="C1098" i="30"/>
  <c r="C1100" i="30"/>
  <c r="C1101" i="30"/>
  <c r="C1102" i="30"/>
  <c r="E1107" i="30"/>
  <c r="G1107" i="30" s="1"/>
  <c r="E1108" i="30"/>
  <c r="G1108" i="30" s="1"/>
  <c r="E1109" i="30"/>
  <c r="G1109" i="30" s="1"/>
  <c r="E1110" i="30"/>
  <c r="G1110" i="30" s="1"/>
  <c r="E1111" i="30"/>
  <c r="G1111" i="30" s="1"/>
  <c r="C1113" i="30"/>
  <c r="E1113" i="30" s="1"/>
  <c r="G1113" i="30" s="1"/>
  <c r="C1114" i="30"/>
  <c r="C1115" i="30"/>
  <c r="E1115" i="30" s="1"/>
  <c r="G1115" i="30" s="1"/>
  <c r="E1117" i="30"/>
  <c r="G1117" i="30" s="1"/>
  <c r="E1118" i="30"/>
  <c r="G1118" i="30" s="1"/>
  <c r="E1121" i="30"/>
  <c r="G1121" i="30" s="1"/>
  <c r="E1122" i="30"/>
  <c r="G1122" i="30" s="1"/>
  <c r="C1107" i="30"/>
  <c r="C1108" i="30"/>
  <c r="C1109" i="30"/>
  <c r="C1110" i="30"/>
  <c r="C1111" i="30"/>
  <c r="C1117" i="30"/>
  <c r="C1118" i="30"/>
  <c r="C1120" i="30"/>
  <c r="C1121" i="30"/>
  <c r="C1122" i="30"/>
  <c r="E1127" i="30"/>
  <c r="G1127" i="30" s="1"/>
  <c r="E1128" i="30"/>
  <c r="G1128" i="30" s="1"/>
  <c r="E1129" i="30"/>
  <c r="G1129" i="30" s="1"/>
  <c r="E1130" i="30"/>
  <c r="G1130" i="30" s="1"/>
  <c r="E1131" i="30"/>
  <c r="G1131" i="30" s="1"/>
  <c r="C1133" i="30"/>
  <c r="E1133" i="30" s="1"/>
  <c r="G1133" i="30" s="1"/>
  <c r="C1134" i="30"/>
  <c r="C1135" i="30"/>
  <c r="E1135" i="30" s="1"/>
  <c r="G1135" i="30" s="1"/>
  <c r="E1137" i="30"/>
  <c r="G1137" i="30" s="1"/>
  <c r="E1138" i="30"/>
  <c r="G1138" i="30" s="1"/>
  <c r="E1141" i="30"/>
  <c r="G1141" i="30" s="1"/>
  <c r="E1142" i="30"/>
  <c r="G1142" i="30" s="1"/>
  <c r="C1127" i="30"/>
  <c r="C1128" i="30"/>
  <c r="C1129" i="30"/>
  <c r="C1130" i="30"/>
  <c r="C1131" i="30"/>
  <c r="C1137" i="30"/>
  <c r="C1138" i="30"/>
  <c r="C1140" i="30"/>
  <c r="C1141" i="30"/>
  <c r="C1142" i="30"/>
  <c r="E1147" i="30"/>
  <c r="G1147" i="30" s="1"/>
  <c r="E1148" i="30"/>
  <c r="G1148" i="30" s="1"/>
  <c r="E1149" i="30"/>
  <c r="G1149" i="30" s="1"/>
  <c r="E1150" i="30"/>
  <c r="G1150" i="30" s="1"/>
  <c r="E1151" i="30"/>
  <c r="G1151" i="30" s="1"/>
  <c r="C1153" i="30"/>
  <c r="E1153" i="30" s="1"/>
  <c r="G1153" i="30" s="1"/>
  <c r="C1154" i="30"/>
  <c r="C1155" i="30"/>
  <c r="E1155" i="30" s="1"/>
  <c r="G1155" i="30" s="1"/>
  <c r="E1157" i="30"/>
  <c r="G1157" i="30" s="1"/>
  <c r="E1158" i="30"/>
  <c r="G1158" i="30" s="1"/>
  <c r="E1161" i="30"/>
  <c r="G1161" i="30" s="1"/>
  <c r="E1162" i="30"/>
  <c r="G1162" i="30" s="1"/>
  <c r="C1147" i="30"/>
  <c r="C1148" i="30"/>
  <c r="C1149" i="30"/>
  <c r="C1150" i="30"/>
  <c r="C1151" i="30"/>
  <c r="C1157" i="30"/>
  <c r="C1158" i="30"/>
  <c r="C1160" i="30"/>
  <c r="C1161" i="30"/>
  <c r="C1162" i="30"/>
  <c r="E1167" i="30"/>
  <c r="G1167" i="30" s="1"/>
  <c r="E1168" i="30"/>
  <c r="G1168" i="30" s="1"/>
  <c r="E1169" i="30"/>
  <c r="G1169" i="30" s="1"/>
  <c r="E1170" i="30"/>
  <c r="G1170" i="30" s="1"/>
  <c r="E1171" i="30"/>
  <c r="G1171" i="30" s="1"/>
  <c r="C1173" i="30"/>
  <c r="E1173" i="30" s="1"/>
  <c r="G1173" i="30" s="1"/>
  <c r="C1174" i="30"/>
  <c r="C1175" i="30"/>
  <c r="E1175" i="30" s="1"/>
  <c r="G1175" i="30" s="1"/>
  <c r="E1177" i="30"/>
  <c r="G1177" i="30" s="1"/>
  <c r="E1178" i="30"/>
  <c r="G1178" i="30" s="1"/>
  <c r="E1181" i="30"/>
  <c r="G1181" i="30" s="1"/>
  <c r="E1182" i="30"/>
  <c r="G1182" i="30" s="1"/>
  <c r="C1167" i="30"/>
  <c r="C1168" i="30"/>
  <c r="C1169" i="30"/>
  <c r="C1170" i="30"/>
  <c r="C1171" i="30"/>
  <c r="C1177" i="30"/>
  <c r="C1178" i="30"/>
  <c r="C1180" i="30"/>
  <c r="C1181" i="30"/>
  <c r="C1182" i="30"/>
  <c r="E1187" i="30"/>
  <c r="G1187" i="30" s="1"/>
  <c r="E1188" i="30"/>
  <c r="G1188" i="30" s="1"/>
  <c r="E1189" i="30"/>
  <c r="G1189" i="30" s="1"/>
  <c r="E1190" i="30"/>
  <c r="G1190" i="30" s="1"/>
  <c r="E1191" i="30"/>
  <c r="G1191" i="30" s="1"/>
  <c r="C1193" i="30"/>
  <c r="E1193" i="30" s="1"/>
  <c r="G1193" i="30" s="1"/>
  <c r="C1194" i="30"/>
  <c r="C1195" i="30"/>
  <c r="E1195" i="30" s="1"/>
  <c r="G1195" i="30" s="1"/>
  <c r="E1197" i="30"/>
  <c r="G1197" i="30" s="1"/>
  <c r="E1198" i="30"/>
  <c r="G1198" i="30" s="1"/>
  <c r="E1201" i="30"/>
  <c r="G1201" i="30" s="1"/>
  <c r="E1202" i="30"/>
  <c r="G1202" i="30" s="1"/>
  <c r="C1187" i="30"/>
  <c r="C1188" i="30"/>
  <c r="C1189" i="30"/>
  <c r="C1190" i="30"/>
  <c r="C1191" i="30"/>
  <c r="C1197" i="30"/>
  <c r="C1198" i="30"/>
  <c r="C1200" i="30"/>
  <c r="C1201" i="30"/>
  <c r="C1202" i="30"/>
  <c r="E1207" i="30"/>
  <c r="G1207" i="30" s="1"/>
  <c r="E1208" i="30"/>
  <c r="G1208" i="30" s="1"/>
  <c r="E1209" i="30"/>
  <c r="G1209" i="30" s="1"/>
  <c r="E1210" i="30"/>
  <c r="G1210" i="30" s="1"/>
  <c r="E1211" i="30"/>
  <c r="G1211" i="30" s="1"/>
  <c r="C1213" i="30"/>
  <c r="E1213" i="30" s="1"/>
  <c r="G1213" i="30" s="1"/>
  <c r="C1214" i="30"/>
  <c r="C1215" i="30"/>
  <c r="E1215" i="30" s="1"/>
  <c r="G1215" i="30" s="1"/>
  <c r="E1217" i="30"/>
  <c r="G1217" i="30" s="1"/>
  <c r="E1218" i="30"/>
  <c r="G1218" i="30" s="1"/>
  <c r="E1221" i="30"/>
  <c r="G1221" i="30" s="1"/>
  <c r="E1222" i="30"/>
  <c r="G1222" i="30" s="1"/>
  <c r="C1207" i="30"/>
  <c r="C1208" i="30"/>
  <c r="C1209" i="30"/>
  <c r="C1210" i="30"/>
  <c r="C1211" i="30"/>
  <c r="C1217" i="30"/>
  <c r="C1218" i="30"/>
  <c r="C1220" i="30"/>
  <c r="C1221" i="30"/>
  <c r="C1222" i="30"/>
  <c r="E1227" i="30"/>
  <c r="G1227" i="30" s="1"/>
  <c r="E1228" i="30"/>
  <c r="G1228" i="30" s="1"/>
  <c r="E1229" i="30"/>
  <c r="G1229" i="30" s="1"/>
  <c r="E1230" i="30"/>
  <c r="G1230" i="30" s="1"/>
  <c r="E1231" i="30"/>
  <c r="G1231" i="30" s="1"/>
  <c r="C1233" i="30"/>
  <c r="E1233" i="30" s="1"/>
  <c r="G1233" i="30" s="1"/>
  <c r="C1234" i="30"/>
  <c r="C1235" i="30"/>
  <c r="E1235" i="30" s="1"/>
  <c r="G1235" i="30" s="1"/>
  <c r="E1237" i="30"/>
  <c r="G1237" i="30" s="1"/>
  <c r="E1238" i="30"/>
  <c r="G1238" i="30" s="1"/>
  <c r="E1241" i="30"/>
  <c r="G1241" i="30" s="1"/>
  <c r="E1242" i="30"/>
  <c r="G1242" i="30" s="1"/>
  <c r="C1227" i="30"/>
  <c r="C1228" i="30"/>
  <c r="C1229" i="30"/>
  <c r="C1230" i="30"/>
  <c r="C1231" i="30"/>
  <c r="C1237" i="30"/>
  <c r="C1238" i="30"/>
  <c r="C1240" i="30"/>
  <c r="C1241" i="30"/>
  <c r="C1242" i="30"/>
  <c r="E1247" i="30"/>
  <c r="G1247" i="30" s="1"/>
  <c r="E1248" i="30"/>
  <c r="G1248" i="30" s="1"/>
  <c r="E1249" i="30"/>
  <c r="G1249" i="30" s="1"/>
  <c r="E1250" i="30"/>
  <c r="G1250" i="30" s="1"/>
  <c r="E1251" i="30"/>
  <c r="G1251" i="30" s="1"/>
  <c r="C1253" i="30"/>
  <c r="E1253" i="30" s="1"/>
  <c r="G1253" i="30" s="1"/>
  <c r="C1254" i="30"/>
  <c r="C1255" i="30"/>
  <c r="E1255" i="30" s="1"/>
  <c r="G1255" i="30" s="1"/>
  <c r="E1257" i="30"/>
  <c r="G1257" i="30" s="1"/>
  <c r="E1258" i="30"/>
  <c r="G1258" i="30" s="1"/>
  <c r="E1261" i="30"/>
  <c r="G1261" i="30" s="1"/>
  <c r="E1262" i="30"/>
  <c r="G1262" i="30" s="1"/>
  <c r="C1247" i="30"/>
  <c r="C1248" i="30"/>
  <c r="C1249" i="30"/>
  <c r="C1250" i="30"/>
  <c r="C1251" i="30"/>
  <c r="C1257" i="30"/>
  <c r="C1258" i="30"/>
  <c r="C1260" i="30"/>
  <c r="C1261" i="30"/>
  <c r="C1262" i="30"/>
  <c r="E1267" i="30"/>
  <c r="G1267" i="30" s="1"/>
  <c r="E1268" i="30"/>
  <c r="G1268" i="30" s="1"/>
  <c r="E1269" i="30"/>
  <c r="G1269" i="30" s="1"/>
  <c r="E1270" i="30"/>
  <c r="G1270" i="30" s="1"/>
  <c r="E1271" i="30"/>
  <c r="G1271" i="30" s="1"/>
  <c r="C1273" i="30"/>
  <c r="E1281" i="30"/>
  <c r="G1281" i="30" s="1"/>
  <c r="E1282" i="30"/>
  <c r="G1282" i="30" s="1"/>
  <c r="C1274" i="30"/>
  <c r="E1274" i="30" s="1"/>
  <c r="G1274" i="30" s="1"/>
  <c r="C1275" i="30"/>
  <c r="E1275" i="30" s="1"/>
  <c r="G1275" i="30" s="1"/>
  <c r="E1277" i="30"/>
  <c r="G1277" i="30" s="1"/>
  <c r="E1278" i="30"/>
  <c r="G1278" i="30" s="1"/>
  <c r="C1267" i="30"/>
  <c r="C1268" i="30"/>
  <c r="C1269" i="30"/>
  <c r="C1270" i="30"/>
  <c r="C1271" i="30"/>
  <c r="C1277" i="30"/>
  <c r="C1278" i="30"/>
  <c r="C1280" i="30"/>
  <c r="C1281" i="30"/>
  <c r="C1282" i="30"/>
  <c r="E1287" i="30"/>
  <c r="G1287" i="30" s="1"/>
  <c r="E1288" i="30"/>
  <c r="G1288" i="30" s="1"/>
  <c r="E1289" i="30"/>
  <c r="G1289" i="30" s="1"/>
  <c r="E1290" i="30"/>
  <c r="G1290" i="30" s="1"/>
  <c r="E1291" i="30"/>
  <c r="G1291" i="30" s="1"/>
  <c r="C1293" i="30"/>
  <c r="E1301" i="30"/>
  <c r="G1301" i="30" s="1"/>
  <c r="E1302" i="30"/>
  <c r="G1302" i="30" s="1"/>
  <c r="C1294" i="30"/>
  <c r="E1294" i="30" s="1"/>
  <c r="G1294" i="30" s="1"/>
  <c r="C1295" i="30"/>
  <c r="E1295" i="30" s="1"/>
  <c r="G1295" i="30" s="1"/>
  <c r="E1297" i="30"/>
  <c r="G1297" i="30" s="1"/>
  <c r="E1298" i="30"/>
  <c r="G1298" i="30" s="1"/>
  <c r="C1287" i="30"/>
  <c r="C1288" i="30"/>
  <c r="C1289" i="30"/>
  <c r="C1290" i="30"/>
  <c r="C1291" i="30"/>
  <c r="C1297" i="30"/>
  <c r="C1298" i="30"/>
  <c r="C1300" i="30"/>
  <c r="C1301" i="30"/>
  <c r="C1302" i="30"/>
  <c r="E1307" i="30"/>
  <c r="G1307" i="30" s="1"/>
  <c r="E1308" i="30"/>
  <c r="G1308" i="30" s="1"/>
  <c r="E1309" i="30"/>
  <c r="G1309" i="30" s="1"/>
  <c r="E1310" i="30"/>
  <c r="G1310" i="30" s="1"/>
  <c r="E1311" i="30"/>
  <c r="G1311" i="30" s="1"/>
  <c r="C1313" i="30"/>
  <c r="E1321" i="30"/>
  <c r="G1321" i="30" s="1"/>
  <c r="E1322" i="30"/>
  <c r="G1322" i="30" s="1"/>
  <c r="C1314" i="30"/>
  <c r="E1314" i="30" s="1"/>
  <c r="G1314" i="30" s="1"/>
  <c r="C1315" i="30"/>
  <c r="E1315" i="30" s="1"/>
  <c r="G1315" i="30" s="1"/>
  <c r="E1317" i="30"/>
  <c r="G1317" i="30" s="1"/>
  <c r="E1318" i="30"/>
  <c r="G1318" i="30" s="1"/>
  <c r="C1307" i="30"/>
  <c r="C1308" i="30"/>
  <c r="C1309" i="30"/>
  <c r="C1310" i="30"/>
  <c r="C1311" i="30"/>
  <c r="C1317" i="30"/>
  <c r="C1318" i="30"/>
  <c r="C1320" i="30"/>
  <c r="C1321" i="30"/>
  <c r="C1322" i="30"/>
  <c r="E1327" i="30"/>
  <c r="G1327" i="30" s="1"/>
  <c r="E1328" i="30"/>
  <c r="G1328" i="30" s="1"/>
  <c r="E1329" i="30"/>
  <c r="G1329" i="30" s="1"/>
  <c r="E1330" i="30"/>
  <c r="G1330" i="30" s="1"/>
  <c r="E1331" i="30"/>
  <c r="G1331" i="30" s="1"/>
  <c r="C1333" i="30"/>
  <c r="E1341" i="30"/>
  <c r="G1341" i="30" s="1"/>
  <c r="E1342" i="30"/>
  <c r="G1342" i="30" s="1"/>
  <c r="C1334" i="30"/>
  <c r="E1334" i="30" s="1"/>
  <c r="G1334" i="30" s="1"/>
  <c r="C1335" i="30"/>
  <c r="E1335" i="30" s="1"/>
  <c r="G1335" i="30" s="1"/>
  <c r="E1337" i="30"/>
  <c r="G1337" i="30" s="1"/>
  <c r="E1338" i="30"/>
  <c r="G1338" i="30" s="1"/>
  <c r="C1327" i="30"/>
  <c r="C1328" i="30"/>
  <c r="C1329" i="30"/>
  <c r="C1330" i="30"/>
  <c r="C1331" i="30"/>
  <c r="C1337" i="30"/>
  <c r="C1338" i="30"/>
  <c r="C1340" i="30"/>
  <c r="C1341" i="30"/>
  <c r="C1342" i="30"/>
  <c r="E1347" i="30"/>
  <c r="G1347" i="30" s="1"/>
  <c r="E1348" i="30"/>
  <c r="G1348" i="30" s="1"/>
  <c r="E1349" i="30"/>
  <c r="G1349" i="30" s="1"/>
  <c r="E1350" i="30"/>
  <c r="G1350" i="30" s="1"/>
  <c r="E1351" i="30"/>
  <c r="G1351" i="30" s="1"/>
  <c r="C1353" i="30"/>
  <c r="E1361" i="30"/>
  <c r="G1361" i="30" s="1"/>
  <c r="E1362" i="30"/>
  <c r="G1362" i="30" s="1"/>
  <c r="C1354" i="30"/>
  <c r="E1354" i="30" s="1"/>
  <c r="G1354" i="30" s="1"/>
  <c r="C1355" i="30"/>
  <c r="E1355" i="30" s="1"/>
  <c r="G1355" i="30" s="1"/>
  <c r="E1357" i="30"/>
  <c r="G1357" i="30" s="1"/>
  <c r="E1358" i="30"/>
  <c r="G1358" i="30" s="1"/>
  <c r="C1347" i="30"/>
  <c r="C1348" i="30"/>
  <c r="C1349" i="30"/>
  <c r="C1350" i="30"/>
  <c r="C1351" i="30"/>
  <c r="C1357" i="30"/>
  <c r="C1358" i="30"/>
  <c r="C1360" i="30"/>
  <c r="C1361" i="30"/>
  <c r="C1362" i="30"/>
  <c r="E1367" i="30"/>
  <c r="G1367" i="30" s="1"/>
  <c r="E1368" i="30"/>
  <c r="G1368" i="30" s="1"/>
  <c r="E1369" i="30"/>
  <c r="G1369" i="30" s="1"/>
  <c r="E1370" i="30"/>
  <c r="G1370" i="30" s="1"/>
  <c r="E1371" i="30"/>
  <c r="G1371" i="30" s="1"/>
  <c r="C1373" i="30"/>
  <c r="E1381" i="30"/>
  <c r="G1381" i="30" s="1"/>
  <c r="E1382" i="30"/>
  <c r="G1382" i="30" s="1"/>
  <c r="C1374" i="30"/>
  <c r="E1374" i="30" s="1"/>
  <c r="G1374" i="30" s="1"/>
  <c r="C1375" i="30"/>
  <c r="E1375" i="30" s="1"/>
  <c r="G1375" i="30" s="1"/>
  <c r="E1377" i="30"/>
  <c r="G1377" i="30" s="1"/>
  <c r="E1378" i="30"/>
  <c r="G1378" i="30" s="1"/>
  <c r="C1367" i="30"/>
  <c r="C1368" i="30"/>
  <c r="C1369" i="30"/>
  <c r="C1370" i="30"/>
  <c r="C1371" i="30"/>
  <c r="C1377" i="30"/>
  <c r="C1378" i="30"/>
  <c r="C1380" i="30"/>
  <c r="C1381" i="30"/>
  <c r="C1382" i="30"/>
  <c r="E1407" i="30"/>
  <c r="G1407" i="30" s="1"/>
  <c r="E1408" i="30"/>
  <c r="G1408" i="30" s="1"/>
  <c r="E1409" i="30"/>
  <c r="G1409" i="30" s="1"/>
  <c r="E1410" i="30"/>
  <c r="G1410" i="30" s="1"/>
  <c r="E1411" i="30"/>
  <c r="G1411" i="30" s="1"/>
  <c r="C1413" i="30"/>
  <c r="E1421" i="30"/>
  <c r="G1421" i="30" s="1"/>
  <c r="E1422" i="30"/>
  <c r="G1422" i="30" s="1"/>
  <c r="C1414" i="30"/>
  <c r="E1414" i="30" s="1"/>
  <c r="G1414" i="30" s="1"/>
  <c r="C1415" i="30"/>
  <c r="E1415" i="30" s="1"/>
  <c r="G1415" i="30" s="1"/>
  <c r="E1417" i="30"/>
  <c r="G1417" i="30" s="1"/>
  <c r="E1418" i="30"/>
  <c r="G1418" i="30" s="1"/>
  <c r="C1407" i="30"/>
  <c r="C1408" i="30"/>
  <c r="C1409" i="30"/>
  <c r="C1410" i="30"/>
  <c r="C1411" i="30"/>
  <c r="C1417" i="30"/>
  <c r="C1418" i="30"/>
  <c r="C1420" i="30"/>
  <c r="C1421" i="30"/>
  <c r="C1422" i="30"/>
  <c r="E1427" i="30"/>
  <c r="G1427" i="30" s="1"/>
  <c r="E1428" i="30"/>
  <c r="G1428" i="30" s="1"/>
  <c r="E1429" i="30"/>
  <c r="G1429" i="30" s="1"/>
  <c r="E1430" i="30"/>
  <c r="G1430" i="30" s="1"/>
  <c r="E1431" i="30"/>
  <c r="G1431" i="30" s="1"/>
  <c r="C1433" i="30"/>
  <c r="E1441" i="30"/>
  <c r="G1441" i="30" s="1"/>
  <c r="E1442" i="30"/>
  <c r="G1442" i="30" s="1"/>
  <c r="C1434" i="30"/>
  <c r="E1434" i="30" s="1"/>
  <c r="G1434" i="30" s="1"/>
  <c r="C1435" i="30"/>
  <c r="E1435" i="30" s="1"/>
  <c r="G1435" i="30" s="1"/>
  <c r="E1437" i="30"/>
  <c r="G1437" i="30" s="1"/>
  <c r="E1438" i="30"/>
  <c r="G1438" i="30" s="1"/>
  <c r="C1427" i="30"/>
  <c r="C1428" i="30"/>
  <c r="C1429" i="30"/>
  <c r="C1430" i="30"/>
  <c r="C1431" i="30"/>
  <c r="C1437" i="30"/>
  <c r="C1438" i="30"/>
  <c r="C1440" i="30"/>
  <c r="C1441" i="30"/>
  <c r="C1442" i="30"/>
  <c r="E1447" i="30"/>
  <c r="G1447" i="30" s="1"/>
  <c r="E1448" i="30"/>
  <c r="G1448" i="30" s="1"/>
  <c r="E1449" i="30"/>
  <c r="G1449" i="30" s="1"/>
  <c r="E1450" i="30"/>
  <c r="G1450" i="30" s="1"/>
  <c r="E1451" i="30"/>
  <c r="G1451" i="30" s="1"/>
  <c r="C1453" i="30"/>
  <c r="E1461" i="30"/>
  <c r="G1461" i="30" s="1"/>
  <c r="E1462" i="30"/>
  <c r="G1462" i="30" s="1"/>
  <c r="C1454" i="30"/>
  <c r="E1454" i="30" s="1"/>
  <c r="G1454" i="30" s="1"/>
  <c r="C1455" i="30"/>
  <c r="E1455" i="30" s="1"/>
  <c r="G1455" i="30" s="1"/>
  <c r="E1457" i="30"/>
  <c r="G1457" i="30" s="1"/>
  <c r="E1458" i="30"/>
  <c r="G1458" i="30" s="1"/>
  <c r="C1447" i="30"/>
  <c r="C1448" i="30"/>
  <c r="C1449" i="30"/>
  <c r="C1450" i="30"/>
  <c r="C1451" i="30"/>
  <c r="C1457" i="30"/>
  <c r="C1458" i="30"/>
  <c r="C1460" i="30"/>
  <c r="C1461" i="30"/>
  <c r="C1462" i="30"/>
  <c r="E1467" i="30"/>
  <c r="G1467" i="30" s="1"/>
  <c r="E1468" i="30"/>
  <c r="G1468" i="30" s="1"/>
  <c r="E1469" i="30"/>
  <c r="G1469" i="30" s="1"/>
  <c r="E1470" i="30"/>
  <c r="G1470" i="30" s="1"/>
  <c r="E1471" i="30"/>
  <c r="G1471" i="30" s="1"/>
  <c r="C1473" i="30"/>
  <c r="E1473" i="30" s="1"/>
  <c r="G1473" i="30" s="1"/>
  <c r="C1474" i="30"/>
  <c r="C1475" i="30"/>
  <c r="E1475" i="30" s="1"/>
  <c r="G1475" i="30" s="1"/>
  <c r="E1477" i="30"/>
  <c r="G1477" i="30" s="1"/>
  <c r="E1478" i="30"/>
  <c r="G1478" i="30" s="1"/>
  <c r="E1481" i="30"/>
  <c r="G1481" i="30" s="1"/>
  <c r="E1482" i="30"/>
  <c r="G1482" i="30" s="1"/>
  <c r="C1467" i="30"/>
  <c r="C1468" i="30"/>
  <c r="C1469" i="30"/>
  <c r="C1470" i="30"/>
  <c r="C1471" i="30"/>
  <c r="C1477" i="30"/>
  <c r="C1478" i="30"/>
  <c r="C1480" i="30"/>
  <c r="C1481" i="30"/>
  <c r="C1482" i="30"/>
  <c r="E1487" i="30"/>
  <c r="G1487" i="30" s="1"/>
  <c r="E1488" i="30"/>
  <c r="G1488" i="30" s="1"/>
  <c r="E1489" i="30"/>
  <c r="G1489" i="30" s="1"/>
  <c r="E1490" i="30"/>
  <c r="G1490" i="30" s="1"/>
  <c r="E1491" i="30"/>
  <c r="G1491" i="30" s="1"/>
  <c r="C1493" i="30"/>
  <c r="E1493" i="30" s="1"/>
  <c r="G1493" i="30" s="1"/>
  <c r="C1494" i="30"/>
  <c r="C1495" i="30"/>
  <c r="E1495" i="30" s="1"/>
  <c r="G1495" i="30" s="1"/>
  <c r="E1497" i="30"/>
  <c r="G1497" i="30" s="1"/>
  <c r="E1498" i="30"/>
  <c r="G1498" i="30" s="1"/>
  <c r="E1501" i="30"/>
  <c r="G1501" i="30" s="1"/>
  <c r="E1502" i="30"/>
  <c r="G1502" i="30" s="1"/>
  <c r="C1487" i="30"/>
  <c r="C1488" i="30"/>
  <c r="C1489" i="30"/>
  <c r="C1490" i="30"/>
  <c r="C1491" i="30"/>
  <c r="C1497" i="30"/>
  <c r="C1498" i="30"/>
  <c r="C1500" i="30"/>
  <c r="C1501" i="30"/>
  <c r="C1502" i="30"/>
  <c r="E1507" i="30"/>
  <c r="G1507" i="30" s="1"/>
  <c r="E1508" i="30"/>
  <c r="G1508" i="30" s="1"/>
  <c r="E1509" i="30"/>
  <c r="G1509" i="30" s="1"/>
  <c r="E1510" i="30"/>
  <c r="G1510" i="30" s="1"/>
  <c r="E1511" i="30"/>
  <c r="G1511" i="30" s="1"/>
  <c r="C1513" i="30"/>
  <c r="E1513" i="30" s="1"/>
  <c r="G1513" i="30" s="1"/>
  <c r="C1514" i="30"/>
  <c r="C1515" i="30"/>
  <c r="E1515" i="30" s="1"/>
  <c r="G1515" i="30" s="1"/>
  <c r="E1517" i="30"/>
  <c r="G1517" i="30" s="1"/>
  <c r="E1518" i="30"/>
  <c r="G1518" i="30" s="1"/>
  <c r="E1521" i="30"/>
  <c r="G1521" i="30" s="1"/>
  <c r="E1522" i="30"/>
  <c r="G1522" i="30" s="1"/>
  <c r="C1507" i="30"/>
  <c r="C1508" i="30"/>
  <c r="C1509" i="30"/>
  <c r="C1510" i="30"/>
  <c r="C1511" i="30"/>
  <c r="C1517" i="30"/>
  <c r="C1518" i="30"/>
  <c r="C1520" i="30"/>
  <c r="C1521" i="30"/>
  <c r="C1522" i="30"/>
  <c r="E1527" i="30"/>
  <c r="G1527" i="30" s="1"/>
  <c r="E1528" i="30"/>
  <c r="G1528" i="30" s="1"/>
  <c r="E1529" i="30"/>
  <c r="G1529" i="30" s="1"/>
  <c r="E1530" i="30"/>
  <c r="G1530" i="30" s="1"/>
  <c r="E1531" i="30"/>
  <c r="G1531" i="30" s="1"/>
  <c r="C1533" i="30"/>
  <c r="E1533" i="30" s="1"/>
  <c r="G1533" i="30" s="1"/>
  <c r="C1534" i="30"/>
  <c r="C1535" i="30"/>
  <c r="E1535" i="30" s="1"/>
  <c r="G1535" i="30" s="1"/>
  <c r="E1537" i="30"/>
  <c r="G1537" i="30" s="1"/>
  <c r="E1538" i="30"/>
  <c r="G1538" i="30" s="1"/>
  <c r="E1541" i="30"/>
  <c r="G1541" i="30" s="1"/>
  <c r="E1542" i="30"/>
  <c r="G1542" i="30" s="1"/>
  <c r="C1527" i="30"/>
  <c r="C1528" i="30"/>
  <c r="C1529" i="30"/>
  <c r="C1530" i="30"/>
  <c r="C1531" i="30"/>
  <c r="C1537" i="30"/>
  <c r="C1538" i="30"/>
  <c r="C1540" i="30"/>
  <c r="C1541" i="30"/>
  <c r="C1542" i="30"/>
  <c r="E1547" i="30"/>
  <c r="G1547" i="30" s="1"/>
  <c r="E1548" i="30"/>
  <c r="G1548" i="30" s="1"/>
  <c r="E1549" i="30"/>
  <c r="G1549" i="30" s="1"/>
  <c r="E1550" i="30"/>
  <c r="G1550" i="30" s="1"/>
  <c r="E1551" i="30"/>
  <c r="G1551" i="30" s="1"/>
  <c r="C1553" i="30"/>
  <c r="E1553" i="30" s="1"/>
  <c r="G1553" i="30" s="1"/>
  <c r="C1554" i="30"/>
  <c r="C1555" i="30"/>
  <c r="E1555" i="30" s="1"/>
  <c r="G1555" i="30" s="1"/>
  <c r="E1557" i="30"/>
  <c r="G1557" i="30" s="1"/>
  <c r="E1558" i="30"/>
  <c r="G1558" i="30" s="1"/>
  <c r="E1561" i="30"/>
  <c r="G1561" i="30" s="1"/>
  <c r="E1562" i="30"/>
  <c r="G1562" i="30" s="1"/>
  <c r="C1547" i="30"/>
  <c r="C1548" i="30"/>
  <c r="C1549" i="30"/>
  <c r="C1550" i="30"/>
  <c r="C1551" i="30"/>
  <c r="C1557" i="30"/>
  <c r="C1558" i="30"/>
  <c r="C1560" i="30"/>
  <c r="C1561" i="30"/>
  <c r="C1562" i="30"/>
  <c r="E1567" i="30"/>
  <c r="G1567" i="30" s="1"/>
  <c r="E1568" i="30"/>
  <c r="G1568" i="30" s="1"/>
  <c r="E1569" i="30"/>
  <c r="G1569" i="30" s="1"/>
  <c r="E1570" i="30"/>
  <c r="G1570" i="30" s="1"/>
  <c r="E1571" i="30"/>
  <c r="G1571" i="30" s="1"/>
  <c r="C1573" i="30"/>
  <c r="E1573" i="30" s="1"/>
  <c r="G1573" i="30" s="1"/>
  <c r="C1574" i="30"/>
  <c r="C1575" i="30"/>
  <c r="E1575" i="30" s="1"/>
  <c r="G1575" i="30" s="1"/>
  <c r="E1577" i="30"/>
  <c r="G1577" i="30" s="1"/>
  <c r="E1578" i="30"/>
  <c r="G1578" i="30" s="1"/>
  <c r="E1581" i="30"/>
  <c r="G1581" i="30" s="1"/>
  <c r="E1582" i="30"/>
  <c r="G1582" i="30" s="1"/>
  <c r="C1567" i="30"/>
  <c r="C1568" i="30"/>
  <c r="C1569" i="30"/>
  <c r="C1570" i="30"/>
  <c r="C1571" i="30"/>
  <c r="C1577" i="30"/>
  <c r="C1578" i="30"/>
  <c r="C1580" i="30"/>
  <c r="C1581" i="30"/>
  <c r="C1582" i="30"/>
  <c r="E1587" i="30"/>
  <c r="G1587" i="30" s="1"/>
  <c r="E1588" i="30"/>
  <c r="G1588" i="30" s="1"/>
  <c r="E1589" i="30"/>
  <c r="G1589" i="30" s="1"/>
  <c r="E1590" i="30"/>
  <c r="G1590" i="30" s="1"/>
  <c r="E1591" i="30"/>
  <c r="G1591" i="30" s="1"/>
  <c r="C1593" i="30"/>
  <c r="E1593" i="30" s="1"/>
  <c r="G1593" i="30" s="1"/>
  <c r="C1594" i="30"/>
  <c r="C1595" i="30"/>
  <c r="E1595" i="30" s="1"/>
  <c r="G1595" i="30" s="1"/>
  <c r="E1597" i="30"/>
  <c r="G1597" i="30" s="1"/>
  <c r="E1598" i="30"/>
  <c r="G1598" i="30" s="1"/>
  <c r="E1601" i="30"/>
  <c r="G1601" i="30" s="1"/>
  <c r="E1602" i="30"/>
  <c r="G1602" i="30" s="1"/>
  <c r="C1587" i="30"/>
  <c r="C1588" i="30"/>
  <c r="C1589" i="30"/>
  <c r="C1590" i="30"/>
  <c r="C1591" i="30"/>
  <c r="C1597" i="30"/>
  <c r="C1598" i="30"/>
  <c r="C1600" i="30"/>
  <c r="C1601" i="30"/>
  <c r="C1602" i="30"/>
  <c r="E1609" i="30"/>
  <c r="G1609" i="30" s="1"/>
  <c r="E1610" i="30"/>
  <c r="G1610" i="30" s="1"/>
  <c r="E1611" i="30"/>
  <c r="G1611" i="30" s="1"/>
  <c r="C1613" i="30"/>
  <c r="E1621" i="30"/>
  <c r="G1621" i="30" s="1"/>
  <c r="E1622" i="30"/>
  <c r="G1622" i="30" s="1"/>
  <c r="C1614" i="30"/>
  <c r="E1614" i="30" s="1"/>
  <c r="G1614" i="30" s="1"/>
  <c r="C1615" i="30"/>
  <c r="E1615" i="30" s="1"/>
  <c r="G1615" i="30" s="1"/>
  <c r="E1617" i="30"/>
  <c r="G1617" i="30" s="1"/>
  <c r="E1618" i="30"/>
  <c r="G1618" i="30" s="1"/>
  <c r="C1607" i="30"/>
  <c r="C1608" i="30"/>
  <c r="C1609" i="30"/>
  <c r="C1610" i="30"/>
  <c r="C1611" i="30"/>
  <c r="C1617" i="30"/>
  <c r="C1618" i="30"/>
  <c r="C1620" i="30"/>
  <c r="C1621" i="30"/>
  <c r="C1622" i="30"/>
  <c r="C167" i="32"/>
  <c r="C168" i="32"/>
  <c r="E168" i="32"/>
  <c r="G168" i="32" s="1"/>
  <c r="E173" i="32"/>
  <c r="G173" i="32" s="1"/>
  <c r="C175" i="32"/>
  <c r="E183" i="32"/>
  <c r="G183" i="32" s="1"/>
  <c r="E184" i="32"/>
  <c r="G184" i="32" s="1"/>
  <c r="C176" i="32"/>
  <c r="E176" i="32" s="1"/>
  <c r="G176" i="32" s="1"/>
  <c r="C177" i="32"/>
  <c r="E177" i="32" s="1"/>
  <c r="G177" i="32" s="1"/>
  <c r="E179" i="32"/>
  <c r="G179" i="32" s="1"/>
  <c r="E180" i="32"/>
  <c r="G180" i="32" s="1"/>
  <c r="C169" i="32"/>
  <c r="C173" i="32"/>
  <c r="C179" i="32"/>
  <c r="C180" i="32"/>
  <c r="C182" i="32"/>
  <c r="C183" i="32"/>
  <c r="C184" i="32"/>
  <c r="E1452" i="32"/>
  <c r="G1452" i="32" s="1"/>
  <c r="E1453" i="32"/>
  <c r="G1453" i="32" s="1"/>
  <c r="E1454" i="32"/>
  <c r="G1454" i="32" s="1"/>
  <c r="E1455" i="32"/>
  <c r="G1455" i="32" s="1"/>
  <c r="G1459" i="32"/>
  <c r="G1461" i="32"/>
  <c r="G1462" i="32"/>
  <c r="G1465" i="32"/>
  <c r="G1466" i="32"/>
  <c r="C1451" i="32"/>
  <c r="C1452" i="32"/>
  <c r="C1453" i="32"/>
  <c r="C1454" i="32"/>
  <c r="C1455" i="32"/>
  <c r="E411" i="32"/>
  <c r="G411" i="32" s="1"/>
  <c r="E412" i="32"/>
  <c r="G412" i="32" s="1"/>
  <c r="E413" i="32"/>
  <c r="G413" i="32" s="1"/>
  <c r="E414" i="32"/>
  <c r="G414" i="32" s="1"/>
  <c r="E415" i="32"/>
  <c r="G415" i="32" s="1"/>
  <c r="G418" i="32"/>
  <c r="G419" i="32"/>
  <c r="G421" i="32"/>
  <c r="G422" i="32"/>
  <c r="G425" i="32"/>
  <c r="G426" i="32"/>
  <c r="C411" i="32"/>
  <c r="C412" i="32"/>
  <c r="C413" i="32"/>
  <c r="C414" i="32"/>
  <c r="C415" i="32"/>
  <c r="G1002" i="32"/>
  <c r="G1025" i="32"/>
  <c r="G1045" i="32"/>
  <c r="G1305" i="32"/>
  <c r="G1306" i="32"/>
  <c r="G1321" i="32"/>
  <c r="G1325" i="32"/>
  <c r="G1326" i="32"/>
  <c r="G682" i="32"/>
  <c r="G701" i="32"/>
  <c r="G702" i="32"/>
  <c r="G706" i="32"/>
  <c r="G742" i="32"/>
  <c r="G602" i="32"/>
  <c r="G605" i="32"/>
  <c r="G661" i="32"/>
  <c r="G666" i="32"/>
  <c r="G561" i="32"/>
  <c r="G566" i="32"/>
  <c r="G501" i="32"/>
  <c r="G525" i="32"/>
  <c r="G441" i="32"/>
  <c r="G445" i="32"/>
  <c r="G446" i="32"/>
  <c r="G1081" i="32"/>
  <c r="G1086" i="32"/>
  <c r="G785" i="32"/>
  <c r="G805" i="32"/>
  <c r="G461" i="32"/>
  <c r="G465" i="32"/>
  <c r="G466" i="32"/>
  <c r="G481" i="32"/>
  <c r="G1261" i="32"/>
  <c r="G1262" i="32"/>
  <c r="G1266" i="32"/>
  <c r="G1281" i="32"/>
  <c r="G382" i="32"/>
  <c r="G1165" i="32"/>
  <c r="G1201" i="32"/>
  <c r="G1206" i="32"/>
  <c r="G1221" i="32"/>
  <c r="G1226" i="32"/>
  <c r="G1241" i="32"/>
  <c r="G1242" i="32"/>
  <c r="G1246" i="32"/>
  <c r="G902" i="32"/>
  <c r="G905" i="32"/>
  <c r="G906" i="32"/>
  <c r="G921" i="32"/>
  <c r="G925" i="32"/>
  <c r="G926" i="32"/>
  <c r="G941" i="32"/>
  <c r="G945" i="32"/>
  <c r="G946" i="32"/>
  <c r="G961" i="32"/>
  <c r="G966" i="32"/>
  <c r="E971" i="32"/>
  <c r="G971" i="32" s="1"/>
  <c r="G982" i="32"/>
  <c r="C971" i="32"/>
  <c r="G845" i="32"/>
  <c r="G865" i="32"/>
  <c r="G885" i="32"/>
  <c r="G886" i="32"/>
  <c r="G881" i="32"/>
  <c r="G1445" i="32"/>
  <c r="G1425" i="32"/>
  <c r="G1365" i="32"/>
  <c r="G1381" i="32"/>
  <c r="G1385" i="32"/>
  <c r="G1386" i="32"/>
  <c r="G1401" i="32"/>
  <c r="G1406" i="32"/>
  <c r="E211" i="32"/>
  <c r="G211" i="32" s="1"/>
  <c r="E212" i="32"/>
  <c r="G212" i="32" s="1"/>
  <c r="E215" i="32"/>
  <c r="G215" i="32" s="1"/>
  <c r="C217" i="32"/>
  <c r="C218" i="32"/>
  <c r="C219" i="32"/>
  <c r="E219" i="32" s="1"/>
  <c r="G219" i="32" s="1"/>
  <c r="E221" i="32"/>
  <c r="G221" i="32" s="1"/>
  <c r="E222" i="32"/>
  <c r="G222" i="32" s="1"/>
  <c r="E225" i="32"/>
  <c r="G225" i="32" s="1"/>
  <c r="E226" i="32"/>
  <c r="G226" i="32" s="1"/>
  <c r="C210" i="32"/>
  <c r="C211" i="32"/>
  <c r="C212" i="32"/>
  <c r="C213" i="32"/>
  <c r="C215" i="32"/>
  <c r="C221" i="32"/>
  <c r="C222" i="32"/>
  <c r="C224" i="32"/>
  <c r="C225" i="32"/>
  <c r="C226" i="32"/>
  <c r="E189" i="32"/>
  <c r="G189" i="32" s="1"/>
  <c r="E191" i="32"/>
  <c r="G191" i="32" s="1"/>
  <c r="E192" i="32"/>
  <c r="G192" i="32" s="1"/>
  <c r="C196" i="32"/>
  <c r="C197" i="32"/>
  <c r="C198" i="32"/>
  <c r="E198" i="32" s="1"/>
  <c r="G198" i="32" s="1"/>
  <c r="E200" i="32"/>
  <c r="G200" i="32" s="1"/>
  <c r="E201" i="32"/>
  <c r="G201" i="32" s="1"/>
  <c r="E204" i="32"/>
  <c r="G204" i="32" s="1"/>
  <c r="E205" i="32"/>
  <c r="G205" i="32" s="1"/>
  <c r="C189" i="32"/>
  <c r="C190" i="32"/>
  <c r="C191" i="32"/>
  <c r="C192" i="32"/>
  <c r="C200" i="32"/>
  <c r="C201" i="32"/>
  <c r="C203" i="32"/>
  <c r="C204" i="32"/>
  <c r="C205" i="32"/>
  <c r="E231" i="32"/>
  <c r="G231" i="32" s="1"/>
  <c r="E232" i="32"/>
  <c r="G232" i="32" s="1"/>
  <c r="E233" i="32"/>
  <c r="G233" i="32" s="1"/>
  <c r="E234" i="32"/>
  <c r="G234" i="32" s="1"/>
  <c r="E235" i="32"/>
  <c r="G235" i="32" s="1"/>
  <c r="C237" i="32"/>
  <c r="C238" i="32"/>
  <c r="E238" i="32" s="1"/>
  <c r="G238" i="32" s="1"/>
  <c r="C239" i="32"/>
  <c r="E239" i="32" s="1"/>
  <c r="G239" i="32" s="1"/>
  <c r="E241" i="32"/>
  <c r="G241" i="32" s="1"/>
  <c r="E242" i="32"/>
  <c r="G242" i="32" s="1"/>
  <c r="E245" i="32"/>
  <c r="G245" i="32" s="1"/>
  <c r="E246" i="32"/>
  <c r="G246" i="32" s="1"/>
  <c r="C231" i="32"/>
  <c r="C232" i="32"/>
  <c r="C233" i="32"/>
  <c r="C234" i="32"/>
  <c r="C235" i="32"/>
  <c r="C241" i="32"/>
  <c r="C242" i="32"/>
  <c r="C244" i="32"/>
  <c r="C245" i="32"/>
  <c r="C246" i="32"/>
  <c r="E251" i="32"/>
  <c r="G251" i="32" s="1"/>
  <c r="E252" i="32"/>
  <c r="G252" i="32" s="1"/>
  <c r="E253" i="32"/>
  <c r="G253" i="32" s="1"/>
  <c r="E254" i="32"/>
  <c r="G254" i="32" s="1"/>
  <c r="E255" i="32"/>
  <c r="G255" i="32" s="1"/>
  <c r="C257" i="32"/>
  <c r="C258" i="32"/>
  <c r="E258" i="32" s="1"/>
  <c r="G258" i="32" s="1"/>
  <c r="C259" i="32"/>
  <c r="E259" i="32" s="1"/>
  <c r="G259" i="32" s="1"/>
  <c r="E261" i="32"/>
  <c r="G261" i="32" s="1"/>
  <c r="E262" i="32"/>
  <c r="G262" i="32" s="1"/>
  <c r="E265" i="32"/>
  <c r="G265" i="32" s="1"/>
  <c r="E266" i="32"/>
  <c r="G266" i="32" s="1"/>
  <c r="C251" i="32"/>
  <c r="C252" i="32"/>
  <c r="C253" i="32"/>
  <c r="C254" i="32"/>
  <c r="C255" i="32"/>
  <c r="C261" i="32"/>
  <c r="C262" i="32"/>
  <c r="C264" i="32"/>
  <c r="C265" i="32"/>
  <c r="C266" i="32"/>
  <c r="E1111" i="32"/>
  <c r="G1111" i="32" s="1"/>
  <c r="E1112" i="32"/>
  <c r="G1112" i="32" s="1"/>
  <c r="E1113" i="32"/>
  <c r="G1113" i="32" s="1"/>
  <c r="E1114" i="32"/>
  <c r="G1114" i="32" s="1"/>
  <c r="E1115" i="32"/>
  <c r="G1115" i="32" s="1"/>
  <c r="G1119" i="32"/>
  <c r="G1121" i="32"/>
  <c r="G1122" i="32"/>
  <c r="G1125" i="32"/>
  <c r="G1126" i="32"/>
  <c r="C1111" i="32"/>
  <c r="C1112" i="32"/>
  <c r="C1113" i="32"/>
  <c r="C1114" i="32"/>
  <c r="C1115" i="32"/>
  <c r="E1331" i="32"/>
  <c r="G1331" i="32" s="1"/>
  <c r="E1332" i="32"/>
  <c r="G1332" i="32" s="1"/>
  <c r="E1333" i="32"/>
  <c r="G1333" i="32" s="1"/>
  <c r="E1334" i="32"/>
  <c r="G1334" i="32" s="1"/>
  <c r="E1335" i="32"/>
  <c r="G1335" i="32" s="1"/>
  <c r="G1339" i="32"/>
  <c r="G1341" i="32"/>
  <c r="G1342" i="32"/>
  <c r="G1345" i="32"/>
  <c r="G1346" i="32"/>
  <c r="C1331" i="32"/>
  <c r="C1332" i="32"/>
  <c r="C1333" i="32"/>
  <c r="C1334" i="32"/>
  <c r="C1335" i="32"/>
  <c r="G1481" i="32"/>
  <c r="G1482" i="32"/>
  <c r="G1491" i="32"/>
  <c r="G1492" i="32"/>
  <c r="G1493" i="32"/>
  <c r="G1494" i="32"/>
  <c r="G1495" i="32"/>
  <c r="G1499" i="32"/>
  <c r="G1501" i="32"/>
  <c r="G1502" i="32"/>
  <c r="G1505" i="32"/>
  <c r="G1506" i="32"/>
  <c r="G1511" i="32"/>
  <c r="G1512" i="32"/>
  <c r="G1513" i="32"/>
  <c r="G1514" i="32"/>
  <c r="G1515" i="32"/>
  <c r="G1519" i="32"/>
  <c r="G1521" i="32"/>
  <c r="G1522" i="32"/>
  <c r="G1525" i="32"/>
  <c r="G1526" i="32"/>
  <c r="E127" i="32"/>
  <c r="G127" i="32" s="1"/>
  <c r="E129" i="32"/>
  <c r="G129" i="32" s="1"/>
  <c r="E130" i="32"/>
  <c r="G130" i="32" s="1"/>
  <c r="E131" i="32"/>
  <c r="G131" i="32" s="1"/>
  <c r="C133" i="32"/>
  <c r="C134" i="32"/>
  <c r="E134" i="32" s="1"/>
  <c r="G134" i="32" s="1"/>
  <c r="C135" i="32"/>
  <c r="E135" i="32" s="1"/>
  <c r="G135" i="32" s="1"/>
  <c r="E137" i="32"/>
  <c r="G137" i="32" s="1"/>
  <c r="E138" i="32"/>
  <c r="G138" i="32" s="1"/>
  <c r="E141" i="32"/>
  <c r="G141" i="32" s="1"/>
  <c r="E142" i="32"/>
  <c r="G142" i="32" s="1"/>
  <c r="C127" i="32"/>
  <c r="C128" i="32"/>
  <c r="C129" i="32"/>
  <c r="C130" i="32"/>
  <c r="C131" i="32"/>
  <c r="C137" i="32"/>
  <c r="C138" i="32"/>
  <c r="C140" i="32"/>
  <c r="C141" i="32"/>
  <c r="C142" i="32"/>
  <c r="G1531" i="32"/>
  <c r="G1532" i="32"/>
  <c r="G1533" i="32"/>
  <c r="G1534" i="32"/>
  <c r="G1535" i="32"/>
  <c r="G1539" i="32"/>
  <c r="G1541" i="32"/>
  <c r="G1542" i="32"/>
  <c r="G1545" i="32"/>
  <c r="G1546" i="32"/>
  <c r="G1551" i="32"/>
  <c r="G1552" i="32"/>
  <c r="G1553" i="32"/>
  <c r="G1554" i="32"/>
  <c r="G1555" i="32"/>
  <c r="G1559" i="32"/>
  <c r="G1561" i="32"/>
  <c r="G1562" i="32"/>
  <c r="G1565" i="32"/>
  <c r="G1566" i="32"/>
  <c r="G1571" i="32"/>
  <c r="G1572" i="32"/>
  <c r="G1573" i="32"/>
  <c r="G1574" i="32"/>
  <c r="G1575" i="32"/>
  <c r="G1579" i="32"/>
  <c r="G1581" i="32"/>
  <c r="G1582" i="32"/>
  <c r="G1585" i="32"/>
  <c r="G1586" i="32"/>
  <c r="C7" i="33"/>
  <c r="E7" i="33"/>
  <c r="C8" i="33"/>
  <c r="E8" i="33"/>
  <c r="G8" i="33" s="1"/>
  <c r="E9" i="33"/>
  <c r="G9" i="33" s="1"/>
  <c r="E10" i="33"/>
  <c r="G10" i="33" s="1"/>
  <c r="E11" i="33"/>
  <c r="G11" i="33" s="1"/>
  <c r="C13" i="33"/>
  <c r="E21" i="33"/>
  <c r="G21" i="33" s="1"/>
  <c r="E22" i="33"/>
  <c r="G22" i="33" s="1"/>
  <c r="C14" i="33"/>
  <c r="E14" i="33" s="1"/>
  <c r="G14" i="33" s="1"/>
  <c r="C15" i="33"/>
  <c r="E15" i="33" s="1"/>
  <c r="G15" i="33" s="1"/>
  <c r="E17" i="33"/>
  <c r="G17" i="33" s="1"/>
  <c r="E18" i="33"/>
  <c r="G18" i="33" s="1"/>
  <c r="C9" i="33"/>
  <c r="C10" i="33"/>
  <c r="C11" i="33"/>
  <c r="C17" i="33"/>
  <c r="C18" i="33"/>
  <c r="C20" i="33"/>
  <c r="C21" i="33"/>
  <c r="C22" i="33"/>
  <c r="E27" i="33"/>
  <c r="G27" i="33" s="1"/>
  <c r="E28" i="33"/>
  <c r="G28" i="33" s="1"/>
  <c r="E29" i="33"/>
  <c r="G29" i="33" s="1"/>
  <c r="E30" i="33"/>
  <c r="G30" i="33" s="1"/>
  <c r="E31" i="33"/>
  <c r="G31" i="33" s="1"/>
  <c r="C33" i="33"/>
  <c r="E41" i="33"/>
  <c r="G41" i="33" s="1"/>
  <c r="E42" i="33"/>
  <c r="G42" i="33" s="1"/>
  <c r="C34" i="33"/>
  <c r="E34" i="33" s="1"/>
  <c r="G34" i="33" s="1"/>
  <c r="C35" i="33"/>
  <c r="E35" i="33" s="1"/>
  <c r="G35" i="33" s="1"/>
  <c r="E37" i="33"/>
  <c r="G37" i="33" s="1"/>
  <c r="E38" i="33"/>
  <c r="G38" i="33" s="1"/>
  <c r="C27" i="33"/>
  <c r="C28" i="33"/>
  <c r="C29" i="33"/>
  <c r="C30" i="33"/>
  <c r="C31" i="33"/>
  <c r="C37" i="33"/>
  <c r="C38" i="33"/>
  <c r="C40" i="33"/>
  <c r="C41" i="33"/>
  <c r="C42" i="33"/>
  <c r="E47" i="33"/>
  <c r="G47" i="33" s="1"/>
  <c r="E48" i="33"/>
  <c r="G48" i="33" s="1"/>
  <c r="E49" i="33"/>
  <c r="G49" i="33" s="1"/>
  <c r="E50" i="33"/>
  <c r="G50" i="33" s="1"/>
  <c r="E51" i="33"/>
  <c r="G51" i="33" s="1"/>
  <c r="C53" i="33"/>
  <c r="E61" i="33"/>
  <c r="G61" i="33" s="1"/>
  <c r="E62" i="33"/>
  <c r="G62" i="33" s="1"/>
  <c r="C54" i="33"/>
  <c r="E54" i="33" s="1"/>
  <c r="G54" i="33" s="1"/>
  <c r="C55" i="33"/>
  <c r="E55" i="33" s="1"/>
  <c r="G55" i="33" s="1"/>
  <c r="E57" i="33"/>
  <c r="G57" i="33" s="1"/>
  <c r="E58" i="33"/>
  <c r="G58" i="33" s="1"/>
  <c r="C47" i="33"/>
  <c r="C48" i="33"/>
  <c r="C49" i="33"/>
  <c r="C50" i="33"/>
  <c r="C51" i="33"/>
  <c r="C57" i="33"/>
  <c r="C58" i="33"/>
  <c r="C60" i="33"/>
  <c r="C61" i="33"/>
  <c r="C62" i="33"/>
  <c r="E67" i="33"/>
  <c r="G67" i="33" s="1"/>
  <c r="E68" i="33"/>
  <c r="G68" i="33" s="1"/>
  <c r="E69" i="33"/>
  <c r="G69" i="33" s="1"/>
  <c r="E70" i="33"/>
  <c r="G70" i="33" s="1"/>
  <c r="E71" i="33"/>
  <c r="G71" i="33" s="1"/>
  <c r="C73" i="33"/>
  <c r="E81" i="33"/>
  <c r="G81" i="33" s="1"/>
  <c r="E82" i="33"/>
  <c r="G82" i="33" s="1"/>
  <c r="C74" i="33"/>
  <c r="E74" i="33" s="1"/>
  <c r="G74" i="33" s="1"/>
  <c r="C75" i="33"/>
  <c r="E75" i="33" s="1"/>
  <c r="G75" i="33" s="1"/>
  <c r="E77" i="33"/>
  <c r="G77" i="33" s="1"/>
  <c r="E78" i="33"/>
  <c r="G78" i="33" s="1"/>
  <c r="C67" i="33"/>
  <c r="C68" i="33"/>
  <c r="C69" i="33"/>
  <c r="C70" i="33"/>
  <c r="C71" i="33"/>
  <c r="C77" i="33"/>
  <c r="C78" i="33"/>
  <c r="C80" i="33"/>
  <c r="C81" i="33"/>
  <c r="C82" i="33"/>
  <c r="E87" i="33"/>
  <c r="G87" i="33" s="1"/>
  <c r="E88" i="33"/>
  <c r="G88" i="33" s="1"/>
  <c r="E89" i="33"/>
  <c r="G89" i="33" s="1"/>
  <c r="E90" i="33"/>
  <c r="G90" i="33" s="1"/>
  <c r="E91" i="33"/>
  <c r="G91" i="33" s="1"/>
  <c r="C93" i="33"/>
  <c r="E101" i="33"/>
  <c r="G101" i="33" s="1"/>
  <c r="E102" i="33"/>
  <c r="G102" i="33" s="1"/>
  <c r="C94" i="33"/>
  <c r="E94" i="33" s="1"/>
  <c r="G94" i="33" s="1"/>
  <c r="C95" i="33"/>
  <c r="E95" i="33" s="1"/>
  <c r="G95" i="33" s="1"/>
  <c r="E97" i="33"/>
  <c r="G97" i="33" s="1"/>
  <c r="E98" i="33"/>
  <c r="G98" i="33" s="1"/>
  <c r="C87" i="33"/>
  <c r="C88" i="33"/>
  <c r="C89" i="33"/>
  <c r="C90" i="33"/>
  <c r="C91" i="33"/>
  <c r="C97" i="33"/>
  <c r="C98" i="33"/>
  <c r="C100" i="33"/>
  <c r="C101" i="33"/>
  <c r="C102" i="33"/>
  <c r="E107" i="33"/>
  <c r="G107" i="33" s="1"/>
  <c r="E108" i="33"/>
  <c r="G108" i="33" s="1"/>
  <c r="E109" i="33"/>
  <c r="G109" i="33" s="1"/>
  <c r="E110" i="33"/>
  <c r="G110" i="33" s="1"/>
  <c r="E111" i="33"/>
  <c r="G111" i="33" s="1"/>
  <c r="C113" i="33"/>
  <c r="E121" i="33"/>
  <c r="G121" i="33" s="1"/>
  <c r="E122" i="33"/>
  <c r="G122" i="33" s="1"/>
  <c r="C114" i="33"/>
  <c r="E114" i="33" s="1"/>
  <c r="G114" i="33" s="1"/>
  <c r="C115" i="33"/>
  <c r="E115" i="33" s="1"/>
  <c r="G115" i="33" s="1"/>
  <c r="E117" i="33"/>
  <c r="G117" i="33" s="1"/>
  <c r="E118" i="33"/>
  <c r="G118" i="33" s="1"/>
  <c r="C107" i="33"/>
  <c r="C108" i="33"/>
  <c r="C109" i="33"/>
  <c r="C110" i="33"/>
  <c r="C111" i="33"/>
  <c r="C117" i="33"/>
  <c r="C118" i="33"/>
  <c r="C120" i="33"/>
  <c r="C121" i="33"/>
  <c r="C122" i="33"/>
  <c r="E127" i="33"/>
  <c r="G127" i="33" s="1"/>
  <c r="E129" i="33"/>
  <c r="G129" i="33" s="1"/>
  <c r="E130" i="33"/>
  <c r="G130" i="33" s="1"/>
  <c r="E131" i="33"/>
  <c r="G131" i="33" s="1"/>
  <c r="C133" i="33"/>
  <c r="E141" i="33"/>
  <c r="G141" i="33" s="1"/>
  <c r="E142" i="33"/>
  <c r="G142" i="33" s="1"/>
  <c r="C134" i="33"/>
  <c r="E134" i="33" s="1"/>
  <c r="G134" i="33" s="1"/>
  <c r="C135" i="33"/>
  <c r="E135" i="33" s="1"/>
  <c r="G135" i="33" s="1"/>
  <c r="E137" i="33"/>
  <c r="G137" i="33" s="1"/>
  <c r="E138" i="33"/>
  <c r="G138" i="33" s="1"/>
  <c r="C127" i="33"/>
  <c r="C128" i="33"/>
  <c r="C129" i="33"/>
  <c r="C130" i="33"/>
  <c r="C131" i="33"/>
  <c r="C137" i="33"/>
  <c r="C138" i="33"/>
  <c r="C140" i="33"/>
  <c r="C141" i="33"/>
  <c r="C142" i="33"/>
  <c r="E147" i="33"/>
  <c r="G147" i="33" s="1"/>
  <c r="E149" i="33"/>
  <c r="G149" i="33" s="1"/>
  <c r="E150" i="33"/>
  <c r="G150" i="33" s="1"/>
  <c r="E151" i="33"/>
  <c r="G151" i="33" s="1"/>
  <c r="C153" i="33"/>
  <c r="E161" i="33"/>
  <c r="G161" i="33" s="1"/>
  <c r="E162" i="33"/>
  <c r="G162" i="33" s="1"/>
  <c r="C154" i="33"/>
  <c r="E154" i="33" s="1"/>
  <c r="G154" i="33" s="1"/>
  <c r="C155" i="33"/>
  <c r="E155" i="33" s="1"/>
  <c r="G155" i="33" s="1"/>
  <c r="E157" i="33"/>
  <c r="G157" i="33" s="1"/>
  <c r="E158" i="33"/>
  <c r="G158" i="33" s="1"/>
  <c r="C147" i="33"/>
  <c r="C148" i="33"/>
  <c r="C149" i="33"/>
  <c r="C150" i="33"/>
  <c r="C151" i="33"/>
  <c r="C157" i="33"/>
  <c r="C158" i="33"/>
  <c r="C160" i="33"/>
  <c r="C161" i="33"/>
  <c r="C162" i="33"/>
  <c r="E167" i="33"/>
  <c r="G167" i="33" s="1"/>
  <c r="E169" i="33"/>
  <c r="G169" i="33" s="1"/>
  <c r="E170" i="33"/>
  <c r="G170" i="33" s="1"/>
  <c r="E171" i="33"/>
  <c r="G171" i="33" s="1"/>
  <c r="C173" i="33"/>
  <c r="E181" i="33"/>
  <c r="G181" i="33" s="1"/>
  <c r="E182" i="33"/>
  <c r="G182" i="33" s="1"/>
  <c r="C174" i="33"/>
  <c r="E174" i="33" s="1"/>
  <c r="G174" i="33" s="1"/>
  <c r="C175" i="33"/>
  <c r="E175" i="33" s="1"/>
  <c r="G175" i="33" s="1"/>
  <c r="E177" i="33"/>
  <c r="G177" i="33" s="1"/>
  <c r="E178" i="33"/>
  <c r="G178" i="33" s="1"/>
  <c r="C167" i="33"/>
  <c r="C168" i="33"/>
  <c r="C169" i="33"/>
  <c r="C170" i="33"/>
  <c r="C171" i="33"/>
  <c r="C177" i="33"/>
  <c r="C178" i="33"/>
  <c r="C180" i="33"/>
  <c r="C181" i="33"/>
  <c r="C182" i="33"/>
  <c r="E187" i="33"/>
  <c r="G187" i="33" s="1"/>
  <c r="E188" i="33"/>
  <c r="G188" i="33" s="1"/>
  <c r="E189" i="33"/>
  <c r="G189" i="33" s="1"/>
  <c r="E190" i="33"/>
  <c r="G190" i="33" s="1"/>
  <c r="E191" i="33"/>
  <c r="G191" i="33" s="1"/>
  <c r="C193" i="33"/>
  <c r="E201" i="33"/>
  <c r="G201" i="33" s="1"/>
  <c r="E202" i="33"/>
  <c r="G202" i="33" s="1"/>
  <c r="C194" i="33"/>
  <c r="E194" i="33" s="1"/>
  <c r="G194" i="33" s="1"/>
  <c r="C195" i="33"/>
  <c r="E195" i="33" s="1"/>
  <c r="G195" i="33" s="1"/>
  <c r="E197" i="33"/>
  <c r="G197" i="33" s="1"/>
  <c r="E198" i="33"/>
  <c r="G198" i="33" s="1"/>
  <c r="C187" i="33"/>
  <c r="C188" i="33"/>
  <c r="C189" i="33"/>
  <c r="C190" i="33"/>
  <c r="C191" i="33"/>
  <c r="C197" i="33"/>
  <c r="C198" i="33"/>
  <c r="C200" i="33"/>
  <c r="C201" i="33"/>
  <c r="C202" i="33"/>
  <c r="E207" i="33"/>
  <c r="G207" i="33" s="1"/>
  <c r="E208" i="33"/>
  <c r="G208" i="33" s="1"/>
  <c r="E209" i="33"/>
  <c r="G209" i="33" s="1"/>
  <c r="E210" i="33"/>
  <c r="G210" i="33" s="1"/>
  <c r="E211" i="33"/>
  <c r="G211" i="33" s="1"/>
  <c r="C213" i="33"/>
  <c r="E221" i="33"/>
  <c r="G221" i="33" s="1"/>
  <c r="E222" i="33"/>
  <c r="G222" i="33" s="1"/>
  <c r="C214" i="33"/>
  <c r="E214" i="33" s="1"/>
  <c r="G214" i="33" s="1"/>
  <c r="C215" i="33"/>
  <c r="E215" i="33" s="1"/>
  <c r="G215" i="33" s="1"/>
  <c r="E217" i="33"/>
  <c r="G217" i="33" s="1"/>
  <c r="E218" i="33"/>
  <c r="G218" i="33" s="1"/>
  <c r="C207" i="33"/>
  <c r="C208" i="33"/>
  <c r="C209" i="33"/>
  <c r="C210" i="33"/>
  <c r="C211" i="33"/>
  <c r="C217" i="33"/>
  <c r="C218" i="33"/>
  <c r="C220" i="33"/>
  <c r="C221" i="33"/>
  <c r="C222" i="33"/>
  <c r="C7" i="36"/>
  <c r="E7" i="36"/>
  <c r="C8" i="36"/>
  <c r="E8" i="36"/>
  <c r="G8" i="36" s="1"/>
  <c r="E9" i="36"/>
  <c r="G9" i="36" s="1"/>
  <c r="E10" i="36"/>
  <c r="G10" i="36" s="1"/>
  <c r="E11" i="36"/>
  <c r="G11" i="36" s="1"/>
  <c r="C13" i="36"/>
  <c r="E13" i="36" s="1"/>
  <c r="G13" i="36" s="1"/>
  <c r="C14" i="36"/>
  <c r="E21" i="36"/>
  <c r="G21" i="36" s="1"/>
  <c r="E22" i="36"/>
  <c r="G22" i="36" s="1"/>
  <c r="C15" i="36"/>
  <c r="E15" i="36" s="1"/>
  <c r="G15" i="36" s="1"/>
  <c r="E17" i="36"/>
  <c r="G17" i="36" s="1"/>
  <c r="E18" i="36"/>
  <c r="G18" i="36" s="1"/>
  <c r="C9" i="36"/>
  <c r="C10" i="36"/>
  <c r="C11" i="36"/>
  <c r="C17" i="36"/>
  <c r="C18" i="36"/>
  <c r="C20" i="36"/>
  <c r="C21" i="36" a="1"/>
  <c r="C21" i="36" s="1"/>
  <c r="C22" i="36" a="1"/>
  <c r="C22" i="36" s="1"/>
  <c r="E27" i="36"/>
  <c r="G27" i="36" s="1"/>
  <c r="E28" i="36"/>
  <c r="E29" i="36"/>
  <c r="G29" i="36" s="1"/>
  <c r="E30" i="36"/>
  <c r="G30" i="36" s="1"/>
  <c r="E31" i="36"/>
  <c r="G31" i="36" s="1"/>
  <c r="C33" i="36"/>
  <c r="E33" i="36" s="1"/>
  <c r="G33" i="36" s="1"/>
  <c r="C34" i="36"/>
  <c r="E34" i="36" s="1"/>
  <c r="G34" i="36" s="1"/>
  <c r="E41" i="36"/>
  <c r="G41" i="36" s="1"/>
  <c r="E42" i="36"/>
  <c r="G42" i="36" s="1"/>
  <c r="C35" i="36"/>
  <c r="E35" i="36" s="1"/>
  <c r="G35" i="36" s="1"/>
  <c r="E37" i="36"/>
  <c r="G37" i="36" s="1"/>
  <c r="E38" i="36"/>
  <c r="G38" i="36" s="1"/>
  <c r="C27" i="36"/>
  <c r="C28" i="36"/>
  <c r="C29" i="36"/>
  <c r="C30" i="36"/>
  <c r="C31" i="36"/>
  <c r="C37" i="36"/>
  <c r="C38" i="36"/>
  <c r="C40" i="36"/>
  <c r="C41" i="36" a="1"/>
  <c r="C41" i="36" s="1"/>
  <c r="C42" i="36" a="1"/>
  <c r="C42" i="36" s="1"/>
  <c r="E32" i="5"/>
  <c r="A1" i="7"/>
  <c r="E148" i="1"/>
  <c r="F1277" i="1"/>
  <c r="E24" i="36"/>
  <c r="C24" i="36"/>
  <c r="B24" i="36"/>
  <c r="D1289" i="1"/>
  <c r="A65" i="7"/>
  <c r="B4" i="8"/>
  <c r="C4" i="8"/>
  <c r="E4" i="8"/>
  <c r="B24" i="8"/>
  <c r="C24" i="8"/>
  <c r="E24" i="8"/>
  <c r="B44" i="8"/>
  <c r="C44" i="8"/>
  <c r="E44" i="8"/>
  <c r="B64" i="8"/>
  <c r="C64" i="8"/>
  <c r="E64" i="8"/>
  <c r="B84" i="8"/>
  <c r="C84" i="8"/>
  <c r="E84" i="8"/>
  <c r="B113" i="8"/>
  <c r="C113" i="8"/>
  <c r="E113" i="8"/>
  <c r="B141" i="8"/>
  <c r="C141" i="8"/>
  <c r="E141" i="8"/>
  <c r="B161" i="8"/>
  <c r="C161" i="8"/>
  <c r="E161" i="8"/>
  <c r="B181" i="8"/>
  <c r="C181" i="8"/>
  <c r="E181" i="8"/>
  <c r="B201" i="8"/>
  <c r="C201" i="8"/>
  <c r="E201" i="8"/>
  <c r="B221" i="8"/>
  <c r="C221" i="8"/>
  <c r="E221" i="8"/>
  <c r="B241" i="8"/>
  <c r="C241" i="8"/>
  <c r="E241" i="8"/>
  <c r="B261" i="8"/>
  <c r="C261" i="8"/>
  <c r="E261" i="8"/>
  <c r="B281" i="8"/>
  <c r="C281" i="8"/>
  <c r="E281" i="8"/>
  <c r="B301" i="8"/>
  <c r="C301" i="8"/>
  <c r="E301" i="8"/>
  <c r="B321" i="8"/>
  <c r="C321" i="8"/>
  <c r="E321" i="8"/>
  <c r="B341" i="8"/>
  <c r="C341" i="8"/>
  <c r="E341" i="8"/>
  <c r="B361" i="8"/>
  <c r="C361" i="8"/>
  <c r="E361" i="8"/>
  <c r="B381" i="8"/>
  <c r="C381" i="8"/>
  <c r="E381" i="8"/>
  <c r="B401" i="8"/>
  <c r="C401" i="8"/>
  <c r="E401" i="8"/>
  <c r="B421" i="8"/>
  <c r="C421" i="8"/>
  <c r="E421" i="8"/>
  <c r="B441" i="8"/>
  <c r="C441" i="8"/>
  <c r="E441" i="8"/>
  <c r="B461" i="8"/>
  <c r="C461" i="8"/>
  <c r="E461" i="8"/>
  <c r="B481" i="8"/>
  <c r="C481" i="8"/>
  <c r="E481" i="8"/>
  <c r="B501" i="8"/>
  <c r="C501" i="8"/>
  <c r="E501" i="8"/>
  <c r="B521" i="8"/>
  <c r="C521" i="8"/>
  <c r="E521" i="8"/>
  <c r="B541" i="8"/>
  <c r="C541" i="8"/>
  <c r="E541" i="8"/>
  <c r="B561" i="8"/>
  <c r="C561" i="8"/>
  <c r="E561" i="8"/>
  <c r="B581" i="8"/>
  <c r="C581" i="8"/>
  <c r="E581" i="8"/>
  <c r="B601" i="8"/>
  <c r="C601" i="8"/>
  <c r="E601" i="8"/>
  <c r="B621" i="8"/>
  <c r="C621" i="8"/>
  <c r="E621" i="8"/>
  <c r="B641" i="8"/>
  <c r="C641" i="8"/>
  <c r="E641" i="8"/>
  <c r="B661" i="8"/>
  <c r="C661" i="8"/>
  <c r="E661" i="8"/>
  <c r="B681" i="8"/>
  <c r="C681" i="8"/>
  <c r="E681" i="8"/>
  <c r="B701" i="8"/>
  <c r="C701" i="8"/>
  <c r="E701" i="8"/>
  <c r="B721" i="8"/>
  <c r="C721" i="8"/>
  <c r="E721" i="8"/>
  <c r="B743" i="8"/>
  <c r="C743" i="8"/>
  <c r="E743" i="8"/>
  <c r="B766" i="8"/>
  <c r="C766" i="8"/>
  <c r="E766" i="8"/>
  <c r="B786" i="8"/>
  <c r="C786" i="8"/>
  <c r="E786" i="8"/>
  <c r="B806" i="8"/>
  <c r="C806" i="8"/>
  <c r="E806" i="8"/>
  <c r="B826" i="8"/>
  <c r="C826" i="8"/>
  <c r="E826" i="8"/>
  <c r="B846" i="8"/>
  <c r="C846" i="8"/>
  <c r="E846" i="8"/>
  <c r="B866" i="8"/>
  <c r="C866" i="8"/>
  <c r="E866" i="8"/>
  <c r="B886" i="8"/>
  <c r="C886" i="8"/>
  <c r="E886" i="8"/>
  <c r="B4" i="11"/>
  <c r="C4" i="11"/>
  <c r="E4" i="11"/>
  <c r="B24" i="11"/>
  <c r="C24" i="11"/>
  <c r="E24" i="11"/>
  <c r="B44" i="11"/>
  <c r="C44" i="11"/>
  <c r="E44" i="11"/>
  <c r="B64" i="11"/>
  <c r="C64" i="11"/>
  <c r="E64" i="11"/>
  <c r="B84" i="11"/>
  <c r="C84" i="11"/>
  <c r="E84" i="11"/>
  <c r="B104" i="11"/>
  <c r="C104" i="11"/>
  <c r="E104" i="11"/>
  <c r="B124" i="11"/>
  <c r="C124" i="11"/>
  <c r="E124" i="11"/>
  <c r="B144" i="11"/>
  <c r="C144" i="11"/>
  <c r="E144" i="11"/>
  <c r="B164" i="11"/>
  <c r="C164" i="11"/>
  <c r="E164" i="11"/>
  <c r="B184" i="11"/>
  <c r="C184" i="11"/>
  <c r="E184" i="11"/>
  <c r="B204" i="11"/>
  <c r="C204" i="11"/>
  <c r="E204" i="11"/>
  <c r="B224" i="11"/>
  <c r="C224" i="11"/>
  <c r="E224" i="11"/>
  <c r="B244" i="11"/>
  <c r="C244" i="11"/>
  <c r="E244" i="11"/>
  <c r="B264" i="11"/>
  <c r="C264" i="11"/>
  <c r="E264" i="11"/>
  <c r="B4" i="13"/>
  <c r="C4" i="13"/>
  <c r="E4" i="13"/>
  <c r="B24" i="13"/>
  <c r="C24" i="13"/>
  <c r="E24" i="13"/>
  <c r="B44" i="13"/>
  <c r="C44" i="13"/>
  <c r="E44" i="13"/>
  <c r="B64" i="13"/>
  <c r="C64" i="13"/>
  <c r="E64" i="13"/>
  <c r="B85" i="13"/>
  <c r="C85" i="13"/>
  <c r="E85" i="13"/>
  <c r="B106" i="13"/>
  <c r="C106" i="13"/>
  <c r="E106" i="13"/>
  <c r="B127" i="13"/>
  <c r="C127" i="13"/>
  <c r="E127" i="13"/>
  <c r="B148" i="13"/>
  <c r="C148" i="13"/>
  <c r="E148" i="13"/>
  <c r="B168" i="13"/>
  <c r="C168" i="13"/>
  <c r="E168" i="13"/>
  <c r="B188" i="13"/>
  <c r="C188" i="13"/>
  <c r="E188" i="13"/>
  <c r="B208" i="13"/>
  <c r="C208" i="13"/>
  <c r="E208" i="13"/>
  <c r="B228" i="13"/>
  <c r="C228" i="13"/>
  <c r="E228" i="13"/>
  <c r="B248" i="13"/>
  <c r="C248" i="13"/>
  <c r="E248" i="13"/>
  <c r="B268" i="13"/>
  <c r="C268" i="13"/>
  <c r="E268" i="13"/>
  <c r="B288" i="13"/>
  <c r="C288" i="13"/>
  <c r="E288" i="13"/>
  <c r="B308" i="13"/>
  <c r="C308" i="13"/>
  <c r="E308" i="13"/>
  <c r="B328" i="13"/>
  <c r="C328" i="13"/>
  <c r="E328" i="13"/>
  <c r="B348" i="13"/>
  <c r="C348" i="13"/>
  <c r="E348" i="13"/>
  <c r="B368" i="13"/>
  <c r="C368" i="13"/>
  <c r="E368" i="13"/>
  <c r="B388" i="13"/>
  <c r="C388" i="13"/>
  <c r="E388" i="13"/>
  <c r="B408" i="13"/>
  <c r="C408" i="13"/>
  <c r="E408" i="13"/>
  <c r="B428" i="13"/>
  <c r="C428" i="13"/>
  <c r="E428" i="13"/>
  <c r="B448" i="13"/>
  <c r="C448" i="13"/>
  <c r="E448" i="13"/>
  <c r="B471" i="13"/>
  <c r="C471" i="13"/>
  <c r="E471" i="13"/>
  <c r="B494" i="13"/>
  <c r="C494" i="13"/>
  <c r="E494" i="13"/>
  <c r="B517" i="13"/>
  <c r="C517" i="13"/>
  <c r="E517" i="13"/>
  <c r="B540" i="13"/>
  <c r="C540" i="13"/>
  <c r="E540" i="13"/>
  <c r="B563" i="13"/>
  <c r="C563" i="13"/>
  <c r="E563" i="13"/>
  <c r="B587" i="13"/>
  <c r="C587" i="13"/>
  <c r="E587" i="13"/>
  <c r="B610" i="13"/>
  <c r="C610" i="13"/>
  <c r="E610" i="13"/>
  <c r="B633" i="13"/>
  <c r="C633" i="13"/>
  <c r="E633" i="13"/>
  <c r="B657" i="13"/>
  <c r="C657" i="13"/>
  <c r="E657" i="13"/>
  <c r="B680" i="13"/>
  <c r="C680" i="13"/>
  <c r="E680" i="13"/>
  <c r="B700" i="13"/>
  <c r="C700" i="13"/>
  <c r="E700" i="13"/>
  <c r="B720" i="13"/>
  <c r="C720" i="13"/>
  <c r="E720" i="13"/>
  <c r="B740" i="13"/>
  <c r="C740" i="13"/>
  <c r="E740" i="13"/>
  <c r="B760" i="13"/>
  <c r="C760" i="13"/>
  <c r="E760" i="13"/>
  <c r="B780" i="13"/>
  <c r="C780" i="13"/>
  <c r="E780" i="13"/>
  <c r="B800" i="13"/>
  <c r="C800" i="13"/>
  <c r="E800" i="13"/>
  <c r="B820" i="13"/>
  <c r="C820" i="13"/>
  <c r="E820" i="13"/>
  <c r="B840" i="13"/>
  <c r="C840" i="13"/>
  <c r="E840" i="13"/>
  <c r="B860" i="13"/>
  <c r="C860" i="13"/>
  <c r="E860" i="13"/>
  <c r="B880" i="13"/>
  <c r="C880" i="13"/>
  <c r="E880" i="13"/>
  <c r="B900" i="13"/>
  <c r="C900" i="13"/>
  <c r="E900" i="13"/>
  <c r="B920" i="13"/>
  <c r="C920" i="13"/>
  <c r="E920" i="13"/>
  <c r="B940" i="13"/>
  <c r="C940" i="13"/>
  <c r="E940" i="13"/>
  <c r="B960" i="13"/>
  <c r="C960" i="13"/>
  <c r="E960" i="13"/>
  <c r="B980" i="13"/>
  <c r="C980" i="13"/>
  <c r="E980" i="13"/>
  <c r="B1000" i="13"/>
  <c r="C1000" i="13"/>
  <c r="E1000" i="13"/>
  <c r="B24" i="15"/>
  <c r="C24" i="15"/>
  <c r="E24" i="15"/>
  <c r="B389" i="15"/>
  <c r="C389" i="15"/>
  <c r="E389" i="15"/>
  <c r="B4" i="15"/>
  <c r="C4" i="15"/>
  <c r="E4" i="15"/>
  <c r="B269" i="15"/>
  <c r="C269" i="15"/>
  <c r="E269" i="15"/>
  <c r="B289" i="15"/>
  <c r="C289" i="15"/>
  <c r="E289" i="15"/>
  <c r="B309" i="15"/>
  <c r="C309" i="15"/>
  <c r="E309" i="15"/>
  <c r="B329" i="15"/>
  <c r="C329" i="15"/>
  <c r="E329" i="15"/>
  <c r="B349" i="15"/>
  <c r="C349" i="15"/>
  <c r="E349" i="15"/>
  <c r="B369" i="15"/>
  <c r="C369" i="15"/>
  <c r="E369" i="15"/>
  <c r="B409" i="15"/>
  <c r="C409" i="15"/>
  <c r="E409" i="15"/>
  <c r="B429" i="15"/>
  <c r="C429" i="15"/>
  <c r="E429" i="15"/>
  <c r="B449" i="15"/>
  <c r="C449" i="15"/>
  <c r="E449" i="15"/>
  <c r="B549" i="15"/>
  <c r="C549" i="15"/>
  <c r="E549" i="15"/>
  <c r="B529" i="15"/>
  <c r="C529" i="15"/>
  <c r="E529" i="15"/>
  <c r="B509" i="15"/>
  <c r="C509" i="15"/>
  <c r="E509" i="15"/>
  <c r="B489" i="15"/>
  <c r="C489" i="15"/>
  <c r="E489" i="15"/>
  <c r="B469" i="15"/>
  <c r="C469" i="15"/>
  <c r="E469" i="15"/>
  <c r="B569" i="15"/>
  <c r="C569" i="15"/>
  <c r="E569" i="15"/>
  <c r="B1269" i="15"/>
  <c r="C1269" i="15"/>
  <c r="E1269" i="15"/>
  <c r="B1290" i="15"/>
  <c r="C1290" i="15"/>
  <c r="E1290" i="15"/>
  <c r="B589" i="15"/>
  <c r="C589" i="15"/>
  <c r="E589" i="15"/>
  <c r="B829" i="15"/>
  <c r="C829" i="15"/>
  <c r="E829" i="15"/>
  <c r="B849" i="15"/>
  <c r="C849" i="15"/>
  <c r="E849" i="15"/>
  <c r="B809" i="15"/>
  <c r="C809" i="15"/>
  <c r="E809" i="15"/>
  <c r="B789" i="15"/>
  <c r="C789" i="15"/>
  <c r="E789" i="15"/>
  <c r="B869" i="15"/>
  <c r="C869" i="15"/>
  <c r="E869" i="15"/>
  <c r="B1009" i="15"/>
  <c r="C1009" i="15"/>
  <c r="E1009" i="15"/>
  <c r="B889" i="15"/>
  <c r="C889" i="15"/>
  <c r="E889" i="15"/>
  <c r="B909" i="15"/>
  <c r="C909" i="15"/>
  <c r="E909" i="15"/>
  <c r="B929" i="15"/>
  <c r="C929" i="15"/>
  <c r="E929" i="15"/>
  <c r="B949" i="15"/>
  <c r="C949" i="15"/>
  <c r="E949" i="15"/>
  <c r="B989" i="15"/>
  <c r="C989" i="15"/>
  <c r="E989" i="15"/>
  <c r="B969" i="15"/>
  <c r="C969" i="15"/>
  <c r="E969" i="15"/>
  <c r="B1029" i="15"/>
  <c r="C1029" i="15"/>
  <c r="E1029" i="15"/>
  <c r="B1049" i="15"/>
  <c r="C1049" i="15"/>
  <c r="E1049" i="15"/>
  <c r="B1069" i="15"/>
  <c r="C1069" i="15"/>
  <c r="E1069" i="15"/>
  <c r="B1089" i="15"/>
  <c r="C1089" i="15"/>
  <c r="E1089" i="15"/>
  <c r="B1149" i="15"/>
  <c r="C1149" i="15"/>
  <c r="E1149" i="15"/>
  <c r="B1169" i="15"/>
  <c r="C1169" i="15"/>
  <c r="E1169" i="15"/>
  <c r="B1189" i="15"/>
  <c r="C1189" i="15"/>
  <c r="E1189" i="15"/>
  <c r="B1129" i="15"/>
  <c r="C1129" i="15"/>
  <c r="E1129" i="15"/>
  <c r="B1311" i="15"/>
  <c r="C1311" i="15"/>
  <c r="E1311" i="15"/>
  <c r="B1511" i="15"/>
  <c r="C1511" i="15"/>
  <c r="E1511" i="15"/>
  <c r="B1431" i="15"/>
  <c r="C1431" i="15"/>
  <c r="E1431" i="15"/>
  <c r="B1935" i="15"/>
  <c r="C1935" i="15"/>
  <c r="E1935" i="15"/>
  <c r="B1451" i="15"/>
  <c r="C1451" i="15"/>
  <c r="E1451" i="15"/>
  <c r="B1957" i="15"/>
  <c r="C1957" i="15"/>
  <c r="E1957" i="15"/>
  <c r="B1471" i="15"/>
  <c r="C1471" i="15"/>
  <c r="E1471" i="15"/>
  <c r="B1979" i="15"/>
  <c r="C1979" i="15"/>
  <c r="E1979" i="15"/>
  <c r="B1331" i="15"/>
  <c r="C1331" i="15"/>
  <c r="E1331" i="15"/>
  <c r="B2041" i="15"/>
  <c r="C2041" i="15"/>
  <c r="E2041" i="15"/>
  <c r="B1491" i="15"/>
  <c r="C1491" i="15"/>
  <c r="E1491" i="15"/>
  <c r="B1351" i="15"/>
  <c r="C1351" i="15"/>
  <c r="E1351" i="15"/>
  <c r="B1531" i="15"/>
  <c r="C1531" i="15"/>
  <c r="E1531" i="15"/>
  <c r="B1371" i="15"/>
  <c r="C1371" i="15"/>
  <c r="E1371" i="15"/>
  <c r="B1551" i="15"/>
  <c r="C1551" i="15"/>
  <c r="E1551" i="15"/>
  <c r="B2061" i="15"/>
  <c r="C2061" i="15"/>
  <c r="E2061" i="15"/>
  <c r="B1571" i="15"/>
  <c r="C1571" i="15"/>
  <c r="E1571" i="15"/>
  <c r="B1391" i="15"/>
  <c r="C1391" i="15"/>
  <c r="E1391" i="15"/>
  <c r="B1411" i="15"/>
  <c r="C1411" i="15"/>
  <c r="E1411" i="15"/>
  <c r="B1591" i="15"/>
  <c r="C1591" i="15"/>
  <c r="E1591" i="15"/>
  <c r="B2081" i="15"/>
  <c r="C2081" i="15"/>
  <c r="E2081" i="15"/>
  <c r="B1751" i="15"/>
  <c r="C1751" i="15"/>
  <c r="E1751" i="15"/>
  <c r="B1651" i="15"/>
  <c r="C1651" i="15"/>
  <c r="E1651" i="15"/>
  <c r="B2101" i="15"/>
  <c r="C2101" i="15"/>
  <c r="E2101" i="15"/>
  <c r="B2121" i="15"/>
  <c r="C2121" i="15"/>
  <c r="E2121" i="15"/>
  <c r="B1691" i="15"/>
  <c r="C1691" i="15"/>
  <c r="E1691" i="15"/>
  <c r="B1671" i="15"/>
  <c r="C1671" i="15"/>
  <c r="E1671" i="15"/>
  <c r="B1631" i="15"/>
  <c r="C1631" i="15"/>
  <c r="E1631" i="15"/>
  <c r="B1611" i="15"/>
  <c r="C1611" i="15"/>
  <c r="E1611" i="15"/>
  <c r="B1731" i="15"/>
  <c r="C1731" i="15"/>
  <c r="E1731" i="15"/>
  <c r="B1711" i="15"/>
  <c r="C1711" i="15"/>
  <c r="E1711" i="15"/>
  <c r="B1791" i="15"/>
  <c r="C1791" i="15"/>
  <c r="E1791" i="15"/>
  <c r="B1771" i="15"/>
  <c r="C1771" i="15"/>
  <c r="E1771" i="15"/>
  <c r="B1811" i="15"/>
  <c r="C1811" i="15"/>
  <c r="E1811" i="15"/>
  <c r="B1831" i="15"/>
  <c r="C1831" i="15"/>
  <c r="E1831" i="15"/>
  <c r="B1851" i="15"/>
  <c r="C1851" i="15"/>
  <c r="E1851" i="15"/>
  <c r="B1871" i="15"/>
  <c r="C1871" i="15"/>
  <c r="E1871" i="15"/>
  <c r="B1891" i="15"/>
  <c r="C1891" i="15"/>
  <c r="E1891" i="15"/>
  <c r="B1913" i="15"/>
  <c r="C1913" i="15"/>
  <c r="E1913" i="15"/>
  <c r="B4" i="16"/>
  <c r="C4" i="16"/>
  <c r="E4" i="16"/>
  <c r="B24" i="16"/>
  <c r="C24" i="16"/>
  <c r="E24" i="16"/>
  <c r="B44" i="16"/>
  <c r="C44" i="16"/>
  <c r="E44" i="16"/>
  <c r="B64" i="16"/>
  <c r="C64" i="16"/>
  <c r="E64" i="16"/>
  <c r="B84" i="16"/>
  <c r="C84" i="16"/>
  <c r="E84" i="16"/>
  <c r="B104" i="16"/>
  <c r="C104" i="16"/>
  <c r="E104" i="16"/>
  <c r="B124" i="16"/>
  <c r="C124" i="16"/>
  <c r="E124" i="16"/>
  <c r="B144" i="16"/>
  <c r="C144" i="16"/>
  <c r="E144" i="16"/>
  <c r="B164" i="16"/>
  <c r="C164" i="16"/>
  <c r="E164" i="16"/>
  <c r="B184" i="16"/>
  <c r="C184" i="16"/>
  <c r="E184" i="16"/>
  <c r="B204" i="16"/>
  <c r="C204" i="16"/>
  <c r="E204" i="16"/>
  <c r="B4" i="21"/>
  <c r="C4" i="21"/>
  <c r="E4" i="21"/>
  <c r="B24" i="21"/>
  <c r="C24" i="21"/>
  <c r="E24" i="21"/>
  <c r="B44" i="21"/>
  <c r="C44" i="21"/>
  <c r="E44" i="21"/>
  <c r="B64" i="21"/>
  <c r="C64" i="21"/>
  <c r="E64" i="21"/>
  <c r="B84" i="21"/>
  <c r="C84" i="21"/>
  <c r="E84" i="21"/>
  <c r="B104" i="21"/>
  <c r="C104" i="21"/>
  <c r="E104" i="21"/>
  <c r="B124" i="21"/>
  <c r="C124" i="21"/>
  <c r="E124" i="21"/>
  <c r="B144" i="21"/>
  <c r="C144" i="21"/>
  <c r="E144" i="21"/>
  <c r="B164" i="21"/>
  <c r="C164" i="21"/>
  <c r="E164" i="21"/>
  <c r="B184" i="21"/>
  <c r="C184" i="21"/>
  <c r="E184" i="21"/>
  <c r="B204" i="21"/>
  <c r="C204" i="21"/>
  <c r="E204" i="21"/>
  <c r="B224" i="21"/>
  <c r="C224" i="21"/>
  <c r="E224" i="21"/>
  <c r="B244" i="21"/>
  <c r="C244" i="21"/>
  <c r="E244" i="21"/>
  <c r="B264" i="21"/>
  <c r="C264" i="21"/>
  <c r="E264" i="21"/>
  <c r="B284" i="21"/>
  <c r="C284" i="21"/>
  <c r="E284" i="21"/>
  <c r="B304" i="21"/>
  <c r="C304" i="21"/>
  <c r="E304" i="21"/>
  <c r="B324" i="21"/>
  <c r="C324" i="21"/>
  <c r="E324" i="21"/>
  <c r="B344" i="21"/>
  <c r="C344" i="21"/>
  <c r="E344" i="21"/>
  <c r="B364" i="21"/>
  <c r="C364" i="21"/>
  <c r="E364" i="21"/>
  <c r="B384" i="21"/>
  <c r="C384" i="21"/>
  <c r="E384" i="21"/>
  <c r="B404" i="21"/>
  <c r="C404" i="21"/>
  <c r="E404" i="21"/>
  <c r="B424" i="21"/>
  <c r="C424" i="21"/>
  <c r="E424" i="21"/>
  <c r="B444" i="21"/>
  <c r="C444" i="21"/>
  <c r="E444" i="21"/>
  <c r="B464" i="21"/>
  <c r="C464" i="21"/>
  <c r="E464" i="21"/>
  <c r="B484" i="21"/>
  <c r="C484" i="21"/>
  <c r="E484" i="21"/>
  <c r="B504" i="21"/>
  <c r="C504" i="21"/>
  <c r="E504" i="21"/>
  <c r="B524" i="21"/>
  <c r="C524" i="21"/>
  <c r="E524" i="21"/>
  <c r="B544" i="21"/>
  <c r="C544" i="21"/>
  <c r="E544" i="21"/>
  <c r="B564" i="21"/>
  <c r="C564" i="21"/>
  <c r="E564" i="21"/>
  <c r="B584" i="21"/>
  <c r="C584" i="21"/>
  <c r="E584" i="21"/>
  <c r="B1201" i="24"/>
  <c r="C1201" i="24"/>
  <c r="E1201" i="24"/>
  <c r="B1221" i="24"/>
  <c r="C1221" i="24"/>
  <c r="E1221" i="24"/>
  <c r="B4" i="26"/>
  <c r="C4" i="26"/>
  <c r="E4" i="26"/>
  <c r="B38" i="26"/>
  <c r="C38" i="26"/>
  <c r="E38" i="26"/>
  <c r="B72" i="26"/>
  <c r="C72" i="26"/>
  <c r="E72" i="26"/>
  <c r="B106" i="26"/>
  <c r="C106" i="26"/>
  <c r="E106" i="26"/>
  <c r="B140" i="26"/>
  <c r="C140" i="26"/>
  <c r="E140" i="26"/>
  <c r="B175" i="26"/>
  <c r="C175" i="26"/>
  <c r="E175" i="26"/>
  <c r="B195" i="26"/>
  <c r="C195" i="26"/>
  <c r="E195" i="26"/>
  <c r="B215" i="26"/>
  <c r="C215" i="26"/>
  <c r="E215" i="26"/>
  <c r="B235" i="26"/>
  <c r="C235" i="26"/>
  <c r="E235" i="26"/>
  <c r="B256" i="26"/>
  <c r="C256" i="26"/>
  <c r="E256" i="26"/>
  <c r="B277" i="26"/>
  <c r="C277" i="26"/>
  <c r="E277" i="26"/>
  <c r="B298" i="26"/>
  <c r="C298" i="26"/>
  <c r="E298" i="26"/>
  <c r="B319" i="26"/>
  <c r="C319" i="26"/>
  <c r="E319" i="26"/>
  <c r="B340" i="26"/>
  <c r="C340" i="26"/>
  <c r="E340" i="26"/>
  <c r="B361" i="26"/>
  <c r="C361" i="26"/>
  <c r="E361" i="26"/>
  <c r="B381" i="26"/>
  <c r="C381" i="26"/>
  <c r="E381" i="26"/>
  <c r="B401" i="26"/>
  <c r="C401" i="26"/>
  <c r="E401" i="26"/>
  <c r="B422" i="26"/>
  <c r="C422" i="26"/>
  <c r="E422" i="26"/>
  <c r="B442" i="26"/>
  <c r="C442" i="26"/>
  <c r="E442" i="26"/>
  <c r="B462" i="26"/>
  <c r="C462" i="26"/>
  <c r="E462" i="26"/>
  <c r="B482" i="26"/>
  <c r="C482" i="26"/>
  <c r="E482" i="26"/>
  <c r="B502" i="26"/>
  <c r="C502" i="26"/>
  <c r="E502" i="26"/>
  <c r="B522" i="26"/>
  <c r="C522" i="26"/>
  <c r="E522" i="26"/>
  <c r="B542" i="26"/>
  <c r="C542" i="26"/>
  <c r="E542" i="26"/>
  <c r="B562" i="26"/>
  <c r="C562" i="26"/>
  <c r="E562" i="26"/>
  <c r="B582" i="26"/>
  <c r="C582" i="26"/>
  <c r="E582" i="26"/>
  <c r="B602" i="26"/>
  <c r="C602" i="26"/>
  <c r="E602" i="26"/>
  <c r="B622" i="26"/>
  <c r="C622" i="26"/>
  <c r="E622" i="26"/>
  <c r="B642" i="26"/>
  <c r="C642" i="26"/>
  <c r="E642" i="26"/>
  <c r="B662" i="26"/>
  <c r="C662" i="26"/>
  <c r="E662" i="26"/>
  <c r="B683" i="26"/>
  <c r="C683" i="26"/>
  <c r="E683" i="26"/>
  <c r="B703" i="26"/>
  <c r="C703" i="26"/>
  <c r="E703" i="26"/>
  <c r="B723" i="26"/>
  <c r="C723" i="26"/>
  <c r="E723" i="26"/>
  <c r="B743" i="26"/>
  <c r="C743" i="26"/>
  <c r="E743" i="26"/>
  <c r="B763" i="26"/>
  <c r="C763" i="26"/>
  <c r="E763" i="26"/>
  <c r="B783" i="26"/>
  <c r="C783" i="26"/>
  <c r="E783" i="26"/>
  <c r="B803" i="26"/>
  <c r="C803" i="26"/>
  <c r="E803" i="26"/>
  <c r="B823" i="26"/>
  <c r="C823" i="26"/>
  <c r="E823" i="26"/>
  <c r="B843" i="26"/>
  <c r="C843" i="26"/>
  <c r="E843" i="26"/>
  <c r="B863" i="26"/>
  <c r="C863" i="26"/>
  <c r="E863" i="26"/>
  <c r="B883" i="26"/>
  <c r="C883" i="26"/>
  <c r="E883" i="26"/>
  <c r="B903" i="26"/>
  <c r="C903" i="26"/>
  <c r="E903" i="26"/>
  <c r="B923" i="26"/>
  <c r="C923" i="26"/>
  <c r="E923" i="26"/>
  <c r="B943" i="26"/>
  <c r="C943" i="26"/>
  <c r="E943" i="26"/>
  <c r="B963" i="26"/>
  <c r="C963" i="26"/>
  <c r="E963" i="26"/>
  <c r="B983" i="26"/>
  <c r="C983" i="26"/>
  <c r="E983" i="26"/>
  <c r="B1003" i="26"/>
  <c r="C1003" i="26"/>
  <c r="E1003" i="26"/>
  <c r="B1023" i="26"/>
  <c r="C1023" i="26"/>
  <c r="E1023" i="26"/>
  <c r="B1043" i="26"/>
  <c r="C1043" i="26"/>
  <c r="E1043" i="26"/>
  <c r="B1063" i="26"/>
  <c r="C1063" i="26"/>
  <c r="E1063" i="26"/>
  <c r="B1083" i="26"/>
  <c r="C1083" i="26"/>
  <c r="E1083" i="26"/>
  <c r="B1103" i="26"/>
  <c r="C1103" i="26"/>
  <c r="E1103" i="26"/>
  <c r="B1123" i="26"/>
  <c r="C1123" i="26"/>
  <c r="E1123" i="26"/>
  <c r="B1143" i="26"/>
  <c r="C1143" i="26"/>
  <c r="E1143" i="26"/>
  <c r="B1163" i="26"/>
  <c r="C1163" i="26"/>
  <c r="E1163" i="26"/>
  <c r="B1183" i="26"/>
  <c r="C1183" i="26"/>
  <c r="E1183" i="26"/>
  <c r="B1203" i="26"/>
  <c r="C1203" i="26"/>
  <c r="E1203" i="26"/>
  <c r="B1223" i="26"/>
  <c r="C1223" i="26"/>
  <c r="E1223" i="26"/>
  <c r="B1243" i="26"/>
  <c r="C1243" i="26"/>
  <c r="E1243" i="26"/>
  <c r="B1263" i="26"/>
  <c r="C1263" i="26"/>
  <c r="E1263" i="26"/>
  <c r="B1283" i="26"/>
  <c r="C1283" i="26"/>
  <c r="E1283" i="26"/>
  <c r="B1303" i="26"/>
  <c r="C1303" i="26"/>
  <c r="E1303" i="26"/>
  <c r="B1325" i="26"/>
  <c r="C1325" i="26"/>
  <c r="E1325" i="26"/>
  <c r="B1347" i="26"/>
  <c r="C1347" i="26"/>
  <c r="E1347" i="26"/>
  <c r="B1369" i="26"/>
  <c r="C1369" i="26"/>
  <c r="E1369" i="26"/>
  <c r="B1391" i="26"/>
  <c r="C1391" i="26"/>
  <c r="E1391" i="26"/>
  <c r="B1413" i="26"/>
  <c r="C1413" i="26"/>
  <c r="E1413" i="26"/>
  <c r="B1433" i="26"/>
  <c r="C1433" i="26"/>
  <c r="E1433" i="26"/>
  <c r="B1456" i="26"/>
  <c r="C1456" i="26"/>
  <c r="E1456" i="26"/>
  <c r="B1476" i="26"/>
  <c r="C1476" i="26"/>
  <c r="E1476" i="26"/>
  <c r="B1496" i="26"/>
  <c r="C1496" i="26"/>
  <c r="E1496" i="26"/>
  <c r="B1516" i="26"/>
  <c r="C1516" i="26"/>
  <c r="E1516" i="26"/>
  <c r="B1536" i="26"/>
  <c r="C1536" i="26"/>
  <c r="E1536" i="26"/>
  <c r="B1556" i="26"/>
  <c r="C1556" i="26"/>
  <c r="E1556" i="26"/>
  <c r="B1577" i="26"/>
  <c r="C1577" i="26"/>
  <c r="E1577" i="26"/>
  <c r="B1597" i="26"/>
  <c r="C1597" i="26"/>
  <c r="E1597" i="26"/>
  <c r="B1617" i="26"/>
  <c r="C1617" i="26"/>
  <c r="E1617" i="26"/>
  <c r="B4" i="30"/>
  <c r="C4" i="30"/>
  <c r="E4" i="30"/>
  <c r="B24" i="30"/>
  <c r="C24" i="30"/>
  <c r="E24" i="30"/>
  <c r="B44" i="30"/>
  <c r="C44" i="30"/>
  <c r="E44" i="30"/>
  <c r="B64" i="30"/>
  <c r="C64" i="30"/>
  <c r="E64" i="30"/>
  <c r="B84" i="30"/>
  <c r="C84" i="30"/>
  <c r="E84" i="30"/>
  <c r="B104" i="30"/>
  <c r="C104" i="30"/>
  <c r="E104" i="30"/>
  <c r="B124" i="30"/>
  <c r="C124" i="30"/>
  <c r="E124" i="30"/>
  <c r="B144" i="30"/>
  <c r="C144" i="30"/>
  <c r="E144" i="30"/>
  <c r="B164" i="30"/>
  <c r="C164" i="30"/>
  <c r="E164" i="30"/>
  <c r="B184" i="30"/>
  <c r="C184" i="30"/>
  <c r="E184" i="30"/>
  <c r="B204" i="30"/>
  <c r="C204" i="30"/>
  <c r="E204" i="30"/>
  <c r="B224" i="30"/>
  <c r="C224" i="30"/>
  <c r="E224" i="30"/>
  <c r="B244" i="30"/>
  <c r="C244" i="30"/>
  <c r="E244" i="30"/>
  <c r="B264" i="30"/>
  <c r="C264" i="30"/>
  <c r="E264" i="30"/>
  <c r="B284" i="30"/>
  <c r="C284" i="30"/>
  <c r="E284" i="30"/>
  <c r="B304" i="30"/>
  <c r="C304" i="30"/>
  <c r="E304" i="30"/>
  <c r="B324" i="30"/>
  <c r="C324" i="30"/>
  <c r="E324" i="30"/>
  <c r="B344" i="30"/>
  <c r="C344" i="30"/>
  <c r="E344" i="30"/>
  <c r="B364" i="30"/>
  <c r="C364" i="30"/>
  <c r="E364" i="30"/>
  <c r="B384" i="30"/>
  <c r="C384" i="30"/>
  <c r="E384" i="30"/>
  <c r="B404" i="30"/>
  <c r="C404" i="30"/>
  <c r="E404" i="30"/>
  <c r="B424" i="30"/>
  <c r="C424" i="30"/>
  <c r="E424" i="30"/>
  <c r="B444" i="30"/>
  <c r="C444" i="30"/>
  <c r="E444" i="30"/>
  <c r="B464" i="30"/>
  <c r="C464" i="30"/>
  <c r="E464" i="30"/>
  <c r="B484" i="30"/>
  <c r="C484" i="30"/>
  <c r="E484" i="30"/>
  <c r="B504" i="30"/>
  <c r="C504" i="30"/>
  <c r="E504" i="30"/>
  <c r="B524" i="30"/>
  <c r="C524" i="30"/>
  <c r="E524" i="30"/>
  <c r="B544" i="30"/>
  <c r="C544" i="30"/>
  <c r="E544" i="30"/>
  <c r="B564" i="30"/>
  <c r="C564" i="30"/>
  <c r="E564" i="30"/>
  <c r="B584" i="30"/>
  <c r="C584" i="30"/>
  <c r="E584" i="30"/>
  <c r="B604" i="30"/>
  <c r="C604" i="30"/>
  <c r="E604" i="30"/>
  <c r="B624" i="30"/>
  <c r="C624" i="30"/>
  <c r="E624" i="30"/>
  <c r="B644" i="30"/>
  <c r="C644" i="30"/>
  <c r="E644" i="30"/>
  <c r="B664" i="30"/>
  <c r="C664" i="30"/>
  <c r="E664" i="30"/>
  <c r="B684" i="30"/>
  <c r="C684" i="30"/>
  <c r="E684" i="30"/>
  <c r="B704" i="30"/>
  <c r="C704" i="30"/>
  <c r="E704" i="30"/>
  <c r="B724" i="30"/>
  <c r="C724" i="30"/>
  <c r="E724" i="30"/>
  <c r="B744" i="30"/>
  <c r="C744" i="30"/>
  <c r="E744" i="30"/>
  <c r="B764" i="30"/>
  <c r="C764" i="30"/>
  <c r="E764" i="30"/>
  <c r="B784" i="30"/>
  <c r="C784" i="30"/>
  <c r="E784" i="30"/>
  <c r="B804" i="30"/>
  <c r="C804" i="30"/>
  <c r="E804" i="30"/>
  <c r="B824" i="30"/>
  <c r="C824" i="30"/>
  <c r="E824" i="30"/>
  <c r="B844" i="30"/>
  <c r="C844" i="30"/>
  <c r="E844" i="30"/>
  <c r="B864" i="30"/>
  <c r="C864" i="30"/>
  <c r="E864" i="30"/>
  <c r="B884" i="30"/>
  <c r="C884" i="30"/>
  <c r="E884" i="30"/>
  <c r="B904" i="30"/>
  <c r="C904" i="30"/>
  <c r="E904" i="30"/>
  <c r="B924" i="30"/>
  <c r="C924" i="30"/>
  <c r="E924" i="30"/>
  <c r="B944" i="30"/>
  <c r="C944" i="30"/>
  <c r="E944" i="30"/>
  <c r="B964" i="30"/>
  <c r="C964" i="30"/>
  <c r="E964" i="30"/>
  <c r="B984" i="30"/>
  <c r="C984" i="30"/>
  <c r="E984" i="30"/>
  <c r="B1004" i="30"/>
  <c r="C1004" i="30"/>
  <c r="E1004" i="30"/>
  <c r="B1024" i="30"/>
  <c r="C1024" i="30"/>
  <c r="E1024" i="30"/>
  <c r="B1044" i="30"/>
  <c r="C1044" i="30"/>
  <c r="E1044" i="30"/>
  <c r="B1064" i="30"/>
  <c r="C1064" i="30"/>
  <c r="E1064" i="30"/>
  <c r="B1084" i="30"/>
  <c r="C1084" i="30"/>
  <c r="E1084" i="30"/>
  <c r="B1104" i="30"/>
  <c r="C1104" i="30"/>
  <c r="E1104" i="30"/>
  <c r="B1124" i="30"/>
  <c r="C1124" i="30"/>
  <c r="E1124" i="30"/>
  <c r="B1144" i="30"/>
  <c r="C1144" i="30"/>
  <c r="E1144" i="30"/>
  <c r="B1164" i="30"/>
  <c r="C1164" i="30"/>
  <c r="E1164" i="30"/>
  <c r="B1184" i="30"/>
  <c r="C1184" i="30"/>
  <c r="E1184" i="30"/>
  <c r="B1204" i="30"/>
  <c r="C1204" i="30"/>
  <c r="E1204" i="30"/>
  <c r="B1224" i="30"/>
  <c r="C1224" i="30"/>
  <c r="E1224" i="30"/>
  <c r="B1244" i="30"/>
  <c r="C1244" i="30"/>
  <c r="E1244" i="30"/>
  <c r="B1264" i="30"/>
  <c r="C1264" i="30"/>
  <c r="E1264" i="30"/>
  <c r="B1284" i="30"/>
  <c r="C1284" i="30"/>
  <c r="E1284" i="30"/>
  <c r="B1304" i="30"/>
  <c r="C1304" i="30"/>
  <c r="E1304" i="30"/>
  <c r="B1324" i="30"/>
  <c r="C1324" i="30"/>
  <c r="E1324" i="30"/>
  <c r="B1344" i="30"/>
  <c r="C1344" i="30"/>
  <c r="E1344" i="30"/>
  <c r="B1364" i="30"/>
  <c r="C1364" i="30"/>
  <c r="E1364" i="30"/>
  <c r="B1404" i="30"/>
  <c r="C1404" i="30"/>
  <c r="E1404" i="30"/>
  <c r="B1424" i="30"/>
  <c r="C1424" i="30"/>
  <c r="E1424" i="30"/>
  <c r="B1444" i="30"/>
  <c r="C1444" i="30"/>
  <c r="E1444" i="30"/>
  <c r="B1464" i="30"/>
  <c r="C1464" i="30"/>
  <c r="E1464" i="30"/>
  <c r="B1484" i="30"/>
  <c r="C1484" i="30"/>
  <c r="E1484" i="30"/>
  <c r="B1504" i="30"/>
  <c r="C1504" i="30"/>
  <c r="E1504" i="30"/>
  <c r="B1524" i="30"/>
  <c r="C1524" i="30"/>
  <c r="E1524" i="30"/>
  <c r="B1544" i="30"/>
  <c r="C1544" i="30"/>
  <c r="E1544" i="30"/>
  <c r="B1564" i="30"/>
  <c r="C1564" i="30"/>
  <c r="E1564" i="30"/>
  <c r="B1584" i="30"/>
  <c r="C1584" i="30"/>
  <c r="E1584" i="30"/>
  <c r="B1604" i="30"/>
  <c r="C1604" i="30"/>
  <c r="E1604" i="30"/>
  <c r="B164" i="32"/>
  <c r="C164" i="32"/>
  <c r="E164" i="32"/>
  <c r="B1448" i="32"/>
  <c r="C1448" i="32"/>
  <c r="E1448" i="32"/>
  <c r="B408" i="32"/>
  <c r="C408" i="32"/>
  <c r="E408" i="32"/>
  <c r="B988" i="32"/>
  <c r="C988" i="32"/>
  <c r="E988" i="32"/>
  <c r="B1008" i="32"/>
  <c r="C1008" i="32"/>
  <c r="E1008" i="32"/>
  <c r="B1028" i="32"/>
  <c r="C1028" i="32"/>
  <c r="E1028" i="32"/>
  <c r="B1288" i="32"/>
  <c r="C1288" i="32"/>
  <c r="E1288" i="32"/>
  <c r="B1308" i="32"/>
  <c r="C1308" i="32"/>
  <c r="E1308" i="32"/>
  <c r="B668" i="32"/>
  <c r="C668" i="32"/>
  <c r="E668" i="32"/>
  <c r="B688" i="32"/>
  <c r="C688" i="32"/>
  <c r="E688" i="32"/>
  <c r="B708" i="32"/>
  <c r="C708" i="32"/>
  <c r="E708" i="32"/>
  <c r="B728" i="32"/>
  <c r="C728" i="32"/>
  <c r="E728" i="32"/>
  <c r="B1128" i="32"/>
  <c r="C1128" i="32"/>
  <c r="E1128" i="32"/>
  <c r="B588" i="32"/>
  <c r="C588" i="32"/>
  <c r="E588" i="32"/>
  <c r="B608" i="32"/>
  <c r="C608" i="32"/>
  <c r="E608" i="32"/>
  <c r="B628" i="32"/>
  <c r="C628" i="32"/>
  <c r="E628" i="32"/>
  <c r="B648" i="32"/>
  <c r="C648" i="32"/>
  <c r="E648" i="32"/>
  <c r="B548" i="32"/>
  <c r="C548" i="32"/>
  <c r="E548" i="32"/>
  <c r="B568" i="32"/>
  <c r="C568" i="32"/>
  <c r="E568" i="32"/>
  <c r="B488" i="32"/>
  <c r="C488" i="32"/>
  <c r="E488" i="32"/>
  <c r="B508" i="32"/>
  <c r="C508" i="32"/>
  <c r="E508" i="32"/>
  <c r="B528" i="32"/>
  <c r="C528" i="32"/>
  <c r="E528" i="32"/>
  <c r="B428" i="32"/>
  <c r="C428" i="32"/>
  <c r="E428" i="32"/>
  <c r="B1048" i="32"/>
  <c r="C1048" i="32"/>
  <c r="E1048" i="32"/>
  <c r="B1068" i="32"/>
  <c r="C1068" i="32"/>
  <c r="E1068" i="32"/>
  <c r="B1088" i="32"/>
  <c r="C1088" i="32"/>
  <c r="E1088" i="32"/>
  <c r="B748" i="32"/>
  <c r="C748" i="32"/>
  <c r="E748" i="32"/>
  <c r="B768" i="32"/>
  <c r="C768" i="32"/>
  <c r="E768" i="32"/>
  <c r="B788" i="32"/>
  <c r="C788" i="32"/>
  <c r="E788" i="32"/>
  <c r="B808" i="32"/>
  <c r="C808" i="32"/>
  <c r="E808" i="32"/>
  <c r="B448" i="32"/>
  <c r="C448" i="32"/>
  <c r="E448" i="32"/>
  <c r="B468" i="32"/>
  <c r="C468" i="32"/>
  <c r="E468" i="32"/>
  <c r="B1248" i="32"/>
  <c r="C1248" i="32"/>
  <c r="E1248" i="32"/>
  <c r="B1268" i="32"/>
  <c r="C1268" i="32"/>
  <c r="E1268" i="32"/>
  <c r="B368" i="32"/>
  <c r="C368" i="32"/>
  <c r="E368" i="32"/>
  <c r="B388" i="32"/>
  <c r="C388" i="32"/>
  <c r="E388" i="32"/>
  <c r="B1148" i="32"/>
  <c r="C1148" i="32"/>
  <c r="E1148" i="32"/>
  <c r="B1168" i="32"/>
  <c r="C1168" i="32"/>
  <c r="E1168" i="32"/>
  <c r="B1188" i="32"/>
  <c r="C1188" i="32"/>
  <c r="E1188" i="32"/>
  <c r="B1208" i="32"/>
  <c r="C1208" i="32"/>
  <c r="E1208" i="32"/>
  <c r="B1228" i="32"/>
  <c r="C1228" i="32"/>
  <c r="E1228" i="32"/>
  <c r="B888" i="32"/>
  <c r="C888" i="32"/>
  <c r="E888" i="32"/>
  <c r="B908" i="32"/>
  <c r="C908" i="32"/>
  <c r="E908" i="32"/>
  <c r="B928" i="32"/>
  <c r="C928" i="32"/>
  <c r="E928" i="32"/>
  <c r="B948" i="32"/>
  <c r="C948" i="32"/>
  <c r="E948" i="32"/>
  <c r="B968" i="32"/>
  <c r="C968" i="32"/>
  <c r="E968" i="32"/>
  <c r="B828" i="32"/>
  <c r="C828" i="32"/>
  <c r="E828" i="32"/>
  <c r="B848" i="32"/>
  <c r="C848" i="32"/>
  <c r="E848" i="32"/>
  <c r="B868" i="32"/>
  <c r="C868" i="32"/>
  <c r="E868" i="32"/>
  <c r="B268" i="32"/>
  <c r="C268" i="32"/>
  <c r="E268" i="32"/>
  <c r="B288" i="32"/>
  <c r="C288" i="32"/>
  <c r="E288" i="32"/>
  <c r="B308" i="32"/>
  <c r="C308" i="32"/>
  <c r="E308" i="32"/>
  <c r="B328" i="32"/>
  <c r="C328" i="32"/>
  <c r="E328" i="32"/>
  <c r="B348" i="32"/>
  <c r="C348" i="32"/>
  <c r="E348" i="32"/>
  <c r="B1428" i="32"/>
  <c r="C1428" i="32"/>
  <c r="E1428" i="32"/>
  <c r="B1408" i="32"/>
  <c r="C1408" i="32"/>
  <c r="E1408" i="32"/>
  <c r="B1348" i="32"/>
  <c r="C1348" i="32"/>
  <c r="E1348" i="32"/>
  <c r="B1368" i="32"/>
  <c r="C1368" i="32"/>
  <c r="E1368" i="32"/>
  <c r="B1388" i="32"/>
  <c r="C1388" i="32"/>
  <c r="E1388" i="32"/>
  <c r="B207" i="32"/>
  <c r="C207" i="32"/>
  <c r="E207" i="32"/>
  <c r="B186" i="32"/>
  <c r="C186" i="32"/>
  <c r="E186" i="32"/>
  <c r="B228" i="32"/>
  <c r="C228" i="32"/>
  <c r="E228" i="32"/>
  <c r="B248" i="32"/>
  <c r="C248" i="32"/>
  <c r="E248" i="32"/>
  <c r="B1108" i="32"/>
  <c r="C1108" i="32"/>
  <c r="E1108" i="32"/>
  <c r="B1328" i="32"/>
  <c r="C1328" i="32"/>
  <c r="E1328" i="32"/>
  <c r="B1468" i="32"/>
  <c r="C1468" i="32"/>
  <c r="E1468" i="32"/>
  <c r="B1488" i="32"/>
  <c r="C1488" i="32"/>
  <c r="E1488" i="32"/>
  <c r="B1508" i="32"/>
  <c r="C1508" i="32"/>
  <c r="E1508" i="32"/>
  <c r="B124" i="32"/>
  <c r="C124" i="32"/>
  <c r="E124" i="32"/>
  <c r="B144" i="32"/>
  <c r="C144" i="32"/>
  <c r="E144" i="32"/>
  <c r="B1528" i="32"/>
  <c r="C1528" i="32"/>
  <c r="E1528" i="32"/>
  <c r="B1548" i="32"/>
  <c r="C1548" i="32"/>
  <c r="E1548" i="32"/>
  <c r="B1568" i="32"/>
  <c r="C1568" i="32"/>
  <c r="E1568" i="32"/>
  <c r="B4" i="33"/>
  <c r="C4" i="33"/>
  <c r="E4" i="33"/>
  <c r="B24" i="33"/>
  <c r="C24" i="33"/>
  <c r="E24" i="33"/>
  <c r="B44" i="33"/>
  <c r="C44" i="33"/>
  <c r="E44" i="33"/>
  <c r="B64" i="33"/>
  <c r="C64" i="33"/>
  <c r="E64" i="33"/>
  <c r="B84" i="33"/>
  <c r="C84" i="33"/>
  <c r="E84" i="33"/>
  <c r="B104" i="33"/>
  <c r="C104" i="33"/>
  <c r="E104" i="33"/>
  <c r="B124" i="33"/>
  <c r="C124" i="33"/>
  <c r="E124" i="33"/>
  <c r="B144" i="33"/>
  <c r="C144" i="33"/>
  <c r="E144" i="33"/>
  <c r="B164" i="33"/>
  <c r="C164" i="33"/>
  <c r="E164" i="33"/>
  <c r="B184" i="33"/>
  <c r="C184" i="33"/>
  <c r="E184" i="33"/>
  <c r="B204" i="33"/>
  <c r="C204" i="33"/>
  <c r="E204" i="33"/>
  <c r="B4" i="36"/>
  <c r="C4" i="36"/>
  <c r="E4" i="36"/>
  <c r="B2" i="36"/>
  <c r="B1" i="36"/>
  <c r="B2" i="33"/>
  <c r="B1" i="33"/>
  <c r="B2" i="32"/>
  <c r="B1" i="32"/>
  <c r="B2" i="30"/>
  <c r="B1" i="30"/>
  <c r="F252" i="26"/>
  <c r="B2" i="26"/>
  <c r="B1" i="26"/>
  <c r="B2" i="24"/>
  <c r="B1" i="24"/>
  <c r="B2" i="21"/>
  <c r="B1" i="21"/>
  <c r="B2" i="16"/>
  <c r="B1" i="16"/>
  <c r="B2" i="15"/>
  <c r="B1" i="15"/>
  <c r="B2" i="13"/>
  <c r="B1" i="13"/>
  <c r="B2" i="11"/>
  <c r="B1" i="11"/>
  <c r="F862" i="8"/>
  <c r="F762" i="8"/>
  <c r="F739" i="8"/>
  <c r="F438" i="8"/>
  <c r="F437" i="8"/>
  <c r="F417" i="8"/>
  <c r="F318" i="8"/>
  <c r="F237" i="8"/>
  <c r="B2" i="8"/>
  <c r="B1" i="8"/>
  <c r="D34" i="7"/>
  <c r="E34" i="7" s="1"/>
  <c r="D33" i="7"/>
  <c r="E33" i="7" s="1"/>
  <c r="D32" i="7"/>
  <c r="E32" i="7" s="1"/>
  <c r="E31" i="7"/>
  <c r="D30" i="7"/>
  <c r="E30" i="7" s="1"/>
  <c r="D29" i="7"/>
  <c r="E29" i="7" s="1"/>
  <c r="D23" i="7"/>
  <c r="E23" i="7" s="1"/>
  <c r="D22" i="7"/>
  <c r="E22" i="7" s="1"/>
  <c r="D21" i="7"/>
  <c r="E21" i="7" s="1"/>
  <c r="D15" i="7"/>
  <c r="E15" i="7" s="1"/>
  <c r="D14" i="7"/>
  <c r="E14" i="7" s="1"/>
  <c r="D13" i="7"/>
  <c r="E13" i="7" s="1"/>
  <c r="E12" i="7"/>
  <c r="E11" i="7"/>
  <c r="C222" i="6"/>
  <c r="A222" i="6"/>
  <c r="C221" i="6"/>
  <c r="A221" i="6"/>
  <c r="C220" i="6"/>
  <c r="A220" i="6"/>
  <c r="C218" i="6"/>
  <c r="A218" i="6"/>
  <c r="C217" i="6"/>
  <c r="A217" i="6"/>
  <c r="A215" i="6"/>
  <c r="A214" i="6"/>
  <c r="A213" i="6"/>
  <c r="C211" i="6"/>
  <c r="A211" i="6"/>
  <c r="C210" i="6"/>
  <c r="A210" i="6"/>
  <c r="C209" i="6"/>
  <c r="A209" i="6"/>
  <c r="C208" i="6"/>
  <c r="A208" i="6"/>
  <c r="C207" i="6"/>
  <c r="A207" i="6"/>
  <c r="C202" i="6"/>
  <c r="A202" i="6"/>
  <c r="C201" i="6"/>
  <c r="A201" i="6"/>
  <c r="C200" i="6"/>
  <c r="A200" i="6"/>
  <c r="C198" i="6"/>
  <c r="A198" i="6"/>
  <c r="C197" i="6"/>
  <c r="A197" i="6"/>
  <c r="A195" i="6"/>
  <c r="A194" i="6"/>
  <c r="A193" i="6"/>
  <c r="C191" i="6"/>
  <c r="A191" i="6"/>
  <c r="C190" i="6"/>
  <c r="A190" i="6"/>
  <c r="C189" i="6"/>
  <c r="A189" i="6"/>
  <c r="C188" i="6"/>
  <c r="A188" i="6"/>
  <c r="C187" i="6"/>
  <c r="A187" i="6"/>
  <c r="C182" i="6"/>
  <c r="A182" i="6"/>
  <c r="C181" i="6"/>
  <c r="A181" i="6"/>
  <c r="C180" i="6"/>
  <c r="A180" i="6"/>
  <c r="C178" i="6"/>
  <c r="A178" i="6"/>
  <c r="C177" i="6"/>
  <c r="A177" i="6"/>
  <c r="A175" i="6"/>
  <c r="A174" i="6"/>
  <c r="A173" i="6"/>
  <c r="C171" i="6"/>
  <c r="A171" i="6"/>
  <c r="C170" i="6"/>
  <c r="A170" i="6"/>
  <c r="C169" i="6"/>
  <c r="A169" i="6"/>
  <c r="C168" i="6"/>
  <c r="A168" i="6"/>
  <c r="C167" i="6"/>
  <c r="A167" i="6"/>
  <c r="C162" i="6"/>
  <c r="A162" i="6"/>
  <c r="C161" i="6"/>
  <c r="A161" i="6"/>
  <c r="C160" i="6"/>
  <c r="A160" i="6"/>
  <c r="C158" i="6"/>
  <c r="A158" i="6"/>
  <c r="C157" i="6"/>
  <c r="A157" i="6"/>
  <c r="A155" i="6"/>
  <c r="A154" i="6"/>
  <c r="A153" i="6"/>
  <c r="C151" i="6"/>
  <c r="A151" i="6"/>
  <c r="C150" i="6"/>
  <c r="A150" i="6"/>
  <c r="C149" i="6"/>
  <c r="A149" i="6"/>
  <c r="C148" i="6"/>
  <c r="A148" i="6"/>
  <c r="C147" i="6"/>
  <c r="A147" i="6"/>
  <c r="C142" i="6"/>
  <c r="A142" i="6"/>
  <c r="C141" i="6"/>
  <c r="A141" i="6"/>
  <c r="C140" i="6"/>
  <c r="A140" i="6"/>
  <c r="C138" i="6"/>
  <c r="A138" i="6"/>
  <c r="C137" i="6"/>
  <c r="A137" i="6"/>
  <c r="A135" i="6"/>
  <c r="A134" i="6"/>
  <c r="A133" i="6"/>
  <c r="C131" i="6"/>
  <c r="A131" i="6"/>
  <c r="C130" i="6"/>
  <c r="A130" i="6"/>
  <c r="C129" i="6"/>
  <c r="A129" i="6"/>
  <c r="C128" i="6"/>
  <c r="A128" i="6"/>
  <c r="C127" i="6"/>
  <c r="A127" i="6"/>
  <c r="C122" i="6"/>
  <c r="A122" i="6"/>
  <c r="C121" i="6"/>
  <c r="A121" i="6"/>
  <c r="C120" i="6"/>
  <c r="A120" i="6"/>
  <c r="C118" i="6"/>
  <c r="A118" i="6"/>
  <c r="C117" i="6"/>
  <c r="A117" i="6"/>
  <c r="A115" i="6"/>
  <c r="A114" i="6"/>
  <c r="A113" i="6"/>
  <c r="C111" i="6"/>
  <c r="A111" i="6"/>
  <c r="C110" i="6"/>
  <c r="A110" i="6"/>
  <c r="C109" i="6"/>
  <c r="A109" i="6"/>
  <c r="C108" i="6"/>
  <c r="A108" i="6"/>
  <c r="C107" i="6"/>
  <c r="A107" i="6"/>
  <c r="C102" i="6"/>
  <c r="A102" i="6"/>
  <c r="C101" i="6"/>
  <c r="A101" i="6"/>
  <c r="C100" i="6"/>
  <c r="A100" i="6"/>
  <c r="C98" i="6"/>
  <c r="A98" i="6"/>
  <c r="C97" i="6"/>
  <c r="A97" i="6"/>
  <c r="A95" i="6"/>
  <c r="A94" i="6"/>
  <c r="A93" i="6"/>
  <c r="C91" i="6"/>
  <c r="A91" i="6"/>
  <c r="C90" i="6"/>
  <c r="A90" i="6"/>
  <c r="C89" i="6"/>
  <c r="A89" i="6"/>
  <c r="C88" i="6"/>
  <c r="A88" i="6"/>
  <c r="C87" i="6"/>
  <c r="A87" i="6"/>
  <c r="C82" i="6"/>
  <c r="A82" i="6"/>
  <c r="C81" i="6"/>
  <c r="A81" i="6"/>
  <c r="C80" i="6"/>
  <c r="A80" i="6"/>
  <c r="C78" i="6"/>
  <c r="A78" i="6"/>
  <c r="C77" i="6"/>
  <c r="A77" i="6"/>
  <c r="A75" i="6"/>
  <c r="A74" i="6"/>
  <c r="A73" i="6"/>
  <c r="C71" i="6"/>
  <c r="A71" i="6"/>
  <c r="C70" i="6"/>
  <c r="A70" i="6"/>
  <c r="C69" i="6"/>
  <c r="A69" i="6"/>
  <c r="C68" i="6"/>
  <c r="A68" i="6"/>
  <c r="C67" i="6"/>
  <c r="A67" i="6"/>
  <c r="C62" i="6"/>
  <c r="A62" i="6"/>
  <c r="C61" i="6"/>
  <c r="A61" i="6"/>
  <c r="C60" i="6"/>
  <c r="A60" i="6"/>
  <c r="C58" i="6"/>
  <c r="A58" i="6"/>
  <c r="C57" i="6"/>
  <c r="A57" i="6"/>
  <c r="A55" i="6"/>
  <c r="A54" i="6"/>
  <c r="A53" i="6"/>
  <c r="C51" i="6"/>
  <c r="A51" i="6"/>
  <c r="C50" i="6"/>
  <c r="A50" i="6"/>
  <c r="C49" i="6"/>
  <c r="A49" i="6"/>
  <c r="C48" i="6"/>
  <c r="A48" i="6"/>
  <c r="C47" i="6"/>
  <c r="A47" i="6"/>
  <c r="C42" i="6"/>
  <c r="A42" i="6"/>
  <c r="C41" i="6"/>
  <c r="A41" i="6"/>
  <c r="C40" i="6"/>
  <c r="A40" i="6"/>
  <c r="C38" i="6"/>
  <c r="A38" i="6"/>
  <c r="C37" i="6"/>
  <c r="A37" i="6"/>
  <c r="A35" i="6"/>
  <c r="A34" i="6"/>
  <c r="A33" i="6"/>
  <c r="C31" i="6"/>
  <c r="A31" i="6"/>
  <c r="C30" i="6"/>
  <c r="A30" i="6"/>
  <c r="C29" i="6"/>
  <c r="A29" i="6"/>
  <c r="C28" i="6"/>
  <c r="A28" i="6"/>
  <c r="C27" i="6"/>
  <c r="A27" i="6"/>
  <c r="C22" i="6"/>
  <c r="C21" i="6"/>
  <c r="C20" i="6"/>
  <c r="C18" i="6"/>
  <c r="C17" i="6"/>
  <c r="C11" i="6"/>
  <c r="C10" i="6"/>
  <c r="C9" i="6"/>
  <c r="C8" i="6"/>
  <c r="C7" i="6"/>
  <c r="B2" i="6"/>
  <c r="B1" i="6"/>
  <c r="D29" i="5"/>
  <c r="D17" i="7" s="1"/>
  <c r="C16" i="5"/>
  <c r="C29" i="5" s="1"/>
  <c r="B2" i="5"/>
  <c r="B1" i="5"/>
  <c r="A2" i="4"/>
  <c r="A1" i="4"/>
  <c r="A2" i="3"/>
  <c r="A1" i="3"/>
  <c r="A2" i="2"/>
  <c r="A1" i="2"/>
  <c r="D1280" i="1"/>
  <c r="E100" i="1"/>
  <c r="E40" i="36"/>
  <c r="G40" i="36" s="1"/>
  <c r="E30" i="11"/>
  <c r="E324" i="8"/>
  <c r="G324" i="8" s="1"/>
  <c r="E71" i="13"/>
  <c r="G71" i="13" s="1"/>
  <c r="E1436" i="26"/>
  <c r="G1436" i="26" s="1"/>
  <c r="E121" i="8"/>
  <c r="G121" i="8" s="1"/>
  <c r="E1479" i="26"/>
  <c r="G1479" i="26" s="1"/>
  <c r="E364" i="26"/>
  <c r="G364" i="26" s="1"/>
  <c r="E890" i="26"/>
  <c r="G890" i="26" s="1"/>
  <c r="E1564" i="26"/>
  <c r="G1564" i="26" s="1"/>
  <c r="E1332" i="26"/>
  <c r="G1332" i="26" s="1"/>
  <c r="E113" i="13"/>
  <c r="G113" i="13" s="1"/>
  <c r="E110" i="11"/>
  <c r="G110" i="11" s="1"/>
  <c r="E70" i="11"/>
  <c r="E625" i="8"/>
  <c r="G625" i="8" s="1"/>
  <c r="E605" i="8"/>
  <c r="G605" i="8" s="1"/>
  <c r="E585" i="8"/>
  <c r="G585" i="8" s="1"/>
  <c r="E247" i="8"/>
  <c r="G247" i="8" s="1"/>
  <c r="E120" i="8"/>
  <c r="G120" i="8" s="1"/>
  <c r="E50" i="8"/>
  <c r="E1563" i="26"/>
  <c r="G1563" i="26" s="1"/>
  <c r="E569" i="26"/>
  <c r="G569" i="26" s="1"/>
  <c r="E134" i="13"/>
  <c r="G134" i="13" s="1"/>
  <c r="E10" i="11"/>
  <c r="E266" i="8"/>
  <c r="G266" i="8" s="1"/>
  <c r="E227" i="8"/>
  <c r="G227" i="8" s="1"/>
  <c r="E568" i="26"/>
  <c r="G568" i="26" s="1"/>
  <c r="E92" i="13"/>
  <c r="G92" i="13" s="1"/>
  <c r="E707" i="8"/>
  <c r="G707" i="8" s="1"/>
  <c r="E206" i="8"/>
  <c r="G206" i="8" s="1"/>
  <c r="E1310" i="26"/>
  <c r="G1310" i="26" s="1"/>
  <c r="E190" i="6"/>
  <c r="G190" i="6" s="1"/>
  <c r="E210" i="6"/>
  <c r="G210" i="6" s="1"/>
  <c r="E91" i="8"/>
  <c r="E549" i="26"/>
  <c r="G549" i="26" s="1"/>
  <c r="E150" i="11"/>
  <c r="G150" i="11" s="1"/>
  <c r="E90" i="11"/>
  <c r="G90" i="11" s="1"/>
  <c r="E50" i="11"/>
  <c r="G50" i="11" s="1"/>
  <c r="E1394" i="26"/>
  <c r="G1394" i="26" s="1"/>
  <c r="E910" i="26"/>
  <c r="G910" i="26" s="1"/>
  <c r="E548" i="26"/>
  <c r="G548" i="26" s="1"/>
  <c r="E90" i="8"/>
  <c r="G90" i="8" s="1"/>
  <c r="E1540" i="26"/>
  <c r="G1540" i="26" s="1"/>
  <c r="E388" i="26"/>
  <c r="E130" i="11"/>
  <c r="G130" i="11" s="1"/>
  <c r="E186" i="8"/>
  <c r="G186" i="8" s="1"/>
  <c r="G1080" i="32" l="1"/>
  <c r="G1400" i="32"/>
  <c r="H1441" i="15"/>
  <c r="E16" i="7"/>
  <c r="E17" i="7" s="1"/>
  <c r="E18" i="7" s="1"/>
  <c r="E35" i="7"/>
  <c r="H742" i="30"/>
  <c r="H659" i="8"/>
  <c r="H824" i="8"/>
  <c r="G39" i="36"/>
  <c r="D37" i="5"/>
  <c r="E318" i="8" s="1"/>
  <c r="G318" i="8" s="1"/>
  <c r="D25" i="7"/>
  <c r="D40" i="5"/>
  <c r="D35" i="5"/>
  <c r="D41" i="5"/>
  <c r="D33" i="5"/>
  <c r="D39" i="5"/>
  <c r="D34" i="5"/>
  <c r="D36" i="5"/>
  <c r="E317" i="8" s="1"/>
  <c r="G317" i="8" s="1"/>
  <c r="D38" i="5"/>
  <c r="D42" i="5"/>
  <c r="H1162" i="30"/>
  <c r="H492" i="13"/>
  <c r="H165" i="13"/>
  <c r="H1201" i="30"/>
  <c r="H385" i="13"/>
  <c r="H1000" i="26"/>
  <c r="H225" i="13"/>
  <c r="H921" i="30"/>
  <c r="G316" i="30"/>
  <c r="H316" i="30" s="1"/>
  <c r="G376" i="30"/>
  <c r="H376" i="30" s="1"/>
  <c r="G156" i="30"/>
  <c r="H156" i="30" s="1"/>
  <c r="G856" i="30"/>
  <c r="H856" i="30" s="1"/>
  <c r="G756" i="30"/>
  <c r="H756" i="30" s="1"/>
  <c r="G696" i="30"/>
  <c r="H696" i="30" s="1"/>
  <c r="G336" i="30"/>
  <c r="H336" i="30" s="1"/>
  <c r="G936" i="30"/>
  <c r="H936" i="30" s="1"/>
  <c r="G656" i="30"/>
  <c r="H656" i="30" s="1"/>
  <c r="G616" i="30"/>
  <c r="H616" i="30" s="1"/>
  <c r="G1508" i="26"/>
  <c r="G456" i="30"/>
  <c r="H456" i="30" s="1"/>
  <c r="G416" i="30"/>
  <c r="H416" i="30" s="1"/>
  <c r="G296" i="30"/>
  <c r="H296" i="30" s="1"/>
  <c r="H1318" i="26"/>
  <c r="G1156" i="30"/>
  <c r="H1156" i="30" s="1"/>
  <c r="G476" i="30"/>
  <c r="H476" i="30" s="1"/>
  <c r="G1176" i="30"/>
  <c r="H1176" i="30" s="1"/>
  <c r="G735" i="26"/>
  <c r="H735" i="26" s="1"/>
  <c r="G536" i="30"/>
  <c r="H536" i="30" s="1"/>
  <c r="G1376" i="30"/>
  <c r="H1376" i="30" s="1"/>
  <c r="G1356" i="30"/>
  <c r="H1356" i="30" s="1"/>
  <c r="G996" i="30"/>
  <c r="H996" i="30" s="1"/>
  <c r="G956" i="30"/>
  <c r="H956" i="30" s="1"/>
  <c r="G816" i="30"/>
  <c r="G556" i="30"/>
  <c r="H556" i="30" s="1"/>
  <c r="G496" i="30"/>
  <c r="G436" i="30"/>
  <c r="H436" i="30" s="1"/>
  <c r="G649" i="13"/>
  <c r="G311" i="26"/>
  <c r="G1275" i="26"/>
  <c r="H1275" i="26" s="1"/>
  <c r="G1629" i="26"/>
  <c r="H1629" i="26" s="1"/>
  <c r="G1448" i="26"/>
  <c r="H1448" i="26" s="1"/>
  <c r="G56" i="21"/>
  <c r="H56" i="21" s="1"/>
  <c r="G836" i="30"/>
  <c r="G736" i="30"/>
  <c r="H736" i="30" s="1"/>
  <c r="G636" i="30"/>
  <c r="H636" i="30" s="1"/>
  <c r="G396" i="30"/>
  <c r="G1015" i="26"/>
  <c r="H1015" i="26" s="1"/>
  <c r="G795" i="26"/>
  <c r="H795" i="26" s="1"/>
  <c r="G715" i="26"/>
  <c r="H715" i="26" s="1"/>
  <c r="H575" i="26"/>
  <c r="G1596" i="30"/>
  <c r="H1596" i="30" s="1"/>
  <c r="G1609" i="26"/>
  <c r="H1609" i="26" s="1"/>
  <c r="G1155" i="26"/>
  <c r="H1155" i="26" s="1"/>
  <c r="G280" i="13"/>
  <c r="H650" i="13"/>
  <c r="G77" i="13"/>
  <c r="H77" i="13" s="1"/>
  <c r="G596" i="30"/>
  <c r="H596" i="30" s="1"/>
  <c r="G236" i="30"/>
  <c r="H236" i="30" s="1"/>
  <c r="G136" i="30"/>
  <c r="H136" i="30" s="1"/>
  <c r="G196" i="11"/>
  <c r="H98" i="11"/>
  <c r="G976" i="30"/>
  <c r="H976" i="30" s="1"/>
  <c r="G516" i="30"/>
  <c r="H516" i="30" s="1"/>
  <c r="G356" i="30"/>
  <c r="H356" i="30" s="1"/>
  <c r="G56" i="11"/>
  <c r="G453" i="8"/>
  <c r="H453" i="8" s="1"/>
  <c r="G896" i="30"/>
  <c r="H896" i="30" s="1"/>
  <c r="G776" i="30"/>
  <c r="H776" i="30" s="1"/>
  <c r="G716" i="30"/>
  <c r="H716" i="30" s="1"/>
  <c r="G248" i="26"/>
  <c r="G207" i="26"/>
  <c r="H207" i="26" s="1"/>
  <c r="G64" i="26"/>
  <c r="H64" i="26" s="1"/>
  <c r="G156" i="11"/>
  <c r="H156" i="11" s="1"/>
  <c r="G76" i="30"/>
  <c r="H76" i="30" s="1"/>
  <c r="G755" i="26"/>
  <c r="G534" i="26"/>
  <c r="H534" i="26" s="1"/>
  <c r="G509" i="13"/>
  <c r="H509" i="13" s="1"/>
  <c r="G176" i="11"/>
  <c r="H176" i="11" s="1"/>
  <c r="G116" i="11"/>
  <c r="H116" i="11" s="1"/>
  <c r="G1456" i="30"/>
  <c r="H1456" i="30" s="1"/>
  <c r="G1416" i="30"/>
  <c r="G1096" i="30"/>
  <c r="H1096" i="30" s="1"/>
  <c r="G1056" i="30"/>
  <c r="H1056" i="30" s="1"/>
  <c r="G1016" i="30"/>
  <c r="H1016" i="30" s="1"/>
  <c r="G796" i="30"/>
  <c r="H796" i="30" s="1"/>
  <c r="G256" i="30"/>
  <c r="H256" i="30" s="1"/>
  <c r="G772" i="13"/>
  <c r="H772" i="13" s="1"/>
  <c r="G878" i="8"/>
  <c r="H878" i="8" s="1"/>
  <c r="G36" i="36"/>
  <c r="G16" i="36"/>
  <c r="G196" i="33"/>
  <c r="H196" i="33" s="1"/>
  <c r="G676" i="30"/>
  <c r="H676" i="30" s="1"/>
  <c r="G36" i="30"/>
  <c r="H36" i="30" s="1"/>
  <c r="G1175" i="26"/>
  <c r="H1175" i="26" s="1"/>
  <c r="G132" i="26"/>
  <c r="H132" i="26" s="1"/>
  <c r="G356" i="21"/>
  <c r="G858" i="8"/>
  <c r="G1436" i="30"/>
  <c r="H1436" i="30" s="1"/>
  <c r="G1196" i="30"/>
  <c r="H1196" i="30" s="1"/>
  <c r="G1136" i="30"/>
  <c r="H1136" i="30" s="1"/>
  <c r="G916" i="30"/>
  <c r="H916" i="30" s="1"/>
  <c r="G494" i="26"/>
  <c r="H494" i="26" s="1"/>
  <c r="G992" i="13"/>
  <c r="H992" i="13" s="1"/>
  <c r="G692" i="13"/>
  <c r="H692" i="13" s="1"/>
  <c r="G256" i="11"/>
  <c r="G1296" i="30"/>
  <c r="H1296" i="30" s="1"/>
  <c r="G1195" i="26"/>
  <c r="H1195" i="26" s="1"/>
  <c r="G393" i="26"/>
  <c r="H393" i="26" s="1"/>
  <c r="G1012" i="13"/>
  <c r="H1012" i="13" s="1"/>
  <c r="G486" i="13"/>
  <c r="G380" i="13"/>
  <c r="H380" i="13" s="1"/>
  <c r="G260" i="13"/>
  <c r="H260" i="13" s="1"/>
  <c r="G16" i="30"/>
  <c r="H16" i="30" s="1"/>
  <c r="G932" i="13"/>
  <c r="H932" i="13" s="1"/>
  <c r="G732" i="13"/>
  <c r="H732" i="13" s="1"/>
  <c r="H535" i="8"/>
  <c r="G1576" i="30"/>
  <c r="H1576" i="30" s="1"/>
  <c r="G96" i="30"/>
  <c r="G1339" i="26"/>
  <c r="H1339" i="26" s="1"/>
  <c r="G1215" i="26"/>
  <c r="H1215" i="26" s="1"/>
  <c r="G1135" i="26"/>
  <c r="G1055" i="26"/>
  <c r="H1055" i="26" s="1"/>
  <c r="G852" i="13"/>
  <c r="H852" i="13" s="1"/>
  <c r="G400" i="13"/>
  <c r="H400" i="13" s="1"/>
  <c r="G98" i="13"/>
  <c r="H98" i="13" s="1"/>
  <c r="G96" i="11"/>
  <c r="G602" i="13"/>
  <c r="G1116" i="30"/>
  <c r="H1116" i="30" s="1"/>
  <c r="G276" i="11"/>
  <c r="H276" i="11" s="1"/>
  <c r="H899" i="8"/>
  <c r="G1536" i="30"/>
  <c r="H1536" i="30" s="1"/>
  <c r="G1216" i="30"/>
  <c r="H1216" i="30" s="1"/>
  <c r="G1468" i="26"/>
  <c r="H1468" i="26" s="1"/>
  <c r="G594" i="26"/>
  <c r="G17" i="6"/>
  <c r="G16" i="6" s="1"/>
  <c r="G533" i="8"/>
  <c r="H533" i="8" s="1"/>
  <c r="G912" i="13"/>
  <c r="G812" i="13"/>
  <c r="H812" i="13" s="1"/>
  <c r="G712" i="13"/>
  <c r="H712" i="13" s="1"/>
  <c r="G420" i="13"/>
  <c r="H420" i="13" s="1"/>
  <c r="G320" i="13"/>
  <c r="H320" i="13" s="1"/>
  <c r="G36" i="13"/>
  <c r="H36" i="13" s="1"/>
  <c r="G693" i="8"/>
  <c r="H693" i="8" s="1"/>
  <c r="G1556" i="30"/>
  <c r="H1556" i="30" s="1"/>
  <c r="G56" i="30"/>
  <c r="H56" i="30" s="1"/>
  <c r="G875" i="26"/>
  <c r="H875" i="26" s="1"/>
  <c r="G614" i="26"/>
  <c r="G416" i="21"/>
  <c r="H416" i="21" s="1"/>
  <c r="G832" i="13"/>
  <c r="H832" i="13" s="1"/>
  <c r="G463" i="13"/>
  <c r="G340" i="13"/>
  <c r="H340" i="13" s="1"/>
  <c r="G200" i="13"/>
  <c r="H200" i="13" s="1"/>
  <c r="G76" i="11"/>
  <c r="H76" i="11" s="1"/>
  <c r="G134" i="8"/>
  <c r="G133" i="8" s="1"/>
  <c r="H133" i="8" s="1"/>
  <c r="G892" i="13"/>
  <c r="H892" i="13" s="1"/>
  <c r="G752" i="13"/>
  <c r="H752" i="13" s="1"/>
  <c r="G625" i="13"/>
  <c r="H625" i="13" s="1"/>
  <c r="G579" i="13"/>
  <c r="G532" i="13"/>
  <c r="H532" i="13" s="1"/>
  <c r="G220" i="13"/>
  <c r="H220" i="13" s="1"/>
  <c r="G140" i="13"/>
  <c r="G136" i="11"/>
  <c r="H136" i="11" s="1"/>
  <c r="G176" i="30"/>
  <c r="H176" i="30" s="1"/>
  <c r="H78" i="11"/>
  <c r="G1476" i="30"/>
  <c r="H1476" i="30" s="1"/>
  <c r="G815" i="26"/>
  <c r="H815" i="26" s="1"/>
  <c r="G413" i="26"/>
  <c r="H413" i="26" s="1"/>
  <c r="G672" i="13"/>
  <c r="G160" i="13"/>
  <c r="H322" i="13"/>
  <c r="G176" i="33"/>
  <c r="H176" i="33" s="1"/>
  <c r="G116" i="33"/>
  <c r="H116" i="33" s="1"/>
  <c r="G1616" i="30"/>
  <c r="H1616" i="30" s="1"/>
  <c r="G876" i="30"/>
  <c r="H876" i="30" s="1"/>
  <c r="G276" i="30"/>
  <c r="H276" i="30" s="1"/>
  <c r="G1233" i="24"/>
  <c r="H1233" i="24" s="1"/>
  <c r="G196" i="16"/>
  <c r="H196" i="16" s="1"/>
  <c r="G972" i="13"/>
  <c r="H972" i="13" s="1"/>
  <c r="G216" i="11"/>
  <c r="G1316" i="30"/>
  <c r="H1316" i="30" s="1"/>
  <c r="G1076" i="30"/>
  <c r="H1076" i="30" s="1"/>
  <c r="G1036" i="30"/>
  <c r="H1036" i="30" s="1"/>
  <c r="G1425" i="26"/>
  <c r="G775" i="26"/>
  <c r="H775" i="26" s="1"/>
  <c r="G695" i="26"/>
  <c r="H695" i="26" s="1"/>
  <c r="G674" i="26"/>
  <c r="H674" i="26" s="1"/>
  <c r="G792" i="13"/>
  <c r="H792" i="13" s="1"/>
  <c r="G440" i="13"/>
  <c r="H440" i="13" s="1"/>
  <c r="G360" i="13"/>
  <c r="H360" i="13" s="1"/>
  <c r="G300" i="13"/>
  <c r="G16" i="13"/>
  <c r="H16" i="13" s="1"/>
  <c r="G236" i="11"/>
  <c r="H236" i="11" s="1"/>
  <c r="G36" i="11"/>
  <c r="G16" i="11"/>
  <c r="H16" i="11" s="1"/>
  <c r="G798" i="8"/>
  <c r="G513" i="8"/>
  <c r="H513" i="8" s="1"/>
  <c r="H835" i="30"/>
  <c r="H830" i="13"/>
  <c r="G36" i="33"/>
  <c r="H36" i="33" s="1"/>
  <c r="G96" i="33"/>
  <c r="H96" i="33" s="1"/>
  <c r="G156" i="33"/>
  <c r="H156" i="33" s="1"/>
  <c r="G76" i="33"/>
  <c r="H76" i="33" s="1"/>
  <c r="H117" i="33"/>
  <c r="G56" i="33"/>
  <c r="H56" i="33" s="1"/>
  <c r="G16" i="33"/>
  <c r="H16" i="33" s="1"/>
  <c r="G216" i="33"/>
  <c r="H216" i="33" s="1"/>
  <c r="G136" i="33"/>
  <c r="H136" i="33" s="1"/>
  <c r="H95" i="33"/>
  <c r="G116" i="30"/>
  <c r="H116" i="30" s="1"/>
  <c r="G1516" i="30"/>
  <c r="H1516" i="30" s="1"/>
  <c r="G1256" i="30"/>
  <c r="H1256" i="30" s="1"/>
  <c r="G1276" i="30"/>
  <c r="H1276" i="30" s="1"/>
  <c r="G1236" i="30"/>
  <c r="H1236" i="30" s="1"/>
  <c r="G1336" i="30"/>
  <c r="H1336" i="30" s="1"/>
  <c r="G216" i="30"/>
  <c r="H216" i="30" s="1"/>
  <c r="G196" i="30"/>
  <c r="H195" i="30"/>
  <c r="G576" i="30"/>
  <c r="H576" i="30" s="1"/>
  <c r="H1537" i="30"/>
  <c r="H1035" i="30"/>
  <c r="G1496" i="30"/>
  <c r="H1496" i="30" s="1"/>
  <c r="G1569" i="26"/>
  <c r="H1569" i="26" s="1"/>
  <c r="G269" i="26"/>
  <c r="G1488" i="26"/>
  <c r="H1488" i="26" s="1"/>
  <c r="G1255" i="26"/>
  <c r="H1255" i="26" s="1"/>
  <c r="G1235" i="26"/>
  <c r="G1035" i="26"/>
  <c r="H1035" i="26" s="1"/>
  <c r="G454" i="26"/>
  <c r="H454" i="26" s="1"/>
  <c r="G98" i="26"/>
  <c r="H98" i="26" s="1"/>
  <c r="G1383" i="26"/>
  <c r="H1383" i="26" s="1"/>
  <c r="G1295" i="26"/>
  <c r="H1295" i="26" s="1"/>
  <c r="G1115" i="26"/>
  <c r="H1115" i="26" s="1"/>
  <c r="G554" i="26"/>
  <c r="H554" i="26" s="1"/>
  <c r="G474" i="26"/>
  <c r="H474" i="26" s="1"/>
  <c r="G1317" i="26"/>
  <c r="H1317" i="26" s="1"/>
  <c r="G654" i="26"/>
  <c r="H654" i="26" s="1"/>
  <c r="G514" i="26"/>
  <c r="H514" i="26" s="1"/>
  <c r="G227" i="26"/>
  <c r="H227" i="26" s="1"/>
  <c r="G1095" i="26"/>
  <c r="H1095" i="26" s="1"/>
  <c r="G1075" i="26"/>
  <c r="G855" i="26"/>
  <c r="H855" i="26" s="1"/>
  <c r="G835" i="26"/>
  <c r="H835" i="26" s="1"/>
  <c r="G290" i="26"/>
  <c r="G1528" i="26"/>
  <c r="H1528" i="26" s="1"/>
  <c r="G955" i="26"/>
  <c r="H955" i="26" s="1"/>
  <c r="G895" i="26"/>
  <c r="H895" i="26" s="1"/>
  <c r="G574" i="26"/>
  <c r="H574" i="26" s="1"/>
  <c r="G434" i="26"/>
  <c r="G373" i="26"/>
  <c r="H373" i="26" s="1"/>
  <c r="G187" i="26"/>
  <c r="H187" i="26" s="1"/>
  <c r="H1121" i="26"/>
  <c r="H639" i="26"/>
  <c r="G1548" i="26"/>
  <c r="H1548" i="26" s="1"/>
  <c r="G975" i="26"/>
  <c r="H975" i="26" s="1"/>
  <c r="G935" i="26"/>
  <c r="H935" i="26" s="1"/>
  <c r="G915" i="26"/>
  <c r="H915" i="26" s="1"/>
  <c r="G167" i="26"/>
  <c r="H167" i="26" s="1"/>
  <c r="G353" i="26"/>
  <c r="H353" i="26" s="1"/>
  <c r="G634" i="26"/>
  <c r="H634" i="26" s="1"/>
  <c r="H611" i="26"/>
  <c r="G1589" i="26"/>
  <c r="G332" i="26"/>
  <c r="H332" i="26" s="1"/>
  <c r="G1405" i="26"/>
  <c r="H1405" i="26" s="1"/>
  <c r="G995" i="26"/>
  <c r="H995" i="26" s="1"/>
  <c r="H1611" i="26"/>
  <c r="G1361" i="26"/>
  <c r="H1361" i="26" s="1"/>
  <c r="G30" i="26"/>
  <c r="H30" i="26" s="1"/>
  <c r="H1549" i="26"/>
  <c r="H897" i="26"/>
  <c r="H26" i="26"/>
  <c r="H1425" i="26"/>
  <c r="H1135" i="26"/>
  <c r="H1514" i="26"/>
  <c r="H692" i="26"/>
  <c r="G16" i="21"/>
  <c r="G216" i="21"/>
  <c r="H216" i="21" s="1"/>
  <c r="G236" i="21"/>
  <c r="H236" i="21" s="1"/>
  <c r="G496" i="21"/>
  <c r="H496" i="21" s="1"/>
  <c r="G536" i="21"/>
  <c r="H536" i="21" s="1"/>
  <c r="G476" i="21"/>
  <c r="H476" i="21" s="1"/>
  <c r="G516" i="21"/>
  <c r="H516" i="21" s="1"/>
  <c r="G376" i="21"/>
  <c r="H376" i="21" s="1"/>
  <c r="G296" i="21"/>
  <c r="H296" i="21" s="1"/>
  <c r="G1213" i="24"/>
  <c r="H1213" i="24" s="1"/>
  <c r="G556" i="21"/>
  <c r="H556" i="21" s="1"/>
  <c r="G456" i="21"/>
  <c r="H456" i="21" s="1"/>
  <c r="G136" i="21"/>
  <c r="H136" i="21" s="1"/>
  <c r="G576" i="21"/>
  <c r="H576" i="21" s="1"/>
  <c r="G316" i="21"/>
  <c r="H316" i="21" s="1"/>
  <c r="G276" i="21"/>
  <c r="H276" i="21" s="1"/>
  <c r="G596" i="21"/>
  <c r="H596" i="21" s="1"/>
  <c r="G396" i="21"/>
  <c r="H396" i="21" s="1"/>
  <c r="H182" i="21"/>
  <c r="G436" i="21"/>
  <c r="H436" i="21" s="1"/>
  <c r="G196" i="21"/>
  <c r="H196" i="21" s="1"/>
  <c r="G256" i="21"/>
  <c r="H256" i="21" s="1"/>
  <c r="G176" i="21"/>
  <c r="H176" i="21" s="1"/>
  <c r="G336" i="21"/>
  <c r="H336" i="21" s="1"/>
  <c r="G36" i="21"/>
  <c r="H36" i="21" s="1"/>
  <c r="G116" i="21"/>
  <c r="H116" i="21" s="1"/>
  <c r="G96" i="21"/>
  <c r="H96" i="21" s="1"/>
  <c r="G76" i="21"/>
  <c r="H76" i="21" s="1"/>
  <c r="G156" i="21"/>
  <c r="H156" i="21" s="1"/>
  <c r="H221" i="21"/>
  <c r="H481" i="21"/>
  <c r="H158" i="21"/>
  <c r="H356" i="21"/>
  <c r="H35" i="21"/>
  <c r="G156" i="16"/>
  <c r="H156" i="16" s="1"/>
  <c r="G56" i="16"/>
  <c r="H56" i="16" s="1"/>
  <c r="G16" i="16"/>
  <c r="H16" i="16" s="1"/>
  <c r="G176" i="16"/>
  <c r="H176" i="16" s="1"/>
  <c r="G216" i="16"/>
  <c r="H216" i="16" s="1"/>
  <c r="G132" i="16"/>
  <c r="H132" i="16" s="1"/>
  <c r="G99" i="16"/>
  <c r="G12" i="16"/>
  <c r="G36" i="16"/>
  <c r="H36" i="16" s="1"/>
  <c r="G116" i="16"/>
  <c r="H116" i="16" s="1"/>
  <c r="G96" i="16"/>
  <c r="H96" i="16" s="1"/>
  <c r="G19" i="16"/>
  <c r="G92" i="16"/>
  <c r="H92" i="16" s="1"/>
  <c r="G136" i="16"/>
  <c r="H136" i="16" s="1"/>
  <c r="G76" i="16"/>
  <c r="H76" i="16" s="1"/>
  <c r="G139" i="16"/>
  <c r="H140" i="16"/>
  <c r="H35" i="16"/>
  <c r="H13" i="16"/>
  <c r="H217" i="16"/>
  <c r="G180" i="13"/>
  <c r="H180" i="13" s="1"/>
  <c r="G872" i="13"/>
  <c r="H872" i="13" s="1"/>
  <c r="G56" i="13"/>
  <c r="H56" i="13" s="1"/>
  <c r="G952" i="13"/>
  <c r="H952" i="13" s="1"/>
  <c r="G555" i="13"/>
  <c r="H555" i="13" s="1"/>
  <c r="G240" i="13"/>
  <c r="H240" i="13" s="1"/>
  <c r="G119" i="13"/>
  <c r="H119" i="13" s="1"/>
  <c r="H508" i="13"/>
  <c r="H626" i="13"/>
  <c r="H733" i="13"/>
  <c r="H57" i="13"/>
  <c r="H673" i="13"/>
  <c r="H578" i="13"/>
  <c r="H122" i="11"/>
  <c r="H261" i="11"/>
  <c r="H137" i="11"/>
  <c r="G473" i="8"/>
  <c r="H473" i="8" s="1"/>
  <c r="G573" i="8"/>
  <c r="H573" i="8" s="1"/>
  <c r="G433" i="8"/>
  <c r="G653" i="8"/>
  <c r="H653" i="8" s="1"/>
  <c r="G613" i="8"/>
  <c r="H613" i="8" s="1"/>
  <c r="G593" i="8"/>
  <c r="G393" i="8"/>
  <c r="H393" i="8" s="1"/>
  <c r="H498" i="8"/>
  <c r="G373" i="8"/>
  <c r="G778" i="8"/>
  <c r="H778" i="8" s="1"/>
  <c r="G758" i="8"/>
  <c r="G713" i="8"/>
  <c r="H713" i="8" s="1"/>
  <c r="G353" i="8"/>
  <c r="H353" i="8" s="1"/>
  <c r="G493" i="8"/>
  <c r="G898" i="8"/>
  <c r="H898" i="8" s="1"/>
  <c r="G818" i="8"/>
  <c r="H818" i="8" s="1"/>
  <c r="G673" i="8"/>
  <c r="H673" i="8" s="1"/>
  <c r="G838" i="8"/>
  <c r="H838" i="8" s="1"/>
  <c r="G413" i="8"/>
  <c r="H413" i="8" s="1"/>
  <c r="G333" i="8"/>
  <c r="H333" i="8" s="1"/>
  <c r="G553" i="8"/>
  <c r="H553" i="8" s="1"/>
  <c r="G735" i="8"/>
  <c r="H735" i="8" s="1"/>
  <c r="G633" i="8"/>
  <c r="H335" i="8"/>
  <c r="H858" i="8"/>
  <c r="H439" i="8"/>
  <c r="H399" i="8"/>
  <c r="H758" i="8"/>
  <c r="H798" i="8"/>
  <c r="H375" i="8"/>
  <c r="H418" i="8"/>
  <c r="G106" i="8"/>
  <c r="G105" i="8" s="1"/>
  <c r="H105" i="8" s="1"/>
  <c r="E1012" i="15"/>
  <c r="G1012" i="15" s="1"/>
  <c r="H1012" i="15" s="1"/>
  <c r="H1495" i="30"/>
  <c r="H816" i="30"/>
  <c r="H754" i="30"/>
  <c r="H115" i="30"/>
  <c r="H682" i="30"/>
  <c r="H515" i="30"/>
  <c r="H355" i="30"/>
  <c r="H37" i="30"/>
  <c r="E1052" i="15"/>
  <c r="G1052" i="15" s="1"/>
  <c r="G1051" i="15" s="1"/>
  <c r="G1240" i="32"/>
  <c r="H1240" i="32" s="1"/>
  <c r="E1834" i="15"/>
  <c r="G1834" i="15" s="1"/>
  <c r="H1834" i="15" s="1"/>
  <c r="G1040" i="32"/>
  <c r="H1040" i="32" s="1"/>
  <c r="H561" i="32"/>
  <c r="G320" i="32"/>
  <c r="H320" i="32" s="1"/>
  <c r="G800" i="32"/>
  <c r="H800" i="32" s="1"/>
  <c r="G220" i="32"/>
  <c r="H220" i="32" s="1"/>
  <c r="G600" i="32"/>
  <c r="G1260" i="32"/>
  <c r="H1260" i="32" s="1"/>
  <c r="G640" i="32"/>
  <c r="H640" i="32" s="1"/>
  <c r="H1006" i="32"/>
  <c r="G740" i="32"/>
  <c r="H740" i="32" s="1"/>
  <c r="G1420" i="32"/>
  <c r="H1420" i="32" s="1"/>
  <c r="H1986" i="15"/>
  <c r="H1987" i="15"/>
  <c r="H1964" i="15"/>
  <c r="H1965" i="15"/>
  <c r="H1942" i="15"/>
  <c r="H1943" i="15"/>
  <c r="E1374" i="15"/>
  <c r="G1374" i="15" s="1"/>
  <c r="H1374" i="15" s="1"/>
  <c r="E128" i="32"/>
  <c r="E1354" i="15"/>
  <c r="G1354" i="15" s="1"/>
  <c r="E148" i="32"/>
  <c r="G148" i="32" s="1"/>
  <c r="G41" i="15"/>
  <c r="H41" i="15" s="1"/>
  <c r="H1283" i="15"/>
  <c r="H446" i="15"/>
  <c r="G1363" i="15"/>
  <c r="H1363" i="15" s="1"/>
  <c r="H251" i="15"/>
  <c r="H231" i="15"/>
  <c r="H211" i="15"/>
  <c r="H191" i="15"/>
  <c r="H171" i="15"/>
  <c r="H151" i="15"/>
  <c r="H131" i="15"/>
  <c r="H111" i="15"/>
  <c r="H91" i="15"/>
  <c r="H71" i="15"/>
  <c r="H51" i="15"/>
  <c r="G1282" i="15"/>
  <c r="H1282" i="15" s="1"/>
  <c r="H962" i="15"/>
  <c r="G641" i="15"/>
  <c r="H641" i="15" s="1"/>
  <c r="H195" i="8"/>
  <c r="G361" i="15"/>
  <c r="H361" i="15" s="1"/>
  <c r="G961" i="15"/>
  <c r="H961" i="15" s="1"/>
  <c r="G1863" i="15"/>
  <c r="H1863" i="15" s="1"/>
  <c r="H1864" i="15"/>
  <c r="H1976" i="15"/>
  <c r="G1081" i="15"/>
  <c r="H1081" i="15" s="1"/>
  <c r="G1423" i="15"/>
  <c r="H1423" i="15" s="1"/>
  <c r="G1883" i="15"/>
  <c r="H1883" i="15" s="1"/>
  <c r="G1623" i="15"/>
  <c r="H1623" i="15" s="1"/>
  <c r="H138" i="8"/>
  <c r="G1403" i="15"/>
  <c r="H1403" i="15" s="1"/>
  <c r="G1241" i="15"/>
  <c r="H1241" i="15" s="1"/>
  <c r="H1785" i="15"/>
  <c r="G1971" i="15"/>
  <c r="H1971" i="15" s="1"/>
  <c r="G321" i="15"/>
  <c r="H321" i="15" s="1"/>
  <c r="G1463" i="15"/>
  <c r="H1463" i="15" s="1"/>
  <c r="G1783" i="15"/>
  <c r="H1783" i="15" s="1"/>
  <c r="G1843" i="15"/>
  <c r="H1843" i="15" s="1"/>
  <c r="G541" i="15"/>
  <c r="H541" i="15" s="1"/>
  <c r="G1643" i="15"/>
  <c r="H1643" i="15" s="1"/>
  <c r="H1748" i="15"/>
  <c r="G341" i="15"/>
  <c r="H341" i="15" s="1"/>
  <c r="G1743" i="15"/>
  <c r="H1743" i="15" s="1"/>
  <c r="G2053" i="15"/>
  <c r="H2053" i="15" s="1"/>
  <c r="G1949" i="15"/>
  <c r="H1949" i="15" s="1"/>
  <c r="G1523" i="15"/>
  <c r="H1523" i="15" s="1"/>
  <c r="G461" i="15"/>
  <c r="H461" i="15" s="1"/>
  <c r="G1823" i="15"/>
  <c r="H1823" i="15" s="1"/>
  <c r="G1041" i="15"/>
  <c r="H1041" i="15" s="1"/>
  <c r="G1703" i="15"/>
  <c r="H1703" i="15" s="1"/>
  <c r="G1323" i="15"/>
  <c r="H1323" i="15" s="1"/>
  <c r="G861" i="15"/>
  <c r="H861" i="15" s="1"/>
  <c r="G173" i="8"/>
  <c r="H173" i="8" s="1"/>
  <c r="G501" i="15"/>
  <c r="H501" i="15" s="1"/>
  <c r="G2033" i="15"/>
  <c r="H2033" i="15" s="1"/>
  <c r="G941" i="15"/>
  <c r="H941" i="15" s="1"/>
  <c r="G381" i="15"/>
  <c r="H381" i="15" s="1"/>
  <c r="G481" i="15"/>
  <c r="H481" i="15" s="1"/>
  <c r="G781" i="15"/>
  <c r="H781" i="15" s="1"/>
  <c r="G1663" i="15"/>
  <c r="H1663" i="15" s="1"/>
  <c r="G521" i="15"/>
  <c r="H521" i="15" s="1"/>
  <c r="G561" i="15"/>
  <c r="H561" i="15" s="1"/>
  <c r="G401" i="15"/>
  <c r="H401" i="15" s="1"/>
  <c r="G1001" i="15"/>
  <c r="H1001" i="15" s="1"/>
  <c r="G1343" i="15"/>
  <c r="H1343" i="15" s="1"/>
  <c r="G1443" i="15"/>
  <c r="H1443" i="15" s="1"/>
  <c r="G313" i="8"/>
  <c r="H313" i="8" s="1"/>
  <c r="G2093" i="15"/>
  <c r="H2093" i="15" s="1"/>
  <c r="G1763" i="15"/>
  <c r="H1763" i="15" s="1"/>
  <c r="H462" i="15"/>
  <c r="H280" i="15"/>
  <c r="G2133" i="15"/>
  <c r="H2133" i="15" s="1"/>
  <c r="G1543" i="15"/>
  <c r="H1543" i="15" s="1"/>
  <c r="G1483" i="15"/>
  <c r="H1483" i="15" s="1"/>
  <c r="G981" i="15"/>
  <c r="H981" i="15" s="1"/>
  <c r="G1383" i="15"/>
  <c r="H1383" i="15" s="1"/>
  <c r="G1563" i="15"/>
  <c r="H1563" i="15" s="1"/>
  <c r="G801" i="15"/>
  <c r="H801" i="15" s="1"/>
  <c r="H1027" i="15"/>
  <c r="G1021" i="15"/>
  <c r="H1021" i="15" s="1"/>
  <c r="G421" i="15"/>
  <c r="H421" i="15" s="1"/>
  <c r="G441" i="15"/>
  <c r="G621" i="15"/>
  <c r="H621" i="15" s="1"/>
  <c r="G1683" i="15"/>
  <c r="H1683" i="15" s="1"/>
  <c r="G1723" i="15"/>
  <c r="H1723" i="15" s="1"/>
  <c r="G661" i="15"/>
  <c r="H661" i="15" s="1"/>
  <c r="G1201" i="15"/>
  <c r="H1201" i="15" s="1"/>
  <c r="G721" i="15"/>
  <c r="H721" i="15" s="1"/>
  <c r="G1161" i="15"/>
  <c r="H1161" i="15" s="1"/>
  <c r="G1101" i="15"/>
  <c r="H1101" i="15" s="1"/>
  <c r="G1181" i="15"/>
  <c r="H1181" i="15" s="1"/>
  <c r="G1927" i="15"/>
  <c r="H1927" i="15" s="1"/>
  <c r="G1993" i="15"/>
  <c r="H1993" i="15" s="1"/>
  <c r="G921" i="15"/>
  <c r="H921" i="15" s="1"/>
  <c r="G301" i="15"/>
  <c r="H301" i="15" s="1"/>
  <c r="G2073" i="15"/>
  <c r="H2073" i="15" s="1"/>
  <c r="H1409" i="15"/>
  <c r="H1080" i="15"/>
  <c r="H175" i="8"/>
  <c r="G701" i="15"/>
  <c r="H701" i="15" s="1"/>
  <c r="G901" i="15"/>
  <c r="H901" i="15" s="1"/>
  <c r="G1221" i="15"/>
  <c r="H1221" i="15" s="1"/>
  <c r="G1061" i="15"/>
  <c r="H1061" i="15" s="1"/>
  <c r="G741" i="15"/>
  <c r="H741" i="15" s="1"/>
  <c r="G601" i="15"/>
  <c r="H601" i="15" s="1"/>
  <c r="G581" i="15"/>
  <c r="H581" i="15" s="1"/>
  <c r="G281" i="15"/>
  <c r="H281" i="15" s="1"/>
  <c r="G1803" i="15"/>
  <c r="H1803" i="15" s="1"/>
  <c r="G881" i="15"/>
  <c r="H881" i="15" s="1"/>
  <c r="G821" i="15"/>
  <c r="H821" i="15" s="1"/>
  <c r="G1121" i="15"/>
  <c r="H1121" i="15" s="1"/>
  <c r="G681" i="15"/>
  <c r="G1261" i="15"/>
  <c r="H1261" i="15" s="1"/>
  <c r="H1187" i="15"/>
  <c r="G2113" i="15"/>
  <c r="H2113" i="15" s="1"/>
  <c r="G1603" i="15"/>
  <c r="H1603" i="15" s="1"/>
  <c r="G841" i="15"/>
  <c r="H841" i="15" s="1"/>
  <c r="H902" i="15"/>
  <c r="G1905" i="15"/>
  <c r="H1905" i="15" s="1"/>
  <c r="G1583" i="15"/>
  <c r="H1583" i="15" s="1"/>
  <c r="G1503" i="15"/>
  <c r="H1503" i="15" s="1"/>
  <c r="G1141" i="15"/>
  <c r="H1141" i="15" s="1"/>
  <c r="G16" i="15"/>
  <c r="H16" i="15" s="1"/>
  <c r="H1662" i="15"/>
  <c r="G2013" i="15"/>
  <c r="H2013" i="15" s="1"/>
  <c r="G1303" i="15"/>
  <c r="H1303" i="15" s="1"/>
  <c r="H1060" i="15"/>
  <c r="H1321" i="15"/>
  <c r="G761" i="15"/>
  <c r="H761" i="15" s="1"/>
  <c r="H767" i="15"/>
  <c r="G253" i="8"/>
  <c r="H253" i="8" s="1"/>
  <c r="H1122" i="15"/>
  <c r="G56" i="8"/>
  <c r="H56" i="8" s="1"/>
  <c r="H2011" i="15"/>
  <c r="H623" i="15"/>
  <c r="H680" i="15"/>
  <c r="E24" i="7"/>
  <c r="H58" i="36"/>
  <c r="H51" i="36"/>
  <c r="H55" i="36"/>
  <c r="H50" i="36"/>
  <c r="H48" i="36"/>
  <c r="H54" i="36"/>
  <c r="H49" i="36"/>
  <c r="H61" i="36"/>
  <c r="H62" i="36"/>
  <c r="H47" i="36"/>
  <c r="G46" i="36"/>
  <c r="H53" i="36"/>
  <c r="G52" i="36"/>
  <c r="H52" i="36" s="1"/>
  <c r="H60" i="36"/>
  <c r="G59" i="36"/>
  <c r="H59" i="36" s="1"/>
  <c r="I44" i="36"/>
  <c r="H57" i="36"/>
  <c r="G56" i="36"/>
  <c r="H56" i="36" s="1"/>
  <c r="G32" i="36"/>
  <c r="H32" i="36" s="1"/>
  <c r="H39" i="36"/>
  <c r="H446" i="13"/>
  <c r="H193" i="32"/>
  <c r="G193" i="8"/>
  <c r="H193" i="8" s="1"/>
  <c r="H194" i="8"/>
  <c r="H1022" i="32"/>
  <c r="H58" i="8"/>
  <c r="G440" i="32"/>
  <c r="H440" i="32" s="1"/>
  <c r="G76" i="8"/>
  <c r="H76" i="8" s="1"/>
  <c r="G1280" i="32"/>
  <c r="H1280" i="32" s="1"/>
  <c r="G1020" i="32"/>
  <c r="H1020" i="32" s="1"/>
  <c r="G293" i="8"/>
  <c r="H293" i="8" s="1"/>
  <c r="G39" i="8"/>
  <c r="H39" i="8" s="1"/>
  <c r="H361" i="32"/>
  <c r="G1520" i="32"/>
  <c r="H1520" i="32" s="1"/>
  <c r="G1500" i="32"/>
  <c r="H1500" i="32" s="1"/>
  <c r="G1120" i="32"/>
  <c r="H1120" i="32" s="1"/>
  <c r="G260" i="32"/>
  <c r="H260" i="32" s="1"/>
  <c r="G380" i="32"/>
  <c r="H380" i="32" s="1"/>
  <c r="H1121" i="32"/>
  <c r="G1560" i="32"/>
  <c r="H1560" i="32" s="1"/>
  <c r="G1320" i="32"/>
  <c r="H1320" i="32" s="1"/>
  <c r="G1100" i="32"/>
  <c r="H1100" i="32" s="1"/>
  <c r="G153" i="8"/>
  <c r="H153" i="8" s="1"/>
  <c r="G980" i="32"/>
  <c r="G1140" i="32"/>
  <c r="H1140" i="32" s="1"/>
  <c r="G1000" i="32"/>
  <c r="H1000" i="32" s="1"/>
  <c r="G420" i="32"/>
  <c r="H420" i="32" s="1"/>
  <c r="G489" i="8"/>
  <c r="H489" i="8" s="1"/>
  <c r="G1460" i="32"/>
  <c r="H1460" i="32" s="1"/>
  <c r="G1340" i="32"/>
  <c r="H1340" i="32" s="1"/>
  <c r="G1160" i="32"/>
  <c r="H1160" i="32" s="1"/>
  <c r="G16" i="8"/>
  <c r="H16" i="8" s="1"/>
  <c r="G900" i="32"/>
  <c r="H900" i="32" s="1"/>
  <c r="G1480" i="32"/>
  <c r="H1480" i="32" s="1"/>
  <c r="G280" i="32"/>
  <c r="H280" i="32" s="1"/>
  <c r="G840" i="32"/>
  <c r="H840" i="32" s="1"/>
  <c r="G620" i="32"/>
  <c r="H620" i="32" s="1"/>
  <c r="G136" i="32"/>
  <c r="H136" i="32" s="1"/>
  <c r="G700" i="32"/>
  <c r="H700" i="32" s="1"/>
  <c r="G894" i="8"/>
  <c r="H894" i="8" s="1"/>
  <c r="G273" i="8"/>
  <c r="H273" i="8" s="1"/>
  <c r="G213" i="8"/>
  <c r="H213" i="8" s="1"/>
  <c r="G36" i="8"/>
  <c r="H36" i="8" s="1"/>
  <c r="H291" i="8"/>
  <c r="G1540" i="32"/>
  <c r="G1380" i="32"/>
  <c r="H1380" i="32" s="1"/>
  <c r="G860" i="32"/>
  <c r="H860" i="32" s="1"/>
  <c r="G520" i="32"/>
  <c r="H520" i="32" s="1"/>
  <c r="G680" i="32"/>
  <c r="H680" i="32" s="1"/>
  <c r="G720" i="32"/>
  <c r="H720" i="32" s="1"/>
  <c r="G1360" i="32"/>
  <c r="H1360" i="32" s="1"/>
  <c r="G199" i="32"/>
  <c r="H199" i="32" s="1"/>
  <c r="G178" i="32"/>
  <c r="H178" i="32" s="1"/>
  <c r="G19" i="8"/>
  <c r="H19" i="8" s="1"/>
  <c r="G233" i="8"/>
  <c r="H233" i="8" s="1"/>
  <c r="G156" i="32"/>
  <c r="H156" i="32" s="1"/>
  <c r="G240" i="32"/>
  <c r="H240" i="32" s="1"/>
  <c r="G32" i="8"/>
  <c r="H32" i="8" s="1"/>
  <c r="H1401" i="32"/>
  <c r="G540" i="32"/>
  <c r="H540" i="32" s="1"/>
  <c r="G460" i="32"/>
  <c r="H460" i="32" s="1"/>
  <c r="G820" i="32"/>
  <c r="H820" i="32" s="1"/>
  <c r="H231" i="8"/>
  <c r="G780" i="32"/>
  <c r="H780" i="32" s="1"/>
  <c r="G1580" i="32"/>
  <c r="H1580" i="32" s="1"/>
  <c r="H275" i="8"/>
  <c r="H104" i="8"/>
  <c r="G560" i="32"/>
  <c r="H560" i="32" s="1"/>
  <c r="G340" i="32"/>
  <c r="H340" i="32" s="1"/>
  <c r="G360" i="32"/>
  <c r="H360" i="32" s="1"/>
  <c r="G1440" i="32"/>
  <c r="H1440" i="32" s="1"/>
  <c r="H35" i="8"/>
  <c r="G880" i="32"/>
  <c r="H880" i="32" s="1"/>
  <c r="G940" i="32"/>
  <c r="H940" i="32" s="1"/>
  <c r="G660" i="32"/>
  <c r="H660" i="32" s="1"/>
  <c r="G400" i="32"/>
  <c r="H400" i="32" s="1"/>
  <c r="G1180" i="32"/>
  <c r="G1200" i="32"/>
  <c r="H1200" i="32" s="1"/>
  <c r="G1220" i="32"/>
  <c r="H1220" i="32" s="1"/>
  <c r="G300" i="32"/>
  <c r="H300" i="32" s="1"/>
  <c r="H605" i="32"/>
  <c r="H77" i="8"/>
  <c r="G1060" i="32"/>
  <c r="H1060" i="32" s="1"/>
  <c r="G920" i="32"/>
  <c r="H920" i="32" s="1"/>
  <c r="H18" i="8"/>
  <c r="G500" i="32"/>
  <c r="H500" i="32" s="1"/>
  <c r="G480" i="32"/>
  <c r="H480" i="32" s="1"/>
  <c r="H1426" i="32"/>
  <c r="H342" i="32"/>
  <c r="H61" i="8"/>
  <c r="H559" i="8"/>
  <c r="H222" i="11"/>
  <c r="H58" i="11"/>
  <c r="H238" i="8"/>
  <c r="H991" i="13"/>
  <c r="H216" i="11"/>
  <c r="H160" i="13"/>
  <c r="H398" i="8"/>
  <c r="H820" i="8"/>
  <c r="G70" i="11"/>
  <c r="H70" i="11" s="1"/>
  <c r="G960" i="32"/>
  <c r="H960" i="32" s="1"/>
  <c r="H42" i="8"/>
  <c r="H355" i="8"/>
  <c r="H17" i="8"/>
  <c r="H280" i="13"/>
  <c r="H20" i="8"/>
  <c r="H22" i="8"/>
  <c r="H311" i="26"/>
  <c r="H793" i="13"/>
  <c r="H41" i="8"/>
  <c r="H38" i="8"/>
  <c r="H638" i="8"/>
  <c r="H214" i="8"/>
  <c r="H37" i="8"/>
  <c r="H201" i="11"/>
  <c r="G216" i="6"/>
  <c r="H818" i="13"/>
  <c r="H197" i="11"/>
  <c r="E892" i="15"/>
  <c r="H299" i="8"/>
  <c r="H275" i="11"/>
  <c r="H361" i="21"/>
  <c r="H358" i="21"/>
  <c r="H178" i="8"/>
  <c r="H906" i="15"/>
  <c r="H334" i="8"/>
  <c r="H332" i="8"/>
  <c r="H339" i="8"/>
  <c r="H692" i="8"/>
  <c r="H463" i="13"/>
  <c r="H378" i="8"/>
  <c r="H695" i="8"/>
  <c r="G37" i="6"/>
  <c r="G36" i="6" s="1"/>
  <c r="G760" i="32"/>
  <c r="H760" i="32" s="1"/>
  <c r="G157" i="6"/>
  <c r="G156" i="6" s="1"/>
  <c r="G30" i="11"/>
  <c r="H30" i="11" s="1"/>
  <c r="G57" i="6"/>
  <c r="G56" i="6" s="1"/>
  <c r="E1795" i="15"/>
  <c r="G1795" i="15" s="1"/>
  <c r="H281" i="11"/>
  <c r="H714" i="8"/>
  <c r="H292" i="8"/>
  <c r="H57" i="11"/>
  <c r="H491" i="13"/>
  <c r="H55" i="11"/>
  <c r="H671" i="13"/>
  <c r="H674" i="13"/>
  <c r="H823" i="8"/>
  <c r="H239" i="8"/>
  <c r="H816" i="8"/>
  <c r="H221" i="11"/>
  <c r="H487" i="13"/>
  <c r="H651" i="8"/>
  <c r="H558" i="8"/>
  <c r="H57" i="8"/>
  <c r="H217" i="11"/>
  <c r="H161" i="13"/>
  <c r="H486" i="13"/>
  <c r="H654" i="8"/>
  <c r="H677" i="13"/>
  <c r="H834" i="13"/>
  <c r="H831" i="13"/>
  <c r="H395" i="8"/>
  <c r="H554" i="8"/>
  <c r="H485" i="13"/>
  <c r="H159" i="13"/>
  <c r="H994" i="13"/>
  <c r="H235" i="8"/>
  <c r="H234" i="8"/>
  <c r="H672" i="13"/>
  <c r="H394" i="8"/>
  <c r="H61" i="11"/>
  <c r="H321" i="13"/>
  <c r="H555" i="8"/>
  <c r="H678" i="13"/>
  <c r="H838" i="13"/>
  <c r="H62" i="11"/>
  <c r="H157" i="13"/>
  <c r="H215" i="11"/>
  <c r="H218" i="11"/>
  <c r="H837" i="13"/>
  <c r="H390" i="8"/>
  <c r="H658" i="8"/>
  <c r="H56" i="11"/>
  <c r="H552" i="8"/>
  <c r="H166" i="13"/>
  <c r="H162" i="13"/>
  <c r="H833" i="13"/>
  <c r="H232" i="8"/>
  <c r="H817" i="8"/>
  <c r="H819" i="8"/>
  <c r="H655" i="8"/>
  <c r="H652" i="8"/>
  <c r="H488" i="13"/>
  <c r="H117" i="11"/>
  <c r="H719" i="8"/>
  <c r="H298" i="8"/>
  <c r="H459" i="8"/>
  <c r="H644" i="8"/>
  <c r="H452" i="8"/>
  <c r="H454" i="8"/>
  <c r="H132" i="8"/>
  <c r="H455" i="8"/>
  <c r="H118" i="11"/>
  <c r="H458" i="8"/>
  <c r="H734" i="13"/>
  <c r="H880" i="8"/>
  <c r="H715" i="8"/>
  <c r="H879" i="8"/>
  <c r="H139" i="8"/>
  <c r="H718" i="8"/>
  <c r="H295" i="8"/>
  <c r="H135" i="8"/>
  <c r="H877" i="8"/>
  <c r="H115" i="11"/>
  <c r="H712" i="8"/>
  <c r="H294" i="8"/>
  <c r="H893" i="13"/>
  <c r="H321" i="21"/>
  <c r="E1314" i="15"/>
  <c r="G1314" i="15" s="1"/>
  <c r="G97" i="6"/>
  <c r="G96" i="6" s="1"/>
  <c r="G498" i="32"/>
  <c r="H498" i="32" s="1"/>
  <c r="H753" i="13"/>
  <c r="H903" i="8"/>
  <c r="H897" i="8"/>
  <c r="H42" i="36"/>
  <c r="H36" i="11"/>
  <c r="H974" i="13"/>
  <c r="H681" i="30"/>
  <c r="H34" i="36"/>
  <c r="H574" i="8"/>
  <c r="H953" i="13"/>
  <c r="H678" i="30"/>
  <c r="H345" i="8"/>
  <c r="H36" i="36"/>
  <c r="H312" i="26"/>
  <c r="H317" i="26"/>
  <c r="H97" i="33"/>
  <c r="H40" i="36"/>
  <c r="H197" i="30"/>
  <c r="H836" i="30"/>
  <c r="H338" i="21"/>
  <c r="H76" i="13"/>
  <c r="H83" i="13"/>
  <c r="H904" i="8"/>
  <c r="H130" i="11"/>
  <c r="H914" i="13"/>
  <c r="H913" i="13"/>
  <c r="H758" i="13"/>
  <c r="H757" i="13"/>
  <c r="H584" i="13"/>
  <c r="H579" i="13"/>
  <c r="H241" i="13"/>
  <c r="H900" i="8"/>
  <c r="H258" i="30"/>
  <c r="H1074" i="26"/>
  <c r="H1137" i="30"/>
  <c r="H917" i="26"/>
  <c r="H912" i="13"/>
  <c r="H895" i="8"/>
  <c r="H265" i="26"/>
  <c r="H405" i="13"/>
  <c r="H754" i="13"/>
  <c r="H79" i="13"/>
  <c r="H82" i="13"/>
  <c r="H17" i="21"/>
  <c r="H580" i="13"/>
  <c r="H1898" i="15"/>
  <c r="H286" i="8"/>
  <c r="H164" i="8"/>
  <c r="H646" i="8"/>
  <c r="H547" i="8"/>
  <c r="H435" i="15"/>
  <c r="H385" i="8"/>
  <c r="G580" i="32"/>
  <c r="H580" i="32" s="1"/>
  <c r="G77" i="6"/>
  <c r="G76" i="6" s="1"/>
  <c r="H31" i="15"/>
  <c r="H662" i="32"/>
  <c r="H1921" i="15"/>
  <c r="H170" i="32"/>
  <c r="G71" i="11"/>
  <c r="H71" i="11" s="1"/>
  <c r="G630" i="32"/>
  <c r="H93" i="26"/>
  <c r="H96" i="26"/>
  <c r="H362" i="21"/>
  <c r="H354" i="21"/>
  <c r="H1717" i="15"/>
  <c r="H1724" i="15"/>
  <c r="H764" i="8"/>
  <c r="H763" i="8"/>
  <c r="H777" i="26"/>
  <c r="H492" i="8"/>
  <c r="H282" i="15"/>
  <c r="H1589" i="26"/>
  <c r="H292" i="26"/>
  <c r="H1829" i="15"/>
  <c r="H1828" i="15"/>
  <c r="H2045" i="15"/>
  <c r="H607" i="13"/>
  <c r="H595" i="8"/>
  <c r="H588" i="8"/>
  <c r="H615" i="26"/>
  <c r="H936" i="26"/>
  <c r="H495" i="8"/>
  <c r="H259" i="13"/>
  <c r="H103" i="13"/>
  <c r="H599" i="8"/>
  <c r="H1408" i="15"/>
  <c r="H493" i="8"/>
  <c r="H759" i="8"/>
  <c r="H95" i="26"/>
  <c r="H590" i="8"/>
  <c r="H1557" i="30"/>
  <c r="H1561" i="30"/>
  <c r="H194" i="21"/>
  <c r="H296" i="26"/>
  <c r="H139" i="16"/>
  <c r="H290" i="26"/>
  <c r="H760" i="8"/>
  <c r="H1094" i="26"/>
  <c r="H2054" i="15"/>
  <c r="H467" i="15"/>
  <c r="H99" i="26"/>
  <c r="H41" i="21"/>
  <c r="H1929" i="15"/>
  <c r="H38" i="21"/>
  <c r="H21" i="21"/>
  <c r="H338" i="8"/>
  <c r="H859" i="8"/>
  <c r="H97" i="11"/>
  <c r="H102" i="11"/>
  <c r="H357" i="30"/>
  <c r="H698" i="8"/>
  <c r="H615" i="32"/>
  <c r="H96" i="11"/>
  <c r="H257" i="11"/>
  <c r="H272" i="8"/>
  <c r="H95" i="11"/>
  <c r="H863" i="8"/>
  <c r="H694" i="8"/>
  <c r="H35" i="30"/>
  <c r="H274" i="8"/>
  <c r="H690" i="8"/>
  <c r="H612" i="32"/>
  <c r="H256" i="11"/>
  <c r="H431" i="8"/>
  <c r="H262" i="11"/>
  <c r="H279" i="8"/>
  <c r="H699" i="8"/>
  <c r="H90" i="11"/>
  <c r="H613" i="32"/>
  <c r="H619" i="32"/>
  <c r="H433" i="8"/>
  <c r="H860" i="8"/>
  <c r="H110" i="8"/>
  <c r="H278" i="8"/>
  <c r="H857" i="8"/>
  <c r="H111" i="8"/>
  <c r="H434" i="8"/>
  <c r="H864" i="8"/>
  <c r="H90" i="8"/>
  <c r="H614" i="32"/>
  <c r="H625" i="32"/>
  <c r="H258" i="11"/>
  <c r="H107" i="8"/>
  <c r="H435" i="8"/>
  <c r="H621" i="32"/>
  <c r="H432" i="8"/>
  <c r="H101" i="11"/>
  <c r="H255" i="11"/>
  <c r="H270" i="11"/>
  <c r="H626" i="32"/>
  <c r="G610" i="32"/>
  <c r="H610" i="32" s="1"/>
  <c r="H611" i="32"/>
  <c r="H622" i="32"/>
  <c r="G12" i="8"/>
  <c r="H12" i="8" s="1"/>
  <c r="H13" i="8"/>
  <c r="H866" i="32"/>
  <c r="H1540" i="32"/>
  <c r="H1045" i="32"/>
  <c r="H426" i="32"/>
  <c r="H526" i="32"/>
  <c r="G1300" i="32"/>
  <c r="H1300" i="32" s="1"/>
  <c r="G260" i="26"/>
  <c r="H260" i="26" s="1"/>
  <c r="H557" i="21"/>
  <c r="H817" i="13"/>
  <c r="H655" i="13"/>
  <c r="H649" i="13"/>
  <c r="H468" i="13"/>
  <c r="H300" i="13"/>
  <c r="H139" i="13"/>
  <c r="H140" i="13"/>
  <c r="H146" i="13"/>
  <c r="H198" i="11"/>
  <c r="H196" i="11"/>
  <c r="H37" i="11"/>
  <c r="H41" i="11"/>
  <c r="H35" i="11"/>
  <c r="H804" i="8"/>
  <c r="H800" i="8"/>
  <c r="H799" i="8"/>
  <c r="H797" i="8"/>
  <c r="H630" i="8"/>
  <c r="H634" i="8"/>
  <c r="H632" i="8"/>
  <c r="H633" i="8"/>
  <c r="H532" i="8"/>
  <c r="H538" i="8"/>
  <c r="H539" i="8"/>
  <c r="H534" i="8"/>
  <c r="H374" i="8"/>
  <c r="H379" i="8"/>
  <c r="H372" i="8"/>
  <c r="H373" i="8"/>
  <c r="H219" i="8"/>
  <c r="H218" i="8"/>
  <c r="H212" i="8"/>
  <c r="H215" i="8"/>
  <c r="H1381" i="30"/>
  <c r="H417" i="30"/>
  <c r="H97" i="30"/>
  <c r="H1235" i="26"/>
  <c r="H1075" i="26"/>
  <c r="H916" i="26"/>
  <c r="H920" i="26"/>
  <c r="H756" i="26"/>
  <c r="H591" i="26"/>
  <c r="H434" i="26"/>
  <c r="H269" i="26"/>
  <c r="H270" i="26"/>
  <c r="H62" i="26"/>
  <c r="H61" i="26"/>
  <c r="H1570" i="26"/>
  <c r="H335" i="21"/>
  <c r="H498" i="21"/>
  <c r="H15" i="21"/>
  <c r="H16" i="21"/>
  <c r="H1288" i="15"/>
  <c r="H1284" i="15"/>
  <c r="H441" i="15"/>
  <c r="H442" i="15"/>
  <c r="H18" i="15"/>
  <c r="H826" i="32"/>
  <c r="H818" i="32"/>
  <c r="H541" i="32"/>
  <c r="H1281" i="15"/>
  <c r="H33" i="8"/>
  <c r="H34" i="8"/>
  <c r="H401" i="13"/>
  <c r="H402" i="13"/>
  <c r="H246" i="13"/>
  <c r="H242" i="13"/>
  <c r="H239" i="13"/>
  <c r="H138" i="11"/>
  <c r="H141" i="11"/>
  <c r="H406" i="13"/>
  <c r="H581" i="13"/>
  <c r="H40" i="8"/>
  <c r="H1317" i="30"/>
  <c r="H41" i="30"/>
  <c r="H455" i="26"/>
  <c r="H460" i="26"/>
  <c r="H453" i="26"/>
  <c r="H456" i="26"/>
  <c r="H287" i="26"/>
  <c r="H459" i="26"/>
  <c r="H2051" i="15"/>
  <c r="H1482" i="30"/>
  <c r="H1477" i="30"/>
  <c r="H277" i="30"/>
  <c r="H282" i="30"/>
  <c r="H1097" i="26"/>
  <c r="H1096" i="26"/>
  <c r="H1100" i="26"/>
  <c r="H934" i="26"/>
  <c r="H941" i="26"/>
  <c r="H780" i="26"/>
  <c r="H774" i="26"/>
  <c r="H781" i="26"/>
  <c r="H616" i="26"/>
  <c r="H614" i="26"/>
  <c r="H620" i="26"/>
  <c r="H619" i="26"/>
  <c r="H92" i="26"/>
  <c r="H103" i="26"/>
  <c r="H91" i="26"/>
  <c r="H104" i="26"/>
  <c r="H518" i="21"/>
  <c r="H521" i="21"/>
  <c r="H515" i="21"/>
  <c r="H522" i="21"/>
  <c r="H357" i="21"/>
  <c r="H355" i="21"/>
  <c r="H197" i="21"/>
  <c r="H195" i="21"/>
  <c r="H198" i="21"/>
  <c r="H42" i="21"/>
  <c r="H37" i="21"/>
  <c r="H138" i="16"/>
  <c r="H134" i="16"/>
  <c r="H1918" i="15"/>
  <c r="H1932" i="15"/>
  <c r="H1916" i="15"/>
  <c r="H1917" i="15"/>
  <c r="H1825" i="15"/>
  <c r="H1725" i="15"/>
  <c r="H1729" i="15"/>
  <c r="H1709" i="15"/>
  <c r="H1702" i="15"/>
  <c r="H1705" i="15"/>
  <c r="H1405" i="15"/>
  <c r="H1394" i="15"/>
  <c r="H1398" i="15"/>
  <c r="H1449" i="15"/>
  <c r="H1445" i="15"/>
  <c r="H1448" i="15"/>
  <c r="H1079" i="15"/>
  <c r="H907" i="15"/>
  <c r="H895" i="15"/>
  <c r="H1309" i="15"/>
  <c r="H460" i="15"/>
  <c r="H283" i="15"/>
  <c r="H286" i="15"/>
  <c r="H938" i="13"/>
  <c r="H776" i="26"/>
  <c r="H517" i="21"/>
  <c r="H1101" i="26"/>
  <c r="H295" i="26"/>
  <c r="H1922" i="15"/>
  <c r="H2052" i="15"/>
  <c r="H592" i="8"/>
  <c r="H174" i="8"/>
  <c r="H491" i="8"/>
  <c r="H756" i="8"/>
  <c r="H172" i="8"/>
  <c r="H499" i="8"/>
  <c r="H593" i="8"/>
  <c r="H494" i="8"/>
  <c r="H757" i="8"/>
  <c r="H179" i="8"/>
  <c r="H490" i="8"/>
  <c r="H686" i="15"/>
  <c r="H681" i="15"/>
  <c r="H396" i="30"/>
  <c r="H362" i="30"/>
  <c r="H354" i="30"/>
  <c r="H842" i="30"/>
  <c r="H599" i="32"/>
  <c r="H96" i="30"/>
  <c r="H1181" i="32"/>
  <c r="H882" i="30"/>
  <c r="H877" i="30"/>
  <c r="H1384" i="26"/>
  <c r="H1378" i="26"/>
  <c r="H861" i="32"/>
  <c r="H436" i="26"/>
  <c r="H1388" i="26"/>
  <c r="H901" i="30"/>
  <c r="H893" i="30"/>
  <c r="H1571" i="26"/>
  <c r="H1400" i="26"/>
  <c r="H1402" i="26"/>
  <c r="H1236" i="26"/>
  <c r="H1237" i="26"/>
  <c r="H754" i="26"/>
  <c r="H757" i="26"/>
  <c r="H755" i="26"/>
  <c r="H594" i="26"/>
  <c r="H595" i="26"/>
  <c r="H596" i="26"/>
  <c r="H58" i="26"/>
  <c r="H60" i="26"/>
  <c r="H66" i="26"/>
  <c r="H502" i="21"/>
  <c r="H495" i="21"/>
  <c r="H342" i="21"/>
  <c r="H333" i="21"/>
  <c r="H341" i="21"/>
  <c r="H337" i="21"/>
  <c r="H181" i="21"/>
  <c r="H175" i="21"/>
  <c r="H178" i="21"/>
  <c r="H177" i="21"/>
  <c r="H22" i="21"/>
  <c r="H18" i="21"/>
  <c r="H161" i="32"/>
  <c r="H157" i="32"/>
  <c r="H245" i="32"/>
  <c r="H241" i="32"/>
  <c r="H359" i="32"/>
  <c r="H980" i="32"/>
  <c r="H981" i="32"/>
  <c r="H1186" i="32"/>
  <c r="H1180" i="32"/>
  <c r="H825" i="32"/>
  <c r="H821" i="32"/>
  <c r="H538" i="32"/>
  <c r="H546" i="32"/>
  <c r="H545" i="32"/>
  <c r="H1502" i="30"/>
  <c r="H1498" i="30"/>
  <c r="H1318" i="30"/>
  <c r="H1314" i="30"/>
  <c r="H1158" i="30"/>
  <c r="H1157" i="30"/>
  <c r="H997" i="30"/>
  <c r="H1002" i="30"/>
  <c r="H833" i="30"/>
  <c r="H837" i="30"/>
  <c r="H677" i="30"/>
  <c r="H674" i="30"/>
  <c r="H675" i="30"/>
  <c r="H522" i="30"/>
  <c r="H518" i="30"/>
  <c r="H521" i="30"/>
  <c r="H513" i="30"/>
  <c r="H517" i="30"/>
  <c r="H201" i="30"/>
  <c r="H196" i="30"/>
  <c r="H38" i="30"/>
  <c r="H42" i="30"/>
  <c r="H1508" i="26"/>
  <c r="H1509" i="26"/>
  <c r="H1507" i="26"/>
  <c r="H1513" i="26"/>
  <c r="H1510" i="26"/>
  <c r="H1336" i="26"/>
  <c r="H1341" i="26"/>
  <c r="H1345" i="26"/>
  <c r="H1344" i="26"/>
  <c r="H600" i="32"/>
  <c r="H358" i="30"/>
  <c r="H357" i="32"/>
  <c r="H501" i="21"/>
  <c r="H497" i="21"/>
  <c r="H361" i="30"/>
  <c r="H1340" i="26"/>
  <c r="H245" i="13"/>
  <c r="H1588" i="15"/>
  <c r="H447" i="15"/>
  <c r="H917" i="13"/>
  <c r="H918" i="13"/>
  <c r="H75" i="13"/>
  <c r="H78" i="13"/>
  <c r="H1332" i="26"/>
  <c r="H443" i="15"/>
  <c r="H135" i="11"/>
  <c r="H142" i="11"/>
  <c r="H896" i="8"/>
  <c r="H683" i="15"/>
  <c r="H924" i="13"/>
  <c r="H567" i="13"/>
  <c r="H274" i="13"/>
  <c r="H233" i="13"/>
  <c r="H187" i="11"/>
  <c r="H889" i="8"/>
  <c r="H679" i="15"/>
  <c r="H910" i="26"/>
  <c r="H997" i="13"/>
  <c r="H997" i="26"/>
  <c r="H1478" i="30"/>
  <c r="H1021" i="32"/>
  <c r="H993" i="13"/>
  <c r="H998" i="13"/>
  <c r="H475" i="21"/>
  <c r="H418" i="21"/>
  <c r="H421" i="21"/>
  <c r="H2091" i="15"/>
  <c r="H2095" i="15"/>
  <c r="H883" i="8"/>
  <c r="H884" i="8"/>
  <c r="H661" i="13"/>
  <c r="H153" i="13"/>
  <c r="H387" i="8"/>
  <c r="H48" i="8"/>
  <c r="H325" i="13"/>
  <c r="H326" i="13"/>
  <c r="H319" i="13"/>
  <c r="H62" i="8"/>
  <c r="H55" i="8"/>
  <c r="H1481" i="30"/>
  <c r="H88" i="8"/>
  <c r="H49" i="8"/>
  <c r="H31" i="8"/>
  <c r="H9" i="8"/>
  <c r="H676" i="15"/>
  <c r="H682" i="15"/>
  <c r="H870" i="8"/>
  <c r="H706" i="8"/>
  <c r="H684" i="8"/>
  <c r="H587" i="8"/>
  <c r="H485" i="8"/>
  <c r="H425" i="8"/>
  <c r="H326" i="8"/>
  <c r="H204" i="8"/>
  <c r="H121" i="8"/>
  <c r="H665" i="13"/>
  <c r="H571" i="13"/>
  <c r="H394" i="13"/>
  <c r="H312" i="13"/>
  <c r="H69" i="13"/>
  <c r="H250" i="11"/>
  <c r="H191" i="11"/>
  <c r="H893" i="8"/>
  <c r="H869" i="8"/>
  <c r="H812" i="8"/>
  <c r="H791" i="8"/>
  <c r="H749" i="8"/>
  <c r="H586" i="8"/>
  <c r="H484" i="8"/>
  <c r="H424" i="8"/>
  <c r="H367" i="8"/>
  <c r="H325" i="8"/>
  <c r="H228" i="8"/>
  <c r="H122" i="8"/>
  <c r="H120" i="8"/>
  <c r="H546" i="8"/>
  <c r="H50" i="11"/>
  <c r="H569" i="13"/>
  <c r="H155" i="13"/>
  <c r="E1451" i="32"/>
  <c r="G72" i="13"/>
  <c r="H72" i="13" s="1"/>
  <c r="G196" i="6"/>
  <c r="G99" i="8"/>
  <c r="H99" i="8" s="1"/>
  <c r="H524" i="8"/>
  <c r="G114" i="13"/>
  <c r="H114" i="13" s="1"/>
  <c r="G117" i="6"/>
  <c r="G116" i="6" s="1"/>
  <c r="G323" i="26"/>
  <c r="G321" i="26" s="1"/>
  <c r="G302" i="26"/>
  <c r="H302" i="26" s="1"/>
  <c r="G281" i="26"/>
  <c r="H281" i="26" s="1"/>
  <c r="G239" i="26"/>
  <c r="G218" i="26"/>
  <c r="H218" i="26" s="1"/>
  <c r="G53" i="26"/>
  <c r="H53" i="26" s="1"/>
  <c r="E1272" i="15"/>
  <c r="G177" i="6"/>
  <c r="G176" i="6" s="1"/>
  <c r="H682" i="32"/>
  <c r="H217" i="30"/>
  <c r="H222" i="30"/>
  <c r="H1622" i="15"/>
  <c r="H1624" i="15"/>
  <c r="H1625" i="15"/>
  <c r="H1628" i="15"/>
  <c r="H1629" i="15"/>
  <c r="H1621" i="15"/>
  <c r="H803" i="15"/>
  <c r="H806" i="15"/>
  <c r="H807" i="15"/>
  <c r="H800" i="15"/>
  <c r="H1470" i="26"/>
  <c r="H1469" i="26"/>
  <c r="H1473" i="26"/>
  <c r="H1300" i="26"/>
  <c r="H1297" i="26"/>
  <c r="H1301" i="26"/>
  <c r="H1296" i="26"/>
  <c r="H1292" i="26"/>
  <c r="H1141" i="26"/>
  <c r="H1140" i="26"/>
  <c r="H1137" i="26"/>
  <c r="H1134" i="26"/>
  <c r="H1136" i="26"/>
  <c r="H821" i="26"/>
  <c r="H816" i="26"/>
  <c r="H820" i="26"/>
  <c r="H812" i="26"/>
  <c r="H496" i="26"/>
  <c r="H495" i="26"/>
  <c r="H493" i="26"/>
  <c r="H500" i="26"/>
  <c r="H499" i="26"/>
  <c r="H329" i="26"/>
  <c r="H333" i="26"/>
  <c r="H337" i="26"/>
  <c r="H338" i="26"/>
  <c r="H328" i="26"/>
  <c r="H334" i="26"/>
  <c r="H172" i="26"/>
  <c r="H161" i="26"/>
  <c r="H162" i="26"/>
  <c r="H163" i="26"/>
  <c r="H173" i="26"/>
  <c r="H169" i="26"/>
  <c r="H160" i="26"/>
  <c r="H165" i="26"/>
  <c r="H1181" i="30"/>
  <c r="H541" i="30"/>
  <c r="H1530" i="26"/>
  <c r="H1533" i="26"/>
  <c r="H1529" i="26"/>
  <c r="H1525" i="26"/>
  <c r="H876" i="26"/>
  <c r="H874" i="26"/>
  <c r="H880" i="26"/>
  <c r="H551" i="26"/>
  <c r="H555" i="26"/>
  <c r="H233" i="26"/>
  <c r="H1234" i="24"/>
  <c r="H141" i="21"/>
  <c r="H142" i="21"/>
  <c r="H135" i="21"/>
  <c r="H138" i="21"/>
  <c r="H128" i="21"/>
  <c r="H982" i="15"/>
  <c r="H986" i="15"/>
  <c r="H987" i="15"/>
  <c r="H980" i="15"/>
  <c r="H476" i="15"/>
  <c r="H486" i="15"/>
  <c r="H480" i="15"/>
  <c r="H487" i="15"/>
  <c r="H483" i="15"/>
  <c r="H42" i="15"/>
  <c r="H46" i="15"/>
  <c r="H43" i="15"/>
  <c r="H55" i="33"/>
  <c r="H225" i="32"/>
  <c r="H742" i="32"/>
  <c r="H739" i="32"/>
  <c r="H1615" i="30"/>
  <c r="H1621" i="30"/>
  <c r="H1617" i="30"/>
  <c r="H1618" i="30"/>
  <c r="H481" i="30"/>
  <c r="H473" i="30"/>
  <c r="H478" i="30"/>
  <c r="H477" i="30"/>
  <c r="H482" i="30"/>
  <c r="H1634" i="26"/>
  <c r="H1635" i="26"/>
  <c r="H1631" i="26"/>
  <c r="H1630" i="26"/>
  <c r="H381" i="30"/>
  <c r="H1173" i="30"/>
  <c r="H1522" i="32"/>
  <c r="H1521" i="32"/>
  <c r="H1525" i="32"/>
  <c r="H946" i="32"/>
  <c r="H1461" i="30"/>
  <c r="H1455" i="30"/>
  <c r="H1457" i="30"/>
  <c r="H1458" i="30"/>
  <c r="H641" i="30"/>
  <c r="H634" i="30"/>
  <c r="H642" i="30"/>
  <c r="H162" i="30"/>
  <c r="H161" i="30"/>
  <c r="H153" i="30"/>
  <c r="H651" i="26"/>
  <c r="H656" i="26"/>
  <c r="H660" i="26"/>
  <c r="H655" i="26"/>
  <c r="H137" i="21"/>
  <c r="H1334" i="30"/>
  <c r="H394" i="26"/>
  <c r="H398" i="26"/>
  <c r="H462" i="21"/>
  <c r="H455" i="21"/>
  <c r="H458" i="21"/>
  <c r="H461" i="21"/>
  <c r="H457" i="21"/>
  <c r="H1565" i="15"/>
  <c r="H1568" i="15"/>
  <c r="H1569" i="15"/>
  <c r="H1561" i="15"/>
  <c r="H1562" i="15"/>
  <c r="H1564" i="15"/>
  <c r="H1147" i="15"/>
  <c r="H1140" i="15"/>
  <c r="H1142" i="15"/>
  <c r="H1146" i="15"/>
  <c r="H1143" i="15"/>
  <c r="H383" i="15"/>
  <c r="H386" i="15"/>
  <c r="H382" i="15"/>
  <c r="H406" i="32"/>
  <c r="H402" i="32"/>
  <c r="H957" i="30"/>
  <c r="H958" i="30"/>
  <c r="H377" i="30"/>
  <c r="H1521" i="30"/>
  <c r="H1040" i="26"/>
  <c r="H1037" i="26"/>
  <c r="H1034" i="26"/>
  <c r="H1041" i="26"/>
  <c r="H1036" i="26"/>
  <c r="H720" i="26"/>
  <c r="H717" i="26"/>
  <c r="H714" i="26"/>
  <c r="H716" i="26"/>
  <c r="H721" i="26"/>
  <c r="H297" i="21"/>
  <c r="H295" i="21"/>
  <c r="H302" i="21"/>
  <c r="H301" i="21"/>
  <c r="H298" i="21"/>
  <c r="H77" i="16"/>
  <c r="H82" i="16"/>
  <c r="H74" i="16"/>
  <c r="H75" i="16"/>
  <c r="H78" i="16"/>
  <c r="H81" i="16"/>
  <c r="H1992" i="15"/>
  <c r="H1994" i="15"/>
  <c r="H1995" i="15"/>
  <c r="H1998" i="15"/>
  <c r="H1999" i="15"/>
  <c r="H1991" i="15"/>
  <c r="H501" i="32"/>
  <c r="H1282" i="30"/>
  <c r="H1275" i="30"/>
  <c r="H1281" i="30"/>
  <c r="H1278" i="30"/>
  <c r="H793" i="30"/>
  <c r="H322" i="30"/>
  <c r="H315" i="30"/>
  <c r="H318" i="30"/>
  <c r="H317" i="30"/>
  <c r="H228" i="26"/>
  <c r="H1626" i="26"/>
  <c r="H168" i="26"/>
  <c r="H1359" i="26"/>
  <c r="H1362" i="26"/>
  <c r="H1665" i="15"/>
  <c r="H1668" i="15"/>
  <c r="H1661" i="15"/>
  <c r="H1664" i="15"/>
  <c r="H1669" i="15"/>
  <c r="H319" i="32"/>
  <c r="H782" i="32"/>
  <c r="H781" i="32"/>
  <c r="H1117" i="30"/>
  <c r="H1113" i="30"/>
  <c r="H1115" i="30"/>
  <c r="H1121" i="30"/>
  <c r="H1122" i="30"/>
  <c r="H1118" i="30"/>
  <c r="H778" i="32"/>
  <c r="H980" i="26"/>
  <c r="H974" i="26"/>
  <c r="H981" i="26"/>
  <c r="H977" i="26"/>
  <c r="H976" i="26"/>
  <c r="H817" i="26"/>
  <c r="H797" i="30"/>
  <c r="H164" i="26"/>
  <c r="H1614" i="30"/>
  <c r="H555" i="21"/>
  <c r="H562" i="21"/>
  <c r="H554" i="21"/>
  <c r="H558" i="21"/>
  <c r="H395" i="21"/>
  <c r="H394" i="21"/>
  <c r="H401" i="21"/>
  <c r="H398" i="21"/>
  <c r="H242" i="21"/>
  <c r="H235" i="21"/>
  <c r="H238" i="21"/>
  <c r="H241" i="21"/>
  <c r="H227" i="21"/>
  <c r="H237" i="21"/>
  <c r="H233" i="21"/>
  <c r="H82" i="21"/>
  <c r="H73" i="21"/>
  <c r="H75" i="21"/>
  <c r="H78" i="21"/>
  <c r="H81" i="21"/>
  <c r="H77" i="21"/>
  <c r="H181" i="16"/>
  <c r="H178" i="16"/>
  <c r="H174" i="16"/>
  <c r="H20" i="16"/>
  <c r="H17" i="16"/>
  <c r="H19" i="16"/>
  <c r="H15" i="16"/>
  <c r="H1841" i="15"/>
  <c r="H1844" i="15"/>
  <c r="H1845" i="15"/>
  <c r="H1608" i="15"/>
  <c r="H1368" i="15"/>
  <c r="H1362" i="15"/>
  <c r="H1461" i="15"/>
  <c r="H1465" i="15"/>
  <c r="H1462" i="15"/>
  <c r="H1163" i="15"/>
  <c r="H932" i="15"/>
  <c r="H940" i="15"/>
  <c r="H942" i="15"/>
  <c r="H842" i="15"/>
  <c r="H832" i="15"/>
  <c r="H846" i="15"/>
  <c r="H546" i="15"/>
  <c r="H547" i="15"/>
  <c r="H327" i="15"/>
  <c r="H323" i="15"/>
  <c r="H177" i="32"/>
  <c r="H1377" i="30"/>
  <c r="H1378" i="30"/>
  <c r="H1221" i="30"/>
  <c r="H1215" i="30"/>
  <c r="H1062" i="30"/>
  <c r="H1057" i="30"/>
  <c r="H581" i="30"/>
  <c r="H577" i="30"/>
  <c r="H414" i="30"/>
  <c r="H415" i="30"/>
  <c r="H407" i="30"/>
  <c r="H101" i="30"/>
  <c r="H95" i="30"/>
  <c r="H737" i="30"/>
  <c r="H397" i="21"/>
  <c r="H578" i="30"/>
  <c r="H402" i="21"/>
  <c r="H897" i="30"/>
  <c r="H93" i="30"/>
  <c r="H1602" i="15"/>
  <c r="H1294" i="30"/>
  <c r="H1297" i="30"/>
  <c r="H1135" i="30"/>
  <c r="H1133" i="30"/>
  <c r="H962" i="32"/>
  <c r="H966" i="32"/>
  <c r="H802" i="32"/>
  <c r="H799" i="32"/>
  <c r="H561" i="21"/>
  <c r="H977" i="13"/>
  <c r="H966" i="13"/>
  <c r="H973" i="13"/>
  <c r="H651" i="13"/>
  <c r="H641" i="13"/>
  <c r="H654" i="13"/>
  <c r="H469" i="13"/>
  <c r="H462" i="13"/>
  <c r="H454" i="13"/>
  <c r="H306" i="13"/>
  <c r="H305" i="13"/>
  <c r="H302" i="13"/>
  <c r="H138" i="13"/>
  <c r="H142" i="13"/>
  <c r="H145" i="13"/>
  <c r="H141" i="13"/>
  <c r="H202" i="11"/>
  <c r="H194" i="11"/>
  <c r="H195" i="11"/>
  <c r="H42" i="11"/>
  <c r="H38" i="11"/>
  <c r="H1568" i="26"/>
  <c r="H1574" i="26"/>
  <c r="H1575" i="26"/>
  <c r="H1410" i="26"/>
  <c r="H1407" i="26"/>
  <c r="H1401" i="26"/>
  <c r="H1411" i="26"/>
  <c r="H1240" i="26"/>
  <c r="H1234" i="26"/>
  <c r="H1241" i="26"/>
  <c r="H1081" i="26"/>
  <c r="H1080" i="26"/>
  <c r="H1076" i="26"/>
  <c r="H1077" i="26"/>
  <c r="H921" i="26"/>
  <c r="H914" i="26"/>
  <c r="H760" i="26"/>
  <c r="H761" i="26"/>
  <c r="H599" i="26"/>
  <c r="H600" i="26"/>
  <c r="H814" i="13"/>
  <c r="H1563" i="26"/>
  <c r="H1564" i="26"/>
  <c r="H978" i="13"/>
  <c r="H465" i="13"/>
  <c r="H299" i="13"/>
  <c r="H301" i="13"/>
  <c r="H648" i="13"/>
  <c r="H464" i="13"/>
  <c r="H813" i="13"/>
  <c r="H1403" i="26"/>
  <c r="H803" i="8"/>
  <c r="H796" i="8"/>
  <c r="H639" i="8"/>
  <c r="H635" i="8"/>
  <c r="H433" i="26"/>
  <c r="H439" i="26"/>
  <c r="H440" i="26"/>
  <c r="H266" i="26"/>
  <c r="H274" i="26"/>
  <c r="H275" i="26"/>
  <c r="H59" i="26"/>
  <c r="H70" i="26"/>
  <c r="H69" i="26"/>
  <c r="H57" i="26"/>
  <c r="H435" i="26"/>
  <c r="H134" i="13"/>
  <c r="H271" i="26"/>
  <c r="H65" i="26"/>
  <c r="H549" i="26"/>
  <c r="H1555" i="15"/>
  <c r="H825" i="13"/>
  <c r="H747" i="13"/>
  <c r="H596" i="13"/>
  <c r="H481" i="13"/>
  <c r="H435" i="13"/>
  <c r="H391" i="13"/>
  <c r="H293" i="13"/>
  <c r="H235" i="13"/>
  <c r="H189" i="11"/>
  <c r="H131" i="11"/>
  <c r="H891" i="8"/>
  <c r="H810" i="8"/>
  <c r="H789" i="8"/>
  <c r="H747" i="8"/>
  <c r="H545" i="8"/>
  <c r="H446" i="8"/>
  <c r="H365" i="8"/>
  <c r="H168" i="8"/>
  <c r="H35" i="15"/>
  <c r="H413" i="15"/>
  <c r="H274" i="11"/>
  <c r="H121" i="11"/>
  <c r="H358" i="8"/>
  <c r="H786" i="15"/>
  <c r="H787" i="15"/>
  <c r="H783" i="15"/>
  <c r="H619" i="15"/>
  <c r="H622" i="15"/>
  <c r="H626" i="15"/>
  <c r="H660" i="15"/>
  <c r="H662" i="15"/>
  <c r="H659" i="15"/>
  <c r="H666" i="15"/>
  <c r="H667" i="15"/>
  <c r="H663" i="15"/>
  <c r="H75" i="33"/>
  <c r="H77" i="33"/>
  <c r="H204" i="32"/>
  <c r="H341" i="32"/>
  <c r="H339" i="32"/>
  <c r="H345" i="32"/>
  <c r="H961" i="32"/>
  <c r="H959" i="32"/>
  <c r="H1162" i="32"/>
  <c r="H1165" i="32"/>
  <c r="H805" i="32"/>
  <c r="H801" i="32"/>
  <c r="H806" i="32"/>
  <c r="H521" i="32"/>
  <c r="H519" i="32"/>
  <c r="H1139" i="32"/>
  <c r="H1142" i="32"/>
  <c r="H1146" i="32"/>
  <c r="H522" i="32"/>
  <c r="H1158" i="32"/>
  <c r="H1142" i="30"/>
  <c r="H1141" i="30"/>
  <c r="H346" i="32"/>
  <c r="H738" i="13"/>
  <c r="H1138" i="30"/>
  <c r="H477" i="21"/>
  <c r="H965" i="32"/>
  <c r="H200" i="32"/>
  <c r="H201" i="32"/>
  <c r="H198" i="32"/>
  <c r="H2072" i="15"/>
  <c r="H1562" i="30"/>
  <c r="H1558" i="30"/>
  <c r="H290" i="21"/>
  <c r="H892" i="8"/>
  <c r="H790" i="8"/>
  <c r="H748" i="8"/>
  <c r="H447" i="8"/>
  <c r="H226" i="8"/>
  <c r="H574" i="30"/>
  <c r="H867" i="30"/>
  <c r="H1087" i="26"/>
  <c r="H807" i="26"/>
  <c r="H47" i="26"/>
  <c r="H490" i="21"/>
  <c r="H167" i="21"/>
  <c r="H30" i="21"/>
  <c r="H660" i="13"/>
  <c r="H315" i="13"/>
  <c r="H207" i="11"/>
  <c r="H386" i="8"/>
  <c r="H29" i="8"/>
  <c r="H1322" i="32"/>
  <c r="H1126" i="26"/>
  <c r="H750" i="26"/>
  <c r="H585" i="26"/>
  <c r="H389" i="21"/>
  <c r="H331" i="21"/>
  <c r="H29" i="21"/>
  <c r="H1319" i="32"/>
  <c r="H27" i="15"/>
  <c r="H333" i="13"/>
  <c r="G93" i="13"/>
  <c r="H93" i="13" s="1"/>
  <c r="G89" i="11"/>
  <c r="H89" i="11" s="1"/>
  <c r="G29" i="11"/>
  <c r="H29" i="11" s="1"/>
  <c r="H475" i="13"/>
  <c r="G49" i="11"/>
  <c r="H49" i="11" s="1"/>
  <c r="G137" i="6"/>
  <c r="G136" i="6" s="1"/>
  <c r="G69" i="11"/>
  <c r="H69" i="11" s="1"/>
  <c r="G31" i="11"/>
  <c r="H31" i="11" s="1"/>
  <c r="H1566" i="32"/>
  <c r="H1562" i="32"/>
  <c r="H1119" i="32"/>
  <c r="H1122" i="32"/>
  <c r="H1197" i="30"/>
  <c r="H1193" i="30"/>
  <c r="H1198" i="30"/>
  <c r="H1195" i="30"/>
  <c r="H555" i="30"/>
  <c r="H553" i="30"/>
  <c r="H562" i="30"/>
  <c r="H557" i="30"/>
  <c r="H402" i="30"/>
  <c r="H398" i="30"/>
  <c r="H237" i="30"/>
  <c r="H238" i="30"/>
  <c r="H242" i="30"/>
  <c r="H81" i="30"/>
  <c r="H78" i="30"/>
  <c r="H77" i="30"/>
  <c r="H1554" i="26"/>
  <c r="H1553" i="26"/>
  <c r="H1550" i="26"/>
  <c r="H1547" i="26"/>
  <c r="H1379" i="26"/>
  <c r="H1381" i="26"/>
  <c r="H1380" i="26"/>
  <c r="H1389" i="26"/>
  <c r="H1385" i="26"/>
  <c r="H1120" i="26"/>
  <c r="H1114" i="26"/>
  <c r="H1116" i="26"/>
  <c r="H961" i="26"/>
  <c r="H957" i="26"/>
  <c r="H956" i="26"/>
  <c r="H960" i="26"/>
  <c r="H800" i="26"/>
  <c r="H797" i="26"/>
  <c r="H794" i="26"/>
  <c r="H801" i="26"/>
  <c r="H796" i="26"/>
  <c r="H636" i="26"/>
  <c r="H631" i="26"/>
  <c r="H635" i="26"/>
  <c r="H473" i="26"/>
  <c r="H479" i="26"/>
  <c r="H476" i="26"/>
  <c r="H475" i="26"/>
  <c r="H307" i="26"/>
  <c r="H313" i="26"/>
  <c r="H316" i="26"/>
  <c r="H303" i="26"/>
  <c r="H137" i="26"/>
  <c r="H128" i="26"/>
  <c r="H127" i="26"/>
  <c r="H129" i="26"/>
  <c r="H130" i="26"/>
  <c r="H133" i="26"/>
  <c r="H126" i="26"/>
  <c r="H954" i="13"/>
  <c r="H958" i="13"/>
  <c r="H957" i="13"/>
  <c r="H797" i="13"/>
  <c r="H794" i="13"/>
  <c r="H798" i="13"/>
  <c r="H630" i="13"/>
  <c r="H627" i="13"/>
  <c r="H442" i="13"/>
  <c r="H445" i="13"/>
  <c r="H431" i="13"/>
  <c r="H433" i="13"/>
  <c r="H441" i="13"/>
  <c r="H282" i="13"/>
  <c r="H285" i="13"/>
  <c r="H286" i="13"/>
  <c r="H279" i="13"/>
  <c r="H271" i="13"/>
  <c r="H281" i="13"/>
  <c r="H121" i="13"/>
  <c r="H120" i="13"/>
  <c r="H125" i="13"/>
  <c r="H117" i="13"/>
  <c r="H865" i="32"/>
  <c r="H1225" i="32"/>
  <c r="H1221" i="32"/>
  <c r="H1218" i="32"/>
  <c r="H478" i="32"/>
  <c r="H486" i="32"/>
  <c r="H642" i="32"/>
  <c r="H1326" i="32"/>
  <c r="H1535" i="30"/>
  <c r="H1541" i="30"/>
  <c r="H1355" i="30"/>
  <c r="H1358" i="30"/>
  <c r="H1361" i="30"/>
  <c r="H1038" i="30"/>
  <c r="H873" i="30"/>
  <c r="H881" i="30"/>
  <c r="H714" i="30"/>
  <c r="H721" i="30"/>
  <c r="H715" i="30"/>
  <c r="H878" i="30"/>
  <c r="H1065" i="32"/>
  <c r="H1321" i="32"/>
  <c r="H1177" i="30"/>
  <c r="H1059" i="32"/>
  <c r="H480" i="26"/>
  <c r="H617" i="30"/>
  <c r="H138" i="33"/>
  <c r="H141" i="33"/>
  <c r="H1422" i="32"/>
  <c r="H1425" i="32"/>
  <c r="H1421" i="32"/>
  <c r="H1417" i="32"/>
  <c r="H717" i="30"/>
  <c r="H1117" i="26"/>
  <c r="H954" i="26"/>
  <c r="H134" i="33"/>
  <c r="H1219" i="32"/>
  <c r="H138" i="26"/>
  <c r="H1517" i="30"/>
  <c r="H1518" i="30"/>
  <c r="H1513" i="30"/>
  <c r="H1178" i="30"/>
  <c r="H1015" i="30"/>
  <c r="H1021" i="30"/>
  <c r="H1017" i="30"/>
  <c r="H1018" i="30"/>
  <c r="H858" i="30"/>
  <c r="H855" i="30"/>
  <c r="H862" i="30"/>
  <c r="H861" i="30"/>
  <c r="H857" i="30"/>
  <c r="H853" i="30"/>
  <c r="H702" i="30"/>
  <c r="H701" i="30"/>
  <c r="H697" i="30"/>
  <c r="H537" i="30"/>
  <c r="H533" i="30"/>
  <c r="H378" i="30"/>
  <c r="H375" i="30"/>
  <c r="H221" i="30"/>
  <c r="H213" i="30"/>
  <c r="H215" i="30"/>
  <c r="H218" i="30"/>
  <c r="H58" i="30"/>
  <c r="H62" i="30"/>
  <c r="H57" i="30"/>
  <c r="H51" i="30"/>
  <c r="H1341" i="30"/>
  <c r="H1337" i="30"/>
  <c r="H1533" i="30"/>
  <c r="H1325" i="32"/>
  <c r="H1125" i="32"/>
  <c r="H75" i="30"/>
  <c r="H722" i="30"/>
  <c r="H308" i="26"/>
  <c r="H666" i="32"/>
  <c r="H1037" i="30"/>
  <c r="H875" i="30"/>
  <c r="H567" i="8"/>
  <c r="H419" i="8"/>
  <c r="H415" i="8"/>
  <c r="H408" i="8"/>
  <c r="H411" i="8"/>
  <c r="H252" i="8"/>
  <c r="H259" i="8"/>
  <c r="H82" i="8"/>
  <c r="H74" i="8"/>
  <c r="H81" i="8"/>
  <c r="H41" i="36"/>
  <c r="H38" i="36"/>
  <c r="H37" i="36"/>
  <c r="H414" i="8"/>
  <c r="H568" i="8"/>
  <c r="H575" i="8"/>
  <c r="H78" i="8"/>
  <c r="H412" i="8"/>
  <c r="H1527" i="26"/>
  <c r="H1534" i="26"/>
  <c r="H1358" i="26"/>
  <c r="H1363" i="26"/>
  <c r="H1356" i="26"/>
  <c r="H1366" i="26"/>
  <c r="H171" i="32"/>
  <c r="H176" i="32"/>
  <c r="H1375" i="30"/>
  <c r="H1222" i="30"/>
  <c r="H1213" i="30"/>
  <c r="H1055" i="30"/>
  <c r="H1054" i="30"/>
  <c r="H179" i="32"/>
  <c r="H98" i="30"/>
  <c r="H741" i="30"/>
  <c r="H421" i="30"/>
  <c r="H102" i="30"/>
  <c r="H221" i="33"/>
  <c r="H217" i="33"/>
  <c r="H785" i="32"/>
  <c r="H499" i="32"/>
  <c r="H505" i="32"/>
  <c r="H1001" i="32"/>
  <c r="H1002" i="32"/>
  <c r="H1005" i="32"/>
  <c r="H575" i="30"/>
  <c r="H582" i="30"/>
  <c r="H262" i="30"/>
  <c r="H261" i="30"/>
  <c r="H257" i="30"/>
  <c r="H255" i="30"/>
  <c r="H649" i="26"/>
  <c r="H937" i="26"/>
  <c r="H954" i="30"/>
  <c r="H814" i="26"/>
  <c r="H940" i="26"/>
  <c r="H659" i="26"/>
  <c r="H1406" i="26"/>
  <c r="H1441" i="30"/>
  <c r="H1438" i="30"/>
  <c r="H1435" i="30"/>
  <c r="H1442" i="30"/>
  <c r="H1437" i="30"/>
  <c r="H1434" i="30"/>
  <c r="H458" i="30"/>
  <c r="H453" i="30"/>
  <c r="H461" i="30"/>
  <c r="H1614" i="26"/>
  <c r="H1610" i="26"/>
  <c r="H1606" i="26"/>
  <c r="H860" i="26"/>
  <c r="H854" i="26"/>
  <c r="H857" i="26"/>
  <c r="H861" i="26"/>
  <c r="H856" i="26"/>
  <c r="H700" i="26"/>
  <c r="H696" i="26"/>
  <c r="H701" i="26"/>
  <c r="H597" i="21"/>
  <c r="H22" i="13"/>
  <c r="H18" i="13"/>
  <c r="H15" i="13"/>
  <c r="H9" i="13"/>
  <c r="H17" i="13"/>
  <c r="H21" i="13"/>
  <c r="H295" i="30"/>
  <c r="H298" i="30"/>
  <c r="H302" i="30"/>
  <c r="H135" i="30"/>
  <c r="H138" i="30"/>
  <c r="H142" i="30"/>
  <c r="H1444" i="26"/>
  <c r="H1449" i="26"/>
  <c r="H1445" i="26"/>
  <c r="H1454" i="26"/>
  <c r="H1453" i="26"/>
  <c r="H1443" i="26"/>
  <c r="H1442" i="26"/>
  <c r="H1280" i="26"/>
  <c r="H1281" i="26"/>
  <c r="H1276" i="26"/>
  <c r="H536" i="26"/>
  <c r="H540" i="26"/>
  <c r="H533" i="26"/>
  <c r="H539" i="26"/>
  <c r="H372" i="26"/>
  <c r="H378" i="26"/>
  <c r="H375" i="26"/>
  <c r="H212" i="26"/>
  <c r="H204" i="26"/>
  <c r="H208" i="26"/>
  <c r="H209" i="26"/>
  <c r="H1014" i="13"/>
  <c r="H1017" i="13"/>
  <c r="H1018" i="13"/>
  <c r="H1011" i="13"/>
  <c r="H1013" i="13"/>
  <c r="H858" i="13"/>
  <c r="H853" i="13"/>
  <c r="H851" i="13"/>
  <c r="H854" i="13"/>
  <c r="H846" i="13"/>
  <c r="H857" i="13"/>
  <c r="H694" i="13"/>
  <c r="H698" i="13"/>
  <c r="H697" i="13"/>
  <c r="H693" i="13"/>
  <c r="H504" i="13"/>
  <c r="H515" i="13"/>
  <c r="H511" i="13"/>
  <c r="H514" i="13"/>
  <c r="H502" i="13"/>
  <c r="H510" i="13"/>
  <c r="H341" i="13"/>
  <c r="H342" i="13"/>
  <c r="H338" i="13"/>
  <c r="H331" i="13"/>
  <c r="H346" i="13"/>
  <c r="H339" i="13"/>
  <c r="H345" i="13"/>
  <c r="H335" i="13"/>
  <c r="H237" i="11"/>
  <c r="H230" i="11"/>
  <c r="H241" i="11"/>
  <c r="H235" i="11"/>
  <c r="H238" i="11"/>
  <c r="H227" i="11"/>
  <c r="H242" i="11"/>
  <c r="H75" i="11"/>
  <c r="H77" i="11"/>
  <c r="H82" i="11"/>
  <c r="H81" i="11"/>
  <c r="H462" i="30"/>
  <c r="H1262" i="30"/>
  <c r="H1253" i="30"/>
  <c r="H1255" i="30"/>
  <c r="H1261" i="30"/>
  <c r="H1095" i="30"/>
  <c r="H1102" i="30"/>
  <c r="H1093" i="30"/>
  <c r="H1098" i="30"/>
  <c r="H1101" i="30"/>
  <c r="H1097" i="30"/>
  <c r="H941" i="30"/>
  <c r="H934" i="30"/>
  <c r="H938" i="30"/>
  <c r="H937" i="30"/>
  <c r="H942" i="30"/>
  <c r="H775" i="30"/>
  <c r="H781" i="30"/>
  <c r="H782" i="30"/>
  <c r="H777" i="30"/>
  <c r="H778" i="30"/>
  <c r="H773" i="30"/>
  <c r="H1177" i="26"/>
  <c r="H1180" i="26"/>
  <c r="H1181" i="26"/>
  <c r="H1176" i="26"/>
  <c r="H1174" i="26"/>
  <c r="H427" i="21"/>
  <c r="H277" i="21"/>
  <c r="H186" i="13"/>
  <c r="H179" i="13"/>
  <c r="H171" i="13"/>
  <c r="H177" i="13"/>
  <c r="H185" i="13"/>
  <c r="H182" i="13"/>
  <c r="H181" i="13"/>
  <c r="H1595" i="30"/>
  <c r="H1598" i="30"/>
  <c r="H1597" i="30"/>
  <c r="H1593" i="30"/>
  <c r="H615" i="30"/>
  <c r="H618" i="30"/>
  <c r="H621" i="30"/>
  <c r="H622" i="30"/>
  <c r="H614" i="30"/>
  <c r="H1014" i="26"/>
  <c r="H1021" i="26"/>
  <c r="H1016" i="26"/>
  <c r="H1017" i="26"/>
  <c r="H1218" i="24"/>
  <c r="H1215" i="24"/>
  <c r="H1219" i="24"/>
  <c r="H1212" i="24"/>
  <c r="H1211" i="24"/>
  <c r="H1214" i="24"/>
  <c r="H729" i="8"/>
  <c r="H737" i="8"/>
  <c r="H740" i="8"/>
  <c r="H730" i="8"/>
  <c r="H724" i="8"/>
  <c r="H741" i="8"/>
  <c r="H736" i="8"/>
  <c r="H727" i="8"/>
  <c r="H1615" i="26"/>
  <c r="H1601" i="30"/>
  <c r="H681" i="32"/>
  <c r="H1061" i="30"/>
  <c r="H1202" i="30"/>
  <c r="H398" i="32"/>
  <c r="H1357" i="30"/>
  <c r="H561" i="30"/>
  <c r="H859" i="32"/>
  <c r="H1222" i="32"/>
  <c r="H1540" i="26"/>
  <c r="H235" i="30"/>
  <c r="H394" i="30"/>
  <c r="H82" i="30"/>
  <c r="H1561" i="32"/>
  <c r="H1318" i="32"/>
  <c r="H506" i="32"/>
  <c r="H640" i="26"/>
  <c r="H601" i="30"/>
  <c r="H945" i="32"/>
  <c r="H61" i="33"/>
  <c r="H659" i="32"/>
  <c r="H942" i="32"/>
  <c r="H214" i="33"/>
  <c r="H1217" i="30"/>
  <c r="H1277" i="26"/>
  <c r="H301" i="30"/>
  <c r="H397" i="30"/>
  <c r="H535" i="26"/>
  <c r="H734" i="30"/>
  <c r="H1354" i="30"/>
  <c r="H1622" i="30"/>
  <c r="H1274" i="30"/>
  <c r="H58" i="33"/>
  <c r="H1218" i="30"/>
  <c r="H241" i="30"/>
  <c r="H935" i="30"/>
  <c r="H221" i="32"/>
  <c r="H1602" i="30"/>
  <c r="H2019" i="15"/>
  <c r="H726" i="15"/>
  <c r="H782" i="15"/>
  <c r="H720" i="15"/>
  <c r="H2005" i="15"/>
  <c r="H297" i="30"/>
  <c r="H457" i="30"/>
  <c r="H1553" i="30"/>
  <c r="H697" i="26"/>
  <c r="H1020" i="26"/>
  <c r="H1450" i="26"/>
  <c r="H558" i="30"/>
  <c r="H1042" i="30"/>
  <c r="H137" i="30"/>
  <c r="H718" i="30"/>
  <c r="H1362" i="30"/>
  <c r="H485" i="32"/>
  <c r="H1462" i="30"/>
  <c r="H1454" i="30"/>
  <c r="H141" i="30"/>
  <c r="H502" i="32"/>
  <c r="H1277" i="30"/>
  <c r="H1436" i="26"/>
  <c r="H297" i="32"/>
  <c r="H299" i="32"/>
  <c r="H301" i="32"/>
  <c r="H302" i="32"/>
  <c r="H725" i="32"/>
  <c r="H719" i="32"/>
  <c r="H721" i="32"/>
  <c r="H425" i="32"/>
  <c r="H422" i="32"/>
  <c r="H718" i="32"/>
  <c r="H386" i="32"/>
  <c r="H1502" i="32"/>
  <c r="H1505" i="32"/>
  <c r="H1399" i="32"/>
  <c r="H1400" i="32"/>
  <c r="H925" i="32"/>
  <c r="H922" i="32"/>
  <c r="H766" i="32"/>
  <c r="H758" i="32"/>
  <c r="H765" i="32"/>
  <c r="H581" i="32"/>
  <c r="H582" i="32"/>
  <c r="H385" i="32"/>
  <c r="H1499" i="32"/>
  <c r="H761" i="30"/>
  <c r="H755" i="30"/>
  <c r="H762" i="30"/>
  <c r="H758" i="30"/>
  <c r="H757" i="30"/>
  <c r="H281" i="30"/>
  <c r="H278" i="30"/>
  <c r="H275" i="30"/>
  <c r="H1257" i="26"/>
  <c r="H1260" i="26"/>
  <c r="H1254" i="26"/>
  <c r="H1256" i="26"/>
  <c r="H671" i="26"/>
  <c r="H676" i="26"/>
  <c r="H675" i="26"/>
  <c r="H513" i="26"/>
  <c r="H515" i="26"/>
  <c r="H516" i="26"/>
  <c r="H519" i="26"/>
  <c r="H520" i="26"/>
  <c r="H350" i="26"/>
  <c r="H358" i="26"/>
  <c r="H359" i="26"/>
  <c r="H193" i="26"/>
  <c r="H189" i="26"/>
  <c r="H184" i="26"/>
  <c r="H185" i="26"/>
  <c r="H574" i="21"/>
  <c r="H569" i="21"/>
  <c r="H577" i="21"/>
  <c r="H582" i="21"/>
  <c r="H417" i="21"/>
  <c r="H422" i="21"/>
  <c r="H415" i="21"/>
  <c r="H262" i="21"/>
  <c r="H261" i="21"/>
  <c r="H254" i="21"/>
  <c r="H255" i="21"/>
  <c r="H258" i="21"/>
  <c r="H101" i="21"/>
  <c r="H98" i="21"/>
  <c r="H102" i="21"/>
  <c r="H95" i="21"/>
  <c r="H202" i="16"/>
  <c r="H197" i="16"/>
  <c r="H201" i="16"/>
  <c r="H188" i="16"/>
  <c r="H194" i="16"/>
  <c r="H195" i="16"/>
  <c r="H198" i="16"/>
  <c r="H37" i="16"/>
  <c r="H41" i="16"/>
  <c r="H34" i="16"/>
  <c r="H38" i="16"/>
  <c r="H42" i="16"/>
  <c r="H1862" i="15"/>
  <c r="H1865" i="15"/>
  <c r="H1868" i="15"/>
  <c r="H1869" i="15"/>
  <c r="H1861" i="15"/>
  <c r="H1645" i="15"/>
  <c r="H1649" i="15"/>
  <c r="H1641" i="15"/>
  <c r="H1642" i="15"/>
  <c r="H1644" i="15"/>
  <c r="H2092" i="15"/>
  <c r="H2094" i="15"/>
  <c r="H2098" i="15"/>
  <c r="H2099" i="15"/>
  <c r="H1544" i="15"/>
  <c r="H1548" i="15"/>
  <c r="H1537" i="15"/>
  <c r="H1541" i="15"/>
  <c r="H1542" i="15"/>
  <c r="H1972" i="15"/>
  <c r="H1973" i="15"/>
  <c r="H1969" i="15"/>
  <c r="H1977" i="15"/>
  <c r="H1961" i="15"/>
  <c r="H1970" i="15"/>
  <c r="H1180" i="15"/>
  <c r="H1182" i="15"/>
  <c r="H1183" i="15"/>
  <c r="H1186" i="15"/>
  <c r="H1179" i="15"/>
  <c r="H963" i="15"/>
  <c r="H960" i="15"/>
  <c r="H966" i="15"/>
  <c r="H867" i="15"/>
  <c r="H860" i="15"/>
  <c r="H852" i="15"/>
  <c r="H863" i="15"/>
  <c r="H522" i="15"/>
  <c r="H526" i="15"/>
  <c r="H520" i="15"/>
  <c r="H523" i="15"/>
  <c r="H346" i="15"/>
  <c r="H347" i="15"/>
  <c r="H343" i="15"/>
  <c r="H340" i="15"/>
  <c r="H342" i="15"/>
  <c r="H1595" i="26"/>
  <c r="H1590" i="26"/>
  <c r="H1594" i="26"/>
  <c r="H1588" i="26"/>
  <c r="H1591" i="26"/>
  <c r="H97" i="21"/>
  <c r="H1648" i="15"/>
  <c r="H1549" i="15"/>
  <c r="H594" i="30"/>
  <c r="H597" i="30"/>
  <c r="H1160" i="26"/>
  <c r="H1161" i="26"/>
  <c r="H1157" i="26"/>
  <c r="H1156" i="26"/>
  <c r="H585" i="32"/>
  <c r="H1545" i="15"/>
  <c r="H866" i="15"/>
  <c r="H915" i="30"/>
  <c r="H922" i="30"/>
  <c r="H917" i="30"/>
  <c r="H1427" i="26"/>
  <c r="H1426" i="26"/>
  <c r="H1422" i="26"/>
  <c r="H841" i="26"/>
  <c r="H834" i="26"/>
  <c r="H837" i="26"/>
  <c r="H840" i="26"/>
  <c r="H836" i="26"/>
  <c r="H828" i="26"/>
  <c r="H602" i="30"/>
  <c r="H862" i="15"/>
  <c r="H441" i="30"/>
  <c r="H437" i="30"/>
  <c r="H438" i="30"/>
  <c r="H117" i="30"/>
  <c r="H114" i="30"/>
  <c r="H1001" i="26"/>
  <c r="H994" i="26"/>
  <c r="H349" i="26"/>
  <c r="H996" i="26"/>
  <c r="H421" i="32"/>
  <c r="H257" i="21"/>
  <c r="H1261" i="26"/>
  <c r="H918" i="30"/>
  <c r="H967" i="15"/>
  <c r="H527" i="15"/>
  <c r="H482" i="21"/>
  <c r="H478" i="21"/>
  <c r="H317" i="21"/>
  <c r="H314" i="21"/>
  <c r="H322" i="21"/>
  <c r="H318" i="21"/>
  <c r="H157" i="21"/>
  <c r="H162" i="21"/>
  <c r="H155" i="21"/>
  <c r="H95" i="16"/>
  <c r="H102" i="16"/>
  <c r="H98" i="16"/>
  <c r="H94" i="16"/>
  <c r="H97" i="16"/>
  <c r="H99" i="16"/>
  <c r="H101" i="16"/>
  <c r="H2114" i="15"/>
  <c r="H2074" i="15"/>
  <c r="H1342" i="15"/>
  <c r="H1349" i="15"/>
  <c r="H1335" i="15"/>
  <c r="H1345" i="15"/>
  <c r="H1341" i="15"/>
  <c r="H1344" i="15"/>
  <c r="H1322" i="15"/>
  <c r="H1325" i="15"/>
  <c r="H1328" i="15"/>
  <c r="H1042" i="15"/>
  <c r="H1032" i="15"/>
  <c r="H1040" i="15"/>
  <c r="H880" i="15"/>
  <c r="H883" i="15"/>
  <c r="H582" i="15"/>
  <c r="H573" i="15"/>
  <c r="H580" i="15"/>
  <c r="H586" i="15"/>
  <c r="H587" i="15"/>
  <c r="H415" i="15"/>
  <c r="H422" i="15"/>
  <c r="H399" i="15"/>
  <c r="H403" i="15"/>
  <c r="H402" i="15"/>
  <c r="H406" i="15"/>
  <c r="H212" i="13"/>
  <c r="H219" i="13"/>
  <c r="H354" i="8"/>
  <c r="H352" i="8"/>
  <c r="H359" i="8"/>
  <c r="H198" i="8"/>
  <c r="H188" i="8"/>
  <c r="H184" i="8"/>
  <c r="H192" i="8"/>
  <c r="H14" i="8"/>
  <c r="H15" i="8"/>
  <c r="H21" i="8"/>
  <c r="H153" i="21"/>
  <c r="H315" i="21"/>
  <c r="H161" i="21"/>
  <c r="H474" i="21"/>
  <c r="H1348" i="15"/>
  <c r="H468" i="21"/>
  <c r="H93" i="16"/>
  <c r="H2112" i="15"/>
  <c r="H887" i="15"/>
  <c r="H1175" i="30"/>
  <c r="H1182" i="30"/>
  <c r="H695" i="30"/>
  <c r="H698" i="30"/>
  <c r="H694" i="30"/>
  <c r="H535" i="30"/>
  <c r="H542" i="30"/>
  <c r="H538" i="30"/>
  <c r="H1357" i="26"/>
  <c r="H1367" i="26"/>
  <c r="H286" i="26"/>
  <c r="H291" i="26"/>
  <c r="H94" i="26"/>
  <c r="H100" i="26"/>
  <c r="H82" i="26"/>
  <c r="H763" i="15"/>
  <c r="H762" i="15"/>
  <c r="H643" i="15"/>
  <c r="H647" i="15"/>
  <c r="H739" i="15"/>
  <c r="H747" i="15"/>
  <c r="H740" i="15"/>
  <c r="H746" i="15"/>
  <c r="H742" i="15"/>
  <c r="H661" i="32"/>
  <c r="H665" i="32"/>
  <c r="H686" i="32"/>
  <c r="H180" i="32"/>
  <c r="H184" i="32"/>
  <c r="H172" i="32"/>
  <c r="H183" i="32"/>
  <c r="H982" i="32"/>
  <c r="H985" i="32"/>
  <c r="H1046" i="32"/>
  <c r="H1315" i="30"/>
  <c r="H1322" i="30"/>
  <c r="H1001" i="30"/>
  <c r="H998" i="30"/>
  <c r="H631" i="13"/>
  <c r="H624" i="13"/>
  <c r="H118" i="13"/>
  <c r="H124" i="13"/>
  <c r="H254" i="8"/>
  <c r="H258" i="8"/>
  <c r="H255" i="8"/>
  <c r="H743" i="15"/>
  <c r="H75" i="8"/>
  <c r="H727" i="15"/>
  <c r="H723" i="15"/>
  <c r="H715" i="15"/>
  <c r="H736" i="15"/>
  <c r="H2015" i="15"/>
  <c r="H716" i="15"/>
  <c r="H2012" i="15"/>
  <c r="H2006" i="15"/>
  <c r="H733" i="15"/>
  <c r="H110" i="11"/>
  <c r="H722" i="15"/>
  <c r="H113" i="13"/>
  <c r="H719" i="15"/>
  <c r="H177" i="33"/>
  <c r="H182" i="33"/>
  <c r="H174" i="33"/>
  <c r="H181" i="33"/>
  <c r="H14" i="33"/>
  <c r="H21" i="33"/>
  <c r="H15" i="33"/>
  <c r="H22" i="33"/>
  <c r="H18" i="33"/>
  <c r="H1486" i="32"/>
  <c r="H1481" i="32"/>
  <c r="H1479" i="32"/>
  <c r="H1482" i="32"/>
  <c r="H1485" i="32"/>
  <c r="H1379" i="32"/>
  <c r="H1385" i="32"/>
  <c r="H1382" i="32"/>
  <c r="H1381" i="32"/>
  <c r="H1386" i="32"/>
  <c r="H281" i="32"/>
  <c r="H282" i="32"/>
  <c r="H899" i="32"/>
  <c r="H906" i="32"/>
  <c r="H902" i="32"/>
  <c r="H905" i="32"/>
  <c r="H565" i="32"/>
  <c r="H559" i="32"/>
  <c r="H562" i="32"/>
  <c r="H566" i="32"/>
  <c r="H699" i="32"/>
  <c r="H706" i="32"/>
  <c r="H705" i="32"/>
  <c r="H698" i="32"/>
  <c r="H701" i="32"/>
  <c r="H702" i="32"/>
  <c r="H1466" i="32"/>
  <c r="H1462" i="32"/>
  <c r="H1465" i="32"/>
  <c r="H181" i="11"/>
  <c r="H182" i="11"/>
  <c r="H175" i="11"/>
  <c r="H171" i="11"/>
  <c r="H174" i="11"/>
  <c r="H170" i="11"/>
  <c r="H178" i="11"/>
  <c r="H167" i="11"/>
  <c r="H177" i="11"/>
  <c r="H18" i="11"/>
  <c r="H22" i="11"/>
  <c r="H21" i="11"/>
  <c r="H15" i="11"/>
  <c r="H11" i="11"/>
  <c r="H901" i="32"/>
  <c r="H17" i="11"/>
  <c r="H1285" i="32"/>
  <c r="H1282" i="32"/>
  <c r="H1278" i="32"/>
  <c r="H1281" i="32"/>
  <c r="H1377" i="32"/>
  <c r="H1461" i="32"/>
  <c r="H1102" i="32"/>
  <c r="H1099" i="32"/>
  <c r="H1098" i="32"/>
  <c r="H1101" i="32"/>
  <c r="H1105" i="32"/>
  <c r="H1106" i="32"/>
  <c r="H17" i="33"/>
  <c r="H285" i="32"/>
  <c r="H217" i="13"/>
  <c r="H215" i="33"/>
  <c r="H222" i="33"/>
  <c r="H218" i="33"/>
  <c r="H62" i="33"/>
  <c r="H54" i="33"/>
  <c r="H57" i="33"/>
  <c r="H1519" i="32"/>
  <c r="H1526" i="32"/>
  <c r="H219" i="32"/>
  <c r="H317" i="32"/>
  <c r="H326" i="32"/>
  <c r="H321" i="32"/>
  <c r="H897" i="13"/>
  <c r="H898" i="13"/>
  <c r="H269" i="11"/>
  <c r="H134" i="32"/>
  <c r="H74" i="33"/>
  <c r="H550" i="13"/>
  <c r="H556" i="13"/>
  <c r="H544" i="13"/>
  <c r="H557" i="13"/>
  <c r="H386" i="13"/>
  <c r="H373" i="13"/>
  <c r="H894" i="13"/>
  <c r="H138" i="32"/>
  <c r="H1295" i="30"/>
  <c r="H560" i="13"/>
  <c r="H135" i="32"/>
  <c r="H723" i="13"/>
  <c r="H142" i="32"/>
  <c r="H548" i="13"/>
  <c r="H561" i="13"/>
  <c r="H1302" i="30"/>
  <c r="H226" i="13"/>
  <c r="H222" i="13"/>
  <c r="H221" i="13"/>
  <c r="H58" i="13"/>
  <c r="H62" i="13"/>
  <c r="H55" i="13"/>
  <c r="H51" i="13"/>
  <c r="H282" i="11"/>
  <c r="H277" i="11"/>
  <c r="H278" i="11"/>
  <c r="H381" i="13"/>
  <c r="H382" i="13"/>
  <c r="H1301" i="30"/>
  <c r="H737" i="13"/>
  <c r="H554" i="13"/>
  <c r="H61" i="13"/>
  <c r="H82" i="33"/>
  <c r="H78" i="33"/>
  <c r="H81" i="33"/>
  <c r="H137" i="32"/>
  <c r="H141" i="32"/>
  <c r="H1475" i="30"/>
  <c r="H1473" i="30"/>
  <c r="H1298" i="30"/>
  <c r="H1200" i="26"/>
  <c r="H1197" i="26"/>
  <c r="H881" i="26"/>
  <c r="H877" i="26"/>
  <c r="H232" i="26"/>
  <c r="H229" i="26"/>
  <c r="H1231" i="24"/>
  <c r="H1238" i="24"/>
  <c r="H201" i="21"/>
  <c r="H202" i="21"/>
  <c r="H135" i="16"/>
  <c r="H137" i="16"/>
  <c r="H142" i="16"/>
  <c r="H133" i="16"/>
  <c r="H1925" i="15"/>
  <c r="H1933" i="15"/>
  <c r="H1926" i="15"/>
  <c r="H1822" i="15"/>
  <c r="H1824" i="15"/>
  <c r="H1821" i="15"/>
  <c r="H1728" i="15"/>
  <c r="H1722" i="15"/>
  <c r="H1698" i="15"/>
  <c r="H1708" i="15"/>
  <c r="H1701" i="15"/>
  <c r="H1402" i="15"/>
  <c r="H1404" i="15"/>
  <c r="H1401" i="15"/>
  <c r="H2055" i="15"/>
  <c r="H2059" i="15"/>
  <c r="H1442" i="15"/>
  <c r="H1444" i="15"/>
  <c r="H1082" i="15"/>
  <c r="H1072" i="15"/>
  <c r="H1083" i="15"/>
  <c r="H893" i="15"/>
  <c r="H903" i="15"/>
  <c r="H900" i="15"/>
  <c r="H1302" i="15"/>
  <c r="H1304" i="15"/>
  <c r="H1305" i="15"/>
  <c r="H466" i="15"/>
  <c r="H463" i="15"/>
  <c r="H279" i="15"/>
  <c r="H287" i="15"/>
  <c r="H1232" i="24"/>
  <c r="H638" i="30"/>
  <c r="H798" i="30"/>
  <c r="H795" i="30"/>
  <c r="H518" i="32"/>
  <c r="H399" i="26"/>
  <c r="H1474" i="26"/>
  <c r="H1141" i="32"/>
  <c r="H154" i="30"/>
  <c r="H1928" i="15"/>
  <c r="H1721" i="15"/>
  <c r="H1704" i="15"/>
  <c r="H2058" i="15"/>
  <c r="H1087" i="15"/>
  <c r="H1239" i="24"/>
  <c r="H1235" i="24"/>
  <c r="H321" i="30"/>
  <c r="H141" i="16"/>
  <c r="H1817" i="15"/>
  <c r="H1086" i="15"/>
  <c r="H1565" i="32"/>
  <c r="H1559" i="32"/>
  <c r="H205" i="32"/>
  <c r="H337" i="32"/>
  <c r="H1159" i="32"/>
  <c r="H1166" i="32"/>
  <c r="H798" i="32"/>
  <c r="H1025" i="32"/>
  <c r="H1026" i="32"/>
  <c r="H395" i="30"/>
  <c r="H94" i="33"/>
  <c r="H1226" i="32"/>
  <c r="H71" i="13"/>
  <c r="H401" i="30"/>
  <c r="H594" i="8"/>
  <c r="H598" i="8"/>
  <c r="H331" i="8"/>
  <c r="H1257" i="30"/>
  <c r="H1258" i="30"/>
  <c r="H733" i="8"/>
  <c r="H734" i="8"/>
  <c r="H1069" i="26"/>
  <c r="H908" i="26"/>
  <c r="H749" i="26"/>
  <c r="H608" i="26"/>
  <c r="H449" i="26"/>
  <c r="H80" i="26"/>
  <c r="H45" i="26"/>
  <c r="H188" i="30"/>
  <c r="H1334" i="26"/>
  <c r="H1228" i="26"/>
  <c r="H1068" i="26"/>
  <c r="H907" i="26"/>
  <c r="H1222" i="15"/>
  <c r="H1223" i="15"/>
  <c r="H1226" i="15"/>
  <c r="H1219" i="15"/>
  <c r="H1227" i="15"/>
  <c r="H1220" i="15"/>
  <c r="H679" i="32"/>
  <c r="H685" i="32"/>
  <c r="H382" i="30"/>
  <c r="H374" i="30"/>
  <c r="H55" i="30"/>
  <c r="H61" i="30"/>
  <c r="H21" i="16"/>
  <c r="H525" i="32"/>
  <c r="H194" i="33"/>
  <c r="H198" i="33"/>
  <c r="H175" i="16"/>
  <c r="H182" i="16"/>
  <c r="H18" i="16"/>
  <c r="H14" i="16"/>
  <c r="H22" i="16"/>
  <c r="H12" i="16"/>
  <c r="H1842" i="15"/>
  <c r="H1848" i="15"/>
  <c r="H1605" i="15"/>
  <c r="H1601" i="15"/>
  <c r="H1609" i="15"/>
  <c r="H1604" i="15"/>
  <c r="H1365" i="15"/>
  <c r="H1361" i="15"/>
  <c r="H1369" i="15"/>
  <c r="H1468" i="15"/>
  <c r="H1464" i="15"/>
  <c r="H1162" i="15"/>
  <c r="H1166" i="15"/>
  <c r="H1154" i="15"/>
  <c r="H943" i="15"/>
  <c r="H847" i="15"/>
  <c r="H840" i="15"/>
  <c r="H542" i="15"/>
  <c r="H540" i="15"/>
  <c r="H320" i="15"/>
  <c r="H316" i="15"/>
  <c r="H326" i="15"/>
  <c r="H1161" i="32"/>
  <c r="H1145" i="32"/>
  <c r="H1538" i="30"/>
  <c r="H1542" i="30"/>
  <c r="H1041" i="30"/>
  <c r="H1034" i="30"/>
  <c r="H374" i="26"/>
  <c r="H379" i="26"/>
  <c r="H213" i="26"/>
  <c r="H205" i="26"/>
  <c r="H177" i="16"/>
  <c r="H1849" i="15"/>
  <c r="H1364" i="15"/>
  <c r="H1469" i="15"/>
  <c r="H1160" i="15"/>
  <c r="H178" i="33"/>
  <c r="H175" i="33"/>
  <c r="H279" i="32"/>
  <c r="H286" i="32"/>
  <c r="H277" i="32"/>
  <c r="H578" i="8"/>
  <c r="H579" i="8"/>
  <c r="H35" i="36"/>
  <c r="H33" i="36"/>
  <c r="H1372" i="32"/>
  <c r="H334" i="32"/>
  <c r="H272" i="32"/>
  <c r="H954" i="32"/>
  <c r="H1272" i="32"/>
  <c r="H512" i="32"/>
  <c r="H1132" i="32"/>
  <c r="H1468" i="30"/>
  <c r="H1288" i="30"/>
  <c r="H1128" i="30"/>
  <c r="H1030" i="30"/>
  <c r="H771" i="30"/>
  <c r="H609" i="30"/>
  <c r="H549" i="30"/>
  <c r="H391" i="30"/>
  <c r="H288" i="30"/>
  <c r="H1539" i="26"/>
  <c r="H1437" i="26"/>
  <c r="H1375" i="26"/>
  <c r="H1269" i="26"/>
  <c r="H949" i="26"/>
  <c r="H122" i="26"/>
  <c r="H1207" i="24"/>
  <c r="H436" i="15"/>
  <c r="H440" i="15"/>
  <c r="H30" i="36"/>
  <c r="H129" i="32"/>
  <c r="H1471" i="32"/>
  <c r="H191" i="32"/>
  <c r="H1371" i="32"/>
  <c r="H333" i="32"/>
  <c r="H271" i="32"/>
  <c r="H891" i="32"/>
  <c r="H1153" i="32"/>
  <c r="H1091" i="32"/>
  <c r="H651" i="32"/>
  <c r="H671" i="32"/>
  <c r="H1467" i="30"/>
  <c r="H1127" i="30"/>
  <c r="H1027" i="30"/>
  <c r="H850" i="30"/>
  <c r="H770" i="30"/>
  <c r="H711" i="30"/>
  <c r="H608" i="30"/>
  <c r="H548" i="30"/>
  <c r="H390" i="30"/>
  <c r="H368" i="30"/>
  <c r="H211" i="30"/>
  <c r="H49" i="30"/>
  <c r="H1374" i="26"/>
  <c r="H1268" i="26"/>
  <c r="H1108" i="26"/>
  <c r="H948" i="26"/>
  <c r="H1286" i="32"/>
  <c r="H1279" i="32"/>
  <c r="H134" i="26"/>
  <c r="H125" i="26"/>
  <c r="H1212" i="15"/>
  <c r="H1216" i="15"/>
  <c r="H450" i="21"/>
  <c r="H388" i="21"/>
  <c r="H330" i="21"/>
  <c r="H308" i="21"/>
  <c r="H190" i="21"/>
  <c r="H127" i="21"/>
  <c r="H28" i="15"/>
  <c r="H884" i="13"/>
  <c r="H843" i="13"/>
  <c r="H687" i="13"/>
  <c r="H667" i="13"/>
  <c r="H546" i="13"/>
  <c r="H314" i="13"/>
  <c r="H173" i="13"/>
  <c r="H151" i="13"/>
  <c r="H47" i="13"/>
  <c r="H11" i="13"/>
  <c r="H687" i="15"/>
  <c r="H1233" i="15"/>
  <c r="H774" i="15"/>
  <c r="H612" i="15"/>
  <c r="H616" i="15"/>
  <c r="H653" i="15"/>
  <c r="H974" i="30"/>
  <c r="H975" i="30"/>
  <c r="H982" i="30"/>
  <c r="H978" i="30"/>
  <c r="H981" i="30"/>
  <c r="H655" i="30"/>
  <c r="H658" i="30"/>
  <c r="H657" i="30"/>
  <c r="H662" i="30"/>
  <c r="H661" i="30"/>
  <c r="H15" i="30"/>
  <c r="H18" i="30"/>
  <c r="H22" i="30"/>
  <c r="H21" i="30"/>
  <c r="H17" i="30"/>
  <c r="H1493" i="26"/>
  <c r="H1494" i="26"/>
  <c r="H1490" i="26"/>
  <c r="H1489" i="26"/>
  <c r="H734" i="26"/>
  <c r="H740" i="26"/>
  <c r="H737" i="26"/>
  <c r="H741" i="26"/>
  <c r="H497" i="30"/>
  <c r="H736" i="26"/>
  <c r="H654" i="30"/>
  <c r="H118" i="33"/>
  <c r="H458" i="32"/>
  <c r="H462" i="32"/>
  <c r="H465" i="32"/>
  <c r="H461" i="32"/>
  <c r="H459" i="32"/>
  <c r="H537" i="21"/>
  <c r="H535" i="21"/>
  <c r="H541" i="21"/>
  <c r="H542" i="21"/>
  <c r="H530" i="21"/>
  <c r="H538" i="21"/>
  <c r="H374" i="21"/>
  <c r="H377" i="21"/>
  <c r="H375" i="21"/>
  <c r="H382" i="21"/>
  <c r="H222" i="21"/>
  <c r="H215" i="21"/>
  <c r="H217" i="21"/>
  <c r="H218" i="21"/>
  <c r="H54" i="21"/>
  <c r="H57" i="21"/>
  <c r="H62" i="21"/>
  <c r="H55" i="21"/>
  <c r="H58" i="21"/>
  <c r="H61" i="21"/>
  <c r="H61" i="16"/>
  <c r="H54" i="16"/>
  <c r="H62" i="16"/>
  <c r="H58" i="16"/>
  <c r="H55" i="16"/>
  <c r="H57" i="16"/>
  <c r="H1882" i="15"/>
  <c r="H1888" i="15"/>
  <c r="H1881" i="15"/>
  <c r="H1884" i="15"/>
  <c r="H1885" i="15"/>
  <c r="H1889" i="15"/>
  <c r="H1761" i="15"/>
  <c r="H1762" i="15"/>
  <c r="H1768" i="15"/>
  <c r="H1769" i="15"/>
  <c r="H1764" i="15"/>
  <c r="H1765" i="15"/>
  <c r="H1388" i="15"/>
  <c r="H1384" i="15"/>
  <c r="H1389" i="15"/>
  <c r="H1381" i="15"/>
  <c r="H1382" i="15"/>
  <c r="H1385" i="15"/>
  <c r="H1481" i="15"/>
  <c r="H1489" i="15"/>
  <c r="H1482" i="15"/>
  <c r="H1478" i="15"/>
  <c r="H1474" i="15"/>
  <c r="H1488" i="15"/>
  <c r="H1475" i="15"/>
  <c r="H1484" i="15"/>
  <c r="H1485" i="15"/>
  <c r="H1206" i="15"/>
  <c r="H1202" i="15"/>
  <c r="H1199" i="15"/>
  <c r="H1200" i="15"/>
  <c r="H1207" i="15"/>
  <c r="H1203" i="15"/>
  <c r="H1006" i="15"/>
  <c r="H1002" i="15"/>
  <c r="H1007" i="15"/>
  <c r="H1000" i="15"/>
  <c r="H1003" i="15"/>
  <c r="H823" i="15"/>
  <c r="H812" i="15"/>
  <c r="H820" i="15"/>
  <c r="H826" i="15"/>
  <c r="H822" i="15"/>
  <c r="H827" i="15"/>
  <c r="H500" i="15"/>
  <c r="H507" i="15"/>
  <c r="H502" i="15"/>
  <c r="H503" i="15"/>
  <c r="H506" i="15"/>
  <c r="H362" i="15"/>
  <c r="H366" i="15"/>
  <c r="H363" i="15"/>
  <c r="H360" i="15"/>
  <c r="H367" i="15"/>
  <c r="H877" i="13"/>
  <c r="H874" i="13"/>
  <c r="H873" i="13"/>
  <c r="H878" i="13"/>
  <c r="H705" i="13"/>
  <c r="H713" i="13"/>
  <c r="H717" i="13"/>
  <c r="H714" i="13"/>
  <c r="H718" i="13"/>
  <c r="H538" i="13"/>
  <c r="H534" i="13"/>
  <c r="H533" i="13"/>
  <c r="H531" i="13"/>
  <c r="H537" i="13"/>
  <c r="H523" i="13"/>
  <c r="H355" i="13"/>
  <c r="H365" i="13"/>
  <c r="H366" i="13"/>
  <c r="H361" i="13"/>
  <c r="H362" i="13"/>
  <c r="H206" i="13"/>
  <c r="H199" i="13"/>
  <c r="H202" i="13"/>
  <c r="H191" i="13"/>
  <c r="H197" i="13"/>
  <c r="H201" i="13"/>
  <c r="H41" i="13"/>
  <c r="H38" i="13"/>
  <c r="H27" i="13"/>
  <c r="H37" i="13"/>
  <c r="H42" i="13"/>
  <c r="H161" i="11"/>
  <c r="H162" i="11"/>
  <c r="H157" i="11"/>
  <c r="H155" i="11"/>
  <c r="H158" i="11"/>
  <c r="H772" i="8"/>
  <c r="H780" i="8"/>
  <c r="H783" i="8"/>
  <c r="H784" i="8"/>
  <c r="H779" i="8"/>
  <c r="H769" i="8"/>
  <c r="H777" i="8"/>
  <c r="H618" i="8"/>
  <c r="H612" i="8"/>
  <c r="H607" i="8"/>
  <c r="H614" i="8"/>
  <c r="H615" i="8"/>
  <c r="H608" i="8"/>
  <c r="H610" i="8"/>
  <c r="H619" i="8"/>
  <c r="H515" i="8"/>
  <c r="H518" i="8"/>
  <c r="H512" i="8"/>
  <c r="H506" i="8"/>
  <c r="H519" i="8"/>
  <c r="H514" i="8"/>
  <c r="H265" i="32"/>
  <c r="H266" i="32"/>
  <c r="H261" i="32"/>
  <c r="H258" i="32"/>
  <c r="H262" i="32"/>
  <c r="H259" i="32"/>
  <c r="H442" i="32"/>
  <c r="H439" i="32"/>
  <c r="H445" i="32"/>
  <c r="H446" i="32"/>
  <c r="H438" i="32"/>
  <c r="H441" i="32"/>
  <c r="H1077" i="30"/>
  <c r="H1082" i="30"/>
  <c r="H1078" i="30"/>
  <c r="H1075" i="30"/>
  <c r="H1074" i="30"/>
  <c r="H1081" i="30"/>
  <c r="H1445" i="32"/>
  <c r="H381" i="21"/>
  <c r="H175" i="30"/>
  <c r="H177" i="30"/>
  <c r="H182" i="30"/>
  <c r="H181" i="30"/>
  <c r="H178" i="30"/>
  <c r="H1054" i="26"/>
  <c r="H1060" i="26"/>
  <c r="H1057" i="26"/>
  <c r="H1061" i="26"/>
  <c r="H977" i="30"/>
  <c r="H525" i="13"/>
  <c r="H1322" i="26"/>
  <c r="H17" i="36"/>
  <c r="H21" i="36"/>
  <c r="H22" i="36"/>
  <c r="H15" i="36"/>
  <c r="H13" i="36"/>
  <c r="H18" i="36"/>
  <c r="H1301" i="32"/>
  <c r="H1305" i="32"/>
  <c r="H1302" i="32"/>
  <c r="H1299" i="32"/>
  <c r="H1298" i="32"/>
  <c r="H1306" i="32"/>
  <c r="H1577" i="30"/>
  <c r="H1582" i="30"/>
  <c r="H1581" i="30"/>
  <c r="H1578" i="30"/>
  <c r="H1573" i="30"/>
  <c r="H1575" i="30"/>
  <c r="H576" i="26"/>
  <c r="H580" i="26"/>
  <c r="H571" i="26"/>
  <c r="H579" i="26"/>
  <c r="H1056" i="26"/>
  <c r="H817" i="30"/>
  <c r="H378" i="21"/>
  <c r="H1539" i="32"/>
  <c r="H1545" i="32"/>
  <c r="H1546" i="32"/>
  <c r="H1541" i="32"/>
  <c r="H1542" i="32"/>
  <c r="H839" i="32"/>
  <c r="H842" i="32"/>
  <c r="H845" i="32"/>
  <c r="H846" i="32"/>
  <c r="H841" i="32"/>
  <c r="H1422" i="30"/>
  <c r="H1414" i="30"/>
  <c r="H1416" i="30"/>
  <c r="H1417" i="30"/>
  <c r="H1415" i="30"/>
  <c r="H1418" i="30"/>
  <c r="H1421" i="30"/>
  <c r="H1221" i="26"/>
  <c r="H1214" i="26"/>
  <c r="H1220" i="26"/>
  <c r="H1217" i="26"/>
  <c r="H1216" i="26"/>
  <c r="H901" i="26"/>
  <c r="H894" i="26"/>
  <c r="H900" i="26"/>
  <c r="H896" i="26"/>
  <c r="H28" i="26"/>
  <c r="H35" i="26"/>
  <c r="H36" i="26"/>
  <c r="H27" i="26"/>
  <c r="H32" i="26"/>
  <c r="H31" i="26"/>
  <c r="H24" i="26"/>
  <c r="H23" i="26"/>
  <c r="H25" i="26"/>
  <c r="H466" i="32"/>
  <c r="H121" i="33"/>
  <c r="H122" i="33"/>
  <c r="H114" i="33"/>
  <c r="H115" i="33"/>
  <c r="H1202" i="32"/>
  <c r="H1198" i="32"/>
  <c r="H1205" i="32"/>
  <c r="H1201" i="32"/>
  <c r="H1199" i="32"/>
  <c r="H1206" i="32"/>
  <c r="H338" i="30"/>
  <c r="H335" i="30"/>
  <c r="H342" i="30"/>
  <c r="H341" i="30"/>
  <c r="H337" i="30"/>
  <c r="H333" i="30"/>
  <c r="H415" i="26"/>
  <c r="H418" i="26"/>
  <c r="H419" i="26"/>
  <c r="H414" i="26"/>
  <c r="H412" i="26"/>
  <c r="H213" i="21"/>
  <c r="H173" i="30"/>
  <c r="H205" i="13"/>
  <c r="H521" i="13"/>
  <c r="H1441" i="32"/>
  <c r="H1442" i="32"/>
  <c r="H1446" i="32"/>
  <c r="H1437" i="32"/>
  <c r="H1439" i="32"/>
  <c r="H1242" i="30"/>
  <c r="H1238" i="30"/>
  <c r="H1233" i="30"/>
  <c r="H1241" i="30"/>
  <c r="H1235" i="30"/>
  <c r="H815" i="30"/>
  <c r="H818" i="30"/>
  <c r="H822" i="30"/>
  <c r="H813" i="30"/>
  <c r="H821" i="30"/>
  <c r="H502" i="30"/>
  <c r="H501" i="30"/>
  <c r="H498" i="30"/>
  <c r="H496" i="30"/>
  <c r="H495" i="30"/>
  <c r="H1323" i="26"/>
  <c r="H1314" i="26"/>
  <c r="H1319" i="26"/>
  <c r="H1312" i="26"/>
  <c r="H254" i="26"/>
  <c r="H250" i="26"/>
  <c r="H248" i="26"/>
  <c r="H245" i="26"/>
  <c r="H244" i="26"/>
  <c r="H249" i="26"/>
  <c r="H253" i="26"/>
  <c r="H1237" i="30"/>
  <c r="H16" i="36"/>
  <c r="H593" i="21"/>
  <c r="H442" i="21"/>
  <c r="H441" i="21"/>
  <c r="H438" i="21"/>
  <c r="H275" i="21"/>
  <c r="H274" i="21"/>
  <c r="H278" i="21"/>
  <c r="H282" i="21"/>
  <c r="H121" i="21"/>
  <c r="H118" i="21"/>
  <c r="H117" i="21"/>
  <c r="H214" i="16"/>
  <c r="H222" i="16"/>
  <c r="H215" i="16"/>
  <c r="H208" i="16"/>
  <c r="H218" i="16"/>
  <c r="H121" i="16"/>
  <c r="H117" i="16"/>
  <c r="H114" i="16"/>
  <c r="H115" i="16"/>
  <c r="H122" i="16"/>
  <c r="H1899" i="15"/>
  <c r="H1903" i="15"/>
  <c r="H1904" i="15"/>
  <c r="H1910" i="15"/>
  <c r="H1897" i="15"/>
  <c r="H1911" i="15"/>
  <c r="H1788" i="15"/>
  <c r="H1784" i="15"/>
  <c r="H1789" i="15"/>
  <c r="H1781" i="15"/>
  <c r="H1782" i="15"/>
  <c r="H1749" i="15"/>
  <c r="H1742" i="15"/>
  <c r="H1744" i="15"/>
  <c r="H2135" i="15"/>
  <c r="H2132" i="15"/>
  <c r="H2138" i="15"/>
  <c r="H1584" i="15"/>
  <c r="H1585" i="15"/>
  <c r="H1581" i="15"/>
  <c r="H1589" i="15"/>
  <c r="H1574" i="15"/>
  <c r="H1528" i="15"/>
  <c r="H1521" i="15"/>
  <c r="H1529" i="15"/>
  <c r="H1525" i="15"/>
  <c r="H1524" i="15"/>
  <c r="H1514" i="15"/>
  <c r="H1062" i="15"/>
  <c r="H1066" i="15"/>
  <c r="H1059" i="15"/>
  <c r="H1020" i="15"/>
  <c r="H1023" i="15"/>
  <c r="H10" i="15"/>
  <c r="H22" i="15"/>
  <c r="H15" i="15"/>
  <c r="H17" i="15"/>
  <c r="H937" i="13"/>
  <c r="H933" i="13"/>
  <c r="H778" i="13"/>
  <c r="H773" i="13"/>
  <c r="H765" i="13"/>
  <c r="H774" i="13"/>
  <c r="H603" i="13"/>
  <c r="H608" i="13"/>
  <c r="H601" i="13"/>
  <c r="H426" i="13"/>
  <c r="H422" i="13"/>
  <c r="H266" i="13"/>
  <c r="H261" i="13"/>
  <c r="H265" i="13"/>
  <c r="H96" i="13"/>
  <c r="H99" i="13"/>
  <c r="H97" i="13"/>
  <c r="H100" i="13"/>
  <c r="H602" i="13"/>
  <c r="H934" i="13"/>
  <c r="H122" i="21"/>
  <c r="H207" i="16"/>
  <c r="H1745" i="15"/>
  <c r="H1582" i="15"/>
  <c r="H1522" i="15"/>
  <c r="H1026" i="15"/>
  <c r="H262" i="13"/>
  <c r="H421" i="13"/>
  <c r="H104" i="13"/>
  <c r="H1741" i="15"/>
  <c r="H1022" i="15"/>
  <c r="H601" i="21"/>
  <c r="H115" i="21"/>
  <c r="H118" i="16"/>
  <c r="H154" i="32"/>
  <c r="H155" i="32"/>
  <c r="H238" i="32"/>
  <c r="H246" i="32"/>
  <c r="H239" i="32"/>
  <c r="H366" i="32"/>
  <c r="H362" i="32"/>
  <c r="H365" i="32"/>
  <c r="H979" i="32"/>
  <c r="H986" i="32"/>
  <c r="H1185" i="32"/>
  <c r="H1182" i="32"/>
  <c r="H1178" i="32"/>
  <c r="H819" i="32"/>
  <c r="H822" i="32"/>
  <c r="H539" i="32"/>
  <c r="H542" i="32"/>
  <c r="H606" i="32"/>
  <c r="H602" i="32"/>
  <c r="H601" i="32"/>
  <c r="H437" i="21"/>
  <c r="H281" i="21"/>
  <c r="H425" i="13"/>
  <c r="H1907" i="15"/>
  <c r="H2139" i="15"/>
  <c r="H202" i="33"/>
  <c r="H195" i="33"/>
  <c r="H201" i="33"/>
  <c r="H197" i="33"/>
  <c r="H41" i="33"/>
  <c r="H42" i="33"/>
  <c r="H38" i="33"/>
  <c r="H37" i="33"/>
  <c r="H35" i="33"/>
  <c r="H1506" i="32"/>
  <c r="H1501" i="32"/>
  <c r="H1397" i="32"/>
  <c r="H1406" i="32"/>
  <c r="H1402" i="32"/>
  <c r="H305" i="32"/>
  <c r="H306" i="32"/>
  <c r="H919" i="32"/>
  <c r="H921" i="32"/>
  <c r="H926" i="32"/>
  <c r="H381" i="32"/>
  <c r="H382" i="32"/>
  <c r="H379" i="32"/>
  <c r="H762" i="32"/>
  <c r="H761" i="32"/>
  <c r="H759" i="32"/>
  <c r="H598" i="21"/>
  <c r="H435" i="21"/>
  <c r="H34" i="33"/>
  <c r="H102" i="33"/>
  <c r="H1405" i="32"/>
  <c r="H602" i="21"/>
  <c r="H604" i="13"/>
  <c r="H1906" i="15"/>
  <c r="H2134" i="15"/>
  <c r="H1067" i="15"/>
  <c r="H89" i="13"/>
  <c r="H158" i="32"/>
  <c r="H242" i="32"/>
  <c r="H594" i="21"/>
  <c r="H1179" i="32"/>
  <c r="H777" i="13"/>
  <c r="H221" i="16"/>
  <c r="H1063" i="15"/>
  <c r="H21" i="15"/>
  <c r="H199" i="8"/>
  <c r="H187" i="8"/>
  <c r="H208" i="33"/>
  <c r="H111" i="33"/>
  <c r="H89" i="33"/>
  <c r="H1531" i="32"/>
  <c r="H149" i="32"/>
  <c r="H1115" i="32"/>
  <c r="H231" i="32"/>
  <c r="H215" i="32"/>
  <c r="H1415" i="32"/>
  <c r="H351" i="32"/>
  <c r="H855" i="32"/>
  <c r="H833" i="32"/>
  <c r="H971" i="32"/>
  <c r="H1215" i="32"/>
  <c r="H1171" i="32"/>
  <c r="H395" i="32"/>
  <c r="H475" i="32"/>
  <c r="H811" i="32"/>
  <c r="H775" i="32"/>
  <c r="H1055" i="32"/>
  <c r="H575" i="32"/>
  <c r="H633" i="32"/>
  <c r="H733" i="32"/>
  <c r="H715" i="32"/>
  <c r="H1295" i="32"/>
  <c r="H411" i="32"/>
  <c r="H1569" i="30"/>
  <c r="H1547" i="30"/>
  <c r="H1489" i="30"/>
  <c r="H1409" i="30"/>
  <c r="H1367" i="30"/>
  <c r="H1331" i="30"/>
  <c r="H1251" i="30"/>
  <c r="H1229" i="30"/>
  <c r="H1171" i="30"/>
  <c r="H1149" i="30"/>
  <c r="H1069" i="30"/>
  <c r="H991" i="30"/>
  <c r="H951" i="30"/>
  <c r="H909" i="30"/>
  <c r="H828" i="30"/>
  <c r="H748" i="30"/>
  <c r="H488" i="30"/>
  <c r="H150" i="30"/>
  <c r="H109" i="30"/>
  <c r="H1624" i="26"/>
  <c r="H1482" i="26"/>
  <c r="H1463" i="26"/>
  <c r="H1419" i="26"/>
  <c r="H1309" i="26"/>
  <c r="H1188" i="26"/>
  <c r="H1148" i="26"/>
  <c r="H1028" i="26"/>
  <c r="H988" i="26"/>
  <c r="H1555" i="30"/>
  <c r="H569" i="26"/>
  <c r="H222" i="32"/>
  <c r="H226" i="32"/>
  <c r="H322" i="32"/>
  <c r="H325" i="32"/>
  <c r="H941" i="32"/>
  <c r="H939" i="32"/>
  <c r="H405" i="32"/>
  <c r="H401" i="32"/>
  <c r="H786" i="32"/>
  <c r="H779" i="32"/>
  <c r="H746" i="32"/>
  <c r="H745" i="32"/>
  <c r="H741" i="32"/>
  <c r="H1522" i="30"/>
  <c r="H1515" i="30"/>
  <c r="H1342" i="30"/>
  <c r="H1338" i="30"/>
  <c r="H1335" i="30"/>
  <c r="H1014" i="30"/>
  <c r="H1022" i="30"/>
  <c r="H595" i="30"/>
  <c r="H598" i="30"/>
  <c r="H442" i="30"/>
  <c r="H433" i="30"/>
  <c r="H121" i="30"/>
  <c r="H118" i="30"/>
  <c r="H122" i="30"/>
  <c r="H1430" i="26"/>
  <c r="H1431" i="26"/>
  <c r="H1154" i="26"/>
  <c r="H1150" i="26"/>
  <c r="H680" i="26"/>
  <c r="H681" i="26"/>
  <c r="H679" i="26"/>
  <c r="H665" i="26"/>
  <c r="H354" i="26"/>
  <c r="H355" i="26"/>
  <c r="H188" i="26"/>
  <c r="H192" i="26"/>
  <c r="H92" i="13"/>
  <c r="H578" i="21"/>
  <c r="H575" i="21"/>
  <c r="H581" i="21"/>
  <c r="H1382" i="30"/>
  <c r="H1374" i="30"/>
  <c r="H961" i="30"/>
  <c r="H955" i="30"/>
  <c r="H802" i="30"/>
  <c r="H801" i="30"/>
  <c r="H637" i="30"/>
  <c r="H635" i="30"/>
  <c r="H158" i="30"/>
  <c r="H157" i="30"/>
  <c r="H1196" i="26"/>
  <c r="H1201" i="26"/>
  <c r="H1194" i="26"/>
  <c r="H556" i="26"/>
  <c r="H560" i="26"/>
  <c r="H559" i="26"/>
  <c r="H395" i="26"/>
  <c r="H390" i="26"/>
  <c r="H224" i="26"/>
  <c r="H225" i="26"/>
  <c r="H586" i="32"/>
  <c r="H722" i="32"/>
  <c r="H1153" i="30"/>
  <c r="H1161" i="30"/>
  <c r="H898" i="30"/>
  <c r="H902" i="30"/>
  <c r="H895" i="30"/>
  <c r="H738" i="30"/>
  <c r="H735" i="30"/>
  <c r="H418" i="30"/>
  <c r="H422" i="30"/>
  <c r="H579" i="32"/>
  <c r="H1058" i="30"/>
  <c r="H1501" i="30"/>
  <c r="H1321" i="30"/>
  <c r="H142" i="33"/>
  <c r="H135" i="33"/>
  <c r="H137" i="33"/>
  <c r="H1126" i="32"/>
  <c r="H1419" i="32"/>
  <c r="H862" i="32"/>
  <c r="H479" i="32"/>
  <c r="H481" i="32"/>
  <c r="H482" i="32"/>
  <c r="H1066" i="32"/>
  <c r="H1058" i="32"/>
  <c r="H1061" i="32"/>
  <c r="H1062" i="32"/>
  <c r="H639" i="32"/>
  <c r="H646" i="32"/>
  <c r="H641" i="32"/>
  <c r="H645" i="32"/>
  <c r="H994" i="30"/>
  <c r="H995" i="30"/>
  <c r="H838" i="30"/>
  <c r="H841" i="30"/>
  <c r="H1155" i="30"/>
  <c r="H962" i="30"/>
  <c r="H1497" i="30"/>
  <c r="H1493" i="30"/>
  <c r="H726" i="32"/>
  <c r="H399" i="32"/>
  <c r="H150" i="11"/>
  <c r="H1310" i="26"/>
  <c r="H31" i="36"/>
  <c r="H8" i="36"/>
  <c r="H209" i="33"/>
  <c r="H187" i="33"/>
  <c r="H90" i="33"/>
  <c r="H150" i="32"/>
  <c r="H232" i="32"/>
  <c r="H834" i="32"/>
  <c r="H812" i="32"/>
  <c r="H494" i="32"/>
  <c r="H634" i="32"/>
  <c r="H734" i="32"/>
  <c r="H1314" i="32"/>
  <c r="H419" i="32"/>
  <c r="H412" i="32"/>
  <c r="H1570" i="30"/>
  <c r="H1490" i="30"/>
  <c r="H1410" i="30"/>
  <c r="H1368" i="30"/>
  <c r="H1310" i="30"/>
  <c r="H1230" i="30"/>
  <c r="H1208" i="30"/>
  <c r="H1150" i="30"/>
  <c r="H1070" i="30"/>
  <c r="H910" i="30"/>
  <c r="H887" i="30"/>
  <c r="H851" i="30"/>
  <c r="H829" i="30"/>
  <c r="H807" i="30"/>
  <c r="H749" i="30"/>
  <c r="H689" i="30"/>
  <c r="H649" i="30"/>
  <c r="H587" i="30"/>
  <c r="H527" i="30"/>
  <c r="H489" i="30"/>
  <c r="H429" i="30"/>
  <c r="H369" i="30"/>
  <c r="H347" i="30"/>
  <c r="H271" i="30"/>
  <c r="H189" i="30"/>
  <c r="H151" i="30"/>
  <c r="H110" i="30"/>
  <c r="H50" i="30"/>
  <c r="H1581" i="26"/>
  <c r="H1501" i="26"/>
  <c r="H1483" i="26"/>
  <c r="H1420" i="26"/>
  <c r="H1311" i="26"/>
  <c r="H1229" i="26"/>
  <c r="H1189" i="26"/>
  <c r="H1149" i="26"/>
  <c r="H1029" i="26"/>
  <c r="H989" i="26"/>
  <c r="H867" i="26"/>
  <c r="H827" i="26"/>
  <c r="H709" i="26"/>
  <c r="H648" i="26"/>
  <c r="H566" i="26"/>
  <c r="H507" i="26"/>
  <c r="H366" i="26"/>
  <c r="H150" i="26"/>
  <c r="H16" i="26"/>
  <c r="H589" i="21"/>
  <c r="H567" i="21"/>
  <c r="H528" i="21"/>
  <c r="H410" i="21"/>
  <c r="H270" i="21"/>
  <c r="H248" i="21"/>
  <c r="H111" i="21"/>
  <c r="H87" i="21"/>
  <c r="H51" i="21"/>
  <c r="H364" i="26"/>
  <c r="H100" i="16"/>
  <c r="H2115" i="15"/>
  <c r="H2075" i="15"/>
  <c r="H1329" i="15"/>
  <c r="H579" i="15"/>
  <c r="H423" i="15"/>
  <c r="H202" i="30"/>
  <c r="H585" i="13"/>
  <c r="H548" i="26"/>
  <c r="H193" i="30"/>
  <c r="H2119" i="15"/>
  <c r="H2111" i="15"/>
  <c r="H2079" i="15"/>
  <c r="H2071" i="15"/>
  <c r="H1324" i="15"/>
  <c r="H1043" i="15"/>
  <c r="H882" i="15"/>
  <c r="H400" i="15"/>
  <c r="H198" i="30"/>
  <c r="H572" i="8"/>
  <c r="H568" i="26"/>
  <c r="H605" i="8"/>
  <c r="H2118" i="15"/>
  <c r="H2078" i="15"/>
  <c r="H426" i="15"/>
  <c r="H407" i="15"/>
  <c r="H866" i="26"/>
  <c r="H850" i="26"/>
  <c r="H826" i="26"/>
  <c r="H788" i="26"/>
  <c r="H748" i="26"/>
  <c r="H708" i="26"/>
  <c r="H607" i="26"/>
  <c r="H547" i="26"/>
  <c r="H506" i="26"/>
  <c r="H489" i="26"/>
  <c r="H365" i="26"/>
  <c r="H322" i="26"/>
  <c r="H301" i="26"/>
  <c r="H280" i="26"/>
  <c r="H259" i="26"/>
  <c r="H238" i="26"/>
  <c r="H182" i="26"/>
  <c r="H149" i="26"/>
  <c r="H114" i="26"/>
  <c r="H79" i="26"/>
  <c r="H52" i="26"/>
  <c r="H44" i="26"/>
  <c r="H15" i="26"/>
  <c r="H1206" i="24"/>
  <c r="H588" i="21"/>
  <c r="H527" i="21"/>
  <c r="H511" i="21"/>
  <c r="H487" i="21"/>
  <c r="H449" i="21"/>
  <c r="H409" i="21"/>
  <c r="H387" i="21"/>
  <c r="H351" i="21"/>
  <c r="H329" i="21"/>
  <c r="H307" i="21"/>
  <c r="H291" i="21"/>
  <c r="H247" i="21"/>
  <c r="H211" i="21"/>
  <c r="H189" i="21"/>
  <c r="H150" i="21"/>
  <c r="H110" i="21"/>
  <c r="H50" i="21"/>
  <c r="H27" i="21"/>
  <c r="H9" i="21"/>
  <c r="H187" i="16"/>
  <c r="H109" i="16"/>
  <c r="H91" i="16"/>
  <c r="H51" i="16"/>
  <c r="H1716" i="15"/>
  <c r="H1738" i="15"/>
  <c r="H1636" i="15"/>
  <c r="H515" i="15"/>
  <c r="H454" i="15"/>
  <c r="H374" i="15"/>
  <c r="H276" i="15"/>
  <c r="H964" i="13"/>
  <c r="H947" i="13"/>
  <c r="H867" i="13"/>
  <c r="H803" i="13"/>
  <c r="H787" i="13"/>
  <c r="H706" i="13"/>
  <c r="H620" i="13"/>
  <c r="H592" i="13"/>
  <c r="H573" i="13"/>
  <c r="H527" i="13"/>
  <c r="H456" i="13"/>
  <c r="H413" i="13"/>
  <c r="H255" i="13"/>
  <c r="H195" i="13"/>
  <c r="H110" i="13"/>
  <c r="H91" i="13"/>
  <c r="H30" i="13"/>
  <c r="H170" i="33"/>
  <c r="H109" i="33"/>
  <c r="H87" i="33"/>
  <c r="H51" i="33"/>
  <c r="H29" i="33"/>
  <c r="H1513" i="32"/>
  <c r="H1495" i="32"/>
  <c r="H1113" i="32"/>
  <c r="H255" i="32"/>
  <c r="H189" i="32"/>
  <c r="H1395" i="32"/>
  <c r="H1413" i="32"/>
  <c r="H1435" i="32"/>
  <c r="H331" i="32"/>
  <c r="H313" i="32"/>
  <c r="H295" i="32"/>
  <c r="H853" i="32"/>
  <c r="H831" i="32"/>
  <c r="H951" i="32"/>
  <c r="H933" i="32"/>
  <c r="H915" i="32"/>
  <c r="H1213" i="32"/>
  <c r="H1151" i="32"/>
  <c r="H393" i="32"/>
  <c r="H375" i="32"/>
  <c r="H473" i="32"/>
  <c r="H455" i="32"/>
  <c r="H791" i="32"/>
  <c r="H773" i="32"/>
  <c r="H755" i="32"/>
  <c r="H1053" i="32"/>
  <c r="H435" i="32"/>
  <c r="H535" i="32"/>
  <c r="H491" i="32"/>
  <c r="H573" i="32"/>
  <c r="H595" i="32"/>
  <c r="H731" i="32"/>
  <c r="H695" i="32"/>
  <c r="H1311" i="32"/>
  <c r="H1293" i="32"/>
  <c r="H1034" i="32"/>
  <c r="H1013" i="32"/>
  <c r="H993" i="32"/>
  <c r="H1589" i="30"/>
  <c r="H1567" i="30"/>
  <c r="H1509" i="30"/>
  <c r="H1487" i="30"/>
  <c r="H1429" i="30"/>
  <c r="H1407" i="30"/>
  <c r="H1351" i="30"/>
  <c r="H1307" i="30"/>
  <c r="H1271" i="30"/>
  <c r="H1249" i="30"/>
  <c r="H1191" i="30"/>
  <c r="H1169" i="30"/>
  <c r="H1147" i="30"/>
  <c r="H1111" i="30"/>
  <c r="H1089" i="30"/>
  <c r="H1051" i="30"/>
  <c r="H1011" i="30"/>
  <c r="H989" i="30"/>
  <c r="H949" i="30"/>
  <c r="H870" i="30"/>
  <c r="H848" i="30"/>
  <c r="H790" i="30"/>
  <c r="H768" i="30"/>
  <c r="H709" i="30"/>
  <c r="H670" i="30"/>
  <c r="H630" i="30"/>
  <c r="H570" i="30"/>
  <c r="H510" i="30"/>
  <c r="H470" i="30"/>
  <c r="H410" i="30"/>
  <c r="H388" i="30"/>
  <c r="H330" i="30"/>
  <c r="H250" i="30"/>
  <c r="H209" i="30"/>
  <c r="H171" i="30"/>
  <c r="H148" i="30"/>
  <c r="H131" i="30"/>
  <c r="H91" i="30"/>
  <c r="H30" i="30"/>
  <c r="H11" i="30"/>
  <c r="H1622" i="26"/>
  <c r="H1604" i="26"/>
  <c r="H1561" i="26"/>
  <c r="H1522" i="26"/>
  <c r="H1480" i="26"/>
  <c r="H1461" i="26"/>
  <c r="H1417" i="26"/>
  <c r="H1372" i="26"/>
  <c r="H1354" i="26"/>
  <c r="H1331" i="26"/>
  <c r="H1307" i="26"/>
  <c r="H1290" i="26"/>
  <c r="H1266" i="26"/>
  <c r="H1250" i="26"/>
  <c r="H1210" i="26"/>
  <c r="H1186" i="26"/>
  <c r="H1170" i="26"/>
  <c r="H1146" i="26"/>
  <c r="H1130" i="26"/>
  <c r="H1066" i="26"/>
  <c r="H1050" i="26"/>
  <c r="H1026" i="26"/>
  <c r="H1010" i="26"/>
  <c r="H986" i="26"/>
  <c r="H970" i="26"/>
  <c r="H946" i="26"/>
  <c r="H930" i="26"/>
  <c r="H888" i="26"/>
  <c r="H848" i="26"/>
  <c r="H810" i="26"/>
  <c r="H786" i="26"/>
  <c r="H770" i="26"/>
  <c r="H746" i="26"/>
  <c r="H730" i="26"/>
  <c r="H706" i="26"/>
  <c r="H690" i="26"/>
  <c r="H669" i="26"/>
  <c r="H629" i="26"/>
  <c r="H605" i="26"/>
  <c r="H589" i="26"/>
  <c r="H487" i="26"/>
  <c r="H429" i="26"/>
  <c r="H407" i="26"/>
  <c r="H222" i="26"/>
  <c r="H201" i="26"/>
  <c r="H180" i="26"/>
  <c r="H155" i="26"/>
  <c r="H147" i="26"/>
  <c r="H120" i="26"/>
  <c r="H112" i="26"/>
  <c r="H85" i="26"/>
  <c r="H77" i="26"/>
  <c r="H50" i="26"/>
  <c r="H42" i="26"/>
  <c r="H20" i="26"/>
  <c r="H550" i="21"/>
  <c r="H509" i="21"/>
  <c r="H471" i="21"/>
  <c r="H447" i="21"/>
  <c r="H431" i="21"/>
  <c r="H407" i="21"/>
  <c r="H371" i="21"/>
  <c r="H349" i="21"/>
  <c r="H327" i="21"/>
  <c r="H289" i="21"/>
  <c r="H267" i="21"/>
  <c r="H231" i="21"/>
  <c r="H209" i="21"/>
  <c r="H187" i="21"/>
  <c r="H170" i="21"/>
  <c r="H148" i="21"/>
  <c r="H108" i="21"/>
  <c r="H170" i="16"/>
  <c r="H69" i="16"/>
  <c r="H27" i="16"/>
  <c r="H1876" i="15"/>
  <c r="H1857" i="15"/>
  <c r="H1838" i="15"/>
  <c r="H1778" i="15"/>
  <c r="H1598" i="15"/>
  <c r="H1318" i="15"/>
  <c r="H1054" i="15"/>
  <c r="H416" i="15"/>
  <c r="H273" i="15"/>
  <c r="H128" i="16"/>
  <c r="H108" i="16"/>
  <c r="H90" i="16"/>
  <c r="H71" i="16"/>
  <c r="H50" i="16"/>
  <c r="H29" i="16"/>
  <c r="H11" i="16"/>
  <c r="H1894" i="15"/>
  <c r="H1617" i="15"/>
  <c r="H453" i="15"/>
  <c r="H373" i="15"/>
  <c r="H275" i="15"/>
  <c r="H946" i="13"/>
  <c r="H866" i="13"/>
  <c r="H786" i="13"/>
  <c r="H686" i="13"/>
  <c r="H638" i="13"/>
  <c r="H619" i="13"/>
  <c r="H591" i="13"/>
  <c r="H572" i="13"/>
  <c r="H545" i="13"/>
  <c r="H526" i="13"/>
  <c r="H455" i="13"/>
  <c r="H395" i="13"/>
  <c r="H313" i="13"/>
  <c r="H254" i="13"/>
  <c r="H215" i="13"/>
  <c r="H194" i="13"/>
  <c r="H90" i="13"/>
  <c r="H70" i="13"/>
  <c r="H29" i="13"/>
  <c r="H10" i="36"/>
  <c r="H211" i="33"/>
  <c r="H189" i="33"/>
  <c r="H129" i="33"/>
  <c r="H48" i="33"/>
  <c r="H10" i="33"/>
  <c r="H1534" i="32"/>
  <c r="H1492" i="32"/>
  <c r="H1474" i="32"/>
  <c r="H252" i="32"/>
  <c r="H234" i="32"/>
  <c r="H1392" i="32"/>
  <c r="H1374" i="32"/>
  <c r="H292" i="32"/>
  <c r="H274" i="32"/>
  <c r="H974" i="32"/>
  <c r="H912" i="32"/>
  <c r="H1192" i="32"/>
  <c r="H1174" i="32"/>
  <c r="H1274" i="32"/>
  <c r="H452" i="32"/>
  <c r="H1094" i="32"/>
  <c r="H432" i="32"/>
  <c r="H532" i="32"/>
  <c r="H514" i="32"/>
  <c r="H552" i="32"/>
  <c r="H654" i="32"/>
  <c r="H1134" i="32"/>
  <c r="H692" i="32"/>
  <c r="H188" i="33"/>
  <c r="H127" i="33"/>
  <c r="H69" i="33"/>
  <c r="H47" i="33"/>
  <c r="H9" i="33"/>
  <c r="H1551" i="32"/>
  <c r="H1533" i="32"/>
  <c r="H151" i="32"/>
  <c r="H131" i="32"/>
  <c r="H1491" i="32"/>
  <c r="H251" i="32"/>
  <c r="H1391" i="32"/>
  <c r="H1373" i="32"/>
  <c r="H1431" i="32"/>
  <c r="H353" i="32"/>
  <c r="H291" i="32"/>
  <c r="H273" i="32"/>
  <c r="H973" i="32"/>
  <c r="H893" i="32"/>
  <c r="H1191" i="32"/>
  <c r="H1173" i="32"/>
  <c r="H371" i="32"/>
  <c r="H451" i="32"/>
  <c r="H813" i="32"/>
  <c r="H795" i="32"/>
  <c r="H431" i="32"/>
  <c r="H531" i="32"/>
  <c r="H513" i="32"/>
  <c r="H495" i="32"/>
  <c r="H551" i="32"/>
  <c r="H653" i="32"/>
  <c r="H591" i="32"/>
  <c r="H1133" i="32"/>
  <c r="H735" i="32"/>
  <c r="H673" i="32"/>
  <c r="H1315" i="32"/>
  <c r="H413" i="32"/>
  <c r="H1609" i="30"/>
  <c r="H1571" i="30"/>
  <c r="H1527" i="30"/>
  <c r="H1491" i="30"/>
  <c r="H1469" i="30"/>
  <c r="H1447" i="30"/>
  <c r="H1411" i="30"/>
  <c r="H1369" i="30"/>
  <c r="H1347" i="30"/>
  <c r="H1289" i="30"/>
  <c r="H1267" i="30"/>
  <c r="H1231" i="30"/>
  <c r="H1209" i="30"/>
  <c r="H1151" i="30"/>
  <c r="H1107" i="30"/>
  <c r="H1071" i="30"/>
  <c r="H1031" i="30"/>
  <c r="H1007" i="30"/>
  <c r="H929" i="30"/>
  <c r="H888" i="30"/>
  <c r="H830" i="30"/>
  <c r="H808" i="30"/>
  <c r="H750" i="30"/>
  <c r="H727" i="30"/>
  <c r="H690" i="30"/>
  <c r="H650" i="30"/>
  <c r="H610" i="30"/>
  <c r="H588" i="30"/>
  <c r="H550" i="30"/>
  <c r="H528" i="30"/>
  <c r="H490" i="30"/>
  <c r="H430" i="30"/>
  <c r="H370" i="30"/>
  <c r="H290" i="30"/>
  <c r="H229" i="30"/>
  <c r="H190" i="30"/>
  <c r="H111" i="30"/>
  <c r="H69" i="30"/>
  <c r="H1582" i="26"/>
  <c r="H1541" i="26"/>
  <c r="H1438" i="26"/>
  <c r="H1395" i="26"/>
  <c r="H1376" i="26"/>
  <c r="H1350" i="26"/>
  <c r="H1286" i="26"/>
  <c r="H1270" i="26"/>
  <c r="H1246" i="26"/>
  <c r="H1230" i="26"/>
  <c r="H1206" i="26"/>
  <c r="H1190" i="26"/>
  <c r="H1166" i="26"/>
  <c r="H1110" i="26"/>
  <c r="H1086" i="26"/>
  <c r="H1070" i="26"/>
  <c r="H1046" i="26"/>
  <c r="H1030" i="26"/>
  <c r="H1006" i="26"/>
  <c r="H990" i="26"/>
  <c r="H966" i="26"/>
  <c r="H950" i="26"/>
  <c r="H926" i="26"/>
  <c r="H806" i="26"/>
  <c r="H790" i="26"/>
  <c r="H766" i="26"/>
  <c r="H726" i="26"/>
  <c r="H710" i="26"/>
  <c r="H686" i="26"/>
  <c r="H625" i="26"/>
  <c r="H609" i="26"/>
  <c r="H567" i="26"/>
  <c r="H508" i="26"/>
  <c r="H367" i="26"/>
  <c r="H344" i="26"/>
  <c r="H158" i="26"/>
  <c r="H151" i="26"/>
  <c r="H143" i="26"/>
  <c r="H123" i="26"/>
  <c r="H116" i="26"/>
  <c r="H88" i="26"/>
  <c r="H81" i="26"/>
  <c r="H46" i="26"/>
  <c r="H9" i="26"/>
  <c r="H1224" i="24"/>
  <c r="H1208" i="24"/>
  <c r="H590" i="21"/>
  <c r="H529" i="21"/>
  <c r="H467" i="21"/>
  <c r="H451" i="21"/>
  <c r="H411" i="21"/>
  <c r="H367" i="21"/>
  <c r="H1114" i="32"/>
  <c r="H1414" i="32"/>
  <c r="H332" i="32"/>
  <c r="H854" i="32"/>
  <c r="H952" i="32"/>
  <c r="H934" i="32"/>
  <c r="H1214" i="32"/>
  <c r="H1152" i="32"/>
  <c r="H394" i="32"/>
  <c r="H474" i="32"/>
  <c r="H1054" i="32"/>
  <c r="H492" i="32"/>
  <c r="H632" i="32"/>
  <c r="H732" i="32"/>
  <c r="H1312" i="32"/>
  <c r="H1294" i="32"/>
  <c r="H1035" i="32"/>
  <c r="H1014" i="32"/>
  <c r="H418" i="32"/>
  <c r="H1455" i="32"/>
  <c r="H27" i="36"/>
  <c r="H169" i="33"/>
  <c r="H131" i="33"/>
  <c r="H1512" i="32"/>
  <c r="H1494" i="32"/>
  <c r="H254" i="32"/>
  <c r="H211" i="32"/>
  <c r="H1394" i="32"/>
  <c r="H1412" i="32"/>
  <c r="H1434" i="32"/>
  <c r="H312" i="32"/>
  <c r="H294" i="32"/>
  <c r="H852" i="32"/>
  <c r="H914" i="32"/>
  <c r="H1212" i="32"/>
  <c r="H1194" i="32"/>
  <c r="H392" i="32"/>
  <c r="H454" i="32"/>
  <c r="H772" i="32"/>
  <c r="H754" i="32"/>
  <c r="H434" i="32"/>
  <c r="H534" i="32"/>
  <c r="H572" i="32"/>
  <c r="H554" i="32"/>
  <c r="H594" i="32"/>
  <c r="H712" i="32"/>
  <c r="H694" i="32"/>
  <c r="H1292" i="32"/>
  <c r="H1033" i="32"/>
  <c r="H1012" i="32"/>
  <c r="H992" i="32"/>
  <c r="H11" i="36"/>
  <c r="H167" i="33"/>
  <c r="H107" i="33"/>
  <c r="H71" i="33"/>
  <c r="H49" i="33"/>
  <c r="H27" i="33"/>
  <c r="H11" i="33"/>
  <c r="H1553" i="32"/>
  <c r="H1535" i="32"/>
  <c r="H1511" i="32"/>
  <c r="H1493" i="32"/>
  <c r="H1475" i="32"/>
  <c r="H1111" i="32"/>
  <c r="H235" i="32"/>
  <c r="H1393" i="32"/>
  <c r="H1375" i="32"/>
  <c r="H1411" i="32"/>
  <c r="H1433" i="32"/>
  <c r="H293" i="32"/>
  <c r="H275" i="32"/>
  <c r="H851" i="32"/>
  <c r="H975" i="32"/>
  <c r="H931" i="32"/>
  <c r="H913" i="32"/>
  <c r="H895" i="32"/>
  <c r="H1211" i="32"/>
  <c r="H1193" i="32"/>
  <c r="H1175" i="32"/>
  <c r="H373" i="32"/>
  <c r="H1275" i="32"/>
  <c r="H471" i="32"/>
  <c r="H815" i="32"/>
  <c r="H1095" i="32"/>
  <c r="H1051" i="32"/>
  <c r="H433" i="32"/>
  <c r="H515" i="32"/>
  <c r="H571" i="32"/>
  <c r="H553" i="32"/>
  <c r="H655" i="32"/>
  <c r="H1135" i="32"/>
  <c r="H693" i="32"/>
  <c r="H675" i="32"/>
  <c r="H1291" i="32"/>
  <c r="H415" i="32"/>
  <c r="H1452" i="32"/>
  <c r="H674" i="32"/>
  <c r="H414" i="32"/>
  <c r="H167" i="32"/>
  <c r="H1610" i="30"/>
  <c r="H1550" i="30"/>
  <c r="H1528" i="30"/>
  <c r="H1470" i="30"/>
  <c r="H1448" i="30"/>
  <c r="H1370" i="30"/>
  <c r="H1348" i="30"/>
  <c r="H1290" i="30"/>
  <c r="H1268" i="30"/>
  <c r="H1210" i="30"/>
  <c r="H1188" i="30"/>
  <c r="H1130" i="30"/>
  <c r="H1108" i="30"/>
  <c r="H1008" i="30"/>
  <c r="H889" i="30"/>
  <c r="H831" i="30"/>
  <c r="H809" i="30"/>
  <c r="H787" i="30"/>
  <c r="H751" i="30"/>
  <c r="H729" i="30"/>
  <c r="H691" i="30"/>
  <c r="H611" i="30"/>
  <c r="H589" i="30"/>
  <c r="H551" i="30"/>
  <c r="H449" i="30"/>
  <c r="H431" i="30"/>
  <c r="H371" i="30"/>
  <c r="H349" i="30"/>
  <c r="H308" i="30"/>
  <c r="H291" i="30"/>
  <c r="H230" i="30"/>
  <c r="H191" i="30"/>
  <c r="H168" i="30"/>
  <c r="H70" i="30"/>
  <c r="H8" i="30"/>
  <c r="H1583" i="26"/>
  <c r="H1542" i="26"/>
  <c r="H1519" i="26"/>
  <c r="H1503" i="26"/>
  <c r="H1439" i="26"/>
  <c r="H1351" i="26"/>
  <c r="H1287" i="26"/>
  <c r="H1247" i="26"/>
  <c r="H1207" i="26"/>
  <c r="H1167" i="26"/>
  <c r="H1127" i="26"/>
  <c r="H1047" i="26"/>
  <c r="H1007" i="26"/>
  <c r="H967" i="26"/>
  <c r="H927" i="26"/>
  <c r="H869" i="26"/>
  <c r="H829" i="26"/>
  <c r="H767" i="26"/>
  <c r="H727" i="26"/>
  <c r="H687" i="26"/>
  <c r="H666" i="26"/>
  <c r="H626" i="26"/>
  <c r="H525" i="26"/>
  <c r="H509" i="26"/>
  <c r="H467" i="26"/>
  <c r="H385" i="26"/>
  <c r="H368" i="26"/>
  <c r="H345" i="26"/>
  <c r="H324" i="26"/>
  <c r="H282" i="26"/>
  <c r="H261" i="26"/>
  <c r="H240" i="26"/>
  <c r="H219" i="26"/>
  <c r="H152" i="26"/>
  <c r="H144" i="26"/>
  <c r="H117" i="26"/>
  <c r="H109" i="26"/>
  <c r="H89" i="26"/>
  <c r="H54" i="26"/>
  <c r="H18" i="26"/>
  <c r="H10" i="26"/>
  <c r="H309" i="21"/>
  <c r="H271" i="21"/>
  <c r="H249" i="21"/>
  <c r="H191" i="21"/>
  <c r="H88" i="21"/>
  <c r="H11" i="21"/>
  <c r="H130" i="16"/>
  <c r="H31" i="16"/>
  <c r="H1896" i="15"/>
  <c r="H1594" i="15"/>
  <c r="H1397" i="15"/>
  <c r="H1338" i="15"/>
  <c r="H1985" i="15"/>
  <c r="H1476" i="15"/>
  <c r="H1963" i="15"/>
  <c r="H1172" i="15"/>
  <c r="H994" i="15"/>
  <c r="H516" i="15"/>
  <c r="H455" i="15"/>
  <c r="H375" i="15"/>
  <c r="H173" i="32"/>
  <c r="H1568" i="30"/>
  <c r="H1510" i="30"/>
  <c r="H1430" i="30"/>
  <c r="H1330" i="30"/>
  <c r="H1308" i="30"/>
  <c r="H1250" i="30"/>
  <c r="H1228" i="30"/>
  <c r="H1170" i="30"/>
  <c r="H1148" i="30"/>
  <c r="H1090" i="30"/>
  <c r="H990" i="30"/>
  <c r="H950" i="30"/>
  <c r="H871" i="30"/>
  <c r="H849" i="30"/>
  <c r="H827" i="30"/>
  <c r="H791" i="30"/>
  <c r="H769" i="30"/>
  <c r="H747" i="30"/>
  <c r="H710" i="30"/>
  <c r="H671" i="30"/>
  <c r="H631" i="30"/>
  <c r="H547" i="30"/>
  <c r="H511" i="30"/>
  <c r="H487" i="30"/>
  <c r="H471" i="30"/>
  <c r="H411" i="30"/>
  <c r="H389" i="30"/>
  <c r="H367" i="30"/>
  <c r="H331" i="30"/>
  <c r="H268" i="30"/>
  <c r="H210" i="30"/>
  <c r="H149" i="30"/>
  <c r="H48" i="30"/>
  <c r="H1623" i="26"/>
  <c r="H1562" i="26"/>
  <c r="H1523" i="26"/>
  <c r="H1499" i="26"/>
  <c r="H1481" i="26"/>
  <c r="H1373" i="26"/>
  <c r="H1333" i="26"/>
  <c r="H1308" i="26"/>
  <c r="H1267" i="26"/>
  <c r="H1227" i="26"/>
  <c r="H1187" i="26"/>
  <c r="H1147" i="26"/>
  <c r="H1107" i="26"/>
  <c r="H1067" i="26"/>
  <c r="H987" i="26"/>
  <c r="H947" i="26"/>
  <c r="H906" i="26"/>
  <c r="H889" i="26"/>
  <c r="H849" i="26"/>
  <c r="H787" i="26"/>
  <c r="H747" i="26"/>
  <c r="H707" i="26"/>
  <c r="H546" i="26"/>
  <c r="H529" i="26"/>
  <c r="H488" i="26"/>
  <c r="H408" i="26"/>
  <c r="H202" i="26"/>
  <c r="H181" i="26"/>
  <c r="H148" i="26"/>
  <c r="H113" i="26"/>
  <c r="H86" i="26"/>
  <c r="H78" i="26"/>
  <c r="H51" i="26"/>
  <c r="H43" i="26"/>
  <c r="H21" i="26"/>
  <c r="H14" i="26"/>
  <c r="H7" i="26"/>
  <c r="H1205" i="24"/>
  <c r="H1530" i="30"/>
  <c r="H1508" i="30"/>
  <c r="H1450" i="30"/>
  <c r="H1428" i="30"/>
  <c r="H1350" i="30"/>
  <c r="H1328" i="30"/>
  <c r="H1270" i="30"/>
  <c r="H1248" i="30"/>
  <c r="H1190" i="30"/>
  <c r="H1168" i="30"/>
  <c r="H1110" i="30"/>
  <c r="H1088" i="30"/>
  <c r="H1050" i="30"/>
  <c r="H1010" i="30"/>
  <c r="H891" i="30"/>
  <c r="H869" i="30"/>
  <c r="H847" i="30"/>
  <c r="H811" i="30"/>
  <c r="H789" i="30"/>
  <c r="H731" i="30"/>
  <c r="H707" i="30"/>
  <c r="H591" i="30"/>
  <c r="H569" i="30"/>
  <c r="H531" i="30"/>
  <c r="H509" i="30"/>
  <c r="H469" i="30"/>
  <c r="H451" i="30"/>
  <c r="H387" i="30"/>
  <c r="H351" i="30"/>
  <c r="H329" i="30"/>
  <c r="H311" i="30"/>
  <c r="H208" i="30"/>
  <c r="H170" i="30"/>
  <c r="H130" i="30"/>
  <c r="H90" i="30"/>
  <c r="H29" i="30"/>
  <c r="H10" i="30"/>
  <c r="H1560" i="26"/>
  <c r="H1521" i="26"/>
  <c r="H1416" i="26"/>
  <c r="H1398" i="26"/>
  <c r="H1330" i="26"/>
  <c r="H1289" i="26"/>
  <c r="H1249" i="26"/>
  <c r="H1209" i="26"/>
  <c r="H1129" i="26"/>
  <c r="H1089" i="26"/>
  <c r="H1049" i="26"/>
  <c r="H1009" i="26"/>
  <c r="H969" i="26"/>
  <c r="H929" i="26"/>
  <c r="H847" i="26"/>
  <c r="H809" i="26"/>
  <c r="H769" i="26"/>
  <c r="H668" i="26"/>
  <c r="H628" i="26"/>
  <c r="H588" i="26"/>
  <c r="H527" i="26"/>
  <c r="H486" i="26"/>
  <c r="H469" i="26"/>
  <c r="H428" i="26"/>
  <c r="H406" i="26"/>
  <c r="H387" i="26"/>
  <c r="H347" i="26"/>
  <c r="H326" i="26"/>
  <c r="H305" i="26"/>
  <c r="H284" i="26"/>
  <c r="H263" i="26"/>
  <c r="H242" i="26"/>
  <c r="H221" i="26"/>
  <c r="H200" i="26"/>
  <c r="H179" i="26"/>
  <c r="H154" i="26"/>
  <c r="H146" i="26"/>
  <c r="H111" i="26"/>
  <c r="H84" i="26"/>
  <c r="H76" i="26"/>
  <c r="H49" i="26"/>
  <c r="H41" i="26"/>
  <c r="H1227" i="24"/>
  <c r="H1611" i="30"/>
  <c r="H1587" i="30"/>
  <c r="H1551" i="30"/>
  <c r="H1529" i="30"/>
  <c r="H1507" i="30"/>
  <c r="H1449" i="30"/>
  <c r="H1427" i="30"/>
  <c r="H1371" i="30"/>
  <c r="H1349" i="30"/>
  <c r="H1291" i="30"/>
  <c r="H1269" i="30"/>
  <c r="H1247" i="30"/>
  <c r="H1211" i="30"/>
  <c r="H1189" i="30"/>
  <c r="H1167" i="30"/>
  <c r="H1131" i="30"/>
  <c r="H1087" i="30"/>
  <c r="H1047" i="30"/>
  <c r="H971" i="30"/>
  <c r="H931" i="30"/>
  <c r="H890" i="30"/>
  <c r="H788" i="30"/>
  <c r="H730" i="30"/>
  <c r="H590" i="30"/>
  <c r="H530" i="30"/>
  <c r="H508" i="30"/>
  <c r="H450" i="30"/>
  <c r="H408" i="30"/>
  <c r="H350" i="30"/>
  <c r="H248" i="30"/>
  <c r="H231" i="30"/>
  <c r="H169" i="30"/>
  <c r="H129" i="30"/>
  <c r="H89" i="30"/>
  <c r="H71" i="30"/>
  <c r="H28" i="30"/>
  <c r="H9" i="30"/>
  <c r="H1602" i="26"/>
  <c r="H1584" i="26"/>
  <c r="H1559" i="26"/>
  <c r="H1543" i="26"/>
  <c r="H1520" i="26"/>
  <c r="H1440" i="26"/>
  <c r="H1397" i="26"/>
  <c r="H1352" i="26"/>
  <c r="H1288" i="26"/>
  <c r="H1248" i="26"/>
  <c r="H1208" i="26"/>
  <c r="H1168" i="26"/>
  <c r="H1128" i="26"/>
  <c r="H1088" i="26"/>
  <c r="H1048" i="26"/>
  <c r="H1008" i="26"/>
  <c r="H968" i="26"/>
  <c r="H928" i="26"/>
  <c r="H886" i="26"/>
  <c r="H870" i="26"/>
  <c r="H846" i="26"/>
  <c r="H830" i="26"/>
  <c r="H808" i="26"/>
  <c r="H768" i="26"/>
  <c r="H728" i="26"/>
  <c r="H688" i="26"/>
  <c r="H667" i="26"/>
  <c r="H627" i="26"/>
  <c r="H587" i="26"/>
  <c r="H526" i="26"/>
  <c r="H468" i="26"/>
  <c r="H427" i="26"/>
  <c r="H346" i="26"/>
  <c r="H325" i="26"/>
  <c r="H304" i="26"/>
  <c r="H283" i="26"/>
  <c r="H262" i="26"/>
  <c r="H241" i="26"/>
  <c r="H199" i="26"/>
  <c r="H153" i="26"/>
  <c r="H145" i="26"/>
  <c r="H118" i="26"/>
  <c r="H110" i="26"/>
  <c r="H83" i="26"/>
  <c r="H75" i="26"/>
  <c r="H55" i="26"/>
  <c r="H48" i="26"/>
  <c r="H11" i="26"/>
  <c r="H1226" i="24"/>
  <c r="H591" i="21"/>
  <c r="H228" i="21"/>
  <c r="H129" i="21"/>
  <c r="H89" i="21"/>
  <c r="H67" i="21"/>
  <c r="H209" i="16"/>
  <c r="H189" i="16"/>
  <c r="H131" i="16"/>
  <c r="H111" i="16"/>
  <c r="H7" i="16"/>
  <c r="H1654" i="15"/>
  <c r="H1595" i="15"/>
  <c r="H1576" i="15"/>
  <c r="H1315" i="15"/>
  <c r="H1133" i="15"/>
  <c r="H456" i="15"/>
  <c r="H352" i="15"/>
  <c r="H904" i="13"/>
  <c r="H885" i="13"/>
  <c r="H845" i="13"/>
  <c r="H805" i="13"/>
  <c r="H743" i="13"/>
  <c r="H725" i="13"/>
  <c r="H707" i="13"/>
  <c r="H640" i="13"/>
  <c r="H613" i="13"/>
  <c r="H593" i="13"/>
  <c r="H574" i="13"/>
  <c r="H566" i="13"/>
  <c r="H547" i="13"/>
  <c r="H520" i="13"/>
  <c r="H499" i="13"/>
  <c r="H478" i="13"/>
  <c r="H457" i="13"/>
  <c r="H414" i="13"/>
  <c r="H351" i="13"/>
  <c r="H273" i="13"/>
  <c r="H231" i="13"/>
  <c r="H174" i="13"/>
  <c r="H152" i="13"/>
  <c r="H131" i="13"/>
  <c r="H111" i="13"/>
  <c r="H48" i="13"/>
  <c r="H31" i="13"/>
  <c r="H587" i="21"/>
  <c r="H551" i="21"/>
  <c r="H510" i="21"/>
  <c r="H448" i="21"/>
  <c r="H408" i="21"/>
  <c r="H350" i="21"/>
  <c r="H328" i="21"/>
  <c r="H268" i="21"/>
  <c r="H210" i="21"/>
  <c r="H171" i="21"/>
  <c r="H149" i="21"/>
  <c r="H109" i="21"/>
  <c r="H71" i="21"/>
  <c r="H49" i="21"/>
  <c r="H8" i="21"/>
  <c r="H508" i="21"/>
  <c r="H430" i="21"/>
  <c r="H370" i="21"/>
  <c r="H348" i="21"/>
  <c r="H288" i="21"/>
  <c r="H230" i="21"/>
  <c r="H208" i="21"/>
  <c r="H169" i="21"/>
  <c r="H147" i="21"/>
  <c r="H107" i="21"/>
  <c r="H91" i="21"/>
  <c r="H69" i="21"/>
  <c r="H570" i="21"/>
  <c r="H547" i="21"/>
  <c r="H531" i="21"/>
  <c r="H507" i="21"/>
  <c r="H469" i="21"/>
  <c r="H429" i="21"/>
  <c r="H391" i="21"/>
  <c r="H369" i="21"/>
  <c r="H347" i="21"/>
  <c r="H311" i="21"/>
  <c r="H287" i="21"/>
  <c r="H130" i="21"/>
  <c r="H90" i="21"/>
  <c r="H68" i="21"/>
  <c r="H47" i="21"/>
  <c r="H31" i="21"/>
  <c r="H983" i="13"/>
  <c r="H905" i="13"/>
  <c r="H886" i="13"/>
  <c r="H823" i="13"/>
  <c r="H745" i="13"/>
  <c r="H726" i="13"/>
  <c r="H500" i="13"/>
  <c r="H479" i="13"/>
  <c r="H458" i="13"/>
  <c r="H415" i="13"/>
  <c r="H353" i="13"/>
  <c r="H175" i="13"/>
  <c r="H132" i="13"/>
  <c r="H112" i="13"/>
  <c r="H49" i="13"/>
  <c r="H171" i="16"/>
  <c r="H127" i="16"/>
  <c r="H107" i="16"/>
  <c r="H89" i="16"/>
  <c r="H70" i="16"/>
  <c r="H49" i="16"/>
  <c r="H28" i="16"/>
  <c r="H1877" i="15"/>
  <c r="H1818" i="15"/>
  <c r="H1055" i="15"/>
  <c r="H372" i="15"/>
  <c r="H274" i="15"/>
  <c r="H1007" i="13"/>
  <c r="H945" i="13"/>
  <c r="H865" i="13"/>
  <c r="H827" i="13"/>
  <c r="H211" i="16"/>
  <c r="H169" i="16"/>
  <c r="H87" i="16"/>
  <c r="H68" i="16"/>
  <c r="H47" i="16"/>
  <c r="H1597" i="15"/>
  <c r="H1376" i="15"/>
  <c r="H1317" i="15"/>
  <c r="H1135" i="15"/>
  <c r="H1053" i="15"/>
  <c r="H354" i="15"/>
  <c r="H272" i="15"/>
  <c r="H512" i="15"/>
  <c r="H1297" i="15"/>
  <c r="H854" i="15"/>
  <c r="H796" i="15"/>
  <c r="H1014" i="15"/>
  <c r="H1176" i="15"/>
  <c r="H1455" i="15"/>
  <c r="H2085" i="15"/>
  <c r="H1656" i="15"/>
  <c r="H2127" i="15"/>
  <c r="H1634" i="15"/>
  <c r="H1638" i="15"/>
  <c r="H1615" i="15"/>
  <c r="H1736" i="15"/>
  <c r="H1836" i="15"/>
  <c r="H1854" i="15"/>
  <c r="H1919" i="15"/>
  <c r="H695" i="15"/>
  <c r="H210" i="16"/>
  <c r="H190" i="16"/>
  <c r="H168" i="16"/>
  <c r="H67" i="16"/>
  <c r="H1900" i="15"/>
  <c r="H2125" i="15"/>
  <c r="H2107" i="15"/>
  <c r="H1658" i="15"/>
  <c r="H2087" i="15"/>
  <c r="H2067" i="15"/>
  <c r="H1554" i="15"/>
  <c r="H2047" i="15"/>
  <c r="H1316" i="15"/>
  <c r="H414" i="15"/>
  <c r="H293" i="15"/>
  <c r="H208" i="11"/>
  <c r="H700" i="15"/>
  <c r="H707" i="15"/>
  <c r="H703" i="15"/>
  <c r="H1267" i="15"/>
  <c r="H1263" i="15"/>
  <c r="H1259" i="15"/>
  <c r="H1260" i="15"/>
  <c r="H1266" i="15"/>
  <c r="H785" i="13"/>
  <c r="H767" i="13"/>
  <c r="H685" i="13"/>
  <c r="H637" i="13"/>
  <c r="H590" i="13"/>
  <c r="H375" i="13"/>
  <c r="H295" i="13"/>
  <c r="H253" i="13"/>
  <c r="H214" i="13"/>
  <c r="H193" i="13"/>
  <c r="H1262" i="15"/>
  <c r="H1006" i="13"/>
  <c r="H987" i="13"/>
  <c r="H944" i="13"/>
  <c r="H927" i="13"/>
  <c r="H664" i="13"/>
  <c r="H644" i="13"/>
  <c r="H636" i="13"/>
  <c r="H617" i="13"/>
  <c r="H597" i="13"/>
  <c r="H570" i="13"/>
  <c r="H543" i="13"/>
  <c r="H524" i="13"/>
  <c r="H503" i="13"/>
  <c r="H474" i="13"/>
  <c r="H393" i="13"/>
  <c r="H374" i="13"/>
  <c r="H294" i="13"/>
  <c r="H251" i="13"/>
  <c r="H68" i="13"/>
  <c r="H8" i="13"/>
  <c r="H1005" i="13"/>
  <c r="H616" i="13"/>
  <c r="H452" i="13"/>
  <c r="H271" i="11"/>
  <c r="H248" i="11"/>
  <c r="H210" i="11"/>
  <c r="H169" i="11"/>
  <c r="H304" i="8"/>
  <c r="H265" i="8"/>
  <c r="H225" i="8"/>
  <c r="H128" i="8"/>
  <c r="H118" i="8"/>
  <c r="H95" i="8"/>
  <c r="H67" i="8"/>
  <c r="H51" i="8"/>
  <c r="H1003" i="13"/>
  <c r="H985" i="13"/>
  <c r="H967" i="13"/>
  <c r="H925" i="13"/>
  <c r="H906" i="13"/>
  <c r="H887" i="13"/>
  <c r="H847" i="13"/>
  <c r="H824" i="13"/>
  <c r="H807" i="13"/>
  <c r="H763" i="13"/>
  <c r="H746" i="13"/>
  <c r="H727" i="13"/>
  <c r="H662" i="13"/>
  <c r="H642" i="13"/>
  <c r="H615" i="13"/>
  <c r="H595" i="13"/>
  <c r="H501" i="13"/>
  <c r="H480" i="13"/>
  <c r="H451" i="13"/>
  <c r="H434" i="13"/>
  <c r="H371" i="13"/>
  <c r="H354" i="13"/>
  <c r="H332" i="13"/>
  <c r="H291" i="13"/>
  <c r="H275" i="13"/>
  <c r="H234" i="13"/>
  <c r="H211" i="13"/>
  <c r="H154" i="13"/>
  <c r="H133" i="13"/>
  <c r="H231" i="11"/>
  <c r="H209" i="11"/>
  <c r="H188" i="11"/>
  <c r="H91" i="11"/>
  <c r="H853" i="8"/>
  <c r="H773" i="8"/>
  <c r="H688" i="8"/>
  <c r="H628" i="8"/>
  <c r="H606" i="8"/>
  <c r="H566" i="8"/>
  <c r="H508" i="8"/>
  <c r="H445" i="8"/>
  <c r="H264" i="8"/>
  <c r="H224" i="8"/>
  <c r="H208" i="8"/>
  <c r="H127" i="8"/>
  <c r="H116" i="8"/>
  <c r="H94" i="8"/>
  <c r="H1123" i="15"/>
  <c r="H1127" i="15"/>
  <c r="H1119" i="15"/>
  <c r="H1120" i="15"/>
  <c r="H779" i="15"/>
  <c r="H780" i="15"/>
  <c r="H228" i="11"/>
  <c r="H51" i="11"/>
  <c r="H251" i="11"/>
  <c r="H813" i="8"/>
  <c r="H792" i="8"/>
  <c r="H750" i="8"/>
  <c r="H645" i="8"/>
  <c r="H548" i="8"/>
  <c r="H504" i="8"/>
  <c r="H384" i="8"/>
  <c r="H368" i="8"/>
  <c r="H346" i="8"/>
  <c r="H285" i="8"/>
  <c r="H123" i="8"/>
  <c r="H98" i="8"/>
  <c r="H70" i="8"/>
  <c r="H27" i="8"/>
  <c r="H705" i="8"/>
  <c r="H525" i="8"/>
  <c r="H448" i="8"/>
  <c r="H284" i="8"/>
  <c r="H268" i="8"/>
  <c r="H97" i="8"/>
  <c r="H69" i="8"/>
  <c r="H1126" i="15"/>
  <c r="H249" i="11"/>
  <c r="H211" i="11"/>
  <c r="H190" i="11"/>
  <c r="H811" i="8"/>
  <c r="H728" i="8"/>
  <c r="H704" i="8"/>
  <c r="H584" i="8"/>
  <c r="H366" i="8"/>
  <c r="H344" i="8"/>
  <c r="H267" i="8"/>
  <c r="H185" i="8"/>
  <c r="H96" i="8"/>
  <c r="H92" i="8"/>
  <c r="H68" i="8"/>
  <c r="H36" i="15"/>
  <c r="H33" i="15"/>
  <c r="H7" i="15"/>
  <c r="H356" i="15"/>
  <c r="H434" i="15"/>
  <c r="H475" i="15"/>
  <c r="H956" i="15"/>
  <c r="H995" i="15"/>
  <c r="H1034" i="15"/>
  <c r="H1195" i="15"/>
  <c r="H1515" i="15"/>
  <c r="H1438" i="15"/>
  <c r="H1966" i="15"/>
  <c r="H2048" i="15"/>
  <c r="H1536" i="15"/>
  <c r="H1754" i="15"/>
  <c r="H1758" i="15"/>
  <c r="H2105" i="15"/>
  <c r="H1696" i="15"/>
  <c r="H1715" i="15"/>
  <c r="H1776" i="15"/>
  <c r="H995" i="32"/>
  <c r="H1031" i="32"/>
  <c r="H1042" i="32"/>
  <c r="H8" i="15"/>
  <c r="H313" i="15"/>
  <c r="H814" i="15"/>
  <c r="H1015" i="15"/>
  <c r="H1074" i="15"/>
  <c r="H1155" i="15"/>
  <c r="H1173" i="15"/>
  <c r="H1192" i="15"/>
  <c r="H1456" i="15"/>
  <c r="H1358" i="15"/>
  <c r="H1375" i="15"/>
  <c r="H1558" i="15"/>
  <c r="H1575" i="15"/>
  <c r="H2064" i="15"/>
  <c r="H1635" i="15"/>
  <c r="H1616" i="15"/>
  <c r="H1737" i="15"/>
  <c r="H1920" i="15"/>
  <c r="H613" i="15"/>
  <c r="H1213" i="15"/>
  <c r="H1255" i="15"/>
  <c r="H754" i="15"/>
  <c r="H772" i="15"/>
  <c r="H655" i="15"/>
  <c r="H734" i="15"/>
  <c r="H332" i="15"/>
  <c r="H493" i="15"/>
  <c r="H1298" i="15"/>
  <c r="H953" i="15"/>
  <c r="H996" i="15"/>
  <c r="H1196" i="15"/>
  <c r="H1516" i="15"/>
  <c r="H1435" i="15"/>
  <c r="H1434" i="15"/>
  <c r="H2044" i="15"/>
  <c r="H1755" i="15"/>
  <c r="H2106" i="15"/>
  <c r="H1697" i="15"/>
  <c r="H1032" i="32"/>
  <c r="H852" i="8"/>
  <c r="H753" i="8"/>
  <c r="H725" i="8"/>
  <c r="H648" i="8"/>
  <c r="H627" i="8"/>
  <c r="H406" i="8"/>
  <c r="H246" i="8"/>
  <c r="H207" i="8"/>
  <c r="H166" i="8"/>
  <c r="H126" i="8"/>
  <c r="H100" i="8"/>
  <c r="H87" i="8"/>
  <c r="H8" i="8"/>
  <c r="H620" i="15"/>
  <c r="H1116" i="15"/>
  <c r="H776" i="15"/>
  <c r="H432" i="15"/>
  <c r="H856" i="15"/>
  <c r="H815" i="15"/>
  <c r="H794" i="15"/>
  <c r="H873" i="15"/>
  <c r="H972" i="15"/>
  <c r="H1016" i="15"/>
  <c r="H934" i="15"/>
  <c r="H976" i="15"/>
  <c r="H1075" i="15"/>
  <c r="H1156" i="15"/>
  <c r="H1018" i="32"/>
  <c r="H1038" i="32"/>
  <c r="H268" i="11"/>
  <c r="H229" i="11"/>
  <c r="H151" i="11"/>
  <c r="H111" i="11"/>
  <c r="H873" i="8"/>
  <c r="H851" i="8"/>
  <c r="H752" i="8"/>
  <c r="H686" i="8"/>
  <c r="H647" i="8"/>
  <c r="H626" i="8"/>
  <c r="H564" i="8"/>
  <c r="H528" i="8"/>
  <c r="H487" i="8"/>
  <c r="H427" i="8"/>
  <c r="H405" i="8"/>
  <c r="H348" i="8"/>
  <c r="H328" i="8"/>
  <c r="H245" i="8"/>
  <c r="H165" i="8"/>
  <c r="H125" i="8"/>
  <c r="H47" i="8"/>
  <c r="H627" i="15"/>
  <c r="H2008" i="15"/>
  <c r="H1214" i="15"/>
  <c r="H896" i="15"/>
  <c r="H1454" i="15"/>
  <c r="H1694" i="15"/>
  <c r="H673" i="15"/>
  <c r="H999" i="32"/>
  <c r="H1019" i="32"/>
  <c r="H1039" i="32"/>
  <c r="H872" i="8"/>
  <c r="H849" i="8"/>
  <c r="H793" i="8"/>
  <c r="H770" i="8"/>
  <c r="H751" i="8"/>
  <c r="H708" i="8"/>
  <c r="H685" i="8"/>
  <c r="H624" i="8"/>
  <c r="H505" i="8"/>
  <c r="H486" i="8"/>
  <c r="H426" i="8"/>
  <c r="H404" i="8"/>
  <c r="H347" i="8"/>
  <c r="H124" i="8"/>
  <c r="H71" i="8"/>
  <c r="H28" i="8"/>
  <c r="H7" i="8"/>
  <c r="H1113" i="15"/>
  <c r="H713" i="15"/>
  <c r="H536" i="15"/>
  <c r="H853" i="15"/>
  <c r="H935" i="15"/>
  <c r="H1076" i="15"/>
  <c r="H1153" i="15"/>
  <c r="H1175" i="15"/>
  <c r="H1988" i="15"/>
  <c r="H1356" i="15"/>
  <c r="H1377" i="15"/>
  <c r="H1556" i="15"/>
  <c r="H2068" i="15"/>
  <c r="H1577" i="15"/>
  <c r="H2084" i="15"/>
  <c r="H2088" i="15"/>
  <c r="H1655" i="15"/>
  <c r="H2126" i="15"/>
  <c r="H1618" i="15"/>
  <c r="H1735" i="15"/>
  <c r="H1858" i="15"/>
  <c r="H773" i="15"/>
  <c r="H656" i="15"/>
  <c r="H333" i="15"/>
  <c r="H9" i="15"/>
  <c r="H1535" i="15"/>
  <c r="H1534" i="15"/>
  <c r="H672" i="15"/>
  <c r="G788" i="8"/>
  <c r="H788" i="8" s="1"/>
  <c r="H1041" i="32"/>
  <c r="G186" i="11"/>
  <c r="H186" i="11" s="1"/>
  <c r="G1204" i="24"/>
  <c r="H1204" i="24" s="1"/>
  <c r="G9" i="16"/>
  <c r="H9" i="16" s="1"/>
  <c r="G13" i="26"/>
  <c r="H13" i="26" s="1"/>
  <c r="G1228" i="24"/>
  <c r="H1228" i="24" s="1"/>
  <c r="H50" i="13"/>
  <c r="G46" i="13"/>
  <c r="H46" i="13" s="1"/>
  <c r="G7" i="13"/>
  <c r="H7" i="13" s="1"/>
  <c r="H247" i="11"/>
  <c r="G246" i="11"/>
  <c r="H246" i="11" s="1"/>
  <c r="H168" i="11"/>
  <c r="G166" i="11"/>
  <c r="G888" i="8"/>
  <c r="H888" i="8" s="1"/>
  <c r="H890" i="8"/>
  <c r="G723" i="8"/>
  <c r="H723" i="8" s="1"/>
  <c r="H726" i="8"/>
  <c r="H544" i="8"/>
  <c r="G543" i="8"/>
  <c r="H543" i="8" s="1"/>
  <c r="H407" i="8"/>
  <c r="G403" i="8"/>
  <c r="H403" i="8" s="1"/>
  <c r="H364" i="8"/>
  <c r="G363" i="8"/>
  <c r="H363" i="8" s="1"/>
  <c r="G7" i="36"/>
  <c r="H7" i="36" s="1"/>
  <c r="G7" i="33"/>
  <c r="H7" i="33" s="1"/>
  <c r="G66" i="21"/>
  <c r="G663" i="8"/>
  <c r="H663" i="8" s="1"/>
  <c r="G343" i="8"/>
  <c r="G26" i="8"/>
  <c r="H30" i="8"/>
  <c r="H288" i="8"/>
  <c r="G283" i="8"/>
  <c r="H283" i="8" s="1"/>
  <c r="H168" i="21"/>
  <c r="G166" i="21"/>
  <c r="G146" i="21"/>
  <c r="G86" i="6"/>
  <c r="G206" i="11"/>
  <c r="H206" i="11" s="1"/>
  <c r="G143" i="8"/>
  <c r="H143" i="8" s="1"/>
  <c r="H151" i="21"/>
  <c r="H28" i="21"/>
  <c r="G26" i="21"/>
  <c r="G326" i="21"/>
  <c r="G109" i="11"/>
  <c r="H109" i="11" s="1"/>
  <c r="G150" i="13"/>
  <c r="H150" i="13" s="1"/>
  <c r="G226" i="11"/>
  <c r="H226" i="11" s="1"/>
  <c r="H470" i="21"/>
  <c r="G466" i="21"/>
  <c r="H466" i="21" s="1"/>
  <c r="G366" i="30"/>
  <c r="H488" i="21"/>
  <c r="G486" i="21"/>
  <c r="G1065" i="26"/>
  <c r="H1065" i="26" s="1"/>
  <c r="G186" i="21"/>
  <c r="G406" i="21"/>
  <c r="H406" i="21" s="1"/>
  <c r="G346" i="21"/>
  <c r="G226" i="21"/>
  <c r="G206" i="21"/>
  <c r="G643" i="8"/>
  <c r="H643" i="8" s="1"/>
  <c r="G205" i="8"/>
  <c r="H205" i="8" s="1"/>
  <c r="H527" i="8"/>
  <c r="G523" i="8"/>
  <c r="H523" i="8" s="1"/>
  <c r="H207" i="21"/>
  <c r="G664" i="26"/>
  <c r="H664" i="26" s="1"/>
  <c r="E1276" i="15"/>
  <c r="G1276" i="15" s="1"/>
  <c r="H1276" i="15" s="1"/>
  <c r="E746" i="8"/>
  <c r="G1349" i="26"/>
  <c r="G1165" i="26"/>
  <c r="H1165" i="26" s="1"/>
  <c r="G925" i="26"/>
  <c r="H925" i="26" s="1"/>
  <c r="G725" i="26"/>
  <c r="H725" i="26" s="1"/>
  <c r="G19" i="26"/>
  <c r="H1353" i="26"/>
  <c r="H729" i="26"/>
  <c r="G644" i="26"/>
  <c r="H644" i="26" s="1"/>
  <c r="G178" i="26"/>
  <c r="H178" i="26" s="1"/>
  <c r="G149" i="11"/>
  <c r="H149" i="11" s="1"/>
  <c r="H592" i="32"/>
  <c r="G9" i="11"/>
  <c r="H9" i="11" s="1"/>
  <c r="G530" i="32"/>
  <c r="H530" i="32" s="1"/>
  <c r="H533" i="32"/>
  <c r="G710" i="32"/>
  <c r="H710" i="32" s="1"/>
  <c r="G526" i="30"/>
  <c r="H526" i="30" s="1"/>
  <c r="G805" i="26"/>
  <c r="G1371" i="26"/>
  <c r="H1371" i="26" s="1"/>
  <c r="H1169" i="26"/>
  <c r="G765" i="26"/>
  <c r="H765" i="26" s="1"/>
  <c r="G1245" i="26"/>
  <c r="H1245" i="26" s="1"/>
  <c r="H711" i="32"/>
  <c r="G624" i="26"/>
  <c r="H624" i="26" s="1"/>
  <c r="G846" i="30"/>
  <c r="H846" i="30" s="1"/>
  <c r="G1285" i="26"/>
  <c r="H1285" i="26" s="1"/>
  <c r="H645" i="26"/>
  <c r="G1045" i="26"/>
  <c r="H1045" i="26" s="1"/>
  <c r="G745" i="26"/>
  <c r="E1277" i="15"/>
  <c r="G1277" i="15" s="1"/>
  <c r="H1277" i="15" s="1"/>
  <c r="F830" i="1"/>
  <c r="I1162" i="24" s="1"/>
  <c r="J1162" i="24" s="1"/>
  <c r="G246" i="21"/>
  <c r="H246" i="21" s="1"/>
  <c r="E952" i="15"/>
  <c r="G952" i="15" s="1"/>
  <c r="H952" i="15" s="1"/>
  <c r="G135" i="13"/>
  <c r="H135" i="13" s="1"/>
  <c r="G1185" i="26"/>
  <c r="G1145" i="26"/>
  <c r="G1410" i="32"/>
  <c r="H529" i="30"/>
  <c r="G1005" i="26"/>
  <c r="G1518" i="26"/>
  <c r="H1518" i="26" s="1"/>
  <c r="G766" i="30"/>
  <c r="G506" i="21"/>
  <c r="G126" i="21"/>
  <c r="H126" i="21" s="1"/>
  <c r="G146" i="16"/>
  <c r="G1205" i="26"/>
  <c r="H1205" i="26" s="1"/>
  <c r="H1479" i="26"/>
  <c r="G1478" i="26"/>
  <c r="H1478" i="26" s="1"/>
  <c r="H571" i="21"/>
  <c r="G566" i="21"/>
  <c r="G7" i="21"/>
  <c r="H7" i="21" s="1"/>
  <c r="G1330" i="32"/>
  <c r="G350" i="32"/>
  <c r="G1250" i="32"/>
  <c r="G386" i="30"/>
  <c r="H386" i="30" s="1"/>
  <c r="G198" i="26"/>
  <c r="G197" i="26" s="1"/>
  <c r="H197" i="26" s="1"/>
  <c r="G129" i="11"/>
  <c r="H129" i="11" s="1"/>
  <c r="H130" i="32"/>
  <c r="H1092" i="32"/>
  <c r="G1090" i="32"/>
  <c r="H652" i="32"/>
  <c r="G650" i="32"/>
  <c r="H672" i="32"/>
  <c r="G670" i="32"/>
  <c r="H670" i="32" s="1"/>
  <c r="H994" i="32"/>
  <c r="G990" i="32"/>
  <c r="H990" i="32" s="1"/>
  <c r="H1591" i="30"/>
  <c r="G1586" i="30"/>
  <c r="H1586" i="30" s="1"/>
  <c r="H1511" i="30"/>
  <c r="G1506" i="30"/>
  <c r="H1506" i="30" s="1"/>
  <c r="H1431" i="30"/>
  <c r="G1426" i="30"/>
  <c r="H1426" i="30" s="1"/>
  <c r="H1287" i="30"/>
  <c r="G1286" i="30"/>
  <c r="H1286" i="30" s="1"/>
  <c r="H1091" i="30"/>
  <c r="G1086" i="30"/>
  <c r="G450" i="13"/>
  <c r="H450" i="13" s="1"/>
  <c r="H453" i="13"/>
  <c r="H334" i="13"/>
  <c r="G330" i="13"/>
  <c r="G210" i="13"/>
  <c r="H210" i="13" s="1"/>
  <c r="H213" i="13"/>
  <c r="H192" i="13"/>
  <c r="G190" i="13"/>
  <c r="H190" i="13" s="1"/>
  <c r="G730" i="32"/>
  <c r="G606" i="30"/>
  <c r="H1531" i="30"/>
  <c r="G1526" i="30"/>
  <c r="H1526" i="30" s="1"/>
  <c r="H1329" i="30"/>
  <c r="G1326" i="30"/>
  <c r="G6" i="15"/>
  <c r="H6" i="15" s="1"/>
  <c r="H11" i="15"/>
  <c r="G183" i="8"/>
  <c r="G1446" i="30"/>
  <c r="G1106" i="30"/>
  <c r="G985" i="26"/>
  <c r="H985" i="26" s="1"/>
  <c r="G825" i="26"/>
  <c r="G343" i="26"/>
  <c r="H343" i="26" s="1"/>
  <c r="E912" i="15"/>
  <c r="G912" i="15" s="1"/>
  <c r="H912" i="15" s="1"/>
  <c r="E1835" i="15"/>
  <c r="G1835" i="15" s="1"/>
  <c r="G156" i="26"/>
  <c r="H156" i="26" s="1"/>
  <c r="G121" i="26"/>
  <c r="H121" i="26" s="1"/>
  <c r="E992" i="15"/>
  <c r="G992" i="15" s="1"/>
  <c r="H992" i="15" s="1"/>
  <c r="G446" i="21"/>
  <c r="G250" i="32"/>
  <c r="H250" i="32" s="1"/>
  <c r="G1050" i="32"/>
  <c r="H1050" i="32" s="1"/>
  <c r="E1815" i="15"/>
  <c r="G1815" i="15" s="1"/>
  <c r="G1813" i="15" s="1"/>
  <c r="H10" i="21"/>
  <c r="G91" i="8"/>
  <c r="H91" i="8" s="1"/>
  <c r="G10" i="11"/>
  <c r="H10" i="11" s="1"/>
  <c r="G1225" i="24"/>
  <c r="H1009" i="30"/>
  <c r="G1006" i="30"/>
  <c r="H810" i="30"/>
  <c r="G806" i="30"/>
  <c r="H806" i="30" s="1"/>
  <c r="G1415" i="26"/>
  <c r="H1415" i="26" s="1"/>
  <c r="H1418" i="26"/>
  <c r="G1105" i="26"/>
  <c r="H1109" i="26"/>
  <c r="H472" i="32"/>
  <c r="G470" i="32"/>
  <c r="G146" i="6"/>
  <c r="G463" i="8"/>
  <c r="H463" i="8" s="1"/>
  <c r="G850" i="32"/>
  <c r="H497" i="13"/>
  <c r="G496" i="13"/>
  <c r="H476" i="13"/>
  <c r="G473" i="13"/>
  <c r="H411" i="13"/>
  <c r="H172" i="13"/>
  <c r="G170" i="13"/>
  <c r="G10" i="13"/>
  <c r="H771" i="8"/>
  <c r="G768" i="8"/>
  <c r="H768" i="8" s="1"/>
  <c r="G683" i="8"/>
  <c r="H683" i="8" s="1"/>
  <c r="H687" i="8"/>
  <c r="G603" i="8"/>
  <c r="H603" i="8" s="1"/>
  <c r="H604" i="8"/>
  <c r="H565" i="8"/>
  <c r="G563" i="8"/>
  <c r="H507" i="8"/>
  <c r="G503" i="8"/>
  <c r="H503" i="8" s="1"/>
  <c r="H488" i="8"/>
  <c r="G483" i="8"/>
  <c r="H483" i="8" s="1"/>
  <c r="G443" i="8"/>
  <c r="H443" i="8" s="1"/>
  <c r="H444" i="8"/>
  <c r="G423" i="8"/>
  <c r="H423" i="8" s="1"/>
  <c r="H428" i="8"/>
  <c r="G383" i="8"/>
  <c r="H383" i="8" s="1"/>
  <c r="H388" i="8"/>
  <c r="H396" i="15"/>
  <c r="G392" i="15"/>
  <c r="H392" i="15" s="1"/>
  <c r="G10" i="8"/>
  <c r="H10" i="8" s="1"/>
  <c r="H324" i="8"/>
  <c r="G323" i="8"/>
  <c r="H771" i="32"/>
  <c r="G770" i="32"/>
  <c r="G910" i="32"/>
  <c r="G1566" i="30"/>
  <c r="G290" i="32"/>
  <c r="G1390" i="32"/>
  <c r="G1030" i="32"/>
  <c r="G270" i="32"/>
  <c r="H270" i="32" s="1"/>
  <c r="G186" i="33"/>
  <c r="G1370" i="32"/>
  <c r="H1370" i="32" s="1"/>
  <c r="G890" i="32"/>
  <c r="H691" i="32"/>
  <c r="G690" i="32"/>
  <c r="G511" i="15"/>
  <c r="H513" i="15"/>
  <c r="H1275" i="15"/>
  <c r="G1366" i="30"/>
  <c r="G46" i="6"/>
  <c r="G163" i="8"/>
  <c r="H163" i="8" s="1"/>
  <c r="G1490" i="32"/>
  <c r="G430" i="32"/>
  <c r="H430" i="32" s="1"/>
  <c r="G371" i="15"/>
  <c r="G11" i="8"/>
  <c r="G223" i="8"/>
  <c r="H68" i="33"/>
  <c r="G66" i="33"/>
  <c r="H66" i="33" s="1"/>
  <c r="H192" i="32"/>
  <c r="H186" i="8"/>
  <c r="G524" i="26"/>
  <c r="G206" i="16"/>
  <c r="G166" i="16"/>
  <c r="H167" i="16"/>
  <c r="H452" i="15"/>
  <c r="G451" i="15"/>
  <c r="G1893" i="15"/>
  <c r="H1983" i="15"/>
  <c r="G965" i="26"/>
  <c r="G1266" i="30"/>
  <c r="G363" i="26"/>
  <c r="G1166" i="30"/>
  <c r="G746" i="30"/>
  <c r="G1538" i="26"/>
  <c r="G1558" i="26"/>
  <c r="H1558" i="26" s="1"/>
  <c r="G1393" i="26"/>
  <c r="G26" i="16"/>
  <c r="H26" i="16" s="1"/>
  <c r="G886" i="30"/>
  <c r="G106" i="16"/>
  <c r="H106" i="16" s="1"/>
  <c r="G411" i="15"/>
  <c r="H411" i="15" s="1"/>
  <c r="G1613" i="15"/>
  <c r="H713" i="32"/>
  <c r="E1775" i="15"/>
  <c r="G1775" i="15" s="1"/>
  <c r="H1775" i="15" s="1"/>
  <c r="G87" i="26"/>
  <c r="G74" i="26" s="1"/>
  <c r="H74" i="26" s="1"/>
  <c r="G48" i="21"/>
  <c r="G66" i="16"/>
  <c r="H66" i="16" s="1"/>
  <c r="H315" i="32"/>
  <c r="G945" i="26"/>
  <c r="H155" i="33"/>
  <c r="H157" i="33"/>
  <c r="H154" i="33"/>
  <c r="H150" i="33"/>
  <c r="H161" i="33"/>
  <c r="H151" i="33"/>
  <c r="H158" i="33"/>
  <c r="H162" i="33"/>
  <c r="H149" i="33"/>
  <c r="H1579" i="32"/>
  <c r="H1582" i="32"/>
  <c r="H1571" i="32"/>
  <c r="H1574" i="32"/>
  <c r="H1586" i="32"/>
  <c r="H1581" i="32"/>
  <c r="H1575" i="32"/>
  <c r="H1573" i="32"/>
  <c r="H1585" i="32"/>
  <c r="H1346" i="32"/>
  <c r="H1342" i="32"/>
  <c r="H1335" i="32"/>
  <c r="H1339" i="32"/>
  <c r="H1345" i="32"/>
  <c r="H1341" i="32"/>
  <c r="H1332" i="32"/>
  <c r="H1331" i="32"/>
  <c r="H1333" i="32"/>
  <c r="H1359" i="32"/>
  <c r="H1354" i="32"/>
  <c r="H1362" i="32"/>
  <c r="H1351" i="32"/>
  <c r="H1365" i="32"/>
  <c r="H1366" i="32"/>
  <c r="H1353" i="32"/>
  <c r="H1361" i="32"/>
  <c r="H879" i="32"/>
  <c r="H874" i="32"/>
  <c r="H885" i="32"/>
  <c r="H886" i="32"/>
  <c r="H872" i="32"/>
  <c r="H875" i="32"/>
  <c r="H882" i="32"/>
  <c r="H881" i="32"/>
  <c r="H1238" i="32"/>
  <c r="H1245" i="32"/>
  <c r="H1242" i="32"/>
  <c r="H1241" i="32"/>
  <c r="H1235" i="32"/>
  <c r="H1233" i="32"/>
  <c r="H1239" i="32"/>
  <c r="H1246" i="32"/>
  <c r="H1232" i="32"/>
  <c r="H1231" i="32"/>
  <c r="H1266" i="32"/>
  <c r="H1252" i="32"/>
  <c r="H1258" i="32"/>
  <c r="H1262" i="32"/>
  <c r="H1259" i="32"/>
  <c r="H1261" i="32"/>
  <c r="H1255" i="32"/>
  <c r="H1254" i="32"/>
  <c r="H1265" i="32"/>
  <c r="H1251" i="32"/>
  <c r="H1086" i="32"/>
  <c r="H1082" i="32"/>
  <c r="H1081" i="32"/>
  <c r="H1080" i="32"/>
  <c r="H1075" i="32"/>
  <c r="H1072" i="32"/>
  <c r="H1079" i="32"/>
  <c r="H1074" i="32"/>
  <c r="H1078" i="32"/>
  <c r="H1085" i="32"/>
  <c r="H162" i="16"/>
  <c r="H148" i="16"/>
  <c r="H149" i="16"/>
  <c r="H157" i="16"/>
  <c r="H155" i="16"/>
  <c r="H158" i="16"/>
  <c r="H147" i="16"/>
  <c r="H151" i="16"/>
  <c r="H150" i="16"/>
  <c r="H161" i="16"/>
  <c r="H1794" i="15"/>
  <c r="H1804" i="15"/>
  <c r="H1798" i="15"/>
  <c r="H1805" i="15"/>
  <c r="H1808" i="15"/>
  <c r="H1809" i="15"/>
  <c r="H1801" i="15"/>
  <c r="H1797" i="15"/>
  <c r="H1676" i="15"/>
  <c r="H1685" i="15"/>
  <c r="H1678" i="15"/>
  <c r="H1688" i="15"/>
  <c r="H1681" i="15"/>
  <c r="H1689" i="15"/>
  <c r="H1674" i="15"/>
  <c r="H1675" i="15"/>
  <c r="H1682" i="15"/>
  <c r="H1684" i="15"/>
  <c r="H1418" i="15"/>
  <c r="H1421" i="15"/>
  <c r="H1429" i="15"/>
  <c r="H1414" i="15"/>
  <c r="H1422" i="15"/>
  <c r="H1415" i="15"/>
  <c r="H1416" i="15"/>
  <c r="H1417" i="15"/>
  <c r="H1424" i="15"/>
  <c r="H1425" i="15"/>
  <c r="H1428" i="15"/>
  <c r="H1501" i="15"/>
  <c r="H1509" i="15"/>
  <c r="H1502" i="15"/>
  <c r="H1495" i="15"/>
  <c r="H1504" i="15"/>
  <c r="H1497" i="15"/>
  <c r="H1505" i="15"/>
  <c r="H1498" i="15"/>
  <c r="H1508" i="15"/>
  <c r="H1939" i="15"/>
  <c r="H1950" i="15"/>
  <c r="H1938" i="15"/>
  <c r="H1951" i="15"/>
  <c r="H1940" i="15"/>
  <c r="H1954" i="15"/>
  <c r="H1955" i="15"/>
  <c r="H1944" i="15"/>
  <c r="H1948" i="15"/>
  <c r="H1947" i="15"/>
  <c r="H1106" i="15"/>
  <c r="H1093" i="15"/>
  <c r="H1107" i="15"/>
  <c r="H1099" i="15"/>
  <c r="H1100" i="15"/>
  <c r="H1095" i="15"/>
  <c r="H1102" i="15"/>
  <c r="H1103" i="15"/>
  <c r="H914" i="15"/>
  <c r="H923" i="15"/>
  <c r="H915" i="15"/>
  <c r="H922" i="15"/>
  <c r="H927" i="15"/>
  <c r="H920" i="15"/>
  <c r="H926" i="15"/>
  <c r="H602" i="15"/>
  <c r="H603" i="15"/>
  <c r="H595" i="15"/>
  <c r="H606" i="15"/>
  <c r="H607" i="15"/>
  <c r="H600" i="15"/>
  <c r="H593" i="15"/>
  <c r="H599" i="15"/>
  <c r="H560" i="15"/>
  <c r="H552" i="15"/>
  <c r="H553" i="15"/>
  <c r="H554" i="15"/>
  <c r="H567" i="15"/>
  <c r="H555" i="15"/>
  <c r="H563" i="15"/>
  <c r="H566" i="15"/>
  <c r="H562" i="15"/>
  <c r="H307" i="15"/>
  <c r="H300" i="15"/>
  <c r="H294" i="15"/>
  <c r="H296" i="15"/>
  <c r="H306" i="15"/>
  <c r="H302" i="15"/>
  <c r="H303" i="15"/>
  <c r="H844" i="8"/>
  <c r="H832" i="8"/>
  <c r="H833" i="8"/>
  <c r="H840" i="8"/>
  <c r="H837" i="8"/>
  <c r="H830" i="8"/>
  <c r="H839" i="8"/>
  <c r="H836" i="8"/>
  <c r="H843" i="8"/>
  <c r="H831" i="8"/>
  <c r="H668" i="8"/>
  <c r="H672" i="8"/>
  <c r="H679" i="8"/>
  <c r="H675" i="8"/>
  <c r="H664" i="8"/>
  <c r="H674" i="8"/>
  <c r="H667" i="8"/>
  <c r="H666" i="8"/>
  <c r="H678" i="8"/>
  <c r="H471" i="8"/>
  <c r="H479" i="8"/>
  <c r="H467" i="8"/>
  <c r="H472" i="8"/>
  <c r="H478" i="8"/>
  <c r="H466" i="8"/>
  <c r="H474" i="8"/>
  <c r="H468" i="8"/>
  <c r="H465" i="8"/>
  <c r="H475" i="8"/>
  <c r="H464" i="8"/>
  <c r="H312" i="8"/>
  <c r="H306" i="8"/>
  <c r="H307" i="8"/>
  <c r="H314" i="8"/>
  <c r="H318" i="8"/>
  <c r="H317" i="8"/>
  <c r="H311" i="8"/>
  <c r="H305" i="8"/>
  <c r="H315" i="8"/>
  <c r="H159" i="8"/>
  <c r="H158" i="8"/>
  <c r="H148" i="8"/>
  <c r="H152" i="8"/>
  <c r="H144" i="8"/>
  <c r="H155" i="8"/>
  <c r="H154" i="8"/>
  <c r="H146" i="8"/>
  <c r="H147" i="8"/>
  <c r="H1253" i="32"/>
  <c r="H1496" i="15"/>
  <c r="H1071" i="32"/>
  <c r="H1802" i="15"/>
  <c r="H873" i="32"/>
  <c r="H147" i="33"/>
  <c r="H665" i="8"/>
  <c r="H98" i="33"/>
  <c r="H162" i="32"/>
  <c r="H101" i="33"/>
  <c r="H1046" i="15"/>
  <c r="H1047" i="15"/>
  <c r="H886" i="15"/>
  <c r="H574" i="15"/>
  <c r="H583" i="15"/>
  <c r="H575" i="15"/>
  <c r="H427" i="15"/>
  <c r="H412" i="15"/>
  <c r="H420" i="15"/>
  <c r="H738" i="32"/>
  <c r="H1136" i="15"/>
  <c r="H973" i="15"/>
  <c r="H983" i="15"/>
  <c r="H975" i="15"/>
  <c r="H793" i="15"/>
  <c r="H802" i="15"/>
  <c r="H473" i="15"/>
  <c r="H474" i="15"/>
  <c r="H482" i="15"/>
  <c r="H379" i="15"/>
  <c r="H387" i="15"/>
  <c r="H380" i="15"/>
  <c r="H1457" i="15"/>
  <c r="H1159" i="15"/>
  <c r="H1167" i="15"/>
  <c r="H946" i="15"/>
  <c r="H947" i="15"/>
  <c r="H835" i="15"/>
  <c r="H843" i="15"/>
  <c r="H836" i="15"/>
  <c r="H533" i="15"/>
  <c r="H543" i="15"/>
  <c r="H535" i="15"/>
  <c r="H312" i="15"/>
  <c r="H322" i="15"/>
  <c r="H29" i="15"/>
  <c r="H47" i="15"/>
  <c r="H30" i="15"/>
  <c r="H40" i="15"/>
  <c r="H30" i="33"/>
  <c r="H955" i="32"/>
  <c r="H911" i="32"/>
  <c r="H372" i="32"/>
  <c r="H753" i="32"/>
  <c r="H1548" i="30"/>
  <c r="H1311" i="30"/>
  <c r="H1109" i="30"/>
  <c r="H607" i="30"/>
  <c r="H571" i="30"/>
  <c r="H270" i="30"/>
  <c r="H568" i="21"/>
  <c r="H489" i="21"/>
  <c r="H250" i="21"/>
  <c r="H88" i="16"/>
  <c r="H1677" i="15"/>
  <c r="H833" i="15"/>
  <c r="H472" i="15"/>
  <c r="H295" i="15"/>
  <c r="H191" i="33"/>
  <c r="H1555" i="32"/>
  <c r="H127" i="32"/>
  <c r="H1352" i="32"/>
  <c r="H314" i="32"/>
  <c r="H892" i="32"/>
  <c r="H1155" i="32"/>
  <c r="H1273" i="32"/>
  <c r="H752" i="32"/>
  <c r="H1459" i="32"/>
  <c r="H251" i="30"/>
  <c r="H909" i="26"/>
  <c r="H586" i="26"/>
  <c r="H191" i="16"/>
  <c r="H336" i="15"/>
  <c r="H32" i="15"/>
  <c r="H34" i="15"/>
  <c r="H190" i="33"/>
  <c r="H130" i="33"/>
  <c r="H50" i="33"/>
  <c r="H28" i="33"/>
  <c r="H1554" i="32"/>
  <c r="H1112" i="32"/>
  <c r="H212" i="32"/>
  <c r="H832" i="32"/>
  <c r="H953" i="32"/>
  <c r="H935" i="32"/>
  <c r="H1172" i="32"/>
  <c r="H1154" i="32"/>
  <c r="H794" i="32"/>
  <c r="H751" i="32"/>
  <c r="H1093" i="32"/>
  <c r="H635" i="32"/>
  <c r="H991" i="32"/>
  <c r="H1590" i="30"/>
  <c r="H1309" i="30"/>
  <c r="H1207" i="30"/>
  <c r="H1129" i="30"/>
  <c r="H767" i="30"/>
  <c r="H669" i="30"/>
  <c r="H629" i="30"/>
  <c r="H210" i="33"/>
  <c r="H91" i="33"/>
  <c r="H70" i="33"/>
  <c r="H1552" i="32"/>
  <c r="H253" i="32"/>
  <c r="H355" i="32"/>
  <c r="H311" i="32"/>
  <c r="H792" i="32"/>
  <c r="H774" i="32"/>
  <c r="H1073" i="32"/>
  <c r="H493" i="32"/>
  <c r="H1588" i="30"/>
  <c r="H1451" i="30"/>
  <c r="H970" i="30"/>
  <c r="H930" i="30"/>
  <c r="H651" i="30"/>
  <c r="H1242" i="15"/>
  <c r="H1246" i="15"/>
  <c r="H1243" i="15"/>
  <c r="H1240" i="15"/>
  <c r="H1247" i="15"/>
  <c r="H1239" i="15"/>
  <c r="H639" i="15"/>
  <c r="H640" i="15"/>
  <c r="H646" i="15"/>
  <c r="H642" i="15"/>
  <c r="H634" i="15"/>
  <c r="H1473" i="32"/>
  <c r="H1432" i="32"/>
  <c r="H354" i="32"/>
  <c r="H932" i="32"/>
  <c r="H1195" i="32"/>
  <c r="H574" i="32"/>
  <c r="H969" i="30"/>
  <c r="H911" i="30"/>
  <c r="H1092" i="15"/>
  <c r="H29" i="36"/>
  <c r="H1334" i="32"/>
  <c r="H335" i="32"/>
  <c r="H374" i="32"/>
  <c r="H555" i="32"/>
  <c r="H1131" i="32"/>
  <c r="H1454" i="32"/>
  <c r="H169" i="32"/>
  <c r="H1327" i="30"/>
  <c r="H171" i="33"/>
  <c r="H110" i="33"/>
  <c r="H67" i="33"/>
  <c r="H31" i="33"/>
  <c r="H1515" i="32"/>
  <c r="H352" i="32"/>
  <c r="H835" i="32"/>
  <c r="H894" i="32"/>
  <c r="H453" i="32"/>
  <c r="H1052" i="32"/>
  <c r="H714" i="32"/>
  <c r="H1011" i="32"/>
  <c r="H1453" i="32"/>
  <c r="H168" i="32"/>
  <c r="H1502" i="26"/>
  <c r="H689" i="26"/>
  <c r="H447" i="26"/>
  <c r="H251" i="21"/>
  <c r="H229" i="21"/>
  <c r="H10" i="16"/>
  <c r="H1796" i="15"/>
  <c r="H1437" i="15"/>
  <c r="H1194" i="15"/>
  <c r="H1056" i="15"/>
  <c r="H596" i="15"/>
  <c r="H572" i="15"/>
  <c r="H494" i="15"/>
  <c r="H639" i="13"/>
  <c r="H703" i="13"/>
  <c r="H666" i="13"/>
  <c r="H287" i="8"/>
  <c r="H1232" i="15"/>
  <c r="H632" i="15"/>
  <c r="H495" i="15"/>
  <c r="H1293" i="15"/>
  <c r="H816" i="15"/>
  <c r="H874" i="15"/>
  <c r="H1013" i="15"/>
  <c r="H916" i="15"/>
  <c r="H954" i="15"/>
  <c r="H993" i="15"/>
  <c r="H1193" i="15"/>
  <c r="H1517" i="15"/>
  <c r="H1436" i="15"/>
  <c r="H1336" i="15"/>
  <c r="H1334" i="15"/>
  <c r="H1378" i="15"/>
  <c r="H1578" i="15"/>
  <c r="H1395" i="15"/>
  <c r="H1757" i="15"/>
  <c r="H2108" i="15"/>
  <c r="H1695" i="15"/>
  <c r="H1718" i="15"/>
  <c r="H1774" i="15"/>
  <c r="H1777" i="15"/>
  <c r="H1856" i="15"/>
  <c r="H1874" i="15"/>
  <c r="H1878" i="15"/>
  <c r="H2025" i="15"/>
  <c r="H1252" i="15"/>
  <c r="H1256" i="15"/>
  <c r="H675" i="15"/>
  <c r="H714" i="15"/>
  <c r="H635" i="15"/>
  <c r="H1518" i="15"/>
  <c r="H1096" i="15"/>
  <c r="H1035" i="15"/>
  <c r="H875" i="15"/>
  <c r="H594" i="15"/>
  <c r="H864" i="13"/>
  <c r="H783" i="13"/>
  <c r="H766" i="13"/>
  <c r="H498" i="13"/>
  <c r="H477" i="13"/>
  <c r="H526" i="8"/>
  <c r="H327" i="8"/>
  <c r="H308" i="8"/>
  <c r="H244" i="8"/>
  <c r="H2038" i="15"/>
  <c r="H2035" i="15"/>
  <c r="H2024" i="15"/>
  <c r="H1235" i="15"/>
  <c r="H755" i="15"/>
  <c r="H692" i="15"/>
  <c r="H696" i="15"/>
  <c r="H654" i="15"/>
  <c r="H409" i="30"/>
  <c r="H1462" i="26"/>
  <c r="H386" i="26"/>
  <c r="H119" i="26"/>
  <c r="H12" i="26"/>
  <c r="H1337" i="15"/>
  <c r="H986" i="13"/>
  <c r="H926" i="13"/>
  <c r="H907" i="13"/>
  <c r="H683" i="13"/>
  <c r="H618" i="13"/>
  <c r="H89" i="8"/>
  <c r="H2032" i="15"/>
  <c r="H766" i="15"/>
  <c r="H699" i="15"/>
  <c r="H2027" i="15"/>
  <c r="H1215" i="15"/>
  <c r="H1236" i="15"/>
  <c r="H693" i="15"/>
  <c r="H735" i="15"/>
  <c r="H2026" i="15"/>
  <c r="H249" i="30"/>
  <c r="H31" i="30"/>
  <c r="H789" i="26"/>
  <c r="H220" i="26"/>
  <c r="H1756" i="15"/>
  <c r="H1396" i="15"/>
  <c r="H1538" i="15"/>
  <c r="H1033" i="15"/>
  <c r="H872" i="15"/>
  <c r="H592" i="15"/>
  <c r="H576" i="15"/>
  <c r="H376" i="15"/>
  <c r="H353" i="15"/>
  <c r="H334" i="15"/>
  <c r="H315" i="15"/>
  <c r="H663" i="13"/>
  <c r="H643" i="13"/>
  <c r="H2034" i="15"/>
  <c r="H2031" i="15"/>
  <c r="H760" i="15"/>
  <c r="H702" i="15"/>
  <c r="H2039" i="15"/>
  <c r="H2007" i="15"/>
  <c r="H2028" i="15"/>
  <c r="H1114" i="15"/>
  <c r="H752" i="15"/>
  <c r="H756" i="15"/>
  <c r="H694" i="15"/>
  <c r="H636" i="15"/>
  <c r="H534" i="15"/>
  <c r="H492" i="15"/>
  <c r="H1296" i="15"/>
  <c r="H792" i="15"/>
  <c r="H894" i="15"/>
  <c r="H936" i="15"/>
  <c r="H974" i="15"/>
  <c r="H1073" i="15"/>
  <c r="H1458" i="15"/>
  <c r="H1962" i="15"/>
  <c r="H2046" i="15"/>
  <c r="H2128" i="15"/>
  <c r="H310" i="30"/>
  <c r="H1603" i="26"/>
  <c r="H1460" i="26"/>
  <c r="H647" i="26"/>
  <c r="H188" i="21"/>
  <c r="H110" i="16"/>
  <c r="H806" i="13"/>
  <c r="H145" i="8"/>
  <c r="H119" i="8"/>
  <c r="H759" i="15"/>
  <c r="H1329" i="26"/>
  <c r="H1106" i="26"/>
  <c r="H646" i="26"/>
  <c r="H606" i="26"/>
  <c r="H17" i="26"/>
  <c r="H549" i="21"/>
  <c r="H30" i="16"/>
  <c r="H1895" i="15"/>
  <c r="H1816" i="15"/>
  <c r="H1132" i="15"/>
  <c r="H933" i="15"/>
  <c r="H514" i="15"/>
  <c r="H965" i="13"/>
  <c r="H1115" i="15"/>
  <c r="H1253" i="15"/>
  <c r="H753" i="15"/>
  <c r="H348" i="30"/>
  <c r="H1396" i="26"/>
  <c r="H887" i="26"/>
  <c r="H528" i="26"/>
  <c r="H448" i="26"/>
  <c r="H157" i="26"/>
  <c r="H115" i="26"/>
  <c r="H8" i="26"/>
  <c r="H491" i="21"/>
  <c r="H131" i="21"/>
  <c r="H70" i="21"/>
  <c r="H1734" i="15"/>
  <c r="H2066" i="15"/>
  <c r="H1355" i="15"/>
  <c r="H1982" i="15"/>
  <c r="H496" i="15"/>
  <c r="H549" i="13"/>
  <c r="H248" i="8"/>
  <c r="H167" i="8"/>
  <c r="H2018" i="15"/>
  <c r="H706" i="15"/>
  <c r="H2014" i="15"/>
  <c r="H1254" i="15"/>
  <c r="H674" i="15"/>
  <c r="H615" i="15"/>
  <c r="H652" i="15"/>
  <c r="H1960" i="15"/>
  <c r="G1959" i="15"/>
  <c r="G311" i="15"/>
  <c r="H314" i="15"/>
  <c r="H1174" i="15"/>
  <c r="G1171" i="15"/>
  <c r="G1473" i="15"/>
  <c r="H1477" i="15"/>
  <c r="H1637" i="15"/>
  <c r="G1633" i="15"/>
  <c r="H1633" i="15" s="1"/>
  <c r="G583" i="8"/>
  <c r="H585" i="8"/>
  <c r="G388" i="26"/>
  <c r="H388" i="26" s="1"/>
  <c r="H1357" i="15"/>
  <c r="H1614" i="15"/>
  <c r="G48" i="16"/>
  <c r="H335" i="15"/>
  <c r="G331" i="15"/>
  <c r="G26" i="15"/>
  <c r="H26" i="15" s="1"/>
  <c r="G86" i="16"/>
  <c r="G1146" i="30"/>
  <c r="G1126" i="30"/>
  <c r="G206" i="6"/>
  <c r="G1131" i="15"/>
  <c r="H1134" i="15"/>
  <c r="G570" i="32"/>
  <c r="G546" i="30"/>
  <c r="G845" i="26"/>
  <c r="G705" i="26"/>
  <c r="G106" i="21"/>
  <c r="G86" i="21"/>
  <c r="G2043" i="15"/>
  <c r="H2043" i="15" s="1"/>
  <c r="G286" i="21"/>
  <c r="G612" i="13"/>
  <c r="H612" i="13" s="1"/>
  <c r="G1091" i="15"/>
  <c r="G1553" i="15"/>
  <c r="G1413" i="15"/>
  <c r="H1413" i="15" s="1"/>
  <c r="G586" i="21"/>
  <c r="G1673" i="15"/>
  <c r="G1593" i="15"/>
  <c r="G271" i="15"/>
  <c r="G1071" i="15"/>
  <c r="H1071" i="15" s="1"/>
  <c r="G2083" i="15"/>
  <c r="H826" i="13"/>
  <c r="G822" i="13"/>
  <c r="H594" i="13"/>
  <c r="G589" i="13"/>
  <c r="G565" i="13"/>
  <c r="H568" i="13"/>
  <c r="G519" i="13"/>
  <c r="H522" i="13"/>
  <c r="H1152" i="15"/>
  <c r="G1151" i="15"/>
  <c r="H1151" i="15" s="1"/>
  <c r="G1493" i="15"/>
  <c r="H1493" i="15" s="1"/>
  <c r="H1494" i="15"/>
  <c r="G431" i="15"/>
  <c r="H431" i="15" s="1"/>
  <c r="H433" i="15"/>
  <c r="G531" i="15"/>
  <c r="H532" i="15"/>
  <c r="H795" i="15"/>
  <c r="G791" i="15"/>
  <c r="H1036" i="15"/>
  <c r="G1031" i="15"/>
  <c r="H1984" i="15"/>
  <c r="G1981" i="15"/>
  <c r="H1981" i="15" s="1"/>
  <c r="G2063" i="15"/>
  <c r="H2065" i="15"/>
  <c r="H2104" i="15"/>
  <c r="G2103" i="15"/>
  <c r="G1713" i="15"/>
  <c r="H1713" i="15" s="1"/>
  <c r="H1714" i="15"/>
  <c r="H1814" i="15"/>
  <c r="H1837" i="15"/>
  <c r="G659" i="13"/>
  <c r="G1393" i="15"/>
  <c r="H428" i="21"/>
  <c r="G426" i="21"/>
  <c r="H390" i="21"/>
  <c r="G386" i="21"/>
  <c r="H368" i="21"/>
  <c r="G366" i="21"/>
  <c r="G310" i="21"/>
  <c r="G542" i="13"/>
  <c r="H614" i="13"/>
  <c r="H1394" i="26"/>
  <c r="G1333" i="15"/>
  <c r="H1333" i="15" s="1"/>
  <c r="G635" i="13"/>
  <c r="H1094" i="15"/>
  <c r="H1557" i="15"/>
  <c r="G1693" i="15"/>
  <c r="G1573" i="15"/>
  <c r="H1657" i="15"/>
  <c r="G1653" i="15"/>
  <c r="H207" i="33"/>
  <c r="G206" i="33"/>
  <c r="H8" i="33"/>
  <c r="G1753" i="15"/>
  <c r="H1753" i="15" s="1"/>
  <c r="G1453" i="15"/>
  <c r="H1453" i="15" s="1"/>
  <c r="G2123" i="15"/>
  <c r="H2124" i="15"/>
  <c r="G1533" i="15"/>
  <c r="H2086" i="15"/>
  <c r="H1596" i="15"/>
  <c r="G1733" i="15"/>
  <c r="G971" i="15"/>
  <c r="G8" i="16"/>
  <c r="G905" i="26"/>
  <c r="G1435" i="26"/>
  <c r="G126" i="6"/>
  <c r="G186" i="16"/>
  <c r="G1191" i="15"/>
  <c r="G571" i="15"/>
  <c r="H571" i="15" s="1"/>
  <c r="G551" i="15"/>
  <c r="H551" i="15" s="1"/>
  <c r="G66" i="8"/>
  <c r="G1210" i="32"/>
  <c r="G1130" i="32"/>
  <c r="G166" i="6"/>
  <c r="G66" i="6"/>
  <c r="G26" i="6"/>
  <c r="G263" i="8"/>
  <c r="H266" i="8"/>
  <c r="G303" i="8"/>
  <c r="H227" i="8"/>
  <c r="H206" i="8"/>
  <c r="G50" i="8"/>
  <c r="G243" i="8"/>
  <c r="H247" i="8"/>
  <c r="H890" i="26"/>
  <c r="G885" i="26"/>
  <c r="H147" i="32"/>
  <c r="H814" i="32"/>
  <c r="G810" i="32"/>
  <c r="H511" i="32"/>
  <c r="G510" i="32"/>
  <c r="H593" i="32"/>
  <c r="G590" i="32"/>
  <c r="G1546" i="30"/>
  <c r="H1549" i="30"/>
  <c r="G1466" i="30"/>
  <c r="H1471" i="30"/>
  <c r="H625" i="8"/>
  <c r="G623" i="8"/>
  <c r="H556" i="15"/>
  <c r="G931" i="15"/>
  <c r="G86" i="33"/>
  <c r="G1510" i="32"/>
  <c r="G1470" i="32"/>
  <c r="H1470" i="32" s="1"/>
  <c r="G1170" i="32"/>
  <c r="G1290" i="32"/>
  <c r="G1225" i="26"/>
  <c r="G771" i="15"/>
  <c r="H771" i="15" s="1"/>
  <c r="G631" i="15"/>
  <c r="H631" i="15" s="1"/>
  <c r="H707" i="8"/>
  <c r="G703" i="8"/>
  <c r="H631" i="32"/>
  <c r="H1514" i="32"/>
  <c r="H1472" i="32"/>
  <c r="H88" i="33"/>
  <c r="F1270" i="1"/>
  <c r="I1184" i="33" s="1"/>
  <c r="J1184" i="33" s="1"/>
  <c r="G46" i="33"/>
  <c r="G1570" i="32"/>
  <c r="H1570" i="32" s="1"/>
  <c r="G230" i="32"/>
  <c r="G1430" i="32"/>
  <c r="G310" i="32"/>
  <c r="G870" i="32"/>
  <c r="G970" i="32"/>
  <c r="G1190" i="32"/>
  <c r="G390" i="32"/>
  <c r="G1310" i="32"/>
  <c r="G410" i="32"/>
  <c r="G1186" i="30"/>
  <c r="G6" i="6"/>
  <c r="F768" i="1"/>
  <c r="I1768" i="21" s="1"/>
  <c r="J1768" i="21" s="1"/>
  <c r="G1265" i="26"/>
  <c r="G1125" i="26"/>
  <c r="G526" i="21"/>
  <c r="G831" i="15"/>
  <c r="H831" i="15" s="1"/>
  <c r="G1937" i="15"/>
  <c r="G1433" i="15"/>
  <c r="G1486" i="30"/>
  <c r="G1346" i="30"/>
  <c r="G1246" i="30"/>
  <c r="G1226" i="30"/>
  <c r="G866" i="30"/>
  <c r="G826" i="30"/>
  <c r="G786" i="30"/>
  <c r="G586" i="30"/>
  <c r="G506" i="30"/>
  <c r="G486" i="30"/>
  <c r="G406" i="30"/>
  <c r="G346" i="30"/>
  <c r="G1085" i="26"/>
  <c r="G865" i="26"/>
  <c r="G871" i="15"/>
  <c r="G811" i="15"/>
  <c r="H811" i="15" s="1"/>
  <c r="G851" i="15"/>
  <c r="H851" i="15" s="1"/>
  <c r="G126" i="16"/>
  <c r="H126" i="16" s="1"/>
  <c r="G291" i="15"/>
  <c r="H291" i="15" s="1"/>
  <c r="G351" i="15"/>
  <c r="G266" i="21"/>
  <c r="G1231" i="15"/>
  <c r="H1231" i="15" s="1"/>
  <c r="H1234" i="15"/>
  <c r="H712" i="15"/>
  <c r="G711" i="15"/>
  <c r="H711" i="15" s="1"/>
  <c r="H633" i="15"/>
  <c r="G611" i="15"/>
  <c r="G2023" i="15"/>
  <c r="H2023" i="15" s="1"/>
  <c r="G651" i="15"/>
  <c r="G671" i="15"/>
  <c r="G1530" i="32"/>
  <c r="H1532" i="32"/>
  <c r="H1355" i="32"/>
  <c r="G1350" i="32"/>
  <c r="G1230" i="32"/>
  <c r="H1234" i="32"/>
  <c r="G1270" i="32"/>
  <c r="H1271" i="32"/>
  <c r="H793" i="32"/>
  <c r="G790" i="32"/>
  <c r="H1015" i="32"/>
  <c r="G1010" i="32"/>
  <c r="H1408" i="30"/>
  <c r="G1406" i="30"/>
  <c r="H1580" i="26"/>
  <c r="G1579" i="26"/>
  <c r="G1498" i="26"/>
  <c r="H1500" i="26"/>
  <c r="H1027" i="26"/>
  <c r="G1025" i="26"/>
  <c r="G785" i="26"/>
  <c r="H1226" i="26"/>
  <c r="H507" i="30"/>
  <c r="G930" i="32"/>
  <c r="G1306" i="30"/>
  <c r="H871" i="32"/>
  <c r="G26" i="33"/>
  <c r="G490" i="32"/>
  <c r="G166" i="32"/>
  <c r="H1313" i="32"/>
  <c r="H233" i="32"/>
  <c r="H108" i="33"/>
  <c r="G106" i="33"/>
  <c r="G584" i="26"/>
  <c r="G450" i="32"/>
  <c r="G830" i="32"/>
  <c r="H391" i="32"/>
  <c r="H269" i="21"/>
  <c r="H868" i="26"/>
  <c r="G28" i="36"/>
  <c r="H1187" i="30"/>
  <c r="G750" i="32"/>
  <c r="G1150" i="32"/>
  <c r="G330" i="32"/>
  <c r="H1488" i="30"/>
  <c r="H1572" i="32"/>
  <c r="H9" i="36"/>
  <c r="G604" i="26"/>
  <c r="G1206" i="30"/>
  <c r="G550" i="32"/>
  <c r="H1090" i="26"/>
  <c r="H491" i="30"/>
  <c r="H972" i="32"/>
  <c r="H1227" i="30"/>
  <c r="G1110" i="32"/>
  <c r="G1550" i="32"/>
  <c r="G950" i="32"/>
  <c r="G685" i="26"/>
  <c r="G1070" i="32"/>
  <c r="G370" i="32"/>
  <c r="H868" i="30"/>
  <c r="H292" i="15"/>
  <c r="H393" i="15"/>
  <c r="H813" i="15"/>
  <c r="H855" i="15"/>
  <c r="H355" i="15"/>
  <c r="G471" i="15"/>
  <c r="H1941" i="15"/>
  <c r="H913" i="15"/>
  <c r="H129" i="16"/>
  <c r="H876" i="15"/>
  <c r="H834" i="15"/>
  <c r="G1513" i="15"/>
  <c r="G591" i="15"/>
  <c r="G491" i="15"/>
  <c r="H955" i="15"/>
  <c r="G1915" i="15"/>
  <c r="G2003" i="15"/>
  <c r="H2004" i="15"/>
  <c r="G731" i="15"/>
  <c r="H732" i="15"/>
  <c r="G1111" i="15"/>
  <c r="H1112" i="15"/>
  <c r="G1211" i="15"/>
  <c r="G751" i="15"/>
  <c r="H614" i="15"/>
  <c r="E1875" i="15"/>
  <c r="G1875" i="15" s="1"/>
  <c r="H775" i="15"/>
  <c r="E1855" i="15"/>
  <c r="G1855" i="15" s="1"/>
  <c r="G1251" i="15"/>
  <c r="G691" i="15"/>
  <c r="G128" i="32" l="1"/>
  <c r="G892" i="15"/>
  <c r="H892" i="15" s="1"/>
  <c r="H148" i="32"/>
  <c r="G146" i="32"/>
  <c r="H146" i="32" s="1"/>
  <c r="H1314" i="15"/>
  <c r="G1313" i="15"/>
  <c r="H1313" i="15" s="1"/>
  <c r="H239" i="26"/>
  <c r="G237" i="26"/>
  <c r="H237" i="26" s="1"/>
  <c r="E25" i="7"/>
  <c r="E26" i="7" s="1"/>
  <c r="H1052" i="15"/>
  <c r="E2093" i="26"/>
  <c r="G2093" i="26" s="1"/>
  <c r="D49" i="5"/>
  <c r="E140" i="32" s="1"/>
  <c r="G140" i="32" s="1"/>
  <c r="D50" i="5"/>
  <c r="D51" i="5"/>
  <c r="D52" i="5"/>
  <c r="E160" i="24"/>
  <c r="G160" i="24" s="1"/>
  <c r="E20" i="24"/>
  <c r="G20" i="24" s="1"/>
  <c r="E700" i="21"/>
  <c r="G700" i="21" s="1"/>
  <c r="E2273" i="16"/>
  <c r="G2273" i="16" s="1"/>
  <c r="E1028" i="21"/>
  <c r="G1028" i="21" s="1"/>
  <c r="E680" i="21"/>
  <c r="G680" i="21" s="1"/>
  <c r="E140" i="24"/>
  <c r="G140" i="24" s="1"/>
  <c r="E1048" i="21"/>
  <c r="G1048" i="21" s="1"/>
  <c r="E640" i="21"/>
  <c r="G640" i="21" s="1"/>
  <c r="E780" i="21"/>
  <c r="G780" i="21" s="1"/>
  <c r="E2253" i="16"/>
  <c r="G2253" i="16" s="1"/>
  <c r="E1622" i="8"/>
  <c r="G1622" i="8" s="1"/>
  <c r="E1642" i="8"/>
  <c r="G1642" i="8" s="1"/>
  <c r="E2303" i="11"/>
  <c r="G2303" i="11" s="1"/>
  <c r="E1602" i="8"/>
  <c r="G1602" i="8" s="1"/>
  <c r="E1502" i="8"/>
  <c r="G1502" i="8" s="1"/>
  <c r="E204" i="13"/>
  <c r="G204" i="13" s="1"/>
  <c r="E220" i="21"/>
  <c r="G220" i="21" s="1"/>
  <c r="E224" i="13"/>
  <c r="G224" i="13" s="1"/>
  <c r="E580" i="21"/>
  <c r="G580" i="21" s="1"/>
  <c r="E164" i="13"/>
  <c r="G164" i="13" s="1"/>
  <c r="E1280" i="30"/>
  <c r="G1280" i="30" s="1"/>
  <c r="E160" i="21"/>
  <c r="G160" i="21" s="1"/>
  <c r="E420" i="30"/>
  <c r="G420" i="30" s="1"/>
  <c r="E397" i="8"/>
  <c r="G397" i="8" s="1"/>
  <c r="E184" i="13"/>
  <c r="G184" i="13" s="1"/>
  <c r="E240" i="21"/>
  <c r="G240" i="21" s="1"/>
  <c r="E344" i="13"/>
  <c r="G344" i="13" s="1"/>
  <c r="E1160" i="33"/>
  <c r="G1160" i="33" s="1"/>
  <c r="E1220" i="33"/>
  <c r="G1220" i="33" s="1"/>
  <c r="E1993" i="26"/>
  <c r="G1993" i="26" s="1"/>
  <c r="E1100" i="33"/>
  <c r="G1100" i="33" s="1"/>
  <c r="E1140" i="33"/>
  <c r="G1140" i="33" s="1"/>
  <c r="E1080" i="33"/>
  <c r="G1080" i="33" s="1"/>
  <c r="E1180" i="33"/>
  <c r="G1180" i="33" s="1"/>
  <c r="E1240" i="33"/>
  <c r="G1240" i="33" s="1"/>
  <c r="E2711" i="26"/>
  <c r="G2711" i="26" s="1"/>
  <c r="E1082" i="8"/>
  <c r="G1082" i="8" s="1"/>
  <c r="E1122" i="8"/>
  <c r="G1122" i="8" s="1"/>
  <c r="E1302" i="8"/>
  <c r="G1302" i="8" s="1"/>
  <c r="E1462" i="8"/>
  <c r="G1462" i="8" s="1"/>
  <c r="E1822" i="8"/>
  <c r="G1822" i="8" s="1"/>
  <c r="E2408" i="8"/>
  <c r="G2408" i="8" s="1"/>
  <c r="E1402" i="8"/>
  <c r="G1402" i="8" s="1"/>
  <c r="E1362" i="8"/>
  <c r="G1362" i="8" s="1"/>
  <c r="E1522" i="8"/>
  <c r="G1522" i="8" s="1"/>
  <c r="E1002" i="8"/>
  <c r="G1002" i="8" s="1"/>
  <c r="E1042" i="8"/>
  <c r="G1042" i="8" s="1"/>
  <c r="E1142" i="8"/>
  <c r="G1142" i="8" s="1"/>
  <c r="E1282" i="8"/>
  <c r="G1282" i="8" s="1"/>
  <c r="E1582" i="8"/>
  <c r="G1582" i="8" s="1"/>
  <c r="E1842" i="8"/>
  <c r="G1842" i="8" s="1"/>
  <c r="E1942" i="8"/>
  <c r="G1942" i="8" s="1"/>
  <c r="E2268" i="8"/>
  <c r="G2268" i="8" s="1"/>
  <c r="E2448" i="8"/>
  <c r="G2448" i="8" s="1"/>
  <c r="E1102" i="8"/>
  <c r="G1102" i="8" s="1"/>
  <c r="E1322" i="8"/>
  <c r="G1322" i="8" s="1"/>
  <c r="E2108" i="8"/>
  <c r="G2108" i="8" s="1"/>
  <c r="E2549" i="8"/>
  <c r="G2549" i="8" s="1"/>
  <c r="E1062" i="8"/>
  <c r="G1062" i="8" s="1"/>
  <c r="E1382" i="8"/>
  <c r="G1382" i="8" s="1"/>
  <c r="E1422" i="8"/>
  <c r="G1422" i="8" s="1"/>
  <c r="E1722" i="8"/>
  <c r="G1722" i="8" s="1"/>
  <c r="E1120" i="33"/>
  <c r="G1120" i="33" s="1"/>
  <c r="E1022" i="8"/>
  <c r="G1022" i="8" s="1"/>
  <c r="E2428" i="8"/>
  <c r="G2428" i="8" s="1"/>
  <c r="E517" i="8"/>
  <c r="G517" i="8" s="1"/>
  <c r="E902" i="8"/>
  <c r="G902" i="8" s="1"/>
  <c r="D47" i="5"/>
  <c r="E477" i="8"/>
  <c r="G477" i="8" s="1"/>
  <c r="D57" i="5"/>
  <c r="E657" i="8"/>
  <c r="G657" i="8" s="1"/>
  <c r="E557" i="8"/>
  <c r="G557" i="8" s="1"/>
  <c r="E782" i="8"/>
  <c r="G782" i="8" s="1"/>
  <c r="D48" i="5"/>
  <c r="E337" i="8"/>
  <c r="G337" i="8" s="1"/>
  <c r="D56" i="5"/>
  <c r="D53" i="5"/>
  <c r="D46" i="5"/>
  <c r="E20" i="36" s="1"/>
  <c r="G20" i="36" s="1"/>
  <c r="D55" i="5"/>
  <c r="E1472" i="26" s="1"/>
  <c r="G1472" i="26" s="1"/>
  <c r="E297" i="8"/>
  <c r="G297" i="8" s="1"/>
  <c r="E577" i="8"/>
  <c r="G577" i="8" s="1"/>
  <c r="D54" i="5"/>
  <c r="D44" i="5"/>
  <c r="E1222" i="8" s="1"/>
  <c r="G1222" i="8" s="1"/>
  <c r="D45" i="5"/>
  <c r="E80" i="8"/>
  <c r="G80" i="8" s="1"/>
  <c r="E537" i="8"/>
  <c r="G537" i="8" s="1"/>
  <c r="E940" i="33"/>
  <c r="G940" i="33" s="1"/>
  <c r="E660" i="33"/>
  <c r="G660" i="33" s="1"/>
  <c r="E1644" i="21"/>
  <c r="G1644" i="21" s="1"/>
  <c r="E1664" i="21"/>
  <c r="G1664" i="21" s="1"/>
  <c r="E500" i="21"/>
  <c r="G500" i="21" s="1"/>
  <c r="E739" i="26"/>
  <c r="G739" i="26" s="1"/>
  <c r="E719" i="26"/>
  <c r="G719" i="26" s="1"/>
  <c r="E20" i="13"/>
  <c r="G20" i="13" s="1"/>
  <c r="E600" i="30"/>
  <c r="G600" i="30" s="1"/>
  <c r="D58" i="5"/>
  <c r="E620" i="30"/>
  <c r="G620" i="30" s="1"/>
  <c r="D43" i="5"/>
  <c r="E319" i="8"/>
  <c r="G319" i="8" s="1"/>
  <c r="E1682" i="8"/>
  <c r="G1682" i="8" s="1"/>
  <c r="E244" i="32"/>
  <c r="G244" i="32" s="1"/>
  <c r="H134" i="8"/>
  <c r="H106" i="8"/>
  <c r="G6" i="36"/>
  <c r="H6" i="36" s="1"/>
  <c r="G6" i="33"/>
  <c r="H6" i="33" s="1"/>
  <c r="G6" i="26"/>
  <c r="H6" i="26" s="1"/>
  <c r="H66" i="21"/>
  <c r="G279" i="26"/>
  <c r="H279" i="26" s="1"/>
  <c r="G1833" i="15"/>
  <c r="H166" i="11"/>
  <c r="H323" i="26"/>
  <c r="G1203" i="24"/>
  <c r="H1203" i="24" s="1"/>
  <c r="G40" i="26"/>
  <c r="H40" i="26" s="1"/>
  <c r="G1373" i="15"/>
  <c r="G217" i="26"/>
  <c r="H217" i="26" s="1"/>
  <c r="G258" i="26"/>
  <c r="H258" i="26" s="1"/>
  <c r="G1011" i="15"/>
  <c r="H1011" i="15" s="1"/>
  <c r="G300" i="26"/>
  <c r="G24" i="8"/>
  <c r="E7" i="1" s="1"/>
  <c r="F7" i="1" s="1"/>
  <c r="I24" i="8" s="1"/>
  <c r="H26" i="8"/>
  <c r="H24" i="8" s="1"/>
  <c r="H1354" i="15"/>
  <c r="G1353" i="15"/>
  <c r="H1795" i="15"/>
  <c r="G1793" i="15"/>
  <c r="H1793" i="15" s="1"/>
  <c r="H343" i="8"/>
  <c r="E1357" i="32"/>
  <c r="G1357" i="32" s="1"/>
  <c r="H1357" i="32" s="1"/>
  <c r="G1338" i="32"/>
  <c r="H1338" i="32" s="1"/>
  <c r="E1138" i="32"/>
  <c r="G1138" i="32" s="1"/>
  <c r="H1138" i="32" s="1"/>
  <c r="E998" i="32"/>
  <c r="G998" i="32" s="1"/>
  <c r="E678" i="32"/>
  <c r="G678" i="32" s="1"/>
  <c r="H678" i="32" s="1"/>
  <c r="E378" i="32"/>
  <c r="G378" i="32" s="1"/>
  <c r="H378" i="32" s="1"/>
  <c r="H46" i="36"/>
  <c r="H44" i="36" s="1"/>
  <c r="G44" i="36"/>
  <c r="G1451" i="32"/>
  <c r="H186" i="21"/>
  <c r="H805" i="26"/>
  <c r="F826" i="1"/>
  <c r="I1079" i="24" s="1"/>
  <c r="J1079" i="24" s="1"/>
  <c r="G203" i="8"/>
  <c r="H203" i="8" s="1"/>
  <c r="H326" i="21"/>
  <c r="G142" i="26"/>
  <c r="H142" i="26" s="1"/>
  <c r="H470" i="32"/>
  <c r="H198" i="26"/>
  <c r="H1250" i="32"/>
  <c r="H745" i="26"/>
  <c r="H730" i="32"/>
  <c r="H350" i="32"/>
  <c r="H825" i="26"/>
  <c r="G391" i="15"/>
  <c r="H391" i="15" s="1"/>
  <c r="H511" i="15"/>
  <c r="H446" i="21"/>
  <c r="H890" i="32"/>
  <c r="H330" i="13"/>
  <c r="G991" i="15"/>
  <c r="H26" i="21"/>
  <c r="H183" i="8"/>
  <c r="G177" i="26"/>
  <c r="H19" i="26"/>
  <c r="H1090" i="32"/>
  <c r="G951" i="15"/>
  <c r="H166" i="21"/>
  <c r="H496" i="13"/>
  <c r="H1349" i="26"/>
  <c r="H371" i="15"/>
  <c r="H146" i="16"/>
  <c r="H146" i="21"/>
  <c r="H506" i="21"/>
  <c r="H1330" i="32"/>
  <c r="H473" i="13"/>
  <c r="H366" i="30"/>
  <c r="H1106" i="30"/>
  <c r="H323" i="8"/>
  <c r="H206" i="21"/>
  <c r="G1272" i="15"/>
  <c r="H1613" i="15"/>
  <c r="H170" i="13"/>
  <c r="H1835" i="15"/>
  <c r="H566" i="21"/>
  <c r="H1815" i="15"/>
  <c r="H346" i="21"/>
  <c r="H1446" i="30"/>
  <c r="H226" i="21"/>
  <c r="H690" i="32"/>
  <c r="G108" i="26"/>
  <c r="H1693" i="15"/>
  <c r="H1393" i="26"/>
  <c r="H650" i="32"/>
  <c r="H186" i="16"/>
  <c r="H1410" i="32"/>
  <c r="H1030" i="32"/>
  <c r="G6" i="21"/>
  <c r="H1593" i="15"/>
  <c r="H1490" i="32"/>
  <c r="G911" i="15"/>
  <c r="H1553" i="15"/>
  <c r="H290" i="32"/>
  <c r="H1031" i="15"/>
  <c r="H770" i="32"/>
  <c r="H1893" i="15"/>
  <c r="H486" i="21"/>
  <c r="G342" i="26"/>
  <c r="G746" i="8"/>
  <c r="H1573" i="15"/>
  <c r="H451" i="15"/>
  <c r="H1171" i="15"/>
  <c r="H1673" i="15"/>
  <c r="H1145" i="26"/>
  <c r="H766" i="30"/>
  <c r="H1185" i="26"/>
  <c r="H1005" i="26"/>
  <c r="H1937" i="15"/>
  <c r="H563" i="8"/>
  <c r="H1091" i="15"/>
  <c r="H1813" i="15"/>
  <c r="H945" i="26"/>
  <c r="H1191" i="15"/>
  <c r="H531" i="15"/>
  <c r="H1326" i="30"/>
  <c r="H606" i="30"/>
  <c r="H1086" i="30"/>
  <c r="H671" i="15"/>
  <c r="H850" i="32"/>
  <c r="H2123" i="15"/>
  <c r="H1105" i="26"/>
  <c r="G1223" i="24"/>
  <c r="H1225" i="24"/>
  <c r="H1006" i="30"/>
  <c r="H910" i="32"/>
  <c r="H1366" i="30"/>
  <c r="H10" i="13"/>
  <c r="G6" i="13"/>
  <c r="H186" i="33"/>
  <c r="H1390" i="32"/>
  <c r="H1566" i="30"/>
  <c r="G6" i="8"/>
  <c r="H11" i="8"/>
  <c r="H223" i="8"/>
  <c r="H1266" i="30"/>
  <c r="H321" i="26"/>
  <c r="H1170" i="32"/>
  <c r="H965" i="26"/>
  <c r="H524" i="26"/>
  <c r="H746" i="30"/>
  <c r="H1166" i="30"/>
  <c r="H166" i="16"/>
  <c r="H363" i="26"/>
  <c r="H206" i="16"/>
  <c r="H1538" i="26"/>
  <c r="H1473" i="15"/>
  <c r="G1773" i="15"/>
  <c r="G46" i="21"/>
  <c r="H48" i="21"/>
  <c r="H886" i="30"/>
  <c r="H230" i="32"/>
  <c r="H651" i="15"/>
  <c r="H87" i="26"/>
  <c r="H351" i="15"/>
  <c r="H2063" i="15"/>
  <c r="H705" i="26"/>
  <c r="H1126" i="30"/>
  <c r="H583" i="8"/>
  <c r="H311" i="15"/>
  <c r="H106" i="21"/>
  <c r="H845" i="26"/>
  <c r="H1146" i="30"/>
  <c r="H1959" i="15"/>
  <c r="H271" i="15"/>
  <c r="H546" i="30"/>
  <c r="H286" i="21"/>
  <c r="H570" i="32"/>
  <c r="H86" i="16"/>
  <c r="H84" i="16" s="1"/>
  <c r="G84" i="16"/>
  <c r="E545" i="1" s="1"/>
  <c r="F545" i="1" s="1"/>
  <c r="I84" i="16" s="1"/>
  <c r="H331" i="15"/>
  <c r="H2083" i="15"/>
  <c r="H1733" i="15"/>
  <c r="H1131" i="15"/>
  <c r="H1393" i="15"/>
  <c r="H586" i="21"/>
  <c r="H48" i="16"/>
  <c r="G46" i="16"/>
  <c r="H86" i="21"/>
  <c r="H1130" i="32"/>
  <c r="H1435" i="26"/>
  <c r="H1653" i="15"/>
  <c r="H426" i="21"/>
  <c r="H1210" i="32"/>
  <c r="H659" i="13"/>
  <c r="H519" i="13"/>
  <c r="H66" i="8"/>
  <c r="H905" i="26"/>
  <c r="H2103" i="15"/>
  <c r="H1533" i="15"/>
  <c r="H206" i="33"/>
  <c r="G306" i="21"/>
  <c r="H310" i="21"/>
  <c r="H565" i="13"/>
  <c r="H366" i="21"/>
  <c r="H589" i="13"/>
  <c r="G6" i="16"/>
  <c r="H8" i="16"/>
  <c r="H635" i="13"/>
  <c r="H971" i="15"/>
  <c r="H542" i="13"/>
  <c r="H386" i="21"/>
  <c r="H791" i="15"/>
  <c r="H822" i="13"/>
  <c r="H303" i="8"/>
  <c r="H263" i="8"/>
  <c r="H510" i="32"/>
  <c r="H871" i="15"/>
  <c r="H1225" i="26"/>
  <c r="H50" i="8"/>
  <c r="G46" i="8"/>
  <c r="H1051" i="15"/>
  <c r="H1290" i="32"/>
  <c r="H810" i="32"/>
  <c r="H630" i="32"/>
  <c r="H1510" i="32"/>
  <c r="H931" i="15"/>
  <c r="H1466" i="30"/>
  <c r="H623" i="8"/>
  <c r="H1546" i="30"/>
  <c r="H243" i="8"/>
  <c r="H86" i="33"/>
  <c r="H590" i="32"/>
  <c r="H885" i="26"/>
  <c r="H486" i="30"/>
  <c r="H1346" i="30"/>
  <c r="H526" i="21"/>
  <c r="H410" i="32"/>
  <c r="H266" i="21"/>
  <c r="H506" i="30"/>
  <c r="H1486" i="30"/>
  <c r="H1125" i="26"/>
  <c r="H1310" i="32"/>
  <c r="H586" i="30"/>
  <c r="H1265" i="26"/>
  <c r="H390" i="32"/>
  <c r="H786" i="30"/>
  <c r="H1433" i="15"/>
  <c r="H1190" i="32"/>
  <c r="H703" i="8"/>
  <c r="H124" i="16"/>
  <c r="H865" i="26"/>
  <c r="H826" i="30"/>
  <c r="H970" i="32"/>
  <c r="H46" i="33"/>
  <c r="H1085" i="26"/>
  <c r="H866" i="30"/>
  <c r="H870" i="32"/>
  <c r="H611" i="15"/>
  <c r="H346" i="30"/>
  <c r="H1226" i="30"/>
  <c r="H1186" i="30"/>
  <c r="H310" i="32"/>
  <c r="G124" i="16"/>
  <c r="E547" i="1" s="1"/>
  <c r="F547" i="1" s="1"/>
  <c r="I124" i="16" s="1"/>
  <c r="H406" i="30"/>
  <c r="H1246" i="30"/>
  <c r="H1430" i="32"/>
  <c r="H1070" i="32"/>
  <c r="H604" i="26"/>
  <c r="H1150" i="32"/>
  <c r="H28" i="36"/>
  <c r="G26" i="36"/>
  <c r="H26" i="33"/>
  <c r="H785" i="26"/>
  <c r="H471" i="15"/>
  <c r="H950" i="32"/>
  <c r="H750" i="32"/>
  <c r="H1498" i="26"/>
  <c r="H1230" i="32"/>
  <c r="H1550" i="32"/>
  <c r="F769" i="1"/>
  <c r="I1788" i="21" s="1"/>
  <c r="J1788" i="21" s="1"/>
  <c r="H1306" i="30"/>
  <c r="H1579" i="26"/>
  <c r="H1010" i="32"/>
  <c r="H1350" i="32"/>
  <c r="H731" i="15"/>
  <c r="H691" i="15"/>
  <c r="H751" i="15"/>
  <c r="H1915" i="15"/>
  <c r="H1251" i="15"/>
  <c r="H1211" i="15"/>
  <c r="H491" i="15"/>
  <c r="H685" i="26"/>
  <c r="H1110" i="32"/>
  <c r="H830" i="32"/>
  <c r="H106" i="33"/>
  <c r="H930" i="32"/>
  <c r="G1853" i="15"/>
  <c r="H1855" i="15"/>
  <c r="H591" i="15"/>
  <c r="H450" i="32"/>
  <c r="H1406" i="30"/>
  <c r="H790" i="32"/>
  <c r="H1111" i="15"/>
  <c r="H2003" i="15"/>
  <c r="H550" i="32"/>
  <c r="H1530" i="32"/>
  <c r="H1513" i="15"/>
  <c r="H166" i="32"/>
  <c r="H1025" i="26"/>
  <c r="G1873" i="15"/>
  <c r="H1875" i="15"/>
  <c r="H370" i="32"/>
  <c r="H1206" i="30"/>
  <c r="H330" i="32"/>
  <c r="H584" i="26"/>
  <c r="H490" i="32"/>
  <c r="H1270" i="32"/>
  <c r="G139" i="32" l="1"/>
  <c r="H140" i="32"/>
  <c r="G891" i="15"/>
  <c r="H891" i="15" s="1"/>
  <c r="H128" i="32"/>
  <c r="G126" i="32"/>
  <c r="H126" i="32" s="1"/>
  <c r="G19" i="36"/>
  <c r="H20" i="36"/>
  <c r="E617" i="8"/>
  <c r="G617" i="8" s="1"/>
  <c r="E597" i="8"/>
  <c r="G597" i="8" s="1"/>
  <c r="E637" i="8"/>
  <c r="G637" i="8" s="1"/>
  <c r="H1664" i="21"/>
  <c r="G1663" i="21"/>
  <c r="E2113" i="26"/>
  <c r="G2113" i="26" s="1"/>
  <c r="E2235" i="26"/>
  <c r="G2235" i="26" s="1"/>
  <c r="E2214" i="26"/>
  <c r="G2214" i="26" s="1"/>
  <c r="E2323" i="11"/>
  <c r="G2323" i="11" s="1"/>
  <c r="E40" i="6"/>
  <c r="G40" i="6" s="1"/>
  <c r="E60" i="6"/>
  <c r="G60" i="6" s="1"/>
  <c r="E120" i="6"/>
  <c r="G120" i="6" s="1"/>
  <c r="E1633" i="26"/>
  <c r="G1633" i="26" s="1"/>
  <c r="E1613" i="26"/>
  <c r="G1613" i="26" s="1"/>
  <c r="E80" i="6"/>
  <c r="G80" i="6" s="1"/>
  <c r="E20" i="6"/>
  <c r="G20" i="6" s="1"/>
  <c r="E100" i="6"/>
  <c r="G100" i="6" s="1"/>
  <c r="G516" i="8"/>
  <c r="E511" i="8" s="1"/>
  <c r="G511" i="8" s="1"/>
  <c r="H511" i="8" s="1"/>
  <c r="H517" i="8"/>
  <c r="G2548" i="8"/>
  <c r="H2549" i="8"/>
  <c r="G1581" i="8"/>
  <c r="H1582" i="8"/>
  <c r="H2408" i="8"/>
  <c r="G2407" i="8"/>
  <c r="G1239" i="33"/>
  <c r="H1240" i="33"/>
  <c r="G343" i="13"/>
  <c r="H344" i="13"/>
  <c r="H580" i="21"/>
  <c r="G579" i="21"/>
  <c r="H1622" i="8"/>
  <c r="G1621" i="8"/>
  <c r="G2272" i="16"/>
  <c r="H2273" i="16"/>
  <c r="H2093" i="26"/>
  <c r="G2092" i="26"/>
  <c r="G316" i="8"/>
  <c r="H319" i="8"/>
  <c r="G499" i="21"/>
  <c r="H500" i="21"/>
  <c r="E400" i="33"/>
  <c r="G400" i="33" s="1"/>
  <c r="E520" i="33"/>
  <c r="G520" i="33" s="1"/>
  <c r="E860" i="33"/>
  <c r="G860" i="33" s="1"/>
  <c r="E980" i="33"/>
  <c r="G980" i="33" s="1"/>
  <c r="E1700" i="30"/>
  <c r="G1700" i="30" s="1"/>
  <c r="E2023" i="30"/>
  <c r="G2023" i="30" s="1"/>
  <c r="E2123" i="30"/>
  <c r="G2123" i="30" s="1"/>
  <c r="E1913" i="26"/>
  <c r="G1913" i="26" s="1"/>
  <c r="E2073" i="26"/>
  <c r="G2073" i="26" s="1"/>
  <c r="E2671" i="26"/>
  <c r="G2671" i="26" s="1"/>
  <c r="E915" i="24"/>
  <c r="G915" i="24" s="1"/>
  <c r="E601" i="24"/>
  <c r="G601" i="24" s="1"/>
  <c r="E521" i="24"/>
  <c r="G521" i="24" s="1"/>
  <c r="E460" i="24"/>
  <c r="G460" i="24" s="1"/>
  <c r="E180" i="24"/>
  <c r="G180" i="24" s="1"/>
  <c r="E1687" i="24"/>
  <c r="G1687" i="24" s="1"/>
  <c r="E1728" i="24"/>
  <c r="G1728" i="24" s="1"/>
  <c r="E360" i="33"/>
  <c r="G360" i="33" s="1"/>
  <c r="E1640" i="30"/>
  <c r="G1640" i="30" s="1"/>
  <c r="E1800" i="30"/>
  <c r="G1800" i="30" s="1"/>
  <c r="E1983" i="30"/>
  <c r="G1983" i="30" s="1"/>
  <c r="E2163" i="30"/>
  <c r="G2163" i="30" s="1"/>
  <c r="E2891" i="26"/>
  <c r="G2891" i="26" s="1"/>
  <c r="E721" i="24"/>
  <c r="G721" i="24" s="1"/>
  <c r="E440" i="24"/>
  <c r="G440" i="24" s="1"/>
  <c r="E380" i="24"/>
  <c r="G380" i="24" s="1"/>
  <c r="E240" i="24"/>
  <c r="G240" i="24" s="1"/>
  <c r="E60" i="24"/>
  <c r="G60" i="24" s="1"/>
  <c r="E320" i="33"/>
  <c r="G320" i="33" s="1"/>
  <c r="E420" i="33"/>
  <c r="G420" i="33" s="1"/>
  <c r="E880" i="33"/>
  <c r="G880" i="33" s="1"/>
  <c r="E1740" i="30"/>
  <c r="G1740" i="30" s="1"/>
  <c r="E1921" i="30"/>
  <c r="G1921" i="30" s="1"/>
  <c r="E1933" i="26"/>
  <c r="G1933" i="26" s="1"/>
  <c r="E1953" i="26"/>
  <c r="G1953" i="26" s="1"/>
  <c r="E2691" i="26"/>
  <c r="G2691" i="26" s="1"/>
  <c r="E1198" i="24"/>
  <c r="G1198" i="24" s="1"/>
  <c r="E761" i="24"/>
  <c r="G761" i="24" s="1"/>
  <c r="E701" i="24"/>
  <c r="G701" i="24" s="1"/>
  <c r="E501" i="24"/>
  <c r="G501" i="24" s="1"/>
  <c r="E1338" i="24"/>
  <c r="G1338" i="24" s="1"/>
  <c r="E1478" i="24"/>
  <c r="G1478" i="24" s="1"/>
  <c r="E1567" i="24"/>
  <c r="G1567" i="24" s="1"/>
  <c r="E1707" i="24"/>
  <c r="G1707" i="24" s="1"/>
  <c r="E720" i="21"/>
  <c r="G720" i="21" s="1"/>
  <c r="E863" i="21"/>
  <c r="G863" i="21" s="1"/>
  <c r="E640" i="33"/>
  <c r="G640" i="33" s="1"/>
  <c r="E1680" i="30"/>
  <c r="G1680" i="30" s="1"/>
  <c r="E1880" i="30"/>
  <c r="G1880" i="30" s="1"/>
  <c r="E2063" i="30"/>
  <c r="G2063" i="30" s="1"/>
  <c r="E2103" i="30"/>
  <c r="G2103" i="30" s="1"/>
  <c r="E1873" i="26"/>
  <c r="G1873" i="26" s="1"/>
  <c r="E955" i="24"/>
  <c r="G955" i="24" s="1"/>
  <c r="E581" i="24"/>
  <c r="G581" i="24" s="1"/>
  <c r="E360" i="24"/>
  <c r="G360" i="24" s="1"/>
  <c r="E220" i="24"/>
  <c r="G220" i="24" s="1"/>
  <c r="E380" i="33"/>
  <c r="G380" i="33" s="1"/>
  <c r="E440" i="33"/>
  <c r="G440" i="33" s="1"/>
  <c r="E1000" i="33"/>
  <c r="G1000" i="33" s="1"/>
  <c r="E1780" i="30"/>
  <c r="G1780" i="30" s="1"/>
  <c r="E2143" i="30"/>
  <c r="G2143" i="30" s="1"/>
  <c r="E460" i="33"/>
  <c r="G460" i="33" s="1"/>
  <c r="E960" i="33"/>
  <c r="G960" i="33" s="1"/>
  <c r="E1720" i="30"/>
  <c r="G1720" i="30" s="1"/>
  <c r="E1900" i="30"/>
  <c r="G1900" i="30" s="1"/>
  <c r="E1963" i="30"/>
  <c r="G1963" i="30" s="1"/>
  <c r="E2003" i="30"/>
  <c r="G2003" i="30" s="1"/>
  <c r="E2043" i="30"/>
  <c r="G2043" i="30" s="1"/>
  <c r="E1893" i="26"/>
  <c r="G1893" i="26" s="1"/>
  <c r="E1973" i="26"/>
  <c r="G1973" i="26" s="1"/>
  <c r="E1055" i="24"/>
  <c r="G1055" i="24" s="1"/>
  <c r="E741" i="24"/>
  <c r="G741" i="24" s="1"/>
  <c r="E621" i="24"/>
  <c r="G621" i="24" s="1"/>
  <c r="E300" i="24"/>
  <c r="G300" i="24" s="1"/>
  <c r="E260" i="24"/>
  <c r="G260" i="24" s="1"/>
  <c r="E200" i="24"/>
  <c r="G200" i="24" s="1"/>
  <c r="E1358" i="24"/>
  <c r="G1358" i="24" s="1"/>
  <c r="E920" i="33"/>
  <c r="G920" i="33" s="1"/>
  <c r="E1040" i="33"/>
  <c r="G1040" i="33" s="1"/>
  <c r="E1760" i="30"/>
  <c r="G1760" i="30" s="1"/>
  <c r="E1942" i="30"/>
  <c r="G1942" i="30" s="1"/>
  <c r="E1075" i="24"/>
  <c r="G1075" i="24" s="1"/>
  <c r="E661" i="24"/>
  <c r="G661" i="24" s="1"/>
  <c r="E120" i="24"/>
  <c r="G120" i="24" s="1"/>
  <c r="E1607" i="24"/>
  <c r="G1607" i="24" s="1"/>
  <c r="E1748" i="24"/>
  <c r="G1748" i="24" s="1"/>
  <c r="E660" i="21"/>
  <c r="G660" i="21" s="1"/>
  <c r="E1200" i="21"/>
  <c r="G1200" i="21" s="1"/>
  <c r="E1260" i="21"/>
  <c r="G1260" i="21" s="1"/>
  <c r="E1384" i="21"/>
  <c r="G1384" i="21" s="1"/>
  <c r="E1564" i="21"/>
  <c r="G1564" i="21" s="1"/>
  <c r="E1704" i="21"/>
  <c r="G1704" i="21" s="1"/>
  <c r="E2073" i="16"/>
  <c r="G2073" i="16" s="1"/>
  <c r="E2153" i="16"/>
  <c r="G2153" i="16" s="1"/>
  <c r="E2454" i="16"/>
  <c r="G2454" i="16" s="1"/>
  <c r="E2634" i="16"/>
  <c r="G2634" i="16" s="1"/>
  <c r="E2674" i="16"/>
  <c r="G2674" i="16" s="1"/>
  <c r="E2714" i="16"/>
  <c r="G2714" i="16" s="1"/>
  <c r="E975" i="16"/>
  <c r="G975" i="16" s="1"/>
  <c r="E1035" i="16"/>
  <c r="G1035" i="16" s="1"/>
  <c r="E1080" i="16"/>
  <c r="G1080" i="16" s="1"/>
  <c r="E1531" i="16"/>
  <c r="G1531" i="16" s="1"/>
  <c r="E1651" i="16"/>
  <c r="G1651" i="16" s="1"/>
  <c r="E260" i="16"/>
  <c r="G260" i="16" s="1"/>
  <c r="E340" i="16"/>
  <c r="G340" i="16" s="1"/>
  <c r="E420" i="16"/>
  <c r="G420" i="16" s="1"/>
  <c r="E503" i="16"/>
  <c r="G503" i="16" s="1"/>
  <c r="E526" i="16"/>
  <c r="G526" i="16" s="1"/>
  <c r="E549" i="16"/>
  <c r="G549" i="16" s="1"/>
  <c r="E675" i="16"/>
  <c r="G675" i="16" s="1"/>
  <c r="E1096" i="13"/>
  <c r="G1096" i="13" s="1"/>
  <c r="E420" i="24"/>
  <c r="G420" i="24" s="1"/>
  <c r="E800" i="21"/>
  <c r="G800" i="21" s="1"/>
  <c r="E948" i="21"/>
  <c r="G948" i="21" s="1"/>
  <c r="E1091" i="21"/>
  <c r="G1091" i="21" s="1"/>
  <c r="E1504" i="21"/>
  <c r="G1504" i="21" s="1"/>
  <c r="E2093" i="16"/>
  <c r="G2093" i="16" s="1"/>
  <c r="E2173" i="16"/>
  <c r="G2173" i="16" s="1"/>
  <c r="E2414" i="16"/>
  <c r="G2414" i="16" s="1"/>
  <c r="E2514" i="16"/>
  <c r="G2514" i="16" s="1"/>
  <c r="E1831" i="16"/>
  <c r="G1831" i="16" s="1"/>
  <c r="E1871" i="16"/>
  <c r="G1871" i="16" s="1"/>
  <c r="E935" i="16"/>
  <c r="G935" i="16" s="1"/>
  <c r="E1170" i="16"/>
  <c r="G1170" i="16" s="1"/>
  <c r="E1331" i="16"/>
  <c r="G1331" i="16" s="1"/>
  <c r="E1471" i="16"/>
  <c r="G1471" i="16" s="1"/>
  <c r="E1771" i="16"/>
  <c r="G1771" i="16" s="1"/>
  <c r="E755" i="16"/>
  <c r="G755" i="16" s="1"/>
  <c r="E835" i="16"/>
  <c r="G835" i="16" s="1"/>
  <c r="E1036" i="13"/>
  <c r="G1036" i="13" s="1"/>
  <c r="E1136" i="13"/>
  <c r="G1136" i="13" s="1"/>
  <c r="E1176" i="13"/>
  <c r="G1176" i="13" s="1"/>
  <c r="E1216" i="13"/>
  <c r="G1216" i="13" s="1"/>
  <c r="E1256" i="13"/>
  <c r="G1256" i="13" s="1"/>
  <c r="E1296" i="13"/>
  <c r="G1296" i="13" s="1"/>
  <c r="E1336" i="13"/>
  <c r="G1336" i="13" s="1"/>
  <c r="E1696" i="13"/>
  <c r="G1696" i="13" s="1"/>
  <c r="E1756" i="13"/>
  <c r="G1756" i="13" s="1"/>
  <c r="E1816" i="13"/>
  <c r="G1816" i="13" s="1"/>
  <c r="E1896" i="13"/>
  <c r="G1896" i="13" s="1"/>
  <c r="E1936" i="13"/>
  <c r="G1936" i="13" s="1"/>
  <c r="E480" i="33"/>
  <c r="G480" i="33" s="1"/>
  <c r="E1660" i="30"/>
  <c r="G1660" i="30" s="1"/>
  <c r="E1820" i="30"/>
  <c r="G1820" i="30" s="1"/>
  <c r="E2033" i="26"/>
  <c r="G2033" i="26" s="1"/>
  <c r="E681" i="24"/>
  <c r="G681" i="24" s="1"/>
  <c r="E561" i="24"/>
  <c r="G561" i="24" s="1"/>
  <c r="E1587" i="24"/>
  <c r="G1587" i="24" s="1"/>
  <c r="E905" i="21"/>
  <c r="G905" i="21" s="1"/>
  <c r="E1177" i="21"/>
  <c r="G1177" i="21" s="1"/>
  <c r="E1220" i="21"/>
  <c r="G1220" i="21" s="1"/>
  <c r="E1280" i="21"/>
  <c r="G1280" i="21" s="1"/>
  <c r="E1404" i="21"/>
  <c r="G1404" i="21" s="1"/>
  <c r="E1464" i="21"/>
  <c r="G1464" i="21" s="1"/>
  <c r="E1584" i="21"/>
  <c r="G1584" i="21" s="1"/>
  <c r="E1724" i="21"/>
  <c r="G1724" i="21" s="1"/>
  <c r="E1911" i="16"/>
  <c r="G1911" i="16" s="1"/>
  <c r="E1411" i="16"/>
  <c r="G1411" i="16" s="1"/>
  <c r="E1611" i="16"/>
  <c r="G1611" i="16" s="1"/>
  <c r="E1671" i="16"/>
  <c r="G1671" i="16" s="1"/>
  <c r="E280" i="16"/>
  <c r="G280" i="16" s="1"/>
  <c r="E360" i="16"/>
  <c r="G360" i="16" s="1"/>
  <c r="E440" i="16"/>
  <c r="G440" i="16" s="1"/>
  <c r="E569" i="16"/>
  <c r="G569" i="16" s="1"/>
  <c r="E695" i="16"/>
  <c r="G695" i="16" s="1"/>
  <c r="E1416" i="13"/>
  <c r="G1416" i="13" s="1"/>
  <c r="E1476" i="13"/>
  <c r="G1476" i="13" s="1"/>
  <c r="E1636" i="13"/>
  <c r="G1636" i="13" s="1"/>
  <c r="E340" i="33"/>
  <c r="G340" i="33" s="1"/>
  <c r="E781" i="24"/>
  <c r="G781" i="24" s="1"/>
  <c r="E400" i="24"/>
  <c r="G400" i="24" s="1"/>
  <c r="E620" i="21"/>
  <c r="G620" i="21" s="1"/>
  <c r="E843" i="21"/>
  <c r="G843" i="21" s="1"/>
  <c r="E968" i="21"/>
  <c r="G968" i="21" s="1"/>
  <c r="E1068" i="21"/>
  <c r="G1068" i="21" s="1"/>
  <c r="E1111" i="21"/>
  <c r="G1111" i="21" s="1"/>
  <c r="E1324" i="21"/>
  <c r="G1324" i="21" s="1"/>
  <c r="E1524" i="21"/>
  <c r="G1524" i="21" s="1"/>
  <c r="E1951" i="16"/>
  <c r="G1951" i="16" s="1"/>
  <c r="E1991" i="16"/>
  <c r="G1991" i="16" s="1"/>
  <c r="E2031" i="16"/>
  <c r="G2031" i="16" s="1"/>
  <c r="E2053" i="16"/>
  <c r="G2053" i="16" s="1"/>
  <c r="E2193" i="16"/>
  <c r="G2193" i="16" s="1"/>
  <c r="E2233" i="16"/>
  <c r="G2233" i="16" s="1"/>
  <c r="E2293" i="16"/>
  <c r="G2293" i="16" s="1"/>
  <c r="E2474" i="16"/>
  <c r="G2474" i="16" s="1"/>
  <c r="E2534" i="16"/>
  <c r="G2534" i="16" s="1"/>
  <c r="E2614" i="16"/>
  <c r="G2614" i="16" s="1"/>
  <c r="E2694" i="16"/>
  <c r="G2694" i="16" s="1"/>
  <c r="E1891" i="16"/>
  <c r="G1891" i="16" s="1"/>
  <c r="E995" i="16"/>
  <c r="G995" i="16" s="1"/>
  <c r="E1055" i="16"/>
  <c r="G1055" i="16" s="1"/>
  <c r="E1130" i="16"/>
  <c r="G1130" i="16" s="1"/>
  <c r="E1351" i="16"/>
  <c r="G1351" i="16" s="1"/>
  <c r="E1491" i="16"/>
  <c r="G1491" i="16" s="1"/>
  <c r="E1551" i="16"/>
  <c r="G1551" i="16" s="1"/>
  <c r="E1731" i="16"/>
  <c r="G1731" i="16" s="1"/>
  <c r="E1791" i="16"/>
  <c r="G1791" i="16" s="1"/>
  <c r="E975" i="24"/>
  <c r="G975" i="24" s="1"/>
  <c r="E541" i="24"/>
  <c r="G541" i="24" s="1"/>
  <c r="E820" i="21"/>
  <c r="G820" i="21" s="1"/>
  <c r="E1154" i="21"/>
  <c r="G1154" i="21" s="1"/>
  <c r="E1300" i="21"/>
  <c r="G1300" i="21" s="1"/>
  <c r="E1424" i="21"/>
  <c r="G1424" i="21" s="1"/>
  <c r="E1604" i="21"/>
  <c r="G1604" i="21" s="1"/>
  <c r="E1744" i="21"/>
  <c r="G1744" i="21" s="1"/>
  <c r="E1824" i="21"/>
  <c r="G1824" i="21" s="1"/>
  <c r="E2353" i="16"/>
  <c r="G2353" i="16" s="1"/>
  <c r="E2574" i="16"/>
  <c r="G2574" i="16" s="1"/>
  <c r="E2654" i="16"/>
  <c r="G2654" i="16" s="1"/>
  <c r="E1811" i="16"/>
  <c r="G1811" i="16" s="1"/>
  <c r="E300" i="16"/>
  <c r="G300" i="16" s="1"/>
  <c r="E380" i="16"/>
  <c r="G380" i="16" s="1"/>
  <c r="E589" i="16"/>
  <c r="G589" i="16" s="1"/>
  <c r="E612" i="16"/>
  <c r="G612" i="16" s="1"/>
  <c r="E635" i="16"/>
  <c r="G635" i="16" s="1"/>
  <c r="E715" i="16"/>
  <c r="G715" i="16" s="1"/>
  <c r="E1196" i="13"/>
  <c r="G1196" i="13" s="1"/>
  <c r="E1276" i="13"/>
  <c r="G1276" i="13" s="1"/>
  <c r="E1456" i="13"/>
  <c r="G1456" i="13" s="1"/>
  <c r="E1676" i="13"/>
  <c r="G1676" i="13" s="1"/>
  <c r="E1796" i="13"/>
  <c r="G1796" i="13" s="1"/>
  <c r="E1856" i="13"/>
  <c r="G1856" i="13" s="1"/>
  <c r="E893" i="24"/>
  <c r="G893" i="24" s="1"/>
  <c r="E988" i="21"/>
  <c r="G988" i="21" s="1"/>
  <c r="E1240" i="21"/>
  <c r="G1240" i="21" s="1"/>
  <c r="E1484" i="21"/>
  <c r="G1484" i="21" s="1"/>
  <c r="E2313" i="16"/>
  <c r="G2313" i="16" s="1"/>
  <c r="E2434" i="16"/>
  <c r="G2434" i="16" s="1"/>
  <c r="E1851" i="16"/>
  <c r="G1851" i="16" s="1"/>
  <c r="E955" i="16"/>
  <c r="G955" i="16" s="1"/>
  <c r="E1015" i="16"/>
  <c r="G1015" i="16" s="1"/>
  <c r="E1105" i="16"/>
  <c r="G1105" i="16" s="1"/>
  <c r="E1371" i="16"/>
  <c r="G1371" i="16" s="1"/>
  <c r="E1431" i="16"/>
  <c r="G1431" i="16" s="1"/>
  <c r="E1511" i="16"/>
  <c r="G1511" i="16" s="1"/>
  <c r="E1571" i="16"/>
  <c r="G1571" i="16" s="1"/>
  <c r="E1631" i="16"/>
  <c r="G1631" i="16" s="1"/>
  <c r="E1691" i="16"/>
  <c r="G1691" i="16" s="1"/>
  <c r="E483" i="16"/>
  <c r="G483" i="16" s="1"/>
  <c r="E795" i="16"/>
  <c r="G795" i="16" s="1"/>
  <c r="E875" i="16"/>
  <c r="G875" i="16" s="1"/>
  <c r="E1156" i="13"/>
  <c r="G1156" i="13" s="1"/>
  <c r="E1236" i="13"/>
  <c r="G1236" i="13" s="1"/>
  <c r="E1396" i="13"/>
  <c r="G1396" i="13" s="1"/>
  <c r="E1616" i="13"/>
  <c r="G1616" i="13" s="1"/>
  <c r="E1836" i="13"/>
  <c r="G1836" i="13" s="1"/>
  <c r="E1916" i="13"/>
  <c r="G1916" i="13" s="1"/>
  <c r="E840" i="33"/>
  <c r="G840" i="33" s="1"/>
  <c r="E2083" i="30"/>
  <c r="G2083" i="30" s="1"/>
  <c r="E2183" i="30"/>
  <c r="G2183" i="30" s="1"/>
  <c r="E928" i="21"/>
  <c r="G928" i="21" s="1"/>
  <c r="E1008" i="21"/>
  <c r="G1008" i="21" s="1"/>
  <c r="E1444" i="21"/>
  <c r="G1444" i="21" s="1"/>
  <c r="E1624" i="21"/>
  <c r="G1624" i="21" s="1"/>
  <c r="E1844" i="21"/>
  <c r="G1844" i="21" s="1"/>
  <c r="E2213" i="16"/>
  <c r="G2213" i="16" s="1"/>
  <c r="E2373" i="16"/>
  <c r="G2373" i="16" s="1"/>
  <c r="E2554" i="16"/>
  <c r="G2554" i="16" s="1"/>
  <c r="E2594" i="16"/>
  <c r="G2594" i="16" s="1"/>
  <c r="E1391" i="16"/>
  <c r="G1391" i="16" s="1"/>
  <c r="E1451" i="16"/>
  <c r="G1451" i="16" s="1"/>
  <c r="E1591" i="16"/>
  <c r="G1591" i="16" s="1"/>
  <c r="E1711" i="16"/>
  <c r="G1711" i="16" s="1"/>
  <c r="E1751" i="16"/>
  <c r="G1751" i="16" s="1"/>
  <c r="E815" i="16"/>
  <c r="G815" i="16" s="1"/>
  <c r="E895" i="16"/>
  <c r="G895" i="16" s="1"/>
  <c r="E1056" i="13"/>
  <c r="G1056" i="13" s="1"/>
  <c r="E1316" i="13"/>
  <c r="G1316" i="13" s="1"/>
  <c r="E1436" i="13"/>
  <c r="G1436" i="13" s="1"/>
  <c r="E1496" i="13"/>
  <c r="G1496" i="13" s="1"/>
  <c r="E1544" i="21"/>
  <c r="G1544" i="21" s="1"/>
  <c r="E1684" i="21"/>
  <c r="G1684" i="21" s="1"/>
  <c r="E1576" i="13"/>
  <c r="G1576" i="13" s="1"/>
  <c r="E1656" i="13"/>
  <c r="G1656" i="13" s="1"/>
  <c r="E2076" i="13"/>
  <c r="G2076" i="13" s="1"/>
  <c r="E2216" i="13"/>
  <c r="G2216" i="13" s="1"/>
  <c r="E2296" i="13"/>
  <c r="G2296" i="13" s="1"/>
  <c r="E2396" i="13"/>
  <c r="G2396" i="13" s="1"/>
  <c r="E2576" i="13"/>
  <c r="G2576" i="13" s="1"/>
  <c r="E1136" i="24"/>
  <c r="G1136" i="24" s="1"/>
  <c r="E1931" i="16"/>
  <c r="G1931" i="16" s="1"/>
  <c r="E1076" i="13"/>
  <c r="G1076" i="13" s="1"/>
  <c r="E1376" i="13"/>
  <c r="G1376" i="13" s="1"/>
  <c r="E1716" i="13"/>
  <c r="G1716" i="13" s="1"/>
  <c r="E2036" i="13"/>
  <c r="G2036" i="13" s="1"/>
  <c r="E2176" i="13"/>
  <c r="G2176" i="13" s="1"/>
  <c r="E2256" i="13"/>
  <c r="G2256" i="13" s="1"/>
  <c r="E2636" i="13"/>
  <c r="G2636" i="13" s="1"/>
  <c r="E2776" i="13"/>
  <c r="G2776" i="13" s="1"/>
  <c r="E1220" i="11"/>
  <c r="G1220" i="11" s="1"/>
  <c r="E1260" i="11"/>
  <c r="G1260" i="11" s="1"/>
  <c r="E1300" i="11"/>
  <c r="G1300" i="11" s="1"/>
  <c r="E883" i="21"/>
  <c r="G883" i="21" s="1"/>
  <c r="E1344" i="21"/>
  <c r="G1344" i="21" s="1"/>
  <c r="E1364" i="21"/>
  <c r="G1364" i="21" s="1"/>
  <c r="E2011" i="16"/>
  <c r="G2011" i="16" s="1"/>
  <c r="E320" i="16"/>
  <c r="G320" i="16" s="1"/>
  <c r="E655" i="16"/>
  <c r="G655" i="16" s="1"/>
  <c r="E775" i="16"/>
  <c r="G775" i="16" s="1"/>
  <c r="E1776" i="13"/>
  <c r="G1776" i="13" s="1"/>
  <c r="E1976" i="13"/>
  <c r="G1976" i="13" s="1"/>
  <c r="E2016" i="13"/>
  <c r="G2016" i="13" s="1"/>
  <c r="E2136" i="13"/>
  <c r="G2136" i="13" s="1"/>
  <c r="E2436" i="13"/>
  <c r="G2436" i="13" s="1"/>
  <c r="E2556" i="13"/>
  <c r="G2556" i="13" s="1"/>
  <c r="E2696" i="13"/>
  <c r="G2696" i="13" s="1"/>
  <c r="E2736" i="13"/>
  <c r="G2736" i="13" s="1"/>
  <c r="E920" i="11"/>
  <c r="G920" i="11" s="1"/>
  <c r="E960" i="11"/>
  <c r="G960" i="11" s="1"/>
  <c r="E1000" i="11"/>
  <c r="G1000" i="11" s="1"/>
  <c r="E1180" i="11"/>
  <c r="G1180" i="11" s="1"/>
  <c r="E1516" i="13"/>
  <c r="G1516" i="13" s="1"/>
  <c r="E1876" i="13"/>
  <c r="G1876" i="13" s="1"/>
  <c r="E2276" i="13"/>
  <c r="G2276" i="13" s="1"/>
  <c r="E2496" i="13"/>
  <c r="G2496" i="13" s="1"/>
  <c r="E2616" i="13"/>
  <c r="G2616" i="13" s="1"/>
  <c r="E1040" i="11"/>
  <c r="G1040" i="11" s="1"/>
  <c r="E1120" i="11"/>
  <c r="G1120" i="11" s="1"/>
  <c r="E1556" i="13"/>
  <c r="G1556" i="13" s="1"/>
  <c r="E1596" i="13"/>
  <c r="G1596" i="13" s="1"/>
  <c r="E1996" i="13"/>
  <c r="G1996" i="13" s="1"/>
  <c r="E2196" i="13"/>
  <c r="G2196" i="13" s="1"/>
  <c r="E2336" i="13"/>
  <c r="G2336" i="13" s="1"/>
  <c r="E2376" i="13"/>
  <c r="G2376" i="13" s="1"/>
  <c r="E2536" i="13"/>
  <c r="G2536" i="13" s="1"/>
  <c r="E1080" i="11"/>
  <c r="G1080" i="11" s="1"/>
  <c r="E1764" i="21"/>
  <c r="G1764" i="21" s="1"/>
  <c r="E240" i="16"/>
  <c r="G240" i="16" s="1"/>
  <c r="E1116" i="13"/>
  <c r="G1116" i="13" s="1"/>
  <c r="E1356" i="13"/>
  <c r="G1356" i="13" s="1"/>
  <c r="E1736" i="13"/>
  <c r="G1736" i="13" s="1"/>
  <c r="E1956" i="13"/>
  <c r="G1956" i="13" s="1"/>
  <c r="E2056" i="13"/>
  <c r="G2056" i="13" s="1"/>
  <c r="E2116" i="13"/>
  <c r="G2116" i="13" s="1"/>
  <c r="E2156" i="13"/>
  <c r="G2156" i="13" s="1"/>
  <c r="E2236" i="13"/>
  <c r="G2236" i="13" s="1"/>
  <c r="E2476" i="13"/>
  <c r="G2476" i="13" s="1"/>
  <c r="E2676" i="13"/>
  <c r="G2676" i="13" s="1"/>
  <c r="E1140" i="11"/>
  <c r="G1140" i="11" s="1"/>
  <c r="E1280" i="11"/>
  <c r="G1280" i="11" s="1"/>
  <c r="E1320" i="11"/>
  <c r="G1320" i="11" s="1"/>
  <c r="E1860" i="30"/>
  <c r="G1860" i="30" s="1"/>
  <c r="E2113" i="16"/>
  <c r="G2113" i="16" s="1"/>
  <c r="E400" i="16"/>
  <c r="G400" i="16" s="1"/>
  <c r="E735" i="16"/>
  <c r="G735" i="16" s="1"/>
  <c r="E855" i="16"/>
  <c r="G855" i="16" s="1"/>
  <c r="E1536" i="13"/>
  <c r="G1536" i="13" s="1"/>
  <c r="E2316" i="13"/>
  <c r="G2316" i="13" s="1"/>
  <c r="E2356" i="13"/>
  <c r="G2356" i="13" s="1"/>
  <c r="E2456" i="13"/>
  <c r="G2456" i="13" s="1"/>
  <c r="E2516" i="13"/>
  <c r="G2516" i="13" s="1"/>
  <c r="E2656" i="13"/>
  <c r="G2656" i="13" s="1"/>
  <c r="E2716" i="13"/>
  <c r="G2716" i="13" s="1"/>
  <c r="E2756" i="13"/>
  <c r="G2756" i="13" s="1"/>
  <c r="E1160" i="11"/>
  <c r="G1160" i="11" s="1"/>
  <c r="E1200" i="11"/>
  <c r="G1200" i="11" s="1"/>
  <c r="E980" i="11"/>
  <c r="G980" i="11" s="1"/>
  <c r="E2468" i="8"/>
  <c r="G2468" i="8" s="1"/>
  <c r="E2509" i="8"/>
  <c r="G2509" i="8" s="1"/>
  <c r="E1971" i="16"/>
  <c r="G1971" i="16" s="1"/>
  <c r="E2096" i="13"/>
  <c r="G2096" i="13" s="1"/>
  <c r="E2596" i="13"/>
  <c r="G2596" i="13" s="1"/>
  <c r="E1762" i="8"/>
  <c r="G1762" i="8" s="1"/>
  <c r="E1020" i="11"/>
  <c r="G1020" i="11" s="1"/>
  <c r="E2005" i="8"/>
  <c r="G2005" i="8" s="1"/>
  <c r="E1442" i="8"/>
  <c r="G1442" i="8" s="1"/>
  <c r="E1311" i="16"/>
  <c r="G1311" i="16" s="1"/>
  <c r="E2068" i="8"/>
  <c r="G2068" i="8" s="1"/>
  <c r="E2488" i="8"/>
  <c r="G2488" i="8" s="1"/>
  <c r="E2709" i="8"/>
  <c r="G2709" i="8" s="1"/>
  <c r="E1542" i="8"/>
  <c r="G1542" i="8" s="1"/>
  <c r="E1882" i="8"/>
  <c r="G1882" i="8" s="1"/>
  <c r="E915" i="16"/>
  <c r="G915" i="16" s="1"/>
  <c r="E1150" i="16"/>
  <c r="G1150" i="16" s="1"/>
  <c r="E940" i="11"/>
  <c r="G940" i="11" s="1"/>
  <c r="E2283" i="11"/>
  <c r="G2283" i="11" s="1"/>
  <c r="E1984" i="8"/>
  <c r="G1984" i="8" s="1"/>
  <c r="E2047" i="8"/>
  <c r="G2047" i="8" s="1"/>
  <c r="E80" i="32"/>
  <c r="G80" i="32" s="1"/>
  <c r="E2026" i="8"/>
  <c r="G2026" i="8" s="1"/>
  <c r="E100" i="32"/>
  <c r="G100" i="32" s="1"/>
  <c r="E120" i="32"/>
  <c r="G120" i="32" s="1"/>
  <c r="E2416" i="13"/>
  <c r="G2416" i="13" s="1"/>
  <c r="E1962" i="8"/>
  <c r="G1962" i="8" s="1"/>
  <c r="E1131" i="21"/>
  <c r="G1131" i="21" s="1"/>
  <c r="E1162" i="8"/>
  <c r="G1162" i="8" s="1"/>
  <c r="E40" i="32"/>
  <c r="G40" i="32" s="1"/>
  <c r="E1060" i="11"/>
  <c r="G1060" i="11" s="1"/>
  <c r="E1862" i="8"/>
  <c r="G1862" i="8" s="1"/>
  <c r="E60" i="32"/>
  <c r="G60" i="32" s="1"/>
  <c r="E1400" i="30"/>
  <c r="G1400" i="30" s="1"/>
  <c r="E20" i="32"/>
  <c r="G20" i="32" s="1"/>
  <c r="E160" i="16"/>
  <c r="G160" i="16" s="1"/>
  <c r="E739" i="8"/>
  <c r="G739" i="8" s="1"/>
  <c r="E583" i="13"/>
  <c r="G583" i="13" s="1"/>
  <c r="E81" i="13"/>
  <c r="G81" i="13" s="1"/>
  <c r="E836" i="13"/>
  <c r="G836" i="13" s="1"/>
  <c r="E653" i="13"/>
  <c r="G653" i="13" s="1"/>
  <c r="E20" i="11"/>
  <c r="G20" i="11" s="1"/>
  <c r="E490" i="13"/>
  <c r="G490" i="13" s="1"/>
  <c r="E300" i="21"/>
  <c r="G300" i="21" s="1"/>
  <c r="E460" i="21"/>
  <c r="G460" i="21" s="1"/>
  <c r="E340" i="21"/>
  <c r="G340" i="21" s="1"/>
  <c r="E1460" i="30"/>
  <c r="G1460" i="30" s="1"/>
  <c r="E800" i="30"/>
  <c r="G800" i="30" s="1"/>
  <c r="E160" i="33"/>
  <c r="G160" i="33" s="1"/>
  <c r="E820" i="30"/>
  <c r="G820" i="30" s="1"/>
  <c r="E1440" i="30"/>
  <c r="G1440" i="30" s="1"/>
  <c r="E304" i="13"/>
  <c r="G304" i="13" s="1"/>
  <c r="E280" i="21"/>
  <c r="G280" i="21" s="1"/>
  <c r="E500" i="30"/>
  <c r="G500" i="30" s="1"/>
  <c r="E457" i="8"/>
  <c r="G457" i="8" s="1"/>
  <c r="E100" i="21"/>
  <c r="G100" i="21" s="1"/>
  <c r="E606" i="13"/>
  <c r="G606" i="13" s="1"/>
  <c r="E760" i="30"/>
  <c r="G760" i="30" s="1"/>
  <c r="E180" i="16"/>
  <c r="G180" i="16" s="1"/>
  <c r="E822" i="8"/>
  <c r="G822" i="8" s="1"/>
  <c r="E180" i="11"/>
  <c r="G180" i="11" s="1"/>
  <c r="E802" i="8"/>
  <c r="G802" i="8" s="1"/>
  <c r="E260" i="11"/>
  <c r="G260" i="11" s="1"/>
  <c r="E856" i="13"/>
  <c r="G856" i="13" s="1"/>
  <c r="E916" i="13"/>
  <c r="G916" i="13" s="1"/>
  <c r="E976" i="13"/>
  <c r="G976" i="13" s="1"/>
  <c r="E320" i="21"/>
  <c r="G320" i="21" s="1"/>
  <c r="E260" i="21"/>
  <c r="G260" i="21" s="1"/>
  <c r="E360" i="21"/>
  <c r="G360" i="21" s="1"/>
  <c r="E720" i="30"/>
  <c r="G720" i="30" s="1"/>
  <c r="E840" i="30"/>
  <c r="G840" i="30" s="1"/>
  <c r="E1340" i="30"/>
  <c r="G1340" i="30" s="1"/>
  <c r="E900" i="30"/>
  <c r="G900" i="30" s="1"/>
  <c r="E860" i="30"/>
  <c r="G860" i="30" s="1"/>
  <c r="E180" i="33"/>
  <c r="G180" i="33" s="1"/>
  <c r="E160" i="11"/>
  <c r="G160" i="11" s="1"/>
  <c r="E264" i="13"/>
  <c r="G264" i="13" s="1"/>
  <c r="E400" i="30"/>
  <c r="G400" i="30" s="1"/>
  <c r="E1040" i="30"/>
  <c r="G1040" i="30" s="1"/>
  <c r="E40" i="21"/>
  <c r="G40" i="21" s="1"/>
  <c r="E120" i="16"/>
  <c r="G120" i="16" s="1"/>
  <c r="E60" i="13"/>
  <c r="G60" i="13" s="1"/>
  <c r="E540" i="21"/>
  <c r="G540" i="21" s="1"/>
  <c r="E200" i="16"/>
  <c r="G200" i="16" s="1"/>
  <c r="E60" i="11"/>
  <c r="G60" i="11" s="1"/>
  <c r="E100" i="11"/>
  <c r="G100" i="11" s="1"/>
  <c r="E956" i="13"/>
  <c r="G956" i="13" s="1"/>
  <c r="E240" i="11"/>
  <c r="G240" i="11" s="1"/>
  <c r="E876" i="13"/>
  <c r="G876" i="13" s="1"/>
  <c r="E40" i="11"/>
  <c r="G40" i="11" s="1"/>
  <c r="E480" i="21"/>
  <c r="G480" i="21" s="1"/>
  <c r="E80" i="21"/>
  <c r="G80" i="21" s="1"/>
  <c r="E400" i="21"/>
  <c r="G400" i="21" s="1"/>
  <c r="E1500" i="30"/>
  <c r="G1500" i="30" s="1"/>
  <c r="E1060" i="30"/>
  <c r="G1060" i="30" s="1"/>
  <c r="E1380" i="30"/>
  <c r="G1380" i="30" s="1"/>
  <c r="E1020" i="30"/>
  <c r="G1020" i="30" s="1"/>
  <c r="E60" i="16"/>
  <c r="G60" i="16" s="1"/>
  <c r="E676" i="13"/>
  <c r="G676" i="13" s="1"/>
  <c r="E1480" i="30"/>
  <c r="G1480" i="30" s="1"/>
  <c r="E536" i="13"/>
  <c r="G536" i="13" s="1"/>
  <c r="E717" i="8"/>
  <c r="G717" i="8" s="1"/>
  <c r="E102" i="13"/>
  <c r="G102" i="13" s="1"/>
  <c r="E140" i="33"/>
  <c r="G140" i="33" s="1"/>
  <c r="E220" i="16"/>
  <c r="G220" i="16" s="1"/>
  <c r="E140" i="11"/>
  <c r="G140" i="11" s="1"/>
  <c r="E200" i="11"/>
  <c r="G200" i="11" s="1"/>
  <c r="E40" i="13"/>
  <c r="G40" i="13" s="1"/>
  <c r="E244" i="13"/>
  <c r="G244" i="13" s="1"/>
  <c r="E144" i="13"/>
  <c r="G144" i="13" s="1"/>
  <c r="E936" i="13"/>
  <c r="G936" i="13" s="1"/>
  <c r="E123" i="13"/>
  <c r="G123" i="13" s="1"/>
  <c r="E60" i="21"/>
  <c r="G60" i="21" s="1"/>
  <c r="E560" i="21"/>
  <c r="G560" i="21" s="1"/>
  <c r="E140" i="21"/>
  <c r="G140" i="21" s="1"/>
  <c r="E200" i="21"/>
  <c r="G200" i="21" s="1"/>
  <c r="E880" i="30"/>
  <c r="G880" i="30" s="1"/>
  <c r="E1540" i="30"/>
  <c r="G1540" i="30" s="1"/>
  <c r="E1080" i="30"/>
  <c r="G1080" i="30" s="1"/>
  <c r="E1520" i="30"/>
  <c r="G1520" i="30" s="1"/>
  <c r="E1420" i="30"/>
  <c r="G1420" i="30" s="1"/>
  <c r="E629" i="13"/>
  <c r="G629" i="13" s="1"/>
  <c r="E520" i="30"/>
  <c r="G520" i="30" s="1"/>
  <c r="E1600" i="30"/>
  <c r="G1600" i="30" s="1"/>
  <c r="E467" i="13"/>
  <c r="G467" i="13" s="1"/>
  <c r="E780" i="30"/>
  <c r="G780" i="30" s="1"/>
  <c r="E497" i="8"/>
  <c r="G497" i="8" s="1"/>
  <c r="E120" i="21"/>
  <c r="G120" i="21" s="1"/>
  <c r="E1286" i="15"/>
  <c r="G1286" i="15" s="1"/>
  <c r="E40" i="16"/>
  <c r="G40" i="16" s="1"/>
  <c r="E120" i="11"/>
  <c r="G120" i="11" s="1"/>
  <c r="E80" i="11"/>
  <c r="G80" i="11" s="1"/>
  <c r="E284" i="13"/>
  <c r="G284" i="13" s="1"/>
  <c r="E180" i="21"/>
  <c r="G180" i="21" s="1"/>
  <c r="E600" i="21"/>
  <c r="G600" i="21" s="1"/>
  <c r="E440" i="21"/>
  <c r="G440" i="21" s="1"/>
  <c r="E1259" i="26"/>
  <c r="G1259" i="26" s="1"/>
  <c r="E1300" i="30"/>
  <c r="G1300" i="30" s="1"/>
  <c r="E360" i="30"/>
  <c r="G360" i="30" s="1"/>
  <c r="E1580" i="30"/>
  <c r="G1580" i="30" s="1"/>
  <c r="E380" i="30"/>
  <c r="G380" i="30" s="1"/>
  <c r="E1560" i="30"/>
  <c r="G1560" i="30" s="1"/>
  <c r="E513" i="13"/>
  <c r="G513" i="13" s="1"/>
  <c r="E520" i="21"/>
  <c r="G520" i="21" s="1"/>
  <c r="E380" i="21"/>
  <c r="G380" i="21" s="1"/>
  <c r="E842" i="8"/>
  <c r="G842" i="8" s="1"/>
  <c r="E896" i="13"/>
  <c r="G896" i="13" s="1"/>
  <c r="E1320" i="30"/>
  <c r="G1320" i="30" s="1"/>
  <c r="E237" i="8"/>
  <c r="G237" i="8" s="1"/>
  <c r="E280" i="11"/>
  <c r="G280" i="11" s="1"/>
  <c r="E20" i="21"/>
  <c r="G20" i="21" s="1"/>
  <c r="E200" i="33"/>
  <c r="G200" i="33" s="1"/>
  <c r="E80" i="16"/>
  <c r="G80" i="16" s="1"/>
  <c r="E862" i="8"/>
  <c r="G862" i="8" s="1"/>
  <c r="E220" i="33"/>
  <c r="G220" i="33" s="1"/>
  <c r="E324" i="13"/>
  <c r="G324" i="13" s="1"/>
  <c r="E420" i="21"/>
  <c r="G420" i="21" s="1"/>
  <c r="E1307" i="15"/>
  <c r="G1307" i="15" s="1"/>
  <c r="E882" i="8"/>
  <c r="G882" i="8" s="1"/>
  <c r="E1360" i="30"/>
  <c r="G1360" i="30" s="1"/>
  <c r="E559" i="13"/>
  <c r="G559" i="13" s="1"/>
  <c r="E740" i="30"/>
  <c r="G740" i="30" s="1"/>
  <c r="H337" i="8"/>
  <c r="G336" i="8"/>
  <c r="G901" i="8"/>
  <c r="H902" i="8"/>
  <c r="G1061" i="8"/>
  <c r="H1062" i="8"/>
  <c r="G1841" i="8"/>
  <c r="H1842" i="8"/>
  <c r="H1402" i="8"/>
  <c r="G1401" i="8"/>
  <c r="H2711" i="26"/>
  <c r="G2710" i="26"/>
  <c r="H1160" i="33"/>
  <c r="G1159" i="33"/>
  <c r="H164" i="13"/>
  <c r="G163" i="13"/>
  <c r="G1641" i="8"/>
  <c r="H1642" i="8"/>
  <c r="H1028" i="21"/>
  <c r="G1027" i="21"/>
  <c r="E460" i="16"/>
  <c r="G460" i="16" s="1"/>
  <c r="E1664" i="32"/>
  <c r="G1664" i="32" s="1"/>
  <c r="E1504" i="32"/>
  <c r="G1504" i="32" s="1"/>
  <c r="E1384" i="32"/>
  <c r="G1384" i="32" s="1"/>
  <c r="E1224" i="32"/>
  <c r="G1224" i="32" s="1"/>
  <c r="E1064" i="32"/>
  <c r="G1064" i="32" s="1"/>
  <c r="E904" i="32"/>
  <c r="G904" i="32" s="1"/>
  <c r="E744" i="32"/>
  <c r="G744" i="32" s="1"/>
  <c r="E584" i="32"/>
  <c r="G584" i="32" s="1"/>
  <c r="E1524" i="32"/>
  <c r="G1524" i="32" s="1"/>
  <c r="E1444" i="32"/>
  <c r="G1444" i="32" s="1"/>
  <c r="E1284" i="32"/>
  <c r="G1284" i="32" s="1"/>
  <c r="E1544" i="32"/>
  <c r="G1544" i="32" s="1"/>
  <c r="E1344" i="32"/>
  <c r="G1344" i="32" s="1"/>
  <c r="E1184" i="32"/>
  <c r="G1184" i="32" s="1"/>
  <c r="E1024" i="32"/>
  <c r="G1024" i="32" s="1"/>
  <c r="E864" i="32"/>
  <c r="G864" i="32" s="1"/>
  <c r="E704" i="32"/>
  <c r="G704" i="32" s="1"/>
  <c r="E544" i="32"/>
  <c r="G544" i="32" s="1"/>
  <c r="E1564" i="32"/>
  <c r="G1564" i="32" s="1"/>
  <c r="E1404" i="32"/>
  <c r="G1404" i="32" s="1"/>
  <c r="E1244" i="32"/>
  <c r="G1244" i="32" s="1"/>
  <c r="E1084" i="32"/>
  <c r="G1084" i="32" s="1"/>
  <c r="E1584" i="32"/>
  <c r="G1584" i="32" s="1"/>
  <c r="E1464" i="32"/>
  <c r="G1464" i="32" s="1"/>
  <c r="E1304" i="32"/>
  <c r="G1304" i="32" s="1"/>
  <c r="E1144" i="32"/>
  <c r="G1144" i="32" s="1"/>
  <c r="E984" i="32"/>
  <c r="G984" i="32" s="1"/>
  <c r="E1604" i="32"/>
  <c r="G1604" i="32" s="1"/>
  <c r="E1364" i="32"/>
  <c r="G1364" i="32" s="1"/>
  <c r="E1204" i="32"/>
  <c r="G1204" i="32" s="1"/>
  <c r="E1044" i="32"/>
  <c r="G1044" i="32" s="1"/>
  <c r="E884" i="32"/>
  <c r="G884" i="32" s="1"/>
  <c r="E724" i="32"/>
  <c r="G724" i="32" s="1"/>
  <c r="E564" i="32"/>
  <c r="G564" i="32" s="1"/>
  <c r="E1324" i="32"/>
  <c r="G1324" i="32" s="1"/>
  <c r="E1104" i="32"/>
  <c r="G1104" i="32" s="1"/>
  <c r="E924" i="32"/>
  <c r="G924" i="32" s="1"/>
  <c r="E784" i="32"/>
  <c r="G784" i="32" s="1"/>
  <c r="E644" i="32"/>
  <c r="G644" i="32" s="1"/>
  <c r="E504" i="32"/>
  <c r="G504" i="32" s="1"/>
  <c r="E824" i="32"/>
  <c r="G824" i="32" s="1"/>
  <c r="E844" i="32"/>
  <c r="G844" i="32" s="1"/>
  <c r="E404" i="32"/>
  <c r="G404" i="32" s="1"/>
  <c r="E964" i="32"/>
  <c r="G964" i="32" s="1"/>
  <c r="E684" i="32"/>
  <c r="G684" i="32" s="1"/>
  <c r="E1164" i="32"/>
  <c r="G1164" i="32" s="1"/>
  <c r="E604" i="32"/>
  <c r="G604" i="32" s="1"/>
  <c r="E464" i="32"/>
  <c r="G464" i="32" s="1"/>
  <c r="E1484" i="32"/>
  <c r="G1484" i="32" s="1"/>
  <c r="E1624" i="32"/>
  <c r="G1624" i="32" s="1"/>
  <c r="E1424" i="32"/>
  <c r="G1424" i="32" s="1"/>
  <c r="E1124" i="32"/>
  <c r="G1124" i="32" s="1"/>
  <c r="E944" i="32"/>
  <c r="G944" i="32" s="1"/>
  <c r="E804" i="32"/>
  <c r="G804" i="32" s="1"/>
  <c r="E664" i="32"/>
  <c r="G664" i="32" s="1"/>
  <c r="E524" i="32"/>
  <c r="G524" i="32" s="1"/>
  <c r="E1644" i="32"/>
  <c r="G1644" i="32" s="1"/>
  <c r="E424" i="32"/>
  <c r="G424" i="32" s="1"/>
  <c r="E1264" i="32"/>
  <c r="G1264" i="32" s="1"/>
  <c r="E1004" i="32"/>
  <c r="G1004" i="32" s="1"/>
  <c r="E764" i="32"/>
  <c r="G764" i="32" s="1"/>
  <c r="E624" i="32"/>
  <c r="G624" i="32" s="1"/>
  <c r="E484" i="32"/>
  <c r="G484" i="32" s="1"/>
  <c r="E384" i="32"/>
  <c r="G384" i="32" s="1"/>
  <c r="E444" i="32"/>
  <c r="G444" i="32" s="1"/>
  <c r="E2077" i="15"/>
  <c r="G2077" i="15" s="1"/>
  <c r="E2117" i="15"/>
  <c r="G2117" i="15" s="1"/>
  <c r="E2097" i="15"/>
  <c r="G2097" i="15" s="1"/>
  <c r="E2057" i="15"/>
  <c r="G2057" i="15" s="1"/>
  <c r="E160" i="32"/>
  <c r="G160" i="32" s="1"/>
  <c r="E344" i="32"/>
  <c r="G344" i="32" s="1"/>
  <c r="E645" i="15"/>
  <c r="G645" i="15" s="1"/>
  <c r="E2037" i="15"/>
  <c r="G2037" i="15" s="1"/>
  <c r="E1827" i="15"/>
  <c r="G1827" i="15" s="1"/>
  <c r="E2137" i="15"/>
  <c r="G2137" i="15" s="1"/>
  <c r="E945" i="15"/>
  <c r="G945" i="15" s="1"/>
  <c r="E825" i="15"/>
  <c r="G825" i="15" s="1"/>
  <c r="E1287" i="15"/>
  <c r="G1287" i="15" s="1"/>
  <c r="H1287" i="15" s="1"/>
  <c r="E365" i="15"/>
  <c r="G365" i="15" s="1"/>
  <c r="E1953" i="15"/>
  <c r="G1953" i="15" s="1"/>
  <c r="E364" i="32"/>
  <c r="G364" i="32" s="1"/>
  <c r="E665" i="15"/>
  <c r="G665" i="15" s="1"/>
  <c r="E1245" i="15"/>
  <c r="G1245" i="15" s="1"/>
  <c r="E1707" i="15"/>
  <c r="G1707" i="15" s="1"/>
  <c r="E1347" i="15"/>
  <c r="G1347" i="15" s="1"/>
  <c r="E1085" i="15"/>
  <c r="G1085" i="15" s="1"/>
  <c r="E805" i="15"/>
  <c r="G805" i="15" s="1"/>
  <c r="E505" i="15"/>
  <c r="G505" i="15" s="1"/>
  <c r="E445" i="15"/>
  <c r="G445" i="15" s="1"/>
  <c r="E605" i="15"/>
  <c r="G605" i="15" s="1"/>
  <c r="E45" i="15"/>
  <c r="G45" i="15" s="1"/>
  <c r="E385" i="15"/>
  <c r="G385" i="15" s="1"/>
  <c r="E1687" i="15"/>
  <c r="G1687" i="15" s="1"/>
  <c r="E685" i="15"/>
  <c r="G685" i="15" s="1"/>
  <c r="E1265" i="15"/>
  <c r="G1265" i="15" s="1"/>
  <c r="E1847" i="15"/>
  <c r="G1847" i="15" s="1"/>
  <c r="E1647" i="15"/>
  <c r="G1647" i="15" s="1"/>
  <c r="E1767" i="15"/>
  <c r="G1767" i="15" s="1"/>
  <c r="E1367" i="15"/>
  <c r="G1367" i="15" s="1"/>
  <c r="E1105" i="15"/>
  <c r="G1105" i="15" s="1"/>
  <c r="E965" i="15"/>
  <c r="G965" i="15" s="1"/>
  <c r="E885" i="15"/>
  <c r="G885" i="15" s="1"/>
  <c r="E485" i="15"/>
  <c r="G485" i="15" s="1"/>
  <c r="E2017" i="15"/>
  <c r="G2017" i="15" s="1"/>
  <c r="E1327" i="15"/>
  <c r="G1327" i="15" s="1"/>
  <c r="E1607" i="15"/>
  <c r="G1607" i="15" s="1"/>
  <c r="E182" i="32"/>
  <c r="G182" i="32" s="1"/>
  <c r="E405" i="15"/>
  <c r="G405" i="15" s="1"/>
  <c r="E465" i="15"/>
  <c r="G465" i="15" s="1"/>
  <c r="E762" i="8"/>
  <c r="G762" i="8" s="1"/>
  <c r="E325" i="15"/>
  <c r="G325" i="15" s="1"/>
  <c r="E345" i="15"/>
  <c r="G345" i="15" s="1"/>
  <c r="E785" i="15"/>
  <c r="G785" i="15" s="1"/>
  <c r="E1627" i="15"/>
  <c r="G1627" i="15" s="1"/>
  <c r="E1667" i="15"/>
  <c r="G1667" i="15" s="1"/>
  <c r="E1407" i="15"/>
  <c r="G1407" i="15" s="1"/>
  <c r="E1185" i="15"/>
  <c r="G1185" i="15" s="1"/>
  <c r="E1165" i="15"/>
  <c r="G1165" i="15" s="1"/>
  <c r="E1005" i="15"/>
  <c r="G1005" i="15" s="1"/>
  <c r="E1025" i="15"/>
  <c r="G1025" i="15" s="1"/>
  <c r="E765" i="15"/>
  <c r="G765" i="15" s="1"/>
  <c r="E1225" i="15"/>
  <c r="G1225" i="15" s="1"/>
  <c r="E20" i="15"/>
  <c r="G20" i="15" s="1"/>
  <c r="E585" i="15"/>
  <c r="G585" i="15" s="1"/>
  <c r="E745" i="15"/>
  <c r="G745" i="15" s="1"/>
  <c r="E1807" i="15"/>
  <c r="G1807" i="15" s="1"/>
  <c r="E1747" i="15"/>
  <c r="G1747" i="15" s="1"/>
  <c r="E1587" i="15"/>
  <c r="G1587" i="15" s="1"/>
  <c r="E1547" i="15"/>
  <c r="G1547" i="15" s="1"/>
  <c r="E1997" i="15"/>
  <c r="G1997" i="15" s="1"/>
  <c r="E1975" i="15"/>
  <c r="G1975" i="15" s="1"/>
  <c r="E1527" i="15"/>
  <c r="G1527" i="15" s="1"/>
  <c r="E1205" i="15"/>
  <c r="G1205" i="15" s="1"/>
  <c r="E1308" i="15"/>
  <c r="G1308" i="15" s="1"/>
  <c r="H1308" i="15" s="1"/>
  <c r="E565" i="15"/>
  <c r="G565" i="15" s="1"/>
  <c r="E425" i="15"/>
  <c r="G425" i="15" s="1"/>
  <c r="E1145" i="15"/>
  <c r="G1145" i="15" s="1"/>
  <c r="E285" i="15"/>
  <c r="G285" i="15" s="1"/>
  <c r="E1909" i="15"/>
  <c r="G1909" i="15" s="1"/>
  <c r="E845" i="15"/>
  <c r="G845" i="15" s="1"/>
  <c r="E284" i="32"/>
  <c r="G284" i="32" s="1"/>
  <c r="E705" i="15"/>
  <c r="G705" i="15" s="1"/>
  <c r="E1867" i="15"/>
  <c r="G1867" i="15" s="1"/>
  <c r="E1787" i="15"/>
  <c r="G1787" i="15" s="1"/>
  <c r="E1727" i="15"/>
  <c r="G1727" i="15" s="1"/>
  <c r="E1427" i="15"/>
  <c r="G1427" i="15" s="1"/>
  <c r="E1387" i="15"/>
  <c r="G1387" i="15" s="1"/>
  <c r="E985" i="15"/>
  <c r="G985" i="15" s="1"/>
  <c r="E905" i="15"/>
  <c r="G905" i="15" s="1"/>
  <c r="E1125" i="15"/>
  <c r="G1125" i="15" s="1"/>
  <c r="E305" i="15"/>
  <c r="G305" i="15" s="1"/>
  <c r="E264" i="32"/>
  <c r="G264" i="32" s="1"/>
  <c r="E1065" i="15"/>
  <c r="G1065" i="15" s="1"/>
  <c r="E304" i="32"/>
  <c r="G304" i="32" s="1"/>
  <c r="E725" i="15"/>
  <c r="G725" i="15" s="1"/>
  <c r="E1887" i="15"/>
  <c r="G1887" i="15" s="1"/>
  <c r="E1507" i="15"/>
  <c r="G1507" i="15" s="1"/>
  <c r="E1487" i="15"/>
  <c r="G1487" i="15" s="1"/>
  <c r="E1467" i="15"/>
  <c r="G1467" i="15" s="1"/>
  <c r="E1447" i="15"/>
  <c r="G1447" i="15" s="1"/>
  <c r="E545" i="15"/>
  <c r="G545" i="15" s="1"/>
  <c r="E324" i="32"/>
  <c r="G324" i="32" s="1"/>
  <c r="E625" i="15"/>
  <c r="G625" i="15" s="1"/>
  <c r="E1931" i="15"/>
  <c r="G1931" i="15" s="1"/>
  <c r="E1567" i="15"/>
  <c r="G1567" i="15" s="1"/>
  <c r="E1045" i="15"/>
  <c r="G1045" i="15" s="1"/>
  <c r="E925" i="15"/>
  <c r="G925" i="15" s="1"/>
  <c r="E865" i="15"/>
  <c r="G865" i="15" s="1"/>
  <c r="E525" i="15"/>
  <c r="G525" i="15" s="1"/>
  <c r="G619" i="30"/>
  <c r="H620" i="30"/>
  <c r="H1644" i="21"/>
  <c r="G1643" i="21"/>
  <c r="G576" i="8"/>
  <c r="H577" i="8"/>
  <c r="G781" i="8"/>
  <c r="H782" i="8"/>
  <c r="G2427" i="8"/>
  <c r="H2428" i="8"/>
  <c r="H2108" i="8"/>
  <c r="G2107" i="8"/>
  <c r="G1281" i="8"/>
  <c r="H1282" i="8"/>
  <c r="G1821" i="8"/>
  <c r="H1822" i="8"/>
  <c r="G1179" i="33"/>
  <c r="H1180" i="33"/>
  <c r="G239" i="21"/>
  <c r="H240" i="21"/>
  <c r="G223" i="13"/>
  <c r="H224" i="13"/>
  <c r="H2253" i="16"/>
  <c r="G2252" i="16"/>
  <c r="H700" i="21"/>
  <c r="G699" i="21"/>
  <c r="E1015" i="24"/>
  <c r="G1015" i="24" s="1"/>
  <c r="E828" i="24"/>
  <c r="G828" i="24" s="1"/>
  <c r="E280" i="24"/>
  <c r="G280" i="24" s="1"/>
  <c r="E1116" i="24"/>
  <c r="G1116" i="24" s="1"/>
  <c r="E850" i="24"/>
  <c r="G850" i="24" s="1"/>
  <c r="E320" i="24"/>
  <c r="G320" i="24" s="1"/>
  <c r="E1257" i="24"/>
  <c r="G1257" i="24" s="1"/>
  <c r="E1318" i="24"/>
  <c r="G1318" i="24" s="1"/>
  <c r="E1158" i="24"/>
  <c r="G1158" i="24" s="1"/>
  <c r="E641" i="24"/>
  <c r="G641" i="24" s="1"/>
  <c r="E1035" i="24"/>
  <c r="G1035" i="24" s="1"/>
  <c r="E804" i="24"/>
  <c r="G804" i="24" s="1"/>
  <c r="E481" i="24"/>
  <c r="G481" i="24" s="1"/>
  <c r="E100" i="24"/>
  <c r="G100" i="24" s="1"/>
  <c r="E40" i="24"/>
  <c r="G40" i="24" s="1"/>
  <c r="E1277" i="24"/>
  <c r="G1277" i="24" s="1"/>
  <c r="E340" i="24"/>
  <c r="G340" i="24" s="1"/>
  <c r="E80" i="24"/>
  <c r="G80" i="24" s="1"/>
  <c r="E1297" i="24"/>
  <c r="G1297" i="24" s="1"/>
  <c r="E1853" i="26"/>
  <c r="G1853" i="26" s="1"/>
  <c r="E935" i="24"/>
  <c r="G935" i="24" s="1"/>
  <c r="E995" i="24"/>
  <c r="G995" i="24" s="1"/>
  <c r="E871" i="24"/>
  <c r="G871" i="24" s="1"/>
  <c r="E1667" i="24"/>
  <c r="G1667" i="24" s="1"/>
  <c r="E740" i="21"/>
  <c r="G740" i="21" s="1"/>
  <c r="E3093" i="26"/>
  <c r="G3093" i="26" s="1"/>
  <c r="E760" i="21"/>
  <c r="G760" i="21" s="1"/>
  <c r="E1627" i="24"/>
  <c r="G1627" i="24" s="1"/>
  <c r="E1647" i="24"/>
  <c r="G1647" i="24" s="1"/>
  <c r="E2494" i="16"/>
  <c r="G2494" i="16" s="1"/>
  <c r="E1100" i="11"/>
  <c r="G1100" i="11" s="1"/>
  <c r="E1340" i="11"/>
  <c r="G1340" i="11" s="1"/>
  <c r="E1240" i="11"/>
  <c r="G1240" i="11" s="1"/>
  <c r="H660" i="33"/>
  <c r="G659" i="33"/>
  <c r="H297" i="8"/>
  <c r="G296" i="8"/>
  <c r="H557" i="8"/>
  <c r="G556" i="8"/>
  <c r="E551" i="8" s="1"/>
  <c r="G551" i="8" s="1"/>
  <c r="H551" i="8" s="1"/>
  <c r="H1022" i="8"/>
  <c r="G1021" i="8"/>
  <c r="H1322" i="8"/>
  <c r="G1321" i="8"/>
  <c r="H1142" i="8"/>
  <c r="G1141" i="8"/>
  <c r="H1462" i="8"/>
  <c r="G1461" i="8"/>
  <c r="G1079" i="33"/>
  <c r="H1080" i="33"/>
  <c r="G183" i="13"/>
  <c r="H184" i="13"/>
  <c r="G219" i="21"/>
  <c r="H220" i="21"/>
  <c r="G779" i="21"/>
  <c r="H780" i="21"/>
  <c r="G19" i="24"/>
  <c r="H20" i="24"/>
  <c r="G599" i="30"/>
  <c r="H600" i="30"/>
  <c r="G939" i="33"/>
  <c r="H940" i="33"/>
  <c r="G1471" i="26"/>
  <c r="H1472" i="26"/>
  <c r="H657" i="8"/>
  <c r="G656" i="8"/>
  <c r="G1119" i="33"/>
  <c r="H1120" i="33"/>
  <c r="G1101" i="8"/>
  <c r="H1102" i="8"/>
  <c r="G1041" i="8"/>
  <c r="H1042" i="8"/>
  <c r="H1302" i="8"/>
  <c r="G1301" i="8"/>
  <c r="G1139" i="33"/>
  <c r="H1140" i="33"/>
  <c r="G396" i="8"/>
  <c r="H397" i="8"/>
  <c r="G203" i="13"/>
  <c r="H204" i="13"/>
  <c r="H640" i="21"/>
  <c r="G639" i="21"/>
  <c r="G159" i="24"/>
  <c r="H160" i="24"/>
  <c r="G19" i="13"/>
  <c r="H20" i="13"/>
  <c r="H537" i="8"/>
  <c r="G536" i="8"/>
  <c r="E531" i="8" s="1"/>
  <c r="G531" i="8" s="1"/>
  <c r="H531" i="8" s="1"/>
  <c r="E1713" i="26"/>
  <c r="G1713" i="26" s="1"/>
  <c r="E1673" i="26"/>
  <c r="G1673" i="26" s="1"/>
  <c r="E1733" i="26"/>
  <c r="G1733" i="26" s="1"/>
  <c r="E900" i="33"/>
  <c r="G900" i="33" s="1"/>
  <c r="E740" i="33"/>
  <c r="G740" i="33" s="1"/>
  <c r="E1693" i="26"/>
  <c r="G1693" i="26" s="1"/>
  <c r="E1653" i="26"/>
  <c r="G1653" i="26" s="1"/>
  <c r="E1813" i="26"/>
  <c r="G1813" i="26" s="1"/>
  <c r="E1753" i="26"/>
  <c r="G1753" i="26" s="1"/>
  <c r="E2609" i="8"/>
  <c r="G2609" i="8" s="1"/>
  <c r="E2689" i="8"/>
  <c r="G2689" i="8" s="1"/>
  <c r="E2829" i="8"/>
  <c r="G2829" i="8" s="1"/>
  <c r="E1922" i="8"/>
  <c r="G1922" i="8" s="1"/>
  <c r="E2589" i="8"/>
  <c r="G2589" i="8" s="1"/>
  <c r="E2729" i="8"/>
  <c r="G2729" i="8" s="1"/>
  <c r="E2569" i="8"/>
  <c r="G2569" i="8" s="1"/>
  <c r="E2669" i="8"/>
  <c r="G2669" i="8" s="1"/>
  <c r="E2769" i="8"/>
  <c r="G2769" i="8" s="1"/>
  <c r="E2809" i="8"/>
  <c r="G2809" i="8" s="1"/>
  <c r="E942" i="8"/>
  <c r="G942" i="8" s="1"/>
  <c r="E1702" i="8"/>
  <c r="G1702" i="8" s="1"/>
  <c r="E2243" i="11"/>
  <c r="G2243" i="11" s="1"/>
  <c r="E1902" i="8"/>
  <c r="G1902" i="8" s="1"/>
  <c r="E2649" i="8"/>
  <c r="G2649" i="8" s="1"/>
  <c r="E300" i="11"/>
  <c r="G300" i="11" s="1"/>
  <c r="E962" i="8"/>
  <c r="G962" i="8" s="1"/>
  <c r="E1662" i="8"/>
  <c r="G1662" i="8" s="1"/>
  <c r="E2263" i="11"/>
  <c r="G2263" i="11" s="1"/>
  <c r="E2629" i="8"/>
  <c r="G2629" i="8" s="1"/>
  <c r="E2749" i="8"/>
  <c r="G2749" i="8" s="1"/>
  <c r="E2529" i="8"/>
  <c r="G2529" i="8" s="1"/>
  <c r="E2789" i="8"/>
  <c r="G2789" i="8" s="1"/>
  <c r="E458" i="26"/>
  <c r="G458" i="26" s="1"/>
  <c r="E1180" i="30"/>
  <c r="G1180" i="30" s="1"/>
  <c r="E1200" i="30"/>
  <c r="G1200" i="30" s="1"/>
  <c r="E538" i="26"/>
  <c r="G538" i="26" s="1"/>
  <c r="E1220" i="30"/>
  <c r="G1220" i="30" s="1"/>
  <c r="E1100" i="30"/>
  <c r="G1100" i="30" s="1"/>
  <c r="E417" i="26"/>
  <c r="G417" i="26" s="1"/>
  <c r="E478" i="26"/>
  <c r="G478" i="26" s="1"/>
  <c r="E1160" i="30"/>
  <c r="G1160" i="30" s="1"/>
  <c r="E1120" i="30"/>
  <c r="G1120" i="30" s="1"/>
  <c r="E518" i="26"/>
  <c r="G518" i="26" s="1"/>
  <c r="E498" i="26"/>
  <c r="G498" i="26" s="1"/>
  <c r="E1552" i="26"/>
  <c r="G1552" i="26" s="1"/>
  <c r="E1240" i="30"/>
  <c r="G1240" i="30" s="1"/>
  <c r="E160" i="30"/>
  <c r="G160" i="30" s="1"/>
  <c r="E1260" i="30"/>
  <c r="G1260" i="30" s="1"/>
  <c r="E240" i="30"/>
  <c r="G240" i="30" s="1"/>
  <c r="E438" i="26"/>
  <c r="G438" i="26" s="1"/>
  <c r="E1140" i="30"/>
  <c r="G1140" i="30" s="1"/>
  <c r="E1182" i="8"/>
  <c r="G1182" i="8" s="1"/>
  <c r="E1242" i="8"/>
  <c r="G1242" i="8" s="1"/>
  <c r="E1202" i="8"/>
  <c r="G1202" i="8" s="1"/>
  <c r="E1262" i="8"/>
  <c r="G1262" i="8" s="1"/>
  <c r="E922" i="8"/>
  <c r="G922" i="8" s="1"/>
  <c r="E437" i="8"/>
  <c r="G437" i="8" s="1"/>
  <c r="H437" i="8" s="1"/>
  <c r="E417" i="8"/>
  <c r="G417" i="8" s="1"/>
  <c r="H1722" i="8"/>
  <c r="G1721" i="8"/>
  <c r="H2448" i="8"/>
  <c r="G2447" i="8"/>
  <c r="G1001" i="8"/>
  <c r="H1002" i="8"/>
  <c r="G1221" i="8"/>
  <c r="H1222" i="8"/>
  <c r="G1099" i="33"/>
  <c r="H1100" i="33"/>
  <c r="G419" i="30"/>
  <c r="H420" i="30"/>
  <c r="G1501" i="8"/>
  <c r="H1502" i="8"/>
  <c r="G1047" i="21"/>
  <c r="H1048" i="21"/>
  <c r="G243" i="32"/>
  <c r="H244" i="32"/>
  <c r="G718" i="26"/>
  <c r="H719" i="26"/>
  <c r="G79" i="8"/>
  <c r="H80" i="8"/>
  <c r="E1840" i="30"/>
  <c r="G1840" i="30" s="1"/>
  <c r="E2133" i="16"/>
  <c r="G2133" i="16" s="1"/>
  <c r="E1020" i="33"/>
  <c r="G1020" i="33" s="1"/>
  <c r="E759" i="26"/>
  <c r="G759" i="26" s="1"/>
  <c r="E377" i="8"/>
  <c r="G377" i="8" s="1"/>
  <c r="E799" i="26"/>
  <c r="G799" i="26" s="1"/>
  <c r="E438" i="8"/>
  <c r="G438" i="8" s="1"/>
  <c r="E357" i="8"/>
  <c r="G357" i="8" s="1"/>
  <c r="E779" i="26"/>
  <c r="G779" i="26" s="1"/>
  <c r="G476" i="8"/>
  <c r="H477" i="8"/>
  <c r="G1421" i="8"/>
  <c r="H1422" i="8"/>
  <c r="G2267" i="8"/>
  <c r="H2268" i="8"/>
  <c r="H1522" i="8"/>
  <c r="G1521" i="8"/>
  <c r="H1122" i="8"/>
  <c r="G1121" i="8"/>
  <c r="H1993" i="26"/>
  <c r="G1992" i="26"/>
  <c r="H160" i="21"/>
  <c r="G159" i="21"/>
  <c r="G1601" i="8"/>
  <c r="H1602" i="8"/>
  <c r="H140" i="24"/>
  <c r="G139" i="24"/>
  <c r="H1682" i="8"/>
  <c r="G1681" i="8"/>
  <c r="G738" i="26"/>
  <c r="H739" i="26"/>
  <c r="E2133" i="26"/>
  <c r="G2133" i="26" s="1"/>
  <c r="E800" i="33"/>
  <c r="G800" i="33" s="1"/>
  <c r="E2731" i="26"/>
  <c r="G2731" i="26" s="1"/>
  <c r="E2193" i="26"/>
  <c r="G2193" i="26" s="1"/>
  <c r="E1458" i="24"/>
  <c r="G1458" i="24" s="1"/>
  <c r="E280" i="33"/>
  <c r="G280" i="33" s="1"/>
  <c r="E540" i="33"/>
  <c r="G540" i="33" s="1"/>
  <c r="E2153" i="26"/>
  <c r="G2153" i="26" s="1"/>
  <c r="E720" i="33"/>
  <c r="G720" i="33" s="1"/>
  <c r="E560" i="33"/>
  <c r="G560" i="33" s="1"/>
  <c r="E580" i="33"/>
  <c r="G580" i="33" s="1"/>
  <c r="E820" i="33"/>
  <c r="G820" i="33" s="1"/>
  <c r="E2871" i="26"/>
  <c r="G2871" i="26" s="1"/>
  <c r="E2173" i="26"/>
  <c r="G2173" i="26" s="1"/>
  <c r="E680" i="33"/>
  <c r="G680" i="33" s="1"/>
  <c r="E700" i="33"/>
  <c r="G700" i="33" s="1"/>
  <c r="E780" i="33"/>
  <c r="G780" i="33" s="1"/>
  <c r="E1408" i="24"/>
  <c r="G1408" i="24" s="1"/>
  <c r="E1432" i="24"/>
  <c r="G1432" i="24" s="1"/>
  <c r="E1547" i="24"/>
  <c r="G1547" i="24" s="1"/>
  <c r="E300" i="33"/>
  <c r="G300" i="33" s="1"/>
  <c r="E2333" i="16"/>
  <c r="G2333" i="16" s="1"/>
  <c r="E1211" i="16"/>
  <c r="G1211" i="16" s="1"/>
  <c r="E1271" i="16"/>
  <c r="G1271" i="16" s="1"/>
  <c r="E500" i="33"/>
  <c r="G500" i="33" s="1"/>
  <c r="E1382" i="24"/>
  <c r="G1382" i="24" s="1"/>
  <c r="E1522" i="24"/>
  <c r="G1522" i="24" s="1"/>
  <c r="E2393" i="16"/>
  <c r="G2393" i="16" s="1"/>
  <c r="E1231" i="16"/>
  <c r="G1231" i="16" s="1"/>
  <c r="E1291" i="16"/>
  <c r="G1291" i="16" s="1"/>
  <c r="E760" i="33"/>
  <c r="G760" i="33" s="1"/>
  <c r="E2053" i="26"/>
  <c r="G2053" i="26" s="1"/>
  <c r="E1500" i="24"/>
  <c r="G1500" i="24" s="1"/>
  <c r="E360" i="11"/>
  <c r="G360" i="11" s="1"/>
  <c r="E540" i="11"/>
  <c r="G540" i="11" s="1"/>
  <c r="E680" i="11"/>
  <c r="G680" i="11" s="1"/>
  <c r="E1251" i="16"/>
  <c r="G1251" i="16" s="1"/>
  <c r="E400" i="11"/>
  <c r="G400" i="11" s="1"/>
  <c r="E440" i="11"/>
  <c r="G440" i="11" s="1"/>
  <c r="E580" i="11"/>
  <c r="G580" i="11" s="1"/>
  <c r="E700" i="11"/>
  <c r="G700" i="11" s="1"/>
  <c r="E740" i="11"/>
  <c r="G740" i="11" s="1"/>
  <c r="E800" i="11"/>
  <c r="G800" i="11" s="1"/>
  <c r="E320" i="11"/>
  <c r="G320" i="11" s="1"/>
  <c r="E480" i="11"/>
  <c r="G480" i="11" s="1"/>
  <c r="E600" i="11"/>
  <c r="G600" i="11" s="1"/>
  <c r="E1191" i="16"/>
  <c r="G1191" i="16" s="1"/>
  <c r="E340" i="11"/>
  <c r="G340" i="11" s="1"/>
  <c r="E380" i="11"/>
  <c r="G380" i="11" s="1"/>
  <c r="E520" i="11"/>
  <c r="G520" i="11" s="1"/>
  <c r="E620" i="11"/>
  <c r="G620" i="11" s="1"/>
  <c r="E660" i="11"/>
  <c r="G660" i="11" s="1"/>
  <c r="E720" i="11"/>
  <c r="G720" i="11" s="1"/>
  <c r="E420" i="11"/>
  <c r="G420" i="11" s="1"/>
  <c r="E460" i="11"/>
  <c r="G460" i="11" s="1"/>
  <c r="E760" i="11"/>
  <c r="G760" i="11" s="1"/>
  <c r="E820" i="11"/>
  <c r="G820" i="11" s="1"/>
  <c r="E640" i="11"/>
  <c r="G640" i="11" s="1"/>
  <c r="E500" i="11"/>
  <c r="G500" i="11" s="1"/>
  <c r="E780" i="11"/>
  <c r="G780" i="11" s="1"/>
  <c r="E1782" i="8"/>
  <c r="G1782" i="8" s="1"/>
  <c r="E560" i="11"/>
  <c r="G560" i="11" s="1"/>
  <c r="E1802" i="8"/>
  <c r="G1802" i="8" s="1"/>
  <c r="E205" i="15"/>
  <c r="G205" i="15" s="1"/>
  <c r="E105" i="15"/>
  <c r="G105" i="15" s="1"/>
  <c r="E225" i="15"/>
  <c r="G225" i="15" s="1"/>
  <c r="E265" i="15"/>
  <c r="G265" i="15" s="1"/>
  <c r="E245" i="15"/>
  <c r="G245" i="15" s="1"/>
  <c r="E85" i="15"/>
  <c r="G85" i="15" s="1"/>
  <c r="E165" i="15"/>
  <c r="G165" i="15" s="1"/>
  <c r="E1342" i="8"/>
  <c r="G1342" i="8" s="1"/>
  <c r="E125" i="15"/>
  <c r="G125" i="15" s="1"/>
  <c r="E145" i="15"/>
  <c r="G145" i="15" s="1"/>
  <c r="E1742" i="8"/>
  <c r="G1742" i="8" s="1"/>
  <c r="E185" i="15"/>
  <c r="G185" i="15" s="1"/>
  <c r="E65" i="15"/>
  <c r="G65" i="15" s="1"/>
  <c r="E1237" i="24"/>
  <c r="G1237" i="24" s="1"/>
  <c r="E217" i="8"/>
  <c r="G217" i="8" s="1"/>
  <c r="E157" i="8"/>
  <c r="G157" i="8" s="1"/>
  <c r="E364" i="13"/>
  <c r="G364" i="13" s="1"/>
  <c r="E638" i="26"/>
  <c r="G638" i="26" s="1"/>
  <c r="E1279" i="26"/>
  <c r="G1279" i="26" s="1"/>
  <c r="E618" i="26"/>
  <c r="G618" i="26" s="1"/>
  <c r="E660" i="30"/>
  <c r="G660" i="30" s="1"/>
  <c r="E540" i="30"/>
  <c r="G540" i="30" s="1"/>
  <c r="E776" i="13"/>
  <c r="G776" i="13" s="1"/>
  <c r="E384" i="13"/>
  <c r="G384" i="13" s="1"/>
  <c r="E197" i="8"/>
  <c r="G197" i="8" s="1"/>
  <c r="E257" i="8"/>
  <c r="G257" i="8" s="1"/>
  <c r="E796" i="13"/>
  <c r="G796" i="13" s="1"/>
  <c r="E696" i="13"/>
  <c r="G696" i="13" s="1"/>
  <c r="E678" i="26"/>
  <c r="G678" i="26" s="1"/>
  <c r="E598" i="26"/>
  <c r="G598" i="26" s="1"/>
  <c r="E1079" i="26"/>
  <c r="G1079" i="26" s="1"/>
  <c r="E700" i="30"/>
  <c r="G700" i="30" s="1"/>
  <c r="E920" i="30"/>
  <c r="G920" i="30" s="1"/>
  <c r="E1409" i="26"/>
  <c r="G1409" i="26" s="1"/>
  <c r="E1059" i="26"/>
  <c r="G1059" i="26" s="1"/>
  <c r="E320" i="30"/>
  <c r="G320" i="30" s="1"/>
  <c r="E677" i="8"/>
  <c r="G677" i="8" s="1"/>
  <c r="E697" i="8"/>
  <c r="G697" i="8" s="1"/>
  <c r="E220" i="11"/>
  <c r="G220" i="11" s="1"/>
  <c r="E999" i="26"/>
  <c r="G999" i="26" s="1"/>
  <c r="E658" i="26"/>
  <c r="G658" i="26" s="1"/>
  <c r="E1387" i="26"/>
  <c r="G1387" i="26" s="1"/>
  <c r="E980" i="30"/>
  <c r="G980" i="30" s="1"/>
  <c r="E960" i="30"/>
  <c r="G960" i="30" s="1"/>
  <c r="E979" i="26"/>
  <c r="G979" i="26" s="1"/>
  <c r="E1573" i="26"/>
  <c r="G1573" i="26" s="1"/>
  <c r="E1019" i="26"/>
  <c r="G1019" i="26" s="1"/>
  <c r="E1429" i="26"/>
  <c r="G1429" i="26" s="1"/>
  <c r="E404" i="13"/>
  <c r="G404" i="13" s="1"/>
  <c r="E277" i="8"/>
  <c r="G277" i="8" s="1"/>
  <c r="E200" i="6"/>
  <c r="G200" i="6" s="1"/>
  <c r="E816" i="13"/>
  <c r="G816" i="13" s="1"/>
  <c r="E716" i="13"/>
  <c r="G716" i="13" s="1"/>
  <c r="E939" i="26"/>
  <c r="G939" i="26" s="1"/>
  <c r="E819" i="26"/>
  <c r="G819" i="26" s="1"/>
  <c r="E699" i="26"/>
  <c r="G699" i="26" s="1"/>
  <c r="E280" i="30"/>
  <c r="G280" i="30" s="1"/>
  <c r="E40" i="30"/>
  <c r="G40" i="30" s="1"/>
  <c r="E1099" i="26"/>
  <c r="G1099" i="26" s="1"/>
  <c r="E444" i="13"/>
  <c r="G444" i="13" s="1"/>
  <c r="E560" i="30"/>
  <c r="G560" i="30" s="1"/>
  <c r="E177" i="8"/>
  <c r="G177" i="8" s="1"/>
  <c r="E680" i="30"/>
  <c r="G680" i="30" s="1"/>
  <c r="E1217" i="24"/>
  <c r="G1217" i="24" s="1"/>
  <c r="E756" i="13"/>
  <c r="G756" i="13" s="1"/>
  <c r="E220" i="6"/>
  <c r="G220" i="6" s="1"/>
  <c r="E109" i="8"/>
  <c r="G109" i="8" s="1"/>
  <c r="E736" i="13"/>
  <c r="G736" i="13" s="1"/>
  <c r="E1039" i="26"/>
  <c r="G1039" i="26" s="1"/>
  <c r="E959" i="26"/>
  <c r="G959" i="26" s="1"/>
  <c r="E1299" i="26"/>
  <c r="G1299" i="26" s="1"/>
  <c r="E940" i="30"/>
  <c r="G940" i="30" s="1"/>
  <c r="E60" i="30"/>
  <c r="G60" i="30" s="1"/>
  <c r="E1016" i="13"/>
  <c r="G1016" i="13" s="1"/>
  <c r="E640" i="30"/>
  <c r="G640" i="30" s="1"/>
  <c r="E1000" i="30"/>
  <c r="G1000" i="30" s="1"/>
  <c r="E60" i="8"/>
  <c r="G60" i="8" s="1"/>
  <c r="E1365" i="26"/>
  <c r="G1365" i="26" s="1"/>
  <c r="E424" i="13"/>
  <c r="G424" i="13" s="1"/>
  <c r="E137" i="8"/>
  <c r="G137" i="8" s="1"/>
  <c r="E300" i="30"/>
  <c r="G300" i="30" s="1"/>
  <c r="E996" i="13"/>
  <c r="G996" i="13" s="1"/>
  <c r="E20" i="30"/>
  <c r="G20" i="30" s="1"/>
  <c r="E2188" i="8"/>
  <c r="G2188" i="8" s="1"/>
  <c r="E2248" i="8"/>
  <c r="G2248" i="8" s="1"/>
  <c r="E2288" i="8"/>
  <c r="G2288" i="8" s="1"/>
  <c r="E2128" i="8"/>
  <c r="G2128" i="8" s="1"/>
  <c r="E2168" i="8"/>
  <c r="G2168" i="8" s="1"/>
  <c r="E2228" i="8"/>
  <c r="G2228" i="8" s="1"/>
  <c r="E2328" i="8"/>
  <c r="G2328" i="8" s="1"/>
  <c r="E2368" i="8"/>
  <c r="G2368" i="8" s="1"/>
  <c r="E1482" i="8"/>
  <c r="G1482" i="8" s="1"/>
  <c r="E2388" i="8"/>
  <c r="G2388" i="8" s="1"/>
  <c r="E2208" i="8"/>
  <c r="G2208" i="8" s="1"/>
  <c r="E2308" i="8"/>
  <c r="G2308" i="8" s="1"/>
  <c r="E2148" i="8"/>
  <c r="G2148" i="8" s="1"/>
  <c r="E2348" i="8"/>
  <c r="G2348" i="8" s="1"/>
  <c r="E180" i="6"/>
  <c r="G180" i="6" s="1"/>
  <c r="G179" i="6" s="1"/>
  <c r="E173" i="6" s="1"/>
  <c r="G173" i="6" s="1"/>
  <c r="G172" i="6" s="1"/>
  <c r="G164" i="6" s="1"/>
  <c r="E1512" i="24" s="1"/>
  <c r="G1512" i="24" s="1"/>
  <c r="E140" i="6"/>
  <c r="G140" i="6" s="1"/>
  <c r="G139" i="6" s="1"/>
  <c r="E133" i="6" s="1"/>
  <c r="G133" i="6" s="1"/>
  <c r="G132" i="6" s="1"/>
  <c r="G124" i="6" s="1"/>
  <c r="E2160" i="16" s="1"/>
  <c r="G2160" i="16" s="1"/>
  <c r="H2160" i="16" s="1"/>
  <c r="E160" i="6"/>
  <c r="G160" i="6" s="1"/>
  <c r="G159" i="6" s="1"/>
  <c r="E153" i="6" s="1"/>
  <c r="G153" i="6" s="1"/>
  <c r="G152" i="6" s="1"/>
  <c r="G144" i="6" s="1"/>
  <c r="E1028" i="33" s="1"/>
  <c r="G1028" i="33" s="1"/>
  <c r="G1026" i="33" s="1"/>
  <c r="E2811" i="26"/>
  <c r="G2811" i="26" s="1"/>
  <c r="E2565" i="26"/>
  <c r="G2565" i="26" s="1"/>
  <c r="E2609" i="26"/>
  <c r="G2609" i="26" s="1"/>
  <c r="E1773" i="26"/>
  <c r="G1773" i="26" s="1"/>
  <c r="E620" i="33"/>
  <c r="G620" i="33" s="1"/>
  <c r="E2771" i="26"/>
  <c r="G2771" i="26" s="1"/>
  <c r="E2911" i="26"/>
  <c r="G2911" i="26" s="1"/>
  <c r="E2971" i="26"/>
  <c r="G2971" i="26" s="1"/>
  <c r="E2013" i="26"/>
  <c r="G2013" i="26" s="1"/>
  <c r="E2279" i="26"/>
  <c r="G2279" i="26" s="1"/>
  <c r="E2367" i="26"/>
  <c r="G2367" i="26" s="1"/>
  <c r="E2411" i="26"/>
  <c r="G2411" i="26" s="1"/>
  <c r="E1833" i="26"/>
  <c r="G1833" i="26" s="1"/>
  <c r="E1260" i="33"/>
  <c r="G1260" i="33" s="1"/>
  <c r="E2851" i="26"/>
  <c r="G2851" i="26" s="1"/>
  <c r="E3052" i="26"/>
  <c r="G3052" i="26" s="1"/>
  <c r="E2323" i="26"/>
  <c r="G2323" i="26" s="1"/>
  <c r="E2455" i="26"/>
  <c r="G2455" i="26" s="1"/>
  <c r="E2499" i="26"/>
  <c r="G2499" i="26" s="1"/>
  <c r="E2831" i="26"/>
  <c r="G2831" i="26" s="1"/>
  <c r="E2931" i="26"/>
  <c r="G2931" i="26" s="1"/>
  <c r="E2257" i="26"/>
  <c r="G2257" i="26" s="1"/>
  <c r="E2543" i="26"/>
  <c r="G2543" i="26" s="1"/>
  <c r="E1793" i="26"/>
  <c r="G1793" i="26" s="1"/>
  <c r="E2751" i="26"/>
  <c r="G2751" i="26" s="1"/>
  <c r="E3113" i="26"/>
  <c r="G3113" i="26" s="1"/>
  <c r="E2301" i="26"/>
  <c r="G2301" i="26" s="1"/>
  <c r="E2345" i="26"/>
  <c r="G2345" i="26" s="1"/>
  <c r="E2631" i="26"/>
  <c r="G2631" i="26" s="1"/>
  <c r="E600" i="33"/>
  <c r="G600" i="33" s="1"/>
  <c r="E3011" i="26"/>
  <c r="G3011" i="26" s="1"/>
  <c r="E3031" i="26"/>
  <c r="G3031" i="26" s="1"/>
  <c r="E3073" i="26"/>
  <c r="G3073" i="26" s="1"/>
  <c r="E2521" i="26"/>
  <c r="G2521" i="26" s="1"/>
  <c r="E2389" i="26"/>
  <c r="G2389" i="26" s="1"/>
  <c r="E2433" i="26"/>
  <c r="G2433" i="26" s="1"/>
  <c r="E2587" i="26"/>
  <c r="G2587" i="26" s="1"/>
  <c r="E2791" i="26"/>
  <c r="G2791" i="26" s="1"/>
  <c r="E2951" i="26"/>
  <c r="G2951" i="26" s="1"/>
  <c r="E2991" i="26"/>
  <c r="G2991" i="26" s="1"/>
  <c r="E2477" i="26"/>
  <c r="G2477" i="26" s="1"/>
  <c r="E2651" i="26"/>
  <c r="G2651" i="26" s="1"/>
  <c r="E1380" i="11"/>
  <c r="G1380" i="11" s="1"/>
  <c r="E1564" i="11"/>
  <c r="G1564" i="11" s="1"/>
  <c r="E1585" i="11"/>
  <c r="G1585" i="11" s="1"/>
  <c r="E1784" i="11"/>
  <c r="G1784" i="11" s="1"/>
  <c r="E1807" i="11"/>
  <c r="G1807" i="11" s="1"/>
  <c r="E880" i="11"/>
  <c r="G880" i="11" s="1"/>
  <c r="E1420" i="11"/>
  <c r="G1420" i="11" s="1"/>
  <c r="E1543" i="11"/>
  <c r="G1543" i="11" s="1"/>
  <c r="E1761" i="11"/>
  <c r="G1761" i="11" s="1"/>
  <c r="E1899" i="11"/>
  <c r="G1899" i="11" s="1"/>
  <c r="E1460" i="11"/>
  <c r="G1460" i="11" s="1"/>
  <c r="E1646" i="11"/>
  <c r="G1646" i="11" s="1"/>
  <c r="E2111" i="11"/>
  <c r="G2111" i="11" s="1"/>
  <c r="E860" i="11"/>
  <c r="G860" i="11" s="1"/>
  <c r="E1360" i="11"/>
  <c r="G1360" i="11" s="1"/>
  <c r="E1501" i="11"/>
  <c r="G1501" i="11" s="1"/>
  <c r="E1606" i="11"/>
  <c r="G1606" i="11" s="1"/>
  <c r="E1738" i="11"/>
  <c r="G1738" i="11" s="1"/>
  <c r="E1853" i="11"/>
  <c r="G1853" i="11" s="1"/>
  <c r="E1876" i="11"/>
  <c r="G1876" i="11" s="1"/>
  <c r="E1400" i="11"/>
  <c r="G1400" i="11" s="1"/>
  <c r="E1830" i="11"/>
  <c r="G1830" i="11" s="1"/>
  <c r="E2031" i="11"/>
  <c r="G2031" i="11" s="1"/>
  <c r="E840" i="11"/>
  <c r="G840" i="11" s="1"/>
  <c r="E1440" i="11"/>
  <c r="G1440" i="11" s="1"/>
  <c r="E1522" i="11"/>
  <c r="G1522" i="11" s="1"/>
  <c r="E1715" i="11"/>
  <c r="G1715" i="11" s="1"/>
  <c r="E1968" i="11"/>
  <c r="G1968" i="11" s="1"/>
  <c r="E2091" i="11"/>
  <c r="G2091" i="11" s="1"/>
  <c r="E2011" i="11"/>
  <c r="G2011" i="11" s="1"/>
  <c r="E2610" i="11"/>
  <c r="G2610" i="11" s="1"/>
  <c r="E1480" i="11"/>
  <c r="G1480" i="11" s="1"/>
  <c r="E1692" i="11"/>
  <c r="G1692" i="11" s="1"/>
  <c r="E2154" i="11"/>
  <c r="G2154" i="11" s="1"/>
  <c r="E2223" i="11"/>
  <c r="G2223" i="11" s="1"/>
  <c r="E2346" i="11"/>
  <c r="G2346" i="11" s="1"/>
  <c r="E2415" i="11"/>
  <c r="G2415" i="11" s="1"/>
  <c r="E2507" i="11"/>
  <c r="G2507" i="11" s="1"/>
  <c r="E2630" i="11"/>
  <c r="G2630" i="11" s="1"/>
  <c r="E2750" i="11"/>
  <c r="G2750" i="11" s="1"/>
  <c r="E2793" i="11"/>
  <c r="G2793" i="11" s="1"/>
  <c r="E2862" i="11"/>
  <c r="G2862" i="11" s="1"/>
  <c r="E2928" i="11"/>
  <c r="G2928" i="11" s="1"/>
  <c r="E2968" i="11"/>
  <c r="G2968" i="11" s="1"/>
  <c r="E2088" i="8"/>
  <c r="G2088" i="8" s="1"/>
  <c r="E1669" i="11"/>
  <c r="G1669" i="11" s="1"/>
  <c r="E2550" i="11"/>
  <c r="G2550" i="11" s="1"/>
  <c r="E2690" i="11"/>
  <c r="G2690" i="11" s="1"/>
  <c r="E900" i="11"/>
  <c r="G900" i="11" s="1"/>
  <c r="E1945" i="11"/>
  <c r="G1945" i="11" s="1"/>
  <c r="E2392" i="11"/>
  <c r="G2392" i="11" s="1"/>
  <c r="E2650" i="11"/>
  <c r="G2650" i="11" s="1"/>
  <c r="E1626" i="11"/>
  <c r="G1626" i="11" s="1"/>
  <c r="E2051" i="11"/>
  <c r="G2051" i="11" s="1"/>
  <c r="E2131" i="11"/>
  <c r="G2131" i="11" s="1"/>
  <c r="E2200" i="11"/>
  <c r="G2200" i="11" s="1"/>
  <c r="E2484" i="11"/>
  <c r="G2484" i="11" s="1"/>
  <c r="E2570" i="11"/>
  <c r="G2570" i="11" s="1"/>
  <c r="E2710" i="11"/>
  <c r="G2710" i="11" s="1"/>
  <c r="E2948" i="11"/>
  <c r="G2948" i="11" s="1"/>
  <c r="E2988" i="11"/>
  <c r="G2988" i="11" s="1"/>
  <c r="E2461" i="11"/>
  <c r="G2461" i="11" s="1"/>
  <c r="E2730" i="11"/>
  <c r="G2730" i="11" s="1"/>
  <c r="E2770" i="11"/>
  <c r="G2770" i="11" s="1"/>
  <c r="E2839" i="11"/>
  <c r="G2839" i="11" s="1"/>
  <c r="E2908" i="11"/>
  <c r="G2908" i="11" s="1"/>
  <c r="E1060" i="33"/>
  <c r="G1060" i="33" s="1"/>
  <c r="E2670" i="11"/>
  <c r="G2670" i="11" s="1"/>
  <c r="E2071" i="11"/>
  <c r="G2071" i="11" s="1"/>
  <c r="E2177" i="11"/>
  <c r="G2177" i="11" s="1"/>
  <c r="E2816" i="11"/>
  <c r="G2816" i="11" s="1"/>
  <c r="E2369" i="11"/>
  <c r="G2369" i="11" s="1"/>
  <c r="E2885" i="11"/>
  <c r="G2885" i="11" s="1"/>
  <c r="E2530" i="11"/>
  <c r="G2530" i="11" s="1"/>
  <c r="E1991" i="11"/>
  <c r="G1991" i="11" s="1"/>
  <c r="E2438" i="11"/>
  <c r="G2438" i="11" s="1"/>
  <c r="E982" i="8"/>
  <c r="G982" i="8" s="1"/>
  <c r="E2590" i="11"/>
  <c r="G2590" i="11" s="1"/>
  <c r="E1922" i="11"/>
  <c r="G1922" i="11" s="1"/>
  <c r="E1562" i="8"/>
  <c r="G1562" i="8" s="1"/>
  <c r="E1512" i="26"/>
  <c r="G1512" i="26" s="1"/>
  <c r="E1343" i="26"/>
  <c r="G1343" i="26" s="1"/>
  <c r="E1199" i="26"/>
  <c r="G1199" i="26" s="1"/>
  <c r="E252" i="26"/>
  <c r="G252" i="26" s="1"/>
  <c r="E100" i="30"/>
  <c r="G100" i="30" s="1"/>
  <c r="E340" i="30"/>
  <c r="G340" i="30" s="1"/>
  <c r="E1492" i="26"/>
  <c r="G1492" i="26" s="1"/>
  <c r="E1119" i="26"/>
  <c r="G1119" i="26" s="1"/>
  <c r="E397" i="26"/>
  <c r="G397" i="26" s="1"/>
  <c r="E879" i="26"/>
  <c r="G879" i="26" s="1"/>
  <c r="E136" i="26"/>
  <c r="G136" i="26" s="1"/>
  <c r="E336" i="26"/>
  <c r="G336" i="26" s="1"/>
  <c r="E294" i="26"/>
  <c r="G294" i="26" s="1"/>
  <c r="E80" i="30"/>
  <c r="G80" i="30" s="1"/>
  <c r="E460" i="30"/>
  <c r="G460" i="30" s="1"/>
  <c r="E1532" i="26"/>
  <c r="G1532" i="26" s="1"/>
  <c r="E919" i="26"/>
  <c r="G919" i="26" s="1"/>
  <c r="E34" i="26"/>
  <c r="G34" i="26" s="1"/>
  <c r="E357" i="26"/>
  <c r="G357" i="26" s="1"/>
  <c r="E1139" i="26"/>
  <c r="G1139" i="26" s="1"/>
  <c r="E315" i="26"/>
  <c r="G315" i="26" s="1"/>
  <c r="E1620" i="30"/>
  <c r="G1620" i="30" s="1"/>
  <c r="E120" i="30"/>
  <c r="G120" i="30" s="1"/>
  <c r="E231" i="26"/>
  <c r="G231" i="26" s="1"/>
  <c r="E839" i="26"/>
  <c r="G839" i="26" s="1"/>
  <c r="E68" i="26"/>
  <c r="G68" i="26" s="1"/>
  <c r="E273" i="26"/>
  <c r="G273" i="26" s="1"/>
  <c r="E200" i="30"/>
  <c r="G200" i="30" s="1"/>
  <c r="E102" i="26"/>
  <c r="G102" i="26" s="1"/>
  <c r="E377" i="26"/>
  <c r="G377" i="26" s="1"/>
  <c r="E1219" i="26"/>
  <c r="G1219" i="26" s="1"/>
  <c r="E440" i="30"/>
  <c r="G440" i="30" s="1"/>
  <c r="E180" i="30"/>
  <c r="G180" i="30" s="1"/>
  <c r="E220" i="30"/>
  <c r="G220" i="30" s="1"/>
  <c r="E558" i="26"/>
  <c r="G558" i="26" s="1"/>
  <c r="E140" i="30"/>
  <c r="G140" i="30" s="1"/>
  <c r="E578" i="26"/>
  <c r="G578" i="26" s="1"/>
  <c r="E211" i="26"/>
  <c r="G211" i="26" s="1"/>
  <c r="E1321" i="26"/>
  <c r="G1321" i="26" s="1"/>
  <c r="E1452" i="26"/>
  <c r="G1452" i="26" s="1"/>
  <c r="E859" i="26"/>
  <c r="G859" i="26" s="1"/>
  <c r="E480" i="30"/>
  <c r="G480" i="30" s="1"/>
  <c r="E260" i="30"/>
  <c r="G260" i="30" s="1"/>
  <c r="E1593" i="26"/>
  <c r="G1593" i="26" s="1"/>
  <c r="E899" i="26"/>
  <c r="G899" i="26" s="1"/>
  <c r="E171" i="26"/>
  <c r="G171" i="26" s="1"/>
  <c r="E1159" i="26"/>
  <c r="G1159" i="26" s="1"/>
  <c r="E580" i="30"/>
  <c r="G580" i="30" s="1"/>
  <c r="E1179" i="26"/>
  <c r="G1179" i="26" s="1"/>
  <c r="E1239" i="26"/>
  <c r="G1239" i="26" s="1"/>
  <c r="E191" i="26"/>
  <c r="G191" i="26" s="1"/>
  <c r="H1382" i="8"/>
  <c r="G1381" i="8"/>
  <c r="H1942" i="8"/>
  <c r="G1941" i="8"/>
  <c r="H1362" i="8"/>
  <c r="G1361" i="8"/>
  <c r="G1081" i="8"/>
  <c r="H1082" i="8"/>
  <c r="G1219" i="33"/>
  <c r="H1220" i="33"/>
  <c r="G1279" i="30"/>
  <c r="H1280" i="30"/>
  <c r="G2302" i="11"/>
  <c r="H2303" i="11"/>
  <c r="G679" i="21"/>
  <c r="H680" i="21"/>
  <c r="E240" i="33"/>
  <c r="G240" i="33" s="1"/>
  <c r="E260" i="33"/>
  <c r="G260" i="33" s="1"/>
  <c r="E100" i="33"/>
  <c r="G100" i="33" s="1"/>
  <c r="E20" i="33"/>
  <c r="G20" i="33" s="1"/>
  <c r="E203" i="32"/>
  <c r="G203" i="32" s="1"/>
  <c r="E120" i="33"/>
  <c r="G120" i="33" s="1"/>
  <c r="E60" i="33"/>
  <c r="G60" i="33" s="1"/>
  <c r="E80" i="33"/>
  <c r="G80" i="33" s="1"/>
  <c r="E40" i="33"/>
  <c r="G40" i="33" s="1"/>
  <c r="E224" i="32"/>
  <c r="G224" i="32" s="1"/>
  <c r="H1373" i="15"/>
  <c r="H1833" i="15"/>
  <c r="H998" i="32"/>
  <c r="H300" i="26"/>
  <c r="K24" i="8"/>
  <c r="H1353" i="15"/>
  <c r="J24" i="8"/>
  <c r="J44" i="36"/>
  <c r="K44" i="36"/>
  <c r="G1450" i="32"/>
  <c r="H1450" i="32" s="1"/>
  <c r="H1451" i="32"/>
  <c r="H951" i="15"/>
  <c r="J84" i="16"/>
  <c r="H991" i="15"/>
  <c r="H177" i="26"/>
  <c r="K84" i="16"/>
  <c r="H108" i="26"/>
  <c r="H911" i="15"/>
  <c r="H1272" i="15"/>
  <c r="H6" i="21"/>
  <c r="H342" i="26"/>
  <c r="H746" i="8"/>
  <c r="G745" i="8"/>
  <c r="H1223" i="24"/>
  <c r="H6" i="13"/>
  <c r="G4" i="8"/>
  <c r="E6" i="1" s="1"/>
  <c r="F6" i="1" s="1"/>
  <c r="I4" i="8" s="1"/>
  <c r="H6" i="8"/>
  <c r="H4" i="8" s="1"/>
  <c r="H1773" i="15"/>
  <c r="H46" i="21"/>
  <c r="J124" i="16"/>
  <c r="H46" i="16"/>
  <c r="K124" i="16"/>
  <c r="H306" i="21"/>
  <c r="G4" i="16"/>
  <c r="E541" i="1" s="1"/>
  <c r="F541" i="1" s="1"/>
  <c r="H6" i="16"/>
  <c r="H4" i="16" s="1"/>
  <c r="H46" i="8"/>
  <c r="H26" i="36"/>
  <c r="H24" i="36" s="1"/>
  <c r="G24" i="36"/>
  <c r="F1276" i="1" s="1"/>
  <c r="I24" i="36" s="1"/>
  <c r="H1873" i="15"/>
  <c r="H1853" i="15"/>
  <c r="E1490" i="24" l="1"/>
  <c r="G1490" i="24" s="1"/>
  <c r="H1490" i="24" s="1"/>
  <c r="E2220" i="16"/>
  <c r="G2220" i="16" s="1"/>
  <c r="E133" i="32"/>
  <c r="G133" i="32" s="1"/>
  <c r="H139" i="32"/>
  <c r="E1188" i="21"/>
  <c r="G1188" i="21" s="1"/>
  <c r="H1188" i="21" s="1"/>
  <c r="E784" i="13"/>
  <c r="G784" i="13" s="1"/>
  <c r="H784" i="13" s="1"/>
  <c r="E28" i="13"/>
  <c r="E684" i="13"/>
  <c r="G684" i="13" s="1"/>
  <c r="H684" i="13" s="1"/>
  <c r="E1004" i="13"/>
  <c r="G1004" i="13" s="1"/>
  <c r="E863" i="13"/>
  <c r="G863" i="13" s="1"/>
  <c r="H863" i="13" s="1"/>
  <c r="E1538" i="24"/>
  <c r="G1538" i="24" s="1"/>
  <c r="H1538" i="24" s="1"/>
  <c r="E372" i="13"/>
  <c r="G372" i="13" s="1"/>
  <c r="H372" i="13" s="1"/>
  <c r="E2261" i="16"/>
  <c r="G2261" i="16" s="1"/>
  <c r="E1373" i="24"/>
  <c r="G1373" i="24" s="1"/>
  <c r="H1373" i="24" s="1"/>
  <c r="E272" i="13"/>
  <c r="G272" i="13" s="1"/>
  <c r="H272" i="13" s="1"/>
  <c r="E2080" i="16"/>
  <c r="G2080" i="16" s="1"/>
  <c r="H2080" i="16" s="1"/>
  <c r="E724" i="13"/>
  <c r="G724" i="13" s="1"/>
  <c r="E832" i="21"/>
  <c r="G832" i="21" s="1"/>
  <c r="H832" i="21" s="1"/>
  <c r="E412" i="13"/>
  <c r="G412" i="13" s="1"/>
  <c r="H412" i="13" s="1"/>
  <c r="E1459" i="26"/>
  <c r="G1459" i="26" s="1"/>
  <c r="G1458" i="26" s="1"/>
  <c r="E392" i="13"/>
  <c r="G392" i="13" s="1"/>
  <c r="E1203" i="13"/>
  <c r="G1203" i="13" s="1"/>
  <c r="H1203" i="13" s="1"/>
  <c r="E1165" i="21"/>
  <c r="G1165" i="21" s="1"/>
  <c r="H1165" i="21" s="1"/>
  <c r="E529" i="24"/>
  <c r="G529" i="24" s="1"/>
  <c r="G527" i="24" s="1"/>
  <c r="E232" i="13"/>
  <c r="G232" i="13" s="1"/>
  <c r="E943" i="13"/>
  <c r="G943" i="13" s="1"/>
  <c r="H943" i="13" s="1"/>
  <c r="E844" i="13"/>
  <c r="G844" i="13" s="1"/>
  <c r="G842" i="13" s="1"/>
  <c r="E252" i="13"/>
  <c r="G252" i="13" s="1"/>
  <c r="H252" i="13" s="1"/>
  <c r="E1311" i="21"/>
  <c r="G1311" i="21" s="1"/>
  <c r="H1311" i="21" s="1"/>
  <c r="E892" i="21"/>
  <c r="G892" i="21" s="1"/>
  <c r="H892" i="21" s="1"/>
  <c r="E549" i="24"/>
  <c r="G549" i="24" s="1"/>
  <c r="H549" i="24" s="1"/>
  <c r="E804" i="13"/>
  <c r="G804" i="13" s="1"/>
  <c r="H804" i="13" s="1"/>
  <c r="E548" i="21"/>
  <c r="G548" i="21" s="1"/>
  <c r="E984" i="13"/>
  <c r="G984" i="13" s="1"/>
  <c r="G982" i="13" s="1"/>
  <c r="E963" i="13"/>
  <c r="G963" i="13" s="1"/>
  <c r="G962" i="13" s="1"/>
  <c r="E2601" i="16"/>
  <c r="G2601" i="16" s="1"/>
  <c r="H2601" i="16" s="1"/>
  <c r="E1059" i="21"/>
  <c r="G1059" i="21" s="1"/>
  <c r="H1059" i="21" s="1"/>
  <c r="E569" i="24"/>
  <c r="G569" i="24" s="1"/>
  <c r="G567" i="24" s="1"/>
  <c r="E903" i="13"/>
  <c r="G903" i="13" s="1"/>
  <c r="H903" i="13" s="1"/>
  <c r="E923" i="13"/>
  <c r="G923" i="13" s="1"/>
  <c r="H923" i="13" s="1"/>
  <c r="E432" i="13"/>
  <c r="G432" i="13" s="1"/>
  <c r="H432" i="13" s="1"/>
  <c r="E883" i="13"/>
  <c r="G883" i="13" s="1"/>
  <c r="H883" i="13" s="1"/>
  <c r="E2180" i="16"/>
  <c r="G2180" i="16" s="1"/>
  <c r="G2179" i="16" s="1"/>
  <c r="E1079" i="21"/>
  <c r="G1079" i="21" s="1"/>
  <c r="H1079" i="21" s="1"/>
  <c r="E944" i="24"/>
  <c r="G944" i="24" s="1"/>
  <c r="E311" i="13"/>
  <c r="G311" i="13" s="1"/>
  <c r="H311" i="13" s="1"/>
  <c r="E764" i="13"/>
  <c r="G764" i="13" s="1"/>
  <c r="H764" i="13" s="1"/>
  <c r="E292" i="13"/>
  <c r="G292" i="13" s="1"/>
  <c r="G290" i="13" s="1"/>
  <c r="E744" i="13"/>
  <c r="G744" i="13" s="1"/>
  <c r="H744" i="13" s="1"/>
  <c r="E2301" i="16"/>
  <c r="G2301" i="16" s="1"/>
  <c r="H2301" i="16" s="1"/>
  <c r="E1142" i="21"/>
  <c r="G1142" i="21" s="1"/>
  <c r="H1142" i="21" s="1"/>
  <c r="E505" i="26"/>
  <c r="G505" i="26" s="1"/>
  <c r="G504" i="26" s="1"/>
  <c r="E704" i="13"/>
  <c r="G704" i="13" s="1"/>
  <c r="E214" i="32"/>
  <c r="G214" i="32" s="1"/>
  <c r="H214" i="32" s="1"/>
  <c r="E352" i="13"/>
  <c r="G352" i="13" s="1"/>
  <c r="G350" i="13" s="1"/>
  <c r="E2200" i="16"/>
  <c r="G2200" i="16" s="1"/>
  <c r="H2200" i="16" s="1"/>
  <c r="E918" i="21"/>
  <c r="G918" i="21" s="1"/>
  <c r="H918" i="21" s="1"/>
  <c r="E1423" i="24"/>
  <c r="G1423" i="24" s="1"/>
  <c r="H1423" i="24" s="1"/>
  <c r="E14" i="36"/>
  <c r="H19" i="36"/>
  <c r="E1398" i="24"/>
  <c r="G1398" i="24" s="1"/>
  <c r="H1398" i="24" s="1"/>
  <c r="E691" i="24"/>
  <c r="G691" i="24" s="1"/>
  <c r="E348" i="24"/>
  <c r="E671" i="24"/>
  <c r="G671" i="24" s="1"/>
  <c r="E491" i="24"/>
  <c r="G491" i="24" s="1"/>
  <c r="E711" i="24"/>
  <c r="G711" i="24" s="1"/>
  <c r="E1448" i="24"/>
  <c r="G1448" i="24" s="1"/>
  <c r="H1448" i="24" s="1"/>
  <c r="E509" i="24"/>
  <c r="G509" i="24" s="1"/>
  <c r="E448" i="24"/>
  <c r="G448" i="24" s="1"/>
  <c r="H1028" i="33"/>
  <c r="G2159" i="16"/>
  <c r="H2159" i="16" s="1"/>
  <c r="E2322" i="16"/>
  <c r="G2322" i="16" s="1"/>
  <c r="G202" i="32"/>
  <c r="H203" i="32"/>
  <c r="H2302" i="11"/>
  <c r="E2296" i="11"/>
  <c r="G2296" i="11" s="1"/>
  <c r="G579" i="30"/>
  <c r="H580" i="30"/>
  <c r="G1451" i="26"/>
  <c r="H1452" i="26"/>
  <c r="E434" i="30"/>
  <c r="G434" i="30" s="1"/>
  <c r="H434" i="30" s="1"/>
  <c r="G439" i="30"/>
  <c r="H440" i="30"/>
  <c r="G230" i="26"/>
  <c r="H231" i="26"/>
  <c r="G1531" i="26"/>
  <c r="H1532" i="26"/>
  <c r="G1118" i="26"/>
  <c r="H1119" i="26"/>
  <c r="H1562" i="8"/>
  <c r="G1561" i="8"/>
  <c r="H2369" i="11"/>
  <c r="G2368" i="11"/>
  <c r="H2770" i="11"/>
  <c r="G2769" i="11"/>
  <c r="H2200" i="11"/>
  <c r="G2199" i="11"/>
  <c r="H2690" i="11"/>
  <c r="G2689" i="11"/>
  <c r="G2749" i="11"/>
  <c r="H2750" i="11"/>
  <c r="G1479" i="11"/>
  <c r="H1480" i="11"/>
  <c r="H840" i="11"/>
  <c r="G839" i="11"/>
  <c r="G1500" i="11"/>
  <c r="H1501" i="11"/>
  <c r="G1542" i="11"/>
  <c r="H1543" i="11"/>
  <c r="H2651" i="26"/>
  <c r="G2650" i="26"/>
  <c r="H2521" i="26"/>
  <c r="G2520" i="26"/>
  <c r="G3112" i="26"/>
  <c r="H3113" i="26"/>
  <c r="G2454" i="26"/>
  <c r="H2455" i="26"/>
  <c r="G2278" i="26"/>
  <c r="H2279" i="26"/>
  <c r="G2564" i="26"/>
  <c r="H2565" i="26"/>
  <c r="H2208" i="8"/>
  <c r="G2207" i="8"/>
  <c r="H2288" i="8"/>
  <c r="G2287" i="8"/>
  <c r="G1364" i="26"/>
  <c r="H1365" i="26"/>
  <c r="G958" i="26"/>
  <c r="H959" i="26"/>
  <c r="G176" i="8"/>
  <c r="H177" i="8"/>
  <c r="G938" i="26"/>
  <c r="H939" i="26"/>
  <c r="H1573" i="26"/>
  <c r="G1572" i="26"/>
  <c r="G696" i="8"/>
  <c r="H697" i="8"/>
  <c r="G597" i="26"/>
  <c r="H598" i="26"/>
  <c r="G539" i="30"/>
  <c r="H539" i="30" s="1"/>
  <c r="E534" i="30"/>
  <c r="G534" i="30" s="1"/>
  <c r="H540" i="30"/>
  <c r="G1236" i="24"/>
  <c r="H1237" i="24"/>
  <c r="G84" i="15"/>
  <c r="H85" i="15"/>
  <c r="H1782" i="8"/>
  <c r="G1781" i="8"/>
  <c r="G719" i="11"/>
  <c r="H720" i="11"/>
  <c r="H480" i="11"/>
  <c r="G479" i="11"/>
  <c r="H1251" i="16"/>
  <c r="G1250" i="16"/>
  <c r="H1231" i="16"/>
  <c r="G1230" i="16"/>
  <c r="G299" i="33"/>
  <c r="H300" i="33"/>
  <c r="G2870" i="26"/>
  <c r="H2871" i="26"/>
  <c r="H1458" i="24"/>
  <c r="G1457" i="24"/>
  <c r="E1416" i="8"/>
  <c r="G1416" i="8" s="1"/>
  <c r="H1416" i="8" s="1"/>
  <c r="H1421" i="8"/>
  <c r="E1415" i="8"/>
  <c r="G1415" i="8" s="1"/>
  <c r="H759" i="26"/>
  <c r="G758" i="26"/>
  <c r="E413" i="30"/>
  <c r="G413" i="30" s="1"/>
  <c r="H419" i="30"/>
  <c r="H1242" i="8"/>
  <c r="G1241" i="8"/>
  <c r="G1551" i="26"/>
  <c r="H1552" i="26"/>
  <c r="G1219" i="30"/>
  <c r="H1219" i="30" s="1"/>
  <c r="E1214" i="30"/>
  <c r="G1214" i="30" s="1"/>
  <c r="H1220" i="30"/>
  <c r="G2628" i="8"/>
  <c r="H2629" i="8"/>
  <c r="G1701" i="8"/>
  <c r="H1702" i="8"/>
  <c r="H1922" i="8"/>
  <c r="G1921" i="8"/>
  <c r="G1692" i="26"/>
  <c r="H1693" i="26"/>
  <c r="E214" i="21"/>
  <c r="G214" i="21" s="1"/>
  <c r="H219" i="21"/>
  <c r="G1626" i="24"/>
  <c r="H1627" i="24"/>
  <c r="H1853" i="26"/>
  <c r="G1852" i="26"/>
  <c r="G803" i="24"/>
  <c r="H804" i="24"/>
  <c r="G1115" i="24"/>
  <c r="H1116" i="24"/>
  <c r="E1816" i="8"/>
  <c r="G1816" i="8" s="1"/>
  <c r="H1816" i="8" s="1"/>
  <c r="E1815" i="8"/>
  <c r="G1815" i="8" s="1"/>
  <c r="H1821" i="8"/>
  <c r="E775" i="8"/>
  <c r="G775" i="8" s="1"/>
  <c r="H781" i="8"/>
  <c r="E776" i="8"/>
  <c r="G776" i="8" s="1"/>
  <c r="H776" i="8" s="1"/>
  <c r="H625" i="15"/>
  <c r="G624" i="15"/>
  <c r="G724" i="15"/>
  <c r="H725" i="15"/>
  <c r="G1386" i="15"/>
  <c r="H1387" i="15"/>
  <c r="G1908" i="15"/>
  <c r="H1909" i="15"/>
  <c r="G1974" i="15"/>
  <c r="H1975" i="15"/>
  <c r="G19" i="15"/>
  <c r="H20" i="15"/>
  <c r="G1666" i="15"/>
  <c r="H1667" i="15"/>
  <c r="G181" i="32"/>
  <c r="H182" i="32"/>
  <c r="G1366" i="15"/>
  <c r="H1367" i="15"/>
  <c r="G44" i="15"/>
  <c r="H45" i="15"/>
  <c r="G1244" i="15"/>
  <c r="H1245" i="15"/>
  <c r="G2136" i="15"/>
  <c r="E2131" i="15" s="1"/>
  <c r="G2131" i="15" s="1"/>
  <c r="H2131" i="15" s="1"/>
  <c r="H2137" i="15"/>
  <c r="G2116" i="15"/>
  <c r="H2117" i="15"/>
  <c r="G1263" i="32"/>
  <c r="H1264" i="32"/>
  <c r="G1423" i="32"/>
  <c r="H1424" i="32"/>
  <c r="G403" i="32"/>
  <c r="H404" i="32"/>
  <c r="G1323" i="32"/>
  <c r="H1324" i="32"/>
  <c r="G983" i="32"/>
  <c r="H984" i="32"/>
  <c r="H1564" i="32"/>
  <c r="G1563" i="32"/>
  <c r="G1283" i="32"/>
  <c r="H1284" i="32"/>
  <c r="G1383" i="32"/>
  <c r="H1384" i="32"/>
  <c r="H163" i="13"/>
  <c r="E158" i="13"/>
  <c r="G158" i="13" s="1"/>
  <c r="G739" i="30"/>
  <c r="H740" i="30"/>
  <c r="G861" i="8"/>
  <c r="E856" i="8" s="1"/>
  <c r="G856" i="8" s="1"/>
  <c r="H856" i="8" s="1"/>
  <c r="H862" i="8"/>
  <c r="G841" i="8"/>
  <c r="H842" i="8"/>
  <c r="G1299" i="30"/>
  <c r="H1300" i="30"/>
  <c r="G39" i="16"/>
  <c r="H40" i="16"/>
  <c r="G628" i="13"/>
  <c r="H629" i="13"/>
  <c r="G559" i="21"/>
  <c r="H560" i="21"/>
  <c r="G139" i="11"/>
  <c r="H140" i="11"/>
  <c r="G59" i="16"/>
  <c r="H60" i="16"/>
  <c r="G39" i="11"/>
  <c r="H40" i="11"/>
  <c r="G59" i="13"/>
  <c r="H60" i="13"/>
  <c r="G859" i="30"/>
  <c r="H860" i="30"/>
  <c r="G975" i="13"/>
  <c r="H976" i="13"/>
  <c r="G759" i="30"/>
  <c r="H760" i="30"/>
  <c r="G819" i="30"/>
  <c r="H820" i="30"/>
  <c r="G19" i="11"/>
  <c r="H20" i="11"/>
  <c r="H1400" i="30"/>
  <c r="G1399" i="30"/>
  <c r="H2416" i="13"/>
  <c r="G2415" i="13"/>
  <c r="H940" i="11"/>
  <c r="G939" i="11"/>
  <c r="G1310" i="16"/>
  <c r="H1311" i="16"/>
  <c r="H2509" i="8"/>
  <c r="G2508" i="8"/>
  <c r="H2516" i="13"/>
  <c r="G2515" i="13"/>
  <c r="H2113" i="16"/>
  <c r="G2112" i="16"/>
  <c r="H2156" i="13"/>
  <c r="G2155" i="13"/>
  <c r="G1763" i="21"/>
  <c r="H1764" i="21"/>
  <c r="H1556" i="13"/>
  <c r="G1555" i="13"/>
  <c r="H1180" i="11"/>
  <c r="G1179" i="11"/>
  <c r="H2136" i="13"/>
  <c r="G2135" i="13"/>
  <c r="G1363" i="21"/>
  <c r="H1364" i="21"/>
  <c r="H2256" i="13"/>
  <c r="G2255" i="13"/>
  <c r="G2575" i="13"/>
  <c r="H2576" i="13"/>
  <c r="H1544" i="21"/>
  <c r="G1543" i="21"/>
  <c r="G1710" i="16"/>
  <c r="H1711" i="16"/>
  <c r="H1844" i="21"/>
  <c r="G1843" i="21"/>
  <c r="H1916" i="13"/>
  <c r="G1915" i="13"/>
  <c r="G482" i="16"/>
  <c r="H483" i="16"/>
  <c r="G1014" i="16"/>
  <c r="H1015" i="16"/>
  <c r="H893" i="24"/>
  <c r="G892" i="24"/>
  <c r="G634" i="16"/>
  <c r="H635" i="16"/>
  <c r="H2353" i="16"/>
  <c r="G2352" i="16"/>
  <c r="H541" i="24"/>
  <c r="G540" i="24"/>
  <c r="H1055" i="16"/>
  <c r="G1054" i="16"/>
  <c r="G2232" i="16"/>
  <c r="H2233" i="16"/>
  <c r="G1110" i="21"/>
  <c r="H1111" i="21"/>
  <c r="H1636" i="13"/>
  <c r="G1635" i="13"/>
  <c r="H1671" i="16"/>
  <c r="G1670" i="16"/>
  <c r="G1279" i="21"/>
  <c r="H1280" i="21"/>
  <c r="G1819" i="30"/>
  <c r="H1820" i="30"/>
  <c r="H1336" i="13"/>
  <c r="G1335" i="13"/>
  <c r="G754" i="16"/>
  <c r="H755" i="16"/>
  <c r="G2513" i="16"/>
  <c r="H2514" i="16"/>
  <c r="H420" i="24"/>
  <c r="G419" i="24"/>
  <c r="G259" i="16"/>
  <c r="H260" i="16"/>
  <c r="G2633" i="16"/>
  <c r="H2634" i="16"/>
  <c r="G1199" i="21"/>
  <c r="H1200" i="21"/>
  <c r="G1759" i="30"/>
  <c r="H1760" i="30"/>
  <c r="H741" i="24"/>
  <c r="G740" i="24"/>
  <c r="H1720" i="30"/>
  <c r="G1719" i="30"/>
  <c r="H220" i="24"/>
  <c r="G219" i="24"/>
  <c r="G1679" i="30"/>
  <c r="H1680" i="30"/>
  <c r="G500" i="24"/>
  <c r="H501" i="24"/>
  <c r="G1739" i="30"/>
  <c r="H1740" i="30"/>
  <c r="G720" i="24"/>
  <c r="H721" i="24"/>
  <c r="H1687" i="24"/>
  <c r="G1686" i="24"/>
  <c r="H1913" i="26"/>
  <c r="G1912" i="26"/>
  <c r="E1576" i="8"/>
  <c r="G1576" i="8" s="1"/>
  <c r="H1576" i="8" s="1"/>
  <c r="H1581" i="8"/>
  <c r="E1575" i="8"/>
  <c r="G1575" i="8" s="1"/>
  <c r="E1577" i="8"/>
  <c r="G1577" i="8" s="1"/>
  <c r="H1577" i="8" s="1"/>
  <c r="G1612" i="26"/>
  <c r="H1613" i="26"/>
  <c r="G2112" i="26"/>
  <c r="H2113" i="26"/>
  <c r="G19" i="33"/>
  <c r="H20" i="33"/>
  <c r="H1941" i="8"/>
  <c r="E1936" i="8"/>
  <c r="G1936" i="8" s="1"/>
  <c r="G1158" i="26"/>
  <c r="H1159" i="26"/>
  <c r="G1320" i="26"/>
  <c r="H1321" i="26"/>
  <c r="G1218" i="26"/>
  <c r="H1219" i="26"/>
  <c r="G119" i="30"/>
  <c r="H120" i="30"/>
  <c r="E454" i="30"/>
  <c r="G454" i="30" s="1"/>
  <c r="G459" i="30"/>
  <c r="H460" i="30"/>
  <c r="G1491" i="26"/>
  <c r="H1492" i="26"/>
  <c r="H1922" i="11"/>
  <c r="G1921" i="11"/>
  <c r="H2816" i="11"/>
  <c r="G2815" i="11"/>
  <c r="H2730" i="11"/>
  <c r="G2729" i="11"/>
  <c r="H2131" i="11"/>
  <c r="G2130" i="11"/>
  <c r="H2550" i="11"/>
  <c r="G2549" i="11"/>
  <c r="H2630" i="11"/>
  <c r="G2629" i="11"/>
  <c r="H2610" i="11"/>
  <c r="G2609" i="11"/>
  <c r="G2030" i="11"/>
  <c r="H2031" i="11"/>
  <c r="G1359" i="11"/>
  <c r="H1360" i="11"/>
  <c r="H1420" i="11"/>
  <c r="G1419" i="11"/>
  <c r="H2477" i="26"/>
  <c r="G2476" i="26"/>
  <c r="G3072" i="26"/>
  <c r="H3073" i="26"/>
  <c r="G2750" i="26"/>
  <c r="H2751" i="26"/>
  <c r="H2323" i="26"/>
  <c r="G2322" i="26"/>
  <c r="H2013" i="26"/>
  <c r="G2012" i="26"/>
  <c r="G2810" i="26"/>
  <c r="H2811" i="26"/>
  <c r="H2388" i="8"/>
  <c r="G2387" i="8"/>
  <c r="G2247" i="8"/>
  <c r="H2248" i="8"/>
  <c r="H60" i="8"/>
  <c r="G59" i="8"/>
  <c r="G1038" i="26"/>
  <c r="H1039" i="26"/>
  <c r="G559" i="30"/>
  <c r="H559" i="30" s="1"/>
  <c r="E554" i="30"/>
  <c r="G554" i="30" s="1"/>
  <c r="H560" i="30"/>
  <c r="G715" i="13"/>
  <c r="H716" i="13"/>
  <c r="G978" i="26"/>
  <c r="H979" i="26"/>
  <c r="G676" i="8"/>
  <c r="H677" i="8"/>
  <c r="G677" i="26"/>
  <c r="H678" i="26"/>
  <c r="G659" i="30"/>
  <c r="H660" i="30"/>
  <c r="G64" i="15"/>
  <c r="H65" i="15"/>
  <c r="H245" i="15"/>
  <c r="G244" i="15"/>
  <c r="H780" i="11"/>
  <c r="G779" i="11"/>
  <c r="H660" i="11"/>
  <c r="G659" i="11"/>
  <c r="H320" i="11"/>
  <c r="G319" i="11"/>
  <c r="H680" i="11"/>
  <c r="G679" i="11"/>
  <c r="G2392" i="16"/>
  <c r="H2393" i="16"/>
  <c r="G1546" i="24"/>
  <c r="E1541" i="24" s="1"/>
  <c r="G1541" i="24" s="1"/>
  <c r="H1541" i="24" s="1"/>
  <c r="H1547" i="24"/>
  <c r="G819" i="33"/>
  <c r="H820" i="33"/>
  <c r="G2192" i="26"/>
  <c r="H2193" i="26"/>
  <c r="E133" i="24"/>
  <c r="G133" i="24" s="1"/>
  <c r="H139" i="24"/>
  <c r="H1121" i="8"/>
  <c r="E1115" i="8"/>
  <c r="G1115" i="8" s="1"/>
  <c r="H1020" i="33"/>
  <c r="G1019" i="33"/>
  <c r="E237" i="32"/>
  <c r="G237" i="32" s="1"/>
  <c r="H243" i="32"/>
  <c r="H1721" i="8"/>
  <c r="E1716" i="8"/>
  <c r="G1716" i="8" s="1"/>
  <c r="H1716" i="8" s="1"/>
  <c r="E1715" i="8"/>
  <c r="G1715" i="8" s="1"/>
  <c r="H1182" i="8"/>
  <c r="G1181" i="8"/>
  <c r="G497" i="26"/>
  <c r="H498" i="26"/>
  <c r="G537" i="26"/>
  <c r="H538" i="26"/>
  <c r="H2263" i="11"/>
  <c r="G2262" i="11"/>
  <c r="G941" i="8"/>
  <c r="H942" i="8"/>
  <c r="H2829" i="8"/>
  <c r="G2828" i="8"/>
  <c r="G739" i="33"/>
  <c r="H740" i="33"/>
  <c r="E13" i="13"/>
  <c r="G13" i="13" s="1"/>
  <c r="E14" i="13"/>
  <c r="G14" i="13" s="1"/>
  <c r="H14" i="13" s="1"/>
  <c r="H19" i="13"/>
  <c r="E153" i="24"/>
  <c r="G153" i="24" s="1"/>
  <c r="H159" i="24"/>
  <c r="H1139" i="33"/>
  <c r="E1133" i="33"/>
  <c r="G1133" i="33" s="1"/>
  <c r="H1119" i="33"/>
  <c r="H1104" i="33" s="1"/>
  <c r="G1104" i="33"/>
  <c r="E1266" i="1" s="1"/>
  <c r="F1266" i="1" s="1"/>
  <c r="I1104" i="33" s="1"/>
  <c r="H599" i="30"/>
  <c r="E593" i="30"/>
  <c r="G593" i="30" s="1"/>
  <c r="H1321" i="8"/>
  <c r="E1316" i="8"/>
  <c r="G1316" i="8" s="1"/>
  <c r="E1317" i="8"/>
  <c r="G1317" i="8" s="1"/>
  <c r="H1317" i="8" s="1"/>
  <c r="H659" i="33"/>
  <c r="H644" i="33" s="1"/>
  <c r="G644" i="33"/>
  <c r="E1242" i="1" s="1"/>
  <c r="F1242" i="1" s="1"/>
  <c r="I644" i="33" s="1"/>
  <c r="H760" i="21"/>
  <c r="G759" i="21"/>
  <c r="H1297" i="24"/>
  <c r="G1296" i="24"/>
  <c r="G1034" i="24"/>
  <c r="H1035" i="24"/>
  <c r="G279" i="24"/>
  <c r="H280" i="24"/>
  <c r="G323" i="32"/>
  <c r="H324" i="32"/>
  <c r="G303" i="32"/>
  <c r="H304" i="32"/>
  <c r="G1426" i="15"/>
  <c r="H1427" i="15"/>
  <c r="G284" i="15"/>
  <c r="H285" i="15"/>
  <c r="G1996" i="15"/>
  <c r="H1997" i="15"/>
  <c r="G1224" i="15"/>
  <c r="H1225" i="15"/>
  <c r="G1626" i="15"/>
  <c r="H1627" i="15"/>
  <c r="G1606" i="15"/>
  <c r="H1607" i="15"/>
  <c r="G1766" i="15"/>
  <c r="H1767" i="15"/>
  <c r="G604" i="15"/>
  <c r="H605" i="15"/>
  <c r="G664" i="15"/>
  <c r="H665" i="15"/>
  <c r="G1826" i="15"/>
  <c r="H1827" i="15"/>
  <c r="G2076" i="15"/>
  <c r="H2077" i="15"/>
  <c r="G423" i="32"/>
  <c r="H424" i="32"/>
  <c r="G1623" i="32"/>
  <c r="H1624" i="32"/>
  <c r="G843" i="32"/>
  <c r="H844" i="32"/>
  <c r="G563" i="32"/>
  <c r="H564" i="32"/>
  <c r="G1143" i="32"/>
  <c r="H1144" i="32"/>
  <c r="H544" i="32"/>
  <c r="G543" i="32"/>
  <c r="G1443" i="32"/>
  <c r="H1444" i="32"/>
  <c r="G1503" i="32"/>
  <c r="H1504" i="32"/>
  <c r="H1841" i="8"/>
  <c r="E1835" i="8"/>
  <c r="G1835" i="8" s="1"/>
  <c r="E1836" i="8"/>
  <c r="G1836" i="8" s="1"/>
  <c r="H1836" i="8" s="1"/>
  <c r="G558" i="13"/>
  <c r="H559" i="13"/>
  <c r="G79" i="16"/>
  <c r="H80" i="16"/>
  <c r="G379" i="21"/>
  <c r="H380" i="21"/>
  <c r="G1258" i="26"/>
  <c r="H1259" i="26"/>
  <c r="G1285" i="15"/>
  <c r="H1286" i="15"/>
  <c r="G1419" i="30"/>
  <c r="H1420" i="30"/>
  <c r="G59" i="21"/>
  <c r="H60" i="21"/>
  <c r="G219" i="16"/>
  <c r="H220" i="16"/>
  <c r="G1019" i="30"/>
  <c r="H1020" i="30"/>
  <c r="G875" i="13"/>
  <c r="H876" i="13"/>
  <c r="G119" i="16"/>
  <c r="H120" i="16"/>
  <c r="G899" i="30"/>
  <c r="H900" i="30"/>
  <c r="G915" i="13"/>
  <c r="H916" i="13"/>
  <c r="G605" i="13"/>
  <c r="H606" i="13"/>
  <c r="G159" i="33"/>
  <c r="H160" i="33"/>
  <c r="G652" i="13"/>
  <c r="H653" i="13"/>
  <c r="H60" i="32"/>
  <c r="G59" i="32"/>
  <c r="H120" i="32"/>
  <c r="G119" i="32"/>
  <c r="H1150" i="16"/>
  <c r="G1149" i="16"/>
  <c r="H1442" i="8"/>
  <c r="G1441" i="8"/>
  <c r="H2468" i="8"/>
  <c r="G2467" i="8"/>
  <c r="G2455" i="13"/>
  <c r="H2456" i="13"/>
  <c r="G1859" i="30"/>
  <c r="H1860" i="30"/>
  <c r="H2116" i="13"/>
  <c r="G2115" i="13"/>
  <c r="H1080" i="11"/>
  <c r="G1079" i="11"/>
  <c r="G1119" i="11"/>
  <c r="H1120" i="11"/>
  <c r="H1000" i="11"/>
  <c r="G999" i="11"/>
  <c r="G2015" i="13"/>
  <c r="H2016" i="13"/>
  <c r="G1343" i="21"/>
  <c r="H1344" i="21"/>
  <c r="H2176" i="13"/>
  <c r="G2175" i="13"/>
  <c r="G2395" i="13"/>
  <c r="H2396" i="13"/>
  <c r="G1495" i="13"/>
  <c r="H1496" i="13"/>
  <c r="H1591" i="16"/>
  <c r="G1590" i="16"/>
  <c r="G1623" i="21"/>
  <c r="H1624" i="21"/>
  <c r="H1836" i="13"/>
  <c r="G1835" i="13"/>
  <c r="G1690" i="16"/>
  <c r="H1691" i="16"/>
  <c r="G954" i="16"/>
  <c r="H955" i="16"/>
  <c r="H1856" i="13"/>
  <c r="G1855" i="13"/>
  <c r="H612" i="16"/>
  <c r="G611" i="16"/>
  <c r="H1824" i="21"/>
  <c r="G1823" i="21"/>
  <c r="G974" i="24"/>
  <c r="H975" i="24"/>
  <c r="H995" i="16"/>
  <c r="G994" i="16"/>
  <c r="H2193" i="16"/>
  <c r="G2192" i="16"/>
  <c r="H1068" i="21"/>
  <c r="G1067" i="21"/>
  <c r="H1476" i="13"/>
  <c r="G1475" i="13"/>
  <c r="H1611" i="16"/>
  <c r="G1610" i="16"/>
  <c r="H1220" i="21"/>
  <c r="G1219" i="21"/>
  <c r="G1659" i="30"/>
  <c r="H1660" i="30"/>
  <c r="H1296" i="13"/>
  <c r="G1295" i="13"/>
  <c r="G1770" i="16"/>
  <c r="H1771" i="16"/>
  <c r="H2414" i="16"/>
  <c r="G2413" i="16"/>
  <c r="G1095" i="13"/>
  <c r="H1096" i="13"/>
  <c r="G1650" i="16"/>
  <c r="H1651" i="16"/>
  <c r="H2454" i="16"/>
  <c r="G2453" i="16"/>
  <c r="G659" i="21"/>
  <c r="H660" i="21"/>
  <c r="G1039" i="33"/>
  <c r="H1040" i="33"/>
  <c r="G1054" i="24"/>
  <c r="H1055" i="24"/>
  <c r="G959" i="33"/>
  <c r="H960" i="33"/>
  <c r="H360" i="24"/>
  <c r="G359" i="24"/>
  <c r="G639" i="33"/>
  <c r="H640" i="33"/>
  <c r="H701" i="24"/>
  <c r="G700" i="24"/>
  <c r="G879" i="33"/>
  <c r="H880" i="33"/>
  <c r="H2891" i="26"/>
  <c r="G2890" i="26"/>
  <c r="G179" i="24"/>
  <c r="H180" i="24"/>
  <c r="H2123" i="30"/>
  <c r="G2122" i="30"/>
  <c r="E493" i="21"/>
  <c r="G493" i="21" s="1"/>
  <c r="E494" i="21"/>
  <c r="G494" i="21" s="1"/>
  <c r="H494" i="21" s="1"/>
  <c r="H499" i="21"/>
  <c r="H2092" i="26"/>
  <c r="E2087" i="26"/>
  <c r="G2087" i="26" s="1"/>
  <c r="G1632" i="26"/>
  <c r="H1633" i="26"/>
  <c r="H1663" i="21"/>
  <c r="E1657" i="21"/>
  <c r="G1657" i="21" s="1"/>
  <c r="G99" i="33"/>
  <c r="H100" i="33"/>
  <c r="E1273" i="30"/>
  <c r="G1273" i="30" s="1"/>
  <c r="H1279" i="30"/>
  <c r="G170" i="26"/>
  <c r="H171" i="26"/>
  <c r="G210" i="26"/>
  <c r="H211" i="26"/>
  <c r="G376" i="26"/>
  <c r="H377" i="26"/>
  <c r="G1619" i="30"/>
  <c r="H1620" i="30"/>
  <c r="E74" i="30"/>
  <c r="G74" i="30" s="1"/>
  <c r="H74" i="30" s="1"/>
  <c r="G79" i="30"/>
  <c r="H80" i="30"/>
  <c r="E334" i="30"/>
  <c r="G334" i="30" s="1"/>
  <c r="G339" i="30"/>
  <c r="H339" i="30" s="1"/>
  <c r="H340" i="30"/>
  <c r="G2589" i="11"/>
  <c r="H2590" i="11"/>
  <c r="H2177" i="11"/>
  <c r="G2176" i="11"/>
  <c r="H2461" i="11"/>
  <c r="G2460" i="11"/>
  <c r="H2051" i="11"/>
  <c r="G2050" i="11"/>
  <c r="H1669" i="11"/>
  <c r="G1668" i="11"/>
  <c r="H2507" i="11"/>
  <c r="G2506" i="11"/>
  <c r="H2011" i="11"/>
  <c r="G2010" i="11"/>
  <c r="H1830" i="11"/>
  <c r="G1829" i="11"/>
  <c r="H860" i="11"/>
  <c r="G859" i="11"/>
  <c r="H880" i="11"/>
  <c r="G879" i="11"/>
  <c r="G2990" i="26"/>
  <c r="H2991" i="26"/>
  <c r="H3031" i="26"/>
  <c r="G3030" i="26"/>
  <c r="H1793" i="26"/>
  <c r="G1792" i="26"/>
  <c r="G3051" i="26"/>
  <c r="H3052" i="26"/>
  <c r="G2970" i="26"/>
  <c r="H2971" i="26"/>
  <c r="G1481" i="8"/>
  <c r="H1482" i="8"/>
  <c r="H2188" i="8"/>
  <c r="G2187" i="8"/>
  <c r="G999" i="30"/>
  <c r="H1000" i="30"/>
  <c r="G735" i="13"/>
  <c r="H736" i="13"/>
  <c r="G443" i="13"/>
  <c r="H444" i="13"/>
  <c r="G815" i="13"/>
  <c r="H816" i="13"/>
  <c r="G959" i="30"/>
  <c r="H960" i="30"/>
  <c r="G319" i="30"/>
  <c r="E314" i="30"/>
  <c r="G314" i="30" s="1"/>
  <c r="H314" i="30" s="1"/>
  <c r="H320" i="30"/>
  <c r="G695" i="13"/>
  <c r="H696" i="13"/>
  <c r="G617" i="26"/>
  <c r="H618" i="26"/>
  <c r="H185" i="15"/>
  <c r="G184" i="15"/>
  <c r="H265" i="15"/>
  <c r="G264" i="15"/>
  <c r="H500" i="11"/>
  <c r="G499" i="11"/>
  <c r="H620" i="11"/>
  <c r="G619" i="11"/>
  <c r="G799" i="11"/>
  <c r="H800" i="11"/>
  <c r="H540" i="11"/>
  <c r="G539" i="11"/>
  <c r="H1522" i="24"/>
  <c r="G1521" i="24"/>
  <c r="H1432" i="24"/>
  <c r="G1431" i="24"/>
  <c r="H580" i="33"/>
  <c r="G579" i="33"/>
  <c r="H2731" i="26"/>
  <c r="G2730" i="26"/>
  <c r="E470" i="8"/>
  <c r="G470" i="8" s="1"/>
  <c r="H476" i="8"/>
  <c r="H2133" i="16"/>
  <c r="G2132" i="16"/>
  <c r="H1099" i="33"/>
  <c r="E1095" i="33"/>
  <c r="G1095" i="33" s="1"/>
  <c r="G1139" i="30"/>
  <c r="H1139" i="30" s="1"/>
  <c r="H1140" i="30"/>
  <c r="E1134" i="30"/>
  <c r="G1134" i="30" s="1"/>
  <c r="G517" i="26"/>
  <c r="H518" i="26"/>
  <c r="E1194" i="30"/>
  <c r="G1194" i="30" s="1"/>
  <c r="G1199" i="30"/>
  <c r="H1199" i="30" s="1"/>
  <c r="H1200" i="30"/>
  <c r="G1661" i="8"/>
  <c r="H1662" i="8"/>
  <c r="H2809" i="8"/>
  <c r="G2808" i="8"/>
  <c r="H2689" i="8"/>
  <c r="G2688" i="8"/>
  <c r="G899" i="33"/>
  <c r="H900" i="33"/>
  <c r="H639" i="21"/>
  <c r="E633" i="21"/>
  <c r="G633" i="21" s="1"/>
  <c r="E1295" i="8"/>
  <c r="G1295" i="8" s="1"/>
  <c r="E1296" i="8"/>
  <c r="G1296" i="8" s="1"/>
  <c r="H1296" i="8" s="1"/>
  <c r="H1301" i="8"/>
  <c r="E650" i="8"/>
  <c r="G650" i="8" s="1"/>
  <c r="H656" i="8"/>
  <c r="E178" i="13"/>
  <c r="G178" i="13" s="1"/>
  <c r="H183" i="13"/>
  <c r="G3092" i="26"/>
  <c r="H3093" i="26"/>
  <c r="H80" i="24"/>
  <c r="G79" i="24"/>
  <c r="G640" i="24"/>
  <c r="H641" i="24"/>
  <c r="H828" i="24"/>
  <c r="G827" i="24"/>
  <c r="E218" i="13"/>
  <c r="G218" i="13" s="1"/>
  <c r="H223" i="13"/>
  <c r="H1281" i="8"/>
  <c r="E1275" i="8"/>
  <c r="G1275" i="8" s="1"/>
  <c r="E1276" i="8"/>
  <c r="G1276" i="8" s="1"/>
  <c r="H1276" i="8" s="1"/>
  <c r="E571" i="8"/>
  <c r="G571" i="8" s="1"/>
  <c r="H571" i="8" s="1"/>
  <c r="H576" i="8"/>
  <c r="E570" i="8"/>
  <c r="G570" i="8" s="1"/>
  <c r="G524" i="15"/>
  <c r="H525" i="15"/>
  <c r="G544" i="15"/>
  <c r="H545" i="15"/>
  <c r="G1064" i="15"/>
  <c r="H1065" i="15"/>
  <c r="G1726" i="15"/>
  <c r="H1727" i="15"/>
  <c r="G1144" i="15"/>
  <c r="H1145" i="15"/>
  <c r="G1546" i="15"/>
  <c r="H1547" i="15"/>
  <c r="G764" i="15"/>
  <c r="H765" i="15"/>
  <c r="G784" i="15"/>
  <c r="H785" i="15"/>
  <c r="G1326" i="15"/>
  <c r="H1327" i="15"/>
  <c r="G1646" i="15"/>
  <c r="H1647" i="15"/>
  <c r="H445" i="15"/>
  <c r="G444" i="15"/>
  <c r="G363" i="32"/>
  <c r="H364" i="32"/>
  <c r="G2036" i="15"/>
  <c r="H2037" i="15"/>
  <c r="G443" i="32"/>
  <c r="H444" i="32"/>
  <c r="G1643" i="32"/>
  <c r="H1644" i="32"/>
  <c r="G1483" i="32"/>
  <c r="H1484" i="32"/>
  <c r="G823" i="32"/>
  <c r="H824" i="32"/>
  <c r="G723" i="32"/>
  <c r="H724" i="32"/>
  <c r="G1303" i="32"/>
  <c r="H1304" i="32"/>
  <c r="G703" i="32"/>
  <c r="H704" i="32"/>
  <c r="G1523" i="32"/>
  <c r="H1524" i="32"/>
  <c r="G1663" i="32"/>
  <c r="H1664" i="32"/>
  <c r="E1154" i="33"/>
  <c r="G1154" i="33" s="1"/>
  <c r="H1159" i="33"/>
  <c r="G1359" i="30"/>
  <c r="H1360" i="30"/>
  <c r="G199" i="33"/>
  <c r="H200" i="33"/>
  <c r="G519" i="21"/>
  <c r="H520" i="21"/>
  <c r="G439" i="21"/>
  <c r="H440" i="21"/>
  <c r="G119" i="21"/>
  <c r="H120" i="21"/>
  <c r="E1514" i="30"/>
  <c r="G1514" i="30" s="1"/>
  <c r="G1519" i="30"/>
  <c r="H1519" i="30" s="1"/>
  <c r="H1520" i="30"/>
  <c r="G122" i="13"/>
  <c r="H123" i="13"/>
  <c r="G139" i="33"/>
  <c r="H140" i="33"/>
  <c r="G1379" i="30"/>
  <c r="H1380" i="30"/>
  <c r="G239" i="11"/>
  <c r="H240" i="11"/>
  <c r="G39" i="21"/>
  <c r="H40" i="21"/>
  <c r="G1339" i="30"/>
  <c r="H1340" i="30"/>
  <c r="G855" i="13"/>
  <c r="H856" i="13"/>
  <c r="H100" i="21"/>
  <c r="G99" i="21"/>
  <c r="G799" i="30"/>
  <c r="H800" i="30"/>
  <c r="H836" i="13"/>
  <c r="G835" i="13"/>
  <c r="H1862" i="8"/>
  <c r="G1861" i="8"/>
  <c r="G99" i="32"/>
  <c r="H100" i="32"/>
  <c r="H915" i="16"/>
  <c r="G914" i="16"/>
  <c r="H2005" i="8"/>
  <c r="G2004" i="8"/>
  <c r="H980" i="11"/>
  <c r="G979" i="11"/>
  <c r="G2355" i="13"/>
  <c r="H2356" i="13"/>
  <c r="H1320" i="11"/>
  <c r="G1319" i="11"/>
  <c r="G2055" i="13"/>
  <c r="H2056" i="13"/>
  <c r="G2535" i="13"/>
  <c r="H2536" i="13"/>
  <c r="H1040" i="11"/>
  <c r="G1039" i="11"/>
  <c r="H960" i="11"/>
  <c r="G959" i="11"/>
  <c r="G1975" i="13"/>
  <c r="H1976" i="13"/>
  <c r="G882" i="21"/>
  <c r="H883" i="21"/>
  <c r="H2036" i="13"/>
  <c r="G2035" i="13"/>
  <c r="G2295" i="13"/>
  <c r="H2296" i="13"/>
  <c r="H1436" i="13"/>
  <c r="G1435" i="13"/>
  <c r="G1450" i="16"/>
  <c r="H1451" i="16"/>
  <c r="H1444" i="21"/>
  <c r="G1443" i="21"/>
  <c r="H1616" i="13"/>
  <c r="G1615" i="13"/>
  <c r="H1631" i="16"/>
  <c r="G1630" i="16"/>
  <c r="G1850" i="16"/>
  <c r="H1851" i="16"/>
  <c r="H1796" i="13"/>
  <c r="G1795" i="13"/>
  <c r="H589" i="16"/>
  <c r="G588" i="16"/>
  <c r="G1743" i="21"/>
  <c r="H1744" i="21"/>
  <c r="H1791" i="16"/>
  <c r="G1790" i="16"/>
  <c r="H1891" i="16"/>
  <c r="G1890" i="16"/>
  <c r="H2053" i="16"/>
  <c r="G2052" i="16"/>
  <c r="H968" i="21"/>
  <c r="G967" i="21"/>
  <c r="H1416" i="13"/>
  <c r="G1415" i="13"/>
  <c r="H1411" i="16"/>
  <c r="G1410" i="16"/>
  <c r="G1176" i="21"/>
  <c r="H1177" i="21"/>
  <c r="G479" i="33"/>
  <c r="H480" i="33"/>
  <c r="G1255" i="13"/>
  <c r="H1256" i="13"/>
  <c r="H1471" i="16"/>
  <c r="G1470" i="16"/>
  <c r="H2173" i="16"/>
  <c r="G2172" i="16"/>
  <c r="G674" i="16"/>
  <c r="H675" i="16"/>
  <c r="H1531" i="16"/>
  <c r="G1530" i="16"/>
  <c r="H2153" i="16"/>
  <c r="G2152" i="16"/>
  <c r="H1748" i="24"/>
  <c r="G1747" i="24"/>
  <c r="H920" i="33"/>
  <c r="G919" i="33"/>
  <c r="G1972" i="26"/>
  <c r="H1973" i="26"/>
  <c r="G459" i="33"/>
  <c r="H460" i="33"/>
  <c r="G580" i="24"/>
  <c r="H581" i="24"/>
  <c r="H863" i="21"/>
  <c r="G862" i="21"/>
  <c r="H761" i="24"/>
  <c r="G760" i="24"/>
  <c r="G419" i="33"/>
  <c r="H420" i="33"/>
  <c r="H2163" i="30"/>
  <c r="G2162" i="30"/>
  <c r="H460" i="24"/>
  <c r="G459" i="24"/>
  <c r="H2023" i="30"/>
  <c r="G2022" i="30"/>
  <c r="E337" i="13"/>
  <c r="G337" i="13" s="1"/>
  <c r="H343" i="13"/>
  <c r="E2543" i="8"/>
  <c r="G2543" i="8" s="1"/>
  <c r="H2548" i="8"/>
  <c r="G119" i="6"/>
  <c r="E115" i="6" s="1"/>
  <c r="G115" i="6" s="1"/>
  <c r="E114" i="6"/>
  <c r="G114" i="6" s="1"/>
  <c r="G223" i="32"/>
  <c r="H224" i="32"/>
  <c r="G259" i="33"/>
  <c r="H260" i="33"/>
  <c r="H1381" i="8"/>
  <c r="E1376" i="8"/>
  <c r="G1376" i="8" s="1"/>
  <c r="H1376" i="8" s="1"/>
  <c r="E1375" i="8"/>
  <c r="G1375" i="8" s="1"/>
  <c r="G898" i="26"/>
  <c r="H899" i="26"/>
  <c r="G577" i="26"/>
  <c r="H578" i="26"/>
  <c r="G101" i="26"/>
  <c r="H102" i="26"/>
  <c r="G314" i="26"/>
  <c r="H315" i="26"/>
  <c r="G293" i="26"/>
  <c r="H294" i="26"/>
  <c r="G99" i="30"/>
  <c r="H99" i="30" s="1"/>
  <c r="H100" i="30"/>
  <c r="E94" i="30"/>
  <c r="G94" i="30" s="1"/>
  <c r="H982" i="8"/>
  <c r="G981" i="8"/>
  <c r="H2071" i="11"/>
  <c r="G2070" i="11"/>
  <c r="G2987" i="11"/>
  <c r="H2988" i="11"/>
  <c r="H1626" i="11"/>
  <c r="G1625" i="11"/>
  <c r="G2087" i="8"/>
  <c r="H2088" i="8"/>
  <c r="H2415" i="11"/>
  <c r="G2414" i="11"/>
  <c r="H2091" i="11"/>
  <c r="G2090" i="11"/>
  <c r="H1400" i="11"/>
  <c r="G1399" i="11"/>
  <c r="G2110" i="11"/>
  <c r="H2111" i="11"/>
  <c r="G1806" i="11"/>
  <c r="H1807" i="11"/>
  <c r="H2951" i="26"/>
  <c r="G2950" i="26"/>
  <c r="G3010" i="26"/>
  <c r="H3011" i="26"/>
  <c r="H2543" i="26"/>
  <c r="G2542" i="26"/>
  <c r="G2850" i="26"/>
  <c r="H2851" i="26"/>
  <c r="G2910" i="26"/>
  <c r="H2911" i="26"/>
  <c r="G2367" i="8"/>
  <c r="H2368" i="8"/>
  <c r="G19" i="30"/>
  <c r="E14" i="30"/>
  <c r="G14" i="30" s="1"/>
  <c r="H20" i="30"/>
  <c r="G639" i="30"/>
  <c r="H640" i="30"/>
  <c r="H109" i="8"/>
  <c r="G108" i="8"/>
  <c r="H1099" i="26"/>
  <c r="G1098" i="26"/>
  <c r="G199" i="6"/>
  <c r="E194" i="6"/>
  <c r="G194" i="6" s="1"/>
  <c r="G192" i="6" s="1"/>
  <c r="G979" i="30"/>
  <c r="H980" i="30"/>
  <c r="G1058" i="26"/>
  <c r="H1059" i="26"/>
  <c r="G795" i="13"/>
  <c r="H796" i="13"/>
  <c r="G1278" i="26"/>
  <c r="E1272" i="26" s="1"/>
  <c r="G1272" i="26" s="1"/>
  <c r="H1272" i="26" s="1"/>
  <c r="H1279" i="26"/>
  <c r="H1742" i="8"/>
  <c r="G1741" i="8"/>
  <c r="G224" i="15"/>
  <c r="H225" i="15"/>
  <c r="G639" i="11"/>
  <c r="H640" i="11"/>
  <c r="G519" i="11"/>
  <c r="H520" i="11"/>
  <c r="H740" i="11"/>
  <c r="G739" i="11"/>
  <c r="G359" i="11"/>
  <c r="H360" i="11"/>
  <c r="H1382" i="24"/>
  <c r="G1381" i="24"/>
  <c r="H1408" i="24"/>
  <c r="G1407" i="24"/>
  <c r="G559" i="33"/>
  <c r="H560" i="33"/>
  <c r="H800" i="33"/>
  <c r="G799" i="33"/>
  <c r="H1521" i="8"/>
  <c r="E1515" i="8"/>
  <c r="G1515" i="8" s="1"/>
  <c r="E1516" i="8"/>
  <c r="G1516" i="8" s="1"/>
  <c r="H1516" i="8" s="1"/>
  <c r="E1517" i="8"/>
  <c r="G1517" i="8" s="1"/>
  <c r="H1517" i="8" s="1"/>
  <c r="G778" i="26"/>
  <c r="H779" i="26"/>
  <c r="H1840" i="30"/>
  <c r="G1839" i="30"/>
  <c r="G416" i="8"/>
  <c r="H417" i="8"/>
  <c r="G437" i="26"/>
  <c r="H438" i="26"/>
  <c r="G1119" i="30"/>
  <c r="H1119" i="30" s="1"/>
  <c r="E1114" i="30"/>
  <c r="G1114" i="30" s="1"/>
  <c r="H1120" i="30"/>
  <c r="G1179" i="30"/>
  <c r="H1179" i="30" s="1"/>
  <c r="H1180" i="30"/>
  <c r="E1174" i="30"/>
  <c r="G1174" i="30" s="1"/>
  <c r="H962" i="8"/>
  <c r="G961" i="8"/>
  <c r="H2769" i="8"/>
  <c r="G2768" i="8"/>
  <c r="G2608" i="8"/>
  <c r="H2609" i="8"/>
  <c r="H1733" i="26"/>
  <c r="G1732" i="26"/>
  <c r="H1021" i="8"/>
  <c r="E1016" i="8"/>
  <c r="G1016" i="8" s="1"/>
  <c r="G1239" i="11"/>
  <c r="H1240" i="11"/>
  <c r="H740" i="21"/>
  <c r="G739" i="21"/>
  <c r="G339" i="24"/>
  <c r="H340" i="24"/>
  <c r="G1157" i="24"/>
  <c r="H1158" i="24"/>
  <c r="G1014" i="24"/>
  <c r="H1015" i="24"/>
  <c r="H2107" i="8"/>
  <c r="E2102" i="8"/>
  <c r="G2102" i="8" s="1"/>
  <c r="H1643" i="21"/>
  <c r="E1637" i="21"/>
  <c r="G1637" i="21" s="1"/>
  <c r="G864" i="15"/>
  <c r="H865" i="15"/>
  <c r="G1446" i="15"/>
  <c r="H1447" i="15"/>
  <c r="G263" i="32"/>
  <c r="H264" i="32"/>
  <c r="G1786" i="15"/>
  <c r="H1787" i="15"/>
  <c r="G424" i="15"/>
  <c r="H425" i="15"/>
  <c r="G1586" i="15"/>
  <c r="H1587" i="15"/>
  <c r="G1024" i="15"/>
  <c r="H1025" i="15"/>
  <c r="G344" i="15"/>
  <c r="H345" i="15"/>
  <c r="G2016" i="15"/>
  <c r="H2017" i="15"/>
  <c r="G1846" i="15"/>
  <c r="H1847" i="15"/>
  <c r="G504" i="15"/>
  <c r="H505" i="15"/>
  <c r="G1952" i="15"/>
  <c r="H1953" i="15"/>
  <c r="G644" i="15"/>
  <c r="H645" i="15"/>
  <c r="G383" i="32"/>
  <c r="H384" i="32"/>
  <c r="G523" i="32"/>
  <c r="H524" i="32"/>
  <c r="G463" i="32"/>
  <c r="H464" i="32"/>
  <c r="G503" i="32"/>
  <c r="H504" i="32"/>
  <c r="G883" i="32"/>
  <c r="H884" i="32"/>
  <c r="G1463" i="32"/>
  <c r="H1464" i="32"/>
  <c r="G863" i="32"/>
  <c r="H864" i="32"/>
  <c r="G583" i="32"/>
  <c r="H584" i="32"/>
  <c r="H460" i="16"/>
  <c r="G459" i="16"/>
  <c r="H1061" i="8"/>
  <c r="E1055" i="8"/>
  <c r="G1055" i="8" s="1"/>
  <c r="E1056" i="8"/>
  <c r="G1056" i="8" s="1"/>
  <c r="H1056" i="8" s="1"/>
  <c r="G881" i="8"/>
  <c r="H882" i="8"/>
  <c r="H20" i="21"/>
  <c r="G19" i="21"/>
  <c r="G512" i="13"/>
  <c r="H513" i="13"/>
  <c r="G599" i="21"/>
  <c r="H600" i="21"/>
  <c r="H497" i="8"/>
  <c r="G496" i="8"/>
  <c r="G1079" i="30"/>
  <c r="H1080" i="30"/>
  <c r="G935" i="13"/>
  <c r="H936" i="13"/>
  <c r="G101" i="13"/>
  <c r="H102" i="13"/>
  <c r="G1059" i="30"/>
  <c r="H1060" i="30"/>
  <c r="G955" i="13"/>
  <c r="H956" i="13"/>
  <c r="G1039" i="30"/>
  <c r="H1040" i="30"/>
  <c r="G839" i="30"/>
  <c r="H840" i="30"/>
  <c r="H260" i="11"/>
  <c r="G259" i="11"/>
  <c r="G456" i="8"/>
  <c r="H457" i="8"/>
  <c r="G1459" i="30"/>
  <c r="H1460" i="30"/>
  <c r="G80" i="13"/>
  <c r="H81" i="13"/>
  <c r="H1060" i="11"/>
  <c r="G1059" i="11"/>
  <c r="H2026" i="8"/>
  <c r="G2025" i="8"/>
  <c r="H1882" i="8"/>
  <c r="G1881" i="8"/>
  <c r="H1020" i="11"/>
  <c r="G1019" i="11"/>
  <c r="H1200" i="11"/>
  <c r="G1199" i="11"/>
  <c r="G2315" i="13"/>
  <c r="H2316" i="13"/>
  <c r="G1279" i="11"/>
  <c r="H1280" i="11"/>
  <c r="H1956" i="13"/>
  <c r="G1955" i="13"/>
  <c r="G2375" i="13"/>
  <c r="H2376" i="13"/>
  <c r="G2615" i="13"/>
  <c r="H2616" i="13"/>
  <c r="H920" i="11"/>
  <c r="G919" i="11"/>
  <c r="G1775" i="13"/>
  <c r="H1776" i="13"/>
  <c r="H1300" i="11"/>
  <c r="G1299" i="11"/>
  <c r="H1716" i="13"/>
  <c r="G1715" i="13"/>
  <c r="G2215" i="13"/>
  <c r="H2216" i="13"/>
  <c r="G1315" i="13"/>
  <c r="H1316" i="13"/>
  <c r="H1391" i="16"/>
  <c r="G1390" i="16"/>
  <c r="H1008" i="21"/>
  <c r="G1007" i="21"/>
  <c r="H1396" i="13"/>
  <c r="G1395" i="13"/>
  <c r="H1571" i="16"/>
  <c r="G1570" i="16"/>
  <c r="G2433" i="16"/>
  <c r="H2434" i="16"/>
  <c r="H1676" i="13"/>
  <c r="G1675" i="13"/>
  <c r="G379" i="16"/>
  <c r="H380" i="16"/>
  <c r="G1603" i="21"/>
  <c r="H1604" i="21"/>
  <c r="H1731" i="16"/>
  <c r="G1730" i="16"/>
  <c r="G2693" i="16"/>
  <c r="H2694" i="16"/>
  <c r="G2030" i="16"/>
  <c r="H2031" i="16"/>
  <c r="H843" i="21"/>
  <c r="G842" i="21"/>
  <c r="G694" i="16"/>
  <c r="H695" i="16"/>
  <c r="H1911" i="16"/>
  <c r="G1910" i="16"/>
  <c r="G904" i="21"/>
  <c r="H905" i="21"/>
  <c r="H1936" i="13"/>
  <c r="G1935" i="13"/>
  <c r="H1216" i="13"/>
  <c r="G1215" i="13"/>
  <c r="H1331" i="16"/>
  <c r="G1330" i="16"/>
  <c r="H2093" i="16"/>
  <c r="G2092" i="16"/>
  <c r="G548" i="16"/>
  <c r="H549" i="16"/>
  <c r="G1079" i="16"/>
  <c r="H1080" i="16"/>
  <c r="G2072" i="16"/>
  <c r="H2073" i="16"/>
  <c r="G1606" i="24"/>
  <c r="H1607" i="24"/>
  <c r="H1358" i="24"/>
  <c r="G1357" i="24"/>
  <c r="H1893" i="26"/>
  <c r="G1892" i="26"/>
  <c r="H2143" i="30"/>
  <c r="G2142" i="30"/>
  <c r="G954" i="24"/>
  <c r="H955" i="24"/>
  <c r="G719" i="21"/>
  <c r="H720" i="21"/>
  <c r="H1198" i="24"/>
  <c r="G1197" i="24"/>
  <c r="H320" i="33"/>
  <c r="G319" i="33"/>
  <c r="H1983" i="30"/>
  <c r="G1982" i="30"/>
  <c r="G520" i="24"/>
  <c r="H521" i="24"/>
  <c r="G1699" i="30"/>
  <c r="H1700" i="30"/>
  <c r="E310" i="8"/>
  <c r="G310" i="8" s="1"/>
  <c r="H316" i="8"/>
  <c r="E54" i="6"/>
  <c r="G54" i="6" s="1"/>
  <c r="G52" i="6" s="1"/>
  <c r="G59" i="6"/>
  <c r="G636" i="8"/>
  <c r="H637" i="8"/>
  <c r="G39" i="33"/>
  <c r="H40" i="33"/>
  <c r="H240" i="33"/>
  <c r="G239" i="33"/>
  <c r="H1219" i="33"/>
  <c r="E1214" i="33"/>
  <c r="G1214" i="33" s="1"/>
  <c r="G1592" i="26"/>
  <c r="H1593" i="26"/>
  <c r="E134" i="30"/>
  <c r="G134" i="30" s="1"/>
  <c r="H134" i="30" s="1"/>
  <c r="G139" i="30"/>
  <c r="H140" i="30"/>
  <c r="E194" i="30"/>
  <c r="G194" i="30" s="1"/>
  <c r="H200" i="30"/>
  <c r="G199" i="30"/>
  <c r="H199" i="30" s="1"/>
  <c r="G1138" i="26"/>
  <c r="H1139" i="26"/>
  <c r="G335" i="26"/>
  <c r="H336" i="26"/>
  <c r="H252" i="26"/>
  <c r="G251" i="26"/>
  <c r="G2437" i="11"/>
  <c r="H2438" i="11"/>
  <c r="H2670" i="11"/>
  <c r="G2669" i="11"/>
  <c r="H2948" i="11"/>
  <c r="G2947" i="11"/>
  <c r="H2650" i="11"/>
  <c r="G2649" i="11"/>
  <c r="H2968" i="11"/>
  <c r="G2967" i="11"/>
  <c r="H2346" i="11"/>
  <c r="G2345" i="11"/>
  <c r="G1967" i="11"/>
  <c r="H1968" i="11"/>
  <c r="H1876" i="11"/>
  <c r="G1875" i="11"/>
  <c r="H1646" i="11"/>
  <c r="G1645" i="11"/>
  <c r="H1784" i="11"/>
  <c r="G1783" i="11"/>
  <c r="H2791" i="26"/>
  <c r="G2790" i="26"/>
  <c r="H600" i="33"/>
  <c r="G599" i="33"/>
  <c r="H2257" i="26"/>
  <c r="G2256" i="26"/>
  <c r="H1260" i="33"/>
  <c r="G1259" i="33"/>
  <c r="G2770" i="26"/>
  <c r="H2771" i="26"/>
  <c r="G2327" i="8"/>
  <c r="H2328" i="8"/>
  <c r="G995" i="13"/>
  <c r="H996" i="13"/>
  <c r="G1015" i="13"/>
  <c r="H1016" i="13"/>
  <c r="G219" i="6"/>
  <c r="E214" i="6"/>
  <c r="G214" i="6" s="1"/>
  <c r="G212" i="6" s="1"/>
  <c r="G39" i="30"/>
  <c r="E34" i="30"/>
  <c r="G34" i="30" s="1"/>
  <c r="H34" i="30" s="1"/>
  <c r="H40" i="30"/>
  <c r="G276" i="8"/>
  <c r="H277" i="8"/>
  <c r="G1386" i="26"/>
  <c r="H1387" i="26"/>
  <c r="G1408" i="26"/>
  <c r="H1409" i="26"/>
  <c r="H257" i="8"/>
  <c r="G256" i="8"/>
  <c r="G637" i="26"/>
  <c r="H638" i="26"/>
  <c r="H145" i="15"/>
  <c r="G144" i="15"/>
  <c r="G104" i="15"/>
  <c r="H105" i="15"/>
  <c r="H820" i="11"/>
  <c r="G819" i="11"/>
  <c r="G379" i="11"/>
  <c r="H380" i="11"/>
  <c r="G699" i="11"/>
  <c r="H700" i="11"/>
  <c r="H1500" i="24"/>
  <c r="G1499" i="24"/>
  <c r="H500" i="33"/>
  <c r="G499" i="33"/>
  <c r="G779" i="33"/>
  <c r="H780" i="33"/>
  <c r="H720" i="33"/>
  <c r="G719" i="33"/>
  <c r="H2133" i="26"/>
  <c r="G2132" i="26"/>
  <c r="H1601" i="8"/>
  <c r="E1596" i="8"/>
  <c r="G1596" i="8" s="1"/>
  <c r="H357" i="8"/>
  <c r="G356" i="8"/>
  <c r="H1047" i="21"/>
  <c r="E1041" i="21"/>
  <c r="G1041" i="21" s="1"/>
  <c r="E1216" i="8"/>
  <c r="G1216" i="8" s="1"/>
  <c r="H1221" i="8"/>
  <c r="E1217" i="8"/>
  <c r="G1217" i="8" s="1"/>
  <c r="H1217" i="8" s="1"/>
  <c r="G239" i="30"/>
  <c r="H240" i="30"/>
  <c r="G1159" i="30"/>
  <c r="H1159" i="30" s="1"/>
  <c r="H1160" i="30"/>
  <c r="E1154" i="30"/>
  <c r="G1154" i="30" s="1"/>
  <c r="G457" i="26"/>
  <c r="H458" i="26"/>
  <c r="H300" i="11"/>
  <c r="G299" i="11"/>
  <c r="H2669" i="8"/>
  <c r="G2668" i="8"/>
  <c r="H1673" i="26"/>
  <c r="G1672" i="26"/>
  <c r="H19" i="24"/>
  <c r="E13" i="24"/>
  <c r="G13" i="24" s="1"/>
  <c r="E1074" i="33"/>
  <c r="G1074" i="33" s="1"/>
  <c r="H1079" i="33"/>
  <c r="G1339" i="11"/>
  <c r="H1340" i="11"/>
  <c r="H1667" i="24"/>
  <c r="G1666" i="24"/>
  <c r="H1277" i="24"/>
  <c r="G1276" i="24"/>
  <c r="H1318" i="24"/>
  <c r="G1317" i="24"/>
  <c r="E234" i="21"/>
  <c r="G234" i="21" s="1"/>
  <c r="H239" i="21"/>
  <c r="G924" i="15"/>
  <c r="H925" i="15"/>
  <c r="G1466" i="15"/>
  <c r="H1467" i="15"/>
  <c r="G304" i="15"/>
  <c r="H305" i="15"/>
  <c r="G1866" i="15"/>
  <c r="H1867" i="15"/>
  <c r="G564" i="15"/>
  <c r="H565" i="15"/>
  <c r="G1746" i="15"/>
  <c r="H1747" i="15"/>
  <c r="G1004" i="15"/>
  <c r="H1005" i="15"/>
  <c r="G324" i="15"/>
  <c r="H325" i="15"/>
  <c r="H485" i="15"/>
  <c r="G484" i="15"/>
  <c r="G1264" i="15"/>
  <c r="H1265" i="15"/>
  <c r="G804" i="15"/>
  <c r="H805" i="15"/>
  <c r="G364" i="15"/>
  <c r="H365" i="15"/>
  <c r="G343" i="32"/>
  <c r="H344" i="32"/>
  <c r="G483" i="32"/>
  <c r="H484" i="32"/>
  <c r="G663" i="32"/>
  <c r="H664" i="32"/>
  <c r="G603" i="32"/>
  <c r="H604" i="32"/>
  <c r="G643" i="32"/>
  <c r="H644" i="32"/>
  <c r="G1043" i="32"/>
  <c r="H1044" i="32"/>
  <c r="G1583" i="32"/>
  <c r="H1584" i="32"/>
  <c r="G1023" i="32"/>
  <c r="H1024" i="32"/>
  <c r="G743" i="32"/>
  <c r="H744" i="32"/>
  <c r="E1021" i="21"/>
  <c r="G1021" i="21" s="1"/>
  <c r="H1027" i="21"/>
  <c r="H2710" i="26"/>
  <c r="E2704" i="26"/>
  <c r="G2704" i="26" s="1"/>
  <c r="G1306" i="15"/>
  <c r="H1307" i="15"/>
  <c r="G279" i="11"/>
  <c r="H280" i="11"/>
  <c r="E1554" i="30"/>
  <c r="G1554" i="30" s="1"/>
  <c r="G1559" i="30"/>
  <c r="H1559" i="30" s="1"/>
  <c r="H1560" i="30"/>
  <c r="G179" i="21"/>
  <c r="H180" i="21"/>
  <c r="G779" i="30"/>
  <c r="H780" i="30"/>
  <c r="E1534" i="30"/>
  <c r="G1534" i="30" s="1"/>
  <c r="G1539" i="30"/>
  <c r="H1539" i="30" s="1"/>
  <c r="H1540" i="30"/>
  <c r="G143" i="13"/>
  <c r="H144" i="13"/>
  <c r="G716" i="8"/>
  <c r="H717" i="8"/>
  <c r="E1494" i="30"/>
  <c r="G1494" i="30" s="1"/>
  <c r="G1499" i="30"/>
  <c r="H1499" i="30" s="1"/>
  <c r="H1500" i="30"/>
  <c r="G99" i="11"/>
  <c r="H100" i="11"/>
  <c r="G399" i="30"/>
  <c r="H400" i="30"/>
  <c r="G719" i="30"/>
  <c r="H720" i="30"/>
  <c r="G801" i="8"/>
  <c r="H802" i="8"/>
  <c r="G499" i="30"/>
  <c r="H500" i="30"/>
  <c r="G339" i="21"/>
  <c r="H340" i="21"/>
  <c r="G582" i="13"/>
  <c r="H583" i="13"/>
  <c r="G39" i="32"/>
  <c r="H40" i="32"/>
  <c r="H80" i="32"/>
  <c r="G79" i="32"/>
  <c r="G1541" i="8"/>
  <c r="H1542" i="8"/>
  <c r="H1762" i="8"/>
  <c r="G1761" i="8"/>
  <c r="H1160" i="11"/>
  <c r="G1159" i="11"/>
  <c r="G1535" i="13"/>
  <c r="H1536" i="13"/>
  <c r="H1140" i="11"/>
  <c r="G1139" i="11"/>
  <c r="H1736" i="13"/>
  <c r="G1735" i="13"/>
  <c r="G2335" i="13"/>
  <c r="H2336" i="13"/>
  <c r="H2496" i="13"/>
  <c r="G2495" i="13"/>
  <c r="H2736" i="13"/>
  <c r="G2735" i="13"/>
  <c r="H775" i="16"/>
  <c r="G774" i="16"/>
  <c r="H1260" i="11"/>
  <c r="G1259" i="11"/>
  <c r="H1376" i="13"/>
  <c r="G1375" i="13"/>
  <c r="G2075" i="13"/>
  <c r="H2076" i="13"/>
  <c r="H1056" i="13"/>
  <c r="G1055" i="13"/>
  <c r="H2594" i="16"/>
  <c r="G2593" i="16"/>
  <c r="G927" i="21"/>
  <c r="H928" i="21"/>
  <c r="H1236" i="13"/>
  <c r="G1235" i="13"/>
  <c r="H1511" i="16"/>
  <c r="G1510" i="16"/>
  <c r="G2312" i="16"/>
  <c r="H2313" i="16"/>
  <c r="H1456" i="13"/>
  <c r="G1455" i="13"/>
  <c r="G299" i="16"/>
  <c r="H300" i="16"/>
  <c r="G1423" i="21"/>
  <c r="H1424" i="21"/>
  <c r="H1551" i="16"/>
  <c r="G1550" i="16"/>
  <c r="G2613" i="16"/>
  <c r="H2614" i="16"/>
  <c r="H1991" i="16"/>
  <c r="G1990" i="16"/>
  <c r="H620" i="21"/>
  <c r="G619" i="21"/>
  <c r="H569" i="16"/>
  <c r="G568" i="16"/>
  <c r="G1723" i="21"/>
  <c r="H1724" i="21"/>
  <c r="H1587" i="24"/>
  <c r="G1586" i="24"/>
  <c r="G1895" i="13"/>
  <c r="H1896" i="13"/>
  <c r="G1175" i="13"/>
  <c r="H1176" i="13"/>
  <c r="H1170" i="16"/>
  <c r="G1169" i="16"/>
  <c r="H1504" i="21"/>
  <c r="G1503" i="21"/>
  <c r="G525" i="16"/>
  <c r="H526" i="16"/>
  <c r="G1034" i="16"/>
  <c r="H1035" i="16"/>
  <c r="H1704" i="21"/>
  <c r="G1703" i="21"/>
  <c r="H120" i="24"/>
  <c r="G119" i="24"/>
  <c r="H200" i="24"/>
  <c r="G199" i="24"/>
  <c r="G2042" i="30"/>
  <c r="H2043" i="30"/>
  <c r="G1779" i="30"/>
  <c r="H1780" i="30"/>
  <c r="G1872" i="26"/>
  <c r="H1873" i="26"/>
  <c r="G1706" i="24"/>
  <c r="H1707" i="24"/>
  <c r="H2691" i="26"/>
  <c r="G2690" i="26"/>
  <c r="H60" i="24"/>
  <c r="G59" i="24"/>
  <c r="H1800" i="30"/>
  <c r="G1799" i="30"/>
  <c r="H601" i="24"/>
  <c r="G600" i="24"/>
  <c r="H980" i="33"/>
  <c r="G979" i="33"/>
  <c r="E2266" i="16"/>
  <c r="G2266" i="16" s="1"/>
  <c r="H2272" i="16"/>
  <c r="E1234" i="33"/>
  <c r="G1234" i="33" s="1"/>
  <c r="H1239" i="33"/>
  <c r="E510" i="8"/>
  <c r="G510" i="8" s="1"/>
  <c r="H516" i="8"/>
  <c r="E34" i="6"/>
  <c r="G34" i="6" s="1"/>
  <c r="G32" i="6" s="1"/>
  <c r="G39" i="6"/>
  <c r="G596" i="8"/>
  <c r="H597" i="8"/>
  <c r="G79" i="33"/>
  <c r="H80" i="33"/>
  <c r="G190" i="26"/>
  <c r="H191" i="26"/>
  <c r="H260" i="30"/>
  <c r="G259" i="30"/>
  <c r="E254" i="30"/>
  <c r="G254" i="30" s="1"/>
  <c r="H254" i="30" s="1"/>
  <c r="G557" i="26"/>
  <c r="H558" i="26"/>
  <c r="H273" i="26"/>
  <c r="G272" i="26"/>
  <c r="G356" i="26"/>
  <c r="H357" i="26"/>
  <c r="G135" i="26"/>
  <c r="H136" i="26"/>
  <c r="G1198" i="26"/>
  <c r="H1199" i="26"/>
  <c r="H1991" i="11"/>
  <c r="G1990" i="11"/>
  <c r="H1060" i="33"/>
  <c r="G1059" i="33"/>
  <c r="G2709" i="11"/>
  <c r="H2710" i="11"/>
  <c r="G2391" i="11"/>
  <c r="H2392" i="11"/>
  <c r="H2928" i="11"/>
  <c r="G2927" i="11"/>
  <c r="H2223" i="11"/>
  <c r="G2222" i="11"/>
  <c r="G1714" i="11"/>
  <c r="H1715" i="11"/>
  <c r="H1853" i="11"/>
  <c r="G1852" i="11"/>
  <c r="G1459" i="11"/>
  <c r="H1460" i="11"/>
  <c r="H1585" i="11"/>
  <c r="G1584" i="11"/>
  <c r="G2586" i="26"/>
  <c r="H2587" i="26"/>
  <c r="H2631" i="26"/>
  <c r="G2630" i="26"/>
  <c r="H2931" i="26"/>
  <c r="G2930" i="26"/>
  <c r="H1833" i="26"/>
  <c r="G1832" i="26"/>
  <c r="H620" i="33"/>
  <c r="G619" i="33"/>
  <c r="H2348" i="8"/>
  <c r="G2347" i="8"/>
  <c r="G2227" i="8"/>
  <c r="H2228" i="8"/>
  <c r="G299" i="30"/>
  <c r="E294" i="30"/>
  <c r="G294" i="30" s="1"/>
  <c r="H294" i="30" s="1"/>
  <c r="H300" i="30"/>
  <c r="G59" i="30"/>
  <c r="E54" i="30"/>
  <c r="G54" i="30" s="1"/>
  <c r="H54" i="30" s="1"/>
  <c r="H60" i="30"/>
  <c r="G755" i="13"/>
  <c r="H756" i="13"/>
  <c r="G279" i="30"/>
  <c r="E274" i="30"/>
  <c r="G274" i="30" s="1"/>
  <c r="H274" i="30" s="1"/>
  <c r="H280" i="30"/>
  <c r="G403" i="13"/>
  <c r="H404" i="13"/>
  <c r="G657" i="26"/>
  <c r="H658" i="26"/>
  <c r="E914" i="30"/>
  <c r="G914" i="30" s="1"/>
  <c r="H914" i="30" s="1"/>
  <c r="G919" i="30"/>
  <c r="H920" i="30"/>
  <c r="H197" i="8"/>
  <c r="G196" i="8"/>
  <c r="G363" i="13"/>
  <c r="H364" i="13"/>
  <c r="H125" i="15"/>
  <c r="G124" i="15"/>
  <c r="H205" i="15"/>
  <c r="G204" i="15"/>
  <c r="H760" i="11"/>
  <c r="G759" i="11"/>
  <c r="H340" i="11"/>
  <c r="G339" i="11"/>
  <c r="G579" i="11"/>
  <c r="H580" i="11"/>
  <c r="H2053" i="26"/>
  <c r="G2052" i="26"/>
  <c r="H1271" i="16"/>
  <c r="G1270" i="16"/>
  <c r="H700" i="33"/>
  <c r="G699" i="33"/>
  <c r="G2152" i="26"/>
  <c r="H2153" i="26"/>
  <c r="E154" i="21"/>
  <c r="G154" i="21" s="1"/>
  <c r="H159" i="21"/>
  <c r="G436" i="8"/>
  <c r="H438" i="8"/>
  <c r="E73" i="8"/>
  <c r="G73" i="8" s="1"/>
  <c r="H79" i="8"/>
  <c r="H922" i="8"/>
  <c r="G921" i="8"/>
  <c r="G1259" i="30"/>
  <c r="H1259" i="30" s="1"/>
  <c r="E1254" i="30"/>
  <c r="G1254" i="30" s="1"/>
  <c r="H1260" i="30"/>
  <c r="G477" i="26"/>
  <c r="H478" i="26"/>
  <c r="G2788" i="8"/>
  <c r="H2789" i="8"/>
  <c r="H2649" i="8"/>
  <c r="G2648" i="8"/>
  <c r="H2569" i="8"/>
  <c r="G2568" i="8"/>
  <c r="H1753" i="26"/>
  <c r="G1752" i="26"/>
  <c r="H1713" i="26"/>
  <c r="G1712" i="26"/>
  <c r="E198" i="13"/>
  <c r="G198" i="13" s="1"/>
  <c r="H203" i="13"/>
  <c r="E1036" i="8"/>
  <c r="G1036" i="8" s="1"/>
  <c r="H1036" i="8" s="1"/>
  <c r="H1041" i="8"/>
  <c r="E1035" i="8"/>
  <c r="G1035" i="8" s="1"/>
  <c r="H1471" i="26"/>
  <c r="E1467" i="26"/>
  <c r="G1467" i="26" s="1"/>
  <c r="H1467" i="26" s="1"/>
  <c r="E1465" i="26"/>
  <c r="G1465" i="26" s="1"/>
  <c r="E1466" i="26"/>
  <c r="G1466" i="26" s="1"/>
  <c r="H1466" i="26" s="1"/>
  <c r="E1455" i="8"/>
  <c r="G1455" i="8" s="1"/>
  <c r="E1456" i="8"/>
  <c r="G1456" i="8" s="1"/>
  <c r="H1456" i="8" s="1"/>
  <c r="H1461" i="8"/>
  <c r="E550" i="8"/>
  <c r="G550" i="8" s="1"/>
  <c r="H556" i="8"/>
  <c r="H1100" i="11"/>
  <c r="G1099" i="11"/>
  <c r="G870" i="24"/>
  <c r="H871" i="24"/>
  <c r="H40" i="24"/>
  <c r="G39" i="24"/>
  <c r="G1256" i="24"/>
  <c r="H1257" i="24"/>
  <c r="E693" i="21"/>
  <c r="G693" i="21" s="1"/>
  <c r="H699" i="21"/>
  <c r="G1044" i="15"/>
  <c r="H1045" i="15"/>
  <c r="G1486" i="15"/>
  <c r="H1487" i="15"/>
  <c r="G1124" i="15"/>
  <c r="H1125" i="15"/>
  <c r="G704" i="15"/>
  <c r="H705" i="15"/>
  <c r="G1806" i="15"/>
  <c r="H1807" i="15"/>
  <c r="G1164" i="15"/>
  <c r="H1165" i="15"/>
  <c r="G761" i="8"/>
  <c r="H762" i="8"/>
  <c r="G884" i="15"/>
  <c r="H885" i="15"/>
  <c r="H685" i="15"/>
  <c r="G684" i="15"/>
  <c r="G1084" i="15"/>
  <c r="H1085" i="15"/>
  <c r="G159" i="32"/>
  <c r="H160" i="32"/>
  <c r="H624" i="32"/>
  <c r="G623" i="32"/>
  <c r="G803" i="32"/>
  <c r="H804" i="32"/>
  <c r="G1163" i="32"/>
  <c r="H1164" i="32"/>
  <c r="G783" i="32"/>
  <c r="H784" i="32"/>
  <c r="G1203" i="32"/>
  <c r="H1204" i="32"/>
  <c r="G1083" i="32"/>
  <c r="H1084" i="32"/>
  <c r="G1183" i="32"/>
  <c r="H1184" i="32"/>
  <c r="G903" i="32"/>
  <c r="H904" i="32"/>
  <c r="H901" i="8"/>
  <c r="H886" i="8" s="1"/>
  <c r="G886" i="8"/>
  <c r="E49" i="1" s="1"/>
  <c r="F49" i="1" s="1"/>
  <c r="I886" i="8" s="1"/>
  <c r="G419" i="21"/>
  <c r="H420" i="21"/>
  <c r="G236" i="8"/>
  <c r="H237" i="8"/>
  <c r="G379" i="30"/>
  <c r="H380" i="30"/>
  <c r="H284" i="13"/>
  <c r="G283" i="13"/>
  <c r="G466" i="13"/>
  <c r="H467" i="13"/>
  <c r="G879" i="30"/>
  <c r="H880" i="30"/>
  <c r="G243" i="13"/>
  <c r="H244" i="13"/>
  <c r="G535" i="13"/>
  <c r="H536" i="13"/>
  <c r="G399" i="21"/>
  <c r="H400" i="21"/>
  <c r="G59" i="11"/>
  <c r="H60" i="11"/>
  <c r="H264" i="13"/>
  <c r="G263" i="13"/>
  <c r="G359" i="21"/>
  <c r="H360" i="21"/>
  <c r="G179" i="11"/>
  <c r="H180" i="11"/>
  <c r="G279" i="21"/>
  <c r="H280" i="21"/>
  <c r="G459" i="21"/>
  <c r="H460" i="21"/>
  <c r="G738" i="8"/>
  <c r="H739" i="8"/>
  <c r="H1162" i="8"/>
  <c r="G1161" i="8"/>
  <c r="H2047" i="8"/>
  <c r="G2046" i="8"/>
  <c r="H2709" i="8"/>
  <c r="G2708" i="8"/>
  <c r="H2596" i="13"/>
  <c r="G2595" i="13"/>
  <c r="G2755" i="13"/>
  <c r="H2756" i="13"/>
  <c r="H855" i="16"/>
  <c r="G854" i="16"/>
  <c r="H2676" i="13"/>
  <c r="G2675" i="13"/>
  <c r="H1356" i="13"/>
  <c r="G1355" i="13"/>
  <c r="H2196" i="13"/>
  <c r="G2195" i="13"/>
  <c r="H2276" i="13"/>
  <c r="G2275" i="13"/>
  <c r="H2696" i="13"/>
  <c r="G2695" i="13"/>
  <c r="H655" i="16"/>
  <c r="G654" i="16"/>
  <c r="H1220" i="11"/>
  <c r="G1219" i="11"/>
  <c r="H1076" i="13"/>
  <c r="G1075" i="13"/>
  <c r="G1655" i="13"/>
  <c r="H1656" i="13"/>
  <c r="H895" i="16"/>
  <c r="G894" i="16"/>
  <c r="G2553" i="16"/>
  <c r="H2554" i="16"/>
  <c r="G2182" i="30"/>
  <c r="H2183" i="30"/>
  <c r="H1156" i="13"/>
  <c r="G1155" i="13"/>
  <c r="H1431" i="16"/>
  <c r="G1430" i="16"/>
  <c r="G1483" i="21"/>
  <c r="H1484" i="21"/>
  <c r="H1276" i="13"/>
  <c r="G1275" i="13"/>
  <c r="H1811" i="16"/>
  <c r="G1810" i="16"/>
  <c r="H1300" i="21"/>
  <c r="G1299" i="21"/>
  <c r="H1491" i="16"/>
  <c r="G1490" i="16"/>
  <c r="G2533" i="16"/>
  <c r="H2534" i="16"/>
  <c r="H1951" i="16"/>
  <c r="G1950" i="16"/>
  <c r="H400" i="24"/>
  <c r="G399" i="24"/>
  <c r="G439" i="16"/>
  <c r="H440" i="16"/>
  <c r="H1584" i="21"/>
  <c r="G1583" i="21"/>
  <c r="H561" i="24"/>
  <c r="G560" i="24"/>
  <c r="H1816" i="13"/>
  <c r="G1815" i="13"/>
  <c r="G1135" i="13"/>
  <c r="H1136" i="13"/>
  <c r="H935" i="16"/>
  <c r="G934" i="16"/>
  <c r="H1091" i="21"/>
  <c r="G1090" i="21"/>
  <c r="G502" i="16"/>
  <c r="H503" i="16"/>
  <c r="H975" i="16"/>
  <c r="G974" i="16"/>
  <c r="G1563" i="21"/>
  <c r="H1564" i="21"/>
  <c r="G660" i="24"/>
  <c r="H661" i="24"/>
  <c r="H260" i="24"/>
  <c r="G259" i="24"/>
  <c r="H2003" i="30"/>
  <c r="G2002" i="30"/>
  <c r="G999" i="33"/>
  <c r="H1000" i="33"/>
  <c r="H2103" i="30"/>
  <c r="G2102" i="30"/>
  <c r="H1567" i="24"/>
  <c r="G1566" i="24"/>
  <c r="G1952" i="26"/>
  <c r="H1953" i="26"/>
  <c r="H240" i="24"/>
  <c r="G239" i="24"/>
  <c r="G1639" i="30"/>
  <c r="H1640" i="30"/>
  <c r="G914" i="24"/>
  <c r="H915" i="24"/>
  <c r="G859" i="33"/>
  <c r="H860" i="33"/>
  <c r="H1621" i="8"/>
  <c r="E1616" i="8"/>
  <c r="G1616" i="8" s="1"/>
  <c r="H2407" i="8"/>
  <c r="E2402" i="8"/>
  <c r="G2402" i="8" s="1"/>
  <c r="G99" i="6"/>
  <c r="E94" i="6"/>
  <c r="G94" i="6" s="1"/>
  <c r="G92" i="6" s="1"/>
  <c r="H2323" i="11"/>
  <c r="G2322" i="11"/>
  <c r="H617" i="8"/>
  <c r="G616" i="8"/>
  <c r="G59" i="33"/>
  <c r="H60" i="33"/>
  <c r="H679" i="21"/>
  <c r="E673" i="21"/>
  <c r="G673" i="21" s="1"/>
  <c r="H1081" i="8"/>
  <c r="E1076" i="8"/>
  <c r="G1076" i="8" s="1"/>
  <c r="H1239" i="26"/>
  <c r="G1238" i="26"/>
  <c r="G479" i="30"/>
  <c r="H480" i="30"/>
  <c r="E474" i="30"/>
  <c r="G474" i="30" s="1"/>
  <c r="G219" i="30"/>
  <c r="H219" i="30" s="1"/>
  <c r="H220" i="30"/>
  <c r="E214" i="30"/>
  <c r="G214" i="30" s="1"/>
  <c r="H68" i="26"/>
  <c r="G67" i="26"/>
  <c r="G33" i="26"/>
  <c r="H34" i="26"/>
  <c r="G878" i="26"/>
  <c r="H879" i="26"/>
  <c r="G1342" i="26"/>
  <c r="H1343" i="26"/>
  <c r="H2530" i="11"/>
  <c r="G2529" i="11"/>
  <c r="H2908" i="11"/>
  <c r="G2907" i="11"/>
  <c r="H2570" i="11"/>
  <c r="G2569" i="11"/>
  <c r="H1945" i="11"/>
  <c r="G1944" i="11"/>
  <c r="H2862" i="11"/>
  <c r="G2861" i="11"/>
  <c r="H2154" i="11"/>
  <c r="G2153" i="11"/>
  <c r="H1522" i="11"/>
  <c r="G1521" i="11"/>
  <c r="H1738" i="11"/>
  <c r="G1737" i="11"/>
  <c r="H1899" i="11"/>
  <c r="G1898" i="11"/>
  <c r="G1563" i="11"/>
  <c r="H1564" i="11"/>
  <c r="H2433" i="26"/>
  <c r="G2432" i="26"/>
  <c r="H2345" i="26"/>
  <c r="G2344" i="26"/>
  <c r="H2831" i="26"/>
  <c r="G2830" i="26"/>
  <c r="G2410" i="26"/>
  <c r="H2411" i="26"/>
  <c r="G1772" i="26"/>
  <c r="H1773" i="26"/>
  <c r="H2148" i="8"/>
  <c r="G2147" i="8"/>
  <c r="G2167" i="8"/>
  <c r="H2168" i="8"/>
  <c r="H137" i="8"/>
  <c r="G136" i="8"/>
  <c r="G939" i="30"/>
  <c r="H940" i="30"/>
  <c r="G1216" i="24"/>
  <c r="H1217" i="24"/>
  <c r="G698" i="26"/>
  <c r="H699" i="26"/>
  <c r="G1428" i="26"/>
  <c r="H1429" i="26"/>
  <c r="G998" i="26"/>
  <c r="H999" i="26"/>
  <c r="G699" i="30"/>
  <c r="H700" i="30"/>
  <c r="G383" i="13"/>
  <c r="H384" i="13"/>
  <c r="G156" i="8"/>
  <c r="H157" i="8"/>
  <c r="H1342" i="8"/>
  <c r="G1341" i="8"/>
  <c r="G1801" i="8"/>
  <c r="H1802" i="8"/>
  <c r="G459" i="11"/>
  <c r="H460" i="11"/>
  <c r="H1191" i="16"/>
  <c r="G1190" i="16"/>
  <c r="G439" i="11"/>
  <c r="H440" i="11"/>
  <c r="H760" i="33"/>
  <c r="G759" i="33"/>
  <c r="H1211" i="16"/>
  <c r="G1210" i="16"/>
  <c r="G679" i="33"/>
  <c r="H680" i="33"/>
  <c r="G539" i="33"/>
  <c r="H540" i="33"/>
  <c r="E732" i="26"/>
  <c r="G732" i="26" s="1"/>
  <c r="E733" i="26"/>
  <c r="G733" i="26" s="1"/>
  <c r="H733" i="26" s="1"/>
  <c r="H738" i="26"/>
  <c r="H2267" i="8"/>
  <c r="E2262" i="8"/>
  <c r="G2262" i="8" s="1"/>
  <c r="G798" i="26"/>
  <c r="H799" i="26"/>
  <c r="H1501" i="8"/>
  <c r="E1495" i="8"/>
  <c r="G1495" i="8" s="1"/>
  <c r="E1496" i="8"/>
  <c r="G1496" i="8" s="1"/>
  <c r="H1496" i="8" s="1"/>
  <c r="H1001" i="8"/>
  <c r="E996" i="8"/>
  <c r="G996" i="8" s="1"/>
  <c r="H1262" i="8"/>
  <c r="G1261" i="8"/>
  <c r="G159" i="30"/>
  <c r="H160" i="30"/>
  <c r="G416" i="26"/>
  <c r="H417" i="26"/>
  <c r="G2528" i="8"/>
  <c r="H2529" i="8"/>
  <c r="G1901" i="8"/>
  <c r="H1902" i="8"/>
  <c r="H2729" i="8"/>
  <c r="G2728" i="8"/>
  <c r="H1813" i="26"/>
  <c r="G1812" i="26"/>
  <c r="E530" i="8"/>
  <c r="G530" i="8" s="1"/>
  <c r="H536" i="8"/>
  <c r="H779" i="21"/>
  <c r="E773" i="21"/>
  <c r="G773" i="21" s="1"/>
  <c r="G2493" i="16"/>
  <c r="H2494" i="16"/>
  <c r="G994" i="24"/>
  <c r="H995" i="24"/>
  <c r="H100" i="24"/>
  <c r="G99" i="24"/>
  <c r="H320" i="24"/>
  <c r="G319" i="24"/>
  <c r="E1174" i="33"/>
  <c r="G1174" i="33" s="1"/>
  <c r="H1179" i="33"/>
  <c r="H2427" i="8"/>
  <c r="E2422" i="8"/>
  <c r="G2422" i="8" s="1"/>
  <c r="E613" i="30"/>
  <c r="G613" i="30" s="1"/>
  <c r="H619" i="30"/>
  <c r="G1566" i="15"/>
  <c r="H1567" i="15"/>
  <c r="G1506" i="15"/>
  <c r="H1507" i="15"/>
  <c r="G904" i="15"/>
  <c r="H905" i="15"/>
  <c r="G283" i="32"/>
  <c r="H284" i="32"/>
  <c r="G1204" i="15"/>
  <c r="H1205" i="15"/>
  <c r="G744" i="15"/>
  <c r="H745" i="15"/>
  <c r="G1184" i="15"/>
  <c r="H1185" i="15"/>
  <c r="G464" i="15"/>
  <c r="H465" i="15"/>
  <c r="G964" i="15"/>
  <c r="H965" i="15"/>
  <c r="G1686" i="15"/>
  <c r="H1687" i="15"/>
  <c r="G1346" i="15"/>
  <c r="H1347" i="15"/>
  <c r="G824" i="15"/>
  <c r="H825" i="15"/>
  <c r="G2056" i="15"/>
  <c r="H2057" i="15"/>
  <c r="G763" i="32"/>
  <c r="H764" i="32"/>
  <c r="G943" i="32"/>
  <c r="H944" i="32"/>
  <c r="G683" i="32"/>
  <c r="H684" i="32"/>
  <c r="G923" i="32"/>
  <c r="H924" i="32"/>
  <c r="G1363" i="32"/>
  <c r="H1364" i="32"/>
  <c r="G1243" i="32"/>
  <c r="H1244" i="32"/>
  <c r="G1343" i="32"/>
  <c r="H1344" i="32"/>
  <c r="G1063" i="32"/>
  <c r="H1064" i="32"/>
  <c r="E1396" i="8"/>
  <c r="G1396" i="8" s="1"/>
  <c r="H1396" i="8" s="1"/>
  <c r="E1395" i="8"/>
  <c r="G1395" i="8" s="1"/>
  <c r="H1401" i="8"/>
  <c r="E330" i="8"/>
  <c r="G330" i="8" s="1"/>
  <c r="H336" i="8"/>
  <c r="G323" i="13"/>
  <c r="H324" i="13"/>
  <c r="H1320" i="30"/>
  <c r="G1319" i="30"/>
  <c r="E1574" i="30"/>
  <c r="G1574" i="30" s="1"/>
  <c r="G1579" i="30"/>
  <c r="H1579" i="30" s="1"/>
  <c r="H1580" i="30"/>
  <c r="G79" i="11"/>
  <c r="H80" i="11"/>
  <c r="E1594" i="30"/>
  <c r="G1594" i="30" s="1"/>
  <c r="G1599" i="30"/>
  <c r="H1599" i="30" s="1"/>
  <c r="H1600" i="30"/>
  <c r="G199" i="21"/>
  <c r="H200" i="21"/>
  <c r="G39" i="13"/>
  <c r="H40" i="13"/>
  <c r="H1480" i="30"/>
  <c r="G1479" i="30"/>
  <c r="H1479" i="30" s="1"/>
  <c r="E1474" i="30"/>
  <c r="G1474" i="30" s="1"/>
  <c r="G79" i="21"/>
  <c r="H80" i="21"/>
  <c r="G199" i="16"/>
  <c r="H200" i="16"/>
  <c r="G159" i="11"/>
  <c r="H160" i="11"/>
  <c r="G259" i="21"/>
  <c r="H260" i="21"/>
  <c r="G821" i="8"/>
  <c r="H822" i="8"/>
  <c r="G303" i="13"/>
  <c r="H304" i="13"/>
  <c r="G299" i="21"/>
  <c r="H300" i="21"/>
  <c r="G159" i="16"/>
  <c r="E154" i="16" s="1"/>
  <c r="G154" i="16" s="1"/>
  <c r="H154" i="16" s="1"/>
  <c r="H160" i="16"/>
  <c r="G1130" i="21"/>
  <c r="H1131" i="21"/>
  <c r="H1984" i="8"/>
  <c r="G1983" i="8"/>
  <c r="G2487" i="8"/>
  <c r="H2488" i="8"/>
  <c r="G2095" i="13"/>
  <c r="H2096" i="13"/>
  <c r="H2716" i="13"/>
  <c r="G2715" i="13"/>
  <c r="H735" i="16"/>
  <c r="G734" i="16"/>
  <c r="H2476" i="13"/>
  <c r="G2475" i="13"/>
  <c r="H1116" i="13"/>
  <c r="G1115" i="13"/>
  <c r="H1996" i="13"/>
  <c r="G1995" i="13"/>
  <c r="G1875" i="13"/>
  <c r="H1876" i="13"/>
  <c r="H2556" i="13"/>
  <c r="G2555" i="13"/>
  <c r="H320" i="16"/>
  <c r="G319" i="16"/>
  <c r="G2775" i="13"/>
  <c r="H2776" i="13"/>
  <c r="H1931" i="16"/>
  <c r="G1930" i="16"/>
  <c r="H1576" i="13"/>
  <c r="G1575" i="13"/>
  <c r="H815" i="16"/>
  <c r="G814" i="16"/>
  <c r="H2373" i="16"/>
  <c r="G2372" i="16"/>
  <c r="G2082" i="30"/>
  <c r="H2083" i="30"/>
  <c r="H875" i="16"/>
  <c r="G874" i="16"/>
  <c r="G1370" i="16"/>
  <c r="H1371" i="16"/>
  <c r="G1239" i="21"/>
  <c r="H1240" i="21"/>
  <c r="H1196" i="13"/>
  <c r="G1195" i="13"/>
  <c r="H2654" i="16"/>
  <c r="G2653" i="16"/>
  <c r="H1154" i="21"/>
  <c r="G1153" i="21"/>
  <c r="H1351" i="16"/>
  <c r="G1350" i="16"/>
  <c r="H2474" i="16"/>
  <c r="G2473" i="16"/>
  <c r="G1523" i="21"/>
  <c r="H1524" i="21"/>
  <c r="G780" i="24"/>
  <c r="H781" i="24"/>
  <c r="H360" i="16"/>
  <c r="G359" i="16"/>
  <c r="H1464" i="21"/>
  <c r="G1463" i="21"/>
  <c r="G680" i="24"/>
  <c r="H681" i="24"/>
  <c r="G1755" i="13"/>
  <c r="H1756" i="13"/>
  <c r="H1036" i="13"/>
  <c r="G1035" i="13"/>
  <c r="G1870" i="16"/>
  <c r="H1871" i="16"/>
  <c r="G947" i="21"/>
  <c r="H948" i="21"/>
  <c r="H420" i="16"/>
  <c r="G419" i="16"/>
  <c r="G2713" i="16"/>
  <c r="H2714" i="16"/>
  <c r="G1383" i="21"/>
  <c r="H1384" i="21"/>
  <c r="G1074" i="24"/>
  <c r="H1075" i="24"/>
  <c r="H300" i="24"/>
  <c r="G299" i="24"/>
  <c r="H1963" i="30"/>
  <c r="G1962" i="30"/>
  <c r="H440" i="33"/>
  <c r="G439" i="33"/>
  <c r="G2062" i="30"/>
  <c r="H2063" i="30"/>
  <c r="G1477" i="24"/>
  <c r="H1478" i="24"/>
  <c r="H1933" i="26"/>
  <c r="G1932" i="26"/>
  <c r="H380" i="24"/>
  <c r="G379" i="24"/>
  <c r="H360" i="33"/>
  <c r="G359" i="33"/>
  <c r="H2671" i="26"/>
  <c r="G2670" i="26"/>
  <c r="H520" i="33"/>
  <c r="G519" i="33"/>
  <c r="E14" i="6"/>
  <c r="G14" i="6" s="1"/>
  <c r="G12" i="6" s="1"/>
  <c r="G19" i="6"/>
  <c r="G2213" i="26"/>
  <c r="H2214" i="26"/>
  <c r="G119" i="33"/>
  <c r="H120" i="33"/>
  <c r="H1361" i="8"/>
  <c r="E1355" i="8"/>
  <c r="G1355" i="8" s="1"/>
  <c r="E1356" i="8"/>
  <c r="G1356" i="8" s="1"/>
  <c r="H1356" i="8" s="1"/>
  <c r="G1178" i="26"/>
  <c r="H1179" i="26"/>
  <c r="G858" i="26"/>
  <c r="H859" i="26"/>
  <c r="G179" i="30"/>
  <c r="H179" i="30" s="1"/>
  <c r="E174" i="30"/>
  <c r="G174" i="30" s="1"/>
  <c r="H180" i="30"/>
  <c r="G838" i="26"/>
  <c r="H839" i="26"/>
  <c r="G918" i="26"/>
  <c r="H919" i="26"/>
  <c r="G396" i="26"/>
  <c r="H397" i="26"/>
  <c r="G1511" i="26"/>
  <c r="H1512" i="26"/>
  <c r="H2885" i="11"/>
  <c r="G2884" i="11"/>
  <c r="H2839" i="11"/>
  <c r="G2838" i="11"/>
  <c r="G2483" i="11"/>
  <c r="H2484" i="11"/>
  <c r="H900" i="11"/>
  <c r="G899" i="11"/>
  <c r="G2792" i="11"/>
  <c r="H2793" i="11"/>
  <c r="H1692" i="11"/>
  <c r="G1691" i="11"/>
  <c r="G1439" i="11"/>
  <c r="H1440" i="11"/>
  <c r="H1606" i="11"/>
  <c r="G1605" i="11"/>
  <c r="H1761" i="11"/>
  <c r="G1760" i="11"/>
  <c r="H1380" i="11"/>
  <c r="G1379" i="11"/>
  <c r="H2389" i="26"/>
  <c r="G2388" i="26"/>
  <c r="G2300" i="26"/>
  <c r="H2301" i="26"/>
  <c r="G2498" i="26"/>
  <c r="H2499" i="26"/>
  <c r="H2367" i="26"/>
  <c r="G2366" i="26"/>
  <c r="G2608" i="26"/>
  <c r="H2609" i="26"/>
  <c r="H2308" i="8"/>
  <c r="G2307" i="8"/>
  <c r="H2128" i="8"/>
  <c r="G2127" i="8"/>
  <c r="G423" i="13"/>
  <c r="H424" i="13"/>
  <c r="G1298" i="26"/>
  <c r="H1299" i="26"/>
  <c r="G679" i="30"/>
  <c r="H680" i="30"/>
  <c r="H819" i="26"/>
  <c r="G818" i="26"/>
  <c r="G1018" i="26"/>
  <c r="H1019" i="26"/>
  <c r="G219" i="11"/>
  <c r="H220" i="11"/>
  <c r="G1078" i="26"/>
  <c r="H1079" i="26"/>
  <c r="G775" i="13"/>
  <c r="H776" i="13"/>
  <c r="H217" i="8"/>
  <c r="G216" i="8"/>
  <c r="H165" i="15"/>
  <c r="G164" i="15"/>
  <c r="H560" i="11"/>
  <c r="G559" i="11"/>
  <c r="H420" i="11"/>
  <c r="G419" i="11"/>
  <c r="H600" i="11"/>
  <c r="G599" i="11"/>
  <c r="H400" i="11"/>
  <c r="G399" i="11"/>
  <c r="G1290" i="16"/>
  <c r="H1291" i="16"/>
  <c r="H2333" i="16"/>
  <c r="G2332" i="16"/>
  <c r="H2173" i="26"/>
  <c r="G2172" i="26"/>
  <c r="H280" i="33"/>
  <c r="G279" i="33"/>
  <c r="E1677" i="8"/>
  <c r="G1677" i="8" s="1"/>
  <c r="H1677" i="8" s="1"/>
  <c r="E1675" i="8"/>
  <c r="G1675" i="8" s="1"/>
  <c r="E1676" i="8"/>
  <c r="G1676" i="8" s="1"/>
  <c r="H1676" i="8" s="1"/>
  <c r="H1681" i="8"/>
  <c r="H1992" i="26"/>
  <c r="H1977" i="26" s="1"/>
  <c r="G1977" i="26"/>
  <c r="E957" i="1" s="1"/>
  <c r="F957" i="1" s="1"/>
  <c r="I1977" i="26" s="1"/>
  <c r="H377" i="8"/>
  <c r="G376" i="8"/>
  <c r="E713" i="26"/>
  <c r="G713" i="26" s="1"/>
  <c r="H713" i="26" s="1"/>
  <c r="E712" i="26"/>
  <c r="G712" i="26" s="1"/>
  <c r="H718" i="26"/>
  <c r="E2442" i="8"/>
  <c r="G2442" i="8" s="1"/>
  <c r="H2447" i="8"/>
  <c r="H1202" i="8"/>
  <c r="G1201" i="8"/>
  <c r="G1239" i="30"/>
  <c r="H1239" i="30" s="1"/>
  <c r="E1234" i="30"/>
  <c r="G1234" i="30" s="1"/>
  <c r="H1240" i="30"/>
  <c r="E1094" i="30"/>
  <c r="G1094" i="30" s="1"/>
  <c r="G1099" i="30"/>
  <c r="H1099" i="30" s="1"/>
  <c r="H1100" i="30"/>
  <c r="H2749" i="8"/>
  <c r="G2748" i="8"/>
  <c r="H2243" i="11"/>
  <c r="G2242" i="11"/>
  <c r="H2589" i="8"/>
  <c r="G2588" i="8"/>
  <c r="G1652" i="26"/>
  <c r="H1653" i="26"/>
  <c r="E392" i="8"/>
  <c r="G392" i="8" s="1"/>
  <c r="H392" i="8" s="1"/>
  <c r="H396" i="8"/>
  <c r="E391" i="8"/>
  <c r="G391" i="8" s="1"/>
  <c r="E1096" i="8"/>
  <c r="G1096" i="8" s="1"/>
  <c r="H1101" i="8"/>
  <c r="H939" i="33"/>
  <c r="E934" i="33"/>
  <c r="G934" i="33" s="1"/>
  <c r="H934" i="33" s="1"/>
  <c r="E933" i="33"/>
  <c r="G933" i="33" s="1"/>
  <c r="H1141" i="8"/>
  <c r="E1135" i="8"/>
  <c r="G1135" i="8" s="1"/>
  <c r="H296" i="8"/>
  <c r="E290" i="8"/>
  <c r="G290" i="8" s="1"/>
  <c r="H1647" i="24"/>
  <c r="G1646" i="24"/>
  <c r="G934" i="24"/>
  <c r="H935" i="24"/>
  <c r="H481" i="24"/>
  <c r="G480" i="24"/>
  <c r="H850" i="24"/>
  <c r="G849" i="24"/>
  <c r="H2252" i="16"/>
  <c r="E2246" i="16"/>
  <c r="G2246" i="16" s="1"/>
  <c r="G1930" i="15"/>
  <c r="H1931" i="15"/>
  <c r="G1886" i="15"/>
  <c r="H1887" i="15"/>
  <c r="G984" i="15"/>
  <c r="H985" i="15"/>
  <c r="G844" i="15"/>
  <c r="H845" i="15"/>
  <c r="G1526" i="15"/>
  <c r="H1527" i="15"/>
  <c r="G584" i="15"/>
  <c r="H585" i="15"/>
  <c r="G1406" i="15"/>
  <c r="H1407" i="15"/>
  <c r="G404" i="15"/>
  <c r="H405" i="15"/>
  <c r="G1104" i="15"/>
  <c r="H1105" i="15"/>
  <c r="G384" i="15"/>
  <c r="H385" i="15"/>
  <c r="H1707" i="15"/>
  <c r="G1706" i="15"/>
  <c r="G944" i="15"/>
  <c r="H945" i="15"/>
  <c r="G2096" i="15"/>
  <c r="H2097" i="15"/>
  <c r="G1003" i="32"/>
  <c r="H1004" i="32"/>
  <c r="G1123" i="32"/>
  <c r="H1124" i="32"/>
  <c r="G963" i="32"/>
  <c r="H964" i="32"/>
  <c r="G1103" i="32"/>
  <c r="H1104" i="32"/>
  <c r="G1603" i="32"/>
  <c r="H1604" i="32"/>
  <c r="G1403" i="32"/>
  <c r="H1404" i="32"/>
  <c r="G1543" i="32"/>
  <c r="H1544" i="32"/>
  <c r="G1223" i="32"/>
  <c r="H1224" i="32"/>
  <c r="E1635" i="8"/>
  <c r="G1635" i="8" s="1"/>
  <c r="H1641" i="8"/>
  <c r="G219" i="33"/>
  <c r="H220" i="33"/>
  <c r="G895" i="13"/>
  <c r="H896" i="13"/>
  <c r="G359" i="30"/>
  <c r="H360" i="30"/>
  <c r="G119" i="11"/>
  <c r="H120" i="11"/>
  <c r="G519" i="30"/>
  <c r="H519" i="30" s="1"/>
  <c r="E514" i="30"/>
  <c r="G514" i="30" s="1"/>
  <c r="H520" i="30"/>
  <c r="G139" i="21"/>
  <c r="H140" i="21"/>
  <c r="G199" i="11"/>
  <c r="H200" i="11"/>
  <c r="H676" i="13"/>
  <c r="G675" i="13"/>
  <c r="H480" i="21"/>
  <c r="G479" i="21"/>
  <c r="G539" i="21"/>
  <c r="H540" i="21"/>
  <c r="G179" i="33"/>
  <c r="H180" i="33"/>
  <c r="G319" i="21"/>
  <c r="H320" i="21"/>
  <c r="G179" i="16"/>
  <c r="H180" i="16"/>
  <c r="G1439" i="30"/>
  <c r="H1440" i="30"/>
  <c r="G489" i="13"/>
  <c r="H490" i="13"/>
  <c r="H20" i="32"/>
  <c r="G19" i="32"/>
  <c r="H1962" i="8"/>
  <c r="G1961" i="8"/>
  <c r="H2283" i="11"/>
  <c r="G2282" i="11"/>
  <c r="H2068" i="8"/>
  <c r="G2067" i="8"/>
  <c r="G1970" i="16"/>
  <c r="H1971" i="16"/>
  <c r="H2656" i="13"/>
  <c r="G2655" i="13"/>
  <c r="G399" i="16"/>
  <c r="H400" i="16"/>
  <c r="G2235" i="13"/>
  <c r="H2236" i="13"/>
  <c r="G239" i="16"/>
  <c r="H240" i="16"/>
  <c r="G1595" i="13"/>
  <c r="H1596" i="13"/>
  <c r="G1515" i="13"/>
  <c r="H1516" i="13"/>
  <c r="H2436" i="13"/>
  <c r="G2435" i="13"/>
  <c r="G2010" i="16"/>
  <c r="H2011" i="16"/>
  <c r="G2635" i="13"/>
  <c r="H2636" i="13"/>
  <c r="G1135" i="24"/>
  <c r="H1136" i="24"/>
  <c r="G1683" i="21"/>
  <c r="H1684" i="21"/>
  <c r="G1750" i="16"/>
  <c r="H1751" i="16"/>
  <c r="H2213" i="16"/>
  <c r="G2212" i="16"/>
  <c r="H840" i="33"/>
  <c r="G839" i="33"/>
  <c r="H795" i="16"/>
  <c r="G794" i="16"/>
  <c r="H1105" i="16"/>
  <c r="G1104" i="16"/>
  <c r="G987" i="21"/>
  <c r="H988" i="21"/>
  <c r="G714" i="16"/>
  <c r="H715" i="16"/>
  <c r="H2574" i="16"/>
  <c r="G2573" i="16"/>
  <c r="H820" i="21"/>
  <c r="G819" i="21"/>
  <c r="H1130" i="16"/>
  <c r="G1129" i="16"/>
  <c r="H2293" i="16"/>
  <c r="G2292" i="16"/>
  <c r="H1324" i="21"/>
  <c r="G1323" i="21"/>
  <c r="G339" i="33"/>
  <c r="H340" i="33"/>
  <c r="H280" i="16"/>
  <c r="G279" i="16"/>
  <c r="G1403" i="21"/>
  <c r="H1404" i="21"/>
  <c r="G2032" i="26"/>
  <c r="E2028" i="26" s="1"/>
  <c r="G2028" i="26" s="1"/>
  <c r="H2028" i="26" s="1"/>
  <c r="H2033" i="26"/>
  <c r="H1696" i="13"/>
  <c r="G1695" i="13"/>
  <c r="G834" i="16"/>
  <c r="H835" i="16"/>
  <c r="H1831" i="16"/>
  <c r="G1830" i="16"/>
  <c r="H800" i="21"/>
  <c r="G799" i="21"/>
  <c r="H340" i="16"/>
  <c r="G339" i="16"/>
  <c r="H2674" i="16"/>
  <c r="G2673" i="16"/>
  <c r="H1260" i="21"/>
  <c r="G1259" i="21"/>
  <c r="H1942" i="30"/>
  <c r="G1941" i="30"/>
  <c r="H621" i="24"/>
  <c r="G620" i="24"/>
  <c r="H1900" i="30"/>
  <c r="G1899" i="30"/>
  <c r="H380" i="33"/>
  <c r="G379" i="33"/>
  <c r="H1880" i="30"/>
  <c r="G1879" i="30"/>
  <c r="H1338" i="24"/>
  <c r="G1337" i="24"/>
  <c r="G1920" i="30"/>
  <c r="H1921" i="30"/>
  <c r="G439" i="24"/>
  <c r="H440" i="24"/>
  <c r="H1728" i="24"/>
  <c r="G1727" i="24"/>
  <c r="H2073" i="26"/>
  <c r="G2072" i="26"/>
  <c r="G399" i="33"/>
  <c r="H400" i="33"/>
  <c r="E573" i="21"/>
  <c r="G573" i="21" s="1"/>
  <c r="H579" i="21"/>
  <c r="G79" i="6"/>
  <c r="E74" i="6"/>
  <c r="G74" i="6" s="1"/>
  <c r="G72" i="6" s="1"/>
  <c r="H2235" i="26"/>
  <c r="G2234" i="26"/>
  <c r="H1026" i="33"/>
  <c r="H1512" i="24"/>
  <c r="Q804" i="2"/>
  <c r="Q805" i="2"/>
  <c r="Q803" i="2"/>
  <c r="Q802" i="2"/>
  <c r="Q801" i="2"/>
  <c r="Q800" i="2"/>
  <c r="Q806" i="2"/>
  <c r="Q799" i="2"/>
  <c r="Q797" i="2"/>
  <c r="Q798" i="2"/>
  <c r="Q608" i="2"/>
  <c r="Q174" i="2"/>
  <c r="Q173" i="2"/>
  <c r="Q183" i="2"/>
  <c r="Q182" i="2"/>
  <c r="Q181" i="2"/>
  <c r="Q74" i="2"/>
  <c r="Q72" i="2"/>
  <c r="Q71" i="2"/>
  <c r="Q73" i="2"/>
  <c r="Q18" i="2"/>
  <c r="Q129" i="2"/>
  <c r="Q130" i="2"/>
  <c r="Q128" i="2"/>
  <c r="Q126" i="2"/>
  <c r="Q125" i="2"/>
  <c r="Q127" i="2"/>
  <c r="Q717" i="2"/>
  <c r="Q21" i="2"/>
  <c r="Q16" i="2"/>
  <c r="Q15" i="2"/>
  <c r="Q19" i="2"/>
  <c r="Q14" i="2"/>
  <c r="Q13" i="2"/>
  <c r="Q20" i="2"/>
  <c r="Q17" i="2"/>
  <c r="Q124" i="2"/>
  <c r="Q123" i="2"/>
  <c r="Q122" i="2"/>
  <c r="Q121" i="2"/>
  <c r="H745" i="8"/>
  <c r="K4" i="8"/>
  <c r="J4" i="8"/>
  <c r="K4" i="16"/>
  <c r="I4" i="16"/>
  <c r="J4" i="16" s="1"/>
  <c r="K24" i="36"/>
  <c r="J24" i="36"/>
  <c r="G112" i="6" l="1"/>
  <c r="Q693" i="2"/>
  <c r="Q131" i="2"/>
  <c r="Q363" i="2"/>
  <c r="Q821" i="2"/>
  <c r="Q822" i="2"/>
  <c r="Q509" i="2"/>
  <c r="H2220" i="16"/>
  <c r="G2219" i="16"/>
  <c r="H2219" i="16" s="1"/>
  <c r="G1002" i="13"/>
  <c r="H1004" i="13"/>
  <c r="H2261" i="16"/>
  <c r="G2259" i="16"/>
  <c r="G722" i="13"/>
  <c r="H724" i="13"/>
  <c r="H392" i="13"/>
  <c r="G390" i="13"/>
  <c r="G230" i="13"/>
  <c r="H232" i="13"/>
  <c r="H944" i="24"/>
  <c r="G941" i="24"/>
  <c r="H704" i="13"/>
  <c r="G702" i="13"/>
  <c r="G28" i="13"/>
  <c r="H28" i="13" s="1"/>
  <c r="H569" i="24"/>
  <c r="H529" i="24"/>
  <c r="G782" i="13"/>
  <c r="G310" i="13"/>
  <c r="G1202" i="13"/>
  <c r="H1202" i="13" s="1"/>
  <c r="G430" i="13"/>
  <c r="G742" i="13"/>
  <c r="H742" i="13" s="1"/>
  <c r="G2079" i="16"/>
  <c r="H2079" i="16" s="1"/>
  <c r="G682" i="13"/>
  <c r="H133" i="32"/>
  <c r="G132" i="32"/>
  <c r="H963" i="13"/>
  <c r="H2180" i="16"/>
  <c r="H844" i="13"/>
  <c r="G410" i="13"/>
  <c r="H410" i="13" s="1"/>
  <c r="G1528" i="24"/>
  <c r="H1528" i="24" s="1"/>
  <c r="G862" i="13"/>
  <c r="H862" i="13" s="1"/>
  <c r="G250" i="13"/>
  <c r="G370" i="13"/>
  <c r="G2600" i="16"/>
  <c r="H505" i="26"/>
  <c r="H1459" i="26"/>
  <c r="G547" i="24"/>
  <c r="H547" i="24" s="1"/>
  <c r="H352" i="13"/>
  <c r="G270" i="13"/>
  <c r="H270" i="13" s="1"/>
  <c r="G902" i="13"/>
  <c r="G762" i="13"/>
  <c r="H292" i="13"/>
  <c r="G802" i="13"/>
  <c r="G922" i="13"/>
  <c r="H922" i="13" s="1"/>
  <c r="G2199" i="16"/>
  <c r="H2199" i="16" s="1"/>
  <c r="H984" i="13"/>
  <c r="G942" i="13"/>
  <c r="H942" i="13" s="1"/>
  <c r="G2299" i="16"/>
  <c r="G882" i="13"/>
  <c r="G348" i="24"/>
  <c r="G346" i="24" s="1"/>
  <c r="H346" i="24" s="1"/>
  <c r="H691" i="24"/>
  <c r="G687" i="24"/>
  <c r="H687" i="24" s="1"/>
  <c r="G667" i="24"/>
  <c r="H667" i="24" s="1"/>
  <c r="H671" i="24"/>
  <c r="H491" i="24"/>
  <c r="G487" i="24"/>
  <c r="H487" i="24" s="1"/>
  <c r="H711" i="24"/>
  <c r="G707" i="24"/>
  <c r="H707" i="24" s="1"/>
  <c r="G507" i="24"/>
  <c r="H507" i="24" s="1"/>
  <c r="H509" i="24"/>
  <c r="H448" i="24"/>
  <c r="G446" i="24"/>
  <c r="H446" i="24" s="1"/>
  <c r="Q877" i="2"/>
  <c r="Q412" i="2"/>
  <c r="Q132" i="2"/>
  <c r="Q915" i="2"/>
  <c r="Q291" i="2"/>
  <c r="Q140" i="2"/>
  <c r="Q660" i="2"/>
  <c r="Q719" i="2"/>
  <c r="Q707" i="2"/>
  <c r="Q323" i="2"/>
  <c r="Q670" i="2"/>
  <c r="Q386" i="2"/>
  <c r="Q75" i="3"/>
  <c r="Q168" i="2"/>
  <c r="Q38" i="3"/>
  <c r="Q923" i="2"/>
  <c r="Q151" i="2"/>
  <c r="Q264" i="2"/>
  <c r="Q834" i="2"/>
  <c r="Q743" i="2"/>
  <c r="Q6" i="4"/>
  <c r="Q760" i="2"/>
  <c r="Q377" i="2"/>
  <c r="Q107" i="2"/>
  <c r="Q46" i="2"/>
  <c r="Q341" i="2"/>
  <c r="Q28" i="2"/>
  <c r="Q745" i="2"/>
  <c r="Q399" i="2"/>
  <c r="Q856" i="2"/>
  <c r="Q931" i="2"/>
  <c r="Q778" i="2"/>
  <c r="Q242" i="2"/>
  <c r="Q536" i="2"/>
  <c r="Q884" i="2"/>
  <c r="Q23" i="2"/>
  <c r="Q67" i="3"/>
  <c r="Q91" i="2"/>
  <c r="Q843" i="2"/>
  <c r="Q53" i="5"/>
  <c r="Q85" i="3"/>
  <c r="Q715" i="2"/>
  <c r="Q735" i="2"/>
  <c r="Q854" i="2"/>
  <c r="Q740" i="2"/>
  <c r="Q237" i="2"/>
  <c r="Q69" i="2"/>
  <c r="Q736" i="2"/>
  <c r="Q298" i="2"/>
  <c r="Q384" i="2"/>
  <c r="Q855" i="2"/>
  <c r="Q241" i="2"/>
  <c r="Q8" i="3"/>
  <c r="Q160" i="2"/>
  <c r="Q191" i="2"/>
  <c r="Q282" i="2"/>
  <c r="Q502" i="2"/>
  <c r="Q528" i="2"/>
  <c r="Q105" i="2"/>
  <c r="Q531" i="2"/>
  <c r="Q912" i="2"/>
  <c r="Q848" i="2"/>
  <c r="Q645" i="2"/>
  <c r="Q673" i="2"/>
  <c r="Q699" i="2"/>
  <c r="Q24" i="2"/>
  <c r="Q810" i="2"/>
  <c r="Q705" i="2"/>
  <c r="Q117" i="2"/>
  <c r="Q914" i="2"/>
  <c r="Q526" i="2"/>
  <c r="Q49" i="3"/>
  <c r="Q38" i="5"/>
  <c r="Q631" i="2"/>
  <c r="Q89" i="2"/>
  <c r="Q350" i="2"/>
  <c r="Q656" i="2"/>
  <c r="Q52" i="3"/>
  <c r="Q586" i="2"/>
  <c r="Q57" i="2"/>
  <c r="Q206" i="2"/>
  <c r="Q101" i="2"/>
  <c r="Q661" i="2"/>
  <c r="Q406" i="2"/>
  <c r="Q629" i="2"/>
  <c r="Q86" i="3"/>
  <c r="Q309" i="2"/>
  <c r="Q50" i="5"/>
  <c r="Q690" i="2"/>
  <c r="Q570" i="2"/>
  <c r="Q192" i="2"/>
  <c r="Q762" i="2"/>
  <c r="Q25" i="3"/>
  <c r="Q314" i="2"/>
  <c r="Q618" i="2"/>
  <c r="Q747" i="2"/>
  <c r="Q390" i="2"/>
  <c r="Q492" i="2"/>
  <c r="Q299" i="2"/>
  <c r="Q416" i="2"/>
  <c r="Q903" i="2"/>
  <c r="Q738" i="2"/>
  <c r="Q448" i="2"/>
  <c r="Q177" i="2"/>
  <c r="Q70" i="2"/>
  <c r="Q504" i="2"/>
  <c r="Q40" i="3"/>
  <c r="Q943" i="2"/>
  <c r="Q313" i="2"/>
  <c r="Q135" i="2"/>
  <c r="Q432" i="2"/>
  <c r="Q163" i="2"/>
  <c r="Q729" i="2"/>
  <c r="Q677" i="2"/>
  <c r="Q771" i="2"/>
  <c r="Q113" i="2"/>
  <c r="Q777" i="2"/>
  <c r="Q21" i="3"/>
  <c r="Q440" i="2"/>
  <c r="Q388" i="2"/>
  <c r="Q104" i="2"/>
  <c r="Q392" i="2"/>
  <c r="Q524" i="2"/>
  <c r="Q31" i="2"/>
  <c r="Q841" i="2"/>
  <c r="Q753" i="2"/>
  <c r="Q757" i="2"/>
  <c r="Q708" i="2"/>
  <c r="Q6" i="3"/>
  <c r="Q535" i="2"/>
  <c r="Q138" i="2"/>
  <c r="Q742" i="2"/>
  <c r="Q42" i="2"/>
  <c r="Q281" i="2"/>
  <c r="Q165" i="2"/>
  <c r="Q619" i="2"/>
  <c r="Q525" i="2"/>
  <c r="Q50" i="2"/>
  <c r="Q41" i="2"/>
  <c r="Q387" i="2"/>
  <c r="Q45" i="5"/>
  <c r="Q360" i="2"/>
  <c r="Q423" i="2"/>
  <c r="Q910" i="2"/>
  <c r="Q542" i="2"/>
  <c r="Q763" i="2"/>
  <c r="Q229" i="2"/>
  <c r="Q409" i="2"/>
  <c r="Q338" i="2"/>
  <c r="Q844" i="2"/>
  <c r="Q604" i="2"/>
  <c r="Q593" i="2"/>
  <c r="Q930" i="2"/>
  <c r="Q563" i="2"/>
  <c r="Q751" i="2"/>
  <c r="Q592" i="2"/>
  <c r="Q340" i="2"/>
  <c r="Q926" i="2"/>
  <c r="Q96" i="2"/>
  <c r="Q110" i="2"/>
  <c r="Q587" i="2"/>
  <c r="Q339" i="2"/>
  <c r="Q444" i="2"/>
  <c r="Q590" i="2"/>
  <c r="Q766" i="2"/>
  <c r="Q80" i="3"/>
  <c r="Q720" i="2"/>
  <c r="Q764" i="2"/>
  <c r="Q562" i="2"/>
  <c r="Q43" i="2"/>
  <c r="Q646" i="2"/>
  <c r="Q893" i="2"/>
  <c r="Q571" i="2"/>
  <c r="Q82" i="2"/>
  <c r="Q712" i="2"/>
  <c r="Q373" i="2"/>
  <c r="Q211" i="2"/>
  <c r="Q711" i="2"/>
  <c r="Q207" i="2"/>
  <c r="Q754" i="2"/>
  <c r="Q767" i="2"/>
  <c r="Q41" i="5"/>
  <c r="Q852" i="2"/>
  <c r="Q780" i="2"/>
  <c r="Q361" i="2"/>
  <c r="Q226" i="2"/>
  <c r="Q654" i="2"/>
  <c r="Q684" i="2"/>
  <c r="Q776" i="2"/>
  <c r="Q184" i="2"/>
  <c r="Q726" i="2"/>
  <c r="Q214" i="2"/>
  <c r="Q188" i="2"/>
  <c r="Q507" i="2"/>
  <c r="Q15" i="3"/>
  <c r="Q134" i="2"/>
  <c r="Q620" i="2"/>
  <c r="Q682" i="2"/>
  <c r="Q873" i="2"/>
  <c r="Q283" i="2"/>
  <c r="Q263" i="2"/>
  <c r="Q585" i="2"/>
  <c r="Q560" i="2"/>
  <c r="Q114" i="2"/>
  <c r="Q347" i="2"/>
  <c r="Q152" i="2"/>
  <c r="Q12" i="2"/>
  <c r="Q36" i="2"/>
  <c r="Q879" i="2"/>
  <c r="Q99" i="2"/>
  <c r="Q602" i="2"/>
  <c r="Q436" i="2"/>
  <c r="Q405" i="2"/>
  <c r="Q39" i="3"/>
  <c r="Q88" i="2"/>
  <c r="Q7" i="4"/>
  <c r="Q247" i="2"/>
  <c r="Q533" i="2"/>
  <c r="Q336" i="2"/>
  <c r="Q671" i="2"/>
  <c r="Q596" i="2"/>
  <c r="Q827" i="2"/>
  <c r="Q7" i="2"/>
  <c r="Q102" i="2"/>
  <c r="Q239" i="2"/>
  <c r="Q936" i="2"/>
  <c r="Q71" i="3"/>
  <c r="Q807" i="2"/>
  <c r="Q381" i="2"/>
  <c r="Q58" i="5"/>
  <c r="Q527" i="2"/>
  <c r="Q213" i="2"/>
  <c r="Q374" i="2"/>
  <c r="Q382" i="2"/>
  <c r="Q84" i="2"/>
  <c r="Q189" i="2"/>
  <c r="Q238" i="2"/>
  <c r="Q617" i="2"/>
  <c r="Q727" i="2"/>
  <c r="Q162" i="2"/>
  <c r="Q929" i="2"/>
  <c r="Q498" i="2"/>
  <c r="Q512" i="2"/>
  <c r="Q681" i="2"/>
  <c r="Q744" i="2"/>
  <c r="Q826" i="2"/>
  <c r="Q60" i="3"/>
  <c r="Q642" i="2"/>
  <c r="Q106" i="2"/>
  <c r="Q63" i="3"/>
  <c r="Q700" i="2"/>
  <c r="Q343" i="2"/>
  <c r="Q871" i="2"/>
  <c r="Q425" i="2"/>
  <c r="Q875" i="2"/>
  <c r="Q857" i="2"/>
  <c r="Q773" i="2"/>
  <c r="Q732" i="2"/>
  <c r="Q811" i="2"/>
  <c r="Q911" i="2"/>
  <c r="Q721" i="2"/>
  <c r="Q375" i="2"/>
  <c r="Q938" i="2"/>
  <c r="Q567" i="2"/>
  <c r="Q847" i="2"/>
  <c r="Q582" i="2"/>
  <c r="Q256" i="2"/>
  <c r="Q594" i="2"/>
  <c r="Q555" i="2"/>
  <c r="Q75" i="2"/>
  <c r="Q449" i="2"/>
  <c r="Q565" i="2"/>
  <c r="Q58" i="3"/>
  <c r="Q148" i="2"/>
  <c r="Q65" i="3"/>
  <c r="Q23" i="3"/>
  <c r="Q217" i="2"/>
  <c r="Q5" i="4"/>
  <c r="Q657" i="2"/>
  <c r="Q87" i="2"/>
  <c r="Q446" i="2"/>
  <c r="Q254" i="2"/>
  <c r="Q868" i="2"/>
  <c r="Q713" i="2"/>
  <c r="Q47" i="5"/>
  <c r="Q97" i="2"/>
  <c r="Q5" i="2"/>
  <c r="Q51" i="3"/>
  <c r="Q80" i="2"/>
  <c r="Q400" i="2"/>
  <c r="Q40" i="2"/>
  <c r="Q874" i="2"/>
  <c r="Q741" i="2"/>
  <c r="Q544" i="2"/>
  <c r="Q197" i="2"/>
  <c r="Q835" i="2"/>
  <c r="Q614" i="2"/>
  <c r="Q609" i="2"/>
  <c r="Q913" i="2"/>
  <c r="Q490" i="2"/>
  <c r="Q447" i="2"/>
  <c r="Q508" i="2"/>
  <c r="Q675" i="2"/>
  <c r="Q178" i="2"/>
  <c r="Q185" i="2"/>
  <c r="Q513" i="2"/>
  <c r="Q737" i="2"/>
  <c r="Q320" i="2"/>
  <c r="Q51" i="5"/>
  <c r="Q17" i="3"/>
  <c r="Q543" i="2"/>
  <c r="Q76" i="3"/>
  <c r="Q689" i="2"/>
  <c r="Q37" i="2"/>
  <c r="Q667" i="2"/>
  <c r="Q546" i="2"/>
  <c r="Q57" i="5"/>
  <c r="Q746" i="2"/>
  <c r="Q665" i="2"/>
  <c r="Q243" i="2"/>
  <c r="Q331" i="2"/>
  <c r="Q48" i="2"/>
  <c r="Q610" i="2"/>
  <c r="Q521" i="2"/>
  <c r="Q288" i="2"/>
  <c r="Q491" i="2"/>
  <c r="Q300" i="2"/>
  <c r="Q44" i="5"/>
  <c r="Q606" i="2"/>
  <c r="Q519" i="2"/>
  <c r="Q864" i="2"/>
  <c r="Q551" i="2"/>
  <c r="Q47" i="3"/>
  <c r="Q411" i="2"/>
  <c r="Q939" i="2"/>
  <c r="Q345" i="2"/>
  <c r="Q12" i="3"/>
  <c r="Q500" i="2"/>
  <c r="Q859" i="2"/>
  <c r="Q429" i="2"/>
  <c r="Q554" i="2"/>
  <c r="Q356" i="2"/>
  <c r="Q203" i="2"/>
  <c r="Q326" i="2"/>
  <c r="Q919" i="2"/>
  <c r="Q674" i="2"/>
  <c r="Q22" i="3"/>
  <c r="Q709" i="2"/>
  <c r="Q380" i="2"/>
  <c r="Q199" i="2"/>
  <c r="Q204" i="2"/>
  <c r="Q292" i="2"/>
  <c r="Q48" i="5"/>
  <c r="Q257" i="2"/>
  <c r="Q55" i="2"/>
  <c r="Q891" i="2"/>
  <c r="Q94" i="2"/>
  <c r="Q219" i="2"/>
  <c r="Q651" i="2"/>
  <c r="Q588" i="2"/>
  <c r="Q880" i="2"/>
  <c r="Q887" i="2"/>
  <c r="Q595" i="2"/>
  <c r="Q818" i="2"/>
  <c r="Q108" i="2"/>
  <c r="Q6" i="2"/>
  <c r="Q47" i="2"/>
  <c r="Q92" i="2"/>
  <c r="Q431" i="2"/>
  <c r="Q881" i="2"/>
  <c r="Q272" i="2"/>
  <c r="Q13" i="3"/>
  <c r="Q849" i="2"/>
  <c r="Q920" i="2"/>
  <c r="Q231" i="2"/>
  <c r="Q153" i="2"/>
  <c r="Q796" i="2"/>
  <c r="Q503" i="2"/>
  <c r="Q676" i="2"/>
  <c r="Q499" i="2"/>
  <c r="Q85" i="2"/>
  <c r="Q161" i="2"/>
  <c r="Q190" i="2"/>
  <c r="Q159" i="2"/>
  <c r="Q511" i="2"/>
  <c r="Q64" i="2"/>
  <c r="Q787" i="2"/>
  <c r="Q179" i="2"/>
  <c r="Q686" i="2"/>
  <c r="Q497" i="2"/>
  <c r="Q186" i="2"/>
  <c r="Q506" i="2"/>
  <c r="Q510" i="2"/>
  <c r="Q739" i="2"/>
  <c r="Q81" i="2"/>
  <c r="Q278" i="2"/>
  <c r="Q788" i="2"/>
  <c r="Q659" i="2"/>
  <c r="Q316" i="2"/>
  <c r="Q56" i="5"/>
  <c r="Q626" i="2"/>
  <c r="Q611" i="2"/>
  <c r="Q580" i="2"/>
  <c r="Q622" i="2"/>
  <c r="Q647" i="2"/>
  <c r="Q36" i="3"/>
  <c r="Q433" i="2"/>
  <c r="Q167" i="2"/>
  <c r="Q668" i="2"/>
  <c r="Q697" i="2"/>
  <c r="Q119" i="2"/>
  <c r="Q45" i="3"/>
  <c r="Q284" i="2"/>
  <c r="Q907" i="2"/>
  <c r="Q540" i="2"/>
  <c r="Q442" i="2"/>
  <c r="Q517" i="2"/>
  <c r="Q52" i="5"/>
  <c r="Q597" i="2"/>
  <c r="Q266" i="2"/>
  <c r="Q286" i="2"/>
  <c r="Q59" i="3"/>
  <c r="Q541" i="2"/>
  <c r="Q36" i="5"/>
  <c r="Q568" i="2"/>
  <c r="Q853" i="2"/>
  <c r="Q170" i="2"/>
  <c r="Q641" i="2"/>
  <c r="Q259" i="2"/>
  <c r="Q109" i="2"/>
  <c r="Q883" i="2"/>
  <c r="Q43" i="3"/>
  <c r="Q924" i="2"/>
  <c r="Q451" i="2"/>
  <c r="Q351" i="2"/>
  <c r="Q890" i="2"/>
  <c r="Q100" i="2"/>
  <c r="Q628" i="2"/>
  <c r="Q51" i="2"/>
  <c r="Q337" i="2"/>
  <c r="Q43" i="5"/>
  <c r="Q355" i="2"/>
  <c r="Q252" i="2"/>
  <c r="Q474" i="2"/>
  <c r="Q370" i="2"/>
  <c r="Q830" i="2"/>
  <c r="Q756" i="2"/>
  <c r="Q141" i="2"/>
  <c r="Q327" i="2"/>
  <c r="Q878" i="2"/>
  <c r="Q539" i="2"/>
  <c r="Q894" i="2"/>
  <c r="Q505" i="2"/>
  <c r="Q794" i="2"/>
  <c r="Q795" i="2"/>
  <c r="Q155" i="2"/>
  <c r="Q932" i="2"/>
  <c r="Q655" i="2"/>
  <c r="Q330" i="2"/>
  <c r="Q716" i="2"/>
  <c r="Q342" i="2"/>
  <c r="Q896" i="2"/>
  <c r="Q68" i="2"/>
  <c r="Q463" i="2"/>
  <c r="Q456" i="2"/>
  <c r="Q644" i="2"/>
  <c r="Q42" i="5"/>
  <c r="Q413" i="2"/>
  <c r="Q424" i="2"/>
  <c r="Q888" i="2"/>
  <c r="Q310" i="2"/>
  <c r="Q166" i="2"/>
  <c r="Q477" i="2"/>
  <c r="Q418" i="2"/>
  <c r="Q54" i="5"/>
  <c r="Q205" i="2"/>
  <c r="Q324" i="2"/>
  <c r="Q579" i="2"/>
  <c r="Q808" i="2"/>
  <c r="Q362" i="2"/>
  <c r="Q899" i="2"/>
  <c r="Q410" i="2"/>
  <c r="Q481" i="2"/>
  <c r="Q293" i="2"/>
  <c r="Q333" i="2"/>
  <c r="Q793" i="2"/>
  <c r="Q277" i="2"/>
  <c r="Q112" i="2"/>
  <c r="Q265" i="2"/>
  <c r="Q385" i="2"/>
  <c r="Q812" i="2"/>
  <c r="Q86" i="2"/>
  <c r="Q532" i="2"/>
  <c r="Q396" i="2"/>
  <c r="Q530" i="2"/>
  <c r="Q534" i="2"/>
  <c r="Q33" i="5"/>
  <c r="Q607" i="2"/>
  <c r="Q636" i="2"/>
  <c r="Q230" i="2"/>
  <c r="Q53" i="3"/>
  <c r="Q296" i="2"/>
  <c r="Q495" i="2"/>
  <c r="Q441" i="2"/>
  <c r="Q187" i="2"/>
  <c r="Q45" i="2"/>
  <c r="Q290" i="2"/>
  <c r="Q58" i="2"/>
  <c r="Q61" i="3"/>
  <c r="Q228" i="2"/>
  <c r="Q837" i="2"/>
  <c r="Q305" i="2"/>
  <c r="Q473" i="2"/>
  <c r="Q224" i="2"/>
  <c r="Q201" i="2"/>
  <c r="Q83" i="2"/>
  <c r="Q769" i="2"/>
  <c r="Q649" i="2"/>
  <c r="Q14" i="3"/>
  <c r="Q376" i="2"/>
  <c r="Q643" i="2"/>
  <c r="Q175" i="2"/>
  <c r="Q564" i="2"/>
  <c r="Q616" i="2"/>
  <c r="Q37" i="5"/>
  <c r="Q287" i="2"/>
  <c r="Q357" i="2"/>
  <c r="Q236" i="2"/>
  <c r="Q695" i="2"/>
  <c r="Q591" i="2"/>
  <c r="Q905" i="2"/>
  <c r="Q471" i="2"/>
  <c r="Q65" i="2"/>
  <c r="Q633" i="2"/>
  <c r="Q27" i="3"/>
  <c r="Q612" i="2"/>
  <c r="Q861" i="2"/>
  <c r="Q24" i="3"/>
  <c r="Q32" i="2"/>
  <c r="Q69" i="3"/>
  <c r="G14" i="36"/>
  <c r="Q464" i="2"/>
  <c r="Q220" i="2"/>
  <c r="Q66" i="3"/>
  <c r="Q515" i="2"/>
  <c r="Q858" i="2"/>
  <c r="Q28" i="3"/>
  <c r="Q81" i="3"/>
  <c r="Q584" i="2"/>
  <c r="Q372" i="2"/>
  <c r="Q487" i="2"/>
  <c r="Q898" i="2"/>
  <c r="Q836" i="2"/>
  <c r="Q26" i="3"/>
  <c r="Q35" i="5"/>
  <c r="Q222" i="2"/>
  <c r="Q245" i="2"/>
  <c r="Q578" i="2"/>
  <c r="Q664" i="2"/>
  <c r="Q944" i="2"/>
  <c r="Q488" i="2"/>
  <c r="Q935" i="2"/>
  <c r="Q22" i="2"/>
  <c r="Q687" i="2"/>
  <c r="Q443" i="2"/>
  <c r="Q829" i="2"/>
  <c r="Q755" i="2"/>
  <c r="Q34" i="5"/>
  <c r="Q34" i="3"/>
  <c r="Q334" i="2"/>
  <c r="Q67" i="2"/>
  <c r="Q223" i="2"/>
  <c r="Q638" i="2"/>
  <c r="Q103" i="2"/>
  <c r="Q427" i="2"/>
  <c r="Q8" i="4"/>
  <c r="Q35" i="2"/>
  <c r="Q41" i="3"/>
  <c r="Q882" i="2"/>
  <c r="Q303" i="2"/>
  <c r="Q465" i="2"/>
  <c r="Q698" i="2"/>
  <c r="Q63" i="2"/>
  <c r="Q816" i="2"/>
  <c r="Q318" i="2"/>
  <c r="Q809" i="2"/>
  <c r="Q838" i="2"/>
  <c r="Q55" i="5"/>
  <c r="Q782" i="2"/>
  <c r="Q295" i="2"/>
  <c r="Q457" i="2"/>
  <c r="Q156" i="2"/>
  <c r="Q840" i="2"/>
  <c r="Q76" i="2"/>
  <c r="Q397" i="2"/>
  <c r="Q706" i="2"/>
  <c r="Q916" i="2"/>
  <c r="Q59" i="2"/>
  <c r="Q417" i="2"/>
  <c r="Q625" i="2"/>
  <c r="Q20" i="3"/>
  <c r="Q18" i="3"/>
  <c r="Q917" i="2"/>
  <c r="Q251" i="2"/>
  <c r="Q556" i="2"/>
  <c r="Q650" i="2"/>
  <c r="Q601" i="2"/>
  <c r="Q723" i="2"/>
  <c r="Q733" i="2"/>
  <c r="Q459" i="2"/>
  <c r="Q315" i="2"/>
  <c r="Q685" i="2"/>
  <c r="Q545" i="2"/>
  <c r="Q53" i="2"/>
  <c r="Q561" i="2"/>
  <c r="Q371" i="2"/>
  <c r="Q26" i="2"/>
  <c r="Q267" i="2"/>
  <c r="Q304" i="2"/>
  <c r="Q466" i="2"/>
  <c r="Q325" i="2"/>
  <c r="Q630" i="2"/>
  <c r="Q378" i="2"/>
  <c r="Q349" i="2"/>
  <c r="Q7" i="3"/>
  <c r="Q215" i="2"/>
  <c r="Q529" i="2"/>
  <c r="Q455" i="2"/>
  <c r="Q279" i="2"/>
  <c r="Q74" i="3"/>
  <c r="Q725" i="2"/>
  <c r="Q518" i="2"/>
  <c r="Q722" i="2"/>
  <c r="Q683" i="2"/>
  <c r="Q701" i="2"/>
  <c r="Q225" i="2"/>
  <c r="Q346" i="2"/>
  <c r="Q467" i="2"/>
  <c r="Q775" i="2"/>
  <c r="Q358" i="2"/>
  <c r="Q786" i="2"/>
  <c r="Q790" i="2"/>
  <c r="Q557" i="2"/>
  <c r="Q8" i="2"/>
  <c r="Q87" i="3"/>
  <c r="Q366" i="2"/>
  <c r="Q482" i="2"/>
  <c r="Q9" i="3"/>
  <c r="Q632" i="2"/>
  <c r="Q940" i="2"/>
  <c r="Q212" i="2"/>
  <c r="Q72" i="3"/>
  <c r="Q143" i="2"/>
  <c r="Q42" i="3"/>
  <c r="Q430" i="2"/>
  <c r="Q558" i="2"/>
  <c r="Q728" i="2"/>
  <c r="Q574" i="2"/>
  <c r="Q547" i="2"/>
  <c r="Q814" i="2"/>
  <c r="Q783" i="2"/>
  <c r="Q572" i="2"/>
  <c r="Q792" i="2"/>
  <c r="Q367" i="2"/>
  <c r="Q438" i="2"/>
  <c r="Q393" i="2"/>
  <c r="Q846" i="2"/>
  <c r="Q494" i="2"/>
  <c r="Q49" i="2"/>
  <c r="Q269" i="2"/>
  <c r="Q785" i="2"/>
  <c r="Q84" i="3"/>
  <c r="Q696" i="2"/>
  <c r="Q308" i="2"/>
  <c r="Q78" i="3"/>
  <c r="Q839" i="2"/>
  <c r="Q489" i="2"/>
  <c r="Q19" i="3"/>
  <c r="Q364" i="2"/>
  <c r="Q407" i="2"/>
  <c r="Q321" i="2"/>
  <c r="Q680" i="2"/>
  <c r="Q750" i="2"/>
  <c r="Q328" i="2"/>
  <c r="Q900" i="2"/>
  <c r="Q193" i="2"/>
  <c r="Q176" i="2"/>
  <c r="Q11" i="2"/>
  <c r="Q724" i="2"/>
  <c r="Q301" i="2"/>
  <c r="Q83" i="3"/>
  <c r="Q391" i="2"/>
  <c r="Q359" i="2"/>
  <c r="Q559" i="2"/>
  <c r="Q825" i="2"/>
  <c r="Q16" i="3"/>
  <c r="Q395" i="2"/>
  <c r="Q196" i="2"/>
  <c r="Q234" i="2"/>
  <c r="Q66" i="2"/>
  <c r="Q468" i="2"/>
  <c r="Q909" i="2"/>
  <c r="Q902" i="2"/>
  <c r="Q421" i="2"/>
  <c r="Q791" i="2"/>
  <c r="Q379" i="2"/>
  <c r="Q90" i="2"/>
  <c r="Q404" i="2"/>
  <c r="Q845" i="2"/>
  <c r="Q469" i="2"/>
  <c r="Q164" i="2"/>
  <c r="Q255" i="2"/>
  <c r="Q850" i="2"/>
  <c r="Q137" i="2"/>
  <c r="Q354" i="2"/>
  <c r="Q120" i="2"/>
  <c r="Q319" i="2"/>
  <c r="Q501" i="2"/>
  <c r="Q383" i="2"/>
  <c r="Q248" i="2"/>
  <c r="Q200" i="2"/>
  <c r="Q921" i="2"/>
  <c r="Q603" i="2"/>
  <c r="Q394" i="2"/>
  <c r="Q569" i="2"/>
  <c r="Q928" i="2"/>
  <c r="Q480" i="2"/>
  <c r="Q276" i="2"/>
  <c r="Q9" i="2"/>
  <c r="Q332" i="2"/>
  <c r="Q820" i="2"/>
  <c r="Q934" i="2"/>
  <c r="Q142" i="2"/>
  <c r="Q652" i="2"/>
  <c r="Q672" i="2"/>
  <c r="Q627" i="2"/>
  <c r="Q484" i="2"/>
  <c r="Q872" i="2"/>
  <c r="Q523" i="2"/>
  <c r="Q209" i="2"/>
  <c r="Q240" i="2"/>
  <c r="Q583" i="2"/>
  <c r="Q171" i="2"/>
  <c r="Q470" i="2"/>
  <c r="Q260" i="2"/>
  <c r="Q662" i="2"/>
  <c r="Q832" i="2"/>
  <c r="Q246" i="2"/>
  <c r="Q11" i="3"/>
  <c r="Q435" i="2"/>
  <c r="Q692" i="2"/>
  <c r="Q637" i="2"/>
  <c r="Q476" i="2"/>
  <c r="Q55" i="3"/>
  <c r="Q634" i="2"/>
  <c r="Q749" i="2"/>
  <c r="Q702" i="2"/>
  <c r="Q520" i="2"/>
  <c r="Q31" i="3"/>
  <c r="Q514" i="2"/>
  <c r="Q297" i="2"/>
  <c r="Q149" i="2"/>
  <c r="Q146" i="2"/>
  <c r="Q889" i="2"/>
  <c r="Q365" i="2"/>
  <c r="Q493" i="2"/>
  <c r="Q462" i="2"/>
  <c r="Q734" i="2"/>
  <c r="Q33" i="2"/>
  <c r="Q68" i="3"/>
  <c r="Q876" i="2"/>
  <c r="Q40" i="5"/>
  <c r="Q927" i="2"/>
  <c r="Q302" i="2"/>
  <c r="Q460" i="2"/>
  <c r="Q25" i="2"/>
  <c r="Q317" i="2"/>
  <c r="Q35" i="3"/>
  <c r="Q273" i="2"/>
  <c r="Q552" i="2"/>
  <c r="Q275" i="2"/>
  <c r="Q172" i="2"/>
  <c r="Q901" i="2"/>
  <c r="Q249" i="2"/>
  <c r="Q575" i="2"/>
  <c r="Q640" i="2"/>
  <c r="Q157" i="2"/>
  <c r="Q752" i="2"/>
  <c r="Q774" i="2"/>
  <c r="Q679" i="2"/>
  <c r="Q32" i="3"/>
  <c r="Q46" i="3"/>
  <c r="Q322" i="2"/>
  <c r="Q10" i="3"/>
  <c r="Q485" i="2"/>
  <c r="Q62" i="2"/>
  <c r="Q198" i="2"/>
  <c r="Q88" i="3"/>
  <c r="Q79" i="2"/>
  <c r="Q886" i="2"/>
  <c r="Q439" i="2"/>
  <c r="Q44" i="2"/>
  <c r="Q221" i="2"/>
  <c r="Q311" i="2"/>
  <c r="Q479" i="2"/>
  <c r="Q678" i="2"/>
  <c r="Q27" i="2"/>
  <c r="Q658" i="2"/>
  <c r="Q34" i="2"/>
  <c r="Q274" i="2"/>
  <c r="Q30" i="2"/>
  <c r="Q779" i="2"/>
  <c r="Q768" i="2"/>
  <c r="Q9" i="4"/>
  <c r="Q621" i="2"/>
  <c r="Q461" i="2"/>
  <c r="Q942" i="2"/>
  <c r="Q516" i="2"/>
  <c r="Q77" i="2"/>
  <c r="Q669" i="2"/>
  <c r="Q781" i="2"/>
  <c r="Q823" i="2"/>
  <c r="Q772" i="2"/>
  <c r="Q666" i="2"/>
  <c r="Q458" i="2"/>
  <c r="Q307" i="2"/>
  <c r="Q759" i="2"/>
  <c r="Q253" i="2"/>
  <c r="Q10" i="2"/>
  <c r="Q30" i="3"/>
  <c r="Q892" i="2"/>
  <c r="Q663" i="2"/>
  <c r="Q232" i="2"/>
  <c r="Q44" i="3"/>
  <c r="Q624" i="2"/>
  <c r="Q420" i="2"/>
  <c r="Q615" i="2"/>
  <c r="Q154" i="2"/>
  <c r="Q598" i="2"/>
  <c r="Q250" i="2"/>
  <c r="Q408" i="2"/>
  <c r="Q194" i="2"/>
  <c r="Q550" i="2"/>
  <c r="Q353" i="2"/>
  <c r="Q89" i="3"/>
  <c r="Q335" i="2"/>
  <c r="Q867" i="2"/>
  <c r="Q833" i="2"/>
  <c r="Q116" i="2"/>
  <c r="Q589" i="2"/>
  <c r="Q824" i="2"/>
  <c r="Q445" i="2"/>
  <c r="Q537" i="2"/>
  <c r="Q270" i="2"/>
  <c r="Q599" i="2"/>
  <c r="Q227" i="2"/>
  <c r="Q925" i="2"/>
  <c r="Q401" i="2"/>
  <c r="Q730" i="2"/>
  <c r="Q576" i="2"/>
  <c r="Q731" i="2"/>
  <c r="Q784" i="2"/>
  <c r="Q437" i="2"/>
  <c r="Q653" i="2"/>
  <c r="Q600" i="2"/>
  <c r="Q262" i="2"/>
  <c r="Q48" i="3"/>
  <c r="Q289" i="2"/>
  <c r="Q39" i="2"/>
  <c r="Q50" i="3"/>
  <c r="Q851" i="2"/>
  <c r="Q718" i="2"/>
  <c r="Q118" i="2"/>
  <c r="Q111" i="2"/>
  <c r="Q29" i="3"/>
  <c r="Q714" i="2"/>
  <c r="Q639" i="2"/>
  <c r="Q37" i="3"/>
  <c r="Q280" i="2"/>
  <c r="Q450" i="2"/>
  <c r="Q581" i="2"/>
  <c r="Q415" i="2"/>
  <c r="Q863" i="2"/>
  <c r="Q95" i="2"/>
  <c r="Q937" i="2"/>
  <c r="Q202" i="2"/>
  <c r="Q218" i="2"/>
  <c r="Q52" i="2"/>
  <c r="Q486" i="2"/>
  <c r="Q815" i="2"/>
  <c r="Q704" i="2"/>
  <c r="Q70" i="3"/>
  <c r="Q761" i="2"/>
  <c r="Q694" i="2"/>
  <c r="Q56" i="2"/>
  <c r="Q169" i="2"/>
  <c r="Q398" i="2"/>
  <c r="Q483" i="2"/>
  <c r="Q573" i="2"/>
  <c r="Q748" i="2"/>
  <c r="Q865" i="2"/>
  <c r="Q904" i="2"/>
  <c r="Q549" i="2"/>
  <c r="Q258" i="2"/>
  <c r="Q933" i="2"/>
  <c r="Q294" i="2"/>
  <c r="Q453" i="2"/>
  <c r="Q133" i="2"/>
  <c r="Q414" i="2"/>
  <c r="Q64" i="3"/>
  <c r="Q419" i="2"/>
  <c r="Q422" i="2"/>
  <c r="Q703" i="2"/>
  <c r="Q860" i="2"/>
  <c r="Q147" i="2"/>
  <c r="Q475" i="2"/>
  <c r="Q33" i="3"/>
  <c r="Q428" i="2"/>
  <c r="Q5" i="3"/>
  <c r="Q180" i="2"/>
  <c r="Q348" i="2"/>
  <c r="Q828" i="2"/>
  <c r="Q271" i="2"/>
  <c r="Q195" i="2"/>
  <c r="Q538" i="2"/>
  <c r="Q623" i="2"/>
  <c r="Q813" i="2"/>
  <c r="Q434" i="2"/>
  <c r="Q158" i="2"/>
  <c r="Q49" i="5"/>
  <c r="Q352" i="2"/>
  <c r="Q29" i="2"/>
  <c r="Q208" i="2"/>
  <c r="Q817" i="2"/>
  <c r="Q62" i="3"/>
  <c r="Q244" i="2"/>
  <c r="Q46" i="5"/>
  <c r="Q548" i="2"/>
  <c r="Q831" i="2"/>
  <c r="Q941" i="2"/>
  <c r="Q842" i="2"/>
  <c r="Q115" i="2"/>
  <c r="Q389" i="2"/>
  <c r="Q688" i="2"/>
  <c r="Q329" i="2"/>
  <c r="Q73" i="3"/>
  <c r="Q216" i="2"/>
  <c r="Q770" i="2"/>
  <c r="Q82" i="3"/>
  <c r="Q897" i="2"/>
  <c r="Q789" i="2"/>
  <c r="Q261" i="2"/>
  <c r="Q577" i="2"/>
  <c r="Q60" i="2"/>
  <c r="Q496" i="2"/>
  <c r="Q54" i="3"/>
  <c r="Q79" i="3"/>
  <c r="Q93" i="2"/>
  <c r="Q895" i="2"/>
  <c r="Q136" i="2"/>
  <c r="Q869" i="2"/>
  <c r="Q56" i="3"/>
  <c r="Q368" i="2"/>
  <c r="Q78" i="2"/>
  <c r="Q472" i="2"/>
  <c r="Q522" i="2"/>
  <c r="Q235" i="2"/>
  <c r="Q566" i="2"/>
  <c r="Q210" i="2"/>
  <c r="Q765" i="2"/>
  <c r="Q150" i="2"/>
  <c r="Q553" i="2"/>
  <c r="Q635" i="2"/>
  <c r="Q306" i="2"/>
  <c r="Q478" i="2"/>
  <c r="Q691" i="2"/>
  <c r="Q369" i="2"/>
  <c r="Q77" i="3"/>
  <c r="Q426" i="2"/>
  <c r="Q613" i="2"/>
  <c r="Q605" i="2"/>
  <c r="Q918" i="2"/>
  <c r="Q710" i="2"/>
  <c r="Q906" i="2"/>
  <c r="Q452" i="2"/>
  <c r="Q344" i="2"/>
  <c r="Q39" i="5"/>
  <c r="Q233" i="2"/>
  <c r="Q144" i="2"/>
  <c r="Q819" i="2"/>
  <c r="Q866" i="2"/>
  <c r="Q922" i="2"/>
  <c r="Q870" i="2"/>
  <c r="Q885" i="2"/>
  <c r="Q454" i="2"/>
  <c r="Q268" i="2"/>
  <c r="Q61" i="2"/>
  <c r="Q758" i="2"/>
  <c r="Q145" i="2"/>
  <c r="Q648" i="2"/>
  <c r="Q285" i="2"/>
  <c r="Q862" i="2"/>
  <c r="Q98" i="2"/>
  <c r="Q38" i="2"/>
  <c r="Q139" i="2"/>
  <c r="Q54" i="2"/>
  <c r="Q90" i="3"/>
  <c r="Q403" i="2"/>
  <c r="Q402" i="2"/>
  <c r="H2322" i="16"/>
  <c r="G2319" i="16"/>
  <c r="H2319" i="16" s="1"/>
  <c r="J644" i="33"/>
  <c r="G84" i="6"/>
  <c r="E1592" i="11" s="1"/>
  <c r="G1592" i="11" s="1"/>
  <c r="J1104" i="33"/>
  <c r="K1977" i="26"/>
  <c r="G204" i="6"/>
  <c r="E2956" i="11" s="1"/>
  <c r="G2956" i="11" s="1"/>
  <c r="H2956" i="11" s="1"/>
  <c r="G64" i="6"/>
  <c r="J1977" i="26"/>
  <c r="K644" i="33"/>
  <c r="E1721" i="24"/>
  <c r="G1721" i="24" s="1"/>
  <c r="H1727" i="24"/>
  <c r="E1873" i="30"/>
  <c r="G1873" i="30" s="1"/>
  <c r="H1879" i="30"/>
  <c r="H1941" i="30"/>
  <c r="E1937" i="30"/>
  <c r="G1937" i="30" s="1"/>
  <c r="H1937" i="30" s="1"/>
  <c r="E1936" i="30"/>
  <c r="G1936" i="30" s="1"/>
  <c r="H799" i="21"/>
  <c r="E793" i="21"/>
  <c r="G793" i="21" s="1"/>
  <c r="H1323" i="21"/>
  <c r="E1318" i="21"/>
  <c r="G1318" i="21" s="1"/>
  <c r="H2573" i="16"/>
  <c r="E2567" i="16"/>
  <c r="G2567" i="16" s="1"/>
  <c r="H794" i="16"/>
  <c r="E788" i="16"/>
  <c r="G788" i="16" s="1"/>
  <c r="H2435" i="13"/>
  <c r="E2429" i="13"/>
  <c r="G2429" i="13" s="1"/>
  <c r="E2062" i="8"/>
  <c r="G2062" i="8" s="1"/>
  <c r="H2062" i="8" s="1"/>
  <c r="H2067" i="8"/>
  <c r="E2061" i="8"/>
  <c r="G2061" i="8" s="1"/>
  <c r="E2063" i="8"/>
  <c r="G2063" i="8" s="1"/>
  <c r="H2063" i="8" s="1"/>
  <c r="E113" i="11"/>
  <c r="G113" i="11" s="1"/>
  <c r="H119" i="11"/>
  <c r="E114" i="11"/>
  <c r="G114" i="11" s="1"/>
  <c r="H114" i="11" s="1"/>
  <c r="G1634" i="8"/>
  <c r="H1635" i="8"/>
  <c r="H1603" i="32"/>
  <c r="E1597" i="32"/>
  <c r="G1597" i="32" s="1"/>
  <c r="E1598" i="32"/>
  <c r="G1598" i="32" s="1"/>
  <c r="H1598" i="32" s="1"/>
  <c r="E997" i="32"/>
  <c r="G997" i="32" s="1"/>
  <c r="H1003" i="32"/>
  <c r="E378" i="15"/>
  <c r="G378" i="15" s="1"/>
  <c r="H384" i="15"/>
  <c r="E578" i="15"/>
  <c r="G578" i="15" s="1"/>
  <c r="H584" i="15"/>
  <c r="E1880" i="15"/>
  <c r="G1880" i="15" s="1"/>
  <c r="H1886" i="15"/>
  <c r="H2172" i="26"/>
  <c r="E2167" i="26"/>
  <c r="G2167" i="26" s="1"/>
  <c r="E2168" i="26"/>
  <c r="G2168" i="26" s="1"/>
  <c r="H2168" i="26" s="1"/>
  <c r="E594" i="11"/>
  <c r="G594" i="11" s="1"/>
  <c r="H599" i="11"/>
  <c r="E595" i="11"/>
  <c r="G595" i="11" s="1"/>
  <c r="H595" i="11" s="1"/>
  <c r="E211" i="8"/>
  <c r="G211" i="8" s="1"/>
  <c r="H211" i="8" s="1"/>
  <c r="H216" i="8"/>
  <c r="E210" i="8"/>
  <c r="G210" i="8" s="1"/>
  <c r="H2366" i="26"/>
  <c r="E2362" i="26"/>
  <c r="G2362" i="26" s="1"/>
  <c r="H1379" i="11"/>
  <c r="E1374" i="11"/>
  <c r="G1374" i="11" s="1"/>
  <c r="H1374" i="11" s="1"/>
  <c r="E1373" i="11"/>
  <c r="G1373" i="11" s="1"/>
  <c r="H1691" i="11"/>
  <c r="E1687" i="11"/>
  <c r="G1687" i="11" s="1"/>
  <c r="H2838" i="11"/>
  <c r="E2834" i="11"/>
  <c r="G2834" i="11" s="1"/>
  <c r="E853" i="26"/>
  <c r="G853" i="26" s="1"/>
  <c r="H853" i="26" s="1"/>
  <c r="E852" i="26"/>
  <c r="G852" i="26" s="1"/>
  <c r="H858" i="26"/>
  <c r="E354" i="33"/>
  <c r="G354" i="33" s="1"/>
  <c r="H359" i="33"/>
  <c r="H2653" i="16"/>
  <c r="E2647" i="16"/>
  <c r="G2647" i="16" s="1"/>
  <c r="H874" i="16"/>
  <c r="E868" i="16"/>
  <c r="G868" i="16" s="1"/>
  <c r="H1575" i="13"/>
  <c r="E1569" i="13"/>
  <c r="G1569" i="13" s="1"/>
  <c r="H2555" i="13"/>
  <c r="E2549" i="13"/>
  <c r="G2549" i="13" s="1"/>
  <c r="H2475" i="13"/>
  <c r="E2469" i="13"/>
  <c r="G2469" i="13" s="1"/>
  <c r="E318" i="13"/>
  <c r="G318" i="13" s="1"/>
  <c r="H318" i="13" s="1"/>
  <c r="H323" i="13"/>
  <c r="E317" i="13"/>
  <c r="G317" i="13" s="1"/>
  <c r="H99" i="24"/>
  <c r="E94" i="24"/>
  <c r="G94" i="24" s="1"/>
  <c r="G994" i="8"/>
  <c r="G986" i="8" s="1"/>
  <c r="H996" i="8"/>
  <c r="H1210" i="16"/>
  <c r="E1205" i="16"/>
  <c r="G1205" i="16" s="1"/>
  <c r="H2830" i="26"/>
  <c r="E2826" i="26"/>
  <c r="G2826" i="26" s="1"/>
  <c r="H2826" i="26" s="1"/>
  <c r="E2825" i="26"/>
  <c r="G2825" i="26" s="1"/>
  <c r="H1898" i="11"/>
  <c r="E1894" i="11"/>
  <c r="G1894" i="11" s="1"/>
  <c r="H2861" i="11"/>
  <c r="E2857" i="11"/>
  <c r="G2857" i="11" s="1"/>
  <c r="H2529" i="11"/>
  <c r="E2525" i="11"/>
  <c r="G2525" i="11" s="1"/>
  <c r="E63" i="26"/>
  <c r="G63" i="26" s="1"/>
  <c r="H67" i="26"/>
  <c r="E1232" i="26"/>
  <c r="G1232" i="26" s="1"/>
  <c r="H1238" i="26"/>
  <c r="E1233" i="26"/>
  <c r="G1233" i="26" s="1"/>
  <c r="H1233" i="26" s="1"/>
  <c r="E611" i="8"/>
  <c r="G611" i="8" s="1"/>
  <c r="H616" i="8"/>
  <c r="H1616" i="8"/>
  <c r="G1614" i="8"/>
  <c r="H239" i="24"/>
  <c r="E233" i="24"/>
  <c r="G233" i="24" s="1"/>
  <c r="H934" i="16"/>
  <c r="E929" i="16"/>
  <c r="G929" i="16" s="1"/>
  <c r="H929" i="16" s="1"/>
  <c r="E928" i="16"/>
  <c r="G928" i="16" s="1"/>
  <c r="E1577" i="21"/>
  <c r="G1577" i="21" s="1"/>
  <c r="H1583" i="21"/>
  <c r="H1275" i="13"/>
  <c r="E1269" i="13"/>
  <c r="G1269" i="13" s="1"/>
  <c r="H1075" i="13"/>
  <c r="E1069" i="13"/>
  <c r="G1069" i="13" s="1"/>
  <c r="E1070" i="13"/>
  <c r="G1070" i="13" s="1"/>
  <c r="H1070" i="13" s="1"/>
  <c r="H2275" i="13"/>
  <c r="E2269" i="13"/>
  <c r="G2269" i="13" s="1"/>
  <c r="H854" i="16"/>
  <c r="E848" i="16"/>
  <c r="G848" i="16" s="1"/>
  <c r="H2046" i="8"/>
  <c r="E2041" i="8"/>
  <c r="G2041" i="8" s="1"/>
  <c r="H2041" i="8" s="1"/>
  <c r="E2040" i="8"/>
  <c r="G2040" i="8" s="1"/>
  <c r="E2042" i="8"/>
  <c r="G2042" i="8" s="1"/>
  <c r="H2042" i="8" s="1"/>
  <c r="H39" i="24"/>
  <c r="E34" i="24"/>
  <c r="H2568" i="8"/>
  <c r="E2562" i="8"/>
  <c r="G2562" i="8" s="1"/>
  <c r="E2563" i="8"/>
  <c r="G2563" i="8" s="1"/>
  <c r="H2563" i="8" s="1"/>
  <c r="E430" i="8"/>
  <c r="G430" i="8" s="1"/>
  <c r="H436" i="8"/>
  <c r="E2582" i="26"/>
  <c r="G2582" i="26" s="1"/>
  <c r="H2586" i="26"/>
  <c r="H1714" i="11"/>
  <c r="E1710" i="11"/>
  <c r="G1710" i="11" s="1"/>
  <c r="E2705" i="11"/>
  <c r="G2705" i="11" s="1"/>
  <c r="H2705" i="11" s="1"/>
  <c r="E2704" i="11"/>
  <c r="G2704" i="11" s="1"/>
  <c r="H2709" i="11"/>
  <c r="E131" i="26"/>
  <c r="G131" i="26" s="1"/>
  <c r="H135" i="26"/>
  <c r="E253" i="30"/>
  <c r="G253" i="30" s="1"/>
  <c r="H259" i="30"/>
  <c r="E591" i="8"/>
  <c r="G591" i="8" s="1"/>
  <c r="H596" i="8"/>
  <c r="G2265" i="16"/>
  <c r="H2266" i="16"/>
  <c r="H1779" i="30"/>
  <c r="E1773" i="30"/>
  <c r="G1773" i="30" s="1"/>
  <c r="H1723" i="21"/>
  <c r="E1717" i="21"/>
  <c r="G1717" i="21" s="1"/>
  <c r="H2613" i="16"/>
  <c r="E2607" i="16"/>
  <c r="G2607" i="16" s="1"/>
  <c r="E922" i="21"/>
  <c r="G922" i="21" s="1"/>
  <c r="H927" i="21"/>
  <c r="H1535" i="13"/>
  <c r="E1529" i="13"/>
  <c r="G1529" i="13" s="1"/>
  <c r="E493" i="30"/>
  <c r="G493" i="30" s="1"/>
  <c r="H493" i="30" s="1"/>
  <c r="H499" i="30"/>
  <c r="E494" i="30"/>
  <c r="G494" i="30" s="1"/>
  <c r="E93" i="11"/>
  <c r="G93" i="11" s="1"/>
  <c r="H99" i="11"/>
  <c r="E94" i="11"/>
  <c r="G94" i="11" s="1"/>
  <c r="H94" i="11" s="1"/>
  <c r="E1271" i="24"/>
  <c r="G1271" i="24" s="1"/>
  <c r="H1276" i="24"/>
  <c r="H13" i="24"/>
  <c r="G12" i="24"/>
  <c r="H299" i="11"/>
  <c r="H284" i="11" s="1"/>
  <c r="G284" i="11"/>
  <c r="E164" i="1" s="1"/>
  <c r="F164" i="1" s="1"/>
  <c r="I284" i="11" s="1"/>
  <c r="E233" i="30"/>
  <c r="G233" i="30" s="1"/>
  <c r="E234" i="30"/>
  <c r="G234" i="30" s="1"/>
  <c r="H234" i="30" s="1"/>
  <c r="H239" i="30"/>
  <c r="H1596" i="8"/>
  <c r="G1594" i="8"/>
  <c r="E494" i="33"/>
  <c r="G494" i="33" s="1"/>
  <c r="H494" i="33" s="1"/>
  <c r="H499" i="33"/>
  <c r="E493" i="33"/>
  <c r="G493" i="33" s="1"/>
  <c r="H819" i="11"/>
  <c r="E814" i="11"/>
  <c r="G814" i="11" s="1"/>
  <c r="E815" i="11"/>
  <c r="G815" i="11" s="1"/>
  <c r="H815" i="11" s="1"/>
  <c r="H256" i="8"/>
  <c r="E251" i="8"/>
  <c r="G251" i="8" s="1"/>
  <c r="H251" i="8" s="1"/>
  <c r="E250" i="8"/>
  <c r="G250" i="8" s="1"/>
  <c r="H995" i="13"/>
  <c r="E989" i="13"/>
  <c r="G989" i="13" s="1"/>
  <c r="E990" i="13"/>
  <c r="G990" i="13" s="1"/>
  <c r="H990" i="13" s="1"/>
  <c r="H2437" i="11"/>
  <c r="E2433" i="11"/>
  <c r="G2433" i="11" s="1"/>
  <c r="E631" i="8"/>
  <c r="G631" i="8" s="1"/>
  <c r="H636" i="8"/>
  <c r="H520" i="24"/>
  <c r="E514" i="24"/>
  <c r="G514" i="24" s="1"/>
  <c r="H719" i="21"/>
  <c r="E713" i="21"/>
  <c r="G713" i="21" s="1"/>
  <c r="H548" i="16"/>
  <c r="E542" i="16"/>
  <c r="G542" i="16" s="1"/>
  <c r="E1597" i="21"/>
  <c r="G1597" i="21" s="1"/>
  <c r="H1603" i="21"/>
  <c r="H1315" i="13"/>
  <c r="E1309" i="13"/>
  <c r="G1309" i="13" s="1"/>
  <c r="H1775" i="13"/>
  <c r="E1769" i="13"/>
  <c r="G1769" i="13" s="1"/>
  <c r="E74" i="13"/>
  <c r="G74" i="13" s="1"/>
  <c r="H80" i="13"/>
  <c r="E834" i="30"/>
  <c r="G834" i="30" s="1"/>
  <c r="H839" i="30"/>
  <c r="E95" i="13"/>
  <c r="G95" i="13" s="1"/>
  <c r="H101" i="13"/>
  <c r="E595" i="21"/>
  <c r="G595" i="21" s="1"/>
  <c r="H599" i="21"/>
  <c r="H1055" i="8"/>
  <c r="G1054" i="8"/>
  <c r="H2102" i="8"/>
  <c r="G2100" i="8"/>
  <c r="E735" i="21"/>
  <c r="G735" i="21" s="1"/>
  <c r="H739" i="21"/>
  <c r="E1834" i="30"/>
  <c r="G1834" i="30" s="1"/>
  <c r="H1839" i="30"/>
  <c r="H799" i="33"/>
  <c r="E793" i="33"/>
  <c r="G793" i="33" s="1"/>
  <c r="H108" i="8"/>
  <c r="E102" i="8"/>
  <c r="G102" i="8" s="1"/>
  <c r="E103" i="8"/>
  <c r="G103" i="8" s="1"/>
  <c r="H103" i="8" s="1"/>
  <c r="E2362" i="8"/>
  <c r="G2362" i="8" s="1"/>
  <c r="H2367" i="8"/>
  <c r="E2363" i="8"/>
  <c r="G2363" i="8" s="1"/>
  <c r="H2363" i="8" s="1"/>
  <c r="E3005" i="26"/>
  <c r="G3005" i="26" s="1"/>
  <c r="E3006" i="26"/>
  <c r="G3006" i="26" s="1"/>
  <c r="H3006" i="26" s="1"/>
  <c r="H3010" i="26"/>
  <c r="E254" i="33"/>
  <c r="G254" i="33" s="1"/>
  <c r="H254" i="33" s="1"/>
  <c r="H259" i="33"/>
  <c r="E253" i="33"/>
  <c r="G253" i="33" s="1"/>
  <c r="G336" i="13"/>
  <c r="H337" i="13"/>
  <c r="H419" i="33"/>
  <c r="E414" i="33"/>
  <c r="G414" i="33" s="1"/>
  <c r="H459" i="33"/>
  <c r="E453" i="33"/>
  <c r="G453" i="33" s="1"/>
  <c r="H2355" i="13"/>
  <c r="E2349" i="13"/>
  <c r="G2349" i="13" s="1"/>
  <c r="E93" i="32"/>
  <c r="G93" i="32" s="1"/>
  <c r="H99" i="32"/>
  <c r="E94" i="32"/>
  <c r="G94" i="32" s="1"/>
  <c r="H94" i="32" s="1"/>
  <c r="E95" i="32"/>
  <c r="G95" i="32" s="1"/>
  <c r="H95" i="32" s="1"/>
  <c r="E233" i="11"/>
  <c r="G233" i="11" s="1"/>
  <c r="E234" i="11"/>
  <c r="G234" i="11" s="1"/>
  <c r="H234" i="11" s="1"/>
  <c r="H239" i="11"/>
  <c r="H1295" i="8"/>
  <c r="G1294" i="8"/>
  <c r="G1132" i="30"/>
  <c r="H1134" i="30"/>
  <c r="G469" i="8"/>
  <c r="H470" i="8"/>
  <c r="E691" i="13"/>
  <c r="G691" i="13" s="1"/>
  <c r="H691" i="13" s="1"/>
  <c r="E690" i="13"/>
  <c r="G690" i="13" s="1"/>
  <c r="H690" i="13" s="1"/>
  <c r="E689" i="13"/>
  <c r="G689" i="13" s="1"/>
  <c r="H695" i="13"/>
  <c r="E3026" i="26"/>
  <c r="G3026" i="26" s="1"/>
  <c r="H3026" i="26" s="1"/>
  <c r="H3030" i="26"/>
  <c r="E3025" i="26"/>
  <c r="G3025" i="26" s="1"/>
  <c r="H1829" i="11"/>
  <c r="E1825" i="11"/>
  <c r="G1825" i="11" s="1"/>
  <c r="H2050" i="11"/>
  <c r="E2046" i="11"/>
  <c r="G2046" i="11" s="1"/>
  <c r="H2046" i="11" s="1"/>
  <c r="E2045" i="11"/>
  <c r="G2045" i="11" s="1"/>
  <c r="H659" i="21"/>
  <c r="E653" i="21"/>
  <c r="G653" i="21" s="1"/>
  <c r="H2395" i="13"/>
  <c r="E2389" i="13"/>
  <c r="G2389" i="13" s="1"/>
  <c r="E1853" i="30"/>
  <c r="G1853" i="30" s="1"/>
  <c r="H1859" i="30"/>
  <c r="E153" i="33"/>
  <c r="G153" i="33" s="1"/>
  <c r="H159" i="33"/>
  <c r="E113" i="16"/>
  <c r="G113" i="16" s="1"/>
  <c r="H119" i="16"/>
  <c r="E53" i="21"/>
  <c r="G53" i="21" s="1"/>
  <c r="H59" i="21"/>
  <c r="E373" i="21"/>
  <c r="G373" i="21" s="1"/>
  <c r="H379" i="21"/>
  <c r="E755" i="21"/>
  <c r="G755" i="21" s="1"/>
  <c r="H759" i="21"/>
  <c r="H2262" i="11"/>
  <c r="E2258" i="11"/>
  <c r="G2258" i="11" s="1"/>
  <c r="H1715" i="8"/>
  <c r="G1714" i="8"/>
  <c r="E1540" i="24"/>
  <c r="G1540" i="24" s="1"/>
  <c r="H1546" i="24"/>
  <c r="E653" i="30"/>
  <c r="G653" i="30" s="1"/>
  <c r="H659" i="30"/>
  <c r="E711" i="13"/>
  <c r="G711" i="13" s="1"/>
  <c r="H711" i="13" s="1"/>
  <c r="E709" i="13"/>
  <c r="G709" i="13" s="1"/>
  <c r="E710" i="13"/>
  <c r="G710" i="13" s="1"/>
  <c r="H710" i="13" s="1"/>
  <c r="H715" i="13"/>
  <c r="H2322" i="26"/>
  <c r="E2318" i="26"/>
  <c r="G2318" i="26" s="1"/>
  <c r="E1414" i="11"/>
  <c r="G1414" i="11" s="1"/>
  <c r="H1414" i="11" s="1"/>
  <c r="E1413" i="11"/>
  <c r="G1413" i="11" s="1"/>
  <c r="H1419" i="11"/>
  <c r="H2629" i="11"/>
  <c r="E2624" i="11"/>
  <c r="G2624" i="11" s="1"/>
  <c r="E2625" i="11"/>
  <c r="G2625" i="11" s="1"/>
  <c r="H2625" i="11" s="1"/>
  <c r="H2815" i="11"/>
  <c r="E2811" i="11"/>
  <c r="G2811" i="11" s="1"/>
  <c r="H454" i="30"/>
  <c r="E1152" i="26"/>
  <c r="G1152" i="26" s="1"/>
  <c r="E1153" i="26"/>
  <c r="G1153" i="26" s="1"/>
  <c r="H1153" i="26" s="1"/>
  <c r="H1158" i="26"/>
  <c r="E1607" i="26"/>
  <c r="G1607" i="26" s="1"/>
  <c r="H1607" i="26" s="1"/>
  <c r="E1608" i="26"/>
  <c r="G1608" i="26" s="1"/>
  <c r="H1612" i="26"/>
  <c r="E1673" i="30"/>
  <c r="G1673" i="30" s="1"/>
  <c r="H1679" i="30"/>
  <c r="E1753" i="30"/>
  <c r="G1753" i="30" s="1"/>
  <c r="H1759" i="30"/>
  <c r="H1819" i="30"/>
  <c r="H1804" i="30" s="1"/>
  <c r="G1804" i="30"/>
  <c r="E1105" i="1" s="1"/>
  <c r="F1105" i="1" s="1"/>
  <c r="I1804" i="30" s="1"/>
  <c r="H1110" i="21"/>
  <c r="E1104" i="21"/>
  <c r="G1104" i="21" s="1"/>
  <c r="H482" i="16"/>
  <c r="E476" i="16"/>
  <c r="G476" i="16" s="1"/>
  <c r="H1310" i="16"/>
  <c r="E1305" i="16"/>
  <c r="G1305" i="16" s="1"/>
  <c r="E13" i="11"/>
  <c r="G13" i="11" s="1"/>
  <c r="E14" i="11"/>
  <c r="G14" i="11" s="1"/>
  <c r="H14" i="11" s="1"/>
  <c r="H19" i="11"/>
  <c r="E854" i="30"/>
  <c r="G854" i="30" s="1"/>
  <c r="H859" i="30"/>
  <c r="H139" i="11"/>
  <c r="E134" i="11"/>
  <c r="G134" i="11" s="1"/>
  <c r="H134" i="11" s="1"/>
  <c r="E133" i="11"/>
  <c r="G133" i="11" s="1"/>
  <c r="E1293" i="30"/>
  <c r="G1293" i="30" s="1"/>
  <c r="H1299" i="30"/>
  <c r="H983" i="32"/>
  <c r="E977" i="32"/>
  <c r="G977" i="32" s="1"/>
  <c r="E978" i="32"/>
  <c r="G978" i="32" s="1"/>
  <c r="H978" i="32" s="1"/>
  <c r="H1263" i="32"/>
  <c r="E1257" i="32"/>
  <c r="G1257" i="32" s="1"/>
  <c r="E38" i="15"/>
  <c r="G38" i="15" s="1"/>
  <c r="H44" i="15"/>
  <c r="E39" i="15"/>
  <c r="G39" i="15" s="1"/>
  <c r="H39" i="15" s="1"/>
  <c r="E13" i="15"/>
  <c r="H19" i="15"/>
  <c r="E14" i="15"/>
  <c r="G14" i="15" s="1"/>
  <c r="H14" i="15" s="1"/>
  <c r="E718" i="15"/>
  <c r="G718" i="15" s="1"/>
  <c r="H724" i="15"/>
  <c r="E1621" i="24"/>
  <c r="G1621" i="24" s="1"/>
  <c r="H1626" i="24"/>
  <c r="E1695" i="8"/>
  <c r="G1695" i="8" s="1"/>
  <c r="E1696" i="8"/>
  <c r="G1696" i="8" s="1"/>
  <c r="H1696" i="8" s="1"/>
  <c r="H1701" i="8"/>
  <c r="H1241" i="8"/>
  <c r="E1236" i="8"/>
  <c r="G1236" i="8" s="1"/>
  <c r="H2564" i="26"/>
  <c r="E2560" i="26"/>
  <c r="G2560" i="26" s="1"/>
  <c r="E1113" i="26"/>
  <c r="G1113" i="26" s="1"/>
  <c r="H1113" i="26" s="1"/>
  <c r="E1112" i="26"/>
  <c r="G1112" i="26" s="1"/>
  <c r="H1118" i="26"/>
  <c r="H2032" i="26"/>
  <c r="E2026" i="26"/>
  <c r="G2026" i="26" s="1"/>
  <c r="H1683" i="21"/>
  <c r="E1677" i="21"/>
  <c r="G1677" i="21" s="1"/>
  <c r="H2235" i="13"/>
  <c r="E2229" i="13"/>
  <c r="G2229" i="13" s="1"/>
  <c r="E483" i="13"/>
  <c r="G483" i="13" s="1"/>
  <c r="E484" i="13"/>
  <c r="G484" i="13" s="1"/>
  <c r="H484" i="13" s="1"/>
  <c r="H489" i="13"/>
  <c r="E173" i="33"/>
  <c r="G173" i="33" s="1"/>
  <c r="H179" i="33"/>
  <c r="E193" i="11"/>
  <c r="G193" i="11" s="1"/>
  <c r="H199" i="11"/>
  <c r="H933" i="33"/>
  <c r="G932" i="33"/>
  <c r="E1012" i="26"/>
  <c r="G1012" i="26" s="1"/>
  <c r="E1013" i="26"/>
  <c r="G1013" i="26" s="1"/>
  <c r="H1013" i="26" s="1"/>
  <c r="H1018" i="26"/>
  <c r="E418" i="13"/>
  <c r="G418" i="13" s="1"/>
  <c r="H418" i="13" s="1"/>
  <c r="E419" i="13"/>
  <c r="G419" i="13" s="1"/>
  <c r="H419" i="13" s="1"/>
  <c r="E417" i="13"/>
  <c r="G417" i="13" s="1"/>
  <c r="H423" i="13"/>
  <c r="E913" i="26"/>
  <c r="G913" i="26" s="1"/>
  <c r="H913" i="26" s="1"/>
  <c r="E912" i="26"/>
  <c r="G912" i="26" s="1"/>
  <c r="H918" i="26"/>
  <c r="H2213" i="26"/>
  <c r="E2209" i="26"/>
  <c r="G2209" i="26" s="1"/>
  <c r="H2062" i="30"/>
  <c r="E2056" i="30"/>
  <c r="G2056" i="30" s="1"/>
  <c r="E1068" i="24"/>
  <c r="G1068" i="24" s="1"/>
  <c r="H1074" i="24"/>
  <c r="H947" i="21"/>
  <c r="E941" i="21"/>
  <c r="G941" i="21" s="1"/>
  <c r="H680" i="24"/>
  <c r="E674" i="24"/>
  <c r="G674" i="24" s="1"/>
  <c r="H1523" i="21"/>
  <c r="E1517" i="21"/>
  <c r="G1517" i="21" s="1"/>
  <c r="E2482" i="8"/>
  <c r="G2482" i="8" s="1"/>
  <c r="H2487" i="8"/>
  <c r="E2483" i="8"/>
  <c r="G2483" i="8" s="1"/>
  <c r="H2483" i="8" s="1"/>
  <c r="E294" i="21"/>
  <c r="G294" i="21" s="1"/>
  <c r="H294" i="21" s="1"/>
  <c r="E293" i="21"/>
  <c r="G293" i="21" s="1"/>
  <c r="H299" i="21"/>
  <c r="E153" i="11"/>
  <c r="G153" i="11" s="1"/>
  <c r="H159" i="11"/>
  <c r="E154" i="11"/>
  <c r="G154" i="11" s="1"/>
  <c r="H154" i="11" s="1"/>
  <c r="E73" i="11"/>
  <c r="G73" i="11" s="1"/>
  <c r="E74" i="11"/>
  <c r="G74" i="11" s="1"/>
  <c r="H74" i="11" s="1"/>
  <c r="H79" i="11"/>
  <c r="H1343" i="32"/>
  <c r="E1337" i="32"/>
  <c r="G1337" i="32" s="1"/>
  <c r="E677" i="32"/>
  <c r="G677" i="32" s="1"/>
  <c r="H683" i="32"/>
  <c r="E818" i="15"/>
  <c r="G818" i="15" s="1"/>
  <c r="H824" i="15"/>
  <c r="E819" i="15"/>
  <c r="G819" i="15" s="1"/>
  <c r="H819" i="15" s="1"/>
  <c r="E458" i="15"/>
  <c r="G458" i="15" s="1"/>
  <c r="H464" i="15"/>
  <c r="E459" i="15"/>
  <c r="G459" i="15" s="1"/>
  <c r="H459" i="15" s="1"/>
  <c r="E278" i="32"/>
  <c r="G278" i="32" s="1"/>
  <c r="H283" i="32"/>
  <c r="G612" i="30"/>
  <c r="H613" i="30"/>
  <c r="H530" i="8"/>
  <c r="G529" i="8"/>
  <c r="E2523" i="8"/>
  <c r="G2523" i="8" s="1"/>
  <c r="H2523" i="8" s="1"/>
  <c r="E2522" i="8"/>
  <c r="G2522" i="8" s="1"/>
  <c r="H2528" i="8"/>
  <c r="E454" i="11"/>
  <c r="G454" i="11" s="1"/>
  <c r="E455" i="11"/>
  <c r="G455" i="11" s="1"/>
  <c r="H455" i="11" s="1"/>
  <c r="H459" i="11"/>
  <c r="E377" i="13"/>
  <c r="G377" i="13" s="1"/>
  <c r="H383" i="13"/>
  <c r="E378" i="13"/>
  <c r="G378" i="13" s="1"/>
  <c r="H378" i="13" s="1"/>
  <c r="E379" i="13"/>
  <c r="G379" i="13" s="1"/>
  <c r="H379" i="13" s="1"/>
  <c r="E693" i="26"/>
  <c r="G693" i="26" s="1"/>
  <c r="E694" i="26"/>
  <c r="G694" i="26" s="1"/>
  <c r="H694" i="26" s="1"/>
  <c r="H698" i="26"/>
  <c r="E2162" i="8"/>
  <c r="G2162" i="8" s="1"/>
  <c r="H2162" i="8" s="1"/>
  <c r="E2161" i="8"/>
  <c r="G2161" i="8" s="1"/>
  <c r="H2167" i="8"/>
  <c r="H999" i="33"/>
  <c r="E994" i="33"/>
  <c r="G994" i="33" s="1"/>
  <c r="H994" i="33" s="1"/>
  <c r="E993" i="33"/>
  <c r="G993" i="33" s="1"/>
  <c r="H1563" i="21"/>
  <c r="E1557" i="21"/>
  <c r="G1557" i="21" s="1"/>
  <c r="H2533" i="16"/>
  <c r="E2528" i="16"/>
  <c r="G2528" i="16" s="1"/>
  <c r="H2182" i="30"/>
  <c r="E2176" i="30"/>
  <c r="G2176" i="30" s="1"/>
  <c r="E273" i="21"/>
  <c r="G273" i="21" s="1"/>
  <c r="H279" i="21"/>
  <c r="E54" i="11"/>
  <c r="G54" i="11" s="1"/>
  <c r="H54" i="11" s="1"/>
  <c r="E53" i="11"/>
  <c r="G53" i="11" s="1"/>
  <c r="H59" i="11"/>
  <c r="E874" i="30"/>
  <c r="G874" i="30" s="1"/>
  <c r="H879" i="30"/>
  <c r="E230" i="8"/>
  <c r="G230" i="8" s="1"/>
  <c r="H236" i="8"/>
  <c r="H1183" i="32"/>
  <c r="E1177" i="32"/>
  <c r="G1177" i="32" s="1"/>
  <c r="H1163" i="32"/>
  <c r="E1157" i="32"/>
  <c r="G1157" i="32" s="1"/>
  <c r="E1078" i="15"/>
  <c r="G1078" i="15" s="1"/>
  <c r="H1084" i="15"/>
  <c r="E1158" i="15"/>
  <c r="G1158" i="15" s="1"/>
  <c r="H1164" i="15"/>
  <c r="E1480" i="15"/>
  <c r="G1480" i="15" s="1"/>
  <c r="H1486" i="15"/>
  <c r="G1252" i="30"/>
  <c r="H1254" i="30"/>
  <c r="H2052" i="26"/>
  <c r="E2048" i="26"/>
  <c r="G2048" i="26" s="1"/>
  <c r="E199" i="15"/>
  <c r="G199" i="15" s="1"/>
  <c r="H199" i="15" s="1"/>
  <c r="E200" i="15"/>
  <c r="G200" i="15" s="1"/>
  <c r="H200" i="15" s="1"/>
  <c r="E198" i="15"/>
  <c r="G198" i="15" s="1"/>
  <c r="H204" i="15"/>
  <c r="E1828" i="26"/>
  <c r="G1828" i="26" s="1"/>
  <c r="H1832" i="26"/>
  <c r="H1584" i="11"/>
  <c r="E1580" i="11"/>
  <c r="G1580" i="11" s="1"/>
  <c r="E2218" i="11"/>
  <c r="G2218" i="11" s="1"/>
  <c r="H2222" i="11"/>
  <c r="E1054" i="33"/>
  <c r="G1054" i="33" s="1"/>
  <c r="H1059" i="33"/>
  <c r="H979" i="33"/>
  <c r="E974" i="33"/>
  <c r="G974" i="33" s="1"/>
  <c r="H2690" i="26"/>
  <c r="E2685" i="26"/>
  <c r="G2685" i="26" s="1"/>
  <c r="H568" i="16"/>
  <c r="E562" i="16"/>
  <c r="G562" i="16" s="1"/>
  <c r="E563" i="16"/>
  <c r="G563" i="16" s="1"/>
  <c r="H563" i="16" s="1"/>
  <c r="H1550" i="16"/>
  <c r="E1545" i="16"/>
  <c r="G1545" i="16" s="1"/>
  <c r="H2593" i="16"/>
  <c r="E2588" i="16"/>
  <c r="G2588" i="16" s="1"/>
  <c r="E1254" i="11"/>
  <c r="G1254" i="11" s="1"/>
  <c r="H1259" i="11"/>
  <c r="E1255" i="11"/>
  <c r="G1255" i="11" s="1"/>
  <c r="H1255" i="11" s="1"/>
  <c r="H1159" i="11"/>
  <c r="E1154" i="11"/>
  <c r="G1154" i="11" s="1"/>
  <c r="E1155" i="11"/>
  <c r="G1155" i="11" s="1"/>
  <c r="H1155" i="11" s="1"/>
  <c r="G1552" i="30"/>
  <c r="H1554" i="30"/>
  <c r="H1021" i="21"/>
  <c r="G1020" i="21"/>
  <c r="E1037" i="32"/>
  <c r="G1037" i="32" s="1"/>
  <c r="H1043" i="32"/>
  <c r="H483" i="32"/>
  <c r="E477" i="32"/>
  <c r="G477" i="32" s="1"/>
  <c r="E1258" i="15"/>
  <c r="G1258" i="15" s="1"/>
  <c r="H1264" i="15"/>
  <c r="E1740" i="15"/>
  <c r="G1740" i="15" s="1"/>
  <c r="H1746" i="15"/>
  <c r="E1460" i="15"/>
  <c r="G1460" i="15" s="1"/>
  <c r="H1466" i="15"/>
  <c r="H599" i="33"/>
  <c r="E594" i="33"/>
  <c r="G594" i="33" s="1"/>
  <c r="H1875" i="11"/>
  <c r="E1871" i="11"/>
  <c r="G1871" i="11" s="1"/>
  <c r="E2645" i="11"/>
  <c r="G2645" i="11" s="1"/>
  <c r="H2645" i="11" s="1"/>
  <c r="H2649" i="11"/>
  <c r="E2644" i="11"/>
  <c r="G2644" i="11" s="1"/>
  <c r="E246" i="26"/>
  <c r="G246" i="26" s="1"/>
  <c r="E247" i="26"/>
  <c r="G247" i="26" s="1"/>
  <c r="H247" i="26" s="1"/>
  <c r="H251" i="26"/>
  <c r="G192" i="30"/>
  <c r="H192" i="30" s="1"/>
  <c r="H194" i="30"/>
  <c r="E234" i="33"/>
  <c r="G234" i="33" s="1"/>
  <c r="H234" i="33" s="1"/>
  <c r="H239" i="33"/>
  <c r="E233" i="33"/>
  <c r="G233" i="33" s="1"/>
  <c r="H1982" i="30"/>
  <c r="E1976" i="30"/>
  <c r="G1976" i="30" s="1"/>
  <c r="H2092" i="16"/>
  <c r="E2086" i="16"/>
  <c r="G2086" i="16" s="1"/>
  <c r="H1395" i="13"/>
  <c r="E1389" i="13"/>
  <c r="G1389" i="13" s="1"/>
  <c r="E915" i="11"/>
  <c r="G915" i="11" s="1"/>
  <c r="H915" i="11" s="1"/>
  <c r="E914" i="11"/>
  <c r="G914" i="11" s="1"/>
  <c r="H919" i="11"/>
  <c r="H1881" i="8"/>
  <c r="E1875" i="8"/>
  <c r="G1875" i="8" s="1"/>
  <c r="E1876" i="8"/>
  <c r="G1876" i="8" s="1"/>
  <c r="H1876" i="8" s="1"/>
  <c r="E1458" i="32"/>
  <c r="G1458" i="32" s="1"/>
  <c r="H1458" i="32" s="1"/>
  <c r="E1457" i="32"/>
  <c r="G1457" i="32" s="1"/>
  <c r="H1463" i="32"/>
  <c r="H523" i="32"/>
  <c r="E517" i="32"/>
  <c r="G517" i="32" s="1"/>
  <c r="E499" i="15"/>
  <c r="G499" i="15" s="1"/>
  <c r="H499" i="15" s="1"/>
  <c r="H504" i="15"/>
  <c r="E498" i="15"/>
  <c r="G498" i="15" s="1"/>
  <c r="E1019" i="15"/>
  <c r="G1019" i="15" s="1"/>
  <c r="H1019" i="15" s="1"/>
  <c r="H1024" i="15"/>
  <c r="E1018" i="15"/>
  <c r="G1018" i="15" s="1"/>
  <c r="E257" i="32"/>
  <c r="G257" i="32" s="1"/>
  <c r="H263" i="32"/>
  <c r="H2608" i="8"/>
  <c r="E2603" i="8"/>
  <c r="G2603" i="8" s="1"/>
  <c r="H2603" i="8" s="1"/>
  <c r="E2602" i="8"/>
  <c r="G2602" i="8" s="1"/>
  <c r="E354" i="11"/>
  <c r="G354" i="11" s="1"/>
  <c r="H359" i="11"/>
  <c r="E355" i="11"/>
  <c r="G355" i="11" s="1"/>
  <c r="H355" i="11" s="1"/>
  <c r="H224" i="15"/>
  <c r="E219" i="15"/>
  <c r="G219" i="15" s="1"/>
  <c r="H219" i="15" s="1"/>
  <c r="E218" i="15"/>
  <c r="G218" i="15" s="1"/>
  <c r="E220" i="15"/>
  <c r="G220" i="15" s="1"/>
  <c r="H220" i="15" s="1"/>
  <c r="E1052" i="26"/>
  <c r="G1052" i="26" s="1"/>
  <c r="H1058" i="26"/>
  <c r="E1053" i="26"/>
  <c r="G1053" i="26" s="1"/>
  <c r="H1053" i="26" s="1"/>
  <c r="E2946" i="26"/>
  <c r="G2946" i="26" s="1"/>
  <c r="H2946" i="26" s="1"/>
  <c r="H2950" i="26"/>
  <c r="E2945" i="26"/>
  <c r="G2945" i="26" s="1"/>
  <c r="H2090" i="11"/>
  <c r="E2086" i="11"/>
  <c r="G2086" i="11" s="1"/>
  <c r="H2086" i="11" s="1"/>
  <c r="E2085" i="11"/>
  <c r="G2085" i="11" s="1"/>
  <c r="E573" i="26"/>
  <c r="G573" i="26" s="1"/>
  <c r="H573" i="26" s="1"/>
  <c r="E572" i="26"/>
  <c r="G572" i="26" s="1"/>
  <c r="H577" i="26"/>
  <c r="E2016" i="30"/>
  <c r="G2016" i="30" s="1"/>
  <c r="H2022" i="30"/>
  <c r="H760" i="24"/>
  <c r="E754" i="24"/>
  <c r="G754" i="24" s="1"/>
  <c r="H1530" i="16"/>
  <c r="E1525" i="16"/>
  <c r="G1525" i="16" s="1"/>
  <c r="H1415" i="13"/>
  <c r="E1409" i="13"/>
  <c r="G1409" i="13" s="1"/>
  <c r="E1784" i="16"/>
  <c r="G1784" i="16" s="1"/>
  <c r="E1785" i="16"/>
  <c r="G1785" i="16" s="1"/>
  <c r="H1785" i="16" s="1"/>
  <c r="H1790" i="16"/>
  <c r="H979" i="11"/>
  <c r="E975" i="11"/>
  <c r="G975" i="11" s="1"/>
  <c r="H975" i="11" s="1"/>
  <c r="E974" i="11"/>
  <c r="G974" i="11" s="1"/>
  <c r="E1855" i="8"/>
  <c r="G1855" i="8" s="1"/>
  <c r="E1856" i="8"/>
  <c r="G1856" i="8" s="1"/>
  <c r="H1856" i="8" s="1"/>
  <c r="H1861" i="8"/>
  <c r="E1857" i="8"/>
  <c r="G1857" i="8" s="1"/>
  <c r="H1857" i="8" s="1"/>
  <c r="G1512" i="30"/>
  <c r="H1514" i="30"/>
  <c r="E193" i="33"/>
  <c r="G193" i="33" s="1"/>
  <c r="H199" i="33"/>
  <c r="H1523" i="32"/>
  <c r="E1518" i="32"/>
  <c r="G1518" i="32" s="1"/>
  <c r="H1518" i="32" s="1"/>
  <c r="E1517" i="32"/>
  <c r="G1517" i="32" s="1"/>
  <c r="H823" i="32"/>
  <c r="E817" i="32"/>
  <c r="G817" i="32" s="1"/>
  <c r="E2030" i="15"/>
  <c r="G2030" i="15" s="1"/>
  <c r="H2036" i="15"/>
  <c r="E1320" i="15"/>
  <c r="G1320" i="15" s="1"/>
  <c r="H1326" i="15"/>
  <c r="E1139" i="15"/>
  <c r="G1139" i="15" s="1"/>
  <c r="H1139" i="15" s="1"/>
  <c r="H1144" i="15"/>
  <c r="E1138" i="15"/>
  <c r="G1138" i="15" s="1"/>
  <c r="E518" i="15"/>
  <c r="G518" i="15" s="1"/>
  <c r="H524" i="15"/>
  <c r="E519" i="15"/>
  <c r="G519" i="15" s="1"/>
  <c r="H519" i="15" s="1"/>
  <c r="G216" i="13"/>
  <c r="H218" i="13"/>
  <c r="H3092" i="26"/>
  <c r="E3088" i="26"/>
  <c r="G3088" i="26" s="1"/>
  <c r="H633" i="21"/>
  <c r="G632" i="21"/>
  <c r="H2730" i="26"/>
  <c r="E2724" i="26"/>
  <c r="G2724" i="26" s="1"/>
  <c r="E535" i="11"/>
  <c r="G535" i="11" s="1"/>
  <c r="H535" i="11" s="1"/>
  <c r="H539" i="11"/>
  <c r="E534" i="11"/>
  <c r="G534" i="11" s="1"/>
  <c r="H264" i="15"/>
  <c r="E259" i="15"/>
  <c r="G259" i="15" s="1"/>
  <c r="H259" i="15" s="1"/>
  <c r="E260" i="15"/>
  <c r="G260" i="15" s="1"/>
  <c r="H260" i="15" s="1"/>
  <c r="E258" i="15"/>
  <c r="G258" i="15" s="1"/>
  <c r="E439" i="13"/>
  <c r="G439" i="13" s="1"/>
  <c r="H439" i="13" s="1"/>
  <c r="E438" i="13"/>
  <c r="G438" i="13" s="1"/>
  <c r="H438" i="13" s="1"/>
  <c r="E437" i="13"/>
  <c r="G437" i="13" s="1"/>
  <c r="H443" i="13"/>
  <c r="E1476" i="8"/>
  <c r="G1476" i="8" s="1"/>
  <c r="H1476" i="8" s="1"/>
  <c r="E1475" i="8"/>
  <c r="G1475" i="8" s="1"/>
  <c r="H1481" i="8"/>
  <c r="E370" i="26"/>
  <c r="G370" i="26" s="1"/>
  <c r="E371" i="26"/>
  <c r="G371" i="26" s="1"/>
  <c r="H371" i="26" s="1"/>
  <c r="H376" i="26"/>
  <c r="E93" i="33"/>
  <c r="G93" i="33" s="1"/>
  <c r="H99" i="33"/>
  <c r="H2453" i="16"/>
  <c r="E2447" i="16"/>
  <c r="G2447" i="16" s="1"/>
  <c r="H1610" i="16"/>
  <c r="E1605" i="16"/>
  <c r="G1605" i="16" s="1"/>
  <c r="H994" i="16"/>
  <c r="E989" i="16"/>
  <c r="G989" i="16" s="1"/>
  <c r="H989" i="16" s="1"/>
  <c r="E988" i="16"/>
  <c r="G988" i="16" s="1"/>
  <c r="H1855" i="13"/>
  <c r="E1849" i="13"/>
  <c r="G1849" i="13" s="1"/>
  <c r="H2175" i="13"/>
  <c r="E2169" i="13"/>
  <c r="G2169" i="13" s="1"/>
  <c r="E113" i="32"/>
  <c r="G113" i="32" s="1"/>
  <c r="H119" i="32"/>
  <c r="E115" i="32"/>
  <c r="G115" i="32" s="1"/>
  <c r="H115" i="32" s="1"/>
  <c r="E114" i="32"/>
  <c r="G114" i="32" s="1"/>
  <c r="H114" i="32" s="1"/>
  <c r="H1503" i="32"/>
  <c r="E1497" i="32"/>
  <c r="G1497" i="32" s="1"/>
  <c r="E1498" i="32"/>
  <c r="G1498" i="32" s="1"/>
  <c r="H1498" i="32" s="1"/>
  <c r="E557" i="32"/>
  <c r="G557" i="32" s="1"/>
  <c r="E558" i="32"/>
  <c r="G558" i="32" s="1"/>
  <c r="H558" i="32" s="1"/>
  <c r="H563" i="32"/>
  <c r="H2076" i="15"/>
  <c r="E2070" i="15"/>
  <c r="G2070" i="15" s="1"/>
  <c r="E1760" i="15"/>
  <c r="G1760" i="15" s="1"/>
  <c r="H1766" i="15"/>
  <c r="E1990" i="15"/>
  <c r="G1990" i="15" s="1"/>
  <c r="H1996" i="15"/>
  <c r="E318" i="32"/>
  <c r="G318" i="32" s="1"/>
  <c r="H323" i="32"/>
  <c r="H13" i="13"/>
  <c r="G12" i="13"/>
  <c r="E775" i="11"/>
  <c r="G775" i="11" s="1"/>
  <c r="H775" i="11" s="1"/>
  <c r="H779" i="11"/>
  <c r="E774" i="11"/>
  <c r="G774" i="11" s="1"/>
  <c r="H2247" i="8"/>
  <c r="E2241" i="8"/>
  <c r="G2241" i="8" s="1"/>
  <c r="E2242" i="8"/>
  <c r="G2242" i="8" s="1"/>
  <c r="H2242" i="8" s="1"/>
  <c r="H1936" i="8"/>
  <c r="G1934" i="8"/>
  <c r="H219" i="24"/>
  <c r="E213" i="24"/>
  <c r="G213" i="24" s="1"/>
  <c r="H1915" i="13"/>
  <c r="E1909" i="13"/>
  <c r="G1909" i="13" s="1"/>
  <c r="E1175" i="11"/>
  <c r="G1175" i="11" s="1"/>
  <c r="H1175" i="11" s="1"/>
  <c r="E1174" i="11"/>
  <c r="G1174" i="11" s="1"/>
  <c r="H1179" i="11"/>
  <c r="E2106" i="16"/>
  <c r="G2106" i="16" s="1"/>
  <c r="H2112" i="16"/>
  <c r="H939" i="11"/>
  <c r="E935" i="11"/>
  <c r="G935" i="11" s="1"/>
  <c r="H935" i="11" s="1"/>
  <c r="E934" i="11"/>
  <c r="G934" i="11" s="1"/>
  <c r="E618" i="15"/>
  <c r="G618" i="15" s="1"/>
  <c r="H624" i="15"/>
  <c r="H1457" i="24"/>
  <c r="E1452" i="24"/>
  <c r="G1452" i="24" s="1"/>
  <c r="H1250" i="16"/>
  <c r="E1245" i="16"/>
  <c r="G1245" i="16" s="1"/>
  <c r="E592" i="26"/>
  <c r="G592" i="26" s="1"/>
  <c r="E593" i="26"/>
  <c r="G593" i="26" s="1"/>
  <c r="H593" i="26" s="1"/>
  <c r="H597" i="26"/>
  <c r="E170" i="8"/>
  <c r="G170" i="8" s="1"/>
  <c r="H176" i="8"/>
  <c r="E171" i="8"/>
  <c r="G171" i="8" s="1"/>
  <c r="H171" i="8" s="1"/>
  <c r="E2646" i="26"/>
  <c r="G2646" i="26" s="1"/>
  <c r="H2646" i="26" s="1"/>
  <c r="E2645" i="26"/>
  <c r="G2645" i="26" s="1"/>
  <c r="H2650" i="26"/>
  <c r="E2764" i="11"/>
  <c r="G2764" i="11" s="1"/>
  <c r="E2765" i="11"/>
  <c r="G2765" i="11" s="1"/>
  <c r="H2765" i="11" s="1"/>
  <c r="H2769" i="11"/>
  <c r="E1447" i="26"/>
  <c r="G1447" i="26" s="1"/>
  <c r="H1447" i="26" s="1"/>
  <c r="E1446" i="26"/>
  <c r="G1446" i="26" s="1"/>
  <c r="H1451" i="26"/>
  <c r="E374" i="33"/>
  <c r="G374" i="33" s="1"/>
  <c r="H379" i="33"/>
  <c r="E1253" i="21"/>
  <c r="G1253" i="21" s="1"/>
  <c r="H1259" i="21"/>
  <c r="E1824" i="16"/>
  <c r="G1824" i="16" s="1"/>
  <c r="E1825" i="16"/>
  <c r="G1825" i="16" s="1"/>
  <c r="H1825" i="16" s="1"/>
  <c r="H1830" i="16"/>
  <c r="H2292" i="16"/>
  <c r="E2286" i="16"/>
  <c r="G2286" i="16" s="1"/>
  <c r="H839" i="33"/>
  <c r="E833" i="33"/>
  <c r="G833" i="33" s="1"/>
  <c r="H2282" i="11"/>
  <c r="E2276" i="11"/>
  <c r="G2276" i="11" s="1"/>
  <c r="E2277" i="11"/>
  <c r="G2277" i="11" s="1"/>
  <c r="H2277" i="11" s="1"/>
  <c r="H359" i="30"/>
  <c r="E353" i="30"/>
  <c r="G353" i="30" s="1"/>
  <c r="H1223" i="32"/>
  <c r="E1217" i="32"/>
  <c r="G1217" i="32" s="1"/>
  <c r="H1103" i="32"/>
  <c r="E1097" i="32"/>
  <c r="G1097" i="32" s="1"/>
  <c r="H2096" i="15"/>
  <c r="E2090" i="15"/>
  <c r="G2090" i="15" s="1"/>
  <c r="E1098" i="15"/>
  <c r="G1098" i="15" s="1"/>
  <c r="H1104" i="15"/>
  <c r="E1520" i="15"/>
  <c r="G1520" i="15" s="1"/>
  <c r="H1526" i="15"/>
  <c r="E1924" i="15"/>
  <c r="G1924" i="15" s="1"/>
  <c r="H1930" i="15"/>
  <c r="E929" i="24"/>
  <c r="G929" i="24" s="1"/>
  <c r="H934" i="24"/>
  <c r="H1652" i="26"/>
  <c r="H1637" i="26" s="1"/>
  <c r="G1637" i="26"/>
  <c r="E939" i="1" s="1"/>
  <c r="F939" i="1" s="1"/>
  <c r="H2442" i="8"/>
  <c r="G2440" i="8"/>
  <c r="H2332" i="16"/>
  <c r="E2327" i="16"/>
  <c r="G2327" i="16" s="1"/>
  <c r="H419" i="11"/>
  <c r="E415" i="11"/>
  <c r="G415" i="11" s="1"/>
  <c r="H415" i="11" s="1"/>
  <c r="E414" i="11"/>
  <c r="G414" i="11" s="1"/>
  <c r="E813" i="26"/>
  <c r="G813" i="26" s="1"/>
  <c r="H818" i="26"/>
  <c r="E2121" i="8"/>
  <c r="G2121" i="8" s="1"/>
  <c r="H2127" i="8"/>
  <c r="E2122" i="8"/>
  <c r="G2122" i="8" s="1"/>
  <c r="H2122" i="8" s="1"/>
  <c r="H1760" i="11"/>
  <c r="E1756" i="11"/>
  <c r="G1756" i="11" s="1"/>
  <c r="H2884" i="11"/>
  <c r="E2880" i="11"/>
  <c r="G2880" i="11" s="1"/>
  <c r="E1173" i="26"/>
  <c r="G1173" i="26" s="1"/>
  <c r="H1173" i="26" s="1"/>
  <c r="E1172" i="26"/>
  <c r="G1172" i="26" s="1"/>
  <c r="H1178" i="26"/>
  <c r="H379" i="24"/>
  <c r="E373" i="24"/>
  <c r="G373" i="24" s="1"/>
  <c r="E375" i="24"/>
  <c r="G375" i="24" s="1"/>
  <c r="H375" i="24" s="1"/>
  <c r="H439" i="33"/>
  <c r="E433" i="33"/>
  <c r="G433" i="33" s="1"/>
  <c r="H1463" i="21"/>
  <c r="E1457" i="21"/>
  <c r="G1457" i="21" s="1"/>
  <c r="H2473" i="16"/>
  <c r="E2468" i="16"/>
  <c r="G2468" i="16" s="1"/>
  <c r="H1195" i="13"/>
  <c r="E1189" i="13"/>
  <c r="G1189" i="13" s="1"/>
  <c r="E1924" i="16"/>
  <c r="G1924" i="16" s="1"/>
  <c r="H1930" i="16"/>
  <c r="H734" i="16"/>
  <c r="E728" i="16"/>
  <c r="G728" i="16" s="1"/>
  <c r="H1983" i="8"/>
  <c r="E1977" i="8"/>
  <c r="G1977" i="8" s="1"/>
  <c r="E1979" i="8"/>
  <c r="G1979" i="8" s="1"/>
  <c r="H1979" i="8" s="1"/>
  <c r="E1978" i="8"/>
  <c r="G1978" i="8" s="1"/>
  <c r="H1978" i="8" s="1"/>
  <c r="E35" i="13"/>
  <c r="G35" i="13" s="1"/>
  <c r="H35" i="13" s="1"/>
  <c r="E33" i="13"/>
  <c r="E34" i="13"/>
  <c r="G34" i="13" s="1"/>
  <c r="H34" i="13" s="1"/>
  <c r="H39" i="13"/>
  <c r="G329" i="8"/>
  <c r="H330" i="8"/>
  <c r="H2422" i="8"/>
  <c r="G2420" i="8"/>
  <c r="H1812" i="26"/>
  <c r="H1797" i="26" s="1"/>
  <c r="G1797" i="26"/>
  <c r="E947" i="1" s="1"/>
  <c r="F947" i="1" s="1"/>
  <c r="I1797" i="26" s="1"/>
  <c r="E754" i="33"/>
  <c r="G754" i="33" s="1"/>
  <c r="H754" i="33" s="1"/>
  <c r="E753" i="33"/>
  <c r="G753" i="33" s="1"/>
  <c r="H759" i="33"/>
  <c r="H2147" i="8"/>
  <c r="E2142" i="8"/>
  <c r="G2142" i="8" s="1"/>
  <c r="H2142" i="8" s="1"/>
  <c r="E2141" i="8"/>
  <c r="G2141" i="8" s="1"/>
  <c r="H2344" i="26"/>
  <c r="E2340" i="26"/>
  <c r="G2340" i="26" s="1"/>
  <c r="E1733" i="11"/>
  <c r="G1733" i="11" s="1"/>
  <c r="H1737" i="11"/>
  <c r="H1944" i="11"/>
  <c r="E1940" i="11"/>
  <c r="G1940" i="11" s="1"/>
  <c r="G212" i="30"/>
  <c r="H212" i="30" s="1"/>
  <c r="H214" i="30"/>
  <c r="H1076" i="8"/>
  <c r="G1074" i="8"/>
  <c r="H2322" i="11"/>
  <c r="E2317" i="11"/>
  <c r="G2317" i="11" s="1"/>
  <c r="E1996" i="30"/>
  <c r="G1996" i="30" s="1"/>
  <c r="H2002" i="30"/>
  <c r="H974" i="16"/>
  <c r="E968" i="16"/>
  <c r="G968" i="16" s="1"/>
  <c r="E969" i="16"/>
  <c r="G969" i="16" s="1"/>
  <c r="H969" i="16" s="1"/>
  <c r="H1490" i="16"/>
  <c r="E1486" i="16"/>
  <c r="G1486" i="16" s="1"/>
  <c r="H1486" i="16" s="1"/>
  <c r="E1485" i="16"/>
  <c r="G1485" i="16" s="1"/>
  <c r="H1485" i="16" s="1"/>
  <c r="E1484" i="16"/>
  <c r="G1484" i="16" s="1"/>
  <c r="E1214" i="11"/>
  <c r="G1214" i="11" s="1"/>
  <c r="E1215" i="11"/>
  <c r="G1215" i="11" s="1"/>
  <c r="H1215" i="11" s="1"/>
  <c r="H1219" i="11"/>
  <c r="H2195" i="13"/>
  <c r="E2189" i="13"/>
  <c r="G2189" i="13" s="1"/>
  <c r="H1161" i="8"/>
  <c r="E1155" i="8"/>
  <c r="G1155" i="8" s="1"/>
  <c r="E678" i="15"/>
  <c r="G678" i="15" s="1"/>
  <c r="H684" i="15"/>
  <c r="H1455" i="8"/>
  <c r="G1454" i="8"/>
  <c r="E2643" i="8"/>
  <c r="G2643" i="8" s="1"/>
  <c r="H2643" i="8" s="1"/>
  <c r="H2648" i="8"/>
  <c r="E2642" i="8"/>
  <c r="G2642" i="8" s="1"/>
  <c r="G152" i="21"/>
  <c r="H154" i="21"/>
  <c r="E913" i="30"/>
  <c r="G913" i="30" s="1"/>
  <c r="H919" i="30"/>
  <c r="H279" i="30"/>
  <c r="E273" i="30"/>
  <c r="G273" i="30" s="1"/>
  <c r="E293" i="30"/>
  <c r="G293" i="30" s="1"/>
  <c r="H299" i="30"/>
  <c r="E352" i="26"/>
  <c r="G352" i="26" s="1"/>
  <c r="H352" i="26" s="1"/>
  <c r="E351" i="26"/>
  <c r="G351" i="26" s="1"/>
  <c r="H356" i="26"/>
  <c r="G24" i="6"/>
  <c r="E2036" i="30"/>
  <c r="G2036" i="30" s="1"/>
  <c r="H2042" i="30"/>
  <c r="E1029" i="16"/>
  <c r="G1029" i="16" s="1"/>
  <c r="H1029" i="16" s="1"/>
  <c r="H1034" i="16"/>
  <c r="E1028" i="16"/>
  <c r="G1028" i="16" s="1"/>
  <c r="H1175" i="13"/>
  <c r="E1169" i="13"/>
  <c r="G1169" i="13" s="1"/>
  <c r="H2312" i="16"/>
  <c r="E2306" i="16"/>
  <c r="G2306" i="16" s="1"/>
  <c r="H2335" i="13"/>
  <c r="E2329" i="13"/>
  <c r="G2329" i="13" s="1"/>
  <c r="H39" i="32"/>
  <c r="E35" i="32"/>
  <c r="G35" i="32" s="1"/>
  <c r="H35" i="32" s="1"/>
  <c r="E33" i="32"/>
  <c r="G33" i="32" s="1"/>
  <c r="E34" i="32"/>
  <c r="G34" i="32" s="1"/>
  <c r="H34" i="32" s="1"/>
  <c r="E795" i="8"/>
  <c r="G795" i="8" s="1"/>
  <c r="H801" i="8"/>
  <c r="G1532" i="30"/>
  <c r="H1534" i="30"/>
  <c r="E479" i="15"/>
  <c r="G479" i="15" s="1"/>
  <c r="H479" i="15" s="1"/>
  <c r="H484" i="15"/>
  <c r="E478" i="15"/>
  <c r="G478" i="15" s="1"/>
  <c r="E1660" i="24"/>
  <c r="G1660" i="24" s="1"/>
  <c r="H1666" i="24"/>
  <c r="H1672" i="26"/>
  <c r="H1657" i="26" s="1"/>
  <c r="G1657" i="26"/>
  <c r="E940" i="1" s="1"/>
  <c r="F940" i="1" s="1"/>
  <c r="I1657" i="26" s="1"/>
  <c r="H2132" i="26"/>
  <c r="H2117" i="26" s="1"/>
  <c r="G2117" i="26"/>
  <c r="E964" i="1" s="1"/>
  <c r="F964" i="1" s="1"/>
  <c r="I2117" i="26" s="1"/>
  <c r="H1499" i="24"/>
  <c r="E1493" i="24"/>
  <c r="G1493" i="24" s="1"/>
  <c r="H39" i="30"/>
  <c r="E33" i="30"/>
  <c r="G33" i="30" s="1"/>
  <c r="H2327" i="8"/>
  <c r="E2321" i="8"/>
  <c r="G2321" i="8" s="1"/>
  <c r="E2322" i="8"/>
  <c r="G2322" i="8" s="1"/>
  <c r="H2322" i="8" s="1"/>
  <c r="G44" i="6"/>
  <c r="E1550" i="11" s="1"/>
  <c r="G1550" i="11" s="1"/>
  <c r="E949" i="24"/>
  <c r="G949" i="24" s="1"/>
  <c r="H954" i="24"/>
  <c r="E1600" i="24"/>
  <c r="G1600" i="24" s="1"/>
  <c r="H1606" i="24"/>
  <c r="H904" i="21"/>
  <c r="E898" i="21"/>
  <c r="G898" i="21" s="1"/>
  <c r="H2030" i="16"/>
  <c r="E2024" i="16"/>
  <c r="G2024" i="16" s="1"/>
  <c r="H379" i="16"/>
  <c r="E373" i="16"/>
  <c r="G373" i="16" s="1"/>
  <c r="E374" i="16"/>
  <c r="G374" i="16" s="1"/>
  <c r="H374" i="16" s="1"/>
  <c r="H2215" i="13"/>
  <c r="E2209" i="13"/>
  <c r="G2209" i="13" s="1"/>
  <c r="E1274" i="11"/>
  <c r="G1274" i="11" s="1"/>
  <c r="H1274" i="11" s="1"/>
  <c r="H1279" i="11"/>
  <c r="E1273" i="11"/>
  <c r="G1273" i="11" s="1"/>
  <c r="H1459" i="30"/>
  <c r="E1453" i="30"/>
  <c r="G1453" i="30" s="1"/>
  <c r="E1033" i="30"/>
  <c r="G1033" i="30" s="1"/>
  <c r="H1039" i="30"/>
  <c r="E929" i="13"/>
  <c r="G929" i="13" s="1"/>
  <c r="E930" i="13"/>
  <c r="G930" i="13" s="1"/>
  <c r="H930" i="13" s="1"/>
  <c r="H935" i="13"/>
  <c r="E931" i="13"/>
  <c r="G931" i="13" s="1"/>
  <c r="H931" i="13" s="1"/>
  <c r="E507" i="13"/>
  <c r="G507" i="13" s="1"/>
  <c r="H507" i="13" s="1"/>
  <c r="E506" i="13"/>
  <c r="G506" i="13" s="1"/>
  <c r="H512" i="13"/>
  <c r="H459" i="16"/>
  <c r="E453" i="16"/>
  <c r="G453" i="16" s="1"/>
  <c r="E454" i="16"/>
  <c r="G454" i="16" s="1"/>
  <c r="H454" i="16" s="1"/>
  <c r="H2768" i="8"/>
  <c r="E2762" i="8"/>
  <c r="G2762" i="8" s="1"/>
  <c r="E2763" i="8"/>
  <c r="G2763" i="8" s="1"/>
  <c r="H2763" i="8" s="1"/>
  <c r="G1112" i="30"/>
  <c r="H1114" i="30"/>
  <c r="H739" i="11"/>
  <c r="E734" i="11"/>
  <c r="G734" i="11" s="1"/>
  <c r="E735" i="11"/>
  <c r="G735" i="11" s="1"/>
  <c r="H735" i="11" s="1"/>
  <c r="E1735" i="8"/>
  <c r="G1735" i="8" s="1"/>
  <c r="H1741" i="8"/>
  <c r="E1736" i="8"/>
  <c r="G1736" i="8" s="1"/>
  <c r="H1736" i="8" s="1"/>
  <c r="E1737" i="8"/>
  <c r="G1737" i="8" s="1"/>
  <c r="H1737" i="8" s="1"/>
  <c r="H2910" i="26"/>
  <c r="E2906" i="26"/>
  <c r="G2906" i="26" s="1"/>
  <c r="H2906" i="26" s="1"/>
  <c r="I2906" i="26" s="1"/>
  <c r="E2905" i="26"/>
  <c r="G2905" i="26" s="1"/>
  <c r="E2981" i="11"/>
  <c r="G2981" i="11" s="1"/>
  <c r="E2982" i="11"/>
  <c r="G2982" i="11" s="1"/>
  <c r="H2982" i="11" s="1"/>
  <c r="H2987" i="11"/>
  <c r="E218" i="32"/>
  <c r="G218" i="32" s="1"/>
  <c r="H218" i="32" s="1"/>
  <c r="H223" i="32"/>
  <c r="E217" i="32"/>
  <c r="G217" i="32" s="1"/>
  <c r="E1966" i="26"/>
  <c r="G1966" i="26" s="1"/>
  <c r="E1967" i="26"/>
  <c r="G1967" i="26" s="1"/>
  <c r="H1967" i="26" s="1"/>
  <c r="H1972" i="26"/>
  <c r="H1255" i="13"/>
  <c r="E1249" i="13"/>
  <c r="G1249" i="13" s="1"/>
  <c r="E1844" i="16"/>
  <c r="G1844" i="16" s="1"/>
  <c r="H1850" i="16"/>
  <c r="E1445" i="16"/>
  <c r="G1445" i="16" s="1"/>
  <c r="H1445" i="16" s="1"/>
  <c r="H1450" i="16"/>
  <c r="E1444" i="16"/>
  <c r="G1444" i="16" s="1"/>
  <c r="H882" i="21"/>
  <c r="E876" i="21"/>
  <c r="G876" i="21" s="1"/>
  <c r="E2529" i="13"/>
  <c r="G2529" i="13" s="1"/>
  <c r="H2535" i="13"/>
  <c r="E849" i="13"/>
  <c r="G849" i="13" s="1"/>
  <c r="E850" i="13"/>
  <c r="G850" i="13" s="1"/>
  <c r="H850" i="13" s="1"/>
  <c r="H855" i="13"/>
  <c r="E1373" i="30"/>
  <c r="G1373" i="30" s="1"/>
  <c r="H1379" i="30"/>
  <c r="H570" i="8"/>
  <c r="G569" i="8"/>
  <c r="H827" i="24"/>
  <c r="E822" i="24"/>
  <c r="G822" i="24" s="1"/>
  <c r="E1655" i="8"/>
  <c r="G1655" i="8" s="1"/>
  <c r="E1656" i="8"/>
  <c r="G1656" i="8" s="1"/>
  <c r="H1656" i="8" s="1"/>
  <c r="H1661" i="8"/>
  <c r="H2010" i="11"/>
  <c r="E2006" i="11"/>
  <c r="G2006" i="11" s="1"/>
  <c r="H2006" i="11" s="1"/>
  <c r="E2005" i="11"/>
  <c r="G2005" i="11" s="1"/>
  <c r="H2460" i="11"/>
  <c r="E2456" i="11"/>
  <c r="G2456" i="11" s="1"/>
  <c r="G332" i="30"/>
  <c r="H332" i="30" s="1"/>
  <c r="H334" i="30"/>
  <c r="G1656" i="21"/>
  <c r="H1657" i="21"/>
  <c r="H493" i="21"/>
  <c r="G492" i="21"/>
  <c r="H879" i="33"/>
  <c r="E873" i="33"/>
  <c r="G873" i="33" s="1"/>
  <c r="H959" i="33"/>
  <c r="E954" i="33"/>
  <c r="G954" i="33" s="1"/>
  <c r="H954" i="33" s="1"/>
  <c r="E953" i="33"/>
  <c r="G953" i="33" s="1"/>
  <c r="H1770" i="16"/>
  <c r="E1765" i="16"/>
  <c r="G1765" i="16" s="1"/>
  <c r="E1617" i="21"/>
  <c r="G1617" i="21" s="1"/>
  <c r="H1623" i="21"/>
  <c r="H1119" i="11"/>
  <c r="E1115" i="11"/>
  <c r="G1115" i="11" s="1"/>
  <c r="H1115" i="11" s="1"/>
  <c r="E1114" i="11"/>
  <c r="G1114" i="11" s="1"/>
  <c r="H2455" i="13"/>
  <c r="E2449" i="13"/>
  <c r="G2449" i="13" s="1"/>
  <c r="E600" i="13"/>
  <c r="G600" i="13" s="1"/>
  <c r="H600" i="13" s="1"/>
  <c r="E599" i="13"/>
  <c r="G599" i="13" s="1"/>
  <c r="H605" i="13"/>
  <c r="E869" i="13"/>
  <c r="G869" i="13" s="1"/>
  <c r="E870" i="13"/>
  <c r="G870" i="13" s="1"/>
  <c r="H870" i="13" s="1"/>
  <c r="E871" i="13"/>
  <c r="G871" i="13" s="1"/>
  <c r="H871" i="13" s="1"/>
  <c r="H875" i="13"/>
  <c r="E1413" i="30"/>
  <c r="G1413" i="30" s="1"/>
  <c r="H1419" i="30"/>
  <c r="E73" i="16"/>
  <c r="G73" i="16" s="1"/>
  <c r="H79" i="16"/>
  <c r="K1104" i="33"/>
  <c r="H133" i="24"/>
  <c r="G132" i="24"/>
  <c r="H2392" i="16"/>
  <c r="E2387" i="16"/>
  <c r="G2387" i="16" s="1"/>
  <c r="E672" i="26"/>
  <c r="G672" i="26" s="1"/>
  <c r="E673" i="26"/>
  <c r="G673" i="26" s="1"/>
  <c r="H673" i="26" s="1"/>
  <c r="H677" i="26"/>
  <c r="G552" i="30"/>
  <c r="H554" i="30"/>
  <c r="E2382" i="8"/>
  <c r="G2382" i="8" s="1"/>
  <c r="E2383" i="8"/>
  <c r="G2383" i="8" s="1"/>
  <c r="H2383" i="8" s="1"/>
  <c r="H2387" i="8"/>
  <c r="E2544" i="11"/>
  <c r="G2544" i="11" s="1"/>
  <c r="H2549" i="11"/>
  <c r="E2545" i="11"/>
  <c r="G2545" i="11" s="1"/>
  <c r="H2545" i="11" s="1"/>
  <c r="H1921" i="11"/>
  <c r="E1917" i="11"/>
  <c r="G1917" i="11" s="1"/>
  <c r="E113" i="30"/>
  <c r="G113" i="30" s="1"/>
  <c r="H119" i="30"/>
  <c r="H1575" i="8"/>
  <c r="G1574" i="8"/>
  <c r="H720" i="24"/>
  <c r="E714" i="24"/>
  <c r="G714" i="24" s="1"/>
  <c r="H1199" i="21"/>
  <c r="E1194" i="21"/>
  <c r="G1194" i="21" s="1"/>
  <c r="E2508" i="16"/>
  <c r="G2508" i="16" s="1"/>
  <c r="H2508" i="16" s="1"/>
  <c r="H2513" i="16"/>
  <c r="E2507" i="16"/>
  <c r="G2507" i="16" s="1"/>
  <c r="H1279" i="21"/>
  <c r="E1273" i="21"/>
  <c r="G1273" i="21" s="1"/>
  <c r="E2226" i="16"/>
  <c r="G2226" i="16" s="1"/>
  <c r="H2232" i="16"/>
  <c r="E629" i="16"/>
  <c r="G629" i="16" s="1"/>
  <c r="H629" i="16" s="1"/>
  <c r="H634" i="16"/>
  <c r="E628" i="16"/>
  <c r="G628" i="16" s="1"/>
  <c r="H2575" i="13"/>
  <c r="E2569" i="13"/>
  <c r="G2569" i="13" s="1"/>
  <c r="E814" i="30"/>
  <c r="G814" i="30" s="1"/>
  <c r="H819" i="30"/>
  <c r="E54" i="13"/>
  <c r="G54" i="13" s="1"/>
  <c r="H54" i="13" s="1"/>
  <c r="E53" i="13"/>
  <c r="G53" i="13" s="1"/>
  <c r="H59" i="13"/>
  <c r="E553" i="21"/>
  <c r="G553" i="21" s="1"/>
  <c r="H559" i="21"/>
  <c r="E835" i="8"/>
  <c r="G835" i="8" s="1"/>
  <c r="H841" i="8"/>
  <c r="H1383" i="32"/>
  <c r="E1378" i="32"/>
  <c r="G1378" i="32" s="1"/>
  <c r="E1317" i="32"/>
  <c r="G1317" i="32" s="1"/>
  <c r="H1323" i="32"/>
  <c r="H2116" i="15"/>
  <c r="E2110" i="15"/>
  <c r="G2110" i="15" s="1"/>
  <c r="E1360" i="15"/>
  <c r="G1360" i="15" s="1"/>
  <c r="H1366" i="15"/>
  <c r="E1968" i="15"/>
  <c r="G1968" i="15" s="1"/>
  <c r="H1974" i="15"/>
  <c r="E1110" i="24"/>
  <c r="G1110" i="24" s="1"/>
  <c r="H1115" i="24"/>
  <c r="H214" i="21"/>
  <c r="G212" i="21"/>
  <c r="E2623" i="8"/>
  <c r="G2623" i="8" s="1"/>
  <c r="H2623" i="8" s="1"/>
  <c r="H2628" i="8"/>
  <c r="E2622" i="8"/>
  <c r="G2622" i="8" s="1"/>
  <c r="E78" i="15"/>
  <c r="G78" i="15" s="1"/>
  <c r="E79" i="15"/>
  <c r="G79" i="15" s="1"/>
  <c r="H79" i="15" s="1"/>
  <c r="E80" i="15"/>
  <c r="G80" i="15" s="1"/>
  <c r="H80" i="15" s="1"/>
  <c r="H84" i="15"/>
  <c r="E2274" i="26"/>
  <c r="G2274" i="26" s="1"/>
  <c r="H2278" i="26"/>
  <c r="E1474" i="11"/>
  <c r="G1474" i="11" s="1"/>
  <c r="H1474" i="11" s="1"/>
  <c r="E1473" i="11"/>
  <c r="G1473" i="11" s="1"/>
  <c r="H1479" i="11"/>
  <c r="E1526" i="26"/>
  <c r="G1526" i="26" s="1"/>
  <c r="H1531" i="26"/>
  <c r="G572" i="21"/>
  <c r="H573" i="21"/>
  <c r="H439" i="24"/>
  <c r="E435" i="24"/>
  <c r="G435" i="24" s="1"/>
  <c r="H435" i="24" s="1"/>
  <c r="E434" i="24"/>
  <c r="G434" i="24" s="1"/>
  <c r="H1403" i="21"/>
  <c r="E1398" i="21"/>
  <c r="G1398" i="21" s="1"/>
  <c r="H714" i="16"/>
  <c r="E708" i="16"/>
  <c r="G708" i="16" s="1"/>
  <c r="H1135" i="24"/>
  <c r="E1129" i="24"/>
  <c r="G1129" i="24" s="1"/>
  <c r="H1515" i="13"/>
  <c r="E1509" i="13"/>
  <c r="G1509" i="13" s="1"/>
  <c r="H399" i="16"/>
  <c r="E393" i="16"/>
  <c r="G393" i="16" s="1"/>
  <c r="E394" i="16"/>
  <c r="G394" i="16" s="1"/>
  <c r="H394" i="16" s="1"/>
  <c r="E1433" i="30"/>
  <c r="G1433" i="30" s="1"/>
  <c r="H1439" i="30"/>
  <c r="E533" i="21"/>
  <c r="G533" i="21" s="1"/>
  <c r="E534" i="21"/>
  <c r="G534" i="21" s="1"/>
  <c r="H534" i="21" s="1"/>
  <c r="H539" i="21"/>
  <c r="E134" i="21"/>
  <c r="G134" i="21" s="1"/>
  <c r="H134" i="21" s="1"/>
  <c r="E133" i="21"/>
  <c r="G133" i="21" s="1"/>
  <c r="H139" i="21"/>
  <c r="H2246" i="16"/>
  <c r="G2245" i="16"/>
  <c r="E1640" i="24"/>
  <c r="G1640" i="24" s="1"/>
  <c r="E1642" i="24"/>
  <c r="G1642" i="24" s="1"/>
  <c r="H1642" i="24" s="1"/>
  <c r="H1646" i="24"/>
  <c r="E2582" i="8"/>
  <c r="G2582" i="8" s="1"/>
  <c r="E2583" i="8"/>
  <c r="G2583" i="8" s="1"/>
  <c r="H2583" i="8" s="1"/>
  <c r="H2588" i="8"/>
  <c r="G1092" i="30"/>
  <c r="H1094" i="30"/>
  <c r="H775" i="13"/>
  <c r="E770" i="13"/>
  <c r="G770" i="13" s="1"/>
  <c r="H770" i="13" s="1"/>
  <c r="E771" i="13"/>
  <c r="G771" i="13" s="1"/>
  <c r="H771" i="13" s="1"/>
  <c r="E769" i="13"/>
  <c r="G769" i="13" s="1"/>
  <c r="E2494" i="26"/>
  <c r="G2494" i="26" s="1"/>
  <c r="H2498" i="26"/>
  <c r="H2792" i="11"/>
  <c r="E2788" i="11"/>
  <c r="G2788" i="11" s="1"/>
  <c r="E833" i="26"/>
  <c r="G833" i="26" s="1"/>
  <c r="H833" i="26" s="1"/>
  <c r="H838" i="26"/>
  <c r="E832" i="26"/>
  <c r="G832" i="26" s="1"/>
  <c r="G4" i="6"/>
  <c r="H1383" i="21"/>
  <c r="E1377" i="21"/>
  <c r="G1377" i="21" s="1"/>
  <c r="E1864" i="16"/>
  <c r="G1864" i="16" s="1"/>
  <c r="H1870" i="16"/>
  <c r="E2076" i="30"/>
  <c r="G2076" i="30" s="1"/>
  <c r="H2082" i="30"/>
  <c r="H1875" i="13"/>
  <c r="E1869" i="13"/>
  <c r="G1869" i="13" s="1"/>
  <c r="E298" i="13"/>
  <c r="G298" i="13" s="1"/>
  <c r="H298" i="13" s="1"/>
  <c r="H303" i="13"/>
  <c r="E297" i="13"/>
  <c r="G297" i="13" s="1"/>
  <c r="E193" i="16"/>
  <c r="G193" i="16" s="1"/>
  <c r="H199" i="16"/>
  <c r="H1243" i="32"/>
  <c r="E1237" i="32"/>
  <c r="G1237" i="32" s="1"/>
  <c r="H943" i="32"/>
  <c r="E938" i="32"/>
  <c r="G938" i="32" s="1"/>
  <c r="H938" i="32" s="1"/>
  <c r="E937" i="32"/>
  <c r="G937" i="32" s="1"/>
  <c r="E1340" i="15"/>
  <c r="G1340" i="15" s="1"/>
  <c r="H1346" i="15"/>
  <c r="E1178" i="15"/>
  <c r="G1178" i="15" s="1"/>
  <c r="H1184" i="15"/>
  <c r="E899" i="15"/>
  <c r="G899" i="15" s="1"/>
  <c r="H899" i="15" s="1"/>
  <c r="H904" i="15"/>
  <c r="E898" i="15"/>
  <c r="G898" i="15" s="1"/>
  <c r="E989" i="24"/>
  <c r="G989" i="24" s="1"/>
  <c r="H994" i="24"/>
  <c r="E411" i="26"/>
  <c r="G411" i="26" s="1"/>
  <c r="H411" i="26" s="1"/>
  <c r="E410" i="26"/>
  <c r="G410" i="26" s="1"/>
  <c r="H416" i="26"/>
  <c r="H1495" i="8"/>
  <c r="G1494" i="8"/>
  <c r="H732" i="26"/>
  <c r="G731" i="26"/>
  <c r="E1796" i="8"/>
  <c r="G1796" i="8" s="1"/>
  <c r="H1801" i="8"/>
  <c r="E1797" i="8"/>
  <c r="G1797" i="8" s="1"/>
  <c r="H1797" i="8" s="1"/>
  <c r="E693" i="30"/>
  <c r="G693" i="30" s="1"/>
  <c r="H699" i="30"/>
  <c r="E1210" i="24"/>
  <c r="G1210" i="24" s="1"/>
  <c r="H1216" i="24"/>
  <c r="E1337" i="26"/>
  <c r="G1337" i="26" s="1"/>
  <c r="H1342" i="26"/>
  <c r="E1338" i="26"/>
  <c r="G1338" i="26" s="1"/>
  <c r="H1338" i="26" s="1"/>
  <c r="H859" i="33"/>
  <c r="E853" i="33"/>
  <c r="G853" i="33" s="1"/>
  <c r="E1947" i="26"/>
  <c r="G1947" i="26" s="1"/>
  <c r="H1947" i="26" s="1"/>
  <c r="H1952" i="26"/>
  <c r="E1946" i="26"/>
  <c r="G1946" i="26" s="1"/>
  <c r="H1135" i="13"/>
  <c r="E1129" i="13"/>
  <c r="G1129" i="13" s="1"/>
  <c r="H439" i="16"/>
  <c r="E434" i="16"/>
  <c r="G434" i="16" s="1"/>
  <c r="H434" i="16" s="1"/>
  <c r="E433" i="16"/>
  <c r="G433" i="16" s="1"/>
  <c r="H1483" i="21"/>
  <c r="E1477" i="21"/>
  <c r="G1477" i="21" s="1"/>
  <c r="H2553" i="16"/>
  <c r="E2547" i="16"/>
  <c r="G2547" i="16" s="1"/>
  <c r="H2755" i="13"/>
  <c r="E2749" i="13"/>
  <c r="G2749" i="13" s="1"/>
  <c r="E173" i="11"/>
  <c r="G173" i="11" s="1"/>
  <c r="H179" i="11"/>
  <c r="E393" i="21"/>
  <c r="G393" i="21" s="1"/>
  <c r="H399" i="21"/>
  <c r="E460" i="13"/>
  <c r="G460" i="13" s="1"/>
  <c r="E461" i="13"/>
  <c r="G461" i="13" s="1"/>
  <c r="H461" i="13" s="1"/>
  <c r="H466" i="13"/>
  <c r="E413" i="21"/>
  <c r="G413" i="21" s="1"/>
  <c r="E414" i="21"/>
  <c r="G414" i="21" s="1"/>
  <c r="H414" i="21" s="1"/>
  <c r="H419" i="21"/>
  <c r="H1083" i="32"/>
  <c r="E1077" i="32"/>
  <c r="G1077" i="32" s="1"/>
  <c r="E797" i="32"/>
  <c r="G797" i="32" s="1"/>
  <c r="H803" i="32"/>
  <c r="E1800" i="15"/>
  <c r="G1800" i="15" s="1"/>
  <c r="H1806" i="15"/>
  <c r="E1038" i="15"/>
  <c r="G1038" i="15" s="1"/>
  <c r="H1044" i="15"/>
  <c r="E1039" i="15"/>
  <c r="G1039" i="15" s="1"/>
  <c r="H1039" i="15" s="1"/>
  <c r="H870" i="24"/>
  <c r="E865" i="24"/>
  <c r="G865" i="24" s="1"/>
  <c r="G196" i="13"/>
  <c r="H198" i="13"/>
  <c r="H921" i="8"/>
  <c r="E915" i="8"/>
  <c r="G915" i="8" s="1"/>
  <c r="E119" i="15"/>
  <c r="G119" i="15" s="1"/>
  <c r="H119" i="15" s="1"/>
  <c r="E120" i="15"/>
  <c r="G120" i="15" s="1"/>
  <c r="H120" i="15" s="1"/>
  <c r="E118" i="15"/>
  <c r="G118" i="15" s="1"/>
  <c r="H124" i="15"/>
  <c r="E2926" i="26"/>
  <c r="G2926" i="26" s="1"/>
  <c r="H2926" i="26" s="1"/>
  <c r="E2925" i="26"/>
  <c r="G2925" i="26" s="1"/>
  <c r="H2930" i="26"/>
  <c r="E2923" i="11"/>
  <c r="G2923" i="11" s="1"/>
  <c r="H2923" i="11" s="1"/>
  <c r="E2922" i="11"/>
  <c r="G2922" i="11" s="1"/>
  <c r="H2927" i="11"/>
  <c r="H1990" i="11"/>
  <c r="E1986" i="11"/>
  <c r="G1986" i="11" s="1"/>
  <c r="E268" i="26"/>
  <c r="G268" i="26" s="1"/>
  <c r="H268" i="26" s="1"/>
  <c r="H272" i="26"/>
  <c r="E267" i="26"/>
  <c r="G267" i="26" s="1"/>
  <c r="E186" i="26"/>
  <c r="G186" i="26" s="1"/>
  <c r="H190" i="26"/>
  <c r="H600" i="24"/>
  <c r="E594" i="24"/>
  <c r="G594" i="24" s="1"/>
  <c r="H199" i="24"/>
  <c r="E194" i="24"/>
  <c r="G194" i="24" s="1"/>
  <c r="E614" i="21"/>
  <c r="G614" i="21" s="1"/>
  <c r="H619" i="21"/>
  <c r="E1504" i="16"/>
  <c r="G1504" i="16" s="1"/>
  <c r="E1505" i="16"/>
  <c r="G1505" i="16" s="1"/>
  <c r="H1505" i="16" s="1"/>
  <c r="H1510" i="16"/>
  <c r="H1055" i="13"/>
  <c r="E1049" i="13"/>
  <c r="G1049" i="13" s="1"/>
  <c r="E1050" i="13"/>
  <c r="G1050" i="13" s="1"/>
  <c r="H1050" i="13" s="1"/>
  <c r="H774" i="16"/>
  <c r="E768" i="16"/>
  <c r="G768" i="16" s="1"/>
  <c r="H1735" i="13"/>
  <c r="E1729" i="13"/>
  <c r="G1729" i="13" s="1"/>
  <c r="E1756" i="8"/>
  <c r="G1756" i="8" s="1"/>
  <c r="H1761" i="8"/>
  <c r="E1757" i="8"/>
  <c r="G1757" i="8" s="1"/>
  <c r="H1757" i="8" s="1"/>
  <c r="G1492" i="30"/>
  <c r="H1494" i="30"/>
  <c r="E273" i="11"/>
  <c r="G273" i="11" s="1"/>
  <c r="H279" i="11"/>
  <c r="H743" i="32"/>
  <c r="E737" i="32"/>
  <c r="G737" i="32" s="1"/>
  <c r="H643" i="32"/>
  <c r="E638" i="32"/>
  <c r="G638" i="32" s="1"/>
  <c r="H638" i="32" s="1"/>
  <c r="E637" i="32"/>
  <c r="G637" i="32" s="1"/>
  <c r="E338" i="32"/>
  <c r="G338" i="32" s="1"/>
  <c r="H343" i="32"/>
  <c r="E559" i="15"/>
  <c r="G559" i="15" s="1"/>
  <c r="H559" i="15" s="1"/>
  <c r="H564" i="15"/>
  <c r="E558" i="15"/>
  <c r="G558" i="15" s="1"/>
  <c r="E919" i="15"/>
  <c r="G919" i="15" s="1"/>
  <c r="H919" i="15" s="1"/>
  <c r="H924" i="15"/>
  <c r="E918" i="15"/>
  <c r="G918" i="15" s="1"/>
  <c r="E452" i="26"/>
  <c r="G452" i="26" s="1"/>
  <c r="H452" i="26" s="1"/>
  <c r="E451" i="26"/>
  <c r="G451" i="26" s="1"/>
  <c r="H457" i="26"/>
  <c r="G1214" i="8"/>
  <c r="H1216" i="8"/>
  <c r="H104" i="15"/>
  <c r="E99" i="15"/>
  <c r="G99" i="15" s="1"/>
  <c r="H99" i="15" s="1"/>
  <c r="E98" i="15"/>
  <c r="G98" i="15" s="1"/>
  <c r="E100" i="15"/>
  <c r="G100" i="15" s="1"/>
  <c r="H100" i="15" s="1"/>
  <c r="H1408" i="26"/>
  <c r="E1404" i="26"/>
  <c r="G1404" i="26" s="1"/>
  <c r="E2785" i="26"/>
  <c r="G2785" i="26" s="1"/>
  <c r="H2790" i="26"/>
  <c r="E2786" i="26"/>
  <c r="G2786" i="26" s="1"/>
  <c r="H2786" i="26" s="1"/>
  <c r="H2947" i="11"/>
  <c r="E2942" i="11"/>
  <c r="G2942" i="11" s="1"/>
  <c r="E2943" i="11"/>
  <c r="G2943" i="11" s="1"/>
  <c r="H2943" i="11" s="1"/>
  <c r="E133" i="30"/>
  <c r="G133" i="30" s="1"/>
  <c r="H139" i="30"/>
  <c r="E314" i="33"/>
  <c r="G314" i="33" s="1"/>
  <c r="H319" i="33"/>
  <c r="H2142" i="30"/>
  <c r="E2136" i="30"/>
  <c r="G2136" i="30" s="1"/>
  <c r="H1330" i="16"/>
  <c r="E1325" i="16"/>
  <c r="G1325" i="16" s="1"/>
  <c r="H1910" i="16"/>
  <c r="E1904" i="16"/>
  <c r="G1904" i="16" s="1"/>
  <c r="H1675" i="13"/>
  <c r="E1669" i="13"/>
  <c r="G1669" i="13" s="1"/>
  <c r="H1007" i="21"/>
  <c r="E1001" i="21"/>
  <c r="G1001" i="21" s="1"/>
  <c r="E1709" i="13"/>
  <c r="G1709" i="13" s="1"/>
  <c r="H1715" i="13"/>
  <c r="E2021" i="8"/>
  <c r="G2021" i="8" s="1"/>
  <c r="H2021" i="8" s="1"/>
  <c r="H2025" i="8"/>
  <c r="E2020" i="8"/>
  <c r="G2020" i="8" s="1"/>
  <c r="H2020" i="8" s="1"/>
  <c r="E2019" i="8"/>
  <c r="G2019" i="8" s="1"/>
  <c r="E13" i="21"/>
  <c r="H19" i="21"/>
  <c r="E14" i="21"/>
  <c r="G14" i="21" s="1"/>
  <c r="H14" i="21" s="1"/>
  <c r="H883" i="32"/>
  <c r="E877" i="32"/>
  <c r="G877" i="32" s="1"/>
  <c r="E878" i="32"/>
  <c r="G878" i="32" s="1"/>
  <c r="H878" i="32" s="1"/>
  <c r="E377" i="32"/>
  <c r="G377" i="32" s="1"/>
  <c r="H383" i="32"/>
  <c r="E1840" i="15"/>
  <c r="G1840" i="15" s="1"/>
  <c r="H1846" i="15"/>
  <c r="E1580" i="15"/>
  <c r="G1580" i="15" s="1"/>
  <c r="H1586" i="15"/>
  <c r="E1440" i="15"/>
  <c r="G1440" i="15" s="1"/>
  <c r="H1446" i="15"/>
  <c r="H1014" i="24"/>
  <c r="E1009" i="24"/>
  <c r="G1009" i="24" s="1"/>
  <c r="H1239" i="11"/>
  <c r="E1235" i="11"/>
  <c r="G1235" i="11" s="1"/>
  <c r="E773" i="26"/>
  <c r="G773" i="26" s="1"/>
  <c r="H773" i="26" s="1"/>
  <c r="E772" i="26"/>
  <c r="G772" i="26" s="1"/>
  <c r="H778" i="26"/>
  <c r="H559" i="33"/>
  <c r="E553" i="33"/>
  <c r="G553" i="33" s="1"/>
  <c r="E554" i="33"/>
  <c r="G554" i="33" s="1"/>
  <c r="H554" i="33" s="1"/>
  <c r="E973" i="30"/>
  <c r="G973" i="30" s="1"/>
  <c r="H979" i="30"/>
  <c r="E633" i="30"/>
  <c r="G633" i="30" s="1"/>
  <c r="H639" i="30"/>
  <c r="H2414" i="11"/>
  <c r="E2410" i="11"/>
  <c r="G2410" i="11" s="1"/>
  <c r="H2070" i="11"/>
  <c r="E2065" i="11"/>
  <c r="G2065" i="11" s="1"/>
  <c r="E2066" i="11"/>
  <c r="G2066" i="11" s="1"/>
  <c r="H2066" i="11" s="1"/>
  <c r="H293" i="26"/>
  <c r="E288" i="26"/>
  <c r="G288" i="26" s="1"/>
  <c r="E289" i="26"/>
  <c r="G289" i="26" s="1"/>
  <c r="H289" i="26" s="1"/>
  <c r="E892" i="26"/>
  <c r="G892" i="26" s="1"/>
  <c r="E893" i="26"/>
  <c r="G893" i="26" s="1"/>
  <c r="H893" i="26" s="1"/>
  <c r="H898" i="26"/>
  <c r="E454" i="24"/>
  <c r="G454" i="24" s="1"/>
  <c r="H454" i="24" s="1"/>
  <c r="H459" i="24"/>
  <c r="E455" i="24"/>
  <c r="G455" i="24" s="1"/>
  <c r="H862" i="21"/>
  <c r="E856" i="21"/>
  <c r="G856" i="21" s="1"/>
  <c r="H919" i="33"/>
  <c r="E914" i="33"/>
  <c r="G914" i="33" s="1"/>
  <c r="H914" i="33" s="1"/>
  <c r="E913" i="33"/>
  <c r="G913" i="33" s="1"/>
  <c r="E961" i="21"/>
  <c r="G961" i="21" s="1"/>
  <c r="H967" i="21"/>
  <c r="H1630" i="16"/>
  <c r="E1625" i="16"/>
  <c r="G1625" i="16" s="1"/>
  <c r="H1435" i="13"/>
  <c r="E1429" i="13"/>
  <c r="G1429" i="13" s="1"/>
  <c r="H2004" i="8"/>
  <c r="E1998" i="8"/>
  <c r="G1998" i="8" s="1"/>
  <c r="E1999" i="8"/>
  <c r="G1999" i="8" s="1"/>
  <c r="H1999" i="8" s="1"/>
  <c r="E2000" i="8"/>
  <c r="G2000" i="8" s="1"/>
  <c r="H2000" i="8" s="1"/>
  <c r="E829" i="13"/>
  <c r="G829" i="13" s="1"/>
  <c r="H835" i="13"/>
  <c r="E113" i="21"/>
  <c r="G113" i="21" s="1"/>
  <c r="E114" i="21"/>
  <c r="G114" i="21" s="1"/>
  <c r="H114" i="21" s="1"/>
  <c r="H119" i="21"/>
  <c r="E1353" i="30"/>
  <c r="G1353" i="30" s="1"/>
  <c r="H1359" i="30"/>
  <c r="E697" i="32"/>
  <c r="G697" i="32" s="1"/>
  <c r="H703" i="32"/>
  <c r="H1483" i="32"/>
  <c r="E1477" i="32"/>
  <c r="G1477" i="32" s="1"/>
  <c r="E1478" i="32"/>
  <c r="G1478" i="32" s="1"/>
  <c r="H1478" i="32" s="1"/>
  <c r="E358" i="32"/>
  <c r="G358" i="32" s="1"/>
  <c r="H363" i="32"/>
  <c r="E778" i="15"/>
  <c r="G778" i="15" s="1"/>
  <c r="H784" i="15"/>
  <c r="E1720" i="15"/>
  <c r="G1720" i="15" s="1"/>
  <c r="H1726" i="15"/>
  <c r="G176" i="13"/>
  <c r="H178" i="13"/>
  <c r="H1095" i="33"/>
  <c r="G1092" i="33"/>
  <c r="H579" i="33"/>
  <c r="E575" i="33"/>
  <c r="G575" i="33" s="1"/>
  <c r="H184" i="15"/>
  <c r="E179" i="15"/>
  <c r="G179" i="15" s="1"/>
  <c r="H179" i="15" s="1"/>
  <c r="E178" i="15"/>
  <c r="G178" i="15" s="1"/>
  <c r="E180" i="15"/>
  <c r="G180" i="15" s="1"/>
  <c r="H180" i="15" s="1"/>
  <c r="E313" i="30"/>
  <c r="G313" i="30" s="1"/>
  <c r="H319" i="30"/>
  <c r="H735" i="13"/>
  <c r="E729" i="13"/>
  <c r="G729" i="13" s="1"/>
  <c r="E731" i="13"/>
  <c r="G731" i="13" s="1"/>
  <c r="H731" i="13" s="1"/>
  <c r="E730" i="13"/>
  <c r="G730" i="13" s="1"/>
  <c r="H730" i="13" s="1"/>
  <c r="E2966" i="26"/>
  <c r="G2966" i="26" s="1"/>
  <c r="H2966" i="26" s="1"/>
  <c r="H2970" i="26"/>
  <c r="E2965" i="26"/>
  <c r="G2965" i="26" s="1"/>
  <c r="H2990" i="26"/>
  <c r="E2985" i="26"/>
  <c r="G2985" i="26" s="1"/>
  <c r="E2986" i="26"/>
  <c r="G2986" i="26" s="1"/>
  <c r="H2986" i="26" s="1"/>
  <c r="E206" i="26"/>
  <c r="G206" i="26" s="1"/>
  <c r="H210" i="26"/>
  <c r="H2122" i="30"/>
  <c r="E2116" i="30"/>
  <c r="G2116" i="30" s="1"/>
  <c r="H700" i="24"/>
  <c r="E694" i="24"/>
  <c r="G694" i="24" s="1"/>
  <c r="H1295" i="13"/>
  <c r="E1289" i="13"/>
  <c r="G1289" i="13" s="1"/>
  <c r="H1475" i="13"/>
  <c r="E1469" i="13"/>
  <c r="G1469" i="13" s="1"/>
  <c r="E1585" i="16"/>
  <c r="G1585" i="16" s="1"/>
  <c r="H1585" i="16" s="1"/>
  <c r="E1584" i="16"/>
  <c r="G1584" i="16" s="1"/>
  <c r="H1590" i="16"/>
  <c r="H1079" i="11"/>
  <c r="E1074" i="11"/>
  <c r="G1074" i="11" s="1"/>
  <c r="H1074" i="11" s="1"/>
  <c r="E1073" i="11"/>
  <c r="G1073" i="11" s="1"/>
  <c r="E2462" i="8"/>
  <c r="G2462" i="8" s="1"/>
  <c r="H2467" i="8"/>
  <c r="E2463" i="8"/>
  <c r="G2463" i="8" s="1"/>
  <c r="H2463" i="8" s="1"/>
  <c r="E55" i="32"/>
  <c r="G55" i="32" s="1"/>
  <c r="H55" i="32" s="1"/>
  <c r="E54" i="32"/>
  <c r="G54" i="32" s="1"/>
  <c r="H54" i="32" s="1"/>
  <c r="E53" i="32"/>
  <c r="G53" i="32" s="1"/>
  <c r="H59" i="32"/>
  <c r="E1438" i="32"/>
  <c r="G1438" i="32" s="1"/>
  <c r="H1443" i="32"/>
  <c r="E837" i="32"/>
  <c r="G837" i="32" s="1"/>
  <c r="E838" i="32"/>
  <c r="G838" i="32" s="1"/>
  <c r="H838" i="32" s="1"/>
  <c r="H843" i="32"/>
  <c r="E1820" i="15"/>
  <c r="G1820" i="15" s="1"/>
  <c r="H1826" i="15"/>
  <c r="E1600" i="15"/>
  <c r="G1600" i="15" s="1"/>
  <c r="H1606" i="15"/>
  <c r="E278" i="15"/>
  <c r="G278" i="15" s="1"/>
  <c r="H284" i="15"/>
  <c r="H279" i="24"/>
  <c r="E274" i="24"/>
  <c r="G274" i="24" s="1"/>
  <c r="H1133" i="33"/>
  <c r="G1132" i="33"/>
  <c r="H739" i="33"/>
  <c r="E733" i="33"/>
  <c r="G733" i="33" s="1"/>
  <c r="E532" i="26"/>
  <c r="G532" i="26" s="1"/>
  <c r="H532" i="26" s="1"/>
  <c r="E531" i="26"/>
  <c r="G531" i="26" s="1"/>
  <c r="H537" i="26"/>
  <c r="E674" i="11"/>
  <c r="G674" i="11" s="1"/>
  <c r="H679" i="11"/>
  <c r="E675" i="11"/>
  <c r="G675" i="11" s="1"/>
  <c r="H675" i="11" s="1"/>
  <c r="E240" i="15"/>
  <c r="G240" i="15" s="1"/>
  <c r="H240" i="15" s="1"/>
  <c r="E238" i="15"/>
  <c r="G238" i="15" s="1"/>
  <c r="E239" i="15"/>
  <c r="G239" i="15" s="1"/>
  <c r="H239" i="15" s="1"/>
  <c r="H244" i="15"/>
  <c r="H2750" i="26"/>
  <c r="E2744" i="26"/>
  <c r="G2744" i="26" s="1"/>
  <c r="E2745" i="26"/>
  <c r="G2745" i="26" s="1"/>
  <c r="H2745" i="26" s="1"/>
  <c r="E1355" i="11"/>
  <c r="G1355" i="11" s="1"/>
  <c r="H1355" i="11" s="1"/>
  <c r="H1359" i="11"/>
  <c r="E1354" i="11"/>
  <c r="G1354" i="11" s="1"/>
  <c r="E1713" i="30"/>
  <c r="G1713" i="30" s="1"/>
  <c r="H1719" i="30"/>
  <c r="H1670" i="16"/>
  <c r="E1665" i="16"/>
  <c r="G1665" i="16" s="1"/>
  <c r="H1054" i="16"/>
  <c r="E1048" i="16"/>
  <c r="G1048" i="16" s="1"/>
  <c r="E1049" i="16"/>
  <c r="G1049" i="16" s="1"/>
  <c r="H1049" i="16" s="1"/>
  <c r="H892" i="24"/>
  <c r="E887" i="24"/>
  <c r="G887" i="24" s="1"/>
  <c r="H1843" i="21"/>
  <c r="E1837" i="21"/>
  <c r="G1837" i="21" s="1"/>
  <c r="H2255" i="13"/>
  <c r="E2249" i="13"/>
  <c r="G2249" i="13" s="1"/>
  <c r="H1555" i="13"/>
  <c r="E1549" i="13"/>
  <c r="G1549" i="13" s="1"/>
  <c r="H2515" i="13"/>
  <c r="E2509" i="13"/>
  <c r="G2509" i="13" s="1"/>
  <c r="H2415" i="13"/>
  <c r="E2409" i="13"/>
  <c r="G2409" i="13" s="1"/>
  <c r="G412" i="30"/>
  <c r="H413" i="30"/>
  <c r="E475" i="11"/>
  <c r="G475" i="11" s="1"/>
  <c r="H475" i="11" s="1"/>
  <c r="E474" i="11"/>
  <c r="G474" i="11" s="1"/>
  <c r="H479" i="11"/>
  <c r="E691" i="8"/>
  <c r="G691" i="8" s="1"/>
  <c r="H696" i="8"/>
  <c r="E953" i="26"/>
  <c r="G953" i="26" s="1"/>
  <c r="H953" i="26" s="1"/>
  <c r="E952" i="26"/>
  <c r="G952" i="26" s="1"/>
  <c r="H958" i="26"/>
  <c r="H2368" i="11"/>
  <c r="E2364" i="11"/>
  <c r="G2364" i="11" s="1"/>
  <c r="E573" i="30"/>
  <c r="G573" i="30" s="1"/>
  <c r="H579" i="30"/>
  <c r="H1899" i="30"/>
  <c r="E1895" i="30"/>
  <c r="G1895" i="30" s="1"/>
  <c r="H2673" i="16"/>
  <c r="E2667" i="16"/>
  <c r="G2667" i="16" s="1"/>
  <c r="H279" i="16"/>
  <c r="E273" i="16"/>
  <c r="G273" i="16" s="1"/>
  <c r="E274" i="16"/>
  <c r="G274" i="16" s="1"/>
  <c r="H274" i="16" s="1"/>
  <c r="E1123" i="16"/>
  <c r="G1123" i="16" s="1"/>
  <c r="H1129" i="16"/>
  <c r="E1124" i="16"/>
  <c r="G1124" i="16" s="1"/>
  <c r="H1124" i="16" s="1"/>
  <c r="E2206" i="16"/>
  <c r="G2206" i="16" s="1"/>
  <c r="H2212" i="16"/>
  <c r="H2655" i="13"/>
  <c r="E2649" i="13"/>
  <c r="G2649" i="13" s="1"/>
  <c r="E1956" i="8"/>
  <c r="G1956" i="8" s="1"/>
  <c r="H1956" i="8" s="1"/>
  <c r="H1961" i="8"/>
  <c r="E1955" i="8"/>
  <c r="G1955" i="8" s="1"/>
  <c r="E473" i="21"/>
  <c r="G473" i="21" s="1"/>
  <c r="H479" i="21"/>
  <c r="E890" i="13"/>
  <c r="G890" i="13" s="1"/>
  <c r="H890" i="13" s="1"/>
  <c r="E889" i="13"/>
  <c r="G889" i="13" s="1"/>
  <c r="E891" i="13"/>
  <c r="G891" i="13" s="1"/>
  <c r="H891" i="13" s="1"/>
  <c r="H895" i="13"/>
  <c r="H1543" i="32"/>
  <c r="E1537" i="32"/>
  <c r="G1537" i="32" s="1"/>
  <c r="E1538" i="32"/>
  <c r="G1538" i="32" s="1"/>
  <c r="H1538" i="32" s="1"/>
  <c r="H963" i="32"/>
  <c r="E957" i="32"/>
  <c r="G957" i="32" s="1"/>
  <c r="E958" i="32"/>
  <c r="G958" i="32" s="1"/>
  <c r="H958" i="32" s="1"/>
  <c r="E938" i="15"/>
  <c r="G938" i="15" s="1"/>
  <c r="H944" i="15"/>
  <c r="E939" i="15"/>
  <c r="G939" i="15" s="1"/>
  <c r="H939" i="15" s="1"/>
  <c r="E398" i="15"/>
  <c r="G398" i="15" s="1"/>
  <c r="H404" i="15"/>
  <c r="E838" i="15"/>
  <c r="G838" i="15" s="1"/>
  <c r="H844" i="15"/>
  <c r="E839" i="15"/>
  <c r="G839" i="15" s="1"/>
  <c r="H839" i="15" s="1"/>
  <c r="H712" i="26"/>
  <c r="G711" i="26"/>
  <c r="H1675" i="8"/>
  <c r="G1674" i="8"/>
  <c r="E554" i="11"/>
  <c r="G554" i="11" s="1"/>
  <c r="E555" i="11"/>
  <c r="G555" i="11" s="1"/>
  <c r="H555" i="11" s="1"/>
  <c r="H559" i="11"/>
  <c r="E2302" i="8"/>
  <c r="G2302" i="8" s="1"/>
  <c r="H2302" i="8" s="1"/>
  <c r="E2301" i="8"/>
  <c r="G2301" i="8" s="1"/>
  <c r="H2307" i="8"/>
  <c r="H1605" i="11"/>
  <c r="E1601" i="11"/>
  <c r="G1601" i="11" s="1"/>
  <c r="H899" i="11"/>
  <c r="E894" i="11"/>
  <c r="G894" i="11" s="1"/>
  <c r="E895" i="11"/>
  <c r="G895" i="11" s="1"/>
  <c r="H895" i="11" s="1"/>
  <c r="H1355" i="8"/>
  <c r="G1354" i="8"/>
  <c r="H519" i="33"/>
  <c r="E513" i="33"/>
  <c r="G513" i="33" s="1"/>
  <c r="E1926" i="26"/>
  <c r="G1926" i="26" s="1"/>
  <c r="E1927" i="26"/>
  <c r="G1927" i="26" s="1"/>
  <c r="H1927" i="26" s="1"/>
  <c r="H1932" i="26"/>
  <c r="E1958" i="30"/>
  <c r="G1958" i="30" s="1"/>
  <c r="H1958" i="30" s="1"/>
  <c r="H1962" i="30"/>
  <c r="E1957" i="30"/>
  <c r="G1957" i="30" s="1"/>
  <c r="H1035" i="13"/>
  <c r="E1029" i="13"/>
  <c r="G1029" i="13" s="1"/>
  <c r="H359" i="16"/>
  <c r="E354" i="16"/>
  <c r="G354" i="16" s="1"/>
  <c r="H354" i="16" s="1"/>
  <c r="E353" i="16"/>
  <c r="G353" i="16" s="1"/>
  <c r="H1350" i="16"/>
  <c r="E1345" i="16"/>
  <c r="G1345" i="16" s="1"/>
  <c r="H2372" i="16"/>
  <c r="E2366" i="16"/>
  <c r="G2366" i="16" s="1"/>
  <c r="E1989" i="13"/>
  <c r="G1989" i="13" s="1"/>
  <c r="E1990" i="13"/>
  <c r="G1990" i="13" s="1"/>
  <c r="H1990" i="13" s="1"/>
  <c r="H1995" i="13"/>
  <c r="H2715" i="13"/>
  <c r="E2709" i="13"/>
  <c r="G2709" i="13" s="1"/>
  <c r="H199" i="21"/>
  <c r="E193" i="21"/>
  <c r="G193" i="21" s="1"/>
  <c r="G1572" i="30"/>
  <c r="H1574" i="30"/>
  <c r="H1395" i="8"/>
  <c r="G1394" i="8"/>
  <c r="H2728" i="8"/>
  <c r="E2723" i="8"/>
  <c r="G2723" i="8" s="1"/>
  <c r="H2723" i="8" s="1"/>
  <c r="E2722" i="8"/>
  <c r="G2722" i="8" s="1"/>
  <c r="E1336" i="8"/>
  <c r="G1336" i="8" s="1"/>
  <c r="H1336" i="8" s="1"/>
  <c r="H1341" i="8"/>
  <c r="E1337" i="8"/>
  <c r="G1337" i="8" s="1"/>
  <c r="H1337" i="8" s="1"/>
  <c r="E1335" i="8"/>
  <c r="G1335" i="8" s="1"/>
  <c r="H2432" i="26"/>
  <c r="E2428" i="26"/>
  <c r="G2428" i="26" s="1"/>
  <c r="E1517" i="11"/>
  <c r="G1517" i="11" s="1"/>
  <c r="H1521" i="11"/>
  <c r="E2564" i="11"/>
  <c r="G2564" i="11" s="1"/>
  <c r="E2565" i="11"/>
  <c r="G2565" i="11" s="1"/>
  <c r="H2565" i="11" s="1"/>
  <c r="H2569" i="11"/>
  <c r="G672" i="21"/>
  <c r="H673" i="21"/>
  <c r="E1561" i="24"/>
  <c r="G1561" i="24" s="1"/>
  <c r="H1561" i="24" s="1"/>
  <c r="E1560" i="24"/>
  <c r="G1560" i="24" s="1"/>
  <c r="H1566" i="24"/>
  <c r="H259" i="24"/>
  <c r="E253" i="24"/>
  <c r="G253" i="24" s="1"/>
  <c r="H1815" i="13"/>
  <c r="E1809" i="13"/>
  <c r="G1809" i="13" s="1"/>
  <c r="E393" i="24"/>
  <c r="G393" i="24" s="1"/>
  <c r="H399" i="24"/>
  <c r="E1293" i="21"/>
  <c r="G1293" i="21" s="1"/>
  <c r="H1299" i="21"/>
  <c r="E1425" i="16"/>
  <c r="G1425" i="16" s="1"/>
  <c r="H1430" i="16"/>
  <c r="H894" i="16"/>
  <c r="E888" i="16"/>
  <c r="G888" i="16" s="1"/>
  <c r="H654" i="16"/>
  <c r="E648" i="16"/>
  <c r="G648" i="16" s="1"/>
  <c r="H1355" i="13"/>
  <c r="E1349" i="13"/>
  <c r="G1349" i="13" s="1"/>
  <c r="H2595" i="13"/>
  <c r="E2589" i="13"/>
  <c r="G2589" i="13" s="1"/>
  <c r="E277" i="13"/>
  <c r="G277" i="13" s="1"/>
  <c r="E278" i="13"/>
  <c r="G278" i="13" s="1"/>
  <c r="H278" i="13" s="1"/>
  <c r="H283" i="13"/>
  <c r="E618" i="32"/>
  <c r="G618" i="32" s="1"/>
  <c r="H618" i="32" s="1"/>
  <c r="E617" i="32"/>
  <c r="G617" i="32" s="1"/>
  <c r="H623" i="32"/>
  <c r="E1095" i="11"/>
  <c r="G1095" i="11" s="1"/>
  <c r="H1095" i="11" s="1"/>
  <c r="E1094" i="11"/>
  <c r="G1094" i="11" s="1"/>
  <c r="H1099" i="11"/>
  <c r="H1465" i="26"/>
  <c r="G1464" i="26"/>
  <c r="H1464" i="26" s="1"/>
  <c r="H1712" i="26"/>
  <c r="H1697" i="26" s="1"/>
  <c r="G1697" i="26"/>
  <c r="E942" i="1" s="1"/>
  <c r="F942" i="1" s="1"/>
  <c r="I1697" i="26" s="1"/>
  <c r="E2147" i="26"/>
  <c r="G2147" i="26" s="1"/>
  <c r="H2152" i="26"/>
  <c r="E2148" i="26"/>
  <c r="G2148" i="26" s="1"/>
  <c r="H2148" i="26" s="1"/>
  <c r="E574" i="11"/>
  <c r="G574" i="11" s="1"/>
  <c r="H579" i="11"/>
  <c r="E575" i="11"/>
  <c r="G575" i="11" s="1"/>
  <c r="H575" i="11" s="1"/>
  <c r="E751" i="13"/>
  <c r="G751" i="13" s="1"/>
  <c r="H751" i="13" s="1"/>
  <c r="E749" i="13"/>
  <c r="G749" i="13" s="1"/>
  <c r="E750" i="13"/>
  <c r="G750" i="13" s="1"/>
  <c r="H750" i="13" s="1"/>
  <c r="H755" i="13"/>
  <c r="E2222" i="8"/>
  <c r="G2222" i="8" s="1"/>
  <c r="E2223" i="8"/>
  <c r="G2223" i="8" s="1"/>
  <c r="H2223" i="8" s="1"/>
  <c r="H2227" i="8"/>
  <c r="H1459" i="11"/>
  <c r="E1453" i="11"/>
  <c r="G1453" i="11" s="1"/>
  <c r="E1454" i="11"/>
  <c r="G1454" i="11" s="1"/>
  <c r="H1454" i="11" s="1"/>
  <c r="G509" i="8"/>
  <c r="H510" i="8"/>
  <c r="H1706" i="24"/>
  <c r="E1700" i="24"/>
  <c r="G1700" i="24" s="1"/>
  <c r="H525" i="16"/>
  <c r="E519" i="16"/>
  <c r="G519" i="16" s="1"/>
  <c r="H1895" i="13"/>
  <c r="E1889" i="13"/>
  <c r="G1889" i="13" s="1"/>
  <c r="H1423" i="21"/>
  <c r="E1418" i="21"/>
  <c r="G1418" i="21" s="1"/>
  <c r="E577" i="13"/>
  <c r="G577" i="13" s="1"/>
  <c r="H577" i="13" s="1"/>
  <c r="E576" i="13"/>
  <c r="G576" i="13" s="1"/>
  <c r="H582" i="13"/>
  <c r="E713" i="30"/>
  <c r="G713" i="30" s="1"/>
  <c r="H719" i="30"/>
  <c r="E774" i="30"/>
  <c r="G774" i="30" s="1"/>
  <c r="H779" i="30"/>
  <c r="G1152" i="30"/>
  <c r="H1154" i="30"/>
  <c r="G1040" i="21"/>
  <c r="H1041" i="21"/>
  <c r="H719" i="33"/>
  <c r="E715" i="33"/>
  <c r="G715" i="33" s="1"/>
  <c r="H144" i="15"/>
  <c r="E139" i="15"/>
  <c r="G139" i="15" s="1"/>
  <c r="H139" i="15" s="1"/>
  <c r="E140" i="15"/>
  <c r="G140" i="15" s="1"/>
  <c r="H140" i="15" s="1"/>
  <c r="E138" i="15"/>
  <c r="G138" i="15" s="1"/>
  <c r="E2766" i="26"/>
  <c r="G2766" i="26" s="1"/>
  <c r="H2770" i="26"/>
  <c r="H1967" i="11"/>
  <c r="E1963" i="11"/>
  <c r="G1963" i="11" s="1"/>
  <c r="E330" i="26"/>
  <c r="G330" i="26" s="1"/>
  <c r="E331" i="26"/>
  <c r="G331" i="26" s="1"/>
  <c r="H331" i="26" s="1"/>
  <c r="H335" i="26"/>
  <c r="E33" i="33"/>
  <c r="G33" i="33" s="1"/>
  <c r="H39" i="33"/>
  <c r="G309" i="8"/>
  <c r="H310" i="8"/>
  <c r="H2072" i="16"/>
  <c r="E2066" i="16"/>
  <c r="G2066" i="16" s="1"/>
  <c r="H2693" i="16"/>
  <c r="E2687" i="16"/>
  <c r="G2687" i="16" s="1"/>
  <c r="H2615" i="13"/>
  <c r="E2609" i="13"/>
  <c r="G2609" i="13" s="1"/>
  <c r="E2309" i="13"/>
  <c r="G2309" i="13" s="1"/>
  <c r="H2315" i="13"/>
  <c r="E450" i="8"/>
  <c r="G450" i="8" s="1"/>
  <c r="E451" i="8"/>
  <c r="G451" i="8" s="1"/>
  <c r="H451" i="8" s="1"/>
  <c r="H456" i="8"/>
  <c r="E949" i="13"/>
  <c r="G949" i="13" s="1"/>
  <c r="E950" i="13"/>
  <c r="G950" i="13" s="1"/>
  <c r="H950" i="13" s="1"/>
  <c r="E951" i="13"/>
  <c r="G951" i="13" s="1"/>
  <c r="H951" i="13" s="1"/>
  <c r="H955" i="13"/>
  <c r="E1073" i="30"/>
  <c r="G1073" i="30" s="1"/>
  <c r="H1079" i="30"/>
  <c r="H1016" i="8"/>
  <c r="G1014" i="8"/>
  <c r="H961" i="8"/>
  <c r="E955" i="8"/>
  <c r="G955" i="8" s="1"/>
  <c r="E956" i="8"/>
  <c r="G956" i="8" s="1"/>
  <c r="H956" i="8" s="1"/>
  <c r="H1407" i="24"/>
  <c r="E1402" i="24"/>
  <c r="G1402" i="24" s="1"/>
  <c r="E2845" i="26"/>
  <c r="G2845" i="26" s="1"/>
  <c r="H2850" i="26"/>
  <c r="E2846" i="26"/>
  <c r="G2846" i="26" s="1"/>
  <c r="H2846" i="26" s="1"/>
  <c r="H1806" i="11"/>
  <c r="E1802" i="11"/>
  <c r="G1802" i="11" s="1"/>
  <c r="H1375" i="8"/>
  <c r="G1374" i="8"/>
  <c r="H674" i="16"/>
  <c r="E668" i="16"/>
  <c r="G668" i="16" s="1"/>
  <c r="H479" i="33"/>
  <c r="E473" i="33"/>
  <c r="G473" i="33" s="1"/>
  <c r="E1737" i="21"/>
  <c r="G1737" i="21" s="1"/>
  <c r="H1743" i="21"/>
  <c r="E1969" i="13"/>
  <c r="G1969" i="13" s="1"/>
  <c r="E1970" i="13"/>
  <c r="G1970" i="13" s="1"/>
  <c r="H1970" i="13" s="1"/>
  <c r="H1975" i="13"/>
  <c r="E2049" i="13"/>
  <c r="G2049" i="13" s="1"/>
  <c r="H2055" i="13"/>
  <c r="E1333" i="30"/>
  <c r="G1333" i="30" s="1"/>
  <c r="H1339" i="30"/>
  <c r="E133" i="33"/>
  <c r="G133" i="33" s="1"/>
  <c r="H139" i="33"/>
  <c r="E438" i="15"/>
  <c r="G438" i="15" s="1"/>
  <c r="H444" i="15"/>
  <c r="E439" i="15"/>
  <c r="G439" i="15" s="1"/>
  <c r="H439" i="15" s="1"/>
  <c r="H899" i="33"/>
  <c r="E894" i="33"/>
  <c r="G894" i="33" s="1"/>
  <c r="H799" i="11"/>
  <c r="E795" i="11"/>
  <c r="G795" i="11" s="1"/>
  <c r="H795" i="11" s="1"/>
  <c r="E794" i="11"/>
  <c r="G794" i="11" s="1"/>
  <c r="H879" i="11"/>
  <c r="E875" i="11"/>
  <c r="G875" i="11" s="1"/>
  <c r="H875" i="11" s="1"/>
  <c r="E874" i="11"/>
  <c r="G874" i="11" s="1"/>
  <c r="H2506" i="11"/>
  <c r="E2502" i="11"/>
  <c r="G2502" i="11" s="1"/>
  <c r="H2176" i="11"/>
  <c r="E2172" i="11"/>
  <c r="G2172" i="11" s="1"/>
  <c r="E73" i="30"/>
  <c r="G73" i="30" s="1"/>
  <c r="H79" i="30"/>
  <c r="E1050" i="24"/>
  <c r="G1050" i="24" s="1"/>
  <c r="H1050" i="24" s="1"/>
  <c r="H1054" i="24"/>
  <c r="E1049" i="24"/>
  <c r="G1049" i="24" s="1"/>
  <c r="E1645" i="16"/>
  <c r="G1645" i="16" s="1"/>
  <c r="H1650" i="16"/>
  <c r="H974" i="24"/>
  <c r="E969" i="24"/>
  <c r="G969" i="24" s="1"/>
  <c r="E949" i="16"/>
  <c r="G949" i="16" s="1"/>
  <c r="H949" i="16" s="1"/>
  <c r="E948" i="16"/>
  <c r="G948" i="16" s="1"/>
  <c r="H954" i="16"/>
  <c r="H1343" i="21"/>
  <c r="E1337" i="21"/>
  <c r="G1337" i="21" s="1"/>
  <c r="E909" i="13"/>
  <c r="G909" i="13" s="1"/>
  <c r="E910" i="13"/>
  <c r="G910" i="13" s="1"/>
  <c r="H910" i="13" s="1"/>
  <c r="E911" i="13"/>
  <c r="G911" i="13" s="1"/>
  <c r="H911" i="13" s="1"/>
  <c r="H915" i="13"/>
  <c r="E1013" i="30"/>
  <c r="G1013" i="30" s="1"/>
  <c r="H1019" i="30"/>
  <c r="E1280" i="15"/>
  <c r="G1280" i="15" s="1"/>
  <c r="H1280" i="15" s="1"/>
  <c r="H1285" i="15"/>
  <c r="E1279" i="15"/>
  <c r="G1279" i="15" s="1"/>
  <c r="E553" i="13"/>
  <c r="G553" i="13" s="1"/>
  <c r="H553" i="13" s="1"/>
  <c r="E552" i="13"/>
  <c r="G552" i="13" s="1"/>
  <c r="H558" i="13"/>
  <c r="E537" i="32"/>
  <c r="G537" i="32" s="1"/>
  <c r="H543" i="32"/>
  <c r="E2823" i="8"/>
  <c r="G2823" i="8" s="1"/>
  <c r="H2823" i="8" s="1"/>
  <c r="H2828" i="8"/>
  <c r="E2822" i="8"/>
  <c r="G2822" i="8" s="1"/>
  <c r="H237" i="32"/>
  <c r="G236" i="32"/>
  <c r="H2192" i="26"/>
  <c r="E2187" i="26"/>
  <c r="G2187" i="26" s="1"/>
  <c r="E2188" i="26"/>
  <c r="G2188" i="26" s="1"/>
  <c r="H2188" i="26" s="1"/>
  <c r="E670" i="8"/>
  <c r="G670" i="8" s="1"/>
  <c r="E671" i="8"/>
  <c r="G671" i="8" s="1"/>
  <c r="H671" i="8" s="1"/>
  <c r="H676" i="8"/>
  <c r="H2130" i="11"/>
  <c r="E2126" i="11"/>
  <c r="G2126" i="11" s="1"/>
  <c r="H2126" i="11" s="1"/>
  <c r="E2125" i="11"/>
  <c r="G2125" i="11" s="1"/>
  <c r="E1213" i="26"/>
  <c r="G1213" i="26" s="1"/>
  <c r="H1213" i="26" s="1"/>
  <c r="E1212" i="26"/>
  <c r="G1212" i="26" s="1"/>
  <c r="H1218" i="26"/>
  <c r="E13" i="33"/>
  <c r="G13" i="33" s="1"/>
  <c r="H19" i="33"/>
  <c r="H1739" i="30"/>
  <c r="E1733" i="30"/>
  <c r="G1733" i="30" s="1"/>
  <c r="H2633" i="16"/>
  <c r="E2628" i="16"/>
  <c r="G2628" i="16" s="1"/>
  <c r="H754" i="16"/>
  <c r="E748" i="16"/>
  <c r="G748" i="16" s="1"/>
  <c r="E753" i="30"/>
  <c r="G753" i="30" s="1"/>
  <c r="H759" i="30"/>
  <c r="H39" i="11"/>
  <c r="E33" i="11"/>
  <c r="G33" i="11" s="1"/>
  <c r="E34" i="11"/>
  <c r="G34" i="11" s="1"/>
  <c r="H34" i="11" s="1"/>
  <c r="E622" i="13"/>
  <c r="G622" i="13" s="1"/>
  <c r="H628" i="13"/>
  <c r="E623" i="13"/>
  <c r="G623" i="13" s="1"/>
  <c r="H623" i="13" s="1"/>
  <c r="H861" i="8"/>
  <c r="E855" i="8"/>
  <c r="G855" i="8" s="1"/>
  <c r="H1283" i="32"/>
  <c r="E1277" i="32"/>
  <c r="G1277" i="32" s="1"/>
  <c r="H403" i="32"/>
  <c r="E397" i="32"/>
  <c r="G397" i="32" s="1"/>
  <c r="E2130" i="15"/>
  <c r="G2130" i="15" s="1"/>
  <c r="H2136" i="15"/>
  <c r="E175" i="32"/>
  <c r="G175" i="32" s="1"/>
  <c r="H181" i="32"/>
  <c r="E1902" i="15"/>
  <c r="G1902" i="15" s="1"/>
  <c r="H1908" i="15"/>
  <c r="H803" i="24"/>
  <c r="E798" i="24"/>
  <c r="G798" i="24" s="1"/>
  <c r="H1692" i="26"/>
  <c r="H1677" i="26" s="1"/>
  <c r="G1677" i="26"/>
  <c r="E941" i="1" s="1"/>
  <c r="F941" i="1" s="1"/>
  <c r="I1677" i="26" s="1"/>
  <c r="G1212" i="30"/>
  <c r="H1214" i="30"/>
  <c r="E752" i="26"/>
  <c r="G752" i="26" s="1"/>
  <c r="H758" i="26"/>
  <c r="E753" i="26"/>
  <c r="G753" i="26" s="1"/>
  <c r="H753" i="26" s="1"/>
  <c r="H2870" i="26"/>
  <c r="E2864" i="26"/>
  <c r="G2864" i="26" s="1"/>
  <c r="E1230" i="24"/>
  <c r="G1230" i="24" s="1"/>
  <c r="H1236" i="24"/>
  <c r="E1566" i="26"/>
  <c r="G1566" i="26" s="1"/>
  <c r="E1567" i="26"/>
  <c r="G1567" i="26" s="1"/>
  <c r="H1567" i="26" s="1"/>
  <c r="H1572" i="26"/>
  <c r="H2454" i="26"/>
  <c r="E2450" i="26"/>
  <c r="G2450" i="26" s="1"/>
  <c r="E1538" i="11"/>
  <c r="G1538" i="11" s="1"/>
  <c r="H1542" i="11"/>
  <c r="H2749" i="11"/>
  <c r="E2745" i="11"/>
  <c r="G2745" i="11" s="1"/>
  <c r="H2745" i="11" s="1"/>
  <c r="E2744" i="11"/>
  <c r="G2744" i="11" s="1"/>
  <c r="E226" i="26"/>
  <c r="G226" i="26" s="1"/>
  <c r="H230" i="26"/>
  <c r="G2295" i="11"/>
  <c r="H2296" i="11"/>
  <c r="H399" i="33"/>
  <c r="E394" i="33"/>
  <c r="G394" i="33" s="1"/>
  <c r="H1920" i="30"/>
  <c r="E1915" i="30"/>
  <c r="G1915" i="30" s="1"/>
  <c r="E1916" i="30"/>
  <c r="G1916" i="30" s="1"/>
  <c r="H1916" i="30" s="1"/>
  <c r="H834" i="16"/>
  <c r="E828" i="16"/>
  <c r="G828" i="16" s="1"/>
  <c r="H987" i="21"/>
  <c r="E981" i="21"/>
  <c r="G981" i="21" s="1"/>
  <c r="H2635" i="13"/>
  <c r="E2629" i="13"/>
  <c r="G2629" i="13" s="1"/>
  <c r="H1595" i="13"/>
  <c r="E1589" i="13"/>
  <c r="G1589" i="13" s="1"/>
  <c r="E173" i="16"/>
  <c r="G173" i="16" s="1"/>
  <c r="H179" i="16"/>
  <c r="H514" i="30"/>
  <c r="G512" i="30"/>
  <c r="E1700" i="15"/>
  <c r="G1700" i="15" s="1"/>
  <c r="H1706" i="15"/>
  <c r="H849" i="24"/>
  <c r="E844" i="24"/>
  <c r="G844" i="24" s="1"/>
  <c r="G289" i="8"/>
  <c r="H290" i="8"/>
  <c r="H1096" i="8"/>
  <c r="G1094" i="8"/>
  <c r="H2242" i="11"/>
  <c r="E2238" i="11"/>
  <c r="G2238" i="11" s="1"/>
  <c r="G1232" i="30"/>
  <c r="H1234" i="30"/>
  <c r="E1285" i="16"/>
  <c r="G1285" i="16" s="1"/>
  <c r="H1285" i="16" s="1"/>
  <c r="H1290" i="16"/>
  <c r="E1284" i="16"/>
  <c r="G1284" i="16" s="1"/>
  <c r="E1072" i="26"/>
  <c r="G1072" i="26" s="1"/>
  <c r="H1072" i="26" s="1"/>
  <c r="H1078" i="26"/>
  <c r="E1073" i="26"/>
  <c r="G1073" i="26" s="1"/>
  <c r="H679" i="30"/>
  <c r="E673" i="30"/>
  <c r="G673" i="30" s="1"/>
  <c r="E2296" i="26"/>
  <c r="G2296" i="26" s="1"/>
  <c r="H2300" i="26"/>
  <c r="H1511" i="26"/>
  <c r="E1505" i="26"/>
  <c r="G1505" i="26" s="1"/>
  <c r="E1506" i="26"/>
  <c r="G1506" i="26" s="1"/>
  <c r="H1506" i="26" s="1"/>
  <c r="G172" i="30"/>
  <c r="H172" i="30" s="1"/>
  <c r="H174" i="30"/>
  <c r="E2707" i="16"/>
  <c r="G2707" i="16" s="1"/>
  <c r="H2713" i="16"/>
  <c r="H1239" i="21"/>
  <c r="E1233" i="21"/>
  <c r="G1233" i="21" s="1"/>
  <c r="H2775" i="13"/>
  <c r="E2769" i="13"/>
  <c r="G2769" i="13" s="1"/>
  <c r="H1130" i="21"/>
  <c r="E1124" i="21"/>
  <c r="G1124" i="21" s="1"/>
  <c r="H821" i="8"/>
  <c r="E815" i="8"/>
  <c r="G815" i="8" s="1"/>
  <c r="E74" i="21"/>
  <c r="G74" i="21" s="1"/>
  <c r="H79" i="21"/>
  <c r="H1319" i="30"/>
  <c r="E1313" i="30"/>
  <c r="G1313" i="30" s="1"/>
  <c r="E1358" i="32"/>
  <c r="G1358" i="32" s="1"/>
  <c r="H1363" i="32"/>
  <c r="H763" i="32"/>
  <c r="E757" i="32"/>
  <c r="G757" i="32" s="1"/>
  <c r="E1680" i="15"/>
  <c r="G1680" i="15" s="1"/>
  <c r="H1686" i="15"/>
  <c r="E738" i="15"/>
  <c r="G738" i="15" s="1"/>
  <c r="H744" i="15"/>
  <c r="E1500" i="15"/>
  <c r="G1500" i="15" s="1"/>
  <c r="H1506" i="15"/>
  <c r="H1174" i="33"/>
  <c r="G1172" i="33"/>
  <c r="H2493" i="16"/>
  <c r="E2488" i="16"/>
  <c r="G2488" i="16" s="1"/>
  <c r="E155" i="30"/>
  <c r="G155" i="30" s="1"/>
  <c r="H159" i="30"/>
  <c r="E533" i="33"/>
  <c r="G533" i="33" s="1"/>
  <c r="H539" i="33"/>
  <c r="E534" i="33"/>
  <c r="G534" i="33" s="1"/>
  <c r="H534" i="33" s="1"/>
  <c r="E434" i="11"/>
  <c r="G434" i="11" s="1"/>
  <c r="H439" i="11"/>
  <c r="E435" i="11"/>
  <c r="G435" i="11" s="1"/>
  <c r="H435" i="11" s="1"/>
  <c r="E992" i="26"/>
  <c r="G992" i="26" s="1"/>
  <c r="E993" i="26"/>
  <c r="G993" i="26" s="1"/>
  <c r="H993" i="26" s="1"/>
  <c r="H998" i="26"/>
  <c r="E933" i="30"/>
  <c r="G933" i="30" s="1"/>
  <c r="H939" i="30"/>
  <c r="H1772" i="26"/>
  <c r="E1768" i="26"/>
  <c r="G1768" i="26" s="1"/>
  <c r="E873" i="26"/>
  <c r="G873" i="26" s="1"/>
  <c r="H873" i="26" s="1"/>
  <c r="E872" i="26"/>
  <c r="G872" i="26" s="1"/>
  <c r="H878" i="26"/>
  <c r="H474" i="30"/>
  <c r="H914" i="24"/>
  <c r="E909" i="24"/>
  <c r="G909" i="24" s="1"/>
  <c r="H502" i="16"/>
  <c r="E496" i="16"/>
  <c r="G496" i="16" s="1"/>
  <c r="E732" i="8"/>
  <c r="G732" i="8" s="1"/>
  <c r="H738" i="8"/>
  <c r="E353" i="21"/>
  <c r="G353" i="21" s="1"/>
  <c r="H359" i="21"/>
  <c r="E530" i="13"/>
  <c r="G530" i="13" s="1"/>
  <c r="H530" i="13" s="1"/>
  <c r="E529" i="13"/>
  <c r="G529" i="13" s="1"/>
  <c r="H535" i="13"/>
  <c r="K886" i="8"/>
  <c r="J886" i="8"/>
  <c r="H1203" i="32"/>
  <c r="E1197" i="32"/>
  <c r="G1197" i="32" s="1"/>
  <c r="E879" i="15"/>
  <c r="G879" i="15" s="1"/>
  <c r="H879" i="15" s="1"/>
  <c r="H884" i="15"/>
  <c r="E878" i="15"/>
  <c r="G878" i="15" s="1"/>
  <c r="E698" i="15"/>
  <c r="G698" i="15" s="1"/>
  <c r="H704" i="15"/>
  <c r="G692" i="21"/>
  <c r="H693" i="21"/>
  <c r="H2788" i="8"/>
  <c r="E2782" i="8"/>
  <c r="G2782" i="8" s="1"/>
  <c r="E2783" i="8"/>
  <c r="G2783" i="8" s="1"/>
  <c r="H2783" i="8" s="1"/>
  <c r="H699" i="33"/>
  <c r="E693" i="33"/>
  <c r="G693" i="33" s="1"/>
  <c r="H339" i="11"/>
  <c r="E335" i="11"/>
  <c r="G335" i="11" s="1"/>
  <c r="H335" i="11" s="1"/>
  <c r="E334" i="11"/>
  <c r="G334" i="11" s="1"/>
  <c r="E653" i="26"/>
  <c r="G653" i="26" s="1"/>
  <c r="H653" i="26" s="1"/>
  <c r="E652" i="26"/>
  <c r="G652" i="26" s="1"/>
  <c r="H657" i="26"/>
  <c r="E2342" i="8"/>
  <c r="G2342" i="8" s="1"/>
  <c r="E2343" i="8"/>
  <c r="G2343" i="8" s="1"/>
  <c r="H2343" i="8" s="1"/>
  <c r="H2347" i="8"/>
  <c r="H2630" i="26"/>
  <c r="E2626" i="26"/>
  <c r="G2626" i="26" s="1"/>
  <c r="H1852" i="11"/>
  <c r="E1848" i="11"/>
  <c r="G1848" i="11" s="1"/>
  <c r="E73" i="33"/>
  <c r="G73" i="33" s="1"/>
  <c r="H79" i="33"/>
  <c r="H1799" i="30"/>
  <c r="E1793" i="30"/>
  <c r="G1793" i="30" s="1"/>
  <c r="H119" i="24"/>
  <c r="E114" i="24"/>
  <c r="G114" i="24" s="1"/>
  <c r="H1503" i="21"/>
  <c r="E1497" i="21"/>
  <c r="G1497" i="21" s="1"/>
  <c r="H1586" i="24"/>
  <c r="E1581" i="24"/>
  <c r="G1581" i="24" s="1"/>
  <c r="H1581" i="24" s="1"/>
  <c r="E1580" i="24"/>
  <c r="G1580" i="24" s="1"/>
  <c r="E1984" i="16"/>
  <c r="G1984" i="16" s="1"/>
  <c r="H1990" i="16"/>
  <c r="H1235" i="13"/>
  <c r="E1229" i="13"/>
  <c r="G1229" i="13" s="1"/>
  <c r="H2735" i="13"/>
  <c r="E2729" i="13"/>
  <c r="G2729" i="13" s="1"/>
  <c r="H1139" i="11"/>
  <c r="E1134" i="11"/>
  <c r="G1134" i="11" s="1"/>
  <c r="E1135" i="11"/>
  <c r="G1135" i="11" s="1"/>
  <c r="H1135" i="11" s="1"/>
  <c r="E710" i="8"/>
  <c r="G710" i="8" s="1"/>
  <c r="E711" i="8"/>
  <c r="G711" i="8" s="1"/>
  <c r="H711" i="8" s="1"/>
  <c r="H716" i="8"/>
  <c r="E1301" i="15"/>
  <c r="G1301" i="15" s="1"/>
  <c r="H1301" i="15" s="1"/>
  <c r="H1306" i="15"/>
  <c r="E1300" i="15"/>
  <c r="G1300" i="15" s="1"/>
  <c r="E1017" i="32"/>
  <c r="G1017" i="32" s="1"/>
  <c r="H1023" i="32"/>
  <c r="H603" i="32"/>
  <c r="E597" i="32"/>
  <c r="G597" i="32" s="1"/>
  <c r="E598" i="32"/>
  <c r="G598" i="32" s="1"/>
  <c r="H598" i="32" s="1"/>
  <c r="E358" i="15"/>
  <c r="G358" i="15" s="1"/>
  <c r="H364" i="15"/>
  <c r="E359" i="15"/>
  <c r="G359" i="15" s="1"/>
  <c r="H359" i="15" s="1"/>
  <c r="E319" i="15"/>
  <c r="G319" i="15" s="1"/>
  <c r="H319" i="15" s="1"/>
  <c r="H324" i="15"/>
  <c r="E318" i="15"/>
  <c r="G318" i="15" s="1"/>
  <c r="E1860" i="15"/>
  <c r="G1860" i="15" s="1"/>
  <c r="H1866" i="15"/>
  <c r="G232" i="21"/>
  <c r="H234" i="21"/>
  <c r="E1334" i="11"/>
  <c r="G1334" i="11" s="1"/>
  <c r="H1339" i="11"/>
  <c r="E694" i="11"/>
  <c r="G694" i="11" s="1"/>
  <c r="H699" i="11"/>
  <c r="E695" i="11"/>
  <c r="G695" i="11" s="1"/>
  <c r="H695" i="11" s="1"/>
  <c r="E1382" i="26"/>
  <c r="G1382" i="26" s="1"/>
  <c r="H1386" i="26"/>
  <c r="E1254" i="33"/>
  <c r="G1254" i="33" s="1"/>
  <c r="H1259" i="33"/>
  <c r="H1783" i="11"/>
  <c r="E1779" i="11"/>
  <c r="G1779" i="11" s="1"/>
  <c r="H2345" i="11"/>
  <c r="E2341" i="11"/>
  <c r="G2341" i="11" s="1"/>
  <c r="E2664" i="11"/>
  <c r="G2664" i="11" s="1"/>
  <c r="H2669" i="11"/>
  <c r="E2665" i="11"/>
  <c r="G2665" i="11" s="1"/>
  <c r="H2665" i="11" s="1"/>
  <c r="E1191" i="24"/>
  <c r="G1191" i="24" s="1"/>
  <c r="H1197" i="24"/>
  <c r="E1192" i="24"/>
  <c r="G1192" i="24" s="1"/>
  <c r="H1192" i="24" s="1"/>
  <c r="E1887" i="26"/>
  <c r="G1887" i="26" s="1"/>
  <c r="H1892" i="26"/>
  <c r="H1215" i="13"/>
  <c r="E1209" i="13"/>
  <c r="G1209" i="13" s="1"/>
  <c r="H1730" i="16"/>
  <c r="E1725" i="16"/>
  <c r="G1725" i="16" s="1"/>
  <c r="H1390" i="16"/>
  <c r="E1385" i="16"/>
  <c r="G1385" i="16" s="1"/>
  <c r="H1299" i="11"/>
  <c r="E1294" i="11"/>
  <c r="G1294" i="11" s="1"/>
  <c r="H1294" i="11" s="1"/>
  <c r="E1293" i="11"/>
  <c r="G1293" i="11" s="1"/>
  <c r="E1194" i="11"/>
  <c r="G1194" i="11" s="1"/>
  <c r="E1195" i="11"/>
  <c r="G1195" i="11" s="1"/>
  <c r="H1195" i="11" s="1"/>
  <c r="H1199" i="11"/>
  <c r="E1053" i="11"/>
  <c r="G1053" i="11" s="1"/>
  <c r="H1059" i="11"/>
  <c r="E1054" i="11"/>
  <c r="G1054" i="11" s="1"/>
  <c r="H1054" i="11" s="1"/>
  <c r="E254" i="11"/>
  <c r="G254" i="11" s="1"/>
  <c r="H254" i="11" s="1"/>
  <c r="E253" i="11"/>
  <c r="G253" i="11" s="1"/>
  <c r="H259" i="11"/>
  <c r="H496" i="8"/>
  <c r="H481" i="8" s="1"/>
  <c r="G481" i="8"/>
  <c r="E29" i="1" s="1"/>
  <c r="F29" i="1" s="1"/>
  <c r="I481" i="8" s="1"/>
  <c r="H583" i="32"/>
  <c r="E577" i="32"/>
  <c r="G577" i="32" s="1"/>
  <c r="E578" i="32"/>
  <c r="G578" i="32" s="1"/>
  <c r="H578" i="32" s="1"/>
  <c r="E497" i="32"/>
  <c r="G497" i="32" s="1"/>
  <c r="H503" i="32"/>
  <c r="E638" i="15"/>
  <c r="G638" i="15" s="1"/>
  <c r="H644" i="15"/>
  <c r="E2010" i="15"/>
  <c r="G2010" i="15" s="1"/>
  <c r="H2016" i="15"/>
  <c r="E418" i="15"/>
  <c r="G418" i="15" s="1"/>
  <c r="H424" i="15"/>
  <c r="E419" i="15"/>
  <c r="G419" i="15" s="1"/>
  <c r="H419" i="15" s="1"/>
  <c r="E858" i="15"/>
  <c r="G858" i="15" s="1"/>
  <c r="H864" i="15"/>
  <c r="E859" i="15"/>
  <c r="G859" i="15" s="1"/>
  <c r="H859" i="15" s="1"/>
  <c r="E1153" i="24"/>
  <c r="G1153" i="24" s="1"/>
  <c r="H1157" i="24"/>
  <c r="E431" i="26"/>
  <c r="G431" i="26" s="1"/>
  <c r="H437" i="26"/>
  <c r="E432" i="26"/>
  <c r="G432" i="26" s="1"/>
  <c r="H432" i="26" s="1"/>
  <c r="E514" i="11"/>
  <c r="G514" i="11" s="1"/>
  <c r="H519" i="11"/>
  <c r="E515" i="11"/>
  <c r="G515" i="11" s="1"/>
  <c r="H515" i="11" s="1"/>
  <c r="E1273" i="26"/>
  <c r="G1273" i="26" s="1"/>
  <c r="E1274" i="26"/>
  <c r="G1274" i="26" s="1"/>
  <c r="H1274" i="26" s="1"/>
  <c r="H1278" i="26"/>
  <c r="H14" i="30"/>
  <c r="H2542" i="26"/>
  <c r="E2538" i="26"/>
  <c r="G2538" i="26" s="1"/>
  <c r="H981" i="8"/>
  <c r="E977" i="8"/>
  <c r="G977" i="8" s="1"/>
  <c r="E310" i="26"/>
  <c r="G310" i="26" s="1"/>
  <c r="E309" i="26"/>
  <c r="G309" i="26" s="1"/>
  <c r="H309" i="26" s="1"/>
  <c r="H314" i="26"/>
  <c r="H2162" i="30"/>
  <c r="E2156" i="30"/>
  <c r="G2156" i="30" s="1"/>
  <c r="E1742" i="24"/>
  <c r="G1742" i="24" s="1"/>
  <c r="H1747" i="24"/>
  <c r="H2172" i="16"/>
  <c r="E2166" i="16"/>
  <c r="G2166" i="16" s="1"/>
  <c r="H2052" i="16"/>
  <c r="E2047" i="16"/>
  <c r="G2047" i="16" s="1"/>
  <c r="E583" i="16"/>
  <c r="G583" i="16" s="1"/>
  <c r="H583" i="16" s="1"/>
  <c r="H588" i="16"/>
  <c r="E582" i="16"/>
  <c r="G582" i="16" s="1"/>
  <c r="H1615" i="13"/>
  <c r="E1609" i="13"/>
  <c r="G1609" i="13" s="1"/>
  <c r="H959" i="11"/>
  <c r="E955" i="11"/>
  <c r="G955" i="11" s="1"/>
  <c r="H955" i="11" s="1"/>
  <c r="E954" i="11"/>
  <c r="G954" i="11" s="1"/>
  <c r="E1313" i="11"/>
  <c r="G1313" i="11" s="1"/>
  <c r="E1314" i="11"/>
  <c r="G1314" i="11" s="1"/>
  <c r="H1314" i="11" s="1"/>
  <c r="H1319" i="11"/>
  <c r="E908" i="16"/>
  <c r="G908" i="16" s="1"/>
  <c r="E909" i="16"/>
  <c r="G909" i="16" s="1"/>
  <c r="H909" i="16" s="1"/>
  <c r="H914" i="16"/>
  <c r="E434" i="21"/>
  <c r="G434" i="21" s="1"/>
  <c r="H434" i="21" s="1"/>
  <c r="E433" i="21"/>
  <c r="G433" i="21" s="1"/>
  <c r="H439" i="21"/>
  <c r="G1152" i="33"/>
  <c r="H1154" i="33"/>
  <c r="E1297" i="32"/>
  <c r="G1297" i="32" s="1"/>
  <c r="H1303" i="32"/>
  <c r="E1637" i="32"/>
  <c r="G1637" i="32" s="1"/>
  <c r="E1638" i="32"/>
  <c r="G1638" i="32" s="1"/>
  <c r="H1638" i="32" s="1"/>
  <c r="H1643" i="32"/>
  <c r="E758" i="15"/>
  <c r="G758" i="15" s="1"/>
  <c r="H764" i="15"/>
  <c r="E1058" i="15"/>
  <c r="G1058" i="15" s="1"/>
  <c r="H1064" i="15"/>
  <c r="H640" i="24"/>
  <c r="E635" i="24"/>
  <c r="G635" i="24" s="1"/>
  <c r="G649" i="8"/>
  <c r="H650" i="8"/>
  <c r="E2683" i="8"/>
  <c r="G2683" i="8" s="1"/>
  <c r="H2688" i="8"/>
  <c r="G1192" i="30"/>
  <c r="H1194" i="30"/>
  <c r="H2132" i="16"/>
  <c r="E2127" i="16"/>
  <c r="G2127" i="16" s="1"/>
  <c r="H1431" i="24"/>
  <c r="E1425" i="24"/>
  <c r="G1425" i="24" s="1"/>
  <c r="E615" i="11"/>
  <c r="G615" i="11" s="1"/>
  <c r="H615" i="11" s="1"/>
  <c r="E614" i="11"/>
  <c r="G614" i="11" s="1"/>
  <c r="H619" i="11"/>
  <c r="E953" i="30"/>
  <c r="G953" i="30" s="1"/>
  <c r="H959" i="30"/>
  <c r="E993" i="30"/>
  <c r="G993" i="30" s="1"/>
  <c r="H999" i="30"/>
  <c r="E3047" i="26"/>
  <c r="G3047" i="26" s="1"/>
  <c r="H3051" i="26"/>
  <c r="H170" i="26"/>
  <c r="E166" i="26"/>
  <c r="G166" i="26" s="1"/>
  <c r="E1628" i="26"/>
  <c r="G1628" i="26" s="1"/>
  <c r="H1628" i="26" s="1"/>
  <c r="E1627" i="26"/>
  <c r="G1627" i="26" s="1"/>
  <c r="H1632" i="26"/>
  <c r="H1067" i="21"/>
  <c r="E1061" i="21"/>
  <c r="G1061" i="21" s="1"/>
  <c r="H1823" i="21"/>
  <c r="E1817" i="21"/>
  <c r="G1817" i="21" s="1"/>
  <c r="H2115" i="13"/>
  <c r="E2109" i="13"/>
  <c r="G2109" i="13" s="1"/>
  <c r="H1441" i="8"/>
  <c r="E1435" i="8"/>
  <c r="G1435" i="8" s="1"/>
  <c r="E1436" i="8"/>
  <c r="G1436" i="8" s="1"/>
  <c r="H1436" i="8" s="1"/>
  <c r="H1623" i="32"/>
  <c r="E1617" i="32"/>
  <c r="G1617" i="32" s="1"/>
  <c r="E1618" i="32"/>
  <c r="G1618" i="32" s="1"/>
  <c r="H1618" i="32" s="1"/>
  <c r="E658" i="15"/>
  <c r="G658" i="15" s="1"/>
  <c r="H664" i="15"/>
  <c r="E1620" i="15"/>
  <c r="G1620" i="15" s="1"/>
  <c r="H1626" i="15"/>
  <c r="E1420" i="15"/>
  <c r="G1420" i="15" s="1"/>
  <c r="H1426" i="15"/>
  <c r="E1029" i="24"/>
  <c r="G1029" i="24" s="1"/>
  <c r="H1034" i="24"/>
  <c r="H1316" i="8"/>
  <c r="G1314" i="8"/>
  <c r="E491" i="26"/>
  <c r="G491" i="26" s="1"/>
  <c r="H497" i="26"/>
  <c r="E492" i="26"/>
  <c r="G492" i="26" s="1"/>
  <c r="H492" i="26" s="1"/>
  <c r="E1014" i="33"/>
  <c r="G1014" i="33" s="1"/>
  <c r="H1014" i="33" s="1"/>
  <c r="H1019" i="33"/>
  <c r="E1013" i="33"/>
  <c r="G1013" i="33" s="1"/>
  <c r="E314" i="11"/>
  <c r="G314" i="11" s="1"/>
  <c r="H314" i="11" s="1"/>
  <c r="E313" i="11"/>
  <c r="G313" i="11" s="1"/>
  <c r="H319" i="11"/>
  <c r="E1033" i="26"/>
  <c r="G1033" i="26" s="1"/>
  <c r="H1033" i="26" s="1"/>
  <c r="E1032" i="26"/>
  <c r="G1032" i="26" s="1"/>
  <c r="H1038" i="26"/>
  <c r="H2810" i="26"/>
  <c r="E2806" i="26"/>
  <c r="G2806" i="26" s="1"/>
  <c r="E3068" i="26"/>
  <c r="G3068" i="26" s="1"/>
  <c r="H3072" i="26"/>
  <c r="H2030" i="11"/>
  <c r="E2025" i="11"/>
  <c r="G2025" i="11" s="1"/>
  <c r="E2026" i="11"/>
  <c r="G2026" i="11" s="1"/>
  <c r="H2026" i="11" s="1"/>
  <c r="E1485" i="26"/>
  <c r="G1485" i="26" s="1"/>
  <c r="E1486" i="26"/>
  <c r="G1486" i="26" s="1"/>
  <c r="H1486" i="26" s="1"/>
  <c r="E1487" i="26"/>
  <c r="G1487" i="26" s="1"/>
  <c r="H1487" i="26" s="1"/>
  <c r="H1491" i="26"/>
  <c r="H1912" i="26"/>
  <c r="E1907" i="26"/>
  <c r="G1907" i="26" s="1"/>
  <c r="H740" i="24"/>
  <c r="E734" i="24"/>
  <c r="G734" i="24" s="1"/>
  <c r="E1329" i="13"/>
  <c r="G1329" i="13" s="1"/>
  <c r="H1335" i="13"/>
  <c r="H1635" i="13"/>
  <c r="E1629" i="13"/>
  <c r="G1629" i="13" s="1"/>
  <c r="H540" i="24"/>
  <c r="E534" i="24"/>
  <c r="G534" i="24" s="1"/>
  <c r="E2504" i="8"/>
  <c r="G2504" i="8" s="1"/>
  <c r="H2504" i="8" s="1"/>
  <c r="H2508" i="8"/>
  <c r="E2503" i="8"/>
  <c r="G2503" i="8" s="1"/>
  <c r="H1399" i="30"/>
  <c r="E1393" i="30"/>
  <c r="G1393" i="30" s="1"/>
  <c r="E1557" i="32"/>
  <c r="G1557" i="32" s="1"/>
  <c r="E1558" i="32"/>
  <c r="G1558" i="32" s="1"/>
  <c r="H1558" i="32" s="1"/>
  <c r="H1563" i="32"/>
  <c r="H775" i="8"/>
  <c r="G774" i="8"/>
  <c r="E1847" i="26"/>
  <c r="G1847" i="26" s="1"/>
  <c r="H1852" i="26"/>
  <c r="H1921" i="8"/>
  <c r="E1916" i="8"/>
  <c r="G1916" i="8" s="1"/>
  <c r="E1360" i="26"/>
  <c r="G1360" i="26" s="1"/>
  <c r="H1364" i="26"/>
  <c r="H2207" i="8"/>
  <c r="E2202" i="8"/>
  <c r="G2202" i="8" s="1"/>
  <c r="E2203" i="8"/>
  <c r="G2203" i="8" s="1"/>
  <c r="H2203" i="8" s="1"/>
  <c r="E2684" i="11"/>
  <c r="G2684" i="11" s="1"/>
  <c r="H2689" i="11"/>
  <c r="E2685" i="11"/>
  <c r="G2685" i="11" s="1"/>
  <c r="H2685" i="11" s="1"/>
  <c r="E1556" i="8"/>
  <c r="G1556" i="8" s="1"/>
  <c r="H1556" i="8" s="1"/>
  <c r="H1561" i="8"/>
  <c r="E1555" i="8"/>
  <c r="G1555" i="8" s="1"/>
  <c r="H2234" i="26"/>
  <c r="E2230" i="26"/>
  <c r="G2230" i="26" s="1"/>
  <c r="H2072" i="26"/>
  <c r="E2066" i="26"/>
  <c r="G2066" i="26" s="1"/>
  <c r="E1331" i="24"/>
  <c r="G1331" i="24" s="1"/>
  <c r="H1337" i="24"/>
  <c r="E616" i="24"/>
  <c r="G616" i="24" s="1"/>
  <c r="H616" i="24" s="1"/>
  <c r="H620" i="24"/>
  <c r="E614" i="24"/>
  <c r="G614" i="24" s="1"/>
  <c r="H339" i="16"/>
  <c r="E334" i="16"/>
  <c r="G334" i="16" s="1"/>
  <c r="H334" i="16" s="1"/>
  <c r="E333" i="16"/>
  <c r="G333" i="16" s="1"/>
  <c r="H1695" i="13"/>
  <c r="E1689" i="13"/>
  <c r="G1689" i="13" s="1"/>
  <c r="H819" i="21"/>
  <c r="E813" i="21"/>
  <c r="G813" i="21" s="1"/>
  <c r="H1104" i="16"/>
  <c r="E1099" i="16"/>
  <c r="G1099" i="16" s="1"/>
  <c r="H1099" i="16" s="1"/>
  <c r="E1098" i="16"/>
  <c r="G1098" i="16" s="1"/>
  <c r="E15" i="32"/>
  <c r="G15" i="32" s="1"/>
  <c r="H15" i="32" s="1"/>
  <c r="H19" i="32"/>
  <c r="E14" i="32"/>
  <c r="G14" i="32" s="1"/>
  <c r="H14" i="32" s="1"/>
  <c r="E13" i="32"/>
  <c r="H675" i="13"/>
  <c r="E670" i="13"/>
  <c r="G670" i="13" s="1"/>
  <c r="H670" i="13" s="1"/>
  <c r="E669" i="13"/>
  <c r="G669" i="13" s="1"/>
  <c r="E213" i="33"/>
  <c r="G213" i="33" s="1"/>
  <c r="H219" i="33"/>
  <c r="E1398" i="32"/>
  <c r="G1398" i="32" s="1"/>
  <c r="H1403" i="32"/>
  <c r="H1123" i="32"/>
  <c r="E1117" i="32"/>
  <c r="G1117" i="32" s="1"/>
  <c r="E1118" i="32"/>
  <c r="G1118" i="32" s="1"/>
  <c r="H1118" i="32" s="1"/>
  <c r="E1400" i="15"/>
  <c r="G1400" i="15" s="1"/>
  <c r="H1406" i="15"/>
  <c r="E979" i="15"/>
  <c r="G979" i="15" s="1"/>
  <c r="H979" i="15" s="1"/>
  <c r="H984" i="15"/>
  <c r="E978" i="15"/>
  <c r="G978" i="15" s="1"/>
  <c r="H391" i="8"/>
  <c r="G389" i="8"/>
  <c r="E370" i="8"/>
  <c r="G370" i="8" s="1"/>
  <c r="E371" i="8"/>
  <c r="G371" i="8" s="1"/>
  <c r="H371" i="8" s="1"/>
  <c r="H376" i="8"/>
  <c r="E275" i="33"/>
  <c r="G275" i="33" s="1"/>
  <c r="H275" i="33" s="1"/>
  <c r="E274" i="33"/>
  <c r="G274" i="33" s="1"/>
  <c r="H279" i="33"/>
  <c r="H399" i="11"/>
  <c r="E395" i="11"/>
  <c r="G395" i="11" s="1"/>
  <c r="H395" i="11" s="1"/>
  <c r="E394" i="11"/>
  <c r="G394" i="11" s="1"/>
  <c r="E159" i="15"/>
  <c r="G159" i="15" s="1"/>
  <c r="H159" i="15" s="1"/>
  <c r="E158" i="15"/>
  <c r="G158" i="15" s="1"/>
  <c r="E160" i="15"/>
  <c r="G160" i="15" s="1"/>
  <c r="H160" i="15" s="1"/>
  <c r="H164" i="15"/>
  <c r="H2388" i="26"/>
  <c r="E2384" i="26"/>
  <c r="G2384" i="26" s="1"/>
  <c r="H2670" i="26"/>
  <c r="E2664" i="26"/>
  <c r="G2664" i="26" s="1"/>
  <c r="H299" i="24"/>
  <c r="E293" i="24"/>
  <c r="G293" i="24" s="1"/>
  <c r="H419" i="16"/>
  <c r="E414" i="16"/>
  <c r="G414" i="16" s="1"/>
  <c r="H414" i="16" s="1"/>
  <c r="E413" i="16"/>
  <c r="G413" i="16" s="1"/>
  <c r="H1153" i="21"/>
  <c r="E1148" i="21"/>
  <c r="G1148" i="21" s="1"/>
  <c r="E808" i="16"/>
  <c r="G808" i="16" s="1"/>
  <c r="H814" i="16"/>
  <c r="H319" i="16"/>
  <c r="E314" i="16"/>
  <c r="G314" i="16" s="1"/>
  <c r="H314" i="16" s="1"/>
  <c r="E313" i="16"/>
  <c r="G313" i="16" s="1"/>
  <c r="H1115" i="13"/>
  <c r="E1109" i="13"/>
  <c r="G1109" i="13" s="1"/>
  <c r="G1472" i="30"/>
  <c r="H1474" i="30"/>
  <c r="H319" i="24"/>
  <c r="E315" i="24"/>
  <c r="G315" i="24" s="1"/>
  <c r="G772" i="21"/>
  <c r="H773" i="21"/>
  <c r="H1261" i="8"/>
  <c r="E1256" i="8"/>
  <c r="G1256" i="8" s="1"/>
  <c r="E793" i="26"/>
  <c r="G793" i="26" s="1"/>
  <c r="H793" i="26" s="1"/>
  <c r="E792" i="26"/>
  <c r="G792" i="26" s="1"/>
  <c r="H798" i="26"/>
  <c r="H1190" i="16"/>
  <c r="E1185" i="16"/>
  <c r="G1185" i="16" s="1"/>
  <c r="H136" i="8"/>
  <c r="E130" i="8"/>
  <c r="G130" i="8" s="1"/>
  <c r="E131" i="8"/>
  <c r="G131" i="8" s="1"/>
  <c r="H131" i="8" s="1"/>
  <c r="H2153" i="11"/>
  <c r="E2149" i="11"/>
  <c r="G2149" i="11" s="1"/>
  <c r="H2907" i="11"/>
  <c r="E2903" i="11"/>
  <c r="G2903" i="11" s="1"/>
  <c r="H2402" i="8"/>
  <c r="G2400" i="8"/>
  <c r="H2102" i="30"/>
  <c r="E2096" i="30"/>
  <c r="G2096" i="30" s="1"/>
  <c r="H1090" i="21"/>
  <c r="E1084" i="21"/>
  <c r="G1084" i="21" s="1"/>
  <c r="E554" i="24"/>
  <c r="G554" i="24" s="1"/>
  <c r="H560" i="24"/>
  <c r="E1944" i="16"/>
  <c r="G1944" i="16" s="1"/>
  <c r="H1950" i="16"/>
  <c r="E1804" i="16"/>
  <c r="G1804" i="16" s="1"/>
  <c r="H1810" i="16"/>
  <c r="H1155" i="13"/>
  <c r="E1149" i="13"/>
  <c r="G1149" i="13" s="1"/>
  <c r="H2695" i="13"/>
  <c r="E2689" i="13"/>
  <c r="G2689" i="13" s="1"/>
  <c r="H2675" i="13"/>
  <c r="E2669" i="13"/>
  <c r="G2669" i="13" s="1"/>
  <c r="E2703" i="8"/>
  <c r="G2703" i="8" s="1"/>
  <c r="H2703" i="8" s="1"/>
  <c r="H2708" i="8"/>
  <c r="E2702" i="8"/>
  <c r="G2702" i="8" s="1"/>
  <c r="E258" i="13"/>
  <c r="G258" i="13" s="1"/>
  <c r="H258" i="13" s="1"/>
  <c r="E257" i="13"/>
  <c r="G257" i="13" s="1"/>
  <c r="H263" i="13"/>
  <c r="H1752" i="26"/>
  <c r="H1737" i="26" s="1"/>
  <c r="G1737" i="26"/>
  <c r="E944" i="1" s="1"/>
  <c r="F944" i="1" s="1"/>
  <c r="I1737" i="26" s="1"/>
  <c r="G72" i="8"/>
  <c r="H73" i="8"/>
  <c r="E359" i="13"/>
  <c r="G359" i="13" s="1"/>
  <c r="H359" i="13" s="1"/>
  <c r="E357" i="13"/>
  <c r="G357" i="13" s="1"/>
  <c r="E358" i="13"/>
  <c r="G358" i="13" s="1"/>
  <c r="H358" i="13" s="1"/>
  <c r="H363" i="13"/>
  <c r="H2391" i="11"/>
  <c r="E2387" i="11"/>
  <c r="G2387" i="11" s="1"/>
  <c r="E1193" i="26"/>
  <c r="G1193" i="26" s="1"/>
  <c r="H1193" i="26" s="1"/>
  <c r="E1192" i="26"/>
  <c r="G1192" i="26" s="1"/>
  <c r="H1198" i="26"/>
  <c r="E552" i="26"/>
  <c r="G552" i="26" s="1"/>
  <c r="E553" i="26"/>
  <c r="G553" i="26" s="1"/>
  <c r="H553" i="26" s="1"/>
  <c r="H557" i="26"/>
  <c r="G1232" i="33"/>
  <c r="H1234" i="33"/>
  <c r="E1867" i="26"/>
  <c r="G1867" i="26" s="1"/>
  <c r="H1872" i="26"/>
  <c r="H299" i="16"/>
  <c r="E293" i="16"/>
  <c r="G293" i="16" s="1"/>
  <c r="E294" i="16"/>
  <c r="G294" i="16" s="1"/>
  <c r="H294" i="16" s="1"/>
  <c r="H2075" i="13"/>
  <c r="E2069" i="13"/>
  <c r="G2069" i="13" s="1"/>
  <c r="E1536" i="8"/>
  <c r="G1536" i="8" s="1"/>
  <c r="H1536" i="8" s="1"/>
  <c r="E1535" i="8"/>
  <c r="G1535" i="8" s="1"/>
  <c r="H1541" i="8"/>
  <c r="E334" i="21"/>
  <c r="G334" i="21" s="1"/>
  <c r="H339" i="21"/>
  <c r="H399" i="30"/>
  <c r="E393" i="30"/>
  <c r="G393" i="30" s="1"/>
  <c r="E174" i="21"/>
  <c r="G174" i="21" s="1"/>
  <c r="H174" i="21" s="1"/>
  <c r="H179" i="21"/>
  <c r="E173" i="21"/>
  <c r="G173" i="21" s="1"/>
  <c r="H2704" i="26"/>
  <c r="G2703" i="26"/>
  <c r="H1317" i="24"/>
  <c r="E1312" i="24"/>
  <c r="G1312" i="24" s="1"/>
  <c r="H2668" i="8"/>
  <c r="E2663" i="8"/>
  <c r="G2663" i="8" s="1"/>
  <c r="H356" i="8"/>
  <c r="E350" i="8"/>
  <c r="G350" i="8" s="1"/>
  <c r="E351" i="8"/>
  <c r="G351" i="8" s="1"/>
  <c r="H351" i="8" s="1"/>
  <c r="E1009" i="13"/>
  <c r="G1009" i="13" s="1"/>
  <c r="E1010" i="13"/>
  <c r="G1010" i="13" s="1"/>
  <c r="H1010" i="13" s="1"/>
  <c r="H1015" i="13"/>
  <c r="E1133" i="26"/>
  <c r="G1133" i="26" s="1"/>
  <c r="E1132" i="26"/>
  <c r="G1132" i="26" s="1"/>
  <c r="H1132" i="26" s="1"/>
  <c r="H1138" i="26"/>
  <c r="E1587" i="26"/>
  <c r="G1587" i="26" s="1"/>
  <c r="H1587" i="26" s="1"/>
  <c r="E1586" i="26"/>
  <c r="G1586" i="26" s="1"/>
  <c r="H1592" i="26"/>
  <c r="H1699" i="30"/>
  <c r="E1693" i="30"/>
  <c r="G1693" i="30" s="1"/>
  <c r="E1074" i="16"/>
  <c r="G1074" i="16" s="1"/>
  <c r="H1074" i="16" s="1"/>
  <c r="H1079" i="16"/>
  <c r="E1073" i="16"/>
  <c r="G1073" i="16" s="1"/>
  <c r="H694" i="16"/>
  <c r="E688" i="16"/>
  <c r="G688" i="16" s="1"/>
  <c r="H2433" i="16"/>
  <c r="E2427" i="16"/>
  <c r="G2427" i="16" s="1"/>
  <c r="H2375" i="13"/>
  <c r="E2369" i="13"/>
  <c r="G2369" i="13" s="1"/>
  <c r="E1053" i="30"/>
  <c r="G1053" i="30" s="1"/>
  <c r="H1059" i="30"/>
  <c r="E875" i="8"/>
  <c r="G875" i="8" s="1"/>
  <c r="E876" i="8"/>
  <c r="G876" i="8" s="1"/>
  <c r="H876" i="8" s="1"/>
  <c r="H881" i="8"/>
  <c r="G1636" i="21"/>
  <c r="H1637" i="21"/>
  <c r="H1732" i="26"/>
  <c r="H1717" i="26" s="1"/>
  <c r="G1717" i="26"/>
  <c r="E943" i="1" s="1"/>
  <c r="F943" i="1" s="1"/>
  <c r="I1717" i="26" s="1"/>
  <c r="G1172" i="30"/>
  <c r="H1174" i="30"/>
  <c r="G1514" i="8"/>
  <c r="H1515" i="8"/>
  <c r="E1375" i="24"/>
  <c r="G1375" i="24" s="1"/>
  <c r="H1381" i="24"/>
  <c r="E1093" i="26"/>
  <c r="G1093" i="26" s="1"/>
  <c r="H1093" i="26" s="1"/>
  <c r="E1092" i="26"/>
  <c r="G1092" i="26" s="1"/>
  <c r="H1098" i="26"/>
  <c r="E13" i="30"/>
  <c r="G13" i="30" s="1"/>
  <c r="H13" i="30" s="1"/>
  <c r="H19" i="30"/>
  <c r="E2105" i="11"/>
  <c r="G2105" i="11" s="1"/>
  <c r="E2106" i="11"/>
  <c r="G2106" i="11" s="1"/>
  <c r="H2106" i="11" s="1"/>
  <c r="H2110" i="11"/>
  <c r="E2081" i="8"/>
  <c r="G2081" i="8" s="1"/>
  <c r="H2087" i="8"/>
  <c r="E2082" i="8"/>
  <c r="G2082" i="8" s="1"/>
  <c r="H2082" i="8" s="1"/>
  <c r="H2543" i="8"/>
  <c r="G2541" i="8"/>
  <c r="E574" i="24"/>
  <c r="G574" i="24" s="1"/>
  <c r="H580" i="24"/>
  <c r="H1176" i="21"/>
  <c r="E1171" i="21"/>
  <c r="G1171" i="21" s="1"/>
  <c r="H2295" i="13"/>
  <c r="E2289" i="13"/>
  <c r="G2289" i="13" s="1"/>
  <c r="E794" i="30"/>
  <c r="G794" i="30" s="1"/>
  <c r="H799" i="30"/>
  <c r="H39" i="21"/>
  <c r="E33" i="21"/>
  <c r="G33" i="21" s="1"/>
  <c r="E34" i="21"/>
  <c r="G34" i="21" s="1"/>
  <c r="H34" i="21" s="1"/>
  <c r="E116" i="13"/>
  <c r="G116" i="13" s="1"/>
  <c r="H122" i="13"/>
  <c r="H1275" i="8"/>
  <c r="G1274" i="8"/>
  <c r="H79" i="24"/>
  <c r="E74" i="24"/>
  <c r="G74" i="24" s="1"/>
  <c r="E613" i="26"/>
  <c r="G613" i="26" s="1"/>
  <c r="H613" i="26" s="1"/>
  <c r="E612" i="26"/>
  <c r="G612" i="26" s="1"/>
  <c r="H617" i="26"/>
  <c r="E2182" i="8"/>
  <c r="G2182" i="8" s="1"/>
  <c r="H2187" i="8"/>
  <c r="E2183" i="8"/>
  <c r="G2183" i="8" s="1"/>
  <c r="H2183" i="8" s="1"/>
  <c r="H1792" i="26"/>
  <c r="E1786" i="26"/>
  <c r="G1786" i="26" s="1"/>
  <c r="H859" i="11"/>
  <c r="E854" i="11"/>
  <c r="G854" i="11" s="1"/>
  <c r="E855" i="11"/>
  <c r="G855" i="11" s="1"/>
  <c r="H855" i="11" s="1"/>
  <c r="E1664" i="11"/>
  <c r="G1664" i="11" s="1"/>
  <c r="H1668" i="11"/>
  <c r="H2087" i="26"/>
  <c r="G2085" i="26"/>
  <c r="H179" i="24"/>
  <c r="E174" i="24"/>
  <c r="G174" i="24" s="1"/>
  <c r="H639" i="33"/>
  <c r="E633" i="33"/>
  <c r="G633" i="33" s="1"/>
  <c r="H1039" i="33"/>
  <c r="E1033" i="33"/>
  <c r="G1033" i="33" s="1"/>
  <c r="H1095" i="13"/>
  <c r="E1089" i="13"/>
  <c r="G1089" i="13" s="1"/>
  <c r="E1653" i="30"/>
  <c r="G1653" i="30" s="1"/>
  <c r="H1659" i="30"/>
  <c r="E1685" i="16"/>
  <c r="G1685" i="16" s="1"/>
  <c r="H1690" i="16"/>
  <c r="H1495" i="13"/>
  <c r="E1489" i="13"/>
  <c r="G1489" i="13" s="1"/>
  <c r="E2010" i="13"/>
  <c r="G2010" i="13" s="1"/>
  <c r="H2010" i="13" s="1"/>
  <c r="E2009" i="13"/>
  <c r="G2009" i="13" s="1"/>
  <c r="H2015" i="13"/>
  <c r="E646" i="13"/>
  <c r="G646" i="13" s="1"/>
  <c r="H652" i="13"/>
  <c r="E647" i="13"/>
  <c r="G647" i="13" s="1"/>
  <c r="H647" i="13" s="1"/>
  <c r="E894" i="30"/>
  <c r="G894" i="30" s="1"/>
  <c r="H899" i="30"/>
  <c r="E213" i="16"/>
  <c r="G213" i="16" s="1"/>
  <c r="H219" i="16"/>
  <c r="E1253" i="26"/>
  <c r="G1253" i="26" s="1"/>
  <c r="H1253" i="26" s="1"/>
  <c r="E1252" i="26"/>
  <c r="G1252" i="26" s="1"/>
  <c r="H1258" i="26"/>
  <c r="H1835" i="8"/>
  <c r="G1834" i="8"/>
  <c r="E1291" i="24"/>
  <c r="G1291" i="24" s="1"/>
  <c r="H1296" i="24"/>
  <c r="G152" i="24"/>
  <c r="H153" i="24"/>
  <c r="H1181" i="8"/>
  <c r="E1177" i="8"/>
  <c r="G1177" i="8" s="1"/>
  <c r="H1177" i="8" s="1"/>
  <c r="E1176" i="8"/>
  <c r="G1176" i="8" s="1"/>
  <c r="H1176" i="8" s="1"/>
  <c r="E1175" i="8"/>
  <c r="G1175" i="8" s="1"/>
  <c r="H819" i="33"/>
  <c r="E813" i="33"/>
  <c r="G813" i="33" s="1"/>
  <c r="H64" i="15"/>
  <c r="E60" i="15"/>
  <c r="G60" i="15" s="1"/>
  <c r="H60" i="15" s="1"/>
  <c r="E58" i="15"/>
  <c r="G58" i="15" s="1"/>
  <c r="E59" i="15"/>
  <c r="G59" i="15" s="1"/>
  <c r="H59" i="15" s="1"/>
  <c r="E972" i="26"/>
  <c r="G972" i="26" s="1"/>
  <c r="E973" i="26"/>
  <c r="G973" i="26" s="1"/>
  <c r="H973" i="26" s="1"/>
  <c r="H978" i="26"/>
  <c r="E54" i="8"/>
  <c r="G54" i="8" s="1"/>
  <c r="H54" i="8" s="1"/>
  <c r="E53" i="8"/>
  <c r="H59" i="8"/>
  <c r="H2012" i="26"/>
  <c r="E2006" i="26"/>
  <c r="G2006" i="26" s="1"/>
  <c r="H2476" i="26"/>
  <c r="E2472" i="26"/>
  <c r="G2472" i="26" s="1"/>
  <c r="E2604" i="11"/>
  <c r="G2604" i="11" s="1"/>
  <c r="H2609" i="11"/>
  <c r="E2605" i="11"/>
  <c r="G2605" i="11" s="1"/>
  <c r="H2605" i="11" s="1"/>
  <c r="E2724" i="11"/>
  <c r="G2724" i="11" s="1"/>
  <c r="E2725" i="11"/>
  <c r="G2725" i="11" s="1"/>
  <c r="H2725" i="11" s="1"/>
  <c r="H2729" i="11"/>
  <c r="E1315" i="26"/>
  <c r="G1315" i="26" s="1"/>
  <c r="H1315" i="26" s="1"/>
  <c r="E1316" i="26"/>
  <c r="G1316" i="26" s="1"/>
  <c r="H1320" i="26"/>
  <c r="H2112" i="26"/>
  <c r="E2108" i="26"/>
  <c r="G2108" i="26" s="1"/>
  <c r="H500" i="24"/>
  <c r="E494" i="24"/>
  <c r="G494" i="24" s="1"/>
  <c r="H259" i="16"/>
  <c r="E253" i="16"/>
  <c r="G253" i="16" s="1"/>
  <c r="E254" i="16"/>
  <c r="G254" i="16" s="1"/>
  <c r="H254" i="16" s="1"/>
  <c r="H1014" i="16"/>
  <c r="E1008" i="16"/>
  <c r="G1008" i="16" s="1"/>
  <c r="E1009" i="16"/>
  <c r="G1009" i="16" s="1"/>
  <c r="H1009" i="16" s="1"/>
  <c r="H1710" i="16"/>
  <c r="E1705" i="16"/>
  <c r="G1705" i="16" s="1"/>
  <c r="H1363" i="21"/>
  <c r="E1357" i="21"/>
  <c r="G1357" i="21" s="1"/>
  <c r="H1763" i="21"/>
  <c r="E1757" i="21"/>
  <c r="G1757" i="21" s="1"/>
  <c r="E970" i="13"/>
  <c r="G970" i="13" s="1"/>
  <c r="H970" i="13" s="1"/>
  <c r="H975" i="13"/>
  <c r="E969" i="13"/>
  <c r="G969" i="13" s="1"/>
  <c r="E971" i="13"/>
  <c r="G971" i="13" s="1"/>
  <c r="H971" i="13" s="1"/>
  <c r="E53" i="16"/>
  <c r="G53" i="16" s="1"/>
  <c r="H59" i="16"/>
  <c r="E33" i="16"/>
  <c r="H39" i="16"/>
  <c r="E733" i="30"/>
  <c r="G733" i="30" s="1"/>
  <c r="H739" i="30"/>
  <c r="E1418" i="32"/>
  <c r="G1418" i="32" s="1"/>
  <c r="H1423" i="32"/>
  <c r="E1238" i="15"/>
  <c r="G1238" i="15" s="1"/>
  <c r="H1244" i="15"/>
  <c r="E1660" i="15"/>
  <c r="G1660" i="15" s="1"/>
  <c r="H1666" i="15"/>
  <c r="E1380" i="15"/>
  <c r="G1380" i="15" s="1"/>
  <c r="H1386" i="15"/>
  <c r="G1414" i="8"/>
  <c r="H1415" i="8"/>
  <c r="H299" i="33"/>
  <c r="E295" i="33"/>
  <c r="G295" i="33" s="1"/>
  <c r="H295" i="33" s="1"/>
  <c r="E294" i="33"/>
  <c r="G294" i="33" s="1"/>
  <c r="H719" i="11"/>
  <c r="E714" i="11"/>
  <c r="G714" i="11" s="1"/>
  <c r="E715" i="11"/>
  <c r="G715" i="11" s="1"/>
  <c r="H715" i="11" s="1"/>
  <c r="G532" i="30"/>
  <c r="H534" i="30"/>
  <c r="H2287" i="8"/>
  <c r="E2281" i="8"/>
  <c r="G2281" i="8" s="1"/>
  <c r="E2282" i="8"/>
  <c r="G2282" i="8" s="1"/>
  <c r="H2282" i="8" s="1"/>
  <c r="H3112" i="26"/>
  <c r="E3107" i="26"/>
  <c r="G3107" i="26" s="1"/>
  <c r="H1500" i="11"/>
  <c r="E1496" i="11"/>
  <c r="G1496" i="11" s="1"/>
  <c r="E435" i="30"/>
  <c r="G435" i="30" s="1"/>
  <c r="H439" i="30"/>
  <c r="E334" i="33"/>
  <c r="G334" i="33" s="1"/>
  <c r="H339" i="33"/>
  <c r="H1750" i="16"/>
  <c r="E1745" i="16"/>
  <c r="G1745" i="16" s="1"/>
  <c r="H2010" i="16"/>
  <c r="E2004" i="16"/>
  <c r="G2004" i="16" s="1"/>
  <c r="E233" i="16"/>
  <c r="G233" i="16" s="1"/>
  <c r="E234" i="16"/>
  <c r="G234" i="16" s="1"/>
  <c r="H234" i="16" s="1"/>
  <c r="H239" i="16"/>
  <c r="E1964" i="16"/>
  <c r="G1964" i="16" s="1"/>
  <c r="H1970" i="16"/>
  <c r="E313" i="21"/>
  <c r="G313" i="21" s="1"/>
  <c r="H319" i="21"/>
  <c r="H480" i="24"/>
  <c r="E475" i="24"/>
  <c r="G475" i="24" s="1"/>
  <c r="G1134" i="8"/>
  <c r="H1135" i="8"/>
  <c r="E2743" i="8"/>
  <c r="G2743" i="8" s="1"/>
  <c r="H2743" i="8" s="1"/>
  <c r="E2742" i="8"/>
  <c r="G2742" i="8" s="1"/>
  <c r="H2748" i="8"/>
  <c r="E1195" i="8"/>
  <c r="G1195" i="8" s="1"/>
  <c r="E1196" i="8"/>
  <c r="G1196" i="8" s="1"/>
  <c r="H1196" i="8" s="1"/>
  <c r="E1197" i="8"/>
  <c r="G1197" i="8" s="1"/>
  <c r="H1197" i="8" s="1"/>
  <c r="H1201" i="8"/>
  <c r="H219" i="11"/>
  <c r="E213" i="11"/>
  <c r="G213" i="11" s="1"/>
  <c r="E214" i="11"/>
  <c r="G214" i="11" s="1"/>
  <c r="H214" i="11" s="1"/>
  <c r="E1293" i="26"/>
  <c r="G1293" i="26" s="1"/>
  <c r="E1294" i="26"/>
  <c r="G1294" i="26" s="1"/>
  <c r="H1294" i="26" s="1"/>
  <c r="H1298" i="26"/>
  <c r="H2608" i="26"/>
  <c r="E2604" i="26"/>
  <c r="G2604" i="26" s="1"/>
  <c r="H1439" i="11"/>
  <c r="E1434" i="11"/>
  <c r="G1434" i="11" s="1"/>
  <c r="H1434" i="11" s="1"/>
  <c r="E1433" i="11"/>
  <c r="G1433" i="11" s="1"/>
  <c r="H2483" i="11"/>
  <c r="E2479" i="11"/>
  <c r="G2479" i="11" s="1"/>
  <c r="E392" i="26"/>
  <c r="G392" i="26" s="1"/>
  <c r="H392" i="26" s="1"/>
  <c r="E391" i="26"/>
  <c r="G391" i="26" s="1"/>
  <c r="H396" i="26"/>
  <c r="E113" i="33"/>
  <c r="G113" i="33" s="1"/>
  <c r="H119" i="33"/>
  <c r="H1477" i="24"/>
  <c r="E1471" i="24"/>
  <c r="G1471" i="24" s="1"/>
  <c r="E1749" i="13"/>
  <c r="G1749" i="13" s="1"/>
  <c r="H1755" i="13"/>
  <c r="H780" i="24"/>
  <c r="E774" i="24"/>
  <c r="G774" i="24" s="1"/>
  <c r="H1370" i="16"/>
  <c r="E1365" i="16"/>
  <c r="G1365" i="16" s="1"/>
  <c r="H2095" i="13"/>
  <c r="E2089" i="13"/>
  <c r="G2089" i="13" s="1"/>
  <c r="E153" i="16"/>
  <c r="G153" i="16" s="1"/>
  <c r="H159" i="16"/>
  <c r="E253" i="21"/>
  <c r="G253" i="21" s="1"/>
  <c r="H259" i="21"/>
  <c r="G1592" i="30"/>
  <c r="H1594" i="30"/>
  <c r="E1057" i="32"/>
  <c r="G1057" i="32" s="1"/>
  <c r="H1063" i="32"/>
  <c r="E918" i="32"/>
  <c r="G918" i="32" s="1"/>
  <c r="H918" i="32" s="1"/>
  <c r="E917" i="32"/>
  <c r="G917" i="32" s="1"/>
  <c r="H923" i="32"/>
  <c r="H2056" i="15"/>
  <c r="E2050" i="15"/>
  <c r="G2050" i="15" s="1"/>
  <c r="E958" i="15"/>
  <c r="G958" i="15" s="1"/>
  <c r="H964" i="15"/>
  <c r="E959" i="15"/>
  <c r="G959" i="15" s="1"/>
  <c r="H959" i="15" s="1"/>
  <c r="E1198" i="15"/>
  <c r="G1198" i="15" s="1"/>
  <c r="H1204" i="15"/>
  <c r="E1560" i="15"/>
  <c r="G1560" i="15" s="1"/>
  <c r="H1566" i="15"/>
  <c r="E1895" i="8"/>
  <c r="G1895" i="8" s="1"/>
  <c r="E1896" i="8"/>
  <c r="G1896" i="8" s="1"/>
  <c r="H1896" i="8" s="1"/>
  <c r="H1901" i="8"/>
  <c r="H2262" i="8"/>
  <c r="G2260" i="8"/>
  <c r="H679" i="33"/>
  <c r="E675" i="33"/>
  <c r="G675" i="33" s="1"/>
  <c r="H675" i="33" s="1"/>
  <c r="E674" i="33"/>
  <c r="G674" i="33" s="1"/>
  <c r="E150" i="8"/>
  <c r="G150" i="8" s="1"/>
  <c r="H156" i="8"/>
  <c r="E151" i="8"/>
  <c r="G151" i="8" s="1"/>
  <c r="H151" i="8" s="1"/>
  <c r="E1423" i="26"/>
  <c r="G1423" i="26" s="1"/>
  <c r="H1428" i="26"/>
  <c r="E1424" i="26"/>
  <c r="G1424" i="26" s="1"/>
  <c r="H1424" i="26" s="1"/>
  <c r="H2410" i="26"/>
  <c r="E2406" i="26"/>
  <c r="G2406" i="26" s="1"/>
  <c r="H1563" i="11"/>
  <c r="E1559" i="11"/>
  <c r="G1559" i="11" s="1"/>
  <c r="E29" i="26"/>
  <c r="G29" i="26" s="1"/>
  <c r="H33" i="26"/>
  <c r="E475" i="30"/>
  <c r="G475" i="30" s="1"/>
  <c r="H475" i="30" s="1"/>
  <c r="H479" i="30"/>
  <c r="E53" i="33"/>
  <c r="G53" i="33" s="1"/>
  <c r="H59" i="33"/>
  <c r="E1633" i="30"/>
  <c r="G1633" i="30" s="1"/>
  <c r="H1639" i="30"/>
  <c r="E654" i="24"/>
  <c r="G654" i="24" s="1"/>
  <c r="H660" i="24"/>
  <c r="H1655" i="13"/>
  <c r="E1649" i="13"/>
  <c r="G1649" i="13" s="1"/>
  <c r="E453" i="21"/>
  <c r="G453" i="21" s="1"/>
  <c r="E454" i="21"/>
  <c r="G454" i="21" s="1"/>
  <c r="H454" i="21" s="1"/>
  <c r="H459" i="21"/>
  <c r="E237" i="13"/>
  <c r="G237" i="13" s="1"/>
  <c r="H237" i="13" s="1"/>
  <c r="E238" i="13"/>
  <c r="G238" i="13" s="1"/>
  <c r="H243" i="13"/>
  <c r="E373" i="30"/>
  <c r="G373" i="30" s="1"/>
  <c r="H379" i="30"/>
  <c r="H903" i="32"/>
  <c r="E897" i="32"/>
  <c r="G897" i="32" s="1"/>
  <c r="E898" i="32"/>
  <c r="G898" i="32" s="1"/>
  <c r="H898" i="32" s="1"/>
  <c r="H783" i="32"/>
  <c r="E777" i="32"/>
  <c r="G777" i="32" s="1"/>
  <c r="E153" i="32"/>
  <c r="G153" i="32" s="1"/>
  <c r="H159" i="32"/>
  <c r="E755" i="8"/>
  <c r="G755" i="8" s="1"/>
  <c r="H761" i="8"/>
  <c r="E1118" i="15"/>
  <c r="G1118" i="15" s="1"/>
  <c r="H1124" i="15"/>
  <c r="H1256" i="24"/>
  <c r="E1251" i="24"/>
  <c r="G1251" i="24" s="1"/>
  <c r="H550" i="8"/>
  <c r="G549" i="8"/>
  <c r="H1035" i="8"/>
  <c r="G1034" i="8"/>
  <c r="E471" i="26"/>
  <c r="G471" i="26" s="1"/>
  <c r="E472" i="26"/>
  <c r="G472" i="26" s="1"/>
  <c r="H472" i="26" s="1"/>
  <c r="H477" i="26"/>
  <c r="E1265" i="16"/>
  <c r="G1265" i="16" s="1"/>
  <c r="H1270" i="16"/>
  <c r="E754" i="11"/>
  <c r="G754" i="11" s="1"/>
  <c r="H759" i="11"/>
  <c r="E755" i="11"/>
  <c r="G755" i="11" s="1"/>
  <c r="H755" i="11" s="1"/>
  <c r="E190" i="8"/>
  <c r="G190" i="8" s="1"/>
  <c r="E191" i="8"/>
  <c r="G191" i="8" s="1"/>
  <c r="H191" i="8" s="1"/>
  <c r="H196" i="8"/>
  <c r="E397" i="13"/>
  <c r="G397" i="13" s="1"/>
  <c r="E398" i="13"/>
  <c r="G398" i="13" s="1"/>
  <c r="H398" i="13" s="1"/>
  <c r="H403" i="13"/>
  <c r="E399" i="13"/>
  <c r="G399" i="13" s="1"/>
  <c r="H399" i="13" s="1"/>
  <c r="E53" i="30"/>
  <c r="G53" i="30" s="1"/>
  <c r="H59" i="30"/>
  <c r="H619" i="33"/>
  <c r="E614" i="33"/>
  <c r="G614" i="33" s="1"/>
  <c r="H59" i="24"/>
  <c r="E54" i="24"/>
  <c r="G54" i="24" s="1"/>
  <c r="H1703" i="21"/>
  <c r="E1697" i="21"/>
  <c r="G1697" i="21" s="1"/>
  <c r="E1164" i="16"/>
  <c r="G1164" i="16" s="1"/>
  <c r="H1164" i="16" s="1"/>
  <c r="H1169" i="16"/>
  <c r="E1163" i="16"/>
  <c r="G1163" i="16" s="1"/>
  <c r="H1455" i="13"/>
  <c r="E1449" i="13"/>
  <c r="G1449" i="13" s="1"/>
  <c r="H1375" i="13"/>
  <c r="E1369" i="13"/>
  <c r="G1369" i="13" s="1"/>
  <c r="H2495" i="13"/>
  <c r="E2489" i="13"/>
  <c r="G2489" i="13" s="1"/>
  <c r="H79" i="32"/>
  <c r="E74" i="32"/>
  <c r="G74" i="32" s="1"/>
  <c r="H74" i="32" s="1"/>
  <c r="E75" i="32"/>
  <c r="G75" i="32" s="1"/>
  <c r="H75" i="32" s="1"/>
  <c r="E73" i="32"/>
  <c r="G73" i="32" s="1"/>
  <c r="E137" i="13"/>
  <c r="G137" i="13" s="1"/>
  <c r="H143" i="13"/>
  <c r="H1583" i="32"/>
  <c r="E1578" i="32"/>
  <c r="G1578" i="32" s="1"/>
  <c r="H1578" i="32" s="1"/>
  <c r="E1577" i="32"/>
  <c r="G1577" i="32" s="1"/>
  <c r="H663" i="32"/>
  <c r="E658" i="32"/>
  <c r="G658" i="32" s="1"/>
  <c r="H658" i="32" s="1"/>
  <c r="E657" i="32"/>
  <c r="G657" i="32" s="1"/>
  <c r="E798" i="15"/>
  <c r="G798" i="15" s="1"/>
  <c r="H804" i="15"/>
  <c r="E799" i="15"/>
  <c r="G799" i="15" s="1"/>
  <c r="H799" i="15" s="1"/>
  <c r="E998" i="15"/>
  <c r="G998" i="15" s="1"/>
  <c r="H1004" i="15"/>
  <c r="E999" i="15"/>
  <c r="G999" i="15" s="1"/>
  <c r="H999" i="15" s="1"/>
  <c r="E299" i="15"/>
  <c r="G299" i="15" s="1"/>
  <c r="H299" i="15" s="1"/>
  <c r="H304" i="15"/>
  <c r="E298" i="15"/>
  <c r="G298" i="15" s="1"/>
  <c r="H1074" i="33"/>
  <c r="G1072" i="33"/>
  <c r="H779" i="33"/>
  <c r="E773" i="33"/>
  <c r="G773" i="33" s="1"/>
  <c r="E774" i="33"/>
  <c r="G774" i="33" s="1"/>
  <c r="H774" i="33" s="1"/>
  <c r="H379" i="11"/>
  <c r="E374" i="11"/>
  <c r="G374" i="11" s="1"/>
  <c r="E375" i="11"/>
  <c r="G375" i="11" s="1"/>
  <c r="H375" i="11" s="1"/>
  <c r="E632" i="26"/>
  <c r="G632" i="26" s="1"/>
  <c r="E633" i="26"/>
  <c r="G633" i="26" s="1"/>
  <c r="H633" i="26" s="1"/>
  <c r="H637" i="26"/>
  <c r="E271" i="8"/>
  <c r="G271" i="8" s="1"/>
  <c r="H271" i="8" s="1"/>
  <c r="E270" i="8"/>
  <c r="G270" i="8" s="1"/>
  <c r="H276" i="8"/>
  <c r="E2252" i="26"/>
  <c r="G2252" i="26" s="1"/>
  <c r="H2256" i="26"/>
  <c r="H1645" i="11"/>
  <c r="E1640" i="11"/>
  <c r="G1640" i="11" s="1"/>
  <c r="E2962" i="11"/>
  <c r="G2962" i="11" s="1"/>
  <c r="H2967" i="11"/>
  <c r="E2963" i="11"/>
  <c r="G2963" i="11" s="1"/>
  <c r="H2963" i="11" s="1"/>
  <c r="H1214" i="33"/>
  <c r="G1212" i="33"/>
  <c r="E1352" i="24"/>
  <c r="G1352" i="24" s="1"/>
  <c r="H1357" i="24"/>
  <c r="H1935" i="13"/>
  <c r="E1929" i="13"/>
  <c r="G1929" i="13" s="1"/>
  <c r="E837" i="21"/>
  <c r="G837" i="21" s="1"/>
  <c r="H842" i="21"/>
  <c r="H1570" i="16"/>
  <c r="E1565" i="16"/>
  <c r="G1565" i="16" s="1"/>
  <c r="E1949" i="13"/>
  <c r="G1949" i="13" s="1"/>
  <c r="H1955" i="13"/>
  <c r="E1015" i="11"/>
  <c r="G1015" i="11" s="1"/>
  <c r="H1015" i="11" s="1"/>
  <c r="E1014" i="11"/>
  <c r="G1014" i="11" s="1"/>
  <c r="H1019" i="11"/>
  <c r="E858" i="32"/>
  <c r="G858" i="32" s="1"/>
  <c r="H858" i="32" s="1"/>
  <c r="H863" i="32"/>
  <c r="E857" i="32"/>
  <c r="G857" i="32" s="1"/>
  <c r="H463" i="32"/>
  <c r="E457" i="32"/>
  <c r="G457" i="32" s="1"/>
  <c r="E1946" i="15"/>
  <c r="G1946" i="15" s="1"/>
  <c r="H1952" i="15"/>
  <c r="E339" i="15"/>
  <c r="G339" i="15" s="1"/>
  <c r="H339" i="15" s="1"/>
  <c r="H344" i="15"/>
  <c r="E338" i="15"/>
  <c r="G338" i="15" s="1"/>
  <c r="E1780" i="15"/>
  <c r="G1780" i="15" s="1"/>
  <c r="H1786" i="15"/>
  <c r="H339" i="24"/>
  <c r="E335" i="24"/>
  <c r="G335" i="24" s="1"/>
  <c r="E410" i="8"/>
  <c r="G410" i="8" s="1"/>
  <c r="H416" i="8"/>
  <c r="H639" i="11"/>
  <c r="E634" i="11"/>
  <c r="G634" i="11" s="1"/>
  <c r="E635" i="11"/>
  <c r="G635" i="11" s="1"/>
  <c r="H635" i="11" s="1"/>
  <c r="H795" i="13"/>
  <c r="E791" i="13"/>
  <c r="G791" i="13" s="1"/>
  <c r="H791" i="13" s="1"/>
  <c r="E789" i="13"/>
  <c r="G789" i="13" s="1"/>
  <c r="E790" i="13"/>
  <c r="G790" i="13" s="1"/>
  <c r="H790" i="13" s="1"/>
  <c r="H1399" i="11"/>
  <c r="E1394" i="11"/>
  <c r="G1394" i="11" s="1"/>
  <c r="H1394" i="11" s="1"/>
  <c r="E1393" i="11"/>
  <c r="G1393" i="11" s="1"/>
  <c r="H1625" i="11"/>
  <c r="E1620" i="11"/>
  <c r="G1620" i="11" s="1"/>
  <c r="H94" i="30"/>
  <c r="G92" i="30"/>
  <c r="H92" i="30" s="1"/>
  <c r="E97" i="26"/>
  <c r="G97" i="26" s="1"/>
  <c r="H101" i="26"/>
  <c r="E2147" i="16"/>
  <c r="G2147" i="16" s="1"/>
  <c r="H2147" i="16" s="1"/>
  <c r="H2152" i="16"/>
  <c r="E2146" i="16"/>
  <c r="G2146" i="16" s="1"/>
  <c r="H1470" i="16"/>
  <c r="E1464" i="16"/>
  <c r="G1464" i="16" s="1"/>
  <c r="E1465" i="16"/>
  <c r="G1465" i="16" s="1"/>
  <c r="H1465" i="16" s="1"/>
  <c r="H1410" i="16"/>
  <c r="E1405" i="16"/>
  <c r="G1405" i="16" s="1"/>
  <c r="H1890" i="16"/>
  <c r="E1884" i="16"/>
  <c r="G1884" i="16" s="1"/>
  <c r="H1795" i="13"/>
  <c r="E1789" i="13"/>
  <c r="G1789" i="13" s="1"/>
  <c r="E1437" i="21"/>
  <c r="G1437" i="21" s="1"/>
  <c r="H1443" i="21"/>
  <c r="E2030" i="13"/>
  <c r="G2030" i="13" s="1"/>
  <c r="H2030" i="13" s="1"/>
  <c r="H2035" i="13"/>
  <c r="E2029" i="13"/>
  <c r="G2029" i="13" s="1"/>
  <c r="H1039" i="11"/>
  <c r="E1033" i="11"/>
  <c r="G1033" i="11" s="1"/>
  <c r="E1034" i="11"/>
  <c r="G1034" i="11" s="1"/>
  <c r="H1034" i="11" s="1"/>
  <c r="E93" i="21"/>
  <c r="G93" i="21" s="1"/>
  <c r="H99" i="21"/>
  <c r="E94" i="21"/>
  <c r="G94" i="21" s="1"/>
  <c r="H94" i="21" s="1"/>
  <c r="H519" i="21"/>
  <c r="E513" i="21"/>
  <c r="G513" i="21" s="1"/>
  <c r="E514" i="21"/>
  <c r="G514" i="21" s="1"/>
  <c r="H514" i="21" s="1"/>
  <c r="E1658" i="32"/>
  <c r="G1658" i="32" s="1"/>
  <c r="H1658" i="32" s="1"/>
  <c r="H1663" i="32"/>
  <c r="E1657" i="32"/>
  <c r="G1657" i="32" s="1"/>
  <c r="H723" i="32"/>
  <c r="E717" i="32"/>
  <c r="G717" i="32" s="1"/>
  <c r="H443" i="32"/>
  <c r="E437" i="32"/>
  <c r="G437" i="32" s="1"/>
  <c r="E1640" i="15"/>
  <c r="G1640" i="15" s="1"/>
  <c r="H1646" i="15"/>
  <c r="E1540" i="15"/>
  <c r="G1540" i="15" s="1"/>
  <c r="H1546" i="15"/>
  <c r="E539" i="15"/>
  <c r="G539" i="15" s="1"/>
  <c r="H539" i="15" s="1"/>
  <c r="H544" i="15"/>
  <c r="E538" i="15"/>
  <c r="G538" i="15" s="1"/>
  <c r="H2808" i="8"/>
  <c r="E2803" i="8"/>
  <c r="G2803" i="8" s="1"/>
  <c r="H2803" i="8" s="1"/>
  <c r="E2802" i="8"/>
  <c r="G2802" i="8" s="1"/>
  <c r="E511" i="26"/>
  <c r="G511" i="26" s="1"/>
  <c r="E512" i="26"/>
  <c r="G512" i="26" s="1"/>
  <c r="H512" i="26" s="1"/>
  <c r="H517" i="26"/>
  <c r="E1515" i="24"/>
  <c r="G1515" i="24" s="1"/>
  <c r="H1521" i="24"/>
  <c r="H499" i="11"/>
  <c r="E494" i="11"/>
  <c r="G494" i="11" s="1"/>
  <c r="E495" i="11"/>
  <c r="G495" i="11" s="1"/>
  <c r="H495" i="11" s="1"/>
  <c r="H815" i="13"/>
  <c r="E810" i="13"/>
  <c r="G810" i="13" s="1"/>
  <c r="H810" i="13" s="1"/>
  <c r="E809" i="13"/>
  <c r="G809" i="13" s="1"/>
  <c r="E811" i="13"/>
  <c r="G811" i="13" s="1"/>
  <c r="H811" i="13" s="1"/>
  <c r="H2589" i="11"/>
  <c r="E2584" i="11"/>
  <c r="G2584" i="11" s="1"/>
  <c r="E2585" i="11"/>
  <c r="G2585" i="11" s="1"/>
  <c r="H2585" i="11" s="1"/>
  <c r="E1613" i="30"/>
  <c r="G1613" i="30" s="1"/>
  <c r="H1619" i="30"/>
  <c r="G1272" i="30"/>
  <c r="H1273" i="30"/>
  <c r="H2890" i="26"/>
  <c r="E2884" i="26"/>
  <c r="G2884" i="26" s="1"/>
  <c r="H359" i="24"/>
  <c r="E354" i="24"/>
  <c r="G354" i="24" s="1"/>
  <c r="H2413" i="16"/>
  <c r="E2408" i="16"/>
  <c r="G2408" i="16" s="1"/>
  <c r="E1213" i="21"/>
  <c r="G1213" i="21" s="1"/>
  <c r="H1219" i="21"/>
  <c r="H2192" i="16"/>
  <c r="E2186" i="16"/>
  <c r="G2186" i="16" s="1"/>
  <c r="H611" i="16"/>
  <c r="E606" i="16"/>
  <c r="G606" i="16" s="1"/>
  <c r="H606" i="16" s="1"/>
  <c r="E605" i="16"/>
  <c r="G605" i="16" s="1"/>
  <c r="H1835" i="13"/>
  <c r="E1829" i="13"/>
  <c r="G1829" i="13" s="1"/>
  <c r="H999" i="11"/>
  <c r="E995" i="11"/>
  <c r="G995" i="11" s="1"/>
  <c r="H995" i="11" s="1"/>
  <c r="E994" i="11"/>
  <c r="G994" i="11" s="1"/>
  <c r="E1143" i="16"/>
  <c r="G1143" i="16" s="1"/>
  <c r="H1149" i="16"/>
  <c r="E1144" i="16"/>
  <c r="G1144" i="16" s="1"/>
  <c r="H1144" i="16" s="1"/>
  <c r="E1137" i="32"/>
  <c r="G1137" i="32" s="1"/>
  <c r="H1143" i="32"/>
  <c r="H423" i="32"/>
  <c r="E417" i="32"/>
  <c r="G417" i="32" s="1"/>
  <c r="E598" i="15"/>
  <c r="G598" i="15" s="1"/>
  <c r="H604" i="15"/>
  <c r="E1218" i="15"/>
  <c r="G1218" i="15" s="1"/>
  <c r="H1224" i="15"/>
  <c r="E298" i="32"/>
  <c r="G298" i="32" s="1"/>
  <c r="H303" i="32"/>
  <c r="H593" i="30"/>
  <c r="G592" i="30"/>
  <c r="H941" i="8"/>
  <c r="E935" i="8"/>
  <c r="G935" i="8" s="1"/>
  <c r="E937" i="8"/>
  <c r="G937" i="8" s="1"/>
  <c r="H937" i="8" s="1"/>
  <c r="E936" i="8"/>
  <c r="G936" i="8" s="1"/>
  <c r="H936" i="8" s="1"/>
  <c r="G1114" i="8"/>
  <c r="H1115" i="8"/>
  <c r="E654" i="11"/>
  <c r="G654" i="11" s="1"/>
  <c r="E655" i="11"/>
  <c r="G655" i="11" s="1"/>
  <c r="H655" i="11" s="1"/>
  <c r="H659" i="11"/>
  <c r="E455" i="30"/>
  <c r="G455" i="30" s="1"/>
  <c r="H455" i="30" s="1"/>
  <c r="H459" i="30"/>
  <c r="H1686" i="24"/>
  <c r="E1680" i="24"/>
  <c r="G1680" i="24" s="1"/>
  <c r="H419" i="24"/>
  <c r="E413" i="24"/>
  <c r="G413" i="24" s="1"/>
  <c r="H2352" i="16"/>
  <c r="E2346" i="16"/>
  <c r="G2346" i="16" s="1"/>
  <c r="E1537" i="21"/>
  <c r="G1537" i="21" s="1"/>
  <c r="H1543" i="21"/>
  <c r="H2135" i="13"/>
  <c r="E2129" i="13"/>
  <c r="G2129" i="13" s="1"/>
  <c r="H2155" i="13"/>
  <c r="E2149" i="13"/>
  <c r="G2149" i="13" s="1"/>
  <c r="H158" i="13"/>
  <c r="G156" i="13"/>
  <c r="G1814" i="8"/>
  <c r="H1815" i="8"/>
  <c r="E1545" i="26"/>
  <c r="G1545" i="26" s="1"/>
  <c r="E1546" i="26"/>
  <c r="G1546" i="26" s="1"/>
  <c r="H1546" i="26" s="1"/>
  <c r="H1551" i="26"/>
  <c r="E1225" i="16"/>
  <c r="G1225" i="16" s="1"/>
  <c r="H1230" i="16"/>
  <c r="E1777" i="8"/>
  <c r="G1777" i="8" s="1"/>
  <c r="H1777" i="8" s="1"/>
  <c r="E1775" i="8"/>
  <c r="G1775" i="8" s="1"/>
  <c r="E1776" i="8"/>
  <c r="G1776" i="8" s="1"/>
  <c r="H1776" i="8" s="1"/>
  <c r="H1781" i="8"/>
  <c r="E932" i="26"/>
  <c r="G932" i="26" s="1"/>
  <c r="H938" i="26"/>
  <c r="E933" i="26"/>
  <c r="G933" i="26" s="1"/>
  <c r="H933" i="26" s="1"/>
  <c r="H2520" i="26"/>
  <c r="E2516" i="26"/>
  <c r="G2516" i="26" s="1"/>
  <c r="H839" i="11"/>
  <c r="E835" i="11"/>
  <c r="G835" i="11" s="1"/>
  <c r="H2199" i="11"/>
  <c r="E2195" i="11"/>
  <c r="G2195" i="11" s="1"/>
  <c r="E197" i="32"/>
  <c r="G197" i="32" s="1"/>
  <c r="H197" i="32" s="1"/>
  <c r="H202" i="32"/>
  <c r="E196" i="32"/>
  <c r="G196" i="32" s="1"/>
  <c r="H941" i="24"/>
  <c r="H527" i="24"/>
  <c r="H567" i="24"/>
  <c r="H2259" i="16"/>
  <c r="H2179" i="16"/>
  <c r="H2299" i="16"/>
  <c r="H2600" i="16"/>
  <c r="H722" i="13"/>
  <c r="H430" i="13"/>
  <c r="H1002" i="13"/>
  <c r="H902" i="13"/>
  <c r="H842" i="13"/>
  <c r="H962" i="13"/>
  <c r="H250" i="13"/>
  <c r="H310" i="13"/>
  <c r="H290" i="13"/>
  <c r="H882" i="13"/>
  <c r="H350" i="13"/>
  <c r="H702" i="13"/>
  <c r="H390" i="13"/>
  <c r="H782" i="13"/>
  <c r="H682" i="13"/>
  <c r="H982" i="13"/>
  <c r="H1458" i="26"/>
  <c r="H230" i="13"/>
  <c r="H504" i="26"/>
  <c r="H802" i="13"/>
  <c r="H370" i="13"/>
  <c r="H762" i="13"/>
  <c r="H548" i="21"/>
  <c r="G546" i="21"/>
  <c r="H2265" i="16" l="1"/>
  <c r="G2257" i="16"/>
  <c r="E656" i="1" s="1"/>
  <c r="F656" i="1" s="1"/>
  <c r="I2257" i="16" s="1"/>
  <c r="G26" i="13"/>
  <c r="H26" i="13" s="1"/>
  <c r="E467" i="30"/>
  <c r="G467" i="30" s="1"/>
  <c r="E1571" i="11"/>
  <c r="G1571" i="11" s="1"/>
  <c r="H1550" i="11"/>
  <c r="G1549" i="11"/>
  <c r="H1549" i="11" s="1"/>
  <c r="G1591" i="11"/>
  <c r="H1591" i="11" s="1"/>
  <c r="H1592" i="11"/>
  <c r="H132" i="32"/>
  <c r="H124" i="32" s="1"/>
  <c r="G124" i="32"/>
  <c r="E1131" i="1" s="1"/>
  <c r="F1131" i="1" s="1"/>
  <c r="I124" i="32" s="1"/>
  <c r="H348" i="24"/>
  <c r="E2737" i="11"/>
  <c r="G2737" i="11" s="1"/>
  <c r="H2737" i="11" s="1"/>
  <c r="E747" i="11"/>
  <c r="G747" i="11" s="1"/>
  <c r="H747" i="11" s="1"/>
  <c r="E2955" i="11"/>
  <c r="G2955" i="11" s="1"/>
  <c r="E2000" i="26"/>
  <c r="G2000" i="26" s="1"/>
  <c r="E2250" i="11"/>
  <c r="G2250" i="11" s="1"/>
  <c r="H2250" i="11" s="1"/>
  <c r="E787" i="11"/>
  <c r="G787" i="11" s="1"/>
  <c r="H787" i="11" s="1"/>
  <c r="E2491" i="11"/>
  <c r="G2491" i="11" s="1"/>
  <c r="H2491" i="11" s="1"/>
  <c r="E545" i="26"/>
  <c r="G545" i="26" s="1"/>
  <c r="E2998" i="26"/>
  <c r="G2998" i="26" s="1"/>
  <c r="H2998" i="26" s="1"/>
  <c r="E767" i="11"/>
  <c r="G767" i="11" s="1"/>
  <c r="H767" i="11" s="1"/>
  <c r="E2468" i="11"/>
  <c r="G2468" i="11" s="1"/>
  <c r="H2468" i="11" s="1"/>
  <c r="E3018" i="26"/>
  <c r="G3018" i="26" s="1"/>
  <c r="H3018" i="26" s="1"/>
  <c r="E807" i="11"/>
  <c r="G807" i="11" s="1"/>
  <c r="H807" i="11" s="1"/>
  <c r="E2514" i="11"/>
  <c r="G2514" i="11" s="1"/>
  <c r="H2514" i="11" s="1"/>
  <c r="E547" i="11"/>
  <c r="G547" i="11" s="1"/>
  <c r="G546" i="11" s="1"/>
  <c r="E947" i="11"/>
  <c r="G947" i="11" s="1"/>
  <c r="E2757" i="11"/>
  <c r="G2757" i="11" s="1"/>
  <c r="E527" i="11"/>
  <c r="G527" i="11" s="1"/>
  <c r="E1207" i="11"/>
  <c r="G1207" i="11" s="1"/>
  <c r="E2717" i="11"/>
  <c r="G2717" i="11" s="1"/>
  <c r="H2717" i="11" s="1"/>
  <c r="E1620" i="26"/>
  <c r="G1620" i="26" s="1"/>
  <c r="E507" i="11"/>
  <c r="G507" i="11" s="1"/>
  <c r="H507" i="11" s="1"/>
  <c r="E1529" i="11"/>
  <c r="G1529" i="11" s="1"/>
  <c r="H1529" i="11" s="1"/>
  <c r="E384" i="26"/>
  <c r="E1347" i="11"/>
  <c r="G1347" i="11" s="1"/>
  <c r="E565" i="26"/>
  <c r="G565" i="26" s="1"/>
  <c r="E567" i="11"/>
  <c r="G567" i="11" s="1"/>
  <c r="E2374" i="26"/>
  <c r="G2374" i="26" s="1"/>
  <c r="H2374" i="26" s="1"/>
  <c r="E3101" i="26"/>
  <c r="G3101" i="26" s="1"/>
  <c r="G3099" i="26" s="1"/>
  <c r="E7" i="11"/>
  <c r="E1621" i="26"/>
  <c r="G1621" i="26" s="1"/>
  <c r="H1621" i="26" s="1"/>
  <c r="E269" i="30"/>
  <c r="G269" i="30" s="1"/>
  <c r="H269" i="30" s="1"/>
  <c r="E108" i="30"/>
  <c r="G108" i="30" s="1"/>
  <c r="H108" i="30" s="1"/>
  <c r="E1325" i="24"/>
  <c r="G1325" i="24" s="1"/>
  <c r="E890" i="21"/>
  <c r="G890" i="21" s="1"/>
  <c r="E328" i="11"/>
  <c r="G328" i="11" s="1"/>
  <c r="H328" i="11" s="1"/>
  <c r="E1168" i="11"/>
  <c r="G1168" i="11" s="1"/>
  <c r="H1168" i="11" s="1"/>
  <c r="E1999" i="11"/>
  <c r="G1999" i="11" s="1"/>
  <c r="H1999" i="11" s="1"/>
  <c r="E468" i="30"/>
  <c r="G468" i="30" s="1"/>
  <c r="H468" i="30" s="1"/>
  <c r="E968" i="30"/>
  <c r="G968" i="30" s="1"/>
  <c r="H968" i="30" s="1"/>
  <c r="E107" i="11"/>
  <c r="G107" i="11" s="1"/>
  <c r="H107" i="11" s="1"/>
  <c r="E27" i="11"/>
  <c r="G27" i="11" s="1"/>
  <c r="E688" i="30"/>
  <c r="G688" i="30" s="1"/>
  <c r="H688" i="30" s="1"/>
  <c r="E308" i="11"/>
  <c r="G308" i="11" s="1"/>
  <c r="H308" i="11" s="1"/>
  <c r="E1048" i="11"/>
  <c r="G1048" i="11" s="1"/>
  <c r="H1048" i="11" s="1"/>
  <c r="E2079" i="11"/>
  <c r="G2079" i="11" s="1"/>
  <c r="H2079" i="11" s="1"/>
  <c r="E2185" i="11"/>
  <c r="G2185" i="11" s="1"/>
  <c r="G2183" i="11" s="1"/>
  <c r="E2936" i="11"/>
  <c r="G2936" i="11" s="1"/>
  <c r="H2936" i="11" s="1"/>
  <c r="E948" i="30"/>
  <c r="G948" i="30" s="1"/>
  <c r="H948" i="30" s="1"/>
  <c r="E928" i="30"/>
  <c r="G928" i="30" s="1"/>
  <c r="H928" i="30" s="1"/>
  <c r="E47" i="11"/>
  <c r="G47" i="11" s="1"/>
  <c r="E228" i="33"/>
  <c r="G228" i="33" s="1"/>
  <c r="H228" i="33" s="1"/>
  <c r="E1390" i="24"/>
  <c r="G1390" i="24" s="1"/>
  <c r="H1390" i="24" s="1"/>
  <c r="E2059" i="11"/>
  <c r="G2059" i="11" s="1"/>
  <c r="H2059" i="11" s="1"/>
  <c r="E2598" i="11"/>
  <c r="G2598" i="11" s="1"/>
  <c r="H2598" i="11" s="1"/>
  <c r="E2658" i="11"/>
  <c r="G2658" i="11" s="1"/>
  <c r="H2658" i="11" s="1"/>
  <c r="E426" i="26"/>
  <c r="G426" i="26" s="1"/>
  <c r="H426" i="26" s="1"/>
  <c r="E228" i="30"/>
  <c r="G228" i="30" s="1"/>
  <c r="H228" i="30" s="1"/>
  <c r="E688" i="33"/>
  <c r="G688" i="33" s="1"/>
  <c r="H688" i="33" s="1"/>
  <c r="E2899" i="26"/>
  <c r="G2899" i="26" s="1"/>
  <c r="H2899" i="26" s="1"/>
  <c r="I2899" i="26" s="1"/>
  <c r="E1366" i="24"/>
  <c r="G1366" i="24" s="1"/>
  <c r="H1366" i="24" s="1"/>
  <c r="E1075" i="21"/>
  <c r="G1075" i="21" s="1"/>
  <c r="H1075" i="21" s="1"/>
  <c r="E1208" i="11"/>
  <c r="G1208" i="11" s="1"/>
  <c r="H1208" i="11" s="1"/>
  <c r="E2758" i="11"/>
  <c r="G2758" i="11" s="1"/>
  <c r="H2758" i="11" s="1"/>
  <c r="E446" i="26"/>
  <c r="G446" i="26" s="1"/>
  <c r="H446" i="26" s="1"/>
  <c r="E194" i="32"/>
  <c r="G194" i="32" s="1"/>
  <c r="H194" i="32" s="1"/>
  <c r="E127" i="30"/>
  <c r="G127" i="30" s="1"/>
  <c r="E466" i="26"/>
  <c r="G466" i="26" s="1"/>
  <c r="H466" i="26" s="1"/>
  <c r="E68" i="30"/>
  <c r="G68" i="30" s="1"/>
  <c r="H68" i="30" s="1"/>
  <c r="E1288" i="11"/>
  <c r="G1288" i="11" s="1"/>
  <c r="H1288" i="11" s="1"/>
  <c r="E2739" i="26"/>
  <c r="G2739" i="26" s="1"/>
  <c r="H2739" i="26" s="1"/>
  <c r="E1055" i="21"/>
  <c r="G1055" i="21" s="1"/>
  <c r="E2251" i="11"/>
  <c r="G2251" i="11" s="1"/>
  <c r="E728" i="33"/>
  <c r="G728" i="33" s="1"/>
  <c r="H728" i="33" s="1"/>
  <c r="E127" i="11"/>
  <c r="G127" i="11" s="1"/>
  <c r="H127" i="11" s="1"/>
  <c r="E1295" i="15"/>
  <c r="G1295" i="15" s="1"/>
  <c r="H1295" i="15" s="1"/>
  <c r="E1108" i="11"/>
  <c r="G1108" i="11" s="1"/>
  <c r="H1108" i="11" s="1"/>
  <c r="E1308" i="11"/>
  <c r="G1308" i="11" s="1"/>
  <c r="H1308" i="11" s="1"/>
  <c r="E2231" i="11"/>
  <c r="G2231" i="11" s="1"/>
  <c r="H2231" i="11" s="1"/>
  <c r="E2618" i="11"/>
  <c r="G2618" i="11" s="1"/>
  <c r="H2618" i="11" s="1"/>
  <c r="E1049" i="30"/>
  <c r="G1049" i="30" s="1"/>
  <c r="H1049" i="30" s="1"/>
  <c r="E568" i="33"/>
  <c r="G568" i="33" s="1"/>
  <c r="E1920" i="26"/>
  <c r="G1920" i="26" s="1"/>
  <c r="E827" i="21"/>
  <c r="E1307" i="21"/>
  <c r="G1307" i="21" s="1"/>
  <c r="H1307" i="21" s="1"/>
  <c r="E67" i="11"/>
  <c r="G67" i="11" s="1"/>
  <c r="H67" i="11" s="1"/>
  <c r="E2678" i="11"/>
  <c r="G2678" i="11" s="1"/>
  <c r="H2678" i="11" s="1"/>
  <c r="E309" i="30"/>
  <c r="G309" i="30" s="1"/>
  <c r="H309" i="30" s="1"/>
  <c r="E328" i="30"/>
  <c r="G328" i="30" s="1"/>
  <c r="H328" i="30" s="1"/>
  <c r="E448" i="30"/>
  <c r="G448" i="30" s="1"/>
  <c r="H448" i="30" s="1"/>
  <c r="E668" i="30"/>
  <c r="G668" i="30" s="1"/>
  <c r="H668" i="30" s="1"/>
  <c r="E1184" i="21"/>
  <c r="G1184" i="21" s="1"/>
  <c r="E1351" i="21"/>
  <c r="G1351" i="21" s="1"/>
  <c r="H1351" i="21" s="1"/>
  <c r="E908" i="30"/>
  <c r="G908" i="30" s="1"/>
  <c r="H908" i="30" s="1"/>
  <c r="E1148" i="11"/>
  <c r="G1148" i="11" s="1"/>
  <c r="H1148" i="11" s="1"/>
  <c r="E2099" i="11"/>
  <c r="G2099" i="11" s="1"/>
  <c r="H2099" i="11" s="1"/>
  <c r="E147" i="11"/>
  <c r="G147" i="11" s="1"/>
  <c r="E213" i="32"/>
  <c r="G213" i="32" s="1"/>
  <c r="H213" i="32" s="1"/>
  <c r="Q10" i="4"/>
  <c r="Q59" i="5"/>
  <c r="H14" i="36"/>
  <c r="Q57" i="3" s="1"/>
  <c r="Q91" i="3" s="1"/>
  <c r="G12" i="36"/>
  <c r="E87" i="11"/>
  <c r="G87" i="11" s="1"/>
  <c r="E1028" i="11"/>
  <c r="G1028" i="11" s="1"/>
  <c r="H1028" i="11" s="1"/>
  <c r="E2638" i="11"/>
  <c r="G2638" i="11" s="1"/>
  <c r="H2638" i="11" s="1"/>
  <c r="E1601" i="26"/>
  <c r="G1601" i="26" s="1"/>
  <c r="H1601" i="26" s="1"/>
  <c r="E1248" i="11"/>
  <c r="G1248" i="11" s="1"/>
  <c r="H1248" i="11" s="1"/>
  <c r="E1068" i="30"/>
  <c r="G1068" i="30" s="1"/>
  <c r="H1068" i="30" s="1"/>
  <c r="E912" i="21"/>
  <c r="G912" i="21" s="1"/>
  <c r="E988" i="30"/>
  <c r="G988" i="30" s="1"/>
  <c r="H988" i="30" s="1"/>
  <c r="E2640" i="26"/>
  <c r="G2640" i="26" s="1"/>
  <c r="H2640" i="26" s="1"/>
  <c r="E87" i="30"/>
  <c r="G87" i="30" s="1"/>
  <c r="E1940" i="26"/>
  <c r="G1940" i="26" s="1"/>
  <c r="E2119" i="11"/>
  <c r="G2119" i="11" s="1"/>
  <c r="H2119" i="11" s="1"/>
  <c r="E1274" i="15"/>
  <c r="E1161" i="21"/>
  <c r="G1161" i="21" s="1"/>
  <c r="E2916" i="11"/>
  <c r="G2916" i="11" s="1"/>
  <c r="H2916" i="11" s="1"/>
  <c r="E1440" i="24"/>
  <c r="G1440" i="24" s="1"/>
  <c r="H1440" i="24" s="1"/>
  <c r="E2039" i="11"/>
  <c r="G2039" i="11" s="1"/>
  <c r="H2039" i="11" s="1"/>
  <c r="E1608" i="30"/>
  <c r="G1608" i="30" s="1"/>
  <c r="H1608" i="30" s="1"/>
  <c r="E1128" i="11"/>
  <c r="G1128" i="11" s="1"/>
  <c r="H1128" i="11" s="1"/>
  <c r="E648" i="30"/>
  <c r="G648" i="30" s="1"/>
  <c r="H648" i="30" s="1"/>
  <c r="E1416" i="24"/>
  <c r="G1416" i="24" s="1"/>
  <c r="H1416" i="24" s="1"/>
  <c r="E2718" i="11"/>
  <c r="G2718" i="11" s="1"/>
  <c r="H2718" i="11" s="1"/>
  <c r="E2698" i="11"/>
  <c r="G2698" i="11" s="1"/>
  <c r="H2698" i="11" s="1"/>
  <c r="E2019" i="11"/>
  <c r="G2019" i="11" s="1"/>
  <c r="H2019" i="11" s="1"/>
  <c r="E289" i="30"/>
  <c r="G289" i="30" s="1"/>
  <c r="H289" i="30" s="1"/>
  <c r="E2001" i="26"/>
  <c r="G2001" i="26" s="1"/>
  <c r="H2001" i="26" s="1"/>
  <c r="E2738" i="11"/>
  <c r="G2738" i="11" s="1"/>
  <c r="E428" i="30"/>
  <c r="G428" i="30" s="1"/>
  <c r="H428" i="30" s="1"/>
  <c r="E1268" i="11"/>
  <c r="G1268" i="11" s="1"/>
  <c r="H1268" i="11" s="1"/>
  <c r="E567" i="30"/>
  <c r="G567" i="30" s="1"/>
  <c r="H567" i="30" s="1"/>
  <c r="E1138" i="21"/>
  <c r="G1138" i="21" s="1"/>
  <c r="E405" i="26"/>
  <c r="G405" i="26" s="1"/>
  <c r="H405" i="26" s="1"/>
  <c r="E248" i="33"/>
  <c r="G248" i="33" s="1"/>
  <c r="H248" i="33" s="1"/>
  <c r="E2162" i="11"/>
  <c r="G2162" i="11" s="1"/>
  <c r="H2162" i="11" s="1"/>
  <c r="E507" i="33"/>
  <c r="G507" i="33" s="1"/>
  <c r="H507" i="33" s="1"/>
  <c r="E2139" i="11"/>
  <c r="G2139" i="11" s="1"/>
  <c r="H2139" i="11" s="1"/>
  <c r="E1029" i="30"/>
  <c r="G1029" i="30" s="1"/>
  <c r="H1029" i="30" s="1"/>
  <c r="E1188" i="11"/>
  <c r="G1188" i="11" s="1"/>
  <c r="H1188" i="11" s="1"/>
  <c r="E628" i="30"/>
  <c r="G628" i="30" s="1"/>
  <c r="H628" i="30" s="1"/>
  <c r="K2117" i="26"/>
  <c r="E187" i="30"/>
  <c r="G187" i="30" s="1"/>
  <c r="E967" i="30"/>
  <c r="G967" i="30" s="1"/>
  <c r="E2869" i="11"/>
  <c r="G2869" i="11" s="1"/>
  <c r="H2869" i="11" s="1"/>
  <c r="E2230" i="11"/>
  <c r="G2230" i="11" s="1"/>
  <c r="H2230" i="11" s="1"/>
  <c r="E2399" i="11"/>
  <c r="G2399" i="11" s="1"/>
  <c r="H2399" i="11" s="1"/>
  <c r="E727" i="11"/>
  <c r="G727" i="11" s="1"/>
  <c r="H727" i="11" s="1"/>
  <c r="E687" i="11"/>
  <c r="G687" i="11" s="1"/>
  <c r="H687" i="11" s="1"/>
  <c r="J1804" i="30"/>
  <c r="J1797" i="26"/>
  <c r="J284" i="11"/>
  <c r="E927" i="30"/>
  <c r="G927" i="30" s="1"/>
  <c r="J1697" i="26"/>
  <c r="E2422" i="11"/>
  <c r="G2422" i="11" s="1"/>
  <c r="H2422" i="11" s="1"/>
  <c r="E2978" i="26"/>
  <c r="G2978" i="26" s="1"/>
  <c r="H2978" i="26" s="1"/>
  <c r="E987" i="11"/>
  <c r="G987" i="11" s="1"/>
  <c r="E667" i="11"/>
  <c r="G667" i="11" s="1"/>
  <c r="H667" i="11" s="1"/>
  <c r="E207" i="30"/>
  <c r="G207" i="30" s="1"/>
  <c r="G206" i="30" s="1"/>
  <c r="E2677" i="11"/>
  <c r="G2677" i="11" s="1"/>
  <c r="E947" i="30"/>
  <c r="G947" i="30" s="1"/>
  <c r="E1508" i="11"/>
  <c r="G1508" i="11" s="1"/>
  <c r="E427" i="11"/>
  <c r="G427" i="11" s="1"/>
  <c r="H427" i="11" s="1"/>
  <c r="E707" i="11"/>
  <c r="G707" i="11" s="1"/>
  <c r="H707" i="11" s="1"/>
  <c r="E2330" i="26"/>
  <c r="G2330" i="26" s="1"/>
  <c r="H2330" i="26" s="1"/>
  <c r="E447" i="11"/>
  <c r="G447" i="11" s="1"/>
  <c r="E7" i="30"/>
  <c r="E987" i="30"/>
  <c r="G987" i="30" s="1"/>
  <c r="H987" i="30" s="1"/>
  <c r="E167" i="30"/>
  <c r="G167" i="30" s="1"/>
  <c r="E2935" i="11"/>
  <c r="G2935" i="11" s="1"/>
  <c r="H2935" i="11" s="1"/>
  <c r="E927" i="11"/>
  <c r="G927" i="11" s="1"/>
  <c r="E27" i="30"/>
  <c r="G27" i="30" s="1"/>
  <c r="E447" i="30"/>
  <c r="G447" i="30" s="1"/>
  <c r="E2892" i="11"/>
  <c r="G2892" i="11" s="1"/>
  <c r="H2892" i="11" s="1"/>
  <c r="E467" i="11"/>
  <c r="G467" i="11" s="1"/>
  <c r="G466" i="11" s="1"/>
  <c r="K1804" i="30"/>
  <c r="J1717" i="26"/>
  <c r="E427" i="30"/>
  <c r="G427" i="30" s="1"/>
  <c r="H427" i="30" s="1"/>
  <c r="E2657" i="11"/>
  <c r="G2657" i="11" s="1"/>
  <c r="H2657" i="11" s="1"/>
  <c r="E487" i="11"/>
  <c r="G487" i="11" s="1"/>
  <c r="H487" i="11" s="1"/>
  <c r="E2445" i="11"/>
  <c r="G2445" i="11" s="1"/>
  <c r="H2445" i="11" s="1"/>
  <c r="E47" i="30"/>
  <c r="G47" i="30" s="1"/>
  <c r="E1007" i="11"/>
  <c r="G1007" i="11" s="1"/>
  <c r="G1006" i="11" s="1"/>
  <c r="J1737" i="26"/>
  <c r="J1657" i="26"/>
  <c r="E2846" i="11"/>
  <c r="G2846" i="11" s="1"/>
  <c r="H2846" i="11" s="1"/>
  <c r="E2958" i="26"/>
  <c r="G2958" i="26" s="1"/>
  <c r="H2958" i="26" s="1"/>
  <c r="E2697" i="11"/>
  <c r="G2697" i="11" s="1"/>
  <c r="K1637" i="26"/>
  <c r="K1737" i="26"/>
  <c r="J1677" i="26"/>
  <c r="K1657" i="26"/>
  <c r="H2195" i="11"/>
  <c r="G2189" i="11"/>
  <c r="H2189" i="11" s="1"/>
  <c r="H1114" i="8"/>
  <c r="H1106" i="8" s="1"/>
  <c r="G1106" i="8"/>
  <c r="E61" i="1" s="1"/>
  <c r="F61" i="1" s="1"/>
  <c r="I1106" i="8" s="1"/>
  <c r="H1789" i="13"/>
  <c r="G1788" i="13"/>
  <c r="G136" i="13"/>
  <c r="H136" i="13" s="1"/>
  <c r="H137" i="13"/>
  <c r="G152" i="32"/>
  <c r="H153" i="32"/>
  <c r="G1379" i="15"/>
  <c r="H1380" i="15"/>
  <c r="G812" i="33"/>
  <c r="H812" i="33" s="1"/>
  <c r="H813" i="33"/>
  <c r="H173" i="21"/>
  <c r="G172" i="21"/>
  <c r="G129" i="8"/>
  <c r="H129" i="8" s="1"/>
  <c r="H130" i="8"/>
  <c r="G977" i="15"/>
  <c r="H978" i="15"/>
  <c r="H1254" i="33"/>
  <c r="G1252" i="33"/>
  <c r="G672" i="30"/>
  <c r="H672" i="30" s="1"/>
  <c r="H673" i="30"/>
  <c r="G2608" i="13"/>
  <c r="H2609" i="13"/>
  <c r="H1207" i="11"/>
  <c r="H1957" i="30"/>
  <c r="G1954" i="30"/>
  <c r="H273" i="16"/>
  <c r="G272" i="16"/>
  <c r="H1009" i="24"/>
  <c r="G1007" i="24"/>
  <c r="G1508" i="13"/>
  <c r="H1509" i="13"/>
  <c r="H714" i="24"/>
  <c r="G713" i="24"/>
  <c r="H2317" i="11"/>
  <c r="G2315" i="11"/>
  <c r="H2121" i="8"/>
  <c r="G2120" i="8"/>
  <c r="H1138" i="15"/>
  <c r="G1137" i="15"/>
  <c r="G516" i="32"/>
  <c r="H517" i="32"/>
  <c r="G992" i="33"/>
  <c r="H993" i="33"/>
  <c r="H38" i="15"/>
  <c r="G37" i="15"/>
  <c r="H233" i="24"/>
  <c r="G232" i="24"/>
  <c r="H1373" i="11"/>
  <c r="G1372" i="11"/>
  <c r="H2257" i="16"/>
  <c r="H1829" i="13"/>
  <c r="G1828" i="13"/>
  <c r="H1213" i="21"/>
  <c r="G1212" i="21"/>
  <c r="H1272" i="30"/>
  <c r="H1264" i="30" s="1"/>
  <c r="G1264" i="30"/>
  <c r="E1077" i="1" s="1"/>
  <c r="F1077" i="1" s="1"/>
  <c r="I1264" i="30" s="1"/>
  <c r="H1657" i="32"/>
  <c r="G1656" i="32"/>
  <c r="H93" i="21"/>
  <c r="G92" i="21"/>
  <c r="G1436" i="21"/>
  <c r="H1437" i="21"/>
  <c r="H1464" i="16"/>
  <c r="G1463" i="16"/>
  <c r="G456" i="32"/>
  <c r="H457" i="32"/>
  <c r="H632" i="26"/>
  <c r="G630" i="26"/>
  <c r="G1368" i="13"/>
  <c r="H1369" i="13"/>
  <c r="H754" i="11"/>
  <c r="G752" i="11"/>
  <c r="H752" i="11" s="1"/>
  <c r="H549" i="8"/>
  <c r="H541" i="8" s="1"/>
  <c r="G541" i="8"/>
  <c r="E32" i="1" s="1"/>
  <c r="F32" i="1" s="1"/>
  <c r="I541" i="8" s="1"/>
  <c r="G372" i="30"/>
  <c r="H373" i="30"/>
  <c r="H2260" i="8"/>
  <c r="H2252" i="8" s="1"/>
  <c r="G2252" i="8"/>
  <c r="E119" i="1" s="1"/>
  <c r="F119" i="1" s="1"/>
  <c r="I2252" i="8" s="1"/>
  <c r="G1197" i="15"/>
  <c r="H1198" i="15"/>
  <c r="G152" i="16"/>
  <c r="H153" i="16"/>
  <c r="H1749" i="13"/>
  <c r="G1748" i="13"/>
  <c r="H2479" i="11"/>
  <c r="G2473" i="11"/>
  <c r="H2473" i="11" s="1"/>
  <c r="H1195" i="8"/>
  <c r="G1194" i="8"/>
  <c r="G2105" i="26"/>
  <c r="H2108" i="26"/>
  <c r="G53" i="8"/>
  <c r="G144" i="24"/>
  <c r="E780" i="1" s="1"/>
  <c r="F780" i="1" s="1"/>
  <c r="I144" i="24" s="1"/>
  <c r="H152" i="24"/>
  <c r="H144" i="24" s="1"/>
  <c r="G2008" i="13"/>
  <c r="H2009" i="13"/>
  <c r="G1088" i="13"/>
  <c r="H1089" i="13"/>
  <c r="H2085" i="26"/>
  <c r="H2077" i="26" s="1"/>
  <c r="G2077" i="26"/>
  <c r="E962" i="1" s="1"/>
  <c r="F962" i="1" s="1"/>
  <c r="I2077" i="26" s="1"/>
  <c r="H2541" i="8"/>
  <c r="H2533" i="8" s="1"/>
  <c r="G2533" i="8"/>
  <c r="E133" i="1" s="1"/>
  <c r="F133" i="1" s="1"/>
  <c r="I2533" i="8" s="1"/>
  <c r="H1514" i="8"/>
  <c r="H1506" i="8" s="1"/>
  <c r="G1506" i="8"/>
  <c r="E81" i="1" s="1"/>
  <c r="F81" i="1" s="1"/>
  <c r="I1506" i="8" s="1"/>
  <c r="H688" i="16"/>
  <c r="G687" i="16"/>
  <c r="H1586" i="26"/>
  <c r="G1585" i="26"/>
  <c r="H1192" i="26"/>
  <c r="G1191" i="26"/>
  <c r="H2096" i="30"/>
  <c r="G2095" i="30"/>
  <c r="G1254" i="8"/>
  <c r="H1256" i="8"/>
  <c r="H1109" i="13"/>
  <c r="G1108" i="13"/>
  <c r="H2384" i="26"/>
  <c r="G2379" i="26"/>
  <c r="H2379" i="26" s="1"/>
  <c r="G13" i="32"/>
  <c r="G533" i="24"/>
  <c r="H534" i="24"/>
  <c r="H1907" i="26"/>
  <c r="G1905" i="26"/>
  <c r="H491" i="26"/>
  <c r="G490" i="26"/>
  <c r="H490" i="26" s="1"/>
  <c r="G1619" i="15"/>
  <c r="H1620" i="15"/>
  <c r="H1627" i="26"/>
  <c r="G1625" i="26"/>
  <c r="H1625" i="26" s="1"/>
  <c r="G1608" i="13"/>
  <c r="H1609" i="13"/>
  <c r="H977" i="8"/>
  <c r="G974" i="8"/>
  <c r="H1273" i="26"/>
  <c r="G1271" i="26"/>
  <c r="G1150" i="24"/>
  <c r="H1153" i="24"/>
  <c r="H2010" i="15"/>
  <c r="G2009" i="15"/>
  <c r="H1725" i="16"/>
  <c r="G1723" i="16"/>
  <c r="H1191" i="24"/>
  <c r="G1190" i="24"/>
  <c r="H1334" i="11"/>
  <c r="G1332" i="11"/>
  <c r="H1300" i="15"/>
  <c r="G1299" i="15"/>
  <c r="H1299" i="15" s="1"/>
  <c r="H2342" i="8"/>
  <c r="G2340" i="8"/>
  <c r="H878" i="15"/>
  <c r="G877" i="15"/>
  <c r="H529" i="13"/>
  <c r="G528" i="13"/>
  <c r="G907" i="24"/>
  <c r="H909" i="24"/>
  <c r="H434" i="11"/>
  <c r="G432" i="11"/>
  <c r="H432" i="11" s="1"/>
  <c r="H1172" i="33"/>
  <c r="H1164" i="33" s="1"/>
  <c r="G1164" i="33"/>
  <c r="E1269" i="1" s="1"/>
  <c r="F1269" i="1" s="1"/>
  <c r="I1164" i="33" s="1"/>
  <c r="G756" i="32"/>
  <c r="H757" i="32"/>
  <c r="G814" i="8"/>
  <c r="H814" i="8" s="1"/>
  <c r="H815" i="8"/>
  <c r="H2296" i="26"/>
  <c r="G2291" i="26"/>
  <c r="H2291" i="26" s="1"/>
  <c r="H289" i="8"/>
  <c r="H281" i="8" s="1"/>
  <c r="G281" i="8"/>
  <c r="E19" i="1" s="1"/>
  <c r="F19" i="1" s="1"/>
  <c r="I281" i="8" s="1"/>
  <c r="G172" i="16"/>
  <c r="H173" i="16"/>
  <c r="H2125" i="11"/>
  <c r="G2123" i="11"/>
  <c r="H2123" i="11" s="1"/>
  <c r="H438" i="15"/>
  <c r="G437" i="15"/>
  <c r="H1374" i="8"/>
  <c r="H1366" i="8" s="1"/>
  <c r="G1366" i="8"/>
  <c r="E74" i="1" s="1"/>
  <c r="F74" i="1" s="1"/>
  <c r="I1366" i="8" s="1"/>
  <c r="H2309" i="13"/>
  <c r="G2308" i="13"/>
  <c r="H309" i="8"/>
  <c r="H301" i="8" s="1"/>
  <c r="G301" i="8"/>
  <c r="E20" i="1" s="1"/>
  <c r="F20" i="1" s="1"/>
  <c r="I301" i="8" s="1"/>
  <c r="H1453" i="11"/>
  <c r="G1452" i="11"/>
  <c r="K1697" i="26"/>
  <c r="H648" i="16"/>
  <c r="G647" i="16"/>
  <c r="G2954" i="11"/>
  <c r="H2955" i="11"/>
  <c r="H1572" i="30"/>
  <c r="H1564" i="30" s="1"/>
  <c r="G1564" i="30"/>
  <c r="E1092" i="1" s="1"/>
  <c r="F1092" i="1" s="1"/>
  <c r="I1564" i="30" s="1"/>
  <c r="H2366" i="16"/>
  <c r="G2365" i="16"/>
  <c r="H711" i="26"/>
  <c r="H703" i="26" s="1"/>
  <c r="G703" i="26"/>
  <c r="E892" i="1" s="1"/>
  <c r="F892" i="1" s="1"/>
  <c r="I703" i="26" s="1"/>
  <c r="G572" i="30"/>
  <c r="H572" i="30" s="1"/>
  <c r="H573" i="30"/>
  <c r="H1354" i="11"/>
  <c r="G1352" i="11"/>
  <c r="H1352" i="11" s="1"/>
  <c r="H238" i="15"/>
  <c r="G237" i="15"/>
  <c r="H733" i="33"/>
  <c r="G732" i="33"/>
  <c r="H732" i="33" s="1"/>
  <c r="G1436" i="32"/>
  <c r="H1438" i="32"/>
  <c r="H1073" i="11"/>
  <c r="G1072" i="11"/>
  <c r="H1072" i="11" s="1"/>
  <c r="G1288" i="13"/>
  <c r="H1289" i="13"/>
  <c r="H729" i="13"/>
  <c r="G728" i="13"/>
  <c r="G572" i="33"/>
  <c r="H572" i="33" s="1"/>
  <c r="H575" i="33"/>
  <c r="G696" i="32"/>
  <c r="H697" i="32"/>
  <c r="G972" i="30"/>
  <c r="H972" i="30" s="1"/>
  <c r="H973" i="30"/>
  <c r="G1839" i="15"/>
  <c r="H1840" i="15"/>
  <c r="G13" i="21"/>
  <c r="H594" i="24"/>
  <c r="G593" i="24"/>
  <c r="H118" i="15"/>
  <c r="G117" i="15"/>
  <c r="G1076" i="32"/>
  <c r="H1077" i="32"/>
  <c r="G1476" i="21"/>
  <c r="H1477" i="21"/>
  <c r="G1209" i="24"/>
  <c r="H1210" i="24"/>
  <c r="H1494" i="8"/>
  <c r="H1486" i="8" s="1"/>
  <c r="G1486" i="8"/>
  <c r="E80" i="1" s="1"/>
  <c r="F80" i="1" s="1"/>
  <c r="I1486" i="8" s="1"/>
  <c r="G1868" i="13"/>
  <c r="H1869" i="13"/>
  <c r="E425" i="26"/>
  <c r="G425" i="26" s="1"/>
  <c r="E485" i="26"/>
  <c r="G485" i="26" s="1"/>
  <c r="G768" i="13"/>
  <c r="H769" i="13"/>
  <c r="H2582" i="8"/>
  <c r="G2581" i="8"/>
  <c r="H78" i="15"/>
  <c r="G77" i="15"/>
  <c r="G1376" i="32"/>
  <c r="H1378" i="32"/>
  <c r="H552" i="30"/>
  <c r="H544" i="30" s="1"/>
  <c r="G544" i="30"/>
  <c r="E1041" i="1" s="1"/>
  <c r="F1041" i="1" s="1"/>
  <c r="I544" i="30" s="1"/>
  <c r="H869" i="13"/>
  <c r="G868" i="13"/>
  <c r="G872" i="33"/>
  <c r="H872" i="33" s="1"/>
  <c r="H873" i="33"/>
  <c r="H2456" i="11"/>
  <c r="G2450" i="11"/>
  <c r="H2450" i="11" s="1"/>
  <c r="G820" i="24"/>
  <c r="H822" i="24"/>
  <c r="H849" i="13"/>
  <c r="G848" i="13"/>
  <c r="H1112" i="30"/>
  <c r="H1104" i="30" s="1"/>
  <c r="G1104" i="30"/>
  <c r="E1069" i="1" s="1"/>
  <c r="F1069" i="1" s="1"/>
  <c r="I1104" i="30" s="1"/>
  <c r="H506" i="13"/>
  <c r="G505" i="13"/>
  <c r="G1452" i="30"/>
  <c r="H1453" i="30"/>
  <c r="H373" i="16"/>
  <c r="G372" i="16"/>
  <c r="G1492" i="24"/>
  <c r="H1492" i="24" s="1"/>
  <c r="H1493" i="24"/>
  <c r="H478" i="15"/>
  <c r="G477" i="15"/>
  <c r="G32" i="32"/>
  <c r="H33" i="32"/>
  <c r="H351" i="26"/>
  <c r="G348" i="26"/>
  <c r="G677" i="15"/>
  <c r="H678" i="15"/>
  <c r="H1484" i="16"/>
  <c r="G1483" i="16"/>
  <c r="H1996" i="30"/>
  <c r="G1995" i="30"/>
  <c r="H329" i="8"/>
  <c r="H321" i="8" s="1"/>
  <c r="G321" i="8"/>
  <c r="E21" i="1" s="1"/>
  <c r="F21" i="1" s="1"/>
  <c r="I321" i="8" s="1"/>
  <c r="G1923" i="15"/>
  <c r="H1924" i="15"/>
  <c r="G832" i="33"/>
  <c r="H832" i="33" s="1"/>
  <c r="H833" i="33"/>
  <c r="G1252" i="21"/>
  <c r="H1253" i="21"/>
  <c r="H2764" i="11"/>
  <c r="G2762" i="11"/>
  <c r="H2762" i="11" s="1"/>
  <c r="H934" i="11"/>
  <c r="G932" i="11"/>
  <c r="H932" i="11" s="1"/>
  <c r="H1909" i="13"/>
  <c r="G1908" i="13"/>
  <c r="H557" i="32"/>
  <c r="G556" i="32"/>
  <c r="H2169" i="13"/>
  <c r="G2168" i="13"/>
  <c r="H632" i="21"/>
  <c r="H624" i="21" s="1"/>
  <c r="G624" i="21"/>
  <c r="E712" i="1" s="1"/>
  <c r="F712" i="1" s="1"/>
  <c r="I624" i="21" s="1"/>
  <c r="H518" i="15"/>
  <c r="G517" i="15"/>
  <c r="G816" i="32"/>
  <c r="H817" i="32"/>
  <c r="H1512" i="30"/>
  <c r="H1504" i="30" s="1"/>
  <c r="G1504" i="30"/>
  <c r="E1089" i="1" s="1"/>
  <c r="F1089" i="1" s="1"/>
  <c r="I1504" i="30" s="1"/>
  <c r="H218" i="15"/>
  <c r="G217" i="15"/>
  <c r="G1975" i="30"/>
  <c r="H1976" i="30"/>
  <c r="H1154" i="11"/>
  <c r="G1152" i="11"/>
  <c r="H1152" i="11" s="1"/>
  <c r="G1176" i="32"/>
  <c r="H1177" i="32"/>
  <c r="H454" i="11"/>
  <c r="G452" i="11"/>
  <c r="H452" i="11" s="1"/>
  <c r="G1516" i="21"/>
  <c r="H1517" i="21"/>
  <c r="H2056" i="30"/>
  <c r="G2055" i="30"/>
  <c r="G416" i="13"/>
  <c r="H417" i="13"/>
  <c r="G1292" i="30"/>
  <c r="H1293" i="30"/>
  <c r="H13" i="11"/>
  <c r="G12" i="11"/>
  <c r="H12" i="11" s="1"/>
  <c r="G2622" i="11"/>
  <c r="H2622" i="11" s="1"/>
  <c r="H2624" i="11"/>
  <c r="G52" i="21"/>
  <c r="H53" i="21"/>
  <c r="H3025" i="26"/>
  <c r="G3023" i="26"/>
  <c r="H3023" i="26" s="1"/>
  <c r="H469" i="8"/>
  <c r="H461" i="8" s="1"/>
  <c r="G461" i="8"/>
  <c r="E28" i="1" s="1"/>
  <c r="F28" i="1" s="1"/>
  <c r="I461" i="8" s="1"/>
  <c r="H414" i="33"/>
  <c r="G412" i="33"/>
  <c r="H793" i="33"/>
  <c r="G792" i="33"/>
  <c r="H792" i="33" s="1"/>
  <c r="H1054" i="8"/>
  <c r="H1046" i="8" s="1"/>
  <c r="G1046" i="8"/>
  <c r="E58" i="1" s="1"/>
  <c r="F58" i="1" s="1"/>
  <c r="I1046" i="8" s="1"/>
  <c r="G541" i="16"/>
  <c r="H542" i="16"/>
  <c r="H2433" i="11"/>
  <c r="G2427" i="11"/>
  <c r="H2427" i="11" s="1"/>
  <c r="G1269" i="24"/>
  <c r="H1271" i="24"/>
  <c r="G124" i="26"/>
  <c r="H131" i="26"/>
  <c r="H2040" i="8"/>
  <c r="G2038" i="8"/>
  <c r="G1068" i="13"/>
  <c r="H1069" i="13"/>
  <c r="H1894" i="11"/>
  <c r="G1888" i="11"/>
  <c r="H1888" i="11" s="1"/>
  <c r="H994" i="8"/>
  <c r="H986" i="8" s="1"/>
  <c r="E55" i="1"/>
  <c r="F55" i="1" s="1"/>
  <c r="I986" i="8" s="1"/>
  <c r="H2549" i="13"/>
  <c r="G2548" i="13"/>
  <c r="G1879" i="15"/>
  <c r="H1880" i="15"/>
  <c r="G1596" i="32"/>
  <c r="H1597" i="32"/>
  <c r="H2061" i="8"/>
  <c r="G2059" i="8"/>
  <c r="H2677" i="11"/>
  <c r="H1545" i="26"/>
  <c r="G1544" i="26"/>
  <c r="H605" i="16"/>
  <c r="G604" i="16"/>
  <c r="G1612" i="30"/>
  <c r="H1612" i="30" s="1"/>
  <c r="H1613" i="30"/>
  <c r="H2802" i="8"/>
  <c r="G2801" i="8"/>
  <c r="H1033" i="11"/>
  <c r="G1032" i="11"/>
  <c r="H1032" i="11" s="1"/>
  <c r="G2145" i="16"/>
  <c r="H2146" i="16"/>
  <c r="G1779" i="15"/>
  <c r="H1780" i="15"/>
  <c r="H857" i="32"/>
  <c r="G856" i="32"/>
  <c r="G1563" i="16"/>
  <c r="H1565" i="16"/>
  <c r="H1212" i="33"/>
  <c r="H1204" i="33" s="1"/>
  <c r="G1204" i="33"/>
  <c r="E1271" i="1" s="1"/>
  <c r="F1271" i="1" s="1"/>
  <c r="I1204" i="33" s="1"/>
  <c r="G2247" i="26"/>
  <c r="H2247" i="26" s="1"/>
  <c r="H2252" i="26"/>
  <c r="H374" i="11"/>
  <c r="G372" i="11"/>
  <c r="H372" i="11" s="1"/>
  <c r="H657" i="32"/>
  <c r="G656" i="32"/>
  <c r="H73" i="32"/>
  <c r="G72" i="32"/>
  <c r="H1449" i="13"/>
  <c r="G1448" i="13"/>
  <c r="H397" i="13"/>
  <c r="G396" i="13"/>
  <c r="H1265" i="16"/>
  <c r="G1263" i="16"/>
  <c r="H1251" i="24"/>
  <c r="G1249" i="24"/>
  <c r="G776" i="32"/>
  <c r="H777" i="32"/>
  <c r="G236" i="13"/>
  <c r="H238" i="13"/>
  <c r="G653" i="24"/>
  <c r="H654" i="24"/>
  <c r="G22" i="26"/>
  <c r="H29" i="26"/>
  <c r="G1056" i="32"/>
  <c r="H1057" i="32"/>
  <c r="H1433" i="11"/>
  <c r="G1432" i="11"/>
  <c r="H2742" i="8"/>
  <c r="G2741" i="8"/>
  <c r="G1756" i="21"/>
  <c r="H1757" i="21"/>
  <c r="H2604" i="11"/>
  <c r="G2602" i="11"/>
  <c r="H2602" i="11" s="1"/>
  <c r="G1289" i="24"/>
  <c r="H1291" i="24"/>
  <c r="H1489" i="13"/>
  <c r="G1488" i="13"/>
  <c r="G1032" i="33"/>
  <c r="H1033" i="33"/>
  <c r="G2288" i="13"/>
  <c r="H2289" i="13"/>
  <c r="H1172" i="30"/>
  <c r="H1164" i="30" s="1"/>
  <c r="G1164" i="30"/>
  <c r="E1072" i="1" s="1"/>
  <c r="F1072" i="1" s="1"/>
  <c r="I1164" i="30" s="1"/>
  <c r="G1072" i="16"/>
  <c r="H1073" i="16"/>
  <c r="H2387" i="11"/>
  <c r="G2381" i="11"/>
  <c r="H2381" i="11" s="1"/>
  <c r="H2669" i="13"/>
  <c r="G2668" i="13"/>
  <c r="H2400" i="8"/>
  <c r="H2392" i="8" s="1"/>
  <c r="G2392" i="8"/>
  <c r="E126" i="1" s="1"/>
  <c r="F126" i="1" s="1"/>
  <c r="I2392" i="8" s="1"/>
  <c r="H313" i="16"/>
  <c r="G312" i="16"/>
  <c r="H274" i="33"/>
  <c r="G272" i="33"/>
  <c r="G1396" i="32"/>
  <c r="H1398" i="32"/>
  <c r="G1330" i="24"/>
  <c r="H1330" i="24" s="1"/>
  <c r="H1331" i="24"/>
  <c r="H1916" i="8"/>
  <c r="G1914" i="8"/>
  <c r="G1556" i="32"/>
  <c r="H1557" i="32"/>
  <c r="G1628" i="13"/>
  <c r="H1629" i="13"/>
  <c r="H3068" i="26"/>
  <c r="G3064" i="26"/>
  <c r="H3064" i="26" s="1"/>
  <c r="G657" i="15"/>
  <c r="H658" i="15"/>
  <c r="G159" i="26"/>
  <c r="H166" i="26"/>
  <c r="H1192" i="30"/>
  <c r="H1184" i="30" s="1"/>
  <c r="G1184" i="30"/>
  <c r="E1073" i="1" s="1"/>
  <c r="F1073" i="1" s="1"/>
  <c r="I1184" i="30" s="1"/>
  <c r="G1057" i="15"/>
  <c r="H1058" i="15"/>
  <c r="H582" i="16"/>
  <c r="G581" i="16"/>
  <c r="H1742" i="24"/>
  <c r="G1740" i="24"/>
  <c r="H1740" i="24" s="1"/>
  <c r="H2538" i="26"/>
  <c r="G2533" i="26"/>
  <c r="G637" i="15"/>
  <c r="H638" i="15"/>
  <c r="H1194" i="11"/>
  <c r="G1192" i="11"/>
  <c r="H1192" i="11" s="1"/>
  <c r="H1209" i="13"/>
  <c r="G1208" i="13"/>
  <c r="H232" i="21"/>
  <c r="H224" i="21" s="1"/>
  <c r="G224" i="21"/>
  <c r="E691" i="1" s="1"/>
  <c r="F691" i="1" s="1"/>
  <c r="I224" i="21" s="1"/>
  <c r="H358" i="15"/>
  <c r="G357" i="15"/>
  <c r="H1497" i="21"/>
  <c r="G1496" i="21"/>
  <c r="H1848" i="11"/>
  <c r="G1842" i="11"/>
  <c r="H1842" i="11" s="1"/>
  <c r="H652" i="26"/>
  <c r="G650" i="26"/>
  <c r="H2782" i="8"/>
  <c r="G2781" i="8"/>
  <c r="G472" i="30"/>
  <c r="H472" i="30" s="1"/>
  <c r="G932" i="30"/>
  <c r="H932" i="30" s="1"/>
  <c r="H933" i="30"/>
  <c r="H1124" i="21"/>
  <c r="G1123" i="21"/>
  <c r="H1232" i="30"/>
  <c r="H1224" i="30" s="1"/>
  <c r="G1224" i="30"/>
  <c r="E1075" i="1" s="1"/>
  <c r="F1075" i="1" s="1"/>
  <c r="I1224" i="30" s="1"/>
  <c r="H1915" i="30"/>
  <c r="G1912" i="30"/>
  <c r="G2742" i="11"/>
  <c r="H2742" i="11" s="1"/>
  <c r="H2744" i="11"/>
  <c r="H752" i="26"/>
  <c r="G751" i="26"/>
  <c r="G1901" i="15"/>
  <c r="H1902" i="15"/>
  <c r="G2166" i="11"/>
  <c r="H2166" i="11" s="1"/>
  <c r="H2172" i="11"/>
  <c r="G132" i="33"/>
  <c r="H132" i="33" s="1"/>
  <c r="H133" i="33"/>
  <c r="H1802" i="11"/>
  <c r="G1796" i="11"/>
  <c r="H1796" i="11" s="1"/>
  <c r="H955" i="8"/>
  <c r="G954" i="8"/>
  <c r="G32" i="33"/>
  <c r="H33" i="33"/>
  <c r="H138" i="15"/>
  <c r="G137" i="15"/>
  <c r="G887" i="16"/>
  <c r="H888" i="16"/>
  <c r="H1809" i="13"/>
  <c r="G1808" i="13"/>
  <c r="G2721" i="8"/>
  <c r="H2722" i="8"/>
  <c r="H1345" i="16"/>
  <c r="G1343" i="16"/>
  <c r="H889" i="13"/>
  <c r="G888" i="13"/>
  <c r="H1048" i="16"/>
  <c r="G1047" i="16"/>
  <c r="H1132" i="33"/>
  <c r="H1124" i="33" s="1"/>
  <c r="G1124" i="33"/>
  <c r="E1267" i="1" s="1"/>
  <c r="F1267" i="1" s="1"/>
  <c r="I1124" i="33" s="1"/>
  <c r="H53" i="32"/>
  <c r="G52" i="32"/>
  <c r="H694" i="24"/>
  <c r="G693" i="24"/>
  <c r="H1092" i="33"/>
  <c r="H1084" i="33" s="1"/>
  <c r="G1084" i="33"/>
  <c r="E1265" i="1" s="1"/>
  <c r="F1265" i="1" s="1"/>
  <c r="I1084" i="33" s="1"/>
  <c r="G1352" i="30"/>
  <c r="H1353" i="30"/>
  <c r="H1998" i="8"/>
  <c r="G1996" i="8"/>
  <c r="H913" i="33"/>
  <c r="G912" i="33"/>
  <c r="H553" i="33"/>
  <c r="G552" i="33"/>
  <c r="H552" i="33" s="1"/>
  <c r="H377" i="32"/>
  <c r="G376" i="32"/>
  <c r="H314" i="33"/>
  <c r="G312" i="33"/>
  <c r="H2785" i="26"/>
  <c r="G2783" i="26"/>
  <c r="H2783" i="26" s="1"/>
  <c r="H1214" i="8"/>
  <c r="H1206" i="8" s="1"/>
  <c r="G1206" i="8"/>
  <c r="E66" i="1" s="1"/>
  <c r="F66" i="1" s="1"/>
  <c r="I1206" i="8" s="1"/>
  <c r="H1729" i="13"/>
  <c r="G1728" i="13"/>
  <c r="H2922" i="11"/>
  <c r="G2920" i="11"/>
  <c r="H2920" i="11" s="1"/>
  <c r="H433" i="16"/>
  <c r="G432" i="16"/>
  <c r="H853" i="33"/>
  <c r="G852" i="33"/>
  <c r="H852" i="33" s="1"/>
  <c r="G692" i="30"/>
  <c r="H692" i="30" s="1"/>
  <c r="H693" i="30"/>
  <c r="G812" i="30"/>
  <c r="H814" i="30"/>
  <c r="G1272" i="21"/>
  <c r="H1273" i="21"/>
  <c r="G72" i="16"/>
  <c r="H73" i="16"/>
  <c r="H599" i="13"/>
  <c r="G598" i="13"/>
  <c r="H1617" i="21"/>
  <c r="G1616" i="21"/>
  <c r="H492" i="21"/>
  <c r="H484" i="21" s="1"/>
  <c r="G484" i="21"/>
  <c r="E704" i="1" s="1"/>
  <c r="F704" i="1" s="1"/>
  <c r="I484" i="21" s="1"/>
  <c r="H2005" i="11"/>
  <c r="G2003" i="11"/>
  <c r="H2003" i="11" s="1"/>
  <c r="H569" i="8"/>
  <c r="H561" i="8" s="1"/>
  <c r="G561" i="8"/>
  <c r="E33" i="1" s="1"/>
  <c r="F33" i="1" s="1"/>
  <c r="I561" i="8" s="1"/>
  <c r="G2528" i="13"/>
  <c r="H2529" i="13"/>
  <c r="G1248" i="13"/>
  <c r="H1249" i="13"/>
  <c r="H2762" i="8"/>
  <c r="G2761" i="8"/>
  <c r="H1273" i="11"/>
  <c r="G1272" i="11"/>
  <c r="H1272" i="11" s="1"/>
  <c r="G2023" i="16"/>
  <c r="H2024" i="16"/>
  <c r="E468" i="33"/>
  <c r="G468" i="33" s="1"/>
  <c r="E788" i="33"/>
  <c r="G788" i="33" s="1"/>
  <c r="E828" i="33"/>
  <c r="G828" i="33" s="1"/>
  <c r="E1389" i="24"/>
  <c r="G1389" i="24" s="1"/>
  <c r="E1162" i="21"/>
  <c r="G1162" i="21" s="1"/>
  <c r="H1162" i="21" s="1"/>
  <c r="E407" i="11"/>
  <c r="G407" i="11" s="1"/>
  <c r="E827" i="11"/>
  <c r="G827" i="11" s="1"/>
  <c r="E1127" i="11"/>
  <c r="G1127" i="11" s="1"/>
  <c r="E1633" i="11"/>
  <c r="G1633" i="11" s="1"/>
  <c r="H1633" i="11" s="1"/>
  <c r="E2118" i="11"/>
  <c r="G2118" i="11" s="1"/>
  <c r="E1998" i="11"/>
  <c r="G1998" i="11" s="1"/>
  <c r="E2353" i="11"/>
  <c r="G2353" i="11" s="1"/>
  <c r="H2353" i="11" s="1"/>
  <c r="E2800" i="11"/>
  <c r="G2800" i="11" s="1"/>
  <c r="H2800" i="11" s="1"/>
  <c r="E1028" i="30"/>
  <c r="G1028" i="30" s="1"/>
  <c r="E627" i="30"/>
  <c r="G627" i="30" s="1"/>
  <c r="E1328" i="26"/>
  <c r="G1328" i="26" s="1"/>
  <c r="E1294" i="15"/>
  <c r="E1306" i="26"/>
  <c r="G1306" i="26" s="1"/>
  <c r="E247" i="33"/>
  <c r="G247" i="33" s="1"/>
  <c r="E528" i="33"/>
  <c r="G528" i="33" s="1"/>
  <c r="H528" i="33" s="1"/>
  <c r="E848" i="33"/>
  <c r="G848" i="33" s="1"/>
  <c r="H848" i="33" s="1"/>
  <c r="E1941" i="26"/>
  <c r="G1941" i="26" s="1"/>
  <c r="H1941" i="26" s="1"/>
  <c r="E1465" i="24"/>
  <c r="G1465" i="24" s="1"/>
  <c r="E1352" i="21"/>
  <c r="G1352" i="21" s="1"/>
  <c r="E307" i="11"/>
  <c r="G307" i="11" s="1"/>
  <c r="E907" i="11"/>
  <c r="G907" i="11" s="1"/>
  <c r="E1027" i="11"/>
  <c r="G1027" i="11" s="1"/>
  <c r="E1487" i="11"/>
  <c r="G1487" i="11" s="1"/>
  <c r="E2161" i="11"/>
  <c r="G2161" i="11" s="1"/>
  <c r="E2537" i="11"/>
  <c r="G2537" i="11" s="1"/>
  <c r="H2537" i="11" s="1"/>
  <c r="E2376" i="11"/>
  <c r="G2376" i="11" s="1"/>
  <c r="H2376" i="11" s="1"/>
  <c r="E2975" i="11"/>
  <c r="G2975" i="11" s="1"/>
  <c r="E147" i="30"/>
  <c r="G147" i="30" s="1"/>
  <c r="E130" i="13"/>
  <c r="G130" i="13" s="1"/>
  <c r="E667" i="30"/>
  <c r="G667" i="30" s="1"/>
  <c r="E307" i="30"/>
  <c r="G307" i="30" s="1"/>
  <c r="E647" i="30"/>
  <c r="G647" i="30" s="1"/>
  <c r="E508" i="33"/>
  <c r="G508" i="33" s="1"/>
  <c r="H508" i="33" s="1"/>
  <c r="E768" i="33"/>
  <c r="G768" i="33" s="1"/>
  <c r="E1961" i="26"/>
  <c r="G1961" i="26" s="1"/>
  <c r="E1365" i="24"/>
  <c r="G1365" i="24" s="1"/>
  <c r="E1739" i="24"/>
  <c r="G1739" i="24" s="1"/>
  <c r="E1139" i="21"/>
  <c r="G1139" i="21" s="1"/>
  <c r="H1139" i="21" s="1"/>
  <c r="E387" i="11"/>
  <c r="G387" i="11" s="1"/>
  <c r="E607" i="11"/>
  <c r="G607" i="11" s="1"/>
  <c r="H607" i="11" s="1"/>
  <c r="E1107" i="11"/>
  <c r="G1107" i="11" s="1"/>
  <c r="E1768" i="11"/>
  <c r="G1768" i="11" s="1"/>
  <c r="H1768" i="11" s="1"/>
  <c r="E1613" i="11"/>
  <c r="G1613" i="11" s="1"/>
  <c r="H1613" i="11" s="1"/>
  <c r="E2078" i="11"/>
  <c r="G2078" i="11" s="1"/>
  <c r="E2617" i="11"/>
  <c r="G2617" i="11" s="1"/>
  <c r="E1600" i="26"/>
  <c r="G1600" i="26" s="1"/>
  <c r="E88" i="30"/>
  <c r="G88" i="30" s="1"/>
  <c r="H88" i="30" s="1"/>
  <c r="E168" i="33"/>
  <c r="G168" i="33" s="1"/>
  <c r="E148" i="33"/>
  <c r="G148" i="33" s="1"/>
  <c r="E67" i="13"/>
  <c r="E548" i="33"/>
  <c r="G548" i="33" s="1"/>
  <c r="H548" i="33" s="1"/>
  <c r="E808" i="33"/>
  <c r="G808" i="33" s="1"/>
  <c r="E2286" i="26"/>
  <c r="G2286" i="26" s="1"/>
  <c r="E1439" i="24"/>
  <c r="G1439" i="24" s="1"/>
  <c r="E1056" i="21"/>
  <c r="G1056" i="21" s="1"/>
  <c r="H1056" i="21" s="1"/>
  <c r="E367" i="11"/>
  <c r="G367" i="11" s="1"/>
  <c r="E1167" i="11"/>
  <c r="G1167" i="11" s="1"/>
  <c r="E1187" i="11"/>
  <c r="G1187" i="11" s="1"/>
  <c r="E1837" i="11"/>
  <c r="G1837" i="11" s="1"/>
  <c r="H1837" i="11" s="1"/>
  <c r="E1722" i="11"/>
  <c r="G1722" i="11" s="1"/>
  <c r="H1722" i="11" s="1"/>
  <c r="E2138" i="11"/>
  <c r="G2138" i="11" s="1"/>
  <c r="E2577" i="11"/>
  <c r="G2577" i="11" s="1"/>
  <c r="H2577" i="11" s="1"/>
  <c r="E210" i="32"/>
  <c r="G210" i="32" s="1"/>
  <c r="E109" i="13"/>
  <c r="G109" i="13" s="1"/>
  <c r="E287" i="30"/>
  <c r="G287" i="30" s="1"/>
  <c r="E148" i="11"/>
  <c r="G148" i="11" s="1"/>
  <c r="E190" i="32"/>
  <c r="E1067" i="30"/>
  <c r="G1067" i="30" s="1"/>
  <c r="E569" i="33"/>
  <c r="G569" i="33" s="1"/>
  <c r="H569" i="33" s="1"/>
  <c r="E748" i="33"/>
  <c r="G748" i="33" s="1"/>
  <c r="E2918" i="26"/>
  <c r="G2918" i="26" s="1"/>
  <c r="H2918" i="26" s="1"/>
  <c r="E2242" i="26"/>
  <c r="G2242" i="26" s="1"/>
  <c r="E1491" i="24"/>
  <c r="G1491" i="24" s="1"/>
  <c r="E1076" i="21"/>
  <c r="G1076" i="21" s="1"/>
  <c r="E347" i="11"/>
  <c r="G347" i="11" s="1"/>
  <c r="E1067" i="11"/>
  <c r="G1067" i="11" s="1"/>
  <c r="E1247" i="11"/>
  <c r="G1247" i="11" s="1"/>
  <c r="E1929" i="11"/>
  <c r="G1929" i="11" s="1"/>
  <c r="H1929" i="11" s="1"/>
  <c r="E1814" i="11"/>
  <c r="G1814" i="11" s="1"/>
  <c r="H1814" i="11" s="1"/>
  <c r="E2207" i="11"/>
  <c r="G2207" i="11" s="1"/>
  <c r="H2207" i="11" s="1"/>
  <c r="E2597" i="11"/>
  <c r="G2597" i="11" s="1"/>
  <c r="E88" i="13"/>
  <c r="G88" i="13" s="1"/>
  <c r="E465" i="26"/>
  <c r="G465" i="26" s="1"/>
  <c r="E327" i="30"/>
  <c r="G327" i="30" s="1"/>
  <c r="E67" i="30"/>
  <c r="G67" i="30" s="1"/>
  <c r="E227" i="30"/>
  <c r="G227" i="30" s="1"/>
  <c r="E488" i="33"/>
  <c r="G488" i="33" s="1"/>
  <c r="H488" i="33" s="1"/>
  <c r="E590" i="33"/>
  <c r="G590" i="33" s="1"/>
  <c r="E868" i="33"/>
  <c r="G868" i="33" s="1"/>
  <c r="H868" i="33" s="1"/>
  <c r="E2938" i="26"/>
  <c r="G2938" i="26" s="1"/>
  <c r="H2938" i="26" s="1"/>
  <c r="E2638" i="26"/>
  <c r="G2638" i="26" s="1"/>
  <c r="E1513" i="24"/>
  <c r="G1513" i="24" s="1"/>
  <c r="E891" i="21"/>
  <c r="G891" i="21" s="1"/>
  <c r="H891" i="21" s="1"/>
  <c r="E647" i="11"/>
  <c r="G647" i="11" s="1"/>
  <c r="H647" i="11" s="1"/>
  <c r="E1147" i="11"/>
  <c r="G1147" i="11" s="1"/>
  <c r="E1267" i="11"/>
  <c r="G1267" i="11" s="1"/>
  <c r="E2058" i="11"/>
  <c r="G2058" i="11" s="1"/>
  <c r="E1883" i="11"/>
  <c r="G1883" i="11" s="1"/>
  <c r="H1883" i="11" s="1"/>
  <c r="E2330" i="11"/>
  <c r="G2330" i="11" s="1"/>
  <c r="H2330" i="11" s="1"/>
  <c r="E2823" i="11"/>
  <c r="G2823" i="11" s="1"/>
  <c r="H2823" i="11" s="1"/>
  <c r="E445" i="26"/>
  <c r="G445" i="26" s="1"/>
  <c r="E404" i="26"/>
  <c r="G404" i="26" s="1"/>
  <c r="E128" i="33"/>
  <c r="E247" i="30"/>
  <c r="G247" i="30" s="1"/>
  <c r="E267" i="11"/>
  <c r="G267" i="11" s="1"/>
  <c r="E227" i="33"/>
  <c r="G227" i="33" s="1"/>
  <c r="E609" i="33"/>
  <c r="G609" i="33" s="1"/>
  <c r="E887" i="33"/>
  <c r="G887" i="33" s="1"/>
  <c r="H887" i="33" s="1"/>
  <c r="E2738" i="26"/>
  <c r="G2738" i="26" s="1"/>
  <c r="E1307" i="24"/>
  <c r="E1185" i="21"/>
  <c r="G1185" i="21" s="1"/>
  <c r="H1185" i="21" s="1"/>
  <c r="E587" i="11"/>
  <c r="G587" i="11" s="1"/>
  <c r="H587" i="11" s="1"/>
  <c r="E1047" i="11"/>
  <c r="G1047" i="11" s="1"/>
  <c r="E1287" i="11"/>
  <c r="G1287" i="11" s="1"/>
  <c r="E1653" i="11"/>
  <c r="G1653" i="11" s="1"/>
  <c r="H1653" i="11" s="1"/>
  <c r="E2018" i="11"/>
  <c r="G2018" i="11" s="1"/>
  <c r="E2557" i="11"/>
  <c r="G2557" i="11" s="1"/>
  <c r="H2557" i="11" s="1"/>
  <c r="E2777" i="11"/>
  <c r="G2777" i="11" s="1"/>
  <c r="H2777" i="11" s="1"/>
  <c r="E728" i="30"/>
  <c r="G728" i="30" s="1"/>
  <c r="E708" i="30"/>
  <c r="G708" i="30" s="1"/>
  <c r="E1273" i="15"/>
  <c r="E107" i="6"/>
  <c r="G107" i="6" s="1"/>
  <c r="G106" i="6" s="1"/>
  <c r="E128" i="11"/>
  <c r="G128" i="11" s="1"/>
  <c r="H128" i="11" s="1"/>
  <c r="E727" i="33"/>
  <c r="G727" i="33" s="1"/>
  <c r="E327" i="11"/>
  <c r="G327" i="11" s="1"/>
  <c r="E128" i="30"/>
  <c r="G128" i="30" s="1"/>
  <c r="H128" i="30" s="1"/>
  <c r="E2778" i="26"/>
  <c r="G2778" i="26" s="1"/>
  <c r="E627" i="11"/>
  <c r="G627" i="11" s="1"/>
  <c r="H627" i="11" s="1"/>
  <c r="E267" i="30"/>
  <c r="G267" i="30" s="1"/>
  <c r="E967" i="11"/>
  <c r="G967" i="11" s="1"/>
  <c r="E1308" i="21"/>
  <c r="G1308" i="21" s="1"/>
  <c r="H1308" i="21" s="1"/>
  <c r="E1307" i="11"/>
  <c r="G1307" i="11" s="1"/>
  <c r="E1699" i="11"/>
  <c r="G1699" i="11" s="1"/>
  <c r="H1699" i="11" s="1"/>
  <c r="E2098" i="11"/>
  <c r="G2098" i="11" s="1"/>
  <c r="E907" i="30"/>
  <c r="G907" i="30" s="1"/>
  <c r="E447" i="33"/>
  <c r="G447" i="33" s="1"/>
  <c r="E2637" i="11"/>
  <c r="G2637" i="11" s="1"/>
  <c r="E1048" i="30"/>
  <c r="G1048" i="30" s="1"/>
  <c r="E687" i="33"/>
  <c r="G687" i="33" s="1"/>
  <c r="E1415" i="24"/>
  <c r="G1415" i="24" s="1"/>
  <c r="E2915" i="11"/>
  <c r="G2915" i="11" s="1"/>
  <c r="E687" i="30"/>
  <c r="G687" i="30" s="1"/>
  <c r="J2117" i="26"/>
  <c r="H2642" i="8"/>
  <c r="G2641" i="8"/>
  <c r="G1727" i="11"/>
  <c r="H1727" i="11" s="1"/>
  <c r="H1733" i="11"/>
  <c r="G1519" i="15"/>
  <c r="H1520" i="15"/>
  <c r="H2286" i="16"/>
  <c r="G2285" i="16"/>
  <c r="G372" i="33"/>
  <c r="H374" i="33"/>
  <c r="G2643" i="26"/>
  <c r="H2643" i="26" s="1"/>
  <c r="H2645" i="26"/>
  <c r="H1245" i="16"/>
  <c r="G1243" i="16"/>
  <c r="H213" i="24"/>
  <c r="G212" i="24"/>
  <c r="H1497" i="32"/>
  <c r="G1496" i="32"/>
  <c r="G1848" i="13"/>
  <c r="H1849" i="13"/>
  <c r="H3088" i="26"/>
  <c r="G3085" i="26"/>
  <c r="G1516" i="32"/>
  <c r="H1517" i="32"/>
  <c r="H1784" i="16"/>
  <c r="G1783" i="16"/>
  <c r="H2016" i="30"/>
  <c r="G2015" i="30"/>
  <c r="H257" i="32"/>
  <c r="G256" i="32"/>
  <c r="H914" i="11"/>
  <c r="G912" i="11"/>
  <c r="H912" i="11" s="1"/>
  <c r="H233" i="33"/>
  <c r="G232" i="33"/>
  <c r="H232" i="33" s="1"/>
  <c r="H2644" i="11"/>
  <c r="G2642" i="11"/>
  <c r="H2642" i="11" s="1"/>
  <c r="G1459" i="15"/>
  <c r="H1460" i="15"/>
  <c r="G1036" i="32"/>
  <c r="H1037" i="32"/>
  <c r="H562" i="16"/>
  <c r="G561" i="16"/>
  <c r="G272" i="21"/>
  <c r="H273" i="21"/>
  <c r="H2522" i="8"/>
  <c r="G2521" i="8"/>
  <c r="H1337" i="32"/>
  <c r="G1336" i="32"/>
  <c r="H674" i="24"/>
  <c r="G673" i="24"/>
  <c r="H2209" i="26"/>
  <c r="G2205" i="26"/>
  <c r="G1256" i="32"/>
  <c r="H1257" i="32"/>
  <c r="G1752" i="30"/>
  <c r="H1753" i="30"/>
  <c r="H1152" i="26"/>
  <c r="G1151" i="26"/>
  <c r="G112" i="16"/>
  <c r="H113" i="16"/>
  <c r="H1132" i="30"/>
  <c r="H1124" i="30" s="1"/>
  <c r="G1124" i="30"/>
  <c r="E1070" i="1" s="1"/>
  <c r="F1070" i="1" s="1"/>
  <c r="I1124" i="30" s="1"/>
  <c r="H1769" i="13"/>
  <c r="G1768" i="13"/>
  <c r="G712" i="21"/>
  <c r="H713" i="21"/>
  <c r="H233" i="30"/>
  <c r="G232" i="30"/>
  <c r="H232" i="30" s="1"/>
  <c r="H922" i="21"/>
  <c r="G920" i="21"/>
  <c r="H920" i="21" s="1"/>
  <c r="H2704" i="11"/>
  <c r="G2702" i="11"/>
  <c r="H2702" i="11" s="1"/>
  <c r="G1268" i="13"/>
  <c r="H1269" i="13"/>
  <c r="H2825" i="26"/>
  <c r="G2823" i="26"/>
  <c r="H1569" i="13"/>
  <c r="G1568" i="13"/>
  <c r="G577" i="15"/>
  <c r="H578" i="15"/>
  <c r="G1679" i="24"/>
  <c r="H1680" i="24"/>
  <c r="H2408" i="16"/>
  <c r="G2406" i="16"/>
  <c r="G1948" i="13"/>
  <c r="H1949" i="13"/>
  <c r="H54" i="24"/>
  <c r="G52" i="24"/>
  <c r="H1293" i="26"/>
  <c r="G1291" i="26"/>
  <c r="G312" i="21"/>
  <c r="H313" i="21"/>
  <c r="G732" i="30"/>
  <c r="H732" i="30" s="1"/>
  <c r="H733" i="30"/>
  <c r="G212" i="16"/>
  <c r="H213" i="16"/>
  <c r="H1274" i="8"/>
  <c r="H1266" i="8" s="1"/>
  <c r="G1266" i="8"/>
  <c r="E69" i="1" s="1"/>
  <c r="F69" i="1" s="1"/>
  <c r="I1266" i="8" s="1"/>
  <c r="H350" i="8"/>
  <c r="G349" i="8"/>
  <c r="H2109" i="13"/>
  <c r="G2108" i="13"/>
  <c r="G1296" i="32"/>
  <c r="H1297" i="32"/>
  <c r="G2706" i="16"/>
  <c r="H2707" i="16"/>
  <c r="G1732" i="30"/>
  <c r="H1733" i="30"/>
  <c r="H236" i="32"/>
  <c r="H228" i="32" s="1"/>
  <c r="G228" i="32"/>
  <c r="E1136" i="1" s="1"/>
  <c r="F1136" i="1" s="1"/>
  <c r="I228" i="32" s="1"/>
  <c r="G72" i="30"/>
  <c r="H72" i="30" s="1"/>
  <c r="H73" i="30"/>
  <c r="G1968" i="13"/>
  <c r="H1969" i="13"/>
  <c r="H1040" i="21"/>
  <c r="H1032" i="21" s="1"/>
  <c r="G1032" i="21"/>
  <c r="E732" i="1" s="1"/>
  <c r="F732" i="1" s="1"/>
  <c r="I1032" i="21" s="1"/>
  <c r="H1354" i="8"/>
  <c r="H1346" i="8" s="1"/>
  <c r="G1346" i="8"/>
  <c r="E73" i="1" s="1"/>
  <c r="F73" i="1" s="1"/>
  <c r="I1346" i="8" s="1"/>
  <c r="G472" i="11"/>
  <c r="H472" i="11" s="1"/>
  <c r="H474" i="11"/>
  <c r="G1599" i="15"/>
  <c r="H1600" i="15"/>
  <c r="H2985" i="26"/>
  <c r="G2983" i="26"/>
  <c r="H2983" i="26" s="1"/>
  <c r="H961" i="21"/>
  <c r="G960" i="21"/>
  <c r="H1669" i="13"/>
  <c r="G1668" i="13"/>
  <c r="G736" i="32"/>
  <c r="H737" i="32"/>
  <c r="G1236" i="32"/>
  <c r="H1237" i="32"/>
  <c r="G1472" i="11"/>
  <c r="H1473" i="11"/>
  <c r="H2226" i="16"/>
  <c r="G2225" i="16"/>
  <c r="H753" i="33"/>
  <c r="G752" i="33"/>
  <c r="H752" i="33" s="1"/>
  <c r="H947" i="30"/>
  <c r="G946" i="30"/>
  <c r="G832" i="11"/>
  <c r="H832" i="11" s="1"/>
  <c r="H835" i="11"/>
  <c r="G1217" i="15"/>
  <c r="H1218" i="15"/>
  <c r="H354" i="24"/>
  <c r="G352" i="24"/>
  <c r="H494" i="11"/>
  <c r="G492" i="11"/>
  <c r="H492" i="11" s="1"/>
  <c r="G1639" i="15"/>
  <c r="H1640" i="15"/>
  <c r="H1884" i="16"/>
  <c r="G1883" i="16"/>
  <c r="H1393" i="11"/>
  <c r="G1392" i="11"/>
  <c r="H634" i="11"/>
  <c r="G632" i="11"/>
  <c r="H632" i="11" s="1"/>
  <c r="H338" i="15"/>
  <c r="G337" i="15"/>
  <c r="H614" i="33"/>
  <c r="G612" i="33"/>
  <c r="H612" i="33" s="1"/>
  <c r="H1559" i="11"/>
  <c r="G1555" i="11"/>
  <c r="H958" i="15"/>
  <c r="G957" i="15"/>
  <c r="H1365" i="16"/>
  <c r="G1363" i="16"/>
  <c r="G212" i="11"/>
  <c r="H213" i="11"/>
  <c r="G1963" i="16"/>
  <c r="H1964" i="16"/>
  <c r="G292" i="33"/>
  <c r="H294" i="33"/>
  <c r="G1659" i="15"/>
  <c r="H1660" i="15"/>
  <c r="G33" i="16"/>
  <c r="G1313" i="26"/>
  <c r="H1313" i="26" s="1"/>
  <c r="H1316" i="26"/>
  <c r="H2472" i="26"/>
  <c r="G2467" i="26"/>
  <c r="G1174" i="8"/>
  <c r="H1175" i="8"/>
  <c r="H1834" i="8"/>
  <c r="H1826" i="8" s="1"/>
  <c r="G1826" i="8"/>
  <c r="E97" i="1" s="1"/>
  <c r="F97" i="1" s="1"/>
  <c r="I1826" i="8" s="1"/>
  <c r="G892" i="30"/>
  <c r="H894" i="30"/>
  <c r="H1664" i="11"/>
  <c r="G1658" i="11"/>
  <c r="H1658" i="11" s="1"/>
  <c r="H2182" i="8"/>
  <c r="G2180" i="8"/>
  <c r="H1092" i="26"/>
  <c r="G1091" i="26"/>
  <c r="G1052" i="30"/>
  <c r="H1052" i="30" s="1"/>
  <c r="H1053" i="30"/>
  <c r="H2663" i="8"/>
  <c r="G2661" i="8"/>
  <c r="H2069" i="13"/>
  <c r="G2068" i="13"/>
  <c r="H1232" i="33"/>
  <c r="H1224" i="33" s="1"/>
  <c r="G1224" i="33"/>
  <c r="E1272" i="1" s="1"/>
  <c r="F1272" i="1" s="1"/>
  <c r="I1224" i="33" s="1"/>
  <c r="H1944" i="16"/>
  <c r="G1943" i="16"/>
  <c r="G1183" i="16"/>
  <c r="H1185" i="16"/>
  <c r="H772" i="21"/>
  <c r="H764" i="21" s="1"/>
  <c r="G764" i="21"/>
  <c r="E719" i="1" s="1"/>
  <c r="F719" i="1" s="1"/>
  <c r="I764" i="21" s="1"/>
  <c r="H333" i="16"/>
  <c r="G332" i="16"/>
  <c r="H2066" i="26"/>
  <c r="G2065" i="26"/>
  <c r="H1393" i="30"/>
  <c r="G1392" i="30"/>
  <c r="H2806" i="26"/>
  <c r="G2803" i="26"/>
  <c r="H2803" i="26" s="1"/>
  <c r="H1013" i="33"/>
  <c r="G1012" i="33"/>
  <c r="H1817" i="21"/>
  <c r="G1816" i="21"/>
  <c r="H614" i="11"/>
  <c r="G612" i="11"/>
  <c r="H612" i="11" s="1"/>
  <c r="H1152" i="33"/>
  <c r="H1144" i="33" s="1"/>
  <c r="G1144" i="33"/>
  <c r="E1268" i="1" s="1"/>
  <c r="F1268" i="1" s="1"/>
  <c r="I1144" i="33" s="1"/>
  <c r="H2156" i="30"/>
  <c r="G2155" i="30"/>
  <c r="H514" i="11"/>
  <c r="G512" i="11"/>
  <c r="H512" i="11" s="1"/>
  <c r="H858" i="15"/>
  <c r="G857" i="15"/>
  <c r="H253" i="11"/>
  <c r="G252" i="11"/>
  <c r="H1293" i="11"/>
  <c r="G1292" i="11"/>
  <c r="H1292" i="11" s="1"/>
  <c r="H2664" i="11"/>
  <c r="G2662" i="11"/>
  <c r="H2662" i="11" s="1"/>
  <c r="G1377" i="26"/>
  <c r="H1382" i="26"/>
  <c r="H1229" i="13"/>
  <c r="G1228" i="13"/>
  <c r="G1196" i="32"/>
  <c r="H1197" i="32"/>
  <c r="G352" i="21"/>
  <c r="H353" i="21"/>
  <c r="H533" i="33"/>
  <c r="G532" i="33"/>
  <c r="H532" i="33" s="1"/>
  <c r="G1499" i="15"/>
  <c r="H1500" i="15"/>
  <c r="H1358" i="32"/>
  <c r="G1356" i="32"/>
  <c r="G1071" i="26"/>
  <c r="H1073" i="26"/>
  <c r="H2238" i="11"/>
  <c r="G2235" i="11"/>
  <c r="H2235" i="11" s="1"/>
  <c r="H2629" i="13"/>
  <c r="G2628" i="13"/>
  <c r="H1566" i="26"/>
  <c r="G1565" i="26"/>
  <c r="H855" i="8"/>
  <c r="G854" i="8"/>
  <c r="H854" i="8" s="1"/>
  <c r="G2821" i="8"/>
  <c r="H2822" i="8"/>
  <c r="H1279" i="15"/>
  <c r="G1278" i="15"/>
  <c r="H1278" i="15" s="1"/>
  <c r="H909" i="13"/>
  <c r="G908" i="13"/>
  <c r="H1737" i="21"/>
  <c r="G1736" i="21"/>
  <c r="H949" i="13"/>
  <c r="G948" i="13"/>
  <c r="G2686" i="16"/>
  <c r="H2687" i="16"/>
  <c r="H1152" i="30"/>
  <c r="H1144" i="30" s="1"/>
  <c r="G1144" i="30"/>
  <c r="E1071" i="1" s="1"/>
  <c r="F1071" i="1" s="1"/>
  <c r="I1144" i="30" s="1"/>
  <c r="H576" i="13"/>
  <c r="G575" i="13"/>
  <c r="G1699" i="24"/>
  <c r="H1700" i="24"/>
  <c r="H574" i="11"/>
  <c r="G572" i="11"/>
  <c r="H572" i="11" s="1"/>
  <c r="H277" i="13"/>
  <c r="G276" i="13"/>
  <c r="G544" i="26"/>
  <c r="H545" i="26"/>
  <c r="H1517" i="11"/>
  <c r="G1513" i="11"/>
  <c r="H1513" i="11" s="1"/>
  <c r="G2708" i="13"/>
  <c r="H2709" i="13"/>
  <c r="H957" i="32"/>
  <c r="G956" i="32"/>
  <c r="G2666" i="16"/>
  <c r="H2667" i="16"/>
  <c r="G2248" i="13"/>
  <c r="H2249" i="13"/>
  <c r="G1819" i="15"/>
  <c r="H1820" i="15"/>
  <c r="H2965" i="26"/>
  <c r="G2963" i="26"/>
  <c r="H2963" i="26" s="1"/>
  <c r="G312" i="30"/>
  <c r="H312" i="30" s="1"/>
  <c r="H313" i="30"/>
  <c r="G356" i="32"/>
  <c r="H358" i="32"/>
  <c r="H2410" i="11"/>
  <c r="G2404" i="11"/>
  <c r="H2404" i="11" s="1"/>
  <c r="H1904" i="16"/>
  <c r="G1903" i="16"/>
  <c r="H1055" i="21"/>
  <c r="H127" i="30"/>
  <c r="H27" i="11"/>
  <c r="G1399" i="26"/>
  <c r="H1404" i="26"/>
  <c r="H1504" i="16"/>
  <c r="G1503" i="16"/>
  <c r="G183" i="26"/>
  <c r="H186" i="26"/>
  <c r="H915" i="8"/>
  <c r="G914" i="8"/>
  <c r="H1038" i="15"/>
  <c r="G1037" i="15"/>
  <c r="H173" i="11"/>
  <c r="G172" i="11"/>
  <c r="H410" i="26"/>
  <c r="G409" i="26"/>
  <c r="H409" i="26" s="1"/>
  <c r="G1177" i="15"/>
  <c r="H1178" i="15"/>
  <c r="H2076" i="30"/>
  <c r="G2075" i="30"/>
  <c r="G1639" i="24"/>
  <c r="H1640" i="24"/>
  <c r="H533" i="21"/>
  <c r="G532" i="21"/>
  <c r="H1129" i="24"/>
  <c r="G1128" i="24"/>
  <c r="G1359" i="15"/>
  <c r="H1360" i="15"/>
  <c r="G834" i="8"/>
  <c r="H834" i="8" s="1"/>
  <c r="H835" i="8"/>
  <c r="H2569" i="13"/>
  <c r="G2568" i="13"/>
  <c r="G1566" i="8"/>
  <c r="E84" i="1" s="1"/>
  <c r="F84" i="1" s="1"/>
  <c r="I1566" i="8" s="1"/>
  <c r="H1574" i="8"/>
  <c r="H1566" i="8" s="1"/>
  <c r="H2544" i="11"/>
  <c r="G2542" i="11"/>
  <c r="H2542" i="11" s="1"/>
  <c r="H672" i="26"/>
  <c r="G670" i="26"/>
  <c r="H1765" i="16"/>
  <c r="G1763" i="16"/>
  <c r="G875" i="21"/>
  <c r="H876" i="21"/>
  <c r="H1735" i="8"/>
  <c r="G1734" i="8"/>
  <c r="H2329" i="13"/>
  <c r="G2328" i="13"/>
  <c r="G292" i="30"/>
  <c r="H292" i="30" s="1"/>
  <c r="H293" i="30"/>
  <c r="H2189" i="13"/>
  <c r="G2188" i="13"/>
  <c r="H1074" i="8"/>
  <c r="H1066" i="8" s="1"/>
  <c r="G1066" i="8"/>
  <c r="E59" i="1" s="1"/>
  <c r="F59" i="1" s="1"/>
  <c r="I1066" i="8" s="1"/>
  <c r="H2340" i="26"/>
  <c r="G2335" i="26"/>
  <c r="H2335" i="26" s="1"/>
  <c r="G33" i="13"/>
  <c r="H433" i="33"/>
  <c r="G432" i="33"/>
  <c r="H2880" i="11"/>
  <c r="G2874" i="11"/>
  <c r="H2874" i="11" s="1"/>
  <c r="G811" i="26"/>
  <c r="H813" i="26"/>
  <c r="I1637" i="26"/>
  <c r="J1637" i="26" s="1"/>
  <c r="G352" i="30"/>
  <c r="H353" i="30"/>
  <c r="G1759" i="15"/>
  <c r="H1760" i="15"/>
  <c r="G532" i="11"/>
  <c r="H532" i="11" s="1"/>
  <c r="H534" i="11"/>
  <c r="G1408" i="13"/>
  <c r="H1409" i="13"/>
  <c r="H1018" i="15"/>
  <c r="G1017" i="15"/>
  <c r="H1020" i="21"/>
  <c r="H1012" i="21" s="1"/>
  <c r="G1012" i="21"/>
  <c r="E731" i="1" s="1"/>
  <c r="F731" i="1" s="1"/>
  <c r="I1012" i="21" s="1"/>
  <c r="H2218" i="11"/>
  <c r="G2212" i="11"/>
  <c r="H2212" i="11" s="1"/>
  <c r="G1157" i="15"/>
  <c r="H1158" i="15"/>
  <c r="H230" i="8"/>
  <c r="G229" i="8"/>
  <c r="H2176" i="30"/>
  <c r="G2175" i="30"/>
  <c r="H293" i="21"/>
  <c r="G292" i="21"/>
  <c r="G172" i="33"/>
  <c r="H172" i="33" s="1"/>
  <c r="H173" i="33"/>
  <c r="H2026" i="26"/>
  <c r="G2025" i="26"/>
  <c r="H1236" i="8"/>
  <c r="G1234" i="8"/>
  <c r="G717" i="15"/>
  <c r="H718" i="15"/>
  <c r="H476" i="16"/>
  <c r="G475" i="16"/>
  <c r="G452" i="30"/>
  <c r="H452" i="30" s="1"/>
  <c r="H1413" i="11"/>
  <c r="G1412" i="11"/>
  <c r="H2045" i="11"/>
  <c r="G2043" i="11"/>
  <c r="H2043" i="11" s="1"/>
  <c r="H1294" i="8"/>
  <c r="H1286" i="8" s="1"/>
  <c r="G1286" i="8"/>
  <c r="E70" i="1" s="1"/>
  <c r="F70" i="1" s="1"/>
  <c r="I1286" i="8" s="1"/>
  <c r="H93" i="32"/>
  <c r="G92" i="32"/>
  <c r="H336" i="13"/>
  <c r="H328" i="13" s="1"/>
  <c r="G328" i="13"/>
  <c r="E311" i="1" s="1"/>
  <c r="F311" i="1" s="1"/>
  <c r="I328" i="13" s="1"/>
  <c r="G1832" i="30"/>
  <c r="H1834" i="30"/>
  <c r="G592" i="21"/>
  <c r="H595" i="21"/>
  <c r="G988" i="13"/>
  <c r="H989" i="13"/>
  <c r="H493" i="33"/>
  <c r="G492" i="33"/>
  <c r="H492" i="33" s="1"/>
  <c r="H93" i="11"/>
  <c r="G92" i="11"/>
  <c r="H92" i="11" s="1"/>
  <c r="H2607" i="16"/>
  <c r="G2606" i="16"/>
  <c r="H2562" i="8"/>
  <c r="G2561" i="8"/>
  <c r="H848" i="16"/>
  <c r="G847" i="16"/>
  <c r="H1614" i="8"/>
  <c r="H1606" i="8" s="1"/>
  <c r="G1606" i="8"/>
  <c r="E86" i="1" s="1"/>
  <c r="F86" i="1" s="1"/>
  <c r="I1606" i="8" s="1"/>
  <c r="G56" i="26"/>
  <c r="H63" i="26"/>
  <c r="H317" i="13"/>
  <c r="G316" i="13"/>
  <c r="H852" i="26"/>
  <c r="G851" i="26"/>
  <c r="H594" i="11"/>
  <c r="G592" i="11"/>
  <c r="H592" i="11" s="1"/>
  <c r="H1634" i="8"/>
  <c r="H1626" i="8" s="1"/>
  <c r="G1626" i="8"/>
  <c r="E87" i="1" s="1"/>
  <c r="F87" i="1" s="1"/>
  <c r="I1626" i="8" s="1"/>
  <c r="G2428" i="13"/>
  <c r="H2429" i="13"/>
  <c r="H793" i="21"/>
  <c r="G792" i="21"/>
  <c r="G1720" i="24"/>
  <c r="H1721" i="24"/>
  <c r="G1136" i="32"/>
  <c r="H1137" i="32"/>
  <c r="G1539" i="15"/>
  <c r="H1540" i="15"/>
  <c r="H798" i="15"/>
  <c r="G797" i="15"/>
  <c r="G2088" i="13"/>
  <c r="H2089" i="13"/>
  <c r="H3107" i="26"/>
  <c r="G3105" i="26"/>
  <c r="H3105" i="26" s="1"/>
  <c r="H1867" i="26"/>
  <c r="G1865" i="26"/>
  <c r="H1804" i="16"/>
  <c r="G1803" i="16"/>
  <c r="H1803" i="16" s="1"/>
  <c r="G412" i="16"/>
  <c r="H413" i="16"/>
  <c r="H313" i="11"/>
  <c r="G312" i="11"/>
  <c r="H312" i="11" s="1"/>
  <c r="G952" i="30"/>
  <c r="H952" i="30" s="1"/>
  <c r="H953" i="30"/>
  <c r="K481" i="8"/>
  <c r="J481" i="8"/>
  <c r="G72" i="33"/>
  <c r="H73" i="33"/>
  <c r="H226" i="26"/>
  <c r="G223" i="26"/>
  <c r="G551" i="13"/>
  <c r="H552" i="13"/>
  <c r="H794" i="11"/>
  <c r="G792" i="11"/>
  <c r="H792" i="11" s="1"/>
  <c r="H2766" i="26"/>
  <c r="G2763" i="26"/>
  <c r="H2763" i="26" s="1"/>
  <c r="H519" i="16"/>
  <c r="G518" i="16"/>
  <c r="H393" i="24"/>
  <c r="G392" i="24"/>
  <c r="H2564" i="11"/>
  <c r="G2562" i="11"/>
  <c r="H2562" i="11" s="1"/>
  <c r="H2649" i="13"/>
  <c r="G2648" i="13"/>
  <c r="G1548" i="13"/>
  <c r="H1549" i="13"/>
  <c r="H2065" i="11"/>
  <c r="G2063" i="11"/>
  <c r="H2063" i="11" s="1"/>
  <c r="H2019" i="8"/>
  <c r="G2017" i="8"/>
  <c r="G392" i="21"/>
  <c r="H393" i="21"/>
  <c r="G432" i="24"/>
  <c r="H434" i="24"/>
  <c r="H728" i="16"/>
  <c r="G727" i="16"/>
  <c r="H2440" i="8"/>
  <c r="H2432" i="8" s="1"/>
  <c r="G2432" i="8"/>
  <c r="E128" i="1" s="1"/>
  <c r="F128" i="1" s="1"/>
  <c r="I2432" i="8" s="1"/>
  <c r="G1474" i="8"/>
  <c r="H1475" i="8"/>
  <c r="H2945" i="26"/>
  <c r="G2943" i="26"/>
  <c r="H2943" i="26" s="1"/>
  <c r="H246" i="26"/>
  <c r="G243" i="26"/>
  <c r="H1054" i="33"/>
  <c r="G1052" i="33"/>
  <c r="H278" i="32"/>
  <c r="G276" i="32"/>
  <c r="H1621" i="24"/>
  <c r="G1619" i="24"/>
  <c r="H709" i="13"/>
  <c r="G708" i="13"/>
  <c r="G73" i="13"/>
  <c r="H73" i="13" s="1"/>
  <c r="H74" i="13"/>
  <c r="H814" i="11"/>
  <c r="G812" i="11"/>
  <c r="H812" i="11" s="1"/>
  <c r="G429" i="8"/>
  <c r="H430" i="8"/>
  <c r="H1232" i="26"/>
  <c r="G1231" i="26"/>
  <c r="G92" i="24"/>
  <c r="H94" i="24"/>
  <c r="H354" i="33"/>
  <c r="G352" i="33"/>
  <c r="H1318" i="21"/>
  <c r="G1316" i="21"/>
  <c r="H1316" i="21" s="1"/>
  <c r="G1872" i="30"/>
  <c r="H1873" i="30"/>
  <c r="H1775" i="8"/>
  <c r="G1774" i="8"/>
  <c r="H1814" i="8"/>
  <c r="H1806" i="8" s="1"/>
  <c r="G1806" i="8"/>
  <c r="E96" i="1" s="1"/>
  <c r="F96" i="1" s="1"/>
  <c r="I1806" i="8" s="1"/>
  <c r="G1536" i="21"/>
  <c r="H1537" i="21"/>
  <c r="G934" i="8"/>
  <c r="H935" i="8"/>
  <c r="H1143" i="16"/>
  <c r="G1142" i="16"/>
  <c r="H2584" i="11"/>
  <c r="G2582" i="11"/>
  <c r="H2582" i="11" s="1"/>
  <c r="G436" i="32"/>
  <c r="H437" i="32"/>
  <c r="H513" i="21"/>
  <c r="G512" i="21"/>
  <c r="H2029" i="13"/>
  <c r="G2028" i="13"/>
  <c r="G269" i="8"/>
  <c r="H270" i="8"/>
  <c r="H1163" i="16"/>
  <c r="G1162" i="16"/>
  <c r="H1633" i="30"/>
  <c r="G1632" i="30"/>
  <c r="H150" i="8"/>
  <c r="G149" i="8"/>
  <c r="G1894" i="8"/>
  <c r="H1895" i="8"/>
  <c r="G2049" i="15"/>
  <c r="H2050" i="15"/>
  <c r="H1592" i="30"/>
  <c r="H1584" i="30" s="1"/>
  <c r="G1584" i="30"/>
  <c r="E1093" i="1" s="1"/>
  <c r="F1093" i="1" s="1"/>
  <c r="I1584" i="30" s="1"/>
  <c r="G112" i="33"/>
  <c r="H113" i="33"/>
  <c r="H334" i="33"/>
  <c r="G332" i="33"/>
  <c r="G2280" i="8"/>
  <c r="H2281" i="8"/>
  <c r="G1356" i="21"/>
  <c r="H1356" i="21" s="1"/>
  <c r="H1357" i="21"/>
  <c r="H253" i="16"/>
  <c r="G252" i="16"/>
  <c r="H972" i="26"/>
  <c r="G971" i="26"/>
  <c r="G632" i="33"/>
  <c r="H633" i="33"/>
  <c r="G115" i="13"/>
  <c r="H115" i="13" s="1"/>
  <c r="H116" i="13"/>
  <c r="H1171" i="21"/>
  <c r="G1169" i="21"/>
  <c r="H1169" i="21" s="1"/>
  <c r="H2081" i="8"/>
  <c r="G2080" i="8"/>
  <c r="K1717" i="26"/>
  <c r="H2369" i="13"/>
  <c r="G2368" i="13"/>
  <c r="G1131" i="26"/>
  <c r="H1133" i="26"/>
  <c r="G392" i="30"/>
  <c r="H393" i="30"/>
  <c r="G2688" i="13"/>
  <c r="H2689" i="13"/>
  <c r="H2903" i="11"/>
  <c r="G2897" i="11"/>
  <c r="H2897" i="11" s="1"/>
  <c r="H315" i="24"/>
  <c r="G312" i="24"/>
  <c r="H293" i="24"/>
  <c r="G292" i="24"/>
  <c r="H158" i="15"/>
  <c r="G157" i="15"/>
  <c r="G212" i="33"/>
  <c r="H213" i="33"/>
  <c r="H1098" i="16"/>
  <c r="G1097" i="16"/>
  <c r="H2684" i="11"/>
  <c r="G2682" i="11"/>
  <c r="H2682" i="11" s="1"/>
  <c r="H1029" i="24"/>
  <c r="G1027" i="24"/>
  <c r="G1616" i="32"/>
  <c r="H1617" i="32"/>
  <c r="H2683" i="8"/>
  <c r="G2681" i="8"/>
  <c r="G757" i="15"/>
  <c r="H758" i="15"/>
  <c r="H1313" i="11"/>
  <c r="G1312" i="11"/>
  <c r="H1312" i="11" s="1"/>
  <c r="H497" i="32"/>
  <c r="G496" i="32"/>
  <c r="G2335" i="11"/>
  <c r="H2335" i="11" s="1"/>
  <c r="H2341" i="11"/>
  <c r="G1859" i="15"/>
  <c r="H1860" i="15"/>
  <c r="H597" i="32"/>
  <c r="G596" i="32"/>
  <c r="H114" i="24"/>
  <c r="G112" i="24"/>
  <c r="H2626" i="26"/>
  <c r="G2621" i="26"/>
  <c r="H334" i="11"/>
  <c r="G332" i="11"/>
  <c r="H332" i="11" s="1"/>
  <c r="G1312" i="30"/>
  <c r="H1313" i="30"/>
  <c r="G2768" i="13"/>
  <c r="H2769" i="13"/>
  <c r="G1699" i="15"/>
  <c r="H1700" i="15"/>
  <c r="H394" i="33"/>
  <c r="G392" i="33"/>
  <c r="H1212" i="30"/>
  <c r="H1204" i="30" s="1"/>
  <c r="G1204" i="30"/>
  <c r="E1074" i="1" s="1"/>
  <c r="F1074" i="1" s="1"/>
  <c r="I1204" i="30" s="1"/>
  <c r="G174" i="32"/>
  <c r="H175" i="32"/>
  <c r="G752" i="30"/>
  <c r="H753" i="30"/>
  <c r="G12" i="33"/>
  <c r="H13" i="33"/>
  <c r="H1337" i="21"/>
  <c r="G1336" i="21"/>
  <c r="H1645" i="16"/>
  <c r="G1643" i="16"/>
  <c r="H2502" i="11"/>
  <c r="G2496" i="11"/>
  <c r="H2496" i="11" s="1"/>
  <c r="H894" i="33"/>
  <c r="G892" i="33"/>
  <c r="H892" i="33" s="1"/>
  <c r="G1332" i="30"/>
  <c r="H1333" i="30"/>
  <c r="H473" i="33"/>
  <c r="G472" i="33"/>
  <c r="H472" i="33" s="1"/>
  <c r="H1014" i="8"/>
  <c r="H1006" i="8" s="1"/>
  <c r="G1006" i="8"/>
  <c r="E56" i="1" s="1"/>
  <c r="F56" i="1" s="1"/>
  <c r="I1006" i="8" s="1"/>
  <c r="H2222" i="8"/>
  <c r="G2220" i="8"/>
  <c r="G1092" i="11"/>
  <c r="H1094" i="11"/>
  <c r="H2589" i="13"/>
  <c r="G2588" i="13"/>
  <c r="G252" i="24"/>
  <c r="H253" i="24"/>
  <c r="H2428" i="26"/>
  <c r="G2423" i="26"/>
  <c r="G352" i="16"/>
  <c r="H353" i="16"/>
  <c r="G892" i="11"/>
  <c r="H894" i="11"/>
  <c r="H838" i="15"/>
  <c r="G837" i="15"/>
  <c r="G2205" i="16"/>
  <c r="H2206" i="16"/>
  <c r="H952" i="26"/>
  <c r="G951" i="26"/>
  <c r="H412" i="30"/>
  <c r="H404" i="30" s="1"/>
  <c r="G404" i="30"/>
  <c r="E1034" i="1" s="1"/>
  <c r="F1034" i="1" s="1"/>
  <c r="I404" i="30" s="1"/>
  <c r="H1665" i="16"/>
  <c r="G1663" i="16"/>
  <c r="H2744" i="26"/>
  <c r="G2743" i="26"/>
  <c r="H2743" i="26" s="1"/>
  <c r="H674" i="11"/>
  <c r="G672" i="11"/>
  <c r="H672" i="11" s="1"/>
  <c r="H274" i="24"/>
  <c r="G272" i="24"/>
  <c r="H1584" i="16"/>
  <c r="G1583" i="16"/>
  <c r="G2115" i="30"/>
  <c r="H2116" i="30"/>
  <c r="H1429" i="13"/>
  <c r="G1428" i="13"/>
  <c r="H892" i="26"/>
  <c r="G891" i="26"/>
  <c r="G1439" i="15"/>
  <c r="H1440" i="15"/>
  <c r="H877" i="32"/>
  <c r="G876" i="32"/>
  <c r="H133" i="30"/>
  <c r="G132" i="30"/>
  <c r="H132" i="30" s="1"/>
  <c r="H451" i="26"/>
  <c r="G450" i="26"/>
  <c r="H450" i="26" s="1"/>
  <c r="G272" i="11"/>
  <c r="H272" i="11" s="1"/>
  <c r="H273" i="11"/>
  <c r="H768" i="16"/>
  <c r="G767" i="16"/>
  <c r="H267" i="26"/>
  <c r="G264" i="26"/>
  <c r="H413" i="21"/>
  <c r="G412" i="21"/>
  <c r="G2748" i="13"/>
  <c r="H2749" i="13"/>
  <c r="G192" i="16"/>
  <c r="H193" i="16"/>
  <c r="H2788" i="11"/>
  <c r="G2782" i="11"/>
  <c r="H2782" i="11" s="1"/>
  <c r="H2245" i="16"/>
  <c r="H2237" i="16" s="1"/>
  <c r="G2237" i="16"/>
  <c r="E655" i="1" s="1"/>
  <c r="F655" i="1" s="1"/>
  <c r="I2237" i="16" s="1"/>
  <c r="H2274" i="26"/>
  <c r="G2269" i="26"/>
  <c r="H212" i="21"/>
  <c r="H204" i="21" s="1"/>
  <c r="G204" i="21"/>
  <c r="E690" i="1" s="1"/>
  <c r="F690" i="1" s="1"/>
  <c r="I204" i="21" s="1"/>
  <c r="H2110" i="15"/>
  <c r="G2109" i="15"/>
  <c r="G2506" i="16"/>
  <c r="H2507" i="16"/>
  <c r="H2387" i="16"/>
  <c r="G2385" i="16"/>
  <c r="G1412" i="30"/>
  <c r="H1413" i="30"/>
  <c r="G2448" i="13"/>
  <c r="H2449" i="13"/>
  <c r="H2981" i="11"/>
  <c r="G2980" i="11"/>
  <c r="H2980" i="11" s="1"/>
  <c r="G897" i="21"/>
  <c r="H897" i="21" s="1"/>
  <c r="H898" i="21"/>
  <c r="G2320" i="8"/>
  <c r="H2321" i="8"/>
  <c r="H1532" i="30"/>
  <c r="H1524" i="30" s="1"/>
  <c r="G1524" i="30"/>
  <c r="E1090" i="1" s="1"/>
  <c r="F1090" i="1" s="1"/>
  <c r="I1524" i="30" s="1"/>
  <c r="H273" i="30"/>
  <c r="G272" i="30"/>
  <c r="H272" i="30" s="1"/>
  <c r="K1797" i="26"/>
  <c r="G1923" i="16"/>
  <c r="H1924" i="16"/>
  <c r="H414" i="11"/>
  <c r="G412" i="11"/>
  <c r="H412" i="11" s="1"/>
  <c r="G1097" i="15"/>
  <c r="H1098" i="15"/>
  <c r="H1446" i="26"/>
  <c r="G1441" i="26"/>
  <c r="H1452" i="24"/>
  <c r="G1450" i="24"/>
  <c r="H1450" i="24" s="1"/>
  <c r="G2105" i="16"/>
  <c r="H2106" i="16"/>
  <c r="H1934" i="8"/>
  <c r="H1926" i="8" s="1"/>
  <c r="G1926" i="8"/>
  <c r="E103" i="1" s="1"/>
  <c r="F103" i="1" s="1"/>
  <c r="I1926" i="8" s="1"/>
  <c r="H12" i="13"/>
  <c r="H4" i="13" s="1"/>
  <c r="G4" i="13"/>
  <c r="E295" i="1" s="1"/>
  <c r="F295" i="1" s="1"/>
  <c r="I4" i="13" s="1"/>
  <c r="G2069" i="15"/>
  <c r="H2070" i="15"/>
  <c r="G987" i="16"/>
  <c r="H988" i="16"/>
  <c r="G92" i="33"/>
  <c r="H93" i="33"/>
  <c r="G436" i="13"/>
  <c r="H437" i="13"/>
  <c r="H1855" i="8"/>
  <c r="G1854" i="8"/>
  <c r="H572" i="26"/>
  <c r="G570" i="26"/>
  <c r="H570" i="26" s="1"/>
  <c r="H1457" i="32"/>
  <c r="G1456" i="32"/>
  <c r="H1389" i="13"/>
  <c r="G1388" i="13"/>
  <c r="G1739" i="15"/>
  <c r="H1740" i="15"/>
  <c r="H1254" i="11"/>
  <c r="G1252" i="11"/>
  <c r="H1252" i="11" s="1"/>
  <c r="H2685" i="26"/>
  <c r="G2683" i="26"/>
  <c r="H1580" i="11"/>
  <c r="G1576" i="11"/>
  <c r="H2048" i="26"/>
  <c r="G2045" i="26"/>
  <c r="H529" i="8"/>
  <c r="H521" i="8" s="1"/>
  <c r="G521" i="8"/>
  <c r="E31" i="1" s="1"/>
  <c r="F31" i="1" s="1"/>
  <c r="I521" i="8" s="1"/>
  <c r="H458" i="15"/>
  <c r="G457" i="15"/>
  <c r="G940" i="21"/>
  <c r="H941" i="21"/>
  <c r="G1672" i="30"/>
  <c r="H1673" i="30"/>
  <c r="G652" i="30"/>
  <c r="H652" i="30" s="1"/>
  <c r="H653" i="30"/>
  <c r="H755" i="21"/>
  <c r="G752" i="21"/>
  <c r="G152" i="33"/>
  <c r="H152" i="33" s="1"/>
  <c r="H153" i="33"/>
  <c r="H689" i="13"/>
  <c r="G688" i="13"/>
  <c r="H2349" i="13"/>
  <c r="G2348" i="13"/>
  <c r="G252" i="33"/>
  <c r="H252" i="33" s="1"/>
  <c r="H253" i="33"/>
  <c r="H2362" i="8"/>
  <c r="G2360" i="8"/>
  <c r="G1308" i="13"/>
  <c r="H1309" i="13"/>
  <c r="H514" i="24"/>
  <c r="G513" i="24"/>
  <c r="K284" i="11"/>
  <c r="G492" i="30"/>
  <c r="H494" i="30"/>
  <c r="H591" i="8"/>
  <c r="G589" i="8"/>
  <c r="H1710" i="11"/>
  <c r="G1704" i="11"/>
  <c r="H1704" i="11" s="1"/>
  <c r="H2525" i="11"/>
  <c r="G2519" i="11"/>
  <c r="H2519" i="11" s="1"/>
  <c r="H868" i="16"/>
  <c r="G867" i="16"/>
  <c r="H2362" i="26"/>
  <c r="G2357" i="26"/>
  <c r="G377" i="15"/>
  <c r="H378" i="15"/>
  <c r="G2128" i="13"/>
  <c r="H2129" i="13"/>
  <c r="G1618" i="11"/>
  <c r="H1618" i="11" s="1"/>
  <c r="H1620" i="11"/>
  <c r="H1352" i="24"/>
  <c r="G1350" i="24"/>
  <c r="H298" i="15"/>
  <c r="G297" i="15"/>
  <c r="H1745" i="16"/>
  <c r="G1743" i="16"/>
  <c r="H875" i="8"/>
  <c r="G874" i="8"/>
  <c r="H874" i="8" s="1"/>
  <c r="H1689" i="13"/>
  <c r="G1688" i="13"/>
  <c r="H1314" i="8"/>
  <c r="H1306" i="8" s="1"/>
  <c r="G1306" i="8"/>
  <c r="E71" i="1" s="1"/>
  <c r="F71" i="1" s="1"/>
  <c r="I1306" i="8" s="1"/>
  <c r="H1589" i="13"/>
  <c r="G1588" i="13"/>
  <c r="H1277" i="32"/>
  <c r="G1276" i="32"/>
  <c r="G967" i="24"/>
  <c r="H969" i="24"/>
  <c r="G712" i="30"/>
  <c r="H712" i="30" s="1"/>
  <c r="H713" i="30"/>
  <c r="H2301" i="8"/>
  <c r="G2300" i="8"/>
  <c r="H2364" i="11"/>
  <c r="G2358" i="11"/>
  <c r="H2358" i="11" s="1"/>
  <c r="G777" i="15"/>
  <c r="H778" i="15"/>
  <c r="H558" i="15"/>
  <c r="G557" i="15"/>
  <c r="G2621" i="8"/>
  <c r="H2622" i="8"/>
  <c r="H1844" i="16"/>
  <c r="G1843" i="16"/>
  <c r="H152" i="21"/>
  <c r="H144" i="21" s="1"/>
  <c r="G144" i="21"/>
  <c r="E687" i="1" s="1"/>
  <c r="F687" i="1" s="1"/>
  <c r="I144" i="21" s="1"/>
  <c r="H1457" i="21"/>
  <c r="G1456" i="21"/>
  <c r="H1217" i="32"/>
  <c r="G1216" i="32"/>
  <c r="H592" i="26"/>
  <c r="G590" i="26"/>
  <c r="G1989" i="15"/>
  <c r="H1990" i="15"/>
  <c r="H198" i="15"/>
  <c r="G197" i="15"/>
  <c r="G152" i="11"/>
  <c r="H152" i="11" s="1"/>
  <c r="H153" i="11"/>
  <c r="G192" i="11"/>
  <c r="H193" i="11"/>
  <c r="H2560" i="26"/>
  <c r="G2555" i="26"/>
  <c r="H1305" i="16"/>
  <c r="G1303" i="16"/>
  <c r="H2258" i="11"/>
  <c r="G2255" i="11"/>
  <c r="H2255" i="11" s="1"/>
  <c r="H3005" i="26"/>
  <c r="G3003" i="26"/>
  <c r="H3003" i="26" s="1"/>
  <c r="H1456" i="26"/>
  <c r="H2516" i="26"/>
  <c r="G2511" i="26"/>
  <c r="H156" i="13"/>
  <c r="H148" i="13" s="1"/>
  <c r="G148" i="13"/>
  <c r="E302" i="1" s="1"/>
  <c r="F302" i="1" s="1"/>
  <c r="I148" i="13" s="1"/>
  <c r="H2346" i="16"/>
  <c r="G2345" i="16"/>
  <c r="G597" i="15"/>
  <c r="H598" i="15"/>
  <c r="H994" i="11"/>
  <c r="G992" i="11"/>
  <c r="H992" i="11" s="1"/>
  <c r="G2185" i="16"/>
  <c r="H2186" i="16"/>
  <c r="H2884" i="26"/>
  <c r="G2883" i="26"/>
  <c r="H538" i="15"/>
  <c r="G537" i="15"/>
  <c r="H1405" i="16"/>
  <c r="G1403" i="16"/>
  <c r="H837" i="21"/>
  <c r="G835" i="21"/>
  <c r="H835" i="21" s="1"/>
  <c r="G772" i="33"/>
  <c r="H772" i="33" s="1"/>
  <c r="H773" i="33"/>
  <c r="G1576" i="32"/>
  <c r="H1577" i="32"/>
  <c r="H190" i="8"/>
  <c r="G189" i="8"/>
  <c r="H471" i="26"/>
  <c r="G470" i="26"/>
  <c r="H470" i="26" s="1"/>
  <c r="G1117" i="15"/>
  <c r="H1118" i="15"/>
  <c r="H897" i="32"/>
  <c r="G896" i="32"/>
  <c r="H2406" i="26"/>
  <c r="G2401" i="26"/>
  <c r="H674" i="33"/>
  <c r="G672" i="33"/>
  <c r="H774" i="24"/>
  <c r="G773" i="24"/>
  <c r="H2604" i="26"/>
  <c r="G2599" i="26"/>
  <c r="H1134" i="8"/>
  <c r="H1126" i="8" s="1"/>
  <c r="G1126" i="8"/>
  <c r="E62" i="1" s="1"/>
  <c r="F62" i="1" s="1"/>
  <c r="I1126" i="8" s="1"/>
  <c r="G1237" i="15"/>
  <c r="H1238" i="15"/>
  <c r="G52" i="16"/>
  <c r="H53" i="16"/>
  <c r="H2006" i="26"/>
  <c r="G2005" i="26"/>
  <c r="H2005" i="26" s="1"/>
  <c r="H1685" i="16"/>
  <c r="G1683" i="16"/>
  <c r="H854" i="11"/>
  <c r="G852" i="11"/>
  <c r="H612" i="26"/>
  <c r="G610" i="26"/>
  <c r="G1692" i="30"/>
  <c r="H1693" i="30"/>
  <c r="H1312" i="24"/>
  <c r="G1310" i="24"/>
  <c r="H1310" i="24" s="1"/>
  <c r="H257" i="13"/>
  <c r="G256" i="13"/>
  <c r="H554" i="24"/>
  <c r="G553" i="24"/>
  <c r="G1399" i="15"/>
  <c r="H1400" i="15"/>
  <c r="H669" i="13"/>
  <c r="G668" i="13"/>
  <c r="H2230" i="26"/>
  <c r="G2226" i="26"/>
  <c r="H1847" i="26"/>
  <c r="G1845" i="26"/>
  <c r="G2500" i="8"/>
  <c r="H2503" i="8"/>
  <c r="H1329" i="13"/>
  <c r="G1328" i="13"/>
  <c r="H1485" i="26"/>
  <c r="G1484" i="26"/>
  <c r="H1061" i="21"/>
  <c r="G1060" i="21"/>
  <c r="H1060" i="21" s="1"/>
  <c r="H3047" i="26"/>
  <c r="G3043" i="26"/>
  <c r="H3043" i="26" s="1"/>
  <c r="G1424" i="24"/>
  <c r="H1424" i="24" s="1"/>
  <c r="H1425" i="24"/>
  <c r="H433" i="21"/>
  <c r="G432" i="21"/>
  <c r="H954" i="11"/>
  <c r="G952" i="11"/>
  <c r="H952" i="11" s="1"/>
  <c r="G2045" i="16"/>
  <c r="H2047" i="16"/>
  <c r="G12" i="30"/>
  <c r="H12" i="30" s="1"/>
  <c r="H1887" i="26"/>
  <c r="G1885" i="26"/>
  <c r="H318" i="15"/>
  <c r="G317" i="15"/>
  <c r="H710" i="8"/>
  <c r="G709" i="8"/>
  <c r="H692" i="21"/>
  <c r="H684" i="21" s="1"/>
  <c r="G684" i="21"/>
  <c r="E715" i="1" s="1"/>
  <c r="F715" i="1" s="1"/>
  <c r="I684" i="21" s="1"/>
  <c r="G731" i="8"/>
  <c r="H732" i="8"/>
  <c r="H872" i="26"/>
  <c r="G871" i="26"/>
  <c r="H992" i="26"/>
  <c r="G991" i="26"/>
  <c r="H155" i="30"/>
  <c r="G152" i="30"/>
  <c r="H152" i="30" s="1"/>
  <c r="G737" i="15"/>
  <c r="H738" i="15"/>
  <c r="G1504" i="26"/>
  <c r="H1505" i="26"/>
  <c r="H1094" i="8"/>
  <c r="H1086" i="8" s="1"/>
  <c r="G1086" i="8"/>
  <c r="E60" i="1" s="1"/>
  <c r="F60" i="1" s="1"/>
  <c r="I1086" i="8" s="1"/>
  <c r="H512" i="30"/>
  <c r="H504" i="30" s="1"/>
  <c r="G504" i="30"/>
  <c r="E1039" i="1" s="1"/>
  <c r="F1039" i="1" s="1"/>
  <c r="I504" i="30" s="1"/>
  <c r="G980" i="21"/>
  <c r="H981" i="21"/>
  <c r="G1229" i="24"/>
  <c r="H1230" i="24"/>
  <c r="G747" i="16"/>
  <c r="H748" i="16"/>
  <c r="H670" i="8"/>
  <c r="G669" i="8"/>
  <c r="H1049" i="24"/>
  <c r="G1047" i="24"/>
  <c r="G2065" i="16"/>
  <c r="H2066" i="16"/>
  <c r="H330" i="26"/>
  <c r="G327" i="26"/>
  <c r="G1416" i="21"/>
  <c r="H1418" i="21"/>
  <c r="H1425" i="16"/>
  <c r="G1423" i="16"/>
  <c r="G566" i="11"/>
  <c r="H567" i="11"/>
  <c r="G946" i="11"/>
  <c r="H947" i="11"/>
  <c r="H1394" i="8"/>
  <c r="H1386" i="8" s="1"/>
  <c r="G1386" i="8"/>
  <c r="E75" i="1" s="1"/>
  <c r="F75" i="1" s="1"/>
  <c r="I1386" i="8" s="1"/>
  <c r="H554" i="11"/>
  <c r="G552" i="11"/>
  <c r="H552" i="11" s="1"/>
  <c r="G472" i="21"/>
  <c r="H473" i="21"/>
  <c r="H1895" i="30"/>
  <c r="G1892" i="30"/>
  <c r="H2409" i="13"/>
  <c r="G2408" i="13"/>
  <c r="G1836" i="21"/>
  <c r="H1837" i="21"/>
  <c r="H178" i="15"/>
  <c r="G177" i="15"/>
  <c r="H176" i="13"/>
  <c r="H168" i="13" s="1"/>
  <c r="G168" i="13"/>
  <c r="E303" i="1" s="1"/>
  <c r="F303" i="1" s="1"/>
  <c r="I168" i="13" s="1"/>
  <c r="H1477" i="32"/>
  <c r="G1476" i="32"/>
  <c r="H113" i="21"/>
  <c r="G112" i="21"/>
  <c r="H856" i="21"/>
  <c r="G855" i="21"/>
  <c r="H772" i="26"/>
  <c r="G771" i="26"/>
  <c r="H1325" i="16"/>
  <c r="G1323" i="16"/>
  <c r="H890" i="21"/>
  <c r="H568" i="33"/>
  <c r="G336" i="32"/>
  <c r="H338" i="32"/>
  <c r="H614" i="21"/>
  <c r="G612" i="21"/>
  <c r="H2925" i="26"/>
  <c r="G2923" i="26"/>
  <c r="H2923" i="26" s="1"/>
  <c r="G1799" i="15"/>
  <c r="H1800" i="15"/>
  <c r="G1128" i="13"/>
  <c r="H1129" i="13"/>
  <c r="H1796" i="8"/>
  <c r="G1794" i="8"/>
  <c r="G1339" i="15"/>
  <c r="H1340" i="15"/>
  <c r="H297" i="13"/>
  <c r="G296" i="13"/>
  <c r="G1863" i="16"/>
  <c r="H1864" i="16"/>
  <c r="H1092" i="30"/>
  <c r="H1084" i="30" s="1"/>
  <c r="G1084" i="30"/>
  <c r="E1068" i="1" s="1"/>
  <c r="F1068" i="1" s="1"/>
  <c r="I1084" i="30" s="1"/>
  <c r="G1432" i="30"/>
  <c r="H1433" i="30"/>
  <c r="H708" i="16"/>
  <c r="G707" i="16"/>
  <c r="H572" i="21"/>
  <c r="H564" i="21" s="1"/>
  <c r="G564" i="21"/>
  <c r="E708" i="1" s="1"/>
  <c r="F708" i="1" s="1"/>
  <c r="I564" i="21" s="1"/>
  <c r="G552" i="21"/>
  <c r="H552" i="21" s="1"/>
  <c r="H553" i="21"/>
  <c r="G627" i="16"/>
  <c r="H628" i="16"/>
  <c r="G952" i="33"/>
  <c r="H953" i="33"/>
  <c r="H1656" i="21"/>
  <c r="H1648" i="21" s="1"/>
  <c r="G1648" i="21"/>
  <c r="E762" i="1" s="1"/>
  <c r="F762" i="1" s="1"/>
  <c r="I1648" i="21" s="1"/>
  <c r="G1372" i="30"/>
  <c r="H1373" i="30"/>
  <c r="G1443" i="16"/>
  <c r="H1444" i="16"/>
  <c r="H2905" i="26"/>
  <c r="I2905" i="26" s="1"/>
  <c r="G2903" i="26"/>
  <c r="H2903" i="26" s="1"/>
  <c r="G732" i="11"/>
  <c r="H732" i="11" s="1"/>
  <c r="H734" i="11"/>
  <c r="H453" i="16"/>
  <c r="G452" i="16"/>
  <c r="H929" i="13"/>
  <c r="G928" i="13"/>
  <c r="G2208" i="13"/>
  <c r="H2209" i="13"/>
  <c r="G2305" i="16"/>
  <c r="H2306" i="16"/>
  <c r="G2035" i="30"/>
  <c r="H2036" i="30"/>
  <c r="G1446" i="8"/>
  <c r="E78" i="1" s="1"/>
  <c r="F78" i="1" s="1"/>
  <c r="I1446" i="8" s="1"/>
  <c r="H1454" i="8"/>
  <c r="H1446" i="8" s="1"/>
  <c r="G967" i="16"/>
  <c r="H968" i="16"/>
  <c r="H2141" i="8"/>
  <c r="G2140" i="8"/>
  <c r="H2420" i="8"/>
  <c r="H2412" i="8" s="1"/>
  <c r="G2412" i="8"/>
  <c r="E127" i="1" s="1"/>
  <c r="F127" i="1" s="1"/>
  <c r="I2412" i="8" s="1"/>
  <c r="G1188" i="13"/>
  <c r="H1189" i="13"/>
  <c r="H1756" i="11"/>
  <c r="G1750" i="11"/>
  <c r="H1750" i="11" s="1"/>
  <c r="H2090" i="15"/>
  <c r="G2089" i="15"/>
  <c r="H216" i="13"/>
  <c r="H208" i="13" s="1"/>
  <c r="G208" i="13"/>
  <c r="E305" i="1" s="1"/>
  <c r="F305" i="1" s="1"/>
  <c r="I208" i="13" s="1"/>
  <c r="G1319" i="15"/>
  <c r="H1320" i="15"/>
  <c r="H974" i="11"/>
  <c r="G972" i="11"/>
  <c r="H972" i="11" s="1"/>
  <c r="H1525" i="16"/>
  <c r="G1523" i="16"/>
  <c r="H354" i="11"/>
  <c r="G352" i="11"/>
  <c r="H352" i="11" s="1"/>
  <c r="H1871" i="11"/>
  <c r="G1865" i="11"/>
  <c r="H1865" i="11" s="1"/>
  <c r="H2588" i="16"/>
  <c r="G2586" i="16"/>
  <c r="G1077" i="15"/>
  <c r="H1078" i="15"/>
  <c r="G872" i="30"/>
  <c r="H874" i="30"/>
  <c r="H2528" i="16"/>
  <c r="G2526" i="16"/>
  <c r="H2161" i="8"/>
  <c r="G2160" i="8"/>
  <c r="H377" i="13"/>
  <c r="G376" i="13"/>
  <c r="H912" i="26"/>
  <c r="G911" i="26"/>
  <c r="H1012" i="26"/>
  <c r="G1011" i="26"/>
  <c r="H977" i="32"/>
  <c r="G976" i="32"/>
  <c r="G852" i="30"/>
  <c r="H854" i="30"/>
  <c r="G1103" i="21"/>
  <c r="H1104" i="21"/>
  <c r="H2811" i="11"/>
  <c r="G2805" i="11"/>
  <c r="H2805" i="11" s="1"/>
  <c r="H2318" i="26"/>
  <c r="G2313" i="26"/>
  <c r="H735" i="21"/>
  <c r="G732" i="21"/>
  <c r="G94" i="13"/>
  <c r="H94" i="13" s="1"/>
  <c r="H95" i="13"/>
  <c r="G249" i="8"/>
  <c r="H250" i="8"/>
  <c r="H12" i="24"/>
  <c r="H4" i="24" s="1"/>
  <c r="G4" i="24"/>
  <c r="E773" i="1" s="1"/>
  <c r="F773" i="1" s="1"/>
  <c r="I4" i="24" s="1"/>
  <c r="H1717" i="21"/>
  <c r="G1716" i="21"/>
  <c r="G34" i="24"/>
  <c r="H2269" i="13"/>
  <c r="G2268" i="13"/>
  <c r="H1577" i="21"/>
  <c r="G1576" i="21"/>
  <c r="G1203" i="16"/>
  <c r="H1205" i="16"/>
  <c r="H2834" i="11"/>
  <c r="G2828" i="11"/>
  <c r="H2828" i="11" s="1"/>
  <c r="G2165" i="26"/>
  <c r="H2167" i="26"/>
  <c r="G787" i="16"/>
  <c r="H788" i="16"/>
  <c r="H1936" i="30"/>
  <c r="G1933" i="30"/>
  <c r="H967" i="30"/>
  <c r="G966" i="30"/>
  <c r="H927" i="30"/>
  <c r="G926" i="30"/>
  <c r="G166" i="30"/>
  <c r="H167" i="30"/>
  <c r="G1456" i="26"/>
  <c r="E929" i="1" s="1"/>
  <c r="F929" i="1" s="1"/>
  <c r="I1456" i="26" s="1"/>
  <c r="G195" i="32"/>
  <c r="H195" i="32" s="1"/>
  <c r="H196" i="32"/>
  <c r="H592" i="30"/>
  <c r="H584" i="30" s="1"/>
  <c r="G584" i="30"/>
  <c r="E1043" i="1" s="1"/>
  <c r="F1043" i="1" s="1"/>
  <c r="I584" i="30" s="1"/>
  <c r="H417" i="32"/>
  <c r="G416" i="32"/>
  <c r="G1514" i="24"/>
  <c r="H1514" i="24" s="1"/>
  <c r="H1515" i="24"/>
  <c r="G716" i="32"/>
  <c r="H717" i="32"/>
  <c r="G90" i="26"/>
  <c r="H97" i="26"/>
  <c r="H410" i="8"/>
  <c r="G409" i="8"/>
  <c r="H1014" i="11"/>
  <c r="G1012" i="11"/>
  <c r="H1012" i="11" s="1"/>
  <c r="G1928" i="13"/>
  <c r="H1929" i="13"/>
  <c r="H2962" i="11"/>
  <c r="G2960" i="11"/>
  <c r="H2960" i="11" s="1"/>
  <c r="H998" i="15"/>
  <c r="G997" i="15"/>
  <c r="G2488" i="13"/>
  <c r="H2489" i="13"/>
  <c r="H53" i="30"/>
  <c r="G52" i="30"/>
  <c r="H52" i="30" s="1"/>
  <c r="H1034" i="8"/>
  <c r="H1026" i="8" s="1"/>
  <c r="G1026" i="8"/>
  <c r="E57" i="1" s="1"/>
  <c r="F57" i="1" s="1"/>
  <c r="I1026" i="8" s="1"/>
  <c r="H453" i="21"/>
  <c r="G452" i="21"/>
  <c r="H53" i="33"/>
  <c r="G52" i="33"/>
  <c r="G1559" i="15"/>
  <c r="H1560" i="15"/>
  <c r="G252" i="21"/>
  <c r="H253" i="21"/>
  <c r="G389" i="26"/>
  <c r="H389" i="26" s="1"/>
  <c r="H391" i="26"/>
  <c r="H475" i="24"/>
  <c r="G473" i="24"/>
  <c r="H233" i="16"/>
  <c r="G232" i="16"/>
  <c r="G432" i="30"/>
  <c r="H432" i="30" s="1"/>
  <c r="H435" i="30"/>
  <c r="H1705" i="16"/>
  <c r="G1703" i="16"/>
  <c r="H494" i="24"/>
  <c r="G493" i="24"/>
  <c r="G57" i="15"/>
  <c r="H58" i="15"/>
  <c r="H1252" i="26"/>
  <c r="G1251" i="26"/>
  <c r="G645" i="13"/>
  <c r="H646" i="13"/>
  <c r="H174" i="24"/>
  <c r="G172" i="24"/>
  <c r="H33" i="21"/>
  <c r="G32" i="21"/>
  <c r="H1375" i="24"/>
  <c r="G1374" i="24"/>
  <c r="H1374" i="24" s="1"/>
  <c r="H1636" i="21"/>
  <c r="H1628" i="21" s="1"/>
  <c r="G1628" i="21"/>
  <c r="E761" i="1" s="1"/>
  <c r="F761" i="1" s="1"/>
  <c r="I1628" i="21" s="1"/>
  <c r="G2426" i="16"/>
  <c r="H2427" i="16"/>
  <c r="H293" i="16"/>
  <c r="G292" i="16"/>
  <c r="H552" i="26"/>
  <c r="G550" i="26"/>
  <c r="H550" i="26" s="1"/>
  <c r="H357" i="13"/>
  <c r="G356" i="13"/>
  <c r="H1149" i="13"/>
  <c r="G1148" i="13"/>
  <c r="G1083" i="21"/>
  <c r="H1083" i="21" s="1"/>
  <c r="H1084" i="21"/>
  <c r="H2149" i="11"/>
  <c r="G2143" i="11"/>
  <c r="H2143" i="11" s="1"/>
  <c r="H792" i="26"/>
  <c r="G791" i="26"/>
  <c r="H808" i="16"/>
  <c r="G807" i="16"/>
  <c r="G2663" i="26"/>
  <c r="H2664" i="26"/>
  <c r="G392" i="11"/>
  <c r="H392" i="11" s="1"/>
  <c r="H394" i="11"/>
  <c r="H370" i="8"/>
  <c r="G369" i="8"/>
  <c r="G613" i="24"/>
  <c r="H614" i="24"/>
  <c r="H2202" i="8"/>
  <c r="G2200" i="8"/>
  <c r="H774" i="8"/>
  <c r="H766" i="8" s="1"/>
  <c r="G766" i="8"/>
  <c r="E43" i="1" s="1"/>
  <c r="F43" i="1" s="1"/>
  <c r="I766" i="8" s="1"/>
  <c r="H734" i="24"/>
  <c r="G733" i="24"/>
  <c r="H1032" i="26"/>
  <c r="G1031" i="26"/>
  <c r="G1419" i="15"/>
  <c r="H1420" i="15"/>
  <c r="H649" i="8"/>
  <c r="H641" i="8" s="1"/>
  <c r="G641" i="8"/>
  <c r="E37" i="1" s="1"/>
  <c r="F37" i="1" s="1"/>
  <c r="I641" i="8" s="1"/>
  <c r="H431" i="26"/>
  <c r="G430" i="26"/>
  <c r="H430" i="26" s="1"/>
  <c r="H418" i="15"/>
  <c r="G417" i="15"/>
  <c r="H577" i="32"/>
  <c r="G576" i="32"/>
  <c r="H1385" i="16"/>
  <c r="G1383" i="16"/>
  <c r="H1779" i="11"/>
  <c r="G1773" i="11"/>
  <c r="H1773" i="11" s="1"/>
  <c r="H694" i="11"/>
  <c r="G692" i="11"/>
  <c r="H692" i="11" s="1"/>
  <c r="H1984" i="16"/>
  <c r="G1983" i="16"/>
  <c r="G1792" i="30"/>
  <c r="H1793" i="30"/>
  <c r="G495" i="16"/>
  <c r="H496" i="16"/>
  <c r="H2488" i="16"/>
  <c r="G2486" i="16"/>
  <c r="H1233" i="21"/>
  <c r="G1232" i="21"/>
  <c r="G1283" i="16"/>
  <c r="H1284" i="16"/>
  <c r="H1538" i="11"/>
  <c r="G1534" i="11"/>
  <c r="H1534" i="11" s="1"/>
  <c r="G2863" i="26"/>
  <c r="H2864" i="26"/>
  <c r="K1677" i="26"/>
  <c r="G2129" i="15"/>
  <c r="H2130" i="15"/>
  <c r="H1212" i="26"/>
  <c r="G1211" i="26"/>
  <c r="G872" i="11"/>
  <c r="H874" i="11"/>
  <c r="G2048" i="13"/>
  <c r="H2049" i="13"/>
  <c r="H668" i="16"/>
  <c r="G667" i="16"/>
  <c r="H2845" i="26"/>
  <c r="G2843" i="26"/>
  <c r="G449" i="8"/>
  <c r="H450" i="8"/>
  <c r="H1963" i="11"/>
  <c r="G1957" i="11"/>
  <c r="H1957" i="11" s="1"/>
  <c r="H715" i="33"/>
  <c r="G712" i="33"/>
  <c r="H509" i="8"/>
  <c r="H501" i="8" s="1"/>
  <c r="G501" i="8"/>
  <c r="E30" i="1" s="1"/>
  <c r="F30" i="1" s="1"/>
  <c r="I501" i="8" s="1"/>
  <c r="H2147" i="26"/>
  <c r="G2145" i="26"/>
  <c r="H1349" i="13"/>
  <c r="G1348" i="13"/>
  <c r="G1999" i="26"/>
  <c r="H2000" i="26"/>
  <c r="G506" i="11"/>
  <c r="H672" i="21"/>
  <c r="H664" i="21" s="1"/>
  <c r="G664" i="21"/>
  <c r="E714" i="1" s="1"/>
  <c r="F714" i="1" s="1"/>
  <c r="I664" i="21" s="1"/>
  <c r="G1334" i="8"/>
  <c r="H1335" i="8"/>
  <c r="H1926" i="26"/>
  <c r="G1925" i="26"/>
  <c r="H1925" i="26" s="1"/>
  <c r="H1601" i="11"/>
  <c r="G1597" i="11"/>
  <c r="H1674" i="8"/>
  <c r="H1666" i="8" s="1"/>
  <c r="G1666" i="8"/>
  <c r="E89" i="1" s="1"/>
  <c r="F89" i="1" s="1"/>
  <c r="I1666" i="8" s="1"/>
  <c r="G397" i="15"/>
  <c r="H398" i="15"/>
  <c r="H1537" i="32"/>
  <c r="G1536" i="32"/>
  <c r="H1955" i="8"/>
  <c r="G1954" i="8"/>
  <c r="H531" i="26"/>
  <c r="G530" i="26"/>
  <c r="H837" i="32"/>
  <c r="G836" i="32"/>
  <c r="H1469" i="13"/>
  <c r="G1468" i="13"/>
  <c r="H1625" i="16"/>
  <c r="G1623" i="16"/>
  <c r="H288" i="26"/>
  <c r="G285" i="26"/>
  <c r="G632" i="30"/>
  <c r="H632" i="30" s="1"/>
  <c r="H633" i="30"/>
  <c r="G1579" i="15"/>
  <c r="H1580" i="15"/>
  <c r="H1709" i="13"/>
  <c r="G1708" i="13"/>
  <c r="H2942" i="11"/>
  <c r="G2940" i="11"/>
  <c r="H2940" i="11" s="1"/>
  <c r="H1325" i="24"/>
  <c r="H147" i="11"/>
  <c r="H1184" i="21"/>
  <c r="H47" i="11"/>
  <c r="H98" i="15"/>
  <c r="G97" i="15"/>
  <c r="G917" i="15"/>
  <c r="H918" i="15"/>
  <c r="H637" i="32"/>
  <c r="G636" i="32"/>
  <c r="H1492" i="30"/>
  <c r="H1484" i="30" s="1"/>
  <c r="G1484" i="30"/>
  <c r="E1088" i="1" s="1"/>
  <c r="F1088" i="1" s="1"/>
  <c r="I1484" i="30" s="1"/>
  <c r="H194" i="24"/>
  <c r="G192" i="24"/>
  <c r="H196" i="13"/>
  <c r="H188" i="13" s="1"/>
  <c r="G188" i="13"/>
  <c r="E304" i="1" s="1"/>
  <c r="F304" i="1" s="1"/>
  <c r="I188" i="13" s="1"/>
  <c r="G2546" i="16"/>
  <c r="H2547" i="16"/>
  <c r="H1337" i="26"/>
  <c r="G1335" i="26"/>
  <c r="H1335" i="26" s="1"/>
  <c r="H731" i="26"/>
  <c r="H723" i="26" s="1"/>
  <c r="G723" i="26"/>
  <c r="E893" i="1" s="1"/>
  <c r="F893" i="1" s="1"/>
  <c r="I723" i="26" s="1"/>
  <c r="H989" i="24"/>
  <c r="G987" i="24"/>
  <c r="H937" i="32"/>
  <c r="G936" i="32"/>
  <c r="H1377" i="21"/>
  <c r="G1376" i="21"/>
  <c r="H113" i="30"/>
  <c r="G112" i="30"/>
  <c r="H112" i="30" s="1"/>
  <c r="H2382" i="8"/>
  <c r="G2380" i="8"/>
  <c r="H132" i="24"/>
  <c r="H124" i="24" s="1"/>
  <c r="G124" i="24"/>
  <c r="E779" i="1" s="1"/>
  <c r="F779" i="1" s="1"/>
  <c r="I124" i="24" s="1"/>
  <c r="H1114" i="11"/>
  <c r="G1112" i="11"/>
  <c r="H1112" i="11" s="1"/>
  <c r="G1965" i="26"/>
  <c r="H1965" i="26" s="1"/>
  <c r="H1966" i="26"/>
  <c r="H33" i="30"/>
  <c r="G32" i="30"/>
  <c r="H32" i="30" s="1"/>
  <c r="G794" i="8"/>
  <c r="H795" i="8"/>
  <c r="E1328" i="24"/>
  <c r="E871" i="8"/>
  <c r="G871" i="8" s="1"/>
  <c r="E117" i="8"/>
  <c r="G117" i="8" s="1"/>
  <c r="E850" i="8"/>
  <c r="G850" i="8" s="1"/>
  <c r="E1799" i="16"/>
  <c r="E88" i="11"/>
  <c r="G88" i="11" s="1"/>
  <c r="H88" i="11" s="1"/>
  <c r="E830" i="21"/>
  <c r="E8" i="11"/>
  <c r="G8" i="11" s="1"/>
  <c r="E28" i="11"/>
  <c r="G28" i="11" s="1"/>
  <c r="E915" i="21"/>
  <c r="G915" i="21" s="1"/>
  <c r="H915" i="21" s="1"/>
  <c r="E809" i="8"/>
  <c r="G809" i="8" s="1"/>
  <c r="E68" i="11"/>
  <c r="G68" i="11" s="1"/>
  <c r="E108" i="11"/>
  <c r="G108" i="11" s="1"/>
  <c r="E48" i="11"/>
  <c r="G48" i="11" s="1"/>
  <c r="H48" i="11" s="1"/>
  <c r="E829" i="8"/>
  <c r="G829" i="8" s="1"/>
  <c r="E93" i="8"/>
  <c r="H373" i="24"/>
  <c r="G372" i="24"/>
  <c r="H929" i="24"/>
  <c r="G927" i="24"/>
  <c r="G2275" i="11"/>
  <c r="H2276" i="11"/>
  <c r="H1824" i="16"/>
  <c r="G1823" i="16"/>
  <c r="G169" i="8"/>
  <c r="H170" i="8"/>
  <c r="H1174" i="11"/>
  <c r="G1172" i="11"/>
  <c r="H1172" i="11" s="1"/>
  <c r="H2724" i="26"/>
  <c r="G2723" i="26"/>
  <c r="G192" i="33"/>
  <c r="H193" i="33"/>
  <c r="H2085" i="11"/>
  <c r="G2083" i="11"/>
  <c r="H2083" i="11" s="1"/>
  <c r="G1051" i="26"/>
  <c r="H1052" i="26"/>
  <c r="H2602" i="8"/>
  <c r="G2601" i="8"/>
  <c r="G497" i="15"/>
  <c r="H498" i="15"/>
  <c r="G2085" i="16"/>
  <c r="H2086" i="16"/>
  <c r="G1257" i="15"/>
  <c r="H1258" i="15"/>
  <c r="H1552" i="30"/>
  <c r="H1544" i="30" s="1"/>
  <c r="G1544" i="30"/>
  <c r="E1091" i="1" s="1"/>
  <c r="F1091" i="1" s="1"/>
  <c r="I1544" i="30" s="1"/>
  <c r="H974" i="33"/>
  <c r="G972" i="33"/>
  <c r="G1156" i="32"/>
  <c r="H1157" i="32"/>
  <c r="H73" i="11"/>
  <c r="G72" i="11"/>
  <c r="H72" i="11" s="1"/>
  <c r="H932" i="33"/>
  <c r="H924" i="33" s="1"/>
  <c r="G924" i="33"/>
  <c r="E1256" i="1" s="1"/>
  <c r="F1256" i="1" s="1"/>
  <c r="I924" i="33" s="1"/>
  <c r="H483" i="13"/>
  <c r="G482" i="13"/>
  <c r="G13" i="15"/>
  <c r="I375" i="2"/>
  <c r="I694" i="2"/>
  <c r="I600" i="2"/>
  <c r="I755" i="2"/>
  <c r="I333" i="2"/>
  <c r="I176" i="2"/>
  <c r="I576" i="2"/>
  <c r="I597" i="2"/>
  <c r="I177" i="2"/>
  <c r="I714" i="2"/>
  <c r="I767" i="2"/>
  <c r="I216" i="2"/>
  <c r="I870" i="2"/>
  <c r="I843" i="2"/>
  <c r="I436" i="2"/>
  <c r="I738" i="2"/>
  <c r="I37" i="2"/>
  <c r="I148" i="2"/>
  <c r="I49" i="2"/>
  <c r="I911" i="2"/>
  <c r="I446" i="2"/>
  <c r="I217" i="2"/>
  <c r="I565" i="2"/>
  <c r="I207" i="2"/>
  <c r="I540" i="2"/>
  <c r="I538" i="2"/>
  <c r="I410" i="2"/>
  <c r="I65" i="3"/>
  <c r="I525" i="2"/>
  <c r="I385" i="2"/>
  <c r="I873" i="2"/>
  <c r="I734" i="2"/>
  <c r="I504" i="2"/>
  <c r="I609" i="2"/>
  <c r="I413" i="2"/>
  <c r="I32" i="3"/>
  <c r="I40" i="5"/>
  <c r="I80" i="3"/>
  <c r="I938" i="2"/>
  <c r="I915" i="2"/>
  <c r="I763" i="2"/>
  <c r="I407" i="2"/>
  <c r="I161" i="2"/>
  <c r="I31" i="3"/>
  <c r="I618" i="2"/>
  <c r="I685" i="2"/>
  <c r="I383" i="2"/>
  <c r="I594" i="2"/>
  <c r="I558" i="2"/>
  <c r="I358" i="2"/>
  <c r="I754" i="2"/>
  <c r="I159" i="2"/>
  <c r="I670" i="2"/>
  <c r="I24" i="2"/>
  <c r="I38" i="2"/>
  <c r="I722" i="2"/>
  <c r="I63" i="2"/>
  <c r="I154" i="2"/>
  <c r="I61" i="2"/>
  <c r="I59" i="2"/>
  <c r="I34" i="3"/>
  <c r="I941" i="2"/>
  <c r="I136" i="2"/>
  <c r="I780" i="2"/>
  <c r="I245" i="2"/>
  <c r="I396" i="2"/>
  <c r="I30" i="3"/>
  <c r="I365" i="2"/>
  <c r="I238" i="2"/>
  <c r="I98" i="2"/>
  <c r="I79" i="2"/>
  <c r="I877" i="2"/>
  <c r="I760" i="2"/>
  <c r="I799" i="2"/>
  <c r="I45" i="3"/>
  <c r="I328" i="2"/>
  <c r="I478" i="2"/>
  <c r="I677" i="2"/>
  <c r="I612" i="2"/>
  <c r="I701" i="2"/>
  <c r="I275" i="2"/>
  <c r="I424" i="2"/>
  <c r="I765" i="2"/>
  <c r="I9" i="3"/>
  <c r="I458" i="2"/>
  <c r="I260" i="2"/>
  <c r="I53" i="3"/>
  <c r="I126" i="2"/>
  <c r="I608" i="2"/>
  <c r="I797" i="2"/>
  <c r="I474" i="2"/>
  <c r="I422" i="2"/>
  <c r="I76" i="3"/>
  <c r="I826" i="2"/>
  <c r="I642" i="2"/>
  <c r="I290" i="2"/>
  <c r="I876" i="2"/>
  <c r="I274" i="2"/>
  <c r="I468" i="2"/>
  <c r="I60" i="3"/>
  <c r="I336" i="2"/>
  <c r="I700" i="2"/>
  <c r="I818" i="2"/>
  <c r="I391" i="2"/>
  <c r="I930" i="2"/>
  <c r="I855" i="2"/>
  <c r="I712" i="2"/>
  <c r="I495" i="2"/>
  <c r="I64" i="2"/>
  <c r="I349" i="2"/>
  <c r="I326" i="2"/>
  <c r="I58" i="3"/>
  <c r="I95" i="2"/>
  <c r="I476" i="2"/>
  <c r="I574" i="2"/>
  <c r="I512" i="2"/>
  <c r="I421" i="2"/>
  <c r="I925" i="2"/>
  <c r="I142" i="2"/>
  <c r="I79" i="3"/>
  <c r="I811" i="2"/>
  <c r="I202" i="2"/>
  <c r="I486" i="2"/>
  <c r="I224" i="2"/>
  <c r="I787" i="2"/>
  <c r="I366" i="2"/>
  <c r="I318" i="2"/>
  <c r="I49" i="5"/>
  <c r="I794" i="2"/>
  <c r="I81" i="2"/>
  <c r="I113" i="2"/>
  <c r="I46" i="2"/>
  <c r="I625" i="2"/>
  <c r="I179" i="2"/>
  <c r="I298" i="2"/>
  <c r="I231" i="2"/>
  <c r="I74" i="3"/>
  <c r="I431" i="2"/>
  <c r="I50" i="3"/>
  <c r="I94" i="2"/>
  <c r="I809" i="2"/>
  <c r="I430" i="2"/>
  <c r="I10" i="3"/>
  <c r="I301" i="2"/>
  <c r="I191" i="2"/>
  <c r="I683" i="2"/>
  <c r="I752" i="2"/>
  <c r="I226" i="2"/>
  <c r="I747" i="2"/>
  <c r="I376" i="2"/>
  <c r="I67" i="3"/>
  <c r="I306" i="2"/>
  <c r="I85" i="3"/>
  <c r="I587" i="2"/>
  <c r="I814" i="2"/>
  <c r="I779" i="2"/>
  <c r="I34" i="5"/>
  <c r="I307" i="2"/>
  <c r="I360" i="2"/>
  <c r="I54" i="5"/>
  <c r="I878" i="2"/>
  <c r="I893" i="2"/>
  <c r="I261" i="2"/>
  <c r="I276" i="2"/>
  <c r="I322" i="2"/>
  <c r="I145" i="2"/>
  <c r="I541" i="2"/>
  <c r="I889" i="2"/>
  <c r="I796" i="2"/>
  <c r="I856" i="2"/>
  <c r="I32" i="2"/>
  <c r="I782" i="2"/>
  <c r="I13" i="3"/>
  <c r="I157" i="2"/>
  <c r="I42" i="2"/>
  <c r="I209" i="2"/>
  <c r="I27" i="2"/>
  <c r="I29" i="3"/>
  <c r="I827" i="2"/>
  <c r="I149" i="2"/>
  <c r="I398" i="2"/>
  <c r="I934" i="2"/>
  <c r="I370" i="2"/>
  <c r="I897" i="2"/>
  <c r="I408" i="2"/>
  <c r="I560" i="2"/>
  <c r="I404" i="2"/>
  <c r="I544" i="2"/>
  <c r="I868" i="2"/>
  <c r="I17" i="3"/>
  <c r="I62" i="2"/>
  <c r="I548" i="2"/>
  <c r="I31" i="2"/>
  <c r="I557" i="2"/>
  <c r="I449" i="2"/>
  <c r="I740" i="2"/>
  <c r="I526" i="2"/>
  <c r="I220" i="2"/>
  <c r="I8" i="4"/>
  <c r="I178" i="2"/>
  <c r="I6" i="3"/>
  <c r="I197" i="2"/>
  <c r="I47" i="5"/>
  <c r="I635" i="2"/>
  <c r="I144" i="2"/>
  <c r="I205" i="2"/>
  <c r="I749" i="2"/>
  <c r="I40" i="3"/>
  <c r="I222" i="2"/>
  <c r="I22" i="2"/>
  <c r="I829" i="2"/>
  <c r="I543" i="2"/>
  <c r="I115" i="2"/>
  <c r="I210" i="2"/>
  <c r="I450" i="2"/>
  <c r="I620" i="2"/>
  <c r="I11" i="3"/>
  <c r="I837" i="2"/>
  <c r="I27" i="3"/>
  <c r="I523" i="2"/>
  <c r="I299" i="2"/>
  <c r="I405" i="2"/>
  <c r="I539" i="2"/>
  <c r="I294" i="2"/>
  <c r="I182" i="2"/>
  <c r="I801" i="2"/>
  <c r="I129" i="2"/>
  <c r="I473" i="2"/>
  <c r="I605" i="2"/>
  <c r="I39" i="2"/>
  <c r="I649" i="2"/>
  <c r="I206" i="2"/>
  <c r="I284" i="2"/>
  <c r="I382" i="2"/>
  <c r="I920" i="2"/>
  <c r="I501" i="2"/>
  <c r="I180" i="2"/>
  <c r="I162" i="2"/>
  <c r="I427" i="2"/>
  <c r="I648" i="2"/>
  <c r="I882" i="2"/>
  <c r="I679" i="2"/>
  <c r="I848" i="2"/>
  <c r="I249" i="2"/>
  <c r="I459" i="2"/>
  <c r="I58" i="2"/>
  <c r="I25" i="3"/>
  <c r="I146" i="2"/>
  <c r="I917" i="2"/>
  <c r="I918" i="2"/>
  <c r="I457" i="2"/>
  <c r="I384" i="2"/>
  <c r="I311" i="2"/>
  <c r="I529" i="2"/>
  <c r="I531" i="2"/>
  <c r="I820" i="2"/>
  <c r="I143" i="2"/>
  <c r="I582" i="2"/>
  <c r="I379" i="2"/>
  <c r="I475" i="2"/>
  <c r="I117" i="2"/>
  <c r="I54" i="2"/>
  <c r="I707" i="2"/>
  <c r="I99" i="2"/>
  <c r="I277" i="2"/>
  <c r="I19" i="3"/>
  <c r="I350" i="2"/>
  <c r="I89" i="3"/>
  <c r="I892" i="2"/>
  <c r="I483" i="2"/>
  <c r="I434" i="2"/>
  <c r="I640" i="2"/>
  <c r="I926" i="2"/>
  <c r="I289" i="2"/>
  <c r="I105" i="2"/>
  <c r="I314" i="2"/>
  <c r="I927" i="2"/>
  <c r="I47" i="3"/>
  <c r="I73" i="3"/>
  <c r="I41" i="2"/>
  <c r="I684" i="2"/>
  <c r="I233" i="2"/>
  <c r="I773" i="2"/>
  <c r="I419" i="2"/>
  <c r="I661" i="2"/>
  <c r="I199" i="2"/>
  <c r="I937" i="2"/>
  <c r="I660" i="2"/>
  <c r="I439" i="2"/>
  <c r="I288" i="2"/>
  <c r="I97" i="2"/>
  <c r="I57" i="2"/>
  <c r="I103" i="2"/>
  <c r="I327" i="2"/>
  <c r="I420" i="2"/>
  <c r="I291" i="2"/>
  <c r="I45" i="2"/>
  <c r="I719" i="2"/>
  <c r="I35" i="5"/>
  <c r="I775" i="2"/>
  <c r="I36" i="3"/>
  <c r="I262" i="2"/>
  <c r="I706" i="2"/>
  <c r="I359" i="2"/>
  <c r="I155" i="2"/>
  <c r="I646" i="2"/>
  <c r="I406" i="2"/>
  <c r="I259" i="2"/>
  <c r="I547" i="2"/>
  <c r="I853" i="2"/>
  <c r="I160" i="2"/>
  <c r="I647" i="2"/>
  <c r="I596" i="2"/>
  <c r="I30" i="2"/>
  <c r="I680" i="2"/>
  <c r="I12" i="2"/>
  <c r="I228" i="2"/>
  <c r="I44" i="5"/>
  <c r="I156" i="2"/>
  <c r="I69" i="2"/>
  <c r="I521" i="2"/>
  <c r="I36" i="5"/>
  <c r="I45" i="5"/>
  <c r="I923" i="2"/>
  <c r="I551" i="2"/>
  <c r="I570" i="2"/>
  <c r="I916" i="2"/>
  <c r="I258" i="2"/>
  <c r="I515" i="2"/>
  <c r="I389" i="2"/>
  <c r="I393" i="2"/>
  <c r="I223" i="2"/>
  <c r="I522" i="2"/>
  <c r="I824" i="2"/>
  <c r="I772" i="2"/>
  <c r="I447" i="2"/>
  <c r="I256" i="2"/>
  <c r="I106" i="2"/>
  <c r="I172" i="2"/>
  <c r="I164" i="2"/>
  <c r="I654" i="2"/>
  <c r="I884" i="2"/>
  <c r="I735" i="2"/>
  <c r="I783" i="2"/>
  <c r="I170" i="2"/>
  <c r="I689" i="2"/>
  <c r="I29" i="2"/>
  <c r="I613" i="2"/>
  <c r="I195" i="2"/>
  <c r="I189" i="2"/>
  <c r="I598" i="2"/>
  <c r="I51" i="3"/>
  <c r="I579" i="2"/>
  <c r="I704" i="2"/>
  <c r="I244" i="2"/>
  <c r="I47" i="2"/>
  <c r="I109" i="2"/>
  <c r="I83" i="3"/>
  <c r="I781" i="2"/>
  <c r="I123" i="2"/>
  <c r="I173" i="2"/>
  <c r="I19" i="2"/>
  <c r="I255" i="2"/>
  <c r="I491" i="2"/>
  <c r="I227" i="2"/>
  <c r="I445" i="2"/>
  <c r="I271" i="2"/>
  <c r="I723" i="2"/>
  <c r="I702" i="2"/>
  <c r="I819" i="2"/>
  <c r="I317" i="2"/>
  <c r="I489" i="2"/>
  <c r="I792" i="2"/>
  <c r="I121" i="2"/>
  <c r="I805" i="2"/>
  <c r="I806" i="2"/>
  <c r="I131" i="2"/>
  <c r="I214" i="2"/>
  <c r="I919" i="2"/>
  <c r="I373" i="2"/>
  <c r="I35" i="2"/>
  <c r="I21" i="3"/>
  <c r="I614" i="2"/>
  <c r="I710" i="2"/>
  <c r="I488" i="2"/>
  <c r="I854" i="2"/>
  <c r="I611" i="2"/>
  <c r="I24" i="3"/>
  <c r="I353" i="2"/>
  <c r="I849" i="2"/>
  <c r="I316" i="2"/>
  <c r="I751" i="2"/>
  <c r="I425" i="2"/>
  <c r="I891" i="2"/>
  <c r="I8" i="2"/>
  <c r="I741" i="2"/>
  <c r="I931" i="2"/>
  <c r="I83" i="2"/>
  <c r="I479" i="2"/>
  <c r="I494" i="2"/>
  <c r="I813" i="2"/>
  <c r="I581" i="2"/>
  <c r="I345" i="2"/>
  <c r="I869" i="2"/>
  <c r="I791" i="2"/>
  <c r="I638" i="2"/>
  <c r="I555" i="2"/>
  <c r="I239" i="2"/>
  <c r="I455" i="2"/>
  <c r="I617" i="2"/>
  <c r="I852" i="2"/>
  <c r="I252" i="2"/>
  <c r="I33" i="3"/>
  <c r="I771" i="2"/>
  <c r="I718" i="2"/>
  <c r="I634" i="2"/>
  <c r="I514" i="2"/>
  <c r="I325" i="2"/>
  <c r="I485" i="2"/>
  <c r="I903" i="2"/>
  <c r="I493" i="2"/>
  <c r="I630" i="2"/>
  <c r="I705" i="2"/>
  <c r="I866" i="2"/>
  <c r="I401" i="2"/>
  <c r="I438" i="2"/>
  <c r="I580" i="2"/>
  <c r="I851" i="2"/>
  <c r="I865" i="2"/>
  <c r="I120" i="2"/>
  <c r="I158" i="2"/>
  <c r="I92" i="2"/>
  <c r="I281" i="2"/>
  <c r="I568" i="2"/>
  <c r="I535" i="2"/>
  <c r="I658" i="2"/>
  <c r="I742" i="2"/>
  <c r="I225" i="2"/>
  <c r="I774" i="2"/>
  <c r="I785" i="2"/>
  <c r="I48" i="3"/>
  <c r="I68" i="3"/>
  <c r="I305" i="2"/>
  <c r="I7" i="2"/>
  <c r="I201" i="2"/>
  <c r="I667" i="2"/>
  <c r="I686" i="2"/>
  <c r="I593" i="2"/>
  <c r="I65" i="2"/>
  <c r="I263" i="2"/>
  <c r="I84" i="3"/>
  <c r="I42" i="5"/>
  <c r="I816" i="2"/>
  <c r="I51" i="2"/>
  <c r="I844" i="2"/>
  <c r="I671" i="2"/>
  <c r="I43" i="2"/>
  <c r="I727" i="2"/>
  <c r="I70" i="2"/>
  <c r="I351" i="2"/>
  <c r="I118" i="2"/>
  <c r="I55" i="5"/>
  <c r="I247" i="2"/>
  <c r="I208" i="2"/>
  <c r="I75" i="3"/>
  <c r="I28" i="2"/>
  <c r="I361" i="2"/>
  <c r="I784" i="2"/>
  <c r="I285" i="2"/>
  <c r="I872" i="2"/>
  <c r="I71" i="3"/>
  <c r="I152" i="2"/>
  <c r="I171" i="2"/>
  <c r="I423" i="2"/>
  <c r="I268" i="2"/>
  <c r="I415" i="2"/>
  <c r="I616" i="2"/>
  <c r="I52" i="2"/>
  <c r="I758" i="2"/>
  <c r="I732" i="2"/>
  <c r="I519" i="2"/>
  <c r="I910" i="2"/>
  <c r="I139" i="2"/>
  <c r="I607" i="2"/>
  <c r="I323" i="2"/>
  <c r="I628" i="2"/>
  <c r="I448" i="2"/>
  <c r="I43" i="5"/>
  <c r="I243" i="2"/>
  <c r="I188" i="2"/>
  <c r="I308" i="2"/>
  <c r="I339" i="2"/>
  <c r="I725" i="2"/>
  <c r="I940" i="2"/>
  <c r="I283" i="2"/>
  <c r="I729" i="2"/>
  <c r="I87" i="3"/>
  <c r="I62" i="3"/>
  <c r="I464" i="2"/>
  <c r="I687" i="2"/>
  <c r="I651" i="2"/>
  <c r="I61" i="3"/>
  <c r="I237" i="2"/>
  <c r="I936" i="2"/>
  <c r="I330" i="2"/>
  <c r="I369" i="2"/>
  <c r="I215" i="2"/>
  <c r="I266" i="2"/>
  <c r="I499" i="2"/>
  <c r="I553" i="2"/>
  <c r="I530" i="2"/>
  <c r="I875" i="2"/>
  <c r="I561" i="2"/>
  <c r="I503" i="2"/>
  <c r="I944" i="2"/>
  <c r="I51" i="5"/>
  <c r="I556" i="2"/>
  <c r="I429" i="2"/>
  <c r="I666" i="2"/>
  <c r="I441" i="2"/>
  <c r="I44" i="3"/>
  <c r="I229" i="2"/>
  <c r="I392" i="2"/>
  <c r="I175" i="2"/>
  <c r="I242" i="2"/>
  <c r="I55" i="3"/>
  <c r="I165" i="2"/>
  <c r="I52" i="5"/>
  <c r="I606" i="2"/>
  <c r="I603" i="2"/>
  <c r="I583" i="2"/>
  <c r="I315" i="2"/>
  <c r="I388" i="2"/>
  <c r="I85" i="2"/>
  <c r="I86" i="3"/>
  <c r="I53" i="5"/>
  <c r="I246" i="2"/>
  <c r="I321" i="2"/>
  <c r="I279" i="2"/>
  <c r="I8" i="3"/>
  <c r="I637" i="2"/>
  <c r="I248" i="2"/>
  <c r="I48" i="2"/>
  <c r="I49" i="3"/>
  <c r="I769" i="2"/>
  <c r="I506" i="2"/>
  <c r="I528" i="2"/>
  <c r="I895" i="2"/>
  <c r="I615" i="2"/>
  <c r="I657" i="2"/>
  <c r="I788" i="2"/>
  <c r="I102" i="2"/>
  <c r="I53" i="2"/>
  <c r="I185" i="2"/>
  <c r="I282" i="2"/>
  <c r="I70" i="3"/>
  <c r="I759" i="2"/>
  <c r="I861" i="2"/>
  <c r="I140" i="2"/>
  <c r="I554" i="2"/>
  <c r="I390" i="2"/>
  <c r="I198" i="2"/>
  <c r="I22" i="3"/>
  <c r="I828" i="2"/>
  <c r="I867" i="2"/>
  <c r="I58" i="5"/>
  <c r="I87" i="2"/>
  <c r="I737" i="2"/>
  <c r="I577" i="2"/>
  <c r="I662" i="2"/>
  <c r="I655" i="2"/>
  <c r="I924" i="2"/>
  <c r="I5" i="4"/>
  <c r="I830" i="2"/>
  <c r="I904" i="2"/>
  <c r="I841" i="2"/>
  <c r="I368" i="2"/>
  <c r="I93" i="2"/>
  <c r="I300" i="2"/>
  <c r="I659" i="2"/>
  <c r="I230" i="2"/>
  <c r="I187" i="2"/>
  <c r="I81" i="3"/>
  <c r="I517" i="2"/>
  <c r="I770" i="2"/>
  <c r="I72" i="3"/>
  <c r="I863" i="2"/>
  <c r="I518" i="2"/>
  <c r="I520" i="2"/>
  <c r="I28" i="3"/>
  <c r="I815" i="2"/>
  <c r="G1605" i="26"/>
  <c r="H1605" i="26" s="1"/>
  <c r="H1608" i="26"/>
  <c r="G1539" i="24"/>
  <c r="H1540" i="24"/>
  <c r="G372" i="21"/>
  <c r="H373" i="21"/>
  <c r="H1853" i="30"/>
  <c r="G1852" i="30"/>
  <c r="H1825" i="11"/>
  <c r="G1819" i="11"/>
  <c r="H1819" i="11" s="1"/>
  <c r="G452" i="33"/>
  <c r="H452" i="33" s="1"/>
  <c r="H453" i="33"/>
  <c r="H102" i="8"/>
  <c r="G101" i="8"/>
  <c r="H101" i="8" s="1"/>
  <c r="H2100" i="8"/>
  <c r="H2092" i="8" s="1"/>
  <c r="G2092" i="8"/>
  <c r="E111" i="1" s="1"/>
  <c r="F111" i="1" s="1"/>
  <c r="I2092" i="8" s="1"/>
  <c r="H1594" i="8"/>
  <c r="H1586" i="8" s="1"/>
  <c r="G1586" i="8"/>
  <c r="E85" i="1" s="1"/>
  <c r="F85" i="1" s="1"/>
  <c r="I1586" i="8" s="1"/>
  <c r="H253" i="30"/>
  <c r="G252" i="30"/>
  <c r="H252" i="30" s="1"/>
  <c r="H928" i="16"/>
  <c r="G927" i="16"/>
  <c r="H611" i="8"/>
  <c r="G609" i="8"/>
  <c r="G2851" i="11"/>
  <c r="H2851" i="11" s="1"/>
  <c r="H2857" i="11"/>
  <c r="H2469" i="13"/>
  <c r="G2468" i="13"/>
  <c r="G2646" i="16"/>
  <c r="H2647" i="16"/>
  <c r="G209" i="8"/>
  <c r="H210" i="8"/>
  <c r="H997" i="32"/>
  <c r="G996" i="32"/>
  <c r="H113" i="11"/>
  <c r="G112" i="11"/>
  <c r="H112" i="11" s="1"/>
  <c r="G2696" i="11"/>
  <c r="H2697" i="11"/>
  <c r="H467" i="30"/>
  <c r="G466" i="30"/>
  <c r="H932" i="26"/>
  <c r="G931" i="26"/>
  <c r="H298" i="32"/>
  <c r="G296" i="32"/>
  <c r="G510" i="26"/>
  <c r="H511" i="26"/>
  <c r="H1423" i="26"/>
  <c r="G1421" i="26"/>
  <c r="G1470" i="24"/>
  <c r="H1470" i="24" s="1"/>
  <c r="H1471" i="24"/>
  <c r="H714" i="11"/>
  <c r="G712" i="11"/>
  <c r="H712" i="11" s="1"/>
  <c r="H1008" i="16"/>
  <c r="G1007" i="16"/>
  <c r="G792" i="30"/>
  <c r="H794" i="30"/>
  <c r="H1535" i="8"/>
  <c r="G1534" i="8"/>
  <c r="H72" i="8"/>
  <c r="H64" i="8" s="1"/>
  <c r="G64" i="8"/>
  <c r="E9" i="1" s="1"/>
  <c r="F9" i="1" s="1"/>
  <c r="I64" i="8" s="1"/>
  <c r="G1355" i="26"/>
  <c r="H1360" i="26"/>
  <c r="H908" i="16"/>
  <c r="G907" i="16"/>
  <c r="G2728" i="13"/>
  <c r="H2729" i="13"/>
  <c r="H844" i="24"/>
  <c r="G842" i="24"/>
  <c r="H33" i="11"/>
  <c r="G32" i="11"/>
  <c r="H32" i="11" s="1"/>
  <c r="G1346" i="11"/>
  <c r="H1347" i="11"/>
  <c r="G192" i="21"/>
  <c r="H193" i="21"/>
  <c r="H938" i="15"/>
  <c r="G937" i="15"/>
  <c r="H1138" i="21"/>
  <c r="G1137" i="21"/>
  <c r="H1756" i="8"/>
  <c r="G1754" i="8"/>
  <c r="H832" i="26"/>
  <c r="G831" i="26"/>
  <c r="G1967" i="15"/>
  <c r="H1968" i="15"/>
  <c r="H949" i="24"/>
  <c r="G947" i="24"/>
  <c r="G1027" i="16"/>
  <c r="H1028" i="16"/>
  <c r="H1155" i="8"/>
  <c r="G1154" i="8"/>
  <c r="H1172" i="26"/>
  <c r="G1171" i="26"/>
  <c r="H774" i="11"/>
  <c r="G772" i="11"/>
  <c r="H772" i="11" s="1"/>
  <c r="G2446" i="16"/>
  <c r="H2447" i="16"/>
  <c r="G1479" i="15"/>
  <c r="H1480" i="15"/>
  <c r="G691" i="26"/>
  <c r="H693" i="26"/>
  <c r="G676" i="32"/>
  <c r="H677" i="32"/>
  <c r="G1676" i="21"/>
  <c r="H1677" i="21"/>
  <c r="H133" i="11"/>
  <c r="G132" i="11"/>
  <c r="H132" i="11" s="1"/>
  <c r="H653" i="21"/>
  <c r="G652" i="21"/>
  <c r="H1508" i="11"/>
  <c r="G1507" i="11"/>
  <c r="G1223" i="16"/>
  <c r="H1225" i="16"/>
  <c r="H2149" i="13"/>
  <c r="G2148" i="13"/>
  <c r="G412" i="24"/>
  <c r="H413" i="24"/>
  <c r="H654" i="11"/>
  <c r="G652" i="11"/>
  <c r="H652" i="11" s="1"/>
  <c r="G808" i="13"/>
  <c r="H809" i="13"/>
  <c r="H789" i="13"/>
  <c r="G788" i="13"/>
  <c r="H335" i="24"/>
  <c r="G332" i="24"/>
  <c r="G1945" i="15"/>
  <c r="H1946" i="15"/>
  <c r="H1640" i="11"/>
  <c r="G1638" i="11"/>
  <c r="H1638" i="11" s="1"/>
  <c r="G1064" i="33"/>
  <c r="E1264" i="1" s="1"/>
  <c r="F1264" i="1" s="1"/>
  <c r="I1064" i="33" s="1"/>
  <c r="H1072" i="33"/>
  <c r="H1064" i="33" s="1"/>
  <c r="H1697" i="21"/>
  <c r="G1696" i="21"/>
  <c r="H755" i="8"/>
  <c r="G754" i="8"/>
  <c r="G1648" i="13"/>
  <c r="H1649" i="13"/>
  <c r="H917" i="32"/>
  <c r="G916" i="32"/>
  <c r="H2004" i="16"/>
  <c r="G2003" i="16"/>
  <c r="H1496" i="11"/>
  <c r="G1492" i="11"/>
  <c r="H1492" i="11" s="1"/>
  <c r="H532" i="30"/>
  <c r="H524" i="30" s="1"/>
  <c r="G524" i="30"/>
  <c r="E1040" i="1" s="1"/>
  <c r="F1040" i="1" s="1"/>
  <c r="I524" i="30" s="1"/>
  <c r="H1414" i="8"/>
  <c r="H1406" i="8" s="1"/>
  <c r="G1406" i="8"/>
  <c r="E76" i="1" s="1"/>
  <c r="F76" i="1" s="1"/>
  <c r="I1406" i="8" s="1"/>
  <c r="H1418" i="32"/>
  <c r="G1416" i="32"/>
  <c r="H969" i="13"/>
  <c r="G968" i="13"/>
  <c r="H2724" i="11"/>
  <c r="G2722" i="11"/>
  <c r="H2722" i="11" s="1"/>
  <c r="G1652" i="30"/>
  <c r="H1653" i="30"/>
  <c r="H1786" i="26"/>
  <c r="G1785" i="26"/>
  <c r="H74" i="24"/>
  <c r="G72" i="24"/>
  <c r="H574" i="24"/>
  <c r="G573" i="24"/>
  <c r="H2105" i="11"/>
  <c r="G2103" i="11"/>
  <c r="H2103" i="11" s="1"/>
  <c r="G1008" i="13"/>
  <c r="H1009" i="13"/>
  <c r="H2703" i="26"/>
  <c r="H2695" i="26" s="1"/>
  <c r="G2695" i="26"/>
  <c r="E991" i="1" s="1"/>
  <c r="F991" i="1" s="1"/>
  <c r="I2695" i="26" s="1"/>
  <c r="H334" i="21"/>
  <c r="G332" i="21"/>
  <c r="H2702" i="8"/>
  <c r="G2701" i="8"/>
  <c r="H1472" i="30"/>
  <c r="H1464" i="30" s="1"/>
  <c r="G1464" i="30"/>
  <c r="E1087" i="1" s="1"/>
  <c r="F1087" i="1" s="1"/>
  <c r="I1464" i="30" s="1"/>
  <c r="H1148" i="21"/>
  <c r="G1146" i="21"/>
  <c r="H1146" i="21" s="1"/>
  <c r="G381" i="8"/>
  <c r="E24" i="1" s="1"/>
  <c r="F24" i="1" s="1"/>
  <c r="I381" i="8" s="1"/>
  <c r="H389" i="8"/>
  <c r="H381" i="8" s="1"/>
  <c r="G1116" i="32"/>
  <c r="H1117" i="32"/>
  <c r="H813" i="21"/>
  <c r="G812" i="21"/>
  <c r="H1555" i="8"/>
  <c r="G1554" i="8"/>
  <c r="H2025" i="11"/>
  <c r="G2023" i="11"/>
  <c r="H2023" i="11" s="1"/>
  <c r="H1435" i="8"/>
  <c r="G1434" i="8"/>
  <c r="G992" i="30"/>
  <c r="H992" i="30" s="1"/>
  <c r="H993" i="30"/>
  <c r="H2127" i="16"/>
  <c r="G2125" i="16"/>
  <c r="H635" i="24"/>
  <c r="G633" i="24"/>
  <c r="G1636" i="32"/>
  <c r="H1637" i="32"/>
  <c r="H2166" i="16"/>
  <c r="G2165" i="16"/>
  <c r="G306" i="26"/>
  <c r="H310" i="26"/>
  <c r="H1053" i="11"/>
  <c r="G1052" i="11"/>
  <c r="H1052" i="11" s="1"/>
  <c r="G1016" i="32"/>
  <c r="H1017" i="32"/>
  <c r="H1134" i="11"/>
  <c r="G1132" i="11"/>
  <c r="H1132" i="11" s="1"/>
  <c r="H1580" i="24"/>
  <c r="G1579" i="24"/>
  <c r="H693" i="33"/>
  <c r="G692" i="33"/>
  <c r="H692" i="33" s="1"/>
  <c r="G697" i="15"/>
  <c r="H698" i="15"/>
  <c r="G1765" i="26"/>
  <c r="H1768" i="26"/>
  <c r="G1679" i="15"/>
  <c r="H1680" i="15"/>
  <c r="H74" i="21"/>
  <c r="G72" i="21"/>
  <c r="G827" i="16"/>
  <c r="H828" i="16"/>
  <c r="H2295" i="11"/>
  <c r="H2287" i="11" s="1"/>
  <c r="G2287" i="11"/>
  <c r="E261" i="1" s="1"/>
  <c r="F261" i="1" s="1"/>
  <c r="I2287" i="11" s="1"/>
  <c r="H2450" i="26"/>
  <c r="G2445" i="26"/>
  <c r="H798" i="24"/>
  <c r="G796" i="24"/>
  <c r="H397" i="32"/>
  <c r="G396" i="32"/>
  <c r="H622" i="13"/>
  <c r="G621" i="13"/>
  <c r="H2628" i="16"/>
  <c r="G2626" i="16"/>
  <c r="H2187" i="26"/>
  <c r="G2185" i="26"/>
  <c r="H537" i="32"/>
  <c r="G536" i="32"/>
  <c r="G1012" i="30"/>
  <c r="H1013" i="30"/>
  <c r="G947" i="16"/>
  <c r="H948" i="16"/>
  <c r="G1400" i="24"/>
  <c r="H1400" i="24" s="1"/>
  <c r="H1402" i="24"/>
  <c r="G1072" i="30"/>
  <c r="H1072" i="30" s="1"/>
  <c r="H1073" i="30"/>
  <c r="H774" i="30"/>
  <c r="G772" i="30"/>
  <c r="G1888" i="13"/>
  <c r="H1889" i="13"/>
  <c r="H749" i="13"/>
  <c r="G748" i="13"/>
  <c r="H617" i="32"/>
  <c r="G616" i="32"/>
  <c r="H1293" i="21"/>
  <c r="G1292" i="21"/>
  <c r="G1559" i="24"/>
  <c r="H1560" i="24"/>
  <c r="G564" i="26"/>
  <c r="H565" i="26"/>
  <c r="H1620" i="26"/>
  <c r="G1619" i="26"/>
  <c r="H1989" i="13"/>
  <c r="G1988" i="13"/>
  <c r="G1028" i="13"/>
  <c r="H1029" i="13"/>
  <c r="H513" i="33"/>
  <c r="G512" i="33"/>
  <c r="H512" i="33" s="1"/>
  <c r="H1123" i="16"/>
  <c r="G1122" i="16"/>
  <c r="G689" i="8"/>
  <c r="H691" i="8"/>
  <c r="G2508" i="13"/>
  <c r="H2509" i="13"/>
  <c r="G885" i="24"/>
  <c r="H887" i="24"/>
  <c r="H1713" i="30"/>
  <c r="G1712" i="30"/>
  <c r="G277" i="15"/>
  <c r="H278" i="15"/>
  <c r="H2462" i="8"/>
  <c r="G2460" i="8"/>
  <c r="G203" i="26"/>
  <c r="H206" i="26"/>
  <c r="G1719" i="15"/>
  <c r="H1720" i="15"/>
  <c r="G828" i="13"/>
  <c r="H829" i="13"/>
  <c r="G452" i="24"/>
  <c r="H455" i="24"/>
  <c r="H1235" i="11"/>
  <c r="G1232" i="11"/>
  <c r="H1001" i="21"/>
  <c r="G1000" i="21"/>
  <c r="G2135" i="30"/>
  <c r="H2136" i="30"/>
  <c r="H87" i="11"/>
  <c r="G86" i="11"/>
  <c r="G911" i="21"/>
  <c r="H912" i="21"/>
  <c r="G86" i="30"/>
  <c r="H87" i="30"/>
  <c r="H1940" i="26"/>
  <c r="G1939" i="26"/>
  <c r="G1160" i="21"/>
  <c r="H1161" i="21"/>
  <c r="H1049" i="13"/>
  <c r="G1048" i="13"/>
  <c r="H1986" i="11"/>
  <c r="G1980" i="11"/>
  <c r="H1980" i="11" s="1"/>
  <c r="G863" i="24"/>
  <c r="H865" i="24"/>
  <c r="G796" i="32"/>
  <c r="H797" i="32"/>
  <c r="G459" i="13"/>
  <c r="H460" i="13"/>
  <c r="G1945" i="26"/>
  <c r="H1945" i="26" s="1"/>
  <c r="H1946" i="26"/>
  <c r="H898" i="15"/>
  <c r="G897" i="15"/>
  <c r="H2494" i="26"/>
  <c r="G2489" i="26"/>
  <c r="H133" i="21"/>
  <c r="G132" i="21"/>
  <c r="H393" i="16"/>
  <c r="G392" i="16"/>
  <c r="H1398" i="21"/>
  <c r="G1396" i="21"/>
  <c r="G1524" i="26"/>
  <c r="H1526" i="26"/>
  <c r="G1108" i="24"/>
  <c r="H1110" i="24"/>
  <c r="G1316" i="32"/>
  <c r="H1317" i="32"/>
  <c r="H53" i="13"/>
  <c r="G52" i="13"/>
  <c r="H1194" i="21"/>
  <c r="G1192" i="21"/>
  <c r="H1192" i="21" s="1"/>
  <c r="G1911" i="11"/>
  <c r="H1911" i="11" s="1"/>
  <c r="H1917" i="11"/>
  <c r="H1655" i="8"/>
  <c r="G1654" i="8"/>
  <c r="G216" i="32"/>
  <c r="H216" i="32" s="1"/>
  <c r="H217" i="32"/>
  <c r="G1032" i="30"/>
  <c r="H1032" i="30" s="1"/>
  <c r="H1033" i="30"/>
  <c r="H1600" i="24"/>
  <c r="G1599" i="24"/>
  <c r="H1660" i="24"/>
  <c r="G1659" i="24"/>
  <c r="H1169" i="13"/>
  <c r="G1168" i="13"/>
  <c r="G912" i="30"/>
  <c r="H912" i="30" s="1"/>
  <c r="H913" i="30"/>
  <c r="H1214" i="11"/>
  <c r="G1212" i="11"/>
  <c r="H1212" i="11" s="1"/>
  <c r="H1940" i="11"/>
  <c r="G1934" i="11"/>
  <c r="H1934" i="11" s="1"/>
  <c r="H1977" i="8"/>
  <c r="G1974" i="8"/>
  <c r="H2468" i="16"/>
  <c r="G2466" i="16"/>
  <c r="H2327" i="16"/>
  <c r="G2325" i="16"/>
  <c r="G1096" i="32"/>
  <c r="H1097" i="32"/>
  <c r="G617" i="15"/>
  <c r="H618" i="15"/>
  <c r="G2240" i="8"/>
  <c r="H2241" i="8"/>
  <c r="G316" i="32"/>
  <c r="H318" i="32"/>
  <c r="H113" i="32"/>
  <c r="G112" i="32"/>
  <c r="H1605" i="16"/>
  <c r="G1603" i="16"/>
  <c r="H370" i="26"/>
  <c r="G369" i="26"/>
  <c r="H258" i="15"/>
  <c r="G257" i="15"/>
  <c r="G2029" i="15"/>
  <c r="H2030" i="15"/>
  <c r="G753" i="24"/>
  <c r="H754" i="24"/>
  <c r="G1874" i="8"/>
  <c r="H1875" i="8"/>
  <c r="H594" i="33"/>
  <c r="G592" i="33"/>
  <c r="H592" i="33" s="1"/>
  <c r="H477" i="32"/>
  <c r="G476" i="32"/>
  <c r="H1545" i="16"/>
  <c r="G1543" i="16"/>
  <c r="H1828" i="26"/>
  <c r="G1825" i="26"/>
  <c r="H1252" i="30"/>
  <c r="H1244" i="30" s="1"/>
  <c r="G1244" i="30"/>
  <c r="E1076" i="1" s="1"/>
  <c r="F1076" i="1" s="1"/>
  <c r="I1244" i="30" s="1"/>
  <c r="H53" i="11"/>
  <c r="G52" i="11"/>
  <c r="H52" i="11" s="1"/>
  <c r="G1556" i="21"/>
  <c r="H1557" i="21"/>
  <c r="H612" i="30"/>
  <c r="H604" i="30" s="1"/>
  <c r="G604" i="30"/>
  <c r="E1044" i="1" s="1"/>
  <c r="F1044" i="1" s="1"/>
  <c r="I604" i="30" s="1"/>
  <c r="H818" i="15"/>
  <c r="G817" i="15"/>
  <c r="H2482" i="8"/>
  <c r="G2480" i="8"/>
  <c r="H1068" i="24"/>
  <c r="G1067" i="24"/>
  <c r="G2228" i="13"/>
  <c r="H2229" i="13"/>
  <c r="H1112" i="26"/>
  <c r="G1111" i="26"/>
  <c r="H1695" i="8"/>
  <c r="G1694" i="8"/>
  <c r="H1714" i="8"/>
  <c r="H1706" i="8" s="1"/>
  <c r="G1706" i="8"/>
  <c r="E91" i="1" s="1"/>
  <c r="F91" i="1" s="1"/>
  <c r="I1706" i="8" s="1"/>
  <c r="H2389" i="13"/>
  <c r="G2388" i="13"/>
  <c r="H233" i="11"/>
  <c r="G232" i="11"/>
  <c r="G832" i="30"/>
  <c r="H834" i="30"/>
  <c r="H1597" i="21"/>
  <c r="G1596" i="21"/>
  <c r="H631" i="8"/>
  <c r="G629" i="8"/>
  <c r="H1529" i="13"/>
  <c r="G1528" i="13"/>
  <c r="H1773" i="30"/>
  <c r="G1772" i="30"/>
  <c r="H2582" i="26"/>
  <c r="G2577" i="26"/>
  <c r="G1681" i="11"/>
  <c r="H1681" i="11" s="1"/>
  <c r="H1687" i="11"/>
  <c r="H2567" i="16"/>
  <c r="G2566" i="16"/>
  <c r="H987" i="11"/>
  <c r="G986" i="11"/>
  <c r="H27" i="30"/>
  <c r="G26" i="30"/>
  <c r="H927" i="11"/>
  <c r="G926" i="11"/>
  <c r="G7" i="30"/>
  <c r="J2257" i="16"/>
  <c r="G544" i="21"/>
  <c r="E707" i="1" s="1"/>
  <c r="F707" i="1" s="1"/>
  <c r="H546" i="21"/>
  <c r="H544" i="21" s="1"/>
  <c r="K1456" i="26"/>
  <c r="O297" i="2"/>
  <c r="O589" i="2"/>
  <c r="O576" i="2"/>
  <c r="O575" i="2"/>
  <c r="O492" i="2"/>
  <c r="O490" i="2"/>
  <c r="O491" i="2"/>
  <c r="I588" i="2" l="1"/>
  <c r="I566" i="2"/>
  <c r="I480" i="2"/>
  <c r="I417" i="2"/>
  <c r="I901" i="2"/>
  <c r="I38" i="5"/>
  <c r="I533" i="2"/>
  <c r="I748" i="2"/>
  <c r="I490" i="2"/>
  <c r="I137" i="2"/>
  <c r="I273" i="2"/>
  <c r="I138" i="2"/>
  <c r="I681" i="2"/>
  <c r="I552" i="2"/>
  <c r="I183" i="2"/>
  <c r="I52" i="3"/>
  <c r="G526" i="11"/>
  <c r="H527" i="11"/>
  <c r="I367" i="2"/>
  <c r="I665" i="2"/>
  <c r="I213" i="2"/>
  <c r="I757" i="2"/>
  <c r="G104" i="6"/>
  <c r="I619" i="2"/>
  <c r="G2373" i="26"/>
  <c r="I847" i="2"/>
  <c r="I88" i="3"/>
  <c r="I33" i="5"/>
  <c r="I745" i="2"/>
  <c r="I674" i="2"/>
  <c r="I363" i="2"/>
  <c r="J821" i="2"/>
  <c r="J363" i="2"/>
  <c r="L363" i="2"/>
  <c r="K363" i="2"/>
  <c r="F363" i="2"/>
  <c r="H363" i="2"/>
  <c r="I477" i="2"/>
  <c r="I807" i="2"/>
  <c r="I250" i="2"/>
  <c r="G2329" i="26"/>
  <c r="I832" i="2"/>
  <c r="I39" i="3"/>
  <c r="I116" i="2"/>
  <c r="I768" i="2"/>
  <c r="I15" i="3"/>
  <c r="I41" i="3"/>
  <c r="I387" i="2"/>
  <c r="I537" i="2"/>
  <c r="I433" i="2"/>
  <c r="I833" i="2"/>
  <c r="I862" i="2"/>
  <c r="I460" i="2"/>
  <c r="F908" i="2"/>
  <c r="L821" i="2"/>
  <c r="I822" i="2"/>
  <c r="I821" i="2"/>
  <c r="F821" i="2"/>
  <c r="K821" i="2"/>
  <c r="H821" i="2"/>
  <c r="F822" i="2"/>
  <c r="L822" i="2"/>
  <c r="K822" i="2"/>
  <c r="J509" i="2"/>
  <c r="J822" i="2"/>
  <c r="H822" i="2"/>
  <c r="I739" i="2"/>
  <c r="I509" i="2"/>
  <c r="I265" i="2"/>
  <c r="I34" i="2"/>
  <c r="I56" i="5"/>
  <c r="I381" i="2"/>
  <c r="I166" i="2"/>
  <c r="I601" i="2"/>
  <c r="I886" i="2"/>
  <c r="I46" i="3"/>
  <c r="I50" i="2"/>
  <c r="I802" i="2"/>
  <c r="I720" i="2"/>
  <c r="I572" i="2"/>
  <c r="I267" i="2"/>
  <c r="I750" i="2"/>
  <c r="I203" i="2"/>
  <c r="I107" i="2"/>
  <c r="I746" i="2"/>
  <c r="I711" i="2"/>
  <c r="F509" i="2"/>
  <c r="I395" i="2"/>
  <c r="I234" i="2"/>
  <c r="I834" i="2"/>
  <c r="I194" i="2"/>
  <c r="I9" i="4"/>
  <c r="I708" i="2"/>
  <c r="I218" i="2"/>
  <c r="I287" i="2"/>
  <c r="I850" i="2"/>
  <c r="I592" i="2"/>
  <c r="I414" i="2"/>
  <c r="L509" i="2"/>
  <c r="K509" i="2"/>
  <c r="I604" i="2"/>
  <c r="I200" i="2"/>
  <c r="I691" i="2"/>
  <c r="I59" i="3"/>
  <c r="I6" i="4"/>
  <c r="I270" i="2"/>
  <c r="I418" i="2"/>
  <c r="I394" i="2"/>
  <c r="I692" i="2"/>
  <c r="I235" i="2"/>
  <c r="I900" i="2"/>
  <c r="I857" i="2"/>
  <c r="I309" i="2"/>
  <c r="I378" i="2"/>
  <c r="I545" i="2"/>
  <c r="I219" i="2"/>
  <c r="I75" i="2"/>
  <c r="I141" i="2"/>
  <c r="I344" i="2"/>
  <c r="I469" i="2"/>
  <c r="I639" i="2"/>
  <c r="I55" i="2"/>
  <c r="I511" i="2"/>
  <c r="I513" i="2"/>
  <c r="I549" i="2"/>
  <c r="I69" i="3"/>
  <c r="I643" i="2"/>
  <c r="I894" i="2"/>
  <c r="I403" i="2"/>
  <c r="I789" i="2"/>
  <c r="I913" i="2"/>
  <c r="I481" i="2"/>
  <c r="I461" i="2"/>
  <c r="I402" i="2"/>
  <c r="I496" i="2"/>
  <c r="I487" i="2"/>
  <c r="I482" i="2"/>
  <c r="I590" i="2"/>
  <c r="I498" i="2"/>
  <c r="I35" i="3"/>
  <c r="I881" i="2"/>
  <c r="I254" i="2"/>
  <c r="I527" i="2"/>
  <c r="I78" i="2"/>
  <c r="I73" i="2"/>
  <c r="H509" i="2"/>
  <c r="H1571" i="11"/>
  <c r="G1570" i="11"/>
  <c r="H1570" i="11" s="1"/>
  <c r="H3101" i="26"/>
  <c r="K124" i="32"/>
  <c r="J124" i="32"/>
  <c r="H2185" i="11"/>
  <c r="G1528" i="11"/>
  <c r="H547" i="11"/>
  <c r="G1206" i="11"/>
  <c r="G2037" i="11"/>
  <c r="G2676" i="11"/>
  <c r="I688" i="2"/>
  <c r="I484" i="2"/>
  <c r="I800" i="2"/>
  <c r="I778" i="2"/>
  <c r="I716" i="2"/>
  <c r="I500" i="2"/>
  <c r="I371" i="2"/>
  <c r="K312" i="2"/>
  <c r="H312" i="2"/>
  <c r="L312" i="2"/>
  <c r="I825" i="2"/>
  <c r="I632" i="2"/>
  <c r="I899" i="2"/>
  <c r="I54" i="3"/>
  <c r="O693" i="2"/>
  <c r="O312" i="2"/>
  <c r="I253" i="2"/>
  <c r="I169" i="2"/>
  <c r="I150" i="2"/>
  <c r="I312" i="2"/>
  <c r="J693" i="2"/>
  <c r="J312" i="2"/>
  <c r="F693" i="2"/>
  <c r="F312" i="2"/>
  <c r="I38" i="3"/>
  <c r="I212" i="2"/>
  <c r="I562" i="2"/>
  <c r="I100" i="2"/>
  <c r="I909" i="2"/>
  <c r="I119" i="2"/>
  <c r="I151" i="2"/>
  <c r="H693" i="2"/>
  <c r="I812" i="2"/>
  <c r="I211" i="2"/>
  <c r="I377" i="2"/>
  <c r="I508" i="2"/>
  <c r="I859" i="2"/>
  <c r="I454" i="2"/>
  <c r="I810" i="2"/>
  <c r="I803" i="2"/>
  <c r="G384" i="26"/>
  <c r="G7" i="11"/>
  <c r="H7" i="11" s="1"/>
  <c r="G827" i="21"/>
  <c r="H827" i="21" s="1"/>
  <c r="K342" i="2" s="1"/>
  <c r="K693" i="2"/>
  <c r="G1274" i="15"/>
  <c r="H1274" i="15" s="1"/>
  <c r="I37" i="5"/>
  <c r="I880" i="2"/>
  <c r="I761" i="2"/>
  <c r="H447" i="30"/>
  <c r="G446" i="30"/>
  <c r="G128" i="33"/>
  <c r="G1307" i="24"/>
  <c r="L693" i="2"/>
  <c r="I80" i="2"/>
  <c r="I912" i="2"/>
  <c r="I693" i="2"/>
  <c r="I90" i="2"/>
  <c r="I46" i="5"/>
  <c r="I653" i="2"/>
  <c r="I838" i="2"/>
  <c r="I860" i="2"/>
  <c r="I842" i="2"/>
  <c r="I536" i="2"/>
  <c r="I726" i="2"/>
  <c r="I14" i="3"/>
  <c r="I153" i="2"/>
  <c r="I77" i="2"/>
  <c r="I57" i="5"/>
  <c r="I585" i="2"/>
  <c r="I586" i="2"/>
  <c r="I257" i="2"/>
  <c r="I108" i="2"/>
  <c r="I89" i="2"/>
  <c r="I335" i="2"/>
  <c r="I64" i="3"/>
  <c r="I663" i="2"/>
  <c r="I575" i="2"/>
  <c r="I68" i="2"/>
  <c r="I622" i="2"/>
  <c r="I864" i="2"/>
  <c r="I456" i="2"/>
  <c r="I236" i="2"/>
  <c r="I50" i="5"/>
  <c r="I678" i="2"/>
  <c r="I595" i="2"/>
  <c r="I567" i="2"/>
  <c r="I817" i="2"/>
  <c r="I676" i="2"/>
  <c r="I890" i="2"/>
  <c r="I831" i="2"/>
  <c r="I26" i="3"/>
  <c r="I163" i="2"/>
  <c r="I72" i="2"/>
  <c r="G2756" i="11"/>
  <c r="H2757" i="11"/>
  <c r="H2251" i="11"/>
  <c r="G2249" i="11"/>
  <c r="G1919" i="26"/>
  <c r="H1920" i="26"/>
  <c r="H2738" i="11"/>
  <c r="G2736" i="11"/>
  <c r="G1273" i="15"/>
  <c r="I641" i="2"/>
  <c r="I332" i="2"/>
  <c r="I364" i="2"/>
  <c r="I756" i="2"/>
  <c r="H12" i="36"/>
  <c r="H4" i="36" s="1"/>
  <c r="G4" i="36"/>
  <c r="F1275" i="1" s="1"/>
  <c r="I10" i="2"/>
  <c r="I380" i="2"/>
  <c r="I23" i="3"/>
  <c r="I442" i="2"/>
  <c r="I357" i="2"/>
  <c r="I675" i="2"/>
  <c r="I546" i="2"/>
  <c r="I777" i="2"/>
  <c r="I933" i="2"/>
  <c r="I112" i="2"/>
  <c r="I733" i="2"/>
  <c r="G2716" i="11"/>
  <c r="G426" i="30"/>
  <c r="G2934" i="11"/>
  <c r="I372" i="2"/>
  <c r="I470" i="2"/>
  <c r="I764" i="2"/>
  <c r="I502" i="2"/>
  <c r="I703" i="2"/>
  <c r="G2229" i="11"/>
  <c r="I20" i="3"/>
  <c r="I650" i="2"/>
  <c r="I721" i="2"/>
  <c r="I48" i="5"/>
  <c r="I713" i="2"/>
  <c r="I709" i="2"/>
  <c r="I348" i="2"/>
  <c r="I56" i="2"/>
  <c r="I411" i="2"/>
  <c r="I6" i="2"/>
  <c r="I343" i="2"/>
  <c r="I303" i="2"/>
  <c r="G2656" i="11"/>
  <c r="I319" i="2"/>
  <c r="I569" i="2"/>
  <c r="I836" i="2"/>
  <c r="I11" i="2"/>
  <c r="I914" i="2"/>
  <c r="I935" i="2"/>
  <c r="I610" i="2"/>
  <c r="I887" i="2"/>
  <c r="I240" i="2"/>
  <c r="I329" i="2"/>
  <c r="I731" i="2"/>
  <c r="I463" i="2"/>
  <c r="I82" i="2"/>
  <c r="I786" i="2"/>
  <c r="I743" i="2"/>
  <c r="I7" i="4"/>
  <c r="I292" i="2"/>
  <c r="I78" i="3"/>
  <c r="I550" i="2"/>
  <c r="I696" i="2"/>
  <c r="I507" i="2"/>
  <c r="I943" i="2"/>
  <c r="I412" i="2"/>
  <c r="I86" i="2"/>
  <c r="I532" i="2"/>
  <c r="I444" i="2"/>
  <c r="I840" i="2"/>
  <c r="I462" i="2"/>
  <c r="I471" i="2"/>
  <c r="I346" i="2"/>
  <c r="I337" i="2"/>
  <c r="I356" i="2"/>
  <c r="I186" i="2"/>
  <c r="I192" i="2"/>
  <c r="I40" i="2"/>
  <c r="I497" i="2"/>
  <c r="I453" i="2"/>
  <c r="H207" i="30"/>
  <c r="G426" i="11"/>
  <c r="G186" i="30"/>
  <c r="H187" i="30"/>
  <c r="G446" i="11"/>
  <c r="H447" i="11"/>
  <c r="G46" i="30"/>
  <c r="H47" i="30"/>
  <c r="H828" i="33"/>
  <c r="G1294" i="15"/>
  <c r="I342" i="2"/>
  <c r="I697" i="2"/>
  <c r="I25" i="2"/>
  <c r="I571" i="2"/>
  <c r="I793" i="2"/>
  <c r="I631" i="2"/>
  <c r="I133" i="2"/>
  <c r="I492" i="2"/>
  <c r="I280" i="2"/>
  <c r="I269" i="2"/>
  <c r="I428" i="2"/>
  <c r="I88" i="2"/>
  <c r="I744" i="2"/>
  <c r="I132" i="2"/>
  <c r="I762" i="2"/>
  <c r="I43" i="3"/>
  <c r="I690" i="2"/>
  <c r="H1352" i="21"/>
  <c r="G1350" i="21"/>
  <c r="H148" i="11"/>
  <c r="G146" i="11"/>
  <c r="O176" i="2"/>
  <c r="H646" i="2"/>
  <c r="G1183" i="21"/>
  <c r="J1346" i="8"/>
  <c r="J1564" i="30"/>
  <c r="J2077" i="26"/>
  <c r="J228" i="32"/>
  <c r="K1164" i="33"/>
  <c r="G889" i="21"/>
  <c r="H581" i="2"/>
  <c r="H46" i="3"/>
  <c r="H143" i="2"/>
  <c r="H563" i="2"/>
  <c r="H580" i="2"/>
  <c r="H31" i="3"/>
  <c r="G566" i="33"/>
  <c r="H617" i="2"/>
  <c r="H56" i="3"/>
  <c r="H68" i="2"/>
  <c r="H525" i="2"/>
  <c r="H46" i="5"/>
  <c r="H503" i="2"/>
  <c r="H403" i="2"/>
  <c r="H57" i="5"/>
  <c r="H53" i="5"/>
  <c r="H772" i="2"/>
  <c r="H709" i="2"/>
  <c r="H755" i="2"/>
  <c r="H278" i="2"/>
  <c r="H409" i="2"/>
  <c r="H936" i="2"/>
  <c r="H171" i="2"/>
  <c r="H736" i="2"/>
  <c r="H82" i="3"/>
  <c r="H305" i="2"/>
  <c r="H798" i="2"/>
  <c r="H25" i="2"/>
  <c r="J1106" i="8"/>
  <c r="J1456" i="26"/>
  <c r="H535" i="2"/>
  <c r="H848" i="2"/>
  <c r="H8" i="3"/>
  <c r="I443" i="2"/>
  <c r="I42" i="3"/>
  <c r="I114" i="2"/>
  <c r="I426" i="2"/>
  <c r="I310" i="2"/>
  <c r="I264" i="2"/>
  <c r="I338" i="2"/>
  <c r="I602" i="2"/>
  <c r="I111" i="2"/>
  <c r="I66" i="3"/>
  <c r="I386" i="2"/>
  <c r="I578" i="2"/>
  <c r="I77" i="3"/>
  <c r="I39" i="5"/>
  <c r="I466" i="2"/>
  <c r="I204" i="2"/>
  <c r="I472" i="2"/>
  <c r="I21" i="2"/>
  <c r="I124" i="2"/>
  <c r="I127" i="2"/>
  <c r="I295" i="2"/>
  <c r="I74" i="2"/>
  <c r="I907" i="2"/>
  <c r="J2392" i="8"/>
  <c r="J1504" i="30"/>
  <c r="I921" i="2"/>
  <c r="I451" i="2"/>
  <c r="I804" i="2"/>
  <c r="I736" i="2"/>
  <c r="I858" i="2"/>
  <c r="I60" i="2"/>
  <c r="I399" i="2"/>
  <c r="I374" i="2"/>
  <c r="I510" i="2"/>
  <c r="I898" i="2"/>
  <c r="I652" i="2"/>
  <c r="I354" i="2"/>
  <c r="I320" i="2"/>
  <c r="I293" i="2"/>
  <c r="I672" i="2"/>
  <c r="I516" i="2"/>
  <c r="I41" i="5"/>
  <c r="I645" i="2"/>
  <c r="I12" i="3"/>
  <c r="I16" i="3"/>
  <c r="I790" i="2"/>
  <c r="I435" i="2"/>
  <c r="I147" i="2"/>
  <c r="I174" i="2"/>
  <c r="I18" i="2"/>
  <c r="I302" i="2"/>
  <c r="I846" i="2"/>
  <c r="I16" i="2"/>
  <c r="I623" i="2"/>
  <c r="I397" i="2"/>
  <c r="I795" i="2"/>
  <c r="I942" i="2"/>
  <c r="I699" i="2"/>
  <c r="I221" i="2"/>
  <c r="I352" i="2"/>
  <c r="I416" i="2"/>
  <c r="I695" i="2"/>
  <c r="I241" i="2"/>
  <c r="I400" i="2"/>
  <c r="I465" i="2"/>
  <c r="I432" i="2"/>
  <c r="I96" i="2"/>
  <c r="I181" i="2"/>
  <c r="I18" i="3"/>
  <c r="I134" i="2"/>
  <c r="I251" i="2"/>
  <c r="I669" i="2"/>
  <c r="I573" i="2"/>
  <c r="I437" i="2"/>
  <c r="I334" i="2"/>
  <c r="I542" i="2"/>
  <c r="I5" i="2"/>
  <c r="I591" i="2"/>
  <c r="I190" i="2"/>
  <c r="I823" i="2"/>
  <c r="I341" i="2"/>
  <c r="I636" i="2"/>
  <c r="I621" i="2"/>
  <c r="I839" i="2"/>
  <c r="I23" i="2"/>
  <c r="I347" i="2"/>
  <c r="I644" i="2"/>
  <c r="I584" i="2"/>
  <c r="I905" i="2"/>
  <c r="I278" i="2"/>
  <c r="I845" i="2"/>
  <c r="I730" i="2"/>
  <c r="I296" i="2"/>
  <c r="H827" i="2"/>
  <c r="H38" i="2"/>
  <c r="H9" i="4"/>
  <c r="I101" i="2"/>
  <c r="I324" i="2"/>
  <c r="I798" i="2"/>
  <c r="I698" i="2"/>
  <c r="I835" i="2"/>
  <c r="I91" i="2"/>
  <c r="I724" i="2"/>
  <c r="I110" i="2"/>
  <c r="I37" i="3"/>
  <c r="I902" i="2"/>
  <c r="I753" i="2"/>
  <c r="I63" i="3"/>
  <c r="I896" i="2"/>
  <c r="I90" i="3"/>
  <c r="I922" i="2"/>
  <c r="I440" i="2"/>
  <c r="I664" i="2"/>
  <c r="I196" i="2"/>
  <c r="I26" i="2"/>
  <c r="I56" i="3"/>
  <c r="I272" i="2"/>
  <c r="I883" i="2"/>
  <c r="I564" i="2"/>
  <c r="I928" i="2"/>
  <c r="I125" i="2"/>
  <c r="I624" i="2"/>
  <c r="I128" i="2"/>
  <c r="I66" i="2"/>
  <c r="I15" i="2"/>
  <c r="I776" i="2"/>
  <c r="G986" i="30"/>
  <c r="I452" i="2"/>
  <c r="I627" i="2"/>
  <c r="I879" i="2"/>
  <c r="I656" i="2"/>
  <c r="I340" i="2"/>
  <c r="I9" i="2"/>
  <c r="I168" i="2"/>
  <c r="I534" i="2"/>
  <c r="I559" i="2"/>
  <c r="I82" i="3"/>
  <c r="I874" i="2"/>
  <c r="I885" i="2"/>
  <c r="I184" i="2"/>
  <c r="I167" i="2"/>
  <c r="I33" i="2"/>
  <c r="I331" i="2"/>
  <c r="I599" i="2"/>
  <c r="I766" i="2"/>
  <c r="I715" i="2"/>
  <c r="I563" i="2"/>
  <c r="I626" i="2"/>
  <c r="I232" i="2"/>
  <c r="I467" i="2"/>
  <c r="I104" i="2"/>
  <c r="I524" i="2"/>
  <c r="I355" i="2"/>
  <c r="I286" i="2"/>
  <c r="I67" i="2"/>
  <c r="I14" i="2"/>
  <c r="I906" i="2"/>
  <c r="I304" i="2"/>
  <c r="I13" i="2"/>
  <c r="I929" i="2"/>
  <c r="I888" i="2"/>
  <c r="I36" i="2"/>
  <c r="I193" i="2"/>
  <c r="I44" i="2"/>
  <c r="I871" i="2"/>
  <c r="I673" i="2"/>
  <c r="I362" i="2"/>
  <c r="I808" i="2"/>
  <c r="I313" i="2"/>
  <c r="I932" i="2"/>
  <c r="I682" i="2"/>
  <c r="I135" i="2"/>
  <c r="I409" i="2"/>
  <c r="I668" i="2"/>
  <c r="I84" i="2"/>
  <c r="I633" i="2"/>
  <c r="I939" i="2"/>
  <c r="I76" i="2"/>
  <c r="I728" i="2"/>
  <c r="I71" i="2"/>
  <c r="I20" i="2"/>
  <c r="I17" i="2"/>
  <c r="I505" i="2"/>
  <c r="L754" i="2"/>
  <c r="I589" i="2"/>
  <c r="I297" i="2"/>
  <c r="I122" i="2"/>
  <c r="I130" i="2"/>
  <c r="I717" i="2"/>
  <c r="H406" i="2"/>
  <c r="H71" i="2"/>
  <c r="H734" i="2"/>
  <c r="H80" i="2"/>
  <c r="H246" i="2"/>
  <c r="H185" i="2"/>
  <c r="H491" i="2"/>
  <c r="H714" i="2"/>
  <c r="H128" i="2"/>
  <c r="H529" i="2"/>
  <c r="H331" i="2"/>
  <c r="H467" i="11"/>
  <c r="H1007" i="11"/>
  <c r="G126" i="11"/>
  <c r="H739" i="2"/>
  <c r="H42" i="2"/>
  <c r="H138" i="2"/>
  <c r="H886" i="2"/>
  <c r="H497" i="2"/>
  <c r="H883" i="2"/>
  <c r="H554" i="2"/>
  <c r="H773" i="2"/>
  <c r="H780" i="2"/>
  <c r="H427" i="2"/>
  <c r="H620" i="2"/>
  <c r="H885" i="2"/>
  <c r="H815" i="2"/>
  <c r="H660" i="2"/>
  <c r="H876" i="2"/>
  <c r="H585" i="2"/>
  <c r="H216" i="2"/>
  <c r="H59" i="3"/>
  <c r="H61" i="3"/>
  <c r="H811" i="2"/>
  <c r="H789" i="2"/>
  <c r="H774" i="2"/>
  <c r="H880" i="2"/>
  <c r="H656" i="2"/>
  <c r="H32" i="2"/>
  <c r="H10" i="2"/>
  <c r="H364" i="2"/>
  <c r="H348" i="2"/>
  <c r="H381" i="2"/>
  <c r="H452" i="2"/>
  <c r="H728" i="2"/>
  <c r="H6" i="3"/>
  <c r="H384" i="2"/>
  <c r="H727" i="2"/>
  <c r="H256" i="2"/>
  <c r="H83" i="2"/>
  <c r="H77" i="2"/>
  <c r="H280" i="2"/>
  <c r="H36" i="2"/>
  <c r="H791" i="2"/>
  <c r="H104" i="2"/>
  <c r="H667" i="2"/>
  <c r="H399" i="2"/>
  <c r="H852" i="2"/>
  <c r="H536" i="2"/>
  <c r="H474" i="2"/>
  <c r="H625" i="2"/>
  <c r="H297" i="2"/>
  <c r="H70" i="2"/>
  <c r="H74" i="3"/>
  <c r="H28" i="3"/>
  <c r="H133" i="2"/>
  <c r="H356" i="2"/>
  <c r="H37" i="5"/>
  <c r="H212" i="2"/>
  <c r="H788" i="2"/>
  <c r="H861" i="2"/>
  <c r="H353" i="2"/>
  <c r="H723" i="2"/>
  <c r="H552" i="2"/>
  <c r="H623" i="2"/>
  <c r="H88" i="3"/>
  <c r="H607" i="2"/>
  <c r="H440" i="2"/>
  <c r="H375" i="2"/>
  <c r="H483" i="2"/>
  <c r="H903" i="2"/>
  <c r="H841" i="2"/>
  <c r="H245" i="2"/>
  <c r="H388" i="2"/>
  <c r="H422" i="2"/>
  <c r="H750" i="2"/>
  <c r="H145" i="2"/>
  <c r="H729" i="2"/>
  <c r="H87" i="3"/>
  <c r="H39" i="5"/>
  <c r="H814" i="2"/>
  <c r="H50" i="5"/>
  <c r="H115" i="2"/>
  <c r="H383" i="2"/>
  <c r="H341" i="2"/>
  <c r="H551" i="2"/>
  <c r="H522" i="2"/>
  <c r="H640" i="2"/>
  <c r="H866" i="2"/>
  <c r="H700" i="2"/>
  <c r="H6" i="2"/>
  <c r="H624" i="2"/>
  <c r="H622" i="2"/>
  <c r="H300" i="2"/>
  <c r="H54" i="3"/>
  <c r="H833" i="2"/>
  <c r="H230" i="2"/>
  <c r="H170" i="2"/>
  <c r="H373" i="2"/>
  <c r="H600" i="2"/>
  <c r="H326" i="2"/>
  <c r="H192" i="2"/>
  <c r="H921" i="2"/>
  <c r="H860" i="2"/>
  <c r="H367" i="2"/>
  <c r="H134" i="2"/>
  <c r="H181" i="2"/>
  <c r="H176" i="2"/>
  <c r="H790" i="2"/>
  <c r="H90" i="3"/>
  <c r="H20" i="3"/>
  <c r="H276" i="2"/>
  <c r="H336" i="2"/>
  <c r="H613" i="2"/>
  <c r="H254" i="2"/>
  <c r="H895" i="2"/>
  <c r="H844" i="2"/>
  <c r="H653" i="2"/>
  <c r="H311" i="2"/>
  <c r="H722" i="2"/>
  <c r="H173" i="2"/>
  <c r="H461" i="2"/>
  <c r="H416" i="2"/>
  <c r="H684" i="2"/>
  <c r="H449" i="2"/>
  <c r="H220" i="2"/>
  <c r="H683" i="2"/>
  <c r="H485" i="2"/>
  <c r="H740" i="2"/>
  <c r="H420" i="2"/>
  <c r="H438" i="2"/>
  <c r="H14" i="2"/>
  <c r="H66" i="2"/>
  <c r="G486" i="11"/>
  <c r="K1124" i="33"/>
  <c r="J144" i="24"/>
  <c r="H519" i="2"/>
  <c r="H51" i="2"/>
  <c r="H52" i="5"/>
  <c r="H81" i="2"/>
  <c r="H560" i="2"/>
  <c r="H362" i="2"/>
  <c r="H407" i="2"/>
  <c r="H843" i="2"/>
  <c r="H153" i="2"/>
  <c r="H357" i="2"/>
  <c r="H451" i="2"/>
  <c r="H86" i="2"/>
  <c r="H845" i="2"/>
  <c r="H53" i="3"/>
  <c r="H85" i="3"/>
  <c r="H644" i="2"/>
  <c r="H49" i="5"/>
  <c r="H626" i="2"/>
  <c r="H29" i="2"/>
  <c r="H113" i="2"/>
  <c r="H770" i="2"/>
  <c r="H398" i="2"/>
  <c r="H252" i="2"/>
  <c r="H7" i="4"/>
  <c r="H137" i="2"/>
  <c r="H50" i="2"/>
  <c r="H573" i="2"/>
  <c r="H662" i="2"/>
  <c r="H724" i="2"/>
  <c r="H242" i="2"/>
  <c r="H179" i="2"/>
  <c r="H247" i="2"/>
  <c r="H385" i="2"/>
  <c r="H523" i="2"/>
  <c r="H520" i="2"/>
  <c r="H898" i="2"/>
  <c r="H144" i="2"/>
  <c r="H760" i="2"/>
  <c r="H533" i="2"/>
  <c r="H621" i="2"/>
  <c r="H418" i="2"/>
  <c r="H76" i="3"/>
  <c r="H716" i="2"/>
  <c r="H444" i="2"/>
  <c r="H645" i="2"/>
  <c r="H569" i="2"/>
  <c r="H121" i="2"/>
  <c r="H19" i="3"/>
  <c r="H46" i="2"/>
  <c r="H34" i="2"/>
  <c r="H608" i="2"/>
  <c r="H502" i="2"/>
  <c r="H16" i="3"/>
  <c r="H89" i="3"/>
  <c r="H677" i="2"/>
  <c r="H429" i="2"/>
  <c r="H615" i="2"/>
  <c r="H349" i="2"/>
  <c r="H553" i="2"/>
  <c r="H669" i="2"/>
  <c r="H8" i="4"/>
  <c r="H761" i="2"/>
  <c r="H98" i="2"/>
  <c r="H687" i="2"/>
  <c r="H711" i="2"/>
  <c r="H717" i="2"/>
  <c r="H481" i="2"/>
  <c r="H206" i="2"/>
  <c r="H635" i="2"/>
  <c r="H286" i="2"/>
  <c r="H834" i="2"/>
  <c r="H148" i="2"/>
  <c r="H210" i="2"/>
  <c r="H807" i="2"/>
  <c r="H270" i="2"/>
  <c r="H213" i="2"/>
  <c r="H879" i="2"/>
  <c r="H674" i="2"/>
  <c r="H120" i="2"/>
  <c r="H548" i="2"/>
  <c r="H484" i="2"/>
  <c r="H482" i="2"/>
  <c r="H943" i="2"/>
  <c r="H163" i="2"/>
  <c r="H929" i="2"/>
  <c r="H857" i="2"/>
  <c r="H741" i="2"/>
  <c r="H292" i="2"/>
  <c r="H151" i="2"/>
  <c r="H927" i="2"/>
  <c r="H354" i="2"/>
  <c r="H54" i="2"/>
  <c r="H650" i="2"/>
  <c r="H800" i="2"/>
  <c r="H201" i="2"/>
  <c r="H500" i="2"/>
  <c r="H343" i="2"/>
  <c r="H933" i="2"/>
  <c r="H157" i="2"/>
  <c r="H168" i="2"/>
  <c r="H575" i="2"/>
  <c r="H190" i="2"/>
  <c r="H43" i="5"/>
  <c r="H679" i="2"/>
  <c r="H45" i="3"/>
  <c r="H28" i="2"/>
  <c r="H159" i="2"/>
  <c r="H79" i="3"/>
  <c r="H238" i="2"/>
  <c r="H610" i="2"/>
  <c r="H630" i="2"/>
  <c r="H108" i="2"/>
  <c r="H837" i="2"/>
  <c r="H748" i="2"/>
  <c r="H194" i="2"/>
  <c r="H786" i="2"/>
  <c r="H606" i="2"/>
  <c r="H309" i="2"/>
  <c r="H428" i="2"/>
  <c r="H767" i="2"/>
  <c r="H295" i="2"/>
  <c r="H222" i="2"/>
  <c r="H44" i="5"/>
  <c r="H214" i="2"/>
  <c r="H732" i="2"/>
  <c r="H142" i="2"/>
  <c r="H631" i="2"/>
  <c r="H941" i="2"/>
  <c r="H637" i="2"/>
  <c r="H442" i="2"/>
  <c r="H198" i="2"/>
  <c r="H346" i="2"/>
  <c r="H47" i="2"/>
  <c r="H537" i="2"/>
  <c r="H588" i="2"/>
  <c r="H172" i="2"/>
  <c r="H332" i="2"/>
  <c r="H296" i="2"/>
  <c r="H842" i="2"/>
  <c r="H675" i="2"/>
  <c r="H504" i="2"/>
  <c r="H58" i="3"/>
  <c r="H897" i="2"/>
  <c r="H328" i="2"/>
  <c r="H411" i="2"/>
  <c r="H940" i="2"/>
  <c r="H863" i="2"/>
  <c r="H839" i="2"/>
  <c r="H23" i="2"/>
  <c r="H912" i="2"/>
  <c r="H264" i="2"/>
  <c r="H752" i="2"/>
  <c r="H161" i="2"/>
  <c r="H196" i="2"/>
  <c r="H361" i="2"/>
  <c r="H394" i="2"/>
  <c r="H330" i="2"/>
  <c r="H366" i="2"/>
  <c r="H183" i="2"/>
  <c r="H40" i="3"/>
  <c r="H781" i="2"/>
  <c r="H57" i="2"/>
  <c r="H365" i="2"/>
  <c r="H329" i="2"/>
  <c r="H85" i="2"/>
  <c r="H17" i="3"/>
  <c r="H29" i="3"/>
  <c r="H24" i="2"/>
  <c r="H654" i="2"/>
  <c r="H158" i="2"/>
  <c r="H939" i="2"/>
  <c r="H400" i="2"/>
  <c r="H708" i="2"/>
  <c r="H63" i="2"/>
  <c r="H745" i="2"/>
  <c r="H851" i="2"/>
  <c r="H250" i="2"/>
  <c r="H784" i="2"/>
  <c r="H703" i="2"/>
  <c r="H479" i="2"/>
  <c r="H506" i="2"/>
  <c r="H507" i="2"/>
  <c r="H47" i="3"/>
  <c r="H215" i="2"/>
  <c r="H187" i="2"/>
  <c r="H915" i="2"/>
  <c r="H446" i="2"/>
  <c r="H916" i="2"/>
  <c r="H90" i="2"/>
  <c r="H55" i="2"/>
  <c r="H79" i="2"/>
  <c r="H62" i="2"/>
  <c r="H433" i="2"/>
  <c r="H241" i="2"/>
  <c r="H275" i="2"/>
  <c r="H456" i="2"/>
  <c r="H122" i="2"/>
  <c r="H21" i="3"/>
  <c r="H540" i="2"/>
  <c r="H43" i="3"/>
  <c r="H913" i="2"/>
  <c r="H572" i="2"/>
  <c r="H547" i="2"/>
  <c r="H938" i="2"/>
  <c r="H592" i="2"/>
  <c r="H809" i="2"/>
  <c r="H778" i="2"/>
  <c r="H935" i="2"/>
  <c r="H505" i="2"/>
  <c r="H49" i="3"/>
  <c r="H390" i="2"/>
  <c r="H321" i="2"/>
  <c r="H255" i="2"/>
  <c r="H283" i="2"/>
  <c r="H743" i="2"/>
  <c r="H19" i="2"/>
  <c r="H26" i="3"/>
  <c r="H819" i="2"/>
  <c r="H342" i="2"/>
  <c r="H117" i="2"/>
  <c r="H244" i="2"/>
  <c r="H410" i="2"/>
  <c r="H14" i="3"/>
  <c r="H186" i="2"/>
  <c r="H435" i="2"/>
  <c r="H371" i="2"/>
  <c r="H594" i="2"/>
  <c r="H657" i="2"/>
  <c r="H116" i="2"/>
  <c r="H601" i="2"/>
  <c r="H925" i="2"/>
  <c r="H808" i="2"/>
  <c r="H31" i="2"/>
  <c r="H207" i="2"/>
  <c r="H835" i="2"/>
  <c r="H719" i="2"/>
  <c r="H72" i="2"/>
  <c r="H86" i="3"/>
  <c r="H24" i="3"/>
  <c r="H735" i="2"/>
  <c r="H754" i="2"/>
  <c r="H6" i="4"/>
  <c r="H713" i="2"/>
  <c r="H426" i="2"/>
  <c r="H135" i="2"/>
  <c r="H926" i="2"/>
  <c r="H919" i="2"/>
  <c r="H744" i="2"/>
  <c r="H310" i="2"/>
  <c r="H232" i="2"/>
  <c r="H132" i="2"/>
  <c r="H698" i="2"/>
  <c r="H806" i="2"/>
  <c r="H267" i="2"/>
  <c r="H71" i="3"/>
  <c r="H177" i="2"/>
  <c r="H513" i="2"/>
  <c r="H602" i="2"/>
  <c r="H306" i="2"/>
  <c r="H41" i="5"/>
  <c r="H60" i="2"/>
  <c r="H317" i="2"/>
  <c r="H559" i="2"/>
  <c r="H105" i="2"/>
  <c r="H864" i="2"/>
  <c r="H110" i="2"/>
  <c r="H124" i="2"/>
  <c r="H299" i="2"/>
  <c r="H224" i="2"/>
  <c r="H109" i="2"/>
  <c r="H934" i="2"/>
  <c r="H320" i="2"/>
  <c r="H432" i="2"/>
  <c r="H404" i="2"/>
  <c r="H448" i="2"/>
  <c r="H599" i="2"/>
  <c r="H813" i="2"/>
  <c r="H531" i="2"/>
  <c r="H699" i="2"/>
  <c r="H112" i="2"/>
  <c r="H528" i="2"/>
  <c r="H795" i="2"/>
  <c r="H493" i="2"/>
  <c r="H846" i="2"/>
  <c r="H825" i="2"/>
  <c r="H604" i="2"/>
  <c r="H441" i="2"/>
  <c r="H69" i="2"/>
  <c r="H119" i="2"/>
  <c r="H782" i="2"/>
  <c r="H556" i="2"/>
  <c r="H803" i="2"/>
  <c r="H204" i="2"/>
  <c r="H413" i="2"/>
  <c r="H570" i="2"/>
  <c r="H1076" i="21"/>
  <c r="G1074" i="21"/>
  <c r="H430" i="2"/>
  <c r="H271" i="2"/>
  <c r="H35" i="5"/>
  <c r="H83" i="3"/>
  <c r="H84" i="2"/>
  <c r="H695" i="2"/>
  <c r="H15" i="2"/>
  <c r="H651" i="2"/>
  <c r="H257" i="2"/>
  <c r="H370" i="2"/>
  <c r="H316" i="2"/>
  <c r="H899" i="2"/>
  <c r="H616" i="2"/>
  <c r="H48" i="3"/>
  <c r="H512" i="2"/>
  <c r="H478" i="2"/>
  <c r="H468" i="2"/>
  <c r="H565" i="2"/>
  <c r="H682" i="2"/>
  <c r="H526" i="2"/>
  <c r="H584" i="2"/>
  <c r="H78" i="2"/>
  <c r="H88" i="2"/>
  <c r="H164" i="2"/>
  <c r="H290" i="2"/>
  <c r="H323" i="2"/>
  <c r="H920" i="2"/>
  <c r="H352" i="2"/>
  <c r="H901" i="2"/>
  <c r="H511" i="2"/>
  <c r="H282" i="2"/>
  <c r="H146" i="2"/>
  <c r="H458" i="2"/>
  <c r="H576" i="2"/>
  <c r="H166" i="2"/>
  <c r="H869" i="2"/>
  <c r="H521" i="2"/>
  <c r="H338" i="2"/>
  <c r="H614" i="2"/>
  <c r="H199" i="2"/>
  <c r="H893" i="2"/>
  <c r="H33" i="5"/>
  <c r="H314" i="2"/>
  <c r="H205" i="2"/>
  <c r="H200" i="2"/>
  <c r="H678" i="2"/>
  <c r="H22" i="3"/>
  <c r="H184" i="2"/>
  <c r="H45" i="5"/>
  <c r="H496" i="2"/>
  <c r="H568" i="2"/>
  <c r="H828" i="2"/>
  <c r="H431" i="2"/>
  <c r="H376" i="2"/>
  <c r="H59" i="2"/>
  <c r="H251" i="2"/>
  <c r="H874" i="2"/>
  <c r="H868" i="2"/>
  <c r="H5" i="4"/>
  <c r="H590" i="2"/>
  <c r="H35" i="3"/>
  <c r="H178" i="2"/>
  <c r="H797" i="2"/>
  <c r="H130" i="2"/>
  <c r="H777" i="2"/>
  <c r="H701" i="2"/>
  <c r="H555" i="2"/>
  <c r="H514" i="2"/>
  <c r="H566" i="2"/>
  <c r="H33" i="2"/>
  <c r="H557" i="2"/>
  <c r="H203" i="2"/>
  <c r="H193" i="2"/>
  <c r="H111" i="2"/>
  <c r="H152" i="2"/>
  <c r="H26" i="2"/>
  <c r="H510" i="2"/>
  <c r="H499" i="2"/>
  <c r="H405" i="2"/>
  <c r="H804" i="2"/>
  <c r="H127" i="2"/>
  <c r="H710" i="2"/>
  <c r="H918" i="2"/>
  <c r="H558" i="2"/>
  <c r="H731" i="2"/>
  <c r="H742" i="2"/>
  <c r="H779" i="2"/>
  <c r="H721" i="2"/>
  <c r="H690" i="2"/>
  <c r="H853" i="2"/>
  <c r="H707" i="2"/>
  <c r="H268" i="2"/>
  <c r="H287" i="2"/>
  <c r="H189" i="2"/>
  <c r="H12" i="3"/>
  <c r="H930" i="2"/>
  <c r="H13" i="2"/>
  <c r="H16" i="2"/>
  <c r="H165" i="2"/>
  <c r="H937" i="2"/>
  <c r="H288" i="2"/>
  <c r="H541" i="2"/>
  <c r="H910" i="2"/>
  <c r="H101" i="2"/>
  <c r="H313" i="2"/>
  <c r="H47" i="5"/>
  <c r="H923" i="2"/>
  <c r="H374" i="2"/>
  <c r="H611" i="2"/>
  <c r="H922" i="2"/>
  <c r="H776" i="2"/>
  <c r="H160" i="2"/>
  <c r="H691" i="2"/>
  <c r="H123" i="2"/>
  <c r="H817" i="2"/>
  <c r="H692" i="2"/>
  <c r="H253" i="2"/>
  <c r="H37" i="2"/>
  <c r="H704" i="2"/>
  <c r="H51" i="5"/>
  <c r="H892" i="2"/>
  <c r="H386" i="2"/>
  <c r="H702" i="2"/>
  <c r="H771" i="2"/>
  <c r="H878" i="2"/>
  <c r="H859" i="2"/>
  <c r="H517" i="2"/>
  <c r="H64" i="2"/>
  <c r="H36" i="3"/>
  <c r="H419" i="2"/>
  <c r="H574" i="2"/>
  <c r="H470" i="2"/>
  <c r="H262" i="2"/>
  <c r="H40" i="5"/>
  <c r="H266" i="2"/>
  <c r="H258" i="2"/>
  <c r="H689" i="2"/>
  <c r="H648" i="2"/>
  <c r="H867" i="2"/>
  <c r="H706" i="2"/>
  <c r="H293" i="2"/>
  <c r="H289" i="2"/>
  <c r="H35" i="2"/>
  <c r="H530" i="2"/>
  <c r="H889" i="2"/>
  <c r="H75" i="3"/>
  <c r="H147" i="2"/>
  <c r="H476" i="2"/>
  <c r="H473" i="2"/>
  <c r="H48" i="2"/>
  <c r="H823" i="2"/>
  <c r="H274" i="2"/>
  <c r="H658" i="2"/>
  <c r="H248" i="2"/>
  <c r="H114" i="2"/>
  <c r="H391" i="2"/>
  <c r="H768" i="2"/>
  <c r="H578" i="2"/>
  <c r="H243" i="2"/>
  <c r="H587" i="2"/>
  <c r="H766" i="2"/>
  <c r="H51" i="3"/>
  <c r="H34" i="3"/>
  <c r="H577" i="2"/>
  <c r="H494" i="2"/>
  <c r="H475" i="2"/>
  <c r="H34" i="5"/>
  <c r="H865" i="2"/>
  <c r="H539" i="2"/>
  <c r="H209" i="2"/>
  <c r="H49" i="2"/>
  <c r="H638" i="2"/>
  <c r="H753" i="2"/>
  <c r="H820" i="2"/>
  <c r="H42" i="5"/>
  <c r="H445" i="2"/>
  <c r="H43" i="2"/>
  <c r="H421" i="2"/>
  <c r="H42" i="3"/>
  <c r="H70" i="3"/>
  <c r="H696" i="2"/>
  <c r="H467" i="2"/>
  <c r="H457" i="2"/>
  <c r="H414" i="2"/>
  <c r="H397" i="2"/>
  <c r="H99" i="2"/>
  <c r="H593" i="2"/>
  <c r="H881" i="2"/>
  <c r="H149" i="2"/>
  <c r="H850" i="2"/>
  <c r="H870" i="2"/>
  <c r="H30" i="2"/>
  <c r="H904" i="2"/>
  <c r="H308" i="2"/>
  <c r="H396" i="2"/>
  <c r="H77" i="3"/>
  <c r="H100" i="2"/>
  <c r="H417" i="2"/>
  <c r="H459" i="2"/>
  <c r="H455" i="2"/>
  <c r="H261" i="2"/>
  <c r="H96" i="2"/>
  <c r="H106" i="2"/>
  <c r="H534" i="2"/>
  <c r="H532" i="2"/>
  <c r="H826" i="2"/>
  <c r="H359" i="2"/>
  <c r="H896" i="2"/>
  <c r="H673" i="2"/>
  <c r="H756" i="2"/>
  <c r="H8" i="2"/>
  <c r="H10" i="3"/>
  <c r="H38" i="3"/>
  <c r="H54" i="5"/>
  <c r="H347" i="2"/>
  <c r="H68" i="3"/>
  <c r="H50" i="3"/>
  <c r="H792" i="2"/>
  <c r="H805" i="2"/>
  <c r="H661" i="2"/>
  <c r="H596" i="2"/>
  <c r="H395" i="2"/>
  <c r="H12" i="2"/>
  <c r="H378" i="2"/>
  <c r="H652" i="2"/>
  <c r="H894" i="2"/>
  <c r="H360" i="2"/>
  <c r="H235" i="2"/>
  <c r="H872" i="2"/>
  <c r="H434" i="2"/>
  <c r="H279" i="2"/>
  <c r="H229" i="2"/>
  <c r="H37" i="3"/>
  <c r="H27" i="3"/>
  <c r="H643" i="2"/>
  <c r="H799" i="2"/>
  <c r="H775" i="2"/>
  <c r="H424" i="2"/>
  <c r="H810" i="2"/>
  <c r="H550" i="2"/>
  <c r="H197" i="2"/>
  <c r="H888" i="2"/>
  <c r="H849" i="2"/>
  <c r="H425" i="2"/>
  <c r="H231" i="2"/>
  <c r="H759" i="2"/>
  <c r="H758" i="2"/>
  <c r="H234" i="2"/>
  <c r="H582" i="2"/>
  <c r="H18" i="3"/>
  <c r="H239" i="2"/>
  <c r="H907" i="2"/>
  <c r="H325" i="2"/>
  <c r="H836" i="2"/>
  <c r="H94" i="2"/>
  <c r="H334" i="2"/>
  <c r="H150" i="2"/>
  <c r="H56" i="2"/>
  <c r="H27" i="2"/>
  <c r="H221" i="2"/>
  <c r="H829" i="2"/>
  <c r="H746" i="2"/>
  <c r="H544" i="2"/>
  <c r="H612" i="2"/>
  <c r="H211" i="2"/>
  <c r="H67" i="3"/>
  <c r="H436" i="2"/>
  <c r="H21" i="2"/>
  <c r="H801" i="2"/>
  <c r="H816" i="2"/>
  <c r="H840" i="2"/>
  <c r="H633" i="2"/>
  <c r="H942" i="2"/>
  <c r="H812" i="2"/>
  <c r="H561" i="2"/>
  <c r="H542" i="2"/>
  <c r="H796" i="2"/>
  <c r="H647" i="2"/>
  <c r="H39" i="2"/>
  <c r="H931" i="2"/>
  <c r="H697" i="2"/>
  <c r="H902" i="2"/>
  <c r="H715" i="2"/>
  <c r="H294" i="2"/>
  <c r="H350" i="2"/>
  <c r="H129" i="2"/>
  <c r="H322" i="2"/>
  <c r="H225" i="2"/>
  <c r="H762" i="2"/>
  <c r="H665" i="2"/>
  <c r="H155" i="2"/>
  <c r="H233" i="2"/>
  <c r="H335" i="2"/>
  <c r="H73" i="3"/>
  <c r="H298" i="2"/>
  <c r="H546" i="2"/>
  <c r="H501" i="2"/>
  <c r="H304" i="2"/>
  <c r="H705" i="2"/>
  <c r="H862" i="2"/>
  <c r="H87" i="2"/>
  <c r="H412" i="2"/>
  <c r="H595" i="2"/>
  <c r="H141" i="2"/>
  <c r="H516" i="2"/>
  <c r="H118" i="2"/>
  <c r="H818" i="2"/>
  <c r="H911" i="2"/>
  <c r="H80" i="3"/>
  <c r="H66" i="3"/>
  <c r="H60" i="3"/>
  <c r="H802" i="2"/>
  <c r="H460" i="2"/>
  <c r="H303" i="2"/>
  <c r="H58" i="2"/>
  <c r="H605" i="2"/>
  <c r="H319" i="2"/>
  <c r="H749" i="2"/>
  <c r="H269" i="2"/>
  <c r="H333" i="2"/>
  <c r="H686" i="2"/>
  <c r="H747" i="2"/>
  <c r="H226" i="2"/>
  <c r="H887" i="2"/>
  <c r="H65" i="3"/>
  <c r="H64" i="3"/>
  <c r="H52" i="3"/>
  <c r="H174" i="2"/>
  <c r="H107" i="2"/>
  <c r="H906" i="2"/>
  <c r="H358" i="2"/>
  <c r="H284" i="2"/>
  <c r="H48" i="5"/>
  <c r="H195" i="2"/>
  <c r="H659" i="2"/>
  <c r="H260" i="2"/>
  <c r="H838" i="2"/>
  <c r="H369" i="2"/>
  <c r="H91" i="2"/>
  <c r="H84" i="3"/>
  <c r="H55" i="3"/>
  <c r="H191" i="2"/>
  <c r="H182" i="2"/>
  <c r="H688" i="2"/>
  <c r="H905" i="2"/>
  <c r="H769" i="2"/>
  <c r="H240" i="2"/>
  <c r="H368" i="2"/>
  <c r="H928" i="2"/>
  <c r="H337" i="2"/>
  <c r="H490" i="2"/>
  <c r="H524" i="2"/>
  <c r="H641" i="2"/>
  <c r="H830" i="2"/>
  <c r="H13" i="3"/>
  <c r="H44" i="3"/>
  <c r="H787" i="2"/>
  <c r="H730" i="2"/>
  <c r="H680" i="2"/>
  <c r="H227" i="2"/>
  <c r="H208" i="2"/>
  <c r="H9" i="3"/>
  <c r="H25" i="3"/>
  <c r="H486" i="2"/>
  <c r="H464" i="2"/>
  <c r="H495" i="2"/>
  <c r="H591" i="2"/>
  <c r="H909" i="2"/>
  <c r="H136" i="2"/>
  <c r="H281" i="2"/>
  <c r="H228" i="2"/>
  <c r="H52" i="2"/>
  <c r="H527" i="2"/>
  <c r="H265" i="2"/>
  <c r="H649" i="2"/>
  <c r="H9" i="2"/>
  <c r="H666" i="2"/>
  <c r="H69" i="3"/>
  <c r="H498" i="2"/>
  <c r="H78" i="3"/>
  <c r="H450" i="2"/>
  <c r="H466" i="2"/>
  <c r="H463" i="2"/>
  <c r="H668" i="2"/>
  <c r="H794" i="2"/>
  <c r="H76" i="2"/>
  <c r="H97" i="2"/>
  <c r="H55" i="5"/>
  <c r="H718" i="2"/>
  <c r="H415" i="2"/>
  <c r="H871" i="2"/>
  <c r="H408" i="2"/>
  <c r="H663" i="2"/>
  <c r="H33" i="3"/>
  <c r="H738" i="2"/>
  <c r="H188" i="2"/>
  <c r="H454" i="2"/>
  <c r="H543" i="2"/>
  <c r="H462" i="2"/>
  <c r="H670" i="2"/>
  <c r="H392" i="2"/>
  <c r="H831" i="2"/>
  <c r="H720" i="2"/>
  <c r="H783" i="2"/>
  <c r="H642" i="2"/>
  <c r="H891" i="2"/>
  <c r="H92" i="2"/>
  <c r="H439" i="2"/>
  <c r="H628" i="2"/>
  <c r="H41" i="3"/>
  <c r="H162" i="2"/>
  <c r="H81" i="3"/>
  <c r="H465" i="2"/>
  <c r="H694" i="2"/>
  <c r="H351" i="2"/>
  <c r="H5" i="2"/>
  <c r="H671" i="2"/>
  <c r="H259" i="2"/>
  <c r="H382" i="2"/>
  <c r="H882" i="2"/>
  <c r="H82" i="2"/>
  <c r="H11" i="2"/>
  <c r="H75" i="2"/>
  <c r="H571" i="2"/>
  <c r="H685" i="2"/>
  <c r="H93" i="2"/>
  <c r="H11" i="3"/>
  <c r="H23" i="3"/>
  <c r="H20" i="2"/>
  <c r="H472" i="2"/>
  <c r="H847" i="2"/>
  <c r="H89" i="2"/>
  <c r="H154" i="2"/>
  <c r="H393" i="2"/>
  <c r="H855" i="2"/>
  <c r="H44" i="2"/>
  <c r="H447" i="2"/>
  <c r="H636" i="2"/>
  <c r="H202" i="2"/>
  <c r="H156" i="2"/>
  <c r="H508" i="2"/>
  <c r="H377" i="2"/>
  <c r="H545" i="2"/>
  <c r="H45" i="2"/>
  <c r="H924" i="2"/>
  <c r="H515" i="2"/>
  <c r="H65" i="2"/>
  <c r="H589" i="2"/>
  <c r="H726" i="2"/>
  <c r="H603" i="2"/>
  <c r="H681" i="2"/>
  <c r="H372" i="2"/>
  <c r="H95" i="2"/>
  <c r="H832" i="2"/>
  <c r="H765" i="2"/>
  <c r="H733" i="2"/>
  <c r="H875" i="2"/>
  <c r="H324" i="2"/>
  <c r="H488" i="2"/>
  <c r="H72" i="3"/>
  <c r="H856" i="2"/>
  <c r="H103" i="2"/>
  <c r="H858" i="2"/>
  <c r="H63" i="3"/>
  <c r="H217" i="2"/>
  <c r="H664" i="2"/>
  <c r="H18" i="2"/>
  <c r="H169" i="2"/>
  <c r="H725" i="2"/>
  <c r="H30" i="3"/>
  <c r="H345" i="2"/>
  <c r="H58" i="5"/>
  <c r="H237" i="2"/>
  <c r="H140" i="2"/>
  <c r="H567" i="2"/>
  <c r="H131" i="2"/>
  <c r="H223" i="2"/>
  <c r="H277" i="2"/>
  <c r="H914" i="2"/>
  <c r="H125" i="2"/>
  <c r="H15" i="3"/>
  <c r="H824" i="2"/>
  <c r="H751" i="2"/>
  <c r="H854" i="2"/>
  <c r="J1032" i="21"/>
  <c r="I7" i="3"/>
  <c r="H53" i="2"/>
  <c r="H39" i="3"/>
  <c r="H32" i="3"/>
  <c r="H318" i="2"/>
  <c r="H7" i="2"/>
  <c r="H344" i="2"/>
  <c r="H453" i="2"/>
  <c r="H307" i="2"/>
  <c r="H291" i="2"/>
  <c r="H387" i="2"/>
  <c r="H62" i="3"/>
  <c r="H676" i="2"/>
  <c r="H379" i="2"/>
  <c r="H36" i="5"/>
  <c r="H712" i="2"/>
  <c r="H471" i="2"/>
  <c r="H219" i="2"/>
  <c r="H401" i="2"/>
  <c r="H167" i="2"/>
  <c r="H22" i="2"/>
  <c r="H672" i="2"/>
  <c r="H655" i="2"/>
  <c r="H315" i="2"/>
  <c r="H285" i="2"/>
  <c r="H890" i="2"/>
  <c r="H340" i="2"/>
  <c r="H944" i="2"/>
  <c r="H586" i="2"/>
  <c r="H218" i="2"/>
  <c r="H627" i="2"/>
  <c r="H61" i="2"/>
  <c r="H389" i="2"/>
  <c r="H74" i="2"/>
  <c r="K1484" i="30"/>
  <c r="H785" i="2"/>
  <c r="H236" i="2"/>
  <c r="H518" i="2"/>
  <c r="H38" i="5"/>
  <c r="H175" i="2"/>
  <c r="I10" i="4"/>
  <c r="J1706" i="8"/>
  <c r="J2287" i="11"/>
  <c r="K924" i="33"/>
  <c r="H737" i="2"/>
  <c r="H632" i="2"/>
  <c r="H301" i="2"/>
  <c r="H549" i="2"/>
  <c r="H273" i="2"/>
  <c r="H538" i="2"/>
  <c r="H618" i="2"/>
  <c r="H884" i="2"/>
  <c r="H583" i="2"/>
  <c r="H873" i="2"/>
  <c r="H900" i="2"/>
  <c r="K723" i="26"/>
  <c r="H793" i="2"/>
  <c r="H272" i="2"/>
  <c r="H102" i="2"/>
  <c r="H757" i="2"/>
  <c r="H339" i="2"/>
  <c r="H609" i="2"/>
  <c r="H579" i="2"/>
  <c r="H17" i="2"/>
  <c r="H67" i="2"/>
  <c r="J1406" i="8"/>
  <c r="K1064" i="33"/>
  <c r="J1586" i="8"/>
  <c r="J1012" i="21"/>
  <c r="H564" i="2"/>
  <c r="H41" i="2"/>
  <c r="H355" i="2"/>
  <c r="H437" i="2"/>
  <c r="H639" i="2"/>
  <c r="H764" i="2"/>
  <c r="H380" i="2"/>
  <c r="H480" i="2"/>
  <c r="J2092" i="8"/>
  <c r="J1628" i="21"/>
  <c r="L203" i="2"/>
  <c r="J521" i="8"/>
  <c r="K1524" i="30"/>
  <c r="G126" i="30"/>
  <c r="K1224" i="33"/>
  <c r="J986" i="8"/>
  <c r="J1046" i="8"/>
  <c r="J624" i="21"/>
  <c r="K1084" i="33"/>
  <c r="J1486" i="8"/>
  <c r="K2077" i="26"/>
  <c r="H302" i="2"/>
  <c r="H402" i="2"/>
  <c r="J684" i="21"/>
  <c r="J766" i="8"/>
  <c r="J1026" i="8"/>
  <c r="H597" i="2"/>
  <c r="H56" i="5"/>
  <c r="H619" i="2"/>
  <c r="H249" i="2"/>
  <c r="H327" i="2"/>
  <c r="H492" i="2"/>
  <c r="H443" i="2"/>
  <c r="H877" i="2"/>
  <c r="H562" i="2"/>
  <c r="H126" i="2"/>
  <c r="J1086" i="8"/>
  <c r="J1926" i="8"/>
  <c r="L204" i="2"/>
  <c r="J1666" i="8"/>
  <c r="J664" i="21"/>
  <c r="J7" i="3"/>
  <c r="L528" i="2"/>
  <c r="H477" i="2"/>
  <c r="J1566" i="8"/>
  <c r="G1054" i="21"/>
  <c r="K1144" i="33"/>
  <c r="K764" i="21"/>
  <c r="O342" i="2"/>
  <c r="L7" i="3"/>
  <c r="L719" i="2"/>
  <c r="J124" i="24"/>
  <c r="L763" i="2"/>
  <c r="K1648" i="21"/>
  <c r="J1306" i="8"/>
  <c r="K1584" i="30"/>
  <c r="J2432" i="8"/>
  <c r="H180" i="2"/>
  <c r="H763" i="2"/>
  <c r="H932" i="2"/>
  <c r="H917" i="2"/>
  <c r="H263" i="2"/>
  <c r="H73" i="2"/>
  <c r="H469" i="2"/>
  <c r="I57" i="3"/>
  <c r="L348" i="2"/>
  <c r="O278" i="2"/>
  <c r="L378" i="2"/>
  <c r="K4" i="24"/>
  <c r="H598" i="2"/>
  <c r="H139" i="2"/>
  <c r="H423" i="2"/>
  <c r="H40" i="2"/>
  <c r="H487" i="2"/>
  <c r="H489" i="2"/>
  <c r="J1266" i="8"/>
  <c r="J1204" i="33"/>
  <c r="K2695" i="26"/>
  <c r="L188" i="2"/>
  <c r="J1446" i="8"/>
  <c r="H832" i="30"/>
  <c r="H824" i="30" s="1"/>
  <c r="G824" i="30"/>
  <c r="E1055" i="1" s="1"/>
  <c r="F1055" i="1" s="1"/>
  <c r="I824" i="30" s="1"/>
  <c r="H2029" i="15"/>
  <c r="H2021" i="15" s="1"/>
  <c r="G2021" i="15"/>
  <c r="E534" i="1" s="1"/>
  <c r="F534" i="1" s="1"/>
  <c r="I2021" i="15" s="1"/>
  <c r="G1088" i="32"/>
  <c r="E1179" i="1" s="1"/>
  <c r="F1179" i="1" s="1"/>
  <c r="I1088" i="32" s="1"/>
  <c r="H1096" i="32"/>
  <c r="H1088" i="32" s="1"/>
  <c r="H1316" i="32"/>
  <c r="H1308" i="32" s="1"/>
  <c r="G1308" i="32"/>
  <c r="E1190" i="1" s="1"/>
  <c r="F1190" i="1" s="1"/>
  <c r="I1308" i="32" s="1"/>
  <c r="G84" i="30"/>
  <c r="E1018" i="1" s="1"/>
  <c r="F1018" i="1" s="1"/>
  <c r="I84" i="30" s="1"/>
  <c r="H86" i="30"/>
  <c r="H84" i="30" s="1"/>
  <c r="H1719" i="15"/>
  <c r="H1711" i="15" s="1"/>
  <c r="G1711" i="15"/>
  <c r="E519" i="1" s="1"/>
  <c r="F519" i="1" s="1"/>
  <c r="I1711" i="15" s="1"/>
  <c r="H827" i="16"/>
  <c r="H819" i="16" s="1"/>
  <c r="G819" i="16"/>
  <c r="E582" i="1" s="1"/>
  <c r="F582" i="1" s="1"/>
  <c r="I819" i="16" s="1"/>
  <c r="H697" i="15"/>
  <c r="H689" i="15" s="1"/>
  <c r="G689" i="15"/>
  <c r="E468" i="1" s="1"/>
  <c r="F468" i="1" s="1"/>
  <c r="H1016" i="32"/>
  <c r="H1008" i="32" s="1"/>
  <c r="G1008" i="32"/>
  <c r="E1175" i="1" s="1"/>
  <c r="F1175" i="1" s="1"/>
  <c r="H1636" i="32"/>
  <c r="H1628" i="32" s="1"/>
  <c r="G1628" i="32"/>
  <c r="E1206" i="1" s="1"/>
  <c r="F1206" i="1" s="1"/>
  <c r="I1628" i="32" s="1"/>
  <c r="H1116" i="32"/>
  <c r="H1108" i="32" s="1"/>
  <c r="G1108" i="32"/>
  <c r="E1180" i="1" s="1"/>
  <c r="F1180" i="1" s="1"/>
  <c r="I1108" i="32" s="1"/>
  <c r="H1652" i="30"/>
  <c r="H1644" i="30" s="1"/>
  <c r="G1644" i="30"/>
  <c r="E1097" i="1" s="1"/>
  <c r="F1097" i="1" s="1"/>
  <c r="I1644" i="30" s="1"/>
  <c r="J1064" i="33"/>
  <c r="H652" i="21"/>
  <c r="H644" i="21" s="1"/>
  <c r="G644" i="21"/>
  <c r="E713" i="1" s="1"/>
  <c r="F713" i="1" s="1"/>
  <c r="I644" i="21" s="1"/>
  <c r="H1171" i="26"/>
  <c r="H1163" i="26" s="1"/>
  <c r="G1163" i="26"/>
  <c r="E915" i="1" s="1"/>
  <c r="F915" i="1" s="1"/>
  <c r="I1163" i="26" s="1"/>
  <c r="H937" i="15"/>
  <c r="H929" i="15" s="1"/>
  <c r="G929" i="15"/>
  <c r="E480" i="1" s="1"/>
  <c r="F480" i="1" s="1"/>
  <c r="I929" i="15" s="1"/>
  <c r="H842" i="24"/>
  <c r="H832" i="24" s="1"/>
  <c r="G832" i="24"/>
  <c r="E814" i="1" s="1"/>
  <c r="F814" i="1" s="1"/>
  <c r="I832" i="24" s="1"/>
  <c r="H296" i="32"/>
  <c r="H288" i="32" s="1"/>
  <c r="G288" i="32"/>
  <c r="E1139" i="1" s="1"/>
  <c r="F1139" i="1" s="1"/>
  <c r="H927" i="16"/>
  <c r="H919" i="16" s="1"/>
  <c r="G919" i="16"/>
  <c r="E588" i="1" s="1"/>
  <c r="F588" i="1" s="1"/>
  <c r="I919" i="16" s="1"/>
  <c r="H13" i="15"/>
  <c r="I5" i="3" s="1"/>
  <c r="G12" i="15"/>
  <c r="H1156" i="32"/>
  <c r="H1148" i="32" s="1"/>
  <c r="G1148" i="32"/>
  <c r="E1182" i="1" s="1"/>
  <c r="F1182" i="1" s="1"/>
  <c r="I1148" i="32" s="1"/>
  <c r="H2085" i="16"/>
  <c r="H2077" i="16" s="1"/>
  <c r="G2077" i="16"/>
  <c r="E647" i="1" s="1"/>
  <c r="F647" i="1" s="1"/>
  <c r="I2077" i="16" s="1"/>
  <c r="G364" i="24"/>
  <c r="E791" i="1" s="1"/>
  <c r="F791" i="1" s="1"/>
  <c r="I364" i="24" s="1"/>
  <c r="H372" i="24"/>
  <c r="H364" i="24" s="1"/>
  <c r="G868" i="8"/>
  <c r="H871" i="8"/>
  <c r="H1376" i="21"/>
  <c r="H1368" i="21" s="1"/>
  <c r="G1368" i="21"/>
  <c r="E748" i="1" s="1"/>
  <c r="F748" i="1" s="1"/>
  <c r="I1368" i="21" s="1"/>
  <c r="J1484" i="30"/>
  <c r="G46" i="11"/>
  <c r="H836" i="32"/>
  <c r="H828" i="32" s="1"/>
  <c r="G828" i="32"/>
  <c r="E1166" i="1" s="1"/>
  <c r="F1166" i="1" s="1"/>
  <c r="H712" i="33"/>
  <c r="H704" i="33" s="1"/>
  <c r="G704" i="33"/>
  <c r="E1245" i="1" s="1"/>
  <c r="F1245" i="1" s="1"/>
  <c r="I704" i="33" s="1"/>
  <c r="H667" i="16"/>
  <c r="H659" i="16" s="1"/>
  <c r="G659" i="16"/>
  <c r="E574" i="1" s="1"/>
  <c r="F574" i="1" s="1"/>
  <c r="I659" i="16" s="1"/>
  <c r="H1283" i="16"/>
  <c r="H1275" i="16" s="1"/>
  <c r="G1275" i="16"/>
  <c r="E605" i="1" s="1"/>
  <c r="F605" i="1" s="1"/>
  <c r="I1275" i="16" s="1"/>
  <c r="H1792" i="30"/>
  <c r="H1784" i="30" s="1"/>
  <c r="G1784" i="30"/>
  <c r="E1104" i="1" s="1"/>
  <c r="F1104" i="1" s="1"/>
  <c r="I1784" i="30" s="1"/>
  <c r="J641" i="8"/>
  <c r="K641" i="8"/>
  <c r="K766" i="8"/>
  <c r="H252" i="21"/>
  <c r="H244" i="21" s="1"/>
  <c r="G244" i="21"/>
  <c r="E692" i="1" s="1"/>
  <c r="F692" i="1" s="1"/>
  <c r="I244" i="21" s="1"/>
  <c r="H90" i="26"/>
  <c r="H72" i="26" s="1"/>
  <c r="G72" i="26"/>
  <c r="E863" i="1" s="1"/>
  <c r="F863" i="1" s="1"/>
  <c r="I72" i="26" s="1"/>
  <c r="J584" i="30"/>
  <c r="K584" i="30"/>
  <c r="G924" i="30"/>
  <c r="E1060" i="1" s="1"/>
  <c r="F1060" i="1" s="1"/>
  <c r="I924" i="30" s="1"/>
  <c r="H926" i="30"/>
  <c r="H924" i="30" s="1"/>
  <c r="H2268" i="13"/>
  <c r="H2260" i="13" s="1"/>
  <c r="G2260" i="13"/>
  <c r="E407" i="1" s="1"/>
  <c r="F407" i="1" s="1"/>
  <c r="I2260" i="13" s="1"/>
  <c r="L11" i="3"/>
  <c r="L384" i="2"/>
  <c r="L756" i="2"/>
  <c r="L53" i="5"/>
  <c r="L379" i="2"/>
  <c r="L201" i="2"/>
  <c r="L825" i="2"/>
  <c r="L847" i="2"/>
  <c r="L45" i="5"/>
  <c r="L362" i="2"/>
  <c r="L659" i="2"/>
  <c r="L146" i="2"/>
  <c r="L542" i="2"/>
  <c r="L691" i="2"/>
  <c r="L257" i="2"/>
  <c r="L367" i="2"/>
  <c r="L352" i="2"/>
  <c r="L449" i="2"/>
  <c r="L366" i="2"/>
  <c r="L191" i="2"/>
  <c r="L215" i="2"/>
  <c r="L139" i="2"/>
  <c r="L285" i="2"/>
  <c r="L286" i="2"/>
  <c r="L280" i="2"/>
  <c r="L904" i="2"/>
  <c r="L75" i="3"/>
  <c r="L200" i="2"/>
  <c r="L428" i="2"/>
  <c r="L907" i="2"/>
  <c r="L481" i="2"/>
  <c r="L297" i="2"/>
  <c r="L345" i="2"/>
  <c r="L582" i="2"/>
  <c r="L642" i="2"/>
  <c r="L771" i="2"/>
  <c r="L54" i="2"/>
  <c r="L773" i="2"/>
  <c r="L731" i="2"/>
  <c r="L405" i="2"/>
  <c r="L173" i="2"/>
  <c r="L66" i="2"/>
  <c r="L527" i="2"/>
  <c r="L698" i="2"/>
  <c r="L82" i="3"/>
  <c r="L824" i="2"/>
  <c r="L930" i="2"/>
  <c r="L47" i="2"/>
  <c r="L11" i="2"/>
  <c r="L168" i="2"/>
  <c r="L23" i="2"/>
  <c r="L497" i="2"/>
  <c r="L316" i="2"/>
  <c r="L289" i="2"/>
  <c r="L127" i="2"/>
  <c r="L36" i="3"/>
  <c r="L467" i="2"/>
  <c r="L235" i="2"/>
  <c r="L66" i="3"/>
  <c r="L417" i="2"/>
  <c r="L385" i="2"/>
  <c r="L140" i="2"/>
  <c r="L106" i="2"/>
  <c r="L230" i="2"/>
  <c r="L41" i="2"/>
  <c r="L175" i="2"/>
  <c r="H2566" i="16"/>
  <c r="H2558" i="16" s="1"/>
  <c r="G2558" i="16"/>
  <c r="E671" i="1" s="1"/>
  <c r="F671" i="1" s="1"/>
  <c r="I2558" i="16" s="1"/>
  <c r="H1528" i="13"/>
  <c r="H1520" i="13" s="1"/>
  <c r="G1520" i="13"/>
  <c r="E370" i="1" s="1"/>
  <c r="F370" i="1" s="1"/>
  <c r="I1520" i="13" s="1"/>
  <c r="H232" i="11"/>
  <c r="H224" i="11" s="1"/>
  <c r="G224" i="11"/>
  <c r="E160" i="1" s="1"/>
  <c r="F160" i="1" s="1"/>
  <c r="I224" i="11" s="1"/>
  <c r="H1111" i="26"/>
  <c r="H1103" i="26" s="1"/>
  <c r="G1103" i="26"/>
  <c r="E912" i="1" s="1"/>
  <c r="F912" i="1" s="1"/>
  <c r="I1103" i="26" s="1"/>
  <c r="H817" i="15"/>
  <c r="H809" i="15" s="1"/>
  <c r="G809" i="15"/>
  <c r="H257" i="15"/>
  <c r="H249" i="15" s="1"/>
  <c r="G249" i="15"/>
  <c r="E446" i="1" s="1"/>
  <c r="F446" i="1" s="1"/>
  <c r="I249" i="15" s="1"/>
  <c r="H2325" i="16"/>
  <c r="H2317" i="16" s="1"/>
  <c r="G2317" i="16"/>
  <c r="E659" i="1" s="1"/>
  <c r="F659" i="1" s="1"/>
  <c r="I2317" i="16" s="1"/>
  <c r="H1599" i="24"/>
  <c r="H1591" i="24" s="1"/>
  <c r="G1591" i="24"/>
  <c r="E852" i="1" s="1"/>
  <c r="F852" i="1" s="1"/>
  <c r="I1591" i="24" s="1"/>
  <c r="H132" i="21"/>
  <c r="H124" i="21" s="1"/>
  <c r="G124" i="21"/>
  <c r="E686" i="1" s="1"/>
  <c r="F686" i="1" s="1"/>
  <c r="I124" i="21" s="1"/>
  <c r="H1048" i="13"/>
  <c r="H1040" i="13" s="1"/>
  <c r="G1040" i="13"/>
  <c r="E346" i="1" s="1"/>
  <c r="F346" i="1" s="1"/>
  <c r="I1040" i="13" s="1"/>
  <c r="H1232" i="11"/>
  <c r="H1224" i="11" s="1"/>
  <c r="G1224" i="11"/>
  <c r="E211" i="1" s="1"/>
  <c r="F211" i="1" s="1"/>
  <c r="I1224" i="11" s="1"/>
  <c r="H748" i="13"/>
  <c r="H740" i="13" s="1"/>
  <c r="G740" i="13"/>
  <c r="E330" i="1" s="1"/>
  <c r="F330" i="1" s="1"/>
  <c r="I740" i="13" s="1"/>
  <c r="H2185" i="26"/>
  <c r="H2177" i="26" s="1"/>
  <c r="G2177" i="26"/>
  <c r="E967" i="1" s="1"/>
  <c r="F967" i="1" s="1"/>
  <c r="I2177" i="26" s="1"/>
  <c r="H796" i="24"/>
  <c r="H785" i="24" s="1"/>
  <c r="G785" i="24"/>
  <c r="E812" i="1" s="1"/>
  <c r="F812" i="1" s="1"/>
  <c r="I785" i="24" s="1"/>
  <c r="H72" i="21"/>
  <c r="H64" i="21" s="1"/>
  <c r="G64" i="21"/>
  <c r="E683" i="1" s="1"/>
  <c r="F683" i="1" s="1"/>
  <c r="I64" i="21" s="1"/>
  <c r="H633" i="24"/>
  <c r="H625" i="24" s="1"/>
  <c r="G625" i="24"/>
  <c r="E804" i="1" s="1"/>
  <c r="F804" i="1" s="1"/>
  <c r="I625" i="24" s="1"/>
  <c r="J381" i="8"/>
  <c r="K381" i="8"/>
  <c r="H332" i="21"/>
  <c r="H324" i="21" s="1"/>
  <c r="G324" i="21"/>
  <c r="E696" i="1" s="1"/>
  <c r="F696" i="1" s="1"/>
  <c r="I324" i="21" s="1"/>
  <c r="H573" i="24"/>
  <c r="H565" i="24" s="1"/>
  <c r="G565" i="24"/>
  <c r="E801" i="1" s="1"/>
  <c r="F801" i="1" s="1"/>
  <c r="I565" i="24" s="1"/>
  <c r="H691" i="26"/>
  <c r="H683" i="26" s="1"/>
  <c r="G683" i="26"/>
  <c r="E891" i="1" s="1"/>
  <c r="F891" i="1" s="1"/>
  <c r="I683" i="26" s="1"/>
  <c r="H1967" i="15"/>
  <c r="H1957" i="15" s="1"/>
  <c r="G1957" i="15"/>
  <c r="E531" i="1" s="1"/>
  <c r="F531" i="1" s="1"/>
  <c r="I1957" i="15" s="1"/>
  <c r="J64" i="8"/>
  <c r="K64" i="8"/>
  <c r="H2696" i="11"/>
  <c r="H2694" i="11" s="1"/>
  <c r="G2694" i="11"/>
  <c r="E280" i="1" s="1"/>
  <c r="F280" i="1" s="1"/>
  <c r="I2694" i="11" s="1"/>
  <c r="H2646" i="16"/>
  <c r="H2638" i="16" s="1"/>
  <c r="G2638" i="16"/>
  <c r="E675" i="1" s="1"/>
  <c r="F675" i="1" s="1"/>
  <c r="I2638" i="16" s="1"/>
  <c r="H482" i="13"/>
  <c r="H471" i="13" s="1"/>
  <c r="G471" i="13"/>
  <c r="E318" i="1" s="1"/>
  <c r="F318" i="1" s="1"/>
  <c r="I471" i="13" s="1"/>
  <c r="H972" i="33"/>
  <c r="H964" i="33" s="1"/>
  <c r="G964" i="33"/>
  <c r="E1258" i="1" s="1"/>
  <c r="F1258" i="1" s="1"/>
  <c r="I964" i="33" s="1"/>
  <c r="H169" i="8"/>
  <c r="H161" i="8" s="1"/>
  <c r="G161" i="8"/>
  <c r="E13" i="1" s="1"/>
  <c r="F13" i="1" s="1"/>
  <c r="I161" i="8" s="1"/>
  <c r="H28" i="11"/>
  <c r="G26" i="11"/>
  <c r="G1328" i="24"/>
  <c r="L488" i="2"/>
  <c r="L819" i="2"/>
  <c r="L746" i="2"/>
  <c r="L89" i="2"/>
  <c r="L470" i="2"/>
  <c r="L56" i="5"/>
  <c r="L775" i="2"/>
  <c r="L761" i="2"/>
  <c r="L65" i="3"/>
  <c r="L886" i="2"/>
  <c r="L425" i="2"/>
  <c r="L32" i="2"/>
  <c r="L47" i="3"/>
  <c r="L491" i="2"/>
  <c r="L681" i="2"/>
  <c r="L537" i="2"/>
  <c r="L19" i="3"/>
  <c r="L891" i="2"/>
  <c r="L88" i="2"/>
  <c r="L155" i="2"/>
  <c r="L122" i="2"/>
  <c r="L130" i="2"/>
  <c r="L599" i="2"/>
  <c r="L51" i="5"/>
  <c r="L447" i="2"/>
  <c r="L755" i="2"/>
  <c r="L52" i="5"/>
  <c r="L523" i="2"/>
  <c r="L41" i="5"/>
  <c r="L356" i="2"/>
  <c r="L560" i="2"/>
  <c r="L612" i="2"/>
  <c r="L895" i="2"/>
  <c r="L75" i="2"/>
  <c r="L805" i="2"/>
  <c r="L206" i="2"/>
  <c r="L678" i="2"/>
  <c r="L603" i="2"/>
  <c r="L185" i="2"/>
  <c r="L166" i="2"/>
  <c r="L218" i="2"/>
  <c r="L40" i="3"/>
  <c r="L875" i="2"/>
  <c r="L20" i="2"/>
  <c r="L21" i="2"/>
  <c r="L153" i="2"/>
  <c r="L860" i="2"/>
  <c r="L347" i="2"/>
  <c r="L635" i="2"/>
  <c r="L105" i="2"/>
  <c r="L86" i="2"/>
  <c r="L172" i="2"/>
  <c r="L844" i="2"/>
  <c r="L337" i="2"/>
  <c r="L892" i="2"/>
  <c r="L73" i="3"/>
  <c r="L853" i="2"/>
  <c r="L791" i="2"/>
  <c r="L115" i="2"/>
  <c r="L49" i="3"/>
  <c r="L591" i="2"/>
  <c r="L414" i="2"/>
  <c r="L740" i="2"/>
  <c r="L12" i="2"/>
  <c r="L8" i="2"/>
  <c r="L330" i="2"/>
  <c r="L931" i="2"/>
  <c r="L108" i="2"/>
  <c r="L456" i="2"/>
  <c r="L494" i="2"/>
  <c r="L74" i="2"/>
  <c r="L531" i="2"/>
  <c r="L117" i="2"/>
  <c r="L448" i="2"/>
  <c r="L344" i="2"/>
  <c r="L710" i="2"/>
  <c r="L90" i="3"/>
  <c r="L688" i="2"/>
  <c r="L426" i="2"/>
  <c r="L899" i="2"/>
  <c r="L157" i="2"/>
  <c r="L429" i="2"/>
  <c r="L55" i="3"/>
  <c r="L176" i="2"/>
  <c r="L16" i="2"/>
  <c r="L611" i="2"/>
  <c r="L86" i="3"/>
  <c r="L160" i="2"/>
  <c r="L839" i="2"/>
  <c r="L872" i="2"/>
  <c r="L435" i="2"/>
  <c r="L57" i="2"/>
  <c r="L464" i="2"/>
  <c r="L567" i="2"/>
  <c r="L479" i="2"/>
  <c r="L924" i="2"/>
  <c r="L827" i="2"/>
  <c r="L382" i="2"/>
  <c r="L914" i="2"/>
  <c r="L782" i="2"/>
  <c r="L535" i="2"/>
  <c r="L706" i="2"/>
  <c r="L290" i="2"/>
  <c r="L386" i="2"/>
  <c r="L332" i="2"/>
  <c r="L468" i="2"/>
  <c r="L275" i="2"/>
  <c r="L450" i="2"/>
  <c r="L43" i="5"/>
  <c r="L40" i="5"/>
  <c r="L816" i="2"/>
  <c r="L216" i="2"/>
  <c r="L686" i="2"/>
  <c r="L657" i="2"/>
  <c r="L112" i="2"/>
  <c r="L310" i="2"/>
  <c r="L250" i="2"/>
  <c r="L489" i="2"/>
  <c r="L466" i="2"/>
  <c r="L906" i="2"/>
  <c r="L411" i="2"/>
  <c r="L137" i="2"/>
  <c r="L228" i="2"/>
  <c r="L793" i="2"/>
  <c r="L788" i="2"/>
  <c r="L343" i="2"/>
  <c r="L22" i="3"/>
  <c r="L5" i="4"/>
  <c r="L225" i="2"/>
  <c r="L237" i="2"/>
  <c r="L885" i="2"/>
  <c r="L145" i="2"/>
  <c r="L375" i="2"/>
  <c r="L322" i="2"/>
  <c r="L522" i="2"/>
  <c r="L656" i="2"/>
  <c r="L436" i="2"/>
  <c r="L325" i="2"/>
  <c r="L278" i="2"/>
  <c r="L35" i="2"/>
  <c r="L786" i="2"/>
  <c r="L600" i="2"/>
  <c r="L863" i="2"/>
  <c r="L840" i="2"/>
  <c r="L619" i="2"/>
  <c r="L292" i="2"/>
  <c r="L256" i="2"/>
  <c r="L836" i="2"/>
  <c r="L794" i="2"/>
  <c r="L637" i="2"/>
  <c r="L455" i="2"/>
  <c r="L751" i="2"/>
  <c r="L72" i="2"/>
  <c r="L923" i="2"/>
  <c r="L431" i="2"/>
  <c r="L739" i="2"/>
  <c r="L432" i="2"/>
  <c r="L593" i="2"/>
  <c r="L401" i="2"/>
  <c r="L281" i="2"/>
  <c r="L80" i="2"/>
  <c r="L769" i="2"/>
  <c r="L745" i="2"/>
  <c r="L68" i="2"/>
  <c r="L236" i="2"/>
  <c r="L701" i="2"/>
  <c r="L685" i="2"/>
  <c r="L70" i="2"/>
  <c r="L796" i="2"/>
  <c r="L870" i="2"/>
  <c r="L565" i="2"/>
  <c r="L596" i="2"/>
  <c r="L558" i="2"/>
  <c r="L340" i="2"/>
  <c r="L926" i="2"/>
  <c r="L690" i="2"/>
  <c r="L845" i="2"/>
  <c r="L798" i="2"/>
  <c r="L78" i="3"/>
  <c r="L521" i="2"/>
  <c r="L675" i="2"/>
  <c r="L548" i="2"/>
  <c r="L709" i="2"/>
  <c r="L25" i="2"/>
  <c r="L30" i="3"/>
  <c r="L33" i="5"/>
  <c r="L697" i="2"/>
  <c r="L52" i="2"/>
  <c r="L607" i="2"/>
  <c r="L880" i="2"/>
  <c r="L309" i="2"/>
  <c r="L526" i="2"/>
  <c r="L873" i="2"/>
  <c r="L234" i="2"/>
  <c r="L178" i="2"/>
  <c r="L883" i="2"/>
  <c r="L442" i="2"/>
  <c r="L868" i="2"/>
  <c r="L618" i="2"/>
  <c r="L397" i="2"/>
  <c r="L500" i="2"/>
  <c r="L303" i="2"/>
  <c r="L808" i="2"/>
  <c r="L812" i="2"/>
  <c r="L372" i="2"/>
  <c r="L15" i="2"/>
  <c r="L38" i="2"/>
  <c r="L734" i="2"/>
  <c r="L293" i="2"/>
  <c r="L63" i="2"/>
  <c r="L288" i="2"/>
  <c r="L807" i="2"/>
  <c r="L902" i="2"/>
  <c r="L134" i="2"/>
  <c r="L543" i="2"/>
  <c r="L421" i="2"/>
  <c r="L887" i="2"/>
  <c r="L269" i="2"/>
  <c r="L48" i="3"/>
  <c r="L26" i="2"/>
  <c r="L588" i="2"/>
  <c r="L645" i="2"/>
  <c r="L478" i="2"/>
  <c r="L197" i="2"/>
  <c r="L169" i="2"/>
  <c r="L159" i="2"/>
  <c r="L326" i="2"/>
  <c r="L27" i="3"/>
  <c r="L867" i="2"/>
  <c r="L748" i="2"/>
  <c r="L666" i="2"/>
  <c r="L338" i="2"/>
  <c r="L624" i="2"/>
  <c r="L123" i="2"/>
  <c r="L82" i="2"/>
  <c r="L910" i="2"/>
  <c r="L299" i="2"/>
  <c r="L809" i="2"/>
  <c r="L772" i="2"/>
  <c r="L259" i="2"/>
  <c r="L933" i="2"/>
  <c r="L34" i="3"/>
  <c r="L67" i="3"/>
  <c r="L152" i="2"/>
  <c r="L244" i="2"/>
  <c r="L484" i="2"/>
  <c r="L493" i="2"/>
  <c r="L799" i="2"/>
  <c r="L614" i="2"/>
  <c r="L69" i="2"/>
  <c r="L167" i="2"/>
  <c r="L634" i="2"/>
  <c r="L813" i="2"/>
  <c r="L767" i="2"/>
  <c r="L784" i="2"/>
  <c r="L370" i="2"/>
  <c r="L13" i="2"/>
  <c r="L71" i="2"/>
  <c r="L198" i="2"/>
  <c r="L444" i="2"/>
  <c r="L503" i="2"/>
  <c r="L898" i="2"/>
  <c r="L636" i="2"/>
  <c r="L16" i="3"/>
  <c r="L545" i="2"/>
  <c r="L578" i="2"/>
  <c r="L33" i="2"/>
  <c r="L486" i="2"/>
  <c r="L725" i="2"/>
  <c r="L547" i="2"/>
  <c r="L324" i="2"/>
  <c r="L462" i="2"/>
  <c r="L268" i="2"/>
  <c r="L704" i="2"/>
  <c r="L61" i="3"/>
  <c r="L859" i="2"/>
  <c r="L373" i="2"/>
  <c r="L37" i="5"/>
  <c r="L271" i="2"/>
  <c r="L334" i="2"/>
  <c r="L93" i="2"/>
  <c r="L266" i="2"/>
  <c r="L18" i="2"/>
  <c r="L110" i="2"/>
  <c r="L842" i="2"/>
  <c r="L762" i="2"/>
  <c r="L121" i="2"/>
  <c r="L24" i="3"/>
  <c r="L889" i="2"/>
  <c r="L94" i="2"/>
  <c r="L571" i="2"/>
  <c r="L851" i="2"/>
  <c r="L646" i="2"/>
  <c r="L300" i="2"/>
  <c r="L53" i="2"/>
  <c r="L35" i="5"/>
  <c r="L195" i="2"/>
  <c r="L27" i="2"/>
  <c r="L361" i="2"/>
  <c r="L496" i="2"/>
  <c r="L37" i="3"/>
  <c r="L302" i="2"/>
  <c r="L672" i="2"/>
  <c r="L882" i="2"/>
  <c r="L214" i="2"/>
  <c r="L671" i="2"/>
  <c r="L718" i="2"/>
  <c r="L335" i="2"/>
  <c r="L150" i="2"/>
  <c r="L241" i="2"/>
  <c r="L669" i="2"/>
  <c r="L921" i="2"/>
  <c r="L392" i="2"/>
  <c r="L458" i="2"/>
  <c r="L475" i="2"/>
  <c r="L296" i="2"/>
  <c r="L441" i="2"/>
  <c r="L369" i="2"/>
  <c r="L729" i="2"/>
  <c r="L364" i="2"/>
  <c r="L667" i="2"/>
  <c r="L148" i="2"/>
  <c r="L333" i="2"/>
  <c r="L539" i="2"/>
  <c r="L89" i="3"/>
  <c r="L294" i="2"/>
  <c r="L803" i="2"/>
  <c r="L147" i="2"/>
  <c r="L626" i="2"/>
  <c r="L937" i="2"/>
  <c r="L878" i="2"/>
  <c r="L38" i="3"/>
  <c r="L700" i="2"/>
  <c r="L655" i="2"/>
  <c r="L395" i="2"/>
  <c r="L154" i="2"/>
  <c r="L737" i="2"/>
  <c r="L85" i="3"/>
  <c r="L472" i="2"/>
  <c r="L406" i="2"/>
  <c r="L597" i="2"/>
  <c r="L594" i="2"/>
  <c r="L575" i="2"/>
  <c r="L43" i="2"/>
  <c r="L890" i="2"/>
  <c r="L856" i="2"/>
  <c r="L550" i="2"/>
  <c r="L627" i="2"/>
  <c r="L368" i="2"/>
  <c r="L57" i="5"/>
  <c r="L881" i="2"/>
  <c r="L800" i="2"/>
  <c r="L313" i="2"/>
  <c r="L42" i="5"/>
  <c r="L909" i="2"/>
  <c r="L317" i="2"/>
  <c r="L434" i="2"/>
  <c r="L789" i="2"/>
  <c r="L487" i="2"/>
  <c r="L753" i="2"/>
  <c r="L113" i="2"/>
  <c r="L179" i="2"/>
  <c r="L28" i="2"/>
  <c r="L36" i="5"/>
  <c r="L399" i="2"/>
  <c r="L801" i="2"/>
  <c r="L7" i="4"/>
  <c r="L265" i="2"/>
  <c r="L71" i="3"/>
  <c r="L377" i="2"/>
  <c r="L306" i="2"/>
  <c r="L874" i="2"/>
  <c r="L452" i="2"/>
  <c r="L26" i="3"/>
  <c r="L10" i="2"/>
  <c r="L534" i="2"/>
  <c r="L492" i="2"/>
  <c r="L832" i="2"/>
  <c r="L925" i="2"/>
  <c r="L274" i="2"/>
  <c r="L823" i="2"/>
  <c r="L380" i="2"/>
  <c r="L722" i="2"/>
  <c r="L23" i="3"/>
  <c r="L622" i="2"/>
  <c r="L780" i="2"/>
  <c r="L903" i="2"/>
  <c r="L120" i="2"/>
  <c r="L209" i="2"/>
  <c r="L402" i="2"/>
  <c r="L217" i="2"/>
  <c r="L81" i="2"/>
  <c r="L45" i="2"/>
  <c r="L454" i="2"/>
  <c r="L471" i="2"/>
  <c r="L14" i="2"/>
  <c r="L35" i="3"/>
  <c r="L610" i="2"/>
  <c r="L935" i="2"/>
  <c r="L606" i="2"/>
  <c r="L79" i="2"/>
  <c r="L80" i="3"/>
  <c r="L941" i="2"/>
  <c r="L639" i="2"/>
  <c r="L246" i="2"/>
  <c r="L61" i="2"/>
  <c r="L508" i="2"/>
  <c r="L876" i="2"/>
  <c r="L126" i="2"/>
  <c r="L128" i="2"/>
  <c r="L852" i="2"/>
  <c r="L15" i="3"/>
  <c r="L879" i="2"/>
  <c r="L90" i="2"/>
  <c r="L262" i="2"/>
  <c r="L227" i="2"/>
  <c r="L652" i="2"/>
  <c r="L897" i="2"/>
  <c r="L83" i="3"/>
  <c r="L125" i="2"/>
  <c r="L877" i="2"/>
  <c r="L132" i="2"/>
  <c r="L752" i="2"/>
  <c r="L728" i="2"/>
  <c r="L270" i="2"/>
  <c r="L91" i="2"/>
  <c r="L220" i="2"/>
  <c r="L900" i="2"/>
  <c r="L708" i="2"/>
  <c r="L400" i="2"/>
  <c r="L298" i="2"/>
  <c r="L424" i="2"/>
  <c r="L50" i="3"/>
  <c r="L717" i="2"/>
  <c r="L45" i="3"/>
  <c r="L239" i="2"/>
  <c r="L934" i="2"/>
  <c r="L663" i="2"/>
  <c r="L570" i="2"/>
  <c r="L28" i="3"/>
  <c r="L580" i="2"/>
  <c r="L412" i="2"/>
  <c r="L438" i="2"/>
  <c r="L490" i="2"/>
  <c r="L304" i="2"/>
  <c r="L936" i="2"/>
  <c r="L662" i="2"/>
  <c r="L287" i="2"/>
  <c r="L905" i="2"/>
  <c r="L841" i="2"/>
  <c r="L336" i="2"/>
  <c r="L440" i="2"/>
  <c r="L828" i="2"/>
  <c r="L557" i="2"/>
  <c r="L84" i="3"/>
  <c r="L163" i="2"/>
  <c r="L651" i="2"/>
  <c r="L419" i="2"/>
  <c r="L562" i="2"/>
  <c r="L151" i="2"/>
  <c r="L5" i="2"/>
  <c r="L46" i="5"/>
  <c r="L9" i="4"/>
  <c r="L69" i="3"/>
  <c r="L34" i="2"/>
  <c r="L654" i="2"/>
  <c r="L777" i="2"/>
  <c r="L533" i="2"/>
  <c r="L677" i="2"/>
  <c r="L865" i="2"/>
  <c r="L661" i="2"/>
  <c r="L249" i="2"/>
  <c r="L620" i="2"/>
  <c r="L8" i="4"/>
  <c r="L504" i="2"/>
  <c r="L133" i="2"/>
  <c r="L463" i="2"/>
  <c r="L461" i="2"/>
  <c r="L482" i="2"/>
  <c r="L164" i="2"/>
  <c r="L58" i="2"/>
  <c r="L741" i="2"/>
  <c r="L65" i="2"/>
  <c r="L284" i="2"/>
  <c r="L893" i="2"/>
  <c r="L6" i="3"/>
  <c r="L857" i="2"/>
  <c r="L814" i="2"/>
  <c r="L457" i="2"/>
  <c r="L862" i="2"/>
  <c r="L77" i="3"/>
  <c r="L328" i="2"/>
  <c r="L648" i="2"/>
  <c r="L224" i="2"/>
  <c r="L913" i="2"/>
  <c r="L46" i="3"/>
  <c r="L518" i="2"/>
  <c r="L864" i="2"/>
  <c r="L13" i="3"/>
  <c r="L727" i="2"/>
  <c r="L453" i="2"/>
  <c r="L291" i="2"/>
  <c r="L7" i="2"/>
  <c r="L109" i="2"/>
  <c r="L932" i="2"/>
  <c r="L31" i="2"/>
  <c r="L568" i="2"/>
  <c r="L702" i="2"/>
  <c r="L390" i="2"/>
  <c r="L76" i="2"/>
  <c r="L942" i="2"/>
  <c r="L58" i="5"/>
  <c r="L736" i="2"/>
  <c r="H397" i="15"/>
  <c r="H389" i="15" s="1"/>
  <c r="G389" i="15"/>
  <c r="H1334" i="8"/>
  <c r="H1326" i="8" s="1"/>
  <c r="G1326" i="8"/>
  <c r="E72" i="1" s="1"/>
  <c r="F72" i="1" s="1"/>
  <c r="I1326" i="8" s="1"/>
  <c r="H1999" i="26"/>
  <c r="H1997" i="26" s="1"/>
  <c r="G1997" i="26"/>
  <c r="E958" i="1" s="1"/>
  <c r="F958" i="1" s="1"/>
  <c r="I1997" i="26" s="1"/>
  <c r="H2129" i="15"/>
  <c r="H2121" i="15" s="1"/>
  <c r="G2121" i="15"/>
  <c r="E539" i="1" s="1"/>
  <c r="F539" i="1" s="1"/>
  <c r="I2121" i="15" s="1"/>
  <c r="H1232" i="21"/>
  <c r="H1224" i="21" s="1"/>
  <c r="G1224" i="21"/>
  <c r="E741" i="1" s="1"/>
  <c r="F741" i="1" s="1"/>
  <c r="I1224" i="21" s="1"/>
  <c r="G1975" i="16"/>
  <c r="E642" i="1" s="1"/>
  <c r="F642" i="1" s="1"/>
  <c r="I1975" i="16" s="1"/>
  <c r="H1983" i="16"/>
  <c r="H1975" i="16" s="1"/>
  <c r="G568" i="32"/>
  <c r="E1153" i="1" s="1"/>
  <c r="F1153" i="1" s="1"/>
  <c r="I568" i="32" s="1"/>
  <c r="H576" i="32"/>
  <c r="H568" i="32" s="1"/>
  <c r="H2200" i="8"/>
  <c r="H2192" i="8" s="1"/>
  <c r="G2192" i="8"/>
  <c r="E116" i="1" s="1"/>
  <c r="F116" i="1" s="1"/>
  <c r="I2192" i="8" s="1"/>
  <c r="H292" i="16"/>
  <c r="H284" i="16" s="1"/>
  <c r="G284" i="16"/>
  <c r="E556" i="1" s="1"/>
  <c r="F556" i="1" s="1"/>
  <c r="I284" i="16" s="1"/>
  <c r="H32" i="21"/>
  <c r="H24" i="21" s="1"/>
  <c r="G24" i="21"/>
  <c r="E681" i="1" s="1"/>
  <c r="F681" i="1" s="1"/>
  <c r="I24" i="21" s="1"/>
  <c r="H232" i="16"/>
  <c r="H224" i="16" s="1"/>
  <c r="G224" i="16"/>
  <c r="E553" i="1" s="1"/>
  <c r="F553" i="1" s="1"/>
  <c r="H2165" i="26"/>
  <c r="H2157" i="26" s="1"/>
  <c r="G2157" i="26"/>
  <c r="E966" i="1" s="1"/>
  <c r="F966" i="1" s="1"/>
  <c r="I2157" i="26" s="1"/>
  <c r="L833" i="2"/>
  <c r="L51" i="2"/>
  <c r="L849" i="2"/>
  <c r="L68" i="3"/>
  <c r="L39" i="2"/>
  <c r="L87" i="2"/>
  <c r="L423" i="2"/>
  <c r="L433" i="2"/>
  <c r="L24" i="2"/>
  <c r="L511" i="2"/>
  <c r="L398" i="2"/>
  <c r="L939" i="2"/>
  <c r="L238" i="2"/>
  <c r="L826" i="2"/>
  <c r="L750" i="2"/>
  <c r="L437" i="2"/>
  <c r="L604" i="2"/>
  <c r="L44" i="5"/>
  <c r="L40" i="2"/>
  <c r="L929" i="2"/>
  <c r="L170" i="2"/>
  <c r="L530" i="2"/>
  <c r="L240" i="2"/>
  <c r="L723" i="2"/>
  <c r="L60" i="2"/>
  <c r="L551" i="2"/>
  <c r="L714" i="2"/>
  <c r="L644" i="2"/>
  <c r="L202" i="2"/>
  <c r="L365" i="2"/>
  <c r="L802" i="2"/>
  <c r="L703" i="2"/>
  <c r="L283" i="2"/>
  <c r="L544" i="2"/>
  <c r="L41" i="3"/>
  <c r="L210" i="2"/>
  <c r="L532" i="2"/>
  <c r="L70" i="3"/>
  <c r="L58" i="3"/>
  <c r="L6" i="4"/>
  <c r="L55" i="5"/>
  <c r="L158" i="2"/>
  <c r="L42" i="3"/>
  <c r="L707" i="2"/>
  <c r="L525" i="2"/>
  <c r="L742" i="2"/>
  <c r="L917" i="2"/>
  <c r="L609" i="2"/>
  <c r="L922" i="2"/>
  <c r="L56" i="2"/>
  <c r="L97" i="2"/>
  <c r="L943" i="2"/>
  <c r="L85" i="2"/>
  <c r="L806" i="2"/>
  <c r="L477" i="2"/>
  <c r="L474" i="2"/>
  <c r="L393" i="2"/>
  <c r="L694" i="2"/>
  <c r="L276" i="2"/>
  <c r="L829" i="2"/>
  <c r="L255" i="2"/>
  <c r="L136" i="2"/>
  <c r="L776" i="2"/>
  <c r="L319" i="2"/>
  <c r="L919" i="2"/>
  <c r="L630" i="2"/>
  <c r="H5" i="3"/>
  <c r="H1559" i="15"/>
  <c r="H1551" i="15" s="1"/>
  <c r="G1551" i="15"/>
  <c r="E511" i="1" s="1"/>
  <c r="F511" i="1" s="1"/>
  <c r="H1928" i="13"/>
  <c r="H1920" i="13" s="1"/>
  <c r="G1920" i="13"/>
  <c r="E390" i="1" s="1"/>
  <c r="F390" i="1" s="1"/>
  <c r="I1920" i="13" s="1"/>
  <c r="H716" i="32"/>
  <c r="H708" i="32" s="1"/>
  <c r="G708" i="32"/>
  <c r="E1160" i="1" s="1"/>
  <c r="F1160" i="1" s="1"/>
  <c r="I708" i="32" s="1"/>
  <c r="G964" i="30"/>
  <c r="E1062" i="1" s="1"/>
  <c r="F1062" i="1" s="1"/>
  <c r="I964" i="30" s="1"/>
  <c r="H966" i="30"/>
  <c r="H964" i="30" s="1"/>
  <c r="L88" i="3"/>
  <c r="L738" i="2"/>
  <c r="L118" i="2"/>
  <c r="L247" i="2"/>
  <c r="L679" i="2"/>
  <c r="L346" i="2"/>
  <c r="L156" i="2"/>
  <c r="L116" i="2"/>
  <c r="L48" i="2"/>
  <c r="L50" i="2"/>
  <c r="L263" i="2"/>
  <c r="L22" i="2"/>
  <c r="L277" i="2"/>
  <c r="L695" i="2"/>
  <c r="L46" i="2"/>
  <c r="L815" i="2"/>
  <c r="L273" i="2"/>
  <c r="L747" i="2"/>
  <c r="L699" i="2"/>
  <c r="L248" i="2"/>
  <c r="L524" i="2"/>
  <c r="L403" i="2"/>
  <c r="L439" i="2"/>
  <c r="L355" i="2"/>
  <c r="L476" i="2"/>
  <c r="L314" i="2"/>
  <c r="L353" i="2"/>
  <c r="L315" i="2"/>
  <c r="L483" i="2"/>
  <c r="L189" i="2"/>
  <c r="L43" i="3"/>
  <c r="L323" i="2"/>
  <c r="L566" i="2"/>
  <c r="L141" i="2"/>
  <c r="L632" i="2"/>
  <c r="L25" i="3"/>
  <c r="L260" i="2"/>
  <c r="L831" i="2"/>
  <c r="L834" i="2"/>
  <c r="L804" i="2"/>
  <c r="L621" i="2"/>
  <c r="L817" i="2"/>
  <c r="L711" i="2"/>
  <c r="L498" i="2"/>
  <c r="L18" i="3"/>
  <c r="L272" i="2"/>
  <c r="L135" i="2"/>
  <c r="L21" i="3"/>
  <c r="L205" i="2"/>
  <c r="L177" i="2"/>
  <c r="L320" i="2"/>
  <c r="L888" i="2"/>
  <c r="L608" i="2"/>
  <c r="L846" i="2"/>
  <c r="L592" i="2"/>
  <c r="L30" i="2"/>
  <c r="L327" i="2"/>
  <c r="L98" i="2"/>
  <c r="L615" i="2"/>
  <c r="L721" i="2"/>
  <c r="L830" i="2"/>
  <c r="L305" i="2"/>
  <c r="L733" i="2"/>
  <c r="L72" i="3"/>
  <c r="H7" i="30"/>
  <c r="G6" i="30"/>
  <c r="K1244" i="30"/>
  <c r="J1244" i="30"/>
  <c r="H316" i="32"/>
  <c r="H308" i="32" s="1"/>
  <c r="G308" i="32"/>
  <c r="E1140" i="1" s="1"/>
  <c r="F1140" i="1" s="1"/>
  <c r="I308" i="32" s="1"/>
  <c r="H1108" i="24"/>
  <c r="H1099" i="24" s="1"/>
  <c r="G1099" i="24"/>
  <c r="E827" i="1" s="1"/>
  <c r="F827" i="1" s="1"/>
  <c r="I1099" i="24" s="1"/>
  <c r="H459" i="13"/>
  <c r="H448" i="13" s="1"/>
  <c r="G448" i="13"/>
  <c r="E317" i="1" s="1"/>
  <c r="F317" i="1" s="1"/>
  <c r="I448" i="13" s="1"/>
  <c r="G909" i="21"/>
  <c r="E726" i="1" s="1"/>
  <c r="F726" i="1" s="1"/>
  <c r="I909" i="21" s="1"/>
  <c r="H911" i="21"/>
  <c r="H909" i="21" s="1"/>
  <c r="H203" i="26"/>
  <c r="H195" i="26" s="1"/>
  <c r="G195" i="26"/>
  <c r="E867" i="1" s="1"/>
  <c r="F867" i="1" s="1"/>
  <c r="I195" i="26" s="1"/>
  <c r="H885" i="24"/>
  <c r="H875" i="24" s="1"/>
  <c r="G875" i="24"/>
  <c r="E816" i="1" s="1"/>
  <c r="F816" i="1" s="1"/>
  <c r="I875" i="24" s="1"/>
  <c r="H564" i="26"/>
  <c r="H562" i="26" s="1"/>
  <c r="G562" i="26"/>
  <c r="E885" i="1" s="1"/>
  <c r="F885" i="1" s="1"/>
  <c r="I562" i="26" s="1"/>
  <c r="K524" i="30"/>
  <c r="J524" i="30"/>
  <c r="H1223" i="16"/>
  <c r="H1215" i="16" s="1"/>
  <c r="G1215" i="16"/>
  <c r="E602" i="1" s="1"/>
  <c r="F602" i="1" s="1"/>
  <c r="I1215" i="16" s="1"/>
  <c r="H831" i="26"/>
  <c r="H823" i="26" s="1"/>
  <c r="G823" i="26"/>
  <c r="E898" i="1" s="1"/>
  <c r="F898" i="1" s="1"/>
  <c r="I823" i="26" s="1"/>
  <c r="H372" i="21"/>
  <c r="H364" i="21" s="1"/>
  <c r="G364" i="21"/>
  <c r="E698" i="1" s="1"/>
  <c r="F698" i="1" s="1"/>
  <c r="I364" i="21" s="1"/>
  <c r="G489" i="15"/>
  <c r="E458" i="1" s="1"/>
  <c r="F458" i="1" s="1"/>
  <c r="I489" i="15" s="1"/>
  <c r="H497" i="15"/>
  <c r="H489" i="15" s="1"/>
  <c r="H192" i="33"/>
  <c r="H184" i="33" s="1"/>
  <c r="G184" i="33"/>
  <c r="E1218" i="1" s="1"/>
  <c r="F1218" i="1" s="1"/>
  <c r="I184" i="33" s="1"/>
  <c r="G1815" i="16"/>
  <c r="E633" i="1" s="1"/>
  <c r="F633" i="1" s="1"/>
  <c r="I1815" i="16" s="1"/>
  <c r="H1823" i="16"/>
  <c r="H1815" i="16" s="1"/>
  <c r="G93" i="8"/>
  <c r="F22" i="3"/>
  <c r="F100" i="2"/>
  <c r="F393" i="2"/>
  <c r="F768" i="2"/>
  <c r="F521" i="2"/>
  <c r="F862" i="2"/>
  <c r="F499" i="2"/>
  <c r="F21" i="3"/>
  <c r="F665" i="2"/>
  <c r="F254" i="2"/>
  <c r="F932" i="2"/>
  <c r="F638" i="2"/>
  <c r="F70" i="2"/>
  <c r="F65" i="3"/>
  <c r="F513" i="2"/>
  <c r="F737" i="2"/>
  <c r="F185" i="2"/>
  <c r="F450" i="2"/>
  <c r="F117" i="2"/>
  <c r="F664" i="2"/>
  <c r="F726" i="2"/>
  <c r="F35" i="2"/>
  <c r="F478" i="2"/>
  <c r="F104" i="2"/>
  <c r="F65" i="2"/>
  <c r="F884" i="2"/>
  <c r="F201" i="2"/>
  <c r="F482" i="2"/>
  <c r="F292" i="2"/>
  <c r="F32" i="3"/>
  <c r="F384" i="2"/>
  <c r="F754" i="2"/>
  <c r="F247" i="2"/>
  <c r="F893" i="2"/>
  <c r="F48" i="3"/>
  <c r="F89" i="2"/>
  <c r="F864" i="2"/>
  <c r="F520" i="2"/>
  <c r="F324" i="2"/>
  <c r="F511" i="2"/>
  <c r="F36" i="3"/>
  <c r="F73" i="3"/>
  <c r="F600" i="2"/>
  <c r="F480" i="2"/>
  <c r="F746" i="2"/>
  <c r="F462" i="2"/>
  <c r="F700" i="2"/>
  <c r="F432" i="2"/>
  <c r="F54" i="2"/>
  <c r="F404" i="2"/>
  <c r="F278" i="2"/>
  <c r="F290" i="2"/>
  <c r="F869" i="2"/>
  <c r="F941" i="2"/>
  <c r="F615" i="2"/>
  <c r="F708" i="2"/>
  <c r="F828" i="2"/>
  <c r="F922" i="2"/>
  <c r="F849" i="2"/>
  <c r="F642" i="2"/>
  <c r="F641" i="2"/>
  <c r="F301" i="2"/>
  <c r="F759" i="2"/>
  <c r="F234" i="2"/>
  <c r="F456" i="2"/>
  <c r="F42" i="2"/>
  <c r="F425" i="2"/>
  <c r="F400" i="2"/>
  <c r="F650" i="2"/>
  <c r="F46" i="5"/>
  <c r="F749" i="2"/>
  <c r="F920" i="2"/>
  <c r="F644" i="2"/>
  <c r="F674" i="2"/>
  <c r="F226" i="2"/>
  <c r="F167" i="2"/>
  <c r="F376" i="2"/>
  <c r="F200" i="2"/>
  <c r="F627" i="2"/>
  <c r="F357" i="2"/>
  <c r="F140" i="2"/>
  <c r="F166" i="2"/>
  <c r="F422" i="2"/>
  <c r="F52" i="5"/>
  <c r="F853" i="2"/>
  <c r="F215" i="2"/>
  <c r="F766" i="2"/>
  <c r="F861" i="2"/>
  <c r="F268" i="2"/>
  <c r="F283" i="2"/>
  <c r="F477" i="2"/>
  <c r="F722" i="2"/>
  <c r="F244" i="2"/>
  <c r="F275" i="2"/>
  <c r="F558" i="2"/>
  <c r="F523" i="2"/>
  <c r="F915" i="2"/>
  <c r="F451" i="2"/>
  <c r="F171" i="2"/>
  <c r="F757" i="2"/>
  <c r="F287" i="2"/>
  <c r="F713" i="2"/>
  <c r="F782" i="2"/>
  <c r="F10" i="2"/>
  <c r="F356" i="2"/>
  <c r="F756" i="2"/>
  <c r="F937" i="2"/>
  <c r="F797" i="2"/>
  <c r="F569" i="2"/>
  <c r="F441" i="2"/>
  <c r="F173" i="2"/>
  <c r="F703" i="2"/>
  <c r="F76" i="2"/>
  <c r="F174" i="2"/>
  <c r="F94" i="2"/>
  <c r="F606" i="2"/>
  <c r="F20" i="2"/>
  <c r="F266" i="2"/>
  <c r="F7" i="2"/>
  <c r="F798" i="2"/>
  <c r="F310" i="2"/>
  <c r="F858" i="2"/>
  <c r="F608" i="2"/>
  <c r="F102" i="2"/>
  <c r="F532" i="2"/>
  <c r="F296" i="2"/>
  <c r="F355" i="2"/>
  <c r="F786" i="2"/>
  <c r="F126" i="2"/>
  <c r="F70" i="3"/>
  <c r="F447" i="2"/>
  <c r="F455" i="2"/>
  <c r="F623" i="2"/>
  <c r="F545" i="2"/>
  <c r="F69" i="3"/>
  <c r="F64" i="2"/>
  <c r="F481" i="2"/>
  <c r="F230" i="2"/>
  <c r="F909" i="2"/>
  <c r="F402" i="2"/>
  <c r="F45" i="2"/>
  <c r="F811" i="2"/>
  <c r="F483" i="2"/>
  <c r="F318" i="2"/>
  <c r="F20" i="3"/>
  <c r="F8" i="3"/>
  <c r="F472" i="2"/>
  <c r="F341" i="2"/>
  <c r="F110" i="2"/>
  <c r="F577" i="2"/>
  <c r="F160" i="2"/>
  <c r="F497" i="2"/>
  <c r="F621" i="2"/>
  <c r="F197" i="2"/>
  <c r="F298" i="2"/>
  <c r="F365" i="2"/>
  <c r="F464" i="2"/>
  <c r="F448" i="2"/>
  <c r="F10" i="3"/>
  <c r="F74" i="3"/>
  <c r="F37" i="5"/>
  <c r="F54" i="5"/>
  <c r="F640" i="2"/>
  <c r="F696" i="2"/>
  <c r="F914" i="2"/>
  <c r="F610" i="2"/>
  <c r="F808" i="2"/>
  <c r="F494" i="2"/>
  <c r="F405" i="2"/>
  <c r="F284" i="2"/>
  <c r="F508" i="2"/>
  <c r="F144" i="2"/>
  <c r="F637" i="2"/>
  <c r="F24" i="2"/>
  <c r="F866" i="2"/>
  <c r="F177" i="2"/>
  <c r="F900" i="2"/>
  <c r="F321" i="2"/>
  <c r="F180" i="2"/>
  <c r="F755" i="2"/>
  <c r="F634" i="2"/>
  <c r="F257" i="2"/>
  <c r="F325" i="2"/>
  <c r="F317" i="2"/>
  <c r="F51" i="5"/>
  <c r="F567" i="2"/>
  <c r="F279" i="2"/>
  <c r="F661" i="2"/>
  <c r="F40" i="5"/>
  <c r="F138" i="2"/>
  <c r="F904" i="2"/>
  <c r="F221" i="2"/>
  <c r="F653" i="2"/>
  <c r="F373" i="2"/>
  <c r="F269" i="2"/>
  <c r="F56" i="3"/>
  <c r="F548" i="2"/>
  <c r="F550" i="2"/>
  <c r="F938" i="2"/>
  <c r="F409" i="2"/>
  <c r="F721" i="2"/>
  <c r="F25" i="3"/>
  <c r="F235" i="2"/>
  <c r="F769" i="2"/>
  <c r="F778" i="2"/>
  <c r="F879" i="2"/>
  <c r="F589" i="2"/>
  <c r="F652" i="2"/>
  <c r="F430" i="2"/>
  <c r="F843" i="2"/>
  <c r="F204" i="2"/>
  <c r="F643" i="2"/>
  <c r="F203" i="2"/>
  <c r="F671" i="2"/>
  <c r="F850" i="2"/>
  <c r="F575" i="2"/>
  <c r="F280" i="2"/>
  <c r="F43" i="2"/>
  <c r="F260" i="2"/>
  <c r="F859" i="2"/>
  <c r="F411" i="2"/>
  <c r="F47" i="2"/>
  <c r="F522" i="2"/>
  <c r="F793" i="2"/>
  <c r="F919" i="2"/>
  <c r="F720" i="2"/>
  <c r="F835" i="2"/>
  <c r="F133" i="2"/>
  <c r="F616" i="2"/>
  <c r="F101" i="2"/>
  <c r="F77" i="3"/>
  <c r="F936" i="2"/>
  <c r="F818" i="2"/>
  <c r="F597" i="2"/>
  <c r="F514" i="2"/>
  <c r="F217" i="2"/>
  <c r="F12" i="2"/>
  <c r="F412" i="2"/>
  <c r="F434" i="2"/>
  <c r="F239" i="2"/>
  <c r="F183" i="2"/>
  <c r="F824" i="2"/>
  <c r="F728" i="2"/>
  <c r="F907" i="2"/>
  <c r="F852" i="2"/>
  <c r="F730" i="2"/>
  <c r="F295" i="2"/>
  <c r="F382" i="2"/>
  <c r="F588" i="2"/>
  <c r="F121" i="2"/>
  <c r="F79" i="2"/>
  <c r="F87" i="2"/>
  <c r="F304" i="2"/>
  <c r="F874" i="2"/>
  <c r="F763" i="2"/>
  <c r="F905" i="2"/>
  <c r="F788" i="2"/>
  <c r="F541" i="2"/>
  <c r="F68" i="2"/>
  <c r="F25" i="2"/>
  <c r="F16" i="2"/>
  <c r="F729" i="2"/>
  <c r="F64" i="3"/>
  <c r="F229" i="2"/>
  <c r="F35" i="5"/>
  <c r="F624" i="2"/>
  <c r="F813" i="2"/>
  <c r="F76" i="3"/>
  <c r="F39" i="3"/>
  <c r="F710" i="2"/>
  <c r="F367" i="2"/>
  <c r="F810" i="2"/>
  <c r="F332" i="2"/>
  <c r="F252" i="2"/>
  <c r="F50" i="3"/>
  <c r="F738" i="2"/>
  <c r="F162" i="2"/>
  <c r="F33" i="3"/>
  <c r="F327" i="2"/>
  <c r="F35" i="3"/>
  <c r="F750" i="2"/>
  <c r="F867" i="2"/>
  <c r="F11" i="3"/>
  <c r="F715" i="2"/>
  <c r="F194" i="2"/>
  <c r="F69" i="2"/>
  <c r="F547" i="2"/>
  <c r="F622" i="2"/>
  <c r="F854" i="2"/>
  <c r="F30" i="3"/>
  <c r="F44" i="5"/>
  <c r="F918" i="2"/>
  <c r="F790" i="2"/>
  <c r="F498" i="2"/>
  <c r="F42" i="3"/>
  <c r="F587" i="2"/>
  <c r="F762" i="2"/>
  <c r="F43" i="3"/>
  <c r="F366" i="2"/>
  <c r="F351" i="2"/>
  <c r="F6" i="3"/>
  <c r="F735" i="2"/>
  <c r="F899" i="2"/>
  <c r="F599" i="2"/>
  <c r="F5" i="4"/>
  <c r="F436" i="2"/>
  <c r="F322" i="2"/>
  <c r="F43" i="5"/>
  <c r="F468" i="2"/>
  <c r="F826" i="2"/>
  <c r="F445" i="2"/>
  <c r="F917" i="2"/>
  <c r="F536" i="2"/>
  <c r="F576" i="2"/>
  <c r="F812" i="2"/>
  <c r="F572" i="2"/>
  <c r="F471" i="2"/>
  <c r="F399" i="2"/>
  <c r="F53" i="2"/>
  <c r="F314" i="2"/>
  <c r="F848" i="2"/>
  <c r="F633" i="2"/>
  <c r="F113" i="2"/>
  <c r="F687" i="2"/>
  <c r="F688" i="2"/>
  <c r="F5" i="2"/>
  <c r="F198" i="2"/>
  <c r="F601" i="2"/>
  <c r="F414" i="2"/>
  <c r="F403" i="2"/>
  <c r="F873" i="2"/>
  <c r="F323" i="2"/>
  <c r="F53" i="5"/>
  <c r="F928" i="2"/>
  <c r="F29" i="2"/>
  <c r="F724" i="2"/>
  <c r="F80" i="2"/>
  <c r="F836" i="2"/>
  <c r="F825" i="2"/>
  <c r="F680" i="2"/>
  <c r="F158" i="2"/>
  <c r="F210" i="2"/>
  <c r="F264" i="2"/>
  <c r="F26" i="3"/>
  <c r="F51" i="2"/>
  <c r="F394" i="2"/>
  <c r="F678" i="2"/>
  <c r="F470" i="2"/>
  <c r="F552" i="2"/>
  <c r="F271" i="2"/>
  <c r="F52" i="2"/>
  <c r="F9" i="2"/>
  <c r="F277" i="2"/>
  <c r="F563" i="2"/>
  <c r="F78" i="2"/>
  <c r="F840" i="2"/>
  <c r="F401" i="2"/>
  <c r="F347" i="2"/>
  <c r="F300" i="2"/>
  <c r="F413" i="2"/>
  <c r="F686" i="2"/>
  <c r="F525" i="2"/>
  <c r="F518" i="2"/>
  <c r="F770" i="2"/>
  <c r="F553" i="2"/>
  <c r="F286" i="2"/>
  <c r="F819" i="2"/>
  <c r="F320" i="2"/>
  <c r="F315" i="2"/>
  <c r="F935" i="2"/>
  <c r="F538" i="2"/>
  <c r="F115" i="2"/>
  <c r="F752" i="2"/>
  <c r="F83" i="2"/>
  <c r="F31" i="2"/>
  <c r="F939" i="2"/>
  <c r="F302" i="2"/>
  <c r="F408" i="2"/>
  <c r="F137" i="2"/>
  <c r="F294" i="2"/>
  <c r="F645" i="2"/>
  <c r="F716" i="2"/>
  <c r="F66" i="2"/>
  <c r="F539" i="2"/>
  <c r="F783" i="2"/>
  <c r="F125" i="2"/>
  <c r="F807" i="2"/>
  <c r="F817" i="2"/>
  <c r="F127" i="2"/>
  <c r="F196" i="2"/>
  <c r="F164" i="2"/>
  <c r="F804" i="2"/>
  <c r="F27" i="3"/>
  <c r="F84" i="3"/>
  <c r="F146" i="2"/>
  <c r="F190" i="2"/>
  <c r="F270" i="2"/>
  <c r="F89" i="3"/>
  <c r="F337" i="2"/>
  <c r="F82" i="3"/>
  <c r="F465" i="2"/>
  <c r="F463" i="2"/>
  <c r="F427" i="2"/>
  <c r="F31" i="3"/>
  <c r="F62" i="3"/>
  <c r="F93" i="2"/>
  <c r="F736" i="2"/>
  <c r="F467" i="2"/>
  <c r="F86" i="3"/>
  <c r="F6" i="4"/>
  <c r="F56" i="5"/>
  <c r="F439" i="2"/>
  <c r="F30" i="2"/>
  <c r="F90" i="2"/>
  <c r="F237" i="2"/>
  <c r="F18" i="3"/>
  <c r="F913" i="2"/>
  <c r="F492" i="2"/>
  <c r="F152" i="2"/>
  <c r="F9" i="3"/>
  <c r="F891" i="2"/>
  <c r="F308" i="2"/>
  <c r="F170" i="2"/>
  <c r="F842" i="2"/>
  <c r="F437" i="2"/>
  <c r="F776" i="2"/>
  <c r="F37" i="3"/>
  <c r="F282" i="2"/>
  <c r="F469" i="2"/>
  <c r="F132" i="2"/>
  <c r="F396" i="2"/>
  <c r="F929" i="2"/>
  <c r="F178" i="2"/>
  <c r="F820" i="2"/>
  <c r="F452" i="2"/>
  <c r="F154" i="2"/>
  <c r="F921" i="2"/>
  <c r="F479" i="2"/>
  <c r="F682" i="2"/>
  <c r="F220" i="2"/>
  <c r="F699" i="2"/>
  <c r="F385" i="2"/>
  <c r="F519" i="2"/>
  <c r="F745" i="2"/>
  <c r="F353" i="2"/>
  <c r="F386" i="2"/>
  <c r="F419" i="2"/>
  <c r="F97" i="2"/>
  <c r="F316" i="2"/>
  <c r="F940" i="2"/>
  <c r="F562" i="2"/>
  <c r="F540" i="2"/>
  <c r="F41" i="5"/>
  <c r="F428" i="2"/>
  <c r="F771" i="2"/>
  <c r="F833" i="2"/>
  <c r="F148" i="2"/>
  <c r="F586" i="2"/>
  <c r="F444" i="2"/>
  <c r="F612" i="2"/>
  <c r="F742" i="2"/>
  <c r="F255" i="2"/>
  <c r="F546" i="2"/>
  <c r="F206" i="2"/>
  <c r="F868" i="2"/>
  <c r="F526" i="2"/>
  <c r="F245" i="2"/>
  <c r="F488" i="2"/>
  <c r="F377" i="2"/>
  <c r="F934" i="2"/>
  <c r="F767" i="2"/>
  <c r="F841" i="2"/>
  <c r="F565" i="2"/>
  <c r="F613" i="2"/>
  <c r="F534" i="2"/>
  <c r="F346" i="2"/>
  <c r="F348" i="2"/>
  <c r="F942" i="2"/>
  <c r="F349" i="2"/>
  <c r="F339" i="2"/>
  <c r="F581" i="2"/>
  <c r="F202" i="2"/>
  <c r="F668" i="2"/>
  <c r="F944" i="2"/>
  <c r="F878" i="2"/>
  <c r="F211" i="2"/>
  <c r="F431" i="2"/>
  <c r="F760" i="2"/>
  <c r="F789" i="2"/>
  <c r="F672" i="2"/>
  <c r="F108" i="2"/>
  <c r="F418" i="2"/>
  <c r="F116" i="2"/>
  <c r="F654" i="2"/>
  <c r="F61" i="2"/>
  <c r="F272" i="2"/>
  <c r="F305" i="2"/>
  <c r="F334" i="2"/>
  <c r="F585" i="2"/>
  <c r="F832" i="2"/>
  <c r="F926" i="2"/>
  <c r="F182" i="2"/>
  <c r="F831" i="2"/>
  <c r="F584" i="2"/>
  <c r="F74" i="2"/>
  <c r="F663" i="2"/>
  <c r="F273" i="2"/>
  <c r="F603" i="2"/>
  <c r="F375" i="2"/>
  <c r="F838" i="2"/>
  <c r="F380" i="2"/>
  <c r="F845" i="2"/>
  <c r="F860" i="2"/>
  <c r="F493" i="2"/>
  <c r="F14" i="2"/>
  <c r="F374" i="2"/>
  <c r="F285" i="2"/>
  <c r="F209" i="2"/>
  <c r="F352" i="2"/>
  <c r="F423" i="2"/>
  <c r="F15" i="2"/>
  <c r="F136" i="2"/>
  <c r="F527" i="2"/>
  <c r="F7" i="3"/>
  <c r="F507" i="2"/>
  <c r="F55" i="3"/>
  <c r="F775" i="2"/>
  <c r="F57" i="2"/>
  <c r="F466" i="2"/>
  <c r="F87" i="3"/>
  <c r="F84" i="2"/>
  <c r="F506" i="2"/>
  <c r="F504" i="2"/>
  <c r="F33" i="5"/>
  <c r="F485" i="2"/>
  <c r="F23" i="2"/>
  <c r="F12" i="3"/>
  <c r="F58" i="5"/>
  <c r="F45" i="3"/>
  <c r="F857" i="2"/>
  <c r="F15" i="3"/>
  <c r="F773" i="2"/>
  <c r="F579" i="2"/>
  <c r="F692" i="2"/>
  <c r="F709" i="2"/>
  <c r="F503" i="2"/>
  <c r="F903" i="2"/>
  <c r="F732" i="2"/>
  <c r="F706" i="2"/>
  <c r="F449" i="2"/>
  <c r="F38" i="5"/>
  <c r="F719" i="2"/>
  <c r="F85" i="3"/>
  <c r="F787" i="2"/>
  <c r="F49" i="3"/>
  <c r="F91" i="2"/>
  <c r="F491" i="2"/>
  <c r="F372" i="2"/>
  <c r="F23" i="3"/>
  <c r="F739" i="2"/>
  <c r="F188" i="2"/>
  <c r="F495" i="2"/>
  <c r="F99" i="2"/>
  <c r="F248" i="2"/>
  <c r="F395" i="2"/>
  <c r="F856" i="2"/>
  <c r="F60" i="2"/>
  <c r="F77" i="2"/>
  <c r="F453" i="2"/>
  <c r="F524" i="2"/>
  <c r="F227" i="2"/>
  <c r="F591" i="2"/>
  <c r="F390" i="2"/>
  <c r="F896" i="2"/>
  <c r="F551" i="2"/>
  <c r="F542" i="2"/>
  <c r="F685" i="2"/>
  <c r="F75" i="2"/>
  <c r="F48" i="5"/>
  <c r="F590" i="2"/>
  <c r="F830" i="2"/>
  <c r="F90" i="3"/>
  <c r="F111" i="2"/>
  <c r="F335" i="2"/>
  <c r="F910" i="2"/>
  <c r="F912" i="2"/>
  <c r="F887" i="2"/>
  <c r="F342" i="2"/>
  <c r="F837" i="2"/>
  <c r="F839" i="2"/>
  <c r="F265" i="2"/>
  <c r="F98" i="2"/>
  <c r="F594" i="2"/>
  <c r="F389" i="2"/>
  <c r="F361" i="2"/>
  <c r="F604" i="2"/>
  <c r="F172" i="2"/>
  <c r="F531" i="2"/>
  <c r="F329" i="2"/>
  <c r="F26" i="2"/>
  <c r="F27" i="2"/>
  <c r="F433" i="2"/>
  <c r="F233" i="2"/>
  <c r="F420" i="2"/>
  <c r="F897" i="2"/>
  <c r="F142" i="2"/>
  <c r="F647" i="2"/>
  <c r="F571" i="2"/>
  <c r="F473" i="2"/>
  <c r="F809" i="2"/>
  <c r="F250" i="2"/>
  <c r="F256" i="2"/>
  <c r="F34" i="5"/>
  <c r="F57" i="5"/>
  <c r="F246" i="2"/>
  <c r="F747" i="2"/>
  <c r="F580" i="2"/>
  <c r="F774" i="2"/>
  <c r="F213" i="2"/>
  <c r="F82" i="2"/>
  <c r="F486" i="2"/>
  <c r="F333" i="2"/>
  <c r="F267" i="2"/>
  <c r="F484" i="2"/>
  <c r="F359" i="2"/>
  <c r="F421" i="2"/>
  <c r="F639" i="2"/>
  <c r="F648" i="2"/>
  <c r="F440" i="2"/>
  <c r="F259" i="2"/>
  <c r="F392" i="2"/>
  <c r="F528" i="2"/>
  <c r="F582" i="2"/>
  <c r="F297" i="2"/>
  <c r="F181" i="2"/>
  <c r="F39" i="2"/>
  <c r="F73" i="2"/>
  <c r="F415" i="2"/>
  <c r="F898" i="2"/>
  <c r="F67" i="2"/>
  <c r="F753" i="2"/>
  <c r="F712" i="2"/>
  <c r="F169" i="2"/>
  <c r="F717" i="2"/>
  <c r="F751" i="2"/>
  <c r="F175" i="2"/>
  <c r="F53" i="3"/>
  <c r="F59" i="2"/>
  <c r="F131" i="2"/>
  <c r="F55" i="2"/>
  <c r="F505" i="2"/>
  <c r="F657" i="2"/>
  <c r="F595" i="2"/>
  <c r="F803" i="2"/>
  <c r="F727" i="2"/>
  <c r="F281" i="2"/>
  <c r="F163" i="2"/>
  <c r="F381" i="2"/>
  <c r="F95" i="2"/>
  <c r="F24" i="3"/>
  <c r="F52" i="3"/>
  <c r="F63" i="3"/>
  <c r="F145" i="2"/>
  <c r="F222" i="2"/>
  <c r="F293" i="2"/>
  <c r="F886" i="2"/>
  <c r="F51" i="3"/>
  <c r="F748" i="2"/>
  <c r="F655" i="2"/>
  <c r="F83" i="3"/>
  <c r="F496" i="2"/>
  <c r="F460" i="2"/>
  <c r="F731" i="2"/>
  <c r="F358" i="2"/>
  <c r="F34" i="3"/>
  <c r="F161" i="2"/>
  <c r="F364" i="2"/>
  <c r="F501" i="2"/>
  <c r="F630" i="2"/>
  <c r="F406" i="2"/>
  <c r="F13" i="3"/>
  <c r="F510" i="2"/>
  <c r="F71" i="3"/>
  <c r="F796" i="2"/>
  <c r="F714" i="2"/>
  <c r="F870" i="2"/>
  <c r="F890" i="2"/>
  <c r="F512" i="2"/>
  <c r="F189" i="2"/>
  <c r="F475" i="2"/>
  <c r="F476" i="2"/>
  <c r="F307" i="2"/>
  <c r="F6" i="2"/>
  <c r="F68" i="3"/>
  <c r="F80" i="3"/>
  <c r="F28" i="2"/>
  <c r="F442" i="2"/>
  <c r="F48" i="2"/>
  <c r="F306" i="2"/>
  <c r="F815" i="2"/>
  <c r="F872" i="2"/>
  <c r="F388" i="2"/>
  <c r="F33" i="2"/>
  <c r="F555" i="2"/>
  <c r="F876" i="2"/>
  <c r="F885" i="2"/>
  <c r="F683" i="2"/>
  <c r="F370" i="2"/>
  <c r="F313" i="2"/>
  <c r="F105" i="2"/>
  <c r="F56" i="2"/>
  <c r="F11" i="2"/>
  <c r="F309" i="2"/>
  <c r="F923" i="2"/>
  <c r="F666" i="2"/>
  <c r="F54" i="3"/>
  <c r="F690" i="2"/>
  <c r="F114" i="2"/>
  <c r="F57" i="3"/>
  <c r="F741" i="2"/>
  <c r="F231" i="2"/>
  <c r="F50" i="2"/>
  <c r="F694" i="2"/>
  <c r="F330" i="2"/>
  <c r="F761" i="2"/>
  <c r="F8" i="4"/>
  <c r="F242" i="2"/>
  <c r="F49" i="2"/>
  <c r="F651" i="2"/>
  <c r="F646" i="2"/>
  <c r="F930" i="2"/>
  <c r="F888" i="2"/>
  <c r="F426" i="2"/>
  <c r="F662" i="2"/>
  <c r="F134" i="2"/>
  <c r="F7" i="4"/>
  <c r="F208" i="2"/>
  <c r="F75" i="3"/>
  <c r="F459" i="2"/>
  <c r="F711" i="2"/>
  <c r="F187" i="2"/>
  <c r="F236" i="2"/>
  <c r="F249" i="2"/>
  <c r="F530" i="2"/>
  <c r="F261" i="2"/>
  <c r="F461" i="2"/>
  <c r="F705" i="2"/>
  <c r="F635" i="2"/>
  <c r="F829" i="2"/>
  <c r="F554" i="2"/>
  <c r="F598" i="2"/>
  <c r="F626" i="2"/>
  <c r="F289" i="2"/>
  <c r="F882" i="2"/>
  <c r="F195" i="2"/>
  <c r="F40" i="2"/>
  <c r="F274" i="2"/>
  <c r="F205" i="2"/>
  <c r="F36" i="2"/>
  <c r="F276" i="2"/>
  <c r="F911" i="2"/>
  <c r="F216" i="2"/>
  <c r="F225" i="2"/>
  <c r="F72" i="2"/>
  <c r="F573" i="2"/>
  <c r="F765" i="2"/>
  <c r="F846" i="2"/>
  <c r="F155" i="2"/>
  <c r="F701" i="2"/>
  <c r="F303" i="2"/>
  <c r="F559" i="2"/>
  <c r="F44" i="2"/>
  <c r="F631" i="2"/>
  <c r="F695" i="2"/>
  <c r="F62" i="2"/>
  <c r="F13" i="2"/>
  <c r="F925" i="2"/>
  <c r="F877" i="2"/>
  <c r="F123" i="2"/>
  <c r="F924" i="2"/>
  <c r="F544" i="2"/>
  <c r="F801" i="2"/>
  <c r="F457" i="2"/>
  <c r="F360" i="2"/>
  <c r="F802" i="2"/>
  <c r="F78" i="3"/>
  <c r="F107" i="2"/>
  <c r="F902" i="2"/>
  <c r="F549" i="2"/>
  <c r="F823" i="2"/>
  <c r="F238" i="2"/>
  <c r="F28" i="3"/>
  <c r="F354" i="2"/>
  <c r="F609" i="2"/>
  <c r="F331" i="2"/>
  <c r="F533" i="2"/>
  <c r="F502" i="2"/>
  <c r="F500" i="2"/>
  <c r="F681" i="2"/>
  <c r="F578" i="2"/>
  <c r="F371" i="2"/>
  <c r="F625" i="2"/>
  <c r="F326" i="2"/>
  <c r="F36" i="5"/>
  <c r="F574" i="2"/>
  <c r="F228" i="2"/>
  <c r="F676" i="2"/>
  <c r="F179" i="2"/>
  <c r="F702" i="2"/>
  <c r="F44" i="3"/>
  <c r="F262" i="2"/>
  <c r="F927" i="2"/>
  <c r="F159" i="2"/>
  <c r="F193" i="2"/>
  <c r="F29" i="3"/>
  <c r="F22" i="2"/>
  <c r="F795" i="2"/>
  <c r="F458" i="2"/>
  <c r="F777" i="2"/>
  <c r="F151" i="2"/>
  <c r="F16" i="3"/>
  <c r="F474" i="2"/>
  <c r="F362" i="2"/>
  <c r="F516" i="2"/>
  <c r="F263" i="2"/>
  <c r="F66" i="3"/>
  <c r="F184" i="2"/>
  <c r="F772" i="2"/>
  <c r="F350" i="2"/>
  <c r="F46" i="3"/>
  <c r="F218" i="2"/>
  <c r="F240" i="2"/>
  <c r="F67" i="3"/>
  <c r="F892" i="2"/>
  <c r="F895" i="2"/>
  <c r="F141" i="2"/>
  <c r="F629" i="2"/>
  <c r="F517" i="2"/>
  <c r="F253" i="2"/>
  <c r="F338" i="2"/>
  <c r="F557" i="2"/>
  <c r="F781" i="2"/>
  <c r="F758" i="2"/>
  <c r="F251" i="2"/>
  <c r="F844" i="2"/>
  <c r="F660" i="2"/>
  <c r="F38" i="2"/>
  <c r="F933" i="2"/>
  <c r="F387" i="2"/>
  <c r="F743" i="2"/>
  <c r="F561" i="2"/>
  <c r="F38" i="3"/>
  <c r="F556" i="2"/>
  <c r="F345" i="2"/>
  <c r="F725" i="2"/>
  <c r="F794" i="2"/>
  <c r="F34" i="2"/>
  <c r="F96" i="2"/>
  <c r="F620" i="2"/>
  <c r="F224" i="2"/>
  <c r="F397" i="2"/>
  <c r="F153" i="2"/>
  <c r="F291" i="2"/>
  <c r="F109" i="2"/>
  <c r="F199" i="2"/>
  <c r="F883" i="2"/>
  <c r="F691" i="2"/>
  <c r="F438" i="2"/>
  <c r="F106" i="2"/>
  <c r="F383" i="2"/>
  <c r="F881" i="2"/>
  <c r="F889" i="2"/>
  <c r="F391" i="2"/>
  <c r="F871" i="2"/>
  <c r="F669" i="2"/>
  <c r="F605" i="2"/>
  <c r="F47" i="5"/>
  <c r="F212" i="2"/>
  <c r="F697" i="2"/>
  <c r="F560" i="2"/>
  <c r="F435" i="2"/>
  <c r="F118" i="2"/>
  <c r="F55" i="5"/>
  <c r="F340" i="2"/>
  <c r="F670" i="2"/>
  <c r="F619" i="2"/>
  <c r="F611" i="2"/>
  <c r="F157" i="2"/>
  <c r="F875" i="2"/>
  <c r="F707" i="2"/>
  <c r="F636" i="2"/>
  <c r="F410" i="2"/>
  <c r="F792" i="2"/>
  <c r="F336" i="2"/>
  <c r="F602" i="2"/>
  <c r="F906" i="2"/>
  <c r="F566" i="2"/>
  <c r="F8" i="2"/>
  <c r="F128" i="2"/>
  <c r="F79" i="3"/>
  <c r="F515" i="2"/>
  <c r="F130" i="2"/>
  <c r="F328" i="2"/>
  <c r="F139" i="2"/>
  <c r="F18" i="2"/>
  <c r="F733" i="2"/>
  <c r="F37" i="2"/>
  <c r="F21" i="2"/>
  <c r="F92" i="2"/>
  <c r="F632" i="2"/>
  <c r="F122" i="2"/>
  <c r="F32" i="2"/>
  <c r="F368" i="2"/>
  <c r="F800" i="2"/>
  <c r="F258" i="2"/>
  <c r="F9" i="4"/>
  <c r="F86" i="2"/>
  <c r="F112" i="2"/>
  <c r="F58" i="3"/>
  <c r="F851" i="2"/>
  <c r="F88" i="2"/>
  <c r="F490" i="2"/>
  <c r="F46" i="2"/>
  <c r="F61" i="3"/>
  <c r="F617" i="2"/>
  <c r="F943" i="2"/>
  <c r="F675" i="2"/>
  <c r="F489" i="2"/>
  <c r="F19" i="3"/>
  <c r="F41" i="3"/>
  <c r="F88" i="3"/>
  <c r="F214" i="2"/>
  <c r="F14" i="3"/>
  <c r="F186" i="2"/>
  <c r="F143" i="2"/>
  <c r="F299" i="2"/>
  <c r="F618" i="2"/>
  <c r="F689" i="2"/>
  <c r="F60" i="3"/>
  <c r="F59" i="3"/>
  <c r="F85" i="2"/>
  <c r="F880" i="2"/>
  <c r="F679" i="2"/>
  <c r="F592" i="2"/>
  <c r="F81" i="2"/>
  <c r="F42" i="5"/>
  <c r="F740" i="2"/>
  <c r="F744" i="2"/>
  <c r="F63" i="2"/>
  <c r="F81" i="3"/>
  <c r="F816" i="2"/>
  <c r="F241" i="2"/>
  <c r="F191" i="2"/>
  <c r="F416" i="2"/>
  <c r="F614" i="2"/>
  <c r="F17" i="3"/>
  <c r="F718" i="2"/>
  <c r="F41" i="2"/>
  <c r="F40" i="3"/>
  <c r="F47" i="3"/>
  <c r="F677" i="2"/>
  <c r="F72" i="3"/>
  <c r="F704" i="2"/>
  <c r="F656" i="2"/>
  <c r="F407" i="2"/>
  <c r="F454" i="2"/>
  <c r="F684" i="2"/>
  <c r="F901" i="2"/>
  <c r="F39" i="5"/>
  <c r="F564" i="2"/>
  <c r="F583" i="2"/>
  <c r="F398" i="2"/>
  <c r="F658" i="2"/>
  <c r="F219" i="2"/>
  <c r="F45" i="5"/>
  <c r="F659" i="2"/>
  <c r="F529" i="2"/>
  <c r="F207" i="2"/>
  <c r="F288" i="2"/>
  <c r="F232" i="2"/>
  <c r="F319" i="2"/>
  <c r="F378" i="2"/>
  <c r="F570" i="2"/>
  <c r="F443" i="2"/>
  <c r="F723" i="2"/>
  <c r="F103" i="2"/>
  <c r="F734" i="2"/>
  <c r="F369" i="2"/>
  <c r="F147" i="2"/>
  <c r="F593" i="2"/>
  <c r="F863" i="2"/>
  <c r="F785" i="2"/>
  <c r="F764" i="2"/>
  <c r="F698" i="2"/>
  <c r="F784" i="2"/>
  <c r="F120" i="2"/>
  <c r="F150" i="2"/>
  <c r="F865" i="2"/>
  <c r="F847" i="2"/>
  <c r="F165" i="2"/>
  <c r="F50" i="5"/>
  <c r="F535" i="2"/>
  <c r="F931" i="2"/>
  <c r="F596" i="2"/>
  <c r="F58" i="2"/>
  <c r="F543" i="2"/>
  <c r="F791" i="2"/>
  <c r="F649" i="2"/>
  <c r="F607" i="2"/>
  <c r="F135" i="2"/>
  <c r="F243" i="2"/>
  <c r="F568" i="2"/>
  <c r="F343" i="2"/>
  <c r="F667" i="2"/>
  <c r="F344" i="2"/>
  <c r="F834" i="2"/>
  <c r="F223" i="2"/>
  <c r="F916" i="2"/>
  <c r="F119" i="2"/>
  <c r="F894" i="2"/>
  <c r="F379" i="2"/>
  <c r="F429" i="2"/>
  <c r="F537" i="2"/>
  <c r="F156" i="2"/>
  <c r="F417" i="2"/>
  <c r="F780" i="2"/>
  <c r="F176" i="2"/>
  <c r="F17" i="2"/>
  <c r="F673" i="2"/>
  <c r="F805" i="2"/>
  <c r="F487" i="2"/>
  <c r="F779" i="2"/>
  <c r="F19" i="2"/>
  <c r="F149" i="2"/>
  <c r="F814" i="2"/>
  <c r="F129" i="2"/>
  <c r="F424" i="2"/>
  <c r="F446" i="2"/>
  <c r="F124" i="2"/>
  <c r="F855" i="2"/>
  <c r="F49" i="5"/>
  <c r="F799" i="2"/>
  <c r="F168" i="2"/>
  <c r="F827" i="2"/>
  <c r="F806" i="2"/>
  <c r="F192" i="2"/>
  <c r="F311" i="2"/>
  <c r="F71" i="2"/>
  <c r="H8" i="11"/>
  <c r="G6" i="11"/>
  <c r="H936" i="32"/>
  <c r="H928" i="32" s="1"/>
  <c r="G928" i="32"/>
  <c r="E1171" i="1" s="1"/>
  <c r="F1171" i="1" s="1"/>
  <c r="G628" i="32"/>
  <c r="E1156" i="1" s="1"/>
  <c r="F1156" i="1" s="1"/>
  <c r="I628" i="32" s="1"/>
  <c r="H636" i="32"/>
  <c r="H628" i="32" s="1"/>
  <c r="H285" i="26"/>
  <c r="H277" i="26" s="1"/>
  <c r="G277" i="26"/>
  <c r="H530" i="26"/>
  <c r="H522" i="26" s="1"/>
  <c r="G522" i="26"/>
  <c r="E883" i="1" s="1"/>
  <c r="F883" i="1" s="1"/>
  <c r="I522" i="26" s="1"/>
  <c r="G1340" i="13"/>
  <c r="E361" i="1" s="1"/>
  <c r="F361" i="1" s="1"/>
  <c r="I1340" i="13" s="1"/>
  <c r="H1348" i="13"/>
  <c r="H1340" i="13" s="1"/>
  <c r="H1419" i="15"/>
  <c r="H1411" i="15" s="1"/>
  <c r="G1411" i="15"/>
  <c r="E504" i="1" s="1"/>
  <c r="F504" i="1" s="1"/>
  <c r="I1411" i="15" s="1"/>
  <c r="G2655" i="26"/>
  <c r="E989" i="1" s="1"/>
  <c r="F989" i="1" s="1"/>
  <c r="I2655" i="26" s="1"/>
  <c r="H2663" i="26"/>
  <c r="H2655" i="26" s="1"/>
  <c r="H57" i="15"/>
  <c r="H49" i="15" s="1"/>
  <c r="G49" i="15"/>
  <c r="E436" i="1" s="1"/>
  <c r="F436" i="1" s="1"/>
  <c r="I49" i="15" s="1"/>
  <c r="G924" i="11"/>
  <c r="E196" i="1" s="1"/>
  <c r="F196" i="1" s="1"/>
  <c r="I924" i="11" s="1"/>
  <c r="H926" i="11"/>
  <c r="H924" i="11" s="1"/>
  <c r="H629" i="8"/>
  <c r="H621" i="8" s="1"/>
  <c r="G621" i="8"/>
  <c r="E36" i="1" s="1"/>
  <c r="F36" i="1" s="1"/>
  <c r="I621" i="8" s="1"/>
  <c r="H2388" i="13"/>
  <c r="H2380" i="13" s="1"/>
  <c r="G2380" i="13"/>
  <c r="E413" i="1" s="1"/>
  <c r="F413" i="1" s="1"/>
  <c r="I2380" i="13" s="1"/>
  <c r="H1825" i="26"/>
  <c r="H1817" i="26" s="1"/>
  <c r="G1817" i="26"/>
  <c r="E948" i="1" s="1"/>
  <c r="F948" i="1" s="1"/>
  <c r="I1817" i="26" s="1"/>
  <c r="H369" i="26"/>
  <c r="H361" i="26" s="1"/>
  <c r="G361" i="26"/>
  <c r="E875" i="1" s="1"/>
  <c r="F875" i="1" s="1"/>
  <c r="I361" i="26" s="1"/>
  <c r="H2466" i="16"/>
  <c r="H2458" i="16" s="1"/>
  <c r="G2458" i="16"/>
  <c r="E666" i="1" s="1"/>
  <c r="F666" i="1" s="1"/>
  <c r="I2458" i="16" s="1"/>
  <c r="H2489" i="26"/>
  <c r="H2481" i="26" s="1"/>
  <c r="G2481" i="26"/>
  <c r="E981" i="1" s="1"/>
  <c r="F981" i="1" s="1"/>
  <c r="I2481" i="26" s="1"/>
  <c r="H86" i="11"/>
  <c r="H84" i="11" s="1"/>
  <c r="G84" i="11"/>
  <c r="E153" i="1" s="1"/>
  <c r="F153" i="1" s="1"/>
  <c r="I84" i="11" s="1"/>
  <c r="H2460" i="8"/>
  <c r="H2452" i="8" s="1"/>
  <c r="G2452" i="8"/>
  <c r="E129" i="1" s="1"/>
  <c r="F129" i="1" s="1"/>
  <c r="I2452" i="8" s="1"/>
  <c r="H2626" i="16"/>
  <c r="H2618" i="16" s="1"/>
  <c r="G2618" i="16"/>
  <c r="E674" i="1" s="1"/>
  <c r="F674" i="1" s="1"/>
  <c r="I2618" i="16" s="1"/>
  <c r="G2437" i="26"/>
  <c r="E979" i="1" s="1"/>
  <c r="F979" i="1" s="1"/>
  <c r="I2437" i="26" s="1"/>
  <c r="H2445" i="26"/>
  <c r="H2437" i="26" s="1"/>
  <c r="H1579" i="24"/>
  <c r="H1571" i="24" s="1"/>
  <c r="G1571" i="24"/>
  <c r="E851" i="1" s="1"/>
  <c r="F851" i="1" s="1"/>
  <c r="I1571" i="24" s="1"/>
  <c r="G2117" i="16"/>
  <c r="E649" i="1" s="1"/>
  <c r="F649" i="1" s="1"/>
  <c r="I2117" i="16" s="1"/>
  <c r="H2125" i="16"/>
  <c r="H2117" i="16" s="1"/>
  <c r="H1554" i="8"/>
  <c r="H1546" i="8" s="1"/>
  <c r="G1546" i="8"/>
  <c r="E83" i="1" s="1"/>
  <c r="F83" i="1" s="1"/>
  <c r="I1546" i="8" s="1"/>
  <c r="J2695" i="26"/>
  <c r="H72" i="24"/>
  <c r="H64" i="24" s="1"/>
  <c r="G64" i="24"/>
  <c r="E776" i="1" s="1"/>
  <c r="F776" i="1" s="1"/>
  <c r="I64" i="24" s="1"/>
  <c r="H968" i="13"/>
  <c r="H960" i="13" s="1"/>
  <c r="G960" i="13"/>
  <c r="E341" i="1" s="1"/>
  <c r="F341" i="1" s="1"/>
  <c r="I960" i="13" s="1"/>
  <c r="H754" i="8"/>
  <c r="H743" i="8" s="1"/>
  <c r="G743" i="8"/>
  <c r="E42" i="1" s="1"/>
  <c r="F42" i="1" s="1"/>
  <c r="I743" i="8" s="1"/>
  <c r="H1479" i="15"/>
  <c r="H1471" i="15" s="1"/>
  <c r="G1471" i="15"/>
  <c r="E507" i="1" s="1"/>
  <c r="F507" i="1" s="1"/>
  <c r="I1471" i="15" s="1"/>
  <c r="H192" i="21"/>
  <c r="H184" i="21" s="1"/>
  <c r="G184" i="21"/>
  <c r="E689" i="1" s="1"/>
  <c r="F689" i="1" s="1"/>
  <c r="I184" i="21" s="1"/>
  <c r="H2728" i="13"/>
  <c r="H2720" i="13" s="1"/>
  <c r="G2720" i="13"/>
  <c r="E430" i="1" s="1"/>
  <c r="F430" i="1" s="1"/>
  <c r="I2720" i="13" s="1"/>
  <c r="J924" i="33"/>
  <c r="H2601" i="8"/>
  <c r="H2593" i="8" s="1"/>
  <c r="G2593" i="8"/>
  <c r="E136" i="1" s="1"/>
  <c r="F136" i="1" s="1"/>
  <c r="I2593" i="8" s="1"/>
  <c r="G828" i="8"/>
  <c r="H829" i="8"/>
  <c r="G830" i="21"/>
  <c r="K488" i="2"/>
  <c r="K66" i="2"/>
  <c r="K907" i="2"/>
  <c r="K487" i="2"/>
  <c r="K268" i="2"/>
  <c r="K393" i="2"/>
  <c r="K889" i="2"/>
  <c r="K86" i="2"/>
  <c r="K402" i="2"/>
  <c r="K34" i="5"/>
  <c r="K452" i="2"/>
  <c r="K769" i="2"/>
  <c r="K244" i="2"/>
  <c r="K576" i="2"/>
  <c r="K295" i="2"/>
  <c r="K820" i="2"/>
  <c r="K587" i="2"/>
  <c r="K351" i="2"/>
  <c r="K125" i="2"/>
  <c r="K350" i="2"/>
  <c r="K691" i="2"/>
  <c r="K417" i="2"/>
  <c r="K819" i="2"/>
  <c r="K253" i="2"/>
  <c r="K940" i="2"/>
  <c r="K784" i="2"/>
  <c r="K304" i="2"/>
  <c r="K68" i="2"/>
  <c r="K111" i="2"/>
  <c r="K24" i="3"/>
  <c r="K846" i="2"/>
  <c r="K905" i="2"/>
  <c r="K374" i="2"/>
  <c r="K867" i="2"/>
  <c r="K46" i="2"/>
  <c r="K755" i="2"/>
  <c r="K45" i="2"/>
  <c r="K21" i="3"/>
  <c r="K698" i="2"/>
  <c r="K547" i="2"/>
  <c r="K398" i="2"/>
  <c r="K273" i="2"/>
  <c r="K540" i="2"/>
  <c r="K395" i="2"/>
  <c r="K107" i="2"/>
  <c r="K792" i="2"/>
  <c r="K942" i="2"/>
  <c r="K256" i="2"/>
  <c r="K517" i="2"/>
  <c r="K361" i="2"/>
  <c r="K604" i="2"/>
  <c r="K847" i="2"/>
  <c r="K281" i="2"/>
  <c r="K315" i="2"/>
  <c r="K217" i="2"/>
  <c r="K675" i="2"/>
  <c r="K806" i="2"/>
  <c r="K131" i="2"/>
  <c r="K441" i="2"/>
  <c r="K288" i="2"/>
  <c r="K429" i="2"/>
  <c r="K642" i="2"/>
  <c r="K209" i="2"/>
  <c r="K260" i="2"/>
  <c r="K81" i="3"/>
  <c r="K451" i="2"/>
  <c r="K465" i="2"/>
  <c r="K303" i="2"/>
  <c r="K629" i="2"/>
  <c r="K876" i="2"/>
  <c r="K927" i="2"/>
  <c r="K817" i="2"/>
  <c r="K911" i="2"/>
  <c r="K526" i="2"/>
  <c r="K354" i="2"/>
  <c r="K533" i="2"/>
  <c r="K518" i="2"/>
  <c r="K709" i="2"/>
  <c r="K589" i="2"/>
  <c r="K72" i="2"/>
  <c r="K118" i="2"/>
  <c r="K49" i="2"/>
  <c r="K460" i="2"/>
  <c r="K844" i="2"/>
  <c r="K317" i="2"/>
  <c r="K613" i="2"/>
  <c r="K36" i="2"/>
  <c r="K287" i="2"/>
  <c r="K258" i="2"/>
  <c r="K181" i="2"/>
  <c r="K793" i="2"/>
  <c r="K387" i="2"/>
  <c r="K450" i="2"/>
  <c r="K369" i="2"/>
  <c r="K168" i="2"/>
  <c r="K373" i="2"/>
  <c r="K49" i="5"/>
  <c r="K606" i="2"/>
  <c r="K426" i="2"/>
  <c r="K714" i="2"/>
  <c r="K55" i="3"/>
  <c r="K43" i="3"/>
  <c r="K696" i="2"/>
  <c r="K938" i="2"/>
  <c r="K227" i="2"/>
  <c r="K621" i="2"/>
  <c r="K534" i="2"/>
  <c r="K29" i="3"/>
  <c r="K556" i="2"/>
  <c r="K756" i="2"/>
  <c r="K838" i="2"/>
  <c r="K113" i="2"/>
  <c r="K74" i="3"/>
  <c r="K126" i="2"/>
  <c r="K294" i="2"/>
  <c r="K802" i="2"/>
  <c r="K482" i="2"/>
  <c r="K833" i="2"/>
  <c r="K14" i="2"/>
  <c r="K73" i="2"/>
  <c r="K173" i="2"/>
  <c r="K477" i="2"/>
  <c r="K175" i="2"/>
  <c r="K30" i="2"/>
  <c r="K661" i="2"/>
  <c r="K923" i="2"/>
  <c r="K562" i="2"/>
  <c r="K180" i="2"/>
  <c r="K572" i="2"/>
  <c r="K70" i="3"/>
  <c r="K553" i="2"/>
  <c r="K886" i="2"/>
  <c r="K171" i="2"/>
  <c r="K503" i="2"/>
  <c r="K885" i="2"/>
  <c r="K845" i="2"/>
  <c r="K673" i="2"/>
  <c r="K396" i="2"/>
  <c r="K753" i="2"/>
  <c r="K722" i="2"/>
  <c r="K289" i="2"/>
  <c r="K721" i="2"/>
  <c r="K521" i="2"/>
  <c r="K228" i="2"/>
  <c r="K225" i="2"/>
  <c r="K143" i="2"/>
  <c r="K207" i="2"/>
  <c r="K200" i="2"/>
  <c r="K818" i="2"/>
  <c r="K116" i="2"/>
  <c r="K192" i="2"/>
  <c r="K255" i="2"/>
  <c r="K31" i="2"/>
  <c r="K620" i="2"/>
  <c r="K78" i="2"/>
  <c r="K54" i="2"/>
  <c r="K48" i="5"/>
  <c r="K391" i="2"/>
  <c r="K765" i="2"/>
  <c r="K229" i="2"/>
  <c r="K314" i="2"/>
  <c r="K347" i="2"/>
  <c r="K339" i="2"/>
  <c r="K900" i="2"/>
  <c r="K538" i="2"/>
  <c r="K480" i="2"/>
  <c r="K483" i="2"/>
  <c r="K805" i="2"/>
  <c r="K869" i="2"/>
  <c r="K420" i="2"/>
  <c r="K486" i="2"/>
  <c r="K481" i="2"/>
  <c r="K799" i="2"/>
  <c r="K683" i="2"/>
  <c r="K602" i="2"/>
  <c r="K62" i="3"/>
  <c r="K915" i="2"/>
  <c r="K270" i="2"/>
  <c r="K422" i="2"/>
  <c r="K201" i="2"/>
  <c r="K702" i="2"/>
  <c r="K607" i="2"/>
  <c r="K267" i="2"/>
  <c r="K355" i="2"/>
  <c r="K69" i="2"/>
  <c r="K327" i="2"/>
  <c r="K380" i="2"/>
  <c r="K28" i="3"/>
  <c r="K705" i="2"/>
  <c r="K81" i="2"/>
  <c r="K85" i="3"/>
  <c r="K266" i="2"/>
  <c r="K51" i="3"/>
  <c r="K284" i="2"/>
  <c r="K436" i="2"/>
  <c r="K55" i="2"/>
  <c r="K512" i="2"/>
  <c r="K795" i="2"/>
  <c r="K39" i="3"/>
  <c r="K242" i="2"/>
  <c r="K516" i="2"/>
  <c r="K167" i="2"/>
  <c r="K220" i="2"/>
  <c r="K46" i="3"/>
  <c r="K704" i="2"/>
  <c r="K12" i="2"/>
  <c r="K325" i="2"/>
  <c r="K344" i="2"/>
  <c r="K557" i="2"/>
  <c r="K80" i="2"/>
  <c r="K921" i="2"/>
  <c r="K278" i="2"/>
  <c r="K622" i="2"/>
  <c r="K91" i="2"/>
  <c r="K808" i="2"/>
  <c r="K574" i="2"/>
  <c r="K95" i="2"/>
  <c r="K69" i="3"/>
  <c r="K275" i="2"/>
  <c r="K213" i="2"/>
  <c r="K801" i="2"/>
  <c r="K803" i="2"/>
  <c r="K656" i="2"/>
  <c r="K872" i="2"/>
  <c r="K56" i="2"/>
  <c r="K646" i="2"/>
  <c r="K528" i="2"/>
  <c r="K592" i="2"/>
  <c r="K724" i="2"/>
  <c r="K26" i="2"/>
  <c r="K719" i="2"/>
  <c r="K733" i="2"/>
  <c r="K5" i="4"/>
  <c r="K618" i="2"/>
  <c r="K30" i="3"/>
  <c r="K440" i="2"/>
  <c r="K297" i="2"/>
  <c r="K717" i="2"/>
  <c r="K659" i="2"/>
  <c r="K8" i="4"/>
  <c r="K865" i="2"/>
  <c r="K120" i="2"/>
  <c r="K359" i="2"/>
  <c r="K390" i="2"/>
  <c r="K53" i="3"/>
  <c r="K401" i="2"/>
  <c r="K527" i="2"/>
  <c r="K901" i="2"/>
  <c r="K161" i="2"/>
  <c r="K475" i="2"/>
  <c r="K59" i="3"/>
  <c r="K263" i="2"/>
  <c r="K224" i="2"/>
  <c r="K936" i="2"/>
  <c r="K79" i="3"/>
  <c r="K850" i="2"/>
  <c r="K199" i="2"/>
  <c r="K749" i="2"/>
  <c r="K276" i="2"/>
  <c r="K20" i="3"/>
  <c r="K787" i="2"/>
  <c r="K520" i="2"/>
  <c r="K485" i="2"/>
  <c r="K245" i="2"/>
  <c r="K67" i="3"/>
  <c r="K337" i="2"/>
  <c r="K322" i="2"/>
  <c r="K678" i="2"/>
  <c r="K580" i="2"/>
  <c r="K445" i="2"/>
  <c r="K98" i="2"/>
  <c r="K31" i="3"/>
  <c r="K605" i="2"/>
  <c r="K596" i="2"/>
  <c r="K296" i="2"/>
  <c r="K467" i="2"/>
  <c r="K20" i="2"/>
  <c r="K132" i="2"/>
  <c r="K437" i="2"/>
  <c r="K73" i="3"/>
  <c r="K71" i="2"/>
  <c r="K435" i="2"/>
  <c r="K761" i="2"/>
  <c r="K489" i="2"/>
  <c r="K453" i="2"/>
  <c r="K35" i="2"/>
  <c r="K815" i="2"/>
  <c r="K672" i="2"/>
  <c r="K743" i="2"/>
  <c r="K638" i="2"/>
  <c r="K679" i="2"/>
  <c r="K127" i="2"/>
  <c r="K611" i="2"/>
  <c r="K324" i="2"/>
  <c r="K532" i="2"/>
  <c r="K77" i="2"/>
  <c r="K15" i="2"/>
  <c r="K271" i="2"/>
  <c r="K747" i="2"/>
  <c r="K671" i="2"/>
  <c r="K496" i="2"/>
  <c r="K783" i="2"/>
  <c r="K264" i="2"/>
  <c r="K17" i="3"/>
  <c r="K82" i="3"/>
  <c r="K665" i="2"/>
  <c r="K832" i="2"/>
  <c r="K33" i="2"/>
  <c r="K644" i="2"/>
  <c r="K309" i="2"/>
  <c r="K160" i="2"/>
  <c r="K191" i="2"/>
  <c r="K194" i="2"/>
  <c r="K257" i="2"/>
  <c r="K59" i="2"/>
  <c r="K539" i="2"/>
  <c r="K531" i="2"/>
  <c r="K537" i="2"/>
  <c r="K731" i="2"/>
  <c r="K235" i="2"/>
  <c r="K648" i="2"/>
  <c r="K282" i="2"/>
  <c r="K600" i="2"/>
  <c r="K408" i="2"/>
  <c r="K711" i="2"/>
  <c r="K252" i="2"/>
  <c r="K121" i="2"/>
  <c r="K19" i="2"/>
  <c r="K536" i="2"/>
  <c r="K356" i="2"/>
  <c r="K830" i="2"/>
  <c r="K474" i="2"/>
  <c r="K128" i="2"/>
  <c r="K17" i="2"/>
  <c r="K476" i="2"/>
  <c r="K407" i="2"/>
  <c r="K695" i="2"/>
  <c r="K612" i="2"/>
  <c r="K928" i="2"/>
  <c r="K472" i="2"/>
  <c r="K906" i="2"/>
  <c r="K800" i="2"/>
  <c r="K469" i="2"/>
  <c r="K176" i="2"/>
  <c r="K791" i="2"/>
  <c r="K403" i="2"/>
  <c r="K640" i="2"/>
  <c r="K265" i="2"/>
  <c r="K651" i="2"/>
  <c r="K875" i="2"/>
  <c r="K501" i="2"/>
  <c r="K636" i="2"/>
  <c r="K685" i="2"/>
  <c r="K425" i="2"/>
  <c r="K855" i="2"/>
  <c r="K462" i="2"/>
  <c r="K9" i="2"/>
  <c r="K22" i="2"/>
  <c r="K43" i="2"/>
  <c r="K555" i="2"/>
  <c r="K725" i="2"/>
  <c r="K164" i="2"/>
  <c r="K896" i="2"/>
  <c r="K582" i="2"/>
  <c r="K519" i="2"/>
  <c r="K412" i="2"/>
  <c r="K524" i="2"/>
  <c r="K138" i="2"/>
  <c r="K680" i="2"/>
  <c r="K732" i="2"/>
  <c r="K186" i="2"/>
  <c r="K478" i="2"/>
  <c r="K563" i="2"/>
  <c r="K193" i="2"/>
  <c r="K910" i="2"/>
  <c r="K61" i="3"/>
  <c r="K919" i="2"/>
  <c r="K615" i="2"/>
  <c r="K446" i="2"/>
  <c r="K466" i="2"/>
  <c r="K302" i="2"/>
  <c r="K728" i="2"/>
  <c r="K778" i="2"/>
  <c r="K26" i="3"/>
  <c r="K625" i="2"/>
  <c r="K40" i="3"/>
  <c r="K378" i="2"/>
  <c r="K686" i="2"/>
  <c r="K637" i="2"/>
  <c r="K42" i="3"/>
  <c r="K19" i="3"/>
  <c r="K8" i="3"/>
  <c r="K603" i="2"/>
  <c r="K785" i="2"/>
  <c r="K826" i="2"/>
  <c r="K34" i="2"/>
  <c r="K210" i="2"/>
  <c r="K525" i="2"/>
  <c r="K578" i="2"/>
  <c r="K250" i="2"/>
  <c r="K497" i="2"/>
  <c r="K599" i="2"/>
  <c r="K40" i="5"/>
  <c r="K307" i="2"/>
  <c r="K33" i="3"/>
  <c r="K631" i="2"/>
  <c r="K155" i="2"/>
  <c r="K394" i="2"/>
  <c r="K248" i="2"/>
  <c r="K82" i="2"/>
  <c r="K772" i="2"/>
  <c r="K28" i="2"/>
  <c r="K103" i="2"/>
  <c r="K738" i="2"/>
  <c r="K123" i="2"/>
  <c r="K624" i="2"/>
  <c r="K9" i="3"/>
  <c r="K883" i="2"/>
  <c r="K939" i="2"/>
  <c r="K924" i="2"/>
  <c r="K44" i="2"/>
  <c r="K807" i="2"/>
  <c r="K543" i="2"/>
  <c r="K500" i="2"/>
  <c r="K298" i="2"/>
  <c r="K38" i="5"/>
  <c r="K320" i="2"/>
  <c r="K38" i="3"/>
  <c r="K68" i="3"/>
  <c r="K57" i="2"/>
  <c r="K824" i="2"/>
  <c r="K616" i="2"/>
  <c r="K829" i="2"/>
  <c r="K552" i="2"/>
  <c r="K159" i="2"/>
  <c r="K597" i="2"/>
  <c r="K11" i="3"/>
  <c r="K427" i="2"/>
  <c r="K918" i="2"/>
  <c r="K371" i="2"/>
  <c r="K682" i="2"/>
  <c r="K598" i="2"/>
  <c r="K23" i="3"/>
  <c r="K318" i="2"/>
  <c r="K770" i="2"/>
  <c r="K7" i="4"/>
  <c r="K529" i="2"/>
  <c r="K929" i="2"/>
  <c r="K66" i="3"/>
  <c r="K742" i="2"/>
  <c r="K760" i="2"/>
  <c r="K703" i="2"/>
  <c r="K90" i="2"/>
  <c r="K666" i="2"/>
  <c r="K236" i="2"/>
  <c r="K280" i="2"/>
  <c r="K654" i="2"/>
  <c r="K810" i="2"/>
  <c r="K47" i="3"/>
  <c r="K238" i="2"/>
  <c r="K676" i="2"/>
  <c r="K129" i="2"/>
  <c r="K141" i="2"/>
  <c r="K454" i="2"/>
  <c r="K247" i="2"/>
  <c r="K272" i="2"/>
  <c r="K16" i="2"/>
  <c r="K63" i="3"/>
  <c r="K899" i="2"/>
  <c r="K215" i="2"/>
  <c r="K827" i="2"/>
  <c r="K139" i="2"/>
  <c r="K62" i="2"/>
  <c r="K216" i="2"/>
  <c r="K204" i="2"/>
  <c r="K816" i="2"/>
  <c r="K667" i="2"/>
  <c r="K146" i="2"/>
  <c r="K12" i="3"/>
  <c r="K881" i="2"/>
  <c r="K218" i="2"/>
  <c r="K559" i="2"/>
  <c r="K93" i="2"/>
  <c r="K313" i="2"/>
  <c r="K804" i="2"/>
  <c r="K619" i="2"/>
  <c r="K890" i="2"/>
  <c r="K762" i="2"/>
  <c r="K758" i="2"/>
  <c r="K53" i="5"/>
  <c r="K657" i="2"/>
  <c r="K45" i="5"/>
  <c r="K165" i="2"/>
  <c r="K841" i="2"/>
  <c r="K198" i="2"/>
  <c r="K100" i="2"/>
  <c r="K321" i="2"/>
  <c r="K788" i="2"/>
  <c r="K56" i="3"/>
  <c r="K670" i="2"/>
  <c r="K849" i="2"/>
  <c r="K57" i="5"/>
  <c r="K866" i="2"/>
  <c r="K542" i="2"/>
  <c r="K893" i="2"/>
  <c r="K660" i="2"/>
  <c r="K868" i="2"/>
  <c r="K776" i="2"/>
  <c r="K367" i="2"/>
  <c r="K840" i="2"/>
  <c r="K48" i="3"/>
  <c r="K898" i="2"/>
  <c r="K392" i="2"/>
  <c r="K861" i="2"/>
  <c r="K813" i="2"/>
  <c r="K554" i="2"/>
  <c r="K643" i="2"/>
  <c r="K352" i="2"/>
  <c r="K744" i="2"/>
  <c r="K360" i="2"/>
  <c r="K214" i="2"/>
  <c r="K122" i="2"/>
  <c r="K479" i="2"/>
  <c r="K579" i="2"/>
  <c r="K825" i="2"/>
  <c r="K944" i="2"/>
  <c r="K52" i="2"/>
  <c r="K117" i="2"/>
  <c r="K741" i="2"/>
  <c r="K877" i="2"/>
  <c r="K399" i="2"/>
  <c r="K568" i="2"/>
  <c r="K400" i="2"/>
  <c r="K177" i="2"/>
  <c r="K13" i="2"/>
  <c r="K306" i="2"/>
  <c r="K365" i="2"/>
  <c r="K55" i="5"/>
  <c r="K708" i="2"/>
  <c r="K90" i="3"/>
  <c r="K279" i="2"/>
  <c r="K358" i="2"/>
  <c r="K63" i="2"/>
  <c r="K151" i="2"/>
  <c r="K715" i="2"/>
  <c r="K546" i="2"/>
  <c r="K419" i="2"/>
  <c r="K316" i="2"/>
  <c r="K593" i="2"/>
  <c r="K894" i="2"/>
  <c r="K591" i="2"/>
  <c r="K614" i="2"/>
  <c r="K494" i="2"/>
  <c r="K897" i="2"/>
  <c r="K44" i="3"/>
  <c r="K208" i="2"/>
  <c r="K330" i="2"/>
  <c r="K523" i="2"/>
  <c r="K764" i="2"/>
  <c r="K197" i="2"/>
  <c r="K9" i="4"/>
  <c r="K150" i="2"/>
  <c r="K590" i="2"/>
  <c r="K157" i="2"/>
  <c r="K88" i="3"/>
  <c r="K179" i="2"/>
  <c r="K18" i="2"/>
  <c r="K21" i="2"/>
  <c r="K573" i="2"/>
  <c r="K87" i="2"/>
  <c r="K86" i="3"/>
  <c r="K27" i="3"/>
  <c r="K835" i="2"/>
  <c r="K137" i="2"/>
  <c r="K53" i="2"/>
  <c r="K687" i="2"/>
  <c r="K333" i="2"/>
  <c r="K506" i="2"/>
  <c r="K162" i="2"/>
  <c r="K15" i="3"/>
  <c r="K837" i="2"/>
  <c r="K774" i="2"/>
  <c r="K187" i="2"/>
  <c r="K6" i="4"/>
  <c r="K684" i="2"/>
  <c r="K51" i="2"/>
  <c r="K83" i="3"/>
  <c r="K60" i="3"/>
  <c r="K544" i="2"/>
  <c r="K84" i="2"/>
  <c r="K39" i="5"/>
  <c r="K461" i="2"/>
  <c r="K348" i="2"/>
  <c r="K565" i="2"/>
  <c r="K6" i="3"/>
  <c r="K405" i="2"/>
  <c r="K645" i="2"/>
  <c r="K226" i="2"/>
  <c r="K697" i="2"/>
  <c r="K76" i="3"/>
  <c r="K370" i="2"/>
  <c r="K46" i="5"/>
  <c r="K735" i="2"/>
  <c r="K424" i="2"/>
  <c r="K575" i="2"/>
  <c r="K377" i="2"/>
  <c r="K323" i="2"/>
  <c r="K45" i="3"/>
  <c r="K112" i="2"/>
  <c r="K172" i="2"/>
  <c r="K834" i="2"/>
  <c r="K110" i="2"/>
  <c r="K75" i="2"/>
  <c r="K639" i="2"/>
  <c r="K178" i="2"/>
  <c r="K502" i="2"/>
  <c r="K571" i="2"/>
  <c r="K345" i="2"/>
  <c r="K551" i="2"/>
  <c r="K239" i="2"/>
  <c r="K912" i="2"/>
  <c r="K88" i="2"/>
  <c r="K789" i="2"/>
  <c r="K414" i="2"/>
  <c r="K7" i="2"/>
  <c r="K439" i="2"/>
  <c r="K25" i="3"/>
  <c r="K190" i="2"/>
  <c r="K548" i="2"/>
  <c r="K35" i="5"/>
  <c r="K379" i="2"/>
  <c r="K882" i="2"/>
  <c r="K473" i="2"/>
  <c r="K706" i="2"/>
  <c r="K750" i="2"/>
  <c r="K109" i="2"/>
  <c r="K156" i="2"/>
  <c r="K484" i="2"/>
  <c r="K76" i="2"/>
  <c r="K223" i="2"/>
  <c r="K163" i="2"/>
  <c r="K463" i="2"/>
  <c r="K609" i="2"/>
  <c r="K388" i="2"/>
  <c r="K144" i="2"/>
  <c r="K329" i="2"/>
  <c r="K24" i="2"/>
  <c r="K346" i="2"/>
  <c r="K78" i="3"/>
  <c r="K585" i="2"/>
  <c r="K727" i="2"/>
  <c r="K5" i="2"/>
  <c r="K584" i="2"/>
  <c r="K219" i="2"/>
  <c r="K58" i="5"/>
  <c r="K285" i="2"/>
  <c r="K836" i="2"/>
  <c r="K862" i="2"/>
  <c r="K41" i="3"/>
  <c r="K913" i="2"/>
  <c r="K72" i="3"/>
  <c r="K851" i="2"/>
  <c r="K510" i="2"/>
  <c r="K70" i="2"/>
  <c r="K658" i="2"/>
  <c r="K545" i="2"/>
  <c r="K212" i="2"/>
  <c r="K301" i="2"/>
  <c r="K47" i="5"/>
  <c r="K814" i="2"/>
  <c r="K366" i="2"/>
  <c r="K926" i="2"/>
  <c r="K652" i="2"/>
  <c r="K133" i="2"/>
  <c r="K767" i="2"/>
  <c r="K491" i="2"/>
  <c r="K108" i="2"/>
  <c r="K269" i="2"/>
  <c r="K522" i="2"/>
  <c r="K935" i="2"/>
  <c r="K56" i="5"/>
  <c r="K920" i="2"/>
  <c r="K37" i="5"/>
  <c r="K812" i="2"/>
  <c r="K831" i="2"/>
  <c r="K748" i="2"/>
  <c r="K856" i="2"/>
  <c r="K42" i="5"/>
  <c r="K237" i="2"/>
  <c r="K67" i="2"/>
  <c r="K663" i="2"/>
  <c r="K549" i="2"/>
  <c r="K97" i="2"/>
  <c r="K811" i="2"/>
  <c r="K293" i="2"/>
  <c r="K16" i="3"/>
  <c r="K895" i="2"/>
  <c r="K332" i="2"/>
  <c r="K713" i="2"/>
  <c r="K681" i="2"/>
  <c r="K335" i="2"/>
  <c r="K183" i="2"/>
  <c r="K357" i="2"/>
  <c r="K443" i="2"/>
  <c r="K588" i="2"/>
  <c r="K364" i="2"/>
  <c r="K5" i="3"/>
  <c r="K664" i="2"/>
  <c r="K58" i="2"/>
  <c r="K794" i="2"/>
  <c r="K349" i="2"/>
  <c r="K448" i="2"/>
  <c r="K83" i="2"/>
  <c r="K368" i="2"/>
  <c r="K561" i="2"/>
  <c r="K153" i="2"/>
  <c r="K36" i="5"/>
  <c r="K331" i="2"/>
  <c r="K243" i="2"/>
  <c r="K650" i="2"/>
  <c r="K581" i="2"/>
  <c r="K884" i="2"/>
  <c r="K52" i="5"/>
  <c r="K447" i="2"/>
  <c r="K340" i="2"/>
  <c r="K766" i="2"/>
  <c r="K148" i="2"/>
  <c r="K775" i="2"/>
  <c r="K759" i="2"/>
  <c r="K428" i="2"/>
  <c r="K71" i="3"/>
  <c r="K101" i="2"/>
  <c r="K870" i="2"/>
  <c r="K739" i="2"/>
  <c r="K848" i="2"/>
  <c r="K853" i="2"/>
  <c r="K328" i="2"/>
  <c r="K261" i="2"/>
  <c r="K254" i="2"/>
  <c r="K249" i="2"/>
  <c r="K745" i="2"/>
  <c r="K51" i="5"/>
  <c r="K119" i="2"/>
  <c r="K54" i="3"/>
  <c r="K274" i="2"/>
  <c r="K490" i="2"/>
  <c r="K142" i="2"/>
  <c r="K468" i="2"/>
  <c r="K240" i="2"/>
  <c r="K105" i="2"/>
  <c r="K891" i="2"/>
  <c r="K158" i="2"/>
  <c r="K843" i="2"/>
  <c r="K33" i="5"/>
  <c r="K291" i="2"/>
  <c r="K879" i="2"/>
  <c r="K922" i="2"/>
  <c r="K508" i="2"/>
  <c r="K336" i="2"/>
  <c r="K147" i="2"/>
  <c r="K909" i="2"/>
  <c r="K241" i="2"/>
  <c r="K89" i="3"/>
  <c r="K577" i="2"/>
  <c r="K89" i="2"/>
  <c r="K305" i="2"/>
  <c r="K25" i="2"/>
  <c r="K41" i="2"/>
  <c r="K251" i="2"/>
  <c r="K290" i="2"/>
  <c r="K903" i="2"/>
  <c r="K823" i="2"/>
  <c r="K635" i="2"/>
  <c r="K878" i="2"/>
  <c r="K567" i="2"/>
  <c r="K888" i="2"/>
  <c r="K99" i="2"/>
  <c r="K77" i="3"/>
  <c r="K381" i="2"/>
  <c r="K710" i="2"/>
  <c r="K828" i="2"/>
  <c r="K782" i="2"/>
  <c r="K189" i="2"/>
  <c r="K730" i="2"/>
  <c r="K50" i="2"/>
  <c r="K154" i="2"/>
  <c r="K751" i="2"/>
  <c r="K292" i="2"/>
  <c r="K80" i="3"/>
  <c r="K874" i="2"/>
  <c r="K14" i="3"/>
  <c r="K343" i="2"/>
  <c r="K632" i="2"/>
  <c r="K40" i="2"/>
  <c r="K184" i="2"/>
  <c r="K594" i="2"/>
  <c r="K409" i="2"/>
  <c r="K383" i="2"/>
  <c r="K873" i="2"/>
  <c r="K470" i="2"/>
  <c r="K457" i="2"/>
  <c r="K310" i="2"/>
  <c r="K32" i="3"/>
  <c r="K27" i="2"/>
  <c r="K433" i="2"/>
  <c r="K887" i="2"/>
  <c r="K246" i="2"/>
  <c r="K854" i="2"/>
  <c r="K464" i="2"/>
  <c r="K211" i="2"/>
  <c r="K864" i="2"/>
  <c r="K48" i="2"/>
  <c r="K106" i="2"/>
  <c r="K6" i="2"/>
  <c r="K434" i="2"/>
  <c r="K60" i="2"/>
  <c r="K504" i="2"/>
  <c r="K188" i="2"/>
  <c r="K777" i="2"/>
  <c r="K222" i="2"/>
  <c r="K35" i="3"/>
  <c r="K558" i="2"/>
  <c r="K859" i="2"/>
  <c r="K326" i="2"/>
  <c r="K169" i="2"/>
  <c r="K933" i="2"/>
  <c r="K780" i="2"/>
  <c r="K937" i="2"/>
  <c r="K737" i="2"/>
  <c r="K601" i="2"/>
  <c r="K64" i="3"/>
  <c r="K692" i="2"/>
  <c r="K701" i="2"/>
  <c r="K560" i="2"/>
  <c r="K564" i="2"/>
  <c r="K550" i="2"/>
  <c r="K754" i="2"/>
  <c r="K633" i="2"/>
  <c r="K41" i="5"/>
  <c r="K64" i="2"/>
  <c r="K130" i="2"/>
  <c r="K493" i="2"/>
  <c r="K203" i="2"/>
  <c r="K892" i="2"/>
  <c r="K723" i="2"/>
  <c r="K688" i="2"/>
  <c r="K858" i="2"/>
  <c r="K781" i="2"/>
  <c r="K231" i="2"/>
  <c r="K674" i="2"/>
  <c r="K37" i="2"/>
  <c r="K170" i="2"/>
  <c r="K299" i="2"/>
  <c r="K796" i="2"/>
  <c r="K857" i="2"/>
  <c r="K277" i="2"/>
  <c r="K653" i="2"/>
  <c r="K196" i="2"/>
  <c r="K586" i="2"/>
  <c r="K415" i="2"/>
  <c r="K18" i="3"/>
  <c r="K410" i="2"/>
  <c r="K852" i="2"/>
  <c r="K498" i="2"/>
  <c r="K61" i="2"/>
  <c r="K87" i="3"/>
  <c r="K917" i="2"/>
  <c r="K372" i="2"/>
  <c r="K42" i="2"/>
  <c r="K746" i="2"/>
  <c r="K763" i="2"/>
  <c r="K43" i="5"/>
  <c r="K757" i="2"/>
  <c r="K11" i="2"/>
  <c r="K699" i="2"/>
  <c r="K65" i="2"/>
  <c r="K511" i="2"/>
  <c r="K608" i="2"/>
  <c r="K456" i="2"/>
  <c r="K455" i="2"/>
  <c r="K262" i="2"/>
  <c r="K152" i="2"/>
  <c r="K779" i="2"/>
  <c r="K610" i="2"/>
  <c r="K839" i="2"/>
  <c r="K736" i="2"/>
  <c r="K283" i="2"/>
  <c r="K353" i="2"/>
  <c r="K376" i="2"/>
  <c r="K85" i="2"/>
  <c r="K50" i="5"/>
  <c r="K96" i="2"/>
  <c r="K115" i="2"/>
  <c r="K286" i="2"/>
  <c r="K904" i="2"/>
  <c r="K421" i="2"/>
  <c r="K52" i="3"/>
  <c r="K662" i="2"/>
  <c r="K492" i="2"/>
  <c r="K740" i="2"/>
  <c r="K495" i="2"/>
  <c r="K102" i="2"/>
  <c r="K375" i="2"/>
  <c r="K444" i="2"/>
  <c r="K308" i="2"/>
  <c r="K84" i="3"/>
  <c r="K842" i="2"/>
  <c r="K689" i="2"/>
  <c r="K145" i="2"/>
  <c r="K863" i="2"/>
  <c r="K514" i="2"/>
  <c r="K902" i="2"/>
  <c r="K58" i="3"/>
  <c r="K566" i="2"/>
  <c r="K431" i="2"/>
  <c r="K23" i="2"/>
  <c r="K140" i="2"/>
  <c r="K809" i="2"/>
  <c r="K382" i="2"/>
  <c r="K397" i="2"/>
  <c r="K647" i="2"/>
  <c r="K570" i="2"/>
  <c r="K786" i="2"/>
  <c r="K627" i="2"/>
  <c r="K773" i="2"/>
  <c r="K623" i="2"/>
  <c r="K471" i="2"/>
  <c r="K630" i="2"/>
  <c r="K583" i="2"/>
  <c r="K771" i="2"/>
  <c r="K700" i="2"/>
  <c r="K311" i="2"/>
  <c r="K734" i="2"/>
  <c r="K690" i="2"/>
  <c r="K319" i="2"/>
  <c r="K205" i="2"/>
  <c r="K300" i="2"/>
  <c r="K44" i="5"/>
  <c r="K74" i="2"/>
  <c r="K230" i="2"/>
  <c r="K135" i="2"/>
  <c r="K438" i="2"/>
  <c r="K718" i="2"/>
  <c r="K32" i="2"/>
  <c r="K752" i="2"/>
  <c r="K136" i="2"/>
  <c r="K449" i="2"/>
  <c r="K334" i="2"/>
  <c r="K513" i="2"/>
  <c r="K234" i="2"/>
  <c r="K174" i="2"/>
  <c r="K134" i="2"/>
  <c r="K626" i="2"/>
  <c r="K418" i="2"/>
  <c r="K75" i="3"/>
  <c r="K535" i="2"/>
  <c r="K914" i="2"/>
  <c r="K36" i="3"/>
  <c r="K92" i="2"/>
  <c r="K712" i="2"/>
  <c r="K202" i="2"/>
  <c r="K185" i="2"/>
  <c r="K221" i="2"/>
  <c r="K459" i="2"/>
  <c r="K124" i="2"/>
  <c r="K442" i="2"/>
  <c r="K720" i="2"/>
  <c r="K797" i="2"/>
  <c r="K259" i="2"/>
  <c r="K669" i="2"/>
  <c r="K416" i="2"/>
  <c r="K10" i="3"/>
  <c r="K649" i="2"/>
  <c r="K726" i="2"/>
  <c r="K668" i="2"/>
  <c r="K716" i="2"/>
  <c r="K37" i="3"/>
  <c r="K790" i="2"/>
  <c r="K233" i="2"/>
  <c r="K232" i="2"/>
  <c r="K655" i="2"/>
  <c r="K930" i="2"/>
  <c r="K617" i="2"/>
  <c r="K432" i="2"/>
  <c r="K149" i="2"/>
  <c r="K362" i="2"/>
  <c r="K860" i="2"/>
  <c r="K39" i="2"/>
  <c r="K871" i="2"/>
  <c r="K34" i="3"/>
  <c r="K515" i="2"/>
  <c r="K389" i="2"/>
  <c r="K10" i="2"/>
  <c r="K13" i="3"/>
  <c r="K195" i="2"/>
  <c r="K384" i="2"/>
  <c r="K798" i="2"/>
  <c r="K505" i="2"/>
  <c r="K341" i="2"/>
  <c r="K47" i="2"/>
  <c r="K386" i="2"/>
  <c r="K934" i="2"/>
  <c r="K916" i="2"/>
  <c r="K694" i="2"/>
  <c r="K569" i="2"/>
  <c r="K49" i="3"/>
  <c r="K941" i="2"/>
  <c r="K729" i="2"/>
  <c r="K182" i="2"/>
  <c r="K94" i="2"/>
  <c r="K104" i="2"/>
  <c r="K29" i="2"/>
  <c r="K943" i="2"/>
  <c r="K65" i="3"/>
  <c r="K50" i="3"/>
  <c r="K22" i="3"/>
  <c r="K430" i="2"/>
  <c r="K925" i="2"/>
  <c r="K507" i="2"/>
  <c r="K595" i="2"/>
  <c r="K338" i="2"/>
  <c r="K411" i="2"/>
  <c r="K8" i="2"/>
  <c r="K206" i="2"/>
  <c r="K707" i="2"/>
  <c r="K404" i="2"/>
  <c r="K641" i="2"/>
  <c r="K79" i="2"/>
  <c r="K541" i="2"/>
  <c r="K931" i="2"/>
  <c r="K38" i="2"/>
  <c r="K499" i="2"/>
  <c r="K413" i="2"/>
  <c r="K458" i="2"/>
  <c r="K880" i="2"/>
  <c r="K768" i="2"/>
  <c r="K54" i="5"/>
  <c r="K114" i="2"/>
  <c r="K406" i="2"/>
  <c r="K385" i="2"/>
  <c r="K423" i="2"/>
  <c r="K530" i="2"/>
  <c r="K166" i="2"/>
  <c r="K932" i="2"/>
  <c r="K677" i="2"/>
  <c r="H794" i="8"/>
  <c r="H786" i="8" s="1"/>
  <c r="G786" i="8"/>
  <c r="E44" i="1" s="1"/>
  <c r="F44" i="1" s="1"/>
  <c r="I786" i="8" s="1"/>
  <c r="K124" i="24"/>
  <c r="H2546" i="16"/>
  <c r="H2538" i="16" s="1"/>
  <c r="G2538" i="16"/>
  <c r="E670" i="1" s="1"/>
  <c r="F670" i="1" s="1"/>
  <c r="I2538" i="16" s="1"/>
  <c r="G1181" i="21"/>
  <c r="E739" i="1" s="1"/>
  <c r="F739" i="1" s="1"/>
  <c r="I1181" i="21" s="1"/>
  <c r="H1183" i="21"/>
  <c r="H1181" i="21" s="1"/>
  <c r="K664" i="21"/>
  <c r="H2048" i="13"/>
  <c r="H2040" i="13" s="1"/>
  <c r="G2040" i="13"/>
  <c r="E396" i="1" s="1"/>
  <c r="F396" i="1" s="1"/>
  <c r="I2040" i="13" s="1"/>
  <c r="G2478" i="16"/>
  <c r="E667" i="1" s="1"/>
  <c r="F667" i="1" s="1"/>
  <c r="I2478" i="16" s="1"/>
  <c r="H2486" i="16"/>
  <c r="H2478" i="16" s="1"/>
  <c r="G409" i="15"/>
  <c r="E454" i="1" s="1"/>
  <c r="F454" i="1" s="1"/>
  <c r="H417" i="15"/>
  <c r="H409" i="15" s="1"/>
  <c r="H1031" i="26"/>
  <c r="H1023" i="26" s="1"/>
  <c r="G1023" i="26"/>
  <c r="E908" i="1" s="1"/>
  <c r="F908" i="1" s="1"/>
  <c r="I1023" i="26" s="1"/>
  <c r="H807" i="16"/>
  <c r="H799" i="16" s="1"/>
  <c r="G799" i="16"/>
  <c r="E581" i="1" s="1"/>
  <c r="F581" i="1" s="1"/>
  <c r="I799" i="16" s="1"/>
  <c r="G1140" i="13"/>
  <c r="E351" i="1" s="1"/>
  <c r="F351" i="1" s="1"/>
  <c r="I1140" i="13" s="1"/>
  <c r="H1148" i="13"/>
  <c r="H1140" i="13" s="1"/>
  <c r="H172" i="24"/>
  <c r="H164" i="24" s="1"/>
  <c r="G164" i="24"/>
  <c r="E781" i="1" s="1"/>
  <c r="F781" i="1" s="1"/>
  <c r="I164" i="24" s="1"/>
  <c r="H493" i="24"/>
  <c r="H485" i="24" s="1"/>
  <c r="G485" i="24"/>
  <c r="E797" i="1" s="1"/>
  <c r="F797" i="1" s="1"/>
  <c r="I485" i="24" s="1"/>
  <c r="H473" i="24"/>
  <c r="H464" i="24" s="1"/>
  <c r="G464" i="24"/>
  <c r="E796" i="1" s="1"/>
  <c r="F796" i="1" s="1"/>
  <c r="I464" i="24" s="1"/>
  <c r="H52" i="33"/>
  <c r="H44" i="33" s="1"/>
  <c r="G44" i="33"/>
  <c r="E1211" i="1" s="1"/>
  <c r="F1211" i="1" s="1"/>
  <c r="I44" i="33" s="1"/>
  <c r="K634" i="2"/>
  <c r="L149" i="2"/>
  <c r="L617" i="2"/>
  <c r="L142" i="2"/>
  <c r="L54" i="5"/>
  <c r="L687" i="2"/>
  <c r="L587" i="2"/>
  <c r="L673" i="2"/>
  <c r="L245" i="2"/>
  <c r="L9" i="3"/>
  <c r="L194" i="2"/>
  <c r="L577" i="2"/>
  <c r="L253" i="2"/>
  <c r="L396" i="2"/>
  <c r="L83" i="2"/>
  <c r="L502" i="2"/>
  <c r="L223" i="2"/>
  <c r="L631" i="2"/>
  <c r="L254" i="2"/>
  <c r="L517" i="2"/>
  <c r="L446" i="2"/>
  <c r="L894" i="2"/>
  <c r="L64" i="2"/>
  <c r="L44" i="2"/>
  <c r="L586" i="2"/>
  <c r="L420" i="2"/>
  <c r="L574" i="2"/>
  <c r="L779" i="2"/>
  <c r="L308" i="2"/>
  <c r="L67" i="2"/>
  <c r="L918" i="2"/>
  <c r="L17" i="3"/>
  <c r="L430" i="2"/>
  <c r="L73" i="2"/>
  <c r="L510" i="2"/>
  <c r="L199" i="2"/>
  <c r="L351" i="2"/>
  <c r="L563" i="2"/>
  <c r="L668" i="2"/>
  <c r="L443" i="2"/>
  <c r="L222" i="2"/>
  <c r="L514" i="2"/>
  <c r="L743" i="2"/>
  <c r="L665" i="2"/>
  <c r="L553" i="2"/>
  <c r="L911" i="2"/>
  <c r="L62" i="2"/>
  <c r="L573" i="2"/>
  <c r="L507" i="2"/>
  <c r="L187" i="2"/>
  <c r="L78" i="2"/>
  <c r="L10" i="3"/>
  <c r="L516" i="2"/>
  <c r="L720" i="2"/>
  <c r="L29" i="3"/>
  <c r="L869" i="2"/>
  <c r="L552" i="2"/>
  <c r="L229" i="2"/>
  <c r="L37" i="2"/>
  <c r="L601" i="2"/>
  <c r="L576" i="2"/>
  <c r="L749" i="2"/>
  <c r="L713" i="2"/>
  <c r="L251" i="2"/>
  <c r="L252" i="2"/>
  <c r="L465" i="2"/>
  <c r="L598" i="2"/>
  <c r="L63" i="3"/>
  <c r="H2228" i="13"/>
  <c r="H2220" i="13" s="1"/>
  <c r="G2220" i="13"/>
  <c r="E405" i="1" s="1"/>
  <c r="F405" i="1" s="1"/>
  <c r="I2220" i="13" s="1"/>
  <c r="K604" i="30"/>
  <c r="J604" i="30"/>
  <c r="H1874" i="8"/>
  <c r="H1866" i="8" s="1"/>
  <c r="G1866" i="8"/>
  <c r="E99" i="1" s="1"/>
  <c r="F99" i="1" s="1"/>
  <c r="I1866" i="8" s="1"/>
  <c r="H2240" i="8"/>
  <c r="H2232" i="8" s="1"/>
  <c r="G2232" i="8"/>
  <c r="E118" i="1" s="1"/>
  <c r="F118" i="1" s="1"/>
  <c r="I2232" i="8" s="1"/>
  <c r="H1524" i="26"/>
  <c r="H1516" i="26" s="1"/>
  <c r="G1516" i="26"/>
  <c r="E932" i="1" s="1"/>
  <c r="F932" i="1" s="1"/>
  <c r="I1516" i="26" s="1"/>
  <c r="H796" i="32"/>
  <c r="H788" i="32" s="1"/>
  <c r="G788" i="32"/>
  <c r="E1164" i="1" s="1"/>
  <c r="F1164" i="1" s="1"/>
  <c r="I788" i="32" s="1"/>
  <c r="H1160" i="21"/>
  <c r="H1158" i="21" s="1"/>
  <c r="G1158" i="21"/>
  <c r="E738" i="1" s="1"/>
  <c r="F738" i="1" s="1"/>
  <c r="I1158" i="21" s="1"/>
  <c r="H452" i="24"/>
  <c r="H444" i="24" s="1"/>
  <c r="G444" i="24"/>
  <c r="E795" i="1" s="1"/>
  <c r="F795" i="1" s="1"/>
  <c r="I444" i="24" s="1"/>
  <c r="H2508" i="13"/>
  <c r="H2500" i="13" s="1"/>
  <c r="G2500" i="13"/>
  <c r="E419" i="1" s="1"/>
  <c r="F419" i="1" s="1"/>
  <c r="I2500" i="13" s="1"/>
  <c r="G1020" i="13"/>
  <c r="E345" i="1" s="1"/>
  <c r="F345" i="1" s="1"/>
  <c r="I1020" i="13" s="1"/>
  <c r="H1028" i="13"/>
  <c r="H1020" i="13" s="1"/>
  <c r="H1559" i="24"/>
  <c r="H1551" i="24" s="1"/>
  <c r="G1551" i="24"/>
  <c r="E850" i="1" s="1"/>
  <c r="F850" i="1" s="1"/>
  <c r="I1551" i="24" s="1"/>
  <c r="H1888" i="13"/>
  <c r="H1880" i="13" s="1"/>
  <c r="G1880" i="13"/>
  <c r="E388" i="1" s="1"/>
  <c r="F388" i="1" s="1"/>
  <c r="I1880" i="13" s="1"/>
  <c r="H947" i="16"/>
  <c r="H939" i="16" s="1"/>
  <c r="G939" i="16"/>
  <c r="E589" i="1" s="1"/>
  <c r="F589" i="1" s="1"/>
  <c r="I939" i="16" s="1"/>
  <c r="H1679" i="15"/>
  <c r="H1671" i="15" s="1"/>
  <c r="G1671" i="15"/>
  <c r="E517" i="1" s="1"/>
  <c r="F517" i="1" s="1"/>
  <c r="I1671" i="15" s="1"/>
  <c r="H306" i="26"/>
  <c r="H298" i="26" s="1"/>
  <c r="G298" i="26"/>
  <c r="E872" i="1" s="1"/>
  <c r="F872" i="1" s="1"/>
  <c r="I298" i="26" s="1"/>
  <c r="H1945" i="15"/>
  <c r="H1935" i="15" s="1"/>
  <c r="G1935" i="15"/>
  <c r="E530" i="1" s="1"/>
  <c r="F530" i="1" s="1"/>
  <c r="H1754" i="8"/>
  <c r="H1746" i="8" s="1"/>
  <c r="G1746" i="8"/>
  <c r="E93" i="1" s="1"/>
  <c r="F93" i="1" s="1"/>
  <c r="I1746" i="8" s="1"/>
  <c r="H907" i="16"/>
  <c r="H899" i="16" s="1"/>
  <c r="G899" i="16"/>
  <c r="E587" i="1" s="1"/>
  <c r="F587" i="1" s="1"/>
  <c r="G1413" i="26"/>
  <c r="E927" i="1" s="1"/>
  <c r="F927" i="1" s="1"/>
  <c r="I1413" i="26" s="1"/>
  <c r="H1421" i="26"/>
  <c r="H1413" i="26" s="1"/>
  <c r="H996" i="32"/>
  <c r="H988" i="32" s="1"/>
  <c r="G988" i="32"/>
  <c r="E1174" i="1" s="1"/>
  <c r="F1174" i="1" s="1"/>
  <c r="H1539" i="24"/>
  <c r="H1526" i="24" s="1"/>
  <c r="G1526" i="24"/>
  <c r="E849" i="1" s="1"/>
  <c r="F849" i="1" s="1"/>
  <c r="I1526" i="24" s="1"/>
  <c r="K1544" i="30"/>
  <c r="J1544" i="30"/>
  <c r="H2723" i="26"/>
  <c r="H2715" i="26" s="1"/>
  <c r="G2715" i="26"/>
  <c r="E993" i="1" s="1"/>
  <c r="F993" i="1" s="1"/>
  <c r="I2715" i="26" s="1"/>
  <c r="H2380" i="8"/>
  <c r="H2372" i="8" s="1"/>
  <c r="G2372" i="8"/>
  <c r="E125" i="1" s="1"/>
  <c r="F125" i="1" s="1"/>
  <c r="I2372" i="8" s="1"/>
  <c r="H987" i="24"/>
  <c r="H979" i="24" s="1"/>
  <c r="G979" i="24"/>
  <c r="E821" i="1" s="1"/>
  <c r="F821" i="1" s="1"/>
  <c r="I979" i="24" s="1"/>
  <c r="G144" i="11"/>
  <c r="E156" i="1" s="1"/>
  <c r="F156" i="1" s="1"/>
  <c r="I144" i="11" s="1"/>
  <c r="H146" i="11"/>
  <c r="H144" i="11" s="1"/>
  <c r="H1708" i="13"/>
  <c r="H1700" i="13" s="1"/>
  <c r="G1700" i="13"/>
  <c r="E379" i="1" s="1"/>
  <c r="F379" i="1" s="1"/>
  <c r="I1700" i="13" s="1"/>
  <c r="H1623" i="16"/>
  <c r="H1615" i="16" s="1"/>
  <c r="G1615" i="16"/>
  <c r="E622" i="1" s="1"/>
  <c r="F622" i="1" s="1"/>
  <c r="I1615" i="16" s="1"/>
  <c r="H1954" i="8"/>
  <c r="H1946" i="8" s="1"/>
  <c r="G1946" i="8"/>
  <c r="E104" i="1" s="1"/>
  <c r="F104" i="1" s="1"/>
  <c r="I1946" i="8" s="1"/>
  <c r="H1597" i="11"/>
  <c r="H1589" i="11" s="1"/>
  <c r="G1589" i="11"/>
  <c r="E229" i="1" s="1"/>
  <c r="F229" i="1" s="1"/>
  <c r="I1589" i="11" s="1"/>
  <c r="H2145" i="26"/>
  <c r="H2137" i="26" s="1"/>
  <c r="G2137" i="26"/>
  <c r="E965" i="1" s="1"/>
  <c r="F965" i="1" s="1"/>
  <c r="I2137" i="26" s="1"/>
  <c r="H2863" i="26"/>
  <c r="H2855" i="26" s="1"/>
  <c r="G2855" i="26"/>
  <c r="E1000" i="1" s="1"/>
  <c r="F1000" i="1" s="1"/>
  <c r="I2855" i="26" s="1"/>
  <c r="H613" i="24"/>
  <c r="H605" i="24" s="1"/>
  <c r="G605" i="24"/>
  <c r="E803" i="1" s="1"/>
  <c r="F803" i="1" s="1"/>
  <c r="I605" i="24" s="1"/>
  <c r="H2426" i="16"/>
  <c r="H2418" i="16" s="1"/>
  <c r="G2418" i="16"/>
  <c r="E664" i="1" s="1"/>
  <c r="F664" i="1" s="1"/>
  <c r="I2418" i="16" s="1"/>
  <c r="H2488" i="13"/>
  <c r="H2480" i="13" s="1"/>
  <c r="G2480" i="13"/>
  <c r="E418" i="1" s="1"/>
  <c r="F418" i="1" s="1"/>
  <c r="I2480" i="13" s="1"/>
  <c r="H1933" i="30"/>
  <c r="H1925" i="30" s="1"/>
  <c r="G1925" i="30"/>
  <c r="E1111" i="1" s="1"/>
  <c r="F1111" i="1" s="1"/>
  <c r="I1925" i="30" s="1"/>
  <c r="L445" i="2"/>
  <c r="L506" i="2"/>
  <c r="L583" i="2"/>
  <c r="L6" i="2"/>
  <c r="L684" i="2"/>
  <c r="L716" i="2"/>
  <c r="L837" i="2"/>
  <c r="L371" i="2"/>
  <c r="L564" i="2"/>
  <c r="L39" i="5"/>
  <c r="L774" i="2"/>
  <c r="L561" i="2"/>
  <c r="L529" i="2"/>
  <c r="L541" i="2"/>
  <c r="L658" i="2"/>
  <c r="L307" i="2"/>
  <c r="L100" i="2"/>
  <c r="L660" i="2"/>
  <c r="L50" i="5"/>
  <c r="L124" i="2"/>
  <c r="L770" i="2"/>
  <c r="L460" i="2"/>
  <c r="L616" i="2"/>
  <c r="L818" i="2"/>
  <c r="L928" i="2"/>
  <c r="L605" i="2"/>
  <c r="L835" i="2"/>
  <c r="L74" i="3"/>
  <c r="L162" i="2"/>
  <c r="L87" i="3"/>
  <c r="L31" i="3"/>
  <c r="L569" i="2"/>
  <c r="L820" i="2"/>
  <c r="L664" i="2"/>
  <c r="L60" i="3"/>
  <c r="L279" i="2"/>
  <c r="L623" i="2"/>
  <c r="L52" i="3"/>
  <c r="L409" i="2"/>
  <c r="L640" i="2"/>
  <c r="L625" i="2"/>
  <c r="L102" i="2"/>
  <c r="L499" i="2"/>
  <c r="L212" i="2"/>
  <c r="L192" i="2"/>
  <c r="L394" i="2"/>
  <c r="L670" i="2"/>
  <c r="L595" i="2"/>
  <c r="L536" i="2"/>
  <c r="L208" i="2"/>
  <c r="L34" i="5"/>
  <c r="L613" i="2"/>
  <c r="L783" i="2"/>
  <c r="L589" i="2"/>
  <c r="L730" i="2"/>
  <c r="L495" i="2"/>
  <c r="L186" i="2"/>
  <c r="L765" i="2"/>
  <c r="L242" i="2"/>
  <c r="L556" i="2"/>
  <c r="L32" i="3"/>
  <c r="L641" i="2"/>
  <c r="H26" i="30"/>
  <c r="H24" i="30" s="1"/>
  <c r="G24" i="30"/>
  <c r="E1015" i="1" s="1"/>
  <c r="F1015" i="1" s="1"/>
  <c r="I24" i="30" s="1"/>
  <c r="H2577" i="26"/>
  <c r="H2569" i="26" s="1"/>
  <c r="G2569" i="26"/>
  <c r="E985" i="1" s="1"/>
  <c r="F985" i="1" s="1"/>
  <c r="I2569" i="26" s="1"/>
  <c r="H1596" i="21"/>
  <c r="H1588" i="21" s="1"/>
  <c r="G1588" i="21"/>
  <c r="E759" i="1" s="1"/>
  <c r="F759" i="1" s="1"/>
  <c r="I1588" i="21" s="1"/>
  <c r="H1067" i="24"/>
  <c r="H1059" i="24" s="1"/>
  <c r="G1059" i="24"/>
  <c r="E825" i="1" s="1"/>
  <c r="F825" i="1" s="1"/>
  <c r="I1059" i="24" s="1"/>
  <c r="H1543" i="16"/>
  <c r="H1535" i="16" s="1"/>
  <c r="G1535" i="16"/>
  <c r="E618" i="1" s="1"/>
  <c r="F618" i="1" s="1"/>
  <c r="I1535" i="16" s="1"/>
  <c r="H1603" i="16"/>
  <c r="H1595" i="16" s="1"/>
  <c r="G1595" i="16"/>
  <c r="E621" i="1" s="1"/>
  <c r="F621" i="1" s="1"/>
  <c r="I1595" i="16" s="1"/>
  <c r="H1974" i="8"/>
  <c r="H1966" i="8" s="1"/>
  <c r="G1966" i="8"/>
  <c r="E105" i="1" s="1"/>
  <c r="F105" i="1" s="1"/>
  <c r="I1966" i="8" s="1"/>
  <c r="H1168" i="13"/>
  <c r="H1160" i="13" s="1"/>
  <c r="G1160" i="13"/>
  <c r="E352" i="1" s="1"/>
  <c r="F352" i="1" s="1"/>
  <c r="I1160" i="13" s="1"/>
  <c r="H52" i="13"/>
  <c r="H44" i="13" s="1"/>
  <c r="G44" i="13"/>
  <c r="E297" i="1" s="1"/>
  <c r="F297" i="1" s="1"/>
  <c r="I44" i="13" s="1"/>
  <c r="H1396" i="21"/>
  <c r="H1388" i="21" s="1"/>
  <c r="G1388" i="21"/>
  <c r="E749" i="1" s="1"/>
  <c r="F749" i="1" s="1"/>
  <c r="I1388" i="21" s="1"/>
  <c r="H897" i="15"/>
  <c r="H889" i="15" s="1"/>
  <c r="G889" i="15"/>
  <c r="E478" i="1" s="1"/>
  <c r="F478" i="1" s="1"/>
  <c r="H1939" i="26"/>
  <c r="H1937" i="26" s="1"/>
  <c r="G1937" i="26"/>
  <c r="E955" i="1" s="1"/>
  <c r="F955" i="1" s="1"/>
  <c r="I1937" i="26" s="1"/>
  <c r="H1988" i="13"/>
  <c r="H1980" i="13" s="1"/>
  <c r="G1980" i="13"/>
  <c r="E393" i="1" s="1"/>
  <c r="F393" i="1" s="1"/>
  <c r="I1980" i="13" s="1"/>
  <c r="H1292" i="21"/>
  <c r="H1284" i="21" s="1"/>
  <c r="G1284" i="21"/>
  <c r="E744" i="1" s="1"/>
  <c r="F744" i="1" s="1"/>
  <c r="I1284" i="21" s="1"/>
  <c r="H772" i="30"/>
  <c r="H764" i="30" s="1"/>
  <c r="G764" i="30"/>
  <c r="E1052" i="1" s="1"/>
  <c r="F1052" i="1" s="1"/>
  <c r="I764" i="30" s="1"/>
  <c r="H621" i="13"/>
  <c r="H610" i="13" s="1"/>
  <c r="G610" i="13"/>
  <c r="E324" i="1" s="1"/>
  <c r="F324" i="1" s="1"/>
  <c r="I610" i="13" s="1"/>
  <c r="H2165" i="16"/>
  <c r="H2157" i="16" s="1"/>
  <c r="G2157" i="16"/>
  <c r="E651" i="1" s="1"/>
  <c r="F651" i="1" s="1"/>
  <c r="I2157" i="16" s="1"/>
  <c r="H812" i="21"/>
  <c r="H804" i="21" s="1"/>
  <c r="G804" i="21"/>
  <c r="E721" i="1" s="1"/>
  <c r="F721" i="1" s="1"/>
  <c r="I804" i="21" s="1"/>
  <c r="H1785" i="26"/>
  <c r="H1777" i="26" s="1"/>
  <c r="G1777" i="26"/>
  <c r="E946" i="1" s="1"/>
  <c r="F946" i="1" s="1"/>
  <c r="I1777" i="26" s="1"/>
  <c r="H1416" i="32"/>
  <c r="H1408" i="32" s="1"/>
  <c r="G1408" i="32"/>
  <c r="E1195" i="1" s="1"/>
  <c r="F1195" i="1" s="1"/>
  <c r="I1408" i="32" s="1"/>
  <c r="H2003" i="16"/>
  <c r="H1995" i="16" s="1"/>
  <c r="G1995" i="16"/>
  <c r="E643" i="1" s="1"/>
  <c r="F643" i="1" s="1"/>
  <c r="I1995" i="16" s="1"/>
  <c r="H1696" i="21"/>
  <c r="H1688" i="21" s="1"/>
  <c r="G1688" i="21"/>
  <c r="E764" i="1" s="1"/>
  <c r="F764" i="1" s="1"/>
  <c r="I1688" i="21" s="1"/>
  <c r="H332" i="24"/>
  <c r="H324" i="24" s="1"/>
  <c r="G324" i="24"/>
  <c r="E789" i="1" s="1"/>
  <c r="F789" i="1" s="1"/>
  <c r="I324" i="24" s="1"/>
  <c r="H1676" i="21"/>
  <c r="H1668" i="21" s="1"/>
  <c r="G1668" i="21"/>
  <c r="E763" i="1" s="1"/>
  <c r="F763" i="1" s="1"/>
  <c r="I1668" i="21" s="1"/>
  <c r="H2446" i="16"/>
  <c r="H2438" i="16" s="1"/>
  <c r="G2438" i="16"/>
  <c r="E665" i="1" s="1"/>
  <c r="F665" i="1" s="1"/>
  <c r="I2438" i="16" s="1"/>
  <c r="H1027" i="16"/>
  <c r="H1019" i="16" s="1"/>
  <c r="G1019" i="16"/>
  <c r="E593" i="1" s="1"/>
  <c r="F593" i="1" s="1"/>
  <c r="I1019" i="16" s="1"/>
  <c r="H1346" i="11"/>
  <c r="H1344" i="11" s="1"/>
  <c r="G1344" i="11"/>
  <c r="E217" i="1" s="1"/>
  <c r="F217" i="1" s="1"/>
  <c r="I1344" i="11" s="1"/>
  <c r="H792" i="30"/>
  <c r="H784" i="30" s="1"/>
  <c r="G784" i="30"/>
  <c r="E1053" i="1" s="1"/>
  <c r="F1053" i="1" s="1"/>
  <c r="I784" i="30" s="1"/>
  <c r="H2275" i="11"/>
  <c r="H2267" i="11" s="1"/>
  <c r="G2267" i="11"/>
  <c r="E260" i="1" s="1"/>
  <c r="F260" i="1" s="1"/>
  <c r="I2267" i="11" s="1"/>
  <c r="H108" i="11"/>
  <c r="G106" i="11"/>
  <c r="G1799" i="16"/>
  <c r="J113" i="2"/>
  <c r="J601" i="2"/>
  <c r="J250" i="2"/>
  <c r="J255" i="2"/>
  <c r="J78" i="2"/>
  <c r="J343" i="2"/>
  <c r="J755" i="2"/>
  <c r="J823" i="2"/>
  <c r="J805" i="2"/>
  <c r="J440" i="2"/>
  <c r="J746" i="2"/>
  <c r="J88" i="3"/>
  <c r="J88" i="2"/>
  <c r="J69" i="2"/>
  <c r="J26" i="2"/>
  <c r="J629" i="2"/>
  <c r="J382" i="2"/>
  <c r="J607" i="2"/>
  <c r="J735" i="2"/>
  <c r="J891" i="2"/>
  <c r="J253" i="2"/>
  <c r="J251" i="2"/>
  <c r="J826" i="2"/>
  <c r="J24" i="3"/>
  <c r="J754" i="2"/>
  <c r="J512" i="2"/>
  <c r="J399" i="2"/>
  <c r="J738" i="2"/>
  <c r="J381" i="2"/>
  <c r="J719" i="2"/>
  <c r="J87" i="2"/>
  <c r="J887" i="2"/>
  <c r="J604" i="2"/>
  <c r="J610" i="2"/>
  <c r="J42" i="5"/>
  <c r="J9" i="3"/>
  <c r="J649" i="2"/>
  <c r="J38" i="5"/>
  <c r="J595" i="2"/>
  <c r="J248" i="2"/>
  <c r="J41" i="2"/>
  <c r="J135" i="2"/>
  <c r="J818" i="2"/>
  <c r="J93" i="2"/>
  <c r="J242" i="2"/>
  <c r="J923" i="2"/>
  <c r="J126" i="2"/>
  <c r="J787" i="2"/>
  <c r="J788" i="2"/>
  <c r="J710" i="2"/>
  <c r="J82" i="2"/>
  <c r="J639" i="2"/>
  <c r="J39" i="5"/>
  <c r="J334" i="2"/>
  <c r="J651" i="2"/>
  <c r="J520" i="2"/>
  <c r="J449" i="2"/>
  <c r="J934" i="2"/>
  <c r="J937" i="2"/>
  <c r="J875" i="2"/>
  <c r="J230" i="2"/>
  <c r="J836" i="2"/>
  <c r="J33" i="3"/>
  <c r="J866" i="2"/>
  <c r="J883" i="2"/>
  <c r="J210" i="2"/>
  <c r="J168" i="2"/>
  <c r="J81" i="2"/>
  <c r="J296" i="2"/>
  <c r="J162" i="2"/>
  <c r="J715" i="2"/>
  <c r="J358" i="2"/>
  <c r="J857" i="2"/>
  <c r="J336" i="2"/>
  <c r="J14" i="2"/>
  <c r="J73" i="2"/>
  <c r="J811" i="2"/>
  <c r="J506" i="2"/>
  <c r="J85" i="3"/>
  <c r="J736" i="2"/>
  <c r="J171" i="2"/>
  <c r="J191" i="2"/>
  <c r="J26" i="3"/>
  <c r="J142" i="2"/>
  <c r="J824" i="2"/>
  <c r="J769" i="2"/>
  <c r="J480" i="2"/>
  <c r="J525" i="2"/>
  <c r="J69" i="3"/>
  <c r="J917" i="2"/>
  <c r="J820" i="2"/>
  <c r="J123" i="2"/>
  <c r="J532" i="2"/>
  <c r="J115" i="2"/>
  <c r="J361" i="2"/>
  <c r="J12" i="3"/>
  <c r="J421" i="2"/>
  <c r="J790" i="2"/>
  <c r="J355" i="2"/>
  <c r="J82" i="3"/>
  <c r="J181" i="2"/>
  <c r="J501" i="2"/>
  <c r="J15" i="2"/>
  <c r="J74" i="2"/>
  <c r="J638" i="2"/>
  <c r="J49" i="2"/>
  <c r="J783" i="2"/>
  <c r="J733" i="2"/>
  <c r="J19" i="2"/>
  <c r="J58" i="3"/>
  <c r="J550" i="2"/>
  <c r="J925" i="2"/>
  <c r="J469" i="2"/>
  <c r="J681" i="2"/>
  <c r="J557" i="2"/>
  <c r="J52" i="5"/>
  <c r="J89" i="3"/>
  <c r="J717" i="2"/>
  <c r="J284" i="2"/>
  <c r="J618" i="2"/>
  <c r="J221" i="2"/>
  <c r="J906" i="2"/>
  <c r="J611" i="2"/>
  <c r="J686" i="2"/>
  <c r="J164" i="2"/>
  <c r="J495" i="2"/>
  <c r="J89" i="2"/>
  <c r="J703" i="2"/>
  <c r="J704" i="2"/>
  <c r="J49" i="5"/>
  <c r="J499" i="2"/>
  <c r="J289" i="2"/>
  <c r="J581" i="2"/>
  <c r="J39" i="3"/>
  <c r="J262" i="2"/>
  <c r="J403" i="2"/>
  <c r="J335" i="2"/>
  <c r="J418" i="2"/>
  <c r="J924" i="2"/>
  <c r="J152" i="2"/>
  <c r="J112" i="2"/>
  <c r="J177" i="2"/>
  <c r="J831" i="2"/>
  <c r="J685" i="2"/>
  <c r="J71" i="3"/>
  <c r="J884" i="2"/>
  <c r="J890" i="2"/>
  <c r="J913" i="2"/>
  <c r="J43" i="3"/>
  <c r="J66" i="3"/>
  <c r="J424" i="2"/>
  <c r="J150" i="2"/>
  <c r="J911" i="2"/>
  <c r="J322" i="2"/>
  <c r="J540" i="2"/>
  <c r="J522" i="2"/>
  <c r="J740" i="2"/>
  <c r="J32" i="2"/>
  <c r="J617" i="2"/>
  <c r="J55" i="2"/>
  <c r="J227" i="2"/>
  <c r="J60" i="3"/>
  <c r="J889" i="2"/>
  <c r="J40" i="5"/>
  <c r="J228" i="2"/>
  <c r="J43" i="2"/>
  <c r="J360" i="2"/>
  <c r="J729" i="2"/>
  <c r="J659" i="2"/>
  <c r="J39" i="2"/>
  <c r="J839" i="2"/>
  <c r="J396" i="2"/>
  <c r="J40" i="3"/>
  <c r="J840" i="2"/>
  <c r="J728" i="2"/>
  <c r="J539" i="2"/>
  <c r="J282" i="2"/>
  <c r="J903" i="2"/>
  <c r="J11" i="3"/>
  <c r="J37" i="3"/>
  <c r="J441" i="2"/>
  <c r="J357" i="2"/>
  <c r="J145" i="2"/>
  <c r="J386" i="2"/>
  <c r="J213" i="2"/>
  <c r="J57" i="2"/>
  <c r="J185" i="2"/>
  <c r="J349" i="2"/>
  <c r="J241" i="2"/>
  <c r="J586" i="2"/>
  <c r="J44" i="3"/>
  <c r="J663" i="2"/>
  <c r="J778" i="2"/>
  <c r="J526" i="2"/>
  <c r="J60" i="2"/>
  <c r="J853" i="2"/>
  <c r="J938" i="2"/>
  <c r="J6" i="4"/>
  <c r="J619" i="2"/>
  <c r="J712" i="2"/>
  <c r="J631" i="2"/>
  <c r="J854" i="2"/>
  <c r="J63" i="3"/>
  <c r="J765" i="2"/>
  <c r="J633" i="2"/>
  <c r="J543" i="2"/>
  <c r="J78" i="3"/>
  <c r="J655" i="2"/>
  <c r="J53" i="5"/>
  <c r="J569" i="2"/>
  <c r="J916" i="2"/>
  <c r="J791" i="2"/>
  <c r="J362" i="2"/>
  <c r="J795" i="2"/>
  <c r="J431" i="2"/>
  <c r="J879" i="2"/>
  <c r="J81" i="3"/>
  <c r="J742" i="2"/>
  <c r="J867" i="2"/>
  <c r="J373" i="2"/>
  <c r="J868" i="2"/>
  <c r="J457" i="2"/>
  <c r="J436" i="2"/>
  <c r="J460" i="2"/>
  <c r="J270" i="2"/>
  <c r="J208" i="2"/>
  <c r="J453" i="2"/>
  <c r="J772" i="2"/>
  <c r="J50" i="2"/>
  <c r="J406" i="2"/>
  <c r="J588" i="2"/>
  <c r="J444" i="2"/>
  <c r="J514" i="2"/>
  <c r="J652" i="2"/>
  <c r="J52" i="2"/>
  <c r="J880" i="2"/>
  <c r="J584" i="2"/>
  <c r="J747" i="2"/>
  <c r="J904" i="2"/>
  <c r="J310" i="2"/>
  <c r="J943" i="2"/>
  <c r="J573" i="2"/>
  <c r="J61" i="3"/>
  <c r="J45" i="5"/>
  <c r="J182" i="2"/>
  <c r="J458" i="2"/>
  <c r="J15" i="3"/>
  <c r="J137" i="2"/>
  <c r="J131" i="2"/>
  <c r="J589" i="2"/>
  <c r="J794" i="2"/>
  <c r="J64" i="3"/>
  <c r="J779" i="2"/>
  <c r="J16" i="2"/>
  <c r="J720" i="2"/>
  <c r="J877" i="2"/>
  <c r="J493" i="2"/>
  <c r="J796" i="2"/>
  <c r="J571" i="2"/>
  <c r="J936" i="2"/>
  <c r="J799" i="2"/>
  <c r="J48" i="3"/>
  <c r="J229" i="2"/>
  <c r="J18" i="3"/>
  <c r="J94" i="2"/>
  <c r="J68" i="3"/>
  <c r="J283" i="2"/>
  <c r="J47" i="3"/>
  <c r="J442" i="2"/>
  <c r="J307" i="2"/>
  <c r="J187" i="2"/>
  <c r="J563" i="2"/>
  <c r="J718" i="2"/>
  <c r="J53" i="3"/>
  <c r="J726" i="2"/>
  <c r="J789" i="2"/>
  <c r="J620" i="2"/>
  <c r="J505" i="2"/>
  <c r="J437" i="2"/>
  <c r="J136" i="2"/>
  <c r="J711" i="2"/>
  <c r="J87" i="3"/>
  <c r="J430" i="2"/>
  <c r="J330" i="2"/>
  <c r="J321" i="2"/>
  <c r="J637" i="2"/>
  <c r="J269" i="2"/>
  <c r="J737" i="2"/>
  <c r="J661" i="2"/>
  <c r="J170" i="2"/>
  <c r="J371" i="2"/>
  <c r="J773" i="2"/>
  <c r="J193" i="2"/>
  <c r="J408" i="2"/>
  <c r="J562" i="2"/>
  <c r="J376" i="2"/>
  <c r="J521" i="2"/>
  <c r="J102" i="2"/>
  <c r="J298" i="2"/>
  <c r="J531" i="2"/>
  <c r="J701" i="2"/>
  <c r="J107" i="2"/>
  <c r="J339" i="2"/>
  <c r="J545" i="2"/>
  <c r="J374" i="2"/>
  <c r="J901" i="2"/>
  <c r="J807" i="2"/>
  <c r="J902" i="2"/>
  <c r="J178" i="2"/>
  <c r="J54" i="3"/>
  <c r="J422" i="2"/>
  <c r="J776" i="2"/>
  <c r="J640" i="2"/>
  <c r="J688" i="2"/>
  <c r="J31" i="3"/>
  <c r="J303" i="2"/>
  <c r="J622" i="2"/>
  <c r="J71" i="2"/>
  <c r="J909" i="2"/>
  <c r="J51" i="3"/>
  <c r="J47" i="5"/>
  <c r="J47" i="2"/>
  <c r="J118" i="2"/>
  <c r="J727" i="2"/>
  <c r="J583" i="2"/>
  <c r="J36" i="5"/>
  <c r="J870" i="2"/>
  <c r="J8" i="4"/>
  <c r="J850" i="2"/>
  <c r="J44" i="5"/>
  <c r="J243" i="2"/>
  <c r="J657" i="2"/>
  <c r="J80" i="3"/>
  <c r="J188" i="2"/>
  <c r="J76" i="3"/>
  <c r="J95" i="2"/>
  <c r="J345" i="2"/>
  <c r="J466" i="2"/>
  <c r="J855" i="2"/>
  <c r="J667" i="2"/>
  <c r="J256" i="2"/>
  <c r="J491" i="2"/>
  <c r="J38" i="3"/>
  <c r="J677" i="2"/>
  <c r="J99" i="2"/>
  <c r="J548" i="2"/>
  <c r="J541" i="2"/>
  <c r="J54" i="2"/>
  <c r="J38" i="2"/>
  <c r="J574" i="2"/>
  <c r="J670" i="2"/>
  <c r="J7" i="4"/>
  <c r="J157" i="2"/>
  <c r="J546" i="2"/>
  <c r="J644" i="2"/>
  <c r="J45" i="2"/>
  <c r="J580" i="2"/>
  <c r="J481" i="2"/>
  <c r="J19" i="3"/>
  <c r="J598" i="2"/>
  <c r="J547" i="2"/>
  <c r="J90" i="2"/>
  <c r="J52" i="3"/>
  <c r="J217" i="2"/>
  <c r="J83" i="3"/>
  <c r="J72" i="2"/>
  <c r="J17" i="2"/>
  <c r="J56" i="5"/>
  <c r="J354" i="2"/>
  <c r="J819" i="2"/>
  <c r="J756" i="2"/>
  <c r="J240" i="2"/>
  <c r="J496" i="2"/>
  <c r="J175" i="2"/>
  <c r="J277" i="2"/>
  <c r="J446" i="2"/>
  <c r="J286" i="2"/>
  <c r="J814" i="2"/>
  <c r="J370" i="2"/>
  <c r="J575" i="2"/>
  <c r="J600" i="2"/>
  <c r="J803" i="2"/>
  <c r="J623" i="2"/>
  <c r="J37" i="2"/>
  <c r="J846" i="2"/>
  <c r="J439" i="2"/>
  <c r="J473" i="2"/>
  <c r="J132" i="2"/>
  <c r="J627" i="2"/>
  <c r="J674" i="2"/>
  <c r="J566" i="2"/>
  <c r="J435" i="2"/>
  <c r="J648" i="2"/>
  <c r="J285" i="2"/>
  <c r="J503" i="2"/>
  <c r="J871" i="2"/>
  <c r="J257" i="2"/>
  <c r="J140" i="2"/>
  <c r="J67" i="2"/>
  <c r="J48" i="2"/>
  <c r="J65" i="2"/>
  <c r="J592" i="2"/>
  <c r="J21" i="3"/>
  <c r="J214" i="2"/>
  <c r="J309" i="2"/>
  <c r="J273" i="2"/>
  <c r="J318" i="2"/>
  <c r="J694" i="2"/>
  <c r="J44" i="2"/>
  <c r="J383" i="2"/>
  <c r="J169" i="2"/>
  <c r="J488" i="2"/>
  <c r="J782" i="2"/>
  <c r="J350" i="2"/>
  <c r="J781" i="2"/>
  <c r="J409" i="2"/>
  <c r="J159" i="2"/>
  <c r="J263" i="2"/>
  <c r="J299" i="2"/>
  <c r="J261" i="2"/>
  <c r="J276" i="2"/>
  <c r="J568" i="2"/>
  <c r="J97" i="2"/>
  <c r="J155" i="2"/>
  <c r="J398" i="2"/>
  <c r="J364" i="2"/>
  <c r="J331" i="2"/>
  <c r="J533" i="2"/>
  <c r="J109" i="2"/>
  <c r="J196" i="2"/>
  <c r="J492" i="2"/>
  <c r="J465" i="2"/>
  <c r="J346" i="2"/>
  <c r="J14" i="3"/>
  <c r="J918" i="2"/>
  <c r="J6" i="3"/>
  <c r="J266" i="2"/>
  <c r="J862" i="2"/>
  <c r="J603" i="2"/>
  <c r="J300" i="2"/>
  <c r="J189" i="2"/>
  <c r="J37" i="5"/>
  <c r="J523" i="2"/>
  <c r="J926" i="2"/>
  <c r="J342" i="2"/>
  <c r="J475" i="2"/>
  <c r="J780" i="2"/>
  <c r="J105" i="2"/>
  <c r="J842" i="2"/>
  <c r="J313" i="2"/>
  <c r="J156" i="2"/>
  <c r="J76" i="2"/>
  <c r="J858" i="2"/>
  <c r="J549" i="2"/>
  <c r="J454" i="2"/>
  <c r="J477" i="2"/>
  <c r="J459" i="2"/>
  <c r="J12" i="2"/>
  <c r="J314" i="2"/>
  <c r="J103" i="2"/>
  <c r="J448" i="2"/>
  <c r="J9" i="4"/>
  <c r="J537" i="2"/>
  <c r="J198" i="2"/>
  <c r="J708" i="2"/>
  <c r="J353" i="2"/>
  <c r="J596" i="2"/>
  <c r="J31" i="2"/>
  <c r="J160" i="2"/>
  <c r="J237" i="2"/>
  <c r="J656" i="2"/>
  <c r="J497" i="2"/>
  <c r="J200" i="2"/>
  <c r="J114" i="2"/>
  <c r="J211" i="2"/>
  <c r="J516" i="2"/>
  <c r="J201" i="2"/>
  <c r="J797" i="2"/>
  <c r="J535" i="2"/>
  <c r="J46" i="5"/>
  <c r="J599" i="2"/>
  <c r="J624" i="2"/>
  <c r="J576" i="2"/>
  <c r="J36" i="3"/>
  <c r="J771" i="2"/>
  <c r="J801" i="2"/>
  <c r="J678" i="2"/>
  <c r="J8" i="3"/>
  <c r="J835" i="2"/>
  <c r="J147" i="2"/>
  <c r="J894" i="2"/>
  <c r="J347" i="2"/>
  <c r="J930" i="2"/>
  <c r="J302" i="2"/>
  <c r="J194" i="2"/>
  <c r="J219" i="2"/>
  <c r="J13" i="2"/>
  <c r="J244" i="2"/>
  <c r="J405" i="2"/>
  <c r="J932" i="2"/>
  <c r="J305" i="2"/>
  <c r="J679" i="2"/>
  <c r="J478" i="2"/>
  <c r="J518" i="2"/>
  <c r="J101" i="2"/>
  <c r="J139" i="2"/>
  <c r="J72" i="3"/>
  <c r="J555" i="2"/>
  <c r="J165" i="2"/>
  <c r="J407" i="2"/>
  <c r="J630" i="2"/>
  <c r="J41" i="3"/>
  <c r="J817" i="2"/>
  <c r="J119" i="2"/>
  <c r="J174" i="2"/>
  <c r="J615" i="2"/>
  <c r="J467" i="2"/>
  <c r="J319" i="2"/>
  <c r="J606" i="2"/>
  <c r="J166" i="2"/>
  <c r="J832" i="2"/>
  <c r="J7" i="2"/>
  <c r="J542" i="2"/>
  <c r="J110" i="2"/>
  <c r="J161" i="2"/>
  <c r="J585" i="2"/>
  <c r="J683" i="2"/>
  <c r="J378" i="2"/>
  <c r="J833" i="2"/>
  <c r="J612" i="2"/>
  <c r="J40" i="2"/>
  <c r="J48" i="5"/>
  <c r="J49" i="3"/>
  <c r="J218" i="2"/>
  <c r="J929" i="2"/>
  <c r="J859" i="2"/>
  <c r="J56" i="3"/>
  <c r="J85" i="2"/>
  <c r="J915" i="2"/>
  <c r="J117" i="2"/>
  <c r="J792" i="2"/>
  <c r="J192" i="2"/>
  <c r="J841" i="2"/>
  <c r="J325" i="2"/>
  <c r="J684" i="2"/>
  <c r="J389" i="2"/>
  <c r="J700" i="2"/>
  <c r="J238" i="2"/>
  <c r="J626" i="2"/>
  <c r="J876" i="2"/>
  <c r="J707" i="2"/>
  <c r="J723" i="2"/>
  <c r="J53" i="2"/>
  <c r="J900" i="2"/>
  <c r="J809" i="2"/>
  <c r="J24" i="2"/>
  <c r="J233" i="2"/>
  <c r="J387" i="2"/>
  <c r="J104" i="2"/>
  <c r="J844" i="2"/>
  <c r="J75" i="3"/>
  <c r="J106" i="2"/>
  <c r="J79" i="2"/>
  <c r="J927" i="2"/>
  <c r="J180" i="2"/>
  <c r="J415" i="2"/>
  <c r="J863" i="2"/>
  <c r="J338" i="2"/>
  <c r="J33" i="2"/>
  <c r="J579" i="2"/>
  <c r="J528" i="2"/>
  <c r="J777" i="2"/>
  <c r="J669" i="2"/>
  <c r="J121" i="2"/>
  <c r="J368" i="2"/>
  <c r="J45" i="3"/>
  <c r="J452" i="2"/>
  <c r="J204" i="2"/>
  <c r="J641" i="2"/>
  <c r="J272" i="2"/>
  <c r="J308" i="2"/>
  <c r="J502" i="2"/>
  <c r="J63" i="2"/>
  <c r="J351" i="2"/>
  <c r="J552" i="2"/>
  <c r="J369" i="2"/>
  <c r="J163" i="2"/>
  <c r="J544" i="2"/>
  <c r="J643" i="2"/>
  <c r="J554" i="2"/>
  <c r="J25" i="3"/>
  <c r="J333" i="2"/>
  <c r="J602" i="2"/>
  <c r="J660" i="2"/>
  <c r="J888" i="2"/>
  <c r="J741" i="2"/>
  <c r="J479" i="2"/>
  <c r="J274" i="2"/>
  <c r="J6" i="2"/>
  <c r="J933" i="2"/>
  <c r="J928" i="2"/>
  <c r="J498" i="2"/>
  <c r="J90" i="3"/>
  <c r="J329" i="2"/>
  <c r="J50" i="3"/>
  <c r="J25" i="2"/>
  <c r="J461" i="2"/>
  <c r="J489" i="2"/>
  <c r="J767" i="2"/>
  <c r="J50" i="5"/>
  <c r="J304" i="2"/>
  <c r="J806" i="2"/>
  <c r="J942" i="2"/>
  <c r="J128" i="2"/>
  <c r="J808" i="2"/>
  <c r="J66" i="2"/>
  <c r="J18" i="2"/>
  <c r="J122" i="2"/>
  <c r="J882" i="2"/>
  <c r="J899" i="2"/>
  <c r="J130" i="2"/>
  <c r="J487" i="2"/>
  <c r="J470" i="2"/>
  <c r="J577" i="2"/>
  <c r="J474" i="2"/>
  <c r="J463" i="2"/>
  <c r="J695" i="2"/>
  <c r="J609" i="2"/>
  <c r="J199" i="2"/>
  <c r="J58" i="5"/>
  <c r="J713" i="2"/>
  <c r="J417" i="2"/>
  <c r="J705" i="2"/>
  <c r="J30" i="2"/>
  <c r="J51" i="5"/>
  <c r="J886" i="2"/>
  <c r="J125" i="2"/>
  <c r="J58" i="2"/>
  <c r="J323" i="2"/>
  <c r="J220" i="2"/>
  <c r="J83" i="2"/>
  <c r="J344" i="2"/>
  <c r="J68" i="2"/>
  <c r="J413" i="2"/>
  <c r="J21" i="2"/>
  <c r="J443" i="2"/>
  <c r="J834" i="2"/>
  <c r="J529" i="2"/>
  <c r="J931" i="2"/>
  <c r="J10" i="2"/>
  <c r="J96" i="2"/>
  <c r="J375" i="2"/>
  <c r="J837" i="2"/>
  <c r="J416" i="2"/>
  <c r="J35" i="3"/>
  <c r="J786" i="2"/>
  <c r="J144" i="2"/>
  <c r="J593" i="2"/>
  <c r="J750" i="2"/>
  <c r="J828" i="2"/>
  <c r="J172" i="2"/>
  <c r="J249" i="2"/>
  <c r="J605" i="2"/>
  <c r="J534" i="2"/>
  <c r="J830" i="2"/>
  <c r="J910" i="2"/>
  <c r="J527" i="2"/>
  <c r="J445" i="2"/>
  <c r="J324" i="2"/>
  <c r="J706" i="2"/>
  <c r="J508" i="2"/>
  <c r="J10" i="3"/>
  <c r="J341" i="2"/>
  <c r="J143" i="2"/>
  <c r="J258" i="2"/>
  <c r="J356" i="2"/>
  <c r="J722" i="2"/>
  <c r="J236" i="2"/>
  <c r="J635" i="2"/>
  <c r="J275" i="2"/>
  <c r="J762" i="2"/>
  <c r="J647" i="2"/>
  <c r="J77" i="2"/>
  <c r="J65" i="3"/>
  <c r="J292" i="2"/>
  <c r="J420" i="2"/>
  <c r="J668" i="2"/>
  <c r="J748" i="2"/>
  <c r="J770" i="2"/>
  <c r="J812" i="2"/>
  <c r="J896" i="2"/>
  <c r="J582" i="2"/>
  <c r="J847" i="2"/>
  <c r="J392" i="2"/>
  <c r="J486" i="2"/>
  <c r="J462" i="2"/>
  <c r="J186" i="2"/>
  <c r="J46" i="2"/>
  <c r="J764" i="2"/>
  <c r="J56" i="2"/>
  <c r="J359" i="2"/>
  <c r="J51" i="2"/>
  <c r="J295" i="2"/>
  <c r="J570" i="2"/>
  <c r="J395" i="2"/>
  <c r="J293" i="2"/>
  <c r="J55" i="3"/>
  <c r="J753" i="2"/>
  <c r="J675" i="2"/>
  <c r="J290" i="2"/>
  <c r="J864" i="2"/>
  <c r="J676" i="2"/>
  <c r="J578" i="2"/>
  <c r="J394" i="2"/>
  <c r="J709" i="2"/>
  <c r="J80" i="2"/>
  <c r="J411" i="2"/>
  <c r="J587" i="2"/>
  <c r="J621" i="2"/>
  <c r="J64" i="2"/>
  <c r="J222" i="2"/>
  <c r="J749" i="2"/>
  <c r="J380" i="2"/>
  <c r="J419" i="2"/>
  <c r="J743" i="2"/>
  <c r="J36" i="2"/>
  <c r="J775" i="2"/>
  <c r="J141" i="2"/>
  <c r="J895" i="2"/>
  <c r="J20" i="2"/>
  <c r="J202" i="2"/>
  <c r="J91" i="2"/>
  <c r="J260" i="2"/>
  <c r="J28" i="2"/>
  <c r="J412" i="2"/>
  <c r="J245" i="2"/>
  <c r="J739" i="2"/>
  <c r="J671" i="2"/>
  <c r="J176" i="2"/>
  <c r="J337" i="2"/>
  <c r="J766" i="2"/>
  <c r="J235" i="2"/>
  <c r="J845" i="2"/>
  <c r="J485" i="2"/>
  <c r="J591" i="2"/>
  <c r="J17" i="3"/>
  <c r="J613" i="2"/>
  <c r="J784" i="2"/>
  <c r="J59" i="2"/>
  <c r="J484" i="2"/>
  <c r="J757" i="2"/>
  <c r="J914" i="2"/>
  <c r="J744" i="2"/>
  <c r="J642" i="2"/>
  <c r="J662" i="2"/>
  <c r="J212" i="2"/>
  <c r="J865" i="2"/>
  <c r="J34" i="5"/>
  <c r="J745" i="2"/>
  <c r="J559" i="2"/>
  <c r="J328" i="2"/>
  <c r="J116" i="2"/>
  <c r="J939" i="2"/>
  <c r="J301" i="2"/>
  <c r="J856" i="2"/>
  <c r="J279" i="2"/>
  <c r="J438" i="2"/>
  <c r="J297" i="2"/>
  <c r="J340" i="2"/>
  <c r="J920" i="2"/>
  <c r="J471" i="2"/>
  <c r="J158" i="2"/>
  <c r="J43" i="5"/>
  <c r="J594" i="2"/>
  <c r="J768" i="2"/>
  <c r="J815" i="2"/>
  <c r="J625" i="2"/>
  <c r="J61" i="2"/>
  <c r="J721" i="2"/>
  <c r="J464" i="2"/>
  <c r="J146" i="2"/>
  <c r="J149" i="2"/>
  <c r="J234" i="2"/>
  <c r="J672" i="2"/>
  <c r="J400" i="2"/>
  <c r="J698" i="2"/>
  <c r="J366" i="2"/>
  <c r="J567" i="2"/>
  <c r="J696" i="2"/>
  <c r="J367" i="2"/>
  <c r="J365" i="2"/>
  <c r="J838" i="2"/>
  <c r="J849" i="2"/>
  <c r="J317" i="2"/>
  <c r="J666" i="2"/>
  <c r="J494" i="2"/>
  <c r="J897" i="2"/>
  <c r="J646" i="2"/>
  <c r="J27" i="3"/>
  <c r="J28" i="3"/>
  <c r="J687" i="2"/>
  <c r="J731" i="2"/>
  <c r="J912" i="2"/>
  <c r="J843" i="2"/>
  <c r="J34" i="3"/>
  <c r="J179" i="2"/>
  <c r="J306" i="2"/>
  <c r="J54" i="5"/>
  <c r="J827" i="2"/>
  <c r="J86" i="3"/>
  <c r="J265" i="2"/>
  <c r="J919" i="2"/>
  <c r="J922" i="2"/>
  <c r="J517" i="2"/>
  <c r="J232" i="2"/>
  <c r="J590" i="2"/>
  <c r="J225" i="2"/>
  <c r="J111" i="2"/>
  <c r="J758" i="2"/>
  <c r="J401" i="2"/>
  <c r="J860" i="2"/>
  <c r="J428" i="2"/>
  <c r="J384" i="2"/>
  <c r="J941" i="2"/>
  <c r="J84" i="2"/>
  <c r="J209" i="2"/>
  <c r="J813" i="2"/>
  <c r="J848" i="2"/>
  <c r="J291" i="2"/>
  <c r="J27" i="2"/>
  <c r="J714" i="2"/>
  <c r="J734" i="2"/>
  <c r="J654" i="2"/>
  <c r="J23" i="3"/>
  <c r="J79" i="3"/>
  <c r="J565" i="2"/>
  <c r="J35" i="5"/>
  <c r="J67" i="3"/>
  <c r="J872" i="2"/>
  <c r="J271" i="2"/>
  <c r="J447" i="2"/>
  <c r="J490" i="2"/>
  <c r="J332" i="2"/>
  <c r="J513" i="2"/>
  <c r="J311" i="2"/>
  <c r="J636" i="2"/>
  <c r="J632" i="2"/>
  <c r="J246" i="2"/>
  <c r="J423" i="2"/>
  <c r="J294" i="2"/>
  <c r="J108" i="2"/>
  <c r="J515" i="2"/>
  <c r="J32" i="3"/>
  <c r="J538" i="2"/>
  <c r="J92" i="2"/>
  <c r="J664" i="2"/>
  <c r="J760" i="2"/>
  <c r="J869" i="2"/>
  <c r="J524" i="2"/>
  <c r="J892" i="2"/>
  <c r="J151" i="2"/>
  <c r="J893" i="2"/>
  <c r="J138" i="2"/>
  <c r="J372" i="2"/>
  <c r="J414" i="2"/>
  <c r="J507" i="2"/>
  <c r="J388" i="2"/>
  <c r="J62" i="3"/>
  <c r="J940" i="2"/>
  <c r="J55" i="5"/>
  <c r="J530" i="2"/>
  <c r="J944" i="2"/>
  <c r="J650" i="2"/>
  <c r="J810" i="2"/>
  <c r="J259" i="2"/>
  <c r="J752" i="2"/>
  <c r="J816" i="2"/>
  <c r="J35" i="2"/>
  <c r="J77" i="3"/>
  <c r="J41" i="5"/>
  <c r="J154" i="2"/>
  <c r="J774" i="2"/>
  <c r="J280" i="2"/>
  <c r="J798" i="2"/>
  <c r="J129" i="2"/>
  <c r="J9" i="2"/>
  <c r="J397" i="2"/>
  <c r="J124" i="2"/>
  <c r="J725" i="2"/>
  <c r="J434" i="2"/>
  <c r="J327" i="2"/>
  <c r="J59" i="3"/>
  <c r="J553" i="2"/>
  <c r="J608" i="2"/>
  <c r="J127" i="2"/>
  <c r="J120" i="2"/>
  <c r="J716" i="2"/>
  <c r="J70" i="3"/>
  <c r="J907" i="2"/>
  <c r="J195" i="2"/>
  <c r="J23" i="2"/>
  <c r="J29" i="2"/>
  <c r="J597" i="2"/>
  <c r="J29" i="3"/>
  <c r="J173" i="2"/>
  <c r="J425" i="2"/>
  <c r="J348" i="2"/>
  <c r="J551" i="2"/>
  <c r="J75" i="2"/>
  <c r="J239" i="2"/>
  <c r="J281" i="2"/>
  <c r="J385" i="2"/>
  <c r="J905" i="2"/>
  <c r="J11" i="2"/>
  <c r="J13" i="3"/>
  <c r="J57" i="5"/>
  <c r="J84" i="3"/>
  <c r="J70" i="2"/>
  <c r="J433" i="2"/>
  <c r="J288" i="2"/>
  <c r="J190" i="2"/>
  <c r="J560" i="2"/>
  <c r="J316" i="2"/>
  <c r="J519" i="2"/>
  <c r="J393" i="2"/>
  <c r="J22" i="3"/>
  <c r="J804" i="2"/>
  <c r="J410" i="2"/>
  <c r="J247" i="2"/>
  <c r="J5" i="4"/>
  <c r="J751" i="2"/>
  <c r="J148" i="2"/>
  <c r="J898" i="2"/>
  <c r="J689" i="2"/>
  <c r="J426" i="2"/>
  <c r="J665" i="2"/>
  <c r="J793" i="2"/>
  <c r="J935" i="2"/>
  <c r="J558" i="2"/>
  <c r="J536" i="2"/>
  <c r="J825" i="2"/>
  <c r="J692" i="2"/>
  <c r="J564" i="2"/>
  <c r="J404" i="2"/>
  <c r="J231" i="2"/>
  <c r="J42" i="3"/>
  <c r="J16" i="3"/>
  <c r="J264" i="2"/>
  <c r="J852" i="2"/>
  <c r="J802" i="2"/>
  <c r="J885" i="2"/>
  <c r="J690" i="2"/>
  <c r="J133" i="2"/>
  <c r="J184" i="2"/>
  <c r="J724" i="2"/>
  <c r="J254" i="2"/>
  <c r="J873" i="2"/>
  <c r="J46" i="3"/>
  <c r="J455" i="2"/>
  <c r="J881" i="2"/>
  <c r="J874" i="2"/>
  <c r="J326" i="2"/>
  <c r="J315" i="2"/>
  <c r="J614" i="2"/>
  <c r="J699" i="2"/>
  <c r="J216" i="2"/>
  <c r="J510" i="2"/>
  <c r="J30" i="3"/>
  <c r="J829" i="2"/>
  <c r="J861" i="2"/>
  <c r="J205" i="2"/>
  <c r="J167" i="2"/>
  <c r="J100" i="2"/>
  <c r="J402" i="2"/>
  <c r="J5" i="2"/>
  <c r="J851" i="2"/>
  <c r="J74" i="3"/>
  <c r="J390" i="2"/>
  <c r="J732" i="2"/>
  <c r="J379" i="2"/>
  <c r="J252" i="2"/>
  <c r="J451" i="2"/>
  <c r="J761" i="2"/>
  <c r="J86" i="2"/>
  <c r="J511" i="2"/>
  <c r="J427" i="2"/>
  <c r="J20" i="3"/>
  <c r="J500" i="2"/>
  <c r="J682" i="2"/>
  <c r="J921" i="2"/>
  <c r="J432" i="2"/>
  <c r="J223" i="2"/>
  <c r="J42" i="2"/>
  <c r="J352" i="2"/>
  <c r="J429" i="2"/>
  <c r="J224" i="2"/>
  <c r="J504" i="2"/>
  <c r="J153" i="2"/>
  <c r="J226" i="2"/>
  <c r="J702" i="2"/>
  <c r="J561" i="2"/>
  <c r="J22" i="2"/>
  <c r="J759" i="2"/>
  <c r="J878" i="2"/>
  <c r="J697" i="2"/>
  <c r="J800" i="2"/>
  <c r="J653" i="2"/>
  <c r="J33" i="5"/>
  <c r="J556" i="2"/>
  <c r="J456" i="2"/>
  <c r="J572" i="2"/>
  <c r="J267" i="2"/>
  <c r="J98" i="2"/>
  <c r="J680" i="2"/>
  <c r="J468" i="2"/>
  <c r="J287" i="2"/>
  <c r="J134" i="2"/>
  <c r="J377" i="2"/>
  <c r="J203" i="2"/>
  <c r="J215" i="2"/>
  <c r="J8" i="2"/>
  <c r="J183" i="2"/>
  <c r="J730" i="2"/>
  <c r="J197" i="2"/>
  <c r="J483" i="2"/>
  <c r="J673" i="2"/>
  <c r="J691" i="2"/>
  <c r="J206" i="2"/>
  <c r="J320" i="2"/>
  <c r="J62" i="2"/>
  <c r="J616" i="2"/>
  <c r="J472" i="2"/>
  <c r="J34" i="2"/>
  <c r="J658" i="2"/>
  <c r="J278" i="2"/>
  <c r="J268" i="2"/>
  <c r="J476" i="2"/>
  <c r="J207" i="2"/>
  <c r="J391" i="2"/>
  <c r="J763" i="2"/>
  <c r="J73" i="3"/>
  <c r="J450" i="2"/>
  <c r="J482" i="2"/>
  <c r="J785" i="2"/>
  <c r="J645" i="2"/>
  <c r="K188" i="13"/>
  <c r="J188" i="13"/>
  <c r="H917" i="15"/>
  <c r="H909" i="15" s="1"/>
  <c r="G909" i="15"/>
  <c r="E479" i="1" s="1"/>
  <c r="F479" i="1" s="1"/>
  <c r="I909" i="15" s="1"/>
  <c r="G544" i="11"/>
  <c r="E177" i="1" s="1"/>
  <c r="F177" i="1" s="1"/>
  <c r="I544" i="11" s="1"/>
  <c r="H546" i="11"/>
  <c r="H544" i="11" s="1"/>
  <c r="H449" i="8"/>
  <c r="H441" i="8" s="1"/>
  <c r="G441" i="8"/>
  <c r="E27" i="1" s="1"/>
  <c r="F27" i="1" s="1"/>
  <c r="I441" i="8" s="1"/>
  <c r="H872" i="11"/>
  <c r="H864" i="11" s="1"/>
  <c r="G864" i="11"/>
  <c r="E193" i="1" s="1"/>
  <c r="F193" i="1" s="1"/>
  <c r="I864" i="11" s="1"/>
  <c r="G725" i="24"/>
  <c r="E809" i="1" s="1"/>
  <c r="F809" i="1" s="1"/>
  <c r="I725" i="24" s="1"/>
  <c r="H733" i="24"/>
  <c r="H725" i="24" s="1"/>
  <c r="H369" i="8"/>
  <c r="H361" i="8" s="1"/>
  <c r="G361" i="8"/>
  <c r="E23" i="1" s="1"/>
  <c r="F23" i="1" s="1"/>
  <c r="I361" i="8" s="1"/>
  <c r="H791" i="26"/>
  <c r="H783" i="26" s="1"/>
  <c r="G783" i="26"/>
  <c r="E896" i="1" s="1"/>
  <c r="F896" i="1" s="1"/>
  <c r="I783" i="26" s="1"/>
  <c r="H356" i="13"/>
  <c r="H348" i="13" s="1"/>
  <c r="G348" i="13"/>
  <c r="E312" i="1" s="1"/>
  <c r="F312" i="1" s="1"/>
  <c r="I348" i="13" s="1"/>
  <c r="H1703" i="16"/>
  <c r="H1695" i="16" s="1"/>
  <c r="G1695" i="16"/>
  <c r="E626" i="1" s="1"/>
  <c r="F626" i="1" s="1"/>
  <c r="I1695" i="16" s="1"/>
  <c r="H452" i="21"/>
  <c r="H444" i="21" s="1"/>
  <c r="G444" i="21"/>
  <c r="E702" i="1" s="1"/>
  <c r="F702" i="1" s="1"/>
  <c r="I444" i="21" s="1"/>
  <c r="H997" i="15"/>
  <c r="H989" i="15" s="1"/>
  <c r="G989" i="15"/>
  <c r="E483" i="1" s="1"/>
  <c r="F483" i="1" s="1"/>
  <c r="H409" i="8"/>
  <c r="H401" i="8" s="1"/>
  <c r="G401" i="8"/>
  <c r="E25" i="1" s="1"/>
  <c r="F25" i="1" s="1"/>
  <c r="I401" i="8" s="1"/>
  <c r="H416" i="32"/>
  <c r="H408" i="32" s="1"/>
  <c r="G408" i="32"/>
  <c r="E1145" i="1" s="1"/>
  <c r="F1145" i="1" s="1"/>
  <c r="I408" i="32" s="1"/>
  <c r="J634" i="2"/>
  <c r="H466" i="11"/>
  <c r="G464" i="11"/>
  <c r="E173" i="1" s="1"/>
  <c r="F173" i="1" s="1"/>
  <c r="I464" i="11" s="1"/>
  <c r="H1203" i="16"/>
  <c r="H1195" i="16" s="1"/>
  <c r="G1195" i="16"/>
  <c r="E601" i="1" s="1"/>
  <c r="F601" i="1" s="1"/>
  <c r="I1195" i="16" s="1"/>
  <c r="L633" i="2"/>
  <c r="L9" i="2"/>
  <c r="L349" i="2"/>
  <c r="L712" i="2"/>
  <c r="L513" i="2"/>
  <c r="L44" i="3"/>
  <c r="L36" i="2"/>
  <c r="L638" i="2"/>
  <c r="L416" i="2"/>
  <c r="L790" i="2"/>
  <c r="L585" i="2"/>
  <c r="L838" i="2"/>
  <c r="L12" i="3"/>
  <c r="L114" i="2"/>
  <c r="L354" i="2"/>
  <c r="L321" i="2"/>
  <c r="L301" i="2"/>
  <c r="L512" i="2"/>
  <c r="L944" i="2"/>
  <c r="L144" i="2"/>
  <c r="L408" i="2"/>
  <c r="L705" i="2"/>
  <c r="L49" i="2"/>
  <c r="L787" i="2"/>
  <c r="L54" i="3"/>
  <c r="L590" i="2"/>
  <c r="L182" i="2"/>
  <c r="L485" i="2"/>
  <c r="L451" i="2"/>
  <c r="L579" i="2"/>
  <c r="L48" i="5"/>
  <c r="L388" i="2"/>
  <c r="L515" i="2"/>
  <c r="L519" i="2"/>
  <c r="L165" i="2"/>
  <c r="L726" i="2"/>
  <c r="L866" i="2"/>
  <c r="L643" i="2"/>
  <c r="L376" i="2"/>
  <c r="L459" i="2"/>
  <c r="L538" i="2"/>
  <c r="L226" i="2"/>
  <c r="L797" i="2"/>
  <c r="L418" i="2"/>
  <c r="L53" i="3"/>
  <c r="L196" i="2"/>
  <c r="L295" i="2"/>
  <c r="L161" i="2"/>
  <c r="L696" i="2"/>
  <c r="L138" i="2"/>
  <c r="L689" i="2"/>
  <c r="L193" i="2"/>
  <c r="L792" i="2"/>
  <c r="L766" i="2"/>
  <c r="L810" i="2"/>
  <c r="L233" i="2"/>
  <c r="L64" i="3"/>
  <c r="L358" i="2"/>
  <c r="L77" i="2"/>
  <c r="L59" i="2"/>
  <c r="L19" i="2"/>
  <c r="L785" i="2"/>
  <c r="L267" i="2"/>
  <c r="L81" i="3"/>
  <c r="L858" i="2"/>
  <c r="L184" i="2"/>
  <c r="H1648" i="13"/>
  <c r="H1640" i="13" s="1"/>
  <c r="G1640" i="13"/>
  <c r="E376" i="1" s="1"/>
  <c r="F376" i="1" s="1"/>
  <c r="I1640" i="13" s="1"/>
  <c r="H808" i="13"/>
  <c r="H800" i="13" s="1"/>
  <c r="G800" i="13"/>
  <c r="E333" i="1" s="1"/>
  <c r="F333" i="1" s="1"/>
  <c r="I800" i="13" s="1"/>
  <c r="H1154" i="8"/>
  <c r="H1146" i="8" s="1"/>
  <c r="G1146" i="8"/>
  <c r="E63" i="1" s="1"/>
  <c r="F63" i="1" s="1"/>
  <c r="I1146" i="8" s="1"/>
  <c r="H1534" i="8"/>
  <c r="H1526" i="8" s="1"/>
  <c r="G1526" i="8"/>
  <c r="E82" i="1" s="1"/>
  <c r="F82" i="1" s="1"/>
  <c r="I1526" i="8" s="1"/>
  <c r="H931" i="26"/>
  <c r="H923" i="26" s="1"/>
  <c r="G923" i="26"/>
  <c r="E903" i="1" s="1"/>
  <c r="F903" i="1" s="1"/>
  <c r="I923" i="26" s="1"/>
  <c r="H2468" i="13"/>
  <c r="H2460" i="13" s="1"/>
  <c r="G2460" i="13"/>
  <c r="E417" i="1" s="1"/>
  <c r="F417" i="1" s="1"/>
  <c r="I2460" i="13" s="1"/>
  <c r="H1556" i="21"/>
  <c r="H1548" i="21" s="1"/>
  <c r="G1548" i="21"/>
  <c r="E757" i="1" s="1"/>
  <c r="F757" i="1" s="1"/>
  <c r="I1548" i="21" s="1"/>
  <c r="H753" i="24"/>
  <c r="H745" i="24" s="1"/>
  <c r="G745" i="24"/>
  <c r="E810" i="1" s="1"/>
  <c r="F810" i="1" s="1"/>
  <c r="I745" i="24" s="1"/>
  <c r="H617" i="15"/>
  <c r="H609" i="15" s="1"/>
  <c r="G609" i="15"/>
  <c r="E464" i="1" s="1"/>
  <c r="F464" i="1" s="1"/>
  <c r="I609" i="15" s="1"/>
  <c r="H863" i="24"/>
  <c r="H854" i="24" s="1"/>
  <c r="G854" i="24"/>
  <c r="E815" i="1" s="1"/>
  <c r="F815" i="1" s="1"/>
  <c r="I854" i="24" s="1"/>
  <c r="H2135" i="30"/>
  <c r="H2127" i="30" s="1"/>
  <c r="G2127" i="30"/>
  <c r="E1121" i="1" s="1"/>
  <c r="F1121" i="1" s="1"/>
  <c r="I2127" i="30" s="1"/>
  <c r="H828" i="13"/>
  <c r="H820" i="13" s="1"/>
  <c r="G820" i="13"/>
  <c r="E334" i="1" s="1"/>
  <c r="F334" i="1" s="1"/>
  <c r="I820" i="13" s="1"/>
  <c r="H277" i="15"/>
  <c r="H269" i="15" s="1"/>
  <c r="G269" i="15"/>
  <c r="E447" i="1" s="1"/>
  <c r="F447" i="1" s="1"/>
  <c r="I269" i="15" s="1"/>
  <c r="H689" i="8"/>
  <c r="H681" i="8" s="1"/>
  <c r="G681" i="8"/>
  <c r="E39" i="1" s="1"/>
  <c r="F39" i="1" s="1"/>
  <c r="I681" i="8" s="1"/>
  <c r="H1012" i="30"/>
  <c r="H1004" i="30" s="1"/>
  <c r="G1004" i="30"/>
  <c r="E1064" i="1" s="1"/>
  <c r="F1064" i="1" s="1"/>
  <c r="I1004" i="30" s="1"/>
  <c r="K2287" i="11"/>
  <c r="G1757" i="26"/>
  <c r="E945" i="1" s="1"/>
  <c r="F945" i="1" s="1"/>
  <c r="H1765" i="26"/>
  <c r="H1757" i="26" s="1"/>
  <c r="J1464" i="30"/>
  <c r="K1464" i="30"/>
  <c r="H1008" i="13"/>
  <c r="H1000" i="13" s="1"/>
  <c r="G1000" i="13"/>
  <c r="E343" i="1" s="1"/>
  <c r="F343" i="1" s="1"/>
  <c r="I1000" i="13" s="1"/>
  <c r="H412" i="24"/>
  <c r="H404" i="24" s="1"/>
  <c r="G404" i="24"/>
  <c r="E793" i="1" s="1"/>
  <c r="F793" i="1" s="1"/>
  <c r="I404" i="24" s="1"/>
  <c r="H1507" i="11"/>
  <c r="H1505" i="11" s="1"/>
  <c r="G1505" i="11"/>
  <c r="E225" i="1" s="1"/>
  <c r="F225" i="1" s="1"/>
  <c r="I1505" i="11" s="1"/>
  <c r="H947" i="24"/>
  <c r="H939" i="24" s="1"/>
  <c r="G939" i="24"/>
  <c r="E819" i="1" s="1"/>
  <c r="F819" i="1" s="1"/>
  <c r="I939" i="24" s="1"/>
  <c r="G1135" i="21"/>
  <c r="E737" i="1" s="1"/>
  <c r="F737" i="1" s="1"/>
  <c r="I1135" i="21" s="1"/>
  <c r="H1137" i="21"/>
  <c r="H1135" i="21" s="1"/>
  <c r="H1007" i="16"/>
  <c r="H999" i="16" s="1"/>
  <c r="G999" i="16"/>
  <c r="E592" i="1" s="1"/>
  <c r="F592" i="1" s="1"/>
  <c r="I999" i="16" s="1"/>
  <c r="G464" i="30"/>
  <c r="E1037" i="1" s="1"/>
  <c r="F1037" i="1" s="1"/>
  <c r="I464" i="30" s="1"/>
  <c r="H466" i="30"/>
  <c r="H464" i="30" s="1"/>
  <c r="H609" i="8"/>
  <c r="H601" i="8" s="1"/>
  <c r="G601" i="8"/>
  <c r="E35" i="1" s="1"/>
  <c r="F35" i="1" s="1"/>
  <c r="I601" i="8" s="1"/>
  <c r="H1257" i="15"/>
  <c r="H1249" i="15" s="1"/>
  <c r="G1249" i="15"/>
  <c r="E496" i="1" s="1"/>
  <c r="F496" i="1" s="1"/>
  <c r="I1249" i="15" s="1"/>
  <c r="H1051" i="26"/>
  <c r="H1043" i="26" s="1"/>
  <c r="G1043" i="26"/>
  <c r="E909" i="1" s="1"/>
  <c r="F909" i="1" s="1"/>
  <c r="I1043" i="26" s="1"/>
  <c r="H927" i="24"/>
  <c r="H919" i="24" s="1"/>
  <c r="G919" i="24"/>
  <c r="E818" i="1" s="1"/>
  <c r="F818" i="1" s="1"/>
  <c r="I919" i="24" s="1"/>
  <c r="H68" i="11"/>
  <c r="G66" i="11"/>
  <c r="H850" i="8"/>
  <c r="G848" i="8"/>
  <c r="J723" i="26"/>
  <c r="H192" i="24"/>
  <c r="H184" i="24" s="1"/>
  <c r="G184" i="24"/>
  <c r="E782" i="1" s="1"/>
  <c r="F782" i="1" s="1"/>
  <c r="I184" i="24" s="1"/>
  <c r="H97" i="15"/>
  <c r="H89" i="15" s="1"/>
  <c r="G89" i="15"/>
  <c r="E438" i="1" s="1"/>
  <c r="F438" i="1" s="1"/>
  <c r="I89" i="15" s="1"/>
  <c r="L342" i="2"/>
  <c r="H1468" i="13"/>
  <c r="H1460" i="13" s="1"/>
  <c r="G1460" i="13"/>
  <c r="E367" i="1" s="1"/>
  <c r="F367" i="1" s="1"/>
  <c r="I1460" i="13" s="1"/>
  <c r="H1536" i="32"/>
  <c r="H1528" i="32" s="1"/>
  <c r="G1528" i="32"/>
  <c r="E1201" i="1" s="1"/>
  <c r="F1201" i="1" s="1"/>
  <c r="I1528" i="32" s="1"/>
  <c r="H506" i="11"/>
  <c r="H504" i="11" s="1"/>
  <c r="G504" i="11"/>
  <c r="E175" i="1" s="1"/>
  <c r="F175" i="1" s="1"/>
  <c r="I504" i="11" s="1"/>
  <c r="G2835" i="26"/>
  <c r="E999" i="1" s="1"/>
  <c r="F999" i="1" s="1"/>
  <c r="I2835" i="26" s="1"/>
  <c r="H2843" i="26"/>
  <c r="H2835" i="26" s="1"/>
  <c r="H1211" i="26"/>
  <c r="H1203" i="26" s="1"/>
  <c r="G1203" i="26"/>
  <c r="E917" i="1" s="1"/>
  <c r="F917" i="1" s="1"/>
  <c r="I1203" i="26" s="1"/>
  <c r="G487" i="16"/>
  <c r="E566" i="1" s="1"/>
  <c r="F566" i="1" s="1"/>
  <c r="I487" i="16" s="1"/>
  <c r="H495" i="16"/>
  <c r="H487" i="16" s="1"/>
  <c r="K1628" i="21"/>
  <c r="H645" i="13"/>
  <c r="H633" i="13" s="1"/>
  <c r="G633" i="13"/>
  <c r="E325" i="1" s="1"/>
  <c r="F325" i="1" s="1"/>
  <c r="I633" i="13" s="1"/>
  <c r="H1576" i="21"/>
  <c r="H1568" i="21" s="1"/>
  <c r="G1568" i="21"/>
  <c r="E758" i="1" s="1"/>
  <c r="F758" i="1" s="1"/>
  <c r="I1568" i="21" s="1"/>
  <c r="L8" i="3"/>
  <c r="L916" i="2"/>
  <c r="L682" i="2"/>
  <c r="L213" i="2"/>
  <c r="L854" i="2"/>
  <c r="L56" i="3"/>
  <c r="L381" i="2"/>
  <c r="L647" i="2"/>
  <c r="L554" i="2"/>
  <c r="L768" i="2"/>
  <c r="L171" i="2"/>
  <c r="L778" i="2"/>
  <c r="L47" i="5"/>
  <c r="L264" i="2"/>
  <c r="L758" i="2"/>
  <c r="L927" i="2"/>
  <c r="L855" i="2"/>
  <c r="L103" i="2"/>
  <c r="L584" i="2"/>
  <c r="L311" i="2"/>
  <c r="L871" i="2"/>
  <c r="L692" i="2"/>
  <c r="L107" i="2"/>
  <c r="L795" i="2"/>
  <c r="L407" i="2"/>
  <c r="L62" i="3"/>
  <c r="L181" i="2"/>
  <c r="L131" i="2"/>
  <c r="L546" i="2"/>
  <c r="L29" i="2"/>
  <c r="L391" i="2"/>
  <c r="L357" i="2"/>
  <c r="L724" i="2"/>
  <c r="L744" i="2"/>
  <c r="L383" i="2"/>
  <c r="L282" i="2"/>
  <c r="L219" i="2"/>
  <c r="L17" i="2"/>
  <c r="L896" i="2"/>
  <c r="L501" i="2"/>
  <c r="L92" i="2"/>
  <c r="L96" i="2"/>
  <c r="L410" i="2"/>
  <c r="L99" i="2"/>
  <c r="L387" i="2"/>
  <c r="L331" i="2"/>
  <c r="L404" i="2"/>
  <c r="L732" i="2"/>
  <c r="L38" i="5"/>
  <c r="L101" i="2"/>
  <c r="L811" i="2"/>
  <c r="L901" i="2"/>
  <c r="L572" i="2"/>
  <c r="L339" i="2"/>
  <c r="L505" i="2"/>
  <c r="L5" i="3"/>
  <c r="L261" i="2"/>
  <c r="L258" i="2"/>
  <c r="L183" i="2"/>
  <c r="L938" i="2"/>
  <c r="L180" i="2"/>
  <c r="L843" i="2"/>
  <c r="L920" i="2"/>
  <c r="L912" i="2"/>
  <c r="K57" i="3"/>
  <c r="G984" i="11"/>
  <c r="E199" i="1" s="1"/>
  <c r="F199" i="1" s="1"/>
  <c r="I984" i="11" s="1"/>
  <c r="H986" i="11"/>
  <c r="H984" i="11" s="1"/>
  <c r="H1772" i="30"/>
  <c r="H1764" i="30" s="1"/>
  <c r="G1764" i="30"/>
  <c r="E1103" i="1" s="1"/>
  <c r="F1103" i="1" s="1"/>
  <c r="I1764" i="30" s="1"/>
  <c r="H1694" i="8"/>
  <c r="H1686" i="8" s="1"/>
  <c r="G1686" i="8"/>
  <c r="E90" i="1" s="1"/>
  <c r="F90" i="1" s="1"/>
  <c r="I1686" i="8" s="1"/>
  <c r="H2480" i="8"/>
  <c r="H2472" i="8" s="1"/>
  <c r="G2472" i="8"/>
  <c r="E130" i="1" s="1"/>
  <c r="F130" i="1" s="1"/>
  <c r="I2472" i="8" s="1"/>
  <c r="H476" i="32"/>
  <c r="H468" i="32" s="1"/>
  <c r="G468" i="32"/>
  <c r="E1148" i="1" s="1"/>
  <c r="F1148" i="1" s="1"/>
  <c r="I468" i="32" s="1"/>
  <c r="H112" i="32"/>
  <c r="H104" i="32" s="1"/>
  <c r="G104" i="32"/>
  <c r="E1130" i="1" s="1"/>
  <c r="F1130" i="1" s="1"/>
  <c r="I104" i="32" s="1"/>
  <c r="H1659" i="24"/>
  <c r="H1651" i="24" s="1"/>
  <c r="G1651" i="24"/>
  <c r="E855" i="1" s="1"/>
  <c r="F855" i="1" s="1"/>
  <c r="I1651" i="24" s="1"/>
  <c r="H1654" i="8"/>
  <c r="H1646" i="8" s="1"/>
  <c r="G1646" i="8"/>
  <c r="E88" i="1" s="1"/>
  <c r="F88" i="1" s="1"/>
  <c r="I1646" i="8" s="1"/>
  <c r="H392" i="16"/>
  <c r="H384" i="16" s="1"/>
  <c r="G384" i="16"/>
  <c r="E561" i="1" s="1"/>
  <c r="F561" i="1" s="1"/>
  <c r="I384" i="16" s="1"/>
  <c r="H1000" i="21"/>
  <c r="H992" i="21" s="1"/>
  <c r="G992" i="21"/>
  <c r="E730" i="1" s="1"/>
  <c r="F730" i="1" s="1"/>
  <c r="I992" i="21" s="1"/>
  <c r="H1712" i="30"/>
  <c r="H1704" i="30" s="1"/>
  <c r="G1704" i="30"/>
  <c r="E1100" i="1" s="1"/>
  <c r="F1100" i="1" s="1"/>
  <c r="I1704" i="30" s="1"/>
  <c r="H1122" i="16"/>
  <c r="H1109" i="16" s="1"/>
  <c r="G1109" i="16"/>
  <c r="E597" i="1" s="1"/>
  <c r="F597" i="1" s="1"/>
  <c r="I1109" i="16" s="1"/>
  <c r="H1619" i="26"/>
  <c r="H1617" i="26" s="1"/>
  <c r="G1617" i="26"/>
  <c r="E937" i="1" s="1"/>
  <c r="F937" i="1" s="1"/>
  <c r="I1617" i="26" s="1"/>
  <c r="H616" i="32"/>
  <c r="H608" i="32" s="1"/>
  <c r="G608" i="32"/>
  <c r="E1155" i="1" s="1"/>
  <c r="F1155" i="1" s="1"/>
  <c r="H536" i="32"/>
  <c r="H528" i="32" s="1"/>
  <c r="G528" i="32"/>
  <c r="E1151" i="1" s="1"/>
  <c r="F1151" i="1" s="1"/>
  <c r="H396" i="32"/>
  <c r="H388" i="32" s="1"/>
  <c r="G388" i="32"/>
  <c r="E1144" i="1" s="1"/>
  <c r="F1144" i="1" s="1"/>
  <c r="I388" i="32" s="1"/>
  <c r="H1434" i="8"/>
  <c r="H1426" i="8" s="1"/>
  <c r="G1426" i="8"/>
  <c r="E77" i="1" s="1"/>
  <c r="F77" i="1" s="1"/>
  <c r="I1426" i="8" s="1"/>
  <c r="H2701" i="8"/>
  <c r="H2693" i="8" s="1"/>
  <c r="G2693" i="8"/>
  <c r="E141" i="1" s="1"/>
  <c r="F141" i="1" s="1"/>
  <c r="I2693" i="8" s="1"/>
  <c r="H916" i="32"/>
  <c r="H908" i="32" s="1"/>
  <c r="G908" i="32"/>
  <c r="E1170" i="1" s="1"/>
  <c r="F1170" i="1" s="1"/>
  <c r="I908" i="32" s="1"/>
  <c r="H788" i="13"/>
  <c r="H780" i="13" s="1"/>
  <c r="G780" i="13"/>
  <c r="E332" i="1" s="1"/>
  <c r="F332" i="1" s="1"/>
  <c r="I780" i="13" s="1"/>
  <c r="H2148" i="13"/>
  <c r="H2140" i="13" s="1"/>
  <c r="G2140" i="13"/>
  <c r="E401" i="1" s="1"/>
  <c r="F401" i="1" s="1"/>
  <c r="I2140" i="13" s="1"/>
  <c r="G668" i="32"/>
  <c r="E1158" i="1" s="1"/>
  <c r="F1158" i="1" s="1"/>
  <c r="I668" i="32" s="1"/>
  <c r="H676" i="32"/>
  <c r="H668" i="32" s="1"/>
  <c r="H1355" i="26"/>
  <c r="H1347" i="26" s="1"/>
  <c r="G1347" i="26"/>
  <c r="E924" i="1" s="1"/>
  <c r="F924" i="1" s="1"/>
  <c r="I1347" i="26" s="1"/>
  <c r="H510" i="26"/>
  <c r="H502" i="26" s="1"/>
  <c r="G502" i="26"/>
  <c r="E882" i="1" s="1"/>
  <c r="F882" i="1" s="1"/>
  <c r="I502" i="26" s="1"/>
  <c r="H209" i="8"/>
  <c r="H201" i="8" s="1"/>
  <c r="G201" i="8"/>
  <c r="E15" i="1" s="1"/>
  <c r="F15" i="1" s="1"/>
  <c r="I201" i="8" s="1"/>
  <c r="H1852" i="30"/>
  <c r="H1844" i="30" s="1"/>
  <c r="G1844" i="30"/>
  <c r="E1107" i="1" s="1"/>
  <c r="F1107" i="1" s="1"/>
  <c r="I1844" i="30" s="1"/>
  <c r="H809" i="8"/>
  <c r="G808" i="8"/>
  <c r="H117" i="8"/>
  <c r="G115" i="8"/>
  <c r="H1579" i="15"/>
  <c r="H1571" i="15" s="1"/>
  <c r="G1571" i="15"/>
  <c r="E512" i="1" s="1"/>
  <c r="F512" i="1" s="1"/>
  <c r="I1571" i="15" s="1"/>
  <c r="J501" i="8"/>
  <c r="K501" i="8"/>
  <c r="J5" i="3"/>
  <c r="H1383" i="16"/>
  <c r="H1375" i="16" s="1"/>
  <c r="G1375" i="16"/>
  <c r="E610" i="1" s="1"/>
  <c r="F610" i="1" s="1"/>
  <c r="I1375" i="16" s="1"/>
  <c r="H1251" i="26"/>
  <c r="H1243" i="26" s="1"/>
  <c r="G1243" i="26"/>
  <c r="E919" i="1" s="1"/>
  <c r="F919" i="1" s="1"/>
  <c r="I1243" i="26" s="1"/>
  <c r="H166" i="30"/>
  <c r="H164" i="30" s="1"/>
  <c r="G164" i="30"/>
  <c r="E1022" i="1" s="1"/>
  <c r="F1022" i="1" s="1"/>
  <c r="I164" i="30" s="1"/>
  <c r="H787" i="16"/>
  <c r="H779" i="16" s="1"/>
  <c r="G779" i="16"/>
  <c r="E580" i="1" s="1"/>
  <c r="F580" i="1" s="1"/>
  <c r="I779" i="16" s="1"/>
  <c r="L861" i="2"/>
  <c r="L653" i="2"/>
  <c r="L422" i="2"/>
  <c r="L79" i="3"/>
  <c r="L111" i="2"/>
  <c r="L329" i="2"/>
  <c r="L389" i="2"/>
  <c r="L715" i="2"/>
  <c r="L674" i="2"/>
  <c r="L359" i="2"/>
  <c r="L190" i="2"/>
  <c r="L549" i="2"/>
  <c r="L59" i="3"/>
  <c r="L650" i="2"/>
  <c r="L119" i="2"/>
  <c r="L207" i="2"/>
  <c r="L680" i="2"/>
  <c r="L360" i="2"/>
  <c r="L735" i="2"/>
  <c r="L51" i="3"/>
  <c r="L683" i="2"/>
  <c r="L33" i="3"/>
  <c r="L95" i="2"/>
  <c r="L940" i="2"/>
  <c r="L676" i="2"/>
  <c r="L760" i="2"/>
  <c r="L757" i="2"/>
  <c r="L243" i="2"/>
  <c r="L211" i="2"/>
  <c r="L602" i="2"/>
  <c r="L104" i="2"/>
  <c r="L42" i="2"/>
  <c r="L143" i="2"/>
  <c r="L20" i="3"/>
  <c r="L49" i="5"/>
  <c r="L413" i="2"/>
  <c r="L850" i="2"/>
  <c r="L374" i="2"/>
  <c r="L84" i="2"/>
  <c r="L915" i="2"/>
  <c r="L174" i="2"/>
  <c r="L480" i="2"/>
  <c r="L473" i="2"/>
  <c r="L884" i="2"/>
  <c r="L14" i="3"/>
  <c r="L55" i="2"/>
  <c r="L759" i="2"/>
  <c r="L581" i="2"/>
  <c r="L848" i="2"/>
  <c r="L221" i="2"/>
  <c r="L764" i="2"/>
  <c r="L540" i="2"/>
  <c r="L649" i="2"/>
  <c r="L76" i="3"/>
  <c r="L781" i="2"/>
  <c r="L469" i="2"/>
  <c r="L350" i="2"/>
  <c r="L427" i="2"/>
  <c r="L559" i="2"/>
  <c r="L318" i="2"/>
  <c r="L39" i="3"/>
  <c r="L520" i="2"/>
  <c r="L555" i="2"/>
  <c r="L415" i="2"/>
  <c r="L341" i="2"/>
  <c r="L129" i="2"/>
  <c r="L231" i="2"/>
  <c r="L232" i="2"/>
  <c r="O57" i="3"/>
  <c r="H57" i="3"/>
  <c r="H911" i="26"/>
  <c r="H903" i="26" s="1"/>
  <c r="G903" i="26"/>
  <c r="E902" i="1" s="1"/>
  <c r="F902" i="1" s="1"/>
  <c r="I903" i="26" s="1"/>
  <c r="H1319" i="15"/>
  <c r="H1311" i="15" s="1"/>
  <c r="G1311" i="15"/>
  <c r="E499" i="1" s="1"/>
  <c r="F499" i="1" s="1"/>
  <c r="I1311" i="15" s="1"/>
  <c r="H928" i="13"/>
  <c r="H920" i="13" s="1"/>
  <c r="G920" i="13"/>
  <c r="E339" i="1" s="1"/>
  <c r="F339" i="1" s="1"/>
  <c r="I920" i="13" s="1"/>
  <c r="G1348" i="21"/>
  <c r="E747" i="1" s="1"/>
  <c r="F747" i="1" s="1"/>
  <c r="I1348" i="21" s="1"/>
  <c r="H1350" i="21"/>
  <c r="H1348" i="21" s="1"/>
  <c r="H855" i="21"/>
  <c r="H847" i="21" s="1"/>
  <c r="G847" i="21"/>
  <c r="E723" i="1" s="1"/>
  <c r="F723" i="1" s="1"/>
  <c r="I847" i="21" s="1"/>
  <c r="H177" i="15"/>
  <c r="H169" i="15" s="1"/>
  <c r="G169" i="15"/>
  <c r="E442" i="1" s="1"/>
  <c r="F442" i="1" s="1"/>
  <c r="I169" i="15" s="1"/>
  <c r="H1528" i="11"/>
  <c r="H1526" i="11" s="1"/>
  <c r="G1526" i="11"/>
  <c r="E226" i="1" s="1"/>
  <c r="F226" i="1" s="1"/>
  <c r="I1526" i="11" s="1"/>
  <c r="H1416" i="21"/>
  <c r="H1408" i="21" s="1"/>
  <c r="G1408" i="21"/>
  <c r="E750" i="1" s="1"/>
  <c r="F750" i="1" s="1"/>
  <c r="I1408" i="21" s="1"/>
  <c r="J504" i="30"/>
  <c r="K504" i="30"/>
  <c r="K684" i="21"/>
  <c r="H2599" i="26"/>
  <c r="H2591" i="26" s="1"/>
  <c r="G2591" i="26"/>
  <c r="E986" i="1" s="1"/>
  <c r="F986" i="1" s="1"/>
  <c r="I2591" i="26" s="1"/>
  <c r="H896" i="32"/>
  <c r="H888" i="32" s="1"/>
  <c r="G888" i="32"/>
  <c r="H537" i="15"/>
  <c r="H529" i="15" s="1"/>
  <c r="G529" i="15"/>
  <c r="E460" i="1" s="1"/>
  <c r="F460" i="1" s="1"/>
  <c r="I529" i="15" s="1"/>
  <c r="H192" i="11"/>
  <c r="H184" i="11" s="1"/>
  <c r="G184" i="11"/>
  <c r="E158" i="1" s="1"/>
  <c r="F158" i="1" s="1"/>
  <c r="I184" i="11" s="1"/>
  <c r="H92" i="33"/>
  <c r="H84" i="33" s="1"/>
  <c r="G84" i="33"/>
  <c r="E1213" i="1" s="1"/>
  <c r="F1213" i="1" s="1"/>
  <c r="I84" i="33" s="1"/>
  <c r="H1097" i="15"/>
  <c r="H1089" i="15" s="1"/>
  <c r="G1089" i="15"/>
  <c r="E488" i="1" s="1"/>
  <c r="F488" i="1" s="1"/>
  <c r="I1089" i="15" s="1"/>
  <c r="J1524" i="30"/>
  <c r="G2101" i="15"/>
  <c r="E538" i="1" s="1"/>
  <c r="F538" i="1" s="1"/>
  <c r="I2101" i="15" s="1"/>
  <c r="H2109" i="15"/>
  <c r="H2101" i="15" s="1"/>
  <c r="H264" i="26"/>
  <c r="H256" i="26" s="1"/>
  <c r="G256" i="26"/>
  <c r="E870" i="1" s="1"/>
  <c r="F870" i="1" s="1"/>
  <c r="I256" i="26" s="1"/>
  <c r="H1428" i="13"/>
  <c r="H1420" i="13" s="1"/>
  <c r="G1420" i="13"/>
  <c r="E365" i="1" s="1"/>
  <c r="F365" i="1" s="1"/>
  <c r="I1420" i="13" s="1"/>
  <c r="H951" i="26"/>
  <c r="H943" i="26" s="1"/>
  <c r="G943" i="26"/>
  <c r="E904" i="1" s="1"/>
  <c r="F904" i="1" s="1"/>
  <c r="I943" i="26" s="1"/>
  <c r="H2249" i="11"/>
  <c r="H2247" i="11" s="1"/>
  <c r="G2247" i="11"/>
  <c r="E259" i="1" s="1"/>
  <c r="F259" i="1" s="1"/>
  <c r="I2247" i="11" s="1"/>
  <c r="H2220" i="8"/>
  <c r="H2212" i="8" s="1"/>
  <c r="G2212" i="8"/>
  <c r="E117" i="1" s="1"/>
  <c r="F117" i="1" s="1"/>
  <c r="I2212" i="8" s="1"/>
  <c r="H174" i="32"/>
  <c r="H164" i="32" s="1"/>
  <c r="G164" i="32"/>
  <c r="E1133" i="1" s="1"/>
  <c r="F1133" i="1" s="1"/>
  <c r="I164" i="32" s="1"/>
  <c r="H2768" i="13"/>
  <c r="H2760" i="13" s="1"/>
  <c r="G2760" i="13"/>
  <c r="E432" i="1" s="1"/>
  <c r="F432" i="1" s="1"/>
  <c r="I2760" i="13" s="1"/>
  <c r="H1616" i="32"/>
  <c r="H1608" i="32" s="1"/>
  <c r="G1608" i="32"/>
  <c r="E1205" i="1" s="1"/>
  <c r="F1205" i="1" s="1"/>
  <c r="I1608" i="32" s="1"/>
  <c r="H212" i="33"/>
  <c r="H204" i="33" s="1"/>
  <c r="G204" i="33"/>
  <c r="E1219" i="1" s="1"/>
  <c r="F1219" i="1" s="1"/>
  <c r="I204" i="33" s="1"/>
  <c r="H1162" i="16"/>
  <c r="H1154" i="16" s="1"/>
  <c r="G1154" i="16"/>
  <c r="E599" i="1" s="1"/>
  <c r="F599" i="1" s="1"/>
  <c r="I1154" i="16" s="1"/>
  <c r="H426" i="30"/>
  <c r="H424" i="30" s="1"/>
  <c r="G424" i="30"/>
  <c r="E1035" i="1" s="1"/>
  <c r="F1035" i="1" s="1"/>
  <c r="I424" i="30" s="1"/>
  <c r="H1052" i="33"/>
  <c r="H1044" i="33" s="1"/>
  <c r="G1044" i="33"/>
  <c r="E1263" i="1" s="1"/>
  <c r="F1263" i="1" s="1"/>
  <c r="H2017" i="8"/>
  <c r="H2009" i="8" s="1"/>
  <c r="G2009" i="8"/>
  <c r="E107" i="1" s="1"/>
  <c r="F107" i="1" s="1"/>
  <c r="I2009" i="8" s="1"/>
  <c r="H797" i="15"/>
  <c r="H789" i="15" s="1"/>
  <c r="G789" i="15"/>
  <c r="H792" i="21"/>
  <c r="H784" i="21" s="1"/>
  <c r="G784" i="21"/>
  <c r="E720" i="1" s="1"/>
  <c r="F720" i="1" s="1"/>
  <c r="I784" i="21" s="1"/>
  <c r="H851" i="26"/>
  <c r="H843" i="26" s="1"/>
  <c r="G843" i="26"/>
  <c r="E899" i="1" s="1"/>
  <c r="F899" i="1" s="1"/>
  <c r="I843" i="26" s="1"/>
  <c r="H847" i="16"/>
  <c r="H839" i="16" s="1"/>
  <c r="G839" i="16"/>
  <c r="E583" i="1" s="1"/>
  <c r="F583" i="1" s="1"/>
  <c r="I839" i="16" s="1"/>
  <c r="H1412" i="11"/>
  <c r="H1404" i="11" s="1"/>
  <c r="G1404" i="11"/>
  <c r="E220" i="1" s="1"/>
  <c r="F220" i="1" s="1"/>
  <c r="I1404" i="11" s="1"/>
  <c r="K1012" i="21"/>
  <c r="H1759" i="15"/>
  <c r="H1751" i="15" s="1"/>
  <c r="G1751" i="15"/>
  <c r="G2180" i="13"/>
  <c r="E403" i="1" s="1"/>
  <c r="F403" i="1" s="1"/>
  <c r="I2180" i="13" s="1"/>
  <c r="H2188" i="13"/>
  <c r="H2180" i="13" s="1"/>
  <c r="H1128" i="24"/>
  <c r="H1120" i="24" s="1"/>
  <c r="G1120" i="24"/>
  <c r="E828" i="1" s="1"/>
  <c r="F828" i="1" s="1"/>
  <c r="I1120" i="24" s="1"/>
  <c r="H914" i="8"/>
  <c r="H906" i="8" s="1"/>
  <c r="G906" i="8"/>
  <c r="E51" i="1" s="1"/>
  <c r="F51" i="1" s="1"/>
  <c r="H276" i="13"/>
  <c r="H268" i="13" s="1"/>
  <c r="G268" i="13"/>
  <c r="E308" i="1" s="1"/>
  <c r="F308" i="1" s="1"/>
  <c r="I268" i="13" s="1"/>
  <c r="H908" i="13"/>
  <c r="H900" i="13" s="1"/>
  <c r="G900" i="13"/>
  <c r="E338" i="1" s="1"/>
  <c r="F338" i="1" s="1"/>
  <c r="I900" i="13" s="1"/>
  <c r="H1565" i="26"/>
  <c r="H1556" i="26" s="1"/>
  <c r="G1556" i="26"/>
  <c r="E934" i="1" s="1"/>
  <c r="F934" i="1" s="1"/>
  <c r="I1556" i="26" s="1"/>
  <c r="G1348" i="32"/>
  <c r="H1356" i="32"/>
  <c r="H1348" i="32" s="1"/>
  <c r="H2155" i="30"/>
  <c r="H2147" i="30" s="1"/>
  <c r="G2147" i="30"/>
  <c r="E1122" i="1" s="1"/>
  <c r="F1122" i="1" s="1"/>
  <c r="I2147" i="30" s="1"/>
  <c r="H1012" i="33"/>
  <c r="H1004" i="33" s="1"/>
  <c r="G1004" i="33"/>
  <c r="E1260" i="1" s="1"/>
  <c r="F1260" i="1" s="1"/>
  <c r="I1004" i="33" s="1"/>
  <c r="G324" i="16"/>
  <c r="E558" i="1" s="1"/>
  <c r="F558" i="1" s="1"/>
  <c r="I324" i="16" s="1"/>
  <c r="H332" i="16"/>
  <c r="H324" i="16" s="1"/>
  <c r="J1224" i="33"/>
  <c r="H1091" i="26"/>
  <c r="H1083" i="26" s="1"/>
  <c r="G1083" i="26"/>
  <c r="E911" i="1" s="1"/>
  <c r="F911" i="1" s="1"/>
  <c r="I1083" i="26" s="1"/>
  <c r="J1826" i="8"/>
  <c r="G32" i="16"/>
  <c r="H33" i="16"/>
  <c r="J57" i="3" s="1"/>
  <c r="H212" i="11"/>
  <c r="H204" i="11" s="1"/>
  <c r="G204" i="11"/>
  <c r="E159" i="1" s="1"/>
  <c r="F159" i="1" s="1"/>
  <c r="I204" i="11" s="1"/>
  <c r="H1217" i="15"/>
  <c r="H1209" i="15" s="1"/>
  <c r="G1209" i="15"/>
  <c r="E494" i="1" s="1"/>
  <c r="F494" i="1" s="1"/>
  <c r="I1209" i="15" s="1"/>
  <c r="H736" i="32"/>
  <c r="H728" i="32" s="1"/>
  <c r="G728" i="32"/>
  <c r="E1161" i="1" s="1"/>
  <c r="F1161" i="1" s="1"/>
  <c r="I728" i="32" s="1"/>
  <c r="K228" i="32"/>
  <c r="H1948" i="13"/>
  <c r="H1940" i="13" s="1"/>
  <c r="G1940" i="13"/>
  <c r="E391" i="1" s="1"/>
  <c r="F391" i="1" s="1"/>
  <c r="I1940" i="13" s="1"/>
  <c r="H577" i="15"/>
  <c r="H569" i="15" s="1"/>
  <c r="G569" i="15"/>
  <c r="E462" i="1" s="1"/>
  <c r="F462" i="1" s="1"/>
  <c r="H1752" i="30"/>
  <c r="H1744" i="30" s="1"/>
  <c r="G1744" i="30"/>
  <c r="E1102" i="1" s="1"/>
  <c r="F1102" i="1" s="1"/>
  <c r="I1744" i="30" s="1"/>
  <c r="H1036" i="32"/>
  <c r="H1028" i="32" s="1"/>
  <c r="G1028" i="32"/>
  <c r="E1176" i="1" s="1"/>
  <c r="F1176" i="1" s="1"/>
  <c r="I1028" i="32" s="1"/>
  <c r="H1516" i="32"/>
  <c r="H1508" i="32" s="1"/>
  <c r="G1508" i="32"/>
  <c r="E1200" i="1" s="1"/>
  <c r="F1200" i="1" s="1"/>
  <c r="I1508" i="32" s="1"/>
  <c r="H687" i="30"/>
  <c r="G686" i="30"/>
  <c r="G2097" i="11"/>
  <c r="H2098" i="11"/>
  <c r="G1303" i="24"/>
  <c r="H1307" i="24"/>
  <c r="H404" i="26"/>
  <c r="G403" i="26"/>
  <c r="H227" i="30"/>
  <c r="G226" i="30"/>
  <c r="H748" i="33"/>
  <c r="G746" i="33"/>
  <c r="G1438" i="24"/>
  <c r="H1439" i="24"/>
  <c r="H1600" i="26"/>
  <c r="G1599" i="26"/>
  <c r="H667" i="30"/>
  <c r="G666" i="30"/>
  <c r="G1026" i="11"/>
  <c r="H1027" i="11"/>
  <c r="H247" i="33"/>
  <c r="G246" i="33"/>
  <c r="H1998" i="11"/>
  <c r="G1997" i="11"/>
  <c r="H72" i="16"/>
  <c r="H64" i="16" s="1"/>
  <c r="G64" i="16"/>
  <c r="E544" i="1" s="1"/>
  <c r="F544" i="1" s="1"/>
  <c r="I64" i="16" s="1"/>
  <c r="J1206" i="8"/>
  <c r="H376" i="32"/>
  <c r="H368" i="32" s="1"/>
  <c r="G368" i="32"/>
  <c r="E1143" i="1" s="1"/>
  <c r="F1143" i="1" s="1"/>
  <c r="I368" i="32" s="1"/>
  <c r="J1124" i="33"/>
  <c r="H137" i="15"/>
  <c r="H129" i="15" s="1"/>
  <c r="G129" i="15"/>
  <c r="E440" i="1" s="1"/>
  <c r="F440" i="1" s="1"/>
  <c r="I129" i="15" s="1"/>
  <c r="H159" i="26"/>
  <c r="H140" i="26" s="1"/>
  <c r="G140" i="26"/>
  <c r="E865" i="1" s="1"/>
  <c r="F865" i="1" s="1"/>
  <c r="I140" i="26" s="1"/>
  <c r="H1556" i="32"/>
  <c r="H1548" i="32" s="1"/>
  <c r="G1548" i="32"/>
  <c r="E1202" i="1" s="1"/>
  <c r="F1202" i="1" s="1"/>
  <c r="I1548" i="32" s="1"/>
  <c r="H1032" i="33"/>
  <c r="H1024" i="33" s="1"/>
  <c r="G1024" i="33"/>
  <c r="E1261" i="1" s="1"/>
  <c r="F1261" i="1" s="1"/>
  <c r="I1024" i="33" s="1"/>
  <c r="H1756" i="21"/>
  <c r="H1748" i="21" s="1"/>
  <c r="G1748" i="21"/>
  <c r="E767" i="1" s="1"/>
  <c r="F767" i="1" s="1"/>
  <c r="I1748" i="21" s="1"/>
  <c r="H22" i="26"/>
  <c r="H4" i="26" s="1"/>
  <c r="G4" i="26"/>
  <c r="E861" i="1" s="1"/>
  <c r="F861" i="1" s="1"/>
  <c r="I4" i="26" s="1"/>
  <c r="K1204" i="33"/>
  <c r="H2145" i="16"/>
  <c r="H2137" i="16" s="1"/>
  <c r="G2137" i="16"/>
  <c r="E650" i="1" s="1"/>
  <c r="F650" i="1" s="1"/>
  <c r="I2137" i="16" s="1"/>
  <c r="H124" i="26"/>
  <c r="H106" i="26" s="1"/>
  <c r="G106" i="26"/>
  <c r="E864" i="1" s="1"/>
  <c r="F864" i="1" s="1"/>
  <c r="I106" i="26" s="1"/>
  <c r="H1292" i="30"/>
  <c r="H1284" i="30" s="1"/>
  <c r="G1284" i="30"/>
  <c r="E1078" i="1" s="1"/>
  <c r="F1078" i="1" s="1"/>
  <c r="I1284" i="30" s="1"/>
  <c r="K624" i="21"/>
  <c r="H1923" i="15"/>
  <c r="H1913" i="15" s="1"/>
  <c r="G1913" i="15"/>
  <c r="E529" i="1" s="1"/>
  <c r="F529" i="1" s="1"/>
  <c r="I1913" i="15" s="1"/>
  <c r="H677" i="15"/>
  <c r="H669" i="15" s="1"/>
  <c r="G669" i="15"/>
  <c r="E467" i="1" s="1"/>
  <c r="F467" i="1" s="1"/>
  <c r="K1104" i="30"/>
  <c r="J1104" i="30"/>
  <c r="H1868" i="13"/>
  <c r="H1860" i="13" s="1"/>
  <c r="G1860" i="13"/>
  <c r="E387" i="1" s="1"/>
  <c r="F387" i="1" s="1"/>
  <c r="I1860" i="13" s="1"/>
  <c r="H1076" i="32"/>
  <c r="H1068" i="32" s="1"/>
  <c r="G1068" i="32"/>
  <c r="E1178" i="1" s="1"/>
  <c r="F1178" i="1" s="1"/>
  <c r="I1068" i="32" s="1"/>
  <c r="O463" i="2"/>
  <c r="H34" i="24"/>
  <c r="L57" i="3" s="1"/>
  <c r="G32" i="24"/>
  <c r="H1103" i="21"/>
  <c r="H1095" i="21" s="1"/>
  <c r="G1095" i="21"/>
  <c r="E735" i="1" s="1"/>
  <c r="F735" i="1" s="1"/>
  <c r="I1095" i="21" s="1"/>
  <c r="H872" i="30"/>
  <c r="H864" i="30" s="1"/>
  <c r="G864" i="30"/>
  <c r="E1057" i="1" s="1"/>
  <c r="F1057" i="1" s="1"/>
  <c r="I864" i="30" s="1"/>
  <c r="H1188" i="13"/>
  <c r="H1180" i="13" s="1"/>
  <c r="G1180" i="13"/>
  <c r="E353" i="1" s="1"/>
  <c r="F353" i="1" s="1"/>
  <c r="I1180" i="13" s="1"/>
  <c r="H1443" i="16"/>
  <c r="H1435" i="16" s="1"/>
  <c r="G1435" i="16"/>
  <c r="E613" i="1" s="1"/>
  <c r="F613" i="1" s="1"/>
  <c r="I1435" i="16" s="1"/>
  <c r="G616" i="16"/>
  <c r="E572" i="1" s="1"/>
  <c r="F572" i="1" s="1"/>
  <c r="I616" i="16" s="1"/>
  <c r="H627" i="16"/>
  <c r="H616" i="16" s="1"/>
  <c r="H1432" i="30"/>
  <c r="H1424" i="30" s="1"/>
  <c r="G1424" i="30"/>
  <c r="E1085" i="1" s="1"/>
  <c r="F1085" i="1" s="1"/>
  <c r="I1424" i="30" s="1"/>
  <c r="H1339" i="15"/>
  <c r="H1331" i="15" s="1"/>
  <c r="G1331" i="15"/>
  <c r="E500" i="1" s="1"/>
  <c r="F500" i="1" s="1"/>
  <c r="I1331" i="15" s="1"/>
  <c r="H472" i="21"/>
  <c r="H464" i="21" s="1"/>
  <c r="G464" i="21"/>
  <c r="E703" i="1" s="1"/>
  <c r="F703" i="1" s="1"/>
  <c r="I464" i="21" s="1"/>
  <c r="H327" i="26"/>
  <c r="H319" i="26" s="1"/>
  <c r="G319" i="26"/>
  <c r="E873" i="1" s="1"/>
  <c r="F873" i="1" s="1"/>
  <c r="I319" i="26" s="1"/>
  <c r="H991" i="26"/>
  <c r="H983" i="26" s="1"/>
  <c r="G983" i="26"/>
  <c r="E906" i="1" s="1"/>
  <c r="F906" i="1" s="1"/>
  <c r="I983" i="26" s="1"/>
  <c r="H709" i="8"/>
  <c r="H701" i="8" s="1"/>
  <c r="G701" i="8"/>
  <c r="E40" i="1" s="1"/>
  <c r="F40" i="1" s="1"/>
  <c r="I701" i="8" s="1"/>
  <c r="H2045" i="16"/>
  <c r="H2035" i="16" s="1"/>
  <c r="G2035" i="16"/>
  <c r="E645" i="1" s="1"/>
  <c r="F645" i="1" s="1"/>
  <c r="I2035" i="16" s="1"/>
  <c r="H2500" i="8"/>
  <c r="H2492" i="8" s="1"/>
  <c r="G2492" i="8"/>
  <c r="E131" i="1" s="1"/>
  <c r="F131" i="1" s="1"/>
  <c r="I2492" i="8" s="1"/>
  <c r="H1399" i="15"/>
  <c r="H1391" i="15" s="1"/>
  <c r="G1391" i="15"/>
  <c r="H1692" i="30"/>
  <c r="H1684" i="30" s="1"/>
  <c r="G1684" i="30"/>
  <c r="E1099" i="1" s="1"/>
  <c r="F1099" i="1" s="1"/>
  <c r="I1684" i="30" s="1"/>
  <c r="G1568" i="32"/>
  <c r="E1203" i="1" s="1"/>
  <c r="F1203" i="1" s="1"/>
  <c r="I1568" i="32" s="1"/>
  <c r="H1576" i="32"/>
  <c r="H1568" i="32" s="1"/>
  <c r="H597" i="15"/>
  <c r="H589" i="15" s="1"/>
  <c r="G589" i="15"/>
  <c r="H1216" i="32"/>
  <c r="H1208" i="32" s="1"/>
  <c r="G1208" i="32"/>
  <c r="E1185" i="1" s="1"/>
  <c r="F1185" i="1" s="1"/>
  <c r="H2300" i="8"/>
  <c r="H2292" i="8" s="1"/>
  <c r="G2292" i="8"/>
  <c r="E121" i="1" s="1"/>
  <c r="F121" i="1" s="1"/>
  <c r="I2292" i="8" s="1"/>
  <c r="H1588" i="13"/>
  <c r="H1580" i="13" s="1"/>
  <c r="G1580" i="13"/>
  <c r="E373" i="1" s="1"/>
  <c r="F373" i="1" s="1"/>
  <c r="I1580" i="13" s="1"/>
  <c r="H1743" i="16"/>
  <c r="H1735" i="16" s="1"/>
  <c r="G1735" i="16"/>
  <c r="E628" i="1" s="1"/>
  <c r="F628" i="1" s="1"/>
  <c r="I1735" i="16" s="1"/>
  <c r="G184" i="30"/>
  <c r="E1023" i="1" s="1"/>
  <c r="F1023" i="1" s="1"/>
  <c r="I184" i="30" s="1"/>
  <c r="H186" i="30"/>
  <c r="H184" i="30" s="1"/>
  <c r="H513" i="24"/>
  <c r="H505" i="24" s="1"/>
  <c r="G505" i="24"/>
  <c r="E798" i="1" s="1"/>
  <c r="F798" i="1" s="1"/>
  <c r="I505" i="24" s="1"/>
  <c r="H2348" i="13"/>
  <c r="H2340" i="13" s="1"/>
  <c r="G2340" i="13"/>
  <c r="E411" i="1" s="1"/>
  <c r="F411" i="1" s="1"/>
  <c r="I2340" i="13" s="1"/>
  <c r="H2448" i="13"/>
  <c r="H2440" i="13" s="1"/>
  <c r="G2440" i="13"/>
  <c r="E416" i="1" s="1"/>
  <c r="F416" i="1" s="1"/>
  <c r="I2440" i="13" s="1"/>
  <c r="G1917" i="26"/>
  <c r="E954" i="1" s="1"/>
  <c r="F954" i="1" s="1"/>
  <c r="I1917" i="26" s="1"/>
  <c r="H1919" i="26"/>
  <c r="H1917" i="26" s="1"/>
  <c r="H352" i="16"/>
  <c r="H344" i="16" s="1"/>
  <c r="G344" i="16"/>
  <c r="E559" i="1" s="1"/>
  <c r="F559" i="1" s="1"/>
  <c r="I344" i="16" s="1"/>
  <c r="H1336" i="21"/>
  <c r="H1328" i="21" s="1"/>
  <c r="G1328" i="21"/>
  <c r="E746" i="1" s="1"/>
  <c r="F746" i="1" s="1"/>
  <c r="I1328" i="21" s="1"/>
  <c r="G588" i="32"/>
  <c r="E1154" i="1" s="1"/>
  <c r="F1154" i="1" s="1"/>
  <c r="H596" i="32"/>
  <c r="H588" i="32" s="1"/>
  <c r="H1027" i="24"/>
  <c r="H1019" i="24" s="1"/>
  <c r="G1019" i="24"/>
  <c r="E823" i="1" s="1"/>
  <c r="F823" i="1" s="1"/>
  <c r="I1019" i="24" s="1"/>
  <c r="H157" i="15"/>
  <c r="H149" i="15" s="1"/>
  <c r="G149" i="15"/>
  <c r="E441" i="1" s="1"/>
  <c r="F441" i="1" s="1"/>
  <c r="H632" i="33"/>
  <c r="H624" i="33" s="1"/>
  <c r="G624" i="33"/>
  <c r="E1241" i="1" s="1"/>
  <c r="F1241" i="1" s="1"/>
  <c r="I624" i="33" s="1"/>
  <c r="H2280" i="8"/>
  <c r="H2272" i="8" s="1"/>
  <c r="G2272" i="8"/>
  <c r="E120" i="1" s="1"/>
  <c r="F120" i="1" s="1"/>
  <c r="I2272" i="8" s="1"/>
  <c r="G2041" i="15"/>
  <c r="E535" i="1" s="1"/>
  <c r="F535" i="1" s="1"/>
  <c r="I2041" i="15" s="1"/>
  <c r="H2049" i="15"/>
  <c r="H2041" i="15" s="1"/>
  <c r="G428" i="32"/>
  <c r="E1146" i="1" s="1"/>
  <c r="F1146" i="1" s="1"/>
  <c r="H436" i="32"/>
  <c r="H428" i="32" s="1"/>
  <c r="G1528" i="21"/>
  <c r="E756" i="1" s="1"/>
  <c r="F756" i="1" s="1"/>
  <c r="I1528" i="21" s="1"/>
  <c r="H1536" i="21"/>
  <c r="H1528" i="21" s="1"/>
  <c r="H92" i="24"/>
  <c r="H84" i="24" s="1"/>
  <c r="G84" i="24"/>
  <c r="E777" i="1" s="1"/>
  <c r="F777" i="1" s="1"/>
  <c r="I84" i="24" s="1"/>
  <c r="H2329" i="26"/>
  <c r="H2327" i="26" s="1"/>
  <c r="G2327" i="26"/>
  <c r="E974" i="1" s="1"/>
  <c r="F974" i="1" s="1"/>
  <c r="I2327" i="26" s="1"/>
  <c r="K328" i="13"/>
  <c r="J328" i="13"/>
  <c r="H2025" i="26"/>
  <c r="H2017" i="26" s="1"/>
  <c r="G2017" i="26"/>
  <c r="E959" i="1" s="1"/>
  <c r="F959" i="1" s="1"/>
  <c r="I2017" i="26" s="1"/>
  <c r="H229" i="8"/>
  <c r="H221" i="8" s="1"/>
  <c r="G221" i="8"/>
  <c r="E16" i="1" s="1"/>
  <c r="F16" i="1" s="1"/>
  <c r="I221" i="8" s="1"/>
  <c r="H1017" i="15"/>
  <c r="H1009" i="15" s="1"/>
  <c r="G1009" i="15"/>
  <c r="H432" i="33"/>
  <c r="H424" i="33" s="1"/>
  <c r="G424" i="33"/>
  <c r="E1231" i="1" s="1"/>
  <c r="F1231" i="1" s="1"/>
  <c r="I424" i="33" s="1"/>
  <c r="H875" i="21"/>
  <c r="H867" i="21" s="1"/>
  <c r="G867" i="21"/>
  <c r="E724" i="1" s="1"/>
  <c r="F724" i="1" s="1"/>
  <c r="I867" i="21" s="1"/>
  <c r="H1177" i="15"/>
  <c r="H1169" i="15" s="1"/>
  <c r="G1169" i="15"/>
  <c r="E492" i="1" s="1"/>
  <c r="F492" i="1" s="1"/>
  <c r="I1169" i="15" s="1"/>
  <c r="H356" i="32"/>
  <c r="H348" i="32" s="1"/>
  <c r="G348" i="32"/>
  <c r="E1142" i="1" s="1"/>
  <c r="F1142" i="1" s="1"/>
  <c r="I348" i="32" s="1"/>
  <c r="H2248" i="13"/>
  <c r="H2240" i="13" s="1"/>
  <c r="G2240" i="13"/>
  <c r="E406" i="1" s="1"/>
  <c r="F406" i="1" s="1"/>
  <c r="I2240" i="13" s="1"/>
  <c r="K1144" i="30"/>
  <c r="J1144" i="30"/>
  <c r="H1196" i="32"/>
  <c r="H1188" i="32" s="1"/>
  <c r="G1188" i="32"/>
  <c r="E1184" i="1" s="1"/>
  <c r="F1184" i="1" s="1"/>
  <c r="H1363" i="16"/>
  <c r="H1355" i="16" s="1"/>
  <c r="G1355" i="16"/>
  <c r="E609" i="1" s="1"/>
  <c r="F609" i="1" s="1"/>
  <c r="I1355" i="16" s="1"/>
  <c r="H337" i="15"/>
  <c r="H329" i="15" s="1"/>
  <c r="G329" i="15"/>
  <c r="E450" i="1" s="1"/>
  <c r="F450" i="1" s="1"/>
  <c r="I329" i="15" s="1"/>
  <c r="H2225" i="16"/>
  <c r="H2217" i="16" s="1"/>
  <c r="G2217" i="16"/>
  <c r="E654" i="1" s="1"/>
  <c r="F654" i="1" s="1"/>
  <c r="I2217" i="16" s="1"/>
  <c r="H349" i="8"/>
  <c r="H341" i="8" s="1"/>
  <c r="G341" i="8"/>
  <c r="E22" i="1" s="1"/>
  <c r="F22" i="1" s="1"/>
  <c r="I341" i="8" s="1"/>
  <c r="H2406" i="16"/>
  <c r="H2397" i="16" s="1"/>
  <c r="G2397" i="16"/>
  <c r="E663" i="1" s="1"/>
  <c r="F663" i="1" s="1"/>
  <c r="I2397" i="16" s="1"/>
  <c r="G444" i="30"/>
  <c r="E1036" i="1" s="1"/>
  <c r="F1036" i="1" s="1"/>
  <c r="I444" i="30" s="1"/>
  <c r="H446" i="30"/>
  <c r="H444" i="30" s="1"/>
  <c r="H1568" i="13"/>
  <c r="H1560" i="13" s="1"/>
  <c r="G1560" i="13"/>
  <c r="E372" i="1" s="1"/>
  <c r="F372" i="1" s="1"/>
  <c r="I1560" i="13" s="1"/>
  <c r="H2521" i="8"/>
  <c r="H2513" i="8" s="1"/>
  <c r="G2513" i="8"/>
  <c r="E132" i="1" s="1"/>
  <c r="F132" i="1" s="1"/>
  <c r="I2513" i="8" s="1"/>
  <c r="H256" i="32"/>
  <c r="H248" i="32" s="1"/>
  <c r="G248" i="32"/>
  <c r="E1137" i="1" s="1"/>
  <c r="F1137" i="1" s="1"/>
  <c r="I248" i="32" s="1"/>
  <c r="H3085" i="26"/>
  <c r="H3077" i="26" s="1"/>
  <c r="G3077" i="26"/>
  <c r="E1011" i="1" s="1"/>
  <c r="F1011" i="1" s="1"/>
  <c r="I3077" i="26" s="1"/>
  <c r="H1243" i="16"/>
  <c r="H1235" i="16" s="1"/>
  <c r="G1235" i="16"/>
  <c r="E603" i="1" s="1"/>
  <c r="F603" i="1" s="1"/>
  <c r="I1235" i="16" s="1"/>
  <c r="H2915" i="11"/>
  <c r="G2914" i="11"/>
  <c r="H327" i="11"/>
  <c r="G326" i="11"/>
  <c r="H2738" i="26"/>
  <c r="G2737" i="26"/>
  <c r="H445" i="26"/>
  <c r="G444" i="26"/>
  <c r="H67" i="30"/>
  <c r="G66" i="30"/>
  <c r="H1247" i="11"/>
  <c r="G1246" i="11"/>
  <c r="H2138" i="11"/>
  <c r="G2137" i="11"/>
  <c r="G2285" i="26"/>
  <c r="H2286" i="26"/>
  <c r="G2616" i="11"/>
  <c r="H2617" i="11"/>
  <c r="H1739" i="24"/>
  <c r="G1734" i="24"/>
  <c r="H130" i="13"/>
  <c r="G129" i="13"/>
  <c r="H907" i="11"/>
  <c r="G906" i="11"/>
  <c r="H1306" i="26"/>
  <c r="G1305" i="26"/>
  <c r="H2118" i="11"/>
  <c r="G2117" i="11"/>
  <c r="H788" i="33"/>
  <c r="G786" i="33"/>
  <c r="H1352" i="30"/>
  <c r="H1344" i="30" s="1"/>
  <c r="G1344" i="30"/>
  <c r="E1081" i="1" s="1"/>
  <c r="F1081" i="1" s="1"/>
  <c r="I1344" i="30" s="1"/>
  <c r="H2721" i="8"/>
  <c r="H2713" i="8" s="1"/>
  <c r="G2713" i="8"/>
  <c r="E142" i="1" s="1"/>
  <c r="F142" i="1" s="1"/>
  <c r="I2713" i="8" s="1"/>
  <c r="H1496" i="21"/>
  <c r="H1488" i="21" s="1"/>
  <c r="G1488" i="21"/>
  <c r="E754" i="1" s="1"/>
  <c r="F754" i="1" s="1"/>
  <c r="I1488" i="21" s="1"/>
  <c r="H581" i="16"/>
  <c r="H573" i="16" s="1"/>
  <c r="G573" i="16"/>
  <c r="E570" i="1" s="1"/>
  <c r="F570" i="1" s="1"/>
  <c r="I573" i="16" s="1"/>
  <c r="H1914" i="8"/>
  <c r="H1906" i="8" s="1"/>
  <c r="G1906" i="8"/>
  <c r="E102" i="1" s="1"/>
  <c r="F102" i="1" s="1"/>
  <c r="I1906" i="8" s="1"/>
  <c r="G304" i="16"/>
  <c r="E557" i="1" s="1"/>
  <c r="F557" i="1" s="1"/>
  <c r="I304" i="16" s="1"/>
  <c r="H312" i="16"/>
  <c r="H304" i="16" s="1"/>
  <c r="G1480" i="13"/>
  <c r="E368" i="1" s="1"/>
  <c r="F368" i="1" s="1"/>
  <c r="I1480" i="13" s="1"/>
  <c r="H1488" i="13"/>
  <c r="H1480" i="13" s="1"/>
  <c r="H2741" i="8"/>
  <c r="H2733" i="8" s="1"/>
  <c r="G2733" i="8"/>
  <c r="E143" i="1" s="1"/>
  <c r="F143" i="1" s="1"/>
  <c r="I2733" i="8" s="1"/>
  <c r="H1263" i="16"/>
  <c r="H1255" i="16" s="1"/>
  <c r="G1255" i="16"/>
  <c r="E604" i="1" s="1"/>
  <c r="F604" i="1" s="1"/>
  <c r="I1255" i="16" s="1"/>
  <c r="H656" i="32"/>
  <c r="H648" i="32" s="1"/>
  <c r="G648" i="32"/>
  <c r="E1157" i="1" s="1"/>
  <c r="F1157" i="1" s="1"/>
  <c r="I648" i="32" s="1"/>
  <c r="H1544" i="26"/>
  <c r="H1536" i="26" s="1"/>
  <c r="G1536" i="26"/>
  <c r="E933" i="1" s="1"/>
  <c r="F933" i="1" s="1"/>
  <c r="I1536" i="26" s="1"/>
  <c r="G2674" i="11"/>
  <c r="E279" i="1" s="1"/>
  <c r="F279" i="1" s="1"/>
  <c r="I2674" i="11" s="1"/>
  <c r="H2676" i="11"/>
  <c r="H2674" i="11" s="1"/>
  <c r="H2168" i="13"/>
  <c r="H2160" i="13" s="1"/>
  <c r="G2160" i="13"/>
  <c r="E402" i="1" s="1"/>
  <c r="F402" i="1" s="1"/>
  <c r="I2160" i="13" s="1"/>
  <c r="H348" i="26"/>
  <c r="H340" i="26" s="1"/>
  <c r="G340" i="26"/>
  <c r="E874" i="1" s="1"/>
  <c r="F874" i="1" s="1"/>
  <c r="I340" i="26" s="1"/>
  <c r="H372" i="16"/>
  <c r="H364" i="16" s="1"/>
  <c r="G364" i="16"/>
  <c r="E560" i="1" s="1"/>
  <c r="F560" i="1" s="1"/>
  <c r="I364" i="16" s="1"/>
  <c r="H848" i="13"/>
  <c r="H840" i="13" s="1"/>
  <c r="G840" i="13"/>
  <c r="E335" i="1" s="1"/>
  <c r="F335" i="1" s="1"/>
  <c r="I840" i="13" s="1"/>
  <c r="H868" i="13"/>
  <c r="H860" i="13" s="1"/>
  <c r="G860" i="13"/>
  <c r="E336" i="1" s="1"/>
  <c r="F336" i="1" s="1"/>
  <c r="I860" i="13" s="1"/>
  <c r="H2581" i="8"/>
  <c r="H2573" i="8" s="1"/>
  <c r="G2573" i="8"/>
  <c r="E135" i="1" s="1"/>
  <c r="F135" i="1" s="1"/>
  <c r="I2573" i="8" s="1"/>
  <c r="H117" i="15"/>
  <c r="H109" i="15" s="1"/>
  <c r="G109" i="15"/>
  <c r="E439" i="1" s="1"/>
  <c r="F439" i="1" s="1"/>
  <c r="I109" i="15" s="1"/>
  <c r="H2037" i="11"/>
  <c r="H2035" i="11" s="1"/>
  <c r="G2035" i="11"/>
  <c r="E249" i="1" s="1"/>
  <c r="F249" i="1" s="1"/>
  <c r="I2035" i="11" s="1"/>
  <c r="O182" i="2"/>
  <c r="H1716" i="21"/>
  <c r="H1708" i="21" s="1"/>
  <c r="G1708" i="21"/>
  <c r="E765" i="1" s="1"/>
  <c r="F765" i="1" s="1"/>
  <c r="I1708" i="21" s="1"/>
  <c r="H732" i="21"/>
  <c r="H724" i="21" s="1"/>
  <c r="G724" i="21"/>
  <c r="E717" i="1" s="1"/>
  <c r="F717" i="1" s="1"/>
  <c r="I724" i="21" s="1"/>
  <c r="H376" i="13"/>
  <c r="H368" i="13" s="1"/>
  <c r="G368" i="13"/>
  <c r="E313" i="1" s="1"/>
  <c r="F313" i="1" s="1"/>
  <c r="I368" i="13" s="1"/>
  <c r="J208" i="13"/>
  <c r="K208" i="13"/>
  <c r="J2412" i="8"/>
  <c r="G444" i="16"/>
  <c r="E564" i="1" s="1"/>
  <c r="F564" i="1" s="1"/>
  <c r="I444" i="16" s="1"/>
  <c r="H452" i="16"/>
  <c r="H444" i="16" s="1"/>
  <c r="H1794" i="8"/>
  <c r="H1786" i="8" s="1"/>
  <c r="G1786" i="8"/>
  <c r="E95" i="1" s="1"/>
  <c r="F95" i="1" s="1"/>
  <c r="I1786" i="8" s="1"/>
  <c r="H612" i="21"/>
  <c r="H604" i="21" s="1"/>
  <c r="G604" i="21"/>
  <c r="E711" i="1" s="1"/>
  <c r="F711" i="1" s="1"/>
  <c r="I604" i="21" s="1"/>
  <c r="H889" i="21"/>
  <c r="H887" i="21" s="1"/>
  <c r="G887" i="21"/>
  <c r="E725" i="1" s="1"/>
  <c r="F725" i="1" s="1"/>
  <c r="I887" i="21" s="1"/>
  <c r="H112" i="21"/>
  <c r="H104" i="21" s="1"/>
  <c r="G104" i="21"/>
  <c r="E685" i="1" s="1"/>
  <c r="F685" i="1" s="1"/>
  <c r="I104" i="21" s="1"/>
  <c r="H747" i="16"/>
  <c r="H739" i="16" s="1"/>
  <c r="G739" i="16"/>
  <c r="E578" i="1" s="1"/>
  <c r="F578" i="1" s="1"/>
  <c r="I739" i="16" s="1"/>
  <c r="H1845" i="26"/>
  <c r="H1837" i="26" s="1"/>
  <c r="G1837" i="26"/>
  <c r="E950" i="1" s="1"/>
  <c r="F950" i="1" s="1"/>
  <c r="I1837" i="26" s="1"/>
  <c r="H553" i="24"/>
  <c r="H545" i="24" s="1"/>
  <c r="G545" i="24"/>
  <c r="E800" i="1" s="1"/>
  <c r="F800" i="1" s="1"/>
  <c r="I545" i="24" s="1"/>
  <c r="H610" i="26"/>
  <c r="H602" i="26" s="1"/>
  <c r="G602" i="26"/>
  <c r="E887" i="1" s="1"/>
  <c r="F887" i="1" s="1"/>
  <c r="I602" i="26" s="1"/>
  <c r="H773" i="24"/>
  <c r="H765" i="24" s="1"/>
  <c r="G765" i="24"/>
  <c r="E811" i="1" s="1"/>
  <c r="F811" i="1" s="1"/>
  <c r="I765" i="24" s="1"/>
  <c r="H2883" i="26"/>
  <c r="H2875" i="26" s="1"/>
  <c r="G2875" i="26"/>
  <c r="E1001" i="1" s="1"/>
  <c r="F1001" i="1" s="1"/>
  <c r="I2875" i="26" s="1"/>
  <c r="H2345" i="16"/>
  <c r="H2337" i="16" s="1"/>
  <c r="G2337" i="16"/>
  <c r="E660" i="1" s="1"/>
  <c r="F660" i="1" s="1"/>
  <c r="I2337" i="16" s="1"/>
  <c r="H2621" i="8"/>
  <c r="H2613" i="8" s="1"/>
  <c r="G2613" i="8"/>
  <c r="E137" i="1" s="1"/>
  <c r="F137" i="1" s="1"/>
  <c r="I2613" i="8" s="1"/>
  <c r="H2128" i="13"/>
  <c r="H2120" i="13" s="1"/>
  <c r="G2120" i="13"/>
  <c r="E400" i="1" s="1"/>
  <c r="F400" i="1" s="1"/>
  <c r="I2120" i="13" s="1"/>
  <c r="K521" i="8"/>
  <c r="H987" i="16"/>
  <c r="H979" i="16" s="1"/>
  <c r="G979" i="16"/>
  <c r="E591" i="1" s="1"/>
  <c r="F591" i="1" s="1"/>
  <c r="I979" i="16" s="1"/>
  <c r="H2105" i="16"/>
  <c r="H2097" i="16" s="1"/>
  <c r="G2097" i="16"/>
  <c r="E648" i="1" s="1"/>
  <c r="F648" i="1" s="1"/>
  <c r="I2097" i="16" s="1"/>
  <c r="H767" i="16"/>
  <c r="H759" i="16" s="1"/>
  <c r="G759" i="16"/>
  <c r="E579" i="1" s="1"/>
  <c r="F579" i="1" s="1"/>
  <c r="I759" i="16" s="1"/>
  <c r="G868" i="32"/>
  <c r="E1168" i="1" s="1"/>
  <c r="F1168" i="1" s="1"/>
  <c r="I868" i="32" s="1"/>
  <c r="H876" i="32"/>
  <c r="H868" i="32" s="1"/>
  <c r="H2423" i="26"/>
  <c r="H2415" i="26" s="1"/>
  <c r="G2415" i="26"/>
  <c r="E978" i="1" s="1"/>
  <c r="F978" i="1" s="1"/>
  <c r="I2415" i="26" s="1"/>
  <c r="H1332" i="30"/>
  <c r="H1324" i="30" s="1"/>
  <c r="G1324" i="30"/>
  <c r="E1080" i="1" s="1"/>
  <c r="F1080" i="1" s="1"/>
  <c r="I1324" i="30" s="1"/>
  <c r="J1204" i="30"/>
  <c r="K1204" i="30"/>
  <c r="H1312" i="30"/>
  <c r="H1304" i="30" s="1"/>
  <c r="G1304" i="30"/>
  <c r="E1079" i="1" s="1"/>
  <c r="F1079" i="1" s="1"/>
  <c r="I1304" i="30" s="1"/>
  <c r="H2688" i="13"/>
  <c r="H2680" i="13" s="1"/>
  <c r="G2680" i="13"/>
  <c r="E428" i="1" s="1"/>
  <c r="F428" i="1" s="1"/>
  <c r="I2680" i="13" s="1"/>
  <c r="H2080" i="8"/>
  <c r="H2072" i="8" s="1"/>
  <c r="G2072" i="8"/>
  <c r="E110" i="1" s="1"/>
  <c r="F110" i="1" s="1"/>
  <c r="I2072" i="8" s="1"/>
  <c r="H971" i="26"/>
  <c r="H963" i="26" s="1"/>
  <c r="G963" i="26"/>
  <c r="E905" i="1" s="1"/>
  <c r="F905" i="1" s="1"/>
  <c r="I963" i="26" s="1"/>
  <c r="H332" i="33"/>
  <c r="H324" i="33" s="1"/>
  <c r="G324" i="33"/>
  <c r="E1226" i="1" s="1"/>
  <c r="F1226" i="1" s="1"/>
  <c r="I324" i="33" s="1"/>
  <c r="J1806" i="8"/>
  <c r="H1231" i="26"/>
  <c r="H1223" i="26" s="1"/>
  <c r="G1223" i="26"/>
  <c r="E918" i="1" s="1"/>
  <c r="F918" i="1" s="1"/>
  <c r="I1223" i="26" s="1"/>
  <c r="H708" i="13"/>
  <c r="H700" i="13" s="1"/>
  <c r="G700" i="13"/>
  <c r="E328" i="1" s="1"/>
  <c r="F328" i="1" s="1"/>
  <c r="I700" i="13" s="1"/>
  <c r="H243" i="26"/>
  <c r="H235" i="26" s="1"/>
  <c r="G235" i="26"/>
  <c r="E869" i="1" s="1"/>
  <c r="F869" i="1" s="1"/>
  <c r="I235" i="26" s="1"/>
  <c r="H727" i="16"/>
  <c r="H719" i="16" s="1"/>
  <c r="G719" i="16"/>
  <c r="E577" i="1" s="1"/>
  <c r="F577" i="1" s="1"/>
  <c r="I719" i="16" s="1"/>
  <c r="H392" i="24"/>
  <c r="H384" i="24" s="1"/>
  <c r="G384" i="24"/>
  <c r="E792" i="1" s="1"/>
  <c r="F792" i="1" s="1"/>
  <c r="I384" i="24" s="1"/>
  <c r="H1865" i="26"/>
  <c r="H1857" i="26" s="1"/>
  <c r="G1857" i="26"/>
  <c r="E951" i="1" s="1"/>
  <c r="F951" i="1" s="1"/>
  <c r="I1857" i="26" s="1"/>
  <c r="G2932" i="11"/>
  <c r="E291" i="1" s="1"/>
  <c r="F291" i="1" s="1"/>
  <c r="I2932" i="11" s="1"/>
  <c r="H2934" i="11"/>
  <c r="H2932" i="11" s="1"/>
  <c r="H316" i="13"/>
  <c r="H308" i="13" s="1"/>
  <c r="G308" i="13"/>
  <c r="E310" i="1" s="1"/>
  <c r="F310" i="1" s="1"/>
  <c r="I308" i="13" s="1"/>
  <c r="H2561" i="8"/>
  <c r="H2553" i="8" s="1"/>
  <c r="G2553" i="8"/>
  <c r="E134" i="1" s="1"/>
  <c r="F134" i="1" s="1"/>
  <c r="I2553" i="8" s="1"/>
  <c r="H92" i="32"/>
  <c r="H84" i="32" s="1"/>
  <c r="G84" i="32"/>
  <c r="E1129" i="1" s="1"/>
  <c r="F1129" i="1" s="1"/>
  <c r="I84" i="32" s="1"/>
  <c r="H352" i="30"/>
  <c r="H344" i="30" s="1"/>
  <c r="G344" i="30"/>
  <c r="E1031" i="1" s="1"/>
  <c r="F1031" i="1" s="1"/>
  <c r="I344" i="30" s="1"/>
  <c r="H1763" i="16"/>
  <c r="H1755" i="16" s="1"/>
  <c r="G1755" i="16"/>
  <c r="E629" i="1" s="1"/>
  <c r="F629" i="1" s="1"/>
  <c r="I1755" i="16" s="1"/>
  <c r="H2568" i="13"/>
  <c r="H2560" i="13" s="1"/>
  <c r="G2560" i="13"/>
  <c r="E422" i="1" s="1"/>
  <c r="F422" i="1" s="1"/>
  <c r="I2560" i="13" s="1"/>
  <c r="H532" i="21"/>
  <c r="H524" i="21" s="1"/>
  <c r="G524" i="21"/>
  <c r="E706" i="1" s="1"/>
  <c r="F706" i="1" s="1"/>
  <c r="I524" i="21" s="1"/>
  <c r="H2628" i="13"/>
  <c r="H2620" i="13" s="1"/>
  <c r="G2620" i="13"/>
  <c r="E425" i="1" s="1"/>
  <c r="F425" i="1" s="1"/>
  <c r="I2620" i="13" s="1"/>
  <c r="G1220" i="13"/>
  <c r="E355" i="1" s="1"/>
  <c r="F355" i="1" s="1"/>
  <c r="I1220" i="13" s="1"/>
  <c r="H1228" i="13"/>
  <c r="H1220" i="13" s="1"/>
  <c r="H252" i="11"/>
  <c r="H244" i="11" s="1"/>
  <c r="G244" i="11"/>
  <c r="E161" i="1" s="1"/>
  <c r="F161" i="1" s="1"/>
  <c r="I244" i="11" s="1"/>
  <c r="J1144" i="33"/>
  <c r="J764" i="21"/>
  <c r="H2068" i="13"/>
  <c r="H2060" i="13" s="1"/>
  <c r="G2060" i="13"/>
  <c r="E397" i="1" s="1"/>
  <c r="F397" i="1" s="1"/>
  <c r="I2060" i="13" s="1"/>
  <c r="H2180" i="8"/>
  <c r="H2172" i="8" s="1"/>
  <c r="G2172" i="8"/>
  <c r="E115" i="1" s="1"/>
  <c r="F115" i="1" s="1"/>
  <c r="I2172" i="8" s="1"/>
  <c r="H1659" i="15"/>
  <c r="H1651" i="15" s="1"/>
  <c r="G1651" i="15"/>
  <c r="E516" i="1" s="1"/>
  <c r="F516" i="1" s="1"/>
  <c r="I1651" i="15" s="1"/>
  <c r="H1639" i="15"/>
  <c r="H1631" i="15" s="1"/>
  <c r="G1631" i="15"/>
  <c r="E515" i="1" s="1"/>
  <c r="F515" i="1" s="1"/>
  <c r="G506" i="33"/>
  <c r="K1032" i="21"/>
  <c r="H1732" i="30"/>
  <c r="H1724" i="30" s="1"/>
  <c r="G1724" i="30"/>
  <c r="E1101" i="1" s="1"/>
  <c r="F1101" i="1" s="1"/>
  <c r="I1724" i="30" s="1"/>
  <c r="H312" i="21"/>
  <c r="H304" i="21" s="1"/>
  <c r="G304" i="21"/>
  <c r="E695" i="1" s="1"/>
  <c r="F695" i="1" s="1"/>
  <c r="I304" i="21" s="1"/>
  <c r="K1124" i="30"/>
  <c r="J1124" i="30"/>
  <c r="H1256" i="32"/>
  <c r="H1248" i="32" s="1"/>
  <c r="G1248" i="32"/>
  <c r="E1187" i="1" s="1"/>
  <c r="F1187" i="1" s="1"/>
  <c r="I1248" i="32" s="1"/>
  <c r="H1459" i="15"/>
  <c r="H1451" i="15" s="1"/>
  <c r="G1451" i="15"/>
  <c r="E506" i="1" s="1"/>
  <c r="F506" i="1" s="1"/>
  <c r="I1451" i="15" s="1"/>
  <c r="H1519" i="15"/>
  <c r="H1511" i="15" s="1"/>
  <c r="G1511" i="15"/>
  <c r="G1414" i="24"/>
  <c r="H1415" i="24"/>
  <c r="H1307" i="11"/>
  <c r="G1306" i="11"/>
  <c r="H727" i="33"/>
  <c r="G726" i="33"/>
  <c r="H2018" i="11"/>
  <c r="G2017" i="11"/>
  <c r="H1513" i="24"/>
  <c r="G1506" i="24"/>
  <c r="H327" i="30"/>
  <c r="G326" i="30"/>
  <c r="H1067" i="11"/>
  <c r="G1066" i="11"/>
  <c r="H1067" i="30"/>
  <c r="G1066" i="30"/>
  <c r="H808" i="33"/>
  <c r="G806" i="33"/>
  <c r="H2078" i="11"/>
  <c r="G2077" i="11"/>
  <c r="G1364" i="24"/>
  <c r="H1365" i="24"/>
  <c r="H147" i="30"/>
  <c r="G146" i="30"/>
  <c r="H307" i="11"/>
  <c r="G306" i="11"/>
  <c r="H1294" i="15"/>
  <c r="G1292" i="15"/>
  <c r="H468" i="33"/>
  <c r="G466" i="33"/>
  <c r="H1248" i="13"/>
  <c r="H1240" i="13" s="1"/>
  <c r="G1240" i="13"/>
  <c r="E356" i="1" s="1"/>
  <c r="F356" i="1" s="1"/>
  <c r="I1240" i="13" s="1"/>
  <c r="K484" i="21"/>
  <c r="J484" i="21"/>
  <c r="H432" i="16"/>
  <c r="H424" i="16" s="1"/>
  <c r="G424" i="16"/>
  <c r="E563" i="1" s="1"/>
  <c r="F563" i="1" s="1"/>
  <c r="I424" i="16" s="1"/>
  <c r="J1084" i="33"/>
  <c r="G1039" i="16"/>
  <c r="E594" i="1" s="1"/>
  <c r="F594" i="1" s="1"/>
  <c r="I1039" i="16" s="1"/>
  <c r="H1047" i="16"/>
  <c r="H1039" i="16" s="1"/>
  <c r="H1912" i="30"/>
  <c r="H1904" i="30" s="1"/>
  <c r="G1904" i="30"/>
  <c r="E1110" i="1" s="1"/>
  <c r="F1110" i="1" s="1"/>
  <c r="I1904" i="30" s="1"/>
  <c r="H657" i="15"/>
  <c r="H649" i="15" s="1"/>
  <c r="G649" i="15"/>
  <c r="E466" i="1" s="1"/>
  <c r="F466" i="1" s="1"/>
  <c r="I649" i="15" s="1"/>
  <c r="H1072" i="16"/>
  <c r="H1059" i="16" s="1"/>
  <c r="G1059" i="16"/>
  <c r="E595" i="1" s="1"/>
  <c r="F595" i="1" s="1"/>
  <c r="I1059" i="16" s="1"/>
  <c r="H653" i="24"/>
  <c r="H645" i="24" s="1"/>
  <c r="G645" i="24"/>
  <c r="E805" i="1" s="1"/>
  <c r="F805" i="1" s="1"/>
  <c r="I645" i="24" s="1"/>
  <c r="H1563" i="16"/>
  <c r="H1555" i="16" s="1"/>
  <c r="G1555" i="16"/>
  <c r="E619" i="1" s="1"/>
  <c r="F619" i="1" s="1"/>
  <c r="I1555" i="16" s="1"/>
  <c r="G1588" i="32"/>
  <c r="E1204" i="1" s="1"/>
  <c r="F1204" i="1" s="1"/>
  <c r="I1588" i="32" s="1"/>
  <c r="H1596" i="32"/>
  <c r="H1588" i="32" s="1"/>
  <c r="H1269" i="24"/>
  <c r="H1261" i="24" s="1"/>
  <c r="G1261" i="24"/>
  <c r="E837" i="1" s="1"/>
  <c r="F837" i="1" s="1"/>
  <c r="I1261" i="24" s="1"/>
  <c r="H52" i="21"/>
  <c r="H44" i="21" s="1"/>
  <c r="G44" i="21"/>
  <c r="E682" i="1" s="1"/>
  <c r="F682" i="1" s="1"/>
  <c r="I44" i="21" s="1"/>
  <c r="H416" i="13"/>
  <c r="H408" i="13" s="1"/>
  <c r="G408" i="13"/>
  <c r="E315" i="1" s="1"/>
  <c r="F315" i="1" s="1"/>
  <c r="I408" i="13" s="1"/>
  <c r="H1176" i="32"/>
  <c r="H1168" i="32" s="1"/>
  <c r="G1168" i="32"/>
  <c r="E1183" i="1" s="1"/>
  <c r="F1183" i="1" s="1"/>
  <c r="I1168" i="32" s="1"/>
  <c r="K1504" i="30"/>
  <c r="K321" i="8"/>
  <c r="J321" i="8"/>
  <c r="H852" i="30"/>
  <c r="H844" i="30" s="1"/>
  <c r="G844" i="30"/>
  <c r="E1056" i="1" s="1"/>
  <c r="F1056" i="1" s="1"/>
  <c r="I844" i="30" s="1"/>
  <c r="H1077" i="15"/>
  <c r="H1069" i="15" s="1"/>
  <c r="G1069" i="15"/>
  <c r="E487" i="1" s="1"/>
  <c r="F487" i="1" s="1"/>
  <c r="H1523" i="16"/>
  <c r="H1515" i="16" s="1"/>
  <c r="G1515" i="16"/>
  <c r="E617" i="1" s="1"/>
  <c r="F617" i="1" s="1"/>
  <c r="I1515" i="16" s="1"/>
  <c r="H2035" i="30"/>
  <c r="H2027" i="30" s="1"/>
  <c r="G2027" i="30"/>
  <c r="E1116" i="1" s="1"/>
  <c r="F1116" i="1" s="1"/>
  <c r="I2027" i="30" s="1"/>
  <c r="H1372" i="30"/>
  <c r="H1364" i="30" s="1"/>
  <c r="G1364" i="30"/>
  <c r="E1082" i="1" s="1"/>
  <c r="F1082" i="1" s="1"/>
  <c r="I1364" i="30" s="1"/>
  <c r="J1084" i="30"/>
  <c r="K1084" i="30"/>
  <c r="H1836" i="21"/>
  <c r="H1828" i="21" s="1"/>
  <c r="G1828" i="21"/>
  <c r="E771" i="1" s="1"/>
  <c r="F771" i="1" s="1"/>
  <c r="I1828" i="21" s="1"/>
  <c r="H566" i="11"/>
  <c r="H564" i="11" s="1"/>
  <c r="G564" i="11"/>
  <c r="E178" i="1" s="1"/>
  <c r="F178" i="1" s="1"/>
  <c r="I564" i="11" s="1"/>
  <c r="H871" i="26"/>
  <c r="H863" i="26" s="1"/>
  <c r="G863" i="26"/>
  <c r="E900" i="1" s="1"/>
  <c r="F900" i="1" s="1"/>
  <c r="I863" i="26" s="1"/>
  <c r="H317" i="15"/>
  <c r="H309" i="15" s="1"/>
  <c r="G309" i="15"/>
  <c r="E449" i="1" s="1"/>
  <c r="F449" i="1" s="1"/>
  <c r="H52" i="16"/>
  <c r="H44" i="16" s="1"/>
  <c r="G44" i="16"/>
  <c r="E543" i="1" s="1"/>
  <c r="F543" i="1" s="1"/>
  <c r="I44" i="16" s="1"/>
  <c r="H1117" i="15"/>
  <c r="H1109" i="15" s="1"/>
  <c r="G1109" i="15"/>
  <c r="E489" i="1" s="1"/>
  <c r="F489" i="1" s="1"/>
  <c r="I1109" i="15" s="1"/>
  <c r="H1303" i="16"/>
  <c r="H1295" i="16" s="1"/>
  <c r="G1295" i="16"/>
  <c r="E606" i="1" s="1"/>
  <c r="F606" i="1" s="1"/>
  <c r="I1295" i="16" s="1"/>
  <c r="H197" i="15"/>
  <c r="H189" i="15" s="1"/>
  <c r="G189" i="15"/>
  <c r="E443" i="1" s="1"/>
  <c r="F443" i="1" s="1"/>
  <c r="I189" i="15" s="1"/>
  <c r="G1448" i="21"/>
  <c r="E752" i="1" s="1"/>
  <c r="F752" i="1" s="1"/>
  <c r="I1448" i="21" s="1"/>
  <c r="H1456" i="21"/>
  <c r="H1448" i="21" s="1"/>
  <c r="H557" i="15"/>
  <c r="H549" i="15" s="1"/>
  <c r="G549" i="15"/>
  <c r="E461" i="1" s="1"/>
  <c r="F461" i="1" s="1"/>
  <c r="I549" i="15" s="1"/>
  <c r="G289" i="15"/>
  <c r="E448" i="1" s="1"/>
  <c r="F448" i="1" s="1"/>
  <c r="I289" i="15" s="1"/>
  <c r="H297" i="15"/>
  <c r="H289" i="15" s="1"/>
  <c r="H377" i="15"/>
  <c r="H369" i="15" s="1"/>
  <c r="G369" i="15"/>
  <c r="E452" i="1" s="1"/>
  <c r="F452" i="1" s="1"/>
  <c r="I369" i="15" s="1"/>
  <c r="H688" i="13"/>
  <c r="H680" i="13" s="1"/>
  <c r="G680" i="13"/>
  <c r="E327" i="1" s="1"/>
  <c r="F327" i="1" s="1"/>
  <c r="I680" i="13" s="1"/>
  <c r="H2045" i="26"/>
  <c r="H2037" i="26" s="1"/>
  <c r="G2037" i="26"/>
  <c r="E960" i="1" s="1"/>
  <c r="F960" i="1" s="1"/>
  <c r="I2037" i="26" s="1"/>
  <c r="H1854" i="8"/>
  <c r="H1846" i="8" s="1"/>
  <c r="G1846" i="8"/>
  <c r="E98" i="1" s="1"/>
  <c r="F98" i="1" s="1"/>
  <c r="I1846" i="8" s="1"/>
  <c r="H2320" i="8"/>
  <c r="H2312" i="8" s="1"/>
  <c r="G2312" i="8"/>
  <c r="E122" i="1" s="1"/>
  <c r="F122" i="1" s="1"/>
  <c r="I2312" i="8" s="1"/>
  <c r="H1412" i="30"/>
  <c r="H1404" i="30" s="1"/>
  <c r="G1404" i="30"/>
  <c r="E1084" i="1" s="1"/>
  <c r="F1084" i="1" s="1"/>
  <c r="I1404" i="30" s="1"/>
  <c r="J204" i="21"/>
  <c r="K204" i="21"/>
  <c r="H192" i="16"/>
  <c r="H184" i="16" s="1"/>
  <c r="G184" i="16"/>
  <c r="E550" i="1" s="1"/>
  <c r="F550" i="1" s="1"/>
  <c r="I184" i="16" s="1"/>
  <c r="H2115" i="30"/>
  <c r="H2107" i="30" s="1"/>
  <c r="G2107" i="30"/>
  <c r="E1120" i="1" s="1"/>
  <c r="F1120" i="1" s="1"/>
  <c r="I2107" i="30" s="1"/>
  <c r="H2205" i="16"/>
  <c r="H2197" i="16" s="1"/>
  <c r="G2197" i="16"/>
  <c r="E653" i="1" s="1"/>
  <c r="F653" i="1" s="1"/>
  <c r="I2197" i="16" s="1"/>
  <c r="H252" i="24"/>
  <c r="H244" i="24" s="1"/>
  <c r="G244" i="24"/>
  <c r="E785" i="1" s="1"/>
  <c r="F785" i="1" s="1"/>
  <c r="I244" i="24" s="1"/>
  <c r="H392" i="33"/>
  <c r="H384" i="33" s="1"/>
  <c r="G384" i="33"/>
  <c r="E1229" i="1" s="1"/>
  <c r="F1229" i="1" s="1"/>
  <c r="I384" i="33" s="1"/>
  <c r="G284" i="24"/>
  <c r="E787" i="1" s="1"/>
  <c r="F787" i="1" s="1"/>
  <c r="I284" i="24" s="1"/>
  <c r="H292" i="24"/>
  <c r="H284" i="24" s="1"/>
  <c r="H1894" i="8"/>
  <c r="H1886" i="8" s="1"/>
  <c r="G1886" i="8"/>
  <c r="E101" i="1" s="1"/>
  <c r="F101" i="1" s="1"/>
  <c r="I1886" i="8" s="1"/>
  <c r="H269" i="8"/>
  <c r="H261" i="8" s="1"/>
  <c r="G261" i="8"/>
  <c r="E18" i="1" s="1"/>
  <c r="F18" i="1" s="1"/>
  <c r="I261" i="8" s="1"/>
  <c r="H1872" i="30"/>
  <c r="H1864" i="30" s="1"/>
  <c r="G1864" i="30"/>
  <c r="E1108" i="1" s="1"/>
  <c r="F1108" i="1" s="1"/>
  <c r="I1864" i="30" s="1"/>
  <c r="H551" i="13"/>
  <c r="H540" i="13" s="1"/>
  <c r="G540" i="13"/>
  <c r="E321" i="1" s="1"/>
  <c r="F321" i="1" s="1"/>
  <c r="I540" i="13" s="1"/>
  <c r="H1539" i="15"/>
  <c r="H1531" i="15" s="1"/>
  <c r="G1531" i="15"/>
  <c r="E510" i="1" s="1"/>
  <c r="F510" i="1" s="1"/>
  <c r="H2428" i="13"/>
  <c r="H2420" i="13" s="1"/>
  <c r="G2420" i="13"/>
  <c r="E415" i="1" s="1"/>
  <c r="F415" i="1" s="1"/>
  <c r="I2420" i="13" s="1"/>
  <c r="H988" i="13"/>
  <c r="H980" i="13" s="1"/>
  <c r="G980" i="13"/>
  <c r="E342" i="1" s="1"/>
  <c r="F342" i="1" s="1"/>
  <c r="I980" i="13" s="1"/>
  <c r="H475" i="16"/>
  <c r="H464" i="16" s="1"/>
  <c r="G464" i="16"/>
  <c r="E565" i="1" s="1"/>
  <c r="F565" i="1" s="1"/>
  <c r="I464" i="16" s="1"/>
  <c r="H33" i="13"/>
  <c r="H7" i="3" s="1"/>
  <c r="G32" i="13"/>
  <c r="H183" i="26"/>
  <c r="H175" i="26" s="1"/>
  <c r="G175" i="26"/>
  <c r="E866" i="1" s="1"/>
  <c r="F866" i="1" s="1"/>
  <c r="I175" i="26" s="1"/>
  <c r="H2666" i="16"/>
  <c r="H2658" i="16" s="1"/>
  <c r="G2658" i="16"/>
  <c r="E676" i="1" s="1"/>
  <c r="F676" i="1" s="1"/>
  <c r="I2658" i="16" s="1"/>
  <c r="H544" i="26"/>
  <c r="H542" i="26" s="1"/>
  <c r="G542" i="26"/>
  <c r="E884" i="1" s="1"/>
  <c r="F884" i="1" s="1"/>
  <c r="I542" i="26" s="1"/>
  <c r="H2686" i="16"/>
  <c r="H2678" i="16" s="1"/>
  <c r="G2678" i="16"/>
  <c r="E677" i="1" s="1"/>
  <c r="F677" i="1" s="1"/>
  <c r="I2678" i="16" s="1"/>
  <c r="H1499" i="15"/>
  <c r="H1491" i="15" s="1"/>
  <c r="G1491" i="15"/>
  <c r="E508" i="1" s="1"/>
  <c r="F508" i="1" s="1"/>
  <c r="I1491" i="15" s="1"/>
  <c r="H1174" i="8"/>
  <c r="H1166" i="8" s="1"/>
  <c r="G1166" i="8"/>
  <c r="E64" i="1" s="1"/>
  <c r="F64" i="1" s="1"/>
  <c r="I1166" i="8" s="1"/>
  <c r="H957" i="15"/>
  <c r="H949" i="15" s="1"/>
  <c r="G949" i="15"/>
  <c r="E481" i="1" s="1"/>
  <c r="F481" i="1" s="1"/>
  <c r="H1291" i="26"/>
  <c r="H1283" i="26" s="1"/>
  <c r="G1283" i="26"/>
  <c r="E921" i="1" s="1"/>
  <c r="F921" i="1" s="1"/>
  <c r="I1283" i="26" s="1"/>
  <c r="H426" i="11"/>
  <c r="H424" i="11" s="1"/>
  <c r="G424" i="11"/>
  <c r="E171" i="1" s="1"/>
  <c r="F171" i="1" s="1"/>
  <c r="I424" i="11" s="1"/>
  <c r="H2823" i="26"/>
  <c r="H2815" i="26" s="1"/>
  <c r="G2815" i="26"/>
  <c r="E998" i="1" s="1"/>
  <c r="F998" i="1" s="1"/>
  <c r="I2815" i="26" s="1"/>
  <c r="H2205" i="26"/>
  <c r="H2197" i="26" s="1"/>
  <c r="G2197" i="26"/>
  <c r="E968" i="1" s="1"/>
  <c r="F968" i="1" s="1"/>
  <c r="I2197" i="26" s="1"/>
  <c r="H2015" i="30"/>
  <c r="H2007" i="30" s="1"/>
  <c r="G2007" i="30"/>
  <c r="E1115" i="1" s="1"/>
  <c r="F1115" i="1" s="1"/>
  <c r="I2007" i="30" s="1"/>
  <c r="G686" i="33"/>
  <c r="H687" i="33"/>
  <c r="H609" i="33"/>
  <c r="G606" i="33"/>
  <c r="H2638" i="26"/>
  <c r="H465" i="26"/>
  <c r="G464" i="26"/>
  <c r="H347" i="11"/>
  <c r="G346" i="11"/>
  <c r="G190" i="32"/>
  <c r="O799" i="2"/>
  <c r="O568" i="2"/>
  <c r="O22" i="2"/>
  <c r="O684" i="2"/>
  <c r="O696" i="2"/>
  <c r="O58" i="3"/>
  <c r="O156" i="2"/>
  <c r="O668" i="2"/>
  <c r="O28" i="2"/>
  <c r="O132" i="2"/>
  <c r="O736" i="2"/>
  <c r="O848" i="2"/>
  <c r="O9" i="4"/>
  <c r="O390" i="2"/>
  <c r="O494" i="2"/>
  <c r="O60" i="3"/>
  <c r="O667" i="2"/>
  <c r="O652" i="2"/>
  <c r="O310" i="2"/>
  <c r="O163" i="2"/>
  <c r="O12" i="3"/>
  <c r="O857" i="2"/>
  <c r="O133" i="2"/>
  <c r="O437" i="2"/>
  <c r="O306" i="2"/>
  <c r="O194" i="2"/>
  <c r="O781" i="2"/>
  <c r="O51" i="5"/>
  <c r="O231" i="2"/>
  <c r="O915" i="2"/>
  <c r="O602" i="2"/>
  <c r="O681" i="2"/>
  <c r="O927" i="2"/>
  <c r="O47" i="2"/>
  <c r="O709" i="2"/>
  <c r="O447" i="2"/>
  <c r="O521" i="2"/>
  <c r="O914" i="2"/>
  <c r="O24" i="3"/>
  <c r="O88" i="2"/>
  <c r="O17" i="3"/>
  <c r="O253" i="2"/>
  <c r="O747" i="2"/>
  <c r="O324" i="2"/>
  <c r="O289" i="2"/>
  <c r="O661" i="2"/>
  <c r="O82" i="3"/>
  <c r="O722" i="2"/>
  <c r="O154" i="2"/>
  <c r="O811" i="2"/>
  <c r="O690" i="2"/>
  <c r="O234" i="2"/>
  <c r="O199" i="2"/>
  <c r="O920" i="2"/>
  <c r="O57" i="5"/>
  <c r="O916" i="2"/>
  <c r="O933" i="2"/>
  <c r="O526" i="2"/>
  <c r="O530" i="2"/>
  <c r="O886" i="2"/>
  <c r="O9" i="3"/>
  <c r="O765" i="2"/>
  <c r="O108" i="2"/>
  <c r="O372" i="2"/>
  <c r="O37" i="2"/>
  <c r="O238" i="2"/>
  <c r="O107" i="2"/>
  <c r="O903" i="2"/>
  <c r="O87" i="2"/>
  <c r="O60" i="2"/>
  <c r="O606" i="2"/>
  <c r="O153" i="2"/>
  <c r="O159" i="2"/>
  <c r="O31" i="3"/>
  <c r="O402" i="2"/>
  <c r="O778" i="2"/>
  <c r="O776" i="2"/>
  <c r="O507" i="2"/>
  <c r="O49" i="3"/>
  <c r="O147" i="2"/>
  <c r="O770" i="2"/>
  <c r="O719" i="2"/>
  <c r="O549" i="2"/>
  <c r="O721" i="2"/>
  <c r="O506" i="2"/>
  <c r="O219" i="2"/>
  <c r="O755" i="2"/>
  <c r="O109" i="2"/>
  <c r="O510" i="2"/>
  <c r="O273" i="2"/>
  <c r="O95" i="2"/>
  <c r="O535" i="2"/>
  <c r="O79" i="2"/>
  <c r="O599" i="2"/>
  <c r="O853" i="2"/>
  <c r="O938" i="2"/>
  <c r="O119" i="2"/>
  <c r="O75" i="3"/>
  <c r="O648" i="2"/>
  <c r="O542" i="2"/>
  <c r="O656" i="2"/>
  <c r="O322" i="2"/>
  <c r="O869" i="2"/>
  <c r="O760" i="2"/>
  <c r="O29" i="2"/>
  <c r="O340" i="2"/>
  <c r="O407" i="2"/>
  <c r="O790" i="2"/>
  <c r="O241" i="2"/>
  <c r="O906" i="2"/>
  <c r="O804" i="2"/>
  <c r="O217" i="2"/>
  <c r="O169" i="2"/>
  <c r="O61" i="2"/>
  <c r="O932" i="2"/>
  <c r="O131" i="2"/>
  <c r="O621" i="2"/>
  <c r="O489" i="2"/>
  <c r="O13" i="2"/>
  <c r="O805" i="2"/>
  <c r="O470" i="2"/>
  <c r="O357" i="2"/>
  <c r="O590" i="2"/>
  <c r="O701" i="2"/>
  <c r="O71" i="3"/>
  <c r="O76" i="2"/>
  <c r="O841" i="2"/>
  <c r="O41" i="5"/>
  <c r="O311" i="2"/>
  <c r="O626" i="2"/>
  <c r="O258" i="2"/>
  <c r="O41" i="3"/>
  <c r="O160" i="2"/>
  <c r="O361" i="2"/>
  <c r="O14" i="3"/>
  <c r="O92" i="2"/>
  <c r="O641" i="2"/>
  <c r="O221" i="2"/>
  <c r="O529" i="2"/>
  <c r="O358" i="2"/>
  <c r="O528" i="2"/>
  <c r="O614" i="2"/>
  <c r="O796" i="2"/>
  <c r="O753" i="2"/>
  <c r="O815" i="2"/>
  <c r="O409" i="2"/>
  <c r="O50" i="2"/>
  <c r="O385" i="2"/>
  <c r="O378" i="2"/>
  <c r="O52" i="5"/>
  <c r="O197" i="2"/>
  <c r="O718" i="2"/>
  <c r="O600" i="2"/>
  <c r="O317" i="2"/>
  <c r="O657" i="2"/>
  <c r="O195" i="2"/>
  <c r="O65" i="3"/>
  <c r="O192" i="2"/>
  <c r="O823" i="2"/>
  <c r="O380" i="2"/>
  <c r="O13" i="3"/>
  <c r="O11" i="3"/>
  <c r="O640" i="2"/>
  <c r="O116" i="2"/>
  <c r="O739" i="2"/>
  <c r="O427" i="2"/>
  <c r="O235" i="2"/>
  <c r="O919" i="2"/>
  <c r="O23" i="3"/>
  <c r="O650" i="2"/>
  <c r="O423" i="2"/>
  <c r="O659" i="2"/>
  <c r="O941" i="2"/>
  <c r="O724" i="2"/>
  <c r="O557" i="2"/>
  <c r="O677" i="2"/>
  <c r="O56" i="5"/>
  <c r="O144" i="2"/>
  <c r="O943" i="2"/>
  <c r="O346" i="2"/>
  <c r="O540" i="2"/>
  <c r="O6" i="3"/>
  <c r="O232" i="2"/>
  <c r="O245" i="2"/>
  <c r="O448" i="2"/>
  <c r="O376" i="2"/>
  <c r="O421" i="2"/>
  <c r="O30" i="2"/>
  <c r="O893" i="2"/>
  <c r="O260" i="2"/>
  <c r="O70" i="2"/>
  <c r="O40" i="3"/>
  <c r="O110" i="2"/>
  <c r="O368" i="2"/>
  <c r="O364" i="2"/>
  <c r="O584" i="2"/>
  <c r="O768" i="2"/>
  <c r="O381" i="2"/>
  <c r="O413" i="2"/>
  <c r="O185" i="2"/>
  <c r="O839" i="2"/>
  <c r="O51" i="2"/>
  <c r="O255" i="2"/>
  <c r="O645" i="2"/>
  <c r="O36" i="2"/>
  <c r="O571" i="2"/>
  <c r="O155" i="2"/>
  <c r="O8" i="2"/>
  <c r="O856" i="2"/>
  <c r="O551" i="2"/>
  <c r="O64" i="3"/>
  <c r="O139" i="2"/>
  <c r="O9" i="2"/>
  <c r="O48" i="3"/>
  <c r="O727" i="2"/>
  <c r="O398" i="2"/>
  <c r="O387" i="2"/>
  <c r="O767" i="2"/>
  <c r="O699" i="2"/>
  <c r="O682" i="2"/>
  <c r="O842" i="2"/>
  <c r="O189" i="2"/>
  <c r="O349" i="2"/>
  <c r="O810" i="2"/>
  <c r="O694" i="2"/>
  <c r="O100" i="2"/>
  <c r="O339" i="2"/>
  <c r="O904" i="2"/>
  <c r="O826" i="2"/>
  <c r="O75" i="2"/>
  <c r="O10" i="2"/>
  <c r="O46" i="2"/>
  <c r="O658" i="2"/>
  <c r="O303" i="2"/>
  <c r="O326" i="2"/>
  <c r="O871" i="2"/>
  <c r="O333" i="2"/>
  <c r="O504" i="2"/>
  <c r="O168" i="2"/>
  <c r="O124" i="2"/>
  <c r="O479" i="2"/>
  <c r="O456" i="2"/>
  <c r="O481" i="2"/>
  <c r="O302" i="2"/>
  <c r="O573" i="2"/>
  <c r="O487" i="2"/>
  <c r="O20" i="2"/>
  <c r="O468" i="2"/>
  <c r="O474" i="2"/>
  <c r="O466" i="2"/>
  <c r="O248" i="2"/>
  <c r="O337" i="2"/>
  <c r="O434" i="2"/>
  <c r="O343" i="2"/>
  <c r="O5" i="4"/>
  <c r="O305" i="2"/>
  <c r="O430" i="2"/>
  <c r="O569" i="2"/>
  <c r="O99" i="2"/>
  <c r="O532" i="2"/>
  <c r="O40" i="5"/>
  <c r="O592" i="2"/>
  <c r="O37" i="5"/>
  <c r="O166" i="2"/>
  <c r="O47" i="5"/>
  <c r="O860" i="2"/>
  <c r="O675" i="2"/>
  <c r="O79" i="3"/>
  <c r="O288" i="2"/>
  <c r="O204" i="2"/>
  <c r="O344" i="2"/>
  <c r="O809" i="2"/>
  <c r="O267" i="2"/>
  <c r="O519" i="2"/>
  <c r="O111" i="2"/>
  <c r="O879" i="2"/>
  <c r="O710" i="2"/>
  <c r="O31" i="2"/>
  <c r="O386" i="2"/>
  <c r="O118" i="2"/>
  <c r="O553" i="2"/>
  <c r="O35" i="5"/>
  <c r="O552" i="2"/>
  <c r="O330" i="2"/>
  <c r="O837" i="2"/>
  <c r="O352" i="2"/>
  <c r="O113" i="2"/>
  <c r="O405" i="2"/>
  <c r="O594" i="2"/>
  <c r="O256" i="2"/>
  <c r="O165" i="2"/>
  <c r="O400" i="2"/>
  <c r="O909" i="2"/>
  <c r="O98" i="2"/>
  <c r="O193" i="2"/>
  <c r="O57" i="2"/>
  <c r="O69" i="2"/>
  <c r="O807" i="2"/>
  <c r="O663" i="2"/>
  <c r="O578" i="2"/>
  <c r="O812" i="2"/>
  <c r="O740" i="2"/>
  <c r="O19" i="3"/>
  <c r="O243" i="2"/>
  <c r="O917" i="2"/>
  <c r="O58" i="5"/>
  <c r="O875" i="2"/>
  <c r="O48" i="5"/>
  <c r="O393" i="2"/>
  <c r="O631" i="2"/>
  <c r="O751" i="2"/>
  <c r="O580" i="2"/>
  <c r="O34" i="2"/>
  <c r="O731" i="2"/>
  <c r="O582" i="2"/>
  <c r="O242" i="2"/>
  <c r="O33" i="3"/>
  <c r="O239" i="2"/>
  <c r="O702" i="2"/>
  <c r="O433" i="2"/>
  <c r="O550" i="2"/>
  <c r="O746" i="2"/>
  <c r="O334" i="2"/>
  <c r="O45" i="5"/>
  <c r="O775" i="2"/>
  <c r="O83" i="3"/>
  <c r="O69" i="3"/>
  <c r="O522" i="2"/>
  <c r="O654" i="2"/>
  <c r="O88" i="3"/>
  <c r="O921" i="2"/>
  <c r="O515" i="2"/>
  <c r="O404" i="2"/>
  <c r="O558" i="2"/>
  <c r="O35" i="2"/>
  <c r="O403" i="2"/>
  <c r="O43" i="3"/>
  <c r="O581" i="2"/>
  <c r="O880" i="2"/>
  <c r="O283" i="2"/>
  <c r="O332" i="2"/>
  <c r="O7" i="4"/>
  <c r="O937" i="2"/>
  <c r="O178" i="2"/>
  <c r="O284" i="2"/>
  <c r="O73" i="3"/>
  <c r="O892" i="2"/>
  <c r="O642" i="2"/>
  <c r="O313" i="2"/>
  <c r="O595" i="2"/>
  <c r="O63" i="3"/>
  <c r="O670" i="2"/>
  <c r="O745" i="2"/>
  <c r="O700" i="2"/>
  <c r="O929" i="2"/>
  <c r="O634" i="2"/>
  <c r="O76" i="3"/>
  <c r="O854" i="2"/>
  <c r="O424" i="2"/>
  <c r="O275" i="2"/>
  <c r="O843" i="2"/>
  <c r="O639" i="2"/>
  <c r="O816" i="2"/>
  <c r="O728" i="2"/>
  <c r="O828" i="2"/>
  <c r="O806" i="2"/>
  <c r="O25" i="3"/>
  <c r="O127" i="2"/>
  <c r="O472" i="2"/>
  <c r="O471" i="2"/>
  <c r="O473" i="2"/>
  <c r="O130" i="2"/>
  <c r="O798" i="2"/>
  <c r="O451" i="2"/>
  <c r="O845" i="2"/>
  <c r="O503" i="2"/>
  <c r="O496" i="2"/>
  <c r="O624" i="2"/>
  <c r="O46" i="3"/>
  <c r="O883" i="2"/>
  <c r="O259" i="2"/>
  <c r="O33" i="2"/>
  <c r="O38" i="3"/>
  <c r="O432" i="2"/>
  <c r="O148" i="2"/>
  <c r="O338" i="2"/>
  <c r="O137" i="2"/>
  <c r="O290" i="2"/>
  <c r="O934" i="2"/>
  <c r="O35" i="3"/>
  <c r="O649" i="2"/>
  <c r="O422" i="2"/>
  <c r="O276" i="2"/>
  <c r="O579" i="2"/>
  <c r="O375" i="2"/>
  <c r="O224" i="2"/>
  <c r="O498" i="2"/>
  <c r="O8" i="3"/>
  <c r="O564" i="2"/>
  <c r="O399" i="2"/>
  <c r="O81" i="2"/>
  <c r="O106" i="2"/>
  <c r="O162" i="2"/>
  <c r="O54" i="5"/>
  <c r="O70" i="3"/>
  <c r="O789" i="2"/>
  <c r="O150" i="2"/>
  <c r="O647" i="2"/>
  <c r="O54" i="2"/>
  <c r="O307" i="2"/>
  <c r="O187" i="2"/>
  <c r="O436" i="2"/>
  <c r="O664" i="2"/>
  <c r="O679" i="2"/>
  <c r="O704" i="2"/>
  <c r="O527" i="2"/>
  <c r="O591" i="2"/>
  <c r="O102" i="2"/>
  <c r="O18" i="3"/>
  <c r="O55" i="2"/>
  <c r="O918" i="2"/>
  <c r="O636" i="2"/>
  <c r="O415" i="2"/>
  <c r="O878" i="2"/>
  <c r="O898" i="2"/>
  <c r="O38" i="2"/>
  <c r="O742" i="2"/>
  <c r="O87" i="3"/>
  <c r="O870" i="2"/>
  <c r="O603" i="2"/>
  <c r="O32" i="2"/>
  <c r="O820" i="2"/>
  <c r="O33" i="5"/>
  <c r="O51" i="3"/>
  <c r="O692" i="2"/>
  <c r="O314" i="2"/>
  <c r="O785" i="2"/>
  <c r="O54" i="3"/>
  <c r="O27" i="2"/>
  <c r="O66" i="3"/>
  <c r="O619" i="2"/>
  <c r="O662" i="2"/>
  <c r="O379" i="2"/>
  <c r="O59" i="2"/>
  <c r="O851" i="2"/>
  <c r="O233" i="2"/>
  <c r="O45" i="2"/>
  <c r="O788" i="2"/>
  <c r="O200" i="2"/>
  <c r="O48" i="2"/>
  <c r="O177" i="2"/>
  <c r="O824" i="2"/>
  <c r="O356" i="2"/>
  <c r="O285" i="2"/>
  <c r="O362" i="2"/>
  <c r="O651" i="2"/>
  <c r="O858" i="2"/>
  <c r="O323" i="2"/>
  <c r="O673" i="2"/>
  <c r="O157" i="2"/>
  <c r="O84" i="3"/>
  <c r="O795" i="2"/>
  <c r="O585" i="2"/>
  <c r="O713" i="2"/>
  <c r="O676" i="2"/>
  <c r="O65" i="2"/>
  <c r="O43" i="2"/>
  <c r="O674" i="2"/>
  <c r="O274" i="2"/>
  <c r="O86" i="3"/>
  <c r="O756" i="2"/>
  <c r="O861" i="2"/>
  <c r="O896" i="2"/>
  <c r="O897" i="2"/>
  <c r="O865" i="2"/>
  <c r="O518" i="2"/>
  <c r="O593" i="2"/>
  <c r="O249" i="2"/>
  <c r="O186" i="2"/>
  <c r="O655" i="2"/>
  <c r="O714" i="2"/>
  <c r="O559" i="2"/>
  <c r="O840" i="2"/>
  <c r="O392" i="2"/>
  <c r="O780" i="2"/>
  <c r="O277" i="2"/>
  <c r="O74" i="3"/>
  <c r="O867" i="2"/>
  <c r="O85" i="3"/>
  <c r="O225" i="2"/>
  <c r="O26" i="3"/>
  <c r="O226" i="2"/>
  <c r="O505" i="2"/>
  <c r="O66" i="2"/>
  <c r="O730" i="2"/>
  <c r="O607" i="2"/>
  <c r="O907" i="2"/>
  <c r="O458" i="2"/>
  <c r="O179" i="2"/>
  <c r="O457" i="2"/>
  <c r="O74" i="2"/>
  <c r="O803" i="2"/>
  <c r="O454" i="2"/>
  <c r="O622" i="2"/>
  <c r="O183" i="2"/>
  <c r="O467" i="2"/>
  <c r="O462" i="2"/>
  <c r="O397" i="2"/>
  <c r="O410" i="2"/>
  <c r="O725" i="2"/>
  <c r="O764" i="2"/>
  <c r="O545" i="2"/>
  <c r="O862" i="2"/>
  <c r="O438" i="2"/>
  <c r="O429" i="2"/>
  <c r="O21" i="3"/>
  <c r="O34" i="5"/>
  <c r="O616" i="2"/>
  <c r="O939" i="2"/>
  <c r="O369" i="2"/>
  <c r="O384" i="2"/>
  <c r="O922" i="2"/>
  <c r="O691" i="2"/>
  <c r="O766" i="2"/>
  <c r="O666" i="2"/>
  <c r="O38" i="5"/>
  <c r="O561" i="2"/>
  <c r="O143" i="2"/>
  <c r="O8" i="4"/>
  <c r="O791" i="2"/>
  <c r="O286" i="2"/>
  <c r="O866" i="2"/>
  <c r="O112" i="2"/>
  <c r="O419" i="2"/>
  <c r="O441" i="2"/>
  <c r="O834" i="2"/>
  <c r="O78" i="2"/>
  <c r="O36" i="3"/>
  <c r="O46" i="5"/>
  <c r="O705" i="2"/>
  <c r="O292" i="2"/>
  <c r="O660" i="2"/>
  <c r="O838" i="2"/>
  <c r="O695" i="2"/>
  <c r="O59" i="3"/>
  <c r="O329" i="2"/>
  <c r="O96" i="2"/>
  <c r="O114" i="2"/>
  <c r="O706" i="2"/>
  <c r="O847" i="2"/>
  <c r="O319" i="2"/>
  <c r="O440" i="2"/>
  <c r="O618" i="2"/>
  <c r="O752" i="2"/>
  <c r="O711" i="2"/>
  <c r="O923" i="2"/>
  <c r="O541" i="2"/>
  <c r="O53" i="5"/>
  <c r="O55" i="3"/>
  <c r="O212" i="2"/>
  <c r="O82" i="2"/>
  <c r="O683" i="2"/>
  <c r="O876" i="2"/>
  <c r="O196" i="2"/>
  <c r="O265" i="2"/>
  <c r="O588" i="2"/>
  <c r="O315" i="2"/>
  <c r="O271" i="2"/>
  <c r="O738" i="2"/>
  <c r="O583" i="2"/>
  <c r="O894" i="2"/>
  <c r="O786" i="2"/>
  <c r="O298" i="2"/>
  <c r="O567" i="2"/>
  <c r="O902" i="2"/>
  <c r="O708" i="2"/>
  <c r="O77" i="2"/>
  <c r="O336" i="2"/>
  <c r="O328" i="2"/>
  <c r="O665" i="2"/>
  <c r="O891" i="2"/>
  <c r="O223" i="2"/>
  <c r="O435" i="2"/>
  <c r="O852" i="2"/>
  <c r="O97" i="2"/>
  <c r="O83" i="2"/>
  <c r="O61" i="3"/>
  <c r="O20" i="3"/>
  <c r="O500" i="2"/>
  <c r="O644" i="2"/>
  <c r="O47" i="3"/>
  <c r="O395" i="2"/>
  <c r="O499" i="2"/>
  <c r="O68" i="3"/>
  <c r="O779" i="2"/>
  <c r="O749" i="2"/>
  <c r="O743" i="2"/>
  <c r="O40" i="2"/>
  <c r="O365" i="2"/>
  <c r="O832" i="2"/>
  <c r="O525" i="2"/>
  <c r="O523" i="2"/>
  <c r="O161" i="2"/>
  <c r="O864" i="2"/>
  <c r="O77" i="3"/>
  <c r="O855" i="2"/>
  <c r="O888" i="2"/>
  <c r="O293" i="2"/>
  <c r="O172" i="2"/>
  <c r="O563" i="2"/>
  <c r="O360" i="2"/>
  <c r="O901" i="2"/>
  <c r="O408" i="2"/>
  <c r="O49" i="2"/>
  <c r="O729" i="2"/>
  <c r="O208" i="2"/>
  <c r="O158" i="2"/>
  <c r="O246" i="2"/>
  <c r="O291" i="2"/>
  <c r="O207" i="2"/>
  <c r="O39" i="5"/>
  <c r="O295" i="2"/>
  <c r="O17" i="2"/>
  <c r="O296" i="2"/>
  <c r="O697" i="2"/>
  <c r="O608" i="2"/>
  <c r="O452" i="2"/>
  <c r="O129" i="2"/>
  <c r="O483" i="2"/>
  <c r="O817" i="2"/>
  <c r="O86" i="2"/>
  <c r="O464" i="2"/>
  <c r="O480" i="2"/>
  <c r="O128" i="2"/>
  <c r="O501" i="2"/>
  <c r="O633" i="2"/>
  <c r="O16" i="3"/>
  <c r="O425" i="2"/>
  <c r="O643" i="2"/>
  <c r="O601" i="2"/>
  <c r="O44" i="3"/>
  <c r="O53" i="2"/>
  <c r="O198" i="2"/>
  <c r="O140" i="2"/>
  <c r="O884" i="2"/>
  <c r="O205" i="2"/>
  <c r="O90" i="2"/>
  <c r="O431" i="2"/>
  <c r="O353" i="2"/>
  <c r="O351" i="2"/>
  <c r="O605" i="2"/>
  <c r="O6" i="4"/>
  <c r="O167" i="2"/>
  <c r="O548" i="2"/>
  <c r="O889" i="2"/>
  <c r="O720" i="2"/>
  <c r="O560" i="2"/>
  <c r="O101" i="2"/>
  <c r="O287" i="2"/>
  <c r="O211" i="2"/>
  <c r="O940" i="2"/>
  <c r="O78" i="3"/>
  <c r="O5" i="2"/>
  <c r="O754" i="2"/>
  <c r="O41" i="2"/>
  <c r="O115" i="2"/>
  <c r="O85" i="2"/>
  <c r="O537" i="2"/>
  <c r="O620" i="2"/>
  <c r="O26" i="2"/>
  <c r="O105" i="2"/>
  <c r="O426" i="2"/>
  <c r="O10" i="3"/>
  <c r="O887" i="2"/>
  <c r="O818" i="2"/>
  <c r="O513" i="2"/>
  <c r="O678" i="2"/>
  <c r="O354" i="2"/>
  <c r="O44" i="5"/>
  <c r="O769" i="2"/>
  <c r="O445" i="2"/>
  <c r="O604" i="2"/>
  <c r="O748" i="2"/>
  <c r="O863" i="2"/>
  <c r="O90" i="3"/>
  <c r="O635" i="2"/>
  <c r="O570" i="2"/>
  <c r="O318" i="2"/>
  <c r="O703" i="2"/>
  <c r="O67" i="3"/>
  <c r="O28" i="3"/>
  <c r="O885" i="2"/>
  <c r="O282" i="2"/>
  <c r="O300" i="2"/>
  <c r="O830" i="2"/>
  <c r="O572" i="2"/>
  <c r="O247" i="2"/>
  <c r="O414" i="2"/>
  <c r="O72" i="3"/>
  <c r="O104" i="2"/>
  <c r="O250" i="2"/>
  <c r="O763" i="2"/>
  <c r="O935" i="2"/>
  <c r="O222" i="2"/>
  <c r="O874" i="2"/>
  <c r="O348" i="2"/>
  <c r="O630" i="2"/>
  <c r="O370" i="2"/>
  <c r="O264" i="2"/>
  <c r="O784" i="2"/>
  <c r="O11" i="2"/>
  <c r="O617" i="2"/>
  <c r="O184" i="2"/>
  <c r="O389" i="2"/>
  <c r="O270" i="2"/>
  <c r="O81" i="3"/>
  <c r="O511" i="2"/>
  <c r="O134" i="2"/>
  <c r="O416" i="2"/>
  <c r="O737" i="2"/>
  <c r="O230" i="2"/>
  <c r="O263" i="2"/>
  <c r="O171" i="2"/>
  <c r="O215" i="2"/>
  <c r="O543" i="2"/>
  <c r="O577" i="2"/>
  <c r="O900" i="2"/>
  <c r="O417" i="2"/>
  <c r="O39" i="3"/>
  <c r="O341" i="2"/>
  <c r="O912" i="2"/>
  <c r="O899" i="2"/>
  <c r="O547" i="2"/>
  <c r="O53" i="3"/>
  <c r="O373" i="2"/>
  <c r="O859" i="2"/>
  <c r="O444" i="2"/>
  <c r="O138" i="2"/>
  <c r="O850" i="2"/>
  <c r="O418" i="2"/>
  <c r="O628" i="2"/>
  <c r="O774" i="2"/>
  <c r="O216" i="2"/>
  <c r="O89" i="3"/>
  <c r="O831" i="2"/>
  <c r="O63" i="2"/>
  <c r="O931" i="2"/>
  <c r="O18" i="2"/>
  <c r="O173" i="2"/>
  <c r="O304" i="2"/>
  <c r="O122" i="2"/>
  <c r="O213" i="2"/>
  <c r="O125" i="2"/>
  <c r="O461" i="2"/>
  <c r="O123" i="2"/>
  <c r="O475" i="2"/>
  <c r="O482" i="2"/>
  <c r="O67" i="2"/>
  <c r="O469" i="2"/>
  <c r="O485" i="2"/>
  <c r="O15" i="2"/>
  <c r="O5" i="3"/>
  <c r="O34" i="3"/>
  <c r="O308" i="2"/>
  <c r="O544" i="2"/>
  <c r="O825" i="2"/>
  <c r="O374" i="2"/>
  <c r="O772" i="2"/>
  <c r="O91" i="2"/>
  <c r="O227" i="2"/>
  <c r="O237" i="2"/>
  <c r="O268" i="2"/>
  <c r="O56" i="3"/>
  <c r="O214" i="2"/>
  <c r="O671" i="2"/>
  <c r="O757" i="2"/>
  <c r="O562" i="2"/>
  <c r="O849" i="2"/>
  <c r="O446" i="2"/>
  <c r="O868" i="2"/>
  <c r="O610" i="2"/>
  <c r="O301" i="2"/>
  <c r="O688" i="2"/>
  <c r="O281" i="2"/>
  <c r="O236" i="2"/>
  <c r="O516" i="2"/>
  <c r="O350" i="2"/>
  <c r="O761" i="2"/>
  <c r="O762" i="2"/>
  <c r="O272" i="2"/>
  <c r="O12" i="2"/>
  <c r="O556" i="2"/>
  <c r="O254" i="2"/>
  <c r="O712" i="2"/>
  <c r="O50" i="5"/>
  <c r="O877" i="2"/>
  <c r="O266" i="2"/>
  <c r="O335" i="2"/>
  <c r="O43" i="5"/>
  <c r="O524" i="2"/>
  <c r="O685" i="2"/>
  <c r="O536" i="2"/>
  <c r="O24" i="2"/>
  <c r="O925" i="2"/>
  <c r="O388" i="2"/>
  <c r="O141" i="2"/>
  <c r="O30" i="3"/>
  <c r="O170" i="2"/>
  <c r="O596" i="2"/>
  <c r="O844" i="2"/>
  <c r="O637" i="2"/>
  <c r="O320" i="2"/>
  <c r="O539" i="2"/>
  <c r="O716" i="2"/>
  <c r="O347" i="2"/>
  <c r="O835" i="2"/>
  <c r="O188" i="2"/>
  <c r="O882" i="2"/>
  <c r="O613" i="2"/>
  <c r="O32" i="3"/>
  <c r="O269" i="2"/>
  <c r="O689" i="2"/>
  <c r="O366" i="2"/>
  <c r="O520" i="2"/>
  <c r="O42" i="2"/>
  <c r="O316" i="2"/>
  <c r="O84" i="2"/>
  <c r="O612" i="2"/>
  <c r="O449" i="2"/>
  <c r="O913" i="2"/>
  <c r="O136" i="2"/>
  <c r="O149" i="2"/>
  <c r="O103" i="2"/>
  <c r="O777" i="2"/>
  <c r="O609" i="2"/>
  <c r="O29" i="3"/>
  <c r="O715" i="2"/>
  <c r="O135" i="2"/>
  <c r="O615" i="2"/>
  <c r="O632" i="2"/>
  <c r="O732" i="2"/>
  <c r="O782" i="2"/>
  <c r="O566" i="2"/>
  <c r="O345" i="2"/>
  <c r="O638" i="2"/>
  <c r="O787" i="2"/>
  <c r="O52" i="3"/>
  <c r="O508" i="2"/>
  <c r="O377" i="2"/>
  <c r="O924" i="2"/>
  <c r="O120" i="2"/>
  <c r="O145" i="2"/>
  <c r="O371" i="2"/>
  <c r="O734" i="2"/>
  <c r="O928" i="2"/>
  <c r="O244" i="2"/>
  <c r="O872" i="2"/>
  <c r="O502" i="2"/>
  <c r="O218" i="2"/>
  <c r="O546" i="2"/>
  <c r="O744" i="2"/>
  <c r="O45" i="3"/>
  <c r="O89" i="2"/>
  <c r="O533" i="2"/>
  <c r="O735" i="2"/>
  <c r="O814" i="2"/>
  <c r="O555" i="2"/>
  <c r="O309" i="2"/>
  <c r="O926" i="2"/>
  <c r="O42" i="5"/>
  <c r="O62" i="2"/>
  <c r="O836" i="2"/>
  <c r="O240" i="2"/>
  <c r="O873" i="2"/>
  <c r="O758" i="2"/>
  <c r="O164" i="2"/>
  <c r="O299" i="2"/>
  <c r="O71" i="2"/>
  <c r="O174" i="2"/>
  <c r="O14" i="2"/>
  <c r="O707" i="2"/>
  <c r="O126" i="2"/>
  <c r="O733" i="2"/>
  <c r="O121" i="2"/>
  <c r="O484" i="2"/>
  <c r="O73" i="2"/>
  <c r="O181" i="2"/>
  <c r="O488" i="2"/>
  <c r="O493" i="2"/>
  <c r="O574" i="2"/>
  <c r="O450" i="2"/>
  <c r="O68" i="2"/>
  <c r="O478" i="2"/>
  <c r="O201" i="2"/>
  <c r="O52" i="2"/>
  <c r="O881" i="2"/>
  <c r="O793" i="2"/>
  <c r="O27" i="3"/>
  <c r="O180" i="2"/>
  <c r="O117" i="2"/>
  <c r="O439" i="2"/>
  <c r="O56" i="2"/>
  <c r="O627" i="2"/>
  <c r="O741" i="2"/>
  <c r="O321" i="2"/>
  <c r="O598" i="2"/>
  <c r="O783" i="2"/>
  <c r="O428" i="2"/>
  <c r="O146" i="2"/>
  <c r="O936" i="2"/>
  <c r="O206" i="2"/>
  <c r="O210" i="2"/>
  <c r="O723" i="2"/>
  <c r="O331" i="2"/>
  <c r="O36" i="5"/>
  <c r="O383" i="2"/>
  <c r="O15" i="3"/>
  <c r="O827" i="2"/>
  <c r="O325" i="2"/>
  <c r="O819" i="2"/>
  <c r="O209" i="2"/>
  <c r="O672" i="2"/>
  <c r="O396" i="2"/>
  <c r="O531" i="2"/>
  <c r="O750" i="2"/>
  <c r="O355" i="2"/>
  <c r="O202" i="2"/>
  <c r="O80" i="2"/>
  <c r="O813" i="2"/>
  <c r="O327" i="2"/>
  <c r="O611" i="2"/>
  <c r="O759" i="2"/>
  <c r="O442" i="2"/>
  <c r="O44" i="2"/>
  <c r="O23" i="2"/>
  <c r="O565" i="2"/>
  <c r="O597" i="2"/>
  <c r="O6" i="2"/>
  <c r="O39" i="2"/>
  <c r="O55" i="5"/>
  <c r="O394" i="2"/>
  <c r="O420" i="2"/>
  <c r="O587" i="2"/>
  <c r="O646" i="2"/>
  <c r="O80" i="3"/>
  <c r="O942" i="2"/>
  <c r="O911" i="2"/>
  <c r="O794" i="2"/>
  <c r="O910" i="2"/>
  <c r="O514" i="2"/>
  <c r="O228" i="2"/>
  <c r="O890" i="2"/>
  <c r="O687" i="2"/>
  <c r="O22" i="3"/>
  <c r="O517" i="2"/>
  <c r="O895" i="2"/>
  <c r="O833" i="2"/>
  <c r="O538" i="2"/>
  <c r="O251" i="2"/>
  <c r="O930" i="2"/>
  <c r="O25" i="2"/>
  <c r="O229" i="2"/>
  <c r="O93" i="2"/>
  <c r="O220" i="2"/>
  <c r="O653" i="2"/>
  <c r="O401" i="2"/>
  <c r="O191" i="2"/>
  <c r="O58" i="2"/>
  <c r="O771" i="2"/>
  <c r="O497" i="2"/>
  <c r="O262" i="2"/>
  <c r="O7" i="2"/>
  <c r="O512" i="2"/>
  <c r="O726" i="2"/>
  <c r="O37" i="3"/>
  <c r="O698" i="2"/>
  <c r="O142" i="2"/>
  <c r="O367" i="2"/>
  <c r="O391" i="2"/>
  <c r="O586" i="2"/>
  <c r="O64" i="2"/>
  <c r="O412" i="2"/>
  <c r="O944" i="2"/>
  <c r="O686" i="2"/>
  <c r="O151" i="2"/>
  <c r="O252" i="2"/>
  <c r="O359" i="2"/>
  <c r="O190" i="2"/>
  <c r="O280" i="2"/>
  <c r="O382" i="2"/>
  <c r="O669" i="2"/>
  <c r="O257" i="2"/>
  <c r="O411" i="2"/>
  <c r="O50" i="3"/>
  <c r="O829" i="2"/>
  <c r="O406" i="2"/>
  <c r="O443" i="2"/>
  <c r="O279" i="2"/>
  <c r="O62" i="3"/>
  <c r="O554" i="2"/>
  <c r="O49" i="5"/>
  <c r="O94" i="2"/>
  <c r="O808" i="2"/>
  <c r="O773" i="2"/>
  <c r="O261" i="2"/>
  <c r="O203" i="2"/>
  <c r="O534" i="2"/>
  <c r="O792" i="2"/>
  <c r="O72" i="2"/>
  <c r="O21" i="2"/>
  <c r="O42" i="3"/>
  <c r="O680" i="2"/>
  <c r="O152" i="2"/>
  <c r="O16" i="2"/>
  <c r="O717" i="2"/>
  <c r="O905" i="2"/>
  <c r="O460" i="2"/>
  <c r="O19" i="2"/>
  <c r="O846" i="2"/>
  <c r="O476" i="2"/>
  <c r="O623" i="2"/>
  <c r="O294" i="2"/>
  <c r="O455" i="2"/>
  <c r="O625" i="2"/>
  <c r="O486" i="2"/>
  <c r="H1961" i="26"/>
  <c r="G1959" i="26"/>
  <c r="H2975" i="11"/>
  <c r="G2974" i="11"/>
  <c r="G1327" i="26"/>
  <c r="H1328" i="26"/>
  <c r="H1127" i="11"/>
  <c r="G1126" i="11"/>
  <c r="H1616" i="21"/>
  <c r="H1608" i="21" s="1"/>
  <c r="G1608" i="21"/>
  <c r="E760" i="1" s="1"/>
  <c r="F760" i="1" s="1"/>
  <c r="I1608" i="21" s="1"/>
  <c r="H1272" i="21"/>
  <c r="H1264" i="21" s="1"/>
  <c r="G1264" i="21"/>
  <c r="E743" i="1" s="1"/>
  <c r="F743" i="1" s="1"/>
  <c r="I1264" i="21" s="1"/>
  <c r="G1306" i="21"/>
  <c r="H526" i="11"/>
  <c r="H524" i="11" s="1"/>
  <c r="G524" i="11"/>
  <c r="E176" i="1" s="1"/>
  <c r="F176" i="1" s="1"/>
  <c r="I524" i="11" s="1"/>
  <c r="H32" i="33"/>
  <c r="H24" i="33" s="1"/>
  <c r="G24" i="33"/>
  <c r="E1210" i="1" s="1"/>
  <c r="F1210" i="1" s="1"/>
  <c r="I24" i="33" s="1"/>
  <c r="H2781" i="8"/>
  <c r="H2773" i="8" s="1"/>
  <c r="G2773" i="8"/>
  <c r="E145" i="1" s="1"/>
  <c r="F145" i="1" s="1"/>
  <c r="I2773" i="8" s="1"/>
  <c r="H357" i="15"/>
  <c r="H349" i="15" s="1"/>
  <c r="G349" i="15"/>
  <c r="E451" i="1" s="1"/>
  <c r="F451" i="1" s="1"/>
  <c r="H1432" i="11"/>
  <c r="H1424" i="11" s="1"/>
  <c r="G1424" i="11"/>
  <c r="E221" i="1" s="1"/>
  <c r="F221" i="1" s="1"/>
  <c r="I1424" i="11" s="1"/>
  <c r="H396" i="13"/>
  <c r="H388" i="13" s="1"/>
  <c r="G388" i="13"/>
  <c r="E314" i="1" s="1"/>
  <c r="F314" i="1" s="1"/>
  <c r="I388" i="13" s="1"/>
  <c r="H856" i="32"/>
  <c r="H848" i="32" s="1"/>
  <c r="G848" i="32"/>
  <c r="H2801" i="8"/>
  <c r="H2793" i="8" s="1"/>
  <c r="G2793" i="8"/>
  <c r="E146" i="1" s="1"/>
  <c r="F146" i="1" s="1"/>
  <c r="I2793" i="8" s="1"/>
  <c r="H412" i="33"/>
  <c r="H404" i="33" s="1"/>
  <c r="G404" i="33"/>
  <c r="E1230" i="1" s="1"/>
  <c r="F1230" i="1" s="1"/>
  <c r="I404" i="33" s="1"/>
  <c r="H2055" i="30"/>
  <c r="H2047" i="30" s="1"/>
  <c r="G2047" i="30"/>
  <c r="E1117" i="1" s="1"/>
  <c r="F1117" i="1" s="1"/>
  <c r="I2047" i="30" s="1"/>
  <c r="H556" i="32"/>
  <c r="H548" i="32" s="1"/>
  <c r="G548" i="32"/>
  <c r="E1152" i="1" s="1"/>
  <c r="F1152" i="1" s="1"/>
  <c r="I548" i="32" s="1"/>
  <c r="H1995" i="30"/>
  <c r="H1987" i="30" s="1"/>
  <c r="G1987" i="30"/>
  <c r="E1114" i="1" s="1"/>
  <c r="F1114" i="1" s="1"/>
  <c r="I1987" i="30" s="1"/>
  <c r="H593" i="24"/>
  <c r="H585" i="24" s="1"/>
  <c r="G585" i="24"/>
  <c r="E802" i="1" s="1"/>
  <c r="F802" i="1" s="1"/>
  <c r="I585" i="24" s="1"/>
  <c r="J4" i="24"/>
  <c r="H2313" i="26"/>
  <c r="H2305" i="26" s="1"/>
  <c r="G2305" i="26"/>
  <c r="E973" i="1" s="1"/>
  <c r="F973" i="1" s="1"/>
  <c r="I2305" i="26" s="1"/>
  <c r="H976" i="32"/>
  <c r="H968" i="32" s="1"/>
  <c r="G968" i="32"/>
  <c r="E1173" i="1" s="1"/>
  <c r="F1173" i="1" s="1"/>
  <c r="I968" i="32" s="1"/>
  <c r="H2160" i="8"/>
  <c r="H2152" i="8" s="1"/>
  <c r="G2152" i="8"/>
  <c r="E114" i="1" s="1"/>
  <c r="F114" i="1" s="1"/>
  <c r="I2152" i="8" s="1"/>
  <c r="H2586" i="16"/>
  <c r="H2578" i="16" s="1"/>
  <c r="G2578" i="16"/>
  <c r="E672" i="1" s="1"/>
  <c r="F672" i="1" s="1"/>
  <c r="I2578" i="16" s="1"/>
  <c r="H2089" i="15"/>
  <c r="H2081" i="15" s="1"/>
  <c r="G2081" i="15"/>
  <c r="E537" i="1" s="1"/>
  <c r="F537" i="1" s="1"/>
  <c r="I2081" i="15" s="1"/>
  <c r="H2140" i="8"/>
  <c r="H2132" i="8" s="1"/>
  <c r="G2132" i="8"/>
  <c r="E113" i="1" s="1"/>
  <c r="F113" i="1" s="1"/>
  <c r="I2132" i="8" s="1"/>
  <c r="J1648" i="21"/>
  <c r="H1323" i="16"/>
  <c r="H1315" i="16" s="1"/>
  <c r="G1315" i="16"/>
  <c r="E607" i="1" s="1"/>
  <c r="F607" i="1" s="1"/>
  <c r="I1315" i="16" s="1"/>
  <c r="H1476" i="32"/>
  <c r="H1468" i="32" s="1"/>
  <c r="G1468" i="32"/>
  <c r="E1198" i="1" s="1"/>
  <c r="F1198" i="1" s="1"/>
  <c r="I1468" i="32" s="1"/>
  <c r="H2408" i="13"/>
  <c r="H2400" i="13" s="1"/>
  <c r="G2400" i="13"/>
  <c r="E414" i="1" s="1"/>
  <c r="F414" i="1" s="1"/>
  <c r="I2400" i="13" s="1"/>
  <c r="J1386" i="8"/>
  <c r="H1423" i="16"/>
  <c r="H1415" i="16" s="1"/>
  <c r="G1415" i="16"/>
  <c r="E612" i="1" s="1"/>
  <c r="F612" i="1" s="1"/>
  <c r="I1415" i="16" s="1"/>
  <c r="H2065" i="16"/>
  <c r="H2057" i="16" s="1"/>
  <c r="G2057" i="16"/>
  <c r="E646" i="1" s="1"/>
  <c r="F646" i="1" s="1"/>
  <c r="I2057" i="16" s="1"/>
  <c r="H1229" i="24"/>
  <c r="H1221" i="24" s="1"/>
  <c r="G1221" i="24"/>
  <c r="E834" i="1" s="1"/>
  <c r="F834" i="1" s="1"/>
  <c r="I1221" i="24" s="1"/>
  <c r="H1504" i="26"/>
  <c r="H1496" i="26" s="1"/>
  <c r="G1496" i="26"/>
  <c r="E931" i="1" s="1"/>
  <c r="F931" i="1" s="1"/>
  <c r="I1496" i="26" s="1"/>
  <c r="H432" i="21"/>
  <c r="H424" i="21" s="1"/>
  <c r="G424" i="21"/>
  <c r="E701" i="1" s="1"/>
  <c r="F701" i="1" s="1"/>
  <c r="I424" i="21" s="1"/>
  <c r="H1484" i="26"/>
  <c r="H1476" i="26" s="1"/>
  <c r="G1476" i="26"/>
  <c r="E930" i="1" s="1"/>
  <c r="F930" i="1" s="1"/>
  <c r="I1476" i="26" s="1"/>
  <c r="H2226" i="26"/>
  <c r="H2218" i="26" s="1"/>
  <c r="G2218" i="26"/>
  <c r="E969" i="1" s="1"/>
  <c r="F969" i="1" s="1"/>
  <c r="I2218" i="26" s="1"/>
  <c r="H256" i="13"/>
  <c r="H248" i="13" s="1"/>
  <c r="G248" i="13"/>
  <c r="E307" i="1" s="1"/>
  <c r="F307" i="1" s="1"/>
  <c r="I248" i="13" s="1"/>
  <c r="H852" i="11"/>
  <c r="H844" i="11" s="1"/>
  <c r="G844" i="11"/>
  <c r="E192" i="1" s="1"/>
  <c r="F192" i="1" s="1"/>
  <c r="I844" i="11" s="1"/>
  <c r="H672" i="33"/>
  <c r="H664" i="33" s="1"/>
  <c r="G664" i="33"/>
  <c r="E1243" i="1" s="1"/>
  <c r="F1243" i="1" s="1"/>
  <c r="I664" i="33" s="1"/>
  <c r="H2357" i="26"/>
  <c r="H2349" i="26" s="1"/>
  <c r="G2349" i="26"/>
  <c r="E975" i="1" s="1"/>
  <c r="F975" i="1" s="1"/>
  <c r="I2349" i="26" s="1"/>
  <c r="H589" i="8"/>
  <c r="H581" i="8" s="1"/>
  <c r="G581" i="8"/>
  <c r="E34" i="1" s="1"/>
  <c r="F34" i="1" s="1"/>
  <c r="I581" i="8" s="1"/>
  <c r="H1308" i="13"/>
  <c r="H1300" i="13" s="1"/>
  <c r="G1300" i="13"/>
  <c r="E359" i="1" s="1"/>
  <c r="F359" i="1" s="1"/>
  <c r="I1300" i="13" s="1"/>
  <c r="H1672" i="30"/>
  <c r="H1664" i="30" s="1"/>
  <c r="G1664" i="30"/>
  <c r="E1098" i="1" s="1"/>
  <c r="F1098" i="1" s="1"/>
  <c r="I1664" i="30" s="1"/>
  <c r="H1739" i="15"/>
  <c r="H1731" i="15" s="1"/>
  <c r="G1731" i="15"/>
  <c r="E520" i="1" s="1"/>
  <c r="F520" i="1" s="1"/>
  <c r="H2069" i="15"/>
  <c r="H2061" i="15" s="1"/>
  <c r="G2061" i="15"/>
  <c r="E536" i="1" s="1"/>
  <c r="F536" i="1" s="1"/>
  <c r="I2061" i="15" s="1"/>
  <c r="H1923" i="16"/>
  <c r="H1915" i="16" s="1"/>
  <c r="G1915" i="16"/>
  <c r="E639" i="1" s="1"/>
  <c r="F639" i="1" s="1"/>
  <c r="I1915" i="16" s="1"/>
  <c r="H2385" i="16"/>
  <c r="H2377" i="16" s="1"/>
  <c r="G2377" i="16"/>
  <c r="E662" i="1" s="1"/>
  <c r="F662" i="1" s="1"/>
  <c r="I2377" i="16" s="1"/>
  <c r="H2269" i="26"/>
  <c r="H2261" i="26" s="1"/>
  <c r="G2261" i="26"/>
  <c r="E971" i="1" s="1"/>
  <c r="F971" i="1" s="1"/>
  <c r="I2261" i="26" s="1"/>
  <c r="H1583" i="16"/>
  <c r="H1575" i="16" s="1"/>
  <c r="G1575" i="16"/>
  <c r="E620" i="1" s="1"/>
  <c r="F620" i="1" s="1"/>
  <c r="I1575" i="16" s="1"/>
  <c r="H1663" i="16"/>
  <c r="H1655" i="16" s="1"/>
  <c r="G1655" i="16"/>
  <c r="E624" i="1" s="1"/>
  <c r="F624" i="1" s="1"/>
  <c r="I1655" i="16" s="1"/>
  <c r="H837" i="15"/>
  <c r="H829" i="15" s="1"/>
  <c r="G829" i="15"/>
  <c r="E475" i="1" s="1"/>
  <c r="F475" i="1" s="1"/>
  <c r="I829" i="15" s="1"/>
  <c r="H2588" i="13"/>
  <c r="H2580" i="13" s="1"/>
  <c r="G2580" i="13"/>
  <c r="E423" i="1" s="1"/>
  <c r="F423" i="1" s="1"/>
  <c r="I2580" i="13" s="1"/>
  <c r="H12" i="33"/>
  <c r="H4" i="33" s="1"/>
  <c r="G4" i="33"/>
  <c r="E1209" i="1" s="1"/>
  <c r="F1209" i="1" s="1"/>
  <c r="I4" i="33" s="1"/>
  <c r="H1859" i="15"/>
  <c r="H1851" i="15" s="1"/>
  <c r="G1851" i="15"/>
  <c r="E526" i="1" s="1"/>
  <c r="F526" i="1" s="1"/>
  <c r="H757" i="15"/>
  <c r="H749" i="15" s="1"/>
  <c r="G749" i="15"/>
  <c r="E471" i="1" s="1"/>
  <c r="F471" i="1" s="1"/>
  <c r="I749" i="15" s="1"/>
  <c r="H392" i="30"/>
  <c r="H384" i="30" s="1"/>
  <c r="G384" i="30"/>
  <c r="E1033" i="1" s="1"/>
  <c r="F1033" i="1" s="1"/>
  <c r="I384" i="30" s="1"/>
  <c r="H252" i="16"/>
  <c r="H244" i="16" s="1"/>
  <c r="G244" i="16"/>
  <c r="E554" i="1" s="1"/>
  <c r="F554" i="1" s="1"/>
  <c r="I244" i="16" s="1"/>
  <c r="G141" i="8"/>
  <c r="E12" i="1" s="1"/>
  <c r="F12" i="1" s="1"/>
  <c r="I141" i="8" s="1"/>
  <c r="H149" i="8"/>
  <c r="H141" i="8" s="1"/>
  <c r="H2028" i="13"/>
  <c r="H2020" i="13" s="1"/>
  <c r="G2020" i="13"/>
  <c r="E395" i="1" s="1"/>
  <c r="F395" i="1" s="1"/>
  <c r="I2020" i="13" s="1"/>
  <c r="H1142" i="16"/>
  <c r="H1134" i="16" s="1"/>
  <c r="G1134" i="16"/>
  <c r="E598" i="1" s="1"/>
  <c r="F598" i="1" s="1"/>
  <c r="I1134" i="16" s="1"/>
  <c r="H1774" i="8"/>
  <c r="H1766" i="8" s="1"/>
  <c r="G1766" i="8"/>
  <c r="E94" i="1" s="1"/>
  <c r="F94" i="1" s="1"/>
  <c r="I1766" i="8" s="1"/>
  <c r="H1619" i="24"/>
  <c r="H1611" i="24" s="1"/>
  <c r="G1611" i="24"/>
  <c r="E853" i="1" s="1"/>
  <c r="F853" i="1" s="1"/>
  <c r="I1611" i="24" s="1"/>
  <c r="H518" i="16"/>
  <c r="H507" i="16" s="1"/>
  <c r="G507" i="16"/>
  <c r="E567" i="1" s="1"/>
  <c r="F567" i="1" s="1"/>
  <c r="I507" i="16" s="1"/>
  <c r="H223" i="26"/>
  <c r="H215" i="26" s="1"/>
  <c r="G215" i="26"/>
  <c r="E868" i="1" s="1"/>
  <c r="F868" i="1" s="1"/>
  <c r="I215" i="26" s="1"/>
  <c r="G2227" i="11"/>
  <c r="E258" i="1" s="1"/>
  <c r="F258" i="1" s="1"/>
  <c r="I2227" i="11" s="1"/>
  <c r="H2229" i="11"/>
  <c r="H2227" i="11" s="1"/>
  <c r="J1626" i="8"/>
  <c r="H2606" i="16"/>
  <c r="H2598" i="16" s="1"/>
  <c r="G2598" i="16"/>
  <c r="E673" i="1" s="1"/>
  <c r="F673" i="1" s="1"/>
  <c r="I2598" i="16" s="1"/>
  <c r="J1286" i="8"/>
  <c r="H1157" i="15"/>
  <c r="H1149" i="15" s="1"/>
  <c r="G1149" i="15"/>
  <c r="E491" i="1" s="1"/>
  <c r="F491" i="1" s="1"/>
  <c r="I1149" i="15" s="1"/>
  <c r="G1400" i="13"/>
  <c r="E364" i="1" s="1"/>
  <c r="F364" i="1" s="1"/>
  <c r="I1400" i="13" s="1"/>
  <c r="H1408" i="13"/>
  <c r="H1400" i="13" s="1"/>
  <c r="G2320" i="13"/>
  <c r="E410" i="1" s="1"/>
  <c r="F410" i="1" s="1"/>
  <c r="I2320" i="13" s="1"/>
  <c r="H2328" i="13"/>
  <c r="H2320" i="13" s="1"/>
  <c r="H670" i="26"/>
  <c r="H662" i="26" s="1"/>
  <c r="G662" i="26"/>
  <c r="E890" i="1" s="1"/>
  <c r="F890" i="1" s="1"/>
  <c r="I662" i="26" s="1"/>
  <c r="H172" i="11"/>
  <c r="H164" i="11" s="1"/>
  <c r="G164" i="11"/>
  <c r="E157" i="1" s="1"/>
  <c r="F157" i="1" s="1"/>
  <c r="I164" i="11" s="1"/>
  <c r="H1503" i="16"/>
  <c r="H1495" i="16" s="1"/>
  <c r="G1495" i="16"/>
  <c r="E616" i="1" s="1"/>
  <c r="F616" i="1" s="1"/>
  <c r="I1495" i="16" s="1"/>
  <c r="H2183" i="11"/>
  <c r="H2181" i="11" s="1"/>
  <c r="G2181" i="11"/>
  <c r="E256" i="1" s="1"/>
  <c r="F256" i="1" s="1"/>
  <c r="I2181" i="11" s="1"/>
  <c r="H1903" i="16"/>
  <c r="H1895" i="16" s="1"/>
  <c r="G1895" i="16"/>
  <c r="E638" i="1" s="1"/>
  <c r="F638" i="1" s="1"/>
  <c r="I1895" i="16" s="1"/>
  <c r="H956" i="32"/>
  <c r="H948" i="32" s="1"/>
  <c r="G948" i="32"/>
  <c r="H948" i="13"/>
  <c r="H940" i="13" s="1"/>
  <c r="G940" i="13"/>
  <c r="E340" i="1" s="1"/>
  <c r="F340" i="1" s="1"/>
  <c r="I940" i="13" s="1"/>
  <c r="H857" i="15"/>
  <c r="H849" i="15" s="1"/>
  <c r="G849" i="15"/>
  <c r="E476" i="1" s="1"/>
  <c r="F476" i="1" s="1"/>
  <c r="H1392" i="30"/>
  <c r="H1384" i="30" s="1"/>
  <c r="G1384" i="30"/>
  <c r="E1083" i="1" s="1"/>
  <c r="F1083" i="1" s="1"/>
  <c r="I1384" i="30" s="1"/>
  <c r="H2661" i="8"/>
  <c r="H2653" i="8" s="1"/>
  <c r="G2653" i="8"/>
  <c r="E139" i="1" s="1"/>
  <c r="F139" i="1" s="1"/>
  <c r="I2653" i="8" s="1"/>
  <c r="H2467" i="26"/>
  <c r="H2459" i="26" s="1"/>
  <c r="G2459" i="26"/>
  <c r="E980" i="1" s="1"/>
  <c r="F980" i="1" s="1"/>
  <c r="I2459" i="26" s="1"/>
  <c r="H292" i="33"/>
  <c r="H284" i="33" s="1"/>
  <c r="G284" i="33"/>
  <c r="E1224" i="1" s="1"/>
  <c r="F1224" i="1" s="1"/>
  <c r="I284" i="33" s="1"/>
  <c r="O175" i="2"/>
  <c r="H1472" i="11"/>
  <c r="H1464" i="11" s="1"/>
  <c r="G1464" i="11"/>
  <c r="E223" i="1" s="1"/>
  <c r="F223" i="1" s="1"/>
  <c r="I1464" i="11" s="1"/>
  <c r="H1599" i="15"/>
  <c r="H1591" i="15" s="1"/>
  <c r="G1591" i="15"/>
  <c r="E513" i="1" s="1"/>
  <c r="F513" i="1" s="1"/>
  <c r="H1968" i="13"/>
  <c r="H1960" i="13" s="1"/>
  <c r="G1960" i="13"/>
  <c r="E392" i="1" s="1"/>
  <c r="F392" i="1" s="1"/>
  <c r="I1960" i="13" s="1"/>
  <c r="H2706" i="16"/>
  <c r="H2698" i="16" s="1"/>
  <c r="G2698" i="16"/>
  <c r="E678" i="1" s="1"/>
  <c r="F678" i="1" s="1"/>
  <c r="I2698" i="16" s="1"/>
  <c r="H1679" i="24"/>
  <c r="H1671" i="24" s="1"/>
  <c r="G1671" i="24"/>
  <c r="E856" i="1" s="1"/>
  <c r="F856" i="1" s="1"/>
  <c r="I1671" i="24" s="1"/>
  <c r="H112" i="16"/>
  <c r="H104" i="16" s="1"/>
  <c r="G104" i="16"/>
  <c r="E546" i="1" s="1"/>
  <c r="F546" i="1" s="1"/>
  <c r="I104" i="16" s="1"/>
  <c r="H272" i="21"/>
  <c r="H264" i="21" s="1"/>
  <c r="G264" i="21"/>
  <c r="E693" i="1" s="1"/>
  <c r="F693" i="1" s="1"/>
  <c r="I264" i="21" s="1"/>
  <c r="H1848" i="13"/>
  <c r="H1840" i="13" s="1"/>
  <c r="G1840" i="13"/>
  <c r="E386" i="1" s="1"/>
  <c r="F386" i="1" s="1"/>
  <c r="I1840" i="13" s="1"/>
  <c r="H1048" i="30"/>
  <c r="G1046" i="30"/>
  <c r="H967" i="11"/>
  <c r="G966" i="11"/>
  <c r="G1286" i="11"/>
  <c r="H1287" i="11"/>
  <c r="G226" i="33"/>
  <c r="H227" i="33"/>
  <c r="G87" i="13"/>
  <c r="H88" i="13"/>
  <c r="H1187" i="11"/>
  <c r="G1186" i="11"/>
  <c r="G67" i="13"/>
  <c r="H634" i="2"/>
  <c r="H768" i="33"/>
  <c r="G766" i="33"/>
  <c r="G1464" i="24"/>
  <c r="H1465" i="24"/>
  <c r="H627" i="30"/>
  <c r="G626" i="30"/>
  <c r="H827" i="11"/>
  <c r="G826" i="11"/>
  <c r="H2023" i="16"/>
  <c r="H2015" i="16" s="1"/>
  <c r="G2015" i="16"/>
  <c r="E644" i="1" s="1"/>
  <c r="F644" i="1" s="1"/>
  <c r="I2015" i="16" s="1"/>
  <c r="H2528" i="13"/>
  <c r="H2520" i="13" s="1"/>
  <c r="G2520" i="13"/>
  <c r="E420" i="1" s="1"/>
  <c r="F420" i="1" s="1"/>
  <c r="I2520" i="13" s="1"/>
  <c r="H912" i="33"/>
  <c r="H904" i="33" s="1"/>
  <c r="G904" i="33"/>
  <c r="E1255" i="1" s="1"/>
  <c r="F1255" i="1" s="1"/>
  <c r="I904" i="33" s="1"/>
  <c r="H693" i="24"/>
  <c r="H685" i="24" s="1"/>
  <c r="G685" i="24"/>
  <c r="E807" i="1" s="1"/>
  <c r="F807" i="1" s="1"/>
  <c r="I685" i="24" s="1"/>
  <c r="H888" i="13"/>
  <c r="H880" i="13" s="1"/>
  <c r="G880" i="13"/>
  <c r="E337" i="1" s="1"/>
  <c r="F337" i="1" s="1"/>
  <c r="I880" i="13" s="1"/>
  <c r="H1808" i="13"/>
  <c r="H1800" i="13" s="1"/>
  <c r="G1800" i="13"/>
  <c r="E384" i="1" s="1"/>
  <c r="F384" i="1" s="1"/>
  <c r="I1800" i="13" s="1"/>
  <c r="H954" i="8"/>
  <c r="H946" i="8" s="1"/>
  <c r="G946" i="8"/>
  <c r="E53" i="1" s="1"/>
  <c r="F53" i="1" s="1"/>
  <c r="I946" i="8" s="1"/>
  <c r="H637" i="15"/>
  <c r="H629" i="15" s="1"/>
  <c r="G629" i="15"/>
  <c r="E465" i="1" s="1"/>
  <c r="F465" i="1" s="1"/>
  <c r="I629" i="15" s="1"/>
  <c r="H1057" i="15"/>
  <c r="H1049" i="15" s="1"/>
  <c r="G1049" i="15"/>
  <c r="E486" i="1" s="1"/>
  <c r="F486" i="1" s="1"/>
  <c r="I1049" i="15" s="1"/>
  <c r="K1164" i="30"/>
  <c r="J1164" i="30"/>
  <c r="H1289" i="24"/>
  <c r="H1281" i="24" s="1"/>
  <c r="G1281" i="24"/>
  <c r="E838" i="1" s="1"/>
  <c r="F838" i="1" s="1"/>
  <c r="I1281" i="24" s="1"/>
  <c r="H236" i="13"/>
  <c r="H228" i="13" s="1"/>
  <c r="G228" i="13"/>
  <c r="E306" i="1" s="1"/>
  <c r="F306" i="1" s="1"/>
  <c r="I228" i="13" s="1"/>
  <c r="H446" i="11"/>
  <c r="H444" i="11" s="1"/>
  <c r="G444" i="11"/>
  <c r="E172" i="1" s="1"/>
  <c r="F172" i="1" s="1"/>
  <c r="I444" i="11" s="1"/>
  <c r="H1879" i="15"/>
  <c r="H1871" i="15" s="1"/>
  <c r="G1871" i="15"/>
  <c r="E527" i="1" s="1"/>
  <c r="F527" i="1" s="1"/>
  <c r="I1871" i="15" s="1"/>
  <c r="H1068" i="13"/>
  <c r="H1060" i="13" s="1"/>
  <c r="G1060" i="13"/>
  <c r="E347" i="1" s="1"/>
  <c r="F347" i="1" s="1"/>
  <c r="I1060" i="13" s="1"/>
  <c r="H816" i="32"/>
  <c r="H808" i="32" s="1"/>
  <c r="G808" i="32"/>
  <c r="E1165" i="1" s="1"/>
  <c r="F1165" i="1" s="1"/>
  <c r="I808" i="32" s="1"/>
  <c r="H1252" i="21"/>
  <c r="H1244" i="21" s="1"/>
  <c r="G1244" i="21"/>
  <c r="E742" i="1" s="1"/>
  <c r="F742" i="1" s="1"/>
  <c r="I1244" i="21" s="1"/>
  <c r="G24" i="32"/>
  <c r="E1126" i="1" s="1"/>
  <c r="F1126" i="1" s="1"/>
  <c r="I24" i="32" s="1"/>
  <c r="H32" i="32"/>
  <c r="H24" i="32" s="1"/>
  <c r="H1452" i="30"/>
  <c r="H1444" i="30" s="1"/>
  <c r="G1444" i="30"/>
  <c r="E1086" i="1" s="1"/>
  <c r="F1086" i="1" s="1"/>
  <c r="I1444" i="30" s="1"/>
  <c r="H820" i="24"/>
  <c r="H808" i="24" s="1"/>
  <c r="G808" i="24"/>
  <c r="E813" i="1" s="1"/>
  <c r="F813" i="1" s="1"/>
  <c r="I808" i="24" s="1"/>
  <c r="K544" i="30"/>
  <c r="J544" i="30"/>
  <c r="H768" i="13"/>
  <c r="H760" i="13" s="1"/>
  <c r="G760" i="13"/>
  <c r="E331" i="1" s="1"/>
  <c r="F331" i="1" s="1"/>
  <c r="I760" i="13" s="1"/>
  <c r="H1209" i="24"/>
  <c r="H1201" i="24" s="1"/>
  <c r="G1201" i="24"/>
  <c r="E833" i="1" s="1"/>
  <c r="F833" i="1" s="1"/>
  <c r="H2305" i="16"/>
  <c r="H2297" i="16" s="1"/>
  <c r="G2297" i="16"/>
  <c r="E658" i="1" s="1"/>
  <c r="F658" i="1" s="1"/>
  <c r="I2297" i="16" s="1"/>
  <c r="K564" i="21"/>
  <c r="J564" i="21"/>
  <c r="H1863" i="16"/>
  <c r="H1855" i="16" s="1"/>
  <c r="G1855" i="16"/>
  <c r="E635" i="1" s="1"/>
  <c r="F635" i="1" s="1"/>
  <c r="I1855" i="16" s="1"/>
  <c r="H1128" i="13"/>
  <c r="H1120" i="13" s="1"/>
  <c r="G1120" i="13"/>
  <c r="E350" i="1" s="1"/>
  <c r="F350" i="1" s="1"/>
  <c r="I1120" i="13" s="1"/>
  <c r="H336" i="32"/>
  <c r="H328" i="32" s="1"/>
  <c r="G328" i="32"/>
  <c r="E1141" i="1" s="1"/>
  <c r="F1141" i="1" s="1"/>
  <c r="I328" i="32" s="1"/>
  <c r="H1047" i="24"/>
  <c r="H1039" i="24" s="1"/>
  <c r="G1039" i="24"/>
  <c r="E824" i="1" s="1"/>
  <c r="F824" i="1" s="1"/>
  <c r="I1039" i="24" s="1"/>
  <c r="H1885" i="26"/>
  <c r="H1877" i="26" s="1"/>
  <c r="G1877" i="26"/>
  <c r="E952" i="1" s="1"/>
  <c r="F952" i="1" s="1"/>
  <c r="I1877" i="26" s="1"/>
  <c r="H1237" i="15"/>
  <c r="H1229" i="15" s="1"/>
  <c r="G1229" i="15"/>
  <c r="E495" i="1" s="1"/>
  <c r="F495" i="1" s="1"/>
  <c r="I1229" i="15" s="1"/>
  <c r="H2185" i="16"/>
  <c r="H2177" i="16" s="1"/>
  <c r="G2177" i="16"/>
  <c r="E652" i="1" s="1"/>
  <c r="F652" i="1" s="1"/>
  <c r="I2177" i="16" s="1"/>
  <c r="J148" i="13"/>
  <c r="K148" i="13"/>
  <c r="H2555" i="26"/>
  <c r="H2547" i="26" s="1"/>
  <c r="G2547" i="26"/>
  <c r="E984" i="1" s="1"/>
  <c r="F984" i="1" s="1"/>
  <c r="I2547" i="26" s="1"/>
  <c r="H1688" i="13"/>
  <c r="H1680" i="13" s="1"/>
  <c r="G1680" i="13"/>
  <c r="E378" i="1" s="1"/>
  <c r="F378" i="1" s="1"/>
  <c r="I1680" i="13" s="1"/>
  <c r="H1350" i="24"/>
  <c r="H1342" i="24" s="1"/>
  <c r="G1342" i="24"/>
  <c r="E841" i="1" s="1"/>
  <c r="F841" i="1" s="1"/>
  <c r="I1342" i="24" s="1"/>
  <c r="H1006" i="11"/>
  <c r="G1004" i="11"/>
  <c r="E200" i="1" s="1"/>
  <c r="F200" i="1" s="1"/>
  <c r="I1004" i="11" s="1"/>
  <c r="H2360" i="8"/>
  <c r="H2352" i="8" s="1"/>
  <c r="G2352" i="8"/>
  <c r="E124" i="1" s="1"/>
  <c r="F124" i="1" s="1"/>
  <c r="I2352" i="8" s="1"/>
  <c r="H1576" i="11"/>
  <c r="H1568" i="11" s="1"/>
  <c r="G1568" i="11"/>
  <c r="E228" i="1" s="1"/>
  <c r="F228" i="1" s="1"/>
  <c r="I1568" i="11" s="1"/>
  <c r="G1380" i="13"/>
  <c r="E363" i="1" s="1"/>
  <c r="F363" i="1" s="1"/>
  <c r="I1380" i="13" s="1"/>
  <c r="H1388" i="13"/>
  <c r="H1380" i="13" s="1"/>
  <c r="H1441" i="26"/>
  <c r="H1433" i="26" s="1"/>
  <c r="G1433" i="26"/>
  <c r="E928" i="1" s="1"/>
  <c r="F928" i="1" s="1"/>
  <c r="I1433" i="26" s="1"/>
  <c r="H2748" i="13"/>
  <c r="H2740" i="13" s="1"/>
  <c r="G2740" i="13"/>
  <c r="E431" i="1" s="1"/>
  <c r="F431" i="1" s="1"/>
  <c r="I2740" i="13" s="1"/>
  <c r="H1439" i="15"/>
  <c r="H1431" i="15" s="1"/>
  <c r="G1431" i="15"/>
  <c r="H2756" i="11"/>
  <c r="H2754" i="11" s="1"/>
  <c r="G2754" i="11"/>
  <c r="E283" i="1" s="1"/>
  <c r="F283" i="1" s="1"/>
  <c r="I2754" i="11" s="1"/>
  <c r="J1006" i="8"/>
  <c r="H2621" i="26"/>
  <c r="H2613" i="26" s="1"/>
  <c r="G2613" i="26"/>
  <c r="E987" i="1" s="1"/>
  <c r="F987" i="1" s="1"/>
  <c r="I2613" i="26" s="1"/>
  <c r="H2681" i="8"/>
  <c r="H2673" i="8" s="1"/>
  <c r="G2673" i="8"/>
  <c r="E140" i="1" s="1"/>
  <c r="F140" i="1" s="1"/>
  <c r="I2673" i="8" s="1"/>
  <c r="H1097" i="16"/>
  <c r="H1084" i="16" s="1"/>
  <c r="G1084" i="16"/>
  <c r="E596" i="1" s="1"/>
  <c r="F596" i="1" s="1"/>
  <c r="I1084" i="16" s="1"/>
  <c r="H312" i="24"/>
  <c r="H304" i="24" s="1"/>
  <c r="G304" i="24"/>
  <c r="E788" i="1" s="1"/>
  <c r="F788" i="1" s="1"/>
  <c r="I304" i="24" s="1"/>
  <c r="H112" i="33"/>
  <c r="H104" i="33" s="1"/>
  <c r="G104" i="33"/>
  <c r="E1214" i="1" s="1"/>
  <c r="F1214" i="1" s="1"/>
  <c r="I104" i="33" s="1"/>
  <c r="H429" i="8"/>
  <c r="H421" i="8" s="1"/>
  <c r="G421" i="8"/>
  <c r="E26" i="1" s="1"/>
  <c r="F26" i="1" s="1"/>
  <c r="I421" i="8" s="1"/>
  <c r="H432" i="24"/>
  <c r="H424" i="24" s="1"/>
  <c r="G424" i="24"/>
  <c r="E794" i="1" s="1"/>
  <c r="F794" i="1" s="1"/>
  <c r="I424" i="24" s="1"/>
  <c r="H1548" i="13"/>
  <c r="H1540" i="13" s="1"/>
  <c r="G1540" i="13"/>
  <c r="E371" i="1" s="1"/>
  <c r="F371" i="1" s="1"/>
  <c r="I1540" i="13" s="1"/>
  <c r="H1136" i="32"/>
  <c r="H1128" i="32" s="1"/>
  <c r="G1128" i="32"/>
  <c r="H56" i="26"/>
  <c r="H38" i="26" s="1"/>
  <c r="G38" i="26"/>
  <c r="E862" i="1" s="1"/>
  <c r="F862" i="1" s="1"/>
  <c r="I38" i="26" s="1"/>
  <c r="H592" i="21"/>
  <c r="H584" i="21" s="1"/>
  <c r="G584" i="21"/>
  <c r="E709" i="1" s="1"/>
  <c r="F709" i="1" s="1"/>
  <c r="I584" i="21" s="1"/>
  <c r="H292" i="21"/>
  <c r="H284" i="21" s="1"/>
  <c r="G284" i="21"/>
  <c r="E694" i="1" s="1"/>
  <c r="F694" i="1" s="1"/>
  <c r="I284" i="21" s="1"/>
  <c r="H1639" i="24"/>
  <c r="H1631" i="24" s="1"/>
  <c r="G1631" i="24"/>
  <c r="E854" i="1" s="1"/>
  <c r="F854" i="1" s="1"/>
  <c r="I1631" i="24" s="1"/>
  <c r="H1699" i="24"/>
  <c r="H1691" i="24" s="1"/>
  <c r="G1691" i="24"/>
  <c r="E857" i="1" s="1"/>
  <c r="F857" i="1" s="1"/>
  <c r="I1691" i="24" s="1"/>
  <c r="H2821" i="8"/>
  <c r="H2813" i="8" s="1"/>
  <c r="G2813" i="8"/>
  <c r="E147" i="1" s="1"/>
  <c r="F147" i="1" s="1"/>
  <c r="I2813" i="8" s="1"/>
  <c r="H1377" i="26"/>
  <c r="H1369" i="26" s="1"/>
  <c r="G1369" i="26"/>
  <c r="E925" i="1" s="1"/>
  <c r="F925" i="1" s="1"/>
  <c r="I1369" i="26" s="1"/>
  <c r="G1174" i="16"/>
  <c r="E600" i="1" s="1"/>
  <c r="F600" i="1" s="1"/>
  <c r="I1174" i="16" s="1"/>
  <c r="H1183" i="16"/>
  <c r="H1174" i="16" s="1"/>
  <c r="H1555" i="11"/>
  <c r="H1547" i="11" s="1"/>
  <c r="G1547" i="11"/>
  <c r="E227" i="1" s="1"/>
  <c r="F227" i="1" s="1"/>
  <c r="I1547" i="11" s="1"/>
  <c r="H1392" i="11"/>
  <c r="H1384" i="11" s="1"/>
  <c r="G1384" i="11"/>
  <c r="E219" i="1" s="1"/>
  <c r="F219" i="1" s="1"/>
  <c r="I1384" i="11" s="1"/>
  <c r="H352" i="24"/>
  <c r="H344" i="24" s="1"/>
  <c r="G344" i="24"/>
  <c r="E790" i="1" s="1"/>
  <c r="F790" i="1" s="1"/>
  <c r="I344" i="24" s="1"/>
  <c r="H946" i="30"/>
  <c r="H944" i="30" s="1"/>
  <c r="G944" i="30"/>
  <c r="E1061" i="1" s="1"/>
  <c r="F1061" i="1" s="1"/>
  <c r="I944" i="30" s="1"/>
  <c r="G1660" i="13"/>
  <c r="E377" i="1" s="1"/>
  <c r="F377" i="1" s="1"/>
  <c r="I1660" i="13" s="1"/>
  <c r="H1668" i="13"/>
  <c r="H1660" i="13" s="1"/>
  <c r="G44" i="24"/>
  <c r="E775" i="1" s="1"/>
  <c r="F775" i="1" s="1"/>
  <c r="I44" i="24" s="1"/>
  <c r="H52" i="24"/>
  <c r="H44" i="24" s="1"/>
  <c r="H1151" i="26"/>
  <c r="H1143" i="26" s="1"/>
  <c r="G1143" i="26"/>
  <c r="E914" i="1" s="1"/>
  <c r="F914" i="1" s="1"/>
  <c r="I1143" i="26" s="1"/>
  <c r="H673" i="24"/>
  <c r="H665" i="24" s="1"/>
  <c r="G665" i="24"/>
  <c r="E806" i="1" s="1"/>
  <c r="F806" i="1" s="1"/>
  <c r="I665" i="24" s="1"/>
  <c r="H561" i="16"/>
  <c r="H553" i="16" s="1"/>
  <c r="G553" i="16"/>
  <c r="E569" i="1" s="1"/>
  <c r="F569" i="1" s="1"/>
  <c r="I553" i="16" s="1"/>
  <c r="H1783" i="16"/>
  <c r="H1775" i="16" s="1"/>
  <c r="G1775" i="16"/>
  <c r="E630" i="1" s="1"/>
  <c r="F630" i="1" s="1"/>
  <c r="I1775" i="16" s="1"/>
  <c r="H1496" i="32"/>
  <c r="H1488" i="32" s="1"/>
  <c r="G1488" i="32"/>
  <c r="E1199" i="1" s="1"/>
  <c r="F1199" i="1" s="1"/>
  <c r="I1488" i="32" s="1"/>
  <c r="H2641" i="8"/>
  <c r="H2633" i="8" s="1"/>
  <c r="G2633" i="8"/>
  <c r="E138" i="1" s="1"/>
  <c r="F138" i="1" s="1"/>
  <c r="I2633" i="8" s="1"/>
  <c r="G2636" i="11"/>
  <c r="H2637" i="11"/>
  <c r="H267" i="30"/>
  <c r="G266" i="30"/>
  <c r="H1273" i="15"/>
  <c r="G1271" i="15"/>
  <c r="H1047" i="11"/>
  <c r="G1046" i="11"/>
  <c r="H267" i="11"/>
  <c r="G266" i="11"/>
  <c r="G2057" i="11"/>
  <c r="H2058" i="11"/>
  <c r="H2597" i="11"/>
  <c r="G2596" i="11"/>
  <c r="H1491" i="24"/>
  <c r="G1484" i="24"/>
  <c r="H287" i="30"/>
  <c r="G286" i="30"/>
  <c r="G1166" i="11"/>
  <c r="H1167" i="11"/>
  <c r="H148" i="33"/>
  <c r="G146" i="33"/>
  <c r="H1107" i="11"/>
  <c r="G1106" i="11"/>
  <c r="H1028" i="30"/>
  <c r="G1026" i="30"/>
  <c r="H407" i="11"/>
  <c r="G406" i="11"/>
  <c r="H598" i="13"/>
  <c r="H587" i="13" s="1"/>
  <c r="G587" i="13"/>
  <c r="E323" i="1" s="1"/>
  <c r="F323" i="1" s="1"/>
  <c r="I587" i="13" s="1"/>
  <c r="H812" i="30"/>
  <c r="H804" i="30" s="1"/>
  <c r="G804" i="30"/>
  <c r="E1054" i="1" s="1"/>
  <c r="F1054" i="1" s="1"/>
  <c r="I804" i="30" s="1"/>
  <c r="H1901" i="15"/>
  <c r="H1891" i="15" s="1"/>
  <c r="G1891" i="15"/>
  <c r="K1224" i="30"/>
  <c r="J1224" i="30"/>
  <c r="H650" i="26"/>
  <c r="H642" i="26" s="1"/>
  <c r="G642" i="26"/>
  <c r="E889" i="1" s="1"/>
  <c r="F889" i="1" s="1"/>
  <c r="I642" i="26" s="1"/>
  <c r="H2533" i="26"/>
  <c r="H2525" i="26" s="1"/>
  <c r="G2525" i="26"/>
  <c r="E983" i="1" s="1"/>
  <c r="F983" i="1" s="1"/>
  <c r="I2525" i="26" s="1"/>
  <c r="H2668" i="13"/>
  <c r="H2660" i="13" s="1"/>
  <c r="G2660" i="13"/>
  <c r="E427" i="1" s="1"/>
  <c r="F427" i="1" s="1"/>
  <c r="I2660" i="13" s="1"/>
  <c r="G1440" i="13"/>
  <c r="E366" i="1" s="1"/>
  <c r="F366" i="1" s="1"/>
  <c r="I1440" i="13" s="1"/>
  <c r="H1448" i="13"/>
  <c r="H1440" i="13" s="1"/>
  <c r="H206" i="30"/>
  <c r="H204" i="30" s="1"/>
  <c r="G204" i="30"/>
  <c r="E1024" i="1" s="1"/>
  <c r="F1024" i="1" s="1"/>
  <c r="I204" i="30" s="1"/>
  <c r="H2548" i="13"/>
  <c r="H2540" i="13" s="1"/>
  <c r="G2540" i="13"/>
  <c r="E421" i="1" s="1"/>
  <c r="F421" i="1" s="1"/>
  <c r="I2540" i="13" s="1"/>
  <c r="H2038" i="8"/>
  <c r="H2030" i="8" s="1"/>
  <c r="G2030" i="8"/>
  <c r="E108" i="1" s="1"/>
  <c r="F108" i="1" s="1"/>
  <c r="I2030" i="8" s="1"/>
  <c r="H517" i="15"/>
  <c r="H509" i="15" s="1"/>
  <c r="G509" i="15"/>
  <c r="E459" i="1" s="1"/>
  <c r="F459" i="1" s="1"/>
  <c r="G1900" i="13"/>
  <c r="E389" i="1" s="1"/>
  <c r="F389" i="1" s="1"/>
  <c r="I1900" i="13" s="1"/>
  <c r="H1908" i="13"/>
  <c r="H1900" i="13" s="1"/>
  <c r="H1483" i="16"/>
  <c r="H1475" i="16" s="1"/>
  <c r="G1475" i="16"/>
  <c r="E615" i="1" s="1"/>
  <c r="F615" i="1" s="1"/>
  <c r="I1475" i="16" s="1"/>
  <c r="H477" i="15"/>
  <c r="H469" i="15" s="1"/>
  <c r="G469" i="15"/>
  <c r="E457" i="1" s="1"/>
  <c r="F457" i="1" s="1"/>
  <c r="H505" i="13"/>
  <c r="H494" i="13" s="1"/>
  <c r="G494" i="13"/>
  <c r="E319" i="1" s="1"/>
  <c r="F319" i="1" s="1"/>
  <c r="I494" i="13" s="1"/>
  <c r="G484" i="26"/>
  <c r="H485" i="26"/>
  <c r="H1011" i="26"/>
  <c r="H1003" i="26" s="1"/>
  <c r="G1003" i="26"/>
  <c r="E907" i="1" s="1"/>
  <c r="F907" i="1" s="1"/>
  <c r="I1003" i="26" s="1"/>
  <c r="H2526" i="16"/>
  <c r="H2518" i="16" s="1"/>
  <c r="G2518" i="16"/>
  <c r="E669" i="1" s="1"/>
  <c r="F669" i="1" s="1"/>
  <c r="I2518" i="16" s="1"/>
  <c r="H707" i="16"/>
  <c r="H699" i="16" s="1"/>
  <c r="G699" i="16"/>
  <c r="E576" i="1" s="1"/>
  <c r="F576" i="1" s="1"/>
  <c r="I699" i="16" s="1"/>
  <c r="H296" i="13"/>
  <c r="H288" i="13" s="1"/>
  <c r="G288" i="13"/>
  <c r="E309" i="1" s="1"/>
  <c r="F309" i="1" s="1"/>
  <c r="I288" i="13" s="1"/>
  <c r="H771" i="26"/>
  <c r="H763" i="26" s="1"/>
  <c r="G763" i="26"/>
  <c r="E895" i="1" s="1"/>
  <c r="F895" i="1" s="1"/>
  <c r="I763" i="26" s="1"/>
  <c r="H1892" i="30"/>
  <c r="H1884" i="30" s="1"/>
  <c r="G1884" i="30"/>
  <c r="E1109" i="1" s="1"/>
  <c r="F1109" i="1" s="1"/>
  <c r="I1884" i="30" s="1"/>
  <c r="H980" i="21"/>
  <c r="H972" i="21" s="1"/>
  <c r="G972" i="21"/>
  <c r="E729" i="1" s="1"/>
  <c r="F729" i="1" s="1"/>
  <c r="I972" i="21" s="1"/>
  <c r="H737" i="15"/>
  <c r="H729" i="15" s="1"/>
  <c r="G729" i="15"/>
  <c r="E470" i="1" s="1"/>
  <c r="F470" i="1" s="1"/>
  <c r="I729" i="15" s="1"/>
  <c r="H731" i="8"/>
  <c r="H721" i="8" s="1"/>
  <c r="G721" i="8"/>
  <c r="E41" i="1" s="1"/>
  <c r="F41" i="1" s="1"/>
  <c r="I721" i="8" s="1"/>
  <c r="G1320" i="13"/>
  <c r="E360" i="1" s="1"/>
  <c r="F360" i="1" s="1"/>
  <c r="I1320" i="13" s="1"/>
  <c r="H1328" i="13"/>
  <c r="H1320" i="13" s="1"/>
  <c r="H668" i="13"/>
  <c r="H657" i="13" s="1"/>
  <c r="G657" i="13"/>
  <c r="E326" i="1" s="1"/>
  <c r="F326" i="1" s="1"/>
  <c r="I657" i="13" s="1"/>
  <c r="G1675" i="16"/>
  <c r="E625" i="1" s="1"/>
  <c r="F625" i="1" s="1"/>
  <c r="I1675" i="16" s="1"/>
  <c r="H1683" i="16"/>
  <c r="H1675" i="16" s="1"/>
  <c r="J1126" i="8"/>
  <c r="G2393" i="26"/>
  <c r="E977" i="1" s="1"/>
  <c r="F977" i="1" s="1"/>
  <c r="I2393" i="26" s="1"/>
  <c r="H2401" i="26"/>
  <c r="H2393" i="26" s="1"/>
  <c r="H189" i="8"/>
  <c r="H181" i="8" s="1"/>
  <c r="G181" i="8"/>
  <c r="E14" i="1" s="1"/>
  <c r="F14" i="1" s="1"/>
  <c r="I181" i="8" s="1"/>
  <c r="G1395" i="16"/>
  <c r="E611" i="1" s="1"/>
  <c r="F611" i="1" s="1"/>
  <c r="I1395" i="16" s="1"/>
  <c r="H1403" i="16"/>
  <c r="H1395" i="16" s="1"/>
  <c r="H2511" i="26"/>
  <c r="H2503" i="26" s="1"/>
  <c r="G2503" i="26"/>
  <c r="E982" i="1" s="1"/>
  <c r="F982" i="1" s="1"/>
  <c r="I2503" i="26" s="1"/>
  <c r="H1989" i="15"/>
  <c r="H1979" i="15" s="1"/>
  <c r="G1979" i="15"/>
  <c r="E532" i="1" s="1"/>
  <c r="F532" i="1" s="1"/>
  <c r="I1979" i="15" s="1"/>
  <c r="K144" i="21"/>
  <c r="J144" i="21"/>
  <c r="H777" i="15"/>
  <c r="H769" i="15" s="1"/>
  <c r="G769" i="15"/>
  <c r="E472" i="1" s="1"/>
  <c r="F472" i="1" s="1"/>
  <c r="H967" i="24"/>
  <c r="H959" i="24" s="1"/>
  <c r="G959" i="24"/>
  <c r="E820" i="1" s="1"/>
  <c r="F820" i="1" s="1"/>
  <c r="I959" i="24" s="1"/>
  <c r="G859" i="16"/>
  <c r="E584" i="1" s="1"/>
  <c r="F584" i="1" s="1"/>
  <c r="I859" i="16" s="1"/>
  <c r="H867" i="16"/>
  <c r="H859" i="16" s="1"/>
  <c r="H940" i="21"/>
  <c r="H932" i="21" s="1"/>
  <c r="G932" i="21"/>
  <c r="E727" i="1" s="1"/>
  <c r="F727" i="1" s="1"/>
  <c r="I932" i="21" s="1"/>
  <c r="H436" i="13"/>
  <c r="H428" i="13" s="1"/>
  <c r="G428" i="13"/>
  <c r="E316" i="1" s="1"/>
  <c r="F316" i="1" s="1"/>
  <c r="I428" i="13" s="1"/>
  <c r="J4" i="13"/>
  <c r="K4" i="13"/>
  <c r="J2237" i="16"/>
  <c r="H412" i="21"/>
  <c r="H404" i="21" s="1"/>
  <c r="G404" i="21"/>
  <c r="E700" i="1" s="1"/>
  <c r="F700" i="1" s="1"/>
  <c r="I404" i="21" s="1"/>
  <c r="H891" i="26"/>
  <c r="H883" i="26" s="1"/>
  <c r="G883" i="26"/>
  <c r="E901" i="1" s="1"/>
  <c r="F901" i="1" s="1"/>
  <c r="I883" i="26" s="1"/>
  <c r="H272" i="24"/>
  <c r="H264" i="24" s="1"/>
  <c r="G264" i="24"/>
  <c r="E786" i="1" s="1"/>
  <c r="F786" i="1" s="1"/>
  <c r="I264" i="24" s="1"/>
  <c r="H2736" i="11"/>
  <c r="H2734" i="11" s="1"/>
  <c r="G2734" i="11"/>
  <c r="E282" i="1" s="1"/>
  <c r="F282" i="1" s="1"/>
  <c r="I2734" i="11" s="1"/>
  <c r="H752" i="30"/>
  <c r="H744" i="30" s="1"/>
  <c r="G744" i="30"/>
  <c r="E1051" i="1" s="1"/>
  <c r="F1051" i="1" s="1"/>
  <c r="I744" i="30" s="1"/>
  <c r="H1699" i="15"/>
  <c r="H1691" i="15" s="1"/>
  <c r="G1691" i="15"/>
  <c r="E518" i="1" s="1"/>
  <c r="F518" i="1" s="1"/>
  <c r="I1691" i="15" s="1"/>
  <c r="H1131" i="26"/>
  <c r="H1123" i="26" s="1"/>
  <c r="G1123" i="26"/>
  <c r="E913" i="1" s="1"/>
  <c r="F913" i="1" s="1"/>
  <c r="I1123" i="26" s="1"/>
  <c r="J1584" i="30"/>
  <c r="H1632" i="30"/>
  <c r="H1624" i="30" s="1"/>
  <c r="G1624" i="30"/>
  <c r="E1096" i="1" s="1"/>
  <c r="F1096" i="1" s="1"/>
  <c r="H512" i="21"/>
  <c r="H504" i="21" s="1"/>
  <c r="G504" i="21"/>
  <c r="E705" i="1" s="1"/>
  <c r="F705" i="1" s="1"/>
  <c r="I504" i="21" s="1"/>
  <c r="H352" i="33"/>
  <c r="H344" i="33" s="1"/>
  <c r="G344" i="33"/>
  <c r="E1227" i="1" s="1"/>
  <c r="F1227" i="1" s="1"/>
  <c r="I344" i="33" s="1"/>
  <c r="H276" i="32"/>
  <c r="H268" i="32" s="1"/>
  <c r="G268" i="32"/>
  <c r="E1138" i="1" s="1"/>
  <c r="F1138" i="1" s="1"/>
  <c r="H2648" i="13"/>
  <c r="H2640" i="13" s="1"/>
  <c r="G2640" i="13"/>
  <c r="E426" i="1" s="1"/>
  <c r="F426" i="1" s="1"/>
  <c r="I2640" i="13" s="1"/>
  <c r="J1606" i="8"/>
  <c r="H717" i="15"/>
  <c r="H709" i="15" s="1"/>
  <c r="G709" i="15"/>
  <c r="E469" i="1" s="1"/>
  <c r="F469" i="1" s="1"/>
  <c r="I709" i="15" s="1"/>
  <c r="H811" i="26"/>
  <c r="H803" i="26" s="1"/>
  <c r="G803" i="26"/>
  <c r="E897" i="1" s="1"/>
  <c r="F897" i="1" s="1"/>
  <c r="I803" i="26" s="1"/>
  <c r="J1066" i="8"/>
  <c r="H1734" i="8"/>
  <c r="H1726" i="8" s="1"/>
  <c r="G1726" i="8"/>
  <c r="E92" i="1" s="1"/>
  <c r="F92" i="1" s="1"/>
  <c r="I1726" i="8" s="1"/>
  <c r="H2075" i="30"/>
  <c r="H2067" i="30" s="1"/>
  <c r="G2067" i="30"/>
  <c r="E1118" i="1" s="1"/>
  <c r="F1118" i="1" s="1"/>
  <c r="I2067" i="30" s="1"/>
  <c r="H1037" i="15"/>
  <c r="H1029" i="15" s="1"/>
  <c r="G1029" i="15"/>
  <c r="E485" i="1" s="1"/>
  <c r="F485" i="1" s="1"/>
  <c r="G2371" i="26"/>
  <c r="E976" i="1" s="1"/>
  <c r="F976" i="1" s="1"/>
  <c r="I2371" i="26" s="1"/>
  <c r="H2373" i="26"/>
  <c r="H2371" i="26" s="1"/>
  <c r="H575" i="13"/>
  <c r="H563" i="13" s="1"/>
  <c r="G563" i="13"/>
  <c r="E322" i="1" s="1"/>
  <c r="F322" i="1" s="1"/>
  <c r="I563" i="13" s="1"/>
  <c r="H1736" i="21"/>
  <c r="H1728" i="21" s="1"/>
  <c r="G1728" i="21"/>
  <c r="E766" i="1" s="1"/>
  <c r="F766" i="1" s="1"/>
  <c r="I1728" i="21" s="1"/>
  <c r="H1816" i="21"/>
  <c r="H1808" i="21" s="1"/>
  <c r="G1808" i="21"/>
  <c r="E770" i="1" s="1"/>
  <c r="F770" i="1" s="1"/>
  <c r="I1808" i="21" s="1"/>
  <c r="H2065" i="26"/>
  <c r="H2057" i="26" s="1"/>
  <c r="G2057" i="26"/>
  <c r="E961" i="1" s="1"/>
  <c r="F961" i="1" s="1"/>
  <c r="I2057" i="26" s="1"/>
  <c r="H1943" i="16"/>
  <c r="H1935" i="16" s="1"/>
  <c r="G1935" i="16"/>
  <c r="E640" i="1" s="1"/>
  <c r="F640" i="1" s="1"/>
  <c r="I1935" i="16" s="1"/>
  <c r="H1963" i="16"/>
  <c r="H1955" i="16" s="1"/>
  <c r="G1955" i="16"/>
  <c r="E641" i="1" s="1"/>
  <c r="F641" i="1" s="1"/>
  <c r="I1955" i="16" s="1"/>
  <c r="H1236" i="32"/>
  <c r="H1228" i="32" s="1"/>
  <c r="G1228" i="32"/>
  <c r="E1186" i="1" s="1"/>
  <c r="F1186" i="1" s="1"/>
  <c r="I1228" i="32" s="1"/>
  <c r="H1296" i="32"/>
  <c r="H1288" i="32" s="1"/>
  <c r="G1288" i="32"/>
  <c r="E1189" i="1" s="1"/>
  <c r="F1189" i="1" s="1"/>
  <c r="I1288" i="32" s="1"/>
  <c r="H212" i="16"/>
  <c r="H204" i="16" s="1"/>
  <c r="G204" i="16"/>
  <c r="E551" i="1" s="1"/>
  <c r="F551" i="1" s="1"/>
  <c r="I204" i="16" s="1"/>
  <c r="H1268" i="13"/>
  <c r="H1260" i="13" s="1"/>
  <c r="G1260" i="13"/>
  <c r="E357" i="1" s="1"/>
  <c r="F357" i="1" s="1"/>
  <c r="I1260" i="13" s="1"/>
  <c r="H712" i="21"/>
  <c r="H704" i="21" s="1"/>
  <c r="G704" i="21"/>
  <c r="E716" i="1" s="1"/>
  <c r="F716" i="1" s="1"/>
  <c r="I704" i="21" s="1"/>
  <c r="H372" i="33"/>
  <c r="H364" i="33" s="1"/>
  <c r="G364" i="33"/>
  <c r="E1228" i="1" s="1"/>
  <c r="F1228" i="1" s="1"/>
  <c r="I364" i="33" s="1"/>
  <c r="H447" i="33"/>
  <c r="G446" i="33"/>
  <c r="H708" i="30"/>
  <c r="G706" i="30"/>
  <c r="H247" i="30"/>
  <c r="G246" i="30"/>
  <c r="H1267" i="11"/>
  <c r="G1266" i="11"/>
  <c r="H590" i="33"/>
  <c r="G586" i="33"/>
  <c r="G2241" i="26"/>
  <c r="H2242" i="26"/>
  <c r="H109" i="13"/>
  <c r="G108" i="13"/>
  <c r="G366" i="11"/>
  <c r="H367" i="11"/>
  <c r="H168" i="33"/>
  <c r="G166" i="33"/>
  <c r="H647" i="30"/>
  <c r="G646" i="30"/>
  <c r="G2160" i="11"/>
  <c r="H2161" i="11"/>
  <c r="K561" i="8"/>
  <c r="J561" i="8"/>
  <c r="H1728" i="13"/>
  <c r="H1720" i="13" s="1"/>
  <c r="G1720" i="13"/>
  <c r="E380" i="1" s="1"/>
  <c r="F380" i="1" s="1"/>
  <c r="I1720" i="13" s="1"/>
  <c r="H312" i="33"/>
  <c r="H304" i="33" s="1"/>
  <c r="G304" i="33"/>
  <c r="E1225" i="1" s="1"/>
  <c r="F1225" i="1" s="1"/>
  <c r="I304" i="33" s="1"/>
  <c r="H1996" i="8"/>
  <c r="H1988" i="8" s="1"/>
  <c r="G1988" i="8"/>
  <c r="E106" i="1" s="1"/>
  <c r="F106" i="1" s="1"/>
  <c r="I1988" i="8" s="1"/>
  <c r="H52" i="32"/>
  <c r="H44" i="32" s="1"/>
  <c r="G44" i="32"/>
  <c r="E1127" i="1" s="1"/>
  <c r="F1127" i="1" s="1"/>
  <c r="I44" i="32" s="1"/>
  <c r="H1343" i="16"/>
  <c r="H1335" i="16" s="1"/>
  <c r="G1335" i="16"/>
  <c r="E608" i="1" s="1"/>
  <c r="F608" i="1" s="1"/>
  <c r="I1335" i="16" s="1"/>
  <c r="H751" i="26"/>
  <c r="H743" i="26" s="1"/>
  <c r="G743" i="26"/>
  <c r="E894" i="1" s="1"/>
  <c r="F894" i="1" s="1"/>
  <c r="I743" i="26" s="1"/>
  <c r="H1123" i="21"/>
  <c r="H1115" i="21" s="1"/>
  <c r="G1115" i="21"/>
  <c r="E736" i="1" s="1"/>
  <c r="F736" i="1" s="1"/>
  <c r="I1115" i="21" s="1"/>
  <c r="K224" i="21"/>
  <c r="J224" i="21"/>
  <c r="K1184" i="30"/>
  <c r="J1184" i="30"/>
  <c r="H1628" i="13"/>
  <c r="H1620" i="13" s="1"/>
  <c r="G1620" i="13"/>
  <c r="E375" i="1" s="1"/>
  <c r="F375" i="1" s="1"/>
  <c r="I1620" i="13" s="1"/>
  <c r="H1396" i="32"/>
  <c r="H1388" i="32" s="1"/>
  <c r="G1388" i="32"/>
  <c r="E1194" i="1" s="1"/>
  <c r="F1194" i="1" s="1"/>
  <c r="I1388" i="32" s="1"/>
  <c r="H2288" i="13"/>
  <c r="H2280" i="13" s="1"/>
  <c r="G2280" i="13"/>
  <c r="E408" i="1" s="1"/>
  <c r="F408" i="1" s="1"/>
  <c r="I2280" i="13" s="1"/>
  <c r="H1056" i="32"/>
  <c r="H1048" i="32" s="1"/>
  <c r="G1048" i="32"/>
  <c r="E1177" i="1" s="1"/>
  <c r="F1177" i="1" s="1"/>
  <c r="I1048" i="32" s="1"/>
  <c r="G768" i="32"/>
  <c r="E1163" i="1" s="1"/>
  <c r="F1163" i="1" s="1"/>
  <c r="I768" i="32" s="1"/>
  <c r="H776" i="32"/>
  <c r="H768" i="32" s="1"/>
  <c r="H1779" i="15"/>
  <c r="H1771" i="15" s="1"/>
  <c r="G1771" i="15"/>
  <c r="E522" i="1" s="1"/>
  <c r="F522" i="1" s="1"/>
  <c r="I1771" i="15" s="1"/>
  <c r="H541" i="16"/>
  <c r="H530" i="16" s="1"/>
  <c r="G530" i="16"/>
  <c r="E568" i="1" s="1"/>
  <c r="F568" i="1" s="1"/>
  <c r="I530" i="16" s="1"/>
  <c r="K461" i="8"/>
  <c r="J461" i="8"/>
  <c r="H1516" i="21"/>
  <c r="H1508" i="21" s="1"/>
  <c r="G1508" i="21"/>
  <c r="E755" i="1" s="1"/>
  <c r="F755" i="1" s="1"/>
  <c r="I1508" i="21" s="1"/>
  <c r="H1975" i="30"/>
  <c r="H1967" i="30" s="1"/>
  <c r="G1967" i="30"/>
  <c r="E1113" i="1" s="1"/>
  <c r="F1113" i="1" s="1"/>
  <c r="I1967" i="30" s="1"/>
  <c r="H1376" i="32"/>
  <c r="H1368" i="32" s="1"/>
  <c r="G1368" i="32"/>
  <c r="E1193" i="1" s="1"/>
  <c r="F1193" i="1" s="1"/>
  <c r="I1368" i="32" s="1"/>
  <c r="H425" i="26"/>
  <c r="G424" i="26"/>
  <c r="H1476" i="21"/>
  <c r="H1468" i="21" s="1"/>
  <c r="G1468" i="21"/>
  <c r="E753" i="1" s="1"/>
  <c r="F753" i="1" s="1"/>
  <c r="I1468" i="21" s="1"/>
  <c r="O453" i="2"/>
  <c r="G241" i="8"/>
  <c r="E17" i="1" s="1"/>
  <c r="F17" i="1" s="1"/>
  <c r="I241" i="8" s="1"/>
  <c r="H249" i="8"/>
  <c r="H241" i="8" s="1"/>
  <c r="H967" i="16"/>
  <c r="H959" i="16" s="1"/>
  <c r="G959" i="16"/>
  <c r="E590" i="1" s="1"/>
  <c r="F590" i="1" s="1"/>
  <c r="I959" i="16" s="1"/>
  <c r="H2208" i="13"/>
  <c r="H2200" i="13" s="1"/>
  <c r="G2200" i="13"/>
  <c r="E404" i="1" s="1"/>
  <c r="F404" i="1" s="1"/>
  <c r="I2200" i="13" s="1"/>
  <c r="H952" i="33"/>
  <c r="H944" i="33" s="1"/>
  <c r="G944" i="33"/>
  <c r="E1257" i="1" s="1"/>
  <c r="F1257" i="1" s="1"/>
  <c r="I944" i="33" s="1"/>
  <c r="H1799" i="15"/>
  <c r="H1791" i="15" s="1"/>
  <c r="G1791" i="15"/>
  <c r="E523" i="1" s="1"/>
  <c r="F523" i="1" s="1"/>
  <c r="I1791" i="15" s="1"/>
  <c r="J168" i="13"/>
  <c r="K168" i="13"/>
  <c r="H946" i="11"/>
  <c r="H944" i="11" s="1"/>
  <c r="G944" i="11"/>
  <c r="E197" i="1" s="1"/>
  <c r="F197" i="1" s="1"/>
  <c r="I944" i="11" s="1"/>
  <c r="G661" i="8"/>
  <c r="E38" i="1" s="1"/>
  <c r="F38" i="1" s="1"/>
  <c r="I661" i="8" s="1"/>
  <c r="H669" i="8"/>
  <c r="H661" i="8" s="1"/>
  <c r="H590" i="26"/>
  <c r="H582" i="26" s="1"/>
  <c r="G582" i="26"/>
  <c r="E886" i="1" s="1"/>
  <c r="F886" i="1" s="1"/>
  <c r="I582" i="26" s="1"/>
  <c r="H1843" i="16"/>
  <c r="H1835" i="16" s="1"/>
  <c r="G1835" i="16"/>
  <c r="E634" i="1" s="1"/>
  <c r="F634" i="1" s="1"/>
  <c r="I1835" i="16" s="1"/>
  <c r="G1268" i="32"/>
  <c r="E1188" i="1" s="1"/>
  <c r="F1188" i="1" s="1"/>
  <c r="I1268" i="32" s="1"/>
  <c r="H1276" i="32"/>
  <c r="H1268" i="32" s="1"/>
  <c r="G44" i="30"/>
  <c r="E1016" i="1" s="1"/>
  <c r="F1016" i="1" s="1"/>
  <c r="I44" i="30" s="1"/>
  <c r="H46" i="30"/>
  <c r="H44" i="30" s="1"/>
  <c r="H492" i="30"/>
  <c r="H484" i="30" s="1"/>
  <c r="G484" i="30"/>
  <c r="E1038" i="1" s="1"/>
  <c r="F1038" i="1" s="1"/>
  <c r="I484" i="30" s="1"/>
  <c r="H752" i="21"/>
  <c r="H744" i="21" s="1"/>
  <c r="G744" i="21"/>
  <c r="E718" i="1" s="1"/>
  <c r="F718" i="1" s="1"/>
  <c r="I744" i="21" s="1"/>
  <c r="H457" i="15"/>
  <c r="H449" i="15" s="1"/>
  <c r="G449" i="15"/>
  <c r="E456" i="1" s="1"/>
  <c r="F456" i="1" s="1"/>
  <c r="I449" i="15" s="1"/>
  <c r="H2683" i="26"/>
  <c r="H2675" i="26" s="1"/>
  <c r="G2675" i="26"/>
  <c r="E990" i="1" s="1"/>
  <c r="F990" i="1" s="1"/>
  <c r="I2675" i="26" s="1"/>
  <c r="H1456" i="32"/>
  <c r="H1448" i="32" s="1"/>
  <c r="G1448" i="32"/>
  <c r="E1197" i="1" s="1"/>
  <c r="F1197" i="1" s="1"/>
  <c r="I1448" i="32" s="1"/>
  <c r="H2506" i="16"/>
  <c r="H2498" i="16" s="1"/>
  <c r="G2498" i="16"/>
  <c r="E668" i="1" s="1"/>
  <c r="F668" i="1" s="1"/>
  <c r="I2498" i="16" s="1"/>
  <c r="J404" i="30"/>
  <c r="K404" i="30"/>
  <c r="H892" i="11"/>
  <c r="H884" i="11" s="1"/>
  <c r="G884" i="11"/>
  <c r="E194" i="1" s="1"/>
  <c r="F194" i="1" s="1"/>
  <c r="I884" i="11" s="1"/>
  <c r="H1092" i="11"/>
  <c r="H1084" i="11" s="1"/>
  <c r="G1084" i="11"/>
  <c r="E204" i="1" s="1"/>
  <c r="F204" i="1" s="1"/>
  <c r="I1084" i="11" s="1"/>
  <c r="H1643" i="16"/>
  <c r="H1635" i="16" s="1"/>
  <c r="G1635" i="16"/>
  <c r="E623" i="1" s="1"/>
  <c r="F623" i="1" s="1"/>
  <c r="I1635" i="16" s="1"/>
  <c r="H112" i="24"/>
  <c r="H104" i="24" s="1"/>
  <c r="G104" i="24"/>
  <c r="E778" i="1" s="1"/>
  <c r="F778" i="1" s="1"/>
  <c r="I104" i="24" s="1"/>
  <c r="H496" i="32"/>
  <c r="H488" i="32" s="1"/>
  <c r="G488" i="32"/>
  <c r="E1149" i="1" s="1"/>
  <c r="F1149" i="1" s="1"/>
  <c r="I488" i="32" s="1"/>
  <c r="H2368" i="13"/>
  <c r="H2360" i="13" s="1"/>
  <c r="G2360" i="13"/>
  <c r="E412" i="1" s="1"/>
  <c r="F412" i="1" s="1"/>
  <c r="I2360" i="13" s="1"/>
  <c r="H934" i="8"/>
  <c r="H926" i="8" s="1"/>
  <c r="G926" i="8"/>
  <c r="E52" i="1" s="1"/>
  <c r="F52" i="1" s="1"/>
  <c r="I926" i="8" s="1"/>
  <c r="H1474" i="8"/>
  <c r="H1466" i="8" s="1"/>
  <c r="G1466" i="8"/>
  <c r="E79" i="1" s="1"/>
  <c r="F79" i="1" s="1"/>
  <c r="I1466" i="8" s="1"/>
  <c r="H392" i="21"/>
  <c r="H384" i="21" s="1"/>
  <c r="G384" i="21"/>
  <c r="E699" i="1" s="1"/>
  <c r="F699" i="1" s="1"/>
  <c r="I384" i="21" s="1"/>
  <c r="H72" i="33"/>
  <c r="H64" i="33" s="1"/>
  <c r="G64" i="33"/>
  <c r="E1212" i="1" s="1"/>
  <c r="F1212" i="1" s="1"/>
  <c r="I64" i="33" s="1"/>
  <c r="H412" i="16"/>
  <c r="H404" i="16" s="1"/>
  <c r="G404" i="16"/>
  <c r="E562" i="1" s="1"/>
  <c r="F562" i="1" s="1"/>
  <c r="I404" i="16" s="1"/>
  <c r="H2088" i="13"/>
  <c r="H2080" i="13" s="1"/>
  <c r="G2080" i="13"/>
  <c r="E398" i="1" s="1"/>
  <c r="F398" i="1" s="1"/>
  <c r="I2080" i="13" s="1"/>
  <c r="H2656" i="11"/>
  <c r="H2654" i="11" s="1"/>
  <c r="G2654" i="11"/>
  <c r="E278" i="1" s="1"/>
  <c r="F278" i="1" s="1"/>
  <c r="I2654" i="11" s="1"/>
  <c r="H1720" i="24"/>
  <c r="H1712" i="24" s="1"/>
  <c r="G1712" i="24"/>
  <c r="E858" i="1" s="1"/>
  <c r="F858" i="1" s="1"/>
  <c r="I1712" i="24" s="1"/>
  <c r="H1832" i="30"/>
  <c r="H1824" i="30" s="1"/>
  <c r="G1824" i="30"/>
  <c r="E1106" i="1" s="1"/>
  <c r="F1106" i="1" s="1"/>
  <c r="I1824" i="30" s="1"/>
  <c r="H1234" i="8"/>
  <c r="H1226" i="8" s="1"/>
  <c r="G1226" i="8"/>
  <c r="E67" i="1" s="1"/>
  <c r="F67" i="1" s="1"/>
  <c r="I1226" i="8" s="1"/>
  <c r="H2175" i="30"/>
  <c r="H2167" i="30" s="1"/>
  <c r="G2167" i="30"/>
  <c r="E1123" i="1" s="1"/>
  <c r="F1123" i="1" s="1"/>
  <c r="I2167" i="30" s="1"/>
  <c r="H1359" i="15"/>
  <c r="H1351" i="15" s="1"/>
  <c r="G1351" i="15"/>
  <c r="H1399" i="26"/>
  <c r="H1391" i="26" s="1"/>
  <c r="G1391" i="26"/>
  <c r="E926" i="1" s="1"/>
  <c r="F926" i="1" s="1"/>
  <c r="I1391" i="26" s="1"/>
  <c r="H1819" i="15"/>
  <c r="H1811" i="15" s="1"/>
  <c r="G1811" i="15"/>
  <c r="E524" i="1" s="1"/>
  <c r="F524" i="1" s="1"/>
  <c r="H2708" i="13"/>
  <c r="H2700" i="13" s="1"/>
  <c r="G2700" i="13"/>
  <c r="E429" i="1" s="1"/>
  <c r="F429" i="1" s="1"/>
  <c r="I2700" i="13" s="1"/>
  <c r="H1071" i="26"/>
  <c r="H1063" i="26" s="1"/>
  <c r="G1063" i="26"/>
  <c r="E910" i="1" s="1"/>
  <c r="F910" i="1" s="1"/>
  <c r="I1063" i="26" s="1"/>
  <c r="H352" i="21"/>
  <c r="H344" i="21" s="1"/>
  <c r="G344" i="21"/>
  <c r="E697" i="1" s="1"/>
  <c r="F697" i="1" s="1"/>
  <c r="I344" i="21" s="1"/>
  <c r="H892" i="30"/>
  <c r="H884" i="30" s="1"/>
  <c r="G884" i="30"/>
  <c r="E1058" i="1" s="1"/>
  <c r="F1058" i="1" s="1"/>
  <c r="I884" i="30" s="1"/>
  <c r="H1883" i="16"/>
  <c r="H1875" i="16" s="1"/>
  <c r="G1875" i="16"/>
  <c r="E636" i="1" s="1"/>
  <c r="F636" i="1" s="1"/>
  <c r="I1875" i="16" s="1"/>
  <c r="G952" i="21"/>
  <c r="E728" i="1" s="1"/>
  <c r="F728" i="1" s="1"/>
  <c r="I952" i="21" s="1"/>
  <c r="H960" i="21"/>
  <c r="H952" i="21" s="1"/>
  <c r="H2108" i="13"/>
  <c r="H2100" i="13" s="1"/>
  <c r="G2100" i="13"/>
  <c r="E399" i="1" s="1"/>
  <c r="F399" i="1" s="1"/>
  <c r="I2100" i="13" s="1"/>
  <c r="H1768" i="13"/>
  <c r="H1760" i="13" s="1"/>
  <c r="G1760" i="13"/>
  <c r="E382" i="1" s="1"/>
  <c r="F382" i="1" s="1"/>
  <c r="I1760" i="13" s="1"/>
  <c r="G1328" i="32"/>
  <c r="E1191" i="1" s="1"/>
  <c r="F1191" i="1" s="1"/>
  <c r="I1328" i="32" s="1"/>
  <c r="H1336" i="32"/>
  <c r="H1328" i="32" s="1"/>
  <c r="H212" i="24"/>
  <c r="H204" i="24" s="1"/>
  <c r="G204" i="24"/>
  <c r="E783" i="1" s="1"/>
  <c r="F783" i="1" s="1"/>
  <c r="I204" i="24" s="1"/>
  <c r="H2285" i="16"/>
  <c r="H2277" i="16" s="1"/>
  <c r="G2277" i="16"/>
  <c r="E657" i="1" s="1"/>
  <c r="F657" i="1" s="1"/>
  <c r="I2277" i="16" s="1"/>
  <c r="H907" i="30"/>
  <c r="G906" i="30"/>
  <c r="H2778" i="26"/>
  <c r="G2777" i="26"/>
  <c r="H728" i="30"/>
  <c r="G726" i="30"/>
  <c r="H128" i="33"/>
  <c r="G126" i="33"/>
  <c r="G1146" i="11"/>
  <c r="H1147" i="11"/>
  <c r="H210" i="32"/>
  <c r="G209" i="32"/>
  <c r="G386" i="11"/>
  <c r="H387" i="11"/>
  <c r="H307" i="30"/>
  <c r="G306" i="30"/>
  <c r="H1487" i="11"/>
  <c r="G1486" i="11"/>
  <c r="G1388" i="24"/>
  <c r="H1389" i="24"/>
  <c r="H2761" i="8"/>
  <c r="H2753" i="8" s="1"/>
  <c r="G2753" i="8"/>
  <c r="E144" i="1" s="1"/>
  <c r="F144" i="1" s="1"/>
  <c r="I2753" i="8" s="1"/>
  <c r="H887" i="16"/>
  <c r="H879" i="16" s="1"/>
  <c r="G879" i="16"/>
  <c r="E585" i="1" s="1"/>
  <c r="F585" i="1" s="1"/>
  <c r="I879" i="16" s="1"/>
  <c r="H1208" i="13"/>
  <c r="H1200" i="13" s="1"/>
  <c r="G1200" i="13"/>
  <c r="E354" i="1" s="1"/>
  <c r="F354" i="1" s="1"/>
  <c r="I1200" i="13" s="1"/>
  <c r="H272" i="33"/>
  <c r="H264" i="33" s="1"/>
  <c r="G264" i="33"/>
  <c r="E1223" i="1" s="1"/>
  <c r="F1223" i="1" s="1"/>
  <c r="I264" i="33" s="1"/>
  <c r="H1249" i="24"/>
  <c r="H1241" i="24" s="1"/>
  <c r="G1241" i="24"/>
  <c r="E836" i="1" s="1"/>
  <c r="F836" i="1" s="1"/>
  <c r="I1241" i="24" s="1"/>
  <c r="H72" i="32"/>
  <c r="H64" i="32" s="1"/>
  <c r="G64" i="32"/>
  <c r="E1128" i="1" s="1"/>
  <c r="F1128" i="1" s="1"/>
  <c r="I64" i="32" s="1"/>
  <c r="H604" i="16"/>
  <c r="H593" i="16" s="1"/>
  <c r="G593" i="16"/>
  <c r="E571" i="1" s="1"/>
  <c r="F571" i="1" s="1"/>
  <c r="I593" i="16" s="1"/>
  <c r="H2059" i="8"/>
  <c r="H2051" i="8" s="1"/>
  <c r="G2051" i="8"/>
  <c r="E109" i="1" s="1"/>
  <c r="F109" i="1" s="1"/>
  <c r="I2051" i="8" s="1"/>
  <c r="G209" i="15"/>
  <c r="E444" i="1" s="1"/>
  <c r="F444" i="1" s="1"/>
  <c r="I209" i="15" s="1"/>
  <c r="H217" i="15"/>
  <c r="H209" i="15" s="1"/>
  <c r="H77" i="15"/>
  <c r="H69" i="15" s="1"/>
  <c r="G69" i="15"/>
  <c r="E437" i="1" s="1"/>
  <c r="F437" i="1" s="1"/>
  <c r="I69" i="15" s="1"/>
  <c r="O477" i="2"/>
  <c r="H13" i="21"/>
  <c r="K7" i="3" s="1"/>
  <c r="G12" i="21"/>
  <c r="H1436" i="32"/>
  <c r="H1428" i="32" s="1"/>
  <c r="G1428" i="32"/>
  <c r="E1196" i="1" s="1"/>
  <c r="F1196" i="1" s="1"/>
  <c r="I1428" i="32" s="1"/>
  <c r="H2716" i="11"/>
  <c r="H2714" i="11" s="1"/>
  <c r="G2714" i="11"/>
  <c r="E281" i="1" s="1"/>
  <c r="F281" i="1" s="1"/>
  <c r="I2714" i="11" s="1"/>
  <c r="H2009" i="15"/>
  <c r="H2001" i="15" s="1"/>
  <c r="G2001" i="15"/>
  <c r="E533" i="1" s="1"/>
  <c r="F533" i="1" s="1"/>
  <c r="I2001" i="15" s="1"/>
  <c r="H1905" i="26"/>
  <c r="H1897" i="26" s="1"/>
  <c r="G1897" i="26"/>
  <c r="E953" i="1" s="1"/>
  <c r="F953" i="1" s="1"/>
  <c r="I1897" i="26" s="1"/>
  <c r="H1254" i="8"/>
  <c r="H1246" i="8" s="1"/>
  <c r="G1246" i="8"/>
  <c r="E68" i="1" s="1"/>
  <c r="F68" i="1" s="1"/>
  <c r="I1246" i="8" s="1"/>
  <c r="H1088" i="13"/>
  <c r="H1080" i="13" s="1"/>
  <c r="G1080" i="13"/>
  <c r="E348" i="1" s="1"/>
  <c r="F348" i="1" s="1"/>
  <c r="I1080" i="13" s="1"/>
  <c r="G2097" i="26"/>
  <c r="E963" i="1" s="1"/>
  <c r="F963" i="1" s="1"/>
  <c r="I2097" i="26" s="1"/>
  <c r="H2105" i="26"/>
  <c r="H2097" i="26" s="1"/>
  <c r="H152" i="16"/>
  <c r="H144" i="16" s="1"/>
  <c r="G144" i="16"/>
  <c r="E548" i="1" s="1"/>
  <c r="F548" i="1" s="1"/>
  <c r="I144" i="16" s="1"/>
  <c r="J541" i="8"/>
  <c r="K541" i="8"/>
  <c r="H456" i="32"/>
  <c r="H448" i="32" s="1"/>
  <c r="G448" i="32"/>
  <c r="E1147" i="1" s="1"/>
  <c r="F1147" i="1" s="1"/>
  <c r="I448" i="32" s="1"/>
  <c r="H1372" i="11"/>
  <c r="H1364" i="11" s="1"/>
  <c r="G1364" i="11"/>
  <c r="E218" i="1" s="1"/>
  <c r="F218" i="1" s="1"/>
  <c r="I1364" i="11" s="1"/>
  <c r="H713" i="24"/>
  <c r="H705" i="24" s="1"/>
  <c r="G705" i="24"/>
  <c r="E808" i="1" s="1"/>
  <c r="F808" i="1" s="1"/>
  <c r="I705" i="24" s="1"/>
  <c r="H272" i="16"/>
  <c r="H264" i="16" s="1"/>
  <c r="G264" i="16"/>
  <c r="H172" i="21"/>
  <c r="H164" i="21" s="1"/>
  <c r="G164" i="21"/>
  <c r="E688" i="1" s="1"/>
  <c r="F688" i="1" s="1"/>
  <c r="I164" i="21" s="1"/>
  <c r="H728" i="13"/>
  <c r="H720" i="13" s="1"/>
  <c r="G720" i="13"/>
  <c r="E329" i="1" s="1"/>
  <c r="F329" i="1" s="1"/>
  <c r="I720" i="13" s="1"/>
  <c r="K301" i="8"/>
  <c r="J301" i="8"/>
  <c r="H907" i="24"/>
  <c r="H897" i="24" s="1"/>
  <c r="G897" i="24"/>
  <c r="E817" i="1" s="1"/>
  <c r="F817" i="1" s="1"/>
  <c r="I897" i="24" s="1"/>
  <c r="H1608" i="13"/>
  <c r="H1600" i="13" s="1"/>
  <c r="G1600" i="13"/>
  <c r="E374" i="1" s="1"/>
  <c r="F374" i="1" s="1"/>
  <c r="I1600" i="13" s="1"/>
  <c r="H2095" i="30"/>
  <c r="H2087" i="30" s="1"/>
  <c r="G2087" i="30"/>
  <c r="E1119" i="1" s="1"/>
  <c r="F1119" i="1" s="1"/>
  <c r="I2087" i="30" s="1"/>
  <c r="J1506" i="8"/>
  <c r="H1194" i="8"/>
  <c r="H1186" i="8" s="1"/>
  <c r="G1186" i="8"/>
  <c r="E65" i="1" s="1"/>
  <c r="F65" i="1" s="1"/>
  <c r="I1186" i="8" s="1"/>
  <c r="H1463" i="16"/>
  <c r="H1455" i="16" s="1"/>
  <c r="G1455" i="16"/>
  <c r="E614" i="1" s="1"/>
  <c r="F614" i="1" s="1"/>
  <c r="I1455" i="16" s="1"/>
  <c r="H516" i="32"/>
  <c r="H508" i="32" s="1"/>
  <c r="G508" i="32"/>
  <c r="E1150" i="1" s="1"/>
  <c r="F1150" i="1" s="1"/>
  <c r="I508" i="32" s="1"/>
  <c r="H1839" i="15"/>
  <c r="H1831" i="15" s="1"/>
  <c r="G1831" i="15"/>
  <c r="E525" i="1" s="1"/>
  <c r="F525" i="1" s="1"/>
  <c r="I1831" i="15" s="1"/>
  <c r="J703" i="26"/>
  <c r="K703" i="26"/>
  <c r="G2952" i="11"/>
  <c r="E292" i="1" s="1"/>
  <c r="F292" i="1" s="1"/>
  <c r="I2952" i="11" s="1"/>
  <c r="H2954" i="11"/>
  <c r="H2952" i="11" s="1"/>
  <c r="H2308" i="13"/>
  <c r="H2300" i="13" s="1"/>
  <c r="G2300" i="13"/>
  <c r="E409" i="1" s="1"/>
  <c r="F409" i="1" s="1"/>
  <c r="I2300" i="13" s="1"/>
  <c r="H528" i="13"/>
  <c r="H517" i="13" s="1"/>
  <c r="G517" i="13"/>
  <c r="E320" i="1" s="1"/>
  <c r="F320" i="1" s="1"/>
  <c r="I517" i="13" s="1"/>
  <c r="G1324" i="11"/>
  <c r="E216" i="1" s="1"/>
  <c r="F216" i="1" s="1"/>
  <c r="I1324" i="11" s="1"/>
  <c r="H1332" i="11"/>
  <c r="H1324" i="11" s="1"/>
  <c r="H13" i="32"/>
  <c r="O7" i="3" s="1"/>
  <c r="G12" i="32"/>
  <c r="H2008" i="13"/>
  <c r="H2000" i="13" s="1"/>
  <c r="G2000" i="13"/>
  <c r="E394" i="1" s="1"/>
  <c r="F394" i="1" s="1"/>
  <c r="I2000" i="13" s="1"/>
  <c r="H1197" i="15"/>
  <c r="H1189" i="15" s="1"/>
  <c r="G1189" i="15"/>
  <c r="E493" i="1" s="1"/>
  <c r="F493" i="1" s="1"/>
  <c r="I1189" i="15" s="1"/>
  <c r="K1264" i="30"/>
  <c r="J1264" i="30"/>
  <c r="H232" i="24"/>
  <c r="H224" i="24" s="1"/>
  <c r="G224" i="24"/>
  <c r="E784" i="1" s="1"/>
  <c r="F784" i="1" s="1"/>
  <c r="I224" i="24" s="1"/>
  <c r="H1137" i="15"/>
  <c r="H1129" i="15" s="1"/>
  <c r="G1129" i="15"/>
  <c r="G1946" i="30"/>
  <c r="E1112" i="1" s="1"/>
  <c r="F1112" i="1" s="1"/>
  <c r="I1946" i="30" s="1"/>
  <c r="H1954" i="30"/>
  <c r="H1946" i="30" s="1"/>
  <c r="H1252" i="33"/>
  <c r="H1244" i="33" s="1"/>
  <c r="G1244" i="33"/>
  <c r="E1273" i="1" s="1"/>
  <c r="F1273" i="1" s="1"/>
  <c r="I1244" i="33" s="1"/>
  <c r="H1788" i="13"/>
  <c r="H1780" i="13" s="1"/>
  <c r="G1780" i="13"/>
  <c r="E383" i="1" s="1"/>
  <c r="F383" i="1" s="1"/>
  <c r="I1780" i="13" s="1"/>
  <c r="H237" i="15"/>
  <c r="H229" i="15" s="1"/>
  <c r="G229" i="15"/>
  <c r="E445" i="1" s="1"/>
  <c r="F445" i="1" s="1"/>
  <c r="I229" i="15" s="1"/>
  <c r="H2365" i="16"/>
  <c r="H2357" i="16" s="1"/>
  <c r="G2357" i="16"/>
  <c r="E661" i="1" s="1"/>
  <c r="F661" i="1" s="1"/>
  <c r="I2357" i="16" s="1"/>
  <c r="H647" i="16"/>
  <c r="H639" i="16" s="1"/>
  <c r="G639" i="16"/>
  <c r="E573" i="1" s="1"/>
  <c r="F573" i="1" s="1"/>
  <c r="I639" i="16" s="1"/>
  <c r="H172" i="16"/>
  <c r="H164" i="16" s="1"/>
  <c r="G164" i="16"/>
  <c r="E549" i="1" s="1"/>
  <c r="F549" i="1" s="1"/>
  <c r="I164" i="16" s="1"/>
  <c r="H756" i="32"/>
  <c r="H748" i="32" s="1"/>
  <c r="G748" i="32"/>
  <c r="E1162" i="1" s="1"/>
  <c r="F1162" i="1" s="1"/>
  <c r="I748" i="32" s="1"/>
  <c r="H1150" i="24"/>
  <c r="H1140" i="24" s="1"/>
  <c r="G1140" i="24"/>
  <c r="E829" i="1" s="1"/>
  <c r="F829" i="1" s="1"/>
  <c r="I1140" i="24" s="1"/>
  <c r="H533" i="24"/>
  <c r="H525" i="24" s="1"/>
  <c r="G525" i="24"/>
  <c r="E799" i="1" s="1"/>
  <c r="F799" i="1" s="1"/>
  <c r="I525" i="24" s="1"/>
  <c r="H1191" i="26"/>
  <c r="H1183" i="26" s="1"/>
  <c r="G1183" i="26"/>
  <c r="E916" i="1" s="1"/>
  <c r="F916" i="1" s="1"/>
  <c r="I1183" i="26" s="1"/>
  <c r="J2533" i="8"/>
  <c r="K144" i="24"/>
  <c r="J2252" i="8"/>
  <c r="G1204" i="21"/>
  <c r="E740" i="1" s="1"/>
  <c r="F740" i="1" s="1"/>
  <c r="I1204" i="21" s="1"/>
  <c r="H1212" i="21"/>
  <c r="H1204" i="21" s="1"/>
  <c r="H1508" i="13"/>
  <c r="H1500" i="13" s="1"/>
  <c r="G1500" i="13"/>
  <c r="E369" i="1" s="1"/>
  <c r="F369" i="1" s="1"/>
  <c r="I1500" i="13" s="1"/>
  <c r="H1288" i="13"/>
  <c r="H1280" i="13" s="1"/>
  <c r="G1280" i="13"/>
  <c r="E358" i="1" s="1"/>
  <c r="F358" i="1" s="1"/>
  <c r="I1280" i="13" s="1"/>
  <c r="J1366" i="8"/>
  <c r="J1164" i="33"/>
  <c r="H877" i="15"/>
  <c r="H869" i="15" s="1"/>
  <c r="G869" i="15"/>
  <c r="E477" i="1" s="1"/>
  <c r="F477" i="1" s="1"/>
  <c r="I869" i="15" s="1"/>
  <c r="H1190" i="24"/>
  <c r="H1182" i="24" s="1"/>
  <c r="G1182" i="24"/>
  <c r="E831" i="1" s="1"/>
  <c r="F831" i="1" s="1"/>
  <c r="I1182" i="24" s="1"/>
  <c r="H1271" i="26"/>
  <c r="H1263" i="26" s="1"/>
  <c r="G1263" i="26"/>
  <c r="E920" i="1" s="1"/>
  <c r="F920" i="1" s="1"/>
  <c r="I1263" i="26" s="1"/>
  <c r="H1368" i="13"/>
  <c r="H1360" i="13" s="1"/>
  <c r="G1360" i="13"/>
  <c r="E362" i="1" s="1"/>
  <c r="F362" i="1" s="1"/>
  <c r="I1360" i="13" s="1"/>
  <c r="H1436" i="21"/>
  <c r="H1428" i="21" s="1"/>
  <c r="G1428" i="21"/>
  <c r="E751" i="1" s="1"/>
  <c r="F751" i="1" s="1"/>
  <c r="I1428" i="21" s="1"/>
  <c r="H37" i="15"/>
  <c r="H24" i="15" s="1"/>
  <c r="G24" i="15"/>
  <c r="E435" i="1" s="1"/>
  <c r="F435" i="1" s="1"/>
  <c r="I24" i="15" s="1"/>
  <c r="H2120" i="8"/>
  <c r="H2112" i="8" s="1"/>
  <c r="G2112" i="8"/>
  <c r="E112" i="1" s="1"/>
  <c r="F112" i="1" s="1"/>
  <c r="I2112" i="8" s="1"/>
  <c r="H1206" i="11"/>
  <c r="H1204" i="11" s="1"/>
  <c r="G1204" i="11"/>
  <c r="E210" i="1" s="1"/>
  <c r="F210" i="1" s="1"/>
  <c r="I1204" i="11" s="1"/>
  <c r="K281" i="8"/>
  <c r="J281" i="8"/>
  <c r="H1619" i="15"/>
  <c r="H1611" i="15" s="1"/>
  <c r="G1611" i="15"/>
  <c r="E514" i="1" s="1"/>
  <c r="F514" i="1" s="1"/>
  <c r="H1108" i="13"/>
  <c r="H1100" i="13" s="1"/>
  <c r="G1100" i="13"/>
  <c r="E349" i="1" s="1"/>
  <c r="F349" i="1" s="1"/>
  <c r="I1100" i="13" s="1"/>
  <c r="H1585" i="26"/>
  <c r="H1577" i="26" s="1"/>
  <c r="G1577" i="26"/>
  <c r="E935" i="1" s="1"/>
  <c r="F935" i="1" s="1"/>
  <c r="I1577" i="26" s="1"/>
  <c r="H1748" i="13"/>
  <c r="H1740" i="13" s="1"/>
  <c r="G1740" i="13"/>
  <c r="E381" i="1" s="1"/>
  <c r="F381" i="1" s="1"/>
  <c r="I1740" i="13" s="1"/>
  <c r="H630" i="26"/>
  <c r="H622" i="26" s="1"/>
  <c r="G622" i="26"/>
  <c r="E888" i="1" s="1"/>
  <c r="F888" i="1" s="1"/>
  <c r="I622" i="26" s="1"/>
  <c r="H92" i="21"/>
  <c r="H84" i="21" s="1"/>
  <c r="G84" i="21"/>
  <c r="E684" i="1" s="1"/>
  <c r="F684" i="1" s="1"/>
  <c r="I84" i="21" s="1"/>
  <c r="H1828" i="13"/>
  <c r="H1820" i="13" s="1"/>
  <c r="G1820" i="13"/>
  <c r="E385" i="1" s="1"/>
  <c r="F385" i="1" s="1"/>
  <c r="I1820" i="13" s="1"/>
  <c r="G3097" i="26"/>
  <c r="E1012" i="1" s="1"/>
  <c r="F1012" i="1" s="1"/>
  <c r="I3097" i="26" s="1"/>
  <c r="H3099" i="26"/>
  <c r="H3097" i="26" s="1"/>
  <c r="G969" i="15"/>
  <c r="E482" i="1" s="1"/>
  <c r="F482" i="1" s="1"/>
  <c r="I969" i="15" s="1"/>
  <c r="H977" i="15"/>
  <c r="H969" i="15" s="1"/>
  <c r="H1379" i="15"/>
  <c r="H1371" i="15" s="1"/>
  <c r="G1371" i="15"/>
  <c r="E502" i="1" s="1"/>
  <c r="F502" i="1" s="1"/>
  <c r="I1371" i="15" s="1"/>
  <c r="H696" i="32"/>
  <c r="H688" i="32" s="1"/>
  <c r="G688" i="32"/>
  <c r="E1159" i="1" s="1"/>
  <c r="F1159" i="1" s="1"/>
  <c r="I688" i="32" s="1"/>
  <c r="K1564" i="30"/>
  <c r="H1452" i="11"/>
  <c r="H1444" i="11" s="1"/>
  <c r="G1444" i="11"/>
  <c r="E222" i="1" s="1"/>
  <c r="F222" i="1" s="1"/>
  <c r="I1444" i="11" s="1"/>
  <c r="G429" i="15"/>
  <c r="H437" i="15"/>
  <c r="H429" i="15" s="1"/>
  <c r="H2340" i="8"/>
  <c r="H2332" i="8" s="1"/>
  <c r="G2332" i="8"/>
  <c r="E123" i="1" s="1"/>
  <c r="F123" i="1" s="1"/>
  <c r="I2332" i="8" s="1"/>
  <c r="H1723" i="16"/>
  <c r="H1715" i="16" s="1"/>
  <c r="G1715" i="16"/>
  <c r="E627" i="1" s="1"/>
  <c r="F627" i="1" s="1"/>
  <c r="I1715" i="16" s="1"/>
  <c r="G966" i="8"/>
  <c r="E54" i="1" s="1"/>
  <c r="F54" i="1" s="1"/>
  <c r="I966" i="8" s="1"/>
  <c r="H974" i="8"/>
  <c r="H966" i="8" s="1"/>
  <c r="H53" i="8"/>
  <c r="F5" i="3" s="1"/>
  <c r="G52" i="8"/>
  <c r="H372" i="30"/>
  <c r="H364" i="30" s="1"/>
  <c r="G364" i="30"/>
  <c r="E1032" i="1" s="1"/>
  <c r="F1032" i="1" s="1"/>
  <c r="I364" i="30" s="1"/>
  <c r="H2315" i="11"/>
  <c r="H2307" i="11" s="1"/>
  <c r="G2307" i="11"/>
  <c r="E262" i="1" s="1"/>
  <c r="F262" i="1" s="1"/>
  <c r="I2307" i="11" s="1"/>
  <c r="H1007" i="24"/>
  <c r="H999" i="24" s="1"/>
  <c r="G999" i="24"/>
  <c r="E822" i="1" s="1"/>
  <c r="F822" i="1" s="1"/>
  <c r="I999" i="24" s="1"/>
  <c r="H687" i="16"/>
  <c r="H679" i="16" s="1"/>
  <c r="G679" i="16"/>
  <c r="E575" i="1" s="1"/>
  <c r="F575" i="1" s="1"/>
  <c r="I679" i="16" s="1"/>
  <c r="H1656" i="32"/>
  <c r="H1648" i="32" s="1"/>
  <c r="G1648" i="32"/>
  <c r="E1207" i="1" s="1"/>
  <c r="F1207" i="1" s="1"/>
  <c r="I1648" i="32" s="1"/>
  <c r="H992" i="33"/>
  <c r="H984" i="33" s="1"/>
  <c r="G984" i="33"/>
  <c r="E1259" i="1" s="1"/>
  <c r="F1259" i="1" s="1"/>
  <c r="I984" i="33" s="1"/>
  <c r="H2608" i="13"/>
  <c r="H2600" i="13" s="1"/>
  <c r="G2600" i="13"/>
  <c r="E424" i="1" s="1"/>
  <c r="F424" i="1" s="1"/>
  <c r="I2600" i="13" s="1"/>
  <c r="H152" i="32"/>
  <c r="H144" i="32" s="1"/>
  <c r="G144" i="32"/>
  <c r="E1132" i="1" s="1"/>
  <c r="F1132" i="1" s="1"/>
  <c r="I144" i="32" s="1"/>
  <c r="K544" i="21"/>
  <c r="I544" i="21"/>
  <c r="J544" i="21" s="1"/>
  <c r="E1607" i="30" l="1"/>
  <c r="G1607" i="30" s="1"/>
  <c r="E107" i="30"/>
  <c r="E2639" i="26"/>
  <c r="E2898" i="26"/>
  <c r="G2898" i="26" s="1"/>
  <c r="E568" i="30"/>
  <c r="O821" i="2"/>
  <c r="O363" i="2"/>
  <c r="N821" i="2"/>
  <c r="N509" i="2"/>
  <c r="O509" i="2"/>
  <c r="O822" i="2"/>
  <c r="N822" i="2"/>
  <c r="I59" i="5"/>
  <c r="N693" i="2"/>
  <c r="N312" i="2"/>
  <c r="H384" i="26"/>
  <c r="G383" i="26"/>
  <c r="G2639" i="26"/>
  <c r="K819" i="16"/>
  <c r="H126" i="30"/>
  <c r="H124" i="30" s="1"/>
  <c r="G124" i="30"/>
  <c r="E1020" i="1" s="1"/>
  <c r="F1020" i="1" s="1"/>
  <c r="I124" i="30" s="1"/>
  <c r="H464" i="11"/>
  <c r="H1004" i="11"/>
  <c r="H59" i="5"/>
  <c r="I4" i="36"/>
  <c r="J4" i="36" s="1"/>
  <c r="F1274" i="1"/>
  <c r="K4" i="36"/>
  <c r="Q312" i="2" s="1"/>
  <c r="H10" i="4"/>
  <c r="K569" i="15"/>
  <c r="H566" i="33"/>
  <c r="H564" i="33" s="1"/>
  <c r="G564" i="33"/>
  <c r="E1238" i="1" s="1"/>
  <c r="F1238" i="1" s="1"/>
  <c r="I564" i="33" s="1"/>
  <c r="H986" i="30"/>
  <c r="H984" i="30" s="1"/>
  <c r="G984" i="30"/>
  <c r="E1063" i="1" s="1"/>
  <c r="F1063" i="1" s="1"/>
  <c r="I984" i="30" s="1"/>
  <c r="G124" i="11"/>
  <c r="E155" i="1" s="1"/>
  <c r="F155" i="1" s="1"/>
  <c r="I124" i="11" s="1"/>
  <c r="H126" i="11"/>
  <c r="H124" i="11" s="1"/>
  <c r="G484" i="11"/>
  <c r="E174" i="1" s="1"/>
  <c r="F174" i="1" s="1"/>
  <c r="I484" i="11" s="1"/>
  <c r="H486" i="11"/>
  <c r="H484" i="11" s="1"/>
  <c r="G1072" i="21"/>
  <c r="E734" i="1" s="1"/>
  <c r="F734" i="1" s="1"/>
  <c r="I1072" i="21" s="1"/>
  <c r="H1074" i="21"/>
  <c r="H1072" i="21" s="1"/>
  <c r="H1054" i="21"/>
  <c r="H1052" i="21" s="1"/>
  <c r="G1052" i="21"/>
  <c r="E733" i="1" s="1"/>
  <c r="F733" i="1" s="1"/>
  <c r="I1052" i="21" s="1"/>
  <c r="I629" i="2"/>
  <c r="I988" i="32"/>
  <c r="J988" i="32" s="1"/>
  <c r="F91" i="3"/>
  <c r="J2267" i="11"/>
  <c r="J2538" i="16"/>
  <c r="J1726" i="8"/>
  <c r="J2740" i="13"/>
  <c r="J2352" i="8"/>
  <c r="J2640" i="13"/>
  <c r="K788" i="32"/>
  <c r="K164" i="24"/>
  <c r="K369" i="15"/>
  <c r="K189" i="15"/>
  <c r="K309" i="15"/>
  <c r="K1069" i="15"/>
  <c r="K1631" i="15"/>
  <c r="K84" i="32"/>
  <c r="K1857" i="26"/>
  <c r="J444" i="16"/>
  <c r="J487" i="16"/>
  <c r="K999" i="16"/>
  <c r="K404" i="24"/>
  <c r="J1108" i="32"/>
  <c r="K1163" i="26"/>
  <c r="K1671" i="15"/>
  <c r="J1020" i="13"/>
  <c r="K1491" i="15"/>
  <c r="J1588" i="32"/>
  <c r="K649" i="15"/>
  <c r="K759" i="16"/>
  <c r="K724" i="21"/>
  <c r="J2121" i="15"/>
  <c r="K1777" i="26"/>
  <c r="K889" i="15"/>
  <c r="K1588" i="21"/>
  <c r="K1264" i="21"/>
  <c r="K1160" i="13"/>
  <c r="K1059" i="24"/>
  <c r="K1589" i="11"/>
  <c r="K899" i="16"/>
  <c r="J59" i="5"/>
  <c r="J2160" i="13"/>
  <c r="J1255" i="16"/>
  <c r="J2593" i="8"/>
  <c r="J1546" i="8"/>
  <c r="J2618" i="16"/>
  <c r="J2458" i="16"/>
  <c r="K919" i="16"/>
  <c r="K324" i="24"/>
  <c r="J2480" i="13"/>
  <c r="J2137" i="26"/>
  <c r="J1700" i="13"/>
  <c r="J2715" i="26"/>
  <c r="J1551" i="24"/>
  <c r="J1866" i="8"/>
  <c r="K1388" i="21"/>
  <c r="K1595" i="16"/>
  <c r="K2569" i="26"/>
  <c r="K2260" i="13"/>
  <c r="K1284" i="21"/>
  <c r="J1906" i="8"/>
  <c r="K2675" i="26"/>
  <c r="K644" i="21"/>
  <c r="K468" i="32"/>
  <c r="J2835" i="26"/>
  <c r="K601" i="8"/>
  <c r="K1488" i="21"/>
  <c r="K248" i="32"/>
  <c r="K1355" i="16"/>
  <c r="K348" i="32"/>
  <c r="K1009" i="15"/>
  <c r="K2327" i="26"/>
  <c r="J2041" i="15"/>
  <c r="K1019" i="24"/>
  <c r="J1917" i="26"/>
  <c r="K1208" i="32"/>
  <c r="K1391" i="15"/>
  <c r="K983" i="26"/>
  <c r="K1424" i="30"/>
  <c r="K1913" i="15"/>
  <c r="K1744" i="30"/>
  <c r="K799" i="16"/>
  <c r="K2040" i="13"/>
  <c r="J1967" i="30"/>
  <c r="J1771" i="15"/>
  <c r="J992" i="21"/>
  <c r="J1548" i="21"/>
  <c r="J1146" i="8"/>
  <c r="J864" i="11"/>
  <c r="K2380" i="13"/>
  <c r="J2655" i="26"/>
  <c r="K1920" i="13"/>
  <c r="K944" i="33"/>
  <c r="J2680" i="13"/>
  <c r="J2415" i="26"/>
  <c r="J979" i="16"/>
  <c r="K1571" i="15"/>
  <c r="K2140" i="13"/>
  <c r="K1195" i="16"/>
  <c r="J10" i="4"/>
  <c r="K628" i="32"/>
  <c r="J1886" i="8"/>
  <c r="J244" i="24"/>
  <c r="J2037" i="26"/>
  <c r="J549" i="15"/>
  <c r="J1109" i="15"/>
  <c r="J2027" i="30"/>
  <c r="J1451" i="15"/>
  <c r="J1724" i="30"/>
  <c r="J2172" i="8"/>
  <c r="K1220" i="13"/>
  <c r="J1755" i="16"/>
  <c r="J719" i="16"/>
  <c r="J2733" i="8"/>
  <c r="J573" i="16"/>
  <c r="J3077" i="26"/>
  <c r="J329" i="15"/>
  <c r="J2240" i="13"/>
  <c r="J1315" i="16"/>
  <c r="J585" i="24"/>
  <c r="J404" i="33"/>
  <c r="J1424" i="11"/>
  <c r="I91" i="3"/>
  <c r="K24" i="33"/>
  <c r="K765" i="24"/>
  <c r="K739" i="16"/>
  <c r="K109" i="15"/>
  <c r="K364" i="16"/>
  <c r="J1480" i="13"/>
  <c r="K64" i="24"/>
  <c r="J1628" i="32"/>
  <c r="K1728" i="21"/>
  <c r="K504" i="21"/>
  <c r="K769" i="15"/>
  <c r="J1395" i="16"/>
  <c r="J1215" i="16"/>
  <c r="J308" i="32"/>
  <c r="K224" i="16"/>
  <c r="J1957" i="15"/>
  <c r="J2177" i="26"/>
  <c r="K1029" i="15"/>
  <c r="K344" i="33"/>
  <c r="K959" i="24"/>
  <c r="K2503" i="26"/>
  <c r="J659" i="16"/>
  <c r="J2077" i="16"/>
  <c r="J1711" i="15"/>
  <c r="K2400" i="13"/>
  <c r="J1608" i="21"/>
  <c r="K1019" i="16"/>
  <c r="K1688" i="21"/>
  <c r="K804" i="21"/>
  <c r="K1431" i="15"/>
  <c r="K1568" i="11"/>
  <c r="K1680" i="13"/>
  <c r="K1229" i="15"/>
  <c r="K1120" i="13"/>
  <c r="K1201" i="24"/>
  <c r="K1444" i="30"/>
  <c r="K1060" i="13"/>
  <c r="K1281" i="24"/>
  <c r="K904" i="33"/>
  <c r="K1384" i="30"/>
  <c r="J1468" i="32"/>
  <c r="J2047" i="30"/>
  <c r="J424" i="33"/>
  <c r="K428" i="32"/>
  <c r="J344" i="16"/>
  <c r="J2438" i="16"/>
  <c r="J1995" i="16"/>
  <c r="J2157" i="16"/>
  <c r="J124" i="21"/>
  <c r="J2558" i="16"/>
  <c r="J704" i="33"/>
  <c r="K288" i="32"/>
  <c r="J324" i="33"/>
  <c r="K868" i="32"/>
  <c r="J89" i="15"/>
  <c r="J269" i="15"/>
  <c r="J609" i="15"/>
  <c r="J1640" i="13"/>
  <c r="J361" i="8"/>
  <c r="J593" i="16"/>
  <c r="J1200" i="13"/>
  <c r="J1760" i="13"/>
  <c r="J926" i="8"/>
  <c r="J1635" i="16"/>
  <c r="J2498" i="16"/>
  <c r="J744" i="21"/>
  <c r="J1835" i="16"/>
  <c r="J959" i="16"/>
  <c r="K1174" i="16"/>
  <c r="J1631" i="24"/>
  <c r="J2613" i="26"/>
  <c r="J464" i="16"/>
  <c r="K284" i="24"/>
  <c r="K1448" i="21"/>
  <c r="J1828" i="21"/>
  <c r="J1515" i="16"/>
  <c r="J424" i="16"/>
  <c r="J1248" i="32"/>
  <c r="J2060" i="13"/>
  <c r="J2620" i="13"/>
  <c r="J235" i="26"/>
  <c r="J1648" i="32"/>
  <c r="J688" i="32"/>
  <c r="J1820" i="13"/>
  <c r="J1360" i="13"/>
  <c r="J2087" i="30"/>
  <c r="J1364" i="11"/>
  <c r="K2097" i="26"/>
  <c r="J2001" i="15"/>
  <c r="J1875" i="16"/>
  <c r="J2700" i="13"/>
  <c r="J1712" i="24"/>
  <c r="J1368" i="32"/>
  <c r="J530" i="16"/>
  <c r="J2280" i="13"/>
  <c r="J44" i="32"/>
  <c r="J364" i="33"/>
  <c r="J2057" i="26"/>
  <c r="J1039" i="24"/>
  <c r="J1244" i="21"/>
  <c r="J1049" i="15"/>
  <c r="J748" i="32"/>
  <c r="J229" i="15"/>
  <c r="J2000" i="13"/>
  <c r="J2300" i="13"/>
  <c r="J508" i="32"/>
  <c r="K184" i="24"/>
  <c r="K745" i="24"/>
  <c r="K408" i="32"/>
  <c r="K1695" i="16"/>
  <c r="J725" i="24"/>
  <c r="K909" i="15"/>
  <c r="K1335" i="16"/>
  <c r="K1720" i="13"/>
  <c r="K264" i="33"/>
  <c r="K104" i="24"/>
  <c r="J1268" i="32"/>
  <c r="K2200" i="13"/>
  <c r="J2015" i="16"/>
  <c r="J2459" i="26"/>
  <c r="K749" i="15"/>
  <c r="K1664" i="30"/>
  <c r="K664" i="33"/>
  <c r="J1668" i="21"/>
  <c r="J1408" i="32"/>
  <c r="K2500" i="13"/>
  <c r="K1516" i="26"/>
  <c r="K2220" i="13"/>
  <c r="J1140" i="13"/>
  <c r="J2478" i="16"/>
  <c r="J1571" i="24"/>
  <c r="J2332" i="8"/>
  <c r="J264" i="24"/>
  <c r="J2518" i="16"/>
  <c r="J494" i="13"/>
  <c r="K1440" i="13"/>
  <c r="J1775" i="16"/>
  <c r="J344" i="24"/>
  <c r="J1540" i="13"/>
  <c r="J304" i="24"/>
  <c r="K2120" i="13"/>
  <c r="J489" i="15"/>
  <c r="K708" i="32"/>
  <c r="O459" i="2" s="1"/>
  <c r="J284" i="16"/>
  <c r="J2167" i="30"/>
  <c r="J1388" i="32"/>
  <c r="J1115" i="21"/>
  <c r="J1988" i="8"/>
  <c r="J704" i="21"/>
  <c r="J1228" i="32"/>
  <c r="J1808" i="21"/>
  <c r="K1935" i="15"/>
  <c r="K1880" i="13"/>
  <c r="K464" i="24"/>
  <c r="J64" i="21"/>
  <c r="J1224" i="11"/>
  <c r="J709" i="15"/>
  <c r="J1691" i="15"/>
  <c r="K1675" i="16"/>
  <c r="J729" i="15"/>
  <c r="J2030" i="8"/>
  <c r="J2660" i="13"/>
  <c r="J553" i="16"/>
  <c r="K44" i="24"/>
  <c r="J1384" i="11"/>
  <c r="J2813" i="8"/>
  <c r="J424" i="24"/>
  <c r="J1084" i="16"/>
  <c r="J1380" i="13"/>
  <c r="K1342" i="24"/>
  <c r="J1328" i="32"/>
  <c r="J209" i="15"/>
  <c r="K1241" i="24"/>
  <c r="K204" i="24"/>
  <c r="J2100" i="13"/>
  <c r="J1226" i="8"/>
  <c r="J2080" i="13"/>
  <c r="J1466" i="8"/>
  <c r="K884" i="11"/>
  <c r="J1468" i="21"/>
  <c r="J1508" i="21"/>
  <c r="J1620" i="13"/>
  <c r="J743" i="26"/>
  <c r="J304" i="33"/>
  <c r="J1260" i="13"/>
  <c r="J1955" i="16"/>
  <c r="K1555" i="16"/>
  <c r="K1708" i="21"/>
  <c r="J1235" i="16"/>
  <c r="J1560" i="13"/>
  <c r="J2217" i="16"/>
  <c r="J867" i="21"/>
  <c r="J2017" i="26"/>
  <c r="K1528" i="21"/>
  <c r="J624" i="33"/>
  <c r="J1328" i="21"/>
  <c r="J2340" i="13"/>
  <c r="J324" i="16"/>
  <c r="K1556" i="26"/>
  <c r="K784" i="21"/>
  <c r="K2760" i="13"/>
  <c r="J1089" i="15"/>
  <c r="K1408" i="21"/>
  <c r="J2021" i="15"/>
  <c r="K449" i="15"/>
  <c r="K972" i="21"/>
  <c r="K1475" i="16"/>
  <c r="K2540" i="13"/>
  <c r="K2525" i="26"/>
  <c r="J1660" i="13"/>
  <c r="K1547" i="11"/>
  <c r="K1691" i="24"/>
  <c r="J2547" i="26"/>
  <c r="J1877" i="26"/>
  <c r="J1855" i="16"/>
  <c r="K24" i="32"/>
  <c r="J1800" i="13"/>
  <c r="J2520" i="13"/>
  <c r="J284" i="33"/>
  <c r="J2292" i="8"/>
  <c r="J1980" i="13"/>
  <c r="J44" i="13"/>
  <c r="J1535" i="16"/>
  <c r="K1340" i="13"/>
  <c r="J1840" i="13"/>
  <c r="J2698" i="16"/>
  <c r="J1149" i="15"/>
  <c r="J1134" i="16"/>
  <c r="J2580" i="13"/>
  <c r="J2261" i="26"/>
  <c r="J2349" i="26"/>
  <c r="J2218" i="26"/>
  <c r="J1221" i="24"/>
  <c r="J2305" i="26"/>
  <c r="J2773" i="8"/>
  <c r="J2420" i="13"/>
  <c r="J1846" i="8"/>
  <c r="K289" i="15"/>
  <c r="J1295" i="16"/>
  <c r="J1364" i="30"/>
  <c r="J1240" i="13"/>
  <c r="J1651" i="15"/>
  <c r="J2560" i="13"/>
  <c r="J2553" i="8"/>
  <c r="J384" i="24"/>
  <c r="J2072" i="8"/>
  <c r="J2097" i="16"/>
  <c r="K1224" i="11"/>
  <c r="J2317" i="16"/>
  <c r="J2260" i="13"/>
  <c r="K1275" i="16"/>
  <c r="J364" i="24"/>
  <c r="K1108" i="32"/>
  <c r="J104" i="32"/>
  <c r="J1764" i="30"/>
  <c r="J1203" i="26"/>
  <c r="J1460" i="13"/>
  <c r="J1249" i="15"/>
  <c r="K1471" i="15"/>
  <c r="K1815" i="16"/>
  <c r="J875" i="24"/>
  <c r="J1099" i="24"/>
  <c r="K2157" i="26"/>
  <c r="K1740" i="13"/>
  <c r="K1428" i="21"/>
  <c r="K869" i="15"/>
  <c r="K1897" i="26"/>
  <c r="K2640" i="13"/>
  <c r="K1624" i="30"/>
  <c r="J404" i="21"/>
  <c r="K932" i="21"/>
  <c r="K1320" i="13"/>
  <c r="J1884" i="30"/>
  <c r="J699" i="16"/>
  <c r="K1900" i="13"/>
  <c r="J1488" i="32"/>
  <c r="K2197" i="26"/>
  <c r="K949" i="15"/>
  <c r="K645" i="24"/>
  <c r="J1039" i="16"/>
  <c r="K2340" i="13"/>
  <c r="K1580" i="13"/>
  <c r="J1568" i="32"/>
  <c r="K1435" i="16"/>
  <c r="K1748" i="21"/>
  <c r="K129" i="15"/>
  <c r="K1940" i="13"/>
  <c r="K1411" i="15"/>
  <c r="K964" i="33"/>
  <c r="K324" i="21"/>
  <c r="K785" i="24"/>
  <c r="K1040" i="13"/>
  <c r="K249" i="15"/>
  <c r="K1520" i="13"/>
  <c r="K2021" i="15"/>
  <c r="J1204" i="21"/>
  <c r="K404" i="16"/>
  <c r="K1140" i="24"/>
  <c r="K1189" i="15"/>
  <c r="K1960" i="13"/>
  <c r="K507" i="16"/>
  <c r="K2020" i="13"/>
  <c r="J1684" i="30"/>
  <c r="J1331" i="15"/>
  <c r="J1180" i="13"/>
  <c r="J1024" i="33"/>
  <c r="K1004" i="33"/>
  <c r="K1120" i="24"/>
  <c r="K1404" i="11"/>
  <c r="K789" i="15"/>
  <c r="K1154" i="16"/>
  <c r="K164" i="32"/>
  <c r="K1420" i="13"/>
  <c r="J2591" i="26"/>
  <c r="K384" i="16"/>
  <c r="K1568" i="21"/>
  <c r="K854" i="24"/>
  <c r="K2460" i="13"/>
  <c r="K989" i="15"/>
  <c r="J1368" i="21"/>
  <c r="K984" i="33"/>
  <c r="J952" i="21"/>
  <c r="K1824" i="30"/>
  <c r="K69" i="15"/>
  <c r="K64" i="32"/>
  <c r="K879" i="16"/>
  <c r="J859" i="16"/>
  <c r="K1979" i="15"/>
  <c r="J2393" i="26"/>
  <c r="K2815" i="26"/>
  <c r="K1261" i="24"/>
  <c r="K1059" i="16"/>
  <c r="K2875" i="26"/>
  <c r="K1837" i="26"/>
  <c r="K604" i="21"/>
  <c r="J605" i="24"/>
  <c r="J1946" i="8"/>
  <c r="J979" i="24"/>
  <c r="J1746" i="8"/>
  <c r="J939" i="16"/>
  <c r="J2500" i="13"/>
  <c r="J2720" i="13"/>
  <c r="J2117" i="16"/>
  <c r="K2307" i="11"/>
  <c r="K1715" i="16"/>
  <c r="J1946" i="30"/>
  <c r="K2360" i="13"/>
  <c r="K1084" i="11"/>
  <c r="K1448" i="32"/>
  <c r="K1791" i="15"/>
  <c r="K268" i="32"/>
  <c r="K144" i="32"/>
  <c r="K679" i="16"/>
  <c r="K429" i="15"/>
  <c r="K1371" i="15"/>
  <c r="K1100" i="13"/>
  <c r="K1280" i="13"/>
  <c r="J1780" i="13"/>
  <c r="J224" i="24"/>
  <c r="J1455" i="16"/>
  <c r="K1600" i="13"/>
  <c r="K448" i="32"/>
  <c r="K1080" i="13"/>
  <c r="J328" i="32"/>
  <c r="J808" i="24"/>
  <c r="J808" i="32"/>
  <c r="J629" i="15"/>
  <c r="K1591" i="15"/>
  <c r="J2653" i="8"/>
  <c r="J2320" i="13"/>
  <c r="K1611" i="24"/>
  <c r="K1851" i="15"/>
  <c r="K1655" i="16"/>
  <c r="K1300" i="13"/>
  <c r="K844" i="11"/>
  <c r="K1415" i="16"/>
  <c r="J1987" i="30"/>
  <c r="J2793" i="8"/>
  <c r="J2180" i="13"/>
  <c r="K839" i="16"/>
  <c r="K169" i="15"/>
  <c r="K1311" i="15"/>
  <c r="K1375" i="16"/>
  <c r="J908" i="32"/>
  <c r="K1109" i="16"/>
  <c r="J1646" i="8"/>
  <c r="J2472" i="8"/>
  <c r="J919" i="24"/>
  <c r="K464" i="30"/>
  <c r="K1757" i="26"/>
  <c r="J1975" i="16"/>
  <c r="J2638" i="16"/>
  <c r="J625" i="24"/>
  <c r="J1591" i="24"/>
  <c r="J1784" i="30"/>
  <c r="K832" i="24"/>
  <c r="J1644" i="30"/>
  <c r="J1864" i="30"/>
  <c r="J384" i="33"/>
  <c r="J2107" i="30"/>
  <c r="J2312" i="8"/>
  <c r="J369" i="15"/>
  <c r="J1209" i="15"/>
  <c r="J1608" i="32"/>
  <c r="K2101" i="15"/>
  <c r="J847" i="21"/>
  <c r="J779" i="16"/>
  <c r="J1704" i="30"/>
  <c r="K1817" i="26"/>
  <c r="K49" i="15"/>
  <c r="K2600" i="13"/>
  <c r="J999" i="24"/>
  <c r="J1444" i="11"/>
  <c r="J969" i="15"/>
  <c r="K622" i="26"/>
  <c r="K1611" i="15"/>
  <c r="K24" i="15"/>
  <c r="K1182" i="24"/>
  <c r="K1500" i="13"/>
  <c r="J639" i="16"/>
  <c r="J1244" i="33"/>
  <c r="K1324" i="11"/>
  <c r="J1186" i="8"/>
  <c r="K897" i="24"/>
  <c r="N342" i="2"/>
  <c r="K1671" i="24"/>
  <c r="K1464" i="11"/>
  <c r="K1495" i="16"/>
  <c r="J1400" i="13"/>
  <c r="K244" i="16"/>
  <c r="K1575" i="16"/>
  <c r="K968" i="32"/>
  <c r="K349" i="15"/>
  <c r="J2573" i="8"/>
  <c r="J648" i="32"/>
  <c r="K304" i="16"/>
  <c r="J2713" i="8"/>
  <c r="J2513" i="8"/>
  <c r="J1169" i="15"/>
  <c r="J84" i="24"/>
  <c r="J2272" i="8"/>
  <c r="K588" i="32"/>
  <c r="J2440" i="13"/>
  <c r="J1735" i="16"/>
  <c r="J2492" i="8"/>
  <c r="K616" i="16"/>
  <c r="J1095" i="21"/>
  <c r="J1860" i="13"/>
  <c r="J140" i="26"/>
  <c r="J529" i="15"/>
  <c r="J1651" i="24"/>
  <c r="J1686" i="8"/>
  <c r="K2855" i="26"/>
  <c r="K1615" i="16"/>
  <c r="K988" i="32"/>
  <c r="K2437" i="26"/>
  <c r="J2481" i="26"/>
  <c r="K1224" i="21"/>
  <c r="K929" i="15"/>
  <c r="K844" i="30"/>
  <c r="J844" i="30"/>
  <c r="H12" i="32"/>
  <c r="H4" i="32" s="1"/>
  <c r="G4" i="32"/>
  <c r="E1125" i="1" s="1"/>
  <c r="F1125" i="1" s="1"/>
  <c r="J2952" i="11"/>
  <c r="K2952" i="11"/>
  <c r="J164" i="21"/>
  <c r="K164" i="21"/>
  <c r="K582" i="26"/>
  <c r="J582" i="26"/>
  <c r="H108" i="13"/>
  <c r="H106" i="13" s="1"/>
  <c r="G106" i="13"/>
  <c r="E300" i="1" s="1"/>
  <c r="F300" i="1" s="1"/>
  <c r="I106" i="13" s="1"/>
  <c r="G244" i="30"/>
  <c r="E1026" i="1" s="1"/>
  <c r="F1026" i="1" s="1"/>
  <c r="I244" i="30" s="1"/>
  <c r="H246" i="30"/>
  <c r="H244" i="30" s="1"/>
  <c r="F637" i="1"/>
  <c r="J2600" i="13"/>
  <c r="E463" i="1"/>
  <c r="F463" i="1" s="1"/>
  <c r="E455" i="1"/>
  <c r="F455" i="1" s="1"/>
  <c r="I429" i="15" s="1"/>
  <c r="J429" i="15" s="1"/>
  <c r="K969" i="15"/>
  <c r="J622" i="26"/>
  <c r="J24" i="15"/>
  <c r="J1182" i="24"/>
  <c r="J1500" i="13"/>
  <c r="K1183" i="26"/>
  <c r="J1183" i="26"/>
  <c r="J164" i="16"/>
  <c r="K164" i="16"/>
  <c r="K1780" i="13"/>
  <c r="K224" i="24"/>
  <c r="K1455" i="16"/>
  <c r="J897" i="24"/>
  <c r="K264" i="16"/>
  <c r="E555" i="1"/>
  <c r="F555" i="1" s="1"/>
  <c r="J1246" i="8"/>
  <c r="K2714" i="11"/>
  <c r="J2714" i="11"/>
  <c r="K209" i="15"/>
  <c r="J1241" i="24"/>
  <c r="J2753" i="8"/>
  <c r="H726" i="30"/>
  <c r="H724" i="30" s="1"/>
  <c r="G724" i="30"/>
  <c r="E1050" i="1" s="1"/>
  <c r="F1050" i="1" s="1"/>
  <c r="I724" i="30" s="1"/>
  <c r="J204" i="24"/>
  <c r="J884" i="30"/>
  <c r="K884" i="30"/>
  <c r="K1811" i="15"/>
  <c r="J2654" i="11"/>
  <c r="K2654" i="11"/>
  <c r="J384" i="21"/>
  <c r="K384" i="21"/>
  <c r="J884" i="11"/>
  <c r="J2675" i="26"/>
  <c r="J44" i="30"/>
  <c r="K44" i="30"/>
  <c r="J661" i="8"/>
  <c r="K661" i="8"/>
  <c r="J944" i="33"/>
  <c r="K1771" i="15"/>
  <c r="K1388" i="32"/>
  <c r="K1115" i="21"/>
  <c r="G2158" i="11"/>
  <c r="E255" i="1" s="1"/>
  <c r="F255" i="1" s="1"/>
  <c r="I2158" i="11" s="1"/>
  <c r="H2160" i="11"/>
  <c r="H2158" i="11" s="1"/>
  <c r="K704" i="21"/>
  <c r="K1228" i="32"/>
  <c r="K1808" i="21"/>
  <c r="K803" i="26"/>
  <c r="J803" i="26"/>
  <c r="J344" i="33"/>
  <c r="K1123" i="26"/>
  <c r="J1123" i="26"/>
  <c r="K264" i="24"/>
  <c r="J959" i="24"/>
  <c r="J2503" i="26"/>
  <c r="K721" i="8"/>
  <c r="J721" i="8"/>
  <c r="J763" i="26"/>
  <c r="K763" i="26"/>
  <c r="K494" i="13"/>
  <c r="K509" i="15"/>
  <c r="J1440" i="13"/>
  <c r="G1164" i="11"/>
  <c r="E208" i="1" s="1"/>
  <c r="F208" i="1" s="1"/>
  <c r="I1164" i="11" s="1"/>
  <c r="H1166" i="11"/>
  <c r="H1164" i="11" s="1"/>
  <c r="G2055" i="11"/>
  <c r="E250" i="1" s="1"/>
  <c r="F250" i="1" s="1"/>
  <c r="I2055" i="11" s="1"/>
  <c r="H2057" i="11"/>
  <c r="H2055" i="11" s="1"/>
  <c r="K1775" i="16"/>
  <c r="K344" i="24"/>
  <c r="K284" i="21"/>
  <c r="J284" i="21"/>
  <c r="K1540" i="13"/>
  <c r="K304" i="24"/>
  <c r="K1380" i="13"/>
  <c r="J1342" i="24"/>
  <c r="K1039" i="24"/>
  <c r="K1244" i="21"/>
  <c r="J444" i="11"/>
  <c r="K444" i="11"/>
  <c r="K1049" i="15"/>
  <c r="J880" i="13"/>
  <c r="K880" i="13"/>
  <c r="H226" i="33"/>
  <c r="H224" i="33" s="1"/>
  <c r="G224" i="33"/>
  <c r="E1221" i="1" s="1"/>
  <c r="F1221" i="1" s="1"/>
  <c r="I224" i="33" s="1"/>
  <c r="H966" i="11"/>
  <c r="H964" i="11" s="1"/>
  <c r="G964" i="11"/>
  <c r="E198" i="1" s="1"/>
  <c r="F198" i="1" s="1"/>
  <c r="I964" i="11" s="1"/>
  <c r="K2459" i="26"/>
  <c r="K2320" i="13"/>
  <c r="J2598" i="16"/>
  <c r="J1611" i="24"/>
  <c r="J141" i="8"/>
  <c r="K141" i="8"/>
  <c r="I1935" i="15"/>
  <c r="J1935" i="15" s="1"/>
  <c r="I1851" i="15"/>
  <c r="J1851" i="15" s="1"/>
  <c r="J1655" i="16"/>
  <c r="J1915" i="16"/>
  <c r="J1300" i="13"/>
  <c r="J844" i="11"/>
  <c r="J1415" i="16"/>
  <c r="K1315" i="16"/>
  <c r="J2152" i="8"/>
  <c r="K585" i="24"/>
  <c r="K404" i="33"/>
  <c r="K1424" i="11"/>
  <c r="H606" i="33"/>
  <c r="H604" i="33" s="1"/>
  <c r="G604" i="33"/>
  <c r="E1240" i="1" s="1"/>
  <c r="F1240" i="1" s="1"/>
  <c r="I604" i="33" s="1"/>
  <c r="J2815" i="26"/>
  <c r="J1166" i="8"/>
  <c r="J2658" i="16"/>
  <c r="K1531" i="15"/>
  <c r="K244" i="24"/>
  <c r="K2037" i="26"/>
  <c r="K549" i="15"/>
  <c r="K1109" i="15"/>
  <c r="J564" i="11"/>
  <c r="K564" i="11"/>
  <c r="J1261" i="24"/>
  <c r="J1059" i="16"/>
  <c r="G1362" i="24"/>
  <c r="E842" i="1" s="1"/>
  <c r="F842" i="1" s="1"/>
  <c r="I1362" i="24" s="1"/>
  <c r="H1364" i="24"/>
  <c r="H1362" i="24" s="1"/>
  <c r="K1451" i="15"/>
  <c r="K1724" i="30"/>
  <c r="J1220" i="13"/>
  <c r="K1755" i="16"/>
  <c r="J308" i="13"/>
  <c r="K308" i="13"/>
  <c r="K719" i="16"/>
  <c r="K261" i="8"/>
  <c r="J261" i="8"/>
  <c r="K2680" i="13"/>
  <c r="K2415" i="26"/>
  <c r="K979" i="16"/>
  <c r="J2875" i="26"/>
  <c r="J1837" i="26"/>
  <c r="J604" i="21"/>
  <c r="K860" i="13"/>
  <c r="J860" i="13"/>
  <c r="K2160" i="13"/>
  <c r="K1255" i="16"/>
  <c r="K1344" i="30"/>
  <c r="J1344" i="30"/>
  <c r="G2283" i="26"/>
  <c r="E972" i="1" s="1"/>
  <c r="F972" i="1" s="1"/>
  <c r="I2283" i="26" s="1"/>
  <c r="H2285" i="26"/>
  <c r="H2283" i="26" s="1"/>
  <c r="K1235" i="16"/>
  <c r="K1560" i="13"/>
  <c r="K867" i="21"/>
  <c r="K2017" i="26"/>
  <c r="J1528" i="21"/>
  <c r="K624" i="33"/>
  <c r="K1328" i="21"/>
  <c r="K464" i="21"/>
  <c r="J464" i="21"/>
  <c r="J1508" i="32"/>
  <c r="K1508" i="32"/>
  <c r="J1004" i="33"/>
  <c r="J1120" i="24"/>
  <c r="J1404" i="11"/>
  <c r="E509" i="1"/>
  <c r="F509" i="1" s="1"/>
  <c r="E473" i="1"/>
  <c r="F473" i="1" s="1"/>
  <c r="I789" i="15" s="1"/>
  <c r="J789" i="15" s="1"/>
  <c r="J1154" i="16"/>
  <c r="J164" i="32"/>
  <c r="J1420" i="13"/>
  <c r="K1089" i="15"/>
  <c r="K888" i="32"/>
  <c r="K164" i="30"/>
  <c r="J164" i="30"/>
  <c r="J1571" i="15"/>
  <c r="J2140" i="13"/>
  <c r="J1426" i="8"/>
  <c r="K608" i="32"/>
  <c r="K992" i="21"/>
  <c r="K1651" i="24"/>
  <c r="O800" i="2"/>
  <c r="K1528" i="32"/>
  <c r="J1043" i="26"/>
  <c r="K1043" i="26"/>
  <c r="J2127" i="30"/>
  <c r="J324" i="24"/>
  <c r="J1777" i="26"/>
  <c r="I569" i="15"/>
  <c r="J569" i="15" s="1"/>
  <c r="I889" i="15"/>
  <c r="J889" i="15" s="1"/>
  <c r="J1966" i="8"/>
  <c r="J1588" i="21"/>
  <c r="J444" i="24"/>
  <c r="K444" i="24"/>
  <c r="J786" i="8"/>
  <c r="K786" i="8"/>
  <c r="K184" i="21"/>
  <c r="J184" i="21"/>
  <c r="K522" i="26"/>
  <c r="J522" i="26"/>
  <c r="H26" i="11"/>
  <c r="H24" i="11" s="1"/>
  <c r="G24" i="11"/>
  <c r="E150" i="1" s="1"/>
  <c r="F150" i="1" s="1"/>
  <c r="I24" i="11" s="1"/>
  <c r="I928" i="32"/>
  <c r="J928" i="32" s="1"/>
  <c r="I828" i="32"/>
  <c r="J828" i="32" s="1"/>
  <c r="H12" i="15"/>
  <c r="H4" i="15" s="1"/>
  <c r="G4" i="15"/>
  <c r="E434" i="1" s="1"/>
  <c r="F434" i="1" s="1"/>
  <c r="I769" i="15"/>
  <c r="J769" i="15" s="1"/>
  <c r="I689" i="15"/>
  <c r="J689" i="15" s="1"/>
  <c r="J2754" i="11"/>
  <c r="K2754" i="11"/>
  <c r="K104" i="16"/>
  <c r="J104" i="16"/>
  <c r="K940" i="13"/>
  <c r="J940" i="13"/>
  <c r="K2181" i="11"/>
  <c r="J2181" i="11"/>
  <c r="K424" i="21"/>
  <c r="J424" i="21"/>
  <c r="H190" i="32"/>
  <c r="O629" i="2" s="1"/>
  <c r="G188" i="32"/>
  <c r="H1292" i="15"/>
  <c r="H1290" i="15" s="1"/>
  <c r="G1290" i="15"/>
  <c r="E498" i="1" s="1"/>
  <c r="F498" i="1" s="1"/>
  <c r="G2075" i="11"/>
  <c r="E251" i="1" s="1"/>
  <c r="F251" i="1" s="1"/>
  <c r="I2075" i="11" s="1"/>
  <c r="H2077" i="11"/>
  <c r="H2075" i="11" s="1"/>
  <c r="G324" i="30"/>
  <c r="E1030" i="1" s="1"/>
  <c r="F1030" i="1" s="1"/>
  <c r="I324" i="30" s="1"/>
  <c r="H326" i="30"/>
  <c r="H324" i="30" s="1"/>
  <c r="G1304" i="11"/>
  <c r="E215" i="1" s="1"/>
  <c r="F215" i="1" s="1"/>
  <c r="I1304" i="11" s="1"/>
  <c r="H1306" i="11"/>
  <c r="H1304" i="11" s="1"/>
  <c r="J2932" i="11"/>
  <c r="K2932" i="11"/>
  <c r="K2674" i="11"/>
  <c r="J2674" i="11"/>
  <c r="G784" i="33"/>
  <c r="E1249" i="1" s="1"/>
  <c r="F1249" i="1" s="1"/>
  <c r="I784" i="33" s="1"/>
  <c r="H786" i="33"/>
  <c r="H784" i="33" s="1"/>
  <c r="G127" i="13"/>
  <c r="E301" i="1" s="1"/>
  <c r="F301" i="1" s="1"/>
  <c r="I127" i="13" s="1"/>
  <c r="H129" i="13"/>
  <c r="H127" i="13" s="1"/>
  <c r="G2135" i="11"/>
  <c r="E254" i="1" s="1"/>
  <c r="F254" i="1" s="1"/>
  <c r="I2135" i="11" s="1"/>
  <c r="H2137" i="11"/>
  <c r="H2135" i="11" s="1"/>
  <c r="G2735" i="26"/>
  <c r="E994" i="1" s="1"/>
  <c r="F994" i="1" s="1"/>
  <c r="I2735" i="26" s="1"/>
  <c r="H2737" i="26"/>
  <c r="H2735" i="26" s="1"/>
  <c r="J444" i="30"/>
  <c r="K444" i="30"/>
  <c r="J106" i="26"/>
  <c r="K106" i="26"/>
  <c r="G244" i="33"/>
  <c r="E1222" i="1" s="1"/>
  <c r="F1222" i="1" s="1"/>
  <c r="I244" i="33" s="1"/>
  <c r="H246" i="33"/>
  <c r="H244" i="33" s="1"/>
  <c r="L629" i="2"/>
  <c r="H32" i="16"/>
  <c r="H24" i="16" s="1"/>
  <c r="G24" i="16"/>
  <c r="E542" i="1" s="1"/>
  <c r="F542" i="1" s="1"/>
  <c r="J900" i="13"/>
  <c r="K900" i="13"/>
  <c r="K1526" i="11"/>
  <c r="J1526" i="11"/>
  <c r="J201" i="8"/>
  <c r="K201" i="8"/>
  <c r="G846" i="8"/>
  <c r="E47" i="1" s="1"/>
  <c r="F47" i="1" s="1"/>
  <c r="I846" i="8" s="1"/>
  <c r="H848" i="8"/>
  <c r="H846" i="8" s="1"/>
  <c r="J1135" i="21"/>
  <c r="K1135" i="21"/>
  <c r="J1004" i="30"/>
  <c r="K1004" i="30"/>
  <c r="H1799" i="16"/>
  <c r="J628" i="2" s="1"/>
  <c r="G1797" i="16"/>
  <c r="K1344" i="11"/>
  <c r="J1344" i="11"/>
  <c r="K764" i="30"/>
  <c r="J764" i="30"/>
  <c r="K1413" i="26"/>
  <c r="J1413" i="26"/>
  <c r="G826" i="8"/>
  <c r="E46" i="1" s="1"/>
  <c r="F46" i="1" s="1"/>
  <c r="I826" i="8" s="1"/>
  <c r="H828" i="8"/>
  <c r="H826" i="8" s="1"/>
  <c r="J1471" i="15"/>
  <c r="J2437" i="26"/>
  <c r="K2481" i="26"/>
  <c r="J2380" i="13"/>
  <c r="K2655" i="26"/>
  <c r="K277" i="26"/>
  <c r="E871" i="1"/>
  <c r="F871" i="1" s="1"/>
  <c r="H6" i="30"/>
  <c r="H4" i="30" s="1"/>
  <c r="G4" i="30"/>
  <c r="E1014" i="1" s="1"/>
  <c r="F1014" i="1" s="1"/>
  <c r="J1920" i="13"/>
  <c r="K284" i="16"/>
  <c r="J1224" i="21"/>
  <c r="K389" i="15"/>
  <c r="E453" i="1"/>
  <c r="F453" i="1" s="1"/>
  <c r="I389" i="15" s="1"/>
  <c r="J389" i="15" s="1"/>
  <c r="J683" i="26"/>
  <c r="K683" i="26"/>
  <c r="K625" i="24"/>
  <c r="J740" i="13"/>
  <c r="K740" i="13"/>
  <c r="K1591" i="24"/>
  <c r="J1103" i="26"/>
  <c r="K1103" i="26"/>
  <c r="K1784" i="30"/>
  <c r="K828" i="32"/>
  <c r="G866" i="8"/>
  <c r="E48" i="1" s="1"/>
  <c r="F48" i="1" s="1"/>
  <c r="I866" i="8" s="1"/>
  <c r="H868" i="8"/>
  <c r="H866" i="8" s="1"/>
  <c r="J929" i="15"/>
  <c r="K1644" i="30"/>
  <c r="K689" i="15"/>
  <c r="H386" i="11"/>
  <c r="H384" i="11" s="1"/>
  <c r="G384" i="11"/>
  <c r="E169" i="1" s="1"/>
  <c r="F169" i="1" s="1"/>
  <c r="I384" i="11" s="1"/>
  <c r="G824" i="11"/>
  <c r="E191" i="1" s="1"/>
  <c r="F191" i="1" s="1"/>
  <c r="I824" i="11" s="1"/>
  <c r="H826" i="11"/>
  <c r="H824" i="11" s="1"/>
  <c r="K629" i="15"/>
  <c r="J524" i="11"/>
  <c r="K524" i="11"/>
  <c r="O91" i="3"/>
  <c r="J984" i="33"/>
  <c r="K999" i="24"/>
  <c r="J966" i="8"/>
  <c r="K1444" i="11"/>
  <c r="K3097" i="26"/>
  <c r="J3097" i="26"/>
  <c r="J1740" i="13"/>
  <c r="J1428" i="21"/>
  <c r="J869" i="15"/>
  <c r="K1204" i="21"/>
  <c r="J525" i="24"/>
  <c r="K525" i="24"/>
  <c r="K639" i="16"/>
  <c r="K1244" i="33"/>
  <c r="J1324" i="11"/>
  <c r="J1897" i="26"/>
  <c r="K1428" i="32"/>
  <c r="J1428" i="32"/>
  <c r="J2051" i="8"/>
  <c r="J264" i="33"/>
  <c r="H209" i="32"/>
  <c r="H207" i="32" s="1"/>
  <c r="G207" i="32"/>
  <c r="E1135" i="1" s="1"/>
  <c r="F1135" i="1" s="1"/>
  <c r="H2777" i="26"/>
  <c r="H2775" i="26" s="1"/>
  <c r="G2775" i="26"/>
  <c r="E996" i="1" s="1"/>
  <c r="F996" i="1" s="1"/>
  <c r="I2775" i="26" s="1"/>
  <c r="K1328" i="32"/>
  <c r="K2100" i="13"/>
  <c r="K344" i="21"/>
  <c r="J344" i="21"/>
  <c r="K2080" i="13"/>
  <c r="J104" i="24"/>
  <c r="J449" i="15"/>
  <c r="K1268" i="32"/>
  <c r="J2200" i="13"/>
  <c r="K1468" i="21"/>
  <c r="K1508" i="21"/>
  <c r="K1620" i="13"/>
  <c r="K743" i="26"/>
  <c r="K304" i="33"/>
  <c r="H2241" i="26"/>
  <c r="H2239" i="26" s="1"/>
  <c r="G2239" i="26"/>
  <c r="E970" i="1" s="1"/>
  <c r="F970" i="1" s="1"/>
  <c r="I2239" i="26" s="1"/>
  <c r="K1260" i="13"/>
  <c r="J1728" i="21"/>
  <c r="J2067" i="30"/>
  <c r="K709" i="15"/>
  <c r="J504" i="21"/>
  <c r="K1691" i="15"/>
  <c r="K883" i="26"/>
  <c r="J883" i="26"/>
  <c r="K1395" i="16"/>
  <c r="J1675" i="16"/>
  <c r="K729" i="15"/>
  <c r="K1003" i="26"/>
  <c r="J1003" i="26"/>
  <c r="K469" i="15"/>
  <c r="K2660" i="13"/>
  <c r="K1891" i="15"/>
  <c r="H2636" i="11"/>
  <c r="H2634" i="11" s="1"/>
  <c r="G2634" i="11"/>
  <c r="E277" i="1" s="1"/>
  <c r="F277" i="1" s="1"/>
  <c r="I2634" i="11" s="1"/>
  <c r="K553" i="16"/>
  <c r="J44" i="24"/>
  <c r="K1384" i="11"/>
  <c r="J584" i="21"/>
  <c r="K584" i="21"/>
  <c r="K424" i="24"/>
  <c r="K1084" i="16"/>
  <c r="J1568" i="11"/>
  <c r="J1680" i="13"/>
  <c r="J2177" i="16"/>
  <c r="K328" i="32"/>
  <c r="J2297" i="16"/>
  <c r="K808" i="24"/>
  <c r="K808" i="32"/>
  <c r="J228" i="13"/>
  <c r="K228" i="13"/>
  <c r="J685" i="24"/>
  <c r="K685" i="24"/>
  <c r="H67" i="13"/>
  <c r="H629" i="2" s="1"/>
  <c r="G66" i="13"/>
  <c r="H1286" i="11"/>
  <c r="H1284" i="11" s="1"/>
  <c r="G1284" i="11"/>
  <c r="E214" i="1" s="1"/>
  <c r="F214" i="1" s="1"/>
  <c r="I1284" i="11" s="1"/>
  <c r="G1044" i="30"/>
  <c r="E1066" i="1" s="1"/>
  <c r="F1066" i="1" s="1"/>
  <c r="I1044" i="30" s="1"/>
  <c r="H1046" i="30"/>
  <c r="H1044" i="30" s="1"/>
  <c r="J1671" i="24"/>
  <c r="J1464" i="11"/>
  <c r="J1495" i="16"/>
  <c r="K1400" i="13"/>
  <c r="K2227" i="11"/>
  <c r="J2227" i="11"/>
  <c r="J1766" i="8"/>
  <c r="J244" i="16"/>
  <c r="J1575" i="16"/>
  <c r="J2132" i="8"/>
  <c r="J968" i="32"/>
  <c r="I149" i="15"/>
  <c r="J149" i="15" s="1"/>
  <c r="I349" i="15"/>
  <c r="J349" i="15" s="1"/>
  <c r="H1306" i="21"/>
  <c r="H1304" i="21" s="1"/>
  <c r="G1304" i="21"/>
  <c r="E745" i="1" s="1"/>
  <c r="F745" i="1" s="1"/>
  <c r="I1304" i="21" s="1"/>
  <c r="G1325" i="26"/>
  <c r="E923" i="1" s="1"/>
  <c r="F923" i="1" s="1"/>
  <c r="I1325" i="26" s="1"/>
  <c r="H1327" i="26"/>
  <c r="H1325" i="26" s="1"/>
  <c r="H346" i="11"/>
  <c r="H344" i="11" s="1"/>
  <c r="G344" i="11"/>
  <c r="E167" i="1" s="1"/>
  <c r="F167" i="1" s="1"/>
  <c r="I344" i="11" s="1"/>
  <c r="J1491" i="15"/>
  <c r="K464" i="16"/>
  <c r="J540" i="13"/>
  <c r="K540" i="13"/>
  <c r="J284" i="24"/>
  <c r="J2197" i="16"/>
  <c r="K1404" i="30"/>
  <c r="J1404" i="30"/>
  <c r="J680" i="13"/>
  <c r="K680" i="13"/>
  <c r="J1448" i="21"/>
  <c r="J44" i="16"/>
  <c r="K44" i="16"/>
  <c r="K1828" i="21"/>
  <c r="K1515" i="16"/>
  <c r="K1588" i="32"/>
  <c r="J649" i="15"/>
  <c r="K424" i="16"/>
  <c r="K1248" i="32"/>
  <c r="G504" i="33"/>
  <c r="E1235" i="1" s="1"/>
  <c r="F1235" i="1" s="1"/>
  <c r="I504" i="33" s="1"/>
  <c r="H506" i="33"/>
  <c r="H504" i="33" s="1"/>
  <c r="K2060" i="13"/>
  <c r="K2620" i="13"/>
  <c r="K344" i="30"/>
  <c r="J344" i="30"/>
  <c r="K235" i="26"/>
  <c r="K324" i="33"/>
  <c r="J1304" i="30"/>
  <c r="K1304" i="30"/>
  <c r="J868" i="32"/>
  <c r="J2120" i="13"/>
  <c r="J765" i="24"/>
  <c r="J739" i="16"/>
  <c r="J1786" i="8"/>
  <c r="J368" i="13"/>
  <c r="K368" i="13"/>
  <c r="K2035" i="11"/>
  <c r="J2035" i="11"/>
  <c r="K840" i="13"/>
  <c r="J840" i="13"/>
  <c r="K573" i="16"/>
  <c r="K3077" i="26"/>
  <c r="K329" i="15"/>
  <c r="K2240" i="13"/>
  <c r="K424" i="33"/>
  <c r="K149" i="15"/>
  <c r="K344" i="16"/>
  <c r="J505" i="24"/>
  <c r="K505" i="24"/>
  <c r="K1684" i="30"/>
  <c r="K701" i="8"/>
  <c r="J701" i="8"/>
  <c r="K1331" i="15"/>
  <c r="K1180" i="13"/>
  <c r="K669" i="15"/>
  <c r="J2137" i="16"/>
  <c r="K1024" i="33"/>
  <c r="H1438" i="24"/>
  <c r="H1436" i="24" s="1"/>
  <c r="G1436" i="24"/>
  <c r="E845" i="1" s="1"/>
  <c r="F845" i="1" s="1"/>
  <c r="I1436" i="24" s="1"/>
  <c r="H1303" i="24"/>
  <c r="H1301" i="24" s="1"/>
  <c r="G1301" i="24"/>
  <c r="E839" i="1" s="1"/>
  <c r="F839" i="1" s="1"/>
  <c r="K1028" i="32"/>
  <c r="J1028" i="32"/>
  <c r="J2147" i="30"/>
  <c r="K2180" i="13"/>
  <c r="J839" i="16"/>
  <c r="J2009" i="8"/>
  <c r="J2212" i="8"/>
  <c r="J84" i="33"/>
  <c r="K84" i="33"/>
  <c r="K2591" i="26"/>
  <c r="J169" i="15"/>
  <c r="J920" i="13"/>
  <c r="K920" i="13"/>
  <c r="J1243" i="26"/>
  <c r="K1243" i="26"/>
  <c r="H115" i="8"/>
  <c r="H113" i="8" s="1"/>
  <c r="G113" i="8"/>
  <c r="E11" i="1" s="1"/>
  <c r="F11" i="1" s="1"/>
  <c r="I113" i="8" s="1"/>
  <c r="K1617" i="26"/>
  <c r="J1617" i="26"/>
  <c r="J384" i="16"/>
  <c r="K104" i="32"/>
  <c r="K1764" i="30"/>
  <c r="J1568" i="21"/>
  <c r="K1203" i="26"/>
  <c r="K1460" i="13"/>
  <c r="K1249" i="15"/>
  <c r="J1000" i="13"/>
  <c r="K1000" i="13"/>
  <c r="J854" i="24"/>
  <c r="K1548" i="21"/>
  <c r="J1195" i="16"/>
  <c r="K401" i="8"/>
  <c r="J401" i="8"/>
  <c r="K348" i="13"/>
  <c r="J348" i="13"/>
  <c r="K864" i="11"/>
  <c r="G104" i="11"/>
  <c r="E154" i="1" s="1"/>
  <c r="F154" i="1" s="1"/>
  <c r="I104" i="11" s="1"/>
  <c r="H106" i="11"/>
  <c r="H104" i="11" s="1"/>
  <c r="J1019" i="16"/>
  <c r="J1688" i="21"/>
  <c r="J804" i="21"/>
  <c r="J1284" i="21"/>
  <c r="J1388" i="21"/>
  <c r="J1595" i="16"/>
  <c r="J2569" i="26"/>
  <c r="K2480" i="13"/>
  <c r="K2137" i="26"/>
  <c r="K1700" i="13"/>
  <c r="K2715" i="26"/>
  <c r="J298" i="26"/>
  <c r="K298" i="26"/>
  <c r="K1551" i="24"/>
  <c r="J1158" i="21"/>
  <c r="K1158" i="21"/>
  <c r="J485" i="24"/>
  <c r="K485" i="24"/>
  <c r="K1023" i="26"/>
  <c r="J1023" i="26"/>
  <c r="K1181" i="21"/>
  <c r="J1181" i="21"/>
  <c r="F59" i="5"/>
  <c r="G86" i="8"/>
  <c r="H93" i="8"/>
  <c r="F628" i="2" s="1"/>
  <c r="K364" i="21"/>
  <c r="J364" i="21"/>
  <c r="K562" i="26"/>
  <c r="J562" i="26"/>
  <c r="K448" i="13"/>
  <c r="J448" i="13"/>
  <c r="N630" i="2"/>
  <c r="J2157" i="26"/>
  <c r="J2192" i="8"/>
  <c r="K72" i="26"/>
  <c r="J72" i="26"/>
  <c r="J1275" i="16"/>
  <c r="K364" i="24"/>
  <c r="J819" i="16"/>
  <c r="J1088" i="32"/>
  <c r="K1088" i="32"/>
  <c r="H1026" i="30"/>
  <c r="H1024" i="30" s="1"/>
  <c r="G1024" i="30"/>
  <c r="E1065" i="1" s="1"/>
  <c r="F1065" i="1" s="1"/>
  <c r="I1024" i="30" s="1"/>
  <c r="G284" i="30"/>
  <c r="E1028" i="1" s="1"/>
  <c r="F1028" i="1" s="1"/>
  <c r="I284" i="30" s="1"/>
  <c r="H286" i="30"/>
  <c r="H284" i="30" s="1"/>
  <c r="H266" i="11"/>
  <c r="H264" i="11" s="1"/>
  <c r="G264" i="11"/>
  <c r="E162" i="1" s="1"/>
  <c r="F162" i="1" s="1"/>
  <c r="I264" i="11" s="1"/>
  <c r="J2307" i="11"/>
  <c r="J1715" i="16"/>
  <c r="J1140" i="24"/>
  <c r="J2357" i="16"/>
  <c r="J1189" i="15"/>
  <c r="J705" i="24"/>
  <c r="K705" i="24"/>
  <c r="K144" i="16"/>
  <c r="J144" i="16"/>
  <c r="H12" i="21"/>
  <c r="H4" i="21" s="1"/>
  <c r="G4" i="21"/>
  <c r="E680" i="1" s="1"/>
  <c r="F680" i="1" s="1"/>
  <c r="H1388" i="24"/>
  <c r="H1386" i="24" s="1"/>
  <c r="G1386" i="24"/>
  <c r="E843" i="1" s="1"/>
  <c r="F843" i="1" s="1"/>
  <c r="I1386" i="24" s="1"/>
  <c r="K952" i="21"/>
  <c r="J1824" i="30"/>
  <c r="J404" i="16"/>
  <c r="K944" i="11"/>
  <c r="J944" i="11"/>
  <c r="G422" i="26"/>
  <c r="E878" i="1" s="1"/>
  <c r="F878" i="1" s="1"/>
  <c r="I422" i="26" s="1"/>
  <c r="H424" i="26"/>
  <c r="H422" i="26" s="1"/>
  <c r="J1335" i="16"/>
  <c r="J1720" i="13"/>
  <c r="H166" i="33"/>
  <c r="H164" i="33" s="1"/>
  <c r="G164" i="33"/>
  <c r="E1217" i="1" s="1"/>
  <c r="F1217" i="1" s="1"/>
  <c r="I164" i="33" s="1"/>
  <c r="G584" i="33"/>
  <c r="E1239" i="1" s="1"/>
  <c r="F1239" i="1" s="1"/>
  <c r="I584" i="33" s="1"/>
  <c r="H586" i="33"/>
  <c r="H584" i="33" s="1"/>
  <c r="G444" i="33"/>
  <c r="E1232" i="1" s="1"/>
  <c r="F1232" i="1" s="1"/>
  <c r="I444" i="33" s="1"/>
  <c r="H446" i="33"/>
  <c r="H444" i="33" s="1"/>
  <c r="J1935" i="16"/>
  <c r="K428" i="13"/>
  <c r="J428" i="13"/>
  <c r="J972" i="21"/>
  <c r="J1475" i="16"/>
  <c r="J2540" i="13"/>
  <c r="J2525" i="26"/>
  <c r="H1106" i="11"/>
  <c r="H1104" i="11" s="1"/>
  <c r="G1104" i="11"/>
  <c r="E205" i="1" s="1"/>
  <c r="F205" i="1" s="1"/>
  <c r="I1104" i="11" s="1"/>
  <c r="G1482" i="24"/>
  <c r="E847" i="1" s="1"/>
  <c r="F847" i="1" s="1"/>
  <c r="I1482" i="24" s="1"/>
  <c r="H1484" i="24"/>
  <c r="H1482" i="24" s="1"/>
  <c r="H1046" i="11"/>
  <c r="H1044" i="11" s="1"/>
  <c r="G1044" i="11"/>
  <c r="E202" i="1" s="1"/>
  <c r="F202" i="1" s="1"/>
  <c r="I1044" i="11" s="1"/>
  <c r="J2633" i="8"/>
  <c r="K1660" i="13"/>
  <c r="J1547" i="11"/>
  <c r="J1691" i="24"/>
  <c r="J2673" i="8"/>
  <c r="J1229" i="15"/>
  <c r="J1120" i="13"/>
  <c r="I1201" i="24"/>
  <c r="J1201" i="24" s="1"/>
  <c r="F832" i="1"/>
  <c r="J1444" i="30"/>
  <c r="J1060" i="13"/>
  <c r="J1281" i="24"/>
  <c r="J946" i="8"/>
  <c r="J904" i="33"/>
  <c r="G624" i="30"/>
  <c r="E1045" i="1" s="1"/>
  <c r="F1045" i="1" s="1"/>
  <c r="I624" i="30" s="1"/>
  <c r="H626" i="30"/>
  <c r="H624" i="30" s="1"/>
  <c r="G1184" i="11"/>
  <c r="E209" i="1" s="1"/>
  <c r="F209" i="1" s="1"/>
  <c r="I1184" i="11" s="1"/>
  <c r="H1186" i="11"/>
  <c r="H1184" i="11" s="1"/>
  <c r="G107" i="30"/>
  <c r="N297" i="2"/>
  <c r="N494" i="2"/>
  <c r="N933" i="2"/>
  <c r="N345" i="2"/>
  <c r="N744" i="2"/>
  <c r="N895" i="2"/>
  <c r="N71" i="2"/>
  <c r="N733" i="2"/>
  <c r="N34" i="2"/>
  <c r="N75" i="3"/>
  <c r="N525" i="2"/>
  <c r="N318" i="2"/>
  <c r="N435" i="2"/>
  <c r="N906" i="2"/>
  <c r="N730" i="2"/>
  <c r="N555" i="2"/>
  <c r="N721" i="2"/>
  <c r="N374" i="2"/>
  <c r="N129" i="2"/>
  <c r="N505" i="2"/>
  <c r="N427" i="2"/>
  <c r="N33" i="3"/>
  <c r="N856" i="2"/>
  <c r="N17" i="2"/>
  <c r="N496" i="2"/>
  <c r="N832" i="2"/>
  <c r="N81" i="3"/>
  <c r="N440" i="2"/>
  <c r="N19" i="2"/>
  <c r="N459" i="2"/>
  <c r="N46" i="3"/>
  <c r="N45" i="3"/>
  <c r="N825" i="2"/>
  <c r="N880" i="2"/>
  <c r="N623" i="2"/>
  <c r="N645" i="2"/>
  <c r="N8" i="2"/>
  <c r="N896" i="2"/>
  <c r="N167" i="2"/>
  <c r="N24" i="2"/>
  <c r="N48" i="5"/>
  <c r="N694" i="2"/>
  <c r="N246" i="2"/>
  <c r="N861" i="2"/>
  <c r="N19" i="3"/>
  <c r="N556" i="2"/>
  <c r="N711" i="2"/>
  <c r="N515" i="2"/>
  <c r="N395" i="2"/>
  <c r="N30" i="2"/>
  <c r="N570" i="2"/>
  <c r="N420" i="2"/>
  <c r="N626" i="2"/>
  <c r="N284" i="2"/>
  <c r="N91" i="2"/>
  <c r="N69" i="2"/>
  <c r="N922" i="2"/>
  <c r="N209" i="2"/>
  <c r="N472" i="2"/>
  <c r="N791" i="2"/>
  <c r="N709" i="2"/>
  <c r="N796" i="2"/>
  <c r="N942" i="2"/>
  <c r="N868" i="2"/>
  <c r="N936" i="2"/>
  <c r="N618" i="2"/>
  <c r="N273" i="2"/>
  <c r="N325" i="2"/>
  <c r="N712" i="2"/>
  <c r="N571" i="2"/>
  <c r="N13" i="2"/>
  <c r="N102" i="2"/>
  <c r="N200" i="2"/>
  <c r="N61" i="2"/>
  <c r="N894" i="2"/>
  <c r="N210" i="2"/>
  <c r="N847" i="2"/>
  <c r="N332" i="2"/>
  <c r="N937" i="2"/>
  <c r="N82" i="3"/>
  <c r="N71" i="3"/>
  <c r="N527" i="2"/>
  <c r="N750" i="2"/>
  <c r="N887" i="2"/>
  <c r="N891" i="2"/>
  <c r="N695" i="2"/>
  <c r="N396" i="2"/>
  <c r="N211" i="2"/>
  <c r="N745" i="2"/>
  <c r="N77" i="2"/>
  <c r="N517" i="2"/>
  <c r="N38" i="3"/>
  <c r="N840" i="2"/>
  <c r="N298" i="2"/>
  <c r="N536" i="2"/>
  <c r="N814" i="2"/>
  <c r="N601" i="2"/>
  <c r="N773" i="2"/>
  <c r="N454" i="2"/>
  <c r="N268" i="2"/>
  <c r="N628" i="2"/>
  <c r="N272" i="2"/>
  <c r="N619" i="2"/>
  <c r="N661" i="2"/>
  <c r="N375" i="2"/>
  <c r="N419" i="2"/>
  <c r="N918" i="2"/>
  <c r="N507" i="2"/>
  <c r="N254" i="2"/>
  <c r="N663" i="2"/>
  <c r="N242" i="2"/>
  <c r="N187" i="2"/>
  <c r="N45" i="2"/>
  <c r="N37" i="2"/>
  <c r="N18" i="3"/>
  <c r="N39" i="5"/>
  <c r="N335" i="2"/>
  <c r="N306" i="2"/>
  <c r="N521" i="2"/>
  <c r="N68" i="3"/>
  <c r="N27" i="3"/>
  <c r="N85" i="3"/>
  <c r="N919" i="2"/>
  <c r="N362" i="2"/>
  <c r="N65" i="2"/>
  <c r="N590" i="2"/>
  <c r="N90" i="3"/>
  <c r="N326" i="2"/>
  <c r="N414" i="2"/>
  <c r="N75" i="2"/>
  <c r="N168" i="2"/>
  <c r="N657" i="2"/>
  <c r="N529" i="2"/>
  <c r="N901" i="2"/>
  <c r="N735" i="2"/>
  <c r="N379" i="2"/>
  <c r="N172" i="2"/>
  <c r="N139" i="2"/>
  <c r="N90" i="2"/>
  <c r="N550" i="2"/>
  <c r="N64" i="2"/>
  <c r="N215" i="2"/>
  <c r="N635" i="2"/>
  <c r="N564" i="2"/>
  <c r="N260" i="2"/>
  <c r="N124" i="2"/>
  <c r="N175" i="2"/>
  <c r="N105" i="2"/>
  <c r="N158" i="2"/>
  <c r="N886" i="2"/>
  <c r="N56" i="2"/>
  <c r="N182" i="2"/>
  <c r="N468" i="2"/>
  <c r="N118" i="2"/>
  <c r="N291" i="2"/>
  <c r="N26" i="3"/>
  <c r="N830" i="2"/>
  <c r="N294" i="2"/>
  <c r="N457" i="2"/>
  <c r="N165" i="2"/>
  <c r="N286" i="2"/>
  <c r="N331" i="2"/>
  <c r="N68" i="2"/>
  <c r="N452" i="2"/>
  <c r="N22" i="3"/>
  <c r="N152" i="2"/>
  <c r="N173" i="2"/>
  <c r="N806" i="2"/>
  <c r="N322" i="2"/>
  <c r="N155" i="2"/>
  <c r="N585" i="2"/>
  <c r="N849" i="2"/>
  <c r="N47" i="2"/>
  <c r="N59" i="3"/>
  <c r="N485" i="2"/>
  <c r="N451" i="2"/>
  <c r="N44" i="2"/>
  <c r="N678" i="2"/>
  <c r="N320" i="2"/>
  <c r="N202" i="2"/>
  <c r="N458" i="2"/>
  <c r="N313" i="2"/>
  <c r="N307" i="2"/>
  <c r="N62" i="2"/>
  <c r="N444" i="2"/>
  <c r="N33" i="2"/>
  <c r="N577" i="2"/>
  <c r="N763" i="2"/>
  <c r="N581" i="2"/>
  <c r="N226" i="2"/>
  <c r="N411" i="2"/>
  <c r="N929" i="2"/>
  <c r="N813" i="2"/>
  <c r="N197" i="2"/>
  <c r="N137" i="2"/>
  <c r="N276" i="2"/>
  <c r="N37" i="3"/>
  <c r="N79" i="3"/>
  <c r="N914" i="2"/>
  <c r="N503" i="2"/>
  <c r="N308" i="2"/>
  <c r="N696" i="2"/>
  <c r="N191" i="2"/>
  <c r="N844" i="2"/>
  <c r="N163" i="2"/>
  <c r="N16" i="3"/>
  <c r="N784" i="2"/>
  <c r="N355" i="2"/>
  <c r="N746" i="2"/>
  <c r="N8" i="4"/>
  <c r="N687" i="2"/>
  <c r="N563" i="2"/>
  <c r="N502" i="2"/>
  <c r="N112" i="2"/>
  <c r="N718" i="2"/>
  <c r="N636" i="2"/>
  <c r="N83" i="2"/>
  <c r="N176" i="2"/>
  <c r="N44" i="3"/>
  <c r="N673" i="2"/>
  <c r="N107" i="2"/>
  <c r="N266" i="2"/>
  <c r="N9" i="2"/>
  <c r="N387" i="2"/>
  <c r="N741" i="2"/>
  <c r="N727" i="2"/>
  <c r="N833" i="2"/>
  <c r="N547" i="2"/>
  <c r="N319" i="2"/>
  <c r="N44" i="5"/>
  <c r="N862" i="2"/>
  <c r="N354" i="2"/>
  <c r="N262" i="2"/>
  <c r="N811" i="2"/>
  <c r="N535" i="2"/>
  <c r="N29" i="3"/>
  <c r="N287" i="2"/>
  <c r="N53" i="5"/>
  <c r="N147" i="2"/>
  <c r="N602" i="2"/>
  <c r="N54" i="3"/>
  <c r="N675" i="2"/>
  <c r="N88" i="3"/>
  <c r="N357" i="2"/>
  <c r="N356" i="2"/>
  <c r="N827" i="2"/>
  <c r="N634" i="2"/>
  <c r="N94" i="2"/>
  <c r="N51" i="5"/>
  <c r="N74" i="3"/>
  <c r="N888" i="2"/>
  <c r="N667" i="2"/>
  <c r="N76" i="3"/>
  <c r="N724" i="2"/>
  <c r="N6" i="3"/>
  <c r="N159" i="2"/>
  <c r="N935" i="2"/>
  <c r="N263" i="2"/>
  <c r="N398" i="2"/>
  <c r="N448" i="2"/>
  <c r="N500" i="2"/>
  <c r="N358" i="2"/>
  <c r="N57" i="3"/>
  <c r="N55" i="5"/>
  <c r="N904" i="2"/>
  <c r="N406" i="2"/>
  <c r="N234" i="2"/>
  <c r="N166" i="2"/>
  <c r="N311" i="2"/>
  <c r="N431" i="2"/>
  <c r="N537" i="2"/>
  <c r="N647" i="2"/>
  <c r="N252" i="2"/>
  <c r="N710" i="2"/>
  <c r="N651" i="2"/>
  <c r="N764" i="2"/>
  <c r="N143" i="2"/>
  <c r="N676" i="2"/>
  <c r="N397" i="2"/>
  <c r="N144" i="2"/>
  <c r="N572" i="2"/>
  <c r="N238" i="2"/>
  <c r="N530" i="2"/>
  <c r="N405" i="2"/>
  <c r="N389" i="2"/>
  <c r="N125" i="2"/>
  <c r="N562" i="2"/>
  <c r="N207" i="2"/>
  <c r="N339" i="2"/>
  <c r="N390" i="2"/>
  <c r="N493" i="2"/>
  <c r="N927" i="2"/>
  <c r="N621" i="2"/>
  <c r="N296" i="2"/>
  <c r="N265" i="2"/>
  <c r="N473" i="2"/>
  <c r="N360" i="2"/>
  <c r="N309" i="2"/>
  <c r="N774" i="2"/>
  <c r="N65" i="3"/>
  <c r="N56" i="5"/>
  <c r="N728" i="2"/>
  <c r="N28" i="3"/>
  <c r="N53" i="3"/>
  <c r="N323" i="2"/>
  <c r="N426" i="2"/>
  <c r="N40" i="3"/>
  <c r="N583" i="2"/>
  <c r="N769" i="2"/>
  <c r="N10" i="3"/>
  <c r="N703" i="2"/>
  <c r="N783" i="2"/>
  <c r="N593" i="2"/>
  <c r="N915" i="2"/>
  <c r="N104" i="2"/>
  <c r="N150" i="2"/>
  <c r="N59" i="2"/>
  <c r="N122" i="2"/>
  <c r="N483" i="2"/>
  <c r="N443" i="2"/>
  <c r="N789" i="2"/>
  <c r="N839" i="2"/>
  <c r="N691" i="2"/>
  <c r="N801" i="2"/>
  <c r="N464" i="2"/>
  <c r="N719" i="2"/>
  <c r="N884" i="2"/>
  <c r="N343" i="2"/>
  <c r="N734" i="2"/>
  <c r="N524" i="2"/>
  <c r="N183" i="2"/>
  <c r="N466" i="2"/>
  <c r="N409" i="2"/>
  <c r="N213" i="2"/>
  <c r="N73" i="2"/>
  <c r="N469" i="2"/>
  <c r="N36" i="3"/>
  <c r="N686" i="2"/>
  <c r="N14" i="2"/>
  <c r="N817" i="2"/>
  <c r="N106" i="2"/>
  <c r="N749" i="2"/>
  <c r="N23" i="2"/>
  <c r="N689" i="2"/>
  <c r="N549" i="2"/>
  <c r="N41" i="5"/>
  <c r="N798" i="2"/>
  <c r="N584" i="2"/>
  <c r="N582" i="2"/>
  <c r="N871" i="2"/>
  <c r="N418" i="2"/>
  <c r="N631" i="2"/>
  <c r="N501" i="2"/>
  <c r="N222" i="2"/>
  <c r="N377" i="2"/>
  <c r="N627" i="2"/>
  <c r="N655" i="2"/>
  <c r="N606" i="2"/>
  <c r="N386" i="2"/>
  <c r="N78" i="3"/>
  <c r="N171" i="2"/>
  <c r="N401" i="2"/>
  <c r="N305" i="2"/>
  <c r="N181" i="2"/>
  <c r="N533" i="2"/>
  <c r="N826" i="2"/>
  <c r="N9" i="3"/>
  <c r="N24" i="3"/>
  <c r="N86" i="3"/>
  <c r="N14" i="3"/>
  <c r="N603" i="2"/>
  <c r="N499" i="2"/>
  <c r="N46" i="2"/>
  <c r="N162" i="2"/>
  <c r="N528" i="2"/>
  <c r="N45" i="5"/>
  <c r="N620" i="2"/>
  <c r="N204" i="2"/>
  <c r="N60" i="3"/>
  <c r="N669" i="2"/>
  <c r="N836" i="2"/>
  <c r="N688" i="2"/>
  <c r="N251" i="2"/>
  <c r="N115" i="2"/>
  <c r="N62" i="3"/>
  <c r="N333" i="2"/>
  <c r="N160" i="2"/>
  <c r="N893" i="2"/>
  <c r="N576" i="2"/>
  <c r="N578" i="2"/>
  <c r="N283" i="2"/>
  <c r="N522" i="2"/>
  <c r="N928" i="2"/>
  <c r="N766" i="2"/>
  <c r="N931" i="2"/>
  <c r="N328" i="2"/>
  <c r="N42" i="2"/>
  <c r="N715" i="2"/>
  <c r="N317" i="2"/>
  <c r="N384" i="2"/>
  <c r="N864" i="2"/>
  <c r="N255" i="2"/>
  <c r="N717" i="2"/>
  <c r="N228" i="2"/>
  <c r="N142" i="2"/>
  <c r="N912" i="2"/>
  <c r="N690" i="2"/>
  <c r="N324" i="2"/>
  <c r="N264" i="2"/>
  <c r="N161" i="2"/>
  <c r="N926" i="2"/>
  <c r="N674" i="2"/>
  <c r="N848" i="2"/>
  <c r="N650" i="2"/>
  <c r="N169" i="2"/>
  <c r="N508" i="2"/>
  <c r="N367" i="2"/>
  <c r="N232" i="2"/>
  <c r="N876" i="2"/>
  <c r="N644" i="2"/>
  <c r="N36" i="2"/>
  <c r="N910" i="2"/>
  <c r="N818" i="2"/>
  <c r="N737" i="2"/>
  <c r="N732" i="2"/>
  <c r="N50" i="2"/>
  <c r="N497" i="2"/>
  <c r="N642" i="2"/>
  <c r="N205" i="2"/>
  <c r="N54" i="2"/>
  <c r="N186" i="2"/>
  <c r="N797" i="2"/>
  <c r="N39" i="3"/>
  <c r="N819" i="2"/>
  <c r="N48" i="2"/>
  <c r="N752" i="2"/>
  <c r="N220" i="2"/>
  <c r="N245" i="2"/>
  <c r="N761" i="2"/>
  <c r="N786" i="2"/>
  <c r="N850" i="2"/>
  <c r="N15" i="3"/>
  <c r="N32" i="2"/>
  <c r="N292" i="2"/>
  <c r="N854" i="2"/>
  <c r="N432" i="2"/>
  <c r="N35" i="5"/>
  <c r="N128" i="2"/>
  <c r="N336" i="2"/>
  <c r="N194" i="2"/>
  <c r="N196" i="2"/>
  <c r="N416" i="2"/>
  <c r="N85" i="2"/>
  <c r="N25" i="3"/>
  <c r="N368" i="2"/>
  <c r="N145" i="2"/>
  <c r="N30" i="3"/>
  <c r="N903" i="2"/>
  <c r="N99" i="2"/>
  <c r="N638" i="2"/>
  <c r="N707" i="2"/>
  <c r="N23" i="3"/>
  <c r="N938" i="2"/>
  <c r="N193" i="2"/>
  <c r="N652" i="2"/>
  <c r="N304" i="2"/>
  <c r="N934" i="2"/>
  <c r="N247" i="2"/>
  <c r="N480" i="2"/>
  <c r="N278" i="2"/>
  <c r="N302" i="2"/>
  <c r="N13" i="3"/>
  <c r="N203" i="2"/>
  <c r="N672" i="2"/>
  <c r="N381" i="2"/>
  <c r="N436" i="2"/>
  <c r="N43" i="2"/>
  <c r="N510" i="2"/>
  <c r="N771" i="2"/>
  <c r="N543" i="2"/>
  <c r="N925" i="2"/>
  <c r="N858" i="2"/>
  <c r="N677" i="2"/>
  <c r="N359" i="2"/>
  <c r="N613" i="2"/>
  <c r="N747" i="2"/>
  <c r="N616" i="2"/>
  <c r="N580" i="2"/>
  <c r="N597" i="2"/>
  <c r="N670" i="2"/>
  <c r="N36" i="5"/>
  <c r="N121" i="2"/>
  <c r="N573" i="2"/>
  <c r="N859" i="2"/>
  <c r="N413" i="2"/>
  <c r="N201" i="2"/>
  <c r="N782" i="2"/>
  <c r="N622" i="2"/>
  <c r="N589" i="2"/>
  <c r="N261" i="2"/>
  <c r="N410" i="2"/>
  <c r="N434" i="2"/>
  <c r="N31" i="2"/>
  <c r="N51" i="2"/>
  <c r="N802" i="2"/>
  <c r="N624" i="2"/>
  <c r="N807" i="2"/>
  <c r="N939" i="2"/>
  <c r="N66" i="2"/>
  <c r="N67" i="2"/>
  <c r="N450" i="2"/>
  <c r="N146" i="2"/>
  <c r="N683" i="2"/>
  <c r="N905" i="2"/>
  <c r="N478" i="2"/>
  <c r="N851" i="2"/>
  <c r="N224" i="2"/>
  <c r="N21" i="3"/>
  <c r="N114" i="2"/>
  <c r="N43" i="3"/>
  <c r="N295" i="2"/>
  <c r="N130" i="2"/>
  <c r="N192" i="2"/>
  <c r="N314" i="2"/>
  <c r="N538" i="2"/>
  <c r="N195" i="2"/>
  <c r="N775" i="2"/>
  <c r="N50" i="5"/>
  <c r="N425" i="2"/>
  <c r="N491" i="2"/>
  <c r="N788" i="2"/>
  <c r="N315" i="2"/>
  <c r="N392" i="2"/>
  <c r="N514" i="2"/>
  <c r="N329" i="2"/>
  <c r="N58" i="2"/>
  <c r="N834" i="2"/>
  <c r="N100" i="2"/>
  <c r="N567" i="2"/>
  <c r="N489" i="2"/>
  <c r="N831" i="2"/>
  <c r="N32" i="3"/>
  <c r="N97" i="2"/>
  <c r="N653" i="2"/>
  <c r="N49" i="3"/>
  <c r="N614" i="2"/>
  <c r="N73" i="3"/>
  <c r="N178" i="2"/>
  <c r="N682" i="2"/>
  <c r="N364" i="2"/>
  <c r="N282" i="2"/>
  <c r="N46" i="5"/>
  <c r="N641" i="2"/>
  <c r="N553" i="2"/>
  <c r="N588" i="2"/>
  <c r="N649" i="2"/>
  <c r="N253" i="2"/>
  <c r="N48" i="3"/>
  <c r="N39" i="2"/>
  <c r="N153" i="2"/>
  <c r="N795" i="2"/>
  <c r="N706" i="2"/>
  <c r="N7" i="2"/>
  <c r="N301" i="2"/>
  <c r="N664" i="2"/>
  <c r="N138" i="2"/>
  <c r="N716" i="2"/>
  <c r="N310" i="2"/>
  <c r="N911" i="2"/>
  <c r="N916" i="2"/>
  <c r="N765" i="2"/>
  <c r="N857" i="2"/>
  <c r="N275" i="2"/>
  <c r="N120" i="2"/>
  <c r="N428" i="2"/>
  <c r="N140" i="2"/>
  <c r="N285" i="2"/>
  <c r="N258" i="2"/>
  <c r="N249" i="2"/>
  <c r="N924" i="2"/>
  <c r="N867" i="2"/>
  <c r="N698" i="2"/>
  <c r="N180" i="2"/>
  <c r="N685" i="2"/>
  <c r="N76" i="2"/>
  <c r="N708" i="2"/>
  <c r="N595" i="2"/>
  <c r="N248" i="2"/>
  <c r="N52" i="5"/>
  <c r="N351" i="2"/>
  <c r="N101" i="2"/>
  <c r="N513" i="2"/>
  <c r="N447" i="2"/>
  <c r="N860" i="2"/>
  <c r="N881" i="2"/>
  <c r="N133" i="2"/>
  <c r="N714" i="2"/>
  <c r="N422" i="2"/>
  <c r="N157" i="2"/>
  <c r="N123" i="2"/>
  <c r="N731" i="2"/>
  <c r="N592" i="2"/>
  <c r="N498" i="2"/>
  <c r="N516" i="2"/>
  <c r="N82" i="2"/>
  <c r="N660" i="2"/>
  <c r="N899" i="2"/>
  <c r="N239" i="2"/>
  <c r="N869" i="2"/>
  <c r="N743" i="2"/>
  <c r="N902" i="2"/>
  <c r="N757" i="2"/>
  <c r="N476" i="2"/>
  <c r="N495" i="2"/>
  <c r="N156" i="2"/>
  <c r="N78" i="2"/>
  <c r="N541" i="2"/>
  <c r="N35" i="3"/>
  <c r="N482" i="2"/>
  <c r="N487" i="2"/>
  <c r="N722" i="2"/>
  <c r="N293" i="2"/>
  <c r="N542" i="2"/>
  <c r="N890" i="2"/>
  <c r="N611" i="2"/>
  <c r="N803" i="2"/>
  <c r="N488" i="2"/>
  <c r="N609" i="2"/>
  <c r="N519" i="2"/>
  <c r="N72" i="2"/>
  <c r="N608" i="2"/>
  <c r="N475" i="2"/>
  <c r="N132" i="2"/>
  <c r="N382" i="2"/>
  <c r="N846" i="2"/>
  <c r="N461" i="2"/>
  <c r="N921" i="2"/>
  <c r="N662" i="2"/>
  <c r="N828" i="2"/>
  <c r="N219" i="2"/>
  <c r="N790" i="2"/>
  <c r="N800" i="2"/>
  <c r="N453" i="2"/>
  <c r="N898" i="2"/>
  <c r="N61" i="3"/>
  <c r="N233" i="2"/>
  <c r="N913" i="2"/>
  <c r="N370" i="2"/>
  <c r="N58" i="5"/>
  <c r="N820" i="2"/>
  <c r="N49" i="2"/>
  <c r="N257" i="2"/>
  <c r="N777" i="2"/>
  <c r="N518" i="2"/>
  <c r="N229" i="2"/>
  <c r="N787" i="2"/>
  <c r="N417" i="2"/>
  <c r="N920" i="2"/>
  <c r="N189" i="2"/>
  <c r="N699" i="2"/>
  <c r="N481" i="2"/>
  <c r="N659" i="2"/>
  <c r="N244" i="2"/>
  <c r="N656" i="2"/>
  <c r="N394" i="2"/>
  <c r="N391" i="2"/>
  <c r="N279" i="2"/>
  <c r="N415" i="2"/>
  <c r="N66" i="3"/>
  <c r="N617" i="2"/>
  <c r="N53" i="2"/>
  <c r="N640" i="2"/>
  <c r="N240" i="2"/>
  <c r="N148" i="2"/>
  <c r="N267" i="2"/>
  <c r="N338" i="2"/>
  <c r="N917" i="2"/>
  <c r="N441" i="2"/>
  <c r="N607" i="2"/>
  <c r="N504" i="2"/>
  <c r="N421" i="2"/>
  <c r="N47" i="3"/>
  <c r="N835" i="2"/>
  <c r="N404" i="2"/>
  <c r="N111" i="2"/>
  <c r="N544" i="2"/>
  <c r="N41" i="2"/>
  <c r="N218" i="2"/>
  <c r="N288" i="2"/>
  <c r="N923" i="2"/>
  <c r="N748" i="2"/>
  <c r="N762" i="2"/>
  <c r="N93" i="2"/>
  <c r="N565" i="2"/>
  <c r="N554" i="2"/>
  <c r="N486" i="2"/>
  <c r="N720" i="2"/>
  <c r="N198" i="2"/>
  <c r="N704" i="2"/>
  <c r="N681" i="2"/>
  <c r="N772" i="2"/>
  <c r="N548" i="2"/>
  <c r="N77" i="3"/>
  <c r="N424" i="2"/>
  <c r="N605" i="2"/>
  <c r="N526" i="2"/>
  <c r="N843" i="2"/>
  <c r="N591" i="2"/>
  <c r="N872" i="2"/>
  <c r="N665" i="2"/>
  <c r="N40" i="5"/>
  <c r="N327" i="2"/>
  <c r="N648" i="2"/>
  <c r="N778" i="2"/>
  <c r="N11" i="3"/>
  <c r="N668" i="2"/>
  <c r="N873" i="2"/>
  <c r="N615" i="2"/>
  <c r="N378" i="2"/>
  <c r="N738" i="2"/>
  <c r="N55" i="3"/>
  <c r="N12" i="3"/>
  <c r="N739" i="2"/>
  <c r="N474" i="2"/>
  <c r="N383" i="2"/>
  <c r="N492" i="2"/>
  <c r="N149" i="2"/>
  <c r="N177" i="2"/>
  <c r="N479" i="2"/>
  <c r="N380" i="2"/>
  <c r="N26" i="2"/>
  <c r="N38" i="5"/>
  <c r="N666" i="2"/>
  <c r="N373" i="2"/>
  <c r="N568" i="2"/>
  <c r="N604" i="2"/>
  <c r="N109" i="2"/>
  <c r="N855" i="2"/>
  <c r="N37" i="5"/>
  <c r="N184" i="2"/>
  <c r="N449" i="2"/>
  <c r="N781" i="2"/>
  <c r="N52" i="3"/>
  <c r="N770" i="2"/>
  <c r="N863" i="2"/>
  <c r="N874" i="2"/>
  <c r="N754" i="2"/>
  <c r="N33" i="5"/>
  <c r="N462" i="2"/>
  <c r="N889" i="2"/>
  <c r="N726" i="2"/>
  <c r="N74" i="2"/>
  <c r="N21" i="2"/>
  <c r="N892" i="2"/>
  <c r="N212" i="2"/>
  <c r="N943" i="2"/>
  <c r="N80" i="2"/>
  <c r="N151" i="2"/>
  <c r="N804" i="2"/>
  <c r="N465" i="2"/>
  <c r="N569" i="2"/>
  <c r="N546" i="2"/>
  <c r="N445" i="2"/>
  <c r="N87" i="3"/>
  <c r="N54" i="5"/>
  <c r="N805" i="2"/>
  <c r="N463" i="2"/>
  <c r="N361" i="2"/>
  <c r="N34" i="5"/>
  <c r="N845" i="2"/>
  <c r="N126" i="2"/>
  <c r="N455" i="2"/>
  <c r="N885" i="2"/>
  <c r="N837" i="2"/>
  <c r="N907" i="2"/>
  <c r="N470" i="2"/>
  <c r="N557" i="2"/>
  <c r="N810" i="2"/>
  <c r="N34" i="3"/>
  <c r="N15" i="2"/>
  <c r="N574" i="2"/>
  <c r="N385" i="2"/>
  <c r="N679" i="2"/>
  <c r="N701" i="2"/>
  <c r="N72" i="3"/>
  <c r="N684" i="2"/>
  <c r="N116" i="2"/>
  <c r="N412" i="2"/>
  <c r="N785" i="2"/>
  <c r="N792" i="2"/>
  <c r="N348" i="2"/>
  <c r="N875" i="2"/>
  <c r="N216" i="2"/>
  <c r="N289" i="2"/>
  <c r="N702" i="2"/>
  <c r="N534" i="2"/>
  <c r="N88" i="2"/>
  <c r="N511" i="2"/>
  <c r="N17" i="3"/>
  <c r="N164" i="2"/>
  <c r="N407" i="2"/>
  <c r="N853" i="2"/>
  <c r="N600" i="2"/>
  <c r="N225" i="2"/>
  <c r="N372" i="2"/>
  <c r="N944" i="2"/>
  <c r="N552" i="2"/>
  <c r="N437" i="2"/>
  <c r="N86" i="2"/>
  <c r="N531" i="2"/>
  <c r="N779" i="2"/>
  <c r="N768" i="2"/>
  <c r="N897" i="2"/>
  <c r="N842" i="2"/>
  <c r="N11" i="2"/>
  <c r="N300" i="2"/>
  <c r="N9" i="4"/>
  <c r="N344" i="2"/>
  <c r="N852" i="2"/>
  <c r="N808" i="2"/>
  <c r="N108" i="2"/>
  <c r="N353" i="2"/>
  <c r="N566" i="2"/>
  <c r="N371" i="2"/>
  <c r="N235" i="2"/>
  <c r="N365" i="2"/>
  <c r="N63" i="3"/>
  <c r="N57" i="2"/>
  <c r="N878" i="2"/>
  <c r="N70" i="3"/>
  <c r="N680" i="2"/>
  <c r="N58" i="3"/>
  <c r="N598" i="2"/>
  <c r="N134" i="2"/>
  <c r="N5" i="4"/>
  <c r="N84" i="3"/>
  <c r="N610" i="2"/>
  <c r="N256" i="2"/>
  <c r="N347" i="2"/>
  <c r="N280" i="2"/>
  <c r="N35" i="2"/>
  <c r="N879" i="2"/>
  <c r="N52" i="2"/>
  <c r="N55" i="2"/>
  <c r="N299" i="2"/>
  <c r="N188" i="2"/>
  <c r="N909" i="2"/>
  <c r="N70" i="2"/>
  <c r="N127" i="2"/>
  <c r="N400" i="2"/>
  <c r="N793" i="2"/>
  <c r="N80" i="3"/>
  <c r="N83" i="3"/>
  <c r="N170" i="2"/>
  <c r="N883" i="2"/>
  <c r="N794" i="2"/>
  <c r="N349" i="2"/>
  <c r="N816" i="2"/>
  <c r="N932" i="2"/>
  <c r="N654" i="2"/>
  <c r="N5" i="3"/>
  <c r="N723" i="2"/>
  <c r="N439" i="2"/>
  <c r="N776" i="2"/>
  <c r="N98" i="2"/>
  <c r="N42" i="3"/>
  <c r="N596" i="2"/>
  <c r="N350" i="2"/>
  <c r="N560" i="2"/>
  <c r="N829" i="2"/>
  <c r="N882" i="2"/>
  <c r="N330" i="2"/>
  <c r="N940" i="2"/>
  <c r="N346" i="2"/>
  <c r="N408" i="2"/>
  <c r="N579" i="2"/>
  <c r="N700" i="2"/>
  <c r="N809" i="2"/>
  <c r="N540" i="2"/>
  <c r="N532" i="2"/>
  <c r="N174" i="2"/>
  <c r="N471" i="2"/>
  <c r="N841" i="2"/>
  <c r="N7" i="3"/>
  <c r="N22" i="2"/>
  <c r="N6" i="2"/>
  <c r="N376" i="2"/>
  <c r="N303" i="2"/>
  <c r="N51" i="3"/>
  <c r="N388" i="2"/>
  <c r="N29" i="2"/>
  <c r="N646" i="2"/>
  <c r="N321" i="2"/>
  <c r="N47" i="5"/>
  <c r="N131" i="2"/>
  <c r="N60" i="2"/>
  <c r="N221" i="2"/>
  <c r="N352" i="2"/>
  <c r="N799" i="2"/>
  <c r="N20" i="2"/>
  <c r="N141" i="2"/>
  <c r="N877" i="2"/>
  <c r="N594" i="2"/>
  <c r="N477" i="2"/>
  <c r="N575" i="2"/>
  <c r="N520" i="2"/>
  <c r="N838" i="2"/>
  <c r="N25" i="2"/>
  <c r="N5" i="2"/>
  <c r="N7" i="4"/>
  <c r="N16" i="2"/>
  <c r="N484" i="2"/>
  <c r="N438" i="2"/>
  <c r="N154" i="2"/>
  <c r="N110" i="2"/>
  <c r="N227" i="2"/>
  <c r="N403" i="2"/>
  <c r="N433" i="2"/>
  <c r="N767" i="2"/>
  <c r="N40" i="2"/>
  <c r="N243" i="2"/>
  <c r="N759" i="2"/>
  <c r="N366" i="2"/>
  <c r="N725" i="2"/>
  <c r="N281" i="2"/>
  <c r="N42" i="5"/>
  <c r="N179" i="2"/>
  <c r="N43" i="5"/>
  <c r="N241" i="2"/>
  <c r="N900" i="2"/>
  <c r="N290" i="2"/>
  <c r="N545" i="2"/>
  <c r="N223" i="2"/>
  <c r="N12" i="2"/>
  <c r="N760" i="2"/>
  <c r="N866" i="2"/>
  <c r="N270" i="2"/>
  <c r="N119" i="2"/>
  <c r="N190" i="2"/>
  <c r="N334" i="2"/>
  <c r="N467" i="2"/>
  <c r="N27" i="2"/>
  <c r="N6" i="4"/>
  <c r="N490" i="2"/>
  <c r="N89" i="2"/>
  <c r="N274" i="2"/>
  <c r="N423" i="2"/>
  <c r="N523" i="2"/>
  <c r="N870" i="2"/>
  <c r="N185" i="2"/>
  <c r="N780" i="2"/>
  <c r="N214" i="2"/>
  <c r="N815" i="2"/>
  <c r="N823" i="2"/>
  <c r="N259" i="2"/>
  <c r="N930" i="2"/>
  <c r="N812" i="2"/>
  <c r="N586" i="2"/>
  <c r="N637" i="2"/>
  <c r="N67" i="3"/>
  <c r="N69" i="3"/>
  <c r="N237" i="2"/>
  <c r="N31" i="3"/>
  <c r="N705" i="2"/>
  <c r="N402" i="2"/>
  <c r="N551" i="2"/>
  <c r="N341" i="2"/>
  <c r="N41" i="3"/>
  <c r="N559" i="2"/>
  <c r="N639" i="2"/>
  <c r="N446" i="2"/>
  <c r="N755" i="2"/>
  <c r="N713" i="2"/>
  <c r="N231" i="2"/>
  <c r="N941" i="2"/>
  <c r="N729" i="2"/>
  <c r="N38" i="2"/>
  <c r="N96" i="2"/>
  <c r="N18" i="2"/>
  <c r="N442" i="2"/>
  <c r="N751" i="2"/>
  <c r="N393" i="2"/>
  <c r="N199" i="2"/>
  <c r="N113" i="2"/>
  <c r="N399" i="2"/>
  <c r="N63" i="2"/>
  <c r="N587" i="2"/>
  <c r="N81" i="2"/>
  <c r="N271" i="2"/>
  <c r="N10" i="2"/>
  <c r="N103" i="2"/>
  <c r="N865" i="2"/>
  <c r="N429" i="2"/>
  <c r="N758" i="2"/>
  <c r="N369" i="2"/>
  <c r="N28" i="2"/>
  <c r="N230" i="2"/>
  <c r="N671" i="2"/>
  <c r="N250" i="2"/>
  <c r="N539" i="2"/>
  <c r="N658" i="2"/>
  <c r="N236" i="2"/>
  <c r="N87" i="2"/>
  <c r="N430" i="2"/>
  <c r="N64" i="3"/>
  <c r="N84" i="2"/>
  <c r="N136" i="2"/>
  <c r="N57" i="5"/>
  <c r="N506" i="2"/>
  <c r="N692" i="2"/>
  <c r="N79" i="2"/>
  <c r="N50" i="3"/>
  <c r="N92" i="2"/>
  <c r="N740" i="2"/>
  <c r="N736" i="2"/>
  <c r="N49" i="5"/>
  <c r="N512" i="2"/>
  <c r="N269" i="2"/>
  <c r="N625" i="2"/>
  <c r="N56" i="3"/>
  <c r="N756" i="2"/>
  <c r="N460" i="2"/>
  <c r="N456" i="2"/>
  <c r="N20" i="3"/>
  <c r="N208" i="2"/>
  <c r="N824" i="2"/>
  <c r="N561" i="2"/>
  <c r="N8" i="3"/>
  <c r="N599" i="2"/>
  <c r="N633" i="2"/>
  <c r="N340" i="2"/>
  <c r="N697" i="2"/>
  <c r="N753" i="2"/>
  <c r="N643" i="2"/>
  <c r="N117" i="2"/>
  <c r="N337" i="2"/>
  <c r="N135" i="2"/>
  <c r="N89" i="3"/>
  <c r="N217" i="2"/>
  <c r="N277" i="2"/>
  <c r="N95" i="2"/>
  <c r="N206" i="2"/>
  <c r="N316" i="2"/>
  <c r="N558" i="2"/>
  <c r="N612" i="2"/>
  <c r="J1384" i="30"/>
  <c r="K4" i="33"/>
  <c r="J4" i="33"/>
  <c r="J2061" i="15"/>
  <c r="K2061" i="15"/>
  <c r="K581" i="8"/>
  <c r="J581" i="8"/>
  <c r="K248" i="13"/>
  <c r="J248" i="13"/>
  <c r="J1496" i="26"/>
  <c r="K1496" i="26"/>
  <c r="J2400" i="13"/>
  <c r="K848" i="32"/>
  <c r="E1167" i="1"/>
  <c r="F1167" i="1" s="1"/>
  <c r="I848" i="32" s="1"/>
  <c r="J848" i="32" s="1"/>
  <c r="J1264" i="21"/>
  <c r="H2974" i="11"/>
  <c r="H2972" i="11" s="1"/>
  <c r="G2972" i="11"/>
  <c r="E293" i="1" s="1"/>
  <c r="F293" i="1" s="1"/>
  <c r="I2972" i="11" s="1"/>
  <c r="G684" i="33"/>
  <c r="E1244" i="1" s="1"/>
  <c r="F1244" i="1" s="1"/>
  <c r="I684" i="33" s="1"/>
  <c r="H686" i="33"/>
  <c r="H684" i="33" s="1"/>
  <c r="J424" i="11"/>
  <c r="K424" i="11"/>
  <c r="K1052" i="21"/>
  <c r="J1052" i="21"/>
  <c r="J189" i="15"/>
  <c r="J1168" i="32"/>
  <c r="K1168" i="32"/>
  <c r="G304" i="11"/>
  <c r="E165" i="1" s="1"/>
  <c r="F165" i="1" s="1"/>
  <c r="I304" i="11" s="1"/>
  <c r="H306" i="11"/>
  <c r="H304" i="11" s="1"/>
  <c r="G804" i="33"/>
  <c r="E1250" i="1" s="1"/>
  <c r="F1250" i="1" s="1"/>
  <c r="I804" i="33" s="1"/>
  <c r="H806" i="33"/>
  <c r="H804" i="33" s="1"/>
  <c r="G1504" i="24"/>
  <c r="E848" i="1" s="1"/>
  <c r="F848" i="1" s="1"/>
  <c r="I1504" i="24" s="1"/>
  <c r="H1506" i="24"/>
  <c r="H1504" i="24" s="1"/>
  <c r="J84" i="32"/>
  <c r="J1857" i="26"/>
  <c r="J759" i="16"/>
  <c r="J109" i="15"/>
  <c r="J364" i="16"/>
  <c r="K1480" i="13"/>
  <c r="J1488" i="21"/>
  <c r="H2117" i="11"/>
  <c r="H2115" i="11" s="1"/>
  <c r="G2115" i="11"/>
  <c r="E253" i="1" s="1"/>
  <c r="F253" i="1" s="1"/>
  <c r="I2115" i="11" s="1"/>
  <c r="H1734" i="24"/>
  <c r="H1732" i="24" s="1"/>
  <c r="G1732" i="24"/>
  <c r="E859" i="1" s="1"/>
  <c r="F859" i="1" s="1"/>
  <c r="I1732" i="24" s="1"/>
  <c r="G1244" i="11"/>
  <c r="E212" i="1" s="1"/>
  <c r="F212" i="1" s="1"/>
  <c r="I1244" i="11" s="1"/>
  <c r="H1246" i="11"/>
  <c r="H1244" i="11" s="1"/>
  <c r="G324" i="11"/>
  <c r="E166" i="1" s="1"/>
  <c r="F166" i="1" s="1"/>
  <c r="I324" i="11" s="1"/>
  <c r="H326" i="11"/>
  <c r="H324" i="11" s="1"/>
  <c r="J248" i="32"/>
  <c r="J2397" i="16"/>
  <c r="J1355" i="16"/>
  <c r="J348" i="32"/>
  <c r="E501" i="1"/>
  <c r="F501" i="1" s="1"/>
  <c r="I1351" i="15" s="1"/>
  <c r="J1351" i="15" s="1"/>
  <c r="E484" i="1"/>
  <c r="F484" i="1" s="1"/>
  <c r="I1009" i="15" s="1"/>
  <c r="J1009" i="15" s="1"/>
  <c r="J2327" i="26"/>
  <c r="K2041" i="15"/>
  <c r="J1019" i="24"/>
  <c r="K1917" i="26"/>
  <c r="J184" i="30"/>
  <c r="K184" i="30"/>
  <c r="J983" i="26"/>
  <c r="J1424" i="30"/>
  <c r="J1913" i="15"/>
  <c r="J368" i="32"/>
  <c r="K368" i="32"/>
  <c r="G744" i="33"/>
  <c r="E1247" i="1" s="1"/>
  <c r="F1247" i="1" s="1"/>
  <c r="I744" i="33" s="1"/>
  <c r="H746" i="33"/>
  <c r="H744" i="33" s="1"/>
  <c r="J1744" i="30"/>
  <c r="K728" i="32"/>
  <c r="J728" i="32"/>
  <c r="K268" i="13"/>
  <c r="J268" i="13"/>
  <c r="J204" i="33"/>
  <c r="K204" i="33"/>
  <c r="K256" i="26"/>
  <c r="J256" i="26"/>
  <c r="J1311" i="15"/>
  <c r="J1375" i="16"/>
  <c r="J502" i="26"/>
  <c r="K502" i="26"/>
  <c r="K780" i="13"/>
  <c r="J780" i="13"/>
  <c r="J1109" i="16"/>
  <c r="J468" i="32"/>
  <c r="K984" i="11"/>
  <c r="J984" i="11"/>
  <c r="K2835" i="26"/>
  <c r="G64" i="11"/>
  <c r="E152" i="1" s="1"/>
  <c r="F152" i="1" s="1"/>
  <c r="I64" i="11" s="1"/>
  <c r="H66" i="11"/>
  <c r="H64" i="11" s="1"/>
  <c r="J601" i="8"/>
  <c r="K681" i="8"/>
  <c r="J681" i="8"/>
  <c r="J2460" i="13"/>
  <c r="I1069" i="15"/>
  <c r="J1069" i="15" s="1"/>
  <c r="I989" i="15"/>
  <c r="J989" i="15" s="1"/>
  <c r="J2418" i="16"/>
  <c r="J1589" i="11"/>
  <c r="K144" i="11"/>
  <c r="J144" i="11"/>
  <c r="I899" i="16"/>
  <c r="J899" i="16" s="1"/>
  <c r="F586" i="1"/>
  <c r="J1671" i="15"/>
  <c r="K1020" i="13"/>
  <c r="J788" i="32"/>
  <c r="J164" i="24"/>
  <c r="K409" i="15"/>
  <c r="J1411" i="15"/>
  <c r="I1631" i="15"/>
  <c r="J1631" i="15" s="1"/>
  <c r="I1551" i="15"/>
  <c r="J1551" i="15" s="1"/>
  <c r="L10" i="4"/>
  <c r="K161" i="8"/>
  <c r="J161" i="8"/>
  <c r="J2694" i="11"/>
  <c r="K2694" i="11"/>
  <c r="J565" i="24"/>
  <c r="K565" i="24"/>
  <c r="K64" i="21"/>
  <c r="J224" i="11"/>
  <c r="K224" i="11"/>
  <c r="J919" i="16"/>
  <c r="J1163" i="26"/>
  <c r="H1486" i="11"/>
  <c r="H1484" i="11" s="1"/>
  <c r="G1484" i="11"/>
  <c r="E224" i="1" s="1"/>
  <c r="F224" i="1" s="1"/>
  <c r="I1484" i="11" s="1"/>
  <c r="K1048" i="32"/>
  <c r="O495" i="2" s="1"/>
  <c r="J1048" i="32"/>
  <c r="K204" i="16"/>
  <c r="J204" i="16"/>
  <c r="I1624" i="30"/>
  <c r="J1624" i="30" s="1"/>
  <c r="F1095" i="1"/>
  <c r="J744" i="30"/>
  <c r="K744" i="30"/>
  <c r="J932" i="21"/>
  <c r="K657" i="13"/>
  <c r="J657" i="13"/>
  <c r="K288" i="13"/>
  <c r="J288" i="13"/>
  <c r="K804" i="30"/>
  <c r="J804" i="30"/>
  <c r="J665" i="24"/>
  <c r="K665" i="24"/>
  <c r="K38" i="26"/>
  <c r="J38" i="26"/>
  <c r="J421" i="8"/>
  <c r="K421" i="8"/>
  <c r="H1607" i="30"/>
  <c r="G1606" i="30"/>
  <c r="I1811" i="15"/>
  <c r="J1811" i="15" s="1"/>
  <c r="I1731" i="15"/>
  <c r="J1731" i="15" s="1"/>
  <c r="J548" i="32"/>
  <c r="K548" i="32"/>
  <c r="G462" i="26"/>
  <c r="E880" i="1" s="1"/>
  <c r="F880" i="1" s="1"/>
  <c r="I462" i="26" s="1"/>
  <c r="H464" i="26"/>
  <c r="H462" i="26" s="1"/>
  <c r="J2007" i="30"/>
  <c r="J2678" i="16"/>
  <c r="J980" i="13"/>
  <c r="K980" i="13"/>
  <c r="K384" i="33"/>
  <c r="J1555" i="16"/>
  <c r="J1904" i="30"/>
  <c r="H1414" i="24"/>
  <c r="H1412" i="24" s="1"/>
  <c r="G1412" i="24"/>
  <c r="E844" i="1" s="1"/>
  <c r="F844" i="1" s="1"/>
  <c r="I1412" i="24" s="1"/>
  <c r="J524" i="21"/>
  <c r="K524" i="21"/>
  <c r="K700" i="13"/>
  <c r="J700" i="13"/>
  <c r="K963" i="26"/>
  <c r="J963" i="26"/>
  <c r="J2613" i="8"/>
  <c r="K444" i="16"/>
  <c r="J724" i="21"/>
  <c r="J1536" i="26"/>
  <c r="K1536" i="26"/>
  <c r="J864" i="30"/>
  <c r="K864" i="30"/>
  <c r="K1068" i="32"/>
  <c r="J1068" i="32"/>
  <c r="O801" i="2"/>
  <c r="K1548" i="32"/>
  <c r="J1548" i="32"/>
  <c r="G1024" i="11"/>
  <c r="E201" i="1" s="1"/>
  <c r="F201" i="1" s="1"/>
  <c r="I1024" i="11" s="1"/>
  <c r="H1026" i="11"/>
  <c r="H1024" i="11" s="1"/>
  <c r="H2097" i="11"/>
  <c r="H2095" i="11" s="1"/>
  <c r="G2095" i="11"/>
  <c r="E252" i="1" s="1"/>
  <c r="F252" i="1" s="1"/>
  <c r="I2095" i="11" s="1"/>
  <c r="J1083" i="26"/>
  <c r="K1083" i="26"/>
  <c r="K1348" i="32"/>
  <c r="I1044" i="33"/>
  <c r="J1044" i="33" s="1"/>
  <c r="F1262" i="1"/>
  <c r="K184" i="11"/>
  <c r="J184" i="11"/>
  <c r="H808" i="8"/>
  <c r="H806" i="8" s="1"/>
  <c r="G806" i="8"/>
  <c r="E45" i="1" s="1"/>
  <c r="F45" i="1" s="1"/>
  <c r="I806" i="8" s="1"/>
  <c r="K388" i="32"/>
  <c r="J388" i="32"/>
  <c r="K1308" i="32"/>
  <c r="J1308" i="32"/>
  <c r="K939" i="24"/>
  <c r="J939" i="24"/>
  <c r="K800" i="13"/>
  <c r="J800" i="13"/>
  <c r="K783" i="26"/>
  <c r="J783" i="26"/>
  <c r="K441" i="8"/>
  <c r="J441" i="8"/>
  <c r="K59" i="5"/>
  <c r="K91" i="3"/>
  <c r="J743" i="8"/>
  <c r="K743" i="8"/>
  <c r="J2452" i="8"/>
  <c r="K621" i="8"/>
  <c r="J621" i="8"/>
  <c r="J628" i="32"/>
  <c r="J1815" i="16"/>
  <c r="K823" i="26"/>
  <c r="J823" i="26"/>
  <c r="K875" i="24"/>
  <c r="K1099" i="24"/>
  <c r="K1551" i="15"/>
  <c r="I224" i="16"/>
  <c r="J224" i="16" s="1"/>
  <c r="K2121" i="15"/>
  <c r="J964" i="33"/>
  <c r="J324" i="21"/>
  <c r="J785" i="24"/>
  <c r="J1040" i="13"/>
  <c r="J249" i="15"/>
  <c r="J1520" i="13"/>
  <c r="J244" i="21"/>
  <c r="K244" i="21"/>
  <c r="H46" i="11"/>
  <c r="H44" i="11" s="1"/>
  <c r="G44" i="11"/>
  <c r="E151" i="1" s="1"/>
  <c r="F151" i="1" s="1"/>
  <c r="I44" i="11" s="1"/>
  <c r="K1063" i="26"/>
  <c r="J1063" i="26"/>
  <c r="H906" i="30"/>
  <c r="H904" i="30" s="1"/>
  <c r="G904" i="30"/>
  <c r="E1059" i="1" s="1"/>
  <c r="F1059" i="1" s="1"/>
  <c r="I904" i="30" s="1"/>
  <c r="K1635" i="16"/>
  <c r="K744" i="21"/>
  <c r="K1835" i="16"/>
  <c r="K959" i="16"/>
  <c r="K563" i="13"/>
  <c r="J563" i="13"/>
  <c r="H146" i="33"/>
  <c r="H144" i="33" s="1"/>
  <c r="G144" i="33"/>
  <c r="E1216" i="1" s="1"/>
  <c r="F1216" i="1" s="1"/>
  <c r="I144" i="33" s="1"/>
  <c r="G2594" i="11"/>
  <c r="E275" i="1" s="1"/>
  <c r="F275" i="1" s="1"/>
  <c r="I2594" i="11" s="1"/>
  <c r="H2596" i="11"/>
  <c r="H2594" i="11" s="1"/>
  <c r="G1269" i="15"/>
  <c r="E497" i="1" s="1"/>
  <c r="F497" i="1" s="1"/>
  <c r="I1269" i="15" s="1"/>
  <c r="H1271" i="15"/>
  <c r="H1269" i="15" s="1"/>
  <c r="E1192" i="1"/>
  <c r="F1192" i="1" s="1"/>
  <c r="I1348" i="32" s="1"/>
  <c r="J1348" i="32" s="1"/>
  <c r="E1181" i="1"/>
  <c r="F1181" i="1" s="1"/>
  <c r="I1128" i="32" s="1"/>
  <c r="J1128" i="32" s="1"/>
  <c r="K2740" i="13"/>
  <c r="K1840" i="13"/>
  <c r="I469" i="15"/>
  <c r="J469" i="15" s="1"/>
  <c r="I849" i="15"/>
  <c r="J849" i="15" s="1"/>
  <c r="K948" i="32"/>
  <c r="K164" i="11"/>
  <c r="J164" i="11"/>
  <c r="K1149" i="15"/>
  <c r="J215" i="26"/>
  <c r="K215" i="26"/>
  <c r="K1134" i="16"/>
  <c r="J384" i="30"/>
  <c r="K384" i="30"/>
  <c r="K2580" i="13"/>
  <c r="K2261" i="26"/>
  <c r="K1731" i="15"/>
  <c r="K2349" i="26"/>
  <c r="K2218" i="26"/>
  <c r="K1221" i="24"/>
  <c r="K2081" i="15"/>
  <c r="J2081" i="15"/>
  <c r="K2305" i="26"/>
  <c r="G1957" i="26"/>
  <c r="E956" i="1" s="1"/>
  <c r="F956" i="1" s="1"/>
  <c r="I1957" i="26" s="1"/>
  <c r="H1959" i="26"/>
  <c r="H1957" i="26" s="1"/>
  <c r="O59" i="5"/>
  <c r="J1283" i="26"/>
  <c r="K1283" i="26"/>
  <c r="J175" i="26"/>
  <c r="K175" i="26"/>
  <c r="F100" i="1"/>
  <c r="J408" i="13"/>
  <c r="K408" i="13"/>
  <c r="H146" i="30"/>
  <c r="H144" i="30" s="1"/>
  <c r="G144" i="30"/>
  <c r="E1021" i="1" s="1"/>
  <c r="F1021" i="1" s="1"/>
  <c r="I144" i="30" s="1"/>
  <c r="G1064" i="30"/>
  <c r="E1067" i="1" s="1"/>
  <c r="F1067" i="1" s="1"/>
  <c r="I1064" i="30" s="1"/>
  <c r="H1066" i="30"/>
  <c r="H1064" i="30" s="1"/>
  <c r="H2017" i="11"/>
  <c r="H2015" i="11" s="1"/>
  <c r="G2015" i="11"/>
  <c r="E248" i="1" s="1"/>
  <c r="F248" i="1" s="1"/>
  <c r="I2015" i="11" s="1"/>
  <c r="J602" i="26"/>
  <c r="K602" i="26"/>
  <c r="K104" i="21"/>
  <c r="J104" i="21"/>
  <c r="H1305" i="26"/>
  <c r="H1303" i="26" s="1"/>
  <c r="G1303" i="26"/>
  <c r="E922" i="1" s="1"/>
  <c r="F922" i="1" s="1"/>
  <c r="I1303" i="26" s="1"/>
  <c r="H66" i="30"/>
  <c r="H64" i="30" s="1"/>
  <c r="G64" i="30"/>
  <c r="E1017" i="1" s="1"/>
  <c r="F1017" i="1" s="1"/>
  <c r="I64" i="30" s="1"/>
  <c r="H2914" i="11"/>
  <c r="H2912" i="11" s="1"/>
  <c r="G2912" i="11"/>
  <c r="E290" i="1" s="1"/>
  <c r="F290" i="1" s="1"/>
  <c r="I2912" i="11" s="1"/>
  <c r="H666" i="30"/>
  <c r="H664" i="30" s="1"/>
  <c r="G664" i="30"/>
  <c r="E1047" i="1" s="1"/>
  <c r="F1047" i="1" s="1"/>
  <c r="I664" i="30" s="1"/>
  <c r="G224" i="30"/>
  <c r="E1025" i="1" s="1"/>
  <c r="F1025" i="1" s="1"/>
  <c r="I224" i="30" s="1"/>
  <c r="H226" i="30"/>
  <c r="H224" i="30" s="1"/>
  <c r="H686" i="30"/>
  <c r="H684" i="30" s="1"/>
  <c r="G684" i="30"/>
  <c r="E1048" i="1" s="1"/>
  <c r="F1048" i="1" s="1"/>
  <c r="I684" i="30" s="1"/>
  <c r="K1209" i="15"/>
  <c r="E528" i="1"/>
  <c r="F528" i="1" s="1"/>
  <c r="I1891" i="15" s="1"/>
  <c r="J1891" i="15" s="1"/>
  <c r="E521" i="1"/>
  <c r="F521" i="1" s="1"/>
  <c r="I1751" i="15" s="1"/>
  <c r="J1751" i="15" s="1"/>
  <c r="J843" i="26"/>
  <c r="K843" i="26"/>
  <c r="K1044" i="33"/>
  <c r="K1608" i="32"/>
  <c r="K2247" i="11"/>
  <c r="J2247" i="11"/>
  <c r="J2101" i="15"/>
  <c r="K847" i="21"/>
  <c r="J91" i="3"/>
  <c r="K1347" i="26"/>
  <c r="J1347" i="26"/>
  <c r="K908" i="32"/>
  <c r="I428" i="32"/>
  <c r="J428" i="32" s="1"/>
  <c r="I528" i="32"/>
  <c r="J528" i="32" s="1"/>
  <c r="J633" i="13"/>
  <c r="K633" i="13"/>
  <c r="K89" i="15"/>
  <c r="K269" i="15"/>
  <c r="J544" i="11"/>
  <c r="K544" i="11"/>
  <c r="K2267" i="11"/>
  <c r="K1980" i="13"/>
  <c r="K44" i="13"/>
  <c r="K1535" i="16"/>
  <c r="K24" i="30"/>
  <c r="J24" i="30"/>
  <c r="J1516" i="26"/>
  <c r="J2220" i="13"/>
  <c r="K1140" i="13"/>
  <c r="J924" i="11"/>
  <c r="K924" i="11"/>
  <c r="F10" i="4"/>
  <c r="J964" i="30"/>
  <c r="K964" i="30"/>
  <c r="H91" i="3"/>
  <c r="J568" i="32"/>
  <c r="K568" i="32"/>
  <c r="J924" i="30"/>
  <c r="K924" i="30"/>
  <c r="K659" i="16"/>
  <c r="I1008" i="32"/>
  <c r="J1008" i="32" s="1"/>
  <c r="J644" i="21"/>
  <c r="K1628" i="32"/>
  <c r="K1711" i="15"/>
  <c r="K517" i="13"/>
  <c r="J517" i="13"/>
  <c r="J1831" i="15"/>
  <c r="K1831" i="15"/>
  <c r="K1391" i="26"/>
  <c r="J1391" i="26"/>
  <c r="K1648" i="32"/>
  <c r="K688" i="32"/>
  <c r="K1820" i="13"/>
  <c r="J1577" i="26"/>
  <c r="K1577" i="26"/>
  <c r="K1204" i="11"/>
  <c r="J1204" i="11"/>
  <c r="K1360" i="13"/>
  <c r="E503" i="1"/>
  <c r="F503" i="1" s="1"/>
  <c r="I1391" i="15" s="1"/>
  <c r="J1391" i="15" s="1"/>
  <c r="E490" i="1"/>
  <c r="F490" i="1" s="1"/>
  <c r="I1129" i="15" s="1"/>
  <c r="J1129" i="15" s="1"/>
  <c r="K720" i="13"/>
  <c r="J720" i="13"/>
  <c r="K1364" i="11"/>
  <c r="J2097" i="26"/>
  <c r="K2001" i="15"/>
  <c r="K593" i="16"/>
  <c r="K1200" i="13"/>
  <c r="H1146" i="11"/>
  <c r="H1144" i="11" s="1"/>
  <c r="G1144" i="11"/>
  <c r="E207" i="1" s="1"/>
  <c r="F207" i="1" s="1"/>
  <c r="I1144" i="11" s="1"/>
  <c r="K1760" i="13"/>
  <c r="H1266" i="11"/>
  <c r="H1264" i="11" s="1"/>
  <c r="G1264" i="11"/>
  <c r="E213" i="1" s="1"/>
  <c r="F213" i="1" s="1"/>
  <c r="I1264" i="11" s="1"/>
  <c r="J181" i="8"/>
  <c r="K181" i="8"/>
  <c r="F344" i="1"/>
  <c r="J144" i="32"/>
  <c r="J679" i="16"/>
  <c r="J364" i="30"/>
  <c r="K364" i="30"/>
  <c r="J1371" i="15"/>
  <c r="J1100" i="13"/>
  <c r="J2112" i="8"/>
  <c r="J1280" i="13"/>
  <c r="K748" i="32"/>
  <c r="K229" i="15"/>
  <c r="K1129" i="15"/>
  <c r="K2000" i="13"/>
  <c r="K2300" i="13"/>
  <c r="K508" i="32"/>
  <c r="J1600" i="13"/>
  <c r="J448" i="32"/>
  <c r="J1080" i="13"/>
  <c r="J69" i="15"/>
  <c r="J64" i="32"/>
  <c r="J879" i="16"/>
  <c r="G304" i="30"/>
  <c r="E1029" i="1" s="1"/>
  <c r="F1029" i="1" s="1"/>
  <c r="I304" i="30" s="1"/>
  <c r="H306" i="30"/>
  <c r="H304" i="30" s="1"/>
  <c r="H126" i="33"/>
  <c r="H124" i="33" s="1"/>
  <c r="G124" i="33"/>
  <c r="E1215" i="1" s="1"/>
  <c r="F1215" i="1" s="1"/>
  <c r="I124" i="33" s="1"/>
  <c r="J2277" i="16"/>
  <c r="K1875" i="16"/>
  <c r="K2700" i="13"/>
  <c r="K1351" i="15"/>
  <c r="K1712" i="24"/>
  <c r="K64" i="33"/>
  <c r="J64" i="33"/>
  <c r="J2360" i="13"/>
  <c r="J1084" i="11"/>
  <c r="J1448" i="32"/>
  <c r="J1791" i="15"/>
  <c r="K241" i="8"/>
  <c r="J241" i="8"/>
  <c r="K1368" i="32"/>
  <c r="K530" i="16"/>
  <c r="K2280" i="13"/>
  <c r="K44" i="32"/>
  <c r="H366" i="11"/>
  <c r="H364" i="11" s="1"/>
  <c r="G364" i="11"/>
  <c r="E168" i="1" s="1"/>
  <c r="F168" i="1" s="1"/>
  <c r="I364" i="11" s="1"/>
  <c r="K364" i="33"/>
  <c r="K1288" i="32"/>
  <c r="J1288" i="32"/>
  <c r="K2057" i="26"/>
  <c r="K2371" i="26"/>
  <c r="J2371" i="26"/>
  <c r="J2734" i="11"/>
  <c r="K2734" i="11"/>
  <c r="K404" i="21"/>
  <c r="K859" i="16"/>
  <c r="J1979" i="15"/>
  <c r="K2393" i="26"/>
  <c r="J1320" i="13"/>
  <c r="K699" i="16"/>
  <c r="H484" i="26"/>
  <c r="H482" i="26" s="1"/>
  <c r="G482" i="26"/>
  <c r="E881" i="1" s="1"/>
  <c r="F881" i="1" s="1"/>
  <c r="I482" i="26" s="1"/>
  <c r="J1900" i="13"/>
  <c r="J204" i="30"/>
  <c r="K204" i="30"/>
  <c r="J642" i="26"/>
  <c r="K642" i="26"/>
  <c r="J587" i="13"/>
  <c r="K587" i="13"/>
  <c r="K1488" i="32"/>
  <c r="J1143" i="26"/>
  <c r="K1143" i="26"/>
  <c r="J944" i="30"/>
  <c r="K944" i="30"/>
  <c r="J1174" i="16"/>
  <c r="K1631" i="24"/>
  <c r="K1128" i="32"/>
  <c r="J104" i="33"/>
  <c r="K104" i="33"/>
  <c r="K2613" i="26"/>
  <c r="K2547" i="26"/>
  <c r="K1877" i="26"/>
  <c r="K1855" i="16"/>
  <c r="J760" i="13"/>
  <c r="K760" i="13"/>
  <c r="J24" i="32"/>
  <c r="K1871" i="15"/>
  <c r="J1871" i="15"/>
  <c r="K1800" i="13"/>
  <c r="K2520" i="13"/>
  <c r="H1464" i="24"/>
  <c r="H1462" i="24" s="1"/>
  <c r="G1462" i="24"/>
  <c r="E846" i="1" s="1"/>
  <c r="F846" i="1" s="1"/>
  <c r="I1462" i="24" s="1"/>
  <c r="H87" i="13"/>
  <c r="H85" i="13" s="1"/>
  <c r="G85" i="13"/>
  <c r="E299" i="1" s="1"/>
  <c r="F299" i="1" s="1"/>
  <c r="I85" i="13" s="1"/>
  <c r="G2897" i="26"/>
  <c r="H2898" i="26"/>
  <c r="I2898" i="26" s="1"/>
  <c r="J1960" i="13"/>
  <c r="K284" i="33"/>
  <c r="K849" i="15"/>
  <c r="J1895" i="16"/>
  <c r="J507" i="16"/>
  <c r="J2020" i="13"/>
  <c r="J749" i="15"/>
  <c r="J2377" i="16"/>
  <c r="J1664" i="30"/>
  <c r="J664" i="33"/>
  <c r="J2057" i="16"/>
  <c r="O797" i="2"/>
  <c r="K1468" i="32"/>
  <c r="J2578" i="16"/>
  <c r="J388" i="13"/>
  <c r="K388" i="13"/>
  <c r="J24" i="33"/>
  <c r="K1608" i="21"/>
  <c r="O10" i="4"/>
  <c r="J2197" i="26"/>
  <c r="I1029" i="15"/>
  <c r="J1029" i="15" s="1"/>
  <c r="I949" i="15"/>
  <c r="J949" i="15" s="1"/>
  <c r="H32" i="13"/>
  <c r="H24" i="13" s="1"/>
  <c r="G24" i="13"/>
  <c r="E296" i="1" s="1"/>
  <c r="F296" i="1" s="1"/>
  <c r="K2420" i="13"/>
  <c r="J184" i="16"/>
  <c r="K184" i="16"/>
  <c r="J289" i="15"/>
  <c r="K1295" i="16"/>
  <c r="K863" i="26"/>
  <c r="J863" i="26"/>
  <c r="K1364" i="30"/>
  <c r="J645" i="24"/>
  <c r="K1039" i="16"/>
  <c r="K1240" i="13"/>
  <c r="K1511" i="15"/>
  <c r="K304" i="21"/>
  <c r="J304" i="21"/>
  <c r="K1651" i="15"/>
  <c r="J244" i="11"/>
  <c r="K244" i="11"/>
  <c r="K2560" i="13"/>
  <c r="K384" i="24"/>
  <c r="J1223" i="26"/>
  <c r="K1223" i="26"/>
  <c r="K1324" i="30"/>
  <c r="J1324" i="30"/>
  <c r="J2337" i="16"/>
  <c r="J1708" i="21"/>
  <c r="K340" i="26"/>
  <c r="J340" i="26"/>
  <c r="K648" i="32"/>
  <c r="J304" i="16"/>
  <c r="H2616" i="11"/>
  <c r="H2614" i="11" s="1"/>
  <c r="G2614" i="11"/>
  <c r="E276" i="1" s="1"/>
  <c r="F276" i="1" s="1"/>
  <c r="I2614" i="11" s="1"/>
  <c r="N629" i="2"/>
  <c r="J341" i="8"/>
  <c r="K341" i="8"/>
  <c r="K1188" i="32"/>
  <c r="K1169" i="15"/>
  <c r="K221" i="8"/>
  <c r="J221" i="8"/>
  <c r="K84" i="24"/>
  <c r="I268" i="32"/>
  <c r="J268" i="32" s="1"/>
  <c r="I588" i="32"/>
  <c r="J588" i="32" s="1"/>
  <c r="K2440" i="13"/>
  <c r="K1735" i="16"/>
  <c r="K589" i="15"/>
  <c r="J319" i="26"/>
  <c r="K319" i="26"/>
  <c r="J616" i="16"/>
  <c r="K1095" i="21"/>
  <c r="K1860" i="13"/>
  <c r="K4" i="26"/>
  <c r="J4" i="26"/>
  <c r="K140" i="26"/>
  <c r="J64" i="16"/>
  <c r="K64" i="16"/>
  <c r="K324" i="16"/>
  <c r="J1556" i="26"/>
  <c r="I906" i="8"/>
  <c r="J906" i="8" s="1"/>
  <c r="F50" i="1"/>
  <c r="K1751" i="15"/>
  <c r="J784" i="21"/>
  <c r="J2760" i="13"/>
  <c r="K529" i="15"/>
  <c r="J1408" i="21"/>
  <c r="K1348" i="21"/>
  <c r="J1348" i="21"/>
  <c r="J903" i="26"/>
  <c r="K903" i="26"/>
  <c r="K779" i="16"/>
  <c r="J1844" i="30"/>
  <c r="J668" i="32"/>
  <c r="K668" i="32"/>
  <c r="J2693" i="8"/>
  <c r="K528" i="32"/>
  <c r="O465" i="2" s="1"/>
  <c r="K1704" i="30"/>
  <c r="L91" i="3"/>
  <c r="K504" i="11"/>
  <c r="J504" i="11"/>
  <c r="J184" i="24"/>
  <c r="K919" i="24"/>
  <c r="J464" i="30"/>
  <c r="J1505" i="11"/>
  <c r="K1505" i="11"/>
  <c r="I1757" i="26"/>
  <c r="J1757" i="26" s="1"/>
  <c r="F938" i="1"/>
  <c r="K609" i="15"/>
  <c r="J923" i="26"/>
  <c r="K923" i="26"/>
  <c r="K1640" i="13"/>
  <c r="J444" i="21"/>
  <c r="K444" i="21"/>
  <c r="K361" i="8"/>
  <c r="J1160" i="13"/>
  <c r="J1059" i="24"/>
  <c r="K605" i="24"/>
  <c r="K979" i="24"/>
  <c r="K1526" i="24"/>
  <c r="J1526" i="24"/>
  <c r="K939" i="16"/>
  <c r="K44" i="33"/>
  <c r="J44" i="33"/>
  <c r="K10" i="4"/>
  <c r="K2720" i="13"/>
  <c r="K960" i="13"/>
  <c r="J960" i="13"/>
  <c r="K361" i="26"/>
  <c r="J361" i="26"/>
  <c r="J1340" i="13"/>
  <c r="K928" i="32"/>
  <c r="K184" i="33"/>
  <c r="J184" i="33"/>
  <c r="K1215" i="16"/>
  <c r="K195" i="26"/>
  <c r="J195" i="26"/>
  <c r="K308" i="32"/>
  <c r="J1997" i="26"/>
  <c r="K1997" i="26"/>
  <c r="E505" i="1"/>
  <c r="F505" i="1" s="1"/>
  <c r="I1431" i="15" s="1"/>
  <c r="J1431" i="15" s="1"/>
  <c r="E474" i="1"/>
  <c r="F474" i="1" s="1"/>
  <c r="I809" i="15" s="1"/>
  <c r="J809" i="15" s="1"/>
  <c r="K84" i="30"/>
  <c r="J84" i="30"/>
  <c r="K488" i="32"/>
  <c r="J488" i="32"/>
  <c r="J768" i="32"/>
  <c r="K768" i="32"/>
  <c r="H646" i="30"/>
  <c r="H644" i="30" s="1"/>
  <c r="G644" i="30"/>
  <c r="E1046" i="1" s="1"/>
  <c r="F1046" i="1" s="1"/>
  <c r="I644" i="30" s="1"/>
  <c r="H706" i="30"/>
  <c r="H704" i="30" s="1"/>
  <c r="G704" i="30"/>
  <c r="E1049" i="1" s="1"/>
  <c r="F1049" i="1" s="1"/>
  <c r="I704" i="30" s="1"/>
  <c r="H52" i="8"/>
  <c r="H44" i="8" s="1"/>
  <c r="G44" i="8"/>
  <c r="E8" i="1" s="1"/>
  <c r="F8" i="1" s="1"/>
  <c r="J84" i="21"/>
  <c r="K84" i="21"/>
  <c r="J1263" i="26"/>
  <c r="K1263" i="26"/>
  <c r="J484" i="30"/>
  <c r="K484" i="30"/>
  <c r="I309" i="15"/>
  <c r="J309" i="15" s="1"/>
  <c r="I509" i="15"/>
  <c r="J509" i="15" s="1"/>
  <c r="H406" i="11"/>
  <c r="H404" i="11" s="1"/>
  <c r="G404" i="11"/>
  <c r="E170" i="1" s="1"/>
  <c r="F170" i="1" s="1"/>
  <c r="I404" i="11" s="1"/>
  <c r="G264" i="30"/>
  <c r="E1027" i="1" s="1"/>
  <c r="F1027" i="1" s="1"/>
  <c r="I264" i="30" s="1"/>
  <c r="H266" i="30"/>
  <c r="H264" i="30" s="1"/>
  <c r="K1433" i="26"/>
  <c r="J1433" i="26"/>
  <c r="G764" i="33"/>
  <c r="E1248" i="1" s="1"/>
  <c r="F1248" i="1" s="1"/>
  <c r="I764" i="33" s="1"/>
  <c r="H766" i="33"/>
  <c r="H764" i="33" s="1"/>
  <c r="J264" i="21"/>
  <c r="K264" i="21"/>
  <c r="J1369" i="26"/>
  <c r="K1369" i="26"/>
  <c r="J662" i="26"/>
  <c r="K662" i="26"/>
  <c r="J829" i="15"/>
  <c r="K829" i="15"/>
  <c r="J1476" i="26"/>
  <c r="K1476" i="26"/>
  <c r="H1126" i="11"/>
  <c r="H1124" i="11" s="1"/>
  <c r="G1124" i="11"/>
  <c r="E206" i="1" s="1"/>
  <c r="F206" i="1" s="1"/>
  <c r="I1124" i="11" s="1"/>
  <c r="K542" i="26"/>
  <c r="J542" i="26"/>
  <c r="I1611" i="15"/>
  <c r="J1611" i="15" s="1"/>
  <c r="I1531" i="15"/>
  <c r="J1531" i="15" s="1"/>
  <c r="K44" i="21"/>
  <c r="J44" i="21"/>
  <c r="G464" i="33"/>
  <c r="E1233" i="1" s="1"/>
  <c r="F1233" i="1" s="1"/>
  <c r="I464" i="33" s="1"/>
  <c r="H466" i="33"/>
  <c r="H464" i="33" s="1"/>
  <c r="G1064" i="11"/>
  <c r="E203" i="1" s="1"/>
  <c r="F203" i="1" s="1"/>
  <c r="I1064" i="11" s="1"/>
  <c r="H1066" i="11"/>
  <c r="H1064" i="11" s="1"/>
  <c r="G724" i="33"/>
  <c r="E1246" i="1" s="1"/>
  <c r="F1246" i="1" s="1"/>
  <c r="I724" i="33" s="1"/>
  <c r="H726" i="33"/>
  <c r="H724" i="33" s="1"/>
  <c r="K545" i="24"/>
  <c r="J545" i="24"/>
  <c r="J887" i="21"/>
  <c r="K887" i="21"/>
  <c r="G904" i="11"/>
  <c r="E195" i="1" s="1"/>
  <c r="F195" i="1" s="1"/>
  <c r="I904" i="11" s="1"/>
  <c r="H906" i="11"/>
  <c r="H904" i="11" s="1"/>
  <c r="G442" i="26"/>
  <c r="E879" i="1" s="1"/>
  <c r="F879" i="1" s="1"/>
  <c r="I442" i="26" s="1"/>
  <c r="H444" i="26"/>
  <c r="H442" i="26" s="1"/>
  <c r="J1580" i="13"/>
  <c r="O802" i="2"/>
  <c r="K1568" i="32"/>
  <c r="J2035" i="16"/>
  <c r="J1435" i="16"/>
  <c r="H32" i="24"/>
  <c r="H24" i="24" s="1"/>
  <c r="G24" i="24"/>
  <c r="E774" i="1" s="1"/>
  <c r="F774" i="1" s="1"/>
  <c r="J1284" i="30"/>
  <c r="K1284" i="30"/>
  <c r="J1748" i="21"/>
  <c r="J129" i="15"/>
  <c r="H1997" i="11"/>
  <c r="H1995" i="11" s="1"/>
  <c r="G1995" i="11"/>
  <c r="E247" i="1" s="1"/>
  <c r="F247" i="1" s="1"/>
  <c r="I1995" i="11" s="1"/>
  <c r="H1599" i="26"/>
  <c r="H1597" i="26" s="1"/>
  <c r="G1597" i="26"/>
  <c r="E936" i="1" s="1"/>
  <c r="F936" i="1" s="1"/>
  <c r="I1597" i="26" s="1"/>
  <c r="G401" i="26"/>
  <c r="E877" i="1" s="1"/>
  <c r="F877" i="1" s="1"/>
  <c r="I401" i="26" s="1"/>
  <c r="H403" i="26"/>
  <c r="H401" i="26" s="1"/>
  <c r="J1940" i="13"/>
  <c r="J204" i="11"/>
  <c r="K204" i="11"/>
  <c r="J424" i="30"/>
  <c r="K424" i="30"/>
  <c r="J943" i="26"/>
  <c r="K943" i="26"/>
  <c r="E1172" i="1"/>
  <c r="F1172" i="1" s="1"/>
  <c r="I948" i="32" s="1"/>
  <c r="J948" i="32" s="1"/>
  <c r="E1169" i="1"/>
  <c r="F1169" i="1" s="1"/>
  <c r="I888" i="32" s="1"/>
  <c r="J888" i="32" s="1"/>
  <c r="I288" i="32"/>
  <c r="J288" i="32" s="1"/>
  <c r="I608" i="32"/>
  <c r="J608" i="32" s="1"/>
  <c r="K487" i="16"/>
  <c r="J1528" i="32"/>
  <c r="J999" i="16"/>
  <c r="J404" i="24"/>
  <c r="K820" i="13"/>
  <c r="J820" i="13"/>
  <c r="J745" i="24"/>
  <c r="J1526" i="8"/>
  <c r="J408" i="32"/>
  <c r="J1695" i="16"/>
  <c r="K725" i="24"/>
  <c r="J909" i="15"/>
  <c r="K784" i="30"/>
  <c r="J784" i="30"/>
  <c r="K1668" i="21"/>
  <c r="K1408" i="32"/>
  <c r="K610" i="13"/>
  <c r="J610" i="13"/>
  <c r="J1937" i="26"/>
  <c r="K1937" i="26"/>
  <c r="J1925" i="30"/>
  <c r="J2855" i="26"/>
  <c r="J1615" i="16"/>
  <c r="J2372" i="8"/>
  <c r="J1880" i="13"/>
  <c r="J2232" i="8"/>
  <c r="J464" i="24"/>
  <c r="J799" i="16"/>
  <c r="J2040" i="13"/>
  <c r="H830" i="21"/>
  <c r="K628" i="2" s="1"/>
  <c r="G826" i="21"/>
  <c r="J64" i="24"/>
  <c r="K1571" i="24"/>
  <c r="K84" i="11"/>
  <c r="J84" i="11"/>
  <c r="J1817" i="26"/>
  <c r="J49" i="15"/>
  <c r="H6" i="11"/>
  <c r="H4" i="11" s="1"/>
  <c r="G4" i="11"/>
  <c r="E149" i="1" s="1"/>
  <c r="F149" i="1" s="1"/>
  <c r="K489" i="15"/>
  <c r="K909" i="21"/>
  <c r="J909" i="21"/>
  <c r="J708" i="32"/>
  <c r="J24" i="21"/>
  <c r="K24" i="21"/>
  <c r="J1326" i="8"/>
  <c r="L59" i="5"/>
  <c r="H1328" i="24"/>
  <c r="L628" i="2" s="1"/>
  <c r="G1324" i="24"/>
  <c r="J471" i="13"/>
  <c r="K471" i="13"/>
  <c r="K1957" i="15"/>
  <c r="K2177" i="26"/>
  <c r="K124" i="21"/>
  <c r="K809" i="15"/>
  <c r="K704" i="33"/>
  <c r="K1368" i="21"/>
  <c r="J1148" i="32"/>
  <c r="K1148" i="32"/>
  <c r="J832" i="24"/>
  <c r="K1008" i="32"/>
  <c r="J824" i="30"/>
  <c r="K824" i="30"/>
  <c r="E187" i="6"/>
  <c r="G187" i="6" s="1"/>
  <c r="G186" i="6" s="1"/>
  <c r="G184" i="6" s="1"/>
  <c r="N363" i="2" l="1"/>
  <c r="G568" i="30"/>
  <c r="N742" i="2"/>
  <c r="Q908" i="2"/>
  <c r="Q945" i="2" s="1"/>
  <c r="E827" i="33"/>
  <c r="G827" i="33" s="1"/>
  <c r="E867" i="33"/>
  <c r="G867" i="33" s="1"/>
  <c r="E847" i="33"/>
  <c r="G847" i="33" s="1"/>
  <c r="J564" i="33"/>
  <c r="K564" i="33"/>
  <c r="H2639" i="26"/>
  <c r="G2637" i="26"/>
  <c r="G2635" i="26" s="1"/>
  <c r="E988" i="1" s="1"/>
  <c r="F988" i="1" s="1"/>
  <c r="J1004" i="11"/>
  <c r="K1004" i="11"/>
  <c r="J484" i="11"/>
  <c r="K484" i="11"/>
  <c r="H383" i="26"/>
  <c r="H381" i="26" s="1"/>
  <c r="G381" i="26"/>
  <c r="E876" i="1" s="1"/>
  <c r="F876" i="1" s="1"/>
  <c r="I381" i="26" s="1"/>
  <c r="J124" i="30"/>
  <c r="K124" i="30"/>
  <c r="J464" i="11"/>
  <c r="K464" i="11"/>
  <c r="K984" i="30"/>
  <c r="K124" i="11"/>
  <c r="J984" i="30"/>
  <c r="J124" i="11"/>
  <c r="J1072" i="21"/>
  <c r="K1072" i="21"/>
  <c r="I264" i="16"/>
  <c r="J264" i="16" s="1"/>
  <c r="F552" i="1"/>
  <c r="K4" i="15"/>
  <c r="J2735" i="26"/>
  <c r="J224" i="33"/>
  <c r="K207" i="32"/>
  <c r="J124" i="33"/>
  <c r="K1290" i="15"/>
  <c r="K401" i="26"/>
  <c r="K64" i="30"/>
  <c r="K24" i="24"/>
  <c r="K304" i="11"/>
  <c r="K1597" i="26"/>
  <c r="J1597" i="26"/>
  <c r="J904" i="11"/>
  <c r="K904" i="11"/>
  <c r="H1324" i="24"/>
  <c r="H1322" i="24" s="1"/>
  <c r="G1322" i="24"/>
  <c r="E840" i="1" s="1"/>
  <c r="F840" i="1" s="1"/>
  <c r="I1322" i="24" s="1"/>
  <c r="J85" i="13"/>
  <c r="K85" i="13"/>
  <c r="J482" i="26"/>
  <c r="K482" i="26"/>
  <c r="J364" i="11"/>
  <c r="K364" i="11"/>
  <c r="J1264" i="11"/>
  <c r="K1264" i="11"/>
  <c r="K224" i="30"/>
  <c r="J224" i="30"/>
  <c r="K1064" i="30"/>
  <c r="J1064" i="30"/>
  <c r="G1604" i="30"/>
  <c r="E1094" i="1" s="1"/>
  <c r="F1094" i="1" s="1"/>
  <c r="I1604" i="30" s="1"/>
  <c r="H1606" i="30"/>
  <c r="H1604" i="30" s="1"/>
  <c r="J304" i="11"/>
  <c r="K684" i="33"/>
  <c r="J684" i="33"/>
  <c r="K1301" i="24"/>
  <c r="J1325" i="26"/>
  <c r="K1325" i="26"/>
  <c r="J127" i="13"/>
  <c r="K127" i="13"/>
  <c r="J1304" i="11"/>
  <c r="K1304" i="11"/>
  <c r="H188" i="32"/>
  <c r="H186" i="32" s="1"/>
  <c r="G186" i="32"/>
  <c r="E1134" i="1" s="1"/>
  <c r="F1134" i="1" s="1"/>
  <c r="F1124" i="1" s="1"/>
  <c r="I4" i="15"/>
  <c r="J4" i="15" s="1"/>
  <c r="F433" i="1"/>
  <c r="J964" i="11"/>
  <c r="K964" i="11"/>
  <c r="J724" i="30"/>
  <c r="K724" i="30"/>
  <c r="J164" i="33"/>
  <c r="K164" i="33"/>
  <c r="K264" i="11"/>
  <c r="J264" i="11"/>
  <c r="G84" i="8"/>
  <c r="E10" i="1" s="1"/>
  <c r="F10" i="1" s="1"/>
  <c r="I84" i="8" s="1"/>
  <c r="H86" i="8"/>
  <c r="H84" i="8" s="1"/>
  <c r="K104" i="11"/>
  <c r="J104" i="11"/>
  <c r="K504" i="33"/>
  <c r="J504" i="33"/>
  <c r="J2239" i="26"/>
  <c r="K2239" i="26"/>
  <c r="K2775" i="26"/>
  <c r="J2775" i="26"/>
  <c r="K1995" i="11"/>
  <c r="J1995" i="11"/>
  <c r="K744" i="33"/>
  <c r="J744" i="33"/>
  <c r="J1732" i="24"/>
  <c r="K1732" i="24"/>
  <c r="K44" i="8"/>
  <c r="K44" i="11"/>
  <c r="J44" i="11"/>
  <c r="K806" i="8"/>
  <c r="J806" i="8"/>
  <c r="J1412" i="24"/>
  <c r="K1412" i="24"/>
  <c r="J1484" i="11"/>
  <c r="K1484" i="11"/>
  <c r="H107" i="30"/>
  <c r="G106" i="30"/>
  <c r="K1104" i="11"/>
  <c r="J1104" i="11"/>
  <c r="J284" i="30"/>
  <c r="K284" i="30"/>
  <c r="J1436" i="24"/>
  <c r="K1436" i="24"/>
  <c r="I1188" i="32"/>
  <c r="J1188" i="32" s="1"/>
  <c r="I207" i="32"/>
  <c r="J207" i="32" s="1"/>
  <c r="J784" i="33"/>
  <c r="K784" i="33"/>
  <c r="K324" i="30"/>
  <c r="J324" i="30"/>
  <c r="K224" i="33"/>
  <c r="J2158" i="11"/>
  <c r="K2158" i="11"/>
  <c r="K244" i="30"/>
  <c r="J244" i="30"/>
  <c r="N91" i="3"/>
  <c r="I4" i="11"/>
  <c r="J4" i="11" s="1"/>
  <c r="F148" i="1"/>
  <c r="K462" i="26"/>
  <c r="J462" i="26"/>
  <c r="K4" i="11"/>
  <c r="J264" i="30"/>
  <c r="K264" i="30"/>
  <c r="K124" i="33"/>
  <c r="F1208" i="1"/>
  <c r="K1144" i="11"/>
  <c r="J1144" i="11"/>
  <c r="K664" i="30"/>
  <c r="J664" i="30"/>
  <c r="K144" i="30"/>
  <c r="J144" i="30"/>
  <c r="J2594" i="11"/>
  <c r="K2594" i="11"/>
  <c r="J64" i="11"/>
  <c r="K64" i="11"/>
  <c r="K2115" i="11"/>
  <c r="J2115" i="11"/>
  <c r="J1504" i="24"/>
  <c r="K1504" i="24"/>
  <c r="J2972" i="11"/>
  <c r="K2972" i="11"/>
  <c r="N10" i="4"/>
  <c r="J1184" i="11"/>
  <c r="K1184" i="11"/>
  <c r="K1304" i="21"/>
  <c r="J1304" i="21"/>
  <c r="J1044" i="30"/>
  <c r="K1044" i="30"/>
  <c r="J866" i="8"/>
  <c r="K866" i="8"/>
  <c r="J846" i="8"/>
  <c r="K846" i="8"/>
  <c r="I24" i="16"/>
  <c r="J24" i="16" s="1"/>
  <c r="F540" i="1"/>
  <c r="I44" i="8"/>
  <c r="J44" i="8" s="1"/>
  <c r="K1303" i="26"/>
  <c r="J1303" i="26"/>
  <c r="H826" i="21"/>
  <c r="H824" i="21" s="1"/>
  <c r="G824" i="21"/>
  <c r="E722" i="1" s="1"/>
  <c r="F722" i="1" s="1"/>
  <c r="K1124" i="11"/>
  <c r="J1124" i="11"/>
  <c r="K1462" i="24"/>
  <c r="J1462" i="24"/>
  <c r="K704" i="30"/>
  <c r="J704" i="30"/>
  <c r="I24" i="13"/>
  <c r="J24" i="13" s="1"/>
  <c r="J304" i="30"/>
  <c r="K304" i="30"/>
  <c r="K444" i="33"/>
  <c r="J444" i="33"/>
  <c r="J422" i="26"/>
  <c r="K422" i="26"/>
  <c r="J1386" i="24"/>
  <c r="K1386" i="24"/>
  <c r="J2634" i="11"/>
  <c r="K2634" i="11"/>
  <c r="J824" i="11"/>
  <c r="K824" i="11"/>
  <c r="I4" i="30"/>
  <c r="J4" i="30" s="1"/>
  <c r="K24" i="16"/>
  <c r="K2735" i="26"/>
  <c r="K2075" i="11"/>
  <c r="J2075" i="11"/>
  <c r="J604" i="33"/>
  <c r="K604" i="33"/>
  <c r="K2055" i="11"/>
  <c r="J2055" i="11"/>
  <c r="I4" i="32"/>
  <c r="J4" i="32" s="1"/>
  <c r="J1269" i="15"/>
  <c r="K1269" i="15"/>
  <c r="J2095" i="11"/>
  <c r="K2095" i="11"/>
  <c r="J324" i="11"/>
  <c r="K324" i="11"/>
  <c r="J401" i="26"/>
  <c r="K442" i="26"/>
  <c r="J442" i="26"/>
  <c r="K724" i="33"/>
  <c r="J724" i="33"/>
  <c r="J764" i="33"/>
  <c r="K764" i="33"/>
  <c r="K24" i="13"/>
  <c r="J2912" i="11"/>
  <c r="K2912" i="11"/>
  <c r="J1957" i="26"/>
  <c r="K1957" i="26"/>
  <c r="K1024" i="11"/>
  <c r="J1024" i="11"/>
  <c r="J804" i="33"/>
  <c r="K804" i="33"/>
  <c r="J624" i="30"/>
  <c r="K624" i="30"/>
  <c r="I4" i="21"/>
  <c r="J4" i="21" s="1"/>
  <c r="F679" i="1"/>
  <c r="J1024" i="30"/>
  <c r="K1024" i="30"/>
  <c r="K4" i="30"/>
  <c r="K826" i="8"/>
  <c r="J826" i="8"/>
  <c r="H1797" i="16"/>
  <c r="H1795" i="16" s="1"/>
  <c r="G1795" i="16"/>
  <c r="E632" i="1" s="1"/>
  <c r="F632" i="1" s="1"/>
  <c r="K24" i="11"/>
  <c r="J24" i="11"/>
  <c r="J1362" i="24"/>
  <c r="K1362" i="24"/>
  <c r="K106" i="13"/>
  <c r="J106" i="13"/>
  <c r="K4" i="32"/>
  <c r="J464" i="33"/>
  <c r="K464" i="33"/>
  <c r="I24" i="24"/>
  <c r="J24" i="24" s="1"/>
  <c r="F772" i="1"/>
  <c r="J404" i="11"/>
  <c r="K404" i="11"/>
  <c r="J644" i="30"/>
  <c r="K644" i="30"/>
  <c r="J2614" i="11"/>
  <c r="K2614" i="11"/>
  <c r="G2895" i="26"/>
  <c r="E1002" i="1" s="1"/>
  <c r="F1002" i="1" s="1"/>
  <c r="I2895" i="26" s="1"/>
  <c r="H2897" i="26"/>
  <c r="H2895" i="26" s="1"/>
  <c r="J64" i="30"/>
  <c r="K144" i="33"/>
  <c r="J144" i="33"/>
  <c r="K904" i="30"/>
  <c r="J904" i="30"/>
  <c r="J1244" i="11"/>
  <c r="K1244" i="11"/>
  <c r="J1044" i="11"/>
  <c r="K1044" i="11"/>
  <c r="K584" i="33"/>
  <c r="J584" i="33"/>
  <c r="K4" i="21"/>
  <c r="J1284" i="11"/>
  <c r="K1284" i="11"/>
  <c r="I277" i="26"/>
  <c r="J277" i="26" s="1"/>
  <c r="K244" i="33"/>
  <c r="J244" i="33"/>
  <c r="K2135" i="11"/>
  <c r="J2135" i="11"/>
  <c r="I409" i="15"/>
  <c r="J409" i="15" s="1"/>
  <c r="I1290" i="15"/>
  <c r="J1290" i="15" s="1"/>
  <c r="J2283" i="26"/>
  <c r="K2283" i="26"/>
  <c r="J1164" i="11"/>
  <c r="K1164" i="11"/>
  <c r="J1064" i="11"/>
  <c r="K1064" i="11"/>
  <c r="K684" i="30"/>
  <c r="J684" i="30"/>
  <c r="K2015" i="11"/>
  <c r="J2015" i="11"/>
  <c r="N59" i="5"/>
  <c r="K1482" i="24"/>
  <c r="J1482" i="24"/>
  <c r="K113" i="8"/>
  <c r="J113" i="8"/>
  <c r="I1301" i="24"/>
  <c r="J1301" i="24" s="1"/>
  <c r="J344" i="11"/>
  <c r="K344" i="11"/>
  <c r="G64" i="13"/>
  <c r="E298" i="1" s="1"/>
  <c r="F298" i="1" s="1"/>
  <c r="I64" i="13" s="1"/>
  <c r="H66" i="13"/>
  <c r="H64" i="13" s="1"/>
  <c r="K384" i="11"/>
  <c r="J384" i="11"/>
  <c r="I1591" i="15"/>
  <c r="J1591" i="15" s="1"/>
  <c r="I1511" i="15"/>
  <c r="J1511" i="15" s="1"/>
  <c r="I669" i="15"/>
  <c r="J669" i="15" s="1"/>
  <c r="I589" i="15"/>
  <c r="J589" i="15" s="1"/>
  <c r="E487" i="33"/>
  <c r="E547" i="33"/>
  <c r="G547" i="33" s="1"/>
  <c r="E527" i="33"/>
  <c r="G527" i="33" s="1"/>
  <c r="E888" i="33"/>
  <c r="G888" i="33" s="1"/>
  <c r="E2939" i="26"/>
  <c r="G2939" i="26" s="1"/>
  <c r="E2758" i="26"/>
  <c r="E2798" i="26"/>
  <c r="G2798" i="26" s="1"/>
  <c r="E2919" i="26"/>
  <c r="G2919" i="26" s="1"/>
  <c r="E2959" i="26"/>
  <c r="G2959" i="26" s="1"/>
  <c r="E3019" i="26"/>
  <c r="G3019" i="26" s="1"/>
  <c r="E2979" i="26"/>
  <c r="G2979" i="26" s="1"/>
  <c r="E3060" i="26"/>
  <c r="G3060" i="26" s="1"/>
  <c r="E2999" i="26"/>
  <c r="G2999" i="26" s="1"/>
  <c r="E3039" i="26"/>
  <c r="G3039" i="26" s="1"/>
  <c r="E588" i="11"/>
  <c r="G363" i="2" s="1"/>
  <c r="E628" i="11"/>
  <c r="G628" i="11" s="1"/>
  <c r="E708" i="11"/>
  <c r="G708" i="11" s="1"/>
  <c r="E608" i="11"/>
  <c r="G608" i="11" s="1"/>
  <c r="E688" i="11"/>
  <c r="G688" i="11" s="1"/>
  <c r="E768" i="11"/>
  <c r="G768" i="11" s="1"/>
  <c r="E668" i="11"/>
  <c r="G668" i="11" s="1"/>
  <c r="E748" i="11"/>
  <c r="G748" i="11" s="1"/>
  <c r="E788" i="11"/>
  <c r="G788" i="11" s="1"/>
  <c r="E808" i="11"/>
  <c r="G808" i="11" s="1"/>
  <c r="E648" i="11"/>
  <c r="G648" i="11" s="1"/>
  <c r="E728" i="11"/>
  <c r="G728" i="11" s="1"/>
  <c r="E1723" i="11"/>
  <c r="G1723" i="11" s="1"/>
  <c r="E1815" i="11"/>
  <c r="G1815" i="11" s="1"/>
  <c r="E1884" i="11"/>
  <c r="G1884" i="11" s="1"/>
  <c r="E1976" i="11"/>
  <c r="G1976" i="11" s="1"/>
  <c r="E1746" i="11"/>
  <c r="G1746" i="11" s="1"/>
  <c r="E1907" i="11"/>
  <c r="G1907" i="11" s="1"/>
  <c r="E1654" i="11"/>
  <c r="G1654" i="11" s="1"/>
  <c r="E1677" i="11"/>
  <c r="G1677" i="11" s="1"/>
  <c r="E1769" i="11"/>
  <c r="G1769" i="11" s="1"/>
  <c r="E1838" i="11"/>
  <c r="G1838" i="11" s="1"/>
  <c r="E1930" i="11"/>
  <c r="G1930" i="11" s="1"/>
  <c r="E1614" i="11"/>
  <c r="G1614" i="11" s="1"/>
  <c r="E1634" i="11"/>
  <c r="G1634" i="11" s="1"/>
  <c r="E1700" i="11"/>
  <c r="G1700" i="11" s="1"/>
  <c r="E1792" i="11"/>
  <c r="G1792" i="11" s="1"/>
  <c r="E1861" i="11"/>
  <c r="G1861" i="11" s="1"/>
  <c r="E1953" i="11"/>
  <c r="G1953" i="11" s="1"/>
  <c r="E2208" i="11"/>
  <c r="G2208" i="11" s="1"/>
  <c r="E2400" i="11"/>
  <c r="G2400" i="11" s="1"/>
  <c r="E2492" i="11"/>
  <c r="G2492" i="11" s="1"/>
  <c r="E2354" i="11"/>
  <c r="G2354" i="11" s="1"/>
  <c r="E2446" i="11"/>
  <c r="G2446" i="11" s="1"/>
  <c r="E2538" i="11"/>
  <c r="G2538" i="11" s="1"/>
  <c r="E2377" i="11"/>
  <c r="G2377" i="11" s="1"/>
  <c r="E2469" i="11"/>
  <c r="G2469" i="11" s="1"/>
  <c r="E2331" i="11"/>
  <c r="G2331" i="11" s="1"/>
  <c r="E2423" i="11"/>
  <c r="G2423" i="11" s="1"/>
  <c r="E2558" i="11"/>
  <c r="G2558" i="11" s="1"/>
  <c r="E2515" i="11"/>
  <c r="G2515" i="11" s="1"/>
  <c r="E2578" i="11"/>
  <c r="G2578" i="11" s="1"/>
  <c r="E2778" i="11"/>
  <c r="G2778" i="11" s="1"/>
  <c r="E2801" i="11"/>
  <c r="G2801" i="11" s="1"/>
  <c r="E2824" i="11"/>
  <c r="G2824" i="11" s="1"/>
  <c r="E2870" i="11"/>
  <c r="G2870" i="11" s="1"/>
  <c r="E2893" i="11"/>
  <c r="G2893" i="11" s="1"/>
  <c r="E2847" i="11"/>
  <c r="G2847" i="11" s="1"/>
  <c r="H568" i="30" l="1"/>
  <c r="N632" i="2" s="1"/>
  <c r="G566" i="30"/>
  <c r="P821" i="2"/>
  <c r="P363" i="2"/>
  <c r="I908" i="2"/>
  <c r="G822" i="2"/>
  <c r="G821" i="2"/>
  <c r="P509" i="2"/>
  <c r="P822" i="2"/>
  <c r="G312" i="2"/>
  <c r="G509" i="2"/>
  <c r="H2637" i="26"/>
  <c r="H2635" i="26" s="1"/>
  <c r="K2635" i="26" s="1"/>
  <c r="F860" i="1"/>
  <c r="H847" i="33"/>
  <c r="G846" i="33"/>
  <c r="H867" i="33"/>
  <c r="G866" i="33"/>
  <c r="H827" i="33"/>
  <c r="G826" i="33"/>
  <c r="P693" i="2"/>
  <c r="P312" i="2"/>
  <c r="M693" i="2"/>
  <c r="M312" i="2"/>
  <c r="G693" i="2"/>
  <c r="K381" i="26"/>
  <c r="J381" i="26"/>
  <c r="J1322" i="24"/>
  <c r="J64" i="13"/>
  <c r="F835" i="1"/>
  <c r="K824" i="21"/>
  <c r="K908" i="2" s="1"/>
  <c r="K64" i="13"/>
  <c r="H908" i="2" s="1"/>
  <c r="F294" i="1"/>
  <c r="I824" i="21"/>
  <c r="J824" i="21" s="1"/>
  <c r="F710" i="1"/>
  <c r="J84" i="8"/>
  <c r="K84" i="8"/>
  <c r="K1322" i="24"/>
  <c r="L908" i="2" s="1"/>
  <c r="G104" i="30"/>
  <c r="E1019" i="1" s="1"/>
  <c r="F1019" i="1" s="1"/>
  <c r="H106" i="30"/>
  <c r="H104" i="30" s="1"/>
  <c r="I1795" i="16"/>
  <c r="J1795" i="16" s="1"/>
  <c r="F631" i="1"/>
  <c r="K1795" i="16"/>
  <c r="J908" i="2" s="1"/>
  <c r="J1604" i="30"/>
  <c r="K1604" i="30"/>
  <c r="I2635" i="26"/>
  <c r="F949" i="1"/>
  <c r="J2895" i="26"/>
  <c r="K2895" i="26"/>
  <c r="F5" i="1"/>
  <c r="I1208" i="32"/>
  <c r="J1208" i="32" s="1"/>
  <c r="I186" i="32"/>
  <c r="J186" i="32" s="1"/>
  <c r="K186" i="32"/>
  <c r="O908" i="2" s="1"/>
  <c r="H888" i="33"/>
  <c r="G886" i="33"/>
  <c r="G526" i="33"/>
  <c r="H527" i="33"/>
  <c r="H547" i="33"/>
  <c r="G546" i="33"/>
  <c r="G487" i="33"/>
  <c r="P71" i="2"/>
  <c r="P125" i="2"/>
  <c r="P496" i="2"/>
  <c r="P12" i="3"/>
  <c r="P872" i="2"/>
  <c r="P72" i="2"/>
  <c r="P477" i="2"/>
  <c r="P545" i="2"/>
  <c r="P819" i="2"/>
  <c r="P90" i="2"/>
  <c r="P923" i="2"/>
  <c r="P730" i="2"/>
  <c r="P470" i="2"/>
  <c r="P505" i="2"/>
  <c r="P205" i="2"/>
  <c r="P275" i="2"/>
  <c r="P413" i="2"/>
  <c r="P942" i="2"/>
  <c r="P725" i="2"/>
  <c r="P861" i="2"/>
  <c r="P924" i="2"/>
  <c r="P804" i="2"/>
  <c r="P624" i="2"/>
  <c r="P459" i="2"/>
  <c r="P220" i="2"/>
  <c r="P580" i="2"/>
  <c r="P68" i="3"/>
  <c r="P182" i="2"/>
  <c r="P453" i="2"/>
  <c r="P297" i="2"/>
  <c r="P660" i="2"/>
  <c r="P131" i="2"/>
  <c r="P466" i="2"/>
  <c r="P524" i="2"/>
  <c r="P514" i="2"/>
  <c r="P928" i="2"/>
  <c r="P266" i="2"/>
  <c r="P169" i="2"/>
  <c r="P722" i="2"/>
  <c r="P89" i="3"/>
  <c r="P531" i="2"/>
  <c r="P649" i="2"/>
  <c r="P265" i="2"/>
  <c r="P198" i="2"/>
  <c r="P86" i="3"/>
  <c r="P519" i="2"/>
  <c r="P49" i="3"/>
  <c r="P5" i="2"/>
  <c r="P241" i="2"/>
  <c r="P435" i="2"/>
  <c r="P170" i="2"/>
  <c r="P825" i="2"/>
  <c r="P320" i="2"/>
  <c r="P339" i="2"/>
  <c r="P521" i="2"/>
  <c r="P807" i="2"/>
  <c r="P10" i="3"/>
  <c r="P227" i="2"/>
  <c r="P445" i="2"/>
  <c r="P12" i="2"/>
  <c r="P109" i="2"/>
  <c r="P555" i="2"/>
  <c r="P785" i="2"/>
  <c r="P80" i="2"/>
  <c r="P655" i="2"/>
  <c r="P644" i="2"/>
  <c r="P935" i="2"/>
  <c r="P837" i="2"/>
  <c r="P270" i="2"/>
  <c r="P152" i="2"/>
  <c r="P635" i="2"/>
  <c r="P684" i="2"/>
  <c r="P137" i="2"/>
  <c r="P868" i="2"/>
  <c r="P586" i="2"/>
  <c r="P211" i="2"/>
  <c r="P790" i="2"/>
  <c r="P151" i="2"/>
  <c r="P253" i="2"/>
  <c r="P432" i="2"/>
  <c r="P68" i="2"/>
  <c r="P16" i="2"/>
  <c r="P468" i="2"/>
  <c r="P290" i="2"/>
  <c r="P271" i="2"/>
  <c r="P67" i="2"/>
  <c r="P472" i="2"/>
  <c r="P242" i="2"/>
  <c r="P95" i="2"/>
  <c r="P45" i="5"/>
  <c r="P609" i="2"/>
  <c r="P471" i="2"/>
  <c r="P817" i="2"/>
  <c r="P301" i="2"/>
  <c r="P61" i="3"/>
  <c r="P67" i="3"/>
  <c r="P105" i="2"/>
  <c r="P590" i="2"/>
  <c r="P369" i="2"/>
  <c r="P936" i="2"/>
  <c r="P174" i="2"/>
  <c r="P278" i="2"/>
  <c r="P574" i="2"/>
  <c r="P166" i="2"/>
  <c r="P530" i="2"/>
  <c r="P430" i="2"/>
  <c r="P295" i="2"/>
  <c r="P642" i="2"/>
  <c r="P622" i="2"/>
  <c r="P164" i="2"/>
  <c r="P717" i="2"/>
  <c r="P501" i="2"/>
  <c r="P11" i="2"/>
  <c r="P37" i="3"/>
  <c r="P99" i="2"/>
  <c r="P934" i="2"/>
  <c r="P246" i="2"/>
  <c r="P41" i="5"/>
  <c r="P165" i="2"/>
  <c r="P749" i="2"/>
  <c r="P699" i="2"/>
  <c r="P647" i="2"/>
  <c r="P204" i="2"/>
  <c r="P40" i="5"/>
  <c r="P812" i="2"/>
  <c r="P322" i="2"/>
  <c r="P46" i="3"/>
  <c r="P673" i="2"/>
  <c r="P710" i="2"/>
  <c r="P682" i="2"/>
  <c r="P381" i="2"/>
  <c r="P199" i="2"/>
  <c r="P853" i="2"/>
  <c r="P222" i="2"/>
  <c r="P932" i="2"/>
  <c r="P22" i="2"/>
  <c r="P791" i="2"/>
  <c r="P583" i="2"/>
  <c r="P604" i="2"/>
  <c r="P657" i="2"/>
  <c r="P59" i="2"/>
  <c r="P845" i="2"/>
  <c r="P728" i="2"/>
  <c r="P469" i="2"/>
  <c r="P893" i="2"/>
  <c r="P844" i="2"/>
  <c r="P303" i="2"/>
  <c r="P495" i="2"/>
  <c r="P595" i="2"/>
  <c r="P39" i="3"/>
  <c r="P358" i="2"/>
  <c r="P619" i="2"/>
  <c r="P175" i="2"/>
  <c r="P462" i="2"/>
  <c r="P625" i="2"/>
  <c r="P364" i="2"/>
  <c r="P692" i="2"/>
  <c r="P768" i="2"/>
  <c r="P568" i="2"/>
  <c r="P136" i="2"/>
  <c r="P871" i="2"/>
  <c r="P442" i="2"/>
  <c r="P181" i="2"/>
  <c r="P485" i="2"/>
  <c r="P18" i="3"/>
  <c r="P289" i="2"/>
  <c r="P273" i="2"/>
  <c r="P351" i="2"/>
  <c r="P304" i="2"/>
  <c r="P798" i="2"/>
  <c r="P480" i="2"/>
  <c r="P255" i="2"/>
  <c r="P19" i="2"/>
  <c r="P460" i="2"/>
  <c r="P431" i="2"/>
  <c r="P634" i="2"/>
  <c r="P899" i="2"/>
  <c r="P921" i="2"/>
  <c r="P19" i="3"/>
  <c r="P685" i="2"/>
  <c r="P713" i="2"/>
  <c r="P60" i="2"/>
  <c r="P584" i="2"/>
  <c r="P55" i="3"/>
  <c r="P324" i="2"/>
  <c r="P547" i="2"/>
  <c r="P662" i="2"/>
  <c r="P13" i="3"/>
  <c r="P102" i="2"/>
  <c r="P11" i="3"/>
  <c r="P612" i="2"/>
  <c r="P839" i="2"/>
  <c r="P610" i="2"/>
  <c r="P60" i="3"/>
  <c r="P588" i="2"/>
  <c r="P832" i="2"/>
  <c r="P318" i="2"/>
  <c r="P158" i="2"/>
  <c r="P268" i="2"/>
  <c r="P41" i="3"/>
  <c r="P9" i="2"/>
  <c r="P753" i="2"/>
  <c r="P153" i="2"/>
  <c r="P236" i="2"/>
  <c r="P724" i="2"/>
  <c r="P613" i="2"/>
  <c r="P697" i="2"/>
  <c r="P741" i="2"/>
  <c r="P325" i="2"/>
  <c r="P910" i="2"/>
  <c r="P723" i="2"/>
  <c r="P944" i="2"/>
  <c r="P323" i="2"/>
  <c r="P781" i="2"/>
  <c r="P878" i="2"/>
  <c r="P544" i="2"/>
  <c r="P398" i="2"/>
  <c r="P24" i="3"/>
  <c r="P141" i="2"/>
  <c r="P444" i="2"/>
  <c r="P884" i="2"/>
  <c r="P775" i="2"/>
  <c r="P907" i="2"/>
  <c r="P621" i="2"/>
  <c r="P213" i="2"/>
  <c r="P857" i="2"/>
  <c r="P306" i="2"/>
  <c r="P302" i="2"/>
  <c r="P464" i="2"/>
  <c r="P44" i="2"/>
  <c r="P54" i="5"/>
  <c r="P688" i="2"/>
  <c r="P148" i="2"/>
  <c r="P176" i="2"/>
  <c r="P803" i="2"/>
  <c r="P450" i="2"/>
  <c r="P154" i="2"/>
  <c r="P663" i="2"/>
  <c r="P26" i="2"/>
  <c r="P286" i="2"/>
  <c r="P552" i="2"/>
  <c r="P522" i="2"/>
  <c r="P10" i="2"/>
  <c r="P86" i="2"/>
  <c r="P486" i="2"/>
  <c r="P47" i="5"/>
  <c r="P828" i="2"/>
  <c r="P894" i="2"/>
  <c r="P283" i="2"/>
  <c r="P18" i="2"/>
  <c r="P183" i="2"/>
  <c r="P479" i="2"/>
  <c r="P618" i="2"/>
  <c r="P124" i="2"/>
  <c r="P576" i="2"/>
  <c r="P834" i="2"/>
  <c r="P6" i="3"/>
  <c r="P352" i="2"/>
  <c r="P39" i="2"/>
  <c r="P387" i="2"/>
  <c r="P7" i="4"/>
  <c r="P110" i="2"/>
  <c r="P600" i="2"/>
  <c r="P53" i="3"/>
  <c r="P372" i="2"/>
  <c r="P150" i="2"/>
  <c r="P695" i="2"/>
  <c r="P912" i="2"/>
  <c r="P33" i="5"/>
  <c r="P709" i="2"/>
  <c r="P628" i="2"/>
  <c r="P409" i="2"/>
  <c r="P841" i="2"/>
  <c r="P869" i="2"/>
  <c r="P140" i="2"/>
  <c r="P873" i="2"/>
  <c r="P784" i="2"/>
  <c r="P654" i="2"/>
  <c r="P51" i="3"/>
  <c r="P611" i="2"/>
  <c r="P941" i="2"/>
  <c r="P267" i="2"/>
  <c r="P766" i="2"/>
  <c r="P58" i="3"/>
  <c r="P79" i="3"/>
  <c r="P373" i="2"/>
  <c r="P401" i="2"/>
  <c r="P66" i="3"/>
  <c r="P897" i="2"/>
  <c r="P593" i="2"/>
  <c r="P139" i="2"/>
  <c r="P891" i="2"/>
  <c r="P134" i="2"/>
  <c r="P434" i="2"/>
  <c r="P860" i="2"/>
  <c r="P751" i="2"/>
  <c r="P922" i="2"/>
  <c r="P415" i="2"/>
  <c r="P645" i="2"/>
  <c r="P646" i="2"/>
  <c r="P119" i="2"/>
  <c r="P52" i="3"/>
  <c r="P846" i="2"/>
  <c r="P482" i="2"/>
  <c r="P569" i="2"/>
  <c r="P704" i="2"/>
  <c r="P129" i="2"/>
  <c r="P573" i="2"/>
  <c r="P116" i="2"/>
  <c r="P420" i="2"/>
  <c r="P43" i="2"/>
  <c r="P802" i="2"/>
  <c r="P589" i="2"/>
  <c r="P173" i="2"/>
  <c r="P455" i="2"/>
  <c r="P529" i="2"/>
  <c r="P641" i="2"/>
  <c r="P418" i="2"/>
  <c r="P412" i="2"/>
  <c r="P42" i="5"/>
  <c r="P762" i="2"/>
  <c r="P296" i="2"/>
  <c r="P473" i="2"/>
  <c r="P701" i="2"/>
  <c r="P377" i="2"/>
  <c r="P228" i="2"/>
  <c r="P843" i="2"/>
  <c r="P15" i="2"/>
  <c r="P294" i="2"/>
  <c r="P488" i="2"/>
  <c r="P247" i="2"/>
  <c r="P487" i="2"/>
  <c r="P342" i="2"/>
  <c r="P605" i="2"/>
  <c r="P96" i="2"/>
  <c r="P570" i="2"/>
  <c r="P113" i="2"/>
  <c r="P343" i="2"/>
  <c r="P782" i="2"/>
  <c r="P665" i="2"/>
  <c r="P404" i="2"/>
  <c r="P602" i="2"/>
  <c r="P44" i="3"/>
  <c r="P823" i="2"/>
  <c r="P633" i="2"/>
  <c r="P559" i="2"/>
  <c r="P865" i="2"/>
  <c r="P171" i="2"/>
  <c r="P355" i="2"/>
  <c r="P98" i="2"/>
  <c r="P69" i="3"/>
  <c r="P375" i="2"/>
  <c r="P719" i="2"/>
  <c r="P245" i="2"/>
  <c r="P683" i="2"/>
  <c r="P419" i="2"/>
  <c r="P870" i="2"/>
  <c r="P651" i="2"/>
  <c r="P862" i="2"/>
  <c r="P195" i="2"/>
  <c r="P108" i="2"/>
  <c r="P53" i="2"/>
  <c r="P553" i="2"/>
  <c r="P138" i="2"/>
  <c r="P353" i="2"/>
  <c r="P346" i="2"/>
  <c r="P905" i="2"/>
  <c r="P484" i="2"/>
  <c r="P293" i="2"/>
  <c r="P226" i="2"/>
  <c r="P126" i="2"/>
  <c r="P54" i="3"/>
  <c r="P329" i="2"/>
  <c r="P120" i="2"/>
  <c r="P711" i="2"/>
  <c r="P73" i="2"/>
  <c r="P481" i="2"/>
  <c r="P74" i="2"/>
  <c r="P494" i="2"/>
  <c r="P658" i="2"/>
  <c r="P696" i="2"/>
  <c r="P291" i="2"/>
  <c r="P527" i="2"/>
  <c r="P900" i="2"/>
  <c r="P313" i="2"/>
  <c r="P882" i="2"/>
  <c r="P14" i="2"/>
  <c r="P451" i="2"/>
  <c r="P926" i="2"/>
  <c r="P49" i="2"/>
  <c r="P82" i="2"/>
  <c r="P122" i="2"/>
  <c r="P17" i="2"/>
  <c r="P476" i="2"/>
  <c r="P880" i="2"/>
  <c r="P458" i="2"/>
  <c r="P334" i="2"/>
  <c r="P916" i="2"/>
  <c r="P371" i="2"/>
  <c r="P417" i="2"/>
  <c r="P918" i="2"/>
  <c r="P389" i="2"/>
  <c r="P20" i="3"/>
  <c r="P194" i="2"/>
  <c r="P866" i="2"/>
  <c r="P533" i="2"/>
  <c r="P515" i="2"/>
  <c r="P326" i="2"/>
  <c r="P73" i="3"/>
  <c r="P848" i="2"/>
  <c r="P831" i="2"/>
  <c r="P548" i="2"/>
  <c r="P64" i="3"/>
  <c r="P259" i="2"/>
  <c r="P826" i="2"/>
  <c r="P142" i="2"/>
  <c r="P652" i="2"/>
  <c r="P14" i="3"/>
  <c r="P45" i="2"/>
  <c r="P76" i="3"/>
  <c r="P636" i="2"/>
  <c r="P244" i="2"/>
  <c r="P847" i="2"/>
  <c r="P643" i="2"/>
  <c r="P21" i="3"/>
  <c r="P427" i="2"/>
  <c r="P63" i="2"/>
  <c r="P107" i="2"/>
  <c r="P356" i="2"/>
  <c r="P734" i="2"/>
  <c r="P378" i="2"/>
  <c r="P755" i="2"/>
  <c r="P550" i="2"/>
  <c r="P281" i="2"/>
  <c r="P243" i="2"/>
  <c r="P32" i="3"/>
  <c r="P783" i="2"/>
  <c r="P180" i="2"/>
  <c r="P330" i="2"/>
  <c r="P114" i="2"/>
  <c r="P686" i="2"/>
  <c r="P437" i="2"/>
  <c r="P101" i="2"/>
  <c r="P890" i="2"/>
  <c r="P66" i="2"/>
  <c r="P489" i="2"/>
  <c r="P836" i="2"/>
  <c r="P666" i="2"/>
  <c r="P801" i="2"/>
  <c r="P20" i="2"/>
  <c r="P943" i="2"/>
  <c r="P308" i="2"/>
  <c r="P638" i="2"/>
  <c r="P17" i="3"/>
  <c r="P127" i="2"/>
  <c r="P474" i="2"/>
  <c r="P128" i="2"/>
  <c r="P461" i="2"/>
  <c r="P627" i="2"/>
  <c r="P85" i="3"/>
  <c r="P914" i="2"/>
  <c r="P57" i="2"/>
  <c r="P614" i="2"/>
  <c r="P232" i="2"/>
  <c r="P939" i="2"/>
  <c r="P121" i="2"/>
  <c r="P456" i="2"/>
  <c r="P405" i="2"/>
  <c r="P670" i="2"/>
  <c r="P796" i="2"/>
  <c r="P805" i="2"/>
  <c r="P733" i="2"/>
  <c r="P123" i="2"/>
  <c r="P475" i="2"/>
  <c r="P806" i="2"/>
  <c r="P452" i="2"/>
  <c r="P57" i="5"/>
  <c r="P319" i="2"/>
  <c r="P6" i="4"/>
  <c r="P257" i="2"/>
  <c r="P146" i="2"/>
  <c r="P71" i="3"/>
  <c r="P34" i="5"/>
  <c r="P788" i="2"/>
  <c r="P539" i="2"/>
  <c r="P50" i="2"/>
  <c r="P842" i="2"/>
  <c r="P754" i="2"/>
  <c r="P410" i="2"/>
  <c r="P331" i="2"/>
  <c r="P56" i="3"/>
  <c r="P911" i="2"/>
  <c r="P42" i="3"/>
  <c r="P403" i="2"/>
  <c r="P689" i="2"/>
  <c r="P41" i="2"/>
  <c r="P380" i="2"/>
  <c r="P606" i="2"/>
  <c r="P285" i="2"/>
  <c r="P385" i="2"/>
  <c r="P59" i="3"/>
  <c r="P264" i="2"/>
  <c r="P671" i="2"/>
  <c r="P26" i="3"/>
  <c r="P112" i="2"/>
  <c r="P896" i="2"/>
  <c r="P536" i="2"/>
  <c r="P578" i="2"/>
  <c r="P397" i="2"/>
  <c r="P354" i="2"/>
  <c r="P36" i="2"/>
  <c r="P321" i="2"/>
  <c r="P359" i="2"/>
  <c r="P648" i="2"/>
  <c r="P438" i="2"/>
  <c r="P809" i="2"/>
  <c r="P103" i="2"/>
  <c r="P192" i="2"/>
  <c r="P104" i="2"/>
  <c r="P599" i="2"/>
  <c r="P34" i="2"/>
  <c r="P429" i="2"/>
  <c r="P440" i="2"/>
  <c r="P274" i="2"/>
  <c r="P333" i="2"/>
  <c r="P395" i="2"/>
  <c r="P800" i="2"/>
  <c r="P130" i="2"/>
  <c r="P457" i="2"/>
  <c r="P664" i="2"/>
  <c r="P814" i="2"/>
  <c r="P608" i="2"/>
  <c r="P483" i="2"/>
  <c r="P42" i="2"/>
  <c r="P840" i="2"/>
  <c r="P6" i="2"/>
  <c r="P794" i="2"/>
  <c r="P13" i="2"/>
  <c r="P454" i="2"/>
  <c r="P21" i="2"/>
  <c r="P575" i="2"/>
  <c r="P582" i="2"/>
  <c r="P758" i="2"/>
  <c r="P92" i="2"/>
  <c r="P855" i="2"/>
  <c r="P538" i="2"/>
  <c r="P913" i="2"/>
  <c r="P797" i="2"/>
  <c r="P623" i="2"/>
  <c r="P463" i="2"/>
  <c r="P35" i="3"/>
  <c r="P337" i="2"/>
  <c r="P793" i="2"/>
  <c r="P799" i="2"/>
  <c r="P478" i="2"/>
  <c r="P493" i="2"/>
  <c r="P467" i="2"/>
  <c r="P906" i="2"/>
  <c r="P465" i="2"/>
  <c r="P850" i="2"/>
  <c r="P562" i="2"/>
  <c r="P881" i="2"/>
  <c r="P765" i="2"/>
  <c r="P532" i="2"/>
  <c r="P218" i="2"/>
  <c r="P8" i="3"/>
  <c r="P761" i="2"/>
  <c r="P838" i="2"/>
  <c r="P707" i="2"/>
  <c r="P5" i="4"/>
  <c r="P224" i="2"/>
  <c r="P310" i="2"/>
  <c r="P528" i="2"/>
  <c r="P856" i="2"/>
  <c r="P567" i="2"/>
  <c r="P25" i="3"/>
  <c r="P938" i="2"/>
  <c r="P212" i="2"/>
  <c r="P135" i="2"/>
  <c r="P877" i="2"/>
  <c r="P678" i="2"/>
  <c r="P669" i="2"/>
  <c r="P70" i="3"/>
  <c r="P80" i="3"/>
  <c r="P157" i="2"/>
  <c r="P940" i="2"/>
  <c r="P888" i="2"/>
  <c r="P816" i="2"/>
  <c r="P772" i="2"/>
  <c r="P223" i="2"/>
  <c r="P22" i="3"/>
  <c r="P366" i="2"/>
  <c r="P752" i="2"/>
  <c r="P392" i="2"/>
  <c r="P691" i="2"/>
  <c r="P858" i="2"/>
  <c r="P34" i="3"/>
  <c r="P79" i="2"/>
  <c r="P439" i="2"/>
  <c r="P543" i="2"/>
  <c r="P305" i="2"/>
  <c r="P411" i="2"/>
  <c r="P433" i="2"/>
  <c r="P40" i="2"/>
  <c r="P423" i="2"/>
  <c r="P757" i="2"/>
  <c r="P542" i="2"/>
  <c r="P221" i="2"/>
  <c r="P43" i="5"/>
  <c r="P603" i="2"/>
  <c r="P36" i="5"/>
  <c r="P193" i="2"/>
  <c r="P827" i="2"/>
  <c r="P516" i="2"/>
  <c r="P551" i="2"/>
  <c r="P572" i="2"/>
  <c r="P406" i="2"/>
  <c r="P340" i="2"/>
  <c r="P29" i="2"/>
  <c r="P925" i="2"/>
  <c r="P23" i="3"/>
  <c r="P904" i="2"/>
  <c r="P867" i="2"/>
  <c r="P561" i="2"/>
  <c r="P335" i="2"/>
  <c r="P33" i="3"/>
  <c r="P523" i="2"/>
  <c r="P15" i="3"/>
  <c r="P357" i="2"/>
  <c r="P915" i="2"/>
  <c r="P27" i="2"/>
  <c r="P892" i="2"/>
  <c r="P760" i="2"/>
  <c r="P703" i="2"/>
  <c r="P29" i="3"/>
  <c r="P446" i="2"/>
  <c r="P808" i="2"/>
  <c r="P777" i="2"/>
  <c r="P72" i="3"/>
  <c r="P852" i="2"/>
  <c r="P196" i="2"/>
  <c r="P298" i="2"/>
  <c r="P726" i="2"/>
  <c r="P930" i="2"/>
  <c r="P448" i="2"/>
  <c r="P507" i="2"/>
  <c r="P162" i="2"/>
  <c r="P737" i="2"/>
  <c r="P675" i="2"/>
  <c r="P179" i="2"/>
  <c r="P44" i="5"/>
  <c r="P835" i="2"/>
  <c r="P75" i="3"/>
  <c r="P78" i="3"/>
  <c r="P210" i="2"/>
  <c r="P616" i="2"/>
  <c r="P721" i="2"/>
  <c r="P937" i="2"/>
  <c r="P449" i="2"/>
  <c r="P235" i="2"/>
  <c r="P594" i="2"/>
  <c r="P90" i="3"/>
  <c r="P58" i="2"/>
  <c r="P361" i="2"/>
  <c r="P379" i="2"/>
  <c r="P571" i="2"/>
  <c r="P83" i="3"/>
  <c r="P30" i="3"/>
  <c r="P764" i="2"/>
  <c r="P258" i="2"/>
  <c r="P769" i="2"/>
  <c r="P391" i="2"/>
  <c r="P167" i="2"/>
  <c r="P279" i="2"/>
  <c r="P51" i="2"/>
  <c r="P327" i="2"/>
  <c r="P54" i="2"/>
  <c r="P88" i="2"/>
  <c r="P779" i="2"/>
  <c r="P889" i="2"/>
  <c r="P876" i="2"/>
  <c r="P818" i="2"/>
  <c r="P77" i="3"/>
  <c r="P117" i="2"/>
  <c r="P632" i="2"/>
  <c r="P390" i="2"/>
  <c r="P7" i="3"/>
  <c r="P690" i="2"/>
  <c r="P91" i="2"/>
  <c r="P28" i="3"/>
  <c r="P51" i="5"/>
  <c r="P65" i="2"/>
  <c r="P748" i="2"/>
  <c r="P745" i="2"/>
  <c r="P672" i="2"/>
  <c r="P490" i="2"/>
  <c r="P681" i="2"/>
  <c r="P820" i="2"/>
  <c r="P100" i="2"/>
  <c r="P500" i="2"/>
  <c r="P186" i="2"/>
  <c r="P732" i="2"/>
  <c r="P738" i="2"/>
  <c r="P540" i="2"/>
  <c r="P69" i="2"/>
  <c r="P735" i="2"/>
  <c r="P740" i="2"/>
  <c r="P563" i="2"/>
  <c r="P525" i="2"/>
  <c r="P38" i="5"/>
  <c r="P38" i="3"/>
  <c r="P886" i="2"/>
  <c r="P46" i="2"/>
  <c r="P143" i="2"/>
  <c r="P50" i="3"/>
  <c r="P84" i="3"/>
  <c r="P778" i="2"/>
  <c r="P763" i="2"/>
  <c r="P564" i="2"/>
  <c r="P557" i="2"/>
  <c r="P714" i="2"/>
  <c r="P383" i="2"/>
  <c r="P16" i="3"/>
  <c r="P659" i="2"/>
  <c r="P526" i="2"/>
  <c r="P38" i="2"/>
  <c r="P382" i="2"/>
  <c r="P534" i="2"/>
  <c r="P63" i="3"/>
  <c r="P208" i="2"/>
  <c r="P901" i="2"/>
  <c r="P399" i="2"/>
  <c r="P597" i="2"/>
  <c r="P231" i="2"/>
  <c r="P698" i="2"/>
  <c r="P35" i="5"/>
  <c r="P786" i="2"/>
  <c r="P76" i="2"/>
  <c r="P815" i="2"/>
  <c r="P52" i="5"/>
  <c r="P81" i="2"/>
  <c r="P292" i="2"/>
  <c r="P288" i="2"/>
  <c r="P316" i="2"/>
  <c r="P376" i="2"/>
  <c r="P28" i="2"/>
  <c r="P556" i="2"/>
  <c r="P317" i="2"/>
  <c r="P933" i="2"/>
  <c r="P863" i="2"/>
  <c r="P917" i="2"/>
  <c r="P168" i="2"/>
  <c r="P491" i="2"/>
  <c r="P502" i="2"/>
  <c r="P237" i="2"/>
  <c r="P189" i="2"/>
  <c r="P795" i="2"/>
  <c r="P715" i="2"/>
  <c r="P184" i="2"/>
  <c r="P736" i="2"/>
  <c r="P185" i="2"/>
  <c r="P57" i="3"/>
  <c r="P919" i="2"/>
  <c r="P747" i="2"/>
  <c r="P596" i="2"/>
  <c r="P813" i="2"/>
  <c r="P172" i="2"/>
  <c r="P428" i="2"/>
  <c r="P393" i="2"/>
  <c r="P656" i="2"/>
  <c r="P83" i="2"/>
  <c r="P667" i="2"/>
  <c r="P577" i="2"/>
  <c r="P315" i="2"/>
  <c r="P81" i="3"/>
  <c r="P367" i="2"/>
  <c r="P115" i="2"/>
  <c r="P365" i="2"/>
  <c r="P700" i="2"/>
  <c r="P217" i="2"/>
  <c r="P256" i="2"/>
  <c r="P88" i="3"/>
  <c r="P203" i="2"/>
  <c r="P883" i="2"/>
  <c r="P443" i="2"/>
  <c r="P202" i="2"/>
  <c r="P626" i="2"/>
  <c r="P248" i="2"/>
  <c r="P639" i="2"/>
  <c r="P615" i="2"/>
  <c r="P219" i="2"/>
  <c r="P31" i="2"/>
  <c r="P771" i="2"/>
  <c r="P350" i="2"/>
  <c r="P287" i="2"/>
  <c r="P400" i="2"/>
  <c r="P875" i="2"/>
  <c r="P144" i="2"/>
  <c r="P720" i="2"/>
  <c r="P927" i="2"/>
  <c r="P9" i="4"/>
  <c r="P149" i="2"/>
  <c r="P187" i="2"/>
  <c r="P311" i="2"/>
  <c r="P229" i="2"/>
  <c r="P743" i="2"/>
  <c r="P31" i="3"/>
  <c r="P280" i="2"/>
  <c r="P503" i="2"/>
  <c r="P384" i="2"/>
  <c r="P508" i="2"/>
  <c r="P191" i="2"/>
  <c r="P854" i="2"/>
  <c r="P159" i="2"/>
  <c r="P513" i="2"/>
  <c r="P677" i="2"/>
  <c r="P447" i="2"/>
  <c r="P177" i="2"/>
  <c r="P314" i="2"/>
  <c r="P581" i="2"/>
  <c r="P206" i="2"/>
  <c r="P640" i="2"/>
  <c r="P349" i="2"/>
  <c r="P225" i="2"/>
  <c r="P25" i="2"/>
  <c r="P909" i="2"/>
  <c r="P216" i="2"/>
  <c r="P560" i="2"/>
  <c r="P789" i="2"/>
  <c r="P436" i="2"/>
  <c r="P249" i="2"/>
  <c r="P579" i="2"/>
  <c r="P370" i="2"/>
  <c r="P874" i="2"/>
  <c r="P518" i="2"/>
  <c r="P566" i="2"/>
  <c r="P565" i="2"/>
  <c r="P261" i="2"/>
  <c r="P388" i="2"/>
  <c r="P37" i="5"/>
  <c r="P27" i="3"/>
  <c r="P200" i="2"/>
  <c r="P811" i="2"/>
  <c r="P111" i="2"/>
  <c r="P254" i="2"/>
  <c r="P45" i="3"/>
  <c r="P718" i="2"/>
  <c r="P47" i="2"/>
  <c r="P687" i="2"/>
  <c r="P931" i="2"/>
  <c r="P43" i="3"/>
  <c r="P705" i="2"/>
  <c r="P537" i="2"/>
  <c r="P87" i="3"/>
  <c r="P5" i="3"/>
  <c r="P558" i="2"/>
  <c r="P864" i="2"/>
  <c r="P414" i="2"/>
  <c r="P824" i="2"/>
  <c r="P712" i="2"/>
  <c r="P770" i="2"/>
  <c r="P132" i="2"/>
  <c r="P424" i="2"/>
  <c r="P492" i="2"/>
  <c r="P504" i="2"/>
  <c r="P498" i="2"/>
  <c r="P787" i="2"/>
  <c r="P282" i="2"/>
  <c r="P214" i="2"/>
  <c r="P903" i="2"/>
  <c r="P739" i="2"/>
  <c r="P902" i="2"/>
  <c r="P238" i="2"/>
  <c r="P394" i="2"/>
  <c r="P774" i="2"/>
  <c r="P360" i="2"/>
  <c r="P425" i="2"/>
  <c r="P879" i="2"/>
  <c r="P546" i="2"/>
  <c r="P36" i="3"/>
  <c r="P520" i="2"/>
  <c r="P89" i="2"/>
  <c r="P147" i="2"/>
  <c r="P284" i="2"/>
  <c r="P277" i="2"/>
  <c r="P7" i="2"/>
  <c r="P239" i="2"/>
  <c r="P145" i="2"/>
  <c r="P630" i="2"/>
  <c r="P742" i="2"/>
  <c r="P75" i="2"/>
  <c r="P549" i="2"/>
  <c r="P585" i="2"/>
  <c r="P920" i="2"/>
  <c r="P106" i="2"/>
  <c r="P55" i="2"/>
  <c r="P197" i="2"/>
  <c r="P230" i="2"/>
  <c r="P661" i="2"/>
  <c r="P750" i="2"/>
  <c r="P341" i="2"/>
  <c r="P35" i="2"/>
  <c r="P332" i="2"/>
  <c r="P276" i="2"/>
  <c r="P74" i="3"/>
  <c r="P885" i="2"/>
  <c r="P209" i="2"/>
  <c r="P8" i="4"/>
  <c r="P233" i="2"/>
  <c r="P118" i="2"/>
  <c r="P631" i="2"/>
  <c r="P40" i="3"/>
  <c r="P759" i="2"/>
  <c r="P58" i="5"/>
  <c r="P56" i="5"/>
  <c r="P61" i="2"/>
  <c r="P62" i="3"/>
  <c r="P694" i="2"/>
  <c r="P368" i="2"/>
  <c r="P601" i="2"/>
  <c r="P674" i="2"/>
  <c r="P48" i="3"/>
  <c r="P84" i="2"/>
  <c r="P773" i="2"/>
  <c r="P93" i="2"/>
  <c r="P776" i="2"/>
  <c r="P300" i="2"/>
  <c r="P617" i="2"/>
  <c r="P161" i="2"/>
  <c r="P190" i="2"/>
  <c r="P299" i="2"/>
  <c r="P680" i="2"/>
  <c r="P598" i="2"/>
  <c r="P87" i="2"/>
  <c r="P422" i="2"/>
  <c r="P234" i="2"/>
  <c r="P833" i="2"/>
  <c r="P895" i="2"/>
  <c r="P262" i="2"/>
  <c r="P62" i="2"/>
  <c r="P731" i="2"/>
  <c r="P47" i="3"/>
  <c r="P78" i="2"/>
  <c r="P32" i="2"/>
  <c r="P898" i="2"/>
  <c r="P201" i="2"/>
  <c r="P307" i="2"/>
  <c r="P637" i="2"/>
  <c r="P362" i="2"/>
  <c r="P706" i="2"/>
  <c r="P269" i="2"/>
  <c r="P810" i="2"/>
  <c r="P851" i="2"/>
  <c r="P386" i="2"/>
  <c r="P702" i="2"/>
  <c r="P620" i="2"/>
  <c r="P780" i="2"/>
  <c r="P336" i="2"/>
  <c r="P23" i="2"/>
  <c r="P650" i="2"/>
  <c r="P441" i="2"/>
  <c r="P587" i="2"/>
  <c r="P374" i="2"/>
  <c r="P347" i="2"/>
  <c r="P554" i="2"/>
  <c r="P48" i="5"/>
  <c r="P30" i="2"/>
  <c r="P716" i="2"/>
  <c r="P408" i="2"/>
  <c r="P535" i="2"/>
  <c r="P829" i="2"/>
  <c r="P263" i="2"/>
  <c r="P260" i="2"/>
  <c r="P37" i="2"/>
  <c r="P348" i="2"/>
  <c r="P24" i="2"/>
  <c r="P82" i="3"/>
  <c r="P53" i="5"/>
  <c r="P39" i="5"/>
  <c r="P52" i="2"/>
  <c r="P396" i="2"/>
  <c r="P849" i="2"/>
  <c r="P511" i="2"/>
  <c r="P416" i="2"/>
  <c r="P512" i="2"/>
  <c r="P163" i="2"/>
  <c r="P506" i="2"/>
  <c r="P729" i="2"/>
  <c r="P160" i="2"/>
  <c r="P499" i="2"/>
  <c r="P510" i="2"/>
  <c r="P50" i="5"/>
  <c r="P744" i="2"/>
  <c r="P94" i="2"/>
  <c r="P767" i="2"/>
  <c r="P309" i="2"/>
  <c r="P251" i="2"/>
  <c r="P9" i="3"/>
  <c r="P792" i="2"/>
  <c r="P252" i="2"/>
  <c r="P746" i="2"/>
  <c r="P215" i="2"/>
  <c r="P33" i="2"/>
  <c r="P653" i="2"/>
  <c r="P421" i="2"/>
  <c r="P77" i="2"/>
  <c r="P344" i="2"/>
  <c r="P250" i="2"/>
  <c r="P591" i="2"/>
  <c r="P407" i="2"/>
  <c r="P240" i="2"/>
  <c r="P607" i="2"/>
  <c r="P426" i="2"/>
  <c r="P97" i="2"/>
  <c r="P272" i="2"/>
  <c r="P55" i="5"/>
  <c r="P328" i="2"/>
  <c r="P48" i="2"/>
  <c r="P338" i="2"/>
  <c r="P156" i="2"/>
  <c r="P859" i="2"/>
  <c r="P592" i="2"/>
  <c r="P830" i="2"/>
  <c r="P708" i="2"/>
  <c r="P56" i="2"/>
  <c r="P756" i="2"/>
  <c r="P541" i="2"/>
  <c r="P65" i="3"/>
  <c r="P155" i="2"/>
  <c r="P402" i="2"/>
  <c r="P887" i="2"/>
  <c r="P517" i="2"/>
  <c r="P46" i="5"/>
  <c r="P133" i="2"/>
  <c r="P207" i="2"/>
  <c r="P8" i="2"/>
  <c r="P668" i="2"/>
  <c r="P49" i="5"/>
  <c r="P70" i="2"/>
  <c r="P497" i="2"/>
  <c r="P85" i="2"/>
  <c r="P676" i="2"/>
  <c r="P64" i="2"/>
  <c r="P929" i="2"/>
  <c r="P178" i="2"/>
  <c r="P188" i="2"/>
  <c r="P727" i="2"/>
  <c r="P679" i="2"/>
  <c r="P629" i="2"/>
  <c r="H3060" i="26"/>
  <c r="G3058" i="26"/>
  <c r="H2979" i="26"/>
  <c r="G2977" i="26"/>
  <c r="H3019" i="26"/>
  <c r="G3017" i="26"/>
  <c r="H2959" i="26"/>
  <c r="G2957" i="26"/>
  <c r="H2919" i="26"/>
  <c r="G2917" i="26"/>
  <c r="G2797" i="26"/>
  <c r="H2798" i="26"/>
  <c r="H3039" i="26"/>
  <c r="G3037" i="26"/>
  <c r="G2758" i="26"/>
  <c r="M67" i="2"/>
  <c r="M72" i="2"/>
  <c r="M797" i="2"/>
  <c r="M302" i="2"/>
  <c r="M183" i="2"/>
  <c r="M17" i="2"/>
  <c r="M717" i="2"/>
  <c r="M20" i="2"/>
  <c r="M175" i="2"/>
  <c r="M417" i="2"/>
  <c r="M153" i="2"/>
  <c r="M496" i="2"/>
  <c r="M321" i="2"/>
  <c r="M465" i="2"/>
  <c r="M30" i="2"/>
  <c r="M464" i="2"/>
  <c r="M603" i="2"/>
  <c r="M481" i="2"/>
  <c r="M439" i="2"/>
  <c r="M760" i="2"/>
  <c r="M392" i="2"/>
  <c r="M367" i="2"/>
  <c r="M452" i="2"/>
  <c r="M27" i="3"/>
  <c r="M494" i="2"/>
  <c r="M834" i="2"/>
  <c r="M340" i="2"/>
  <c r="M607" i="2"/>
  <c r="M14" i="3"/>
  <c r="M234" i="2"/>
  <c r="M594" i="2"/>
  <c r="M50" i="2"/>
  <c r="M839" i="2"/>
  <c r="M721" i="2"/>
  <c r="M55" i="3"/>
  <c r="M552" i="2"/>
  <c r="M703" i="2"/>
  <c r="M256" i="2"/>
  <c r="M58" i="2"/>
  <c r="M268" i="2"/>
  <c r="M327" i="2"/>
  <c r="M62" i="2"/>
  <c r="M936" i="2"/>
  <c r="M306" i="2"/>
  <c r="M152" i="2"/>
  <c r="M869" i="2"/>
  <c r="M144" i="2"/>
  <c r="M167" i="2"/>
  <c r="M211" i="2"/>
  <c r="M325" i="2"/>
  <c r="M54" i="5"/>
  <c r="M323" i="2"/>
  <c r="M56" i="5"/>
  <c r="M215" i="2"/>
  <c r="M222" i="2"/>
  <c r="M824" i="2"/>
  <c r="M775" i="2"/>
  <c r="M599" i="2"/>
  <c r="M375" i="2"/>
  <c r="M763" i="2"/>
  <c r="M143" i="2"/>
  <c r="M547" i="2"/>
  <c r="M517" i="2"/>
  <c r="M690" i="2"/>
  <c r="M537" i="2"/>
  <c r="M409" i="2"/>
  <c r="M944" i="2"/>
  <c r="M823" i="2"/>
  <c r="M393" i="2"/>
  <c r="M116" i="2"/>
  <c r="M324" i="2"/>
  <c r="M532" i="2"/>
  <c r="M782" i="2"/>
  <c r="M888" i="2"/>
  <c r="M813" i="2"/>
  <c r="M762" i="2"/>
  <c r="M557" i="2"/>
  <c r="M931" i="2"/>
  <c r="M815" i="2"/>
  <c r="M216" i="2"/>
  <c r="M131" i="2"/>
  <c r="M845" i="2"/>
  <c r="M608" i="2"/>
  <c r="M129" i="2"/>
  <c r="M294" i="2"/>
  <c r="M19" i="2"/>
  <c r="M123" i="2"/>
  <c r="M477" i="2"/>
  <c r="M133" i="2"/>
  <c r="M58" i="3"/>
  <c r="M471" i="2"/>
  <c r="M35" i="3"/>
  <c r="M461" i="2"/>
  <c r="M935" i="2"/>
  <c r="M466" i="2"/>
  <c r="M373" i="2"/>
  <c r="M489" i="2"/>
  <c r="M434" i="2"/>
  <c r="M67" i="3"/>
  <c r="M21" i="3"/>
  <c r="M817" i="2"/>
  <c r="M470" i="2"/>
  <c r="M705" i="2"/>
  <c r="M460" i="2"/>
  <c r="M723" i="2"/>
  <c r="M827" i="2"/>
  <c r="M284" i="2"/>
  <c r="M526" i="2"/>
  <c r="M9" i="2"/>
  <c r="M60" i="2"/>
  <c r="M877" i="2"/>
  <c r="M900" i="2"/>
  <c r="M227" i="2"/>
  <c r="M213" i="2"/>
  <c r="M707" i="2"/>
  <c r="M871" i="2"/>
  <c r="M29" i="3"/>
  <c r="M90" i="2"/>
  <c r="M34" i="5"/>
  <c r="M559" i="2"/>
  <c r="M695" i="2"/>
  <c r="M166" i="2"/>
  <c r="M149" i="2"/>
  <c r="M891" i="2"/>
  <c r="M24" i="2"/>
  <c r="M779" i="2"/>
  <c r="M446" i="2"/>
  <c r="M783" i="2"/>
  <c r="M62" i="3"/>
  <c r="M258" i="2"/>
  <c r="M232" i="2"/>
  <c r="M27" i="2"/>
  <c r="M577" i="2"/>
  <c r="M912" i="2"/>
  <c r="M925" i="2"/>
  <c r="M660" i="2"/>
  <c r="M332" i="2"/>
  <c r="M370" i="2"/>
  <c r="M77" i="3"/>
  <c r="M10" i="2"/>
  <c r="M9" i="3"/>
  <c r="M115" i="2"/>
  <c r="M280" i="2"/>
  <c r="M48" i="3"/>
  <c r="M659" i="2"/>
  <c r="M26" i="2"/>
  <c r="M56" i="2"/>
  <c r="M315" i="2"/>
  <c r="M157" i="2"/>
  <c r="M870" i="2"/>
  <c r="M78" i="3"/>
  <c r="M542" i="2"/>
  <c r="M357" i="2"/>
  <c r="M810" i="2"/>
  <c r="M89" i="2"/>
  <c r="M108" i="2"/>
  <c r="M120" i="2"/>
  <c r="M422" i="2"/>
  <c r="M36" i="2"/>
  <c r="M125" i="2"/>
  <c r="M130" i="2"/>
  <c r="M182" i="2"/>
  <c r="M128" i="2"/>
  <c r="M71" i="2"/>
  <c r="M484" i="2"/>
  <c r="M121" i="2"/>
  <c r="M800" i="2"/>
  <c r="M455" i="2"/>
  <c r="M334" i="2"/>
  <c r="M459" i="2"/>
  <c r="M698" i="2"/>
  <c r="M598" i="2"/>
  <c r="M864" i="2"/>
  <c r="M469" i="2"/>
  <c r="M309" i="2"/>
  <c r="M453" i="2"/>
  <c r="M645" i="2"/>
  <c r="M488" i="2"/>
  <c r="M114" i="2"/>
  <c r="M483" i="2"/>
  <c r="M501" i="2"/>
  <c r="M43" i="3"/>
  <c r="M575" i="2"/>
  <c r="M285" i="2"/>
  <c r="M76" i="3"/>
  <c r="M59" i="2"/>
  <c r="M414" i="2"/>
  <c r="M408" i="2"/>
  <c r="M113" i="2"/>
  <c r="M399" i="2"/>
  <c r="M192" i="2"/>
  <c r="M680" i="2"/>
  <c r="M519" i="2"/>
  <c r="M81" i="3"/>
  <c r="M252" i="2"/>
  <c r="M50" i="3"/>
  <c r="M789" i="2"/>
  <c r="M88" i="2"/>
  <c r="M141" i="2"/>
  <c r="M25" i="3"/>
  <c r="M60" i="3"/>
  <c r="M635" i="2"/>
  <c r="M142" i="2"/>
  <c r="M208" i="2"/>
  <c r="M87" i="3"/>
  <c r="M41" i="2"/>
  <c r="M550" i="2"/>
  <c r="M778" i="2"/>
  <c r="M538" i="2"/>
  <c r="M518" i="2"/>
  <c r="M253" i="2"/>
  <c r="M731" i="2"/>
  <c r="M610" i="2"/>
  <c r="M916" i="2"/>
  <c r="M747" i="2"/>
  <c r="M239" i="2"/>
  <c r="M66" i="3"/>
  <c r="M40" i="5"/>
  <c r="M148" i="2"/>
  <c r="M708" i="2"/>
  <c r="M165" i="2"/>
  <c r="M225" i="2"/>
  <c r="M533" i="2"/>
  <c r="M679" i="2"/>
  <c r="M651" i="2"/>
  <c r="M585" i="2"/>
  <c r="M335" i="2"/>
  <c r="M445" i="2"/>
  <c r="M522" i="2"/>
  <c r="M425" i="2"/>
  <c r="M579" i="2"/>
  <c r="M231" i="2"/>
  <c r="M757" i="2"/>
  <c r="M132" i="2"/>
  <c r="M14" i="2"/>
  <c r="M126" i="2"/>
  <c r="M86" i="2"/>
  <c r="M13" i="2"/>
  <c r="M906" i="2"/>
  <c r="M485" i="2"/>
  <c r="M505" i="2"/>
  <c r="M173" i="2"/>
  <c r="M463" i="2"/>
  <c r="M545" i="2"/>
  <c r="M733" i="2"/>
  <c r="M851" i="2"/>
  <c r="M918" i="2"/>
  <c r="M273" i="2"/>
  <c r="M493" i="2"/>
  <c r="M72" i="3"/>
  <c r="M254" i="2"/>
  <c r="M495" i="2"/>
  <c r="M307" i="2"/>
  <c r="M473" i="2"/>
  <c r="M385" i="2"/>
  <c r="M474" i="2"/>
  <c r="M49" i="2"/>
  <c r="M480" i="2"/>
  <c r="M382" i="2"/>
  <c r="M767" i="2"/>
  <c r="M770" i="2"/>
  <c r="M444" i="2"/>
  <c r="M418" i="2"/>
  <c r="M586" i="2"/>
  <c r="M229" i="2"/>
  <c r="M536" i="2"/>
  <c r="M571" i="2"/>
  <c r="M158" i="2"/>
  <c r="M637" i="2"/>
  <c r="M894" i="2"/>
  <c r="M275" i="2"/>
  <c r="M401" i="2"/>
  <c r="M655" i="2"/>
  <c r="M196" i="2"/>
  <c r="M939" i="2"/>
  <c r="M346" i="2"/>
  <c r="M878" i="2"/>
  <c r="M55" i="2"/>
  <c r="M19" i="3"/>
  <c r="M682" i="2"/>
  <c r="M709" i="2"/>
  <c r="M430" i="2"/>
  <c r="M807" i="2"/>
  <c r="M859" i="2"/>
  <c r="M33" i="2"/>
  <c r="M633" i="2"/>
  <c r="M187" i="2"/>
  <c r="M812" i="2"/>
  <c r="M398" i="2"/>
  <c r="M34" i="3"/>
  <c r="M338" i="2"/>
  <c r="M43" i="5"/>
  <c r="M442" i="2"/>
  <c r="M341" i="2"/>
  <c r="M666" i="2"/>
  <c r="M99" i="2"/>
  <c r="M769" i="2"/>
  <c r="M77" i="2"/>
  <c r="M206" i="2"/>
  <c r="M80" i="3"/>
  <c r="M886" i="2"/>
  <c r="M387" i="2"/>
  <c r="M605" i="2"/>
  <c r="M272" i="2"/>
  <c r="M661" i="2"/>
  <c r="M333" i="2"/>
  <c r="M551" i="2"/>
  <c r="M122" i="2"/>
  <c r="M15" i="2"/>
  <c r="M295" i="2"/>
  <c r="M622" i="2"/>
  <c r="M16" i="2"/>
  <c r="M806" i="2"/>
  <c r="M799" i="2"/>
  <c r="M18" i="2"/>
  <c r="M573" i="2"/>
  <c r="M820" i="2"/>
  <c r="M589" i="2"/>
  <c r="M549" i="2"/>
  <c r="M331" i="2"/>
  <c r="M685" i="2"/>
  <c r="M482" i="2"/>
  <c r="M614" i="2"/>
  <c r="M546" i="2"/>
  <c r="M468" i="2"/>
  <c r="M266" i="2"/>
  <c r="M467" i="2"/>
  <c r="M882" i="2"/>
  <c r="M476" i="2"/>
  <c r="M41" i="5"/>
  <c r="M472" i="2"/>
  <c r="M426" i="2"/>
  <c r="M826" i="2"/>
  <c r="M718" i="2"/>
  <c r="M155" i="2"/>
  <c r="M829" i="2"/>
  <c r="M195" i="2"/>
  <c r="M318" i="2"/>
  <c r="M649" i="2"/>
  <c r="M580" i="2"/>
  <c r="M389" i="2"/>
  <c r="M923" i="2"/>
  <c r="M291" i="2"/>
  <c r="M12" i="2"/>
  <c r="M702" i="2"/>
  <c r="M852" i="2"/>
  <c r="M36" i="3"/>
  <c r="M592" i="2"/>
  <c r="M853" i="2"/>
  <c r="M893" i="2"/>
  <c r="M838" i="2"/>
  <c r="M596" i="2"/>
  <c r="M678" i="2"/>
  <c r="M650" i="2"/>
  <c r="M41" i="3"/>
  <c r="M255" i="2"/>
  <c r="M261" i="2"/>
  <c r="M198" i="2"/>
  <c r="M220" i="2"/>
  <c r="M609" i="2"/>
  <c r="M431" i="2"/>
  <c r="M662" i="2"/>
  <c r="M595" i="2"/>
  <c r="M648" i="2"/>
  <c r="M101" i="2"/>
  <c r="M204" i="2"/>
  <c r="M11" i="2"/>
  <c r="M771" i="2"/>
  <c r="M563" i="2"/>
  <c r="M274" i="2"/>
  <c r="M885" i="2"/>
  <c r="M904" i="2"/>
  <c r="M597" i="2"/>
  <c r="M520" i="2"/>
  <c r="M209" i="2"/>
  <c r="M310" i="2"/>
  <c r="M97" i="2"/>
  <c r="M926" i="2"/>
  <c r="M748" i="2"/>
  <c r="M301" i="2"/>
  <c r="M265" i="2"/>
  <c r="M749" i="2"/>
  <c r="M818" i="2"/>
  <c r="M647" i="2"/>
  <c r="M74" i="3"/>
  <c r="M82" i="2"/>
  <c r="M802" i="2"/>
  <c r="M297" i="2"/>
  <c r="M73" i="2"/>
  <c r="M621" i="2"/>
  <c r="M728" i="2"/>
  <c r="M303" i="2"/>
  <c r="M174" i="2"/>
  <c r="M127" i="2"/>
  <c r="M135" i="2"/>
  <c r="M110" i="2"/>
  <c r="M624" i="2"/>
  <c r="M107" i="2"/>
  <c r="M40" i="3"/>
  <c r="M43" i="2"/>
  <c r="M487" i="2"/>
  <c r="M436" i="2"/>
  <c r="M840" i="2"/>
  <c r="M576" i="2"/>
  <c r="M856" i="2"/>
  <c r="M462" i="2"/>
  <c r="M525" i="2"/>
  <c r="M450" i="2"/>
  <c r="M898" i="2"/>
  <c r="M475" i="2"/>
  <c r="M61" i="3"/>
  <c r="M320" i="2"/>
  <c r="M785" i="2"/>
  <c r="M692" i="2"/>
  <c r="M865" i="2"/>
  <c r="M896" i="2"/>
  <c r="M65" i="3"/>
  <c r="M397" i="2"/>
  <c r="M313" i="2"/>
  <c r="M849" i="2"/>
  <c r="M590" i="2"/>
  <c r="M51" i="3"/>
  <c r="M566" i="2"/>
  <c r="M613" i="2"/>
  <c r="M630" i="2"/>
  <c r="M641" i="2"/>
  <c r="M151" i="2"/>
  <c r="M98" i="2"/>
  <c r="M734" i="2"/>
  <c r="M394" i="2"/>
  <c r="M639" i="2"/>
  <c r="M724" i="2"/>
  <c r="M40" i="2"/>
  <c r="M50" i="5"/>
  <c r="M243" i="2"/>
  <c r="M612" i="2"/>
  <c r="M351" i="2"/>
  <c r="M109" i="2"/>
  <c r="M816" i="2"/>
  <c r="M26" i="3"/>
  <c r="M880" i="2"/>
  <c r="M12" i="3"/>
  <c r="M913" i="2"/>
  <c r="M433" i="2"/>
  <c r="M443" i="2"/>
  <c r="M329" i="2"/>
  <c r="M743" i="2"/>
  <c r="M150" i="2"/>
  <c r="M376" i="2"/>
  <c r="M7" i="3"/>
  <c r="M64" i="3"/>
  <c r="M553" i="2"/>
  <c r="M270" i="2"/>
  <c r="M793" i="2"/>
  <c r="M18" i="3"/>
  <c r="M79" i="2"/>
  <c r="M515" i="2"/>
  <c r="M704" i="2"/>
  <c r="M616" i="2"/>
  <c r="M808" i="2"/>
  <c r="M32" i="3"/>
  <c r="M663" i="2"/>
  <c r="M403" i="2"/>
  <c r="M368" i="2"/>
  <c r="M29" i="2"/>
  <c r="M884" i="2"/>
  <c r="M83" i="3"/>
  <c r="M296" i="2"/>
  <c r="M623" i="2"/>
  <c r="M304" i="2"/>
  <c r="M804" i="2"/>
  <c r="M798" i="2"/>
  <c r="M905" i="2"/>
  <c r="M68" i="2"/>
  <c r="M21" i="2"/>
  <c r="M654" i="2"/>
  <c r="M668" i="2"/>
  <c r="M278" i="2"/>
  <c r="M224" i="2"/>
  <c r="M730" i="2"/>
  <c r="M794" i="2"/>
  <c r="M486" i="2"/>
  <c r="M440" i="2"/>
  <c r="M625" i="2"/>
  <c r="M574" i="2"/>
  <c r="M388" i="2"/>
  <c r="M137" i="2"/>
  <c r="M139" i="2"/>
  <c r="M456" i="2"/>
  <c r="M863" i="2"/>
  <c r="M451" i="2"/>
  <c r="M755" i="2"/>
  <c r="M673" i="2"/>
  <c r="M644" i="2"/>
  <c r="M819" i="2"/>
  <c r="M848" i="2"/>
  <c r="M223" i="2"/>
  <c r="M250" i="2"/>
  <c r="M642" i="2"/>
  <c r="M86" i="3"/>
  <c r="M420" i="2"/>
  <c r="M601" i="2"/>
  <c r="M202" i="2"/>
  <c r="M866" i="2"/>
  <c r="M233" i="2"/>
  <c r="M636" i="2"/>
  <c r="M844" i="2"/>
  <c r="M264" i="2"/>
  <c r="M881" i="2"/>
  <c r="M36" i="5"/>
  <c r="M568" i="2"/>
  <c r="M383" i="2"/>
  <c r="M52" i="2"/>
  <c r="M921" i="2"/>
  <c r="M263" i="2"/>
  <c r="M681" i="2"/>
  <c r="M371" i="2"/>
  <c r="M632" i="2"/>
  <c r="M876" i="2"/>
  <c r="M37" i="5"/>
  <c r="M248" i="2"/>
  <c r="M37" i="2"/>
  <c r="M400" i="2"/>
  <c r="M63" i="3"/>
  <c r="M407" i="2"/>
  <c r="M428" i="2"/>
  <c r="M930" i="2"/>
  <c r="M35" i="2"/>
  <c r="M684" i="2"/>
  <c r="M700" i="2"/>
  <c r="M90" i="3"/>
  <c r="M646" i="2"/>
  <c r="M689" i="2"/>
  <c r="M937" i="2"/>
  <c r="M350" i="2"/>
  <c r="M197" i="2"/>
  <c r="M207" i="2"/>
  <c r="M219" i="2"/>
  <c r="M221" i="2"/>
  <c r="M938" i="2"/>
  <c r="M54" i="2"/>
  <c r="M943" i="2"/>
  <c r="M22" i="3"/>
  <c r="M801" i="2"/>
  <c r="M74" i="2"/>
  <c r="M803" i="2"/>
  <c r="M907" i="2"/>
  <c r="M805" i="2"/>
  <c r="M181" i="2"/>
  <c r="M66" i="2"/>
  <c r="M846" i="2"/>
  <c r="M124" i="2"/>
  <c r="M924" i="2"/>
  <c r="M873" i="2"/>
  <c r="M479" i="2"/>
  <c r="M379" i="2"/>
  <c r="M176" i="2"/>
  <c r="M652" i="2"/>
  <c r="M457" i="2"/>
  <c r="M117" i="2"/>
  <c r="M478" i="2"/>
  <c r="M200" i="2"/>
  <c r="M20" i="3"/>
  <c r="M429" i="2"/>
  <c r="M432" i="2"/>
  <c r="M454" i="2"/>
  <c r="M24" i="3"/>
  <c r="M458" i="2"/>
  <c r="M75" i="3"/>
  <c r="M87" i="2"/>
  <c r="M833" i="2"/>
  <c r="M32" i="2"/>
  <c r="M69" i="3"/>
  <c r="M752" i="2"/>
  <c r="M226" i="2"/>
  <c r="M8" i="2"/>
  <c r="M606" i="2"/>
  <c r="M514" i="2"/>
  <c r="M106" i="2"/>
  <c r="M405" i="2"/>
  <c r="M44" i="3"/>
  <c r="M883" i="2"/>
  <c r="M667" i="2"/>
  <c r="M169" i="2"/>
  <c r="M934" i="2"/>
  <c r="M531" i="2"/>
  <c r="M745" i="2"/>
  <c r="M35" i="5"/>
  <c r="M837" i="2"/>
  <c r="M23" i="2"/>
  <c r="M941" i="2"/>
  <c r="M145" i="2"/>
  <c r="M825" i="2"/>
  <c r="M30" i="3"/>
  <c r="M835" i="2"/>
  <c r="M809" i="2"/>
  <c r="M328" i="2"/>
  <c r="M872" i="2"/>
  <c r="M619" i="2"/>
  <c r="M600" i="2"/>
  <c r="M831" i="2"/>
  <c r="M58" i="5"/>
  <c r="M449" i="2"/>
  <c r="M374" i="2"/>
  <c r="M527" i="2"/>
  <c r="M38" i="2"/>
  <c r="M52" i="5"/>
  <c r="M604" i="2"/>
  <c r="M427" i="2"/>
  <c r="M742" i="2"/>
  <c r="M548" i="2"/>
  <c r="M7" i="2"/>
  <c r="M814" i="2"/>
  <c r="M228" i="2"/>
  <c r="M867" i="2"/>
  <c r="M761" i="2"/>
  <c r="M828" i="2"/>
  <c r="M330" i="2"/>
  <c r="M411" i="2"/>
  <c r="M51" i="5"/>
  <c r="M347" i="2"/>
  <c r="M344" i="2"/>
  <c r="M686" i="2"/>
  <c r="M283" i="2"/>
  <c r="M788" i="2"/>
  <c r="M76" i="2"/>
  <c r="M790" i="2"/>
  <c r="M6" i="2"/>
  <c r="M567" i="2"/>
  <c r="M308" i="2"/>
  <c r="M697" i="2"/>
  <c r="M31" i="2"/>
  <c r="M33" i="3"/>
  <c r="M753" i="2"/>
  <c r="M386" i="2"/>
  <c r="M832" i="2"/>
  <c r="M80" i="2"/>
  <c r="M46" i="2"/>
  <c r="M22" i="2"/>
  <c r="M901" i="2"/>
  <c r="M140" i="2"/>
  <c r="M57" i="2"/>
  <c r="M701" i="2"/>
  <c r="M71" i="3"/>
  <c r="M554" i="2"/>
  <c r="M168" i="2"/>
  <c r="M564" i="2"/>
  <c r="M53" i="5"/>
  <c r="M919" i="2"/>
  <c r="M415" i="2"/>
  <c r="M95" i="2"/>
  <c r="M412" i="2"/>
  <c r="M780" i="2"/>
  <c r="M902" i="2"/>
  <c r="M448" i="2"/>
  <c r="M511" i="2"/>
  <c r="M675" i="2"/>
  <c r="M298" i="2"/>
  <c r="M299" i="2"/>
  <c r="M64" i="2"/>
  <c r="M739" i="2"/>
  <c r="M512" i="2"/>
  <c r="M358" i="2"/>
  <c r="M356" i="2"/>
  <c r="M796" i="2"/>
  <c r="M45" i="5"/>
  <c r="M581" i="2"/>
  <c r="M381" i="2"/>
  <c r="M57" i="3"/>
  <c r="M118" i="2"/>
  <c r="M765" i="2"/>
  <c r="M138" i="2"/>
  <c r="M413" i="2"/>
  <c r="M343" i="2"/>
  <c r="M390" i="2"/>
  <c r="M653" i="2"/>
  <c r="M914" i="2"/>
  <c r="M792" i="2"/>
  <c r="M290" i="2"/>
  <c r="M6" i="4"/>
  <c r="M218" i="2"/>
  <c r="M441" i="2"/>
  <c r="M11" i="3"/>
  <c r="M7" i="4"/>
  <c r="M917" i="2"/>
  <c r="M377" i="2"/>
  <c r="M85" i="3"/>
  <c r="M404" i="2"/>
  <c r="M561" i="2"/>
  <c r="M720" i="2"/>
  <c r="M134" i="2"/>
  <c r="M714" i="2"/>
  <c r="M657" i="2"/>
  <c r="M5" i="2"/>
  <c r="M777" i="2"/>
  <c r="M759" i="2"/>
  <c r="M674" i="2"/>
  <c r="M314" i="2"/>
  <c r="M9" i="4"/>
  <c r="M45" i="3"/>
  <c r="M247" i="2"/>
  <c r="M895" i="2"/>
  <c r="M279" i="2"/>
  <c r="M534" i="2"/>
  <c r="M25" i="2"/>
  <c r="M171" i="2"/>
  <c r="M15" i="3"/>
  <c r="M39" i="2"/>
  <c r="M93" i="2"/>
  <c r="M795" i="2"/>
  <c r="M787" i="2"/>
  <c r="M677" i="2"/>
  <c r="M85" i="2"/>
  <c r="M214" i="2"/>
  <c r="M776" i="2"/>
  <c r="M732" i="2"/>
  <c r="M159" i="2"/>
  <c r="M6" i="3"/>
  <c r="M582" i="2"/>
  <c r="M104" i="2"/>
  <c r="M5" i="3"/>
  <c r="M88" i="3"/>
  <c r="M352" i="2"/>
  <c r="M593" i="2"/>
  <c r="M781" i="2"/>
  <c r="M672" i="2"/>
  <c r="M105" i="2"/>
  <c r="M51" i="2"/>
  <c r="M193" i="2"/>
  <c r="M741" i="2"/>
  <c r="M847" i="2"/>
  <c r="M96" i="2"/>
  <c r="M102" i="2"/>
  <c r="M111" i="2"/>
  <c r="M855" i="2"/>
  <c r="M267" i="2"/>
  <c r="M292" i="2"/>
  <c r="M423" i="2"/>
  <c r="M251" i="2"/>
  <c r="M57" i="5"/>
  <c r="M583" i="2"/>
  <c r="M786" i="2"/>
  <c r="M560" i="2"/>
  <c r="M112" i="2"/>
  <c r="M28" i="2"/>
  <c r="M271" i="2"/>
  <c r="M694" i="2"/>
  <c r="M54" i="3"/>
  <c r="M47" i="3"/>
  <c r="M89" i="3"/>
  <c r="M555" i="2"/>
  <c r="M940" i="2"/>
  <c r="M516" i="2"/>
  <c r="M260" i="2"/>
  <c r="M217" i="2"/>
  <c r="M751" i="2"/>
  <c r="M354" i="2"/>
  <c r="M269" i="2"/>
  <c r="M874" i="2"/>
  <c r="M558" i="2"/>
  <c r="M277" i="2"/>
  <c r="M528" i="2"/>
  <c r="M186" i="2"/>
  <c r="M416" i="2"/>
  <c r="M729" i="2"/>
  <c r="M773" i="2"/>
  <c r="M499" i="2"/>
  <c r="M854" i="2"/>
  <c r="M513" i="2"/>
  <c r="M504" i="2"/>
  <c r="M160" i="2"/>
  <c r="M46" i="5"/>
  <c r="M858" i="2"/>
  <c r="M39" i="3"/>
  <c r="M725" i="2"/>
  <c r="M47" i="5"/>
  <c r="M68" i="3"/>
  <c r="M8" i="3"/>
  <c r="M664" i="2"/>
  <c r="M706" i="2"/>
  <c r="M711" i="2"/>
  <c r="M688" i="2"/>
  <c r="M164" i="2"/>
  <c r="M42" i="5"/>
  <c r="M756" i="2"/>
  <c r="M33" i="5"/>
  <c r="M836" i="2"/>
  <c r="M587" i="2"/>
  <c r="M892" i="2"/>
  <c r="M402" i="2"/>
  <c r="M119" i="2"/>
  <c r="M628" i="2"/>
  <c r="M784" i="2"/>
  <c r="M395" i="2"/>
  <c r="M626" i="2"/>
  <c r="M887" i="2"/>
  <c r="M49" i="3"/>
  <c r="M205" i="2"/>
  <c r="M750" i="2"/>
  <c r="M909" i="2"/>
  <c r="M28" i="3"/>
  <c r="M920" i="2"/>
  <c r="M349" i="2"/>
  <c r="M235" i="2"/>
  <c r="M65" i="2"/>
  <c r="M791" i="2"/>
  <c r="M544" i="2"/>
  <c r="M259" i="2"/>
  <c r="M768" i="2"/>
  <c r="M746" i="2"/>
  <c r="M850" i="2"/>
  <c r="M240" i="2"/>
  <c r="M569" i="2"/>
  <c r="M59" i="3"/>
  <c r="M38" i="5"/>
  <c r="M492" i="2"/>
  <c r="M100" i="2"/>
  <c r="M503" i="2"/>
  <c r="M507" i="2"/>
  <c r="M162" i="2"/>
  <c r="M161" i="2"/>
  <c r="M715" i="2"/>
  <c r="M510" i="2"/>
  <c r="M903" i="2"/>
  <c r="M69" i="2"/>
  <c r="M857" i="2"/>
  <c r="M44" i="5"/>
  <c r="M643" i="2"/>
  <c r="M860" i="2"/>
  <c r="M52" i="3"/>
  <c r="M48" i="5"/>
  <c r="M364" i="2"/>
  <c r="M355" i="2"/>
  <c r="M241" i="2"/>
  <c r="M868" i="2"/>
  <c r="M521" i="2"/>
  <c r="M322" i="2"/>
  <c r="M933" i="2"/>
  <c r="M230" i="2"/>
  <c r="M419" i="2"/>
  <c r="M16" i="3"/>
  <c r="M922" i="2"/>
  <c r="M899" i="2"/>
  <c r="M55" i="5"/>
  <c r="M70" i="3"/>
  <c r="M669" i="2"/>
  <c r="M289" i="2"/>
  <c r="M841" i="2"/>
  <c r="M199" i="2"/>
  <c r="M311" i="2"/>
  <c r="M39" i="5"/>
  <c r="M262" i="2"/>
  <c r="M696" i="2"/>
  <c r="M772" i="2"/>
  <c r="M584" i="2"/>
  <c r="M410" i="2"/>
  <c r="M687" i="2"/>
  <c r="M490" i="2"/>
  <c r="M543" i="2"/>
  <c r="M491" i="2"/>
  <c r="M927" i="2"/>
  <c r="M396" i="2"/>
  <c r="M541" i="2"/>
  <c r="M897" i="2"/>
  <c r="M242" i="2"/>
  <c r="M286" i="2"/>
  <c r="M147" i="2"/>
  <c r="M380" i="2"/>
  <c r="M929" i="2"/>
  <c r="M502" i="2"/>
  <c r="M737" i="2"/>
  <c r="M738" i="2"/>
  <c r="M497" i="2"/>
  <c r="M185" i="2"/>
  <c r="M177" i="2"/>
  <c r="M84" i="2"/>
  <c r="M70" i="2"/>
  <c r="M879" i="2"/>
  <c r="M53" i="2"/>
  <c r="M378" i="2"/>
  <c r="M932" i="2"/>
  <c r="M437" i="2"/>
  <c r="M889" i="2"/>
  <c r="M362" i="2"/>
  <c r="M13" i="3"/>
  <c r="M910" i="2"/>
  <c r="M764" i="2"/>
  <c r="M722" i="2"/>
  <c r="M201" i="2"/>
  <c r="M246" i="2"/>
  <c r="M47" i="2"/>
  <c r="M136" i="2"/>
  <c r="M744" i="2"/>
  <c r="M890" i="2"/>
  <c r="M556" i="2"/>
  <c r="M34" i="2"/>
  <c r="M84" i="3"/>
  <c r="M42" i="2"/>
  <c r="M194" i="2"/>
  <c r="M42" i="3"/>
  <c r="M588" i="2"/>
  <c r="M578" i="2"/>
  <c r="M665" i="2"/>
  <c r="M638" i="2"/>
  <c r="M620" i="2"/>
  <c r="M572" i="2"/>
  <c r="M79" i="3"/>
  <c r="M326" i="2"/>
  <c r="M91" i="2"/>
  <c r="M348" i="2"/>
  <c r="M361" i="2"/>
  <c r="M774" i="2"/>
  <c r="M359" i="2"/>
  <c r="M353" i="2"/>
  <c r="M406" i="2"/>
  <c r="M565" i="2"/>
  <c r="M337" i="2"/>
  <c r="M530" i="2"/>
  <c r="M244" i="2"/>
  <c r="M435" i="2"/>
  <c r="M78" i="2"/>
  <c r="M540" i="2"/>
  <c r="M184" i="2"/>
  <c r="M508" i="2"/>
  <c r="M506" i="2"/>
  <c r="M740" i="2"/>
  <c r="M238" i="2"/>
  <c r="M617" i="2"/>
  <c r="M179" i="2"/>
  <c r="M627" i="2"/>
  <c r="M81" i="2"/>
  <c r="M8" i="4"/>
  <c r="M712" i="2"/>
  <c r="M83" i="2"/>
  <c r="M288" i="2"/>
  <c r="M92" i="2"/>
  <c r="M699" i="2"/>
  <c r="M830" i="2"/>
  <c r="M629" i="2"/>
  <c r="M38" i="3"/>
  <c r="M61" i="2"/>
  <c r="M861" i="2"/>
  <c r="M146" i="2"/>
  <c r="M287" i="2"/>
  <c r="M63" i="2"/>
  <c r="M31" i="3"/>
  <c r="M48" i="2"/>
  <c r="M754" i="2"/>
  <c r="M862" i="2"/>
  <c r="M49" i="5"/>
  <c r="M316" i="2"/>
  <c r="M710" i="2"/>
  <c r="M843" i="2"/>
  <c r="M523" i="2"/>
  <c r="M719" i="2"/>
  <c r="M811" i="2"/>
  <c r="M524" i="2"/>
  <c r="M615" i="2"/>
  <c r="M56" i="3"/>
  <c r="M154" i="2"/>
  <c r="M37" i="3"/>
  <c r="M319" i="2"/>
  <c r="M766" i="2"/>
  <c r="M391" i="2"/>
  <c r="M928" i="2"/>
  <c r="M602" i="2"/>
  <c r="M75" i="2"/>
  <c r="M17" i="3"/>
  <c r="M658" i="2"/>
  <c r="M942" i="2"/>
  <c r="M366" i="2"/>
  <c r="M570" i="2"/>
  <c r="M212" i="2"/>
  <c r="M317" i="2"/>
  <c r="M249" i="2"/>
  <c r="M191" i="2"/>
  <c r="M188" i="2"/>
  <c r="M736" i="2"/>
  <c r="M190" i="2"/>
  <c r="M282" i="2"/>
  <c r="M498" i="2"/>
  <c r="M189" i="2"/>
  <c r="M384" i="2"/>
  <c r="M237" i="2"/>
  <c r="M539" i="2"/>
  <c r="M631" i="2"/>
  <c r="M10" i="3"/>
  <c r="M360" i="2"/>
  <c r="M529" i="2"/>
  <c r="M170" i="2"/>
  <c r="M339" i="2"/>
  <c r="M618" i="2"/>
  <c r="M172" i="2"/>
  <c r="M691" i="2"/>
  <c r="M203" i="2"/>
  <c r="M46" i="3"/>
  <c r="M640" i="2"/>
  <c r="M305" i="2"/>
  <c r="M562" i="2"/>
  <c r="M656" i="2"/>
  <c r="M438" i="2"/>
  <c r="M421" i="2"/>
  <c r="M23" i="3"/>
  <c r="M424" i="2"/>
  <c r="M210" i="2"/>
  <c r="M73" i="3"/>
  <c r="M245" i="2"/>
  <c r="M236" i="2"/>
  <c r="M281" i="2"/>
  <c r="M336" i="2"/>
  <c r="M671" i="2"/>
  <c r="M758" i="2"/>
  <c r="M44" i="2"/>
  <c r="M842" i="2"/>
  <c r="M5" i="4"/>
  <c r="M369" i="2"/>
  <c r="M372" i="2"/>
  <c r="M915" i="2"/>
  <c r="M103" i="2"/>
  <c r="M670" i="2"/>
  <c r="M911" i="2"/>
  <c r="M875" i="2"/>
  <c r="M45" i="2"/>
  <c r="M713" i="2"/>
  <c r="M156" i="2"/>
  <c r="M53" i="3"/>
  <c r="M293" i="2"/>
  <c r="M276" i="2"/>
  <c r="M257" i="2"/>
  <c r="M447" i="2"/>
  <c r="M178" i="2"/>
  <c r="M500" i="2"/>
  <c r="M735" i="2"/>
  <c r="M163" i="2"/>
  <c r="M300" i="2"/>
  <c r="M727" i="2"/>
  <c r="M676" i="2"/>
  <c r="M726" i="2"/>
  <c r="M611" i="2"/>
  <c r="M591" i="2"/>
  <c r="M535" i="2"/>
  <c r="M82" i="3"/>
  <c r="M180" i="2"/>
  <c r="M716" i="2"/>
  <c r="M365" i="2"/>
  <c r="M94" i="2"/>
  <c r="M683" i="2"/>
  <c r="M634" i="2"/>
  <c r="M342" i="2"/>
  <c r="H2999" i="26"/>
  <c r="G2997" i="26"/>
  <c r="H2939" i="26"/>
  <c r="G2937" i="26"/>
  <c r="H2558" i="11"/>
  <c r="G2556" i="11"/>
  <c r="H2492" i="11"/>
  <c r="G2490" i="11"/>
  <c r="H1614" i="11"/>
  <c r="G1612" i="11"/>
  <c r="H1976" i="11"/>
  <c r="G1974" i="11"/>
  <c r="H748" i="11"/>
  <c r="G746" i="11"/>
  <c r="H2423" i="11"/>
  <c r="G2421" i="11"/>
  <c r="H2400" i="11"/>
  <c r="G2398" i="11"/>
  <c r="H1930" i="11"/>
  <c r="G1928" i="11"/>
  <c r="H1884" i="11"/>
  <c r="G1882" i="11"/>
  <c r="H668" i="11"/>
  <c r="G666" i="11"/>
  <c r="H2847" i="11"/>
  <c r="G2845" i="11"/>
  <c r="H2331" i="11"/>
  <c r="G2329" i="11"/>
  <c r="H2208" i="11"/>
  <c r="G2206" i="11"/>
  <c r="H1838" i="11"/>
  <c r="G1836" i="11"/>
  <c r="H1815" i="11"/>
  <c r="G1813" i="11"/>
  <c r="H768" i="11"/>
  <c r="G766" i="11"/>
  <c r="H2870" i="11"/>
  <c r="G2868" i="11"/>
  <c r="H2469" i="11"/>
  <c r="G2467" i="11"/>
  <c r="H1953" i="11"/>
  <c r="G1951" i="11"/>
  <c r="H1769" i="11"/>
  <c r="G1767" i="11"/>
  <c r="H1723" i="11"/>
  <c r="G1721" i="11"/>
  <c r="H688" i="11"/>
  <c r="G686" i="11"/>
  <c r="H2824" i="11"/>
  <c r="G2822" i="11"/>
  <c r="H2801" i="11"/>
  <c r="G2799" i="11"/>
  <c r="H2377" i="11"/>
  <c r="G2375" i="11"/>
  <c r="H1861" i="11"/>
  <c r="G1859" i="11"/>
  <c r="H1677" i="11"/>
  <c r="G1675" i="11"/>
  <c r="H728" i="11"/>
  <c r="G726" i="11"/>
  <c r="H608" i="11"/>
  <c r="G606" i="11"/>
  <c r="H2778" i="11"/>
  <c r="G2776" i="11"/>
  <c r="H2538" i="11"/>
  <c r="G2536" i="11"/>
  <c r="H1792" i="11"/>
  <c r="G1790" i="11"/>
  <c r="H1654" i="11"/>
  <c r="G1652" i="11"/>
  <c r="H648" i="11"/>
  <c r="G646" i="11"/>
  <c r="H708" i="11"/>
  <c r="G706" i="11"/>
  <c r="H2893" i="11"/>
  <c r="G2891" i="11"/>
  <c r="H2578" i="11"/>
  <c r="G2576" i="11"/>
  <c r="H2446" i="11"/>
  <c r="G2444" i="11"/>
  <c r="H1700" i="11"/>
  <c r="G1698" i="11"/>
  <c r="G1905" i="11"/>
  <c r="H1907" i="11"/>
  <c r="H808" i="11"/>
  <c r="G806" i="11"/>
  <c r="H628" i="11"/>
  <c r="G626" i="11"/>
  <c r="H2515" i="11"/>
  <c r="G2513" i="11"/>
  <c r="H2354" i="11"/>
  <c r="G2352" i="11"/>
  <c r="H1634" i="11"/>
  <c r="G1632" i="11"/>
  <c r="H1746" i="11"/>
  <c r="G1744" i="11"/>
  <c r="H788" i="11"/>
  <c r="G786" i="11"/>
  <c r="G588" i="11"/>
  <c r="G131" i="2"/>
  <c r="G127" i="2"/>
  <c r="G845" i="2"/>
  <c r="G802" i="2"/>
  <c r="G817" i="2"/>
  <c r="G797" i="2"/>
  <c r="G805" i="2"/>
  <c r="G294" i="2"/>
  <c r="G480" i="2"/>
  <c r="G488" i="2"/>
  <c r="G479" i="2"/>
  <c r="G460" i="2"/>
  <c r="G493" i="2"/>
  <c r="G466" i="2"/>
  <c r="G487" i="2"/>
  <c r="G529" i="2"/>
  <c r="G203" i="2"/>
  <c r="G32" i="2"/>
  <c r="G359" i="2"/>
  <c r="G225" i="2"/>
  <c r="G201" i="2"/>
  <c r="G680" i="2"/>
  <c r="G115" i="2"/>
  <c r="G725" i="2"/>
  <c r="G61" i="2"/>
  <c r="G536" i="2"/>
  <c r="G350" i="2"/>
  <c r="G542" i="2"/>
  <c r="G662" i="2"/>
  <c r="G250" i="2"/>
  <c r="G40" i="5"/>
  <c r="G520" i="2"/>
  <c r="G6" i="2"/>
  <c r="G678" i="2"/>
  <c r="G80" i="2"/>
  <c r="G570" i="2"/>
  <c r="G756" i="2"/>
  <c r="G110" i="2"/>
  <c r="G37" i="5"/>
  <c r="G782" i="2"/>
  <c r="G938" i="2"/>
  <c r="G886" i="2"/>
  <c r="G584" i="2"/>
  <c r="G607" i="2"/>
  <c r="G120" i="2"/>
  <c r="G591" i="2"/>
  <c r="G604" i="2"/>
  <c r="G423" i="2"/>
  <c r="G779" i="2"/>
  <c r="G814" i="2"/>
  <c r="G255" i="2"/>
  <c r="G132" i="2"/>
  <c r="G914" i="2"/>
  <c r="G364" i="2"/>
  <c r="G207" i="2"/>
  <c r="G615" i="2"/>
  <c r="G146" i="2"/>
  <c r="G92" i="2"/>
  <c r="G248" i="2"/>
  <c r="G686" i="2"/>
  <c r="G702" i="2"/>
  <c r="G578" i="2"/>
  <c r="G563" i="2"/>
  <c r="G314" i="2"/>
  <c r="G825" i="2"/>
  <c r="G722" i="2"/>
  <c r="G514" i="2"/>
  <c r="G672" i="2"/>
  <c r="G900" i="2"/>
  <c r="G47" i="5"/>
  <c r="G549" i="2"/>
  <c r="G535" i="2"/>
  <c r="G109" i="2"/>
  <c r="G395" i="2"/>
  <c r="G647" i="2"/>
  <c r="G808" i="2"/>
  <c r="G205" i="2"/>
  <c r="G11" i="2"/>
  <c r="G638" i="2"/>
  <c r="G209" i="2"/>
  <c r="G269" i="2"/>
  <c r="G133" i="2"/>
  <c r="G172" i="2"/>
  <c r="G870" i="2"/>
  <c r="G267" i="2"/>
  <c r="G741" i="2"/>
  <c r="G82" i="2"/>
  <c r="G353" i="2"/>
  <c r="G700" i="2"/>
  <c r="G641" i="2"/>
  <c r="G440" i="2"/>
  <c r="G551" i="2"/>
  <c r="G649" i="2"/>
  <c r="G43" i="2"/>
  <c r="G245" i="2"/>
  <c r="G836" i="2"/>
  <c r="G98" i="2"/>
  <c r="G525" i="2"/>
  <c r="G763" i="2"/>
  <c r="G873" i="2"/>
  <c r="G425" i="2"/>
  <c r="G844" i="2"/>
  <c r="G435" i="2"/>
  <c r="G372" i="2"/>
  <c r="G688" i="2"/>
  <c r="G256" i="2"/>
  <c r="G564" i="2"/>
  <c r="G556" i="2"/>
  <c r="G290" i="2"/>
  <c r="G356" i="2"/>
  <c r="G761" i="2"/>
  <c r="G149" i="2"/>
  <c r="G47" i="3"/>
  <c r="G40" i="3"/>
  <c r="G59" i="3"/>
  <c r="G93" i="2"/>
  <c r="G64" i="3"/>
  <c r="G28" i="3"/>
  <c r="G86" i="3"/>
  <c r="G416" i="2"/>
  <c r="G70" i="3"/>
  <c r="G69" i="3"/>
  <c r="G77" i="3"/>
  <c r="G82" i="3"/>
  <c r="G17" i="3"/>
  <c r="G511" i="2"/>
  <c r="G163" i="2"/>
  <c r="G64" i="2"/>
  <c r="G727" i="2"/>
  <c r="G506" i="2"/>
  <c r="G161" i="2"/>
  <c r="G675" i="2"/>
  <c r="G126" i="2"/>
  <c r="G15" i="2"/>
  <c r="G66" i="2"/>
  <c r="G803" i="2"/>
  <c r="G804" i="2"/>
  <c r="G182" i="2"/>
  <c r="G173" i="2"/>
  <c r="G74" i="2"/>
  <c r="G474" i="2"/>
  <c r="G485" i="2"/>
  <c r="G477" i="2"/>
  <c r="E477" i="2" s="1"/>
  <c r="G459" i="2"/>
  <c r="G455" i="2"/>
  <c r="G471" i="2"/>
  <c r="E471" i="2" s="1"/>
  <c r="G453" i="2"/>
  <c r="G194" i="2"/>
  <c r="G415" i="2"/>
  <c r="G284" i="2"/>
  <c r="E284" i="2" s="1"/>
  <c r="G866" i="2"/>
  <c r="G138" i="2"/>
  <c r="G343" i="2"/>
  <c r="G196" i="2"/>
  <c r="E196" i="2" s="1"/>
  <c r="G716" i="2"/>
  <c r="G669" i="2"/>
  <c r="G653" i="2"/>
  <c r="G7" i="3"/>
  <c r="G333" i="2"/>
  <c r="E333" i="2" s="1"/>
  <c r="G242" i="2"/>
  <c r="G650" i="2"/>
  <c r="G684" i="2"/>
  <c r="G355" i="2"/>
  <c r="G317" i="2"/>
  <c r="G116" i="2"/>
  <c r="E116" i="2" s="1"/>
  <c r="G257" i="2"/>
  <c r="G863" i="2"/>
  <c r="G36" i="2"/>
  <c r="E36" i="2" s="1"/>
  <c r="G860" i="2"/>
  <c r="G117" i="2"/>
  <c r="G331" i="2"/>
  <c r="E331" i="2" s="1"/>
  <c r="G63" i="2"/>
  <c r="G879" i="2"/>
  <c r="G235" i="2"/>
  <c r="G54" i="2"/>
  <c r="G871" i="2"/>
  <c r="E871" i="2" s="1"/>
  <c r="G657" i="2"/>
  <c r="G931" i="2"/>
  <c r="E931" i="2" s="1"/>
  <c r="G748" i="2"/>
  <c r="G75" i="2"/>
  <c r="G890" i="2"/>
  <c r="G52" i="5"/>
  <c r="G9" i="4"/>
  <c r="G232" i="2"/>
  <c r="E232" i="2" s="1"/>
  <c r="G7" i="4"/>
  <c r="G794" i="2"/>
  <c r="G670" i="2"/>
  <c r="G101" i="2"/>
  <c r="G166" i="2"/>
  <c r="E166" i="2" s="1"/>
  <c r="G262" i="2"/>
  <c r="G530" i="2"/>
  <c r="G613" i="2"/>
  <c r="G414" i="2"/>
  <c r="E414" i="2" s="1"/>
  <c r="G652" i="2"/>
  <c r="G95" i="2"/>
  <c r="G724" i="2"/>
  <c r="G635" i="2"/>
  <c r="E635" i="2" s="1"/>
  <c r="G436" i="2"/>
  <c r="G784" i="2"/>
  <c r="G889" i="2"/>
  <c r="G892" i="2"/>
  <c r="G637" i="2"/>
  <c r="E637" i="2" s="1"/>
  <c r="G44" i="2"/>
  <c r="G864" i="2"/>
  <c r="E864" i="2" s="1"/>
  <c r="G5" i="4"/>
  <c r="G796" i="2"/>
  <c r="G289" i="2"/>
  <c r="G941" i="2"/>
  <c r="G752" i="2"/>
  <c r="G354" i="2"/>
  <c r="E354" i="2" s="1"/>
  <c r="G439" i="2"/>
  <c r="G531" i="2"/>
  <c r="G807" i="2"/>
  <c r="G429" i="2"/>
  <c r="G277" i="2"/>
  <c r="G449" i="2"/>
  <c r="G253" i="2"/>
  <c r="G433" i="2"/>
  <c r="G142" i="2"/>
  <c r="G880" i="2"/>
  <c r="G547" i="2"/>
  <c r="G659" i="2"/>
  <c r="G216" i="2"/>
  <c r="G229" i="2"/>
  <c r="G884" i="2"/>
  <c r="G102" i="2"/>
  <c r="G418" i="2"/>
  <c r="G33" i="2"/>
  <c r="G12" i="2"/>
  <c r="G850" i="2"/>
  <c r="G897" i="2"/>
  <c r="G324" i="2"/>
  <c r="G651" i="2"/>
  <c r="G910" i="2"/>
  <c r="G204" i="2"/>
  <c r="G420" i="2"/>
  <c r="G403" i="2"/>
  <c r="G778" i="2"/>
  <c r="G241" i="2"/>
  <c r="G41" i="2"/>
  <c r="G36" i="5"/>
  <c r="G46" i="2"/>
  <c r="G586" i="2"/>
  <c r="G446" i="2"/>
  <c r="G52" i="3"/>
  <c r="G27" i="3"/>
  <c r="G51" i="3"/>
  <c r="G66" i="3"/>
  <c r="G54" i="3"/>
  <c r="G22" i="3"/>
  <c r="G79" i="3"/>
  <c r="G62" i="3"/>
  <c r="G26" i="3"/>
  <c r="G33" i="3"/>
  <c r="G60" i="3"/>
  <c r="G36" i="3"/>
  <c r="G74" i="3"/>
  <c r="G70" i="2"/>
  <c r="G299" i="2"/>
  <c r="G732" i="2"/>
  <c r="G69" i="2"/>
  <c r="G298" i="2"/>
  <c r="G99" i="2"/>
  <c r="G717" i="2"/>
  <c r="G123" i="2"/>
  <c r="G18" i="2"/>
  <c r="G608" i="2"/>
  <c r="G181" i="2"/>
  <c r="G296" i="2"/>
  <c r="G183" i="2"/>
  <c r="G67" i="2"/>
  <c r="G472" i="2"/>
  <c r="G475" i="2"/>
  <c r="G476" i="2"/>
  <c r="G481" i="2"/>
  <c r="G465" i="2"/>
  <c r="G462" i="2"/>
  <c r="G495" i="2"/>
  <c r="G865" i="2"/>
  <c r="G286" i="2"/>
  <c r="G855" i="2"/>
  <c r="G46" i="5"/>
  <c r="G89" i="2"/>
  <c r="G231" i="2"/>
  <c r="G215" i="2"/>
  <c r="G368" i="2"/>
  <c r="G134" i="2"/>
  <c r="G351" i="2"/>
  <c r="G721" i="2"/>
  <c r="G42" i="5"/>
  <c r="G271" i="2"/>
  <c r="G656" i="2"/>
  <c r="G566" i="2"/>
  <c r="G707" i="2"/>
  <c r="G336" i="2"/>
  <c r="G594" i="2"/>
  <c r="G65" i="2"/>
  <c r="G318" i="2"/>
  <c r="G605" i="2"/>
  <c r="G291" i="2"/>
  <c r="G616" i="2"/>
  <c r="G57" i="5"/>
  <c r="G410" i="2"/>
  <c r="G875" i="2"/>
  <c r="G422" i="2"/>
  <c r="G88" i="2"/>
  <c r="G399" i="2"/>
  <c r="G270" i="2"/>
  <c r="G45" i="5"/>
  <c r="G824" i="2"/>
  <c r="G759" i="2"/>
  <c r="G753" i="2"/>
  <c r="G632" i="2"/>
  <c r="G842" i="2"/>
  <c r="G24" i="2"/>
  <c r="G917" i="2"/>
  <c r="G251" i="2"/>
  <c r="G695" i="2"/>
  <c r="G812" i="2"/>
  <c r="G219" i="2"/>
  <c r="G747" i="2"/>
  <c r="G280" i="2"/>
  <c r="G618" i="2"/>
  <c r="G48" i="2"/>
  <c r="G10" i="2"/>
  <c r="G113" i="2"/>
  <c r="G401" i="2"/>
  <c r="G602" i="2"/>
  <c r="G147" i="2"/>
  <c r="G891" i="2"/>
  <c r="G665" i="2"/>
  <c r="G38" i="2"/>
  <c r="G541" i="2"/>
  <c r="G922" i="2"/>
  <c r="G391" i="2"/>
  <c r="G287" i="2"/>
  <c r="G37" i="2"/>
  <c r="G322" i="2"/>
  <c r="G228" i="2"/>
  <c r="G168" i="2"/>
  <c r="G828" i="2"/>
  <c r="G301" i="2"/>
  <c r="G119" i="2"/>
  <c r="G883" i="2"/>
  <c r="G23" i="2"/>
  <c r="G151" i="2"/>
  <c r="G942" i="2"/>
  <c r="G611" i="2"/>
  <c r="G927" i="2"/>
  <c r="G537" i="2"/>
  <c r="G631" i="2"/>
  <c r="G158" i="2"/>
  <c r="G443" i="2"/>
  <c r="G38" i="5"/>
  <c r="G661" i="2"/>
  <c r="G904" i="2"/>
  <c r="G925" i="2"/>
  <c r="G872" i="2"/>
  <c r="G590" i="2"/>
  <c r="G918" i="2"/>
  <c r="G711" i="2"/>
  <c r="G543" i="2"/>
  <c r="G309" i="2"/>
  <c r="G939" i="2"/>
  <c r="G187" i="2"/>
  <c r="G374" i="2"/>
  <c r="G847" i="2"/>
  <c r="G674" i="2"/>
  <c r="G41" i="5"/>
  <c r="G515" i="2"/>
  <c r="G315" i="2"/>
  <c r="G357" i="2"/>
  <c r="G169" i="2"/>
  <c r="G30" i="2"/>
  <c r="G448" i="2"/>
  <c r="G447" i="2"/>
  <c r="G55" i="3"/>
  <c r="G34" i="3"/>
  <c r="G71" i="3"/>
  <c r="G32" i="3"/>
  <c r="G902" i="2"/>
  <c r="G63" i="3"/>
  <c r="G84" i="3"/>
  <c r="G39" i="3"/>
  <c r="G18" i="3"/>
  <c r="G37" i="3"/>
  <c r="G49" i="3"/>
  <c r="G773" i="2"/>
  <c r="G903" i="2"/>
  <c r="G384" i="2"/>
  <c r="G84" i="2"/>
  <c r="G177" i="2"/>
  <c r="G677" i="2"/>
  <c r="G614" i="2"/>
  <c r="G14" i="2"/>
  <c r="G733" i="2"/>
  <c r="G129" i="2"/>
  <c r="G72" i="2"/>
  <c r="E72" i="2" s="1"/>
  <c r="G86" i="2"/>
  <c r="G304" i="2"/>
  <c r="G295" i="2"/>
  <c r="G846" i="2"/>
  <c r="G494" i="2"/>
  <c r="G450" i="2"/>
  <c r="G463" i="2"/>
  <c r="G489" i="2"/>
  <c r="G575" i="2"/>
  <c r="G573" i="2"/>
  <c r="G496" i="2"/>
  <c r="G34" i="2"/>
  <c r="G527" i="2"/>
  <c r="G534" i="2"/>
  <c r="G877" i="2"/>
  <c r="G887" i="2"/>
  <c r="G528" i="2"/>
  <c r="G325" i="2"/>
  <c r="G552" i="2"/>
  <c r="G893" i="2"/>
  <c r="G6" i="4"/>
  <c r="G200" i="2"/>
  <c r="G275" i="2"/>
  <c r="G35" i="5"/>
  <c r="G644" i="2"/>
  <c r="G619" i="2"/>
  <c r="G940" i="2"/>
  <c r="G52" i="2"/>
  <c r="G387" i="2"/>
  <c r="G260" i="2"/>
  <c r="G792" i="2"/>
  <c r="G155" i="2"/>
  <c r="G224" i="2"/>
  <c r="G901" i="2"/>
  <c r="G107" i="2"/>
  <c r="G813" i="2"/>
  <c r="G340" i="2"/>
  <c r="G44" i="5"/>
  <c r="G47" i="2"/>
  <c r="G643" i="2"/>
  <c r="G750" i="2"/>
  <c r="G539" i="2"/>
  <c r="G385" i="2"/>
  <c r="G583" i="2"/>
  <c r="G408" i="2"/>
  <c r="G521" i="2"/>
  <c r="G646" i="2"/>
  <c r="G45" i="2"/>
  <c r="G671" i="2"/>
  <c r="G783" i="2"/>
  <c r="G83" i="2"/>
  <c r="G896" i="2"/>
  <c r="G310" i="2"/>
  <c r="G762" i="2"/>
  <c r="G419" i="2"/>
  <c r="G830" i="2"/>
  <c r="G81" i="2"/>
  <c r="G843" i="2"/>
  <c r="G233" i="2"/>
  <c r="G603" i="2"/>
  <c r="G858" i="2"/>
  <c r="G705" i="2"/>
  <c r="G112" i="2"/>
  <c r="G54" i="5"/>
  <c r="G861" i="2"/>
  <c r="G853" i="2"/>
  <c r="G396" i="2"/>
  <c r="G319" i="2"/>
  <c r="G55" i="2"/>
  <c r="G258" i="2"/>
  <c r="G170" i="2"/>
  <c r="G150" i="2"/>
  <c r="G667" i="2"/>
  <c r="G658" i="2"/>
  <c r="G58" i="2"/>
  <c r="G217" i="2"/>
  <c r="G5" i="2"/>
  <c r="G558" i="2"/>
  <c r="G144" i="2"/>
  <c r="G213" i="2"/>
  <c r="G648" i="2"/>
  <c r="G815" i="2"/>
  <c r="G227" i="2"/>
  <c r="G206" i="2"/>
  <c r="G785" i="2"/>
  <c r="G62" i="2"/>
  <c r="E62" i="2" s="1"/>
  <c r="G755" i="2"/>
  <c r="G386" i="2"/>
  <c r="G944" i="2"/>
  <c r="E944" i="2" s="1"/>
  <c r="G592" i="2"/>
  <c r="G683" i="2"/>
  <c r="G636" i="2"/>
  <c r="G690" i="2"/>
  <c r="G198" i="2"/>
  <c r="G793" i="2"/>
  <c r="G837" i="2"/>
  <c r="G829" i="2"/>
  <c r="G51" i="2"/>
  <c r="G885" i="2"/>
  <c r="G769" i="2"/>
  <c r="G156" i="2"/>
  <c r="G668" i="2"/>
  <c r="G490" i="2"/>
  <c r="G223" i="2"/>
  <c r="G428" i="2"/>
  <c r="G491" i="2"/>
  <c r="G81" i="3"/>
  <c r="G29" i="3"/>
  <c r="G48" i="3"/>
  <c r="G46" i="3"/>
  <c r="G503" i="2"/>
  <c r="G23" i="3"/>
  <c r="G14" i="3"/>
  <c r="G80" i="3"/>
  <c r="G15" i="3"/>
  <c r="G75" i="3"/>
  <c r="G540" i="2"/>
  <c r="G50" i="3"/>
  <c r="G35" i="3"/>
  <c r="G185" i="2"/>
  <c r="G300" i="2"/>
  <c r="G787" i="2"/>
  <c r="G617" i="2"/>
  <c r="G854" i="2"/>
  <c r="G497" i="2"/>
  <c r="G57" i="3"/>
  <c r="G628" i="2"/>
  <c r="G505" i="2"/>
  <c r="G623" i="2"/>
  <c r="G128" i="2"/>
  <c r="G907" i="2"/>
  <c r="G73" i="2"/>
  <c r="G303" i="2"/>
  <c r="G906" i="2"/>
  <c r="G125" i="2"/>
  <c r="G464" i="2"/>
  <c r="E464" i="2" s="1"/>
  <c r="G458" i="2"/>
  <c r="G574" i="2"/>
  <c r="G451" i="2"/>
  <c r="G484" i="2"/>
  <c r="G297" i="2"/>
  <c r="G470" i="2"/>
  <c r="G723" i="2"/>
  <c r="G426" i="2"/>
  <c r="G533" i="2"/>
  <c r="G344" i="2"/>
  <c r="G305" i="2"/>
  <c r="G230" i="2"/>
  <c r="G841" i="2"/>
  <c r="G338" i="2"/>
  <c r="G553" i="2"/>
  <c r="G332" i="2"/>
  <c r="G432" i="2"/>
  <c r="G654" i="2"/>
  <c r="G195" i="2"/>
  <c r="G898" i="2"/>
  <c r="G388" i="2"/>
  <c r="G612" i="2"/>
  <c r="G438" i="2"/>
  <c r="G346" i="2"/>
  <c r="G682" i="2"/>
  <c r="G33" i="5"/>
  <c r="G921" i="2"/>
  <c r="G306" i="2"/>
  <c r="E306" i="2" s="1"/>
  <c r="G60" i="2"/>
  <c r="G912" i="2"/>
  <c r="G210" i="2"/>
  <c r="G103" i="2"/>
  <c r="G523" i="2"/>
  <c r="G361" i="2"/>
  <c r="G878" i="2"/>
  <c r="G554" i="2"/>
  <c r="G699" i="2"/>
  <c r="G634" i="2"/>
  <c r="G599" i="2"/>
  <c r="G780" i="2"/>
  <c r="G687" i="2"/>
  <c r="G369" i="2"/>
  <c r="G308" i="2"/>
  <c r="G848" i="2"/>
  <c r="G882" i="2"/>
  <c r="G442" i="2"/>
  <c r="G655" i="2"/>
  <c r="G76" i="2"/>
  <c r="G926" i="2"/>
  <c r="G78" i="2"/>
  <c r="G746" i="2"/>
  <c r="G8" i="4"/>
  <c r="G538" i="2"/>
  <c r="G323" i="2"/>
  <c r="E323" i="2" s="1"/>
  <c r="G268" i="2"/>
  <c r="E268" i="2" s="1"/>
  <c r="G139" i="2"/>
  <c r="G407" i="2"/>
  <c r="G135" i="2"/>
  <c r="G50" i="5"/>
  <c r="G244" i="2"/>
  <c r="G348" i="2"/>
  <c r="G330" i="2"/>
  <c r="G835" i="2"/>
  <c r="G595" i="2"/>
  <c r="G770" i="2"/>
  <c r="G288" i="2"/>
  <c r="G392" i="2"/>
  <c r="G827" i="2"/>
  <c r="G774" i="2"/>
  <c r="G626" i="2"/>
  <c r="G8" i="2"/>
  <c r="G320" i="2"/>
  <c r="G790" i="2"/>
  <c r="G421" i="2"/>
  <c r="G764" i="2"/>
  <c r="G360" i="2"/>
  <c r="G145" i="2"/>
  <c r="G243" i="2"/>
  <c r="G568" i="2"/>
  <c r="G263" i="2"/>
  <c r="G39" i="5"/>
  <c r="G924" i="2"/>
  <c r="G193" i="2"/>
  <c r="G572" i="2"/>
  <c r="G274" i="2"/>
  <c r="G899" i="2"/>
  <c r="G373" i="2"/>
  <c r="E373" i="2" s="1"/>
  <c r="G775" i="2"/>
  <c r="E775" i="2" s="1"/>
  <c r="G916" i="2"/>
  <c r="G366" i="2"/>
  <c r="G679" i="2"/>
  <c r="G90" i="2"/>
  <c r="E90" i="2" s="1"/>
  <c r="G919" i="2"/>
  <c r="G22" i="2"/>
  <c r="G380" i="2"/>
  <c r="G943" i="2"/>
  <c r="G390" i="2"/>
  <c r="G279" i="2"/>
  <c r="G781" i="2"/>
  <c r="G370" i="2"/>
  <c r="E370" i="2" s="1"/>
  <c r="G492" i="2"/>
  <c r="G6" i="3"/>
  <c r="G9" i="3"/>
  <c r="G507" i="2"/>
  <c r="G90" i="3"/>
  <c r="G726" i="2"/>
  <c r="G795" i="2"/>
  <c r="G67" i="3"/>
  <c r="G502" i="2"/>
  <c r="G8" i="3"/>
  <c r="G38" i="3"/>
  <c r="G13" i="3"/>
  <c r="G21" i="3"/>
  <c r="G735" i="2"/>
  <c r="G740" i="2"/>
  <c r="G776" i="2"/>
  <c r="G510" i="2"/>
  <c r="G179" i="2"/>
  <c r="G739" i="2"/>
  <c r="G53" i="2"/>
  <c r="G806" i="2"/>
  <c r="G799" i="2"/>
  <c r="G801" i="2"/>
  <c r="G19" i="2"/>
  <c r="E19" i="2" s="1"/>
  <c r="G16" i="2"/>
  <c r="G17" i="2"/>
  <c r="E17" i="2" s="1"/>
  <c r="G20" i="2"/>
  <c r="E20" i="2" s="1"/>
  <c r="G13" i="2"/>
  <c r="E13" i="2" s="1"/>
  <c r="G21" i="2"/>
  <c r="G467" i="2"/>
  <c r="G468" i="2"/>
  <c r="G483" i="2"/>
  <c r="E483" i="2" s="1"/>
  <c r="G456" i="2"/>
  <c r="G473" i="2"/>
  <c r="E473" i="2" s="1"/>
  <c r="G624" i="2"/>
  <c r="G501" i="2"/>
  <c r="E501" i="2" s="1"/>
  <c r="G526" i="2"/>
  <c r="E526" i="2" s="1"/>
  <c r="G555" i="2"/>
  <c r="G48" i="5"/>
  <c r="G819" i="2"/>
  <c r="G404" i="2"/>
  <c r="G281" i="2"/>
  <c r="G673" i="2"/>
  <c r="G642" i="2"/>
  <c r="G598" i="2"/>
  <c r="E598" i="2" s="1"/>
  <c r="G96" i="2"/>
  <c r="G106" i="2"/>
  <c r="G437" i="2"/>
  <c r="G743" i="2"/>
  <c r="G754" i="2"/>
  <c r="G406" i="2"/>
  <c r="G640" i="2"/>
  <c r="G771" i="2"/>
  <c r="G580" i="2"/>
  <c r="G208" i="2"/>
  <c r="G868" i="2"/>
  <c r="G516" i="2"/>
  <c r="G339" i="2"/>
  <c r="G42" i="2"/>
  <c r="G582" i="2"/>
  <c r="G666" i="2"/>
  <c r="G714" i="2"/>
  <c r="G930" i="2"/>
  <c r="G567" i="2"/>
  <c r="G517" i="2"/>
  <c r="G211" i="2"/>
  <c r="G50" i="2"/>
  <c r="G9" i="2"/>
  <c r="G519" i="2"/>
  <c r="G94" i="2"/>
  <c r="G337" i="2"/>
  <c r="G222" i="2"/>
  <c r="G936" i="2"/>
  <c r="G772" i="2"/>
  <c r="G375" i="2"/>
  <c r="G768" i="2"/>
  <c r="G749" i="2"/>
  <c r="G932" i="2"/>
  <c r="G334" i="2"/>
  <c r="G704" i="2"/>
  <c r="G786" i="2"/>
  <c r="G362" i="2"/>
  <c r="G923" i="2"/>
  <c r="G694" i="2"/>
  <c r="G264" i="2"/>
  <c r="G713" i="2"/>
  <c r="G39" i="2"/>
  <c r="G412" i="2"/>
  <c r="G400" i="2"/>
  <c r="G820" i="2"/>
  <c r="G226" i="2"/>
  <c r="G697" i="2"/>
  <c r="G234" i="2"/>
  <c r="G577" i="2"/>
  <c r="G532" i="2"/>
  <c r="G34" i="5"/>
  <c r="G660" i="2"/>
  <c r="G767" i="2"/>
  <c r="G236" i="2"/>
  <c r="G202" i="2"/>
  <c r="G633" i="2"/>
  <c r="G627" i="2"/>
  <c r="G571" i="2"/>
  <c r="G869" i="2"/>
  <c r="G266" i="2"/>
  <c r="G581" i="2"/>
  <c r="G35" i="2"/>
  <c r="G307" i="2"/>
  <c r="G341" i="2"/>
  <c r="G249" i="2"/>
  <c r="G445" i="2"/>
  <c r="G381" i="2"/>
  <c r="G441" i="2"/>
  <c r="G937" i="2"/>
  <c r="G197" i="2"/>
  <c r="G55" i="5"/>
  <c r="G141" i="2"/>
  <c r="G894" i="2"/>
  <c r="G365" i="2"/>
  <c r="G397" i="2"/>
  <c r="G888" i="2"/>
  <c r="G719" i="2"/>
  <c r="G252" i="2"/>
  <c r="G579" i="2"/>
  <c r="G417" i="2"/>
  <c r="G809" i="2"/>
  <c r="G832" i="2"/>
  <c r="G402" i="2"/>
  <c r="G328" i="2"/>
  <c r="G7" i="2"/>
  <c r="G742" i="2"/>
  <c r="G411" i="2"/>
  <c r="G444" i="2"/>
  <c r="G597" i="2"/>
  <c r="G56" i="3"/>
  <c r="G31" i="3"/>
  <c r="G58" i="3"/>
  <c r="G282" i="2"/>
  <c r="G65" i="3"/>
  <c r="G43" i="3"/>
  <c r="G12" i="3"/>
  <c r="G78" i="3"/>
  <c r="G24" i="3"/>
  <c r="G929" i="2"/>
  <c r="G100" i="2"/>
  <c r="G87" i="3"/>
  <c r="G500" i="2"/>
  <c r="G498" i="2"/>
  <c r="G159" i="2"/>
  <c r="G191" i="2"/>
  <c r="G737" i="2"/>
  <c r="G512" i="2"/>
  <c r="G676" i="2"/>
  <c r="G162" i="2"/>
  <c r="G5" i="3"/>
  <c r="G68" i="2"/>
  <c r="G302" i="2"/>
  <c r="E302" i="2" s="1"/>
  <c r="G800" i="2"/>
  <c r="G121" i="2"/>
  <c r="G122" i="2"/>
  <c r="G124" i="2"/>
  <c r="G176" i="2"/>
  <c r="G798" i="2"/>
  <c r="G469" i="2"/>
  <c r="G728" i="2"/>
  <c r="G278" i="2"/>
  <c r="G461" i="2"/>
  <c r="G457" i="2"/>
  <c r="G622" i="2"/>
  <c r="G212" i="2"/>
  <c r="G557" i="2"/>
  <c r="G689" i="2"/>
  <c r="G25" i="2"/>
  <c r="G681" i="2"/>
  <c r="G606" i="2"/>
  <c r="G562" i="2"/>
  <c r="G718" i="2"/>
  <c r="G378" i="2"/>
  <c r="G601" i="2"/>
  <c r="G852" i="2"/>
  <c r="G744" i="2"/>
  <c r="G561" i="2"/>
  <c r="G703" i="2"/>
  <c r="G87" i="2"/>
  <c r="G560" i="2"/>
  <c r="G118" i="2"/>
  <c r="G789" i="2"/>
  <c r="G826" i="2"/>
  <c r="G349" i="2"/>
  <c r="G165" i="2"/>
  <c r="G221" i="2"/>
  <c r="G851" i="2"/>
  <c r="G347" i="2"/>
  <c r="G818" i="2"/>
  <c r="G765" i="2"/>
  <c r="G933" i="2"/>
  <c r="G839" i="2"/>
  <c r="G810" i="2"/>
  <c r="G862" i="2"/>
  <c r="G28" i="2"/>
  <c r="G609" i="2"/>
  <c r="G645" i="2"/>
  <c r="G760" i="2"/>
  <c r="E760" i="2" s="1"/>
  <c r="G108" i="2"/>
  <c r="G371" i="2"/>
  <c r="G811" i="2"/>
  <c r="G393" i="2"/>
  <c r="G696" i="2"/>
  <c r="G639" i="2"/>
  <c r="G569" i="2"/>
  <c r="G153" i="2"/>
  <c r="E153" i="2" s="1"/>
  <c r="G104" i="2"/>
  <c r="G40" i="2"/>
  <c r="G856" i="2"/>
  <c r="G180" i="2"/>
  <c r="G698" i="2"/>
  <c r="G823" i="2"/>
  <c r="G708" i="2"/>
  <c r="G358" i="2"/>
  <c r="G58" i="5"/>
  <c r="G587" i="2"/>
  <c r="G51" i="5"/>
  <c r="G859" i="2"/>
  <c r="G588" i="2"/>
  <c r="G276" i="2"/>
  <c r="G326" i="2"/>
  <c r="G550" i="2"/>
  <c r="G246" i="2"/>
  <c r="G114" i="2"/>
  <c r="G57" i="2"/>
  <c r="G663" i="2"/>
  <c r="G382" i="2"/>
  <c r="G26" i="2"/>
  <c r="G833" i="2"/>
  <c r="G394" i="2"/>
  <c r="G137" i="2"/>
  <c r="G254" i="2"/>
  <c r="G766" i="2"/>
  <c r="G154" i="2"/>
  <c r="G585" i="2"/>
  <c r="G413" i="2"/>
  <c r="G928" i="2"/>
  <c r="G913" i="2"/>
  <c r="G720" i="2"/>
  <c r="G136" i="2"/>
  <c r="G313" i="2"/>
  <c r="G293" i="2"/>
  <c r="G49" i="5"/>
  <c r="G329" i="2"/>
  <c r="G352" i="2"/>
  <c r="G934" i="2"/>
  <c r="G316" i="2"/>
  <c r="G327" i="2"/>
  <c r="E327" i="2" s="1"/>
  <c r="G895" i="2"/>
  <c r="G685" i="2"/>
  <c r="G259" i="2"/>
  <c r="G77" i="2"/>
  <c r="G335" i="2"/>
  <c r="G664" i="2"/>
  <c r="G788" i="2"/>
  <c r="G292" i="2"/>
  <c r="G239" i="2"/>
  <c r="G398" i="2"/>
  <c r="G29" i="2"/>
  <c r="G706" i="2"/>
  <c r="G20" i="3"/>
  <c r="G41" i="3"/>
  <c r="G11" i="3"/>
  <c r="G186" i="2"/>
  <c r="G68" i="3"/>
  <c r="G83" i="3"/>
  <c r="G190" i="2"/>
  <c r="G189" i="2"/>
  <c r="G88" i="3"/>
  <c r="G89" i="3"/>
  <c r="G53" i="3"/>
  <c r="G61" i="3"/>
  <c r="G85" i="3"/>
  <c r="G188" i="2"/>
  <c r="G184" i="2"/>
  <c r="G513" i="2"/>
  <c r="G238" i="2"/>
  <c r="G504" i="2"/>
  <c r="G160" i="2"/>
  <c r="G85" i="2"/>
  <c r="G905" i="2"/>
  <c r="G130" i="2"/>
  <c r="E130" i="2" s="1"/>
  <c r="G71" i="2"/>
  <c r="E71" i="2" s="1"/>
  <c r="G730" i="2"/>
  <c r="E730" i="2" s="1"/>
  <c r="G175" i="2"/>
  <c r="E175" i="2" s="1"/>
  <c r="G486" i="2"/>
  <c r="E486" i="2" s="1"/>
  <c r="G589" i="2"/>
  <c r="G174" i="2"/>
  <c r="G625" i="2"/>
  <c r="E625" i="2" s="1"/>
  <c r="G478" i="2"/>
  <c r="G482" i="2"/>
  <c r="G454" i="2"/>
  <c r="G576" i="2"/>
  <c r="G452" i="2"/>
  <c r="E452" i="2" s="1"/>
  <c r="G621" i="2"/>
  <c r="G285" i="2"/>
  <c r="E285" i="2" s="1"/>
  <c r="G757" i="2"/>
  <c r="G152" i="2"/>
  <c r="E152" i="2" s="1"/>
  <c r="G377" i="2"/>
  <c r="G777" i="2"/>
  <c r="G867" i="2"/>
  <c r="G920" i="2"/>
  <c r="G409" i="2"/>
  <c r="E409" i="2" s="1"/>
  <c r="G596" i="2"/>
  <c r="G272" i="2"/>
  <c r="G43" i="5"/>
  <c r="G167" i="2"/>
  <c r="E167" i="2" s="1"/>
  <c r="G56" i="5"/>
  <c r="G376" i="2"/>
  <c r="G247" i="2"/>
  <c r="G49" i="2"/>
  <c r="G111" i="2"/>
  <c r="G709" i="2"/>
  <c r="G240" i="2"/>
  <c r="G559" i="2"/>
  <c r="E559" i="2" s="1"/>
  <c r="G434" i="2"/>
  <c r="E434" i="2" s="1"/>
  <c r="G834" i="2"/>
  <c r="E834" i="2" s="1"/>
  <c r="G157" i="2"/>
  <c r="E157" i="2" s="1"/>
  <c r="G745" i="2"/>
  <c r="E745" i="2" s="1"/>
  <c r="G389" i="2"/>
  <c r="G148" i="2"/>
  <c r="E148" i="2" s="1"/>
  <c r="G751" i="2"/>
  <c r="G56" i="2"/>
  <c r="E56" i="2" s="1"/>
  <c r="G876" i="2"/>
  <c r="E876" i="2" s="1"/>
  <c r="G218" i="2"/>
  <c r="G712" i="2"/>
  <c r="G565" i="2"/>
  <c r="G838" i="2"/>
  <c r="G701" i="2"/>
  <c r="G909" i="2"/>
  <c r="G140" i="2"/>
  <c r="G171" i="2"/>
  <c r="G405" i="2"/>
  <c r="E405" i="2" s="1"/>
  <c r="G367" i="2"/>
  <c r="E367" i="2" s="1"/>
  <c r="G427" i="2"/>
  <c r="E427" i="2" s="1"/>
  <c r="G544" i="2"/>
  <c r="G273" i="2"/>
  <c r="E273" i="2" s="1"/>
  <c r="G915" i="2"/>
  <c r="G935" i="2"/>
  <c r="E935" i="2" s="1"/>
  <c r="G27" i="2"/>
  <c r="E27" i="2" s="1"/>
  <c r="G691" i="2"/>
  <c r="G734" i="2"/>
  <c r="G593" i="2"/>
  <c r="G881" i="2"/>
  <c r="E881" i="2" s="1"/>
  <c r="G164" i="2"/>
  <c r="G220" i="2"/>
  <c r="G849" i="2"/>
  <c r="G53" i="5"/>
  <c r="G710" i="2"/>
  <c r="G383" i="2"/>
  <c r="E383" i="2" s="1"/>
  <c r="G874" i="2"/>
  <c r="G321" i="2"/>
  <c r="E321" i="2" s="1"/>
  <c r="G97" i="2"/>
  <c r="G31" i="2"/>
  <c r="E31" i="2" s="1"/>
  <c r="G431" i="2"/>
  <c r="G816" i="2"/>
  <c r="G692" i="2"/>
  <c r="G379" i="2"/>
  <c r="E379" i="2" s="1"/>
  <c r="G105" i="2"/>
  <c r="G731" i="2"/>
  <c r="E731" i="2" s="1"/>
  <c r="G548" i="2"/>
  <c r="E548" i="2" s="1"/>
  <c r="G424" i="2"/>
  <c r="G840" i="2"/>
  <c r="G758" i="2"/>
  <c r="E758" i="2" s="1"/>
  <c r="G91" i="2"/>
  <c r="G600" i="2"/>
  <c r="E600" i="2" s="1"/>
  <c r="G265" i="2"/>
  <c r="E265" i="2" s="1"/>
  <c r="G261" i="2"/>
  <c r="E261" i="2" s="1"/>
  <c r="G522" i="2"/>
  <c r="E522" i="2" s="1"/>
  <c r="G283" i="2"/>
  <c r="E283" i="2" s="1"/>
  <c r="G545" i="2"/>
  <c r="E545" i="2" s="1"/>
  <c r="G311" i="2"/>
  <c r="G430" i="2"/>
  <c r="E430" i="2" s="1"/>
  <c r="G911" i="2"/>
  <c r="E911" i="2" s="1"/>
  <c r="G546" i="2"/>
  <c r="E546" i="2" s="1"/>
  <c r="G791" i="2"/>
  <c r="G143" i="2"/>
  <c r="E143" i="2" s="1"/>
  <c r="G857" i="2"/>
  <c r="G524" i="2"/>
  <c r="G630" i="2"/>
  <c r="E630" i="2" s="1"/>
  <c r="G831" i="2"/>
  <c r="E831" i="2" s="1"/>
  <c r="G620" i="2"/>
  <c r="G610" i="2"/>
  <c r="E610" i="2" s="1"/>
  <c r="G192" i="2"/>
  <c r="E192" i="2" s="1"/>
  <c r="G518" i="2"/>
  <c r="E518" i="2" s="1"/>
  <c r="G79" i="2"/>
  <c r="E79" i="2" s="1"/>
  <c r="G59" i="2"/>
  <c r="E59" i="2" s="1"/>
  <c r="G199" i="2"/>
  <c r="G42" i="3"/>
  <c r="G10" i="3"/>
  <c r="G30" i="3"/>
  <c r="G45" i="3"/>
  <c r="G72" i="3"/>
  <c r="G237" i="2"/>
  <c r="G25" i="3"/>
  <c r="G499" i="2"/>
  <c r="G16" i="3"/>
  <c r="G19" i="3"/>
  <c r="G73" i="3"/>
  <c r="G44" i="3"/>
  <c r="G76" i="3"/>
  <c r="G736" i="2"/>
  <c r="G508" i="2"/>
  <c r="G738" i="2"/>
  <c r="G729" i="2"/>
  <c r="G715" i="2"/>
  <c r="G178" i="2"/>
  <c r="E178" i="2" s="1"/>
  <c r="G214" i="2"/>
  <c r="E214" i="2" s="1"/>
  <c r="G629" i="2"/>
  <c r="G342" i="2"/>
  <c r="E342" i="2" s="1"/>
  <c r="E599" i="2" l="1"/>
  <c r="E392" i="2"/>
  <c r="E827" i="2"/>
  <c r="G564" i="30"/>
  <c r="E1042" i="1" s="1"/>
  <c r="F1042" i="1" s="1"/>
  <c r="H566" i="30"/>
  <c r="H564" i="30" s="1"/>
  <c r="E603" i="2"/>
  <c r="E58" i="2"/>
  <c r="E815" i="2"/>
  <c r="E227" i="2"/>
  <c r="M821" i="2"/>
  <c r="E821" i="2" s="1"/>
  <c r="D821" i="2" s="1" a="1"/>
  <c r="M363" i="2"/>
  <c r="E363" i="2" s="1"/>
  <c r="D363" i="2" s="1" a="1"/>
  <c r="M509" i="2"/>
  <c r="E509" i="2" s="1"/>
  <c r="D509" i="2" s="1" a="1"/>
  <c r="M822" i="2"/>
  <c r="E822" i="2" s="1"/>
  <c r="D822" i="2" s="1" a="1"/>
  <c r="E673" i="2"/>
  <c r="E642" i="2"/>
  <c r="E819" i="2"/>
  <c r="E717" i="2"/>
  <c r="E183" i="2"/>
  <c r="E67" i="2"/>
  <c r="E481" i="2"/>
  <c r="E465" i="2"/>
  <c r="E456" i="2"/>
  <c r="J2635" i="26"/>
  <c r="E312" i="2"/>
  <c r="G824" i="33"/>
  <c r="E1251" i="1" s="1"/>
  <c r="F1251" i="1" s="1"/>
  <c r="I824" i="33" s="1"/>
  <c r="H826" i="33"/>
  <c r="H824" i="33" s="1"/>
  <c r="G864" i="33"/>
  <c r="E1253" i="1" s="1"/>
  <c r="F1253" i="1" s="1"/>
  <c r="I864" i="33" s="1"/>
  <c r="H866" i="33"/>
  <c r="H864" i="33" s="1"/>
  <c r="H846" i="33"/>
  <c r="H844" i="33" s="1"/>
  <c r="G844" i="33"/>
  <c r="E1252" i="1" s="1"/>
  <c r="F1252" i="1" s="1"/>
  <c r="I844" i="33" s="1"/>
  <c r="E693" i="2"/>
  <c r="D693" i="2" s="1" a="1"/>
  <c r="E144" i="2"/>
  <c r="E721" i="2"/>
  <c r="E801" i="2"/>
  <c r="E106" i="2"/>
  <c r="E594" i="2"/>
  <c r="E55" i="2"/>
  <c r="E206" i="2"/>
  <c r="E388" i="2"/>
  <c r="E921" i="2"/>
  <c r="E848" i="2"/>
  <c r="E139" i="2"/>
  <c r="E407" i="2"/>
  <c r="E568" i="2"/>
  <c r="E263" i="2"/>
  <c r="E924" i="2"/>
  <c r="E943" i="2"/>
  <c r="E726" i="2"/>
  <c r="E735" i="2"/>
  <c r="E281" i="2"/>
  <c r="I945" i="2"/>
  <c r="K945" i="2"/>
  <c r="H945" i="2"/>
  <c r="E892" i="2"/>
  <c r="E824" i="2"/>
  <c r="E632" i="2"/>
  <c r="E842" i="2"/>
  <c r="E24" i="2"/>
  <c r="E695" i="2"/>
  <c r="E219" i="2"/>
  <c r="E280" i="2"/>
  <c r="E10" i="2"/>
  <c r="E580" i="2"/>
  <c r="E797" i="2"/>
  <c r="E350" i="2"/>
  <c r="E784" i="2"/>
  <c r="E891" i="2"/>
  <c r="E37" i="2"/>
  <c r="E883" i="2"/>
  <c r="E23" i="2"/>
  <c r="E611" i="2"/>
  <c r="E537" i="2"/>
  <c r="E925" i="2"/>
  <c r="E872" i="2"/>
  <c r="E918" i="2"/>
  <c r="E309" i="2"/>
  <c r="E939" i="2"/>
  <c r="E374" i="2"/>
  <c r="E315" i="2"/>
  <c r="E357" i="2"/>
  <c r="E169" i="2"/>
  <c r="E30" i="2"/>
  <c r="E447" i="2"/>
  <c r="E583" i="2"/>
  <c r="E858" i="2"/>
  <c r="E112" i="2"/>
  <c r="E217" i="2"/>
  <c r="E558" i="2"/>
  <c r="E208" i="2"/>
  <c r="E666" i="2"/>
  <c r="E930" i="2"/>
  <c r="E567" i="2"/>
  <c r="E517" i="2"/>
  <c r="E211" i="2"/>
  <c r="E50" i="2"/>
  <c r="E9" i="2"/>
  <c r="E519" i="2"/>
  <c r="E94" i="2"/>
  <c r="E222" i="2"/>
  <c r="E936" i="2"/>
  <c r="E767" i="2"/>
  <c r="E444" i="2"/>
  <c r="E782" i="2"/>
  <c r="E938" i="2"/>
  <c r="E607" i="2"/>
  <c r="E591" i="2"/>
  <c r="E207" i="2"/>
  <c r="E248" i="2"/>
  <c r="E514" i="2"/>
  <c r="E900" i="2"/>
  <c r="E535" i="2"/>
  <c r="E133" i="2"/>
  <c r="E870" i="2"/>
  <c r="E700" i="2"/>
  <c r="E440" i="2"/>
  <c r="E763" i="2"/>
  <c r="E873" i="2"/>
  <c r="E425" i="2"/>
  <c r="E844" i="2"/>
  <c r="E372" i="2"/>
  <c r="E256" i="2"/>
  <c r="E761" i="2"/>
  <c r="E149" i="2"/>
  <c r="E163" i="2"/>
  <c r="E727" i="2"/>
  <c r="E126" i="2"/>
  <c r="E15" i="2"/>
  <c r="E66" i="2"/>
  <c r="E803" i="2"/>
  <c r="E182" i="2"/>
  <c r="E173" i="2"/>
  <c r="E74" i="2"/>
  <c r="E474" i="2"/>
  <c r="E485" i="2"/>
  <c r="E459" i="2"/>
  <c r="E455" i="2"/>
  <c r="E453" i="2"/>
  <c r="E415" i="2"/>
  <c r="E866" i="2"/>
  <c r="E716" i="2"/>
  <c r="E650" i="2"/>
  <c r="E684" i="2"/>
  <c r="E257" i="2"/>
  <c r="E863" i="2"/>
  <c r="E117" i="2"/>
  <c r="E54" i="2"/>
  <c r="E657" i="2"/>
  <c r="E748" i="2"/>
  <c r="E794" i="2"/>
  <c r="E670" i="2"/>
  <c r="E101" i="2"/>
  <c r="E613" i="2"/>
  <c r="E652" i="2"/>
  <c r="E95" i="2"/>
  <c r="E724" i="2"/>
  <c r="E436" i="2"/>
  <c r="E44" i="2"/>
  <c r="E796" i="2"/>
  <c r="E941" i="2"/>
  <c r="E752" i="2"/>
  <c r="E336" i="2"/>
  <c r="E875" i="2"/>
  <c r="E614" i="2"/>
  <c r="E14" i="2"/>
  <c r="E733" i="2"/>
  <c r="E129" i="2"/>
  <c r="E86" i="2"/>
  <c r="E295" i="2"/>
  <c r="E846" i="2"/>
  <c r="E494" i="2"/>
  <c r="E463" i="2"/>
  <c r="E489" i="2"/>
  <c r="E575" i="2"/>
  <c r="E573" i="2"/>
  <c r="E496" i="2"/>
  <c r="E527" i="2"/>
  <c r="E877" i="2"/>
  <c r="E325" i="2"/>
  <c r="E552" i="2"/>
  <c r="E893" i="2"/>
  <c r="E200" i="2"/>
  <c r="E275" i="2"/>
  <c r="E644" i="2"/>
  <c r="E619" i="2"/>
  <c r="E52" i="2"/>
  <c r="E387" i="2"/>
  <c r="E792" i="2"/>
  <c r="E155" i="2"/>
  <c r="E224" i="2"/>
  <c r="E901" i="2"/>
  <c r="E107" i="2"/>
  <c r="E813" i="2"/>
  <c r="E340" i="2"/>
  <c r="E385" i="2"/>
  <c r="E408" i="2"/>
  <c r="E646" i="2"/>
  <c r="E45" i="2"/>
  <c r="E671" i="2"/>
  <c r="E783" i="2"/>
  <c r="E896" i="2"/>
  <c r="E310" i="2"/>
  <c r="E762" i="2"/>
  <c r="E233" i="2"/>
  <c r="E705" i="2"/>
  <c r="E853" i="2"/>
  <c r="E258" i="2"/>
  <c r="E150" i="2"/>
  <c r="E667" i="2"/>
  <c r="E213" i="2"/>
  <c r="E648" i="2"/>
  <c r="E785" i="2"/>
  <c r="E755" i="2"/>
  <c r="E386" i="2"/>
  <c r="E592" i="2"/>
  <c r="E683" i="2"/>
  <c r="E636" i="2"/>
  <c r="E668" i="2"/>
  <c r="E654" i="2"/>
  <c r="E103" i="2"/>
  <c r="E634" i="2"/>
  <c r="E369" i="2"/>
  <c r="E375" i="2"/>
  <c r="E749" i="2"/>
  <c r="E334" i="2"/>
  <c r="E923" i="2"/>
  <c r="E264" i="2"/>
  <c r="E713" i="2"/>
  <c r="E412" i="2"/>
  <c r="E400" i="2"/>
  <c r="E820" i="2"/>
  <c r="E226" i="2"/>
  <c r="E697" i="2"/>
  <c r="E234" i="2"/>
  <c r="E577" i="2"/>
  <c r="E532" i="2"/>
  <c r="E660" i="2"/>
  <c r="E236" i="2"/>
  <c r="E202" i="2"/>
  <c r="E633" i="2"/>
  <c r="E571" i="2"/>
  <c r="E869" i="2"/>
  <c r="E266" i="2"/>
  <c r="E581" i="2"/>
  <c r="E35" i="2"/>
  <c r="E307" i="2"/>
  <c r="E341" i="2"/>
  <c r="E445" i="2"/>
  <c r="E381" i="2"/>
  <c r="E441" i="2"/>
  <c r="E937" i="2"/>
  <c r="E197" i="2"/>
  <c r="E141" i="2"/>
  <c r="E894" i="2"/>
  <c r="E365" i="2"/>
  <c r="E397" i="2"/>
  <c r="E888" i="2"/>
  <c r="E252" i="2"/>
  <c r="E579" i="2"/>
  <c r="E417" i="2"/>
  <c r="E809" i="2"/>
  <c r="E832" i="2"/>
  <c r="E402" i="2"/>
  <c r="E328" i="2"/>
  <c r="E742" i="2"/>
  <c r="E411" i="2"/>
  <c r="E597" i="2"/>
  <c r="E278" i="2"/>
  <c r="E276" i="2"/>
  <c r="E137" i="2"/>
  <c r="E293" i="2"/>
  <c r="E478" i="2"/>
  <c r="E454" i="2"/>
  <c r="E915" i="2"/>
  <c r="E131" i="2"/>
  <c r="E127" i="2"/>
  <c r="E845" i="2"/>
  <c r="E802" i="2"/>
  <c r="E817" i="2"/>
  <c r="E805" i="2"/>
  <c r="E294" i="2"/>
  <c r="E480" i="2"/>
  <c r="E488" i="2"/>
  <c r="E479" i="2"/>
  <c r="E460" i="2"/>
  <c r="E493" i="2"/>
  <c r="E466" i="2"/>
  <c r="E487" i="2"/>
  <c r="E529" i="2"/>
  <c r="E32" i="2"/>
  <c r="E359" i="2"/>
  <c r="E225" i="2"/>
  <c r="E201" i="2"/>
  <c r="E680" i="2"/>
  <c r="E115" i="2"/>
  <c r="E536" i="2"/>
  <c r="E542" i="2"/>
  <c r="E662" i="2"/>
  <c r="E250" i="2"/>
  <c r="E520" i="2"/>
  <c r="E678" i="2"/>
  <c r="E80" i="2"/>
  <c r="E756" i="2"/>
  <c r="E110" i="2"/>
  <c r="E886" i="2"/>
  <c r="E584" i="2"/>
  <c r="E120" i="2"/>
  <c r="E604" i="2"/>
  <c r="E423" i="2"/>
  <c r="E779" i="2"/>
  <c r="E814" i="2"/>
  <c r="E255" i="2"/>
  <c r="E132" i="2"/>
  <c r="E364" i="2"/>
  <c r="E615" i="2"/>
  <c r="E146" i="2"/>
  <c r="E92" i="2"/>
  <c r="E686" i="2"/>
  <c r="E702" i="2"/>
  <c r="E578" i="2"/>
  <c r="E563" i="2"/>
  <c r="E314" i="2"/>
  <c r="E825" i="2"/>
  <c r="E722" i="2"/>
  <c r="E672" i="2"/>
  <c r="E549" i="2"/>
  <c r="E109" i="2"/>
  <c r="E395" i="2"/>
  <c r="E647" i="2"/>
  <c r="E808" i="2"/>
  <c r="E205" i="2"/>
  <c r="E11" i="2"/>
  <c r="E638" i="2"/>
  <c r="E209" i="2"/>
  <c r="E269" i="2"/>
  <c r="E172" i="2"/>
  <c r="E267" i="2"/>
  <c r="E741" i="2"/>
  <c r="E82" i="2"/>
  <c r="E353" i="2"/>
  <c r="E641" i="2"/>
  <c r="E551" i="2"/>
  <c r="E649" i="2"/>
  <c r="E43" i="2"/>
  <c r="E245" i="2"/>
  <c r="E836" i="2"/>
  <c r="E98" i="2"/>
  <c r="E525" i="2"/>
  <c r="E435" i="2"/>
  <c r="E688" i="2"/>
  <c r="E564" i="2"/>
  <c r="E556" i="2"/>
  <c r="E290" i="2"/>
  <c r="E356" i="2"/>
  <c r="E93" i="2"/>
  <c r="E416" i="2"/>
  <c r="E511" i="2"/>
  <c r="E64" i="2"/>
  <c r="E506" i="2"/>
  <c r="E161" i="2"/>
  <c r="E675" i="2"/>
  <c r="E804" i="2"/>
  <c r="E194" i="2"/>
  <c r="E138" i="2"/>
  <c r="E343" i="2"/>
  <c r="E669" i="2"/>
  <c r="E653" i="2"/>
  <c r="E242" i="2"/>
  <c r="E355" i="2"/>
  <c r="E317" i="2"/>
  <c r="E860" i="2"/>
  <c r="E63" i="2"/>
  <c r="E879" i="2"/>
  <c r="E235" i="2"/>
  <c r="E75" i="2"/>
  <c r="E890" i="2"/>
  <c r="E262" i="2"/>
  <c r="E530" i="2"/>
  <c r="E889" i="2"/>
  <c r="E289" i="2"/>
  <c r="E861" i="2"/>
  <c r="E396" i="2"/>
  <c r="E170" i="2"/>
  <c r="E439" i="2"/>
  <c r="E531" i="2"/>
  <c r="E807" i="2"/>
  <c r="E429" i="2"/>
  <c r="E277" i="2"/>
  <c r="E449" i="2"/>
  <c r="E253" i="2"/>
  <c r="E433" i="2"/>
  <c r="E142" i="2"/>
  <c r="E880" i="2"/>
  <c r="E547" i="2"/>
  <c r="E659" i="2"/>
  <c r="E216" i="2"/>
  <c r="E229" i="2"/>
  <c r="E884" i="2"/>
  <c r="E102" i="2"/>
  <c r="E418" i="2"/>
  <c r="E33" i="2"/>
  <c r="E12" i="2"/>
  <c r="E850" i="2"/>
  <c r="E897" i="2"/>
  <c r="E324" i="2"/>
  <c r="E651" i="2"/>
  <c r="E910" i="2"/>
  <c r="E204" i="2"/>
  <c r="E420" i="2"/>
  <c r="E403" i="2"/>
  <c r="E778" i="2"/>
  <c r="E241" i="2"/>
  <c r="E41" i="2"/>
  <c r="E46" i="2"/>
  <c r="E586" i="2"/>
  <c r="E446" i="2"/>
  <c r="E70" i="2"/>
  <c r="E299" i="2"/>
  <c r="E732" i="2"/>
  <c r="E69" i="2"/>
  <c r="E298" i="2"/>
  <c r="E99" i="2"/>
  <c r="E123" i="2"/>
  <c r="E18" i="2"/>
  <c r="E608" i="2"/>
  <c r="E181" i="2"/>
  <c r="E296" i="2"/>
  <c r="E472" i="2"/>
  <c r="E475" i="2"/>
  <c r="E476" i="2"/>
  <c r="E462" i="2"/>
  <c r="E495" i="2"/>
  <c r="E865" i="2"/>
  <c r="E286" i="2"/>
  <c r="E855" i="2"/>
  <c r="E89" i="2"/>
  <c r="E231" i="2"/>
  <c r="E215" i="2"/>
  <c r="E368" i="2"/>
  <c r="E134" i="2"/>
  <c r="E351" i="2"/>
  <c r="E271" i="2"/>
  <c r="E656" i="2"/>
  <c r="E566" i="2"/>
  <c r="E707" i="2"/>
  <c r="E65" i="2"/>
  <c r="E318" i="2"/>
  <c r="E605" i="2"/>
  <c r="E291" i="2"/>
  <c r="E616" i="2"/>
  <c r="E410" i="2"/>
  <c r="E422" i="2"/>
  <c r="E88" i="2"/>
  <c r="E399" i="2"/>
  <c r="E270" i="2"/>
  <c r="E759" i="2"/>
  <c r="E753" i="2"/>
  <c r="E917" i="2"/>
  <c r="E251" i="2"/>
  <c r="E812" i="2"/>
  <c r="E747" i="2"/>
  <c r="E618" i="2"/>
  <c r="E48" i="2"/>
  <c r="E113" i="2"/>
  <c r="E401" i="2"/>
  <c r="E602" i="2"/>
  <c r="E147" i="2"/>
  <c r="E665" i="2"/>
  <c r="E38" i="2"/>
  <c r="E541" i="2"/>
  <c r="E922" i="2"/>
  <c r="E391" i="2"/>
  <c r="E287" i="2"/>
  <c r="E322" i="2"/>
  <c r="E228" i="2"/>
  <c r="E168" i="2"/>
  <c r="E828" i="2"/>
  <c r="E301" i="2"/>
  <c r="E119" i="2"/>
  <c r="E151" i="2"/>
  <c r="E942" i="2"/>
  <c r="E927" i="2"/>
  <c r="E631" i="2"/>
  <c r="E158" i="2"/>
  <c r="E443" i="2"/>
  <c r="E661" i="2"/>
  <c r="E904" i="2"/>
  <c r="E590" i="2"/>
  <c r="E711" i="2"/>
  <c r="E543" i="2"/>
  <c r="E187" i="2"/>
  <c r="E847" i="2"/>
  <c r="E674" i="2"/>
  <c r="E515" i="2"/>
  <c r="E448" i="2"/>
  <c r="E902" i="2"/>
  <c r="E773" i="2"/>
  <c r="E903" i="2"/>
  <c r="E384" i="2"/>
  <c r="E84" i="2"/>
  <c r="E177" i="2"/>
  <c r="E677" i="2"/>
  <c r="E304" i="2"/>
  <c r="E450" i="2"/>
  <c r="E34" i="2"/>
  <c r="E534" i="2"/>
  <c r="E887" i="2"/>
  <c r="E528" i="2"/>
  <c r="E940" i="2"/>
  <c r="E260" i="2"/>
  <c r="E47" i="2"/>
  <c r="E643" i="2"/>
  <c r="E750" i="2"/>
  <c r="E539" i="2"/>
  <c r="E521" i="2"/>
  <c r="E83" i="2"/>
  <c r="E419" i="2"/>
  <c r="E830" i="2"/>
  <c r="E81" i="2"/>
  <c r="E843" i="2"/>
  <c r="E319" i="2"/>
  <c r="E658" i="2"/>
  <c r="E690" i="2"/>
  <c r="E198" i="2"/>
  <c r="E793" i="2"/>
  <c r="E837" i="2"/>
  <c r="E829" i="2"/>
  <c r="E51" i="2"/>
  <c r="E885" i="2"/>
  <c r="E769" i="2"/>
  <c r="E156" i="2"/>
  <c r="E490" i="2"/>
  <c r="E223" i="2"/>
  <c r="E428" i="2"/>
  <c r="E491" i="2"/>
  <c r="E503" i="2"/>
  <c r="E540" i="2"/>
  <c r="E185" i="2"/>
  <c r="E300" i="2"/>
  <c r="E787" i="2"/>
  <c r="E617" i="2"/>
  <c r="E854" i="2"/>
  <c r="E497" i="2"/>
  <c r="E628" i="2"/>
  <c r="E505" i="2"/>
  <c r="E623" i="2"/>
  <c r="E128" i="2"/>
  <c r="E907" i="2"/>
  <c r="E73" i="2"/>
  <c r="E303" i="2"/>
  <c r="E906" i="2"/>
  <c r="E125" i="2"/>
  <c r="E458" i="2"/>
  <c r="E574" i="2"/>
  <c r="E451" i="2"/>
  <c r="E484" i="2"/>
  <c r="E297" i="2"/>
  <c r="E470" i="2"/>
  <c r="E723" i="2"/>
  <c r="E426" i="2"/>
  <c r="E533" i="2"/>
  <c r="E344" i="2"/>
  <c r="E305" i="2"/>
  <c r="E230" i="2"/>
  <c r="E841" i="2"/>
  <c r="E338" i="2"/>
  <c r="E553" i="2"/>
  <c r="E332" i="2"/>
  <c r="E432" i="2"/>
  <c r="E195" i="2"/>
  <c r="E898" i="2"/>
  <c r="E612" i="2"/>
  <c r="E438" i="2"/>
  <c r="E346" i="2"/>
  <c r="E682" i="2"/>
  <c r="E60" i="2"/>
  <c r="E912" i="2"/>
  <c r="E210" i="2"/>
  <c r="E523" i="2"/>
  <c r="E361" i="2"/>
  <c r="E878" i="2"/>
  <c r="E554" i="2"/>
  <c r="E699" i="2"/>
  <c r="E780" i="2"/>
  <c r="E687" i="2"/>
  <c r="E308" i="2"/>
  <c r="E882" i="2"/>
  <c r="E442" i="2"/>
  <c r="E655" i="2"/>
  <c r="E76" i="2"/>
  <c r="E926" i="2"/>
  <c r="E78" i="2"/>
  <c r="E746" i="2"/>
  <c r="E538" i="2"/>
  <c r="E135" i="2"/>
  <c r="E244" i="2"/>
  <c r="E348" i="2"/>
  <c r="E330" i="2"/>
  <c r="E835" i="2"/>
  <c r="E595" i="2"/>
  <c r="E770" i="2"/>
  <c r="E288" i="2"/>
  <c r="E774" i="2"/>
  <c r="E626" i="2"/>
  <c r="E8" i="2"/>
  <c r="E320" i="2"/>
  <c r="E790" i="2"/>
  <c r="E421" i="2"/>
  <c r="E764" i="2"/>
  <c r="E360" i="2"/>
  <c r="E145" i="2"/>
  <c r="E243" i="2"/>
  <c r="E193" i="2"/>
  <c r="E572" i="2"/>
  <c r="E274" i="2"/>
  <c r="E899" i="2"/>
  <c r="E916" i="2"/>
  <c r="E366" i="2"/>
  <c r="E679" i="2"/>
  <c r="E919" i="2"/>
  <c r="E22" i="2"/>
  <c r="E380" i="2"/>
  <c r="E390" i="2"/>
  <c r="E279" i="2"/>
  <c r="E781" i="2"/>
  <c r="E492" i="2"/>
  <c r="E507" i="2"/>
  <c r="E795" i="2"/>
  <c r="E502" i="2"/>
  <c r="E740" i="2"/>
  <c r="E776" i="2"/>
  <c r="E510" i="2"/>
  <c r="E179" i="2"/>
  <c r="E739" i="2"/>
  <c r="E53" i="2"/>
  <c r="E806" i="2"/>
  <c r="E799" i="2"/>
  <c r="E16" i="2"/>
  <c r="E21" i="2"/>
  <c r="E467" i="2"/>
  <c r="E468" i="2"/>
  <c r="E624" i="2"/>
  <c r="E555" i="2"/>
  <c r="E404" i="2"/>
  <c r="E96" i="2"/>
  <c r="E437" i="2"/>
  <c r="E743" i="2"/>
  <c r="E754" i="2"/>
  <c r="E406" i="2"/>
  <c r="E640" i="2"/>
  <c r="E771" i="2"/>
  <c r="E868" i="2"/>
  <c r="E516" i="2"/>
  <c r="E339" i="2"/>
  <c r="E42" i="2"/>
  <c r="E582" i="2"/>
  <c r="E714" i="2"/>
  <c r="E337" i="2"/>
  <c r="E772" i="2"/>
  <c r="E768" i="2"/>
  <c r="E932" i="2"/>
  <c r="E704" i="2"/>
  <c r="E786" i="2"/>
  <c r="E362" i="2"/>
  <c r="E694" i="2"/>
  <c r="E39" i="2"/>
  <c r="E627" i="2"/>
  <c r="E249" i="2"/>
  <c r="E719" i="2"/>
  <c r="E282" i="2"/>
  <c r="E929" i="2"/>
  <c r="E100" i="2"/>
  <c r="E500" i="2"/>
  <c r="E498" i="2"/>
  <c r="E159" i="2"/>
  <c r="E191" i="2"/>
  <c r="E737" i="2"/>
  <c r="E512" i="2"/>
  <c r="E676" i="2"/>
  <c r="E162" i="2"/>
  <c r="E68" i="2"/>
  <c r="E800" i="2"/>
  <c r="E121" i="2"/>
  <c r="E122" i="2"/>
  <c r="E124" i="2"/>
  <c r="E176" i="2"/>
  <c r="E798" i="2"/>
  <c r="E469" i="2"/>
  <c r="E728" i="2"/>
  <c r="E461" i="2"/>
  <c r="E457" i="2"/>
  <c r="E622" i="2"/>
  <c r="E212" i="2"/>
  <c r="E557" i="2"/>
  <c r="E689" i="2"/>
  <c r="E25" i="2"/>
  <c r="E681" i="2"/>
  <c r="E606" i="2"/>
  <c r="E562" i="2"/>
  <c r="E718" i="2"/>
  <c r="E378" i="2"/>
  <c r="E601" i="2"/>
  <c r="E852" i="2"/>
  <c r="E744" i="2"/>
  <c r="E561" i="2"/>
  <c r="E703" i="2"/>
  <c r="E87" i="2"/>
  <c r="E560" i="2"/>
  <c r="E118" i="2"/>
  <c r="E789" i="2"/>
  <c r="E826" i="2"/>
  <c r="E349" i="2"/>
  <c r="E165" i="2"/>
  <c r="E221" i="2"/>
  <c r="E851" i="2"/>
  <c r="E347" i="2"/>
  <c r="E818" i="2"/>
  <c r="E765" i="2"/>
  <c r="E933" i="2"/>
  <c r="E839" i="2"/>
  <c r="E810" i="2"/>
  <c r="E862" i="2"/>
  <c r="E28" i="2"/>
  <c r="E609" i="2"/>
  <c r="E645" i="2"/>
  <c r="E108" i="2"/>
  <c r="E371" i="2"/>
  <c r="E811" i="2"/>
  <c r="E393" i="2"/>
  <c r="E696" i="2"/>
  <c r="E639" i="2"/>
  <c r="E569" i="2"/>
  <c r="E104" i="2"/>
  <c r="E40" i="2"/>
  <c r="E856" i="2"/>
  <c r="E180" i="2"/>
  <c r="E698" i="2"/>
  <c r="E823" i="2"/>
  <c r="E708" i="2"/>
  <c r="E358" i="2"/>
  <c r="E587" i="2"/>
  <c r="E859" i="2"/>
  <c r="E588" i="2"/>
  <c r="E326" i="2"/>
  <c r="E550" i="2"/>
  <c r="E246" i="2"/>
  <c r="E114" i="2"/>
  <c r="E57" i="2"/>
  <c r="E663" i="2"/>
  <c r="E382" i="2"/>
  <c r="E26" i="2"/>
  <c r="E833" i="2"/>
  <c r="E394" i="2"/>
  <c r="E254" i="2"/>
  <c r="E766" i="2"/>
  <c r="E154" i="2"/>
  <c r="E585" i="2"/>
  <c r="E413" i="2"/>
  <c r="E928" i="2"/>
  <c r="E913" i="2"/>
  <c r="E720" i="2"/>
  <c r="E136" i="2"/>
  <c r="E313" i="2"/>
  <c r="E329" i="2"/>
  <c r="E352" i="2"/>
  <c r="E934" i="2"/>
  <c r="E316" i="2"/>
  <c r="E895" i="2"/>
  <c r="E685" i="2"/>
  <c r="E259" i="2"/>
  <c r="E77" i="2"/>
  <c r="E335" i="2"/>
  <c r="E664" i="2"/>
  <c r="E788" i="2"/>
  <c r="E292" i="2"/>
  <c r="E239" i="2"/>
  <c r="E398" i="2"/>
  <c r="E29" i="2"/>
  <c r="E706" i="2"/>
  <c r="E186" i="2"/>
  <c r="E190" i="2"/>
  <c r="E189" i="2"/>
  <c r="E188" i="2"/>
  <c r="E184" i="2"/>
  <c r="E513" i="2"/>
  <c r="E238" i="2"/>
  <c r="E504" i="2"/>
  <c r="E160" i="2"/>
  <c r="E85" i="2"/>
  <c r="E905" i="2"/>
  <c r="E589" i="2"/>
  <c r="E174" i="2"/>
  <c r="E482" i="2"/>
  <c r="E576" i="2"/>
  <c r="E621" i="2"/>
  <c r="E757" i="2"/>
  <c r="E377" i="2"/>
  <c r="E777" i="2"/>
  <c r="E867" i="2"/>
  <c r="E920" i="2"/>
  <c r="E596" i="2"/>
  <c r="E272" i="2"/>
  <c r="E376" i="2"/>
  <c r="E247" i="2"/>
  <c r="E49" i="2"/>
  <c r="E111" i="2"/>
  <c r="E709" i="2"/>
  <c r="E240" i="2"/>
  <c r="E389" i="2"/>
  <c r="E751" i="2"/>
  <c r="E218" i="2"/>
  <c r="E712" i="2"/>
  <c r="E565" i="2"/>
  <c r="E838" i="2"/>
  <c r="E701" i="2"/>
  <c r="E909" i="2"/>
  <c r="E140" i="2"/>
  <c r="E171" i="2"/>
  <c r="E544" i="2"/>
  <c r="E691" i="2"/>
  <c r="E734" i="2"/>
  <c r="E593" i="2"/>
  <c r="E164" i="2"/>
  <c r="E220" i="2"/>
  <c r="E849" i="2"/>
  <c r="E710" i="2"/>
  <c r="E874" i="2"/>
  <c r="E97" i="2"/>
  <c r="E431" i="2"/>
  <c r="E816" i="2"/>
  <c r="E692" i="2"/>
  <c r="E105" i="2"/>
  <c r="E424" i="2"/>
  <c r="E840" i="2"/>
  <c r="E91" i="2"/>
  <c r="E311" i="2"/>
  <c r="E791" i="2"/>
  <c r="E857" i="2"/>
  <c r="E524" i="2"/>
  <c r="E620" i="2"/>
  <c r="E199" i="2"/>
  <c r="E237" i="2"/>
  <c r="E499" i="2"/>
  <c r="E736" i="2"/>
  <c r="E508" i="2"/>
  <c r="E738" i="2"/>
  <c r="E729" i="2"/>
  <c r="E715" i="2"/>
  <c r="E629" i="2"/>
  <c r="E61" i="2"/>
  <c r="E570" i="2"/>
  <c r="E914" i="2"/>
  <c r="E203" i="2"/>
  <c r="E725" i="2"/>
  <c r="I104" i="30"/>
  <c r="J104" i="30" s="1"/>
  <c r="K104" i="30"/>
  <c r="M10" i="4"/>
  <c r="P91" i="3"/>
  <c r="P10" i="4"/>
  <c r="H487" i="33"/>
  <c r="P345" i="2" s="1"/>
  <c r="G486" i="33"/>
  <c r="H546" i="33"/>
  <c r="H544" i="33" s="1"/>
  <c r="G544" i="33"/>
  <c r="E1237" i="1" s="1"/>
  <c r="F1237" i="1" s="1"/>
  <c r="I544" i="33" s="1"/>
  <c r="H526" i="33"/>
  <c r="H524" i="33" s="1"/>
  <c r="G524" i="33"/>
  <c r="E1236" i="1" s="1"/>
  <c r="F1236" i="1" s="1"/>
  <c r="I524" i="33" s="1"/>
  <c r="P59" i="5"/>
  <c r="H886" i="33"/>
  <c r="H884" i="33" s="1"/>
  <c r="G884" i="33"/>
  <c r="E1254" i="1" s="1"/>
  <c r="F1254" i="1" s="1"/>
  <c r="I884" i="33" s="1"/>
  <c r="M91" i="3"/>
  <c r="H2957" i="26"/>
  <c r="H2955" i="26" s="1"/>
  <c r="G2955" i="26"/>
  <c r="E1005" i="1" s="1"/>
  <c r="F1005" i="1" s="1"/>
  <c r="I2955" i="26" s="1"/>
  <c r="G2757" i="26"/>
  <c r="H2758" i="26"/>
  <c r="M345" i="2" s="1"/>
  <c r="H3037" i="26"/>
  <c r="H3035" i="26" s="1"/>
  <c r="G3035" i="26"/>
  <c r="E1009" i="1" s="1"/>
  <c r="F1009" i="1" s="1"/>
  <c r="I3035" i="26" s="1"/>
  <c r="H3017" i="26"/>
  <c r="H3015" i="26" s="1"/>
  <c r="G3015" i="26"/>
  <c r="E1008" i="1" s="1"/>
  <c r="F1008" i="1" s="1"/>
  <c r="I3015" i="26" s="1"/>
  <c r="H2937" i="26"/>
  <c r="H2935" i="26" s="1"/>
  <c r="G2935" i="26"/>
  <c r="E1004" i="1" s="1"/>
  <c r="F1004" i="1" s="1"/>
  <c r="I2935" i="26" s="1"/>
  <c r="H2977" i="26"/>
  <c r="H2975" i="26" s="1"/>
  <c r="G2975" i="26"/>
  <c r="E1006" i="1" s="1"/>
  <c r="F1006" i="1" s="1"/>
  <c r="I2975" i="26" s="1"/>
  <c r="H2997" i="26"/>
  <c r="H2995" i="26" s="1"/>
  <c r="G2995" i="26"/>
  <c r="E1007" i="1" s="1"/>
  <c r="F1007" i="1" s="1"/>
  <c r="I2995" i="26" s="1"/>
  <c r="H2797" i="26"/>
  <c r="H2795" i="26" s="1"/>
  <c r="G2795" i="26"/>
  <c r="E997" i="1" s="1"/>
  <c r="F997" i="1" s="1"/>
  <c r="I2795" i="26" s="1"/>
  <c r="M59" i="5"/>
  <c r="G2915" i="26"/>
  <c r="E1003" i="1" s="1"/>
  <c r="F1003" i="1" s="1"/>
  <c r="I2915" i="26" s="1"/>
  <c r="H2917" i="26"/>
  <c r="H2915" i="26" s="1"/>
  <c r="G3056" i="26"/>
  <c r="E1010" i="1" s="1"/>
  <c r="H3058" i="26"/>
  <c r="H3056" i="26" s="1"/>
  <c r="G10" i="4"/>
  <c r="H2352" i="11"/>
  <c r="H2350" i="11" s="1"/>
  <c r="G2350" i="11"/>
  <c r="E264" i="1" s="1"/>
  <c r="F264" i="1" s="1"/>
  <c r="I2350" i="11" s="1"/>
  <c r="G2889" i="11"/>
  <c r="E289" i="1" s="1"/>
  <c r="F289" i="1" s="1"/>
  <c r="I2889" i="11" s="1"/>
  <c r="H2891" i="11"/>
  <c r="H2889" i="11" s="1"/>
  <c r="H1790" i="11"/>
  <c r="H1788" i="11" s="1"/>
  <c r="G1788" i="11"/>
  <c r="E238" i="1" s="1"/>
  <c r="F238" i="1" s="1"/>
  <c r="I1788" i="11" s="1"/>
  <c r="H726" i="11"/>
  <c r="H724" i="11" s="1"/>
  <c r="G724" i="11"/>
  <c r="E186" i="1" s="1"/>
  <c r="F186" i="1" s="1"/>
  <c r="I724" i="11" s="1"/>
  <c r="H2799" i="11"/>
  <c r="H2797" i="11" s="1"/>
  <c r="G2797" i="11"/>
  <c r="E285" i="1" s="1"/>
  <c r="F285" i="1" s="1"/>
  <c r="I2797" i="11" s="1"/>
  <c r="G1765" i="11"/>
  <c r="E237" i="1" s="1"/>
  <c r="F237" i="1" s="1"/>
  <c r="I1765" i="11" s="1"/>
  <c r="H1767" i="11"/>
  <c r="H1765" i="11" s="1"/>
  <c r="H766" i="11"/>
  <c r="H764" i="11" s="1"/>
  <c r="G764" i="11"/>
  <c r="E188" i="1" s="1"/>
  <c r="F188" i="1" s="1"/>
  <c r="I764" i="11" s="1"/>
  <c r="G2327" i="11"/>
  <c r="E263" i="1" s="1"/>
  <c r="F263" i="1" s="1"/>
  <c r="I2327" i="11" s="1"/>
  <c r="H2329" i="11"/>
  <c r="H2327" i="11" s="1"/>
  <c r="G1926" i="11"/>
  <c r="E244" i="1" s="1"/>
  <c r="F244" i="1" s="1"/>
  <c r="I1926" i="11" s="1"/>
  <c r="H1928" i="11"/>
  <c r="H1926" i="11" s="1"/>
  <c r="H1974" i="11"/>
  <c r="H1972" i="11" s="1"/>
  <c r="G1972" i="11"/>
  <c r="E246" i="1" s="1"/>
  <c r="F246" i="1" s="1"/>
  <c r="I1972" i="11" s="1"/>
  <c r="H588" i="11"/>
  <c r="G345" i="2" s="1"/>
  <c r="G586" i="11"/>
  <c r="H1905" i="11"/>
  <c r="H1903" i="11" s="1"/>
  <c r="G1903" i="11"/>
  <c r="E243" i="1" s="1"/>
  <c r="F243" i="1" s="1"/>
  <c r="I1903" i="11" s="1"/>
  <c r="G59" i="5"/>
  <c r="H786" i="11"/>
  <c r="H784" i="11" s="1"/>
  <c r="G784" i="11"/>
  <c r="E189" i="1" s="1"/>
  <c r="F189" i="1" s="1"/>
  <c r="I784" i="11" s="1"/>
  <c r="H2513" i="11"/>
  <c r="H2511" i="11" s="1"/>
  <c r="G2511" i="11"/>
  <c r="E271" i="1" s="1"/>
  <c r="F271" i="1" s="1"/>
  <c r="I2511" i="11" s="1"/>
  <c r="H1698" i="11"/>
  <c r="H1696" i="11" s="1"/>
  <c r="G1696" i="11"/>
  <c r="E234" i="1" s="1"/>
  <c r="F234" i="1" s="1"/>
  <c r="I1696" i="11" s="1"/>
  <c r="H706" i="11"/>
  <c r="H704" i="11" s="1"/>
  <c r="G704" i="11"/>
  <c r="E185" i="1" s="1"/>
  <c r="F185" i="1" s="1"/>
  <c r="I704" i="11" s="1"/>
  <c r="G2534" i="11"/>
  <c r="E272" i="1" s="1"/>
  <c r="F272" i="1" s="1"/>
  <c r="I2534" i="11" s="1"/>
  <c r="H2536" i="11"/>
  <c r="H2534" i="11" s="1"/>
  <c r="G1673" i="11"/>
  <c r="E233" i="1" s="1"/>
  <c r="F233" i="1" s="1"/>
  <c r="I1673" i="11" s="1"/>
  <c r="H1675" i="11"/>
  <c r="H1673" i="11" s="1"/>
  <c r="G2820" i="11"/>
  <c r="E286" i="1" s="1"/>
  <c r="F286" i="1" s="1"/>
  <c r="I2820" i="11" s="1"/>
  <c r="H2822" i="11"/>
  <c r="H2820" i="11" s="1"/>
  <c r="H1951" i="11"/>
  <c r="H1949" i="11" s="1"/>
  <c r="G1949" i="11"/>
  <c r="E245" i="1" s="1"/>
  <c r="F245" i="1" s="1"/>
  <c r="I1949" i="11" s="1"/>
  <c r="H1813" i="11"/>
  <c r="H1811" i="11" s="1"/>
  <c r="G1811" i="11"/>
  <c r="E239" i="1" s="1"/>
  <c r="F239" i="1" s="1"/>
  <c r="I1811" i="11" s="1"/>
  <c r="H2845" i="11"/>
  <c r="H2843" i="11" s="1"/>
  <c r="G2843" i="11"/>
  <c r="E287" i="1" s="1"/>
  <c r="F287" i="1" s="1"/>
  <c r="I2843" i="11" s="1"/>
  <c r="G2396" i="11"/>
  <c r="E266" i="1" s="1"/>
  <c r="F266" i="1" s="1"/>
  <c r="I2396" i="11" s="1"/>
  <c r="H2398" i="11"/>
  <c r="H2396" i="11" s="1"/>
  <c r="H1612" i="11"/>
  <c r="H1610" i="11" s="1"/>
  <c r="G1610" i="11"/>
  <c r="E230" i="1" s="1"/>
  <c r="F230" i="1" s="1"/>
  <c r="I1610" i="11" s="1"/>
  <c r="H1744" i="11"/>
  <c r="H1742" i="11" s="1"/>
  <c r="G1742" i="11"/>
  <c r="E236" i="1" s="1"/>
  <c r="F236" i="1" s="1"/>
  <c r="I1742" i="11" s="1"/>
  <c r="H626" i="11"/>
  <c r="H624" i="11" s="1"/>
  <c r="G624" i="11"/>
  <c r="E181" i="1" s="1"/>
  <c r="F181" i="1" s="1"/>
  <c r="I624" i="11" s="1"/>
  <c r="G2442" i="11"/>
  <c r="E268" i="1" s="1"/>
  <c r="F268" i="1" s="1"/>
  <c r="I2442" i="11" s="1"/>
  <c r="H2444" i="11"/>
  <c r="H2442" i="11" s="1"/>
  <c r="H646" i="11"/>
  <c r="H644" i="11" s="1"/>
  <c r="G644" i="11"/>
  <c r="E182" i="1" s="1"/>
  <c r="F182" i="1" s="1"/>
  <c r="I644" i="11" s="1"/>
  <c r="G2774" i="11"/>
  <c r="E284" i="1" s="1"/>
  <c r="F284" i="1" s="1"/>
  <c r="I2774" i="11" s="1"/>
  <c r="H2776" i="11"/>
  <c r="H2774" i="11" s="1"/>
  <c r="H1859" i="11"/>
  <c r="H1857" i="11" s="1"/>
  <c r="G1857" i="11"/>
  <c r="E241" i="1" s="1"/>
  <c r="F241" i="1" s="1"/>
  <c r="I1857" i="11" s="1"/>
  <c r="H686" i="11"/>
  <c r="H684" i="11" s="1"/>
  <c r="G684" i="11"/>
  <c r="E184" i="1" s="1"/>
  <c r="F184" i="1" s="1"/>
  <c r="I684" i="11" s="1"/>
  <c r="H2467" i="11"/>
  <c r="H2465" i="11" s="1"/>
  <c r="G2465" i="11"/>
  <c r="E269" i="1" s="1"/>
  <c r="F269" i="1" s="1"/>
  <c r="I2465" i="11" s="1"/>
  <c r="G1834" i="11"/>
  <c r="E240" i="1" s="1"/>
  <c r="F240" i="1" s="1"/>
  <c r="I1834" i="11" s="1"/>
  <c r="H1836" i="11"/>
  <c r="H1834" i="11" s="1"/>
  <c r="G664" i="11"/>
  <c r="E183" i="1" s="1"/>
  <c r="F183" i="1" s="1"/>
  <c r="I664" i="11" s="1"/>
  <c r="H666" i="11"/>
  <c r="H664" i="11" s="1"/>
  <c r="H2421" i="11"/>
  <c r="H2419" i="11" s="1"/>
  <c r="G2419" i="11"/>
  <c r="E267" i="1" s="1"/>
  <c r="F267" i="1" s="1"/>
  <c r="I2419" i="11" s="1"/>
  <c r="G2488" i="11"/>
  <c r="E270" i="1" s="1"/>
  <c r="F270" i="1" s="1"/>
  <c r="I2488" i="11" s="1"/>
  <c r="H2490" i="11"/>
  <c r="H2488" i="11" s="1"/>
  <c r="G1630" i="11"/>
  <c r="E231" i="1" s="1"/>
  <c r="F231" i="1" s="1"/>
  <c r="I1630" i="11" s="1"/>
  <c r="H1632" i="11"/>
  <c r="H1630" i="11" s="1"/>
  <c r="G804" i="11"/>
  <c r="E190" i="1" s="1"/>
  <c r="F190" i="1" s="1"/>
  <c r="I804" i="11" s="1"/>
  <c r="H806" i="11"/>
  <c r="H804" i="11" s="1"/>
  <c r="H2576" i="11"/>
  <c r="H2574" i="11" s="1"/>
  <c r="G2574" i="11"/>
  <c r="E274" i="1" s="1"/>
  <c r="F274" i="1" s="1"/>
  <c r="I2574" i="11" s="1"/>
  <c r="G1650" i="11"/>
  <c r="E232" i="1" s="1"/>
  <c r="F232" i="1" s="1"/>
  <c r="I1650" i="11" s="1"/>
  <c r="H1652" i="11"/>
  <c r="H1650" i="11" s="1"/>
  <c r="H606" i="11"/>
  <c r="H604" i="11" s="1"/>
  <c r="G604" i="11"/>
  <c r="E180" i="1" s="1"/>
  <c r="F180" i="1" s="1"/>
  <c r="I604" i="11" s="1"/>
  <c r="H2375" i="11"/>
  <c r="H2373" i="11" s="1"/>
  <c r="G2373" i="11"/>
  <c r="E265" i="1" s="1"/>
  <c r="F265" i="1" s="1"/>
  <c r="I2373" i="11" s="1"/>
  <c r="H1721" i="11"/>
  <c r="H1719" i="11" s="1"/>
  <c r="G1719" i="11"/>
  <c r="E235" i="1" s="1"/>
  <c r="F235" i="1" s="1"/>
  <c r="I1719" i="11" s="1"/>
  <c r="H2868" i="11"/>
  <c r="H2866" i="11" s="1"/>
  <c r="G2866" i="11"/>
  <c r="E288" i="1" s="1"/>
  <c r="F288" i="1" s="1"/>
  <c r="I2866" i="11" s="1"/>
  <c r="H2206" i="11"/>
  <c r="H2204" i="11" s="1"/>
  <c r="G2204" i="11"/>
  <c r="E257" i="1" s="1"/>
  <c r="F257" i="1" s="1"/>
  <c r="I2204" i="11" s="1"/>
  <c r="H1882" i="11"/>
  <c r="H1880" i="11" s="1"/>
  <c r="G1880" i="11"/>
  <c r="E242" i="1" s="1"/>
  <c r="F242" i="1" s="1"/>
  <c r="I1880" i="11" s="1"/>
  <c r="G744" i="11"/>
  <c r="E187" i="1" s="1"/>
  <c r="F187" i="1" s="1"/>
  <c r="I744" i="11" s="1"/>
  <c r="H746" i="11"/>
  <c r="H744" i="11" s="1"/>
  <c r="H2556" i="11"/>
  <c r="H2554" i="11" s="1"/>
  <c r="G2554" i="11"/>
  <c r="E273" i="1" s="1"/>
  <c r="F273" i="1" s="1"/>
  <c r="I2554" i="11" s="1"/>
  <c r="G91" i="3"/>
  <c r="I564" i="30" l="1"/>
  <c r="F1013" i="1"/>
  <c r="J564" i="30"/>
  <c r="K564" i="30"/>
  <c r="N908" i="2"/>
  <c r="J844" i="33"/>
  <c r="K844" i="33"/>
  <c r="J864" i="33"/>
  <c r="K864" i="33"/>
  <c r="K824" i="33"/>
  <c r="J824" i="33"/>
  <c r="F945" i="2"/>
  <c r="J945" i="2"/>
  <c r="L945" i="2"/>
  <c r="O945" i="2"/>
  <c r="E345" i="2"/>
  <c r="D345" i="2" s="1" a="1"/>
  <c r="J524" i="33"/>
  <c r="K524" i="33"/>
  <c r="J544" i="33"/>
  <c r="K544" i="33"/>
  <c r="G484" i="33"/>
  <c r="E1234" i="1" s="1"/>
  <c r="F1234" i="1" s="1"/>
  <c r="I484" i="33" s="1"/>
  <c r="H486" i="33"/>
  <c r="H484" i="33" s="1"/>
  <c r="K884" i="33"/>
  <c r="J884" i="33"/>
  <c r="J3015" i="26"/>
  <c r="K3015" i="26"/>
  <c r="J2975" i="26"/>
  <c r="K2975" i="26"/>
  <c r="K3056" i="26"/>
  <c r="K2995" i="26"/>
  <c r="J2995" i="26"/>
  <c r="K3035" i="26"/>
  <c r="J3035" i="26"/>
  <c r="H2757" i="26"/>
  <c r="H2755" i="26" s="1"/>
  <c r="G2755" i="26"/>
  <c r="E995" i="1" s="1"/>
  <c r="F995" i="1" s="1"/>
  <c r="I2755" i="26" s="1"/>
  <c r="J2935" i="26"/>
  <c r="K2935" i="26"/>
  <c r="J2955" i="26"/>
  <c r="K2955" i="26"/>
  <c r="J2915" i="26"/>
  <c r="K2915" i="26"/>
  <c r="J2795" i="26"/>
  <c r="K2795" i="26"/>
  <c r="J744" i="11"/>
  <c r="K744" i="11"/>
  <c r="K2442" i="11"/>
  <c r="J2442" i="11"/>
  <c r="K2396" i="11"/>
  <c r="J2396" i="11"/>
  <c r="J2820" i="11"/>
  <c r="K2820" i="11"/>
  <c r="J1903" i="11"/>
  <c r="K1903" i="11"/>
  <c r="J724" i="11"/>
  <c r="K724" i="11"/>
  <c r="K1719" i="11"/>
  <c r="J1719" i="11"/>
  <c r="J2574" i="11"/>
  <c r="K2574" i="11"/>
  <c r="J2419" i="11"/>
  <c r="K2419" i="11"/>
  <c r="J684" i="11"/>
  <c r="K684" i="11"/>
  <c r="J1696" i="11"/>
  <c r="K1696" i="11"/>
  <c r="H586" i="11"/>
  <c r="H584" i="11" s="1"/>
  <c r="G584" i="11"/>
  <c r="E179" i="1" s="1"/>
  <c r="F179" i="1" s="1"/>
  <c r="I584" i="11" s="1"/>
  <c r="J804" i="11"/>
  <c r="K804" i="11"/>
  <c r="J664" i="11"/>
  <c r="K664" i="11"/>
  <c r="J1673" i="11"/>
  <c r="K1673" i="11"/>
  <c r="J764" i="11"/>
  <c r="K764" i="11"/>
  <c r="J1788" i="11"/>
  <c r="K1788" i="11"/>
  <c r="K1880" i="11"/>
  <c r="J1880" i="11"/>
  <c r="J2373" i="11"/>
  <c r="K2373" i="11"/>
  <c r="J1857" i="11"/>
  <c r="K1857" i="11"/>
  <c r="J624" i="11"/>
  <c r="K624" i="11"/>
  <c r="J2843" i="11"/>
  <c r="K2843" i="11"/>
  <c r="J2511" i="11"/>
  <c r="K2511" i="11"/>
  <c r="J1765" i="11"/>
  <c r="K1765" i="11"/>
  <c r="J2889" i="11"/>
  <c r="K2889" i="11"/>
  <c r="J1630" i="11"/>
  <c r="K1630" i="11"/>
  <c r="J1834" i="11"/>
  <c r="K1834" i="11"/>
  <c r="K2774" i="11"/>
  <c r="J2774" i="11"/>
  <c r="K2534" i="11"/>
  <c r="J2534" i="11"/>
  <c r="K1972" i="11"/>
  <c r="J1972" i="11"/>
  <c r="K2204" i="11"/>
  <c r="J2204" i="11"/>
  <c r="J604" i="11"/>
  <c r="K604" i="11"/>
  <c r="J1742" i="11"/>
  <c r="K1742" i="11"/>
  <c r="K1811" i="11"/>
  <c r="J1811" i="11"/>
  <c r="J784" i="11"/>
  <c r="K784" i="11"/>
  <c r="J1926" i="11"/>
  <c r="K1926" i="11"/>
  <c r="J1650" i="11"/>
  <c r="K1650" i="11"/>
  <c r="K2488" i="11"/>
  <c r="J2488" i="11"/>
  <c r="J2797" i="11"/>
  <c r="K2797" i="11"/>
  <c r="J2350" i="11"/>
  <c r="K2350" i="11"/>
  <c r="K2554" i="11"/>
  <c r="J2554" i="11"/>
  <c r="J2866" i="11"/>
  <c r="K2866" i="11"/>
  <c r="J2465" i="11"/>
  <c r="K2465" i="11"/>
  <c r="J644" i="11"/>
  <c r="K644" i="11"/>
  <c r="K1610" i="11"/>
  <c r="J1610" i="11"/>
  <c r="J1949" i="11"/>
  <c r="K1949" i="11"/>
  <c r="J704" i="11"/>
  <c r="K704" i="11"/>
  <c r="J2327" i="11"/>
  <c r="K2327" i="11"/>
  <c r="D912" i="2" a="1"/>
  <c r="D248" i="2" a="1"/>
  <c r="D353" i="2" a="1"/>
  <c r="D523" i="2" a="1"/>
  <c r="D731" i="2" a="1"/>
  <c r="D884" i="2" a="1"/>
  <c r="D105" i="2" a="1"/>
  <c r="D856" i="2" a="1"/>
  <c r="D526" i="2" a="1"/>
  <c r="D889" i="2" a="1"/>
  <c r="D886" i="2" a="1"/>
  <c r="D349" i="2" a="1"/>
  <c r="D644" i="2" a="1"/>
  <c r="D94" i="2" a="1"/>
  <c r="D280" i="2" a="1"/>
  <c r="E75" i="3"/>
  <c r="D75" i="3" s="1"/>
  <c r="D809" i="2" a="1"/>
  <c r="D49" i="2" a="1"/>
  <c r="D854" i="2" a="1"/>
  <c r="D740" i="2" a="1"/>
  <c r="D746" i="2" a="1"/>
  <c r="D864" i="2" a="1"/>
  <c r="D772" i="2" a="1"/>
  <c r="D677" i="2" a="1"/>
  <c r="D309" i="2" a="1"/>
  <c r="D195" i="2" a="1"/>
  <c r="D331" i="2" a="1"/>
  <c r="D59" i="2" a="1"/>
  <c r="D235" i="2" a="1"/>
  <c r="D599" i="2" a="1"/>
  <c r="D682" i="2" a="1"/>
  <c r="D440" i="2" a="1"/>
  <c r="D332" i="2" a="1"/>
  <c r="D436" i="2" a="1"/>
  <c r="E33" i="3"/>
  <c r="D33" i="3" s="1"/>
  <c r="D63" i="2" a="1"/>
  <c r="D84" i="2" a="1"/>
  <c r="D83" i="2" a="1"/>
  <c r="D880" i="2" a="1"/>
  <c r="D792" i="2" a="1"/>
  <c r="D936" i="2" a="1"/>
  <c r="D396" i="2" a="1"/>
  <c r="D298" i="2" a="1"/>
  <c r="D697" i="2" a="1"/>
  <c r="D54" i="2" a="1"/>
  <c r="D301" i="2" a="1"/>
  <c r="D346" i="2" a="1"/>
  <c r="D153" i="2" a="1"/>
  <c r="D636" i="2" a="1"/>
  <c r="E57" i="3"/>
  <c r="D57" i="3" s="1"/>
  <c r="D260" i="2" a="1"/>
  <c r="D37" i="2" a="1"/>
  <c r="D76" i="2" a="1"/>
  <c r="D308" i="2" a="1"/>
  <c r="D398" i="2" a="1"/>
  <c r="D891" i="2" a="1"/>
  <c r="D48" i="2" a="1"/>
  <c r="D885" i="2" a="1"/>
  <c r="D51" i="2" a="1"/>
  <c r="D629" i="2" a="1"/>
  <c r="D145" i="2" a="1"/>
  <c r="D432" i="2" a="1"/>
  <c r="D23" i="2" a="1"/>
  <c r="D247" i="2" a="1"/>
  <c r="D211" i="2" a="1"/>
  <c r="D868" i="2" a="1"/>
  <c r="D253" i="2" a="1"/>
  <c r="D739" i="2" a="1"/>
  <c r="D678" i="2" a="1"/>
  <c r="D754" i="2" a="1"/>
  <c r="D680" i="2" a="1"/>
  <c r="D695" i="2" a="1"/>
  <c r="D925" i="2" a="1"/>
  <c r="D799" i="2" a="1"/>
  <c r="D839" i="2" a="1"/>
  <c r="D224" i="2" a="1"/>
  <c r="D901" i="2" a="1"/>
  <c r="D64" i="2" a="1"/>
  <c r="E23" i="3"/>
  <c r="D23" i="3" s="1"/>
  <c r="D832" i="2" a="1"/>
  <c r="E8" i="3"/>
  <c r="D8" i="3" s="1"/>
  <c r="E29" i="3"/>
  <c r="D29" i="3" s="1"/>
  <c r="D458" i="2" a="1"/>
  <c r="D162" i="2" a="1"/>
  <c r="D805" i="2" a="1"/>
  <c r="D836" i="2" a="1"/>
  <c r="D723" i="2" a="1"/>
  <c r="D651" i="2" a="1"/>
  <c r="D444" i="2" a="1"/>
  <c r="D326" i="2" a="1"/>
  <c r="D719" i="2" a="1"/>
  <c r="D532" i="2" a="1"/>
  <c r="D507" i="2" a="1"/>
  <c r="D362" i="2" a="1"/>
  <c r="E6" i="4"/>
  <c r="D6" i="4" s="1"/>
  <c r="D763" i="2" a="1"/>
  <c r="D42" i="2" a="1"/>
  <c r="D284" i="2" a="1"/>
  <c r="D233" i="2" a="1"/>
  <c r="D635" i="2" a="1"/>
  <c r="D553" i="2" a="1"/>
  <c r="D268" i="2" a="1"/>
  <c r="D823" i="2" a="1"/>
  <c r="D357" i="2" a="1"/>
  <c r="D33" i="2" a="1"/>
  <c r="D525" i="2" a="1"/>
  <c r="D415" i="2" a="1"/>
  <c r="D549" i="2" a="1"/>
  <c r="D287" i="2" a="1"/>
  <c r="D366" i="2" a="1"/>
  <c r="D616" i="2" a="1"/>
  <c r="D871" i="2" a="1"/>
  <c r="D238" i="2" a="1"/>
  <c r="D595" i="2" a="1"/>
  <c r="D687" i="2" a="1"/>
  <c r="D283" i="2" a="1"/>
  <c r="D535" i="2" a="1"/>
  <c r="D381" i="2" a="1"/>
  <c r="D359" i="2" a="1"/>
  <c r="D661" i="2" a="1"/>
  <c r="D588" i="2" a="1"/>
  <c r="D290" i="2" a="1"/>
  <c r="D937" i="2" a="1"/>
  <c r="D113" i="2" a="1"/>
  <c r="D659" i="2" a="1"/>
  <c r="D583" i="2" a="1"/>
  <c r="D757" i="2" a="1"/>
  <c r="D75" i="2" a="1"/>
  <c r="D837" i="2" a="1"/>
  <c r="E71" i="3"/>
  <c r="D71" i="3" s="1"/>
  <c r="D829" i="2" a="1"/>
  <c r="D620" i="2" a="1"/>
  <c r="E54" i="3"/>
  <c r="D54" i="3" s="1"/>
  <c r="D748" i="2" a="1"/>
  <c r="D642" i="2" a="1"/>
  <c r="D174" i="2" a="1"/>
  <c r="D184" i="2" a="1"/>
  <c r="D690" i="2" a="1"/>
  <c r="D71" i="2" a="1"/>
  <c r="D200" i="2" a="1"/>
  <c r="D894" i="2" a="1"/>
  <c r="E58" i="3"/>
  <c r="D58" i="3" s="1"/>
  <c r="E32" i="3"/>
  <c r="D32" i="3" s="1"/>
  <c r="D650" i="2" a="1"/>
  <c r="D90" i="2" a="1"/>
  <c r="D926" i="2" a="1"/>
  <c r="D447" i="2" a="1"/>
  <c r="D725" i="2" a="1"/>
  <c r="D263" i="2" a="1"/>
  <c r="D182" i="2" a="1"/>
  <c r="D118" i="2" a="1"/>
  <c r="D542" i="2" a="1"/>
  <c r="D289" i="2" a="1"/>
  <c r="D545" i="2" a="1"/>
  <c r="D518" i="2" a="1"/>
  <c r="E25" i="3"/>
  <c r="D25" i="3" s="1"/>
  <c r="E37" i="5"/>
  <c r="D920" i="2" a="1"/>
  <c r="D163" i="2" a="1"/>
  <c r="D910" i="2" a="1"/>
  <c r="D933" i="2" a="1"/>
  <c r="E57" i="5"/>
  <c r="D252" i="2" a="1"/>
  <c r="D250" i="2" a="1"/>
  <c r="D22" i="2" a="1"/>
  <c r="E42" i="5"/>
  <c r="D904" i="2" a="1"/>
  <c r="D395" i="2" a="1"/>
  <c r="D781" i="2" a="1"/>
  <c r="D417" i="2" a="1"/>
  <c r="D369" i="2" a="1"/>
  <c r="D702" i="2" a="1"/>
  <c r="D924" i="2" a="1"/>
  <c r="D330" i="2" a="1"/>
  <c r="D866" i="2" a="1"/>
  <c r="D322" i="2" a="1"/>
  <c r="D374" i="2" a="1"/>
  <c r="E24" i="3"/>
  <c r="D24" i="3" s="1"/>
  <c r="D577" i="2" a="1"/>
  <c r="D531" i="2" a="1"/>
  <c r="D151" i="2" a="1"/>
  <c r="D563" i="2" a="1"/>
  <c r="D564" i="2" a="1"/>
  <c r="D266" i="2" a="1"/>
  <c r="D688" i="2" a="1"/>
  <c r="D613" i="2" a="1"/>
  <c r="D92" i="2" a="1"/>
  <c r="D812" i="2" a="1"/>
  <c r="D500" i="2" a="1"/>
  <c r="D279" i="2" a="1"/>
  <c r="D685" i="2" a="1"/>
  <c r="D750" i="2" a="1"/>
  <c r="D834" i="2" a="1"/>
  <c r="D101" i="2" a="1"/>
  <c r="D755" i="2" a="1"/>
  <c r="D194" i="2" a="1"/>
  <c r="D761" i="2" a="1"/>
  <c r="D96" i="2" a="1"/>
  <c r="D344" i="2" a="1"/>
  <c r="D517" i="2" a="1"/>
  <c r="D514" i="2" a="1"/>
  <c r="D46" i="2" a="1"/>
  <c r="D256" i="2" a="1"/>
  <c r="D429" i="2" a="1"/>
  <c r="D709" i="2" a="1"/>
  <c r="D612" i="2" a="1"/>
  <c r="E84" i="3"/>
  <c r="D84" i="3" s="1"/>
  <c r="D699" i="2" a="1"/>
  <c r="D60" i="2" a="1"/>
  <c r="E15" i="3"/>
  <c r="D15" i="3" s="1"/>
  <c r="D495" i="2" a="1"/>
  <c r="D840" i="2" a="1"/>
  <c r="D689" i="2" a="1"/>
  <c r="D892" i="2" a="1"/>
  <c r="D72" i="2" a="1"/>
  <c r="D569" i="2" a="1"/>
  <c r="D426" i="2" a="1"/>
  <c r="E9" i="4"/>
  <c r="D9" i="4" s="1"/>
  <c r="D384" i="2" a="1"/>
  <c r="E22" i="3"/>
  <c r="D22" i="3" s="1"/>
  <c r="E46" i="5"/>
  <c r="D416" i="2" a="1"/>
  <c r="D108" i="2" a="1"/>
  <c r="D225" i="2" a="1"/>
  <c r="D185" i="2" a="1"/>
  <c r="D138" i="2" a="1"/>
  <c r="D418" i="2" a="1"/>
  <c r="D136" i="2" a="1"/>
  <c r="D878" i="2" a="1"/>
  <c r="D552" i="2" a="1"/>
  <c r="D768" i="2" a="1"/>
  <c r="D516" i="2" a="1"/>
  <c r="D627" i="2" a="1"/>
  <c r="D849" i="2" a="1"/>
  <c r="D617" i="2" a="1"/>
  <c r="D631" i="2" a="1"/>
  <c r="D713" i="2" a="1"/>
  <c r="D865" i="2" a="1"/>
  <c r="E35" i="5"/>
  <c r="D861" i="2" a="1"/>
  <c r="D401" i="2" a="1"/>
  <c r="D223" i="2" a="1"/>
  <c r="D40" i="2" a="1"/>
  <c r="D160" i="2" a="1"/>
  <c r="D814" i="2" a="1"/>
  <c r="D510" i="2" a="1"/>
  <c r="D634" i="2" a="1"/>
  <c r="E34" i="5"/>
  <c r="D653" i="2" a="1"/>
  <c r="E6" i="2"/>
  <c r="D6" i="2" s="1" a="1"/>
  <c r="D586" i="2" a="1"/>
  <c r="D547" i="2" a="1"/>
  <c r="D930" i="2" a="1"/>
  <c r="D756" i="2" a="1"/>
  <c r="D313" i="2" a="1"/>
  <c r="E40" i="5"/>
  <c r="D24" i="2" a="1"/>
  <c r="D931" i="2" a="1"/>
  <c r="D917" i="2" a="1"/>
  <c r="D571" i="2" a="1"/>
  <c r="D561" i="2" a="1"/>
  <c r="E20" i="3"/>
  <c r="D20" i="3" s="1"/>
  <c r="D867" i="2" a="1"/>
  <c r="E45" i="5"/>
  <c r="D941" i="2" a="1"/>
  <c r="E16" i="3"/>
  <c r="D16" i="3" s="1"/>
  <c r="D825" i="2" a="1"/>
  <c r="D497" i="2" a="1"/>
  <c r="D556" i="2" a="1"/>
  <c r="D567" i="2" a="1"/>
  <c r="D409" i="2" a="1"/>
  <c r="D895" i="2" a="1"/>
  <c r="D127" i="2" a="1"/>
  <c r="D758" i="2" a="1"/>
  <c r="D733" i="2" a="1"/>
  <c r="E72" i="3"/>
  <c r="D72" i="3" s="1"/>
  <c r="E49" i="3"/>
  <c r="D49" i="3" s="1"/>
  <c r="E67" i="3"/>
  <c r="D67" i="3" s="1"/>
  <c r="E73" i="3"/>
  <c r="D73" i="3" s="1"/>
  <c r="D271" i="2" a="1"/>
  <c r="D439" i="2" a="1"/>
  <c r="D665" i="2" a="1"/>
  <c r="E39" i="5"/>
  <c r="E79" i="3"/>
  <c r="D79" i="3" s="1"/>
  <c r="D883" i="2" a="1"/>
  <c r="D469" i="2" a="1"/>
  <c r="D801" i="2" a="1"/>
  <c r="D850" i="2" a="1"/>
  <c r="D25" i="2" a="1"/>
  <c r="D428" i="2" a="1"/>
  <c r="D212" i="2" a="1"/>
  <c r="D228" i="2" a="1"/>
  <c r="D694" i="2" a="1"/>
  <c r="D232" i="2" a="1"/>
  <c r="D220" i="2" a="1"/>
  <c r="E56" i="5"/>
  <c r="D779" i="2" a="1"/>
  <c r="D648" i="2" a="1"/>
  <c r="D78" i="2" a="1"/>
  <c r="D404" i="2" a="1"/>
  <c r="D210" i="2" a="1"/>
  <c r="D874" i="2" a="1"/>
  <c r="D555" i="2" a="1"/>
  <c r="D703" i="2" a="1"/>
  <c r="D98" i="2" a="1"/>
  <c r="D598" i="2" a="1"/>
  <c r="D724" i="2" a="1"/>
  <c r="D234" i="2" a="1"/>
  <c r="D427" i="2" a="1"/>
  <c r="D12" i="2" a="1"/>
  <c r="D579" i="2" a="1"/>
  <c r="D610" i="2" a="1"/>
  <c r="E40" i="3"/>
  <c r="D40" i="3" s="1"/>
  <c r="D269" i="2" a="1"/>
  <c r="D663" i="2" a="1"/>
  <c r="D85" i="2" a="1"/>
  <c r="D419" i="2" a="1"/>
  <c r="D826" i="2" a="1"/>
  <c r="D281" i="2" a="1"/>
  <c r="D180" i="2" a="1"/>
  <c r="D397" i="2" a="1"/>
  <c r="D776" i="2" a="1"/>
  <c r="D343" i="2" a="1"/>
  <c r="D383" i="2" a="1"/>
  <c r="D356" i="2" a="1"/>
  <c r="D637" i="2" a="1"/>
  <c r="D790" i="2" a="1"/>
  <c r="D657" i="2" a="1"/>
  <c r="D291" i="2" a="1"/>
  <c r="D751" i="2" a="1"/>
  <c r="D656" i="2" a="1"/>
  <c r="D769" i="2" a="1"/>
  <c r="D645" i="2" a="1"/>
  <c r="D793" i="2" a="1"/>
  <c r="D407" i="2" a="1"/>
  <c r="D876" i="2" a="1"/>
  <c r="E89" i="3"/>
  <c r="D89" i="3" s="1"/>
  <c r="D654" i="2" a="1"/>
  <c r="D190" i="2" a="1"/>
  <c r="D392" i="2" a="1"/>
  <c r="D435" i="2" a="1"/>
  <c r="D52" i="2" a="1"/>
  <c r="D605" i="2" a="1"/>
  <c r="D175" i="2" a="1"/>
  <c r="E10" i="3"/>
  <c r="D10" i="3" s="1"/>
  <c r="D70" i="2" a="1"/>
  <c r="D701" i="2" a="1"/>
  <c r="D267" i="2" a="1"/>
  <c r="D744" i="2" a="1"/>
  <c r="D862" i="2" a="1"/>
  <c r="D352" i="2" a="1"/>
  <c r="D202" i="2" a="1"/>
  <c r="E76" i="3"/>
  <c r="D76" i="3" s="1"/>
  <c r="D126" i="2" a="1"/>
  <c r="D860" i="2" a="1"/>
  <c r="E51" i="3"/>
  <c r="D51" i="3" s="1"/>
  <c r="D762" i="2" a="1"/>
  <c r="D206" i="2" a="1"/>
  <c r="D712" i="2" a="1"/>
  <c r="E7" i="4"/>
  <c r="D7" i="4" s="1"/>
  <c r="D515" i="2" a="1"/>
  <c r="D388" i="2" a="1"/>
  <c r="D927" i="2" a="1"/>
  <c r="D79" i="2" a="1"/>
  <c r="D61" i="2" a="1"/>
  <c r="D700" i="2" a="1"/>
  <c r="E47" i="5"/>
  <c r="D242" i="2" a="1"/>
  <c r="D217" i="2" a="1"/>
  <c r="D863" i="2" a="1"/>
  <c r="D293" i="2" a="1"/>
  <c r="E45" i="3"/>
  <c r="D45" i="3" s="1"/>
  <c r="D611" i="2" a="1"/>
  <c r="D533" i="2" a="1"/>
  <c r="D641" i="2" a="1"/>
  <c r="D156" i="2" a="1"/>
  <c r="D288" i="2" a="1"/>
  <c r="D335" i="2" a="1"/>
  <c r="D692" i="2" a="1"/>
  <c r="D340" i="2" a="1"/>
  <c r="D882" i="2" a="1"/>
  <c r="D412" i="2" a="1"/>
  <c r="D378" i="2" a="1"/>
  <c r="D615" i="2" a="1"/>
  <c r="D674" i="2" a="1"/>
  <c r="D445" i="2" a="1"/>
  <c r="D264" i="2" a="1"/>
  <c r="D681" i="2" a="1"/>
  <c r="D551" i="2" a="1"/>
  <c r="D104" i="2" a="1"/>
  <c r="D544" i="2" a="1"/>
  <c r="D789" i="2" a="1"/>
  <c r="D537" i="2" a="1"/>
  <c r="D828" i="2" a="1"/>
  <c r="D649" i="2" a="1"/>
  <c r="D375" i="2" a="1"/>
  <c r="D170" i="2" a="1"/>
  <c r="D619" i="2" a="1"/>
  <c r="D141" i="2" a="1"/>
  <c r="D209" i="2" a="1"/>
  <c r="D324" i="2" a="1"/>
  <c r="D300" i="2" a="1"/>
  <c r="D191" i="2" a="1"/>
  <c r="D65" i="2" a="1"/>
  <c r="D239" i="2" a="1"/>
  <c r="D603" i="2" a="1"/>
  <c r="D424" i="2" a="1"/>
  <c r="D810" i="2" a="1"/>
  <c r="D231" i="2" a="1"/>
  <c r="D320" i="2" a="1"/>
  <c r="D596" i="2" a="1"/>
  <c r="D11" i="2" a="1"/>
  <c r="D481" i="2" a="1"/>
  <c r="D467" i="2" a="1"/>
  <c r="D480" i="2" a="1"/>
  <c r="D146" i="2" a="1"/>
  <c r="D914" i="2" a="1"/>
  <c r="D873" i="2" a="1"/>
  <c r="D425" i="2" a="1"/>
  <c r="D166" i="2" a="1"/>
  <c r="D323" i="2" a="1"/>
  <c r="D56" i="2" a="1"/>
  <c r="D240" i="2" a="1"/>
  <c r="D102" i="2" a="1"/>
  <c r="D115" i="2" a="1"/>
  <c r="D557" i="2" a="1"/>
  <c r="D134" i="2" a="1"/>
  <c r="D715" i="2" a="1"/>
  <c r="E44" i="5"/>
  <c r="D632" i="2" a="1"/>
  <c r="D581" i="2" a="1"/>
  <c r="D647" i="2" a="1"/>
  <c r="D226" i="2" a="1"/>
  <c r="D403" i="2" a="1"/>
  <c r="D44" i="2" a="1"/>
  <c r="D672" i="2" a="1"/>
  <c r="D47" i="2" a="1"/>
  <c r="D376" i="2" a="1"/>
  <c r="D714" i="2" a="1"/>
  <c r="D179" i="2" a="1"/>
  <c r="D373" i="2" a="1"/>
  <c r="D270" i="2" a="1"/>
  <c r="D767" i="2" a="1"/>
  <c r="D881" i="2" a="1"/>
  <c r="D671" i="2" a="1"/>
  <c r="D316" i="2" a="1"/>
  <c r="D831" i="2" a="1"/>
  <c r="D187" i="2" a="1"/>
  <c r="D521" i="2" a="1"/>
  <c r="D847" i="2" a="1"/>
  <c r="D201" i="2" a="1"/>
  <c r="D341" i="2" a="1"/>
  <c r="D380" i="2" a="1"/>
  <c r="D601" i="2" a="1"/>
  <c r="D165" i="2" a="1"/>
  <c r="D38" i="2" a="1"/>
  <c r="D286" i="2" a="1"/>
  <c r="D140" i="2" a="1"/>
  <c r="D114" i="2" a="1"/>
  <c r="D336" i="2" a="1"/>
  <c r="D855" i="2" a="1"/>
  <c r="D446" i="2" a="1"/>
  <c r="D368" i="2" a="1"/>
  <c r="D785" i="2" a="1"/>
  <c r="D333" i="2" a="1"/>
  <c r="D742" i="2" a="1"/>
  <c r="D633" i="2" a="1"/>
  <c r="D857" i="2" a="1"/>
  <c r="D350" i="2" a="1"/>
  <c r="D257" i="2" a="1"/>
  <c r="D513" i="2" a="1"/>
  <c r="D410" i="2" a="1"/>
  <c r="D727" i="2" a="1"/>
  <c r="D36" i="2" a="1"/>
  <c r="D106" i="2" a="1"/>
  <c r="D222" i="2" a="1"/>
  <c r="D227" i="2" a="1"/>
  <c r="D618" i="2" a="1"/>
  <c r="D783" i="2" a="1"/>
  <c r="E65" i="3"/>
  <c r="D65" i="3" s="1"/>
  <c r="D520" i="2" a="1"/>
  <c r="D411" i="2" a="1"/>
  <c r="D385" i="2" a="1"/>
  <c r="D176" i="2" a="1"/>
  <c r="D804" i="2" a="1"/>
  <c r="D747" i="2" a="1"/>
  <c r="D183" i="2" a="1"/>
  <c r="D296" i="2" a="1"/>
  <c r="E43" i="5"/>
  <c r="D390" i="2" a="1"/>
  <c r="D208" i="2" a="1"/>
  <c r="D30" i="2" a="1"/>
  <c r="E18" i="3"/>
  <c r="D18" i="3" s="1"/>
  <c r="D728" i="2" a="1"/>
  <c r="D414" i="2" a="1"/>
  <c r="E27" i="3"/>
  <c r="D27" i="3" s="1"/>
  <c r="D778" i="2" a="1"/>
  <c r="D845" i="2" a="1"/>
  <c r="D811" i="2" a="1"/>
  <c r="D379" i="2" a="1"/>
  <c r="D135" i="2" a="1"/>
  <c r="E81" i="3"/>
  <c r="D81" i="3" s="1"/>
  <c r="D192" i="2" a="1"/>
  <c r="D589" i="2" a="1"/>
  <c r="D738" i="2" a="1"/>
  <c r="D155" i="2" a="1"/>
  <c r="D691" i="2" a="1"/>
  <c r="D943" i="2" a="1"/>
  <c r="D77" i="2" a="1"/>
  <c r="D168" i="2" a="1"/>
  <c r="D900" i="2" a="1"/>
  <c r="D244" i="2" a="1"/>
  <c r="E13" i="3"/>
  <c r="D13" i="3" s="1"/>
  <c r="D319" i="2" a="1"/>
  <c r="D624" i="2" a="1"/>
  <c r="D759" i="2" a="1"/>
  <c r="D944" i="2" a="1"/>
  <c r="D164" i="2" a="1"/>
  <c r="D88" i="2" a="1"/>
  <c r="D906" i="2" a="1"/>
  <c r="E38" i="5"/>
  <c r="D934" i="2" a="1"/>
  <c r="E55" i="3"/>
  <c r="D55" i="3" s="1"/>
  <c r="D361" i="2" a="1"/>
  <c r="D13" i="2" a="1"/>
  <c r="D608" i="2" a="1"/>
  <c r="D872" i="2" a="1"/>
  <c r="D534" i="2" a="1"/>
  <c r="D339" i="2" a="1"/>
  <c r="D905" i="2" a="1"/>
  <c r="D835" i="2" a="1"/>
  <c r="E41" i="3"/>
  <c r="D41" i="3" s="1"/>
  <c r="D818" i="2" a="1"/>
  <c r="D824" i="2" a="1"/>
  <c r="D16" i="2" a="1"/>
  <c r="D576" i="2" a="1"/>
  <c r="D394" i="2" a="1"/>
  <c r="D167" i="2" a="1"/>
  <c r="D342" i="2" a="1"/>
  <c r="D255" i="2" a="1"/>
  <c r="D360" i="2" a="1"/>
  <c r="D259" i="2" a="1"/>
  <c r="D41" i="2" a="1"/>
  <c r="D189" i="2" a="1"/>
  <c r="D940" i="2" a="1"/>
  <c r="D8" i="2" a="1"/>
  <c r="E78" i="3"/>
  <c r="D78" i="3" s="1"/>
  <c r="D488" i="2" a="1"/>
  <c r="D597" i="2" a="1"/>
  <c r="D466" i="2" a="1"/>
  <c r="D158" i="2" a="1"/>
  <c r="D591" i="2" a="1"/>
  <c r="D459" i="2" a="1"/>
  <c r="D726" i="2" a="1"/>
  <c r="D317" i="2" a="1"/>
  <c r="D97" i="2" a="1"/>
  <c r="D800" i="2" a="1"/>
  <c r="D413" i="2" a="1"/>
  <c r="D453" i="2" a="1"/>
  <c r="D918" i="2" a="1"/>
  <c r="D568" i="2" a="1"/>
  <c r="E53" i="3"/>
  <c r="D53" i="3" s="1"/>
  <c r="D477" i="2" a="1"/>
  <c r="D587" i="2" a="1"/>
  <c r="D405" i="2" a="1"/>
  <c r="D938" i="2" a="1"/>
  <c r="D68" i="2" a="1"/>
  <c r="D932" i="2" a="1"/>
  <c r="D251" i="2" a="1"/>
  <c r="D82" i="2" a="1"/>
  <c r="D749" i="2" a="1"/>
  <c r="D572" i="2" a="1"/>
  <c r="D478" i="2" a="1"/>
  <c r="D306" i="2" a="1"/>
  <c r="D737" i="2" a="1"/>
  <c r="D570" i="2" a="1"/>
  <c r="D796" i="2" a="1"/>
  <c r="E50" i="3"/>
  <c r="D50" i="3" s="1"/>
  <c r="D198" i="2" a="1"/>
  <c r="E50" i="5"/>
  <c r="D299" i="2" a="1"/>
  <c r="D898" i="2" a="1"/>
  <c r="D623" i="2" a="1"/>
  <c r="D275" i="2" a="1"/>
  <c r="E38" i="3"/>
  <c r="D38" i="3" s="1"/>
  <c r="D214" i="2" a="1"/>
  <c r="D186" i="2" a="1"/>
  <c r="D147" i="2" a="1"/>
  <c r="E70" i="3"/>
  <c r="D70" i="3" s="1"/>
  <c r="E86" i="3"/>
  <c r="D86" i="3" s="1"/>
  <c r="D329" i="2" a="1"/>
  <c r="D159" i="2" a="1"/>
  <c r="E11" i="3"/>
  <c r="D11" i="3" s="1"/>
  <c r="D625" i="2" a="1"/>
  <c r="D668" i="2" a="1"/>
  <c r="D843" i="2" a="1"/>
  <c r="D911" i="2" a="1"/>
  <c r="D666" i="2" a="1"/>
  <c r="D639" i="2" a="1"/>
  <c r="D207" i="2" a="1"/>
  <c r="D851" i="2" a="1"/>
  <c r="D372" i="2" a="1"/>
  <c r="D607" i="2" a="1"/>
  <c r="E62" i="3"/>
  <c r="D62" i="3" s="1"/>
  <c r="D124" i="2" a="1"/>
  <c r="D820" i="2" a="1"/>
  <c r="D877" i="2" a="1"/>
  <c r="D258" i="2" a="1"/>
  <c r="D662" i="2" a="1"/>
  <c r="D529" i="2" a="1"/>
  <c r="D704" i="2" a="1"/>
  <c r="D842" i="2" a="1"/>
  <c r="D125" i="2" a="1"/>
  <c r="E28" i="3"/>
  <c r="D28" i="3" s="1"/>
  <c r="D501" i="2" a="1"/>
  <c r="D813" i="2" a="1"/>
  <c r="D91" i="2" a="1"/>
  <c r="D50" i="2" a="1"/>
  <c r="D43" i="2" a="1"/>
  <c r="E83" i="3"/>
  <c r="D83" i="3" s="1"/>
  <c r="D609" i="2" a="1"/>
  <c r="D93" i="2" a="1"/>
  <c r="E49" i="5"/>
  <c r="E46" i="3"/>
  <c r="D46" i="3" s="1"/>
  <c r="D131" i="2" a="1"/>
  <c r="D771" i="2" a="1"/>
  <c r="D720" i="2" a="1"/>
  <c r="D486" i="2" a="1"/>
  <c r="D475" i="2" a="1"/>
  <c r="D614" i="2" a="1"/>
  <c r="D939" i="2" a="1"/>
  <c r="D736" i="2" a="1"/>
  <c r="D434" i="2" a="1"/>
  <c r="E48" i="5"/>
  <c r="D511" i="2" a="1"/>
  <c r="D45" i="2" a="1"/>
  <c r="D386" i="2" a="1"/>
  <c r="D236" i="2" a="1"/>
  <c r="D710" i="2" a="1"/>
  <c r="D643" i="2" a="1"/>
  <c r="D753" i="2" a="1"/>
  <c r="D161" i="2" a="1"/>
  <c r="D888" i="2" a="1"/>
  <c r="D468" i="2" a="1"/>
  <c r="E9" i="3"/>
  <c r="D9" i="3" s="1"/>
  <c r="E34" i="3"/>
  <c r="D34" i="3" s="1"/>
  <c r="D929" i="2" a="1"/>
  <c r="E36" i="5"/>
  <c r="E30" i="3"/>
  <c r="D30" i="3" s="1"/>
  <c r="D442" i="2" a="1"/>
  <c r="D504" i="2" a="1"/>
  <c r="D784" i="2" a="1"/>
  <c r="E56" i="3"/>
  <c r="D56" i="3" s="1"/>
  <c r="D450" i="2" a="1"/>
  <c r="D262" i="2" a="1"/>
  <c r="D237" i="2" a="1"/>
  <c r="D536" i="2" a="1"/>
  <c r="D819" i="2" a="1"/>
  <c r="D919" i="2" a="1"/>
  <c r="D149" i="2" a="1"/>
  <c r="D669" i="2" a="1"/>
  <c r="D55" i="2" a="1"/>
  <c r="D630" i="2" a="1"/>
  <c r="D622" i="2" a="1"/>
  <c r="D492" i="2" a="1"/>
  <c r="E82" i="3"/>
  <c r="D82" i="3" s="1"/>
  <c r="E55" i="5"/>
  <c r="D143" i="2" a="1"/>
  <c r="D770" i="2" a="1"/>
  <c r="D816" i="2" a="1"/>
  <c r="D675" i="2" a="1"/>
  <c r="D887" i="2" a="1"/>
  <c r="D273" i="2" a="1"/>
  <c r="D230" i="2" a="1"/>
  <c r="D278" i="2" a="1"/>
  <c r="D573" i="2" a="1"/>
  <c r="D628" i="2" a="1"/>
  <c r="D718" i="2" a="1"/>
  <c r="D566" i="2" a="1"/>
  <c r="D66" i="2" a="1"/>
  <c r="D311" i="2" a="1"/>
  <c r="D272" i="2" a="1"/>
  <c r="D502" i="2" a="1"/>
  <c r="D172" i="2" a="1"/>
  <c r="D173" i="2" a="1"/>
  <c r="D254" i="2" a="1"/>
  <c r="D246" i="2" a="1"/>
  <c r="D377" i="2" a="1"/>
  <c r="D302" i="2" a="1"/>
  <c r="D81" i="2" a="1"/>
  <c r="D890" i="2" a="1"/>
  <c r="D646" i="2" a="1"/>
  <c r="D196" i="2" a="1"/>
  <c r="D462" i="2" a="1"/>
  <c r="D205" i="2" a="1"/>
  <c r="D465" i="2" a="1"/>
  <c r="D527" i="2" a="1"/>
  <c r="D354" i="2" a="1"/>
  <c r="D841" i="2" a="1"/>
  <c r="D916" i="2" a="1"/>
  <c r="D773" i="2" a="1"/>
  <c r="D655" i="2" a="1"/>
  <c r="D370" i="2" a="1"/>
  <c r="D128" i="2" a="1"/>
  <c r="D546" i="2" a="1"/>
  <c r="D14" i="2" a="1"/>
  <c r="E68" i="3"/>
  <c r="D68" i="3" s="1"/>
  <c r="D775" i="2" a="1"/>
  <c r="D122" i="2" a="1"/>
  <c r="D722" i="2" a="1"/>
  <c r="D673" i="2" a="1"/>
  <c r="D652" i="2" a="1"/>
  <c r="D367" i="2" a="1"/>
  <c r="E64" i="3"/>
  <c r="D64" i="3" s="1"/>
  <c r="D62" i="2" a="1"/>
  <c r="D221" i="2" a="1"/>
  <c r="E54" i="5"/>
  <c r="D310" i="2" a="1"/>
  <c r="D735" i="2" a="1"/>
  <c r="D154" i="2" a="1"/>
  <c r="D942" i="2" a="1"/>
  <c r="D87" i="2" a="1"/>
  <c r="D585" i="2" a="1"/>
  <c r="E31" i="3"/>
  <c r="D31" i="3" s="1"/>
  <c r="D304" i="2" a="1"/>
  <c r="D752" i="2" a="1"/>
  <c r="D554" i="2" a="1"/>
  <c r="E35" i="3"/>
  <c r="D35" i="3" s="1"/>
  <c r="D364" i="2" a="1"/>
  <c r="D144" i="2" a="1"/>
  <c r="D460" i="2" a="1"/>
  <c r="D204" i="2" a="1"/>
  <c r="D558" i="2" a="1"/>
  <c r="D780" i="2" a="1"/>
  <c r="D197" i="2" a="1"/>
  <c r="D584" i="2" a="1"/>
  <c r="D28" i="2" a="1"/>
  <c r="D31" i="2" a="1"/>
  <c r="D935" i="2" a="1"/>
  <c r="D499" i="2" a="1"/>
  <c r="D479" i="2" a="1"/>
  <c r="D464" i="2" a="1"/>
  <c r="D107" i="2" a="1"/>
  <c r="D705" i="2" a="1"/>
  <c r="D249" i="2" a="1"/>
  <c r="D541" i="2" a="1"/>
  <c r="D305" i="2" a="1"/>
  <c r="E8" i="4"/>
  <c r="D8" i="4" s="1"/>
  <c r="D100" i="2" a="1"/>
  <c r="D57" i="2" a="1"/>
  <c r="D282" i="2" a="1"/>
  <c r="D489" i="2" a="1"/>
  <c r="D470" i="2" a="1"/>
  <c r="D498" i="2" a="1"/>
  <c r="D743" i="2" a="1"/>
  <c r="D116" i="2" a="1"/>
  <c r="D512" i="2" a="1"/>
  <c r="D506" i="2" a="1"/>
  <c r="D351" i="2" a="1"/>
  <c r="E26" i="3"/>
  <c r="D26" i="3" s="1"/>
  <c r="D474" i="2" a="1"/>
  <c r="D203" i="2" a="1"/>
  <c r="D276" i="2" a="1"/>
  <c r="D893" i="2" a="1"/>
  <c r="D430" i="2" a="1"/>
  <c r="D543" i="2" a="1"/>
  <c r="D117" i="2" a="1"/>
  <c r="D827" i="2" a="1"/>
  <c r="D844" i="2" a="1"/>
  <c r="D157" i="2" a="1"/>
  <c r="D717" i="2" a="1"/>
  <c r="E44" i="3"/>
  <c r="D44" i="3" s="1"/>
  <c r="D177" i="2" a="1"/>
  <c r="E21" i="3"/>
  <c r="D21" i="3" s="1"/>
  <c r="D897" i="2" a="1"/>
  <c r="D119" i="2" a="1"/>
  <c r="E42" i="3"/>
  <c r="D42" i="3" s="1"/>
  <c r="D859" i="2" a="1"/>
  <c r="D791" i="2" a="1"/>
  <c r="E52" i="3"/>
  <c r="D52" i="3" s="1"/>
  <c r="D327" i="2" a="1"/>
  <c r="D494" i="2" a="1"/>
  <c r="D355" i="2" a="1"/>
  <c r="D229" i="2" a="1"/>
  <c r="D928" i="2" a="1"/>
  <c r="D26" i="2" a="1"/>
  <c r="E59" i="3"/>
  <c r="D59" i="3" s="1"/>
  <c r="D443" i="2" a="1"/>
  <c r="D408" i="2" a="1"/>
  <c r="D833" i="2" a="1"/>
  <c r="D519" i="2" a="1"/>
  <c r="D476" i="2" a="1"/>
  <c r="D590" i="2" a="1"/>
  <c r="E74" i="3"/>
  <c r="D74" i="3" s="1"/>
  <c r="D794" i="2" a="1"/>
  <c r="D95" i="2" a="1"/>
  <c r="D218" i="2" a="1"/>
  <c r="D786" i="2" a="1"/>
  <c r="E58" i="5"/>
  <c r="D921" i="2" a="1"/>
  <c r="D473" i="2" a="1"/>
  <c r="D371" i="2" a="1"/>
  <c r="D34" i="2" a="1"/>
  <c r="D707" i="2" a="1"/>
  <c r="D337" i="2" a="1"/>
  <c r="D438" i="2" a="1"/>
  <c r="D698" i="2" a="1"/>
  <c r="D600" i="2" a="1"/>
  <c r="D292" i="2" a="1"/>
  <c r="D27" i="2" a="1"/>
  <c r="D347" i="2" a="1"/>
  <c r="D423" i="2" a="1"/>
  <c r="E66" i="3"/>
  <c r="D66" i="3" s="1"/>
  <c r="D245" i="2" a="1"/>
  <c r="D437" i="2" a="1"/>
  <c r="D303" i="2" a="1"/>
  <c r="D487" i="2" a="1"/>
  <c r="D580" i="2" a="1"/>
  <c r="D922" i="2" a="1"/>
  <c r="D325" i="2" a="1"/>
  <c r="D17" i="2" a="1"/>
  <c r="D621" i="2" a="1"/>
  <c r="D764" i="2" a="1"/>
  <c r="D150" i="2" a="1"/>
  <c r="D508" i="2" a="1"/>
  <c r="D67" i="2" a="1"/>
  <c r="D120" i="2" a="1"/>
  <c r="D265" i="2" a="1"/>
  <c r="D9" i="2" a="1"/>
  <c r="D676" i="2" a="1"/>
  <c r="D875" i="2" a="1"/>
  <c r="D110" i="2" a="1"/>
  <c r="D815" i="2" a="1"/>
  <c r="D830" i="2" a="1"/>
  <c r="D295" i="2" a="1"/>
  <c r="D658" i="2" a="1"/>
  <c r="E85" i="3"/>
  <c r="D85" i="3" s="1"/>
  <c r="D130" i="2" a="1"/>
  <c r="D365" i="2" a="1"/>
  <c r="D20" i="2" a="1"/>
  <c r="D496" i="2" a="1"/>
  <c r="D89" i="2" a="1"/>
  <c r="D382" i="2" a="1"/>
  <c r="E43" i="3"/>
  <c r="D43" i="3" s="1"/>
  <c r="D294" i="2" a="1"/>
  <c r="D846" i="2" a="1"/>
  <c r="E12" i="3"/>
  <c r="D12" i="3" s="1"/>
  <c r="D915" i="2" a="1"/>
  <c r="D870" i="2" a="1"/>
  <c r="D760" i="2" a="1"/>
  <c r="D456" i="2" a="1"/>
  <c r="D484" i="2" a="1"/>
  <c r="D716" i="2" a="1"/>
  <c r="D683" i="2" a="1"/>
  <c r="E87" i="3"/>
  <c r="D87" i="3" s="1"/>
  <c r="D765" i="2" a="1"/>
  <c r="D433" i="2" a="1"/>
  <c r="D328" i="2" a="1"/>
  <c r="D137" i="2" a="1"/>
  <c r="D660" i="2" a="1"/>
  <c r="D39" i="2" a="1"/>
  <c r="D471" i="2" a="1"/>
  <c r="D766" i="2" a="1"/>
  <c r="D277" i="2" a="1"/>
  <c r="D528" i="2" a="1"/>
  <c r="D524" i="2" a="1"/>
  <c r="D215" i="2" a="1"/>
  <c r="D213" i="2" a="1"/>
  <c r="E53" i="5"/>
  <c r="D441" i="2" a="1"/>
  <c r="D32" i="2" a="1"/>
  <c r="D472" i="2" a="1"/>
  <c r="D452" i="2" a="1"/>
  <c r="D902" i="2" a="1"/>
  <c r="D69" i="2" a="1"/>
  <c r="D389" i="2" a="1"/>
  <c r="D899" i="2" a="1"/>
  <c r="D711" i="2" a="1"/>
  <c r="D112" i="2" a="1"/>
  <c r="D169" i="2" a="1"/>
  <c r="D243" i="2" a="1"/>
  <c r="E51" i="5"/>
  <c r="D505" i="2" a="1"/>
  <c r="D817" i="2" a="1"/>
  <c r="D297" i="2" a="1"/>
  <c r="D274" i="2" a="1"/>
  <c r="D457" i="2" a="1"/>
  <c r="D399" i="2" a="1"/>
  <c r="D219" i="2" a="1"/>
  <c r="D321" i="2" a="1"/>
  <c r="D315" i="2" a="1"/>
  <c r="D348" i="2" a="1"/>
  <c r="D111" i="2" a="1"/>
  <c r="D406" i="2" a="1"/>
  <c r="D485" i="2" a="1"/>
  <c r="D393" i="2" a="1"/>
  <c r="D684" i="2" a="1"/>
  <c r="D670" i="2" a="1"/>
  <c r="D21" i="2" a="1"/>
  <c r="D451" i="2" a="1"/>
  <c r="D782" i="2" a="1"/>
  <c r="D261" i="2" a="1"/>
  <c r="D29" i="2" a="1"/>
  <c r="D732" i="2" a="1"/>
  <c r="D852" i="2" a="1"/>
  <c r="D241" i="2" a="1"/>
  <c r="D806" i="2" a="1"/>
  <c r="D923" i="2" a="1"/>
  <c r="D53" i="2" a="1"/>
  <c r="D626" i="2" a="1"/>
  <c r="D807" i="2" a="1"/>
  <c r="E61" i="3"/>
  <c r="D61" i="3" s="1"/>
  <c r="D334" i="2" a="1"/>
  <c r="D869" i="2" a="1"/>
  <c r="D640" i="2" a="1"/>
  <c r="D19" i="2" a="1"/>
  <c r="D574" i="2" a="1"/>
  <c r="D171" i="2" a="1"/>
  <c r="D99" i="2" a="1"/>
  <c r="E36" i="3"/>
  <c r="D36" i="3" s="1"/>
  <c r="D522" i="2" a="1"/>
  <c r="D734" i="2" a="1"/>
  <c r="D10" i="2" a="1"/>
  <c r="D307" i="2" a="1"/>
  <c r="D129" i="2" a="1"/>
  <c r="D578" i="2" a="1"/>
  <c r="D15" i="2" a="1"/>
  <c r="D148" i="2" a="1"/>
  <c r="D193" i="2" a="1"/>
  <c r="E6" i="3"/>
  <c r="D6" i="3" s="1"/>
  <c r="D560" i="2" a="1"/>
  <c r="E7" i="2"/>
  <c r="D7" i="2" s="1" a="1"/>
  <c r="D103" i="2" a="1"/>
  <c r="D142" i="2" a="1"/>
  <c r="D139" i="2" a="1"/>
  <c r="D318" i="2" a="1"/>
  <c r="D538" i="2" a="1"/>
  <c r="D422" i="2" a="1"/>
  <c r="D550" i="2" a="1"/>
  <c r="E69" i="3"/>
  <c r="D69" i="3" s="1"/>
  <c r="D592" i="2" a="1"/>
  <c r="E19" i="3"/>
  <c r="D19" i="3" s="1"/>
  <c r="D400" i="2" a="1"/>
  <c r="E47" i="3"/>
  <c r="D47" i="3" s="1"/>
  <c r="D387" i="2" a="1"/>
  <c r="D109" i="2" a="1"/>
  <c r="D431" i="2" a="1"/>
  <c r="E39" i="3"/>
  <c r="D39" i="3" s="1"/>
  <c r="D454" i="2" a="1"/>
  <c r="D421" i="2" a="1"/>
  <c r="D797" i="2" a="1"/>
  <c r="D152" i="2" a="1"/>
  <c r="E48" i="3"/>
  <c r="D48" i="3" s="1"/>
  <c r="D808" i="2" a="1"/>
  <c r="D838" i="2" a="1"/>
  <c r="E63" i="3"/>
  <c r="D63" i="3" s="1"/>
  <c r="D604" i="2" a="1"/>
  <c r="D199" i="2" a="1"/>
  <c r="D420" i="2" a="1"/>
  <c r="D774" i="2" a="1"/>
  <c r="D664" i="2" a="1"/>
  <c r="D391" i="2" a="1"/>
  <c r="D593" i="2" a="1"/>
  <c r="D455" i="2" a="1"/>
  <c r="D188" i="2" a="1"/>
  <c r="D559" i="2" a="1"/>
  <c r="D132" i="2" a="1"/>
  <c r="D530" i="2" a="1"/>
  <c r="D795" i="2" a="1"/>
  <c r="D858" i="2" a="1"/>
  <c r="D58" i="2" a="1"/>
  <c r="E60" i="3"/>
  <c r="D60" i="3" s="1"/>
  <c r="D606" i="2" a="1"/>
  <c r="D730" i="2" a="1"/>
  <c r="D575" i="2" a="1"/>
  <c r="D358" i="2" a="1"/>
  <c r="D449" i="2" a="1"/>
  <c r="D909" i="2" a="1"/>
  <c r="D80" i="2" a="1"/>
  <c r="D896" i="2" a="1"/>
  <c r="E17" i="3"/>
  <c r="D17" i="3" s="1"/>
  <c r="D216" i="2" a="1"/>
  <c r="D448" i="2" a="1"/>
  <c r="D562" i="2" a="1"/>
  <c r="D539" i="2" a="1"/>
  <c r="D540" i="2" a="1"/>
  <c r="D706" i="2" a="1"/>
  <c r="D638" i="2" a="1"/>
  <c r="D903" i="2" a="1"/>
  <c r="D879" i="2" a="1"/>
  <c r="D777" i="2" a="1"/>
  <c r="D679" i="2" a="1"/>
  <c r="D493" i="2" a="1"/>
  <c r="D848" i="2" a="1"/>
  <c r="E88" i="3"/>
  <c r="D88" i="3" s="1"/>
  <c r="D729" i="2" a="1"/>
  <c r="E41" i="5"/>
  <c r="D721" i="2" a="1"/>
  <c r="D178" i="2" a="1"/>
  <c r="D602" i="2" a="1"/>
  <c r="D402" i="2" a="1"/>
  <c r="D35" i="2" a="1"/>
  <c r="D123" i="2" a="1"/>
  <c r="D503" i="2" a="1"/>
  <c r="D802" i="2" a="1"/>
  <c r="D667" i="2" a="1"/>
  <c r="D181" i="2" a="1"/>
  <c r="D74" i="2" a="1"/>
  <c r="D582" i="2" a="1"/>
  <c r="D787" i="2" a="1"/>
  <c r="D696" i="2" a="1"/>
  <c r="D594" i="2" a="1"/>
  <c r="D565" i="2" a="1"/>
  <c r="D853" i="2" a="1"/>
  <c r="D803" i="2" a="1"/>
  <c r="E77" i="3"/>
  <c r="D77" i="3" s="1"/>
  <c r="D338" i="2" a="1"/>
  <c r="D913" i="2" a="1"/>
  <c r="D741" i="2" a="1"/>
  <c r="E37" i="3"/>
  <c r="D37" i="3" s="1"/>
  <c r="D686" i="2" a="1"/>
  <c r="D788" i="2" a="1"/>
  <c r="E52" i="5"/>
  <c r="D133" i="2" a="1"/>
  <c r="E90" i="3"/>
  <c r="D90" i="3" s="1"/>
  <c r="D463" i="2" a="1"/>
  <c r="D798" i="2" a="1"/>
  <c r="D745" i="2" a="1"/>
  <c r="D86" i="2" a="1"/>
  <c r="D73" i="2" a="1"/>
  <c r="D548" i="2" a="1"/>
  <c r="D285" i="2" a="1"/>
  <c r="D314" i="2" a="1"/>
  <c r="E80" i="3"/>
  <c r="D80" i="3" s="1"/>
  <c r="D708" i="2" a="1"/>
  <c r="E14" i="3"/>
  <c r="D14" i="3" s="1"/>
  <c r="D483" i="2" a="1"/>
  <c r="E7" i="3"/>
  <c r="D7" i="3" s="1"/>
  <c r="D491" i="2" a="1"/>
  <c r="D18" i="2" a="1"/>
  <c r="D482" i="2" a="1"/>
  <c r="D907" i="2" a="1"/>
  <c r="D121" i="2" a="1"/>
  <c r="F1010" i="1"/>
  <c r="I3056" i="26" s="1"/>
  <c r="J3056" i="26" s="1"/>
  <c r="N945" i="2" l="1"/>
  <c r="J484" i="33"/>
  <c r="K484" i="33"/>
  <c r="K2755" i="26"/>
  <c r="J2755" i="26"/>
  <c r="J584" i="11"/>
  <c r="K584" i="11"/>
  <c r="F992" i="1"/>
  <c r="F1220" i="1"/>
  <c r="E5" i="2"/>
  <c r="E33" i="5"/>
  <c r="E59" i="5" s="1"/>
  <c r="F1304" i="1" s="1"/>
  <c r="E5" i="4"/>
  <c r="E5" i="3"/>
  <c r="F163" i="1"/>
  <c r="D461" i="2" a="1"/>
  <c r="D490" i="2" a="1"/>
  <c r="G908" i="2" l="1"/>
  <c r="M908" i="2"/>
  <c r="P908" i="2"/>
  <c r="D312" i="2" a="1"/>
  <c r="D5" i="2" a="1"/>
  <c r="D5" i="3"/>
  <c r="E91" i="3"/>
  <c r="F1302" i="1" s="1"/>
  <c r="F1279" i="1"/>
  <c r="G163" i="1" s="1"/>
  <c r="D5" i="4"/>
  <c r="E10" i="4"/>
  <c r="F1303" i="1" s="1"/>
  <c r="E908" i="2" l="1"/>
  <c r="D908" i="2" s="1" a="1"/>
  <c r="M945" i="2"/>
  <c r="P945" i="2"/>
  <c r="G945" i="2"/>
  <c r="G1124" i="1"/>
  <c r="G631" i="1"/>
  <c r="G552" i="1"/>
  <c r="G679" i="1"/>
  <c r="G637" i="1"/>
  <c r="G1013" i="1"/>
  <c r="G433" i="1"/>
  <c r="G540" i="1"/>
  <c r="G710" i="1"/>
  <c r="C6" i="7"/>
  <c r="C7" i="7" s="1"/>
  <c r="G344" i="1"/>
  <c r="G5" i="1"/>
  <c r="G860" i="1"/>
  <c r="G835" i="1"/>
  <c r="G294" i="1"/>
  <c r="G949" i="1"/>
  <c r="G1279" i="1"/>
  <c r="G586" i="1"/>
  <c r="G50" i="1"/>
  <c r="G148" i="1"/>
  <c r="G1262" i="1"/>
  <c r="F1280" i="1"/>
  <c r="G1280" i="1" s="1"/>
  <c r="G1095" i="1"/>
  <c r="G772" i="1"/>
  <c r="G1274" i="1"/>
  <c r="G100" i="1"/>
  <c r="G938" i="1"/>
  <c r="G1208" i="1"/>
  <c r="G832" i="1"/>
  <c r="G1220" i="1"/>
  <c r="G992" i="1"/>
  <c r="E945" i="2" l="1"/>
  <c r="F1301" i="1" s="1"/>
  <c r="F1281" i="1"/>
  <c r="G1281" i="1" s="1"/>
  <c r="B44" i="7"/>
  <c r="E44" i="7" s="1"/>
  <c r="B41" i="7"/>
  <c r="E41" i="7" s="1"/>
  <c r="B39" i="7"/>
  <c r="E39" i="7" s="1"/>
  <c r="B43" i="7"/>
  <c r="E43" i="7" s="1"/>
  <c r="B42" i="7"/>
  <c r="E42" i="7" s="1"/>
  <c r="B38" i="7"/>
  <c r="E38" i="7" s="1"/>
  <c r="B40" i="7"/>
  <c r="E40" i="7" s="1"/>
  <c r="E1284" i="1" l="1"/>
  <c r="F1284" i="1" s="1"/>
  <c r="F1288" i="1" s="1"/>
  <c r="E45" i="7"/>
  <c r="E47" i="7" s="1"/>
  <c r="D47" i="7" s="1"/>
  <c r="D51" i="7" s="1"/>
  <c r="C5" i="7" s="1"/>
  <c r="F1289" i="1" l="1"/>
  <c r="F1290" i="1" s="1"/>
  <c r="F1292" i="1" s="1"/>
  <c r="C70" i="7"/>
  <c r="C71" i="7" s="1"/>
  <c r="B78" i="7" l="1"/>
  <c r="C78" i="7" s="1"/>
  <c r="E78" i="7" s="1"/>
  <c r="B77" i="7"/>
  <c r="C77" i="7" s="1"/>
  <c r="E77" i="7" s="1"/>
  <c r="B83" i="7"/>
  <c r="E83" i="7" s="1"/>
  <c r="B79" i="7"/>
  <c r="E79" i="7" s="1"/>
  <c r="B81" i="7"/>
  <c r="E81" i="7" s="1"/>
  <c r="B82" i="7"/>
  <c r="E82" i="7" s="1"/>
  <c r="B80" i="7"/>
  <c r="E80" i="7" s="1"/>
  <c r="E84" i="7" l="1"/>
  <c r="E86" i="7" s="1"/>
  <c r="D86" i="7" s="1"/>
  <c r="C69" i="7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<sst xmlns="http://schemas.openxmlformats.org/spreadsheetml/2006/main" count="29656" uniqueCount="3816">
  <si>
    <t>ALCALDIA DE PEREIRA</t>
  </si>
  <si>
    <t>VERSION O BASE DE DATOS ALCALDIA DE PEREIRA 2026</t>
  </si>
  <si>
    <t>FORMULARIO DE PRECIOS</t>
  </si>
  <si>
    <t>CAPITULO</t>
  </si>
  <si>
    <t>ACTIVIDAD</t>
  </si>
  <si>
    <t>UNIDAD</t>
  </si>
  <si>
    <t>CANTIDAD</t>
  </si>
  <si>
    <t>VLR UNIT</t>
  </si>
  <si>
    <t>VLR TOTAL</t>
  </si>
  <si>
    <t>%</t>
  </si>
  <si>
    <t>1</t>
  </si>
  <si>
    <t>PRELIMINARES</t>
  </si>
  <si>
    <t>1,01</t>
  </si>
  <si>
    <t>Arrendamiento inmueble - campamento</t>
  </si>
  <si>
    <t>M2-Mes</t>
  </si>
  <si>
    <t>1,02</t>
  </si>
  <si>
    <t>Alquiler de baño portátil (2 aseos semanales)</t>
  </si>
  <si>
    <t>Mes</t>
  </si>
  <si>
    <t>1,03</t>
  </si>
  <si>
    <t>Apuntalado provisional de estructuras</t>
  </si>
  <si>
    <t>M2</t>
  </si>
  <si>
    <t>1,04</t>
  </si>
  <si>
    <t>Barricada seguridad desmontable L=3m</t>
  </si>
  <si>
    <t>Un</t>
  </si>
  <si>
    <t>1,05</t>
  </si>
  <si>
    <t>Campamento (esterilla + teja zinc + piso)</t>
  </si>
  <si>
    <t>1,06</t>
  </si>
  <si>
    <t>Campamento (tabla + teja FC + piso)</t>
  </si>
  <si>
    <t>1,07</t>
  </si>
  <si>
    <t>Cerramiento guadua + alambre Púa 7 H=1.8 m</t>
  </si>
  <si>
    <t>M</t>
  </si>
  <si>
    <t>1,08</t>
  </si>
  <si>
    <t>Cerramiento guadua + alambre Púa 7 H=2.2 m</t>
  </si>
  <si>
    <t>1,09</t>
  </si>
  <si>
    <t>Cerramiento guadua + esterilla H=1.8 m</t>
  </si>
  <si>
    <t>1,10</t>
  </si>
  <si>
    <t>Cerramiento guadua + tabla</t>
  </si>
  <si>
    <t>1,11</t>
  </si>
  <si>
    <t>Cerramiento guadua + tela verde</t>
  </si>
  <si>
    <t>1,12</t>
  </si>
  <si>
    <t>Cerramiento guadua + zinc</t>
  </si>
  <si>
    <t>1,13</t>
  </si>
  <si>
    <t>Cerramiento malla electrosoldada U89 H=1.8 m</t>
  </si>
  <si>
    <t>1,14</t>
  </si>
  <si>
    <t>Cinta plástica seguridad C 6</t>
  </si>
  <si>
    <t>1,15</t>
  </si>
  <si>
    <t>Comisión de topografía con servicio de escolta</t>
  </si>
  <si>
    <t>Día</t>
  </si>
  <si>
    <t>1,16</t>
  </si>
  <si>
    <t>Cono vial tipo invias</t>
  </si>
  <si>
    <t>1,17</t>
  </si>
  <si>
    <t>Control/manejo de aguas quebrada con saco de arena</t>
  </si>
  <si>
    <t>M3</t>
  </si>
  <si>
    <t>1,18</t>
  </si>
  <si>
    <t>Control/manejo de aguas quebrada con tablestacado madera</t>
  </si>
  <si>
    <t>1,19</t>
  </si>
  <si>
    <t>Corte pulidora abertura muro mampostería</t>
  </si>
  <si>
    <t>1,20</t>
  </si>
  <si>
    <t>Cuadrilla de limpieza (4 personas)</t>
  </si>
  <si>
    <t>1,21</t>
  </si>
  <si>
    <t>Cuadrilla de limpieza (6 personas)</t>
  </si>
  <si>
    <t>1,22</t>
  </si>
  <si>
    <t>Delimitación guadua + cinta plástica de advertencia</t>
  </si>
  <si>
    <t>1,23</t>
  </si>
  <si>
    <t>Delineador tubular entre 1-1.4 m</t>
  </si>
  <si>
    <t>1,24</t>
  </si>
  <si>
    <t>Estibaje grúa montacarga cargue y descargue</t>
  </si>
  <si>
    <t>Ton</t>
  </si>
  <si>
    <t>1,25</t>
  </si>
  <si>
    <t>Lavado estructura y barandas</t>
  </si>
  <si>
    <t>1,26</t>
  </si>
  <si>
    <t>Lavado paredes</t>
  </si>
  <si>
    <t>1,27</t>
  </si>
  <si>
    <t>Limpieza moho vegetal superficies</t>
  </si>
  <si>
    <t>1,28</t>
  </si>
  <si>
    <t>Limpieza y rocería superficies</t>
  </si>
  <si>
    <t>1,29</t>
  </si>
  <si>
    <t>Localización y replanteo vias</t>
  </si>
  <si>
    <t>1,30</t>
  </si>
  <si>
    <t>Localización y replanteo obra</t>
  </si>
  <si>
    <t>1,31</t>
  </si>
  <si>
    <t>Localización y replanteo linea</t>
  </si>
  <si>
    <t>1,32</t>
  </si>
  <si>
    <t>Malla reflectiva color naranja H=1.0m</t>
  </si>
  <si>
    <t>1,33</t>
  </si>
  <si>
    <t>Pasacalles tela 6.00m x 0.90m</t>
  </si>
  <si>
    <t>1,34</t>
  </si>
  <si>
    <t>Poda + tala árbol grande H=6-9 m</t>
  </si>
  <si>
    <t>1,35</t>
  </si>
  <si>
    <t>Puente provisional en madera L=4 m</t>
  </si>
  <si>
    <t>1,36</t>
  </si>
  <si>
    <t>Red provisional agua</t>
  </si>
  <si>
    <t>1,37</t>
  </si>
  <si>
    <t>Red provisional eléctrica</t>
  </si>
  <si>
    <t>1,38</t>
  </si>
  <si>
    <t>Rocería + limpieza cuneta vía W=6 m</t>
  </si>
  <si>
    <t>1,39</t>
  </si>
  <si>
    <t>Señal luminosa intermitente</t>
  </si>
  <si>
    <t>1,40</t>
  </si>
  <si>
    <t>Señal preventiva reflectiva L=0.9 m</t>
  </si>
  <si>
    <t>1,41</t>
  </si>
  <si>
    <t>Señal preventiva reflectiva D=0.6 m</t>
  </si>
  <si>
    <t>1,42</t>
  </si>
  <si>
    <t>Señal preventiva guadua + muerto concreto</t>
  </si>
  <si>
    <t>1,43</t>
  </si>
  <si>
    <t>Valla informativa instalada</t>
  </si>
  <si>
    <t>1,44</t>
  </si>
  <si>
    <t>Volantes monocromáticos</t>
  </si>
  <si>
    <t>2</t>
  </si>
  <si>
    <t>DESMONTES Y DEMOLICIONES</t>
  </si>
  <si>
    <t>2,01</t>
  </si>
  <si>
    <t>Demolición andenes</t>
  </si>
  <si>
    <t>2,02</t>
  </si>
  <si>
    <t>Demolición calados 0.25 x 0.25</t>
  </si>
  <si>
    <t>2,03</t>
  </si>
  <si>
    <t>Demolición cerramiento malla y muro</t>
  </si>
  <si>
    <t>2,04</t>
  </si>
  <si>
    <t>Demolición de viviendas - incluye cargue + retiro + material sobrante mecánica</t>
  </si>
  <si>
    <t>2,05</t>
  </si>
  <si>
    <t>Demolición estructuras en concreto reforzados</t>
  </si>
  <si>
    <t>2,06</t>
  </si>
  <si>
    <t>Demolición cámara inspección</t>
  </si>
  <si>
    <t>2,07</t>
  </si>
  <si>
    <t>Demolición cono cámara concreto manual</t>
  </si>
  <si>
    <t>2,08</t>
  </si>
  <si>
    <t>Demolición concreto ciclópeo manual</t>
  </si>
  <si>
    <t>2,09</t>
  </si>
  <si>
    <t>Demolición concreto mecánico</t>
  </si>
  <si>
    <t>2,10</t>
  </si>
  <si>
    <t>Demolición de portadas</t>
  </si>
  <si>
    <t>2,11</t>
  </si>
  <si>
    <t>Demolición meson en concreto</t>
  </si>
  <si>
    <t>2,12</t>
  </si>
  <si>
    <t>Demolición mortero manual</t>
  </si>
  <si>
    <t>2,13</t>
  </si>
  <si>
    <t>Demolición muros Dry Wall</t>
  </si>
  <si>
    <t>2,14</t>
  </si>
  <si>
    <t>Demolición muros pandereta manual</t>
  </si>
  <si>
    <t>2,15</t>
  </si>
  <si>
    <t>Demolición muros soga manual</t>
  </si>
  <si>
    <t>2,16</t>
  </si>
  <si>
    <t>Demolición pantallas reforzadas</t>
  </si>
  <si>
    <t>2,17</t>
  </si>
  <si>
    <t>Demolición pavimento flexible E&lt;.21m</t>
  </si>
  <si>
    <t>2,18</t>
  </si>
  <si>
    <t>Demolición pavimento rígido E&lt;0.21m</t>
  </si>
  <si>
    <t>2,19</t>
  </si>
  <si>
    <t>Demolición piso baldosa manual</t>
  </si>
  <si>
    <t>2,20</t>
  </si>
  <si>
    <t>Demolición piso concreto manual</t>
  </si>
  <si>
    <t>2,21</t>
  </si>
  <si>
    <t>Demolición piso concreto mecánico</t>
  </si>
  <si>
    <t>2,22</t>
  </si>
  <si>
    <t>Demolición placa aligerada</t>
  </si>
  <si>
    <t>2,23</t>
  </si>
  <si>
    <t>Demolición revoque/enchape manual</t>
  </si>
  <si>
    <t>2,24</t>
  </si>
  <si>
    <t>Demolición sardineles</t>
  </si>
  <si>
    <t>2,25</t>
  </si>
  <si>
    <t>Demolición separador</t>
  </si>
  <si>
    <t>2,26</t>
  </si>
  <si>
    <t>Demolición sumidero sencillo</t>
  </si>
  <si>
    <t>2,27</t>
  </si>
  <si>
    <t>Demolición viga concreto manual</t>
  </si>
  <si>
    <t>2,28</t>
  </si>
  <si>
    <t>Desarmado gaviones</t>
  </si>
  <si>
    <t>2,29</t>
  </si>
  <si>
    <t>Desmonte adoquín E&lt;=100 mm</t>
  </si>
  <si>
    <t>2,30</t>
  </si>
  <si>
    <t>Desmonte aparato sanitario</t>
  </si>
  <si>
    <t>2,31</t>
  </si>
  <si>
    <t>Desmonte canal</t>
  </si>
  <si>
    <t>2,32</t>
  </si>
  <si>
    <t>Desmonte cerramiento existente (malla eslabonada, muros en soga, vigas y/o concreto ciclópeo H&lt;3.0m)</t>
  </si>
  <si>
    <t>2,33</t>
  </si>
  <si>
    <t>Desmonte cerramiento Swinglea y cerco</t>
  </si>
  <si>
    <t>2,34</t>
  </si>
  <si>
    <t>Desmonte cielo raso</t>
  </si>
  <si>
    <t>2,35</t>
  </si>
  <si>
    <t>Desmonte división metálica</t>
  </si>
  <si>
    <t>2,36</t>
  </si>
  <si>
    <t>Desmonte estructura metálica liviana manual</t>
  </si>
  <si>
    <t>2,37</t>
  </si>
  <si>
    <t>Desmonte fluxómetros (sanitario o lavamanos)</t>
  </si>
  <si>
    <t>2,38</t>
  </si>
  <si>
    <t>Desmonte kioscos y enramadas</t>
  </si>
  <si>
    <t>2,39</t>
  </si>
  <si>
    <t>Desmonte luminaria ornamental exterior</t>
  </si>
  <si>
    <t>2,40</t>
  </si>
  <si>
    <t>Desmonte malla eslabonada</t>
  </si>
  <si>
    <t>2,41</t>
  </si>
  <si>
    <t>Desmonte puerta</t>
  </si>
  <si>
    <t>2,42</t>
  </si>
  <si>
    <t>Desmonte red interior eléctrica</t>
  </si>
  <si>
    <t>2,43</t>
  </si>
  <si>
    <t>Desmonte reja metálica</t>
  </si>
  <si>
    <t>2,44</t>
  </si>
  <si>
    <t>Desmonte techo y estructura</t>
  </si>
  <si>
    <t>2,45</t>
  </si>
  <si>
    <t>Desmonte tubería alcantarillado 12"&lt;=Ø&lt;24"</t>
  </si>
  <si>
    <t>2,46</t>
  </si>
  <si>
    <t>Desmonte tubería alcantarillado Ø&lt;12"</t>
  </si>
  <si>
    <t>2,47</t>
  </si>
  <si>
    <t>Desmonte tubería hidráulica galvanizada</t>
  </si>
  <si>
    <t>2,48</t>
  </si>
  <si>
    <t>Desmonte ventana</t>
  </si>
  <si>
    <t>2,49</t>
  </si>
  <si>
    <t>Desmonte y ajuste puerta / ventana aluminio</t>
  </si>
  <si>
    <t>3</t>
  </si>
  <si>
    <t>MOVIMIENTOS DE TIERRA Y LLENOS</t>
  </si>
  <si>
    <t>3,02</t>
  </si>
  <si>
    <t>Descapote y limpieza manual</t>
  </si>
  <si>
    <t>3,03</t>
  </si>
  <si>
    <t>Descapote y limpieza manual (incluye retiro)</t>
  </si>
  <si>
    <t>3,04</t>
  </si>
  <si>
    <t>Descapote y limpieza mecánica</t>
  </si>
  <si>
    <t>3,05</t>
  </si>
  <si>
    <t>Entibado para excavaciones profundidad mayor a 1.5 m</t>
  </si>
  <si>
    <t>3,06</t>
  </si>
  <si>
    <t>Excavación caisson / pila en roca</t>
  </si>
  <si>
    <t>3,07</t>
  </si>
  <si>
    <t>Excavación caisson en conglomerado H= &gt; 10 m</t>
  </si>
  <si>
    <t>3,08</t>
  </si>
  <si>
    <t>Excavación caisson en conglomerado H= 0 - 10 m</t>
  </si>
  <si>
    <t>3,09</t>
  </si>
  <si>
    <t>Excavación caisson en material común H= &gt; 10 m</t>
  </si>
  <si>
    <t>3,10</t>
  </si>
  <si>
    <t>Excavación caisson en material común H= 0 - 10 m</t>
  </si>
  <si>
    <t>3,11</t>
  </si>
  <si>
    <t>Excavación configuración subrasante manual</t>
  </si>
  <si>
    <t>3,12</t>
  </si>
  <si>
    <t>Excavación configuración subrasante mecánica</t>
  </si>
  <si>
    <t>3,13</t>
  </si>
  <si>
    <t>Excavación conglomerado seco H= 0-1.5 m manual</t>
  </si>
  <si>
    <t>3,14</t>
  </si>
  <si>
    <t>Excavación conglomerado seco H= 1,5-4 m manual</t>
  </si>
  <si>
    <t>3,15</t>
  </si>
  <si>
    <t>Excavación conglomerado seco H &gt;4 m manual</t>
  </si>
  <si>
    <t>3,16</t>
  </si>
  <si>
    <t>Excavación conglomerado bajo agua H=0-1,5 m manual</t>
  </si>
  <si>
    <t>3,17</t>
  </si>
  <si>
    <t>Excavación conglomerado bajo agua H=1,5-4 m manual</t>
  </si>
  <si>
    <t>3,18</t>
  </si>
  <si>
    <t>Excavación conglomerado bajo agua H&gt;4 m manual</t>
  </si>
  <si>
    <t>3,19</t>
  </si>
  <si>
    <t>Excavación material común abierto manual</t>
  </si>
  <si>
    <t>3,20</t>
  </si>
  <si>
    <t>Excavación material común abierto mecánica</t>
  </si>
  <si>
    <t>3,21</t>
  </si>
  <si>
    <t>Excavación material común seco H=0-1,5 m manual</t>
  </si>
  <si>
    <t>3,22</t>
  </si>
  <si>
    <t>Excavación material común seco H=1,5-4 m manual</t>
  </si>
  <si>
    <t>3,23</t>
  </si>
  <si>
    <t>Excavación material común seco H&gt;4 m manual</t>
  </si>
  <si>
    <t>3,24</t>
  </si>
  <si>
    <t>Excavación material común bajo agua H=0-1,5 m manual</t>
  </si>
  <si>
    <t>3,25</t>
  </si>
  <si>
    <t>Excavación material común bajo agua H=1,5-4 m manual</t>
  </si>
  <si>
    <t>3,26</t>
  </si>
  <si>
    <t>Excavación material común bajo agua H&gt;4 m manual</t>
  </si>
  <si>
    <t>3,27</t>
  </si>
  <si>
    <t>Excavación material común pilotes</t>
  </si>
  <si>
    <t>3,28</t>
  </si>
  <si>
    <t>Excavación sin clasificar de la explanación y canales (descapote)</t>
  </si>
  <si>
    <t>3,29</t>
  </si>
  <si>
    <t>Excavación sin clasificar de la explanación y canales mecánica</t>
  </si>
  <si>
    <t>3,30</t>
  </si>
  <si>
    <t>Excavación roca con cuña hidráulica &lt; 4m</t>
  </si>
  <si>
    <t>3,31</t>
  </si>
  <si>
    <t>Excavación roca con cuña hidráulica &gt; 4m ø &gt; 0,50 m3</t>
  </si>
  <si>
    <t>3,32</t>
  </si>
  <si>
    <t>Excavación roca con cuña hidráulica bajo agua</t>
  </si>
  <si>
    <t>3,33</t>
  </si>
  <si>
    <t>Excavación manual material desecho compactación / basura h= 0-1,5 m</t>
  </si>
  <si>
    <t>3,34</t>
  </si>
  <si>
    <t>Lleno material común mecánico</t>
  </si>
  <si>
    <t>3,35</t>
  </si>
  <si>
    <t>Lleno compactado material sitio manual</t>
  </si>
  <si>
    <t>3,36</t>
  </si>
  <si>
    <t>Lleno compactado material granular</t>
  </si>
  <si>
    <t>3,37</t>
  </si>
  <si>
    <t>Lleno con arena</t>
  </si>
  <si>
    <t>3,38</t>
  </si>
  <si>
    <t>Lleno con triturado</t>
  </si>
  <si>
    <t>3,39</t>
  </si>
  <si>
    <t>Lleno en piedra filtro</t>
  </si>
  <si>
    <t>3,40</t>
  </si>
  <si>
    <t>Lleno material filtrante</t>
  </si>
  <si>
    <t>3,41</t>
  </si>
  <si>
    <t>Lleno compactado material transportado</t>
  </si>
  <si>
    <t>3,42</t>
  </si>
  <si>
    <t>Nivelación terreno manual</t>
  </si>
  <si>
    <t>3,43</t>
  </si>
  <si>
    <t>Piso afirmado suministro + transporte + riego + compactación e=.07 m</t>
  </si>
  <si>
    <t>3,44</t>
  </si>
  <si>
    <t>Piso afirmado suministro + transporte + riego + compactación e=.10 m</t>
  </si>
  <si>
    <t>3,45</t>
  </si>
  <si>
    <t>Piso afirmado suministro + transporte + riego + compactación e=.15 m</t>
  </si>
  <si>
    <t>3,46</t>
  </si>
  <si>
    <t>Piso afirmado suministro + transporte + riego + compactación e=.20 m</t>
  </si>
  <si>
    <t>3,47</t>
  </si>
  <si>
    <t>Restitución afirmado + cemento 10 % peso</t>
  </si>
  <si>
    <t>3,48</t>
  </si>
  <si>
    <t>Restitución afirmado + cemento 5 % peso</t>
  </si>
  <si>
    <t>4</t>
  </si>
  <si>
    <t>INSTALACIONES SUBTERRANEAS</t>
  </si>
  <si>
    <t>4,01</t>
  </si>
  <si>
    <t>Caja inspección concreto 17.2 Mpa 0.20 m libre + tapa</t>
  </si>
  <si>
    <t>4,02</t>
  </si>
  <si>
    <t>Caja inspección concreto 17.2 Mpa 0.30 m libre + tapa</t>
  </si>
  <si>
    <t>4,03</t>
  </si>
  <si>
    <t>Caja inspección concreto 17.2 Mpa 0.60 m libre + tapa</t>
  </si>
  <si>
    <t>4,04</t>
  </si>
  <si>
    <t>Caja inspección concreto 17.2 Mpa 0.75 m libre + tapa</t>
  </si>
  <si>
    <t>4,05</t>
  </si>
  <si>
    <t>Caja inspección concreto 17.2 Mpa 0.80 m libre + tapa</t>
  </si>
  <si>
    <t>4,06</t>
  </si>
  <si>
    <t>Caja inspección concreto 17.2 Mpa 1.00 m libre + tapa</t>
  </si>
  <si>
    <t>4,07</t>
  </si>
  <si>
    <t>Caja inspección concreto 20.7 Mpa 0.80 m h=1.3 libre</t>
  </si>
  <si>
    <t>4,08</t>
  </si>
  <si>
    <t>Caja inspección concreto 20.7 Mpa 1.00 m h=1.3 libre</t>
  </si>
  <si>
    <t>4,09</t>
  </si>
  <si>
    <t>Caja contador con tapa HD</t>
  </si>
  <si>
    <t>4,10</t>
  </si>
  <si>
    <t>Caja contador polipropileno</t>
  </si>
  <si>
    <t>4,11</t>
  </si>
  <si>
    <t>Empalme a redes de alcantarillado</t>
  </si>
  <si>
    <t>4,12</t>
  </si>
  <si>
    <t>Fijación de tubería de 6" a 8" (incluye abrazadera metálica)</t>
  </si>
  <si>
    <t>4,13</t>
  </si>
  <si>
    <t>Fijación de tubería &lt;= 6" (incluye abrazadera metálica)</t>
  </si>
  <si>
    <t>4,14</t>
  </si>
  <si>
    <t>Reparación caja domiciliaria área neta 0.6x0.6 + tapa</t>
  </si>
  <si>
    <t>5</t>
  </si>
  <si>
    <t>ESTRUCTURAS</t>
  </si>
  <si>
    <t>5,01</t>
  </si>
  <si>
    <t>Acero de refuerzo 420 Mpa</t>
  </si>
  <si>
    <t>Kg</t>
  </si>
  <si>
    <t>5,02</t>
  </si>
  <si>
    <t>Cinta amarre confinamiento</t>
  </si>
  <si>
    <t>5,03</t>
  </si>
  <si>
    <t>Columna rectangular confinamiento concreto 20.7 Mpa</t>
  </si>
  <si>
    <t>5,04</t>
  </si>
  <si>
    <t>Columna circular 20.7 Mpa (área &lt;=1.600 cm2)</t>
  </si>
  <si>
    <t>5,05</t>
  </si>
  <si>
    <t>Columna circular 20.7 Mpa (1.600 cm2 &lt;área&lt;= 2.500 cm2)</t>
  </si>
  <si>
    <t>5,06</t>
  </si>
  <si>
    <t>Columna circular 20.7 Mpa (2.500 cm2 &lt;área&lt;= 3.600 cm2)</t>
  </si>
  <si>
    <t>5,07</t>
  </si>
  <si>
    <t>Columna circular 20.7 Mpa (área &gt;=3.600 cm2)</t>
  </si>
  <si>
    <t>5,08</t>
  </si>
  <si>
    <t>Columna circular 24.1 Mpa (área &lt;=1.600 cm2)</t>
  </si>
  <si>
    <t>5,09</t>
  </si>
  <si>
    <t>Columna circular 24.1 Mpa (1.600 cm2 &lt;área&lt;= 2.500 cm2)</t>
  </si>
  <si>
    <t>5,10</t>
  </si>
  <si>
    <t>Columna circular 24.1 Mpa (2.500 cm2 &lt;área&lt;= 3.600 cm2)</t>
  </si>
  <si>
    <t>5,11</t>
  </si>
  <si>
    <t>Columna circular 24.1 Mpa (área &gt;=3.600 cm2)</t>
  </si>
  <si>
    <t>5,12</t>
  </si>
  <si>
    <t>Columna circular 27.6 Mpa (área &lt;=1.600 cm2)</t>
  </si>
  <si>
    <t>5,13</t>
  </si>
  <si>
    <t>Columna circular 27.6 Mpa (1.600 cm2 &lt;área&lt;= 2.500 cm2)</t>
  </si>
  <si>
    <t>5,14</t>
  </si>
  <si>
    <t>Columna circular 27.6 Mpa (2.500 cm2 &lt;área&lt;= 3.600 cm2)</t>
  </si>
  <si>
    <t>5,15</t>
  </si>
  <si>
    <t>Columna circular 27.6 Mpa (área &gt;=3.600 cm2)</t>
  </si>
  <si>
    <t>5,16</t>
  </si>
  <si>
    <t>Columna rectangular 20.7 Mpa (área &lt;=1.600 cm2)</t>
  </si>
  <si>
    <t>5,17</t>
  </si>
  <si>
    <t>Columna rectangular 20.7 Mpa (1.600 cm2 &lt;área&lt;= 2.500 cm2)</t>
  </si>
  <si>
    <t>5,18</t>
  </si>
  <si>
    <t>Columna rectangular 20.7 Mpa (2.500 cm2 &lt;área&lt;= 3.600 cm2)</t>
  </si>
  <si>
    <t>5,19</t>
  </si>
  <si>
    <t>Columna rectangular 20.7 Mpa (área &gt;=3.600 cm2)</t>
  </si>
  <si>
    <t>5,20</t>
  </si>
  <si>
    <t>Columna rectangular 24.1 Mpa (área &lt;=1.600 cm2)</t>
  </si>
  <si>
    <t>5,21</t>
  </si>
  <si>
    <t>Columna rectangular 24.1 Mpa (1.600 cm2 &lt;área&lt;= 2.500 cm2)</t>
  </si>
  <si>
    <t>5,22</t>
  </si>
  <si>
    <t>Columna rectangular 24.1 Mpa (2.500 cm2 &lt;área&lt;= 3.600 cm2)</t>
  </si>
  <si>
    <t>5,23</t>
  </si>
  <si>
    <t>Columna rectangular 24.1 Mpa (área &gt;=3.600 cm2)</t>
  </si>
  <si>
    <t>5,24</t>
  </si>
  <si>
    <t>Columna rectangular 27.6 Mpa (área &lt;=1.600 cm2)</t>
  </si>
  <si>
    <t>5,25</t>
  </si>
  <si>
    <t>Columna rectangular 27.6 Mpa (1.600 cm2 &lt;área&lt;= 2.500 cm2)</t>
  </si>
  <si>
    <t>5,26</t>
  </si>
  <si>
    <t>Columna rectangular 27.6 Mpa (2.500 cm2 &lt;área&lt;= 3.600 cm2)</t>
  </si>
  <si>
    <t>5,27</t>
  </si>
  <si>
    <t>Columna rectangular 27.6 Mpa (área &gt;=3.600 cm2)</t>
  </si>
  <si>
    <t>5,28</t>
  </si>
  <si>
    <t>Concreto 20.7 Mpa anillos caisson</t>
  </si>
  <si>
    <t>5,29</t>
  </si>
  <si>
    <t>Concreto 20.7 Mpa caisson y pilas</t>
  </si>
  <si>
    <t>5,30</t>
  </si>
  <si>
    <t>Concreto 24.1 Mpa caisson y pilas</t>
  </si>
  <si>
    <t>5,31</t>
  </si>
  <si>
    <t>Concreto 27.6 Mpa caisson y pilas</t>
  </si>
  <si>
    <t>5,32</t>
  </si>
  <si>
    <t>Concreto 20.7 Mpa simple</t>
  </si>
  <si>
    <t>5,33</t>
  </si>
  <si>
    <t>Concreto 24.1 Mpa simple</t>
  </si>
  <si>
    <t>5,34</t>
  </si>
  <si>
    <t>Concreto 27.6 Mpa simple</t>
  </si>
  <si>
    <t>5,35</t>
  </si>
  <si>
    <t>Concreto 20.7 Mpa simple impermeabilizado</t>
  </si>
  <si>
    <t>5,36</t>
  </si>
  <si>
    <t>Concreto 24.1 Mpa simple impermeabilizado</t>
  </si>
  <si>
    <t>5,37</t>
  </si>
  <si>
    <t>Concreto 27.6 Mpa simple impermeabilizado</t>
  </si>
  <si>
    <t>5,38</t>
  </si>
  <si>
    <t>Cornisa concreto 20.7 Mpa 0.12x0.15 + reforzada</t>
  </si>
  <si>
    <t>5,39</t>
  </si>
  <si>
    <t>Dintel concreto 20.7 Mpa 0.12x0.15 + reforzada</t>
  </si>
  <si>
    <t>5,40</t>
  </si>
  <si>
    <t>Dovela en concreto 20.7 Mpa</t>
  </si>
  <si>
    <t>5,41</t>
  </si>
  <si>
    <t>Elementos estructurales en acero A36</t>
  </si>
  <si>
    <t>5,42</t>
  </si>
  <si>
    <t>Escala concreto 20.7 Mpa E= 0.12 m cónica sobre terreno</t>
  </si>
  <si>
    <t>5,43</t>
  </si>
  <si>
    <t>Escala concreto 20.7 Mpa E= 0.12 m hélice sobre terreno</t>
  </si>
  <si>
    <t>5,44</t>
  </si>
  <si>
    <t>Escala concreto 20.7 Mpa E= 0.12 m sobre suelo</t>
  </si>
  <si>
    <t>5,45</t>
  </si>
  <si>
    <t>Escala concreto 20.7 Mpa E= 0.15 m estructural</t>
  </si>
  <si>
    <t>5,46</t>
  </si>
  <si>
    <t>Escala concreto 20.7 Mpa E= 0.20 m estructural</t>
  </si>
  <si>
    <t>5,47</t>
  </si>
  <si>
    <t>Escala concreto 27.6 Mpa E= 0.25 m estructural</t>
  </si>
  <si>
    <t>5,48</t>
  </si>
  <si>
    <t>Estructura metalica para cubierta</t>
  </si>
  <si>
    <t>5,49</t>
  </si>
  <si>
    <t>Grada concreto 20.7 Mpa ancho= 0.15 altura= 0.15 sobre terreno</t>
  </si>
  <si>
    <t>5,50</t>
  </si>
  <si>
    <t>Grada concreto 20.7 Mpa ancho= 0.4 altura= 0.4 sobre terreno</t>
  </si>
  <si>
    <t>5,51</t>
  </si>
  <si>
    <t>Grada concreto 20.7 Mpa ancho= 0.5 altura= 0.3 sobre terreno</t>
  </si>
  <si>
    <t>5,52</t>
  </si>
  <si>
    <t>Grada concreto 20.7 Mpa ancho =0.7 altura= 0.3 sobre terreno</t>
  </si>
  <si>
    <t>5,53</t>
  </si>
  <si>
    <t>Junta construcción alfajor + ángulo w= 0.22 m</t>
  </si>
  <si>
    <t>5,54</t>
  </si>
  <si>
    <t>Losa fondo concreto 27.6 Mpa E&lt;= 0.30 m impermeabilizada</t>
  </si>
  <si>
    <t>5,55</t>
  </si>
  <si>
    <t>Malla electrosoldada 7.0 mm 15x15</t>
  </si>
  <si>
    <t>5,56</t>
  </si>
  <si>
    <t>Malla electrosoldada 6.0 mm 15x15</t>
  </si>
  <si>
    <t>5,57</t>
  </si>
  <si>
    <t>Malla electrosoldada 5.5 mm 15x15</t>
  </si>
  <si>
    <t>5,58</t>
  </si>
  <si>
    <t>Malla electrosoldada 5.0 mm 15x15</t>
  </si>
  <si>
    <t>5,59</t>
  </si>
  <si>
    <t>Malla electrosoldada 4.5 mm 15x15</t>
  </si>
  <si>
    <t>5,60</t>
  </si>
  <si>
    <t>Malla electrosoldada 4.0 mm 15x15</t>
  </si>
  <si>
    <t>5,61</t>
  </si>
  <si>
    <t>Muro concreto reforzado C20.7 Mpa</t>
  </si>
  <si>
    <t>5,62</t>
  </si>
  <si>
    <t>Muro concreto reforzado C24.1 Mpa</t>
  </si>
  <si>
    <t>5,63</t>
  </si>
  <si>
    <t>Muro concreto reforzado C27.6 Mpa</t>
  </si>
  <si>
    <t>5,64</t>
  </si>
  <si>
    <t>Muro concreto reforzado C20.7 Mpa Impermeabilizado</t>
  </si>
  <si>
    <t>5,65</t>
  </si>
  <si>
    <t>Muro concreto reforzado C24.1 Mpa Impermeabilizado</t>
  </si>
  <si>
    <t>5,66</t>
  </si>
  <si>
    <t>Muro concreto reforzado C27.6 Mpa Impermeabilizado</t>
  </si>
  <si>
    <t>5,67</t>
  </si>
  <si>
    <t>Pedestal concreto 20.7 Mpa H&lt;= 0.40m</t>
  </si>
  <si>
    <t>5,68</t>
  </si>
  <si>
    <t>Pedestal concreto 20.7 Mpa H&gt; 0.40m</t>
  </si>
  <si>
    <t>5,69</t>
  </si>
  <si>
    <t>Placa maciza concreto 20.7 Mpa E=0.10m</t>
  </si>
  <si>
    <t>5,70</t>
  </si>
  <si>
    <t>Placa maciza concreto 20.7 Mpa E=0.10m premezclado</t>
  </si>
  <si>
    <t>5,71</t>
  </si>
  <si>
    <t>Placa maciza concreto 20.7 Mpa E=0.10m Steeldeck lámina 2"</t>
  </si>
  <si>
    <t>5,72</t>
  </si>
  <si>
    <t>Placa maciza concreto 20.7 Mpa E=0.12m</t>
  </si>
  <si>
    <t>5,73</t>
  </si>
  <si>
    <t>Placa maciza concreto 20.7 Mpa E=0.12m premezclado</t>
  </si>
  <si>
    <t>5,74</t>
  </si>
  <si>
    <t>Placa maciza concreto 20.7 Mpa E=0.12m Steeldeck lámina 2"</t>
  </si>
  <si>
    <t>5,75</t>
  </si>
  <si>
    <t>Placa maciza concreto 20.7 Mpa E=0.13m premezclado</t>
  </si>
  <si>
    <t>5,76</t>
  </si>
  <si>
    <t>Placa maciza concreto 20.7 Mpa E=0.13m Steeldeck lámina 2"</t>
  </si>
  <si>
    <t>5,77</t>
  </si>
  <si>
    <t>Placa maciza concreto 20.7 Mpa E=0.15m</t>
  </si>
  <si>
    <t>5,78</t>
  </si>
  <si>
    <t>Placa maciza concreto 20.7 Mpa E=0.15m premezclado</t>
  </si>
  <si>
    <t>5,79</t>
  </si>
  <si>
    <t>Placa maciza concreto 20.7 Mpa E=0.17m</t>
  </si>
  <si>
    <t>5,80</t>
  </si>
  <si>
    <t>Placa maciza concreto 20.7 Mpa E=0.17m premezclado</t>
  </si>
  <si>
    <t>5,81</t>
  </si>
  <si>
    <t>Placa maciza concreto 20.7 Mpa E=0.20m</t>
  </si>
  <si>
    <t>5,82</t>
  </si>
  <si>
    <t>Placa maciza concreto 20.7 Mpa E=0.20m premezclado</t>
  </si>
  <si>
    <t>5,83</t>
  </si>
  <si>
    <t>Placa maciza concreto 27.6 Mpa Imermeabilizado</t>
  </si>
  <si>
    <t>5,84</t>
  </si>
  <si>
    <t>Placa piso concreto 20.7 Mpa E=0.05 m</t>
  </si>
  <si>
    <t>5,85</t>
  </si>
  <si>
    <t>Placa piso concreto 20.7 Mpa E=0.07 m</t>
  </si>
  <si>
    <t>5,86</t>
  </si>
  <si>
    <t>Placa piso concreto 17.2 Mpa E=0.10 m premezclado</t>
  </si>
  <si>
    <t>5,87</t>
  </si>
  <si>
    <t>Placa piso concreto 20.7 Mpa E=0.10 m</t>
  </si>
  <si>
    <t>5,88</t>
  </si>
  <si>
    <t>Placa piso concreto 20.7 Mpa E=0.12 m</t>
  </si>
  <si>
    <t>5,89</t>
  </si>
  <si>
    <t>Placa piso concreto 20.7 Mpa E=0.15 m</t>
  </si>
  <si>
    <t>5,90</t>
  </si>
  <si>
    <t>Placa piso concreto 20.7 Mpa E=0.20 m</t>
  </si>
  <si>
    <t>5,91</t>
  </si>
  <si>
    <t>Rampa maciza concreto 20.7 Mpa E=0.10M</t>
  </si>
  <si>
    <t>5,92</t>
  </si>
  <si>
    <t>Rampa maciza concreto 20.7 Mpa E=0.15M</t>
  </si>
  <si>
    <t>5,93</t>
  </si>
  <si>
    <t>Rampa maciza concreto 20.7 Mpa E=0.15M premezclado</t>
  </si>
  <si>
    <t>5,94</t>
  </si>
  <si>
    <t>Rampa maciza concreto 20.7 Mpa E=0.15M Steeldeck lámina 2"</t>
  </si>
  <si>
    <t>5,95</t>
  </si>
  <si>
    <t>Recalce columna rectangular concreto 24.1 Mpa</t>
  </si>
  <si>
    <t>5,96</t>
  </si>
  <si>
    <t>Recalce columna rectangular concreto 27.6 Mpa</t>
  </si>
  <si>
    <t>5,97</t>
  </si>
  <si>
    <t>Resane estructural superficie concreto (Sikatop 122 o similar)</t>
  </si>
  <si>
    <t>5,98</t>
  </si>
  <si>
    <t>Resina adherencia concreto viejo a nuevo</t>
  </si>
  <si>
    <t>5,99</t>
  </si>
  <si>
    <t>Solado concreto 10.3 Mpa</t>
  </si>
  <si>
    <t>5,100</t>
  </si>
  <si>
    <t>Viga aérea concreto 20.7 Mpa (área sección transversal &lt;= 1000 cm2)</t>
  </si>
  <si>
    <t>5,101</t>
  </si>
  <si>
    <t>Viga aérea concreto 20.7 Mpa (1000 cm2 &lt;área sección transversal &lt;= 2000 cm2)</t>
  </si>
  <si>
    <t>5,102</t>
  </si>
  <si>
    <t>Viga aérea concreto 20.7 Mpa (área sección transversal &gt; 2000 cm2)</t>
  </si>
  <si>
    <t>5,103</t>
  </si>
  <si>
    <t>Viga aérea concreto 24.1 Mpa (área sección transversal &lt;= 1000 cm2)</t>
  </si>
  <si>
    <t>5,104</t>
  </si>
  <si>
    <t>Viga aérea concreto 24.1 Mpa (1000 cm2 &lt;área sección transversal &lt;= 2000 cm2)</t>
  </si>
  <si>
    <t>5,105</t>
  </si>
  <si>
    <t>Viga aérea concreto 24.1 Mpa (área sección transversal &gt; 2000 cm2)</t>
  </si>
  <si>
    <t>5,106</t>
  </si>
  <si>
    <t>Viga aérea concreto 27.6 Mpa (área sección transversal &lt;= 1000 cm2)</t>
  </si>
  <si>
    <t>5,107</t>
  </si>
  <si>
    <t>Viga aérea concreto 27.6 Mpa (1000 cm2 &lt;área sección transversal &lt;= 2000 cm2)</t>
  </si>
  <si>
    <t>5,108</t>
  </si>
  <si>
    <t>Viga aérea concreto 27.6 Mpa (área sección transversal &gt; 2000 cm2)</t>
  </si>
  <si>
    <t>5,109</t>
  </si>
  <si>
    <t>Viga amarre confinamiento concreto 20.7 Mpa 12x20 cm</t>
  </si>
  <si>
    <t>5,110</t>
  </si>
  <si>
    <t>Viga amarre confinamiento concreto 20.7 Mpa 15x20 cm</t>
  </si>
  <si>
    <t>5,111</t>
  </si>
  <si>
    <t>Viga apoyada concreto 20.7 Mpa, no incluye refuerzo</t>
  </si>
  <si>
    <t>5,112</t>
  </si>
  <si>
    <t>Viga cimentación concreto 20.7 Mpa (área sección transversal &lt;= 1000 cm2)</t>
  </si>
  <si>
    <t>5,113</t>
  </si>
  <si>
    <t>Viga cimentación concreto 20.7 Mpa (1000 cm2 &lt;área sección transversal &lt;= 2000 cm2)</t>
  </si>
  <si>
    <t>5,114</t>
  </si>
  <si>
    <t>Viga cimentación concreto 20.7 Mpa (área sección transversal &gt; 2000 cm2)</t>
  </si>
  <si>
    <t>5,115</t>
  </si>
  <si>
    <t>Viga cimentación concreto 24.1 Mpa (área sección transversal &lt;= 1000 cm2)</t>
  </si>
  <si>
    <t>5,116</t>
  </si>
  <si>
    <t>Viga cimentación concreto 24.1 Mpa (1000 cm2 &lt;área sección transversal &lt;= 2000 cm2)</t>
  </si>
  <si>
    <t>5,117</t>
  </si>
  <si>
    <t>Viga cimentación concreto 24.1 Mpa (área sección transversal &gt; 2000 cm2)</t>
  </si>
  <si>
    <t>5,118</t>
  </si>
  <si>
    <t>Viga cimentación concreto 27.6 Mpa (área sección transversal &lt;= 1000 cm2)</t>
  </si>
  <si>
    <t>5,119</t>
  </si>
  <si>
    <t>Viga cimentación concreto 27.6 Mpa (1000 cm2 &lt;área sección transversal &lt;= 2000 cm2)</t>
  </si>
  <si>
    <t>5,120</t>
  </si>
  <si>
    <t>Viga cimentación concreto 27.6 Mpa (área sección transversal &gt; 2000 cm2)</t>
  </si>
  <si>
    <t>5,121</t>
  </si>
  <si>
    <t>Viga - canal concreto 20.7 Mpa (área sección transversal &lt;= 1000 cm2)</t>
  </si>
  <si>
    <t>5,122</t>
  </si>
  <si>
    <t>Viga - canal concreto 20.7 Mpa (1000 cm2 &lt;área sección transversal &lt;= 2000 cm2)</t>
  </si>
  <si>
    <t>5,123</t>
  </si>
  <si>
    <t>Viga - canal concreto 20.7 Mpa (área sección transversal &gt; 2000 cm2)</t>
  </si>
  <si>
    <t>5,124</t>
  </si>
  <si>
    <t>Viga - canal concreto 24.1 Mpa (área sección transversal &lt;= 1000 cm2)</t>
  </si>
  <si>
    <t>5,125</t>
  </si>
  <si>
    <t>Viga - canal concreto 24.1 Mpa (1000 cm2 &lt;área sección transversal &lt;= 2000 cm2)</t>
  </si>
  <si>
    <t>5,126</t>
  </si>
  <si>
    <t>Viga - canal concreto 24.1 Mpa (área sección transversal &gt; 2000 cm2)</t>
  </si>
  <si>
    <t>5,127</t>
  </si>
  <si>
    <t>Zapata concreto 20.7 Mpa</t>
  </si>
  <si>
    <t>5,128</t>
  </si>
  <si>
    <t>Zapata concreto 24.1 Mpa</t>
  </si>
  <si>
    <t>5,129</t>
  </si>
  <si>
    <t>Zapata concreto 27.6 Mpa</t>
  </si>
  <si>
    <t>5,130</t>
  </si>
  <si>
    <t>Zarpa concreto ciclópeo</t>
  </si>
  <si>
    <t>6</t>
  </si>
  <si>
    <t>MAMPOSTERIA Y REVOQUES</t>
  </si>
  <si>
    <t>6,01</t>
  </si>
  <si>
    <t>Abuzardado de concreto</t>
  </si>
  <si>
    <t>6,02</t>
  </si>
  <si>
    <t>Alfajía ladrillo visto pandereta</t>
  </si>
  <si>
    <t>6,03</t>
  </si>
  <si>
    <t>Alfajía lámina C 22 S=0.30 m</t>
  </si>
  <si>
    <t>6,04</t>
  </si>
  <si>
    <t>Alfajía remate ancho = 0.3 m concreto 20.7 Mpa reforzado</t>
  </si>
  <si>
    <t>6,05</t>
  </si>
  <si>
    <t>Alfajía remate ancho = 0.4 m concreto 20.7 Mpa reforzado</t>
  </si>
  <si>
    <t>6,06</t>
  </si>
  <si>
    <t>Alfajía remate ancho = 0.5 m concreto 20.7 Mpa reforzado</t>
  </si>
  <si>
    <t>6,07</t>
  </si>
  <si>
    <t>Alfajía remate ancho = 0.6 m concreto 20.7 Mpa reforzado</t>
  </si>
  <si>
    <t>6,08</t>
  </si>
  <si>
    <t>Anclaje manual varilla Ø =3/8" L&lt; Ø =0.30m</t>
  </si>
  <si>
    <t>6,09</t>
  </si>
  <si>
    <t>Anclaje manual varilla Ø=1/2" L&lt; Ø =0.40m</t>
  </si>
  <si>
    <t>6,10</t>
  </si>
  <si>
    <t>Anclaje manual varilla Ø =3/4" L&lt; Ø =0.70m</t>
  </si>
  <si>
    <t>6,11</t>
  </si>
  <si>
    <t>Anclaje manual varilla Ø =5/8" L&lt; Ø =0.50m</t>
  </si>
  <si>
    <t>6,12</t>
  </si>
  <si>
    <t>Calado cerámica figuras 0.20x0.20x0.10/0.12</t>
  </si>
  <si>
    <t>6,13</t>
  </si>
  <si>
    <t>Cenefa calado - cerámica 0.2 x 0.2 1 hilada</t>
  </si>
  <si>
    <t>6,14</t>
  </si>
  <si>
    <t>Cenefa ladrillo visto tizón 2 hiladas</t>
  </si>
  <si>
    <t>6,15</t>
  </si>
  <si>
    <t>Cornisa ladrillo visto soga 3 hiladas</t>
  </si>
  <si>
    <t>6,16</t>
  </si>
  <si>
    <t>Corta gotera revoque fileteado</t>
  </si>
  <si>
    <t>6,17</t>
  </si>
  <si>
    <t>Junta icopor E=1"</t>
  </si>
  <si>
    <t>6,18</t>
  </si>
  <si>
    <t>Muro bloque cemento 10x19x39 cm</t>
  </si>
  <si>
    <t>6,19</t>
  </si>
  <si>
    <t>Muro bloque cemento 14x19x39 cm</t>
  </si>
  <si>
    <t>6,20</t>
  </si>
  <si>
    <t>Muro bloque cemento texturizado 14x19x39 cm</t>
  </si>
  <si>
    <t>6,21</t>
  </si>
  <si>
    <t>Muro bloque estructural 14x19x39 cm + acero + Grafil</t>
  </si>
  <si>
    <t>6,22</t>
  </si>
  <si>
    <t>Muro bloque estructural 20x19x39 cm + acero + Grafil</t>
  </si>
  <si>
    <t>6,23</t>
  </si>
  <si>
    <t>Muro en Gyplac 1 cara</t>
  </si>
  <si>
    <t>6,24</t>
  </si>
  <si>
    <t>Muro en Gyplac 2 caras</t>
  </si>
  <si>
    <t>6,25</t>
  </si>
  <si>
    <t>Muro en Superboard 6 mm (1 cara)</t>
  </si>
  <si>
    <t>6,26</t>
  </si>
  <si>
    <t>Muro en Superboard 6 mm (2 caras)</t>
  </si>
  <si>
    <t>6,27</t>
  </si>
  <si>
    <t>Muro en Superboard 8 mm (1 cara)</t>
  </si>
  <si>
    <t>6,28</t>
  </si>
  <si>
    <t>Muro en Superboard 8 mm (1 cara) + Gyplac (1 cara)</t>
  </si>
  <si>
    <t>6,29</t>
  </si>
  <si>
    <t>Muro en Superboard 8 mm (2 caras)</t>
  </si>
  <si>
    <t>6,30</t>
  </si>
  <si>
    <t>Muro en Superboard 10 mm (1 cara)</t>
  </si>
  <si>
    <t>6,31</t>
  </si>
  <si>
    <t>Muro en Superboard 10 mm (1 cara) + Superboard 8 mm (1 cara)</t>
  </si>
  <si>
    <t>6,32</t>
  </si>
  <si>
    <t>Muro en Superboard 10 mm (2 caras)</t>
  </si>
  <si>
    <t>6,33</t>
  </si>
  <si>
    <t>Muro ladrillo arcilla estructural 12x20x30 cm</t>
  </si>
  <si>
    <t>6,34</t>
  </si>
  <si>
    <t>Muro ladrillo farol pandereta revitado E=0.10 m</t>
  </si>
  <si>
    <t>6,35</t>
  </si>
  <si>
    <t>Muro ladrillo farol pandereta revitado E=0.12 m</t>
  </si>
  <si>
    <t>6,36</t>
  </si>
  <si>
    <t>Muro ladrillo tolete pandereta</t>
  </si>
  <si>
    <t>6,37</t>
  </si>
  <si>
    <t>Muro ladrillo tolete soga limpio</t>
  </si>
  <si>
    <t>6,38</t>
  </si>
  <si>
    <t>Muro ladrillo vista soga 1 cara</t>
  </si>
  <si>
    <t>6,39</t>
  </si>
  <si>
    <t>Muro ladrillo vista soga 2 caras</t>
  </si>
  <si>
    <t>6,40</t>
  </si>
  <si>
    <t>Muro traslúcido Vitroblock B=0.14 m</t>
  </si>
  <si>
    <t>6,41</t>
  </si>
  <si>
    <t>Remate piña ladrillo visto medios</t>
  </si>
  <si>
    <t>6,42</t>
  </si>
  <si>
    <t>Revoque bajantes</t>
  </si>
  <si>
    <t>6,43</t>
  </si>
  <si>
    <t>Revoque carteras de muros W&lt;=0.30 m</t>
  </si>
  <si>
    <t>6,44</t>
  </si>
  <si>
    <t>Revoque cielo raso e=0.03 m</t>
  </si>
  <si>
    <t>6,45</t>
  </si>
  <si>
    <t>Revoque impermeabilizado e=0.03 m + filos y dilataciones</t>
  </si>
  <si>
    <t>6,46</t>
  </si>
  <si>
    <t>Revoque muro exterior fachada</t>
  </si>
  <si>
    <t>6,47</t>
  </si>
  <si>
    <t>Revoque muro interior + filos + dilatación</t>
  </si>
  <si>
    <t>6,48</t>
  </si>
  <si>
    <t>Sobrecimiento ladrillo tolete H&lt;=0.5 m soga</t>
  </si>
  <si>
    <t>6,49</t>
  </si>
  <si>
    <t>Sobrecimiento ladrillo tolete tizón + soga</t>
  </si>
  <si>
    <t>7</t>
  </si>
  <si>
    <t>INSTALACIONES HIDROSANITARIAS</t>
  </si>
  <si>
    <t>7,01</t>
  </si>
  <si>
    <t>Acometida hidráulica domicilio PF+UAD todo costo</t>
  </si>
  <si>
    <t>7,02</t>
  </si>
  <si>
    <t>Abrazadera de fijación tuberia de presión</t>
  </si>
  <si>
    <t>7,03</t>
  </si>
  <si>
    <t>Abrazadera de fijación tuberia sanitaria</t>
  </si>
  <si>
    <t>7,04</t>
  </si>
  <si>
    <t>Bajante PVC 3" aguas negras + accesorios</t>
  </si>
  <si>
    <t>7,05</t>
  </si>
  <si>
    <t>Bajante PVC 4" aguas negras + accesorios</t>
  </si>
  <si>
    <t>7,06</t>
  </si>
  <si>
    <t>Bajante PVC 3" aguas lluvias + accesorios</t>
  </si>
  <si>
    <t>7,07</t>
  </si>
  <si>
    <t>Bajante PVC 4" aguas lluvias + accesorios</t>
  </si>
  <si>
    <t>7,08</t>
  </si>
  <si>
    <t>Bajante PVC aguas lluvias cuadrado</t>
  </si>
  <si>
    <t>7,09</t>
  </si>
  <si>
    <t>Cámaras de aire</t>
  </si>
  <si>
    <t>7,10</t>
  </si>
  <si>
    <t>Canalización + resane para ducto D&lt;=1-1/2"</t>
  </si>
  <si>
    <t>7,11</t>
  </si>
  <si>
    <t>Cheque 1/2"</t>
  </si>
  <si>
    <t>7,12</t>
  </si>
  <si>
    <t>Cheque 3/4"</t>
  </si>
  <si>
    <t>7,13</t>
  </si>
  <si>
    <t>Cheque 1"</t>
  </si>
  <si>
    <t>7,14</t>
  </si>
  <si>
    <t>Cheque 1 - 1/4"</t>
  </si>
  <si>
    <t>7,15</t>
  </si>
  <si>
    <t>Cheque 1 - 1/2"</t>
  </si>
  <si>
    <t>7,16</t>
  </si>
  <si>
    <t>Cheque 2"</t>
  </si>
  <si>
    <t>7,17</t>
  </si>
  <si>
    <t>Instalación medidor 1/2" tipo Kent</t>
  </si>
  <si>
    <t>7,18</t>
  </si>
  <si>
    <t>Llave paso 1/2" tipo bola</t>
  </si>
  <si>
    <t>7,19</t>
  </si>
  <si>
    <t>Llave paso 1/2" tipo RW</t>
  </si>
  <si>
    <t>7,20</t>
  </si>
  <si>
    <t>Llave paso 3/4" tipo RW</t>
  </si>
  <si>
    <t>7,21</t>
  </si>
  <si>
    <t>Llave paso 1" tipo RW</t>
  </si>
  <si>
    <t>7,22</t>
  </si>
  <si>
    <t>Medidor 1/2" volumétrico clase C</t>
  </si>
  <si>
    <t>7,23</t>
  </si>
  <si>
    <t>Medidor 3/4" volumétrico clase C</t>
  </si>
  <si>
    <t>7,24</t>
  </si>
  <si>
    <t>Medidor 1" volumétrico clase C</t>
  </si>
  <si>
    <t>7,25</t>
  </si>
  <si>
    <t>Medidor 1-1/2" volumétrico clase B</t>
  </si>
  <si>
    <t>7,26</t>
  </si>
  <si>
    <t>Medidor totalizador 2" volumétrico clase B</t>
  </si>
  <si>
    <t>7,27</t>
  </si>
  <si>
    <t>Medidor totalizador 3" volumétrico clase B</t>
  </si>
  <si>
    <t>7,28</t>
  </si>
  <si>
    <t>Punto aguas lluvias PVC 3"</t>
  </si>
  <si>
    <t>7,29</t>
  </si>
  <si>
    <t>Punto aguas lluvias PVC 4"</t>
  </si>
  <si>
    <t>7,30</t>
  </si>
  <si>
    <t>Punto hidráulico CPVC 1/2"</t>
  </si>
  <si>
    <t>7,31</t>
  </si>
  <si>
    <t>Punto hidráulico CPVC 3/4"</t>
  </si>
  <si>
    <t>7,32</t>
  </si>
  <si>
    <t>Punto hidráulico CPVC 1"</t>
  </si>
  <si>
    <t>7,33</t>
  </si>
  <si>
    <t>Punto hidráulico PVC 1/2"</t>
  </si>
  <si>
    <t>7,34</t>
  </si>
  <si>
    <t>Punto hidráulico PVC 3/4"</t>
  </si>
  <si>
    <t>7,35</t>
  </si>
  <si>
    <t>Punto hidráulico PVC 1"</t>
  </si>
  <si>
    <t>7,36</t>
  </si>
  <si>
    <t>Punto hidráulico PVC 1 - 1/4"</t>
  </si>
  <si>
    <t>7,37</t>
  </si>
  <si>
    <t>Punto hidráulico PVC 1 - 1/2"</t>
  </si>
  <si>
    <t>7,38</t>
  </si>
  <si>
    <t>Punto hidráulico PVC 2"</t>
  </si>
  <si>
    <t>7,39</t>
  </si>
  <si>
    <t>Punto hidráulico PVC 2 - 1/2"</t>
  </si>
  <si>
    <t>7,40</t>
  </si>
  <si>
    <t>Punto sanitario PVC 1 - 1/2"</t>
  </si>
  <si>
    <t>7,41</t>
  </si>
  <si>
    <t>Punto sanitario PVC 2"</t>
  </si>
  <si>
    <t>7,42</t>
  </si>
  <si>
    <t>Punto sanitario PVC 3"</t>
  </si>
  <si>
    <t>7,43</t>
  </si>
  <si>
    <t>Punto sanitario PVC 4"</t>
  </si>
  <si>
    <t>7,44</t>
  </si>
  <si>
    <t>Punto sanitario PVC 6"</t>
  </si>
  <si>
    <t>7,45</t>
  </si>
  <si>
    <t>Sifón sanitario PVC 2"</t>
  </si>
  <si>
    <t>7,46</t>
  </si>
  <si>
    <t>Sifón sanitario PVC 3"</t>
  </si>
  <si>
    <t>7,47</t>
  </si>
  <si>
    <t>Sifón sanitario PVC 4"</t>
  </si>
  <si>
    <t>7,48</t>
  </si>
  <si>
    <t>Tanque agua 250 Lt</t>
  </si>
  <si>
    <t>7,49</t>
  </si>
  <si>
    <t>Tanque agua 500 Lt</t>
  </si>
  <si>
    <t>7,50</t>
  </si>
  <si>
    <t>Tanque agua 1000 Lt</t>
  </si>
  <si>
    <t>7,51</t>
  </si>
  <si>
    <t>Tanque agua 2000 Lt</t>
  </si>
  <si>
    <t>7,52</t>
  </si>
  <si>
    <t>Tubería CPVC 1/2" + accesorios</t>
  </si>
  <si>
    <t>7,53</t>
  </si>
  <si>
    <t>Tubería CPVC 3/4" + accesorios</t>
  </si>
  <si>
    <t>7,54</t>
  </si>
  <si>
    <t>Tubería CPVC 1" +accesorios</t>
  </si>
  <si>
    <t>7,55</t>
  </si>
  <si>
    <t>Tubería Hg 3/8" + accesorios</t>
  </si>
  <si>
    <t>7,56</t>
  </si>
  <si>
    <t>Tubería Hg 1/2" + accesorios</t>
  </si>
  <si>
    <t>7,57</t>
  </si>
  <si>
    <t>Tubería Hg 3/4" + accesorios</t>
  </si>
  <si>
    <t>7,58</t>
  </si>
  <si>
    <t>Tubería Hg 1" + accesorios</t>
  </si>
  <si>
    <t>7,59</t>
  </si>
  <si>
    <t>Tubería Hg 1 - 1/4" + accesorios</t>
  </si>
  <si>
    <t>7,60</t>
  </si>
  <si>
    <t>Tubería Hg 1 - 1/2" + accesorios</t>
  </si>
  <si>
    <t>7,61</t>
  </si>
  <si>
    <t>Tubería Hg 2" + accesorios</t>
  </si>
  <si>
    <t>7,62</t>
  </si>
  <si>
    <t>Tubería Hg 2 - 1/2" + accesorios</t>
  </si>
  <si>
    <t>7,63</t>
  </si>
  <si>
    <t>Tubería Hg 3" + accesorios</t>
  </si>
  <si>
    <t>7,64</t>
  </si>
  <si>
    <t>Tubería PVC presión 1/2" + accesorios</t>
  </si>
  <si>
    <t>7,65</t>
  </si>
  <si>
    <t>Tubería PVC presión 3/4" + accesorios</t>
  </si>
  <si>
    <t>7,66</t>
  </si>
  <si>
    <t>Tubería PVC presión 1" + accesorios</t>
  </si>
  <si>
    <t>7,67</t>
  </si>
  <si>
    <t>Tubería PVC presión 1 - 1/4" + accesorios</t>
  </si>
  <si>
    <t>7,68</t>
  </si>
  <si>
    <t>Tubería PVC presión 1 - 1/2" + accesorios</t>
  </si>
  <si>
    <t>7,69</t>
  </si>
  <si>
    <t>Tubería PVC presión 2" + accesorios</t>
  </si>
  <si>
    <t>7,70</t>
  </si>
  <si>
    <t>Tubería PVC presión 2 - 1/2" + accesorios</t>
  </si>
  <si>
    <t>7,71</t>
  </si>
  <si>
    <t>Tubería PVC presión 3" + accesorios</t>
  </si>
  <si>
    <t>7,72</t>
  </si>
  <si>
    <t>Tubería PVC presión 4" + accesorios</t>
  </si>
  <si>
    <t>7,73</t>
  </si>
  <si>
    <t>Tubería PVC sanitaria 2" + accesorios</t>
  </si>
  <si>
    <t>7,74</t>
  </si>
  <si>
    <t>Tubería PVC sanitaria 3" + accesorios</t>
  </si>
  <si>
    <t>7,75</t>
  </si>
  <si>
    <t>Tubería PVC sanitaria 4" + accesorios</t>
  </si>
  <si>
    <t>7,76</t>
  </si>
  <si>
    <t>Tubería PVC sanitaria 6" + accesorios</t>
  </si>
  <si>
    <t>7,77</t>
  </si>
  <si>
    <t>Tubería PVC ventilación 1 1/2" + accesorios</t>
  </si>
  <si>
    <t>7,78</t>
  </si>
  <si>
    <t>Tubería PVC ventilación 2" + accesorios</t>
  </si>
  <si>
    <t>7,79</t>
  </si>
  <si>
    <t>Tubería PVC ventilación 3" + accesorios</t>
  </si>
  <si>
    <t>7,80</t>
  </si>
  <si>
    <t>Tubería PVC ventilación 4" + accesorios</t>
  </si>
  <si>
    <t>7,81</t>
  </si>
  <si>
    <t>Valvula cortina bronce de 1/2"</t>
  </si>
  <si>
    <t>7,82</t>
  </si>
  <si>
    <t>Valvula cortina bronce de 3/4"</t>
  </si>
  <si>
    <t>7,83</t>
  </si>
  <si>
    <t>Valvula cortina bronce de 1"</t>
  </si>
  <si>
    <t>7,84</t>
  </si>
  <si>
    <t>Valvula cortina bronce de 1 1/4"</t>
  </si>
  <si>
    <t>7,85</t>
  </si>
  <si>
    <t>Valvula cortina bronce de 1 1/2"</t>
  </si>
  <si>
    <t>7,86</t>
  </si>
  <si>
    <t>Valvula cortina bronce de 2"</t>
  </si>
  <si>
    <t>7,87</t>
  </si>
  <si>
    <t>Válvula flotador + acople tanque sanitario</t>
  </si>
  <si>
    <t>7,88</t>
  </si>
  <si>
    <t>Válvula flotador tanque reserva</t>
  </si>
  <si>
    <t>8</t>
  </si>
  <si>
    <t>INSTALACIONES ELECTRICAS</t>
  </si>
  <si>
    <t>8,01</t>
  </si>
  <si>
    <t>Alimentador monofásico bifilar en cobre (1X6F+1X6N+1X8T) AWG LS HF</t>
  </si>
  <si>
    <t>8,02</t>
  </si>
  <si>
    <t>Bajante de medidor al sistema de puesta a tierra</t>
  </si>
  <si>
    <t>8,03</t>
  </si>
  <si>
    <t>Bandeja portacables semipesada 15 barrotes 10x8x2.4 m tipo escalera</t>
  </si>
  <si>
    <t>8,04</t>
  </si>
  <si>
    <t>Bandeja portacables semipesada 15 barrotes 20x8x2.4 m tipo escalera</t>
  </si>
  <si>
    <t>8,05</t>
  </si>
  <si>
    <t>Bandeja portacables semipesada 15 barrotes 30x8x2.4 m tipo escalera</t>
  </si>
  <si>
    <t>8,06</t>
  </si>
  <si>
    <t>Bandeja portacables semipesada 15 barrotes 40x8x2.4 m tipo escalera</t>
  </si>
  <si>
    <t>8,07</t>
  </si>
  <si>
    <t>Bandeja portacables tipo malla 20x5x3 m galvanizada</t>
  </si>
  <si>
    <t>8,08</t>
  </si>
  <si>
    <t>Bandeja portacables tipo malla 30x5x3 m galvanizada</t>
  </si>
  <si>
    <t>8,09</t>
  </si>
  <si>
    <t>Bandeja portacables tipo malla 10x5x3 m Fil 10 electrozincada</t>
  </si>
  <si>
    <t>8,10</t>
  </si>
  <si>
    <t>Bandeja portacables tipo malla 20x5x3 m Fil 10 electrozincada</t>
  </si>
  <si>
    <t>8,11</t>
  </si>
  <si>
    <t>Bandeja portacables tipo malla 30x5x3 m Fil 10 electrozincada</t>
  </si>
  <si>
    <t>8,12</t>
  </si>
  <si>
    <t>Bandeja portacables tipo malla 40x5x3 m Fil 10 electrozincada</t>
  </si>
  <si>
    <t>8,13</t>
  </si>
  <si>
    <t>Bandeja portacables tipo malla 60x400x3 m electrozincada</t>
  </si>
  <si>
    <t>8,14</t>
  </si>
  <si>
    <t>Breaker para tablero de distribución. Certificación RETIE</t>
  </si>
  <si>
    <t>8,15</t>
  </si>
  <si>
    <t>Caja de paso y/o empalmes 4X2" Radwelt, salidas en 1/2" más accesorios</t>
  </si>
  <si>
    <t>8,16</t>
  </si>
  <si>
    <t>Caja de paso y/o empalmes 4X2" Radwelt, salidas en 3/4" mas accesorios</t>
  </si>
  <si>
    <t>8,17</t>
  </si>
  <si>
    <t>Caja de paso y/o empalmes 4X4" Radwelt, salidas en 1/2" más accesorios</t>
  </si>
  <si>
    <t>8,18</t>
  </si>
  <si>
    <t xml:space="preserve">Caja de paso y/o empalmes 4X4" Radwelt, salidas en 3/4" más accesorios </t>
  </si>
  <si>
    <t>8,19</t>
  </si>
  <si>
    <t>Caja de Policarbonato con dispositivo de Corte y Barraje para tierra para medidor de energía Monofásico</t>
  </si>
  <si>
    <t>8,20</t>
  </si>
  <si>
    <t>Calibración ante EEP de Medidor electrónico Monofásico de 5-100 amperios</t>
  </si>
  <si>
    <t>8,21</t>
  </si>
  <si>
    <t>Cinta Flexible LED 4000 K, 50 Lm/W. Para aplique en panel Arquitectónico o espejos</t>
  </si>
  <si>
    <t>8,22</t>
  </si>
  <si>
    <t>Circuito ramal monofásico bifilar calibre 2/0 AWG 1F+1N+1T ó 2F+1T</t>
  </si>
  <si>
    <t>8,23</t>
  </si>
  <si>
    <t>Circuito ramal monofásico bifilar calibre 1/0 AWG 1F+1N+1T ó 2F+1T</t>
  </si>
  <si>
    <t>8,24</t>
  </si>
  <si>
    <t>Circuito ramal monofásico bifilar calibre 2 AWG 1F+1N+1T ó 2F+1T</t>
  </si>
  <si>
    <t>8,25</t>
  </si>
  <si>
    <t>Circuito ramal monofásico bifilar calibre 4 AWG 1F+1N+1T ó 2F+1T</t>
  </si>
  <si>
    <t>8,26</t>
  </si>
  <si>
    <t>Circuito ramal monofásico bifilar calibre 6 AWG 1F+1N+1T ó 2F+1T</t>
  </si>
  <si>
    <t>8,27</t>
  </si>
  <si>
    <t>Circuito ramal monofásico bifilar calibre 8 AWG 1F+1N+1T ó 2F+1T</t>
  </si>
  <si>
    <t>8,28</t>
  </si>
  <si>
    <t>Circuito ramal monofásico bifilar calibre 12 AWG 1F+1N+1T ó 2F+1T</t>
  </si>
  <si>
    <t>8,29</t>
  </si>
  <si>
    <t>Contador de energía electrónico monofásico bifilar energía activa clase 1, Amperaje 5(100) A 120V, 1 fase 2 hilos, pantalla LCD</t>
  </si>
  <si>
    <t>8,30</t>
  </si>
  <si>
    <t>Empalmes certificados 14-10 AWG, conectores certificados</t>
  </si>
  <si>
    <t>8,31</t>
  </si>
  <si>
    <t>Interruptor tipo Swich conmutable sencillo empotrado, incluye caja 4X2" galvanizada</t>
  </si>
  <si>
    <t>8,32</t>
  </si>
  <si>
    <t>Interruptor tipo Swich conmutable sencillo, incluye caja 4X2", salidas en 1/2" con accesorios para instalación</t>
  </si>
  <si>
    <t>8,33</t>
  </si>
  <si>
    <t>Interruptor tipo Swich sencillo, incluye caja 4X2", salidas en 1/2" con accesorios para instalación</t>
  </si>
  <si>
    <t>8,34</t>
  </si>
  <si>
    <t>Interruptor tipo Swich conmutable doble empotrado, incluye caja 4X2" galvanizada</t>
  </si>
  <si>
    <t>8,35</t>
  </si>
  <si>
    <t>Interruptor tipo Swich conmutable doble, incluye caja 4X2", salidas en 1/2" con accesorios para instalación</t>
  </si>
  <si>
    <t>8,36</t>
  </si>
  <si>
    <t>Interruptor tipo Swich doble, incluye caja 4X2", salidas en 1/2" con accesorios para instalación</t>
  </si>
  <si>
    <t>8,37</t>
  </si>
  <si>
    <t>Interruptor tipo Swich conmutable triple empotrado, incluye caja 4X2" galvanizada</t>
  </si>
  <si>
    <t>8,38</t>
  </si>
  <si>
    <t>Interruptor tipo Swich conmutable triple, incluye caja 4X2", salidas en 1/2" con accesorios para instalación</t>
  </si>
  <si>
    <t>8,39</t>
  </si>
  <si>
    <t>Interruptor tipo Swich triple, incluye caja 4X2", salidas en 1/2" con accesorios para instalación</t>
  </si>
  <si>
    <t>8,40</t>
  </si>
  <si>
    <t>Luminaria Downligth tipo bala en led 100-240 Vac, 15W, 1400 lm, eficacia&gt;= 65lm/W, VU 20000h@L70</t>
  </si>
  <si>
    <t>8,41</t>
  </si>
  <si>
    <t>Luminaria Downligth tipo bala en led 100-240 Vac, 20W, 1900 lm, eficacia&gt;= 65lm/W, VU 20000h@L70</t>
  </si>
  <si>
    <t>8,42</t>
  </si>
  <si>
    <t>Luminaria Downligth tipo bala en led 100-240 Vac, 30W, 2900 lm, eficacia&gt;= 65lm/W, VU 20000h@L70</t>
  </si>
  <si>
    <t>8,43</t>
  </si>
  <si>
    <t>Luminaria Downligth tipo bala en led 100-240 Vac, 50W, 4500 lm, eficacia&gt;= 65lm/W, VU 20000h@L70</t>
  </si>
  <si>
    <t>8,44</t>
  </si>
  <si>
    <t>Luminaria Downligth tipo Spot redondo led 100-240 Vac, 5 W, 400 lm, eficacia&gt;= 65lm/W, VU 20000h@L70</t>
  </si>
  <si>
    <t>8,45</t>
  </si>
  <si>
    <t>Luminaria panel LED diámetro 22,5 cm con driver independiente. Montaje de incrustar en cielo raso. 100-277 Vac, 1650 Lm, 24W, eficacia 70 Lm/W, 4000K, IRC &gt;70</t>
  </si>
  <si>
    <t>8,46</t>
  </si>
  <si>
    <t>Luminaria panel LED diámetro 22,5 cm, con driver independiente. Montaje de incrustar en cielo raso. 100-277 Vac, 1260 Lm, 18W, eficacia 70 Lm/W, 4000K, IRC &gt;70</t>
  </si>
  <si>
    <t>8,47</t>
  </si>
  <si>
    <t>Luminaria panel LED diámetro 22,5 cm, con driver independiente. Montaje de sobreponer, 100-277 Vac, 1650 Lm, 24W, eficacia 70 Lm/W, 4000K, IRC &gt;70</t>
  </si>
  <si>
    <t>8,48</t>
  </si>
  <si>
    <t>Luminaria panel LED diámetro 22,5 cm, con driver independiente. Montaje de sobreponer. 100-277 Vac, 1260 Lm, 18W, eficacia 70 Lm/W, 4000K, IRC &gt;70</t>
  </si>
  <si>
    <t>8,49</t>
  </si>
  <si>
    <t>Luminaria panel LED incrustar 20x20 cm en led 100-240 Vac, 4000K, 21 W, 2100 lm, 50.000 horas, eficacia 80 Lm/W mín</t>
  </si>
  <si>
    <t>8,50</t>
  </si>
  <si>
    <t>Luminaria panel LED incrustar 20x20 cm en led 100-240 Vac, 4000 K, 11 W, 950 lm, 50.000 horas, eficacia 80 Lm/W mín</t>
  </si>
  <si>
    <t>8,51</t>
  </si>
  <si>
    <t>Lluminaria panel LED sobreponer 20x20 cm en led 100-240 Vac, 4000K, 21 W, 2100 lm, 50.000 horas, eficacia 80 Lm/W mín</t>
  </si>
  <si>
    <t>8,52</t>
  </si>
  <si>
    <t>Luminaria Panel LED sobreponer 20x20 cm en led 100-240 Vac, 4000 K, 11 W, 950 lm, 50.000 horas, eficacia 80 Lm/W mín</t>
  </si>
  <si>
    <t>8,53</t>
  </si>
  <si>
    <t>Luz de emergencia en LED aplique 120 min, 120-277 Vac, 10W, 900 lm</t>
  </si>
  <si>
    <t>8,54</t>
  </si>
  <si>
    <t>Luz de emergencia en LED aplique 120 min, 120-277 Vac, 4.5W, 170 lm</t>
  </si>
  <si>
    <t>8,55</t>
  </si>
  <si>
    <t>Luz de emergencia en led doble 120 min, 120-277Vac, 2X1,6W, 2X80 lm</t>
  </si>
  <si>
    <t>8,56</t>
  </si>
  <si>
    <t>Platina de cobre 230 amperios, para celda, cofre o tablero eléctrico, medidas 5mmX 20mmX100mm</t>
  </si>
  <si>
    <t>8,57</t>
  </si>
  <si>
    <t>Regleta LED sobreponer de 1,5 m, 4000 K, 10 W, 105 Lm/W.</t>
  </si>
  <si>
    <t>8,58</t>
  </si>
  <si>
    <t>Salida de emergencia, flecha derecha eletro iluminado 120 Vac, 1.8W</t>
  </si>
  <si>
    <t>8,59</t>
  </si>
  <si>
    <t>Salida de emergencia, flecha izquierda eletro iluminado 120 Vac, 1.8W</t>
  </si>
  <si>
    <t>8,60</t>
  </si>
  <si>
    <t>Salida de emergencia, salida principal eletro iluminado 120 Vac, 1.8W</t>
  </si>
  <si>
    <t>8,61</t>
  </si>
  <si>
    <t>Sensor infrarrojo. Incluye cableado y conectores necesarios para su instalación</t>
  </si>
  <si>
    <t>8,62</t>
  </si>
  <si>
    <t>Sensor tipo radar/microondas. Incluye cableado y conectores necesarios para su instalación</t>
  </si>
  <si>
    <t>8,63</t>
  </si>
  <si>
    <t>Sensor Ultrasónico. Incluye cableado y conectores necesarios para su instalación</t>
  </si>
  <si>
    <t>8,64</t>
  </si>
  <si>
    <t>Sistema de puesta a tierra menor a 25 Ohm tres varillas disposición triangular, incluye cámaras de inspección 30X30X30 cm por varilla con tapa en concreto</t>
  </si>
  <si>
    <t>8,65</t>
  </si>
  <si>
    <t>Sistema de puesta a tierra menor a 25 Ohm una sola varilla</t>
  </si>
  <si>
    <t>8,66</t>
  </si>
  <si>
    <t>Tablero de distribución sobreponer de 12 circuitos 175 Amperios. Certificación RETIE</t>
  </si>
  <si>
    <t>8,67</t>
  </si>
  <si>
    <t>Tablero de incrustar con puerta y con espacio para totalizador. Trifásico de 8-12 circuitos, 175 amperios. Certificación RETIE</t>
  </si>
  <si>
    <t>8,68</t>
  </si>
  <si>
    <t>Tablero de incrustar con puerta y con espacio para totalizador. Trifásico de 18-24 circuitos, 225 amperios. Certificación RETIE</t>
  </si>
  <si>
    <t>8,69</t>
  </si>
  <si>
    <t>Tablero de incrustar con puerta y con espacio para totalizador. Trifásico de 24-30 circuitos, 225 amperios. Certificación RETIE</t>
  </si>
  <si>
    <t>8,70</t>
  </si>
  <si>
    <t>Tablero de incrustar con puerta y con espacio para totalizador. Trifásico de 36 circuitos, 225 amperios. Certificación RETIE</t>
  </si>
  <si>
    <t>8,71</t>
  </si>
  <si>
    <t>Tablero de incrustar con puerta y con espacio para totalizador. Trifásico de 42 circuitos, 225 amperios. Certificación RETIE</t>
  </si>
  <si>
    <t>8,72</t>
  </si>
  <si>
    <t>Tablero de incrustar Monofásico bifilar de 2-4 circuitos, 75 amperios. Certificación RETIE</t>
  </si>
  <si>
    <t>8,73</t>
  </si>
  <si>
    <t>Tablero de incrustar Monofásico bifilar de 4-6 circuitos, 125 amperios. Certificación RETIE</t>
  </si>
  <si>
    <t>8,74</t>
  </si>
  <si>
    <t>Tablero de distribución Monofásico bifilar de 4-6 circuitos, hasta 125 amperios. Empotrado o sobreponer. Certificación RETIE</t>
  </si>
  <si>
    <t>8,75</t>
  </si>
  <si>
    <t>Tablero de distribución Monofásico bifilar de 8-12 circuitos, hasta 125 amperios. Empotrado o sobreponer. Certificación RETIE</t>
  </si>
  <si>
    <t>8,76</t>
  </si>
  <si>
    <t>Tablero de distribución Monofásico bifilar de 18-24 circuitos, hasta 125 amperios. Empotrado o sobreponer. Certificación RETIE</t>
  </si>
  <si>
    <t>8,77</t>
  </si>
  <si>
    <t>Tablero con espacio para totalizador Monofásico trifilar de 18-24 circuitos 175 amperios. Empotrado o sobreponer. Certificación RETIE</t>
  </si>
  <si>
    <t>8,78</t>
  </si>
  <si>
    <t>Tablero de incrustar con puerta. Monofásico trifilar de 24 circuitos 175 amperios. Certificación RETIE</t>
  </si>
  <si>
    <t>8,79</t>
  </si>
  <si>
    <t>Tablero de incrustar con puerta. Monofásico trifilar de 30 circuitos 175 amperios. Certificación RETIE</t>
  </si>
  <si>
    <t>8,80</t>
  </si>
  <si>
    <t>Toma corriente doble normal 120 Vac, 15 amperios, tipo Levinton con tapa</t>
  </si>
  <si>
    <t>8,81</t>
  </si>
  <si>
    <t>Toma corriente doble normal 120 Vac, 15 amperios empotrado tipo Levinton con tapa. Incluye caja metálica galvanizada 4X2"</t>
  </si>
  <si>
    <t>8,82</t>
  </si>
  <si>
    <t>Toma corriente doble normal 120 Vac, 15 amperios, tipo Levinton con tapa. Incluye caja Radwelt 4X2", salidas en 1/2" con accesorios para instalación</t>
  </si>
  <si>
    <t>8,83</t>
  </si>
  <si>
    <t>Toma corriente doble normal 120 Vac, 15 amperios, tipo Levinton con tapa. Incluye caja Radwelt 4X2", salidas en 3/4" con accesorios para instalación</t>
  </si>
  <si>
    <t>8,84</t>
  </si>
  <si>
    <t>Toma corriente doble normal GFCI 120 Vac, 20 amperios. Incluye caja Radwelt 4X2", salidas en 1/2" con accesorios para instalación</t>
  </si>
  <si>
    <t>8,85</t>
  </si>
  <si>
    <t>Toma corriente doble normal GFCI 120 Vac, 20 amperios. Incluye caja Radwelt 4X2", salidas en 3/4" con accesorios para instalación</t>
  </si>
  <si>
    <t>8,86</t>
  </si>
  <si>
    <t>Toma corriente doble regulado 120 Vac, 15 amperios, empotrado color naranja tipo Levinton tierra aislada con tapa. Incluye caja metálica galvanizada 4X2"</t>
  </si>
  <si>
    <t>8,87</t>
  </si>
  <si>
    <t>Toma corriente doble regulado 120 Vac, 15 amperios, tierra aislada con tapa. Incluye caja Radwelt 4X2", salidas en 1/2" con accesorios para instalación</t>
  </si>
  <si>
    <t>8,88</t>
  </si>
  <si>
    <t>Toma corriente doble regulado 120 Vac, 15 amperios, tierra aislada con tapa, incluye caja Radwelt 4X2", salidas en 3/4" con accesorios para instalación</t>
  </si>
  <si>
    <t>8,89</t>
  </si>
  <si>
    <t>Totalizador monopolar rango de operación hasta 160 amperios, ruptura de 25 ka para celda, cofre o tablero de distribución. Certificación RETIE</t>
  </si>
  <si>
    <t>8,90</t>
  </si>
  <si>
    <t>Totalizador bipolar rango de operación hasta 125 amperios, ruptura de 50 KA para celda, cofre o tablero de distribución. Certificación RETIE</t>
  </si>
  <si>
    <t>8,91</t>
  </si>
  <si>
    <t>Totalizador tripolar rango de operación hasta 160 amperios, ruptura de 25 - 70 ka para celda, cofre o tablero de distribución. Certificación RETIE</t>
  </si>
  <si>
    <t>8,92</t>
  </si>
  <si>
    <t>Totalizador tripolar rango de operación de 160-250 amperios, ruptura de 36 - 70 ka para celda, cofre o tablero de distribución. Certificación RETIE</t>
  </si>
  <si>
    <t>8,93</t>
  </si>
  <si>
    <t>Totalizador tripolar rango de operación de 250-400 amperios, ruptura de 36 - 70 ka para celda, cofre o tablero de distribución. Certificación RETIE</t>
  </si>
  <si>
    <t>8,94</t>
  </si>
  <si>
    <t>Totalizador tripolar rango de operación de 400-630 amperios, ruptura de 36 - 70 ka para celda, cofre o tablero de distribución. Certificación RETIE circuito.</t>
  </si>
  <si>
    <t>8,95</t>
  </si>
  <si>
    <t>Tubería EMT 1/2" instalada, incluye accesorios y soportes</t>
  </si>
  <si>
    <t>8,96</t>
  </si>
  <si>
    <t>Tubería EMT 3/4" instalada, incluye accesorios y soportes</t>
  </si>
  <si>
    <t>8,97</t>
  </si>
  <si>
    <t>Tubería EMT 1" instalada, incluye accesorios y soportes</t>
  </si>
  <si>
    <t>8,98</t>
  </si>
  <si>
    <t>Tubería EMT 2" instalada, incluye accesorios y soportes</t>
  </si>
  <si>
    <t>8,99</t>
  </si>
  <si>
    <t>Tubería EMT 3" instalada, incluye accesorios y soportes</t>
  </si>
  <si>
    <t>8,100</t>
  </si>
  <si>
    <t>Tubería PVC 1/2" empotrado, incluye accesorios</t>
  </si>
  <si>
    <t>8,101</t>
  </si>
  <si>
    <t>Tubería PVC 3/4" empotrado, incluye accesorios</t>
  </si>
  <si>
    <t>8,102</t>
  </si>
  <si>
    <t>Tubería PVC 1" empotrado, incluye accesorios</t>
  </si>
  <si>
    <t>8,103</t>
  </si>
  <si>
    <t>Tubería PVC 1 1/2" empotrado, incluye accesorios</t>
  </si>
  <si>
    <t>8,104</t>
  </si>
  <si>
    <t>Tubería PVC 2" empotrado, incluye accesorios</t>
  </si>
  <si>
    <t>8,105</t>
  </si>
  <si>
    <t>Tubería PVC 3" empotrado, incluye accesorios</t>
  </si>
  <si>
    <t>8,106</t>
  </si>
  <si>
    <t>UPS Suministro, instalación, configuración y puesta en servicio de UPS 3Ø 10KVA 208/120V</t>
  </si>
  <si>
    <t>9</t>
  </si>
  <si>
    <t>INSTALACIONES A GAS</t>
  </si>
  <si>
    <t>9,01</t>
  </si>
  <si>
    <t>Accesorios para tuberia PE AL PE</t>
  </si>
  <si>
    <t>9,02</t>
  </si>
  <si>
    <t>Calentador agua de acumulación 10 Lt gas natural</t>
  </si>
  <si>
    <t>9,03</t>
  </si>
  <si>
    <t>Calentador agua de acumulación 15 Lt gas natural</t>
  </si>
  <si>
    <t>9,04</t>
  </si>
  <si>
    <t>Calentador agua de acumulación 20 Lt gas natural</t>
  </si>
  <si>
    <t>9,05</t>
  </si>
  <si>
    <t>Certificación red interna</t>
  </si>
  <si>
    <t>9,06</t>
  </si>
  <si>
    <t>Nicho plastico para medidor</t>
  </si>
  <si>
    <t>9,07</t>
  </si>
  <si>
    <t>Prueba de hermeticidad</t>
  </si>
  <si>
    <t>9,08</t>
  </si>
  <si>
    <t>Regulador</t>
  </si>
  <si>
    <t>9,09</t>
  </si>
  <si>
    <t>Tapa registro 20x20 para valvulas de corte y reguladores</t>
  </si>
  <si>
    <t>9,10</t>
  </si>
  <si>
    <t>Tuberia multicapa PE AL PE D=1/2"</t>
  </si>
  <si>
    <t>9,11</t>
  </si>
  <si>
    <t>Valvula de gas PE AL PE cierre D=1/2"</t>
  </si>
  <si>
    <t>10</t>
  </si>
  <si>
    <t>RED CONTRA INCENDIO</t>
  </si>
  <si>
    <t>10,01</t>
  </si>
  <si>
    <t>Abrazadera tipo mecanico red incendio 1 1/2"</t>
  </si>
  <si>
    <t>10,02</t>
  </si>
  <si>
    <t>Abrazadera tipo mecanico red incendio 1 1/4"</t>
  </si>
  <si>
    <t>10,03</t>
  </si>
  <si>
    <t>Abrazadera tipo mecanico red incendio 1"</t>
  </si>
  <si>
    <t>10,04</t>
  </si>
  <si>
    <t>Abrazadera tipo mecanico red incendio 2 1/2"</t>
  </si>
  <si>
    <t>10,05</t>
  </si>
  <si>
    <t>Abrazadera tipo mecanico red incendio 2"</t>
  </si>
  <si>
    <t>10,06</t>
  </si>
  <si>
    <t>Abrazadera tipo mecanico red incendio 4"</t>
  </si>
  <si>
    <t>10,07</t>
  </si>
  <si>
    <t>Cheque ranurado listado ul 2"</t>
  </si>
  <si>
    <t>10,08</t>
  </si>
  <si>
    <t>Cheque ranurado listado ul 2.1/2"</t>
  </si>
  <si>
    <t>10,09</t>
  </si>
  <si>
    <t>Codo acero al carbon ranurado 90 2 1/2"</t>
  </si>
  <si>
    <t>10,10</t>
  </si>
  <si>
    <t>Codo acero al carbon ranurado 90 2"</t>
  </si>
  <si>
    <t>10,11</t>
  </si>
  <si>
    <t>Codo acero al carbon ranurado 90 4"</t>
  </si>
  <si>
    <t>10,12</t>
  </si>
  <si>
    <t>Deterctores de humo</t>
  </si>
  <si>
    <t>10,13</t>
  </si>
  <si>
    <t>Gabinete red contra incendio clalse ii</t>
  </si>
  <si>
    <t>10,14</t>
  </si>
  <si>
    <t>Manómetro + válvula 1/4"</t>
  </si>
  <si>
    <t>10,15</t>
  </si>
  <si>
    <t>Rociadores automáticos tipo montante</t>
  </si>
  <si>
    <t>10,16</t>
  </si>
  <si>
    <t>Rociadores automáticos tipo pendiente</t>
  </si>
  <si>
    <t>10,17</t>
  </si>
  <si>
    <t>Sensor de flujo 2"</t>
  </si>
  <si>
    <t>10,18</t>
  </si>
  <si>
    <t>Sensor de flujo 2.1/2"</t>
  </si>
  <si>
    <t>10,19</t>
  </si>
  <si>
    <t>Soporte sísmico longitudinal 2.1/2"</t>
  </si>
  <si>
    <t>10,20</t>
  </si>
  <si>
    <t>Soporte sísmico transversal 2.1/2"</t>
  </si>
  <si>
    <t>10,21</t>
  </si>
  <si>
    <t>Tee acero al carbon ranurado 90 2 1/2"</t>
  </si>
  <si>
    <t>10,22</t>
  </si>
  <si>
    <t>Tee acero al carbon ranurado 90 2"</t>
  </si>
  <si>
    <t>10,23</t>
  </si>
  <si>
    <t>Tee acero al carbon ranurado 90 4"</t>
  </si>
  <si>
    <t>10,24</t>
  </si>
  <si>
    <t>Toma siamesa 4" x 2.1/2" x 2.1/2"</t>
  </si>
  <si>
    <t>10,25</t>
  </si>
  <si>
    <t>Tuberia acero al carbon ranurado 1 1/2"</t>
  </si>
  <si>
    <t>10,26</t>
  </si>
  <si>
    <t>Tuberia acero al carbon ranurado 1 1/4"</t>
  </si>
  <si>
    <t>10,27</t>
  </si>
  <si>
    <t>Tuberia acero al carbon ranurado 1"</t>
  </si>
  <si>
    <t>10,28</t>
  </si>
  <si>
    <t>Tuberia acero al carbon ranurado 2 1/2"</t>
  </si>
  <si>
    <t>10,29</t>
  </si>
  <si>
    <t>Tuberia acero al carbon ranurado 2"</t>
  </si>
  <si>
    <t>10,30</t>
  </si>
  <si>
    <t>Tuberia acero al carbon ranurado 4"</t>
  </si>
  <si>
    <t>10,31</t>
  </si>
  <si>
    <t>Válvula de compuerta listada ul 2"</t>
  </si>
  <si>
    <t>10,32</t>
  </si>
  <si>
    <t>Válvula de compuerta listada ul 2.1/2"</t>
  </si>
  <si>
    <t>10,33</t>
  </si>
  <si>
    <t>Válvula en ángulo 1 1/4"</t>
  </si>
  <si>
    <t>11</t>
  </si>
  <si>
    <t>CUBIERTA Y CIELO RASO</t>
  </si>
  <si>
    <t>11,01</t>
  </si>
  <si>
    <t>Caballete articulado teja ondulada tipo española</t>
  </si>
  <si>
    <t>11,02</t>
  </si>
  <si>
    <t>Caballete fijo teja ondulada</t>
  </si>
  <si>
    <t>11,03</t>
  </si>
  <si>
    <t>Caballete ventana teja ondulada</t>
  </si>
  <si>
    <t>11,04</t>
  </si>
  <si>
    <t>Caballete ondulado teja transparente</t>
  </si>
  <si>
    <t>11,05</t>
  </si>
  <si>
    <t>Caballete teja termoacústica</t>
  </si>
  <si>
    <t>11,06</t>
  </si>
  <si>
    <t>Canal lámina galvanizada C 22 S&lt;=0.50m</t>
  </si>
  <si>
    <t>11,07</t>
  </si>
  <si>
    <t>Canal lámina galvanizada C 22 0,50m&gt;S&lt;=1.0m</t>
  </si>
  <si>
    <t>11,08</t>
  </si>
  <si>
    <t>Canal PVC Amazonas</t>
  </si>
  <si>
    <t>11,09</t>
  </si>
  <si>
    <t>Cielo raso Gyplac 12.7 mm + perfilería galvanizada + pintura</t>
  </si>
  <si>
    <t>11,10</t>
  </si>
  <si>
    <t>Cielo raso Superboard 4 mm + perfilería galvanizada + pintura</t>
  </si>
  <si>
    <t>11,11</t>
  </si>
  <si>
    <t>Cielo raso Superboard 6 mm + perfilería galvanizada + pintura</t>
  </si>
  <si>
    <t>11,12</t>
  </si>
  <si>
    <t>Cielo raso tablilla machihembrada pino ciprés + barniz</t>
  </si>
  <si>
    <t>11,13</t>
  </si>
  <si>
    <t>Claraboya teja ondulada + vidrio</t>
  </si>
  <si>
    <t>11,14</t>
  </si>
  <si>
    <t>Cubierta en policarbonato</t>
  </si>
  <si>
    <t>11,15</t>
  </si>
  <si>
    <t>Cubierta Standing Seam</t>
  </si>
  <si>
    <t>11,16</t>
  </si>
  <si>
    <t>Cubierta Standing Seam tipo sándwich con aislante en poliuretano</t>
  </si>
  <si>
    <t>11,17</t>
  </si>
  <si>
    <t>Cubierta teja arcilla (100%)</t>
  </si>
  <si>
    <t>11,18</t>
  </si>
  <si>
    <t>Cubierta teja arcilla + estructura en cañabrava</t>
  </si>
  <si>
    <t>11,19</t>
  </si>
  <si>
    <t>Cubierta teja de zinc + estructura en guadua</t>
  </si>
  <si>
    <t>11,20</t>
  </si>
  <si>
    <t>Cubierta teja ondulada FC</t>
  </si>
  <si>
    <t>11,21</t>
  </si>
  <si>
    <t>Cubierta teja ondulada FC pintada una cara</t>
  </si>
  <si>
    <t>11,22</t>
  </si>
  <si>
    <t>Cubierta teja ondulada tipo española</t>
  </si>
  <si>
    <t>11,23</t>
  </si>
  <si>
    <t>Cubierta teja ondulada transparente</t>
  </si>
  <si>
    <t>11,24</t>
  </si>
  <si>
    <t>Cubierta teja Shingle</t>
  </si>
  <si>
    <t>11,25</t>
  </si>
  <si>
    <t>Cubierta teja termoacústica</t>
  </si>
  <si>
    <t>11,26</t>
  </si>
  <si>
    <t>Flashing en manto L&lt;0.6m</t>
  </si>
  <si>
    <t>11,27</t>
  </si>
  <si>
    <t>Flashing lámina C 24</t>
  </si>
  <si>
    <t>11,28</t>
  </si>
  <si>
    <t>Flashing lámina C 26</t>
  </si>
  <si>
    <t>11,29</t>
  </si>
  <si>
    <t>Gárgola desagüe sencilla L=0.3</t>
  </si>
  <si>
    <t>11,30</t>
  </si>
  <si>
    <t>Impermeabilización viga canal S&lt;0.7 m</t>
  </si>
  <si>
    <t>11,31</t>
  </si>
  <si>
    <t>Impermeabilización manto Fiberglass + imprimante</t>
  </si>
  <si>
    <t>11,32</t>
  </si>
  <si>
    <t>Instalación canal aguas lluvias</t>
  </si>
  <si>
    <t>11,33</t>
  </si>
  <si>
    <t>Instalación techo teja ondulada FC</t>
  </si>
  <si>
    <t>11,34</t>
  </si>
  <si>
    <t>Limatesa limahoya FC</t>
  </si>
  <si>
    <t>11,35</t>
  </si>
  <si>
    <t>Limatesa limahoya termoacústica</t>
  </si>
  <si>
    <t>11,36</t>
  </si>
  <si>
    <t>Limpieza de canalas con impermeabilización</t>
  </si>
  <si>
    <t>11,37</t>
  </si>
  <si>
    <t>Recorrido canales</t>
  </si>
  <si>
    <t>11,38</t>
  </si>
  <si>
    <t>Recorrido techos</t>
  </si>
  <si>
    <t>11,39</t>
  </si>
  <si>
    <t>Recuperación techo teja arcilla + estructura madera</t>
  </si>
  <si>
    <t>11,40</t>
  </si>
  <si>
    <t>Reinstalación canal</t>
  </si>
  <si>
    <t>11,41</t>
  </si>
  <si>
    <t>Reparación + ajuste estructura cielo raso aluminio</t>
  </si>
  <si>
    <t>11,42</t>
  </si>
  <si>
    <t>Reparación bitumen teja FC reinstalada</t>
  </si>
  <si>
    <t>11,43</t>
  </si>
  <si>
    <t>Reparación general cubierta teja Shingle</t>
  </si>
  <si>
    <t>11,44</t>
  </si>
  <si>
    <t>Reposición panel icopor D30</t>
  </si>
  <si>
    <t>12</t>
  </si>
  <si>
    <t>ENCHAPES</t>
  </si>
  <si>
    <t>12,01</t>
  </si>
  <si>
    <t>Charquera en cerámica</t>
  </si>
  <si>
    <t>12,02</t>
  </si>
  <si>
    <t>Enchape cielo raso en cerámica</t>
  </si>
  <si>
    <t>12,03</t>
  </si>
  <si>
    <t>Enchape muro en cerámica</t>
  </si>
  <si>
    <t>12,04</t>
  </si>
  <si>
    <t>Enchape muro en piedra</t>
  </si>
  <si>
    <t>12,05</t>
  </si>
  <si>
    <t>Enchape muro en fachaleta roja</t>
  </si>
  <si>
    <t>13</t>
  </si>
  <si>
    <t>PISOS Y ACABADOS</t>
  </si>
  <si>
    <t>13,01</t>
  </si>
  <si>
    <t>Acabado piso madera Vitriflex</t>
  </si>
  <si>
    <t>13,02</t>
  </si>
  <si>
    <t>Escala gravilla lavada + mediacaña</t>
  </si>
  <si>
    <t>13,03</t>
  </si>
  <si>
    <t>Escala gravilla lavada</t>
  </si>
  <si>
    <t>13,04</t>
  </si>
  <si>
    <t>Guarda escoba baldosa cemento</t>
  </si>
  <si>
    <t>13,05</t>
  </si>
  <si>
    <t>Guarda escoba baldosa cerámica</t>
  </si>
  <si>
    <t>13,06</t>
  </si>
  <si>
    <t>Guarda escoba en madera H=0.12 m incluye pintura</t>
  </si>
  <si>
    <t>13,07</t>
  </si>
  <si>
    <t>Guarda escoba en porcelanato</t>
  </si>
  <si>
    <t>13,08</t>
  </si>
  <si>
    <t>Guarda escoba granito pulido 1/2 caña</t>
  </si>
  <si>
    <t>13,09</t>
  </si>
  <si>
    <t>Guarda escoba gravilla lavada 1/2 caña</t>
  </si>
  <si>
    <t>13,10</t>
  </si>
  <si>
    <t>Guarda escoba mortero</t>
  </si>
  <si>
    <t>13,11</t>
  </si>
  <si>
    <t>13,12</t>
  </si>
  <si>
    <t>Limpieza / desmanchado de pisos</t>
  </si>
  <si>
    <t>13,13</t>
  </si>
  <si>
    <t>Moldura 1/2 caña en yeso</t>
  </si>
  <si>
    <t>13,14</t>
  </si>
  <si>
    <t>Mortero 1:2</t>
  </si>
  <si>
    <t>13,15</t>
  </si>
  <si>
    <t>Mortero nivelacion 1:3 E=0.05 m</t>
  </si>
  <si>
    <t>13,16</t>
  </si>
  <si>
    <t>Mortero nivelación 1:3 E=0.05 m + afinado</t>
  </si>
  <si>
    <t>13,17</t>
  </si>
  <si>
    <t>Mortero nivelación 1:4 E=0.05 m</t>
  </si>
  <si>
    <t>13,18</t>
  </si>
  <si>
    <t>Pigmento para concreto (óxido de hierro)</t>
  </si>
  <si>
    <t>13,19</t>
  </si>
  <si>
    <t>Pirlán bronce</t>
  </si>
  <si>
    <t>13,20</t>
  </si>
  <si>
    <t>Piso - pared porcelanato antideslizante</t>
  </si>
  <si>
    <t>13,21</t>
  </si>
  <si>
    <t>Piso baldosa cemento</t>
  </si>
  <si>
    <t>13,22</t>
  </si>
  <si>
    <t>Piso baldosa tipo terrazo pulido</t>
  </si>
  <si>
    <t>13,23</t>
  </si>
  <si>
    <t>Piso cerámica tráfico 4</t>
  </si>
  <si>
    <t>13,24</t>
  </si>
  <si>
    <t>Piso cerámica tráfico 5</t>
  </si>
  <si>
    <t>13,25</t>
  </si>
  <si>
    <t>Piso endurecido (industrializado incluye helicóptero)</t>
  </si>
  <si>
    <t>13,26</t>
  </si>
  <si>
    <t>Piso granito pulido + dilatación</t>
  </si>
  <si>
    <t>13,27</t>
  </si>
  <si>
    <t>Piso gravilla lavada + dilatación</t>
  </si>
  <si>
    <t>13,28</t>
  </si>
  <si>
    <t>Piso gravilla lavada + mayólica 56%</t>
  </si>
  <si>
    <t>13,29</t>
  </si>
  <si>
    <t>Piso ladrillo santa fe pulido</t>
  </si>
  <si>
    <t>13,30</t>
  </si>
  <si>
    <t>Piso lámina alfajor acero</t>
  </si>
  <si>
    <t>13,31</t>
  </si>
  <si>
    <t>Piso madera laminada tráfico comercial</t>
  </si>
  <si>
    <t>13,32</t>
  </si>
  <si>
    <t>Piso madera tablilla machimbre</t>
  </si>
  <si>
    <t>13,33</t>
  </si>
  <si>
    <t>Piso mayólica</t>
  </si>
  <si>
    <t>13,34</t>
  </si>
  <si>
    <t>Piso en vinilo</t>
  </si>
  <si>
    <t>13,35</t>
  </si>
  <si>
    <t>Reparación pisos en madera</t>
  </si>
  <si>
    <t>13,36</t>
  </si>
  <si>
    <t>Resane piso mortero 1:3 afinado</t>
  </si>
  <si>
    <t>13,37</t>
  </si>
  <si>
    <t>Superficie en granito pulido</t>
  </si>
  <si>
    <t>13,38</t>
  </si>
  <si>
    <t>Superficie en gravilla lavada</t>
  </si>
  <si>
    <t>13,39</t>
  </si>
  <si>
    <t>Superficie esmaltada gris</t>
  </si>
  <si>
    <t>13,40</t>
  </si>
  <si>
    <t>Superficie esmaltada + color mineral</t>
  </si>
  <si>
    <t>13,41</t>
  </si>
  <si>
    <t>Zócalo gravilla lavada + dilatación vidrio</t>
  </si>
  <si>
    <t>14</t>
  </si>
  <si>
    <t>PINTURAS</t>
  </si>
  <si>
    <t>14,01</t>
  </si>
  <si>
    <t>Acabado superficie en perlita</t>
  </si>
  <si>
    <t>14,02</t>
  </si>
  <si>
    <t>Acabado superficie en Sicoplast</t>
  </si>
  <si>
    <t>14,03</t>
  </si>
  <si>
    <t>Argamasa con masilla Estucales o similar</t>
  </si>
  <si>
    <t>14,04</t>
  </si>
  <si>
    <t>Estuco + pintura koraza fachada</t>
  </si>
  <si>
    <t>14,05</t>
  </si>
  <si>
    <t>Estuco + pintura vinilo 3 manos cielo raso</t>
  </si>
  <si>
    <t>14,06</t>
  </si>
  <si>
    <t>Estuco + pintura vinilo 3 manos muros</t>
  </si>
  <si>
    <t>14,07</t>
  </si>
  <si>
    <t>Graniplast fachada</t>
  </si>
  <si>
    <t>14,08</t>
  </si>
  <si>
    <t>Imprimación muros base sintética</t>
  </si>
  <si>
    <t>14,09</t>
  </si>
  <si>
    <t>Impermeabilización de muros con remocion de estuco</t>
  </si>
  <si>
    <t>14,10</t>
  </si>
  <si>
    <t>Pintura esmalte barrera guarda vía</t>
  </si>
  <si>
    <t>14,11</t>
  </si>
  <si>
    <t>Pintura esmalte cerchas</t>
  </si>
  <si>
    <t>14,12</t>
  </si>
  <si>
    <t>Pintura esmalte correas</t>
  </si>
  <si>
    <t>14,13</t>
  </si>
  <si>
    <t>Pintura esmalte rejas y estructura metálica</t>
  </si>
  <si>
    <t>14,14</t>
  </si>
  <si>
    <t>Pintura esmalte ventanas lámina</t>
  </si>
  <si>
    <t>14,15</t>
  </si>
  <si>
    <t>Pintura epoxica muros</t>
  </si>
  <si>
    <t>14,16</t>
  </si>
  <si>
    <t>Pintura guarda escoba esmalte</t>
  </si>
  <si>
    <t>14,17</t>
  </si>
  <si>
    <t>Pintura koraza fachada</t>
  </si>
  <si>
    <t>14,18</t>
  </si>
  <si>
    <t>Pintura marcos metalicos esmalte</t>
  </si>
  <si>
    <t>14,19</t>
  </si>
  <si>
    <t>Pintura muros esmalte</t>
  </si>
  <si>
    <t>14,20</t>
  </si>
  <si>
    <t>Pintura puerta metalico esmalte</t>
  </si>
  <si>
    <t>14,21</t>
  </si>
  <si>
    <t>Pintura vinilo 3 manos cielo</t>
  </si>
  <si>
    <t>14,22</t>
  </si>
  <si>
    <t>Pintura vinilo 3 manos muros</t>
  </si>
  <si>
    <t>14,23</t>
  </si>
  <si>
    <t>Pintura vinilo tablero madera 2 manos</t>
  </si>
  <si>
    <t>14,24</t>
  </si>
  <si>
    <t>Pintura zócalos esmalte</t>
  </si>
  <si>
    <t>14,25</t>
  </si>
  <si>
    <t>Remoción cal muros + limpieza</t>
  </si>
  <si>
    <t>14,26</t>
  </si>
  <si>
    <t>Repinte pintura vinilo 2 manos</t>
  </si>
  <si>
    <t>14,27</t>
  </si>
  <si>
    <t>Resane estuco muros o cielo raso</t>
  </si>
  <si>
    <t>14,28</t>
  </si>
  <si>
    <t>Resane fisuras muros malla vena</t>
  </si>
  <si>
    <t>14,29</t>
  </si>
  <si>
    <t>Retoque pintura muros esmalte 1 mano</t>
  </si>
  <si>
    <t>14,30</t>
  </si>
  <si>
    <t>Tratamiento fachada repele agua (hidrofugo)</t>
  </si>
  <si>
    <t>15</t>
  </si>
  <si>
    <t>MUEBLES Y APARATOS SANITARIOS</t>
  </si>
  <si>
    <t>15,01</t>
  </si>
  <si>
    <t>Borde mesón granito pulido H=0.1m</t>
  </si>
  <si>
    <t>15,02</t>
  </si>
  <si>
    <t>Dispensador de papel en acero inoxidable</t>
  </si>
  <si>
    <t>15,03</t>
  </si>
  <si>
    <t>División con perfilería baños</t>
  </si>
  <si>
    <t>15,04</t>
  </si>
  <si>
    <t>Ducha mezclador</t>
  </si>
  <si>
    <t>15,05</t>
  </si>
  <si>
    <t>Ducha sencilla</t>
  </si>
  <si>
    <t>15,06</t>
  </si>
  <si>
    <t>Espejo 4 mm</t>
  </si>
  <si>
    <t>15,07</t>
  </si>
  <si>
    <t>Herraje seguridad fluxómetro</t>
  </si>
  <si>
    <t>15,08</t>
  </si>
  <si>
    <t>Herraje seguridad tanque sanitario</t>
  </si>
  <si>
    <t>15,09</t>
  </si>
  <si>
    <t>Incrustaciones tipo Acuacer juego x 4 piezas</t>
  </si>
  <si>
    <t>15,10</t>
  </si>
  <si>
    <t>Instalación sanitario</t>
  </si>
  <si>
    <t>15,11</t>
  </si>
  <si>
    <t>Lavadero granito pulido</t>
  </si>
  <si>
    <t>15,12</t>
  </si>
  <si>
    <t>Lavadero grano lavado + enchape</t>
  </si>
  <si>
    <t>15,13</t>
  </si>
  <si>
    <t>Lavamanos Acuacer o similar (colgar)</t>
  </si>
  <si>
    <t>15,14</t>
  </si>
  <si>
    <t>Lavamanos Acuacer o similar (pedestal)</t>
  </si>
  <si>
    <t>15,15</t>
  </si>
  <si>
    <t>Lavamanos corrido enchapado</t>
  </si>
  <si>
    <t>15,16</t>
  </si>
  <si>
    <t>Lavamanos corrido granito pulido</t>
  </si>
  <si>
    <t>15,17</t>
  </si>
  <si>
    <t>Lavamanos institucional línea infantil</t>
  </si>
  <si>
    <t>15,18</t>
  </si>
  <si>
    <t>Lavamanos institucional de montar en mesón</t>
  </si>
  <si>
    <t>15,19</t>
  </si>
  <si>
    <t>Lavaplatos acero doble</t>
  </si>
  <si>
    <t>15,20</t>
  </si>
  <si>
    <t>Lavaplatos acero sencillo</t>
  </si>
  <si>
    <t>15,21</t>
  </si>
  <si>
    <t>Llave lavaplatos sobreponer 1/2" ganso</t>
  </si>
  <si>
    <t>15,22</t>
  </si>
  <si>
    <t>Llave terminal 1/2"</t>
  </si>
  <si>
    <t>15,23</t>
  </si>
  <si>
    <t>Mesón concreto burdo W=0.60m</t>
  </si>
  <si>
    <t>15,24</t>
  </si>
  <si>
    <t>Mesón concreto burdo + mamposteria + enchape</t>
  </si>
  <si>
    <t>15,25</t>
  </si>
  <si>
    <t>Mesón cubierta acero inoxidable FRT caído 0.6</t>
  </si>
  <si>
    <t>15,26</t>
  </si>
  <si>
    <t>Mesón cubierta acero inoxidable FRT caído + poceta</t>
  </si>
  <si>
    <t>15,27</t>
  </si>
  <si>
    <t>Mesón granito pulido laboratorio W=0.80m</t>
  </si>
  <si>
    <t>15,28</t>
  </si>
  <si>
    <t>Mesón granito pulido sin borde</t>
  </si>
  <si>
    <t>15,29</t>
  </si>
  <si>
    <t>Mesón granito pulido W=0.50m</t>
  </si>
  <si>
    <t>15,30</t>
  </si>
  <si>
    <t>Mezclador lavaplatos</t>
  </si>
  <si>
    <t>15,31</t>
  </si>
  <si>
    <t>Orinal blanco acción automática</t>
  </si>
  <si>
    <t>15,32</t>
  </si>
  <si>
    <t>Orinal blanco acción normal</t>
  </si>
  <si>
    <t>15,33</t>
  </si>
  <si>
    <t>Orinal blanco acción push</t>
  </si>
  <si>
    <t>15,34</t>
  </si>
  <si>
    <t>Orinal blanco institucional fluxómetro</t>
  </si>
  <si>
    <t>15,35</t>
  </si>
  <si>
    <t>Orinal corrido granito pulido media caña</t>
  </si>
  <si>
    <t>15,36</t>
  </si>
  <si>
    <t>Orinal ecológico</t>
  </si>
  <si>
    <t>15,37</t>
  </si>
  <si>
    <t>Plaqueta mesón concreto E=0.05m</t>
  </si>
  <si>
    <t>15,38</t>
  </si>
  <si>
    <t>Poceta aseo granito pulido</t>
  </si>
  <si>
    <t>15,39</t>
  </si>
  <si>
    <t>Poceta aseo granito pulido corrido</t>
  </si>
  <si>
    <t>15,40</t>
  </si>
  <si>
    <t>Poceta mesón granito pulido</t>
  </si>
  <si>
    <t>15,41</t>
  </si>
  <si>
    <t>Rejilla aluminio Zosco 3x1-1/2 anti cucaracha</t>
  </si>
  <si>
    <t>15,42</t>
  </si>
  <si>
    <t>Rejilla aluminio Zosco 3x2 anti cucaracha</t>
  </si>
  <si>
    <t>15,43</t>
  </si>
  <si>
    <t>Rejilla aluminio Zosco 4x2 anti cucaracha</t>
  </si>
  <si>
    <t>15,44</t>
  </si>
  <si>
    <t>Rejilla aluminio Zosco 4x3 anti cucaracha</t>
  </si>
  <si>
    <t>15,45</t>
  </si>
  <si>
    <t>Rejilla cúpula aluminio Zosco 4x2</t>
  </si>
  <si>
    <t>15,46</t>
  </si>
  <si>
    <t>Rejilla cúpula aluminio Zosco 5x3</t>
  </si>
  <si>
    <t>15,47</t>
  </si>
  <si>
    <t>Rejilla cúpula aluminio Zosco 6x4</t>
  </si>
  <si>
    <t>15,48</t>
  </si>
  <si>
    <t>Rejilla sifón aluminio Zosco 3x2</t>
  </si>
  <si>
    <t>15,49</t>
  </si>
  <si>
    <t>Rejilla sifón aluminio Zosco 6x4</t>
  </si>
  <si>
    <t>15,50</t>
  </si>
  <si>
    <t>Rejilla sifón aluminio Zosco 8x6</t>
  </si>
  <si>
    <t>15,51</t>
  </si>
  <si>
    <t>Reposición tapa tanque sanitario</t>
  </si>
  <si>
    <t>15,52</t>
  </si>
  <si>
    <t>Reposición llave terminal 1/2"</t>
  </si>
  <si>
    <t>15,53</t>
  </si>
  <si>
    <t>Sanitario Acuacer blanco econoagua</t>
  </si>
  <si>
    <t>15,54</t>
  </si>
  <si>
    <t>Sanitario discapacitados</t>
  </si>
  <si>
    <t>15,55</t>
  </si>
  <si>
    <t>Sanitario institucional</t>
  </si>
  <si>
    <t>15,56</t>
  </si>
  <si>
    <t>Sanitario institucional + fluxómetro</t>
  </si>
  <si>
    <t>15,57</t>
  </si>
  <si>
    <t>Sanitario institucional línea infantil</t>
  </si>
  <si>
    <t>15,58</t>
  </si>
  <si>
    <t>Suministro mesa plástica 4 patas</t>
  </si>
  <si>
    <t>15,59</t>
  </si>
  <si>
    <t>Suministro silla plástica</t>
  </si>
  <si>
    <t>15,60</t>
  </si>
  <si>
    <t>Vidrio 4 mm</t>
  </si>
  <si>
    <t>15,61</t>
  </si>
  <si>
    <t>Vidrio 5 mm</t>
  </si>
  <si>
    <t>16</t>
  </si>
  <si>
    <t>CARPINTERIA METALICA, ALUMINIO Y MADERA</t>
  </si>
  <si>
    <t>16,01</t>
  </si>
  <si>
    <t>Barra de seguridad 18" para discapacitado</t>
  </si>
  <si>
    <t>16,02</t>
  </si>
  <si>
    <t>Celosía lámina C 20 tipo Bv</t>
  </si>
  <si>
    <t>16,03</t>
  </si>
  <si>
    <t>Cercha madera cubierta L=4-6m</t>
  </si>
  <si>
    <t>16,04</t>
  </si>
  <si>
    <t>Cercha metálica cajón + anticorrosivo</t>
  </si>
  <si>
    <t>16,05</t>
  </si>
  <si>
    <t>Cercha metálica pie de amigo liviana</t>
  </si>
  <si>
    <t>16,06</t>
  </si>
  <si>
    <t>Correa metálica triangular + anticorrosivo</t>
  </si>
  <si>
    <t>16,07</t>
  </si>
  <si>
    <t>Chapa bola fina madera seguridad</t>
  </si>
  <si>
    <t>16,08</t>
  </si>
  <si>
    <t>Chapa seguridad 3 topes</t>
  </si>
  <si>
    <t>16,09</t>
  </si>
  <si>
    <t>Cinta viga Chanul 80x150 mm inmunizada</t>
  </si>
  <si>
    <t>16,10</t>
  </si>
  <si>
    <t>Correa cuartón Chanul 50x75 mm inmunizada</t>
  </si>
  <si>
    <t>16,11</t>
  </si>
  <si>
    <t>División en acero inoxidable</t>
  </si>
  <si>
    <t>16,12</t>
  </si>
  <si>
    <t>División en vidrio templado 6mm para baño</t>
  </si>
  <si>
    <t>16,13</t>
  </si>
  <si>
    <t>División lámina C 20 doble</t>
  </si>
  <si>
    <t>16,14</t>
  </si>
  <si>
    <t>Escala lámina alfajor B=1.00 m</t>
  </si>
  <si>
    <t>Paso</t>
  </si>
  <si>
    <t>16,15</t>
  </si>
  <si>
    <t>Escalera gato 3/4" L=1 m, incluye anclajes de 3/4"</t>
  </si>
  <si>
    <t>16,16</t>
  </si>
  <si>
    <t>Estructura metalica para cubiertas + anticorrosivo</t>
  </si>
  <si>
    <t>16,17</t>
  </si>
  <si>
    <t>Instalación correa metálica + pintura</t>
  </si>
  <si>
    <t>16,18</t>
  </si>
  <si>
    <t>Instalación marco lamina C 20</t>
  </si>
  <si>
    <t>16,19</t>
  </si>
  <si>
    <t>Instalación persianas</t>
  </si>
  <si>
    <t>16,20</t>
  </si>
  <si>
    <t>Instalación puerta lamina C 20</t>
  </si>
  <si>
    <t>16,21</t>
  </si>
  <si>
    <t>Instalación puerta madera</t>
  </si>
  <si>
    <t>16,22</t>
  </si>
  <si>
    <t>Instalación ventana aluminio</t>
  </si>
  <si>
    <t>16,23</t>
  </si>
  <si>
    <t>Instalación ventana metálica</t>
  </si>
  <si>
    <t>16,24</t>
  </si>
  <si>
    <t>Jaula seguridad cilindro gas H=&lt;1m</t>
  </si>
  <si>
    <t>16,25</t>
  </si>
  <si>
    <t>Malla mosquitero</t>
  </si>
  <si>
    <t>16,26</t>
  </si>
  <si>
    <t>Marco lámina C 20 sanitario</t>
  </si>
  <si>
    <t>16,27</t>
  </si>
  <si>
    <t>Marco lámina C 20 0.00 - 0.11</t>
  </si>
  <si>
    <t>16,28</t>
  </si>
  <si>
    <t>Marco lámina C 20 0.11 - 0.15</t>
  </si>
  <si>
    <t>16,29</t>
  </si>
  <si>
    <t>Marco lamina C 20 0.16 - 0.20</t>
  </si>
  <si>
    <t>16,30</t>
  </si>
  <si>
    <t>Marco ventana metálica C 22 + anticorrosivo</t>
  </si>
  <si>
    <t>16,31</t>
  </si>
  <si>
    <t>Media viga pino pátula 4"x3m inmunizada cilíndrica</t>
  </si>
  <si>
    <t>16,32</t>
  </si>
  <si>
    <t>Paral ángulo + lámina + forja</t>
  </si>
  <si>
    <t>16,33</t>
  </si>
  <si>
    <t>Puerta / reja metálica tubería cuadrada 1-½" C 20</t>
  </si>
  <si>
    <t>16,34</t>
  </si>
  <si>
    <t>Puerta corrediza aluminio Pc744</t>
  </si>
  <si>
    <t>16,35</t>
  </si>
  <si>
    <t>Puerta lámina C 20 de 0.60 &lt; ancho &lt;= 1.0</t>
  </si>
  <si>
    <t>16,36</t>
  </si>
  <si>
    <t>Puerta lámina C 20 de 1.0 &lt; ancho &lt;= 2.4</t>
  </si>
  <si>
    <t>16,37</t>
  </si>
  <si>
    <t>Puerta lámina C 20 doble sanitario</t>
  </si>
  <si>
    <t>16,38</t>
  </si>
  <si>
    <t>Puerta lámina C 20 corrediza 2 alas</t>
  </si>
  <si>
    <t>16,39</t>
  </si>
  <si>
    <t>Puerta madera económica</t>
  </si>
  <si>
    <t>16,40</t>
  </si>
  <si>
    <t>Puerta metálica ángulo 1-1/2" + malla eslabonada</t>
  </si>
  <si>
    <t>16,41</t>
  </si>
  <si>
    <t>Puerta metálica corrediza reglada B=0.5m H=2.5m</t>
  </si>
  <si>
    <t>16,42</t>
  </si>
  <si>
    <t>Puerta metálica tubería cuadrada 2" C 16</t>
  </si>
  <si>
    <t>16,43</t>
  </si>
  <si>
    <t>Puerta metálica tubería cuadrada 1" C 16</t>
  </si>
  <si>
    <t>16,44</t>
  </si>
  <si>
    <t>Puerta metálica tubería Hg 1-1/2" sección 1.2x2.3 m</t>
  </si>
  <si>
    <t>16,45</t>
  </si>
  <si>
    <t>Puerta metálica tubería Hg 2-1/2" sección 3.0x2.5 m</t>
  </si>
  <si>
    <t>16,46</t>
  </si>
  <si>
    <t>Recorte puerta metálica tipo B + pintura</t>
  </si>
  <si>
    <t>16,47</t>
  </si>
  <si>
    <t>Reinstalación marco + puerta lámina</t>
  </si>
  <si>
    <t>16,48</t>
  </si>
  <si>
    <t>Reinstalación marco + puerta madera</t>
  </si>
  <si>
    <t>16,49</t>
  </si>
  <si>
    <t>Reinstalación reja metálica</t>
  </si>
  <si>
    <t>16,50</t>
  </si>
  <si>
    <t>Reja metálica seguridad varilla 1/2"cuadrada</t>
  </si>
  <si>
    <t>16,51</t>
  </si>
  <si>
    <t>Reja metálica seguridad varilla 5/8"cuadrada</t>
  </si>
  <si>
    <t>16,52</t>
  </si>
  <si>
    <t>Reparación + instalación de persianas</t>
  </si>
  <si>
    <t>16,53</t>
  </si>
  <si>
    <t>Reparación pasamanos macana reposición</t>
  </si>
  <si>
    <t>16,54</t>
  </si>
  <si>
    <t>Ventana aluminio 5020 + vidrio</t>
  </si>
  <si>
    <t>16,55</t>
  </si>
  <si>
    <t>Ventana guillotina lámina C 20 doble</t>
  </si>
  <si>
    <t>16,56</t>
  </si>
  <si>
    <t>Ventana metal basculante C 22 + vidrio</t>
  </si>
  <si>
    <t>16,57</t>
  </si>
  <si>
    <t>Ventana metal C 22 + vidrio</t>
  </si>
  <si>
    <t>16,58</t>
  </si>
  <si>
    <t>Ventana y/o puerta aluminio 744 natural + vidrio</t>
  </si>
  <si>
    <t>16,59</t>
  </si>
  <si>
    <t>Viga pino Pátula 4"x6m inmunizada / cilíndrica</t>
  </si>
  <si>
    <t>17</t>
  </si>
  <si>
    <t>EQUIPOS ESPECIALES</t>
  </si>
  <si>
    <t>17,01</t>
  </si>
  <si>
    <t>Instalación motobomba monofásica 220v</t>
  </si>
  <si>
    <t>17,02</t>
  </si>
  <si>
    <t>Ascensor de 6 paradas</t>
  </si>
  <si>
    <t>18</t>
  </si>
  <si>
    <t>OBRAS VARIAS</t>
  </si>
  <si>
    <t>18,01</t>
  </si>
  <si>
    <t>Arquería tubería HG 2-1/2" + malla banquitas</t>
  </si>
  <si>
    <t>18,02</t>
  </si>
  <si>
    <t>Arquería tubería HG 2-1/2" + malla futbol</t>
  </si>
  <si>
    <t>18,03</t>
  </si>
  <si>
    <t>Arquería tubería HG 2-1/2" + malla micro</t>
  </si>
  <si>
    <t>18,04</t>
  </si>
  <si>
    <t>Arquería tubería HG 2-1/2" + tablero basquetbol</t>
  </si>
  <si>
    <t>18,05</t>
  </si>
  <si>
    <t>Banqueta modular ladrillo visto L=1.5m cerramiento</t>
  </si>
  <si>
    <t>18,06</t>
  </si>
  <si>
    <t>Base tierra + arena cancha fútbol</t>
  </si>
  <si>
    <t>18,07</t>
  </si>
  <si>
    <t>Cerramiento muro ladrillo tolete + malla eslabonada + poste concreto</t>
  </si>
  <si>
    <t>18,08</t>
  </si>
  <si>
    <t>Cerramiento muro ladrillo tolete + malla eslabonada + tubo galvanizado</t>
  </si>
  <si>
    <t>18,09</t>
  </si>
  <si>
    <t>Cerramiento muro ladrillo visto + malla eslabonada + poste concreto</t>
  </si>
  <si>
    <t>18,10</t>
  </si>
  <si>
    <t>Cerramiento muro ladrillo visto + malla eslabonada + tubo galvanizado</t>
  </si>
  <si>
    <t>18,11</t>
  </si>
  <si>
    <t>Cerramiento poste concreto + alambre púa 7 hilos</t>
  </si>
  <si>
    <t>18,12</t>
  </si>
  <si>
    <t>Cerramiento poste concreto + malla eslabonada H=2m</t>
  </si>
  <si>
    <t>18,13</t>
  </si>
  <si>
    <t>Cerramiento tubo galvanizado + malla eslabonada H=2m</t>
  </si>
  <si>
    <t>18,14</t>
  </si>
  <si>
    <t>Cocina sin humo para zona rural (incluye replanteo)</t>
  </si>
  <si>
    <t>18,15</t>
  </si>
  <si>
    <t>Concertina inoxidable d = 18"</t>
  </si>
  <si>
    <t>18,16</t>
  </si>
  <si>
    <t>Malla de nylon para protección</t>
  </si>
  <si>
    <t>18,17</t>
  </si>
  <si>
    <t>Pintura para cancha dura</t>
  </si>
  <si>
    <t>18,18</t>
  </si>
  <si>
    <t>Reparación cerramiento malla + ángulo</t>
  </si>
  <si>
    <t>18,19</t>
  </si>
  <si>
    <t>Reparaciones generales de arcos de microfutbol y basquetbol</t>
  </si>
  <si>
    <t>18,20</t>
  </si>
  <si>
    <t>Reposición malla cerramiento</t>
  </si>
  <si>
    <t>18,21</t>
  </si>
  <si>
    <t>Reposición poste concreto cerramiento</t>
  </si>
  <si>
    <t>18,22</t>
  </si>
  <si>
    <t>Retemplado malla de cerramiento</t>
  </si>
  <si>
    <t>18,23</t>
  </si>
  <si>
    <t>Suministro e instalación de malla en nylon para cerramiento</t>
  </si>
  <si>
    <t>18,24</t>
  </si>
  <si>
    <t>Tablero basquetbol tubería HG 2-1/2"</t>
  </si>
  <si>
    <t>Par</t>
  </si>
  <si>
    <t>19</t>
  </si>
  <si>
    <t>CONTENCION Y ESTABILIZACION</t>
  </si>
  <si>
    <t>19,01</t>
  </si>
  <si>
    <t>Anclaje activo cable 1/2" x 4 alta resistencia</t>
  </si>
  <si>
    <t>19,02</t>
  </si>
  <si>
    <t>Anclaje activo cable 1/2" x 6 alta resistencia</t>
  </si>
  <si>
    <t>19,03</t>
  </si>
  <si>
    <t>Anclaje activo cable 5/8" x 4 alta resistencia</t>
  </si>
  <si>
    <t>19,04</t>
  </si>
  <si>
    <t>Anclaje activo cable 5/8" x 6 alta resistencia</t>
  </si>
  <si>
    <t>19,05</t>
  </si>
  <si>
    <t>Anclaje activo cable 5/8" x 6 alta resistencia encamisado metalico o similar</t>
  </si>
  <si>
    <t>19,06</t>
  </si>
  <si>
    <t>Anclaje pantalla conglomerado Ø&lt;=0.15m + Grouting</t>
  </si>
  <si>
    <t>19,07</t>
  </si>
  <si>
    <t>Anclaje pantalla terraplén Ø&lt;0.15m + Grouting</t>
  </si>
  <si>
    <t>19,08</t>
  </si>
  <si>
    <t>Anclaje pantalla tierra Ø&lt; =0.15m + Grouting</t>
  </si>
  <si>
    <t>19,09</t>
  </si>
  <si>
    <t>Anclaje pasivo barra 1" + grouting</t>
  </si>
  <si>
    <t>19,10</t>
  </si>
  <si>
    <t>Anclaje pasivo barra 7/8" + grouting</t>
  </si>
  <si>
    <t>19,11</t>
  </si>
  <si>
    <t>Anclaje pasivo barra 3/4" + grouting</t>
  </si>
  <si>
    <t>19,12</t>
  </si>
  <si>
    <t>Anclaje pasivo barra 5/8" + grouting</t>
  </si>
  <si>
    <t>19,13</t>
  </si>
  <si>
    <t>Anclaje pasivo barra 1/2" + grouting</t>
  </si>
  <si>
    <t>19,14</t>
  </si>
  <si>
    <t>Anclaje para soporte de acero de pantalla. No incluye acero</t>
  </si>
  <si>
    <t>19,15</t>
  </si>
  <si>
    <t>Cable con alma de fibra de 3/8"</t>
  </si>
  <si>
    <t>19,16</t>
  </si>
  <si>
    <t>Canal de rapidas con tapa en concreto de 27.6 Mpa</t>
  </si>
  <si>
    <t>19,17</t>
  </si>
  <si>
    <t>Canal trapezoidal 0.6/0.4 H=0.3 libre T=0.12</t>
  </si>
  <si>
    <t>19,18</t>
  </si>
  <si>
    <t>Cañuela C 13 Mpa B=0.2 H=0.1 E=0.07m</t>
  </si>
  <si>
    <t>19,19</t>
  </si>
  <si>
    <t>Cañuela C 20.7 Mpa B=0.2 H=0.1 E=0.07m</t>
  </si>
  <si>
    <t>19,20</t>
  </si>
  <si>
    <t>Cañuela C 20.7 Mpa B=0.3 H=0.1 E=0.07m</t>
  </si>
  <si>
    <t>19,21</t>
  </si>
  <si>
    <t>Cañuela tierra recubierta en concreto 13 Mpa W&lt;=0,20</t>
  </si>
  <si>
    <t>19,22</t>
  </si>
  <si>
    <t>Cañuela tierra recubierta en mortero + grava W&lt;=0,20</t>
  </si>
  <si>
    <t>19,23</t>
  </si>
  <si>
    <t>Conformación de taludes existentes</t>
  </si>
  <si>
    <t>19,24</t>
  </si>
  <si>
    <t>Dados de anclaje 0.6x0.6x0.2 concreto de 27.6 Mpa</t>
  </si>
  <si>
    <t>19,25</t>
  </si>
  <si>
    <t>Dados pantalla activa</t>
  </si>
  <si>
    <t>19,26</t>
  </si>
  <si>
    <t>Dren horizontal en tubería corrugada perforada de 100 mm (incluye tubería + geotextil), perforación manual</t>
  </si>
  <si>
    <t>19,27</t>
  </si>
  <si>
    <t>Dren horizontal en tubería corrugada perforada de 100 mm (incluye tubería + geotextil), perforación mecanica</t>
  </si>
  <si>
    <t>19,28</t>
  </si>
  <si>
    <t>Dren horizontal en tubería corrugada perforada de 65 mm (incluye tubería + geotextil), perforación manual</t>
  </si>
  <si>
    <t>19,29</t>
  </si>
  <si>
    <t>Dren horizontal en tubería corrugada perforada de 65 mm (incluye tubería + geotextil), perforación mecanica</t>
  </si>
  <si>
    <t>19,30</t>
  </si>
  <si>
    <t>Dren horizontal en tubería PVC-S perforada de 3" (incluye tubería + geotextil), perforación manual</t>
  </si>
  <si>
    <t>19,31</t>
  </si>
  <si>
    <t>Dren horizontal en tubería PVC-S perforada de 3" (incluye tubería + geotextil), perforación mecanica</t>
  </si>
  <si>
    <t>19,32</t>
  </si>
  <si>
    <t>Empradización talud base Ecomatrix o similar</t>
  </si>
  <si>
    <t>19,33</t>
  </si>
  <si>
    <t>Empradización talud pasto</t>
  </si>
  <si>
    <t>19,34</t>
  </si>
  <si>
    <t>Excavación configuración talud conglomerado manual</t>
  </si>
  <si>
    <t>19,35</t>
  </si>
  <si>
    <t>Excavación configuración talud roca</t>
  </si>
  <si>
    <t>19,36</t>
  </si>
  <si>
    <t>Excavación configuración talud tierra manual</t>
  </si>
  <si>
    <t>19,37</t>
  </si>
  <si>
    <t>Excavación configuración tierra mecánica</t>
  </si>
  <si>
    <t>19,38</t>
  </si>
  <si>
    <t>Filtro francés + geotextil 1600 NT + tubería drenaje Ø = 150 mm</t>
  </si>
  <si>
    <t>19,39</t>
  </si>
  <si>
    <t>Filtro francés + geotextil 1600 NT + tubería drenaje Ø = 100 mm</t>
  </si>
  <si>
    <t>19,40</t>
  </si>
  <si>
    <t>Filtro francés + geotextil 1600 NT + tubería drenaje Ø = 65 mm</t>
  </si>
  <si>
    <t>19,41</t>
  </si>
  <si>
    <t>Gavión con malla triple torsión C 13 ojo 7.5</t>
  </si>
  <si>
    <t>19,42</t>
  </si>
  <si>
    <t>Gavión con malla triple torsión C 13 ojo 9</t>
  </si>
  <si>
    <t>19,43</t>
  </si>
  <si>
    <t>Geodren circular ancho: 1.0m tubería de 4" (no incluye tubería)</t>
  </si>
  <si>
    <t>19,44</t>
  </si>
  <si>
    <t>Geomalla BXG 120 o similar</t>
  </si>
  <si>
    <t>19,45</t>
  </si>
  <si>
    <t>Geotextil 1600 NT o similar</t>
  </si>
  <si>
    <t>19,46</t>
  </si>
  <si>
    <t>Geotextil 2400 T o similar</t>
  </si>
  <si>
    <t>19,47</t>
  </si>
  <si>
    <t>Geodrén planar H:0,5m (lloraderos)</t>
  </si>
  <si>
    <t>19,48</t>
  </si>
  <si>
    <t>Geodrén planar H:1,0m (espaldon)</t>
  </si>
  <si>
    <t>19,49</t>
  </si>
  <si>
    <t>Geotextil fortex BX 220 o similar</t>
  </si>
  <si>
    <t>19,50</t>
  </si>
  <si>
    <t>Geotextil fortex BX 130 o similar</t>
  </si>
  <si>
    <t>19,51</t>
  </si>
  <si>
    <t>Geotextil fortex BX 90 o similar</t>
  </si>
  <si>
    <t>19,52</t>
  </si>
  <si>
    <t>Geotextil fortex BX 60 o similar</t>
  </si>
  <si>
    <t>19,53</t>
  </si>
  <si>
    <t>Geotextil fortgird UX 075 o similar</t>
  </si>
  <si>
    <t>19,54</t>
  </si>
  <si>
    <t>Geotextil fortgird UX 100 o similar</t>
  </si>
  <si>
    <t>19,55</t>
  </si>
  <si>
    <t>Geotextil fortgird UX 135 o similar</t>
  </si>
  <si>
    <t>19,56</t>
  </si>
  <si>
    <t>Geotextil fortgird UX 165 o similar</t>
  </si>
  <si>
    <t>19,57</t>
  </si>
  <si>
    <t>Geotextil fortgird UX 200 o similar</t>
  </si>
  <si>
    <t>19,58</t>
  </si>
  <si>
    <t>Geotextil fortgird UX 300 o similar</t>
  </si>
  <si>
    <t>19,59</t>
  </si>
  <si>
    <t>Manto permanente TRM 500 o similar</t>
  </si>
  <si>
    <t>19,60</t>
  </si>
  <si>
    <t>Malla eslabonada galvanizada</t>
  </si>
  <si>
    <t>19,61</t>
  </si>
  <si>
    <t>Malla triple torsion cal 10</t>
  </si>
  <si>
    <t>19,62</t>
  </si>
  <si>
    <t>Microhexapodos 0.7 m en concreto de 27.6 Mpa fabricados en sitio + acero de refuerzo</t>
  </si>
  <si>
    <t>19,63</t>
  </si>
  <si>
    <t>Microhexapodos 1.2 m en concreto de 27.6 Mpa fabricados en sitio + acero de refuerzo</t>
  </si>
  <si>
    <t>19,64</t>
  </si>
  <si>
    <t>Muro mecánicamente estabilizado con material del sitio</t>
  </si>
  <si>
    <t>19,65</t>
  </si>
  <si>
    <t>Muro mecánicamente estabilizado con material transportado</t>
  </si>
  <si>
    <t>19,66</t>
  </si>
  <si>
    <t>Muro mecánicamente estabilizado con afirmado</t>
  </si>
  <si>
    <t>19,67</t>
  </si>
  <si>
    <t>Nivelación con grauting relacion 1:3</t>
  </si>
  <si>
    <t>19,68</t>
  </si>
  <si>
    <t>Recubrimiento de taludes con concreto lanzado</t>
  </si>
  <si>
    <t>19,69</t>
  </si>
  <si>
    <t>Recubrimiento de taludes con mortero 1:3 de e=10 cm</t>
  </si>
  <si>
    <t>19,70</t>
  </si>
  <si>
    <t>Reforestación con vetiver</t>
  </si>
  <si>
    <t>19,71</t>
  </si>
  <si>
    <t>Remoción derrumbes manual</t>
  </si>
  <si>
    <t>19,72</t>
  </si>
  <si>
    <t>Remoción derrumbes mecánica</t>
  </si>
  <si>
    <t>19,73</t>
  </si>
  <si>
    <t>Saco Polipropileno para confinamiento de fachada muro armado</t>
  </si>
  <si>
    <t>19,74</t>
  </si>
  <si>
    <t>Trincho guadua impermeabilizada configuración talud</t>
  </si>
  <si>
    <t>19,75</t>
  </si>
  <si>
    <t>Trincho tierra (con sacos)</t>
  </si>
  <si>
    <t>19,76</t>
  </si>
  <si>
    <t>Zanja Colectora en concreto de 20.7 Mpa</t>
  </si>
  <si>
    <t>19,77</t>
  </si>
  <si>
    <t>Zanja Colectora en concreto de 27.6 Mpa</t>
  </si>
  <si>
    <t>20</t>
  </si>
  <si>
    <t>BASES, SUB BASES Y AFIRMADO</t>
  </si>
  <si>
    <t>20,01</t>
  </si>
  <si>
    <t>Afirmado riego + compactación manual</t>
  </si>
  <si>
    <t>20,02</t>
  </si>
  <si>
    <t>Afirmado riego + compactación mecánica</t>
  </si>
  <si>
    <t>20,03</t>
  </si>
  <si>
    <t>Afirmado suministro + transporte + riego +compactación manual</t>
  </si>
  <si>
    <t>20,04</t>
  </si>
  <si>
    <t>Afirmado suministro + transporte + riego +compactación mecánica</t>
  </si>
  <si>
    <t>20,05</t>
  </si>
  <si>
    <t>Afirmado transporte + riego +compactación manual</t>
  </si>
  <si>
    <t>20,06</t>
  </si>
  <si>
    <t>Afirmado transporte + riego +compactación mecánica</t>
  </si>
  <si>
    <t>20,07</t>
  </si>
  <si>
    <t>Base granular tipo MOPT / INVIAS</t>
  </si>
  <si>
    <t>20,08</t>
  </si>
  <si>
    <t>Escarificado + restitución base manual</t>
  </si>
  <si>
    <t>20,09</t>
  </si>
  <si>
    <t>Mejoramiento de la subrasante con afirmado</t>
  </si>
  <si>
    <t>20,10</t>
  </si>
  <si>
    <t>Subbase granular tipo MOPT/INVIAS</t>
  </si>
  <si>
    <t>21</t>
  </si>
  <si>
    <t>PAVIMENTOS</t>
  </si>
  <si>
    <t>21,01</t>
  </si>
  <si>
    <t>Canastilla soporte de dovelas hierro 3/8 y 1/4"</t>
  </si>
  <si>
    <t>21,02</t>
  </si>
  <si>
    <t>Corte mecánico placas y pavimentos de concreto asfaltico H&lt;=10 cm (incluye operario)</t>
  </si>
  <si>
    <t>21,03</t>
  </si>
  <si>
    <t>Corte mecánico placas y pavimentos de concreto asfaltico H&lt;=6cm (incluye operario)</t>
  </si>
  <si>
    <t>21,04</t>
  </si>
  <si>
    <t>Corte mecánico placas y pavimentos de concreto rígido 6cm &lt;= H&lt;=10cm (incluye operario)</t>
  </si>
  <si>
    <t>21,05</t>
  </si>
  <si>
    <t>Cuneta Concreto 20.7 Mpa premezclado</t>
  </si>
  <si>
    <t>21,06</t>
  </si>
  <si>
    <t>Cuneta Concreto 20.7 Mpa vaciadas in situ</t>
  </si>
  <si>
    <t>21,07</t>
  </si>
  <si>
    <t>Cuneta en geomembrana en geotextil+reforzado con polimero B=0.35 m</t>
  </si>
  <si>
    <t>21,08</t>
  </si>
  <si>
    <t>Fresado de pavimento asfaltico</t>
  </si>
  <si>
    <t>21,09</t>
  </si>
  <si>
    <t>Huella concreto 27.6 Mpa H=0.15m B=0.70m</t>
  </si>
  <si>
    <t>21,10</t>
  </si>
  <si>
    <t>Imprimación con emulsión asfáltica</t>
  </si>
  <si>
    <t>21,11</t>
  </si>
  <si>
    <t>Riego de imprimación con emulsión asfáltica CRL-0</t>
  </si>
  <si>
    <t>21,12</t>
  </si>
  <si>
    <t>Imprimante superficie Bitum (impermeabilización)</t>
  </si>
  <si>
    <t>21,13</t>
  </si>
  <si>
    <t>Lavado, secado y sellado de juntas de pavimentos en concreto hidráulico (incluye hidro lavadora, SikaRoad y sellante)</t>
  </si>
  <si>
    <t>21,14</t>
  </si>
  <si>
    <t>Parcheo pavimento concreto asfaltico caliente</t>
  </si>
  <si>
    <t>21,15</t>
  </si>
  <si>
    <t>Pavimento adoquín peatonal E=0.06 m</t>
  </si>
  <si>
    <t>21,16</t>
  </si>
  <si>
    <t>Pavimento adoquín vehicular T-1 E=0.08 m</t>
  </si>
  <si>
    <t>21,17</t>
  </si>
  <si>
    <t>Pavimento adoquín vehicular T-2 E=0.09 m</t>
  </si>
  <si>
    <t>21,18</t>
  </si>
  <si>
    <t>Pavimento adoquín vehicular T-3 E=0.10 m</t>
  </si>
  <si>
    <t>21,19</t>
  </si>
  <si>
    <t>Pavimento concreto asfaltico caliente MDC 19</t>
  </si>
  <si>
    <t>21,20</t>
  </si>
  <si>
    <t>Pavimento concreto asfaltico frio</t>
  </si>
  <si>
    <t>21,21</t>
  </si>
  <si>
    <t>Pavimento Mr = 3.6 Mpa obra</t>
  </si>
  <si>
    <t>21,22</t>
  </si>
  <si>
    <t>Pavimento Mr = 3.6 Mpa premezclado</t>
  </si>
  <si>
    <t>21,23</t>
  </si>
  <si>
    <t>Pavimento Mr = 3.9 Mpa obra</t>
  </si>
  <si>
    <t>21,24</t>
  </si>
  <si>
    <t>Pavimento Mr = 3.9 Mpa premezclado</t>
  </si>
  <si>
    <t>21,25</t>
  </si>
  <si>
    <t>Pavimento Mr = 4.0 Mpa obra</t>
  </si>
  <si>
    <t>21,26</t>
  </si>
  <si>
    <t>Pavimento Mr = 4.0 Mpa premezclado</t>
  </si>
  <si>
    <t>21,27</t>
  </si>
  <si>
    <t>Pavimento Mr = 4.1 Mpa obra</t>
  </si>
  <si>
    <t>21,28</t>
  </si>
  <si>
    <t>Pavimento Mr = 4.1 Mpa premezclado</t>
  </si>
  <si>
    <t>21,29</t>
  </si>
  <si>
    <t>Pavimento Mr = 4.1 Mpa premezclado (acelerado 3 días)</t>
  </si>
  <si>
    <t>21,30</t>
  </si>
  <si>
    <t>Pavimento Mr = 4.2 Mpa premezclado</t>
  </si>
  <si>
    <t>21,31</t>
  </si>
  <si>
    <t>Pavimento Mr = 4.2 Mpa premezclado (acelerado 3 días)</t>
  </si>
  <si>
    <t>21,32</t>
  </si>
  <si>
    <t>Pavimento Mr = 4.2 Mpa premezclado (acelerado 7 días)</t>
  </si>
  <si>
    <t>21,33</t>
  </si>
  <si>
    <t>Pavimento Mr = 4.5 Mpa premezclado</t>
  </si>
  <si>
    <t>21,34</t>
  </si>
  <si>
    <t>Pavimento Mr = 4.5 Mpa premezclado (acelerado 3 días)</t>
  </si>
  <si>
    <t>21,35</t>
  </si>
  <si>
    <t>Pavimento Mr = 4.5 Mpa premezclado (acelerado 7 días)</t>
  </si>
  <si>
    <t>21,36</t>
  </si>
  <si>
    <t>Pavimento Mr = 5 Mpa premezclado</t>
  </si>
  <si>
    <t>21,37</t>
  </si>
  <si>
    <t>Pavimento Mr = 5 Mpa premezclado (acelerado 3 días)</t>
  </si>
  <si>
    <t>21,38</t>
  </si>
  <si>
    <t>Pavimento Mr = 5 Mpa premezclado (acelerado 7 días)</t>
  </si>
  <si>
    <t>21,39</t>
  </si>
  <si>
    <t>Placa huella concreto 20.7 Mpa H=0.15m</t>
  </si>
  <si>
    <t>21,40</t>
  </si>
  <si>
    <t>Sellado dilatación Sika Flex 1A + icopor</t>
  </si>
  <si>
    <t>21,41</t>
  </si>
  <si>
    <t>Sellado fisuras, juntas y dilataciones. Concreto asfaltico modificado tipo Polibit o similar, incluye equipo Crafco o similar y equipo de aire a presión</t>
  </si>
  <si>
    <t>21,42</t>
  </si>
  <si>
    <t>Sellado junta Sika Flex + SikaRoad 15</t>
  </si>
  <si>
    <t>22</t>
  </si>
  <si>
    <t>ESTRUCTURAS VIALES ESPECIALES</t>
  </si>
  <si>
    <t>22,01</t>
  </si>
  <si>
    <t>Apoyo estructural Neopreno D-50 E=3/4"</t>
  </si>
  <si>
    <t>22,02</t>
  </si>
  <si>
    <t>Concreto 20,7 Mpa para canales</t>
  </si>
  <si>
    <t>22,03</t>
  </si>
  <si>
    <t>Concreto 20.7 Mpa estribos</t>
  </si>
  <si>
    <t>22,04</t>
  </si>
  <si>
    <t>Concreto 20.7 Mpa para pilotes</t>
  </si>
  <si>
    <t>22,05</t>
  </si>
  <si>
    <t>Concreto 24.1 Mpa estribos</t>
  </si>
  <si>
    <t>22,06</t>
  </si>
  <si>
    <t>Concreto 24.1 Mpa para pilotes</t>
  </si>
  <si>
    <t>22,07</t>
  </si>
  <si>
    <t>Concreto 27.6 Mpa para pilotes</t>
  </si>
  <si>
    <t>22,08</t>
  </si>
  <si>
    <t>Junta elastomerica para puente</t>
  </si>
  <si>
    <t>22,09</t>
  </si>
  <si>
    <t>Malla Cal 18 acero tejida seguridad</t>
  </si>
  <si>
    <t>22,10</t>
  </si>
  <si>
    <t>Muro concreto ciclópeo</t>
  </si>
  <si>
    <t>22,11</t>
  </si>
  <si>
    <t>Muro concreto reforzado 20.7 Mpa espesor &lt;=0.25m</t>
  </si>
  <si>
    <t>22,12</t>
  </si>
  <si>
    <t>Muro concreto reforzado 20.7 Mpa espesor &gt;0.25m</t>
  </si>
  <si>
    <t>22,13</t>
  </si>
  <si>
    <t>Muro concreto reforzado 24.1 Mpa espesor &lt;=0.25m</t>
  </si>
  <si>
    <t>22,14</t>
  </si>
  <si>
    <t>Muro concreto reforzado 24.1 Mpa espesor &gt;0.25m</t>
  </si>
  <si>
    <t>22,15</t>
  </si>
  <si>
    <t>Muro concreto reforzado 27.6 Mpa espesor &lt;=0.25m</t>
  </si>
  <si>
    <t>22,16</t>
  </si>
  <si>
    <t>Muro concreto reforzado 27.6 Mpa espesor &gt;0.25m</t>
  </si>
  <si>
    <t>22,17</t>
  </si>
  <si>
    <t>Placa maciza concreto 20.7 Mpa E&lt;=0.30m puente</t>
  </si>
  <si>
    <t>22,18</t>
  </si>
  <si>
    <t>Placa maciza concreto 20.7 Mpa E&gt;0.30m puente</t>
  </si>
  <si>
    <t>22,19</t>
  </si>
  <si>
    <t>Soldadura para barandas y estructura metálica</t>
  </si>
  <si>
    <t>22,20</t>
  </si>
  <si>
    <t>Zapata concreto 20.7 Mpa estribo aletas</t>
  </si>
  <si>
    <t>23</t>
  </si>
  <si>
    <t>DRENAJE Y OBRAS DE ARTE</t>
  </si>
  <si>
    <t>23,01</t>
  </si>
  <si>
    <t>Base y cañuela para cámaras de inspección Øinterior 1,20 m. Concreto 24,5 Mpa. Incluye acero de refuerzo.</t>
  </si>
  <si>
    <t>23,02</t>
  </si>
  <si>
    <t>Base y cañuela para cámaras de inspección Øinterior 1,50 m. Concreto 24,5 Mpa. Incluye acero de refuerzo.</t>
  </si>
  <si>
    <t>23,03</t>
  </si>
  <si>
    <t>Base y cañuela para cámaras de inspección Øinterior 2,00 m. Concreto 24,5 Mpa. Incluye acero de refuerzo.</t>
  </si>
  <si>
    <t>23,04</t>
  </si>
  <si>
    <t>Bloque dentellón canal rápidas</t>
  </si>
  <si>
    <t>23,05</t>
  </si>
  <si>
    <t>Box Culvert C 20.7 Mpa</t>
  </si>
  <si>
    <t>23,06</t>
  </si>
  <si>
    <t>Cabezote concreto ciclópeo H=2.5m</t>
  </si>
  <si>
    <t>23,07</t>
  </si>
  <si>
    <t>Concreto 20.7 Mpa para recubrimiento de gaviones E=0,10 m</t>
  </si>
  <si>
    <t>23,08</t>
  </si>
  <si>
    <t>Cono cámara de inspección C 20.7 Mpa D=1.2 T=24</t>
  </si>
  <si>
    <t>23,09</t>
  </si>
  <si>
    <t>Cuerpo para cámaras de inspección Øinterior 1,20 m. Concreto 24,5 Mpa. Incluye acero de refuerzo.</t>
  </si>
  <si>
    <t>23,10</t>
  </si>
  <si>
    <t>Cuerpo para cámaras de inspección Øinterior 1,50 m. Concreto 24,5 Mpa. Incluye acero de refuerzo.</t>
  </si>
  <si>
    <t>23,11</t>
  </si>
  <si>
    <t>Cuerpo para cámaras de inspección Øinterior 2,00 m. Concreto 24,5 Mpa. Incluye acero de refuerzo.</t>
  </si>
  <si>
    <t>23,12</t>
  </si>
  <si>
    <t>Empotramiento de tuberías en concreto 20.7 Mpa</t>
  </si>
  <si>
    <t>23,13</t>
  </si>
  <si>
    <t>Empotramiento tubería alcantarillado Ø variable</t>
  </si>
  <si>
    <t>23,14</t>
  </si>
  <si>
    <t>Enrocado base gavión sin concreto</t>
  </si>
  <si>
    <t>23,15</t>
  </si>
  <si>
    <t>Enrocado protección salida canal</t>
  </si>
  <si>
    <t>23,16</t>
  </si>
  <si>
    <t>Enrocado/pedraplen concreto 24 Mpa, piedra 60% Ø 0,20 - 0,30 m</t>
  </si>
  <si>
    <t>23,17</t>
  </si>
  <si>
    <t>Estructura tipo aliviadero domiciliario 21 Mpa</t>
  </si>
  <si>
    <t>23,18</t>
  </si>
  <si>
    <t>Junta dilatación /exp cinta OVC V-22</t>
  </si>
  <si>
    <t>23,19</t>
  </si>
  <si>
    <t>Junta dilatación /exp cinta PVC V-10</t>
  </si>
  <si>
    <t>23,20</t>
  </si>
  <si>
    <t>Junta dilatación /exp cinta PVC V-15</t>
  </si>
  <si>
    <t>23,21</t>
  </si>
  <si>
    <t>Lloradero muro PVC aguas lluvias 2"</t>
  </si>
  <si>
    <t>23,22</t>
  </si>
  <si>
    <t>Losa para cámaras de inspección Øinterior 1,20 m e=0,20m. Concreto 24,5 Mpa. Incluye 64 kg de acero de refuerzo para tapa metálica</t>
  </si>
  <si>
    <t>23,23</t>
  </si>
  <si>
    <t>Losa para cámaras de inspección Øinterior 1,50 m e=0,20m. Concreto 24,5 Mpa. Incluye 64 kg de acero de refuerzo para tapa metálica</t>
  </si>
  <si>
    <t>23,24</t>
  </si>
  <si>
    <t>Losa para cámaras de inspección Øinterior 2,00 m e=0,20m. Concreto 24,5 Mpa. Incluye 64 kg de acero de refuerzo para tapa metálica</t>
  </si>
  <si>
    <t>23,25</t>
  </si>
  <si>
    <t>Manejo temporal aguas negras brecha</t>
  </si>
  <si>
    <t>23,26</t>
  </si>
  <si>
    <t>Pasos de acero de refuerzo 3/4" Fy=420 Mpa incluye anticorrosivo</t>
  </si>
  <si>
    <t>23,27</t>
  </si>
  <si>
    <t>Perforación en material común (manual) para dren horizontal de 65mm</t>
  </si>
  <si>
    <t>23,28</t>
  </si>
  <si>
    <t>Perforación en material común (mecánica) para dren horizontal de 65 mm</t>
  </si>
  <si>
    <t>23,29</t>
  </si>
  <si>
    <t>Poceta cabezotes concreto ciclópeo</t>
  </si>
  <si>
    <t>23,30</t>
  </si>
  <si>
    <t>Polietileno (plástico) negro calibre4</t>
  </si>
  <si>
    <t>23,31</t>
  </si>
  <si>
    <t>Protección superficie con plástico Calibre 6</t>
  </si>
  <si>
    <t>23,32</t>
  </si>
  <si>
    <t>Realce boca cámara alcantarillado C 20.7 Mpa</t>
  </si>
  <si>
    <t>23,33</t>
  </si>
  <si>
    <t>Realce sumidero simple C 20.7 Mpa</t>
  </si>
  <si>
    <t>23,34</t>
  </si>
  <si>
    <t>Realce tapa cámara alcantarillado (incluye tapa, anclajes y SikaGrout)</t>
  </si>
  <si>
    <t>23,35</t>
  </si>
  <si>
    <t>Realce tapa sumidero simple (incluye reja, anclajes y SikaGrout)</t>
  </si>
  <si>
    <t>23,36</t>
  </si>
  <si>
    <t>Reja liviana sumidero lineal B=0.3m modular</t>
  </si>
  <si>
    <t>23,37</t>
  </si>
  <si>
    <t>Reja pesada sumid línea B=0.6m módulo</t>
  </si>
  <si>
    <t>23,38</t>
  </si>
  <si>
    <t>Reposición empaque caucho tubería Novafort</t>
  </si>
  <si>
    <t>23,39</t>
  </si>
  <si>
    <t>Silla Yee PVC Novafort 160x110</t>
  </si>
  <si>
    <t>23,40</t>
  </si>
  <si>
    <t>Silla Yee PVC Novafort 160x200</t>
  </si>
  <si>
    <t>23,41</t>
  </si>
  <si>
    <t>Silla Yee PVC Novafort 160x250</t>
  </si>
  <si>
    <t>23,42</t>
  </si>
  <si>
    <t>Silla Yee PVC Novafort 160x315</t>
  </si>
  <si>
    <t>23,43</t>
  </si>
  <si>
    <t>Silla Yee PVC Novafort 160x400</t>
  </si>
  <si>
    <t>23,44</t>
  </si>
  <si>
    <t>Silla Yee PVC Novafort 160x450</t>
  </si>
  <si>
    <t>23,45</t>
  </si>
  <si>
    <t>Silla Yee PVC Novafort 160x500</t>
  </si>
  <si>
    <t>23,46</t>
  </si>
  <si>
    <t>Sumidero desarenador A.A. Concreto 17.1 Mpa + reja</t>
  </si>
  <si>
    <t>23,47</t>
  </si>
  <si>
    <t>Sumidero desarenador A.A. Concreto 24.5 Mpa doble reja</t>
  </si>
  <si>
    <t>23,48</t>
  </si>
  <si>
    <t>Sumidero desarenador A.A. Concreto 24.5 Mpa tipo ventana</t>
  </si>
  <si>
    <t>23,49</t>
  </si>
  <si>
    <t>Sumidero longitud W=0.25 m concreto 24.5 Mpa + reja</t>
  </si>
  <si>
    <t>23,50</t>
  </si>
  <si>
    <t>Sumidero longitud W=0.40 m concreto 24.5 Mpa + reja</t>
  </si>
  <si>
    <t>23,51</t>
  </si>
  <si>
    <t>Tapa cámara alcantarillado A.A. HF + aro Manhole</t>
  </si>
  <si>
    <t>23,52</t>
  </si>
  <si>
    <t>Tapa cámara alcantarillado concreto 20.7 Mpa + aro lámina</t>
  </si>
  <si>
    <t>23,53</t>
  </si>
  <si>
    <t>Tapa cámara alcantarillado en polipropileno de alto impacto</t>
  </si>
  <si>
    <t>23,54</t>
  </si>
  <si>
    <t>Tapa canal rápidas</t>
  </si>
  <si>
    <t>23,55</t>
  </si>
  <si>
    <t>Tubería en concreto reforzado unión caucho 24" clase 2</t>
  </si>
  <si>
    <t>23,56</t>
  </si>
  <si>
    <t>Tubería en concreto reforzado unión caucho 27" clase 2</t>
  </si>
  <si>
    <t>23,57</t>
  </si>
  <si>
    <t>Tubería en concreto reforzado unión caucho 30" clase 2</t>
  </si>
  <si>
    <t>23,58</t>
  </si>
  <si>
    <t>Tubería en concreto reforzado unión caucho 36" clase 2</t>
  </si>
  <si>
    <t>23,59</t>
  </si>
  <si>
    <t>Tubería en concreto reforzado unión caucho 40" clase 2</t>
  </si>
  <si>
    <t>23,60</t>
  </si>
  <si>
    <t>Tubería en concreto reforzado unión caucho 44" clase 2</t>
  </si>
  <si>
    <t>23,61</t>
  </si>
  <si>
    <t>Tubería en concreto reforzado unión caucho 48" clase 2</t>
  </si>
  <si>
    <t>23,62</t>
  </si>
  <si>
    <t>Tubería en concreto reforzado unión caucho 52" clase 2</t>
  </si>
  <si>
    <t>23,63</t>
  </si>
  <si>
    <t>Tubería en concreto reforzado unión caucho 60" clase 2</t>
  </si>
  <si>
    <t>23,64</t>
  </si>
  <si>
    <t>Tubería perforada PVC Ø = 4"</t>
  </si>
  <si>
    <t>23,65</t>
  </si>
  <si>
    <t>Tubería PVC Novafort 110 mm</t>
  </si>
  <si>
    <t>23,66</t>
  </si>
  <si>
    <t>Tubería PVC Novafort 160 mm</t>
  </si>
  <si>
    <t>23,67</t>
  </si>
  <si>
    <t>Tubería PVC Novafort 200 mm</t>
  </si>
  <si>
    <t>23,68</t>
  </si>
  <si>
    <t>Tubería PVC Novafort 250 mm</t>
  </si>
  <si>
    <t>23,69</t>
  </si>
  <si>
    <t>Tubería PVC Novafort 315 mm</t>
  </si>
  <si>
    <t>23,70</t>
  </si>
  <si>
    <t>Tubería PVC Novafort 355 mm</t>
  </si>
  <si>
    <t>23,71</t>
  </si>
  <si>
    <t>Tubería PVC Novafort 400 mm</t>
  </si>
  <si>
    <t>23,72</t>
  </si>
  <si>
    <t>Tubería PVC Novafort 450 mm</t>
  </si>
  <si>
    <t>23,73</t>
  </si>
  <si>
    <t>Tubería PVC Novafort 500 mm</t>
  </si>
  <si>
    <t>23,74</t>
  </si>
  <si>
    <t>Tubería PVC Novaloc 24"</t>
  </si>
  <si>
    <t>23,75</t>
  </si>
  <si>
    <t>Tubería PVC Novaloc 27"</t>
  </si>
  <si>
    <t>23,76</t>
  </si>
  <si>
    <t>Tubería PVC Novaloc 30"</t>
  </si>
  <si>
    <t>23,77</t>
  </si>
  <si>
    <t>Tubería PVC Novaloc 33"</t>
  </si>
  <si>
    <t>23,78</t>
  </si>
  <si>
    <t>Tubería PVC Novaloc 36"</t>
  </si>
  <si>
    <t>23,79</t>
  </si>
  <si>
    <t>Tubería PVC Novaloc 39"</t>
  </si>
  <si>
    <t>23,80</t>
  </si>
  <si>
    <t>Tubería PVC Novaloc 42"</t>
  </si>
  <si>
    <t>23,81</t>
  </si>
  <si>
    <t>Zarpa concreto ciclópeo estribo aletas</t>
  </si>
  <si>
    <t>24</t>
  </si>
  <si>
    <t>RED DE ACUEDUCTO</t>
  </si>
  <si>
    <t>24,01</t>
  </si>
  <si>
    <t>Adaptadores macho PVC presión Ø 3"</t>
  </si>
  <si>
    <t>24,02</t>
  </si>
  <si>
    <t>Caja válvula + tapa en polipropileno</t>
  </si>
  <si>
    <t>24,03</t>
  </si>
  <si>
    <t>Caja medidor de agua</t>
  </si>
  <si>
    <t>24,04</t>
  </si>
  <si>
    <t>Canaleta Parshall en fibra de vidrio w=1" (5 lts/seg)</t>
  </si>
  <si>
    <t>24,05</t>
  </si>
  <si>
    <t>Canaleta Parshall en fibra de vidrio w=2" (10 lts/seg)</t>
  </si>
  <si>
    <t>24,06</t>
  </si>
  <si>
    <t>Codo PVC presion 2"</t>
  </si>
  <si>
    <t>24,07</t>
  </si>
  <si>
    <t>Codo PVC presion 3"</t>
  </si>
  <si>
    <t>24,08</t>
  </si>
  <si>
    <t>Codo PVC presion 4"</t>
  </si>
  <si>
    <t>24,09</t>
  </si>
  <si>
    <t>Codo PVC presion 6"</t>
  </si>
  <si>
    <t>24,10</t>
  </si>
  <si>
    <t>Pasamuros 2"</t>
  </si>
  <si>
    <t>24,11</t>
  </si>
  <si>
    <t>Remoción de servicios existentes de acueducto y/o alcantarillado</t>
  </si>
  <si>
    <t>24,12</t>
  </si>
  <si>
    <t>Tuberia PEAD PN 10 DN 50 mm</t>
  </si>
  <si>
    <t>24,13</t>
  </si>
  <si>
    <t>Tuberia PEAD PN 10 DN 75 mm</t>
  </si>
  <si>
    <t>24,14</t>
  </si>
  <si>
    <t>Tuberia PEAD PN 10 DN 90 mm</t>
  </si>
  <si>
    <t>24,15</t>
  </si>
  <si>
    <t>Tuberia PEAD PN 10 DN 110 mm</t>
  </si>
  <si>
    <t>24,16</t>
  </si>
  <si>
    <t>Tuberia PEAD PN 10 DN 160 mm</t>
  </si>
  <si>
    <t>24,17</t>
  </si>
  <si>
    <t>Tuberia PEAD PN 10 DN 200 mm</t>
  </si>
  <si>
    <t>24,18</t>
  </si>
  <si>
    <t>Tubería PVC U-Z 2" RDE 21</t>
  </si>
  <si>
    <t>24,19</t>
  </si>
  <si>
    <t>Tubería PVC U-Z 2-1/2" RDE 21</t>
  </si>
  <si>
    <t>24,20</t>
  </si>
  <si>
    <t>Tubería PVC U-Z 3" RDE 21</t>
  </si>
  <si>
    <t>24,21</t>
  </si>
  <si>
    <t>Tubería PVC U-Z 4" RDE 21</t>
  </si>
  <si>
    <t>24,22</t>
  </si>
  <si>
    <t>Tubería PVC U-Z 6" RDE 21</t>
  </si>
  <si>
    <t>24,23</t>
  </si>
  <si>
    <t>Valvula de entrada 3/4" + acces</t>
  </si>
  <si>
    <t>24,24</t>
  </si>
  <si>
    <t>Valvula de entrada 3"</t>
  </si>
  <si>
    <t>24,25</t>
  </si>
  <si>
    <t>Válvula de globo hierro dúctil Ø2"</t>
  </si>
  <si>
    <t>24,26</t>
  </si>
  <si>
    <t>Válvula de globo hierro dúctil Ø2 1/2"</t>
  </si>
  <si>
    <t>24,27</t>
  </si>
  <si>
    <t>Válvula de globo hierro dúctil Ø3"</t>
  </si>
  <si>
    <t>24,28</t>
  </si>
  <si>
    <t>Válvula de globo hierro dúctil Ø4"</t>
  </si>
  <si>
    <t>25</t>
  </si>
  <si>
    <t>REDES ELECTRICAS</t>
  </si>
  <si>
    <t>25,01</t>
  </si>
  <si>
    <t xml:space="preserve">Acometida 2xNo.4(F)+1xNo.4(T) Cu AWG THHN </t>
  </si>
  <si>
    <t>25,02</t>
  </si>
  <si>
    <t>Acometida 3 x XLPE No. 1/0 AWG, 15 kv 133% Sin Ducto</t>
  </si>
  <si>
    <t>25,03</t>
  </si>
  <si>
    <t>Acometida 3 x XLPE No. 4/0 AWG, 15 kv 133% (13,2 KV)</t>
  </si>
  <si>
    <t>25,04</t>
  </si>
  <si>
    <t>Acometida aerea  Al desnudo ACSR de 3 No. 2/0 AWG</t>
  </si>
  <si>
    <t>25,05</t>
  </si>
  <si>
    <t>Acometida aerea  Al desnudo ACSR de 3 No. 4/0 AWG</t>
  </si>
  <si>
    <t>25,06</t>
  </si>
  <si>
    <t xml:space="preserve">Acometida Al Semislado ACSR ecologico de 3 x XLPE No. 4/0 THW, 35 KV </t>
  </si>
  <si>
    <t>25,07</t>
  </si>
  <si>
    <t>Acometida aluminio Serie 8000 2xNo4(F)+1xNo.6(T), sin ducto</t>
  </si>
  <si>
    <t>25,08</t>
  </si>
  <si>
    <t>Acometida aluminio Serie 8000 2xNo.2(F)+1xNo.6(T), sin ducto</t>
  </si>
  <si>
    <t>25,09</t>
  </si>
  <si>
    <t>Acometida eléctrica incluye cable concéntrico para pegue exterior</t>
  </si>
  <si>
    <t>25,10</t>
  </si>
  <si>
    <t>Base de concreto y anclajes para poste metálico de 12m</t>
  </si>
  <si>
    <t>25,11</t>
  </si>
  <si>
    <t>Cámara en concreto 0.6x0.6x0.8m libre en prado y tapa de seguridad, Tipo CALE Norma EEP para red de alumbrado público</t>
  </si>
  <si>
    <t>25,12</t>
  </si>
  <si>
    <t>Conector para empalme de derivación gel marca TYCO GHFC1-90</t>
  </si>
  <si>
    <t>25,13</t>
  </si>
  <si>
    <t>Ducto conduit PVC 2ø2" DB 2 x metro, enterrado a profundidad de 0.80m</t>
  </si>
  <si>
    <t>25,14</t>
  </si>
  <si>
    <t>Luminaria alumbrado público, dimerizable 100-277 Vac, 60W, 5300 Lm, VU&gt;=100000 h L70 B10, CRI &gt;=70, IP 66, IK 08, 4000K, eficacia &gt;=135 Lm/W, THDi &lt;=20%, FP&gt;=0.9. base fotocelda 7 pines, difusor en vidrio alta transmitancia. Apta para instalación sistema integral de tele gestión</t>
  </si>
  <si>
    <t>25,15</t>
  </si>
  <si>
    <t>Luminaria alumbrado público, dimerizable 100-277 Vac, 100W, 9000 Lm, VU&gt;=100000 h L70 B10, CRI &gt;=70, IP 66, IK 08, 4000K, eficacia &gt;=135 Lm/W, THDi &lt;=20%, FP&gt;=0.9. base fotocelda 7 pines, difusor en vidrio alta transmitancia. Apta para instalación sistema integral de tele gestión</t>
  </si>
  <si>
    <t>25,16</t>
  </si>
  <si>
    <t>Luminaria alumbrado público, dimerizable 100-277 Vac, 120W, 18240 Lm, VU&gt;=100000 h L70 B10, CRI &gt;=70, IP 66, IK 08, 4000K, eficacia &gt;=135 Lm/W, THDi &lt;=20%, FP&gt;=0.9. base fotocelda 7 pines, difusor en vidrio alta transmitancia. Apta para instalación sistema integral de tele gestión.</t>
  </si>
  <si>
    <t>25,17</t>
  </si>
  <si>
    <t>Luminaria alumbrado público, dimerizable 100-277 Vac, 160W, 23660 Lm, VU&gt;=100000 h L70 B10, CRI &gt;=70, IP 66, IK 08, 4000K, eficacia &gt;=135 Lm/W, THDi &lt;=20%, FP&gt;=0.9. base fotocelda 7 pines, difusor en vidrio alta transmitancia. Apta para instalación sistema integral de tele gestión</t>
  </si>
  <si>
    <t>25,18</t>
  </si>
  <si>
    <t>Luminaria alumbrado público, dimerizable 100-277 Vac, 200W, 31800 Lm, VU&gt;=100000 h L70 B10, CRI &gt;=70, IP 66, IK 08, 4000K, eficacia &gt;=135 Lm/W, THDi &lt;=20%, FP&gt;=0.9. base fotocelda 7 pines, difusor en vidrio alta transmitancia. Apta para instalación sistema integral de tele gestión</t>
  </si>
  <si>
    <t>25,19</t>
  </si>
  <si>
    <t>Luminaria decorativa LED tipo bolardo 120 Vac, 700 lm, 10W, eficacia 70 Lm/W, 3000K, IRC &gt;80, IP 65, IK 09_Alto 80 cm ancho 12 cm largo 8 cm, difusor transparente</t>
  </si>
  <si>
    <t>25,20</t>
  </si>
  <si>
    <t>Luminaria decorativa LED tipo bolardo para sendero en acero inoxidable 120V, 700 Lm, 10W, eficacia 70 Lm/W, 3000K, IRC &gt;80, IP 65, IK 09_Alto 45cm diámetro 12 cm, difusor transparente</t>
  </si>
  <si>
    <t>25,21</t>
  </si>
  <si>
    <t>Luminaria Downligth tipo spot redondo LED 100-240 Vac, 7 w, 580 lm, eficacia&gt;= 65lm/w, VU 20000h@l70</t>
  </si>
  <si>
    <t>25,22</t>
  </si>
  <si>
    <t>Luminaria exterior LED tipo tortuga 12w, 6500k, 1200 lm, ip65, 120-277v, eficacia &gt;=50 lm/w, clase 1, IRC &gt;=80, ik 10, VU&gt;= 50000@l70</t>
  </si>
  <si>
    <t>25,23</t>
  </si>
  <si>
    <t>Luminaria LED cuadrada para área clasificada 120-277 Vac, 100w, 13000 lm 5000k, eficacia&gt;= 100lm/w, VU&gt;= 50000h@l70</t>
  </si>
  <si>
    <t>25,24</t>
  </si>
  <si>
    <t>Luminaria LED cuadrada para área clasificada 120-277 Vac, 150w, 19500 lm 5000k, eficacia&gt;= 100lm/w, VU&gt;= 50000h@l70</t>
  </si>
  <si>
    <t>25,25</t>
  </si>
  <si>
    <t>Luminaria LED hermética sobreponer/suspender 120-277 Vac, 18w, 6500k, 2200lm, VU&gt;= 30000h@l70, fp&gt;= 0.9</t>
  </si>
  <si>
    <t>25,26</t>
  </si>
  <si>
    <t>Luminaria LED hermética sobreponer/suspender 120-277 Vac, 36w, 6500k, 4500lm, VU&gt;= 30000h@l70, fp&gt;= 0.9</t>
  </si>
  <si>
    <t>25,27</t>
  </si>
  <si>
    <t>Luminaria LED hermética sobreponer/suspender 120-277 Vac, 50w, 6500k, 5300lm, VU&gt;= 30000h@l70, fp&gt;= 0.9</t>
  </si>
  <si>
    <t>25,28</t>
  </si>
  <si>
    <t>Luminaria LED High Bay suspender cuadrada 120-277 Vac, 110w, 15200 lm 5000 k</t>
  </si>
  <si>
    <t>25,29</t>
  </si>
  <si>
    <t>Luminaria LED High Bay suspender cuadrada 120-277 Vac, 165w, 22400 lm 5000 k</t>
  </si>
  <si>
    <t>25,30</t>
  </si>
  <si>
    <t>Luminaria LED High Bay suspender redonda 120-277 Vac, 100w, 15800 lm 5700 k, eficacia&gt;= 100lm/w, VU&gt;= 50000h@l70, fp&gt;= 0.9</t>
  </si>
  <si>
    <t>25,31</t>
  </si>
  <si>
    <t>Luminaria LED High Bay suspender redonda 120-277 Vac, 150w, 24100 lm 5700 k, eficacia&gt;= 100lm/w, VU&gt;= 50000h@l70, fp&gt;= 0.9</t>
  </si>
  <si>
    <t>25,32</t>
  </si>
  <si>
    <t>Luminaria LED High Bay suspender redonda 120-277 Vac, 200w, 29600 lm 5700 k, eficacia&gt;= 100lm/w, VU&gt;= 50000h@l70, fp&gt;= 0.9</t>
  </si>
  <si>
    <t>25,33</t>
  </si>
  <si>
    <t>Luminaria LED High Bay suspender redonda 120-277 Vac, 240w, 36000 lm 5700 k, eficacia&gt;= 100lm/w, VU&gt;= 50000h@l70, fp&gt;= 0.9</t>
  </si>
  <si>
    <t>25,34</t>
  </si>
  <si>
    <t>Luminaria LED lineal incrustar/suspender 20w, 1600 lm 4000k, eficacia&gt;=75 lm/w, VU &gt;=50000h@l70</t>
  </si>
  <si>
    <t>25,35</t>
  </si>
  <si>
    <t>Luminaria LED lineal incrustar/suspender 40w, 3200 lm 4000k, eficacia&gt;=75 lm/w, VU &gt;=50000h@l70</t>
  </si>
  <si>
    <t>25,36</t>
  </si>
  <si>
    <t>Luminaria LED lineal incrustar/suspender 60w, 4800 lm 4000k, eficacia&gt;=75 lm/w, VU &gt;=50000h@l70</t>
  </si>
  <si>
    <t>25,37</t>
  </si>
  <si>
    <t>Luminaria LED lineal incrustar/suspender 80w, 6400 lm 4000k, eficacia&gt;=75 lm/w, VU &gt;=50000h@l70</t>
  </si>
  <si>
    <t>25,38</t>
  </si>
  <si>
    <t>Luminaria LED lineal para área clasificada 120-277 Vac, 40w, 5480 lm 5000k, eficacia&gt;= 100lm/w, VU&gt;= 50000h@l70</t>
  </si>
  <si>
    <t>25,39</t>
  </si>
  <si>
    <t>Luminaria LED lineal para área clasificada 120-277 Vac, 80w, 10960 lm 5000k, eficacia&gt;= 100lm/w, VU&gt;= 50000h@l70</t>
  </si>
  <si>
    <t>25,40</t>
  </si>
  <si>
    <t>Luminaria LED redonda para área clasificada 120-277 Vac, 80w, 13600 lm 5000k, eficacia&gt;= 100lm/w, VU&gt;= 50000h@l70</t>
  </si>
  <si>
    <t>25,41</t>
  </si>
  <si>
    <t>Luminaria LED redonda para área clasificada 120-277 Vac, 150w, 22500 lm 5000k, eficacia&gt;= 100lm/w, VU&gt;= 50000h@l70</t>
  </si>
  <si>
    <t>25,42</t>
  </si>
  <si>
    <t>Luminaria LED tipo proyector 100-277 Vac, 100 W, 14300 Lm, IP 65, IK 08, IRC&gt;70, VU &gt;=50.000 h L70 B50. eficacia &gt;=100 Lm/W, 6500 K</t>
  </si>
  <si>
    <t>25,43</t>
  </si>
  <si>
    <t>Luminaria LED tipo proyector 100-277 Vac, 150 W, 22200 Lm, IP 65, IK 08, IRC&gt;70, VU &gt;=50.000 h L70 B50. eficacia &gt;=100 Lm/W, 6500 K</t>
  </si>
  <si>
    <t>25,44</t>
  </si>
  <si>
    <t>Luminaria LED tipo proyector 100-277 Vac, 200 W, 28800 Lm, IP 65, IK 08, IRC&gt;70, VU &gt;=50.000 h L70 B50. eficacia &gt;=100 Lm/W, 6500 K</t>
  </si>
  <si>
    <t>25,45</t>
  </si>
  <si>
    <t>Luminaria LED tipo reflector 100-277 Vac, 100 W, 12000 Lm, IP 65, IK 08, IRC&gt;70, VU &gt;=50.000 h L70 B50. eficacia &gt;=100 Lm/W, 6500 K</t>
  </si>
  <si>
    <t>25,46</t>
  </si>
  <si>
    <t>Luminaria LED tipo reflector 100-277 Vac, 150 W, 18000 Lm, IP 65, IK 08, IRC&gt;70, VU &gt;=50.000 h L70 B50. eficacia &gt;=100 Lm/W, 6500 K</t>
  </si>
  <si>
    <t>25,47</t>
  </si>
  <si>
    <t>Luminaria LED tipo reflector 100-277 Vac, 200 W, 24000 Lm, IP 65, IK 08, IRC&gt;70, VU &gt;=50.000 h L70 B50. eficacia &gt;=100 Lm/W, 6500 K</t>
  </si>
  <si>
    <t>25,48</t>
  </si>
  <si>
    <t>Luminaria LED tipo reflector 100-277 Vac, 300 W, 36000 Lm, IP 65, IK 08, IRC&gt;70, VU &gt;=50.000 h L70 B50. eficacia &gt;=100 Lm/W, 6500 K</t>
  </si>
  <si>
    <t>25,49</t>
  </si>
  <si>
    <t>Luminaria LED tipo reflector 100-277 Vac, 400 W, 48000 Lm, IP 65, IK 08, IRC&gt;70, VU &gt;=50.000 h L70 B50. eficacia &gt;=100 Lm/W, 6500 K</t>
  </si>
  <si>
    <t>25,50</t>
  </si>
  <si>
    <t>Luminaria LED Uplight empotrado en piso 3w, 180 lm 3000k blanco cálido para iluminación exterior, diámetro 20 cm, VU&gt;=30000h@l70, ip67, ik 10</t>
  </si>
  <si>
    <t>25,51</t>
  </si>
  <si>
    <t>Luminaria LED Uplight empotrado en piso 9w, 720 lm 3000k blanco cálido para iluminación exterior, diámetro 20 cm, VU&gt;=30000h@l70, ip67, ik 10</t>
  </si>
  <si>
    <t>25,52</t>
  </si>
  <si>
    <t>Luminaria LED Uplight empotrado en piso 18w, 1440 lm 3000k blanco cálido para iluminación exterior, diámetro 20 cm, VU&gt;=30000h@l70, ip67, ik 10</t>
  </si>
  <si>
    <t>25,53</t>
  </si>
  <si>
    <t>Luminaria perimetral LED tipo aplique en fachada 9w, 4000k, 615lm, ip65, 120-277v, eficacia &gt;= 100 lm/w, clase 1, IRC &gt;=80, ik09, VU&gt;= 50000@l70</t>
  </si>
  <si>
    <t>25,54</t>
  </si>
  <si>
    <t>Luminaria perimetral LED tipo aplique en fachada 30w, 4000k, 4050lm, ip65, 120-277v, eficacia &gt;= 100 lm/w, clase 1, IRC &gt;=80, ik09, VU&gt;= 50000@l70</t>
  </si>
  <si>
    <t>25,55</t>
  </si>
  <si>
    <t>Luminaria perimetral LED tipo aplique en fachada 50w, 4000k, 6750lm, ip65, 120-277v, eficacia &gt;= 100 lm/w, clase 1, IRC &gt;=80, ik09, VU&gt;= 50000@l70</t>
  </si>
  <si>
    <t>25,56</t>
  </si>
  <si>
    <t>Luminaria perimetral tipo aplique en LED luz directa 100-240 Vac, 7W, 615 lm, 50.000 horas, incluye extensión eléctrica encauchetada de 3X14 AWG, conectores certificados y clavija</t>
  </si>
  <si>
    <t>25,57</t>
  </si>
  <si>
    <t>Luminaria tipo cinta en LED luz directa incrustar/suspender 100-240 Vac, 19w, 615lm, eficacia&gt;= 70lm/w, VU&gt;= 20000h@l70b50</t>
  </si>
  <si>
    <t>25,58</t>
  </si>
  <si>
    <t>LED luminaria tipo campana Inv. parque 40W, 4000K, 5400lm, IP65, 120-277V, 135 Lm/W, Clase 1, IRC &gt;=80</t>
  </si>
  <si>
    <t>25,59</t>
  </si>
  <si>
    <t>LED luminaria tipo campana Inv. parque 120-277 Vac, 60W, 4000K, 8100lm, IP65, 120-277V, 135 Lm/W, Clase 1, IRC &gt;=80</t>
  </si>
  <si>
    <t>25,60</t>
  </si>
  <si>
    <t>Luminaria tipo LED decorativa exterior 120-277 Vac, 6W, 3000K, 600lm, IP65, Clase 1, IRC &gt;=80, eficacia &gt;= 50 lm/W, VU&gt;= 50000h@L70</t>
  </si>
  <si>
    <t>25,61</t>
  </si>
  <si>
    <t>Luminaria tipo LED decorativa exterior 120-277 Vac, 9W, 3000K, 800lm, IIP65, Clase 1, IRC &gt;=80, eficacia &gt;= 50 lm/W, VU&gt;= 50000h@L70</t>
  </si>
  <si>
    <t>25,62</t>
  </si>
  <si>
    <t>Luminaria tipo LED decorativa exterior 120-277 Vac, 15W, 3000K, 1200lm, IP65, Clase 1, IRC &gt;=80, eficacia &gt;= 50 lm/W, VU&gt;= 50000h@L70</t>
  </si>
  <si>
    <t>25,63</t>
  </si>
  <si>
    <t>Panel LED incrustar para área limpia incrustar/suspender Class 1,41 W, eficacia &gt;= 80 lm/W, VU&gt;= 50000 h @L70, medidas= 1200x300 mm, 4000 lm, 4000 K, CRI&gt;=90, UGR19, IP 65, IK 07, cierre óptico en vidrio</t>
  </si>
  <si>
    <t>25,64</t>
  </si>
  <si>
    <t>Panel LED incrustar para área limpia incrustar/suspender Class 1,41 W, eficacia &gt;= 80 lm/W, VU&gt;= 50000 h @L70, medidas= 600x600 mm, 4000 lm, 4000 K, CRI&gt;=90, UGR19, IP 65, IK 07, cierre óptico en vidrio</t>
  </si>
  <si>
    <t>25,65</t>
  </si>
  <si>
    <t>Panel LED incrustar/sobreponer 3200lm 40 w medida = 60x60cm 120-277v, CRI &gt;=80, fp&gt;0.9, eficacia&gt;= 80 lm/w, VU&gt;= 30000h@l70</t>
  </si>
  <si>
    <t>25,66</t>
  </si>
  <si>
    <t>Panel LED incrustar/sobreponer 3200lm 40 w medida = 30x120cm 120-277v, CRI &gt;=80, fp&gt;0.9, eficacia&gt;= 80 lm/w, VU&gt;= 30000h@l70</t>
  </si>
  <si>
    <t>25,67</t>
  </si>
  <si>
    <t xml:space="preserve">Planta de emergencia 100KW </t>
  </si>
  <si>
    <t>25,68</t>
  </si>
  <si>
    <t>Poste ferro concreto 8m X 510 Kgf</t>
  </si>
  <si>
    <t>25,69</t>
  </si>
  <si>
    <t>Poste ferro concreto 10m X 510 Kgf</t>
  </si>
  <si>
    <t>25,70</t>
  </si>
  <si>
    <t>Poste ferro concreto 12m X 750 Kgf</t>
  </si>
  <si>
    <t>25,71</t>
  </si>
  <si>
    <t>Poste metálico 12 m faceteado, seccionado (1er segmento de 1.5 m) + 1 Brazo de 1 m x 2"+1 Brazo de 1 m x 2", 750 Kgf</t>
  </si>
  <si>
    <t>25,72</t>
  </si>
  <si>
    <t>Poste metálico 12 m faceteado, seccionado (1er segmento de 1.5 m) + 1 Brazo de 2 m x 2", 750 Kgf</t>
  </si>
  <si>
    <t>25,73</t>
  </si>
  <si>
    <t>Puesta a tierra de postes y mástiles metálicos. cable de cobre no. 6 a llena de tierra de la red de ap</t>
  </si>
  <si>
    <t>25,74</t>
  </si>
  <si>
    <t>Transformador monofasico aceite 15 KVA 13,2KV 120/240</t>
  </si>
  <si>
    <t>25,75</t>
  </si>
  <si>
    <t>Transformador monofasico aceite 25 KVA13,2KV 120/240</t>
  </si>
  <si>
    <t>25,76</t>
  </si>
  <si>
    <t>Transformador monofasico aceite 37,5 KVA 13,2KV 120/240</t>
  </si>
  <si>
    <t>25,77</t>
  </si>
  <si>
    <t>Transformador monofasico aceite 75 KVA13,2KV 120/240</t>
  </si>
  <si>
    <t>25,78</t>
  </si>
  <si>
    <t>Transformador trifásico en aceite 30 KVA 13,2KV 220/127V</t>
  </si>
  <si>
    <t>25,79</t>
  </si>
  <si>
    <t>Transformador trifásico en aceite 45 KVA 13,2KV 208/120V Plena</t>
  </si>
  <si>
    <t>25,80</t>
  </si>
  <si>
    <t>Transformador trifásico en aceite 45 KVA 13,2KV 220/127V</t>
  </si>
  <si>
    <t>25,81</t>
  </si>
  <si>
    <t>Transformador trifásico en aceite 75 KVA 13,2KV 208/120V plena</t>
  </si>
  <si>
    <t>25,82</t>
  </si>
  <si>
    <t>Transformador trifásico en aceite 75 KVA 13,2KV 220/127V plena</t>
  </si>
  <si>
    <t>25,83</t>
  </si>
  <si>
    <t xml:space="preserve">Transformador trifásico en aceite 112,5 KVA 13,2 KV 220/127V </t>
  </si>
  <si>
    <t>26</t>
  </si>
  <si>
    <t>SEÑALIZACION Y SEGURIDAD VIAL</t>
  </si>
  <si>
    <t>26,01</t>
  </si>
  <si>
    <t>Pintura tráfico cruces y marcas viales (sobre concreto asfaltico)</t>
  </si>
  <si>
    <t>26,02</t>
  </si>
  <si>
    <t>Pintura tráfico cruces y marcas viales (sobre concreto hidráulico)</t>
  </si>
  <si>
    <t>26,03</t>
  </si>
  <si>
    <t>Pintura tráfico flechas dirección</t>
  </si>
  <si>
    <t>26,04</t>
  </si>
  <si>
    <t>Pintura tráfico línea carril/borde vía (sobre concreto asfaltico)</t>
  </si>
  <si>
    <t>26,05</t>
  </si>
  <si>
    <t>Pintura tráfico línea carril/borde vía (sobre concreto hidráulico)</t>
  </si>
  <si>
    <t>26,06</t>
  </si>
  <si>
    <t>Pintura tráfico línea demarca canchas</t>
  </si>
  <si>
    <t>26,07</t>
  </si>
  <si>
    <t>26,08</t>
  </si>
  <si>
    <t>Señal reglamentaria reflectiva Ø=0.6m</t>
  </si>
  <si>
    <t>26,09</t>
  </si>
  <si>
    <t>Señal reglamentaria reflectiva Ø=1.2m</t>
  </si>
  <si>
    <t>26,10</t>
  </si>
  <si>
    <t>Tachas reflectivas unidireccionales</t>
  </si>
  <si>
    <t>26,11</t>
  </si>
  <si>
    <t>Terminal barrera guardavía galvanizada</t>
  </si>
  <si>
    <t>27</t>
  </si>
  <si>
    <t>URBANISMO</t>
  </si>
  <si>
    <t>27,01</t>
  </si>
  <si>
    <t>Andén C 20.7 Mpa E=0.07m</t>
  </si>
  <si>
    <t>27,02</t>
  </si>
  <si>
    <t>Anden C 20.7 Mpa E=0.10m</t>
  </si>
  <si>
    <t>27,03</t>
  </si>
  <si>
    <t>Adoquín 8x10x20 color 1 (rojo, negro, verde oliva, jaspeado, marrón, arena, anticado, ocre)</t>
  </si>
  <si>
    <t>27,04</t>
  </si>
  <si>
    <t>Adoquín 6x10x20 color 1 (rojo, negro, verde oliva, jaspeado, marrón, arena, anticado, ocre)</t>
  </si>
  <si>
    <t>27,05</t>
  </si>
  <si>
    <t>Baranda en acero inoxidable (tubería principal 2" + 3 hilos de 1/2" + parales de 1 1/2")</t>
  </si>
  <si>
    <t>27,06</t>
  </si>
  <si>
    <t>Baranda tubería principal 1 1/2" (3 hilos)</t>
  </si>
  <si>
    <t>27,07</t>
  </si>
  <si>
    <t>Baranda tubular principal 2" (3 hilos)</t>
  </si>
  <si>
    <t>27,08</t>
  </si>
  <si>
    <t>Baranda tubular principal 2" (4 hilos)</t>
  </si>
  <si>
    <t>27,09</t>
  </si>
  <si>
    <t>Baranda tubular principal 3/4"</t>
  </si>
  <si>
    <t>27,10</t>
  </si>
  <si>
    <t>Baranda tubular principal 4"</t>
  </si>
  <si>
    <t>27,11</t>
  </si>
  <si>
    <t>Barrera guardavía acero galvanizado</t>
  </si>
  <si>
    <t>27,12</t>
  </si>
  <si>
    <t>Barrera vía resalto c 20.7Mpa poli acostado</t>
  </si>
  <si>
    <t>27,13</t>
  </si>
  <si>
    <t>Bolardo en hierro fundido tipo M-63</t>
  </si>
  <si>
    <t>27,14</t>
  </si>
  <si>
    <t>Bordillo C 20.7 Mpa sobre puente sección B &lt; 0.06 m3/m</t>
  </si>
  <si>
    <t>27,15</t>
  </si>
  <si>
    <t>Bordillo en concreto 20.7 Mpa 10x12 cm</t>
  </si>
  <si>
    <t>27,16</t>
  </si>
  <si>
    <t>Bordillo en concreto 20.7 Mpa 15x10 cm</t>
  </si>
  <si>
    <t>27,17</t>
  </si>
  <si>
    <t>Bordillo en concreto 20.7 Mpa 20x10 cm</t>
  </si>
  <si>
    <t>27,18</t>
  </si>
  <si>
    <t>Concreto estampado para andenes colores variados</t>
  </si>
  <si>
    <t>27,19</t>
  </si>
  <si>
    <t>Contenedor de raíz + alcorque</t>
  </si>
  <si>
    <t>27,20</t>
  </si>
  <si>
    <t>Contenedor de raíz oculto sin alcorque</t>
  </si>
  <si>
    <t>27,21</t>
  </si>
  <si>
    <t>Contenedor de basura industrial - Plastico</t>
  </si>
  <si>
    <t>27,22</t>
  </si>
  <si>
    <t>Empradización zonas verdes</t>
  </si>
  <si>
    <t>27,23</t>
  </si>
  <si>
    <t>Instalación adoquín</t>
  </si>
  <si>
    <t>27,24</t>
  </si>
  <si>
    <t>Muro G/rueda C 20.7 Mpa E=0.3/0.15m H=0.6</t>
  </si>
  <si>
    <t>27,25</t>
  </si>
  <si>
    <t>Plaqueta sendero 40x40x5 cm</t>
  </si>
  <si>
    <t>27,26</t>
  </si>
  <si>
    <t>Rampa en concreto 20.7 Mpa acceso cebras</t>
  </si>
  <si>
    <t>27,27</t>
  </si>
  <si>
    <t>Señales podo táctiles (losetas línea guía)</t>
  </si>
  <si>
    <t>27,28</t>
  </si>
  <si>
    <t>Señales podo táctiles (losetas línea alerta)</t>
  </si>
  <si>
    <t>27,29</t>
  </si>
  <si>
    <t>Sardinel curvo prefabricado tipo A10</t>
  </si>
  <si>
    <t>27,30</t>
  </si>
  <si>
    <t>Sardinel prefabricado 80x45x15 cm</t>
  </si>
  <si>
    <t>27,31</t>
  </si>
  <si>
    <t>27,32</t>
  </si>
  <si>
    <t>Sardinel T1 C 20.7 Mpa sobre /placa 200cm2&lt; área transversal &lt; =380 cm2</t>
  </si>
  <si>
    <t>27,33</t>
  </si>
  <si>
    <t>Sardinel T2 C 20.7 Mpa sobre / suelo 500cm2&gt; área transversal &lt; =1000 cm2</t>
  </si>
  <si>
    <t>27,34</t>
  </si>
  <si>
    <t>Separador tipo New Yersey in situ</t>
  </si>
  <si>
    <t>27,35</t>
  </si>
  <si>
    <t>Separador vial carril prefabricado</t>
  </si>
  <si>
    <t>27,36</t>
  </si>
  <si>
    <t>Siembra / suministro especie ornamental H=1.0m</t>
  </si>
  <si>
    <t>27,37</t>
  </si>
  <si>
    <t>Suministro + siembra de árbol H= 0,5 a 3,0</t>
  </si>
  <si>
    <t>27,38</t>
  </si>
  <si>
    <t>Suministro + siembra de árbol H= 3,0 m</t>
  </si>
  <si>
    <t>27,39</t>
  </si>
  <si>
    <t>Suministro + siembra de palmera H= ≥1.50 m y ≤ 3 m</t>
  </si>
  <si>
    <t>27,40</t>
  </si>
  <si>
    <t>Suministro + riego tierra negra (humus)</t>
  </si>
  <si>
    <t>27,41</t>
  </si>
  <si>
    <t>Suministro e instalación de rebajes (pañoletas) prefabricadas tipo titan A-105, incluye mortero 5 cm</t>
  </si>
  <si>
    <t>28</t>
  </si>
  <si>
    <t>TRANSPORTES</t>
  </si>
  <si>
    <t>28,01</t>
  </si>
  <si>
    <t>Cargue manual + retiro material sobrante incluye el depósito (a escombrera oficial o autorizada)</t>
  </si>
  <si>
    <t>28,02</t>
  </si>
  <si>
    <t>Cargue material mecánico</t>
  </si>
  <si>
    <t>28,03</t>
  </si>
  <si>
    <t>Cargue mecánico + retiro material sobrante incluye el depósito (a escombrera oficial o autorizada)</t>
  </si>
  <si>
    <t>28,04</t>
  </si>
  <si>
    <t>Cargue materiales a hombro</t>
  </si>
  <si>
    <t>HM-M3</t>
  </si>
  <si>
    <t>28,05</t>
  </si>
  <si>
    <t>Sobre acarreo horizontal &gt;100m manual</t>
  </si>
  <si>
    <t>28,06</t>
  </si>
  <si>
    <t>Transporte de material granular/piedra</t>
  </si>
  <si>
    <t>M3-Km</t>
  </si>
  <si>
    <t>28,07</t>
  </si>
  <si>
    <t>Transporte de materiales provenientes de la excavación, demoliciones y derrumbes (≤ 20 km)</t>
  </si>
  <si>
    <t>28,08</t>
  </si>
  <si>
    <t>Transporte insumos varios</t>
  </si>
  <si>
    <t>28,09</t>
  </si>
  <si>
    <t>Transporte material de patio urbano 1 km</t>
  </si>
  <si>
    <t>28,10</t>
  </si>
  <si>
    <t>Transporte material de patio urbano &gt;1 km</t>
  </si>
  <si>
    <t>28,11</t>
  </si>
  <si>
    <t>Transporte y disposición de basuras en relleno sanitario</t>
  </si>
  <si>
    <t>29</t>
  </si>
  <si>
    <t>SIN CODIGO</t>
  </si>
  <si>
    <t>29,01</t>
  </si>
  <si>
    <t>29,02</t>
  </si>
  <si>
    <t>29,03</t>
  </si>
  <si>
    <t>COSTOS DIRECTOS ESTIMADOS</t>
  </si>
  <si>
    <t>A.U</t>
  </si>
  <si>
    <t>COSTOS TOTALES</t>
  </si>
  <si>
    <t>COSTOS INDIRECTOS</t>
  </si>
  <si>
    <t>ÍTEMS</t>
  </si>
  <si>
    <t>Pólizas</t>
  </si>
  <si>
    <t>Según Factura</t>
  </si>
  <si>
    <t>SUBTOTAL COSTOS INDIRECTOS</t>
  </si>
  <si>
    <t>(D)</t>
  </si>
  <si>
    <t>CARGA TRIBUTARIA (%)</t>
  </si>
  <si>
    <t>(E)</t>
  </si>
  <si>
    <t>VALOR COSTOS INDIRECTOS</t>
  </si>
  <si>
    <t>(F) = (D+E)</t>
  </si>
  <si>
    <t>COSTO TOTAL PROYECTO</t>
  </si>
  <si>
    <t>NOTAS:</t>
  </si>
  <si>
    <t>El responsable del proyecto debe suministrar la información necesaria y suficiente para la estructuración y revisión del presupuesto.</t>
  </si>
  <si>
    <t>La secretaría de infraestructura es responsable de la revisión de la información del presupuesto de acuerdo con la base de datos vigente.</t>
  </si>
  <si>
    <t>Los demás componentes son responsabilidad de la dependencia solicitante.</t>
  </si>
  <si>
    <t>Insumos</t>
  </si>
  <si>
    <t>Equipo</t>
  </si>
  <si>
    <t>Transportes</t>
  </si>
  <si>
    <t>M. Obra</t>
  </si>
  <si>
    <t>LISTA DE MATERIALES</t>
  </si>
  <si>
    <t>DESCRIPCION</t>
  </si>
  <si>
    <t>UND</t>
  </si>
  <si>
    <t>VALOR</t>
  </si>
  <si>
    <t>TOTAL</t>
  </si>
  <si>
    <t>CAP1-3</t>
  </si>
  <si>
    <t>CAP4-5</t>
  </si>
  <si>
    <t>CAP6-7</t>
  </si>
  <si>
    <t>CAP8</t>
  </si>
  <si>
    <t>CAP9-13</t>
  </si>
  <si>
    <t>CAP14-15</t>
  </si>
  <si>
    <t>CAP16-18</t>
  </si>
  <si>
    <t>CAP19-22</t>
  </si>
  <si>
    <t>CAP23-24</t>
  </si>
  <si>
    <t>CAP25</t>
  </si>
  <si>
    <t>CAP26-28</t>
  </si>
  <si>
    <t>CAP29</t>
  </si>
  <si>
    <t>OBSERVACIONES</t>
  </si>
  <si>
    <t>Abrazadera metalica para tuberia pvc presion</t>
  </si>
  <si>
    <t>Abrazadera metalica para tuberia pvc sanitaria</t>
  </si>
  <si>
    <t>Abrazadera tipo mecanico 1 1/2"</t>
  </si>
  <si>
    <t>Abrazadera tipo mecanico 1 1/4"</t>
  </si>
  <si>
    <t>Abrazadera tipo mecanico 1"</t>
  </si>
  <si>
    <t>Abrazadera tipo mecanico 2 1/2"</t>
  </si>
  <si>
    <t>Abrazadera tipo mecanico 2"</t>
  </si>
  <si>
    <t>Abrazadera tipo mecanico 4"</t>
  </si>
  <si>
    <t>Accesorios bandeja portacables 10x8 (cruz, te, codo, reduccion) promedio</t>
  </si>
  <si>
    <t>Accesorios bandeja portacables 20x8 (cruz, te, codo, reduccion) promedio</t>
  </si>
  <si>
    <t>Accesorios bandeja portacables 30x8 (cruz, te, codo, reduccion) promedio</t>
  </si>
  <si>
    <t>Accesorios bandeja portacables 40x8 (cruz, te, codo, reduccion) promedio</t>
  </si>
  <si>
    <t>Accesorio bandeja portacables 10x5</t>
  </si>
  <si>
    <t>Accesorio bandeja portacables 20x5</t>
  </si>
  <si>
    <t>Accesorio bandeja portacables 30x5</t>
  </si>
  <si>
    <t>Accesorio bandeja portacables 40x5</t>
  </si>
  <si>
    <t>Accesorio bandeja portacables 60x5</t>
  </si>
  <si>
    <t>Accesorios conduit PVC  Ø=1 1/4"</t>
  </si>
  <si>
    <t xml:space="preserve"> Un </t>
  </si>
  <si>
    <t>Gerfor Feb-2025</t>
  </si>
  <si>
    <t>Accesorios conduit PVC  Ø=1/2"</t>
  </si>
  <si>
    <t xml:space="preserve">Accesorios CPVC presión Ø=1" </t>
  </si>
  <si>
    <t xml:space="preserve">Accesorios CPVC presión Ø=1/2" </t>
  </si>
  <si>
    <t xml:space="preserve">Accesorios CPVC presión Ø=3/4" </t>
  </si>
  <si>
    <t>Accesorios HG 1 1/2"</t>
  </si>
  <si>
    <t>Accesorios HG 1 1/4"</t>
  </si>
  <si>
    <t>Accesorios HG 1"</t>
  </si>
  <si>
    <t>Accesorios HG 1/2"</t>
  </si>
  <si>
    <t>Accesorios HG 2 1/2"</t>
  </si>
  <si>
    <t>Accesorios HG 2"</t>
  </si>
  <si>
    <t>Accesorios HG 3"</t>
  </si>
  <si>
    <t>Accesorios HG 3/4"</t>
  </si>
  <si>
    <t>Accesorios HG 3/8"</t>
  </si>
  <si>
    <t>Accesorios para guarda escoba 1/2" PVC</t>
  </si>
  <si>
    <t xml:space="preserve">Accesorios PVC presión Ø=1 1/2" </t>
  </si>
  <si>
    <t xml:space="preserve">Accesorios PVC presión Ø=1 1/4" </t>
  </si>
  <si>
    <t xml:space="preserve">Accesorios PVC presión Ø=1" </t>
  </si>
  <si>
    <t xml:space="preserve">Accesorios PVC presión Ø=1/2" </t>
  </si>
  <si>
    <t xml:space="preserve">Accesorios PVC presión Ø=2 1/2" </t>
  </si>
  <si>
    <t xml:space="preserve">Accesorios PVC presión Ø=2" </t>
  </si>
  <si>
    <t xml:space="preserve">Accesorios PVC presión Ø=3" </t>
  </si>
  <si>
    <t xml:space="preserve">Accesorios PVC presión Ø=3/4" </t>
  </si>
  <si>
    <t xml:space="preserve">Accesorios PVC presión Ø=4" </t>
  </si>
  <si>
    <t xml:space="preserve">Accesorios PVC presión Ø=6" </t>
  </si>
  <si>
    <t xml:space="preserve">Accesorios PVC sanitarios Ø=1 1/2" </t>
  </si>
  <si>
    <t xml:space="preserve">Accesorios PVC sanitarios Ø=2" </t>
  </si>
  <si>
    <t xml:space="preserve">Accesorios PVC sanitarios Ø=3" </t>
  </si>
  <si>
    <t xml:space="preserve">Accesorios PVC sanitarios Ø=4" </t>
  </si>
  <si>
    <t xml:space="preserve">Accesorios PVC sanitarios Ø=6" </t>
  </si>
  <si>
    <t>Accesorios y empaques canal PVC promedio de U y soporte</t>
  </si>
  <si>
    <t>Acero de Fy = 60.000 psi d&gt;1/4</t>
  </si>
  <si>
    <t>Acero Estructural A36</t>
  </si>
  <si>
    <t>Acople ranurado hierro ductil sch 40 1 1/2"</t>
  </si>
  <si>
    <t>Acople ranurado hierro ductil sch 40 1 1/4"</t>
  </si>
  <si>
    <t>Acople ranurado hierro ductil sch 40 1"</t>
  </si>
  <si>
    <t>Acople ranurado hierro ductil sch 40 2 1/2"</t>
  </si>
  <si>
    <t>Acople ranurado hierro ductil sch 40 2"</t>
  </si>
  <si>
    <t>Acople ranurado hierro ductil sch 40 4"</t>
  </si>
  <si>
    <t>Acronal</t>
  </si>
  <si>
    <t>galón</t>
  </si>
  <si>
    <t>Homecenter abr 2025</t>
  </si>
  <si>
    <t>Adaptador macho PVC presión de Ø=1/2" PF+UAD</t>
  </si>
  <si>
    <t>Adaptador macho PVC presión de Ø=3"</t>
  </si>
  <si>
    <t>Adaptador Terminal EMT de 1/2"</t>
  </si>
  <si>
    <t>Adaptador Terminal EMT de 3/4"</t>
  </si>
  <si>
    <t>Adaptador Terminal EMT de 1"</t>
  </si>
  <si>
    <t>Adaptador Terminal EMT de 2"</t>
  </si>
  <si>
    <t>Adaptador Terminal EMT de 3"</t>
  </si>
  <si>
    <t>Adaptador Terminal PVC de 1/2"</t>
  </si>
  <si>
    <t>Adaptador Terminal PVC de 3/4"</t>
  </si>
  <si>
    <t>Adaptador Terminal PVC de 1"</t>
  </si>
  <si>
    <t>Adaptador Terminal PVC de 1 1/2"</t>
  </si>
  <si>
    <t>Adaptador Terminal PVC de 2"</t>
  </si>
  <si>
    <t>Adaptador Terminal PVC de 3"</t>
  </si>
  <si>
    <t>Adhesivo para piso de vinilo</t>
  </si>
  <si>
    <t>Aditivo acelerante sigunit L54 para concreto lanzado</t>
  </si>
  <si>
    <t>Adoquín peatonal de concreto 6X10X20</t>
  </si>
  <si>
    <t>Adoquín vehicular de concreto 10X10X20</t>
  </si>
  <si>
    <t>Adoquín vehicular de concreto 8X10X20</t>
  </si>
  <si>
    <t>Adoquín vehicular de concreto 9X10X20</t>
  </si>
  <si>
    <t>Afirmado</t>
  </si>
  <si>
    <t>Afirmado combia azul</t>
  </si>
  <si>
    <t xml:space="preserve">Agua </t>
  </si>
  <si>
    <t>Lt</t>
  </si>
  <si>
    <t>Aislador para barraje de cobre SM-25</t>
  </si>
  <si>
    <t>Aislador carrete 3x3/16 ANSI 53-3</t>
  </si>
  <si>
    <t>Alambre cobre #  4 AWG</t>
  </si>
  <si>
    <t>Alambre cobre #  6 AWG</t>
  </si>
  <si>
    <t>Alambre cobre #   8 AWG</t>
  </si>
  <si>
    <t>Alambre cobre # 10 AWG</t>
  </si>
  <si>
    <t>Alambre cobre # 12 AWG</t>
  </si>
  <si>
    <t>Alambre de púas Cal 14</t>
  </si>
  <si>
    <t xml:space="preserve">Alambre galvanizado Cal 12 </t>
  </si>
  <si>
    <t>Proalco Feb 2025</t>
  </si>
  <si>
    <t xml:space="preserve">Alambre galvanizado Cal 13 </t>
  </si>
  <si>
    <t>Alambre galvanizado Cal 14</t>
  </si>
  <si>
    <t>Alambre negro calibre 18</t>
  </si>
  <si>
    <t>Alcorque para proteccion de raiz</t>
  </si>
  <si>
    <t>Amarra de nylon de 10 cm</t>
  </si>
  <si>
    <t>Amarras con tapa plástica</t>
  </si>
  <si>
    <t xml:space="preserve">Angulo 1 X 3/16" </t>
  </si>
  <si>
    <t>GyJ Web abr 2025</t>
  </si>
  <si>
    <t>Angulo 1/8" x 1 1/2"</t>
  </si>
  <si>
    <t xml:space="preserve">Angulo 2 X 1/4" </t>
  </si>
  <si>
    <t>Angulo 3/4 X 1/8"</t>
  </si>
  <si>
    <t>Anticorrosivo</t>
  </si>
  <si>
    <t>Antisol blanco o similar</t>
  </si>
  <si>
    <t xml:space="preserve">Arandela de Neopreno </t>
  </si>
  <si>
    <t>Arbol H&gt;0,50 m y &lt;3,00 m</t>
  </si>
  <si>
    <t>Arbol Hmin&gt;=3,00 m</t>
  </si>
  <si>
    <t xml:space="preserve">Arena </t>
  </si>
  <si>
    <t>Arena de Pega (Media de Rio)</t>
  </si>
  <si>
    <t>Arena de río</t>
  </si>
  <si>
    <t>Arenón</t>
  </si>
  <si>
    <t>Arenón triturado de cantera</t>
  </si>
  <si>
    <t>Aro base y aro tapa de H. F. d = 0,60 m</t>
  </si>
  <si>
    <t>Aro para baloncesto, incluye malla</t>
  </si>
  <si>
    <t>Arrendamiento inmueble o campamento</t>
  </si>
  <si>
    <t>M2 Mes</t>
  </si>
  <si>
    <t>Ascensor 6 paradas</t>
  </si>
  <si>
    <t>Asfaltico Modificado tipo POLIBIT o similar para juntas</t>
  </si>
  <si>
    <t>Asfalto para liga 70 / 90</t>
  </si>
  <si>
    <t xml:space="preserve">Baldosa de cemento </t>
  </si>
  <si>
    <t>Baldosa tipo Terrazzo No. 5 gris</t>
  </si>
  <si>
    <t>Bandeja portacables 15 barrotes 10x8x2.4 m tipo escalera semipesada</t>
  </si>
  <si>
    <t>Bandeja portacables 15 barrotes 20x8x2.4 m tipo escalera semipesada</t>
  </si>
  <si>
    <t>Bandeja portacables 15 barrotes 30x8x2.4 m tipo escalera semipesada</t>
  </si>
  <si>
    <t>Bandeja portacables 15 barrotes 40x8x2.4 m tipo escalera semipesada</t>
  </si>
  <si>
    <t>Bandeja portacables 20x5x3 m galvanizada tipo malla</t>
  </si>
  <si>
    <t>Bandeja portacables 30x5x3 m galvanizada tipo malla</t>
  </si>
  <si>
    <t>Bandeja portacables 10x5x3 m Fil 10 electrozincada tipo malla</t>
  </si>
  <si>
    <t>Bandeja portacables 20x5x3 m Fil 10 electrozincada tipo malla</t>
  </si>
  <si>
    <t>Bandeja portacables 30x5x3 m Fil 10 electrozincada tipo malla</t>
  </si>
  <si>
    <t>Bandeja portacables 40x5x3 m Fil 10 electrozincada tipo malla</t>
  </si>
  <si>
    <t>Bandeja portacables 60x5x3 m Fil 10 electrozincada tipo malla</t>
  </si>
  <si>
    <t>Baranda en acero inoxidable  2" + 3 Hilos de 1/2" + Paral de 1 1/2")</t>
  </si>
  <si>
    <t>Baranda tubo de 1 1/2" x 3 hilos con anticorrosivo</t>
  </si>
  <si>
    <t>Baranda tubo de 2" x 3 hilos con anticorrosivo</t>
  </si>
  <si>
    <t>Baranda tubo de 2" x 4 hilos con anticorrosivo</t>
  </si>
  <si>
    <t>Baranda tubo de 3/4" x  3 hilos con anticorrosivo</t>
  </si>
  <si>
    <t>Baranda tubo de 4" x 3 hilos con anticorrosivo</t>
  </si>
  <si>
    <t>Barniz intemperie brillante</t>
  </si>
  <si>
    <t>Barras de Seguridad 18" Discapacitados</t>
  </si>
  <si>
    <t>Barrera guardavia (Incluye soportes verticales)</t>
  </si>
  <si>
    <t>Barricada de seguridad desmontable L:  3 m</t>
  </si>
  <si>
    <t>Base para sicoplast</t>
  </si>
  <si>
    <t>cuñete</t>
  </si>
  <si>
    <t>Bisagra de acero 3"</t>
  </si>
  <si>
    <t>Bisagra de cobre 3"</t>
  </si>
  <si>
    <t>Blanco de Ziinc</t>
  </si>
  <si>
    <t>Bloque de cemento de 0,10 x 0,19 x 0,39 m estructural</t>
  </si>
  <si>
    <t>Bloque de cemento de 0,14 x 0,19 x 0,39 m estructural</t>
  </si>
  <si>
    <t>Bloque de cemento de 0,20 x 0,19 x 0,39 m estructural</t>
  </si>
  <si>
    <t>Bloque en concreto estructural abuzardado 14x19x39</t>
  </si>
  <si>
    <t>Bocel en madera L=2,9m</t>
  </si>
  <si>
    <t>Bolardo metalico</t>
  </si>
  <si>
    <t>Boquilla para enchape</t>
  </si>
  <si>
    <t>Boquilla policarbonato ø= 2 1/2"</t>
  </si>
  <si>
    <t>Borna Ponchar calibre 8 AWG Estañada Cobre Barril Largo Ojo 3-16</t>
  </si>
  <si>
    <t>Breaker 2X 10/ 30A Qpx-20**</t>
  </si>
  <si>
    <t>Breaker Enchufable Monopolar 1 X 16 Amp 10 KA</t>
  </si>
  <si>
    <t>Breaker Enchufable Monopolar 1 X 20 Amp 10 KA</t>
  </si>
  <si>
    <t>Breaker Industrial Bipolar de 80 Amp, ruptura de 50KA</t>
  </si>
  <si>
    <t>Breaker Industrial Bipolar de 125 Amp, ruptura de 50KA</t>
  </si>
  <si>
    <t>Breaker Industrial Monopolar de 125 Amp, ruptura de 25KA Bajo pedido</t>
  </si>
  <si>
    <t>Breaker Industrial Tripolar de 150 Amp, ruptura de 50KA</t>
  </si>
  <si>
    <t>Breaker Industrial Tripolar de 250 Amp, ruptura de 85KA</t>
  </si>
  <si>
    <t>Breaker Industrial Tripolar de 630 Amp, ruptura de 70KA</t>
  </si>
  <si>
    <t>Breaker Riel 1X80 10KA</t>
  </si>
  <si>
    <t>Brocha 4"</t>
  </si>
  <si>
    <t>Caballete teja ondulada fibrocemento fijo l = 0,873 m</t>
  </si>
  <si>
    <t>Homecenter febrero 2025</t>
  </si>
  <si>
    <t>Caballete teja ondulada fibrocemento tipo español articulado ambos</t>
  </si>
  <si>
    <t>Caballete teja ondulada transparente</t>
  </si>
  <si>
    <t>Caballete termoacustica</t>
  </si>
  <si>
    <t>Cable 1/2" Alta resistencia instalado</t>
  </si>
  <si>
    <t>Cable 5/8" Alta resistencia instalado</t>
  </si>
  <si>
    <t xml:space="preserve">Cable acero de baja relajación de 1/2" </t>
  </si>
  <si>
    <t>Cable ACSR No. 2/0</t>
  </si>
  <si>
    <t>Cable ACSR No. 4/0</t>
  </si>
  <si>
    <t>Cable aluminio aislado PVC 90° # 4 AWG/S 8000</t>
  </si>
  <si>
    <t>Cable aluminio aislado PVC 90° # 2 AWG/S 8000</t>
  </si>
  <si>
    <t>Cable antifraude N°6 XLPE cobre 3 hilos 220V</t>
  </si>
  <si>
    <t>Cable de cobre # 2 desnudo  AWG</t>
  </si>
  <si>
    <t>Cable de cobre # 6 desnudo  AWG</t>
  </si>
  <si>
    <t>Cable con alma de yute o fibra de 3/8"</t>
  </si>
  <si>
    <t>Cable XLPE No. 1/0 AWG, 15 kv 133%</t>
  </si>
  <si>
    <t>Cable XLPE No. 4/0 AWG, 15 kv 133%</t>
  </si>
  <si>
    <t>Cable XLPE No. 4/0 AWG, 35 kv 133%</t>
  </si>
  <si>
    <t xml:space="preserve">Cable en cobre  aislado N°6 THHN, THWN 90 °C 600V </t>
  </si>
  <si>
    <t xml:space="preserve">Cable en cobre  aislado N°1/0 SINTOX  PE HF LS TC 90 °C 600V </t>
  </si>
  <si>
    <t xml:space="preserve">Cable en cobre  aislado N°2/0 SINTOX  PE HF LS TC 90 °C 600V </t>
  </si>
  <si>
    <t xml:space="preserve">Cable en cobre  aislado N°12 SINTOX  PE HF LS TC 90 °C 600V </t>
  </si>
  <si>
    <t xml:space="preserve">Cable en cobre  aislado N°8 SINTOX  PE HF LS TC 90 °C 600V </t>
  </si>
  <si>
    <t xml:space="preserve">Cable en cobre  aislado N°6 SINTOX  PE HF LS TC 90 °C 600V </t>
  </si>
  <si>
    <t xml:space="preserve">Cable en cobre  aislado N°4 SINTOX  PE HF LS TC 90 °C 600V </t>
  </si>
  <si>
    <t xml:space="preserve">Cable en cobre  aislado N°2 SINTOX  PE HF LS TC 90 °C 600V </t>
  </si>
  <si>
    <t>Cable Encauchetado 3 x 14 AWG Cobre</t>
  </si>
  <si>
    <t>Caja 2X4" Rawelt salidas de 1/2" en cruz</t>
  </si>
  <si>
    <t>Caja 2X4" Rawelt salidas de 3/4" en cruz</t>
  </si>
  <si>
    <t>Caja 4X4" Rawelt salidas de 1/2" en cruz</t>
  </si>
  <si>
    <t>Caja concreto para medidor con tapa en HD</t>
  </si>
  <si>
    <t>Caja de protección de medidor con tapa en Policarbonato</t>
  </si>
  <si>
    <t>Caja Metilica Galvanizada para Interruptores y Tomas 4x2"</t>
  </si>
  <si>
    <t xml:space="preserve">Caja octogonal  para interruptores y tomas </t>
  </si>
  <si>
    <t>Caja para medidor con tapa en polipropileno</t>
  </si>
  <si>
    <t>Calados de 20 x 20 x 10 cm en gres</t>
  </si>
  <si>
    <t>Calentador gas natural 10 gal de acumulación</t>
  </si>
  <si>
    <t>Calentador gas natural 15 gal de acumulación</t>
  </si>
  <si>
    <t>Calentador gas natural 20 gal de acumulación</t>
  </si>
  <si>
    <t>Calibración Medidor Monofásico bifilar electrónico con pantalla digital</t>
  </si>
  <si>
    <t>Canal 90 en 2,4 m Cal 26</t>
  </si>
  <si>
    <t>Canal lamina galvanizada desarr&lt;0.6</t>
  </si>
  <si>
    <t>Canal lamina galvanizada desarr&gt;0.6</t>
  </si>
  <si>
    <t>Canal PVC-Amazonas</t>
  </si>
  <si>
    <t>Canaleta Parshal en fibra de vidrio W=1"</t>
  </si>
  <si>
    <t>Canaleta Parshal en fibra de vidrio W=2"</t>
  </si>
  <si>
    <t>Candado Yale Mediano</t>
  </si>
  <si>
    <t>Cañabrava</t>
  </si>
  <si>
    <t>Capacete Liso en Aluminio para Tuberia IMC de 1 1-4 pulgada</t>
  </si>
  <si>
    <t>Cemento blanco</t>
  </si>
  <si>
    <t xml:space="preserve">Cemento gris x 50 kg </t>
  </si>
  <si>
    <t>Cera</t>
  </si>
  <si>
    <t>Lb</t>
  </si>
  <si>
    <t>Cerámica 1ra. trafico 4 de 32 x 32 cm tipo Terranova</t>
  </si>
  <si>
    <t>Cercha metálica Tipo cajón 0 - 3 m, incluye anticorrosivo</t>
  </si>
  <si>
    <t>Cerradura de seguridad tipo Yale</t>
  </si>
  <si>
    <t>Chapa de bola fina de madera Schlage o similar</t>
  </si>
  <si>
    <t>Segurex enero 2025</t>
  </si>
  <si>
    <t>Chapa fina tipo Schlage, Yale o similar para puerta</t>
  </si>
  <si>
    <t>Chazo 1/4" con tornillo y arandela</t>
  </si>
  <si>
    <t>Chazo Expansivo 1/4x2-1/4pg 4und</t>
  </si>
  <si>
    <t>Cheque de 1 1/2" 200 psi</t>
  </si>
  <si>
    <t>Cheque de 1 1/4" 200 psi</t>
  </si>
  <si>
    <t>Cheque de 1"    200 psi</t>
  </si>
  <si>
    <t>Cheque de 1/2" 200 psi</t>
  </si>
  <si>
    <t>Cheque de 2" 200 psi</t>
  </si>
  <si>
    <t>Cheque de 3/4" 200 psi</t>
  </si>
  <si>
    <t>Cheque listado UL 2 1/2"</t>
  </si>
  <si>
    <t>Cheque listado UL 2"</t>
  </si>
  <si>
    <t>Cinta aislante de vinilo scocht 33 3/4" x 20 m</t>
  </si>
  <si>
    <t xml:space="preserve"> M </t>
  </si>
  <si>
    <t>Cinta de enmascarar 1"</t>
  </si>
  <si>
    <t>Cinta de señalización cal 6</t>
  </si>
  <si>
    <t>Cinta de teflón 30 m</t>
  </si>
  <si>
    <t>Cinta Flexible LED 19W, 5000K, 230Lm, 12mm Ancho x 21mm Alto</t>
  </si>
  <si>
    <t xml:space="preserve">Regleta Led sobreponer de 1,5 m, 4000 K, 10W, 105Lm/W. </t>
  </si>
  <si>
    <t xml:space="preserve">Cinta malla </t>
  </si>
  <si>
    <t>Cinta PVC O - 22</t>
  </si>
  <si>
    <t>Cinta PVC V - 10</t>
  </si>
  <si>
    <t>Cinta PVC V - 15</t>
  </si>
  <si>
    <t>Claraboya de fibrocemento No. 6 l = 1,690 a = 0,873 m</t>
  </si>
  <si>
    <t>Clavija Caucho 15 Amp con Polo</t>
  </si>
  <si>
    <t>Codo PVC Presión de 2"</t>
  </si>
  <si>
    <t>Codo PVC Presión de 3"</t>
  </si>
  <si>
    <t>Codo PVC Presión de 4"</t>
  </si>
  <si>
    <t>Codo PVC Presión de 6"</t>
  </si>
  <si>
    <t>Codo ranurado hierro dúctil sch 40 2 1/2"</t>
  </si>
  <si>
    <t>Codo ranurado hierro dúctil sch 40 2"</t>
  </si>
  <si>
    <t>Codo ranurado hierro dúctil sch 40 4"</t>
  </si>
  <si>
    <t>Color Mineral</t>
  </si>
  <si>
    <t>Concertina inoxidable d = 18" 33 espirales por rollo con e = 100 mm</t>
  </si>
  <si>
    <t>Concreto asfaltico MDC-19</t>
  </si>
  <si>
    <t>Concreto premezclado de 17,5 Mpa (2500 psi)  As 6"</t>
  </si>
  <si>
    <t>Concretos Eje Mar-2025</t>
  </si>
  <si>
    <t>Concreto premezclado de 20,7 Mpa (3000 psi)  As 4"</t>
  </si>
  <si>
    <t xml:space="preserve">Concreto premezclado de 20,7 Mpa (3000 psi)  As 6" </t>
  </si>
  <si>
    <t>Concreto premezclado de 24,5 Mpa (3500 psi)  As 4"</t>
  </si>
  <si>
    <t xml:space="preserve">Concreto premezclado de 24,5 Mpa (3500 psi)  As 6" </t>
  </si>
  <si>
    <t>Concreto premezclado de 27,6 Mpa (4000 psi)  As 4"</t>
  </si>
  <si>
    <t xml:space="preserve">Concreto premezclado de 27,6 Mpa (4000 psi)  As 6" </t>
  </si>
  <si>
    <t>Concreto premezclado MR 3,9 Mpa para pavimento As 4"</t>
  </si>
  <si>
    <t>Concreto premezclado MR 4,0 Mpa para pavimento As 4"</t>
  </si>
  <si>
    <t>Concreto premezclado MR 4,1 Mpa para pavimento As 4"</t>
  </si>
  <si>
    <t>Concreto premezclado MR 4,1 Mpa para pavimento As 5" Acel. 3 días</t>
  </si>
  <si>
    <t>Concreto premezclado MR 4,2 Mpa para pavimento As 4"</t>
  </si>
  <si>
    <t>Concreto premezclado MR 4,2 Mpa para pavimento As 5" Acel. 3 días</t>
  </si>
  <si>
    <t>Concreto premezclado MR 4,2 Mpa para pavimento As 5" Acel. 7 días</t>
  </si>
  <si>
    <t>Concreto premezclado MR 4,5 Mpa para pavimento As 4"</t>
  </si>
  <si>
    <t>Concreto premezclado MR 4,5 Mpa para pavimento As 5" Acel. 3 días</t>
  </si>
  <si>
    <t>Concreto premezclado MR 4,5 Mpa para pavimento As 5" Acel. 7 días</t>
  </si>
  <si>
    <t>Concreto premezclado MR 5 Mpa para pavimento As 4"</t>
  </si>
  <si>
    <t>Concreto premezclado MR 5 Mpa para pavimento As 5" Acel. 3 días</t>
  </si>
  <si>
    <t>Concreto premezclado MR 5 Mpa para pavimento As 5" Acel. 7 días</t>
  </si>
  <si>
    <t>Conector 3M de resorte rojo (2 - 5 # 12)</t>
  </si>
  <si>
    <t>Conector 3M de resorte rojo amarillo 18 - 08</t>
  </si>
  <si>
    <t>Conector de cortante</t>
  </si>
  <si>
    <t>Conector de empalme-derivacion en gel ghfc 1</t>
  </si>
  <si>
    <t>Conector Transversal de Puesta a Tierra Tipo TGC 5-8 - 2 - 4 AWG</t>
  </si>
  <si>
    <t>Conjunto desagüe flexible para lavadero de 1 1/2" con canastillas</t>
  </si>
  <si>
    <t>Conos viales de 70 cm Norma Invías Cap. IV</t>
  </si>
  <si>
    <t>Casa Ferretera - web julio 2025</t>
  </si>
  <si>
    <t>Contador de energía monofásico electrónico 5(100A) 120 Vac, energía activa clase 1</t>
  </si>
  <si>
    <t>Contenedor industrial plastico para basuras</t>
  </si>
  <si>
    <t>Copa concéntrica roscada 1" x 1/2"</t>
  </si>
  <si>
    <t>Corniza o moldura en yeso</t>
  </si>
  <si>
    <t>Correa metálica 0 - 3 m, incluye anticorrosivo</t>
  </si>
  <si>
    <t>Cuartón común cepillado 3,00 x 0,08 x 0,04 m</t>
  </si>
  <si>
    <t>Cuartón de sajo 2" x 4" x 2,9 m</t>
  </si>
  <si>
    <t>Cubierta acero inoxidable frt aido 0.6m</t>
  </si>
  <si>
    <t>Cubierta en acero inoxidable para mesón cocineta, incluye poceta y grifería completa a = 0.60 m</t>
  </si>
  <si>
    <t>Cubierta standing seam sencilla</t>
  </si>
  <si>
    <t>Cubierta standing seam tipo sandwich con aislante en Poliuretano</t>
  </si>
  <si>
    <t>Cuña de postensado</t>
  </si>
  <si>
    <t>Curva PVC conduit de 3"</t>
  </si>
  <si>
    <t>Curva PVC conduit de 2"</t>
  </si>
  <si>
    <t>Curva PVC conduit de 1 1/2"</t>
  </si>
  <si>
    <t>Curva PVC conduit de 1"</t>
  </si>
  <si>
    <t>Curva PVC conduit de 1/2"</t>
  </si>
  <si>
    <t>Curva PVC conduit de 3/4"</t>
  </si>
  <si>
    <t>Curva Emt 1/2</t>
  </si>
  <si>
    <t>Curva Emt 3/4</t>
  </si>
  <si>
    <t>Curva Emt 1</t>
  </si>
  <si>
    <t>Curva Emt 2</t>
  </si>
  <si>
    <t>Curva Emt 3</t>
  </si>
  <si>
    <t>Delineadores plásticos grado diamante</t>
  </si>
  <si>
    <t>Detector de humo fotoeléctrico</t>
  </si>
  <si>
    <t>Dilatación de bronce</t>
  </si>
  <si>
    <t>Dilatación de vidrio</t>
  </si>
  <si>
    <t xml:space="preserve">Dilatacion plastica fina </t>
  </si>
  <si>
    <t>Dilatadores para pega de enchape</t>
  </si>
  <si>
    <t>Disco de corte</t>
  </si>
  <si>
    <t xml:space="preserve">Disolvente Esmalte </t>
  </si>
  <si>
    <t xml:space="preserve">Disolvente Pintura trafico </t>
  </si>
  <si>
    <t>Dispensador papel en acero inoxidable</t>
  </si>
  <si>
    <t>División metálica en lamina doble C 20 h = 1,60 m, incluye anticorrosivo y anclajes</t>
  </si>
  <si>
    <t>División para baño en aluminio anoloc y acrílico</t>
  </si>
  <si>
    <t>Divisiones en acero inoxidable</t>
  </si>
  <si>
    <t>Divisiones en vidrio templado para baño 6mm</t>
  </si>
  <si>
    <t xml:space="preserve">Ducha sencilla </t>
  </si>
  <si>
    <t>Ducha sencilla (Incl Mezclador)</t>
  </si>
  <si>
    <t>Elementos de aseo</t>
  </si>
  <si>
    <t xml:space="preserve">Empaque Tubo novafort </t>
  </si>
  <si>
    <t>Emulsión asfáltica para imprimación</t>
  </si>
  <si>
    <t>Emulsión para pavimento asfáltico CRL - 0</t>
  </si>
  <si>
    <t xml:space="preserve">Enchape en ceramica </t>
  </si>
  <si>
    <t>Enchape en cerámica 20 x 20</t>
  </si>
  <si>
    <t>Enchape para piso en cerámica Tráfico 5</t>
  </si>
  <si>
    <t>Escalera tipo gato acero inoxidable</t>
  </si>
  <si>
    <t>Especie vegetal ornamental H=1 m</t>
  </si>
  <si>
    <t>Espejo de 4 mm biselado, incluye accesorios de instalación</t>
  </si>
  <si>
    <t>Espuma de polietileno para Madera Laminada</t>
  </si>
  <si>
    <t>Esterilla</t>
  </si>
  <si>
    <t>Estopa</t>
  </si>
  <si>
    <t>Estuco (25 Kg)</t>
  </si>
  <si>
    <t>Estuco para exteriores</t>
  </si>
  <si>
    <t>Extintor abc de 10 lb</t>
  </si>
  <si>
    <t>Fachaleta roja 7x24 30u/m2</t>
  </si>
  <si>
    <t>Fibra ecomatrix pavco (3.85 x 3,00)</t>
  </si>
  <si>
    <t>Fluxómetro de palanca sloan</t>
  </si>
  <si>
    <t>Fluxómetro flujo ajustable, incluye accesorios</t>
  </si>
  <si>
    <t>Formaleta con Tabla</t>
  </si>
  <si>
    <t>Formaleta para alfajía, tapas prefabricadas</t>
  </si>
  <si>
    <t>Formaleta para columnas Ф 0.60 - 1.0m metalica</t>
  </si>
  <si>
    <t>Formaleta super T</t>
  </si>
  <si>
    <t>Formaleta tablemac 18 mm super T o equivalente</t>
  </si>
  <si>
    <t>Formaleta tablemac 4 mm super T o equivalente</t>
  </si>
  <si>
    <t>Gabinete contra incendios Clase I</t>
  </si>
  <si>
    <t>Gabinete contra incendios Clase II</t>
  </si>
  <si>
    <t xml:space="preserve">Gancho galvanizado para teja ondulada de fibrocemento </t>
  </si>
  <si>
    <t>Gargola Prefabricada</t>
  </si>
  <si>
    <t>Geodrén Planar h=0.50</t>
  </si>
  <si>
    <t>Geodren Planar h=1.00</t>
  </si>
  <si>
    <t>Geotextil Fortex BX 130</t>
  </si>
  <si>
    <t xml:space="preserve">Geotextil Fortex BX 220 </t>
  </si>
  <si>
    <t xml:space="preserve">Geotextil Fortex BX 60 </t>
  </si>
  <si>
    <t>Geotextil Fortex BX 90</t>
  </si>
  <si>
    <t>Geotextil fortgird UX 075</t>
  </si>
  <si>
    <t>Geotextil fortgird UX 100</t>
  </si>
  <si>
    <t>Geotextil fortgird UX 135</t>
  </si>
  <si>
    <t>Geotextil fortgird UX 165</t>
  </si>
  <si>
    <t>Geotextil fortgird UX 200</t>
  </si>
  <si>
    <t>Geotextil NT 1600 a = 3.5 m</t>
  </si>
  <si>
    <t>Geotextil T 2400 a = 3,85 m</t>
  </si>
  <si>
    <t>Grafil 5,5 mm</t>
  </si>
  <si>
    <t>Graniplast (cuñete de 5 galones)</t>
  </si>
  <si>
    <t>Granito blanco huila  Nº 1,2 y 3 (25 kg)</t>
  </si>
  <si>
    <t>Granito por 25 Kg</t>
  </si>
  <si>
    <t>Grapa 1/2 Unistrut X 10Und Galvanizada</t>
  </si>
  <si>
    <t>Grapas</t>
  </si>
  <si>
    <t>Grauting 20.7 Mpa</t>
  </si>
  <si>
    <t>Gravilla #2</t>
  </si>
  <si>
    <t>Grifería (llave, canastilla y sifón)</t>
  </si>
  <si>
    <t>Grifería orinal a pared tipo push, entrada de 1/2"</t>
  </si>
  <si>
    <t>Grifería orinal de empotrar tipo push mediano</t>
  </si>
  <si>
    <t>Grifería sanitaria</t>
  </si>
  <si>
    <t>Grilletes</t>
  </si>
  <si>
    <t>Guadua basa longitud promedio = 5 m</t>
  </si>
  <si>
    <t>Guadua cepa L=4.8 m</t>
  </si>
  <si>
    <t>Guadua sobrebasa L=3.2 m</t>
  </si>
  <si>
    <t>Guarda escoba 1/2" caña en PVC</t>
  </si>
  <si>
    <t xml:space="preserve">Guarda escoba madera </t>
  </si>
  <si>
    <t>Guaya en acero 3/32"</t>
  </si>
  <si>
    <t>Hachapico de 4.5 lb en acero</t>
  </si>
  <si>
    <t xml:space="preserve">Hilaza </t>
  </si>
  <si>
    <t>Icopor e = 1"</t>
  </si>
  <si>
    <t xml:space="preserve">Igasol cubierta </t>
  </si>
  <si>
    <t>Igol denso</t>
  </si>
  <si>
    <t>Igol imprimante</t>
  </si>
  <si>
    <t>Impermeabilizante bituminoso para cubiertas</t>
  </si>
  <si>
    <t>Impermeabilizante Elastico base acrilica (Tipo sikafill fibras)</t>
  </si>
  <si>
    <t>Impermeabilizante para concreto</t>
  </si>
  <si>
    <t>Imprimante acrilico para demarcación vial (Negro)</t>
  </si>
  <si>
    <t>Imprimante akronal</t>
  </si>
  <si>
    <t>Imprimante para manto edil</t>
  </si>
  <si>
    <t>Incrustaciones tipo Acuacer (viene por 4 un)</t>
  </si>
  <si>
    <t>Inmunizante para madera</t>
  </si>
  <si>
    <t>Interruptor doble</t>
  </si>
  <si>
    <t>Interruptor sencillo</t>
  </si>
  <si>
    <t>Interruptor triple</t>
  </si>
  <si>
    <t>Junta elastomerica de expansion</t>
  </si>
  <si>
    <t>Kit de Herrajes incluye chimenea con tapa (Gorro)</t>
  </si>
  <si>
    <t>Ladrillo arcilla estructural de 0,12 x 0,20 x 0,30 m</t>
  </si>
  <si>
    <t>Ladrillo farol rayado de 0,10 x 0,20 x 0,30 m</t>
  </si>
  <si>
    <t>Ladrillo farol rayado de 0,12 x 0,20 x 0,30 m</t>
  </si>
  <si>
    <t>Ladrillo Macizo de 10cm x 20cm x 40cm Cocido</t>
  </si>
  <si>
    <t>Ladrillo prensado tipo Santa Fe 24,5  x 12 x 5,5 cm</t>
  </si>
  <si>
    <t>Ladrillo tolete común</t>
  </si>
  <si>
    <t xml:space="preserve">Ladrillo visto 6x12x25 </t>
  </si>
  <si>
    <t>Lámina Alfajor 1/8</t>
  </si>
  <si>
    <t>Lámina C.R. Cal 18</t>
  </si>
  <si>
    <t xml:space="preserve">Lámina C.R. Cal 20 </t>
  </si>
  <si>
    <t>Lámina C.R. Cal 22</t>
  </si>
  <si>
    <t>Lamina de superboard de 10mm</t>
  </si>
  <si>
    <t>Lamina de superboard de 4mm</t>
  </si>
  <si>
    <t>Lamina de superboard de 6mm</t>
  </si>
  <si>
    <t>Lamina de superboard de 8mm</t>
  </si>
  <si>
    <t>Lámina de yeso 1,22 m x 2,44 m e = 12,7 mm</t>
  </si>
  <si>
    <t>Lámina galvanizada C 22</t>
  </si>
  <si>
    <t>Lámina galvanizada C 24</t>
  </si>
  <si>
    <t xml:space="preserve">Lámina galvanizada C 26 </t>
  </si>
  <si>
    <t>Lamina Metal deck 2"  CAL.16  - Tipo acesco o similar</t>
  </si>
  <si>
    <t>Lámparas incandescentes 150W 110/120V (bombillo)</t>
  </si>
  <si>
    <t>Lavadero prefabricado en gránito pulido</t>
  </si>
  <si>
    <t>Lavamanos institucional Linea Infantil</t>
  </si>
  <si>
    <t>Lavamanos tipo Acuacer de colgar</t>
  </si>
  <si>
    <t>Lavamanos tipo acuacer de pedestal</t>
  </si>
  <si>
    <t>Lavamanos tipo Marsella de sobreponer</t>
  </si>
  <si>
    <t>Lavaplatos en acero inoxidable de 0,4 x 0,6 m Sencillo</t>
  </si>
  <si>
    <t>Lavaplatos en acero inoxidable doble</t>
  </si>
  <si>
    <t xml:space="preserve">Lija de agua #60 a #180 </t>
  </si>
  <si>
    <t>Limatesa limahoya termoacustica</t>
  </si>
  <si>
    <t>Limatesa, limahoya de fibrocemento</t>
  </si>
  <si>
    <t>Limpiador removedor PVC de 760 grs (1/4)</t>
  </si>
  <si>
    <t>Listón común 3,00 x 0,04 x 0,04 m</t>
  </si>
  <si>
    <t>Listón sajo de 5 x 3 cm x 2,5 m (varilla)</t>
  </si>
  <si>
    <t>Llave de lavaplatos de sobreponer 1/2" Ganso</t>
  </si>
  <si>
    <t>Llave de paso tipo Bola 1/2"</t>
  </si>
  <si>
    <t>Llave de paso tipo Red White de 1"</t>
  </si>
  <si>
    <t>Llave de paso tipo Red White de 1/2"</t>
  </si>
  <si>
    <t>Llave de paso tipo Red White de 3"</t>
  </si>
  <si>
    <t>Llave de paso tipo Red White de 3/4"</t>
  </si>
  <si>
    <t>Llave spanner dos servicios</t>
  </si>
  <si>
    <t>Llave terminal cromada de 1/2"</t>
  </si>
  <si>
    <t>Llave terminal roscada de 1/2" pesada</t>
  </si>
  <si>
    <t>Loseta táctil guia 6X40X40 cm</t>
  </si>
  <si>
    <t>Loseta táctil alerta 6X40X40 cm</t>
  </si>
  <si>
    <t>Lubricante PAVCO NOVAFORT/LOC/UZ</t>
  </si>
  <si>
    <t>Luminaria decorativa LED tipo bolardo. 100-240 Vac, 700 Lm, 10W, eficacia 70 Lm/W, 3000K, IRC &gt;80, IP 65, IK 08_Alto 80 cm ancho 12 cm largo 8 cm, difusor transparente</t>
  </si>
  <si>
    <t>Luminaria decorativa LED tipo bolardo para sendero en acero inox.. 100-240 Vac, 480 Lm, 6W, eficacia 80 Lm/W, 3000K, IRC &gt;80, IP 65, IK 08_Alto 45cm diametro 12 cm, difusor transparente</t>
  </si>
  <si>
    <t xml:space="preserve">Luminaria exterior LED Tipo Tortuga 12W, 6500K, 1200 Lm, IP65, 120-277V, 100 Lm/W, Clase 1, IRC &gt;=80, IK 10 </t>
  </si>
  <si>
    <t>Luminaria Led Lineal para Area Clasificada 120-277 Vac, 40W, 5480lm 5000k</t>
  </si>
  <si>
    <t>Luminaria Led Lineal para Area Clasificada 120-277 Vac, 80W, 10960 lm 5000k</t>
  </si>
  <si>
    <t>Luminaria Led redonda para Area Clasificada 120-277 Vac, 80W, 13600 lm 5000k</t>
  </si>
  <si>
    <t>Luminaria Led redonda para Area Clasificada 120-277 Vac, 150W, 22500 lm 5000k</t>
  </si>
  <si>
    <t>Luminaria Led cuadrada para Area Clasificada 120-277 Vac, 100W, 13000 lm 5000k</t>
  </si>
  <si>
    <t>Luminaria Led cuadrada para Area Clasificada 120-277 Vac, 150W, 19500 lm 5000k</t>
  </si>
  <si>
    <t>Luminaria Led Lineal suspender 20W, 1600 lm 4000k.  1200x42x65 mm, kit Guaya de 1.2 m</t>
  </si>
  <si>
    <t>Luminaria Led Lineal suspender 40W, 3200lm 4000k,  1200x42x65 mm, kit Guaya de 1.2 m</t>
  </si>
  <si>
    <t>Luminaria Led Lineal suspender 60W, 4800lm 4000k,  1200x42x65 mm, kit Guaya de 1.2 m</t>
  </si>
  <si>
    <t>Luminaria Led Lineal suspender 80W, 6400lm 4000k,  1200x42x65 mm, kit Guaya de 1.2 m</t>
  </si>
  <si>
    <t>Luminaria LED Hermética sobreponer/suspender 120-277 Vac, 18W, 6500K, 2200 Lm</t>
  </si>
  <si>
    <t>Luminaria LED Hermética sobreponer/suspender 120-277 Vac, 36W, 6500K, 4500Lm</t>
  </si>
  <si>
    <t>Luminaria LED Hermética sobreponer/suspender 120-277 Vac, 50W, 6500K, 5300Lm</t>
  </si>
  <si>
    <t>Luminaria Led Higbay suspender cuadrada 120-277 Vac 110W, 15200 lm 5000 K</t>
  </si>
  <si>
    <t>Luminaria Led Higbay suspender cuadrada 120-277 Vac 165W, 22400 lm 5000 K</t>
  </si>
  <si>
    <t>Luminaria Led Higbay suspender redonda 120-277 Vac 100W, 15800lm 5700 K</t>
  </si>
  <si>
    <t>Luminaria Led Higbay suspender redonda 120-277 Vac 150W, 24100lm 5700 K</t>
  </si>
  <si>
    <t>Luminaria Led Higbay suspender redonda 120-277 Vac  200W, 29600 lm 5700 K</t>
  </si>
  <si>
    <t>Luminaria Led Higbay suspender redonda 120-277 Vac  240W, 36000 lm 5700 K</t>
  </si>
  <si>
    <t>Luminaria LED tipo decorativa exterior 120-277 Vac, 6W, 3000K, 600lm, IP65, 100 Lm/W, Clase 1, IRC &gt;=81</t>
  </si>
  <si>
    <t>Luminaria LED tipo decorativa exterior 120-277 Vac, 9W, 3000K, 800lm, IP65, 100 Lm/W, Clase 1, IRC &gt;=82</t>
  </si>
  <si>
    <t>Luminaria LED tipo decorativa exterior 120-277 Vac, 15W, 3000K, 1200lm, IP65, 100 Lm/W, Clase 1, IRC &gt;=83</t>
  </si>
  <si>
    <t>Luminaria LED tipo Campana Inv.  zona Urbana 40W, 4000K, 5400lm, IP65, 120-277V, 135 Lm/W, Clase 1, IRC &gt;=80</t>
  </si>
  <si>
    <t>Luminaria LED tipo Campana Inv. zona Urbana 120-277 Vac, 60W, 4000K, 8100lm, IP65, 120-277V, 135 Lm/W, Clase 1, IRC &gt;=80</t>
  </si>
  <si>
    <t>Luminaria LED tipo proyector 100-277 Vac , 100 W, 14300 Lm, IP 65, IK 08, irc &gt;70, 50.000 h L70. 120 Lm/W, 6500 K</t>
  </si>
  <si>
    <t>Luminaria LED tipo proyector 100-277 Vac , 150 W, 22200 Lm, IP 65, IK 08, irc &gt;70, 50.000 h L70. 120 Lm/W, 6500 K</t>
  </si>
  <si>
    <t>Luminaria LED tipo proyector 100-277 Vac , 200 W, 29600 Lm, IP 65, IK 08, irc &gt;70, 50.000 h L70. 120 Lm/W, 6500 K</t>
  </si>
  <si>
    <t>Luminaria alumbrado público y exteriores 100-277 Vac, 60W, 5300 Lm, 100000 h L90, IP 65, IK 08, 4000K, 130 Lm/W. Incluye  Base  Fotocelda 7 Pines  y Fotocelda Estándar. Apta para instalacion Sistema IntegralTele Gestion</t>
  </si>
  <si>
    <t>Luminaria alumbrado público y exteriores 100-277 Vac, 100W, 9000 Lm, 100000 h L90, IP 65, IK 08, 4000K, 130 Lm/W. Incluye  Base  Fotocelda 7 Pines  y Fotocelda Estándar. Apta para instalacion Sistema IntegralTele Gestion</t>
  </si>
  <si>
    <t>Luminaria alumbrado público y exteriores 100-277 Vac, 120W, 18240 Lm, 100000 h L90, IP 65, IK 08, 4000K, 130 Lm/W. Incluye  Base  Fotocelda 7 Pines  y Fotocelda Estándar. Apta para instalacion Sistema IntegralTele Gestion</t>
  </si>
  <si>
    <t>Luminaria alumbrado público y exteriores 100-277 Vac, 160W, 23660 Lm, 100000 h L90, IP 65, IK 08, 4000K, 130 Lm/W. Incluye  Base  Fotocelda 7 Pines  y Fotocelda Estándar. Apta para instalacion Sistema IntegralTele Gestion</t>
  </si>
  <si>
    <t>Luminaria alumbrado público y exteriores 100-277 Vac, 200W, 31800 Lm, 100000 h L90, IP 65, IK 08, 4000K, 130 Lm/W. Incluye  Base  Fotocelda 7 Pines  y Fotocelda Estándar. Apta para instalacion Sistema IntegralTele Gestion</t>
  </si>
  <si>
    <t>Luminaria LED tipo reflector 100-277 Vac , 100 W, 12000 Lm, IP 65, IK 08, irc &gt;70, 50.000 h L70. 120 Lm/W, 6500 K</t>
  </si>
  <si>
    <t>Luminaria LED tipo reflector 100-277 Vac , 150 W, 18000 Lm, IP 65, IK 08, irc &gt;70, 50.000 h L70. 120 Lm/W, 6500 K</t>
  </si>
  <si>
    <t>Luminaria LED tipo reflector 100-277 Vac , 200 W, 24000 Lm, IP 65, IK 08, irc &gt;70, 50.000 h L70. 120 Lm/W, 6500 K</t>
  </si>
  <si>
    <t>Luminaria LED tipo reflector 100-277 Vac , 300 W, 36000 Lm, IP 65, IK 08, irc &gt;70, 50.000 h L70. 120 Lm/W, 6500 K</t>
  </si>
  <si>
    <t>Luminaria LED tipo reflector 100-277 Vac , 400 W, 48000 Lm, IP 65, IK 08, irc &gt;70, 50.000 h L70. 120 Lm/W, 6500 K</t>
  </si>
  <si>
    <t>Luminaria Led Uplight empotrado en piso 3W, 180lm 3000k Blanco Calido Para Iluminacion  Exterior, diametro 20 cm</t>
  </si>
  <si>
    <t>Luminaria Led Uplight empotrado en piso 9W, 720 lm 3000k Blanco Calido Para Iluminacion  Exterior, diametro 20 cm</t>
  </si>
  <si>
    <t>Luminaria Led Uplight empotrado en piso 18W, 1440 lm 3000k Blanco Calido Para Iluminacion  Exterior, diametro 20 cm</t>
  </si>
  <si>
    <t>Luminaria perimetral tipo aplique en led  luz directa  100-240 Vac, 7W, 615Lm</t>
  </si>
  <si>
    <t>Luminaria Perimetral LED Tipo Aplique en fachada 9W, 4000K, 615Lm, IP65, 120-277V, 135 Lm/W, Clase 1, IRC &gt;=80, IK 9</t>
  </si>
  <si>
    <t>Luminaria Perimetral LED Tipo Aplique en fachada 30W, 4000K, 4050Lm, IP65, 120-277V, 135 Lm/W, Clase 1, IRC &gt;=80, IK 9</t>
  </si>
  <si>
    <t>Luminaria Perimetral LED Tipo Aplique en fachada 50W, 4000K, 6750Lm, IP65, 120-277V, 135 Lm/W, Clase 1, IRC &gt;=80, IK 9</t>
  </si>
  <si>
    <t xml:space="preserve">Luminaria tipo bala en led 100-240 Vac, 30 W, 2900 lm </t>
  </si>
  <si>
    <t xml:space="preserve">Luminaria tipo bala en led 100-240 Vac, 50 W, 4500 lm, </t>
  </si>
  <si>
    <t xml:space="preserve">Luminaria tipo bala en led 100-240 Vac, 20 W, 1900 lm </t>
  </si>
  <si>
    <t xml:space="preserve">Luminaria tipo bala en led 100-240 Vac, 15 W, 1400 lm </t>
  </si>
  <si>
    <t>Luminaria tipo cinta en led  luz directa con adapatador 100-240 Vac a 12 Vdc X 5m, 10W, 90 lm, 3000K.</t>
  </si>
  <si>
    <t xml:space="preserve">Luminaria tipo Spot redondo led 100-240 Vac, 5 W, 400 lm, </t>
  </si>
  <si>
    <t xml:space="preserve">Luminaria tipo Spot redondo led 100-240 Vac, 7 W, 580 lm, </t>
  </si>
  <si>
    <t>Luminaria Incrustar 20X20 cm en led 100-240 Vac, 21 W, 2100 Lm, 4000 K. 80 Lm/W</t>
  </si>
  <si>
    <t>Luminaria Incrustar 20X20 cm en led 100-240 Vac, 11 W, 2100 Lm, 4000 K. 80 Lm/W</t>
  </si>
  <si>
    <t>Luminaria tipo Panel LED con driver independiente. Montajeincrustar en cielo raso, con clipfijación 100-277  Vac, 1650 Lm, 24W, eficacia 70 Lm/W, 4000K, IRC &gt;70 diametro 22,5 cm</t>
  </si>
  <si>
    <t>Luminaria tipo Panel LED con driver independiente. Montajeincrustar en cielo raso, con clipfijación 100-277 Vac, 1260 Lm, 18W, eficacia 70 Lm/W, 4000K, IRC &gt;70 diametro 22,5 cm</t>
  </si>
  <si>
    <t>Luz de emergencia en led 120 min, 100-240 Vac, 4.5W, 170 Lm</t>
  </si>
  <si>
    <t>Luz de emergencia en led doble 120 min, 120-277Vac, 2X1,6W, 2X80 Lm.</t>
  </si>
  <si>
    <t>Luz de emergencia en led Flecha derecha</t>
  </si>
  <si>
    <t>Luz de emergencia en led Flecha izquierda</t>
  </si>
  <si>
    <t>Luz de emergencia en led aviso</t>
  </si>
  <si>
    <t>Macana L&lt;1.5m</t>
  </si>
  <si>
    <t>Madera chanul de 2 x 3"</t>
  </si>
  <si>
    <t>Madera chanul de 3 x 6"</t>
  </si>
  <si>
    <t>Madera Laminada</t>
  </si>
  <si>
    <t>Malla Cal 18 acerada tejida</t>
  </si>
  <si>
    <t>Malla cerramiento eslabonada en alambre galvanizado calibre 12 ojo 2" x 2" Alt. 2,00</t>
  </si>
  <si>
    <t>Malla con vena  C 24</t>
  </si>
  <si>
    <t>Malla De Nylon</t>
  </si>
  <si>
    <t>Malla electrosoldada 4 mm Separ. 150 x 150 mm. L x A=6,00 x 2,35 m</t>
  </si>
  <si>
    <t>Malla electrosoldada 4.5 mm Separ. 150 x 150 mm. L x A=6,00 x 2,35 m</t>
  </si>
  <si>
    <t>Malla electrosoldada 5 mm Separ. 150 x 150 mm. L x A=6,00 x 2,35 m</t>
  </si>
  <si>
    <t>Malla electrosoldada 5.5 mm Separ. 150 x 150 mm. L x A=6,00 x 2,35 m</t>
  </si>
  <si>
    <t>Malla electrosoldada 6 mm Separ. 150 x 150 mm. L x A=6,00 x 2,35 m</t>
  </si>
  <si>
    <t>Malla electrosoldada 7 mm Separ. 150 x 150 mm. L x A=6,00 x 2,35 m</t>
  </si>
  <si>
    <t>Malla eslabonada 2" x 2" C 13</t>
  </si>
  <si>
    <t>Malla gavión en alambre galvanizado triple torsión Cal13 Ojo 7.5 x 7.5</t>
  </si>
  <si>
    <t>Malla gavión en alambre galvanizado triple torsión Cal13 Ojo 9 x 9</t>
  </si>
  <si>
    <t>Malla reflectiva color naranja h:1.0m</t>
  </si>
  <si>
    <t>Malla triple torcion C10</t>
  </si>
  <si>
    <t>Manguera acoplada ø= 2 1/2" x 30 m</t>
  </si>
  <si>
    <t>Manguera polietileno de 1/2"</t>
  </si>
  <si>
    <t>Manguera polietileno de 3"</t>
  </si>
  <si>
    <t>Manómetro de presión con glicerina conexión vertical 0-200 psi</t>
  </si>
  <si>
    <t>Manto Fiber Glass 3mm</t>
  </si>
  <si>
    <t>Manto impermeabilizante con base en asfálto</t>
  </si>
  <si>
    <t>Manto TRM 500</t>
  </si>
  <si>
    <t>Marco metálico en lámina C 20 de 0,80 x 2,05 m, incluye anticorrosivo</t>
  </si>
  <si>
    <t>Marco metálico en lámina C 20 de 0,00 a 0,11 m,incluye anticorrosivo</t>
  </si>
  <si>
    <t>Marco metálico en lámina C 20 de 0,11 a 0,15 m,incluye anticorrosivo</t>
  </si>
  <si>
    <t>Marco metálico en lámina C 20 de 0,15 a 0,20 m, incluye anticorrosivo</t>
  </si>
  <si>
    <t>Marco metálico en lámina C 20 para sanitario, incluye anticorrosivo</t>
  </si>
  <si>
    <t>Marco ventala en lámina C20 incluye anticorrosivo</t>
  </si>
  <si>
    <t>Marmolina</t>
  </si>
  <si>
    <t>Masilla elástica sellante</t>
  </si>
  <si>
    <t>Masilla para estuco X 25 Kg</t>
  </si>
  <si>
    <t>Masilla sello juntas pánel DW/SB</t>
  </si>
  <si>
    <t>Material para base granular tipo Invías</t>
  </si>
  <si>
    <t>Material para subbase Tipo INVIAS</t>
  </si>
  <si>
    <t>Material seleccionado para filtro</t>
  </si>
  <si>
    <t>Medidor de 1 1/2" volumétrico tipo "C"</t>
  </si>
  <si>
    <t>Medidor de 1" volumétrico tipo "C"</t>
  </si>
  <si>
    <t>Medidor de 1/2" volumétrico tipo "C"</t>
  </si>
  <si>
    <t>Medidor de 2" Volumetrico tipo "B"</t>
  </si>
  <si>
    <t>Medidor de 3" Volumetrico tipo "B"</t>
  </si>
  <si>
    <t>Medidor de 3/4" volumétrico tipo "C"</t>
  </si>
  <si>
    <t>Melaza (Miel de Purga)</t>
  </si>
  <si>
    <t>Mesa Plástica 4 Pata  T Rimax</t>
  </si>
  <si>
    <t>Mezcla asfáltica fria</t>
  </si>
  <si>
    <t>Mezclador para lavaplatos</t>
  </si>
  <si>
    <t>Microesferas reflectivas 25 kg</t>
  </si>
  <si>
    <t>Motobomba monofasica 220 V</t>
  </si>
  <si>
    <t>Neopreno 0,30 x 0,50 x 0,095 Dureza 60</t>
  </si>
  <si>
    <t>Nicho para medidor 42x38x16 Plastico. (sobrepuesto en Pared).</t>
  </si>
  <si>
    <t xml:space="preserve">Omega 0.4x2.44 </t>
  </si>
  <si>
    <t>Orinal accion automatica</t>
  </si>
  <si>
    <t>Orinal Sin Agua (Ecologico)</t>
  </si>
  <si>
    <t xml:space="preserve">Orinal tipo Institucional </t>
  </si>
  <si>
    <t>Oxido de hierro</t>
  </si>
  <si>
    <t>Palmera de 1.5 a 3 m de alto</t>
  </si>
  <si>
    <t>Panel LED Incrustar 3200lm 40 W  60x60cm 120-277v , CRI &gt;=80, FP&gt;0,9</t>
  </si>
  <si>
    <t>Panel LED Incrustar 3200lm 40 W 120x30cm 120-277v , CRI &gt;=80, FP&gt;0,9</t>
  </si>
  <si>
    <t>Panel LED Incrustar para Area Limpia  Class 1, 41 W,  80.000 h L80 B50, 1200x300 mm, 4000 lm, 4000 K, CRI&gt;90, UGR19, IP 65, 98 Lm/w, IK 07,  cierre óptico en vidrio</t>
  </si>
  <si>
    <t>Panel LED Incrustar para Area Limpia  Class 1, 41 W,  80.000 h L80 B50,600x600 mm, 4000 lm, 4000 K, CRI&gt;90, UGR19, IP 65, 98 Lm/w, IK 07, cierre óptico en vidrio</t>
  </si>
  <si>
    <t>PARAL 89 0.43 mm x 2.44 m</t>
  </si>
  <si>
    <t>Pasacalle en lona</t>
  </si>
  <si>
    <t>Pasador en acero para puerta</t>
  </si>
  <si>
    <t>Pasamuros PVC 2"</t>
  </si>
  <si>
    <t>Pasto trenza</t>
  </si>
  <si>
    <t>Pasto vetier (esquejes)</t>
  </si>
  <si>
    <t>Pegacor</t>
  </si>
  <si>
    <t>Pegante epoxico para pisos PL285</t>
  </si>
  <si>
    <t>Perfil aluminio anoloc T L = 6 m</t>
  </si>
  <si>
    <t>Perfil base y tapa de policarbonato</t>
  </si>
  <si>
    <t>Perfil U de aluminio</t>
  </si>
  <si>
    <t>Perfil U de policarbonato</t>
  </si>
  <si>
    <t>Pernos de anclaje</t>
  </si>
  <si>
    <t>Perro seguridad guaya 3-32 pulgadas</t>
  </si>
  <si>
    <t>Piedra de mano</t>
  </si>
  <si>
    <t xml:space="preserve">Piedra para enchape </t>
  </si>
  <si>
    <t>Piedra para filtros</t>
  </si>
  <si>
    <t>Pintura en esmalte sintético</t>
  </si>
  <si>
    <t>Pintura epoxica base agua</t>
  </si>
  <si>
    <t>Pintura epoxica para cancha</t>
  </si>
  <si>
    <t>Pintura texturizada hidrorepelente</t>
  </si>
  <si>
    <t>Pintura tipo ministerio (trafico)</t>
  </si>
  <si>
    <t>Pintura verde óptico   (tablero)</t>
  </si>
  <si>
    <t>Pintura vinilo</t>
  </si>
  <si>
    <t>Pintura vinilo para exteriores koraza o similar</t>
  </si>
  <si>
    <t>Pipa de gas</t>
  </si>
  <si>
    <t>Pirlán de bronce</t>
  </si>
  <si>
    <t>Piso tipo Mayólica</t>
  </si>
  <si>
    <t>Piso vinilico antideslizante, tráfico 5 e = 2 mm</t>
  </si>
  <si>
    <t>Placa en acrilico de 3mm 25x35 cm identificación del sistema</t>
  </si>
  <si>
    <t>Plafon de losa</t>
  </si>
  <si>
    <t>Planta de emergencia de 100 KW</t>
  </si>
  <si>
    <t>Plantula vetiver</t>
  </si>
  <si>
    <t>Plaqueta 40x40 tipo Titan o similar</t>
  </si>
  <si>
    <t>Plástico Cal 4</t>
  </si>
  <si>
    <t>Plástico Cal 6</t>
  </si>
  <si>
    <t>Plastocrete DM o similar (Impermeabilizante para concreto)</t>
  </si>
  <si>
    <t>Platina 1 X 1/4</t>
  </si>
  <si>
    <t>Platina 1/2 X 1/8</t>
  </si>
  <si>
    <t>Platina 3/4 X 1/8</t>
  </si>
  <si>
    <t xml:space="preserve">Platina de Cobre 230Amp, 5mmX 20mmX100mm </t>
  </si>
  <si>
    <t>Platina de apoyo con anticorrosivo para anclajes activos</t>
  </si>
  <si>
    <t>Poceta sencilla granito pulido</t>
  </si>
  <si>
    <t>Porcelanato</t>
  </si>
  <si>
    <t>Poste de Cocreto 8m X 510 Kgf</t>
  </si>
  <si>
    <t>Poste de Cocreto 10m X 510 Kgf</t>
  </si>
  <si>
    <t>Poste de Cocreto 12m X 750 Kgf</t>
  </si>
  <si>
    <t>Poste Metalico 12m Faceteado, Seccionado (1er Segmento1.5 m) + 1 Brazo2 m x 2"</t>
  </si>
  <si>
    <t>Poste Metalico 12 m Faceteado, Seccionado (1er Segmento1.5 m) + 1 Brazo1 m x 2"+1 Brazo1 m x 2"</t>
  </si>
  <si>
    <t>Poste para cerramiento en concreto 3,00 m</t>
  </si>
  <si>
    <t>Producción de concreto 13 Mpa (Item básico)</t>
  </si>
  <si>
    <t>Producción de concreto 17 Mpa (Item básico)</t>
  </si>
  <si>
    <t>Producción de concreto 21 Mpa (Item básico)</t>
  </si>
  <si>
    <t>Producción de concreto 24 Mpa (Item básico)</t>
  </si>
  <si>
    <t>Producción de concreto 28 Mpa (Item básico)</t>
  </si>
  <si>
    <t>Producción de concreto Ciclopeo (Item básico)</t>
  </si>
  <si>
    <t>Producción de mortero 1:2</t>
  </si>
  <si>
    <t xml:space="preserve">Producción de mortero 1:3 </t>
  </si>
  <si>
    <t>Producción de mortero 1:4</t>
  </si>
  <si>
    <t>Puerta / ventana aluminio + vidrio 4 mm</t>
  </si>
  <si>
    <t>Puerta Economica  61&gt;80</t>
  </si>
  <si>
    <t>Puerta en lámina 0.91 - 1.0 m</t>
  </si>
  <si>
    <t>Puerta en lámina 1.01 - 2.4 m</t>
  </si>
  <si>
    <t>Puerta en lámina doble para sanitario</t>
  </si>
  <si>
    <t>Puerta reja en tubo cuadrada 1 1/2"</t>
  </si>
  <si>
    <t>Puerta tipo B corrediza</t>
  </si>
  <si>
    <t>Puntilla (promedio)</t>
  </si>
  <si>
    <t>Racor hembra1/2" pe al pe x NPT</t>
  </si>
  <si>
    <t xml:space="preserve">Racor macho 1/2" pe al pe x NPT </t>
  </si>
  <si>
    <t>Rebaje (pañoleta) prefabricado</t>
  </si>
  <si>
    <t>Registro de corte de 1/2"</t>
  </si>
  <si>
    <t>Registro globo 2 1/2" en bronce</t>
  </si>
  <si>
    <t>Regulador de segunda etapa, o etapa final sin venteo</t>
  </si>
  <si>
    <t>Reja para sumidero (Incl. Anticorrosivo y pintura)</t>
  </si>
  <si>
    <t>Reja para sumidero B=0.30 (Incl. Anticorrosivo y pintura)</t>
  </si>
  <si>
    <t>Reja para sumidero B=0.60 (Incl. Anticorrosivo y pintura)</t>
  </si>
  <si>
    <t>Reja para sumidero de 40 x 70 cm y ángulo de 2" x 2" x 1/4", incluye anticorrosivo y pintura</t>
  </si>
  <si>
    <t>Rejilla Alum Zosco 3*2     Anticucara</t>
  </si>
  <si>
    <t>Silpas marzo 2025</t>
  </si>
  <si>
    <t>Rejilla Alum Zosco 4*2     Anticucara</t>
  </si>
  <si>
    <t>Rejilla Alum Zosco 4*3     Anticucara</t>
  </si>
  <si>
    <t>Rejilla aluminio  3" x 1 1/2"</t>
  </si>
  <si>
    <t>Rejilla aluminio  8" x 6"</t>
  </si>
  <si>
    <t>Rejilla aluminio cup 4" x2"</t>
  </si>
  <si>
    <t>Rejilla aluminio cup 5" x3"</t>
  </si>
  <si>
    <t>Rejilla aluminio cup 6" x4"</t>
  </si>
  <si>
    <t>Riel unistrut de perfil bajo medida 1 1/2 x 3/4 x 10 pies</t>
  </si>
  <si>
    <t>Rodamiento 25 x 52 mm</t>
  </si>
  <si>
    <t xml:space="preserve">Saco en polipropileno </t>
  </si>
  <si>
    <t>Sanitario Discapacitado</t>
  </si>
  <si>
    <t>Sanitario Insitucional</t>
  </si>
  <si>
    <t>Sanitario institucional Linea Infantil</t>
  </si>
  <si>
    <t>Sanitario tipo Acuacer plus</t>
  </si>
  <si>
    <t>Sardinel prefabricado (80 x 45 x 15 cm)</t>
  </si>
  <si>
    <t>Sardinel prefabricado A10</t>
  </si>
  <si>
    <t>Sellado de roscas loctite 545 hydr slnt x 50 ml</t>
  </si>
  <si>
    <t>Sellante anaerobico o traba química</t>
  </si>
  <si>
    <t>Sensor flujo 2 1/2"</t>
  </si>
  <si>
    <t>Sensor flujo 2"</t>
  </si>
  <si>
    <t>Sensor infrarrojo</t>
  </si>
  <si>
    <t>Sensor tipo radar/microondas</t>
  </si>
  <si>
    <t>Sensor Ultrasónico</t>
  </si>
  <si>
    <t>Señal intermitente luminosa</t>
  </si>
  <si>
    <t>Señal vertical reflectiva, D= 0,60 m</t>
  </si>
  <si>
    <t>Señal vertical reflectiva, D= 0,90 m</t>
  </si>
  <si>
    <t>Señal vertical reflectiva, D= 1.20 m</t>
  </si>
  <si>
    <t>Separador vial de 80 cm x 20 cm x 15 com x 5 cm</t>
  </si>
  <si>
    <t>Separadores (centradores) para anclajes</t>
  </si>
  <si>
    <t>Separol o similar</t>
  </si>
  <si>
    <t>Servicio de Escolta</t>
  </si>
  <si>
    <t>dia</t>
  </si>
  <si>
    <t>Sicoplast</t>
  </si>
  <si>
    <t>Sifon PVC Sanitario 2"</t>
  </si>
  <si>
    <t>Sifón PVC Sanitario 3"</t>
  </si>
  <si>
    <t>Sifón PVC Sanitario 4"</t>
  </si>
  <si>
    <t>Sika 1</t>
  </si>
  <si>
    <t>Homecenter mar 2025</t>
  </si>
  <si>
    <t>Sika Anchor Fix -4 600cc</t>
  </si>
  <si>
    <t xml:space="preserve">Sika Merulex I.F.S </t>
  </si>
  <si>
    <t>Sika Set L o Similar</t>
  </si>
  <si>
    <t>SikaDur 32 Primer Adhesivo</t>
  </si>
  <si>
    <t>Sikadur 42 anclaje para pernos o acero</t>
  </si>
  <si>
    <t>Sikaflex 300cc</t>
  </si>
  <si>
    <t>Sikaflex-PRO 3WF 300 ml</t>
  </si>
  <si>
    <t>Sikafloor</t>
  </si>
  <si>
    <t>Sikafluid</t>
  </si>
  <si>
    <t>Sikagrout (30 Kg)</t>
  </si>
  <si>
    <t>Sikaroad de 10 mm o similar</t>
  </si>
  <si>
    <t>Sikatop 122</t>
  </si>
  <si>
    <t>Silicona transparente sellador de vidrios (Tubo)</t>
  </si>
  <si>
    <t>Silla Plastica</t>
  </si>
  <si>
    <t>Silla Yee Novafort 160x110</t>
  </si>
  <si>
    <t>Silla Yee Novafort 160x200</t>
  </si>
  <si>
    <t>Silla Yee Novafort 160x250</t>
  </si>
  <si>
    <t>Silla Yee Novafort 160x315</t>
  </si>
  <si>
    <t>Silla Yee Novafort 160x400</t>
  </si>
  <si>
    <t>Silla Yee Novafort 160x450</t>
  </si>
  <si>
    <t>Silla Yee Novafort 160x500</t>
  </si>
  <si>
    <t>Sistema ODEX o Simetrix, recuperable</t>
  </si>
  <si>
    <t xml:space="preserve">Soldadura 6013 </t>
  </si>
  <si>
    <t>Soldadura CPVC liquida agua caliente 1/4</t>
  </si>
  <si>
    <t>Soldadura Exotermica (Punto 90 g)</t>
  </si>
  <si>
    <t>Soldadura liquida para PVC 1/4 galon</t>
  </si>
  <si>
    <t>Soporte para bandeja portacables (par)</t>
  </si>
  <si>
    <t>Soporte canastilla manguera</t>
  </si>
  <si>
    <t>Soporte sísmico longit 2 1/2"</t>
  </si>
  <si>
    <t>Soporte sísmico transv 2 1/2"</t>
  </si>
  <si>
    <t>Sprinkler roscado ø= 1/2" tipo montante</t>
  </si>
  <si>
    <t>Sprinkler roscado ø= 1/2" tipo pendiente</t>
  </si>
  <si>
    <t>Suministro del cultivo vetiver</t>
  </si>
  <si>
    <t>Tabla común cepillada 3,00 x 0,20 x 0,02 m</t>
  </si>
  <si>
    <t>Tabla para formaleta de 1" x 10" x 2,9 m</t>
  </si>
  <si>
    <t>Tablero 4 circuitos 75 Amperios Monofásico Bifilar incrustar sin puerta</t>
  </si>
  <si>
    <t>Tablero 6 circuitos 75 Amperios Monofásico Bifilar  incrustar con puerta</t>
  </si>
  <si>
    <t>Tablero 6 circuitos 125 Amperios Monofásico Bifilar  incrustar con puerta</t>
  </si>
  <si>
    <t>Tablero 8 circuitos  125 Amperios Monofásico Trifilar  incrustar con puerta</t>
  </si>
  <si>
    <t>Tablero 12 circuitos 125 Amperios Monofásico Bifilar  incrustar con puerta</t>
  </si>
  <si>
    <t>Tablero 12 circuitos 175 Amperios Monofásico Trifilar incrustar con puerta</t>
  </si>
  <si>
    <t>Tablero 12 circuitos 175 Amperios Trifásico con totalizador de incrustar con puerta</t>
  </si>
  <si>
    <t>Tablero 18 circuitos 125 Amperios Monofásico Bifilar  incrustar con puerta</t>
  </si>
  <si>
    <t>Tablero 18 circuitos 175 Amperios Monofásico Trifilar con totalizador  de  incrustar con puerta</t>
  </si>
  <si>
    <t>Tablero 24 circuitos 225 Amperios Trifásico con totalizador de  incrustar con puerta</t>
  </si>
  <si>
    <t>Tablero 24 circuitos 175 Amperios Monofásico Trifilar con totalizador de  incrustar con puerta</t>
  </si>
  <si>
    <t>Tablero 30 circuitos 225 Amperios Trifásico con totalizador de  incrustar con puerta</t>
  </si>
  <si>
    <t>Tablero 30 circuitos 175 Amperios Monofásico Trifilar  incrustar con puerta</t>
  </si>
  <si>
    <t>Tablero 36 circuitos 225 Amperios Trifásico con totalizador de  incrustar con puerta</t>
  </si>
  <si>
    <t>Tablero 42 circuitos 225 Amperios Trifásico con totalizador de  incrustar con puerta</t>
  </si>
  <si>
    <t>Tablero basket</t>
  </si>
  <si>
    <t>Tablilla Cieloraso Pino Ciprés</t>
  </si>
  <si>
    <t>Homecenter febrrero 2025</t>
  </si>
  <si>
    <t>Tablilla machihembrada pino ciprés</t>
  </si>
  <si>
    <t>Tacha reflectiva unidireccional (Incluye pegante)</t>
  </si>
  <si>
    <t>Tanque para agua plástico de 1000 lt completo</t>
  </si>
  <si>
    <t>Tanque para agua plástico de 2000 lt completo</t>
  </si>
  <si>
    <t>Tanque para agua plástico de 250 lt completo</t>
  </si>
  <si>
    <t>Tanque para agua plástico de 500 lt completo</t>
  </si>
  <si>
    <t>Tapa ciega 2X4" cuatro huecos</t>
  </si>
  <si>
    <t>Tapa de hierro d = 0,60 m de 90 kg (manhole) + aro</t>
  </si>
  <si>
    <t>Tapa en polipropileno de alto impacto Ø=0.62 m</t>
  </si>
  <si>
    <t>Tapa para tanque sanitario</t>
  </si>
  <si>
    <t>Tapa plástica de registro de 0,20 x 0,20 m</t>
  </si>
  <si>
    <t>Tapon Macho 1/2" - red gas</t>
  </si>
  <si>
    <t>Tarifa ingreso a relleno sanitario</t>
  </si>
  <si>
    <t>Tee de pe al pe por pe al pe diámetro de 1/2" (1216 x 1216 x 1216)</t>
  </si>
  <si>
    <t>Tee ranurada hierro dúctil sch 40 4"</t>
  </si>
  <si>
    <t>Tee ranurado hierro dúctil sch 40 2 1/2"</t>
  </si>
  <si>
    <t>Tee ranurado hierro dúctil sch 40 2"</t>
  </si>
  <si>
    <t>Teja arcilla</t>
  </si>
  <si>
    <t>Teja de zinc ondulada 3.04 m x 0,80 m C 33</t>
  </si>
  <si>
    <t>Teja en lámina de zinc</t>
  </si>
  <si>
    <t xml:space="preserve">Teja española de fibrocemento </t>
  </si>
  <si>
    <t>Teja ondulada de fibrocemento</t>
  </si>
  <si>
    <t>Teja ondulada transparente</t>
  </si>
  <si>
    <t>Teja policarbonato opal</t>
  </si>
  <si>
    <t>Teja shingle</t>
  </si>
  <si>
    <t xml:space="preserve">Teja termoacustica </t>
  </si>
  <si>
    <t>Tela de cerramiento a = 2,10 m (rollo por 100 m)</t>
  </si>
  <si>
    <t>Telera común cepillada 3,00 x 0,20 x 0,04 m</t>
  </si>
  <si>
    <t>Telera de 3,5 x 24 cm x 2,9 m de sajo</t>
  </si>
  <si>
    <t>Tensor d= 3/8" rosca</t>
  </si>
  <si>
    <t>Tensor para Acometida B P X 19 mm - PEQUEÑO</t>
  </si>
  <si>
    <t xml:space="preserve">Terminal barrera guardavia </t>
  </si>
  <si>
    <t xml:space="preserve">Terminal EMT de 1 1/2 Pulgadas Acero C-H </t>
  </si>
  <si>
    <t>Ter ponh 1/0 largo 1 HUE 3/8"</t>
  </si>
  <si>
    <t>Thinner</t>
  </si>
  <si>
    <t>Tierra Artificial Favigel 25Kg</t>
  </si>
  <si>
    <t>Tierra no vegetal</t>
  </si>
  <si>
    <t>Tierra transportada cargada con equipo pesado</t>
  </si>
  <si>
    <t>Tierra vegetal</t>
  </si>
  <si>
    <t>Toma corriente doble polo a tierra</t>
  </si>
  <si>
    <t>Toma corriente doble polo a tierra tipo levinton 15 Amp con tapa</t>
  </si>
  <si>
    <t>Toma corriente doble polo regulado a tierra 15 Amp con tapa</t>
  </si>
  <si>
    <t xml:space="preserve">Toma corriente doble tipo GFCI  20 Amp </t>
  </si>
  <si>
    <t>Toma siamesa bronce 4" x 2 ½" x 2 ½"</t>
  </si>
  <si>
    <t>Tornillería, tuerca y arandelas Grado 5  L= 5" x Ø=7/8" para Ø de 10", 12", 14" y 16"</t>
  </si>
  <si>
    <t>Tornillo autoperforante</t>
  </si>
  <si>
    <t>Tornillo Cabeza  3/16"</t>
  </si>
  <si>
    <t xml:space="preserve">Tornillo drywall </t>
  </si>
  <si>
    <t>Tornillo en aluminio con rosca 5" x 7/16"</t>
  </si>
  <si>
    <t>Tornillo estructura drywall 8 x 1/2"</t>
  </si>
  <si>
    <t>Tornillo y chazos</t>
  </si>
  <si>
    <t>Tornillos punta broca</t>
  </si>
  <si>
    <t>Triturado 3/4"</t>
  </si>
  <si>
    <t>Trompeta postensado</t>
  </si>
  <si>
    <t xml:space="preserve">Transformador monofasico aceite 15 KVA 13.200V 120/240V </t>
  </si>
  <si>
    <t>Transformador monofasico aceite 25 KVA 13.200V 120/240V</t>
  </si>
  <si>
    <t>Transformador monofasico aceite 37,5 KVA 13.200V 120/240V</t>
  </si>
  <si>
    <t>Transformador monofasico aceite 75 KVA 13.200V 120/240V</t>
  </si>
  <si>
    <t>Transformador trifásico en aceite 30 KVA 13.200V 220/127V</t>
  </si>
  <si>
    <t>Transformador trifásico en aceite 45 KVA 13.200V 208/120V Plena</t>
  </si>
  <si>
    <t>Transformador trifásico en aceite 45 KVA 13.200V 220/127V</t>
  </si>
  <si>
    <t>Transformador trifásico en aceite 75 KVA 13.200V 208/120V plena</t>
  </si>
  <si>
    <t>Transformador trifásico en aceite 75 KVA 13.200V 220/127V plena</t>
  </si>
  <si>
    <t xml:space="preserve">Transformador trifásico en aceite 112,5 KVA 13.200V 220/127V </t>
  </si>
  <si>
    <t>Tubería multicapa Pe Al Pe 1/2"</t>
  </si>
  <si>
    <t>Tubo concreto reforzado de 24"</t>
  </si>
  <si>
    <t>Tubo concreto reforzado de 27"</t>
  </si>
  <si>
    <t>Tubo concreto reforzado de 30"</t>
  </si>
  <si>
    <t>Tubo concreto reforzado de 36"</t>
  </si>
  <si>
    <t>Tubo concreto reforzado de 40"</t>
  </si>
  <si>
    <t>Tubo concreto reforzado de 44"</t>
  </si>
  <si>
    <t>Tubo concreto reforzado de 48"</t>
  </si>
  <si>
    <t>Tubo concreto reforzado de 52"</t>
  </si>
  <si>
    <t>Tubo concreto reforzado de 60"</t>
  </si>
  <si>
    <t xml:space="preserve">Tubo conduit PVC DB Ø=2" </t>
  </si>
  <si>
    <t>Tubo conduit PVC Ø=3"</t>
  </si>
  <si>
    <t xml:space="preserve">Tubo conduit PVC Ø=2" </t>
  </si>
  <si>
    <t xml:space="preserve">Tubo conduit PVC Ø=1 1/2" </t>
  </si>
  <si>
    <t xml:space="preserve">Tubo conduit PVC Ø=1" </t>
  </si>
  <si>
    <t>Tubo conduit PVC Ø=3/4"</t>
  </si>
  <si>
    <t>Tubo conduit PVC Ø=1/2"</t>
  </si>
  <si>
    <t xml:space="preserve">Tubo CPVC de 1" </t>
  </si>
  <si>
    <t>Tubo CPVC de 1/2"</t>
  </si>
  <si>
    <t>Tubo CPVC de 3/4"</t>
  </si>
  <si>
    <t>Tubo cuadrado 1 1/2" Cal 16</t>
  </si>
  <si>
    <t>Tubo cuadrado 1" Cal 16</t>
  </si>
  <si>
    <t xml:space="preserve">Tubo de HG de 1 1/2" </t>
  </si>
  <si>
    <t>Coval Nov 2024 actualizado con el 10%</t>
  </si>
  <si>
    <t xml:space="preserve">Tubo de HG de 1 1/4" </t>
  </si>
  <si>
    <t xml:space="preserve">Tubo de HG de 1" </t>
  </si>
  <si>
    <t xml:space="preserve">Tubo de HG de 1/2" </t>
  </si>
  <si>
    <t>Tubo de HG de 2 1/2"</t>
  </si>
  <si>
    <t xml:space="preserve">Tubo de HG de 2" </t>
  </si>
  <si>
    <t xml:space="preserve">Tubo de HG de 3" </t>
  </si>
  <si>
    <t xml:space="preserve">Tubo de HG de 3/4" </t>
  </si>
  <si>
    <t xml:space="preserve">Tubo de HG de 3/8" </t>
  </si>
  <si>
    <t>Tubo de polietileno alta densidad (PEAD) PE 100 PN 16 DN 110 mm</t>
  </si>
  <si>
    <t>Tubo de polietileno alta densidad (PEAD) PE 100 PN 16 DN 160 mm</t>
  </si>
  <si>
    <t>Tubo de polietileno alta densidad (PEAD) PE 100 PN 16 DN 200 mm</t>
  </si>
  <si>
    <t>Tubo de polietileno alta densidad (PEAD) PE 100 PN 16 DN 50 mm</t>
  </si>
  <si>
    <t>Tubo de polietileno alta densidad (PEAD) PE 100 PN 16 DN 75 mm</t>
  </si>
  <si>
    <t>Tubo de polietileno alta densidad (PEAD) PE 100 PN 16 DN 90 mm</t>
  </si>
  <si>
    <t>Tubo EMT 3" (por 3 m)</t>
  </si>
  <si>
    <t>Tubo EMT 2" (por 3 m)</t>
  </si>
  <si>
    <t>Tubo EMT 1" (por 3 m)</t>
  </si>
  <si>
    <t>Tubo EMT 1/2" (por 3 m)</t>
  </si>
  <si>
    <t>Tubo EMT 3/4" (por 3 m)</t>
  </si>
  <si>
    <t>Tubo galvanizada Ø=2" espesor 2,95 mm</t>
  </si>
  <si>
    <t>Tubo galvanizada para cerramiento de 1 1/2" x 6 m</t>
  </si>
  <si>
    <t>Tubo galvanizado para cerramiento de 1 1/2" x 3 m incluye tapa.</t>
  </si>
  <si>
    <t>Tubo IMC Conduit de 1 1/2" x 3 m</t>
  </si>
  <si>
    <t>Tubo IMC Conduit de 1 1/4" x 3 m</t>
  </si>
  <si>
    <t>Tubo PF + UAD 1/2" (manguera)</t>
  </si>
  <si>
    <t>Tubo PVC agua lluvia cuadrada</t>
  </si>
  <si>
    <t>Tubo PVC corrugada perforada de 100 mm (4")</t>
  </si>
  <si>
    <t>Tubo PVC corrugada perforada de 160 mm (6")</t>
  </si>
  <si>
    <t>Tubo PVC corrugada perforada de 200 mm (8")</t>
  </si>
  <si>
    <t>Tubo PVC corrugada perforada de 65 mm (2 1/2")</t>
  </si>
  <si>
    <t>Tubo PVC Novafort de 1050 mm (42")</t>
  </si>
  <si>
    <t>PAVCO Feb-2025</t>
  </si>
  <si>
    <t>Tubo PVC Novafort de 110 mm (  4")</t>
  </si>
  <si>
    <t>Tubo PVC Novafort de 160 mm (  6")</t>
  </si>
  <si>
    <t>Tubo PVC Novafort de 200 mm (  8")</t>
  </si>
  <si>
    <t>Tubo PVC Novafort de 250 mm (10")</t>
  </si>
  <si>
    <t>Tubo PVC Novafort de 315 mm (12")</t>
  </si>
  <si>
    <t>Tubo PVC Novafort de 355 mm (14")</t>
  </si>
  <si>
    <t>Tubo PVC Novafort de 400 mm (16")</t>
  </si>
  <si>
    <t>Tubo PVC Novafort de 450 mm (18")</t>
  </si>
  <si>
    <t>Tubo PVC Novafort de 500 mm (20")</t>
  </si>
  <si>
    <t>Tubo PVC Novafort de 600 mm (24")</t>
  </si>
  <si>
    <t>Tubo PVC Novafort de 675 mm (27")</t>
  </si>
  <si>
    <t>Tubo PVC Novafort de 750 mm (30")</t>
  </si>
  <si>
    <t>Tubo PVC Novafort de 825 mm (33")</t>
  </si>
  <si>
    <t>Tubo PVC Novafort de 900 mm (36")</t>
  </si>
  <si>
    <t>Tubo PVC Novafort de 975 mm (39")</t>
  </si>
  <si>
    <t>Tubo PVC presión de 1 1/2"</t>
  </si>
  <si>
    <t>Tubo PVC presión de 1 1/4"</t>
  </si>
  <si>
    <t>Tubo PVC presión de 1"</t>
  </si>
  <si>
    <t>Tubo PVC presión de 1/2"</t>
  </si>
  <si>
    <t>Tubo PVC presión de 2 1/2"</t>
  </si>
  <si>
    <t>Tubo PVC presión de 2"</t>
  </si>
  <si>
    <t>Tubo PVC presión de 3"</t>
  </si>
  <si>
    <t>Tubo PVC presión de 3/4"</t>
  </si>
  <si>
    <t>Tubo PVC presión de 4"</t>
  </si>
  <si>
    <t>Tubo PVC presión de 6"</t>
  </si>
  <si>
    <t>Tubo PVC sanitaria Ø=1 1/2"</t>
  </si>
  <si>
    <t>Tubo PVC sanitaria Ø=2"</t>
  </si>
  <si>
    <t>Tubo PVC sanitaria Ø=3"</t>
  </si>
  <si>
    <t>Tubo PVC sanitaria Ø=4"</t>
  </si>
  <si>
    <t>Tubo PVC sanitaria Ø=6"</t>
  </si>
  <si>
    <t>Tubo PVC ventilación de 1 1/2"</t>
  </si>
  <si>
    <t>Tubo PVC ventilación de 2"</t>
  </si>
  <si>
    <t>Tubo PVC ventilación de 3"</t>
  </si>
  <si>
    <t>Tubo PVC ventilación de 4"</t>
  </si>
  <si>
    <t>Tubo ranurado acero carbón sch 40 1 1/2"</t>
  </si>
  <si>
    <t>Tubo ranurado acero carbón sch 40 1 1/4"</t>
  </si>
  <si>
    <t>Tubo ranurado acero carbón sch 40 1"</t>
  </si>
  <si>
    <t>Tubo ranurado acero carbón sch 40 2 1/2"</t>
  </si>
  <si>
    <t>Tubo ranurado acero carbón sch 40 2"</t>
  </si>
  <si>
    <t>Tubo ranurado acero carbón sch 40 4"</t>
  </si>
  <si>
    <t>Tuerca galvizada 1/2"</t>
  </si>
  <si>
    <t>Unión EMT de 1/2"</t>
  </si>
  <si>
    <t>Unión EMT de 3/4"</t>
  </si>
  <si>
    <t>Unión EMT de 1"</t>
  </si>
  <si>
    <t>Unión EMT de 2"</t>
  </si>
  <si>
    <t>Unión EMT de 3"</t>
  </si>
  <si>
    <t>Valla Banner Full Color</t>
  </si>
  <si>
    <t>Valvula 1/4"</t>
  </si>
  <si>
    <t>Válvula angulo 1 1/4"</t>
  </si>
  <si>
    <t>Válvula compuerta listada ul 2 1/2"</t>
  </si>
  <si>
    <t>Válvula compuerta listada ul 2"</t>
  </si>
  <si>
    <t xml:space="preserve">Válvula de bola de 1/2" Pe Al Pe x Pe Al Pe </t>
  </si>
  <si>
    <t>Válvula de pie en bronce y canastilla plástica Ø= 1 1/2"</t>
  </si>
  <si>
    <t>Válvula de pie en bronce y canastilla plástica Ø= 1 1/4"</t>
  </si>
  <si>
    <t>Válvula de pie en bronce y canastilla plástica Ø= 1"</t>
  </si>
  <si>
    <t>Válvula de pie en bronce y canastilla plástica Ø= 1/2"</t>
  </si>
  <si>
    <t>Válvula de pie en bronce y canastilla plástica Ø= 2"</t>
  </si>
  <si>
    <t>Válvula de pie en bronce y canastilla plástica Ø= 3/4"</t>
  </si>
  <si>
    <t>Valvula flotador y acople de 1/2"</t>
  </si>
  <si>
    <t>Valvula flotador y acople de 3/4"</t>
  </si>
  <si>
    <t>Valvula globo Hierro ductil de 2 1/2" T / globo</t>
  </si>
  <si>
    <t>Valvula globo Hierro ductil de 2" T / globo</t>
  </si>
  <si>
    <t>Valvula globo Hierro ductil de 3" T / globo</t>
  </si>
  <si>
    <t>Valvula globo Hierro ductil de 4" T / globo</t>
  </si>
  <si>
    <t>Varilla cuadrada de 1/2" para reja</t>
  </si>
  <si>
    <t>Varilla cuadrada de 5/8" para reja</t>
  </si>
  <si>
    <t>Varilla cobre-cobre 5/8 "x 2.4 m.</t>
  </si>
  <si>
    <t>Varilla esqueleto fina</t>
  </si>
  <si>
    <t>Varilla roscada 1/2"</t>
  </si>
  <si>
    <t>Varillón de sajo</t>
  </si>
  <si>
    <t>Ventana / Puerta Aluminio sistema 744 T/Costo</t>
  </si>
  <si>
    <t>Ventaneria del Aluminio sistema 5020 T/Costo</t>
  </si>
  <si>
    <t>Vidrio de 4 mm transparente</t>
  </si>
  <si>
    <t>Vidrio de 5 mm transparente</t>
  </si>
  <si>
    <t>Viga Madera 2 X 5</t>
  </si>
  <si>
    <t>Viga Pátula de 4" cilindrica L=6.00</t>
  </si>
  <si>
    <t>Vigueta 0.4x2,44</t>
  </si>
  <si>
    <t>Vitriflex</t>
  </si>
  <si>
    <t>Vitroblock pared 8x19.5x19.5</t>
  </si>
  <si>
    <t>Volantes informativos media página</t>
  </si>
  <si>
    <t>Wash primer</t>
  </si>
  <si>
    <t>Yeso</t>
  </si>
  <si>
    <t>Total</t>
  </si>
  <si>
    <t>LISTA DE EQUIPOS</t>
  </si>
  <si>
    <t>CAP1</t>
  </si>
  <si>
    <t>CAP4</t>
  </si>
  <si>
    <t>CAP6</t>
  </si>
  <si>
    <t>CAP9</t>
  </si>
  <si>
    <t>CAP14</t>
  </si>
  <si>
    <t>CAP17</t>
  </si>
  <si>
    <t>CAP19</t>
  </si>
  <si>
    <t>CAP23</t>
  </si>
  <si>
    <t>CAP26</t>
  </si>
  <si>
    <t>Acarreo horizontal</t>
  </si>
  <si>
    <t>%MO</t>
  </si>
  <si>
    <t>Acarreo vertical</t>
  </si>
  <si>
    <t>Andamio</t>
  </si>
  <si>
    <t>Equipos AMC Feb-2025</t>
  </si>
  <si>
    <t>Andamio certificado</t>
  </si>
  <si>
    <t>Baño portatil 2 aseos/semana</t>
  </si>
  <si>
    <t>Rentabaños S.A.S Ene-2025</t>
  </si>
  <si>
    <t>Barreno manual (hélice, cucharón)</t>
  </si>
  <si>
    <t>Barreno para dren mecanico</t>
  </si>
  <si>
    <t>Bomba para concreto</t>
  </si>
  <si>
    <t>Bomba para gato de tensionamiento</t>
  </si>
  <si>
    <t>Hr</t>
  </si>
  <si>
    <t>Bomba para inyectar</t>
  </si>
  <si>
    <t>Bomba peristáltica manguera y kit de lanzado</t>
  </si>
  <si>
    <t>Brilladora</t>
  </si>
  <si>
    <t>Buldózer D65-8</t>
  </si>
  <si>
    <t>Cargador 930 1,5 yd3</t>
  </si>
  <si>
    <t>Carrotanque agua</t>
  </si>
  <si>
    <t>Carrotanque asfalto</t>
  </si>
  <si>
    <t>Certificación Red Interna (Por un Organismo certificador Acreditado por la ONAC)</t>
  </si>
  <si>
    <t>Cercha metalica 3m</t>
  </si>
  <si>
    <t>Cilindro compactador 2 toneladas</t>
  </si>
  <si>
    <t>Cilindro compactador vibratorio Dynapac y tractor</t>
  </si>
  <si>
    <t>Compactador manual (canguro)</t>
  </si>
  <si>
    <t>Compactador neumático con tractor</t>
  </si>
  <si>
    <t>Compresor 185 pies3 CFM de 2 martillos, incluye combustible</t>
  </si>
  <si>
    <t>Compresor de alta presión 375 CFM - 600 CFM</t>
  </si>
  <si>
    <t>Concretadora gasolina 1 o 1 1/2 sacos</t>
  </si>
  <si>
    <t>Control de agua</t>
  </si>
  <si>
    <t>Cortadora de concreto con disco</t>
  </si>
  <si>
    <t>Cortadora de ladrillo con disco</t>
  </si>
  <si>
    <t>Cortadora de pavimento autopropulsada</t>
  </si>
  <si>
    <t>Cuña hidráulica con compresor</t>
  </si>
  <si>
    <t>Diferencial de cadena 5 Ton</t>
  </si>
  <si>
    <t>Dobladora</t>
  </si>
  <si>
    <t>Equipo completo de topografía</t>
  </si>
  <si>
    <t>Equipo Crafco</t>
  </si>
  <si>
    <t>Equipo de perforación hidráulico (Trackdrill)</t>
  </si>
  <si>
    <t>Equipo móvil pintura línea vías</t>
  </si>
  <si>
    <t>Equipo perforación de pilotes</t>
  </si>
  <si>
    <t>Equipo para perforacion direccionada con acoplamientos mecanicos</t>
  </si>
  <si>
    <t>Equipos de ventilación e ilumiación</t>
  </si>
  <si>
    <t>Equipo soldadura eléctrica</t>
  </si>
  <si>
    <t>Finisher (pavimentadora) con operario</t>
  </si>
  <si>
    <t>Formaleta cónica para caissons</t>
  </si>
  <si>
    <t>Formaleta cuerpo cámara inspección</t>
  </si>
  <si>
    <t>Formaleta metálica para muros</t>
  </si>
  <si>
    <t>Formaleta pavimento concreto 3 ml</t>
  </si>
  <si>
    <t>Formaleta para placa puente con andamio de carga</t>
  </si>
  <si>
    <t>Fresadora</t>
  </si>
  <si>
    <t>Gato para tensionamiento (fuerza máx. 200 ton)</t>
  </si>
  <si>
    <t>Grua montacarga</t>
  </si>
  <si>
    <t>Grua telescópica</t>
  </si>
  <si>
    <t>Guadaña</t>
  </si>
  <si>
    <t>Helicoptero para pisos</t>
  </si>
  <si>
    <t>Herramienta menor</t>
  </si>
  <si>
    <t>Hidrolavadora industrial 3000 PSI</t>
  </si>
  <si>
    <t>Inyectora de lechada</t>
  </si>
  <si>
    <t>Manejo de tubería</t>
  </si>
  <si>
    <t>Martillo demoledor electrico</t>
  </si>
  <si>
    <t>Molinete (base, freno y manila de 15m)</t>
  </si>
  <si>
    <t>Motobomba sumergible 3" con manguera</t>
  </si>
  <si>
    <t>Motoniveladora</t>
  </si>
  <si>
    <t>Motosierra a gasolina</t>
  </si>
  <si>
    <t>Perforador saca nucleos</t>
  </si>
  <si>
    <t>Plancha de calentamiento, refrentador y carro Alineador de Ø=8" a Ø=16"</t>
  </si>
  <si>
    <t>Planta eléctrica 6 KVA</t>
  </si>
  <si>
    <t>Plantilla para estampado</t>
  </si>
  <si>
    <t>Platacho</t>
  </si>
  <si>
    <t>Pluma grua</t>
  </si>
  <si>
    <t>Prueba Hermeticidad</t>
  </si>
  <si>
    <t>Pulidora sin operario</t>
  </si>
  <si>
    <t>Rastrillo</t>
  </si>
  <si>
    <t>Recicladora de pavimento</t>
  </si>
  <si>
    <t>Regla vibradora</t>
  </si>
  <si>
    <t>Retroexcavadora de orugas capacidad 0,9 M3</t>
  </si>
  <si>
    <t>Rotomartillo manual (para perforaciones de tubería PEAD)</t>
  </si>
  <si>
    <t>Sierra circular 7 1/4"</t>
  </si>
  <si>
    <t>Soplete</t>
  </si>
  <si>
    <t>Tablero formaleta 45*135</t>
  </si>
  <si>
    <t>Tablero formaleta 70*140</t>
  </si>
  <si>
    <t>Taco metálico de 2 - &gt;3 m</t>
  </si>
  <si>
    <t>Taco metálico de 2,6 - &gt;4 m</t>
  </si>
  <si>
    <t>Taladro</t>
  </si>
  <si>
    <t>Taladro percutor</t>
  </si>
  <si>
    <t>Toma de densidades</t>
  </si>
  <si>
    <t>Vibrador eléctrico o a gasolina</t>
  </si>
  <si>
    <t>Vibrocompactador manual</t>
  </si>
  <si>
    <t>Volqueta 7 m3</t>
  </si>
  <si>
    <t>LISTA TARIFAS DE TRANSPORTE</t>
  </si>
  <si>
    <t>Camabaja</t>
  </si>
  <si>
    <t>Camión 350</t>
  </si>
  <si>
    <t>Camioneta</t>
  </si>
  <si>
    <t>Transporte materiales petreos</t>
  </si>
  <si>
    <t>M3-km</t>
  </si>
  <si>
    <t>Transporte maquinaría pesada</t>
  </si>
  <si>
    <t>Km</t>
  </si>
  <si>
    <t>ANALISIS DE PRESTACIONES SOCIALES</t>
  </si>
  <si>
    <t>AÑOS</t>
  </si>
  <si>
    <t>SMLMV:</t>
  </si>
  <si>
    <t>SUBSIDIO TRANSPORTE</t>
  </si>
  <si>
    <t>DIAS LABORALES MES</t>
  </si>
  <si>
    <t>HORAS LABORALES POR DIA</t>
  </si>
  <si>
    <t>DETALLE</t>
  </si>
  <si>
    <t xml:space="preserve"> Personal &lt; 2 SMMV</t>
  </si>
  <si>
    <t xml:space="preserve"> Personal &gt; 2 SMMV</t>
  </si>
  <si>
    <t xml:space="preserve">SALARIO </t>
  </si>
  <si>
    <t>CESANTIAS</t>
  </si>
  <si>
    <t>VACACIONES</t>
  </si>
  <si>
    <t>PRIMA DE SERVICIOS</t>
  </si>
  <si>
    <t xml:space="preserve">INTERESES A LAS CESANTIAS </t>
  </si>
  <si>
    <t>SUBSIDIO DE TRANSPORTE</t>
  </si>
  <si>
    <t>APORTES SALUD</t>
  </si>
  <si>
    <t>APORTES RIESGOS PROFESIONALES</t>
  </si>
  <si>
    <t>APORTES PENSION</t>
  </si>
  <si>
    <t>ICBF</t>
  </si>
  <si>
    <t>SENA</t>
  </si>
  <si>
    <t>APORTE CCF</t>
  </si>
  <si>
    <t>FIC</t>
  </si>
  <si>
    <t>DOTACION DE LABOR</t>
  </si>
  <si>
    <t>AJUSTE JORNADA LABORAL</t>
  </si>
  <si>
    <t>SERVICIOS MEDICOS POR PRIMER MES</t>
  </si>
  <si>
    <t>EXAMENES MEDICOS DE INGRESO</t>
  </si>
  <si>
    <t>TOTAL PRESTACIONES SOCIALES</t>
  </si>
  <si>
    <t>UN</t>
  </si>
  <si>
    <t>VALOR UNIT</t>
  </si>
  <si>
    <t>VALORES INCLUYENDO PRESTACIONES</t>
  </si>
  <si>
    <t>Ayudante (jornal + prestaciones)</t>
  </si>
  <si>
    <t>día</t>
  </si>
  <si>
    <t xml:space="preserve">Ayudante eléctrico (jornal + prestaciones) </t>
  </si>
  <si>
    <t xml:space="preserve">Ayudante práctico (jornal + prestaciones) </t>
  </si>
  <si>
    <t>Cadenero 1o (jornal + prestaciones)</t>
  </si>
  <si>
    <t>Cadenero 2o (jornal + prestaciones)</t>
  </si>
  <si>
    <t>Controlador trafico (Mes + prestaciones)</t>
  </si>
  <si>
    <t>Oficial (jornal + prestaciones)</t>
  </si>
  <si>
    <t>Oficial electrico (Jornal + prestaciones)</t>
  </si>
  <si>
    <t>Oficial soldador (Jornal + prestaciones)</t>
  </si>
  <si>
    <t>Topógrafo (jornal + prestaciones)</t>
  </si>
  <si>
    <t>Comisión topografía (topógrafo + Cadenero 1 + 2 Cadeneros 2)</t>
  </si>
  <si>
    <t>Cuadrilla 1 Of + 1 Ay (jornal + prestaciones)</t>
  </si>
  <si>
    <t>Cuadrilla 1 Of + 2 Ay (jornal + prestaciones)</t>
  </si>
  <si>
    <t>Cuadrilla 1 Of + 3 Ay (jornal + prestaciones)</t>
  </si>
  <si>
    <t>Cuadrilla 1 Of + 4 Ay (jornal + prestaciones)</t>
  </si>
  <si>
    <t>Cuadrilla 1 Of + 7 Ay (jornal + prestaciones)</t>
  </si>
  <si>
    <t>Cuadrilla 1 Of Electr. + 1 Ay (jornal + prestaciones)</t>
  </si>
  <si>
    <t>Cuadrilla 1 Of electr. + 2 Ay (jornal + prestaciones)</t>
  </si>
  <si>
    <t>Cuadrilla 1 Of electr. + 4 Ay (jornal + prestaciones)</t>
  </si>
  <si>
    <t>Cuadrilla 2 Of electr. + 4 Ay (jornal + prestaciones)</t>
  </si>
  <si>
    <t>Cuadrilla 2 Ay (jornal + prestaciones)</t>
  </si>
  <si>
    <t>Cuadrilla 2 Of + 1 Ay + 1 Ay práctico (jornal + prestaciones)</t>
  </si>
  <si>
    <t>Cuadrilla 2 Of + 4 Ay (jornal + prestaciones)</t>
  </si>
  <si>
    <t>Cuadrilla 3 Ay (jornal + prestaciones)</t>
  </si>
  <si>
    <t>Cuadrilla 4 Ay (jornal + prestaciones)</t>
  </si>
  <si>
    <t>Cuadrilla S (1Sold.+1Ay práctico) (jornal + prestaciones)</t>
  </si>
  <si>
    <t>ANALISIS DE PRECIOS UNITARIOS BASICOS</t>
  </si>
  <si>
    <t>C140</t>
  </si>
  <si>
    <t>Concreto 13.7 Mpa (producción)</t>
  </si>
  <si>
    <t>REND/DESP</t>
  </si>
  <si>
    <t>SUBTOTAL</t>
  </si>
  <si>
    <t>INSUMOS</t>
  </si>
  <si>
    <t>EQUIPOS</t>
  </si>
  <si>
    <t>MANO DE OBRA</t>
  </si>
  <si>
    <t>C175</t>
  </si>
  <si>
    <t>Concreto 17.1 Mpa (producción)</t>
  </si>
  <si>
    <t>C207</t>
  </si>
  <si>
    <t>Concreto 20,7 Mpa (producción)</t>
  </si>
  <si>
    <t>C245</t>
  </si>
  <si>
    <t>Concreto 24,5 Mpa (producción)</t>
  </si>
  <si>
    <t>C276</t>
  </si>
  <si>
    <t>Concreto 27,6 MPa  (producción)</t>
  </si>
  <si>
    <t>Concreto Cicclopeo (producción)</t>
  </si>
  <si>
    <t>M12</t>
  </si>
  <si>
    <t>Mortero 1:2  (producción)</t>
  </si>
  <si>
    <t>M13</t>
  </si>
  <si>
    <t>Mortero 1:3  (producción)</t>
  </si>
  <si>
    <t>Mortero 1:4  (producción)</t>
  </si>
  <si>
    <t>FOT</t>
  </si>
  <si>
    <t>FOL</t>
  </si>
  <si>
    <t>Formaleta con tabla</t>
  </si>
  <si>
    <t>ANALISIS DE AU 2026</t>
  </si>
  <si>
    <t>INFORMACION GENERAL DEL CONTRATO:</t>
  </si>
  <si>
    <t>OBJETO:</t>
  </si>
  <si>
    <t>AU (calculado):</t>
  </si>
  <si>
    <t>PLAZO (meses):</t>
  </si>
  <si>
    <t>DIRECTO:</t>
  </si>
  <si>
    <t>Anticipo:</t>
  </si>
  <si>
    <t>PRESUP OFICIAL:</t>
  </si>
  <si>
    <t>Salario Minimo:</t>
  </si>
  <si>
    <t>PERSONAL DE PLANILLA (con vinculacion)</t>
  </si>
  <si>
    <t>SUELDO MES</t>
  </si>
  <si>
    <t>DEDICACION MES</t>
  </si>
  <si>
    <t>No. MESES</t>
  </si>
  <si>
    <t>V/r PARCIAL</t>
  </si>
  <si>
    <t>Director de Obra Ingeniero Civil</t>
  </si>
  <si>
    <t>Residente de Obra  Ingeniero Civil 1</t>
  </si>
  <si>
    <t>Asesor SISO/HSEQ</t>
  </si>
  <si>
    <t xml:space="preserve">Maestro de Obra </t>
  </si>
  <si>
    <t>Subtotal Personal</t>
  </si>
  <si>
    <t>Factor Prestacional</t>
  </si>
  <si>
    <t>Total Personal</t>
  </si>
  <si>
    <t>PERSONAL DE PLANILLA (con vinculacion) &lt; 2 SMMLV</t>
  </si>
  <si>
    <t>Auxiliar SISO (Cuadrilla de limpieza y señalización)</t>
  </si>
  <si>
    <t>Secretaria y/o Almacenista</t>
  </si>
  <si>
    <t>Almacenista</t>
  </si>
  <si>
    <t>PERSONAL  Y ACTIVIDADES DE APOYO</t>
  </si>
  <si>
    <t>Asesor Estructural</t>
  </si>
  <si>
    <t>Asesor Hidráulica</t>
  </si>
  <si>
    <t>Asesor Geotecnista</t>
  </si>
  <si>
    <t>Asesor en Calidad</t>
  </si>
  <si>
    <t>Asesor programación</t>
  </si>
  <si>
    <t>Total personal y actividades de Apoyo</t>
  </si>
  <si>
    <t>IMPUESTOS</t>
  </si>
  <si>
    <t>Estampilla Procultura (si &gt; 15 SMMLV)</t>
  </si>
  <si>
    <t>Estampilla Pro Adulto mayor (si &gt; 30 SMMLV)</t>
  </si>
  <si>
    <t>Estampilla para la justicia familiar</t>
  </si>
  <si>
    <t>Industria y Comercio</t>
  </si>
  <si>
    <t>Contribucion Especial</t>
  </si>
  <si>
    <t xml:space="preserve">Sobretasa deporte  y recreacion </t>
  </si>
  <si>
    <t>Estampilla Pro Universidad Tecnológica</t>
  </si>
  <si>
    <t>Subtotal Impuestos</t>
  </si>
  <si>
    <t>VALOR TOTAL ADMINISTRACION</t>
  </si>
  <si>
    <t>VALOR UTILIDAD</t>
  </si>
  <si>
    <t>AU (supuesto):</t>
  </si>
  <si>
    <t>AU CALCULADO</t>
  </si>
  <si>
    <t>ANALISIS DE TRIBITACION COSTOS INDIRECTOS 2025</t>
  </si>
  <si>
    <t>ANALISIS DE PRECIOS UNITARIOS</t>
  </si>
  <si>
    <t>INTEGRAL</t>
  </si>
  <si>
    <t xml:space="preserve">Tubo conduit PVC Ø=1 1/4" </t>
  </si>
  <si>
    <t>elementos de aseo</t>
  </si>
  <si>
    <t>poceta sencilla granito pulido</t>
  </si>
  <si>
    <t>Concreto premezclado MR 3,6 Mpa para pavimento As 4"</t>
  </si>
  <si>
    <t>Caja para medidor con tapa en POLIPROPILENO</t>
  </si>
  <si>
    <t xml:space="preserve"> </t>
  </si>
  <si>
    <r>
      <t>Sardinel T1 C 20.7 Mpa sobre / placa bajo área transversal &lt; 230 cm</t>
    </r>
    <r>
      <rPr>
        <vertAlign val="superscript"/>
        <sz val="10"/>
        <color rgb="FF000000"/>
        <rFont val="Arial Nova"/>
        <family val="2"/>
      </rPr>
      <t>2</t>
    </r>
  </si>
  <si>
    <t>29,04</t>
  </si>
  <si>
    <t>ejem 1</t>
  </si>
  <si>
    <t>ejem 2</t>
  </si>
  <si>
    <t>ejem 3</t>
  </si>
  <si>
    <t>Asesor social</t>
  </si>
  <si>
    <t>Disco para pulidora</t>
  </si>
  <si>
    <t>Guarda escoba PVC 1/2 caña</t>
  </si>
  <si>
    <t>Luz de emergencia en led 120 min, 100-240 Vac, 10W, 170 Lm</t>
  </si>
  <si>
    <t>UPS 3Ø 10KVA 208/120V</t>
  </si>
  <si>
    <t>Geotextil fortgird UX 300</t>
  </si>
  <si>
    <t>INCREMENTO TEMPORAL POR EVENTO DEL SISMO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</si>
</sst>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9">
    <numFmt numFmtId="164" formatCode="\$#.00"/>
    <numFmt numFmtId="165" formatCode="_-[$€-2]* #,##0.00_-;\-[$€-2]* #,##0.00_-;_-[$€-2]* \-??_-"/>
    <numFmt numFmtId="166" formatCode="#.00"/>
    <numFmt numFmtId="167" formatCode="_-* #,##0.00_-;\-* #,##0.00_-;_-* \-??_-;_-@_-"/>
    <numFmt numFmtId="168" formatCode="_ * #,##0.00_ ;_ * \-#,##0.00_ ;_ * \-??_ ;_ @_ "/>
    <numFmt numFmtId="169" formatCode="_-* #,##0.00\ _€_-;\-* #,##0.00\ _€_-;_-* \-??\ _€_-;_-@_-"/>
    <numFmt numFmtId="170" formatCode="_(&quot;$ &quot;* #,##0.00_);_(&quot;$ &quot;* \(#,##0.00\);_(&quot;$ &quot;* \-??_);_(@_)"/>
    <numFmt numFmtId="171" formatCode="_-* #,##0_-;\-* #,##0_-;_-* \-_-;_-@_-"/>
    <numFmt numFmtId="172" formatCode="_ * #,##0_ ;_ * \-#,##0_ ;_ * \-_ ;_ @_ "/>
    <numFmt numFmtId="173" formatCode="_-* #,##0\ _€_-;\-* #,##0\ _€_-;_-* &quot;- &quot;_€_-;_-@_-"/>
    <numFmt numFmtId="174" formatCode="_-\$* #,##0.00_-;&quot;-$&quot;* #,##0.00_-;_-\$* \-??_-;_-@_-"/>
    <numFmt numFmtId="175" formatCode="_ &quot;$ &quot;* #,##0.00_ ;_ &quot;$ &quot;* \-#,##0.00_ ;_ &quot;$ &quot;* \-??_ ;_ @_ "/>
    <numFmt numFmtId="176" formatCode="0.0000"/>
    <numFmt numFmtId="177" formatCode="_-* #,##0.00&quot; Pts&quot;_-;\-* #,##0.00&quot; Pts&quot;_-;_-* \-??&quot; Pts&quot;_-;_-@_-"/>
    <numFmt numFmtId="178" formatCode="_-&quot;$ &quot;* #,##0.00_-;&quot;-$ &quot;* #,##0.00_-;_-&quot;$ &quot;* \-??_-;_-@_-"/>
    <numFmt numFmtId="179" formatCode="_(&quot;C$&quot;* #,##0.00_);_(&quot;C$&quot;* \(#,##0.00\);_(&quot;C$&quot;* \-??_);_(@_)"/>
    <numFmt numFmtId="180" formatCode="_-[$$-1409]* #,##0_-;\-[$$-1409]* #,##0_-;_-[$$-1409]* \-_-;_-@_-"/>
    <numFmt numFmtId="181" formatCode="_-\$* #,##0_-;&quot;-$&quot;* #,##0_-;_-\$* \-_-;_-@_-"/>
    <numFmt numFmtId="182" formatCode="_ &quot;Bs.S &quot;* #,##0_ ;_ &quot;Bs.S &quot;* \-#,##0_ ;_ &quot;Bs.S &quot;* \-_ ;_ @_ "/>
    <numFmt numFmtId="183" formatCode="_-&quot;$ &quot;* #,##0_-;&quot;-$ &quot;* #,##0_-;_-&quot;$ &quot;* \-_-;_-@_-"/>
    <numFmt numFmtId="184" formatCode="_-&quot;$ &quot;* #,##0_-;&quot;-$ &quot;* #,##0_-;_-&quot;$ &quot;* \-??_-;_-@_-"/>
    <numFmt numFmtId="185" formatCode="0.000"/>
    <numFmt numFmtId="186" formatCode="_-\$* #,##0_-;&quot;-$&quot;* #,##0_-;_-\$* \-??_-;_-@_-"/>
    <numFmt numFmtId="187" formatCode="_(* #,##0_);_(* \(#,##0\);_(* \-??_);_(@_)"/>
    <numFmt numFmtId="188" formatCode="0.00_ ;[Red]\-0.00\ "/>
    <numFmt numFmtId="189" formatCode="\$#,##0"/>
    <numFmt numFmtId="190" formatCode="_(* #,##0.00_);_(* \(#,##0.00\);_(* \-??_);_(@_)"/>
    <numFmt numFmtId="191" formatCode="0.0"/>
    <numFmt numFmtId="192" formatCode="0.0%"/>
  </numFmts>
  <fonts count="32">
    <font>
      <sz val="11"/>
      <color theme="1"/>
      <name val="Calibri"/>
      <family val="2"/>
      <charset val="1"/>
    </font>
    <font>
      <sz val="10"/>
      <name val="Arial"/>
      <family val="2"/>
      <charset val="1"/>
    </font>
    <font>
      <sz val="10"/>
      <name val="SWISS"/>
      <charset val="1"/>
    </font>
    <font>
      <sz val="1"/>
      <color rgb="FF000000"/>
      <name val="Courier New"/>
      <family val="3"/>
      <charset val="1"/>
    </font>
    <font>
      <i/>
      <sz val="1"/>
      <color rgb="FF000000"/>
      <name val="Courier New"/>
      <family val="3"/>
      <charset val="1"/>
    </font>
    <font>
      <b/>
      <sz val="1"/>
      <color rgb="FF000000"/>
      <name val="Courier New"/>
      <family val="3"/>
      <charset val="1"/>
    </font>
    <font>
      <sz val="9"/>
      <name val="Geneva"/>
      <family val="2"/>
    </font>
    <font>
      <sz val="11"/>
      <color rgb="FF000000"/>
      <name val="Calibri"/>
      <family val="2"/>
      <charset val="1"/>
    </font>
    <font>
      <sz val="12"/>
      <color rgb="FF000000"/>
      <name val="Calibri"/>
      <family val="2"/>
      <charset val="1"/>
    </font>
    <font>
      <sz val="10"/>
      <color rgb="FF000000"/>
      <name val="MS Sans Serif"/>
      <family val="2"/>
      <charset val="1"/>
    </font>
    <font>
      <sz val="10"/>
      <color rgb="FF000000"/>
      <name val="Arial"/>
      <family val="2"/>
      <charset val="1"/>
    </font>
    <font>
      <sz val="12"/>
      <color rgb="FF000000"/>
      <name val="Calibri"/>
      <family val="1"/>
      <charset val="1"/>
    </font>
    <font>
      <sz val="10"/>
      <color theme="1"/>
      <name val="Arial"/>
      <family val="2"/>
      <charset val="1"/>
    </font>
    <font>
      <sz val="10"/>
      <name val="Courier New"/>
      <family val="3"/>
      <charset val="1"/>
    </font>
    <font>
      <u/>
      <sz val="11"/>
      <color theme="10"/>
      <name val="Calibri"/>
      <family val="2"/>
      <charset val="1"/>
    </font>
    <font>
      <sz val="11"/>
      <color theme="1"/>
      <name val="Calibri"/>
      <family val="2"/>
      <charset val="1"/>
    </font>
    <font>
      <sz val="8"/>
      <name val="Calibri"/>
      <family val="2"/>
      <charset val="1"/>
    </font>
    <font>
      <sz val="10"/>
      <name val="Arial Nova"/>
      <family val="2"/>
    </font>
    <font>
      <sz val="10"/>
      <color theme="1"/>
      <name val="Arial Nova"/>
      <family val="2"/>
    </font>
    <font>
      <b/>
      <sz val="10"/>
      <name val="Arial Nova"/>
      <family val="2"/>
    </font>
    <font>
      <b/>
      <sz val="10"/>
      <color rgb="FF000000"/>
      <name val="Arial Nova"/>
      <family val="2"/>
    </font>
    <font>
      <sz val="10"/>
      <color rgb="FF000000"/>
      <name val="Arial Nova"/>
      <family val="2"/>
    </font>
    <font>
      <b/>
      <sz val="10"/>
      <color theme="7" tint="-0.499984740745262"/>
      <name val="Arial Nova"/>
      <family val="2"/>
    </font>
    <font>
      <b/>
      <sz val="10"/>
      <color theme="1"/>
      <name val="Arial Nova"/>
      <family val="2"/>
    </font>
    <font>
      <vertAlign val="superscript"/>
      <sz val="10"/>
      <color rgb="FF000000"/>
      <name val="Arial Nova"/>
      <family val="2"/>
    </font>
    <font>
      <sz val="10"/>
      <color rgb="FFFF0000"/>
      <name val="Arial Nova"/>
      <family val="2"/>
    </font>
    <font>
      <sz val="10"/>
      <color rgb="FFED0000"/>
      <name val="Arial Nova"/>
      <family val="2"/>
    </font>
    <font>
      <u/>
      <sz val="10"/>
      <color theme="1"/>
      <name val="Arial Nova"/>
      <family val="2"/>
    </font>
    <font>
      <b/>
      <sz val="10"/>
      <color rgb="FFFFFFFF"/>
      <name val="Arial Nova"/>
      <family val="2"/>
    </font>
    <font>
      <b/>
      <sz val="10"/>
      <color theme="1" tint="0.3498947111423078"/>
      <name val="Arial Nova"/>
      <family val="2"/>
    </font>
    <font>
      <b/>
      <sz val="10"/>
      <color theme="0" tint="-0.34998626667073579"/>
      <name val="Arial Nova"/>
      <family val="2"/>
    </font>
    <font>
      <sz val="10"/>
      <color theme="1"/>
      <name val="Arial"/>
      <family val="2"/>
    </font>
  </fonts>
  <fills count="19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CC"/>
        <bgColor rgb="FFEBF1DE"/>
      </patternFill>
    </fill>
    <fill>
      <patternFill patternType="solid">
        <fgColor theme="2"/>
        <bgColor rgb="FFEBF1DE"/>
      </patternFill>
    </fill>
    <fill>
      <patternFill patternType="solid">
        <fgColor theme="3" tint="0.59987182226020086"/>
        <bgColor rgb="FFB2B2B2"/>
      </patternFill>
    </fill>
    <fill>
      <patternFill patternType="solid">
        <fgColor theme="3" tint="0.79979857783745845"/>
        <bgColor rgb="FFD9D9D9"/>
      </patternFill>
    </fill>
    <fill>
      <patternFill patternType="solid">
        <fgColor theme="0" tint="-0.34998626667073579"/>
        <bgColor rgb="FFB2B2B2"/>
      </patternFill>
    </fill>
    <fill>
      <patternFill patternType="solid">
        <fgColor theme="7" tint="0.39979247413556324"/>
        <bgColor rgb="FFA6A6A6"/>
      </patternFill>
    </fill>
    <fill>
      <patternFill patternType="solid">
        <fgColor rgb="FF92D050"/>
        <bgColor rgb="FF9BBB59"/>
      </patternFill>
    </fill>
    <fill>
      <patternFill patternType="solid">
        <fgColor theme="0" tint="-0.14999847407452621"/>
        <bgColor rgb="FFE6E0EC"/>
      </patternFill>
    </fill>
    <fill>
      <patternFill patternType="solid">
        <fgColor rgb="FF000000"/>
        <bgColor rgb="FF003300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rgb="FFFFFFCC"/>
      </patternFill>
    </fill>
    <fill>
      <patternFill patternType="solid">
        <fgColor theme="4" tint="0.59999389629810485"/>
        <bgColor rgb="FFB2B2B2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rgb="FFFFFFFF"/>
      </patternFill>
    </fill>
    <fill>
      <patternFill patternType="solid">
        <fgColor rgb="FFFFFF00"/>
        <bgColor rgb="FFB2B2B2"/>
      </patternFill>
    </fill>
  </fills>
  <borders count="48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theme="5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/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/>
      <right/>
      <top/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auto="1"/>
      </top>
      <bottom style="medium">
        <color indexed="64"/>
      </bottom>
      <diagonal/>
    </border>
  </borders>
  <cellStyleXfs count="201">
    <xf numFmtId="0" fontId="0" fillId="0" borderId="0"/>
    <xf numFmtId="169" fontId="15" fillId="0" borderId="0" applyBorder="0" applyProtection="0"/>
    <xf numFmtId="178" fontId="15" fillId="0" borderId="0" applyBorder="0" applyProtection="0"/>
    <xf numFmtId="9" fontId="15" fillId="0" borderId="0" applyBorder="0" applyProtection="0"/>
    <xf numFmtId="0" fontId="14" fillId="0" borderId="0" applyBorder="0" applyProtection="0"/>
    <xf numFmtId="0" fontId="1" fillId="0" borderId="0"/>
    <xf numFmtId="0" fontId="2" fillId="2" borderId="0"/>
    <xf numFmtId="0" fontId="2" fillId="2" borderId="0"/>
    <xf numFmtId="0" fontId="2" fillId="2" borderId="0"/>
    <xf numFmtId="0" fontId="2" fillId="2" borderId="0"/>
    <xf numFmtId="4" fontId="3" fillId="0" borderId="0">
      <protection locked="0"/>
    </xf>
    <xf numFmtId="164" fontId="3" fillId="0" borderId="0">
      <protection locked="0"/>
    </xf>
    <xf numFmtId="0" fontId="3" fillId="0" borderId="0">
      <protection locked="0"/>
    </xf>
    <xf numFmtId="165" fontId="15" fillId="0" borderId="0" applyBorder="0" applyProtection="0"/>
    <xf numFmtId="0" fontId="3" fillId="0" borderId="0">
      <protection locked="0"/>
    </xf>
    <xf numFmtId="0" fontId="3" fillId="0" borderId="0">
      <protection locked="0"/>
    </xf>
    <xf numFmtId="0" fontId="4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4" fillId="0" borderId="0">
      <protection locked="0"/>
    </xf>
    <xf numFmtId="166" fontId="3" fillId="0" borderId="0">
      <protection locked="0"/>
    </xf>
    <xf numFmtId="0" fontId="5" fillId="0" borderId="0">
      <protection locked="0"/>
    </xf>
    <xf numFmtId="167" fontId="15" fillId="0" borderId="0" applyBorder="0" applyProtection="0"/>
    <xf numFmtId="168" fontId="15" fillId="0" borderId="0" applyBorder="0" applyProtection="0"/>
    <xf numFmtId="167" fontId="15" fillId="0" borderId="0" applyBorder="0" applyProtection="0"/>
    <xf numFmtId="167" fontId="15" fillId="0" borderId="0" applyBorder="0" applyProtection="0"/>
    <xf numFmtId="167" fontId="15" fillId="0" borderId="0" applyBorder="0" applyProtection="0"/>
    <xf numFmtId="167" fontId="15" fillId="0" borderId="0" applyBorder="0" applyProtection="0"/>
    <xf numFmtId="167" fontId="15" fillId="0" borderId="0" applyBorder="0" applyProtection="0"/>
    <xf numFmtId="168" fontId="15" fillId="0" borderId="0" applyBorder="0" applyProtection="0"/>
    <xf numFmtId="168" fontId="15" fillId="0" borderId="0" applyBorder="0" applyProtection="0"/>
    <xf numFmtId="168" fontId="15" fillId="0" borderId="0" applyBorder="0" applyProtection="0"/>
    <xf numFmtId="168" fontId="15" fillId="0" borderId="0" applyBorder="0" applyProtection="0"/>
    <xf numFmtId="168" fontId="15" fillId="0" borderId="0" applyBorder="0" applyProtection="0"/>
    <xf numFmtId="168" fontId="15" fillId="0" borderId="0" applyBorder="0" applyProtection="0"/>
    <xf numFmtId="168" fontId="15" fillId="0" borderId="0" applyBorder="0" applyProtection="0"/>
    <xf numFmtId="169" fontId="15" fillId="0" borderId="0" applyBorder="0" applyProtection="0"/>
    <xf numFmtId="169" fontId="15" fillId="0" borderId="0" applyBorder="0" applyProtection="0"/>
    <xf numFmtId="169" fontId="15" fillId="0" borderId="0" applyBorder="0" applyProtection="0"/>
    <xf numFmtId="0" fontId="15" fillId="0" borderId="0" applyBorder="0" applyProtection="0"/>
    <xf numFmtId="167" fontId="15" fillId="0" borderId="0" applyBorder="0" applyProtection="0"/>
    <xf numFmtId="168" fontId="15" fillId="0" borderId="0" applyBorder="0" applyProtection="0"/>
    <xf numFmtId="169" fontId="15" fillId="0" borderId="0" applyBorder="0" applyProtection="0"/>
    <xf numFmtId="168" fontId="15" fillId="0" borderId="0" applyBorder="0" applyProtection="0"/>
    <xf numFmtId="167" fontId="15" fillId="0" borderId="0" applyBorder="0" applyProtection="0"/>
    <xf numFmtId="167" fontId="15" fillId="0" borderId="0" applyBorder="0" applyProtection="0"/>
    <xf numFmtId="167" fontId="15" fillId="0" borderId="0" applyBorder="0" applyProtection="0"/>
    <xf numFmtId="167" fontId="15" fillId="0" borderId="0" applyBorder="0" applyProtection="0"/>
    <xf numFmtId="170" fontId="15" fillId="0" borderId="0" applyBorder="0" applyProtection="0"/>
    <xf numFmtId="168" fontId="15" fillId="0" borderId="0" applyBorder="0" applyProtection="0"/>
    <xf numFmtId="167" fontId="15" fillId="0" borderId="0" applyBorder="0" applyProtection="0"/>
    <xf numFmtId="168" fontId="15" fillId="0" borderId="0" applyBorder="0" applyProtection="0"/>
    <xf numFmtId="167" fontId="15" fillId="0" borderId="0" applyBorder="0" applyProtection="0"/>
    <xf numFmtId="167" fontId="15" fillId="0" borderId="0" applyBorder="0" applyProtection="0"/>
    <xf numFmtId="169" fontId="15" fillId="0" borderId="0" applyBorder="0" applyProtection="0"/>
    <xf numFmtId="169" fontId="15" fillId="0" borderId="0" applyBorder="0" applyProtection="0"/>
    <xf numFmtId="167" fontId="15" fillId="0" borderId="0" applyBorder="0" applyProtection="0"/>
    <xf numFmtId="167" fontId="15" fillId="0" borderId="0" applyBorder="0" applyProtection="0"/>
    <xf numFmtId="167" fontId="15" fillId="0" borderId="0" applyBorder="0" applyProtection="0"/>
    <xf numFmtId="168" fontId="15" fillId="0" borderId="0" applyBorder="0" applyProtection="0"/>
    <xf numFmtId="168" fontId="15" fillId="0" borderId="0" applyBorder="0" applyProtection="0"/>
    <xf numFmtId="168" fontId="15" fillId="0" borderId="0" applyBorder="0" applyProtection="0"/>
    <xf numFmtId="168" fontId="15" fillId="0" borderId="0" applyBorder="0" applyProtection="0"/>
    <xf numFmtId="171" fontId="15" fillId="0" borderId="0" applyBorder="0" applyProtection="0"/>
    <xf numFmtId="171" fontId="15" fillId="0" borderId="0" applyBorder="0" applyProtection="0"/>
    <xf numFmtId="171" fontId="15" fillId="0" borderId="0" applyBorder="0" applyProtection="0"/>
    <xf numFmtId="171" fontId="15" fillId="0" borderId="0" applyBorder="0" applyProtection="0"/>
    <xf numFmtId="171" fontId="15" fillId="0" borderId="0" applyBorder="0" applyProtection="0"/>
    <xf numFmtId="171" fontId="15" fillId="0" borderId="0" applyBorder="0" applyProtection="0"/>
    <xf numFmtId="171" fontId="15" fillId="0" borderId="0" applyBorder="0" applyProtection="0"/>
    <xf numFmtId="171" fontId="15" fillId="0" borderId="0" applyBorder="0" applyProtection="0"/>
    <xf numFmtId="171" fontId="15" fillId="0" borderId="0" applyBorder="0" applyProtection="0"/>
    <xf numFmtId="171" fontId="15" fillId="0" borderId="0" applyBorder="0" applyProtection="0"/>
    <xf numFmtId="171" fontId="15" fillId="0" borderId="0" applyBorder="0" applyProtection="0"/>
    <xf numFmtId="172" fontId="15" fillId="0" borderId="0" applyBorder="0" applyProtection="0"/>
    <xf numFmtId="173" fontId="15" fillId="0" borderId="0" applyBorder="0" applyProtection="0"/>
    <xf numFmtId="171" fontId="15" fillId="0" borderId="0" applyBorder="0" applyProtection="0"/>
    <xf numFmtId="172" fontId="15" fillId="0" borderId="0" applyBorder="0" applyProtection="0"/>
    <xf numFmtId="171" fontId="15" fillId="0" borderId="0" applyBorder="0" applyProtection="0"/>
    <xf numFmtId="174" fontId="15" fillId="0" borderId="0" applyBorder="0" applyProtection="0"/>
    <xf numFmtId="174" fontId="15" fillId="0" borderId="0" applyBorder="0" applyProtection="0"/>
    <xf numFmtId="174" fontId="15" fillId="0" borderId="0" applyBorder="0" applyProtection="0"/>
    <xf numFmtId="174" fontId="15" fillId="0" borderId="0" applyBorder="0" applyProtection="0"/>
    <xf numFmtId="174" fontId="15" fillId="0" borderId="0" applyBorder="0" applyProtection="0"/>
    <xf numFmtId="174" fontId="15" fillId="0" borderId="0" applyBorder="0" applyProtection="0"/>
    <xf numFmtId="174" fontId="15" fillId="0" borderId="0" applyBorder="0" applyProtection="0"/>
    <xf numFmtId="174" fontId="15" fillId="0" borderId="0" applyBorder="0" applyProtection="0"/>
    <xf numFmtId="174" fontId="15" fillId="0" borderId="0" applyBorder="0" applyProtection="0"/>
    <xf numFmtId="174" fontId="15" fillId="0" borderId="0" applyBorder="0" applyProtection="0"/>
    <xf numFmtId="175" fontId="15" fillId="0" borderId="0" applyBorder="0" applyProtection="0"/>
    <xf numFmtId="176" fontId="15" fillId="0" borderId="0" applyBorder="0" applyProtection="0"/>
    <xf numFmtId="170" fontId="15" fillId="0" borderId="0" applyBorder="0" applyProtection="0"/>
    <xf numFmtId="177" fontId="15" fillId="0" borderId="0" applyBorder="0" applyProtection="0"/>
    <xf numFmtId="170" fontId="15" fillId="0" borderId="0" applyBorder="0" applyProtection="0"/>
    <xf numFmtId="170" fontId="15" fillId="0" borderId="0" applyBorder="0" applyProtection="0"/>
    <xf numFmtId="170" fontId="15" fillId="0" borderId="0" applyBorder="0" applyProtection="0"/>
    <xf numFmtId="178" fontId="15" fillId="0" borderId="0" applyBorder="0" applyProtection="0"/>
    <xf numFmtId="174" fontId="15" fillId="0" borderId="0" applyBorder="0" applyProtection="0"/>
    <xf numFmtId="179" fontId="15" fillId="0" borderId="0" applyBorder="0" applyProtection="0"/>
    <xf numFmtId="171" fontId="15" fillId="0" borderId="0" applyBorder="0" applyProtection="0"/>
    <xf numFmtId="174" fontId="15" fillId="0" borderId="0" applyBorder="0" applyProtection="0"/>
    <xf numFmtId="177" fontId="15" fillId="0" borderId="0" applyBorder="0" applyProtection="0"/>
    <xf numFmtId="178" fontId="15" fillId="0" borderId="0" applyBorder="0" applyProtection="0"/>
    <xf numFmtId="169" fontId="15" fillId="0" borderId="0" applyBorder="0" applyProtection="0"/>
    <xf numFmtId="179" fontId="15" fillId="0" borderId="0" applyBorder="0" applyProtection="0"/>
    <xf numFmtId="174" fontId="15" fillId="0" borderId="0" applyBorder="0" applyProtection="0"/>
    <xf numFmtId="175" fontId="15" fillId="0" borderId="0" applyBorder="0" applyProtection="0"/>
    <xf numFmtId="169" fontId="15" fillId="0" borderId="0" applyBorder="0" applyProtection="0"/>
    <xf numFmtId="180" fontId="15" fillId="0" borderId="0" applyBorder="0" applyProtection="0"/>
    <xf numFmtId="174" fontId="15" fillId="0" borderId="0" applyBorder="0" applyProtection="0"/>
    <xf numFmtId="179" fontId="15" fillId="0" borderId="0" applyBorder="0" applyProtection="0"/>
    <xf numFmtId="170" fontId="15" fillId="0" borderId="0" applyBorder="0" applyProtection="0"/>
    <xf numFmtId="174" fontId="15" fillId="0" borderId="0" applyBorder="0" applyProtection="0"/>
    <xf numFmtId="178" fontId="15" fillId="0" borderId="0" applyBorder="0" applyProtection="0"/>
    <xf numFmtId="174" fontId="15" fillId="0" borderId="0" applyBorder="0" applyProtection="0"/>
    <xf numFmtId="174" fontId="15" fillId="0" borderId="0" applyBorder="0" applyProtection="0"/>
    <xf numFmtId="181" fontId="15" fillId="0" borderId="0" applyBorder="0" applyProtection="0"/>
    <xf numFmtId="182" fontId="15" fillId="0" borderId="0" applyBorder="0" applyProtection="0"/>
    <xf numFmtId="181" fontId="15" fillId="0" borderId="0" applyBorder="0" applyProtection="0"/>
    <xf numFmtId="183" fontId="15" fillId="0" borderId="0" applyBorder="0" applyProtection="0"/>
    <xf numFmtId="0" fontId="15" fillId="0" borderId="0" applyBorder="0" applyProtection="0"/>
    <xf numFmtId="0" fontId="15" fillId="0" borderId="0"/>
    <xf numFmtId="0" fontId="15" fillId="0" borderId="0"/>
    <xf numFmtId="0" fontId="1" fillId="0" borderId="0"/>
    <xf numFmtId="0" fontId="15" fillId="0" borderId="0"/>
    <xf numFmtId="0" fontId="15" fillId="0" borderId="0"/>
    <xf numFmtId="0" fontId="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0" borderId="0"/>
    <xf numFmtId="0" fontId="1" fillId="0" borderId="0"/>
    <xf numFmtId="0" fontId="1" fillId="0" borderId="0"/>
    <xf numFmtId="0" fontId="1" fillId="0" borderId="0"/>
    <xf numFmtId="18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5" fillId="0" borderId="0"/>
    <xf numFmtId="0" fontId="1" fillId="0" borderId="0"/>
    <xf numFmtId="0" fontId="7" fillId="0" borderId="0"/>
    <xf numFmtId="0" fontId="15" fillId="0" borderId="0"/>
    <xf numFmtId="0" fontId="15" fillId="0" borderId="0"/>
    <xf numFmtId="0" fontId="15" fillId="0" borderId="0"/>
    <xf numFmtId="0" fontId="8" fillId="0" borderId="0"/>
    <xf numFmtId="0" fontId="15" fillId="0" borderId="0"/>
    <xf numFmtId="0" fontId="1" fillId="0" borderId="0"/>
    <xf numFmtId="0" fontId="9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80" fontId="1" fillId="0" borderId="0"/>
    <xf numFmtId="0" fontId="15" fillId="0" borderId="0"/>
    <xf numFmtId="0" fontId="1" fillId="0" borderId="0"/>
    <xf numFmtId="0" fontId="15" fillId="0" borderId="0"/>
    <xf numFmtId="0" fontId="15" fillId="0" borderId="0"/>
    <xf numFmtId="0" fontId="1" fillId="0" borderId="0"/>
    <xf numFmtId="0" fontId="1" fillId="0" borderId="0"/>
    <xf numFmtId="0" fontId="10" fillId="0" borderId="0"/>
    <xf numFmtId="0" fontId="11" fillId="0" borderId="0"/>
    <xf numFmtId="180" fontId="15" fillId="0" borderId="0"/>
    <xf numFmtId="0" fontId="1" fillId="0" borderId="0"/>
    <xf numFmtId="180" fontId="15" fillId="0" borderId="0"/>
    <xf numFmtId="0" fontId="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0" borderId="0"/>
    <xf numFmtId="0" fontId="1" fillId="0" borderId="0"/>
    <xf numFmtId="180" fontId="1" fillId="0" borderId="0"/>
    <xf numFmtId="0" fontId="1" fillId="0" borderId="0"/>
    <xf numFmtId="0" fontId="1" fillId="0" borderId="0"/>
    <xf numFmtId="0" fontId="12" fillId="0" borderId="0"/>
    <xf numFmtId="180" fontId="15" fillId="0" borderId="0"/>
    <xf numFmtId="39" fontId="13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3" borderId="1" applyProtection="0"/>
    <xf numFmtId="9" fontId="15" fillId="0" borderId="0" applyBorder="0" applyProtection="0"/>
    <xf numFmtId="9" fontId="15" fillId="0" borderId="0" applyBorder="0" applyProtection="0"/>
    <xf numFmtId="9" fontId="15" fillId="0" borderId="0" applyBorder="0" applyProtection="0"/>
    <xf numFmtId="9" fontId="15" fillId="0" borderId="0" applyBorder="0" applyProtection="0"/>
    <xf numFmtId="9" fontId="15" fillId="0" borderId="0" applyBorder="0" applyProtection="0"/>
    <xf numFmtId="9" fontId="15" fillId="0" borderId="0" applyBorder="0" applyProtection="0"/>
    <xf numFmtId="9" fontId="15" fillId="0" borderId="0" applyBorder="0" applyProtection="0"/>
    <xf numFmtId="9" fontId="15" fillId="0" borderId="0" applyBorder="0" applyProtection="0"/>
    <xf numFmtId="9" fontId="15" fillId="0" borderId="0" applyBorder="0" applyProtection="0"/>
    <xf numFmtId="9" fontId="7" fillId="0" borderId="0" applyBorder="0" applyProtection="0"/>
    <xf numFmtId="0" fontId="2" fillId="2" borderId="0"/>
  </cellStyleXfs>
  <cellXfs count="331">
    <xf numFmtId="0" fontId="0" fillId="0" borderId="0" xfId="0"/>
    <xf numFmtId="49" fontId="19" fillId="2" borderId="0" xfId="0" applyNumberFormat="1" applyFont="1" applyFill="1" applyAlignment="1">
      <alignment vertical="center" wrapText="1"/>
    </xf>
    <xf numFmtId="184" fontId="19" fillId="2" borderId="0" xfId="2" applyNumberFormat="1" applyFont="1" applyFill="1" applyBorder="1" applyAlignment="1" applyProtection="1">
      <alignment vertical="center" wrapText="1"/>
    </xf>
    <xf numFmtId="0" fontId="18" fillId="0" borderId="0" xfId="0" applyFont="1" applyAlignment="1">
      <alignment vertical="center" wrapText="1"/>
    </xf>
    <xf numFmtId="49" fontId="19" fillId="2" borderId="18" xfId="0" applyNumberFormat="1" applyFont="1" applyFill="1" applyBorder="1" applyAlignment="1">
      <alignment vertical="center" wrapText="1"/>
    </xf>
    <xf numFmtId="184" fontId="19" fillId="2" borderId="18" xfId="2" applyNumberFormat="1" applyFont="1" applyFill="1" applyBorder="1" applyAlignment="1" applyProtection="1">
      <alignment vertical="center" wrapText="1"/>
    </xf>
    <xf numFmtId="49" fontId="19" fillId="7" borderId="19" xfId="0" applyNumberFormat="1" applyFont="1" applyFill="1" applyBorder="1" applyAlignment="1">
      <alignment horizontal="right" vertical="center" wrapText="1"/>
    </xf>
    <xf numFmtId="0" fontId="19" fillId="7" borderId="20" xfId="0" applyFont="1" applyFill="1" applyBorder="1" applyAlignment="1">
      <alignment horizontal="left" vertical="center" wrapText="1"/>
    </xf>
    <xf numFmtId="0" fontId="19" fillId="7" borderId="20" xfId="0" applyFont="1" applyFill="1" applyBorder="1" applyAlignment="1">
      <alignment horizontal="center" vertical="center" wrapText="1"/>
    </xf>
    <xf numFmtId="0" fontId="20" fillId="7" borderId="20" xfId="1" applyNumberFormat="1" applyFont="1" applyFill="1" applyBorder="1" applyAlignment="1" applyProtection="1">
      <alignment horizontal="right" vertical="center" wrapText="1"/>
    </xf>
    <xf numFmtId="169" fontId="19" fillId="7" borderId="20" xfId="1" applyFont="1" applyFill="1" applyBorder="1" applyAlignment="1" applyProtection="1">
      <alignment horizontal="right" vertical="center" wrapText="1"/>
    </xf>
    <xf numFmtId="188" fontId="20" fillId="7" borderId="20" xfId="0" applyNumberFormat="1" applyFont="1" applyFill="1" applyBorder="1" applyAlignment="1">
      <alignment horizontal="center" vertical="center" wrapText="1"/>
    </xf>
    <xf numFmtId="184" fontId="20" fillId="7" borderId="21" xfId="2" applyNumberFormat="1" applyFont="1" applyFill="1" applyBorder="1" applyAlignment="1" applyProtection="1">
      <alignment horizontal="right" vertical="center" wrapText="1"/>
    </xf>
    <xf numFmtId="184" fontId="20" fillId="7" borderId="36" xfId="2" applyNumberFormat="1" applyFont="1" applyFill="1" applyBorder="1" applyAlignment="1" applyProtection="1">
      <alignment horizontal="right" vertical="center" wrapText="1"/>
    </xf>
    <xf numFmtId="49" fontId="19" fillId="5" borderId="37" xfId="0" applyNumberFormat="1" applyFont="1" applyFill="1" applyBorder="1" applyAlignment="1">
      <alignment horizontal="center" vertical="center" wrapText="1"/>
    </xf>
    <xf numFmtId="0" fontId="19" fillId="5" borderId="12" xfId="0" applyFont="1" applyFill="1" applyBorder="1" applyAlignment="1">
      <alignment horizontal="center" vertical="center" wrapText="1"/>
    </xf>
    <xf numFmtId="0" fontId="19" fillId="5" borderId="12" xfId="1" applyNumberFormat="1" applyFont="1" applyFill="1" applyBorder="1" applyAlignment="1" applyProtection="1">
      <alignment horizontal="center" vertical="center" wrapText="1"/>
    </xf>
    <xf numFmtId="184" fontId="19" fillId="5" borderId="12" xfId="2" applyNumberFormat="1" applyFont="1" applyFill="1" applyBorder="1" applyAlignment="1" applyProtection="1">
      <alignment horizontal="center" vertical="center" wrapText="1"/>
    </xf>
    <xf numFmtId="188" fontId="19" fillId="5" borderId="12" xfId="1" applyNumberFormat="1" applyFont="1" applyFill="1" applyBorder="1" applyAlignment="1" applyProtection="1">
      <alignment horizontal="center" vertical="center" wrapText="1"/>
    </xf>
    <xf numFmtId="184" fontId="19" fillId="5" borderId="38" xfId="2" applyNumberFormat="1" applyFont="1" applyFill="1" applyBorder="1" applyAlignment="1" applyProtection="1">
      <alignment horizontal="center" vertical="center" wrapText="1"/>
    </xf>
    <xf numFmtId="184" fontId="19" fillId="5" borderId="39" xfId="2" applyNumberFormat="1" applyFont="1" applyFill="1" applyBorder="1" applyAlignment="1" applyProtection="1">
      <alignment horizontal="center" vertical="center" wrapText="1"/>
    </xf>
    <xf numFmtId="49" fontId="20" fillId="6" borderId="22" xfId="0" applyNumberFormat="1" applyFont="1" applyFill="1" applyBorder="1" applyAlignment="1">
      <alignment horizontal="center" vertical="center" wrapText="1"/>
    </xf>
    <xf numFmtId="0" fontId="20" fillId="6" borderId="11" xfId="0" applyFont="1" applyFill="1" applyBorder="1" applyAlignment="1">
      <alignment horizontal="center" vertical="center" wrapText="1"/>
    </xf>
    <xf numFmtId="0" fontId="20" fillId="6" borderId="23" xfId="0" applyFont="1" applyFill="1" applyBorder="1" applyAlignment="1">
      <alignment horizontal="center" vertical="center" wrapText="1"/>
    </xf>
    <xf numFmtId="0" fontId="20" fillId="6" borderId="23" xfId="1" applyNumberFormat="1" applyFont="1" applyFill="1" applyBorder="1" applyAlignment="1" applyProtection="1">
      <alignment horizontal="center" vertical="center" wrapText="1"/>
    </xf>
    <xf numFmtId="184" fontId="19" fillId="6" borderId="23" xfId="2" applyNumberFormat="1" applyFont="1" applyFill="1" applyBorder="1" applyAlignment="1" applyProtection="1">
      <alignment horizontal="center" vertical="center" wrapText="1"/>
    </xf>
    <xf numFmtId="188" fontId="20" fillId="6" borderId="16" xfId="1" applyNumberFormat="1" applyFont="1" applyFill="1" applyBorder="1" applyAlignment="1" applyProtection="1">
      <alignment horizontal="center" vertical="center" wrapText="1"/>
    </xf>
    <xf numFmtId="184" fontId="20" fillId="6" borderId="24" xfId="2" applyNumberFormat="1" applyFont="1" applyFill="1" applyBorder="1" applyAlignment="1" applyProtection="1">
      <alignment horizontal="center" vertical="center" wrapText="1"/>
    </xf>
    <xf numFmtId="49" fontId="21" fillId="2" borderId="25" xfId="0" applyNumberFormat="1" applyFont="1" applyFill="1" applyBorder="1" applyAlignment="1">
      <alignment horizontal="center" vertical="center" wrapText="1"/>
    </xf>
    <xf numFmtId="0" fontId="21" fillId="2" borderId="2" xfId="0" applyFont="1" applyFill="1" applyBorder="1" applyAlignment="1">
      <alignment horizontal="left" vertical="center" wrapText="1"/>
    </xf>
    <xf numFmtId="0" fontId="21" fillId="2" borderId="2" xfId="0" applyFont="1" applyFill="1" applyBorder="1" applyAlignment="1">
      <alignment horizontal="center" vertical="center" wrapText="1"/>
    </xf>
    <xf numFmtId="0" fontId="21" fillId="2" borderId="2" xfId="1" applyNumberFormat="1" applyFont="1" applyFill="1" applyBorder="1" applyAlignment="1" applyProtection="1">
      <alignment horizontal="center" vertical="center" wrapText="1"/>
    </xf>
    <xf numFmtId="184" fontId="17" fillId="2" borderId="2" xfId="2" applyNumberFormat="1" applyFont="1" applyFill="1" applyBorder="1" applyAlignment="1" applyProtection="1">
      <alignment horizontal="center" vertical="center" wrapText="1"/>
    </xf>
    <xf numFmtId="188" fontId="21" fillId="2" borderId="2" xfId="1" applyNumberFormat="1" applyFont="1" applyFill="1" applyBorder="1" applyAlignment="1" applyProtection="1">
      <alignment horizontal="center" vertical="center" wrapText="1"/>
    </xf>
    <xf numFmtId="184" fontId="21" fillId="2" borderId="24" xfId="2" applyNumberFormat="1" applyFont="1" applyFill="1" applyBorder="1" applyAlignment="1" applyProtection="1">
      <alignment horizontal="right" vertical="center" wrapText="1"/>
    </xf>
    <xf numFmtId="49" fontId="21" fillId="2" borderId="26" xfId="0" applyNumberFormat="1" applyFont="1" applyFill="1" applyBorder="1" applyAlignment="1">
      <alignment horizontal="center" vertical="center" wrapText="1"/>
    </xf>
    <xf numFmtId="0" fontId="21" fillId="2" borderId="27" xfId="0" applyFont="1" applyFill="1" applyBorder="1" applyAlignment="1">
      <alignment horizontal="left" vertical="center" wrapText="1"/>
    </xf>
    <xf numFmtId="0" fontId="21" fillId="2" borderId="27" xfId="0" applyFont="1" applyFill="1" applyBorder="1" applyAlignment="1">
      <alignment horizontal="center" vertical="center" wrapText="1"/>
    </xf>
    <xf numFmtId="0" fontId="21" fillId="2" borderId="27" xfId="1" applyNumberFormat="1" applyFont="1" applyFill="1" applyBorder="1" applyAlignment="1" applyProtection="1">
      <alignment horizontal="center" vertical="center" wrapText="1"/>
    </xf>
    <xf numFmtId="184" fontId="17" fillId="2" borderId="27" xfId="2" applyNumberFormat="1" applyFont="1" applyFill="1" applyBorder="1" applyAlignment="1" applyProtection="1">
      <alignment horizontal="center" vertical="center" wrapText="1"/>
    </xf>
    <xf numFmtId="188" fontId="21" fillId="2" borderId="27" xfId="1" applyNumberFormat="1" applyFont="1" applyFill="1" applyBorder="1" applyAlignment="1" applyProtection="1">
      <alignment horizontal="center" vertical="center" wrapText="1"/>
    </xf>
    <xf numFmtId="184" fontId="21" fillId="2" borderId="28" xfId="2" applyNumberFormat="1" applyFont="1" applyFill="1" applyBorder="1" applyAlignment="1" applyProtection="1">
      <alignment horizontal="right" vertical="center" wrapText="1"/>
    </xf>
    <xf numFmtId="184" fontId="21" fillId="2" borderId="41" xfId="2" applyNumberFormat="1" applyFont="1" applyFill="1" applyBorder="1" applyAlignment="1" applyProtection="1">
      <alignment horizontal="right" vertical="center" wrapText="1"/>
    </xf>
    <xf numFmtId="184" fontId="21" fillId="2" borderId="40" xfId="2" applyNumberFormat="1" applyFont="1" applyFill="1" applyBorder="1" applyAlignment="1" applyProtection="1">
      <alignment horizontal="right" vertical="center" wrapText="1"/>
    </xf>
    <xf numFmtId="184" fontId="20" fillId="6" borderId="40" xfId="2" applyNumberFormat="1" applyFont="1" applyFill="1" applyBorder="1" applyAlignment="1" applyProtection="1">
      <alignment horizontal="center" vertical="center" wrapText="1"/>
    </xf>
    <xf numFmtId="0" fontId="20" fillId="7" borderId="36" xfId="2" applyNumberFormat="1" applyFont="1" applyFill="1" applyBorder="1" applyAlignment="1" applyProtection="1">
      <alignment horizontal="right" vertical="center" wrapText="1"/>
    </xf>
    <xf numFmtId="169" fontId="18" fillId="0" borderId="0" xfId="1" applyFont="1" applyBorder="1" applyAlignment="1" applyProtection="1">
      <alignment vertical="center" wrapText="1"/>
    </xf>
    <xf numFmtId="184" fontId="18" fillId="0" borderId="0" xfId="0" applyNumberFormat="1" applyFont="1" applyAlignment="1">
      <alignment vertical="center" wrapText="1"/>
    </xf>
    <xf numFmtId="49" fontId="18" fillId="0" borderId="0" xfId="0" applyNumberFormat="1" applyFont="1" applyAlignment="1">
      <alignment vertical="center" wrapText="1"/>
    </xf>
    <xf numFmtId="0" fontId="17" fillId="0" borderId="0" xfId="0" applyFont="1" applyAlignment="1">
      <alignment vertical="center" wrapText="1"/>
    </xf>
    <xf numFmtId="0" fontId="21" fillId="0" borderId="0" xfId="0" applyFont="1" applyAlignment="1">
      <alignment vertical="center" wrapText="1"/>
    </xf>
    <xf numFmtId="0" fontId="21" fillId="0" borderId="0" xfId="0" applyFont="1" applyAlignment="1">
      <alignment horizontal="left" vertical="center" wrapText="1"/>
    </xf>
    <xf numFmtId="0" fontId="20" fillId="6" borderId="11" xfId="0" applyFont="1" applyFill="1" applyBorder="1" applyAlignment="1">
      <alignment horizontal="left" vertical="center" wrapText="1"/>
    </xf>
    <xf numFmtId="37" fontId="21" fillId="0" borderId="0" xfId="0" applyNumberFormat="1" applyFont="1" applyAlignment="1">
      <alignment horizontal="left" vertical="center" wrapText="1"/>
    </xf>
    <xf numFmtId="184" fontId="21" fillId="0" borderId="0" xfId="2" applyNumberFormat="1" applyFont="1" applyAlignment="1">
      <alignment horizontal="left" vertical="center" wrapText="1"/>
    </xf>
    <xf numFmtId="0" fontId="17" fillId="2" borderId="0" xfId="0" applyFont="1" applyFill="1" applyAlignment="1">
      <alignment vertical="center" wrapText="1"/>
    </xf>
    <xf numFmtId="49" fontId="19" fillId="4" borderId="0" xfId="0" applyNumberFormat="1" applyFont="1" applyFill="1" applyAlignment="1">
      <alignment horizontal="center" vertical="center" wrapText="1"/>
    </xf>
    <xf numFmtId="0" fontId="19" fillId="4" borderId="0" xfId="0" applyFont="1" applyFill="1" applyAlignment="1">
      <alignment horizontal="center" vertical="center" wrapText="1"/>
    </xf>
    <xf numFmtId="184" fontId="19" fillId="4" borderId="0" xfId="2" applyNumberFormat="1" applyFont="1" applyFill="1" applyBorder="1" applyAlignment="1" applyProtection="1">
      <alignment horizontal="center" vertical="center" wrapText="1"/>
    </xf>
    <xf numFmtId="3" fontId="19" fillId="4" borderId="0" xfId="2" applyNumberFormat="1" applyFont="1" applyFill="1" applyBorder="1" applyAlignment="1" applyProtection="1">
      <alignment horizontal="center" vertical="center" wrapText="1"/>
    </xf>
    <xf numFmtId="2" fontId="22" fillId="15" borderId="2" xfId="4" applyNumberFormat="1" applyFont="1" applyFill="1" applyBorder="1" applyAlignment="1" applyProtection="1">
      <alignment horizontal="center" vertical="center" wrapText="1"/>
    </xf>
    <xf numFmtId="49" fontId="20" fillId="15" borderId="2" xfId="0" applyNumberFormat="1" applyFont="1" applyFill="1" applyBorder="1" applyAlignment="1">
      <alignment vertical="center" wrapText="1"/>
    </xf>
    <xf numFmtId="0" fontId="20" fillId="15" borderId="2" xfId="0" applyFont="1" applyFill="1" applyBorder="1" applyAlignment="1">
      <alignment horizontal="center" vertical="center" wrapText="1"/>
    </xf>
    <xf numFmtId="169" fontId="20" fillId="15" borderId="2" xfId="1" applyFont="1" applyFill="1" applyBorder="1" applyAlignment="1" applyProtection="1">
      <alignment vertical="center" wrapText="1"/>
    </xf>
    <xf numFmtId="184" fontId="20" fillId="15" borderId="2" xfId="2" applyNumberFormat="1" applyFont="1" applyFill="1" applyBorder="1" applyAlignment="1" applyProtection="1">
      <alignment vertical="center" wrapText="1"/>
    </xf>
    <xf numFmtId="184" fontId="23" fillId="16" borderId="2" xfId="2" applyNumberFormat="1" applyFont="1" applyFill="1" applyBorder="1" applyAlignment="1" applyProtection="1">
      <alignment vertical="center"/>
    </xf>
    <xf numFmtId="192" fontId="23" fillId="16" borderId="0" xfId="3" applyNumberFormat="1" applyFont="1" applyFill="1" applyBorder="1" applyAlignment="1" applyProtection="1">
      <alignment vertical="center"/>
    </xf>
    <xf numFmtId="49" fontId="21" fillId="2" borderId="2" xfId="0" applyNumberFormat="1" applyFont="1" applyFill="1" applyBorder="1" applyAlignment="1">
      <alignment horizontal="center" vertical="center" wrapText="1"/>
    </xf>
    <xf numFmtId="169" fontId="21" fillId="2" borderId="2" xfId="1" applyFont="1" applyFill="1" applyBorder="1" applyAlignment="1" applyProtection="1">
      <alignment horizontal="right" vertical="center" wrapText="1"/>
    </xf>
    <xf numFmtId="184" fontId="18" fillId="0" borderId="2" xfId="2" applyNumberFormat="1" applyFont="1" applyBorder="1" applyAlignment="1" applyProtection="1">
      <alignment vertical="center"/>
    </xf>
    <xf numFmtId="192" fontId="18" fillId="0" borderId="0" xfId="3" applyNumberFormat="1" applyFont="1" applyAlignment="1">
      <alignment vertical="center"/>
    </xf>
    <xf numFmtId="0" fontId="17" fillId="2" borderId="2" xfId="0" applyFont="1" applyFill="1" applyBorder="1" applyAlignment="1">
      <alignment horizontal="left" vertical="center" wrapText="1"/>
    </xf>
    <xf numFmtId="0" fontId="18" fillId="2" borderId="2" xfId="0" applyFont="1" applyFill="1" applyBorder="1" applyAlignment="1">
      <alignment horizontal="left" vertical="center" wrapText="1"/>
    </xf>
    <xf numFmtId="0" fontId="18" fillId="2" borderId="2" xfId="0" applyFont="1" applyFill="1" applyBorder="1" applyAlignment="1">
      <alignment horizontal="center" vertical="center" wrapText="1"/>
    </xf>
    <xf numFmtId="0" fontId="23" fillId="0" borderId="0" xfId="0" applyFont="1" applyAlignment="1">
      <alignment vertical="center" wrapText="1"/>
    </xf>
    <xf numFmtId="0" fontId="21" fillId="17" borderId="2" xfId="0" applyFont="1" applyFill="1" applyBorder="1" applyAlignment="1">
      <alignment horizontal="left" vertical="center" wrapText="1"/>
    </xf>
    <xf numFmtId="0" fontId="21" fillId="13" borderId="2" xfId="0" applyFont="1" applyFill="1" applyBorder="1" applyAlignment="1">
      <alignment vertical="center" wrapText="1"/>
    </xf>
    <xf numFmtId="0" fontId="21" fillId="17" borderId="2" xfId="0" applyFont="1" applyFill="1" applyBorder="1" applyAlignment="1">
      <alignment horizontal="center" vertical="center" wrapText="1"/>
    </xf>
    <xf numFmtId="0" fontId="18" fillId="0" borderId="2" xfId="0" applyFont="1" applyBorder="1" applyAlignment="1">
      <alignment horizontal="center" vertical="center" wrapText="1"/>
    </xf>
    <xf numFmtId="49" fontId="21" fillId="2" borderId="0" xfId="0" applyNumberFormat="1" applyFont="1" applyFill="1" applyAlignment="1">
      <alignment horizontal="center" vertical="center" wrapText="1"/>
    </xf>
    <xf numFmtId="0" fontId="21" fillId="2" borderId="0" xfId="0" applyFont="1" applyFill="1" applyAlignment="1">
      <alignment horizontal="left" vertical="center" wrapText="1"/>
    </xf>
    <xf numFmtId="0" fontId="21" fillId="2" borderId="0" xfId="0" applyFont="1" applyFill="1" applyAlignment="1">
      <alignment horizontal="center" vertical="center" wrapText="1"/>
    </xf>
    <xf numFmtId="169" fontId="21" fillId="2" borderId="0" xfId="1" applyFont="1" applyFill="1" applyBorder="1" applyAlignment="1" applyProtection="1">
      <alignment horizontal="right" vertical="center" wrapText="1"/>
    </xf>
    <xf numFmtId="184" fontId="21" fillId="0" borderId="0" xfId="2" applyNumberFormat="1" applyFont="1" applyBorder="1" applyAlignment="1" applyProtection="1">
      <alignment horizontal="right" vertical="center" wrapText="1"/>
    </xf>
    <xf numFmtId="3" fontId="21" fillId="2" borderId="0" xfId="2" applyNumberFormat="1" applyFont="1" applyFill="1" applyBorder="1" applyAlignment="1" applyProtection="1">
      <alignment horizontal="right" vertical="center" wrapText="1"/>
    </xf>
    <xf numFmtId="49" fontId="18" fillId="0" borderId="0" xfId="0" applyNumberFormat="1" applyFont="1" applyAlignment="1">
      <alignment horizontal="center" vertical="center" wrapText="1"/>
    </xf>
    <xf numFmtId="0" fontId="23" fillId="2" borderId="0" xfId="0" applyFont="1" applyFill="1" applyAlignment="1">
      <alignment vertical="center" wrapText="1"/>
    </xf>
    <xf numFmtId="0" fontId="23" fillId="2" borderId="0" xfId="0" applyFont="1" applyFill="1" applyAlignment="1">
      <alignment horizontal="center" vertical="center" wrapText="1"/>
    </xf>
    <xf numFmtId="184" fontId="23" fillId="2" borderId="0" xfId="2" applyNumberFormat="1" applyFont="1" applyFill="1" applyBorder="1" applyAlignment="1" applyProtection="1">
      <alignment vertical="center" wrapText="1"/>
    </xf>
    <xf numFmtId="184" fontId="23" fillId="0" borderId="0" xfId="2" applyNumberFormat="1" applyFont="1" applyBorder="1" applyAlignment="1" applyProtection="1">
      <alignment vertical="center"/>
    </xf>
    <xf numFmtId="192" fontId="23" fillId="12" borderId="0" xfId="3" applyNumberFormat="1" applyFont="1" applyFill="1" applyBorder="1" applyAlignment="1" applyProtection="1">
      <alignment vertical="center"/>
    </xf>
    <xf numFmtId="0" fontId="18" fillId="2" borderId="0" xfId="0" applyFont="1" applyFill="1" applyAlignment="1">
      <alignment vertical="center" wrapText="1"/>
    </xf>
    <xf numFmtId="0" fontId="18" fillId="2" borderId="0" xfId="0" applyFont="1" applyFill="1" applyAlignment="1">
      <alignment horizontal="center" vertical="center" wrapText="1"/>
    </xf>
    <xf numFmtId="10" fontId="18" fillId="2" borderId="0" xfId="0" applyNumberFormat="1" applyFont="1" applyFill="1" applyAlignment="1">
      <alignment vertical="center" wrapText="1"/>
    </xf>
    <xf numFmtId="184" fontId="18" fillId="2" borderId="0" xfId="2" applyNumberFormat="1" applyFont="1" applyFill="1" applyBorder="1" applyAlignment="1" applyProtection="1">
      <alignment vertical="center" wrapText="1"/>
    </xf>
    <xf numFmtId="184" fontId="18" fillId="0" borderId="0" xfId="2" applyNumberFormat="1" applyFont="1" applyBorder="1" applyAlignment="1" applyProtection="1">
      <alignment vertical="center"/>
    </xf>
    <xf numFmtId="192" fontId="18" fillId="12" borderId="0" xfId="3" applyNumberFormat="1" applyFont="1" applyFill="1" applyBorder="1" applyAlignment="1" applyProtection="1">
      <alignment vertical="center"/>
    </xf>
    <xf numFmtId="0" fontId="19" fillId="2" borderId="2" xfId="177" applyFont="1" applyFill="1" applyBorder="1" applyAlignment="1">
      <alignment horizontal="center" vertical="center"/>
    </xf>
    <xf numFmtId="192" fontId="18" fillId="0" borderId="0" xfId="3" applyNumberFormat="1" applyFont="1" applyBorder="1" applyAlignment="1" applyProtection="1">
      <alignment vertical="center"/>
    </xf>
    <xf numFmtId="0" fontId="19" fillId="2" borderId="2" xfId="177" applyFont="1" applyFill="1" applyBorder="1" applyAlignment="1">
      <alignment horizontal="center" vertical="center" wrapText="1"/>
    </xf>
    <xf numFmtId="184" fontId="19" fillId="2" borderId="2" xfId="109" applyNumberFormat="1" applyFont="1" applyFill="1" applyBorder="1" applyAlignment="1" applyProtection="1">
      <alignment horizontal="center" vertical="center"/>
    </xf>
    <xf numFmtId="3" fontId="19" fillId="2" borderId="2" xfId="109" applyNumberFormat="1" applyFont="1" applyFill="1" applyBorder="1" applyAlignment="1" applyProtection="1">
      <alignment horizontal="center" vertical="center"/>
    </xf>
    <xf numFmtId="185" fontId="17" fillId="2" borderId="2" xfId="2" applyNumberFormat="1" applyFont="1" applyFill="1" applyBorder="1" applyAlignment="1" applyProtection="1">
      <alignment horizontal="center" vertical="center"/>
    </xf>
    <xf numFmtId="0" fontId="17" fillId="2" borderId="2" xfId="0" applyFont="1" applyFill="1" applyBorder="1" applyAlignment="1">
      <alignment vertical="center" wrapText="1"/>
    </xf>
    <xf numFmtId="39" fontId="17" fillId="2" borderId="2" xfId="0" applyNumberFormat="1" applyFont="1" applyFill="1" applyBorder="1" applyAlignment="1">
      <alignment horizontal="center" vertical="center" wrapText="1"/>
    </xf>
    <xf numFmtId="185" fontId="17" fillId="2" borderId="9" xfId="2" applyNumberFormat="1" applyFont="1" applyFill="1" applyBorder="1" applyAlignment="1" applyProtection="1">
      <alignment horizontal="center" vertical="center"/>
    </xf>
    <xf numFmtId="39" fontId="17" fillId="2" borderId="0" xfId="0" applyNumberFormat="1" applyFont="1" applyFill="1" applyAlignment="1">
      <alignment horizontal="center" vertical="center" wrapText="1"/>
    </xf>
    <xf numFmtId="184" fontId="17" fillId="2" borderId="0" xfId="2" applyNumberFormat="1" applyFont="1" applyFill="1" applyBorder="1" applyAlignment="1" applyProtection="1">
      <alignment horizontal="center" vertical="center" wrapText="1"/>
    </xf>
    <xf numFmtId="3" fontId="18" fillId="2" borderId="6" xfId="121" applyNumberFormat="1" applyFont="1" applyFill="1" applyBorder="1" applyAlignment="1" applyProtection="1">
      <alignment horizontal="center" vertical="center"/>
    </xf>
    <xf numFmtId="0" fontId="19" fillId="2" borderId="9" xfId="0" applyFont="1" applyFill="1" applyBorder="1" applyAlignment="1">
      <alignment horizontal="center" vertical="center"/>
    </xf>
    <xf numFmtId="0" fontId="19" fillId="2" borderId="0" xfId="0" applyFont="1" applyFill="1" applyAlignment="1">
      <alignment horizontal="left" vertical="center"/>
    </xf>
    <xf numFmtId="0" fontId="19" fillId="2" borderId="0" xfId="0" applyFont="1" applyFill="1" applyAlignment="1">
      <alignment horizontal="left" vertical="center" wrapText="1"/>
    </xf>
    <xf numFmtId="184" fontId="17" fillId="2" borderId="6" xfId="0" applyNumberFormat="1" applyFont="1" applyFill="1" applyBorder="1" applyAlignment="1">
      <alignment horizontal="center" vertical="center"/>
    </xf>
    <xf numFmtId="184" fontId="23" fillId="0" borderId="2" xfId="2" applyNumberFormat="1" applyFont="1" applyBorder="1" applyAlignment="1" applyProtection="1">
      <alignment vertical="center"/>
    </xf>
    <xf numFmtId="0" fontId="18" fillId="14" borderId="0" xfId="0" applyFont="1" applyFill="1" applyAlignment="1">
      <alignment vertical="center" wrapText="1"/>
    </xf>
    <xf numFmtId="10" fontId="19" fillId="0" borderId="0" xfId="198" applyNumberFormat="1" applyFont="1" applyBorder="1" applyAlignment="1" applyProtection="1">
      <alignment horizontal="right" vertical="center"/>
    </xf>
    <xf numFmtId="0" fontId="19" fillId="2" borderId="15" xfId="0" applyFont="1" applyFill="1" applyBorder="1" applyAlignment="1">
      <alignment horizontal="center" vertical="center"/>
    </xf>
    <xf numFmtId="0" fontId="19" fillId="2" borderId="42" xfId="0" applyFont="1" applyFill="1" applyBorder="1" applyAlignment="1">
      <alignment horizontal="left" vertical="center"/>
    </xf>
    <xf numFmtId="0" fontId="19" fillId="2" borderId="42" xfId="0" applyFont="1" applyFill="1" applyBorder="1" applyAlignment="1">
      <alignment horizontal="left" vertical="center" wrapText="1"/>
    </xf>
    <xf numFmtId="184" fontId="17" fillId="2" borderId="14" xfId="0" applyNumberFormat="1" applyFont="1" applyFill="1" applyBorder="1" applyAlignment="1">
      <alignment horizontal="center" vertical="center"/>
    </xf>
    <xf numFmtId="3" fontId="23" fillId="2" borderId="0" xfId="2" applyNumberFormat="1" applyFont="1" applyFill="1" applyBorder="1" applyAlignment="1" applyProtection="1">
      <alignment vertical="center" wrapText="1"/>
    </xf>
    <xf numFmtId="49" fontId="23" fillId="0" borderId="0" xfId="0" applyNumberFormat="1" applyFont="1" applyAlignment="1">
      <alignment horizontal="center" vertical="center" wrapText="1"/>
    </xf>
    <xf numFmtId="0" fontId="23" fillId="0" borderId="0" xfId="0" applyFont="1" applyAlignment="1">
      <alignment horizontal="justify" vertical="center"/>
    </xf>
    <xf numFmtId="0" fontId="18" fillId="0" borderId="0" xfId="0" applyFont="1" applyAlignment="1">
      <alignment vertical="center"/>
    </xf>
    <xf numFmtId="0" fontId="23" fillId="2" borderId="0" xfId="0" applyFont="1" applyFill="1" applyAlignment="1">
      <alignment horizontal="center" vertical="center"/>
    </xf>
    <xf numFmtId="0" fontId="23" fillId="2" borderId="0" xfId="0" applyFont="1" applyFill="1" applyAlignment="1">
      <alignment vertical="center"/>
    </xf>
    <xf numFmtId="184" fontId="23" fillId="2" borderId="0" xfId="2" applyNumberFormat="1" applyFont="1" applyFill="1" applyBorder="1" applyAlignment="1" applyProtection="1">
      <alignment vertical="center"/>
    </xf>
    <xf numFmtId="3" fontId="23" fillId="2" borderId="0" xfId="2" applyNumberFormat="1" applyFont="1" applyFill="1" applyBorder="1" applyAlignment="1" applyProtection="1">
      <alignment vertical="center"/>
    </xf>
    <xf numFmtId="0" fontId="18" fillId="0" borderId="0" xfId="0" applyFont="1" applyAlignment="1">
      <alignment horizontal="center" vertical="center" wrapText="1"/>
    </xf>
    <xf numFmtId="184" fontId="18" fillId="0" borderId="0" xfId="2" applyNumberFormat="1" applyFont="1" applyBorder="1" applyAlignment="1" applyProtection="1">
      <alignment vertical="center" wrapText="1"/>
    </xf>
    <xf numFmtId="3" fontId="18" fillId="0" borderId="0" xfId="2" applyNumberFormat="1" applyFont="1" applyBorder="1" applyAlignment="1" applyProtection="1">
      <alignment vertical="center" wrapText="1"/>
    </xf>
    <xf numFmtId="184" fontId="25" fillId="0" borderId="0" xfId="2" applyNumberFormat="1" applyFont="1" applyBorder="1" applyAlignment="1" applyProtection="1">
      <alignment vertical="center" wrapText="1"/>
    </xf>
    <xf numFmtId="3" fontId="25" fillId="0" borderId="0" xfId="2" applyNumberFormat="1" applyFont="1" applyBorder="1" applyAlignment="1" applyProtection="1">
      <alignment vertical="center" wrapText="1"/>
    </xf>
    <xf numFmtId="184" fontId="26" fillId="0" borderId="0" xfId="2" applyNumberFormat="1" applyFont="1" applyBorder="1" applyAlignment="1" applyProtection="1">
      <alignment vertical="center" wrapText="1"/>
    </xf>
    <xf numFmtId="3" fontId="26" fillId="0" borderId="0" xfId="2" applyNumberFormat="1" applyFont="1" applyBorder="1" applyAlignment="1" applyProtection="1">
      <alignment vertical="center" wrapText="1"/>
    </xf>
    <xf numFmtId="4" fontId="17" fillId="2" borderId="2" xfId="0" applyNumberFormat="1" applyFont="1" applyFill="1" applyBorder="1" applyAlignment="1">
      <alignment horizontal="justify" vertical="center"/>
    </xf>
    <xf numFmtId="184" fontId="18" fillId="0" borderId="0" xfId="2" applyNumberFormat="1" applyFont="1" applyAlignment="1">
      <alignment vertical="center"/>
    </xf>
    <xf numFmtId="184" fontId="23" fillId="0" borderId="20" xfId="2" applyNumberFormat="1" applyFont="1" applyBorder="1" applyAlignment="1" applyProtection="1">
      <alignment vertical="center"/>
    </xf>
    <xf numFmtId="184" fontId="20" fillId="2" borderId="40" xfId="2" applyNumberFormat="1" applyFont="1" applyFill="1" applyBorder="1" applyAlignment="1" applyProtection="1">
      <alignment horizontal="right" vertical="center" wrapText="1"/>
    </xf>
    <xf numFmtId="184" fontId="21" fillId="6" borderId="24" xfId="2" applyNumberFormat="1" applyFont="1" applyFill="1" applyBorder="1" applyAlignment="1" applyProtection="1">
      <alignment horizontal="center" vertical="center" wrapText="1"/>
    </xf>
    <xf numFmtId="0" fontId="21" fillId="0" borderId="2" xfId="0" applyFont="1" applyBorder="1" applyAlignment="1">
      <alignment horizontal="left" vertical="center" wrapText="1"/>
    </xf>
    <xf numFmtId="0" fontId="21" fillId="0" borderId="2" xfId="1" applyNumberFormat="1" applyFont="1" applyBorder="1" applyAlignment="1" applyProtection="1">
      <alignment horizontal="center" vertical="center" wrapText="1"/>
    </xf>
    <xf numFmtId="191" fontId="21" fillId="2" borderId="2" xfId="1" applyNumberFormat="1" applyFont="1" applyFill="1" applyBorder="1" applyAlignment="1" applyProtection="1">
      <alignment horizontal="center" vertical="center" wrapText="1"/>
    </xf>
    <xf numFmtId="0" fontId="21" fillId="2" borderId="0" xfId="1" applyNumberFormat="1" applyFont="1" applyFill="1" applyBorder="1" applyAlignment="1" applyProtection="1">
      <alignment horizontal="center" vertical="center" wrapText="1"/>
    </xf>
    <xf numFmtId="188" fontId="21" fillId="2" borderId="0" xfId="1" applyNumberFormat="1" applyFont="1" applyFill="1" applyBorder="1" applyAlignment="1" applyProtection="1">
      <alignment horizontal="center" vertical="center" wrapText="1"/>
    </xf>
    <xf numFmtId="184" fontId="21" fillId="2" borderId="0" xfId="2" applyNumberFormat="1" applyFont="1" applyFill="1" applyBorder="1" applyAlignment="1" applyProtection="1">
      <alignment horizontal="right" vertical="center" wrapText="1"/>
    </xf>
    <xf numFmtId="2" fontId="21" fillId="2" borderId="2" xfId="1" applyNumberFormat="1" applyFont="1" applyFill="1" applyBorder="1" applyAlignment="1" applyProtection="1">
      <alignment horizontal="center" vertical="center" wrapText="1"/>
    </xf>
    <xf numFmtId="184" fontId="19" fillId="7" borderId="20" xfId="1" applyNumberFormat="1" applyFont="1" applyFill="1" applyBorder="1" applyAlignment="1" applyProtection="1">
      <alignment horizontal="right" vertical="center" wrapText="1"/>
    </xf>
    <xf numFmtId="1" fontId="21" fillId="2" borderId="27" xfId="1" applyNumberFormat="1" applyFont="1" applyFill="1" applyBorder="1" applyAlignment="1" applyProtection="1">
      <alignment horizontal="center" vertical="center" wrapText="1"/>
    </xf>
    <xf numFmtId="184" fontId="17" fillId="0" borderId="0" xfId="0" applyNumberFormat="1" applyFont="1" applyAlignment="1">
      <alignment vertical="center" wrapText="1"/>
    </xf>
    <xf numFmtId="1" fontId="21" fillId="2" borderId="2" xfId="1" applyNumberFormat="1" applyFont="1" applyFill="1" applyBorder="1" applyAlignment="1" applyProtection="1">
      <alignment horizontal="center" vertical="center" wrapText="1"/>
    </xf>
    <xf numFmtId="2" fontId="20" fillId="6" borderId="23" xfId="1" applyNumberFormat="1" applyFont="1" applyFill="1" applyBorder="1" applyAlignment="1" applyProtection="1">
      <alignment horizontal="center" vertical="center" wrapText="1"/>
    </xf>
    <xf numFmtId="185" fontId="21" fillId="2" borderId="2" xfId="1" applyNumberFormat="1" applyFont="1" applyFill="1" applyBorder="1" applyAlignment="1" applyProtection="1">
      <alignment horizontal="center" vertical="center" wrapText="1"/>
    </xf>
    <xf numFmtId="1" fontId="20" fillId="6" borderId="23" xfId="1" applyNumberFormat="1" applyFont="1" applyFill="1" applyBorder="1" applyAlignment="1" applyProtection="1">
      <alignment horizontal="center" vertical="center" wrapText="1"/>
    </xf>
    <xf numFmtId="0" fontId="23" fillId="0" borderId="29" xfId="0" applyFont="1" applyBorder="1" applyAlignment="1">
      <alignment vertical="center"/>
    </xf>
    <xf numFmtId="37" fontId="17" fillId="0" borderId="30" xfId="0" applyNumberFormat="1" applyFont="1" applyBorder="1" applyAlignment="1">
      <alignment vertical="center"/>
    </xf>
    <xf numFmtId="0" fontId="17" fillId="0" borderId="30" xfId="0" applyFont="1" applyBorder="1" applyAlignment="1">
      <alignment horizontal="center" vertical="center"/>
    </xf>
    <xf numFmtId="168" fontId="17" fillId="0" borderId="30" xfId="42" applyFont="1" applyBorder="1" applyAlignment="1" applyProtection="1">
      <alignment horizontal="right" vertical="center"/>
    </xf>
    <xf numFmtId="186" fontId="17" fillId="0" borderId="31" xfId="2" applyNumberFormat="1" applyFont="1" applyBorder="1" applyAlignment="1" applyProtection="1">
      <alignment horizontal="center" vertical="center"/>
    </xf>
    <xf numFmtId="186" fontId="17" fillId="0" borderId="0" xfId="2" applyNumberFormat="1" applyFont="1" applyBorder="1" applyAlignment="1" applyProtection="1">
      <alignment horizontal="center" vertical="center"/>
    </xf>
    <xf numFmtId="0" fontId="17" fillId="0" borderId="0" xfId="0" applyFont="1" applyAlignment="1">
      <alignment vertical="center"/>
    </xf>
    <xf numFmtId="0" fontId="23" fillId="0" borderId="5" xfId="0" applyFont="1" applyBorder="1" applyAlignment="1">
      <alignment vertical="center"/>
    </xf>
    <xf numFmtId="37" fontId="17" fillId="0" borderId="0" xfId="0" applyNumberFormat="1" applyFont="1" applyAlignment="1">
      <alignment vertical="center"/>
    </xf>
    <xf numFmtId="0" fontId="17" fillId="0" borderId="0" xfId="0" applyFont="1" applyAlignment="1">
      <alignment horizontal="center" vertical="center"/>
    </xf>
    <xf numFmtId="168" fontId="17" fillId="0" borderId="0" xfId="42" applyFont="1" applyBorder="1" applyAlignment="1" applyProtection="1">
      <alignment horizontal="right" vertical="center"/>
    </xf>
    <xf numFmtId="186" fontId="17" fillId="0" borderId="32" xfId="2" applyNumberFormat="1" applyFont="1" applyBorder="1" applyAlignment="1" applyProtection="1">
      <alignment horizontal="center" vertical="center"/>
    </xf>
    <xf numFmtId="0" fontId="27" fillId="0" borderId="5" xfId="0" applyFont="1" applyBorder="1" applyAlignment="1">
      <alignment vertical="center"/>
    </xf>
    <xf numFmtId="168" fontId="17" fillId="0" borderId="0" xfId="42" applyFont="1" applyBorder="1" applyAlignment="1" applyProtection="1">
      <alignment horizontal="center" vertical="center"/>
    </xf>
    <xf numFmtId="0" fontId="17" fillId="0" borderId="5" xfId="0" applyFont="1" applyBorder="1" applyAlignment="1">
      <alignment vertical="center"/>
    </xf>
    <xf numFmtId="37" fontId="17" fillId="0" borderId="0" xfId="0" applyNumberFormat="1" applyFont="1" applyAlignment="1">
      <alignment horizontal="right" vertical="center"/>
    </xf>
    <xf numFmtId="10" fontId="17" fillId="0" borderId="2" xfId="0" applyNumberFormat="1" applyFont="1" applyBorder="1" applyAlignment="1">
      <alignment horizontal="center" vertical="center"/>
    </xf>
    <xf numFmtId="168" fontId="17" fillId="2" borderId="4" xfId="42" applyFont="1" applyFill="1" applyBorder="1" applyAlignment="1" applyProtection="1">
      <alignment horizontal="center" vertical="center"/>
    </xf>
    <xf numFmtId="168" fontId="17" fillId="2" borderId="0" xfId="42" applyFont="1" applyFill="1" applyBorder="1" applyAlignment="1" applyProtection="1">
      <alignment horizontal="center" vertical="center"/>
    </xf>
    <xf numFmtId="189" fontId="17" fillId="2" borderId="2" xfId="0" applyNumberFormat="1" applyFont="1" applyFill="1" applyBorder="1" applyAlignment="1">
      <alignment horizontal="right" vertical="center"/>
    </xf>
    <xf numFmtId="9" fontId="17" fillId="8" borderId="4" xfId="3" applyFont="1" applyFill="1" applyBorder="1" applyAlignment="1" applyProtection="1">
      <alignment horizontal="center" vertical="center"/>
    </xf>
    <xf numFmtId="9" fontId="17" fillId="8" borderId="0" xfId="3" applyFont="1" applyFill="1" applyBorder="1" applyAlignment="1" applyProtection="1">
      <alignment horizontal="center" vertical="center"/>
    </xf>
    <xf numFmtId="189" fontId="17" fillId="0" borderId="2" xfId="0" applyNumberFormat="1" applyFont="1" applyBorder="1" applyAlignment="1">
      <alignment horizontal="right" vertical="center"/>
    </xf>
    <xf numFmtId="186" fontId="17" fillId="9" borderId="4" xfId="2" applyNumberFormat="1" applyFont="1" applyFill="1" applyBorder="1" applyAlignment="1" applyProtection="1">
      <alignment horizontal="center" vertical="center"/>
    </xf>
    <xf numFmtId="186" fontId="17" fillId="9" borderId="0" xfId="2" applyNumberFormat="1" applyFont="1" applyFill="1" applyBorder="1" applyAlignment="1" applyProtection="1">
      <alignment horizontal="center" vertical="center"/>
    </xf>
    <xf numFmtId="168" fontId="17" fillId="0" borderId="0" xfId="42" applyFont="1" applyBorder="1" applyAlignment="1" applyProtection="1">
      <alignment vertical="center"/>
    </xf>
    <xf numFmtId="186" fontId="17" fillId="0" borderId="32" xfId="2" applyNumberFormat="1" applyFont="1" applyBorder="1" applyAlignment="1" applyProtection="1">
      <alignment vertical="center"/>
    </xf>
    <xf numFmtId="186" fontId="17" fillId="0" borderId="0" xfId="2" applyNumberFormat="1" applyFont="1" applyBorder="1" applyAlignment="1" applyProtection="1">
      <alignment vertical="center"/>
    </xf>
    <xf numFmtId="0" fontId="19" fillId="10" borderId="3" xfId="0" applyFont="1" applyFill="1" applyBorder="1" applyAlignment="1">
      <alignment horizontal="center" vertical="center" wrapText="1"/>
    </xf>
    <xf numFmtId="37" fontId="19" fillId="10" borderId="2" xfId="0" applyNumberFormat="1" applyFont="1" applyFill="1" applyBorder="1" applyAlignment="1">
      <alignment horizontal="center" vertical="center" wrapText="1"/>
    </xf>
    <xf numFmtId="0" fontId="19" fillId="10" borderId="2" xfId="0" applyFont="1" applyFill="1" applyBorder="1" applyAlignment="1">
      <alignment horizontal="center" vertical="center" wrapText="1"/>
    </xf>
    <xf numFmtId="168" fontId="19" fillId="10" borderId="2" xfId="42" applyFont="1" applyFill="1" applyBorder="1" applyAlignment="1" applyProtection="1">
      <alignment horizontal="center" vertical="center" wrapText="1"/>
    </xf>
    <xf numFmtId="186" fontId="19" fillId="10" borderId="4" xfId="2" applyNumberFormat="1" applyFont="1" applyFill="1" applyBorder="1" applyAlignment="1" applyProtection="1">
      <alignment horizontal="center" vertical="center" wrapText="1"/>
    </xf>
    <xf numFmtId="186" fontId="19" fillId="10" borderId="0" xfId="2" applyNumberFormat="1" applyFont="1" applyFill="1" applyBorder="1" applyAlignment="1" applyProtection="1">
      <alignment horizontal="center" vertical="center" wrapText="1"/>
    </xf>
    <xf numFmtId="0" fontId="17" fillId="0" borderId="33" xfId="0" applyFont="1" applyBorder="1" applyAlignment="1">
      <alignment vertical="center"/>
    </xf>
    <xf numFmtId="37" fontId="17" fillId="0" borderId="2" xfId="0" applyNumberFormat="1" applyFont="1" applyBorder="1" applyAlignment="1">
      <alignment vertical="center"/>
    </xf>
    <xf numFmtId="9" fontId="18" fillId="0" borderId="2" xfId="3" applyFont="1" applyBorder="1" applyAlignment="1" applyProtection="1">
      <alignment vertical="center"/>
    </xf>
    <xf numFmtId="168" fontId="17" fillId="0" borderId="2" xfId="42" applyFont="1" applyBorder="1" applyAlignment="1" applyProtection="1">
      <alignment horizontal="center" vertical="center" wrapText="1"/>
    </xf>
    <xf numFmtId="186" fontId="17" fillId="0" borderId="4" xfId="2" applyNumberFormat="1" applyFont="1" applyBorder="1" applyAlignment="1" applyProtection="1">
      <alignment horizontal="right" vertical="center"/>
    </xf>
    <xf numFmtId="186" fontId="17" fillId="0" borderId="0" xfId="2" applyNumberFormat="1" applyFont="1" applyBorder="1" applyAlignment="1" applyProtection="1">
      <alignment horizontal="right" vertical="center"/>
    </xf>
    <xf numFmtId="37" fontId="17" fillId="0" borderId="23" xfId="0" applyNumberFormat="1" applyFont="1" applyBorder="1" applyAlignment="1">
      <alignment vertical="center"/>
    </xf>
    <xf numFmtId="0" fontId="17" fillId="0" borderId="23" xfId="0" applyFont="1" applyBorder="1" applyAlignment="1">
      <alignment horizontal="center" vertical="center"/>
    </xf>
    <xf numFmtId="168" fontId="17" fillId="0" borderId="16" xfId="42" applyFont="1" applyBorder="1" applyAlignment="1" applyProtection="1">
      <alignment horizontal="center" vertical="center"/>
    </xf>
    <xf numFmtId="186" fontId="19" fillId="0" borderId="4" xfId="2" applyNumberFormat="1" applyFont="1" applyBorder="1" applyAlignment="1" applyProtection="1">
      <alignment horizontal="right" vertical="center"/>
    </xf>
    <xf numFmtId="186" fontId="19" fillId="0" borderId="0" xfId="2" applyNumberFormat="1" applyFont="1" applyBorder="1" applyAlignment="1" applyProtection="1">
      <alignment horizontal="right" vertical="center"/>
    </xf>
    <xf numFmtId="10" fontId="28" fillId="11" borderId="16" xfId="3" applyNumberFormat="1" applyFont="1" applyFill="1" applyBorder="1" applyAlignment="1" applyProtection="1">
      <alignment horizontal="center" vertical="center"/>
    </xf>
    <xf numFmtId="0" fontId="19" fillId="0" borderId="33" xfId="0" applyFont="1" applyBorder="1" applyAlignment="1">
      <alignment vertical="center"/>
    </xf>
    <xf numFmtId="37" fontId="19" fillId="0" borderId="23" xfId="0" applyNumberFormat="1" applyFont="1" applyBorder="1" applyAlignment="1">
      <alignment vertical="center"/>
    </xf>
    <xf numFmtId="0" fontId="19" fillId="0" borderId="23" xfId="0" applyFont="1" applyBorder="1" applyAlignment="1">
      <alignment horizontal="center" vertical="center"/>
    </xf>
    <xf numFmtId="168" fontId="19" fillId="0" borderId="16" xfId="42" applyFont="1" applyBorder="1" applyAlignment="1" applyProtection="1">
      <alignment horizontal="center" vertical="center"/>
    </xf>
    <xf numFmtId="0" fontId="17" fillId="0" borderId="3" xfId="0" applyFont="1" applyBorder="1" applyAlignment="1">
      <alignment vertical="center"/>
    </xf>
    <xf numFmtId="186" fontId="19" fillId="0" borderId="32" xfId="2" applyNumberFormat="1" applyFont="1" applyBorder="1" applyAlignment="1" applyProtection="1">
      <alignment vertical="center"/>
    </xf>
    <xf numFmtId="186" fontId="19" fillId="0" borderId="0" xfId="2" applyNumberFormat="1" applyFont="1" applyBorder="1" applyAlignment="1" applyProtection="1">
      <alignment vertical="center"/>
    </xf>
    <xf numFmtId="192" fontId="18" fillId="0" borderId="2" xfId="3" applyNumberFormat="1" applyFont="1" applyBorder="1" applyAlignment="1" applyProtection="1">
      <alignment vertical="center"/>
    </xf>
    <xf numFmtId="186" fontId="19" fillId="0" borderId="4" xfId="2" applyNumberFormat="1" applyFont="1" applyBorder="1" applyAlignment="1" applyProtection="1">
      <alignment vertical="center"/>
    </xf>
    <xf numFmtId="10" fontId="19" fillId="0" borderId="23" xfId="3" applyNumberFormat="1" applyFont="1" applyBorder="1" applyAlignment="1" applyProtection="1">
      <alignment horizontal="center" vertical="center"/>
    </xf>
    <xf numFmtId="186" fontId="19" fillId="2" borderId="35" xfId="2" applyNumberFormat="1" applyFont="1" applyFill="1" applyBorder="1" applyAlignment="1" applyProtection="1">
      <alignment vertical="center"/>
    </xf>
    <xf numFmtId="186" fontId="19" fillId="2" borderId="0" xfId="2" applyNumberFormat="1" applyFont="1" applyFill="1" applyBorder="1" applyAlignment="1" applyProtection="1">
      <alignment vertical="center"/>
    </xf>
    <xf numFmtId="10" fontId="19" fillId="0" borderId="0" xfId="3" applyNumberFormat="1" applyFont="1" applyBorder="1" applyAlignment="1" applyProtection="1">
      <alignment horizontal="center" vertical="center"/>
    </xf>
    <xf numFmtId="186" fontId="29" fillId="0" borderId="35" xfId="2" applyNumberFormat="1" applyFont="1" applyBorder="1" applyAlignment="1" applyProtection="1">
      <alignment vertical="center"/>
    </xf>
    <xf numFmtId="0" fontId="19" fillId="0" borderId="45" xfId="0" applyFont="1" applyBorder="1" applyAlignment="1">
      <alignment vertical="center"/>
    </xf>
    <xf numFmtId="37" fontId="17" fillId="0" borderId="46" xfId="0" applyNumberFormat="1" applyFont="1" applyBorder="1" applyAlignment="1">
      <alignment vertical="center"/>
    </xf>
    <xf numFmtId="0" fontId="17" fillId="0" borderId="46" xfId="0" applyFont="1" applyBorder="1" applyAlignment="1">
      <alignment horizontal="center" vertical="center"/>
    </xf>
    <xf numFmtId="10" fontId="28" fillId="11" borderId="46" xfId="3" applyNumberFormat="1" applyFont="1" applyFill="1" applyBorder="1" applyAlignment="1" applyProtection="1">
      <alignment horizontal="center" vertical="center"/>
    </xf>
    <xf numFmtId="186" fontId="19" fillId="0" borderId="47" xfId="2" applyNumberFormat="1" applyFont="1" applyBorder="1" applyAlignment="1" applyProtection="1">
      <alignment vertical="center"/>
    </xf>
    <xf numFmtId="10" fontId="17" fillId="8" borderId="2" xfId="0" applyNumberFormat="1" applyFont="1" applyFill="1" applyBorder="1" applyAlignment="1">
      <alignment horizontal="center" vertical="center"/>
    </xf>
    <xf numFmtId="0" fontId="19" fillId="0" borderId="0" xfId="0" applyFont="1" applyAlignment="1">
      <alignment vertical="center"/>
    </xf>
    <xf numFmtId="169" fontId="17" fillId="0" borderId="0" xfId="1" applyFont="1" applyBorder="1" applyAlignment="1" applyProtection="1">
      <alignment horizontal="center" vertical="center"/>
    </xf>
    <xf numFmtId="0" fontId="17" fillId="0" borderId="32" xfId="0" applyFont="1" applyBorder="1" applyAlignment="1">
      <alignment vertical="center"/>
    </xf>
    <xf numFmtId="37" fontId="17" fillId="0" borderId="2" xfId="0" applyNumberFormat="1" applyFont="1" applyBorder="1" applyAlignment="1">
      <alignment horizontal="right" vertical="center"/>
    </xf>
    <xf numFmtId="168" fontId="17" fillId="0" borderId="2" xfId="42" applyFont="1" applyBorder="1" applyAlignment="1" applyProtection="1">
      <alignment horizontal="center" vertical="center"/>
    </xf>
    <xf numFmtId="10" fontId="19" fillId="0" borderId="46" xfId="3" applyNumberFormat="1" applyFont="1" applyBorder="1" applyAlignment="1" applyProtection="1">
      <alignment horizontal="center" vertical="center"/>
    </xf>
    <xf numFmtId="186" fontId="19" fillId="2" borderId="47" xfId="2" applyNumberFormat="1" applyFont="1" applyFill="1" applyBorder="1" applyAlignment="1" applyProtection="1">
      <alignment vertical="center"/>
    </xf>
    <xf numFmtId="10" fontId="17" fillId="8" borderId="0" xfId="0" applyNumberFormat="1" applyFont="1" applyFill="1" applyAlignment="1">
      <alignment horizontal="center" vertical="center"/>
    </xf>
    <xf numFmtId="0" fontId="19" fillId="7" borderId="19" xfId="0" applyFont="1" applyFill="1" applyBorder="1" applyAlignment="1">
      <alignment horizontal="left" vertical="center" wrapText="1"/>
    </xf>
    <xf numFmtId="169" fontId="30" fillId="7" borderId="20" xfId="1" applyFont="1" applyFill="1" applyBorder="1" applyAlignment="1" applyProtection="1">
      <alignment horizontal="right" vertical="center" wrapText="1"/>
    </xf>
    <xf numFmtId="0" fontId="19" fillId="5" borderId="19" xfId="0" applyFont="1" applyFill="1" applyBorder="1" applyAlignment="1">
      <alignment horizontal="center" vertical="center" wrapText="1"/>
    </xf>
    <xf numFmtId="0" fontId="19" fillId="5" borderId="20" xfId="0" applyFont="1" applyFill="1" applyBorder="1" applyAlignment="1">
      <alignment horizontal="center" vertical="center" wrapText="1"/>
    </xf>
    <xf numFmtId="0" fontId="19" fillId="5" borderId="20" xfId="1" applyNumberFormat="1" applyFont="1" applyFill="1" applyBorder="1" applyAlignment="1" applyProtection="1">
      <alignment horizontal="center" vertical="center" wrapText="1"/>
    </xf>
    <xf numFmtId="184" fontId="19" fillId="5" borderId="20" xfId="2" applyNumberFormat="1" applyFont="1" applyFill="1" applyBorder="1" applyAlignment="1" applyProtection="1">
      <alignment horizontal="center" vertical="center" wrapText="1"/>
    </xf>
    <xf numFmtId="188" fontId="19" fillId="5" borderId="20" xfId="1" applyNumberFormat="1" applyFont="1" applyFill="1" applyBorder="1" applyAlignment="1" applyProtection="1">
      <alignment horizontal="center" vertical="center" wrapText="1"/>
    </xf>
    <xf numFmtId="184" fontId="19" fillId="5" borderId="21" xfId="2" applyNumberFormat="1" applyFont="1" applyFill="1" applyBorder="1" applyAlignment="1" applyProtection="1">
      <alignment horizontal="center" vertical="center" wrapText="1"/>
    </xf>
    <xf numFmtId="0" fontId="20" fillId="6" borderId="22" xfId="0" applyFont="1" applyFill="1" applyBorder="1" applyAlignment="1">
      <alignment horizontal="center" vertical="center" wrapText="1"/>
    </xf>
    <xf numFmtId="184" fontId="20" fillId="6" borderId="23" xfId="2" applyNumberFormat="1" applyFont="1" applyFill="1" applyBorder="1" applyAlignment="1" applyProtection="1">
      <alignment horizontal="center" vertical="center" wrapText="1"/>
    </xf>
    <xf numFmtId="0" fontId="21" fillId="2" borderId="25" xfId="0" applyFont="1" applyFill="1" applyBorder="1" applyAlignment="1">
      <alignment horizontal="center" vertical="center" wrapText="1"/>
    </xf>
    <xf numFmtId="184" fontId="21" fillId="2" borderId="2" xfId="2" applyNumberFormat="1" applyFont="1" applyFill="1" applyBorder="1" applyAlignment="1" applyProtection="1">
      <alignment horizontal="center" vertical="center" wrapText="1"/>
    </xf>
    <xf numFmtId="0" fontId="21" fillId="2" borderId="26" xfId="0" applyFont="1" applyFill="1" applyBorder="1" applyAlignment="1">
      <alignment horizontal="center" vertical="center" wrapText="1"/>
    </xf>
    <xf numFmtId="184" fontId="21" fillId="2" borderId="27" xfId="2" applyNumberFormat="1" applyFont="1" applyFill="1" applyBorder="1" applyAlignment="1" applyProtection="1">
      <alignment horizontal="center" vertical="center" wrapText="1"/>
    </xf>
    <xf numFmtId="0" fontId="21" fillId="2" borderId="2" xfId="3" applyNumberFormat="1" applyFont="1" applyFill="1" applyBorder="1" applyAlignment="1" applyProtection="1">
      <alignment horizontal="center" vertical="center" wrapText="1"/>
    </xf>
    <xf numFmtId="0" fontId="18" fillId="0" borderId="27" xfId="1" applyNumberFormat="1" applyFont="1" applyBorder="1" applyAlignment="1" applyProtection="1">
      <alignment vertical="center"/>
    </xf>
    <xf numFmtId="188" fontId="18" fillId="0" borderId="27" xfId="1" applyNumberFormat="1" applyFont="1" applyBorder="1" applyAlignment="1" applyProtection="1">
      <alignment vertical="center"/>
    </xf>
    <xf numFmtId="0" fontId="20" fillId="0" borderId="11" xfId="0" applyFont="1" applyBorder="1" applyAlignment="1">
      <alignment horizontal="left" vertical="center" wrapText="1"/>
    </xf>
    <xf numFmtId="10" fontId="20" fillId="0" borderId="16" xfId="192" applyNumberFormat="1" applyFont="1" applyBorder="1" applyAlignment="1" applyProtection="1">
      <alignment horizontal="center" vertical="center" wrapText="1"/>
    </xf>
    <xf numFmtId="187" fontId="20" fillId="6" borderId="2" xfId="24" applyNumberFormat="1" applyFont="1" applyFill="1" applyBorder="1" applyAlignment="1" applyProtection="1">
      <alignment horizontal="center" vertical="center" wrapText="1"/>
    </xf>
    <xf numFmtId="186" fontId="21" fillId="0" borderId="2" xfId="113" applyNumberFormat="1" applyFont="1" applyBorder="1" applyAlignment="1" applyProtection="1">
      <alignment horizontal="center" vertical="center" wrapText="1"/>
    </xf>
    <xf numFmtId="187" fontId="21" fillId="0" borderId="2" xfId="24" applyNumberFormat="1" applyFont="1" applyBorder="1" applyAlignment="1" applyProtection="1">
      <alignment horizontal="center" vertical="center" wrapText="1"/>
    </xf>
    <xf numFmtId="190" fontId="21" fillId="0" borderId="2" xfId="24" applyNumberFormat="1" applyFont="1" applyBorder="1" applyAlignment="1" applyProtection="1">
      <alignment horizontal="center" vertical="center" wrapText="1"/>
    </xf>
    <xf numFmtId="10" fontId="21" fillId="0" borderId="0" xfId="192" applyNumberFormat="1" applyFont="1" applyBorder="1" applyAlignment="1" applyProtection="1">
      <alignment horizontal="center" vertical="center" wrapText="1"/>
    </xf>
    <xf numFmtId="0" fontId="23" fillId="0" borderId="11" xfId="0" applyFont="1" applyBorder="1" applyAlignment="1">
      <alignment horizontal="center" vertical="center"/>
    </xf>
    <xf numFmtId="10" fontId="20" fillId="0" borderId="2" xfId="0" applyNumberFormat="1" applyFont="1" applyBorder="1" applyAlignment="1">
      <alignment horizontal="center" vertical="center" wrapText="1"/>
    </xf>
    <xf numFmtId="0" fontId="21" fillId="0" borderId="11" xfId="0" applyFont="1" applyBorder="1" applyAlignment="1">
      <alignment horizontal="left" vertical="center" wrapText="1"/>
    </xf>
    <xf numFmtId="10" fontId="21" fillId="0" borderId="2" xfId="192" applyNumberFormat="1" applyFont="1" applyBorder="1" applyAlignment="1" applyProtection="1">
      <alignment horizontal="center" vertical="center" wrapText="1"/>
    </xf>
    <xf numFmtId="0" fontId="23" fillId="0" borderId="2" xfId="0" applyFont="1" applyBorder="1" applyAlignment="1">
      <alignment vertical="center"/>
    </xf>
    <xf numFmtId="0" fontId="23" fillId="0" borderId="14" xfId="0" applyFont="1" applyBorder="1" applyAlignment="1">
      <alignment horizontal="center" vertical="center"/>
    </xf>
    <xf numFmtId="0" fontId="23" fillId="0" borderId="8" xfId="0" applyFont="1" applyBorder="1" applyAlignment="1">
      <alignment horizontal="center" vertical="center"/>
    </xf>
    <xf numFmtId="184" fontId="23" fillId="0" borderId="8" xfId="2" applyNumberFormat="1" applyFont="1" applyBorder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23" fillId="2" borderId="23" xfId="0" applyFont="1" applyFill="1" applyBorder="1" applyAlignment="1">
      <alignment vertical="center"/>
    </xf>
    <xf numFmtId="184" fontId="17" fillId="2" borderId="11" xfId="2" applyNumberFormat="1" applyFont="1" applyFill="1" applyBorder="1" applyAlignment="1" applyProtection="1">
      <alignment horizontal="center" vertical="center" wrapText="1"/>
    </xf>
    <xf numFmtId="184" fontId="17" fillId="2" borderId="23" xfId="2" applyNumberFormat="1" applyFont="1" applyFill="1" applyBorder="1" applyAlignment="1" applyProtection="1">
      <alignment horizontal="right" vertical="center" wrapText="1"/>
    </xf>
    <xf numFmtId="184" fontId="18" fillId="0" borderId="23" xfId="2" applyNumberFormat="1" applyFont="1" applyBorder="1" applyAlignment="1" applyProtection="1">
      <alignment vertical="center"/>
    </xf>
    <xf numFmtId="184" fontId="18" fillId="0" borderId="23" xfId="2" applyNumberFormat="1" applyFont="1" applyBorder="1" applyAlignment="1">
      <alignment vertical="center"/>
    </xf>
    <xf numFmtId="0" fontId="17" fillId="2" borderId="16" xfId="0" applyFont="1" applyFill="1" applyBorder="1" applyAlignment="1">
      <alignment horizontal="left" vertical="center" wrapText="1"/>
    </xf>
    <xf numFmtId="184" fontId="17" fillId="2" borderId="10" xfId="2" applyNumberFormat="1" applyFont="1" applyFill="1" applyBorder="1" applyAlignment="1" applyProtection="1">
      <alignment horizontal="center" vertical="center" wrapText="1"/>
    </xf>
    <xf numFmtId="184" fontId="18" fillId="0" borderId="10" xfId="2" applyNumberFormat="1" applyFont="1" applyBorder="1" applyAlignment="1" applyProtection="1">
      <alignment vertical="center"/>
    </xf>
    <xf numFmtId="184" fontId="18" fillId="0" borderId="15" xfId="2" applyNumberFormat="1" applyFont="1" applyBorder="1" applyAlignment="1" applyProtection="1">
      <alignment vertical="center"/>
    </xf>
    <xf numFmtId="0" fontId="19" fillId="2" borderId="17" xfId="0" applyFont="1" applyFill="1" applyBorder="1" applyAlignment="1">
      <alignment horizontal="left" vertical="center" wrapText="1"/>
    </xf>
    <xf numFmtId="0" fontId="23" fillId="0" borderId="12" xfId="0" applyFont="1" applyBorder="1" applyAlignment="1">
      <alignment horizontal="center" vertical="center"/>
    </xf>
    <xf numFmtId="184" fontId="23" fillId="0" borderId="12" xfId="2" applyNumberFormat="1" applyFont="1" applyBorder="1" applyAlignment="1">
      <alignment vertical="center"/>
    </xf>
    <xf numFmtId="0" fontId="23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4" fontId="23" fillId="0" borderId="0" xfId="2" applyNumberFormat="1" applyFont="1" applyAlignment="1">
      <alignment horizontal="center" vertical="center"/>
    </xf>
    <xf numFmtId="184" fontId="23" fillId="0" borderId="14" xfId="2" applyNumberFormat="1" applyFont="1" applyBorder="1" applyAlignment="1">
      <alignment horizontal="center" vertical="center"/>
    </xf>
    <xf numFmtId="184" fontId="23" fillId="0" borderId="10" xfId="2" applyNumberFormat="1" applyFont="1" applyBorder="1" applyAlignment="1">
      <alignment horizontal="center" vertical="center"/>
    </xf>
    <xf numFmtId="169" fontId="23" fillId="0" borderId="10" xfId="1" applyFont="1" applyBorder="1" applyAlignment="1">
      <alignment horizontal="center" vertical="center"/>
    </xf>
    <xf numFmtId="184" fontId="18" fillId="0" borderId="16" xfId="2" applyNumberFormat="1" applyFont="1" applyBorder="1" applyAlignment="1">
      <alignment vertical="center"/>
    </xf>
    <xf numFmtId="184" fontId="18" fillId="0" borderId="2" xfId="2" applyNumberFormat="1" applyFont="1" applyBorder="1" applyAlignment="1">
      <alignment horizontal="center" vertical="center"/>
    </xf>
    <xf numFmtId="169" fontId="18" fillId="0" borderId="2" xfId="1" applyFont="1" applyBorder="1" applyAlignment="1" applyProtection="1">
      <alignment vertical="center"/>
    </xf>
    <xf numFmtId="184" fontId="18" fillId="0" borderId="11" xfId="2" applyNumberFormat="1" applyFont="1" applyBorder="1" applyAlignment="1" applyProtection="1">
      <alignment vertical="center"/>
    </xf>
    <xf numFmtId="169" fontId="18" fillId="0" borderId="0" xfId="1" applyFont="1" applyAlignment="1">
      <alignment vertical="center"/>
    </xf>
    <xf numFmtId="184" fontId="18" fillId="0" borderId="0" xfId="2" applyNumberFormat="1" applyFont="1" applyAlignment="1">
      <alignment horizontal="center" vertical="center"/>
    </xf>
    <xf numFmtId="184" fontId="23" fillId="0" borderId="2" xfId="2" applyNumberFormat="1" applyFont="1" applyBorder="1" applyAlignment="1">
      <alignment horizontal="center" vertical="center"/>
    </xf>
    <xf numFmtId="184" fontId="18" fillId="0" borderId="2" xfId="2" applyNumberFormat="1" applyFont="1" applyBorder="1" applyAlignment="1">
      <alignment vertical="center"/>
    </xf>
    <xf numFmtId="184" fontId="18" fillId="0" borderId="7" xfId="2" applyNumberFormat="1" applyFont="1" applyBorder="1" applyAlignment="1">
      <alignment vertical="center"/>
    </xf>
    <xf numFmtId="184" fontId="18" fillId="0" borderId="7" xfId="2" applyNumberFormat="1" applyFont="1" applyBorder="1" applyAlignment="1" applyProtection="1">
      <alignment vertical="center"/>
    </xf>
    <xf numFmtId="169" fontId="23" fillId="0" borderId="2" xfId="1" applyFont="1" applyBorder="1" applyAlignment="1">
      <alignment horizontal="center" vertical="center"/>
    </xf>
    <xf numFmtId="184" fontId="18" fillId="0" borderId="9" xfId="2" applyNumberFormat="1" applyFont="1" applyBorder="1" applyAlignment="1">
      <alignment vertical="center"/>
    </xf>
    <xf numFmtId="169" fontId="18" fillId="0" borderId="0" xfId="1" applyFont="1" applyBorder="1" applyAlignment="1" applyProtection="1">
      <alignment vertical="center"/>
    </xf>
    <xf numFmtId="184" fontId="31" fillId="0" borderId="2" xfId="2" applyNumberFormat="1" applyFont="1" applyBorder="1" applyProtection="1"/>
    <xf numFmtId="169" fontId="31" fillId="0" borderId="2" xfId="1" applyFont="1" applyBorder="1" applyProtection="1"/>
    <xf numFmtId="184" fontId="31" fillId="0" borderId="9" xfId="2" applyNumberFormat="1" applyFont="1" applyBorder="1"/>
    <xf numFmtId="0" fontId="21" fillId="12" borderId="11" xfId="0" applyFont="1" applyFill="1" applyBorder="1" applyAlignment="1">
      <alignment horizontal="left" vertical="center" wrapText="1"/>
    </xf>
    <xf numFmtId="10" fontId="21" fillId="12" borderId="2" xfId="192" applyNumberFormat="1" applyFont="1" applyFill="1" applyBorder="1" applyAlignment="1" applyProtection="1">
      <alignment horizontal="center" vertical="center" wrapText="1"/>
    </xf>
    <xf numFmtId="0" fontId="19" fillId="18" borderId="20" xfId="0" applyFont="1" applyFill="1" applyBorder="1" applyAlignment="1">
      <alignment horizontal="left" vertical="center" wrapText="1"/>
    </xf>
    <xf numFmtId="9" fontId="15" fillId="0" borderId="0" xfId="3"/>
    <xf numFmtId="192" fontId="15" fillId="0" borderId="0" xfId="3" applyNumberFormat="1"/>
    <xf numFmtId="10" fontId="15" fillId="0" borderId="0" xfId="3" applyNumberFormat="1"/>
    <xf numFmtId="184" fontId="18" fillId="12" borderId="2" xfId="2" applyNumberFormat="1" applyFont="1" applyFill="1" applyBorder="1" applyAlignment="1">
      <alignment vertical="center"/>
    </xf>
    <xf numFmtId="184" fontId="31" fillId="12" borderId="2" xfId="2" applyNumberFormat="1" applyFont="1" applyFill="1" applyBorder="1"/>
    <xf numFmtId="184" fontId="18" fillId="12" borderId="2" xfId="2" applyNumberFormat="1" applyFont="1" applyFill="1" applyBorder="1" applyAlignment="1">
      <alignment horizontal="center" vertical="center"/>
    </xf>
    <xf numFmtId="184" fontId="18" fillId="12" borderId="2" xfId="2" applyNumberFormat="1" applyFont="1" applyFill="1" applyBorder="1" applyAlignment="1" applyProtection="1">
      <alignment vertical="center"/>
    </xf>
    <xf numFmtId="184" fontId="31" fillId="12" borderId="2" xfId="2" applyNumberFormat="1" applyFont="1" applyFill="1" applyBorder="1" applyAlignment="1">
      <alignment horizontal="center"/>
    </xf>
    <xf numFmtId="0" fontId="17" fillId="17" borderId="16" xfId="0" applyFont="1" applyFill="1" applyBorder="1" applyAlignment="1">
      <alignment horizontal="left" vertical="center" wrapText="1"/>
    </xf>
    <xf numFmtId="184" fontId="18" fillId="0" borderId="2" xfId="0" applyNumberFormat="1" applyFont="1" applyBorder="1" applyAlignment="1">
      <alignment vertical="center"/>
    </xf>
    <xf numFmtId="184" fontId="18" fillId="0" borderId="2" xfId="0" applyNumberFormat="1" applyFont="1" applyBorder="1" applyAlignment="1">
      <alignment horizontal="center" vertical="center"/>
    </xf>
    <xf numFmtId="169" fontId="18" fillId="0" borderId="2" xfId="0" applyNumberFormat="1" applyFont="1" applyBorder="1" applyAlignment="1">
      <alignment vertical="center"/>
    </xf>
    <xf numFmtId="184" fontId="18" fillId="0" borderId="0" xfId="0" applyNumberFormat="1" applyFont="1" applyAlignment="1">
      <alignment vertical="center"/>
    </xf>
    <xf numFmtId="184" fontId="21" fillId="17" borderId="24" xfId="2" applyNumberFormat="1" applyFont="1" applyFill="1" applyBorder="1" applyAlignment="1" applyProtection="1">
      <alignment horizontal="right" vertical="center" wrapText="1"/>
    </xf>
    <xf numFmtId="0" fontId="23" fillId="0" borderId="0" xfId="0" applyFont="1" applyAlignment="1">
      <alignment horizontal="center" vertical="center" wrapText="1"/>
    </xf>
    <xf numFmtId="0" fontId="23" fillId="0" borderId="18" xfId="0" applyFont="1" applyBorder="1" applyAlignment="1">
      <alignment horizontal="center" vertical="center"/>
    </xf>
    <xf numFmtId="0" fontId="18" fillId="0" borderId="0" xfId="0" applyFont="1" applyAlignment="1">
      <alignment horizontal="left" vertical="center" wrapText="1"/>
    </xf>
    <xf numFmtId="0" fontId="19" fillId="2" borderId="2" xfId="177" applyFont="1" applyFill="1" applyBorder="1" applyAlignment="1">
      <alignment horizontal="center" vertical="center"/>
    </xf>
    <xf numFmtId="0" fontId="19" fillId="2" borderId="0" xfId="0" applyFont="1" applyFill="1" applyAlignment="1">
      <alignment horizontal="center" vertical="center" wrapText="1"/>
    </xf>
    <xf numFmtId="0" fontId="18" fillId="0" borderId="0" xfId="0" applyFont="1" applyAlignment="1">
      <alignment horizontal="left" vertical="center"/>
    </xf>
    <xf numFmtId="184" fontId="23" fillId="0" borderId="0" xfId="2" applyNumberFormat="1" applyFont="1" applyAlignment="1">
      <alignment horizontal="center" vertical="center"/>
    </xf>
    <xf numFmtId="49" fontId="23" fillId="2" borderId="43" xfId="0" applyNumberFormat="1" applyFont="1" applyFill="1" applyBorder="1" applyAlignment="1">
      <alignment horizontal="center" vertical="center" wrapText="1"/>
    </xf>
    <xf numFmtId="49" fontId="23" fillId="2" borderId="34" xfId="0" applyNumberFormat="1" applyFont="1" applyFill="1" applyBorder="1" applyAlignment="1">
      <alignment horizontal="center" vertical="center" wrapText="1"/>
    </xf>
    <xf numFmtId="49" fontId="23" fillId="2" borderId="44" xfId="0" applyNumberFormat="1" applyFont="1" applyFill="1" applyBorder="1" applyAlignment="1">
      <alignment horizontal="center" vertical="center" wrapText="1"/>
    </xf>
    <xf numFmtId="49" fontId="23" fillId="2" borderId="3" xfId="0" applyNumberFormat="1" applyFont="1" applyFill="1" applyBorder="1" applyAlignment="1">
      <alignment horizontal="center" vertical="center" wrapText="1"/>
    </xf>
    <xf numFmtId="0" fontId="19" fillId="2" borderId="18" xfId="0" applyFont="1" applyFill="1" applyBorder="1" applyAlignment="1">
      <alignment horizontal="center" vertical="center" wrapText="1"/>
    </xf>
    <xf numFmtId="184" fontId="18" fillId="0" borderId="2" xfId="0" applyNumberFormat="1" applyFont="1" applyFill="1" applyBorder="1" applyAlignment="1">
      <alignment vertical="center"/>
    </xf>
    <xf numFmtId="184" fontId="18" fillId="0" borderId="2" xfId="0" applyNumberFormat="1" applyFont="1" applyFill="1" applyBorder="1" applyAlignment="1">
      <alignment horizontal="center" vertical="center"/>
    </xf>
    <xf numFmtId="184" fontId="18" fillId="0" borderId="13" xfId="0" applyNumberFormat="1" applyFont="1" applyFill="1" applyBorder="1" applyAlignment="1">
      <alignment vertical="center"/>
    </xf>
    <xf numFmtId="184" fontId="18" fillId="0" borderId="17" xfId="0" applyNumberFormat="1" applyFont="1" applyFill="1" applyBorder="1" applyAlignment="1">
      <alignment vertical="center"/>
    </xf>
    <xf numFmtId="184" fontId="18" fillId="0" borderId="12" xfId="0" applyNumberFormat="1" applyFont="1" applyFill="1" applyBorder="1" applyAlignment="1">
      <alignment horizontal="center" vertical="center"/>
    </xf>
    <xf numFmtId="184" fontId="18" fillId="0" borderId="12" xfId="0" applyNumberFormat="1" applyFont="1" applyFill="1" applyBorder="1" applyAlignment="1">
      <alignment vertical="center"/>
    </xf>
    <xf numFmtId="169" fontId="18" fillId="0" borderId="12" xfId="0" applyNumberFormat="1" applyFont="1" applyFill="1" applyBorder="1" applyAlignment="1">
      <alignment vertical="center"/>
    </xf>
  </cellXfs>
  <cellStyles count="201">
    <cellStyle name="% 2" xfId="5" xr:uid="{00000000-0005-0000-0000-000006000000}"/>
    <cellStyle name="4" xfId="6" xr:uid="{00000000-0005-0000-0000-000007000000}"/>
    <cellStyle name="4_B" xfId="7" xr:uid="{00000000-0005-0000-0000-000008000000}"/>
    <cellStyle name="c2" xfId="8" xr:uid="{00000000-0005-0000-0000-000009000000}"/>
    <cellStyle name="c50" xfId="9" xr:uid="{00000000-0005-0000-0000-00000A000000}"/>
    <cellStyle name="Comma" xfId="10" xr:uid="{00000000-0005-0000-0000-00000B000000}"/>
    <cellStyle name="Currency" xfId="11" xr:uid="{00000000-0005-0000-0000-00000C000000}"/>
    <cellStyle name="Date" xfId="12" xr:uid="{00000000-0005-0000-0000-00000D000000}"/>
    <cellStyle name="Euro" xfId="13" xr:uid="{00000000-0005-0000-0000-00000E000000}"/>
    <cellStyle name="F2" xfId="14" xr:uid="{00000000-0005-0000-0000-00000F000000}"/>
    <cellStyle name="F3" xfId="15" xr:uid="{00000000-0005-0000-0000-000010000000}"/>
    <cellStyle name="F4" xfId="16" xr:uid="{00000000-0005-0000-0000-000011000000}"/>
    <cellStyle name="F5" xfId="17" xr:uid="{00000000-0005-0000-0000-000012000000}"/>
    <cellStyle name="F6" xfId="18" xr:uid="{00000000-0005-0000-0000-000013000000}"/>
    <cellStyle name="F7" xfId="19" xr:uid="{00000000-0005-0000-0000-000014000000}"/>
    <cellStyle name="F8" xfId="20" xr:uid="{00000000-0005-0000-0000-000015000000}"/>
    <cellStyle name="Fixed" xfId="21" xr:uid="{00000000-0005-0000-0000-000016000000}"/>
    <cellStyle name="Heading2" xfId="22" xr:uid="{00000000-0005-0000-0000-000017000000}"/>
    <cellStyle name="Hipervínculo" xfId="4" builtinId="8"/>
    <cellStyle name="Millares" xfId="1" builtinId="3"/>
    <cellStyle name="Millares [0] 2" xfId="64" xr:uid="{00000000-0005-0000-0000-000041000000}"/>
    <cellStyle name="Millares [0] 2 2" xfId="65" xr:uid="{00000000-0005-0000-0000-000042000000}"/>
    <cellStyle name="Millares [0] 2 2 2" xfId="66" xr:uid="{00000000-0005-0000-0000-000043000000}"/>
    <cellStyle name="Millares [0] 2 2 3" xfId="67" xr:uid="{00000000-0005-0000-0000-000044000000}"/>
    <cellStyle name="Millares [0] 2 3" xfId="68" xr:uid="{00000000-0005-0000-0000-000045000000}"/>
    <cellStyle name="Millares [0] 2 4" xfId="69" xr:uid="{00000000-0005-0000-0000-000046000000}"/>
    <cellStyle name="Millares [0] 3" xfId="70" xr:uid="{00000000-0005-0000-0000-000047000000}"/>
    <cellStyle name="Millares [0] 3 2" xfId="71" xr:uid="{00000000-0005-0000-0000-000048000000}"/>
    <cellStyle name="Millares [0] 3 2 2" xfId="72" xr:uid="{00000000-0005-0000-0000-000049000000}"/>
    <cellStyle name="Millares [0] 3 3" xfId="73" xr:uid="{00000000-0005-0000-0000-00004A000000}"/>
    <cellStyle name="Millares [0] 3 4" xfId="74" xr:uid="{00000000-0005-0000-0000-00004B000000}"/>
    <cellStyle name="Millares [0] 4" xfId="75" xr:uid="{00000000-0005-0000-0000-00004C000000}"/>
    <cellStyle name="Millares [0] 4 2" xfId="76" xr:uid="{00000000-0005-0000-0000-00004D000000}"/>
    <cellStyle name="Millares [0] 4 3" xfId="77" xr:uid="{00000000-0005-0000-0000-00004E000000}"/>
    <cellStyle name="Millares [0] 5" xfId="78" xr:uid="{00000000-0005-0000-0000-00004F000000}"/>
    <cellStyle name="Millares [0] 5 2" xfId="79" xr:uid="{00000000-0005-0000-0000-000050000000}"/>
    <cellStyle name="Millares 10" xfId="23" xr:uid="{00000000-0005-0000-0000-000018000000}"/>
    <cellStyle name="Millares 11" xfId="24" xr:uid="{00000000-0005-0000-0000-000019000000}"/>
    <cellStyle name="Millares 11 2" xfId="25" xr:uid="{00000000-0005-0000-0000-00001A000000}"/>
    <cellStyle name="Millares 11 2 2" xfId="26" xr:uid="{00000000-0005-0000-0000-00001B000000}"/>
    <cellStyle name="Millares 11 3" xfId="27" xr:uid="{00000000-0005-0000-0000-00001C000000}"/>
    <cellStyle name="Millares 11 4" xfId="28" xr:uid="{00000000-0005-0000-0000-00001D000000}"/>
    <cellStyle name="Millares 11 5" xfId="29" xr:uid="{00000000-0005-0000-0000-00001E000000}"/>
    <cellStyle name="Millares 12" xfId="30" xr:uid="{00000000-0005-0000-0000-00001F000000}"/>
    <cellStyle name="Millares 13" xfId="31" xr:uid="{00000000-0005-0000-0000-000020000000}"/>
    <cellStyle name="Millares 14" xfId="32" xr:uid="{00000000-0005-0000-0000-000021000000}"/>
    <cellStyle name="Millares 15" xfId="33" xr:uid="{00000000-0005-0000-0000-000022000000}"/>
    <cellStyle name="Millares 16" xfId="34" xr:uid="{00000000-0005-0000-0000-000023000000}"/>
    <cellStyle name="Millares 17" xfId="35" xr:uid="{00000000-0005-0000-0000-000024000000}"/>
    <cellStyle name="Millares 2" xfId="36" xr:uid="{00000000-0005-0000-0000-000025000000}"/>
    <cellStyle name="Millares 2 10" xfId="37" xr:uid="{00000000-0005-0000-0000-000026000000}"/>
    <cellStyle name="Millares 2 10 2" xfId="38" xr:uid="{00000000-0005-0000-0000-000027000000}"/>
    <cellStyle name="Millares 2 10 3" xfId="39" xr:uid="{00000000-0005-0000-0000-000028000000}"/>
    <cellStyle name="Millares 2 2" xfId="40" xr:uid="{00000000-0005-0000-0000-000029000000}"/>
    <cellStyle name="Millares 2 2 2" xfId="41" xr:uid="{00000000-0005-0000-0000-00002A000000}"/>
    <cellStyle name="Millares 2 3" xfId="42" xr:uid="{00000000-0005-0000-0000-00002B000000}"/>
    <cellStyle name="Millares 2 4" xfId="43" xr:uid="{00000000-0005-0000-0000-00002C000000}"/>
    <cellStyle name="Millares 3" xfId="44" xr:uid="{00000000-0005-0000-0000-00002D000000}"/>
    <cellStyle name="Millares 3 12" xfId="45" xr:uid="{00000000-0005-0000-0000-00002E000000}"/>
    <cellStyle name="Millares 3 12 2" xfId="46" xr:uid="{00000000-0005-0000-0000-00002F000000}"/>
    <cellStyle name="Millares 3 12 2 2" xfId="47" xr:uid="{00000000-0005-0000-0000-000030000000}"/>
    <cellStyle name="Millares 3 12 3" xfId="48" xr:uid="{00000000-0005-0000-0000-000031000000}"/>
    <cellStyle name="Millares 3 2" xfId="49" xr:uid="{00000000-0005-0000-0000-000032000000}"/>
    <cellStyle name="Millares 3 2 2" xfId="50" xr:uid="{00000000-0005-0000-0000-000033000000}"/>
    <cellStyle name="Millares 3 3" xfId="51" xr:uid="{00000000-0005-0000-0000-000034000000}"/>
    <cellStyle name="Millares 4" xfId="52" xr:uid="{00000000-0005-0000-0000-000035000000}"/>
    <cellStyle name="Millares 4 2" xfId="53" xr:uid="{00000000-0005-0000-0000-000036000000}"/>
    <cellStyle name="Millares 4 2 2" xfId="54" xr:uid="{00000000-0005-0000-0000-000037000000}"/>
    <cellStyle name="Millares 4 3" xfId="55" xr:uid="{00000000-0005-0000-0000-000038000000}"/>
    <cellStyle name="Millares 4 4" xfId="56" xr:uid="{00000000-0005-0000-0000-000039000000}"/>
    <cellStyle name="Millares 4 5" xfId="57" xr:uid="{00000000-0005-0000-0000-00003A000000}"/>
    <cellStyle name="Millares 5" xfId="58" xr:uid="{00000000-0005-0000-0000-00003B000000}"/>
    <cellStyle name="Millares 5 2" xfId="59" xr:uid="{00000000-0005-0000-0000-00003C000000}"/>
    <cellStyle name="Millares 6" xfId="60" xr:uid="{00000000-0005-0000-0000-00003D000000}"/>
    <cellStyle name="Millares 7" xfId="61" xr:uid="{00000000-0005-0000-0000-00003E000000}"/>
    <cellStyle name="Millares 8" xfId="62" xr:uid="{00000000-0005-0000-0000-00003F000000}"/>
    <cellStyle name="Millares 9" xfId="63" xr:uid="{00000000-0005-0000-0000-000040000000}"/>
    <cellStyle name="Moneda" xfId="2" builtinId="4"/>
    <cellStyle name="Moneda [0] 2" xfId="117" xr:uid="{00000000-0005-0000-0000-000076000000}"/>
    <cellStyle name="Moneda [0] 2 2" xfId="118" xr:uid="{00000000-0005-0000-0000-000077000000}"/>
    <cellStyle name="Moneda [0] 2 2 2" xfId="119" xr:uid="{00000000-0005-0000-0000-000078000000}"/>
    <cellStyle name="Moneda [0] 3" xfId="120" xr:uid="{00000000-0005-0000-0000-000079000000}"/>
    <cellStyle name="Moneda 10" xfId="80" xr:uid="{00000000-0005-0000-0000-000051000000}"/>
    <cellStyle name="Moneda 11" xfId="81" xr:uid="{00000000-0005-0000-0000-000052000000}"/>
    <cellStyle name="Moneda 12" xfId="82" xr:uid="{00000000-0005-0000-0000-000053000000}"/>
    <cellStyle name="Moneda 13" xfId="83" xr:uid="{00000000-0005-0000-0000-000054000000}"/>
    <cellStyle name="Moneda 14" xfId="84" xr:uid="{00000000-0005-0000-0000-000055000000}"/>
    <cellStyle name="Moneda 15" xfId="85" xr:uid="{00000000-0005-0000-0000-000056000000}"/>
    <cellStyle name="Moneda 16" xfId="86" xr:uid="{00000000-0005-0000-0000-000057000000}"/>
    <cellStyle name="Moneda 17" xfId="87" xr:uid="{00000000-0005-0000-0000-000058000000}"/>
    <cellStyle name="Moneda 18" xfId="88" xr:uid="{00000000-0005-0000-0000-000059000000}"/>
    <cellStyle name="Moneda 2" xfId="89" xr:uid="{00000000-0005-0000-0000-00005A000000}"/>
    <cellStyle name="Moneda 2 2" xfId="90" xr:uid="{00000000-0005-0000-0000-00005B000000}"/>
    <cellStyle name="Moneda 2 2 2" xfId="91" xr:uid="{00000000-0005-0000-0000-00005C000000}"/>
    <cellStyle name="Moneda 2 2 2 2" xfId="92" xr:uid="{00000000-0005-0000-0000-00005D000000}"/>
    <cellStyle name="Moneda 2 2 2 2 2" xfId="93" xr:uid="{00000000-0005-0000-0000-00005E000000}"/>
    <cellStyle name="Moneda 2 2 3" xfId="94" xr:uid="{00000000-0005-0000-0000-00005F000000}"/>
    <cellStyle name="Moneda 2 3" xfId="95" xr:uid="{00000000-0005-0000-0000-000060000000}"/>
    <cellStyle name="Moneda 2 3 2" xfId="96" xr:uid="{00000000-0005-0000-0000-000061000000}"/>
    <cellStyle name="Moneda 2 4" xfId="97" xr:uid="{00000000-0005-0000-0000-000062000000}"/>
    <cellStyle name="Moneda 2 4 2" xfId="98" xr:uid="{00000000-0005-0000-0000-000063000000}"/>
    <cellStyle name="Moneda 3" xfId="99" xr:uid="{00000000-0005-0000-0000-000064000000}"/>
    <cellStyle name="Moneda 3 2" xfId="100" xr:uid="{00000000-0005-0000-0000-000065000000}"/>
    <cellStyle name="Moneda 3 2 2" xfId="101" xr:uid="{00000000-0005-0000-0000-000066000000}"/>
    <cellStyle name="Moneda 3 2 3" xfId="102" xr:uid="{00000000-0005-0000-0000-000067000000}"/>
    <cellStyle name="Moneda 3 3" xfId="103" xr:uid="{00000000-0005-0000-0000-000068000000}"/>
    <cellStyle name="Moneda 3 4" xfId="104" xr:uid="{00000000-0005-0000-0000-000069000000}"/>
    <cellStyle name="Moneda 4" xfId="105" xr:uid="{00000000-0005-0000-0000-00006A000000}"/>
    <cellStyle name="Moneda 4 2" xfId="106" xr:uid="{00000000-0005-0000-0000-00006B000000}"/>
    <cellStyle name="Moneda 4 2 2" xfId="107" xr:uid="{00000000-0005-0000-0000-00006C000000}"/>
    <cellStyle name="Moneda 4 4" xfId="108" xr:uid="{00000000-0005-0000-0000-00006D000000}"/>
    <cellStyle name="Moneda 5" xfId="109" xr:uid="{00000000-0005-0000-0000-00006E000000}"/>
    <cellStyle name="Moneda 5 2" xfId="110" xr:uid="{00000000-0005-0000-0000-00006F000000}"/>
    <cellStyle name="Moneda 6" xfId="111" xr:uid="{00000000-0005-0000-0000-000070000000}"/>
    <cellStyle name="Moneda 6 2" xfId="112" xr:uid="{00000000-0005-0000-0000-000071000000}"/>
    <cellStyle name="Moneda 7" xfId="113" xr:uid="{00000000-0005-0000-0000-000072000000}"/>
    <cellStyle name="Moneda 7 2" xfId="114" xr:uid="{00000000-0005-0000-0000-000073000000}"/>
    <cellStyle name="Moneda 8" xfId="115" xr:uid="{00000000-0005-0000-0000-000074000000}"/>
    <cellStyle name="Moneda 9" xfId="116" xr:uid="{00000000-0005-0000-0000-000075000000}"/>
    <cellStyle name="Moneda_la arboleda 2" xfId="121" xr:uid="{00000000-0005-0000-0000-00007A000000}"/>
    <cellStyle name="Normal" xfId="0" builtinId="0"/>
    <cellStyle name="Normal 11 3 2 2" xfId="122" xr:uid="{00000000-0005-0000-0000-00007B000000}"/>
    <cellStyle name="Normal 11 3 2 3" xfId="123" xr:uid="{00000000-0005-0000-0000-00007C000000}"/>
    <cellStyle name="Normal 12" xfId="124" xr:uid="{00000000-0005-0000-0000-00007D000000}"/>
    <cellStyle name="Normal 12 3 2 2" xfId="125" xr:uid="{00000000-0005-0000-0000-00007E000000}"/>
    <cellStyle name="Normal 12 3 2 3" xfId="126" xr:uid="{00000000-0005-0000-0000-00007F000000}"/>
    <cellStyle name="Normal 15" xfId="127" xr:uid="{00000000-0005-0000-0000-000080000000}"/>
    <cellStyle name="Normal 17" xfId="128" xr:uid="{00000000-0005-0000-0000-000081000000}"/>
    <cellStyle name="Normal 17 2" xfId="129" xr:uid="{00000000-0005-0000-0000-000082000000}"/>
    <cellStyle name="Normal 18" xfId="130" xr:uid="{00000000-0005-0000-0000-000083000000}"/>
    <cellStyle name="Normal 18 2" xfId="131" xr:uid="{00000000-0005-0000-0000-000084000000}"/>
    <cellStyle name="Normal 2" xfId="132" xr:uid="{00000000-0005-0000-0000-000085000000}"/>
    <cellStyle name="Normal 2 10" xfId="133" xr:uid="{00000000-0005-0000-0000-000086000000}"/>
    <cellStyle name="Normal 2 10 3" xfId="134" xr:uid="{00000000-0005-0000-0000-000087000000}"/>
    <cellStyle name="Normal 2 12" xfId="135" xr:uid="{00000000-0005-0000-0000-000088000000}"/>
    <cellStyle name="Normal 2 2" xfId="136" xr:uid="{00000000-0005-0000-0000-000089000000}"/>
    <cellStyle name="Normal 2 2 2" xfId="137" xr:uid="{00000000-0005-0000-0000-00008A000000}"/>
    <cellStyle name="Normal 2 2 2 2" xfId="138" xr:uid="{00000000-0005-0000-0000-00008B000000}"/>
    <cellStyle name="Normal 2 2 2 3" xfId="139" xr:uid="{00000000-0005-0000-0000-00008C000000}"/>
    <cellStyle name="Normal 2 2 3" xfId="140" xr:uid="{00000000-0005-0000-0000-00008D000000}"/>
    <cellStyle name="Normal 2 2 4" xfId="141" xr:uid="{00000000-0005-0000-0000-00008E000000}"/>
    <cellStyle name="Normal 2 2 5" xfId="142" xr:uid="{00000000-0005-0000-0000-00008F000000}"/>
    <cellStyle name="Normal 2 3" xfId="143" xr:uid="{00000000-0005-0000-0000-000090000000}"/>
    <cellStyle name="Normal 2 3 2" xfId="144" xr:uid="{00000000-0005-0000-0000-000091000000}"/>
    <cellStyle name="Normal 2 3 5" xfId="145" xr:uid="{00000000-0005-0000-0000-000092000000}"/>
    <cellStyle name="Normal 2 4" xfId="146" xr:uid="{00000000-0005-0000-0000-000093000000}"/>
    <cellStyle name="Normal 2 4 2" xfId="147" xr:uid="{00000000-0005-0000-0000-000094000000}"/>
    <cellStyle name="Normal 2 4 3" xfId="148" xr:uid="{00000000-0005-0000-0000-000095000000}"/>
    <cellStyle name="Normal 2 5" xfId="149" xr:uid="{00000000-0005-0000-0000-000096000000}"/>
    <cellStyle name="Normal 20 3" xfId="150" xr:uid="{00000000-0005-0000-0000-000097000000}"/>
    <cellStyle name="Normal 22" xfId="151" xr:uid="{00000000-0005-0000-0000-000098000000}"/>
    <cellStyle name="Normal 3" xfId="152" xr:uid="{00000000-0005-0000-0000-000099000000}"/>
    <cellStyle name="Normal 3 10 10" xfId="153" xr:uid="{00000000-0005-0000-0000-00009A000000}"/>
    <cellStyle name="Normal 3 10 10 2" xfId="154" xr:uid="{00000000-0005-0000-0000-00009B000000}"/>
    <cellStyle name="Normal 3 10 10 3" xfId="155" xr:uid="{00000000-0005-0000-0000-00009C000000}"/>
    <cellStyle name="Normal 3 11" xfId="156" xr:uid="{00000000-0005-0000-0000-00009D000000}"/>
    <cellStyle name="Normal 3 11 2" xfId="157" xr:uid="{00000000-0005-0000-0000-00009E000000}"/>
    <cellStyle name="Normal 3 11 3" xfId="158" xr:uid="{00000000-0005-0000-0000-00009F000000}"/>
    <cellStyle name="Normal 3 2" xfId="159" xr:uid="{00000000-0005-0000-0000-0000A0000000}"/>
    <cellStyle name="Normal 3 2 2" xfId="160" xr:uid="{00000000-0005-0000-0000-0000A1000000}"/>
    <cellStyle name="Normal 3 2 2 2" xfId="161" xr:uid="{00000000-0005-0000-0000-0000A2000000}"/>
    <cellStyle name="Normal 3 2 2 2 2" xfId="162" xr:uid="{00000000-0005-0000-0000-0000A3000000}"/>
    <cellStyle name="Normal 3 2 2 3" xfId="163" xr:uid="{00000000-0005-0000-0000-0000A4000000}"/>
    <cellStyle name="Normal 3 2 3" xfId="164" xr:uid="{00000000-0005-0000-0000-0000A5000000}"/>
    <cellStyle name="Normal 3 3" xfId="165" xr:uid="{00000000-0005-0000-0000-0000A6000000}"/>
    <cellStyle name="Normal 3 3 2 2" xfId="166" xr:uid="{00000000-0005-0000-0000-0000A7000000}"/>
    <cellStyle name="Normal 3 4" xfId="167" xr:uid="{00000000-0005-0000-0000-0000A8000000}"/>
    <cellStyle name="Normal 4" xfId="168" xr:uid="{00000000-0005-0000-0000-0000A9000000}"/>
    <cellStyle name="Normal 4 2" xfId="169" xr:uid="{00000000-0005-0000-0000-0000AA000000}"/>
    <cellStyle name="Normal 4 2 2" xfId="170" xr:uid="{00000000-0005-0000-0000-0000AB000000}"/>
    <cellStyle name="Normal 4 3" xfId="171" xr:uid="{00000000-0005-0000-0000-0000AC000000}"/>
    <cellStyle name="Normal 4 4" xfId="172" xr:uid="{00000000-0005-0000-0000-0000AD000000}"/>
    <cellStyle name="Normal 4 4 2" xfId="173" xr:uid="{00000000-0005-0000-0000-0000AE000000}"/>
    <cellStyle name="Normal 4 4 2 2" xfId="174" xr:uid="{00000000-0005-0000-0000-0000AF000000}"/>
    <cellStyle name="Normal 4 4 3" xfId="175" xr:uid="{00000000-0005-0000-0000-0000B0000000}"/>
    <cellStyle name="Normal 4 5 2" xfId="176" xr:uid="{00000000-0005-0000-0000-0000B1000000}"/>
    <cellStyle name="Normal 5" xfId="177" xr:uid="{00000000-0005-0000-0000-0000B2000000}"/>
    <cellStyle name="Normal 5 2" xfId="178" xr:uid="{00000000-0005-0000-0000-0000B3000000}"/>
    <cellStyle name="Normal 6" xfId="179" xr:uid="{00000000-0005-0000-0000-0000B4000000}"/>
    <cellStyle name="Normal 6 2" xfId="180" xr:uid="{00000000-0005-0000-0000-0000B5000000}"/>
    <cellStyle name="Normal 6 3" xfId="181" xr:uid="{00000000-0005-0000-0000-0000B6000000}"/>
    <cellStyle name="Normal 6 4" xfId="182" xr:uid="{00000000-0005-0000-0000-0000B7000000}"/>
    <cellStyle name="Normal 7" xfId="183" xr:uid="{00000000-0005-0000-0000-0000B8000000}"/>
    <cellStyle name="Normal 7 2" xfId="184" xr:uid="{00000000-0005-0000-0000-0000B9000000}"/>
    <cellStyle name="Normal 8" xfId="185" xr:uid="{00000000-0005-0000-0000-0000BA000000}"/>
    <cellStyle name="Normal 8 2" xfId="186" xr:uid="{00000000-0005-0000-0000-0000BB000000}"/>
    <cellStyle name="Normal 8 3" xfId="187" xr:uid="{00000000-0005-0000-0000-0000BC000000}"/>
    <cellStyle name="Normal 9" xfId="188" xr:uid="{00000000-0005-0000-0000-0000BD000000}"/>
    <cellStyle name="Notas 2" xfId="189" xr:uid="{00000000-0005-0000-0000-0000BE000000}"/>
    <cellStyle name="Percent" xfId="190" xr:uid="{00000000-0005-0000-0000-0000BF000000}"/>
    <cellStyle name="Porcentaje" xfId="3" builtinId="5"/>
    <cellStyle name="Porcentaje 2" xfId="191" xr:uid="{00000000-0005-0000-0000-0000C0000000}"/>
    <cellStyle name="Porcentaje 2 2" xfId="192" xr:uid="{00000000-0005-0000-0000-0000C1000000}"/>
    <cellStyle name="Porcentaje 2 3" xfId="193" xr:uid="{00000000-0005-0000-0000-0000C2000000}"/>
    <cellStyle name="Porcentaje 2 5" xfId="194" xr:uid="{00000000-0005-0000-0000-0000C3000000}"/>
    <cellStyle name="Porcentaje 3" xfId="195" xr:uid="{00000000-0005-0000-0000-0000C4000000}"/>
    <cellStyle name="Porcentaje 3 2" xfId="196" xr:uid="{00000000-0005-0000-0000-0000C5000000}"/>
    <cellStyle name="Porcentaje 4" xfId="197" xr:uid="{00000000-0005-0000-0000-0000C6000000}"/>
    <cellStyle name="Porcentual 2" xfId="198" xr:uid="{00000000-0005-0000-0000-0000C7000000}"/>
    <cellStyle name="Porcentual 2 2" xfId="199" xr:uid="{00000000-0005-0000-0000-0000C8000000}"/>
    <cellStyle name="t3" xfId="200" xr:uid="{00000000-0005-0000-0000-0000C9000000}"/>
  </cellStyles>
  <dxfs count="15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Nova"/>
        <family val="2"/>
        <scheme val="none"/>
      </font>
      <numFmt numFmtId="184" formatCode="_-&quot;$ &quot;* #,##0_-;&quot;-$ &quot;* #,##0_-;_-&quot;$ &quot;* \-??_-;_-@_-"/>
      <alignment horizontal="general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Nova"/>
        <family val="2"/>
        <scheme val="none"/>
      </font>
      <numFmt numFmtId="184" formatCode="_-&quot;$ &quot;* #,##0_-;&quot;-$ &quot;* #,##0_-;_-&quot;$ &quot;* \-??_-;_-@_-"/>
      <alignment horizontal="general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Nova"/>
        <family val="2"/>
        <scheme val="none"/>
      </font>
      <numFmt numFmtId="184" formatCode="_-&quot;$ &quot;* #,##0_-;&quot;-$ &quot;* #,##0_-;_-&quot;$ &quot;* \-??_-;_-@_-"/>
      <alignment horizontal="general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Nova"/>
        <family val="2"/>
        <scheme val="none"/>
      </font>
      <numFmt numFmtId="184" formatCode="_-&quot;$ &quot;* #,##0_-;&quot;-$ &quot;* #,##0_-;_-&quot;$ &quot;* \-??_-;_-@_-"/>
      <alignment horizontal="general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Nova"/>
        <family val="2"/>
        <scheme val="none"/>
      </font>
      <numFmt numFmtId="184" formatCode="_-&quot;$ &quot;* #,##0_-;&quot;-$ &quot;* #,##0_-;_-&quot;$ &quot;* \-??_-;_-@_-"/>
      <alignment horizontal="general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Nova"/>
        <family val="2"/>
        <scheme val="none"/>
      </font>
      <numFmt numFmtId="184" formatCode="_-&quot;$ &quot;* #,##0_-;&quot;-$ &quot;* #,##0_-;_-&quot;$ &quot;* \-??_-;_-@_-"/>
      <alignment horizontal="general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Nova"/>
        <family val="2"/>
        <scheme val="none"/>
      </font>
      <numFmt numFmtId="184" formatCode="_-&quot;$ &quot;* #,##0_-;&quot;-$ &quot;* #,##0_-;_-&quot;$ &quot;* \-??_-;_-@_-"/>
      <alignment horizontal="general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Nova"/>
        <family val="2"/>
        <scheme val="none"/>
      </font>
      <numFmt numFmtId="184" formatCode="_-&quot;$ &quot;* #,##0_-;&quot;-$ &quot;* #,##0_-;_-&quot;$ &quot;* \-??_-;_-@_-"/>
      <alignment horizontal="general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Nova"/>
        <family val="2"/>
        <scheme val="none"/>
      </font>
      <numFmt numFmtId="184" formatCode="_-&quot;$ &quot;* #,##0_-;&quot;-$ &quot;* #,##0_-;_-&quot;$ &quot;* \-??_-;_-@_-"/>
      <alignment horizontal="general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Nova"/>
        <family val="2"/>
        <scheme val="none"/>
      </font>
      <numFmt numFmtId="184" formatCode="_-&quot;$ &quot;* #,##0_-;&quot;-$ &quot;* #,##0_-;_-&quot;$ &quot;* \-??_-;_-@_-"/>
      <alignment horizontal="general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Nova"/>
        <family val="2"/>
        <scheme val="none"/>
      </font>
      <numFmt numFmtId="184" formatCode="_-&quot;$ &quot;* #,##0_-;&quot;-$ &quot;* #,##0_-;_-&quot;$ &quot;* \-??_-;_-@_-"/>
      <alignment horizontal="general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Nova"/>
        <family val="2"/>
        <scheme val="none"/>
      </font>
      <numFmt numFmtId="184" formatCode="_-&quot;$ &quot;* #,##0_-;&quot;-$ &quot;* #,##0_-;_-&quot;$ &quot;* \-??_-;_-@_-"/>
      <alignment horizontal="general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Nova"/>
        <family val="2"/>
        <scheme val="none"/>
      </font>
      <numFmt numFmtId="184" formatCode="_-&quot;$ &quot;* #,##0_-;&quot;-$ &quot;* #,##0_-;_-&quot;$ &quot;* \-??_-;_-@_-"/>
      <alignment horizontal="general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Nova"/>
        <family val="2"/>
        <scheme val="none"/>
      </font>
      <alignment horizontal="general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Nova"/>
        <family val="2"/>
        <scheme val="none"/>
      </font>
      <numFmt numFmtId="184" formatCode="_-&quot;$ &quot;* #,##0_-;&quot;-$ &quot;* #,##0_-;_-&quot;$ &quot;* \-??_-;_-@_-"/>
      <alignment horizontal="general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Nova"/>
        <family val="2"/>
        <scheme val="none"/>
      </font>
      <numFmt numFmtId="184" formatCode="_-&quot;$ &quot;* #,##0_-;&quot;-$ &quot;* #,##0_-;_-&quot;$ &quot;* \-??_-;_-@_-"/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Nova"/>
        <family val="2"/>
        <scheme val="none"/>
      </font>
      <numFmt numFmtId="184" formatCode="_-&quot;$ &quot;* #,##0_-;&quot;-$ &quot;* #,##0_-;_-&quot;$ &quot;* \-??_-;_-@_-"/>
      <alignment horizontal="general" vertical="center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Nova"/>
        <family val="2"/>
        <scheme val="none"/>
      </font>
      <numFmt numFmtId="184" formatCode="_-&quot;$ &quot;* #,##0_-;&quot;-$ &quot;* #,##0_-;_-&quot;$ &quot;* \-??_-;_-@_-"/>
      <alignment horizontal="general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theme="5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Nova"/>
        <family val="2"/>
        <scheme val="none"/>
      </font>
      <numFmt numFmtId="184" formatCode="_-&quot;$ &quot;* #,##0_-;&quot;-$ &quot;* #,##0_-;_-&quot;$ &quot;* \-??_-;_-@_-"/>
      <alignment horizontal="general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Nova"/>
        <family val="2"/>
        <scheme val="none"/>
      </font>
      <numFmt numFmtId="184" formatCode="_-&quot;$ &quot;* #,##0_-;&quot;-$ &quot;* #,##0_-;_-&quot;$ &quot;* \-??_-;_-@_-"/>
      <alignment horizontal="general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Nova"/>
        <family val="2"/>
        <scheme val="none"/>
      </font>
      <numFmt numFmtId="184" formatCode="_-&quot;$ &quot;* #,##0_-;&quot;-$ &quot;* #,##0_-;_-&quot;$ &quot;* \-??_-;_-@_-"/>
      <alignment horizontal="general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Nova"/>
        <family val="2"/>
        <scheme val="none"/>
      </font>
      <numFmt numFmtId="184" formatCode="_-&quot;$ &quot;* #,##0_-;&quot;-$ &quot;* #,##0_-;_-&quot;$ &quot;* \-??_-;_-@_-"/>
      <alignment horizontal="general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Nova"/>
        <family val="2"/>
        <scheme val="none"/>
      </font>
      <numFmt numFmtId="184" formatCode="_-&quot;$ &quot;* #,##0_-;&quot;-$ &quot;* #,##0_-;_-&quot;$ &quot;* \-??_-;_-@_-"/>
      <alignment horizontal="general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Nova"/>
        <family val="2"/>
        <scheme val="none"/>
      </font>
      <numFmt numFmtId="184" formatCode="_-&quot;$ &quot;* #,##0_-;&quot;-$ &quot;* #,##0_-;_-&quot;$ &quot;* \-??_-;_-@_-"/>
      <alignment horizontal="general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Nova"/>
        <family val="2"/>
        <scheme val="none"/>
      </font>
      <numFmt numFmtId="184" formatCode="_-&quot;$ &quot;* #,##0_-;&quot;-$ &quot;* #,##0_-;_-&quot;$ &quot;* \-??_-;_-@_-"/>
      <alignment horizontal="general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Nova"/>
        <family val="2"/>
        <scheme val="none"/>
      </font>
      <numFmt numFmtId="184" formatCode="_-&quot;$ &quot;* #,##0_-;&quot;-$ &quot;* #,##0_-;_-&quot;$ &quot;* \-??_-;_-@_-"/>
      <alignment horizontal="general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Nova"/>
        <family val="2"/>
        <scheme val="none"/>
      </font>
      <numFmt numFmtId="184" formatCode="_-&quot;$ &quot;* #,##0_-;&quot;-$ &quot;* #,##0_-;_-&quot;$ &quot;* \-??_-;_-@_-"/>
      <alignment horizontal="general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Nova"/>
        <family val="2"/>
        <scheme val="none"/>
      </font>
      <numFmt numFmtId="184" formatCode="_-&quot;$ &quot;* #,##0_-;&quot;-$ &quot;* #,##0_-;_-&quot;$ &quot;* \-??_-;_-@_-"/>
      <alignment horizontal="general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Nova"/>
        <family val="2"/>
        <scheme val="none"/>
      </font>
      <numFmt numFmtId="184" formatCode="_-&quot;$ &quot;* #,##0_-;&quot;-$ &quot;* #,##0_-;_-&quot;$ &quot;* \-??_-;_-@_-"/>
      <alignment horizontal="general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Nova"/>
        <family val="2"/>
        <scheme val="none"/>
      </font>
      <numFmt numFmtId="184" formatCode="_-&quot;$ &quot;* #,##0_-;&quot;-$ &quot;* #,##0_-;_-&quot;$ &quot;* \-??_-;_-@_-"/>
      <alignment horizontal="general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Nova"/>
        <family val="2"/>
        <scheme val="none"/>
      </font>
      <numFmt numFmtId="184" formatCode="_-&quot;$ &quot;* #,##0_-;&quot;-$ &quot;* #,##0_-;_-&quot;$ &quot;* \-??_-;_-@_-"/>
      <alignment horizontal="general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Nova"/>
        <family val="2"/>
        <scheme val="none"/>
      </font>
      <numFmt numFmtId="184" formatCode="_-&quot;$ &quot;* #,##0_-;&quot;-$ &quot;* #,##0_-;_-&quot;$ &quot;* \-??_-;_-@_-"/>
      <alignment horizontal="general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Nova"/>
        <family val="2"/>
        <scheme val="none"/>
      </font>
      <numFmt numFmtId="184" formatCode="_-&quot;$ &quot;* #,##0_-;&quot;-$ &quot;* #,##0_-;_-&quot;$ &quot;* \-??_-;_-@_-"/>
      <alignment horizontal="general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Nova"/>
        <family val="2"/>
        <scheme val="none"/>
      </font>
      <numFmt numFmtId="184" formatCode="_-&quot;$ &quot;* #,##0_-;&quot;-$ &quot;* #,##0_-;_-&quot;$ &quot;* \-??_-;_-@_-"/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Nova"/>
        <family val="2"/>
        <scheme val="none"/>
      </font>
      <numFmt numFmtId="184" formatCode="_-&quot;$ &quot;* #,##0_-;&quot;-$ &quot;* #,##0_-;_-&quot;$ &quot;* \-??_-;_-@_-"/>
      <alignment horizontal="general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Nova"/>
        <family val="2"/>
        <scheme val="none"/>
      </font>
      <numFmt numFmtId="184" formatCode="_-&quot;$ &quot;* #,##0_-;&quot;-$ &quot;* #,##0_-;_-&quot;$ &quot;* \-??_-;_-@_-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Nova"/>
        <family val="2"/>
        <scheme val="none"/>
      </font>
      <numFmt numFmtId="184" formatCode="_-&quot;$ &quot;* #,##0_-;&quot;-$ &quot;* #,##0_-;_-&quot;$ &quot;* \-??_-;_-@_-"/>
      <alignment horizontal="general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Nova"/>
        <family val="2"/>
        <scheme val="none"/>
      </font>
      <numFmt numFmtId="184" formatCode="_-&quot;$ &quot;* #,##0_-;&quot;-$ &quot;* #,##0_-;_-&quot;$ &quot;* \-??_-;_-@_-"/>
      <alignment horizontal="general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Nova"/>
        <family val="2"/>
        <scheme val="none"/>
      </font>
      <numFmt numFmtId="184" formatCode="_-&quot;$ &quot;* #,##0_-;&quot;-$ &quot;* #,##0_-;_-&quot;$ &quot;* \-??_-;_-@_-"/>
      <alignment horizontal="general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Nova"/>
        <family val="2"/>
        <scheme val="none"/>
      </font>
      <numFmt numFmtId="184" formatCode="_-&quot;$ &quot;* #,##0_-;&quot;-$ &quot;* #,##0_-;_-&quot;$ &quot;* \-??_-;_-@_-"/>
      <alignment horizontal="general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Nova"/>
        <family val="2"/>
        <scheme val="none"/>
      </font>
      <numFmt numFmtId="184" formatCode="_-&quot;$ &quot;* #,##0_-;&quot;-$ &quot;* #,##0_-;_-&quot;$ &quot;* \-??_-;_-@_-"/>
      <alignment horizontal="general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Nova"/>
        <family val="2"/>
        <scheme val="none"/>
      </font>
      <numFmt numFmtId="184" formatCode="_-&quot;$ &quot;* #,##0_-;&quot;-$ &quot;* #,##0_-;_-&quot;$ &quot;* \-??_-;_-@_-"/>
      <alignment horizontal="general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Nova"/>
        <family val="2"/>
        <scheme val="none"/>
      </font>
      <numFmt numFmtId="184" formatCode="_-&quot;$ &quot;* #,##0_-;&quot;-$ &quot;* #,##0_-;_-&quot;$ &quot;* \-??_-;_-@_-"/>
      <alignment horizontal="general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Nova"/>
        <family val="2"/>
        <scheme val="none"/>
      </font>
      <numFmt numFmtId="184" formatCode="_-&quot;$ &quot;* #,##0_-;&quot;-$ &quot;* #,##0_-;_-&quot;$ &quot;* \-??_-;_-@_-"/>
      <alignment horizontal="general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Nova"/>
        <family val="2"/>
        <scheme val="none"/>
      </font>
      <numFmt numFmtId="184" formatCode="_-&quot;$ &quot;* #,##0_-;&quot;-$ &quot;* #,##0_-;_-&quot;$ &quot;* \-??_-;_-@_-"/>
      <alignment horizontal="general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Nova"/>
        <family val="2"/>
        <scheme val="none"/>
      </font>
      <numFmt numFmtId="184" formatCode="_-&quot;$ &quot;* #,##0_-;&quot;-$ &quot;* #,##0_-;_-&quot;$ &quot;* \-??_-;_-@_-"/>
      <alignment horizontal="general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Nova"/>
        <family val="2"/>
        <scheme val="none"/>
      </font>
      <numFmt numFmtId="184" formatCode="_-&quot;$ &quot;* #,##0_-;&quot;-$ &quot;* #,##0_-;_-&quot;$ &quot;* \-??_-;_-@_-"/>
      <alignment horizontal="general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Nova"/>
        <family val="2"/>
        <scheme val="none"/>
      </font>
      <numFmt numFmtId="184" formatCode="_-&quot;$ &quot;* #,##0_-;&quot;-$ &quot;* #,##0_-;_-&quot;$ &quot;* \-??_-;_-@_-"/>
      <alignment horizontal="general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Nova"/>
        <family val="2"/>
        <scheme val="none"/>
      </font>
      <numFmt numFmtId="184" formatCode="_-&quot;$ &quot;* #,##0_-;&quot;-$ &quot;* #,##0_-;_-&quot;$ &quot;* \-??_-;_-@_-"/>
      <alignment horizontal="general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Nova"/>
        <family val="2"/>
        <scheme val="none"/>
      </font>
      <numFmt numFmtId="169" formatCode="_-* #,##0.00\ _€_-;\-* #,##0.00\ _€_-;_-* \-??\ _€_-;_-@_-"/>
      <alignment horizontal="general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Nova"/>
        <family val="2"/>
        <scheme val="none"/>
      </font>
      <numFmt numFmtId="184" formatCode="_-&quot;$ &quot;* #,##0_-;&quot;-$ &quot;* #,##0_-;_-&quot;$ &quot;* \-??_-;_-@_-"/>
      <alignment horizontal="general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Nova"/>
        <family val="2"/>
        <scheme val="none"/>
      </font>
      <numFmt numFmtId="184" formatCode="_-&quot;$ &quot;* #,##0_-;&quot;-$ &quot;* #,##0_-;_-&quot;$ &quot;* \-??_-;_-@_-"/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Nova"/>
        <family val="2"/>
        <scheme val="none"/>
      </font>
      <numFmt numFmtId="184" formatCode="_-&quot;$ &quot;* #,##0_-;&quot;-$ &quot;* #,##0_-;_-&quot;$ &quot;* \-??_-;_-@_-"/>
      <alignment horizontal="general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strike val="0"/>
        <outline val="0"/>
        <shadow val="0"/>
        <u val="none"/>
        <vertAlign val="baseline"/>
        <sz val="10"/>
        <name val="Arial"/>
        <family val="2"/>
        <scheme val="none"/>
      </font>
      <numFmt numFmtId="184" formatCode="_-&quot;$ &quot;* #,##0_-;&quot;-$ &quot;* #,##0_-;_-&quot;$ &quot;* \-??_-;_-@_-"/>
      <alignment vertical="center" textRotation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numFmt numFmtId="184" formatCode="_-&quot;$ &quot;* #,##0_-;&quot;-$ &quot;* #,##0_-;_-&quot;$ &quot;* \-??_-;_-@_-"/>
      <alignment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0"/>
        <name val="Arial"/>
        <family val="2"/>
        <scheme val="none"/>
      </font>
      <numFmt numFmtId="184" formatCode="_-&quot;$ &quot;* #,##0_-;&quot;-$ &quot;* #,##0_-;_-&quot;$ &quot;* \-??_-;_-@_-"/>
      <alignment vertical="center" textRotation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numFmt numFmtId="184" formatCode="_-&quot;$ &quot;* #,##0_-;&quot;-$ &quot;* #,##0_-;_-&quot;$ &quot;* \-??_-;_-@_-"/>
      <alignment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0"/>
        <name val="Arial"/>
        <family val="2"/>
        <scheme val="none"/>
      </font>
      <numFmt numFmtId="184" formatCode="_-&quot;$ &quot;* #,##0_-;&quot;-$ &quot;* #,##0_-;_-&quot;$ &quot;* \-??_-;_-@_-"/>
      <alignment vertical="center" textRotation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numFmt numFmtId="184" formatCode="_-&quot;$ &quot;* #,##0_-;&quot;-$ &quot;* #,##0_-;_-&quot;$ &quot;* \-??_-;_-@_-"/>
      <alignment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0"/>
        <name val="Arial"/>
        <family val="2"/>
        <scheme val="none"/>
      </font>
      <numFmt numFmtId="184" formatCode="_-&quot;$ &quot;* #,##0_-;&quot;-$ &quot;* #,##0_-;_-&quot;$ &quot;* \-??_-;_-@_-"/>
      <alignment vertical="center" textRotation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numFmt numFmtId="184" formatCode="_-&quot;$ &quot;* #,##0_-;&quot;-$ &quot;* #,##0_-;_-&quot;$ &quot;* \-??_-;_-@_-"/>
      <alignment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0"/>
        <name val="Arial"/>
        <family val="2"/>
        <scheme val="none"/>
      </font>
      <numFmt numFmtId="184" formatCode="_-&quot;$ &quot;* #,##0_-;&quot;-$ &quot;* #,##0_-;_-&quot;$ &quot;* \-??_-;_-@_-"/>
      <alignment vertical="center" textRotation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numFmt numFmtId="184" formatCode="_-&quot;$ &quot;* #,##0_-;&quot;-$ &quot;* #,##0_-;_-&quot;$ &quot;* \-??_-;_-@_-"/>
      <alignment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0"/>
        <name val="Arial"/>
        <family val="2"/>
        <scheme val="none"/>
      </font>
      <numFmt numFmtId="184" formatCode="_-&quot;$ &quot;* #,##0_-;&quot;-$ &quot;* #,##0_-;_-&quot;$ &quot;* \-??_-;_-@_-"/>
      <alignment vertical="center" textRotation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numFmt numFmtId="184" formatCode="_-&quot;$ &quot;* #,##0_-;&quot;-$ &quot;* #,##0_-;_-&quot;$ &quot;* \-??_-;_-@_-"/>
      <alignment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0"/>
        <name val="Arial"/>
        <family val="2"/>
        <scheme val="none"/>
      </font>
      <numFmt numFmtId="184" formatCode="_-&quot;$ &quot;* #,##0_-;&quot;-$ &quot;* #,##0_-;_-&quot;$ &quot;* \-??_-;_-@_-"/>
      <alignment vertical="center" textRotation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numFmt numFmtId="184" formatCode="_-&quot;$ &quot;* #,##0_-;&quot;-$ &quot;* #,##0_-;_-&quot;$ &quot;* \-??_-;_-@_-"/>
      <alignment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0"/>
        <name val="Arial"/>
        <family val="2"/>
        <scheme val="none"/>
      </font>
      <numFmt numFmtId="184" formatCode="_-&quot;$ &quot;* #,##0_-;&quot;-$ &quot;* #,##0_-;_-&quot;$ &quot;* \-??_-;_-@_-"/>
      <alignment vertical="center" textRotation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numFmt numFmtId="184" formatCode="_-&quot;$ &quot;* #,##0_-;&quot;-$ &quot;* #,##0_-;_-&quot;$ &quot;* \-??_-;_-@_-"/>
      <alignment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0"/>
        <name val="Arial"/>
        <family val="2"/>
        <scheme val="none"/>
      </font>
      <numFmt numFmtId="184" formatCode="_-&quot;$ &quot;* #,##0_-;&quot;-$ &quot;* #,##0_-;_-&quot;$ &quot;* \-??_-;_-@_-"/>
      <alignment vertical="center" textRotation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numFmt numFmtId="184" formatCode="_-&quot;$ &quot;* #,##0_-;&quot;-$ &quot;* #,##0_-;_-&quot;$ &quot;* \-??_-;_-@_-"/>
      <alignment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0"/>
        <name val="Arial"/>
        <family val="2"/>
        <scheme val="none"/>
      </font>
      <numFmt numFmtId="184" formatCode="_-&quot;$ &quot;* #,##0_-;&quot;-$ &quot;* #,##0_-;_-&quot;$ &quot;* \-??_-;_-@_-"/>
      <alignment vertical="center" textRotation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numFmt numFmtId="184" formatCode="_-&quot;$ &quot;* #,##0_-;&quot;-$ &quot;* #,##0_-;_-&quot;$ &quot;* \-??_-;_-@_-"/>
      <alignment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0"/>
        <name val="Arial"/>
        <family val="2"/>
        <scheme val="none"/>
      </font>
      <numFmt numFmtId="184" formatCode="_-&quot;$ &quot;* #,##0_-;&quot;-$ &quot;* #,##0_-;_-&quot;$ &quot;* \-??_-;_-@_-"/>
      <alignment vertical="center" textRotation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numFmt numFmtId="184" formatCode="_-&quot;$ &quot;* #,##0_-;&quot;-$ &quot;* #,##0_-;_-&quot;$ &quot;* \-??_-;_-@_-"/>
      <alignment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0"/>
        <name val="Arial"/>
        <family val="2"/>
        <scheme val="none"/>
      </font>
      <numFmt numFmtId="184" formatCode="_-&quot;$ &quot;* #,##0_-;&quot;-$ &quot;* #,##0_-;_-&quot;$ &quot;* \-??_-;_-@_-"/>
      <alignment vertical="center" textRotation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numFmt numFmtId="184" formatCode="_-&quot;$ &quot;* #,##0_-;&quot;-$ &quot;* #,##0_-;_-&quot;$ &quot;* \-??_-;_-@_-"/>
      <alignment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0"/>
        <name val="Arial"/>
        <family val="2"/>
        <scheme val="none"/>
      </font>
      <numFmt numFmtId="184" formatCode="_-&quot;$ &quot;* #,##0_-;&quot;-$ &quot;* #,##0_-;_-&quot;$ &quot;* \-??_-;_-@_-"/>
      <alignment vertical="center" textRotation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numFmt numFmtId="184" formatCode="_-&quot;$ &quot;* #,##0_-;&quot;-$ &quot;* #,##0_-;_-&quot;$ &quot;* \-??_-;_-@_-"/>
      <alignment vertical="center" textRotation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alignment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rgb="FFFFFFFF"/>
          <bgColor rgb="FFFFFFFF"/>
        </patternFill>
      </fill>
      <alignment horizontal="left" vertical="center" textRotation="0" wrapText="1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/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alignment vertical="center" textRotation="0" indent="0" justifyLastLine="0" shrinkToFit="0" readingOrder="0"/>
      <border diagonalUp="0" diagonalDown="0" outline="0">
        <left/>
        <right style="thin">
          <color auto="1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font>
        <b/>
        <strike val="0"/>
        <outline val="0"/>
        <shadow val="0"/>
        <u val="none"/>
        <vertAlign val="baseline"/>
        <sz val="10"/>
        <name val="Arial"/>
        <family val="2"/>
        <scheme val="none"/>
      </font>
      <alignment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alignment vertical="center" textRotation="0" indent="0" justifyLastLine="0" shrinkToFit="0" readingOrder="0"/>
    </dxf>
    <dxf>
      <border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84" formatCode="_-&quot;$ &quot;* #,##0_-;&quot;-$ &quot;* #,##0_-;_-&quot;$ &quot;* \-??_-;_-@_-"/>
      <border diagonalUp="0" diagonalDown="0" outline="0">
        <left style="thin">
          <color indexed="64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84" formatCode="_-&quot;$ &quot;* #,##0_-;&quot;-$ &quot;* #,##0_-;_-&quot;$ &quot;* \-??_-;_-@_-"/>
      <border diagonalUp="0" diagonalDown="0" outline="0">
        <left style="thin">
          <color indexed="64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84" formatCode="_-&quot;$ &quot;* #,##0_-;&quot;-$ &quot;* #,##0_-;_-&quot;$ &quot;* \-??_-;_-@_-"/>
      <border diagonalUp="0" diagonalDown="0" outline="0">
        <left style="thin">
          <color indexed="64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84" formatCode="_-&quot;$ &quot;* #,##0_-;&quot;-$ &quot;* #,##0_-;_-&quot;$ &quot;* \-??_-;_-@_-"/>
      <border diagonalUp="0" diagonalDown="0" outline="0">
        <left style="thin">
          <color indexed="64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84" formatCode="_-&quot;$ &quot;* #,##0_-;&quot;-$ &quot;* #,##0_-;_-&quot;$ &quot;* \-??_-;_-@_-"/>
      <border diagonalUp="0" diagonalDown="0" outline="0">
        <left style="thin">
          <color indexed="64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84" formatCode="_-&quot;$ &quot;* #,##0_-;&quot;-$ &quot;* #,##0_-;_-&quot;$ &quot;* \-??_-;_-@_-"/>
      <border diagonalUp="0" diagonalDown="0" outline="0">
        <left style="thin">
          <color indexed="64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84" formatCode="_-&quot;$ &quot;* #,##0_-;&quot;-$ &quot;* #,##0_-;_-&quot;$ &quot;* \-??_-;_-@_-"/>
      <border diagonalUp="0" diagonalDown="0" outline="0">
        <left style="thin">
          <color indexed="64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84" formatCode="_-&quot;$ &quot;* #,##0_-;&quot;-$ &quot;* #,##0_-;_-&quot;$ &quot;* \-??_-;_-@_-"/>
      <border diagonalUp="0" diagonalDown="0" outline="0">
        <left style="thin">
          <color indexed="64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84" formatCode="_-&quot;$ &quot;* #,##0_-;&quot;-$ &quot;* #,##0_-;_-&quot;$ &quot;* \-??_-;_-@_-"/>
      <border diagonalUp="0" diagonalDown="0" outline="0">
        <left style="thin">
          <color indexed="64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84" formatCode="_-&quot;$ &quot;* #,##0_-;&quot;-$ &quot;* #,##0_-;_-&quot;$ &quot;* \-??_-;_-@_-"/>
      <border diagonalUp="0" diagonalDown="0" outline="0">
        <left style="thin">
          <color indexed="64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84" formatCode="_-&quot;$ &quot;* #,##0_-;&quot;-$ &quot;* #,##0_-;_-&quot;$ &quot;* \-??_-;_-@_-"/>
      <border diagonalUp="0" diagonalDown="0" outline="0">
        <left style="thin">
          <color indexed="64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84" formatCode="_-&quot;$ &quot;* #,##0_-;&quot;-$ &quot;* #,##0_-;_-&quot;$ &quot;* \-??_-;_-@_-"/>
      <border diagonalUp="0" diagonalDown="0" outline="0">
        <left style="thin">
          <color indexed="64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84" formatCode="_-&quot;$ &quot;* #,##0_-;&quot;-$ &quot;* #,##0_-;_-&quot;$ &quot;* \-??_-;_-@_-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1" hidden="0"/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1" hidden="0"/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84" formatCode="_-&quot;$ &quot;* #,##0_-;&quot;-$ &quot;* #,##0_-;_-&quot;$ &quot;* \-??_-;_-@_-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84" formatCode="_-&quot;$ &quot;* #,##0_-;&quot;-$ &quot;* #,##0_-;_-&quot;$ &quot;* \-??_-;_-@_-"/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84" formatCode="_-&quot;$ &quot;* #,##0_-;&quot;-$ &quot;* #,##0_-;_-&quot;$ &quot;* \-??_-;_-@_-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84" formatCode="_-&quot;$ &quot;* #,##0_-;&quot;-$ &quot;* #,##0_-;_-&quot;$ &quot;* \-??_-;_-@_-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84" formatCode="_-&quot;$ &quot;* #,##0_-;&quot;-$ &quot;* #,##0_-;_-&quot;$ &quot;* \-??_-;_-@_-"/>
    </dxf>
    <dxf>
      <border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84" formatCode="_-&quot;$ &quot;* #,##0_-;&quot;-$ &quot;* #,##0_-;_-&quot;$ &quot;* \-??_-;_-@_-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84" formatCode="_-&quot;$ &quot;* #,##0_-;&quot;-$ &quot;* #,##0_-;_-&quot;$ &quot;* \-??_-;_-@_-"/>
      <border outline="0">
        <left style="thin">
          <color auto="1"/>
        </left>
      </border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84" formatCode="_-&quot;$ &quot;* #,##0_-;&quot;-$ &quot;* #,##0_-;_-&quot;$ &quot;* \-??_-;_-@_-"/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84" formatCode="_-&quot;$ &quot;* #,##0_-;&quot;-$ &quot;* #,##0_-;_-&quot;$ &quot;* \-??_-;_-@_-"/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84" formatCode="_-&quot;$ &quot;* #,##0_-;&quot;-$ &quot;* #,##0_-;_-&quot;$ &quot;* \-??_-;_-@_-"/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84" formatCode="_-&quot;$ &quot;* #,##0_-;&quot;-$ &quot;* #,##0_-;_-&quot;$ &quot;* \-??_-;_-@_-"/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84" formatCode="_-&quot;$ &quot;* #,##0_-;&quot;-$ &quot;* #,##0_-;_-&quot;$ &quot;* \-??_-;_-@_-"/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84" formatCode="_-&quot;$ &quot;* #,##0_-;&quot;-$ &quot;* #,##0_-;_-&quot;$ &quot;* \-??_-;_-@_-"/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84" formatCode="_-&quot;$ &quot;* #,##0_-;&quot;-$ &quot;* #,##0_-;_-&quot;$ &quot;* \-??_-;_-@_-"/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84" formatCode="_-&quot;$ &quot;* #,##0_-;&quot;-$ &quot;* #,##0_-;_-&quot;$ &quot;* \-??_-;_-@_-"/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84" formatCode="_-&quot;$ &quot;* #,##0_-;&quot;-$ &quot;* #,##0_-;_-&quot;$ &quot;* \-??_-;_-@_-"/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84" formatCode="_-&quot;$ &quot;* #,##0_-;&quot;-$ &quot;* #,##0_-;_-&quot;$ &quot;* \-??_-;_-@_-"/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84" formatCode="_-&quot;$ &quot;* #,##0_-;&quot;-$ &quot;* #,##0_-;_-&quot;$ &quot;* \-??_-;_-@_-"/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84" formatCode="_-&quot;$ &quot;* #,##0_-;&quot;-$ &quot;* #,##0_-;_-&quot;$ &quot;* \-??_-;_-@_-"/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84" formatCode="_-&quot;$ &quot;* #,##0_-;&quot;-$ &quot;* #,##0_-;_-&quot;$ &quot;* \-??_-;_-@_-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1" hidden="0"/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84" formatCode="_-&quot;$ &quot;* #,##0_-;&quot;-$ &quot;* #,##0_-;_-&quot;$ &quot;* \-??_-;_-@_-"/>
      <fill>
        <patternFill>
          <fgColor indexed="64"/>
          <bgColor theme="0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84" formatCode="_-&quot;$ &quot;* #,##0_-;&quot;-$ &quot;* #,##0_-;_-&quot;$ &quot;* \-??_-;_-@_-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84" formatCode="_-&quot;$ &quot;* #,##0_-;&quot;-$ &quot;* #,##0_-;_-&quot;$ &quot;* \-??_-;_-@_-"/>
      <border diagonalUp="0" diagonalDown="0" outline="0">
        <left style="thin">
          <color indexed="64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84" formatCode="_-&quot;$ &quot;* #,##0_-;&quot;-$ &quot;* #,##0_-;_-&quot;$ &quot;* \-??_-;_-@_-"/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84" formatCode="_-&quot;$ &quot;* #,##0_-;&quot;-$ &quot;* #,##0_-;_-&quot;$ &quot;* \-??_-;_-@_-"/>
    </dxf>
    <dxf>
      <font>
        <b/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84" formatCode="_-&quot;$ &quot;* #,##0_-;&quot;-$ &quot;* #,##0_-;_-&quot;$ &quot;* \-??_-;_-@_-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84" formatCode="_-&quot;$ &quot;* #,##0_-;&quot;-$ &quot;* #,##0_-;_-&quot;$ &quot;* \-??_-;_-@_-"/>
      <border outline="0">
        <left style="thin">
          <color auto="1"/>
        </left>
      </border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84" formatCode="_-&quot;$ &quot;* #,##0_-;&quot;-$ &quot;* #,##0_-;_-&quot;$ &quot;* \-??_-;_-@_-"/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84" formatCode="_-&quot;$ &quot;* #,##0_-;&quot;-$ &quot;* #,##0_-;_-&quot;$ &quot;* \-??_-;_-@_-"/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84" formatCode="_-&quot;$ &quot;* #,##0_-;&quot;-$ &quot;* #,##0_-;_-&quot;$ &quot;* \-??_-;_-@_-"/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84" formatCode="_-&quot;$ &quot;* #,##0_-;&quot;-$ &quot;* #,##0_-;_-&quot;$ &quot;* \-??_-;_-@_-"/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84" formatCode="_-&quot;$ &quot;* #,##0_-;&quot;-$ &quot;* #,##0_-;_-&quot;$ &quot;* \-??_-;_-@_-"/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84" formatCode="_-&quot;$ &quot;* #,##0_-;&quot;-$ &quot;* #,##0_-;_-&quot;$ &quot;* \-??_-;_-@_-"/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84" formatCode="_-&quot;$ &quot;* #,##0_-;&quot;-$ &quot;* #,##0_-;_-&quot;$ &quot;* \-??_-;_-@_-"/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84" formatCode="_-&quot;$ &quot;* #,##0_-;&quot;-$ &quot;* #,##0_-;_-&quot;$ &quot;* \-??_-;_-@_-"/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84" formatCode="_-&quot;$ &quot;* #,##0_-;&quot;-$ &quot;* #,##0_-;_-&quot;$ &quot;* \-??_-;_-@_-"/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84" formatCode="_-&quot;$ &quot;* #,##0_-;&quot;-$ &quot;* #,##0_-;_-&quot;$ &quot;* \-??_-;_-@_-"/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84" formatCode="_-&quot;$ &quot;* #,##0_-;&quot;-$ &quot;* #,##0_-;_-&quot;$ &quot;* \-??_-;_-@_-"/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84" formatCode="_-&quot;$ &quot;* #,##0_-;&quot;-$ &quot;* #,##0_-;_-&quot;$ &quot;* \-??_-;_-@_-"/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84" formatCode="_-&quot;$ &quot;* #,##0_-;&quot;-$ &quot;* #,##0_-;_-&quot;$ &quot;* \-??_-;_-@_-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1" hidden="0"/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84" formatCode="_-&quot;$ &quot;* #,##0_-;&quot;-$ &quot;* #,##0_-;_-&quot;$ &quot;* \-??_-;_-@_-"/>
      <fill>
        <patternFill>
          <fgColor indexed="64"/>
          <bgColor theme="0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84" formatCode="_-&quot;$ &quot;* #,##0_-;&quot;-$ &quot;* #,##0_-;_-&quot;$ &quot;* \-??_-;_-@_-"/>
      <fill>
        <patternFill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84" formatCode="_-&quot;$ &quot;* #,##0_-;&quot;-$ &quot;* #,##0_-;_-&quot;$ &quot;* \-??_-;_-@_-"/>
      <fill>
        <patternFill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84" formatCode="_-&quot;$ &quot;* #,##0_-;&quot;-$ &quot;* #,##0_-;_-&quot;$ &quot;* \-??_-;_-@_-"/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84" formatCode="_-&quot;$ &quot;* #,##0_-;&quot;-$ &quot;* #,##0_-;_-&quot;$ &quot;* \-??_-;_-@_-"/>
    </dxf>
    <dxf>
      <font>
        <b/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84" formatCode="_-&quot;$ &quot;* #,##0_-;&quot;-$ &quot;* #,##0_-;_-&quot;$ &quot;* \-??_-;_-@_-"/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80FFFFFF"/>
      <rgbColor rgb="FF9C0006"/>
      <rgbColor rgb="FF008000"/>
      <rgbColor rgb="FF000080"/>
      <rgbColor rgb="FF9BBB59"/>
      <rgbColor rgb="FF800080"/>
      <rgbColor rgb="FF008080"/>
      <rgbColor rgb="FFCCC1DA"/>
      <rgbColor rgb="FF4F81BD"/>
      <rgbColor rgb="FFB2B2B2"/>
      <rgbColor rgb="FF7030A0"/>
      <rgbColor rgb="FFFFFFCC"/>
      <rgbColor rgb="FFE6E6E6"/>
      <rgbColor rgb="FF660066"/>
      <rgbColor rgb="FFD99694"/>
      <rgbColor rgb="FF0066CC"/>
      <rgbColor rgb="FFC6D9F1"/>
      <rgbColor rgb="FF000080"/>
      <rgbColor rgb="FFFF00FF"/>
      <rgbColor rgb="FFD9D9D9"/>
      <rgbColor rgb="FF00FFFF"/>
      <rgbColor rgb="FF800080"/>
      <rgbColor rgb="FFED0000"/>
      <rgbColor rgb="FF008080"/>
      <rgbColor rgb="FF0000FF"/>
      <rgbColor rgb="FF00CCFF"/>
      <rgbColor rgb="FFEEECE1"/>
      <rgbColor rgb="FFEBF1DE"/>
      <rgbColor rgb="FFFDEADA"/>
      <rgbColor rgb="FF8EB4E3"/>
      <rgbColor rgb="FFFFC7CE"/>
      <rgbColor rgb="FFB3A2C7"/>
      <rgbColor rgb="FFFAC090"/>
      <rgbColor rgb="FF3366FF"/>
      <rgbColor rgb="FFE6E0EC"/>
      <rgbColor rgb="FF92D050"/>
      <rgbColor rgb="FFF2DCDB"/>
      <rgbColor rgb="FFF79646"/>
      <rgbColor rgb="FFC86765"/>
      <rgbColor rgb="FF8064A2"/>
      <rgbColor rgb="FFA6A6A6"/>
      <rgbColor rgb="FF003366"/>
      <rgbColor rgb="FF00B050"/>
      <rgbColor rgb="FF003300"/>
      <rgbColor rgb="FF404040"/>
      <rgbColor rgb="FF772C2A"/>
      <rgbColor rgb="FFC0504D"/>
      <rgbColor rgb="FF595959"/>
      <rgbColor rgb="FF403152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microsoft.com/office/2017/10/relationships/person" Target="persons/perso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autoTitleDeleted val="1"/>
    <c:plotArea>
      <c:layout/>
      <c:doughnutChart>
        <c:varyColors val="1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dPt>
            <c:idx val="0"/>
            <c:bubble3D val="0"/>
            <c:spPr>
              <a:gradFill>
                <a:gsLst>
                  <a:gs pos="0">
                    <a:srgbClr val="C0504D"/>
                  </a:gs>
                  <a:gs pos="100000">
                    <a:srgbClr val="D99694"/>
                  </a:gs>
                </a:gsLst>
                <a:lin ang="5400000"/>
              </a:gradFill>
              <a:ln w="19080">
                <a:solidFill>
                  <a:srgbClr val="FFFFFF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1-0C26-4990-A899-B35503861E4F}"/>
              </c:ext>
            </c:extLst>
          </c:dPt>
          <c:dPt>
            <c:idx val="1"/>
            <c:bubble3D val="0"/>
            <c:spPr>
              <a:gradFill>
                <a:gsLst>
                  <a:gs pos="0">
                    <a:srgbClr val="8064A2"/>
                  </a:gs>
                  <a:gs pos="100000">
                    <a:srgbClr val="B3A2C7"/>
                  </a:gs>
                </a:gsLst>
                <a:lin ang="5400000"/>
              </a:gradFill>
              <a:ln w="19080">
                <a:solidFill>
                  <a:srgbClr val="FFFFFF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3-0C26-4990-A899-B35503861E4F}"/>
              </c:ext>
            </c:extLst>
          </c:dPt>
          <c:dPt>
            <c:idx val="2"/>
            <c:bubble3D val="0"/>
            <c:spPr>
              <a:gradFill>
                <a:gsLst>
                  <a:gs pos="0">
                    <a:srgbClr val="F79646"/>
                  </a:gs>
                  <a:gs pos="100000">
                    <a:srgbClr val="FAC090"/>
                  </a:gs>
                </a:gsLst>
                <a:lin ang="5400000"/>
              </a:gradFill>
              <a:ln w="19080">
                <a:solidFill>
                  <a:srgbClr val="FFFFFF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5-0C26-4990-A899-B35503861E4F}"/>
              </c:ext>
            </c:extLst>
          </c:dPt>
          <c:dPt>
            <c:idx val="3"/>
            <c:bubble3D val="0"/>
            <c:spPr>
              <a:gradFill>
                <a:gsLst>
                  <a:gs pos="0">
                    <a:srgbClr val="772C2A"/>
                  </a:gs>
                  <a:gs pos="100000">
                    <a:srgbClr val="C86765"/>
                  </a:gs>
                </a:gsLst>
                <a:lin ang="5400000"/>
              </a:gradFill>
              <a:ln w="19080">
                <a:solidFill>
                  <a:srgbClr val="FFFFFF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7-0C26-4990-A899-B35503861E4F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900" b="0" u="none" strike="noStrike">
                      <a:solidFill>
                        <a:srgbClr val="404040"/>
                      </a:solidFill>
                      <a:uFillTx/>
                      <a:latin typeface="Calibri"/>
                    </a:defRPr>
                  </a:pPr>
                  <a:endParaRPr lang="es-CO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0C26-4990-A899-B35503861E4F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900" b="0" u="none" strike="noStrike">
                      <a:solidFill>
                        <a:srgbClr val="404040"/>
                      </a:solidFill>
                      <a:uFillTx/>
                      <a:latin typeface="Calibri"/>
                    </a:defRPr>
                  </a:pPr>
                  <a:endParaRPr lang="es-CO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0C26-4990-A899-B35503861E4F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900" b="0" u="none" strike="noStrike">
                      <a:solidFill>
                        <a:srgbClr val="404040"/>
                      </a:solidFill>
                      <a:uFillTx/>
                      <a:latin typeface="Calibri"/>
                    </a:defRPr>
                  </a:pPr>
                  <a:endParaRPr lang="es-CO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0C26-4990-A899-B35503861E4F}"/>
                </c:ext>
              </c:extLst>
            </c:dLbl>
            <c:dLbl>
              <c:idx val="3"/>
              <c:spPr/>
              <c:txPr>
                <a:bodyPr wrap="square"/>
                <a:lstStyle/>
                <a:p>
                  <a:pPr>
                    <a:defRPr sz="900" b="0" u="none" strike="noStrike">
                      <a:solidFill>
                        <a:srgbClr val="404040"/>
                      </a:solidFill>
                      <a:uFillTx/>
                      <a:latin typeface="Calibri"/>
                    </a:defRPr>
                  </a:pPr>
                  <a:endParaRPr lang="es-CO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0C26-4990-A899-B35503861E4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900" b="0" u="none" strike="noStrike">
                    <a:solidFill>
                      <a:srgbClr val="404040"/>
                    </a:solidFill>
                    <a:uFillTx/>
                    <a:latin typeface="Calibri"/>
                  </a:defRPr>
                </a:pPr>
                <a:endParaRPr lang="es-CO"/>
              </a:p>
            </c:txPr>
            <c:showLegendKey val="0"/>
            <c:showVal val="0"/>
            <c:showCatName val="1"/>
            <c:showSerName val="0"/>
            <c:showPercent val="1"/>
            <c:showBubbleSize val="1"/>
            <c:separator>
</c:separator>
            <c:showLeaderLines val="1"/>
            <c:leaderLines>
              <c:spPr>
                <a:ln w="9360">
                  <a:solidFill>
                    <a:srgbClr val="A6A6A6"/>
                  </a:solidFill>
                </a:ln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Presupuesto!$E$1301:$E$1304</c:f>
              <c:strCache>
                <c:ptCount val="4"/>
                <c:pt idx="0">
                  <c:v> Insumos </c:v>
                </c:pt>
                <c:pt idx="1">
                  <c:v> Equipo </c:v>
                </c:pt>
                <c:pt idx="2">
                  <c:v> Transportes </c:v>
                </c:pt>
                <c:pt idx="3">
                  <c:v> M. Obra </c:v>
                </c:pt>
              </c:strCache>
            </c:strRef>
          </c:cat>
          <c:val>
            <c:numRef>
              <c:f>Presupuesto!$F$1301:$F$1304</c:f>
              <c:numCache>
                <c:formatCode>#,##0</c:formatCode>
                <c:ptCount val="4"/>
                <c:pt idx="0">
                  <c:v>0</c:v>
                </c:pt>
                <c:pt idx="1">
                  <c:v>5114812.5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0C26-4990-A899-B35503861E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 w="0">
          <a:noFill/>
        </a:ln>
      </c:spPr>
    </c:plotArea>
    <c:legend>
      <c:legendPos val="r"/>
      <c:overlay val="0"/>
      <c:spPr>
        <a:solidFill>
          <a:srgbClr val="FFFFFF">
            <a:alpha val="50000"/>
          </a:srgbClr>
        </a:solidFill>
        <a:ln w="0">
          <a:noFill/>
        </a:ln>
      </c:spPr>
      <c:txPr>
        <a:bodyPr/>
        <a:lstStyle/>
        <a:p>
          <a:pPr>
            <a:defRPr sz="900" b="0" u="none" strike="noStrike">
              <a:solidFill>
                <a:srgbClr val="595959"/>
              </a:solidFill>
              <a:uFillTx/>
              <a:latin typeface="Calibri"/>
            </a:defRPr>
          </a:pPr>
          <a:endParaRPr lang="es-CO"/>
        </a:p>
      </c:txPr>
    </c:legend>
    <c:plotVisOnly val="1"/>
    <c:dispBlanksAs val="gap"/>
    <c:showDLblsOverMax val="1"/>
  </c:chart>
  <c:spPr>
    <a:pattFill prst="ltDnDiag">
      <a:fgClr>
        <a:srgbClr val="FFFFFF"/>
      </a:fgClr>
      <a:bgClr>
        <a:srgbClr val="E6E6E6"/>
      </a:bgClr>
    </a:patt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 orientation="portrait"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296318</xdr:colOff>
      <xdr:row>1300</xdr:row>
      <xdr:rowOff>64058</xdr:rowOff>
    </xdr:from>
    <xdr:to>
      <xdr:col>3</xdr:col>
      <xdr:colOff>282263</xdr:colOff>
      <xdr:row>1320</xdr:row>
      <xdr:rowOff>23464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19050</xdr:colOff>
      <xdr:row>0</xdr:row>
      <xdr:rowOff>19050</xdr:rowOff>
    </xdr:from>
    <xdr:to>
      <xdr:col>1</xdr:col>
      <xdr:colOff>552450</xdr:colOff>
      <xdr:row>2</xdr:row>
      <xdr:rowOff>76200</xdr:rowOff>
    </xdr:to>
    <xdr:pic>
      <xdr:nvPicPr>
        <xdr:cNvPr id="3" name="Imagen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19050" y="19050"/>
          <a:ext cx="1247775" cy="38100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10583</xdr:colOff>
      <xdr:row>0</xdr:row>
      <xdr:rowOff>21166</xdr:rowOff>
    </xdr:from>
    <xdr:to>
      <xdr:col>0</xdr:col>
      <xdr:colOff>1289150</xdr:colOff>
      <xdr:row>2</xdr:row>
      <xdr:rowOff>81461</xdr:rowOff>
    </xdr:to>
    <xdr:pic>
      <xdr:nvPicPr>
        <xdr:cNvPr id="2" name="Imagen 3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0583" y="21166"/>
          <a:ext cx="1278567" cy="377795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0</xdr:row>
      <xdr:rowOff>28575</xdr:rowOff>
    </xdr:from>
    <xdr:to>
      <xdr:col>0</xdr:col>
      <xdr:colOff>1359000</xdr:colOff>
      <xdr:row>2</xdr:row>
      <xdr:rowOff>133320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9525" y="28575"/>
          <a:ext cx="1349475" cy="428595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0</xdr:row>
      <xdr:rowOff>28575</xdr:rowOff>
    </xdr:from>
    <xdr:to>
      <xdr:col>0</xdr:col>
      <xdr:colOff>1355595</xdr:colOff>
      <xdr:row>2</xdr:row>
      <xdr:rowOff>139800</xdr:rowOff>
    </xdr:to>
    <xdr:pic>
      <xdr:nvPicPr>
        <xdr:cNvPr id="4" name="Imagen 2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9525" y="28575"/>
          <a:ext cx="1346070" cy="435075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0</xdr:row>
      <xdr:rowOff>19050</xdr:rowOff>
    </xdr:from>
    <xdr:to>
      <xdr:col>1</xdr:col>
      <xdr:colOff>952500</xdr:colOff>
      <xdr:row>2</xdr:row>
      <xdr:rowOff>57150</xdr:rowOff>
    </xdr:to>
    <xdr:pic>
      <xdr:nvPicPr>
        <xdr:cNvPr id="5" name="Imagen 2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9050" y="19050"/>
          <a:ext cx="1171575" cy="36195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19080</xdr:colOff>
      <xdr:row>0</xdr:row>
      <xdr:rowOff>19080</xdr:rowOff>
    </xdr:from>
    <xdr:to>
      <xdr:col>1</xdr:col>
      <xdr:colOff>831132</xdr:colOff>
      <xdr:row>2</xdr:row>
      <xdr:rowOff>97560</xdr:rowOff>
    </xdr:to>
    <xdr:pic>
      <xdr:nvPicPr>
        <xdr:cNvPr id="6" name="Imagen 1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9080" y="19080"/>
          <a:ext cx="1411560" cy="45684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981106</xdr:colOff>
      <xdr:row>0</xdr:row>
      <xdr:rowOff>25560</xdr:rowOff>
    </xdr:from>
    <xdr:to>
      <xdr:col>4</xdr:col>
      <xdr:colOff>1371601</xdr:colOff>
      <xdr:row>2</xdr:row>
      <xdr:rowOff>147638</xdr:rowOff>
    </xdr:to>
    <xdr:pic>
      <xdr:nvPicPr>
        <xdr:cNvPr id="7" name="Imagen 1">
          <a:extLst>
            <a:ext uri="{FF2B5EF4-FFF2-40B4-BE49-F238E27FC236}">
              <a16:creationId xmlns:a16="http://schemas.microsoft.com/office/drawing/2014/main" id="{00000000-0008-0000-0600-000007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6400831" y="25560"/>
          <a:ext cx="1381095" cy="445928"/>
        </a:xfrm>
        <a:prstGeom prst="rect">
          <a:avLst/>
        </a:prstGeom>
        <a:noFill/>
        <a:ln w="0">
          <a:noFill/>
        </a:ln>
      </xdr:spPr>
    </xdr:pic>
    <xdr:clientData/>
  </xdr:twoCellAnchor>
  <xdr:oneCellAnchor>
    <xdr:from>
      <xdr:col>3</xdr:col>
      <xdr:colOff>990599</xdr:colOff>
      <xdr:row>64</xdr:row>
      <xdr:rowOff>47624</xdr:rowOff>
    </xdr:from>
    <xdr:ext cx="1352553" cy="452437"/>
    <xdr:pic>
      <xdr:nvPicPr>
        <xdr:cNvPr id="2" name="Imagen 1">
          <a:extLst>
            <a:ext uri="{FF2B5EF4-FFF2-40B4-BE49-F238E27FC236}">
              <a16:creationId xmlns:a16="http://schemas.microsoft.com/office/drawing/2014/main" id="{09CED6F5-ED12-415E-BAF4-8D999F1B300C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6410324" y="10725149"/>
          <a:ext cx="1352553" cy="452437"/>
        </a:xfrm>
        <a:prstGeom prst="rect">
          <a:avLst/>
        </a:prstGeom>
        <a:noFill/>
        <a:ln w="0">
          <a:noFill/>
        </a:ln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24622</xdr:colOff>
      <xdr:row>0</xdr:row>
      <xdr:rowOff>31749</xdr:rowOff>
    </xdr:from>
    <xdr:to>
      <xdr:col>1</xdr:col>
      <xdr:colOff>666751</xdr:colOff>
      <xdr:row>2</xdr:row>
      <xdr:rowOff>63499</xdr:rowOff>
    </xdr:to>
    <xdr:pic>
      <xdr:nvPicPr>
        <xdr:cNvPr id="8" name="Imagen 3">
          <a:extLst>
            <a:ext uri="{FF2B5EF4-FFF2-40B4-BE49-F238E27FC236}">
              <a16:creationId xmlns:a16="http://schemas.microsoft.com/office/drawing/2014/main" id="{00000000-0008-0000-0700-000008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24622" y="31749"/>
          <a:ext cx="1224212" cy="34925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803763</xdr:colOff>
      <xdr:row>2</xdr:row>
      <xdr:rowOff>100115</xdr:rowOff>
    </xdr:to>
    <xdr:pic>
      <xdr:nvPicPr>
        <xdr:cNvPr id="2" name="Imagen 3">
          <a:extLst>
            <a:ext uri="{FF2B5EF4-FFF2-40B4-BE49-F238E27FC236}">
              <a16:creationId xmlns:a16="http://schemas.microsoft.com/office/drawing/2014/main" id="{6387CD46-C2BC-4503-8CD9-4CDD46356748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0" y="0"/>
          <a:ext cx="1385846" cy="417615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802440</xdr:colOff>
      <xdr:row>2</xdr:row>
      <xdr:rowOff>84240</xdr:rowOff>
    </xdr:to>
    <xdr:pic>
      <xdr:nvPicPr>
        <xdr:cNvPr id="2" name="Imagen 3">
          <a:extLst>
            <a:ext uri="{FF2B5EF4-FFF2-40B4-BE49-F238E27FC236}">
              <a16:creationId xmlns:a16="http://schemas.microsoft.com/office/drawing/2014/main" id="{AB8C377E-9916-41E1-B404-7ADA6D7BA13A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0" y="0"/>
          <a:ext cx="1385846" cy="417615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804821</xdr:colOff>
      <xdr:row>2</xdr:row>
      <xdr:rowOff>93765</xdr:rowOff>
    </xdr:to>
    <xdr:pic>
      <xdr:nvPicPr>
        <xdr:cNvPr id="2" name="Imagen 3">
          <a:extLst>
            <a:ext uri="{FF2B5EF4-FFF2-40B4-BE49-F238E27FC236}">
              <a16:creationId xmlns:a16="http://schemas.microsoft.com/office/drawing/2014/main" id="{EB516C93-14CD-46EE-94D5-CF2A6881A282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0" y="0"/>
          <a:ext cx="1385846" cy="417615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802440</xdr:colOff>
      <xdr:row>2</xdr:row>
      <xdr:rowOff>84240</xdr:rowOff>
    </xdr:to>
    <xdr:pic>
      <xdr:nvPicPr>
        <xdr:cNvPr id="2" name="Imagen 3">
          <a:extLst>
            <a:ext uri="{FF2B5EF4-FFF2-40B4-BE49-F238E27FC236}">
              <a16:creationId xmlns:a16="http://schemas.microsoft.com/office/drawing/2014/main" id="{C89CB67F-42F8-4309-9CDE-62956A28ADCA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0" y="0"/>
          <a:ext cx="1385846" cy="417615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802440</xdr:colOff>
      <xdr:row>2</xdr:row>
      <xdr:rowOff>84240</xdr:rowOff>
    </xdr:to>
    <xdr:pic>
      <xdr:nvPicPr>
        <xdr:cNvPr id="2" name="Imagen 3">
          <a:extLst>
            <a:ext uri="{FF2B5EF4-FFF2-40B4-BE49-F238E27FC236}">
              <a16:creationId xmlns:a16="http://schemas.microsoft.com/office/drawing/2014/main" id="{B41E16F3-B698-4D5B-A173-B3691F6A68CC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0" y="0"/>
          <a:ext cx="1385846" cy="417615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802440</xdr:colOff>
      <xdr:row>2</xdr:row>
      <xdr:rowOff>84240</xdr:rowOff>
    </xdr:to>
    <xdr:pic>
      <xdr:nvPicPr>
        <xdr:cNvPr id="2" name="Imagen 3">
          <a:extLst>
            <a:ext uri="{FF2B5EF4-FFF2-40B4-BE49-F238E27FC236}">
              <a16:creationId xmlns:a16="http://schemas.microsoft.com/office/drawing/2014/main" id="{D2E6F32B-81FD-4344-8806-71E87CD9F9F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0" y="0"/>
          <a:ext cx="1385846" cy="417615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803763</xdr:colOff>
      <xdr:row>2</xdr:row>
      <xdr:rowOff>100115</xdr:rowOff>
    </xdr:to>
    <xdr:pic>
      <xdr:nvPicPr>
        <xdr:cNvPr id="2" name="Imagen 3">
          <a:extLst>
            <a:ext uri="{FF2B5EF4-FFF2-40B4-BE49-F238E27FC236}">
              <a16:creationId xmlns:a16="http://schemas.microsoft.com/office/drawing/2014/main" id="{D185F912-73C3-4298-A2DF-2E2220C1BE57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0" y="0"/>
          <a:ext cx="1385846" cy="417615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800739</xdr:colOff>
      <xdr:row>2</xdr:row>
      <xdr:rowOff>91044</xdr:rowOff>
    </xdr:to>
    <xdr:pic>
      <xdr:nvPicPr>
        <xdr:cNvPr id="2" name="Imagen 3">
          <a:extLst>
            <a:ext uri="{FF2B5EF4-FFF2-40B4-BE49-F238E27FC236}">
              <a16:creationId xmlns:a16="http://schemas.microsoft.com/office/drawing/2014/main" id="{CEE00C32-5992-45C7-93C8-D658A2248EB2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0" y="0"/>
          <a:ext cx="1385846" cy="417615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803763</xdr:colOff>
      <xdr:row>2</xdr:row>
      <xdr:rowOff>100115</xdr:rowOff>
    </xdr:to>
    <xdr:pic>
      <xdr:nvPicPr>
        <xdr:cNvPr id="2" name="Imagen 3">
          <a:extLst>
            <a:ext uri="{FF2B5EF4-FFF2-40B4-BE49-F238E27FC236}">
              <a16:creationId xmlns:a16="http://schemas.microsoft.com/office/drawing/2014/main" id="{39DFD4CB-E21B-47FE-848C-208EFD801FD6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0" y="0"/>
          <a:ext cx="1385846" cy="417615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803763</xdr:colOff>
      <xdr:row>2</xdr:row>
      <xdr:rowOff>100115</xdr:rowOff>
    </xdr:to>
    <xdr:pic>
      <xdr:nvPicPr>
        <xdr:cNvPr id="2" name="Imagen 3">
          <a:extLst>
            <a:ext uri="{FF2B5EF4-FFF2-40B4-BE49-F238E27FC236}">
              <a16:creationId xmlns:a16="http://schemas.microsoft.com/office/drawing/2014/main" id="{886B1D8B-8346-4E98-8CFA-088EBD7A0932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0" y="0"/>
          <a:ext cx="1385846" cy="417615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803763</xdr:colOff>
      <xdr:row>2</xdr:row>
      <xdr:rowOff>100115</xdr:rowOff>
    </xdr:to>
    <xdr:pic>
      <xdr:nvPicPr>
        <xdr:cNvPr id="2" name="Imagen 3">
          <a:extLst>
            <a:ext uri="{FF2B5EF4-FFF2-40B4-BE49-F238E27FC236}">
              <a16:creationId xmlns:a16="http://schemas.microsoft.com/office/drawing/2014/main" id="{F584642D-F04E-4166-9118-9347991DA6B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0" y="0"/>
          <a:ext cx="1385846" cy="417615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Insumo" displayName="Insumo" ref="A4:R945" totalsRowCount="1" headerRowDxfId="158" dataDxfId="157" totalsRowDxfId="156" headerRowCellStyle="Moneda" dataCellStyle="Moneda" totalsRowCellStyle="Moneda">
  <autoFilter ref="A4:R944" xr:uid="{00000000-0009-0000-0100-000002000000}"/>
  <sortState xmlns:xlrd2="http://schemas.microsoft.com/office/spreadsheetml/2017/richdata2" ref="A5:R944">
    <sortCondition ref="A5:A944"/>
  </sortState>
  <tableColumns count="18">
    <tableColumn id="1" xr3:uid="{00000000-0010-0000-0000-000001000000}" name="DESCRIPCION" totalsRowLabel="Total" dataDxfId="155" totalsRowDxfId="55" dataCellStyle="Moneda"/>
    <tableColumn id="2" xr3:uid="{00000000-0010-0000-0000-000002000000}" name="UND" dataDxfId="154" totalsRowDxfId="54" dataCellStyle="Moneda"/>
    <tableColumn id="3" xr3:uid="{00000000-0010-0000-0000-000003000000}" name="VALOR" dataDxfId="153" totalsRowDxfId="53" dataCellStyle="Moneda">
      <calculatedColumnFormula>T5*$T$3</calculatedColumnFormula>
    </tableColumn>
    <tableColumn id="4" xr3:uid="{00000000-0010-0000-0000-000004000000}" name="CANTIDAD" dataDxfId="152" totalsRowDxfId="52" dataCellStyle="Millares">
      <calculatedColumnFormula array="1">IF(Insumo[[#This Row],[VALOR]]=0,Insumo[TOTAL],E5/C5)</calculatedColumnFormula>
    </tableColumn>
    <tableColumn id="36" xr3:uid="{E2212A9E-6F73-42E8-84E4-108937599B61}" name="TOTAL" totalsRowFunction="sum" dataDxfId="151" totalsRowDxfId="51" dataCellStyle="Moneda">
      <calculatedColumnFormula>SUM(Insumo[[#This Row],[CAP1-3]:[CAP29]])</calculatedColumnFormula>
    </tableColumn>
    <tableColumn id="5" xr3:uid="{00000000-0010-0000-0000-000005000000}" name="CAP1-3" totalsRowFunction="sum" dataDxfId="150" totalsRowDxfId="50" dataCellStyle="Moneda">
      <calculatedColumnFormula>SUMIF('CAP1-3'!$B:$H,Insumo[[#This Row],[DESCRIPCION]],'CAP1-3'!$H:$H)</calculatedColumnFormula>
    </tableColumn>
    <tableColumn id="8" xr3:uid="{00000000-0010-0000-0000-000008000000}" name="CAP4-5" totalsRowFunction="sum" dataDxfId="149" totalsRowDxfId="49" dataCellStyle="Moneda">
      <calculatedColumnFormula>SUMIF('CAP4-5'!$B:$H,Insumo[[#This Row],[DESCRIPCION]],'CAP4-5'!$H:$H)</calculatedColumnFormula>
    </tableColumn>
    <tableColumn id="10" xr3:uid="{00000000-0010-0000-0000-00000A000000}" name="CAP6-7" totalsRowFunction="sum" dataDxfId="148" totalsRowDxfId="48" dataCellStyle="Moneda">
      <calculatedColumnFormula>SUMIF('CAP6-7'!$B:$H,Insumo[[#This Row],[DESCRIPCION]],'CAP6-7'!$H:$H)</calculatedColumnFormula>
    </tableColumn>
    <tableColumn id="12" xr3:uid="{00000000-0010-0000-0000-00000C000000}" name="CAP8" totalsRowFunction="sum" dataDxfId="147" totalsRowDxfId="47" dataCellStyle="Moneda">
      <calculatedColumnFormula>SUMIF('CAP8'!$B:$H,Insumo[[#This Row],[DESCRIPCION]],'CAP8'!$H:$H)</calculatedColumnFormula>
    </tableColumn>
    <tableColumn id="13" xr3:uid="{00000000-0010-0000-0000-00000D000000}" name="CAP9-13" totalsRowFunction="sum" dataDxfId="146" totalsRowDxfId="46" dataCellStyle="Moneda">
      <calculatedColumnFormula>SUMIF('CAP9-13'!$B:$H,Insumo[[#This Row],[DESCRIPCION]],'CAP9-13'!$H:$H)</calculatedColumnFormula>
    </tableColumn>
    <tableColumn id="18" xr3:uid="{00000000-0010-0000-0000-000012000000}" name="CAP14-15" totalsRowFunction="sum" dataDxfId="145" totalsRowDxfId="45" dataCellStyle="Moneda">
      <calculatedColumnFormula>SUMIF('CAP14-15'!$B:$H,Insumo[[#This Row],[DESCRIPCION]],'CAP14-15'!$H:$H)</calculatedColumnFormula>
    </tableColumn>
    <tableColumn id="21" xr3:uid="{00000000-0010-0000-0000-000015000000}" name="CAP16-18" totalsRowFunction="sum" dataDxfId="144" totalsRowDxfId="44" dataCellStyle="Moneda">
      <calculatedColumnFormula>SUMIF('CAP16-18'!$B:$H,Insumo[[#This Row],[DESCRIPCION]],'CAP16-18'!$H:$H)</calculatedColumnFormula>
    </tableColumn>
    <tableColumn id="23" xr3:uid="{00000000-0010-0000-0000-000017000000}" name="CAP19-22" totalsRowFunction="sum" dataDxfId="143" totalsRowDxfId="43" dataCellStyle="Moneda">
      <calculatedColumnFormula>SUMIF('CAP19-22'!$B:$H,Insumo[[#This Row],[DESCRIPCION]],'CAP19-22'!$H:$H)</calculatedColumnFormula>
    </tableColumn>
    <tableColumn id="27" xr3:uid="{00000000-0010-0000-0000-00001B000000}" name="CAP23-24" totalsRowFunction="sum" dataDxfId="142" totalsRowDxfId="42" dataCellStyle="Moneda">
      <calculatedColumnFormula>SUMIF('CAP23-24'!$B:$H,Insumo[[#This Row],[DESCRIPCION]],'CAP23-24'!$H:$H)</calculatedColumnFormula>
    </tableColumn>
    <tableColumn id="29" xr3:uid="{00000000-0010-0000-0000-00001D000000}" name="CAP25" totalsRowFunction="sum" dataDxfId="141" totalsRowDxfId="41" dataCellStyle="Moneda">
      <calculatedColumnFormula>SUMIF('CAP25'!$B:$H,Insumo[[#This Row],[DESCRIPCION]],'CAP25'!$H:$H)</calculatedColumnFormula>
    </tableColumn>
    <tableColumn id="30" xr3:uid="{00000000-0010-0000-0000-00001E000000}" name="CAP26-28" totalsRowFunction="sum" dataDxfId="140" totalsRowDxfId="40" dataCellStyle="Moneda">
      <calculatedColumnFormula>SUMIF('CAP26-28'!$B:$H,Insumo[[#This Row],[DESCRIPCION]],'CAP26-28'!$H:$H)</calculatedColumnFormula>
    </tableColumn>
    <tableColumn id="33" xr3:uid="{00000000-0010-0000-0000-000021000000}" name="CAP29" totalsRowFunction="sum" dataDxfId="139" totalsRowDxfId="39" dataCellStyle="Moneda">
      <calculatedColumnFormula>SUMIF('CAP29'!$B:$H,Insumo[[#This Row],[DESCRIPCION]],'CAP29'!$H:$H)</calculatedColumnFormula>
    </tableColumn>
    <tableColumn id="35" xr3:uid="{00000000-0010-0000-0000-000023000000}" name="OBSERVACIONES" dataDxfId="138" totalsRowDxfId="38" dataCellStyle="Moneda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Equipo" displayName="Equipo" ref="A4:R91" totalsRowCount="1" headerRowDxfId="137" dataDxfId="136" totalsRowDxfId="135" headerRowCellStyle="Moneda" dataCellStyle="Moneda" totalsRowCellStyle="Moneda">
  <autoFilter ref="A4:R90" xr:uid="{00000000-0009-0000-0100-000001000000}"/>
  <tableColumns count="18">
    <tableColumn id="1" xr3:uid="{00000000-0010-0000-0100-000001000000}" name="DESCRIPCION" totalsRowLabel="Total" dataDxfId="134" totalsRowDxfId="37" dataCellStyle="Moneda" totalsRowCellStyle="Moneda"/>
    <tableColumn id="2" xr3:uid="{00000000-0010-0000-0100-000002000000}" name="UND" dataDxfId="133" totalsRowDxfId="36" dataCellStyle="Moneda" totalsRowCellStyle="Moneda"/>
    <tableColumn id="3" xr3:uid="{00000000-0010-0000-0100-000003000000}" name="VALOR" dataDxfId="132" totalsRowDxfId="35" dataCellStyle="Moneda" totalsRowCellStyle="Moneda">
      <calculatedColumnFormula>T5*$T$4</calculatedColumnFormula>
    </tableColumn>
    <tableColumn id="4" xr3:uid="{00000000-0010-0000-0100-000004000000}" name="CANTIDAD" dataDxfId="131" totalsRowDxfId="34" dataCellStyle="Millares" totalsRowCellStyle="Moneda">
      <calculatedColumnFormula>IF(Equipo[[#This Row],[VALOR]]=0,Equipo[[#This Row],[TOTAL]],E5/C5)</calculatedColumnFormula>
    </tableColumn>
    <tableColumn id="36" xr3:uid="{01CF839F-5E06-4176-8504-D682B7494E77}" name="TOTAL" totalsRowFunction="sum" dataDxfId="130" totalsRowDxfId="33" dataCellStyle="Moneda" totalsRowCellStyle="Moneda">
      <calculatedColumnFormula>SUM(Equipo[[#This Row],[CAP1]:[CAP29]])</calculatedColumnFormula>
    </tableColumn>
    <tableColumn id="5" xr3:uid="{00000000-0010-0000-0100-000005000000}" name="CAP1" totalsRowFunction="sum" dataDxfId="129" totalsRowDxfId="32" dataCellStyle="Moneda" totalsRowCellStyle="Moneda">
      <calculatedColumnFormula>SUMIF('CAP1-3'!$B:$H,Equipo[[#This Row],[DESCRIPCION]],'CAP1-3'!$H:$H)</calculatedColumnFormula>
    </tableColumn>
    <tableColumn id="8" xr3:uid="{00000000-0010-0000-0100-000008000000}" name="CAP4" totalsRowFunction="sum" dataDxfId="128" totalsRowDxfId="31" dataCellStyle="Moneda" totalsRowCellStyle="Moneda">
      <calculatedColumnFormula>SUMIF('CAP4-5'!$B:$H,Equipo[[#This Row],[DESCRIPCION]],'CAP4-5'!$H:$H)</calculatedColumnFormula>
    </tableColumn>
    <tableColumn id="10" xr3:uid="{00000000-0010-0000-0100-00000A000000}" name="CAP6" totalsRowFunction="sum" dataDxfId="127" totalsRowDxfId="30" dataCellStyle="Moneda" totalsRowCellStyle="Moneda">
      <calculatedColumnFormula>SUMIF('CAP6-7'!$B:$H,Equipo[[#This Row],[DESCRIPCION]],'CAP6-7'!$H:$H)</calculatedColumnFormula>
    </tableColumn>
    <tableColumn id="12" xr3:uid="{00000000-0010-0000-0100-00000C000000}" name="CAP8" totalsRowFunction="sum" dataDxfId="126" totalsRowDxfId="29" dataCellStyle="Moneda" totalsRowCellStyle="Moneda"/>
    <tableColumn id="13" xr3:uid="{00000000-0010-0000-0100-00000D000000}" name="CAP9" totalsRowFunction="sum" dataDxfId="125" totalsRowDxfId="28" dataCellStyle="Moneda" totalsRowCellStyle="Moneda"/>
    <tableColumn id="18" xr3:uid="{00000000-0010-0000-0100-000012000000}" name="CAP14" totalsRowFunction="sum" dataDxfId="124" totalsRowDxfId="27" dataCellStyle="Moneda" totalsRowCellStyle="Moneda"/>
    <tableColumn id="21" xr3:uid="{00000000-0010-0000-0100-000015000000}" name="CAP17" totalsRowFunction="sum" dataDxfId="123" totalsRowDxfId="26" dataCellStyle="Moneda" totalsRowCellStyle="Moneda"/>
    <tableColumn id="23" xr3:uid="{00000000-0010-0000-0100-000017000000}" name="CAP19" totalsRowFunction="sum" dataDxfId="122" totalsRowDxfId="25" dataCellStyle="Moneda" totalsRowCellStyle="Moneda"/>
    <tableColumn id="27" xr3:uid="{00000000-0010-0000-0100-00001B000000}" name="CAP23" totalsRowFunction="sum" dataDxfId="121" totalsRowDxfId="24" dataCellStyle="Moneda" totalsRowCellStyle="Moneda"/>
    <tableColumn id="29" xr3:uid="{00000000-0010-0000-0100-00001D000000}" name="CAP25" totalsRowFunction="sum" dataDxfId="120" totalsRowDxfId="23" dataCellStyle="Moneda" totalsRowCellStyle="Moneda"/>
    <tableColumn id="30" xr3:uid="{00000000-0010-0000-0100-00001E000000}" name="CAP26" totalsRowFunction="sum" dataDxfId="119" totalsRowDxfId="22" dataCellStyle="Moneda" totalsRowCellStyle="Moneda"/>
    <tableColumn id="33" xr3:uid="{00000000-0010-0000-0100-000021000000}" name="CAP29" totalsRowFunction="sum" dataDxfId="118" totalsRowDxfId="21" dataCellStyle="Moneda" totalsRowCellStyle="Moneda"/>
    <tableColumn id="35" xr3:uid="{00000000-0010-0000-0100-000023000000}" name="OBSERVACIONES" dataDxfId="117" totalsRowDxfId="20" dataCellStyle="Moneda" totalsRowCellStyle="Moneda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2000000}" name="Transporte" displayName="Transporte" ref="A4:Q10" totalsRowCount="1" headerRowDxfId="116" dataDxfId="114" totalsRowDxfId="112" headerRowBorderDxfId="115" tableBorderDxfId="113" totalsRowBorderDxfId="111" headerRowCellStyle="Moneda" dataCellStyle="Moneda" totalsRowCellStyle="Moneda">
  <autoFilter ref="A4:Q9" xr:uid="{00000000-0009-0000-0100-000004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</autoFilter>
  <tableColumns count="17">
    <tableColumn id="1" xr3:uid="{00000000-0010-0000-0200-000001000000}" name="DESCRIPCION" totalsRowLabel="Total" dataDxfId="110" totalsRowDxfId="19" dataCellStyle="Moneda" totalsRowCellStyle="Moneda"/>
    <tableColumn id="2" xr3:uid="{00000000-0010-0000-0200-000002000000}" name="UND" dataDxfId="109" totalsRowDxfId="18" dataCellStyle="Moneda" totalsRowCellStyle="Moneda"/>
    <tableColumn id="3" xr3:uid="{00000000-0010-0000-0200-000003000000}" name="VALOR" dataDxfId="108" totalsRowDxfId="17" dataCellStyle="Moneda" totalsRowCellStyle="Moneda">
      <calculatedColumnFormula>T5*$T$4</calculatedColumnFormula>
    </tableColumn>
    <tableColumn id="4" xr3:uid="{00000000-0010-0000-0200-000004000000}" name="CANTIDAD" dataDxfId="107" totalsRowDxfId="16" dataCellStyle="Millares" totalsRowCellStyle="Millares">
      <calculatedColumnFormula>IF(Transporte[[#This Row],[VALOR]]=0,0,E5/C5)</calculatedColumnFormula>
    </tableColumn>
    <tableColumn id="35" xr3:uid="{58397025-0BF8-4F4C-852A-AE1DE79D1AF0}" name="TOTAL" totalsRowFunction="sum" dataDxfId="106" totalsRowDxfId="15" dataCellStyle="Moneda" totalsRowCellStyle="Moneda">
      <calculatedColumnFormula>SUM(Transporte[[#This Row],[CAP1]:[CAP29]])</calculatedColumnFormula>
    </tableColumn>
    <tableColumn id="5" xr3:uid="{00000000-0010-0000-0200-000005000000}" name="CAP1" totalsRowFunction="sum" dataDxfId="105" totalsRowDxfId="14" dataCellStyle="Moneda" totalsRowCellStyle="Moneda"/>
    <tableColumn id="8" xr3:uid="{00000000-0010-0000-0200-000008000000}" name="CAP4" totalsRowFunction="sum" dataDxfId="104" totalsRowDxfId="13" dataCellStyle="Moneda" totalsRowCellStyle="Moneda"/>
    <tableColumn id="10" xr3:uid="{00000000-0010-0000-0200-00000A000000}" name="CAP6" totalsRowFunction="sum" dataDxfId="103" totalsRowDxfId="12" dataCellStyle="Moneda" totalsRowCellStyle="Moneda"/>
    <tableColumn id="12" xr3:uid="{00000000-0010-0000-0200-00000C000000}" name="CAP8" totalsRowFunction="sum" dataDxfId="102" totalsRowDxfId="11" dataCellStyle="Moneda" totalsRowCellStyle="Moneda"/>
    <tableColumn id="13" xr3:uid="{00000000-0010-0000-0200-00000D000000}" name="CAP9" totalsRowFunction="sum" dataDxfId="101" totalsRowDxfId="10" dataCellStyle="Moneda" totalsRowCellStyle="Moneda"/>
    <tableColumn id="18" xr3:uid="{00000000-0010-0000-0200-000012000000}" name="CAP14" totalsRowFunction="sum" dataDxfId="100" totalsRowDxfId="9" dataCellStyle="Moneda" totalsRowCellStyle="Moneda"/>
    <tableColumn id="21" xr3:uid="{00000000-0010-0000-0200-000015000000}" name="CAP17" totalsRowFunction="sum" dataDxfId="99" totalsRowDxfId="8" dataCellStyle="Moneda" totalsRowCellStyle="Moneda"/>
    <tableColumn id="23" xr3:uid="{00000000-0010-0000-0200-000017000000}" name="CAP19" totalsRowFunction="sum" dataDxfId="98" totalsRowDxfId="7" dataCellStyle="Moneda" totalsRowCellStyle="Moneda"/>
    <tableColumn id="27" xr3:uid="{00000000-0010-0000-0200-00001B000000}" name="CAP23" totalsRowFunction="sum" dataDxfId="97" totalsRowDxfId="6" dataCellStyle="Moneda" totalsRowCellStyle="Moneda"/>
    <tableColumn id="29" xr3:uid="{00000000-0010-0000-0200-00001D000000}" name="CAP25" totalsRowFunction="sum" dataDxfId="96" totalsRowDxfId="5" dataCellStyle="Moneda" totalsRowCellStyle="Moneda"/>
    <tableColumn id="30" xr3:uid="{00000000-0010-0000-0200-00001E000000}" name="CAP26" totalsRowFunction="sum" dataDxfId="95" totalsRowDxfId="4" dataCellStyle="Moneda" totalsRowCellStyle="Moneda"/>
    <tableColumn id="33" xr3:uid="{00000000-0010-0000-0200-000021000000}" name="CAP29" totalsRowFunction="sum" dataDxfId="94" totalsRowDxfId="3" dataCellStyle="Moneda" totalsRowCellStyle="Moneda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3000000}" name="MObra" displayName="MObra" ref="B31:Q59" totalsRowCount="1" headerRowDxfId="93" dataDxfId="91" totalsRowDxfId="89" headerRowBorderDxfId="92" tableBorderDxfId="90" totalsRowBorderDxfId="88">
  <autoFilter ref="B31:Q58" xr:uid="{00000000-0009-0000-0100-000003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</autoFilter>
  <tableColumns count="16">
    <tableColumn id="1" xr3:uid="{00000000-0010-0000-0300-000001000000}" name="DESCRIPCION" totalsRowLabel="Total" dataDxfId="87" totalsRowDxfId="86"/>
    <tableColumn id="2" xr3:uid="{00000000-0010-0000-0300-000002000000}" name="UN" dataDxfId="85" totalsRowDxfId="84"/>
    <tableColumn id="3" xr3:uid="{00000000-0010-0000-0300-000003000000}" name="VALOR UNIT" dataDxfId="83" totalsRowDxfId="82"/>
    <tableColumn id="34" xr3:uid="{8FE72FE1-7063-4D0C-9F79-653D0EC2960D}" name="TOTAL" totalsRowFunction="sum" dataDxfId="81" totalsRowDxfId="80" dataCellStyle="Moneda" totalsRowCellStyle="Moneda">
      <calculatedColumnFormula>SUM(MObra[[#This Row],[CAP1]:[CAP29]])</calculatedColumnFormula>
    </tableColumn>
    <tableColumn id="4" xr3:uid="{00000000-0010-0000-0300-000004000000}" name="CAP1" totalsRowFunction="sum" dataDxfId="79" totalsRowDxfId="78" dataCellStyle="Moneda" totalsRowCellStyle="Moneda"/>
    <tableColumn id="7" xr3:uid="{00000000-0010-0000-0300-000007000000}" name="CAP4" totalsRowFunction="sum" dataDxfId="77" totalsRowDxfId="76" dataCellStyle="Moneda" totalsRowCellStyle="Moneda"/>
    <tableColumn id="9" xr3:uid="{00000000-0010-0000-0300-000009000000}" name="CAP6" totalsRowFunction="sum" dataDxfId="75" totalsRowDxfId="74" dataCellStyle="Moneda" totalsRowCellStyle="Moneda"/>
    <tableColumn id="11" xr3:uid="{00000000-0010-0000-0300-00000B000000}" name="CAP8" totalsRowFunction="sum" dataDxfId="73" totalsRowDxfId="72" dataCellStyle="Moneda" totalsRowCellStyle="Moneda"/>
    <tableColumn id="12" xr3:uid="{00000000-0010-0000-0300-00000C000000}" name="CAP9" totalsRowFunction="sum" dataDxfId="71" totalsRowDxfId="70" dataCellStyle="Moneda" totalsRowCellStyle="Moneda"/>
    <tableColumn id="17" xr3:uid="{00000000-0010-0000-0300-000011000000}" name="CAP14" totalsRowFunction="sum" dataDxfId="69" totalsRowDxfId="68" dataCellStyle="Moneda" totalsRowCellStyle="Moneda"/>
    <tableColumn id="20" xr3:uid="{00000000-0010-0000-0300-000014000000}" name="CAP17" totalsRowFunction="sum" dataDxfId="67" totalsRowDxfId="66" dataCellStyle="Moneda" totalsRowCellStyle="Moneda"/>
    <tableColumn id="22" xr3:uid="{00000000-0010-0000-0300-000016000000}" name="CAP19" totalsRowFunction="sum" dataDxfId="65" totalsRowDxfId="64" dataCellStyle="Moneda" totalsRowCellStyle="Moneda"/>
    <tableColumn id="26" xr3:uid="{00000000-0010-0000-0300-00001A000000}" name="CAP23" totalsRowFunction="sum" dataDxfId="63" totalsRowDxfId="62" dataCellStyle="Moneda" totalsRowCellStyle="Moneda"/>
    <tableColumn id="28" xr3:uid="{00000000-0010-0000-0300-00001C000000}" name="CAP25" totalsRowFunction="sum" dataDxfId="61" totalsRowDxfId="60" dataCellStyle="Moneda" totalsRowCellStyle="Moneda"/>
    <tableColumn id="29" xr3:uid="{00000000-0010-0000-0300-00001D000000}" name="CAP26" totalsRowFunction="sum" dataDxfId="59" totalsRowDxfId="58" dataCellStyle="Moneda" totalsRowCellStyle="Moneda"/>
    <tableColumn id="32" xr3:uid="{00000000-0010-0000-0300-000020000000}" name="CAP29" totalsRowFunction="sum" dataDxfId="57" totalsRowDxfId="56" dataCellStyle="Moneda" totalsRowCellStyle="Moneda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DEADA"/>
  </sheetPr>
  <dimension ref="A1:H1304"/>
  <sheetViews>
    <sheetView showGridLines="0" tabSelected="1" view="pageBreakPreview" topLeftCell="A2" zoomScale="80" zoomScaleNormal="100" zoomScaleSheetLayoutView="80" zoomScalePageLayoutView="90" workbookViewId="0">
      <selection activeCell="D8" sqref="D8"/>
    </sheetView>
  </sheetViews>
  <sheetFormatPr baseColWidth="10" defaultColWidth="10.73046875" defaultRowHeight="12.75"/>
  <cols>
    <col min="1" max="1" width="10.73046875" style="85" customWidth="1"/>
    <col min="2" max="2" width="55.73046875" style="3" customWidth="1"/>
    <col min="3" max="3" width="10.73046875" style="128" customWidth="1"/>
    <col min="4" max="4" width="11.73046875" style="3" customWidth="1"/>
    <col min="5" max="5" width="16.265625" style="129" bestFit="1" customWidth="1"/>
    <col min="6" max="6" width="16.73046875" style="130" customWidth="1"/>
    <col min="7" max="7" width="7.73046875" style="70" customWidth="1"/>
    <col min="8" max="8" width="5.73046875" style="3" customWidth="1"/>
    <col min="9" max="16384" width="10.73046875" style="3"/>
  </cols>
  <sheetData>
    <row r="1" spans="1:7" s="55" customFormat="1">
      <c r="A1" s="316" t="s">
        <v>0</v>
      </c>
      <c r="B1" s="316"/>
      <c r="C1" s="316"/>
      <c r="D1" s="316"/>
      <c r="E1" s="316"/>
      <c r="F1" s="316"/>
      <c r="G1" s="316"/>
    </row>
    <row r="2" spans="1:7" s="55" customFormat="1">
      <c r="A2" s="316" t="s">
        <v>1</v>
      </c>
      <c r="B2" s="316"/>
      <c r="C2" s="316"/>
      <c r="D2" s="316"/>
      <c r="E2" s="316"/>
      <c r="F2" s="316"/>
      <c r="G2" s="316"/>
    </row>
    <row r="3" spans="1:7" s="55" customFormat="1">
      <c r="A3" s="316" t="s">
        <v>2</v>
      </c>
      <c r="B3" s="316"/>
      <c r="C3" s="316"/>
      <c r="D3" s="316"/>
      <c r="E3" s="316"/>
      <c r="F3" s="316"/>
      <c r="G3" s="316"/>
    </row>
    <row r="4" spans="1:7">
      <c r="A4" s="56" t="s">
        <v>3</v>
      </c>
      <c r="B4" s="57" t="s">
        <v>4</v>
      </c>
      <c r="C4" s="57" t="s">
        <v>5</v>
      </c>
      <c r="D4" s="57" t="s">
        <v>6</v>
      </c>
      <c r="E4" s="58" t="s">
        <v>7</v>
      </c>
      <c r="F4" s="59" t="s">
        <v>8</v>
      </c>
      <c r="G4" s="59" t="s">
        <v>9</v>
      </c>
    </row>
    <row r="5" spans="1:7">
      <c r="A5" s="60" t="s">
        <v>10</v>
      </c>
      <c r="B5" s="61" t="s">
        <v>11</v>
      </c>
      <c r="C5" s="62"/>
      <c r="D5" s="63"/>
      <c r="E5" s="64"/>
      <c r="F5" s="65">
        <f>SUM(F6:F49)</f>
        <v>5114815</v>
      </c>
      <c r="G5" s="66">
        <f>IFERROR(F5/$F$1279,"")</f>
        <v>1</v>
      </c>
    </row>
    <row r="6" spans="1:7">
      <c r="A6" s="67" t="s">
        <v>12</v>
      </c>
      <c r="B6" s="29" t="s">
        <v>13</v>
      </c>
      <c r="C6" s="30" t="s">
        <v>14</v>
      </c>
      <c r="D6" s="68"/>
      <c r="E6" s="69">
        <f>ROUND(IFERROR(VLOOKUP(A6,'CAP1-3'!$A:$G,7,FALSE()),""),0)</f>
        <v>26388</v>
      </c>
      <c r="F6" s="69">
        <f t="shared" ref="F6:F49" si="0">IFERROR(E6*D6,"")</f>
        <v>0</v>
      </c>
    </row>
    <row r="7" spans="1:7">
      <c r="A7" s="67" t="s">
        <v>15</v>
      </c>
      <c r="B7" s="29" t="s">
        <v>16</v>
      </c>
      <c r="C7" s="30" t="s">
        <v>17</v>
      </c>
      <c r="D7" s="68">
        <v>5</v>
      </c>
      <c r="E7" s="69">
        <f>ROUND(IFERROR(VLOOKUP(A7,'CAP1-3'!$A:$G,7,FALSE()),""),0)</f>
        <v>1022963</v>
      </c>
      <c r="F7" s="69">
        <f t="shared" si="0"/>
        <v>5114815</v>
      </c>
    </row>
    <row r="8" spans="1:7">
      <c r="A8" s="67" t="s">
        <v>18</v>
      </c>
      <c r="B8" s="29" t="s">
        <v>19</v>
      </c>
      <c r="C8" s="30" t="s">
        <v>20</v>
      </c>
      <c r="D8" s="68"/>
      <c r="E8" s="69">
        <f>ROUND(IFERROR(VLOOKUP(A8,'CAP1-3'!$A:$G,7,FALSE()),""),0)</f>
        <v>42814</v>
      </c>
      <c r="F8" s="69">
        <f t="shared" si="0"/>
        <v>0</v>
      </c>
    </row>
    <row r="9" spans="1:7">
      <c r="A9" s="67" t="s">
        <v>21</v>
      </c>
      <c r="B9" s="29" t="s">
        <v>22</v>
      </c>
      <c r="C9" s="30" t="s">
        <v>23</v>
      </c>
      <c r="D9" s="68"/>
      <c r="E9" s="69">
        <f>ROUND(IFERROR(VLOOKUP(A9,'CAP1-3'!$A:$G,7,FALSE()),""),0)</f>
        <v>637637</v>
      </c>
      <c r="F9" s="69">
        <f t="shared" si="0"/>
        <v>0</v>
      </c>
    </row>
    <row r="10" spans="1:7">
      <c r="A10" s="67" t="s">
        <v>24</v>
      </c>
      <c r="B10" s="29" t="s">
        <v>25</v>
      </c>
      <c r="C10" s="30" t="s">
        <v>20</v>
      </c>
      <c r="D10" s="68"/>
      <c r="E10" s="69">
        <f>ROUND(IFERROR(VLOOKUP(A10,'CAP1-3'!$A:$G,7,FALSE()),""),0)</f>
        <v>217769</v>
      </c>
      <c r="F10" s="69">
        <f t="shared" si="0"/>
        <v>0</v>
      </c>
    </row>
    <row r="11" spans="1:7">
      <c r="A11" s="67" t="s">
        <v>26</v>
      </c>
      <c r="B11" s="29" t="s">
        <v>27</v>
      </c>
      <c r="C11" s="30" t="s">
        <v>20</v>
      </c>
      <c r="D11" s="68"/>
      <c r="E11" s="69">
        <f>ROUND(IFERROR(VLOOKUP(A11,'CAP1-3'!$A:$G,7,FALSE()),""),0)</f>
        <v>210970</v>
      </c>
      <c r="F11" s="69">
        <f t="shared" si="0"/>
        <v>0</v>
      </c>
    </row>
    <row r="12" spans="1:7">
      <c r="A12" s="67" t="s">
        <v>28</v>
      </c>
      <c r="B12" s="29" t="s">
        <v>29</v>
      </c>
      <c r="C12" s="30" t="s">
        <v>30</v>
      </c>
      <c r="D12" s="68"/>
      <c r="E12" s="69">
        <f>ROUND(IFERROR(VLOOKUP(A12,'CAP1-3'!$A:$G,7,FALSE()),""),0)</f>
        <v>28486</v>
      </c>
      <c r="F12" s="69">
        <f t="shared" si="0"/>
        <v>0</v>
      </c>
    </row>
    <row r="13" spans="1:7">
      <c r="A13" s="67" t="s">
        <v>31</v>
      </c>
      <c r="B13" s="29" t="s">
        <v>32</v>
      </c>
      <c r="C13" s="30" t="s">
        <v>30</v>
      </c>
      <c r="D13" s="68"/>
      <c r="E13" s="69">
        <f>ROUND(IFERROR(VLOOKUP(A13,'CAP1-3'!$A:$G,7,FALSE()),""),0)</f>
        <v>30503</v>
      </c>
      <c r="F13" s="69">
        <f t="shared" si="0"/>
        <v>0</v>
      </c>
    </row>
    <row r="14" spans="1:7">
      <c r="A14" s="67" t="s">
        <v>33</v>
      </c>
      <c r="B14" s="29" t="s">
        <v>34</v>
      </c>
      <c r="C14" s="30" t="s">
        <v>30</v>
      </c>
      <c r="D14" s="68"/>
      <c r="E14" s="69">
        <f>ROUND(IFERROR(VLOOKUP(A14,'CAP1-3'!$A:$G,7,FALSE()),""),0)</f>
        <v>45434</v>
      </c>
      <c r="F14" s="69">
        <f t="shared" si="0"/>
        <v>0</v>
      </c>
    </row>
    <row r="15" spans="1:7">
      <c r="A15" s="67" t="s">
        <v>35</v>
      </c>
      <c r="B15" s="29" t="s">
        <v>36</v>
      </c>
      <c r="C15" s="30" t="s">
        <v>30</v>
      </c>
      <c r="D15" s="68"/>
      <c r="E15" s="69">
        <f>ROUND(IFERROR(VLOOKUP(A15,'CAP1-3'!$A:$G,7,FALSE()),""),0)</f>
        <v>51503</v>
      </c>
      <c r="F15" s="69">
        <f t="shared" si="0"/>
        <v>0</v>
      </c>
    </row>
    <row r="16" spans="1:7">
      <c r="A16" s="67" t="s">
        <v>37</v>
      </c>
      <c r="B16" s="29" t="s">
        <v>38</v>
      </c>
      <c r="C16" s="30" t="s">
        <v>30</v>
      </c>
      <c r="D16" s="68"/>
      <c r="E16" s="69">
        <f>ROUND(IFERROR(VLOOKUP(A16,'CAP1-3'!$A:$G,7,FALSE()),""),0)</f>
        <v>20582</v>
      </c>
      <c r="F16" s="69">
        <f t="shared" si="0"/>
        <v>0</v>
      </c>
    </row>
    <row r="17" spans="1:6">
      <c r="A17" s="67" t="s">
        <v>39</v>
      </c>
      <c r="B17" s="29" t="s">
        <v>40</v>
      </c>
      <c r="C17" s="30" t="s">
        <v>30</v>
      </c>
      <c r="D17" s="68"/>
      <c r="E17" s="69">
        <f>ROUND(IFERROR(VLOOKUP(A17,'CAP1-3'!$A:$G,7,FALSE()),""),0)</f>
        <v>150949</v>
      </c>
      <c r="F17" s="69">
        <f t="shared" si="0"/>
        <v>0</v>
      </c>
    </row>
    <row r="18" spans="1:6">
      <c r="A18" s="67" t="s">
        <v>41</v>
      </c>
      <c r="B18" s="29" t="s">
        <v>42</v>
      </c>
      <c r="C18" s="30" t="s">
        <v>30</v>
      </c>
      <c r="D18" s="68"/>
      <c r="E18" s="69">
        <f>ROUND(IFERROR(VLOOKUP(A18,'CAP1-3'!$A:$G,7,FALSE()),""),0)</f>
        <v>42810</v>
      </c>
      <c r="F18" s="69">
        <f t="shared" si="0"/>
        <v>0</v>
      </c>
    </row>
    <row r="19" spans="1:6">
      <c r="A19" s="67" t="s">
        <v>43</v>
      </c>
      <c r="B19" s="29" t="s">
        <v>44</v>
      </c>
      <c r="C19" s="30" t="s">
        <v>30</v>
      </c>
      <c r="D19" s="68"/>
      <c r="E19" s="69">
        <f>ROUND(IFERROR(VLOOKUP(A19,'CAP1-3'!$A:$G,7,FALSE()),""),0)</f>
        <v>427</v>
      </c>
      <c r="F19" s="69">
        <f t="shared" si="0"/>
        <v>0</v>
      </c>
    </row>
    <row r="20" spans="1:6">
      <c r="A20" s="67" t="s">
        <v>45</v>
      </c>
      <c r="B20" s="29" t="s">
        <v>46</v>
      </c>
      <c r="C20" s="30" t="s">
        <v>47</v>
      </c>
      <c r="D20" s="68"/>
      <c r="E20" s="69">
        <f>ROUND(IFERROR(VLOOKUP(A20,'CAP1-3'!$A:$G,7,FALSE()),""),0)</f>
        <v>1122053</v>
      </c>
      <c r="F20" s="69">
        <f t="shared" si="0"/>
        <v>0</v>
      </c>
    </row>
    <row r="21" spans="1:6">
      <c r="A21" s="67" t="s">
        <v>48</v>
      </c>
      <c r="B21" s="29" t="s">
        <v>49</v>
      </c>
      <c r="C21" s="30" t="s">
        <v>23</v>
      </c>
      <c r="D21" s="68"/>
      <c r="E21" s="69">
        <f>ROUND(IFERROR(VLOOKUP(A21,'CAP1-3'!$A:$G,7,FALSE()),""),0)</f>
        <v>54980</v>
      </c>
      <c r="F21" s="69">
        <f t="shared" si="0"/>
        <v>0</v>
      </c>
    </row>
    <row r="22" spans="1:6">
      <c r="A22" s="67" t="s">
        <v>50</v>
      </c>
      <c r="B22" s="29" t="s">
        <v>51</v>
      </c>
      <c r="C22" s="30" t="s">
        <v>52</v>
      </c>
      <c r="D22" s="68"/>
      <c r="E22" s="69">
        <f>ROUND(IFERROR(VLOOKUP(A22,'CAP1-3'!$A:$G,7,FALSE()),""),0)</f>
        <v>385346</v>
      </c>
      <c r="F22" s="69">
        <f t="shared" si="0"/>
        <v>0</v>
      </c>
    </row>
    <row r="23" spans="1:6">
      <c r="A23" s="67" t="s">
        <v>53</v>
      </c>
      <c r="B23" s="29" t="s">
        <v>54</v>
      </c>
      <c r="C23" s="30" t="s">
        <v>20</v>
      </c>
      <c r="D23" s="68"/>
      <c r="E23" s="69">
        <f>ROUND(IFERROR(VLOOKUP(A23,'CAP1-3'!$A:$G,7,FALSE()),""),0)</f>
        <v>135335</v>
      </c>
      <c r="F23" s="69">
        <f t="shared" si="0"/>
        <v>0</v>
      </c>
    </row>
    <row r="24" spans="1:6">
      <c r="A24" s="67" t="s">
        <v>55</v>
      </c>
      <c r="B24" s="29" t="s">
        <v>56</v>
      </c>
      <c r="C24" s="30" t="s">
        <v>30</v>
      </c>
      <c r="D24" s="68"/>
      <c r="E24" s="69">
        <f>ROUND(IFERROR(VLOOKUP(A24,'CAP1-3'!$A:$G,7,FALSE()),""),0)</f>
        <v>3303</v>
      </c>
      <c r="F24" s="69">
        <f t="shared" si="0"/>
        <v>0</v>
      </c>
    </row>
    <row r="25" spans="1:6">
      <c r="A25" s="67" t="s">
        <v>57</v>
      </c>
      <c r="B25" s="29" t="s">
        <v>58</v>
      </c>
      <c r="C25" s="30" t="s">
        <v>17</v>
      </c>
      <c r="D25" s="68"/>
      <c r="E25" s="69">
        <f>ROUND(IFERROR(VLOOKUP(A25,'CAP1-3'!$A:$G,7,FALSE()),""),0)</f>
        <v>14671568</v>
      </c>
      <c r="F25" s="69">
        <f t="shared" si="0"/>
        <v>0</v>
      </c>
    </row>
    <row r="26" spans="1:6">
      <c r="A26" s="67" t="s">
        <v>59</v>
      </c>
      <c r="B26" s="29" t="s">
        <v>60</v>
      </c>
      <c r="C26" s="30" t="s">
        <v>17</v>
      </c>
      <c r="D26" s="68"/>
      <c r="E26" s="69">
        <f>ROUND(IFERROR(VLOOKUP(A26,'CAP1-3'!$A:$G,7,FALSE()),""),0)</f>
        <v>22007353</v>
      </c>
      <c r="F26" s="69">
        <f t="shared" si="0"/>
        <v>0</v>
      </c>
    </row>
    <row r="27" spans="1:6">
      <c r="A27" s="67" t="s">
        <v>61</v>
      </c>
      <c r="B27" s="29" t="s">
        <v>62</v>
      </c>
      <c r="C27" s="30" t="s">
        <v>30</v>
      </c>
      <c r="D27" s="68"/>
      <c r="E27" s="69">
        <f>ROUND(IFERROR(VLOOKUP(A27,'CAP1-3'!$A:$G,7,FALSE()),""),0)</f>
        <v>17928</v>
      </c>
      <c r="F27" s="69">
        <f t="shared" si="0"/>
        <v>0</v>
      </c>
    </row>
    <row r="28" spans="1:6">
      <c r="A28" s="67" t="s">
        <v>63</v>
      </c>
      <c r="B28" s="29" t="s">
        <v>64</v>
      </c>
      <c r="C28" s="30" t="s">
        <v>23</v>
      </c>
      <c r="D28" s="68"/>
      <c r="E28" s="69">
        <f>ROUND(IFERROR(VLOOKUP(A28,'CAP1-3'!$A:$G,7,FALSE()),""),0)</f>
        <v>54886</v>
      </c>
      <c r="F28" s="69">
        <f t="shared" si="0"/>
        <v>0</v>
      </c>
    </row>
    <row r="29" spans="1:6">
      <c r="A29" s="67" t="s">
        <v>65</v>
      </c>
      <c r="B29" s="29" t="s">
        <v>66</v>
      </c>
      <c r="C29" s="30" t="s">
        <v>67</v>
      </c>
      <c r="D29" s="68"/>
      <c r="E29" s="69">
        <f>ROUND(IFERROR(VLOOKUP(A29,'CAP1-3'!$A:$G,7,FALSE()),""),0)</f>
        <v>63191</v>
      </c>
      <c r="F29" s="69">
        <f t="shared" si="0"/>
        <v>0</v>
      </c>
    </row>
    <row r="30" spans="1:6">
      <c r="A30" s="67" t="s">
        <v>68</v>
      </c>
      <c r="B30" s="29" t="s">
        <v>69</v>
      </c>
      <c r="C30" s="30" t="s">
        <v>20</v>
      </c>
      <c r="D30" s="68"/>
      <c r="E30" s="69">
        <f>ROUND(IFERROR(VLOOKUP(A30,'CAP1-3'!$A:$G,7,FALSE()),""),0)</f>
        <v>4775</v>
      </c>
      <c r="F30" s="69">
        <f t="shared" si="0"/>
        <v>0</v>
      </c>
    </row>
    <row r="31" spans="1:6">
      <c r="A31" s="67" t="s">
        <v>70</v>
      </c>
      <c r="B31" s="29" t="s">
        <v>71</v>
      </c>
      <c r="C31" s="30" t="s">
        <v>20</v>
      </c>
      <c r="D31" s="68"/>
      <c r="E31" s="69">
        <f>ROUND(IFERROR(VLOOKUP(A31,'CAP1-3'!$A:$G,7,FALSE()),""),0)</f>
        <v>2286</v>
      </c>
      <c r="F31" s="69">
        <f t="shared" si="0"/>
        <v>0</v>
      </c>
    </row>
    <row r="32" spans="1:6">
      <c r="A32" s="67" t="s">
        <v>72</v>
      </c>
      <c r="B32" s="29" t="s">
        <v>73</v>
      </c>
      <c r="C32" s="30" t="s">
        <v>20</v>
      </c>
      <c r="D32" s="68"/>
      <c r="E32" s="69">
        <f>ROUND(IFERROR(VLOOKUP(A32,'CAP1-3'!$A:$G,7,FALSE()),""),0)</f>
        <v>2538</v>
      </c>
      <c r="F32" s="69">
        <f t="shared" si="0"/>
        <v>0</v>
      </c>
    </row>
    <row r="33" spans="1:6">
      <c r="A33" s="67" t="s">
        <v>74</v>
      </c>
      <c r="B33" s="29" t="s">
        <v>75</v>
      </c>
      <c r="C33" s="30" t="s">
        <v>20</v>
      </c>
      <c r="D33" s="68"/>
      <c r="E33" s="69">
        <f>ROUND(IFERROR(VLOOKUP(A33,'CAP1-3'!$A:$G,7,FALSE()),""),0)</f>
        <v>2115</v>
      </c>
      <c r="F33" s="69">
        <f t="shared" si="0"/>
        <v>0</v>
      </c>
    </row>
    <row r="34" spans="1:6">
      <c r="A34" s="67" t="s">
        <v>76</v>
      </c>
      <c r="B34" s="29" t="s">
        <v>77</v>
      </c>
      <c r="C34" s="30" t="s">
        <v>20</v>
      </c>
      <c r="D34" s="68"/>
      <c r="E34" s="69">
        <f>ROUND(IFERROR(VLOOKUP(A34,'CAP1-3'!$A:$G,7,FALSE()),""),0)</f>
        <v>7293</v>
      </c>
      <c r="F34" s="69">
        <f t="shared" si="0"/>
        <v>0</v>
      </c>
    </row>
    <row r="35" spans="1:6">
      <c r="A35" s="67" t="s">
        <v>78</v>
      </c>
      <c r="B35" s="71" t="s">
        <v>79</v>
      </c>
      <c r="C35" s="30" t="s">
        <v>20</v>
      </c>
      <c r="D35" s="68"/>
      <c r="E35" s="69">
        <f>ROUND(IFERROR(VLOOKUP(A35,'CAP1-3'!$A:$G,7,FALSE()),""),0)</f>
        <v>8575</v>
      </c>
      <c r="F35" s="69">
        <f t="shared" si="0"/>
        <v>0</v>
      </c>
    </row>
    <row r="36" spans="1:6">
      <c r="A36" s="67" t="s">
        <v>80</v>
      </c>
      <c r="B36" s="29" t="s">
        <v>81</v>
      </c>
      <c r="C36" s="30" t="s">
        <v>30</v>
      </c>
      <c r="D36" s="68"/>
      <c r="E36" s="69">
        <f>ROUND(IFERROR(VLOOKUP(A36,'CAP1-3'!$A:$G,7,FALSE()),""),0)</f>
        <v>4881</v>
      </c>
      <c r="F36" s="69">
        <f t="shared" si="0"/>
        <v>0</v>
      </c>
    </row>
    <row r="37" spans="1:6">
      <c r="A37" s="67" t="s">
        <v>82</v>
      </c>
      <c r="B37" s="71" t="s">
        <v>83</v>
      </c>
      <c r="C37" s="30" t="s">
        <v>30</v>
      </c>
      <c r="D37" s="68"/>
      <c r="E37" s="69">
        <f>ROUND(IFERROR(VLOOKUP(A37,'CAP1-3'!$A:$G,7,FALSE()),""),0)</f>
        <v>9191</v>
      </c>
      <c r="F37" s="69">
        <f t="shared" si="0"/>
        <v>0</v>
      </c>
    </row>
    <row r="38" spans="1:6">
      <c r="A38" s="67" t="s">
        <v>84</v>
      </c>
      <c r="B38" s="71" t="s">
        <v>85</v>
      </c>
      <c r="C38" s="30" t="s">
        <v>23</v>
      </c>
      <c r="D38" s="68"/>
      <c r="E38" s="69">
        <f>ROUND(IFERROR(VLOOKUP(A38,'CAP1-3'!$A:$G,7,FALSE()),""),0)</f>
        <v>374345</v>
      </c>
      <c r="F38" s="69">
        <f t="shared" si="0"/>
        <v>0</v>
      </c>
    </row>
    <row r="39" spans="1:6">
      <c r="A39" s="67" t="s">
        <v>86</v>
      </c>
      <c r="B39" s="72" t="s">
        <v>87</v>
      </c>
      <c r="C39" s="73" t="s">
        <v>23</v>
      </c>
      <c r="D39" s="68"/>
      <c r="E39" s="69">
        <f>ROUND(IFERROR(VLOOKUP(A39,'CAP1-3'!$A:$G,7,FALSE()),""),0)</f>
        <v>541598</v>
      </c>
      <c r="F39" s="69">
        <f t="shared" si="0"/>
        <v>0</v>
      </c>
    </row>
    <row r="40" spans="1:6">
      <c r="A40" s="67" t="s">
        <v>88</v>
      </c>
      <c r="B40" s="72" t="s">
        <v>89</v>
      </c>
      <c r="C40" s="73" t="s">
        <v>23</v>
      </c>
      <c r="D40" s="68"/>
      <c r="E40" s="69">
        <f>ROUND(IFERROR(VLOOKUP(A40,'CAP1-3'!$A:$G,7,FALSE()),""),0)</f>
        <v>134752</v>
      </c>
      <c r="F40" s="69">
        <f t="shared" si="0"/>
        <v>0</v>
      </c>
    </row>
    <row r="41" spans="1:6">
      <c r="A41" s="67" t="s">
        <v>90</v>
      </c>
      <c r="B41" s="29" t="s">
        <v>91</v>
      </c>
      <c r="C41" s="30" t="s">
        <v>30</v>
      </c>
      <c r="D41" s="68"/>
      <c r="E41" s="69">
        <f>ROUND(IFERROR(VLOOKUP(A41,'CAP1-3'!$A:$G,7,FALSE()),""),0)</f>
        <v>22995</v>
      </c>
      <c r="F41" s="69">
        <f t="shared" si="0"/>
        <v>0</v>
      </c>
    </row>
    <row r="42" spans="1:6">
      <c r="A42" s="67" t="s">
        <v>92</v>
      </c>
      <c r="B42" s="29" t="s">
        <v>93</v>
      </c>
      <c r="C42" s="30" t="s">
        <v>30</v>
      </c>
      <c r="D42" s="68"/>
      <c r="E42" s="69">
        <f>ROUND(IFERROR(VLOOKUP(A42,'CAP1-3'!$A:$G,7,FALSE()),""),0)</f>
        <v>56217</v>
      </c>
      <c r="F42" s="69">
        <f t="shared" si="0"/>
        <v>0</v>
      </c>
    </row>
    <row r="43" spans="1:6">
      <c r="A43" s="67" t="s">
        <v>94</v>
      </c>
      <c r="B43" s="71" t="s">
        <v>95</v>
      </c>
      <c r="C43" s="30" t="s">
        <v>30</v>
      </c>
      <c r="D43" s="68"/>
      <c r="E43" s="69">
        <f>ROUND(IFERROR(VLOOKUP(A43,'CAP1-3'!$A:$G,7,FALSE()),""),0)</f>
        <v>6346</v>
      </c>
      <c r="F43" s="69">
        <f t="shared" si="0"/>
        <v>0</v>
      </c>
    </row>
    <row r="44" spans="1:6">
      <c r="A44" s="67" t="s">
        <v>96</v>
      </c>
      <c r="B44" s="72" t="s">
        <v>97</v>
      </c>
      <c r="C44" s="73" t="s">
        <v>23</v>
      </c>
      <c r="D44" s="68"/>
      <c r="E44" s="69">
        <f>ROUND(IFERROR(VLOOKUP(A44,'CAP1-3'!$A:$G,7,FALSE()),""),0)</f>
        <v>745504</v>
      </c>
      <c r="F44" s="69">
        <f t="shared" si="0"/>
        <v>0</v>
      </c>
    </row>
    <row r="45" spans="1:6">
      <c r="A45" s="67" t="s">
        <v>98</v>
      </c>
      <c r="B45" s="72" t="s">
        <v>99</v>
      </c>
      <c r="C45" s="73" t="s">
        <v>23</v>
      </c>
      <c r="D45" s="68"/>
      <c r="E45" s="69">
        <f>ROUND(IFERROR(VLOOKUP(A45,'CAP1-3'!$A:$G,7,FALSE()),""),0)</f>
        <v>466360</v>
      </c>
      <c r="F45" s="69">
        <f t="shared" si="0"/>
        <v>0</v>
      </c>
    </row>
    <row r="46" spans="1:6">
      <c r="A46" s="67" t="s">
        <v>100</v>
      </c>
      <c r="B46" s="72" t="s">
        <v>101</v>
      </c>
      <c r="C46" s="73" t="s">
        <v>23</v>
      </c>
      <c r="D46" s="68"/>
      <c r="E46" s="69">
        <f>ROUND(IFERROR(VLOOKUP(A46,'CAP1-3'!$A:$G,7,FALSE()),""),0)</f>
        <v>373157</v>
      </c>
      <c r="F46" s="69">
        <f t="shared" si="0"/>
        <v>0</v>
      </c>
    </row>
    <row r="47" spans="1:6">
      <c r="A47" s="67" t="s">
        <v>102</v>
      </c>
      <c r="B47" s="72" t="s">
        <v>103</v>
      </c>
      <c r="C47" s="73" t="s">
        <v>23</v>
      </c>
      <c r="D47" s="68"/>
      <c r="E47" s="69">
        <f>ROUND(IFERROR(VLOOKUP(A47,'CAP1-3'!$A:$G,7,FALSE()),""),0)</f>
        <v>15994</v>
      </c>
      <c r="F47" s="69">
        <f t="shared" si="0"/>
        <v>0</v>
      </c>
    </row>
    <row r="48" spans="1:6">
      <c r="A48" s="67" t="s">
        <v>104</v>
      </c>
      <c r="B48" s="72" t="s">
        <v>105</v>
      </c>
      <c r="C48" s="73" t="s">
        <v>20</v>
      </c>
      <c r="D48" s="68"/>
      <c r="E48" s="69">
        <f>ROUND(IFERROR(VLOOKUP(A48,'CAP1-3'!$A:$G,7,FALSE()),""),0)</f>
        <v>205569</v>
      </c>
      <c r="F48" s="69">
        <f t="shared" si="0"/>
        <v>0</v>
      </c>
    </row>
    <row r="49" spans="1:7">
      <c r="A49" s="67" t="s">
        <v>106</v>
      </c>
      <c r="B49" s="71" t="s">
        <v>107</v>
      </c>
      <c r="C49" s="30" t="s">
        <v>23</v>
      </c>
      <c r="D49" s="68"/>
      <c r="E49" s="69">
        <f>ROUND(IFERROR(VLOOKUP(A49,'CAP1-3'!$A:$G,7,FALSE()),""),0)</f>
        <v>3983</v>
      </c>
      <c r="F49" s="69">
        <f t="shared" si="0"/>
        <v>0</v>
      </c>
    </row>
    <row r="50" spans="1:7" s="74" customFormat="1">
      <c r="A50" s="60" t="s">
        <v>108</v>
      </c>
      <c r="B50" s="61" t="s">
        <v>109</v>
      </c>
      <c r="C50" s="62"/>
      <c r="D50" s="63"/>
      <c r="E50" s="64"/>
      <c r="F50" s="65">
        <f>SUM(F51:F99)</f>
        <v>0</v>
      </c>
      <c r="G50" s="66">
        <f>IFERROR(F50/$F$1279,"")</f>
        <v>0</v>
      </c>
    </row>
    <row r="51" spans="1:7">
      <c r="A51" s="67" t="s">
        <v>110</v>
      </c>
      <c r="B51" s="72" t="s">
        <v>111</v>
      </c>
      <c r="C51" s="73" t="s">
        <v>20</v>
      </c>
      <c r="D51" s="68"/>
      <c r="E51" s="69">
        <f>ROUND(IFERROR(VLOOKUP(A51,'CAP1-3'!$A:$G,7,FALSE()),""),0)</f>
        <v>16302</v>
      </c>
      <c r="F51" s="69">
        <f t="shared" ref="F51:F82" si="1">IFERROR(E51*D51,"")</f>
        <v>0</v>
      </c>
    </row>
    <row r="52" spans="1:7">
      <c r="A52" s="67" t="s">
        <v>112</v>
      </c>
      <c r="B52" s="72" t="s">
        <v>113</v>
      </c>
      <c r="C52" s="73" t="s">
        <v>20</v>
      </c>
      <c r="D52" s="68"/>
      <c r="E52" s="69">
        <f>ROUND(IFERROR(VLOOKUP(A52,'CAP1-3'!$A:$G,7,FALSE()),""),0)</f>
        <v>7236</v>
      </c>
      <c r="F52" s="69">
        <f t="shared" si="1"/>
        <v>0</v>
      </c>
    </row>
    <row r="53" spans="1:7">
      <c r="A53" s="67" t="s">
        <v>114</v>
      </c>
      <c r="B53" s="72" t="s">
        <v>115</v>
      </c>
      <c r="C53" s="73" t="s">
        <v>30</v>
      </c>
      <c r="D53" s="68"/>
      <c r="E53" s="69">
        <f>ROUND(IFERROR(VLOOKUP(A53,'CAP1-3'!$A:$G,7,FALSE()),""),0)</f>
        <v>39768</v>
      </c>
      <c r="F53" s="69">
        <f t="shared" si="1"/>
        <v>0</v>
      </c>
    </row>
    <row r="54" spans="1:7" ht="25.5">
      <c r="A54" s="67" t="s">
        <v>116</v>
      </c>
      <c r="B54" s="72" t="s">
        <v>117</v>
      </c>
      <c r="C54" s="73" t="s">
        <v>20</v>
      </c>
      <c r="D54" s="68"/>
      <c r="E54" s="69">
        <f>ROUND(IFERROR(VLOOKUP(A54,'CAP1-3'!$A:$G,7,FALSE()),""),0)</f>
        <v>86250</v>
      </c>
      <c r="F54" s="69">
        <f t="shared" si="1"/>
        <v>0</v>
      </c>
    </row>
    <row r="55" spans="1:7">
      <c r="A55" s="67" t="s">
        <v>118</v>
      </c>
      <c r="B55" s="72" t="s">
        <v>119</v>
      </c>
      <c r="C55" s="73" t="s">
        <v>52</v>
      </c>
      <c r="D55" s="68"/>
      <c r="E55" s="69">
        <f>ROUND(IFERROR(VLOOKUP(A55,'CAP1-3'!$A:$G,7,FALSE()),""),0)</f>
        <v>285383</v>
      </c>
      <c r="F55" s="69">
        <f t="shared" si="1"/>
        <v>0</v>
      </c>
    </row>
    <row r="56" spans="1:7">
      <c r="A56" s="67" t="s">
        <v>120</v>
      </c>
      <c r="B56" s="72" t="s">
        <v>121</v>
      </c>
      <c r="C56" s="73" t="s">
        <v>30</v>
      </c>
      <c r="D56" s="68"/>
      <c r="E56" s="69">
        <f>ROUND(IFERROR(VLOOKUP(A56,'CAP1-3'!$A:$G,7,FALSE()),""),0)</f>
        <v>171230</v>
      </c>
      <c r="F56" s="69">
        <f t="shared" si="1"/>
        <v>0</v>
      </c>
    </row>
    <row r="57" spans="1:7">
      <c r="A57" s="67" t="s">
        <v>122</v>
      </c>
      <c r="B57" s="72" t="s">
        <v>123</v>
      </c>
      <c r="C57" s="73" t="s">
        <v>23</v>
      </c>
      <c r="D57" s="68"/>
      <c r="E57" s="69">
        <f>ROUND(IFERROR(VLOOKUP(A57,'CAP1-3'!$A:$G,7,FALSE()),""),0)</f>
        <v>211535</v>
      </c>
      <c r="F57" s="69">
        <f t="shared" si="1"/>
        <v>0</v>
      </c>
    </row>
    <row r="58" spans="1:7">
      <c r="A58" s="67" t="s">
        <v>124</v>
      </c>
      <c r="B58" s="72" t="s">
        <v>125</v>
      </c>
      <c r="C58" s="73" t="s">
        <v>52</v>
      </c>
      <c r="D58" s="68"/>
      <c r="E58" s="69">
        <f>ROUND(IFERROR(VLOOKUP(A58,'CAP1-3'!$A:$G,7,FALSE()),""),0)</f>
        <v>253841</v>
      </c>
      <c r="F58" s="69">
        <f t="shared" si="1"/>
        <v>0</v>
      </c>
    </row>
    <row r="59" spans="1:7">
      <c r="A59" s="67" t="s">
        <v>126</v>
      </c>
      <c r="B59" s="72" t="s">
        <v>127</v>
      </c>
      <c r="C59" s="73" t="s">
        <v>52</v>
      </c>
      <c r="D59" s="68"/>
      <c r="E59" s="69">
        <f>ROUND(IFERROR(VLOOKUP(A59,'CAP1-3'!$A:$G,7,FALSE()),""),0)</f>
        <v>302170</v>
      </c>
      <c r="F59" s="69">
        <f t="shared" si="1"/>
        <v>0</v>
      </c>
    </row>
    <row r="60" spans="1:7">
      <c r="A60" s="67" t="s">
        <v>128</v>
      </c>
      <c r="B60" s="72" t="s">
        <v>129</v>
      </c>
      <c r="C60" s="73" t="s">
        <v>23</v>
      </c>
      <c r="D60" s="68"/>
      <c r="E60" s="69">
        <f>ROUND(IFERROR(VLOOKUP(A60,'CAP1-3'!$A:$G,7,FALSE()),""),0)</f>
        <v>142692</v>
      </c>
      <c r="F60" s="69">
        <f t="shared" si="1"/>
        <v>0</v>
      </c>
    </row>
    <row r="61" spans="1:7">
      <c r="A61" s="67" t="s">
        <v>130</v>
      </c>
      <c r="B61" s="72" t="s">
        <v>131</v>
      </c>
      <c r="C61" s="73" t="s">
        <v>20</v>
      </c>
      <c r="D61" s="68"/>
      <c r="E61" s="69">
        <f>ROUND(IFERROR(VLOOKUP(A61,'CAP1-3'!$A:$G,7,FALSE()),""),0)</f>
        <v>12226</v>
      </c>
      <c r="F61" s="69">
        <f t="shared" si="1"/>
        <v>0</v>
      </c>
    </row>
    <row r="62" spans="1:7">
      <c r="A62" s="67" t="s">
        <v>132</v>
      </c>
      <c r="B62" s="72" t="s">
        <v>133</v>
      </c>
      <c r="C62" s="73" t="s">
        <v>20</v>
      </c>
      <c r="D62" s="68"/>
      <c r="E62" s="69">
        <f>ROUND(IFERROR(VLOOKUP(A62,'CAP1-3'!$A:$G,7,FALSE()),""),0)</f>
        <v>7192</v>
      </c>
      <c r="F62" s="69">
        <f t="shared" si="1"/>
        <v>0</v>
      </c>
    </row>
    <row r="63" spans="1:7">
      <c r="A63" s="67" t="s">
        <v>134</v>
      </c>
      <c r="B63" s="72" t="s">
        <v>135</v>
      </c>
      <c r="C63" s="73" t="s">
        <v>20</v>
      </c>
      <c r="D63" s="68"/>
      <c r="E63" s="69">
        <f>ROUND(IFERROR(VLOOKUP(A63,'CAP1-3'!$A:$G,7,FALSE()),""),0)</f>
        <v>9432</v>
      </c>
      <c r="F63" s="69">
        <f t="shared" si="1"/>
        <v>0</v>
      </c>
    </row>
    <row r="64" spans="1:7">
      <c r="A64" s="67" t="s">
        <v>136</v>
      </c>
      <c r="B64" s="72" t="s">
        <v>137</v>
      </c>
      <c r="C64" s="73" t="s">
        <v>20</v>
      </c>
      <c r="D64" s="68"/>
      <c r="E64" s="69">
        <f>ROUND(IFERROR(VLOOKUP(A64,'CAP1-3'!$A:$G,7,FALSE()),""),0)</f>
        <v>9238</v>
      </c>
      <c r="F64" s="69">
        <f t="shared" si="1"/>
        <v>0</v>
      </c>
    </row>
    <row r="65" spans="1:6">
      <c r="A65" s="67" t="s">
        <v>138</v>
      </c>
      <c r="B65" s="72" t="s">
        <v>139</v>
      </c>
      <c r="C65" s="73" t="s">
        <v>20</v>
      </c>
      <c r="D65" s="68"/>
      <c r="E65" s="69">
        <f>ROUND(IFERROR(VLOOKUP(A65,'CAP1-3'!$A:$G,7,FALSE()),""),0)</f>
        <v>11085</v>
      </c>
      <c r="F65" s="69">
        <f t="shared" si="1"/>
        <v>0</v>
      </c>
    </row>
    <row r="66" spans="1:6">
      <c r="A66" s="67" t="s">
        <v>140</v>
      </c>
      <c r="B66" s="72" t="s">
        <v>141</v>
      </c>
      <c r="C66" s="73" t="s">
        <v>52</v>
      </c>
      <c r="D66" s="68"/>
      <c r="E66" s="69">
        <f>ROUND(IFERROR(VLOOKUP(A66,'CAP1-3'!$A:$G,7,FALSE()),""),0)</f>
        <v>273318</v>
      </c>
      <c r="F66" s="69">
        <f t="shared" si="1"/>
        <v>0</v>
      </c>
    </row>
    <row r="67" spans="1:6">
      <c r="A67" s="67" t="s">
        <v>142</v>
      </c>
      <c r="B67" s="72" t="s">
        <v>143</v>
      </c>
      <c r="C67" s="73" t="s">
        <v>20</v>
      </c>
      <c r="D67" s="68"/>
      <c r="E67" s="69">
        <f>ROUND(IFERROR(VLOOKUP(A67,'CAP1-3'!$A:$G,7,FALSE()),""),0)</f>
        <v>20788</v>
      </c>
      <c r="F67" s="69">
        <f t="shared" si="1"/>
        <v>0</v>
      </c>
    </row>
    <row r="68" spans="1:6">
      <c r="A68" s="67" t="s">
        <v>144</v>
      </c>
      <c r="B68" s="72" t="s">
        <v>145</v>
      </c>
      <c r="C68" s="73" t="s">
        <v>20</v>
      </c>
      <c r="D68" s="68"/>
      <c r="E68" s="69">
        <f>ROUND(IFERROR(VLOOKUP(A68,'CAP1-3'!$A:$G,7,FALSE()),""),0)</f>
        <v>24945</v>
      </c>
      <c r="F68" s="69">
        <f t="shared" si="1"/>
        <v>0</v>
      </c>
    </row>
    <row r="69" spans="1:6">
      <c r="A69" s="67" t="s">
        <v>146</v>
      </c>
      <c r="B69" s="72" t="s">
        <v>147</v>
      </c>
      <c r="C69" s="73" t="s">
        <v>20</v>
      </c>
      <c r="D69" s="68"/>
      <c r="E69" s="69">
        <f>ROUND(IFERROR(VLOOKUP(A69,'CAP1-3'!$A:$G,7,FALSE()),""),0)</f>
        <v>6346</v>
      </c>
      <c r="F69" s="69">
        <f t="shared" si="1"/>
        <v>0</v>
      </c>
    </row>
    <row r="70" spans="1:6">
      <c r="A70" s="67" t="s">
        <v>148</v>
      </c>
      <c r="B70" s="72" t="s">
        <v>149</v>
      </c>
      <c r="C70" s="73" t="s">
        <v>20</v>
      </c>
      <c r="D70" s="68"/>
      <c r="E70" s="69">
        <f>ROUND(IFERROR(VLOOKUP(A70,'CAP1-3'!$A:$G,7,FALSE()),""),0)</f>
        <v>21153</v>
      </c>
      <c r="F70" s="69">
        <f t="shared" si="1"/>
        <v>0</v>
      </c>
    </row>
    <row r="71" spans="1:6">
      <c r="A71" s="67" t="s">
        <v>150</v>
      </c>
      <c r="B71" s="72" t="s">
        <v>151</v>
      </c>
      <c r="C71" s="73" t="s">
        <v>52</v>
      </c>
      <c r="D71" s="68"/>
      <c r="E71" s="69">
        <f>ROUND(IFERROR(VLOOKUP(A71,'CAP1-3'!$A:$G,7,FALSE()),""),0)</f>
        <v>168908</v>
      </c>
      <c r="F71" s="69">
        <f t="shared" si="1"/>
        <v>0</v>
      </c>
    </row>
    <row r="72" spans="1:6">
      <c r="A72" s="67" t="s">
        <v>152</v>
      </c>
      <c r="B72" s="72" t="s">
        <v>153</v>
      </c>
      <c r="C72" s="73" t="s">
        <v>20</v>
      </c>
      <c r="D72" s="68"/>
      <c r="E72" s="69">
        <f>ROUND(IFERROR(VLOOKUP(A72,'CAP1-3'!$A:$G,7,FALSE()),""),0)</f>
        <v>20508</v>
      </c>
      <c r="F72" s="69">
        <f t="shared" si="1"/>
        <v>0</v>
      </c>
    </row>
    <row r="73" spans="1:6">
      <c r="A73" s="67" t="s">
        <v>154</v>
      </c>
      <c r="B73" s="72" t="s">
        <v>155</v>
      </c>
      <c r="C73" s="73" t="s">
        <v>20</v>
      </c>
      <c r="D73" s="68"/>
      <c r="E73" s="69">
        <f>ROUND(IFERROR(VLOOKUP(A73,'CAP1-3'!$A:$G,7,FALSE()),""),0)</f>
        <v>6346</v>
      </c>
      <c r="F73" s="69">
        <f t="shared" si="1"/>
        <v>0</v>
      </c>
    </row>
    <row r="74" spans="1:6">
      <c r="A74" s="67" t="s">
        <v>156</v>
      </c>
      <c r="B74" s="72" t="s">
        <v>157</v>
      </c>
      <c r="C74" s="73" t="s">
        <v>30</v>
      </c>
      <c r="D74" s="68"/>
      <c r="E74" s="69">
        <f>ROUND(IFERROR(VLOOKUP(A74,'CAP1-3'!$A:$G,7,FALSE()),""),0)</f>
        <v>7051</v>
      </c>
      <c r="F74" s="69">
        <f t="shared" si="1"/>
        <v>0</v>
      </c>
    </row>
    <row r="75" spans="1:6">
      <c r="A75" s="67" t="s">
        <v>158</v>
      </c>
      <c r="B75" s="72" t="s">
        <v>159</v>
      </c>
      <c r="C75" s="73" t="s">
        <v>30</v>
      </c>
      <c r="D75" s="68"/>
      <c r="E75" s="69">
        <f>ROUND(IFERROR(VLOOKUP(A75,'CAP1-3'!$A:$G,7,FALSE()),""),0)</f>
        <v>10577</v>
      </c>
      <c r="F75" s="69">
        <f t="shared" si="1"/>
        <v>0</v>
      </c>
    </row>
    <row r="76" spans="1:6">
      <c r="A76" s="67" t="s">
        <v>160</v>
      </c>
      <c r="B76" s="72" t="s">
        <v>161</v>
      </c>
      <c r="C76" s="73" t="s">
        <v>23</v>
      </c>
      <c r="D76" s="68"/>
      <c r="E76" s="69">
        <f>ROUND(IFERROR(VLOOKUP(A76,'CAP1-3'!$A:$G,7,FALSE()),""),0)</f>
        <v>181315</v>
      </c>
      <c r="F76" s="69">
        <f t="shared" si="1"/>
        <v>0</v>
      </c>
    </row>
    <row r="77" spans="1:6">
      <c r="A77" s="67" t="s">
        <v>162</v>
      </c>
      <c r="B77" s="72" t="s">
        <v>163</v>
      </c>
      <c r="C77" s="73" t="s">
        <v>52</v>
      </c>
      <c r="D77" s="68"/>
      <c r="E77" s="69">
        <f>ROUND(IFERROR(VLOOKUP(A77,'CAP1-3'!$A:$G,7,FALSE()),""),0)</f>
        <v>311533</v>
      </c>
      <c r="F77" s="69">
        <f t="shared" si="1"/>
        <v>0</v>
      </c>
    </row>
    <row r="78" spans="1:6">
      <c r="A78" s="67" t="s">
        <v>164</v>
      </c>
      <c r="B78" s="72" t="s">
        <v>165</v>
      </c>
      <c r="C78" s="73" t="s">
        <v>52</v>
      </c>
      <c r="D78" s="68"/>
      <c r="E78" s="69">
        <f>ROUND(IFERROR(VLOOKUP(A78,'CAP1-3'!$A:$G,7,FALSE()),""),0)</f>
        <v>12692</v>
      </c>
      <c r="F78" s="69">
        <f t="shared" si="1"/>
        <v>0</v>
      </c>
    </row>
    <row r="79" spans="1:6">
      <c r="A79" s="67" t="s">
        <v>166</v>
      </c>
      <c r="B79" s="72" t="s">
        <v>167</v>
      </c>
      <c r="C79" s="73" t="s">
        <v>20</v>
      </c>
      <c r="D79" s="68"/>
      <c r="E79" s="69">
        <f>ROUND(IFERROR(VLOOKUP(A79,'CAP1-3'!$A:$G,7,FALSE()),""),0)</f>
        <v>4760</v>
      </c>
      <c r="F79" s="69">
        <f t="shared" si="1"/>
        <v>0</v>
      </c>
    </row>
    <row r="80" spans="1:6">
      <c r="A80" s="67" t="s">
        <v>168</v>
      </c>
      <c r="B80" s="72" t="s">
        <v>169</v>
      </c>
      <c r="C80" s="73" t="s">
        <v>23</v>
      </c>
      <c r="D80" s="68"/>
      <c r="E80" s="69">
        <f>ROUND(IFERROR(VLOOKUP(A80,'CAP1-3'!$A:$G,7,FALSE()),""),0)</f>
        <v>23974</v>
      </c>
      <c r="F80" s="69">
        <f t="shared" si="1"/>
        <v>0</v>
      </c>
    </row>
    <row r="81" spans="1:6">
      <c r="A81" s="67" t="s">
        <v>170</v>
      </c>
      <c r="B81" s="72" t="s">
        <v>171</v>
      </c>
      <c r="C81" s="73" t="s">
        <v>30</v>
      </c>
      <c r="D81" s="68"/>
      <c r="E81" s="69">
        <f>ROUND(IFERROR(VLOOKUP(A81,'CAP1-3'!$A:$G,7,FALSE()),""),0)</f>
        <v>5775</v>
      </c>
      <c r="F81" s="69">
        <f t="shared" si="1"/>
        <v>0</v>
      </c>
    </row>
    <row r="82" spans="1:6" ht="25.5">
      <c r="A82" s="67" t="s">
        <v>172</v>
      </c>
      <c r="B82" s="72" t="s">
        <v>173</v>
      </c>
      <c r="C82" s="73" t="s">
        <v>30</v>
      </c>
      <c r="D82" s="68"/>
      <c r="E82" s="69">
        <f>ROUND(IFERROR(VLOOKUP(A82,'CAP1-3'!$A:$G,7,FALSE()),""),0)</f>
        <v>76152</v>
      </c>
      <c r="F82" s="69">
        <f t="shared" si="1"/>
        <v>0</v>
      </c>
    </row>
    <row r="83" spans="1:6">
      <c r="A83" s="67" t="s">
        <v>174</v>
      </c>
      <c r="B83" s="72" t="s">
        <v>175</v>
      </c>
      <c r="C83" s="73" t="s">
        <v>30</v>
      </c>
      <c r="D83" s="68"/>
      <c r="E83" s="69">
        <f>ROUND(IFERROR(VLOOKUP(A83,'CAP1-3'!$A:$G,7,FALSE()),""),0)</f>
        <v>8038</v>
      </c>
      <c r="F83" s="69">
        <f t="shared" ref="F83:F99" si="2">IFERROR(E83*D83,"")</f>
        <v>0</v>
      </c>
    </row>
    <row r="84" spans="1:6">
      <c r="A84" s="67" t="s">
        <v>176</v>
      </c>
      <c r="B84" s="72" t="s">
        <v>177</v>
      </c>
      <c r="C84" s="73" t="s">
        <v>20</v>
      </c>
      <c r="D84" s="68"/>
      <c r="E84" s="69">
        <f>ROUND(IFERROR(VLOOKUP(A84,'CAP1-3'!$A:$G,7,FALSE()),""),0)</f>
        <v>12597</v>
      </c>
      <c r="F84" s="69">
        <f t="shared" si="2"/>
        <v>0</v>
      </c>
    </row>
    <row r="85" spans="1:6">
      <c r="A85" s="67" t="s">
        <v>178</v>
      </c>
      <c r="B85" s="72" t="s">
        <v>179</v>
      </c>
      <c r="C85" s="73" t="s">
        <v>20</v>
      </c>
      <c r="D85" s="68"/>
      <c r="E85" s="69">
        <f>ROUND(IFERROR(VLOOKUP(A85,'CAP1-3'!$A:$G,7,FALSE()),""),0)</f>
        <v>4543</v>
      </c>
      <c r="F85" s="69">
        <f t="shared" si="2"/>
        <v>0</v>
      </c>
    </row>
    <row r="86" spans="1:6">
      <c r="A86" s="67" t="s">
        <v>180</v>
      </c>
      <c r="B86" s="72" t="s">
        <v>181</v>
      </c>
      <c r="C86" s="73" t="s">
        <v>30</v>
      </c>
      <c r="D86" s="68"/>
      <c r="E86" s="69">
        <f>ROUND(IFERROR(VLOOKUP(A86,'CAP1-3'!$A:$G,7,FALSE()),""),0)</f>
        <v>6733</v>
      </c>
      <c r="F86" s="69">
        <f t="shared" si="2"/>
        <v>0</v>
      </c>
    </row>
    <row r="87" spans="1:6">
      <c r="A87" s="67" t="s">
        <v>182</v>
      </c>
      <c r="B87" s="72" t="s">
        <v>183</v>
      </c>
      <c r="C87" s="73" t="s">
        <v>23</v>
      </c>
      <c r="D87" s="68"/>
      <c r="E87" s="69">
        <f>ROUND(IFERROR(VLOOKUP(A87,'CAP1-3'!$A:$G,7,FALSE()),""),0)</f>
        <v>41569</v>
      </c>
      <c r="F87" s="69">
        <f t="shared" si="2"/>
        <v>0</v>
      </c>
    </row>
    <row r="88" spans="1:6">
      <c r="A88" s="67" t="s">
        <v>184</v>
      </c>
      <c r="B88" s="72" t="s">
        <v>185</v>
      </c>
      <c r="C88" s="73" t="s">
        <v>20</v>
      </c>
      <c r="D88" s="68"/>
      <c r="E88" s="69">
        <f>ROUND(IFERROR(VLOOKUP(A88,'CAP1-3'!$A:$G,7,FALSE()),""),0)</f>
        <v>29826</v>
      </c>
      <c r="F88" s="69">
        <f t="shared" si="2"/>
        <v>0</v>
      </c>
    </row>
    <row r="89" spans="1:6">
      <c r="A89" s="67" t="s">
        <v>186</v>
      </c>
      <c r="B89" s="72" t="s">
        <v>187</v>
      </c>
      <c r="C89" s="73" t="s">
        <v>23</v>
      </c>
      <c r="D89" s="68"/>
      <c r="E89" s="69">
        <f>ROUND(IFERROR(VLOOKUP(A89,'CAP1-3'!$A:$G,7,FALSE()),""),0)</f>
        <v>24942</v>
      </c>
      <c r="F89" s="69">
        <f t="shared" si="2"/>
        <v>0</v>
      </c>
    </row>
    <row r="90" spans="1:6">
      <c r="A90" s="67" t="s">
        <v>188</v>
      </c>
      <c r="B90" s="72" t="s">
        <v>189</v>
      </c>
      <c r="C90" s="73" t="s">
        <v>20</v>
      </c>
      <c r="D90" s="68"/>
      <c r="E90" s="69">
        <f>ROUND(IFERROR(VLOOKUP(A90,'CAP1-3'!$A:$G,7,FALSE()),""),0)</f>
        <v>8522</v>
      </c>
      <c r="F90" s="69">
        <f t="shared" si="2"/>
        <v>0</v>
      </c>
    </row>
    <row r="91" spans="1:6">
      <c r="A91" s="67" t="s">
        <v>190</v>
      </c>
      <c r="B91" s="72" t="s">
        <v>191</v>
      </c>
      <c r="C91" s="73" t="s">
        <v>20</v>
      </c>
      <c r="D91" s="68"/>
      <c r="E91" s="69">
        <f>ROUND(IFERROR(VLOOKUP(A91,'CAP1-3'!$A:$G,7,FALSE()),""),0)</f>
        <v>12692</v>
      </c>
      <c r="F91" s="69">
        <f t="shared" si="2"/>
        <v>0</v>
      </c>
    </row>
    <row r="92" spans="1:6">
      <c r="A92" s="67" t="s">
        <v>192</v>
      </c>
      <c r="B92" s="72" t="s">
        <v>193</v>
      </c>
      <c r="C92" s="73" t="s">
        <v>30</v>
      </c>
      <c r="D92" s="68"/>
      <c r="E92" s="69">
        <f>ROUND(IFERROR(VLOOKUP(A92,'CAP1-3'!$A:$G,7,FALSE()),""),0)</f>
        <v>3274</v>
      </c>
      <c r="F92" s="69">
        <f t="shared" si="2"/>
        <v>0</v>
      </c>
    </row>
    <row r="93" spans="1:6">
      <c r="A93" s="67" t="s">
        <v>194</v>
      </c>
      <c r="B93" s="72" t="s">
        <v>195</v>
      </c>
      <c r="C93" s="73" t="s">
        <v>20</v>
      </c>
      <c r="D93" s="68"/>
      <c r="E93" s="69">
        <f>ROUND(IFERROR(VLOOKUP(A93,'CAP1-3'!$A:$G,7,FALSE()),""),0)</f>
        <v>12064</v>
      </c>
      <c r="F93" s="69">
        <f t="shared" si="2"/>
        <v>0</v>
      </c>
    </row>
    <row r="94" spans="1:6">
      <c r="A94" s="67" t="s">
        <v>196</v>
      </c>
      <c r="B94" s="72" t="s">
        <v>197</v>
      </c>
      <c r="C94" s="73" t="s">
        <v>20</v>
      </c>
      <c r="D94" s="68"/>
      <c r="E94" s="69">
        <f>ROUND(IFERROR(VLOOKUP(A94,'CAP1-3'!$A:$G,7,FALSE()),""),0)</f>
        <v>20508</v>
      </c>
      <c r="F94" s="69">
        <f t="shared" si="2"/>
        <v>0</v>
      </c>
    </row>
    <row r="95" spans="1:6">
      <c r="A95" s="67" t="s">
        <v>198</v>
      </c>
      <c r="B95" s="72" t="s">
        <v>199</v>
      </c>
      <c r="C95" s="73" t="s">
        <v>30</v>
      </c>
      <c r="D95" s="68"/>
      <c r="E95" s="69">
        <f>ROUND(IFERROR(VLOOKUP(A95,'CAP1-3'!$A:$G,7,FALSE()),""),0)</f>
        <v>41883</v>
      </c>
      <c r="F95" s="69">
        <f t="shared" si="2"/>
        <v>0</v>
      </c>
    </row>
    <row r="96" spans="1:6">
      <c r="A96" s="67" t="s">
        <v>200</v>
      </c>
      <c r="B96" s="72" t="s">
        <v>201</v>
      </c>
      <c r="C96" s="73" t="s">
        <v>30</v>
      </c>
      <c r="D96" s="68"/>
      <c r="E96" s="69">
        <f>ROUND(IFERROR(VLOOKUP(A96,'CAP1-3'!$A:$G,7,FALSE()),""),0)</f>
        <v>21153</v>
      </c>
      <c r="F96" s="69">
        <f t="shared" si="2"/>
        <v>0</v>
      </c>
    </row>
    <row r="97" spans="1:7">
      <c r="A97" s="67" t="s">
        <v>202</v>
      </c>
      <c r="B97" s="72" t="s">
        <v>203</v>
      </c>
      <c r="C97" s="73" t="s">
        <v>30</v>
      </c>
      <c r="D97" s="68"/>
      <c r="E97" s="69">
        <f>ROUND(IFERROR(VLOOKUP(A97,'CAP1-3'!$A:$G,7,FALSE()),""),0)</f>
        <v>4231</v>
      </c>
      <c r="F97" s="69">
        <f t="shared" si="2"/>
        <v>0</v>
      </c>
    </row>
    <row r="98" spans="1:7">
      <c r="A98" s="67" t="s">
        <v>204</v>
      </c>
      <c r="B98" s="72" t="s">
        <v>205</v>
      </c>
      <c r="C98" s="73" t="s">
        <v>20</v>
      </c>
      <c r="D98" s="68"/>
      <c r="E98" s="69">
        <f>ROUND(IFERROR(VLOOKUP(A98,'CAP1-3'!$A:$G,7,FALSE()),""),0)</f>
        <v>13362</v>
      </c>
      <c r="F98" s="69">
        <f t="shared" si="2"/>
        <v>0</v>
      </c>
    </row>
    <row r="99" spans="1:7">
      <c r="A99" s="67" t="s">
        <v>206</v>
      </c>
      <c r="B99" s="72" t="s">
        <v>207</v>
      </c>
      <c r="C99" s="73" t="s">
        <v>20</v>
      </c>
      <c r="D99" s="68"/>
      <c r="E99" s="69">
        <f>ROUND(IFERROR(VLOOKUP(A99,'CAP1-3'!$A:$G,7,FALSE()),""),0)</f>
        <v>68537</v>
      </c>
      <c r="F99" s="69">
        <f t="shared" si="2"/>
        <v>0</v>
      </c>
    </row>
    <row r="100" spans="1:7" s="74" customFormat="1">
      <c r="A100" s="60" t="s">
        <v>208</v>
      </c>
      <c r="B100" s="61" t="s">
        <v>209</v>
      </c>
      <c r="C100" s="62"/>
      <c r="D100" s="63"/>
      <c r="E100" s="64" t="str">
        <f>IFERROR(VLOOKUP(#REF!,#REF!,8,FALSE()),"")</f>
        <v/>
      </c>
      <c r="F100" s="65">
        <f>SUM(F101:F147)</f>
        <v>0</v>
      </c>
      <c r="G100" s="66">
        <f>IFERROR(F100/$F$1279,"")</f>
        <v>0</v>
      </c>
    </row>
    <row r="101" spans="1:7">
      <c r="A101" s="67" t="s">
        <v>210</v>
      </c>
      <c r="B101" s="72" t="s">
        <v>211</v>
      </c>
      <c r="C101" s="73" t="s">
        <v>20</v>
      </c>
      <c r="D101" s="68"/>
      <c r="E101" s="69">
        <f>ROUND(IFERROR(VLOOKUP(A101,'CAP1-3'!$A:$G,7,FALSE()),""),0)</f>
        <v>9177</v>
      </c>
      <c r="F101" s="69">
        <f t="shared" ref="F101:F147" si="3">IFERROR(E101*D101,"")</f>
        <v>0</v>
      </c>
    </row>
    <row r="102" spans="1:7">
      <c r="A102" s="67" t="s">
        <v>212</v>
      </c>
      <c r="B102" s="72" t="s">
        <v>213</v>
      </c>
      <c r="C102" s="73" t="s">
        <v>20</v>
      </c>
      <c r="D102" s="68"/>
      <c r="E102" s="69">
        <f>ROUND(IFERROR(VLOOKUP(A102,'CAP1-3'!$A:$G,7,FALSE()),""),0)</f>
        <v>15216</v>
      </c>
      <c r="F102" s="69">
        <f t="shared" si="3"/>
        <v>0</v>
      </c>
    </row>
    <row r="103" spans="1:7">
      <c r="A103" s="67" t="s">
        <v>214</v>
      </c>
      <c r="B103" s="72" t="s">
        <v>215</v>
      </c>
      <c r="C103" s="73" t="s">
        <v>20</v>
      </c>
      <c r="D103" s="68"/>
      <c r="E103" s="69">
        <f>ROUND(IFERROR(VLOOKUP(A103,'CAP1-3'!$A:$G,7,FALSE()),""),0)</f>
        <v>2612</v>
      </c>
      <c r="F103" s="69">
        <f t="shared" si="3"/>
        <v>0</v>
      </c>
    </row>
    <row r="104" spans="1:7">
      <c r="A104" s="67" t="s">
        <v>216</v>
      </c>
      <c r="B104" s="72" t="s">
        <v>217</v>
      </c>
      <c r="C104" s="73" t="s">
        <v>20</v>
      </c>
      <c r="D104" s="68"/>
      <c r="E104" s="69">
        <f>ROUND(IFERROR(VLOOKUP(A104,'CAP1-3'!$A:$G,7,FALSE()),""),0)</f>
        <v>89352</v>
      </c>
      <c r="F104" s="69">
        <f t="shared" si="3"/>
        <v>0</v>
      </c>
    </row>
    <row r="105" spans="1:7">
      <c r="A105" s="67" t="s">
        <v>218</v>
      </c>
      <c r="B105" s="72" t="s">
        <v>219</v>
      </c>
      <c r="C105" s="73" t="s">
        <v>52</v>
      </c>
      <c r="D105" s="68"/>
      <c r="E105" s="69">
        <f>ROUND(IFERROR(VLOOKUP(A105,'CAP1-3'!$A:$G,7,FALSE()),""),0)</f>
        <v>598659</v>
      </c>
      <c r="F105" s="69">
        <f t="shared" si="3"/>
        <v>0</v>
      </c>
    </row>
    <row r="106" spans="1:7">
      <c r="A106" s="67" t="s">
        <v>220</v>
      </c>
      <c r="B106" s="72" t="s">
        <v>221</v>
      </c>
      <c r="C106" s="73" t="s">
        <v>52</v>
      </c>
      <c r="D106" s="68"/>
      <c r="E106" s="69">
        <f>ROUND(IFERROR(VLOOKUP(A106,'CAP1-3'!$A:$G,7,FALSE()),""),0)</f>
        <v>334503</v>
      </c>
      <c r="F106" s="69">
        <f t="shared" si="3"/>
        <v>0</v>
      </c>
    </row>
    <row r="107" spans="1:7">
      <c r="A107" s="67" t="s">
        <v>222</v>
      </c>
      <c r="B107" s="72" t="s">
        <v>223</v>
      </c>
      <c r="C107" s="73" t="s">
        <v>52</v>
      </c>
      <c r="D107" s="68"/>
      <c r="E107" s="69">
        <f>ROUND(IFERROR(VLOOKUP(A107,'CAP1-3'!$A:$G,7,FALSE()),""),0)</f>
        <v>289965</v>
      </c>
      <c r="F107" s="69">
        <f t="shared" si="3"/>
        <v>0</v>
      </c>
    </row>
    <row r="108" spans="1:7">
      <c r="A108" s="67" t="s">
        <v>224</v>
      </c>
      <c r="B108" s="72" t="s">
        <v>225</v>
      </c>
      <c r="C108" s="73" t="s">
        <v>52</v>
      </c>
      <c r="D108" s="68"/>
      <c r="E108" s="69">
        <f>ROUND(IFERROR(VLOOKUP(A108,'CAP1-3'!$A:$G,7,FALSE()),""),0)</f>
        <v>310521</v>
      </c>
      <c r="F108" s="69">
        <f t="shared" si="3"/>
        <v>0</v>
      </c>
    </row>
    <row r="109" spans="1:7">
      <c r="A109" s="67" t="s">
        <v>226</v>
      </c>
      <c r="B109" s="72" t="s">
        <v>227</v>
      </c>
      <c r="C109" s="73" t="s">
        <v>52</v>
      </c>
      <c r="D109" s="68"/>
      <c r="E109" s="69">
        <f>ROUND(IFERROR(VLOOKUP(A109,'CAP1-3'!$A:$G,7,FALSE()),""),0)</f>
        <v>272149</v>
      </c>
      <c r="F109" s="69">
        <f t="shared" si="3"/>
        <v>0</v>
      </c>
    </row>
    <row r="110" spans="1:7">
      <c r="A110" s="67" t="s">
        <v>228</v>
      </c>
      <c r="B110" s="72" t="s">
        <v>229</v>
      </c>
      <c r="C110" s="73" t="s">
        <v>20</v>
      </c>
      <c r="D110" s="68"/>
      <c r="E110" s="69">
        <f>ROUND(IFERROR(VLOOKUP(A110,'CAP1-3'!$A:$G,7,FALSE()),""),0)</f>
        <v>2894</v>
      </c>
      <c r="F110" s="69">
        <f t="shared" si="3"/>
        <v>0</v>
      </c>
    </row>
    <row r="111" spans="1:7">
      <c r="A111" s="67" t="s">
        <v>230</v>
      </c>
      <c r="B111" s="72" t="s">
        <v>231</v>
      </c>
      <c r="C111" s="73" t="s">
        <v>20</v>
      </c>
      <c r="D111" s="68"/>
      <c r="E111" s="69">
        <f>ROUND(IFERROR(VLOOKUP(A111,'CAP1-3'!$A:$G,7,FALSE()),""),0)</f>
        <v>1755</v>
      </c>
      <c r="F111" s="69">
        <f t="shared" si="3"/>
        <v>0</v>
      </c>
    </row>
    <row r="112" spans="1:7">
      <c r="A112" s="67" t="s">
        <v>232</v>
      </c>
      <c r="B112" s="72" t="s">
        <v>233</v>
      </c>
      <c r="C112" s="73" t="s">
        <v>52</v>
      </c>
      <c r="D112" s="68"/>
      <c r="E112" s="69">
        <f>ROUND(IFERROR(VLOOKUP(A112,'CAP1-3'!$A:$G,7,FALSE()),""),0)</f>
        <v>54395</v>
      </c>
      <c r="F112" s="69">
        <f t="shared" si="3"/>
        <v>0</v>
      </c>
    </row>
    <row r="113" spans="1:6">
      <c r="A113" s="67" t="s">
        <v>234</v>
      </c>
      <c r="B113" s="72" t="s">
        <v>235</v>
      </c>
      <c r="C113" s="73" t="s">
        <v>52</v>
      </c>
      <c r="D113" s="68"/>
      <c r="E113" s="69">
        <f>ROUND(IFERROR(VLOOKUP(A113,'CAP1-3'!$A:$G,7,FALSE()),""),0)</f>
        <v>63460</v>
      </c>
      <c r="F113" s="69">
        <f t="shared" si="3"/>
        <v>0</v>
      </c>
    </row>
    <row r="114" spans="1:6">
      <c r="A114" s="67" t="s">
        <v>236</v>
      </c>
      <c r="B114" s="72" t="s">
        <v>237</v>
      </c>
      <c r="C114" s="73" t="s">
        <v>52</v>
      </c>
      <c r="D114" s="68"/>
      <c r="E114" s="69">
        <f>ROUND(IFERROR(VLOOKUP(A114,'CAP1-3'!$A:$G,7,FALSE()),""),0)</f>
        <v>76152</v>
      </c>
      <c r="F114" s="69">
        <f t="shared" si="3"/>
        <v>0</v>
      </c>
    </row>
    <row r="115" spans="1:6">
      <c r="A115" s="67" t="s">
        <v>238</v>
      </c>
      <c r="B115" s="72" t="s">
        <v>239</v>
      </c>
      <c r="C115" s="73" t="s">
        <v>52</v>
      </c>
      <c r="D115" s="68"/>
      <c r="E115" s="69">
        <f>ROUND(IFERROR(VLOOKUP(A115,'CAP1-3'!$A:$G,7,FALSE()),""),0)</f>
        <v>75495</v>
      </c>
      <c r="F115" s="69">
        <f t="shared" si="3"/>
        <v>0</v>
      </c>
    </row>
    <row r="116" spans="1:6">
      <c r="A116" s="67" t="s">
        <v>240</v>
      </c>
      <c r="B116" s="72" t="s">
        <v>241</v>
      </c>
      <c r="C116" s="73" t="s">
        <v>52</v>
      </c>
      <c r="D116" s="68"/>
      <c r="E116" s="69">
        <f>ROUND(IFERROR(VLOOKUP(A116,'CAP1-3'!$A:$G,7,FALSE()),""),0)</f>
        <v>89221</v>
      </c>
      <c r="F116" s="69">
        <f t="shared" si="3"/>
        <v>0</v>
      </c>
    </row>
    <row r="117" spans="1:6">
      <c r="A117" s="67" t="s">
        <v>242</v>
      </c>
      <c r="B117" s="72" t="s">
        <v>243</v>
      </c>
      <c r="C117" s="73" t="s">
        <v>52</v>
      </c>
      <c r="D117" s="68"/>
      <c r="E117" s="69">
        <f>ROUND(IFERROR(VLOOKUP(A117,'CAP1-3'!$A:$G,7,FALSE()),""),0)</f>
        <v>109048</v>
      </c>
      <c r="F117" s="69">
        <f t="shared" si="3"/>
        <v>0</v>
      </c>
    </row>
    <row r="118" spans="1:6">
      <c r="A118" s="67" t="s">
        <v>244</v>
      </c>
      <c r="B118" s="72" t="s">
        <v>245</v>
      </c>
      <c r="C118" s="73" t="s">
        <v>52</v>
      </c>
      <c r="D118" s="68"/>
      <c r="E118" s="69">
        <f>ROUND(IFERROR(VLOOKUP(A118,'CAP1-3'!$A:$G,7,FALSE()),""),0)</f>
        <v>50768</v>
      </c>
      <c r="F118" s="69">
        <f t="shared" si="3"/>
        <v>0</v>
      </c>
    </row>
    <row r="119" spans="1:6">
      <c r="A119" s="67" t="s">
        <v>246</v>
      </c>
      <c r="B119" s="72" t="s">
        <v>247</v>
      </c>
      <c r="C119" s="73" t="s">
        <v>52</v>
      </c>
      <c r="D119" s="68"/>
      <c r="E119" s="69">
        <f>ROUND(IFERROR(VLOOKUP(A119,'CAP1-3'!$A:$G,7,FALSE()),""),0)</f>
        <v>21695</v>
      </c>
      <c r="F119" s="69">
        <f t="shared" si="3"/>
        <v>0</v>
      </c>
    </row>
    <row r="120" spans="1:6">
      <c r="A120" s="67" t="s">
        <v>248</v>
      </c>
      <c r="B120" s="72" t="s">
        <v>249</v>
      </c>
      <c r="C120" s="73" t="s">
        <v>52</v>
      </c>
      <c r="D120" s="68"/>
      <c r="E120" s="69">
        <f>ROUND(IFERROR(VLOOKUP(A120,'CAP1-3'!$A:$G,7,FALSE()),""),0)</f>
        <v>52519</v>
      </c>
      <c r="F120" s="69">
        <f t="shared" si="3"/>
        <v>0</v>
      </c>
    </row>
    <row r="121" spans="1:6">
      <c r="A121" s="67" t="s">
        <v>250</v>
      </c>
      <c r="B121" s="72" t="s">
        <v>251</v>
      </c>
      <c r="C121" s="73" t="s">
        <v>52</v>
      </c>
      <c r="D121" s="68"/>
      <c r="E121" s="69">
        <f>ROUND(IFERROR(VLOOKUP(A121,'CAP1-3'!$A:$G,7,FALSE()),""),0)</f>
        <v>60922</v>
      </c>
      <c r="F121" s="69">
        <f t="shared" si="3"/>
        <v>0</v>
      </c>
    </row>
    <row r="122" spans="1:6">
      <c r="A122" s="67" t="s">
        <v>252</v>
      </c>
      <c r="B122" s="72" t="s">
        <v>253</v>
      </c>
      <c r="C122" s="73" t="s">
        <v>52</v>
      </c>
      <c r="D122" s="68"/>
      <c r="E122" s="69">
        <f>ROUND(IFERROR(VLOOKUP(A122,'CAP1-3'!$A:$G,7,FALSE()),""),0)</f>
        <v>72526</v>
      </c>
      <c r="F122" s="69">
        <f t="shared" si="3"/>
        <v>0</v>
      </c>
    </row>
    <row r="123" spans="1:6">
      <c r="A123" s="67" t="s">
        <v>254</v>
      </c>
      <c r="B123" s="72" t="s">
        <v>255</v>
      </c>
      <c r="C123" s="73" t="s">
        <v>52</v>
      </c>
      <c r="D123" s="68"/>
      <c r="E123" s="69">
        <f>ROUND(IFERROR(VLOOKUP(A123,'CAP1-3'!$A:$G,7,FALSE()),""),0)</f>
        <v>72164</v>
      </c>
      <c r="F123" s="69">
        <f t="shared" si="3"/>
        <v>0</v>
      </c>
    </row>
    <row r="124" spans="1:6">
      <c r="A124" s="67" t="s">
        <v>256</v>
      </c>
      <c r="B124" s="72" t="s">
        <v>257</v>
      </c>
      <c r="C124" s="73" t="s">
        <v>52</v>
      </c>
      <c r="D124" s="68"/>
      <c r="E124" s="69">
        <f>ROUND(IFERROR(VLOOKUP(A124,'CAP1-3'!$A:$G,7,FALSE()),""),0)</f>
        <v>80446</v>
      </c>
      <c r="F124" s="69">
        <f t="shared" si="3"/>
        <v>0</v>
      </c>
    </row>
    <row r="125" spans="1:6">
      <c r="A125" s="67" t="s">
        <v>258</v>
      </c>
      <c r="B125" s="72" t="s">
        <v>259</v>
      </c>
      <c r="C125" s="73" t="s">
        <v>52</v>
      </c>
      <c r="D125" s="68"/>
      <c r="E125" s="69">
        <f>ROUND(IFERROR(VLOOKUP(A125,'CAP1-3'!$A:$G,7,FALSE()),""),0)</f>
        <v>89221</v>
      </c>
      <c r="F125" s="69">
        <f t="shared" si="3"/>
        <v>0</v>
      </c>
    </row>
    <row r="126" spans="1:6">
      <c r="A126" s="67" t="s">
        <v>260</v>
      </c>
      <c r="B126" s="72" t="s">
        <v>261</v>
      </c>
      <c r="C126" s="73" t="s">
        <v>30</v>
      </c>
      <c r="D126" s="68"/>
      <c r="E126" s="69">
        <f>ROUND(IFERROR(VLOOKUP(A126,'CAP1-3'!$A:$G,7,FALSE()),""),0)</f>
        <v>242694</v>
      </c>
      <c r="F126" s="69">
        <f t="shared" si="3"/>
        <v>0</v>
      </c>
    </row>
    <row r="127" spans="1:6">
      <c r="A127" s="67" t="s">
        <v>262</v>
      </c>
      <c r="B127" s="72" t="s">
        <v>263</v>
      </c>
      <c r="C127" s="73" t="s">
        <v>52</v>
      </c>
      <c r="D127" s="68"/>
      <c r="E127" s="69">
        <f>ROUND(IFERROR(VLOOKUP(A127,'CAP1-3'!$A:$G,7,FALSE()),""),0)</f>
        <v>20065</v>
      </c>
      <c r="F127" s="69">
        <f t="shared" si="3"/>
        <v>0</v>
      </c>
    </row>
    <row r="128" spans="1:6">
      <c r="A128" s="67" t="s">
        <v>264</v>
      </c>
      <c r="B128" s="72" t="s">
        <v>265</v>
      </c>
      <c r="C128" s="73" t="s">
        <v>52</v>
      </c>
      <c r="D128" s="68"/>
      <c r="E128" s="69">
        <f>ROUND(IFERROR(VLOOKUP(A128,'CAP1-3'!$A:$G,7,FALSE()),""),0)</f>
        <v>21565</v>
      </c>
      <c r="F128" s="69">
        <f t="shared" si="3"/>
        <v>0</v>
      </c>
    </row>
    <row r="129" spans="1:6">
      <c r="A129" s="67" t="s">
        <v>266</v>
      </c>
      <c r="B129" s="72" t="s">
        <v>267</v>
      </c>
      <c r="C129" s="73" t="s">
        <v>52</v>
      </c>
      <c r="D129" s="68"/>
      <c r="E129" s="69">
        <f>ROUND(IFERROR(VLOOKUP(A129,'CAP1-3'!$A:$G,7,FALSE()),""),0)</f>
        <v>281868</v>
      </c>
      <c r="F129" s="69">
        <f t="shared" si="3"/>
        <v>0</v>
      </c>
    </row>
    <row r="130" spans="1:6">
      <c r="A130" s="67" t="s">
        <v>268</v>
      </c>
      <c r="B130" s="72" t="s">
        <v>269</v>
      </c>
      <c r="C130" s="73" t="s">
        <v>52</v>
      </c>
      <c r="D130" s="68"/>
      <c r="E130" s="69">
        <f>ROUND(IFERROR(VLOOKUP(A130,'CAP1-3'!$A:$G,7,FALSE()),""),0)</f>
        <v>325232</v>
      </c>
      <c r="F130" s="69">
        <f t="shared" si="3"/>
        <v>0</v>
      </c>
    </row>
    <row r="131" spans="1:6">
      <c r="A131" s="67" t="s">
        <v>270</v>
      </c>
      <c r="B131" s="72" t="s">
        <v>271</v>
      </c>
      <c r="C131" s="73" t="s">
        <v>52</v>
      </c>
      <c r="D131" s="68"/>
      <c r="E131" s="69">
        <f>ROUND(IFERROR(VLOOKUP(A131,'CAP1-3'!$A:$G,7,FALSE()),""),0)</f>
        <v>532758</v>
      </c>
      <c r="F131" s="69">
        <f t="shared" si="3"/>
        <v>0</v>
      </c>
    </row>
    <row r="132" spans="1:6" ht="25.5">
      <c r="A132" s="67" t="s">
        <v>272</v>
      </c>
      <c r="B132" s="72" t="s">
        <v>273</v>
      </c>
      <c r="C132" s="73" t="s">
        <v>52</v>
      </c>
      <c r="D132" s="68"/>
      <c r="E132" s="69">
        <f>ROUND(IFERROR(VLOOKUP(A132,'CAP1-3'!$A:$G,7,FALSE()),""),0)</f>
        <v>149132</v>
      </c>
      <c r="F132" s="69">
        <f t="shared" si="3"/>
        <v>0</v>
      </c>
    </row>
    <row r="133" spans="1:6">
      <c r="A133" s="67" t="s">
        <v>274</v>
      </c>
      <c r="B133" s="72" t="s">
        <v>275</v>
      </c>
      <c r="C133" s="73" t="s">
        <v>52</v>
      </c>
      <c r="D133" s="68"/>
      <c r="E133" s="69">
        <f>ROUND(IFERROR(VLOOKUP(A133,'CAP1-3'!$A:$G,7,FALSE()),""),0)</f>
        <v>12571</v>
      </c>
      <c r="F133" s="69">
        <f t="shared" si="3"/>
        <v>0</v>
      </c>
    </row>
    <row r="134" spans="1:6">
      <c r="A134" s="67" t="s">
        <v>276</v>
      </c>
      <c r="B134" s="72" t="s">
        <v>277</v>
      </c>
      <c r="C134" s="73" t="s">
        <v>52</v>
      </c>
      <c r="D134" s="68"/>
      <c r="E134" s="69">
        <f>ROUND(IFERROR(VLOOKUP(A134,'CAP1-3'!$A:$G,7,FALSE()),""),0)</f>
        <v>47420</v>
      </c>
      <c r="F134" s="69">
        <f t="shared" si="3"/>
        <v>0</v>
      </c>
    </row>
    <row r="135" spans="1:6">
      <c r="A135" s="67" t="s">
        <v>278</v>
      </c>
      <c r="B135" s="72" t="s">
        <v>279</v>
      </c>
      <c r="C135" s="73" t="s">
        <v>52</v>
      </c>
      <c r="D135" s="68"/>
      <c r="E135" s="69">
        <f>ROUND(IFERROR(VLOOKUP(A135,'CAP1-3'!$A:$G,7,FALSE()),""),0)</f>
        <v>122538</v>
      </c>
      <c r="F135" s="69">
        <f t="shared" si="3"/>
        <v>0</v>
      </c>
    </row>
    <row r="136" spans="1:6">
      <c r="A136" s="67" t="s">
        <v>280</v>
      </c>
      <c r="B136" s="72" t="s">
        <v>281</v>
      </c>
      <c r="C136" s="73" t="s">
        <v>52</v>
      </c>
      <c r="D136" s="68"/>
      <c r="E136" s="69">
        <f>ROUND(IFERROR(VLOOKUP(A136,'CAP1-3'!$A:$G,7,FALSE()),""),0)</f>
        <v>127941</v>
      </c>
      <c r="F136" s="69">
        <f t="shared" si="3"/>
        <v>0</v>
      </c>
    </row>
    <row r="137" spans="1:6">
      <c r="A137" s="67" t="s">
        <v>282</v>
      </c>
      <c r="B137" s="72" t="s">
        <v>283</v>
      </c>
      <c r="C137" s="73" t="s">
        <v>52</v>
      </c>
      <c r="D137" s="68"/>
      <c r="E137" s="69">
        <f>ROUND(IFERROR(VLOOKUP(A137,'CAP1-3'!$A:$G,7,FALSE()),""),0)</f>
        <v>126151</v>
      </c>
      <c r="F137" s="69">
        <f t="shared" si="3"/>
        <v>0</v>
      </c>
    </row>
    <row r="138" spans="1:6">
      <c r="A138" s="67" t="s">
        <v>284</v>
      </c>
      <c r="B138" s="72" t="s">
        <v>285</v>
      </c>
      <c r="C138" s="73" t="s">
        <v>52</v>
      </c>
      <c r="D138" s="68"/>
      <c r="E138" s="69">
        <f>ROUND(IFERROR(VLOOKUP(A138,'CAP1-3'!$A:$G,7,FALSE()),""),0)</f>
        <v>161955</v>
      </c>
      <c r="F138" s="69">
        <f t="shared" si="3"/>
        <v>0</v>
      </c>
    </row>
    <row r="139" spans="1:6">
      <c r="A139" s="67" t="s">
        <v>286</v>
      </c>
      <c r="B139" s="72" t="s">
        <v>287</v>
      </c>
      <c r="C139" s="73" t="s">
        <v>52</v>
      </c>
      <c r="D139" s="68"/>
      <c r="E139" s="69">
        <f>ROUND(IFERROR(VLOOKUP(A139,'CAP1-3'!$A:$G,7,FALSE()),""),0)</f>
        <v>172946</v>
      </c>
      <c r="F139" s="69">
        <f t="shared" si="3"/>
        <v>0</v>
      </c>
    </row>
    <row r="140" spans="1:6">
      <c r="A140" s="67" t="s">
        <v>288</v>
      </c>
      <c r="B140" s="72" t="s">
        <v>289</v>
      </c>
      <c r="C140" s="73" t="s">
        <v>52</v>
      </c>
      <c r="D140" s="68"/>
      <c r="E140" s="69">
        <f>ROUND(IFERROR(VLOOKUP(A140,'CAP1-3'!$A:$G,7,FALSE()),""),0)</f>
        <v>100780</v>
      </c>
      <c r="F140" s="69">
        <f t="shared" si="3"/>
        <v>0</v>
      </c>
    </row>
    <row r="141" spans="1:6">
      <c r="A141" s="67" t="s">
        <v>290</v>
      </c>
      <c r="B141" s="72" t="s">
        <v>291</v>
      </c>
      <c r="C141" s="73" t="s">
        <v>20</v>
      </c>
      <c r="D141" s="68"/>
      <c r="E141" s="69">
        <f>ROUND(IFERROR(VLOOKUP(A141,'CAP1-3'!$A:$G,7,FALSE()),""),0)</f>
        <v>7162</v>
      </c>
      <c r="F141" s="69">
        <f t="shared" si="3"/>
        <v>0</v>
      </c>
    </row>
    <row r="142" spans="1:6" ht="25.5">
      <c r="A142" s="67" t="s">
        <v>292</v>
      </c>
      <c r="B142" s="72" t="s">
        <v>293</v>
      </c>
      <c r="C142" s="73" t="s">
        <v>20</v>
      </c>
      <c r="D142" s="68"/>
      <c r="E142" s="69">
        <f>ROUND(IFERROR(VLOOKUP(A142,'CAP1-3'!$A:$G,7,FALSE()),""),0)</f>
        <v>16831</v>
      </c>
      <c r="F142" s="69">
        <f t="shared" si="3"/>
        <v>0</v>
      </c>
    </row>
    <row r="143" spans="1:6" ht="25.5">
      <c r="A143" s="67" t="s">
        <v>294</v>
      </c>
      <c r="B143" s="72" t="s">
        <v>295</v>
      </c>
      <c r="C143" s="73" t="s">
        <v>20</v>
      </c>
      <c r="D143" s="68"/>
      <c r="E143" s="69">
        <f>ROUND(IFERROR(VLOOKUP(A143,'CAP1-3'!$A:$G,7,FALSE()),""),0)</f>
        <v>18508</v>
      </c>
      <c r="F143" s="69">
        <f t="shared" si="3"/>
        <v>0</v>
      </c>
    </row>
    <row r="144" spans="1:6" ht="25.5">
      <c r="A144" s="67" t="s">
        <v>296</v>
      </c>
      <c r="B144" s="72" t="s">
        <v>297</v>
      </c>
      <c r="C144" s="73" t="s">
        <v>20</v>
      </c>
      <c r="D144" s="68"/>
      <c r="E144" s="69">
        <f>ROUND(IFERROR(VLOOKUP(A144,'CAP1-3'!$A:$G,7,FALSE()),""),0)</f>
        <v>21925</v>
      </c>
      <c r="F144" s="69">
        <f t="shared" si="3"/>
        <v>0</v>
      </c>
    </row>
    <row r="145" spans="1:7" ht="25.5">
      <c r="A145" s="67" t="s">
        <v>298</v>
      </c>
      <c r="B145" s="72" t="s">
        <v>299</v>
      </c>
      <c r="C145" s="73" t="s">
        <v>20</v>
      </c>
      <c r="D145" s="68"/>
      <c r="E145" s="69">
        <f>ROUND(IFERROR(VLOOKUP(A145,'CAP1-3'!$A:$G,7,FALSE()),""),0)</f>
        <v>25363</v>
      </c>
      <c r="F145" s="69">
        <f t="shared" si="3"/>
        <v>0</v>
      </c>
    </row>
    <row r="146" spans="1:7">
      <c r="A146" s="67" t="s">
        <v>300</v>
      </c>
      <c r="B146" s="72" t="s">
        <v>301</v>
      </c>
      <c r="C146" s="73" t="s">
        <v>52</v>
      </c>
      <c r="D146" s="68"/>
      <c r="E146" s="69">
        <f>ROUND(IFERROR(VLOOKUP(A146,'CAP1-3'!$A:$G,7,FALSE()),""),0)</f>
        <v>195847</v>
      </c>
      <c r="F146" s="69">
        <f t="shared" si="3"/>
        <v>0</v>
      </c>
    </row>
    <row r="147" spans="1:7">
      <c r="A147" s="67" t="s">
        <v>302</v>
      </c>
      <c r="B147" s="72" t="s">
        <v>303</v>
      </c>
      <c r="C147" s="73" t="s">
        <v>52</v>
      </c>
      <c r="D147" s="68"/>
      <c r="E147" s="69">
        <f>ROUND(IFERROR(VLOOKUP(A147,'CAP1-3'!$A:$G,7,FALSE()),""),0)</f>
        <v>264307</v>
      </c>
      <c r="F147" s="69">
        <f t="shared" si="3"/>
        <v>0</v>
      </c>
    </row>
    <row r="148" spans="1:7" s="74" customFormat="1">
      <c r="A148" s="60" t="s">
        <v>304</v>
      </c>
      <c r="B148" s="61" t="s">
        <v>305</v>
      </c>
      <c r="C148" s="62"/>
      <c r="D148" s="63"/>
      <c r="E148" s="64" t="str">
        <f>IFERROR(VLOOKUP(#REF!,#REF!,8,FALSE()),"")</f>
        <v/>
      </c>
      <c r="F148" s="65">
        <f>SUM(F149:F162)</f>
        <v>0</v>
      </c>
      <c r="G148" s="66">
        <f>IFERROR(F148/$F$1279,"")</f>
        <v>0</v>
      </c>
    </row>
    <row r="149" spans="1:7">
      <c r="A149" s="67" t="s">
        <v>306</v>
      </c>
      <c r="B149" s="72" t="s">
        <v>307</v>
      </c>
      <c r="C149" s="73" t="s">
        <v>23</v>
      </c>
      <c r="D149" s="68"/>
      <c r="E149" s="69">
        <f>ROUND(IFERROR(VLOOKUP(A149,'CAP4-5'!$A:$G,7,FALSE()),""),0)</f>
        <v>152212</v>
      </c>
      <c r="F149" s="69">
        <f t="shared" ref="F149:F162" si="4">IFERROR(E149*D149,"")</f>
        <v>0</v>
      </c>
    </row>
    <row r="150" spans="1:7">
      <c r="A150" s="67" t="s">
        <v>308</v>
      </c>
      <c r="B150" s="72" t="s">
        <v>309</v>
      </c>
      <c r="C150" s="73" t="s">
        <v>23</v>
      </c>
      <c r="D150" s="68"/>
      <c r="E150" s="69">
        <f>ROUND(IFERROR(VLOOKUP(A150,'CAP4-5'!$A:$G,7,FALSE()),""),0)</f>
        <v>205024</v>
      </c>
      <c r="F150" s="69">
        <f t="shared" si="4"/>
        <v>0</v>
      </c>
    </row>
    <row r="151" spans="1:7">
      <c r="A151" s="67" t="s">
        <v>310</v>
      </c>
      <c r="B151" s="72" t="s">
        <v>311</v>
      </c>
      <c r="C151" s="73" t="s">
        <v>23</v>
      </c>
      <c r="D151" s="68"/>
      <c r="E151" s="69">
        <f>ROUND(IFERROR(VLOOKUP(A151,'CAP4-5'!$A:$G,7,FALSE()),""),0)</f>
        <v>500553</v>
      </c>
      <c r="F151" s="69">
        <f t="shared" si="4"/>
        <v>0</v>
      </c>
    </row>
    <row r="152" spans="1:7">
      <c r="A152" s="67" t="s">
        <v>312</v>
      </c>
      <c r="B152" s="72" t="s">
        <v>313</v>
      </c>
      <c r="C152" s="73" t="s">
        <v>23</v>
      </c>
      <c r="D152" s="68"/>
      <c r="E152" s="69">
        <f>ROUND(IFERROR(VLOOKUP(A152,'CAP4-5'!$A:$G,7,FALSE()),""),0)</f>
        <v>720011</v>
      </c>
      <c r="F152" s="69">
        <f t="shared" si="4"/>
        <v>0</v>
      </c>
    </row>
    <row r="153" spans="1:7">
      <c r="A153" s="67" t="s">
        <v>314</v>
      </c>
      <c r="B153" s="72" t="s">
        <v>315</v>
      </c>
      <c r="C153" s="73" t="s">
        <v>23</v>
      </c>
      <c r="D153" s="68"/>
      <c r="E153" s="69">
        <f>ROUND(IFERROR(VLOOKUP(A153,'CAP4-5'!$A:$G,7,FALSE()),""),0)</f>
        <v>751276</v>
      </c>
      <c r="F153" s="69">
        <f t="shared" si="4"/>
        <v>0</v>
      </c>
    </row>
    <row r="154" spans="1:7">
      <c r="A154" s="67" t="s">
        <v>316</v>
      </c>
      <c r="B154" s="72" t="s">
        <v>317</v>
      </c>
      <c r="C154" s="73" t="s">
        <v>23</v>
      </c>
      <c r="D154" s="68"/>
      <c r="E154" s="69">
        <f>ROUND(IFERROR(VLOOKUP(A154,'CAP4-5'!$A:$G,7,FALSE()),""),0)</f>
        <v>933448</v>
      </c>
      <c r="F154" s="69">
        <f t="shared" si="4"/>
        <v>0</v>
      </c>
    </row>
    <row r="155" spans="1:7">
      <c r="A155" s="67" t="s">
        <v>318</v>
      </c>
      <c r="B155" s="72" t="s">
        <v>319</v>
      </c>
      <c r="C155" s="73" t="s">
        <v>23</v>
      </c>
      <c r="D155" s="68"/>
      <c r="E155" s="69">
        <f>ROUND(IFERROR(VLOOKUP(A155,'CAP4-5'!$A:$G,7,FALSE()),""),0)</f>
        <v>764147</v>
      </c>
      <c r="F155" s="69">
        <f t="shared" si="4"/>
        <v>0</v>
      </c>
    </row>
    <row r="156" spans="1:7">
      <c r="A156" s="67" t="s">
        <v>320</v>
      </c>
      <c r="B156" s="72" t="s">
        <v>321</v>
      </c>
      <c r="C156" s="73" t="s">
        <v>23</v>
      </c>
      <c r="D156" s="68"/>
      <c r="E156" s="69">
        <f>ROUND(IFERROR(VLOOKUP(A156,'CAP4-5'!$A:$G,7,FALSE()),""),0)</f>
        <v>1006279</v>
      </c>
      <c r="F156" s="69">
        <f t="shared" si="4"/>
        <v>0</v>
      </c>
    </row>
    <row r="157" spans="1:7">
      <c r="A157" s="67" t="s">
        <v>322</v>
      </c>
      <c r="B157" s="72" t="s">
        <v>323</v>
      </c>
      <c r="C157" s="73" t="s">
        <v>23</v>
      </c>
      <c r="D157" s="68"/>
      <c r="E157" s="69">
        <f>ROUND(IFERROR(VLOOKUP(A157,'CAP4-5'!$A:$G,7,FALSE()),""),0)</f>
        <v>317530</v>
      </c>
      <c r="F157" s="69">
        <f t="shared" si="4"/>
        <v>0</v>
      </c>
    </row>
    <row r="158" spans="1:7">
      <c r="A158" s="67" t="s">
        <v>324</v>
      </c>
      <c r="B158" s="72" t="s">
        <v>325</v>
      </c>
      <c r="C158" s="73" t="s">
        <v>23</v>
      </c>
      <c r="D158" s="68"/>
      <c r="E158" s="69">
        <f>ROUND(IFERROR(VLOOKUP(A158,'CAP4-5'!$A:$G,7,FALSE()),""),0)</f>
        <v>75315</v>
      </c>
      <c r="F158" s="69">
        <f t="shared" si="4"/>
        <v>0</v>
      </c>
    </row>
    <row r="159" spans="1:7">
      <c r="A159" s="67" t="s">
        <v>326</v>
      </c>
      <c r="B159" s="72" t="s">
        <v>327</v>
      </c>
      <c r="C159" s="73" t="s">
        <v>23</v>
      </c>
      <c r="D159" s="68"/>
      <c r="E159" s="69">
        <f>ROUND(IFERROR(VLOOKUP(A159,'CAP4-5'!$A:$G,7,FALSE()),""),0)</f>
        <v>293504</v>
      </c>
      <c r="F159" s="69">
        <f t="shared" si="4"/>
        <v>0</v>
      </c>
    </row>
    <row r="160" spans="1:7">
      <c r="A160" s="67" t="s">
        <v>328</v>
      </c>
      <c r="B160" s="72" t="s">
        <v>329</v>
      </c>
      <c r="C160" s="73" t="s">
        <v>23</v>
      </c>
      <c r="D160" s="68"/>
      <c r="E160" s="69">
        <f>ROUND(IFERROR(VLOOKUP(A160,'CAP4-5'!$A:$G,7,FALSE()),""),0)</f>
        <v>63200</v>
      </c>
      <c r="F160" s="69">
        <f t="shared" si="4"/>
        <v>0</v>
      </c>
    </row>
    <row r="161" spans="1:8">
      <c r="A161" s="67" t="s">
        <v>330</v>
      </c>
      <c r="B161" s="72" t="s">
        <v>331</v>
      </c>
      <c r="C161" s="73" t="s">
        <v>23</v>
      </c>
      <c r="D161" s="68"/>
      <c r="E161" s="69">
        <f>ROUND(IFERROR(VLOOKUP(A161,'CAP4-5'!$A:$G,7,FALSE()),""),0)</f>
        <v>40468</v>
      </c>
      <c r="F161" s="69">
        <f t="shared" si="4"/>
        <v>0</v>
      </c>
    </row>
    <row r="162" spans="1:8">
      <c r="A162" s="67" t="s">
        <v>332</v>
      </c>
      <c r="B162" s="72" t="s">
        <v>333</v>
      </c>
      <c r="C162" s="73" t="s">
        <v>23</v>
      </c>
      <c r="D162" s="68"/>
      <c r="E162" s="69">
        <f>ROUND(IFERROR(VLOOKUP(A162,'CAP4-5'!$A:$G,7,FALSE()),""),0)</f>
        <v>128026</v>
      </c>
      <c r="F162" s="69">
        <f t="shared" si="4"/>
        <v>0</v>
      </c>
    </row>
    <row r="163" spans="1:8" s="74" customFormat="1">
      <c r="A163" s="60" t="s">
        <v>334</v>
      </c>
      <c r="B163" s="61" t="s">
        <v>335</v>
      </c>
      <c r="C163" s="62"/>
      <c r="D163" s="63"/>
      <c r="E163" s="64"/>
      <c r="F163" s="65">
        <f>SUM(F164:F293)</f>
        <v>0</v>
      </c>
      <c r="G163" s="66">
        <f>IFERROR(F163/$F$1279,"")</f>
        <v>0</v>
      </c>
      <c r="H163" s="3"/>
    </row>
    <row r="164" spans="1:8">
      <c r="A164" s="67" t="s">
        <v>336</v>
      </c>
      <c r="B164" s="29" t="s">
        <v>337</v>
      </c>
      <c r="C164" s="30" t="s">
        <v>338</v>
      </c>
      <c r="D164" s="68"/>
      <c r="E164" s="69">
        <f>ROUND(IFERROR(VLOOKUP(A164,'CAP4-5'!$A:$G,7,FALSE()),""),0)</f>
        <v>9340</v>
      </c>
      <c r="F164" s="69">
        <f t="shared" ref="F164:F195" si="5">IFERROR(E164*D164,"")</f>
        <v>0</v>
      </c>
    </row>
    <row r="165" spans="1:8">
      <c r="A165" s="67" t="s">
        <v>339</v>
      </c>
      <c r="B165" s="75" t="s">
        <v>340</v>
      </c>
      <c r="C165" s="30" t="s">
        <v>30</v>
      </c>
      <c r="D165" s="68"/>
      <c r="E165" s="69">
        <f>ROUND(IFERROR(VLOOKUP(A165,'CAP4-5'!$A:$G,7,FALSE()),""),0)</f>
        <v>62761</v>
      </c>
      <c r="F165" s="69">
        <f t="shared" si="5"/>
        <v>0</v>
      </c>
    </row>
    <row r="166" spans="1:8">
      <c r="A166" s="67" t="s">
        <v>341</v>
      </c>
      <c r="B166" s="75" t="s">
        <v>342</v>
      </c>
      <c r="C166" s="30" t="s">
        <v>30</v>
      </c>
      <c r="D166" s="68"/>
      <c r="E166" s="69">
        <f>ROUND(IFERROR(VLOOKUP(A166,'CAP4-5'!$A:$G,7,FALSE()),""),0)</f>
        <v>119015</v>
      </c>
      <c r="F166" s="69">
        <f t="shared" si="5"/>
        <v>0</v>
      </c>
    </row>
    <row r="167" spans="1:8">
      <c r="A167" s="67" t="s">
        <v>343</v>
      </c>
      <c r="B167" s="72" t="s">
        <v>344</v>
      </c>
      <c r="C167" s="73" t="s">
        <v>52</v>
      </c>
      <c r="D167" s="68"/>
      <c r="E167" s="69">
        <f>ROUND(IFERROR(VLOOKUP(A167,'CAP4-5'!$A:$G,7,FALSE()),""),0)</f>
        <v>1188484</v>
      </c>
      <c r="F167" s="69">
        <f t="shared" si="5"/>
        <v>0</v>
      </c>
    </row>
    <row r="168" spans="1:8">
      <c r="A168" s="67" t="s">
        <v>345</v>
      </c>
      <c r="B168" s="72" t="s">
        <v>346</v>
      </c>
      <c r="C168" s="73" t="s">
        <v>52</v>
      </c>
      <c r="D168" s="68"/>
      <c r="E168" s="69">
        <f>ROUND(IFERROR(VLOOKUP(A168,'CAP4-5'!$A:$G,7,FALSE()),""),0)</f>
        <v>1141184</v>
      </c>
      <c r="F168" s="69">
        <f t="shared" si="5"/>
        <v>0</v>
      </c>
    </row>
    <row r="169" spans="1:8">
      <c r="A169" s="67" t="s">
        <v>347</v>
      </c>
      <c r="B169" s="72" t="s">
        <v>348</v>
      </c>
      <c r="C169" s="73" t="s">
        <v>52</v>
      </c>
      <c r="D169" s="68"/>
      <c r="E169" s="69">
        <f>ROUND(IFERROR(VLOOKUP(A169,'CAP4-5'!$A:$G,7,FALSE()),""),0)</f>
        <v>1117007</v>
      </c>
      <c r="F169" s="69">
        <f t="shared" si="5"/>
        <v>0</v>
      </c>
    </row>
    <row r="170" spans="1:8">
      <c r="A170" s="67" t="s">
        <v>349</v>
      </c>
      <c r="B170" s="72" t="s">
        <v>350</v>
      </c>
      <c r="C170" s="73" t="s">
        <v>52</v>
      </c>
      <c r="D170" s="68"/>
      <c r="E170" s="69">
        <f>ROUND(IFERROR(VLOOKUP(A170,'CAP4-5'!$A:$G,7,FALSE()),""),0)</f>
        <v>1086034</v>
      </c>
      <c r="F170" s="69">
        <f t="shared" si="5"/>
        <v>0</v>
      </c>
    </row>
    <row r="171" spans="1:8">
      <c r="A171" s="67" t="s">
        <v>351</v>
      </c>
      <c r="B171" s="72" t="s">
        <v>352</v>
      </c>
      <c r="C171" s="73" t="s">
        <v>52</v>
      </c>
      <c r="D171" s="68"/>
      <c r="E171" s="69">
        <f>ROUND(IFERROR(VLOOKUP(A171,'CAP4-5'!$A:$G,7,FALSE()),""),0)</f>
        <v>1208047</v>
      </c>
      <c r="F171" s="69">
        <f t="shared" si="5"/>
        <v>0</v>
      </c>
    </row>
    <row r="172" spans="1:8">
      <c r="A172" s="67" t="s">
        <v>353</v>
      </c>
      <c r="B172" s="72" t="s">
        <v>354</v>
      </c>
      <c r="C172" s="73" t="s">
        <v>52</v>
      </c>
      <c r="D172" s="68"/>
      <c r="E172" s="69">
        <f>ROUND(IFERROR(VLOOKUP(A172,'CAP4-5'!$A:$G,7,FALSE()),""),0)</f>
        <v>1160746</v>
      </c>
      <c r="F172" s="69">
        <f t="shared" si="5"/>
        <v>0</v>
      </c>
    </row>
    <row r="173" spans="1:8">
      <c r="A173" s="67" t="s">
        <v>355</v>
      </c>
      <c r="B173" s="72" t="s">
        <v>356</v>
      </c>
      <c r="C173" s="73" t="s">
        <v>52</v>
      </c>
      <c r="D173" s="68"/>
      <c r="E173" s="69">
        <f>ROUND(IFERROR(VLOOKUP(A173,'CAP4-5'!$A:$G,7,FALSE()),""),0)</f>
        <v>1136569</v>
      </c>
      <c r="F173" s="69">
        <f t="shared" si="5"/>
        <v>0</v>
      </c>
    </row>
    <row r="174" spans="1:8">
      <c r="A174" s="67" t="s">
        <v>357</v>
      </c>
      <c r="B174" s="72" t="s">
        <v>358</v>
      </c>
      <c r="C174" s="73" t="s">
        <v>52</v>
      </c>
      <c r="D174" s="68"/>
      <c r="E174" s="69">
        <f>ROUND(IFERROR(VLOOKUP(A174,'CAP4-5'!$A:$G,7,FALSE()),""),0)</f>
        <v>1105596</v>
      </c>
      <c r="F174" s="69">
        <f t="shared" si="5"/>
        <v>0</v>
      </c>
    </row>
    <row r="175" spans="1:8">
      <c r="A175" s="67" t="s">
        <v>359</v>
      </c>
      <c r="B175" s="72" t="s">
        <v>360</v>
      </c>
      <c r="C175" s="73" t="s">
        <v>52</v>
      </c>
      <c r="D175" s="68"/>
      <c r="E175" s="69">
        <f>ROUND(IFERROR(VLOOKUP(A175,'CAP4-5'!$A:$G,7,FALSE()),""),0)</f>
        <v>1238143</v>
      </c>
      <c r="F175" s="69">
        <f t="shared" si="5"/>
        <v>0</v>
      </c>
    </row>
    <row r="176" spans="1:8">
      <c r="A176" s="67" t="s">
        <v>361</v>
      </c>
      <c r="B176" s="72" t="s">
        <v>362</v>
      </c>
      <c r="C176" s="73" t="s">
        <v>52</v>
      </c>
      <c r="D176" s="68"/>
      <c r="E176" s="69">
        <f>ROUND(IFERROR(VLOOKUP(A176,'CAP4-5'!$A:$G,7,FALSE()),""),0)</f>
        <v>1190842</v>
      </c>
      <c r="F176" s="69">
        <f t="shared" si="5"/>
        <v>0</v>
      </c>
    </row>
    <row r="177" spans="1:6">
      <c r="A177" s="67" t="s">
        <v>363</v>
      </c>
      <c r="B177" s="72" t="s">
        <v>364</v>
      </c>
      <c r="C177" s="73" t="s">
        <v>52</v>
      </c>
      <c r="D177" s="68"/>
      <c r="E177" s="69">
        <f>ROUND(IFERROR(VLOOKUP(A177,'CAP4-5'!$A:$G,7,FALSE()),""),0)</f>
        <v>1166666</v>
      </c>
      <c r="F177" s="69">
        <f t="shared" si="5"/>
        <v>0</v>
      </c>
    </row>
    <row r="178" spans="1:6">
      <c r="A178" s="67" t="s">
        <v>365</v>
      </c>
      <c r="B178" s="72" t="s">
        <v>366</v>
      </c>
      <c r="C178" s="73" t="s">
        <v>52</v>
      </c>
      <c r="D178" s="68"/>
      <c r="E178" s="69">
        <f>ROUND(IFERROR(VLOOKUP(A178,'CAP4-5'!$A:$G,7,FALSE()),""),0)</f>
        <v>1135693</v>
      </c>
      <c r="F178" s="69">
        <f t="shared" si="5"/>
        <v>0</v>
      </c>
    </row>
    <row r="179" spans="1:6">
      <c r="A179" s="67" t="s">
        <v>367</v>
      </c>
      <c r="B179" s="72" t="s">
        <v>368</v>
      </c>
      <c r="C179" s="73" t="s">
        <v>52</v>
      </c>
      <c r="D179" s="68"/>
      <c r="E179" s="69">
        <f>ROUND(IFERROR(VLOOKUP(A179,'CAP4-5'!$A:$G,7,FALSE()),""),0)</f>
        <v>1324683</v>
      </c>
      <c r="F179" s="69">
        <f t="shared" si="5"/>
        <v>0</v>
      </c>
    </row>
    <row r="180" spans="1:6">
      <c r="A180" s="67" t="s">
        <v>369</v>
      </c>
      <c r="B180" s="72" t="s">
        <v>370</v>
      </c>
      <c r="C180" s="73" t="s">
        <v>52</v>
      </c>
      <c r="D180" s="68"/>
      <c r="E180" s="69">
        <f>ROUND(IFERROR(VLOOKUP(A180,'CAP4-5'!$A:$G,7,FALSE()),""),0)</f>
        <v>1240868</v>
      </c>
      <c r="F180" s="69">
        <f t="shared" si="5"/>
        <v>0</v>
      </c>
    </row>
    <row r="181" spans="1:6">
      <c r="A181" s="67" t="s">
        <v>371</v>
      </c>
      <c r="B181" s="72" t="s">
        <v>372</v>
      </c>
      <c r="C181" s="73" t="s">
        <v>52</v>
      </c>
      <c r="D181" s="68"/>
      <c r="E181" s="69">
        <f>ROUND(IFERROR(VLOOKUP(A181,'CAP4-5'!$A:$G,7,FALSE()),""),0)</f>
        <v>1186633</v>
      </c>
      <c r="F181" s="69">
        <f t="shared" si="5"/>
        <v>0</v>
      </c>
    </row>
    <row r="182" spans="1:6">
      <c r="A182" s="67" t="s">
        <v>373</v>
      </c>
      <c r="B182" s="72" t="s">
        <v>374</v>
      </c>
      <c r="C182" s="73" t="s">
        <v>52</v>
      </c>
      <c r="D182" s="68"/>
      <c r="E182" s="69">
        <f>ROUND(IFERROR(VLOOKUP(A182,'CAP4-5'!$A:$G,7,FALSE()),""),0)</f>
        <v>1154561</v>
      </c>
      <c r="F182" s="69">
        <f t="shared" si="5"/>
        <v>0</v>
      </c>
    </row>
    <row r="183" spans="1:6">
      <c r="A183" s="67" t="s">
        <v>375</v>
      </c>
      <c r="B183" s="72" t="s">
        <v>376</v>
      </c>
      <c r="C183" s="73" t="s">
        <v>52</v>
      </c>
      <c r="D183" s="68"/>
      <c r="E183" s="69">
        <f>ROUND(IFERROR(VLOOKUP(A183,'CAP4-5'!$A:$G,7,FALSE()),""),0)</f>
        <v>1344245</v>
      </c>
      <c r="F183" s="69">
        <f t="shared" si="5"/>
        <v>0</v>
      </c>
    </row>
    <row r="184" spans="1:6">
      <c r="A184" s="67" t="s">
        <v>377</v>
      </c>
      <c r="B184" s="72" t="s">
        <v>378</v>
      </c>
      <c r="C184" s="73" t="s">
        <v>52</v>
      </c>
      <c r="D184" s="68"/>
      <c r="E184" s="69">
        <f>ROUND(IFERROR(VLOOKUP(A184,'CAP4-5'!$A:$G,7,FALSE()),""),0)</f>
        <v>1260431</v>
      </c>
      <c r="F184" s="69">
        <f t="shared" si="5"/>
        <v>0</v>
      </c>
    </row>
    <row r="185" spans="1:6">
      <c r="A185" s="67" t="s">
        <v>379</v>
      </c>
      <c r="B185" s="72" t="s">
        <v>380</v>
      </c>
      <c r="C185" s="73" t="s">
        <v>52</v>
      </c>
      <c r="D185" s="68"/>
      <c r="E185" s="69">
        <f>ROUND(IFERROR(VLOOKUP(A185,'CAP4-5'!$A:$G,7,FALSE()),""),0)</f>
        <v>1206195</v>
      </c>
      <c r="F185" s="69">
        <f t="shared" si="5"/>
        <v>0</v>
      </c>
    </row>
    <row r="186" spans="1:6">
      <c r="A186" s="67" t="s">
        <v>381</v>
      </c>
      <c r="B186" s="72" t="s">
        <v>382</v>
      </c>
      <c r="C186" s="73" t="s">
        <v>52</v>
      </c>
      <c r="D186" s="68"/>
      <c r="E186" s="69">
        <f>ROUND(IFERROR(VLOOKUP(A186,'CAP4-5'!$A:$G,7,FALSE()),""),0)</f>
        <v>1174123</v>
      </c>
      <c r="F186" s="69">
        <f t="shared" si="5"/>
        <v>0</v>
      </c>
    </row>
    <row r="187" spans="1:6">
      <c r="A187" s="67" t="s">
        <v>383</v>
      </c>
      <c r="B187" s="72" t="s">
        <v>384</v>
      </c>
      <c r="C187" s="73" t="s">
        <v>52</v>
      </c>
      <c r="D187" s="68"/>
      <c r="E187" s="69">
        <f>ROUND(IFERROR(VLOOKUP(A187,'CAP4-5'!$A:$G,7,FALSE()),""),0)</f>
        <v>1374341</v>
      </c>
      <c r="F187" s="69">
        <f t="shared" si="5"/>
        <v>0</v>
      </c>
    </row>
    <row r="188" spans="1:6">
      <c r="A188" s="67" t="s">
        <v>385</v>
      </c>
      <c r="B188" s="72" t="s">
        <v>386</v>
      </c>
      <c r="C188" s="73" t="s">
        <v>52</v>
      </c>
      <c r="D188" s="68"/>
      <c r="E188" s="69">
        <f>ROUND(IFERROR(VLOOKUP(A188,'CAP4-5'!$A:$G,7,FALSE()),""),0)</f>
        <v>1290527</v>
      </c>
      <c r="F188" s="69">
        <f t="shared" si="5"/>
        <v>0</v>
      </c>
    </row>
    <row r="189" spans="1:6">
      <c r="A189" s="67" t="s">
        <v>387</v>
      </c>
      <c r="B189" s="72" t="s">
        <v>388</v>
      </c>
      <c r="C189" s="73" t="s">
        <v>52</v>
      </c>
      <c r="D189" s="68"/>
      <c r="E189" s="69">
        <f>ROUND(IFERROR(VLOOKUP(A189,'CAP4-5'!$A:$G,7,FALSE()),""),0)</f>
        <v>1236292</v>
      </c>
      <c r="F189" s="69">
        <f t="shared" si="5"/>
        <v>0</v>
      </c>
    </row>
    <row r="190" spans="1:6">
      <c r="A190" s="67" t="s">
        <v>389</v>
      </c>
      <c r="B190" s="72" t="s">
        <v>390</v>
      </c>
      <c r="C190" s="73" t="s">
        <v>52</v>
      </c>
      <c r="D190" s="68"/>
      <c r="E190" s="69">
        <f>ROUND(IFERROR(VLOOKUP(A190,'CAP4-5'!$A:$G,7,FALSE()),""),0)</f>
        <v>1204219</v>
      </c>
      <c r="F190" s="69">
        <f t="shared" si="5"/>
        <v>0</v>
      </c>
    </row>
    <row r="191" spans="1:6">
      <c r="A191" s="67" t="s">
        <v>391</v>
      </c>
      <c r="B191" s="29" t="s">
        <v>392</v>
      </c>
      <c r="C191" s="30" t="s">
        <v>52</v>
      </c>
      <c r="D191" s="68"/>
      <c r="E191" s="69">
        <f>ROUND(IFERROR(VLOOKUP(A191,'CAP4-5'!$A:$G,7,FALSE()),""),0)</f>
        <v>747228</v>
      </c>
      <c r="F191" s="69">
        <f t="shared" si="5"/>
        <v>0</v>
      </c>
    </row>
    <row r="192" spans="1:6">
      <c r="A192" s="67" t="s">
        <v>393</v>
      </c>
      <c r="B192" s="29" t="s">
        <v>394</v>
      </c>
      <c r="C192" s="30" t="s">
        <v>52</v>
      </c>
      <c r="D192" s="68"/>
      <c r="E192" s="69">
        <f>ROUND(IFERROR(VLOOKUP(A192,'CAP4-5'!$A:$G,7,FALSE()),""),0)</f>
        <v>913680</v>
      </c>
      <c r="F192" s="69">
        <f t="shared" si="5"/>
        <v>0</v>
      </c>
    </row>
    <row r="193" spans="1:6">
      <c r="A193" s="67" t="s">
        <v>395</v>
      </c>
      <c r="B193" s="29" t="s">
        <v>396</v>
      </c>
      <c r="C193" s="30" t="s">
        <v>52</v>
      </c>
      <c r="D193" s="68"/>
      <c r="E193" s="69">
        <f>ROUND(IFERROR(VLOOKUP(A193,'CAP4-5'!$A:$G,7,FALSE()),""),0)</f>
        <v>917732</v>
      </c>
      <c r="F193" s="69">
        <f t="shared" ref="F193" si="6">IFERROR(E193*D193,"")</f>
        <v>0</v>
      </c>
    </row>
    <row r="194" spans="1:6">
      <c r="A194" s="67" t="s">
        <v>397</v>
      </c>
      <c r="B194" s="29" t="s">
        <v>398</v>
      </c>
      <c r="C194" s="30" t="s">
        <v>52</v>
      </c>
      <c r="D194" s="68"/>
      <c r="E194" s="69">
        <f>ROUND(IFERROR(VLOOKUP(A194,'CAP4-5'!$A:$G,7,FALSE()),""),0)</f>
        <v>921783</v>
      </c>
      <c r="F194" s="69">
        <f t="shared" si="5"/>
        <v>0</v>
      </c>
    </row>
    <row r="195" spans="1:6">
      <c r="A195" s="67" t="s">
        <v>399</v>
      </c>
      <c r="B195" s="29" t="s">
        <v>400</v>
      </c>
      <c r="C195" s="30" t="s">
        <v>52</v>
      </c>
      <c r="D195" s="68"/>
      <c r="E195" s="69">
        <f>ROUND(IFERROR(VLOOKUP(A195,'CAP4-5'!$A:$G,7,FALSE()),""),0)</f>
        <v>667099</v>
      </c>
      <c r="F195" s="69">
        <f t="shared" si="5"/>
        <v>0</v>
      </c>
    </row>
    <row r="196" spans="1:6">
      <c r="A196" s="67" t="s">
        <v>401</v>
      </c>
      <c r="B196" s="29" t="s">
        <v>402</v>
      </c>
      <c r="C196" s="30" t="s">
        <v>52</v>
      </c>
      <c r="D196" s="68"/>
      <c r="E196" s="69">
        <f>ROUND(IFERROR(VLOOKUP(A196,'CAP4-5'!$A:$G,7,FALSE()),""),0)</f>
        <v>686661</v>
      </c>
      <c r="F196" s="69">
        <f t="shared" ref="F196:F231" si="7">IFERROR(E196*D196,"")</f>
        <v>0</v>
      </c>
    </row>
    <row r="197" spans="1:6">
      <c r="A197" s="67" t="s">
        <v>403</v>
      </c>
      <c r="B197" s="29" t="s">
        <v>404</v>
      </c>
      <c r="C197" s="30" t="s">
        <v>52</v>
      </c>
      <c r="D197" s="68"/>
      <c r="E197" s="69">
        <f>ROUND(IFERROR(VLOOKUP(A197,'CAP4-5'!$A:$G,7,FALSE()),""),0)</f>
        <v>716757</v>
      </c>
      <c r="F197" s="69">
        <f t="shared" si="7"/>
        <v>0</v>
      </c>
    </row>
    <row r="198" spans="1:6">
      <c r="A198" s="67" t="s">
        <v>405</v>
      </c>
      <c r="B198" s="29" t="s">
        <v>406</v>
      </c>
      <c r="C198" s="30" t="s">
        <v>52</v>
      </c>
      <c r="D198" s="68"/>
      <c r="E198" s="69">
        <f>ROUND(IFERROR(VLOOKUP(A198,'CAP4-5'!$A:$G,7,FALSE()),""),0)</f>
        <v>725315</v>
      </c>
      <c r="F198" s="69">
        <f t="shared" si="7"/>
        <v>0</v>
      </c>
    </row>
    <row r="199" spans="1:6">
      <c r="A199" s="67" t="s">
        <v>407</v>
      </c>
      <c r="B199" s="29" t="s">
        <v>408</v>
      </c>
      <c r="C199" s="30" t="s">
        <v>52</v>
      </c>
      <c r="D199" s="68"/>
      <c r="E199" s="69">
        <f>ROUND(IFERROR(VLOOKUP(A199,'CAP4-5'!$A:$G,7,FALSE()),""),0)</f>
        <v>759431</v>
      </c>
      <c r="F199" s="69">
        <f t="shared" si="7"/>
        <v>0</v>
      </c>
    </row>
    <row r="200" spans="1:6">
      <c r="A200" s="67" t="s">
        <v>409</v>
      </c>
      <c r="B200" s="29" t="s">
        <v>410</v>
      </c>
      <c r="C200" s="30" t="s">
        <v>52</v>
      </c>
      <c r="D200" s="68"/>
      <c r="E200" s="69">
        <f>ROUND(IFERROR(VLOOKUP(A200,'CAP4-5'!$A:$G,7,FALSE()),""),0)</f>
        <v>773985</v>
      </c>
      <c r="F200" s="69">
        <f t="shared" si="7"/>
        <v>0</v>
      </c>
    </row>
    <row r="201" spans="1:6">
      <c r="A201" s="67" t="s">
        <v>411</v>
      </c>
      <c r="B201" s="75" t="s">
        <v>412</v>
      </c>
      <c r="C201" s="30" t="s">
        <v>30</v>
      </c>
      <c r="D201" s="68"/>
      <c r="E201" s="69">
        <f>ROUND(IFERROR(VLOOKUP(A201,'CAP4-5'!$A:$G,7,FALSE()),""),0)</f>
        <v>88698</v>
      </c>
      <c r="F201" s="69">
        <f t="shared" si="7"/>
        <v>0</v>
      </c>
    </row>
    <row r="202" spans="1:6">
      <c r="A202" s="67" t="s">
        <v>413</v>
      </c>
      <c r="B202" s="75" t="s">
        <v>414</v>
      </c>
      <c r="C202" s="30" t="s">
        <v>30</v>
      </c>
      <c r="D202" s="68"/>
      <c r="E202" s="69">
        <f>ROUND(IFERROR(VLOOKUP(A202,'CAP4-5'!$A:$G,7,FALSE()),""),0)</f>
        <v>83590</v>
      </c>
      <c r="F202" s="69">
        <f t="shared" si="7"/>
        <v>0</v>
      </c>
    </row>
    <row r="203" spans="1:6">
      <c r="A203" s="67" t="s">
        <v>415</v>
      </c>
      <c r="B203" s="29" t="s">
        <v>416</v>
      </c>
      <c r="C203" s="30" t="s">
        <v>30</v>
      </c>
      <c r="D203" s="68"/>
      <c r="E203" s="69">
        <f>ROUND(IFERROR(VLOOKUP(A203,'CAP4-5'!$A:$G,7,FALSE()),""),0)</f>
        <v>13920</v>
      </c>
      <c r="F203" s="69">
        <f t="shared" si="7"/>
        <v>0</v>
      </c>
    </row>
    <row r="204" spans="1:6">
      <c r="A204" s="67" t="s">
        <v>417</v>
      </c>
      <c r="B204" s="29" t="s">
        <v>418</v>
      </c>
      <c r="C204" s="30" t="s">
        <v>338</v>
      </c>
      <c r="D204" s="68"/>
      <c r="E204" s="69">
        <f>ROUND(IFERROR(VLOOKUP(A204,'CAP4-5'!$A:$G,7,FALSE()),""),0)</f>
        <v>15931</v>
      </c>
      <c r="F204" s="69">
        <f>IFERROR(E204*D204,"")</f>
        <v>0</v>
      </c>
    </row>
    <row r="205" spans="1:6">
      <c r="A205" s="67" t="s">
        <v>419</v>
      </c>
      <c r="B205" s="29" t="s">
        <v>420</v>
      </c>
      <c r="C205" s="30" t="s">
        <v>20</v>
      </c>
      <c r="D205" s="68"/>
      <c r="E205" s="69">
        <f>ROUND(IFERROR(VLOOKUP(A205,'CAP4-5'!$A:$G,7,FALSE()),""),0)</f>
        <v>244451</v>
      </c>
      <c r="F205" s="69">
        <f t="shared" si="7"/>
        <v>0</v>
      </c>
    </row>
    <row r="206" spans="1:6">
      <c r="A206" s="67" t="s">
        <v>421</v>
      </c>
      <c r="B206" s="29" t="s">
        <v>422</v>
      </c>
      <c r="C206" s="30" t="s">
        <v>20</v>
      </c>
      <c r="D206" s="68"/>
      <c r="E206" s="69">
        <f>ROUND(IFERROR(VLOOKUP(A206,'CAP4-5'!$A:$G,7,FALSE()),""),0)</f>
        <v>262826</v>
      </c>
      <c r="F206" s="69">
        <f t="shared" si="7"/>
        <v>0</v>
      </c>
    </row>
    <row r="207" spans="1:6">
      <c r="A207" s="67" t="s">
        <v>423</v>
      </c>
      <c r="B207" s="29" t="s">
        <v>424</v>
      </c>
      <c r="C207" s="30" t="s">
        <v>20</v>
      </c>
      <c r="D207" s="68"/>
      <c r="E207" s="69">
        <f>ROUND(IFERROR(VLOOKUP(A207,'CAP4-5'!$A:$G,7,FALSE()),""),0)</f>
        <v>236080</v>
      </c>
      <c r="F207" s="69">
        <f t="shared" si="7"/>
        <v>0</v>
      </c>
    </row>
    <row r="208" spans="1:6">
      <c r="A208" s="67" t="s">
        <v>425</v>
      </c>
      <c r="B208" s="29" t="s">
        <v>426</v>
      </c>
      <c r="C208" s="30" t="s">
        <v>20</v>
      </c>
      <c r="D208" s="68"/>
      <c r="E208" s="69">
        <f>ROUND(IFERROR(VLOOKUP(A208,'CAP4-5'!$A:$G,7,FALSE()),""),0)</f>
        <v>366074</v>
      </c>
      <c r="F208" s="69">
        <f t="shared" si="7"/>
        <v>0</v>
      </c>
    </row>
    <row r="209" spans="1:6">
      <c r="A209" s="67" t="s">
        <v>427</v>
      </c>
      <c r="B209" s="29" t="s">
        <v>428</v>
      </c>
      <c r="C209" s="30" t="s">
        <v>20</v>
      </c>
      <c r="D209" s="68"/>
      <c r="E209" s="69">
        <f>ROUND(IFERROR(VLOOKUP(A209,'CAP4-5'!$A:$G,7,FALSE()),""),0)</f>
        <v>393435</v>
      </c>
      <c r="F209" s="69">
        <f t="shared" si="7"/>
        <v>0</v>
      </c>
    </row>
    <row r="210" spans="1:6">
      <c r="A210" s="67" t="s">
        <v>429</v>
      </c>
      <c r="B210" s="29" t="s">
        <v>430</v>
      </c>
      <c r="C210" s="30" t="s">
        <v>20</v>
      </c>
      <c r="D210" s="68"/>
      <c r="E210" s="69">
        <f>ROUND(IFERROR(VLOOKUP(A210,'CAP4-5'!$A:$G,7,FALSE()),""),0)</f>
        <v>441156</v>
      </c>
      <c r="F210" s="69">
        <f t="shared" si="7"/>
        <v>0</v>
      </c>
    </row>
    <row r="211" spans="1:6">
      <c r="A211" s="67" t="s">
        <v>431</v>
      </c>
      <c r="B211" s="29" t="s">
        <v>432</v>
      </c>
      <c r="C211" s="30" t="s">
        <v>20</v>
      </c>
      <c r="D211" s="68"/>
      <c r="E211" s="69">
        <f>ROUND(IFERROR(VLOOKUP(A211,'CAP4-5'!$A:$G,7,FALSE()),""),0)</f>
        <v>324979</v>
      </c>
      <c r="F211" s="69">
        <f t="shared" ref="F211" si="8">IFERROR(E211*D211,"")</f>
        <v>0</v>
      </c>
    </row>
    <row r="212" spans="1:6">
      <c r="A212" s="67" t="s">
        <v>433</v>
      </c>
      <c r="B212" s="29" t="s">
        <v>434</v>
      </c>
      <c r="C212" s="30" t="s">
        <v>30</v>
      </c>
      <c r="D212" s="68"/>
      <c r="E212" s="69">
        <f>ROUND(IFERROR(VLOOKUP(A212,'CAP4-5'!$A:$G,7,FALSE()),""),0)</f>
        <v>79696</v>
      </c>
      <c r="F212" s="69">
        <f t="shared" si="7"/>
        <v>0</v>
      </c>
    </row>
    <row r="213" spans="1:6">
      <c r="A213" s="67" t="s">
        <v>435</v>
      </c>
      <c r="B213" s="29" t="s">
        <v>436</v>
      </c>
      <c r="C213" s="30" t="s">
        <v>30</v>
      </c>
      <c r="D213" s="68"/>
      <c r="E213" s="69">
        <f>ROUND(IFERROR(VLOOKUP(A213,'CAP4-5'!$A:$G,7,FALSE()),""),0)</f>
        <v>163067</v>
      </c>
      <c r="F213" s="69">
        <f t="shared" ref="F213" si="9">IFERROR(E213*D213,"")</f>
        <v>0</v>
      </c>
    </row>
    <row r="214" spans="1:6">
      <c r="A214" s="67" t="s">
        <v>437</v>
      </c>
      <c r="B214" s="29" t="s">
        <v>438</v>
      </c>
      <c r="C214" s="30" t="s">
        <v>30</v>
      </c>
      <c r="D214" s="68"/>
      <c r="E214" s="69">
        <f>ROUND(IFERROR(VLOOKUP(A214,'CAP4-5'!$A:$G,7,FALSE()),""),0)</f>
        <v>117911</v>
      </c>
      <c r="F214" s="69">
        <f t="shared" si="7"/>
        <v>0</v>
      </c>
    </row>
    <row r="215" spans="1:6">
      <c r="A215" s="67" t="s">
        <v>439</v>
      </c>
      <c r="B215" s="29" t="s">
        <v>440</v>
      </c>
      <c r="C215" s="30" t="s">
        <v>30</v>
      </c>
      <c r="D215" s="68"/>
      <c r="E215" s="69">
        <f>ROUND(IFERROR(VLOOKUP(A215,'CAP4-5'!$A:$G,7,FALSE()),""),0)</f>
        <v>101055</v>
      </c>
      <c r="F215" s="69">
        <f t="shared" si="7"/>
        <v>0</v>
      </c>
    </row>
    <row r="216" spans="1:6">
      <c r="A216" s="67" t="s">
        <v>441</v>
      </c>
      <c r="B216" s="29" t="s">
        <v>442</v>
      </c>
      <c r="C216" s="30" t="s">
        <v>30</v>
      </c>
      <c r="D216" s="68"/>
      <c r="E216" s="69">
        <f>ROUND(IFERROR(VLOOKUP(A216,'CAP4-5'!$A:$G,7,FALSE()),""),0)</f>
        <v>158940</v>
      </c>
      <c r="F216" s="69">
        <f t="shared" si="7"/>
        <v>0</v>
      </c>
    </row>
    <row r="217" spans="1:6">
      <c r="A217" s="67" t="s">
        <v>443</v>
      </c>
      <c r="B217" s="29" t="s">
        <v>444</v>
      </c>
      <c r="C217" s="30" t="s">
        <v>52</v>
      </c>
      <c r="D217" s="68"/>
      <c r="E217" s="69">
        <f>ROUND(IFERROR(VLOOKUP(A217,'CAP4-5'!$A:$G,7,FALSE()),""),0)</f>
        <v>1123705</v>
      </c>
      <c r="F217" s="69">
        <f t="shared" si="7"/>
        <v>0</v>
      </c>
    </row>
    <row r="218" spans="1:6">
      <c r="A218" s="67" t="s">
        <v>445</v>
      </c>
      <c r="B218" s="29" t="s">
        <v>446</v>
      </c>
      <c r="C218" s="30" t="s">
        <v>20</v>
      </c>
      <c r="D218" s="68"/>
      <c r="E218" s="69">
        <f>ROUND(IFERROR(VLOOKUP(A218,'CAP4-5'!$A:$G,7,FALSE()),""),0)</f>
        <v>31269</v>
      </c>
      <c r="F218" s="69">
        <f t="shared" si="7"/>
        <v>0</v>
      </c>
    </row>
    <row r="219" spans="1:6">
      <c r="A219" s="67" t="s">
        <v>447</v>
      </c>
      <c r="B219" s="29" t="s">
        <v>448</v>
      </c>
      <c r="C219" s="30" t="s">
        <v>20</v>
      </c>
      <c r="D219" s="68"/>
      <c r="E219" s="69">
        <f>ROUND(IFERROR(VLOOKUP(A219,'CAP4-5'!$A:$G,7,FALSE()),""),0)</f>
        <v>24048</v>
      </c>
      <c r="F219" s="69">
        <f t="shared" si="7"/>
        <v>0</v>
      </c>
    </row>
    <row r="220" spans="1:6">
      <c r="A220" s="67" t="s">
        <v>449</v>
      </c>
      <c r="B220" s="29" t="s">
        <v>450</v>
      </c>
      <c r="C220" s="30" t="s">
        <v>20</v>
      </c>
      <c r="D220" s="68"/>
      <c r="E220" s="69">
        <f>ROUND(IFERROR(VLOOKUP(A220,'CAP4-5'!$A:$G,7,FALSE()),""),0)</f>
        <v>21659</v>
      </c>
      <c r="F220" s="69">
        <f t="shared" si="7"/>
        <v>0</v>
      </c>
    </row>
    <row r="221" spans="1:6">
      <c r="A221" s="67" t="s">
        <v>451</v>
      </c>
      <c r="B221" s="29" t="s">
        <v>452</v>
      </c>
      <c r="C221" s="30" t="s">
        <v>20</v>
      </c>
      <c r="D221" s="68"/>
      <c r="E221" s="69">
        <f>ROUND(IFERROR(VLOOKUP(A221,'CAP4-5'!$A:$G,7,FALSE()),""),0)</f>
        <v>20204</v>
      </c>
      <c r="F221" s="69">
        <f t="shared" si="7"/>
        <v>0</v>
      </c>
    </row>
    <row r="222" spans="1:6">
      <c r="A222" s="67" t="s">
        <v>453</v>
      </c>
      <c r="B222" s="29" t="s">
        <v>454</v>
      </c>
      <c r="C222" s="30" t="s">
        <v>20</v>
      </c>
      <c r="D222" s="68"/>
      <c r="E222" s="69">
        <f>ROUND(IFERROR(VLOOKUP(A222,'CAP4-5'!$A:$G,7,FALSE()),""),0)</f>
        <v>15529</v>
      </c>
      <c r="F222" s="69">
        <f t="shared" si="7"/>
        <v>0</v>
      </c>
    </row>
    <row r="223" spans="1:6">
      <c r="A223" s="67" t="s">
        <v>455</v>
      </c>
      <c r="B223" s="29" t="s">
        <v>456</v>
      </c>
      <c r="C223" s="30" t="s">
        <v>20</v>
      </c>
      <c r="D223" s="68"/>
      <c r="E223" s="69">
        <f>ROUND(IFERROR(VLOOKUP(A223,'CAP4-5'!$A:$G,7,FALSE()),""),0)</f>
        <v>13107</v>
      </c>
      <c r="F223" s="69">
        <f t="shared" si="7"/>
        <v>0</v>
      </c>
    </row>
    <row r="224" spans="1:6">
      <c r="A224" s="67" t="s">
        <v>457</v>
      </c>
      <c r="B224" s="29" t="s">
        <v>458</v>
      </c>
      <c r="C224" s="30" t="s">
        <v>52</v>
      </c>
      <c r="D224" s="68"/>
      <c r="E224" s="69">
        <f>ROUND(IFERROR(VLOOKUP(A224,'CAP4-5'!$A:$G,7,FALSE()),""),0)</f>
        <v>893028</v>
      </c>
      <c r="F224" s="69">
        <f t="shared" si="7"/>
        <v>0</v>
      </c>
    </row>
    <row r="225" spans="1:6">
      <c r="A225" s="67" t="s">
        <v>459</v>
      </c>
      <c r="B225" s="29" t="s">
        <v>460</v>
      </c>
      <c r="C225" s="30" t="s">
        <v>52</v>
      </c>
      <c r="D225" s="68"/>
      <c r="E225" s="69">
        <f>ROUND(IFERROR(VLOOKUP(A225,'CAP4-5'!$A:$G,7,FALSE()),""),0)</f>
        <v>912590</v>
      </c>
      <c r="F225" s="69">
        <f t="shared" si="7"/>
        <v>0</v>
      </c>
    </row>
    <row r="226" spans="1:6">
      <c r="A226" s="67" t="s">
        <v>461</v>
      </c>
      <c r="B226" s="29" t="s">
        <v>462</v>
      </c>
      <c r="C226" s="30" t="s">
        <v>52</v>
      </c>
      <c r="D226" s="68"/>
      <c r="E226" s="69">
        <f>ROUND(IFERROR(VLOOKUP(A226,'CAP4-5'!$A:$G,7,FALSE()),""),0)</f>
        <v>942686</v>
      </c>
      <c r="F226" s="69">
        <f t="shared" ref="F226" si="10">IFERROR(E226*D226,"")</f>
        <v>0</v>
      </c>
    </row>
    <row r="227" spans="1:6">
      <c r="A227" s="67" t="s">
        <v>463</v>
      </c>
      <c r="B227" s="29" t="s">
        <v>464</v>
      </c>
      <c r="C227" s="30" t="s">
        <v>52</v>
      </c>
      <c r="D227" s="68"/>
      <c r="E227" s="69">
        <f>ROUND(IFERROR(VLOOKUP(A227,'CAP4-5'!$A:$G,7,FALSE()),""),0)</f>
        <v>1517016</v>
      </c>
      <c r="F227" s="69">
        <f t="shared" si="7"/>
        <v>0</v>
      </c>
    </row>
    <row r="228" spans="1:6">
      <c r="A228" s="67" t="s">
        <v>465</v>
      </c>
      <c r="B228" s="29" t="s">
        <v>466</v>
      </c>
      <c r="C228" s="30" t="s">
        <v>52</v>
      </c>
      <c r="D228" s="68"/>
      <c r="E228" s="69">
        <f>ROUND(IFERROR(VLOOKUP(A228,'CAP4-5'!$A:$G,7,FALSE()),""),0)</f>
        <v>1536578</v>
      </c>
      <c r="F228" s="69">
        <f t="shared" ref="F228" si="11">IFERROR(E228*D228,"")</f>
        <v>0</v>
      </c>
    </row>
    <row r="229" spans="1:6">
      <c r="A229" s="67" t="s">
        <v>467</v>
      </c>
      <c r="B229" s="29" t="s">
        <v>468</v>
      </c>
      <c r="C229" s="30" t="s">
        <v>52</v>
      </c>
      <c r="D229" s="68"/>
      <c r="E229" s="69">
        <f>ROUND(IFERROR(VLOOKUP(A229,'CAP4-5'!$A:$G,7,FALSE()),""),0)</f>
        <v>1566674</v>
      </c>
      <c r="F229" s="69">
        <f t="shared" si="7"/>
        <v>0</v>
      </c>
    </row>
    <row r="230" spans="1:6">
      <c r="A230" s="67" t="s">
        <v>469</v>
      </c>
      <c r="B230" s="29" t="s">
        <v>470</v>
      </c>
      <c r="C230" s="30" t="s">
        <v>52</v>
      </c>
      <c r="D230" s="68"/>
      <c r="E230" s="69">
        <f>ROUND(IFERROR(VLOOKUP(A230,'CAP4-5'!$A:$G,7,FALSE()),""),0)</f>
        <v>1286201</v>
      </c>
      <c r="F230" s="69">
        <f t="shared" si="7"/>
        <v>0</v>
      </c>
    </row>
    <row r="231" spans="1:6">
      <c r="A231" s="67" t="s">
        <v>471</v>
      </c>
      <c r="B231" s="29" t="s">
        <v>472</v>
      </c>
      <c r="C231" s="30" t="s">
        <v>52</v>
      </c>
      <c r="D231" s="68"/>
      <c r="E231" s="69">
        <f>ROUND(IFERROR(VLOOKUP(A231,'CAP4-5'!$A:$G,7,FALSE()),""),0)</f>
        <v>1174325</v>
      </c>
      <c r="F231" s="69">
        <f t="shared" si="7"/>
        <v>0</v>
      </c>
    </row>
    <row r="232" spans="1:6">
      <c r="A232" s="67" t="s">
        <v>473</v>
      </c>
      <c r="B232" s="29" t="s">
        <v>474</v>
      </c>
      <c r="C232" s="30" t="s">
        <v>20</v>
      </c>
      <c r="D232" s="68"/>
      <c r="E232" s="69">
        <f>ROUND(IFERROR(VLOOKUP(A232,'CAP4-5'!$A:$G,7,FALSE()),""),0)</f>
        <v>224352</v>
      </c>
      <c r="F232" s="69">
        <f t="shared" ref="F232:F250" si="12">IFERROR(E232*D232,"")</f>
        <v>0</v>
      </c>
    </row>
    <row r="233" spans="1:6">
      <c r="A233" s="67" t="s">
        <v>475</v>
      </c>
      <c r="B233" s="29" t="s">
        <v>476</v>
      </c>
      <c r="C233" s="30" t="s">
        <v>20</v>
      </c>
      <c r="D233" s="68"/>
      <c r="E233" s="69">
        <f>ROUND(IFERROR(VLOOKUP(A233,'CAP4-5'!$A:$G,7,FALSE()),""),0)</f>
        <v>245998</v>
      </c>
      <c r="F233" s="69">
        <f t="shared" si="12"/>
        <v>0</v>
      </c>
    </row>
    <row r="234" spans="1:6">
      <c r="A234" s="67" t="s">
        <v>477</v>
      </c>
      <c r="B234" s="29" t="s">
        <v>478</v>
      </c>
      <c r="C234" s="30" t="s">
        <v>20</v>
      </c>
      <c r="D234" s="68"/>
      <c r="E234" s="69">
        <f>ROUND(IFERROR(VLOOKUP(A234,'CAP4-5'!$A:$G,7,FALSE()),""),0)</f>
        <v>281416</v>
      </c>
      <c r="F234" s="69">
        <f t="shared" si="12"/>
        <v>0</v>
      </c>
    </row>
    <row r="235" spans="1:6">
      <c r="A235" s="67" t="s">
        <v>479</v>
      </c>
      <c r="B235" s="29" t="s">
        <v>480</v>
      </c>
      <c r="C235" s="30" t="s">
        <v>20</v>
      </c>
      <c r="D235" s="68"/>
      <c r="E235" s="69">
        <f>ROUND(IFERROR(VLOOKUP(A235,'CAP4-5'!$A:$G,7,FALSE()),""),0)</f>
        <v>241278</v>
      </c>
      <c r="F235" s="69">
        <f t="shared" si="12"/>
        <v>0</v>
      </c>
    </row>
    <row r="236" spans="1:6">
      <c r="A236" s="67" t="s">
        <v>481</v>
      </c>
      <c r="B236" s="29" t="s">
        <v>482</v>
      </c>
      <c r="C236" s="30" t="s">
        <v>20</v>
      </c>
      <c r="D236" s="68"/>
      <c r="E236" s="69">
        <f>ROUND(IFERROR(VLOOKUP(A236,'CAP4-5'!$A:$G,7,FALSE()),""),0)</f>
        <v>268735</v>
      </c>
      <c r="F236" s="69">
        <f t="shared" si="12"/>
        <v>0</v>
      </c>
    </row>
    <row r="237" spans="1:6">
      <c r="A237" s="67" t="s">
        <v>483</v>
      </c>
      <c r="B237" s="29" t="s">
        <v>484</v>
      </c>
      <c r="C237" s="30" t="s">
        <v>20</v>
      </c>
      <c r="D237" s="68"/>
      <c r="E237" s="69">
        <f>ROUND(IFERROR(VLOOKUP(A237,'CAP4-5'!$A:$G,7,FALSE()),""),0)</f>
        <v>298342</v>
      </c>
      <c r="F237" s="69">
        <f t="shared" si="12"/>
        <v>0</v>
      </c>
    </row>
    <row r="238" spans="1:6">
      <c r="A238" s="67" t="s">
        <v>485</v>
      </c>
      <c r="B238" s="29" t="s">
        <v>486</v>
      </c>
      <c r="C238" s="30" t="s">
        <v>20</v>
      </c>
      <c r="D238" s="68"/>
      <c r="E238" s="69">
        <f>ROUND(IFERROR(VLOOKUP(A238,'CAP4-5'!$A:$G,7,FALSE()),""),0)</f>
        <v>280087</v>
      </c>
      <c r="F238" s="69">
        <f t="shared" si="12"/>
        <v>0</v>
      </c>
    </row>
    <row r="239" spans="1:6">
      <c r="A239" s="67" t="s">
        <v>487</v>
      </c>
      <c r="B239" s="29" t="s">
        <v>488</v>
      </c>
      <c r="C239" s="30" t="s">
        <v>20</v>
      </c>
      <c r="D239" s="68"/>
      <c r="E239" s="69">
        <f>ROUND(IFERROR(VLOOKUP(A239,'CAP4-5'!$A:$G,7,FALSE()),""),0)</f>
        <v>306805</v>
      </c>
      <c r="F239" s="69">
        <f t="shared" si="12"/>
        <v>0</v>
      </c>
    </row>
    <row r="240" spans="1:6">
      <c r="A240" s="67" t="s">
        <v>489</v>
      </c>
      <c r="B240" s="29" t="s">
        <v>490</v>
      </c>
      <c r="C240" s="30" t="s">
        <v>20</v>
      </c>
      <c r="D240" s="68"/>
      <c r="E240" s="69">
        <f>ROUND(IFERROR(VLOOKUP(A240,'CAP4-5'!$A:$G,7,FALSE()),""),0)</f>
        <v>266667</v>
      </c>
      <c r="F240" s="69">
        <f t="shared" si="12"/>
        <v>0</v>
      </c>
    </row>
    <row r="241" spans="1:6">
      <c r="A241" s="67" t="s">
        <v>491</v>
      </c>
      <c r="B241" s="29" t="s">
        <v>492</v>
      </c>
      <c r="C241" s="30" t="s">
        <v>20</v>
      </c>
      <c r="D241" s="68"/>
      <c r="E241" s="69">
        <f>ROUND(IFERROR(VLOOKUP(A241,'CAP4-5'!$A:$G,7,FALSE()),""),0)</f>
        <v>302769</v>
      </c>
      <c r="F241" s="69">
        <f t="shared" si="12"/>
        <v>0</v>
      </c>
    </row>
    <row r="242" spans="1:6">
      <c r="A242" s="67" t="s">
        <v>493</v>
      </c>
      <c r="B242" s="29" t="s">
        <v>494</v>
      </c>
      <c r="C242" s="30" t="s">
        <v>20</v>
      </c>
      <c r="D242" s="68"/>
      <c r="E242" s="69">
        <f>ROUND(IFERROR(VLOOKUP(A242,'CAP4-5'!$A:$G,7,FALSE()),""),0)</f>
        <v>283594</v>
      </c>
      <c r="F242" s="69">
        <f t="shared" si="12"/>
        <v>0</v>
      </c>
    </row>
    <row r="243" spans="1:6">
      <c r="A243" s="67" t="s">
        <v>495</v>
      </c>
      <c r="B243" s="29" t="s">
        <v>496</v>
      </c>
      <c r="C243" s="30" t="s">
        <v>20</v>
      </c>
      <c r="D243" s="68"/>
      <c r="E243" s="69">
        <f>ROUND(IFERROR(VLOOKUP(A243,'CAP4-5'!$A:$G,7,FALSE()),""),0)</f>
        <v>325521</v>
      </c>
      <c r="F243" s="69">
        <f t="shared" si="12"/>
        <v>0</v>
      </c>
    </row>
    <row r="244" spans="1:6">
      <c r="A244" s="67" t="s">
        <v>497</v>
      </c>
      <c r="B244" s="29" t="s">
        <v>498</v>
      </c>
      <c r="C244" s="30" t="s">
        <v>20</v>
      </c>
      <c r="D244" s="68"/>
      <c r="E244" s="69">
        <f>ROUND(IFERROR(VLOOKUP(A244,'CAP4-5'!$A:$G,7,FALSE()),""),0)</f>
        <v>308983</v>
      </c>
      <c r="F244" s="69">
        <f t="shared" si="12"/>
        <v>0</v>
      </c>
    </row>
    <row r="245" spans="1:6">
      <c r="A245" s="67" t="s">
        <v>499</v>
      </c>
      <c r="B245" s="29" t="s">
        <v>500</v>
      </c>
      <c r="C245" s="30" t="s">
        <v>20</v>
      </c>
      <c r="D245" s="68"/>
      <c r="E245" s="69">
        <f>ROUND(IFERROR(VLOOKUP(A245,'CAP4-5'!$A:$G,7,FALSE()),""),0)</f>
        <v>359663</v>
      </c>
      <c r="F245" s="69">
        <f t="shared" si="12"/>
        <v>0</v>
      </c>
    </row>
    <row r="246" spans="1:6">
      <c r="A246" s="67" t="s">
        <v>501</v>
      </c>
      <c r="B246" s="75" t="s">
        <v>502</v>
      </c>
      <c r="C246" s="30" t="s">
        <v>52</v>
      </c>
      <c r="D246" s="68"/>
      <c r="E246" s="69">
        <f>ROUND(IFERROR(VLOOKUP(A246,'CAP4-5'!$A:$G,7,FALSE()),""),0)</f>
        <v>1951433</v>
      </c>
      <c r="F246" s="69">
        <f t="shared" si="12"/>
        <v>0</v>
      </c>
    </row>
    <row r="247" spans="1:6">
      <c r="A247" s="67" t="s">
        <v>503</v>
      </c>
      <c r="B247" s="29" t="s">
        <v>504</v>
      </c>
      <c r="C247" s="30" t="s">
        <v>20</v>
      </c>
      <c r="D247" s="68"/>
      <c r="E247" s="69">
        <f>ROUND(IFERROR(VLOOKUP(A247,'CAP4-5'!$A:$G,7,FALSE()),""),0)</f>
        <v>82704</v>
      </c>
      <c r="F247" s="69">
        <f t="shared" si="12"/>
        <v>0</v>
      </c>
    </row>
    <row r="248" spans="1:6">
      <c r="A248" s="67" t="s">
        <v>505</v>
      </c>
      <c r="B248" s="29" t="s">
        <v>506</v>
      </c>
      <c r="C248" s="30" t="s">
        <v>20</v>
      </c>
      <c r="D248" s="68"/>
      <c r="E248" s="69">
        <f>ROUND(IFERROR(VLOOKUP(A248,'CAP4-5'!$A:$G,7,FALSE()),""),0)</f>
        <v>93648</v>
      </c>
      <c r="F248" s="69">
        <f t="shared" si="12"/>
        <v>0</v>
      </c>
    </row>
    <row r="249" spans="1:6">
      <c r="A249" s="67" t="s">
        <v>507</v>
      </c>
      <c r="B249" s="29" t="s">
        <v>508</v>
      </c>
      <c r="C249" s="30" t="s">
        <v>20</v>
      </c>
      <c r="D249" s="68"/>
      <c r="E249" s="69">
        <f>ROUND(IFERROR(VLOOKUP(A249,'CAP4-5'!$A:$G,7,FALSE()),""),0)</f>
        <v>115866</v>
      </c>
      <c r="F249" s="69">
        <f t="shared" si="12"/>
        <v>0</v>
      </c>
    </row>
    <row r="250" spans="1:6">
      <c r="A250" s="67" t="s">
        <v>509</v>
      </c>
      <c r="B250" s="29" t="s">
        <v>510</v>
      </c>
      <c r="C250" s="30" t="s">
        <v>20</v>
      </c>
      <c r="D250" s="68"/>
      <c r="E250" s="69">
        <f>ROUND(IFERROR(VLOOKUP(A250,'CAP4-5'!$A:$G,7,FALSE()),""),0)</f>
        <v>112108</v>
      </c>
      <c r="F250" s="69">
        <f t="shared" si="12"/>
        <v>0</v>
      </c>
    </row>
    <row r="251" spans="1:6">
      <c r="A251" s="67" t="s">
        <v>511</v>
      </c>
      <c r="B251" s="29" t="s">
        <v>512</v>
      </c>
      <c r="C251" s="30" t="s">
        <v>20</v>
      </c>
      <c r="D251" s="68"/>
      <c r="E251" s="69">
        <f>ROUND(IFERROR(VLOOKUP(A251,'CAP4-5'!$A:$G,7,FALSE()),""),0)</f>
        <v>123052</v>
      </c>
      <c r="F251" s="69">
        <f t="shared" ref="F251:F282" si="13">IFERROR(E251*D251,"")</f>
        <v>0</v>
      </c>
    </row>
    <row r="252" spans="1:6">
      <c r="A252" s="67" t="s">
        <v>513</v>
      </c>
      <c r="B252" s="29" t="s">
        <v>514</v>
      </c>
      <c r="C252" s="30" t="s">
        <v>20</v>
      </c>
      <c r="D252" s="68"/>
      <c r="E252" s="69">
        <f>ROUND(IFERROR(VLOOKUP(A252,'CAP4-5'!$A:$G,7,FALSE()),""),0)</f>
        <v>139469</v>
      </c>
      <c r="F252" s="69">
        <f t="shared" si="13"/>
        <v>0</v>
      </c>
    </row>
    <row r="253" spans="1:6">
      <c r="A253" s="67" t="s">
        <v>515</v>
      </c>
      <c r="B253" s="29" t="s">
        <v>516</v>
      </c>
      <c r="C253" s="30" t="s">
        <v>20</v>
      </c>
      <c r="D253" s="68"/>
      <c r="E253" s="69">
        <f>ROUND(IFERROR(VLOOKUP(A253,'CAP4-5'!$A:$G,7,FALSE()),""),0)</f>
        <v>177045</v>
      </c>
      <c r="F253" s="69">
        <f t="shared" si="13"/>
        <v>0</v>
      </c>
    </row>
    <row r="254" spans="1:6">
      <c r="A254" s="67" t="s">
        <v>517</v>
      </c>
      <c r="B254" s="29" t="s">
        <v>518</v>
      </c>
      <c r="C254" s="30" t="s">
        <v>20</v>
      </c>
      <c r="D254" s="68"/>
      <c r="E254" s="69">
        <f>ROUND(IFERROR(VLOOKUP(A254,'CAP4-5'!$A:$G,7,FALSE()),""),0)</f>
        <v>162066</v>
      </c>
      <c r="F254" s="69">
        <f t="shared" si="13"/>
        <v>0</v>
      </c>
    </row>
    <row r="255" spans="1:6">
      <c r="A255" s="67" t="s">
        <v>519</v>
      </c>
      <c r="B255" s="29" t="s">
        <v>520</v>
      </c>
      <c r="C255" s="30" t="s">
        <v>20</v>
      </c>
      <c r="D255" s="68"/>
      <c r="E255" s="69">
        <f>ROUND(IFERROR(VLOOKUP(A255,'CAP4-5'!$A:$G,7,FALSE()),""),0)</f>
        <v>196396</v>
      </c>
      <c r="F255" s="69">
        <f t="shared" si="13"/>
        <v>0</v>
      </c>
    </row>
    <row r="256" spans="1:6">
      <c r="A256" s="67" t="s">
        <v>521</v>
      </c>
      <c r="B256" s="29" t="s">
        <v>522</v>
      </c>
      <c r="C256" s="30" t="s">
        <v>20</v>
      </c>
      <c r="D256" s="68"/>
      <c r="E256" s="69">
        <f>ROUND(IFERROR(VLOOKUP(A256,'CAP4-5'!$A:$G,7,FALSE()),""),0)</f>
        <v>232553</v>
      </c>
      <c r="F256" s="69">
        <f t="shared" si="13"/>
        <v>0</v>
      </c>
    </row>
    <row r="257" spans="1:6">
      <c r="A257" s="67" t="s">
        <v>523</v>
      </c>
      <c r="B257" s="29" t="s">
        <v>524</v>
      </c>
      <c r="C257" s="30" t="s">
        <v>20</v>
      </c>
      <c r="D257" s="68"/>
      <c r="E257" s="69">
        <f>ROUND(IFERROR(VLOOKUP(A257,'CAP4-5'!$A:$G,7,FALSE()),""),0)</f>
        <v>282249</v>
      </c>
      <c r="F257" s="69">
        <f t="shared" si="13"/>
        <v>0</v>
      </c>
    </row>
    <row r="258" spans="1:6">
      <c r="A258" s="67" t="s">
        <v>525</v>
      </c>
      <c r="B258" s="29" t="s">
        <v>526</v>
      </c>
      <c r="C258" s="30" t="s">
        <v>52</v>
      </c>
      <c r="D258" s="68"/>
      <c r="E258" s="69">
        <f>ROUND(IFERROR(VLOOKUP(A258,'CAP4-5'!$A:$G,7,FALSE()),""),0)</f>
        <v>1284453</v>
      </c>
      <c r="F258" s="69">
        <f t="shared" ref="F258" si="14">IFERROR(E258*D258,"")</f>
        <v>0</v>
      </c>
    </row>
    <row r="259" spans="1:6">
      <c r="A259" s="67" t="s">
        <v>527</v>
      </c>
      <c r="B259" s="29" t="s">
        <v>528</v>
      </c>
      <c r="C259" s="30" t="s">
        <v>52</v>
      </c>
      <c r="D259" s="68"/>
      <c r="E259" s="69">
        <f>ROUND(IFERROR(VLOOKUP(A259,'CAP4-5'!$A:$G,7,FALSE()),""),0)</f>
        <v>1314550</v>
      </c>
      <c r="F259" s="69">
        <f t="shared" si="13"/>
        <v>0</v>
      </c>
    </row>
    <row r="260" spans="1:6">
      <c r="A260" s="67" t="s">
        <v>529</v>
      </c>
      <c r="B260" s="29" t="s">
        <v>530</v>
      </c>
      <c r="C260" s="30" t="s">
        <v>20</v>
      </c>
      <c r="D260" s="68"/>
      <c r="E260" s="69">
        <f>ROUND(IFERROR(VLOOKUP(A260,'CAP4-5'!$A:$G,7,FALSE()),""),0)</f>
        <v>419419</v>
      </c>
      <c r="F260" s="69">
        <f t="shared" si="13"/>
        <v>0</v>
      </c>
    </row>
    <row r="261" spans="1:6">
      <c r="A261" s="67" t="s">
        <v>531</v>
      </c>
      <c r="B261" s="29" t="s">
        <v>532</v>
      </c>
      <c r="C261" s="30" t="s">
        <v>20</v>
      </c>
      <c r="D261" s="68"/>
      <c r="E261" s="69">
        <f>ROUND(IFERROR(VLOOKUP(A261,'CAP4-5'!$A:$G,7,FALSE()),""),0)</f>
        <v>100411</v>
      </c>
      <c r="F261" s="69">
        <f t="shared" si="13"/>
        <v>0</v>
      </c>
    </row>
    <row r="262" spans="1:6">
      <c r="A262" s="67" t="s">
        <v>533</v>
      </c>
      <c r="B262" s="29" t="s">
        <v>534</v>
      </c>
      <c r="C262" s="30" t="s">
        <v>52</v>
      </c>
      <c r="D262" s="68"/>
      <c r="E262" s="69">
        <f>ROUND(IFERROR(VLOOKUP(A262,'CAP4-5'!$A:$G,7,FALSE()),""),0)</f>
        <v>642128</v>
      </c>
      <c r="F262" s="69">
        <f t="shared" si="13"/>
        <v>0</v>
      </c>
    </row>
    <row r="263" spans="1:6" ht="25.5">
      <c r="A263" s="67" t="s">
        <v>535</v>
      </c>
      <c r="B263" s="29" t="s">
        <v>536</v>
      </c>
      <c r="C263" s="30" t="s">
        <v>52</v>
      </c>
      <c r="D263" s="68"/>
      <c r="E263" s="69">
        <f>ROUND(IFERROR(VLOOKUP(A263,'CAP4-5'!$A:$G,7,FALSE()),""),0)</f>
        <v>1491599</v>
      </c>
      <c r="F263" s="69">
        <f t="shared" si="13"/>
        <v>0</v>
      </c>
    </row>
    <row r="264" spans="1:6" ht="25.5">
      <c r="A264" s="67" t="s">
        <v>537</v>
      </c>
      <c r="B264" s="29" t="s">
        <v>538</v>
      </c>
      <c r="C264" s="30" t="s">
        <v>52</v>
      </c>
      <c r="D264" s="68"/>
      <c r="E264" s="69">
        <f>ROUND(IFERROR(VLOOKUP(A264,'CAP4-5'!$A:$G,7,FALSE()),""),0)</f>
        <v>1366729</v>
      </c>
      <c r="F264" s="69">
        <f t="shared" si="13"/>
        <v>0</v>
      </c>
    </row>
    <row r="265" spans="1:6" ht="25.5">
      <c r="A265" s="67" t="s">
        <v>539</v>
      </c>
      <c r="B265" s="29" t="s">
        <v>540</v>
      </c>
      <c r="C265" s="30" t="s">
        <v>52</v>
      </c>
      <c r="D265" s="68"/>
      <c r="E265" s="69">
        <f>ROUND(IFERROR(VLOOKUP(A265,'CAP4-5'!$A:$G,7,FALSE()),""),0)</f>
        <v>1291957</v>
      </c>
      <c r="F265" s="69">
        <f t="shared" si="13"/>
        <v>0</v>
      </c>
    </row>
    <row r="266" spans="1:6" ht="25.5">
      <c r="A266" s="67" t="s">
        <v>541</v>
      </c>
      <c r="B266" s="29" t="s">
        <v>542</v>
      </c>
      <c r="C266" s="30" t="s">
        <v>52</v>
      </c>
      <c r="D266" s="68"/>
      <c r="E266" s="69">
        <f>ROUND(IFERROR(VLOOKUP(A266,'CAP4-5'!$A:$G,7,FALSE()),""),0)</f>
        <v>1511161</v>
      </c>
      <c r="F266" s="69">
        <f t="shared" si="13"/>
        <v>0</v>
      </c>
    </row>
    <row r="267" spans="1:6" ht="25.5">
      <c r="A267" s="67" t="s">
        <v>543</v>
      </c>
      <c r="B267" s="29" t="s">
        <v>544</v>
      </c>
      <c r="C267" s="30" t="s">
        <v>52</v>
      </c>
      <c r="D267" s="68"/>
      <c r="E267" s="69">
        <f>ROUND(IFERROR(VLOOKUP(A267,'CAP4-5'!$A:$G,7,FALSE()),""),0)</f>
        <v>1386291</v>
      </c>
      <c r="F267" s="69">
        <f t="shared" si="13"/>
        <v>0</v>
      </c>
    </row>
    <row r="268" spans="1:6" ht="25.5">
      <c r="A268" s="67" t="s">
        <v>545</v>
      </c>
      <c r="B268" s="29" t="s">
        <v>546</v>
      </c>
      <c r="C268" s="30" t="s">
        <v>52</v>
      </c>
      <c r="D268" s="68"/>
      <c r="E268" s="69">
        <f>ROUND(IFERROR(VLOOKUP(A268,'CAP4-5'!$A:$G,7,FALSE()),""),0)</f>
        <v>1311519</v>
      </c>
      <c r="F268" s="69">
        <f t="shared" si="13"/>
        <v>0</v>
      </c>
    </row>
    <row r="269" spans="1:6" ht="25.5">
      <c r="A269" s="67" t="s">
        <v>547</v>
      </c>
      <c r="B269" s="29" t="s">
        <v>548</v>
      </c>
      <c r="C269" s="30" t="s">
        <v>52</v>
      </c>
      <c r="D269" s="68"/>
      <c r="E269" s="69">
        <f>ROUND(IFERROR(VLOOKUP(A269,'CAP4-5'!$A:$G,7,FALSE()),""),0)</f>
        <v>1541258</v>
      </c>
      <c r="F269" s="69">
        <f t="shared" si="13"/>
        <v>0</v>
      </c>
    </row>
    <row r="270" spans="1:6" ht="25.5">
      <c r="A270" s="67" t="s">
        <v>549</v>
      </c>
      <c r="B270" s="29" t="s">
        <v>550</v>
      </c>
      <c r="C270" s="30" t="s">
        <v>52</v>
      </c>
      <c r="D270" s="68"/>
      <c r="E270" s="69">
        <f>ROUND(IFERROR(VLOOKUP(A270,'CAP4-5'!$A:$G,7,FALSE()),""),0)</f>
        <v>1416388</v>
      </c>
      <c r="F270" s="69">
        <f t="shared" si="13"/>
        <v>0</v>
      </c>
    </row>
    <row r="271" spans="1:6" ht="25.5">
      <c r="A271" s="67" t="s">
        <v>551</v>
      </c>
      <c r="B271" s="29" t="s">
        <v>552</v>
      </c>
      <c r="C271" s="30" t="s">
        <v>52</v>
      </c>
      <c r="D271" s="68"/>
      <c r="E271" s="69">
        <f>ROUND(IFERROR(VLOOKUP(A271,'CAP4-5'!$A:$G,7,FALSE()),""),0)</f>
        <v>1341615</v>
      </c>
      <c r="F271" s="69">
        <f t="shared" si="13"/>
        <v>0</v>
      </c>
    </row>
    <row r="272" spans="1:6">
      <c r="A272" s="67" t="s">
        <v>553</v>
      </c>
      <c r="B272" s="29" t="s">
        <v>554</v>
      </c>
      <c r="C272" s="30" t="s">
        <v>30</v>
      </c>
      <c r="D272" s="68"/>
      <c r="E272" s="69">
        <f>ROUND(IFERROR(VLOOKUP(A272,'CAP4-5'!$A:$G,7,FALSE()),""),0)</f>
        <v>111820</v>
      </c>
      <c r="F272" s="69">
        <f t="shared" si="13"/>
        <v>0</v>
      </c>
    </row>
    <row r="273" spans="1:8">
      <c r="A273" s="67" t="s">
        <v>555</v>
      </c>
      <c r="B273" s="29" t="s">
        <v>556</v>
      </c>
      <c r="C273" s="30" t="s">
        <v>30</v>
      </c>
      <c r="D273" s="68"/>
      <c r="E273" s="69">
        <f>ROUND(IFERROR(VLOOKUP(A273,'CAP4-5'!$A:$G,7,FALSE()),""),0)</f>
        <v>115103</v>
      </c>
      <c r="F273" s="69">
        <f t="shared" si="13"/>
        <v>0</v>
      </c>
    </row>
    <row r="274" spans="1:8">
      <c r="A274" s="67" t="s">
        <v>557</v>
      </c>
      <c r="B274" s="29" t="s">
        <v>558</v>
      </c>
      <c r="C274" s="30" t="s">
        <v>52</v>
      </c>
      <c r="D274" s="68"/>
      <c r="E274" s="69">
        <f>ROUND(IFERROR(VLOOKUP(A274,'CAP4-5'!$A:$G,7,FALSE()),""),0)</f>
        <v>973475</v>
      </c>
      <c r="F274" s="69">
        <f t="shared" si="13"/>
        <v>0</v>
      </c>
    </row>
    <row r="275" spans="1:8" ht="25.5">
      <c r="A275" s="67" t="s">
        <v>559</v>
      </c>
      <c r="B275" s="29" t="s">
        <v>560</v>
      </c>
      <c r="C275" s="30" t="s">
        <v>52</v>
      </c>
      <c r="D275" s="68"/>
      <c r="E275" s="69">
        <f>ROUND(IFERROR(VLOOKUP(A275,'CAP4-5'!$A:$G,7,FALSE()),""),0)</f>
        <v>917264</v>
      </c>
      <c r="F275" s="69">
        <f t="shared" si="13"/>
        <v>0</v>
      </c>
    </row>
    <row r="276" spans="1:8" ht="25.5">
      <c r="A276" s="67" t="s">
        <v>561</v>
      </c>
      <c r="B276" s="29" t="s">
        <v>562</v>
      </c>
      <c r="C276" s="30" t="s">
        <v>52</v>
      </c>
      <c r="D276" s="68"/>
      <c r="E276" s="69">
        <f>ROUND(IFERROR(VLOOKUP(A276,'CAP4-5'!$A:$G,7,FALSE()),""),0)</f>
        <v>874615</v>
      </c>
      <c r="F276" s="69">
        <f t="shared" si="13"/>
        <v>0</v>
      </c>
    </row>
    <row r="277" spans="1:8" ht="25.5">
      <c r="A277" s="67" t="s">
        <v>563</v>
      </c>
      <c r="B277" s="29" t="s">
        <v>564</v>
      </c>
      <c r="C277" s="30" t="s">
        <v>52</v>
      </c>
      <c r="D277" s="68"/>
      <c r="E277" s="69">
        <f>ROUND(IFERROR(VLOOKUP(A277,'CAP4-5'!$A:$G,7,FALSE()),""),0)</f>
        <v>849076</v>
      </c>
      <c r="F277" s="69">
        <f t="shared" si="13"/>
        <v>0</v>
      </c>
    </row>
    <row r="278" spans="1:8" ht="25.5">
      <c r="A278" s="67" t="s">
        <v>565</v>
      </c>
      <c r="B278" s="29" t="s">
        <v>566</v>
      </c>
      <c r="C278" s="30" t="s">
        <v>52</v>
      </c>
      <c r="D278" s="68"/>
      <c r="E278" s="69">
        <f>ROUND(IFERROR(VLOOKUP(A278,'CAP4-5'!$A:$G,7,FALSE()),""),0)</f>
        <v>936827</v>
      </c>
      <c r="F278" s="69">
        <f t="shared" si="13"/>
        <v>0</v>
      </c>
    </row>
    <row r="279" spans="1:8" ht="25.5">
      <c r="A279" s="67" t="s">
        <v>567</v>
      </c>
      <c r="B279" s="29" t="s">
        <v>568</v>
      </c>
      <c r="C279" s="30" t="s">
        <v>52</v>
      </c>
      <c r="D279" s="68"/>
      <c r="E279" s="69">
        <f>ROUND(IFERROR(VLOOKUP(A279,'CAP4-5'!$A:$G,7,FALSE()),""),0)</f>
        <v>894177</v>
      </c>
      <c r="F279" s="69">
        <f t="shared" si="13"/>
        <v>0</v>
      </c>
      <c r="H279" s="74"/>
    </row>
    <row r="280" spans="1:8" ht="25.5">
      <c r="A280" s="67" t="s">
        <v>569</v>
      </c>
      <c r="B280" s="29" t="s">
        <v>570</v>
      </c>
      <c r="C280" s="30" t="s">
        <v>52</v>
      </c>
      <c r="D280" s="68"/>
      <c r="E280" s="69">
        <f>ROUND(IFERROR(VLOOKUP(A280,'CAP4-5'!$A:$G,7,FALSE()),""),0)</f>
        <v>868638</v>
      </c>
      <c r="F280" s="69">
        <f t="shared" si="13"/>
        <v>0</v>
      </c>
    </row>
    <row r="281" spans="1:8" ht="25.5">
      <c r="A281" s="67" t="s">
        <v>571</v>
      </c>
      <c r="B281" s="29" t="s">
        <v>572</v>
      </c>
      <c r="C281" s="30" t="s">
        <v>52</v>
      </c>
      <c r="D281" s="68"/>
      <c r="E281" s="69">
        <f>ROUND(IFERROR(VLOOKUP(A281,'CAP4-5'!$A:$G,7,FALSE()),""),0)</f>
        <v>966923</v>
      </c>
      <c r="F281" s="69">
        <f t="shared" si="13"/>
        <v>0</v>
      </c>
    </row>
    <row r="282" spans="1:8" ht="25.5">
      <c r="A282" s="67" t="s">
        <v>573</v>
      </c>
      <c r="B282" s="29" t="s">
        <v>574</v>
      </c>
      <c r="C282" s="30" t="s">
        <v>52</v>
      </c>
      <c r="D282" s="68"/>
      <c r="E282" s="69">
        <f>ROUND(IFERROR(VLOOKUP(A282,'CAP4-5'!$A:$G,7,FALSE()),""),0)</f>
        <v>924274</v>
      </c>
      <c r="F282" s="69">
        <f t="shared" si="13"/>
        <v>0</v>
      </c>
    </row>
    <row r="283" spans="1:8" ht="25.5">
      <c r="A283" s="67" t="s">
        <v>575</v>
      </c>
      <c r="B283" s="29" t="s">
        <v>576</v>
      </c>
      <c r="C283" s="30" t="s">
        <v>52</v>
      </c>
      <c r="D283" s="68"/>
      <c r="E283" s="69">
        <f>ROUND(IFERROR(VLOOKUP(A283,'CAP4-5'!$A:$G,7,FALSE()),""),0)</f>
        <v>898735</v>
      </c>
      <c r="F283" s="69">
        <f t="shared" ref="F283:F293" si="15">IFERROR(E283*D283,"")</f>
        <v>0</v>
      </c>
    </row>
    <row r="284" spans="1:8" ht="25.5">
      <c r="A284" s="67" t="s">
        <v>577</v>
      </c>
      <c r="B284" s="29" t="s">
        <v>578</v>
      </c>
      <c r="C284" s="30" t="s">
        <v>52</v>
      </c>
      <c r="D284" s="68"/>
      <c r="E284" s="69">
        <f>ROUND(IFERROR(VLOOKUP(A284,'CAP4-5'!$A:$G,7,FALSE()),""),0)</f>
        <v>1582940</v>
      </c>
      <c r="F284" s="69">
        <f t="shared" si="15"/>
        <v>0</v>
      </c>
    </row>
    <row r="285" spans="1:8" ht="25.5">
      <c r="A285" s="67" t="s">
        <v>579</v>
      </c>
      <c r="B285" s="29" t="s">
        <v>580</v>
      </c>
      <c r="C285" s="30" t="s">
        <v>52</v>
      </c>
      <c r="D285" s="68"/>
      <c r="E285" s="69">
        <f>ROUND(IFERROR(VLOOKUP(A285,'CAP4-5'!$A:$G,7,FALSE()),""),0)</f>
        <v>1545554</v>
      </c>
      <c r="F285" s="69">
        <f t="shared" si="15"/>
        <v>0</v>
      </c>
    </row>
    <row r="286" spans="1:8" ht="25.5">
      <c r="A286" s="67" t="s">
        <v>581</v>
      </c>
      <c r="B286" s="29" t="s">
        <v>582</v>
      </c>
      <c r="C286" s="30" t="s">
        <v>52</v>
      </c>
      <c r="D286" s="68"/>
      <c r="E286" s="69">
        <f>ROUND(IFERROR(VLOOKUP(A286,'CAP4-5'!$A:$G,7,FALSE()),""),0)</f>
        <v>1508168</v>
      </c>
      <c r="F286" s="69">
        <f t="shared" si="15"/>
        <v>0</v>
      </c>
    </row>
    <row r="287" spans="1:8" ht="25.5">
      <c r="A287" s="67" t="s">
        <v>583</v>
      </c>
      <c r="B287" s="29" t="s">
        <v>584</v>
      </c>
      <c r="C287" s="30" t="s">
        <v>52</v>
      </c>
      <c r="D287" s="68"/>
      <c r="E287" s="69">
        <f>ROUND(IFERROR(VLOOKUP(A287,'CAP4-5'!$A:$G,7,FALSE()),""),0)</f>
        <v>1602503</v>
      </c>
      <c r="F287" s="69">
        <f t="shared" si="15"/>
        <v>0</v>
      </c>
    </row>
    <row r="288" spans="1:8" ht="25.5">
      <c r="A288" s="67" t="s">
        <v>585</v>
      </c>
      <c r="B288" s="29" t="s">
        <v>586</v>
      </c>
      <c r="C288" s="30" t="s">
        <v>52</v>
      </c>
      <c r="D288" s="68"/>
      <c r="E288" s="69">
        <f>ROUND(IFERROR(VLOOKUP(A288,'CAP4-5'!$A:$G,7,FALSE()),""),0)</f>
        <v>1565116</v>
      </c>
      <c r="F288" s="69">
        <f t="shared" si="15"/>
        <v>0</v>
      </c>
    </row>
    <row r="289" spans="1:8" ht="25.5">
      <c r="A289" s="67" t="s">
        <v>587</v>
      </c>
      <c r="B289" s="29" t="s">
        <v>588</v>
      </c>
      <c r="C289" s="30" t="s">
        <v>52</v>
      </c>
      <c r="D289" s="68"/>
      <c r="E289" s="69">
        <f>ROUND(IFERROR(VLOOKUP(A289,'CAP4-5'!$A:$G,7,FALSE()),""),0)</f>
        <v>1527730</v>
      </c>
      <c r="F289" s="69">
        <f t="shared" si="15"/>
        <v>0</v>
      </c>
    </row>
    <row r="290" spans="1:8">
      <c r="A290" s="67" t="s">
        <v>589</v>
      </c>
      <c r="B290" s="29" t="s">
        <v>590</v>
      </c>
      <c r="C290" s="30" t="s">
        <v>52</v>
      </c>
      <c r="D290" s="68"/>
      <c r="E290" s="69">
        <f>ROUND(IFERROR(VLOOKUP(A290,'CAP4-5'!$A:$G,7,FALSE()),""),0)</f>
        <v>757116</v>
      </c>
      <c r="F290" s="69">
        <f t="shared" si="15"/>
        <v>0</v>
      </c>
    </row>
    <row r="291" spans="1:8">
      <c r="A291" s="67" t="s">
        <v>591</v>
      </c>
      <c r="B291" s="29" t="s">
        <v>592</v>
      </c>
      <c r="C291" s="30" t="s">
        <v>52</v>
      </c>
      <c r="D291" s="68"/>
      <c r="E291" s="69">
        <f>ROUND(IFERROR(VLOOKUP(A291,'CAP4-5'!$A:$G,7,FALSE()),""),0)</f>
        <v>776678</v>
      </c>
      <c r="F291" s="69">
        <f t="shared" si="15"/>
        <v>0</v>
      </c>
    </row>
    <row r="292" spans="1:8">
      <c r="A292" s="67" t="s">
        <v>593</v>
      </c>
      <c r="B292" s="29" t="s">
        <v>594</v>
      </c>
      <c r="C292" s="30" t="s">
        <v>52</v>
      </c>
      <c r="D292" s="68"/>
      <c r="E292" s="69">
        <f>ROUND(IFERROR(VLOOKUP(A292,'CAP4-5'!$A:$G,7,FALSE()),""),0)</f>
        <v>806775</v>
      </c>
      <c r="F292" s="69">
        <f t="shared" si="15"/>
        <v>0</v>
      </c>
    </row>
    <row r="293" spans="1:8">
      <c r="A293" s="67" t="s">
        <v>595</v>
      </c>
      <c r="B293" s="29" t="s">
        <v>596</v>
      </c>
      <c r="C293" s="30" t="s">
        <v>52</v>
      </c>
      <c r="D293" s="68"/>
      <c r="E293" s="69">
        <f>ROUND(IFERROR(VLOOKUP(A293,'CAP4-5'!$A:$G,7,FALSE()),""),0)</f>
        <v>594820</v>
      </c>
      <c r="F293" s="69">
        <f t="shared" si="15"/>
        <v>0</v>
      </c>
    </row>
    <row r="294" spans="1:8" s="74" customFormat="1">
      <c r="A294" s="60" t="s">
        <v>597</v>
      </c>
      <c r="B294" s="61" t="s">
        <v>598</v>
      </c>
      <c r="C294" s="62"/>
      <c r="D294" s="63"/>
      <c r="E294" s="64"/>
      <c r="F294" s="65">
        <f>SUM(F295:F343)</f>
        <v>0</v>
      </c>
      <c r="G294" s="66">
        <f>IFERROR(F294/$F$1279,"")</f>
        <v>0</v>
      </c>
      <c r="H294" s="3"/>
    </row>
    <row r="295" spans="1:8">
      <c r="A295" s="67" t="s">
        <v>599</v>
      </c>
      <c r="B295" s="29" t="s">
        <v>600</v>
      </c>
      <c r="C295" s="30" t="s">
        <v>20</v>
      </c>
      <c r="D295" s="68"/>
      <c r="E295" s="69">
        <f>ROUND(IFERROR(VLOOKUP(A295,'CAP6-7'!$A:$G,7,FALSE()),""),0)</f>
        <v>36824</v>
      </c>
      <c r="F295" s="69">
        <f t="shared" ref="F295:F326" si="16">IFERROR(E295*D295,"")</f>
        <v>0</v>
      </c>
    </row>
    <row r="296" spans="1:8">
      <c r="A296" s="67" t="s">
        <v>601</v>
      </c>
      <c r="B296" s="29" t="s">
        <v>602</v>
      </c>
      <c r="C296" s="30" t="s">
        <v>30</v>
      </c>
      <c r="D296" s="68"/>
      <c r="E296" s="69">
        <f>ROUND(IFERROR(VLOOKUP(A296,'CAP6-7'!$A:$G,7,FALSE()),""),0)</f>
        <v>58919</v>
      </c>
      <c r="F296" s="69">
        <f t="shared" si="16"/>
        <v>0</v>
      </c>
    </row>
    <row r="297" spans="1:8">
      <c r="A297" s="67" t="s">
        <v>603</v>
      </c>
      <c r="B297" s="29" t="s">
        <v>604</v>
      </c>
      <c r="C297" s="30" t="s">
        <v>30</v>
      </c>
      <c r="D297" s="68"/>
      <c r="E297" s="69">
        <f>ROUND(IFERROR(VLOOKUP(A297,'CAP6-7'!$A:$G,7,FALSE()),""),0)</f>
        <v>98952</v>
      </c>
      <c r="F297" s="69">
        <f t="shared" si="16"/>
        <v>0</v>
      </c>
    </row>
    <row r="298" spans="1:8">
      <c r="A298" s="67" t="s">
        <v>605</v>
      </c>
      <c r="B298" s="29" t="s">
        <v>606</v>
      </c>
      <c r="C298" s="30" t="s">
        <v>30</v>
      </c>
      <c r="D298" s="68"/>
      <c r="E298" s="69">
        <f>ROUND(IFERROR(VLOOKUP(A298,'CAP6-7'!$A:$G,7,FALSE()),""),0)</f>
        <v>80182</v>
      </c>
      <c r="F298" s="69">
        <f t="shared" si="16"/>
        <v>0</v>
      </c>
    </row>
    <row r="299" spans="1:8">
      <c r="A299" s="67" t="s">
        <v>607</v>
      </c>
      <c r="B299" s="29" t="s">
        <v>608</v>
      </c>
      <c r="C299" s="30" t="s">
        <v>30</v>
      </c>
      <c r="D299" s="68"/>
      <c r="E299" s="69">
        <f>ROUND(IFERROR(VLOOKUP(A299,'CAP6-7'!$A:$G,7,FALSE()),""),0)</f>
        <v>85345</v>
      </c>
      <c r="F299" s="69">
        <f t="shared" si="16"/>
        <v>0</v>
      </c>
    </row>
    <row r="300" spans="1:8">
      <c r="A300" s="67" t="s">
        <v>609</v>
      </c>
      <c r="B300" s="29" t="s">
        <v>610</v>
      </c>
      <c r="C300" s="30" t="s">
        <v>30</v>
      </c>
      <c r="D300" s="68"/>
      <c r="E300" s="69">
        <f>ROUND(IFERROR(VLOOKUP(A300,'CAP6-7'!$A:$G,7,FALSE()),""),0)</f>
        <v>91018</v>
      </c>
      <c r="F300" s="69">
        <f t="shared" si="16"/>
        <v>0</v>
      </c>
    </row>
    <row r="301" spans="1:8">
      <c r="A301" s="67" t="s">
        <v>611</v>
      </c>
      <c r="B301" s="29" t="s">
        <v>612</v>
      </c>
      <c r="C301" s="30" t="s">
        <v>30</v>
      </c>
      <c r="D301" s="68"/>
      <c r="E301" s="69">
        <f>ROUND(IFERROR(VLOOKUP(A301,'CAP6-7'!$A:$G,7,FALSE()),""),0)</f>
        <v>101826</v>
      </c>
      <c r="F301" s="69">
        <f t="shared" si="16"/>
        <v>0</v>
      </c>
    </row>
    <row r="302" spans="1:8">
      <c r="A302" s="67" t="s">
        <v>613</v>
      </c>
      <c r="B302" s="29" t="s">
        <v>614</v>
      </c>
      <c r="C302" s="30" t="s">
        <v>23</v>
      </c>
      <c r="D302" s="68"/>
      <c r="E302" s="69">
        <f>ROUND(IFERROR(VLOOKUP(A302,'CAP6-7'!$A:$G,7,FALSE()),""),0)</f>
        <v>15218</v>
      </c>
      <c r="F302" s="69">
        <f t="shared" si="16"/>
        <v>0</v>
      </c>
    </row>
    <row r="303" spans="1:8">
      <c r="A303" s="67" t="s">
        <v>615</v>
      </c>
      <c r="B303" s="29" t="s">
        <v>616</v>
      </c>
      <c r="C303" s="30" t="s">
        <v>23</v>
      </c>
      <c r="D303" s="68"/>
      <c r="E303" s="69">
        <f>ROUND(IFERROR(VLOOKUP(A303,'CAP6-7'!$A:$G,7,FALSE()),""),0)</f>
        <v>19133</v>
      </c>
      <c r="F303" s="69">
        <f t="shared" si="16"/>
        <v>0</v>
      </c>
    </row>
    <row r="304" spans="1:8">
      <c r="A304" s="67" t="s">
        <v>617</v>
      </c>
      <c r="B304" s="29" t="s">
        <v>618</v>
      </c>
      <c r="C304" s="30" t="s">
        <v>23</v>
      </c>
      <c r="D304" s="68"/>
      <c r="E304" s="69">
        <f>ROUND(IFERROR(VLOOKUP(A304,'CAP6-7'!$A:$G,7,FALSE()),""),0)</f>
        <v>38999</v>
      </c>
      <c r="F304" s="69">
        <f t="shared" si="16"/>
        <v>0</v>
      </c>
    </row>
    <row r="305" spans="1:6">
      <c r="A305" s="67" t="s">
        <v>619</v>
      </c>
      <c r="B305" s="29" t="s">
        <v>620</v>
      </c>
      <c r="C305" s="30" t="s">
        <v>23</v>
      </c>
      <c r="D305" s="68"/>
      <c r="E305" s="69">
        <f>ROUND(IFERROR(VLOOKUP(A305,'CAP6-7'!$A:$G,7,FALSE()),""),0)</f>
        <v>26829</v>
      </c>
      <c r="F305" s="69">
        <f t="shared" si="16"/>
        <v>0</v>
      </c>
    </row>
    <row r="306" spans="1:6">
      <c r="A306" s="67" t="s">
        <v>621</v>
      </c>
      <c r="B306" s="29" t="s">
        <v>622</v>
      </c>
      <c r="C306" s="30" t="s">
        <v>20</v>
      </c>
      <c r="D306" s="68"/>
      <c r="E306" s="69">
        <f>ROUND(IFERROR(VLOOKUP(A306,'CAP6-7'!$A:$G,7,FALSE()),""),0)</f>
        <v>151105</v>
      </c>
      <c r="F306" s="69">
        <f t="shared" si="16"/>
        <v>0</v>
      </c>
    </row>
    <row r="307" spans="1:6">
      <c r="A307" s="67" t="s">
        <v>623</v>
      </c>
      <c r="B307" s="29" t="s">
        <v>624</v>
      </c>
      <c r="C307" s="30" t="s">
        <v>30</v>
      </c>
      <c r="D307" s="68"/>
      <c r="E307" s="69">
        <f>ROUND(IFERROR(VLOOKUP(A307,'CAP6-7'!$A:$G,7,FALSE()),""),0)</f>
        <v>49894</v>
      </c>
      <c r="F307" s="69">
        <f t="shared" si="16"/>
        <v>0</v>
      </c>
    </row>
    <row r="308" spans="1:6">
      <c r="A308" s="67" t="s">
        <v>625</v>
      </c>
      <c r="B308" s="29" t="s">
        <v>626</v>
      </c>
      <c r="C308" s="30" t="s">
        <v>30</v>
      </c>
      <c r="D308" s="68"/>
      <c r="E308" s="69">
        <f>ROUND(IFERROR(VLOOKUP(A308,'CAP6-7'!$A:$G,7,FALSE()),""),0)</f>
        <v>87055</v>
      </c>
      <c r="F308" s="69">
        <f t="shared" si="16"/>
        <v>0</v>
      </c>
    </row>
    <row r="309" spans="1:6">
      <c r="A309" s="67" t="s">
        <v>627</v>
      </c>
      <c r="B309" s="29" t="s">
        <v>628</v>
      </c>
      <c r="C309" s="30" t="s">
        <v>30</v>
      </c>
      <c r="D309" s="68"/>
      <c r="E309" s="69">
        <f>ROUND(IFERROR(VLOOKUP(A309,'CAP6-7'!$A:$G,7,FALSE()),""),0)</f>
        <v>50149</v>
      </c>
      <c r="F309" s="69">
        <f t="shared" si="16"/>
        <v>0</v>
      </c>
    </row>
    <row r="310" spans="1:6">
      <c r="A310" s="67" t="s">
        <v>629</v>
      </c>
      <c r="B310" s="29" t="s">
        <v>630</v>
      </c>
      <c r="C310" s="30" t="s">
        <v>30</v>
      </c>
      <c r="D310" s="68"/>
      <c r="E310" s="69">
        <f>ROUND(IFERROR(VLOOKUP(A310,'CAP6-7'!$A:$G,7,FALSE()),""),0)</f>
        <v>17376</v>
      </c>
      <c r="F310" s="69">
        <f t="shared" si="16"/>
        <v>0</v>
      </c>
    </row>
    <row r="311" spans="1:6">
      <c r="A311" s="67" t="s">
        <v>631</v>
      </c>
      <c r="B311" s="29" t="s">
        <v>632</v>
      </c>
      <c r="C311" s="30" t="s">
        <v>20</v>
      </c>
      <c r="D311" s="68"/>
      <c r="E311" s="69">
        <f>ROUND(IFERROR(VLOOKUP(A311,'CAP6-7'!$A:$G,7,FALSE()),""),0)</f>
        <v>14013</v>
      </c>
      <c r="F311" s="69">
        <f t="shared" si="16"/>
        <v>0</v>
      </c>
    </row>
    <row r="312" spans="1:6">
      <c r="A312" s="67" t="s">
        <v>633</v>
      </c>
      <c r="B312" s="29" t="s">
        <v>634</v>
      </c>
      <c r="C312" s="30" t="s">
        <v>20</v>
      </c>
      <c r="D312" s="68"/>
      <c r="E312" s="69">
        <f>ROUND(IFERROR(VLOOKUP(A312,'CAP6-7'!$A:$G,7,FALSE()),""),0)</f>
        <v>92871</v>
      </c>
      <c r="F312" s="69">
        <f t="shared" si="16"/>
        <v>0</v>
      </c>
    </row>
    <row r="313" spans="1:6">
      <c r="A313" s="67" t="s">
        <v>635</v>
      </c>
      <c r="B313" s="29" t="s">
        <v>636</v>
      </c>
      <c r="C313" s="30" t="s">
        <v>20</v>
      </c>
      <c r="D313" s="68"/>
      <c r="E313" s="69">
        <f>ROUND(IFERROR(VLOOKUP(A313,'CAP6-7'!$A:$G,7,FALSE()),""),0)</f>
        <v>107025</v>
      </c>
      <c r="F313" s="69">
        <f t="shared" si="16"/>
        <v>0</v>
      </c>
    </row>
    <row r="314" spans="1:6">
      <c r="A314" s="67" t="s">
        <v>637</v>
      </c>
      <c r="B314" s="29" t="s">
        <v>638</v>
      </c>
      <c r="C314" s="30" t="s">
        <v>20</v>
      </c>
      <c r="D314" s="68"/>
      <c r="E314" s="69">
        <f>ROUND(IFERROR(VLOOKUP(A314,'CAP6-7'!$A:$G,7,FALSE()),""),0)</f>
        <v>135828</v>
      </c>
      <c r="F314" s="69">
        <f t="shared" si="16"/>
        <v>0</v>
      </c>
    </row>
    <row r="315" spans="1:6">
      <c r="A315" s="67" t="s">
        <v>639</v>
      </c>
      <c r="B315" s="29" t="s">
        <v>640</v>
      </c>
      <c r="C315" s="30" t="s">
        <v>20</v>
      </c>
      <c r="D315" s="68"/>
      <c r="E315" s="69">
        <f>ROUND(IFERROR(VLOOKUP(A315,'CAP6-7'!$A:$G,7,FALSE()),""),0)</f>
        <v>108805</v>
      </c>
      <c r="F315" s="69">
        <f t="shared" si="16"/>
        <v>0</v>
      </c>
    </row>
    <row r="316" spans="1:6">
      <c r="A316" s="67" t="s">
        <v>641</v>
      </c>
      <c r="B316" s="29" t="s">
        <v>642</v>
      </c>
      <c r="C316" s="30" t="s">
        <v>20</v>
      </c>
      <c r="D316" s="68"/>
      <c r="E316" s="69">
        <f>ROUND(IFERROR(VLOOKUP(A316,'CAP6-7'!$A:$G,7,FALSE()),""),0)</f>
        <v>115269</v>
      </c>
      <c r="F316" s="69">
        <f t="shared" si="16"/>
        <v>0</v>
      </c>
    </row>
    <row r="317" spans="1:6">
      <c r="A317" s="67" t="s">
        <v>643</v>
      </c>
      <c r="B317" s="29" t="s">
        <v>644</v>
      </c>
      <c r="C317" s="30" t="s">
        <v>20</v>
      </c>
      <c r="D317" s="68"/>
      <c r="E317" s="69">
        <f>ROUND(IFERROR(VLOOKUP(A317,'CAP6-7'!$A:$G,7,FALSE()),""),0)</f>
        <v>95007</v>
      </c>
      <c r="F317" s="69">
        <f t="shared" si="16"/>
        <v>0</v>
      </c>
    </row>
    <row r="318" spans="1:6">
      <c r="A318" s="67" t="s">
        <v>645</v>
      </c>
      <c r="B318" s="29" t="s">
        <v>646</v>
      </c>
      <c r="C318" s="30" t="s">
        <v>20</v>
      </c>
      <c r="D318" s="68"/>
      <c r="E318" s="69">
        <f>ROUND(IFERROR(VLOOKUP(A318,'CAP6-7'!$A:$G,7,FALSE()),""),0)</f>
        <v>130439</v>
      </c>
      <c r="F318" s="69">
        <f t="shared" si="16"/>
        <v>0</v>
      </c>
    </row>
    <row r="319" spans="1:6">
      <c r="A319" s="67" t="s">
        <v>647</v>
      </c>
      <c r="B319" s="29" t="s">
        <v>648</v>
      </c>
      <c r="C319" s="30" t="s">
        <v>20</v>
      </c>
      <c r="D319" s="68"/>
      <c r="E319" s="69">
        <f>ROUND(IFERROR(VLOOKUP(A319,'CAP6-7'!$A:$G,7,FALSE()),""),0)</f>
        <v>99206</v>
      </c>
      <c r="F319" s="69">
        <f t="shared" si="16"/>
        <v>0</v>
      </c>
    </row>
    <row r="320" spans="1:6">
      <c r="A320" s="67" t="s">
        <v>649</v>
      </c>
      <c r="B320" s="29" t="s">
        <v>650</v>
      </c>
      <c r="C320" s="30" t="s">
        <v>20</v>
      </c>
      <c r="D320" s="68"/>
      <c r="E320" s="69">
        <f>ROUND(IFERROR(VLOOKUP(A320,'CAP6-7'!$A:$G,7,FALSE()),""),0)</f>
        <v>138712</v>
      </c>
      <c r="F320" s="69">
        <f t="shared" si="16"/>
        <v>0</v>
      </c>
    </row>
    <row r="321" spans="1:8">
      <c r="A321" s="67" t="s">
        <v>651</v>
      </c>
      <c r="B321" s="29" t="s">
        <v>652</v>
      </c>
      <c r="C321" s="30" t="s">
        <v>20</v>
      </c>
      <c r="D321" s="68"/>
      <c r="E321" s="69">
        <f>ROUND(IFERROR(VLOOKUP(A321,'CAP6-7'!$A:$G,7,FALSE()),""),0)</f>
        <v>106478</v>
      </c>
      <c r="F321" s="69">
        <f t="shared" si="16"/>
        <v>0</v>
      </c>
    </row>
    <row r="322" spans="1:8">
      <c r="A322" s="67" t="s">
        <v>653</v>
      </c>
      <c r="B322" s="29" t="s">
        <v>654</v>
      </c>
      <c r="C322" s="30" t="s">
        <v>20</v>
      </c>
      <c r="D322" s="68"/>
      <c r="E322" s="69">
        <f>ROUND(IFERROR(VLOOKUP(A322,'CAP6-7'!$A:$G,7,FALSE()),""),0)</f>
        <v>133091</v>
      </c>
      <c r="F322" s="69">
        <f t="shared" si="16"/>
        <v>0</v>
      </c>
    </row>
    <row r="323" spans="1:8">
      <c r="A323" s="67" t="s">
        <v>655</v>
      </c>
      <c r="B323" s="29" t="s">
        <v>656</v>
      </c>
      <c r="C323" s="30" t="s">
        <v>20</v>
      </c>
      <c r="D323" s="68"/>
      <c r="E323" s="69">
        <f>ROUND(IFERROR(VLOOKUP(A323,'CAP6-7'!$A:$G,7,FALSE()),""),0)</f>
        <v>159616</v>
      </c>
      <c r="F323" s="69">
        <f t="shared" si="16"/>
        <v>0</v>
      </c>
    </row>
    <row r="324" spans="1:8">
      <c r="A324" s="67" t="s">
        <v>657</v>
      </c>
      <c r="B324" s="29" t="s">
        <v>658</v>
      </c>
      <c r="C324" s="30" t="s">
        <v>20</v>
      </c>
      <c r="D324" s="68"/>
      <c r="E324" s="69">
        <f>ROUND(IFERROR(VLOOKUP(A324,'CAP6-7'!$A:$G,7,FALSE()),""),0)</f>
        <v>125025</v>
      </c>
      <c r="F324" s="69">
        <f t="shared" si="16"/>
        <v>0</v>
      </c>
    </row>
    <row r="325" spans="1:8">
      <c r="A325" s="67" t="s">
        <v>659</v>
      </c>
      <c r="B325" s="29" t="s">
        <v>660</v>
      </c>
      <c r="C325" s="30" t="s">
        <v>20</v>
      </c>
      <c r="D325" s="68"/>
      <c r="E325" s="69">
        <f>ROUND(IFERROR(VLOOKUP(A325,'CAP6-7'!$A:$G,7,FALSE()),""),0)</f>
        <v>168451</v>
      </c>
      <c r="F325" s="69">
        <f t="shared" si="16"/>
        <v>0</v>
      </c>
    </row>
    <row r="326" spans="1:8">
      <c r="A326" s="67" t="s">
        <v>661</v>
      </c>
      <c r="B326" s="29" t="s">
        <v>662</v>
      </c>
      <c r="C326" s="30" t="s">
        <v>52</v>
      </c>
      <c r="D326" s="68"/>
      <c r="E326" s="69">
        <f>ROUND(IFERROR(VLOOKUP(A326,'CAP6-7'!$A:$G,7,FALSE()),""),0)</f>
        <v>159549</v>
      </c>
      <c r="F326" s="69">
        <f t="shared" si="16"/>
        <v>0</v>
      </c>
    </row>
    <row r="327" spans="1:8">
      <c r="A327" s="67" t="s">
        <v>663</v>
      </c>
      <c r="B327" s="29" t="s">
        <v>664</v>
      </c>
      <c r="C327" s="30" t="s">
        <v>20</v>
      </c>
      <c r="D327" s="68"/>
      <c r="E327" s="69">
        <f>ROUND(IFERROR(VLOOKUP(A327,'CAP6-7'!$A:$G,7,FALSE()),""),0)</f>
        <v>104091</v>
      </c>
      <c r="F327" s="69">
        <f t="shared" ref="F327:F343" si="17">IFERROR(E327*D327,"")</f>
        <v>0</v>
      </c>
    </row>
    <row r="328" spans="1:8">
      <c r="A328" s="67" t="s">
        <v>665</v>
      </c>
      <c r="B328" s="29" t="s">
        <v>666</v>
      </c>
      <c r="C328" s="30" t="s">
        <v>20</v>
      </c>
      <c r="D328" s="68"/>
      <c r="E328" s="69">
        <f>ROUND(IFERROR(VLOOKUP(A328,'CAP6-7'!$A:$G,7,FALSE()),""),0)</f>
        <v>82173</v>
      </c>
      <c r="F328" s="69">
        <f t="shared" si="17"/>
        <v>0</v>
      </c>
    </row>
    <row r="329" spans="1:8">
      <c r="A329" s="67" t="s">
        <v>667</v>
      </c>
      <c r="B329" s="29" t="s">
        <v>668</v>
      </c>
      <c r="C329" s="30" t="s">
        <v>20</v>
      </c>
      <c r="D329" s="68"/>
      <c r="E329" s="69">
        <f>ROUND(IFERROR(VLOOKUP(A329,'CAP6-7'!$A:$G,7,FALSE()),""),0)</f>
        <v>91569</v>
      </c>
      <c r="F329" s="69">
        <f t="shared" si="17"/>
        <v>0</v>
      </c>
      <c r="H329" s="74"/>
    </row>
    <row r="330" spans="1:8">
      <c r="A330" s="67" t="s">
        <v>669</v>
      </c>
      <c r="B330" s="29" t="s">
        <v>670</v>
      </c>
      <c r="C330" s="30" t="s">
        <v>20</v>
      </c>
      <c r="D330" s="68"/>
      <c r="E330" s="69">
        <f>ROUND(IFERROR(VLOOKUP(A330,'CAP6-7'!$A:$G,7,FALSE()),""),0)</f>
        <v>77708</v>
      </c>
      <c r="F330" s="69">
        <f t="shared" si="17"/>
        <v>0</v>
      </c>
    </row>
    <row r="331" spans="1:8">
      <c r="A331" s="67" t="s">
        <v>671</v>
      </c>
      <c r="B331" s="29" t="s">
        <v>672</v>
      </c>
      <c r="C331" s="30" t="s">
        <v>20</v>
      </c>
      <c r="D331" s="68"/>
      <c r="E331" s="69">
        <f>ROUND(IFERROR(VLOOKUP(A331,'CAP6-7'!$A:$G,7,FALSE()),""),0)</f>
        <v>115147</v>
      </c>
      <c r="F331" s="69">
        <f t="shared" si="17"/>
        <v>0</v>
      </c>
    </row>
    <row r="332" spans="1:8">
      <c r="A332" s="67" t="s">
        <v>673</v>
      </c>
      <c r="B332" s="29" t="s">
        <v>674</v>
      </c>
      <c r="C332" s="30" t="s">
        <v>20</v>
      </c>
      <c r="D332" s="68"/>
      <c r="E332" s="69">
        <f>ROUND(IFERROR(VLOOKUP(A332,'CAP6-7'!$A:$G,7,FALSE()),""),0)</f>
        <v>130241</v>
      </c>
      <c r="F332" s="69">
        <f t="shared" si="17"/>
        <v>0</v>
      </c>
    </row>
    <row r="333" spans="1:8">
      <c r="A333" s="67" t="s">
        <v>675</v>
      </c>
      <c r="B333" s="29" t="s">
        <v>676</v>
      </c>
      <c r="C333" s="30" t="s">
        <v>20</v>
      </c>
      <c r="D333" s="68"/>
      <c r="E333" s="69">
        <f>ROUND(IFERROR(VLOOKUP(A333,'CAP6-7'!$A:$G,7,FALSE()),""),0)</f>
        <v>143058</v>
      </c>
      <c r="F333" s="69">
        <f t="shared" si="17"/>
        <v>0</v>
      </c>
    </row>
    <row r="334" spans="1:8">
      <c r="A334" s="67" t="s">
        <v>677</v>
      </c>
      <c r="B334" s="29" t="s">
        <v>678</v>
      </c>
      <c r="C334" s="30" t="s">
        <v>20</v>
      </c>
      <c r="D334" s="68"/>
      <c r="E334" s="69">
        <f>ROUND(IFERROR(VLOOKUP(A334,'CAP6-7'!$A:$G,7,FALSE()),""),0)</f>
        <v>441502</v>
      </c>
      <c r="F334" s="69">
        <f t="shared" si="17"/>
        <v>0</v>
      </c>
    </row>
    <row r="335" spans="1:8">
      <c r="A335" s="67" t="s">
        <v>679</v>
      </c>
      <c r="B335" s="29" t="s">
        <v>680</v>
      </c>
      <c r="C335" s="30" t="s">
        <v>30</v>
      </c>
      <c r="D335" s="68"/>
      <c r="E335" s="69">
        <f>ROUND(IFERROR(VLOOKUP(A335,'CAP6-7'!$A:$G,7,FALSE()),""),0)</f>
        <v>35877</v>
      </c>
      <c r="F335" s="69">
        <f t="shared" si="17"/>
        <v>0</v>
      </c>
    </row>
    <row r="336" spans="1:8">
      <c r="A336" s="67" t="s">
        <v>681</v>
      </c>
      <c r="B336" s="29" t="s">
        <v>682</v>
      </c>
      <c r="C336" s="30" t="s">
        <v>30</v>
      </c>
      <c r="D336" s="68"/>
      <c r="E336" s="69">
        <f>ROUND(IFERROR(VLOOKUP(A336,'CAP6-7'!$A:$G,7,FALSE()),""),0)</f>
        <v>15667</v>
      </c>
      <c r="F336" s="69">
        <f t="shared" si="17"/>
        <v>0</v>
      </c>
    </row>
    <row r="337" spans="1:8">
      <c r="A337" s="67" t="s">
        <v>683</v>
      </c>
      <c r="B337" s="29" t="s">
        <v>684</v>
      </c>
      <c r="C337" s="30" t="s">
        <v>30</v>
      </c>
      <c r="D337" s="68"/>
      <c r="E337" s="69">
        <f>ROUND(IFERROR(VLOOKUP(A337,'CAP6-7'!$A:$G,7,FALSE()),""),0)</f>
        <v>20327</v>
      </c>
      <c r="F337" s="69">
        <f t="shared" si="17"/>
        <v>0</v>
      </c>
    </row>
    <row r="338" spans="1:8">
      <c r="A338" s="67" t="s">
        <v>685</v>
      </c>
      <c r="B338" s="29" t="s">
        <v>686</v>
      </c>
      <c r="C338" s="30" t="s">
        <v>20</v>
      </c>
      <c r="D338" s="68"/>
      <c r="E338" s="69">
        <f>ROUND(IFERROR(VLOOKUP(A338,'CAP6-7'!$A:$G,7,FALSE()),""),0)</f>
        <v>46110</v>
      </c>
      <c r="F338" s="69">
        <f t="shared" si="17"/>
        <v>0</v>
      </c>
    </row>
    <row r="339" spans="1:8">
      <c r="A339" s="67" t="s">
        <v>687</v>
      </c>
      <c r="B339" s="29" t="s">
        <v>688</v>
      </c>
      <c r="C339" s="30" t="s">
        <v>20</v>
      </c>
      <c r="D339" s="68"/>
      <c r="E339" s="69">
        <f>ROUND(IFERROR(VLOOKUP(A339,'CAP6-7'!$A:$G,7,FALSE()),""),0)</f>
        <v>53953</v>
      </c>
      <c r="F339" s="69">
        <f t="shared" si="17"/>
        <v>0</v>
      </c>
    </row>
    <row r="340" spans="1:8">
      <c r="A340" s="67" t="s">
        <v>689</v>
      </c>
      <c r="B340" s="29" t="s">
        <v>690</v>
      </c>
      <c r="C340" s="30" t="s">
        <v>20</v>
      </c>
      <c r="D340" s="68"/>
      <c r="E340" s="69">
        <f>ROUND(IFERROR(VLOOKUP(A340,'CAP6-7'!$A:$G,7,FALSE()),""),0)</f>
        <v>64345</v>
      </c>
      <c r="F340" s="69">
        <f t="shared" si="17"/>
        <v>0</v>
      </c>
    </row>
    <row r="341" spans="1:8">
      <c r="A341" s="67" t="s">
        <v>691</v>
      </c>
      <c r="B341" s="29" t="s">
        <v>692</v>
      </c>
      <c r="C341" s="30" t="s">
        <v>20</v>
      </c>
      <c r="D341" s="68"/>
      <c r="E341" s="69">
        <f>ROUND(IFERROR(VLOOKUP(A341,'CAP6-7'!$A:$G,7,FALSE()),""),0)</f>
        <v>43712</v>
      </c>
      <c r="F341" s="69">
        <f t="shared" si="17"/>
        <v>0</v>
      </c>
    </row>
    <row r="342" spans="1:8">
      <c r="A342" s="67" t="s">
        <v>693</v>
      </c>
      <c r="B342" s="29" t="s">
        <v>694</v>
      </c>
      <c r="C342" s="30" t="s">
        <v>30</v>
      </c>
      <c r="D342" s="68"/>
      <c r="E342" s="69">
        <f>ROUND(IFERROR(VLOOKUP(A342,'CAP6-7'!$A:$G,7,FALSE()),""),0)</f>
        <v>59596</v>
      </c>
      <c r="F342" s="69">
        <f t="shared" si="17"/>
        <v>0</v>
      </c>
    </row>
    <row r="343" spans="1:8">
      <c r="A343" s="67" t="s">
        <v>695</v>
      </c>
      <c r="B343" s="29" t="s">
        <v>696</v>
      </c>
      <c r="C343" s="30" t="s">
        <v>20</v>
      </c>
      <c r="D343" s="68"/>
      <c r="E343" s="69">
        <f>ROUND(IFERROR(VLOOKUP(A343,'CAP6-7'!$A:$G,7,FALSE()),""),0)</f>
        <v>149562</v>
      </c>
      <c r="F343" s="69">
        <f t="shared" si="17"/>
        <v>0</v>
      </c>
    </row>
    <row r="344" spans="1:8" s="74" customFormat="1">
      <c r="A344" s="60" t="s">
        <v>697</v>
      </c>
      <c r="B344" s="61" t="s">
        <v>698</v>
      </c>
      <c r="C344" s="62"/>
      <c r="D344" s="63"/>
      <c r="E344" s="64"/>
      <c r="F344" s="65">
        <f>SUM(F345:F432)</f>
        <v>0</v>
      </c>
      <c r="G344" s="66">
        <f>IFERROR(F344/$F$1279,"")</f>
        <v>0</v>
      </c>
      <c r="H344" s="3"/>
    </row>
    <row r="345" spans="1:8">
      <c r="A345" s="67" t="s">
        <v>699</v>
      </c>
      <c r="B345" s="29" t="s">
        <v>700</v>
      </c>
      <c r="C345" s="30" t="s">
        <v>23</v>
      </c>
      <c r="D345" s="68"/>
      <c r="E345" s="69">
        <f>ROUND(IFERROR(VLOOKUP(A345,'CAP6-7'!$A:$G,7,FALSE()),""),0)</f>
        <v>91477</v>
      </c>
      <c r="F345" s="69">
        <f t="shared" ref="F345:F376" si="18">IFERROR(E345*D345,"")</f>
        <v>0</v>
      </c>
    </row>
    <row r="346" spans="1:8">
      <c r="A346" s="67" t="s">
        <v>701</v>
      </c>
      <c r="B346" s="29" t="s">
        <v>702</v>
      </c>
      <c r="C346" s="30" t="s">
        <v>23</v>
      </c>
      <c r="D346" s="68"/>
      <c r="E346" s="69">
        <f>ROUND(IFERROR(VLOOKUP(A346,'CAP6-7'!$A:$G,7,FALSE()),""),0)</f>
        <v>40468</v>
      </c>
      <c r="F346" s="69">
        <f t="shared" si="18"/>
        <v>0</v>
      </c>
    </row>
    <row r="347" spans="1:8">
      <c r="A347" s="67" t="s">
        <v>703</v>
      </c>
      <c r="B347" s="29" t="s">
        <v>704</v>
      </c>
      <c r="C347" s="30" t="s">
        <v>23</v>
      </c>
      <c r="D347" s="68"/>
      <c r="E347" s="69">
        <f>ROUND(IFERROR(VLOOKUP(A347,'CAP6-7'!$A:$G,7,FALSE()),""),0)</f>
        <v>65611</v>
      </c>
      <c r="F347" s="69">
        <f t="shared" si="18"/>
        <v>0</v>
      </c>
    </row>
    <row r="348" spans="1:8">
      <c r="A348" s="67" t="s">
        <v>705</v>
      </c>
      <c r="B348" s="29" t="s">
        <v>706</v>
      </c>
      <c r="C348" s="30" t="s">
        <v>30</v>
      </c>
      <c r="D348" s="68"/>
      <c r="E348" s="69">
        <f>ROUND(IFERROR(VLOOKUP(A348,'CAP6-7'!$A:$G,7,FALSE()),""),0)</f>
        <v>40679</v>
      </c>
      <c r="F348" s="69">
        <f t="shared" si="18"/>
        <v>0</v>
      </c>
    </row>
    <row r="349" spans="1:8">
      <c r="A349" s="67" t="s">
        <v>707</v>
      </c>
      <c r="B349" s="29" t="s">
        <v>708</v>
      </c>
      <c r="C349" s="30" t="s">
        <v>30</v>
      </c>
      <c r="D349" s="68"/>
      <c r="E349" s="69">
        <f>ROUND(IFERROR(VLOOKUP(A349,'CAP6-7'!$A:$G,7,FALSE()),""),0)</f>
        <v>56378</v>
      </c>
      <c r="F349" s="69">
        <f t="shared" si="18"/>
        <v>0</v>
      </c>
    </row>
    <row r="350" spans="1:8">
      <c r="A350" s="67" t="s">
        <v>709</v>
      </c>
      <c r="B350" s="29" t="s">
        <v>710</v>
      </c>
      <c r="C350" s="30" t="s">
        <v>30</v>
      </c>
      <c r="D350" s="68"/>
      <c r="E350" s="69">
        <f>ROUND(IFERROR(VLOOKUP(A350,'CAP6-7'!$A:$G,7,FALSE()),""),0)</f>
        <v>28404</v>
      </c>
      <c r="F350" s="69">
        <f t="shared" si="18"/>
        <v>0</v>
      </c>
    </row>
    <row r="351" spans="1:8">
      <c r="A351" s="67" t="s">
        <v>711</v>
      </c>
      <c r="B351" s="29" t="s">
        <v>712</v>
      </c>
      <c r="C351" s="30" t="s">
        <v>30</v>
      </c>
      <c r="D351" s="68"/>
      <c r="E351" s="69">
        <f>ROUND(IFERROR(VLOOKUP(A351,'CAP6-7'!$A:$G,7,FALSE()),""),0)</f>
        <v>45001</v>
      </c>
      <c r="F351" s="69">
        <f t="shared" si="18"/>
        <v>0</v>
      </c>
    </row>
    <row r="352" spans="1:8">
      <c r="A352" s="67" t="s">
        <v>713</v>
      </c>
      <c r="B352" s="29" t="s">
        <v>714</v>
      </c>
      <c r="C352" s="30" t="s">
        <v>30</v>
      </c>
      <c r="D352" s="68"/>
      <c r="E352" s="69">
        <f>ROUND(IFERROR(VLOOKUP(A352,'CAP6-7'!$A:$G,7,FALSE()),""),0)</f>
        <v>31397</v>
      </c>
      <c r="F352" s="69">
        <f t="shared" si="18"/>
        <v>0</v>
      </c>
    </row>
    <row r="353" spans="1:8">
      <c r="A353" s="67" t="s">
        <v>715</v>
      </c>
      <c r="B353" s="29" t="s">
        <v>716</v>
      </c>
      <c r="C353" s="30" t="s">
        <v>23</v>
      </c>
      <c r="D353" s="68"/>
      <c r="E353" s="69">
        <f>ROUND(IFERROR(VLOOKUP(A353,'CAP6-7'!$A:$G,7,FALSE()),""),0)</f>
        <v>19923</v>
      </c>
      <c r="F353" s="69">
        <f t="shared" si="18"/>
        <v>0</v>
      </c>
    </row>
    <row r="354" spans="1:8">
      <c r="A354" s="67" t="s">
        <v>717</v>
      </c>
      <c r="B354" s="29" t="s">
        <v>718</v>
      </c>
      <c r="C354" s="30" t="s">
        <v>30</v>
      </c>
      <c r="D354" s="68"/>
      <c r="E354" s="69">
        <f>ROUND(IFERROR(VLOOKUP(A354,'CAP6-7'!$A:$G,7,FALSE()),""),0)</f>
        <v>9843</v>
      </c>
      <c r="F354" s="69">
        <f t="shared" si="18"/>
        <v>0</v>
      </c>
    </row>
    <row r="355" spans="1:8">
      <c r="A355" s="67" t="s">
        <v>719</v>
      </c>
      <c r="B355" s="29" t="s">
        <v>720</v>
      </c>
      <c r="C355" s="30" t="s">
        <v>23</v>
      </c>
      <c r="D355" s="68"/>
      <c r="E355" s="69">
        <f>ROUND(IFERROR(VLOOKUP(A355,'CAP6-7'!$A:$G,7,FALSE()),""),0)</f>
        <v>86068</v>
      </c>
      <c r="F355" s="69">
        <f t="shared" si="18"/>
        <v>0</v>
      </c>
    </row>
    <row r="356" spans="1:8">
      <c r="A356" s="67" t="s">
        <v>721</v>
      </c>
      <c r="B356" s="29" t="s">
        <v>722</v>
      </c>
      <c r="C356" s="30" t="s">
        <v>23</v>
      </c>
      <c r="D356" s="68"/>
      <c r="E356" s="69">
        <f>ROUND(IFERROR(VLOOKUP(A356,'CAP6-7'!$A:$G,7,FALSE()),""),0)</f>
        <v>120708</v>
      </c>
      <c r="F356" s="69">
        <f t="shared" si="18"/>
        <v>0</v>
      </c>
    </row>
    <row r="357" spans="1:8">
      <c r="A357" s="67" t="s">
        <v>723</v>
      </c>
      <c r="B357" s="29" t="s">
        <v>724</v>
      </c>
      <c r="C357" s="30" t="s">
        <v>23</v>
      </c>
      <c r="D357" s="68"/>
      <c r="E357" s="69">
        <f>ROUND(IFERROR(VLOOKUP(A357,'CAP6-7'!$A:$G,7,FALSE()),""),0)</f>
        <v>175358</v>
      </c>
      <c r="F357" s="69">
        <f t="shared" si="18"/>
        <v>0</v>
      </c>
    </row>
    <row r="358" spans="1:8">
      <c r="A358" s="67" t="s">
        <v>725</v>
      </c>
      <c r="B358" s="29" t="s">
        <v>726</v>
      </c>
      <c r="C358" s="30" t="s">
        <v>23</v>
      </c>
      <c r="D358" s="68"/>
      <c r="E358" s="69">
        <f>ROUND(IFERROR(VLOOKUP(A358,'CAP6-7'!$A:$G,7,FALSE()),""),0)</f>
        <v>279939</v>
      </c>
      <c r="F358" s="69">
        <f t="shared" si="18"/>
        <v>0</v>
      </c>
    </row>
    <row r="359" spans="1:8">
      <c r="A359" s="67" t="s">
        <v>727</v>
      </c>
      <c r="B359" s="29" t="s">
        <v>728</v>
      </c>
      <c r="C359" s="30" t="s">
        <v>23</v>
      </c>
      <c r="D359" s="68"/>
      <c r="E359" s="69">
        <f>ROUND(IFERROR(VLOOKUP(A359,'CAP6-7'!$A:$G,7,FALSE()),""),0)</f>
        <v>372610</v>
      </c>
      <c r="F359" s="69">
        <f t="shared" si="18"/>
        <v>0</v>
      </c>
    </row>
    <row r="360" spans="1:8">
      <c r="A360" s="67" t="s">
        <v>729</v>
      </c>
      <c r="B360" s="29" t="s">
        <v>730</v>
      </c>
      <c r="C360" s="30" t="s">
        <v>23</v>
      </c>
      <c r="D360" s="68"/>
      <c r="E360" s="69">
        <f>ROUND(IFERROR(VLOOKUP(A360,'CAP6-7'!$A:$G,7,FALSE()),""),0)</f>
        <v>498976</v>
      </c>
      <c r="F360" s="69">
        <f t="shared" si="18"/>
        <v>0</v>
      </c>
      <c r="H360" s="74"/>
    </row>
    <row r="361" spans="1:8">
      <c r="A361" s="67" t="s">
        <v>731</v>
      </c>
      <c r="B361" s="29" t="s">
        <v>732</v>
      </c>
      <c r="C361" s="30" t="s">
        <v>23</v>
      </c>
      <c r="D361" s="68"/>
      <c r="E361" s="69">
        <f>ROUND(IFERROR(VLOOKUP(A361,'CAP6-7'!$A:$G,7,FALSE()),""),0)</f>
        <v>753692</v>
      </c>
      <c r="F361" s="69">
        <f t="shared" si="18"/>
        <v>0</v>
      </c>
    </row>
    <row r="362" spans="1:8">
      <c r="A362" s="67" t="s">
        <v>733</v>
      </c>
      <c r="B362" s="29" t="s">
        <v>734</v>
      </c>
      <c r="C362" s="30" t="s">
        <v>23</v>
      </c>
      <c r="D362" s="68"/>
      <c r="E362" s="69">
        <f>ROUND(IFERROR(VLOOKUP(A362,'CAP6-7'!$A:$G,7,FALSE()),""),0)</f>
        <v>58330</v>
      </c>
      <c r="F362" s="69">
        <f t="shared" si="18"/>
        <v>0</v>
      </c>
    </row>
    <row r="363" spans="1:8">
      <c r="A363" s="67" t="s">
        <v>735</v>
      </c>
      <c r="B363" s="29" t="s">
        <v>736</v>
      </c>
      <c r="C363" s="30" t="s">
        <v>23</v>
      </c>
      <c r="D363" s="68"/>
      <c r="E363" s="69">
        <f>ROUND(IFERROR(VLOOKUP(A363,'CAP6-7'!$A:$G,7,FALSE()),""),0)</f>
        <v>134887</v>
      </c>
      <c r="F363" s="69">
        <f t="shared" si="18"/>
        <v>0</v>
      </c>
    </row>
    <row r="364" spans="1:8">
      <c r="A364" s="67" t="s">
        <v>737</v>
      </c>
      <c r="B364" s="29" t="s">
        <v>738</v>
      </c>
      <c r="C364" s="30" t="s">
        <v>23</v>
      </c>
      <c r="D364" s="68"/>
      <c r="E364" s="69">
        <f>ROUND(IFERROR(VLOOKUP(A364,'CAP6-7'!$A:$G,7,FALSE()),""),0)</f>
        <v>172905</v>
      </c>
      <c r="F364" s="69">
        <f t="shared" si="18"/>
        <v>0</v>
      </c>
    </row>
    <row r="365" spans="1:8">
      <c r="A365" s="67" t="s">
        <v>739</v>
      </c>
      <c r="B365" s="29" t="s">
        <v>740</v>
      </c>
      <c r="C365" s="30" t="s">
        <v>23</v>
      </c>
      <c r="D365" s="68"/>
      <c r="E365" s="69">
        <f>ROUND(IFERROR(VLOOKUP(A365,'CAP6-7'!$A:$G,7,FALSE()),""),0)</f>
        <v>220312</v>
      </c>
      <c r="F365" s="69">
        <f t="shared" si="18"/>
        <v>0</v>
      </c>
    </row>
    <row r="366" spans="1:8">
      <c r="A366" s="67" t="s">
        <v>741</v>
      </c>
      <c r="B366" s="29" t="s">
        <v>742</v>
      </c>
      <c r="C366" s="30" t="s">
        <v>23</v>
      </c>
      <c r="D366" s="68"/>
      <c r="E366" s="69">
        <f>ROUND(IFERROR(VLOOKUP(A366,'CAP6-7'!$A:$G,7,FALSE()),""),0)</f>
        <v>753692</v>
      </c>
      <c r="F366" s="69">
        <f t="shared" si="18"/>
        <v>0</v>
      </c>
    </row>
    <row r="367" spans="1:8">
      <c r="A367" s="67" t="s">
        <v>743</v>
      </c>
      <c r="B367" s="29" t="s">
        <v>744</v>
      </c>
      <c r="C367" s="30" t="s">
        <v>23</v>
      </c>
      <c r="D367" s="68"/>
      <c r="E367" s="69">
        <f>ROUND(IFERROR(VLOOKUP(A367,'CAP6-7'!$A:$G,7,FALSE()),""),0)</f>
        <v>1058256</v>
      </c>
      <c r="F367" s="69">
        <f t="shared" si="18"/>
        <v>0</v>
      </c>
    </row>
    <row r="368" spans="1:8">
      <c r="A368" s="67" t="s">
        <v>745</v>
      </c>
      <c r="B368" s="29" t="s">
        <v>746</v>
      </c>
      <c r="C368" s="30" t="s">
        <v>23</v>
      </c>
      <c r="D368" s="68"/>
      <c r="E368" s="69">
        <f>ROUND(IFERROR(VLOOKUP(A368,'CAP6-7'!$A:$G,7,FALSE()),""),0)</f>
        <v>1477020</v>
      </c>
      <c r="F368" s="69">
        <f t="shared" si="18"/>
        <v>0</v>
      </c>
    </row>
    <row r="369" spans="1:6">
      <c r="A369" s="67" t="s">
        <v>747</v>
      </c>
      <c r="B369" s="29" t="s">
        <v>748</v>
      </c>
      <c r="C369" s="30" t="s">
        <v>23</v>
      </c>
      <c r="D369" s="68"/>
      <c r="E369" s="69">
        <f>ROUND(IFERROR(VLOOKUP(A369,'CAP6-7'!$A:$G,7,FALSE()),""),0)</f>
        <v>2173692</v>
      </c>
      <c r="F369" s="69">
        <f t="shared" si="18"/>
        <v>0</v>
      </c>
    </row>
    <row r="370" spans="1:6">
      <c r="A370" s="67" t="s">
        <v>749</v>
      </c>
      <c r="B370" s="29" t="s">
        <v>750</v>
      </c>
      <c r="C370" s="30" t="s">
        <v>23</v>
      </c>
      <c r="D370" s="68"/>
      <c r="E370" s="69">
        <f>ROUND(IFERROR(VLOOKUP(A370,'CAP6-7'!$A:$G,7,FALSE()),""),0)</f>
        <v>2620424</v>
      </c>
      <c r="F370" s="69">
        <f t="shared" si="18"/>
        <v>0</v>
      </c>
    </row>
    <row r="371" spans="1:6">
      <c r="A371" s="67" t="s">
        <v>751</v>
      </c>
      <c r="B371" s="29" t="s">
        <v>752</v>
      </c>
      <c r="C371" s="30" t="s">
        <v>23</v>
      </c>
      <c r="D371" s="68"/>
      <c r="E371" s="69">
        <f>ROUND(IFERROR(VLOOKUP(A371,'CAP6-7'!$A:$G,7,FALSE()),""),0)</f>
        <v>3356193</v>
      </c>
      <c r="F371" s="69">
        <f t="shared" si="18"/>
        <v>0</v>
      </c>
    </row>
    <row r="372" spans="1:6">
      <c r="A372" s="67" t="s">
        <v>753</v>
      </c>
      <c r="B372" s="29" t="s">
        <v>754</v>
      </c>
      <c r="C372" s="30" t="s">
        <v>23</v>
      </c>
      <c r="D372" s="68"/>
      <c r="E372" s="69">
        <f>ROUND(IFERROR(VLOOKUP(A372,'CAP6-7'!$A:$G,7,FALSE()),""),0)</f>
        <v>115917</v>
      </c>
      <c r="F372" s="69">
        <f t="shared" si="18"/>
        <v>0</v>
      </c>
    </row>
    <row r="373" spans="1:6">
      <c r="A373" s="67" t="s">
        <v>755</v>
      </c>
      <c r="B373" s="29" t="s">
        <v>756</v>
      </c>
      <c r="C373" s="30" t="s">
        <v>23</v>
      </c>
      <c r="D373" s="68"/>
      <c r="E373" s="69">
        <f>ROUND(IFERROR(VLOOKUP(A373,'CAP6-7'!$A:$G,7,FALSE()),""),0)</f>
        <v>165615</v>
      </c>
      <c r="F373" s="69">
        <f t="shared" si="18"/>
        <v>0</v>
      </c>
    </row>
    <row r="374" spans="1:6">
      <c r="A374" s="67" t="s">
        <v>757</v>
      </c>
      <c r="B374" s="29" t="s">
        <v>758</v>
      </c>
      <c r="C374" s="30" t="s">
        <v>23</v>
      </c>
      <c r="D374" s="68"/>
      <c r="E374" s="69">
        <f>ROUND(IFERROR(VLOOKUP(A374,'CAP6-7'!$A:$G,7,FALSE()),""),0)</f>
        <v>65425</v>
      </c>
      <c r="F374" s="69">
        <f t="shared" si="18"/>
        <v>0</v>
      </c>
    </row>
    <row r="375" spans="1:6">
      <c r="A375" s="67" t="s">
        <v>759</v>
      </c>
      <c r="B375" s="29" t="s">
        <v>760</v>
      </c>
      <c r="C375" s="30" t="s">
        <v>23</v>
      </c>
      <c r="D375" s="68"/>
      <c r="E375" s="69">
        <f>ROUND(IFERROR(VLOOKUP(A375,'CAP6-7'!$A:$G,7,FALSE()),""),0)</f>
        <v>81337</v>
      </c>
      <c r="F375" s="69">
        <f t="shared" si="18"/>
        <v>0</v>
      </c>
    </row>
    <row r="376" spans="1:6">
      <c r="A376" s="67" t="s">
        <v>761</v>
      </c>
      <c r="B376" s="29" t="s">
        <v>762</v>
      </c>
      <c r="C376" s="30" t="s">
        <v>23</v>
      </c>
      <c r="D376" s="68"/>
      <c r="E376" s="69">
        <f>ROUND(IFERROR(VLOOKUP(A376,'CAP6-7'!$A:$G,7,FALSE()),""),0)</f>
        <v>134904</v>
      </c>
      <c r="F376" s="69">
        <f t="shared" si="18"/>
        <v>0</v>
      </c>
    </row>
    <row r="377" spans="1:6">
      <c r="A377" s="67" t="s">
        <v>763</v>
      </c>
      <c r="B377" s="29" t="s">
        <v>764</v>
      </c>
      <c r="C377" s="30" t="s">
        <v>23</v>
      </c>
      <c r="D377" s="68"/>
      <c r="E377" s="69">
        <f>ROUND(IFERROR(VLOOKUP(A377,'CAP6-7'!$A:$G,7,FALSE()),""),0)</f>
        <v>64250</v>
      </c>
      <c r="F377" s="69">
        <f t="shared" ref="F377:F408" si="19">IFERROR(E377*D377,"")</f>
        <v>0</v>
      </c>
    </row>
    <row r="378" spans="1:6">
      <c r="A378" s="67" t="s">
        <v>765</v>
      </c>
      <c r="B378" s="29" t="s">
        <v>766</v>
      </c>
      <c r="C378" s="30" t="s">
        <v>23</v>
      </c>
      <c r="D378" s="68"/>
      <c r="E378" s="69">
        <f>ROUND(IFERROR(VLOOKUP(A378,'CAP6-7'!$A:$G,7,FALSE()),""),0)</f>
        <v>79009</v>
      </c>
      <c r="F378" s="69">
        <f t="shared" si="19"/>
        <v>0</v>
      </c>
    </row>
    <row r="379" spans="1:6">
      <c r="A379" s="67" t="s">
        <v>767</v>
      </c>
      <c r="B379" s="29" t="s">
        <v>768</v>
      </c>
      <c r="C379" s="30" t="s">
        <v>23</v>
      </c>
      <c r="D379" s="68"/>
      <c r="E379" s="69">
        <f>ROUND(IFERROR(VLOOKUP(A379,'CAP6-7'!$A:$G,7,FALSE()),""),0)</f>
        <v>91777</v>
      </c>
      <c r="F379" s="69">
        <f t="shared" si="19"/>
        <v>0</v>
      </c>
    </row>
    <row r="380" spans="1:6">
      <c r="A380" s="67" t="s">
        <v>769</v>
      </c>
      <c r="B380" s="29" t="s">
        <v>770</v>
      </c>
      <c r="C380" s="30" t="s">
        <v>23</v>
      </c>
      <c r="D380" s="68"/>
      <c r="E380" s="69">
        <f>ROUND(IFERROR(VLOOKUP(A380,'CAP6-7'!$A:$G,7,FALSE()),""),0)</f>
        <v>105566</v>
      </c>
      <c r="F380" s="69">
        <f t="shared" si="19"/>
        <v>0</v>
      </c>
    </row>
    <row r="381" spans="1:6">
      <c r="A381" s="67" t="s">
        <v>771</v>
      </c>
      <c r="B381" s="29" t="s">
        <v>772</v>
      </c>
      <c r="C381" s="30" t="s">
        <v>23</v>
      </c>
      <c r="D381" s="68"/>
      <c r="E381" s="69">
        <f>ROUND(IFERROR(VLOOKUP(A381,'CAP6-7'!$A:$G,7,FALSE()),""),0)</f>
        <v>123424</v>
      </c>
      <c r="F381" s="69">
        <f t="shared" si="19"/>
        <v>0</v>
      </c>
    </row>
    <row r="382" spans="1:6">
      <c r="A382" s="67" t="s">
        <v>773</v>
      </c>
      <c r="B382" s="29" t="s">
        <v>774</v>
      </c>
      <c r="C382" s="30" t="s">
        <v>23</v>
      </c>
      <c r="D382" s="68"/>
      <c r="E382" s="69">
        <f>ROUND(IFERROR(VLOOKUP(A382,'CAP6-7'!$A:$G,7,FALSE()),""),0)</f>
        <v>161105</v>
      </c>
      <c r="F382" s="69">
        <f t="shared" si="19"/>
        <v>0</v>
      </c>
    </row>
    <row r="383" spans="1:6">
      <c r="A383" s="67" t="s">
        <v>775</v>
      </c>
      <c r="B383" s="29" t="s">
        <v>776</v>
      </c>
      <c r="C383" s="30" t="s">
        <v>23</v>
      </c>
      <c r="D383" s="68"/>
      <c r="E383" s="69">
        <f>ROUND(IFERROR(VLOOKUP(A383,'CAP6-7'!$A:$G,7,FALSE()),""),0)</f>
        <v>239593</v>
      </c>
      <c r="F383" s="69">
        <f t="shared" si="19"/>
        <v>0</v>
      </c>
    </row>
    <row r="384" spans="1:6">
      <c r="A384" s="67" t="s">
        <v>777</v>
      </c>
      <c r="B384" s="29" t="s">
        <v>778</v>
      </c>
      <c r="C384" s="30" t="s">
        <v>23</v>
      </c>
      <c r="D384" s="68"/>
      <c r="E384" s="69">
        <f>ROUND(IFERROR(VLOOKUP(A384,'CAP6-7'!$A:$G,7,FALSE()),""),0)</f>
        <v>104264</v>
      </c>
      <c r="F384" s="69">
        <f t="shared" si="19"/>
        <v>0</v>
      </c>
    </row>
    <row r="385" spans="1:6">
      <c r="A385" s="67" t="s">
        <v>779</v>
      </c>
      <c r="B385" s="29" t="s">
        <v>780</v>
      </c>
      <c r="C385" s="30" t="s">
        <v>23</v>
      </c>
      <c r="D385" s="68"/>
      <c r="E385" s="69">
        <f>ROUND(IFERROR(VLOOKUP(A385,'CAP6-7'!$A:$G,7,FALSE()),""),0)</f>
        <v>119244</v>
      </c>
      <c r="F385" s="69">
        <f t="shared" si="19"/>
        <v>0</v>
      </c>
    </row>
    <row r="386" spans="1:6">
      <c r="A386" s="67" t="s">
        <v>781</v>
      </c>
      <c r="B386" s="29" t="s">
        <v>782</v>
      </c>
      <c r="C386" s="30" t="s">
        <v>23</v>
      </c>
      <c r="D386" s="68"/>
      <c r="E386" s="69">
        <f>ROUND(IFERROR(VLOOKUP(A386,'CAP6-7'!$A:$G,7,FALSE()),""),0)</f>
        <v>155669</v>
      </c>
      <c r="F386" s="69">
        <f t="shared" si="19"/>
        <v>0</v>
      </c>
    </row>
    <row r="387" spans="1:6">
      <c r="A387" s="67" t="s">
        <v>783</v>
      </c>
      <c r="B387" s="29" t="s">
        <v>784</v>
      </c>
      <c r="C387" s="30" t="s">
        <v>23</v>
      </c>
      <c r="D387" s="68"/>
      <c r="E387" s="69">
        <f>ROUND(IFERROR(VLOOKUP(A387,'CAP6-7'!$A:$G,7,FALSE()),""),0)</f>
        <v>200711</v>
      </c>
      <c r="F387" s="69">
        <f t="shared" si="19"/>
        <v>0</v>
      </c>
    </row>
    <row r="388" spans="1:6">
      <c r="A388" s="67" t="s">
        <v>785</v>
      </c>
      <c r="B388" s="29" t="s">
        <v>786</v>
      </c>
      <c r="C388" s="30" t="s">
        <v>23</v>
      </c>
      <c r="D388" s="68"/>
      <c r="E388" s="69">
        <f>ROUND(IFERROR(VLOOKUP(A388,'CAP6-7'!$A:$G,7,FALSE()),""),0)</f>
        <v>426366</v>
      </c>
      <c r="F388" s="69">
        <f t="shared" si="19"/>
        <v>0</v>
      </c>
    </row>
    <row r="389" spans="1:6">
      <c r="A389" s="67" t="s">
        <v>787</v>
      </c>
      <c r="B389" s="29" t="s">
        <v>788</v>
      </c>
      <c r="C389" s="30" t="s">
        <v>23</v>
      </c>
      <c r="D389" s="68"/>
      <c r="E389" s="69">
        <f>ROUND(IFERROR(VLOOKUP(A389,'CAP6-7'!$A:$G,7,FALSE()),""),0)</f>
        <v>18490</v>
      </c>
      <c r="F389" s="69">
        <f t="shared" si="19"/>
        <v>0</v>
      </c>
    </row>
    <row r="390" spans="1:6">
      <c r="A390" s="67" t="s">
        <v>789</v>
      </c>
      <c r="B390" s="29" t="s">
        <v>790</v>
      </c>
      <c r="C390" s="30" t="s">
        <v>23</v>
      </c>
      <c r="D390" s="68"/>
      <c r="E390" s="69">
        <f>ROUND(IFERROR(VLOOKUP(A390,'CAP6-7'!$A:$G,7,FALSE()),""),0)</f>
        <v>30383</v>
      </c>
      <c r="F390" s="69">
        <f t="shared" si="19"/>
        <v>0</v>
      </c>
    </row>
    <row r="391" spans="1:6">
      <c r="A391" s="67" t="s">
        <v>791</v>
      </c>
      <c r="B391" s="29" t="s">
        <v>792</v>
      </c>
      <c r="C391" s="30" t="s">
        <v>23</v>
      </c>
      <c r="D391" s="68"/>
      <c r="E391" s="69">
        <f>ROUND(IFERROR(VLOOKUP(A391,'CAP6-7'!$A:$G,7,FALSE()),""),0)</f>
        <v>53471</v>
      </c>
      <c r="F391" s="69">
        <f t="shared" si="19"/>
        <v>0</v>
      </c>
    </row>
    <row r="392" spans="1:6">
      <c r="A392" s="67" t="s">
        <v>793</v>
      </c>
      <c r="B392" s="29" t="s">
        <v>794</v>
      </c>
      <c r="C392" s="30" t="s">
        <v>23</v>
      </c>
      <c r="D392" s="68"/>
      <c r="E392" s="69">
        <f>ROUND(IFERROR(VLOOKUP(A392,'CAP6-7'!$A:$G,7,FALSE()),""),0)</f>
        <v>288264</v>
      </c>
      <c r="F392" s="69">
        <f t="shared" si="19"/>
        <v>0</v>
      </c>
    </row>
    <row r="393" spans="1:6">
      <c r="A393" s="67" t="s">
        <v>795</v>
      </c>
      <c r="B393" s="29" t="s">
        <v>796</v>
      </c>
      <c r="C393" s="30" t="s">
        <v>23</v>
      </c>
      <c r="D393" s="68"/>
      <c r="E393" s="69">
        <f>ROUND(IFERROR(VLOOKUP(A393,'CAP6-7'!$A:$G,7,FALSE()),""),0)</f>
        <v>323571</v>
      </c>
      <c r="F393" s="69">
        <f t="shared" si="19"/>
        <v>0</v>
      </c>
    </row>
    <row r="394" spans="1:6">
      <c r="A394" s="67" t="s">
        <v>797</v>
      </c>
      <c r="B394" s="29" t="s">
        <v>798</v>
      </c>
      <c r="C394" s="30" t="s">
        <v>23</v>
      </c>
      <c r="D394" s="68"/>
      <c r="E394" s="69">
        <f>ROUND(IFERROR(VLOOKUP(A394,'CAP6-7'!$A:$G,7,FALSE()),""),0)</f>
        <v>536231</v>
      </c>
      <c r="F394" s="69">
        <f t="shared" si="19"/>
        <v>0</v>
      </c>
    </row>
    <row r="395" spans="1:6">
      <c r="A395" s="67" t="s">
        <v>799</v>
      </c>
      <c r="B395" s="29" t="s">
        <v>800</v>
      </c>
      <c r="C395" s="30" t="s">
        <v>23</v>
      </c>
      <c r="D395" s="68"/>
      <c r="E395" s="69">
        <f>ROUND(IFERROR(VLOOKUP(A395,'CAP6-7'!$A:$G,7,FALSE()),""),0)</f>
        <v>977050</v>
      </c>
      <c r="F395" s="69">
        <f t="shared" si="19"/>
        <v>0</v>
      </c>
    </row>
    <row r="396" spans="1:6">
      <c r="A396" s="67" t="s">
        <v>801</v>
      </c>
      <c r="B396" s="29" t="s">
        <v>802</v>
      </c>
      <c r="C396" s="30" t="s">
        <v>30</v>
      </c>
      <c r="D396" s="68"/>
      <c r="E396" s="69">
        <f>ROUND(IFERROR(VLOOKUP(A396,'CAP6-7'!$A:$G,7,FALSE()),""),0)</f>
        <v>14691</v>
      </c>
      <c r="F396" s="69">
        <f t="shared" si="19"/>
        <v>0</v>
      </c>
    </row>
    <row r="397" spans="1:6">
      <c r="A397" s="67" t="s">
        <v>803</v>
      </c>
      <c r="B397" s="29" t="s">
        <v>804</v>
      </c>
      <c r="C397" s="30" t="s">
        <v>30</v>
      </c>
      <c r="D397" s="68"/>
      <c r="E397" s="69">
        <f>ROUND(IFERROR(VLOOKUP(A397,'CAP6-7'!$A:$G,7,FALSE()),""),0)</f>
        <v>19965</v>
      </c>
      <c r="F397" s="69">
        <f t="shared" si="19"/>
        <v>0</v>
      </c>
    </row>
    <row r="398" spans="1:6">
      <c r="A398" s="67" t="s">
        <v>805</v>
      </c>
      <c r="B398" s="29" t="s">
        <v>806</v>
      </c>
      <c r="C398" s="30" t="s">
        <v>30</v>
      </c>
      <c r="D398" s="68"/>
      <c r="E398" s="69">
        <f>ROUND(IFERROR(VLOOKUP(A398,'CAP6-7'!$A:$G,7,FALSE()),""),0)</f>
        <v>39393</v>
      </c>
      <c r="F398" s="69">
        <f t="shared" si="19"/>
        <v>0</v>
      </c>
    </row>
    <row r="399" spans="1:6">
      <c r="A399" s="67" t="s">
        <v>807</v>
      </c>
      <c r="B399" s="29" t="s">
        <v>808</v>
      </c>
      <c r="C399" s="30" t="s">
        <v>30</v>
      </c>
      <c r="D399" s="68"/>
      <c r="E399" s="69">
        <f>ROUND(IFERROR(VLOOKUP(A399,'CAP6-7'!$A:$G,7,FALSE()),""),0)</f>
        <v>19278</v>
      </c>
      <c r="F399" s="69">
        <f t="shared" si="19"/>
        <v>0</v>
      </c>
    </row>
    <row r="400" spans="1:6">
      <c r="A400" s="67" t="s">
        <v>809</v>
      </c>
      <c r="B400" s="29" t="s">
        <v>810</v>
      </c>
      <c r="C400" s="30" t="s">
        <v>30</v>
      </c>
      <c r="D400" s="68"/>
      <c r="E400" s="69">
        <f>ROUND(IFERROR(VLOOKUP(A400,'CAP6-7'!$A:$G,7,FALSE()),""),0)</f>
        <v>20303</v>
      </c>
      <c r="F400" s="69">
        <f t="shared" si="19"/>
        <v>0</v>
      </c>
    </row>
    <row r="401" spans="1:6">
      <c r="A401" s="67" t="s">
        <v>811</v>
      </c>
      <c r="B401" s="29" t="s">
        <v>812</v>
      </c>
      <c r="C401" s="30" t="s">
        <v>30</v>
      </c>
      <c r="D401" s="68"/>
      <c r="E401" s="69">
        <f>ROUND(IFERROR(VLOOKUP(A401,'CAP6-7'!$A:$G,7,FALSE()),""),0)</f>
        <v>21562</v>
      </c>
      <c r="F401" s="69">
        <f t="shared" si="19"/>
        <v>0</v>
      </c>
    </row>
    <row r="402" spans="1:6">
      <c r="A402" s="67" t="s">
        <v>813</v>
      </c>
      <c r="B402" s="29" t="s">
        <v>814</v>
      </c>
      <c r="C402" s="30" t="s">
        <v>30</v>
      </c>
      <c r="D402" s="68"/>
      <c r="E402" s="69">
        <f>ROUND(IFERROR(VLOOKUP(A402,'CAP6-7'!$A:$G,7,FALSE()),""),0)</f>
        <v>26321</v>
      </c>
      <c r="F402" s="69">
        <f t="shared" si="19"/>
        <v>0</v>
      </c>
    </row>
    <row r="403" spans="1:6">
      <c r="A403" s="67" t="s">
        <v>815</v>
      </c>
      <c r="B403" s="29" t="s">
        <v>816</v>
      </c>
      <c r="C403" s="30" t="s">
        <v>30</v>
      </c>
      <c r="D403" s="68"/>
      <c r="E403" s="69">
        <f>ROUND(IFERROR(VLOOKUP(A403,'CAP6-7'!$A:$G,7,FALSE()),""),0)</f>
        <v>32343</v>
      </c>
      <c r="F403" s="69">
        <f t="shared" si="19"/>
        <v>0</v>
      </c>
    </row>
    <row r="404" spans="1:6">
      <c r="A404" s="67" t="s">
        <v>817</v>
      </c>
      <c r="B404" s="29" t="s">
        <v>818</v>
      </c>
      <c r="C404" s="30" t="s">
        <v>30</v>
      </c>
      <c r="D404" s="68"/>
      <c r="E404" s="69">
        <f>ROUND(IFERROR(VLOOKUP(A404,'CAP6-7'!$A:$G,7,FALSE()),""),0)</f>
        <v>36487</v>
      </c>
      <c r="F404" s="69">
        <f t="shared" si="19"/>
        <v>0</v>
      </c>
    </row>
    <row r="405" spans="1:6">
      <c r="A405" s="67" t="s">
        <v>819</v>
      </c>
      <c r="B405" s="29" t="s">
        <v>820</v>
      </c>
      <c r="C405" s="30" t="s">
        <v>30</v>
      </c>
      <c r="D405" s="68"/>
      <c r="E405" s="69">
        <f>ROUND(IFERROR(VLOOKUP(A405,'CAP6-7'!$A:$G,7,FALSE()),""),0)</f>
        <v>36924</v>
      </c>
      <c r="F405" s="69">
        <f t="shared" si="19"/>
        <v>0</v>
      </c>
    </row>
    <row r="406" spans="1:6">
      <c r="A406" s="67" t="s">
        <v>821</v>
      </c>
      <c r="B406" s="29" t="s">
        <v>822</v>
      </c>
      <c r="C406" s="30" t="s">
        <v>30</v>
      </c>
      <c r="D406" s="68"/>
      <c r="E406" s="69">
        <f>ROUND(IFERROR(VLOOKUP(A406,'CAP6-7'!$A:$G,7,FALSE()),""),0)</f>
        <v>56393</v>
      </c>
      <c r="F406" s="69">
        <f t="shared" si="19"/>
        <v>0</v>
      </c>
    </row>
    <row r="407" spans="1:6">
      <c r="A407" s="67" t="s">
        <v>823</v>
      </c>
      <c r="B407" s="29" t="s">
        <v>824</v>
      </c>
      <c r="C407" s="30" t="s">
        <v>30</v>
      </c>
      <c r="D407" s="68"/>
      <c r="E407" s="69">
        <f>ROUND(IFERROR(VLOOKUP(A407,'CAP6-7'!$A:$G,7,FALSE()),""),0)</f>
        <v>87773</v>
      </c>
      <c r="F407" s="69">
        <f t="shared" si="19"/>
        <v>0</v>
      </c>
    </row>
    <row r="408" spans="1:6">
      <c r="A408" s="67" t="s">
        <v>825</v>
      </c>
      <c r="B408" s="29" t="s">
        <v>826</v>
      </c>
      <c r="C408" s="30" t="s">
        <v>30</v>
      </c>
      <c r="D408" s="68"/>
      <c r="E408" s="69">
        <f>ROUND(IFERROR(VLOOKUP(A408,'CAP6-7'!$A:$G,7,FALSE()),""),0)</f>
        <v>9319</v>
      </c>
      <c r="F408" s="69">
        <f t="shared" si="19"/>
        <v>0</v>
      </c>
    </row>
    <row r="409" spans="1:6">
      <c r="A409" s="67" t="s">
        <v>827</v>
      </c>
      <c r="B409" s="29" t="s">
        <v>828</v>
      </c>
      <c r="C409" s="30" t="s">
        <v>30</v>
      </c>
      <c r="D409" s="68"/>
      <c r="E409" s="69">
        <f>ROUND(IFERROR(VLOOKUP(A409,'CAP6-7'!$A:$G,7,FALSE()),""),0)</f>
        <v>13882</v>
      </c>
      <c r="F409" s="69">
        <f t="shared" ref="F409:F432" si="20">IFERROR(E409*D409,"")</f>
        <v>0</v>
      </c>
    </row>
    <row r="410" spans="1:6">
      <c r="A410" s="67" t="s">
        <v>829</v>
      </c>
      <c r="B410" s="29" t="s">
        <v>830</v>
      </c>
      <c r="C410" s="30" t="s">
        <v>30</v>
      </c>
      <c r="D410" s="68"/>
      <c r="E410" s="69">
        <f>ROUND(IFERROR(VLOOKUP(A410,'CAP6-7'!$A:$G,7,FALSE()),""),0)</f>
        <v>17781</v>
      </c>
      <c r="F410" s="69">
        <f t="shared" si="20"/>
        <v>0</v>
      </c>
    </row>
    <row r="411" spans="1:6">
      <c r="A411" s="67" t="s">
        <v>831</v>
      </c>
      <c r="B411" s="29" t="s">
        <v>832</v>
      </c>
      <c r="C411" s="30" t="s">
        <v>30</v>
      </c>
      <c r="D411" s="68"/>
      <c r="E411" s="69">
        <f>ROUND(IFERROR(VLOOKUP(A411,'CAP6-7'!$A:$G,7,FALSE()),""),0)</f>
        <v>21948</v>
      </c>
      <c r="F411" s="69">
        <f t="shared" si="20"/>
        <v>0</v>
      </c>
    </row>
    <row r="412" spans="1:6">
      <c r="A412" s="67" t="s">
        <v>833</v>
      </c>
      <c r="B412" s="29" t="s">
        <v>834</v>
      </c>
      <c r="C412" s="30" t="s">
        <v>30</v>
      </c>
      <c r="D412" s="68"/>
      <c r="E412" s="69">
        <f>ROUND(IFERROR(VLOOKUP(A412,'CAP6-7'!$A:$G,7,FALSE()),""),0)</f>
        <v>27373</v>
      </c>
      <c r="F412" s="69">
        <f t="shared" si="20"/>
        <v>0</v>
      </c>
    </row>
    <row r="413" spans="1:6">
      <c r="A413" s="67" t="s">
        <v>835</v>
      </c>
      <c r="B413" s="29" t="s">
        <v>836</v>
      </c>
      <c r="C413" s="30" t="s">
        <v>30</v>
      </c>
      <c r="D413" s="68"/>
      <c r="E413" s="69">
        <f>ROUND(IFERROR(VLOOKUP(A413,'CAP6-7'!$A:$G,7,FALSE()),""),0)</f>
        <v>39301</v>
      </c>
      <c r="F413" s="69">
        <f t="shared" si="20"/>
        <v>0</v>
      </c>
    </row>
    <row r="414" spans="1:6">
      <c r="A414" s="67" t="s">
        <v>837</v>
      </c>
      <c r="B414" s="29" t="s">
        <v>838</v>
      </c>
      <c r="C414" s="30" t="s">
        <v>30</v>
      </c>
      <c r="D414" s="68"/>
      <c r="E414" s="69">
        <f>ROUND(IFERROR(VLOOKUP(A414,'CAP6-7'!$A:$G,7,FALSE()),""),0)</f>
        <v>64124</v>
      </c>
      <c r="F414" s="69">
        <f t="shared" si="20"/>
        <v>0</v>
      </c>
    </row>
    <row r="415" spans="1:6">
      <c r="A415" s="67" t="s">
        <v>839</v>
      </c>
      <c r="B415" s="29" t="s">
        <v>840</v>
      </c>
      <c r="C415" s="30" t="s">
        <v>30</v>
      </c>
      <c r="D415" s="68"/>
      <c r="E415" s="69">
        <f>ROUND(IFERROR(VLOOKUP(A415,'CAP6-7'!$A:$G,7,FALSE()),""),0)</f>
        <v>84153</v>
      </c>
      <c r="F415" s="69">
        <f t="shared" si="20"/>
        <v>0</v>
      </c>
    </row>
    <row r="416" spans="1:6">
      <c r="A416" s="67" t="s">
        <v>841</v>
      </c>
      <c r="B416" s="29" t="s">
        <v>842</v>
      </c>
      <c r="C416" s="30" t="s">
        <v>30</v>
      </c>
      <c r="D416" s="68"/>
      <c r="E416" s="69">
        <f>ROUND(IFERROR(VLOOKUP(A416,'CAP6-7'!$A:$G,7,FALSE()),""),0)</f>
        <v>122026</v>
      </c>
      <c r="F416" s="69">
        <f t="shared" si="20"/>
        <v>0</v>
      </c>
    </row>
    <row r="417" spans="1:6">
      <c r="A417" s="67" t="s">
        <v>843</v>
      </c>
      <c r="B417" s="29" t="s">
        <v>844</v>
      </c>
      <c r="C417" s="30" t="s">
        <v>30</v>
      </c>
      <c r="D417" s="68"/>
      <c r="E417" s="69">
        <f>ROUND(IFERROR(VLOOKUP(A417,'CAP6-7'!$A:$G,7,FALSE()),""),0)</f>
        <v>28040</v>
      </c>
      <c r="F417" s="69">
        <f t="shared" si="20"/>
        <v>0</v>
      </c>
    </row>
    <row r="418" spans="1:6">
      <c r="A418" s="67" t="s">
        <v>845</v>
      </c>
      <c r="B418" s="29" t="s">
        <v>846</v>
      </c>
      <c r="C418" s="30" t="s">
        <v>30</v>
      </c>
      <c r="D418" s="68"/>
      <c r="E418" s="69">
        <f>ROUND(IFERROR(VLOOKUP(A418,'CAP6-7'!$A:$G,7,FALSE()),""),0)</f>
        <v>40040</v>
      </c>
      <c r="F418" s="69">
        <f t="shared" si="20"/>
        <v>0</v>
      </c>
    </row>
    <row r="419" spans="1:6">
      <c r="A419" s="67" t="s">
        <v>847</v>
      </c>
      <c r="B419" s="29" t="s">
        <v>848</v>
      </c>
      <c r="C419" s="30" t="s">
        <v>30</v>
      </c>
      <c r="D419" s="68"/>
      <c r="E419" s="69">
        <f>ROUND(IFERROR(VLOOKUP(A419,'CAP6-7'!$A:$G,7,FALSE()),""),0)</f>
        <v>55988</v>
      </c>
      <c r="F419" s="69">
        <f t="shared" si="20"/>
        <v>0</v>
      </c>
    </row>
    <row r="420" spans="1:6">
      <c r="A420" s="67" t="s">
        <v>849</v>
      </c>
      <c r="B420" s="29" t="s">
        <v>850</v>
      </c>
      <c r="C420" s="30" t="s">
        <v>30</v>
      </c>
      <c r="D420" s="68"/>
      <c r="E420" s="69">
        <f>ROUND(IFERROR(VLOOKUP(A420,'CAP6-7'!$A:$G,7,FALSE()),""),0)</f>
        <v>131433</v>
      </c>
      <c r="F420" s="69">
        <f t="shared" si="20"/>
        <v>0</v>
      </c>
    </row>
    <row r="421" spans="1:6">
      <c r="A421" s="67" t="s">
        <v>851</v>
      </c>
      <c r="B421" s="29" t="s">
        <v>852</v>
      </c>
      <c r="C421" s="30" t="s">
        <v>30</v>
      </c>
      <c r="D421" s="68"/>
      <c r="E421" s="69">
        <f>ROUND(IFERROR(VLOOKUP(A421,'CAP6-7'!$A:$G,7,FALSE()),""),0)</f>
        <v>16968</v>
      </c>
      <c r="F421" s="69">
        <f t="shared" si="20"/>
        <v>0</v>
      </c>
    </row>
    <row r="422" spans="1:6">
      <c r="A422" s="67" t="s">
        <v>853</v>
      </c>
      <c r="B422" s="29" t="s">
        <v>854</v>
      </c>
      <c r="C422" s="30" t="s">
        <v>30</v>
      </c>
      <c r="D422" s="68"/>
      <c r="E422" s="69">
        <f>ROUND(IFERROR(VLOOKUP(A422,'CAP6-7'!$A:$G,7,FALSE()),""),0)</f>
        <v>21516</v>
      </c>
      <c r="F422" s="69">
        <f t="shared" si="20"/>
        <v>0</v>
      </c>
    </row>
    <row r="423" spans="1:6">
      <c r="A423" s="67" t="s">
        <v>855</v>
      </c>
      <c r="B423" s="29" t="s">
        <v>856</v>
      </c>
      <c r="C423" s="30" t="s">
        <v>30</v>
      </c>
      <c r="D423" s="68"/>
      <c r="E423" s="69">
        <f>ROUND(IFERROR(VLOOKUP(A423,'CAP6-7'!$A:$G,7,FALSE()),""),0)</f>
        <v>27998</v>
      </c>
      <c r="F423" s="69">
        <f t="shared" si="20"/>
        <v>0</v>
      </c>
    </row>
    <row r="424" spans="1:6">
      <c r="A424" s="67" t="s">
        <v>857</v>
      </c>
      <c r="B424" s="29" t="s">
        <v>858</v>
      </c>
      <c r="C424" s="30" t="s">
        <v>30</v>
      </c>
      <c r="D424" s="68"/>
      <c r="E424" s="69">
        <f>ROUND(IFERROR(VLOOKUP(A424,'CAP6-7'!$A:$G,7,FALSE()),""),0)</f>
        <v>43355</v>
      </c>
      <c r="F424" s="69">
        <f t="shared" si="20"/>
        <v>0</v>
      </c>
    </row>
    <row r="425" spans="1:6">
      <c r="A425" s="67" t="s">
        <v>859</v>
      </c>
      <c r="B425" s="29" t="s">
        <v>860</v>
      </c>
      <c r="C425" s="30" t="s">
        <v>23</v>
      </c>
      <c r="D425" s="68"/>
      <c r="E425" s="69">
        <f>ROUND(IFERROR(VLOOKUP(A425,'CAP6-7'!$A:$G,7,FALSE()),""),0)</f>
        <v>175852</v>
      </c>
      <c r="F425" s="69">
        <f t="shared" si="20"/>
        <v>0</v>
      </c>
    </row>
    <row r="426" spans="1:6">
      <c r="A426" s="67" t="s">
        <v>861</v>
      </c>
      <c r="B426" s="29" t="s">
        <v>862</v>
      </c>
      <c r="C426" s="30" t="s">
        <v>23</v>
      </c>
      <c r="D426" s="68"/>
      <c r="E426" s="69">
        <f>ROUND(IFERROR(VLOOKUP(A426,'CAP6-7'!$A:$G,7,FALSE()),""),0)</f>
        <v>187373</v>
      </c>
      <c r="F426" s="69">
        <f t="shared" si="20"/>
        <v>0</v>
      </c>
    </row>
    <row r="427" spans="1:6">
      <c r="A427" s="67" t="s">
        <v>863</v>
      </c>
      <c r="B427" s="29" t="s">
        <v>864</v>
      </c>
      <c r="C427" s="30" t="s">
        <v>23</v>
      </c>
      <c r="D427" s="68"/>
      <c r="E427" s="69">
        <f>ROUND(IFERROR(VLOOKUP(A427,'CAP6-7'!$A:$G,7,FALSE()),""),0)</f>
        <v>225723</v>
      </c>
      <c r="F427" s="69">
        <f t="shared" si="20"/>
        <v>0</v>
      </c>
    </row>
    <row r="428" spans="1:6">
      <c r="A428" s="67" t="s">
        <v>865</v>
      </c>
      <c r="B428" s="29" t="s">
        <v>866</v>
      </c>
      <c r="C428" s="30" t="s">
        <v>23</v>
      </c>
      <c r="D428" s="68"/>
      <c r="E428" s="69">
        <f>ROUND(IFERROR(VLOOKUP(A428,'CAP6-7'!$A:$G,7,FALSE()),""),0)</f>
        <v>254533</v>
      </c>
      <c r="F428" s="69">
        <f t="shared" si="20"/>
        <v>0</v>
      </c>
    </row>
    <row r="429" spans="1:6">
      <c r="A429" s="67" t="s">
        <v>867</v>
      </c>
      <c r="B429" s="29" t="s">
        <v>868</v>
      </c>
      <c r="C429" s="30" t="s">
        <v>23</v>
      </c>
      <c r="D429" s="68"/>
      <c r="E429" s="69">
        <f>ROUND(IFERROR(VLOOKUP(A429,'CAP6-7'!$A:$G,7,FALSE()),""),0)</f>
        <v>290239</v>
      </c>
      <c r="F429" s="69">
        <f t="shared" si="20"/>
        <v>0</v>
      </c>
    </row>
    <row r="430" spans="1:6">
      <c r="A430" s="67" t="s">
        <v>869</v>
      </c>
      <c r="B430" s="29" t="s">
        <v>870</v>
      </c>
      <c r="C430" s="30" t="s">
        <v>23</v>
      </c>
      <c r="D430" s="68"/>
      <c r="E430" s="69">
        <f>ROUND(IFERROR(VLOOKUP(A430,'CAP6-7'!$A:$G,7,FALSE()),""),0)</f>
        <v>433658</v>
      </c>
      <c r="F430" s="69">
        <f t="shared" si="20"/>
        <v>0</v>
      </c>
    </row>
    <row r="431" spans="1:6">
      <c r="A431" s="67" t="s">
        <v>871</v>
      </c>
      <c r="B431" s="29" t="s">
        <v>872</v>
      </c>
      <c r="C431" s="30" t="s">
        <v>23</v>
      </c>
      <c r="D431" s="68"/>
      <c r="E431" s="69">
        <f>ROUND(IFERROR(VLOOKUP(A431,'CAP6-7'!$A:$G,7,FALSE()),""),0)</f>
        <v>73156</v>
      </c>
      <c r="F431" s="69">
        <f t="shared" si="20"/>
        <v>0</v>
      </c>
    </row>
    <row r="432" spans="1:6">
      <c r="A432" s="67" t="s">
        <v>873</v>
      </c>
      <c r="B432" s="29" t="s">
        <v>874</v>
      </c>
      <c r="C432" s="30" t="s">
        <v>23</v>
      </c>
      <c r="D432" s="68"/>
      <c r="E432" s="69">
        <f>ROUND(IFERROR(VLOOKUP(A432,'CAP6-7'!$A:$G,7,FALSE()),""),0)</f>
        <v>95889</v>
      </c>
      <c r="F432" s="69">
        <f t="shared" si="20"/>
        <v>0</v>
      </c>
    </row>
    <row r="433" spans="1:8" s="74" customFormat="1">
      <c r="A433" s="60" t="s">
        <v>875</v>
      </c>
      <c r="B433" s="61" t="s">
        <v>876</v>
      </c>
      <c r="C433" s="62"/>
      <c r="D433" s="63"/>
      <c r="E433" s="64"/>
      <c r="F433" s="65">
        <f>SUM(F434:F539)</f>
        <v>0</v>
      </c>
      <c r="G433" s="66">
        <f>IFERROR(F433/$F$1279,"")</f>
        <v>0</v>
      </c>
      <c r="H433" s="3"/>
    </row>
    <row r="434" spans="1:8" ht="25.5">
      <c r="A434" s="67" t="s">
        <v>877</v>
      </c>
      <c r="B434" s="76" t="s">
        <v>878</v>
      </c>
      <c r="C434" s="30" t="s">
        <v>30</v>
      </c>
      <c r="D434" s="68"/>
      <c r="E434" s="69">
        <f>ROUND(IFERROR(VLOOKUP(A434,'CAP8'!$A:$G,7,FALSE()),""),0)</f>
        <v>54288</v>
      </c>
      <c r="F434" s="69">
        <f>IFERROR(E434*D434,"")</f>
        <v>0</v>
      </c>
    </row>
    <row r="435" spans="1:8">
      <c r="A435" s="67" t="s">
        <v>879</v>
      </c>
      <c r="B435" s="76" t="s">
        <v>880</v>
      </c>
      <c r="C435" s="30" t="s">
        <v>30</v>
      </c>
      <c r="D435" s="68"/>
      <c r="E435" s="69">
        <f>ROUND(IFERROR(VLOOKUP(A435,'CAP8'!$A:$G,7,FALSE()),""),0)</f>
        <v>269214</v>
      </c>
      <c r="F435" s="69">
        <f t="shared" ref="F435" si="21">IFERROR(E435*D435,"")</f>
        <v>0</v>
      </c>
    </row>
    <row r="436" spans="1:8" ht="25.5">
      <c r="A436" s="67" t="s">
        <v>881</v>
      </c>
      <c r="B436" s="76" t="s">
        <v>882</v>
      </c>
      <c r="C436" s="30" t="s">
        <v>30</v>
      </c>
      <c r="D436" s="68"/>
      <c r="E436" s="69">
        <f>ROUND(IFERROR(VLOOKUP(A436,'CAP8'!$A:$G,7,FALSE()),""),0)</f>
        <v>139136</v>
      </c>
      <c r="F436" s="69">
        <f t="shared" ref="F436:F446" si="22">IFERROR(E436*D436,"")</f>
        <v>0</v>
      </c>
    </row>
    <row r="437" spans="1:8" ht="25.5">
      <c r="A437" s="67" t="s">
        <v>883</v>
      </c>
      <c r="B437" s="76" t="s">
        <v>884</v>
      </c>
      <c r="C437" s="30" t="s">
        <v>30</v>
      </c>
      <c r="D437" s="68"/>
      <c r="E437" s="69">
        <f>ROUND(IFERROR(VLOOKUP(A437,'CAP8'!$A:$G,7,FALSE()),""),0)</f>
        <v>153088</v>
      </c>
      <c r="F437" s="69">
        <f t="shared" si="22"/>
        <v>0</v>
      </c>
    </row>
    <row r="438" spans="1:8" ht="25.5">
      <c r="A438" s="67" t="s">
        <v>885</v>
      </c>
      <c r="B438" s="76" t="s">
        <v>886</v>
      </c>
      <c r="C438" s="30" t="s">
        <v>30</v>
      </c>
      <c r="D438" s="68"/>
      <c r="E438" s="69">
        <f>ROUND(IFERROR(VLOOKUP(A438,'CAP8'!$A:$G,7,FALSE()),""),0)</f>
        <v>167891</v>
      </c>
      <c r="F438" s="69">
        <f t="shared" si="22"/>
        <v>0</v>
      </c>
      <c r="H438" s="74"/>
    </row>
    <row r="439" spans="1:8" ht="25.5">
      <c r="A439" s="67" t="s">
        <v>887</v>
      </c>
      <c r="B439" s="76" t="s">
        <v>888</v>
      </c>
      <c r="C439" s="30" t="s">
        <v>30</v>
      </c>
      <c r="D439" s="68"/>
      <c r="E439" s="69">
        <f>ROUND(IFERROR(VLOOKUP(A439,'CAP8'!$A:$G,7,FALSE()),""),0)</f>
        <v>183563</v>
      </c>
      <c r="F439" s="69">
        <f t="shared" si="22"/>
        <v>0</v>
      </c>
    </row>
    <row r="440" spans="1:8">
      <c r="A440" s="67" t="s">
        <v>889</v>
      </c>
      <c r="B440" s="76" t="s">
        <v>890</v>
      </c>
      <c r="C440" s="30" t="s">
        <v>30</v>
      </c>
      <c r="D440" s="68"/>
      <c r="E440" s="69">
        <f>ROUND(IFERROR(VLOOKUP(A440,'CAP8'!$A:$G,7,FALSE()),""),0)</f>
        <v>130326</v>
      </c>
      <c r="F440" s="69">
        <f t="shared" si="22"/>
        <v>0</v>
      </c>
    </row>
    <row r="441" spans="1:8">
      <c r="A441" s="67" t="s">
        <v>891</v>
      </c>
      <c r="B441" s="76" t="s">
        <v>892</v>
      </c>
      <c r="C441" s="30" t="s">
        <v>30</v>
      </c>
      <c r="D441" s="68"/>
      <c r="E441" s="69">
        <f>ROUND(IFERROR(VLOOKUP(A441,'CAP8'!$A:$G,7,FALSE()),""),0)</f>
        <v>141166</v>
      </c>
      <c r="F441" s="69">
        <f t="shared" si="22"/>
        <v>0</v>
      </c>
    </row>
    <row r="442" spans="1:8">
      <c r="A442" s="67" t="s">
        <v>893</v>
      </c>
      <c r="B442" s="76" t="s">
        <v>894</v>
      </c>
      <c r="C442" s="30" t="s">
        <v>30</v>
      </c>
      <c r="D442" s="68"/>
      <c r="E442" s="69">
        <f>ROUND(IFERROR(VLOOKUP(A442,'CAP8'!$A:$G,7,FALSE()),""),0)</f>
        <v>129045</v>
      </c>
      <c r="F442" s="69">
        <f t="shared" si="22"/>
        <v>0</v>
      </c>
    </row>
    <row r="443" spans="1:8">
      <c r="A443" s="67" t="s">
        <v>895</v>
      </c>
      <c r="B443" s="76" t="s">
        <v>896</v>
      </c>
      <c r="C443" s="30" t="s">
        <v>30</v>
      </c>
      <c r="D443" s="68"/>
      <c r="E443" s="69">
        <f>ROUND(IFERROR(VLOOKUP(A443,'CAP8'!$A:$G,7,FALSE()),""),0)</f>
        <v>140228</v>
      </c>
      <c r="F443" s="69">
        <f t="shared" si="22"/>
        <v>0</v>
      </c>
    </row>
    <row r="444" spans="1:8">
      <c r="A444" s="67" t="s">
        <v>897</v>
      </c>
      <c r="B444" s="76" t="s">
        <v>898</v>
      </c>
      <c r="C444" s="30" t="s">
        <v>30</v>
      </c>
      <c r="D444" s="68"/>
      <c r="E444" s="69">
        <f>ROUND(IFERROR(VLOOKUP(A444,'CAP8'!$A:$G,7,FALSE()),""),0)</f>
        <v>150637</v>
      </c>
      <c r="F444" s="69">
        <f t="shared" si="22"/>
        <v>0</v>
      </c>
    </row>
    <row r="445" spans="1:8">
      <c r="A445" s="67" t="s">
        <v>899</v>
      </c>
      <c r="B445" s="76" t="s">
        <v>900</v>
      </c>
      <c r="C445" s="30" t="s">
        <v>30</v>
      </c>
      <c r="D445" s="68"/>
      <c r="E445" s="69">
        <f>ROUND(IFERROR(VLOOKUP(A445,'CAP8'!$A:$G,7,FALSE()),""),0)</f>
        <v>170449</v>
      </c>
      <c r="F445" s="69">
        <f t="shared" si="22"/>
        <v>0</v>
      </c>
    </row>
    <row r="446" spans="1:8">
      <c r="A446" s="67" t="s">
        <v>901</v>
      </c>
      <c r="B446" s="76" t="s">
        <v>902</v>
      </c>
      <c r="C446" s="30" t="s">
        <v>30</v>
      </c>
      <c r="D446" s="68"/>
      <c r="E446" s="69">
        <f>ROUND(IFERROR(VLOOKUP(A446,'CAP8'!$A:$G,7,FALSE()),""),0)</f>
        <v>184466</v>
      </c>
      <c r="F446" s="69">
        <f t="shared" si="22"/>
        <v>0</v>
      </c>
    </row>
    <row r="447" spans="1:8">
      <c r="A447" s="67" t="s">
        <v>903</v>
      </c>
      <c r="B447" s="76" t="s">
        <v>904</v>
      </c>
      <c r="C447" s="30" t="s">
        <v>23</v>
      </c>
      <c r="D447" s="68"/>
      <c r="E447" s="69">
        <f>ROUND(IFERROR(VLOOKUP(A447,'CAP8'!$A:$G,7,FALSE()),""),0)</f>
        <v>35459</v>
      </c>
      <c r="F447" s="69">
        <f t="shared" ref="F447:F499" si="23">IFERROR(E447*D447,"")</f>
        <v>0</v>
      </c>
    </row>
    <row r="448" spans="1:8" ht="25.5">
      <c r="A448" s="67" t="s">
        <v>905</v>
      </c>
      <c r="B448" s="76" t="s">
        <v>906</v>
      </c>
      <c r="C448" s="30" t="s">
        <v>23</v>
      </c>
      <c r="D448" s="68"/>
      <c r="E448" s="69">
        <f>ROUND(IFERROR(VLOOKUP(A448,'CAP8'!$A:$G,7,FALSE()),""),0)</f>
        <v>44956</v>
      </c>
      <c r="F448" s="69">
        <f t="shared" si="23"/>
        <v>0</v>
      </c>
    </row>
    <row r="449" spans="1:8" ht="25.5">
      <c r="A449" s="67" t="s">
        <v>907</v>
      </c>
      <c r="B449" s="76" t="s">
        <v>908</v>
      </c>
      <c r="C449" s="30" t="s">
        <v>23</v>
      </c>
      <c r="D449" s="68"/>
      <c r="E449" s="69">
        <f>ROUND(IFERROR(VLOOKUP(A449,'CAP8'!$A:$G,7,FALSE()),""),0)</f>
        <v>52764</v>
      </c>
      <c r="F449" s="69">
        <f t="shared" si="23"/>
        <v>0</v>
      </c>
      <c r="H449" s="74"/>
    </row>
    <row r="450" spans="1:8" ht="25.5">
      <c r="A450" s="67" t="s">
        <v>909</v>
      </c>
      <c r="B450" s="76" t="s">
        <v>910</v>
      </c>
      <c r="C450" s="30" t="s">
        <v>23</v>
      </c>
      <c r="D450" s="68"/>
      <c r="E450" s="69">
        <f>ROUND(IFERROR(VLOOKUP(A450,'CAP8'!$A:$G,7,FALSE()),""),0)</f>
        <v>58687</v>
      </c>
      <c r="F450" s="69">
        <f t="shared" si="23"/>
        <v>0</v>
      </c>
    </row>
    <row r="451" spans="1:8" ht="25.5">
      <c r="A451" s="67" t="s">
        <v>911</v>
      </c>
      <c r="B451" s="76" t="s">
        <v>912</v>
      </c>
      <c r="C451" s="30" t="s">
        <v>23</v>
      </c>
      <c r="D451" s="68"/>
      <c r="E451" s="69">
        <f>ROUND(IFERROR(VLOOKUP(A451,'CAP8'!$A:$G,7,FALSE()),""),0)</f>
        <v>60860</v>
      </c>
      <c r="F451" s="69">
        <f t="shared" si="23"/>
        <v>0</v>
      </c>
    </row>
    <row r="452" spans="1:8" ht="25.5">
      <c r="A452" s="67" t="s">
        <v>913</v>
      </c>
      <c r="B452" s="76" t="s">
        <v>914</v>
      </c>
      <c r="C452" s="30" t="s">
        <v>23</v>
      </c>
      <c r="D452" s="68"/>
      <c r="E452" s="69">
        <f>ROUND(IFERROR(VLOOKUP(A452,'CAP8'!$A:$G,7,FALSE()),""),0)</f>
        <v>220370</v>
      </c>
      <c r="F452" s="69">
        <f>IFERROR(E452*D452,"")</f>
        <v>0</v>
      </c>
    </row>
    <row r="453" spans="1:8" ht="25.5">
      <c r="A453" s="67" t="s">
        <v>915</v>
      </c>
      <c r="B453" s="76" t="s">
        <v>916</v>
      </c>
      <c r="C453" s="30" t="s">
        <v>23</v>
      </c>
      <c r="D453" s="68"/>
      <c r="E453" s="69">
        <f>ROUND(IFERROR(VLOOKUP(A453,'CAP8'!$A:$G,7,FALSE()),""),0)</f>
        <v>101951</v>
      </c>
      <c r="F453" s="69">
        <f>IFERROR(E453*D453,"")</f>
        <v>0</v>
      </c>
    </row>
    <row r="454" spans="1:8" ht="25.5">
      <c r="A454" s="67" t="s">
        <v>917</v>
      </c>
      <c r="B454" s="76" t="s">
        <v>918</v>
      </c>
      <c r="C454" s="30" t="s">
        <v>30</v>
      </c>
      <c r="D454" s="68"/>
      <c r="E454" s="69">
        <f>ROUND(IFERROR(VLOOKUP(A454,'CAP8'!$A:$G,7,FALSE()),""),0)</f>
        <v>48194</v>
      </c>
      <c r="F454" s="69">
        <f t="shared" si="23"/>
        <v>0</v>
      </c>
    </row>
    <row r="455" spans="1:8" ht="25.5">
      <c r="A455" s="67" t="s">
        <v>919</v>
      </c>
      <c r="B455" s="76" t="s">
        <v>920</v>
      </c>
      <c r="C455" s="30" t="s">
        <v>30</v>
      </c>
      <c r="D455" s="68"/>
      <c r="E455" s="69">
        <f>ROUND(IFERROR(VLOOKUP(A455,'CAP8'!$A:$G,7,FALSE()),""),0)</f>
        <v>167567</v>
      </c>
      <c r="F455" s="69">
        <f>IFERROR(E455*D455,"")</f>
        <v>0</v>
      </c>
    </row>
    <row r="456" spans="1:8" ht="25.5">
      <c r="A456" s="67" t="s">
        <v>921</v>
      </c>
      <c r="B456" s="76" t="s">
        <v>922</v>
      </c>
      <c r="C456" s="30" t="s">
        <v>30</v>
      </c>
      <c r="D456" s="68"/>
      <c r="E456" s="69">
        <f>ROUND(IFERROR(VLOOKUP(A456,'CAP8'!$A:$G,7,FALSE()),""),0)</f>
        <v>136792</v>
      </c>
      <c r="F456" s="69">
        <f t="shared" si="23"/>
        <v>0</v>
      </c>
    </row>
    <row r="457" spans="1:8">
      <c r="A457" s="67" t="s">
        <v>923</v>
      </c>
      <c r="B457" s="76" t="s">
        <v>924</v>
      </c>
      <c r="C457" s="30" t="s">
        <v>30</v>
      </c>
      <c r="D457" s="68"/>
      <c r="E457" s="69">
        <f>ROUND(IFERROR(VLOOKUP(A457,'CAP8'!$A:$G,7,FALSE()),""),0)</f>
        <v>90264</v>
      </c>
      <c r="F457" s="69">
        <f t="shared" ref="F457:F462" si="24">IFERROR(E457*D457,"")</f>
        <v>0</v>
      </c>
    </row>
    <row r="458" spans="1:8">
      <c r="A458" s="67" t="s">
        <v>925</v>
      </c>
      <c r="B458" s="76" t="s">
        <v>926</v>
      </c>
      <c r="C458" s="30" t="s">
        <v>30</v>
      </c>
      <c r="D458" s="68"/>
      <c r="E458" s="69">
        <f>ROUND(IFERROR(VLOOKUP(A458,'CAP8'!$A:$G,7,FALSE()),""),0)</f>
        <v>58307</v>
      </c>
      <c r="F458" s="69">
        <f t="shared" si="24"/>
        <v>0</v>
      </c>
    </row>
    <row r="459" spans="1:8">
      <c r="A459" s="67" t="s">
        <v>927</v>
      </c>
      <c r="B459" s="76" t="s">
        <v>928</v>
      </c>
      <c r="C459" s="30" t="s">
        <v>30</v>
      </c>
      <c r="D459" s="68"/>
      <c r="E459" s="69">
        <f>ROUND(IFERROR(VLOOKUP(A459,'CAP8'!$A:$G,7,FALSE()),""),0)</f>
        <v>40569</v>
      </c>
      <c r="F459" s="69">
        <f t="shared" si="24"/>
        <v>0</v>
      </c>
    </row>
    <row r="460" spans="1:8">
      <c r="A460" s="67" t="s">
        <v>929</v>
      </c>
      <c r="B460" s="76" t="s">
        <v>930</v>
      </c>
      <c r="C460" s="30" t="s">
        <v>30</v>
      </c>
      <c r="D460" s="68"/>
      <c r="E460" s="69">
        <f>ROUND(IFERROR(VLOOKUP(A460,'CAP8'!$A:$G,7,FALSE()),""),0)</f>
        <v>27913</v>
      </c>
      <c r="F460" s="69">
        <f t="shared" si="24"/>
        <v>0</v>
      </c>
    </row>
    <row r="461" spans="1:8" ht="25.5">
      <c r="A461" s="67" t="s">
        <v>931</v>
      </c>
      <c r="B461" s="76" t="s">
        <v>932</v>
      </c>
      <c r="C461" s="30" t="s">
        <v>30</v>
      </c>
      <c r="D461" s="68"/>
      <c r="E461" s="69">
        <f>ROUND(IFERROR(VLOOKUP(A461,'CAP8'!$A:$G,7,FALSE()),""),0)</f>
        <v>13637</v>
      </c>
      <c r="F461" s="69">
        <f t="shared" si="24"/>
        <v>0</v>
      </c>
    </row>
    <row r="462" spans="1:8" ht="25.5">
      <c r="A462" s="67" t="s">
        <v>933</v>
      </c>
      <c r="B462" s="76" t="s">
        <v>934</v>
      </c>
      <c r="C462" s="30" t="s">
        <v>23</v>
      </c>
      <c r="D462" s="68"/>
      <c r="E462" s="69">
        <f>ROUND(IFERROR(VLOOKUP(A462,'CAP8'!$A:$G,7,FALSE()),""),0)</f>
        <v>410554</v>
      </c>
      <c r="F462" s="69">
        <f t="shared" si="24"/>
        <v>0</v>
      </c>
    </row>
    <row r="463" spans="1:8">
      <c r="A463" s="67" t="s">
        <v>935</v>
      </c>
      <c r="B463" s="76" t="s">
        <v>936</v>
      </c>
      <c r="C463" s="30" t="s">
        <v>23</v>
      </c>
      <c r="D463" s="68"/>
      <c r="E463" s="69">
        <f>ROUND(IFERROR(VLOOKUP(A463,'CAP8'!$A:$G,7,FALSE()),""),0)</f>
        <v>2830</v>
      </c>
      <c r="F463" s="69">
        <f t="shared" ref="F463:F471" si="25">IFERROR(E463*D463,"")</f>
        <v>0</v>
      </c>
    </row>
    <row r="464" spans="1:8" ht="25.5">
      <c r="A464" s="67" t="s">
        <v>937</v>
      </c>
      <c r="B464" s="76" t="s">
        <v>938</v>
      </c>
      <c r="C464" s="30" t="s">
        <v>23</v>
      </c>
      <c r="D464" s="68"/>
      <c r="E464" s="69">
        <f>ROUND(IFERROR(VLOOKUP(A464,'CAP8'!$A:$G,7,FALSE()),""),0)</f>
        <v>30431</v>
      </c>
      <c r="F464" s="69">
        <f t="shared" si="25"/>
        <v>0</v>
      </c>
    </row>
    <row r="465" spans="1:6" ht="25.5">
      <c r="A465" s="67" t="s">
        <v>939</v>
      </c>
      <c r="B465" s="76" t="s">
        <v>940</v>
      </c>
      <c r="C465" s="30" t="s">
        <v>23</v>
      </c>
      <c r="D465" s="68"/>
      <c r="E465" s="69">
        <f>ROUND(IFERROR(VLOOKUP(A465,'CAP8'!$A:$G,7,FALSE()),""),0)</f>
        <v>49571</v>
      </c>
      <c r="F465" s="69">
        <f t="shared" si="25"/>
        <v>0</v>
      </c>
    </row>
    <row r="466" spans="1:6" ht="25.5">
      <c r="A466" s="67" t="s">
        <v>941</v>
      </c>
      <c r="B466" s="76" t="s">
        <v>942</v>
      </c>
      <c r="C466" s="30" t="s">
        <v>23</v>
      </c>
      <c r="D466" s="68"/>
      <c r="E466" s="69">
        <f>ROUND(IFERROR(VLOOKUP(A466,'CAP8'!$A:$G,7,FALSE()),""),0)</f>
        <v>54573</v>
      </c>
      <c r="F466" s="69">
        <f t="shared" si="25"/>
        <v>0</v>
      </c>
    </row>
    <row r="467" spans="1:6" ht="25.5">
      <c r="A467" s="67" t="s">
        <v>943</v>
      </c>
      <c r="B467" s="76" t="s">
        <v>944</v>
      </c>
      <c r="C467" s="30" t="s">
        <v>23</v>
      </c>
      <c r="D467" s="68"/>
      <c r="E467" s="69">
        <f>ROUND(IFERROR(VLOOKUP(A467,'CAP8'!$A:$G,7,FALSE()),""),0)</f>
        <v>33415</v>
      </c>
      <c r="F467" s="69">
        <f t="shared" si="25"/>
        <v>0</v>
      </c>
    </row>
    <row r="468" spans="1:6" ht="25.5">
      <c r="A468" s="67" t="s">
        <v>945</v>
      </c>
      <c r="B468" s="76" t="s">
        <v>946</v>
      </c>
      <c r="C468" s="30" t="s">
        <v>23</v>
      </c>
      <c r="D468" s="68"/>
      <c r="E468" s="69">
        <f>ROUND(IFERROR(VLOOKUP(A468,'CAP8'!$A:$G,7,FALSE()),""),0)</f>
        <v>54525</v>
      </c>
      <c r="F468" s="69">
        <f t="shared" si="25"/>
        <v>0</v>
      </c>
    </row>
    <row r="469" spans="1:6" ht="25.5">
      <c r="A469" s="67" t="s">
        <v>947</v>
      </c>
      <c r="B469" s="76" t="s">
        <v>948</v>
      </c>
      <c r="C469" s="30" t="s">
        <v>23</v>
      </c>
      <c r="D469" s="68"/>
      <c r="E469" s="69">
        <f>ROUND(IFERROR(VLOOKUP(A469,'CAP8'!$A:$G,7,FALSE()),""),0)</f>
        <v>52556</v>
      </c>
      <c r="F469" s="69">
        <f t="shared" si="25"/>
        <v>0</v>
      </c>
    </row>
    <row r="470" spans="1:6" ht="25.5">
      <c r="A470" s="67" t="s">
        <v>949</v>
      </c>
      <c r="B470" s="76" t="s">
        <v>950</v>
      </c>
      <c r="C470" s="30" t="s">
        <v>23</v>
      </c>
      <c r="D470" s="68"/>
      <c r="E470" s="69">
        <f>ROUND(IFERROR(VLOOKUP(A470,'CAP8'!$A:$G,7,FALSE()),""),0)</f>
        <v>35745</v>
      </c>
      <c r="F470" s="69">
        <f t="shared" si="25"/>
        <v>0</v>
      </c>
    </row>
    <row r="471" spans="1:6" ht="25.5">
      <c r="A471" s="67" t="s">
        <v>951</v>
      </c>
      <c r="B471" s="76" t="s">
        <v>952</v>
      </c>
      <c r="C471" s="30" t="s">
        <v>23</v>
      </c>
      <c r="D471" s="68"/>
      <c r="E471" s="69">
        <f>ROUND(IFERROR(VLOOKUP(A471,'CAP8'!$A:$G,7,FALSE()),""),0)</f>
        <v>56855</v>
      </c>
      <c r="F471" s="69">
        <f t="shared" si="25"/>
        <v>0</v>
      </c>
    </row>
    <row r="472" spans="1:6" ht="25.5">
      <c r="A472" s="67" t="s">
        <v>953</v>
      </c>
      <c r="B472" s="76" t="s">
        <v>954</v>
      </c>
      <c r="C472" s="30" t="s">
        <v>23</v>
      </c>
      <c r="D472" s="68"/>
      <c r="E472" s="69">
        <f>ROUND(IFERROR(VLOOKUP(A472,'CAP8'!$A:$G,7,FALSE()),""),0)</f>
        <v>54886</v>
      </c>
      <c r="F472" s="69">
        <f t="shared" ref="F472" si="26">IFERROR(E472*D472,"")</f>
        <v>0</v>
      </c>
    </row>
    <row r="473" spans="1:6" ht="25.5">
      <c r="A473" s="67" t="s">
        <v>955</v>
      </c>
      <c r="B473" s="76" t="s">
        <v>956</v>
      </c>
      <c r="C473" s="30" t="s">
        <v>23</v>
      </c>
      <c r="D473" s="68"/>
      <c r="E473" s="69">
        <f>ROUND(IFERROR(VLOOKUP(A473,'CAP8'!$A:$G,7,FALSE()),""),0)</f>
        <v>279320</v>
      </c>
      <c r="F473" s="69">
        <f t="shared" ref="F473:F498" si="27">IFERROR(E473*D473,"")</f>
        <v>0</v>
      </c>
    </row>
    <row r="474" spans="1:6" ht="25.5">
      <c r="A474" s="67" t="s">
        <v>957</v>
      </c>
      <c r="B474" s="76" t="s">
        <v>958</v>
      </c>
      <c r="C474" s="30" t="s">
        <v>23</v>
      </c>
      <c r="D474" s="68"/>
      <c r="E474" s="69">
        <f>ROUND(IFERROR(VLOOKUP(A474,'CAP8'!$A:$G,7,FALSE()),""),0)</f>
        <v>306095</v>
      </c>
      <c r="F474" s="69">
        <f t="shared" si="27"/>
        <v>0</v>
      </c>
    </row>
    <row r="475" spans="1:6" ht="25.5">
      <c r="A475" s="67" t="s">
        <v>959</v>
      </c>
      <c r="B475" s="76" t="s">
        <v>960</v>
      </c>
      <c r="C475" s="30" t="s">
        <v>23</v>
      </c>
      <c r="D475" s="68"/>
      <c r="E475" s="69">
        <f>ROUND(IFERROR(VLOOKUP(A475,'CAP8'!$A:$G,7,FALSE()),""),0)</f>
        <v>323943</v>
      </c>
      <c r="F475" s="69">
        <f t="shared" si="27"/>
        <v>0</v>
      </c>
    </row>
    <row r="476" spans="1:6" ht="25.5">
      <c r="A476" s="67" t="s">
        <v>961</v>
      </c>
      <c r="B476" s="76" t="s">
        <v>962</v>
      </c>
      <c r="C476" s="30" t="s">
        <v>23</v>
      </c>
      <c r="D476" s="68"/>
      <c r="E476" s="69">
        <f>ROUND(IFERROR(VLOOKUP(A476,'CAP8'!$A:$G,7,FALSE()),""),0)</f>
        <v>417823</v>
      </c>
      <c r="F476" s="69">
        <f t="shared" si="27"/>
        <v>0</v>
      </c>
    </row>
    <row r="477" spans="1:6" ht="25.5">
      <c r="A477" s="67" t="s">
        <v>963</v>
      </c>
      <c r="B477" s="76" t="s">
        <v>964</v>
      </c>
      <c r="C477" s="30" t="s">
        <v>23</v>
      </c>
      <c r="D477" s="68"/>
      <c r="E477" s="69">
        <f>ROUND(IFERROR(VLOOKUP(A477,'CAP8'!$A:$G,7,FALSE()),""),0)</f>
        <v>154896</v>
      </c>
      <c r="F477" s="69">
        <f t="shared" si="27"/>
        <v>0</v>
      </c>
    </row>
    <row r="478" spans="1:6" ht="38.25">
      <c r="A478" s="67" t="s">
        <v>965</v>
      </c>
      <c r="B478" s="76" t="s">
        <v>966</v>
      </c>
      <c r="C478" s="30" t="s">
        <v>23</v>
      </c>
      <c r="D478" s="68"/>
      <c r="E478" s="69">
        <f>ROUND(IFERROR(VLOOKUP(A478,'CAP8'!$A:$G,7,FALSE()),""),0)</f>
        <v>156234</v>
      </c>
      <c r="F478" s="69">
        <f t="shared" si="27"/>
        <v>0</v>
      </c>
    </row>
    <row r="479" spans="1:6" ht="38.25">
      <c r="A479" s="67" t="s">
        <v>967</v>
      </c>
      <c r="B479" s="76" t="s">
        <v>968</v>
      </c>
      <c r="C479" s="30" t="s">
        <v>23</v>
      </c>
      <c r="D479" s="68"/>
      <c r="E479" s="69">
        <f>ROUND(IFERROR(VLOOKUP(A479,'CAP8'!$A:$G,7,FALSE()),""),0)</f>
        <v>147493</v>
      </c>
      <c r="F479" s="69">
        <f t="shared" si="27"/>
        <v>0</v>
      </c>
    </row>
    <row r="480" spans="1:6" ht="38.25">
      <c r="A480" s="67" t="s">
        <v>969</v>
      </c>
      <c r="B480" s="76" t="s">
        <v>970</v>
      </c>
      <c r="C480" s="30" t="s">
        <v>23</v>
      </c>
      <c r="D480" s="68"/>
      <c r="E480" s="69">
        <f>ROUND(IFERROR(VLOOKUP(A480,'CAP8'!$A:$G,7,FALSE()),""),0)</f>
        <v>151122</v>
      </c>
      <c r="F480" s="69">
        <f t="shared" si="27"/>
        <v>0</v>
      </c>
    </row>
    <row r="481" spans="1:8" ht="38.25">
      <c r="A481" s="67" t="s">
        <v>971</v>
      </c>
      <c r="B481" s="76" t="s">
        <v>972</v>
      </c>
      <c r="C481" s="30" t="s">
        <v>23</v>
      </c>
      <c r="D481" s="68"/>
      <c r="E481" s="69">
        <f>ROUND(IFERROR(VLOOKUP(A481,'CAP8'!$A:$G,7,FALSE()),""),0)</f>
        <v>147493</v>
      </c>
      <c r="F481" s="69">
        <f t="shared" si="27"/>
        <v>0</v>
      </c>
    </row>
    <row r="482" spans="1:8" ht="25.5">
      <c r="A482" s="67" t="s">
        <v>973</v>
      </c>
      <c r="B482" s="76" t="s">
        <v>974</v>
      </c>
      <c r="C482" s="30" t="s">
        <v>23</v>
      </c>
      <c r="D482" s="68"/>
      <c r="E482" s="69">
        <f>ROUND(IFERROR(VLOOKUP(A482,'CAP8'!$A:$G,7,FALSE()),""),0)</f>
        <v>192233</v>
      </c>
      <c r="F482" s="69">
        <f t="shared" si="27"/>
        <v>0</v>
      </c>
    </row>
    <row r="483" spans="1:8" ht="25.5">
      <c r="A483" s="67" t="s">
        <v>975</v>
      </c>
      <c r="B483" s="76" t="s">
        <v>976</v>
      </c>
      <c r="C483" s="30" t="s">
        <v>23</v>
      </c>
      <c r="D483" s="68"/>
      <c r="E483" s="69">
        <f>ROUND(IFERROR(VLOOKUP(A483,'CAP8'!$A:$G,7,FALSE()),""),0)</f>
        <v>170068</v>
      </c>
      <c r="F483" s="69">
        <f t="shared" si="27"/>
        <v>0</v>
      </c>
    </row>
    <row r="484" spans="1:8" ht="25.5">
      <c r="A484" s="67" t="s">
        <v>977</v>
      </c>
      <c r="B484" s="76" t="s">
        <v>978</v>
      </c>
      <c r="C484" s="30" t="s">
        <v>23</v>
      </c>
      <c r="D484" s="68"/>
      <c r="E484" s="69">
        <f>ROUND(IFERROR(VLOOKUP(A484,'CAP8'!$A:$G,7,FALSE()),""),0)</f>
        <v>192233</v>
      </c>
      <c r="F484" s="69">
        <f t="shared" si="27"/>
        <v>0</v>
      </c>
    </row>
    <row r="485" spans="1:8" ht="25.5">
      <c r="A485" s="67" t="s">
        <v>979</v>
      </c>
      <c r="B485" s="76" t="s">
        <v>980</v>
      </c>
      <c r="C485" s="30" t="s">
        <v>23</v>
      </c>
      <c r="D485" s="68"/>
      <c r="E485" s="69">
        <f>ROUND(IFERROR(VLOOKUP(A485,'CAP8'!$A:$G,7,FALSE()),""),0)</f>
        <v>170068</v>
      </c>
      <c r="F485" s="69">
        <f t="shared" si="27"/>
        <v>0</v>
      </c>
    </row>
    <row r="486" spans="1:8" ht="25.5">
      <c r="A486" s="67" t="s">
        <v>981</v>
      </c>
      <c r="B486" s="76" t="s">
        <v>982</v>
      </c>
      <c r="C486" s="30" t="s">
        <v>23</v>
      </c>
      <c r="D486" s="68"/>
      <c r="E486" s="69">
        <f>ROUND(IFERROR(VLOOKUP(A486,'CAP8'!$A:$G,7,FALSE()),""),0)</f>
        <v>235074</v>
      </c>
      <c r="F486" s="69">
        <f t="shared" si="27"/>
        <v>0</v>
      </c>
    </row>
    <row r="487" spans="1:8" ht="25.5">
      <c r="A487" s="67" t="s">
        <v>983</v>
      </c>
      <c r="B487" s="76" t="s">
        <v>984</v>
      </c>
      <c r="C487" s="30" t="s">
        <v>23</v>
      </c>
      <c r="D487" s="68"/>
      <c r="E487" s="69">
        <f>ROUND(IFERROR(VLOOKUP(A487,'CAP8'!$A:$G,7,FALSE()),""),0)</f>
        <v>214005</v>
      </c>
      <c r="F487" s="69">
        <f t="shared" si="27"/>
        <v>0</v>
      </c>
    </row>
    <row r="488" spans="1:8" ht="25.5">
      <c r="A488" s="67" t="s">
        <v>985</v>
      </c>
      <c r="B488" s="76" t="s">
        <v>986</v>
      </c>
      <c r="C488" s="30" t="s">
        <v>23</v>
      </c>
      <c r="D488" s="68"/>
      <c r="E488" s="69">
        <f>ROUND(IFERROR(VLOOKUP(A488,'CAP8'!$A:$G,7,FALSE()),""),0)</f>
        <v>267408</v>
      </c>
      <c r="F488" s="69">
        <f t="shared" si="27"/>
        <v>0</v>
      </c>
    </row>
    <row r="489" spans="1:8" ht="25.5">
      <c r="A489" s="67" t="s">
        <v>987</v>
      </c>
      <c r="B489" s="76" t="s">
        <v>988</v>
      </c>
      <c r="C489" s="30" t="s">
        <v>23</v>
      </c>
      <c r="D489" s="68"/>
      <c r="E489" s="69">
        <f>ROUND(IFERROR(VLOOKUP(A489,'CAP8'!$A:$G,7,FALSE()),""),0)</f>
        <v>343938</v>
      </c>
      <c r="F489" s="69">
        <f t="shared" si="27"/>
        <v>0</v>
      </c>
    </row>
    <row r="490" spans="1:8">
      <c r="A490" s="67" t="s">
        <v>989</v>
      </c>
      <c r="B490" s="76" t="s">
        <v>990</v>
      </c>
      <c r="C490" s="30" t="s">
        <v>23</v>
      </c>
      <c r="D490" s="68"/>
      <c r="E490" s="69">
        <f>ROUND(IFERROR(VLOOKUP(A490,'CAP8'!$A:$G,7,FALSE()),""),0)</f>
        <v>101666</v>
      </c>
      <c r="F490" s="69">
        <f t="shared" si="27"/>
        <v>0</v>
      </c>
    </row>
    <row r="491" spans="1:8" ht="25.5">
      <c r="A491" s="67" t="s">
        <v>991</v>
      </c>
      <c r="B491" s="76" t="s">
        <v>992</v>
      </c>
      <c r="C491" s="30" t="s">
        <v>23</v>
      </c>
      <c r="D491" s="68"/>
      <c r="E491" s="69">
        <f>ROUND(IFERROR(VLOOKUP(A491,'CAP8'!$A:$G,7,FALSE()),""),0)</f>
        <v>220009</v>
      </c>
      <c r="F491" s="69">
        <f t="shared" si="27"/>
        <v>0</v>
      </c>
    </row>
    <row r="492" spans="1:8" ht="25.5">
      <c r="A492" s="67" t="s">
        <v>993</v>
      </c>
      <c r="B492" s="76" t="s">
        <v>994</v>
      </c>
      <c r="C492" s="30" t="s">
        <v>23</v>
      </c>
      <c r="D492" s="68"/>
      <c r="E492" s="69">
        <f>ROUND(IFERROR(VLOOKUP(A492,'CAP8'!$A:$G,7,FALSE()),""),0)</f>
        <v>220009</v>
      </c>
      <c r="F492" s="69">
        <f t="shared" si="27"/>
        <v>0</v>
      </c>
      <c r="H492" s="74"/>
    </row>
    <row r="493" spans="1:8" ht="25.5">
      <c r="A493" s="67" t="s">
        <v>995</v>
      </c>
      <c r="B493" s="76" t="s">
        <v>996</v>
      </c>
      <c r="C493" s="30" t="s">
        <v>23</v>
      </c>
      <c r="D493" s="68"/>
      <c r="E493" s="69">
        <f>ROUND(IFERROR(VLOOKUP(A493,'CAP8'!$A:$G,7,FALSE()),""),0)</f>
        <v>171556</v>
      </c>
      <c r="F493" s="69">
        <f t="shared" si="27"/>
        <v>0</v>
      </c>
    </row>
    <row r="494" spans="1:8" ht="25.5">
      <c r="A494" s="67" t="s">
        <v>997</v>
      </c>
      <c r="B494" s="76" t="s">
        <v>998</v>
      </c>
      <c r="C494" s="30" t="s">
        <v>23</v>
      </c>
      <c r="D494" s="68"/>
      <c r="E494" s="69">
        <f>ROUND(IFERROR(VLOOKUP(A494,'CAP8'!$A:$G,7,FALSE()),""),0)</f>
        <v>159708</v>
      </c>
      <c r="F494" s="69">
        <f t="shared" si="27"/>
        <v>0</v>
      </c>
    </row>
    <row r="495" spans="1:8" ht="25.5">
      <c r="A495" s="67" t="s">
        <v>999</v>
      </c>
      <c r="B495" s="76" t="s">
        <v>1000</v>
      </c>
      <c r="C495" s="30" t="s">
        <v>23</v>
      </c>
      <c r="D495" s="68"/>
      <c r="E495" s="69">
        <f>ROUND(IFERROR(VLOOKUP(A495,'CAP8'!$A:$G,7,FALSE()),""),0)</f>
        <v>361051</v>
      </c>
      <c r="F495" s="69">
        <f t="shared" si="27"/>
        <v>0</v>
      </c>
    </row>
    <row r="496" spans="1:8" ht="25.5">
      <c r="A496" s="67" t="s">
        <v>1001</v>
      </c>
      <c r="B496" s="76" t="s">
        <v>1002</v>
      </c>
      <c r="C496" s="30" t="s">
        <v>23</v>
      </c>
      <c r="D496" s="68"/>
      <c r="E496" s="69">
        <f>ROUND(IFERROR(VLOOKUP(A496,'CAP8'!$A:$G,7,FALSE()),""),0)</f>
        <v>231176</v>
      </c>
      <c r="F496" s="69">
        <f t="shared" si="27"/>
        <v>0</v>
      </c>
    </row>
    <row r="497" spans="1:6" ht="38.25">
      <c r="A497" s="67" t="s">
        <v>1003</v>
      </c>
      <c r="B497" s="76" t="s">
        <v>1004</v>
      </c>
      <c r="C497" s="30" t="s">
        <v>23</v>
      </c>
      <c r="D497" s="68"/>
      <c r="E497" s="69">
        <f>ROUND(IFERROR(VLOOKUP(A497,'CAP8'!$A:$G,7,FALSE()),""),0)</f>
        <v>3396317</v>
      </c>
      <c r="F497" s="69">
        <f t="shared" si="27"/>
        <v>0</v>
      </c>
    </row>
    <row r="498" spans="1:6">
      <c r="A498" s="67" t="s">
        <v>1005</v>
      </c>
      <c r="B498" s="76" t="s">
        <v>1006</v>
      </c>
      <c r="C498" s="30" t="s">
        <v>23</v>
      </c>
      <c r="D498" s="68"/>
      <c r="E498" s="69">
        <f>ROUND(IFERROR(VLOOKUP(A498,'CAP8'!$A:$G,7,FALSE()),""),0)</f>
        <v>1133843</v>
      </c>
      <c r="F498" s="69">
        <f t="shared" si="27"/>
        <v>0</v>
      </c>
    </row>
    <row r="499" spans="1:6" ht="25.5">
      <c r="A499" s="67" t="s">
        <v>1007</v>
      </c>
      <c r="B499" s="76" t="s">
        <v>1008</v>
      </c>
      <c r="C499" s="30" t="s">
        <v>23</v>
      </c>
      <c r="D499" s="68"/>
      <c r="E499" s="69">
        <f>ROUND(IFERROR(VLOOKUP(A499,'CAP8'!$A:$G,7,FALSE()),""),0)</f>
        <v>572408</v>
      </c>
      <c r="F499" s="69">
        <f t="shared" si="23"/>
        <v>0</v>
      </c>
    </row>
    <row r="500" spans="1:6" ht="25.5">
      <c r="A500" s="67" t="s">
        <v>1009</v>
      </c>
      <c r="B500" s="76" t="s">
        <v>1010</v>
      </c>
      <c r="C500" s="30" t="s">
        <v>23</v>
      </c>
      <c r="D500" s="68"/>
      <c r="E500" s="69">
        <f>ROUND(IFERROR(VLOOKUP(A500,'CAP8'!$A:$G,7,FALSE()),""),0)</f>
        <v>1256369</v>
      </c>
      <c r="F500" s="69">
        <f t="shared" ref="F500:F529" si="28">IFERROR(E500*D500,"")</f>
        <v>0</v>
      </c>
    </row>
    <row r="501" spans="1:6" ht="25.5">
      <c r="A501" s="67" t="s">
        <v>1011</v>
      </c>
      <c r="B501" s="76" t="s">
        <v>1012</v>
      </c>
      <c r="C501" s="30" t="s">
        <v>23</v>
      </c>
      <c r="D501" s="68"/>
      <c r="E501" s="69">
        <f>ROUND(IFERROR(VLOOKUP(A501,'CAP8'!$A:$G,7,FALSE()),""),0)</f>
        <v>1520528</v>
      </c>
      <c r="F501" s="69">
        <f t="shared" si="28"/>
        <v>0</v>
      </c>
    </row>
    <row r="502" spans="1:6" ht="25.5">
      <c r="A502" s="67" t="s">
        <v>1013</v>
      </c>
      <c r="B502" s="76" t="s">
        <v>1014</v>
      </c>
      <c r="C502" s="30" t="s">
        <v>23</v>
      </c>
      <c r="D502" s="68"/>
      <c r="E502" s="69">
        <f>ROUND(IFERROR(VLOOKUP(A502,'CAP8'!$A:$G,7,FALSE()),""),0)</f>
        <v>1723620</v>
      </c>
      <c r="F502" s="69">
        <f t="shared" si="28"/>
        <v>0</v>
      </c>
    </row>
    <row r="503" spans="1:6" ht="25.5">
      <c r="A503" s="67" t="s">
        <v>1015</v>
      </c>
      <c r="B503" s="76" t="s">
        <v>1016</v>
      </c>
      <c r="C503" s="30" t="s">
        <v>23</v>
      </c>
      <c r="D503" s="68"/>
      <c r="E503" s="69">
        <f>ROUND(IFERROR(VLOOKUP(A503,'CAP8'!$A:$G,7,FALSE()),""),0)</f>
        <v>2053975</v>
      </c>
      <c r="F503" s="69">
        <f t="shared" si="28"/>
        <v>0</v>
      </c>
    </row>
    <row r="504" spans="1:6" ht="25.5">
      <c r="A504" s="67" t="s">
        <v>1017</v>
      </c>
      <c r="B504" s="76" t="s">
        <v>1018</v>
      </c>
      <c r="C504" s="30" t="s">
        <v>23</v>
      </c>
      <c r="D504" s="68"/>
      <c r="E504" s="69">
        <f>ROUND(IFERROR(VLOOKUP(A504,'CAP8'!$A:$G,7,FALSE()),""),0)</f>
        <v>2238544</v>
      </c>
      <c r="F504" s="69">
        <f t="shared" si="28"/>
        <v>0</v>
      </c>
    </row>
    <row r="505" spans="1:6" ht="25.5">
      <c r="A505" s="67" t="s">
        <v>1019</v>
      </c>
      <c r="B505" s="76" t="s">
        <v>1020</v>
      </c>
      <c r="C505" s="30" t="s">
        <v>23</v>
      </c>
      <c r="D505" s="68"/>
      <c r="E505" s="69">
        <f>ROUND(IFERROR(VLOOKUP(A505,'CAP8'!$A:$G,7,FALSE()),""),0)</f>
        <v>255593</v>
      </c>
      <c r="F505" s="69">
        <f t="shared" si="28"/>
        <v>0</v>
      </c>
    </row>
    <row r="506" spans="1:6" ht="25.5">
      <c r="A506" s="67" t="s">
        <v>1021</v>
      </c>
      <c r="B506" s="76" t="s">
        <v>1022</v>
      </c>
      <c r="C506" s="30" t="s">
        <v>23</v>
      </c>
      <c r="D506" s="68"/>
      <c r="E506" s="69">
        <f>ROUND(IFERROR(VLOOKUP(A506,'CAP8'!$A:$G,7,FALSE()),""),0)</f>
        <v>321798</v>
      </c>
      <c r="F506" s="69">
        <f t="shared" si="28"/>
        <v>0</v>
      </c>
    </row>
    <row r="507" spans="1:6" ht="25.5">
      <c r="A507" s="67" t="s">
        <v>1023</v>
      </c>
      <c r="B507" s="76" t="s">
        <v>1024</v>
      </c>
      <c r="C507" s="30" t="s">
        <v>23</v>
      </c>
      <c r="D507" s="68"/>
      <c r="E507" s="69">
        <f>ROUND(IFERROR(VLOOKUP(A507,'CAP8'!$A:$G,7,FALSE()),""),0)</f>
        <v>384914</v>
      </c>
      <c r="F507" s="69">
        <f t="shared" si="28"/>
        <v>0</v>
      </c>
    </row>
    <row r="508" spans="1:6" ht="25.5">
      <c r="A508" s="67" t="s">
        <v>1025</v>
      </c>
      <c r="B508" s="76" t="s">
        <v>1026</v>
      </c>
      <c r="C508" s="30" t="s">
        <v>23</v>
      </c>
      <c r="D508" s="68"/>
      <c r="E508" s="69">
        <f>ROUND(IFERROR(VLOOKUP(A508,'CAP8'!$A:$G,7,FALSE()),""),0)</f>
        <v>458334</v>
      </c>
      <c r="F508" s="69">
        <f t="shared" si="28"/>
        <v>0</v>
      </c>
    </row>
    <row r="509" spans="1:6" ht="25.5">
      <c r="A509" s="67" t="s">
        <v>1027</v>
      </c>
      <c r="B509" s="76" t="s">
        <v>1028</v>
      </c>
      <c r="C509" s="30" t="s">
        <v>23</v>
      </c>
      <c r="D509" s="68"/>
      <c r="E509" s="69">
        <f>ROUND(IFERROR(VLOOKUP(A509,'CAP8'!$A:$G,7,FALSE()),""),0)</f>
        <v>579954</v>
      </c>
      <c r="F509" s="69">
        <f t="shared" si="28"/>
        <v>0</v>
      </c>
    </row>
    <row r="510" spans="1:6" ht="38.25">
      <c r="A510" s="67" t="s">
        <v>1029</v>
      </c>
      <c r="B510" s="76" t="s">
        <v>1030</v>
      </c>
      <c r="C510" s="30" t="s">
        <v>23</v>
      </c>
      <c r="D510" s="68"/>
      <c r="E510" s="69">
        <f>ROUND(IFERROR(VLOOKUP(A510,'CAP8'!$A:$G,7,FALSE()),""),0)</f>
        <v>759672</v>
      </c>
      <c r="F510" s="69">
        <f t="shared" si="28"/>
        <v>0</v>
      </c>
    </row>
    <row r="511" spans="1:6" ht="25.5">
      <c r="A511" s="67" t="s">
        <v>1031</v>
      </c>
      <c r="B511" s="76" t="s">
        <v>1032</v>
      </c>
      <c r="C511" s="30" t="s">
        <v>23</v>
      </c>
      <c r="D511" s="68"/>
      <c r="E511" s="69">
        <f>ROUND(IFERROR(VLOOKUP(A511,'CAP8'!$A:$G,7,FALSE()),""),0)</f>
        <v>1182526</v>
      </c>
      <c r="F511" s="69">
        <f t="shared" si="28"/>
        <v>0</v>
      </c>
    </row>
    <row r="512" spans="1:6" ht="25.5">
      <c r="A512" s="67" t="s">
        <v>1033</v>
      </c>
      <c r="B512" s="76" t="s">
        <v>1034</v>
      </c>
      <c r="C512" s="30" t="s">
        <v>23</v>
      </c>
      <c r="D512" s="68"/>
      <c r="E512" s="69">
        <f>ROUND(IFERROR(VLOOKUP(A512,'CAP8'!$A:$G,7,FALSE()),""),0)</f>
        <v>1153672</v>
      </c>
      <c r="F512" s="69">
        <f t="shared" si="28"/>
        <v>0</v>
      </c>
    </row>
    <row r="513" spans="1:8" ht="25.5">
      <c r="A513" s="67" t="s">
        <v>1035</v>
      </c>
      <c r="B513" s="76" t="s">
        <v>1036</v>
      </c>
      <c r="C513" s="30" t="s">
        <v>23</v>
      </c>
      <c r="D513" s="68"/>
      <c r="E513" s="69">
        <f>ROUND(IFERROR(VLOOKUP(A513,'CAP8'!$A:$G,7,FALSE()),""),0)</f>
        <v>34075</v>
      </c>
      <c r="F513" s="69">
        <f t="shared" si="28"/>
        <v>0</v>
      </c>
      <c r="H513" s="74"/>
    </row>
    <row r="514" spans="1:8" ht="25.5">
      <c r="A514" s="67" t="s">
        <v>1037</v>
      </c>
      <c r="B514" s="76" t="s">
        <v>1038</v>
      </c>
      <c r="C514" s="30" t="s">
        <v>23</v>
      </c>
      <c r="D514" s="68"/>
      <c r="E514" s="69">
        <f>ROUND(IFERROR(VLOOKUP(A514,'CAP8'!$A:$G,7,FALSE()),""),0)</f>
        <v>34075</v>
      </c>
      <c r="F514" s="69">
        <f t="shared" si="28"/>
        <v>0</v>
      </c>
    </row>
    <row r="515" spans="1:8" ht="38.25">
      <c r="A515" s="67" t="s">
        <v>1039</v>
      </c>
      <c r="B515" s="76" t="s">
        <v>1040</v>
      </c>
      <c r="C515" s="30" t="s">
        <v>23</v>
      </c>
      <c r="D515" s="68"/>
      <c r="E515" s="69">
        <f>ROUND(IFERROR(VLOOKUP(A515,'CAP8'!$A:$G,7,FALSE()),""),0)</f>
        <v>55149</v>
      </c>
      <c r="F515" s="69">
        <f t="shared" si="28"/>
        <v>0</v>
      </c>
    </row>
    <row r="516" spans="1:8" ht="38.25">
      <c r="A516" s="67" t="s">
        <v>1041</v>
      </c>
      <c r="B516" s="76" t="s">
        <v>1042</v>
      </c>
      <c r="C516" s="30" t="s">
        <v>23</v>
      </c>
      <c r="D516" s="68"/>
      <c r="E516" s="69">
        <f>ROUND(IFERROR(VLOOKUP(A516,'CAP8'!$A:$G,7,FALSE()),""),0)</f>
        <v>60150</v>
      </c>
      <c r="F516" s="69">
        <f t="shared" si="28"/>
        <v>0</v>
      </c>
    </row>
    <row r="517" spans="1:8" ht="25.5">
      <c r="A517" s="67" t="s">
        <v>1043</v>
      </c>
      <c r="B517" s="76" t="s">
        <v>1044</v>
      </c>
      <c r="C517" s="30" t="s">
        <v>23</v>
      </c>
      <c r="D517" s="68"/>
      <c r="E517" s="69">
        <f>ROUND(IFERROR(VLOOKUP(A517,'CAP8'!$A:$G,7,FALSE()),""),0)</f>
        <v>138998</v>
      </c>
      <c r="F517" s="69">
        <f t="shared" si="28"/>
        <v>0</v>
      </c>
    </row>
    <row r="518" spans="1:8" ht="25.5">
      <c r="A518" s="67" t="s">
        <v>1045</v>
      </c>
      <c r="B518" s="76" t="s">
        <v>1046</v>
      </c>
      <c r="C518" s="30" t="s">
        <v>23</v>
      </c>
      <c r="D518" s="68"/>
      <c r="E518" s="69">
        <f>ROUND(IFERROR(VLOOKUP(A518,'CAP8'!$A:$G,7,FALSE()),""),0)</f>
        <v>143999</v>
      </c>
      <c r="F518" s="69">
        <f t="shared" si="28"/>
        <v>0</v>
      </c>
    </row>
    <row r="519" spans="1:8" ht="38.25">
      <c r="A519" s="67" t="s">
        <v>1047</v>
      </c>
      <c r="B519" s="76" t="s">
        <v>1048</v>
      </c>
      <c r="C519" s="30" t="s">
        <v>23</v>
      </c>
      <c r="D519" s="68"/>
      <c r="E519" s="69">
        <f>ROUND(IFERROR(VLOOKUP(A519,'CAP8'!$A:$G,7,FALSE()),""),0)</f>
        <v>51797</v>
      </c>
      <c r="F519" s="69">
        <f t="shared" si="28"/>
        <v>0</v>
      </c>
    </row>
    <row r="520" spans="1:8" ht="38.25">
      <c r="A520" s="67" t="s">
        <v>1049</v>
      </c>
      <c r="B520" s="76" t="s">
        <v>1050</v>
      </c>
      <c r="C520" s="30" t="s">
        <v>23</v>
      </c>
      <c r="D520" s="68"/>
      <c r="E520" s="69">
        <f>ROUND(IFERROR(VLOOKUP(A520,'CAP8'!$A:$G,7,FALSE()),""),0)</f>
        <v>70937</v>
      </c>
      <c r="F520" s="69">
        <f t="shared" si="28"/>
        <v>0</v>
      </c>
    </row>
    <row r="521" spans="1:8" ht="38.25">
      <c r="A521" s="67" t="s">
        <v>1051</v>
      </c>
      <c r="B521" s="76" t="s">
        <v>1052</v>
      </c>
      <c r="C521" s="30" t="s">
        <v>23</v>
      </c>
      <c r="D521" s="68"/>
      <c r="E521" s="69">
        <f>ROUND(IFERROR(VLOOKUP(A521,'CAP8'!$A:$G,7,FALSE()),""),0)</f>
        <v>75938</v>
      </c>
      <c r="F521" s="69">
        <f t="shared" si="28"/>
        <v>0</v>
      </c>
    </row>
    <row r="522" spans="1:8" ht="38.25">
      <c r="A522" s="67" t="s">
        <v>1053</v>
      </c>
      <c r="B522" s="76" t="s">
        <v>1054</v>
      </c>
      <c r="C522" s="30" t="s">
        <v>23</v>
      </c>
      <c r="D522" s="68"/>
      <c r="E522" s="69">
        <f>ROUND(IFERROR(VLOOKUP(A522,'CAP8'!$A:$G,7,FALSE()),""),0)</f>
        <v>560000</v>
      </c>
      <c r="F522" s="69">
        <f t="shared" si="28"/>
        <v>0</v>
      </c>
    </row>
    <row r="523" spans="1:8" ht="38.25">
      <c r="A523" s="67" t="s">
        <v>1055</v>
      </c>
      <c r="B523" s="76" t="s">
        <v>1056</v>
      </c>
      <c r="C523" s="30" t="s">
        <v>23</v>
      </c>
      <c r="D523" s="68"/>
      <c r="E523" s="69">
        <f>ROUND(IFERROR(VLOOKUP(A523,'CAP8'!$A:$G,7,FALSE()),""),0)</f>
        <v>804385</v>
      </c>
      <c r="F523" s="69">
        <f t="shared" si="28"/>
        <v>0</v>
      </c>
    </row>
    <row r="524" spans="1:8" ht="38.25">
      <c r="A524" s="67" t="s">
        <v>1057</v>
      </c>
      <c r="B524" s="76" t="s">
        <v>1058</v>
      </c>
      <c r="C524" s="30" t="s">
        <v>23</v>
      </c>
      <c r="D524" s="68"/>
      <c r="E524" s="69">
        <f>ROUND(IFERROR(VLOOKUP(A524,'CAP8'!$A:$G,7,FALSE()),""),0)</f>
        <v>1194671</v>
      </c>
      <c r="F524" s="69">
        <f t="shared" si="28"/>
        <v>0</v>
      </c>
    </row>
    <row r="525" spans="1:8" ht="38.25">
      <c r="A525" s="67" t="s">
        <v>1059</v>
      </c>
      <c r="B525" s="76" t="s">
        <v>1060</v>
      </c>
      <c r="C525" s="30" t="s">
        <v>23</v>
      </c>
      <c r="D525" s="68"/>
      <c r="E525" s="69">
        <f>ROUND(IFERROR(VLOOKUP(A525,'CAP8'!$A:$G,7,FALSE()),""),0)</f>
        <v>1929487</v>
      </c>
      <c r="F525" s="69">
        <f t="shared" si="28"/>
        <v>0</v>
      </c>
    </row>
    <row r="526" spans="1:8" ht="38.25">
      <c r="A526" s="67" t="s">
        <v>1061</v>
      </c>
      <c r="B526" s="76" t="s">
        <v>1062</v>
      </c>
      <c r="C526" s="30" t="s">
        <v>23</v>
      </c>
      <c r="D526" s="68"/>
      <c r="E526" s="69">
        <f>ROUND(IFERROR(VLOOKUP(A526,'CAP8'!$A:$G,7,FALSE()),""),0)</f>
        <v>1929487</v>
      </c>
      <c r="F526" s="69">
        <f t="shared" si="28"/>
        <v>0</v>
      </c>
    </row>
    <row r="527" spans="1:8" ht="38.25">
      <c r="A527" s="67" t="s">
        <v>1063</v>
      </c>
      <c r="B527" s="76" t="s">
        <v>1064</v>
      </c>
      <c r="C527" s="30" t="s">
        <v>23</v>
      </c>
      <c r="D527" s="68"/>
      <c r="E527" s="69">
        <f>ROUND(IFERROR(VLOOKUP(A527,'CAP8'!$A:$G,7,FALSE()),""),0)</f>
        <v>3142788</v>
      </c>
      <c r="F527" s="69">
        <f t="shared" si="28"/>
        <v>0</v>
      </c>
    </row>
    <row r="528" spans="1:8">
      <c r="A528" s="67" t="s">
        <v>1065</v>
      </c>
      <c r="B528" s="76" t="s">
        <v>1066</v>
      </c>
      <c r="C528" s="30" t="s">
        <v>30</v>
      </c>
      <c r="D528" s="68"/>
      <c r="E528" s="69">
        <f>ROUND(IFERROR(VLOOKUP(A528,'CAP8'!$A:$G,7,FALSE()),""),0)</f>
        <v>30876</v>
      </c>
      <c r="F528" s="69">
        <f t="shared" si="28"/>
        <v>0</v>
      </c>
    </row>
    <row r="529" spans="1:8">
      <c r="A529" s="67" t="s">
        <v>1067</v>
      </c>
      <c r="B529" s="76" t="s">
        <v>1068</v>
      </c>
      <c r="C529" s="30" t="s">
        <v>30</v>
      </c>
      <c r="D529" s="68"/>
      <c r="E529" s="69">
        <f>ROUND(IFERROR(VLOOKUP(A529,'CAP8'!$A:$G,7,FALSE()),""),0)</f>
        <v>35018</v>
      </c>
      <c r="F529" s="69">
        <f t="shared" si="28"/>
        <v>0</v>
      </c>
    </row>
    <row r="530" spans="1:8">
      <c r="A530" s="67" t="s">
        <v>1069</v>
      </c>
      <c r="B530" s="76" t="s">
        <v>1070</v>
      </c>
      <c r="C530" s="30" t="s">
        <v>30</v>
      </c>
      <c r="D530" s="68"/>
      <c r="E530" s="69">
        <f>ROUND(IFERROR(VLOOKUP(A530,'CAP8'!$A:$G,7,FALSE()),""),0)</f>
        <v>40290</v>
      </c>
      <c r="F530" s="69">
        <f t="shared" ref="F530:F532" si="29">IFERROR(E530*D530,"")</f>
        <v>0</v>
      </c>
    </row>
    <row r="531" spans="1:8">
      <c r="A531" s="67" t="s">
        <v>1071</v>
      </c>
      <c r="B531" s="76" t="s">
        <v>1072</v>
      </c>
      <c r="C531" s="30" t="s">
        <v>30</v>
      </c>
      <c r="D531" s="68"/>
      <c r="E531" s="69">
        <f>ROUND(IFERROR(VLOOKUP(A531,'CAP8'!$A:$G,7,FALSE()),""),0)</f>
        <v>59768</v>
      </c>
      <c r="F531" s="69">
        <f t="shared" si="29"/>
        <v>0</v>
      </c>
    </row>
    <row r="532" spans="1:8">
      <c r="A532" s="67" t="s">
        <v>1073</v>
      </c>
      <c r="B532" s="76" t="s">
        <v>1074</v>
      </c>
      <c r="C532" s="30" t="s">
        <v>30</v>
      </c>
      <c r="D532" s="68"/>
      <c r="E532" s="69">
        <f>ROUND(IFERROR(VLOOKUP(A532,'CAP8'!$A:$G,7,FALSE()),""),0)</f>
        <v>140123</v>
      </c>
      <c r="F532" s="69">
        <f t="shared" si="29"/>
        <v>0</v>
      </c>
    </row>
    <row r="533" spans="1:8">
      <c r="A533" s="67" t="s">
        <v>1075</v>
      </c>
      <c r="B533" s="76" t="s">
        <v>1076</v>
      </c>
      <c r="C533" s="30" t="s">
        <v>30</v>
      </c>
      <c r="D533" s="68"/>
      <c r="E533" s="69">
        <f>ROUND(IFERROR(VLOOKUP(A533,'CAP8'!$A:$G,7,FALSE()),""),0)</f>
        <v>14545</v>
      </c>
      <c r="F533" s="69">
        <f>IFERROR(E533*D533,"")</f>
        <v>0</v>
      </c>
    </row>
    <row r="534" spans="1:8">
      <c r="A534" s="67" t="s">
        <v>1077</v>
      </c>
      <c r="B534" s="76" t="s">
        <v>1078</v>
      </c>
      <c r="C534" s="30" t="s">
        <v>30</v>
      </c>
      <c r="D534" s="68"/>
      <c r="E534" s="69">
        <f>ROUND(IFERROR(VLOOKUP(A534,'CAP8'!$A:$G,7,FALSE()),""),0)</f>
        <v>16788</v>
      </c>
      <c r="F534" s="69">
        <f>IFERROR(E534*D534,"")</f>
        <v>0</v>
      </c>
    </row>
    <row r="535" spans="1:8">
      <c r="A535" s="67" t="s">
        <v>1079</v>
      </c>
      <c r="B535" s="76" t="s">
        <v>1080</v>
      </c>
      <c r="C535" s="30" t="s">
        <v>30</v>
      </c>
      <c r="D535" s="68"/>
      <c r="E535" s="69">
        <f>ROUND(IFERROR(VLOOKUP(A535,'CAP8'!$A:$G,7,FALSE()),""),0)</f>
        <v>20239</v>
      </c>
      <c r="F535" s="69">
        <f t="shared" ref="F535:F537" si="30">IFERROR(E535*D535,"")</f>
        <v>0</v>
      </c>
    </row>
    <row r="536" spans="1:8">
      <c r="A536" s="67" t="s">
        <v>1081</v>
      </c>
      <c r="B536" s="76" t="s">
        <v>1082</v>
      </c>
      <c r="C536" s="30" t="s">
        <v>30</v>
      </c>
      <c r="D536" s="68"/>
      <c r="E536" s="69">
        <f>ROUND(IFERROR(VLOOKUP(A536,'CAP8'!$A:$G,7,FALSE()),""),0)</f>
        <v>28424</v>
      </c>
      <c r="F536" s="69">
        <f t="shared" si="30"/>
        <v>0</v>
      </c>
    </row>
    <row r="537" spans="1:8">
      <c r="A537" s="67" t="s">
        <v>1083</v>
      </c>
      <c r="B537" s="76" t="s">
        <v>1084</v>
      </c>
      <c r="C537" s="30" t="s">
        <v>30</v>
      </c>
      <c r="D537" s="68"/>
      <c r="E537" s="69">
        <f>ROUND(IFERROR(VLOOKUP(A537,'CAP8'!$A:$G,7,FALSE()),""),0)</f>
        <v>37144</v>
      </c>
      <c r="F537" s="69">
        <f t="shared" si="30"/>
        <v>0</v>
      </c>
    </row>
    <row r="538" spans="1:8">
      <c r="A538" s="67" t="s">
        <v>1085</v>
      </c>
      <c r="B538" s="76" t="s">
        <v>1086</v>
      </c>
      <c r="C538" s="30" t="s">
        <v>30</v>
      </c>
      <c r="D538" s="68"/>
      <c r="E538" s="69">
        <f>ROUND(IFERROR(VLOOKUP(A538,'CAP8'!$A:$G,7,FALSE()),""),0)</f>
        <v>48859</v>
      </c>
      <c r="F538" s="69">
        <f t="shared" ref="F538" si="31">IFERROR(E538*D538,"")</f>
        <v>0</v>
      </c>
    </row>
    <row r="539" spans="1:8" ht="25.5">
      <c r="A539" s="67" t="s">
        <v>1087</v>
      </c>
      <c r="B539" s="76" t="s">
        <v>1088</v>
      </c>
      <c r="C539" s="30" t="s">
        <v>23</v>
      </c>
      <c r="D539" s="68"/>
      <c r="E539" s="69">
        <f>ROUND(IFERROR(VLOOKUP(A539,'CAP8'!$A:$G,7,FALSE()),""),0)</f>
        <v>16159785</v>
      </c>
      <c r="F539" s="69">
        <f t="shared" ref="F539" si="32">IFERROR(E539*D539,"")</f>
        <v>0</v>
      </c>
    </row>
    <row r="540" spans="1:8" s="74" customFormat="1">
      <c r="A540" s="60" t="s">
        <v>1089</v>
      </c>
      <c r="B540" s="61" t="s">
        <v>1090</v>
      </c>
      <c r="C540" s="62"/>
      <c r="D540" s="63"/>
      <c r="E540" s="64"/>
      <c r="F540" s="65">
        <f>SUM(F541:F551)</f>
        <v>0</v>
      </c>
      <c r="G540" s="66">
        <f>IFERROR(F540/$F$1279,"")</f>
        <v>0</v>
      </c>
      <c r="H540" s="3"/>
    </row>
    <row r="541" spans="1:8">
      <c r="A541" s="67" t="s">
        <v>1091</v>
      </c>
      <c r="B541" s="29" t="s">
        <v>1092</v>
      </c>
      <c r="C541" s="30" t="s">
        <v>23</v>
      </c>
      <c r="D541" s="68"/>
      <c r="E541" s="69">
        <f>ROUND(IFERROR(VLOOKUP(A541,'CAP9-13'!$A:$G,7,FALSE()),""),0)</f>
        <v>205425</v>
      </c>
      <c r="F541" s="69">
        <f t="shared" ref="F541:F551" si="33">IFERROR(E541*D541,"")</f>
        <v>0</v>
      </c>
    </row>
    <row r="542" spans="1:8">
      <c r="A542" s="67" t="s">
        <v>1093</v>
      </c>
      <c r="B542" s="29" t="s">
        <v>1094</v>
      </c>
      <c r="C542" s="30" t="s">
        <v>23</v>
      </c>
      <c r="D542" s="68"/>
      <c r="E542" s="69">
        <f>ROUND(IFERROR(VLOOKUP(A542,'CAP9-13'!$A:$G,7,FALSE()),""),0)</f>
        <v>46537</v>
      </c>
      <c r="F542" s="69">
        <f t="shared" si="33"/>
        <v>0</v>
      </c>
    </row>
    <row r="543" spans="1:8">
      <c r="A543" s="67" t="s">
        <v>1095</v>
      </c>
      <c r="B543" s="29" t="s">
        <v>1096</v>
      </c>
      <c r="C543" s="30" t="s">
        <v>23</v>
      </c>
      <c r="D543" s="68"/>
      <c r="E543" s="69">
        <f>ROUND(IFERROR(VLOOKUP(A543,'CAP9-13'!$A:$G,7,FALSE()),""),0)</f>
        <v>1763977</v>
      </c>
      <c r="F543" s="69">
        <f t="shared" si="33"/>
        <v>0</v>
      </c>
    </row>
    <row r="544" spans="1:8">
      <c r="A544" s="67" t="s">
        <v>1097</v>
      </c>
      <c r="B544" s="29" t="s">
        <v>1098</v>
      </c>
      <c r="C544" s="30" t="s">
        <v>23</v>
      </c>
      <c r="D544" s="68"/>
      <c r="E544" s="69">
        <f>ROUND(IFERROR(VLOOKUP(A544,'CAP9-13'!$A:$G,7,FALSE()),""),0)</f>
        <v>1851498</v>
      </c>
      <c r="F544" s="69">
        <f t="shared" si="33"/>
        <v>0</v>
      </c>
    </row>
    <row r="545" spans="1:8">
      <c r="A545" s="67" t="s">
        <v>1099</v>
      </c>
      <c r="B545" s="29" t="s">
        <v>1100</v>
      </c>
      <c r="C545" s="30" t="s">
        <v>23</v>
      </c>
      <c r="D545" s="68"/>
      <c r="E545" s="69">
        <f>ROUND(IFERROR(VLOOKUP(A545,'CAP9-13'!$A:$G,7,FALSE()),""),0)</f>
        <v>185270</v>
      </c>
      <c r="F545" s="69">
        <f t="shared" si="33"/>
        <v>0</v>
      </c>
    </row>
    <row r="546" spans="1:8">
      <c r="A546" s="67" t="s">
        <v>1101</v>
      </c>
      <c r="B546" s="29" t="s">
        <v>1102</v>
      </c>
      <c r="C546" s="30" t="s">
        <v>23</v>
      </c>
      <c r="D546" s="68"/>
      <c r="E546" s="69">
        <f>ROUND(IFERROR(VLOOKUP(A546,'CAP9-13'!$A:$G,7,FALSE()),""),0)</f>
        <v>252651</v>
      </c>
      <c r="F546" s="69">
        <f t="shared" si="33"/>
        <v>0</v>
      </c>
    </row>
    <row r="547" spans="1:8">
      <c r="A547" s="67" t="s">
        <v>1103</v>
      </c>
      <c r="B547" s="29" t="s">
        <v>1104</v>
      </c>
      <c r="C547" s="30" t="s">
        <v>23</v>
      </c>
      <c r="D547" s="68"/>
      <c r="E547" s="69">
        <f>ROUND(IFERROR(VLOOKUP(A547,'CAP9-13'!$A:$G,7,FALSE()),""),0)</f>
        <v>123893</v>
      </c>
      <c r="F547" s="69">
        <f t="shared" si="33"/>
        <v>0</v>
      </c>
    </row>
    <row r="548" spans="1:8">
      <c r="A548" s="67" t="s">
        <v>1105</v>
      </c>
      <c r="B548" s="29" t="s">
        <v>1106</v>
      </c>
      <c r="C548" s="30" t="s">
        <v>23</v>
      </c>
      <c r="D548" s="68"/>
      <c r="E548" s="69">
        <f>ROUND(IFERROR(VLOOKUP(A548,'CAP9-13'!$A:$G,7,FALSE()),""),0)</f>
        <v>341882</v>
      </c>
      <c r="F548" s="69">
        <f t="shared" si="33"/>
        <v>0</v>
      </c>
    </row>
    <row r="549" spans="1:8">
      <c r="A549" s="67" t="s">
        <v>1107</v>
      </c>
      <c r="B549" s="29" t="s">
        <v>1108</v>
      </c>
      <c r="C549" s="30" t="s">
        <v>23</v>
      </c>
      <c r="D549" s="68"/>
      <c r="E549" s="69">
        <f>ROUND(IFERROR(VLOOKUP(A549,'CAP9-13'!$A:$G,7,FALSE()),""),0)</f>
        <v>19237</v>
      </c>
      <c r="F549" s="69">
        <f t="shared" si="33"/>
        <v>0</v>
      </c>
    </row>
    <row r="550" spans="1:8">
      <c r="A550" s="67" t="s">
        <v>1109</v>
      </c>
      <c r="B550" s="29" t="s">
        <v>1110</v>
      </c>
      <c r="C550" s="30" t="s">
        <v>30</v>
      </c>
      <c r="D550" s="68"/>
      <c r="E550" s="69">
        <f>ROUND(IFERROR(VLOOKUP(A550,'CAP9-13'!$A:$G,7,FALSE()),""),0)</f>
        <v>29926</v>
      </c>
      <c r="F550" s="69">
        <f t="shared" si="33"/>
        <v>0</v>
      </c>
    </row>
    <row r="551" spans="1:8">
      <c r="A551" s="67" t="s">
        <v>1111</v>
      </c>
      <c r="B551" s="29" t="s">
        <v>1112</v>
      </c>
      <c r="C551" s="30" t="s">
        <v>23</v>
      </c>
      <c r="D551" s="68"/>
      <c r="E551" s="69">
        <f>ROUND(IFERROR(VLOOKUP(A551,'CAP9-13'!$A:$G,7,FALSE()),""),0)</f>
        <v>56075</v>
      </c>
      <c r="F551" s="69">
        <f t="shared" si="33"/>
        <v>0</v>
      </c>
    </row>
    <row r="552" spans="1:8" s="74" customFormat="1">
      <c r="A552" s="60" t="s">
        <v>1113</v>
      </c>
      <c r="B552" s="61" t="s">
        <v>1114</v>
      </c>
      <c r="C552" s="62"/>
      <c r="D552" s="63"/>
      <c r="E552" s="64"/>
      <c r="F552" s="65">
        <f>SUM(F553:F585)</f>
        <v>0</v>
      </c>
      <c r="G552" s="66">
        <f>IFERROR(F552/$F$1279,"")</f>
        <v>0</v>
      </c>
      <c r="H552" s="3"/>
    </row>
    <row r="553" spans="1:8">
      <c r="A553" s="67" t="s">
        <v>1115</v>
      </c>
      <c r="B553" s="29" t="s">
        <v>1116</v>
      </c>
      <c r="C553" s="30" t="s">
        <v>23</v>
      </c>
      <c r="D553" s="68"/>
      <c r="E553" s="69">
        <f>ROUND(IFERROR(VLOOKUP(A553,'CAP9-13'!$A:$G,7,FALSE()),""),0)</f>
        <v>28463</v>
      </c>
      <c r="F553" s="69">
        <f t="shared" ref="F553:F585" si="34">IFERROR(E553*D553,"")</f>
        <v>0</v>
      </c>
    </row>
    <row r="554" spans="1:8">
      <c r="A554" s="67" t="s">
        <v>1117</v>
      </c>
      <c r="B554" s="29" t="s">
        <v>1118</v>
      </c>
      <c r="C554" s="30" t="s">
        <v>23</v>
      </c>
      <c r="D554" s="68"/>
      <c r="E554" s="69">
        <f>ROUND(IFERROR(VLOOKUP(A554,'CAP9-13'!$A:$G,7,FALSE()),""),0)</f>
        <v>25053</v>
      </c>
      <c r="F554" s="69">
        <f t="shared" si="34"/>
        <v>0</v>
      </c>
    </row>
    <row r="555" spans="1:8">
      <c r="A555" s="67" t="s">
        <v>1119</v>
      </c>
      <c r="B555" s="29" t="s">
        <v>1120</v>
      </c>
      <c r="C555" s="30" t="s">
        <v>23</v>
      </c>
      <c r="D555" s="68"/>
      <c r="E555" s="69">
        <f>ROUND(IFERROR(VLOOKUP(A555,'CAP9-13'!$A:$G,7,FALSE()),""),0)</f>
        <v>23917</v>
      </c>
      <c r="F555" s="69">
        <f t="shared" si="34"/>
        <v>0</v>
      </c>
    </row>
    <row r="556" spans="1:8">
      <c r="A556" s="67" t="s">
        <v>1121</v>
      </c>
      <c r="B556" s="29" t="s">
        <v>1122</v>
      </c>
      <c r="C556" s="30" t="s">
        <v>23</v>
      </c>
      <c r="D556" s="68"/>
      <c r="E556" s="69">
        <f>ROUND(IFERROR(VLOOKUP(A556,'CAP9-13'!$A:$G,7,FALSE()),""),0)</f>
        <v>34146</v>
      </c>
      <c r="F556" s="69">
        <f t="shared" si="34"/>
        <v>0</v>
      </c>
    </row>
    <row r="557" spans="1:8">
      <c r="A557" s="67" t="s">
        <v>1123</v>
      </c>
      <c r="B557" s="29" t="s">
        <v>1124</v>
      </c>
      <c r="C557" s="30" t="s">
        <v>23</v>
      </c>
      <c r="D557" s="68"/>
      <c r="E557" s="69">
        <f>ROUND(IFERROR(VLOOKUP(A557,'CAP9-13'!$A:$G,7,FALSE()),""),0)</f>
        <v>30736</v>
      </c>
      <c r="F557" s="69">
        <f t="shared" si="34"/>
        <v>0</v>
      </c>
    </row>
    <row r="558" spans="1:8">
      <c r="A558" s="67" t="s">
        <v>1125</v>
      </c>
      <c r="B558" s="29" t="s">
        <v>1126</v>
      </c>
      <c r="C558" s="30" t="s">
        <v>23</v>
      </c>
      <c r="D558" s="68"/>
      <c r="E558" s="69">
        <f>ROUND(IFERROR(VLOOKUP(A558,'CAP9-13'!$A:$G,7,FALSE()),""),0)</f>
        <v>40965</v>
      </c>
      <c r="F558" s="69">
        <f t="shared" si="34"/>
        <v>0</v>
      </c>
    </row>
    <row r="559" spans="1:8">
      <c r="A559" s="67" t="s">
        <v>1127</v>
      </c>
      <c r="B559" s="29" t="s">
        <v>1128</v>
      </c>
      <c r="C559" s="30" t="s">
        <v>23</v>
      </c>
      <c r="D559" s="68"/>
      <c r="E559" s="69">
        <f>ROUND(IFERROR(VLOOKUP(A559,'CAP9-13'!$A:$G,7,FALSE()),""),0)</f>
        <v>262452</v>
      </c>
      <c r="F559" s="69">
        <f t="shared" si="34"/>
        <v>0</v>
      </c>
    </row>
    <row r="560" spans="1:8">
      <c r="A560" s="67" t="s">
        <v>1129</v>
      </c>
      <c r="B560" s="29" t="s">
        <v>1130</v>
      </c>
      <c r="C560" s="30" t="s">
        <v>23</v>
      </c>
      <c r="D560" s="68"/>
      <c r="E560" s="69">
        <f>ROUND(IFERROR(VLOOKUP(A560,'CAP9-13'!$A:$G,7,FALSE()),""),0)</f>
        <v>372440</v>
      </c>
      <c r="F560" s="69">
        <f t="shared" si="34"/>
        <v>0</v>
      </c>
    </row>
    <row r="561" spans="1:6">
      <c r="A561" s="67" t="s">
        <v>1131</v>
      </c>
      <c r="B561" s="29" t="s">
        <v>1132</v>
      </c>
      <c r="C561" s="30" t="s">
        <v>23</v>
      </c>
      <c r="D561" s="68"/>
      <c r="E561" s="69">
        <f>ROUND(IFERROR(VLOOKUP(A561,'CAP9-13'!$A:$G,7,FALSE()),""),0)</f>
        <v>57595</v>
      </c>
      <c r="F561" s="69">
        <f t="shared" si="34"/>
        <v>0</v>
      </c>
    </row>
    <row r="562" spans="1:6">
      <c r="A562" s="67" t="s">
        <v>1133</v>
      </c>
      <c r="B562" s="29" t="s">
        <v>1134</v>
      </c>
      <c r="C562" s="30" t="s">
        <v>23</v>
      </c>
      <c r="D562" s="68"/>
      <c r="E562" s="69">
        <f>ROUND(IFERROR(VLOOKUP(A562,'CAP9-13'!$A:$G,7,FALSE()),""),0)</f>
        <v>46229</v>
      </c>
      <c r="F562" s="69">
        <f t="shared" si="34"/>
        <v>0</v>
      </c>
    </row>
    <row r="563" spans="1:6">
      <c r="A563" s="67" t="s">
        <v>1135</v>
      </c>
      <c r="B563" s="29" t="s">
        <v>1136</v>
      </c>
      <c r="C563" s="30" t="s">
        <v>23</v>
      </c>
      <c r="D563" s="68"/>
      <c r="E563" s="69">
        <f>ROUND(IFERROR(VLOOKUP(A563,'CAP9-13'!$A:$G,7,FALSE()),""),0)</f>
        <v>87147</v>
      </c>
      <c r="F563" s="69">
        <f t="shared" si="34"/>
        <v>0</v>
      </c>
    </row>
    <row r="564" spans="1:6">
      <c r="A564" s="67" t="s">
        <v>1137</v>
      </c>
      <c r="B564" s="29" t="s">
        <v>1138</v>
      </c>
      <c r="C564" s="30" t="s">
        <v>23</v>
      </c>
      <c r="D564" s="68"/>
      <c r="E564" s="69">
        <f>ROUND(IFERROR(VLOOKUP(A564,'CAP9-13'!$A:$G,7,FALSE()),""),0)</f>
        <v>322736</v>
      </c>
      <c r="F564" s="69">
        <f t="shared" si="34"/>
        <v>0</v>
      </c>
    </row>
    <row r="565" spans="1:6">
      <c r="A565" s="67" t="s">
        <v>1139</v>
      </c>
      <c r="B565" s="29" t="s">
        <v>1140</v>
      </c>
      <c r="C565" s="30" t="s">
        <v>23</v>
      </c>
      <c r="D565" s="68"/>
      <c r="E565" s="69">
        <f>ROUND(IFERROR(VLOOKUP(A565,'CAP9-13'!$A:$G,7,FALSE()),""),0)</f>
        <v>2966820</v>
      </c>
      <c r="F565" s="69">
        <f t="shared" si="34"/>
        <v>0</v>
      </c>
    </row>
    <row r="566" spans="1:6">
      <c r="A566" s="67" t="s">
        <v>1141</v>
      </c>
      <c r="B566" s="29" t="s">
        <v>1142</v>
      </c>
      <c r="C566" s="30" t="s">
        <v>23</v>
      </c>
      <c r="D566" s="68"/>
      <c r="E566" s="69">
        <f>ROUND(IFERROR(VLOOKUP(A566,'CAP9-13'!$A:$G,7,FALSE()),""),0)</f>
        <v>334466</v>
      </c>
      <c r="F566" s="69">
        <f t="shared" si="34"/>
        <v>0</v>
      </c>
    </row>
    <row r="567" spans="1:6">
      <c r="A567" s="67" t="s">
        <v>1143</v>
      </c>
      <c r="B567" s="29" t="s">
        <v>1144</v>
      </c>
      <c r="C567" s="30" t="s">
        <v>23</v>
      </c>
      <c r="D567" s="68"/>
      <c r="E567" s="69">
        <f>ROUND(IFERROR(VLOOKUP(A567,'CAP9-13'!$A:$G,7,FALSE()),""),0)</f>
        <v>304004</v>
      </c>
      <c r="F567" s="69">
        <f t="shared" si="34"/>
        <v>0</v>
      </c>
    </row>
    <row r="568" spans="1:6">
      <c r="A568" s="67" t="s">
        <v>1145</v>
      </c>
      <c r="B568" s="29" t="s">
        <v>1146</v>
      </c>
      <c r="C568" s="30" t="s">
        <v>23</v>
      </c>
      <c r="D568" s="68"/>
      <c r="E568" s="69">
        <f>ROUND(IFERROR(VLOOKUP(A568,'CAP9-13'!$A:$G,7,FALSE()),""),0)</f>
        <v>297184</v>
      </c>
      <c r="F568" s="69">
        <f t="shared" si="34"/>
        <v>0</v>
      </c>
    </row>
    <row r="569" spans="1:6">
      <c r="A569" s="67" t="s">
        <v>1147</v>
      </c>
      <c r="B569" s="29" t="s">
        <v>1148</v>
      </c>
      <c r="C569" s="30" t="s">
        <v>23</v>
      </c>
      <c r="D569" s="68"/>
      <c r="E569" s="69">
        <f>ROUND(IFERROR(VLOOKUP(A569,'CAP9-13'!$A:$G,7,FALSE()),""),0)</f>
        <v>650201</v>
      </c>
      <c r="F569" s="69">
        <f t="shared" si="34"/>
        <v>0</v>
      </c>
    </row>
    <row r="570" spans="1:6">
      <c r="A570" s="67" t="s">
        <v>1149</v>
      </c>
      <c r="B570" s="29" t="s">
        <v>1150</v>
      </c>
      <c r="C570" s="30" t="s">
        <v>23</v>
      </c>
      <c r="D570" s="68"/>
      <c r="E570" s="69">
        <f>ROUND(IFERROR(VLOOKUP(A570,'CAP9-13'!$A:$G,7,FALSE()),""),0)</f>
        <v>739994</v>
      </c>
      <c r="F570" s="69">
        <f t="shared" si="34"/>
        <v>0</v>
      </c>
    </row>
    <row r="571" spans="1:6">
      <c r="A571" s="67" t="s">
        <v>1151</v>
      </c>
      <c r="B571" s="29" t="s">
        <v>1152</v>
      </c>
      <c r="C571" s="30" t="s">
        <v>23</v>
      </c>
      <c r="D571" s="68"/>
      <c r="E571" s="69">
        <f>ROUND(IFERROR(VLOOKUP(A571,'CAP9-13'!$A:$G,7,FALSE()),""),0)</f>
        <v>222454</v>
      </c>
      <c r="F571" s="69">
        <f t="shared" si="34"/>
        <v>0</v>
      </c>
    </row>
    <row r="572" spans="1:6">
      <c r="A572" s="67" t="s">
        <v>1153</v>
      </c>
      <c r="B572" s="29" t="s">
        <v>1154</v>
      </c>
      <c r="C572" s="30" t="s">
        <v>23</v>
      </c>
      <c r="D572" s="68"/>
      <c r="E572" s="69">
        <f>ROUND(IFERROR(VLOOKUP(A572,'CAP9-13'!$A:$G,7,FALSE()),""),0)</f>
        <v>209951</v>
      </c>
      <c r="F572" s="69">
        <f t="shared" si="34"/>
        <v>0</v>
      </c>
    </row>
    <row r="573" spans="1:6">
      <c r="A573" s="67" t="s">
        <v>1155</v>
      </c>
      <c r="B573" s="29" t="s">
        <v>1156</v>
      </c>
      <c r="C573" s="30" t="s">
        <v>23</v>
      </c>
      <c r="D573" s="68"/>
      <c r="E573" s="69">
        <f>ROUND(IFERROR(VLOOKUP(A573,'CAP9-13'!$A:$G,7,FALSE()),""),0)</f>
        <v>89069</v>
      </c>
      <c r="F573" s="69">
        <f t="shared" si="34"/>
        <v>0</v>
      </c>
    </row>
    <row r="574" spans="1:6">
      <c r="A574" s="67" t="s">
        <v>1157</v>
      </c>
      <c r="B574" s="29" t="s">
        <v>1158</v>
      </c>
      <c r="C574" s="30" t="s">
        <v>23</v>
      </c>
      <c r="D574" s="68"/>
      <c r="E574" s="69">
        <f>ROUND(IFERROR(VLOOKUP(A574,'CAP9-13'!$A:$G,7,FALSE()),""),0)</f>
        <v>78839</v>
      </c>
      <c r="F574" s="69">
        <f t="shared" si="34"/>
        <v>0</v>
      </c>
    </row>
    <row r="575" spans="1:6">
      <c r="A575" s="67" t="s">
        <v>1159</v>
      </c>
      <c r="B575" s="29" t="s">
        <v>1160</v>
      </c>
      <c r="C575" s="30" t="s">
        <v>23</v>
      </c>
      <c r="D575" s="68"/>
      <c r="E575" s="69">
        <f>ROUND(IFERROR(VLOOKUP(A575,'CAP9-13'!$A:$G,7,FALSE()),""),0)</f>
        <v>133397</v>
      </c>
      <c r="F575" s="69">
        <f t="shared" si="34"/>
        <v>0</v>
      </c>
    </row>
    <row r="576" spans="1:6">
      <c r="A576" s="67" t="s">
        <v>1161</v>
      </c>
      <c r="B576" s="29" t="s">
        <v>1162</v>
      </c>
      <c r="C576" s="30" t="s">
        <v>23</v>
      </c>
      <c r="D576" s="68"/>
      <c r="E576" s="69">
        <f>ROUND(IFERROR(VLOOKUP(A576,'CAP9-13'!$A:$G,7,FALSE()),""),0)</f>
        <v>2879114</v>
      </c>
      <c r="F576" s="69">
        <f t="shared" si="34"/>
        <v>0</v>
      </c>
    </row>
    <row r="577" spans="1:8">
      <c r="A577" s="67" t="s">
        <v>1163</v>
      </c>
      <c r="B577" s="29" t="s">
        <v>1164</v>
      </c>
      <c r="C577" s="30" t="s">
        <v>30</v>
      </c>
      <c r="D577" s="68"/>
      <c r="E577" s="69">
        <f>ROUND(IFERROR(VLOOKUP(A577,'CAP9-13'!$A:$G,7,FALSE()),""),0)</f>
        <v>25499</v>
      </c>
      <c r="F577" s="69">
        <f t="shared" si="34"/>
        <v>0</v>
      </c>
    </row>
    <row r="578" spans="1:8">
      <c r="A578" s="67" t="s">
        <v>1165</v>
      </c>
      <c r="B578" s="29" t="s">
        <v>1166</v>
      </c>
      <c r="C578" s="30" t="s">
        <v>30</v>
      </c>
      <c r="D578" s="68"/>
      <c r="E578" s="69">
        <f>ROUND(IFERROR(VLOOKUP(A578,'CAP9-13'!$A:$G,7,FALSE()),""),0)</f>
        <v>48205</v>
      </c>
      <c r="F578" s="69">
        <f t="shared" si="34"/>
        <v>0</v>
      </c>
    </row>
    <row r="579" spans="1:8">
      <c r="A579" s="67" t="s">
        <v>1167</v>
      </c>
      <c r="B579" s="29" t="s">
        <v>1168</v>
      </c>
      <c r="C579" s="30" t="s">
        <v>30</v>
      </c>
      <c r="D579" s="68"/>
      <c r="E579" s="69">
        <f>ROUND(IFERROR(VLOOKUP(A579,'CAP9-13'!$A:$G,7,FALSE()),""),0)</f>
        <v>42414</v>
      </c>
      <c r="F579" s="69">
        <f t="shared" si="34"/>
        <v>0</v>
      </c>
    </row>
    <row r="580" spans="1:8">
      <c r="A580" s="67" t="s">
        <v>1169</v>
      </c>
      <c r="B580" s="29" t="s">
        <v>1170</v>
      </c>
      <c r="C580" s="30" t="s">
        <v>30</v>
      </c>
      <c r="D580" s="68"/>
      <c r="E580" s="69">
        <f>ROUND(IFERROR(VLOOKUP(A580,'CAP9-13'!$A:$G,7,FALSE()),""),0)</f>
        <v>72318</v>
      </c>
      <c r="F580" s="69">
        <f t="shared" si="34"/>
        <v>0</v>
      </c>
    </row>
    <row r="581" spans="1:8">
      <c r="A581" s="67" t="s">
        <v>1171</v>
      </c>
      <c r="B581" s="29" t="s">
        <v>1172</v>
      </c>
      <c r="C581" s="30" t="s">
        <v>30</v>
      </c>
      <c r="D581" s="68"/>
      <c r="E581" s="69">
        <f>ROUND(IFERROR(VLOOKUP(A581,'CAP9-13'!$A:$G,7,FALSE()),""),0)</f>
        <v>60096</v>
      </c>
      <c r="F581" s="69">
        <f t="shared" si="34"/>
        <v>0</v>
      </c>
    </row>
    <row r="582" spans="1:8">
      <c r="A582" s="67" t="s">
        <v>1173</v>
      </c>
      <c r="B582" s="29" t="s">
        <v>1174</v>
      </c>
      <c r="C582" s="30" t="s">
        <v>30</v>
      </c>
      <c r="D582" s="68"/>
      <c r="E582" s="69">
        <f>ROUND(IFERROR(VLOOKUP(A582,'CAP9-13'!$A:$G,7,FALSE()),""),0)</f>
        <v>102024</v>
      </c>
      <c r="F582" s="69">
        <f t="shared" si="34"/>
        <v>0</v>
      </c>
    </row>
    <row r="583" spans="1:8">
      <c r="A583" s="67" t="s">
        <v>1175</v>
      </c>
      <c r="B583" s="29" t="s">
        <v>1176</v>
      </c>
      <c r="C583" s="30" t="s">
        <v>23</v>
      </c>
      <c r="D583" s="68"/>
      <c r="E583" s="69">
        <f>ROUND(IFERROR(VLOOKUP(A583,'CAP9-13'!$A:$G,7,FALSE()),""),0)</f>
        <v>619705</v>
      </c>
      <c r="F583" s="69">
        <f t="shared" si="34"/>
        <v>0</v>
      </c>
    </row>
    <row r="584" spans="1:8">
      <c r="A584" s="67" t="s">
        <v>1177</v>
      </c>
      <c r="B584" s="29" t="s">
        <v>1178</v>
      </c>
      <c r="C584" s="30" t="s">
        <v>23</v>
      </c>
      <c r="D584" s="68"/>
      <c r="E584" s="69">
        <f>ROUND(IFERROR(VLOOKUP(A584,'CAP9-13'!$A:$G,7,FALSE()),""),0)</f>
        <v>769740</v>
      </c>
      <c r="F584" s="69">
        <f t="shared" si="34"/>
        <v>0</v>
      </c>
    </row>
    <row r="585" spans="1:8">
      <c r="A585" s="67" t="s">
        <v>1179</v>
      </c>
      <c r="B585" s="29" t="s">
        <v>1180</v>
      </c>
      <c r="C585" s="30" t="s">
        <v>23</v>
      </c>
      <c r="D585" s="68"/>
      <c r="E585" s="69">
        <f>ROUND(IFERROR(VLOOKUP(A585,'CAP9-13'!$A:$G,7,FALSE()),""),0)</f>
        <v>546175</v>
      </c>
      <c r="F585" s="69">
        <f t="shared" si="34"/>
        <v>0</v>
      </c>
    </row>
    <row r="586" spans="1:8" s="74" customFormat="1">
      <c r="A586" s="60" t="s">
        <v>1181</v>
      </c>
      <c r="B586" s="61" t="s">
        <v>1182</v>
      </c>
      <c r="C586" s="62"/>
      <c r="D586" s="63"/>
      <c r="E586" s="64"/>
      <c r="F586" s="65">
        <f>SUM(F587:F630)</f>
        <v>0</v>
      </c>
      <c r="G586" s="66">
        <f>IFERROR(F586/$F$1279,"")</f>
        <v>0</v>
      </c>
      <c r="H586" s="3"/>
    </row>
    <row r="587" spans="1:8">
      <c r="A587" s="67" t="s">
        <v>1183</v>
      </c>
      <c r="B587" s="29" t="s">
        <v>1184</v>
      </c>
      <c r="C587" s="30" t="s">
        <v>30</v>
      </c>
      <c r="D587" s="68"/>
      <c r="E587" s="69">
        <f>ROUND(IFERROR(VLOOKUP(A587,'CAP9-13'!$A:$G,7,FALSE()),""),0)</f>
        <v>69749</v>
      </c>
      <c r="F587" s="69">
        <f t="shared" ref="F587:F630" si="35">IFERROR(E587*D587,"")</f>
        <v>0</v>
      </c>
    </row>
    <row r="588" spans="1:8">
      <c r="A588" s="67" t="s">
        <v>1185</v>
      </c>
      <c r="B588" s="29" t="s">
        <v>1186</v>
      </c>
      <c r="C588" s="30" t="s">
        <v>30</v>
      </c>
      <c r="D588" s="68"/>
      <c r="E588" s="69">
        <f>ROUND(IFERROR(VLOOKUP(A588,'CAP9-13'!$A:$G,7,FALSE()),""),0)</f>
        <v>77959</v>
      </c>
      <c r="F588" s="69">
        <f t="shared" si="35"/>
        <v>0</v>
      </c>
    </row>
    <row r="589" spans="1:8">
      <c r="A589" s="67" t="s">
        <v>1187</v>
      </c>
      <c r="B589" s="29" t="s">
        <v>1188</v>
      </c>
      <c r="C589" s="30" t="s">
        <v>30</v>
      </c>
      <c r="D589" s="68"/>
      <c r="E589" s="69">
        <f>ROUND(IFERROR(VLOOKUP(A589,'CAP9-13'!$A:$G,7,FALSE()),""),0)</f>
        <v>83339</v>
      </c>
      <c r="F589" s="69">
        <f t="shared" si="35"/>
        <v>0</v>
      </c>
    </row>
    <row r="590" spans="1:8">
      <c r="A590" s="67" t="s">
        <v>1189</v>
      </c>
      <c r="B590" s="29" t="s">
        <v>1190</v>
      </c>
      <c r="C590" s="30" t="s">
        <v>30</v>
      </c>
      <c r="D590" s="68"/>
      <c r="E590" s="69">
        <f>ROUND(IFERROR(VLOOKUP(A590,'CAP9-13'!$A:$G,7,FALSE()),""),0)</f>
        <v>89882</v>
      </c>
      <c r="F590" s="69">
        <f t="shared" si="35"/>
        <v>0</v>
      </c>
    </row>
    <row r="591" spans="1:8">
      <c r="A591" s="67" t="s">
        <v>1191</v>
      </c>
      <c r="B591" s="29" t="s">
        <v>1192</v>
      </c>
      <c r="C591" s="30" t="s">
        <v>30</v>
      </c>
      <c r="D591" s="68"/>
      <c r="E591" s="69">
        <f>ROUND(IFERROR(VLOOKUP(A591,'CAP9-13'!$A:$G,7,FALSE()),""),0)</f>
        <v>91742</v>
      </c>
      <c r="F591" s="69">
        <f t="shared" si="35"/>
        <v>0</v>
      </c>
    </row>
    <row r="592" spans="1:8">
      <c r="A592" s="67" t="s">
        <v>1193</v>
      </c>
      <c r="B592" s="29" t="s">
        <v>1194</v>
      </c>
      <c r="C592" s="30" t="s">
        <v>30</v>
      </c>
      <c r="D592" s="68"/>
      <c r="E592" s="69">
        <f>ROUND(IFERROR(VLOOKUP(A592,'CAP9-13'!$A:$G,7,FALSE()),""),0)</f>
        <v>158992</v>
      </c>
      <c r="F592" s="69">
        <f t="shared" si="35"/>
        <v>0</v>
      </c>
    </row>
    <row r="593" spans="1:8">
      <c r="A593" s="67" t="s">
        <v>1195</v>
      </c>
      <c r="B593" s="29" t="s">
        <v>1196</v>
      </c>
      <c r="C593" s="30" t="s">
        <v>30</v>
      </c>
      <c r="D593" s="68"/>
      <c r="E593" s="69">
        <f>ROUND(IFERROR(VLOOKUP(A593,'CAP9-13'!$A:$G,7,FALSE()),""),0)</f>
        <v>210140</v>
      </c>
      <c r="F593" s="69">
        <f t="shared" si="35"/>
        <v>0</v>
      </c>
    </row>
    <row r="594" spans="1:8">
      <c r="A594" s="67" t="s">
        <v>1197</v>
      </c>
      <c r="B594" s="29" t="s">
        <v>1198</v>
      </c>
      <c r="C594" s="30" t="s">
        <v>30</v>
      </c>
      <c r="D594" s="68"/>
      <c r="E594" s="69">
        <f>ROUND(IFERROR(VLOOKUP(A594,'CAP9-13'!$A:$G,7,FALSE()),""),0)</f>
        <v>70343</v>
      </c>
      <c r="F594" s="69">
        <f t="shared" si="35"/>
        <v>0</v>
      </c>
    </row>
    <row r="595" spans="1:8">
      <c r="A595" s="67" t="s">
        <v>1199</v>
      </c>
      <c r="B595" s="29" t="s">
        <v>1200</v>
      </c>
      <c r="C595" s="30" t="s">
        <v>20</v>
      </c>
      <c r="D595" s="68"/>
      <c r="E595" s="69">
        <f>ROUND(IFERROR(VLOOKUP(A595,'CAP9-13'!$A:$G,7,FALSE()),""),0)</f>
        <v>86383</v>
      </c>
      <c r="F595" s="69">
        <f t="shared" si="35"/>
        <v>0</v>
      </c>
      <c r="H595" s="74"/>
    </row>
    <row r="596" spans="1:8">
      <c r="A596" s="67" t="s">
        <v>1201</v>
      </c>
      <c r="B596" s="29" t="s">
        <v>1202</v>
      </c>
      <c r="C596" s="30" t="s">
        <v>20</v>
      </c>
      <c r="D596" s="68"/>
      <c r="E596" s="69">
        <f>ROUND(IFERROR(VLOOKUP(A596,'CAP9-13'!$A:$G,7,FALSE()),""),0)</f>
        <v>84171</v>
      </c>
      <c r="F596" s="69">
        <f t="shared" ref="F596" si="36">IFERROR(E596*D596,"")</f>
        <v>0</v>
      </c>
    </row>
    <row r="597" spans="1:8">
      <c r="A597" s="67" t="s">
        <v>1203</v>
      </c>
      <c r="B597" s="29" t="s">
        <v>1204</v>
      </c>
      <c r="C597" s="30" t="s">
        <v>20</v>
      </c>
      <c r="D597" s="68"/>
      <c r="E597" s="69">
        <f>ROUND(IFERROR(VLOOKUP(A597,'CAP9-13'!$A:$G,7,FALSE()),""),0)</f>
        <v>90581</v>
      </c>
      <c r="F597" s="69">
        <f t="shared" si="35"/>
        <v>0</v>
      </c>
    </row>
    <row r="598" spans="1:8">
      <c r="A598" s="67" t="s">
        <v>1205</v>
      </c>
      <c r="B598" s="29" t="s">
        <v>1206</v>
      </c>
      <c r="C598" s="30" t="s">
        <v>20</v>
      </c>
      <c r="D598" s="68"/>
      <c r="E598" s="69">
        <f>ROUND(IFERROR(VLOOKUP(A598,'CAP9-13'!$A:$G,7,FALSE()),""),0)</f>
        <v>126758</v>
      </c>
      <c r="F598" s="69">
        <f t="shared" si="35"/>
        <v>0</v>
      </c>
    </row>
    <row r="599" spans="1:8">
      <c r="A599" s="67" t="s">
        <v>1207</v>
      </c>
      <c r="B599" s="29" t="s">
        <v>1208</v>
      </c>
      <c r="C599" s="30" t="s">
        <v>20</v>
      </c>
      <c r="D599" s="68"/>
      <c r="E599" s="69">
        <f>ROUND(IFERROR(VLOOKUP(A599,'CAP9-13'!$A:$G,7,FALSE()),""),0)</f>
        <v>166647</v>
      </c>
      <c r="F599" s="69">
        <f t="shared" si="35"/>
        <v>0</v>
      </c>
    </row>
    <row r="600" spans="1:8">
      <c r="A600" s="67" t="s">
        <v>1209</v>
      </c>
      <c r="B600" s="29" t="s">
        <v>1210</v>
      </c>
      <c r="C600" s="30" t="s">
        <v>20</v>
      </c>
      <c r="D600" s="68"/>
      <c r="E600" s="69">
        <f>ROUND(IFERROR(VLOOKUP(A600,'CAP9-13'!$A:$G,7,FALSE()),""),0)</f>
        <v>190045</v>
      </c>
      <c r="F600" s="69">
        <f t="shared" si="35"/>
        <v>0</v>
      </c>
    </row>
    <row r="601" spans="1:8">
      <c r="A601" s="67" t="s">
        <v>1211</v>
      </c>
      <c r="B601" s="29" t="s">
        <v>1212</v>
      </c>
      <c r="C601" s="30" t="s">
        <v>20</v>
      </c>
      <c r="D601" s="68"/>
      <c r="E601" s="69">
        <f>ROUND(IFERROR(VLOOKUP(A601,'CAP9-13'!$A:$G,7,FALSE()),""),0)</f>
        <v>87508</v>
      </c>
      <c r="F601" s="69">
        <f t="shared" si="35"/>
        <v>0</v>
      </c>
    </row>
    <row r="602" spans="1:8">
      <c r="A602" s="67" t="s">
        <v>1213</v>
      </c>
      <c r="B602" s="29" t="s">
        <v>1214</v>
      </c>
      <c r="C602" s="30" t="s">
        <v>20</v>
      </c>
      <c r="D602" s="68"/>
      <c r="E602" s="69">
        <f>ROUND(IFERROR(VLOOKUP(A602,'CAP9-13'!$A:$G,7,FALSE()),""),0)</f>
        <v>179051</v>
      </c>
      <c r="F602" s="69">
        <f t="shared" si="35"/>
        <v>0</v>
      </c>
    </row>
    <row r="603" spans="1:8">
      <c r="A603" s="67" t="s">
        <v>1215</v>
      </c>
      <c r="B603" s="29" t="s">
        <v>1216</v>
      </c>
      <c r="C603" s="30" t="s">
        <v>20</v>
      </c>
      <c r="D603" s="68"/>
      <c r="E603" s="69">
        <f>ROUND(IFERROR(VLOOKUP(A603,'CAP9-13'!$A:$G,7,FALSE()),""),0)</f>
        <v>156776</v>
      </c>
      <c r="F603" s="69">
        <f t="shared" si="35"/>
        <v>0</v>
      </c>
    </row>
    <row r="604" spans="1:8">
      <c r="A604" s="67" t="s">
        <v>1217</v>
      </c>
      <c r="B604" s="29" t="s">
        <v>1218</v>
      </c>
      <c r="C604" s="30" t="s">
        <v>20</v>
      </c>
      <c r="D604" s="68"/>
      <c r="E604" s="69">
        <f>ROUND(IFERROR(VLOOKUP(A604,'CAP9-13'!$A:$G,7,FALSE()),""),0)</f>
        <v>168925</v>
      </c>
      <c r="F604" s="69">
        <f t="shared" si="35"/>
        <v>0</v>
      </c>
    </row>
    <row r="605" spans="1:8">
      <c r="A605" s="67" t="s">
        <v>1219</v>
      </c>
      <c r="B605" s="29" t="s">
        <v>1220</v>
      </c>
      <c r="C605" s="30" t="s">
        <v>20</v>
      </c>
      <c r="D605" s="68"/>
      <c r="E605" s="69">
        <f>ROUND(IFERROR(VLOOKUP(A605,'CAP9-13'!$A:$G,7,FALSE()),""),0)</f>
        <v>37641</v>
      </c>
      <c r="F605" s="69">
        <f t="shared" si="35"/>
        <v>0</v>
      </c>
    </row>
    <row r="606" spans="1:8">
      <c r="A606" s="67" t="s">
        <v>1221</v>
      </c>
      <c r="B606" s="29" t="s">
        <v>1222</v>
      </c>
      <c r="C606" s="30" t="s">
        <v>20</v>
      </c>
      <c r="D606" s="68"/>
      <c r="E606" s="69">
        <f>ROUND(IFERROR(VLOOKUP(A606,'CAP9-13'!$A:$G,7,FALSE()),""),0)</f>
        <v>49453</v>
      </c>
      <c r="F606" s="69">
        <f t="shared" si="35"/>
        <v>0</v>
      </c>
    </row>
    <row r="607" spans="1:8">
      <c r="A607" s="67" t="s">
        <v>1223</v>
      </c>
      <c r="B607" s="29" t="s">
        <v>1224</v>
      </c>
      <c r="C607" s="30" t="s">
        <v>20</v>
      </c>
      <c r="D607" s="68"/>
      <c r="E607" s="69">
        <f>ROUND(IFERROR(VLOOKUP(A607,'CAP9-13'!$A:$G,7,FALSE()),""),0)</f>
        <v>69095</v>
      </c>
      <c r="F607" s="69">
        <f t="shared" si="35"/>
        <v>0</v>
      </c>
    </row>
    <row r="608" spans="1:8">
      <c r="A608" s="67" t="s">
        <v>1225</v>
      </c>
      <c r="B608" s="29" t="s">
        <v>1226</v>
      </c>
      <c r="C608" s="30" t="s">
        <v>20</v>
      </c>
      <c r="D608" s="68"/>
      <c r="E608" s="69">
        <f>ROUND(IFERROR(VLOOKUP(A608,'CAP9-13'!$A:$G,7,FALSE()),""),0)</f>
        <v>99509</v>
      </c>
      <c r="F608" s="69">
        <f t="shared" si="35"/>
        <v>0</v>
      </c>
    </row>
    <row r="609" spans="1:8">
      <c r="A609" s="67" t="s">
        <v>1227</v>
      </c>
      <c r="B609" s="29" t="s">
        <v>1228</v>
      </c>
      <c r="C609" s="30" t="s">
        <v>20</v>
      </c>
      <c r="D609" s="68"/>
      <c r="E609" s="69">
        <f>ROUND(IFERROR(VLOOKUP(A609,'CAP9-13'!$A:$G,7,FALSE()),""),0)</f>
        <v>54226</v>
      </c>
      <c r="F609" s="69">
        <f t="shared" si="35"/>
        <v>0</v>
      </c>
    </row>
    <row r="610" spans="1:8">
      <c r="A610" s="67" t="s">
        <v>1229</v>
      </c>
      <c r="B610" s="29" t="s">
        <v>1230</v>
      </c>
      <c r="C610" s="30" t="s">
        <v>20</v>
      </c>
      <c r="D610" s="68"/>
      <c r="E610" s="69">
        <f>ROUND(IFERROR(VLOOKUP(A610,'CAP9-13'!$A:$G,7,FALSE()),""),0)</f>
        <v>128844</v>
      </c>
      <c r="F610" s="69">
        <f t="shared" si="35"/>
        <v>0</v>
      </c>
    </row>
    <row r="611" spans="1:8">
      <c r="A611" s="67" t="s">
        <v>1231</v>
      </c>
      <c r="B611" s="29" t="s">
        <v>1232</v>
      </c>
      <c r="C611" s="30" t="s">
        <v>20</v>
      </c>
      <c r="D611" s="68"/>
      <c r="E611" s="69">
        <f>ROUND(IFERROR(VLOOKUP(A611,'CAP9-13'!$A:$G,7,FALSE()),""),0)</f>
        <v>89161</v>
      </c>
      <c r="F611" s="69">
        <f t="shared" si="35"/>
        <v>0</v>
      </c>
    </row>
    <row r="612" spans="1:8">
      <c r="A612" s="67" t="s">
        <v>1233</v>
      </c>
      <c r="B612" s="29" t="s">
        <v>1234</v>
      </c>
      <c r="C612" s="30" t="s">
        <v>20</v>
      </c>
      <c r="D612" s="68"/>
      <c r="E612" s="69">
        <f>ROUND(IFERROR(VLOOKUP(A612,'CAP9-13'!$A:$G,7,FALSE()),""),0)</f>
        <v>73853</v>
      </c>
      <c r="F612" s="69">
        <f t="shared" si="35"/>
        <v>0</v>
      </c>
    </row>
    <row r="613" spans="1:8">
      <c r="A613" s="67" t="s">
        <v>1235</v>
      </c>
      <c r="B613" s="29" t="s">
        <v>1236</v>
      </c>
      <c r="C613" s="30" t="s">
        <v>30</v>
      </c>
      <c r="D613" s="68"/>
      <c r="E613" s="69">
        <f>ROUND(IFERROR(VLOOKUP(A613,'CAP9-13'!$A:$G,7,FALSE()),""),0)</f>
        <v>41219</v>
      </c>
      <c r="F613" s="69">
        <f t="shared" si="35"/>
        <v>0</v>
      </c>
    </row>
    <row r="614" spans="1:8">
      <c r="A614" s="67" t="s">
        <v>1237</v>
      </c>
      <c r="B614" s="29" t="s">
        <v>1238</v>
      </c>
      <c r="C614" s="30" t="s">
        <v>30</v>
      </c>
      <c r="D614" s="68"/>
      <c r="E614" s="69">
        <f>ROUND(IFERROR(VLOOKUP(A614,'CAP9-13'!$A:$G,7,FALSE()),""),0)</f>
        <v>40725</v>
      </c>
      <c r="F614" s="69">
        <f t="shared" si="35"/>
        <v>0</v>
      </c>
    </row>
    <row r="615" spans="1:8">
      <c r="A615" s="67" t="s">
        <v>1239</v>
      </c>
      <c r="B615" s="29" t="s">
        <v>1240</v>
      </c>
      <c r="C615" s="30" t="s">
        <v>23</v>
      </c>
      <c r="D615" s="68"/>
      <c r="E615" s="69">
        <f>ROUND(IFERROR(VLOOKUP(A615,'CAP9-13'!$A:$G,7,FALSE()),""),0)</f>
        <v>81660</v>
      </c>
      <c r="F615" s="69">
        <f t="shared" si="35"/>
        <v>0</v>
      </c>
    </row>
    <row r="616" spans="1:8">
      <c r="A616" s="67" t="s">
        <v>1241</v>
      </c>
      <c r="B616" s="29" t="s">
        <v>1242</v>
      </c>
      <c r="C616" s="30" t="s">
        <v>30</v>
      </c>
      <c r="D616" s="68"/>
      <c r="E616" s="69">
        <f>ROUND(IFERROR(VLOOKUP(A616,'CAP9-13'!$A:$G,7,FALSE()),""),0)</f>
        <v>29321</v>
      </c>
      <c r="F616" s="69">
        <f t="shared" si="35"/>
        <v>0</v>
      </c>
    </row>
    <row r="617" spans="1:8">
      <c r="A617" s="67" t="s">
        <v>1243</v>
      </c>
      <c r="B617" s="29" t="s">
        <v>1244</v>
      </c>
      <c r="C617" s="30" t="s">
        <v>20</v>
      </c>
      <c r="D617" s="68"/>
      <c r="E617" s="69">
        <f>ROUND(IFERROR(VLOOKUP(A617,'CAP9-13'!$A:$G,7,FALSE()),""),0)</f>
        <v>79295</v>
      </c>
      <c r="F617" s="69">
        <f t="shared" si="35"/>
        <v>0</v>
      </c>
    </row>
    <row r="618" spans="1:8">
      <c r="A618" s="67" t="s">
        <v>1245</v>
      </c>
      <c r="B618" s="29" t="s">
        <v>1246</v>
      </c>
      <c r="C618" s="30" t="s">
        <v>30</v>
      </c>
      <c r="D618" s="68"/>
      <c r="E618" s="69">
        <f>ROUND(IFERROR(VLOOKUP(A618,'CAP9-13'!$A:$G,7,FALSE()),""),0)</f>
        <v>16046</v>
      </c>
      <c r="F618" s="69">
        <f t="shared" si="35"/>
        <v>0</v>
      </c>
    </row>
    <row r="619" spans="1:8">
      <c r="A619" s="67" t="s">
        <v>1247</v>
      </c>
      <c r="B619" s="29" t="s">
        <v>1248</v>
      </c>
      <c r="C619" s="30" t="s">
        <v>20</v>
      </c>
      <c r="D619" s="68"/>
      <c r="E619" s="69">
        <f>ROUND(IFERROR(VLOOKUP(A619,'CAP9-13'!$A:$G,7,FALSE()),""),0)</f>
        <v>23609</v>
      </c>
      <c r="F619" s="69">
        <f t="shared" si="35"/>
        <v>0</v>
      </c>
    </row>
    <row r="620" spans="1:8">
      <c r="A620" s="67" t="s">
        <v>1249</v>
      </c>
      <c r="B620" s="29" t="s">
        <v>1250</v>
      </c>
      <c r="C620" s="30" t="s">
        <v>30</v>
      </c>
      <c r="D620" s="68"/>
      <c r="E620" s="69">
        <f>ROUND(IFERROR(VLOOKUP(A620,'CAP9-13'!$A:$G,7,FALSE()),""),0)</f>
        <v>60403</v>
      </c>
      <c r="F620" s="69">
        <f t="shared" si="35"/>
        <v>0</v>
      </c>
    </row>
    <row r="621" spans="1:8">
      <c r="A621" s="67" t="s">
        <v>1251</v>
      </c>
      <c r="B621" s="29" t="s">
        <v>1252</v>
      </c>
      <c r="C621" s="30" t="s">
        <v>30</v>
      </c>
      <c r="D621" s="68"/>
      <c r="E621" s="69">
        <f>ROUND(IFERROR(VLOOKUP(A621,'CAP9-13'!$A:$G,7,FALSE()),""),0)</f>
        <v>119237</v>
      </c>
      <c r="F621" s="69">
        <f t="shared" si="35"/>
        <v>0</v>
      </c>
    </row>
    <row r="622" spans="1:8">
      <c r="A622" s="67" t="s">
        <v>1253</v>
      </c>
      <c r="B622" s="29" t="s">
        <v>1254</v>
      </c>
      <c r="C622" s="30" t="s">
        <v>30</v>
      </c>
      <c r="D622" s="68"/>
      <c r="E622" s="69">
        <f>ROUND(IFERROR(VLOOKUP(A622,'CAP9-13'!$A:$G,7,FALSE()),""),0)</f>
        <v>64852</v>
      </c>
      <c r="F622" s="69">
        <f t="shared" si="35"/>
        <v>0</v>
      </c>
    </row>
    <row r="623" spans="1:8">
      <c r="A623" s="67" t="s">
        <v>1255</v>
      </c>
      <c r="B623" s="29" t="s">
        <v>1256</v>
      </c>
      <c r="C623" s="30" t="s">
        <v>30</v>
      </c>
      <c r="D623" s="68"/>
      <c r="E623" s="69">
        <f>ROUND(IFERROR(VLOOKUP(A623,'CAP9-13'!$A:$G,7,FALSE()),""),0)</f>
        <v>4011</v>
      </c>
      <c r="F623" s="69">
        <f t="shared" si="35"/>
        <v>0</v>
      </c>
    </row>
    <row r="624" spans="1:8">
      <c r="A624" s="67" t="s">
        <v>1257</v>
      </c>
      <c r="B624" s="29" t="s">
        <v>1258</v>
      </c>
      <c r="C624" s="30" t="s">
        <v>20</v>
      </c>
      <c r="D624" s="68"/>
      <c r="E624" s="69">
        <f>ROUND(IFERROR(VLOOKUP(A624,'CAP9-13'!$A:$G,7,FALSE()),""),0)</f>
        <v>10029</v>
      </c>
      <c r="F624" s="69">
        <f t="shared" si="35"/>
        <v>0</v>
      </c>
      <c r="H624" s="74"/>
    </row>
    <row r="625" spans="1:8">
      <c r="A625" s="67" t="s">
        <v>1259</v>
      </c>
      <c r="B625" s="29" t="s">
        <v>1260</v>
      </c>
      <c r="C625" s="30" t="s">
        <v>20</v>
      </c>
      <c r="D625" s="68"/>
      <c r="E625" s="69">
        <f>ROUND(IFERROR(VLOOKUP(A625,'CAP9-13'!$A:$G,7,FALSE()),""),0)</f>
        <v>93902</v>
      </c>
      <c r="F625" s="69">
        <f t="shared" si="35"/>
        <v>0</v>
      </c>
    </row>
    <row r="626" spans="1:8">
      <c r="A626" s="67" t="s">
        <v>1261</v>
      </c>
      <c r="B626" s="29" t="s">
        <v>1262</v>
      </c>
      <c r="C626" s="30" t="s">
        <v>30</v>
      </c>
      <c r="D626" s="68"/>
      <c r="E626" s="69">
        <f>ROUND(IFERROR(VLOOKUP(A626,'CAP9-13'!$A:$G,7,FALSE()),""),0)</f>
        <v>5349</v>
      </c>
      <c r="F626" s="69">
        <f t="shared" si="35"/>
        <v>0</v>
      </c>
    </row>
    <row r="627" spans="1:8">
      <c r="A627" s="67" t="s">
        <v>1263</v>
      </c>
      <c r="B627" s="29" t="s">
        <v>1264</v>
      </c>
      <c r="C627" s="30" t="s">
        <v>20</v>
      </c>
      <c r="D627" s="68"/>
      <c r="E627" s="69">
        <f>ROUND(IFERROR(VLOOKUP(A627,'CAP9-13'!$A:$G,7,FALSE()),""),0)</f>
        <v>12310</v>
      </c>
      <c r="F627" s="69">
        <f t="shared" si="35"/>
        <v>0</v>
      </c>
    </row>
    <row r="628" spans="1:8">
      <c r="A628" s="67" t="s">
        <v>1265</v>
      </c>
      <c r="B628" s="29" t="s">
        <v>1266</v>
      </c>
      <c r="C628" s="30" t="s">
        <v>20</v>
      </c>
      <c r="D628" s="68"/>
      <c r="E628" s="69">
        <f>ROUND(IFERROR(VLOOKUP(A628,'CAP9-13'!$A:$G,7,FALSE()),""),0)</f>
        <v>12664</v>
      </c>
      <c r="F628" s="69">
        <f t="shared" si="35"/>
        <v>0</v>
      </c>
    </row>
    <row r="629" spans="1:8">
      <c r="A629" s="67" t="s">
        <v>1267</v>
      </c>
      <c r="B629" s="29" t="s">
        <v>1268</v>
      </c>
      <c r="C629" s="30" t="s">
        <v>20</v>
      </c>
      <c r="D629" s="68"/>
      <c r="E629" s="69">
        <f>ROUND(IFERROR(VLOOKUP(A629,'CAP9-13'!$A:$G,7,FALSE()),""),0)</f>
        <v>94682</v>
      </c>
      <c r="F629" s="69">
        <f t="shared" si="35"/>
        <v>0</v>
      </c>
    </row>
    <row r="630" spans="1:8">
      <c r="A630" s="67" t="s">
        <v>1269</v>
      </c>
      <c r="B630" s="29" t="s">
        <v>1270</v>
      </c>
      <c r="C630" s="30" t="s">
        <v>20</v>
      </c>
      <c r="D630" s="68"/>
      <c r="E630" s="69">
        <f>ROUND(IFERROR(VLOOKUP(A630,'CAP9-13'!$A:$G,7,FALSE()),""),0)</f>
        <v>16123</v>
      </c>
      <c r="F630" s="69">
        <f t="shared" si="35"/>
        <v>0</v>
      </c>
    </row>
    <row r="631" spans="1:8" s="74" customFormat="1">
      <c r="A631" s="60" t="s">
        <v>1271</v>
      </c>
      <c r="B631" s="61" t="s">
        <v>1272</v>
      </c>
      <c r="C631" s="62"/>
      <c r="D631" s="63"/>
      <c r="E631" s="64"/>
      <c r="F631" s="65">
        <f>SUM(F632:F636)</f>
        <v>0</v>
      </c>
      <c r="G631" s="66">
        <f>IFERROR(F631/$F$1279,"")</f>
        <v>0</v>
      </c>
      <c r="H631" s="3"/>
    </row>
    <row r="632" spans="1:8">
      <c r="A632" s="67" t="s">
        <v>1273</v>
      </c>
      <c r="B632" s="29" t="s">
        <v>1274</v>
      </c>
      <c r="C632" s="30" t="s">
        <v>30</v>
      </c>
      <c r="D632" s="68"/>
      <c r="E632" s="69">
        <f>ROUND(IFERROR(VLOOKUP(A632,'CAP9-13'!$A:$G,7,FALSE()),""),0)</f>
        <v>39771</v>
      </c>
      <c r="F632" s="69">
        <f>IFERROR(E632*D632,"")</f>
        <v>0</v>
      </c>
    </row>
    <row r="633" spans="1:8">
      <c r="A633" s="67" t="s">
        <v>1275</v>
      </c>
      <c r="B633" s="29" t="s">
        <v>1276</v>
      </c>
      <c r="C633" s="30" t="s">
        <v>20</v>
      </c>
      <c r="D633" s="68"/>
      <c r="E633" s="69">
        <f>ROUND(IFERROR(VLOOKUP(A633,'CAP9-13'!$A:$G,7,FALSE()),""),0)</f>
        <v>112692</v>
      </c>
      <c r="F633" s="69">
        <f>IFERROR(E633*D633,"")</f>
        <v>0</v>
      </c>
    </row>
    <row r="634" spans="1:8">
      <c r="A634" s="67" t="s">
        <v>1277</v>
      </c>
      <c r="B634" s="29" t="s">
        <v>1278</v>
      </c>
      <c r="C634" s="30" t="s">
        <v>20</v>
      </c>
      <c r="D634" s="68"/>
      <c r="E634" s="69">
        <f>ROUND(IFERROR(VLOOKUP(A634,'CAP9-13'!$A:$G,7,FALSE()),""),0)</f>
        <v>94252</v>
      </c>
      <c r="F634" s="69">
        <f>IFERROR(E634*D634,"")</f>
        <v>0</v>
      </c>
    </row>
    <row r="635" spans="1:8">
      <c r="A635" s="67" t="s">
        <v>1279</v>
      </c>
      <c r="B635" s="29" t="s">
        <v>1280</v>
      </c>
      <c r="C635" s="30" t="s">
        <v>20</v>
      </c>
      <c r="D635" s="68"/>
      <c r="E635" s="69">
        <f>ROUND(IFERROR(VLOOKUP(A635,'CAP9-13'!$A:$G,7,FALSE()),""),0)</f>
        <v>156467</v>
      </c>
      <c r="F635" s="69">
        <f>IFERROR(E635*D635,"")</f>
        <v>0</v>
      </c>
    </row>
    <row r="636" spans="1:8">
      <c r="A636" s="67" t="s">
        <v>1281</v>
      </c>
      <c r="B636" s="29" t="s">
        <v>1282</v>
      </c>
      <c r="C636" s="30" t="s">
        <v>20</v>
      </c>
      <c r="D636" s="68"/>
      <c r="E636" s="69">
        <f>ROUND(IFERROR(VLOOKUP(A636,'CAP9-13'!$A:$G,7,FALSE()),""),0)</f>
        <v>72889</v>
      </c>
      <c r="F636" s="69">
        <f>IFERROR(E636*D636,"")</f>
        <v>0</v>
      </c>
    </row>
    <row r="637" spans="1:8" s="74" customFormat="1">
      <c r="A637" s="60" t="s">
        <v>1283</v>
      </c>
      <c r="B637" s="61" t="s">
        <v>1284</v>
      </c>
      <c r="C637" s="62"/>
      <c r="D637" s="63"/>
      <c r="E637" s="64"/>
      <c r="F637" s="65">
        <f>SUM(F638:F678)</f>
        <v>0</v>
      </c>
      <c r="G637" s="66">
        <f>IFERROR(F637/$F$1279,"")</f>
        <v>0</v>
      </c>
      <c r="H637" s="3"/>
    </row>
    <row r="638" spans="1:8">
      <c r="A638" s="67" t="s">
        <v>1285</v>
      </c>
      <c r="B638" s="29" t="s">
        <v>1286</v>
      </c>
      <c r="C638" s="30" t="s">
        <v>20</v>
      </c>
      <c r="D638" s="68"/>
      <c r="E638" s="69">
        <f>ROUND(IFERROR(VLOOKUP(A638,'CAP9-13'!$A:$G,7,FALSE()),""),0)</f>
        <v>44630</v>
      </c>
      <c r="F638" s="69">
        <f t="shared" ref="F638:F678" si="37">IFERROR(E638*D638,"")</f>
        <v>0</v>
      </c>
    </row>
    <row r="639" spans="1:8">
      <c r="A639" s="67" t="s">
        <v>1287</v>
      </c>
      <c r="B639" s="29" t="s">
        <v>1288</v>
      </c>
      <c r="C639" s="30" t="s">
        <v>30</v>
      </c>
      <c r="D639" s="68"/>
      <c r="E639" s="69">
        <f>ROUND(IFERROR(VLOOKUP(A639,'CAP9-13'!$A:$G,7,FALSE()),""),0)</f>
        <v>48440</v>
      </c>
      <c r="F639" s="69">
        <f t="shared" si="37"/>
        <v>0</v>
      </c>
    </row>
    <row r="640" spans="1:8">
      <c r="A640" s="67" t="s">
        <v>1289</v>
      </c>
      <c r="B640" s="29" t="s">
        <v>1290</v>
      </c>
      <c r="C640" s="30" t="s">
        <v>30</v>
      </c>
      <c r="D640" s="68"/>
      <c r="E640" s="69">
        <f>ROUND(IFERROR(VLOOKUP(A640,'CAP9-13'!$A:$G,7,FALSE()),""),0)</f>
        <v>46735</v>
      </c>
      <c r="F640" s="69">
        <f t="shared" si="37"/>
        <v>0</v>
      </c>
    </row>
    <row r="641" spans="1:6">
      <c r="A641" s="67" t="s">
        <v>1291</v>
      </c>
      <c r="B641" s="29" t="s">
        <v>1292</v>
      </c>
      <c r="C641" s="30" t="s">
        <v>30</v>
      </c>
      <c r="D641" s="68"/>
      <c r="E641" s="69">
        <f>ROUND(IFERROR(VLOOKUP(A641,'CAP9-13'!$A:$G,7,FALSE()),""),0)</f>
        <v>28577</v>
      </c>
      <c r="F641" s="69">
        <f t="shared" si="37"/>
        <v>0</v>
      </c>
    </row>
    <row r="642" spans="1:6">
      <c r="A642" s="67" t="s">
        <v>1293</v>
      </c>
      <c r="B642" s="29" t="s">
        <v>1294</v>
      </c>
      <c r="C642" s="30" t="s">
        <v>30</v>
      </c>
      <c r="D642" s="68"/>
      <c r="E642" s="69">
        <f>ROUND(IFERROR(VLOOKUP(A642,'CAP9-13'!$A:$G,7,FALSE()),""),0)</f>
        <v>23835</v>
      </c>
      <c r="F642" s="69">
        <f t="shared" si="37"/>
        <v>0</v>
      </c>
    </row>
    <row r="643" spans="1:6">
      <c r="A643" s="67" t="s">
        <v>1295</v>
      </c>
      <c r="B643" s="29" t="s">
        <v>1296</v>
      </c>
      <c r="C643" s="30" t="s">
        <v>30</v>
      </c>
      <c r="D643" s="68"/>
      <c r="E643" s="69">
        <f>ROUND(IFERROR(VLOOKUP(A643,'CAP9-13'!$A:$G,7,FALSE()),""),0)</f>
        <v>26148</v>
      </c>
      <c r="F643" s="69">
        <f t="shared" si="37"/>
        <v>0</v>
      </c>
    </row>
    <row r="644" spans="1:6">
      <c r="A644" s="67" t="s">
        <v>1297</v>
      </c>
      <c r="B644" s="29" t="s">
        <v>1298</v>
      </c>
      <c r="C644" s="30" t="s">
        <v>30</v>
      </c>
      <c r="D644" s="68"/>
      <c r="E644" s="69">
        <f>ROUND(IFERROR(VLOOKUP(A644,'CAP9-13'!$A:$G,7,FALSE()),""),0)</f>
        <v>27542</v>
      </c>
      <c r="F644" s="69">
        <f t="shared" si="37"/>
        <v>0</v>
      </c>
    </row>
    <row r="645" spans="1:6">
      <c r="A645" s="67" t="s">
        <v>1299</v>
      </c>
      <c r="B645" s="29" t="s">
        <v>1300</v>
      </c>
      <c r="C645" s="30" t="s">
        <v>30</v>
      </c>
      <c r="D645" s="68"/>
      <c r="E645" s="69">
        <f>ROUND(IFERROR(VLOOKUP(A645,'CAP9-13'!$A:$G,7,FALSE()),""),0)</f>
        <v>53318</v>
      </c>
      <c r="F645" s="69">
        <f t="shared" si="37"/>
        <v>0</v>
      </c>
    </row>
    <row r="646" spans="1:6">
      <c r="A646" s="67" t="s">
        <v>1301</v>
      </c>
      <c r="B646" s="29" t="s">
        <v>1302</v>
      </c>
      <c r="C646" s="30" t="s">
        <v>30</v>
      </c>
      <c r="D646" s="68"/>
      <c r="E646" s="69">
        <f>ROUND(IFERROR(VLOOKUP(A646,'CAP9-13'!$A:$G,7,FALSE()),""),0)</f>
        <v>34978</v>
      </c>
      <c r="F646" s="69">
        <f t="shared" si="37"/>
        <v>0</v>
      </c>
    </row>
    <row r="647" spans="1:6">
      <c r="A647" s="67" t="s">
        <v>1303</v>
      </c>
      <c r="B647" s="29" t="s">
        <v>1304</v>
      </c>
      <c r="C647" s="30" t="s">
        <v>30</v>
      </c>
      <c r="D647" s="68"/>
      <c r="E647" s="69">
        <f>ROUND(IFERROR(VLOOKUP(A647,'CAP9-13'!$A:$G,7,FALSE()),""),0)</f>
        <v>35271</v>
      </c>
      <c r="F647" s="69">
        <f t="shared" si="37"/>
        <v>0</v>
      </c>
    </row>
    <row r="648" spans="1:6">
      <c r="A648" s="67" t="s">
        <v>1305</v>
      </c>
      <c r="B648" s="29" t="s">
        <v>3811</v>
      </c>
      <c r="C648" s="30" t="s">
        <v>30</v>
      </c>
      <c r="D648" s="68"/>
      <c r="E648" s="69">
        <f>ROUND(IFERROR(VLOOKUP(A648,'CAP9-13'!$A:$G,7,FALSE()),""),0)</f>
        <v>53817</v>
      </c>
      <c r="F648" s="69">
        <f t="shared" si="37"/>
        <v>0</v>
      </c>
    </row>
    <row r="649" spans="1:6">
      <c r="A649" s="67" t="s">
        <v>1306</v>
      </c>
      <c r="B649" s="29" t="s">
        <v>1307</v>
      </c>
      <c r="C649" s="30" t="s">
        <v>20</v>
      </c>
      <c r="D649" s="68"/>
      <c r="E649" s="69">
        <f>ROUND(IFERROR(VLOOKUP(A649,'CAP9-13'!$A:$G,7,FALSE()),""),0)</f>
        <v>4619</v>
      </c>
      <c r="F649" s="69">
        <f t="shared" si="37"/>
        <v>0</v>
      </c>
    </row>
    <row r="650" spans="1:6">
      <c r="A650" s="67" t="s">
        <v>1308</v>
      </c>
      <c r="B650" s="29" t="s">
        <v>1309</v>
      </c>
      <c r="C650" s="30" t="s">
        <v>30</v>
      </c>
      <c r="D650" s="68"/>
      <c r="E650" s="69">
        <f>ROUND(IFERROR(VLOOKUP(A650,'CAP9-13'!$A:$G,7,FALSE()),""),0)</f>
        <v>66030</v>
      </c>
      <c r="F650" s="69">
        <f t="shared" si="37"/>
        <v>0</v>
      </c>
    </row>
    <row r="651" spans="1:6">
      <c r="A651" s="67" t="s">
        <v>1310</v>
      </c>
      <c r="B651" s="29" t="s">
        <v>1311</v>
      </c>
      <c r="C651" s="30" t="s">
        <v>52</v>
      </c>
      <c r="D651" s="68"/>
      <c r="E651" s="69">
        <f>ROUND(IFERROR(VLOOKUP(A651,'CAP9-13'!$A:$G,7,FALSE()),""),0)</f>
        <v>704860</v>
      </c>
      <c r="F651" s="69">
        <f t="shared" si="37"/>
        <v>0</v>
      </c>
    </row>
    <row r="652" spans="1:6">
      <c r="A652" s="67" t="s">
        <v>1312</v>
      </c>
      <c r="B652" s="29" t="s">
        <v>1313</v>
      </c>
      <c r="C652" s="30" t="s">
        <v>20</v>
      </c>
      <c r="D652" s="68"/>
      <c r="E652" s="69">
        <f>ROUND(IFERROR(VLOOKUP(A652,'CAP9-13'!$A:$G,7,FALSE()),""),0)</f>
        <v>48140</v>
      </c>
      <c r="F652" s="69">
        <f t="shared" si="37"/>
        <v>0</v>
      </c>
    </row>
    <row r="653" spans="1:6">
      <c r="A653" s="67" t="s">
        <v>1314</v>
      </c>
      <c r="B653" s="29" t="s">
        <v>1315</v>
      </c>
      <c r="C653" s="30" t="s">
        <v>20</v>
      </c>
      <c r="D653" s="68"/>
      <c r="E653" s="69">
        <f>ROUND(IFERROR(VLOOKUP(A653,'CAP9-13'!$A:$G,7,FALSE()),""),0)</f>
        <v>53642</v>
      </c>
      <c r="F653" s="69">
        <f t="shared" si="37"/>
        <v>0</v>
      </c>
    </row>
    <row r="654" spans="1:6">
      <c r="A654" s="67" t="s">
        <v>1316</v>
      </c>
      <c r="B654" s="29" t="s">
        <v>1317</v>
      </c>
      <c r="C654" s="30" t="s">
        <v>20</v>
      </c>
      <c r="D654" s="68"/>
      <c r="E654" s="69">
        <f>ROUND(IFERROR(VLOOKUP(A654,'CAP9-13'!$A:$G,7,FALSE()),""),0)</f>
        <v>47392</v>
      </c>
      <c r="F654" s="69">
        <f t="shared" si="37"/>
        <v>0</v>
      </c>
    </row>
    <row r="655" spans="1:6">
      <c r="A655" s="67" t="s">
        <v>1318</v>
      </c>
      <c r="B655" s="29" t="s">
        <v>1319</v>
      </c>
      <c r="C655" s="30" t="s">
        <v>338</v>
      </c>
      <c r="D655" s="68"/>
      <c r="E655" s="69">
        <f>ROUND(IFERROR(VLOOKUP(A655,'CAP9-13'!$A:$G,7,FALSE()),""),0)</f>
        <v>15523</v>
      </c>
      <c r="F655" s="69">
        <f t="shared" si="37"/>
        <v>0</v>
      </c>
    </row>
    <row r="656" spans="1:6">
      <c r="A656" s="67" t="s">
        <v>1320</v>
      </c>
      <c r="B656" s="29" t="s">
        <v>1321</v>
      </c>
      <c r="C656" s="30" t="s">
        <v>30</v>
      </c>
      <c r="D656" s="68"/>
      <c r="E656" s="69">
        <f>ROUND(IFERROR(VLOOKUP(A656,'CAP9-13'!$A:$G,7,FALSE()),""),0)</f>
        <v>28377</v>
      </c>
      <c r="F656" s="69">
        <f t="shared" si="37"/>
        <v>0</v>
      </c>
    </row>
    <row r="657" spans="1:6">
      <c r="A657" s="67" t="s">
        <v>1322</v>
      </c>
      <c r="B657" s="29" t="s">
        <v>1323</v>
      </c>
      <c r="C657" s="30" t="s">
        <v>20</v>
      </c>
      <c r="D657" s="68"/>
      <c r="E657" s="69">
        <f>ROUND(IFERROR(VLOOKUP(A657,'CAP9-13'!$A:$G,7,FALSE()),""),0)</f>
        <v>145229</v>
      </c>
      <c r="F657" s="69">
        <f t="shared" si="37"/>
        <v>0</v>
      </c>
    </row>
    <row r="658" spans="1:6">
      <c r="A658" s="67" t="s">
        <v>1324</v>
      </c>
      <c r="B658" s="29" t="s">
        <v>1325</v>
      </c>
      <c r="C658" s="30" t="s">
        <v>20</v>
      </c>
      <c r="D658" s="68"/>
      <c r="E658" s="69">
        <f>ROUND(IFERROR(VLOOKUP(A658,'CAP9-13'!$A:$G,7,FALSE()),""),0)</f>
        <v>163489</v>
      </c>
      <c r="F658" s="69">
        <f t="shared" si="37"/>
        <v>0</v>
      </c>
    </row>
    <row r="659" spans="1:6">
      <c r="A659" s="67" t="s">
        <v>1326</v>
      </c>
      <c r="B659" s="29" t="s">
        <v>1327</v>
      </c>
      <c r="C659" s="30" t="s">
        <v>20</v>
      </c>
      <c r="D659" s="68"/>
      <c r="E659" s="69">
        <f>ROUND(IFERROR(VLOOKUP(A659,'CAP9-13'!$A:$G,7,FALSE()),""),0)</f>
        <v>171453</v>
      </c>
      <c r="F659" s="69">
        <f t="shared" si="37"/>
        <v>0</v>
      </c>
    </row>
    <row r="660" spans="1:6">
      <c r="A660" s="67" t="s">
        <v>1328</v>
      </c>
      <c r="B660" s="29" t="s">
        <v>1329</v>
      </c>
      <c r="C660" s="30" t="s">
        <v>20</v>
      </c>
      <c r="D660" s="68"/>
      <c r="E660" s="69">
        <f>ROUND(IFERROR(VLOOKUP(A660,'CAP9-13'!$A:$G,7,FALSE()),""),0)</f>
        <v>86223</v>
      </c>
      <c r="F660" s="69">
        <f t="shared" si="37"/>
        <v>0</v>
      </c>
    </row>
    <row r="661" spans="1:6">
      <c r="A661" s="67" t="s">
        <v>1330</v>
      </c>
      <c r="B661" s="29" t="s">
        <v>1331</v>
      </c>
      <c r="C661" s="30" t="s">
        <v>20</v>
      </c>
      <c r="D661" s="68"/>
      <c r="E661" s="69">
        <f>ROUND(IFERROR(VLOOKUP(A661,'CAP9-13'!$A:$G,7,FALSE()),""),0)</f>
        <v>107775</v>
      </c>
      <c r="F661" s="69">
        <f t="shared" si="37"/>
        <v>0</v>
      </c>
    </row>
    <row r="662" spans="1:6">
      <c r="A662" s="67" t="s">
        <v>1332</v>
      </c>
      <c r="B662" s="29" t="s">
        <v>1333</v>
      </c>
      <c r="C662" s="30" t="s">
        <v>20</v>
      </c>
      <c r="D662" s="68"/>
      <c r="E662" s="69">
        <f>ROUND(IFERROR(VLOOKUP(A662,'CAP9-13'!$A:$G,7,FALSE()),""),0)</f>
        <v>47459</v>
      </c>
      <c r="F662" s="69">
        <f t="shared" si="37"/>
        <v>0</v>
      </c>
    </row>
    <row r="663" spans="1:6">
      <c r="A663" s="67" t="s">
        <v>1334</v>
      </c>
      <c r="B663" s="29" t="s">
        <v>1335</v>
      </c>
      <c r="C663" s="30" t="s">
        <v>20</v>
      </c>
      <c r="D663" s="68"/>
      <c r="E663" s="69">
        <f>ROUND(IFERROR(VLOOKUP(A663,'CAP9-13'!$A:$G,7,FALSE()),""),0)</f>
        <v>144190</v>
      </c>
      <c r="F663" s="69">
        <f t="shared" si="37"/>
        <v>0</v>
      </c>
    </row>
    <row r="664" spans="1:6">
      <c r="A664" s="67" t="s">
        <v>1336</v>
      </c>
      <c r="B664" s="29" t="s">
        <v>1337</v>
      </c>
      <c r="C664" s="30" t="s">
        <v>20</v>
      </c>
      <c r="D664" s="68"/>
      <c r="E664" s="69">
        <f>ROUND(IFERROR(VLOOKUP(A664,'CAP9-13'!$A:$G,7,FALSE()),""),0)</f>
        <v>82995</v>
      </c>
      <c r="F664" s="69">
        <f t="shared" si="37"/>
        <v>0</v>
      </c>
    </row>
    <row r="665" spans="1:6">
      <c r="A665" s="67" t="s">
        <v>1338</v>
      </c>
      <c r="B665" s="29" t="s">
        <v>1339</v>
      </c>
      <c r="C665" s="30" t="s">
        <v>20</v>
      </c>
      <c r="D665" s="68"/>
      <c r="E665" s="69">
        <f>ROUND(IFERROR(VLOOKUP(A665,'CAP9-13'!$A:$G,7,FALSE()),""),0)</f>
        <v>79430</v>
      </c>
      <c r="F665" s="69">
        <f t="shared" si="37"/>
        <v>0</v>
      </c>
    </row>
    <row r="666" spans="1:6">
      <c r="A666" s="67" t="s">
        <v>1340</v>
      </c>
      <c r="B666" s="29" t="s">
        <v>1341</v>
      </c>
      <c r="C666" s="30" t="s">
        <v>20</v>
      </c>
      <c r="D666" s="68"/>
      <c r="E666" s="69">
        <f>ROUND(IFERROR(VLOOKUP(A666,'CAP9-13'!$A:$G,7,FALSE()),""),0)</f>
        <v>114333</v>
      </c>
      <c r="F666" s="69">
        <f t="shared" si="37"/>
        <v>0</v>
      </c>
    </row>
    <row r="667" spans="1:6">
      <c r="A667" s="67" t="s">
        <v>1342</v>
      </c>
      <c r="B667" s="29" t="s">
        <v>1343</v>
      </c>
      <c r="C667" s="30" t="s">
        <v>20</v>
      </c>
      <c r="D667" s="68"/>
      <c r="E667" s="69">
        <f>ROUND(IFERROR(VLOOKUP(A667,'CAP9-13'!$A:$G,7,FALSE()),""),0)</f>
        <v>202111</v>
      </c>
      <c r="F667" s="69">
        <f t="shared" si="37"/>
        <v>0</v>
      </c>
    </row>
    <row r="668" spans="1:6">
      <c r="A668" s="67" t="s">
        <v>1344</v>
      </c>
      <c r="B668" s="29" t="s">
        <v>1345</v>
      </c>
      <c r="C668" s="30" t="s">
        <v>20</v>
      </c>
      <c r="D668" s="68"/>
      <c r="E668" s="69">
        <f>ROUND(IFERROR(VLOOKUP(A668,'CAP9-13'!$A:$G,7,FALSE()),""),0)</f>
        <v>157379</v>
      </c>
      <c r="F668" s="69">
        <f t="shared" si="37"/>
        <v>0</v>
      </c>
    </row>
    <row r="669" spans="1:6">
      <c r="A669" s="67" t="s">
        <v>1346</v>
      </c>
      <c r="B669" s="29" t="s">
        <v>1347</v>
      </c>
      <c r="C669" s="30" t="s">
        <v>20</v>
      </c>
      <c r="D669" s="68"/>
      <c r="E669" s="69">
        <f>ROUND(IFERROR(VLOOKUP(A669,'CAP9-13'!$A:$G,7,FALSE()),""),0)</f>
        <v>66007</v>
      </c>
      <c r="F669" s="69">
        <f t="shared" si="37"/>
        <v>0</v>
      </c>
    </row>
    <row r="670" spans="1:6">
      <c r="A670" s="67" t="s">
        <v>1348</v>
      </c>
      <c r="B670" s="29" t="s">
        <v>1349</v>
      </c>
      <c r="C670" s="30" t="s">
        <v>20</v>
      </c>
      <c r="D670" s="68"/>
      <c r="E670" s="69">
        <f>ROUND(IFERROR(VLOOKUP(A670,'CAP9-13'!$A:$G,7,FALSE()),""),0)</f>
        <v>59660</v>
      </c>
      <c r="F670" s="69">
        <f t="shared" si="37"/>
        <v>0</v>
      </c>
    </row>
    <row r="671" spans="1:6">
      <c r="A671" s="67" t="s">
        <v>1350</v>
      </c>
      <c r="B671" s="29" t="s">
        <v>1351</v>
      </c>
      <c r="C671" s="30" t="s">
        <v>20</v>
      </c>
      <c r="D671" s="68"/>
      <c r="E671" s="69">
        <f>ROUND(IFERROR(VLOOKUP(A671,'CAP9-13'!$A:$G,7,FALSE()),""),0)</f>
        <v>116633</v>
      </c>
      <c r="F671" s="69">
        <f t="shared" si="37"/>
        <v>0</v>
      </c>
    </row>
    <row r="672" spans="1:6">
      <c r="A672" s="67" t="s">
        <v>1352</v>
      </c>
      <c r="B672" s="29" t="s">
        <v>1353</v>
      </c>
      <c r="C672" s="30" t="s">
        <v>20</v>
      </c>
      <c r="D672" s="68"/>
      <c r="E672" s="69">
        <f>ROUND(IFERROR(VLOOKUP(A672,'CAP9-13'!$A:$G,7,FALSE()),""),0)</f>
        <v>30149</v>
      </c>
      <c r="F672" s="69">
        <f t="shared" si="37"/>
        <v>0</v>
      </c>
    </row>
    <row r="673" spans="1:8">
      <c r="A673" s="67" t="s">
        <v>1354</v>
      </c>
      <c r="B673" s="29" t="s">
        <v>1355</v>
      </c>
      <c r="C673" s="30" t="s">
        <v>20</v>
      </c>
      <c r="D673" s="68"/>
      <c r="E673" s="69">
        <f>ROUND(IFERROR(VLOOKUP(A673,'CAP9-13'!$A:$G,7,FALSE()),""),0)</f>
        <v>14069</v>
      </c>
      <c r="F673" s="69">
        <f t="shared" si="37"/>
        <v>0</v>
      </c>
    </row>
    <row r="674" spans="1:8">
      <c r="A674" s="67" t="s">
        <v>1356</v>
      </c>
      <c r="B674" s="29" t="s">
        <v>1357</v>
      </c>
      <c r="C674" s="30" t="s">
        <v>20</v>
      </c>
      <c r="D674" s="68"/>
      <c r="E674" s="69">
        <f>ROUND(IFERROR(VLOOKUP(A674,'CAP9-13'!$A:$G,7,FALSE()),""),0)</f>
        <v>61399</v>
      </c>
      <c r="F674" s="69">
        <f t="shared" si="37"/>
        <v>0</v>
      </c>
    </row>
    <row r="675" spans="1:8">
      <c r="A675" s="67" t="s">
        <v>1358</v>
      </c>
      <c r="B675" s="29" t="s">
        <v>1359</v>
      </c>
      <c r="C675" s="30" t="s">
        <v>20</v>
      </c>
      <c r="D675" s="68"/>
      <c r="E675" s="69">
        <f>ROUND(IFERROR(VLOOKUP(A675,'CAP9-13'!$A:$G,7,FALSE()),""),0)</f>
        <v>107896</v>
      </c>
      <c r="F675" s="69">
        <f t="shared" si="37"/>
        <v>0</v>
      </c>
    </row>
    <row r="676" spans="1:8">
      <c r="A676" s="67" t="s">
        <v>1360</v>
      </c>
      <c r="B676" s="29" t="s">
        <v>1361</v>
      </c>
      <c r="C676" s="30" t="s">
        <v>20</v>
      </c>
      <c r="D676" s="68"/>
      <c r="E676" s="69">
        <f>ROUND(IFERROR(VLOOKUP(A676,'CAP9-13'!$A:$G,7,FALSE()),""),0)</f>
        <v>15943</v>
      </c>
      <c r="F676" s="69">
        <f t="shared" si="37"/>
        <v>0</v>
      </c>
    </row>
    <row r="677" spans="1:8">
      <c r="A677" s="67" t="s">
        <v>1362</v>
      </c>
      <c r="B677" s="29" t="s">
        <v>1363</v>
      </c>
      <c r="C677" s="30" t="s">
        <v>20</v>
      </c>
      <c r="D677" s="68"/>
      <c r="E677" s="69">
        <f>ROUND(IFERROR(VLOOKUP(A677,'CAP9-13'!$A:$G,7,FALSE()),""),0)</f>
        <v>51922</v>
      </c>
      <c r="F677" s="69">
        <f t="shared" si="37"/>
        <v>0</v>
      </c>
    </row>
    <row r="678" spans="1:8">
      <c r="A678" s="67" t="s">
        <v>1364</v>
      </c>
      <c r="B678" s="29" t="s">
        <v>1365</v>
      </c>
      <c r="C678" s="30" t="s">
        <v>20</v>
      </c>
      <c r="D678" s="68"/>
      <c r="E678" s="69">
        <f>ROUND(IFERROR(VLOOKUP(A678,'CAP9-13'!$A:$G,7,FALSE()),""),0)</f>
        <v>109669</v>
      </c>
      <c r="F678" s="69">
        <f t="shared" si="37"/>
        <v>0</v>
      </c>
    </row>
    <row r="679" spans="1:8" s="74" customFormat="1">
      <c r="A679" s="60" t="s">
        <v>1366</v>
      </c>
      <c r="B679" s="61" t="s">
        <v>1367</v>
      </c>
      <c r="C679" s="62"/>
      <c r="D679" s="63"/>
      <c r="E679" s="64"/>
      <c r="F679" s="65">
        <f>SUM(F680:F709)</f>
        <v>0</v>
      </c>
      <c r="G679" s="66">
        <f>IFERROR(F679/$F$1279,"")</f>
        <v>0</v>
      </c>
      <c r="H679" s="3"/>
    </row>
    <row r="680" spans="1:8">
      <c r="A680" s="67" t="s">
        <v>1368</v>
      </c>
      <c r="B680" s="29" t="s">
        <v>1369</v>
      </c>
      <c r="C680" s="30" t="s">
        <v>20</v>
      </c>
      <c r="D680" s="68"/>
      <c r="E680" s="69">
        <f>ROUND(IFERROR(VLOOKUP(A680,'CAP14-15'!$A:$G,7,FALSE()),""),0)</f>
        <v>32491</v>
      </c>
      <c r="F680" s="69">
        <f t="shared" ref="F680:F709" si="38">IFERROR(E680*D680,"")</f>
        <v>0</v>
      </c>
    </row>
    <row r="681" spans="1:8">
      <c r="A681" s="67" t="s">
        <v>1370</v>
      </c>
      <c r="B681" s="29" t="s">
        <v>1371</v>
      </c>
      <c r="C681" s="30" t="s">
        <v>20</v>
      </c>
      <c r="D681" s="68"/>
      <c r="E681" s="69">
        <f>ROUND(IFERROR(VLOOKUP(A681,'CAP14-15'!$A:$G,7,FALSE()),""),0)</f>
        <v>60838</v>
      </c>
      <c r="F681" s="69">
        <f t="shared" si="38"/>
        <v>0</v>
      </c>
    </row>
    <row r="682" spans="1:8">
      <c r="A682" s="67" t="s">
        <v>1372</v>
      </c>
      <c r="B682" s="29" t="s">
        <v>1373</v>
      </c>
      <c r="C682" s="30" t="s">
        <v>20</v>
      </c>
      <c r="D682" s="68"/>
      <c r="E682" s="69">
        <f>ROUND(IFERROR(VLOOKUP(A682,'CAP14-15'!$A:$G,7,FALSE()),""),0)</f>
        <v>25411</v>
      </c>
      <c r="F682" s="69">
        <f t="shared" si="38"/>
        <v>0</v>
      </c>
    </row>
    <row r="683" spans="1:8">
      <c r="A683" s="67" t="s">
        <v>1374</v>
      </c>
      <c r="B683" s="29" t="s">
        <v>1375</v>
      </c>
      <c r="C683" s="30" t="s">
        <v>20</v>
      </c>
      <c r="D683" s="68"/>
      <c r="E683" s="69">
        <f>ROUND(IFERROR(VLOOKUP(A683,'CAP14-15'!$A:$G,7,FALSE()),""),0)</f>
        <v>60125</v>
      </c>
      <c r="F683" s="69">
        <f t="shared" si="38"/>
        <v>0</v>
      </c>
    </row>
    <row r="684" spans="1:8">
      <c r="A684" s="67" t="s">
        <v>1376</v>
      </c>
      <c r="B684" s="29" t="s">
        <v>1377</v>
      </c>
      <c r="C684" s="30" t="s">
        <v>20</v>
      </c>
      <c r="D684" s="68"/>
      <c r="E684" s="69">
        <f>ROUND(IFERROR(VLOOKUP(A684,'CAP14-15'!$A:$G,7,FALSE()),""),0)</f>
        <v>50122</v>
      </c>
      <c r="F684" s="69">
        <f t="shared" si="38"/>
        <v>0</v>
      </c>
    </row>
    <row r="685" spans="1:8">
      <c r="A685" s="67" t="s">
        <v>1378</v>
      </c>
      <c r="B685" s="29" t="s">
        <v>1379</v>
      </c>
      <c r="C685" s="30" t="s">
        <v>20</v>
      </c>
      <c r="D685" s="68"/>
      <c r="E685" s="69">
        <f>ROUND(IFERROR(VLOOKUP(A685,'CAP14-15'!$A:$G,7,FALSE()),""),0)</f>
        <v>47804</v>
      </c>
      <c r="F685" s="69">
        <f t="shared" si="38"/>
        <v>0</v>
      </c>
    </row>
    <row r="686" spans="1:8">
      <c r="A686" s="67" t="s">
        <v>1380</v>
      </c>
      <c r="B686" s="29" t="s">
        <v>1381</v>
      </c>
      <c r="C686" s="30" t="s">
        <v>20</v>
      </c>
      <c r="D686" s="68"/>
      <c r="E686" s="69">
        <f>ROUND(IFERROR(VLOOKUP(A686,'CAP14-15'!$A:$G,7,FALSE()),""),0)</f>
        <v>55086</v>
      </c>
      <c r="F686" s="69">
        <f t="shared" si="38"/>
        <v>0</v>
      </c>
    </row>
    <row r="687" spans="1:8">
      <c r="A687" s="67" t="s">
        <v>1382</v>
      </c>
      <c r="B687" s="29" t="s">
        <v>1383</v>
      </c>
      <c r="C687" s="30" t="s">
        <v>20</v>
      </c>
      <c r="D687" s="68"/>
      <c r="E687" s="69">
        <f>ROUND(IFERROR(VLOOKUP(A687,'CAP14-15'!$A:$G,7,FALSE()),""),0)</f>
        <v>21606</v>
      </c>
      <c r="F687" s="69">
        <f t="shared" si="38"/>
        <v>0</v>
      </c>
    </row>
    <row r="688" spans="1:8">
      <c r="A688" s="67" t="s">
        <v>1384</v>
      </c>
      <c r="B688" s="29" t="s">
        <v>1385</v>
      </c>
      <c r="C688" s="30" t="s">
        <v>20</v>
      </c>
      <c r="D688" s="68"/>
      <c r="E688" s="69">
        <f>ROUND(IFERROR(VLOOKUP(A688,'CAP14-15'!$A:$G,7,FALSE()),""),0)</f>
        <v>33940</v>
      </c>
      <c r="F688" s="69">
        <f t="shared" si="38"/>
        <v>0</v>
      </c>
    </row>
    <row r="689" spans="1:6">
      <c r="A689" s="67" t="s">
        <v>1386</v>
      </c>
      <c r="B689" s="29" t="s">
        <v>1387</v>
      </c>
      <c r="C689" s="30" t="s">
        <v>30</v>
      </c>
      <c r="D689" s="68"/>
      <c r="E689" s="69">
        <f>ROUND(IFERROR(VLOOKUP(A689,'CAP14-15'!$A:$G,7,FALSE()),""),0)</f>
        <v>23853</v>
      </c>
      <c r="F689" s="69">
        <f t="shared" si="38"/>
        <v>0</v>
      </c>
    </row>
    <row r="690" spans="1:6">
      <c r="A690" s="67" t="s">
        <v>1388</v>
      </c>
      <c r="B690" s="29" t="s">
        <v>1389</v>
      </c>
      <c r="C690" s="30" t="s">
        <v>30</v>
      </c>
      <c r="D690" s="68"/>
      <c r="E690" s="69">
        <f>ROUND(IFERROR(VLOOKUP(A690,'CAP14-15'!$A:$G,7,FALSE()),""),0)</f>
        <v>17886</v>
      </c>
      <c r="F690" s="69">
        <f t="shared" si="38"/>
        <v>0</v>
      </c>
    </row>
    <row r="691" spans="1:6">
      <c r="A691" s="67" t="s">
        <v>1390</v>
      </c>
      <c r="B691" s="29" t="s">
        <v>1391</v>
      </c>
      <c r="C691" s="30" t="s">
        <v>30</v>
      </c>
      <c r="D691" s="68"/>
      <c r="E691" s="69">
        <f>ROUND(IFERROR(VLOOKUP(A691,'CAP14-15'!$A:$G,7,FALSE()),""),0)</f>
        <v>15789</v>
      </c>
      <c r="F691" s="69">
        <f t="shared" si="38"/>
        <v>0</v>
      </c>
    </row>
    <row r="692" spans="1:6">
      <c r="A692" s="67" t="s">
        <v>1392</v>
      </c>
      <c r="B692" s="29" t="s">
        <v>1393</v>
      </c>
      <c r="C692" s="30" t="s">
        <v>20</v>
      </c>
      <c r="D692" s="68"/>
      <c r="E692" s="69">
        <f>ROUND(IFERROR(VLOOKUP(A692,'CAP14-15'!$A:$G,7,FALSE()),""),0)</f>
        <v>30480</v>
      </c>
      <c r="F692" s="69">
        <f t="shared" si="38"/>
        <v>0</v>
      </c>
    </row>
    <row r="693" spans="1:6">
      <c r="A693" s="67" t="s">
        <v>1394</v>
      </c>
      <c r="B693" s="29" t="s">
        <v>1395</v>
      </c>
      <c r="C693" s="30" t="s">
        <v>20</v>
      </c>
      <c r="D693" s="68"/>
      <c r="E693" s="69">
        <f>ROUND(IFERROR(VLOOKUP(A693,'CAP14-15'!$A:$G,7,FALSE()),""),0)</f>
        <v>54185</v>
      </c>
      <c r="F693" s="69">
        <f t="shared" si="38"/>
        <v>0</v>
      </c>
    </row>
    <row r="694" spans="1:6">
      <c r="A694" s="67" t="s">
        <v>1396</v>
      </c>
      <c r="B694" s="29" t="s">
        <v>1397</v>
      </c>
      <c r="C694" s="30" t="s">
        <v>20</v>
      </c>
      <c r="D694" s="68"/>
      <c r="E694" s="69">
        <f>ROUND(IFERROR(VLOOKUP(A694,'CAP14-15'!$A:$G,7,FALSE()),""),0)</f>
        <v>62796</v>
      </c>
      <c r="F694" s="69">
        <f t="shared" si="38"/>
        <v>0</v>
      </c>
    </row>
    <row r="695" spans="1:6">
      <c r="A695" s="67" t="s">
        <v>1398</v>
      </c>
      <c r="B695" s="29" t="s">
        <v>1399</v>
      </c>
      <c r="C695" s="30" t="s">
        <v>30</v>
      </c>
      <c r="D695" s="68"/>
      <c r="E695" s="69">
        <f>ROUND(IFERROR(VLOOKUP(A695,'CAP14-15'!$A:$G,7,FALSE()),""),0)</f>
        <v>12684</v>
      </c>
      <c r="F695" s="69">
        <f t="shared" si="38"/>
        <v>0</v>
      </c>
    </row>
    <row r="696" spans="1:6">
      <c r="A696" s="67" t="s">
        <v>1400</v>
      </c>
      <c r="B696" s="29" t="s">
        <v>1401</v>
      </c>
      <c r="C696" s="30" t="s">
        <v>20</v>
      </c>
      <c r="D696" s="68"/>
      <c r="E696" s="69">
        <f>ROUND(IFERROR(VLOOKUP(A696,'CAP14-15'!$A:$G,7,FALSE()),""),0)</f>
        <v>51341</v>
      </c>
      <c r="F696" s="69">
        <f t="shared" si="38"/>
        <v>0</v>
      </c>
    </row>
    <row r="697" spans="1:6">
      <c r="A697" s="67" t="s">
        <v>1402</v>
      </c>
      <c r="B697" s="29" t="s">
        <v>1403</v>
      </c>
      <c r="C697" s="30" t="s">
        <v>30</v>
      </c>
      <c r="D697" s="68"/>
      <c r="E697" s="69">
        <f>ROUND(IFERROR(VLOOKUP(A697,'CAP14-15'!$A:$G,7,FALSE()),""),0)</f>
        <v>12071</v>
      </c>
      <c r="F697" s="69">
        <f t="shared" si="38"/>
        <v>0</v>
      </c>
    </row>
    <row r="698" spans="1:6">
      <c r="A698" s="67" t="s">
        <v>1404</v>
      </c>
      <c r="B698" s="29" t="s">
        <v>1405</v>
      </c>
      <c r="C698" s="30" t="s">
        <v>20</v>
      </c>
      <c r="D698" s="68"/>
      <c r="E698" s="69">
        <f>ROUND(IFERROR(VLOOKUP(A698,'CAP14-15'!$A:$G,7,FALSE()),""),0)</f>
        <v>39572</v>
      </c>
      <c r="F698" s="69">
        <f t="shared" si="38"/>
        <v>0</v>
      </c>
    </row>
    <row r="699" spans="1:6">
      <c r="A699" s="67" t="s">
        <v>1406</v>
      </c>
      <c r="B699" s="29" t="s">
        <v>1407</v>
      </c>
      <c r="C699" s="30" t="s">
        <v>20</v>
      </c>
      <c r="D699" s="68"/>
      <c r="E699" s="69">
        <f>ROUND(IFERROR(VLOOKUP(A699,'CAP14-15'!$A:$G,7,FALSE()),""),0)</f>
        <v>43621</v>
      </c>
      <c r="F699" s="69">
        <f t="shared" si="38"/>
        <v>0</v>
      </c>
    </row>
    <row r="700" spans="1:6">
      <c r="A700" s="67" t="s">
        <v>1408</v>
      </c>
      <c r="B700" s="29" t="s">
        <v>1409</v>
      </c>
      <c r="C700" s="30" t="s">
        <v>20</v>
      </c>
      <c r="D700" s="68"/>
      <c r="E700" s="69">
        <f>ROUND(IFERROR(VLOOKUP(A700,'CAP14-15'!$A:$G,7,FALSE()),""),0)</f>
        <v>41156</v>
      </c>
      <c r="F700" s="69">
        <f t="shared" si="38"/>
        <v>0</v>
      </c>
    </row>
    <row r="701" spans="1:6">
      <c r="A701" s="67" t="s">
        <v>1410</v>
      </c>
      <c r="B701" s="29" t="s">
        <v>1411</v>
      </c>
      <c r="C701" s="30" t="s">
        <v>20</v>
      </c>
      <c r="D701" s="68"/>
      <c r="E701" s="69">
        <f>ROUND(IFERROR(VLOOKUP(A701,'CAP14-15'!$A:$G,7,FALSE()),""),0)</f>
        <v>36496</v>
      </c>
      <c r="F701" s="69">
        <f t="shared" si="38"/>
        <v>0</v>
      </c>
    </row>
    <row r="702" spans="1:6">
      <c r="A702" s="67" t="s">
        <v>1412</v>
      </c>
      <c r="B702" s="29" t="s">
        <v>1413</v>
      </c>
      <c r="C702" s="30" t="s">
        <v>20</v>
      </c>
      <c r="D702" s="68"/>
      <c r="E702" s="69">
        <f>ROUND(IFERROR(VLOOKUP(A702,'CAP14-15'!$A:$G,7,FALSE()),""),0)</f>
        <v>36845</v>
      </c>
      <c r="F702" s="69">
        <f t="shared" si="38"/>
        <v>0</v>
      </c>
    </row>
    <row r="703" spans="1:6">
      <c r="A703" s="67" t="s">
        <v>1414</v>
      </c>
      <c r="B703" s="29" t="s">
        <v>1415</v>
      </c>
      <c r="C703" s="30" t="s">
        <v>20</v>
      </c>
      <c r="D703" s="68"/>
      <c r="E703" s="69">
        <f>ROUND(IFERROR(VLOOKUP(A703,'CAP14-15'!$A:$G,7,FALSE()),""),0)</f>
        <v>17035</v>
      </c>
      <c r="F703" s="69">
        <f t="shared" si="38"/>
        <v>0</v>
      </c>
    </row>
    <row r="704" spans="1:6">
      <c r="A704" s="67" t="s">
        <v>1416</v>
      </c>
      <c r="B704" s="29" t="s">
        <v>1417</v>
      </c>
      <c r="C704" s="30" t="s">
        <v>20</v>
      </c>
      <c r="D704" s="68"/>
      <c r="E704" s="69">
        <f>ROUND(IFERROR(VLOOKUP(A704,'CAP14-15'!$A:$G,7,FALSE()),""),0)</f>
        <v>4209</v>
      </c>
      <c r="F704" s="69">
        <f t="shared" si="38"/>
        <v>0</v>
      </c>
    </row>
    <row r="705" spans="1:8">
      <c r="A705" s="67" t="s">
        <v>1418</v>
      </c>
      <c r="B705" s="29" t="s">
        <v>1419</v>
      </c>
      <c r="C705" s="30" t="s">
        <v>20</v>
      </c>
      <c r="D705" s="68"/>
      <c r="E705" s="69">
        <f>ROUND(IFERROR(VLOOKUP(A705,'CAP14-15'!$A:$G,7,FALSE()),""),0)</f>
        <v>25530</v>
      </c>
      <c r="F705" s="69">
        <f t="shared" si="38"/>
        <v>0</v>
      </c>
    </row>
    <row r="706" spans="1:8">
      <c r="A706" s="67" t="s">
        <v>1420</v>
      </c>
      <c r="B706" s="29" t="s">
        <v>1421</v>
      </c>
      <c r="C706" s="30" t="s">
        <v>20</v>
      </c>
      <c r="D706" s="68"/>
      <c r="E706" s="69">
        <f>ROUND(IFERROR(VLOOKUP(A706,'CAP14-15'!$A:$G,7,FALSE()),""),0)</f>
        <v>37131</v>
      </c>
      <c r="F706" s="69">
        <f t="shared" si="38"/>
        <v>0</v>
      </c>
    </row>
    <row r="707" spans="1:8">
      <c r="A707" s="67" t="s">
        <v>1422</v>
      </c>
      <c r="B707" s="29" t="s">
        <v>1423</v>
      </c>
      <c r="C707" s="30" t="s">
        <v>30</v>
      </c>
      <c r="D707" s="68"/>
      <c r="E707" s="69">
        <f>ROUND(IFERROR(VLOOKUP(A707,'CAP14-15'!$A:$G,7,FALSE()),""),0)</f>
        <v>13400</v>
      </c>
      <c r="F707" s="69">
        <f t="shared" si="38"/>
        <v>0</v>
      </c>
    </row>
    <row r="708" spans="1:8">
      <c r="A708" s="67" t="s">
        <v>1424</v>
      </c>
      <c r="B708" s="29" t="s">
        <v>1425</v>
      </c>
      <c r="C708" s="30" t="s">
        <v>20</v>
      </c>
      <c r="D708" s="68"/>
      <c r="E708" s="69">
        <f>ROUND(IFERROR(VLOOKUP(A708,'CAP14-15'!$A:$G,7,FALSE()),""),0)</f>
        <v>16867</v>
      </c>
      <c r="F708" s="69">
        <f t="shared" si="38"/>
        <v>0</v>
      </c>
      <c r="H708" s="74"/>
    </row>
    <row r="709" spans="1:8">
      <c r="A709" s="67" t="s">
        <v>1426</v>
      </c>
      <c r="B709" s="29" t="s">
        <v>1427</v>
      </c>
      <c r="C709" s="30" t="s">
        <v>20</v>
      </c>
      <c r="D709" s="68"/>
      <c r="E709" s="69">
        <f>ROUND(IFERROR(VLOOKUP(A709,'CAP14-15'!$A:$G,7,FALSE()),""),0)</f>
        <v>33058</v>
      </c>
      <c r="F709" s="69">
        <f t="shared" si="38"/>
        <v>0</v>
      </c>
    </row>
    <row r="710" spans="1:8" s="74" customFormat="1">
      <c r="A710" s="60" t="s">
        <v>1428</v>
      </c>
      <c r="B710" s="61" t="s">
        <v>1429</v>
      </c>
      <c r="C710" s="62"/>
      <c r="D710" s="63"/>
      <c r="E710" s="64"/>
      <c r="F710" s="65">
        <f>SUM(F711:F771)</f>
        <v>0</v>
      </c>
      <c r="G710" s="66">
        <f>IFERROR(F710/$F$1279,"")</f>
        <v>0</v>
      </c>
      <c r="H710" s="3"/>
    </row>
    <row r="711" spans="1:8">
      <c r="A711" s="67" t="s">
        <v>1430</v>
      </c>
      <c r="B711" s="29" t="s">
        <v>1431</v>
      </c>
      <c r="C711" s="30" t="s">
        <v>30</v>
      </c>
      <c r="D711" s="68"/>
      <c r="E711" s="69">
        <f>ROUND(IFERROR(VLOOKUP(A711,'CAP14-15'!$A:$G,7,FALSE()),""),0)</f>
        <v>21639</v>
      </c>
      <c r="F711" s="69">
        <f t="shared" ref="F711:F741" si="39">IFERROR(E711*D711,"")</f>
        <v>0</v>
      </c>
    </row>
    <row r="712" spans="1:8">
      <c r="A712" s="67" t="s">
        <v>1432</v>
      </c>
      <c r="B712" s="29" t="s">
        <v>1433</v>
      </c>
      <c r="C712" s="30" t="s">
        <v>23</v>
      </c>
      <c r="D712" s="68"/>
      <c r="E712" s="69">
        <f>ROUND(IFERROR(VLOOKUP(A712,'CAP14-15'!$A:$G,7,FALSE()),""),0)</f>
        <v>161726</v>
      </c>
      <c r="F712" s="69">
        <f t="shared" si="39"/>
        <v>0</v>
      </c>
    </row>
    <row r="713" spans="1:8">
      <c r="A713" s="67" t="s">
        <v>1434</v>
      </c>
      <c r="B713" s="29" t="s">
        <v>1435</v>
      </c>
      <c r="C713" s="30" t="s">
        <v>20</v>
      </c>
      <c r="D713" s="68"/>
      <c r="E713" s="69">
        <f>ROUND(IFERROR(VLOOKUP(A713,'CAP14-15'!$A:$G,7,FALSE()),""),0)</f>
        <v>324152</v>
      </c>
      <c r="F713" s="69">
        <f t="shared" si="39"/>
        <v>0</v>
      </c>
    </row>
    <row r="714" spans="1:8">
      <c r="A714" s="67" t="s">
        <v>1436</v>
      </c>
      <c r="B714" s="29" t="s">
        <v>1437</v>
      </c>
      <c r="C714" s="30" t="s">
        <v>23</v>
      </c>
      <c r="D714" s="68"/>
      <c r="E714" s="69">
        <f>ROUND(IFERROR(VLOOKUP(A714,'CAP14-15'!$A:$G,7,FALSE()),""),0)</f>
        <v>237786</v>
      </c>
      <c r="F714" s="69">
        <f t="shared" si="39"/>
        <v>0</v>
      </c>
    </row>
    <row r="715" spans="1:8">
      <c r="A715" s="67" t="s">
        <v>1438</v>
      </c>
      <c r="B715" s="29" t="s">
        <v>1439</v>
      </c>
      <c r="C715" s="30" t="s">
        <v>23</v>
      </c>
      <c r="D715" s="68"/>
      <c r="E715" s="69">
        <f>ROUND(IFERROR(VLOOKUP(A715,'CAP14-15'!$A:$G,7,FALSE()),""),0)</f>
        <v>103664</v>
      </c>
      <c r="F715" s="69">
        <f t="shared" si="39"/>
        <v>0</v>
      </c>
    </row>
    <row r="716" spans="1:8">
      <c r="A716" s="67" t="s">
        <v>1440</v>
      </c>
      <c r="B716" s="29" t="s">
        <v>1441</v>
      </c>
      <c r="C716" s="30" t="s">
        <v>20</v>
      </c>
      <c r="D716" s="68"/>
      <c r="E716" s="69">
        <f>ROUND(IFERROR(VLOOKUP(A716,'CAP14-15'!$A:$G,7,FALSE()),""),0)</f>
        <v>101095</v>
      </c>
      <c r="F716" s="69">
        <f t="shared" si="39"/>
        <v>0</v>
      </c>
    </row>
    <row r="717" spans="1:8">
      <c r="A717" s="67" t="s">
        <v>1442</v>
      </c>
      <c r="B717" s="29" t="s">
        <v>1443</v>
      </c>
      <c r="C717" s="30" t="s">
        <v>23</v>
      </c>
      <c r="D717" s="68"/>
      <c r="E717" s="69">
        <f>ROUND(IFERROR(VLOOKUP(A717,'CAP14-15'!$A:$G,7,FALSE()),""),0)</f>
        <v>192877</v>
      </c>
      <c r="F717" s="69">
        <f t="shared" si="39"/>
        <v>0</v>
      </c>
    </row>
    <row r="718" spans="1:8">
      <c r="A718" s="67" t="s">
        <v>1444</v>
      </c>
      <c r="B718" s="29" t="s">
        <v>1445</v>
      </c>
      <c r="C718" s="30" t="s">
        <v>23</v>
      </c>
      <c r="D718" s="68"/>
      <c r="E718" s="69">
        <f>ROUND(IFERROR(VLOOKUP(A718,'CAP14-15'!$A:$G,7,FALSE()),""),0)</f>
        <v>162256</v>
      </c>
      <c r="F718" s="69">
        <f t="shared" si="39"/>
        <v>0</v>
      </c>
    </row>
    <row r="719" spans="1:8">
      <c r="A719" s="67" t="s">
        <v>1446</v>
      </c>
      <c r="B719" s="29" t="s">
        <v>1447</v>
      </c>
      <c r="C719" s="30" t="s">
        <v>23</v>
      </c>
      <c r="D719" s="68"/>
      <c r="E719" s="69">
        <f>ROUND(IFERROR(VLOOKUP(A719,'CAP14-15'!$A:$G,7,FALSE()),""),0)</f>
        <v>106032</v>
      </c>
      <c r="F719" s="69">
        <f t="shared" si="39"/>
        <v>0</v>
      </c>
    </row>
    <row r="720" spans="1:8">
      <c r="A720" s="67" t="s">
        <v>1448</v>
      </c>
      <c r="B720" s="29" t="s">
        <v>1449</v>
      </c>
      <c r="C720" s="30" t="s">
        <v>23</v>
      </c>
      <c r="D720" s="68"/>
      <c r="E720" s="69">
        <f>ROUND(IFERROR(VLOOKUP(A720,'CAP14-15'!$A:$G,7,FALSE()),""),0)</f>
        <v>48839</v>
      </c>
      <c r="F720" s="69">
        <f t="shared" si="39"/>
        <v>0</v>
      </c>
      <c r="H720" s="74"/>
    </row>
    <row r="721" spans="1:6">
      <c r="A721" s="67" t="s">
        <v>1450</v>
      </c>
      <c r="B721" s="29" t="s">
        <v>1451</v>
      </c>
      <c r="C721" s="30" t="s">
        <v>23</v>
      </c>
      <c r="D721" s="68"/>
      <c r="E721" s="69">
        <f>ROUND(IFERROR(VLOOKUP(A721,'CAP14-15'!$A:$G,7,FALSE()),""),0)</f>
        <v>353458</v>
      </c>
      <c r="F721" s="69">
        <f t="shared" si="39"/>
        <v>0</v>
      </c>
    </row>
    <row r="722" spans="1:6">
      <c r="A722" s="67" t="s">
        <v>1452</v>
      </c>
      <c r="B722" s="29" t="s">
        <v>1453</v>
      </c>
      <c r="C722" s="30" t="s">
        <v>23</v>
      </c>
      <c r="D722" s="68"/>
      <c r="E722" s="69">
        <f>ROUND(IFERROR(VLOOKUP(A722,'CAP14-15'!$A:$G,7,FALSE()),""),0)</f>
        <v>715660</v>
      </c>
      <c r="F722" s="69">
        <f t="shared" si="39"/>
        <v>0</v>
      </c>
    </row>
    <row r="723" spans="1:6">
      <c r="A723" s="67" t="s">
        <v>1454</v>
      </c>
      <c r="B723" s="29" t="s">
        <v>1455</v>
      </c>
      <c r="C723" s="30" t="s">
        <v>23</v>
      </c>
      <c r="D723" s="68"/>
      <c r="E723" s="69">
        <f>ROUND(IFERROR(VLOOKUP(A723,'CAP14-15'!$A:$G,7,FALSE()),""),0)</f>
        <v>176362</v>
      </c>
      <c r="F723" s="69">
        <f t="shared" si="39"/>
        <v>0</v>
      </c>
    </row>
    <row r="724" spans="1:6">
      <c r="A724" s="67" t="s">
        <v>1456</v>
      </c>
      <c r="B724" s="29" t="s">
        <v>1457</v>
      </c>
      <c r="C724" s="30" t="s">
        <v>23</v>
      </c>
      <c r="D724" s="68"/>
      <c r="E724" s="69">
        <f>ROUND(IFERROR(VLOOKUP(A724,'CAP14-15'!$A:$G,7,FALSE()),""),0)</f>
        <v>197957</v>
      </c>
      <c r="F724" s="69">
        <f t="shared" si="39"/>
        <v>0</v>
      </c>
    </row>
    <row r="725" spans="1:6">
      <c r="A725" s="67" t="s">
        <v>1458</v>
      </c>
      <c r="B725" s="29" t="s">
        <v>1459</v>
      </c>
      <c r="C725" s="30" t="s">
        <v>30</v>
      </c>
      <c r="D725" s="68"/>
      <c r="E725" s="69">
        <f>ROUND(IFERROR(VLOOKUP(A725,'CAP14-15'!$A:$G,7,FALSE()),""),0)</f>
        <v>262633</v>
      </c>
      <c r="F725" s="69">
        <f t="shared" si="39"/>
        <v>0</v>
      </c>
    </row>
    <row r="726" spans="1:6">
      <c r="A726" s="67" t="s">
        <v>1460</v>
      </c>
      <c r="B726" s="29" t="s">
        <v>1461</v>
      </c>
      <c r="C726" s="30" t="s">
        <v>30</v>
      </c>
      <c r="D726" s="68"/>
      <c r="E726" s="69">
        <f>ROUND(IFERROR(VLOOKUP(A726,'CAP14-15'!$A:$G,7,FALSE()),""),0)</f>
        <v>624511</v>
      </c>
      <c r="F726" s="69">
        <f t="shared" si="39"/>
        <v>0</v>
      </c>
    </row>
    <row r="727" spans="1:6">
      <c r="A727" s="67" t="s">
        <v>1462</v>
      </c>
      <c r="B727" s="29" t="s">
        <v>1463</v>
      </c>
      <c r="C727" s="30" t="s">
        <v>23</v>
      </c>
      <c r="D727" s="68"/>
      <c r="E727" s="69">
        <f>ROUND(IFERROR(VLOOKUP(A727,'CAP14-15'!$A:$G,7,FALSE()),""),0)</f>
        <v>317303</v>
      </c>
      <c r="F727" s="69">
        <f t="shared" si="39"/>
        <v>0</v>
      </c>
    </row>
    <row r="728" spans="1:6">
      <c r="A728" s="67" t="s">
        <v>1464</v>
      </c>
      <c r="B728" s="29" t="s">
        <v>1465</v>
      </c>
      <c r="C728" s="30" t="s">
        <v>23</v>
      </c>
      <c r="D728" s="68"/>
      <c r="E728" s="69">
        <f>ROUND(IFERROR(VLOOKUP(A728,'CAP14-15'!$A:$G,7,FALSE()),""),0)</f>
        <v>338898</v>
      </c>
      <c r="F728" s="69">
        <f t="shared" si="39"/>
        <v>0</v>
      </c>
    </row>
    <row r="729" spans="1:6">
      <c r="A729" s="67" t="s">
        <v>1466</v>
      </c>
      <c r="B729" s="29" t="s">
        <v>1467</v>
      </c>
      <c r="C729" s="30" t="s">
        <v>23</v>
      </c>
      <c r="D729" s="68"/>
      <c r="E729" s="69">
        <f>ROUND(IFERROR(VLOOKUP(A729,'CAP14-15'!$A:$G,7,FALSE()),""),0)</f>
        <v>483307</v>
      </c>
      <c r="F729" s="69">
        <f t="shared" si="39"/>
        <v>0</v>
      </c>
    </row>
    <row r="730" spans="1:6">
      <c r="A730" s="67" t="s">
        <v>1468</v>
      </c>
      <c r="B730" s="29" t="s">
        <v>1469</v>
      </c>
      <c r="C730" s="30" t="s">
        <v>23</v>
      </c>
      <c r="D730" s="68"/>
      <c r="E730" s="69">
        <f>ROUND(IFERROR(VLOOKUP(A730,'CAP14-15'!$A:$G,7,FALSE()),""),0)</f>
        <v>276647</v>
      </c>
      <c r="F730" s="69">
        <f t="shared" si="39"/>
        <v>0</v>
      </c>
    </row>
    <row r="731" spans="1:6">
      <c r="A731" s="67" t="s">
        <v>1470</v>
      </c>
      <c r="B731" s="29" t="s">
        <v>1471</v>
      </c>
      <c r="C731" s="30" t="s">
        <v>23</v>
      </c>
      <c r="D731" s="68"/>
      <c r="E731" s="69">
        <f>ROUND(IFERROR(VLOOKUP(A731,'CAP14-15'!$A:$G,7,FALSE()),""),0)</f>
        <v>59941</v>
      </c>
      <c r="F731" s="69">
        <f t="shared" si="39"/>
        <v>0</v>
      </c>
    </row>
    <row r="732" spans="1:6">
      <c r="A732" s="67" t="s">
        <v>1472</v>
      </c>
      <c r="B732" s="29" t="s">
        <v>1473</v>
      </c>
      <c r="C732" s="30" t="s">
        <v>23</v>
      </c>
      <c r="D732" s="68"/>
      <c r="E732" s="69">
        <f>ROUND(IFERROR(VLOOKUP(A732,'CAP14-15'!$A:$G,7,FALSE()),""),0)</f>
        <v>60907</v>
      </c>
      <c r="F732" s="69">
        <f t="shared" si="39"/>
        <v>0</v>
      </c>
    </row>
    <row r="733" spans="1:6">
      <c r="A733" s="67" t="s">
        <v>1474</v>
      </c>
      <c r="B733" s="29" t="s">
        <v>1475</v>
      </c>
      <c r="C733" s="30" t="s">
        <v>30</v>
      </c>
      <c r="D733" s="68"/>
      <c r="E733" s="69">
        <f>ROUND(IFERROR(VLOOKUP(A733,'CAP14-15'!$A:$G,7,FALSE()),""),0)</f>
        <v>259645</v>
      </c>
      <c r="F733" s="69">
        <f t="shared" si="39"/>
        <v>0</v>
      </c>
    </row>
    <row r="734" spans="1:6">
      <c r="A734" s="67" t="s">
        <v>1476</v>
      </c>
      <c r="B734" s="29" t="s">
        <v>1477</v>
      </c>
      <c r="C734" s="30" t="s">
        <v>30</v>
      </c>
      <c r="D734" s="68"/>
      <c r="E734" s="69">
        <f>ROUND(IFERROR(VLOOKUP(A734,'CAP14-15'!$A:$G,7,FALSE()),""),0)</f>
        <v>300850</v>
      </c>
      <c r="F734" s="69">
        <f t="shared" si="39"/>
        <v>0</v>
      </c>
    </row>
    <row r="735" spans="1:6">
      <c r="A735" s="67" t="s">
        <v>1478</v>
      </c>
      <c r="B735" s="29" t="s">
        <v>1479</v>
      </c>
      <c r="C735" s="30" t="s">
        <v>30</v>
      </c>
      <c r="D735" s="68"/>
      <c r="E735" s="69">
        <f>ROUND(IFERROR(VLOOKUP(A735,'CAP14-15'!$A:$G,7,FALSE()),""),0)</f>
        <v>335505</v>
      </c>
      <c r="F735" s="69">
        <f t="shared" si="39"/>
        <v>0</v>
      </c>
    </row>
    <row r="736" spans="1:6">
      <c r="A736" s="67" t="s">
        <v>1480</v>
      </c>
      <c r="B736" s="29" t="s">
        <v>1481</v>
      </c>
      <c r="C736" s="30" t="s">
        <v>30</v>
      </c>
      <c r="D736" s="68"/>
      <c r="E736" s="69">
        <f>ROUND(IFERROR(VLOOKUP(A736,'CAP14-15'!$A:$G,7,FALSE()),""),0)</f>
        <v>379863</v>
      </c>
      <c r="F736" s="69">
        <f t="shared" si="39"/>
        <v>0</v>
      </c>
    </row>
    <row r="737" spans="1:6">
      <c r="A737" s="67" t="s">
        <v>1482</v>
      </c>
      <c r="B737" s="29" t="s">
        <v>1483</v>
      </c>
      <c r="C737" s="30" t="s">
        <v>30</v>
      </c>
      <c r="D737" s="68"/>
      <c r="E737" s="69">
        <f>ROUND(IFERROR(VLOOKUP(A737,'CAP14-15'!$A:$G,7,FALSE()),""),0)</f>
        <v>315825</v>
      </c>
      <c r="F737" s="69">
        <f t="shared" si="39"/>
        <v>0</v>
      </c>
    </row>
    <row r="738" spans="1:6">
      <c r="A738" s="67" t="s">
        <v>1484</v>
      </c>
      <c r="B738" s="29" t="s">
        <v>1485</v>
      </c>
      <c r="C738" s="30" t="s">
        <v>30</v>
      </c>
      <c r="D738" s="68"/>
      <c r="E738" s="69">
        <f>ROUND(IFERROR(VLOOKUP(A738,'CAP14-15'!$A:$G,7,FALSE()),""),0)</f>
        <v>283795</v>
      </c>
      <c r="F738" s="69">
        <f t="shared" si="39"/>
        <v>0</v>
      </c>
    </row>
    <row r="739" spans="1:6">
      <c r="A739" s="67" t="s">
        <v>1486</v>
      </c>
      <c r="B739" s="29" t="s">
        <v>1487</v>
      </c>
      <c r="C739" s="30" t="s">
        <v>30</v>
      </c>
      <c r="D739" s="68"/>
      <c r="E739" s="69">
        <f>ROUND(IFERROR(VLOOKUP(A739,'CAP14-15'!$A:$G,7,FALSE()),""),0)</f>
        <v>248637</v>
      </c>
      <c r="F739" s="69">
        <f t="shared" si="39"/>
        <v>0</v>
      </c>
    </row>
    <row r="740" spans="1:6">
      <c r="A740" s="67" t="s">
        <v>1488</v>
      </c>
      <c r="B740" s="29" t="s">
        <v>1489</v>
      </c>
      <c r="C740" s="30" t="s">
        <v>23</v>
      </c>
      <c r="D740" s="68"/>
      <c r="E740" s="69">
        <f>ROUND(IFERROR(VLOOKUP(A740,'CAP14-15'!$A:$G,7,FALSE()),""),0)</f>
        <v>134419</v>
      </c>
      <c r="F740" s="69">
        <f t="shared" si="39"/>
        <v>0</v>
      </c>
    </row>
    <row r="741" spans="1:6">
      <c r="A741" s="67" t="s">
        <v>1490</v>
      </c>
      <c r="B741" s="29" t="s">
        <v>1491</v>
      </c>
      <c r="C741" s="30" t="s">
        <v>23</v>
      </c>
      <c r="D741" s="68"/>
      <c r="E741" s="69">
        <f>ROUND(IFERROR(VLOOKUP(A741,'CAP14-15'!$A:$G,7,FALSE()),""),0)</f>
        <v>1279535</v>
      </c>
      <c r="F741" s="69">
        <f t="shared" si="39"/>
        <v>0</v>
      </c>
    </row>
    <row r="742" spans="1:6">
      <c r="A742" s="67" t="s">
        <v>1492</v>
      </c>
      <c r="B742" s="29" t="s">
        <v>1493</v>
      </c>
      <c r="C742" s="30" t="s">
        <v>23</v>
      </c>
      <c r="D742" s="68"/>
      <c r="E742" s="69">
        <f>ROUND(IFERROR(VLOOKUP(A742,'CAP14-15'!$A:$G,7,FALSE()),""),0)</f>
        <v>435162</v>
      </c>
      <c r="F742" s="69">
        <f t="shared" ref="F742:F771" si="40">IFERROR(E742*D742,"")</f>
        <v>0</v>
      </c>
    </row>
    <row r="743" spans="1:6">
      <c r="A743" s="67" t="s">
        <v>1494</v>
      </c>
      <c r="B743" s="29" t="s">
        <v>1495</v>
      </c>
      <c r="C743" s="30" t="s">
        <v>23</v>
      </c>
      <c r="D743" s="68"/>
      <c r="E743" s="69">
        <f>ROUND(IFERROR(VLOOKUP(A743,'CAP14-15'!$A:$G,7,FALSE()),""),0)</f>
        <v>606052</v>
      </c>
      <c r="F743" s="69">
        <f t="shared" si="40"/>
        <v>0</v>
      </c>
    </row>
    <row r="744" spans="1:6">
      <c r="A744" s="67" t="s">
        <v>1496</v>
      </c>
      <c r="B744" s="29" t="s">
        <v>1497</v>
      </c>
      <c r="C744" s="30" t="s">
        <v>23</v>
      </c>
      <c r="D744" s="68"/>
      <c r="E744" s="69">
        <f>ROUND(IFERROR(VLOOKUP(A744,'CAP14-15'!$A:$G,7,FALSE()),""),0)</f>
        <v>1183573</v>
      </c>
      <c r="F744" s="69">
        <f t="shared" si="40"/>
        <v>0</v>
      </c>
    </row>
    <row r="745" spans="1:6">
      <c r="A745" s="67" t="s">
        <v>1498</v>
      </c>
      <c r="B745" s="29" t="s">
        <v>1499</v>
      </c>
      <c r="C745" s="30" t="s">
        <v>30</v>
      </c>
      <c r="D745" s="68"/>
      <c r="E745" s="69">
        <f>ROUND(IFERROR(VLOOKUP(A745,'CAP14-15'!$A:$G,7,FALSE()),""),0)</f>
        <v>380291</v>
      </c>
      <c r="F745" s="69">
        <f t="shared" si="40"/>
        <v>0</v>
      </c>
    </row>
    <row r="746" spans="1:6">
      <c r="A746" s="67" t="s">
        <v>1500</v>
      </c>
      <c r="B746" s="29" t="s">
        <v>1501</v>
      </c>
      <c r="C746" s="30" t="s">
        <v>23</v>
      </c>
      <c r="D746" s="68"/>
      <c r="E746" s="69">
        <f>ROUND(IFERROR(VLOOKUP(A746,'CAP14-15'!$A:$G,7,FALSE()),""),0)</f>
        <v>492620</v>
      </c>
      <c r="F746" s="69">
        <f t="shared" si="40"/>
        <v>0</v>
      </c>
    </row>
    <row r="747" spans="1:6">
      <c r="A747" s="67" t="s">
        <v>1502</v>
      </c>
      <c r="B747" s="29" t="s">
        <v>1503</v>
      </c>
      <c r="C747" s="30" t="s">
        <v>20</v>
      </c>
      <c r="D747" s="68"/>
      <c r="E747" s="69">
        <f>ROUND(IFERROR(VLOOKUP(A747,'CAP14-15'!$A:$G,7,FALSE()),""),0)</f>
        <v>130368</v>
      </c>
      <c r="F747" s="69">
        <f t="shared" si="40"/>
        <v>0</v>
      </c>
    </row>
    <row r="748" spans="1:6">
      <c r="A748" s="67" t="s">
        <v>1504</v>
      </c>
      <c r="B748" s="29" t="s">
        <v>1505</v>
      </c>
      <c r="C748" s="30" t="s">
        <v>23</v>
      </c>
      <c r="D748" s="68"/>
      <c r="E748" s="69">
        <f>ROUND(IFERROR(VLOOKUP(A748,'CAP14-15'!$A:$G,7,FALSE()),""),0)</f>
        <v>203505</v>
      </c>
      <c r="F748" s="69">
        <f t="shared" si="40"/>
        <v>0</v>
      </c>
    </row>
    <row r="749" spans="1:6">
      <c r="A749" s="67" t="s">
        <v>1506</v>
      </c>
      <c r="B749" s="29" t="s">
        <v>1507</v>
      </c>
      <c r="C749" s="30" t="s">
        <v>30</v>
      </c>
      <c r="D749" s="68"/>
      <c r="E749" s="69">
        <f>ROUND(IFERROR(VLOOKUP(A749,'CAP14-15'!$A:$G,7,FALSE()),""),0)</f>
        <v>254582</v>
      </c>
      <c r="F749" s="69">
        <f t="shared" si="40"/>
        <v>0</v>
      </c>
    </row>
    <row r="750" spans="1:6">
      <c r="A750" s="67" t="s">
        <v>1508</v>
      </c>
      <c r="B750" s="29" t="s">
        <v>1509</v>
      </c>
      <c r="C750" s="30" t="s">
        <v>23</v>
      </c>
      <c r="D750" s="68"/>
      <c r="E750" s="69">
        <f>ROUND(IFERROR(VLOOKUP(A750,'CAP14-15'!$A:$G,7,FALSE()),""),0)</f>
        <v>147157</v>
      </c>
      <c r="F750" s="69">
        <f t="shared" si="40"/>
        <v>0</v>
      </c>
    </row>
    <row r="751" spans="1:6">
      <c r="A751" s="67" t="s">
        <v>1510</v>
      </c>
      <c r="B751" s="29" t="s">
        <v>1511</v>
      </c>
      <c r="C751" s="30" t="s">
        <v>23</v>
      </c>
      <c r="D751" s="68"/>
      <c r="E751" s="69">
        <f>ROUND(IFERROR(VLOOKUP(A751,'CAP14-15'!$A:$G,7,FALSE()),""),0)</f>
        <v>92701</v>
      </c>
      <c r="F751" s="69">
        <f t="shared" si="40"/>
        <v>0</v>
      </c>
    </row>
    <row r="752" spans="1:6">
      <c r="A752" s="67" t="s">
        <v>1512</v>
      </c>
      <c r="B752" s="29" t="s">
        <v>1513</v>
      </c>
      <c r="C752" s="30" t="s">
        <v>23</v>
      </c>
      <c r="D752" s="68"/>
      <c r="E752" s="69">
        <f>ROUND(IFERROR(VLOOKUP(A752,'CAP14-15'!$A:$G,7,FALSE()),""),0)</f>
        <v>36870</v>
      </c>
      <c r="F752" s="69">
        <f t="shared" si="40"/>
        <v>0</v>
      </c>
    </row>
    <row r="753" spans="1:8">
      <c r="A753" s="67" t="s">
        <v>1514</v>
      </c>
      <c r="B753" s="29" t="s">
        <v>1515</v>
      </c>
      <c r="C753" s="30" t="s">
        <v>23</v>
      </c>
      <c r="D753" s="68"/>
      <c r="E753" s="69">
        <f>ROUND(IFERROR(VLOOKUP(A753,'CAP14-15'!$A:$G,7,FALSE()),""),0)</f>
        <v>38256</v>
      </c>
      <c r="F753" s="69">
        <f t="shared" si="40"/>
        <v>0</v>
      </c>
    </row>
    <row r="754" spans="1:8">
      <c r="A754" s="67" t="s">
        <v>1516</v>
      </c>
      <c r="B754" s="29" t="s">
        <v>1517</v>
      </c>
      <c r="C754" s="30" t="s">
        <v>23</v>
      </c>
      <c r="D754" s="68"/>
      <c r="E754" s="69">
        <f>ROUND(IFERROR(VLOOKUP(A754,'CAP14-15'!$A:$G,7,FALSE()),""),0)</f>
        <v>42456</v>
      </c>
      <c r="F754" s="69">
        <f t="shared" si="40"/>
        <v>0</v>
      </c>
    </row>
    <row r="755" spans="1:8">
      <c r="A755" s="67" t="s">
        <v>1518</v>
      </c>
      <c r="B755" s="29" t="s">
        <v>1519</v>
      </c>
      <c r="C755" s="30" t="s">
        <v>23</v>
      </c>
      <c r="D755" s="68"/>
      <c r="E755" s="69">
        <f>ROUND(IFERROR(VLOOKUP(A755,'CAP14-15'!$A:$G,7,FALSE()),""),0)</f>
        <v>37385</v>
      </c>
      <c r="F755" s="69">
        <f t="shared" si="40"/>
        <v>0</v>
      </c>
    </row>
    <row r="756" spans="1:8">
      <c r="A756" s="67" t="s">
        <v>1520</v>
      </c>
      <c r="B756" s="29" t="s">
        <v>1521</v>
      </c>
      <c r="C756" s="30" t="s">
        <v>23</v>
      </c>
      <c r="D756" s="68"/>
      <c r="E756" s="69">
        <f>ROUND(IFERROR(VLOOKUP(A756,'CAP14-15'!$A:$G,7,FALSE()),""),0)</f>
        <v>51782</v>
      </c>
      <c r="F756" s="69">
        <f t="shared" si="40"/>
        <v>0</v>
      </c>
    </row>
    <row r="757" spans="1:8">
      <c r="A757" s="67" t="s">
        <v>1522</v>
      </c>
      <c r="B757" s="29" t="s">
        <v>1523</v>
      </c>
      <c r="C757" s="30" t="s">
        <v>23</v>
      </c>
      <c r="D757" s="68"/>
      <c r="E757" s="69">
        <f>ROUND(IFERROR(VLOOKUP(A757,'CAP14-15'!$A:$G,7,FALSE()),""),0)</f>
        <v>69968</v>
      </c>
      <c r="F757" s="69">
        <f t="shared" si="40"/>
        <v>0</v>
      </c>
    </row>
    <row r="758" spans="1:8">
      <c r="A758" s="67" t="s">
        <v>1524</v>
      </c>
      <c r="B758" s="29" t="s">
        <v>1525</v>
      </c>
      <c r="C758" s="30" t="s">
        <v>23</v>
      </c>
      <c r="D758" s="68"/>
      <c r="E758" s="69">
        <f>ROUND(IFERROR(VLOOKUP(A758,'CAP14-15'!$A:$G,7,FALSE()),""),0)</f>
        <v>36870</v>
      </c>
      <c r="F758" s="69">
        <f t="shared" si="40"/>
        <v>0</v>
      </c>
    </row>
    <row r="759" spans="1:8">
      <c r="A759" s="67" t="s">
        <v>1526</v>
      </c>
      <c r="B759" s="29" t="s">
        <v>1527</v>
      </c>
      <c r="C759" s="30" t="s">
        <v>23</v>
      </c>
      <c r="D759" s="68"/>
      <c r="E759" s="69">
        <f>ROUND(IFERROR(VLOOKUP(A759,'CAP14-15'!$A:$G,7,FALSE()),""),0)</f>
        <v>69968</v>
      </c>
      <c r="F759" s="69">
        <f t="shared" si="40"/>
        <v>0</v>
      </c>
    </row>
    <row r="760" spans="1:8">
      <c r="A760" s="67" t="s">
        <v>1528</v>
      </c>
      <c r="B760" s="29" t="s">
        <v>1529</v>
      </c>
      <c r="C760" s="30" t="s">
        <v>23</v>
      </c>
      <c r="D760" s="68"/>
      <c r="E760" s="69">
        <f>ROUND(IFERROR(VLOOKUP(A760,'CAP14-15'!$A:$G,7,FALSE()),""),0)</f>
        <v>118957</v>
      </c>
      <c r="F760" s="69">
        <f t="shared" si="40"/>
        <v>0</v>
      </c>
    </row>
    <row r="761" spans="1:8">
      <c r="A761" s="67" t="s">
        <v>1530</v>
      </c>
      <c r="B761" s="29" t="s">
        <v>1531</v>
      </c>
      <c r="C761" s="30" t="s">
        <v>23</v>
      </c>
      <c r="D761" s="68"/>
      <c r="E761" s="69">
        <f>ROUND(IFERROR(VLOOKUP(A761,'CAP14-15'!$A:$G,7,FALSE()),""),0)</f>
        <v>115329</v>
      </c>
      <c r="F761" s="69">
        <f t="shared" si="40"/>
        <v>0</v>
      </c>
    </row>
    <row r="762" spans="1:8">
      <c r="A762" s="67" t="s">
        <v>1532</v>
      </c>
      <c r="B762" s="29" t="s">
        <v>1533</v>
      </c>
      <c r="C762" s="30" t="s">
        <v>23</v>
      </c>
      <c r="D762" s="68"/>
      <c r="E762" s="69">
        <f>ROUND(IFERROR(VLOOKUP(A762,'CAP14-15'!$A:$G,7,FALSE()),""),0)</f>
        <v>58270</v>
      </c>
      <c r="F762" s="69">
        <f t="shared" si="40"/>
        <v>0</v>
      </c>
      <c r="H762" s="74"/>
    </row>
    <row r="763" spans="1:8">
      <c r="A763" s="67" t="s">
        <v>1534</v>
      </c>
      <c r="B763" s="29" t="s">
        <v>1535</v>
      </c>
      <c r="C763" s="30" t="s">
        <v>23</v>
      </c>
      <c r="D763" s="68"/>
      <c r="E763" s="69">
        <f>ROUND(IFERROR(VLOOKUP(A763,'CAP14-15'!$A:$G,7,FALSE()),""),0)</f>
        <v>334318</v>
      </c>
      <c r="F763" s="69">
        <f t="shared" si="40"/>
        <v>0</v>
      </c>
    </row>
    <row r="764" spans="1:8">
      <c r="A764" s="67" t="s">
        <v>1536</v>
      </c>
      <c r="B764" s="29" t="s">
        <v>1537</v>
      </c>
      <c r="C764" s="30" t="s">
        <v>23</v>
      </c>
      <c r="D764" s="68"/>
      <c r="E764" s="69">
        <f>ROUND(IFERROR(VLOOKUP(A764,'CAP14-15'!$A:$G,7,FALSE()),""),0)</f>
        <v>3103136</v>
      </c>
      <c r="F764" s="69">
        <f t="shared" si="40"/>
        <v>0</v>
      </c>
    </row>
    <row r="765" spans="1:8">
      <c r="A765" s="67" t="s">
        <v>1538</v>
      </c>
      <c r="B765" s="29" t="s">
        <v>1539</v>
      </c>
      <c r="C765" s="30" t="s">
        <v>23</v>
      </c>
      <c r="D765" s="68"/>
      <c r="E765" s="69">
        <f>ROUND(IFERROR(VLOOKUP(A765,'CAP14-15'!$A:$G,7,FALSE()),""),0)</f>
        <v>862848</v>
      </c>
      <c r="F765" s="69">
        <f t="shared" si="40"/>
        <v>0</v>
      </c>
    </row>
    <row r="766" spans="1:8">
      <c r="A766" s="67" t="s">
        <v>1540</v>
      </c>
      <c r="B766" s="29" t="s">
        <v>1541</v>
      </c>
      <c r="C766" s="30" t="s">
        <v>23</v>
      </c>
      <c r="D766" s="68"/>
      <c r="E766" s="69">
        <f>ROUND(IFERROR(VLOOKUP(A766,'CAP14-15'!$A:$G,7,FALSE()),""),0)</f>
        <v>1641322</v>
      </c>
      <c r="F766" s="69">
        <f t="shared" si="40"/>
        <v>0</v>
      </c>
    </row>
    <row r="767" spans="1:8">
      <c r="A767" s="67" t="s">
        <v>1542</v>
      </c>
      <c r="B767" s="29" t="s">
        <v>1543</v>
      </c>
      <c r="C767" s="30" t="s">
        <v>23</v>
      </c>
      <c r="D767" s="68"/>
      <c r="E767" s="69">
        <f>ROUND(IFERROR(VLOOKUP(A767,'CAP14-15'!$A:$G,7,FALSE()),""),0)</f>
        <v>746330</v>
      </c>
      <c r="F767" s="69">
        <f t="shared" si="40"/>
        <v>0</v>
      </c>
    </row>
    <row r="768" spans="1:8">
      <c r="A768" s="67" t="s">
        <v>1544</v>
      </c>
      <c r="B768" s="29" t="s">
        <v>1545</v>
      </c>
      <c r="C768" s="30" t="s">
        <v>23</v>
      </c>
      <c r="D768" s="68"/>
      <c r="E768" s="69">
        <f>ROUND(IFERROR(VLOOKUP(A768,'CAP14-15'!$A:$G,7,FALSE()),""),0)</f>
        <v>51034</v>
      </c>
      <c r="F768" s="69">
        <f t="shared" si="40"/>
        <v>0</v>
      </c>
    </row>
    <row r="769" spans="1:8">
      <c r="A769" s="67" t="s">
        <v>1546</v>
      </c>
      <c r="B769" s="29" t="s">
        <v>1547</v>
      </c>
      <c r="C769" s="30" t="s">
        <v>23</v>
      </c>
      <c r="D769" s="68"/>
      <c r="E769" s="69">
        <f>ROUND(IFERROR(VLOOKUP(A769,'CAP14-15'!$A:$G,7,FALSE()),""),0)</f>
        <v>66123</v>
      </c>
      <c r="F769" s="69">
        <f t="shared" si="40"/>
        <v>0</v>
      </c>
    </row>
    <row r="770" spans="1:8">
      <c r="A770" s="67" t="s">
        <v>1548</v>
      </c>
      <c r="B770" s="29" t="s">
        <v>1549</v>
      </c>
      <c r="C770" s="30" t="s">
        <v>20</v>
      </c>
      <c r="D770" s="68"/>
      <c r="E770" s="69">
        <f>ROUND(IFERROR(VLOOKUP(A770,'CAP14-15'!$A:$G,7,FALSE()),""),0)</f>
        <v>58899</v>
      </c>
      <c r="F770" s="69">
        <f t="shared" si="40"/>
        <v>0</v>
      </c>
    </row>
    <row r="771" spans="1:8">
      <c r="A771" s="67" t="s">
        <v>1550</v>
      </c>
      <c r="B771" s="29" t="s">
        <v>1551</v>
      </c>
      <c r="C771" s="30" t="s">
        <v>20</v>
      </c>
      <c r="D771" s="68"/>
      <c r="E771" s="69">
        <f>ROUND(IFERROR(VLOOKUP(A771,'CAP14-15'!$A:$G,7,FALSE()),""),0)</f>
        <v>70212</v>
      </c>
      <c r="F771" s="69">
        <f t="shared" si="40"/>
        <v>0</v>
      </c>
    </row>
    <row r="772" spans="1:8" s="74" customFormat="1">
      <c r="A772" s="60" t="s">
        <v>1552</v>
      </c>
      <c r="B772" s="61" t="s">
        <v>1553</v>
      </c>
      <c r="C772" s="62"/>
      <c r="D772" s="63"/>
      <c r="E772" s="64"/>
      <c r="F772" s="65">
        <f>SUM(F773:F831)</f>
        <v>0</v>
      </c>
      <c r="G772" s="66">
        <f>IFERROR(F772/$F$1279,"")</f>
        <v>0</v>
      </c>
      <c r="H772" s="3"/>
    </row>
    <row r="773" spans="1:8">
      <c r="A773" s="67" t="s">
        <v>1554</v>
      </c>
      <c r="B773" s="29" t="s">
        <v>1555</v>
      </c>
      <c r="C773" s="30" t="s">
        <v>23</v>
      </c>
      <c r="D773" s="68"/>
      <c r="E773" s="69">
        <f>ROUND(IFERROR(VLOOKUP(A773,'CAP16-18'!$A:$G,7,FALSE()),""),0)</f>
        <v>135572</v>
      </c>
      <c r="F773" s="69">
        <f t="shared" ref="F773:F784" si="41">IFERROR(E773*D773,"")</f>
        <v>0</v>
      </c>
    </row>
    <row r="774" spans="1:8">
      <c r="A774" s="67" t="s">
        <v>1556</v>
      </c>
      <c r="B774" s="29" t="s">
        <v>1557</v>
      </c>
      <c r="C774" s="30" t="s">
        <v>20</v>
      </c>
      <c r="D774" s="68"/>
      <c r="E774" s="69">
        <f>ROUND(IFERROR(VLOOKUP(A774,'CAP16-18'!$A:$G,7,FALSE()),""),0)</f>
        <v>909380</v>
      </c>
      <c r="F774" s="69">
        <f t="shared" si="41"/>
        <v>0</v>
      </c>
      <c r="H774" s="74"/>
    </row>
    <row r="775" spans="1:8">
      <c r="A775" s="67" t="s">
        <v>1558</v>
      </c>
      <c r="B775" s="29" t="s">
        <v>1559</v>
      </c>
      <c r="C775" s="30" t="s">
        <v>30</v>
      </c>
      <c r="D775" s="68"/>
      <c r="E775" s="69">
        <f>ROUND(IFERROR(VLOOKUP(A775,'CAP16-18'!$A:$G,7,FALSE()),""),0)</f>
        <v>122874</v>
      </c>
      <c r="F775" s="69">
        <f t="shared" si="41"/>
        <v>0</v>
      </c>
    </row>
    <row r="776" spans="1:8">
      <c r="A776" s="67" t="s">
        <v>1560</v>
      </c>
      <c r="B776" s="29" t="s">
        <v>1561</v>
      </c>
      <c r="C776" s="30" t="s">
        <v>338</v>
      </c>
      <c r="D776" s="68"/>
      <c r="E776" s="69">
        <f>ROUND(IFERROR(VLOOKUP(A776,'CAP16-18'!$A:$G,7,FALSE()),""),0)</f>
        <v>355639</v>
      </c>
      <c r="F776" s="69">
        <f t="shared" si="41"/>
        <v>0</v>
      </c>
    </row>
    <row r="777" spans="1:8">
      <c r="A777" s="67" t="s">
        <v>1562</v>
      </c>
      <c r="B777" s="29" t="s">
        <v>1563</v>
      </c>
      <c r="C777" s="30" t="s">
        <v>23</v>
      </c>
      <c r="D777" s="68"/>
      <c r="E777" s="69">
        <f>ROUND(IFERROR(VLOOKUP(A777,'CAP16-18'!$A:$G,7,FALSE()),""),0)</f>
        <v>223897</v>
      </c>
      <c r="F777" s="69">
        <f t="shared" si="41"/>
        <v>0</v>
      </c>
    </row>
    <row r="778" spans="1:8">
      <c r="A778" s="67" t="s">
        <v>1564</v>
      </c>
      <c r="B778" s="29" t="s">
        <v>1565</v>
      </c>
      <c r="C778" s="30" t="s">
        <v>338</v>
      </c>
      <c r="D778" s="68"/>
      <c r="E778" s="69">
        <f>ROUND(IFERROR(VLOOKUP(A778,'CAP16-18'!$A:$G,7,FALSE()),""),0)</f>
        <v>178610</v>
      </c>
      <c r="F778" s="69">
        <f t="shared" si="41"/>
        <v>0</v>
      </c>
    </row>
    <row r="779" spans="1:8">
      <c r="A779" s="67" t="s">
        <v>1566</v>
      </c>
      <c r="B779" s="29" t="s">
        <v>1567</v>
      </c>
      <c r="C779" s="30" t="s">
        <v>23</v>
      </c>
      <c r="D779" s="68"/>
      <c r="E779" s="69">
        <f>ROUND(IFERROR(VLOOKUP(A779,'CAP16-18'!$A:$G,7,FALSE()),""),0)</f>
        <v>78510</v>
      </c>
      <c r="F779" s="69">
        <f t="shared" si="41"/>
        <v>0</v>
      </c>
    </row>
    <row r="780" spans="1:8">
      <c r="A780" s="67" t="s">
        <v>1568</v>
      </c>
      <c r="B780" s="29" t="s">
        <v>1569</v>
      </c>
      <c r="C780" s="30" t="s">
        <v>23</v>
      </c>
      <c r="D780" s="68"/>
      <c r="E780" s="69">
        <f>ROUND(IFERROR(VLOOKUP(A780,'CAP16-18'!$A:$G,7,FALSE()),""),0)</f>
        <v>108248</v>
      </c>
      <c r="F780" s="69">
        <f t="shared" si="41"/>
        <v>0</v>
      </c>
    </row>
    <row r="781" spans="1:8">
      <c r="A781" s="67" t="s">
        <v>1570</v>
      </c>
      <c r="B781" s="29" t="s">
        <v>1571</v>
      </c>
      <c r="C781" s="30" t="s">
        <v>30</v>
      </c>
      <c r="D781" s="68"/>
      <c r="E781" s="69">
        <f>ROUND(IFERROR(VLOOKUP(A781,'CAP16-18'!$A:$G,7,FALSE()),""),0)</f>
        <v>62547</v>
      </c>
      <c r="F781" s="69">
        <f t="shared" si="41"/>
        <v>0</v>
      </c>
    </row>
    <row r="782" spans="1:8">
      <c r="A782" s="67" t="s">
        <v>1572</v>
      </c>
      <c r="B782" s="29" t="s">
        <v>1573</v>
      </c>
      <c r="C782" s="30" t="s">
        <v>30</v>
      </c>
      <c r="D782" s="68"/>
      <c r="E782" s="69">
        <f>ROUND(IFERROR(VLOOKUP(A782,'CAP16-18'!$A:$G,7,FALSE()),""),0)</f>
        <v>44646</v>
      </c>
      <c r="F782" s="69">
        <f t="shared" si="41"/>
        <v>0</v>
      </c>
    </row>
    <row r="783" spans="1:8">
      <c r="A783" s="67" t="s">
        <v>1574</v>
      </c>
      <c r="B783" s="29" t="s">
        <v>1575</v>
      </c>
      <c r="C783" s="30" t="s">
        <v>20</v>
      </c>
      <c r="D783" s="68"/>
      <c r="E783" s="69">
        <f>ROUND(IFERROR(VLOOKUP(A783,'CAP16-18'!$A:$G,7,FALSE()),""),0)</f>
        <v>898820</v>
      </c>
      <c r="F783" s="69">
        <f t="shared" si="41"/>
        <v>0</v>
      </c>
    </row>
    <row r="784" spans="1:8">
      <c r="A784" s="67" t="s">
        <v>1576</v>
      </c>
      <c r="B784" s="29" t="s">
        <v>1577</v>
      </c>
      <c r="C784" s="30" t="s">
        <v>20</v>
      </c>
      <c r="D784" s="68"/>
      <c r="E784" s="69">
        <f>ROUND(IFERROR(VLOOKUP(A784,'CAP16-18'!$A:$G,7,FALSE()),""),0)</f>
        <v>547745</v>
      </c>
      <c r="F784" s="69">
        <f t="shared" si="41"/>
        <v>0</v>
      </c>
    </row>
    <row r="785" spans="1:8">
      <c r="A785" s="67" t="s">
        <v>1578</v>
      </c>
      <c r="B785" s="29" t="s">
        <v>1579</v>
      </c>
      <c r="C785" s="30" t="s">
        <v>20</v>
      </c>
      <c r="D785" s="68"/>
      <c r="E785" s="69">
        <f>ROUND(IFERROR(VLOOKUP(A785,'CAP16-18'!$A:$G,7,FALSE()),""),0)</f>
        <v>344033</v>
      </c>
      <c r="F785" s="69">
        <f t="shared" ref="F785:F803" si="42">IFERROR(E785*D785,"")</f>
        <v>0</v>
      </c>
    </row>
    <row r="786" spans="1:8">
      <c r="A786" s="67" t="s">
        <v>1580</v>
      </c>
      <c r="B786" s="29" t="s">
        <v>1581</v>
      </c>
      <c r="C786" s="30" t="s">
        <v>1582</v>
      </c>
      <c r="D786" s="68"/>
      <c r="E786" s="69">
        <f>ROUND(IFERROR(VLOOKUP(A786,'CAP16-18'!$A:$G,7,FALSE()),""),0)</f>
        <v>106743</v>
      </c>
      <c r="F786" s="69">
        <f t="shared" si="42"/>
        <v>0</v>
      </c>
    </row>
    <row r="787" spans="1:8">
      <c r="A787" s="67" t="s">
        <v>1583</v>
      </c>
      <c r="B787" s="29" t="s">
        <v>1584</v>
      </c>
      <c r="C787" s="30" t="s">
        <v>23</v>
      </c>
      <c r="D787" s="68"/>
      <c r="E787" s="69">
        <f>ROUND(IFERROR(VLOOKUP(A787,'CAP16-18'!$A:$G,7,FALSE()),""),0)</f>
        <v>419464</v>
      </c>
      <c r="F787" s="69">
        <f t="shared" si="42"/>
        <v>0</v>
      </c>
    </row>
    <row r="788" spans="1:8">
      <c r="A788" s="67" t="s">
        <v>1585</v>
      </c>
      <c r="B788" s="29" t="s">
        <v>1586</v>
      </c>
      <c r="C788" s="30" t="s">
        <v>338</v>
      </c>
      <c r="D788" s="68"/>
      <c r="E788" s="69">
        <f>ROUND(IFERROR(VLOOKUP(A788,'CAP16-18'!$A:$G,7,FALSE()),""),0)</f>
        <v>21740</v>
      </c>
      <c r="F788" s="69">
        <f t="shared" ref="F788" si="43">IFERROR(E788*D788,"")</f>
        <v>0</v>
      </c>
      <c r="H788" s="114"/>
    </row>
    <row r="789" spans="1:8">
      <c r="A789" s="67" t="s">
        <v>1587</v>
      </c>
      <c r="B789" s="29" t="s">
        <v>1588</v>
      </c>
      <c r="C789" s="30" t="s">
        <v>30</v>
      </c>
      <c r="D789" s="68"/>
      <c r="E789" s="69">
        <f>ROUND(IFERROR(VLOOKUP(A789,'CAP16-18'!$A:$G,7,FALSE()),""),0)</f>
        <v>15691</v>
      </c>
      <c r="F789" s="69">
        <f t="shared" si="42"/>
        <v>0</v>
      </c>
      <c r="H789" s="114"/>
    </row>
    <row r="790" spans="1:8">
      <c r="A790" s="67" t="s">
        <v>1589</v>
      </c>
      <c r="B790" s="29" t="s">
        <v>1590</v>
      </c>
      <c r="C790" s="30" t="s">
        <v>23</v>
      </c>
      <c r="D790" s="68"/>
      <c r="E790" s="69">
        <f>ROUND(IFERROR(VLOOKUP(A790,'CAP16-18'!$A:$G,7,FALSE()),""),0)</f>
        <v>71242</v>
      </c>
      <c r="F790" s="69">
        <f t="shared" si="42"/>
        <v>0</v>
      </c>
    </row>
    <row r="791" spans="1:8">
      <c r="A791" s="67" t="s">
        <v>1591</v>
      </c>
      <c r="B791" s="29" t="s">
        <v>1592</v>
      </c>
      <c r="C791" s="30" t="s">
        <v>30</v>
      </c>
      <c r="D791" s="68"/>
      <c r="E791" s="69">
        <f>ROUND(IFERROR(VLOOKUP(A791,'CAP16-18'!$A:$G,7,FALSE()),""),0)</f>
        <v>18005</v>
      </c>
      <c r="F791" s="69">
        <f t="shared" si="42"/>
        <v>0</v>
      </c>
    </row>
    <row r="792" spans="1:8">
      <c r="A792" s="67" t="s">
        <v>1593</v>
      </c>
      <c r="B792" s="29" t="s">
        <v>1594</v>
      </c>
      <c r="C792" s="30" t="s">
        <v>23</v>
      </c>
      <c r="D792" s="68"/>
      <c r="E792" s="69">
        <f>ROUND(IFERROR(VLOOKUP(A792,'CAP16-18'!$A:$G,7,FALSE()),""),0)</f>
        <v>95597</v>
      </c>
      <c r="F792" s="69">
        <f t="shared" si="42"/>
        <v>0</v>
      </c>
    </row>
    <row r="793" spans="1:8">
      <c r="A793" s="67" t="s">
        <v>1595</v>
      </c>
      <c r="B793" s="29" t="s">
        <v>1596</v>
      </c>
      <c r="C793" s="30" t="s">
        <v>23</v>
      </c>
      <c r="D793" s="68"/>
      <c r="E793" s="69">
        <f>ROUND(IFERROR(VLOOKUP(A793,'CAP16-18'!$A:$G,7,FALSE()),""),0)</f>
        <v>77012</v>
      </c>
      <c r="F793" s="69">
        <f t="shared" si="42"/>
        <v>0</v>
      </c>
    </row>
    <row r="794" spans="1:8">
      <c r="A794" s="67" t="s">
        <v>1597</v>
      </c>
      <c r="B794" s="29" t="s">
        <v>1598</v>
      </c>
      <c r="C794" s="30" t="s">
        <v>20</v>
      </c>
      <c r="D794" s="68"/>
      <c r="E794" s="69">
        <f>ROUND(IFERROR(VLOOKUP(A794,'CAP16-18'!$A:$G,7,FALSE()),""),0)</f>
        <v>39698</v>
      </c>
      <c r="F794" s="69">
        <f t="shared" si="42"/>
        <v>0</v>
      </c>
    </row>
    <row r="795" spans="1:8">
      <c r="A795" s="67" t="s">
        <v>1599</v>
      </c>
      <c r="B795" s="29" t="s">
        <v>1600</v>
      </c>
      <c r="C795" s="30" t="s">
        <v>20</v>
      </c>
      <c r="D795" s="68"/>
      <c r="E795" s="69">
        <f>ROUND(IFERROR(VLOOKUP(A795,'CAP16-18'!$A:$G,7,FALSE()),""),0)</f>
        <v>49654</v>
      </c>
      <c r="F795" s="69">
        <f t="shared" si="42"/>
        <v>0</v>
      </c>
    </row>
    <row r="796" spans="1:8">
      <c r="A796" s="67" t="s">
        <v>1601</v>
      </c>
      <c r="B796" s="29" t="s">
        <v>1602</v>
      </c>
      <c r="C796" s="30" t="s">
        <v>23</v>
      </c>
      <c r="D796" s="68"/>
      <c r="E796" s="69">
        <f>ROUND(IFERROR(VLOOKUP(A796,'CAP16-18'!$A:$G,7,FALSE()),""),0)</f>
        <v>639228</v>
      </c>
      <c r="F796" s="69">
        <f t="shared" si="42"/>
        <v>0</v>
      </c>
    </row>
    <row r="797" spans="1:8">
      <c r="A797" s="67" t="s">
        <v>1603</v>
      </c>
      <c r="B797" s="29" t="s">
        <v>1604</v>
      </c>
      <c r="C797" s="30" t="s">
        <v>20</v>
      </c>
      <c r="D797" s="68"/>
      <c r="E797" s="69">
        <f>ROUND(IFERROR(VLOOKUP(A797,'CAP16-18'!$A:$G,7,FALSE()),""),0)</f>
        <v>120822</v>
      </c>
      <c r="F797" s="69">
        <f t="shared" si="42"/>
        <v>0</v>
      </c>
    </row>
    <row r="798" spans="1:8">
      <c r="A798" s="67" t="s">
        <v>1605</v>
      </c>
      <c r="B798" s="29" t="s">
        <v>1606</v>
      </c>
      <c r="C798" s="30" t="s">
        <v>23</v>
      </c>
      <c r="D798" s="68"/>
      <c r="E798" s="69">
        <f>ROUND(IFERROR(VLOOKUP(A798,'CAP16-18'!$A:$G,7,FALSE()),""),0)</f>
        <v>169165</v>
      </c>
      <c r="F798" s="69">
        <f t="shared" si="42"/>
        <v>0</v>
      </c>
    </row>
    <row r="799" spans="1:8">
      <c r="A799" s="67" t="s">
        <v>1607</v>
      </c>
      <c r="B799" s="29" t="s">
        <v>1608</v>
      </c>
      <c r="C799" s="30" t="s">
        <v>23</v>
      </c>
      <c r="D799" s="68"/>
      <c r="E799" s="69">
        <f>ROUND(IFERROR(VLOOKUP(A799,'CAP16-18'!$A:$G,7,FALSE()),""),0)</f>
        <v>169365</v>
      </c>
      <c r="F799" s="69">
        <f t="shared" si="42"/>
        <v>0</v>
      </c>
      <c r="H799" s="74"/>
    </row>
    <row r="800" spans="1:8">
      <c r="A800" s="67" t="s">
        <v>1609</v>
      </c>
      <c r="B800" s="29" t="s">
        <v>1610</v>
      </c>
      <c r="C800" s="30" t="s">
        <v>23</v>
      </c>
      <c r="D800" s="68"/>
      <c r="E800" s="69">
        <f>ROUND(IFERROR(VLOOKUP(A800,'CAP16-18'!$A:$G,7,FALSE()),""),0)</f>
        <v>180531</v>
      </c>
      <c r="F800" s="69">
        <f t="shared" si="42"/>
        <v>0</v>
      </c>
    </row>
    <row r="801" spans="1:6">
      <c r="A801" s="67" t="s">
        <v>1611</v>
      </c>
      <c r="B801" s="29" t="s">
        <v>1612</v>
      </c>
      <c r="C801" s="30" t="s">
        <v>23</v>
      </c>
      <c r="D801" s="68"/>
      <c r="E801" s="69">
        <f>ROUND(IFERROR(VLOOKUP(A801,'CAP16-18'!$A:$G,7,FALSE()),""),0)</f>
        <v>189322</v>
      </c>
      <c r="F801" s="69">
        <f t="shared" si="42"/>
        <v>0</v>
      </c>
    </row>
    <row r="802" spans="1:6">
      <c r="A802" s="67" t="s">
        <v>1613</v>
      </c>
      <c r="B802" s="29" t="s">
        <v>1614</v>
      </c>
      <c r="C802" s="30" t="s">
        <v>30</v>
      </c>
      <c r="D802" s="68"/>
      <c r="E802" s="69">
        <f>ROUND(IFERROR(VLOOKUP(A802,'CAP16-18'!$A:$G,7,FALSE()),""),0)</f>
        <v>93989</v>
      </c>
      <c r="F802" s="69">
        <f t="shared" si="42"/>
        <v>0</v>
      </c>
    </row>
    <row r="803" spans="1:6">
      <c r="A803" s="67" t="s">
        <v>1615</v>
      </c>
      <c r="B803" s="29" t="s">
        <v>1616</v>
      </c>
      <c r="C803" s="30" t="s">
        <v>23</v>
      </c>
      <c r="D803" s="68"/>
      <c r="E803" s="69">
        <f>ROUND(IFERROR(VLOOKUP(A803,'CAP16-18'!$A:$G,7,FALSE()),""),0)</f>
        <v>240594</v>
      </c>
      <c r="F803" s="69">
        <f t="shared" si="42"/>
        <v>0</v>
      </c>
    </row>
    <row r="804" spans="1:6">
      <c r="A804" s="67" t="s">
        <v>1617</v>
      </c>
      <c r="B804" s="29" t="s">
        <v>1618</v>
      </c>
      <c r="C804" s="30" t="s">
        <v>30</v>
      </c>
      <c r="D804" s="68"/>
      <c r="E804" s="69">
        <f>ROUND(IFERROR(VLOOKUP(A804,'CAP16-18'!$A:$G,7,FALSE()),""),0)</f>
        <v>322958</v>
      </c>
      <c r="F804" s="69">
        <f t="shared" ref="F804:F831" si="44">IFERROR(E804*D804,"")</f>
        <v>0</v>
      </c>
    </row>
    <row r="805" spans="1:6">
      <c r="A805" s="67" t="s">
        <v>1619</v>
      </c>
      <c r="B805" s="29" t="s">
        <v>1620</v>
      </c>
      <c r="C805" s="30" t="s">
        <v>20</v>
      </c>
      <c r="D805" s="68"/>
      <c r="E805" s="69">
        <f>ROUND(IFERROR(VLOOKUP(A805,'CAP16-18'!$A:$G,7,FALSE()),""),0)</f>
        <v>192501</v>
      </c>
      <c r="F805" s="69">
        <f t="shared" si="44"/>
        <v>0</v>
      </c>
    </row>
    <row r="806" spans="1:6">
      <c r="A806" s="67" t="s">
        <v>1621</v>
      </c>
      <c r="B806" s="29" t="s">
        <v>1622</v>
      </c>
      <c r="C806" s="30" t="s">
        <v>20</v>
      </c>
      <c r="D806" s="68"/>
      <c r="E806" s="69">
        <f>ROUND(IFERROR(VLOOKUP(A806,'CAP16-18'!$A:$G,7,FALSE()),""),0)</f>
        <v>383474</v>
      </c>
      <c r="F806" s="69">
        <f t="shared" si="44"/>
        <v>0</v>
      </c>
    </row>
    <row r="807" spans="1:6">
      <c r="A807" s="67" t="s">
        <v>1623</v>
      </c>
      <c r="B807" s="29" t="s">
        <v>1624</v>
      </c>
      <c r="C807" s="30" t="s">
        <v>20</v>
      </c>
      <c r="D807" s="68"/>
      <c r="E807" s="69">
        <f>ROUND(IFERROR(VLOOKUP(A807,'CAP16-18'!$A:$G,7,FALSE()),""),0)</f>
        <v>398451</v>
      </c>
      <c r="F807" s="69">
        <f t="shared" si="44"/>
        <v>0</v>
      </c>
    </row>
    <row r="808" spans="1:6">
      <c r="A808" s="67" t="s">
        <v>1625</v>
      </c>
      <c r="B808" s="29" t="s">
        <v>1626</v>
      </c>
      <c r="C808" s="30" t="s">
        <v>20</v>
      </c>
      <c r="D808" s="68"/>
      <c r="E808" s="69">
        <f>ROUND(IFERROR(VLOOKUP(A808,'CAP16-18'!$A:$G,7,FALSE()),""),0)</f>
        <v>360741</v>
      </c>
      <c r="F808" s="69">
        <f t="shared" si="44"/>
        <v>0</v>
      </c>
    </row>
    <row r="809" spans="1:6">
      <c r="A809" s="67" t="s">
        <v>1627</v>
      </c>
      <c r="B809" s="29" t="s">
        <v>1628</v>
      </c>
      <c r="C809" s="30" t="s">
        <v>23</v>
      </c>
      <c r="D809" s="68"/>
      <c r="E809" s="69">
        <f>ROUND(IFERROR(VLOOKUP(A809,'CAP16-18'!$A:$G,7,FALSE()),""),0)</f>
        <v>446743</v>
      </c>
      <c r="F809" s="69">
        <f t="shared" si="44"/>
        <v>0</v>
      </c>
    </row>
    <row r="810" spans="1:6">
      <c r="A810" s="67" t="s">
        <v>1629</v>
      </c>
      <c r="B810" s="29" t="s">
        <v>1630</v>
      </c>
      <c r="C810" s="30" t="s">
        <v>23</v>
      </c>
      <c r="D810" s="68"/>
      <c r="E810" s="69">
        <f>ROUND(IFERROR(VLOOKUP(A810,'CAP16-18'!$A:$G,7,FALSE()),""),0)</f>
        <v>430830</v>
      </c>
      <c r="F810" s="69">
        <f t="shared" si="44"/>
        <v>0</v>
      </c>
    </row>
    <row r="811" spans="1:6">
      <c r="A811" s="67" t="s">
        <v>1631</v>
      </c>
      <c r="B811" s="29" t="s">
        <v>1632</v>
      </c>
      <c r="C811" s="30" t="s">
        <v>20</v>
      </c>
      <c r="D811" s="68"/>
      <c r="E811" s="69">
        <f>ROUND(IFERROR(VLOOKUP(A811,'CAP16-18'!$A:$G,7,FALSE()),""),0)</f>
        <v>168580</v>
      </c>
      <c r="F811" s="69">
        <f t="shared" si="44"/>
        <v>0</v>
      </c>
    </row>
    <row r="812" spans="1:6">
      <c r="A812" s="67" t="s">
        <v>1633</v>
      </c>
      <c r="B812" s="29" t="s">
        <v>1634</v>
      </c>
      <c r="C812" s="30" t="s">
        <v>20</v>
      </c>
      <c r="D812" s="68"/>
      <c r="E812" s="69">
        <f>ROUND(IFERROR(VLOOKUP(A812,'CAP16-18'!$A:$G,7,FALSE()),""),0)</f>
        <v>402494</v>
      </c>
      <c r="F812" s="69">
        <f t="shared" si="44"/>
        <v>0</v>
      </c>
    </row>
    <row r="813" spans="1:6">
      <c r="A813" s="67" t="s">
        <v>1635</v>
      </c>
      <c r="B813" s="29" t="s">
        <v>1636</v>
      </c>
      <c r="C813" s="30" t="s">
        <v>20</v>
      </c>
      <c r="D813" s="68"/>
      <c r="E813" s="69">
        <f>ROUND(IFERROR(VLOOKUP(A813,'CAP16-18'!$A:$G,7,FALSE()),""),0)</f>
        <v>680409</v>
      </c>
      <c r="F813" s="69">
        <f t="shared" si="44"/>
        <v>0</v>
      </c>
    </row>
    <row r="814" spans="1:6">
      <c r="A814" s="67" t="s">
        <v>1637</v>
      </c>
      <c r="B814" s="29" t="s">
        <v>1638</v>
      </c>
      <c r="C814" s="30" t="s">
        <v>20</v>
      </c>
      <c r="D814" s="68"/>
      <c r="E814" s="69">
        <f>ROUND(IFERROR(VLOOKUP(A814,'CAP16-18'!$A:$G,7,FALSE()),""),0)</f>
        <v>219067</v>
      </c>
      <c r="F814" s="69">
        <f t="shared" si="44"/>
        <v>0</v>
      </c>
    </row>
    <row r="815" spans="1:6">
      <c r="A815" s="67" t="s">
        <v>1639</v>
      </c>
      <c r="B815" s="29" t="s">
        <v>1640</v>
      </c>
      <c r="C815" s="30" t="s">
        <v>20</v>
      </c>
      <c r="D815" s="68"/>
      <c r="E815" s="69">
        <f>ROUND(IFERROR(VLOOKUP(A815,'CAP16-18'!$A:$G,7,FALSE()),""),0)</f>
        <v>356365</v>
      </c>
      <c r="F815" s="69">
        <f t="shared" si="44"/>
        <v>0</v>
      </c>
    </row>
    <row r="816" spans="1:6">
      <c r="A816" s="67" t="s">
        <v>1641</v>
      </c>
      <c r="B816" s="29" t="s">
        <v>1642</v>
      </c>
      <c r="C816" s="30" t="s">
        <v>20</v>
      </c>
      <c r="D816" s="68"/>
      <c r="E816" s="69">
        <f>ROUND(IFERROR(VLOOKUP(A816,'CAP16-18'!$A:$G,7,FALSE()),""),0)</f>
        <v>234981</v>
      </c>
      <c r="F816" s="69">
        <f t="shared" si="44"/>
        <v>0</v>
      </c>
    </row>
    <row r="817" spans="1:8">
      <c r="A817" s="67" t="s">
        <v>1643</v>
      </c>
      <c r="B817" s="29" t="s">
        <v>1644</v>
      </c>
      <c r="C817" s="30" t="s">
        <v>20</v>
      </c>
      <c r="D817" s="68"/>
      <c r="E817" s="69">
        <f>ROUND(IFERROR(VLOOKUP(A817,'CAP16-18'!$A:$G,7,FALSE()),""),0)</f>
        <v>261991</v>
      </c>
      <c r="F817" s="69">
        <f t="shared" si="44"/>
        <v>0</v>
      </c>
    </row>
    <row r="818" spans="1:8">
      <c r="A818" s="67" t="s">
        <v>1645</v>
      </c>
      <c r="B818" s="29" t="s">
        <v>1646</v>
      </c>
      <c r="C818" s="30" t="s">
        <v>23</v>
      </c>
      <c r="D818" s="68"/>
      <c r="E818" s="69">
        <f>ROUND(IFERROR(VLOOKUP(A818,'CAP16-18'!$A:$G,7,FALSE()),""),0)</f>
        <v>299710</v>
      </c>
      <c r="F818" s="69">
        <f t="shared" si="44"/>
        <v>0</v>
      </c>
    </row>
    <row r="819" spans="1:8">
      <c r="A819" s="67" t="s">
        <v>1647</v>
      </c>
      <c r="B819" s="29" t="s">
        <v>1648</v>
      </c>
      <c r="C819" s="30" t="s">
        <v>23</v>
      </c>
      <c r="D819" s="68"/>
      <c r="E819" s="69">
        <f>ROUND(IFERROR(VLOOKUP(A819,'CAP16-18'!$A:$G,7,FALSE()),""),0)</f>
        <v>132625</v>
      </c>
      <c r="F819" s="69">
        <f t="shared" si="44"/>
        <v>0</v>
      </c>
    </row>
    <row r="820" spans="1:8">
      <c r="A820" s="67" t="s">
        <v>1649</v>
      </c>
      <c r="B820" s="29" t="s">
        <v>1650</v>
      </c>
      <c r="C820" s="30" t="s">
        <v>23</v>
      </c>
      <c r="D820" s="68"/>
      <c r="E820" s="69">
        <f>ROUND(IFERROR(VLOOKUP(A820,'CAP16-18'!$A:$G,7,FALSE()),""),0)</f>
        <v>117692</v>
      </c>
      <c r="F820" s="69">
        <f t="shared" si="44"/>
        <v>0</v>
      </c>
    </row>
    <row r="821" spans="1:8">
      <c r="A821" s="67" t="s">
        <v>1651</v>
      </c>
      <c r="B821" s="29" t="s">
        <v>1652</v>
      </c>
      <c r="C821" s="30" t="s">
        <v>20</v>
      </c>
      <c r="D821" s="68"/>
      <c r="E821" s="69">
        <f>ROUND(IFERROR(VLOOKUP(A821,'CAP16-18'!$A:$G,7,FALSE()),""),0)</f>
        <v>23971</v>
      </c>
      <c r="F821" s="69">
        <f t="shared" si="44"/>
        <v>0</v>
      </c>
    </row>
    <row r="822" spans="1:8">
      <c r="A822" s="67" t="s">
        <v>1653</v>
      </c>
      <c r="B822" s="29" t="s">
        <v>1654</v>
      </c>
      <c r="C822" s="30" t="s">
        <v>20</v>
      </c>
      <c r="D822" s="68"/>
      <c r="E822" s="69">
        <f>ROUND(IFERROR(VLOOKUP(A822,'CAP16-18'!$A:$G,7,FALSE()),""),0)</f>
        <v>187609</v>
      </c>
      <c r="F822" s="69">
        <f t="shared" si="44"/>
        <v>0</v>
      </c>
    </row>
    <row r="823" spans="1:8">
      <c r="A823" s="67" t="s">
        <v>1655</v>
      </c>
      <c r="B823" s="29" t="s">
        <v>1656</v>
      </c>
      <c r="C823" s="30" t="s">
        <v>20</v>
      </c>
      <c r="D823" s="68"/>
      <c r="E823" s="69">
        <f>ROUND(IFERROR(VLOOKUP(A823,'CAP16-18'!$A:$G,7,FALSE()),""),0)</f>
        <v>238416</v>
      </c>
      <c r="F823" s="69">
        <f t="shared" si="44"/>
        <v>0</v>
      </c>
    </row>
    <row r="824" spans="1:8">
      <c r="A824" s="67" t="s">
        <v>1657</v>
      </c>
      <c r="B824" s="29" t="s">
        <v>1658</v>
      </c>
      <c r="C824" s="30" t="s">
        <v>30</v>
      </c>
      <c r="D824" s="68"/>
      <c r="E824" s="69">
        <f>ROUND(IFERROR(VLOOKUP(A824,'CAP16-18'!$A:$G,7,FALSE()),""),0)</f>
        <v>31035</v>
      </c>
      <c r="F824" s="69">
        <f t="shared" si="44"/>
        <v>0</v>
      </c>
    </row>
    <row r="825" spans="1:8">
      <c r="A825" s="67" t="s">
        <v>1659</v>
      </c>
      <c r="B825" s="29" t="s">
        <v>1660</v>
      </c>
      <c r="C825" s="30" t="s">
        <v>23</v>
      </c>
      <c r="D825" s="68"/>
      <c r="E825" s="69">
        <f>ROUND(IFERROR(VLOOKUP(A825,'CAP16-18'!$A:$G,7,FALSE()),""),0)</f>
        <v>87456</v>
      </c>
      <c r="F825" s="69">
        <f t="shared" si="44"/>
        <v>0</v>
      </c>
    </row>
    <row r="826" spans="1:8">
      <c r="A826" s="67" t="s">
        <v>1661</v>
      </c>
      <c r="B826" s="29" t="s">
        <v>1662</v>
      </c>
      <c r="C826" s="30" t="s">
        <v>20</v>
      </c>
      <c r="D826" s="68"/>
      <c r="E826" s="69">
        <f>ROUND(IFERROR(VLOOKUP(A826,'CAP16-18'!$A:$G,7,FALSE()),""),0)</f>
        <v>213749</v>
      </c>
      <c r="F826" s="69">
        <f t="shared" si="44"/>
        <v>0</v>
      </c>
    </row>
    <row r="827" spans="1:8">
      <c r="A827" s="67" t="s">
        <v>1663</v>
      </c>
      <c r="B827" s="29" t="s">
        <v>1664</v>
      </c>
      <c r="C827" s="30" t="s">
        <v>20</v>
      </c>
      <c r="D827" s="68"/>
      <c r="E827" s="69">
        <f>ROUND(IFERROR(VLOOKUP(A827,'CAP16-18'!$A:$G,7,FALSE()),""),0)</f>
        <v>918866</v>
      </c>
      <c r="F827" s="69">
        <f t="shared" si="44"/>
        <v>0</v>
      </c>
    </row>
    <row r="828" spans="1:8">
      <c r="A828" s="67" t="s">
        <v>1665</v>
      </c>
      <c r="B828" s="29" t="s">
        <v>1666</v>
      </c>
      <c r="C828" s="30" t="s">
        <v>20</v>
      </c>
      <c r="D828" s="68"/>
      <c r="E828" s="69">
        <f>ROUND(IFERROR(VLOOKUP(A828,'CAP16-18'!$A:$G,7,FALSE()),""),0)</f>
        <v>355245</v>
      </c>
      <c r="F828" s="69">
        <f t="shared" si="44"/>
        <v>0</v>
      </c>
    </row>
    <row r="829" spans="1:8">
      <c r="A829" s="67" t="s">
        <v>1667</v>
      </c>
      <c r="B829" s="29" t="s">
        <v>1668</v>
      </c>
      <c r="C829" s="30" t="s">
        <v>20</v>
      </c>
      <c r="D829" s="68"/>
      <c r="E829" s="69">
        <f>ROUND(IFERROR(VLOOKUP(A829,'CAP16-18'!$A:$G,7,FALSE()),""),0)</f>
        <v>444031</v>
      </c>
      <c r="F829" s="69">
        <f t="shared" si="44"/>
        <v>0</v>
      </c>
    </row>
    <row r="830" spans="1:8">
      <c r="A830" s="67" t="s">
        <v>1669</v>
      </c>
      <c r="B830" s="29" t="s">
        <v>1670</v>
      </c>
      <c r="C830" s="30" t="s">
        <v>20</v>
      </c>
      <c r="D830" s="68"/>
      <c r="E830" s="69">
        <f>ROUND(IFERROR(VLOOKUP(A830,'CAP16-18'!$A:$G,7,FALSE()),""),0)</f>
        <v>278474</v>
      </c>
      <c r="F830" s="69">
        <f t="shared" si="44"/>
        <v>0</v>
      </c>
    </row>
    <row r="831" spans="1:8">
      <c r="A831" s="67" t="s">
        <v>1671</v>
      </c>
      <c r="B831" s="29" t="s">
        <v>1672</v>
      </c>
      <c r="C831" s="30" t="s">
        <v>23</v>
      </c>
      <c r="D831" s="68"/>
      <c r="E831" s="69">
        <f>ROUND(IFERROR(VLOOKUP(A831,'CAP16-18'!$A:$G,7,FALSE()),""),0)</f>
        <v>269412</v>
      </c>
      <c r="F831" s="69">
        <f t="shared" si="44"/>
        <v>0</v>
      </c>
    </row>
    <row r="832" spans="1:8" s="74" customFormat="1">
      <c r="A832" s="60" t="s">
        <v>1673</v>
      </c>
      <c r="B832" s="61" t="s">
        <v>1674</v>
      </c>
      <c r="C832" s="62"/>
      <c r="D832" s="63"/>
      <c r="E832" s="64"/>
      <c r="F832" s="65">
        <f>SUM(F833:F834)</f>
        <v>0</v>
      </c>
      <c r="G832" s="66">
        <f>IFERROR(F832/$F$1279,"")</f>
        <v>0</v>
      </c>
      <c r="H832" s="3"/>
    </row>
    <row r="833" spans="1:8">
      <c r="A833" s="67" t="s">
        <v>1675</v>
      </c>
      <c r="B833" s="29" t="s">
        <v>1676</v>
      </c>
      <c r="C833" s="30" t="s">
        <v>23</v>
      </c>
      <c r="D833" s="68"/>
      <c r="E833" s="69">
        <f>ROUND(IFERROR(VLOOKUP(A833,'CAP16-18'!$A:$G,7,FALSE()),""),0)</f>
        <v>2207575</v>
      </c>
      <c r="F833" s="69">
        <f>IFERROR(E833*D833,"")</f>
        <v>0</v>
      </c>
    </row>
    <row r="834" spans="1:8">
      <c r="A834" s="67" t="s">
        <v>1677</v>
      </c>
      <c r="B834" s="29" t="s">
        <v>1678</v>
      </c>
      <c r="C834" s="30" t="s">
        <v>23</v>
      </c>
      <c r="D834" s="68"/>
      <c r="E834" s="69">
        <f>ROUND(IFERROR(VLOOKUP(A834,'CAP16-18'!$A:$G,7,FALSE()),""),0)</f>
        <v>154952286</v>
      </c>
      <c r="F834" s="69">
        <f>IFERROR(E834*D834,"")</f>
        <v>0</v>
      </c>
    </row>
    <row r="835" spans="1:8" s="74" customFormat="1">
      <c r="A835" s="60" t="s">
        <v>1679</v>
      </c>
      <c r="B835" s="61" t="s">
        <v>1680</v>
      </c>
      <c r="C835" s="62"/>
      <c r="D835" s="63"/>
      <c r="E835" s="64"/>
      <c r="F835" s="65">
        <f>SUM(F836:F859)</f>
        <v>0</v>
      </c>
      <c r="G835" s="66">
        <f>IFERROR(F835/$F$1279,"")</f>
        <v>0</v>
      </c>
      <c r="H835" s="3"/>
    </row>
    <row r="836" spans="1:8">
      <c r="A836" s="67" t="s">
        <v>1681</v>
      </c>
      <c r="B836" s="29" t="s">
        <v>1682</v>
      </c>
      <c r="C836" s="30" t="s">
        <v>23</v>
      </c>
      <c r="D836" s="68"/>
      <c r="E836" s="69">
        <f>ROUND(IFERROR(VLOOKUP(A836,'CAP16-18'!$A:$G,7,FALSE()),""),0)</f>
        <v>913555</v>
      </c>
      <c r="F836" s="69">
        <f t="shared" ref="F836:F859" si="45">IFERROR(E836*D836,"")</f>
        <v>0</v>
      </c>
    </row>
    <row r="837" spans="1:8">
      <c r="A837" s="67" t="s">
        <v>1683</v>
      </c>
      <c r="B837" s="29" t="s">
        <v>1684</v>
      </c>
      <c r="C837" s="30" t="s">
        <v>23</v>
      </c>
      <c r="D837" s="68"/>
      <c r="E837" s="69">
        <f>ROUND(IFERROR(VLOOKUP(A837,'CAP16-18'!$A:$G,7,FALSE()),""),0)</f>
        <v>1854815</v>
      </c>
      <c r="F837" s="69">
        <f t="shared" si="45"/>
        <v>0</v>
      </c>
    </row>
    <row r="838" spans="1:8">
      <c r="A838" s="67" t="s">
        <v>1685</v>
      </c>
      <c r="B838" s="29" t="s">
        <v>1686</v>
      </c>
      <c r="C838" s="30" t="s">
        <v>23</v>
      </c>
      <c r="D838" s="68"/>
      <c r="E838" s="69">
        <f>ROUND(IFERROR(VLOOKUP(A838,'CAP16-18'!$A:$G,7,FALSE()),""),0)</f>
        <v>1335806</v>
      </c>
      <c r="F838" s="69">
        <f t="shared" si="45"/>
        <v>0</v>
      </c>
    </row>
    <row r="839" spans="1:8">
      <c r="A839" s="67" t="s">
        <v>1687</v>
      </c>
      <c r="B839" s="29" t="s">
        <v>1688</v>
      </c>
      <c r="C839" s="30" t="s">
        <v>23</v>
      </c>
      <c r="D839" s="68"/>
      <c r="E839" s="69">
        <f>ROUND(IFERROR(VLOOKUP(A839,'CAP16-18'!$A:$G,7,FALSE()),""),0)</f>
        <v>3684763</v>
      </c>
      <c r="F839" s="69">
        <f t="shared" si="45"/>
        <v>0</v>
      </c>
    </row>
    <row r="840" spans="1:8">
      <c r="A840" s="67" t="s">
        <v>1689</v>
      </c>
      <c r="B840" s="29" t="s">
        <v>1690</v>
      </c>
      <c r="C840" s="30" t="s">
        <v>23</v>
      </c>
      <c r="D840" s="68"/>
      <c r="E840" s="69">
        <f>ROUND(IFERROR(VLOOKUP(A840,'CAP16-18'!$A:$G,7,FALSE()),""),0)</f>
        <v>456227</v>
      </c>
      <c r="F840" s="69">
        <f t="shared" si="45"/>
        <v>0</v>
      </c>
    </row>
    <row r="841" spans="1:8">
      <c r="A841" s="67" t="s">
        <v>1691</v>
      </c>
      <c r="B841" s="29" t="s">
        <v>1692</v>
      </c>
      <c r="C841" s="30" t="s">
        <v>52</v>
      </c>
      <c r="D841" s="68"/>
      <c r="E841" s="69">
        <f>ROUND(IFERROR(VLOOKUP(A841,'CAP16-18'!$A:$G,7,FALSE()),""),0)</f>
        <v>151693</v>
      </c>
      <c r="F841" s="69">
        <f t="shared" si="45"/>
        <v>0</v>
      </c>
    </row>
    <row r="842" spans="1:8" ht="25.5">
      <c r="A842" s="67" t="s">
        <v>1693</v>
      </c>
      <c r="B842" s="29" t="s">
        <v>1694</v>
      </c>
      <c r="C842" s="30" t="s">
        <v>30</v>
      </c>
      <c r="D842" s="68"/>
      <c r="E842" s="69">
        <f>ROUND(IFERROR(VLOOKUP(A842,'CAP16-18'!$A:$G,7,FALSE()),""),0)</f>
        <v>584356</v>
      </c>
      <c r="F842" s="69">
        <f t="shared" si="45"/>
        <v>0</v>
      </c>
    </row>
    <row r="843" spans="1:8" ht="25.5">
      <c r="A843" s="67" t="s">
        <v>1695</v>
      </c>
      <c r="B843" s="29" t="s">
        <v>1696</v>
      </c>
      <c r="C843" s="30" t="s">
        <v>30</v>
      </c>
      <c r="D843" s="68"/>
      <c r="E843" s="69">
        <f>ROUND(IFERROR(VLOOKUP(A843,'CAP16-18'!$A:$G,7,FALSE()),""),0)</f>
        <v>709703</v>
      </c>
      <c r="F843" s="69">
        <f t="shared" si="45"/>
        <v>0</v>
      </c>
    </row>
    <row r="844" spans="1:8">
      <c r="A844" s="67" t="s">
        <v>1697</v>
      </c>
      <c r="B844" s="29" t="s">
        <v>1698</v>
      </c>
      <c r="C844" s="30" t="s">
        <v>30</v>
      </c>
      <c r="D844" s="68"/>
      <c r="E844" s="69">
        <f>ROUND(IFERROR(VLOOKUP(A844,'CAP16-18'!$A:$G,7,FALSE()),""),0)</f>
        <v>560746</v>
      </c>
      <c r="F844" s="69">
        <f t="shared" si="45"/>
        <v>0</v>
      </c>
    </row>
    <row r="845" spans="1:8" ht="25.5">
      <c r="A845" s="67" t="s">
        <v>1699</v>
      </c>
      <c r="B845" s="29" t="s">
        <v>1700</v>
      </c>
      <c r="C845" s="30" t="s">
        <v>30</v>
      </c>
      <c r="D845" s="68"/>
      <c r="E845" s="69">
        <f>ROUND(IFERROR(VLOOKUP(A845,'CAP16-18'!$A:$G,7,FALSE()),""),0)</f>
        <v>724014</v>
      </c>
      <c r="F845" s="69">
        <f t="shared" si="45"/>
        <v>0</v>
      </c>
    </row>
    <row r="846" spans="1:8">
      <c r="A846" s="67" t="s">
        <v>1701</v>
      </c>
      <c r="B846" s="29" t="s">
        <v>1702</v>
      </c>
      <c r="C846" s="30" t="s">
        <v>30</v>
      </c>
      <c r="D846" s="68"/>
      <c r="E846" s="69">
        <f>ROUND(IFERROR(VLOOKUP(A846,'CAP16-18'!$A:$G,7,FALSE()),""),0)</f>
        <v>167174</v>
      </c>
      <c r="F846" s="69">
        <f t="shared" si="45"/>
        <v>0</v>
      </c>
    </row>
    <row r="847" spans="1:8">
      <c r="A847" s="67" t="s">
        <v>1703</v>
      </c>
      <c r="B847" s="29" t="s">
        <v>1704</v>
      </c>
      <c r="C847" s="30" t="s">
        <v>30</v>
      </c>
      <c r="D847" s="68"/>
      <c r="E847" s="69">
        <f>ROUND(IFERROR(VLOOKUP(A847,'CAP16-18'!$A:$G,7,FALSE()),""),0)</f>
        <v>276600</v>
      </c>
      <c r="F847" s="69">
        <f t="shared" si="45"/>
        <v>0</v>
      </c>
    </row>
    <row r="848" spans="1:8">
      <c r="A848" s="67" t="s">
        <v>1705</v>
      </c>
      <c r="B848" s="29" t="s">
        <v>1706</v>
      </c>
      <c r="C848" s="30" t="s">
        <v>30</v>
      </c>
      <c r="D848" s="68"/>
      <c r="E848" s="69">
        <f>ROUND(IFERROR(VLOOKUP(A848,'CAP16-18'!$A:$G,7,FALSE()),""),0)</f>
        <v>261103</v>
      </c>
      <c r="F848" s="69">
        <f t="shared" si="45"/>
        <v>0</v>
      </c>
    </row>
    <row r="849" spans="1:8">
      <c r="A849" s="67" t="s">
        <v>1707</v>
      </c>
      <c r="B849" s="29" t="s">
        <v>1708</v>
      </c>
      <c r="C849" s="30" t="s">
        <v>23</v>
      </c>
      <c r="D849" s="68"/>
      <c r="E849" s="69">
        <f>ROUND(IFERROR(VLOOKUP(A849,'CAP16-18'!$A:$G,7,FALSE()),""),0)</f>
        <v>3128546</v>
      </c>
      <c r="F849" s="69">
        <f t="shared" si="45"/>
        <v>0</v>
      </c>
    </row>
    <row r="850" spans="1:8">
      <c r="A850" s="67" t="s">
        <v>1709</v>
      </c>
      <c r="B850" s="29" t="s">
        <v>1710</v>
      </c>
      <c r="C850" s="30" t="s">
        <v>20</v>
      </c>
      <c r="D850" s="68"/>
      <c r="E850" s="69">
        <f>ROUND(IFERROR(VLOOKUP(A850,'CAP16-18'!$A:$G,7,FALSE()),""),0)</f>
        <v>46132</v>
      </c>
      <c r="F850" s="69">
        <f t="shared" si="45"/>
        <v>0</v>
      </c>
    </row>
    <row r="851" spans="1:8">
      <c r="A851" s="67" t="s">
        <v>1711</v>
      </c>
      <c r="B851" s="29" t="s">
        <v>1712</v>
      </c>
      <c r="C851" s="30" t="s">
        <v>20</v>
      </c>
      <c r="D851" s="68"/>
      <c r="E851" s="69">
        <f>ROUND(IFERROR(VLOOKUP(A851,'CAP16-18'!$A:$G,7,FALSE()),""),0)</f>
        <v>24643</v>
      </c>
      <c r="F851" s="69">
        <f t="shared" si="45"/>
        <v>0</v>
      </c>
    </row>
    <row r="852" spans="1:8">
      <c r="A852" s="67" t="s">
        <v>1713</v>
      </c>
      <c r="B852" s="29" t="s">
        <v>1714</v>
      </c>
      <c r="C852" s="30" t="s">
        <v>20</v>
      </c>
      <c r="D852" s="68"/>
      <c r="E852" s="69">
        <f>ROUND(IFERROR(VLOOKUP(A852,'CAP16-18'!$A:$G,7,FALSE()),""),0)</f>
        <v>39835</v>
      </c>
      <c r="F852" s="69">
        <f t="shared" si="45"/>
        <v>0</v>
      </c>
    </row>
    <row r="853" spans="1:8">
      <c r="A853" s="67" t="s">
        <v>1715</v>
      </c>
      <c r="B853" s="29" t="s">
        <v>1716</v>
      </c>
      <c r="C853" s="30" t="s">
        <v>20</v>
      </c>
      <c r="D853" s="68"/>
      <c r="E853" s="69">
        <f>ROUND(IFERROR(VLOOKUP(A853,'CAP16-18'!$A:$G,7,FALSE()),""),0)</f>
        <v>86661</v>
      </c>
      <c r="F853" s="69">
        <f t="shared" si="45"/>
        <v>0</v>
      </c>
    </row>
    <row r="854" spans="1:8">
      <c r="A854" s="67" t="s">
        <v>1717</v>
      </c>
      <c r="B854" s="29" t="s">
        <v>1718</v>
      </c>
      <c r="C854" s="30" t="s">
        <v>23</v>
      </c>
      <c r="D854" s="68"/>
      <c r="E854" s="69">
        <f>ROUND(IFERROR(VLOOKUP(A854,'CAP16-18'!$A:$G,7,FALSE()),""),0)</f>
        <v>92185</v>
      </c>
      <c r="F854" s="69">
        <f t="shared" si="45"/>
        <v>0</v>
      </c>
    </row>
    <row r="855" spans="1:8">
      <c r="A855" s="67" t="s">
        <v>1719</v>
      </c>
      <c r="B855" s="29" t="s">
        <v>1720</v>
      </c>
      <c r="C855" s="30" t="s">
        <v>20</v>
      </c>
      <c r="D855" s="68"/>
      <c r="E855" s="69">
        <f>ROUND(IFERROR(VLOOKUP(A855,'CAP16-18'!$A:$G,7,FALSE()),""),0)</f>
        <v>64483</v>
      </c>
      <c r="F855" s="69">
        <f t="shared" si="45"/>
        <v>0</v>
      </c>
    </row>
    <row r="856" spans="1:8">
      <c r="A856" s="67" t="s">
        <v>1721</v>
      </c>
      <c r="B856" s="29" t="s">
        <v>1722</v>
      </c>
      <c r="C856" s="30" t="s">
        <v>23</v>
      </c>
      <c r="D856" s="68"/>
      <c r="E856" s="69">
        <f>ROUND(IFERROR(VLOOKUP(A856,'CAP16-18'!$A:$G,7,FALSE()),""),0)</f>
        <v>81489</v>
      </c>
      <c r="F856" s="69">
        <f t="shared" si="45"/>
        <v>0</v>
      </c>
    </row>
    <row r="857" spans="1:8">
      <c r="A857" s="67" t="s">
        <v>1723</v>
      </c>
      <c r="B857" s="29" t="s">
        <v>1724</v>
      </c>
      <c r="C857" s="30" t="s">
        <v>20</v>
      </c>
      <c r="D857" s="68"/>
      <c r="E857" s="69">
        <f>ROUND(IFERROR(VLOOKUP(A857,'CAP16-18'!$A:$G,7,FALSE()),""),0)</f>
        <v>5873</v>
      </c>
      <c r="F857" s="69">
        <f t="shared" si="45"/>
        <v>0</v>
      </c>
    </row>
    <row r="858" spans="1:8">
      <c r="A858" s="67" t="s">
        <v>1725</v>
      </c>
      <c r="B858" s="29" t="s">
        <v>1726</v>
      </c>
      <c r="C858" s="30" t="s">
        <v>20</v>
      </c>
      <c r="D858" s="68"/>
      <c r="E858" s="69">
        <f>ROUND(IFERROR(VLOOKUP(A858,'CAP16-18'!$A:$G,7,FALSE()),""),0)</f>
        <v>21882</v>
      </c>
      <c r="F858" s="69">
        <f t="shared" si="45"/>
        <v>0</v>
      </c>
    </row>
    <row r="859" spans="1:8">
      <c r="A859" s="67" t="s">
        <v>1727</v>
      </c>
      <c r="B859" s="29" t="s">
        <v>1728</v>
      </c>
      <c r="C859" s="30" t="s">
        <v>1729</v>
      </c>
      <c r="D859" s="68"/>
      <c r="E859" s="69">
        <f>ROUND(IFERROR(VLOOKUP(A859,'CAP16-18'!$A:$G,7,FALSE()),""),0)</f>
        <v>4807719</v>
      </c>
      <c r="F859" s="69">
        <f t="shared" si="45"/>
        <v>0</v>
      </c>
    </row>
    <row r="860" spans="1:8" s="74" customFormat="1">
      <c r="A860" s="60" t="s">
        <v>1730</v>
      </c>
      <c r="B860" s="61" t="s">
        <v>1731</v>
      </c>
      <c r="C860" s="62"/>
      <c r="D860" s="63"/>
      <c r="E860" s="64"/>
      <c r="F860" s="65">
        <f>SUM(F861:F937)</f>
        <v>0</v>
      </c>
      <c r="G860" s="66">
        <f>IFERROR(F860/$F$1279,"")</f>
        <v>0</v>
      </c>
      <c r="H860" s="3"/>
    </row>
    <row r="861" spans="1:8">
      <c r="A861" s="67" t="s">
        <v>1732</v>
      </c>
      <c r="B861" s="29" t="s">
        <v>1733</v>
      </c>
      <c r="C861" s="30" t="s">
        <v>30</v>
      </c>
      <c r="D861" s="68"/>
      <c r="E861" s="69">
        <f>ROUND(IFERROR(VLOOKUP(A861,'CAP19-22'!$A:$G,7,FALSE()),""),0)</f>
        <v>385923</v>
      </c>
      <c r="F861" s="69">
        <f t="shared" ref="F861:F892" si="46">IFERROR(E861*D861,"")</f>
        <v>0</v>
      </c>
    </row>
    <row r="862" spans="1:8">
      <c r="A862" s="67" t="s">
        <v>1734</v>
      </c>
      <c r="B862" s="29" t="s">
        <v>1735</v>
      </c>
      <c r="C862" s="30" t="s">
        <v>30</v>
      </c>
      <c r="D862" s="68"/>
      <c r="E862" s="69">
        <f>ROUND(IFERROR(VLOOKUP(A862,'CAP19-22'!$A:$G,7,FALSE()),""),0)</f>
        <v>426175</v>
      </c>
      <c r="F862" s="69">
        <f t="shared" si="46"/>
        <v>0</v>
      </c>
    </row>
    <row r="863" spans="1:8">
      <c r="A863" s="67" t="s">
        <v>1736</v>
      </c>
      <c r="B863" s="29" t="s">
        <v>1737</v>
      </c>
      <c r="C863" s="30" t="s">
        <v>30</v>
      </c>
      <c r="D863" s="68"/>
      <c r="E863" s="69">
        <f>ROUND(IFERROR(VLOOKUP(A863,'CAP19-22'!$A:$G,7,FALSE()),""),0)</f>
        <v>813400</v>
      </c>
      <c r="F863" s="69">
        <f t="shared" si="46"/>
        <v>0</v>
      </c>
    </row>
    <row r="864" spans="1:8">
      <c r="A864" s="67" t="s">
        <v>1738</v>
      </c>
      <c r="B864" s="29" t="s">
        <v>1739</v>
      </c>
      <c r="C864" s="30" t="s">
        <v>30</v>
      </c>
      <c r="D864" s="68"/>
      <c r="E864" s="69">
        <f>ROUND(IFERROR(VLOOKUP(A864,'CAP19-22'!$A:$G,7,FALSE()),""),0)</f>
        <v>559295</v>
      </c>
      <c r="F864" s="69">
        <f t="shared" si="46"/>
        <v>0</v>
      </c>
    </row>
    <row r="865" spans="1:6" ht="25.5">
      <c r="A865" s="67" t="s">
        <v>1740</v>
      </c>
      <c r="B865" s="29" t="s">
        <v>1741</v>
      </c>
      <c r="C865" s="30" t="s">
        <v>30</v>
      </c>
      <c r="D865" s="68"/>
      <c r="E865" s="69">
        <f>ROUND(IFERROR(VLOOKUP(A865,'CAP19-22'!$A:$G,7,FALSE()),""),0)</f>
        <v>690081</v>
      </c>
      <c r="F865" s="69">
        <f t="shared" si="46"/>
        <v>0</v>
      </c>
    </row>
    <row r="866" spans="1:6">
      <c r="A866" s="67" t="s">
        <v>1742</v>
      </c>
      <c r="B866" s="29" t="s">
        <v>1743</v>
      </c>
      <c r="C866" s="30" t="s">
        <v>30</v>
      </c>
      <c r="D866" s="68"/>
      <c r="E866" s="69">
        <f>ROUND(IFERROR(VLOOKUP(A866,'CAP19-22'!$A:$G,7,FALSE()),""),0)</f>
        <v>254058</v>
      </c>
      <c r="F866" s="69">
        <f t="shared" si="46"/>
        <v>0</v>
      </c>
    </row>
    <row r="867" spans="1:6">
      <c r="A867" s="67" t="s">
        <v>1744</v>
      </c>
      <c r="B867" s="29" t="s">
        <v>1745</v>
      </c>
      <c r="C867" s="30" t="s">
        <v>30</v>
      </c>
      <c r="D867" s="68"/>
      <c r="E867" s="69">
        <f>ROUND(IFERROR(VLOOKUP(A867,'CAP19-22'!$A:$G,7,FALSE()),""),0)</f>
        <v>180562</v>
      </c>
      <c r="F867" s="69">
        <f t="shared" si="46"/>
        <v>0</v>
      </c>
    </row>
    <row r="868" spans="1:6">
      <c r="A868" s="67" t="s">
        <v>1746</v>
      </c>
      <c r="B868" s="29" t="s">
        <v>1747</v>
      </c>
      <c r="C868" s="30" t="s">
        <v>30</v>
      </c>
      <c r="D868" s="68"/>
      <c r="E868" s="69">
        <f>ROUND(IFERROR(VLOOKUP(A868,'CAP19-22'!$A:$G,7,FALSE()),""),0)</f>
        <v>209333</v>
      </c>
      <c r="F868" s="69">
        <f t="shared" si="46"/>
        <v>0</v>
      </c>
    </row>
    <row r="869" spans="1:6">
      <c r="A869" s="67" t="s">
        <v>1748</v>
      </c>
      <c r="B869" s="29" t="s">
        <v>1749</v>
      </c>
      <c r="C869" s="30" t="s">
        <v>30</v>
      </c>
      <c r="D869" s="68"/>
      <c r="E869" s="69">
        <f>ROUND(IFERROR(VLOOKUP(A869,'CAP19-22'!$A:$G,7,FALSE()),""),0)</f>
        <v>213541</v>
      </c>
      <c r="F869" s="69">
        <f t="shared" si="46"/>
        <v>0</v>
      </c>
    </row>
    <row r="870" spans="1:6">
      <c r="A870" s="67" t="s">
        <v>1750</v>
      </c>
      <c r="B870" s="29" t="s">
        <v>1751</v>
      </c>
      <c r="C870" s="30" t="s">
        <v>30</v>
      </c>
      <c r="D870" s="68"/>
      <c r="E870" s="69">
        <f>ROUND(IFERROR(VLOOKUP(A870,'CAP19-22'!$A:$G,7,FALSE()),""),0)</f>
        <v>195647</v>
      </c>
      <c r="F870" s="69">
        <f t="shared" si="46"/>
        <v>0</v>
      </c>
    </row>
    <row r="871" spans="1:6">
      <c r="A871" s="67" t="s">
        <v>1752</v>
      </c>
      <c r="B871" s="29" t="s">
        <v>1753</v>
      </c>
      <c r="C871" s="30" t="s">
        <v>30</v>
      </c>
      <c r="D871" s="68"/>
      <c r="E871" s="69">
        <f>ROUND(IFERROR(VLOOKUP(A871,'CAP19-22'!$A:$G,7,FALSE()),""),0)</f>
        <v>180559</v>
      </c>
      <c r="F871" s="69">
        <f t="shared" si="46"/>
        <v>0</v>
      </c>
    </row>
    <row r="872" spans="1:6">
      <c r="A872" s="67" t="s">
        <v>1754</v>
      </c>
      <c r="B872" s="29" t="s">
        <v>1755</v>
      </c>
      <c r="C872" s="30" t="s">
        <v>30</v>
      </c>
      <c r="D872" s="68"/>
      <c r="E872" s="69">
        <f>ROUND(IFERROR(VLOOKUP(A872,'CAP19-22'!$A:$G,7,FALSE()),""),0)</f>
        <v>170644</v>
      </c>
      <c r="F872" s="69">
        <f t="shared" si="46"/>
        <v>0</v>
      </c>
    </row>
    <row r="873" spans="1:6">
      <c r="A873" s="67" t="s">
        <v>1756</v>
      </c>
      <c r="B873" s="29" t="s">
        <v>1757</v>
      </c>
      <c r="C873" s="30" t="s">
        <v>30</v>
      </c>
      <c r="D873" s="68"/>
      <c r="E873" s="69">
        <f>ROUND(IFERROR(VLOOKUP(A873,'CAP19-22'!$A:$G,7,FALSE()),""),0)</f>
        <v>167300</v>
      </c>
      <c r="F873" s="69">
        <f t="shared" si="46"/>
        <v>0</v>
      </c>
    </row>
    <row r="874" spans="1:6">
      <c r="A874" s="67" t="s">
        <v>1758</v>
      </c>
      <c r="B874" s="29" t="s">
        <v>1759</v>
      </c>
      <c r="C874" s="30" t="s">
        <v>30</v>
      </c>
      <c r="D874" s="68"/>
      <c r="E874" s="69">
        <f>ROUND(IFERROR(VLOOKUP(A874,'CAP19-22'!$A:$G,7,FALSE()),""),0)</f>
        <v>143189</v>
      </c>
      <c r="F874" s="69">
        <f t="shared" si="46"/>
        <v>0</v>
      </c>
    </row>
    <row r="875" spans="1:6">
      <c r="A875" s="67" t="s">
        <v>1760</v>
      </c>
      <c r="B875" s="29" t="s">
        <v>1761</v>
      </c>
      <c r="C875" s="30" t="s">
        <v>30</v>
      </c>
      <c r="D875" s="68"/>
      <c r="E875" s="69">
        <f>ROUND(IFERROR(VLOOKUP(A875,'CAP19-22'!$A:$G,7,FALSE()),""),0)</f>
        <v>19989</v>
      </c>
      <c r="F875" s="69">
        <f t="shared" si="46"/>
        <v>0</v>
      </c>
    </row>
    <row r="876" spans="1:6">
      <c r="A876" s="67" t="s">
        <v>1762</v>
      </c>
      <c r="B876" s="29" t="s">
        <v>1763</v>
      </c>
      <c r="C876" s="30" t="s">
        <v>52</v>
      </c>
      <c r="D876" s="68"/>
      <c r="E876" s="69">
        <f>ROUND(IFERROR(VLOOKUP(A876,'CAP19-22'!$A:$G,7,FALSE()),""),0)</f>
        <v>1032318</v>
      </c>
      <c r="F876" s="69">
        <f t="shared" si="46"/>
        <v>0</v>
      </c>
    </row>
    <row r="877" spans="1:6">
      <c r="A877" s="67" t="s">
        <v>1764</v>
      </c>
      <c r="B877" s="29" t="s">
        <v>1765</v>
      </c>
      <c r="C877" s="30" t="s">
        <v>52</v>
      </c>
      <c r="D877" s="68"/>
      <c r="E877" s="69">
        <f>ROUND(IFERROR(VLOOKUP(A877,'CAP19-22'!$A:$G,7,FALSE()),""),0)</f>
        <v>1192136</v>
      </c>
      <c r="F877" s="69">
        <f t="shared" si="46"/>
        <v>0</v>
      </c>
    </row>
    <row r="878" spans="1:6">
      <c r="A878" s="67" t="s">
        <v>1766</v>
      </c>
      <c r="B878" s="29" t="s">
        <v>1767</v>
      </c>
      <c r="C878" s="30" t="s">
        <v>30</v>
      </c>
      <c r="D878" s="68"/>
      <c r="E878" s="69">
        <f>ROUND(IFERROR(VLOOKUP(A878,'CAP19-22'!$A:$G,7,FALSE()),""),0)</f>
        <v>46876</v>
      </c>
      <c r="F878" s="69">
        <f t="shared" si="46"/>
        <v>0</v>
      </c>
    </row>
    <row r="879" spans="1:6">
      <c r="A879" s="67" t="s">
        <v>1768</v>
      </c>
      <c r="B879" s="29" t="s">
        <v>1769</v>
      </c>
      <c r="C879" s="30" t="s">
        <v>30</v>
      </c>
      <c r="D879" s="68"/>
      <c r="E879" s="69">
        <f>ROUND(IFERROR(VLOOKUP(A879,'CAP19-22'!$A:$G,7,FALSE()),""),0)</f>
        <v>48778</v>
      </c>
      <c r="F879" s="69">
        <f t="shared" si="46"/>
        <v>0</v>
      </c>
    </row>
    <row r="880" spans="1:6">
      <c r="A880" s="67" t="s">
        <v>1770</v>
      </c>
      <c r="B880" s="29" t="s">
        <v>1771</v>
      </c>
      <c r="C880" s="30" t="s">
        <v>30</v>
      </c>
      <c r="D880" s="68"/>
      <c r="E880" s="69">
        <f>ROUND(IFERROR(VLOOKUP(A880,'CAP19-22'!$A:$G,7,FALSE()),""),0)</f>
        <v>51514</v>
      </c>
      <c r="F880" s="69">
        <f t="shared" si="46"/>
        <v>0</v>
      </c>
    </row>
    <row r="881" spans="1:6">
      <c r="A881" s="67" t="s">
        <v>1772</v>
      </c>
      <c r="B881" s="29" t="s">
        <v>1773</v>
      </c>
      <c r="C881" s="30" t="s">
        <v>30</v>
      </c>
      <c r="D881" s="68"/>
      <c r="E881" s="69">
        <f>ROUND(IFERROR(VLOOKUP(A881,'CAP19-22'!$A:$G,7,FALSE()),""),0)</f>
        <v>19618</v>
      </c>
      <c r="F881" s="69">
        <f t="shared" si="46"/>
        <v>0</v>
      </c>
    </row>
    <row r="882" spans="1:6">
      <c r="A882" s="67" t="s">
        <v>1774</v>
      </c>
      <c r="B882" s="29" t="s">
        <v>1775</v>
      </c>
      <c r="C882" s="30" t="s">
        <v>30</v>
      </c>
      <c r="D882" s="68"/>
      <c r="E882" s="69">
        <f>ROUND(IFERROR(VLOOKUP(A882,'CAP19-22'!$A:$G,7,FALSE()),""),0)</f>
        <v>22508</v>
      </c>
      <c r="F882" s="69">
        <f t="shared" si="46"/>
        <v>0</v>
      </c>
    </row>
    <row r="883" spans="1:6">
      <c r="A883" s="67" t="s">
        <v>1776</v>
      </c>
      <c r="B883" s="29" t="s">
        <v>1777</v>
      </c>
      <c r="C883" s="30" t="s">
        <v>20</v>
      </c>
      <c r="D883" s="68"/>
      <c r="E883" s="69">
        <f>ROUND(IFERROR(VLOOKUP(A883,'CAP19-22'!$A:$G,7,FALSE()),""),0)</f>
        <v>11931</v>
      </c>
      <c r="F883" s="69">
        <f t="shared" si="46"/>
        <v>0</v>
      </c>
    </row>
    <row r="884" spans="1:6">
      <c r="A884" s="67" t="s">
        <v>1778</v>
      </c>
      <c r="B884" s="29" t="s">
        <v>1779</v>
      </c>
      <c r="C884" s="30" t="s">
        <v>23</v>
      </c>
      <c r="D884" s="68"/>
      <c r="E884" s="69">
        <f>ROUND(IFERROR(VLOOKUP(A884,'CAP19-22'!$A:$G,7,FALSE()),""),0)</f>
        <v>172261</v>
      </c>
      <c r="F884" s="69">
        <f t="shared" si="46"/>
        <v>0</v>
      </c>
    </row>
    <row r="885" spans="1:6">
      <c r="A885" s="67" t="s">
        <v>1780</v>
      </c>
      <c r="B885" s="29" t="s">
        <v>1781</v>
      </c>
      <c r="C885" s="30" t="s">
        <v>23</v>
      </c>
      <c r="D885" s="68"/>
      <c r="E885" s="69">
        <f>ROUND(IFERROR(VLOOKUP(A885,'CAP19-22'!$A:$G,7,FALSE()),""),0)</f>
        <v>115673</v>
      </c>
      <c r="F885" s="69">
        <f t="shared" si="46"/>
        <v>0</v>
      </c>
    </row>
    <row r="886" spans="1:6" ht="25.5">
      <c r="A886" s="67" t="s">
        <v>1782</v>
      </c>
      <c r="B886" s="29" t="s">
        <v>1783</v>
      </c>
      <c r="C886" s="30" t="s">
        <v>30</v>
      </c>
      <c r="D886" s="68"/>
      <c r="E886" s="69">
        <f>ROUND(IFERROR(VLOOKUP(A886,'CAP19-22'!$A:$G,7,FALSE()),""),0)</f>
        <v>105379</v>
      </c>
      <c r="F886" s="69">
        <f t="shared" si="46"/>
        <v>0</v>
      </c>
    </row>
    <row r="887" spans="1:6" ht="25.5">
      <c r="A887" s="67" t="s">
        <v>1784</v>
      </c>
      <c r="B887" s="29" t="s">
        <v>1785</v>
      </c>
      <c r="C887" s="30" t="s">
        <v>30</v>
      </c>
      <c r="D887" s="68"/>
      <c r="E887" s="69">
        <f>ROUND(IFERROR(VLOOKUP(A887,'CAP19-22'!$A:$G,7,FALSE()),""),0)</f>
        <v>113039</v>
      </c>
      <c r="F887" s="69">
        <f t="shared" si="46"/>
        <v>0</v>
      </c>
    </row>
    <row r="888" spans="1:6" ht="25.5">
      <c r="A888" s="67" t="s">
        <v>1786</v>
      </c>
      <c r="B888" s="29" t="s">
        <v>1787</v>
      </c>
      <c r="C888" s="30" t="s">
        <v>30</v>
      </c>
      <c r="D888" s="68"/>
      <c r="E888" s="69">
        <f>ROUND(IFERROR(VLOOKUP(A888,'CAP19-22'!$A:$G,7,FALSE()),""),0)</f>
        <v>95990</v>
      </c>
      <c r="F888" s="69">
        <f t="shared" si="46"/>
        <v>0</v>
      </c>
    </row>
    <row r="889" spans="1:6" ht="25.5">
      <c r="A889" s="67" t="s">
        <v>1788</v>
      </c>
      <c r="B889" s="29" t="s">
        <v>1789</v>
      </c>
      <c r="C889" s="30" t="s">
        <v>30</v>
      </c>
      <c r="D889" s="68"/>
      <c r="E889" s="69">
        <f>ROUND(IFERROR(VLOOKUP(A889,'CAP19-22'!$A:$G,7,FALSE()),""),0)</f>
        <v>95475</v>
      </c>
      <c r="F889" s="69">
        <f t="shared" si="46"/>
        <v>0</v>
      </c>
    </row>
    <row r="890" spans="1:6" ht="25.5">
      <c r="A890" s="67" t="s">
        <v>1790</v>
      </c>
      <c r="B890" s="29" t="s">
        <v>1791</v>
      </c>
      <c r="C890" s="30" t="s">
        <v>30</v>
      </c>
      <c r="D890" s="68"/>
      <c r="E890" s="69">
        <f>ROUND(IFERROR(VLOOKUP(A890,'CAP19-22'!$A:$G,7,FALSE()),""),0)</f>
        <v>106899</v>
      </c>
      <c r="F890" s="69">
        <f t="shared" si="46"/>
        <v>0</v>
      </c>
    </row>
    <row r="891" spans="1:6" ht="25.5">
      <c r="A891" s="67" t="s">
        <v>1792</v>
      </c>
      <c r="B891" s="29" t="s">
        <v>1793</v>
      </c>
      <c r="C891" s="30" t="s">
        <v>30</v>
      </c>
      <c r="D891" s="68"/>
      <c r="E891" s="69">
        <f>ROUND(IFERROR(VLOOKUP(A891,'CAP19-22'!$A:$G,7,FALSE()),""),0)</f>
        <v>115131</v>
      </c>
      <c r="F891" s="69">
        <f t="shared" si="46"/>
        <v>0</v>
      </c>
    </row>
    <row r="892" spans="1:6">
      <c r="A892" s="67" t="s">
        <v>1794</v>
      </c>
      <c r="B892" s="29" t="s">
        <v>1795</v>
      </c>
      <c r="C892" s="30" t="s">
        <v>20</v>
      </c>
      <c r="D892" s="68"/>
      <c r="E892" s="69">
        <f>ROUND(IFERROR(VLOOKUP(A892,'CAP19-22'!$A:$G,7,FALSE()),""),0)</f>
        <v>13419</v>
      </c>
      <c r="F892" s="69">
        <f t="shared" si="46"/>
        <v>0</v>
      </c>
    </row>
    <row r="893" spans="1:6">
      <c r="A893" s="67" t="s">
        <v>1796</v>
      </c>
      <c r="B893" s="29" t="s">
        <v>1797</v>
      </c>
      <c r="C893" s="30" t="s">
        <v>20</v>
      </c>
      <c r="D893" s="68"/>
      <c r="E893" s="69">
        <f>ROUND(IFERROR(VLOOKUP(A893,'CAP19-22'!$A:$G,7,FALSE()),""),0)</f>
        <v>19523</v>
      </c>
      <c r="F893" s="69">
        <f t="shared" ref="F893:F924" si="47">IFERROR(E893*D893,"")</f>
        <v>0</v>
      </c>
    </row>
    <row r="894" spans="1:6">
      <c r="A894" s="67" t="s">
        <v>1798</v>
      </c>
      <c r="B894" s="29" t="s">
        <v>1799</v>
      </c>
      <c r="C894" s="30" t="s">
        <v>52</v>
      </c>
      <c r="D894" s="68"/>
      <c r="E894" s="69">
        <f>ROUND(IFERROR(VLOOKUP(A894,'CAP19-22'!$A:$G,7,FALSE()),""),0)</f>
        <v>63460</v>
      </c>
      <c r="F894" s="69">
        <f t="shared" si="47"/>
        <v>0</v>
      </c>
    </row>
    <row r="895" spans="1:6">
      <c r="A895" s="67" t="s">
        <v>1800</v>
      </c>
      <c r="B895" s="29" t="s">
        <v>1801</v>
      </c>
      <c r="C895" s="30" t="s">
        <v>52</v>
      </c>
      <c r="D895" s="68"/>
      <c r="E895" s="69">
        <f>ROUND(IFERROR(VLOOKUP(A895,'CAP19-22'!$A:$G,7,FALSE()),""),0)</f>
        <v>169228</v>
      </c>
      <c r="F895" s="69">
        <f t="shared" si="47"/>
        <v>0</v>
      </c>
    </row>
    <row r="896" spans="1:6">
      <c r="A896" s="67" t="s">
        <v>1802</v>
      </c>
      <c r="B896" s="29" t="s">
        <v>1803</v>
      </c>
      <c r="C896" s="30" t="s">
        <v>52</v>
      </c>
      <c r="D896" s="68"/>
      <c r="E896" s="69">
        <f>ROUND(IFERROR(VLOOKUP(A896,'CAP19-22'!$A:$G,7,FALSE()),""),0)</f>
        <v>56409</v>
      </c>
      <c r="F896" s="69">
        <f t="shared" si="47"/>
        <v>0</v>
      </c>
    </row>
    <row r="897" spans="1:6">
      <c r="A897" s="67" t="s">
        <v>1804</v>
      </c>
      <c r="B897" s="29" t="s">
        <v>1805</v>
      </c>
      <c r="C897" s="30" t="s">
        <v>52</v>
      </c>
      <c r="D897" s="68"/>
      <c r="E897" s="69">
        <f>ROUND(IFERROR(VLOOKUP(A897,'CAP19-22'!$A:$G,7,FALSE()),""),0)</f>
        <v>24704</v>
      </c>
      <c r="F897" s="69">
        <f t="shared" si="47"/>
        <v>0</v>
      </c>
    </row>
    <row r="898" spans="1:6">
      <c r="A898" s="67" t="s">
        <v>1806</v>
      </c>
      <c r="B898" s="29" t="s">
        <v>1807</v>
      </c>
      <c r="C898" s="30" t="s">
        <v>52</v>
      </c>
      <c r="D898" s="68"/>
      <c r="E898" s="69">
        <f>ROUND(IFERROR(VLOOKUP(A898,'CAP19-22'!$A:$G,7,FALSE()),""),0)</f>
        <v>542397</v>
      </c>
      <c r="F898" s="69">
        <f t="shared" si="47"/>
        <v>0</v>
      </c>
    </row>
    <row r="899" spans="1:6">
      <c r="A899" s="67" t="s">
        <v>1808</v>
      </c>
      <c r="B899" s="29" t="s">
        <v>1809</v>
      </c>
      <c r="C899" s="30" t="s">
        <v>52</v>
      </c>
      <c r="D899" s="68"/>
      <c r="E899" s="69">
        <f>ROUND(IFERROR(VLOOKUP(A899,'CAP19-22'!$A:$G,7,FALSE()),""),0)</f>
        <v>409214</v>
      </c>
      <c r="F899" s="69">
        <f t="shared" si="47"/>
        <v>0</v>
      </c>
    </row>
    <row r="900" spans="1:6">
      <c r="A900" s="67" t="s">
        <v>1810</v>
      </c>
      <c r="B900" s="29" t="s">
        <v>1811</v>
      </c>
      <c r="C900" s="30" t="s">
        <v>52</v>
      </c>
      <c r="D900" s="68"/>
      <c r="E900" s="69">
        <f>ROUND(IFERROR(VLOOKUP(A900,'CAP19-22'!$A:$G,7,FALSE()),""),0)</f>
        <v>352928</v>
      </c>
      <c r="F900" s="69">
        <f t="shared" si="47"/>
        <v>0</v>
      </c>
    </row>
    <row r="901" spans="1:6">
      <c r="A901" s="67" t="s">
        <v>1812</v>
      </c>
      <c r="B901" s="29" t="s">
        <v>1813</v>
      </c>
      <c r="C901" s="30" t="s">
        <v>52</v>
      </c>
      <c r="D901" s="68"/>
      <c r="E901" s="69">
        <f>ROUND(IFERROR(VLOOKUP(A901,'CAP19-22'!$A:$G,7,FALSE()),""),0)</f>
        <v>282897</v>
      </c>
      <c r="F901" s="69">
        <f t="shared" si="47"/>
        <v>0</v>
      </c>
    </row>
    <row r="902" spans="1:6">
      <c r="A902" s="67" t="s">
        <v>1814</v>
      </c>
      <c r="B902" s="29" t="s">
        <v>1815</v>
      </c>
      <c r="C902" s="30" t="s">
        <v>52</v>
      </c>
      <c r="D902" s="68"/>
      <c r="E902" s="69">
        <f>ROUND(IFERROR(VLOOKUP(A902,'CAP19-22'!$A:$G,7,FALSE()),""),0)</f>
        <v>276167</v>
      </c>
      <c r="F902" s="69">
        <f t="shared" si="47"/>
        <v>0</v>
      </c>
    </row>
    <row r="903" spans="1:6">
      <c r="A903" s="67" t="s">
        <v>1816</v>
      </c>
      <c r="B903" s="29" t="s">
        <v>1817</v>
      </c>
      <c r="C903" s="30" t="s">
        <v>30</v>
      </c>
      <c r="D903" s="68"/>
      <c r="E903" s="69">
        <f>ROUND(IFERROR(VLOOKUP(A903,'CAP19-22'!$A:$G,7,FALSE()),""),0)</f>
        <v>97478</v>
      </c>
      <c r="F903" s="69">
        <f t="shared" si="47"/>
        <v>0</v>
      </c>
    </row>
    <row r="904" spans="1:6">
      <c r="A904" s="67" t="s">
        <v>1818</v>
      </c>
      <c r="B904" s="29" t="s">
        <v>1819</v>
      </c>
      <c r="C904" s="30" t="s">
        <v>20</v>
      </c>
      <c r="D904" s="68"/>
      <c r="E904" s="69">
        <f>ROUND(IFERROR(VLOOKUP(A904,'CAP19-22'!$A:$G,7,FALSE()),""),0)</f>
        <v>48969</v>
      </c>
      <c r="F904" s="69">
        <f t="shared" si="47"/>
        <v>0</v>
      </c>
    </row>
    <row r="905" spans="1:6">
      <c r="A905" s="67" t="s">
        <v>1820</v>
      </c>
      <c r="B905" s="29" t="s">
        <v>1821</v>
      </c>
      <c r="C905" s="30" t="s">
        <v>20</v>
      </c>
      <c r="D905" s="68"/>
      <c r="E905" s="69">
        <f>ROUND(IFERROR(VLOOKUP(A905,'CAP19-22'!$A:$G,7,FALSE()),""),0)</f>
        <v>9607</v>
      </c>
      <c r="F905" s="69">
        <f t="shared" si="47"/>
        <v>0</v>
      </c>
    </row>
    <row r="906" spans="1:6">
      <c r="A906" s="67" t="s">
        <v>1822</v>
      </c>
      <c r="B906" s="29" t="s">
        <v>1823</v>
      </c>
      <c r="C906" s="30" t="s">
        <v>20</v>
      </c>
      <c r="D906" s="68"/>
      <c r="E906" s="69">
        <f>ROUND(IFERROR(VLOOKUP(A906,'CAP19-22'!$A:$G,7,FALSE()),""),0)</f>
        <v>14431</v>
      </c>
      <c r="F906" s="69">
        <f t="shared" si="47"/>
        <v>0</v>
      </c>
    </row>
    <row r="907" spans="1:6">
      <c r="A907" s="67" t="s">
        <v>1824</v>
      </c>
      <c r="B907" s="29" t="s">
        <v>1825</v>
      </c>
      <c r="C907" s="30" t="s">
        <v>30</v>
      </c>
      <c r="D907" s="68"/>
      <c r="E907" s="69">
        <f>ROUND(IFERROR(VLOOKUP(A907,'CAP19-22'!$A:$G,7,FALSE()),""),0)</f>
        <v>35233</v>
      </c>
      <c r="F907" s="69">
        <f t="shared" si="47"/>
        <v>0</v>
      </c>
    </row>
    <row r="908" spans="1:6">
      <c r="A908" s="67" t="s">
        <v>1826</v>
      </c>
      <c r="B908" s="29" t="s">
        <v>1827</v>
      </c>
      <c r="C908" s="30" t="s">
        <v>30</v>
      </c>
      <c r="D908" s="68"/>
      <c r="E908" s="69">
        <f>ROUND(IFERROR(VLOOKUP(A908,'CAP19-22'!$A:$G,7,FALSE()),""),0)</f>
        <v>66352</v>
      </c>
      <c r="F908" s="69">
        <f t="shared" si="47"/>
        <v>0</v>
      </c>
    </row>
    <row r="909" spans="1:6">
      <c r="A909" s="67" t="s">
        <v>1828</v>
      </c>
      <c r="B909" s="29" t="s">
        <v>1829</v>
      </c>
      <c r="C909" s="30" t="s">
        <v>20</v>
      </c>
      <c r="D909" s="68"/>
      <c r="E909" s="69">
        <f>ROUND(IFERROR(VLOOKUP(A909,'CAP19-22'!$A:$G,7,FALSE()),""),0)</f>
        <v>59013</v>
      </c>
      <c r="F909" s="69">
        <f t="shared" si="47"/>
        <v>0</v>
      </c>
    </row>
    <row r="910" spans="1:6">
      <c r="A910" s="67" t="s">
        <v>1830</v>
      </c>
      <c r="B910" s="29" t="s">
        <v>1831</v>
      </c>
      <c r="C910" s="30" t="s">
        <v>20</v>
      </c>
      <c r="D910" s="68"/>
      <c r="E910" s="69">
        <f>ROUND(IFERROR(VLOOKUP(A910,'CAP19-22'!$A:$G,7,FALSE()),""),0)</f>
        <v>53665</v>
      </c>
      <c r="F910" s="69">
        <f t="shared" si="47"/>
        <v>0</v>
      </c>
    </row>
    <row r="911" spans="1:6">
      <c r="A911" s="67" t="s">
        <v>1832</v>
      </c>
      <c r="B911" s="29" t="s">
        <v>1833</v>
      </c>
      <c r="C911" s="30" t="s">
        <v>20</v>
      </c>
      <c r="D911" s="68"/>
      <c r="E911" s="69">
        <f>ROUND(IFERROR(VLOOKUP(A911,'CAP19-22'!$A:$G,7,FALSE()),""),0)</f>
        <v>42957</v>
      </c>
      <c r="F911" s="69">
        <f t="shared" si="47"/>
        <v>0</v>
      </c>
    </row>
    <row r="912" spans="1:6">
      <c r="A912" s="67" t="s">
        <v>1834</v>
      </c>
      <c r="B912" s="29" t="s">
        <v>1835</v>
      </c>
      <c r="C912" s="30" t="s">
        <v>20</v>
      </c>
      <c r="D912" s="68"/>
      <c r="E912" s="69">
        <f>ROUND(IFERROR(VLOOKUP(A912,'CAP19-22'!$A:$G,7,FALSE()),""),0)</f>
        <v>37266</v>
      </c>
      <c r="F912" s="69">
        <f t="shared" si="47"/>
        <v>0</v>
      </c>
    </row>
    <row r="913" spans="1:6">
      <c r="A913" s="67" t="s">
        <v>1836</v>
      </c>
      <c r="B913" s="29" t="s">
        <v>1837</v>
      </c>
      <c r="C913" s="30" t="s">
        <v>20</v>
      </c>
      <c r="D913" s="68"/>
      <c r="E913" s="69">
        <f>ROUND(IFERROR(VLOOKUP(A913,'CAP19-22'!$A:$G,7,FALSE()),""),0)</f>
        <v>44306</v>
      </c>
      <c r="F913" s="69">
        <f t="shared" si="47"/>
        <v>0</v>
      </c>
    </row>
    <row r="914" spans="1:6">
      <c r="A914" s="67" t="s">
        <v>1838</v>
      </c>
      <c r="B914" s="29" t="s">
        <v>1839</v>
      </c>
      <c r="C914" s="30" t="s">
        <v>20</v>
      </c>
      <c r="D914" s="68"/>
      <c r="E914" s="69">
        <f>ROUND(IFERROR(VLOOKUP(A914,'CAP19-22'!$A:$G,7,FALSE()),""),0)</f>
        <v>38217</v>
      </c>
      <c r="F914" s="69">
        <f t="shared" si="47"/>
        <v>0</v>
      </c>
    </row>
    <row r="915" spans="1:6">
      <c r="A915" s="67" t="s">
        <v>1840</v>
      </c>
      <c r="B915" s="29" t="s">
        <v>1841</v>
      </c>
      <c r="C915" s="30" t="s">
        <v>20</v>
      </c>
      <c r="D915" s="68"/>
      <c r="E915" s="69">
        <f>ROUND(IFERROR(VLOOKUP(A915,'CAP19-22'!$A:$G,7,FALSE()),""),0)</f>
        <v>33540</v>
      </c>
      <c r="F915" s="69">
        <f t="shared" si="47"/>
        <v>0</v>
      </c>
    </row>
    <row r="916" spans="1:6">
      <c r="A916" s="67" t="s">
        <v>1842</v>
      </c>
      <c r="B916" s="29" t="s">
        <v>1843</v>
      </c>
      <c r="C916" s="30" t="s">
        <v>20</v>
      </c>
      <c r="D916" s="68"/>
      <c r="E916" s="69">
        <f>ROUND(IFERROR(VLOOKUP(A916,'CAP19-22'!$A:$G,7,FALSE()),""),0)</f>
        <v>29430</v>
      </c>
      <c r="F916" s="69">
        <f t="shared" si="47"/>
        <v>0</v>
      </c>
    </row>
    <row r="917" spans="1:6">
      <c r="A917" s="67" t="s">
        <v>1844</v>
      </c>
      <c r="B917" s="29" t="s">
        <v>1845</v>
      </c>
      <c r="C917" s="30" t="s">
        <v>20</v>
      </c>
      <c r="D917" s="68"/>
      <c r="E917" s="69">
        <f>ROUND(IFERROR(VLOOKUP(A917,'CAP19-22'!$A:$G,7,FALSE()),""),0)</f>
        <v>25751</v>
      </c>
      <c r="F917" s="69">
        <f t="shared" si="47"/>
        <v>0</v>
      </c>
    </row>
    <row r="918" spans="1:6">
      <c r="A918" s="67" t="s">
        <v>1846</v>
      </c>
      <c r="B918" s="29" t="s">
        <v>1847</v>
      </c>
      <c r="C918" s="30" t="s">
        <v>20</v>
      </c>
      <c r="D918" s="68"/>
      <c r="E918" s="69">
        <f>ROUND(IFERROR(VLOOKUP(A918,'CAP19-22'!$A:$G,7,FALSE()),""),0)</f>
        <v>27332</v>
      </c>
      <c r="F918" s="69">
        <f t="shared" si="47"/>
        <v>0</v>
      </c>
    </row>
    <row r="919" spans="1:6">
      <c r="A919" s="67" t="s">
        <v>1848</v>
      </c>
      <c r="B919" s="29" t="s">
        <v>1849</v>
      </c>
      <c r="C919" s="30" t="s">
        <v>20</v>
      </c>
      <c r="D919" s="68"/>
      <c r="E919" s="69">
        <f>ROUND(IFERROR(VLOOKUP(A919,'CAP19-22'!$A:$G,7,FALSE()),""),0)</f>
        <v>32444</v>
      </c>
      <c r="F919" s="69">
        <f t="shared" si="47"/>
        <v>0</v>
      </c>
    </row>
    <row r="920" spans="1:6">
      <c r="A920" s="67" t="s">
        <v>1850</v>
      </c>
      <c r="B920" s="29" t="s">
        <v>1851</v>
      </c>
      <c r="C920" s="30" t="s">
        <v>20</v>
      </c>
      <c r="D920" s="68"/>
      <c r="E920" s="69">
        <f>ROUND(IFERROR(VLOOKUP(A920,'CAP19-22'!$A:$G,7,FALSE()),""),0)</f>
        <v>99766</v>
      </c>
      <c r="F920" s="69">
        <f t="shared" si="47"/>
        <v>0</v>
      </c>
    </row>
    <row r="921" spans="1:6">
      <c r="A921" s="67" t="s">
        <v>1852</v>
      </c>
      <c r="B921" s="29" t="s">
        <v>1853</v>
      </c>
      <c r="C921" s="30" t="s">
        <v>20</v>
      </c>
      <c r="D921" s="68"/>
      <c r="E921" s="69">
        <f>ROUND(IFERROR(VLOOKUP(A921,'CAP19-22'!$A:$G,7,FALSE()),""),0)</f>
        <v>199995</v>
      </c>
      <c r="F921" s="69">
        <f t="shared" si="47"/>
        <v>0</v>
      </c>
    </row>
    <row r="922" spans="1:6" ht="25.5">
      <c r="A922" s="67" t="s">
        <v>1854</v>
      </c>
      <c r="B922" s="29" t="s">
        <v>1855</v>
      </c>
      <c r="C922" s="30" t="s">
        <v>23</v>
      </c>
      <c r="D922" s="68"/>
      <c r="E922" s="69">
        <f>ROUND(IFERROR(VLOOKUP(A922,'CAP19-22'!$A:$G,7,FALSE()),""),0)</f>
        <v>493506</v>
      </c>
      <c r="F922" s="69">
        <f t="shared" si="47"/>
        <v>0</v>
      </c>
    </row>
    <row r="923" spans="1:6" ht="25.5">
      <c r="A923" s="67" t="s">
        <v>1856</v>
      </c>
      <c r="B923" s="29" t="s">
        <v>1857</v>
      </c>
      <c r="C923" s="30" t="s">
        <v>23</v>
      </c>
      <c r="D923" s="68"/>
      <c r="E923" s="69">
        <f>ROUND(IFERROR(VLOOKUP(A923,'CAP19-22'!$A:$G,7,FALSE()),""),0)</f>
        <v>710309</v>
      </c>
      <c r="F923" s="69">
        <f t="shared" si="47"/>
        <v>0</v>
      </c>
    </row>
    <row r="924" spans="1:6">
      <c r="A924" s="67" t="s">
        <v>1858</v>
      </c>
      <c r="B924" s="29" t="s">
        <v>1859</v>
      </c>
      <c r="C924" s="30" t="s">
        <v>52</v>
      </c>
      <c r="D924" s="68"/>
      <c r="E924" s="69">
        <f>ROUND(IFERROR(VLOOKUP(A924,'CAP19-22'!$A:$G,7,FALSE()),""),0)</f>
        <v>64445</v>
      </c>
      <c r="F924" s="69">
        <f t="shared" si="47"/>
        <v>0</v>
      </c>
    </row>
    <row r="925" spans="1:6">
      <c r="A925" s="67" t="s">
        <v>1860</v>
      </c>
      <c r="B925" s="29" t="s">
        <v>1861</v>
      </c>
      <c r="C925" s="30" t="s">
        <v>52</v>
      </c>
      <c r="D925" s="68"/>
      <c r="E925" s="69">
        <f>ROUND(IFERROR(VLOOKUP(A925,'CAP19-22'!$A:$G,7,FALSE()),""),0)</f>
        <v>113050</v>
      </c>
      <c r="F925" s="69">
        <f t="shared" ref="F925:F937" si="48">IFERROR(E925*D925,"")</f>
        <v>0</v>
      </c>
    </row>
    <row r="926" spans="1:6">
      <c r="A926" s="67" t="s">
        <v>1862</v>
      </c>
      <c r="B926" s="29" t="s">
        <v>1863</v>
      </c>
      <c r="C926" s="30" t="s">
        <v>52</v>
      </c>
      <c r="D926" s="68"/>
      <c r="E926" s="69">
        <f>ROUND(IFERROR(VLOOKUP(A926,'CAP19-22'!$A:$G,7,FALSE()),""),0)</f>
        <v>193680</v>
      </c>
      <c r="F926" s="69">
        <f t="shared" si="48"/>
        <v>0</v>
      </c>
    </row>
    <row r="927" spans="1:6">
      <c r="A927" s="67" t="s">
        <v>1864</v>
      </c>
      <c r="B927" s="29" t="s">
        <v>1865</v>
      </c>
      <c r="C927" s="30" t="s">
        <v>52</v>
      </c>
      <c r="D927" s="68"/>
      <c r="E927" s="69">
        <f>ROUND(IFERROR(VLOOKUP(A927,'CAP19-22'!$A:$G,7,FALSE()),""),0)</f>
        <v>815392</v>
      </c>
      <c r="F927" s="69">
        <f t="shared" si="48"/>
        <v>0</v>
      </c>
    </row>
    <row r="928" spans="1:6">
      <c r="A928" s="67" t="s">
        <v>1866</v>
      </c>
      <c r="B928" s="29" t="s">
        <v>1867</v>
      </c>
      <c r="C928" s="30" t="s">
        <v>20</v>
      </c>
      <c r="D928" s="68"/>
      <c r="E928" s="69">
        <f>ROUND(IFERROR(VLOOKUP(A928,'CAP19-22'!$A:$G,7,FALSE()),""),0)</f>
        <v>1444290</v>
      </c>
      <c r="F928" s="69">
        <f t="shared" si="48"/>
        <v>0</v>
      </c>
    </row>
    <row r="929" spans="1:8">
      <c r="A929" s="67" t="s">
        <v>1868</v>
      </c>
      <c r="B929" s="29" t="s">
        <v>1869</v>
      </c>
      <c r="C929" s="30" t="s">
        <v>20</v>
      </c>
      <c r="D929" s="68"/>
      <c r="E929" s="69">
        <f>ROUND(IFERROR(VLOOKUP(A929,'CAP19-22'!$A:$G,7,FALSE()),""),0)</f>
        <v>70227</v>
      </c>
      <c r="F929" s="69">
        <f t="shared" si="48"/>
        <v>0</v>
      </c>
    </row>
    <row r="930" spans="1:8">
      <c r="A930" s="67" t="s">
        <v>1870</v>
      </c>
      <c r="B930" s="29" t="s">
        <v>1871</v>
      </c>
      <c r="C930" s="30" t="s">
        <v>30</v>
      </c>
      <c r="D930" s="68"/>
      <c r="E930" s="69">
        <f>ROUND(IFERROR(VLOOKUP(A930,'CAP19-22'!$A:$G,7,FALSE()),""),0)</f>
        <v>12593</v>
      </c>
      <c r="F930" s="69">
        <f t="shared" si="48"/>
        <v>0</v>
      </c>
    </row>
    <row r="931" spans="1:8">
      <c r="A931" s="67" t="s">
        <v>1872</v>
      </c>
      <c r="B931" s="29" t="s">
        <v>1873</v>
      </c>
      <c r="C931" s="30" t="s">
        <v>52</v>
      </c>
      <c r="D931" s="68"/>
      <c r="E931" s="69">
        <f>ROUND(IFERROR(VLOOKUP(A931,'CAP19-22'!$A:$G,7,FALSE()),""),0)</f>
        <v>20670</v>
      </c>
      <c r="F931" s="69">
        <f t="shared" si="48"/>
        <v>0</v>
      </c>
    </row>
    <row r="932" spans="1:8">
      <c r="A932" s="67" t="s">
        <v>1874</v>
      </c>
      <c r="B932" s="29" t="s">
        <v>1875</v>
      </c>
      <c r="C932" s="30" t="s">
        <v>52</v>
      </c>
      <c r="D932" s="68"/>
      <c r="E932" s="69">
        <f>ROUND(IFERROR(VLOOKUP(A932,'CAP19-22'!$A:$G,7,FALSE()),""),0)</f>
        <v>18834</v>
      </c>
      <c r="F932" s="69">
        <f t="shared" si="48"/>
        <v>0</v>
      </c>
    </row>
    <row r="933" spans="1:8">
      <c r="A933" s="67" t="s">
        <v>1876</v>
      </c>
      <c r="B933" s="29" t="s">
        <v>1877</v>
      </c>
      <c r="C933" s="30" t="s">
        <v>23</v>
      </c>
      <c r="D933" s="68"/>
      <c r="E933" s="69">
        <f>ROUND(IFERROR(VLOOKUP(A933,'CAP19-22'!$A:$G,7,FALSE()),""),0)</f>
        <v>17545</v>
      </c>
      <c r="F933" s="69">
        <f t="shared" si="48"/>
        <v>0</v>
      </c>
    </row>
    <row r="934" spans="1:8">
      <c r="A934" s="67" t="s">
        <v>1878</v>
      </c>
      <c r="B934" s="29" t="s">
        <v>1879</v>
      </c>
      <c r="C934" s="30" t="s">
        <v>20</v>
      </c>
      <c r="D934" s="68"/>
      <c r="E934" s="69">
        <f>ROUND(IFERROR(VLOOKUP(A934,'CAP19-22'!$A:$G,7,FALSE()),""),0)</f>
        <v>63976</v>
      </c>
      <c r="F934" s="69">
        <f t="shared" si="48"/>
        <v>0</v>
      </c>
    </row>
    <row r="935" spans="1:8">
      <c r="A935" s="67" t="s">
        <v>1880</v>
      </c>
      <c r="B935" s="29" t="s">
        <v>1881</v>
      </c>
      <c r="C935" s="30" t="s">
        <v>52</v>
      </c>
      <c r="D935" s="68"/>
      <c r="E935" s="69">
        <f>ROUND(IFERROR(VLOOKUP(A935,'CAP19-22'!$A:$G,7,FALSE()),""),0)</f>
        <v>201976</v>
      </c>
      <c r="F935" s="69">
        <f t="shared" si="48"/>
        <v>0</v>
      </c>
    </row>
    <row r="936" spans="1:8">
      <c r="A936" s="67" t="s">
        <v>1882</v>
      </c>
      <c r="B936" s="29" t="s">
        <v>1883</v>
      </c>
      <c r="C936" s="30" t="s">
        <v>52</v>
      </c>
      <c r="D936" s="68"/>
      <c r="E936" s="69">
        <f>ROUND(IFERROR(VLOOKUP(A936,'CAP19-22'!$A:$G,7,FALSE()),""),0)</f>
        <v>1248551</v>
      </c>
      <c r="F936" s="69">
        <f t="shared" si="48"/>
        <v>0</v>
      </c>
    </row>
    <row r="937" spans="1:8">
      <c r="A937" s="67" t="s">
        <v>1884</v>
      </c>
      <c r="B937" s="29" t="s">
        <v>1885</v>
      </c>
      <c r="C937" s="30" t="s">
        <v>52</v>
      </c>
      <c r="D937" s="68"/>
      <c r="E937" s="69">
        <f>ROUND(IFERROR(VLOOKUP(A937,'CAP19-22'!$A:$G,7,FALSE()),""),0)</f>
        <v>1298210</v>
      </c>
      <c r="F937" s="69">
        <f t="shared" si="48"/>
        <v>0</v>
      </c>
    </row>
    <row r="938" spans="1:8" s="74" customFormat="1">
      <c r="A938" s="60" t="s">
        <v>1886</v>
      </c>
      <c r="B938" s="61" t="s">
        <v>1887</v>
      </c>
      <c r="C938" s="62"/>
      <c r="D938" s="63"/>
      <c r="E938" s="64"/>
      <c r="F938" s="65">
        <f>SUM(F939:F948)</f>
        <v>0</v>
      </c>
      <c r="G938" s="66">
        <f>IFERROR(F938/$F$1279,"")</f>
        <v>0</v>
      </c>
      <c r="H938" s="3"/>
    </row>
    <row r="939" spans="1:8">
      <c r="A939" s="67" t="s">
        <v>1888</v>
      </c>
      <c r="B939" s="29" t="s">
        <v>1889</v>
      </c>
      <c r="C939" s="30" t="s">
        <v>52</v>
      </c>
      <c r="D939" s="68"/>
      <c r="E939" s="69">
        <f>ROUND(IFERROR(VLOOKUP(A939,'CAP19-22'!$A:$G,7,FALSE()),""),0)</f>
        <v>38321</v>
      </c>
      <c r="F939" s="69">
        <f t="shared" ref="F939:F948" si="49">IFERROR(E939*D939,"")</f>
        <v>0</v>
      </c>
    </row>
    <row r="940" spans="1:8">
      <c r="A940" s="67" t="s">
        <v>1890</v>
      </c>
      <c r="B940" s="29" t="s">
        <v>1891</v>
      </c>
      <c r="C940" s="30" t="s">
        <v>52</v>
      </c>
      <c r="D940" s="68"/>
      <c r="E940" s="69">
        <f>ROUND(IFERROR(VLOOKUP(A940,'CAP19-22'!$A:$G,7,FALSE()),""),0)</f>
        <v>28121</v>
      </c>
      <c r="F940" s="69">
        <f t="shared" si="49"/>
        <v>0</v>
      </c>
    </row>
    <row r="941" spans="1:8">
      <c r="A941" s="67" t="s">
        <v>1892</v>
      </c>
      <c r="B941" s="29" t="s">
        <v>1893</v>
      </c>
      <c r="C941" s="30" t="s">
        <v>52</v>
      </c>
      <c r="D941" s="68"/>
      <c r="E941" s="69">
        <f>ROUND(IFERROR(VLOOKUP(A941,'CAP19-22'!$A:$G,7,FALSE()),""),0)</f>
        <v>167808</v>
      </c>
      <c r="F941" s="69">
        <f t="shared" si="49"/>
        <v>0</v>
      </c>
    </row>
    <row r="942" spans="1:8">
      <c r="A942" s="67" t="s">
        <v>1894</v>
      </c>
      <c r="B942" s="29" t="s">
        <v>1895</v>
      </c>
      <c r="C942" s="30" t="s">
        <v>52</v>
      </c>
      <c r="D942" s="68"/>
      <c r="E942" s="69">
        <f>ROUND(IFERROR(VLOOKUP(A942,'CAP19-22'!$A:$G,7,FALSE()),""),0)</f>
        <v>157607</v>
      </c>
      <c r="F942" s="69">
        <f t="shared" si="49"/>
        <v>0</v>
      </c>
    </row>
    <row r="943" spans="1:8">
      <c r="A943" s="67" t="s">
        <v>1896</v>
      </c>
      <c r="B943" s="29" t="s">
        <v>1897</v>
      </c>
      <c r="C943" s="30" t="s">
        <v>52</v>
      </c>
      <c r="D943" s="68"/>
      <c r="E943" s="69">
        <f>ROUND(IFERROR(VLOOKUP(A943,'CAP19-22'!$A:$G,7,FALSE()),""),0)</f>
        <v>98149</v>
      </c>
      <c r="F943" s="69">
        <f t="shared" si="49"/>
        <v>0</v>
      </c>
    </row>
    <row r="944" spans="1:8">
      <c r="A944" s="67" t="s">
        <v>1898</v>
      </c>
      <c r="B944" s="29" t="s">
        <v>1899</v>
      </c>
      <c r="C944" s="30" t="s">
        <v>52</v>
      </c>
      <c r="D944" s="68"/>
      <c r="E944" s="69">
        <f>ROUND(IFERROR(VLOOKUP(A944,'CAP19-22'!$A:$G,7,FALSE()),""),0)</f>
        <v>87949</v>
      </c>
      <c r="F944" s="69">
        <f t="shared" si="49"/>
        <v>0</v>
      </c>
    </row>
    <row r="945" spans="1:8">
      <c r="A945" s="67" t="s">
        <v>1900</v>
      </c>
      <c r="B945" s="29" t="s">
        <v>1901</v>
      </c>
      <c r="C945" s="30" t="s">
        <v>52</v>
      </c>
      <c r="D945" s="68"/>
      <c r="E945" s="69">
        <f>ROUND(IFERROR(VLOOKUP(A945,'CAP19-22'!$A:$G,7,FALSE()),""),0)</f>
        <v>192016</v>
      </c>
      <c r="F945" s="69">
        <f t="shared" si="49"/>
        <v>0</v>
      </c>
    </row>
    <row r="946" spans="1:8">
      <c r="A946" s="67" t="s">
        <v>1902</v>
      </c>
      <c r="B946" s="29" t="s">
        <v>1903</v>
      </c>
      <c r="C946" s="30" t="s">
        <v>20</v>
      </c>
      <c r="D946" s="68"/>
      <c r="E946" s="69">
        <f>ROUND(IFERROR(VLOOKUP(A946,'CAP19-22'!$A:$G,7,FALSE()),""),0)</f>
        <v>6969</v>
      </c>
      <c r="F946" s="69">
        <f t="shared" si="49"/>
        <v>0</v>
      </c>
    </row>
    <row r="947" spans="1:8">
      <c r="A947" s="67" t="s">
        <v>1904</v>
      </c>
      <c r="B947" s="29" t="s">
        <v>1905</v>
      </c>
      <c r="C947" s="30" t="s">
        <v>52</v>
      </c>
      <c r="D947" s="68"/>
      <c r="E947" s="69">
        <f>ROUND(IFERROR(VLOOKUP(A947,'CAP19-22'!$A:$G,7,FALSE()),""),0)</f>
        <v>148837</v>
      </c>
      <c r="F947" s="69">
        <f t="shared" si="49"/>
        <v>0</v>
      </c>
    </row>
    <row r="948" spans="1:8">
      <c r="A948" s="67" t="s">
        <v>1906</v>
      </c>
      <c r="B948" s="29" t="s">
        <v>1907</v>
      </c>
      <c r="C948" s="30" t="s">
        <v>52</v>
      </c>
      <c r="D948" s="68"/>
      <c r="E948" s="69">
        <f>ROUND(IFERROR(VLOOKUP(A948,'CAP19-22'!$A:$G,7,FALSE()),""),0)</f>
        <v>164463</v>
      </c>
      <c r="F948" s="69">
        <f t="shared" si="49"/>
        <v>0</v>
      </c>
    </row>
    <row r="949" spans="1:8" s="74" customFormat="1">
      <c r="A949" s="60" t="s">
        <v>1908</v>
      </c>
      <c r="B949" s="61" t="s">
        <v>1909</v>
      </c>
      <c r="C949" s="62"/>
      <c r="D949" s="63"/>
      <c r="E949" s="64"/>
      <c r="F949" s="65">
        <f>SUM(F950:F991)</f>
        <v>0</v>
      </c>
      <c r="G949" s="66">
        <f>IFERROR(F949/$F$1279,"")</f>
        <v>0</v>
      </c>
      <c r="H949" s="3"/>
    </row>
    <row r="950" spans="1:8">
      <c r="A950" s="67" t="s">
        <v>1910</v>
      </c>
      <c r="B950" s="29" t="s">
        <v>1911</v>
      </c>
      <c r="C950" s="30" t="s">
        <v>30</v>
      </c>
      <c r="D950" s="68"/>
      <c r="E950" s="69">
        <f>ROUND(IFERROR(VLOOKUP(A950,'CAP19-22'!$A:$G,7,FALSE()),""),0)</f>
        <v>34930</v>
      </c>
      <c r="F950" s="69">
        <f t="shared" ref="F950:F991" si="50">IFERROR(E950*D950,"")</f>
        <v>0</v>
      </c>
    </row>
    <row r="951" spans="1:8" ht="25.5">
      <c r="A951" s="67" t="s">
        <v>1912</v>
      </c>
      <c r="B951" s="29" t="s">
        <v>1913</v>
      </c>
      <c r="C951" s="30" t="s">
        <v>30</v>
      </c>
      <c r="D951" s="68"/>
      <c r="E951" s="69">
        <f>ROUND(IFERROR(VLOOKUP(A951,'CAP19-22'!$A:$G,7,FALSE()),""),0)</f>
        <v>13849</v>
      </c>
      <c r="F951" s="69">
        <f t="shared" si="50"/>
        <v>0</v>
      </c>
    </row>
    <row r="952" spans="1:8" ht="25.5">
      <c r="A952" s="67" t="s">
        <v>1914</v>
      </c>
      <c r="B952" s="29" t="s">
        <v>1915</v>
      </c>
      <c r="C952" s="30" t="s">
        <v>30</v>
      </c>
      <c r="D952" s="68"/>
      <c r="E952" s="69">
        <f>ROUND(IFERROR(VLOOKUP(A952,'CAP19-22'!$A:$G,7,FALSE()),""),0)</f>
        <v>10593</v>
      </c>
      <c r="F952" s="69">
        <f t="shared" si="50"/>
        <v>0</v>
      </c>
    </row>
    <row r="953" spans="1:8" ht="25.5">
      <c r="A953" s="67" t="s">
        <v>1916</v>
      </c>
      <c r="B953" s="29" t="s">
        <v>1917</v>
      </c>
      <c r="C953" s="30" t="s">
        <v>30</v>
      </c>
      <c r="D953" s="68"/>
      <c r="E953" s="69">
        <f>ROUND(IFERROR(VLOOKUP(A953,'CAP19-22'!$A:$G,7,FALSE()),""),0)</f>
        <v>12941</v>
      </c>
      <c r="F953" s="69">
        <f t="shared" si="50"/>
        <v>0</v>
      </c>
    </row>
    <row r="954" spans="1:8">
      <c r="A954" s="67" t="s">
        <v>1918</v>
      </c>
      <c r="B954" s="29" t="s">
        <v>1919</v>
      </c>
      <c r="C954" s="30" t="s">
        <v>52</v>
      </c>
      <c r="D954" s="68"/>
      <c r="E954" s="69">
        <f>ROUND(IFERROR(VLOOKUP(A954,'CAP19-22'!$A:$G,7,FALSE()),""),0)</f>
        <v>1216756</v>
      </c>
      <c r="F954" s="69">
        <f t="shared" si="50"/>
        <v>0</v>
      </c>
    </row>
    <row r="955" spans="1:8">
      <c r="A955" s="67" t="s">
        <v>1920</v>
      </c>
      <c r="B955" s="29" t="s">
        <v>1921</v>
      </c>
      <c r="C955" s="30" t="s">
        <v>52</v>
      </c>
      <c r="D955" s="68"/>
      <c r="E955" s="69">
        <f>ROUND(IFERROR(VLOOKUP(A955,'CAP19-22'!$A:$G,7,FALSE()),""),0)</f>
        <v>1000635</v>
      </c>
      <c r="F955" s="69">
        <f t="shared" si="50"/>
        <v>0</v>
      </c>
    </row>
    <row r="956" spans="1:8" ht="25.5">
      <c r="A956" s="67" t="s">
        <v>1922</v>
      </c>
      <c r="B956" s="29" t="s">
        <v>1923</v>
      </c>
      <c r="C956" s="30" t="s">
        <v>30</v>
      </c>
      <c r="D956" s="68"/>
      <c r="E956" s="69">
        <f>ROUND(IFERROR(VLOOKUP(A956,'CAP19-22'!$A:$G,7,FALSE()),""),0)</f>
        <v>189062</v>
      </c>
      <c r="F956" s="69">
        <f t="shared" si="50"/>
        <v>0</v>
      </c>
    </row>
    <row r="957" spans="1:8">
      <c r="A957" s="67" t="s">
        <v>1924</v>
      </c>
      <c r="B957" s="29" t="s">
        <v>1925</v>
      </c>
      <c r="C957" s="30" t="s">
        <v>20</v>
      </c>
      <c r="D957" s="68"/>
      <c r="E957" s="69">
        <f>ROUND(IFERROR(VLOOKUP(A957,'CAP19-22'!$A:$G,7,FALSE()),""),0)</f>
        <v>9497</v>
      </c>
      <c r="F957" s="69">
        <f t="shared" si="50"/>
        <v>0</v>
      </c>
    </row>
    <row r="958" spans="1:8">
      <c r="A958" s="67" t="s">
        <v>1926</v>
      </c>
      <c r="B958" s="29" t="s">
        <v>1927</v>
      </c>
      <c r="C958" s="30" t="s">
        <v>30</v>
      </c>
      <c r="D958" s="68"/>
      <c r="E958" s="69">
        <f>ROUND(IFERROR(VLOOKUP(A958,'CAP19-22'!$A:$G,7,FALSE()),""),0)</f>
        <v>116548</v>
      </c>
      <c r="F958" s="69">
        <f t="shared" si="50"/>
        <v>0</v>
      </c>
    </row>
    <row r="959" spans="1:8">
      <c r="A959" s="67" t="s">
        <v>1928</v>
      </c>
      <c r="B959" s="29" t="s">
        <v>1929</v>
      </c>
      <c r="C959" s="30" t="s">
        <v>20</v>
      </c>
      <c r="D959" s="68"/>
      <c r="E959" s="69">
        <f>ROUND(IFERROR(VLOOKUP(A959,'CAP19-22'!$A:$G,7,FALSE()),""),0)</f>
        <v>10825</v>
      </c>
      <c r="F959" s="69">
        <f t="shared" si="50"/>
        <v>0</v>
      </c>
    </row>
    <row r="960" spans="1:8">
      <c r="A960" s="67" t="s">
        <v>1930</v>
      </c>
      <c r="B960" s="29" t="s">
        <v>1931</v>
      </c>
      <c r="C960" s="30" t="s">
        <v>20</v>
      </c>
      <c r="D960" s="68"/>
      <c r="E960" s="69">
        <f>ROUND(IFERROR(VLOOKUP(A960,'CAP19-22'!$A:$G,7,FALSE()),""),0)</f>
        <v>7741</v>
      </c>
      <c r="F960" s="69">
        <f t="shared" ref="F960" si="51">IFERROR(E960*D960,"")</f>
        <v>0</v>
      </c>
    </row>
    <row r="961" spans="1:6">
      <c r="A961" s="67" t="s">
        <v>1932</v>
      </c>
      <c r="B961" s="29" t="s">
        <v>1933</v>
      </c>
      <c r="C961" s="30" t="s">
        <v>20</v>
      </c>
      <c r="D961" s="68"/>
      <c r="E961" s="69">
        <f>ROUND(IFERROR(VLOOKUP(A961,'CAP19-22'!$A:$G,7,FALSE()),""),0)</f>
        <v>58585</v>
      </c>
      <c r="F961" s="69">
        <f t="shared" si="50"/>
        <v>0</v>
      </c>
    </row>
    <row r="962" spans="1:6" ht="25.5">
      <c r="A962" s="67" t="s">
        <v>1934</v>
      </c>
      <c r="B962" s="29" t="s">
        <v>1935</v>
      </c>
      <c r="C962" s="30" t="s">
        <v>30</v>
      </c>
      <c r="D962" s="68"/>
      <c r="E962" s="69">
        <f>ROUND(IFERROR(VLOOKUP(A962,'CAP19-22'!$A:$G,7,FALSE()),""),0)</f>
        <v>25703</v>
      </c>
      <c r="F962" s="69">
        <f t="shared" si="50"/>
        <v>0</v>
      </c>
    </row>
    <row r="963" spans="1:6">
      <c r="A963" s="67" t="s">
        <v>1936</v>
      </c>
      <c r="B963" s="29" t="s">
        <v>1937</v>
      </c>
      <c r="C963" s="30" t="s">
        <v>20</v>
      </c>
      <c r="D963" s="68"/>
      <c r="E963" s="69">
        <f>ROUND(IFERROR(VLOOKUP(A963,'CAP19-22'!$A:$G,7,FALSE()),""),0)</f>
        <v>1323419</v>
      </c>
      <c r="F963" s="69">
        <f t="shared" si="50"/>
        <v>0</v>
      </c>
    </row>
    <row r="964" spans="1:6">
      <c r="A964" s="67" t="s">
        <v>1938</v>
      </c>
      <c r="B964" s="29" t="s">
        <v>1939</v>
      </c>
      <c r="C964" s="30" t="s">
        <v>20</v>
      </c>
      <c r="D964" s="68"/>
      <c r="E964" s="69">
        <f>ROUND(IFERROR(VLOOKUP(A964,'CAP19-22'!$A:$G,7,FALSE()),""),0)</f>
        <v>110479</v>
      </c>
      <c r="F964" s="69">
        <f t="shared" si="50"/>
        <v>0</v>
      </c>
    </row>
    <row r="965" spans="1:6">
      <c r="A965" s="67" t="s">
        <v>1940</v>
      </c>
      <c r="B965" s="29" t="s">
        <v>1941</v>
      </c>
      <c r="C965" s="30" t="s">
        <v>20</v>
      </c>
      <c r="D965" s="68"/>
      <c r="E965" s="69">
        <f>ROUND(IFERROR(VLOOKUP(A965,'CAP19-22'!$A:$G,7,FALSE()),""),0)</f>
        <v>117535</v>
      </c>
      <c r="F965" s="69">
        <f t="shared" si="50"/>
        <v>0</v>
      </c>
    </row>
    <row r="966" spans="1:6">
      <c r="A966" s="67" t="s">
        <v>1942</v>
      </c>
      <c r="B966" s="29" t="s">
        <v>1943</v>
      </c>
      <c r="C966" s="30" t="s">
        <v>20</v>
      </c>
      <c r="D966" s="68"/>
      <c r="E966" s="69">
        <f>ROUND(IFERROR(VLOOKUP(A966,'CAP19-22'!$A:$G,7,FALSE()),""),0)</f>
        <v>142163</v>
      </c>
      <c r="F966" s="69">
        <f t="shared" si="50"/>
        <v>0</v>
      </c>
    </row>
    <row r="967" spans="1:6">
      <c r="A967" s="67" t="s">
        <v>1944</v>
      </c>
      <c r="B967" s="29" t="s">
        <v>1945</v>
      </c>
      <c r="C967" s="30" t="s">
        <v>20</v>
      </c>
      <c r="D967" s="68"/>
      <c r="E967" s="69">
        <f>ROUND(IFERROR(VLOOKUP(A967,'CAP19-22'!$A:$G,7,FALSE()),""),0)</f>
        <v>142163</v>
      </c>
      <c r="F967" s="69">
        <f t="shared" si="50"/>
        <v>0</v>
      </c>
    </row>
    <row r="968" spans="1:6">
      <c r="A968" s="67" t="s">
        <v>1946</v>
      </c>
      <c r="B968" s="29" t="s">
        <v>1947</v>
      </c>
      <c r="C968" s="30" t="s">
        <v>52</v>
      </c>
      <c r="D968" s="68"/>
      <c r="E968" s="69">
        <f>ROUND(IFERROR(VLOOKUP(A968,'CAP19-22'!$A:$G,7,FALSE()),""),0)</f>
        <v>1332257</v>
      </c>
      <c r="F968" s="69">
        <f t="shared" si="50"/>
        <v>0</v>
      </c>
    </row>
    <row r="969" spans="1:6">
      <c r="A969" s="67" t="s">
        <v>1948</v>
      </c>
      <c r="B969" s="29" t="s">
        <v>1949</v>
      </c>
      <c r="C969" s="30" t="s">
        <v>52</v>
      </c>
      <c r="D969" s="68"/>
      <c r="E969" s="69">
        <f>ROUND(IFERROR(VLOOKUP(A969,'CAP19-22'!$A:$G,7,FALSE()),""),0)</f>
        <v>1203096</v>
      </c>
      <c r="F969" s="69">
        <f t="shared" si="50"/>
        <v>0</v>
      </c>
    </row>
    <row r="970" spans="1:6">
      <c r="A970" s="67" t="s">
        <v>1950</v>
      </c>
      <c r="B970" s="29" t="s">
        <v>1951</v>
      </c>
      <c r="C970" s="30" t="s">
        <v>52</v>
      </c>
      <c r="D970" s="68"/>
      <c r="E970" s="69">
        <f>ROUND(IFERROR(VLOOKUP(A970,'CAP19-22'!$A:$G,7,FALSE()),""),0)</f>
        <v>720041</v>
      </c>
      <c r="F970" s="69">
        <f t="shared" si="50"/>
        <v>0</v>
      </c>
    </row>
    <row r="971" spans="1:6">
      <c r="A971" s="67" t="s">
        <v>1952</v>
      </c>
      <c r="B971" s="29" t="s">
        <v>1953</v>
      </c>
      <c r="C971" s="30" t="s">
        <v>52</v>
      </c>
      <c r="D971" s="68"/>
      <c r="E971" s="69">
        <f>ROUND(IFERROR(VLOOKUP(A971,'CAP19-22'!$A:$G,7,FALSE()),""),0)</f>
        <v>183247</v>
      </c>
      <c r="F971" s="69">
        <f t="shared" si="50"/>
        <v>0</v>
      </c>
    </row>
    <row r="972" spans="1:6">
      <c r="A972" s="67" t="s">
        <v>1954</v>
      </c>
      <c r="B972" s="29" t="s">
        <v>1955</v>
      </c>
      <c r="C972" s="30" t="s">
        <v>52</v>
      </c>
      <c r="D972" s="68"/>
      <c r="E972" s="69">
        <f>ROUND(IFERROR(VLOOKUP(A972,'CAP19-22'!$A:$G,7,FALSE()),""),0)</f>
        <v>720041</v>
      </c>
      <c r="F972" s="69">
        <f t="shared" si="50"/>
        <v>0</v>
      </c>
    </row>
    <row r="973" spans="1:6">
      <c r="A973" s="67" t="s">
        <v>1956</v>
      </c>
      <c r="B973" s="29" t="s">
        <v>1957</v>
      </c>
      <c r="C973" s="30" t="s">
        <v>52</v>
      </c>
      <c r="D973" s="68"/>
      <c r="E973" s="69">
        <f>ROUND(IFERROR(VLOOKUP(A973,'CAP19-22'!$A:$G,7,FALSE()),""),0)</f>
        <v>927503</v>
      </c>
      <c r="F973" s="69">
        <f t="shared" si="50"/>
        <v>0</v>
      </c>
    </row>
    <row r="974" spans="1:6">
      <c r="A974" s="67" t="s">
        <v>1958</v>
      </c>
      <c r="B974" s="29" t="s">
        <v>1959</v>
      </c>
      <c r="C974" s="30" t="s">
        <v>52</v>
      </c>
      <c r="D974" s="68"/>
      <c r="E974" s="69">
        <f>ROUND(IFERROR(VLOOKUP(A974,'CAP19-22'!$A:$G,7,FALSE()),""),0)</f>
        <v>739231</v>
      </c>
      <c r="F974" s="69">
        <f t="shared" si="50"/>
        <v>0</v>
      </c>
    </row>
    <row r="975" spans="1:6">
      <c r="A975" s="67" t="s">
        <v>1960</v>
      </c>
      <c r="B975" s="29" t="s">
        <v>1961</v>
      </c>
      <c r="C975" s="30" t="s">
        <v>52</v>
      </c>
      <c r="D975" s="68"/>
      <c r="E975" s="69">
        <f>ROUND(IFERROR(VLOOKUP(A975,'CAP19-22'!$A:$G,7,FALSE()),""),0)</f>
        <v>931477</v>
      </c>
      <c r="F975" s="69">
        <f t="shared" si="50"/>
        <v>0</v>
      </c>
    </row>
    <row r="976" spans="1:6">
      <c r="A976" s="67" t="s">
        <v>1962</v>
      </c>
      <c r="B976" s="29" t="s">
        <v>1963</v>
      </c>
      <c r="C976" s="30" t="s">
        <v>52</v>
      </c>
      <c r="D976" s="68"/>
      <c r="E976" s="69">
        <f>ROUND(IFERROR(VLOOKUP(A976,'CAP19-22'!$A:$G,7,FALSE()),""),0)</f>
        <v>768754</v>
      </c>
      <c r="F976" s="69">
        <f t="shared" si="50"/>
        <v>0</v>
      </c>
    </row>
    <row r="977" spans="1:8">
      <c r="A977" s="67" t="s">
        <v>1964</v>
      </c>
      <c r="B977" s="29" t="s">
        <v>1965</v>
      </c>
      <c r="C977" s="30" t="s">
        <v>52</v>
      </c>
      <c r="D977" s="68"/>
      <c r="E977" s="69">
        <f>ROUND(IFERROR(VLOOKUP(A977,'CAP19-22'!$A:$G,7,FALSE()),""),0)</f>
        <v>935452</v>
      </c>
      <c r="F977" s="69">
        <f t="shared" si="50"/>
        <v>0</v>
      </c>
    </row>
    <row r="978" spans="1:8">
      <c r="A978" s="67" t="s">
        <v>1966</v>
      </c>
      <c r="B978" s="29" t="s">
        <v>1967</v>
      </c>
      <c r="C978" s="30" t="s">
        <v>52</v>
      </c>
      <c r="D978" s="68"/>
      <c r="E978" s="69">
        <f>ROUND(IFERROR(VLOOKUP(A978,'CAP19-22'!$A:$G,7,FALSE()),""),0)</f>
        <v>997408</v>
      </c>
      <c r="F978" s="69">
        <f t="shared" si="50"/>
        <v>0</v>
      </c>
    </row>
    <row r="979" spans="1:8">
      <c r="A979" s="67" t="s">
        <v>1968</v>
      </c>
      <c r="B979" s="29" t="s">
        <v>1969</v>
      </c>
      <c r="C979" s="30" t="s">
        <v>52</v>
      </c>
      <c r="D979" s="68"/>
      <c r="E979" s="69">
        <f>ROUND(IFERROR(VLOOKUP(A979,'CAP19-22'!$A:$G,7,FALSE()),""),0)</f>
        <v>960434</v>
      </c>
      <c r="F979" s="69">
        <f t="shared" si="50"/>
        <v>0</v>
      </c>
    </row>
    <row r="980" spans="1:8">
      <c r="A980" s="67" t="s">
        <v>1970</v>
      </c>
      <c r="B980" s="29" t="s">
        <v>1971</v>
      </c>
      <c r="C980" s="30" t="s">
        <v>52</v>
      </c>
      <c r="D980" s="68"/>
      <c r="E980" s="69">
        <f>ROUND(IFERROR(VLOOKUP(A980,'CAP19-22'!$A:$G,7,FALSE()),""),0)</f>
        <v>1085078</v>
      </c>
      <c r="F980" s="69">
        <f t="shared" si="50"/>
        <v>0</v>
      </c>
    </row>
    <row r="981" spans="1:8">
      <c r="A981" s="67" t="s">
        <v>1972</v>
      </c>
      <c r="B981" s="29" t="s">
        <v>1973</v>
      </c>
      <c r="C981" s="30" t="s">
        <v>52</v>
      </c>
      <c r="D981" s="68"/>
      <c r="E981" s="69">
        <f>ROUND(IFERROR(VLOOKUP(A981,'CAP19-22'!$A:$G,7,FALSE()),""),0)</f>
        <v>959696</v>
      </c>
      <c r="F981" s="69">
        <f t="shared" si="50"/>
        <v>0</v>
      </c>
    </row>
    <row r="982" spans="1:8">
      <c r="A982" s="67" t="s">
        <v>1974</v>
      </c>
      <c r="B982" s="29" t="s">
        <v>1975</v>
      </c>
      <c r="C982" s="30" t="s">
        <v>52</v>
      </c>
      <c r="D982" s="68"/>
      <c r="E982" s="69">
        <f>ROUND(IFERROR(VLOOKUP(A982,'CAP19-22'!$A:$G,7,FALSE()),""),0)</f>
        <v>996264</v>
      </c>
      <c r="F982" s="69">
        <f t="shared" si="50"/>
        <v>0</v>
      </c>
    </row>
    <row r="983" spans="1:8">
      <c r="A983" s="67" t="s">
        <v>1976</v>
      </c>
      <c r="B983" s="29" t="s">
        <v>1977</v>
      </c>
      <c r="C983" s="30" t="s">
        <v>52</v>
      </c>
      <c r="D983" s="68"/>
      <c r="E983" s="69">
        <f>ROUND(IFERROR(VLOOKUP(A983,'CAP19-22'!$A:$G,7,FALSE()),""),0)</f>
        <v>988559</v>
      </c>
      <c r="F983" s="69">
        <f t="shared" si="50"/>
        <v>0</v>
      </c>
    </row>
    <row r="984" spans="1:8">
      <c r="A984" s="67" t="s">
        <v>1978</v>
      </c>
      <c r="B984" s="29" t="s">
        <v>1979</v>
      </c>
      <c r="C984" s="30" t="s">
        <v>52</v>
      </c>
      <c r="D984" s="68"/>
      <c r="E984" s="69">
        <f>ROUND(IFERROR(VLOOKUP(A984,'CAP19-22'!$A:$G,7,FALSE()),""),0)</f>
        <v>1011303</v>
      </c>
      <c r="F984" s="69">
        <f t="shared" si="50"/>
        <v>0</v>
      </c>
    </row>
    <row r="985" spans="1:8">
      <c r="A985" s="67" t="s">
        <v>1980</v>
      </c>
      <c r="B985" s="29" t="s">
        <v>1981</v>
      </c>
      <c r="C985" s="30" t="s">
        <v>52</v>
      </c>
      <c r="D985" s="68"/>
      <c r="E985" s="69">
        <f>ROUND(IFERROR(VLOOKUP(A985,'CAP19-22'!$A:$G,7,FALSE()),""),0)</f>
        <v>1030840</v>
      </c>
      <c r="F985" s="69">
        <f t="shared" ref="F985:F986" si="52">IFERROR(E985*D985,"")</f>
        <v>0</v>
      </c>
    </row>
    <row r="986" spans="1:8">
      <c r="A986" s="67" t="s">
        <v>1982</v>
      </c>
      <c r="B986" s="29" t="s">
        <v>1983</v>
      </c>
      <c r="C986" s="30" t="s">
        <v>52</v>
      </c>
      <c r="D986" s="68"/>
      <c r="E986" s="69">
        <f>ROUND(IFERROR(VLOOKUP(A986,'CAP19-22'!$A:$G,7,FALSE()),""),0)</f>
        <v>1131533</v>
      </c>
      <c r="F986" s="69">
        <f t="shared" si="52"/>
        <v>0</v>
      </c>
    </row>
    <row r="987" spans="1:8">
      <c r="A987" s="67" t="s">
        <v>1984</v>
      </c>
      <c r="B987" s="29" t="s">
        <v>1985</v>
      </c>
      <c r="C987" s="30" t="s">
        <v>52</v>
      </c>
      <c r="D987" s="68"/>
      <c r="E987" s="69">
        <f>ROUND(IFERROR(VLOOKUP(A987,'CAP19-22'!$A:$G,7,FALSE()),""),0)</f>
        <v>1102266</v>
      </c>
      <c r="F987" s="69">
        <f t="shared" ref="F987" si="53">IFERROR(E987*D987,"")</f>
        <v>0</v>
      </c>
    </row>
    <row r="988" spans="1:8">
      <c r="A988" s="67" t="s">
        <v>1986</v>
      </c>
      <c r="B988" s="29" t="s">
        <v>1987</v>
      </c>
      <c r="C988" s="30" t="s">
        <v>52</v>
      </c>
      <c r="D988" s="68"/>
      <c r="E988" s="69">
        <f>ROUND(IFERROR(VLOOKUP(A988,'CAP19-22'!$A:$G,7,FALSE()),""),0)</f>
        <v>895863</v>
      </c>
      <c r="F988" s="69">
        <f t="shared" si="50"/>
        <v>0</v>
      </c>
    </row>
    <row r="989" spans="1:8">
      <c r="A989" s="67" t="s">
        <v>1988</v>
      </c>
      <c r="B989" s="29" t="s">
        <v>1989</v>
      </c>
      <c r="C989" s="30" t="s">
        <v>30</v>
      </c>
      <c r="D989" s="68"/>
      <c r="E989" s="69">
        <f>ROUND(IFERROR(VLOOKUP(A989,'CAP19-22'!$A:$G,7,FALSE()),""),0)</f>
        <v>6491</v>
      </c>
      <c r="F989" s="69">
        <f t="shared" si="50"/>
        <v>0</v>
      </c>
    </row>
    <row r="990" spans="1:8" ht="38.25">
      <c r="A990" s="67" t="s">
        <v>1990</v>
      </c>
      <c r="B990" s="29" t="s">
        <v>1991</v>
      </c>
      <c r="C990" s="30" t="s">
        <v>30</v>
      </c>
      <c r="D990" s="68"/>
      <c r="E990" s="69">
        <f>ROUND(IFERROR(VLOOKUP(A990,'CAP19-22'!$A:$G,7,FALSE()),""),0)</f>
        <v>10053</v>
      </c>
      <c r="F990" s="69">
        <f t="shared" si="50"/>
        <v>0</v>
      </c>
    </row>
    <row r="991" spans="1:8">
      <c r="A991" s="67" t="s">
        <v>1992</v>
      </c>
      <c r="B991" s="29" t="s">
        <v>1993</v>
      </c>
      <c r="C991" s="30" t="s">
        <v>30</v>
      </c>
      <c r="D991" s="68"/>
      <c r="E991" s="69">
        <f>ROUND(IFERROR(VLOOKUP(A991,'CAP19-22'!$A:$G,7,FALSE()),""),0)</f>
        <v>12434</v>
      </c>
      <c r="F991" s="69">
        <f t="shared" si="50"/>
        <v>0</v>
      </c>
    </row>
    <row r="992" spans="1:8" s="74" customFormat="1">
      <c r="A992" s="60" t="s">
        <v>1994</v>
      </c>
      <c r="B992" s="61" t="s">
        <v>1995</v>
      </c>
      <c r="C992" s="62"/>
      <c r="D992" s="63"/>
      <c r="E992" s="64"/>
      <c r="F992" s="65">
        <f>SUM(F993:F1012)</f>
        <v>0</v>
      </c>
      <c r="G992" s="66">
        <f>IFERROR(F992/$F$1279,"")</f>
        <v>0</v>
      </c>
      <c r="H992" s="3"/>
    </row>
    <row r="993" spans="1:6">
      <c r="A993" s="67" t="s">
        <v>1996</v>
      </c>
      <c r="B993" s="29" t="s">
        <v>1997</v>
      </c>
      <c r="C993" s="30" t="s">
        <v>20</v>
      </c>
      <c r="D993" s="68"/>
      <c r="E993" s="69">
        <f>ROUND(IFERROR(VLOOKUP(A993,'CAP19-22'!$A:$G,7,FALSE()),""),0)</f>
        <v>18042215</v>
      </c>
      <c r="F993" s="69">
        <f t="shared" ref="F993:F1012" si="54">IFERROR(E993*D993,"")</f>
        <v>0</v>
      </c>
    </row>
    <row r="994" spans="1:6">
      <c r="A994" s="67" t="s">
        <v>1998</v>
      </c>
      <c r="B994" s="29" t="s">
        <v>1999</v>
      </c>
      <c r="C994" s="30" t="s">
        <v>52</v>
      </c>
      <c r="D994" s="68"/>
      <c r="E994" s="69">
        <f>ROUND(IFERROR(VLOOKUP(A994,'CAP19-22'!$A:$G,7,FALSE()),""),0)</f>
        <v>1445255</v>
      </c>
      <c r="F994" s="69">
        <f t="shared" si="54"/>
        <v>0</v>
      </c>
    </row>
    <row r="995" spans="1:6">
      <c r="A995" s="67" t="s">
        <v>2000</v>
      </c>
      <c r="B995" s="29" t="s">
        <v>2001</v>
      </c>
      <c r="C995" s="30" t="s">
        <v>52</v>
      </c>
      <c r="D995" s="68"/>
      <c r="E995" s="69">
        <f>ROUND(IFERROR(VLOOKUP(A995,'CAP19-22'!$A:$G,7,FALSE()),""),0)</f>
        <v>1581783</v>
      </c>
      <c r="F995" s="69">
        <f t="shared" si="54"/>
        <v>0</v>
      </c>
    </row>
    <row r="996" spans="1:6">
      <c r="A996" s="67" t="s">
        <v>2002</v>
      </c>
      <c r="B996" s="29" t="s">
        <v>2003</v>
      </c>
      <c r="C996" s="30" t="s">
        <v>52</v>
      </c>
      <c r="D996" s="68"/>
      <c r="E996" s="69">
        <f>ROUND(IFERROR(VLOOKUP(A996,'CAP19-22'!$A:$G,7,FALSE()),""),0)</f>
        <v>1042895</v>
      </c>
      <c r="F996" s="69">
        <f t="shared" si="54"/>
        <v>0</v>
      </c>
    </row>
    <row r="997" spans="1:6">
      <c r="A997" s="67" t="s">
        <v>2004</v>
      </c>
      <c r="B997" s="29" t="s">
        <v>2005</v>
      </c>
      <c r="C997" s="30" t="s">
        <v>52</v>
      </c>
      <c r="D997" s="68"/>
      <c r="E997" s="69">
        <f>ROUND(IFERROR(VLOOKUP(A997,'CAP19-22'!$A:$G,7,FALSE()),""),0)</f>
        <v>1585834</v>
      </c>
      <c r="F997" s="69">
        <f t="shared" si="54"/>
        <v>0</v>
      </c>
    </row>
    <row r="998" spans="1:6">
      <c r="A998" s="67" t="s">
        <v>2006</v>
      </c>
      <c r="B998" s="29" t="s">
        <v>2007</v>
      </c>
      <c r="C998" s="30" t="s">
        <v>52</v>
      </c>
      <c r="D998" s="68"/>
      <c r="E998" s="69">
        <f>ROUND(IFERROR(VLOOKUP(A998,'CAP19-22'!$A:$G,7,FALSE()),""),0)</f>
        <v>1254385</v>
      </c>
      <c r="F998" s="69">
        <f t="shared" si="54"/>
        <v>0</v>
      </c>
    </row>
    <row r="999" spans="1:6">
      <c r="A999" s="67" t="s">
        <v>2008</v>
      </c>
      <c r="B999" s="29" t="s">
        <v>2009</v>
      </c>
      <c r="C999" s="30" t="s">
        <v>52</v>
      </c>
      <c r="D999" s="68"/>
      <c r="E999" s="69">
        <f>ROUND(IFERROR(VLOOKUP(A999,'CAP19-22'!$A:$G,7,FALSE()),""),0)</f>
        <v>1258436</v>
      </c>
      <c r="F999" s="69">
        <f t="shared" si="54"/>
        <v>0</v>
      </c>
    </row>
    <row r="1000" spans="1:6">
      <c r="A1000" s="67" t="s">
        <v>2010</v>
      </c>
      <c r="B1000" s="29" t="s">
        <v>2011</v>
      </c>
      <c r="C1000" s="30" t="s">
        <v>30</v>
      </c>
      <c r="D1000" s="68"/>
      <c r="E1000" s="69">
        <f>ROUND(IFERROR(VLOOKUP(A1000,'CAP19-22'!$A:$G,7,FALSE()),""),0)</f>
        <v>2860455</v>
      </c>
      <c r="F1000" s="69">
        <f t="shared" si="54"/>
        <v>0</v>
      </c>
    </row>
    <row r="1001" spans="1:6">
      <c r="A1001" s="67" t="s">
        <v>2012</v>
      </c>
      <c r="B1001" s="29" t="s">
        <v>2013</v>
      </c>
      <c r="C1001" s="30" t="s">
        <v>20</v>
      </c>
      <c r="D1001" s="68"/>
      <c r="E1001" s="69">
        <f>ROUND(IFERROR(VLOOKUP(A1001,'CAP19-22'!$A:$G,7,FALSE()),""),0)</f>
        <v>89219</v>
      </c>
      <c r="F1001" s="69">
        <f t="shared" si="54"/>
        <v>0</v>
      </c>
    </row>
    <row r="1002" spans="1:6">
      <c r="A1002" s="67" t="s">
        <v>2014</v>
      </c>
      <c r="B1002" s="29" t="s">
        <v>2015</v>
      </c>
      <c r="C1002" s="30" t="s">
        <v>52</v>
      </c>
      <c r="D1002" s="68"/>
      <c r="E1002" s="69">
        <f>ROUND(IFERROR(VLOOKUP(A1002,'CAP19-22'!$A:$G,7,FALSE()),""),0)</f>
        <v>890675</v>
      </c>
      <c r="F1002" s="69">
        <f t="shared" si="54"/>
        <v>0</v>
      </c>
    </row>
    <row r="1003" spans="1:6">
      <c r="A1003" s="67" t="s">
        <v>2016</v>
      </c>
      <c r="B1003" s="29" t="s">
        <v>2017</v>
      </c>
      <c r="C1003" s="30" t="s">
        <v>52</v>
      </c>
      <c r="D1003" s="68"/>
      <c r="E1003" s="69">
        <f>ROUND(IFERROR(VLOOKUP(A1003,'CAP19-22'!$A:$G,7,FALSE()),""),0)</f>
        <v>1143019</v>
      </c>
      <c r="F1003" s="69">
        <f t="shared" si="54"/>
        <v>0</v>
      </c>
    </row>
    <row r="1004" spans="1:6">
      <c r="A1004" s="67" t="s">
        <v>2018</v>
      </c>
      <c r="B1004" s="29" t="s">
        <v>2019</v>
      </c>
      <c r="C1004" s="30" t="s">
        <v>52</v>
      </c>
      <c r="D1004" s="68"/>
      <c r="E1004" s="69">
        <f>ROUND(IFERROR(VLOOKUP(A1004,'CAP19-22'!$A:$G,7,FALSE()),""),0)</f>
        <v>1068052</v>
      </c>
      <c r="F1004" s="69">
        <f t="shared" si="54"/>
        <v>0</v>
      </c>
    </row>
    <row r="1005" spans="1:6">
      <c r="A1005" s="67" t="s">
        <v>2020</v>
      </c>
      <c r="B1005" s="29" t="s">
        <v>2021</v>
      </c>
      <c r="C1005" s="30" t="s">
        <v>52</v>
      </c>
      <c r="D1005" s="68"/>
      <c r="E1005" s="69">
        <f>ROUND(IFERROR(VLOOKUP(A1005,'CAP19-22'!$A:$G,7,FALSE()),""),0)</f>
        <v>1162582</v>
      </c>
      <c r="F1005" s="69">
        <f t="shared" si="54"/>
        <v>0</v>
      </c>
    </row>
    <row r="1006" spans="1:6">
      <c r="A1006" s="67" t="s">
        <v>2022</v>
      </c>
      <c r="B1006" s="29" t="s">
        <v>2023</v>
      </c>
      <c r="C1006" s="30" t="s">
        <v>52</v>
      </c>
      <c r="D1006" s="68"/>
      <c r="E1006" s="69">
        <f>ROUND(IFERROR(VLOOKUP(A1006,'CAP19-22'!$A:$G,7,FALSE()),""),0)</f>
        <v>1087614</v>
      </c>
      <c r="F1006" s="69">
        <f t="shared" si="54"/>
        <v>0</v>
      </c>
    </row>
    <row r="1007" spans="1:6">
      <c r="A1007" s="67" t="s">
        <v>2024</v>
      </c>
      <c r="B1007" s="29" t="s">
        <v>2025</v>
      </c>
      <c r="C1007" s="30" t="s">
        <v>52</v>
      </c>
      <c r="D1007" s="68"/>
      <c r="E1007" s="69">
        <f>ROUND(IFERROR(VLOOKUP(A1007,'CAP19-22'!$A:$G,7,FALSE()),""),0)</f>
        <v>1192678</v>
      </c>
      <c r="F1007" s="69">
        <f t="shared" si="54"/>
        <v>0</v>
      </c>
    </row>
    <row r="1008" spans="1:6">
      <c r="A1008" s="67" t="s">
        <v>2026</v>
      </c>
      <c r="B1008" s="29" t="s">
        <v>2027</v>
      </c>
      <c r="C1008" s="30" t="s">
        <v>52</v>
      </c>
      <c r="D1008" s="68"/>
      <c r="E1008" s="69">
        <f>ROUND(IFERROR(VLOOKUP(A1008,'CAP19-22'!$A:$G,7,FALSE()),""),0)</f>
        <v>1192678</v>
      </c>
      <c r="F1008" s="69">
        <f t="shared" si="54"/>
        <v>0</v>
      </c>
    </row>
    <row r="1009" spans="1:8">
      <c r="A1009" s="67" t="s">
        <v>2028</v>
      </c>
      <c r="B1009" s="29" t="s">
        <v>2029</v>
      </c>
      <c r="C1009" s="30" t="s">
        <v>20</v>
      </c>
      <c r="D1009" s="68"/>
      <c r="E1009" s="69">
        <f>ROUND(IFERROR(VLOOKUP(A1009,'CAP19-22'!$A:$G,7,FALSE()),""),0)</f>
        <v>1772873</v>
      </c>
      <c r="F1009" s="69">
        <f t="shared" si="54"/>
        <v>0</v>
      </c>
    </row>
    <row r="1010" spans="1:8">
      <c r="A1010" s="67" t="s">
        <v>2030</v>
      </c>
      <c r="B1010" s="29" t="s">
        <v>2031</v>
      </c>
      <c r="C1010" s="30" t="s">
        <v>20</v>
      </c>
      <c r="D1010" s="68"/>
      <c r="E1010" s="69">
        <f>ROUND(IFERROR(VLOOKUP(A1010,'CAP19-22'!$A:$G,7,FALSE()),""),0)</f>
        <v>1723523</v>
      </c>
      <c r="F1010" s="69">
        <f t="shared" si="54"/>
        <v>0</v>
      </c>
    </row>
    <row r="1011" spans="1:8">
      <c r="A1011" s="67" t="s">
        <v>2032</v>
      </c>
      <c r="B1011" s="29" t="s">
        <v>2033</v>
      </c>
      <c r="C1011" s="30" t="s">
        <v>338</v>
      </c>
      <c r="D1011" s="68"/>
      <c r="E1011" s="69">
        <f>ROUND(IFERROR(VLOOKUP(A1011,'CAP19-22'!$A:$G,7,FALSE()),""),0)</f>
        <v>12880</v>
      </c>
      <c r="F1011" s="69">
        <f t="shared" si="54"/>
        <v>0</v>
      </c>
    </row>
    <row r="1012" spans="1:8">
      <c r="A1012" s="67" t="s">
        <v>2034</v>
      </c>
      <c r="B1012" s="29" t="s">
        <v>2035</v>
      </c>
      <c r="C1012" s="77" t="s">
        <v>52</v>
      </c>
      <c r="D1012" s="68"/>
      <c r="E1012" s="69">
        <f>ROUND(IFERROR(VLOOKUP(A1012,'CAP19-22'!$A:$G,7,FALSE()),""),0)</f>
        <v>1063567</v>
      </c>
      <c r="F1012" s="69">
        <f t="shared" si="54"/>
        <v>0</v>
      </c>
    </row>
    <row r="1013" spans="1:8" s="74" customFormat="1">
      <c r="A1013" s="60" t="s">
        <v>2036</v>
      </c>
      <c r="B1013" s="61" t="s">
        <v>2037</v>
      </c>
      <c r="C1013" s="62"/>
      <c r="D1013" s="63"/>
      <c r="E1013" s="64"/>
      <c r="F1013" s="65">
        <f>SUM(F1014:F1094)</f>
        <v>0</v>
      </c>
      <c r="G1013" s="66">
        <f>IFERROR(F1013/$F$1279,"")</f>
        <v>0</v>
      </c>
      <c r="H1013" s="3"/>
    </row>
    <row r="1014" spans="1:8" ht="25.5">
      <c r="A1014" s="67" t="s">
        <v>2038</v>
      </c>
      <c r="B1014" s="29" t="s">
        <v>2039</v>
      </c>
      <c r="C1014" s="30" t="s">
        <v>23</v>
      </c>
      <c r="D1014" s="68"/>
      <c r="E1014" s="69">
        <f>ROUND(IFERROR(VLOOKUP(A1014,'CAP23-24'!$A:$G,7,FALSE()),""),0)</f>
        <v>638909</v>
      </c>
      <c r="F1014" s="69">
        <f t="shared" ref="F1014:F1045" si="55">IFERROR(E1014*D1014,"")</f>
        <v>0</v>
      </c>
    </row>
    <row r="1015" spans="1:8" ht="25.5">
      <c r="A1015" s="67" t="s">
        <v>2040</v>
      </c>
      <c r="B1015" s="29" t="s">
        <v>2041</v>
      </c>
      <c r="C1015" s="30" t="s">
        <v>23</v>
      </c>
      <c r="D1015" s="68"/>
      <c r="E1015" s="69">
        <f>ROUND(IFERROR(VLOOKUP(A1015,'CAP23-24'!$A:$G,7,FALSE()),""),0)</f>
        <v>880532</v>
      </c>
      <c r="F1015" s="69">
        <f t="shared" si="55"/>
        <v>0</v>
      </c>
    </row>
    <row r="1016" spans="1:8" ht="25.5">
      <c r="A1016" s="67" t="s">
        <v>2042</v>
      </c>
      <c r="B1016" s="29" t="s">
        <v>2043</v>
      </c>
      <c r="C1016" s="30" t="s">
        <v>23</v>
      </c>
      <c r="D1016" s="68"/>
      <c r="E1016" s="69">
        <f>ROUND(IFERROR(VLOOKUP(A1016,'CAP23-24'!$A:$G,7,FALSE()),""),0)</f>
        <v>1329657</v>
      </c>
      <c r="F1016" s="69">
        <f t="shared" si="55"/>
        <v>0</v>
      </c>
    </row>
    <row r="1017" spans="1:8">
      <c r="A1017" s="67" t="s">
        <v>2044</v>
      </c>
      <c r="B1017" s="29" t="s">
        <v>2045</v>
      </c>
      <c r="C1017" s="30" t="s">
        <v>52</v>
      </c>
      <c r="D1017" s="68"/>
      <c r="E1017" s="69">
        <f>ROUND(IFERROR(VLOOKUP(A1017,'CAP23-24'!$A:$G,7,FALSE()),""),0)</f>
        <v>1251175</v>
      </c>
      <c r="F1017" s="69">
        <f t="shared" si="55"/>
        <v>0</v>
      </c>
    </row>
    <row r="1018" spans="1:8">
      <c r="A1018" s="67" t="s">
        <v>2046</v>
      </c>
      <c r="B1018" s="29" t="s">
        <v>2047</v>
      </c>
      <c r="C1018" s="30" t="s">
        <v>52</v>
      </c>
      <c r="D1018" s="68"/>
      <c r="E1018" s="69">
        <f>ROUND(IFERROR(VLOOKUP(A1018,'CAP23-24'!$A:$G,7,FALSE()),""),0)</f>
        <v>1674615</v>
      </c>
      <c r="F1018" s="69">
        <f t="shared" si="55"/>
        <v>0</v>
      </c>
    </row>
    <row r="1019" spans="1:8">
      <c r="A1019" s="67" t="s">
        <v>2048</v>
      </c>
      <c r="B1019" s="29" t="s">
        <v>2049</v>
      </c>
      <c r="C1019" s="30" t="s">
        <v>52</v>
      </c>
      <c r="D1019" s="68"/>
      <c r="E1019" s="69">
        <f>ROUND(IFERROR(VLOOKUP(A1019,'CAP23-24'!$A:$G,7,FALSE()),""),0)</f>
        <v>907650</v>
      </c>
      <c r="F1019" s="69">
        <f t="shared" si="55"/>
        <v>0</v>
      </c>
    </row>
    <row r="1020" spans="1:8">
      <c r="A1020" s="67" t="s">
        <v>2050</v>
      </c>
      <c r="B1020" s="29" t="s">
        <v>2051</v>
      </c>
      <c r="C1020" s="30" t="s">
        <v>52</v>
      </c>
      <c r="D1020" s="68"/>
      <c r="E1020" s="69">
        <f>ROUND(IFERROR(VLOOKUP(A1020,'CAP23-24'!$A:$G,7,FALSE()),""),0)</f>
        <v>896217</v>
      </c>
      <c r="F1020" s="69">
        <f t="shared" si="55"/>
        <v>0</v>
      </c>
    </row>
    <row r="1021" spans="1:8">
      <c r="A1021" s="67" t="s">
        <v>2052</v>
      </c>
      <c r="B1021" s="29" t="s">
        <v>2053</v>
      </c>
      <c r="C1021" s="30" t="s">
        <v>23</v>
      </c>
      <c r="D1021" s="68"/>
      <c r="E1021" s="69">
        <f>ROUND(IFERROR(VLOOKUP(A1021,'CAP23-24'!$A:$G,7,FALSE()),""),0)</f>
        <v>604022</v>
      </c>
      <c r="F1021" s="69">
        <f t="shared" si="55"/>
        <v>0</v>
      </c>
    </row>
    <row r="1022" spans="1:8" ht="25.5">
      <c r="A1022" s="67" t="s">
        <v>2054</v>
      </c>
      <c r="B1022" s="29" t="s">
        <v>2055</v>
      </c>
      <c r="C1022" s="30" t="s">
        <v>30</v>
      </c>
      <c r="D1022" s="68"/>
      <c r="E1022" s="69">
        <f>ROUND(IFERROR(VLOOKUP(A1022,'CAP23-24'!$A:$G,7,FALSE()),""),0)</f>
        <v>857880</v>
      </c>
      <c r="F1022" s="69">
        <f t="shared" si="55"/>
        <v>0</v>
      </c>
    </row>
    <row r="1023" spans="1:8" ht="25.5">
      <c r="A1023" s="67" t="s">
        <v>2056</v>
      </c>
      <c r="B1023" s="29" t="s">
        <v>2057</v>
      </c>
      <c r="C1023" s="30" t="s">
        <v>30</v>
      </c>
      <c r="D1023" s="68"/>
      <c r="E1023" s="69">
        <f>ROUND(IFERROR(VLOOKUP(A1023,'CAP23-24'!$A:$G,7,FALSE()),""),0)</f>
        <v>1009559</v>
      </c>
      <c r="F1023" s="69">
        <f t="shared" si="55"/>
        <v>0</v>
      </c>
    </row>
    <row r="1024" spans="1:8" ht="25.5">
      <c r="A1024" s="67" t="s">
        <v>2058</v>
      </c>
      <c r="B1024" s="29" t="s">
        <v>2059</v>
      </c>
      <c r="C1024" s="30" t="s">
        <v>30</v>
      </c>
      <c r="D1024" s="68"/>
      <c r="E1024" s="69">
        <f>ROUND(IFERROR(VLOOKUP(A1024,'CAP23-24'!$A:$G,7,FALSE()),""),0)</f>
        <v>1255245</v>
      </c>
      <c r="F1024" s="69">
        <f t="shared" si="55"/>
        <v>0</v>
      </c>
    </row>
    <row r="1025" spans="1:6">
      <c r="A1025" s="67" t="s">
        <v>2060</v>
      </c>
      <c r="B1025" s="29" t="s">
        <v>2061</v>
      </c>
      <c r="C1025" s="30" t="s">
        <v>52</v>
      </c>
      <c r="D1025" s="68"/>
      <c r="E1025" s="69">
        <f>ROUND(IFERROR(VLOOKUP(A1025,'CAP23-24'!$A:$G,7,FALSE()),""),0)</f>
        <v>734591</v>
      </c>
      <c r="F1025" s="69">
        <f t="shared" si="55"/>
        <v>0</v>
      </c>
    </row>
    <row r="1026" spans="1:6">
      <c r="A1026" s="67" t="s">
        <v>2062</v>
      </c>
      <c r="B1026" s="29" t="s">
        <v>2063</v>
      </c>
      <c r="C1026" s="30" t="s">
        <v>23</v>
      </c>
      <c r="D1026" s="68"/>
      <c r="E1026" s="69">
        <f>ROUND(IFERROR(VLOOKUP(A1026,'CAP23-24'!$A:$G,7,FALSE()),""),0)</f>
        <v>268323</v>
      </c>
      <c r="F1026" s="69">
        <f t="shared" si="55"/>
        <v>0</v>
      </c>
    </row>
    <row r="1027" spans="1:6">
      <c r="A1027" s="67" t="s">
        <v>2064</v>
      </c>
      <c r="B1027" s="29" t="s">
        <v>2065</v>
      </c>
      <c r="C1027" s="30" t="s">
        <v>52</v>
      </c>
      <c r="D1027" s="68"/>
      <c r="E1027" s="69">
        <f>ROUND(IFERROR(VLOOKUP(A1027,'CAP23-24'!$A:$G,7,FALSE()),""),0)</f>
        <v>405745</v>
      </c>
      <c r="F1027" s="69">
        <f t="shared" si="55"/>
        <v>0</v>
      </c>
    </row>
    <row r="1028" spans="1:6">
      <c r="A1028" s="67" t="s">
        <v>2066</v>
      </c>
      <c r="B1028" s="29" t="s">
        <v>2067</v>
      </c>
      <c r="C1028" s="30" t="s">
        <v>52</v>
      </c>
      <c r="D1028" s="68"/>
      <c r="E1028" s="69">
        <f>ROUND(IFERROR(VLOOKUP(A1028,'CAP23-24'!$A:$G,7,FALSE()),""),0)</f>
        <v>476389</v>
      </c>
      <c r="F1028" s="69">
        <f t="shared" si="55"/>
        <v>0</v>
      </c>
    </row>
    <row r="1029" spans="1:6">
      <c r="A1029" s="67" t="s">
        <v>2068</v>
      </c>
      <c r="B1029" s="29" t="s">
        <v>2069</v>
      </c>
      <c r="C1029" s="30" t="s">
        <v>52</v>
      </c>
      <c r="D1029" s="68"/>
      <c r="E1029" s="69">
        <f>ROUND(IFERROR(VLOOKUP(A1029,'CAP23-24'!$A:$G,7,FALSE()),""),0)</f>
        <v>492043</v>
      </c>
      <c r="F1029" s="69">
        <f t="shared" si="55"/>
        <v>0</v>
      </c>
    </row>
    <row r="1030" spans="1:6">
      <c r="A1030" s="67" t="s">
        <v>2070</v>
      </c>
      <c r="B1030" s="29" t="s">
        <v>2071</v>
      </c>
      <c r="C1030" s="30" t="s">
        <v>23</v>
      </c>
      <c r="D1030" s="68"/>
      <c r="E1030" s="69">
        <f>ROUND(IFERROR(VLOOKUP(A1030,'CAP23-24'!$A:$G,7,FALSE()),""),0)</f>
        <v>3620939</v>
      </c>
      <c r="F1030" s="69">
        <f t="shared" si="55"/>
        <v>0</v>
      </c>
    </row>
    <row r="1031" spans="1:6">
      <c r="A1031" s="67" t="s">
        <v>2072</v>
      </c>
      <c r="B1031" s="29" t="s">
        <v>2073</v>
      </c>
      <c r="C1031" s="30" t="s">
        <v>30</v>
      </c>
      <c r="D1031" s="68"/>
      <c r="E1031" s="69">
        <f>ROUND(IFERROR(VLOOKUP(A1031,'CAP23-24'!$A:$G,7,FALSE()),""),0)</f>
        <v>130433</v>
      </c>
      <c r="F1031" s="69">
        <f t="shared" si="55"/>
        <v>0</v>
      </c>
    </row>
    <row r="1032" spans="1:6">
      <c r="A1032" s="67" t="s">
        <v>2074</v>
      </c>
      <c r="B1032" s="29" t="s">
        <v>2075</v>
      </c>
      <c r="C1032" s="30" t="s">
        <v>30</v>
      </c>
      <c r="D1032" s="68"/>
      <c r="E1032" s="69">
        <f>ROUND(IFERROR(VLOOKUP(A1032,'CAP23-24'!$A:$G,7,FALSE()),""),0)</f>
        <v>53220</v>
      </c>
      <c r="F1032" s="69">
        <f t="shared" si="55"/>
        <v>0</v>
      </c>
    </row>
    <row r="1033" spans="1:6">
      <c r="A1033" s="67" t="s">
        <v>2076</v>
      </c>
      <c r="B1033" s="29" t="s">
        <v>2077</v>
      </c>
      <c r="C1033" s="30" t="s">
        <v>30</v>
      </c>
      <c r="D1033" s="68"/>
      <c r="E1033" s="69">
        <f>ROUND(IFERROR(VLOOKUP(A1033,'CAP23-24'!$A:$G,7,FALSE()),""),0)</f>
        <v>78920</v>
      </c>
      <c r="F1033" s="69">
        <f t="shared" si="55"/>
        <v>0</v>
      </c>
    </row>
    <row r="1034" spans="1:6">
      <c r="A1034" s="67" t="s">
        <v>2078</v>
      </c>
      <c r="B1034" s="29" t="s">
        <v>2079</v>
      </c>
      <c r="C1034" s="30" t="s">
        <v>23</v>
      </c>
      <c r="D1034" s="68"/>
      <c r="E1034" s="69">
        <f>ROUND(IFERROR(VLOOKUP(A1034,'CAP23-24'!$A:$G,7,FALSE()),""),0)</f>
        <v>14387</v>
      </c>
      <c r="F1034" s="69">
        <f t="shared" si="55"/>
        <v>0</v>
      </c>
    </row>
    <row r="1035" spans="1:6" ht="38.25">
      <c r="A1035" s="67" t="s">
        <v>2080</v>
      </c>
      <c r="B1035" s="29" t="s">
        <v>2081</v>
      </c>
      <c r="C1035" s="30" t="s">
        <v>23</v>
      </c>
      <c r="D1035" s="68"/>
      <c r="E1035" s="69">
        <f>ROUND(IFERROR(VLOOKUP(A1035,'CAP23-24'!$A:$G,7,FALSE()),""),0)</f>
        <v>1026530</v>
      </c>
      <c r="F1035" s="69">
        <f t="shared" si="55"/>
        <v>0</v>
      </c>
    </row>
    <row r="1036" spans="1:6" ht="38.25">
      <c r="A1036" s="67" t="s">
        <v>2082</v>
      </c>
      <c r="B1036" s="29" t="s">
        <v>2083</v>
      </c>
      <c r="C1036" s="30" t="s">
        <v>23</v>
      </c>
      <c r="D1036" s="68"/>
      <c r="E1036" s="69">
        <f>ROUND(IFERROR(VLOOKUP(A1036,'CAP23-24'!$A:$G,7,FALSE()),""),0)</f>
        <v>1243748</v>
      </c>
      <c r="F1036" s="69">
        <f t="shared" si="55"/>
        <v>0</v>
      </c>
    </row>
    <row r="1037" spans="1:6" ht="38.25">
      <c r="A1037" s="67" t="s">
        <v>2084</v>
      </c>
      <c r="B1037" s="29" t="s">
        <v>2085</v>
      </c>
      <c r="C1037" s="30" t="s">
        <v>23</v>
      </c>
      <c r="D1037" s="68"/>
      <c r="E1037" s="69">
        <f>ROUND(IFERROR(VLOOKUP(A1037,'CAP23-24'!$A:$G,7,FALSE()),""),0)</f>
        <v>1538518</v>
      </c>
      <c r="F1037" s="69">
        <f t="shared" si="55"/>
        <v>0</v>
      </c>
    </row>
    <row r="1038" spans="1:6">
      <c r="A1038" s="67" t="s">
        <v>2086</v>
      </c>
      <c r="B1038" s="29" t="s">
        <v>2087</v>
      </c>
      <c r="C1038" s="30" t="s">
        <v>30</v>
      </c>
      <c r="D1038" s="68"/>
      <c r="E1038" s="69">
        <f>ROUND(IFERROR(VLOOKUP(A1038,'CAP23-24'!$A:$G,7,FALSE()),""),0)</f>
        <v>38076</v>
      </c>
      <c r="F1038" s="69">
        <f t="shared" si="55"/>
        <v>0</v>
      </c>
    </row>
    <row r="1039" spans="1:6">
      <c r="A1039" s="67" t="s">
        <v>2088</v>
      </c>
      <c r="B1039" s="29" t="s">
        <v>2089</v>
      </c>
      <c r="C1039" s="30" t="s">
        <v>23</v>
      </c>
      <c r="D1039" s="68"/>
      <c r="E1039" s="69">
        <f>ROUND(IFERROR(VLOOKUP(A1039,'CAP23-24'!$A:$G,7,FALSE()),""),0)</f>
        <v>77320</v>
      </c>
      <c r="F1039" s="69">
        <f t="shared" si="55"/>
        <v>0</v>
      </c>
    </row>
    <row r="1040" spans="1:6" ht="25.5">
      <c r="A1040" s="67" t="s">
        <v>2090</v>
      </c>
      <c r="B1040" s="29" t="s">
        <v>2091</v>
      </c>
      <c r="C1040" s="30" t="s">
        <v>30</v>
      </c>
      <c r="D1040" s="68"/>
      <c r="E1040" s="69">
        <f>ROUND(IFERROR(VLOOKUP(A1040,'CAP23-24'!$A:$G,7,FALSE()),""),0)</f>
        <v>37357</v>
      </c>
      <c r="F1040" s="69">
        <f t="shared" si="55"/>
        <v>0</v>
      </c>
    </row>
    <row r="1041" spans="1:6" ht="25.5">
      <c r="A1041" s="67" t="s">
        <v>2092</v>
      </c>
      <c r="B1041" s="29" t="s">
        <v>2093</v>
      </c>
      <c r="C1041" s="30" t="s">
        <v>23</v>
      </c>
      <c r="D1041" s="68"/>
      <c r="E1041" s="69">
        <f>ROUND(IFERROR(VLOOKUP(A1041,'CAP23-24'!$A:$G,7,FALSE()),""),0)</f>
        <v>44177</v>
      </c>
      <c r="F1041" s="69">
        <f t="shared" si="55"/>
        <v>0</v>
      </c>
    </row>
    <row r="1042" spans="1:6">
      <c r="A1042" s="67" t="s">
        <v>2094</v>
      </c>
      <c r="B1042" s="29" t="s">
        <v>2095</v>
      </c>
      <c r="C1042" s="30" t="s">
        <v>52</v>
      </c>
      <c r="D1042" s="68"/>
      <c r="E1042" s="69">
        <f>ROUND(IFERROR(VLOOKUP(A1042,'CAP23-24'!$A:$G,7,FALSE()),""),0)</f>
        <v>995810</v>
      </c>
      <c r="F1042" s="69">
        <f t="shared" si="55"/>
        <v>0</v>
      </c>
    </row>
    <row r="1043" spans="1:6">
      <c r="A1043" s="67" t="s">
        <v>2096</v>
      </c>
      <c r="B1043" s="29" t="s">
        <v>2097</v>
      </c>
      <c r="C1043" s="30" t="s">
        <v>20</v>
      </c>
      <c r="D1043" s="68"/>
      <c r="E1043" s="69">
        <f>ROUND(IFERROR(VLOOKUP(A1043,'CAP23-24'!$A:$G,7,FALSE()),""),0)</f>
        <v>2995</v>
      </c>
      <c r="F1043" s="69">
        <f t="shared" si="55"/>
        <v>0</v>
      </c>
    </row>
    <row r="1044" spans="1:6">
      <c r="A1044" s="67" t="s">
        <v>2098</v>
      </c>
      <c r="B1044" s="29" t="s">
        <v>2099</v>
      </c>
      <c r="C1044" s="30" t="s">
        <v>20</v>
      </c>
      <c r="D1044" s="68"/>
      <c r="E1044" s="69">
        <f>ROUND(IFERROR(VLOOKUP(A1044,'CAP23-24'!$A:$G,7,FALSE()),""),0)</f>
        <v>3404</v>
      </c>
      <c r="F1044" s="69">
        <f t="shared" si="55"/>
        <v>0</v>
      </c>
    </row>
    <row r="1045" spans="1:6">
      <c r="A1045" s="67" t="s">
        <v>2100</v>
      </c>
      <c r="B1045" s="29" t="s">
        <v>2101</v>
      </c>
      <c r="C1045" s="30" t="s">
        <v>52</v>
      </c>
      <c r="D1045" s="68"/>
      <c r="E1045" s="69">
        <f>ROUND(IFERROR(VLOOKUP(A1045,'CAP23-24'!$A:$G,7,FALSE()),""),0)</f>
        <v>833020</v>
      </c>
      <c r="F1045" s="69">
        <f t="shared" si="55"/>
        <v>0</v>
      </c>
    </row>
    <row r="1046" spans="1:6">
      <c r="A1046" s="67" t="s">
        <v>2102</v>
      </c>
      <c r="B1046" s="29" t="s">
        <v>2103</v>
      </c>
      <c r="C1046" s="30" t="s">
        <v>52</v>
      </c>
      <c r="D1046" s="68"/>
      <c r="E1046" s="69">
        <f>ROUND(IFERROR(VLOOKUP(A1046,'CAP23-24'!$A:$G,7,FALSE()),""),0)</f>
        <v>730865</v>
      </c>
      <c r="F1046" s="69">
        <f t="shared" ref="F1046:F1071" si="56">IFERROR(E1046*D1046,"")</f>
        <v>0</v>
      </c>
    </row>
    <row r="1047" spans="1:6" ht="25.5">
      <c r="A1047" s="67" t="s">
        <v>2104</v>
      </c>
      <c r="B1047" s="29" t="s">
        <v>2105</v>
      </c>
      <c r="C1047" s="30" t="s">
        <v>23</v>
      </c>
      <c r="D1047" s="68"/>
      <c r="E1047" s="69">
        <f>ROUND(IFERROR(VLOOKUP(A1047,'CAP23-24'!$A:$G,7,FALSE()),""),0)</f>
        <v>2594720</v>
      </c>
      <c r="F1047" s="69">
        <f t="shared" si="56"/>
        <v>0</v>
      </c>
    </row>
    <row r="1048" spans="1:6">
      <c r="A1048" s="67" t="s">
        <v>2106</v>
      </c>
      <c r="B1048" s="29" t="s">
        <v>2107</v>
      </c>
      <c r="C1048" s="30" t="s">
        <v>23</v>
      </c>
      <c r="D1048" s="68"/>
      <c r="E1048" s="69">
        <f>ROUND(IFERROR(VLOOKUP(A1048,'CAP23-24'!$A:$G,7,FALSE()),""),0)</f>
        <v>1103578</v>
      </c>
      <c r="F1048" s="69">
        <f t="shared" si="56"/>
        <v>0</v>
      </c>
    </row>
    <row r="1049" spans="1:6">
      <c r="A1049" s="67" t="s">
        <v>2108</v>
      </c>
      <c r="B1049" s="29" t="s">
        <v>2109</v>
      </c>
      <c r="C1049" s="30" t="s">
        <v>30</v>
      </c>
      <c r="D1049" s="68"/>
      <c r="E1049" s="69">
        <f>ROUND(IFERROR(VLOOKUP(A1049,'CAP23-24'!$A:$G,7,FALSE()),""),0)</f>
        <v>295480</v>
      </c>
      <c r="F1049" s="69">
        <f t="shared" si="56"/>
        <v>0</v>
      </c>
    </row>
    <row r="1050" spans="1:6">
      <c r="A1050" s="67" t="s">
        <v>2110</v>
      </c>
      <c r="B1050" s="29" t="s">
        <v>2111</v>
      </c>
      <c r="C1050" s="30" t="s">
        <v>30</v>
      </c>
      <c r="D1050" s="68"/>
      <c r="E1050" s="69">
        <f>ROUND(IFERROR(VLOOKUP(A1050,'CAP23-24'!$A:$G,7,FALSE()),""),0)</f>
        <v>487160</v>
      </c>
      <c r="F1050" s="69">
        <f t="shared" si="56"/>
        <v>0</v>
      </c>
    </row>
    <row r="1051" spans="1:6">
      <c r="A1051" s="67" t="s">
        <v>2112</v>
      </c>
      <c r="B1051" s="29" t="s">
        <v>2113</v>
      </c>
      <c r="C1051" s="30" t="s">
        <v>23</v>
      </c>
      <c r="D1051" s="68"/>
      <c r="E1051" s="69">
        <f>ROUND(IFERROR(VLOOKUP(A1051,'CAP23-24'!$A:$G,7,FALSE()),""),0)</f>
        <v>53052</v>
      </c>
      <c r="F1051" s="69">
        <f t="shared" si="56"/>
        <v>0</v>
      </c>
    </row>
    <row r="1052" spans="1:6">
      <c r="A1052" s="67" t="s">
        <v>2114</v>
      </c>
      <c r="B1052" s="29" t="s">
        <v>2115</v>
      </c>
      <c r="C1052" s="30" t="s">
        <v>23</v>
      </c>
      <c r="D1052" s="68"/>
      <c r="E1052" s="69">
        <f>ROUND(IFERROR(VLOOKUP(A1052,'CAP23-24'!$A:$G,7,FALSE()),""),0)</f>
        <v>101883</v>
      </c>
      <c r="F1052" s="69">
        <f t="shared" si="56"/>
        <v>0</v>
      </c>
    </row>
    <row r="1053" spans="1:6">
      <c r="A1053" s="67" t="s">
        <v>2116</v>
      </c>
      <c r="B1053" s="29" t="s">
        <v>2117</v>
      </c>
      <c r="C1053" s="30" t="s">
        <v>23</v>
      </c>
      <c r="D1053" s="68"/>
      <c r="E1053" s="69">
        <f>ROUND(IFERROR(VLOOKUP(A1053,'CAP23-24'!$A:$G,7,FALSE()),""),0)</f>
        <v>101883</v>
      </c>
      <c r="F1053" s="69">
        <f t="shared" si="56"/>
        <v>0</v>
      </c>
    </row>
    <row r="1054" spans="1:6">
      <c r="A1054" s="67" t="s">
        <v>2118</v>
      </c>
      <c r="B1054" s="29" t="s">
        <v>2119</v>
      </c>
      <c r="C1054" s="30" t="s">
        <v>23</v>
      </c>
      <c r="D1054" s="68"/>
      <c r="E1054" s="69">
        <f>ROUND(IFERROR(VLOOKUP(A1054,'CAP23-24'!$A:$G,7,FALSE()),""),0)</f>
        <v>101883</v>
      </c>
      <c r="F1054" s="69">
        <f t="shared" si="56"/>
        <v>0</v>
      </c>
    </row>
    <row r="1055" spans="1:6">
      <c r="A1055" s="67" t="s">
        <v>2120</v>
      </c>
      <c r="B1055" s="29" t="s">
        <v>2121</v>
      </c>
      <c r="C1055" s="30" t="s">
        <v>23</v>
      </c>
      <c r="D1055" s="68"/>
      <c r="E1055" s="69">
        <f>ROUND(IFERROR(VLOOKUP(A1055,'CAP23-24'!$A:$G,7,FALSE()),""),0)</f>
        <v>101883</v>
      </c>
      <c r="F1055" s="69">
        <f t="shared" si="56"/>
        <v>0</v>
      </c>
    </row>
    <row r="1056" spans="1:6">
      <c r="A1056" s="67" t="s">
        <v>2122</v>
      </c>
      <c r="B1056" s="29" t="s">
        <v>2123</v>
      </c>
      <c r="C1056" s="30" t="s">
        <v>23</v>
      </c>
      <c r="D1056" s="68"/>
      <c r="E1056" s="69">
        <f>ROUND(IFERROR(VLOOKUP(A1056,'CAP23-24'!$A:$G,7,FALSE()),""),0)</f>
        <v>101883</v>
      </c>
      <c r="F1056" s="69">
        <f t="shared" si="56"/>
        <v>0</v>
      </c>
    </row>
    <row r="1057" spans="1:6">
      <c r="A1057" s="67" t="s">
        <v>2124</v>
      </c>
      <c r="B1057" s="29" t="s">
        <v>2125</v>
      </c>
      <c r="C1057" s="30" t="s">
        <v>23</v>
      </c>
      <c r="D1057" s="68"/>
      <c r="E1057" s="69">
        <f>ROUND(IFERROR(VLOOKUP(A1057,'CAP23-24'!$A:$G,7,FALSE()),""),0)</f>
        <v>101883</v>
      </c>
      <c r="F1057" s="69">
        <f t="shared" si="56"/>
        <v>0</v>
      </c>
    </row>
    <row r="1058" spans="1:6">
      <c r="A1058" s="67" t="s">
        <v>2126</v>
      </c>
      <c r="B1058" s="29" t="s">
        <v>2127</v>
      </c>
      <c r="C1058" s="30" t="s">
        <v>23</v>
      </c>
      <c r="D1058" s="68"/>
      <c r="E1058" s="69">
        <f>ROUND(IFERROR(VLOOKUP(A1058,'CAP23-24'!$A:$G,7,FALSE()),""),0)</f>
        <v>101883</v>
      </c>
      <c r="F1058" s="69">
        <f t="shared" si="56"/>
        <v>0</v>
      </c>
    </row>
    <row r="1059" spans="1:6">
      <c r="A1059" s="67" t="s">
        <v>2128</v>
      </c>
      <c r="B1059" s="29" t="s">
        <v>2129</v>
      </c>
      <c r="C1059" s="30" t="s">
        <v>23</v>
      </c>
      <c r="D1059" s="68"/>
      <c r="E1059" s="69">
        <f>ROUND(IFERROR(VLOOKUP(A1059,'CAP23-24'!$A:$G,7,FALSE()),""),0)</f>
        <v>1049650</v>
      </c>
      <c r="F1059" s="69">
        <f t="shared" si="56"/>
        <v>0</v>
      </c>
    </row>
    <row r="1060" spans="1:6">
      <c r="A1060" s="67" t="s">
        <v>2130</v>
      </c>
      <c r="B1060" s="29" t="s">
        <v>2131</v>
      </c>
      <c r="C1060" s="30" t="s">
        <v>23</v>
      </c>
      <c r="D1060" s="68"/>
      <c r="E1060" s="69">
        <f>ROUND(IFERROR(VLOOKUP(A1060,'CAP23-24'!$A:$G,7,FALSE()),""),0)</f>
        <v>1420139</v>
      </c>
      <c r="F1060" s="69">
        <f t="shared" si="56"/>
        <v>0</v>
      </c>
    </row>
    <row r="1061" spans="1:6">
      <c r="A1061" s="67" t="s">
        <v>2132</v>
      </c>
      <c r="B1061" s="29" t="s">
        <v>2133</v>
      </c>
      <c r="C1061" s="30" t="s">
        <v>23</v>
      </c>
      <c r="D1061" s="68"/>
      <c r="E1061" s="69">
        <f>ROUND(IFERROR(VLOOKUP(A1061,'CAP23-24'!$A:$G,7,FALSE()),""),0)</f>
        <v>1360752</v>
      </c>
      <c r="F1061" s="69">
        <f t="shared" si="56"/>
        <v>0</v>
      </c>
    </row>
    <row r="1062" spans="1:6">
      <c r="A1062" s="67" t="s">
        <v>2134</v>
      </c>
      <c r="B1062" s="29" t="s">
        <v>2135</v>
      </c>
      <c r="C1062" s="30" t="s">
        <v>30</v>
      </c>
      <c r="D1062" s="68"/>
      <c r="E1062" s="69">
        <f>ROUND(IFERROR(VLOOKUP(A1062,'CAP23-24'!$A:$G,7,FALSE()),""),0)</f>
        <v>1470402</v>
      </c>
      <c r="F1062" s="69">
        <f t="shared" si="56"/>
        <v>0</v>
      </c>
    </row>
    <row r="1063" spans="1:6">
      <c r="A1063" s="67" t="s">
        <v>2136</v>
      </c>
      <c r="B1063" s="29" t="s">
        <v>2137</v>
      </c>
      <c r="C1063" s="30" t="s">
        <v>30</v>
      </c>
      <c r="D1063" s="68"/>
      <c r="E1063" s="69">
        <f>ROUND(IFERROR(VLOOKUP(A1063,'CAP23-24'!$A:$G,7,FALSE()),""),0)</f>
        <v>1411016</v>
      </c>
      <c r="F1063" s="69">
        <f t="shared" si="56"/>
        <v>0</v>
      </c>
    </row>
    <row r="1064" spans="1:6">
      <c r="A1064" s="67" t="s">
        <v>2138</v>
      </c>
      <c r="B1064" s="29" t="s">
        <v>2139</v>
      </c>
      <c r="C1064" s="30" t="s">
        <v>23</v>
      </c>
      <c r="D1064" s="68"/>
      <c r="E1064" s="69">
        <f>ROUND(IFERROR(VLOOKUP(A1064,'CAP23-24'!$A:$G,7,FALSE()),""),0)</f>
        <v>1737949</v>
      </c>
      <c r="F1064" s="69">
        <f t="shared" si="56"/>
        <v>0</v>
      </c>
    </row>
    <row r="1065" spans="1:6">
      <c r="A1065" s="67" t="s">
        <v>2140</v>
      </c>
      <c r="B1065" s="29" t="s">
        <v>2141</v>
      </c>
      <c r="C1065" s="30" t="s">
        <v>23</v>
      </c>
      <c r="D1065" s="68"/>
      <c r="E1065" s="69">
        <f>ROUND(IFERROR(VLOOKUP(A1065,'CAP23-24'!$A:$G,7,FALSE()),""),0)</f>
        <v>546987</v>
      </c>
      <c r="F1065" s="69">
        <f t="shared" si="56"/>
        <v>0</v>
      </c>
    </row>
    <row r="1066" spans="1:6">
      <c r="A1066" s="67" t="s">
        <v>2142</v>
      </c>
      <c r="B1066" s="29" t="s">
        <v>2143</v>
      </c>
      <c r="C1066" s="30" t="s">
        <v>23</v>
      </c>
      <c r="D1066" s="68"/>
      <c r="E1066" s="69">
        <f>ROUND(IFERROR(VLOOKUP(A1066,'CAP23-24'!$A:$G,7,FALSE()),""),0)</f>
        <v>1101149</v>
      </c>
      <c r="F1066" s="69">
        <f t="shared" si="56"/>
        <v>0</v>
      </c>
    </row>
    <row r="1067" spans="1:6">
      <c r="A1067" s="67" t="s">
        <v>2144</v>
      </c>
      <c r="B1067" s="29" t="s">
        <v>2145</v>
      </c>
      <c r="C1067" s="30" t="s">
        <v>23</v>
      </c>
      <c r="D1067" s="68"/>
      <c r="E1067" s="69">
        <f>ROUND(IFERROR(VLOOKUP(A1067,'CAP23-24'!$A:$G,7,FALSE()),""),0)</f>
        <v>176889</v>
      </c>
      <c r="F1067" s="69">
        <f t="shared" si="56"/>
        <v>0</v>
      </c>
    </row>
    <row r="1068" spans="1:6">
      <c r="A1068" s="67" t="s">
        <v>2146</v>
      </c>
      <c r="B1068" s="29" t="s">
        <v>2147</v>
      </c>
      <c r="C1068" s="30" t="s">
        <v>52</v>
      </c>
      <c r="D1068" s="68"/>
      <c r="E1068" s="69">
        <f>ROUND(IFERROR(VLOOKUP(A1068,'CAP23-24'!$A:$G,7,FALSE()),""),0)</f>
        <v>310040</v>
      </c>
      <c r="F1068" s="69">
        <f t="shared" si="56"/>
        <v>0</v>
      </c>
    </row>
    <row r="1069" spans="1:6">
      <c r="A1069" s="67" t="s">
        <v>2148</v>
      </c>
      <c r="B1069" s="29" t="s">
        <v>2149</v>
      </c>
      <c r="C1069" s="30" t="s">
        <v>30</v>
      </c>
      <c r="D1069" s="68"/>
      <c r="E1069" s="69">
        <f>ROUND(IFERROR(VLOOKUP(A1069,'CAP23-24'!$A:$G,7,FALSE()),""),0)</f>
        <v>372385</v>
      </c>
      <c r="F1069" s="69">
        <f t="shared" si="56"/>
        <v>0</v>
      </c>
    </row>
    <row r="1070" spans="1:6">
      <c r="A1070" s="67" t="s">
        <v>2150</v>
      </c>
      <c r="B1070" s="29" t="s">
        <v>2151</v>
      </c>
      <c r="C1070" s="30" t="s">
        <v>30</v>
      </c>
      <c r="D1070" s="68"/>
      <c r="E1070" s="69">
        <f>ROUND(IFERROR(VLOOKUP(A1070,'CAP23-24'!$A:$G,7,FALSE()),""),0)</f>
        <v>412786</v>
      </c>
      <c r="F1070" s="69">
        <f t="shared" si="56"/>
        <v>0</v>
      </c>
    </row>
    <row r="1071" spans="1:6">
      <c r="A1071" s="67" t="s">
        <v>2152</v>
      </c>
      <c r="B1071" s="29" t="s">
        <v>2153</v>
      </c>
      <c r="C1071" s="30" t="s">
        <v>30</v>
      </c>
      <c r="D1071" s="68"/>
      <c r="E1071" s="69">
        <f>ROUND(IFERROR(VLOOKUP(A1071,'CAP23-24'!$A:$G,7,FALSE()),""),0)</f>
        <v>476889</v>
      </c>
      <c r="F1071" s="69">
        <f t="shared" si="56"/>
        <v>0</v>
      </c>
    </row>
    <row r="1072" spans="1:6">
      <c r="A1072" s="67" t="s">
        <v>2154</v>
      </c>
      <c r="B1072" s="29" t="s">
        <v>2155</v>
      </c>
      <c r="C1072" s="30" t="s">
        <v>30</v>
      </c>
      <c r="D1072" s="68"/>
      <c r="E1072" s="69">
        <f>ROUND(IFERROR(VLOOKUP(A1072,'CAP23-24'!$A:$G,7,FALSE()),""),0)</f>
        <v>519472</v>
      </c>
      <c r="F1072" s="69">
        <f t="shared" ref="F1072:F1094" si="57">IFERROR(E1072*D1072,"")</f>
        <v>0</v>
      </c>
    </row>
    <row r="1073" spans="1:6">
      <c r="A1073" s="67" t="s">
        <v>2156</v>
      </c>
      <c r="B1073" s="29" t="s">
        <v>2157</v>
      </c>
      <c r="C1073" s="30" t="s">
        <v>30</v>
      </c>
      <c r="D1073" s="68"/>
      <c r="E1073" s="69">
        <f>ROUND(IFERROR(VLOOKUP(A1073,'CAP23-24'!$A:$G,7,FALSE()),""),0)</f>
        <v>597695</v>
      </c>
      <c r="F1073" s="69">
        <f t="shared" si="57"/>
        <v>0</v>
      </c>
    </row>
    <row r="1074" spans="1:6">
      <c r="A1074" s="67" t="s">
        <v>2158</v>
      </c>
      <c r="B1074" s="29" t="s">
        <v>2159</v>
      </c>
      <c r="C1074" s="30" t="s">
        <v>30</v>
      </c>
      <c r="D1074" s="68"/>
      <c r="E1074" s="69">
        <f>ROUND(IFERROR(VLOOKUP(A1074,'CAP23-24'!$A:$G,7,FALSE()),""),0)</f>
        <v>666558</v>
      </c>
      <c r="F1074" s="69">
        <f t="shared" si="57"/>
        <v>0</v>
      </c>
    </row>
    <row r="1075" spans="1:6">
      <c r="A1075" s="67" t="s">
        <v>2160</v>
      </c>
      <c r="B1075" s="29" t="s">
        <v>2161</v>
      </c>
      <c r="C1075" s="30" t="s">
        <v>30</v>
      </c>
      <c r="D1075" s="68"/>
      <c r="E1075" s="69">
        <f>ROUND(IFERROR(VLOOKUP(A1075,'CAP23-24'!$A:$G,7,FALSE()),""),0)</f>
        <v>806291</v>
      </c>
      <c r="F1075" s="69">
        <f t="shared" si="57"/>
        <v>0</v>
      </c>
    </row>
    <row r="1076" spans="1:6">
      <c r="A1076" s="67" t="s">
        <v>2162</v>
      </c>
      <c r="B1076" s="29" t="s">
        <v>2163</v>
      </c>
      <c r="C1076" s="30" t="s">
        <v>30</v>
      </c>
      <c r="D1076" s="68"/>
      <c r="E1076" s="69">
        <f>ROUND(IFERROR(VLOOKUP(A1076,'CAP23-24'!$A:$G,7,FALSE()),""),0)</f>
        <v>1074730</v>
      </c>
      <c r="F1076" s="69">
        <f t="shared" si="57"/>
        <v>0</v>
      </c>
    </row>
    <row r="1077" spans="1:6">
      <c r="A1077" s="67" t="s">
        <v>2164</v>
      </c>
      <c r="B1077" s="29" t="s">
        <v>2165</v>
      </c>
      <c r="C1077" s="30" t="s">
        <v>30</v>
      </c>
      <c r="D1077" s="68"/>
      <c r="E1077" s="69">
        <f>ROUND(IFERROR(VLOOKUP(A1077,'CAP23-24'!$A:$G,7,FALSE()),""),0)</f>
        <v>36553</v>
      </c>
      <c r="F1077" s="69">
        <f t="shared" si="57"/>
        <v>0</v>
      </c>
    </row>
    <row r="1078" spans="1:6">
      <c r="A1078" s="67" t="s">
        <v>2166</v>
      </c>
      <c r="B1078" s="29" t="s">
        <v>2167</v>
      </c>
      <c r="C1078" s="30" t="s">
        <v>30</v>
      </c>
      <c r="D1078" s="68"/>
      <c r="E1078" s="69">
        <f>ROUND(IFERROR(VLOOKUP(A1078,'CAP23-24'!$A:$G,7,FALSE()),""),0)</f>
        <v>67641</v>
      </c>
      <c r="F1078" s="69">
        <f t="shared" si="57"/>
        <v>0</v>
      </c>
    </row>
    <row r="1079" spans="1:6">
      <c r="A1079" s="67" t="s">
        <v>2168</v>
      </c>
      <c r="B1079" s="29" t="s">
        <v>2169</v>
      </c>
      <c r="C1079" s="30" t="s">
        <v>30</v>
      </c>
      <c r="D1079" s="68"/>
      <c r="E1079" s="69">
        <f>ROUND(IFERROR(VLOOKUP(A1079,'CAP23-24'!$A:$G,7,FALSE()),""),0)</f>
        <v>96802</v>
      </c>
      <c r="F1079" s="69">
        <f t="shared" si="57"/>
        <v>0</v>
      </c>
    </row>
    <row r="1080" spans="1:6">
      <c r="A1080" s="67" t="s">
        <v>2170</v>
      </c>
      <c r="B1080" s="29" t="s">
        <v>2171</v>
      </c>
      <c r="C1080" s="30" t="s">
        <v>30</v>
      </c>
      <c r="D1080" s="68"/>
      <c r="E1080" s="69">
        <f>ROUND(IFERROR(VLOOKUP(A1080,'CAP23-24'!$A:$G,7,FALSE()),""),0)</f>
        <v>123234</v>
      </c>
      <c r="F1080" s="69">
        <f t="shared" si="57"/>
        <v>0</v>
      </c>
    </row>
    <row r="1081" spans="1:6">
      <c r="A1081" s="67" t="s">
        <v>2172</v>
      </c>
      <c r="B1081" s="29" t="s">
        <v>2173</v>
      </c>
      <c r="C1081" s="30" t="s">
        <v>30</v>
      </c>
      <c r="D1081" s="68"/>
      <c r="E1081" s="69">
        <f>ROUND(IFERROR(VLOOKUP(A1081,'CAP23-24'!$A:$G,7,FALSE()),""),0)</f>
        <v>163749</v>
      </c>
      <c r="F1081" s="69">
        <f t="shared" si="57"/>
        <v>0</v>
      </c>
    </row>
    <row r="1082" spans="1:6">
      <c r="A1082" s="67" t="s">
        <v>2174</v>
      </c>
      <c r="B1082" s="29" t="s">
        <v>2175</v>
      </c>
      <c r="C1082" s="30" t="s">
        <v>30</v>
      </c>
      <c r="D1082" s="68"/>
      <c r="E1082" s="69">
        <f>ROUND(IFERROR(VLOOKUP(A1082,'CAP23-24'!$A:$G,7,FALSE()),""),0)</f>
        <v>221982</v>
      </c>
      <c r="F1082" s="69">
        <f t="shared" si="57"/>
        <v>0</v>
      </c>
    </row>
    <row r="1083" spans="1:6">
      <c r="A1083" s="67" t="s">
        <v>2176</v>
      </c>
      <c r="B1083" s="29" t="s">
        <v>2177</v>
      </c>
      <c r="C1083" s="30" t="s">
        <v>30</v>
      </c>
      <c r="D1083" s="68"/>
      <c r="E1083" s="69">
        <f>ROUND(IFERROR(VLOOKUP(A1083,'CAP23-24'!$A:$G,7,FALSE()),""),0)</f>
        <v>314173</v>
      </c>
      <c r="F1083" s="69">
        <f t="shared" ref="F1083" si="58">IFERROR(E1083*D1083,"")</f>
        <v>0</v>
      </c>
    </row>
    <row r="1084" spans="1:6">
      <c r="A1084" s="67" t="s">
        <v>2178</v>
      </c>
      <c r="B1084" s="29" t="s">
        <v>2179</v>
      </c>
      <c r="C1084" s="30" t="s">
        <v>30</v>
      </c>
      <c r="D1084" s="68"/>
      <c r="E1084" s="69">
        <f>ROUND(IFERROR(VLOOKUP(A1084,'CAP23-24'!$A:$G,7,FALSE()),""),0)</f>
        <v>378284</v>
      </c>
      <c r="F1084" s="69">
        <f t="shared" si="57"/>
        <v>0</v>
      </c>
    </row>
    <row r="1085" spans="1:6">
      <c r="A1085" s="67" t="s">
        <v>2180</v>
      </c>
      <c r="B1085" s="29" t="s">
        <v>2181</v>
      </c>
      <c r="C1085" s="30" t="s">
        <v>30</v>
      </c>
      <c r="D1085" s="68"/>
      <c r="E1085" s="69">
        <f>ROUND(IFERROR(VLOOKUP(A1085,'CAP23-24'!$A:$G,7,FALSE()),""),0)</f>
        <v>507873</v>
      </c>
      <c r="F1085" s="69">
        <f t="shared" si="57"/>
        <v>0</v>
      </c>
    </row>
    <row r="1086" spans="1:6">
      <c r="A1086" s="67" t="s">
        <v>2182</v>
      </c>
      <c r="B1086" s="29" t="s">
        <v>2183</v>
      </c>
      <c r="C1086" s="30" t="s">
        <v>30</v>
      </c>
      <c r="D1086" s="68"/>
      <c r="E1086" s="69">
        <f>ROUND(IFERROR(VLOOKUP(A1086,'CAP23-24'!$A:$G,7,FALSE()),""),0)</f>
        <v>616878</v>
      </c>
      <c r="F1086" s="69">
        <f t="shared" si="57"/>
        <v>0</v>
      </c>
    </row>
    <row r="1087" spans="1:6">
      <c r="A1087" s="67" t="s">
        <v>2184</v>
      </c>
      <c r="B1087" s="29" t="s">
        <v>2185</v>
      </c>
      <c r="C1087" s="30" t="s">
        <v>30</v>
      </c>
      <c r="D1087" s="68"/>
      <c r="E1087" s="69">
        <f>ROUND(IFERROR(VLOOKUP(A1087,'CAP23-24'!$A:$G,7,FALSE()),""),0)</f>
        <v>856604</v>
      </c>
      <c r="F1087" s="69">
        <f t="shared" si="57"/>
        <v>0</v>
      </c>
    </row>
    <row r="1088" spans="1:6">
      <c r="A1088" s="67" t="s">
        <v>2186</v>
      </c>
      <c r="B1088" s="29" t="s">
        <v>2187</v>
      </c>
      <c r="C1088" s="30" t="s">
        <v>30</v>
      </c>
      <c r="D1088" s="68"/>
      <c r="E1088" s="69">
        <f>ROUND(IFERROR(VLOOKUP(A1088,'CAP23-24'!$A:$G,7,FALSE()),""),0)</f>
        <v>1020108</v>
      </c>
      <c r="F1088" s="69">
        <f t="shared" si="57"/>
        <v>0</v>
      </c>
    </row>
    <row r="1089" spans="1:8">
      <c r="A1089" s="67" t="s">
        <v>2188</v>
      </c>
      <c r="B1089" s="29" t="s">
        <v>2189</v>
      </c>
      <c r="C1089" s="30" t="s">
        <v>30</v>
      </c>
      <c r="D1089" s="68"/>
      <c r="E1089" s="69">
        <f>ROUND(IFERROR(VLOOKUP(A1089,'CAP23-24'!$A:$G,7,FALSE()),""),0)</f>
        <v>1265502</v>
      </c>
      <c r="F1089" s="69">
        <f t="shared" si="57"/>
        <v>0</v>
      </c>
    </row>
    <row r="1090" spans="1:8">
      <c r="A1090" s="67" t="s">
        <v>2190</v>
      </c>
      <c r="B1090" s="29" t="s">
        <v>2191</v>
      </c>
      <c r="C1090" s="30" t="s">
        <v>30</v>
      </c>
      <c r="D1090" s="68"/>
      <c r="E1090" s="69">
        <f>ROUND(IFERROR(VLOOKUP(A1090,'CAP23-24'!$A:$G,7,FALSE()),""),0)</f>
        <v>1715727</v>
      </c>
      <c r="F1090" s="69">
        <f t="shared" si="57"/>
        <v>0</v>
      </c>
    </row>
    <row r="1091" spans="1:8">
      <c r="A1091" s="67" t="s">
        <v>2192</v>
      </c>
      <c r="B1091" s="29" t="s">
        <v>2193</v>
      </c>
      <c r="C1091" s="30" t="s">
        <v>30</v>
      </c>
      <c r="D1091" s="68"/>
      <c r="E1091" s="69">
        <f>ROUND(IFERROR(VLOOKUP(A1091,'CAP23-24'!$A:$G,7,FALSE()),""),0)</f>
        <v>2294384</v>
      </c>
      <c r="F1091" s="69">
        <f t="shared" si="57"/>
        <v>0</v>
      </c>
    </row>
    <row r="1092" spans="1:8">
      <c r="A1092" s="67" t="s">
        <v>2194</v>
      </c>
      <c r="B1092" s="29" t="s">
        <v>2195</v>
      </c>
      <c r="C1092" s="30" t="s">
        <v>30</v>
      </c>
      <c r="D1092" s="68"/>
      <c r="E1092" s="69">
        <f>ROUND(IFERROR(VLOOKUP(A1092,'CAP23-24'!$A:$G,7,FALSE()),""),0)</f>
        <v>3059935</v>
      </c>
      <c r="F1092" s="69">
        <f t="shared" si="57"/>
        <v>0</v>
      </c>
    </row>
    <row r="1093" spans="1:8">
      <c r="A1093" s="67" t="s">
        <v>2196</v>
      </c>
      <c r="B1093" s="29" t="s">
        <v>2197</v>
      </c>
      <c r="C1093" s="30" t="s">
        <v>30</v>
      </c>
      <c r="D1093" s="68"/>
      <c r="E1093" s="69">
        <f>ROUND(IFERROR(VLOOKUP(A1093,'CAP23-24'!$A:$G,7,FALSE()),""),0)</f>
        <v>3604379</v>
      </c>
      <c r="F1093" s="69">
        <f t="shared" si="57"/>
        <v>0</v>
      </c>
    </row>
    <row r="1094" spans="1:8">
      <c r="A1094" s="67" t="s">
        <v>2198</v>
      </c>
      <c r="B1094" s="29" t="s">
        <v>2199</v>
      </c>
      <c r="C1094" s="30" t="s">
        <v>52</v>
      </c>
      <c r="D1094" s="68"/>
      <c r="E1094" s="69">
        <f>ROUND(IFERROR(VLOOKUP(A1094,'CAP23-24'!$A:$G,7,FALSE()),""),0)</f>
        <v>1019040</v>
      </c>
      <c r="F1094" s="69">
        <f t="shared" si="57"/>
        <v>0</v>
      </c>
    </row>
    <row r="1095" spans="1:8" s="74" customFormat="1">
      <c r="A1095" s="60" t="s">
        <v>2200</v>
      </c>
      <c r="B1095" s="61" t="s">
        <v>2201</v>
      </c>
      <c r="C1095" s="62"/>
      <c r="D1095" s="63"/>
      <c r="E1095" s="64"/>
      <c r="F1095" s="65">
        <f>SUM(F1096:F1123)</f>
        <v>0</v>
      </c>
      <c r="G1095" s="66">
        <f>IFERROR(F1095/$F$1279,"")</f>
        <v>0</v>
      </c>
      <c r="H1095" s="3"/>
    </row>
    <row r="1096" spans="1:8">
      <c r="A1096" s="67" t="s">
        <v>2202</v>
      </c>
      <c r="B1096" s="29" t="s">
        <v>2203</v>
      </c>
      <c r="C1096" s="30" t="s">
        <v>23</v>
      </c>
      <c r="D1096" s="68"/>
      <c r="E1096" s="69">
        <f>ROUND(IFERROR(VLOOKUP(A1096,'CAP23-24'!$A:$G,7,FALSE()),""),0)</f>
        <v>55294</v>
      </c>
      <c r="F1096" s="69">
        <f t="shared" ref="F1096:F1123" si="59">IFERROR(E1096*D1096,"")</f>
        <v>0</v>
      </c>
    </row>
    <row r="1097" spans="1:8">
      <c r="A1097" s="67" t="s">
        <v>2204</v>
      </c>
      <c r="B1097" s="29" t="s">
        <v>2205</v>
      </c>
      <c r="C1097" s="30" t="s">
        <v>23</v>
      </c>
      <c r="D1097" s="68"/>
      <c r="E1097" s="69">
        <f>ROUND(IFERROR(VLOOKUP(A1097,'CAP23-24'!$A:$G,7,FALSE()),""),0)</f>
        <v>86318</v>
      </c>
      <c r="F1097" s="69">
        <f t="shared" si="59"/>
        <v>0</v>
      </c>
    </row>
    <row r="1098" spans="1:8">
      <c r="A1098" s="67" t="s">
        <v>2206</v>
      </c>
      <c r="B1098" s="29" t="s">
        <v>2207</v>
      </c>
      <c r="C1098" s="30" t="s">
        <v>23</v>
      </c>
      <c r="D1098" s="68"/>
      <c r="E1098" s="69">
        <f>ROUND(IFERROR(VLOOKUP(A1098,'CAP23-24'!$A:$G,7,FALSE()),""),0)</f>
        <v>323032</v>
      </c>
      <c r="F1098" s="69">
        <f t="shared" si="59"/>
        <v>0</v>
      </c>
    </row>
    <row r="1099" spans="1:8">
      <c r="A1099" s="67" t="s">
        <v>2208</v>
      </c>
      <c r="B1099" s="29" t="s">
        <v>2209</v>
      </c>
      <c r="C1099" s="30" t="s">
        <v>23</v>
      </c>
      <c r="D1099" s="68"/>
      <c r="E1099" s="69">
        <f>ROUND(IFERROR(VLOOKUP(A1099,'CAP23-24'!$A:$G,7,FALSE()),""),0)</f>
        <v>2902947</v>
      </c>
      <c r="F1099" s="69">
        <f t="shared" si="59"/>
        <v>0</v>
      </c>
    </row>
    <row r="1100" spans="1:8">
      <c r="A1100" s="67" t="s">
        <v>2210</v>
      </c>
      <c r="B1100" s="29" t="s">
        <v>2211</v>
      </c>
      <c r="C1100" s="30" t="s">
        <v>23</v>
      </c>
      <c r="D1100" s="68"/>
      <c r="E1100" s="69">
        <f>ROUND(IFERROR(VLOOKUP(A1100,'CAP23-24'!$A:$G,7,FALSE()),""),0)</f>
        <v>3189565</v>
      </c>
      <c r="F1100" s="69">
        <f t="shared" si="59"/>
        <v>0</v>
      </c>
    </row>
    <row r="1101" spans="1:8">
      <c r="A1101" s="67" t="s">
        <v>2212</v>
      </c>
      <c r="B1101" s="29" t="s">
        <v>2213</v>
      </c>
      <c r="C1101" s="30" t="s">
        <v>23</v>
      </c>
      <c r="D1101" s="68"/>
      <c r="E1101" s="69">
        <f>ROUND(IFERROR(VLOOKUP(A1101,'CAP23-24'!$A:$G,7,FALSE()),""),0)</f>
        <v>64591</v>
      </c>
      <c r="F1101" s="69">
        <f t="shared" si="59"/>
        <v>0</v>
      </c>
    </row>
    <row r="1102" spans="1:8">
      <c r="A1102" s="67" t="s">
        <v>2214</v>
      </c>
      <c r="B1102" s="29" t="s">
        <v>2215</v>
      </c>
      <c r="C1102" s="30" t="s">
        <v>23</v>
      </c>
      <c r="D1102" s="68"/>
      <c r="E1102" s="69">
        <f>ROUND(IFERROR(VLOOKUP(A1102,'CAP23-24'!$A:$G,7,FALSE()),""),0)</f>
        <v>79241</v>
      </c>
      <c r="F1102" s="69">
        <f t="shared" si="59"/>
        <v>0</v>
      </c>
    </row>
    <row r="1103" spans="1:8">
      <c r="A1103" s="67" t="s">
        <v>2216</v>
      </c>
      <c r="B1103" s="29" t="s">
        <v>2217</v>
      </c>
      <c r="C1103" s="30" t="s">
        <v>23</v>
      </c>
      <c r="D1103" s="68"/>
      <c r="E1103" s="69">
        <f>ROUND(IFERROR(VLOOKUP(A1103,'CAP23-24'!$A:$G,7,FALSE()),""),0)</f>
        <v>166003</v>
      </c>
      <c r="F1103" s="69">
        <f t="shared" si="59"/>
        <v>0</v>
      </c>
    </row>
    <row r="1104" spans="1:8">
      <c r="A1104" s="67" t="s">
        <v>2218</v>
      </c>
      <c r="B1104" s="29" t="s">
        <v>2219</v>
      </c>
      <c r="C1104" s="30" t="s">
        <v>23</v>
      </c>
      <c r="D1104" s="68"/>
      <c r="E1104" s="69">
        <f>ROUND(IFERROR(VLOOKUP(A1104,'CAP23-24'!$A:$G,7,FALSE()),""),0)</f>
        <v>313645</v>
      </c>
      <c r="F1104" s="69">
        <f t="shared" si="59"/>
        <v>0</v>
      </c>
    </row>
    <row r="1105" spans="1:6">
      <c r="A1105" s="67" t="s">
        <v>2220</v>
      </c>
      <c r="B1105" s="29" t="s">
        <v>2221</v>
      </c>
      <c r="C1105" s="30" t="s">
        <v>23</v>
      </c>
      <c r="D1105" s="68"/>
      <c r="E1105" s="69">
        <f>ROUND(IFERROR(VLOOKUP(A1105,'CAP23-24'!$A:$G,7,FALSE()),""),0)</f>
        <v>617529</v>
      </c>
      <c r="F1105" s="69">
        <f t="shared" si="59"/>
        <v>0</v>
      </c>
    </row>
    <row r="1106" spans="1:6">
      <c r="A1106" s="67" t="s">
        <v>2222</v>
      </c>
      <c r="B1106" s="29" t="s">
        <v>2223</v>
      </c>
      <c r="C1106" s="30" t="s">
        <v>23</v>
      </c>
      <c r="D1106" s="68"/>
      <c r="E1106" s="69">
        <f>ROUND(IFERROR(VLOOKUP(A1106,'CAP23-24'!$A:$G,7,FALSE()),""),0)</f>
        <v>69078</v>
      </c>
      <c r="F1106" s="69">
        <f t="shared" si="59"/>
        <v>0</v>
      </c>
    </row>
    <row r="1107" spans="1:6">
      <c r="A1107" s="67" t="s">
        <v>2224</v>
      </c>
      <c r="B1107" s="29" t="s">
        <v>2225</v>
      </c>
      <c r="C1107" s="30" t="s">
        <v>30</v>
      </c>
      <c r="D1107" s="68"/>
      <c r="E1107" s="69">
        <f>ROUND(IFERROR(VLOOKUP(A1107,'CAP23-24'!$A:$G,7,FALSE()),""),0)</f>
        <v>22193</v>
      </c>
      <c r="F1107" s="69">
        <f t="shared" si="59"/>
        <v>0</v>
      </c>
    </row>
    <row r="1108" spans="1:6">
      <c r="A1108" s="67" t="s">
        <v>2226</v>
      </c>
      <c r="B1108" s="29" t="s">
        <v>2227</v>
      </c>
      <c r="C1108" s="30" t="s">
        <v>30</v>
      </c>
      <c r="D1108" s="68"/>
      <c r="E1108" s="69">
        <f>ROUND(IFERROR(VLOOKUP(A1108,'CAP23-24'!$A:$G,7,FALSE()),""),0)</f>
        <v>46173</v>
      </c>
      <c r="F1108" s="69">
        <f t="shared" si="59"/>
        <v>0</v>
      </c>
    </row>
    <row r="1109" spans="1:6">
      <c r="A1109" s="67" t="s">
        <v>2228</v>
      </c>
      <c r="B1109" s="29" t="s">
        <v>2229</v>
      </c>
      <c r="C1109" s="30" t="s">
        <v>30</v>
      </c>
      <c r="D1109" s="68"/>
      <c r="E1109" s="69">
        <f>ROUND(IFERROR(VLOOKUP(A1109,'CAP23-24'!$A:$G,7,FALSE()),""),0)</f>
        <v>122488</v>
      </c>
      <c r="F1109" s="69">
        <f t="shared" si="59"/>
        <v>0</v>
      </c>
    </row>
    <row r="1110" spans="1:6">
      <c r="A1110" s="67" t="s">
        <v>2230</v>
      </c>
      <c r="B1110" s="29" t="s">
        <v>2231</v>
      </c>
      <c r="C1110" s="30" t="s">
        <v>30</v>
      </c>
      <c r="D1110" s="68"/>
      <c r="E1110" s="69">
        <f>ROUND(IFERROR(VLOOKUP(A1110,'CAP23-24'!$A:$G,7,FALSE()),""),0)</f>
        <v>179879</v>
      </c>
      <c r="F1110" s="69">
        <f t="shared" si="59"/>
        <v>0</v>
      </c>
    </row>
    <row r="1111" spans="1:6">
      <c r="A1111" s="67" t="s">
        <v>2232</v>
      </c>
      <c r="B1111" s="29" t="s">
        <v>2233</v>
      </c>
      <c r="C1111" s="30" t="s">
        <v>30</v>
      </c>
      <c r="D1111" s="68"/>
      <c r="E1111" s="69">
        <f>ROUND(IFERROR(VLOOKUP(A1111,'CAP23-24'!$A:$G,7,FALSE()),""),0)</f>
        <v>208317</v>
      </c>
      <c r="F1111" s="69">
        <f t="shared" si="59"/>
        <v>0</v>
      </c>
    </row>
    <row r="1112" spans="1:6">
      <c r="A1112" s="67" t="s">
        <v>2234</v>
      </c>
      <c r="B1112" s="29" t="s">
        <v>2235</v>
      </c>
      <c r="C1112" s="30" t="s">
        <v>30</v>
      </c>
      <c r="D1112" s="68"/>
      <c r="E1112" s="69">
        <f>ROUND(IFERROR(VLOOKUP(A1112,'CAP23-24'!$A:$G,7,FALSE()),""),0)</f>
        <v>247346</v>
      </c>
      <c r="F1112" s="69">
        <f t="shared" si="59"/>
        <v>0</v>
      </c>
    </row>
    <row r="1113" spans="1:6">
      <c r="A1113" s="67" t="s">
        <v>2236</v>
      </c>
      <c r="B1113" s="29" t="s">
        <v>2237</v>
      </c>
      <c r="C1113" s="30" t="s">
        <v>30</v>
      </c>
      <c r="D1113" s="68"/>
      <c r="E1113" s="69">
        <f>ROUND(IFERROR(VLOOKUP(A1113,'CAP23-24'!$A:$G,7,FALSE()),""),0)</f>
        <v>54572</v>
      </c>
      <c r="F1113" s="69">
        <f t="shared" si="59"/>
        <v>0</v>
      </c>
    </row>
    <row r="1114" spans="1:6">
      <c r="A1114" s="67" t="s">
        <v>2238</v>
      </c>
      <c r="B1114" s="29" t="s">
        <v>2239</v>
      </c>
      <c r="C1114" s="30" t="s">
        <v>30</v>
      </c>
      <c r="D1114" s="68"/>
      <c r="E1114" s="69">
        <f>ROUND(IFERROR(VLOOKUP(A1114,'CAP23-24'!$A:$G,7,FALSE()),""),0)</f>
        <v>87071</v>
      </c>
      <c r="F1114" s="69">
        <f t="shared" si="59"/>
        <v>0</v>
      </c>
    </row>
    <row r="1115" spans="1:6">
      <c r="A1115" s="67" t="s">
        <v>2240</v>
      </c>
      <c r="B1115" s="29" t="s">
        <v>2241</v>
      </c>
      <c r="C1115" s="30" t="s">
        <v>30</v>
      </c>
      <c r="D1115" s="68"/>
      <c r="E1115" s="69">
        <f>ROUND(IFERROR(VLOOKUP(A1115,'CAP23-24'!$A:$G,7,FALSE()),""),0)</f>
        <v>112957</v>
      </c>
      <c r="F1115" s="69">
        <f t="shared" si="59"/>
        <v>0</v>
      </c>
    </row>
    <row r="1116" spans="1:6">
      <c r="A1116" s="67" t="s">
        <v>2242</v>
      </c>
      <c r="B1116" s="29" t="s">
        <v>2243</v>
      </c>
      <c r="C1116" s="30" t="s">
        <v>30</v>
      </c>
      <c r="D1116" s="68"/>
      <c r="E1116" s="69">
        <f>ROUND(IFERROR(VLOOKUP(A1116,'CAP23-24'!$A:$G,7,FALSE()),""),0)</f>
        <v>172176</v>
      </c>
      <c r="F1116" s="69">
        <f t="shared" si="59"/>
        <v>0</v>
      </c>
    </row>
    <row r="1117" spans="1:6">
      <c r="A1117" s="67" t="s">
        <v>2244</v>
      </c>
      <c r="B1117" s="29" t="s">
        <v>2245</v>
      </c>
      <c r="C1117" s="30" t="s">
        <v>30</v>
      </c>
      <c r="D1117" s="68"/>
      <c r="E1117" s="69">
        <f>ROUND(IFERROR(VLOOKUP(A1117,'CAP23-24'!$A:$G,7,FALSE()),""),0)</f>
        <v>278807</v>
      </c>
      <c r="F1117" s="69">
        <f t="shared" si="59"/>
        <v>0</v>
      </c>
    </row>
    <row r="1118" spans="1:6">
      <c r="A1118" s="67" t="s">
        <v>2246</v>
      </c>
      <c r="B1118" s="29" t="s">
        <v>2247</v>
      </c>
      <c r="C1118" s="30" t="s">
        <v>23</v>
      </c>
      <c r="D1118" s="68"/>
      <c r="E1118" s="69">
        <f>ROUND(IFERROR(VLOOKUP(A1118,'CAP23-24'!$A:$G,7,FALSE()),""),0)</f>
        <v>179209</v>
      </c>
      <c r="F1118" s="69">
        <f t="shared" si="59"/>
        <v>0</v>
      </c>
    </row>
    <row r="1119" spans="1:6">
      <c r="A1119" s="67" t="s">
        <v>2248</v>
      </c>
      <c r="B1119" s="29" t="s">
        <v>2249</v>
      </c>
      <c r="C1119" s="30" t="s">
        <v>23</v>
      </c>
      <c r="D1119" s="68"/>
      <c r="E1119" s="69">
        <f>ROUND(IFERROR(VLOOKUP(A1119,'CAP23-24'!$A:$G,7,FALSE()),""),0)</f>
        <v>769947</v>
      </c>
      <c r="F1119" s="69">
        <f t="shared" si="59"/>
        <v>0</v>
      </c>
    </row>
    <row r="1120" spans="1:6">
      <c r="A1120" s="67" t="s">
        <v>2250</v>
      </c>
      <c r="B1120" s="29" t="s">
        <v>2251</v>
      </c>
      <c r="C1120" s="30" t="s">
        <v>23</v>
      </c>
      <c r="D1120" s="68"/>
      <c r="E1120" s="69">
        <f>ROUND(IFERROR(VLOOKUP(A1120,'CAP23-24'!$A:$G,7,FALSE()),""),0)</f>
        <v>600991</v>
      </c>
      <c r="F1120" s="69">
        <f t="shared" si="59"/>
        <v>0</v>
      </c>
    </row>
    <row r="1121" spans="1:8">
      <c r="A1121" s="67" t="s">
        <v>2252</v>
      </c>
      <c r="B1121" s="29" t="s">
        <v>2253</v>
      </c>
      <c r="C1121" s="30" t="s">
        <v>23</v>
      </c>
      <c r="D1121" s="68"/>
      <c r="E1121" s="69">
        <f>ROUND(IFERROR(VLOOKUP(A1121,'CAP23-24'!$A:$G,7,FALSE()),""),0)</f>
        <v>771615</v>
      </c>
      <c r="F1121" s="69">
        <f t="shared" si="59"/>
        <v>0</v>
      </c>
    </row>
    <row r="1122" spans="1:8">
      <c r="A1122" s="67" t="s">
        <v>2254</v>
      </c>
      <c r="B1122" s="29" t="s">
        <v>2255</v>
      </c>
      <c r="C1122" s="30" t="s">
        <v>23</v>
      </c>
      <c r="D1122" s="68"/>
      <c r="E1122" s="69">
        <f>ROUND(IFERROR(VLOOKUP(A1122,'CAP23-24'!$A:$G,7,FALSE()),""),0)</f>
        <v>923410</v>
      </c>
      <c r="F1122" s="69">
        <f t="shared" si="59"/>
        <v>0</v>
      </c>
    </row>
    <row r="1123" spans="1:8">
      <c r="A1123" s="67" t="s">
        <v>2256</v>
      </c>
      <c r="B1123" s="29" t="s">
        <v>2257</v>
      </c>
      <c r="C1123" s="30" t="s">
        <v>23</v>
      </c>
      <c r="D1123" s="68"/>
      <c r="E1123" s="69">
        <f>ROUND(IFERROR(VLOOKUP(A1123,'CAP23-24'!$A:$G,7,FALSE()),""),0)</f>
        <v>1308590</v>
      </c>
      <c r="F1123" s="69">
        <f t="shared" si="59"/>
        <v>0</v>
      </c>
    </row>
    <row r="1124" spans="1:8" s="74" customFormat="1">
      <c r="A1124" s="60" t="s">
        <v>2258</v>
      </c>
      <c r="B1124" s="61" t="s">
        <v>2259</v>
      </c>
      <c r="C1124" s="62"/>
      <c r="D1124" s="63"/>
      <c r="E1124" s="64"/>
      <c r="F1124" s="65">
        <f>SUM(F1125:F1207)</f>
        <v>0</v>
      </c>
      <c r="G1124" s="66">
        <f>IFERROR(F1124/$F$1279,"")</f>
        <v>0</v>
      </c>
      <c r="H1124" s="3"/>
    </row>
    <row r="1125" spans="1:8">
      <c r="A1125" s="67" t="s">
        <v>2260</v>
      </c>
      <c r="B1125" s="76" t="s">
        <v>2261</v>
      </c>
      <c r="C1125" s="30" t="s">
        <v>30</v>
      </c>
      <c r="D1125" s="68"/>
      <c r="E1125" s="69">
        <f>ROUND(IFERROR(VLOOKUP(A1125,'CAP25'!$A:$G,7,FALSE()),""),0)</f>
        <v>73169</v>
      </c>
      <c r="F1125" s="69">
        <f t="shared" ref="F1125:F1130" si="60">IFERROR(E1125*D1125,"")</f>
        <v>0</v>
      </c>
    </row>
    <row r="1126" spans="1:8">
      <c r="A1126" s="67" t="s">
        <v>2262</v>
      </c>
      <c r="B1126" s="76" t="s">
        <v>2263</v>
      </c>
      <c r="C1126" s="30" t="s">
        <v>30</v>
      </c>
      <c r="D1126" s="68"/>
      <c r="E1126" s="69">
        <f>ROUND(IFERROR(VLOOKUP(A1126,'CAP25'!$A:$G,7,FALSE()),""),0)</f>
        <v>223349</v>
      </c>
      <c r="F1126" s="69">
        <f t="shared" si="60"/>
        <v>0</v>
      </c>
    </row>
    <row r="1127" spans="1:8">
      <c r="A1127" s="67" t="s">
        <v>2264</v>
      </c>
      <c r="B1127" s="76" t="s">
        <v>2265</v>
      </c>
      <c r="C1127" s="30" t="s">
        <v>30</v>
      </c>
      <c r="D1127" s="68"/>
      <c r="E1127" s="69">
        <f>ROUND(IFERROR(VLOOKUP(A1127,'CAP25'!$A:$G,7,FALSE()),""),0)</f>
        <v>486689</v>
      </c>
      <c r="F1127" s="69">
        <f t="shared" si="60"/>
        <v>0</v>
      </c>
    </row>
    <row r="1128" spans="1:8">
      <c r="A1128" s="67" t="s">
        <v>2266</v>
      </c>
      <c r="B1128" s="76" t="s">
        <v>2267</v>
      </c>
      <c r="C1128" s="30" t="s">
        <v>30</v>
      </c>
      <c r="D1128" s="68"/>
      <c r="E1128" s="69">
        <f>ROUND(IFERROR(VLOOKUP(A1128,'CAP25'!$A:$G,7,FALSE()),""),0)</f>
        <v>43938</v>
      </c>
      <c r="F1128" s="69">
        <f t="shared" si="60"/>
        <v>0</v>
      </c>
    </row>
    <row r="1129" spans="1:8">
      <c r="A1129" s="67" t="s">
        <v>2268</v>
      </c>
      <c r="B1129" s="76" t="s">
        <v>2269</v>
      </c>
      <c r="C1129" s="30" t="s">
        <v>30</v>
      </c>
      <c r="D1129" s="68"/>
      <c r="E1129" s="69">
        <f>ROUND(IFERROR(VLOOKUP(A1129,'CAP25'!$A:$G,7,FALSE()),""),0)</f>
        <v>45457</v>
      </c>
      <c r="F1129" s="69">
        <f t="shared" si="60"/>
        <v>0</v>
      </c>
    </row>
    <row r="1130" spans="1:8" ht="25.5">
      <c r="A1130" s="67" t="s">
        <v>2270</v>
      </c>
      <c r="B1130" s="76" t="s">
        <v>2271</v>
      </c>
      <c r="C1130" s="30" t="s">
        <v>30</v>
      </c>
      <c r="D1130" s="68"/>
      <c r="E1130" s="69">
        <f>ROUND(IFERROR(VLOOKUP(A1130,'CAP25'!$A:$G,7,FALSE()),""),0)</f>
        <v>716639</v>
      </c>
      <c r="F1130" s="69">
        <f t="shared" si="60"/>
        <v>0</v>
      </c>
    </row>
    <row r="1131" spans="1:8">
      <c r="A1131" s="67" t="s">
        <v>2272</v>
      </c>
      <c r="B1131" s="76" t="s">
        <v>2273</v>
      </c>
      <c r="C1131" s="78" t="s">
        <v>30</v>
      </c>
      <c r="D1131" s="68"/>
      <c r="E1131" s="69">
        <f>ROUND(IFERROR(VLOOKUP(A1131,'CAP25'!$A:$G,7,FALSE()),""),0)</f>
        <v>29203</v>
      </c>
      <c r="F1131" s="69">
        <f t="shared" ref="F1131:F1162" si="61">IFERROR(E1131*D1131,"")</f>
        <v>0</v>
      </c>
    </row>
    <row r="1132" spans="1:8">
      <c r="A1132" s="67" t="s">
        <v>2274</v>
      </c>
      <c r="B1132" s="76" t="s">
        <v>2275</v>
      </c>
      <c r="C1132" s="30" t="s">
        <v>30</v>
      </c>
      <c r="D1132" s="68"/>
      <c r="E1132" s="69">
        <f>ROUND(IFERROR(VLOOKUP(A1132,'CAP25'!$A:$G,7,FALSE()),""),0)</f>
        <v>31295</v>
      </c>
      <c r="F1132" s="69">
        <f t="shared" si="61"/>
        <v>0</v>
      </c>
    </row>
    <row r="1133" spans="1:8">
      <c r="A1133" s="67" t="s">
        <v>2276</v>
      </c>
      <c r="B1133" s="76" t="s">
        <v>2277</v>
      </c>
      <c r="C1133" s="30" t="s">
        <v>30</v>
      </c>
      <c r="D1133" s="68"/>
      <c r="E1133" s="69">
        <f>ROUND(IFERROR(VLOOKUP(A1133,'CAP25'!$A:$G,7,FALSE()),""),0)</f>
        <v>78749</v>
      </c>
      <c r="F1133" s="69">
        <f t="shared" si="61"/>
        <v>0</v>
      </c>
    </row>
    <row r="1134" spans="1:8">
      <c r="A1134" s="67" t="s">
        <v>2278</v>
      </c>
      <c r="B1134" s="76" t="s">
        <v>2279</v>
      </c>
      <c r="C1134" s="30" t="s">
        <v>23</v>
      </c>
      <c r="D1134" s="68"/>
      <c r="E1134" s="69">
        <f>ROUND(IFERROR(VLOOKUP(A1134,'CAP25'!$A:$G,7,FALSE()),""),0)</f>
        <v>483669</v>
      </c>
      <c r="F1134" s="69">
        <f t="shared" si="61"/>
        <v>0</v>
      </c>
    </row>
    <row r="1135" spans="1:8" ht="25.5">
      <c r="A1135" s="67" t="s">
        <v>2280</v>
      </c>
      <c r="B1135" s="76" t="s">
        <v>2281</v>
      </c>
      <c r="C1135" s="30" t="s">
        <v>23</v>
      </c>
      <c r="D1135" s="68"/>
      <c r="E1135" s="69">
        <f>ROUND(IFERROR(VLOOKUP(A1135,'CAP25'!$A:$G,7,FALSE()),""),0)</f>
        <v>1198313</v>
      </c>
      <c r="F1135" s="69">
        <f t="shared" si="61"/>
        <v>0</v>
      </c>
    </row>
    <row r="1136" spans="1:8">
      <c r="A1136" s="67" t="s">
        <v>2282</v>
      </c>
      <c r="B1136" s="76" t="s">
        <v>2283</v>
      </c>
      <c r="C1136" s="30" t="s">
        <v>23</v>
      </c>
      <c r="D1136" s="68"/>
      <c r="E1136" s="69">
        <f>ROUND(IFERROR(VLOOKUP(A1136,'CAP25'!$A:$G,7,FALSE()),""),0)</f>
        <v>48827</v>
      </c>
      <c r="F1136" s="69">
        <f t="shared" si="61"/>
        <v>0</v>
      </c>
    </row>
    <row r="1137" spans="1:6" ht="25.5">
      <c r="A1137" s="67" t="s">
        <v>2284</v>
      </c>
      <c r="B1137" s="76" t="s">
        <v>2285</v>
      </c>
      <c r="C1137" s="30" t="s">
        <v>23</v>
      </c>
      <c r="D1137" s="68"/>
      <c r="E1137" s="69">
        <f>ROUND(IFERROR(VLOOKUP(A1137,'CAP25'!$A:$G,7,FALSE()),""),0)</f>
        <v>50798</v>
      </c>
      <c r="F1137" s="69">
        <f t="shared" si="61"/>
        <v>0</v>
      </c>
    </row>
    <row r="1138" spans="1:6" ht="63.75">
      <c r="A1138" s="67" t="s">
        <v>2286</v>
      </c>
      <c r="B1138" s="76" t="s">
        <v>2287</v>
      </c>
      <c r="C1138" s="30" t="s">
        <v>23</v>
      </c>
      <c r="D1138" s="68"/>
      <c r="E1138" s="69">
        <f>ROUND(IFERROR(VLOOKUP(A1138,'CAP25'!$A:$G,7,FALSE()),""),0)</f>
        <v>2498702</v>
      </c>
      <c r="F1138" s="69">
        <f t="shared" si="61"/>
        <v>0</v>
      </c>
    </row>
    <row r="1139" spans="1:6" ht="63.75">
      <c r="A1139" s="67" t="s">
        <v>2288</v>
      </c>
      <c r="B1139" s="76" t="s">
        <v>2289</v>
      </c>
      <c r="C1139" s="30" t="s">
        <v>23</v>
      </c>
      <c r="D1139" s="68"/>
      <c r="E1139" s="69">
        <f>ROUND(IFERROR(VLOOKUP(A1139,'CAP25'!$A:$G,7,FALSE()),""),0)</f>
        <v>2659352</v>
      </c>
      <c r="F1139" s="69">
        <f t="shared" si="61"/>
        <v>0</v>
      </c>
    </row>
    <row r="1140" spans="1:6" ht="63.75">
      <c r="A1140" s="67" t="s">
        <v>2290</v>
      </c>
      <c r="B1140" s="76" t="s">
        <v>2291</v>
      </c>
      <c r="C1140" s="30" t="s">
        <v>23</v>
      </c>
      <c r="D1140" s="68"/>
      <c r="E1140" s="69">
        <f>ROUND(IFERROR(VLOOKUP(A1140,'CAP25'!$A:$G,7,FALSE()),""),0)</f>
        <v>2678252</v>
      </c>
      <c r="F1140" s="69">
        <f t="shared" si="61"/>
        <v>0</v>
      </c>
    </row>
    <row r="1141" spans="1:6" ht="63.75">
      <c r="A1141" s="67" t="s">
        <v>2292</v>
      </c>
      <c r="B1141" s="76" t="s">
        <v>2293</v>
      </c>
      <c r="C1141" s="30" t="s">
        <v>23</v>
      </c>
      <c r="D1141" s="68"/>
      <c r="E1141" s="69">
        <f>ROUND(IFERROR(VLOOKUP(A1141,'CAP25'!$A:$G,7,FALSE()),""),0)</f>
        <v>2741252</v>
      </c>
      <c r="F1141" s="69">
        <f t="shared" si="61"/>
        <v>0</v>
      </c>
    </row>
    <row r="1142" spans="1:6" ht="63.75">
      <c r="A1142" s="67" t="s">
        <v>2294</v>
      </c>
      <c r="B1142" s="76" t="s">
        <v>2295</v>
      </c>
      <c r="C1142" s="30" t="s">
        <v>23</v>
      </c>
      <c r="D1142" s="68"/>
      <c r="E1142" s="69">
        <f>ROUND(IFERROR(VLOOKUP(A1142,'CAP25'!$A:$G,7,FALSE()),""),0)</f>
        <v>2922902</v>
      </c>
      <c r="F1142" s="69">
        <f t="shared" si="61"/>
        <v>0</v>
      </c>
    </row>
    <row r="1143" spans="1:6" ht="38.25">
      <c r="A1143" s="67" t="s">
        <v>2296</v>
      </c>
      <c r="B1143" s="76" t="s">
        <v>2297</v>
      </c>
      <c r="C1143" s="30" t="s">
        <v>23</v>
      </c>
      <c r="D1143" s="68"/>
      <c r="E1143" s="69">
        <f>ROUND(IFERROR(VLOOKUP(A1143,'CAP25'!$A:$G,7,FALSE()),""),0)</f>
        <v>514880</v>
      </c>
      <c r="F1143" s="69">
        <f t="shared" si="61"/>
        <v>0</v>
      </c>
    </row>
    <row r="1144" spans="1:6" ht="38.25">
      <c r="A1144" s="67" t="s">
        <v>2298</v>
      </c>
      <c r="B1144" s="76" t="s">
        <v>2299</v>
      </c>
      <c r="C1144" s="30" t="s">
        <v>23</v>
      </c>
      <c r="D1144" s="68"/>
      <c r="E1144" s="69">
        <f>ROUND(IFERROR(VLOOKUP(A1144,'CAP25'!$A:$G,7,FALSE()),""),0)</f>
        <v>336380</v>
      </c>
      <c r="F1144" s="69">
        <f t="shared" si="61"/>
        <v>0</v>
      </c>
    </row>
    <row r="1145" spans="1:6" ht="25.5">
      <c r="A1145" s="67" t="s">
        <v>2300</v>
      </c>
      <c r="B1145" s="76" t="s">
        <v>2301</v>
      </c>
      <c r="C1145" s="30" t="s">
        <v>23</v>
      </c>
      <c r="D1145" s="68"/>
      <c r="E1145" s="69">
        <f>ROUND(IFERROR(VLOOKUP(A1145,'CAP25'!$A:$G,7,FALSE()),""),0)</f>
        <v>165461</v>
      </c>
      <c r="F1145" s="69">
        <f t="shared" si="61"/>
        <v>0</v>
      </c>
    </row>
    <row r="1146" spans="1:6" ht="38.25">
      <c r="A1146" s="67" t="s">
        <v>2302</v>
      </c>
      <c r="B1146" s="76" t="s">
        <v>2303</v>
      </c>
      <c r="C1146" s="30" t="s">
        <v>23</v>
      </c>
      <c r="D1146" s="68"/>
      <c r="E1146" s="69">
        <f>ROUND(IFERROR(VLOOKUP(A1146,'CAP25'!$A:$G,7,FALSE()),""),0)</f>
        <v>104496</v>
      </c>
      <c r="F1146" s="69">
        <f t="shared" si="61"/>
        <v>0</v>
      </c>
    </row>
    <row r="1147" spans="1:6" ht="25.5">
      <c r="A1147" s="67" t="s">
        <v>2304</v>
      </c>
      <c r="B1147" s="76" t="s">
        <v>2305</v>
      </c>
      <c r="C1147" s="30" t="s">
        <v>23</v>
      </c>
      <c r="D1147" s="68"/>
      <c r="E1147" s="69">
        <f>ROUND(IFERROR(VLOOKUP(A1147,'CAP25'!$A:$G,7,FALSE()),""),0)</f>
        <v>5457230</v>
      </c>
      <c r="F1147" s="69">
        <f t="shared" si="61"/>
        <v>0</v>
      </c>
    </row>
    <row r="1148" spans="1:6" ht="25.5">
      <c r="A1148" s="67" t="s">
        <v>2306</v>
      </c>
      <c r="B1148" s="76" t="s">
        <v>2307</v>
      </c>
      <c r="C1148" s="30" t="s">
        <v>23</v>
      </c>
      <c r="D1148" s="68"/>
      <c r="E1148" s="69">
        <f>ROUND(IFERROR(VLOOKUP(A1148,'CAP25'!$A:$G,7,FALSE()),""),0)</f>
        <v>6073580</v>
      </c>
      <c r="F1148" s="69">
        <f t="shared" si="61"/>
        <v>0</v>
      </c>
    </row>
    <row r="1149" spans="1:6" ht="25.5">
      <c r="A1149" s="67" t="s">
        <v>2308</v>
      </c>
      <c r="B1149" s="76" t="s">
        <v>2309</v>
      </c>
      <c r="C1149" s="30" t="s">
        <v>23</v>
      </c>
      <c r="D1149" s="68"/>
      <c r="E1149" s="69">
        <f>ROUND(IFERROR(VLOOKUP(A1149,'CAP25'!$A:$G,7,FALSE()),""),0)</f>
        <v>187280</v>
      </c>
      <c r="F1149" s="69">
        <f t="shared" si="61"/>
        <v>0</v>
      </c>
    </row>
    <row r="1150" spans="1:6" ht="25.5">
      <c r="A1150" s="67" t="s">
        <v>2310</v>
      </c>
      <c r="B1150" s="76" t="s">
        <v>2311</v>
      </c>
      <c r="C1150" s="30" t="s">
        <v>23</v>
      </c>
      <c r="D1150" s="68"/>
      <c r="E1150" s="69">
        <f>ROUND(IFERROR(VLOOKUP(A1150,'CAP25'!$A:$G,7,FALSE()),""),0)</f>
        <v>207230</v>
      </c>
      <c r="F1150" s="69">
        <f t="shared" si="61"/>
        <v>0</v>
      </c>
    </row>
    <row r="1151" spans="1:6" ht="25.5">
      <c r="A1151" s="67" t="s">
        <v>2312</v>
      </c>
      <c r="B1151" s="76" t="s">
        <v>2313</v>
      </c>
      <c r="C1151" s="30" t="s">
        <v>23</v>
      </c>
      <c r="D1151" s="68"/>
      <c r="E1151" s="69">
        <f>ROUND(IFERROR(VLOOKUP(A1151,'CAP25'!$A:$G,7,FALSE()),""),0)</f>
        <v>263930</v>
      </c>
      <c r="F1151" s="69">
        <f t="shared" si="61"/>
        <v>0</v>
      </c>
    </row>
    <row r="1152" spans="1:6" ht="25.5">
      <c r="A1152" s="67" t="s">
        <v>2314</v>
      </c>
      <c r="B1152" s="76" t="s">
        <v>2315</v>
      </c>
      <c r="C1152" s="30" t="s">
        <v>23</v>
      </c>
      <c r="D1152" s="68"/>
      <c r="E1152" s="69">
        <f>ROUND(IFERROR(VLOOKUP(A1152,'CAP25'!$A:$G,7,FALSE()),""),0)</f>
        <v>539127</v>
      </c>
      <c r="F1152" s="69">
        <f t="shared" si="61"/>
        <v>0</v>
      </c>
    </row>
    <row r="1153" spans="1:6" ht="25.5">
      <c r="A1153" s="67" t="s">
        <v>2316</v>
      </c>
      <c r="B1153" s="76" t="s">
        <v>2317</v>
      </c>
      <c r="C1153" s="30" t="s">
        <v>23</v>
      </c>
      <c r="D1153" s="68"/>
      <c r="E1153" s="69">
        <f>ROUND(IFERROR(VLOOKUP(A1153,'CAP25'!$A:$G,7,FALSE()),""),0)</f>
        <v>629427</v>
      </c>
      <c r="F1153" s="69">
        <f t="shared" si="61"/>
        <v>0</v>
      </c>
    </row>
    <row r="1154" spans="1:6" ht="25.5">
      <c r="A1154" s="67" t="s">
        <v>2318</v>
      </c>
      <c r="B1154" s="76" t="s">
        <v>2319</v>
      </c>
      <c r="C1154" s="30" t="s">
        <v>23</v>
      </c>
      <c r="D1154" s="68"/>
      <c r="E1154" s="69">
        <f>ROUND(IFERROR(VLOOKUP(A1154,'CAP25'!$A:$G,7,FALSE()),""),0)</f>
        <v>502377</v>
      </c>
      <c r="F1154" s="69">
        <f t="shared" si="61"/>
        <v>0</v>
      </c>
    </row>
    <row r="1155" spans="1:6" ht="25.5">
      <c r="A1155" s="67" t="s">
        <v>2320</v>
      </c>
      <c r="B1155" s="76" t="s">
        <v>2321</v>
      </c>
      <c r="C1155" s="30" t="s">
        <v>23</v>
      </c>
      <c r="D1155" s="68"/>
      <c r="E1155" s="69">
        <f>ROUND(IFERROR(VLOOKUP(A1155,'CAP25'!$A:$G,7,FALSE()),""),0)</f>
        <v>547107</v>
      </c>
      <c r="F1155" s="69">
        <f t="shared" si="61"/>
        <v>0</v>
      </c>
    </row>
    <row r="1156" spans="1:6" ht="25.5">
      <c r="A1156" s="67" t="s">
        <v>2322</v>
      </c>
      <c r="B1156" s="76" t="s">
        <v>2323</v>
      </c>
      <c r="C1156" s="30" t="s">
        <v>23</v>
      </c>
      <c r="D1156" s="68"/>
      <c r="E1156" s="69">
        <f>ROUND(IFERROR(VLOOKUP(A1156,'CAP25'!$A:$G,7,FALSE()),""),0)</f>
        <v>609477</v>
      </c>
      <c r="F1156" s="69">
        <f t="shared" si="61"/>
        <v>0</v>
      </c>
    </row>
    <row r="1157" spans="1:6" ht="25.5">
      <c r="A1157" s="67" t="s">
        <v>2324</v>
      </c>
      <c r="B1157" s="76" t="s">
        <v>2325</v>
      </c>
      <c r="C1157" s="30" t="s">
        <v>23</v>
      </c>
      <c r="D1157" s="68"/>
      <c r="E1157" s="69">
        <f>ROUND(IFERROR(VLOOKUP(A1157,'CAP25'!$A:$G,7,FALSE()),""),0)</f>
        <v>734427</v>
      </c>
      <c r="F1157" s="69">
        <f t="shared" si="61"/>
        <v>0</v>
      </c>
    </row>
    <row r="1158" spans="1:6" ht="25.5">
      <c r="A1158" s="67" t="s">
        <v>2326</v>
      </c>
      <c r="B1158" s="76" t="s">
        <v>2327</v>
      </c>
      <c r="C1158" s="30" t="s">
        <v>23</v>
      </c>
      <c r="D1158" s="68"/>
      <c r="E1158" s="69">
        <f>ROUND(IFERROR(VLOOKUP(A1158,'CAP25'!$A:$G,7,FALSE()),""),0)</f>
        <v>4705430</v>
      </c>
      <c r="F1158" s="69">
        <f t="shared" si="61"/>
        <v>0</v>
      </c>
    </row>
    <row r="1159" spans="1:6" ht="25.5">
      <c r="A1159" s="67" t="s">
        <v>2328</v>
      </c>
      <c r="B1159" s="76" t="s">
        <v>2329</v>
      </c>
      <c r="C1159" s="30" t="s">
        <v>23</v>
      </c>
      <c r="D1159" s="68"/>
      <c r="E1159" s="69">
        <f>ROUND(IFERROR(VLOOKUP(A1159,'CAP25'!$A:$G,7,FALSE()),""),0)</f>
        <v>366830</v>
      </c>
      <c r="F1159" s="69">
        <f t="shared" si="61"/>
        <v>0</v>
      </c>
    </row>
    <row r="1160" spans="1:6" ht="25.5">
      <c r="A1160" s="67" t="s">
        <v>2330</v>
      </c>
      <c r="B1160" s="76" t="s">
        <v>2331</v>
      </c>
      <c r="C1160" s="30" t="s">
        <v>23</v>
      </c>
      <c r="D1160" s="68"/>
      <c r="E1160" s="69">
        <f>ROUND(IFERROR(VLOOKUP(A1160,'CAP25'!$A:$G,7,FALSE()),""),0)</f>
        <v>509630</v>
      </c>
      <c r="F1160" s="69">
        <f t="shared" si="61"/>
        <v>0</v>
      </c>
    </row>
    <row r="1161" spans="1:6" ht="25.5">
      <c r="A1161" s="67" t="s">
        <v>2332</v>
      </c>
      <c r="B1161" s="76" t="s">
        <v>2333</v>
      </c>
      <c r="C1161" s="30" t="s">
        <v>23</v>
      </c>
      <c r="D1161" s="68"/>
      <c r="E1161" s="69">
        <f>ROUND(IFERROR(VLOOKUP(A1161,'CAP25'!$A:$G,7,FALSE()),""),0)</f>
        <v>589010</v>
      </c>
      <c r="F1161" s="69">
        <f t="shared" si="61"/>
        <v>0</v>
      </c>
    </row>
    <row r="1162" spans="1:6" ht="25.5">
      <c r="A1162" s="67" t="s">
        <v>2334</v>
      </c>
      <c r="B1162" s="76" t="s">
        <v>2335</v>
      </c>
      <c r="C1162" s="30" t="s">
        <v>23</v>
      </c>
      <c r="D1162" s="68"/>
      <c r="E1162" s="69">
        <f>ROUND(IFERROR(VLOOKUP(A1162,'CAP25'!$A:$G,7,FALSE()),""),0)</f>
        <v>61102</v>
      </c>
      <c r="F1162" s="69">
        <f t="shared" si="61"/>
        <v>0</v>
      </c>
    </row>
    <row r="1163" spans="1:6" ht="25.5">
      <c r="A1163" s="67" t="s">
        <v>2336</v>
      </c>
      <c r="B1163" s="76" t="s">
        <v>2337</v>
      </c>
      <c r="C1163" s="30" t="s">
        <v>23</v>
      </c>
      <c r="D1163" s="68"/>
      <c r="E1163" s="69">
        <f>ROUND(IFERROR(VLOOKUP(A1163,'CAP25'!$A:$G,7,FALSE()),""),0)</f>
        <v>3030680</v>
      </c>
      <c r="F1163" s="69">
        <f t="shared" ref="F1163:F1189" si="62">IFERROR(E1163*D1163,"")</f>
        <v>0</v>
      </c>
    </row>
    <row r="1164" spans="1:6" ht="25.5">
      <c r="A1164" s="67" t="s">
        <v>2338</v>
      </c>
      <c r="B1164" s="76" t="s">
        <v>2339</v>
      </c>
      <c r="C1164" s="30" t="s">
        <v>23</v>
      </c>
      <c r="D1164" s="68"/>
      <c r="E1164" s="69">
        <f>ROUND(IFERROR(VLOOKUP(A1164,'CAP25'!$A:$G,7,FALSE()),""),0)</f>
        <v>3885380</v>
      </c>
      <c r="F1164" s="69">
        <f t="shared" si="62"/>
        <v>0</v>
      </c>
    </row>
    <row r="1165" spans="1:6" ht="25.5">
      <c r="A1165" s="67" t="s">
        <v>2340</v>
      </c>
      <c r="B1165" s="76" t="s">
        <v>2341</v>
      </c>
      <c r="C1165" s="30" t="s">
        <v>23</v>
      </c>
      <c r="D1165" s="68"/>
      <c r="E1165" s="69">
        <f>ROUND(IFERROR(VLOOKUP(A1165,'CAP25'!$A:$G,7,FALSE()),""),0)</f>
        <v>5731280</v>
      </c>
      <c r="F1165" s="69">
        <f t="shared" si="62"/>
        <v>0</v>
      </c>
    </row>
    <row r="1166" spans="1:6" ht="38.25">
      <c r="A1166" s="67" t="s">
        <v>2342</v>
      </c>
      <c r="B1166" s="76" t="s">
        <v>2343</v>
      </c>
      <c r="C1166" s="30" t="s">
        <v>23</v>
      </c>
      <c r="D1166" s="68"/>
      <c r="E1166" s="69">
        <f>ROUND(IFERROR(VLOOKUP(A1166,'CAP25'!$A:$G,7,FALSE()),""),0)</f>
        <v>958509</v>
      </c>
      <c r="F1166" s="69">
        <f t="shared" si="62"/>
        <v>0</v>
      </c>
    </row>
    <row r="1167" spans="1:6" ht="38.25">
      <c r="A1167" s="67" t="s">
        <v>2344</v>
      </c>
      <c r="B1167" s="76" t="s">
        <v>2345</v>
      </c>
      <c r="C1167" s="30" t="s">
        <v>23</v>
      </c>
      <c r="D1167" s="68"/>
      <c r="E1167" s="69">
        <f>ROUND(IFERROR(VLOOKUP(A1167,'CAP25'!$A:$G,7,FALSE()),""),0)</f>
        <v>1054059</v>
      </c>
      <c r="F1167" s="69">
        <f t="shared" si="62"/>
        <v>0</v>
      </c>
    </row>
    <row r="1168" spans="1:6" ht="38.25">
      <c r="A1168" s="67" t="s">
        <v>2346</v>
      </c>
      <c r="B1168" s="76" t="s">
        <v>2347</v>
      </c>
      <c r="C1168" s="30" t="s">
        <v>23</v>
      </c>
      <c r="D1168" s="68"/>
      <c r="E1168" s="69">
        <f>ROUND(IFERROR(VLOOKUP(A1168,'CAP25'!$A:$G,7,FALSE()),""),0)</f>
        <v>1135959</v>
      </c>
      <c r="F1168" s="69">
        <f t="shared" si="62"/>
        <v>0</v>
      </c>
    </row>
    <row r="1169" spans="1:6" ht="38.25">
      <c r="A1169" s="67" t="s">
        <v>2348</v>
      </c>
      <c r="B1169" s="76" t="s">
        <v>2349</v>
      </c>
      <c r="C1169" s="30" t="s">
        <v>23</v>
      </c>
      <c r="D1169" s="68"/>
      <c r="E1169" s="69">
        <f>ROUND(IFERROR(VLOOKUP(A1169,'CAP25'!$A:$G,7,FALSE()),""),0)</f>
        <v>465551</v>
      </c>
      <c r="F1169" s="69">
        <f t="shared" si="62"/>
        <v>0</v>
      </c>
    </row>
    <row r="1170" spans="1:6" ht="38.25">
      <c r="A1170" s="67" t="s">
        <v>2350</v>
      </c>
      <c r="B1170" s="76" t="s">
        <v>2351</v>
      </c>
      <c r="C1170" s="30" t="s">
        <v>23</v>
      </c>
      <c r="D1170" s="68"/>
      <c r="E1170" s="69">
        <f>ROUND(IFERROR(VLOOKUP(A1170,'CAP25'!$A:$G,7,FALSE()),""),0)</f>
        <v>519101</v>
      </c>
      <c r="F1170" s="69">
        <f t="shared" si="62"/>
        <v>0</v>
      </c>
    </row>
    <row r="1171" spans="1:6" ht="38.25">
      <c r="A1171" s="67" t="s">
        <v>2352</v>
      </c>
      <c r="B1171" s="76" t="s">
        <v>2353</v>
      </c>
      <c r="C1171" s="30" t="s">
        <v>23</v>
      </c>
      <c r="D1171" s="68"/>
      <c r="E1171" s="69">
        <f>ROUND(IFERROR(VLOOKUP(A1171,'CAP25'!$A:$G,7,FALSE()),""),0)</f>
        <v>608351</v>
      </c>
      <c r="F1171" s="69">
        <f t="shared" si="62"/>
        <v>0</v>
      </c>
    </row>
    <row r="1172" spans="1:6" ht="38.25">
      <c r="A1172" s="67" t="s">
        <v>2354</v>
      </c>
      <c r="B1172" s="76" t="s">
        <v>2355</v>
      </c>
      <c r="C1172" s="30" t="s">
        <v>23</v>
      </c>
      <c r="D1172" s="68"/>
      <c r="E1172" s="69">
        <f>ROUND(IFERROR(VLOOKUP(A1172,'CAP25'!$A:$G,7,FALSE()),""),0)</f>
        <v>733301</v>
      </c>
      <c r="F1172" s="69">
        <f t="shared" si="62"/>
        <v>0</v>
      </c>
    </row>
    <row r="1173" spans="1:6" ht="38.25">
      <c r="A1173" s="67" t="s">
        <v>2356</v>
      </c>
      <c r="B1173" s="76" t="s">
        <v>2357</v>
      </c>
      <c r="C1173" s="30" t="s">
        <v>23</v>
      </c>
      <c r="D1173" s="68"/>
      <c r="E1173" s="69">
        <f>ROUND(IFERROR(VLOOKUP(A1173,'CAP25'!$A:$G,7,FALSE()),""),0)</f>
        <v>964301</v>
      </c>
      <c r="F1173" s="69">
        <f t="shared" si="62"/>
        <v>0</v>
      </c>
    </row>
    <row r="1174" spans="1:6" ht="38.25">
      <c r="A1174" s="67" t="s">
        <v>2358</v>
      </c>
      <c r="B1174" s="76" t="s">
        <v>2359</v>
      </c>
      <c r="C1174" s="30" t="s">
        <v>23</v>
      </c>
      <c r="D1174" s="68"/>
      <c r="E1174" s="69">
        <f>ROUND(IFERROR(VLOOKUP(A1174,'CAP25'!$A:$G,7,FALSE()),""),0)</f>
        <v>192320</v>
      </c>
      <c r="F1174" s="69">
        <f t="shared" si="62"/>
        <v>0</v>
      </c>
    </row>
    <row r="1175" spans="1:6" ht="38.25">
      <c r="A1175" s="67" t="s">
        <v>2360</v>
      </c>
      <c r="B1175" s="76" t="s">
        <v>2361</v>
      </c>
      <c r="C1175" s="30" t="s">
        <v>23</v>
      </c>
      <c r="D1175" s="68"/>
      <c r="E1175" s="69">
        <f>ROUND(IFERROR(VLOOKUP(A1175,'CAP25'!$A:$G,7,FALSE()),""),0)</f>
        <v>314004</v>
      </c>
      <c r="F1175" s="69">
        <f t="shared" si="62"/>
        <v>0</v>
      </c>
    </row>
    <row r="1176" spans="1:6" ht="38.25">
      <c r="A1176" s="67" t="s">
        <v>2362</v>
      </c>
      <c r="B1176" s="76" t="s">
        <v>2363</v>
      </c>
      <c r="C1176" s="30" t="s">
        <v>23</v>
      </c>
      <c r="D1176" s="68"/>
      <c r="E1176" s="69">
        <f>ROUND(IFERROR(VLOOKUP(A1176,'CAP25'!$A:$G,7,FALSE()),""),0)</f>
        <v>424719</v>
      </c>
      <c r="F1176" s="69">
        <f t="shared" si="62"/>
        <v>0</v>
      </c>
    </row>
    <row r="1177" spans="1:6" ht="38.25">
      <c r="A1177" s="67" t="s">
        <v>2364</v>
      </c>
      <c r="B1177" s="76" t="s">
        <v>2365</v>
      </c>
      <c r="C1177" s="30" t="s">
        <v>23</v>
      </c>
      <c r="D1177" s="68"/>
      <c r="E1177" s="69">
        <f>ROUND(IFERROR(VLOOKUP(A1177,'CAP25'!$A:$G,7,FALSE()),""),0)</f>
        <v>248556</v>
      </c>
      <c r="F1177" s="69">
        <f t="shared" si="62"/>
        <v>0</v>
      </c>
    </row>
    <row r="1178" spans="1:6" ht="38.25">
      <c r="A1178" s="67" t="s">
        <v>2366</v>
      </c>
      <c r="B1178" s="76" t="s">
        <v>2367</v>
      </c>
      <c r="C1178" s="30" t="s">
        <v>23</v>
      </c>
      <c r="D1178" s="68"/>
      <c r="E1178" s="69">
        <f>ROUND(IFERROR(VLOOKUP(A1178,'CAP25'!$A:$G,7,FALSE()),""),0)</f>
        <v>461105</v>
      </c>
      <c r="F1178" s="69">
        <f t="shared" si="62"/>
        <v>0</v>
      </c>
    </row>
    <row r="1179" spans="1:6" ht="38.25">
      <c r="A1179" s="67" t="s">
        <v>2368</v>
      </c>
      <c r="B1179" s="76" t="s">
        <v>2369</v>
      </c>
      <c r="C1179" s="30" t="s">
        <v>23</v>
      </c>
      <c r="D1179" s="68"/>
      <c r="E1179" s="69">
        <f>ROUND(IFERROR(VLOOKUP(A1179,'CAP25'!$A:$G,7,FALSE()),""),0)</f>
        <v>535416</v>
      </c>
      <c r="F1179" s="69">
        <f t="shared" si="62"/>
        <v>0</v>
      </c>
    </row>
    <row r="1180" spans="1:6" ht="38.25">
      <c r="A1180" s="67" t="s">
        <v>2370</v>
      </c>
      <c r="B1180" s="76" t="s">
        <v>2371</v>
      </c>
      <c r="C1180" s="30" t="s">
        <v>23</v>
      </c>
      <c r="D1180" s="68"/>
      <c r="E1180" s="69">
        <f>ROUND(IFERROR(VLOOKUP(A1180,'CAP25'!$A:$G,7,FALSE()),""),0)</f>
        <v>194114</v>
      </c>
      <c r="F1180" s="69">
        <f t="shared" si="62"/>
        <v>0</v>
      </c>
    </row>
    <row r="1181" spans="1:6" ht="25.5">
      <c r="A1181" s="67" t="s">
        <v>2372</v>
      </c>
      <c r="B1181" s="76" t="s">
        <v>2373</v>
      </c>
      <c r="C1181" s="30" t="s">
        <v>23</v>
      </c>
      <c r="D1181" s="68"/>
      <c r="E1181" s="69">
        <f>ROUND(IFERROR(VLOOKUP(A1181,'CAP25'!$A:$G,7,FALSE()),""),0)</f>
        <v>170480</v>
      </c>
      <c r="F1181" s="69">
        <f t="shared" si="62"/>
        <v>0</v>
      </c>
    </row>
    <row r="1182" spans="1:6" ht="25.5">
      <c r="A1182" s="67" t="s">
        <v>2374</v>
      </c>
      <c r="B1182" s="76" t="s">
        <v>2375</v>
      </c>
      <c r="C1182" s="30" t="s">
        <v>23</v>
      </c>
      <c r="D1182" s="68"/>
      <c r="E1182" s="69">
        <f>ROUND(IFERROR(VLOOKUP(A1182,'CAP25'!$A:$G,7,FALSE()),""),0)</f>
        <v>1680380</v>
      </c>
      <c r="F1182" s="69">
        <f t="shared" si="62"/>
        <v>0</v>
      </c>
    </row>
    <row r="1183" spans="1:6" ht="25.5">
      <c r="A1183" s="67" t="s">
        <v>2376</v>
      </c>
      <c r="B1183" s="76" t="s">
        <v>2377</v>
      </c>
      <c r="C1183" s="30" t="s">
        <v>23</v>
      </c>
      <c r="D1183" s="68"/>
      <c r="E1183" s="69">
        <f>ROUND(IFERROR(VLOOKUP(A1183,'CAP25'!$A:$G,7,FALSE()),""),0)</f>
        <v>1764380</v>
      </c>
      <c r="F1183" s="69">
        <f t="shared" si="62"/>
        <v>0</v>
      </c>
    </row>
    <row r="1184" spans="1:6" ht="38.25">
      <c r="A1184" s="67" t="s">
        <v>2378</v>
      </c>
      <c r="B1184" s="76" t="s">
        <v>2379</v>
      </c>
      <c r="C1184" s="30" t="s">
        <v>23</v>
      </c>
      <c r="D1184" s="68"/>
      <c r="E1184" s="69">
        <f>ROUND(IFERROR(VLOOKUP(A1184,'CAP25'!$A:$G,7,FALSE()),""),0)</f>
        <v>186230</v>
      </c>
      <c r="F1184" s="69">
        <f t="shared" si="62"/>
        <v>0</v>
      </c>
    </row>
    <row r="1185" spans="1:6" ht="38.25">
      <c r="A1185" s="67" t="s">
        <v>2380</v>
      </c>
      <c r="B1185" s="76" t="s">
        <v>2381</v>
      </c>
      <c r="C1185" s="30" t="s">
        <v>23</v>
      </c>
      <c r="D1185" s="68"/>
      <c r="E1185" s="69">
        <f>ROUND(IFERROR(VLOOKUP(A1185,'CAP25'!$A:$G,7,FALSE()),""),0)</f>
        <v>222980</v>
      </c>
      <c r="F1185" s="69">
        <f t="shared" si="62"/>
        <v>0</v>
      </c>
    </row>
    <row r="1186" spans="1:6" ht="38.25">
      <c r="A1186" s="67" t="s">
        <v>2382</v>
      </c>
      <c r="B1186" s="76" t="s">
        <v>2383</v>
      </c>
      <c r="C1186" s="30" t="s">
        <v>23</v>
      </c>
      <c r="D1186" s="68"/>
      <c r="E1186" s="69">
        <f>ROUND(IFERROR(VLOOKUP(A1186,'CAP25'!$A:$G,7,FALSE()),""),0)</f>
        <v>272330</v>
      </c>
      <c r="F1186" s="69">
        <f t="shared" si="62"/>
        <v>0</v>
      </c>
    </row>
    <row r="1187" spans="1:6" ht="51">
      <c r="A1187" s="67" t="s">
        <v>2384</v>
      </c>
      <c r="B1187" s="76" t="s">
        <v>2385</v>
      </c>
      <c r="C1187" s="30" t="s">
        <v>23</v>
      </c>
      <c r="D1187" s="68"/>
      <c r="E1187" s="69">
        <f>ROUND(IFERROR(VLOOKUP(A1187,'CAP25'!$A:$G,7,FALSE()),""),0)</f>
        <v>2070980</v>
      </c>
      <c r="F1187" s="69">
        <f t="shared" si="62"/>
        <v>0</v>
      </c>
    </row>
    <row r="1188" spans="1:6" ht="51">
      <c r="A1188" s="67" t="s">
        <v>2386</v>
      </c>
      <c r="B1188" s="76" t="s">
        <v>2387</v>
      </c>
      <c r="C1188" s="30" t="s">
        <v>23</v>
      </c>
      <c r="D1188" s="68"/>
      <c r="E1188" s="69">
        <f>ROUND(IFERROR(VLOOKUP(A1188,'CAP25'!$A:$G,7,FALSE()),""),0)</f>
        <v>2172830</v>
      </c>
      <c r="F1188" s="69">
        <f t="shared" si="62"/>
        <v>0</v>
      </c>
    </row>
    <row r="1189" spans="1:6" ht="25.5">
      <c r="A1189" s="67" t="s">
        <v>2388</v>
      </c>
      <c r="B1189" s="76" t="s">
        <v>2389</v>
      </c>
      <c r="C1189" s="30" t="s">
        <v>23</v>
      </c>
      <c r="D1189" s="68"/>
      <c r="E1189" s="69">
        <f>ROUND(IFERROR(VLOOKUP(A1189,'CAP25'!$A:$G,7,FALSE()),""),0)</f>
        <v>293225</v>
      </c>
      <c r="F1189" s="69">
        <f t="shared" si="62"/>
        <v>0</v>
      </c>
    </row>
    <row r="1190" spans="1:6" ht="25.5">
      <c r="A1190" s="67" t="s">
        <v>2390</v>
      </c>
      <c r="B1190" s="76" t="s">
        <v>2391</v>
      </c>
      <c r="C1190" s="30" t="s">
        <v>23</v>
      </c>
      <c r="D1190" s="68"/>
      <c r="E1190" s="69">
        <f>ROUND(IFERROR(VLOOKUP(A1190,'CAP25'!$A:$G,7,FALSE()),""),0)</f>
        <v>304565</v>
      </c>
      <c r="F1190" s="69">
        <f t="shared" ref="F1190" si="63">IFERROR(E1190*D1190,"")</f>
        <v>0</v>
      </c>
    </row>
    <row r="1191" spans="1:6">
      <c r="A1191" s="67" t="s">
        <v>2392</v>
      </c>
      <c r="B1191" s="76" t="s">
        <v>2393</v>
      </c>
      <c r="C1191" s="30" t="s">
        <v>23</v>
      </c>
      <c r="D1191" s="68"/>
      <c r="E1191" s="69">
        <f>ROUND(IFERROR(VLOOKUP(A1191,'CAP25'!$A:$G,7,FALSE()),""),0)</f>
        <v>70491825</v>
      </c>
      <c r="F1191" s="69">
        <f t="shared" ref="F1191" si="64">IFERROR(E1191*D1191,"")</f>
        <v>0</v>
      </c>
    </row>
    <row r="1192" spans="1:6">
      <c r="A1192" s="67" t="s">
        <v>2394</v>
      </c>
      <c r="B1192" s="76" t="s">
        <v>2395</v>
      </c>
      <c r="C1192" s="30" t="s">
        <v>23</v>
      </c>
      <c r="D1192" s="68"/>
      <c r="E1192" s="69">
        <f>ROUND(IFERROR(VLOOKUP(A1192,'CAP25'!$A:$G,7,FALSE()),""),0)</f>
        <v>1202477</v>
      </c>
      <c r="F1192" s="69">
        <f>IFERROR(E1192*D1192,"")</f>
        <v>0</v>
      </c>
    </row>
    <row r="1193" spans="1:6">
      <c r="A1193" s="67" t="s">
        <v>2396</v>
      </c>
      <c r="B1193" s="76" t="s">
        <v>2397</v>
      </c>
      <c r="C1193" s="30" t="s">
        <v>23</v>
      </c>
      <c r="D1193" s="68"/>
      <c r="E1193" s="69">
        <f>ROUND(IFERROR(VLOOKUP(A1193,'CAP25'!$A:$G,7,FALSE()),""),0)</f>
        <v>1478627</v>
      </c>
      <c r="F1193" s="69">
        <f>IFERROR(E1193*D1193,"")</f>
        <v>0</v>
      </c>
    </row>
    <row r="1194" spans="1:6">
      <c r="A1194" s="67" t="s">
        <v>2398</v>
      </c>
      <c r="B1194" s="76" t="s">
        <v>2399</v>
      </c>
      <c r="C1194" s="30" t="s">
        <v>23</v>
      </c>
      <c r="D1194" s="68"/>
      <c r="E1194" s="69">
        <f>ROUND(IFERROR(VLOOKUP(A1194,'CAP25'!$A:$G,7,FALSE()),""),0)</f>
        <v>1923827</v>
      </c>
      <c r="F1194" s="69">
        <f>IFERROR(E1194*D1194,"")</f>
        <v>0</v>
      </c>
    </row>
    <row r="1195" spans="1:6" ht="25.5">
      <c r="A1195" s="67" t="s">
        <v>2400</v>
      </c>
      <c r="B1195" s="76" t="s">
        <v>2401</v>
      </c>
      <c r="C1195" s="30" t="s">
        <v>23</v>
      </c>
      <c r="D1195" s="68"/>
      <c r="E1195" s="69">
        <f>ROUND(IFERROR(VLOOKUP(A1195,'CAP25'!$A:$G,7,FALSE()),""),0)</f>
        <v>4777275</v>
      </c>
      <c r="F1195" s="69">
        <f>IFERROR(E1195*D1195,"")</f>
        <v>0</v>
      </c>
    </row>
    <row r="1196" spans="1:6" ht="25.5">
      <c r="A1196" s="67" t="s">
        <v>2402</v>
      </c>
      <c r="B1196" s="76" t="s">
        <v>2403</v>
      </c>
      <c r="C1196" s="30" t="s">
        <v>23</v>
      </c>
      <c r="D1196" s="68"/>
      <c r="E1196" s="69">
        <f>ROUND(IFERROR(VLOOKUP(A1196,'CAP25'!$A:$G,7,FALSE()),""),0)</f>
        <v>4426575</v>
      </c>
      <c r="F1196" s="69">
        <f t="shared" ref="F1196" si="65">IFERROR(E1196*D1196,"")</f>
        <v>0</v>
      </c>
    </row>
    <row r="1197" spans="1:6" ht="25.5">
      <c r="A1197" s="67" t="s">
        <v>2404</v>
      </c>
      <c r="B1197" s="76" t="s">
        <v>2405</v>
      </c>
      <c r="C1197" s="30" t="s">
        <v>23</v>
      </c>
      <c r="D1197" s="68"/>
      <c r="E1197" s="69">
        <f>ROUND(IFERROR(VLOOKUP(A1197,'CAP25'!$A:$G,7,FALSE()),""),0)</f>
        <v>814644</v>
      </c>
      <c r="F1197" s="69">
        <f>IFERROR(E1197*D1197,"")</f>
        <v>0</v>
      </c>
    </row>
    <row r="1198" spans="1:6">
      <c r="A1198" s="67" t="s">
        <v>2406</v>
      </c>
      <c r="B1198" s="76" t="s">
        <v>2407</v>
      </c>
      <c r="C1198" s="30" t="s">
        <v>23</v>
      </c>
      <c r="D1198" s="68"/>
      <c r="E1198" s="69">
        <f>ROUND(IFERROR(VLOOKUP(A1198,'CAP25'!$A:$G,7,FALSE()),""),0)</f>
        <v>5468616</v>
      </c>
      <c r="F1198" s="69">
        <f t="shared" ref="F1198:F1202" si="66">IFERROR(E1198*D1198,"")</f>
        <v>0</v>
      </c>
    </row>
    <row r="1199" spans="1:6">
      <c r="A1199" s="67" t="s">
        <v>2408</v>
      </c>
      <c r="B1199" s="76" t="s">
        <v>2409</v>
      </c>
      <c r="C1199" s="30" t="s">
        <v>23</v>
      </c>
      <c r="D1199" s="68"/>
      <c r="E1199" s="69">
        <f>ROUND(IFERROR(VLOOKUP(A1199,'CAP25'!$A:$G,7,FALSE()),""),0)</f>
        <v>8328974</v>
      </c>
      <c r="F1199" s="69">
        <f t="shared" si="66"/>
        <v>0</v>
      </c>
    </row>
    <row r="1200" spans="1:6">
      <c r="A1200" s="67" t="s">
        <v>2410</v>
      </c>
      <c r="B1200" s="76" t="s">
        <v>2411</v>
      </c>
      <c r="C1200" s="30" t="s">
        <v>23</v>
      </c>
      <c r="D1200" s="68"/>
      <c r="E1200" s="69">
        <f>ROUND(IFERROR(VLOOKUP(A1200,'CAP25'!$A:$G,7,FALSE()),""),0)</f>
        <v>12503827</v>
      </c>
      <c r="F1200" s="69">
        <f t="shared" si="66"/>
        <v>0</v>
      </c>
    </row>
    <row r="1201" spans="1:8">
      <c r="A1201" s="67" t="s">
        <v>2412</v>
      </c>
      <c r="B1201" s="76" t="s">
        <v>2413</v>
      </c>
      <c r="C1201" s="30" t="s">
        <v>23</v>
      </c>
      <c r="D1201" s="68"/>
      <c r="E1201" s="69">
        <f>ROUND(IFERROR(VLOOKUP(A1201,'CAP25'!$A:$G,7,FALSE()),""),0)</f>
        <v>19330299</v>
      </c>
      <c r="F1201" s="69">
        <f t="shared" si="66"/>
        <v>0</v>
      </c>
    </row>
    <row r="1202" spans="1:8">
      <c r="A1202" s="67" t="s">
        <v>2414</v>
      </c>
      <c r="B1202" s="76" t="s">
        <v>2415</v>
      </c>
      <c r="C1202" s="30" t="s">
        <v>23</v>
      </c>
      <c r="D1202" s="68"/>
      <c r="E1202" s="69">
        <f>ROUND(IFERROR(VLOOKUP(A1202,'CAP25'!$A:$G,7,FALSE()),""),0)</f>
        <v>11860124</v>
      </c>
      <c r="F1202" s="69">
        <f t="shared" si="66"/>
        <v>0</v>
      </c>
    </row>
    <row r="1203" spans="1:8">
      <c r="A1203" s="67" t="s">
        <v>2416</v>
      </c>
      <c r="B1203" s="76" t="s">
        <v>2417</v>
      </c>
      <c r="C1203" s="30" t="s">
        <v>23</v>
      </c>
      <c r="D1203" s="68"/>
      <c r="E1203" s="69">
        <f>ROUND(IFERROR(VLOOKUP(A1203,'CAP25'!$A:$G,7,FALSE()),""),0)</f>
        <v>12384127</v>
      </c>
      <c r="F1203" s="69">
        <f t="shared" ref="F1203:F1207" si="67">IFERROR(E1203*D1203,"")</f>
        <v>0</v>
      </c>
    </row>
    <row r="1204" spans="1:8">
      <c r="A1204" s="67" t="s">
        <v>2418</v>
      </c>
      <c r="B1204" s="76" t="s">
        <v>2419</v>
      </c>
      <c r="C1204" s="30" t="s">
        <v>23</v>
      </c>
      <c r="D1204" s="68"/>
      <c r="E1204" s="69">
        <f>ROUND(IFERROR(VLOOKUP(A1204,'CAP25'!$A:$G,7,FALSE()),""),0)</f>
        <v>12173077</v>
      </c>
      <c r="F1204" s="69">
        <f t="shared" si="67"/>
        <v>0</v>
      </c>
    </row>
    <row r="1205" spans="1:8">
      <c r="A1205" s="67" t="s">
        <v>2420</v>
      </c>
      <c r="B1205" s="76" t="s">
        <v>2421</v>
      </c>
      <c r="C1205" s="30" t="s">
        <v>23</v>
      </c>
      <c r="D1205" s="68"/>
      <c r="E1205" s="69">
        <f>ROUND(IFERROR(VLOOKUP(A1205,'CAP25'!$A:$G,7,FALSE()),""),0)</f>
        <v>16476358</v>
      </c>
      <c r="F1205" s="69">
        <f t="shared" si="67"/>
        <v>0</v>
      </c>
    </row>
    <row r="1206" spans="1:8">
      <c r="A1206" s="67" t="s">
        <v>2422</v>
      </c>
      <c r="B1206" s="76" t="s">
        <v>2423</v>
      </c>
      <c r="C1206" s="30" t="s">
        <v>23</v>
      </c>
      <c r="D1206" s="68"/>
      <c r="E1206" s="69">
        <f>ROUND(IFERROR(VLOOKUP(A1206,'CAP25'!$A:$G,7,FALSE()),""),0)</f>
        <v>15741358</v>
      </c>
      <c r="F1206" s="69">
        <f t="shared" si="67"/>
        <v>0</v>
      </c>
    </row>
    <row r="1207" spans="1:8">
      <c r="A1207" s="67" t="s">
        <v>2424</v>
      </c>
      <c r="B1207" s="76" t="s">
        <v>2425</v>
      </c>
      <c r="C1207" s="30" t="s">
        <v>23</v>
      </c>
      <c r="D1207" s="68"/>
      <c r="E1207" s="69">
        <f>ROUND(IFERROR(VLOOKUP(A1207,'CAP25'!$A:$G,7,FALSE()),""),0)</f>
        <v>19353298</v>
      </c>
      <c r="F1207" s="69">
        <f t="shared" si="67"/>
        <v>0</v>
      </c>
    </row>
    <row r="1208" spans="1:8" s="74" customFormat="1">
      <c r="A1208" s="60" t="s">
        <v>2426</v>
      </c>
      <c r="B1208" s="61" t="s">
        <v>2427</v>
      </c>
      <c r="C1208" s="62"/>
      <c r="D1208" s="63"/>
      <c r="E1208" s="64"/>
      <c r="F1208" s="65">
        <f>SUM(F1209:F1219)</f>
        <v>0</v>
      </c>
      <c r="G1208" s="66">
        <f>IFERROR(F1208/$F$1279,"")</f>
        <v>0</v>
      </c>
      <c r="H1208" s="3"/>
    </row>
    <row r="1209" spans="1:8">
      <c r="A1209" s="67" t="s">
        <v>2428</v>
      </c>
      <c r="B1209" s="29" t="s">
        <v>2429</v>
      </c>
      <c r="C1209" s="30" t="s">
        <v>20</v>
      </c>
      <c r="D1209" s="68"/>
      <c r="E1209" s="69">
        <f>ROUND(IFERROR(VLOOKUP(A1209,'CAP26-28'!$A:$G,7,FALSE()),""),0)</f>
        <v>29696</v>
      </c>
      <c r="F1209" s="69">
        <f t="shared" ref="F1209:F1219" si="68">IFERROR(E1209*D1209,"")</f>
        <v>0</v>
      </c>
    </row>
    <row r="1210" spans="1:8">
      <c r="A1210" s="67" t="s">
        <v>2430</v>
      </c>
      <c r="B1210" s="29" t="s">
        <v>2431</v>
      </c>
      <c r="C1210" s="30" t="s">
        <v>20</v>
      </c>
      <c r="D1210" s="68"/>
      <c r="E1210" s="69">
        <f>ROUND(IFERROR(VLOOKUP(A1210,'CAP26-28'!$A:$G,7,FALSE()),""),0)</f>
        <v>88607</v>
      </c>
      <c r="F1210" s="69">
        <f t="shared" si="68"/>
        <v>0</v>
      </c>
    </row>
    <row r="1211" spans="1:8">
      <c r="A1211" s="67" t="s">
        <v>2432</v>
      </c>
      <c r="B1211" s="29" t="s">
        <v>2433</v>
      </c>
      <c r="C1211" s="30" t="s">
        <v>20</v>
      </c>
      <c r="D1211" s="68"/>
      <c r="E1211" s="69">
        <f>ROUND(IFERROR(VLOOKUP(A1211,'CAP26-28'!$A:$G,7,FALSE()),""),0)</f>
        <v>46503</v>
      </c>
      <c r="F1211" s="69">
        <f t="shared" si="68"/>
        <v>0</v>
      </c>
    </row>
    <row r="1212" spans="1:8">
      <c r="A1212" s="67" t="s">
        <v>2434</v>
      </c>
      <c r="B1212" s="29" t="s">
        <v>2435</v>
      </c>
      <c r="C1212" s="30" t="s">
        <v>30</v>
      </c>
      <c r="D1212" s="68"/>
      <c r="E1212" s="69">
        <f>ROUND(IFERROR(VLOOKUP(A1212,'CAP26-28'!$A:$G,7,FALSE()),""),0)</f>
        <v>8497</v>
      </c>
      <c r="F1212" s="69">
        <f t="shared" si="68"/>
        <v>0</v>
      </c>
    </row>
    <row r="1213" spans="1:8">
      <c r="A1213" s="67" t="s">
        <v>2436</v>
      </c>
      <c r="B1213" s="29" t="s">
        <v>2437</v>
      </c>
      <c r="C1213" s="30" t="s">
        <v>30</v>
      </c>
      <c r="D1213" s="68"/>
      <c r="E1213" s="69">
        <f>ROUND(IFERROR(VLOOKUP(A1213,'CAP26-28'!$A:$G,7,FALSE()),""),0)</f>
        <v>11744</v>
      </c>
      <c r="F1213" s="69">
        <f t="shared" si="68"/>
        <v>0</v>
      </c>
    </row>
    <row r="1214" spans="1:8">
      <c r="A1214" s="67" t="s">
        <v>2438</v>
      </c>
      <c r="B1214" s="29" t="s">
        <v>2439</v>
      </c>
      <c r="C1214" s="30" t="s">
        <v>30</v>
      </c>
      <c r="D1214" s="68"/>
      <c r="E1214" s="69">
        <f>ROUND(IFERROR(VLOOKUP(A1214,'CAP26-28'!$A:$G,7,FALSE()),""),0)</f>
        <v>9489</v>
      </c>
      <c r="F1214" s="69">
        <f t="shared" si="68"/>
        <v>0</v>
      </c>
    </row>
    <row r="1215" spans="1:8">
      <c r="A1215" s="67" t="s">
        <v>2440</v>
      </c>
      <c r="B1215" s="29" t="s">
        <v>99</v>
      </c>
      <c r="C1215" s="30" t="s">
        <v>23</v>
      </c>
      <c r="D1215" s="68"/>
      <c r="E1215" s="69">
        <f>ROUND(IFERROR(VLOOKUP(A1215,'CAP26-28'!$A:$G,7,FALSE()),""),0)</f>
        <v>469768</v>
      </c>
      <c r="F1215" s="69">
        <f t="shared" si="68"/>
        <v>0</v>
      </c>
    </row>
    <row r="1216" spans="1:8">
      <c r="A1216" s="67" t="s">
        <v>2441</v>
      </c>
      <c r="B1216" s="29" t="s">
        <v>2442</v>
      </c>
      <c r="C1216" s="30" t="s">
        <v>23</v>
      </c>
      <c r="D1216" s="68"/>
      <c r="E1216" s="69">
        <f>ROUND(IFERROR(VLOOKUP(A1216,'CAP26-28'!$A:$G,7,FALSE()),""),0)</f>
        <v>376565</v>
      </c>
      <c r="F1216" s="69">
        <f t="shared" si="68"/>
        <v>0</v>
      </c>
    </row>
    <row r="1217" spans="1:8">
      <c r="A1217" s="67" t="s">
        <v>2443</v>
      </c>
      <c r="B1217" s="29" t="s">
        <v>2444</v>
      </c>
      <c r="C1217" s="30" t="s">
        <v>23</v>
      </c>
      <c r="D1217" s="68"/>
      <c r="E1217" s="69">
        <f>ROUND(IFERROR(VLOOKUP(A1217,'CAP26-28'!$A:$G,7,FALSE()),""),0)</f>
        <v>520916</v>
      </c>
      <c r="F1217" s="69">
        <f t="shared" si="68"/>
        <v>0</v>
      </c>
    </row>
    <row r="1218" spans="1:8">
      <c r="A1218" s="67" t="s">
        <v>2445</v>
      </c>
      <c r="B1218" s="29" t="s">
        <v>2446</v>
      </c>
      <c r="C1218" s="30" t="s">
        <v>23</v>
      </c>
      <c r="D1218" s="68"/>
      <c r="E1218" s="69">
        <f>ROUND(IFERROR(VLOOKUP(A1218,'CAP26-28'!$A:$G,7,FALSE()),""),0)</f>
        <v>26868</v>
      </c>
      <c r="F1218" s="69">
        <f t="shared" si="68"/>
        <v>0</v>
      </c>
    </row>
    <row r="1219" spans="1:8">
      <c r="A1219" s="67" t="s">
        <v>2447</v>
      </c>
      <c r="B1219" s="29" t="s">
        <v>2448</v>
      </c>
      <c r="C1219" s="30" t="s">
        <v>23</v>
      </c>
      <c r="D1219" s="68"/>
      <c r="E1219" s="69">
        <f>ROUND(IFERROR(VLOOKUP(A1219,'CAP26-28'!$A:$G,7,FALSE()),""),0)</f>
        <v>159677</v>
      </c>
      <c r="F1219" s="69">
        <f t="shared" si="68"/>
        <v>0</v>
      </c>
    </row>
    <row r="1220" spans="1:8" s="74" customFormat="1">
      <c r="A1220" s="60" t="s">
        <v>2449</v>
      </c>
      <c r="B1220" s="61" t="s">
        <v>2450</v>
      </c>
      <c r="C1220" s="62"/>
      <c r="D1220" s="63"/>
      <c r="E1220" s="64"/>
      <c r="F1220" s="65">
        <f>SUM(F1221:F1261)</f>
        <v>0</v>
      </c>
      <c r="G1220" s="66">
        <f>IFERROR(F1220/$F$1279,"")</f>
        <v>0</v>
      </c>
      <c r="H1220" s="3"/>
    </row>
    <row r="1221" spans="1:8">
      <c r="A1221" s="67" t="s">
        <v>2451</v>
      </c>
      <c r="B1221" s="29" t="s">
        <v>2452</v>
      </c>
      <c r="C1221" s="30" t="s">
        <v>20</v>
      </c>
      <c r="D1221" s="68"/>
      <c r="E1221" s="69">
        <f>ROUND(IFERROR(VLOOKUP(A1221,'CAP26-28'!$A:$G,7,FALSE()),""),0)</f>
        <v>88600</v>
      </c>
      <c r="F1221" s="69">
        <f t="shared" ref="F1221:F1261" si="69">IFERROR(E1221*D1221,"")</f>
        <v>0</v>
      </c>
    </row>
    <row r="1222" spans="1:8">
      <c r="A1222" s="67" t="s">
        <v>2453</v>
      </c>
      <c r="B1222" s="29" t="s">
        <v>2454</v>
      </c>
      <c r="C1222" s="30" t="s">
        <v>20</v>
      </c>
      <c r="D1222" s="68"/>
      <c r="E1222" s="69">
        <f>ROUND(IFERROR(VLOOKUP(A1222,'CAP26-28'!$A:$G,7,FALSE()),""),0)</f>
        <v>108998</v>
      </c>
      <c r="F1222" s="69">
        <f t="shared" si="69"/>
        <v>0</v>
      </c>
    </row>
    <row r="1223" spans="1:8" ht="25.5">
      <c r="A1223" s="67" t="s">
        <v>2455</v>
      </c>
      <c r="B1223" s="29" t="s">
        <v>2456</v>
      </c>
      <c r="C1223" s="30" t="s">
        <v>20</v>
      </c>
      <c r="D1223" s="68"/>
      <c r="E1223" s="69">
        <f>ROUND(IFERROR(VLOOKUP(A1223,'CAP26-28'!$A:$G,7,FALSE()),""),0)</f>
        <v>134902</v>
      </c>
      <c r="F1223" s="69">
        <f t="shared" ref="F1223" si="70">IFERROR(E1223*D1223,"")</f>
        <v>0</v>
      </c>
    </row>
    <row r="1224" spans="1:8" ht="25.5">
      <c r="A1224" s="67" t="s">
        <v>2457</v>
      </c>
      <c r="B1224" s="29" t="s">
        <v>2458</v>
      </c>
      <c r="C1224" s="30" t="s">
        <v>20</v>
      </c>
      <c r="D1224" s="68"/>
      <c r="E1224" s="69">
        <f>ROUND(IFERROR(VLOOKUP(A1224,'CAP26-28'!$A:$G,7,FALSE()),""),0)</f>
        <v>129886</v>
      </c>
      <c r="F1224" s="69">
        <f t="shared" ref="F1224" si="71">IFERROR(E1224*D1224,"")</f>
        <v>0</v>
      </c>
    </row>
    <row r="1225" spans="1:8" ht="25.5">
      <c r="A1225" s="67" t="s">
        <v>2459</v>
      </c>
      <c r="B1225" s="29" t="s">
        <v>2460</v>
      </c>
      <c r="C1225" s="30" t="s">
        <v>30</v>
      </c>
      <c r="D1225" s="68"/>
      <c r="E1225" s="69">
        <f>ROUND(IFERROR(VLOOKUP(A1225,'CAP26-28'!$A:$G,7,FALSE()),""),0)</f>
        <v>199510</v>
      </c>
      <c r="F1225" s="69">
        <f t="shared" si="69"/>
        <v>0</v>
      </c>
    </row>
    <row r="1226" spans="1:8">
      <c r="A1226" s="67" t="s">
        <v>2461</v>
      </c>
      <c r="B1226" s="29" t="s">
        <v>2462</v>
      </c>
      <c r="C1226" s="30" t="s">
        <v>30</v>
      </c>
      <c r="D1226" s="68"/>
      <c r="E1226" s="69">
        <f>ROUND(IFERROR(VLOOKUP(A1226,'CAP26-28'!$A:$G,7,FALSE()),""),0)</f>
        <v>175063</v>
      </c>
      <c r="F1226" s="69">
        <f t="shared" si="69"/>
        <v>0</v>
      </c>
    </row>
    <row r="1227" spans="1:8">
      <c r="A1227" s="67" t="s">
        <v>2463</v>
      </c>
      <c r="B1227" s="29" t="s">
        <v>2464</v>
      </c>
      <c r="C1227" s="30" t="s">
        <v>30</v>
      </c>
      <c r="D1227" s="68"/>
      <c r="E1227" s="69">
        <f>ROUND(IFERROR(VLOOKUP(A1227,'CAP26-28'!$A:$G,7,FALSE()),""),0)</f>
        <v>222184</v>
      </c>
      <c r="F1227" s="69">
        <f t="shared" si="69"/>
        <v>0</v>
      </c>
    </row>
    <row r="1228" spans="1:8">
      <c r="A1228" s="67" t="s">
        <v>2465</v>
      </c>
      <c r="B1228" s="29" t="s">
        <v>2466</v>
      </c>
      <c r="C1228" s="30" t="s">
        <v>30</v>
      </c>
      <c r="D1228" s="68"/>
      <c r="E1228" s="69">
        <f>ROUND(IFERROR(VLOOKUP(A1228,'CAP26-28'!$A:$G,7,FALSE()),""),0)</f>
        <v>252257</v>
      </c>
      <c r="F1228" s="69">
        <f t="shared" si="69"/>
        <v>0</v>
      </c>
    </row>
    <row r="1229" spans="1:8">
      <c r="A1229" s="67" t="s">
        <v>2467</v>
      </c>
      <c r="B1229" s="29" t="s">
        <v>2468</v>
      </c>
      <c r="C1229" s="30" t="s">
        <v>30</v>
      </c>
      <c r="D1229" s="68"/>
      <c r="E1229" s="69">
        <f>ROUND(IFERROR(VLOOKUP(A1229,'CAP26-28'!$A:$G,7,FALSE()),""),0)</f>
        <v>153702</v>
      </c>
      <c r="F1229" s="69">
        <f t="shared" si="69"/>
        <v>0</v>
      </c>
    </row>
    <row r="1230" spans="1:8">
      <c r="A1230" s="67" t="s">
        <v>2469</v>
      </c>
      <c r="B1230" s="29" t="s">
        <v>2470</v>
      </c>
      <c r="C1230" s="30" t="s">
        <v>30</v>
      </c>
      <c r="D1230" s="68"/>
      <c r="E1230" s="69">
        <f>ROUND(IFERROR(VLOOKUP(A1230,'CAP26-28'!$A:$G,7,FALSE()),""),0)</f>
        <v>318084</v>
      </c>
      <c r="F1230" s="69">
        <f t="shared" ref="F1230" si="72">IFERROR(E1230*D1230,"")</f>
        <v>0</v>
      </c>
    </row>
    <row r="1231" spans="1:8">
      <c r="A1231" s="67" t="s">
        <v>2471</v>
      </c>
      <c r="B1231" s="29" t="s">
        <v>2472</v>
      </c>
      <c r="C1231" s="30" t="s">
        <v>30</v>
      </c>
      <c r="D1231" s="68"/>
      <c r="E1231" s="69">
        <f>ROUND(IFERROR(VLOOKUP(A1231,'CAP26-28'!$A:$G,7,FALSE()),""),0)</f>
        <v>38930</v>
      </c>
      <c r="F1231" s="69">
        <f t="shared" si="69"/>
        <v>0</v>
      </c>
    </row>
    <row r="1232" spans="1:8">
      <c r="A1232" s="67" t="s">
        <v>2473</v>
      </c>
      <c r="B1232" s="29" t="s">
        <v>2474</v>
      </c>
      <c r="C1232" s="30" t="s">
        <v>30</v>
      </c>
      <c r="D1232" s="68"/>
      <c r="E1232" s="69">
        <f>ROUND(IFERROR(VLOOKUP(A1232,'CAP26-28'!$A:$G,7,FALSE()),""),0)</f>
        <v>108527</v>
      </c>
      <c r="F1232" s="69">
        <f t="shared" si="69"/>
        <v>0</v>
      </c>
    </row>
    <row r="1233" spans="1:6">
      <c r="A1233" s="67" t="s">
        <v>2475</v>
      </c>
      <c r="B1233" s="29" t="s">
        <v>2476</v>
      </c>
      <c r="C1233" s="30" t="s">
        <v>23</v>
      </c>
      <c r="D1233" s="68"/>
      <c r="E1233" s="69">
        <f>ROUND(IFERROR(VLOOKUP(A1233,'CAP26-28'!$A:$G,7,FALSE()),""),0)</f>
        <v>467726</v>
      </c>
      <c r="F1233" s="69">
        <f t="shared" si="69"/>
        <v>0</v>
      </c>
    </row>
    <row r="1234" spans="1:6">
      <c r="A1234" s="67" t="s">
        <v>2477</v>
      </c>
      <c r="B1234" s="29" t="s">
        <v>2478</v>
      </c>
      <c r="C1234" s="30" t="s">
        <v>30</v>
      </c>
      <c r="D1234" s="68"/>
      <c r="E1234" s="69">
        <f>ROUND(IFERROR(VLOOKUP(A1234,'CAP26-28'!$A:$G,7,FALSE()),""),0)</f>
        <v>42560</v>
      </c>
      <c r="F1234" s="69">
        <f t="shared" si="69"/>
        <v>0</v>
      </c>
    </row>
    <row r="1235" spans="1:6">
      <c r="A1235" s="67" t="s">
        <v>2479</v>
      </c>
      <c r="B1235" s="29" t="s">
        <v>2480</v>
      </c>
      <c r="C1235" s="30" t="s">
        <v>30</v>
      </c>
      <c r="D1235" s="68"/>
      <c r="E1235" s="69">
        <f>ROUND(IFERROR(VLOOKUP(A1235,'CAP26-28'!$A:$G,7,FALSE()),""),0)</f>
        <v>51848</v>
      </c>
      <c r="F1235" s="69">
        <f t="shared" ref="F1235" si="73">IFERROR(E1235*D1235,"")</f>
        <v>0</v>
      </c>
    </row>
    <row r="1236" spans="1:6">
      <c r="A1236" s="67" t="s">
        <v>2481</v>
      </c>
      <c r="B1236" s="29" t="s">
        <v>2482</v>
      </c>
      <c r="C1236" s="30" t="s">
        <v>30</v>
      </c>
      <c r="D1236" s="68"/>
      <c r="E1236" s="69">
        <f>ROUND(IFERROR(VLOOKUP(A1236,'CAP26-28'!$A:$G,7,FALSE()),""),0)</f>
        <v>65127</v>
      </c>
      <c r="F1236" s="69">
        <f t="shared" si="69"/>
        <v>0</v>
      </c>
    </row>
    <row r="1237" spans="1:6">
      <c r="A1237" s="67" t="s">
        <v>2483</v>
      </c>
      <c r="B1237" s="29" t="s">
        <v>2484</v>
      </c>
      <c r="C1237" s="30" t="s">
        <v>30</v>
      </c>
      <c r="D1237" s="68"/>
      <c r="E1237" s="69">
        <f>ROUND(IFERROR(VLOOKUP(A1237,'CAP26-28'!$A:$G,7,FALSE()),""),0)</f>
        <v>70854</v>
      </c>
      <c r="F1237" s="69">
        <f t="shared" si="69"/>
        <v>0</v>
      </c>
    </row>
    <row r="1238" spans="1:6">
      <c r="A1238" s="67" t="s">
        <v>2485</v>
      </c>
      <c r="B1238" s="29" t="s">
        <v>2486</v>
      </c>
      <c r="C1238" s="30" t="s">
        <v>20</v>
      </c>
      <c r="D1238" s="68"/>
      <c r="E1238" s="69">
        <f>ROUND(IFERROR(VLOOKUP(A1238,'CAP26-28'!$A:$G,7,FALSE()),""),0)</f>
        <v>145635</v>
      </c>
      <c r="F1238" s="69">
        <f t="shared" si="69"/>
        <v>0</v>
      </c>
    </row>
    <row r="1239" spans="1:6">
      <c r="A1239" s="67" t="s">
        <v>2487</v>
      </c>
      <c r="B1239" s="29" t="s">
        <v>2488</v>
      </c>
      <c r="C1239" s="30" t="s">
        <v>23</v>
      </c>
      <c r="D1239" s="68"/>
      <c r="E1239" s="69">
        <f>ROUND(IFERROR(VLOOKUP(A1239,'CAP26-28'!$A:$G,7,FALSE()),""),0)</f>
        <v>2925791</v>
      </c>
      <c r="F1239" s="69">
        <f t="shared" si="69"/>
        <v>0</v>
      </c>
    </row>
    <row r="1240" spans="1:6">
      <c r="A1240" s="67" t="s">
        <v>2489</v>
      </c>
      <c r="B1240" s="29" t="s">
        <v>2490</v>
      </c>
      <c r="C1240" s="30" t="s">
        <v>23</v>
      </c>
      <c r="D1240" s="68"/>
      <c r="E1240" s="69">
        <f>ROUND(IFERROR(VLOOKUP(A1240,'CAP26-28'!$A:$G,7,FALSE()),""),0)</f>
        <v>1401018</v>
      </c>
      <c r="F1240" s="69">
        <f t="shared" si="69"/>
        <v>0</v>
      </c>
    </row>
    <row r="1241" spans="1:6">
      <c r="A1241" s="67" t="s">
        <v>2491</v>
      </c>
      <c r="B1241" s="29" t="s">
        <v>2492</v>
      </c>
      <c r="C1241" s="30" t="s">
        <v>23</v>
      </c>
      <c r="D1241" s="68"/>
      <c r="E1241" s="69">
        <f>ROUND(IFERROR(VLOOKUP(A1241,'CAP26-28'!$A:$G,7,FALSE()),""),0)</f>
        <v>1259478</v>
      </c>
      <c r="F1241" s="69">
        <f t="shared" si="69"/>
        <v>0</v>
      </c>
    </row>
    <row r="1242" spans="1:6">
      <c r="A1242" s="67" t="s">
        <v>2493</v>
      </c>
      <c r="B1242" s="29" t="s">
        <v>2494</v>
      </c>
      <c r="C1242" s="30" t="s">
        <v>20</v>
      </c>
      <c r="D1242" s="68"/>
      <c r="E1242" s="69">
        <f>ROUND(IFERROR(VLOOKUP(A1242,'CAP26-28'!$A:$G,7,FALSE()),""),0)</f>
        <v>17302</v>
      </c>
      <c r="F1242" s="69">
        <f t="shared" si="69"/>
        <v>0</v>
      </c>
    </row>
    <row r="1243" spans="1:6">
      <c r="A1243" s="67" t="s">
        <v>2495</v>
      </c>
      <c r="B1243" s="29" t="s">
        <v>2496</v>
      </c>
      <c r="C1243" s="30" t="s">
        <v>20</v>
      </c>
      <c r="D1243" s="68"/>
      <c r="E1243" s="69">
        <f>ROUND(IFERROR(VLOOKUP(A1243,'CAP26-28'!$A:$G,7,FALSE()),""),0)</f>
        <v>59702</v>
      </c>
      <c r="F1243" s="69">
        <f t="shared" si="69"/>
        <v>0</v>
      </c>
    </row>
    <row r="1244" spans="1:6">
      <c r="A1244" s="67" t="s">
        <v>2497</v>
      </c>
      <c r="B1244" s="29" t="s">
        <v>2498</v>
      </c>
      <c r="C1244" s="30" t="s">
        <v>20</v>
      </c>
      <c r="D1244" s="68"/>
      <c r="E1244" s="69">
        <f>ROUND(IFERROR(VLOOKUP(A1244,'CAP26-28'!$A:$G,7,FALSE()),""),0)</f>
        <v>115829</v>
      </c>
      <c r="F1244" s="69">
        <f t="shared" si="69"/>
        <v>0</v>
      </c>
    </row>
    <row r="1245" spans="1:6">
      <c r="A1245" s="67" t="s">
        <v>2499</v>
      </c>
      <c r="B1245" s="29" t="s">
        <v>2500</v>
      </c>
      <c r="C1245" s="30" t="s">
        <v>20</v>
      </c>
      <c r="D1245" s="68"/>
      <c r="E1245" s="69">
        <f>ROUND(IFERROR(VLOOKUP(A1245,'CAP26-28'!$A:$G,7,FALSE()),""),0)</f>
        <v>119435</v>
      </c>
      <c r="F1245" s="69">
        <f t="shared" ref="F1245" si="74">IFERROR(E1245*D1245,"")</f>
        <v>0</v>
      </c>
    </row>
    <row r="1246" spans="1:6">
      <c r="A1246" s="67" t="s">
        <v>2501</v>
      </c>
      <c r="B1246" s="29" t="s">
        <v>2502</v>
      </c>
      <c r="C1246" s="30" t="s">
        <v>23</v>
      </c>
      <c r="D1246" s="68"/>
      <c r="E1246" s="69">
        <f>ROUND(IFERROR(VLOOKUP(A1246,'CAP26-28'!$A:$G,7,FALSE()),""),0)</f>
        <v>195859</v>
      </c>
      <c r="F1246" s="69">
        <f t="shared" si="69"/>
        <v>0</v>
      </c>
    </row>
    <row r="1247" spans="1:6">
      <c r="A1247" s="67" t="s">
        <v>2503</v>
      </c>
      <c r="B1247" s="29" t="s">
        <v>2504</v>
      </c>
      <c r="C1247" s="30" t="s">
        <v>30</v>
      </c>
      <c r="D1247" s="68"/>
      <c r="E1247" s="69">
        <f>ROUND(IFERROR(VLOOKUP(A1247,'CAP26-28'!$A:$G,7,FALSE()),""),0)</f>
        <v>55539</v>
      </c>
      <c r="F1247" s="69">
        <f t="shared" ref="F1247:F1248" si="75">IFERROR(E1247*D1247,"")</f>
        <v>0</v>
      </c>
    </row>
    <row r="1248" spans="1:6">
      <c r="A1248" s="67" t="s">
        <v>2505</v>
      </c>
      <c r="B1248" s="29" t="s">
        <v>2506</v>
      </c>
      <c r="C1248" s="30" t="s">
        <v>30</v>
      </c>
      <c r="D1248" s="68"/>
      <c r="E1248" s="69">
        <f>ROUND(IFERROR(VLOOKUP(A1248,'CAP26-28'!$A:$G,7,FALSE()),""),0)</f>
        <v>56917</v>
      </c>
      <c r="F1248" s="69">
        <f t="shared" si="75"/>
        <v>0</v>
      </c>
    </row>
    <row r="1249" spans="1:8">
      <c r="A1249" s="67" t="s">
        <v>2507</v>
      </c>
      <c r="B1249" s="29" t="s">
        <v>2508</v>
      </c>
      <c r="C1249" s="30" t="s">
        <v>30</v>
      </c>
      <c r="D1249" s="68"/>
      <c r="E1249" s="69">
        <f>ROUND(IFERROR(VLOOKUP(A1249,'CAP26-28'!$A:$G,7,FALSE()),""),0)</f>
        <v>127763</v>
      </c>
      <c r="F1249" s="69">
        <f t="shared" si="69"/>
        <v>0</v>
      </c>
    </row>
    <row r="1250" spans="1:8">
      <c r="A1250" s="67" t="s">
        <v>2509</v>
      </c>
      <c r="B1250" s="29" t="s">
        <v>2510</v>
      </c>
      <c r="C1250" s="30" t="s">
        <v>30</v>
      </c>
      <c r="D1250" s="68"/>
      <c r="E1250" s="69">
        <f>ROUND(IFERROR(VLOOKUP(A1250,'CAP26-28'!$A:$G,7,FALSE()),""),0)</f>
        <v>135222</v>
      </c>
      <c r="F1250" s="69">
        <f t="shared" si="69"/>
        <v>0</v>
      </c>
    </row>
    <row r="1251" spans="1:8" ht="27">
      <c r="A1251" s="67" t="s">
        <v>2511</v>
      </c>
      <c r="B1251" s="29" t="s">
        <v>3804</v>
      </c>
      <c r="C1251" s="30" t="s">
        <v>30</v>
      </c>
      <c r="D1251" s="68"/>
      <c r="E1251" s="69">
        <f>ROUND(IFERROR(VLOOKUP(A1251,'CAP26-28'!$A:$G,7,FALSE()),""),0)</f>
        <v>65249</v>
      </c>
      <c r="F1251" s="69">
        <f t="shared" si="69"/>
        <v>0</v>
      </c>
    </row>
    <row r="1252" spans="1:8" ht="25.5">
      <c r="A1252" s="67" t="s">
        <v>2512</v>
      </c>
      <c r="B1252" s="29" t="s">
        <v>2513</v>
      </c>
      <c r="C1252" s="30" t="s">
        <v>30</v>
      </c>
      <c r="D1252" s="68"/>
      <c r="E1252" s="69">
        <f>ROUND(IFERROR(VLOOKUP(A1252,'CAP26-28'!$A:$G,7,FALSE()),""),0)</f>
        <v>76672</v>
      </c>
      <c r="F1252" s="69">
        <f t="shared" si="69"/>
        <v>0</v>
      </c>
    </row>
    <row r="1253" spans="1:8" ht="25.5">
      <c r="A1253" s="67" t="s">
        <v>2514</v>
      </c>
      <c r="B1253" s="29" t="s">
        <v>2515</v>
      </c>
      <c r="C1253" s="30" t="s">
        <v>30</v>
      </c>
      <c r="D1253" s="68"/>
      <c r="E1253" s="69">
        <f>ROUND(IFERROR(VLOOKUP(A1253,'CAP26-28'!$A:$G,7,FALSE()),""),0)</f>
        <v>126415</v>
      </c>
      <c r="F1253" s="69">
        <f t="shared" si="69"/>
        <v>0</v>
      </c>
    </row>
    <row r="1254" spans="1:8">
      <c r="A1254" s="67" t="s">
        <v>2516</v>
      </c>
      <c r="B1254" s="29" t="s">
        <v>2517</v>
      </c>
      <c r="C1254" s="30" t="s">
        <v>30</v>
      </c>
      <c r="D1254" s="68"/>
      <c r="E1254" s="69">
        <f>ROUND(IFERROR(VLOOKUP(A1254,'CAP26-28'!$A:$G,7,FALSE()),""),0)</f>
        <v>759054</v>
      </c>
      <c r="F1254" s="69">
        <f t="shared" si="69"/>
        <v>0</v>
      </c>
    </row>
    <row r="1255" spans="1:8">
      <c r="A1255" s="67" t="s">
        <v>2518</v>
      </c>
      <c r="B1255" s="29" t="s">
        <v>2519</v>
      </c>
      <c r="C1255" s="30" t="s">
        <v>30</v>
      </c>
      <c r="D1255" s="68"/>
      <c r="E1255" s="69">
        <f>ROUND(IFERROR(VLOOKUP(A1255,'CAP26-28'!$A:$G,7,FALSE()),""),0)</f>
        <v>85179</v>
      </c>
      <c r="F1255" s="69">
        <f t="shared" si="69"/>
        <v>0</v>
      </c>
    </row>
    <row r="1256" spans="1:8">
      <c r="A1256" s="67" t="s">
        <v>2520</v>
      </c>
      <c r="B1256" s="29" t="s">
        <v>2521</v>
      </c>
      <c r="C1256" s="30" t="s">
        <v>23</v>
      </c>
      <c r="D1256" s="68"/>
      <c r="E1256" s="69">
        <f>ROUND(IFERROR(VLOOKUP(A1256,'CAP26-28'!$A:$G,7,FALSE()),""),0)</f>
        <v>31497</v>
      </c>
      <c r="F1256" s="69">
        <f t="shared" si="69"/>
        <v>0</v>
      </c>
    </row>
    <row r="1257" spans="1:8">
      <c r="A1257" s="67" t="s">
        <v>2522</v>
      </c>
      <c r="B1257" s="29" t="s">
        <v>2523</v>
      </c>
      <c r="C1257" s="30" t="s">
        <v>23</v>
      </c>
      <c r="D1257" s="68"/>
      <c r="E1257" s="69">
        <f>ROUND(IFERROR(VLOOKUP(A1257,'CAP26-28'!$A:$G,7,FALSE()),""),0)</f>
        <v>223172</v>
      </c>
      <c r="F1257" s="69">
        <f t="shared" si="69"/>
        <v>0</v>
      </c>
    </row>
    <row r="1258" spans="1:8">
      <c r="A1258" s="67" t="s">
        <v>2524</v>
      </c>
      <c r="B1258" s="29" t="s">
        <v>2525</v>
      </c>
      <c r="C1258" s="30" t="s">
        <v>23</v>
      </c>
      <c r="D1258" s="68"/>
      <c r="E1258" s="69">
        <f>ROUND(IFERROR(VLOOKUP(A1258,'CAP26-28'!$A:$G,7,FALSE()),""),0)</f>
        <v>263785</v>
      </c>
      <c r="F1258" s="69">
        <f t="shared" si="69"/>
        <v>0</v>
      </c>
    </row>
    <row r="1259" spans="1:8">
      <c r="A1259" s="67" t="s">
        <v>2526</v>
      </c>
      <c r="B1259" s="29" t="s">
        <v>2527</v>
      </c>
      <c r="C1259" s="30" t="s">
        <v>23</v>
      </c>
      <c r="D1259" s="68"/>
      <c r="E1259" s="69">
        <f>ROUND(IFERROR(VLOOKUP(A1259,'CAP26-28'!$A:$G,7,FALSE()),""),0)</f>
        <v>328659</v>
      </c>
      <c r="F1259" s="69">
        <f t="shared" si="69"/>
        <v>0</v>
      </c>
    </row>
    <row r="1260" spans="1:8">
      <c r="A1260" s="67" t="s">
        <v>2528</v>
      </c>
      <c r="B1260" s="29" t="s">
        <v>2529</v>
      </c>
      <c r="C1260" s="30" t="s">
        <v>52</v>
      </c>
      <c r="D1260" s="68"/>
      <c r="E1260" s="69">
        <f>ROUND(IFERROR(VLOOKUP(A1260,'CAP26-28'!$A:$G,7,FALSE()),""),0)</f>
        <v>67344</v>
      </c>
      <c r="F1260" s="69">
        <f t="shared" si="69"/>
        <v>0</v>
      </c>
    </row>
    <row r="1261" spans="1:8" ht="25.5">
      <c r="A1261" s="67" t="s">
        <v>2530</v>
      </c>
      <c r="B1261" s="29" t="s">
        <v>2531</v>
      </c>
      <c r="C1261" s="30" t="s">
        <v>23</v>
      </c>
      <c r="D1261" s="68"/>
      <c r="E1261" s="69">
        <f>ROUND(IFERROR(VLOOKUP(A1261,'CAP26-28'!$A:$G,7,FALSE()),""),0)</f>
        <v>50534</v>
      </c>
      <c r="F1261" s="69">
        <f t="shared" si="69"/>
        <v>0</v>
      </c>
    </row>
    <row r="1262" spans="1:8" s="74" customFormat="1">
      <c r="A1262" s="60" t="s">
        <v>2532</v>
      </c>
      <c r="B1262" s="61" t="s">
        <v>2533</v>
      </c>
      <c r="C1262" s="62"/>
      <c r="D1262" s="63"/>
      <c r="E1262" s="64"/>
      <c r="F1262" s="65">
        <f>SUM(F1263:F1273)</f>
        <v>0</v>
      </c>
      <c r="G1262" s="66">
        <f>IFERROR(F1262/$F$1279,"")</f>
        <v>0</v>
      </c>
      <c r="H1262" s="3"/>
    </row>
    <row r="1263" spans="1:8" ht="25.5">
      <c r="A1263" s="67" t="s">
        <v>2534</v>
      </c>
      <c r="B1263" s="29" t="s">
        <v>2535</v>
      </c>
      <c r="C1263" s="30" t="s">
        <v>52</v>
      </c>
      <c r="D1263" s="68"/>
      <c r="E1263" s="69">
        <f>ROUND(IFERROR(VLOOKUP(A1263,'CAP26-28'!$A:$G,7,FALSE()),""),0)</f>
        <v>64310</v>
      </c>
      <c r="F1263" s="69">
        <f t="shared" ref="F1263:F1273" si="76">IFERROR(E1263*D1263,"")</f>
        <v>0</v>
      </c>
    </row>
    <row r="1264" spans="1:8">
      <c r="A1264" s="67" t="s">
        <v>2536</v>
      </c>
      <c r="B1264" s="29" t="s">
        <v>2537</v>
      </c>
      <c r="C1264" s="30" t="s">
        <v>52</v>
      </c>
      <c r="D1264" s="68"/>
      <c r="E1264" s="69">
        <f>ROUND(IFERROR(VLOOKUP(A1264,'CAP26-28'!$A:$G,7,FALSE()),""),0)</f>
        <v>21288</v>
      </c>
      <c r="F1264" s="69">
        <f t="shared" si="76"/>
        <v>0</v>
      </c>
    </row>
    <row r="1265" spans="1:8" ht="25.5">
      <c r="A1265" s="67" t="s">
        <v>2538</v>
      </c>
      <c r="B1265" s="29" t="s">
        <v>2539</v>
      </c>
      <c r="C1265" s="30" t="s">
        <v>52</v>
      </c>
      <c r="D1265" s="68"/>
      <c r="E1265" s="69">
        <f>ROUND(IFERROR(VLOOKUP(A1265,'CAP26-28'!$A:$G,7,FALSE()),""),0)</f>
        <v>39138</v>
      </c>
      <c r="F1265" s="69">
        <f t="shared" si="76"/>
        <v>0</v>
      </c>
    </row>
    <row r="1266" spans="1:8">
      <c r="A1266" s="67" t="s">
        <v>2540</v>
      </c>
      <c r="B1266" s="29" t="s">
        <v>2541</v>
      </c>
      <c r="C1266" s="30" t="s">
        <v>2542</v>
      </c>
      <c r="D1266" s="68"/>
      <c r="E1266" s="69">
        <f>ROUND(IFERROR(VLOOKUP(A1266,'CAP26-28'!$A:$G,7,FALSE()),""),0)</f>
        <v>23288</v>
      </c>
      <c r="F1266" s="69">
        <f t="shared" si="76"/>
        <v>0</v>
      </c>
    </row>
    <row r="1267" spans="1:8">
      <c r="A1267" s="67" t="s">
        <v>2543</v>
      </c>
      <c r="B1267" s="29" t="s">
        <v>2544</v>
      </c>
      <c r="C1267" s="30" t="s">
        <v>52</v>
      </c>
      <c r="D1267" s="68"/>
      <c r="E1267" s="69">
        <f>ROUND(IFERROR(VLOOKUP(A1267,'CAP26-28'!$A:$G,7,FALSE()),""),0)</f>
        <v>10189</v>
      </c>
      <c r="F1267" s="69">
        <f t="shared" si="76"/>
        <v>0</v>
      </c>
    </row>
    <row r="1268" spans="1:8">
      <c r="A1268" s="67" t="s">
        <v>2545</v>
      </c>
      <c r="B1268" s="29" t="s">
        <v>2546</v>
      </c>
      <c r="C1268" s="30" t="s">
        <v>2547</v>
      </c>
      <c r="D1268" s="68"/>
      <c r="E1268" s="69">
        <f>ROUND(IFERROR(VLOOKUP(A1268,'CAP26-28'!$A:$G,7,FALSE()),""),0)</f>
        <v>1989</v>
      </c>
      <c r="F1268" s="69">
        <f t="shared" si="76"/>
        <v>0</v>
      </c>
    </row>
    <row r="1269" spans="1:8" ht="25.5">
      <c r="A1269" s="67" t="s">
        <v>2548</v>
      </c>
      <c r="B1269" s="29" t="s">
        <v>2549</v>
      </c>
      <c r="C1269" s="30" t="s">
        <v>2547</v>
      </c>
      <c r="D1269" s="68"/>
      <c r="E1269" s="69">
        <f>ROUND(IFERROR(VLOOKUP(A1269,'CAP26-28'!$A:$G,7,FALSE()),""),0)</f>
        <v>1826</v>
      </c>
      <c r="F1269" s="69">
        <f t="shared" si="76"/>
        <v>0</v>
      </c>
    </row>
    <row r="1270" spans="1:8">
      <c r="A1270" s="67" t="s">
        <v>2550</v>
      </c>
      <c r="B1270" s="29" t="s">
        <v>2551</v>
      </c>
      <c r="C1270" s="30" t="s">
        <v>2547</v>
      </c>
      <c r="D1270" s="68"/>
      <c r="E1270" s="69">
        <f>ROUND(IFERROR(VLOOKUP(A1270,'CAP26-28'!$A:$G,7,FALSE()),""),0)</f>
        <v>2260</v>
      </c>
      <c r="F1270" s="69">
        <f t="shared" si="76"/>
        <v>0</v>
      </c>
    </row>
    <row r="1271" spans="1:8">
      <c r="A1271" s="67" t="s">
        <v>2552</v>
      </c>
      <c r="B1271" s="29" t="s">
        <v>2553</v>
      </c>
      <c r="C1271" s="30" t="s">
        <v>2547</v>
      </c>
      <c r="D1271" s="68"/>
      <c r="E1271" s="69">
        <f>ROUND(IFERROR(VLOOKUP(A1271,'CAP26-28'!$A:$G,7,FALSE()),""),0)</f>
        <v>2030</v>
      </c>
      <c r="F1271" s="69">
        <f t="shared" si="76"/>
        <v>0</v>
      </c>
    </row>
    <row r="1272" spans="1:8">
      <c r="A1272" s="67" t="s">
        <v>2554</v>
      </c>
      <c r="B1272" s="29" t="s">
        <v>2555</v>
      </c>
      <c r="C1272" s="30" t="s">
        <v>2547</v>
      </c>
      <c r="D1272" s="68"/>
      <c r="E1272" s="69">
        <f>ROUND(IFERROR(VLOOKUP(A1272,'CAP26-28'!$A:$G,7,FALSE()),""),0)</f>
        <v>2228</v>
      </c>
      <c r="F1272" s="69">
        <f t="shared" si="76"/>
        <v>0</v>
      </c>
    </row>
    <row r="1273" spans="1:8">
      <c r="A1273" s="67" t="s">
        <v>2556</v>
      </c>
      <c r="B1273" s="29" t="s">
        <v>2557</v>
      </c>
      <c r="C1273" s="30" t="s">
        <v>52</v>
      </c>
      <c r="D1273" s="68"/>
      <c r="E1273" s="69">
        <f>ROUND(IFERROR(VLOOKUP(A1273,'CAP26-28'!$A:$G,7,FALSE()),""),0)</f>
        <v>69425</v>
      </c>
      <c r="F1273" s="69">
        <f t="shared" si="76"/>
        <v>0</v>
      </c>
    </row>
    <row r="1274" spans="1:8" s="74" customFormat="1">
      <c r="A1274" s="60" t="s">
        <v>2558</v>
      </c>
      <c r="B1274" s="61" t="s">
        <v>2559</v>
      </c>
      <c r="C1274" s="62"/>
      <c r="D1274" s="63"/>
      <c r="E1274" s="64"/>
      <c r="F1274" s="65">
        <f>SUM(F1275:F1277)</f>
        <v>0</v>
      </c>
      <c r="G1274" s="66">
        <f>IFERROR(F1274/$F$1279,"")</f>
        <v>0</v>
      </c>
      <c r="H1274" s="3"/>
    </row>
    <row r="1275" spans="1:8">
      <c r="A1275" s="67" t="s">
        <v>2560</v>
      </c>
      <c r="B1275" s="29"/>
      <c r="C1275" s="30" t="s">
        <v>20</v>
      </c>
      <c r="D1275" s="68"/>
      <c r="E1275" s="69"/>
      <c r="F1275" s="69">
        <f t="shared" ref="F1275:F1277" si="77">IFERROR(E1275*D1275,"")</f>
        <v>0</v>
      </c>
    </row>
    <row r="1276" spans="1:8">
      <c r="A1276" s="67" t="s">
        <v>2561</v>
      </c>
      <c r="B1276" s="29"/>
      <c r="C1276" s="30" t="s">
        <v>23</v>
      </c>
      <c r="D1276" s="68"/>
      <c r="E1276" s="69"/>
      <c r="F1276" s="69">
        <f t="shared" si="77"/>
        <v>0</v>
      </c>
    </row>
    <row r="1277" spans="1:8">
      <c r="A1277" s="67"/>
      <c r="B1277" s="29"/>
      <c r="C1277" s="30"/>
      <c r="D1277" s="68"/>
      <c r="E1277" s="69"/>
      <c r="F1277" s="69">
        <f t="shared" si="77"/>
        <v>0</v>
      </c>
    </row>
    <row r="1278" spans="1:8">
      <c r="A1278" s="79"/>
      <c r="B1278" s="80"/>
      <c r="C1278" s="81"/>
      <c r="D1278" s="82"/>
      <c r="E1278" s="83"/>
      <c r="F1278" s="84"/>
    </row>
    <row r="1279" spans="1:8">
      <c r="B1279" s="86" t="s">
        <v>2563</v>
      </c>
      <c r="C1279" s="87"/>
      <c r="D1279" s="86"/>
      <c r="E1279" s="88"/>
      <c r="F1279" s="89">
        <f>SUM(F5:F1278)/2</f>
        <v>5114815</v>
      </c>
      <c r="G1279" s="90">
        <f>IFERROR(F1279/$F$1279,"")</f>
        <v>1</v>
      </c>
    </row>
    <row r="1280" spans="1:8">
      <c r="B1280" s="91" t="s">
        <v>2564</v>
      </c>
      <c r="C1280" s="92" t="s">
        <v>9</v>
      </c>
      <c r="D1280" s="93">
        <f>AU!G51</f>
        <v>0.3</v>
      </c>
      <c r="E1280" s="94"/>
      <c r="F1280" s="95">
        <f>+F1279*D1280</f>
        <v>1534444.5</v>
      </c>
      <c r="G1280" s="96">
        <f>IFERROR(F1280/$F$1279,"")</f>
        <v>0.3</v>
      </c>
    </row>
    <row r="1281" spans="1:8">
      <c r="B1281" s="86" t="s">
        <v>2565</v>
      </c>
      <c r="C1281" s="87"/>
      <c r="D1281" s="86"/>
      <c r="E1281" s="88"/>
      <c r="F1281" s="89">
        <f>+F1279+F1280</f>
        <v>6649259.5</v>
      </c>
      <c r="G1281" s="90">
        <f>IFERROR(F1281/$F$1279,"")</f>
        <v>1.3</v>
      </c>
    </row>
    <row r="1282" spans="1:8">
      <c r="A1282" s="315" t="s">
        <v>2566</v>
      </c>
      <c r="B1282" s="315"/>
      <c r="C1282" s="315"/>
      <c r="D1282" s="315"/>
      <c r="E1282" s="315"/>
      <c r="F1282" s="315"/>
      <c r="G1282" s="98"/>
    </row>
    <row r="1283" spans="1:8">
      <c r="A1283" s="97" t="s">
        <v>2567</v>
      </c>
      <c r="B1283" s="97" t="s">
        <v>4</v>
      </c>
      <c r="C1283" s="99" t="s">
        <v>5</v>
      </c>
      <c r="D1283" s="97" t="s">
        <v>6</v>
      </c>
      <c r="E1283" s="100" t="s">
        <v>7</v>
      </c>
      <c r="F1283" s="101" t="s">
        <v>8</v>
      </c>
      <c r="G1283" s="98"/>
    </row>
    <row r="1284" spans="1:8" ht="25.5">
      <c r="A1284" s="102"/>
      <c r="B1284" s="103" t="s">
        <v>2568</v>
      </c>
      <c r="C1284" s="104" t="s">
        <v>2569</v>
      </c>
      <c r="D1284" s="68">
        <v>1</v>
      </c>
      <c r="E1284" s="32">
        <f>+F1281*0.7%</f>
        <v>46544.816499999994</v>
      </c>
      <c r="F1284" s="69">
        <f t="shared" ref="F1284:F1286" si="78">D1284*E1284</f>
        <v>46544.816499999994</v>
      </c>
      <c r="G1284" s="98"/>
    </row>
    <row r="1285" spans="1:8">
      <c r="A1285" s="102"/>
      <c r="B1285" s="103"/>
      <c r="C1285" s="104"/>
      <c r="D1285" s="68"/>
      <c r="E1285" s="32"/>
      <c r="F1285" s="69">
        <f t="shared" si="78"/>
        <v>0</v>
      </c>
      <c r="G1285" s="98"/>
    </row>
    <row r="1286" spans="1:8">
      <c r="A1286" s="102"/>
      <c r="B1286" s="103"/>
      <c r="C1286" s="104"/>
      <c r="D1286" s="68"/>
      <c r="E1286" s="32"/>
      <c r="F1286" s="69">
        <f t="shared" si="78"/>
        <v>0</v>
      </c>
      <c r="G1286" s="98"/>
    </row>
    <row r="1287" spans="1:8">
      <c r="A1287" s="105"/>
      <c r="B1287" s="55"/>
      <c r="C1287" s="106"/>
      <c r="D1287" s="82"/>
      <c r="E1287" s="107"/>
      <c r="F1287" s="108"/>
      <c r="G1287" s="98"/>
    </row>
    <row r="1288" spans="1:8" s="114" customFormat="1">
      <c r="A1288" s="109"/>
      <c r="B1288" s="110" t="s">
        <v>2570</v>
      </c>
      <c r="C1288" s="111"/>
      <c r="D1288" s="110"/>
      <c r="E1288" s="112" t="s">
        <v>2571</v>
      </c>
      <c r="F1288" s="113">
        <f>SUM(F1284:F1286)</f>
        <v>46544.816499999994</v>
      </c>
      <c r="G1288" s="98"/>
      <c r="H1288" s="3"/>
    </row>
    <row r="1289" spans="1:8" s="114" customFormat="1">
      <c r="A1289" s="109"/>
      <c r="B1289" s="110" t="s">
        <v>2572</v>
      </c>
      <c r="C1289" s="111"/>
      <c r="D1289" s="115">
        <f>AU!G86</f>
        <v>0.16550000000000001</v>
      </c>
      <c r="E1289" s="112" t="s">
        <v>2573</v>
      </c>
      <c r="F1289" s="113">
        <f>F1288*D1289</f>
        <v>7703.1671307499992</v>
      </c>
      <c r="G1289" s="98"/>
      <c r="H1289" s="3"/>
    </row>
    <row r="1290" spans="1:8">
      <c r="A1290" s="116"/>
      <c r="B1290" s="117" t="s">
        <v>2574</v>
      </c>
      <c r="C1290" s="118"/>
      <c r="D1290" s="117"/>
      <c r="E1290" s="119" t="s">
        <v>2575</v>
      </c>
      <c r="F1290" s="113">
        <f>SUM(F1288:F1289)</f>
        <v>54247.983630749994</v>
      </c>
      <c r="G1290" s="98"/>
    </row>
    <row r="1291" spans="1:8">
      <c r="B1291" s="86"/>
      <c r="C1291" s="87"/>
      <c r="D1291" s="86"/>
      <c r="E1291" s="88"/>
      <c r="F1291" s="120"/>
      <c r="G1291" s="98"/>
    </row>
    <row r="1292" spans="1:8">
      <c r="A1292" s="121"/>
      <c r="B1292" s="86" t="s">
        <v>2576</v>
      </c>
      <c r="C1292" s="87"/>
      <c r="D1292" s="86"/>
      <c r="E1292" s="88"/>
      <c r="F1292" s="89">
        <f>+F1281+F1290</f>
        <v>6703507.4836307503</v>
      </c>
      <c r="G1292" s="98"/>
    </row>
    <row r="1293" spans="1:8">
      <c r="A1293" s="121"/>
      <c r="B1293" s="86"/>
      <c r="C1293" s="87"/>
      <c r="D1293" s="86"/>
      <c r="E1293" s="88"/>
      <c r="F1293" s="120"/>
      <c r="G1293" s="98"/>
    </row>
    <row r="1294" spans="1:8">
      <c r="B1294" s="86"/>
      <c r="C1294" s="87"/>
      <c r="D1294" s="86"/>
      <c r="E1294" s="88"/>
      <c r="F1294" s="120"/>
      <c r="G1294" s="98"/>
    </row>
    <row r="1295" spans="1:8">
      <c r="A1295" s="122" t="s">
        <v>2577</v>
      </c>
      <c r="B1295" s="123"/>
      <c r="C1295" s="124"/>
      <c r="D1295" s="125"/>
      <c r="E1295" s="126"/>
      <c r="F1295" s="127"/>
      <c r="G1295" s="98"/>
    </row>
    <row r="1296" spans="1:8">
      <c r="A1296" s="317" t="s">
        <v>2578</v>
      </c>
      <c r="B1296" s="317"/>
      <c r="C1296" s="317"/>
      <c r="D1296" s="317"/>
      <c r="E1296" s="317"/>
      <c r="F1296" s="317"/>
      <c r="G1296" s="98"/>
    </row>
    <row r="1297" spans="1:8">
      <c r="A1297" s="317" t="s">
        <v>2579</v>
      </c>
      <c r="B1297" s="317"/>
      <c r="C1297" s="317"/>
      <c r="D1297" s="317"/>
      <c r="E1297" s="317"/>
      <c r="F1297" s="317"/>
      <c r="G1297" s="98"/>
    </row>
    <row r="1298" spans="1:8">
      <c r="A1298" s="314" t="s">
        <v>2580</v>
      </c>
      <c r="B1298" s="314"/>
      <c r="C1298" s="314"/>
      <c r="D1298" s="314"/>
      <c r="E1298" s="314"/>
      <c r="F1298" s="314"/>
      <c r="G1298" s="98"/>
    </row>
    <row r="1299" spans="1:8" s="74" customFormat="1">
      <c r="A1299" s="85"/>
      <c r="B1299" s="3"/>
      <c r="C1299" s="128"/>
      <c r="D1299" s="3"/>
      <c r="E1299" s="129"/>
      <c r="F1299" s="130"/>
      <c r="G1299" s="70"/>
      <c r="H1299" s="3"/>
    </row>
    <row r="1300" spans="1:8">
      <c r="E1300" s="131"/>
      <c r="F1300" s="132"/>
    </row>
    <row r="1301" spans="1:8">
      <c r="E1301" s="133" t="s">
        <v>2581</v>
      </c>
      <c r="F1301" s="134">
        <f ca="1">Insumo[[#Totals],[TOTAL]]</f>
        <v>0</v>
      </c>
    </row>
    <row r="1302" spans="1:8">
      <c r="E1302" s="133" t="s">
        <v>2582</v>
      </c>
      <c r="F1302" s="134">
        <f ca="1">Equipo[[#Totals],[TOTAL]]</f>
        <v>5114812.5</v>
      </c>
    </row>
    <row r="1303" spans="1:8">
      <c r="E1303" s="133" t="s">
        <v>2583</v>
      </c>
      <c r="F1303" s="134">
        <f ca="1">Transporte[[#Totals],[TOTAL]]</f>
        <v>0</v>
      </c>
    </row>
    <row r="1304" spans="1:8">
      <c r="E1304" s="133" t="s">
        <v>2584</v>
      </c>
      <c r="F1304" s="134">
        <f ca="1">MObra[[#Totals],[TOTAL]]</f>
        <v>0</v>
      </c>
    </row>
  </sheetData>
  <autoFilter ref="A4:G1277" xr:uid="{00000000-0009-0000-0000-000000000000}"/>
  <mergeCells count="7">
    <mergeCell ref="A1298:F1298"/>
    <mergeCell ref="A1282:F1282"/>
    <mergeCell ref="A1:G1"/>
    <mergeCell ref="A2:G2"/>
    <mergeCell ref="A3:G3"/>
    <mergeCell ref="A1296:F1296"/>
    <mergeCell ref="A1297:F1297"/>
  </mergeCells>
  <phoneticPr fontId="16" type="noConversion"/>
  <conditionalFormatting sqref="B1284:B1287">
    <cfRule type="duplicateValues" dxfId="2" priority="5"/>
  </conditionalFormatting>
  <printOptions horizontalCentered="1"/>
  <pageMargins left="0.59055118110236227" right="0.59055118110236227" top="0.59055118110236227" bottom="0.59055118110236227" header="0.51181102362204722" footer="0.51181102362204722"/>
  <pageSetup scale="70" orientation="portrait" horizontalDpi="300" verticalDpi="300" r:id="rId1"/>
  <ignoredErrors>
    <ignoredError sqref="F586 F50 F100 F148 F163 F294 F344 F540 F552 F637 F679 F710 F772 F832 F835 F860 F938 F949 F992 F1013 F1095 F1208 F1220 F1262 F1274 F433 F631 F1124" formula="1"/>
  </ignoredError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E6E0EC"/>
  </sheetPr>
  <dimension ref="A1:T1245"/>
  <sheetViews>
    <sheetView view="pageBreakPreview" topLeftCell="A916" zoomScale="90" zoomScaleNormal="100" zoomScaleSheetLayoutView="90" zoomScalePageLayoutView="90" workbookViewId="0">
      <selection activeCell="C929" sqref="C929"/>
    </sheetView>
  </sheetViews>
  <sheetFormatPr baseColWidth="10" defaultColWidth="11.3984375" defaultRowHeight="12.75" customHeight="1"/>
  <cols>
    <col min="1" max="1" width="70.73046875" style="136" customWidth="1"/>
    <col min="2" max="2" width="9.73046875" style="284" customWidth="1"/>
    <col min="3" max="3" width="16.73046875" style="95" customWidth="1"/>
    <col min="4" max="4" width="12.73046875" style="291" customWidth="1"/>
    <col min="5" max="5" width="15.73046875" style="95" customWidth="1"/>
    <col min="6" max="17" width="14.73046875" style="95" customWidth="1"/>
    <col min="18" max="18" width="33.86328125" style="136" customWidth="1"/>
    <col min="19" max="16384" width="11.3984375" style="136"/>
  </cols>
  <sheetData>
    <row r="1" spans="1:20">
      <c r="A1" s="318" t="str">
        <f>+Presupuesto!A1</f>
        <v>ALCALDIA DE PEREIRA</v>
      </c>
      <c r="B1" s="318"/>
      <c r="C1" s="318"/>
      <c r="D1" s="318"/>
      <c r="E1" s="136"/>
      <c r="F1" s="136"/>
      <c r="G1" s="136"/>
      <c r="H1" s="136"/>
      <c r="I1" s="136"/>
      <c r="J1" s="136"/>
      <c r="K1" s="136"/>
      <c r="L1" s="136"/>
      <c r="M1" s="136"/>
      <c r="N1" s="136"/>
      <c r="O1" s="136"/>
      <c r="P1" s="136"/>
      <c r="Q1" s="136"/>
    </row>
    <row r="2" spans="1:20">
      <c r="A2" s="318" t="str">
        <f>+Presupuesto!A2</f>
        <v>VERSION O BASE DE DATOS ALCALDIA DE PEREIRA 2026</v>
      </c>
      <c r="B2" s="318"/>
      <c r="C2" s="318"/>
      <c r="D2" s="318"/>
      <c r="E2" s="318"/>
      <c r="F2" s="318"/>
      <c r="G2" s="318"/>
      <c r="H2" s="318"/>
      <c r="I2" s="318"/>
      <c r="J2" s="318"/>
      <c r="K2" s="318"/>
      <c r="L2" s="318"/>
      <c r="M2" s="318"/>
      <c r="N2" s="318"/>
      <c r="O2" s="318"/>
      <c r="P2" s="318"/>
      <c r="Q2" s="275"/>
    </row>
    <row r="3" spans="1:20" ht="14.25">
      <c r="A3" s="318" t="s">
        <v>2585</v>
      </c>
      <c r="B3" s="318"/>
      <c r="C3" s="318"/>
      <c r="D3" s="318"/>
      <c r="E3" s="318"/>
      <c r="F3" s="318"/>
      <c r="G3" s="318"/>
      <c r="H3" s="318"/>
      <c r="I3" s="318"/>
      <c r="J3" s="318"/>
      <c r="K3" s="318"/>
      <c r="L3" s="318"/>
      <c r="M3" s="318"/>
      <c r="N3" s="318"/>
      <c r="O3" s="318"/>
      <c r="P3" s="318"/>
      <c r="Q3" s="275"/>
      <c r="T3" s="298">
        <v>1.05</v>
      </c>
    </row>
    <row r="4" spans="1:20" s="284" customFormat="1">
      <c r="A4" s="285" t="s">
        <v>2586</v>
      </c>
      <c r="B4" s="285" t="s">
        <v>2587</v>
      </c>
      <c r="C4" s="285" t="s">
        <v>2588</v>
      </c>
      <c r="D4" s="289" t="s">
        <v>6</v>
      </c>
      <c r="E4" s="285" t="s">
        <v>2589</v>
      </c>
      <c r="F4" s="285" t="s">
        <v>2590</v>
      </c>
      <c r="G4" s="285" t="s">
        <v>2591</v>
      </c>
      <c r="H4" s="285" t="s">
        <v>2592</v>
      </c>
      <c r="I4" s="285" t="s">
        <v>2593</v>
      </c>
      <c r="J4" s="285" t="s">
        <v>2594</v>
      </c>
      <c r="K4" s="285" t="s">
        <v>2595</v>
      </c>
      <c r="L4" s="285" t="s">
        <v>2596</v>
      </c>
      <c r="M4" s="285" t="s">
        <v>2597</v>
      </c>
      <c r="N4" s="285" t="s">
        <v>2598</v>
      </c>
      <c r="O4" s="285" t="s">
        <v>2599</v>
      </c>
      <c r="P4" s="285" t="s">
        <v>2600</v>
      </c>
      <c r="Q4" s="285" t="s">
        <v>2601</v>
      </c>
      <c r="R4" s="275" t="s">
        <v>2602</v>
      </c>
      <c r="T4" s="284" t="s">
        <v>2588</v>
      </c>
    </row>
    <row r="5" spans="1:20">
      <c r="A5" s="301" t="s">
        <v>2603</v>
      </c>
      <c r="B5" s="303" t="s">
        <v>23</v>
      </c>
      <c r="C5" s="304">
        <f>T5*$T$3</f>
        <v>28416.15</v>
      </c>
      <c r="D5" s="281" cm="1">
        <f t="array" aca="1" ref="D5" ca="1">IF(Insumo[[#This Row],[VALOR]]=0,Insumo[TOTAL],E5/C5)</f>
        <v>0</v>
      </c>
      <c r="E5" s="69">
        <f ca="1">SUM(Insumo[[#This Row],[CAP1-3]:[CAP29]])</f>
        <v>0</v>
      </c>
      <c r="F5" s="69">
        <f ca="1">SUMIF('CAP1-3'!$B:$H,Insumo[[#This Row],[DESCRIPCION]],'CAP1-3'!$H:$H)</f>
        <v>0</v>
      </c>
      <c r="G5" s="69">
        <f ca="1">SUMIF('CAP4-5'!$B:$H,Insumo[[#This Row],[DESCRIPCION]],'CAP4-5'!$H:$H)</f>
        <v>0</v>
      </c>
      <c r="H5" s="69">
        <f ca="1">SUMIF('CAP6-7'!$B:$H,Insumo[[#This Row],[DESCRIPCION]],'CAP6-7'!$H:$H)</f>
        <v>0</v>
      </c>
      <c r="I5" s="69">
        <f ca="1">SUMIF('CAP8'!$B:$H,Insumo[[#This Row],[DESCRIPCION]],'CAP8'!$H:$H)</f>
        <v>0</v>
      </c>
      <c r="J5" s="69">
        <f ca="1">SUMIF('CAP9-13'!$B:$H,Insumo[[#This Row],[DESCRIPCION]],'CAP9-13'!$H:$H)</f>
        <v>0</v>
      </c>
      <c r="K5" s="69">
        <f ca="1">SUMIF('CAP14-15'!$B:$H,Insumo[[#This Row],[DESCRIPCION]],'CAP14-15'!$H:$H)</f>
        <v>0</v>
      </c>
      <c r="L5" s="69">
        <f ca="1">SUMIF('CAP16-18'!$B:$H,Insumo[[#This Row],[DESCRIPCION]],'CAP16-18'!$H:$H)</f>
        <v>0</v>
      </c>
      <c r="M5" s="69">
        <f ca="1">SUMIF('CAP19-22'!$B:$H,Insumo[[#This Row],[DESCRIPCION]],'CAP19-22'!$H:$H)</f>
        <v>0</v>
      </c>
      <c r="N5" s="69">
        <f ca="1">SUMIF('CAP23-24'!$B:$H,Insumo[[#This Row],[DESCRIPCION]],'CAP23-24'!$H:$H)</f>
        <v>0</v>
      </c>
      <c r="O5" s="69">
        <f ca="1">SUMIF('CAP25'!$B:$H,Insumo[[#This Row],[DESCRIPCION]],'CAP25'!$H:$H)</f>
        <v>0</v>
      </c>
      <c r="P5" s="69">
        <f ca="1">SUMIF('CAP26-28'!$B:$H,Insumo[[#This Row],[DESCRIPCION]],'CAP26-28'!$H:$H)</f>
        <v>0</v>
      </c>
      <c r="Q5" s="69">
        <f ca="1">SUMIF('CAP29'!$B:$H,Insumo[[#This Row],[DESCRIPCION]],'CAP29'!$H:$H)</f>
        <v>0</v>
      </c>
      <c r="T5" s="136">
        <v>27063</v>
      </c>
    </row>
    <row r="6" spans="1:20">
      <c r="A6" s="301" t="s">
        <v>2604</v>
      </c>
      <c r="B6" s="303" t="s">
        <v>23</v>
      </c>
      <c r="C6" s="304">
        <f t="shared" ref="C6:C69" si="0">T6*$T$3</f>
        <v>51148.65</v>
      </c>
      <c r="D6" s="281" cm="1">
        <f t="array" aca="1" ref="D6" ca="1">IF(Insumo[[#This Row],[VALOR]]=0,Insumo[TOTAL],E6/C6)</f>
        <v>0</v>
      </c>
      <c r="E6" s="69">
        <f ca="1">SUM(Insumo[[#This Row],[CAP1-3]:[CAP29]])</f>
        <v>0</v>
      </c>
      <c r="F6" s="69">
        <f ca="1">SUMIF('CAP1-3'!$B:$H,Insumo[[#This Row],[DESCRIPCION]],'CAP1-3'!$H:$H)</f>
        <v>0</v>
      </c>
      <c r="G6" s="69">
        <f ca="1">SUMIF('CAP4-5'!$B:$H,Insumo[[#This Row],[DESCRIPCION]],'CAP4-5'!$H:$H)</f>
        <v>0</v>
      </c>
      <c r="H6" s="69">
        <f ca="1">SUMIF('CAP6-7'!$B:$H,Insumo[[#This Row],[DESCRIPCION]],'CAP6-7'!$H:$H)</f>
        <v>0</v>
      </c>
      <c r="I6" s="69">
        <f ca="1">SUMIF('CAP8'!$B:$H,Insumo[[#This Row],[DESCRIPCION]],'CAP8'!$H:$H)</f>
        <v>0</v>
      </c>
      <c r="J6" s="69">
        <f ca="1">SUMIF('CAP9-13'!$B:$H,Insumo[[#This Row],[DESCRIPCION]],'CAP9-13'!$H:$H)</f>
        <v>0</v>
      </c>
      <c r="K6" s="69">
        <f ca="1">SUMIF('CAP14-15'!$B:$H,Insumo[[#This Row],[DESCRIPCION]],'CAP14-15'!$H:$H)</f>
        <v>0</v>
      </c>
      <c r="L6" s="69">
        <f ca="1">SUMIF('CAP16-18'!$B:$H,Insumo[[#This Row],[DESCRIPCION]],'CAP16-18'!$H:$H)</f>
        <v>0</v>
      </c>
      <c r="M6" s="69">
        <f ca="1">SUMIF('CAP19-22'!$B:$H,Insumo[[#This Row],[DESCRIPCION]],'CAP19-22'!$H:$H)</f>
        <v>0</v>
      </c>
      <c r="N6" s="69">
        <f ca="1">SUMIF('CAP23-24'!$B:$H,Insumo[[#This Row],[DESCRIPCION]],'CAP23-24'!$H:$H)</f>
        <v>0</v>
      </c>
      <c r="O6" s="69">
        <f ca="1">SUMIF('CAP25'!$B:$H,Insumo[[#This Row],[DESCRIPCION]],'CAP25'!$H:$H)</f>
        <v>0</v>
      </c>
      <c r="P6" s="69">
        <f ca="1">SUMIF('CAP26-28'!$B:$H,Insumo[[#This Row],[DESCRIPCION]],'CAP26-28'!$H:$H)</f>
        <v>0</v>
      </c>
      <c r="Q6" s="69">
        <f ca="1">SUMIF('CAP29'!$B:$H,Insumo[[#This Row],[DESCRIPCION]],'CAP29'!$H:$H)</f>
        <v>0</v>
      </c>
      <c r="T6" s="136">
        <v>48713</v>
      </c>
    </row>
    <row r="7" spans="1:20">
      <c r="A7" s="301" t="s">
        <v>2605</v>
      </c>
      <c r="B7" s="303" t="s">
        <v>23</v>
      </c>
      <c r="C7" s="304">
        <f t="shared" si="0"/>
        <v>10230.15</v>
      </c>
      <c r="D7" s="281" cm="1">
        <f t="array" aca="1" ref="D7" ca="1">IF(Insumo[[#This Row],[VALOR]]=0,Insumo[TOTAL],E7/C7)</f>
        <v>0</v>
      </c>
      <c r="E7" s="69">
        <f ca="1">SUM(Insumo[[#This Row],[CAP1-3]:[CAP29]])</f>
        <v>0</v>
      </c>
      <c r="F7" s="69">
        <f ca="1">SUMIF('CAP1-3'!$B:$H,Insumo[[#This Row],[DESCRIPCION]],'CAP1-3'!$H:$H)</f>
        <v>0</v>
      </c>
      <c r="G7" s="69">
        <f ca="1">SUMIF('CAP4-5'!$B:$H,Insumo[[#This Row],[DESCRIPCION]],'CAP4-5'!$H:$H)</f>
        <v>0</v>
      </c>
      <c r="H7" s="69">
        <f ca="1">SUMIF('CAP6-7'!$B:$H,Insumo[[#This Row],[DESCRIPCION]],'CAP6-7'!$H:$H)</f>
        <v>0</v>
      </c>
      <c r="I7" s="69">
        <f ca="1">SUMIF('CAP8'!$B:$H,Insumo[[#This Row],[DESCRIPCION]],'CAP8'!$H:$H)</f>
        <v>0</v>
      </c>
      <c r="J7" s="69">
        <f ca="1">SUMIF('CAP9-13'!$B:$H,Insumo[[#This Row],[DESCRIPCION]],'CAP9-13'!$H:$H)</f>
        <v>0</v>
      </c>
      <c r="K7" s="69">
        <f ca="1">SUMIF('CAP14-15'!$B:$H,Insumo[[#This Row],[DESCRIPCION]],'CAP14-15'!$H:$H)</f>
        <v>0</v>
      </c>
      <c r="L7" s="69">
        <f ca="1">SUMIF('CAP16-18'!$B:$H,Insumo[[#This Row],[DESCRIPCION]],'CAP16-18'!$H:$H)</f>
        <v>0</v>
      </c>
      <c r="M7" s="69">
        <f ca="1">SUMIF('CAP19-22'!$B:$H,Insumo[[#This Row],[DESCRIPCION]],'CAP19-22'!$H:$H)</f>
        <v>0</v>
      </c>
      <c r="N7" s="69">
        <f ca="1">SUMIF('CAP23-24'!$B:$H,Insumo[[#This Row],[DESCRIPCION]],'CAP23-24'!$H:$H)</f>
        <v>0</v>
      </c>
      <c r="O7" s="69">
        <f ca="1">SUMIF('CAP25'!$B:$H,Insumo[[#This Row],[DESCRIPCION]],'CAP25'!$H:$H)</f>
        <v>0</v>
      </c>
      <c r="P7" s="69">
        <f ca="1">SUMIF('CAP26-28'!$B:$H,Insumo[[#This Row],[DESCRIPCION]],'CAP26-28'!$H:$H)</f>
        <v>0</v>
      </c>
      <c r="Q7" s="69">
        <f ca="1">SUMIF('CAP29'!$B:$H,Insumo[[#This Row],[DESCRIPCION]],'CAP29'!$H:$H)</f>
        <v>0</v>
      </c>
      <c r="T7" s="136">
        <v>9743</v>
      </c>
    </row>
    <row r="8" spans="1:20">
      <c r="A8" s="301" t="s">
        <v>2606</v>
      </c>
      <c r="B8" s="303" t="s">
        <v>23</v>
      </c>
      <c r="C8" s="304">
        <f t="shared" si="0"/>
        <v>6819.75</v>
      </c>
      <c r="D8" s="281" cm="1">
        <f t="array" aca="1" ref="D8" ca="1">IF(Insumo[[#This Row],[VALOR]]=0,Insumo[TOTAL],E8/C8)</f>
        <v>0</v>
      </c>
      <c r="E8" s="69">
        <f ca="1">SUM(Insumo[[#This Row],[CAP1-3]:[CAP29]])</f>
        <v>0</v>
      </c>
      <c r="F8" s="69">
        <f ca="1">SUMIF('CAP1-3'!$B:$H,Insumo[[#This Row],[DESCRIPCION]],'CAP1-3'!$H:$H)</f>
        <v>0</v>
      </c>
      <c r="G8" s="69">
        <f ca="1">SUMIF('CAP4-5'!$B:$H,Insumo[[#This Row],[DESCRIPCION]],'CAP4-5'!$H:$H)</f>
        <v>0</v>
      </c>
      <c r="H8" s="69">
        <f ca="1">SUMIF('CAP6-7'!$B:$H,Insumo[[#This Row],[DESCRIPCION]],'CAP6-7'!$H:$H)</f>
        <v>0</v>
      </c>
      <c r="I8" s="69">
        <f ca="1">SUMIF('CAP8'!$B:$H,Insumo[[#This Row],[DESCRIPCION]],'CAP8'!$H:$H)</f>
        <v>0</v>
      </c>
      <c r="J8" s="69">
        <f ca="1">SUMIF('CAP9-13'!$B:$H,Insumo[[#This Row],[DESCRIPCION]],'CAP9-13'!$H:$H)</f>
        <v>0</v>
      </c>
      <c r="K8" s="69">
        <f ca="1">SUMIF('CAP14-15'!$B:$H,Insumo[[#This Row],[DESCRIPCION]],'CAP14-15'!$H:$H)</f>
        <v>0</v>
      </c>
      <c r="L8" s="69">
        <f ca="1">SUMIF('CAP16-18'!$B:$H,Insumo[[#This Row],[DESCRIPCION]],'CAP16-18'!$H:$H)</f>
        <v>0</v>
      </c>
      <c r="M8" s="69">
        <f ca="1">SUMIF('CAP19-22'!$B:$H,Insumo[[#This Row],[DESCRIPCION]],'CAP19-22'!$H:$H)</f>
        <v>0</v>
      </c>
      <c r="N8" s="69">
        <f ca="1">SUMIF('CAP23-24'!$B:$H,Insumo[[#This Row],[DESCRIPCION]],'CAP23-24'!$H:$H)</f>
        <v>0</v>
      </c>
      <c r="O8" s="69">
        <f ca="1">SUMIF('CAP25'!$B:$H,Insumo[[#This Row],[DESCRIPCION]],'CAP25'!$H:$H)</f>
        <v>0</v>
      </c>
      <c r="P8" s="69">
        <f ca="1">SUMIF('CAP26-28'!$B:$H,Insumo[[#This Row],[DESCRIPCION]],'CAP26-28'!$H:$H)</f>
        <v>0</v>
      </c>
      <c r="Q8" s="69">
        <f ca="1">SUMIF('CAP29'!$B:$H,Insumo[[#This Row],[DESCRIPCION]],'CAP29'!$H:$H)</f>
        <v>0</v>
      </c>
      <c r="T8" s="136">
        <v>6495</v>
      </c>
    </row>
    <row r="9" spans="1:20">
      <c r="A9" s="301" t="s">
        <v>2607</v>
      </c>
      <c r="B9" s="303" t="s">
        <v>23</v>
      </c>
      <c r="C9" s="304">
        <f t="shared" si="0"/>
        <v>5683.6500000000005</v>
      </c>
      <c r="D9" s="281" cm="1">
        <f t="array" aca="1" ref="D9" ca="1">IF(Insumo[[#This Row],[VALOR]]=0,Insumo[TOTAL],E9/C9)</f>
        <v>0</v>
      </c>
      <c r="E9" s="69">
        <f ca="1">SUM(Insumo[[#This Row],[CAP1-3]:[CAP29]])</f>
        <v>0</v>
      </c>
      <c r="F9" s="69">
        <f ca="1">SUMIF('CAP1-3'!$B:$H,Insumo[[#This Row],[DESCRIPCION]],'CAP1-3'!$H:$H)</f>
        <v>0</v>
      </c>
      <c r="G9" s="69">
        <f ca="1">SUMIF('CAP4-5'!$B:$H,Insumo[[#This Row],[DESCRIPCION]],'CAP4-5'!$H:$H)</f>
        <v>0</v>
      </c>
      <c r="H9" s="69">
        <f ca="1">SUMIF('CAP6-7'!$B:$H,Insumo[[#This Row],[DESCRIPCION]],'CAP6-7'!$H:$H)</f>
        <v>0</v>
      </c>
      <c r="I9" s="69">
        <f ca="1">SUMIF('CAP8'!$B:$H,Insumo[[#This Row],[DESCRIPCION]],'CAP8'!$H:$H)</f>
        <v>0</v>
      </c>
      <c r="J9" s="69">
        <f ca="1">SUMIF('CAP9-13'!$B:$H,Insumo[[#This Row],[DESCRIPCION]],'CAP9-13'!$H:$H)</f>
        <v>0</v>
      </c>
      <c r="K9" s="69">
        <f ca="1">SUMIF('CAP14-15'!$B:$H,Insumo[[#This Row],[DESCRIPCION]],'CAP14-15'!$H:$H)</f>
        <v>0</v>
      </c>
      <c r="L9" s="69">
        <f ca="1">SUMIF('CAP16-18'!$B:$H,Insumo[[#This Row],[DESCRIPCION]],'CAP16-18'!$H:$H)</f>
        <v>0</v>
      </c>
      <c r="M9" s="69">
        <f ca="1">SUMIF('CAP19-22'!$B:$H,Insumo[[#This Row],[DESCRIPCION]],'CAP19-22'!$H:$H)</f>
        <v>0</v>
      </c>
      <c r="N9" s="69">
        <f ca="1">SUMIF('CAP23-24'!$B:$H,Insumo[[#This Row],[DESCRIPCION]],'CAP23-24'!$H:$H)</f>
        <v>0</v>
      </c>
      <c r="O9" s="69">
        <f ca="1">SUMIF('CAP25'!$B:$H,Insumo[[#This Row],[DESCRIPCION]],'CAP25'!$H:$H)</f>
        <v>0</v>
      </c>
      <c r="P9" s="69">
        <f ca="1">SUMIF('CAP26-28'!$B:$H,Insumo[[#This Row],[DESCRIPCION]],'CAP26-28'!$H:$H)</f>
        <v>0</v>
      </c>
      <c r="Q9" s="69">
        <f ca="1">SUMIF('CAP29'!$B:$H,Insumo[[#This Row],[DESCRIPCION]],'CAP29'!$H:$H)</f>
        <v>0</v>
      </c>
      <c r="T9" s="136">
        <v>5413</v>
      </c>
    </row>
    <row r="10" spans="1:20">
      <c r="A10" s="301" t="s">
        <v>2608</v>
      </c>
      <c r="B10" s="303" t="s">
        <v>23</v>
      </c>
      <c r="C10" s="304">
        <f t="shared" si="0"/>
        <v>15912.75</v>
      </c>
      <c r="D10" s="281" cm="1">
        <f t="array" aca="1" ref="D10" ca="1">IF(Insumo[[#This Row],[VALOR]]=0,Insumo[TOTAL],E10/C10)</f>
        <v>0</v>
      </c>
      <c r="E10" s="69">
        <f ca="1">SUM(Insumo[[#This Row],[CAP1-3]:[CAP29]])</f>
        <v>0</v>
      </c>
      <c r="F10" s="69">
        <f ca="1">SUMIF('CAP1-3'!$B:$H,Insumo[[#This Row],[DESCRIPCION]],'CAP1-3'!$H:$H)</f>
        <v>0</v>
      </c>
      <c r="G10" s="69">
        <f ca="1">SUMIF('CAP4-5'!$B:$H,Insumo[[#This Row],[DESCRIPCION]],'CAP4-5'!$H:$H)</f>
        <v>0</v>
      </c>
      <c r="H10" s="69">
        <f ca="1">SUMIF('CAP6-7'!$B:$H,Insumo[[#This Row],[DESCRIPCION]],'CAP6-7'!$H:$H)</f>
        <v>0</v>
      </c>
      <c r="I10" s="69">
        <f ca="1">SUMIF('CAP8'!$B:$H,Insumo[[#This Row],[DESCRIPCION]],'CAP8'!$H:$H)</f>
        <v>0</v>
      </c>
      <c r="J10" s="69">
        <f ca="1">SUMIF('CAP9-13'!$B:$H,Insumo[[#This Row],[DESCRIPCION]],'CAP9-13'!$H:$H)</f>
        <v>0</v>
      </c>
      <c r="K10" s="69">
        <f ca="1">SUMIF('CAP14-15'!$B:$H,Insumo[[#This Row],[DESCRIPCION]],'CAP14-15'!$H:$H)</f>
        <v>0</v>
      </c>
      <c r="L10" s="69">
        <f ca="1">SUMIF('CAP16-18'!$B:$H,Insumo[[#This Row],[DESCRIPCION]],'CAP16-18'!$H:$H)</f>
        <v>0</v>
      </c>
      <c r="M10" s="69">
        <f ca="1">SUMIF('CAP19-22'!$B:$H,Insumo[[#This Row],[DESCRIPCION]],'CAP19-22'!$H:$H)</f>
        <v>0</v>
      </c>
      <c r="N10" s="69">
        <f ca="1">SUMIF('CAP23-24'!$B:$H,Insumo[[#This Row],[DESCRIPCION]],'CAP23-24'!$H:$H)</f>
        <v>0</v>
      </c>
      <c r="O10" s="69">
        <f ca="1">SUMIF('CAP25'!$B:$H,Insumo[[#This Row],[DESCRIPCION]],'CAP25'!$H:$H)</f>
        <v>0</v>
      </c>
      <c r="P10" s="69">
        <f ca="1">SUMIF('CAP26-28'!$B:$H,Insumo[[#This Row],[DESCRIPCION]],'CAP26-28'!$H:$H)</f>
        <v>0</v>
      </c>
      <c r="Q10" s="69">
        <f ca="1">SUMIF('CAP29'!$B:$H,Insumo[[#This Row],[DESCRIPCION]],'CAP29'!$H:$H)</f>
        <v>0</v>
      </c>
      <c r="T10" s="136">
        <v>15155</v>
      </c>
    </row>
    <row r="11" spans="1:20">
      <c r="A11" s="301" t="s">
        <v>2609</v>
      </c>
      <c r="B11" s="303" t="s">
        <v>23</v>
      </c>
      <c r="C11" s="304">
        <f t="shared" si="0"/>
        <v>12503.4</v>
      </c>
      <c r="D11" s="281" cm="1">
        <f t="array" aca="1" ref="D11" ca="1">IF(Insumo[[#This Row],[VALOR]]=0,Insumo[TOTAL],E11/C11)</f>
        <v>0</v>
      </c>
      <c r="E11" s="69">
        <f ca="1">SUM(Insumo[[#This Row],[CAP1-3]:[CAP29]])</f>
        <v>0</v>
      </c>
      <c r="F11" s="69">
        <f ca="1">SUMIF('CAP1-3'!$B:$H,Insumo[[#This Row],[DESCRIPCION]],'CAP1-3'!$H:$H)</f>
        <v>0</v>
      </c>
      <c r="G11" s="69">
        <f ca="1">SUMIF('CAP4-5'!$B:$H,Insumo[[#This Row],[DESCRIPCION]],'CAP4-5'!$H:$H)</f>
        <v>0</v>
      </c>
      <c r="H11" s="69">
        <f ca="1">SUMIF('CAP6-7'!$B:$H,Insumo[[#This Row],[DESCRIPCION]],'CAP6-7'!$H:$H)</f>
        <v>0</v>
      </c>
      <c r="I11" s="69">
        <f ca="1">SUMIF('CAP8'!$B:$H,Insumo[[#This Row],[DESCRIPCION]],'CAP8'!$H:$H)</f>
        <v>0</v>
      </c>
      <c r="J11" s="69">
        <f ca="1">SUMIF('CAP9-13'!$B:$H,Insumo[[#This Row],[DESCRIPCION]],'CAP9-13'!$H:$H)</f>
        <v>0</v>
      </c>
      <c r="K11" s="69">
        <f ca="1">SUMIF('CAP14-15'!$B:$H,Insumo[[#This Row],[DESCRIPCION]],'CAP14-15'!$H:$H)</f>
        <v>0</v>
      </c>
      <c r="L11" s="69">
        <f ca="1">SUMIF('CAP16-18'!$B:$H,Insumo[[#This Row],[DESCRIPCION]],'CAP16-18'!$H:$H)</f>
        <v>0</v>
      </c>
      <c r="M11" s="69">
        <f ca="1">SUMIF('CAP19-22'!$B:$H,Insumo[[#This Row],[DESCRIPCION]],'CAP19-22'!$H:$H)</f>
        <v>0</v>
      </c>
      <c r="N11" s="69">
        <f ca="1">SUMIF('CAP23-24'!$B:$H,Insumo[[#This Row],[DESCRIPCION]],'CAP23-24'!$H:$H)</f>
        <v>0</v>
      </c>
      <c r="O11" s="69">
        <f ca="1">SUMIF('CAP25'!$B:$H,Insumo[[#This Row],[DESCRIPCION]],'CAP25'!$H:$H)</f>
        <v>0</v>
      </c>
      <c r="P11" s="69">
        <f ca="1">SUMIF('CAP26-28'!$B:$H,Insumo[[#This Row],[DESCRIPCION]],'CAP26-28'!$H:$H)</f>
        <v>0</v>
      </c>
      <c r="Q11" s="69">
        <f ca="1">SUMIF('CAP29'!$B:$H,Insumo[[#This Row],[DESCRIPCION]],'CAP29'!$H:$H)</f>
        <v>0</v>
      </c>
      <c r="T11" s="136">
        <v>11908</v>
      </c>
    </row>
    <row r="12" spans="1:20">
      <c r="A12" s="301" t="s">
        <v>2610</v>
      </c>
      <c r="B12" s="303" t="s">
        <v>23</v>
      </c>
      <c r="C12" s="304">
        <f t="shared" si="0"/>
        <v>22732.5</v>
      </c>
      <c r="D12" s="281" cm="1">
        <f t="array" aca="1" ref="D12" ca="1">IF(Insumo[[#This Row],[VALOR]]=0,Insumo[TOTAL],E12/C12)</f>
        <v>0</v>
      </c>
      <c r="E12" s="69">
        <f ca="1">SUM(Insumo[[#This Row],[CAP1-3]:[CAP29]])</f>
        <v>0</v>
      </c>
      <c r="F12" s="69">
        <f ca="1">SUMIF('CAP1-3'!$B:$H,Insumo[[#This Row],[DESCRIPCION]],'CAP1-3'!$H:$H)</f>
        <v>0</v>
      </c>
      <c r="G12" s="69">
        <f ca="1">SUMIF('CAP4-5'!$B:$H,Insumo[[#This Row],[DESCRIPCION]],'CAP4-5'!$H:$H)</f>
        <v>0</v>
      </c>
      <c r="H12" s="69">
        <f ca="1">SUMIF('CAP6-7'!$B:$H,Insumo[[#This Row],[DESCRIPCION]],'CAP6-7'!$H:$H)</f>
        <v>0</v>
      </c>
      <c r="I12" s="69">
        <f ca="1">SUMIF('CAP8'!$B:$H,Insumo[[#This Row],[DESCRIPCION]],'CAP8'!$H:$H)</f>
        <v>0</v>
      </c>
      <c r="J12" s="69">
        <f ca="1">SUMIF('CAP9-13'!$B:$H,Insumo[[#This Row],[DESCRIPCION]],'CAP9-13'!$H:$H)</f>
        <v>0</v>
      </c>
      <c r="K12" s="69">
        <f ca="1">SUMIF('CAP14-15'!$B:$H,Insumo[[#This Row],[DESCRIPCION]],'CAP14-15'!$H:$H)</f>
        <v>0</v>
      </c>
      <c r="L12" s="69">
        <f ca="1">SUMIF('CAP16-18'!$B:$H,Insumo[[#This Row],[DESCRIPCION]],'CAP16-18'!$H:$H)</f>
        <v>0</v>
      </c>
      <c r="M12" s="69">
        <f ca="1">SUMIF('CAP19-22'!$B:$H,Insumo[[#This Row],[DESCRIPCION]],'CAP19-22'!$H:$H)</f>
        <v>0</v>
      </c>
      <c r="N12" s="69">
        <f ca="1">SUMIF('CAP23-24'!$B:$H,Insumo[[#This Row],[DESCRIPCION]],'CAP23-24'!$H:$H)</f>
        <v>0</v>
      </c>
      <c r="O12" s="69">
        <f ca="1">SUMIF('CAP25'!$B:$H,Insumo[[#This Row],[DESCRIPCION]],'CAP25'!$H:$H)</f>
        <v>0</v>
      </c>
      <c r="P12" s="69">
        <f ca="1">SUMIF('CAP26-28'!$B:$H,Insumo[[#This Row],[DESCRIPCION]],'CAP26-28'!$H:$H)</f>
        <v>0</v>
      </c>
      <c r="Q12" s="69">
        <f ca="1">SUMIF('CAP29'!$B:$H,Insumo[[#This Row],[DESCRIPCION]],'CAP29'!$H:$H)</f>
        <v>0</v>
      </c>
      <c r="T12" s="136">
        <v>21650</v>
      </c>
    </row>
    <row r="13" spans="1:20">
      <c r="A13" s="301" t="s">
        <v>2611</v>
      </c>
      <c r="B13" s="303" t="s">
        <v>23</v>
      </c>
      <c r="C13" s="304">
        <f t="shared" si="0"/>
        <v>75600</v>
      </c>
      <c r="D13" s="281" cm="1">
        <f t="array" aca="1" ref="D13" ca="1">IF(Insumo[[#This Row],[VALOR]]=0,Insumo[TOTAL],E13/C13)</f>
        <v>0</v>
      </c>
      <c r="E13" s="69">
        <f ca="1">SUM(Insumo[[#This Row],[CAP1-3]:[CAP29]])</f>
        <v>0</v>
      </c>
      <c r="F13" s="69">
        <f ca="1">SUMIF('CAP1-3'!$B:$H,Insumo[[#This Row],[DESCRIPCION]],'CAP1-3'!$H:$H)</f>
        <v>0</v>
      </c>
      <c r="G13" s="69">
        <f ca="1">SUMIF('CAP4-5'!$B:$H,Insumo[[#This Row],[DESCRIPCION]],'CAP4-5'!$H:$H)</f>
        <v>0</v>
      </c>
      <c r="H13" s="69">
        <f ca="1">SUMIF('CAP6-7'!$B:$H,Insumo[[#This Row],[DESCRIPCION]],'CAP6-7'!$H:$H)</f>
        <v>0</v>
      </c>
      <c r="I13" s="69">
        <f ca="1">SUMIF('CAP8'!$B:$H,Insumo[[#This Row],[DESCRIPCION]],'CAP8'!$H:$H)</f>
        <v>0</v>
      </c>
      <c r="J13" s="69">
        <f ca="1">SUMIF('CAP9-13'!$B:$H,Insumo[[#This Row],[DESCRIPCION]],'CAP9-13'!$H:$H)</f>
        <v>0</v>
      </c>
      <c r="K13" s="69">
        <f ca="1">SUMIF('CAP14-15'!$B:$H,Insumo[[#This Row],[DESCRIPCION]],'CAP14-15'!$H:$H)</f>
        <v>0</v>
      </c>
      <c r="L13" s="69">
        <f ca="1">SUMIF('CAP16-18'!$B:$H,Insumo[[#This Row],[DESCRIPCION]],'CAP16-18'!$H:$H)</f>
        <v>0</v>
      </c>
      <c r="M13" s="69">
        <f ca="1">SUMIF('CAP19-22'!$B:$H,Insumo[[#This Row],[DESCRIPCION]],'CAP19-22'!$H:$H)</f>
        <v>0</v>
      </c>
      <c r="N13" s="69">
        <f ca="1">SUMIF('CAP23-24'!$B:$H,Insumo[[#This Row],[DESCRIPCION]],'CAP23-24'!$H:$H)</f>
        <v>0</v>
      </c>
      <c r="O13" s="69">
        <f ca="1">SUMIF('CAP25'!$B:$H,Insumo[[#This Row],[DESCRIPCION]],'CAP25'!$H:$H)</f>
        <v>0</v>
      </c>
      <c r="P13" s="69">
        <f ca="1">SUMIF('CAP26-28'!$B:$H,Insumo[[#This Row],[DESCRIPCION]],'CAP26-28'!$H:$H)</f>
        <v>0</v>
      </c>
      <c r="Q13" s="69">
        <f ca="1">SUMIF('CAP29'!$B:$H,Insumo[[#This Row],[DESCRIPCION]],'CAP29'!$H:$H)</f>
        <v>0</v>
      </c>
      <c r="R13" s="290"/>
      <c r="T13" s="136">
        <v>72000</v>
      </c>
    </row>
    <row r="14" spans="1:20">
      <c r="A14" s="301" t="s">
        <v>2612</v>
      </c>
      <c r="B14" s="303" t="s">
        <v>23</v>
      </c>
      <c r="C14" s="304">
        <f t="shared" si="0"/>
        <v>88200</v>
      </c>
      <c r="D14" s="281" cm="1">
        <f t="array" aca="1" ref="D14" ca="1">IF(Insumo[[#This Row],[VALOR]]=0,Insumo[TOTAL],E14/C14)</f>
        <v>0</v>
      </c>
      <c r="E14" s="69">
        <f ca="1">SUM(Insumo[[#This Row],[CAP1-3]:[CAP29]])</f>
        <v>0</v>
      </c>
      <c r="F14" s="69">
        <f ca="1">SUMIF('CAP1-3'!$B:$H,Insumo[[#This Row],[DESCRIPCION]],'CAP1-3'!$H:$H)</f>
        <v>0</v>
      </c>
      <c r="G14" s="69">
        <f ca="1">SUMIF('CAP4-5'!$B:$H,Insumo[[#This Row],[DESCRIPCION]],'CAP4-5'!$H:$H)</f>
        <v>0</v>
      </c>
      <c r="H14" s="69">
        <f ca="1">SUMIF('CAP6-7'!$B:$H,Insumo[[#This Row],[DESCRIPCION]],'CAP6-7'!$H:$H)</f>
        <v>0</v>
      </c>
      <c r="I14" s="69">
        <f ca="1">SUMIF('CAP8'!$B:$H,Insumo[[#This Row],[DESCRIPCION]],'CAP8'!$H:$H)</f>
        <v>0</v>
      </c>
      <c r="J14" s="69">
        <f ca="1">SUMIF('CAP9-13'!$B:$H,Insumo[[#This Row],[DESCRIPCION]],'CAP9-13'!$H:$H)</f>
        <v>0</v>
      </c>
      <c r="K14" s="69">
        <f ca="1">SUMIF('CAP14-15'!$B:$H,Insumo[[#This Row],[DESCRIPCION]],'CAP14-15'!$H:$H)</f>
        <v>0</v>
      </c>
      <c r="L14" s="69">
        <f ca="1">SUMIF('CAP16-18'!$B:$H,Insumo[[#This Row],[DESCRIPCION]],'CAP16-18'!$H:$H)</f>
        <v>0</v>
      </c>
      <c r="M14" s="69">
        <f ca="1">SUMIF('CAP19-22'!$B:$H,Insumo[[#This Row],[DESCRIPCION]],'CAP19-22'!$H:$H)</f>
        <v>0</v>
      </c>
      <c r="N14" s="69">
        <f ca="1">SUMIF('CAP23-24'!$B:$H,Insumo[[#This Row],[DESCRIPCION]],'CAP23-24'!$H:$H)</f>
        <v>0</v>
      </c>
      <c r="O14" s="69">
        <f ca="1">SUMIF('CAP25'!$B:$H,Insumo[[#This Row],[DESCRIPCION]],'CAP25'!$H:$H)</f>
        <v>0</v>
      </c>
      <c r="P14" s="69">
        <f ca="1">SUMIF('CAP26-28'!$B:$H,Insumo[[#This Row],[DESCRIPCION]],'CAP26-28'!$H:$H)</f>
        <v>0</v>
      </c>
      <c r="Q14" s="69">
        <f ca="1">SUMIF('CAP29'!$B:$H,Insumo[[#This Row],[DESCRIPCION]],'CAP29'!$H:$H)</f>
        <v>0</v>
      </c>
      <c r="R14" s="290"/>
      <c r="T14" s="136">
        <v>84000</v>
      </c>
    </row>
    <row r="15" spans="1:20">
      <c r="A15" s="301" t="s">
        <v>2613</v>
      </c>
      <c r="B15" s="303" t="s">
        <v>23</v>
      </c>
      <c r="C15" s="304">
        <f t="shared" si="0"/>
        <v>98280</v>
      </c>
      <c r="D15" s="281" cm="1">
        <f t="array" aca="1" ref="D15" ca="1">IF(Insumo[[#This Row],[VALOR]]=0,Insumo[TOTAL],E15/C15)</f>
        <v>0</v>
      </c>
      <c r="E15" s="69">
        <f ca="1">SUM(Insumo[[#This Row],[CAP1-3]:[CAP29]])</f>
        <v>0</v>
      </c>
      <c r="F15" s="69">
        <f ca="1">SUMIF('CAP1-3'!$B:$H,Insumo[[#This Row],[DESCRIPCION]],'CAP1-3'!$H:$H)</f>
        <v>0</v>
      </c>
      <c r="G15" s="69">
        <f ca="1">SUMIF('CAP4-5'!$B:$H,Insumo[[#This Row],[DESCRIPCION]],'CAP4-5'!$H:$H)</f>
        <v>0</v>
      </c>
      <c r="H15" s="69">
        <f ca="1">SUMIF('CAP6-7'!$B:$H,Insumo[[#This Row],[DESCRIPCION]],'CAP6-7'!$H:$H)</f>
        <v>0</v>
      </c>
      <c r="I15" s="69">
        <f ca="1">SUMIF('CAP8'!$B:$H,Insumo[[#This Row],[DESCRIPCION]],'CAP8'!$H:$H)</f>
        <v>0</v>
      </c>
      <c r="J15" s="69">
        <f ca="1">SUMIF('CAP9-13'!$B:$H,Insumo[[#This Row],[DESCRIPCION]],'CAP9-13'!$H:$H)</f>
        <v>0</v>
      </c>
      <c r="K15" s="69">
        <f ca="1">SUMIF('CAP14-15'!$B:$H,Insumo[[#This Row],[DESCRIPCION]],'CAP14-15'!$H:$H)</f>
        <v>0</v>
      </c>
      <c r="L15" s="69">
        <f ca="1">SUMIF('CAP16-18'!$B:$H,Insumo[[#This Row],[DESCRIPCION]],'CAP16-18'!$H:$H)</f>
        <v>0</v>
      </c>
      <c r="M15" s="69">
        <f ca="1">SUMIF('CAP19-22'!$B:$H,Insumo[[#This Row],[DESCRIPCION]],'CAP19-22'!$H:$H)</f>
        <v>0</v>
      </c>
      <c r="N15" s="69">
        <f ca="1">SUMIF('CAP23-24'!$B:$H,Insumo[[#This Row],[DESCRIPCION]],'CAP23-24'!$H:$H)</f>
        <v>0</v>
      </c>
      <c r="O15" s="69">
        <f ca="1">SUMIF('CAP25'!$B:$H,Insumo[[#This Row],[DESCRIPCION]],'CAP25'!$H:$H)</f>
        <v>0</v>
      </c>
      <c r="P15" s="69">
        <f ca="1">SUMIF('CAP26-28'!$B:$H,Insumo[[#This Row],[DESCRIPCION]],'CAP26-28'!$H:$H)</f>
        <v>0</v>
      </c>
      <c r="Q15" s="69">
        <f ca="1">SUMIF('CAP29'!$B:$H,Insumo[[#This Row],[DESCRIPCION]],'CAP29'!$H:$H)</f>
        <v>0</v>
      </c>
      <c r="R15" s="290"/>
      <c r="T15" s="136">
        <v>93600</v>
      </c>
    </row>
    <row r="16" spans="1:20">
      <c r="A16" s="301" t="s">
        <v>2614</v>
      </c>
      <c r="B16" s="303" t="s">
        <v>23</v>
      </c>
      <c r="C16" s="304">
        <f t="shared" si="0"/>
        <v>107100</v>
      </c>
      <c r="D16" s="281" cm="1">
        <f t="array" aca="1" ref="D16" ca="1">IF(Insumo[[#This Row],[VALOR]]=0,Insumo[TOTAL],E16/C16)</f>
        <v>0</v>
      </c>
      <c r="E16" s="69">
        <f ca="1">SUM(Insumo[[#This Row],[CAP1-3]:[CAP29]])</f>
        <v>0</v>
      </c>
      <c r="F16" s="69">
        <f ca="1">SUMIF('CAP1-3'!$B:$H,Insumo[[#This Row],[DESCRIPCION]],'CAP1-3'!$H:$H)</f>
        <v>0</v>
      </c>
      <c r="G16" s="69">
        <f ca="1">SUMIF('CAP4-5'!$B:$H,Insumo[[#This Row],[DESCRIPCION]],'CAP4-5'!$H:$H)</f>
        <v>0</v>
      </c>
      <c r="H16" s="69">
        <f ca="1">SUMIF('CAP6-7'!$B:$H,Insumo[[#This Row],[DESCRIPCION]],'CAP6-7'!$H:$H)</f>
        <v>0</v>
      </c>
      <c r="I16" s="69">
        <f ca="1">SUMIF('CAP8'!$B:$H,Insumo[[#This Row],[DESCRIPCION]],'CAP8'!$H:$H)</f>
        <v>0</v>
      </c>
      <c r="J16" s="69">
        <f ca="1">SUMIF('CAP9-13'!$B:$H,Insumo[[#This Row],[DESCRIPCION]],'CAP9-13'!$H:$H)</f>
        <v>0</v>
      </c>
      <c r="K16" s="69">
        <f ca="1">SUMIF('CAP14-15'!$B:$H,Insumo[[#This Row],[DESCRIPCION]],'CAP14-15'!$H:$H)</f>
        <v>0</v>
      </c>
      <c r="L16" s="69">
        <f ca="1">SUMIF('CAP16-18'!$B:$H,Insumo[[#This Row],[DESCRIPCION]],'CAP16-18'!$H:$H)</f>
        <v>0</v>
      </c>
      <c r="M16" s="69">
        <f ca="1">SUMIF('CAP19-22'!$B:$H,Insumo[[#This Row],[DESCRIPCION]],'CAP19-22'!$H:$H)</f>
        <v>0</v>
      </c>
      <c r="N16" s="69">
        <f ca="1">SUMIF('CAP23-24'!$B:$H,Insumo[[#This Row],[DESCRIPCION]],'CAP23-24'!$H:$H)</f>
        <v>0</v>
      </c>
      <c r="O16" s="69">
        <f ca="1">SUMIF('CAP25'!$B:$H,Insumo[[#This Row],[DESCRIPCION]],'CAP25'!$H:$H)</f>
        <v>0</v>
      </c>
      <c r="P16" s="69">
        <f ca="1">SUMIF('CAP26-28'!$B:$H,Insumo[[#This Row],[DESCRIPCION]],'CAP26-28'!$H:$H)</f>
        <v>0</v>
      </c>
      <c r="Q16" s="69">
        <f ca="1">SUMIF('CAP29'!$B:$H,Insumo[[#This Row],[DESCRIPCION]],'CAP29'!$H:$H)</f>
        <v>0</v>
      </c>
      <c r="R16" s="290"/>
      <c r="T16" s="136">
        <v>102000</v>
      </c>
    </row>
    <row r="17" spans="1:20">
      <c r="A17" s="301" t="s">
        <v>2615</v>
      </c>
      <c r="B17" s="303" t="s">
        <v>23</v>
      </c>
      <c r="C17" s="304">
        <f t="shared" si="0"/>
        <v>52500</v>
      </c>
      <c r="D17" s="281" cm="1">
        <f t="array" aca="1" ref="D17" ca="1">IF(Insumo[[#This Row],[VALOR]]=0,Insumo[TOTAL],E17/C17)</f>
        <v>0</v>
      </c>
      <c r="E17" s="69">
        <f ca="1">SUM(Insumo[[#This Row],[CAP1-3]:[CAP29]])</f>
        <v>0</v>
      </c>
      <c r="F17" s="69">
        <f ca="1">SUMIF('CAP1-3'!$B:$H,Insumo[[#This Row],[DESCRIPCION]],'CAP1-3'!$H:$H)</f>
        <v>0</v>
      </c>
      <c r="G17" s="69">
        <f ca="1">SUMIF('CAP4-5'!$B:$H,Insumo[[#This Row],[DESCRIPCION]],'CAP4-5'!$H:$H)</f>
        <v>0</v>
      </c>
      <c r="H17" s="69">
        <f ca="1">SUMIF('CAP6-7'!$B:$H,Insumo[[#This Row],[DESCRIPCION]],'CAP6-7'!$H:$H)</f>
        <v>0</v>
      </c>
      <c r="I17" s="69">
        <f ca="1">SUMIF('CAP8'!$B:$H,Insumo[[#This Row],[DESCRIPCION]],'CAP8'!$H:$H)</f>
        <v>0</v>
      </c>
      <c r="J17" s="69">
        <f ca="1">SUMIF('CAP9-13'!$B:$H,Insumo[[#This Row],[DESCRIPCION]],'CAP9-13'!$H:$H)</f>
        <v>0</v>
      </c>
      <c r="K17" s="69">
        <f ca="1">SUMIF('CAP14-15'!$B:$H,Insumo[[#This Row],[DESCRIPCION]],'CAP14-15'!$H:$H)</f>
        <v>0</v>
      </c>
      <c r="L17" s="69">
        <f ca="1">SUMIF('CAP16-18'!$B:$H,Insumo[[#This Row],[DESCRIPCION]],'CAP16-18'!$H:$H)</f>
        <v>0</v>
      </c>
      <c r="M17" s="69">
        <f ca="1">SUMIF('CAP19-22'!$B:$H,Insumo[[#This Row],[DESCRIPCION]],'CAP19-22'!$H:$H)</f>
        <v>0</v>
      </c>
      <c r="N17" s="69">
        <f ca="1">SUMIF('CAP23-24'!$B:$H,Insumo[[#This Row],[DESCRIPCION]],'CAP23-24'!$H:$H)</f>
        <v>0</v>
      </c>
      <c r="O17" s="69">
        <f ca="1">SUMIF('CAP25'!$B:$H,Insumo[[#This Row],[DESCRIPCION]],'CAP25'!$H:$H)</f>
        <v>0</v>
      </c>
      <c r="P17" s="69">
        <f ca="1">SUMIF('CAP26-28'!$B:$H,Insumo[[#This Row],[DESCRIPCION]],'CAP26-28'!$H:$H)</f>
        <v>0</v>
      </c>
      <c r="Q17" s="69">
        <f ca="1">SUMIF('CAP29'!$B:$H,Insumo[[#This Row],[DESCRIPCION]],'CAP29'!$H:$H)</f>
        <v>0</v>
      </c>
      <c r="R17" s="290"/>
      <c r="T17" s="136">
        <v>50000</v>
      </c>
    </row>
    <row r="18" spans="1:20">
      <c r="A18" s="301" t="s">
        <v>2616</v>
      </c>
      <c r="B18" s="303" t="s">
        <v>23</v>
      </c>
      <c r="C18" s="304">
        <f t="shared" si="0"/>
        <v>60900</v>
      </c>
      <c r="D18" s="281" cm="1">
        <f t="array" aca="1" ref="D18" ca="1">IF(Insumo[[#This Row],[VALOR]]=0,Insumo[TOTAL],E18/C18)</f>
        <v>0</v>
      </c>
      <c r="E18" s="69">
        <f ca="1">SUM(Insumo[[#This Row],[CAP1-3]:[CAP29]])</f>
        <v>0</v>
      </c>
      <c r="F18" s="69">
        <f ca="1">SUMIF('CAP1-3'!$B:$H,Insumo[[#This Row],[DESCRIPCION]],'CAP1-3'!$H:$H)</f>
        <v>0</v>
      </c>
      <c r="G18" s="69">
        <f ca="1">SUMIF('CAP4-5'!$B:$H,Insumo[[#This Row],[DESCRIPCION]],'CAP4-5'!$H:$H)</f>
        <v>0</v>
      </c>
      <c r="H18" s="69">
        <f ca="1">SUMIF('CAP6-7'!$B:$H,Insumo[[#This Row],[DESCRIPCION]],'CAP6-7'!$H:$H)</f>
        <v>0</v>
      </c>
      <c r="I18" s="69">
        <f ca="1">SUMIF('CAP8'!$B:$H,Insumo[[#This Row],[DESCRIPCION]],'CAP8'!$H:$H)</f>
        <v>0</v>
      </c>
      <c r="J18" s="69">
        <f ca="1">SUMIF('CAP9-13'!$B:$H,Insumo[[#This Row],[DESCRIPCION]],'CAP9-13'!$H:$H)</f>
        <v>0</v>
      </c>
      <c r="K18" s="69">
        <f ca="1">SUMIF('CAP14-15'!$B:$H,Insumo[[#This Row],[DESCRIPCION]],'CAP14-15'!$H:$H)</f>
        <v>0</v>
      </c>
      <c r="L18" s="69">
        <f ca="1">SUMIF('CAP16-18'!$B:$H,Insumo[[#This Row],[DESCRIPCION]],'CAP16-18'!$H:$H)</f>
        <v>0</v>
      </c>
      <c r="M18" s="69">
        <f ca="1">SUMIF('CAP19-22'!$B:$H,Insumo[[#This Row],[DESCRIPCION]],'CAP19-22'!$H:$H)</f>
        <v>0</v>
      </c>
      <c r="N18" s="69">
        <f ca="1">SUMIF('CAP23-24'!$B:$H,Insumo[[#This Row],[DESCRIPCION]],'CAP23-24'!$H:$H)</f>
        <v>0</v>
      </c>
      <c r="O18" s="69">
        <f ca="1">SUMIF('CAP25'!$B:$H,Insumo[[#This Row],[DESCRIPCION]],'CAP25'!$H:$H)</f>
        <v>0</v>
      </c>
      <c r="P18" s="69">
        <f ca="1">SUMIF('CAP26-28'!$B:$H,Insumo[[#This Row],[DESCRIPCION]],'CAP26-28'!$H:$H)</f>
        <v>0</v>
      </c>
      <c r="Q18" s="69">
        <f ca="1">SUMIF('CAP29'!$B:$H,Insumo[[#This Row],[DESCRIPCION]],'CAP29'!$H:$H)</f>
        <v>0</v>
      </c>
      <c r="R18" s="290"/>
      <c r="T18" s="136">
        <v>58000</v>
      </c>
    </row>
    <row r="19" spans="1:20">
      <c r="A19" s="301" t="s">
        <v>2617</v>
      </c>
      <c r="B19" s="303" t="s">
        <v>23</v>
      </c>
      <c r="C19" s="304">
        <f t="shared" si="0"/>
        <v>67200</v>
      </c>
      <c r="D19" s="281" cm="1">
        <f t="array" aca="1" ref="D19" ca="1">IF(Insumo[[#This Row],[VALOR]]=0,Insumo[TOTAL],E19/C19)</f>
        <v>0</v>
      </c>
      <c r="E19" s="69">
        <f ca="1">SUM(Insumo[[#This Row],[CAP1-3]:[CAP29]])</f>
        <v>0</v>
      </c>
      <c r="F19" s="69">
        <f ca="1">SUMIF('CAP1-3'!$B:$H,Insumo[[#This Row],[DESCRIPCION]],'CAP1-3'!$H:$H)</f>
        <v>0</v>
      </c>
      <c r="G19" s="69">
        <f ca="1">SUMIF('CAP4-5'!$B:$H,Insumo[[#This Row],[DESCRIPCION]],'CAP4-5'!$H:$H)</f>
        <v>0</v>
      </c>
      <c r="H19" s="69">
        <f ca="1">SUMIF('CAP6-7'!$B:$H,Insumo[[#This Row],[DESCRIPCION]],'CAP6-7'!$H:$H)</f>
        <v>0</v>
      </c>
      <c r="I19" s="69">
        <f ca="1">SUMIF('CAP8'!$B:$H,Insumo[[#This Row],[DESCRIPCION]],'CAP8'!$H:$H)</f>
        <v>0</v>
      </c>
      <c r="J19" s="69">
        <f ca="1">SUMIF('CAP9-13'!$B:$H,Insumo[[#This Row],[DESCRIPCION]],'CAP9-13'!$H:$H)</f>
        <v>0</v>
      </c>
      <c r="K19" s="69">
        <f ca="1">SUMIF('CAP14-15'!$B:$H,Insumo[[#This Row],[DESCRIPCION]],'CAP14-15'!$H:$H)</f>
        <v>0</v>
      </c>
      <c r="L19" s="69">
        <f ca="1">SUMIF('CAP16-18'!$B:$H,Insumo[[#This Row],[DESCRIPCION]],'CAP16-18'!$H:$H)</f>
        <v>0</v>
      </c>
      <c r="M19" s="69">
        <f ca="1">SUMIF('CAP19-22'!$B:$H,Insumo[[#This Row],[DESCRIPCION]],'CAP19-22'!$H:$H)</f>
        <v>0</v>
      </c>
      <c r="N19" s="69">
        <f ca="1">SUMIF('CAP23-24'!$B:$H,Insumo[[#This Row],[DESCRIPCION]],'CAP23-24'!$H:$H)</f>
        <v>0</v>
      </c>
      <c r="O19" s="69">
        <f ca="1">SUMIF('CAP25'!$B:$H,Insumo[[#This Row],[DESCRIPCION]],'CAP25'!$H:$H)</f>
        <v>0</v>
      </c>
      <c r="P19" s="69">
        <f ca="1">SUMIF('CAP26-28'!$B:$H,Insumo[[#This Row],[DESCRIPCION]],'CAP26-28'!$H:$H)</f>
        <v>0</v>
      </c>
      <c r="Q19" s="69">
        <f ca="1">SUMIF('CAP29'!$B:$H,Insumo[[#This Row],[DESCRIPCION]],'CAP29'!$H:$H)</f>
        <v>0</v>
      </c>
      <c r="R19" s="290"/>
      <c r="T19" s="136">
        <v>64000</v>
      </c>
    </row>
    <row r="20" spans="1:20">
      <c r="A20" s="301" t="s">
        <v>2618</v>
      </c>
      <c r="B20" s="303" t="s">
        <v>23</v>
      </c>
      <c r="C20" s="304">
        <f t="shared" si="0"/>
        <v>87150</v>
      </c>
      <c r="D20" s="281" cm="1">
        <f t="array" aca="1" ref="D20" ca="1">IF(Insumo[[#This Row],[VALOR]]=0,Insumo[TOTAL],E20/C20)</f>
        <v>0</v>
      </c>
      <c r="E20" s="69">
        <f ca="1">SUM(Insumo[[#This Row],[CAP1-3]:[CAP29]])</f>
        <v>0</v>
      </c>
      <c r="F20" s="69">
        <f ca="1">SUMIF('CAP1-3'!$B:$H,Insumo[[#This Row],[DESCRIPCION]],'CAP1-3'!$H:$H)</f>
        <v>0</v>
      </c>
      <c r="G20" s="69">
        <f ca="1">SUMIF('CAP4-5'!$B:$H,Insumo[[#This Row],[DESCRIPCION]],'CAP4-5'!$H:$H)</f>
        <v>0</v>
      </c>
      <c r="H20" s="69">
        <f ca="1">SUMIF('CAP6-7'!$B:$H,Insumo[[#This Row],[DESCRIPCION]],'CAP6-7'!$H:$H)</f>
        <v>0</v>
      </c>
      <c r="I20" s="69">
        <f ca="1">SUMIF('CAP8'!$B:$H,Insumo[[#This Row],[DESCRIPCION]],'CAP8'!$H:$H)</f>
        <v>0</v>
      </c>
      <c r="J20" s="69">
        <f ca="1">SUMIF('CAP9-13'!$B:$H,Insumo[[#This Row],[DESCRIPCION]],'CAP9-13'!$H:$H)</f>
        <v>0</v>
      </c>
      <c r="K20" s="69">
        <f ca="1">SUMIF('CAP14-15'!$B:$H,Insumo[[#This Row],[DESCRIPCION]],'CAP14-15'!$H:$H)</f>
        <v>0</v>
      </c>
      <c r="L20" s="69">
        <f ca="1">SUMIF('CAP16-18'!$B:$H,Insumo[[#This Row],[DESCRIPCION]],'CAP16-18'!$H:$H)</f>
        <v>0</v>
      </c>
      <c r="M20" s="69">
        <f ca="1">SUMIF('CAP19-22'!$B:$H,Insumo[[#This Row],[DESCRIPCION]],'CAP19-22'!$H:$H)</f>
        <v>0</v>
      </c>
      <c r="N20" s="69">
        <f ca="1">SUMIF('CAP23-24'!$B:$H,Insumo[[#This Row],[DESCRIPCION]],'CAP23-24'!$H:$H)</f>
        <v>0</v>
      </c>
      <c r="O20" s="69">
        <f ca="1">SUMIF('CAP25'!$B:$H,Insumo[[#This Row],[DESCRIPCION]],'CAP25'!$H:$H)</f>
        <v>0</v>
      </c>
      <c r="P20" s="69">
        <f ca="1">SUMIF('CAP26-28'!$B:$H,Insumo[[#This Row],[DESCRIPCION]],'CAP26-28'!$H:$H)</f>
        <v>0</v>
      </c>
      <c r="Q20" s="69">
        <f ca="1">SUMIF('CAP29'!$B:$H,Insumo[[#This Row],[DESCRIPCION]],'CAP29'!$H:$H)</f>
        <v>0</v>
      </c>
      <c r="R20" s="290"/>
      <c r="T20" s="136">
        <v>83000</v>
      </c>
    </row>
    <row r="21" spans="1:20">
      <c r="A21" s="301" t="s">
        <v>2619</v>
      </c>
      <c r="B21" s="303" t="s">
        <v>23</v>
      </c>
      <c r="C21" s="304">
        <f t="shared" si="0"/>
        <v>99750</v>
      </c>
      <c r="D21" s="281" cm="1">
        <f t="array" aca="1" ref="D21" ca="1">IF(Insumo[[#This Row],[VALOR]]=0,Insumo[TOTAL],E21/C21)</f>
        <v>0</v>
      </c>
      <c r="E21" s="69">
        <f ca="1">SUM(Insumo[[#This Row],[CAP1-3]:[CAP29]])</f>
        <v>0</v>
      </c>
      <c r="F21" s="69">
        <f ca="1">SUMIF('CAP1-3'!$B:$H,Insumo[[#This Row],[DESCRIPCION]],'CAP1-3'!$H:$H)</f>
        <v>0</v>
      </c>
      <c r="G21" s="69">
        <f ca="1">SUMIF('CAP4-5'!$B:$H,Insumo[[#This Row],[DESCRIPCION]],'CAP4-5'!$H:$H)</f>
        <v>0</v>
      </c>
      <c r="H21" s="69">
        <f ca="1">SUMIF('CAP6-7'!$B:$H,Insumo[[#This Row],[DESCRIPCION]],'CAP6-7'!$H:$H)</f>
        <v>0</v>
      </c>
      <c r="I21" s="69">
        <f ca="1">SUMIF('CAP8'!$B:$H,Insumo[[#This Row],[DESCRIPCION]],'CAP8'!$H:$H)</f>
        <v>0</v>
      </c>
      <c r="J21" s="69">
        <f ca="1">SUMIF('CAP9-13'!$B:$H,Insumo[[#This Row],[DESCRIPCION]],'CAP9-13'!$H:$H)</f>
        <v>0</v>
      </c>
      <c r="K21" s="69">
        <f ca="1">SUMIF('CAP14-15'!$B:$H,Insumo[[#This Row],[DESCRIPCION]],'CAP14-15'!$H:$H)</f>
        <v>0</v>
      </c>
      <c r="L21" s="69">
        <f ca="1">SUMIF('CAP16-18'!$B:$H,Insumo[[#This Row],[DESCRIPCION]],'CAP16-18'!$H:$H)</f>
        <v>0</v>
      </c>
      <c r="M21" s="69">
        <f ca="1">SUMIF('CAP19-22'!$B:$H,Insumo[[#This Row],[DESCRIPCION]],'CAP19-22'!$H:$H)</f>
        <v>0</v>
      </c>
      <c r="N21" s="69">
        <f ca="1">SUMIF('CAP23-24'!$B:$H,Insumo[[#This Row],[DESCRIPCION]],'CAP23-24'!$H:$H)</f>
        <v>0</v>
      </c>
      <c r="O21" s="69">
        <f ca="1">SUMIF('CAP25'!$B:$H,Insumo[[#This Row],[DESCRIPCION]],'CAP25'!$H:$H)</f>
        <v>0</v>
      </c>
      <c r="P21" s="69">
        <f ca="1">SUMIF('CAP26-28'!$B:$H,Insumo[[#This Row],[DESCRIPCION]],'CAP26-28'!$H:$H)</f>
        <v>0</v>
      </c>
      <c r="Q21" s="69">
        <f ca="1">SUMIF('CAP29'!$B:$H,Insumo[[#This Row],[DESCRIPCION]],'CAP29'!$H:$H)</f>
        <v>0</v>
      </c>
      <c r="R21" s="290"/>
      <c r="T21" s="136">
        <v>95000</v>
      </c>
    </row>
    <row r="22" spans="1:20">
      <c r="A22" s="301" t="s">
        <v>2620</v>
      </c>
      <c r="B22" s="303" t="s">
        <v>23</v>
      </c>
      <c r="C22" s="304">
        <f t="shared" si="0"/>
        <v>6238.05</v>
      </c>
      <c r="D22" s="281" cm="1">
        <f t="array" aca="1" ref="D22" ca="1">IF(Insumo[[#This Row],[VALOR]]=0,Insumo[TOTAL],E22/C22)</f>
        <v>0</v>
      </c>
      <c r="E22" s="69">
        <f ca="1">SUM(Insumo[[#This Row],[CAP1-3]:[CAP29]])</f>
        <v>0</v>
      </c>
      <c r="F22" s="69">
        <f ca="1">SUMIF('CAP1-3'!$B:$H,Insumo[[#This Row],[DESCRIPCION]],'CAP1-3'!$H:$H)</f>
        <v>0</v>
      </c>
      <c r="G22" s="69">
        <f ca="1">SUMIF('CAP4-5'!$B:$H,Insumo[[#This Row],[DESCRIPCION]],'CAP4-5'!$H:$H)</f>
        <v>0</v>
      </c>
      <c r="H22" s="69">
        <f ca="1">SUMIF('CAP6-7'!$B:$H,Insumo[[#This Row],[DESCRIPCION]],'CAP6-7'!$H:$H)</f>
        <v>0</v>
      </c>
      <c r="I22" s="69">
        <f ca="1">SUMIF('CAP8'!$B:$H,Insumo[[#This Row],[DESCRIPCION]],'CAP8'!$H:$H)</f>
        <v>0</v>
      </c>
      <c r="J22" s="69">
        <f ca="1">SUMIF('CAP9-13'!$B:$H,Insumo[[#This Row],[DESCRIPCION]],'CAP9-13'!$H:$H)</f>
        <v>0</v>
      </c>
      <c r="K22" s="69">
        <f ca="1">SUMIF('CAP14-15'!$B:$H,Insumo[[#This Row],[DESCRIPCION]],'CAP14-15'!$H:$H)</f>
        <v>0</v>
      </c>
      <c r="L22" s="69">
        <f ca="1">SUMIF('CAP16-18'!$B:$H,Insumo[[#This Row],[DESCRIPCION]],'CAP16-18'!$H:$H)</f>
        <v>0</v>
      </c>
      <c r="M22" s="69">
        <f ca="1">SUMIF('CAP19-22'!$B:$H,Insumo[[#This Row],[DESCRIPCION]],'CAP19-22'!$H:$H)</f>
        <v>0</v>
      </c>
      <c r="N22" s="69">
        <f ca="1">SUMIF('CAP23-24'!$B:$H,Insumo[[#This Row],[DESCRIPCION]],'CAP23-24'!$H:$H)</f>
        <v>0</v>
      </c>
      <c r="O22" s="69">
        <f ca="1">SUMIF('CAP25'!$B:$H,Insumo[[#This Row],[DESCRIPCION]],'CAP25'!$H:$H)</f>
        <v>0</v>
      </c>
      <c r="P22" s="69">
        <f ca="1">SUMIF('CAP26-28'!$B:$H,Insumo[[#This Row],[DESCRIPCION]],'CAP26-28'!$H:$H)</f>
        <v>0</v>
      </c>
      <c r="Q22" s="69">
        <f ca="1">SUMIF('CAP29'!$B:$H,Insumo[[#This Row],[DESCRIPCION]],'CAP29'!$H:$H)</f>
        <v>0</v>
      </c>
      <c r="T22" s="136">
        <v>5941</v>
      </c>
    </row>
    <row r="23" spans="1:20">
      <c r="A23" s="301" t="s">
        <v>2623</v>
      </c>
      <c r="B23" s="303" t="s">
        <v>2621</v>
      </c>
      <c r="C23" s="304">
        <f t="shared" si="0"/>
        <v>2086.35</v>
      </c>
      <c r="D23" s="281" cm="1">
        <f t="array" aca="1" ref="D23" ca="1">IF(Insumo[[#This Row],[VALOR]]=0,Insumo[TOTAL],E23/C23)</f>
        <v>0</v>
      </c>
      <c r="E23" s="69">
        <f ca="1">SUM(Insumo[[#This Row],[CAP1-3]:[CAP29]])</f>
        <v>0</v>
      </c>
      <c r="F23" s="69">
        <f ca="1">SUMIF('CAP1-3'!$B:$H,Insumo[[#This Row],[DESCRIPCION]],'CAP1-3'!$H:$H)</f>
        <v>0</v>
      </c>
      <c r="G23" s="69">
        <f ca="1">SUMIF('CAP4-5'!$B:$H,Insumo[[#This Row],[DESCRIPCION]],'CAP4-5'!$H:$H)</f>
        <v>0</v>
      </c>
      <c r="H23" s="69">
        <f ca="1">SUMIF('CAP6-7'!$B:$H,Insumo[[#This Row],[DESCRIPCION]],'CAP6-7'!$H:$H)</f>
        <v>0</v>
      </c>
      <c r="I23" s="69">
        <f ca="1">SUMIF('CAP8'!$B:$H,Insumo[[#This Row],[DESCRIPCION]],'CAP8'!$H:$H)</f>
        <v>0</v>
      </c>
      <c r="J23" s="69">
        <f ca="1">SUMIF('CAP9-13'!$B:$H,Insumo[[#This Row],[DESCRIPCION]],'CAP9-13'!$H:$H)</f>
        <v>0</v>
      </c>
      <c r="K23" s="69">
        <f ca="1">SUMIF('CAP14-15'!$B:$H,Insumo[[#This Row],[DESCRIPCION]],'CAP14-15'!$H:$H)</f>
        <v>0</v>
      </c>
      <c r="L23" s="69">
        <f ca="1">SUMIF('CAP16-18'!$B:$H,Insumo[[#This Row],[DESCRIPCION]],'CAP16-18'!$H:$H)</f>
        <v>0</v>
      </c>
      <c r="M23" s="69">
        <f ca="1">SUMIF('CAP19-22'!$B:$H,Insumo[[#This Row],[DESCRIPCION]],'CAP19-22'!$H:$H)</f>
        <v>0</v>
      </c>
      <c r="N23" s="69">
        <f ca="1">SUMIF('CAP23-24'!$B:$H,Insumo[[#This Row],[DESCRIPCION]],'CAP23-24'!$H:$H)</f>
        <v>0</v>
      </c>
      <c r="O23" s="69">
        <f ca="1">SUMIF('CAP25'!$B:$H,Insumo[[#This Row],[DESCRIPCION]],'CAP25'!$H:$H)</f>
        <v>0</v>
      </c>
      <c r="P23" s="69">
        <f ca="1">SUMIF('CAP26-28'!$B:$H,Insumo[[#This Row],[DESCRIPCION]],'CAP26-28'!$H:$H)</f>
        <v>0</v>
      </c>
      <c r="Q23" s="69">
        <f ca="1">SUMIF('CAP29'!$B:$H,Insumo[[#This Row],[DESCRIPCION]],'CAP29'!$H:$H)</f>
        <v>0</v>
      </c>
      <c r="R23" s="136" t="s">
        <v>2622</v>
      </c>
      <c r="T23" s="136">
        <v>1987</v>
      </c>
    </row>
    <row r="24" spans="1:20">
      <c r="A24" s="301" t="s">
        <v>2624</v>
      </c>
      <c r="B24" s="303" t="s">
        <v>23</v>
      </c>
      <c r="C24" s="304">
        <f t="shared" si="0"/>
        <v>35906.85</v>
      </c>
      <c r="D24" s="281" cm="1">
        <f t="array" aca="1" ref="D24" ca="1">IF(Insumo[[#This Row],[VALOR]]=0,Insumo[TOTAL],E24/C24)</f>
        <v>0</v>
      </c>
      <c r="E24" s="69">
        <f ca="1">SUM(Insumo[[#This Row],[CAP1-3]:[CAP29]])</f>
        <v>0</v>
      </c>
      <c r="F24" s="69">
        <f ca="1">SUMIF('CAP1-3'!$B:$H,Insumo[[#This Row],[DESCRIPCION]],'CAP1-3'!$H:$H)</f>
        <v>0</v>
      </c>
      <c r="G24" s="69">
        <f ca="1">SUMIF('CAP4-5'!$B:$H,Insumo[[#This Row],[DESCRIPCION]],'CAP4-5'!$H:$H)</f>
        <v>0</v>
      </c>
      <c r="H24" s="69">
        <f ca="1">SUMIF('CAP6-7'!$B:$H,Insumo[[#This Row],[DESCRIPCION]],'CAP6-7'!$H:$H)</f>
        <v>0</v>
      </c>
      <c r="I24" s="69">
        <f ca="1">SUMIF('CAP8'!$B:$H,Insumo[[#This Row],[DESCRIPCION]],'CAP8'!$H:$H)</f>
        <v>0</v>
      </c>
      <c r="J24" s="69">
        <f ca="1">SUMIF('CAP9-13'!$B:$H,Insumo[[#This Row],[DESCRIPCION]],'CAP9-13'!$H:$H)</f>
        <v>0</v>
      </c>
      <c r="K24" s="69">
        <f ca="1">SUMIF('CAP14-15'!$B:$H,Insumo[[#This Row],[DESCRIPCION]],'CAP14-15'!$H:$H)</f>
        <v>0</v>
      </c>
      <c r="L24" s="69">
        <f ca="1">SUMIF('CAP16-18'!$B:$H,Insumo[[#This Row],[DESCRIPCION]],'CAP16-18'!$H:$H)</f>
        <v>0</v>
      </c>
      <c r="M24" s="69">
        <f ca="1">SUMIF('CAP19-22'!$B:$H,Insumo[[#This Row],[DESCRIPCION]],'CAP19-22'!$H:$H)</f>
        <v>0</v>
      </c>
      <c r="N24" s="69">
        <f ca="1">SUMIF('CAP23-24'!$B:$H,Insumo[[#This Row],[DESCRIPCION]],'CAP23-24'!$H:$H)</f>
        <v>0</v>
      </c>
      <c r="O24" s="69">
        <f ca="1">SUMIF('CAP25'!$B:$H,Insumo[[#This Row],[DESCRIPCION]],'CAP25'!$H:$H)</f>
        <v>0</v>
      </c>
      <c r="P24" s="69">
        <f ca="1">SUMIF('CAP26-28'!$B:$H,Insumo[[#This Row],[DESCRIPCION]],'CAP26-28'!$H:$H)</f>
        <v>0</v>
      </c>
      <c r="Q24" s="69">
        <f ca="1">SUMIF('CAP29'!$B:$H,Insumo[[#This Row],[DESCRIPCION]],'CAP29'!$H:$H)</f>
        <v>0</v>
      </c>
      <c r="R24" s="136" t="s">
        <v>2622</v>
      </c>
      <c r="T24" s="136">
        <v>34197</v>
      </c>
    </row>
    <row r="25" spans="1:20">
      <c r="A25" s="301" t="s">
        <v>2625</v>
      </c>
      <c r="B25" s="303" t="s">
        <v>23</v>
      </c>
      <c r="C25" s="304">
        <f t="shared" si="0"/>
        <v>3488.1000000000004</v>
      </c>
      <c r="D25" s="281" cm="1">
        <f t="array" aca="1" ref="D25" ca="1">IF(Insumo[[#This Row],[VALOR]]=0,Insumo[TOTAL],E25/C25)</f>
        <v>0</v>
      </c>
      <c r="E25" s="69">
        <f ca="1">SUM(Insumo[[#This Row],[CAP1-3]:[CAP29]])</f>
        <v>0</v>
      </c>
      <c r="F25" s="69">
        <f ca="1">SUMIF('CAP1-3'!$B:$H,Insumo[[#This Row],[DESCRIPCION]],'CAP1-3'!$H:$H)</f>
        <v>0</v>
      </c>
      <c r="G25" s="69">
        <f ca="1">SUMIF('CAP4-5'!$B:$H,Insumo[[#This Row],[DESCRIPCION]],'CAP4-5'!$H:$H)</f>
        <v>0</v>
      </c>
      <c r="H25" s="69">
        <f ca="1">SUMIF('CAP6-7'!$B:$H,Insumo[[#This Row],[DESCRIPCION]],'CAP6-7'!$H:$H)</f>
        <v>0</v>
      </c>
      <c r="I25" s="69">
        <f ca="1">SUMIF('CAP8'!$B:$H,Insumo[[#This Row],[DESCRIPCION]],'CAP8'!$H:$H)</f>
        <v>0</v>
      </c>
      <c r="J25" s="69">
        <f ca="1">SUMIF('CAP9-13'!$B:$H,Insumo[[#This Row],[DESCRIPCION]],'CAP9-13'!$H:$H)</f>
        <v>0</v>
      </c>
      <c r="K25" s="69">
        <f ca="1">SUMIF('CAP14-15'!$B:$H,Insumo[[#This Row],[DESCRIPCION]],'CAP14-15'!$H:$H)</f>
        <v>0</v>
      </c>
      <c r="L25" s="69">
        <f ca="1">SUMIF('CAP16-18'!$B:$H,Insumo[[#This Row],[DESCRIPCION]],'CAP16-18'!$H:$H)</f>
        <v>0</v>
      </c>
      <c r="M25" s="69">
        <f ca="1">SUMIF('CAP19-22'!$B:$H,Insumo[[#This Row],[DESCRIPCION]],'CAP19-22'!$H:$H)</f>
        <v>0</v>
      </c>
      <c r="N25" s="69">
        <f ca="1">SUMIF('CAP23-24'!$B:$H,Insumo[[#This Row],[DESCRIPCION]],'CAP23-24'!$H:$H)</f>
        <v>0</v>
      </c>
      <c r="O25" s="69">
        <f ca="1">SUMIF('CAP25'!$B:$H,Insumo[[#This Row],[DESCRIPCION]],'CAP25'!$H:$H)</f>
        <v>0</v>
      </c>
      <c r="P25" s="69">
        <f ca="1">SUMIF('CAP26-28'!$B:$H,Insumo[[#This Row],[DESCRIPCION]],'CAP26-28'!$H:$H)</f>
        <v>0</v>
      </c>
      <c r="Q25" s="69">
        <f ca="1">SUMIF('CAP29'!$B:$H,Insumo[[#This Row],[DESCRIPCION]],'CAP29'!$H:$H)</f>
        <v>0</v>
      </c>
      <c r="R25" s="136" t="s">
        <v>2622</v>
      </c>
      <c r="T25" s="136">
        <v>3322</v>
      </c>
    </row>
    <row r="26" spans="1:20">
      <c r="A26" s="301" t="s">
        <v>2626</v>
      </c>
      <c r="B26" s="303" t="s">
        <v>23</v>
      </c>
      <c r="C26" s="304">
        <f t="shared" si="0"/>
        <v>5551.35</v>
      </c>
      <c r="D26" s="281" cm="1">
        <f t="array" aca="1" ref="D26" ca="1">IF(Insumo[[#This Row],[VALOR]]=0,Insumo[TOTAL],E26/C26)</f>
        <v>0</v>
      </c>
      <c r="E26" s="69">
        <f ca="1">SUM(Insumo[[#This Row],[CAP1-3]:[CAP29]])</f>
        <v>0</v>
      </c>
      <c r="F26" s="69">
        <f ca="1">SUMIF('CAP1-3'!$B:$H,Insumo[[#This Row],[DESCRIPCION]],'CAP1-3'!$H:$H)</f>
        <v>0</v>
      </c>
      <c r="G26" s="69">
        <f ca="1">SUMIF('CAP4-5'!$B:$H,Insumo[[#This Row],[DESCRIPCION]],'CAP4-5'!$H:$H)</f>
        <v>0</v>
      </c>
      <c r="H26" s="69">
        <f ca="1">SUMIF('CAP6-7'!$B:$H,Insumo[[#This Row],[DESCRIPCION]],'CAP6-7'!$H:$H)</f>
        <v>0</v>
      </c>
      <c r="I26" s="69">
        <f ca="1">SUMIF('CAP8'!$B:$H,Insumo[[#This Row],[DESCRIPCION]],'CAP8'!$H:$H)</f>
        <v>0</v>
      </c>
      <c r="J26" s="69">
        <f ca="1">SUMIF('CAP9-13'!$B:$H,Insumo[[#This Row],[DESCRIPCION]],'CAP9-13'!$H:$H)</f>
        <v>0</v>
      </c>
      <c r="K26" s="69">
        <f ca="1">SUMIF('CAP14-15'!$B:$H,Insumo[[#This Row],[DESCRIPCION]],'CAP14-15'!$H:$H)</f>
        <v>0</v>
      </c>
      <c r="L26" s="69">
        <f ca="1">SUMIF('CAP16-18'!$B:$H,Insumo[[#This Row],[DESCRIPCION]],'CAP16-18'!$H:$H)</f>
        <v>0</v>
      </c>
      <c r="M26" s="69">
        <f ca="1">SUMIF('CAP19-22'!$B:$H,Insumo[[#This Row],[DESCRIPCION]],'CAP19-22'!$H:$H)</f>
        <v>0</v>
      </c>
      <c r="N26" s="69">
        <f ca="1">SUMIF('CAP23-24'!$B:$H,Insumo[[#This Row],[DESCRIPCION]],'CAP23-24'!$H:$H)</f>
        <v>0</v>
      </c>
      <c r="O26" s="69">
        <f ca="1">SUMIF('CAP25'!$B:$H,Insumo[[#This Row],[DESCRIPCION]],'CAP25'!$H:$H)</f>
        <v>0</v>
      </c>
      <c r="P26" s="69">
        <f ca="1">SUMIF('CAP26-28'!$B:$H,Insumo[[#This Row],[DESCRIPCION]],'CAP26-28'!$H:$H)</f>
        <v>0</v>
      </c>
      <c r="Q26" s="69">
        <f ca="1">SUMIF('CAP29'!$B:$H,Insumo[[#This Row],[DESCRIPCION]],'CAP29'!$H:$H)</f>
        <v>0</v>
      </c>
      <c r="R26" s="136" t="s">
        <v>2622</v>
      </c>
      <c r="T26" s="136">
        <v>5287</v>
      </c>
    </row>
    <row r="27" spans="1:20">
      <c r="A27" s="301" t="s">
        <v>2627</v>
      </c>
      <c r="B27" s="303" t="s">
        <v>23</v>
      </c>
      <c r="C27" s="304">
        <f t="shared" si="0"/>
        <v>20459.25</v>
      </c>
      <c r="D27" s="281" cm="1">
        <f t="array" aca="1" ref="D27" ca="1">IF(Insumo[[#This Row],[VALOR]]=0,Insumo[TOTAL],E27/C27)</f>
        <v>0</v>
      </c>
      <c r="E27" s="69">
        <f ca="1">SUM(Insumo[[#This Row],[CAP1-3]:[CAP29]])</f>
        <v>0</v>
      </c>
      <c r="F27" s="69">
        <f ca="1">SUMIF('CAP1-3'!$B:$H,Insumo[[#This Row],[DESCRIPCION]],'CAP1-3'!$H:$H)</f>
        <v>0</v>
      </c>
      <c r="G27" s="69">
        <f ca="1">SUMIF('CAP4-5'!$B:$H,Insumo[[#This Row],[DESCRIPCION]],'CAP4-5'!$H:$H)</f>
        <v>0</v>
      </c>
      <c r="H27" s="69">
        <f ca="1">SUMIF('CAP6-7'!$B:$H,Insumo[[#This Row],[DESCRIPCION]],'CAP6-7'!$H:$H)</f>
        <v>0</v>
      </c>
      <c r="I27" s="69">
        <f ca="1">SUMIF('CAP8'!$B:$H,Insumo[[#This Row],[DESCRIPCION]],'CAP8'!$H:$H)</f>
        <v>0</v>
      </c>
      <c r="J27" s="69">
        <f ca="1">SUMIF('CAP9-13'!$B:$H,Insumo[[#This Row],[DESCRIPCION]],'CAP9-13'!$H:$H)</f>
        <v>0</v>
      </c>
      <c r="K27" s="69">
        <f ca="1">SUMIF('CAP14-15'!$B:$H,Insumo[[#This Row],[DESCRIPCION]],'CAP14-15'!$H:$H)</f>
        <v>0</v>
      </c>
      <c r="L27" s="69">
        <f ca="1">SUMIF('CAP16-18'!$B:$H,Insumo[[#This Row],[DESCRIPCION]],'CAP16-18'!$H:$H)</f>
        <v>0</v>
      </c>
      <c r="M27" s="69">
        <f ca="1">SUMIF('CAP19-22'!$B:$H,Insumo[[#This Row],[DESCRIPCION]],'CAP19-22'!$H:$H)</f>
        <v>0</v>
      </c>
      <c r="N27" s="69">
        <f ca="1">SUMIF('CAP23-24'!$B:$H,Insumo[[#This Row],[DESCRIPCION]],'CAP23-24'!$H:$H)</f>
        <v>0</v>
      </c>
      <c r="O27" s="69">
        <f ca="1">SUMIF('CAP25'!$B:$H,Insumo[[#This Row],[DESCRIPCION]],'CAP25'!$H:$H)</f>
        <v>0</v>
      </c>
      <c r="P27" s="69">
        <f ca="1">SUMIF('CAP26-28'!$B:$H,Insumo[[#This Row],[DESCRIPCION]],'CAP26-28'!$H:$H)</f>
        <v>0</v>
      </c>
      <c r="Q27" s="69">
        <f ca="1">SUMIF('CAP29'!$B:$H,Insumo[[#This Row],[DESCRIPCION]],'CAP29'!$H:$H)</f>
        <v>0</v>
      </c>
      <c r="T27" s="136">
        <v>19485</v>
      </c>
    </row>
    <row r="28" spans="1:20">
      <c r="A28" s="301" t="s">
        <v>2628</v>
      </c>
      <c r="B28" s="303" t="s">
        <v>23</v>
      </c>
      <c r="C28" s="304">
        <f t="shared" si="0"/>
        <v>13639.5</v>
      </c>
      <c r="D28" s="281" cm="1">
        <f t="array" aca="1" ref="D28" ca="1">IF(Insumo[[#This Row],[VALOR]]=0,Insumo[TOTAL],E28/C28)</f>
        <v>0</v>
      </c>
      <c r="E28" s="69">
        <f ca="1">SUM(Insumo[[#This Row],[CAP1-3]:[CAP29]])</f>
        <v>0</v>
      </c>
      <c r="F28" s="69">
        <f ca="1">SUMIF('CAP1-3'!$B:$H,Insumo[[#This Row],[DESCRIPCION]],'CAP1-3'!$H:$H)</f>
        <v>0</v>
      </c>
      <c r="G28" s="69">
        <f ca="1">SUMIF('CAP4-5'!$B:$H,Insumo[[#This Row],[DESCRIPCION]],'CAP4-5'!$H:$H)</f>
        <v>0</v>
      </c>
      <c r="H28" s="69">
        <f ca="1">SUMIF('CAP6-7'!$B:$H,Insumo[[#This Row],[DESCRIPCION]],'CAP6-7'!$H:$H)</f>
        <v>0</v>
      </c>
      <c r="I28" s="69">
        <f ca="1">SUMIF('CAP8'!$B:$H,Insumo[[#This Row],[DESCRIPCION]],'CAP8'!$H:$H)</f>
        <v>0</v>
      </c>
      <c r="J28" s="69">
        <f ca="1">SUMIF('CAP9-13'!$B:$H,Insumo[[#This Row],[DESCRIPCION]],'CAP9-13'!$H:$H)</f>
        <v>0</v>
      </c>
      <c r="K28" s="69">
        <f ca="1">SUMIF('CAP14-15'!$B:$H,Insumo[[#This Row],[DESCRIPCION]],'CAP14-15'!$H:$H)</f>
        <v>0</v>
      </c>
      <c r="L28" s="69">
        <f ca="1">SUMIF('CAP16-18'!$B:$H,Insumo[[#This Row],[DESCRIPCION]],'CAP16-18'!$H:$H)</f>
        <v>0</v>
      </c>
      <c r="M28" s="69">
        <f ca="1">SUMIF('CAP19-22'!$B:$H,Insumo[[#This Row],[DESCRIPCION]],'CAP19-22'!$H:$H)</f>
        <v>0</v>
      </c>
      <c r="N28" s="69">
        <f ca="1">SUMIF('CAP23-24'!$B:$H,Insumo[[#This Row],[DESCRIPCION]],'CAP23-24'!$H:$H)</f>
        <v>0</v>
      </c>
      <c r="O28" s="69">
        <f ca="1">SUMIF('CAP25'!$B:$H,Insumo[[#This Row],[DESCRIPCION]],'CAP25'!$H:$H)</f>
        <v>0</v>
      </c>
      <c r="P28" s="69">
        <f ca="1">SUMIF('CAP26-28'!$B:$H,Insumo[[#This Row],[DESCRIPCION]],'CAP26-28'!$H:$H)</f>
        <v>0</v>
      </c>
      <c r="Q28" s="69">
        <f ca="1">SUMIF('CAP29'!$B:$H,Insumo[[#This Row],[DESCRIPCION]],'CAP29'!$H:$H)</f>
        <v>0</v>
      </c>
      <c r="T28" s="136">
        <v>12990</v>
      </c>
    </row>
    <row r="29" spans="1:20">
      <c r="A29" s="301" t="s">
        <v>2629</v>
      </c>
      <c r="B29" s="303" t="s">
        <v>23</v>
      </c>
      <c r="C29" s="304">
        <f t="shared" si="0"/>
        <v>9093</v>
      </c>
      <c r="D29" s="281" cm="1">
        <f t="array" aca="1" ref="D29" ca="1">IF(Insumo[[#This Row],[VALOR]]=0,Insumo[TOTAL],E29/C29)</f>
        <v>0</v>
      </c>
      <c r="E29" s="69">
        <f ca="1">SUM(Insumo[[#This Row],[CAP1-3]:[CAP29]])</f>
        <v>0</v>
      </c>
      <c r="F29" s="69">
        <f ca="1">SUMIF('CAP1-3'!$B:$H,Insumo[[#This Row],[DESCRIPCION]],'CAP1-3'!$H:$H)</f>
        <v>0</v>
      </c>
      <c r="G29" s="69">
        <f ca="1">SUMIF('CAP4-5'!$B:$H,Insumo[[#This Row],[DESCRIPCION]],'CAP4-5'!$H:$H)</f>
        <v>0</v>
      </c>
      <c r="H29" s="69">
        <f ca="1">SUMIF('CAP6-7'!$B:$H,Insumo[[#This Row],[DESCRIPCION]],'CAP6-7'!$H:$H)</f>
        <v>0</v>
      </c>
      <c r="I29" s="69">
        <f ca="1">SUMIF('CAP8'!$B:$H,Insumo[[#This Row],[DESCRIPCION]],'CAP8'!$H:$H)</f>
        <v>0</v>
      </c>
      <c r="J29" s="69">
        <f ca="1">SUMIF('CAP9-13'!$B:$H,Insumo[[#This Row],[DESCRIPCION]],'CAP9-13'!$H:$H)</f>
        <v>0</v>
      </c>
      <c r="K29" s="69">
        <f ca="1">SUMIF('CAP14-15'!$B:$H,Insumo[[#This Row],[DESCRIPCION]],'CAP14-15'!$H:$H)</f>
        <v>0</v>
      </c>
      <c r="L29" s="69">
        <f ca="1">SUMIF('CAP16-18'!$B:$H,Insumo[[#This Row],[DESCRIPCION]],'CAP16-18'!$H:$H)</f>
        <v>0</v>
      </c>
      <c r="M29" s="69">
        <f ca="1">SUMIF('CAP19-22'!$B:$H,Insumo[[#This Row],[DESCRIPCION]],'CAP19-22'!$H:$H)</f>
        <v>0</v>
      </c>
      <c r="N29" s="69">
        <f ca="1">SUMIF('CAP23-24'!$B:$H,Insumo[[#This Row],[DESCRIPCION]],'CAP23-24'!$H:$H)</f>
        <v>0</v>
      </c>
      <c r="O29" s="69">
        <f ca="1">SUMIF('CAP25'!$B:$H,Insumo[[#This Row],[DESCRIPCION]],'CAP25'!$H:$H)</f>
        <v>0</v>
      </c>
      <c r="P29" s="69">
        <f ca="1">SUMIF('CAP26-28'!$B:$H,Insumo[[#This Row],[DESCRIPCION]],'CAP26-28'!$H:$H)</f>
        <v>0</v>
      </c>
      <c r="Q29" s="69">
        <f ca="1">SUMIF('CAP29'!$B:$H,Insumo[[#This Row],[DESCRIPCION]],'CAP29'!$H:$H)</f>
        <v>0</v>
      </c>
      <c r="T29" s="136">
        <v>8660</v>
      </c>
    </row>
    <row r="30" spans="1:20">
      <c r="A30" s="301" t="s">
        <v>2630</v>
      </c>
      <c r="B30" s="303" t="s">
        <v>23</v>
      </c>
      <c r="C30" s="304">
        <f t="shared" si="0"/>
        <v>3978.4500000000003</v>
      </c>
      <c r="D30" s="281" cm="1">
        <f t="array" aca="1" ref="D30" ca="1">IF(Insumo[[#This Row],[VALOR]]=0,Insumo[TOTAL],E30/C30)</f>
        <v>0</v>
      </c>
      <c r="E30" s="69">
        <f ca="1">SUM(Insumo[[#This Row],[CAP1-3]:[CAP29]])</f>
        <v>0</v>
      </c>
      <c r="F30" s="69">
        <f ca="1">SUMIF('CAP1-3'!$B:$H,Insumo[[#This Row],[DESCRIPCION]],'CAP1-3'!$H:$H)</f>
        <v>0</v>
      </c>
      <c r="G30" s="69">
        <f ca="1">SUMIF('CAP4-5'!$B:$H,Insumo[[#This Row],[DESCRIPCION]],'CAP4-5'!$H:$H)</f>
        <v>0</v>
      </c>
      <c r="H30" s="69">
        <f ca="1">SUMIF('CAP6-7'!$B:$H,Insumo[[#This Row],[DESCRIPCION]],'CAP6-7'!$H:$H)</f>
        <v>0</v>
      </c>
      <c r="I30" s="69">
        <f ca="1">SUMIF('CAP8'!$B:$H,Insumo[[#This Row],[DESCRIPCION]],'CAP8'!$H:$H)</f>
        <v>0</v>
      </c>
      <c r="J30" s="69">
        <f ca="1">SUMIF('CAP9-13'!$B:$H,Insumo[[#This Row],[DESCRIPCION]],'CAP9-13'!$H:$H)</f>
        <v>0</v>
      </c>
      <c r="K30" s="69">
        <f ca="1">SUMIF('CAP14-15'!$B:$H,Insumo[[#This Row],[DESCRIPCION]],'CAP14-15'!$H:$H)</f>
        <v>0</v>
      </c>
      <c r="L30" s="69">
        <f ca="1">SUMIF('CAP16-18'!$B:$H,Insumo[[#This Row],[DESCRIPCION]],'CAP16-18'!$H:$H)</f>
        <v>0</v>
      </c>
      <c r="M30" s="69">
        <f ca="1">SUMIF('CAP19-22'!$B:$H,Insumo[[#This Row],[DESCRIPCION]],'CAP19-22'!$H:$H)</f>
        <v>0</v>
      </c>
      <c r="N30" s="69">
        <f ca="1">SUMIF('CAP23-24'!$B:$H,Insumo[[#This Row],[DESCRIPCION]],'CAP23-24'!$H:$H)</f>
        <v>0</v>
      </c>
      <c r="O30" s="69">
        <f ca="1">SUMIF('CAP25'!$B:$H,Insumo[[#This Row],[DESCRIPCION]],'CAP25'!$H:$H)</f>
        <v>0</v>
      </c>
      <c r="P30" s="69">
        <f ca="1">SUMIF('CAP26-28'!$B:$H,Insumo[[#This Row],[DESCRIPCION]],'CAP26-28'!$H:$H)</f>
        <v>0</v>
      </c>
      <c r="Q30" s="69">
        <f ca="1">SUMIF('CAP29'!$B:$H,Insumo[[#This Row],[DESCRIPCION]],'CAP29'!$H:$H)</f>
        <v>0</v>
      </c>
      <c r="T30" s="136">
        <v>3789</v>
      </c>
    </row>
    <row r="31" spans="1:20">
      <c r="A31" s="301" t="s">
        <v>2631</v>
      </c>
      <c r="B31" s="303" t="s">
        <v>23</v>
      </c>
      <c r="C31" s="304">
        <f t="shared" si="0"/>
        <v>36372</v>
      </c>
      <c r="D31" s="281" cm="1">
        <f t="array" aca="1" ref="D31" ca="1">IF(Insumo[[#This Row],[VALOR]]=0,Insumo[TOTAL],E31/C31)</f>
        <v>0</v>
      </c>
      <c r="E31" s="69">
        <f ca="1">SUM(Insumo[[#This Row],[CAP1-3]:[CAP29]])</f>
        <v>0</v>
      </c>
      <c r="F31" s="69">
        <f ca="1">SUMIF('CAP1-3'!$B:$H,Insumo[[#This Row],[DESCRIPCION]],'CAP1-3'!$H:$H)</f>
        <v>0</v>
      </c>
      <c r="G31" s="69">
        <f ca="1">SUMIF('CAP4-5'!$B:$H,Insumo[[#This Row],[DESCRIPCION]],'CAP4-5'!$H:$H)</f>
        <v>0</v>
      </c>
      <c r="H31" s="69">
        <f ca="1">SUMIF('CAP6-7'!$B:$H,Insumo[[#This Row],[DESCRIPCION]],'CAP6-7'!$H:$H)</f>
        <v>0</v>
      </c>
      <c r="I31" s="69">
        <f ca="1">SUMIF('CAP8'!$B:$H,Insumo[[#This Row],[DESCRIPCION]],'CAP8'!$H:$H)</f>
        <v>0</v>
      </c>
      <c r="J31" s="69">
        <f ca="1">SUMIF('CAP9-13'!$B:$H,Insumo[[#This Row],[DESCRIPCION]],'CAP9-13'!$H:$H)</f>
        <v>0</v>
      </c>
      <c r="K31" s="69">
        <f ca="1">SUMIF('CAP14-15'!$B:$H,Insumo[[#This Row],[DESCRIPCION]],'CAP14-15'!$H:$H)</f>
        <v>0</v>
      </c>
      <c r="L31" s="69">
        <f ca="1">SUMIF('CAP16-18'!$B:$H,Insumo[[#This Row],[DESCRIPCION]],'CAP16-18'!$H:$H)</f>
        <v>0</v>
      </c>
      <c r="M31" s="69">
        <f ca="1">SUMIF('CAP19-22'!$B:$H,Insumo[[#This Row],[DESCRIPCION]],'CAP19-22'!$H:$H)</f>
        <v>0</v>
      </c>
      <c r="N31" s="69">
        <f ca="1">SUMIF('CAP23-24'!$B:$H,Insumo[[#This Row],[DESCRIPCION]],'CAP23-24'!$H:$H)</f>
        <v>0</v>
      </c>
      <c r="O31" s="69">
        <f ca="1">SUMIF('CAP25'!$B:$H,Insumo[[#This Row],[DESCRIPCION]],'CAP25'!$H:$H)</f>
        <v>0</v>
      </c>
      <c r="P31" s="69">
        <f ca="1">SUMIF('CAP26-28'!$B:$H,Insumo[[#This Row],[DESCRIPCION]],'CAP26-28'!$H:$H)</f>
        <v>0</v>
      </c>
      <c r="Q31" s="69">
        <f ca="1">SUMIF('CAP29'!$B:$H,Insumo[[#This Row],[DESCRIPCION]],'CAP29'!$H:$H)</f>
        <v>0</v>
      </c>
      <c r="T31" s="136">
        <v>34640</v>
      </c>
    </row>
    <row r="32" spans="1:20">
      <c r="A32" s="301" t="s">
        <v>2632</v>
      </c>
      <c r="B32" s="303" t="s">
        <v>23</v>
      </c>
      <c r="C32" s="304">
        <f t="shared" si="0"/>
        <v>28416.15</v>
      </c>
      <c r="D32" s="281" cm="1">
        <f t="array" aca="1" ref="D32" ca="1">IF(Insumo[[#This Row],[VALOR]]=0,Insumo[TOTAL],E32/C32)</f>
        <v>0</v>
      </c>
      <c r="E32" s="69">
        <f ca="1">SUM(Insumo[[#This Row],[CAP1-3]:[CAP29]])</f>
        <v>0</v>
      </c>
      <c r="F32" s="69">
        <f ca="1">SUMIF('CAP1-3'!$B:$H,Insumo[[#This Row],[DESCRIPCION]],'CAP1-3'!$H:$H)</f>
        <v>0</v>
      </c>
      <c r="G32" s="69">
        <f ca="1">SUMIF('CAP4-5'!$B:$H,Insumo[[#This Row],[DESCRIPCION]],'CAP4-5'!$H:$H)</f>
        <v>0</v>
      </c>
      <c r="H32" s="69">
        <f ca="1">SUMIF('CAP6-7'!$B:$H,Insumo[[#This Row],[DESCRIPCION]],'CAP6-7'!$H:$H)</f>
        <v>0</v>
      </c>
      <c r="I32" s="69">
        <f ca="1">SUMIF('CAP8'!$B:$H,Insumo[[#This Row],[DESCRIPCION]],'CAP8'!$H:$H)</f>
        <v>0</v>
      </c>
      <c r="J32" s="69">
        <f ca="1">SUMIF('CAP9-13'!$B:$H,Insumo[[#This Row],[DESCRIPCION]],'CAP9-13'!$H:$H)</f>
        <v>0</v>
      </c>
      <c r="K32" s="69">
        <f ca="1">SUMIF('CAP14-15'!$B:$H,Insumo[[#This Row],[DESCRIPCION]],'CAP14-15'!$H:$H)</f>
        <v>0</v>
      </c>
      <c r="L32" s="69">
        <f ca="1">SUMIF('CAP16-18'!$B:$H,Insumo[[#This Row],[DESCRIPCION]],'CAP16-18'!$H:$H)</f>
        <v>0</v>
      </c>
      <c r="M32" s="69">
        <f ca="1">SUMIF('CAP19-22'!$B:$H,Insumo[[#This Row],[DESCRIPCION]],'CAP19-22'!$H:$H)</f>
        <v>0</v>
      </c>
      <c r="N32" s="69">
        <f ca="1">SUMIF('CAP23-24'!$B:$H,Insumo[[#This Row],[DESCRIPCION]],'CAP23-24'!$H:$H)</f>
        <v>0</v>
      </c>
      <c r="O32" s="69">
        <f ca="1">SUMIF('CAP25'!$B:$H,Insumo[[#This Row],[DESCRIPCION]],'CAP25'!$H:$H)</f>
        <v>0</v>
      </c>
      <c r="P32" s="69">
        <f ca="1">SUMIF('CAP26-28'!$B:$H,Insumo[[#This Row],[DESCRIPCION]],'CAP26-28'!$H:$H)</f>
        <v>0</v>
      </c>
      <c r="Q32" s="69">
        <f ca="1">SUMIF('CAP29'!$B:$H,Insumo[[#This Row],[DESCRIPCION]],'CAP29'!$H:$H)</f>
        <v>0</v>
      </c>
      <c r="T32" s="136">
        <v>27063</v>
      </c>
    </row>
    <row r="33" spans="1:20">
      <c r="A33" s="301" t="s">
        <v>2633</v>
      </c>
      <c r="B33" s="303" t="s">
        <v>23</v>
      </c>
      <c r="C33" s="304">
        <f t="shared" si="0"/>
        <v>45465</v>
      </c>
      <c r="D33" s="281" cm="1">
        <f t="array" aca="1" ref="D33" ca="1">IF(Insumo[[#This Row],[VALOR]]=0,Insumo[TOTAL],E33/C33)</f>
        <v>0</v>
      </c>
      <c r="E33" s="69">
        <f ca="1">SUM(Insumo[[#This Row],[CAP1-3]:[CAP29]])</f>
        <v>0</v>
      </c>
      <c r="F33" s="69">
        <f ca="1">SUMIF('CAP1-3'!$B:$H,Insumo[[#This Row],[DESCRIPCION]],'CAP1-3'!$H:$H)</f>
        <v>0</v>
      </c>
      <c r="G33" s="69">
        <f ca="1">SUMIF('CAP4-5'!$B:$H,Insumo[[#This Row],[DESCRIPCION]],'CAP4-5'!$H:$H)</f>
        <v>0</v>
      </c>
      <c r="H33" s="69">
        <f ca="1">SUMIF('CAP6-7'!$B:$H,Insumo[[#This Row],[DESCRIPCION]],'CAP6-7'!$H:$H)</f>
        <v>0</v>
      </c>
      <c r="I33" s="69">
        <f ca="1">SUMIF('CAP8'!$B:$H,Insumo[[#This Row],[DESCRIPCION]],'CAP8'!$H:$H)</f>
        <v>0</v>
      </c>
      <c r="J33" s="69">
        <f ca="1">SUMIF('CAP9-13'!$B:$H,Insumo[[#This Row],[DESCRIPCION]],'CAP9-13'!$H:$H)</f>
        <v>0</v>
      </c>
      <c r="K33" s="69">
        <f ca="1">SUMIF('CAP14-15'!$B:$H,Insumo[[#This Row],[DESCRIPCION]],'CAP14-15'!$H:$H)</f>
        <v>0</v>
      </c>
      <c r="L33" s="69">
        <f ca="1">SUMIF('CAP16-18'!$B:$H,Insumo[[#This Row],[DESCRIPCION]],'CAP16-18'!$H:$H)</f>
        <v>0</v>
      </c>
      <c r="M33" s="69">
        <f ca="1">SUMIF('CAP19-22'!$B:$H,Insumo[[#This Row],[DESCRIPCION]],'CAP19-22'!$H:$H)</f>
        <v>0</v>
      </c>
      <c r="N33" s="69">
        <f ca="1">SUMIF('CAP23-24'!$B:$H,Insumo[[#This Row],[DESCRIPCION]],'CAP23-24'!$H:$H)</f>
        <v>0</v>
      </c>
      <c r="O33" s="69">
        <f ca="1">SUMIF('CAP25'!$B:$H,Insumo[[#This Row],[DESCRIPCION]],'CAP25'!$H:$H)</f>
        <v>0</v>
      </c>
      <c r="P33" s="69">
        <f ca="1">SUMIF('CAP26-28'!$B:$H,Insumo[[#This Row],[DESCRIPCION]],'CAP26-28'!$H:$H)</f>
        <v>0</v>
      </c>
      <c r="Q33" s="69">
        <f ca="1">SUMIF('CAP29'!$B:$H,Insumo[[#This Row],[DESCRIPCION]],'CAP29'!$H:$H)</f>
        <v>0</v>
      </c>
      <c r="T33" s="136">
        <v>43300</v>
      </c>
    </row>
    <row r="34" spans="1:20">
      <c r="A34" s="301" t="s">
        <v>2634</v>
      </c>
      <c r="B34" s="303" t="s">
        <v>23</v>
      </c>
      <c r="C34" s="304">
        <f t="shared" si="0"/>
        <v>6251.7</v>
      </c>
      <c r="D34" s="281" cm="1">
        <f t="array" aca="1" ref="D34" ca="1">IF(Insumo[[#This Row],[VALOR]]=0,Insumo[TOTAL],E34/C34)</f>
        <v>0</v>
      </c>
      <c r="E34" s="69">
        <f ca="1">SUM(Insumo[[#This Row],[CAP1-3]:[CAP29]])</f>
        <v>0</v>
      </c>
      <c r="F34" s="69">
        <f ca="1">SUMIF('CAP1-3'!$B:$H,Insumo[[#This Row],[DESCRIPCION]],'CAP1-3'!$H:$H)</f>
        <v>0</v>
      </c>
      <c r="G34" s="69">
        <f ca="1">SUMIF('CAP4-5'!$B:$H,Insumo[[#This Row],[DESCRIPCION]],'CAP4-5'!$H:$H)</f>
        <v>0</v>
      </c>
      <c r="H34" s="69">
        <f ca="1">SUMIF('CAP6-7'!$B:$H,Insumo[[#This Row],[DESCRIPCION]],'CAP6-7'!$H:$H)</f>
        <v>0</v>
      </c>
      <c r="I34" s="69">
        <f ca="1">SUMIF('CAP8'!$B:$H,Insumo[[#This Row],[DESCRIPCION]],'CAP8'!$H:$H)</f>
        <v>0</v>
      </c>
      <c r="J34" s="69">
        <f ca="1">SUMIF('CAP9-13'!$B:$H,Insumo[[#This Row],[DESCRIPCION]],'CAP9-13'!$H:$H)</f>
        <v>0</v>
      </c>
      <c r="K34" s="69">
        <f ca="1">SUMIF('CAP14-15'!$B:$H,Insumo[[#This Row],[DESCRIPCION]],'CAP14-15'!$H:$H)</f>
        <v>0</v>
      </c>
      <c r="L34" s="69">
        <f ca="1">SUMIF('CAP16-18'!$B:$H,Insumo[[#This Row],[DESCRIPCION]],'CAP16-18'!$H:$H)</f>
        <v>0</v>
      </c>
      <c r="M34" s="69">
        <f ca="1">SUMIF('CAP19-22'!$B:$H,Insumo[[#This Row],[DESCRIPCION]],'CAP19-22'!$H:$H)</f>
        <v>0</v>
      </c>
      <c r="N34" s="69">
        <f ca="1">SUMIF('CAP23-24'!$B:$H,Insumo[[#This Row],[DESCRIPCION]],'CAP23-24'!$H:$H)</f>
        <v>0</v>
      </c>
      <c r="O34" s="69">
        <f ca="1">SUMIF('CAP25'!$B:$H,Insumo[[#This Row],[DESCRIPCION]],'CAP25'!$H:$H)</f>
        <v>0</v>
      </c>
      <c r="P34" s="69">
        <f ca="1">SUMIF('CAP26-28'!$B:$H,Insumo[[#This Row],[DESCRIPCION]],'CAP26-28'!$H:$H)</f>
        <v>0</v>
      </c>
      <c r="Q34" s="69">
        <f ca="1">SUMIF('CAP29'!$B:$H,Insumo[[#This Row],[DESCRIPCION]],'CAP29'!$H:$H)</f>
        <v>0</v>
      </c>
      <c r="T34" s="136">
        <v>5954</v>
      </c>
    </row>
    <row r="35" spans="1:20">
      <c r="A35" s="301" t="s">
        <v>2635</v>
      </c>
      <c r="B35" s="303" t="s">
        <v>23</v>
      </c>
      <c r="C35" s="304">
        <f t="shared" si="0"/>
        <v>2841.3</v>
      </c>
      <c r="D35" s="281" cm="1">
        <f t="array" aca="1" ref="D35" ca="1">IF(Insumo[[#This Row],[VALOR]]=0,Insumo[TOTAL],E35/C35)</f>
        <v>0</v>
      </c>
      <c r="E35" s="69">
        <f ca="1">SUM(Insumo[[#This Row],[CAP1-3]:[CAP29]])</f>
        <v>0</v>
      </c>
      <c r="F35" s="69">
        <f ca="1">SUMIF('CAP1-3'!$B:$H,Insumo[[#This Row],[DESCRIPCION]],'CAP1-3'!$H:$H)</f>
        <v>0</v>
      </c>
      <c r="G35" s="69">
        <f ca="1">SUMIF('CAP4-5'!$B:$H,Insumo[[#This Row],[DESCRIPCION]],'CAP4-5'!$H:$H)</f>
        <v>0</v>
      </c>
      <c r="H35" s="69">
        <f ca="1">SUMIF('CAP6-7'!$B:$H,Insumo[[#This Row],[DESCRIPCION]],'CAP6-7'!$H:$H)</f>
        <v>0</v>
      </c>
      <c r="I35" s="69">
        <f ca="1">SUMIF('CAP8'!$B:$H,Insumo[[#This Row],[DESCRIPCION]],'CAP8'!$H:$H)</f>
        <v>0</v>
      </c>
      <c r="J35" s="69">
        <f ca="1">SUMIF('CAP9-13'!$B:$H,Insumo[[#This Row],[DESCRIPCION]],'CAP9-13'!$H:$H)</f>
        <v>0</v>
      </c>
      <c r="K35" s="69">
        <f ca="1">SUMIF('CAP14-15'!$B:$H,Insumo[[#This Row],[DESCRIPCION]],'CAP14-15'!$H:$H)</f>
        <v>0</v>
      </c>
      <c r="L35" s="69">
        <f ca="1">SUMIF('CAP16-18'!$B:$H,Insumo[[#This Row],[DESCRIPCION]],'CAP16-18'!$H:$H)</f>
        <v>0</v>
      </c>
      <c r="M35" s="69">
        <f ca="1">SUMIF('CAP19-22'!$B:$H,Insumo[[#This Row],[DESCRIPCION]],'CAP19-22'!$H:$H)</f>
        <v>0</v>
      </c>
      <c r="N35" s="69">
        <f ca="1">SUMIF('CAP23-24'!$B:$H,Insumo[[#This Row],[DESCRIPCION]],'CAP23-24'!$H:$H)</f>
        <v>0</v>
      </c>
      <c r="O35" s="69">
        <f ca="1">SUMIF('CAP25'!$B:$H,Insumo[[#This Row],[DESCRIPCION]],'CAP25'!$H:$H)</f>
        <v>0</v>
      </c>
      <c r="P35" s="69">
        <f ca="1">SUMIF('CAP26-28'!$B:$H,Insumo[[#This Row],[DESCRIPCION]],'CAP26-28'!$H:$H)</f>
        <v>0</v>
      </c>
      <c r="Q35" s="69">
        <f ca="1">SUMIF('CAP29'!$B:$H,Insumo[[#This Row],[DESCRIPCION]],'CAP29'!$H:$H)</f>
        <v>0</v>
      </c>
      <c r="T35" s="136">
        <v>2706</v>
      </c>
    </row>
    <row r="36" spans="1:20">
      <c r="A36" s="301" t="s">
        <v>2636</v>
      </c>
      <c r="B36" s="303" t="s">
        <v>23</v>
      </c>
      <c r="C36" s="304">
        <f t="shared" si="0"/>
        <v>7956.9000000000005</v>
      </c>
      <c r="D36" s="281" cm="1">
        <f t="array" aca="1" ref="D36" ca="1">IF(Insumo[[#This Row],[VALOR]]=0,Insumo[TOTAL],E36/C36)</f>
        <v>0</v>
      </c>
      <c r="E36" s="69">
        <f ca="1">SUM(Insumo[[#This Row],[CAP1-3]:[CAP29]])</f>
        <v>0</v>
      </c>
      <c r="F36" s="69">
        <f ca="1">SUMIF('CAP1-3'!$B:$H,Insumo[[#This Row],[DESCRIPCION]],'CAP1-3'!$H:$H)</f>
        <v>0</v>
      </c>
      <c r="G36" s="69">
        <f ca="1">SUMIF('CAP4-5'!$B:$H,Insumo[[#This Row],[DESCRIPCION]],'CAP4-5'!$H:$H)</f>
        <v>0</v>
      </c>
      <c r="H36" s="69">
        <f ca="1">SUMIF('CAP6-7'!$B:$H,Insumo[[#This Row],[DESCRIPCION]],'CAP6-7'!$H:$H)</f>
        <v>0</v>
      </c>
      <c r="I36" s="69">
        <f ca="1">SUMIF('CAP8'!$B:$H,Insumo[[#This Row],[DESCRIPCION]],'CAP8'!$H:$H)</f>
        <v>0</v>
      </c>
      <c r="J36" s="69">
        <f ca="1">SUMIF('CAP9-13'!$B:$H,Insumo[[#This Row],[DESCRIPCION]],'CAP9-13'!$H:$H)</f>
        <v>0</v>
      </c>
      <c r="K36" s="69">
        <f ca="1">SUMIF('CAP14-15'!$B:$H,Insumo[[#This Row],[DESCRIPCION]],'CAP14-15'!$H:$H)</f>
        <v>0</v>
      </c>
      <c r="L36" s="69">
        <f ca="1">SUMIF('CAP16-18'!$B:$H,Insumo[[#This Row],[DESCRIPCION]],'CAP16-18'!$H:$H)</f>
        <v>0</v>
      </c>
      <c r="M36" s="69">
        <f ca="1">SUMIF('CAP19-22'!$B:$H,Insumo[[#This Row],[DESCRIPCION]],'CAP19-22'!$H:$H)</f>
        <v>0</v>
      </c>
      <c r="N36" s="69">
        <f ca="1">SUMIF('CAP23-24'!$B:$H,Insumo[[#This Row],[DESCRIPCION]],'CAP23-24'!$H:$H)</f>
        <v>0</v>
      </c>
      <c r="O36" s="69">
        <f ca="1">SUMIF('CAP25'!$B:$H,Insumo[[#This Row],[DESCRIPCION]],'CAP25'!$H:$H)</f>
        <v>0</v>
      </c>
      <c r="P36" s="69">
        <f ca="1">SUMIF('CAP26-28'!$B:$H,Insumo[[#This Row],[DESCRIPCION]],'CAP26-28'!$H:$H)</f>
        <v>0</v>
      </c>
      <c r="Q36" s="69">
        <f ca="1">SUMIF('CAP29'!$B:$H,Insumo[[#This Row],[DESCRIPCION]],'CAP29'!$H:$H)</f>
        <v>0</v>
      </c>
      <c r="T36" s="136">
        <v>7578</v>
      </c>
    </row>
    <row r="37" spans="1:20">
      <c r="A37" s="301" t="s">
        <v>2637</v>
      </c>
      <c r="B37" s="303" t="s">
        <v>23</v>
      </c>
      <c r="C37" s="304">
        <f t="shared" si="0"/>
        <v>15990.45</v>
      </c>
      <c r="D37" s="281" cm="1">
        <f t="array" aca="1" ref="D37" ca="1">IF(Insumo[[#This Row],[VALOR]]=0,Insumo[TOTAL],E37/C37)</f>
        <v>0</v>
      </c>
      <c r="E37" s="69">
        <f ca="1">SUM(Insumo[[#This Row],[CAP1-3]:[CAP29]])</f>
        <v>0</v>
      </c>
      <c r="F37" s="69">
        <f ca="1">SUMIF('CAP1-3'!$B:$H,Insumo[[#This Row],[DESCRIPCION]],'CAP1-3'!$H:$H)</f>
        <v>0</v>
      </c>
      <c r="G37" s="69">
        <f ca="1">SUMIF('CAP4-5'!$B:$H,Insumo[[#This Row],[DESCRIPCION]],'CAP4-5'!$H:$H)</f>
        <v>0</v>
      </c>
      <c r="H37" s="69">
        <f ca="1">SUMIF('CAP6-7'!$B:$H,Insumo[[#This Row],[DESCRIPCION]],'CAP6-7'!$H:$H)</f>
        <v>0</v>
      </c>
      <c r="I37" s="69">
        <f ca="1">SUMIF('CAP8'!$B:$H,Insumo[[#This Row],[DESCRIPCION]],'CAP8'!$H:$H)</f>
        <v>0</v>
      </c>
      <c r="J37" s="69">
        <f ca="1">SUMIF('CAP9-13'!$B:$H,Insumo[[#This Row],[DESCRIPCION]],'CAP9-13'!$H:$H)</f>
        <v>0</v>
      </c>
      <c r="K37" s="69">
        <f ca="1">SUMIF('CAP14-15'!$B:$H,Insumo[[#This Row],[DESCRIPCION]],'CAP14-15'!$H:$H)</f>
        <v>0</v>
      </c>
      <c r="L37" s="69">
        <f ca="1">SUMIF('CAP16-18'!$B:$H,Insumo[[#This Row],[DESCRIPCION]],'CAP16-18'!$H:$H)</f>
        <v>0</v>
      </c>
      <c r="M37" s="69">
        <f ca="1">SUMIF('CAP19-22'!$B:$H,Insumo[[#This Row],[DESCRIPCION]],'CAP19-22'!$H:$H)</f>
        <v>0</v>
      </c>
      <c r="N37" s="69">
        <f ca="1">SUMIF('CAP23-24'!$B:$H,Insumo[[#This Row],[DESCRIPCION]],'CAP23-24'!$H:$H)</f>
        <v>0</v>
      </c>
      <c r="O37" s="69">
        <f ca="1">SUMIF('CAP25'!$B:$H,Insumo[[#This Row],[DESCRIPCION]],'CAP25'!$H:$H)</f>
        <v>0</v>
      </c>
      <c r="P37" s="69">
        <f ca="1">SUMIF('CAP26-28'!$B:$H,Insumo[[#This Row],[DESCRIPCION]],'CAP26-28'!$H:$H)</f>
        <v>0</v>
      </c>
      <c r="Q37" s="69">
        <f ca="1">SUMIF('CAP29'!$B:$H,Insumo[[#This Row],[DESCRIPCION]],'CAP29'!$H:$H)</f>
        <v>0</v>
      </c>
      <c r="R37" s="136" t="s">
        <v>2622</v>
      </c>
      <c r="T37" s="136">
        <v>15229</v>
      </c>
    </row>
    <row r="38" spans="1:20">
      <c r="A38" s="301" t="s">
        <v>2638</v>
      </c>
      <c r="B38" s="303" t="s">
        <v>23</v>
      </c>
      <c r="C38" s="304">
        <f t="shared" si="0"/>
        <v>12164.25</v>
      </c>
      <c r="D38" s="281" cm="1">
        <f t="array" aca="1" ref="D38" ca="1">IF(Insumo[[#This Row],[VALOR]]=0,Insumo[TOTAL],E38/C38)</f>
        <v>0</v>
      </c>
      <c r="E38" s="69">
        <f ca="1">SUM(Insumo[[#This Row],[CAP1-3]:[CAP29]])</f>
        <v>0</v>
      </c>
      <c r="F38" s="69">
        <f ca="1">SUMIF('CAP1-3'!$B:$H,Insumo[[#This Row],[DESCRIPCION]],'CAP1-3'!$H:$H)</f>
        <v>0</v>
      </c>
      <c r="G38" s="69">
        <f ca="1">SUMIF('CAP4-5'!$B:$H,Insumo[[#This Row],[DESCRIPCION]],'CAP4-5'!$H:$H)</f>
        <v>0</v>
      </c>
      <c r="H38" s="69">
        <f ca="1">SUMIF('CAP6-7'!$B:$H,Insumo[[#This Row],[DESCRIPCION]],'CAP6-7'!$H:$H)</f>
        <v>0</v>
      </c>
      <c r="I38" s="69">
        <f ca="1">SUMIF('CAP8'!$B:$H,Insumo[[#This Row],[DESCRIPCION]],'CAP8'!$H:$H)</f>
        <v>0</v>
      </c>
      <c r="J38" s="69">
        <f ca="1">SUMIF('CAP9-13'!$B:$H,Insumo[[#This Row],[DESCRIPCION]],'CAP9-13'!$H:$H)</f>
        <v>0</v>
      </c>
      <c r="K38" s="69">
        <f ca="1">SUMIF('CAP14-15'!$B:$H,Insumo[[#This Row],[DESCRIPCION]],'CAP14-15'!$H:$H)</f>
        <v>0</v>
      </c>
      <c r="L38" s="69">
        <f ca="1">SUMIF('CAP16-18'!$B:$H,Insumo[[#This Row],[DESCRIPCION]],'CAP16-18'!$H:$H)</f>
        <v>0</v>
      </c>
      <c r="M38" s="69">
        <f ca="1">SUMIF('CAP19-22'!$B:$H,Insumo[[#This Row],[DESCRIPCION]],'CAP19-22'!$H:$H)</f>
        <v>0</v>
      </c>
      <c r="N38" s="69">
        <f ca="1">SUMIF('CAP23-24'!$B:$H,Insumo[[#This Row],[DESCRIPCION]],'CAP23-24'!$H:$H)</f>
        <v>0</v>
      </c>
      <c r="O38" s="69">
        <f ca="1">SUMIF('CAP25'!$B:$H,Insumo[[#This Row],[DESCRIPCION]],'CAP25'!$H:$H)</f>
        <v>0</v>
      </c>
      <c r="P38" s="69">
        <f ca="1">SUMIF('CAP26-28'!$B:$H,Insumo[[#This Row],[DESCRIPCION]],'CAP26-28'!$H:$H)</f>
        <v>0</v>
      </c>
      <c r="Q38" s="69">
        <f ca="1">SUMIF('CAP29'!$B:$H,Insumo[[#This Row],[DESCRIPCION]],'CAP29'!$H:$H)</f>
        <v>0</v>
      </c>
      <c r="R38" s="136" t="s">
        <v>2622</v>
      </c>
      <c r="T38" s="136">
        <v>11585</v>
      </c>
    </row>
    <row r="39" spans="1:20">
      <c r="A39" s="301" t="s">
        <v>2639</v>
      </c>
      <c r="B39" s="303" t="s">
        <v>23</v>
      </c>
      <c r="C39" s="304">
        <f t="shared" si="0"/>
        <v>4688.25</v>
      </c>
      <c r="D39" s="281" cm="1">
        <f t="array" aca="1" ref="D39" ca="1">IF(Insumo[[#This Row],[VALOR]]=0,Insumo[TOTAL],E39/C39)</f>
        <v>0</v>
      </c>
      <c r="E39" s="69">
        <f ca="1">SUM(Insumo[[#This Row],[CAP1-3]:[CAP29]])</f>
        <v>0</v>
      </c>
      <c r="F39" s="69">
        <f ca="1">SUMIF('CAP1-3'!$B:$H,Insumo[[#This Row],[DESCRIPCION]],'CAP1-3'!$H:$H)</f>
        <v>0</v>
      </c>
      <c r="G39" s="69">
        <f ca="1">SUMIF('CAP4-5'!$B:$H,Insumo[[#This Row],[DESCRIPCION]],'CAP4-5'!$H:$H)</f>
        <v>0</v>
      </c>
      <c r="H39" s="69">
        <f ca="1">SUMIF('CAP6-7'!$B:$H,Insumo[[#This Row],[DESCRIPCION]],'CAP6-7'!$H:$H)</f>
        <v>0</v>
      </c>
      <c r="I39" s="69">
        <f ca="1">SUMIF('CAP8'!$B:$H,Insumo[[#This Row],[DESCRIPCION]],'CAP8'!$H:$H)</f>
        <v>0</v>
      </c>
      <c r="J39" s="69">
        <f ca="1">SUMIF('CAP9-13'!$B:$H,Insumo[[#This Row],[DESCRIPCION]],'CAP9-13'!$H:$H)</f>
        <v>0</v>
      </c>
      <c r="K39" s="69">
        <f ca="1">SUMIF('CAP14-15'!$B:$H,Insumo[[#This Row],[DESCRIPCION]],'CAP14-15'!$H:$H)</f>
        <v>0</v>
      </c>
      <c r="L39" s="69">
        <f ca="1">SUMIF('CAP16-18'!$B:$H,Insumo[[#This Row],[DESCRIPCION]],'CAP16-18'!$H:$H)</f>
        <v>0</v>
      </c>
      <c r="M39" s="69">
        <f ca="1">SUMIF('CAP19-22'!$B:$H,Insumo[[#This Row],[DESCRIPCION]],'CAP19-22'!$H:$H)</f>
        <v>0</v>
      </c>
      <c r="N39" s="69">
        <f ca="1">SUMIF('CAP23-24'!$B:$H,Insumo[[#This Row],[DESCRIPCION]],'CAP23-24'!$H:$H)</f>
        <v>0</v>
      </c>
      <c r="O39" s="69">
        <f ca="1">SUMIF('CAP25'!$B:$H,Insumo[[#This Row],[DESCRIPCION]],'CAP25'!$H:$H)</f>
        <v>0</v>
      </c>
      <c r="P39" s="69">
        <f ca="1">SUMIF('CAP26-28'!$B:$H,Insumo[[#This Row],[DESCRIPCION]],'CAP26-28'!$H:$H)</f>
        <v>0</v>
      </c>
      <c r="Q39" s="69">
        <f ca="1">SUMIF('CAP29'!$B:$H,Insumo[[#This Row],[DESCRIPCION]],'CAP29'!$H:$H)</f>
        <v>0</v>
      </c>
      <c r="R39" s="136" t="s">
        <v>2622</v>
      </c>
      <c r="T39" s="136">
        <v>4465</v>
      </c>
    </row>
    <row r="40" spans="1:20">
      <c r="A40" s="301" t="s">
        <v>2640</v>
      </c>
      <c r="B40" s="303" t="s">
        <v>23</v>
      </c>
      <c r="C40" s="304">
        <f t="shared" si="0"/>
        <v>1423.8</v>
      </c>
      <c r="D40" s="281" cm="1">
        <f t="array" aca="1" ref="D40" ca="1">IF(Insumo[[#This Row],[VALOR]]=0,Insumo[TOTAL],E40/C40)</f>
        <v>0</v>
      </c>
      <c r="E40" s="69">
        <f ca="1">SUM(Insumo[[#This Row],[CAP1-3]:[CAP29]])</f>
        <v>0</v>
      </c>
      <c r="F40" s="69">
        <f ca="1">SUMIF('CAP1-3'!$B:$H,Insumo[[#This Row],[DESCRIPCION]],'CAP1-3'!$H:$H)</f>
        <v>0</v>
      </c>
      <c r="G40" s="69">
        <f ca="1">SUMIF('CAP4-5'!$B:$H,Insumo[[#This Row],[DESCRIPCION]],'CAP4-5'!$H:$H)</f>
        <v>0</v>
      </c>
      <c r="H40" s="69">
        <f ca="1">SUMIF('CAP6-7'!$B:$H,Insumo[[#This Row],[DESCRIPCION]],'CAP6-7'!$H:$H)</f>
        <v>0</v>
      </c>
      <c r="I40" s="69">
        <f ca="1">SUMIF('CAP8'!$B:$H,Insumo[[#This Row],[DESCRIPCION]],'CAP8'!$H:$H)</f>
        <v>0</v>
      </c>
      <c r="J40" s="69">
        <f ca="1">SUMIF('CAP9-13'!$B:$H,Insumo[[#This Row],[DESCRIPCION]],'CAP9-13'!$H:$H)</f>
        <v>0</v>
      </c>
      <c r="K40" s="69">
        <f ca="1">SUMIF('CAP14-15'!$B:$H,Insumo[[#This Row],[DESCRIPCION]],'CAP14-15'!$H:$H)</f>
        <v>0</v>
      </c>
      <c r="L40" s="69">
        <f ca="1">SUMIF('CAP16-18'!$B:$H,Insumo[[#This Row],[DESCRIPCION]],'CAP16-18'!$H:$H)</f>
        <v>0</v>
      </c>
      <c r="M40" s="69">
        <f ca="1">SUMIF('CAP19-22'!$B:$H,Insumo[[#This Row],[DESCRIPCION]],'CAP19-22'!$H:$H)</f>
        <v>0</v>
      </c>
      <c r="N40" s="69">
        <f ca="1">SUMIF('CAP23-24'!$B:$H,Insumo[[#This Row],[DESCRIPCION]],'CAP23-24'!$H:$H)</f>
        <v>0</v>
      </c>
      <c r="O40" s="69">
        <f ca="1">SUMIF('CAP25'!$B:$H,Insumo[[#This Row],[DESCRIPCION]],'CAP25'!$H:$H)</f>
        <v>0</v>
      </c>
      <c r="P40" s="69">
        <f ca="1">SUMIF('CAP26-28'!$B:$H,Insumo[[#This Row],[DESCRIPCION]],'CAP26-28'!$H:$H)</f>
        <v>0</v>
      </c>
      <c r="Q40" s="69">
        <f ca="1">SUMIF('CAP29'!$B:$H,Insumo[[#This Row],[DESCRIPCION]],'CAP29'!$H:$H)</f>
        <v>0</v>
      </c>
      <c r="R40" s="136" t="s">
        <v>2622</v>
      </c>
      <c r="T40" s="136">
        <v>1356</v>
      </c>
    </row>
    <row r="41" spans="1:20">
      <c r="A41" s="301" t="s">
        <v>2641</v>
      </c>
      <c r="B41" s="303" t="s">
        <v>23</v>
      </c>
      <c r="C41" s="304">
        <f t="shared" si="0"/>
        <v>70897.05</v>
      </c>
      <c r="D41" s="281" cm="1">
        <f t="array" aca="1" ref="D41" ca="1">IF(Insumo[[#This Row],[VALOR]]=0,Insumo[TOTAL],E41/C41)</f>
        <v>0</v>
      </c>
      <c r="E41" s="69">
        <f ca="1">SUM(Insumo[[#This Row],[CAP1-3]:[CAP29]])</f>
        <v>0</v>
      </c>
      <c r="F41" s="69">
        <f ca="1">SUMIF('CAP1-3'!$B:$H,Insumo[[#This Row],[DESCRIPCION]],'CAP1-3'!$H:$H)</f>
        <v>0</v>
      </c>
      <c r="G41" s="69">
        <f ca="1">SUMIF('CAP4-5'!$B:$H,Insumo[[#This Row],[DESCRIPCION]],'CAP4-5'!$H:$H)</f>
        <v>0</v>
      </c>
      <c r="H41" s="69">
        <f ca="1">SUMIF('CAP6-7'!$B:$H,Insumo[[#This Row],[DESCRIPCION]],'CAP6-7'!$H:$H)</f>
        <v>0</v>
      </c>
      <c r="I41" s="69">
        <f ca="1">SUMIF('CAP8'!$B:$H,Insumo[[#This Row],[DESCRIPCION]],'CAP8'!$H:$H)</f>
        <v>0</v>
      </c>
      <c r="J41" s="69">
        <f ca="1">SUMIF('CAP9-13'!$B:$H,Insumo[[#This Row],[DESCRIPCION]],'CAP9-13'!$H:$H)</f>
        <v>0</v>
      </c>
      <c r="K41" s="69">
        <f ca="1">SUMIF('CAP14-15'!$B:$H,Insumo[[#This Row],[DESCRIPCION]],'CAP14-15'!$H:$H)</f>
        <v>0</v>
      </c>
      <c r="L41" s="69">
        <f ca="1">SUMIF('CAP16-18'!$B:$H,Insumo[[#This Row],[DESCRIPCION]],'CAP16-18'!$H:$H)</f>
        <v>0</v>
      </c>
      <c r="M41" s="69">
        <f ca="1">SUMIF('CAP19-22'!$B:$H,Insumo[[#This Row],[DESCRIPCION]],'CAP19-22'!$H:$H)</f>
        <v>0</v>
      </c>
      <c r="N41" s="69">
        <f ca="1">SUMIF('CAP23-24'!$B:$H,Insumo[[#This Row],[DESCRIPCION]],'CAP23-24'!$H:$H)</f>
        <v>0</v>
      </c>
      <c r="O41" s="69">
        <f ca="1">SUMIF('CAP25'!$B:$H,Insumo[[#This Row],[DESCRIPCION]],'CAP25'!$H:$H)</f>
        <v>0</v>
      </c>
      <c r="P41" s="69">
        <f ca="1">SUMIF('CAP26-28'!$B:$H,Insumo[[#This Row],[DESCRIPCION]],'CAP26-28'!$H:$H)</f>
        <v>0</v>
      </c>
      <c r="Q41" s="69">
        <f ca="1">SUMIF('CAP29'!$B:$H,Insumo[[#This Row],[DESCRIPCION]],'CAP29'!$H:$H)</f>
        <v>0</v>
      </c>
      <c r="R41" s="136" t="s">
        <v>2622</v>
      </c>
      <c r="T41" s="136">
        <v>67521</v>
      </c>
    </row>
    <row r="42" spans="1:20">
      <c r="A42" s="301" t="s">
        <v>2642</v>
      </c>
      <c r="B42" s="303" t="s">
        <v>23</v>
      </c>
      <c r="C42" s="304">
        <f t="shared" si="0"/>
        <v>25366.95</v>
      </c>
      <c r="D42" s="281" cm="1">
        <f t="array" aca="1" ref="D42" ca="1">IF(Insumo[[#This Row],[VALOR]]=0,Insumo[TOTAL],E42/C42)</f>
        <v>0</v>
      </c>
      <c r="E42" s="69">
        <f ca="1">SUM(Insumo[[#This Row],[CAP1-3]:[CAP29]])</f>
        <v>0</v>
      </c>
      <c r="F42" s="69">
        <f ca="1">SUMIF('CAP1-3'!$B:$H,Insumo[[#This Row],[DESCRIPCION]],'CAP1-3'!$H:$H)</f>
        <v>0</v>
      </c>
      <c r="G42" s="69">
        <f ca="1">SUMIF('CAP4-5'!$B:$H,Insumo[[#This Row],[DESCRIPCION]],'CAP4-5'!$H:$H)</f>
        <v>0</v>
      </c>
      <c r="H42" s="69">
        <f ca="1">SUMIF('CAP6-7'!$B:$H,Insumo[[#This Row],[DESCRIPCION]],'CAP6-7'!$H:$H)</f>
        <v>0</v>
      </c>
      <c r="I42" s="69">
        <f ca="1">SUMIF('CAP8'!$B:$H,Insumo[[#This Row],[DESCRIPCION]],'CAP8'!$H:$H)</f>
        <v>0</v>
      </c>
      <c r="J42" s="69">
        <f ca="1">SUMIF('CAP9-13'!$B:$H,Insumo[[#This Row],[DESCRIPCION]],'CAP9-13'!$H:$H)</f>
        <v>0</v>
      </c>
      <c r="K42" s="69">
        <f ca="1">SUMIF('CAP14-15'!$B:$H,Insumo[[#This Row],[DESCRIPCION]],'CAP14-15'!$H:$H)</f>
        <v>0</v>
      </c>
      <c r="L42" s="69">
        <f ca="1">SUMIF('CAP16-18'!$B:$H,Insumo[[#This Row],[DESCRIPCION]],'CAP16-18'!$H:$H)</f>
        <v>0</v>
      </c>
      <c r="M42" s="69">
        <f ca="1">SUMIF('CAP19-22'!$B:$H,Insumo[[#This Row],[DESCRIPCION]],'CAP19-22'!$H:$H)</f>
        <v>0</v>
      </c>
      <c r="N42" s="69">
        <f ca="1">SUMIF('CAP23-24'!$B:$H,Insumo[[#This Row],[DESCRIPCION]],'CAP23-24'!$H:$H)</f>
        <v>0</v>
      </c>
      <c r="O42" s="69">
        <f ca="1">SUMIF('CAP25'!$B:$H,Insumo[[#This Row],[DESCRIPCION]],'CAP25'!$H:$H)</f>
        <v>0</v>
      </c>
      <c r="P42" s="69">
        <f ca="1">SUMIF('CAP26-28'!$B:$H,Insumo[[#This Row],[DESCRIPCION]],'CAP26-28'!$H:$H)</f>
        <v>0</v>
      </c>
      <c r="Q42" s="69">
        <f ca="1">SUMIF('CAP29'!$B:$H,Insumo[[#This Row],[DESCRIPCION]],'CAP29'!$H:$H)</f>
        <v>0</v>
      </c>
      <c r="R42" s="136" t="s">
        <v>2622</v>
      </c>
      <c r="T42" s="136">
        <v>24159</v>
      </c>
    </row>
    <row r="43" spans="1:20">
      <c r="A43" s="301" t="s">
        <v>2643</v>
      </c>
      <c r="B43" s="303" t="s">
        <v>23</v>
      </c>
      <c r="C43" s="304">
        <f t="shared" si="0"/>
        <v>95646.6</v>
      </c>
      <c r="D43" s="281" cm="1">
        <f t="array" aca="1" ref="D43" ca="1">IF(Insumo[[#This Row],[VALOR]]=0,Insumo[TOTAL],E43/C43)</f>
        <v>0</v>
      </c>
      <c r="E43" s="69">
        <f ca="1">SUM(Insumo[[#This Row],[CAP1-3]:[CAP29]])</f>
        <v>0</v>
      </c>
      <c r="F43" s="69">
        <f ca="1">SUMIF('CAP1-3'!$B:$H,Insumo[[#This Row],[DESCRIPCION]],'CAP1-3'!$H:$H)</f>
        <v>0</v>
      </c>
      <c r="G43" s="69">
        <f ca="1">SUMIF('CAP4-5'!$B:$H,Insumo[[#This Row],[DESCRIPCION]],'CAP4-5'!$H:$H)</f>
        <v>0</v>
      </c>
      <c r="H43" s="69">
        <f ca="1">SUMIF('CAP6-7'!$B:$H,Insumo[[#This Row],[DESCRIPCION]],'CAP6-7'!$H:$H)</f>
        <v>0</v>
      </c>
      <c r="I43" s="69">
        <f ca="1">SUMIF('CAP8'!$B:$H,Insumo[[#This Row],[DESCRIPCION]],'CAP8'!$H:$H)</f>
        <v>0</v>
      </c>
      <c r="J43" s="69">
        <f ca="1">SUMIF('CAP9-13'!$B:$H,Insumo[[#This Row],[DESCRIPCION]],'CAP9-13'!$H:$H)</f>
        <v>0</v>
      </c>
      <c r="K43" s="69">
        <f ca="1">SUMIF('CAP14-15'!$B:$H,Insumo[[#This Row],[DESCRIPCION]],'CAP14-15'!$H:$H)</f>
        <v>0</v>
      </c>
      <c r="L43" s="69">
        <f ca="1">SUMIF('CAP16-18'!$B:$H,Insumo[[#This Row],[DESCRIPCION]],'CAP16-18'!$H:$H)</f>
        <v>0</v>
      </c>
      <c r="M43" s="69">
        <f ca="1">SUMIF('CAP19-22'!$B:$H,Insumo[[#This Row],[DESCRIPCION]],'CAP19-22'!$H:$H)</f>
        <v>0</v>
      </c>
      <c r="N43" s="69">
        <f ca="1">SUMIF('CAP23-24'!$B:$H,Insumo[[#This Row],[DESCRIPCION]],'CAP23-24'!$H:$H)</f>
        <v>0</v>
      </c>
      <c r="O43" s="69">
        <f ca="1">SUMIF('CAP25'!$B:$H,Insumo[[#This Row],[DESCRIPCION]],'CAP25'!$H:$H)</f>
        <v>0</v>
      </c>
      <c r="P43" s="69">
        <f ca="1">SUMIF('CAP26-28'!$B:$H,Insumo[[#This Row],[DESCRIPCION]],'CAP26-28'!$H:$H)</f>
        <v>0</v>
      </c>
      <c r="Q43" s="69">
        <f ca="1">SUMIF('CAP29'!$B:$H,Insumo[[#This Row],[DESCRIPCION]],'CAP29'!$H:$H)</f>
        <v>0</v>
      </c>
      <c r="R43" s="136" t="s">
        <v>2622</v>
      </c>
      <c r="T43" s="136">
        <v>91092</v>
      </c>
    </row>
    <row r="44" spans="1:20">
      <c r="A44" s="301" t="s">
        <v>2644</v>
      </c>
      <c r="B44" s="303" t="s">
        <v>23</v>
      </c>
      <c r="C44" s="304">
        <f t="shared" si="0"/>
        <v>2399.25</v>
      </c>
      <c r="D44" s="281" cm="1">
        <f t="array" aca="1" ref="D44" ca="1">IF(Insumo[[#This Row],[VALOR]]=0,Insumo[TOTAL],E44/C44)</f>
        <v>0</v>
      </c>
      <c r="E44" s="69">
        <f ca="1">SUM(Insumo[[#This Row],[CAP1-3]:[CAP29]])</f>
        <v>0</v>
      </c>
      <c r="F44" s="69">
        <f ca="1">SUMIF('CAP1-3'!$B:$H,Insumo[[#This Row],[DESCRIPCION]],'CAP1-3'!$H:$H)</f>
        <v>0</v>
      </c>
      <c r="G44" s="69">
        <f ca="1">SUMIF('CAP4-5'!$B:$H,Insumo[[#This Row],[DESCRIPCION]],'CAP4-5'!$H:$H)</f>
        <v>0</v>
      </c>
      <c r="H44" s="69">
        <f ca="1">SUMIF('CAP6-7'!$B:$H,Insumo[[#This Row],[DESCRIPCION]],'CAP6-7'!$H:$H)</f>
        <v>0</v>
      </c>
      <c r="I44" s="69">
        <f ca="1">SUMIF('CAP8'!$B:$H,Insumo[[#This Row],[DESCRIPCION]],'CAP8'!$H:$H)</f>
        <v>0</v>
      </c>
      <c r="J44" s="69">
        <f ca="1">SUMIF('CAP9-13'!$B:$H,Insumo[[#This Row],[DESCRIPCION]],'CAP9-13'!$H:$H)</f>
        <v>0</v>
      </c>
      <c r="K44" s="69">
        <f ca="1">SUMIF('CAP14-15'!$B:$H,Insumo[[#This Row],[DESCRIPCION]],'CAP14-15'!$H:$H)</f>
        <v>0</v>
      </c>
      <c r="L44" s="69">
        <f ca="1">SUMIF('CAP16-18'!$B:$H,Insumo[[#This Row],[DESCRIPCION]],'CAP16-18'!$H:$H)</f>
        <v>0</v>
      </c>
      <c r="M44" s="69">
        <f ca="1">SUMIF('CAP19-22'!$B:$H,Insumo[[#This Row],[DESCRIPCION]],'CAP19-22'!$H:$H)</f>
        <v>0</v>
      </c>
      <c r="N44" s="69">
        <f ca="1">SUMIF('CAP23-24'!$B:$H,Insumo[[#This Row],[DESCRIPCION]],'CAP23-24'!$H:$H)</f>
        <v>0</v>
      </c>
      <c r="O44" s="69">
        <f ca="1">SUMIF('CAP25'!$B:$H,Insumo[[#This Row],[DESCRIPCION]],'CAP25'!$H:$H)</f>
        <v>0</v>
      </c>
      <c r="P44" s="69">
        <f ca="1">SUMIF('CAP26-28'!$B:$H,Insumo[[#This Row],[DESCRIPCION]],'CAP26-28'!$H:$H)</f>
        <v>0</v>
      </c>
      <c r="Q44" s="69">
        <f ca="1">SUMIF('CAP29'!$B:$H,Insumo[[#This Row],[DESCRIPCION]],'CAP29'!$H:$H)</f>
        <v>0</v>
      </c>
      <c r="R44" s="136" t="s">
        <v>2622</v>
      </c>
      <c r="T44" s="136">
        <v>2285</v>
      </c>
    </row>
    <row r="45" spans="1:20">
      <c r="A45" s="301" t="s">
        <v>2645</v>
      </c>
      <c r="B45" s="303" t="s">
        <v>23</v>
      </c>
      <c r="C45" s="304">
        <f t="shared" si="0"/>
        <v>208672.80000000002</v>
      </c>
      <c r="D45" s="281" cm="1">
        <f t="array" aca="1" ref="D45" ca="1">IF(Insumo[[#This Row],[VALOR]]=0,Insumo[TOTAL],E45/C45)</f>
        <v>0</v>
      </c>
      <c r="E45" s="69">
        <f ca="1">SUM(Insumo[[#This Row],[CAP1-3]:[CAP29]])</f>
        <v>0</v>
      </c>
      <c r="F45" s="69">
        <f ca="1">SUMIF('CAP1-3'!$B:$H,Insumo[[#This Row],[DESCRIPCION]],'CAP1-3'!$H:$H)</f>
        <v>0</v>
      </c>
      <c r="G45" s="69">
        <f ca="1">SUMIF('CAP4-5'!$B:$H,Insumo[[#This Row],[DESCRIPCION]],'CAP4-5'!$H:$H)</f>
        <v>0</v>
      </c>
      <c r="H45" s="69">
        <f ca="1">SUMIF('CAP6-7'!$B:$H,Insumo[[#This Row],[DESCRIPCION]],'CAP6-7'!$H:$H)</f>
        <v>0</v>
      </c>
      <c r="I45" s="69">
        <f ca="1">SUMIF('CAP8'!$B:$H,Insumo[[#This Row],[DESCRIPCION]],'CAP8'!$H:$H)</f>
        <v>0</v>
      </c>
      <c r="J45" s="69">
        <f ca="1">SUMIF('CAP9-13'!$B:$H,Insumo[[#This Row],[DESCRIPCION]],'CAP9-13'!$H:$H)</f>
        <v>0</v>
      </c>
      <c r="K45" s="69">
        <f ca="1">SUMIF('CAP14-15'!$B:$H,Insumo[[#This Row],[DESCRIPCION]],'CAP14-15'!$H:$H)</f>
        <v>0</v>
      </c>
      <c r="L45" s="69">
        <f ca="1">SUMIF('CAP16-18'!$B:$H,Insumo[[#This Row],[DESCRIPCION]],'CAP16-18'!$H:$H)</f>
        <v>0</v>
      </c>
      <c r="M45" s="69">
        <f ca="1">SUMIF('CAP19-22'!$B:$H,Insumo[[#This Row],[DESCRIPCION]],'CAP19-22'!$H:$H)</f>
        <v>0</v>
      </c>
      <c r="N45" s="69">
        <f ca="1">SUMIF('CAP23-24'!$B:$H,Insumo[[#This Row],[DESCRIPCION]],'CAP23-24'!$H:$H)</f>
        <v>0</v>
      </c>
      <c r="O45" s="69">
        <f ca="1">SUMIF('CAP25'!$B:$H,Insumo[[#This Row],[DESCRIPCION]],'CAP25'!$H:$H)</f>
        <v>0</v>
      </c>
      <c r="P45" s="69">
        <f ca="1">SUMIF('CAP26-28'!$B:$H,Insumo[[#This Row],[DESCRIPCION]],'CAP26-28'!$H:$H)</f>
        <v>0</v>
      </c>
      <c r="Q45" s="69">
        <f ca="1">SUMIF('CAP29'!$B:$H,Insumo[[#This Row],[DESCRIPCION]],'CAP29'!$H:$H)</f>
        <v>0</v>
      </c>
      <c r="R45" s="136" t="s">
        <v>2622</v>
      </c>
      <c r="T45" s="136">
        <v>198736</v>
      </c>
    </row>
    <row r="46" spans="1:20">
      <c r="A46" s="301" t="s">
        <v>2646</v>
      </c>
      <c r="B46" s="303" t="s">
        <v>23</v>
      </c>
      <c r="C46" s="304">
        <f t="shared" si="0"/>
        <v>351672.3</v>
      </c>
      <c r="D46" s="281" cm="1">
        <f t="array" aca="1" ref="D46" ca="1">IF(Insumo[[#This Row],[VALOR]]=0,Insumo[TOTAL],E46/C46)</f>
        <v>0</v>
      </c>
      <c r="E46" s="69">
        <f ca="1">SUM(Insumo[[#This Row],[CAP1-3]:[CAP29]])</f>
        <v>0</v>
      </c>
      <c r="F46" s="69">
        <f ca="1">SUMIF('CAP1-3'!$B:$H,Insumo[[#This Row],[DESCRIPCION]],'CAP1-3'!$H:$H)</f>
        <v>0</v>
      </c>
      <c r="G46" s="69">
        <f ca="1">SUMIF('CAP4-5'!$B:$H,Insumo[[#This Row],[DESCRIPCION]],'CAP4-5'!$H:$H)</f>
        <v>0</v>
      </c>
      <c r="H46" s="69">
        <f ca="1">SUMIF('CAP6-7'!$B:$H,Insumo[[#This Row],[DESCRIPCION]],'CAP6-7'!$H:$H)</f>
        <v>0</v>
      </c>
      <c r="I46" s="69">
        <f ca="1">SUMIF('CAP8'!$B:$H,Insumo[[#This Row],[DESCRIPCION]],'CAP8'!$H:$H)</f>
        <v>0</v>
      </c>
      <c r="J46" s="69">
        <f ca="1">SUMIF('CAP9-13'!$B:$H,Insumo[[#This Row],[DESCRIPCION]],'CAP9-13'!$H:$H)</f>
        <v>0</v>
      </c>
      <c r="K46" s="69">
        <f ca="1">SUMIF('CAP14-15'!$B:$H,Insumo[[#This Row],[DESCRIPCION]],'CAP14-15'!$H:$H)</f>
        <v>0</v>
      </c>
      <c r="L46" s="69">
        <f ca="1">SUMIF('CAP16-18'!$B:$H,Insumo[[#This Row],[DESCRIPCION]],'CAP16-18'!$H:$H)</f>
        <v>0</v>
      </c>
      <c r="M46" s="69">
        <f ca="1">SUMIF('CAP19-22'!$B:$H,Insumo[[#This Row],[DESCRIPCION]],'CAP19-22'!$H:$H)</f>
        <v>0</v>
      </c>
      <c r="N46" s="69">
        <f ca="1">SUMIF('CAP23-24'!$B:$H,Insumo[[#This Row],[DESCRIPCION]],'CAP23-24'!$H:$H)</f>
        <v>0</v>
      </c>
      <c r="O46" s="69">
        <f ca="1">SUMIF('CAP25'!$B:$H,Insumo[[#This Row],[DESCRIPCION]],'CAP25'!$H:$H)</f>
        <v>0</v>
      </c>
      <c r="P46" s="69">
        <f ca="1">SUMIF('CAP26-28'!$B:$H,Insumo[[#This Row],[DESCRIPCION]],'CAP26-28'!$H:$H)</f>
        <v>0</v>
      </c>
      <c r="Q46" s="69">
        <f ca="1">SUMIF('CAP29'!$B:$H,Insumo[[#This Row],[DESCRIPCION]],'CAP29'!$H:$H)</f>
        <v>0</v>
      </c>
      <c r="T46" s="136">
        <v>334926</v>
      </c>
    </row>
    <row r="47" spans="1:20">
      <c r="A47" s="301" t="s">
        <v>2647</v>
      </c>
      <c r="B47" s="303" t="s">
        <v>23</v>
      </c>
      <c r="C47" s="304">
        <f t="shared" si="0"/>
        <v>4725</v>
      </c>
      <c r="D47" s="281" cm="1">
        <f t="array" aca="1" ref="D47" ca="1">IF(Insumo[[#This Row],[VALOR]]=0,Insumo[TOTAL],E47/C47)</f>
        <v>0</v>
      </c>
      <c r="E47" s="69">
        <f ca="1">SUM(Insumo[[#This Row],[CAP1-3]:[CAP29]])</f>
        <v>0</v>
      </c>
      <c r="F47" s="69">
        <f ca="1">SUMIF('CAP1-3'!$B:$H,Insumo[[#This Row],[DESCRIPCION]],'CAP1-3'!$H:$H)</f>
        <v>0</v>
      </c>
      <c r="G47" s="69">
        <f ca="1">SUMIF('CAP4-5'!$B:$H,Insumo[[#This Row],[DESCRIPCION]],'CAP4-5'!$H:$H)</f>
        <v>0</v>
      </c>
      <c r="H47" s="69">
        <f ca="1">SUMIF('CAP6-7'!$B:$H,Insumo[[#This Row],[DESCRIPCION]],'CAP6-7'!$H:$H)</f>
        <v>0</v>
      </c>
      <c r="I47" s="69">
        <f ca="1">SUMIF('CAP8'!$B:$H,Insumo[[#This Row],[DESCRIPCION]],'CAP8'!$H:$H)</f>
        <v>0</v>
      </c>
      <c r="J47" s="69">
        <f ca="1">SUMIF('CAP9-13'!$B:$H,Insumo[[#This Row],[DESCRIPCION]],'CAP9-13'!$H:$H)</f>
        <v>0</v>
      </c>
      <c r="K47" s="69">
        <f ca="1">SUMIF('CAP14-15'!$B:$H,Insumo[[#This Row],[DESCRIPCION]],'CAP14-15'!$H:$H)</f>
        <v>0</v>
      </c>
      <c r="L47" s="69">
        <f ca="1">SUMIF('CAP16-18'!$B:$H,Insumo[[#This Row],[DESCRIPCION]],'CAP16-18'!$H:$H)</f>
        <v>0</v>
      </c>
      <c r="M47" s="69">
        <f ca="1">SUMIF('CAP19-22'!$B:$H,Insumo[[#This Row],[DESCRIPCION]],'CAP19-22'!$H:$H)</f>
        <v>0</v>
      </c>
      <c r="N47" s="69">
        <f ca="1">SUMIF('CAP23-24'!$B:$H,Insumo[[#This Row],[DESCRIPCION]],'CAP23-24'!$H:$H)</f>
        <v>0</v>
      </c>
      <c r="O47" s="69">
        <f ca="1">SUMIF('CAP25'!$B:$H,Insumo[[#This Row],[DESCRIPCION]],'CAP25'!$H:$H)</f>
        <v>0</v>
      </c>
      <c r="P47" s="69">
        <f ca="1">SUMIF('CAP26-28'!$B:$H,Insumo[[#This Row],[DESCRIPCION]],'CAP26-28'!$H:$H)</f>
        <v>0</v>
      </c>
      <c r="Q47" s="69">
        <f ca="1">SUMIF('CAP29'!$B:$H,Insumo[[#This Row],[DESCRIPCION]],'CAP29'!$H:$H)</f>
        <v>0</v>
      </c>
      <c r="R47" s="136" t="s">
        <v>2622</v>
      </c>
      <c r="T47" s="136">
        <v>4500</v>
      </c>
    </row>
    <row r="48" spans="1:20">
      <c r="A48" s="301" t="s">
        <v>2648</v>
      </c>
      <c r="B48" s="303" t="s">
        <v>23</v>
      </c>
      <c r="C48" s="304">
        <f t="shared" si="0"/>
        <v>5561.85</v>
      </c>
      <c r="D48" s="281" cm="1">
        <f t="array" aca="1" ref="D48" ca="1">IF(Insumo[[#This Row],[VALOR]]=0,Insumo[TOTAL],E48/C48)</f>
        <v>0</v>
      </c>
      <c r="E48" s="69">
        <f ca="1">SUM(Insumo[[#This Row],[CAP1-3]:[CAP29]])</f>
        <v>0</v>
      </c>
      <c r="F48" s="69">
        <f ca="1">SUMIF('CAP1-3'!$B:$H,Insumo[[#This Row],[DESCRIPCION]],'CAP1-3'!$H:$H)</f>
        <v>0</v>
      </c>
      <c r="G48" s="69">
        <f ca="1">SUMIF('CAP4-5'!$B:$H,Insumo[[#This Row],[DESCRIPCION]],'CAP4-5'!$H:$H)</f>
        <v>0</v>
      </c>
      <c r="H48" s="69">
        <f ca="1">SUMIF('CAP6-7'!$B:$H,Insumo[[#This Row],[DESCRIPCION]],'CAP6-7'!$H:$H)</f>
        <v>0</v>
      </c>
      <c r="I48" s="69">
        <f ca="1">SUMIF('CAP8'!$B:$H,Insumo[[#This Row],[DESCRIPCION]],'CAP8'!$H:$H)</f>
        <v>0</v>
      </c>
      <c r="J48" s="69">
        <f ca="1">SUMIF('CAP9-13'!$B:$H,Insumo[[#This Row],[DESCRIPCION]],'CAP9-13'!$H:$H)</f>
        <v>0</v>
      </c>
      <c r="K48" s="69">
        <f ca="1">SUMIF('CAP14-15'!$B:$H,Insumo[[#This Row],[DESCRIPCION]],'CAP14-15'!$H:$H)</f>
        <v>0</v>
      </c>
      <c r="L48" s="69">
        <f ca="1">SUMIF('CAP16-18'!$B:$H,Insumo[[#This Row],[DESCRIPCION]],'CAP16-18'!$H:$H)</f>
        <v>0</v>
      </c>
      <c r="M48" s="69">
        <f ca="1">SUMIF('CAP19-22'!$B:$H,Insumo[[#This Row],[DESCRIPCION]],'CAP19-22'!$H:$H)</f>
        <v>0</v>
      </c>
      <c r="N48" s="69">
        <f ca="1">SUMIF('CAP23-24'!$B:$H,Insumo[[#This Row],[DESCRIPCION]],'CAP23-24'!$H:$H)</f>
        <v>0</v>
      </c>
      <c r="O48" s="69">
        <f ca="1">SUMIF('CAP25'!$B:$H,Insumo[[#This Row],[DESCRIPCION]],'CAP25'!$H:$H)</f>
        <v>0</v>
      </c>
      <c r="P48" s="69">
        <f ca="1">SUMIF('CAP26-28'!$B:$H,Insumo[[#This Row],[DESCRIPCION]],'CAP26-28'!$H:$H)</f>
        <v>0</v>
      </c>
      <c r="Q48" s="69">
        <f ca="1">SUMIF('CAP29'!$B:$H,Insumo[[#This Row],[DESCRIPCION]],'CAP29'!$H:$H)</f>
        <v>0</v>
      </c>
      <c r="R48" s="136" t="s">
        <v>2622</v>
      </c>
      <c r="T48" s="136">
        <v>5297</v>
      </c>
    </row>
    <row r="49" spans="1:20">
      <c r="A49" s="301" t="s">
        <v>2649</v>
      </c>
      <c r="B49" s="303" t="s">
        <v>23</v>
      </c>
      <c r="C49" s="304">
        <f t="shared" si="0"/>
        <v>12877.2</v>
      </c>
      <c r="D49" s="281" cm="1">
        <f t="array" aca="1" ref="D49" ca="1">IF(Insumo[[#This Row],[VALOR]]=0,Insumo[TOTAL],E49/C49)</f>
        <v>0</v>
      </c>
      <c r="E49" s="69">
        <f ca="1">SUM(Insumo[[#This Row],[CAP1-3]:[CAP29]])</f>
        <v>0</v>
      </c>
      <c r="F49" s="69">
        <f ca="1">SUMIF('CAP1-3'!$B:$H,Insumo[[#This Row],[DESCRIPCION]],'CAP1-3'!$H:$H)</f>
        <v>0</v>
      </c>
      <c r="G49" s="69">
        <f ca="1">SUMIF('CAP4-5'!$B:$H,Insumo[[#This Row],[DESCRIPCION]],'CAP4-5'!$H:$H)</f>
        <v>0</v>
      </c>
      <c r="H49" s="69">
        <f ca="1">SUMIF('CAP6-7'!$B:$H,Insumo[[#This Row],[DESCRIPCION]],'CAP6-7'!$H:$H)</f>
        <v>0</v>
      </c>
      <c r="I49" s="69">
        <f ca="1">SUMIF('CAP8'!$B:$H,Insumo[[#This Row],[DESCRIPCION]],'CAP8'!$H:$H)</f>
        <v>0</v>
      </c>
      <c r="J49" s="69">
        <f ca="1">SUMIF('CAP9-13'!$B:$H,Insumo[[#This Row],[DESCRIPCION]],'CAP9-13'!$H:$H)</f>
        <v>0</v>
      </c>
      <c r="K49" s="69">
        <f ca="1">SUMIF('CAP14-15'!$B:$H,Insumo[[#This Row],[DESCRIPCION]],'CAP14-15'!$H:$H)</f>
        <v>0</v>
      </c>
      <c r="L49" s="69">
        <f ca="1">SUMIF('CAP16-18'!$B:$H,Insumo[[#This Row],[DESCRIPCION]],'CAP16-18'!$H:$H)</f>
        <v>0</v>
      </c>
      <c r="M49" s="69">
        <f ca="1">SUMIF('CAP19-22'!$B:$H,Insumo[[#This Row],[DESCRIPCION]],'CAP19-22'!$H:$H)</f>
        <v>0</v>
      </c>
      <c r="N49" s="69">
        <f ca="1">SUMIF('CAP23-24'!$B:$H,Insumo[[#This Row],[DESCRIPCION]],'CAP23-24'!$H:$H)</f>
        <v>0</v>
      </c>
      <c r="O49" s="69">
        <f ca="1">SUMIF('CAP25'!$B:$H,Insumo[[#This Row],[DESCRIPCION]],'CAP25'!$H:$H)</f>
        <v>0</v>
      </c>
      <c r="P49" s="69">
        <f ca="1">SUMIF('CAP26-28'!$B:$H,Insumo[[#This Row],[DESCRIPCION]],'CAP26-28'!$H:$H)</f>
        <v>0</v>
      </c>
      <c r="Q49" s="69">
        <f ca="1">SUMIF('CAP29'!$B:$H,Insumo[[#This Row],[DESCRIPCION]],'CAP29'!$H:$H)</f>
        <v>0</v>
      </c>
      <c r="R49" s="136" t="s">
        <v>2622</v>
      </c>
      <c r="T49" s="136">
        <v>12264</v>
      </c>
    </row>
    <row r="50" spans="1:20">
      <c r="A50" s="301" t="s">
        <v>2650</v>
      </c>
      <c r="B50" s="303" t="s">
        <v>23</v>
      </c>
      <c r="C50" s="304">
        <f t="shared" si="0"/>
        <v>22253.7</v>
      </c>
      <c r="D50" s="281" cm="1">
        <f t="array" aca="1" ref="D50" ca="1">IF(Insumo[[#This Row],[VALOR]]=0,Insumo[TOTAL],E50/C50)</f>
        <v>0</v>
      </c>
      <c r="E50" s="69">
        <f ca="1">SUM(Insumo[[#This Row],[CAP1-3]:[CAP29]])</f>
        <v>0</v>
      </c>
      <c r="F50" s="69">
        <f ca="1">SUMIF('CAP1-3'!$B:$H,Insumo[[#This Row],[DESCRIPCION]],'CAP1-3'!$H:$H)</f>
        <v>0</v>
      </c>
      <c r="G50" s="69">
        <f ca="1">SUMIF('CAP4-5'!$B:$H,Insumo[[#This Row],[DESCRIPCION]],'CAP4-5'!$H:$H)</f>
        <v>0</v>
      </c>
      <c r="H50" s="69">
        <f ca="1">SUMIF('CAP6-7'!$B:$H,Insumo[[#This Row],[DESCRIPCION]],'CAP6-7'!$H:$H)</f>
        <v>0</v>
      </c>
      <c r="I50" s="69">
        <f ca="1">SUMIF('CAP8'!$B:$H,Insumo[[#This Row],[DESCRIPCION]],'CAP8'!$H:$H)</f>
        <v>0</v>
      </c>
      <c r="J50" s="69">
        <f ca="1">SUMIF('CAP9-13'!$B:$H,Insumo[[#This Row],[DESCRIPCION]],'CAP9-13'!$H:$H)</f>
        <v>0</v>
      </c>
      <c r="K50" s="69">
        <f ca="1">SUMIF('CAP14-15'!$B:$H,Insumo[[#This Row],[DESCRIPCION]],'CAP14-15'!$H:$H)</f>
        <v>0</v>
      </c>
      <c r="L50" s="69">
        <f ca="1">SUMIF('CAP16-18'!$B:$H,Insumo[[#This Row],[DESCRIPCION]],'CAP16-18'!$H:$H)</f>
        <v>0</v>
      </c>
      <c r="M50" s="69">
        <f ca="1">SUMIF('CAP19-22'!$B:$H,Insumo[[#This Row],[DESCRIPCION]],'CAP19-22'!$H:$H)</f>
        <v>0</v>
      </c>
      <c r="N50" s="69">
        <f ca="1">SUMIF('CAP23-24'!$B:$H,Insumo[[#This Row],[DESCRIPCION]],'CAP23-24'!$H:$H)</f>
        <v>0</v>
      </c>
      <c r="O50" s="69">
        <f ca="1">SUMIF('CAP25'!$B:$H,Insumo[[#This Row],[DESCRIPCION]],'CAP25'!$H:$H)</f>
        <v>0</v>
      </c>
      <c r="P50" s="69">
        <f ca="1">SUMIF('CAP26-28'!$B:$H,Insumo[[#This Row],[DESCRIPCION]],'CAP26-28'!$H:$H)</f>
        <v>0</v>
      </c>
      <c r="Q50" s="69">
        <f ca="1">SUMIF('CAP29'!$B:$H,Insumo[[#This Row],[DESCRIPCION]],'CAP29'!$H:$H)</f>
        <v>0</v>
      </c>
      <c r="R50" s="136" t="s">
        <v>2622</v>
      </c>
      <c r="T50" s="136">
        <v>21194</v>
      </c>
    </row>
    <row r="51" spans="1:20">
      <c r="A51" s="301" t="s">
        <v>2651</v>
      </c>
      <c r="B51" s="303" t="s">
        <v>23</v>
      </c>
      <c r="C51" s="304">
        <f t="shared" si="0"/>
        <v>188779.5</v>
      </c>
      <c r="D51" s="281" cm="1">
        <f t="array" aca="1" ref="D51" ca="1">IF(Insumo[[#This Row],[VALOR]]=0,Insumo[TOTAL],E51/C51)</f>
        <v>0</v>
      </c>
      <c r="E51" s="69">
        <f ca="1">SUM(Insumo[[#This Row],[CAP1-3]:[CAP29]])</f>
        <v>0</v>
      </c>
      <c r="F51" s="69">
        <f ca="1">SUMIF('CAP1-3'!$B:$H,Insumo[[#This Row],[DESCRIPCION]],'CAP1-3'!$H:$H)</f>
        <v>0</v>
      </c>
      <c r="G51" s="69">
        <f ca="1">SUMIF('CAP4-5'!$B:$H,Insumo[[#This Row],[DESCRIPCION]],'CAP4-5'!$H:$H)</f>
        <v>0</v>
      </c>
      <c r="H51" s="69">
        <f ca="1">SUMIF('CAP6-7'!$B:$H,Insumo[[#This Row],[DESCRIPCION]],'CAP6-7'!$H:$H)</f>
        <v>0</v>
      </c>
      <c r="I51" s="69">
        <f ca="1">SUMIF('CAP8'!$B:$H,Insumo[[#This Row],[DESCRIPCION]],'CAP8'!$H:$H)</f>
        <v>0</v>
      </c>
      <c r="J51" s="69">
        <f ca="1">SUMIF('CAP9-13'!$B:$H,Insumo[[#This Row],[DESCRIPCION]],'CAP9-13'!$H:$H)</f>
        <v>0</v>
      </c>
      <c r="K51" s="69">
        <f ca="1">SUMIF('CAP14-15'!$B:$H,Insumo[[#This Row],[DESCRIPCION]],'CAP14-15'!$H:$H)</f>
        <v>0</v>
      </c>
      <c r="L51" s="69">
        <f ca="1">SUMIF('CAP16-18'!$B:$H,Insumo[[#This Row],[DESCRIPCION]],'CAP16-18'!$H:$H)</f>
        <v>0</v>
      </c>
      <c r="M51" s="69">
        <f ca="1">SUMIF('CAP19-22'!$B:$H,Insumo[[#This Row],[DESCRIPCION]],'CAP19-22'!$H:$H)</f>
        <v>0</v>
      </c>
      <c r="N51" s="69">
        <f ca="1">SUMIF('CAP23-24'!$B:$H,Insumo[[#This Row],[DESCRIPCION]],'CAP23-24'!$H:$H)</f>
        <v>0</v>
      </c>
      <c r="O51" s="69">
        <f ca="1">SUMIF('CAP25'!$B:$H,Insumo[[#This Row],[DESCRIPCION]],'CAP25'!$H:$H)</f>
        <v>0</v>
      </c>
      <c r="P51" s="69">
        <f ca="1">SUMIF('CAP26-28'!$B:$H,Insumo[[#This Row],[DESCRIPCION]],'CAP26-28'!$H:$H)</f>
        <v>0</v>
      </c>
      <c r="Q51" s="69">
        <f ca="1">SUMIF('CAP29'!$B:$H,Insumo[[#This Row],[DESCRIPCION]],'CAP29'!$H:$H)</f>
        <v>0</v>
      </c>
      <c r="R51" s="136" t="s">
        <v>2622</v>
      </c>
      <c r="T51" s="136">
        <v>179790</v>
      </c>
    </row>
    <row r="52" spans="1:20">
      <c r="A52" s="301" t="s">
        <v>2652</v>
      </c>
      <c r="B52" s="303" t="s">
        <v>23</v>
      </c>
      <c r="C52" s="304">
        <f t="shared" si="0"/>
        <v>9149.7000000000007</v>
      </c>
      <c r="D52" s="281" cm="1">
        <f t="array" aca="1" ref="D52" ca="1">IF(Insumo[[#This Row],[VALOR]]=0,Insumo[TOTAL],E52/C52)</f>
        <v>0</v>
      </c>
      <c r="E52" s="69">
        <f ca="1">SUM(Insumo[[#This Row],[CAP1-3]:[CAP29]])</f>
        <v>0</v>
      </c>
      <c r="F52" s="69">
        <f ca="1">SUMIF('CAP1-3'!$B:$H,Insumo[[#This Row],[DESCRIPCION]],'CAP1-3'!$H:$H)</f>
        <v>0</v>
      </c>
      <c r="G52" s="69">
        <f ca="1">SUMIF('CAP4-5'!$B:$H,Insumo[[#This Row],[DESCRIPCION]],'CAP4-5'!$H:$H)</f>
        <v>0</v>
      </c>
      <c r="H52" s="69">
        <f ca="1">SUMIF('CAP6-7'!$B:$H,Insumo[[#This Row],[DESCRIPCION]],'CAP6-7'!$H:$H)</f>
        <v>0</v>
      </c>
      <c r="I52" s="69">
        <f ca="1">SUMIF('CAP8'!$B:$H,Insumo[[#This Row],[DESCRIPCION]],'CAP8'!$H:$H)</f>
        <v>0</v>
      </c>
      <c r="J52" s="69">
        <f ca="1">SUMIF('CAP9-13'!$B:$H,Insumo[[#This Row],[DESCRIPCION]],'CAP9-13'!$H:$H)</f>
        <v>0</v>
      </c>
      <c r="K52" s="69">
        <f ca="1">SUMIF('CAP14-15'!$B:$H,Insumo[[#This Row],[DESCRIPCION]],'CAP14-15'!$H:$H)</f>
        <v>0</v>
      </c>
      <c r="L52" s="69">
        <f ca="1">SUMIF('CAP16-18'!$B:$H,Insumo[[#This Row],[DESCRIPCION]],'CAP16-18'!$H:$H)</f>
        <v>0</v>
      </c>
      <c r="M52" s="69">
        <f ca="1">SUMIF('CAP19-22'!$B:$H,Insumo[[#This Row],[DESCRIPCION]],'CAP19-22'!$H:$H)</f>
        <v>0</v>
      </c>
      <c r="N52" s="69">
        <f ca="1">SUMIF('CAP23-24'!$B:$H,Insumo[[#This Row],[DESCRIPCION]],'CAP23-24'!$H:$H)</f>
        <v>0</v>
      </c>
      <c r="O52" s="69">
        <f ca="1">SUMIF('CAP25'!$B:$H,Insumo[[#This Row],[DESCRIPCION]],'CAP25'!$H:$H)</f>
        <v>0</v>
      </c>
      <c r="P52" s="69">
        <f ca="1">SUMIF('CAP26-28'!$B:$H,Insumo[[#This Row],[DESCRIPCION]],'CAP26-28'!$H:$H)</f>
        <v>0</v>
      </c>
      <c r="Q52" s="69">
        <f ca="1">SUMIF('CAP29'!$B:$H,Insumo[[#This Row],[DESCRIPCION]],'CAP29'!$H:$H)</f>
        <v>0</v>
      </c>
      <c r="T52" s="136">
        <v>8714</v>
      </c>
    </row>
    <row r="53" spans="1:20">
      <c r="A53" s="301" t="s">
        <v>2653</v>
      </c>
      <c r="B53" s="303" t="s">
        <v>338</v>
      </c>
      <c r="C53" s="304">
        <f t="shared" si="0"/>
        <v>5686.8</v>
      </c>
      <c r="D53" s="281" cm="1">
        <f t="array" aca="1" ref="D53" ca="1">IF(Insumo[[#This Row],[VALOR]]=0,Insumo[TOTAL],E53/C53)</f>
        <v>0</v>
      </c>
      <c r="E53" s="69">
        <f ca="1">SUM(Insumo[[#This Row],[CAP1-3]:[CAP29]])</f>
        <v>0</v>
      </c>
      <c r="F53" s="69">
        <f ca="1">SUMIF('CAP1-3'!$B:$H,Insumo[[#This Row],[DESCRIPCION]],'CAP1-3'!$H:$H)</f>
        <v>0</v>
      </c>
      <c r="G53" s="69">
        <f ca="1">SUMIF('CAP4-5'!$B:$H,Insumo[[#This Row],[DESCRIPCION]],'CAP4-5'!$H:$H)</f>
        <v>0</v>
      </c>
      <c r="H53" s="69">
        <f ca="1">SUMIF('CAP6-7'!$B:$H,Insumo[[#This Row],[DESCRIPCION]],'CAP6-7'!$H:$H)</f>
        <v>0</v>
      </c>
      <c r="I53" s="69">
        <f ca="1">SUMIF('CAP8'!$B:$H,Insumo[[#This Row],[DESCRIPCION]],'CAP8'!$H:$H)</f>
        <v>0</v>
      </c>
      <c r="J53" s="69">
        <f ca="1">SUMIF('CAP9-13'!$B:$H,Insumo[[#This Row],[DESCRIPCION]],'CAP9-13'!$H:$H)</f>
        <v>0</v>
      </c>
      <c r="K53" s="69">
        <f ca="1">SUMIF('CAP14-15'!$B:$H,Insumo[[#This Row],[DESCRIPCION]],'CAP14-15'!$H:$H)</f>
        <v>0</v>
      </c>
      <c r="L53" s="69">
        <f ca="1">SUMIF('CAP16-18'!$B:$H,Insumo[[#This Row],[DESCRIPCION]],'CAP16-18'!$H:$H)</f>
        <v>0</v>
      </c>
      <c r="M53" s="69">
        <f ca="1">SUMIF('CAP19-22'!$B:$H,Insumo[[#This Row],[DESCRIPCION]],'CAP19-22'!$H:$H)</f>
        <v>0</v>
      </c>
      <c r="N53" s="69">
        <f ca="1">SUMIF('CAP23-24'!$B:$H,Insumo[[#This Row],[DESCRIPCION]],'CAP23-24'!$H:$H)</f>
        <v>0</v>
      </c>
      <c r="O53" s="69">
        <f ca="1">SUMIF('CAP25'!$B:$H,Insumo[[#This Row],[DESCRIPCION]],'CAP25'!$H:$H)</f>
        <v>0</v>
      </c>
      <c r="P53" s="69">
        <f ca="1">SUMIF('CAP26-28'!$B:$H,Insumo[[#This Row],[DESCRIPCION]],'CAP26-28'!$H:$H)</f>
        <v>0</v>
      </c>
      <c r="Q53" s="69">
        <f ca="1">SUMIF('CAP29'!$B:$H,Insumo[[#This Row],[DESCRIPCION]],'CAP29'!$H:$H)</f>
        <v>0</v>
      </c>
      <c r="T53" s="136">
        <v>5416</v>
      </c>
    </row>
    <row r="54" spans="1:20">
      <c r="A54" s="301" t="s">
        <v>2654</v>
      </c>
      <c r="B54" s="303" t="s">
        <v>338</v>
      </c>
      <c r="C54" s="304">
        <f t="shared" si="0"/>
        <v>8524.9500000000007</v>
      </c>
      <c r="D54" s="281" cm="1">
        <f t="array" aca="1" ref="D54" ca="1">IF(Insumo[[#This Row],[VALOR]]=0,Insumo[TOTAL],E54/C54)</f>
        <v>0</v>
      </c>
      <c r="E54" s="69">
        <f ca="1">SUM(Insumo[[#This Row],[CAP1-3]:[CAP29]])</f>
        <v>0</v>
      </c>
      <c r="F54" s="69">
        <f ca="1">SUMIF('CAP1-3'!$B:$H,Insumo[[#This Row],[DESCRIPCION]],'CAP1-3'!$H:$H)</f>
        <v>0</v>
      </c>
      <c r="G54" s="69">
        <f ca="1">SUMIF('CAP4-5'!$B:$H,Insumo[[#This Row],[DESCRIPCION]],'CAP4-5'!$H:$H)</f>
        <v>0</v>
      </c>
      <c r="H54" s="69">
        <f ca="1">SUMIF('CAP6-7'!$B:$H,Insumo[[#This Row],[DESCRIPCION]],'CAP6-7'!$H:$H)</f>
        <v>0</v>
      </c>
      <c r="I54" s="69">
        <f ca="1">SUMIF('CAP8'!$B:$H,Insumo[[#This Row],[DESCRIPCION]],'CAP8'!$H:$H)</f>
        <v>0</v>
      </c>
      <c r="J54" s="69">
        <f ca="1">SUMIF('CAP9-13'!$B:$H,Insumo[[#This Row],[DESCRIPCION]],'CAP9-13'!$H:$H)</f>
        <v>0</v>
      </c>
      <c r="K54" s="69">
        <f ca="1">SUMIF('CAP14-15'!$B:$H,Insumo[[#This Row],[DESCRIPCION]],'CAP14-15'!$H:$H)</f>
        <v>0</v>
      </c>
      <c r="L54" s="69">
        <f ca="1">SUMIF('CAP16-18'!$B:$H,Insumo[[#This Row],[DESCRIPCION]],'CAP16-18'!$H:$H)</f>
        <v>0</v>
      </c>
      <c r="M54" s="69">
        <f ca="1">SUMIF('CAP19-22'!$B:$H,Insumo[[#This Row],[DESCRIPCION]],'CAP19-22'!$H:$H)</f>
        <v>0</v>
      </c>
      <c r="N54" s="69">
        <f ca="1">SUMIF('CAP23-24'!$B:$H,Insumo[[#This Row],[DESCRIPCION]],'CAP23-24'!$H:$H)</f>
        <v>0</v>
      </c>
      <c r="O54" s="69">
        <f ca="1">SUMIF('CAP25'!$B:$H,Insumo[[#This Row],[DESCRIPCION]],'CAP25'!$H:$H)</f>
        <v>0</v>
      </c>
      <c r="P54" s="69">
        <f ca="1">SUMIF('CAP26-28'!$B:$H,Insumo[[#This Row],[DESCRIPCION]],'CAP26-28'!$H:$H)</f>
        <v>0</v>
      </c>
      <c r="Q54" s="69">
        <f ca="1">SUMIF('CAP29'!$B:$H,Insumo[[#This Row],[DESCRIPCION]],'CAP29'!$H:$H)</f>
        <v>0</v>
      </c>
      <c r="R54" s="290"/>
      <c r="T54" s="136">
        <v>8119</v>
      </c>
    </row>
    <row r="55" spans="1:20">
      <c r="A55" s="301" t="s">
        <v>2655</v>
      </c>
      <c r="B55" s="303" t="s">
        <v>23</v>
      </c>
      <c r="C55" s="304">
        <f t="shared" si="0"/>
        <v>2501.1</v>
      </c>
      <c r="D55" s="281" cm="1">
        <f t="array" aca="1" ref="D55" ca="1">IF(Insumo[[#This Row],[VALOR]]=0,Insumo[TOTAL],E55/C55)</f>
        <v>0</v>
      </c>
      <c r="E55" s="69">
        <f ca="1">SUM(Insumo[[#This Row],[CAP1-3]:[CAP29]])</f>
        <v>0</v>
      </c>
      <c r="F55" s="69">
        <f ca="1">SUMIF('CAP1-3'!$B:$H,Insumo[[#This Row],[DESCRIPCION]],'CAP1-3'!$H:$H)</f>
        <v>0</v>
      </c>
      <c r="G55" s="69">
        <f ca="1">SUMIF('CAP4-5'!$B:$H,Insumo[[#This Row],[DESCRIPCION]],'CAP4-5'!$H:$H)</f>
        <v>0</v>
      </c>
      <c r="H55" s="69">
        <f ca="1">SUMIF('CAP6-7'!$B:$H,Insumo[[#This Row],[DESCRIPCION]],'CAP6-7'!$H:$H)</f>
        <v>0</v>
      </c>
      <c r="I55" s="69">
        <f ca="1">SUMIF('CAP8'!$B:$H,Insumo[[#This Row],[DESCRIPCION]],'CAP8'!$H:$H)</f>
        <v>0</v>
      </c>
      <c r="J55" s="69">
        <f ca="1">SUMIF('CAP9-13'!$B:$H,Insumo[[#This Row],[DESCRIPCION]],'CAP9-13'!$H:$H)</f>
        <v>0</v>
      </c>
      <c r="K55" s="69">
        <f ca="1">SUMIF('CAP14-15'!$B:$H,Insumo[[#This Row],[DESCRIPCION]],'CAP14-15'!$H:$H)</f>
        <v>0</v>
      </c>
      <c r="L55" s="69">
        <f ca="1">SUMIF('CAP16-18'!$B:$H,Insumo[[#This Row],[DESCRIPCION]],'CAP16-18'!$H:$H)</f>
        <v>0</v>
      </c>
      <c r="M55" s="69">
        <f ca="1">SUMIF('CAP19-22'!$B:$H,Insumo[[#This Row],[DESCRIPCION]],'CAP19-22'!$H:$H)</f>
        <v>0</v>
      </c>
      <c r="N55" s="69">
        <f ca="1">SUMIF('CAP23-24'!$B:$H,Insumo[[#This Row],[DESCRIPCION]],'CAP23-24'!$H:$H)</f>
        <v>0</v>
      </c>
      <c r="O55" s="69">
        <f ca="1">SUMIF('CAP25'!$B:$H,Insumo[[#This Row],[DESCRIPCION]],'CAP25'!$H:$H)</f>
        <v>0</v>
      </c>
      <c r="P55" s="69">
        <f ca="1">SUMIF('CAP26-28'!$B:$H,Insumo[[#This Row],[DESCRIPCION]],'CAP26-28'!$H:$H)</f>
        <v>0</v>
      </c>
      <c r="Q55" s="69">
        <f ca="1">SUMIF('CAP29'!$B:$H,Insumo[[#This Row],[DESCRIPCION]],'CAP29'!$H:$H)</f>
        <v>0</v>
      </c>
      <c r="R55" s="290"/>
      <c r="T55" s="136">
        <v>2382</v>
      </c>
    </row>
    <row r="56" spans="1:20">
      <c r="A56" s="301" t="s">
        <v>2656</v>
      </c>
      <c r="B56" s="303" t="s">
        <v>23</v>
      </c>
      <c r="C56" s="304">
        <f t="shared" si="0"/>
        <v>3295.9500000000003</v>
      </c>
      <c r="D56" s="281" cm="1">
        <f t="array" aca="1" ref="D56" ca="1">IF(Insumo[[#This Row],[VALOR]]=0,Insumo[TOTAL],E56/C56)</f>
        <v>0</v>
      </c>
      <c r="E56" s="69">
        <f ca="1">SUM(Insumo[[#This Row],[CAP1-3]:[CAP29]])</f>
        <v>0</v>
      </c>
      <c r="F56" s="69">
        <f ca="1">SUMIF('CAP1-3'!$B:$H,Insumo[[#This Row],[DESCRIPCION]],'CAP1-3'!$H:$H)</f>
        <v>0</v>
      </c>
      <c r="G56" s="69">
        <f ca="1">SUMIF('CAP4-5'!$B:$H,Insumo[[#This Row],[DESCRIPCION]],'CAP4-5'!$H:$H)</f>
        <v>0</v>
      </c>
      <c r="H56" s="69">
        <f ca="1">SUMIF('CAP6-7'!$B:$H,Insumo[[#This Row],[DESCRIPCION]],'CAP6-7'!$H:$H)</f>
        <v>0</v>
      </c>
      <c r="I56" s="69">
        <f ca="1">SUMIF('CAP8'!$B:$H,Insumo[[#This Row],[DESCRIPCION]],'CAP8'!$H:$H)</f>
        <v>0</v>
      </c>
      <c r="J56" s="69">
        <f ca="1">SUMIF('CAP9-13'!$B:$H,Insumo[[#This Row],[DESCRIPCION]],'CAP9-13'!$H:$H)</f>
        <v>0</v>
      </c>
      <c r="K56" s="69">
        <f ca="1">SUMIF('CAP14-15'!$B:$H,Insumo[[#This Row],[DESCRIPCION]],'CAP14-15'!$H:$H)</f>
        <v>0</v>
      </c>
      <c r="L56" s="69">
        <f ca="1">SUMIF('CAP16-18'!$B:$H,Insumo[[#This Row],[DESCRIPCION]],'CAP16-18'!$H:$H)</f>
        <v>0</v>
      </c>
      <c r="M56" s="69">
        <f ca="1">SUMIF('CAP19-22'!$B:$H,Insumo[[#This Row],[DESCRIPCION]],'CAP19-22'!$H:$H)</f>
        <v>0</v>
      </c>
      <c r="N56" s="69">
        <f ca="1">SUMIF('CAP23-24'!$B:$H,Insumo[[#This Row],[DESCRIPCION]],'CAP23-24'!$H:$H)</f>
        <v>0</v>
      </c>
      <c r="O56" s="69">
        <f ca="1">SUMIF('CAP25'!$B:$H,Insumo[[#This Row],[DESCRIPCION]],'CAP25'!$H:$H)</f>
        <v>0</v>
      </c>
      <c r="P56" s="69">
        <f ca="1">SUMIF('CAP26-28'!$B:$H,Insumo[[#This Row],[DESCRIPCION]],'CAP26-28'!$H:$H)</f>
        <v>0</v>
      </c>
      <c r="Q56" s="69">
        <f ca="1">SUMIF('CAP29'!$B:$H,Insumo[[#This Row],[DESCRIPCION]],'CAP29'!$H:$H)</f>
        <v>0</v>
      </c>
      <c r="R56" s="290"/>
      <c r="T56" s="136">
        <v>3139</v>
      </c>
    </row>
    <row r="57" spans="1:20">
      <c r="A57" s="301" t="s">
        <v>2657</v>
      </c>
      <c r="B57" s="303" t="s">
        <v>23</v>
      </c>
      <c r="C57" s="304">
        <f t="shared" si="0"/>
        <v>2727.9</v>
      </c>
      <c r="D57" s="281" cm="1">
        <f t="array" aca="1" ref="D57" ca="1">IF(Insumo[[#This Row],[VALOR]]=0,Insumo[TOTAL],E57/C57)</f>
        <v>0</v>
      </c>
      <c r="E57" s="69">
        <f ca="1">SUM(Insumo[[#This Row],[CAP1-3]:[CAP29]])</f>
        <v>0</v>
      </c>
      <c r="F57" s="69">
        <f ca="1">SUMIF('CAP1-3'!$B:$H,Insumo[[#This Row],[DESCRIPCION]],'CAP1-3'!$H:$H)</f>
        <v>0</v>
      </c>
      <c r="G57" s="69">
        <f ca="1">SUMIF('CAP4-5'!$B:$H,Insumo[[#This Row],[DESCRIPCION]],'CAP4-5'!$H:$H)</f>
        <v>0</v>
      </c>
      <c r="H57" s="69">
        <f ca="1">SUMIF('CAP6-7'!$B:$H,Insumo[[#This Row],[DESCRIPCION]],'CAP6-7'!$H:$H)</f>
        <v>0</v>
      </c>
      <c r="I57" s="69">
        <f ca="1">SUMIF('CAP8'!$B:$H,Insumo[[#This Row],[DESCRIPCION]],'CAP8'!$H:$H)</f>
        <v>0</v>
      </c>
      <c r="J57" s="69">
        <f ca="1">SUMIF('CAP9-13'!$B:$H,Insumo[[#This Row],[DESCRIPCION]],'CAP9-13'!$H:$H)</f>
        <v>0</v>
      </c>
      <c r="K57" s="69">
        <f ca="1">SUMIF('CAP14-15'!$B:$H,Insumo[[#This Row],[DESCRIPCION]],'CAP14-15'!$H:$H)</f>
        <v>0</v>
      </c>
      <c r="L57" s="69">
        <f ca="1">SUMIF('CAP16-18'!$B:$H,Insumo[[#This Row],[DESCRIPCION]],'CAP16-18'!$H:$H)</f>
        <v>0</v>
      </c>
      <c r="M57" s="69">
        <f ca="1">SUMIF('CAP19-22'!$B:$H,Insumo[[#This Row],[DESCRIPCION]],'CAP19-22'!$H:$H)</f>
        <v>0</v>
      </c>
      <c r="N57" s="69">
        <f ca="1">SUMIF('CAP23-24'!$B:$H,Insumo[[#This Row],[DESCRIPCION]],'CAP23-24'!$H:$H)</f>
        <v>0</v>
      </c>
      <c r="O57" s="69">
        <f ca="1">SUMIF('CAP25'!$B:$H,Insumo[[#This Row],[DESCRIPCION]],'CAP25'!$H:$H)</f>
        <v>0</v>
      </c>
      <c r="P57" s="69">
        <f ca="1">SUMIF('CAP26-28'!$B:$H,Insumo[[#This Row],[DESCRIPCION]],'CAP26-28'!$H:$H)</f>
        <v>0</v>
      </c>
      <c r="Q57" s="69">
        <f ca="1">SUMIF('CAP29'!$B:$H,Insumo[[#This Row],[DESCRIPCION]],'CAP29'!$H:$H)</f>
        <v>0</v>
      </c>
      <c r="R57" s="290"/>
      <c r="T57" s="136">
        <v>2598</v>
      </c>
    </row>
    <row r="58" spans="1:20">
      <c r="A58" s="301" t="s">
        <v>2658</v>
      </c>
      <c r="B58" s="303" t="s">
        <v>23</v>
      </c>
      <c r="C58" s="304">
        <f t="shared" si="0"/>
        <v>2273.25</v>
      </c>
      <c r="D58" s="281" cm="1">
        <f t="array" aca="1" ref="D58" ca="1">IF(Insumo[[#This Row],[VALOR]]=0,Insumo[TOTAL],E58/C58)</f>
        <v>0</v>
      </c>
      <c r="E58" s="69">
        <f ca="1">SUM(Insumo[[#This Row],[CAP1-3]:[CAP29]])</f>
        <v>0</v>
      </c>
      <c r="F58" s="69">
        <f ca="1">SUMIF('CAP1-3'!$B:$H,Insumo[[#This Row],[DESCRIPCION]],'CAP1-3'!$H:$H)</f>
        <v>0</v>
      </c>
      <c r="G58" s="69">
        <f ca="1">SUMIF('CAP4-5'!$B:$H,Insumo[[#This Row],[DESCRIPCION]],'CAP4-5'!$H:$H)</f>
        <v>0</v>
      </c>
      <c r="H58" s="69">
        <f ca="1">SUMIF('CAP6-7'!$B:$H,Insumo[[#This Row],[DESCRIPCION]],'CAP6-7'!$H:$H)</f>
        <v>0</v>
      </c>
      <c r="I58" s="69">
        <f ca="1">SUMIF('CAP8'!$B:$H,Insumo[[#This Row],[DESCRIPCION]],'CAP8'!$H:$H)</f>
        <v>0</v>
      </c>
      <c r="J58" s="69">
        <f ca="1">SUMIF('CAP9-13'!$B:$H,Insumo[[#This Row],[DESCRIPCION]],'CAP9-13'!$H:$H)</f>
        <v>0</v>
      </c>
      <c r="K58" s="69">
        <f ca="1">SUMIF('CAP14-15'!$B:$H,Insumo[[#This Row],[DESCRIPCION]],'CAP14-15'!$H:$H)</f>
        <v>0</v>
      </c>
      <c r="L58" s="69">
        <f ca="1">SUMIF('CAP16-18'!$B:$H,Insumo[[#This Row],[DESCRIPCION]],'CAP16-18'!$H:$H)</f>
        <v>0</v>
      </c>
      <c r="M58" s="69">
        <f ca="1">SUMIF('CAP19-22'!$B:$H,Insumo[[#This Row],[DESCRIPCION]],'CAP19-22'!$H:$H)</f>
        <v>0</v>
      </c>
      <c r="N58" s="69">
        <f ca="1">SUMIF('CAP23-24'!$B:$H,Insumo[[#This Row],[DESCRIPCION]],'CAP23-24'!$H:$H)</f>
        <v>0</v>
      </c>
      <c r="O58" s="69">
        <f ca="1">SUMIF('CAP25'!$B:$H,Insumo[[#This Row],[DESCRIPCION]],'CAP25'!$H:$H)</f>
        <v>0</v>
      </c>
      <c r="P58" s="69">
        <f ca="1">SUMIF('CAP26-28'!$B:$H,Insumo[[#This Row],[DESCRIPCION]],'CAP26-28'!$H:$H)</f>
        <v>0</v>
      </c>
      <c r="Q58" s="69">
        <f ca="1">SUMIF('CAP29'!$B:$H,Insumo[[#This Row],[DESCRIPCION]],'CAP29'!$H:$H)</f>
        <v>0</v>
      </c>
      <c r="R58" s="290"/>
      <c r="T58" s="136">
        <v>2165</v>
      </c>
    </row>
    <row r="59" spans="1:20">
      <c r="A59" s="301" t="s">
        <v>2659</v>
      </c>
      <c r="B59" s="303" t="s">
        <v>23</v>
      </c>
      <c r="C59" s="304">
        <f t="shared" si="0"/>
        <v>3978.4500000000003</v>
      </c>
      <c r="D59" s="281" cm="1">
        <f t="array" aca="1" ref="D59" ca="1">IF(Insumo[[#This Row],[VALOR]]=0,Insumo[TOTAL],E59/C59)</f>
        <v>0</v>
      </c>
      <c r="E59" s="69">
        <f ca="1">SUM(Insumo[[#This Row],[CAP1-3]:[CAP29]])</f>
        <v>0</v>
      </c>
      <c r="F59" s="69">
        <f ca="1">SUMIF('CAP1-3'!$B:$H,Insumo[[#This Row],[DESCRIPCION]],'CAP1-3'!$H:$H)</f>
        <v>0</v>
      </c>
      <c r="G59" s="69">
        <f ca="1">SUMIF('CAP4-5'!$B:$H,Insumo[[#This Row],[DESCRIPCION]],'CAP4-5'!$H:$H)</f>
        <v>0</v>
      </c>
      <c r="H59" s="69">
        <f ca="1">SUMIF('CAP6-7'!$B:$H,Insumo[[#This Row],[DESCRIPCION]],'CAP6-7'!$H:$H)</f>
        <v>0</v>
      </c>
      <c r="I59" s="69">
        <f ca="1">SUMIF('CAP8'!$B:$H,Insumo[[#This Row],[DESCRIPCION]],'CAP8'!$H:$H)</f>
        <v>0</v>
      </c>
      <c r="J59" s="69">
        <f ca="1">SUMIF('CAP9-13'!$B:$H,Insumo[[#This Row],[DESCRIPCION]],'CAP9-13'!$H:$H)</f>
        <v>0</v>
      </c>
      <c r="K59" s="69">
        <f ca="1">SUMIF('CAP14-15'!$B:$H,Insumo[[#This Row],[DESCRIPCION]],'CAP14-15'!$H:$H)</f>
        <v>0</v>
      </c>
      <c r="L59" s="69">
        <f ca="1">SUMIF('CAP16-18'!$B:$H,Insumo[[#This Row],[DESCRIPCION]],'CAP16-18'!$H:$H)</f>
        <v>0</v>
      </c>
      <c r="M59" s="69">
        <f ca="1">SUMIF('CAP19-22'!$B:$H,Insumo[[#This Row],[DESCRIPCION]],'CAP19-22'!$H:$H)</f>
        <v>0</v>
      </c>
      <c r="N59" s="69">
        <f ca="1">SUMIF('CAP23-24'!$B:$H,Insumo[[#This Row],[DESCRIPCION]],'CAP23-24'!$H:$H)</f>
        <v>0</v>
      </c>
      <c r="O59" s="69">
        <f ca="1">SUMIF('CAP25'!$B:$H,Insumo[[#This Row],[DESCRIPCION]],'CAP25'!$H:$H)</f>
        <v>0</v>
      </c>
      <c r="P59" s="69">
        <f ca="1">SUMIF('CAP26-28'!$B:$H,Insumo[[#This Row],[DESCRIPCION]],'CAP26-28'!$H:$H)</f>
        <v>0</v>
      </c>
      <c r="Q59" s="69">
        <f ca="1">SUMIF('CAP29'!$B:$H,Insumo[[#This Row],[DESCRIPCION]],'CAP29'!$H:$H)</f>
        <v>0</v>
      </c>
      <c r="R59" s="290"/>
      <c r="T59" s="136">
        <v>3789</v>
      </c>
    </row>
    <row r="60" spans="1:20">
      <c r="A60" s="301" t="s">
        <v>2660</v>
      </c>
      <c r="B60" s="303" t="s">
        <v>23</v>
      </c>
      <c r="C60" s="304">
        <f t="shared" si="0"/>
        <v>3750.6000000000004</v>
      </c>
      <c r="D60" s="281" cm="1">
        <f t="array" aca="1" ref="D60" ca="1">IF(Insumo[[#This Row],[VALOR]]=0,Insumo[TOTAL],E60/C60)</f>
        <v>0</v>
      </c>
      <c r="E60" s="69">
        <f ca="1">SUM(Insumo[[#This Row],[CAP1-3]:[CAP29]])</f>
        <v>0</v>
      </c>
      <c r="F60" s="69">
        <f ca="1">SUMIF('CAP1-3'!$B:$H,Insumo[[#This Row],[DESCRIPCION]],'CAP1-3'!$H:$H)</f>
        <v>0</v>
      </c>
      <c r="G60" s="69">
        <f ca="1">SUMIF('CAP4-5'!$B:$H,Insumo[[#This Row],[DESCRIPCION]],'CAP4-5'!$H:$H)</f>
        <v>0</v>
      </c>
      <c r="H60" s="69">
        <f ca="1">SUMIF('CAP6-7'!$B:$H,Insumo[[#This Row],[DESCRIPCION]],'CAP6-7'!$H:$H)</f>
        <v>0</v>
      </c>
      <c r="I60" s="69">
        <f ca="1">SUMIF('CAP8'!$B:$H,Insumo[[#This Row],[DESCRIPCION]],'CAP8'!$H:$H)</f>
        <v>0</v>
      </c>
      <c r="J60" s="69">
        <f ca="1">SUMIF('CAP9-13'!$B:$H,Insumo[[#This Row],[DESCRIPCION]],'CAP9-13'!$H:$H)</f>
        <v>0</v>
      </c>
      <c r="K60" s="69">
        <f ca="1">SUMIF('CAP14-15'!$B:$H,Insumo[[#This Row],[DESCRIPCION]],'CAP14-15'!$H:$H)</f>
        <v>0</v>
      </c>
      <c r="L60" s="69">
        <f ca="1">SUMIF('CAP16-18'!$B:$H,Insumo[[#This Row],[DESCRIPCION]],'CAP16-18'!$H:$H)</f>
        <v>0</v>
      </c>
      <c r="M60" s="69">
        <f ca="1">SUMIF('CAP19-22'!$B:$H,Insumo[[#This Row],[DESCRIPCION]],'CAP19-22'!$H:$H)</f>
        <v>0</v>
      </c>
      <c r="N60" s="69">
        <f ca="1">SUMIF('CAP23-24'!$B:$H,Insumo[[#This Row],[DESCRIPCION]],'CAP23-24'!$H:$H)</f>
        <v>0</v>
      </c>
      <c r="O60" s="69">
        <f ca="1">SUMIF('CAP25'!$B:$H,Insumo[[#This Row],[DESCRIPCION]],'CAP25'!$H:$H)</f>
        <v>0</v>
      </c>
      <c r="P60" s="69">
        <f ca="1">SUMIF('CAP26-28'!$B:$H,Insumo[[#This Row],[DESCRIPCION]],'CAP26-28'!$H:$H)</f>
        <v>0</v>
      </c>
      <c r="Q60" s="69">
        <f ca="1">SUMIF('CAP29'!$B:$H,Insumo[[#This Row],[DESCRIPCION]],'CAP29'!$H:$H)</f>
        <v>0</v>
      </c>
      <c r="R60" s="290"/>
      <c r="T60" s="136">
        <v>3572</v>
      </c>
    </row>
    <row r="61" spans="1:20">
      <c r="A61" s="301" t="s">
        <v>2661</v>
      </c>
      <c r="B61" s="303" t="s">
        <v>2662</v>
      </c>
      <c r="C61" s="304">
        <f t="shared" si="0"/>
        <v>56717.850000000006</v>
      </c>
      <c r="D61" s="281" cm="1">
        <f t="array" aca="1" ref="D61" ca="1">IF(Insumo[[#This Row],[VALOR]]=0,Insumo[TOTAL],E61/C61)</f>
        <v>0</v>
      </c>
      <c r="E61" s="69">
        <f ca="1">SUM(Insumo[[#This Row],[CAP1-3]:[CAP29]])</f>
        <v>0</v>
      </c>
      <c r="F61" s="69">
        <f ca="1">SUMIF('CAP1-3'!$B:$H,Insumo[[#This Row],[DESCRIPCION]],'CAP1-3'!$H:$H)</f>
        <v>0</v>
      </c>
      <c r="G61" s="69">
        <f ca="1">SUMIF('CAP4-5'!$B:$H,Insumo[[#This Row],[DESCRIPCION]],'CAP4-5'!$H:$H)</f>
        <v>0</v>
      </c>
      <c r="H61" s="69">
        <f ca="1">SUMIF('CAP6-7'!$B:$H,Insumo[[#This Row],[DESCRIPCION]],'CAP6-7'!$H:$H)</f>
        <v>0</v>
      </c>
      <c r="I61" s="69">
        <f ca="1">SUMIF('CAP8'!$B:$H,Insumo[[#This Row],[DESCRIPCION]],'CAP8'!$H:$H)</f>
        <v>0</v>
      </c>
      <c r="J61" s="69">
        <f ca="1">SUMIF('CAP9-13'!$B:$H,Insumo[[#This Row],[DESCRIPCION]],'CAP9-13'!$H:$H)</f>
        <v>0</v>
      </c>
      <c r="K61" s="69">
        <f ca="1">SUMIF('CAP14-15'!$B:$H,Insumo[[#This Row],[DESCRIPCION]],'CAP14-15'!$H:$H)</f>
        <v>0</v>
      </c>
      <c r="L61" s="69">
        <f ca="1">SUMIF('CAP16-18'!$B:$H,Insumo[[#This Row],[DESCRIPCION]],'CAP16-18'!$H:$H)</f>
        <v>0</v>
      </c>
      <c r="M61" s="69">
        <f ca="1">SUMIF('CAP19-22'!$B:$H,Insumo[[#This Row],[DESCRIPCION]],'CAP19-22'!$H:$H)</f>
        <v>0</v>
      </c>
      <c r="N61" s="69">
        <f ca="1">SUMIF('CAP23-24'!$B:$H,Insumo[[#This Row],[DESCRIPCION]],'CAP23-24'!$H:$H)</f>
        <v>0</v>
      </c>
      <c r="O61" s="69">
        <f ca="1">SUMIF('CAP25'!$B:$H,Insumo[[#This Row],[DESCRIPCION]],'CAP25'!$H:$H)</f>
        <v>0</v>
      </c>
      <c r="P61" s="69">
        <f ca="1">SUMIF('CAP26-28'!$B:$H,Insumo[[#This Row],[DESCRIPCION]],'CAP26-28'!$H:$H)</f>
        <v>0</v>
      </c>
      <c r="Q61" s="69">
        <f ca="1">SUMIF('CAP29'!$B:$H,Insumo[[#This Row],[DESCRIPCION]],'CAP29'!$H:$H)</f>
        <v>0</v>
      </c>
      <c r="R61" s="290" t="s">
        <v>2663</v>
      </c>
      <c r="T61" s="136">
        <v>54017</v>
      </c>
    </row>
    <row r="62" spans="1:20">
      <c r="A62" s="301" t="s">
        <v>2664</v>
      </c>
      <c r="B62" s="303" t="s">
        <v>23</v>
      </c>
      <c r="C62" s="304">
        <f t="shared" si="0"/>
        <v>744.45</v>
      </c>
      <c r="D62" s="281" cm="1">
        <f t="array" aca="1" ref="D62" ca="1">IF(Insumo[[#This Row],[VALOR]]=0,Insumo[TOTAL],E62/C62)</f>
        <v>0</v>
      </c>
      <c r="E62" s="69">
        <f ca="1">SUM(Insumo[[#This Row],[CAP1-3]:[CAP29]])</f>
        <v>0</v>
      </c>
      <c r="F62" s="69">
        <f ca="1">SUMIF('CAP1-3'!$B:$H,Insumo[[#This Row],[DESCRIPCION]],'CAP1-3'!$H:$H)</f>
        <v>0</v>
      </c>
      <c r="G62" s="69">
        <f ca="1">SUMIF('CAP4-5'!$B:$H,Insumo[[#This Row],[DESCRIPCION]],'CAP4-5'!$H:$H)</f>
        <v>0</v>
      </c>
      <c r="H62" s="69">
        <f ca="1">SUMIF('CAP6-7'!$B:$H,Insumo[[#This Row],[DESCRIPCION]],'CAP6-7'!$H:$H)</f>
        <v>0</v>
      </c>
      <c r="I62" s="69">
        <f ca="1">SUMIF('CAP8'!$B:$H,Insumo[[#This Row],[DESCRIPCION]],'CAP8'!$H:$H)</f>
        <v>0</v>
      </c>
      <c r="J62" s="69">
        <f ca="1">SUMIF('CAP9-13'!$B:$H,Insumo[[#This Row],[DESCRIPCION]],'CAP9-13'!$H:$H)</f>
        <v>0</v>
      </c>
      <c r="K62" s="69">
        <f ca="1">SUMIF('CAP14-15'!$B:$H,Insumo[[#This Row],[DESCRIPCION]],'CAP14-15'!$H:$H)</f>
        <v>0</v>
      </c>
      <c r="L62" s="69">
        <f ca="1">SUMIF('CAP16-18'!$B:$H,Insumo[[#This Row],[DESCRIPCION]],'CAP16-18'!$H:$H)</f>
        <v>0</v>
      </c>
      <c r="M62" s="69">
        <f ca="1">SUMIF('CAP19-22'!$B:$H,Insumo[[#This Row],[DESCRIPCION]],'CAP19-22'!$H:$H)</f>
        <v>0</v>
      </c>
      <c r="N62" s="69">
        <f ca="1">SUMIF('CAP23-24'!$B:$H,Insumo[[#This Row],[DESCRIPCION]],'CAP23-24'!$H:$H)</f>
        <v>0</v>
      </c>
      <c r="O62" s="69">
        <f ca="1">SUMIF('CAP25'!$B:$H,Insumo[[#This Row],[DESCRIPCION]],'CAP25'!$H:$H)</f>
        <v>0</v>
      </c>
      <c r="P62" s="69">
        <f ca="1">SUMIF('CAP26-28'!$B:$H,Insumo[[#This Row],[DESCRIPCION]],'CAP26-28'!$H:$H)</f>
        <v>0</v>
      </c>
      <c r="Q62" s="69">
        <f ca="1">SUMIF('CAP29'!$B:$H,Insumo[[#This Row],[DESCRIPCION]],'CAP29'!$H:$H)</f>
        <v>0</v>
      </c>
      <c r="R62" s="290" t="s">
        <v>2622</v>
      </c>
      <c r="T62" s="136">
        <v>709</v>
      </c>
    </row>
    <row r="63" spans="1:20">
      <c r="A63" s="301" t="s">
        <v>2665</v>
      </c>
      <c r="B63" s="303" t="s">
        <v>23</v>
      </c>
      <c r="C63" s="304">
        <f t="shared" si="0"/>
        <v>45993.15</v>
      </c>
      <c r="D63" s="281" cm="1">
        <f t="array" aca="1" ref="D63" ca="1">IF(Insumo[[#This Row],[VALOR]]=0,Insumo[TOTAL],E63/C63)</f>
        <v>0</v>
      </c>
      <c r="E63" s="69">
        <f ca="1">SUM(Insumo[[#This Row],[CAP1-3]:[CAP29]])</f>
        <v>0</v>
      </c>
      <c r="F63" s="69">
        <f ca="1">SUMIF('CAP1-3'!$B:$H,Insumo[[#This Row],[DESCRIPCION]],'CAP1-3'!$H:$H)</f>
        <v>0</v>
      </c>
      <c r="G63" s="69">
        <f ca="1">SUMIF('CAP4-5'!$B:$H,Insumo[[#This Row],[DESCRIPCION]],'CAP4-5'!$H:$H)</f>
        <v>0</v>
      </c>
      <c r="H63" s="69">
        <f ca="1">SUMIF('CAP6-7'!$B:$H,Insumo[[#This Row],[DESCRIPCION]],'CAP6-7'!$H:$H)</f>
        <v>0</v>
      </c>
      <c r="I63" s="69">
        <f ca="1">SUMIF('CAP8'!$B:$H,Insumo[[#This Row],[DESCRIPCION]],'CAP8'!$H:$H)</f>
        <v>0</v>
      </c>
      <c r="J63" s="69">
        <f ca="1">SUMIF('CAP9-13'!$B:$H,Insumo[[#This Row],[DESCRIPCION]],'CAP9-13'!$H:$H)</f>
        <v>0</v>
      </c>
      <c r="K63" s="69">
        <f ca="1">SUMIF('CAP14-15'!$B:$H,Insumo[[#This Row],[DESCRIPCION]],'CAP14-15'!$H:$H)</f>
        <v>0</v>
      </c>
      <c r="L63" s="69">
        <f ca="1">SUMIF('CAP16-18'!$B:$H,Insumo[[#This Row],[DESCRIPCION]],'CAP16-18'!$H:$H)</f>
        <v>0</v>
      </c>
      <c r="M63" s="69">
        <f ca="1">SUMIF('CAP19-22'!$B:$H,Insumo[[#This Row],[DESCRIPCION]],'CAP19-22'!$H:$H)</f>
        <v>0</v>
      </c>
      <c r="N63" s="69">
        <f ca="1">SUMIF('CAP23-24'!$B:$H,Insumo[[#This Row],[DESCRIPCION]],'CAP23-24'!$H:$H)</f>
        <v>0</v>
      </c>
      <c r="O63" s="69">
        <f ca="1">SUMIF('CAP25'!$B:$H,Insumo[[#This Row],[DESCRIPCION]],'CAP25'!$H:$H)</f>
        <v>0</v>
      </c>
      <c r="P63" s="69">
        <f ca="1">SUMIF('CAP26-28'!$B:$H,Insumo[[#This Row],[DESCRIPCION]],'CAP26-28'!$H:$H)</f>
        <v>0</v>
      </c>
      <c r="Q63" s="69">
        <f ca="1">SUMIF('CAP29'!$B:$H,Insumo[[#This Row],[DESCRIPCION]],'CAP29'!$H:$H)</f>
        <v>0</v>
      </c>
      <c r="R63" s="290" t="s">
        <v>2622</v>
      </c>
      <c r="T63" s="136">
        <v>43803</v>
      </c>
    </row>
    <row r="64" spans="1:20">
      <c r="A64" s="301" t="s">
        <v>2666</v>
      </c>
      <c r="B64" s="303" t="s">
        <v>23</v>
      </c>
      <c r="C64" s="304">
        <f t="shared" si="0"/>
        <v>1207.5</v>
      </c>
      <c r="D64" s="281" cm="1">
        <f t="array" aca="1" ref="D64" ca="1">IF(Insumo[[#This Row],[VALOR]]=0,Insumo[TOTAL],E64/C64)</f>
        <v>0</v>
      </c>
      <c r="E64" s="69">
        <f ca="1">SUM(Insumo[[#This Row],[CAP1-3]:[CAP29]])</f>
        <v>0</v>
      </c>
      <c r="F64" s="69">
        <f ca="1">SUMIF('CAP1-3'!$B:$H,Insumo[[#This Row],[DESCRIPCION]],'CAP1-3'!$H:$H)</f>
        <v>0</v>
      </c>
      <c r="G64" s="69">
        <f ca="1">SUMIF('CAP4-5'!$B:$H,Insumo[[#This Row],[DESCRIPCION]],'CAP4-5'!$H:$H)</f>
        <v>0</v>
      </c>
      <c r="H64" s="69">
        <f ca="1">SUMIF('CAP6-7'!$B:$H,Insumo[[#This Row],[DESCRIPCION]],'CAP6-7'!$H:$H)</f>
        <v>0</v>
      </c>
      <c r="I64" s="69">
        <f ca="1">SUMIF('CAP8'!$B:$H,Insumo[[#This Row],[DESCRIPCION]],'CAP8'!$H:$H)</f>
        <v>0</v>
      </c>
      <c r="J64" s="69">
        <f ca="1">SUMIF('CAP9-13'!$B:$H,Insumo[[#This Row],[DESCRIPCION]],'CAP9-13'!$H:$H)</f>
        <v>0</v>
      </c>
      <c r="K64" s="69">
        <f ca="1">SUMIF('CAP14-15'!$B:$H,Insumo[[#This Row],[DESCRIPCION]],'CAP14-15'!$H:$H)</f>
        <v>0</v>
      </c>
      <c r="L64" s="69">
        <f ca="1">SUMIF('CAP16-18'!$B:$H,Insumo[[#This Row],[DESCRIPCION]],'CAP16-18'!$H:$H)</f>
        <v>0</v>
      </c>
      <c r="M64" s="69">
        <f ca="1">SUMIF('CAP19-22'!$B:$H,Insumo[[#This Row],[DESCRIPCION]],'CAP19-22'!$H:$H)</f>
        <v>0</v>
      </c>
      <c r="N64" s="69">
        <f ca="1">SUMIF('CAP23-24'!$B:$H,Insumo[[#This Row],[DESCRIPCION]],'CAP23-24'!$H:$H)</f>
        <v>0</v>
      </c>
      <c r="O64" s="69">
        <f ca="1">SUMIF('CAP25'!$B:$H,Insumo[[#This Row],[DESCRIPCION]],'CAP25'!$H:$H)</f>
        <v>0</v>
      </c>
      <c r="P64" s="69">
        <f ca="1">SUMIF('CAP26-28'!$B:$H,Insumo[[#This Row],[DESCRIPCION]],'CAP26-28'!$H:$H)</f>
        <v>0</v>
      </c>
      <c r="Q64" s="69">
        <f ca="1">SUMIF('CAP29'!$B:$H,Insumo[[#This Row],[DESCRIPCION]],'CAP29'!$H:$H)</f>
        <v>0</v>
      </c>
      <c r="R64" s="290"/>
      <c r="T64" s="136">
        <v>1150</v>
      </c>
    </row>
    <row r="65" spans="1:20">
      <c r="A65" s="301" t="s">
        <v>2667</v>
      </c>
      <c r="B65" s="303" t="s">
        <v>23</v>
      </c>
      <c r="C65" s="304">
        <f t="shared" si="0"/>
        <v>2310</v>
      </c>
      <c r="D65" s="281" cm="1">
        <f t="array" aca="1" ref="D65" ca="1">IF(Insumo[[#This Row],[VALOR]]=0,Insumo[TOTAL],E65/C65)</f>
        <v>0</v>
      </c>
      <c r="E65" s="69">
        <f ca="1">SUM(Insumo[[#This Row],[CAP1-3]:[CAP29]])</f>
        <v>0</v>
      </c>
      <c r="F65" s="69">
        <f ca="1">SUMIF('CAP1-3'!$B:$H,Insumo[[#This Row],[DESCRIPCION]],'CAP1-3'!$H:$H)</f>
        <v>0</v>
      </c>
      <c r="G65" s="69">
        <f ca="1">SUMIF('CAP4-5'!$B:$H,Insumo[[#This Row],[DESCRIPCION]],'CAP4-5'!$H:$H)</f>
        <v>0</v>
      </c>
      <c r="H65" s="69">
        <f ca="1">SUMIF('CAP6-7'!$B:$H,Insumo[[#This Row],[DESCRIPCION]],'CAP6-7'!$H:$H)</f>
        <v>0</v>
      </c>
      <c r="I65" s="69">
        <f ca="1">SUMIF('CAP8'!$B:$H,Insumo[[#This Row],[DESCRIPCION]],'CAP8'!$H:$H)</f>
        <v>0</v>
      </c>
      <c r="J65" s="69">
        <f ca="1">SUMIF('CAP9-13'!$B:$H,Insumo[[#This Row],[DESCRIPCION]],'CAP9-13'!$H:$H)</f>
        <v>0</v>
      </c>
      <c r="K65" s="69">
        <f ca="1">SUMIF('CAP14-15'!$B:$H,Insumo[[#This Row],[DESCRIPCION]],'CAP14-15'!$H:$H)</f>
        <v>0</v>
      </c>
      <c r="L65" s="69">
        <f ca="1">SUMIF('CAP16-18'!$B:$H,Insumo[[#This Row],[DESCRIPCION]],'CAP16-18'!$H:$H)</f>
        <v>0</v>
      </c>
      <c r="M65" s="69">
        <f ca="1">SUMIF('CAP19-22'!$B:$H,Insumo[[#This Row],[DESCRIPCION]],'CAP19-22'!$H:$H)</f>
        <v>0</v>
      </c>
      <c r="N65" s="69">
        <f ca="1">SUMIF('CAP23-24'!$B:$H,Insumo[[#This Row],[DESCRIPCION]],'CAP23-24'!$H:$H)</f>
        <v>0</v>
      </c>
      <c r="O65" s="69">
        <f ca="1">SUMIF('CAP25'!$B:$H,Insumo[[#This Row],[DESCRIPCION]],'CAP25'!$H:$H)</f>
        <v>0</v>
      </c>
      <c r="P65" s="69">
        <f ca="1">SUMIF('CAP26-28'!$B:$H,Insumo[[#This Row],[DESCRIPCION]],'CAP26-28'!$H:$H)</f>
        <v>0</v>
      </c>
      <c r="Q65" s="69">
        <f ca="1">SUMIF('CAP29'!$B:$H,Insumo[[#This Row],[DESCRIPCION]],'CAP29'!$H:$H)</f>
        <v>0</v>
      </c>
      <c r="R65" s="290"/>
      <c r="T65" s="136">
        <v>2200</v>
      </c>
    </row>
    <row r="66" spans="1:20">
      <c r="A66" s="301" t="s">
        <v>2668</v>
      </c>
      <c r="B66" s="303" t="s">
        <v>23</v>
      </c>
      <c r="C66" s="304">
        <f t="shared" si="0"/>
        <v>3412.5</v>
      </c>
      <c r="D66" s="281" cm="1">
        <f t="array" aca="1" ref="D66" ca="1">IF(Insumo[[#This Row],[VALOR]]=0,Insumo[TOTAL],E66/C66)</f>
        <v>0</v>
      </c>
      <c r="E66" s="69">
        <f ca="1">SUM(Insumo[[#This Row],[CAP1-3]:[CAP29]])</f>
        <v>0</v>
      </c>
      <c r="F66" s="69">
        <f ca="1">SUMIF('CAP1-3'!$B:$H,Insumo[[#This Row],[DESCRIPCION]],'CAP1-3'!$H:$H)</f>
        <v>0</v>
      </c>
      <c r="G66" s="69">
        <f ca="1">SUMIF('CAP4-5'!$B:$H,Insumo[[#This Row],[DESCRIPCION]],'CAP4-5'!$H:$H)</f>
        <v>0</v>
      </c>
      <c r="H66" s="69">
        <f ca="1">SUMIF('CAP6-7'!$B:$H,Insumo[[#This Row],[DESCRIPCION]],'CAP6-7'!$H:$H)</f>
        <v>0</v>
      </c>
      <c r="I66" s="69">
        <f ca="1">SUMIF('CAP8'!$B:$H,Insumo[[#This Row],[DESCRIPCION]],'CAP8'!$H:$H)</f>
        <v>0</v>
      </c>
      <c r="J66" s="69">
        <f ca="1">SUMIF('CAP9-13'!$B:$H,Insumo[[#This Row],[DESCRIPCION]],'CAP9-13'!$H:$H)</f>
        <v>0</v>
      </c>
      <c r="K66" s="69">
        <f ca="1">SUMIF('CAP14-15'!$B:$H,Insumo[[#This Row],[DESCRIPCION]],'CAP14-15'!$H:$H)</f>
        <v>0</v>
      </c>
      <c r="L66" s="69">
        <f ca="1">SUMIF('CAP16-18'!$B:$H,Insumo[[#This Row],[DESCRIPCION]],'CAP16-18'!$H:$H)</f>
        <v>0</v>
      </c>
      <c r="M66" s="69">
        <f ca="1">SUMIF('CAP19-22'!$B:$H,Insumo[[#This Row],[DESCRIPCION]],'CAP19-22'!$H:$H)</f>
        <v>0</v>
      </c>
      <c r="N66" s="69">
        <f ca="1">SUMIF('CAP23-24'!$B:$H,Insumo[[#This Row],[DESCRIPCION]],'CAP23-24'!$H:$H)</f>
        <v>0</v>
      </c>
      <c r="O66" s="69">
        <f ca="1">SUMIF('CAP25'!$B:$H,Insumo[[#This Row],[DESCRIPCION]],'CAP25'!$H:$H)</f>
        <v>0</v>
      </c>
      <c r="P66" s="69">
        <f ca="1">SUMIF('CAP26-28'!$B:$H,Insumo[[#This Row],[DESCRIPCION]],'CAP26-28'!$H:$H)</f>
        <v>0</v>
      </c>
      <c r="Q66" s="69">
        <f ca="1">SUMIF('CAP29'!$B:$H,Insumo[[#This Row],[DESCRIPCION]],'CAP29'!$H:$H)</f>
        <v>0</v>
      </c>
      <c r="R66" s="290"/>
      <c r="T66" s="136">
        <v>3250</v>
      </c>
    </row>
    <row r="67" spans="1:20">
      <c r="A67" s="301" t="s">
        <v>2669</v>
      </c>
      <c r="B67" s="303" t="s">
        <v>23</v>
      </c>
      <c r="C67" s="304">
        <f t="shared" si="0"/>
        <v>6825</v>
      </c>
      <c r="D67" s="281" cm="1">
        <f t="array" aca="1" ref="D67" ca="1">IF(Insumo[[#This Row],[VALOR]]=0,Insumo[TOTAL],E67/C67)</f>
        <v>0</v>
      </c>
      <c r="E67" s="69">
        <f ca="1">SUM(Insumo[[#This Row],[CAP1-3]:[CAP29]])</f>
        <v>0</v>
      </c>
      <c r="F67" s="69">
        <f ca="1">SUMIF('CAP1-3'!$B:$H,Insumo[[#This Row],[DESCRIPCION]],'CAP1-3'!$H:$H)</f>
        <v>0</v>
      </c>
      <c r="G67" s="69">
        <f ca="1">SUMIF('CAP4-5'!$B:$H,Insumo[[#This Row],[DESCRIPCION]],'CAP4-5'!$H:$H)</f>
        <v>0</v>
      </c>
      <c r="H67" s="69">
        <f ca="1">SUMIF('CAP6-7'!$B:$H,Insumo[[#This Row],[DESCRIPCION]],'CAP6-7'!$H:$H)</f>
        <v>0</v>
      </c>
      <c r="I67" s="69">
        <f ca="1">SUMIF('CAP8'!$B:$H,Insumo[[#This Row],[DESCRIPCION]],'CAP8'!$H:$H)</f>
        <v>0</v>
      </c>
      <c r="J67" s="69">
        <f ca="1">SUMIF('CAP9-13'!$B:$H,Insumo[[#This Row],[DESCRIPCION]],'CAP9-13'!$H:$H)</f>
        <v>0</v>
      </c>
      <c r="K67" s="69">
        <f ca="1">SUMIF('CAP14-15'!$B:$H,Insumo[[#This Row],[DESCRIPCION]],'CAP14-15'!$H:$H)</f>
        <v>0</v>
      </c>
      <c r="L67" s="69">
        <f ca="1">SUMIF('CAP16-18'!$B:$H,Insumo[[#This Row],[DESCRIPCION]],'CAP16-18'!$H:$H)</f>
        <v>0</v>
      </c>
      <c r="M67" s="69">
        <f ca="1">SUMIF('CAP19-22'!$B:$H,Insumo[[#This Row],[DESCRIPCION]],'CAP19-22'!$H:$H)</f>
        <v>0</v>
      </c>
      <c r="N67" s="69">
        <f ca="1">SUMIF('CAP23-24'!$B:$H,Insumo[[#This Row],[DESCRIPCION]],'CAP23-24'!$H:$H)</f>
        <v>0</v>
      </c>
      <c r="O67" s="69">
        <f ca="1">SUMIF('CAP25'!$B:$H,Insumo[[#This Row],[DESCRIPCION]],'CAP25'!$H:$H)</f>
        <v>0</v>
      </c>
      <c r="P67" s="69">
        <f ca="1">SUMIF('CAP26-28'!$B:$H,Insumo[[#This Row],[DESCRIPCION]],'CAP26-28'!$H:$H)</f>
        <v>0</v>
      </c>
      <c r="Q67" s="69">
        <f ca="1">SUMIF('CAP29'!$B:$H,Insumo[[#This Row],[DESCRIPCION]],'CAP29'!$H:$H)</f>
        <v>0</v>
      </c>
      <c r="R67" s="290"/>
      <c r="T67" s="136">
        <v>6500</v>
      </c>
    </row>
    <row r="68" spans="1:20">
      <c r="A68" s="301" t="s">
        <v>2670</v>
      </c>
      <c r="B68" s="303" t="s">
        <v>23</v>
      </c>
      <c r="C68" s="304">
        <f t="shared" si="0"/>
        <v>19530</v>
      </c>
      <c r="D68" s="281" cm="1">
        <f t="array" aca="1" ref="D68" ca="1">IF(Insumo[[#This Row],[VALOR]]=0,Insumo[TOTAL],E68/C68)</f>
        <v>0</v>
      </c>
      <c r="E68" s="69">
        <f ca="1">SUM(Insumo[[#This Row],[CAP1-3]:[CAP29]])</f>
        <v>0</v>
      </c>
      <c r="F68" s="69">
        <f ca="1">SUMIF('CAP1-3'!$B:$H,Insumo[[#This Row],[DESCRIPCION]],'CAP1-3'!$H:$H)</f>
        <v>0</v>
      </c>
      <c r="G68" s="69">
        <f ca="1">SUMIF('CAP4-5'!$B:$H,Insumo[[#This Row],[DESCRIPCION]],'CAP4-5'!$H:$H)</f>
        <v>0</v>
      </c>
      <c r="H68" s="69">
        <f ca="1">SUMIF('CAP6-7'!$B:$H,Insumo[[#This Row],[DESCRIPCION]],'CAP6-7'!$H:$H)</f>
        <v>0</v>
      </c>
      <c r="I68" s="69">
        <f ca="1">SUMIF('CAP8'!$B:$H,Insumo[[#This Row],[DESCRIPCION]],'CAP8'!$H:$H)</f>
        <v>0</v>
      </c>
      <c r="J68" s="69">
        <f ca="1">SUMIF('CAP9-13'!$B:$H,Insumo[[#This Row],[DESCRIPCION]],'CAP9-13'!$H:$H)</f>
        <v>0</v>
      </c>
      <c r="K68" s="69">
        <f ca="1">SUMIF('CAP14-15'!$B:$H,Insumo[[#This Row],[DESCRIPCION]],'CAP14-15'!$H:$H)</f>
        <v>0</v>
      </c>
      <c r="L68" s="69">
        <f ca="1">SUMIF('CAP16-18'!$B:$H,Insumo[[#This Row],[DESCRIPCION]],'CAP16-18'!$H:$H)</f>
        <v>0</v>
      </c>
      <c r="M68" s="69">
        <f ca="1">SUMIF('CAP19-22'!$B:$H,Insumo[[#This Row],[DESCRIPCION]],'CAP19-22'!$H:$H)</f>
        <v>0</v>
      </c>
      <c r="N68" s="69">
        <f ca="1">SUMIF('CAP23-24'!$B:$H,Insumo[[#This Row],[DESCRIPCION]],'CAP23-24'!$H:$H)</f>
        <v>0</v>
      </c>
      <c r="O68" s="69">
        <f ca="1">SUMIF('CAP25'!$B:$H,Insumo[[#This Row],[DESCRIPCION]],'CAP25'!$H:$H)</f>
        <v>0</v>
      </c>
      <c r="P68" s="69">
        <f ca="1">SUMIF('CAP26-28'!$B:$H,Insumo[[#This Row],[DESCRIPCION]],'CAP26-28'!$H:$H)</f>
        <v>0</v>
      </c>
      <c r="Q68" s="69">
        <f ca="1">SUMIF('CAP29'!$B:$H,Insumo[[#This Row],[DESCRIPCION]],'CAP29'!$H:$H)</f>
        <v>0</v>
      </c>
      <c r="R68" s="290"/>
      <c r="T68" s="136">
        <v>18600</v>
      </c>
    </row>
    <row r="69" spans="1:20">
      <c r="A69" s="301" t="s">
        <v>2671</v>
      </c>
      <c r="B69" s="303" t="s">
        <v>23</v>
      </c>
      <c r="C69" s="304">
        <f t="shared" si="0"/>
        <v>1575</v>
      </c>
      <c r="D69" s="281" cm="1">
        <f t="array" aca="1" ref="D69" ca="1">IF(Insumo[[#This Row],[VALOR]]=0,Insumo[TOTAL],E69/C69)</f>
        <v>0</v>
      </c>
      <c r="E69" s="69">
        <f ca="1">SUM(Insumo[[#This Row],[CAP1-3]:[CAP29]])</f>
        <v>0</v>
      </c>
      <c r="F69" s="69">
        <f ca="1">SUMIF('CAP1-3'!$B:$H,Insumo[[#This Row],[DESCRIPCION]],'CAP1-3'!$H:$H)</f>
        <v>0</v>
      </c>
      <c r="G69" s="69">
        <f ca="1">SUMIF('CAP4-5'!$B:$H,Insumo[[#This Row],[DESCRIPCION]],'CAP4-5'!$H:$H)</f>
        <v>0</v>
      </c>
      <c r="H69" s="69">
        <f ca="1">SUMIF('CAP6-7'!$B:$H,Insumo[[#This Row],[DESCRIPCION]],'CAP6-7'!$H:$H)</f>
        <v>0</v>
      </c>
      <c r="I69" s="69">
        <f ca="1">SUMIF('CAP8'!$B:$H,Insumo[[#This Row],[DESCRIPCION]],'CAP8'!$H:$H)</f>
        <v>0</v>
      </c>
      <c r="J69" s="69">
        <f ca="1">SUMIF('CAP9-13'!$B:$H,Insumo[[#This Row],[DESCRIPCION]],'CAP9-13'!$H:$H)</f>
        <v>0</v>
      </c>
      <c r="K69" s="69">
        <f ca="1">SUMIF('CAP14-15'!$B:$H,Insumo[[#This Row],[DESCRIPCION]],'CAP14-15'!$H:$H)</f>
        <v>0</v>
      </c>
      <c r="L69" s="69">
        <f ca="1">SUMIF('CAP16-18'!$B:$H,Insumo[[#This Row],[DESCRIPCION]],'CAP16-18'!$H:$H)</f>
        <v>0</v>
      </c>
      <c r="M69" s="69">
        <f ca="1">SUMIF('CAP19-22'!$B:$H,Insumo[[#This Row],[DESCRIPCION]],'CAP19-22'!$H:$H)</f>
        <v>0</v>
      </c>
      <c r="N69" s="69">
        <f ca="1">SUMIF('CAP23-24'!$B:$H,Insumo[[#This Row],[DESCRIPCION]],'CAP23-24'!$H:$H)</f>
        <v>0</v>
      </c>
      <c r="O69" s="69">
        <f ca="1">SUMIF('CAP25'!$B:$H,Insumo[[#This Row],[DESCRIPCION]],'CAP25'!$H:$H)</f>
        <v>0</v>
      </c>
      <c r="P69" s="69">
        <f ca="1">SUMIF('CAP26-28'!$B:$H,Insumo[[#This Row],[DESCRIPCION]],'CAP26-28'!$H:$H)</f>
        <v>0</v>
      </c>
      <c r="Q69" s="69">
        <f ca="1">SUMIF('CAP29'!$B:$H,Insumo[[#This Row],[DESCRIPCION]],'CAP29'!$H:$H)</f>
        <v>0</v>
      </c>
      <c r="R69" s="290"/>
      <c r="T69" s="136">
        <v>1500</v>
      </c>
    </row>
    <row r="70" spans="1:20">
      <c r="A70" s="301" t="s">
        <v>2672</v>
      </c>
      <c r="B70" s="303" t="s">
        <v>23</v>
      </c>
      <c r="C70" s="304">
        <f t="shared" ref="C70:C133" si="1">T70*$T$3</f>
        <v>1890</v>
      </c>
      <c r="D70" s="281" cm="1">
        <f t="array" aca="1" ref="D70" ca="1">IF(Insumo[[#This Row],[VALOR]]=0,Insumo[TOTAL],E70/C70)</f>
        <v>0</v>
      </c>
      <c r="E70" s="69">
        <f ca="1">SUM(Insumo[[#This Row],[CAP1-3]:[CAP29]])</f>
        <v>0</v>
      </c>
      <c r="F70" s="69">
        <f ca="1">SUMIF('CAP1-3'!$B:$H,Insumo[[#This Row],[DESCRIPCION]],'CAP1-3'!$H:$H)</f>
        <v>0</v>
      </c>
      <c r="G70" s="69">
        <f ca="1">SUMIF('CAP4-5'!$B:$H,Insumo[[#This Row],[DESCRIPCION]],'CAP4-5'!$H:$H)</f>
        <v>0</v>
      </c>
      <c r="H70" s="69">
        <f ca="1">SUMIF('CAP6-7'!$B:$H,Insumo[[#This Row],[DESCRIPCION]],'CAP6-7'!$H:$H)</f>
        <v>0</v>
      </c>
      <c r="I70" s="69">
        <f ca="1">SUMIF('CAP8'!$B:$H,Insumo[[#This Row],[DESCRIPCION]],'CAP8'!$H:$H)</f>
        <v>0</v>
      </c>
      <c r="J70" s="69">
        <f ca="1">SUMIF('CAP9-13'!$B:$H,Insumo[[#This Row],[DESCRIPCION]],'CAP9-13'!$H:$H)</f>
        <v>0</v>
      </c>
      <c r="K70" s="69">
        <f ca="1">SUMIF('CAP14-15'!$B:$H,Insumo[[#This Row],[DESCRIPCION]],'CAP14-15'!$H:$H)</f>
        <v>0</v>
      </c>
      <c r="L70" s="69">
        <f ca="1">SUMIF('CAP16-18'!$B:$H,Insumo[[#This Row],[DESCRIPCION]],'CAP16-18'!$H:$H)</f>
        <v>0</v>
      </c>
      <c r="M70" s="69">
        <f ca="1">SUMIF('CAP19-22'!$B:$H,Insumo[[#This Row],[DESCRIPCION]],'CAP19-22'!$H:$H)</f>
        <v>0</v>
      </c>
      <c r="N70" s="69">
        <f ca="1">SUMIF('CAP23-24'!$B:$H,Insumo[[#This Row],[DESCRIPCION]],'CAP23-24'!$H:$H)</f>
        <v>0</v>
      </c>
      <c r="O70" s="69">
        <f ca="1">SUMIF('CAP25'!$B:$H,Insumo[[#This Row],[DESCRIPCION]],'CAP25'!$H:$H)</f>
        <v>0</v>
      </c>
      <c r="P70" s="69">
        <f ca="1">SUMIF('CAP26-28'!$B:$H,Insumo[[#This Row],[DESCRIPCION]],'CAP26-28'!$H:$H)</f>
        <v>0</v>
      </c>
      <c r="Q70" s="69">
        <f ca="1">SUMIF('CAP29'!$B:$H,Insumo[[#This Row],[DESCRIPCION]],'CAP29'!$H:$H)</f>
        <v>0</v>
      </c>
      <c r="R70" s="290"/>
      <c r="T70" s="136">
        <v>1800</v>
      </c>
    </row>
    <row r="71" spans="1:20">
      <c r="A71" s="301" t="s">
        <v>2673</v>
      </c>
      <c r="B71" s="303" t="s">
        <v>23</v>
      </c>
      <c r="C71" s="304">
        <f t="shared" si="1"/>
        <v>2625</v>
      </c>
      <c r="D71" s="281" cm="1">
        <f t="array" aca="1" ref="D71" ca="1">IF(Insumo[[#This Row],[VALOR]]=0,Insumo[TOTAL],E71/C71)</f>
        <v>0</v>
      </c>
      <c r="E71" s="69">
        <f ca="1">SUM(Insumo[[#This Row],[CAP1-3]:[CAP29]])</f>
        <v>0</v>
      </c>
      <c r="F71" s="69">
        <f ca="1">SUMIF('CAP1-3'!$B:$H,Insumo[[#This Row],[DESCRIPCION]],'CAP1-3'!$H:$H)</f>
        <v>0</v>
      </c>
      <c r="G71" s="69">
        <f ca="1">SUMIF('CAP4-5'!$B:$H,Insumo[[#This Row],[DESCRIPCION]],'CAP4-5'!$H:$H)</f>
        <v>0</v>
      </c>
      <c r="H71" s="69">
        <f ca="1">SUMIF('CAP6-7'!$B:$H,Insumo[[#This Row],[DESCRIPCION]],'CAP6-7'!$H:$H)</f>
        <v>0</v>
      </c>
      <c r="I71" s="69">
        <f ca="1">SUMIF('CAP8'!$B:$H,Insumo[[#This Row],[DESCRIPCION]],'CAP8'!$H:$H)</f>
        <v>0</v>
      </c>
      <c r="J71" s="69">
        <f ca="1">SUMIF('CAP9-13'!$B:$H,Insumo[[#This Row],[DESCRIPCION]],'CAP9-13'!$H:$H)</f>
        <v>0</v>
      </c>
      <c r="K71" s="69">
        <f ca="1">SUMIF('CAP14-15'!$B:$H,Insumo[[#This Row],[DESCRIPCION]],'CAP14-15'!$H:$H)</f>
        <v>0</v>
      </c>
      <c r="L71" s="69">
        <f ca="1">SUMIF('CAP16-18'!$B:$H,Insumo[[#This Row],[DESCRIPCION]],'CAP16-18'!$H:$H)</f>
        <v>0</v>
      </c>
      <c r="M71" s="69">
        <f ca="1">SUMIF('CAP19-22'!$B:$H,Insumo[[#This Row],[DESCRIPCION]],'CAP19-22'!$H:$H)</f>
        <v>0</v>
      </c>
      <c r="N71" s="69">
        <f ca="1">SUMIF('CAP23-24'!$B:$H,Insumo[[#This Row],[DESCRIPCION]],'CAP23-24'!$H:$H)</f>
        <v>0</v>
      </c>
      <c r="O71" s="69">
        <f ca="1">SUMIF('CAP25'!$B:$H,Insumo[[#This Row],[DESCRIPCION]],'CAP25'!$H:$H)</f>
        <v>0</v>
      </c>
      <c r="P71" s="69">
        <f ca="1">SUMIF('CAP26-28'!$B:$H,Insumo[[#This Row],[DESCRIPCION]],'CAP26-28'!$H:$H)</f>
        <v>0</v>
      </c>
      <c r="Q71" s="69">
        <f ca="1">SUMIF('CAP29'!$B:$H,Insumo[[#This Row],[DESCRIPCION]],'CAP29'!$H:$H)</f>
        <v>0</v>
      </c>
      <c r="R71" s="290"/>
      <c r="T71" s="136">
        <v>2500</v>
      </c>
    </row>
    <row r="72" spans="1:20">
      <c r="A72" s="301" t="s">
        <v>2674</v>
      </c>
      <c r="B72" s="303" t="s">
        <v>23</v>
      </c>
      <c r="C72" s="304">
        <f t="shared" si="1"/>
        <v>3780</v>
      </c>
      <c r="D72" s="281" cm="1">
        <f t="array" aca="1" ref="D72" ca="1">IF(Insumo[[#This Row],[VALOR]]=0,Insumo[TOTAL],E72/C72)</f>
        <v>0</v>
      </c>
      <c r="E72" s="69">
        <f ca="1">SUM(Insumo[[#This Row],[CAP1-3]:[CAP29]])</f>
        <v>0</v>
      </c>
      <c r="F72" s="69">
        <f ca="1">SUMIF('CAP1-3'!$B:$H,Insumo[[#This Row],[DESCRIPCION]],'CAP1-3'!$H:$H)</f>
        <v>0</v>
      </c>
      <c r="G72" s="69">
        <f ca="1">SUMIF('CAP4-5'!$B:$H,Insumo[[#This Row],[DESCRIPCION]],'CAP4-5'!$H:$H)</f>
        <v>0</v>
      </c>
      <c r="H72" s="69">
        <f ca="1">SUMIF('CAP6-7'!$B:$H,Insumo[[#This Row],[DESCRIPCION]],'CAP6-7'!$H:$H)</f>
        <v>0</v>
      </c>
      <c r="I72" s="69">
        <f ca="1">SUMIF('CAP8'!$B:$H,Insumo[[#This Row],[DESCRIPCION]],'CAP8'!$H:$H)</f>
        <v>0</v>
      </c>
      <c r="J72" s="69">
        <f ca="1">SUMIF('CAP9-13'!$B:$H,Insumo[[#This Row],[DESCRIPCION]],'CAP9-13'!$H:$H)</f>
        <v>0</v>
      </c>
      <c r="K72" s="69">
        <f ca="1">SUMIF('CAP14-15'!$B:$H,Insumo[[#This Row],[DESCRIPCION]],'CAP14-15'!$H:$H)</f>
        <v>0</v>
      </c>
      <c r="L72" s="69">
        <f ca="1">SUMIF('CAP16-18'!$B:$H,Insumo[[#This Row],[DESCRIPCION]],'CAP16-18'!$H:$H)</f>
        <v>0</v>
      </c>
      <c r="M72" s="69">
        <f ca="1">SUMIF('CAP19-22'!$B:$H,Insumo[[#This Row],[DESCRIPCION]],'CAP19-22'!$H:$H)</f>
        <v>0</v>
      </c>
      <c r="N72" s="69">
        <f ca="1">SUMIF('CAP23-24'!$B:$H,Insumo[[#This Row],[DESCRIPCION]],'CAP23-24'!$H:$H)</f>
        <v>0</v>
      </c>
      <c r="O72" s="69">
        <f ca="1">SUMIF('CAP25'!$B:$H,Insumo[[#This Row],[DESCRIPCION]],'CAP25'!$H:$H)</f>
        <v>0</v>
      </c>
      <c r="P72" s="69">
        <f ca="1">SUMIF('CAP26-28'!$B:$H,Insumo[[#This Row],[DESCRIPCION]],'CAP26-28'!$H:$H)</f>
        <v>0</v>
      </c>
      <c r="Q72" s="69">
        <f ca="1">SUMIF('CAP29'!$B:$H,Insumo[[#This Row],[DESCRIPCION]],'CAP29'!$H:$H)</f>
        <v>0</v>
      </c>
      <c r="R72" s="290"/>
      <c r="T72" s="136">
        <v>3600</v>
      </c>
    </row>
    <row r="73" spans="1:20">
      <c r="A73" s="301" t="s">
        <v>2675</v>
      </c>
      <c r="B73" s="303" t="s">
        <v>23</v>
      </c>
      <c r="C73" s="304">
        <f t="shared" si="1"/>
        <v>4725</v>
      </c>
      <c r="D73" s="281" cm="1">
        <f t="array" aca="1" ref="D73" ca="1">IF(Insumo[[#This Row],[VALOR]]=0,Insumo[TOTAL],E73/C73)</f>
        <v>0</v>
      </c>
      <c r="E73" s="69">
        <f ca="1">SUM(Insumo[[#This Row],[CAP1-3]:[CAP29]])</f>
        <v>0</v>
      </c>
      <c r="F73" s="69">
        <f ca="1">SUMIF('CAP1-3'!$B:$H,Insumo[[#This Row],[DESCRIPCION]],'CAP1-3'!$H:$H)</f>
        <v>0</v>
      </c>
      <c r="G73" s="69">
        <f ca="1">SUMIF('CAP4-5'!$B:$H,Insumo[[#This Row],[DESCRIPCION]],'CAP4-5'!$H:$H)</f>
        <v>0</v>
      </c>
      <c r="H73" s="69">
        <f ca="1">SUMIF('CAP6-7'!$B:$H,Insumo[[#This Row],[DESCRIPCION]],'CAP6-7'!$H:$H)</f>
        <v>0</v>
      </c>
      <c r="I73" s="69">
        <f ca="1">SUMIF('CAP8'!$B:$H,Insumo[[#This Row],[DESCRIPCION]],'CAP8'!$H:$H)</f>
        <v>0</v>
      </c>
      <c r="J73" s="69">
        <f ca="1">SUMIF('CAP9-13'!$B:$H,Insumo[[#This Row],[DESCRIPCION]],'CAP9-13'!$H:$H)</f>
        <v>0</v>
      </c>
      <c r="K73" s="69">
        <f ca="1">SUMIF('CAP14-15'!$B:$H,Insumo[[#This Row],[DESCRIPCION]],'CAP14-15'!$H:$H)</f>
        <v>0</v>
      </c>
      <c r="L73" s="69">
        <f ca="1">SUMIF('CAP16-18'!$B:$H,Insumo[[#This Row],[DESCRIPCION]],'CAP16-18'!$H:$H)</f>
        <v>0</v>
      </c>
      <c r="M73" s="69">
        <f ca="1">SUMIF('CAP19-22'!$B:$H,Insumo[[#This Row],[DESCRIPCION]],'CAP19-22'!$H:$H)</f>
        <v>0</v>
      </c>
      <c r="N73" s="69">
        <f ca="1">SUMIF('CAP23-24'!$B:$H,Insumo[[#This Row],[DESCRIPCION]],'CAP23-24'!$H:$H)</f>
        <v>0</v>
      </c>
      <c r="O73" s="69">
        <f ca="1">SUMIF('CAP25'!$B:$H,Insumo[[#This Row],[DESCRIPCION]],'CAP25'!$H:$H)</f>
        <v>0</v>
      </c>
      <c r="P73" s="69">
        <f ca="1">SUMIF('CAP26-28'!$B:$H,Insumo[[#This Row],[DESCRIPCION]],'CAP26-28'!$H:$H)</f>
        <v>0</v>
      </c>
      <c r="Q73" s="69">
        <f ca="1">SUMIF('CAP29'!$B:$H,Insumo[[#This Row],[DESCRIPCION]],'CAP29'!$H:$H)</f>
        <v>0</v>
      </c>
      <c r="R73" s="290"/>
      <c r="T73" s="136">
        <v>4500</v>
      </c>
    </row>
    <row r="74" spans="1:20">
      <c r="A74" s="301" t="s">
        <v>2676</v>
      </c>
      <c r="B74" s="303" t="s">
        <v>23</v>
      </c>
      <c r="C74" s="304">
        <f t="shared" si="1"/>
        <v>7875</v>
      </c>
      <c r="D74" s="281" cm="1">
        <f t="array" aca="1" ref="D74" ca="1">IF(Insumo[[#This Row],[VALOR]]=0,Insumo[TOTAL],E74/C74)</f>
        <v>0</v>
      </c>
      <c r="E74" s="69">
        <f ca="1">SUM(Insumo[[#This Row],[CAP1-3]:[CAP29]])</f>
        <v>0</v>
      </c>
      <c r="F74" s="69">
        <f ca="1">SUMIF('CAP1-3'!$B:$H,Insumo[[#This Row],[DESCRIPCION]],'CAP1-3'!$H:$H)</f>
        <v>0</v>
      </c>
      <c r="G74" s="69">
        <f ca="1">SUMIF('CAP4-5'!$B:$H,Insumo[[#This Row],[DESCRIPCION]],'CAP4-5'!$H:$H)</f>
        <v>0</v>
      </c>
      <c r="H74" s="69">
        <f ca="1">SUMIF('CAP6-7'!$B:$H,Insumo[[#This Row],[DESCRIPCION]],'CAP6-7'!$H:$H)</f>
        <v>0</v>
      </c>
      <c r="I74" s="69">
        <f ca="1">SUMIF('CAP8'!$B:$H,Insumo[[#This Row],[DESCRIPCION]],'CAP8'!$H:$H)</f>
        <v>0</v>
      </c>
      <c r="J74" s="69">
        <f ca="1">SUMIF('CAP9-13'!$B:$H,Insumo[[#This Row],[DESCRIPCION]],'CAP9-13'!$H:$H)</f>
        <v>0</v>
      </c>
      <c r="K74" s="69">
        <f ca="1">SUMIF('CAP14-15'!$B:$H,Insumo[[#This Row],[DESCRIPCION]],'CAP14-15'!$H:$H)</f>
        <v>0</v>
      </c>
      <c r="L74" s="69">
        <f ca="1">SUMIF('CAP16-18'!$B:$H,Insumo[[#This Row],[DESCRIPCION]],'CAP16-18'!$H:$H)</f>
        <v>0</v>
      </c>
      <c r="M74" s="69">
        <f ca="1">SUMIF('CAP19-22'!$B:$H,Insumo[[#This Row],[DESCRIPCION]],'CAP19-22'!$H:$H)</f>
        <v>0</v>
      </c>
      <c r="N74" s="69">
        <f ca="1">SUMIF('CAP23-24'!$B:$H,Insumo[[#This Row],[DESCRIPCION]],'CAP23-24'!$H:$H)</f>
        <v>0</v>
      </c>
      <c r="O74" s="69">
        <f ca="1">SUMIF('CAP25'!$B:$H,Insumo[[#This Row],[DESCRIPCION]],'CAP25'!$H:$H)</f>
        <v>0</v>
      </c>
      <c r="P74" s="69">
        <f ca="1">SUMIF('CAP26-28'!$B:$H,Insumo[[#This Row],[DESCRIPCION]],'CAP26-28'!$H:$H)</f>
        <v>0</v>
      </c>
      <c r="Q74" s="69">
        <f ca="1">SUMIF('CAP29'!$B:$H,Insumo[[#This Row],[DESCRIPCION]],'CAP29'!$H:$H)</f>
        <v>0</v>
      </c>
      <c r="R74" s="290"/>
      <c r="T74" s="136">
        <v>7500</v>
      </c>
    </row>
    <row r="75" spans="1:20">
      <c r="A75" s="301" t="s">
        <v>2677</v>
      </c>
      <c r="B75" s="303" t="s">
        <v>2662</v>
      </c>
      <c r="C75" s="304">
        <f t="shared" si="1"/>
        <v>142493.4</v>
      </c>
      <c r="D75" s="281" cm="1">
        <f t="array" aca="1" ref="D75" ca="1">IF(Insumo[[#This Row],[VALOR]]=0,Insumo[TOTAL],E75/C75)</f>
        <v>0</v>
      </c>
      <c r="E75" s="69">
        <f ca="1">SUM(Insumo[[#This Row],[CAP1-3]:[CAP29]])</f>
        <v>0</v>
      </c>
      <c r="F75" s="69">
        <f ca="1">SUMIF('CAP1-3'!$B:$H,Insumo[[#This Row],[DESCRIPCION]],'CAP1-3'!$H:$H)</f>
        <v>0</v>
      </c>
      <c r="G75" s="69">
        <f ca="1">SUMIF('CAP4-5'!$B:$H,Insumo[[#This Row],[DESCRIPCION]],'CAP4-5'!$H:$H)</f>
        <v>0</v>
      </c>
      <c r="H75" s="69">
        <f ca="1">SUMIF('CAP6-7'!$B:$H,Insumo[[#This Row],[DESCRIPCION]],'CAP6-7'!$H:$H)</f>
        <v>0</v>
      </c>
      <c r="I75" s="69">
        <f ca="1">SUMIF('CAP8'!$B:$H,Insumo[[#This Row],[DESCRIPCION]],'CAP8'!$H:$H)</f>
        <v>0</v>
      </c>
      <c r="J75" s="69">
        <f ca="1">SUMIF('CAP9-13'!$B:$H,Insumo[[#This Row],[DESCRIPCION]],'CAP9-13'!$H:$H)</f>
        <v>0</v>
      </c>
      <c r="K75" s="69">
        <f ca="1">SUMIF('CAP14-15'!$B:$H,Insumo[[#This Row],[DESCRIPCION]],'CAP14-15'!$H:$H)</f>
        <v>0</v>
      </c>
      <c r="L75" s="69">
        <f ca="1">SUMIF('CAP16-18'!$B:$H,Insumo[[#This Row],[DESCRIPCION]],'CAP16-18'!$H:$H)</f>
        <v>0</v>
      </c>
      <c r="M75" s="69">
        <f ca="1">SUMIF('CAP19-22'!$B:$H,Insumo[[#This Row],[DESCRIPCION]],'CAP19-22'!$H:$H)</f>
        <v>0</v>
      </c>
      <c r="N75" s="69">
        <f ca="1">SUMIF('CAP23-24'!$B:$H,Insumo[[#This Row],[DESCRIPCION]],'CAP23-24'!$H:$H)</f>
        <v>0</v>
      </c>
      <c r="O75" s="69">
        <f ca="1">SUMIF('CAP25'!$B:$H,Insumo[[#This Row],[DESCRIPCION]],'CAP25'!$H:$H)</f>
        <v>0</v>
      </c>
      <c r="P75" s="69">
        <f ca="1">SUMIF('CAP26-28'!$B:$H,Insumo[[#This Row],[DESCRIPCION]],'CAP26-28'!$H:$H)</f>
        <v>0</v>
      </c>
      <c r="Q75" s="69">
        <f ca="1">SUMIF('CAP29'!$B:$H,Insumo[[#This Row],[DESCRIPCION]],'CAP29'!$H:$H)</f>
        <v>0</v>
      </c>
      <c r="R75" s="290"/>
      <c r="T75" s="136">
        <v>135708</v>
      </c>
    </row>
    <row r="76" spans="1:20">
      <c r="A76" s="301" t="s">
        <v>2678</v>
      </c>
      <c r="B76" s="303" t="s">
        <v>338</v>
      </c>
      <c r="C76" s="304">
        <f t="shared" si="1"/>
        <v>10286.85</v>
      </c>
      <c r="D76" s="281" cm="1">
        <f t="array" aca="1" ref="D76" ca="1">IF(Insumo[[#This Row],[VALOR]]=0,Insumo[TOTAL],E76/C76)</f>
        <v>0</v>
      </c>
      <c r="E76" s="69">
        <f ca="1">SUM(Insumo[[#This Row],[CAP1-3]:[CAP29]])</f>
        <v>0</v>
      </c>
      <c r="F76" s="69">
        <f ca="1">SUMIF('CAP1-3'!$B:$H,Insumo[[#This Row],[DESCRIPCION]],'CAP1-3'!$H:$H)</f>
        <v>0</v>
      </c>
      <c r="G76" s="69">
        <f ca="1">SUMIF('CAP4-5'!$B:$H,Insumo[[#This Row],[DESCRIPCION]],'CAP4-5'!$H:$H)</f>
        <v>0</v>
      </c>
      <c r="H76" s="69">
        <f ca="1">SUMIF('CAP6-7'!$B:$H,Insumo[[#This Row],[DESCRIPCION]],'CAP6-7'!$H:$H)</f>
        <v>0</v>
      </c>
      <c r="I76" s="69">
        <f ca="1">SUMIF('CAP8'!$B:$H,Insumo[[#This Row],[DESCRIPCION]],'CAP8'!$H:$H)</f>
        <v>0</v>
      </c>
      <c r="J76" s="69">
        <f ca="1">SUMIF('CAP9-13'!$B:$H,Insumo[[#This Row],[DESCRIPCION]],'CAP9-13'!$H:$H)</f>
        <v>0</v>
      </c>
      <c r="K76" s="69">
        <f ca="1">SUMIF('CAP14-15'!$B:$H,Insumo[[#This Row],[DESCRIPCION]],'CAP14-15'!$H:$H)</f>
        <v>0</v>
      </c>
      <c r="L76" s="69">
        <f ca="1">SUMIF('CAP16-18'!$B:$H,Insumo[[#This Row],[DESCRIPCION]],'CAP16-18'!$H:$H)</f>
        <v>0</v>
      </c>
      <c r="M76" s="69">
        <f ca="1">SUMIF('CAP19-22'!$B:$H,Insumo[[#This Row],[DESCRIPCION]],'CAP19-22'!$H:$H)</f>
        <v>0</v>
      </c>
      <c r="N76" s="69">
        <f ca="1">SUMIF('CAP23-24'!$B:$H,Insumo[[#This Row],[DESCRIPCION]],'CAP23-24'!$H:$H)</f>
        <v>0</v>
      </c>
      <c r="O76" s="69">
        <f ca="1">SUMIF('CAP25'!$B:$H,Insumo[[#This Row],[DESCRIPCION]],'CAP25'!$H:$H)</f>
        <v>0</v>
      </c>
      <c r="P76" s="69">
        <f ca="1">SUMIF('CAP26-28'!$B:$H,Insumo[[#This Row],[DESCRIPCION]],'CAP26-28'!$H:$H)</f>
        <v>0</v>
      </c>
      <c r="Q76" s="69">
        <f ca="1">SUMIF('CAP29'!$B:$H,Insumo[[#This Row],[DESCRIPCION]],'CAP29'!$H:$H)</f>
        <v>0</v>
      </c>
      <c r="R76" s="290"/>
      <c r="T76" s="136">
        <v>9797</v>
      </c>
    </row>
    <row r="77" spans="1:20">
      <c r="A77" s="301" t="s">
        <v>2679</v>
      </c>
      <c r="B77" s="303" t="s">
        <v>23</v>
      </c>
      <c r="C77" s="304">
        <f t="shared" si="1"/>
        <v>1345.05</v>
      </c>
      <c r="D77" s="281" cm="1">
        <f t="array" aca="1" ref="D77" ca="1">IF(Insumo[[#This Row],[VALOR]]=0,Insumo[TOTAL],E77/C77)</f>
        <v>0</v>
      </c>
      <c r="E77" s="69">
        <f ca="1">SUM(Insumo[[#This Row],[CAP1-3]:[CAP29]])</f>
        <v>0</v>
      </c>
      <c r="F77" s="69">
        <f ca="1">SUMIF('CAP1-3'!$B:$H,Insumo[[#This Row],[DESCRIPCION]],'CAP1-3'!$H:$H)</f>
        <v>0</v>
      </c>
      <c r="G77" s="69">
        <f ca="1">SUMIF('CAP4-5'!$B:$H,Insumo[[#This Row],[DESCRIPCION]],'CAP4-5'!$H:$H)</f>
        <v>0</v>
      </c>
      <c r="H77" s="69">
        <f ca="1">SUMIF('CAP6-7'!$B:$H,Insumo[[#This Row],[DESCRIPCION]],'CAP6-7'!$H:$H)</f>
        <v>0</v>
      </c>
      <c r="I77" s="69">
        <f ca="1">SUMIF('CAP8'!$B:$H,Insumo[[#This Row],[DESCRIPCION]],'CAP8'!$H:$H)</f>
        <v>0</v>
      </c>
      <c r="J77" s="69">
        <f ca="1">SUMIF('CAP9-13'!$B:$H,Insumo[[#This Row],[DESCRIPCION]],'CAP9-13'!$H:$H)</f>
        <v>0</v>
      </c>
      <c r="K77" s="69">
        <f ca="1">SUMIF('CAP14-15'!$B:$H,Insumo[[#This Row],[DESCRIPCION]],'CAP14-15'!$H:$H)</f>
        <v>0</v>
      </c>
      <c r="L77" s="69">
        <f ca="1">SUMIF('CAP16-18'!$B:$H,Insumo[[#This Row],[DESCRIPCION]],'CAP16-18'!$H:$H)</f>
        <v>0</v>
      </c>
      <c r="M77" s="69">
        <f ca="1">SUMIF('CAP19-22'!$B:$H,Insumo[[#This Row],[DESCRIPCION]],'CAP19-22'!$H:$H)</f>
        <v>0</v>
      </c>
      <c r="N77" s="69">
        <f ca="1">SUMIF('CAP23-24'!$B:$H,Insumo[[#This Row],[DESCRIPCION]],'CAP23-24'!$H:$H)</f>
        <v>0</v>
      </c>
      <c r="O77" s="69">
        <f ca="1">SUMIF('CAP25'!$B:$H,Insumo[[#This Row],[DESCRIPCION]],'CAP25'!$H:$H)</f>
        <v>0</v>
      </c>
      <c r="P77" s="69">
        <f ca="1">SUMIF('CAP26-28'!$B:$H,Insumo[[#This Row],[DESCRIPCION]],'CAP26-28'!$H:$H)</f>
        <v>0</v>
      </c>
      <c r="Q77" s="69">
        <f ca="1">SUMIF('CAP29'!$B:$H,Insumo[[#This Row],[DESCRIPCION]],'CAP29'!$H:$H)</f>
        <v>0</v>
      </c>
      <c r="R77" s="290"/>
      <c r="T77" s="136">
        <v>1281</v>
      </c>
    </row>
    <row r="78" spans="1:20">
      <c r="A78" s="301" t="s">
        <v>2680</v>
      </c>
      <c r="B78" s="303" t="s">
        <v>23</v>
      </c>
      <c r="C78" s="304">
        <f t="shared" si="1"/>
        <v>1900.5</v>
      </c>
      <c r="D78" s="281" cm="1">
        <f t="array" aca="1" ref="D78" ca="1">IF(Insumo[[#This Row],[VALOR]]=0,Insumo[TOTAL],E78/C78)</f>
        <v>0</v>
      </c>
      <c r="E78" s="69">
        <f ca="1">SUM(Insumo[[#This Row],[CAP1-3]:[CAP29]])</f>
        <v>0</v>
      </c>
      <c r="F78" s="69">
        <f ca="1">SUMIF('CAP1-3'!$B:$H,Insumo[[#This Row],[DESCRIPCION]],'CAP1-3'!$H:$H)</f>
        <v>0</v>
      </c>
      <c r="G78" s="69">
        <f ca="1">SUMIF('CAP4-5'!$B:$H,Insumo[[#This Row],[DESCRIPCION]],'CAP4-5'!$H:$H)</f>
        <v>0</v>
      </c>
      <c r="H78" s="69">
        <f ca="1">SUMIF('CAP6-7'!$B:$H,Insumo[[#This Row],[DESCRIPCION]],'CAP6-7'!$H:$H)</f>
        <v>0</v>
      </c>
      <c r="I78" s="69">
        <f ca="1">SUMIF('CAP8'!$B:$H,Insumo[[#This Row],[DESCRIPCION]],'CAP8'!$H:$H)</f>
        <v>0</v>
      </c>
      <c r="J78" s="69">
        <f ca="1">SUMIF('CAP9-13'!$B:$H,Insumo[[#This Row],[DESCRIPCION]],'CAP9-13'!$H:$H)</f>
        <v>0</v>
      </c>
      <c r="K78" s="69">
        <f ca="1">SUMIF('CAP14-15'!$B:$H,Insumo[[#This Row],[DESCRIPCION]],'CAP14-15'!$H:$H)</f>
        <v>0</v>
      </c>
      <c r="L78" s="69">
        <f ca="1">SUMIF('CAP16-18'!$B:$H,Insumo[[#This Row],[DESCRIPCION]],'CAP16-18'!$H:$H)</f>
        <v>0</v>
      </c>
      <c r="M78" s="69">
        <f ca="1">SUMIF('CAP19-22'!$B:$H,Insumo[[#This Row],[DESCRIPCION]],'CAP19-22'!$H:$H)</f>
        <v>0</v>
      </c>
      <c r="N78" s="69">
        <f ca="1">SUMIF('CAP23-24'!$B:$H,Insumo[[#This Row],[DESCRIPCION]],'CAP23-24'!$H:$H)</f>
        <v>0</v>
      </c>
      <c r="O78" s="69">
        <f ca="1">SUMIF('CAP25'!$B:$H,Insumo[[#This Row],[DESCRIPCION]],'CAP25'!$H:$H)</f>
        <v>0</v>
      </c>
      <c r="P78" s="69">
        <f ca="1">SUMIF('CAP26-28'!$B:$H,Insumo[[#This Row],[DESCRIPCION]],'CAP26-28'!$H:$H)</f>
        <v>0</v>
      </c>
      <c r="Q78" s="69">
        <f ca="1">SUMIF('CAP29'!$B:$H,Insumo[[#This Row],[DESCRIPCION]],'CAP29'!$H:$H)</f>
        <v>0</v>
      </c>
      <c r="T78" s="136">
        <v>1810</v>
      </c>
    </row>
    <row r="79" spans="1:20">
      <c r="A79" s="301" t="s">
        <v>2681</v>
      </c>
      <c r="B79" s="303" t="s">
        <v>23</v>
      </c>
      <c r="C79" s="304">
        <f t="shared" si="1"/>
        <v>1440.6000000000001</v>
      </c>
      <c r="D79" s="281" cm="1">
        <f t="array" aca="1" ref="D79" ca="1">IF(Insumo[[#This Row],[VALOR]]=0,Insumo[TOTAL],E79/C79)</f>
        <v>0</v>
      </c>
      <c r="E79" s="69">
        <f ca="1">SUM(Insumo[[#This Row],[CAP1-3]:[CAP29]])</f>
        <v>0</v>
      </c>
      <c r="F79" s="69">
        <f ca="1">SUMIF('CAP1-3'!$B:$H,Insumo[[#This Row],[DESCRIPCION]],'CAP1-3'!$H:$H)</f>
        <v>0</v>
      </c>
      <c r="G79" s="69">
        <f ca="1">SUMIF('CAP4-5'!$B:$H,Insumo[[#This Row],[DESCRIPCION]],'CAP4-5'!$H:$H)</f>
        <v>0</v>
      </c>
      <c r="H79" s="69">
        <f ca="1">SUMIF('CAP6-7'!$B:$H,Insumo[[#This Row],[DESCRIPCION]],'CAP6-7'!$H:$H)</f>
        <v>0</v>
      </c>
      <c r="I79" s="69">
        <f ca="1">SUMIF('CAP8'!$B:$H,Insumo[[#This Row],[DESCRIPCION]],'CAP8'!$H:$H)</f>
        <v>0</v>
      </c>
      <c r="J79" s="69">
        <f ca="1">SUMIF('CAP9-13'!$B:$H,Insumo[[#This Row],[DESCRIPCION]],'CAP9-13'!$H:$H)</f>
        <v>0</v>
      </c>
      <c r="K79" s="69">
        <f ca="1">SUMIF('CAP14-15'!$B:$H,Insumo[[#This Row],[DESCRIPCION]],'CAP14-15'!$H:$H)</f>
        <v>0</v>
      </c>
      <c r="L79" s="69">
        <f ca="1">SUMIF('CAP16-18'!$B:$H,Insumo[[#This Row],[DESCRIPCION]],'CAP16-18'!$H:$H)</f>
        <v>0</v>
      </c>
      <c r="M79" s="69">
        <f ca="1">SUMIF('CAP19-22'!$B:$H,Insumo[[#This Row],[DESCRIPCION]],'CAP19-22'!$H:$H)</f>
        <v>0</v>
      </c>
      <c r="N79" s="69">
        <f ca="1">SUMIF('CAP23-24'!$B:$H,Insumo[[#This Row],[DESCRIPCION]],'CAP23-24'!$H:$H)</f>
        <v>0</v>
      </c>
      <c r="O79" s="69">
        <f ca="1">SUMIF('CAP25'!$B:$H,Insumo[[#This Row],[DESCRIPCION]],'CAP25'!$H:$H)</f>
        <v>0</v>
      </c>
      <c r="P79" s="69">
        <f ca="1">SUMIF('CAP26-28'!$B:$H,Insumo[[#This Row],[DESCRIPCION]],'CAP26-28'!$H:$H)</f>
        <v>0</v>
      </c>
      <c r="Q79" s="69">
        <f ca="1">SUMIF('CAP29'!$B:$H,Insumo[[#This Row],[DESCRIPCION]],'CAP29'!$H:$H)</f>
        <v>0</v>
      </c>
      <c r="T79" s="136">
        <v>1372</v>
      </c>
    </row>
    <row r="80" spans="1:20">
      <c r="A80" s="301" t="s">
        <v>2682</v>
      </c>
      <c r="B80" s="303" t="s">
        <v>23</v>
      </c>
      <c r="C80" s="304">
        <f t="shared" si="1"/>
        <v>1900.5</v>
      </c>
      <c r="D80" s="281" cm="1">
        <f t="array" aca="1" ref="D80" ca="1">IF(Insumo[[#This Row],[VALOR]]=0,Insumo[TOTAL],E80/C80)</f>
        <v>0</v>
      </c>
      <c r="E80" s="69">
        <f ca="1">SUM(Insumo[[#This Row],[CAP1-3]:[CAP29]])</f>
        <v>0</v>
      </c>
      <c r="F80" s="69">
        <f ca="1">SUMIF('CAP1-3'!$B:$H,Insumo[[#This Row],[DESCRIPCION]],'CAP1-3'!$H:$H)</f>
        <v>0</v>
      </c>
      <c r="G80" s="69">
        <f ca="1">SUMIF('CAP4-5'!$B:$H,Insumo[[#This Row],[DESCRIPCION]],'CAP4-5'!$H:$H)</f>
        <v>0</v>
      </c>
      <c r="H80" s="69">
        <f ca="1">SUMIF('CAP6-7'!$B:$H,Insumo[[#This Row],[DESCRIPCION]],'CAP6-7'!$H:$H)</f>
        <v>0</v>
      </c>
      <c r="I80" s="69">
        <f ca="1">SUMIF('CAP8'!$B:$H,Insumo[[#This Row],[DESCRIPCION]],'CAP8'!$H:$H)</f>
        <v>0</v>
      </c>
      <c r="J80" s="69">
        <f ca="1">SUMIF('CAP9-13'!$B:$H,Insumo[[#This Row],[DESCRIPCION]],'CAP9-13'!$H:$H)</f>
        <v>0</v>
      </c>
      <c r="K80" s="69">
        <f ca="1">SUMIF('CAP14-15'!$B:$H,Insumo[[#This Row],[DESCRIPCION]],'CAP14-15'!$H:$H)</f>
        <v>0</v>
      </c>
      <c r="L80" s="69">
        <f ca="1">SUMIF('CAP16-18'!$B:$H,Insumo[[#This Row],[DESCRIPCION]],'CAP16-18'!$H:$H)</f>
        <v>0</v>
      </c>
      <c r="M80" s="69">
        <f ca="1">SUMIF('CAP19-22'!$B:$H,Insumo[[#This Row],[DESCRIPCION]],'CAP19-22'!$H:$H)</f>
        <v>0</v>
      </c>
      <c r="N80" s="69">
        <f ca="1">SUMIF('CAP23-24'!$B:$H,Insumo[[#This Row],[DESCRIPCION]],'CAP23-24'!$H:$H)</f>
        <v>0</v>
      </c>
      <c r="O80" s="69">
        <f ca="1">SUMIF('CAP25'!$B:$H,Insumo[[#This Row],[DESCRIPCION]],'CAP25'!$H:$H)</f>
        <v>0</v>
      </c>
      <c r="P80" s="69">
        <f ca="1">SUMIF('CAP26-28'!$B:$H,Insumo[[#This Row],[DESCRIPCION]],'CAP26-28'!$H:$H)</f>
        <v>0</v>
      </c>
      <c r="Q80" s="69">
        <f ca="1">SUMIF('CAP29'!$B:$H,Insumo[[#This Row],[DESCRIPCION]],'CAP29'!$H:$H)</f>
        <v>0</v>
      </c>
      <c r="T80" s="136">
        <v>1810</v>
      </c>
    </row>
    <row r="81" spans="1:20">
      <c r="A81" s="301" t="s">
        <v>2683</v>
      </c>
      <c r="B81" s="303" t="s">
        <v>52</v>
      </c>
      <c r="C81" s="304">
        <f t="shared" si="1"/>
        <v>53583.600000000006</v>
      </c>
      <c r="D81" s="281" cm="1">
        <f t="array" aca="1" ref="D81" ca="1">IF(Insumo[[#This Row],[VALOR]]=0,Insumo[TOTAL],E81/C81)</f>
        <v>0</v>
      </c>
      <c r="E81" s="69">
        <f ca="1">SUM(Insumo[[#This Row],[CAP1-3]:[CAP29]])</f>
        <v>0</v>
      </c>
      <c r="F81" s="69">
        <f ca="1">SUMIF('CAP1-3'!$B:$H,Insumo[[#This Row],[DESCRIPCION]],'CAP1-3'!$H:$H)</f>
        <v>0</v>
      </c>
      <c r="G81" s="69">
        <f ca="1">SUMIF('CAP4-5'!$B:$H,Insumo[[#This Row],[DESCRIPCION]],'CAP4-5'!$H:$H)</f>
        <v>0</v>
      </c>
      <c r="H81" s="69">
        <f ca="1">SUMIF('CAP6-7'!$B:$H,Insumo[[#This Row],[DESCRIPCION]],'CAP6-7'!$H:$H)</f>
        <v>0</v>
      </c>
      <c r="I81" s="69">
        <f ca="1">SUMIF('CAP8'!$B:$H,Insumo[[#This Row],[DESCRIPCION]],'CAP8'!$H:$H)</f>
        <v>0</v>
      </c>
      <c r="J81" s="69">
        <f ca="1">SUMIF('CAP9-13'!$B:$H,Insumo[[#This Row],[DESCRIPCION]],'CAP9-13'!$H:$H)</f>
        <v>0</v>
      </c>
      <c r="K81" s="69">
        <f ca="1">SUMIF('CAP14-15'!$B:$H,Insumo[[#This Row],[DESCRIPCION]],'CAP14-15'!$H:$H)</f>
        <v>0</v>
      </c>
      <c r="L81" s="69">
        <f ca="1">SUMIF('CAP16-18'!$B:$H,Insumo[[#This Row],[DESCRIPCION]],'CAP16-18'!$H:$H)</f>
        <v>0</v>
      </c>
      <c r="M81" s="69">
        <f ca="1">SUMIF('CAP19-22'!$B:$H,Insumo[[#This Row],[DESCRIPCION]],'CAP19-22'!$H:$H)</f>
        <v>0</v>
      </c>
      <c r="N81" s="69">
        <f ca="1">SUMIF('CAP23-24'!$B:$H,Insumo[[#This Row],[DESCRIPCION]],'CAP23-24'!$H:$H)</f>
        <v>0</v>
      </c>
      <c r="O81" s="69">
        <f ca="1">SUMIF('CAP25'!$B:$H,Insumo[[#This Row],[DESCRIPCION]],'CAP25'!$H:$H)</f>
        <v>0</v>
      </c>
      <c r="P81" s="69">
        <f ca="1">SUMIF('CAP26-28'!$B:$H,Insumo[[#This Row],[DESCRIPCION]],'CAP26-28'!$H:$H)</f>
        <v>0</v>
      </c>
      <c r="Q81" s="69">
        <f ca="1">SUMIF('CAP29'!$B:$H,Insumo[[#This Row],[DESCRIPCION]],'CAP29'!$H:$H)</f>
        <v>0</v>
      </c>
      <c r="T81" s="136">
        <v>51032</v>
      </c>
    </row>
    <row r="82" spans="1:20">
      <c r="A82" s="301" t="s">
        <v>2684</v>
      </c>
      <c r="B82" s="303" t="s">
        <v>52</v>
      </c>
      <c r="C82" s="304">
        <f t="shared" si="1"/>
        <v>56263.200000000004</v>
      </c>
      <c r="D82" s="281" cm="1">
        <f t="array" aca="1" ref="D82" ca="1">IF(Insumo[[#This Row],[VALOR]]=0,Insumo[TOTAL],E82/C82)</f>
        <v>0</v>
      </c>
      <c r="E82" s="69">
        <f ca="1">SUM(Insumo[[#This Row],[CAP1-3]:[CAP29]])</f>
        <v>0</v>
      </c>
      <c r="F82" s="69">
        <f ca="1">SUMIF('CAP1-3'!$B:$H,Insumo[[#This Row],[DESCRIPCION]],'CAP1-3'!$H:$H)</f>
        <v>0</v>
      </c>
      <c r="G82" s="69">
        <f ca="1">SUMIF('CAP4-5'!$B:$H,Insumo[[#This Row],[DESCRIPCION]],'CAP4-5'!$H:$H)</f>
        <v>0</v>
      </c>
      <c r="H82" s="69">
        <f ca="1">SUMIF('CAP6-7'!$B:$H,Insumo[[#This Row],[DESCRIPCION]],'CAP6-7'!$H:$H)</f>
        <v>0</v>
      </c>
      <c r="I82" s="69">
        <f ca="1">SUMIF('CAP8'!$B:$H,Insumo[[#This Row],[DESCRIPCION]],'CAP8'!$H:$H)</f>
        <v>0</v>
      </c>
      <c r="J82" s="69">
        <f ca="1">SUMIF('CAP9-13'!$B:$H,Insumo[[#This Row],[DESCRIPCION]],'CAP9-13'!$H:$H)</f>
        <v>0</v>
      </c>
      <c r="K82" s="69">
        <f ca="1">SUMIF('CAP14-15'!$B:$H,Insumo[[#This Row],[DESCRIPCION]],'CAP14-15'!$H:$H)</f>
        <v>0</v>
      </c>
      <c r="L82" s="69">
        <f ca="1">SUMIF('CAP16-18'!$B:$H,Insumo[[#This Row],[DESCRIPCION]],'CAP16-18'!$H:$H)</f>
        <v>0</v>
      </c>
      <c r="M82" s="69">
        <f ca="1">SUMIF('CAP19-22'!$B:$H,Insumo[[#This Row],[DESCRIPCION]],'CAP19-22'!$H:$H)</f>
        <v>0</v>
      </c>
      <c r="N82" s="69">
        <f ca="1">SUMIF('CAP23-24'!$B:$H,Insumo[[#This Row],[DESCRIPCION]],'CAP23-24'!$H:$H)</f>
        <v>0</v>
      </c>
      <c r="O82" s="69">
        <f ca="1">SUMIF('CAP25'!$B:$H,Insumo[[#This Row],[DESCRIPCION]],'CAP25'!$H:$H)</f>
        <v>0</v>
      </c>
      <c r="P82" s="69">
        <f ca="1">SUMIF('CAP26-28'!$B:$H,Insumo[[#This Row],[DESCRIPCION]],'CAP26-28'!$H:$H)</f>
        <v>0</v>
      </c>
      <c r="Q82" s="69">
        <f ca="1">SUMIF('CAP29'!$B:$H,Insumo[[#This Row],[DESCRIPCION]],'CAP29'!$H:$H)</f>
        <v>0</v>
      </c>
      <c r="T82" s="136">
        <v>53584</v>
      </c>
    </row>
    <row r="83" spans="1:20">
      <c r="A83" s="301" t="s">
        <v>2685</v>
      </c>
      <c r="B83" s="303" t="s">
        <v>2686</v>
      </c>
      <c r="C83" s="304">
        <f t="shared" si="1"/>
        <v>27.3</v>
      </c>
      <c r="D83" s="281" cm="1">
        <f t="array" aca="1" ref="D83" ca="1">IF(Insumo[[#This Row],[VALOR]]=0,Insumo[TOTAL],E83/C83)</f>
        <v>0</v>
      </c>
      <c r="E83" s="69">
        <f ca="1">SUM(Insumo[[#This Row],[CAP1-3]:[CAP29]])</f>
        <v>0</v>
      </c>
      <c r="F83" s="69">
        <f ca="1">SUMIF('CAP1-3'!$B:$H,Insumo[[#This Row],[DESCRIPCION]],'CAP1-3'!$H:$H)</f>
        <v>0</v>
      </c>
      <c r="G83" s="69">
        <f ca="1">SUMIF('CAP4-5'!$B:$H,Insumo[[#This Row],[DESCRIPCION]],'CAP4-5'!$H:$H)</f>
        <v>0</v>
      </c>
      <c r="H83" s="69">
        <f ca="1">SUMIF('CAP6-7'!$B:$H,Insumo[[#This Row],[DESCRIPCION]],'CAP6-7'!$H:$H)</f>
        <v>0</v>
      </c>
      <c r="I83" s="69">
        <f ca="1">SUMIF('CAP8'!$B:$H,Insumo[[#This Row],[DESCRIPCION]],'CAP8'!$H:$H)</f>
        <v>0</v>
      </c>
      <c r="J83" s="69">
        <f ca="1">SUMIF('CAP9-13'!$B:$H,Insumo[[#This Row],[DESCRIPCION]],'CAP9-13'!$H:$H)</f>
        <v>0</v>
      </c>
      <c r="K83" s="69">
        <f ca="1">SUMIF('CAP14-15'!$B:$H,Insumo[[#This Row],[DESCRIPCION]],'CAP14-15'!$H:$H)</f>
        <v>0</v>
      </c>
      <c r="L83" s="69">
        <f ca="1">SUMIF('CAP16-18'!$B:$H,Insumo[[#This Row],[DESCRIPCION]],'CAP16-18'!$H:$H)</f>
        <v>0</v>
      </c>
      <c r="M83" s="69">
        <f ca="1">SUMIF('CAP19-22'!$B:$H,Insumo[[#This Row],[DESCRIPCION]],'CAP19-22'!$H:$H)</f>
        <v>0</v>
      </c>
      <c r="N83" s="69">
        <f ca="1">SUMIF('CAP23-24'!$B:$H,Insumo[[#This Row],[DESCRIPCION]],'CAP23-24'!$H:$H)</f>
        <v>0</v>
      </c>
      <c r="O83" s="69">
        <f ca="1">SUMIF('CAP25'!$B:$H,Insumo[[#This Row],[DESCRIPCION]],'CAP25'!$H:$H)</f>
        <v>0</v>
      </c>
      <c r="P83" s="69">
        <f ca="1">SUMIF('CAP26-28'!$B:$H,Insumo[[#This Row],[DESCRIPCION]],'CAP26-28'!$H:$H)</f>
        <v>0</v>
      </c>
      <c r="Q83" s="69">
        <f ca="1">SUMIF('CAP29'!$B:$H,Insumo[[#This Row],[DESCRIPCION]],'CAP29'!$H:$H)</f>
        <v>0</v>
      </c>
      <c r="T83" s="136">
        <v>26</v>
      </c>
    </row>
    <row r="84" spans="1:20" ht="13.5" customHeight="1">
      <c r="A84" s="301" t="s">
        <v>2687</v>
      </c>
      <c r="B84" s="303" t="s">
        <v>23</v>
      </c>
      <c r="C84" s="304">
        <f t="shared" si="1"/>
        <v>36750</v>
      </c>
      <c r="D84" s="281" cm="1">
        <f t="array" aca="1" ref="D84" ca="1">IF(Insumo[[#This Row],[VALOR]]=0,Insumo[TOTAL],E84/C84)</f>
        <v>0</v>
      </c>
      <c r="E84" s="69">
        <f ca="1">SUM(Insumo[[#This Row],[CAP1-3]:[CAP29]])</f>
        <v>0</v>
      </c>
      <c r="F84" s="69">
        <f ca="1">SUMIF('CAP1-3'!$B:$H,Insumo[[#This Row],[DESCRIPCION]],'CAP1-3'!$H:$H)</f>
        <v>0</v>
      </c>
      <c r="G84" s="69">
        <f ca="1">SUMIF('CAP4-5'!$B:$H,Insumo[[#This Row],[DESCRIPCION]],'CAP4-5'!$H:$H)</f>
        <v>0</v>
      </c>
      <c r="H84" s="69">
        <f ca="1">SUMIF('CAP6-7'!$B:$H,Insumo[[#This Row],[DESCRIPCION]],'CAP6-7'!$H:$H)</f>
        <v>0</v>
      </c>
      <c r="I84" s="69">
        <f ca="1">SUMIF('CAP8'!$B:$H,Insumo[[#This Row],[DESCRIPCION]],'CAP8'!$H:$H)</f>
        <v>0</v>
      </c>
      <c r="J84" s="69">
        <f ca="1">SUMIF('CAP9-13'!$B:$H,Insumo[[#This Row],[DESCRIPCION]],'CAP9-13'!$H:$H)</f>
        <v>0</v>
      </c>
      <c r="K84" s="69">
        <f ca="1">SUMIF('CAP14-15'!$B:$H,Insumo[[#This Row],[DESCRIPCION]],'CAP14-15'!$H:$H)</f>
        <v>0</v>
      </c>
      <c r="L84" s="69">
        <f ca="1">SUMIF('CAP16-18'!$B:$H,Insumo[[#This Row],[DESCRIPCION]],'CAP16-18'!$H:$H)</f>
        <v>0</v>
      </c>
      <c r="M84" s="69">
        <f ca="1">SUMIF('CAP19-22'!$B:$H,Insumo[[#This Row],[DESCRIPCION]],'CAP19-22'!$H:$H)</f>
        <v>0</v>
      </c>
      <c r="N84" s="69">
        <f ca="1">SUMIF('CAP23-24'!$B:$H,Insumo[[#This Row],[DESCRIPCION]],'CAP23-24'!$H:$H)</f>
        <v>0</v>
      </c>
      <c r="O84" s="69">
        <f ca="1">SUMIF('CAP25'!$B:$H,Insumo[[#This Row],[DESCRIPCION]],'CAP25'!$H:$H)</f>
        <v>0</v>
      </c>
      <c r="P84" s="69">
        <f ca="1">SUMIF('CAP26-28'!$B:$H,Insumo[[#This Row],[DESCRIPCION]],'CAP26-28'!$H:$H)</f>
        <v>0</v>
      </c>
      <c r="Q84" s="69">
        <f ca="1">SUMIF('CAP29'!$B:$H,Insumo[[#This Row],[DESCRIPCION]],'CAP29'!$H:$H)</f>
        <v>0</v>
      </c>
      <c r="T84" s="136">
        <v>35000</v>
      </c>
    </row>
    <row r="85" spans="1:20" ht="13.5" customHeight="1">
      <c r="A85" s="301" t="s">
        <v>2688</v>
      </c>
      <c r="B85" s="303" t="s">
        <v>23</v>
      </c>
      <c r="C85" s="304">
        <f t="shared" si="1"/>
        <v>5565</v>
      </c>
      <c r="D85" s="281" cm="1">
        <f t="array" aca="1" ref="D85" ca="1">IF(Insumo[[#This Row],[VALOR]]=0,Insumo[TOTAL],E85/C85)</f>
        <v>0</v>
      </c>
      <c r="E85" s="69">
        <f ca="1">SUM(Insumo[[#This Row],[CAP1-3]:[CAP29]])</f>
        <v>0</v>
      </c>
      <c r="F85" s="69">
        <f ca="1">SUMIF('CAP1-3'!$B:$H,Insumo[[#This Row],[DESCRIPCION]],'CAP1-3'!$H:$H)</f>
        <v>0</v>
      </c>
      <c r="G85" s="69">
        <f ca="1">SUMIF('CAP4-5'!$B:$H,Insumo[[#This Row],[DESCRIPCION]],'CAP4-5'!$H:$H)</f>
        <v>0</v>
      </c>
      <c r="H85" s="69">
        <f ca="1">SUMIF('CAP6-7'!$B:$H,Insumo[[#This Row],[DESCRIPCION]],'CAP6-7'!$H:$H)</f>
        <v>0</v>
      </c>
      <c r="I85" s="69">
        <f ca="1">SUMIF('CAP8'!$B:$H,Insumo[[#This Row],[DESCRIPCION]],'CAP8'!$H:$H)</f>
        <v>0</v>
      </c>
      <c r="J85" s="69">
        <f ca="1">SUMIF('CAP9-13'!$B:$H,Insumo[[#This Row],[DESCRIPCION]],'CAP9-13'!$H:$H)</f>
        <v>0</v>
      </c>
      <c r="K85" s="69">
        <f ca="1">SUMIF('CAP14-15'!$B:$H,Insumo[[#This Row],[DESCRIPCION]],'CAP14-15'!$H:$H)</f>
        <v>0</v>
      </c>
      <c r="L85" s="69">
        <f ca="1">SUMIF('CAP16-18'!$B:$H,Insumo[[#This Row],[DESCRIPCION]],'CAP16-18'!$H:$H)</f>
        <v>0</v>
      </c>
      <c r="M85" s="69">
        <f ca="1">SUMIF('CAP19-22'!$B:$H,Insumo[[#This Row],[DESCRIPCION]],'CAP19-22'!$H:$H)</f>
        <v>0</v>
      </c>
      <c r="N85" s="69">
        <f ca="1">SUMIF('CAP23-24'!$B:$H,Insumo[[#This Row],[DESCRIPCION]],'CAP23-24'!$H:$H)</f>
        <v>0</v>
      </c>
      <c r="O85" s="69">
        <f ca="1">SUMIF('CAP25'!$B:$H,Insumo[[#This Row],[DESCRIPCION]],'CAP25'!$H:$H)</f>
        <v>0</v>
      </c>
      <c r="P85" s="69">
        <f ca="1">SUMIF('CAP26-28'!$B:$H,Insumo[[#This Row],[DESCRIPCION]],'CAP26-28'!$H:$H)</f>
        <v>0</v>
      </c>
      <c r="Q85" s="69">
        <f ca="1">SUMIF('CAP29'!$B:$H,Insumo[[#This Row],[DESCRIPCION]],'CAP29'!$H:$H)</f>
        <v>0</v>
      </c>
      <c r="R85" s="290"/>
      <c r="T85" s="136">
        <v>5300</v>
      </c>
    </row>
    <row r="86" spans="1:20">
      <c r="A86" s="301" t="s">
        <v>2689</v>
      </c>
      <c r="B86" s="303" t="s">
        <v>30</v>
      </c>
      <c r="C86" s="304">
        <f t="shared" si="1"/>
        <v>17692.5</v>
      </c>
      <c r="D86" s="281" cm="1">
        <f t="array" aca="1" ref="D86" ca="1">IF(Insumo[[#This Row],[VALOR]]=0,Insumo[TOTAL],E86/C86)</f>
        <v>0</v>
      </c>
      <c r="E86" s="69">
        <f ca="1">SUM(Insumo[[#This Row],[CAP1-3]:[CAP29]])</f>
        <v>0</v>
      </c>
      <c r="F86" s="69">
        <f ca="1">SUMIF('CAP1-3'!$B:$H,Insumo[[#This Row],[DESCRIPCION]],'CAP1-3'!$H:$H)</f>
        <v>0</v>
      </c>
      <c r="G86" s="69">
        <f ca="1">SUMIF('CAP4-5'!$B:$H,Insumo[[#This Row],[DESCRIPCION]],'CAP4-5'!$H:$H)</f>
        <v>0</v>
      </c>
      <c r="H86" s="69">
        <f ca="1">SUMIF('CAP6-7'!$B:$H,Insumo[[#This Row],[DESCRIPCION]],'CAP6-7'!$H:$H)</f>
        <v>0</v>
      </c>
      <c r="I86" s="69">
        <f ca="1">SUMIF('CAP8'!$B:$H,Insumo[[#This Row],[DESCRIPCION]],'CAP8'!$H:$H)</f>
        <v>0</v>
      </c>
      <c r="J86" s="69">
        <f ca="1">SUMIF('CAP9-13'!$B:$H,Insumo[[#This Row],[DESCRIPCION]],'CAP9-13'!$H:$H)</f>
        <v>0</v>
      </c>
      <c r="K86" s="69">
        <f ca="1">SUMIF('CAP14-15'!$B:$H,Insumo[[#This Row],[DESCRIPCION]],'CAP14-15'!$H:$H)</f>
        <v>0</v>
      </c>
      <c r="L86" s="69">
        <f ca="1">SUMIF('CAP16-18'!$B:$H,Insumo[[#This Row],[DESCRIPCION]],'CAP16-18'!$H:$H)</f>
        <v>0</v>
      </c>
      <c r="M86" s="69">
        <f ca="1">SUMIF('CAP19-22'!$B:$H,Insumo[[#This Row],[DESCRIPCION]],'CAP19-22'!$H:$H)</f>
        <v>0</v>
      </c>
      <c r="N86" s="69">
        <f ca="1">SUMIF('CAP23-24'!$B:$H,Insumo[[#This Row],[DESCRIPCION]],'CAP23-24'!$H:$H)</f>
        <v>0</v>
      </c>
      <c r="O86" s="69">
        <f ca="1">SUMIF('CAP25'!$B:$H,Insumo[[#This Row],[DESCRIPCION]],'CAP25'!$H:$H)</f>
        <v>0</v>
      </c>
      <c r="P86" s="69">
        <f ca="1">SUMIF('CAP26-28'!$B:$H,Insumo[[#This Row],[DESCRIPCION]],'CAP26-28'!$H:$H)</f>
        <v>0</v>
      </c>
      <c r="Q86" s="69">
        <f ca="1">SUMIF('CAP29'!$B:$H,Insumo[[#This Row],[DESCRIPCION]],'CAP29'!$H:$H)</f>
        <v>0</v>
      </c>
      <c r="T86" s="136">
        <v>16850</v>
      </c>
    </row>
    <row r="87" spans="1:20">
      <c r="A87" s="301" t="s">
        <v>2690</v>
      </c>
      <c r="B87" s="303" t="s">
        <v>30</v>
      </c>
      <c r="C87" s="304">
        <f t="shared" si="1"/>
        <v>10867.5</v>
      </c>
      <c r="D87" s="281" cm="1">
        <f t="array" aca="1" ref="D87" ca="1">IF(Insumo[[#This Row],[VALOR]]=0,Insumo[TOTAL],E87/C87)</f>
        <v>0</v>
      </c>
      <c r="E87" s="69">
        <f ca="1">SUM(Insumo[[#This Row],[CAP1-3]:[CAP29]])</f>
        <v>0</v>
      </c>
      <c r="F87" s="69">
        <f ca="1">SUMIF('CAP1-3'!$B:$H,Insumo[[#This Row],[DESCRIPCION]],'CAP1-3'!$H:$H)</f>
        <v>0</v>
      </c>
      <c r="G87" s="69">
        <f ca="1">SUMIF('CAP4-5'!$B:$H,Insumo[[#This Row],[DESCRIPCION]],'CAP4-5'!$H:$H)</f>
        <v>0</v>
      </c>
      <c r="H87" s="69">
        <f ca="1">SUMIF('CAP6-7'!$B:$H,Insumo[[#This Row],[DESCRIPCION]],'CAP6-7'!$H:$H)</f>
        <v>0</v>
      </c>
      <c r="I87" s="69">
        <f ca="1">SUMIF('CAP8'!$B:$H,Insumo[[#This Row],[DESCRIPCION]],'CAP8'!$H:$H)</f>
        <v>0</v>
      </c>
      <c r="J87" s="69">
        <f ca="1">SUMIF('CAP9-13'!$B:$H,Insumo[[#This Row],[DESCRIPCION]],'CAP9-13'!$H:$H)</f>
        <v>0</v>
      </c>
      <c r="K87" s="69">
        <f ca="1">SUMIF('CAP14-15'!$B:$H,Insumo[[#This Row],[DESCRIPCION]],'CAP14-15'!$H:$H)</f>
        <v>0</v>
      </c>
      <c r="L87" s="69">
        <f ca="1">SUMIF('CAP16-18'!$B:$H,Insumo[[#This Row],[DESCRIPCION]],'CAP16-18'!$H:$H)</f>
        <v>0</v>
      </c>
      <c r="M87" s="69">
        <f ca="1">SUMIF('CAP19-22'!$B:$H,Insumo[[#This Row],[DESCRIPCION]],'CAP19-22'!$H:$H)</f>
        <v>0</v>
      </c>
      <c r="N87" s="69">
        <f ca="1">SUMIF('CAP23-24'!$B:$H,Insumo[[#This Row],[DESCRIPCION]],'CAP23-24'!$H:$H)</f>
        <v>0</v>
      </c>
      <c r="O87" s="69">
        <f ca="1">SUMIF('CAP25'!$B:$H,Insumo[[#This Row],[DESCRIPCION]],'CAP25'!$H:$H)</f>
        <v>0</v>
      </c>
      <c r="P87" s="69">
        <f ca="1">SUMIF('CAP26-28'!$B:$H,Insumo[[#This Row],[DESCRIPCION]],'CAP26-28'!$H:$H)</f>
        <v>0</v>
      </c>
      <c r="Q87" s="69">
        <f ca="1">SUMIF('CAP29'!$B:$H,Insumo[[#This Row],[DESCRIPCION]],'CAP29'!$H:$H)</f>
        <v>0</v>
      </c>
      <c r="T87" s="136">
        <v>10350</v>
      </c>
    </row>
    <row r="88" spans="1:20">
      <c r="A88" s="301" t="s">
        <v>2691</v>
      </c>
      <c r="B88" s="303" t="s">
        <v>30</v>
      </c>
      <c r="C88" s="304">
        <f t="shared" si="1"/>
        <v>6961.5</v>
      </c>
      <c r="D88" s="281" cm="1">
        <f t="array" aca="1" ref="D88" ca="1">IF(Insumo[[#This Row],[VALOR]]=0,Insumo[TOTAL],E88/C88)</f>
        <v>0</v>
      </c>
      <c r="E88" s="69">
        <f ca="1">SUM(Insumo[[#This Row],[CAP1-3]:[CAP29]])</f>
        <v>0</v>
      </c>
      <c r="F88" s="69">
        <f ca="1">SUMIF('CAP1-3'!$B:$H,Insumo[[#This Row],[DESCRIPCION]],'CAP1-3'!$H:$H)</f>
        <v>0</v>
      </c>
      <c r="G88" s="69">
        <f ca="1">SUMIF('CAP4-5'!$B:$H,Insumo[[#This Row],[DESCRIPCION]],'CAP4-5'!$H:$H)</f>
        <v>0</v>
      </c>
      <c r="H88" s="69">
        <f ca="1">SUMIF('CAP6-7'!$B:$H,Insumo[[#This Row],[DESCRIPCION]],'CAP6-7'!$H:$H)</f>
        <v>0</v>
      </c>
      <c r="I88" s="69">
        <f ca="1">SUMIF('CAP8'!$B:$H,Insumo[[#This Row],[DESCRIPCION]],'CAP8'!$H:$H)</f>
        <v>0</v>
      </c>
      <c r="J88" s="69">
        <f ca="1">SUMIF('CAP9-13'!$B:$H,Insumo[[#This Row],[DESCRIPCION]],'CAP9-13'!$H:$H)</f>
        <v>0</v>
      </c>
      <c r="K88" s="69">
        <f ca="1">SUMIF('CAP14-15'!$B:$H,Insumo[[#This Row],[DESCRIPCION]],'CAP14-15'!$H:$H)</f>
        <v>0</v>
      </c>
      <c r="L88" s="69">
        <f ca="1">SUMIF('CAP16-18'!$B:$H,Insumo[[#This Row],[DESCRIPCION]],'CAP16-18'!$H:$H)</f>
        <v>0</v>
      </c>
      <c r="M88" s="69">
        <f ca="1">SUMIF('CAP19-22'!$B:$H,Insumo[[#This Row],[DESCRIPCION]],'CAP19-22'!$H:$H)</f>
        <v>0</v>
      </c>
      <c r="N88" s="69">
        <f ca="1">SUMIF('CAP23-24'!$B:$H,Insumo[[#This Row],[DESCRIPCION]],'CAP23-24'!$H:$H)</f>
        <v>0</v>
      </c>
      <c r="O88" s="69">
        <f ca="1">SUMIF('CAP25'!$B:$H,Insumo[[#This Row],[DESCRIPCION]],'CAP25'!$H:$H)</f>
        <v>0</v>
      </c>
      <c r="P88" s="69">
        <f ca="1">SUMIF('CAP26-28'!$B:$H,Insumo[[#This Row],[DESCRIPCION]],'CAP26-28'!$H:$H)</f>
        <v>0</v>
      </c>
      <c r="Q88" s="69">
        <f ca="1">SUMIF('CAP29'!$B:$H,Insumo[[#This Row],[DESCRIPCION]],'CAP29'!$H:$H)</f>
        <v>0</v>
      </c>
      <c r="T88" s="136">
        <v>6630</v>
      </c>
    </row>
    <row r="89" spans="1:20">
      <c r="A89" s="301" t="s">
        <v>2692</v>
      </c>
      <c r="B89" s="303" t="s">
        <v>30</v>
      </c>
      <c r="C89" s="304">
        <f t="shared" si="1"/>
        <v>3892.3500000000004</v>
      </c>
      <c r="D89" s="281" cm="1">
        <f t="array" aca="1" ref="D89" ca="1">IF(Insumo[[#This Row],[VALOR]]=0,Insumo[TOTAL],E89/C89)</f>
        <v>0</v>
      </c>
      <c r="E89" s="69">
        <f ca="1">SUM(Insumo[[#This Row],[CAP1-3]:[CAP29]])</f>
        <v>0</v>
      </c>
      <c r="F89" s="69">
        <f ca="1">SUMIF('CAP1-3'!$B:$H,Insumo[[#This Row],[DESCRIPCION]],'CAP1-3'!$H:$H)</f>
        <v>0</v>
      </c>
      <c r="G89" s="69">
        <f ca="1">SUMIF('CAP4-5'!$B:$H,Insumo[[#This Row],[DESCRIPCION]],'CAP4-5'!$H:$H)</f>
        <v>0</v>
      </c>
      <c r="H89" s="69">
        <f ca="1">SUMIF('CAP6-7'!$B:$H,Insumo[[#This Row],[DESCRIPCION]],'CAP6-7'!$H:$H)</f>
        <v>0</v>
      </c>
      <c r="I89" s="69">
        <f ca="1">SUMIF('CAP8'!$B:$H,Insumo[[#This Row],[DESCRIPCION]],'CAP8'!$H:$H)</f>
        <v>0</v>
      </c>
      <c r="J89" s="69">
        <f ca="1">SUMIF('CAP9-13'!$B:$H,Insumo[[#This Row],[DESCRIPCION]],'CAP9-13'!$H:$H)</f>
        <v>0</v>
      </c>
      <c r="K89" s="69">
        <f ca="1">SUMIF('CAP14-15'!$B:$H,Insumo[[#This Row],[DESCRIPCION]],'CAP14-15'!$H:$H)</f>
        <v>0</v>
      </c>
      <c r="L89" s="69">
        <f ca="1">SUMIF('CAP16-18'!$B:$H,Insumo[[#This Row],[DESCRIPCION]],'CAP16-18'!$H:$H)</f>
        <v>0</v>
      </c>
      <c r="M89" s="69">
        <f ca="1">SUMIF('CAP19-22'!$B:$H,Insumo[[#This Row],[DESCRIPCION]],'CAP19-22'!$H:$H)</f>
        <v>0</v>
      </c>
      <c r="N89" s="69">
        <f ca="1">SUMIF('CAP23-24'!$B:$H,Insumo[[#This Row],[DESCRIPCION]],'CAP23-24'!$H:$H)</f>
        <v>0</v>
      </c>
      <c r="O89" s="69">
        <f ca="1">SUMIF('CAP25'!$B:$H,Insumo[[#This Row],[DESCRIPCION]],'CAP25'!$H:$H)</f>
        <v>0</v>
      </c>
      <c r="P89" s="69">
        <f ca="1">SUMIF('CAP26-28'!$B:$H,Insumo[[#This Row],[DESCRIPCION]],'CAP26-28'!$H:$H)</f>
        <v>0</v>
      </c>
      <c r="Q89" s="69">
        <f ca="1">SUMIF('CAP29'!$B:$H,Insumo[[#This Row],[DESCRIPCION]],'CAP29'!$H:$H)</f>
        <v>0</v>
      </c>
      <c r="T89" s="136">
        <v>3707</v>
      </c>
    </row>
    <row r="90" spans="1:20">
      <c r="A90" s="301" t="s">
        <v>2693</v>
      </c>
      <c r="B90" s="303" t="s">
        <v>30</v>
      </c>
      <c r="C90" s="304">
        <f t="shared" si="1"/>
        <v>2573.5500000000002</v>
      </c>
      <c r="D90" s="281" cm="1">
        <f t="array" aca="1" ref="D90" ca="1">IF(Insumo[[#This Row],[VALOR]]=0,Insumo[TOTAL],E90/C90)</f>
        <v>0</v>
      </c>
      <c r="E90" s="69">
        <f ca="1">SUM(Insumo[[#This Row],[CAP1-3]:[CAP29]])</f>
        <v>0</v>
      </c>
      <c r="F90" s="69">
        <f ca="1">SUMIF('CAP1-3'!$B:$H,Insumo[[#This Row],[DESCRIPCION]],'CAP1-3'!$H:$H)</f>
        <v>0</v>
      </c>
      <c r="G90" s="69">
        <f ca="1">SUMIF('CAP4-5'!$B:$H,Insumo[[#This Row],[DESCRIPCION]],'CAP4-5'!$H:$H)</f>
        <v>0</v>
      </c>
      <c r="H90" s="69">
        <f ca="1">SUMIF('CAP6-7'!$B:$H,Insumo[[#This Row],[DESCRIPCION]],'CAP6-7'!$H:$H)</f>
        <v>0</v>
      </c>
      <c r="I90" s="69">
        <f ca="1">SUMIF('CAP8'!$B:$H,Insumo[[#This Row],[DESCRIPCION]],'CAP8'!$H:$H)</f>
        <v>0</v>
      </c>
      <c r="J90" s="69">
        <f ca="1">SUMIF('CAP9-13'!$B:$H,Insumo[[#This Row],[DESCRIPCION]],'CAP9-13'!$H:$H)</f>
        <v>0</v>
      </c>
      <c r="K90" s="69">
        <f ca="1">SUMIF('CAP14-15'!$B:$H,Insumo[[#This Row],[DESCRIPCION]],'CAP14-15'!$H:$H)</f>
        <v>0</v>
      </c>
      <c r="L90" s="69">
        <f ca="1">SUMIF('CAP16-18'!$B:$H,Insumo[[#This Row],[DESCRIPCION]],'CAP16-18'!$H:$H)</f>
        <v>0</v>
      </c>
      <c r="M90" s="69">
        <f ca="1">SUMIF('CAP19-22'!$B:$H,Insumo[[#This Row],[DESCRIPCION]],'CAP19-22'!$H:$H)</f>
        <v>0</v>
      </c>
      <c r="N90" s="69">
        <f ca="1">SUMIF('CAP23-24'!$B:$H,Insumo[[#This Row],[DESCRIPCION]],'CAP23-24'!$H:$H)</f>
        <v>0</v>
      </c>
      <c r="O90" s="69">
        <f ca="1">SUMIF('CAP25'!$B:$H,Insumo[[#This Row],[DESCRIPCION]],'CAP25'!$H:$H)</f>
        <v>0</v>
      </c>
      <c r="P90" s="69">
        <f ca="1">SUMIF('CAP26-28'!$B:$H,Insumo[[#This Row],[DESCRIPCION]],'CAP26-28'!$H:$H)</f>
        <v>0</v>
      </c>
      <c r="Q90" s="69">
        <f ca="1">SUMIF('CAP29'!$B:$H,Insumo[[#This Row],[DESCRIPCION]],'CAP29'!$H:$H)</f>
        <v>0</v>
      </c>
      <c r="T90" s="136">
        <v>2451</v>
      </c>
    </row>
    <row r="91" spans="1:20">
      <c r="A91" s="301" t="s">
        <v>2694</v>
      </c>
      <c r="B91" s="303" t="s">
        <v>30</v>
      </c>
      <c r="C91" s="304">
        <f t="shared" si="1"/>
        <v>865.2</v>
      </c>
      <c r="D91" s="281" cm="1">
        <f t="array" aca="1" ref="D91" ca="1">IF(Insumo[[#This Row],[VALOR]]=0,Insumo[TOTAL],E91/C91)</f>
        <v>0</v>
      </c>
      <c r="E91" s="69">
        <f ca="1">SUM(Insumo[[#This Row],[CAP1-3]:[CAP29]])</f>
        <v>0</v>
      </c>
      <c r="F91" s="69">
        <f ca="1">SUMIF('CAP1-3'!$B:$H,Insumo[[#This Row],[DESCRIPCION]],'CAP1-3'!$H:$H)</f>
        <v>0</v>
      </c>
      <c r="G91" s="69">
        <f ca="1">SUMIF('CAP4-5'!$B:$H,Insumo[[#This Row],[DESCRIPCION]],'CAP4-5'!$H:$H)</f>
        <v>0</v>
      </c>
      <c r="H91" s="69">
        <f ca="1">SUMIF('CAP6-7'!$B:$H,Insumo[[#This Row],[DESCRIPCION]],'CAP6-7'!$H:$H)</f>
        <v>0</v>
      </c>
      <c r="I91" s="69">
        <f ca="1">SUMIF('CAP8'!$B:$H,Insumo[[#This Row],[DESCRIPCION]],'CAP8'!$H:$H)</f>
        <v>0</v>
      </c>
      <c r="J91" s="69">
        <f ca="1">SUMIF('CAP9-13'!$B:$H,Insumo[[#This Row],[DESCRIPCION]],'CAP9-13'!$H:$H)</f>
        <v>0</v>
      </c>
      <c r="K91" s="69">
        <f ca="1">SUMIF('CAP14-15'!$B:$H,Insumo[[#This Row],[DESCRIPCION]],'CAP14-15'!$H:$H)</f>
        <v>0</v>
      </c>
      <c r="L91" s="69">
        <f ca="1">SUMIF('CAP16-18'!$B:$H,Insumo[[#This Row],[DESCRIPCION]],'CAP16-18'!$H:$H)</f>
        <v>0</v>
      </c>
      <c r="M91" s="69">
        <f ca="1">SUMIF('CAP19-22'!$B:$H,Insumo[[#This Row],[DESCRIPCION]],'CAP19-22'!$H:$H)</f>
        <v>0</v>
      </c>
      <c r="N91" s="69">
        <f ca="1">SUMIF('CAP23-24'!$B:$H,Insumo[[#This Row],[DESCRIPCION]],'CAP23-24'!$H:$H)</f>
        <v>0</v>
      </c>
      <c r="O91" s="69">
        <f ca="1">SUMIF('CAP25'!$B:$H,Insumo[[#This Row],[DESCRIPCION]],'CAP25'!$H:$H)</f>
        <v>0</v>
      </c>
      <c r="P91" s="69">
        <f ca="1">SUMIF('CAP26-28'!$B:$H,Insumo[[#This Row],[DESCRIPCION]],'CAP26-28'!$H:$H)</f>
        <v>0</v>
      </c>
      <c r="Q91" s="69">
        <f ca="1">SUMIF('CAP29'!$B:$H,Insumo[[#This Row],[DESCRIPCION]],'CAP29'!$H:$H)</f>
        <v>0</v>
      </c>
      <c r="T91" s="136">
        <v>824</v>
      </c>
    </row>
    <row r="92" spans="1:20">
      <c r="A92" s="301" t="s">
        <v>2695</v>
      </c>
      <c r="B92" s="303" t="s">
        <v>338</v>
      </c>
      <c r="C92" s="304">
        <f t="shared" si="1"/>
        <v>11353.65</v>
      </c>
      <c r="D92" s="281" cm="1">
        <f t="array" aca="1" ref="D92" ca="1">IF(Insumo[[#This Row],[VALOR]]=0,Insumo[TOTAL],E92/C92)</f>
        <v>0</v>
      </c>
      <c r="E92" s="69">
        <f ca="1">SUM(Insumo[[#This Row],[CAP1-3]:[CAP29]])</f>
        <v>0</v>
      </c>
      <c r="F92" s="69">
        <f ca="1">SUMIF('CAP1-3'!$B:$H,Insumo[[#This Row],[DESCRIPCION]],'CAP1-3'!$H:$H)</f>
        <v>0</v>
      </c>
      <c r="G92" s="69">
        <f ca="1">SUMIF('CAP4-5'!$B:$H,Insumo[[#This Row],[DESCRIPCION]],'CAP4-5'!$H:$H)</f>
        <v>0</v>
      </c>
      <c r="H92" s="69">
        <f ca="1">SUMIF('CAP6-7'!$B:$H,Insumo[[#This Row],[DESCRIPCION]],'CAP6-7'!$H:$H)</f>
        <v>0</v>
      </c>
      <c r="I92" s="69">
        <f ca="1">SUMIF('CAP8'!$B:$H,Insumo[[#This Row],[DESCRIPCION]],'CAP8'!$H:$H)</f>
        <v>0</v>
      </c>
      <c r="J92" s="69">
        <f ca="1">SUMIF('CAP9-13'!$B:$H,Insumo[[#This Row],[DESCRIPCION]],'CAP9-13'!$H:$H)</f>
        <v>0</v>
      </c>
      <c r="K92" s="69">
        <f ca="1">SUMIF('CAP14-15'!$B:$H,Insumo[[#This Row],[DESCRIPCION]],'CAP14-15'!$H:$H)</f>
        <v>0</v>
      </c>
      <c r="L92" s="69">
        <f ca="1">SUMIF('CAP16-18'!$B:$H,Insumo[[#This Row],[DESCRIPCION]],'CAP16-18'!$H:$H)</f>
        <v>0</v>
      </c>
      <c r="M92" s="69">
        <f ca="1">SUMIF('CAP19-22'!$B:$H,Insumo[[#This Row],[DESCRIPCION]],'CAP19-22'!$H:$H)</f>
        <v>0</v>
      </c>
      <c r="N92" s="69">
        <f ca="1">SUMIF('CAP23-24'!$B:$H,Insumo[[#This Row],[DESCRIPCION]],'CAP23-24'!$H:$H)</f>
        <v>0</v>
      </c>
      <c r="O92" s="69">
        <f ca="1">SUMIF('CAP25'!$B:$H,Insumo[[#This Row],[DESCRIPCION]],'CAP25'!$H:$H)</f>
        <v>0</v>
      </c>
      <c r="P92" s="69">
        <f ca="1">SUMIF('CAP26-28'!$B:$H,Insumo[[#This Row],[DESCRIPCION]],'CAP26-28'!$H:$H)</f>
        <v>0</v>
      </c>
      <c r="Q92" s="69">
        <f ca="1">SUMIF('CAP29'!$B:$H,Insumo[[#This Row],[DESCRIPCION]],'CAP29'!$H:$H)</f>
        <v>0</v>
      </c>
      <c r="R92" s="136" t="s">
        <v>2696</v>
      </c>
      <c r="T92" s="136">
        <v>10813</v>
      </c>
    </row>
    <row r="93" spans="1:20">
      <c r="A93" s="301" t="s">
        <v>2697</v>
      </c>
      <c r="B93" s="303" t="s">
        <v>338</v>
      </c>
      <c r="C93" s="304">
        <f t="shared" si="1"/>
        <v>11461.800000000001</v>
      </c>
      <c r="D93" s="281" cm="1">
        <f t="array" aca="1" ref="D93" ca="1">IF(Insumo[[#This Row],[VALOR]]=0,Insumo[TOTAL],E93/C93)</f>
        <v>0</v>
      </c>
      <c r="E93" s="69">
        <f ca="1">SUM(Insumo[[#This Row],[CAP1-3]:[CAP29]])</f>
        <v>0</v>
      </c>
      <c r="F93" s="69">
        <f ca="1">SUMIF('CAP1-3'!$B:$H,Insumo[[#This Row],[DESCRIPCION]],'CAP1-3'!$H:$H)</f>
        <v>0</v>
      </c>
      <c r="G93" s="69">
        <f ca="1">SUMIF('CAP4-5'!$B:$H,Insumo[[#This Row],[DESCRIPCION]],'CAP4-5'!$H:$H)</f>
        <v>0</v>
      </c>
      <c r="H93" s="69">
        <f ca="1">SUMIF('CAP6-7'!$B:$H,Insumo[[#This Row],[DESCRIPCION]],'CAP6-7'!$H:$H)</f>
        <v>0</v>
      </c>
      <c r="I93" s="69">
        <f ca="1">SUMIF('CAP8'!$B:$H,Insumo[[#This Row],[DESCRIPCION]],'CAP8'!$H:$H)</f>
        <v>0</v>
      </c>
      <c r="J93" s="69">
        <f ca="1">SUMIF('CAP9-13'!$B:$H,Insumo[[#This Row],[DESCRIPCION]],'CAP9-13'!$H:$H)</f>
        <v>0</v>
      </c>
      <c r="K93" s="69">
        <f ca="1">SUMIF('CAP14-15'!$B:$H,Insumo[[#This Row],[DESCRIPCION]],'CAP14-15'!$H:$H)</f>
        <v>0</v>
      </c>
      <c r="L93" s="69">
        <f ca="1">SUMIF('CAP16-18'!$B:$H,Insumo[[#This Row],[DESCRIPCION]],'CAP16-18'!$H:$H)</f>
        <v>0</v>
      </c>
      <c r="M93" s="69">
        <f ca="1">SUMIF('CAP19-22'!$B:$H,Insumo[[#This Row],[DESCRIPCION]],'CAP19-22'!$H:$H)</f>
        <v>0</v>
      </c>
      <c r="N93" s="69">
        <f ca="1">SUMIF('CAP23-24'!$B:$H,Insumo[[#This Row],[DESCRIPCION]],'CAP23-24'!$H:$H)</f>
        <v>0</v>
      </c>
      <c r="O93" s="69">
        <f ca="1">SUMIF('CAP25'!$B:$H,Insumo[[#This Row],[DESCRIPCION]],'CAP25'!$H:$H)</f>
        <v>0</v>
      </c>
      <c r="P93" s="69">
        <f ca="1">SUMIF('CAP26-28'!$B:$H,Insumo[[#This Row],[DESCRIPCION]],'CAP26-28'!$H:$H)</f>
        <v>0</v>
      </c>
      <c r="Q93" s="69">
        <f ca="1">SUMIF('CAP29'!$B:$H,Insumo[[#This Row],[DESCRIPCION]],'CAP29'!$H:$H)</f>
        <v>0</v>
      </c>
      <c r="T93" s="136">
        <v>10916</v>
      </c>
    </row>
    <row r="94" spans="1:20">
      <c r="A94" s="301" t="s">
        <v>2698</v>
      </c>
      <c r="B94" s="303" t="s">
        <v>338</v>
      </c>
      <c r="C94" s="304">
        <f t="shared" si="1"/>
        <v>11569.95</v>
      </c>
      <c r="D94" s="281" cm="1">
        <f t="array" aca="1" ref="D94" ca="1">IF(Insumo[[#This Row],[VALOR]]=0,Insumo[TOTAL],E94/C94)</f>
        <v>0</v>
      </c>
      <c r="E94" s="69">
        <f ca="1">SUM(Insumo[[#This Row],[CAP1-3]:[CAP29]])</f>
        <v>0</v>
      </c>
      <c r="F94" s="69">
        <f ca="1">SUMIF('CAP1-3'!$B:$H,Insumo[[#This Row],[DESCRIPCION]],'CAP1-3'!$H:$H)</f>
        <v>0</v>
      </c>
      <c r="G94" s="69">
        <f ca="1">SUMIF('CAP4-5'!$B:$H,Insumo[[#This Row],[DESCRIPCION]],'CAP4-5'!$H:$H)</f>
        <v>0</v>
      </c>
      <c r="H94" s="69">
        <f ca="1">SUMIF('CAP6-7'!$B:$H,Insumo[[#This Row],[DESCRIPCION]],'CAP6-7'!$H:$H)</f>
        <v>0</v>
      </c>
      <c r="I94" s="69">
        <f ca="1">SUMIF('CAP8'!$B:$H,Insumo[[#This Row],[DESCRIPCION]],'CAP8'!$H:$H)</f>
        <v>0</v>
      </c>
      <c r="J94" s="69">
        <f ca="1">SUMIF('CAP9-13'!$B:$H,Insumo[[#This Row],[DESCRIPCION]],'CAP9-13'!$H:$H)</f>
        <v>0</v>
      </c>
      <c r="K94" s="69">
        <f ca="1">SUMIF('CAP14-15'!$B:$H,Insumo[[#This Row],[DESCRIPCION]],'CAP14-15'!$H:$H)</f>
        <v>0</v>
      </c>
      <c r="L94" s="69">
        <f ca="1">SUMIF('CAP16-18'!$B:$H,Insumo[[#This Row],[DESCRIPCION]],'CAP16-18'!$H:$H)</f>
        <v>0</v>
      </c>
      <c r="M94" s="69">
        <f ca="1">SUMIF('CAP19-22'!$B:$H,Insumo[[#This Row],[DESCRIPCION]],'CAP19-22'!$H:$H)</f>
        <v>0</v>
      </c>
      <c r="N94" s="69">
        <f ca="1">SUMIF('CAP23-24'!$B:$H,Insumo[[#This Row],[DESCRIPCION]],'CAP23-24'!$H:$H)</f>
        <v>0</v>
      </c>
      <c r="O94" s="69">
        <f ca="1">SUMIF('CAP25'!$B:$H,Insumo[[#This Row],[DESCRIPCION]],'CAP25'!$H:$H)</f>
        <v>0</v>
      </c>
      <c r="P94" s="69">
        <f ca="1">SUMIF('CAP26-28'!$B:$H,Insumo[[#This Row],[DESCRIPCION]],'CAP26-28'!$H:$H)</f>
        <v>0</v>
      </c>
      <c r="Q94" s="69">
        <f ca="1">SUMIF('CAP29'!$B:$H,Insumo[[#This Row],[DESCRIPCION]],'CAP29'!$H:$H)</f>
        <v>0</v>
      </c>
      <c r="R94" s="136" t="s">
        <v>2696</v>
      </c>
      <c r="T94" s="136">
        <v>11019</v>
      </c>
    </row>
    <row r="95" spans="1:20">
      <c r="A95" s="301" t="s">
        <v>2699</v>
      </c>
      <c r="B95" s="303" t="s">
        <v>338</v>
      </c>
      <c r="C95" s="304">
        <f t="shared" si="1"/>
        <v>7665</v>
      </c>
      <c r="D95" s="281" cm="1">
        <f t="array" aca="1" ref="D95" ca="1">IF(Insumo[[#This Row],[VALOR]]=0,Insumo[TOTAL],E95/C95)</f>
        <v>0</v>
      </c>
      <c r="E95" s="69">
        <f ca="1">SUM(Insumo[[#This Row],[CAP1-3]:[CAP29]])</f>
        <v>0</v>
      </c>
      <c r="F95" s="69">
        <f ca="1">SUMIF('CAP1-3'!$B:$H,Insumo[[#This Row],[DESCRIPCION]],'CAP1-3'!$H:$H)</f>
        <v>0</v>
      </c>
      <c r="G95" s="69">
        <f ca="1">SUMIF('CAP4-5'!$B:$H,Insumo[[#This Row],[DESCRIPCION]],'CAP4-5'!$H:$H)</f>
        <v>0</v>
      </c>
      <c r="H95" s="69">
        <f ca="1">SUMIF('CAP6-7'!$B:$H,Insumo[[#This Row],[DESCRIPCION]],'CAP6-7'!$H:$H)</f>
        <v>0</v>
      </c>
      <c r="I95" s="69">
        <f ca="1">SUMIF('CAP8'!$B:$H,Insumo[[#This Row],[DESCRIPCION]],'CAP8'!$H:$H)</f>
        <v>0</v>
      </c>
      <c r="J95" s="69">
        <f ca="1">SUMIF('CAP9-13'!$B:$H,Insumo[[#This Row],[DESCRIPCION]],'CAP9-13'!$H:$H)</f>
        <v>0</v>
      </c>
      <c r="K95" s="69">
        <f ca="1">SUMIF('CAP14-15'!$B:$H,Insumo[[#This Row],[DESCRIPCION]],'CAP14-15'!$H:$H)</f>
        <v>0</v>
      </c>
      <c r="L95" s="69">
        <f ca="1">SUMIF('CAP16-18'!$B:$H,Insumo[[#This Row],[DESCRIPCION]],'CAP16-18'!$H:$H)</f>
        <v>0</v>
      </c>
      <c r="M95" s="69">
        <f ca="1">SUMIF('CAP19-22'!$B:$H,Insumo[[#This Row],[DESCRIPCION]],'CAP19-22'!$H:$H)</f>
        <v>0</v>
      </c>
      <c r="N95" s="69">
        <f ca="1">SUMIF('CAP23-24'!$B:$H,Insumo[[#This Row],[DESCRIPCION]],'CAP23-24'!$H:$H)</f>
        <v>0</v>
      </c>
      <c r="O95" s="69">
        <f ca="1">SUMIF('CAP25'!$B:$H,Insumo[[#This Row],[DESCRIPCION]],'CAP25'!$H:$H)</f>
        <v>0</v>
      </c>
      <c r="P95" s="69">
        <f ca="1">SUMIF('CAP26-28'!$B:$H,Insumo[[#This Row],[DESCRIPCION]],'CAP26-28'!$H:$H)</f>
        <v>0</v>
      </c>
      <c r="Q95" s="69">
        <f ca="1">SUMIF('CAP29'!$B:$H,Insumo[[#This Row],[DESCRIPCION]],'CAP29'!$H:$H)</f>
        <v>0</v>
      </c>
      <c r="T95" s="136">
        <v>7300</v>
      </c>
    </row>
    <row r="96" spans="1:20">
      <c r="A96" s="301" t="s">
        <v>2700</v>
      </c>
      <c r="B96" s="303" t="s">
        <v>23</v>
      </c>
      <c r="C96" s="304">
        <f t="shared" si="1"/>
        <v>1363950</v>
      </c>
      <c r="D96" s="281" cm="1">
        <f t="array" aca="1" ref="D96" ca="1">IF(Insumo[[#This Row],[VALOR]]=0,Insumo[TOTAL],E96/C96)</f>
        <v>0</v>
      </c>
      <c r="E96" s="69">
        <f ca="1">SUM(Insumo[[#This Row],[CAP1-3]:[CAP29]])</f>
        <v>0</v>
      </c>
      <c r="F96" s="69">
        <f ca="1">SUMIF('CAP1-3'!$B:$H,Insumo[[#This Row],[DESCRIPCION]],'CAP1-3'!$H:$H)</f>
        <v>0</v>
      </c>
      <c r="G96" s="69">
        <f ca="1">SUMIF('CAP4-5'!$B:$H,Insumo[[#This Row],[DESCRIPCION]],'CAP4-5'!$H:$H)</f>
        <v>0</v>
      </c>
      <c r="H96" s="69">
        <f ca="1">SUMIF('CAP6-7'!$B:$H,Insumo[[#This Row],[DESCRIPCION]],'CAP6-7'!$H:$H)</f>
        <v>0</v>
      </c>
      <c r="I96" s="69">
        <f ca="1">SUMIF('CAP8'!$B:$H,Insumo[[#This Row],[DESCRIPCION]],'CAP8'!$H:$H)</f>
        <v>0</v>
      </c>
      <c r="J96" s="69">
        <f ca="1">SUMIF('CAP9-13'!$B:$H,Insumo[[#This Row],[DESCRIPCION]],'CAP9-13'!$H:$H)</f>
        <v>0</v>
      </c>
      <c r="K96" s="69">
        <f ca="1">SUMIF('CAP14-15'!$B:$H,Insumo[[#This Row],[DESCRIPCION]],'CAP14-15'!$H:$H)</f>
        <v>0</v>
      </c>
      <c r="L96" s="69">
        <f ca="1">SUMIF('CAP16-18'!$B:$H,Insumo[[#This Row],[DESCRIPCION]],'CAP16-18'!$H:$H)</f>
        <v>0</v>
      </c>
      <c r="M96" s="69">
        <f ca="1">SUMIF('CAP19-22'!$B:$H,Insumo[[#This Row],[DESCRIPCION]],'CAP19-22'!$H:$H)</f>
        <v>0</v>
      </c>
      <c r="N96" s="69">
        <f ca="1">SUMIF('CAP23-24'!$B:$H,Insumo[[#This Row],[DESCRIPCION]],'CAP23-24'!$H:$H)</f>
        <v>0</v>
      </c>
      <c r="O96" s="69">
        <f ca="1">SUMIF('CAP25'!$B:$H,Insumo[[#This Row],[DESCRIPCION]],'CAP25'!$H:$H)</f>
        <v>0</v>
      </c>
      <c r="P96" s="69">
        <f ca="1">SUMIF('CAP26-28'!$B:$H,Insumo[[#This Row],[DESCRIPCION]],'CAP26-28'!$H:$H)</f>
        <v>0</v>
      </c>
      <c r="Q96" s="69">
        <f ca="1">SUMIF('CAP29'!$B:$H,Insumo[[#This Row],[DESCRIPCION]],'CAP29'!$H:$H)</f>
        <v>0</v>
      </c>
      <c r="T96" s="136">
        <v>1299000</v>
      </c>
    </row>
    <row r="97" spans="1:20">
      <c r="A97" s="301" t="s">
        <v>2701</v>
      </c>
      <c r="B97" s="303" t="s">
        <v>23</v>
      </c>
      <c r="C97" s="304">
        <f t="shared" si="1"/>
        <v>74.55</v>
      </c>
      <c r="D97" s="281" cm="1">
        <f t="array" aca="1" ref="D97" ca="1">IF(Insumo[[#This Row],[VALOR]]=0,Insumo[TOTAL],E97/C97)</f>
        <v>0</v>
      </c>
      <c r="E97" s="69">
        <f ca="1">SUM(Insumo[[#This Row],[CAP1-3]:[CAP29]])</f>
        <v>0</v>
      </c>
      <c r="F97" s="69">
        <f ca="1">SUMIF('CAP1-3'!$B:$H,Insumo[[#This Row],[DESCRIPCION]],'CAP1-3'!$H:$H)</f>
        <v>0</v>
      </c>
      <c r="G97" s="69">
        <f ca="1">SUMIF('CAP4-5'!$B:$H,Insumo[[#This Row],[DESCRIPCION]],'CAP4-5'!$H:$H)</f>
        <v>0</v>
      </c>
      <c r="H97" s="69">
        <f ca="1">SUMIF('CAP6-7'!$B:$H,Insumo[[#This Row],[DESCRIPCION]],'CAP6-7'!$H:$H)</f>
        <v>0</v>
      </c>
      <c r="I97" s="69">
        <f ca="1">SUMIF('CAP8'!$B:$H,Insumo[[#This Row],[DESCRIPCION]],'CAP8'!$H:$H)</f>
        <v>0</v>
      </c>
      <c r="J97" s="69">
        <f ca="1">SUMIF('CAP9-13'!$B:$H,Insumo[[#This Row],[DESCRIPCION]],'CAP9-13'!$H:$H)</f>
        <v>0</v>
      </c>
      <c r="K97" s="69">
        <f ca="1">SUMIF('CAP14-15'!$B:$H,Insumo[[#This Row],[DESCRIPCION]],'CAP14-15'!$H:$H)</f>
        <v>0</v>
      </c>
      <c r="L97" s="69">
        <f ca="1">SUMIF('CAP16-18'!$B:$H,Insumo[[#This Row],[DESCRIPCION]],'CAP16-18'!$H:$H)</f>
        <v>0</v>
      </c>
      <c r="M97" s="69">
        <f ca="1">SUMIF('CAP19-22'!$B:$H,Insumo[[#This Row],[DESCRIPCION]],'CAP19-22'!$H:$H)</f>
        <v>0</v>
      </c>
      <c r="N97" s="69">
        <f ca="1">SUMIF('CAP23-24'!$B:$H,Insumo[[#This Row],[DESCRIPCION]],'CAP23-24'!$H:$H)</f>
        <v>0</v>
      </c>
      <c r="O97" s="69">
        <f ca="1">SUMIF('CAP25'!$B:$H,Insumo[[#This Row],[DESCRIPCION]],'CAP25'!$H:$H)</f>
        <v>0</v>
      </c>
      <c r="P97" s="69">
        <f ca="1">SUMIF('CAP26-28'!$B:$H,Insumo[[#This Row],[DESCRIPCION]],'CAP26-28'!$H:$H)</f>
        <v>0</v>
      </c>
      <c r="Q97" s="69">
        <f ca="1">SUMIF('CAP29'!$B:$H,Insumo[[#This Row],[DESCRIPCION]],'CAP29'!$H:$H)</f>
        <v>0</v>
      </c>
      <c r="T97" s="136">
        <v>71</v>
      </c>
    </row>
    <row r="98" spans="1:20">
      <c r="A98" s="301" t="s">
        <v>2702</v>
      </c>
      <c r="B98" s="303" t="s">
        <v>23</v>
      </c>
      <c r="C98" s="304">
        <f t="shared" si="1"/>
        <v>443.1</v>
      </c>
      <c r="D98" s="281" cm="1">
        <f t="array" aca="1" ref="D98" ca="1">IF(Insumo[[#This Row],[VALOR]]=0,Insumo[TOTAL],E98/C98)</f>
        <v>0</v>
      </c>
      <c r="E98" s="69">
        <f ca="1">SUM(Insumo[[#This Row],[CAP1-3]:[CAP29]])</f>
        <v>0</v>
      </c>
      <c r="F98" s="69">
        <f ca="1">SUMIF('CAP1-3'!$B:$H,Insumo[[#This Row],[DESCRIPCION]],'CAP1-3'!$H:$H)</f>
        <v>0</v>
      </c>
      <c r="G98" s="69">
        <f ca="1">SUMIF('CAP4-5'!$B:$H,Insumo[[#This Row],[DESCRIPCION]],'CAP4-5'!$H:$H)</f>
        <v>0</v>
      </c>
      <c r="H98" s="69">
        <f ca="1">SUMIF('CAP6-7'!$B:$H,Insumo[[#This Row],[DESCRIPCION]],'CAP6-7'!$H:$H)</f>
        <v>0</v>
      </c>
      <c r="I98" s="69">
        <f ca="1">SUMIF('CAP8'!$B:$H,Insumo[[#This Row],[DESCRIPCION]],'CAP8'!$H:$H)</f>
        <v>0</v>
      </c>
      <c r="J98" s="69">
        <f ca="1">SUMIF('CAP9-13'!$B:$H,Insumo[[#This Row],[DESCRIPCION]],'CAP9-13'!$H:$H)</f>
        <v>0</v>
      </c>
      <c r="K98" s="69">
        <f ca="1">SUMIF('CAP14-15'!$B:$H,Insumo[[#This Row],[DESCRIPCION]],'CAP14-15'!$H:$H)</f>
        <v>0</v>
      </c>
      <c r="L98" s="69">
        <f ca="1">SUMIF('CAP16-18'!$B:$H,Insumo[[#This Row],[DESCRIPCION]],'CAP16-18'!$H:$H)</f>
        <v>0</v>
      </c>
      <c r="M98" s="69">
        <f ca="1">SUMIF('CAP19-22'!$B:$H,Insumo[[#This Row],[DESCRIPCION]],'CAP19-22'!$H:$H)</f>
        <v>0</v>
      </c>
      <c r="N98" s="69">
        <f ca="1">SUMIF('CAP23-24'!$B:$H,Insumo[[#This Row],[DESCRIPCION]],'CAP23-24'!$H:$H)</f>
        <v>0</v>
      </c>
      <c r="O98" s="69">
        <f ca="1">SUMIF('CAP25'!$B:$H,Insumo[[#This Row],[DESCRIPCION]],'CAP25'!$H:$H)</f>
        <v>0</v>
      </c>
      <c r="P98" s="69">
        <f ca="1">SUMIF('CAP26-28'!$B:$H,Insumo[[#This Row],[DESCRIPCION]],'CAP26-28'!$H:$H)</f>
        <v>0</v>
      </c>
      <c r="Q98" s="69">
        <f ca="1">SUMIF('CAP29'!$B:$H,Insumo[[#This Row],[DESCRIPCION]],'CAP29'!$H:$H)</f>
        <v>0</v>
      </c>
      <c r="T98" s="136">
        <v>422</v>
      </c>
    </row>
    <row r="99" spans="1:20">
      <c r="A99" s="301" t="s">
        <v>2703</v>
      </c>
      <c r="B99" s="303" t="s">
        <v>30</v>
      </c>
      <c r="C99" s="304">
        <f t="shared" si="1"/>
        <v>11388.300000000001</v>
      </c>
      <c r="D99" s="281" cm="1">
        <f t="array" aca="1" ref="D99" ca="1">IF(Insumo[[#This Row],[VALOR]]=0,Insumo[TOTAL],E99/C99)</f>
        <v>0</v>
      </c>
      <c r="E99" s="69">
        <f ca="1">SUM(Insumo[[#This Row],[CAP1-3]:[CAP29]])</f>
        <v>0</v>
      </c>
      <c r="F99" s="69">
        <f ca="1">SUMIF('CAP1-3'!$B:$H,Insumo[[#This Row],[DESCRIPCION]],'CAP1-3'!$H:$H)</f>
        <v>0</v>
      </c>
      <c r="G99" s="69">
        <f ca="1">SUMIF('CAP4-5'!$B:$H,Insumo[[#This Row],[DESCRIPCION]],'CAP4-5'!$H:$H)</f>
        <v>0</v>
      </c>
      <c r="H99" s="69">
        <f ca="1">SUMIF('CAP6-7'!$B:$H,Insumo[[#This Row],[DESCRIPCION]],'CAP6-7'!$H:$H)</f>
        <v>0</v>
      </c>
      <c r="I99" s="69">
        <f ca="1">SUMIF('CAP8'!$B:$H,Insumo[[#This Row],[DESCRIPCION]],'CAP8'!$H:$H)</f>
        <v>0</v>
      </c>
      <c r="J99" s="69">
        <f ca="1">SUMIF('CAP9-13'!$B:$H,Insumo[[#This Row],[DESCRIPCION]],'CAP9-13'!$H:$H)</f>
        <v>0</v>
      </c>
      <c r="K99" s="69">
        <f ca="1">SUMIF('CAP14-15'!$B:$H,Insumo[[#This Row],[DESCRIPCION]],'CAP14-15'!$H:$H)</f>
        <v>0</v>
      </c>
      <c r="L99" s="69">
        <f ca="1">SUMIF('CAP16-18'!$B:$H,Insumo[[#This Row],[DESCRIPCION]],'CAP16-18'!$H:$H)</f>
        <v>0</v>
      </c>
      <c r="M99" s="69">
        <f ca="1">SUMIF('CAP19-22'!$B:$H,Insumo[[#This Row],[DESCRIPCION]],'CAP19-22'!$H:$H)</f>
        <v>0</v>
      </c>
      <c r="N99" s="69">
        <f ca="1">SUMIF('CAP23-24'!$B:$H,Insumo[[#This Row],[DESCRIPCION]],'CAP23-24'!$H:$H)</f>
        <v>0</v>
      </c>
      <c r="O99" s="69">
        <f ca="1">SUMIF('CAP25'!$B:$H,Insumo[[#This Row],[DESCRIPCION]],'CAP25'!$H:$H)</f>
        <v>0</v>
      </c>
      <c r="P99" s="69">
        <f ca="1">SUMIF('CAP26-28'!$B:$H,Insumo[[#This Row],[DESCRIPCION]],'CAP26-28'!$H:$H)</f>
        <v>0</v>
      </c>
      <c r="Q99" s="69">
        <f ca="1">SUMIF('CAP29'!$B:$H,Insumo[[#This Row],[DESCRIPCION]],'CAP29'!$H:$H)</f>
        <v>0</v>
      </c>
      <c r="R99" s="136" t="s">
        <v>2704</v>
      </c>
      <c r="T99" s="136">
        <v>10846</v>
      </c>
    </row>
    <row r="100" spans="1:20">
      <c r="A100" s="301" t="s">
        <v>2705</v>
      </c>
      <c r="B100" s="303" t="s">
        <v>30</v>
      </c>
      <c r="C100" s="304">
        <f t="shared" si="1"/>
        <v>10533.6</v>
      </c>
      <c r="D100" s="281" cm="1">
        <f t="array" aca="1" ref="D100" ca="1">IF(Insumo[[#This Row],[VALOR]]=0,Insumo[TOTAL],E100/C100)</f>
        <v>0</v>
      </c>
      <c r="E100" s="69">
        <f ca="1">SUM(Insumo[[#This Row],[CAP1-3]:[CAP29]])</f>
        <v>0</v>
      </c>
      <c r="F100" s="69">
        <f ca="1">SUMIF('CAP1-3'!$B:$H,Insumo[[#This Row],[DESCRIPCION]],'CAP1-3'!$H:$H)</f>
        <v>0</v>
      </c>
      <c r="G100" s="69">
        <f ca="1">SUMIF('CAP4-5'!$B:$H,Insumo[[#This Row],[DESCRIPCION]],'CAP4-5'!$H:$H)</f>
        <v>0</v>
      </c>
      <c r="H100" s="69">
        <f ca="1">SUMIF('CAP6-7'!$B:$H,Insumo[[#This Row],[DESCRIPCION]],'CAP6-7'!$H:$H)</f>
        <v>0</v>
      </c>
      <c r="I100" s="69">
        <f ca="1">SUMIF('CAP8'!$B:$H,Insumo[[#This Row],[DESCRIPCION]],'CAP8'!$H:$H)</f>
        <v>0</v>
      </c>
      <c r="J100" s="69">
        <f ca="1">SUMIF('CAP9-13'!$B:$H,Insumo[[#This Row],[DESCRIPCION]],'CAP9-13'!$H:$H)</f>
        <v>0</v>
      </c>
      <c r="K100" s="69">
        <f ca="1">SUMIF('CAP14-15'!$B:$H,Insumo[[#This Row],[DESCRIPCION]],'CAP14-15'!$H:$H)</f>
        <v>0</v>
      </c>
      <c r="L100" s="69">
        <f ca="1">SUMIF('CAP16-18'!$B:$H,Insumo[[#This Row],[DESCRIPCION]],'CAP16-18'!$H:$H)</f>
        <v>0</v>
      </c>
      <c r="M100" s="69">
        <f ca="1">SUMIF('CAP19-22'!$B:$H,Insumo[[#This Row],[DESCRIPCION]],'CAP19-22'!$H:$H)</f>
        <v>0</v>
      </c>
      <c r="N100" s="69">
        <f ca="1">SUMIF('CAP23-24'!$B:$H,Insumo[[#This Row],[DESCRIPCION]],'CAP23-24'!$H:$H)</f>
        <v>0</v>
      </c>
      <c r="O100" s="69">
        <f ca="1">SUMIF('CAP25'!$B:$H,Insumo[[#This Row],[DESCRIPCION]],'CAP25'!$H:$H)</f>
        <v>0</v>
      </c>
      <c r="P100" s="69">
        <f ca="1">SUMIF('CAP26-28'!$B:$H,Insumo[[#This Row],[DESCRIPCION]],'CAP26-28'!$H:$H)</f>
        <v>0</v>
      </c>
      <c r="Q100" s="69">
        <f ca="1">SUMIF('CAP29'!$B:$H,Insumo[[#This Row],[DESCRIPCION]],'CAP29'!$H:$H)</f>
        <v>0</v>
      </c>
      <c r="T100" s="136">
        <v>10032</v>
      </c>
    </row>
    <row r="101" spans="1:20">
      <c r="A101" s="301" t="s">
        <v>2706</v>
      </c>
      <c r="B101" s="303" t="s">
        <v>30</v>
      </c>
      <c r="C101" s="304">
        <f t="shared" si="1"/>
        <v>31556.7</v>
      </c>
      <c r="D101" s="281" cm="1">
        <f t="array" aca="1" ref="D101" ca="1">IF(Insumo[[#This Row],[VALOR]]=0,Insumo[TOTAL],E101/C101)</f>
        <v>0</v>
      </c>
      <c r="E101" s="69">
        <f ca="1">SUM(Insumo[[#This Row],[CAP1-3]:[CAP29]])</f>
        <v>0</v>
      </c>
      <c r="F101" s="69">
        <f ca="1">SUMIF('CAP1-3'!$B:$H,Insumo[[#This Row],[DESCRIPCION]],'CAP1-3'!$H:$H)</f>
        <v>0</v>
      </c>
      <c r="G101" s="69">
        <f ca="1">SUMIF('CAP4-5'!$B:$H,Insumo[[#This Row],[DESCRIPCION]],'CAP4-5'!$H:$H)</f>
        <v>0</v>
      </c>
      <c r="H101" s="69">
        <f ca="1">SUMIF('CAP6-7'!$B:$H,Insumo[[#This Row],[DESCRIPCION]],'CAP6-7'!$H:$H)</f>
        <v>0</v>
      </c>
      <c r="I101" s="69">
        <f ca="1">SUMIF('CAP8'!$B:$H,Insumo[[#This Row],[DESCRIPCION]],'CAP8'!$H:$H)</f>
        <v>0</v>
      </c>
      <c r="J101" s="69">
        <f ca="1">SUMIF('CAP9-13'!$B:$H,Insumo[[#This Row],[DESCRIPCION]],'CAP9-13'!$H:$H)</f>
        <v>0</v>
      </c>
      <c r="K101" s="69">
        <f ca="1">SUMIF('CAP14-15'!$B:$H,Insumo[[#This Row],[DESCRIPCION]],'CAP14-15'!$H:$H)</f>
        <v>0</v>
      </c>
      <c r="L101" s="69">
        <f ca="1">SUMIF('CAP16-18'!$B:$H,Insumo[[#This Row],[DESCRIPCION]],'CAP16-18'!$H:$H)</f>
        <v>0</v>
      </c>
      <c r="M101" s="69">
        <f ca="1">SUMIF('CAP19-22'!$B:$H,Insumo[[#This Row],[DESCRIPCION]],'CAP19-22'!$H:$H)</f>
        <v>0</v>
      </c>
      <c r="N101" s="69">
        <f ca="1">SUMIF('CAP23-24'!$B:$H,Insumo[[#This Row],[DESCRIPCION]],'CAP23-24'!$H:$H)</f>
        <v>0</v>
      </c>
      <c r="O101" s="69">
        <f ca="1">SUMIF('CAP25'!$B:$H,Insumo[[#This Row],[DESCRIPCION]],'CAP25'!$H:$H)</f>
        <v>0</v>
      </c>
      <c r="P101" s="69">
        <f ca="1">SUMIF('CAP26-28'!$B:$H,Insumo[[#This Row],[DESCRIPCION]],'CAP26-28'!$H:$H)</f>
        <v>0</v>
      </c>
      <c r="Q101" s="69">
        <f ca="1">SUMIF('CAP29'!$B:$H,Insumo[[#This Row],[DESCRIPCION]],'CAP29'!$H:$H)</f>
        <v>0</v>
      </c>
      <c r="R101" s="136" t="s">
        <v>2704</v>
      </c>
      <c r="T101" s="136">
        <v>30054</v>
      </c>
    </row>
    <row r="102" spans="1:20">
      <c r="A102" s="301" t="s">
        <v>2707</v>
      </c>
      <c r="B102" s="303" t="s">
        <v>30</v>
      </c>
      <c r="C102" s="304">
        <f t="shared" si="1"/>
        <v>3231.9</v>
      </c>
      <c r="D102" s="281" cm="1">
        <f t="array" aca="1" ref="D102" ca="1">IF(Insumo[[#This Row],[VALOR]]=0,Insumo[TOTAL],E102/C102)</f>
        <v>0</v>
      </c>
      <c r="E102" s="69">
        <f ca="1">SUM(Insumo[[#This Row],[CAP1-3]:[CAP29]])</f>
        <v>0</v>
      </c>
      <c r="F102" s="69">
        <f ca="1">SUMIF('CAP1-3'!$B:$H,Insumo[[#This Row],[DESCRIPCION]],'CAP1-3'!$H:$H)</f>
        <v>0</v>
      </c>
      <c r="G102" s="69">
        <f ca="1">SUMIF('CAP4-5'!$B:$H,Insumo[[#This Row],[DESCRIPCION]],'CAP4-5'!$H:$H)</f>
        <v>0</v>
      </c>
      <c r="H102" s="69">
        <f ca="1">SUMIF('CAP6-7'!$B:$H,Insumo[[#This Row],[DESCRIPCION]],'CAP6-7'!$H:$H)</f>
        <v>0</v>
      </c>
      <c r="I102" s="69">
        <f ca="1">SUMIF('CAP8'!$B:$H,Insumo[[#This Row],[DESCRIPCION]],'CAP8'!$H:$H)</f>
        <v>0</v>
      </c>
      <c r="J102" s="69">
        <f ca="1">SUMIF('CAP9-13'!$B:$H,Insumo[[#This Row],[DESCRIPCION]],'CAP9-13'!$H:$H)</f>
        <v>0</v>
      </c>
      <c r="K102" s="69">
        <f ca="1">SUMIF('CAP14-15'!$B:$H,Insumo[[#This Row],[DESCRIPCION]],'CAP14-15'!$H:$H)</f>
        <v>0</v>
      </c>
      <c r="L102" s="69">
        <f ca="1">SUMIF('CAP16-18'!$B:$H,Insumo[[#This Row],[DESCRIPCION]],'CAP16-18'!$H:$H)</f>
        <v>0</v>
      </c>
      <c r="M102" s="69">
        <f ca="1">SUMIF('CAP19-22'!$B:$H,Insumo[[#This Row],[DESCRIPCION]],'CAP19-22'!$H:$H)</f>
        <v>0</v>
      </c>
      <c r="N102" s="69">
        <f ca="1">SUMIF('CAP23-24'!$B:$H,Insumo[[#This Row],[DESCRIPCION]],'CAP23-24'!$H:$H)</f>
        <v>0</v>
      </c>
      <c r="O102" s="69">
        <f ca="1">SUMIF('CAP25'!$B:$H,Insumo[[#This Row],[DESCRIPCION]],'CAP25'!$H:$H)</f>
        <v>0</v>
      </c>
      <c r="P102" s="69">
        <f ca="1">SUMIF('CAP26-28'!$B:$H,Insumo[[#This Row],[DESCRIPCION]],'CAP26-28'!$H:$H)</f>
        <v>0</v>
      </c>
      <c r="Q102" s="69">
        <f ca="1">SUMIF('CAP29'!$B:$H,Insumo[[#This Row],[DESCRIPCION]],'CAP29'!$H:$H)</f>
        <v>0</v>
      </c>
      <c r="R102" s="136" t="s">
        <v>2704</v>
      </c>
      <c r="T102" s="136">
        <v>3078</v>
      </c>
    </row>
    <row r="103" spans="1:20">
      <c r="A103" s="301" t="s">
        <v>2708</v>
      </c>
      <c r="B103" s="303" t="s">
        <v>2662</v>
      </c>
      <c r="C103" s="304">
        <f t="shared" si="1"/>
        <v>97886.25</v>
      </c>
      <c r="D103" s="281" cm="1">
        <f t="array" aca="1" ref="D103" ca="1">IF(Insumo[[#This Row],[VALOR]]=0,Insumo[TOTAL],E103/C103)</f>
        <v>0</v>
      </c>
      <c r="E103" s="69">
        <f ca="1">SUM(Insumo[[#This Row],[CAP1-3]:[CAP29]])</f>
        <v>0</v>
      </c>
      <c r="F103" s="69">
        <f ca="1">SUMIF('CAP1-3'!$B:$H,Insumo[[#This Row],[DESCRIPCION]],'CAP1-3'!$H:$H)</f>
        <v>0</v>
      </c>
      <c r="G103" s="69">
        <f ca="1">SUMIF('CAP4-5'!$B:$H,Insumo[[#This Row],[DESCRIPCION]],'CAP4-5'!$H:$H)</f>
        <v>0</v>
      </c>
      <c r="H103" s="69">
        <f ca="1">SUMIF('CAP6-7'!$B:$H,Insumo[[#This Row],[DESCRIPCION]],'CAP6-7'!$H:$H)</f>
        <v>0</v>
      </c>
      <c r="I103" s="69">
        <f ca="1">SUMIF('CAP8'!$B:$H,Insumo[[#This Row],[DESCRIPCION]],'CAP8'!$H:$H)</f>
        <v>0</v>
      </c>
      <c r="J103" s="69">
        <f ca="1">SUMIF('CAP9-13'!$B:$H,Insumo[[#This Row],[DESCRIPCION]],'CAP9-13'!$H:$H)</f>
        <v>0</v>
      </c>
      <c r="K103" s="69">
        <f ca="1">SUMIF('CAP14-15'!$B:$H,Insumo[[#This Row],[DESCRIPCION]],'CAP14-15'!$H:$H)</f>
        <v>0</v>
      </c>
      <c r="L103" s="69">
        <f ca="1">SUMIF('CAP16-18'!$B:$H,Insumo[[#This Row],[DESCRIPCION]],'CAP16-18'!$H:$H)</f>
        <v>0</v>
      </c>
      <c r="M103" s="69">
        <f ca="1">SUMIF('CAP19-22'!$B:$H,Insumo[[#This Row],[DESCRIPCION]],'CAP19-22'!$H:$H)</f>
        <v>0</v>
      </c>
      <c r="N103" s="69">
        <f ca="1">SUMIF('CAP23-24'!$B:$H,Insumo[[#This Row],[DESCRIPCION]],'CAP23-24'!$H:$H)</f>
        <v>0</v>
      </c>
      <c r="O103" s="69">
        <f ca="1">SUMIF('CAP25'!$B:$H,Insumo[[#This Row],[DESCRIPCION]],'CAP25'!$H:$H)</f>
        <v>0</v>
      </c>
      <c r="P103" s="69">
        <f ca="1">SUMIF('CAP26-28'!$B:$H,Insumo[[#This Row],[DESCRIPCION]],'CAP26-28'!$H:$H)</f>
        <v>0</v>
      </c>
      <c r="Q103" s="69">
        <f ca="1">SUMIF('CAP29'!$B:$H,Insumo[[#This Row],[DESCRIPCION]],'CAP29'!$H:$H)</f>
        <v>0</v>
      </c>
      <c r="T103" s="136">
        <v>93225</v>
      </c>
    </row>
    <row r="104" spans="1:20">
      <c r="A104" s="301" t="s">
        <v>2709</v>
      </c>
      <c r="B104" s="303" t="s">
        <v>338</v>
      </c>
      <c r="C104" s="304">
        <f t="shared" si="1"/>
        <v>14812.35</v>
      </c>
      <c r="D104" s="281" cm="1">
        <f t="array" aca="1" ref="D104" ca="1">IF(Insumo[[#This Row],[VALOR]]=0,Insumo[TOTAL],E104/C104)</f>
        <v>0</v>
      </c>
      <c r="E104" s="69">
        <f ca="1">SUM(Insumo[[#This Row],[CAP1-3]:[CAP29]])</f>
        <v>0</v>
      </c>
      <c r="F104" s="69">
        <f ca="1">SUMIF('CAP1-3'!$B:$H,Insumo[[#This Row],[DESCRIPCION]],'CAP1-3'!$H:$H)</f>
        <v>0</v>
      </c>
      <c r="G104" s="69">
        <f ca="1">SUMIF('CAP4-5'!$B:$H,Insumo[[#This Row],[DESCRIPCION]],'CAP4-5'!$H:$H)</f>
        <v>0</v>
      </c>
      <c r="H104" s="69">
        <f ca="1">SUMIF('CAP6-7'!$B:$H,Insumo[[#This Row],[DESCRIPCION]],'CAP6-7'!$H:$H)</f>
        <v>0</v>
      </c>
      <c r="I104" s="69">
        <f ca="1">SUMIF('CAP8'!$B:$H,Insumo[[#This Row],[DESCRIPCION]],'CAP8'!$H:$H)</f>
        <v>0</v>
      </c>
      <c r="J104" s="69">
        <f ca="1">SUMIF('CAP9-13'!$B:$H,Insumo[[#This Row],[DESCRIPCION]],'CAP9-13'!$H:$H)</f>
        <v>0</v>
      </c>
      <c r="K104" s="69">
        <f ca="1">SUMIF('CAP14-15'!$B:$H,Insumo[[#This Row],[DESCRIPCION]],'CAP14-15'!$H:$H)</f>
        <v>0</v>
      </c>
      <c r="L104" s="69">
        <f ca="1">SUMIF('CAP16-18'!$B:$H,Insumo[[#This Row],[DESCRIPCION]],'CAP16-18'!$H:$H)</f>
        <v>0</v>
      </c>
      <c r="M104" s="69">
        <f ca="1">SUMIF('CAP19-22'!$B:$H,Insumo[[#This Row],[DESCRIPCION]],'CAP19-22'!$H:$H)</f>
        <v>0</v>
      </c>
      <c r="N104" s="69">
        <f ca="1">SUMIF('CAP23-24'!$B:$H,Insumo[[#This Row],[DESCRIPCION]],'CAP23-24'!$H:$H)</f>
        <v>0</v>
      </c>
      <c r="O104" s="69">
        <f ca="1">SUMIF('CAP25'!$B:$H,Insumo[[#This Row],[DESCRIPCION]],'CAP25'!$H:$H)</f>
        <v>0</v>
      </c>
      <c r="P104" s="69">
        <f ca="1">SUMIF('CAP26-28'!$B:$H,Insumo[[#This Row],[DESCRIPCION]],'CAP26-28'!$H:$H)</f>
        <v>0</v>
      </c>
      <c r="Q104" s="69">
        <f ca="1">SUMIF('CAP29'!$B:$H,Insumo[[#This Row],[DESCRIPCION]],'CAP29'!$H:$H)</f>
        <v>0</v>
      </c>
      <c r="T104" s="136">
        <v>14107</v>
      </c>
    </row>
    <row r="105" spans="1:20">
      <c r="A105" s="301" t="s">
        <v>2710</v>
      </c>
      <c r="B105" s="303" t="s">
        <v>23</v>
      </c>
      <c r="C105" s="304">
        <f t="shared" si="1"/>
        <v>1137.1500000000001</v>
      </c>
      <c r="D105" s="281" cm="1">
        <f t="array" aca="1" ref="D105" ca="1">IF(Insumo[[#This Row],[VALOR]]=0,Insumo[TOTAL],E105/C105)</f>
        <v>0</v>
      </c>
      <c r="E105" s="69">
        <f ca="1">SUM(Insumo[[#This Row],[CAP1-3]:[CAP29]])</f>
        <v>0</v>
      </c>
      <c r="F105" s="69">
        <f ca="1">SUMIF('CAP1-3'!$B:$H,Insumo[[#This Row],[DESCRIPCION]],'CAP1-3'!$H:$H)</f>
        <v>0</v>
      </c>
      <c r="G105" s="69">
        <f ca="1">SUMIF('CAP4-5'!$B:$H,Insumo[[#This Row],[DESCRIPCION]],'CAP4-5'!$H:$H)</f>
        <v>0</v>
      </c>
      <c r="H105" s="69">
        <f ca="1">SUMIF('CAP6-7'!$B:$H,Insumo[[#This Row],[DESCRIPCION]],'CAP6-7'!$H:$H)</f>
        <v>0</v>
      </c>
      <c r="I105" s="69">
        <f ca="1">SUMIF('CAP8'!$B:$H,Insumo[[#This Row],[DESCRIPCION]],'CAP8'!$H:$H)</f>
        <v>0</v>
      </c>
      <c r="J105" s="69">
        <f ca="1">SUMIF('CAP9-13'!$B:$H,Insumo[[#This Row],[DESCRIPCION]],'CAP9-13'!$H:$H)</f>
        <v>0</v>
      </c>
      <c r="K105" s="69">
        <f ca="1">SUMIF('CAP14-15'!$B:$H,Insumo[[#This Row],[DESCRIPCION]],'CAP14-15'!$H:$H)</f>
        <v>0</v>
      </c>
      <c r="L105" s="69">
        <f ca="1">SUMIF('CAP16-18'!$B:$H,Insumo[[#This Row],[DESCRIPCION]],'CAP16-18'!$H:$H)</f>
        <v>0</v>
      </c>
      <c r="M105" s="69">
        <f ca="1">SUMIF('CAP19-22'!$B:$H,Insumo[[#This Row],[DESCRIPCION]],'CAP19-22'!$H:$H)</f>
        <v>0</v>
      </c>
      <c r="N105" s="69">
        <f ca="1">SUMIF('CAP23-24'!$B:$H,Insumo[[#This Row],[DESCRIPCION]],'CAP23-24'!$H:$H)</f>
        <v>0</v>
      </c>
      <c r="O105" s="69">
        <f ca="1">SUMIF('CAP25'!$B:$H,Insumo[[#This Row],[DESCRIPCION]],'CAP25'!$H:$H)</f>
        <v>0</v>
      </c>
      <c r="P105" s="69">
        <f ca="1">SUMIF('CAP26-28'!$B:$H,Insumo[[#This Row],[DESCRIPCION]],'CAP26-28'!$H:$H)</f>
        <v>0</v>
      </c>
      <c r="Q105" s="69">
        <f ca="1">SUMIF('CAP29'!$B:$H,Insumo[[#This Row],[DESCRIPCION]],'CAP29'!$H:$H)</f>
        <v>0</v>
      </c>
      <c r="T105" s="136">
        <v>1083</v>
      </c>
    </row>
    <row r="106" spans="1:20">
      <c r="A106" s="301" t="s">
        <v>2711</v>
      </c>
      <c r="B106" s="303" t="s">
        <v>23</v>
      </c>
      <c r="C106" s="304">
        <f t="shared" si="1"/>
        <v>147761.25</v>
      </c>
      <c r="D106" s="281" cm="1">
        <f t="array" aca="1" ref="D106" ca="1">IF(Insumo[[#This Row],[VALOR]]=0,Insumo[TOTAL],E106/C106)</f>
        <v>0</v>
      </c>
      <c r="E106" s="69">
        <f ca="1">SUM(Insumo[[#This Row],[CAP1-3]:[CAP29]])</f>
        <v>0</v>
      </c>
      <c r="F106" s="69">
        <f ca="1">SUMIF('CAP1-3'!$B:$H,Insumo[[#This Row],[DESCRIPCION]],'CAP1-3'!$H:$H)</f>
        <v>0</v>
      </c>
      <c r="G106" s="69">
        <f ca="1">SUMIF('CAP4-5'!$B:$H,Insumo[[#This Row],[DESCRIPCION]],'CAP4-5'!$H:$H)</f>
        <v>0</v>
      </c>
      <c r="H106" s="69">
        <f ca="1">SUMIF('CAP6-7'!$B:$H,Insumo[[#This Row],[DESCRIPCION]],'CAP6-7'!$H:$H)</f>
        <v>0</v>
      </c>
      <c r="I106" s="69">
        <f ca="1">SUMIF('CAP8'!$B:$H,Insumo[[#This Row],[DESCRIPCION]],'CAP8'!$H:$H)</f>
        <v>0</v>
      </c>
      <c r="J106" s="69">
        <f ca="1">SUMIF('CAP9-13'!$B:$H,Insumo[[#This Row],[DESCRIPCION]],'CAP9-13'!$H:$H)</f>
        <v>0</v>
      </c>
      <c r="K106" s="69">
        <f ca="1">SUMIF('CAP14-15'!$B:$H,Insumo[[#This Row],[DESCRIPCION]],'CAP14-15'!$H:$H)</f>
        <v>0</v>
      </c>
      <c r="L106" s="69">
        <f ca="1">SUMIF('CAP16-18'!$B:$H,Insumo[[#This Row],[DESCRIPCION]],'CAP16-18'!$H:$H)</f>
        <v>0</v>
      </c>
      <c r="M106" s="69">
        <f ca="1">SUMIF('CAP19-22'!$B:$H,Insumo[[#This Row],[DESCRIPCION]],'CAP19-22'!$H:$H)</f>
        <v>0</v>
      </c>
      <c r="N106" s="69">
        <f ca="1">SUMIF('CAP23-24'!$B:$H,Insumo[[#This Row],[DESCRIPCION]],'CAP23-24'!$H:$H)</f>
        <v>0</v>
      </c>
      <c r="O106" s="69">
        <f ca="1">SUMIF('CAP25'!$B:$H,Insumo[[#This Row],[DESCRIPCION]],'CAP25'!$H:$H)</f>
        <v>0</v>
      </c>
      <c r="P106" s="69">
        <f ca="1">SUMIF('CAP26-28'!$B:$H,Insumo[[#This Row],[DESCRIPCION]],'CAP26-28'!$H:$H)</f>
        <v>0</v>
      </c>
      <c r="Q106" s="69">
        <f ca="1">SUMIF('CAP29'!$B:$H,Insumo[[#This Row],[DESCRIPCION]],'CAP29'!$H:$H)</f>
        <v>0</v>
      </c>
      <c r="T106" s="136">
        <v>140725</v>
      </c>
    </row>
    <row r="107" spans="1:20">
      <c r="A107" s="301" t="s">
        <v>2712</v>
      </c>
      <c r="B107" s="303" t="s">
        <v>23</v>
      </c>
      <c r="C107" s="304">
        <f t="shared" si="1"/>
        <v>170493.75</v>
      </c>
      <c r="D107" s="281" cm="1">
        <f t="array" aca="1" ref="D107" ca="1">IF(Insumo[[#This Row],[VALOR]]=0,Insumo[TOTAL],E107/C107)</f>
        <v>0</v>
      </c>
      <c r="E107" s="69">
        <f ca="1">SUM(Insumo[[#This Row],[CAP1-3]:[CAP29]])</f>
        <v>0</v>
      </c>
      <c r="F107" s="69">
        <f ca="1">SUMIF('CAP1-3'!$B:$H,Insumo[[#This Row],[DESCRIPCION]],'CAP1-3'!$H:$H)</f>
        <v>0</v>
      </c>
      <c r="G107" s="69">
        <f ca="1">SUMIF('CAP4-5'!$B:$H,Insumo[[#This Row],[DESCRIPCION]],'CAP4-5'!$H:$H)</f>
        <v>0</v>
      </c>
      <c r="H107" s="69">
        <f ca="1">SUMIF('CAP6-7'!$B:$H,Insumo[[#This Row],[DESCRIPCION]],'CAP6-7'!$H:$H)</f>
        <v>0</v>
      </c>
      <c r="I107" s="69">
        <f ca="1">SUMIF('CAP8'!$B:$H,Insumo[[#This Row],[DESCRIPCION]],'CAP8'!$H:$H)</f>
        <v>0</v>
      </c>
      <c r="J107" s="69">
        <f ca="1">SUMIF('CAP9-13'!$B:$H,Insumo[[#This Row],[DESCRIPCION]],'CAP9-13'!$H:$H)</f>
        <v>0</v>
      </c>
      <c r="K107" s="69">
        <f ca="1">SUMIF('CAP14-15'!$B:$H,Insumo[[#This Row],[DESCRIPCION]],'CAP14-15'!$H:$H)</f>
        <v>0</v>
      </c>
      <c r="L107" s="69">
        <f ca="1">SUMIF('CAP16-18'!$B:$H,Insumo[[#This Row],[DESCRIPCION]],'CAP16-18'!$H:$H)</f>
        <v>0</v>
      </c>
      <c r="M107" s="69">
        <f ca="1">SUMIF('CAP19-22'!$B:$H,Insumo[[#This Row],[DESCRIPCION]],'CAP19-22'!$H:$H)</f>
        <v>0</v>
      </c>
      <c r="N107" s="69">
        <f ca="1">SUMIF('CAP23-24'!$B:$H,Insumo[[#This Row],[DESCRIPCION]],'CAP23-24'!$H:$H)</f>
        <v>0</v>
      </c>
      <c r="O107" s="69">
        <f ca="1">SUMIF('CAP25'!$B:$H,Insumo[[#This Row],[DESCRIPCION]],'CAP25'!$H:$H)</f>
        <v>0</v>
      </c>
      <c r="P107" s="69">
        <f ca="1">SUMIF('CAP26-28'!$B:$H,Insumo[[#This Row],[DESCRIPCION]],'CAP26-28'!$H:$H)</f>
        <v>0</v>
      </c>
      <c r="Q107" s="69">
        <f ca="1">SUMIF('CAP29'!$B:$H,Insumo[[#This Row],[DESCRIPCION]],'CAP29'!$H:$H)</f>
        <v>0</v>
      </c>
      <c r="T107" s="136">
        <v>162375</v>
      </c>
    </row>
    <row r="108" spans="1:20">
      <c r="A108" s="301" t="s">
        <v>2713</v>
      </c>
      <c r="B108" s="303" t="s">
        <v>52</v>
      </c>
      <c r="C108" s="304">
        <f t="shared" si="1"/>
        <v>81268.95</v>
      </c>
      <c r="D108" s="281" cm="1">
        <f t="array" aca="1" ref="D108" ca="1">IF(Insumo[[#This Row],[VALOR]]=0,Insumo[TOTAL],E108/C108)</f>
        <v>0</v>
      </c>
      <c r="E108" s="69">
        <f ca="1">SUM(Insumo[[#This Row],[CAP1-3]:[CAP29]])</f>
        <v>0</v>
      </c>
      <c r="F108" s="286">
        <f ca="1">SUMIF('CAP1-3'!$B:$H,Insumo[[#This Row],[DESCRIPCION]],'CAP1-3'!$H:$H)</f>
        <v>0</v>
      </c>
      <c r="G108" s="286">
        <f ca="1">SUMIF('CAP4-5'!$B:$H,Insumo[[#This Row],[DESCRIPCION]],'CAP4-5'!$H:$H)</f>
        <v>0</v>
      </c>
      <c r="H108" s="286">
        <f ca="1">SUMIF('CAP6-7'!$B:$H,Insumo[[#This Row],[DESCRIPCION]],'CAP6-7'!$H:$H)</f>
        <v>0</v>
      </c>
      <c r="I108" s="286">
        <f ca="1">SUMIF('CAP8'!$B:$H,Insumo[[#This Row],[DESCRIPCION]],'CAP8'!$H:$H)</f>
        <v>0</v>
      </c>
      <c r="J108" s="286">
        <f ca="1">SUMIF('CAP9-13'!$B:$H,Insumo[[#This Row],[DESCRIPCION]],'CAP9-13'!$H:$H)</f>
        <v>0</v>
      </c>
      <c r="K108" s="286">
        <f ca="1">SUMIF('CAP14-15'!$B:$H,Insumo[[#This Row],[DESCRIPCION]],'CAP14-15'!$H:$H)</f>
        <v>0</v>
      </c>
      <c r="L108" s="286">
        <f ca="1">SUMIF('CAP16-18'!$B:$H,Insumo[[#This Row],[DESCRIPCION]],'CAP16-18'!$H:$H)</f>
        <v>0</v>
      </c>
      <c r="M108" s="286">
        <f ca="1">SUMIF('CAP19-22'!$B:$H,Insumo[[#This Row],[DESCRIPCION]],'CAP19-22'!$H:$H)</f>
        <v>0</v>
      </c>
      <c r="N108" s="286">
        <f ca="1">SUMIF('CAP23-24'!$B:$H,Insumo[[#This Row],[DESCRIPCION]],'CAP23-24'!$H:$H)</f>
        <v>0</v>
      </c>
      <c r="O108" s="286">
        <f ca="1">SUMIF('CAP25'!$B:$H,Insumo[[#This Row],[DESCRIPCION]],'CAP25'!$H:$H)</f>
        <v>0</v>
      </c>
      <c r="P108" s="286">
        <f ca="1">SUMIF('CAP26-28'!$B:$H,Insumo[[#This Row],[DESCRIPCION]],'CAP26-28'!$H:$H)</f>
        <v>0</v>
      </c>
      <c r="Q108" s="286">
        <f ca="1">SUMIF('CAP29'!$B:$H,Insumo[[#This Row],[DESCRIPCION]],'CAP29'!$H:$H)</f>
        <v>0</v>
      </c>
      <c r="T108" s="136">
        <v>77399</v>
      </c>
    </row>
    <row r="109" spans="1:20">
      <c r="A109" s="301" t="s">
        <v>2714</v>
      </c>
      <c r="B109" s="303" t="s">
        <v>52</v>
      </c>
      <c r="C109" s="304">
        <f t="shared" si="1"/>
        <v>81268.95</v>
      </c>
      <c r="D109" s="281" cm="1">
        <f t="array" aca="1" ref="D109" ca="1">IF(Insumo[[#This Row],[VALOR]]=0,Insumo[TOTAL],E109/C109)</f>
        <v>0</v>
      </c>
      <c r="E109" s="69">
        <f ca="1">SUM(Insumo[[#This Row],[CAP1-3]:[CAP29]])</f>
        <v>0</v>
      </c>
      <c r="F109" s="69">
        <f ca="1">SUMIF('CAP1-3'!$B:$H,Insumo[[#This Row],[DESCRIPCION]],'CAP1-3'!$H:$H)</f>
        <v>0</v>
      </c>
      <c r="G109" s="69">
        <f ca="1">SUMIF('CAP4-5'!$B:$H,Insumo[[#This Row],[DESCRIPCION]],'CAP4-5'!$H:$H)</f>
        <v>0</v>
      </c>
      <c r="H109" s="69">
        <f ca="1">SUMIF('CAP6-7'!$B:$H,Insumo[[#This Row],[DESCRIPCION]],'CAP6-7'!$H:$H)</f>
        <v>0</v>
      </c>
      <c r="I109" s="69">
        <f ca="1">SUMIF('CAP8'!$B:$H,Insumo[[#This Row],[DESCRIPCION]],'CAP8'!$H:$H)</f>
        <v>0</v>
      </c>
      <c r="J109" s="69">
        <f ca="1">SUMIF('CAP9-13'!$B:$H,Insumo[[#This Row],[DESCRIPCION]],'CAP9-13'!$H:$H)</f>
        <v>0</v>
      </c>
      <c r="K109" s="69">
        <f ca="1">SUMIF('CAP14-15'!$B:$H,Insumo[[#This Row],[DESCRIPCION]],'CAP14-15'!$H:$H)</f>
        <v>0</v>
      </c>
      <c r="L109" s="69">
        <f ca="1">SUMIF('CAP16-18'!$B:$H,Insumo[[#This Row],[DESCRIPCION]],'CAP16-18'!$H:$H)</f>
        <v>0</v>
      </c>
      <c r="M109" s="69">
        <f ca="1">SUMIF('CAP19-22'!$B:$H,Insumo[[#This Row],[DESCRIPCION]],'CAP19-22'!$H:$H)</f>
        <v>0</v>
      </c>
      <c r="N109" s="69">
        <f ca="1">SUMIF('CAP23-24'!$B:$H,Insumo[[#This Row],[DESCRIPCION]],'CAP23-24'!$H:$H)</f>
        <v>0</v>
      </c>
      <c r="O109" s="69">
        <f ca="1">SUMIF('CAP25'!$B:$H,Insumo[[#This Row],[DESCRIPCION]],'CAP25'!$H:$H)</f>
        <v>0</v>
      </c>
      <c r="P109" s="69">
        <f ca="1">SUMIF('CAP26-28'!$B:$H,Insumo[[#This Row],[DESCRIPCION]],'CAP26-28'!$H:$H)</f>
        <v>0</v>
      </c>
      <c r="Q109" s="69">
        <f ca="1">SUMIF('CAP29'!$B:$H,Insumo[[#This Row],[DESCRIPCION]],'CAP29'!$H:$H)</f>
        <v>0</v>
      </c>
      <c r="T109" s="136">
        <v>77399</v>
      </c>
    </row>
    <row r="110" spans="1:20">
      <c r="A110" s="301" t="s">
        <v>2715</v>
      </c>
      <c r="B110" s="303" t="s">
        <v>52</v>
      </c>
      <c r="C110" s="304">
        <f t="shared" si="1"/>
        <v>81268.95</v>
      </c>
      <c r="D110" s="281" cm="1">
        <f t="array" aca="1" ref="D110" ca="1">IF(Insumo[[#This Row],[VALOR]]=0,Insumo[TOTAL],E110/C110)</f>
        <v>0</v>
      </c>
      <c r="E110" s="69">
        <f ca="1">SUM(Insumo[[#This Row],[CAP1-3]:[CAP29]])</f>
        <v>0</v>
      </c>
      <c r="F110" s="69">
        <f ca="1">SUMIF('CAP1-3'!$B:$H,Insumo[[#This Row],[DESCRIPCION]],'CAP1-3'!$H:$H)</f>
        <v>0</v>
      </c>
      <c r="G110" s="69">
        <f ca="1">SUMIF('CAP4-5'!$B:$H,Insumo[[#This Row],[DESCRIPCION]],'CAP4-5'!$H:$H)</f>
        <v>0</v>
      </c>
      <c r="H110" s="69">
        <f ca="1">SUMIF('CAP6-7'!$B:$H,Insumo[[#This Row],[DESCRIPCION]],'CAP6-7'!$H:$H)</f>
        <v>0</v>
      </c>
      <c r="I110" s="69">
        <f ca="1">SUMIF('CAP8'!$B:$H,Insumo[[#This Row],[DESCRIPCION]],'CAP8'!$H:$H)</f>
        <v>0</v>
      </c>
      <c r="J110" s="69">
        <f ca="1">SUMIF('CAP9-13'!$B:$H,Insumo[[#This Row],[DESCRIPCION]],'CAP9-13'!$H:$H)</f>
        <v>0</v>
      </c>
      <c r="K110" s="69">
        <f ca="1">SUMIF('CAP14-15'!$B:$H,Insumo[[#This Row],[DESCRIPCION]],'CAP14-15'!$H:$H)</f>
        <v>0</v>
      </c>
      <c r="L110" s="69">
        <f ca="1">SUMIF('CAP16-18'!$B:$H,Insumo[[#This Row],[DESCRIPCION]],'CAP16-18'!$H:$H)</f>
        <v>0</v>
      </c>
      <c r="M110" s="69">
        <f ca="1">SUMIF('CAP19-22'!$B:$H,Insumo[[#This Row],[DESCRIPCION]],'CAP19-22'!$H:$H)</f>
        <v>0</v>
      </c>
      <c r="N110" s="69">
        <f ca="1">SUMIF('CAP23-24'!$B:$H,Insumo[[#This Row],[DESCRIPCION]],'CAP23-24'!$H:$H)</f>
        <v>0</v>
      </c>
      <c r="O110" s="69">
        <f ca="1">SUMIF('CAP25'!$B:$H,Insumo[[#This Row],[DESCRIPCION]],'CAP25'!$H:$H)</f>
        <v>0</v>
      </c>
      <c r="P110" s="69">
        <f ca="1">SUMIF('CAP26-28'!$B:$H,Insumo[[#This Row],[DESCRIPCION]],'CAP26-28'!$H:$H)</f>
        <v>0</v>
      </c>
      <c r="Q110" s="69">
        <f ca="1">SUMIF('CAP29'!$B:$H,Insumo[[#This Row],[DESCRIPCION]],'CAP29'!$H:$H)</f>
        <v>0</v>
      </c>
      <c r="T110" s="136">
        <v>77399</v>
      </c>
    </row>
    <row r="111" spans="1:20">
      <c r="A111" s="301" t="s">
        <v>2716</v>
      </c>
      <c r="B111" s="303" t="s">
        <v>52</v>
      </c>
      <c r="C111" s="304">
        <f t="shared" si="1"/>
        <v>81268.95</v>
      </c>
      <c r="D111" s="281" cm="1">
        <f t="array" aca="1" ref="D111" ca="1">IF(Insumo[[#This Row],[VALOR]]=0,Insumo[TOTAL],E111/C111)</f>
        <v>0</v>
      </c>
      <c r="E111" s="69">
        <f ca="1">SUM(Insumo[[#This Row],[CAP1-3]:[CAP29]])</f>
        <v>0</v>
      </c>
      <c r="F111" s="69">
        <f ca="1">SUMIF('CAP1-3'!$B:$H,Insumo[[#This Row],[DESCRIPCION]],'CAP1-3'!$H:$H)</f>
        <v>0</v>
      </c>
      <c r="G111" s="69">
        <f ca="1">SUMIF('CAP4-5'!$B:$H,Insumo[[#This Row],[DESCRIPCION]],'CAP4-5'!$H:$H)</f>
        <v>0</v>
      </c>
      <c r="H111" s="69">
        <f ca="1">SUMIF('CAP6-7'!$B:$H,Insumo[[#This Row],[DESCRIPCION]],'CAP6-7'!$H:$H)</f>
        <v>0</v>
      </c>
      <c r="I111" s="69">
        <f ca="1">SUMIF('CAP8'!$B:$H,Insumo[[#This Row],[DESCRIPCION]],'CAP8'!$H:$H)</f>
        <v>0</v>
      </c>
      <c r="J111" s="69">
        <f ca="1">SUMIF('CAP9-13'!$B:$H,Insumo[[#This Row],[DESCRIPCION]],'CAP9-13'!$H:$H)</f>
        <v>0</v>
      </c>
      <c r="K111" s="69">
        <f ca="1">SUMIF('CAP14-15'!$B:$H,Insumo[[#This Row],[DESCRIPCION]],'CAP14-15'!$H:$H)</f>
        <v>0</v>
      </c>
      <c r="L111" s="69">
        <f ca="1">SUMIF('CAP16-18'!$B:$H,Insumo[[#This Row],[DESCRIPCION]],'CAP16-18'!$H:$H)</f>
        <v>0</v>
      </c>
      <c r="M111" s="69">
        <f ca="1">SUMIF('CAP19-22'!$B:$H,Insumo[[#This Row],[DESCRIPCION]],'CAP19-22'!$H:$H)</f>
        <v>0</v>
      </c>
      <c r="N111" s="69">
        <f ca="1">SUMIF('CAP23-24'!$B:$H,Insumo[[#This Row],[DESCRIPCION]],'CAP23-24'!$H:$H)</f>
        <v>0</v>
      </c>
      <c r="O111" s="69">
        <f ca="1">SUMIF('CAP25'!$B:$H,Insumo[[#This Row],[DESCRIPCION]],'CAP25'!$H:$H)</f>
        <v>0</v>
      </c>
      <c r="P111" s="69">
        <f ca="1">SUMIF('CAP26-28'!$B:$H,Insumo[[#This Row],[DESCRIPCION]],'CAP26-28'!$H:$H)</f>
        <v>0</v>
      </c>
      <c r="Q111" s="69">
        <f ca="1">SUMIF('CAP29'!$B:$H,Insumo[[#This Row],[DESCRIPCION]],'CAP29'!$H:$H)</f>
        <v>0</v>
      </c>
      <c r="T111" s="136">
        <v>77399</v>
      </c>
    </row>
    <row r="112" spans="1:20">
      <c r="A112" s="301" t="s">
        <v>2717</v>
      </c>
      <c r="B112" s="303" t="s">
        <v>52</v>
      </c>
      <c r="C112" s="304">
        <f t="shared" si="1"/>
        <v>79563.75</v>
      </c>
      <c r="D112" s="281" cm="1">
        <f t="array" aca="1" ref="D112" ca="1">IF(Insumo[[#This Row],[VALOR]]=0,Insumo[TOTAL],E112/C112)</f>
        <v>0</v>
      </c>
      <c r="E112" s="69">
        <f ca="1">SUM(Insumo[[#This Row],[CAP1-3]:[CAP29]])</f>
        <v>0</v>
      </c>
      <c r="F112" s="69">
        <f ca="1">SUMIF('CAP1-3'!$B:$H,Insumo[[#This Row],[DESCRIPCION]],'CAP1-3'!$H:$H)</f>
        <v>0</v>
      </c>
      <c r="G112" s="69">
        <f ca="1">SUMIF('CAP4-5'!$B:$H,Insumo[[#This Row],[DESCRIPCION]],'CAP4-5'!$H:$H)</f>
        <v>0</v>
      </c>
      <c r="H112" s="69">
        <f ca="1">SUMIF('CAP6-7'!$B:$H,Insumo[[#This Row],[DESCRIPCION]],'CAP6-7'!$H:$H)</f>
        <v>0</v>
      </c>
      <c r="I112" s="69">
        <f ca="1">SUMIF('CAP8'!$B:$H,Insumo[[#This Row],[DESCRIPCION]],'CAP8'!$H:$H)</f>
        <v>0</v>
      </c>
      <c r="J112" s="69">
        <f ca="1">SUMIF('CAP9-13'!$B:$H,Insumo[[#This Row],[DESCRIPCION]],'CAP9-13'!$H:$H)</f>
        <v>0</v>
      </c>
      <c r="K112" s="69">
        <f ca="1">SUMIF('CAP14-15'!$B:$H,Insumo[[#This Row],[DESCRIPCION]],'CAP14-15'!$H:$H)</f>
        <v>0</v>
      </c>
      <c r="L112" s="69">
        <f ca="1">SUMIF('CAP16-18'!$B:$H,Insumo[[#This Row],[DESCRIPCION]],'CAP16-18'!$H:$H)</f>
        <v>0</v>
      </c>
      <c r="M112" s="69">
        <f ca="1">SUMIF('CAP19-22'!$B:$H,Insumo[[#This Row],[DESCRIPCION]],'CAP19-22'!$H:$H)</f>
        <v>0</v>
      </c>
      <c r="N112" s="69">
        <f ca="1">SUMIF('CAP23-24'!$B:$H,Insumo[[#This Row],[DESCRIPCION]],'CAP23-24'!$H:$H)</f>
        <v>0</v>
      </c>
      <c r="O112" s="69">
        <f ca="1">SUMIF('CAP25'!$B:$H,Insumo[[#This Row],[DESCRIPCION]],'CAP25'!$H:$H)</f>
        <v>0</v>
      </c>
      <c r="P112" s="69">
        <f ca="1">SUMIF('CAP26-28'!$B:$H,Insumo[[#This Row],[DESCRIPCION]],'CAP26-28'!$H:$H)</f>
        <v>0</v>
      </c>
      <c r="Q112" s="69">
        <f ca="1">SUMIF('CAP29'!$B:$H,Insumo[[#This Row],[DESCRIPCION]],'CAP29'!$H:$H)</f>
        <v>0</v>
      </c>
      <c r="T112" s="136">
        <v>75775</v>
      </c>
    </row>
    <row r="113" spans="1:20">
      <c r="A113" s="301" t="s">
        <v>2718</v>
      </c>
      <c r="B113" s="303" t="s">
        <v>23</v>
      </c>
      <c r="C113" s="304">
        <f t="shared" si="1"/>
        <v>284997.3</v>
      </c>
      <c r="D113" s="281" cm="1">
        <f t="array" aca="1" ref="D113" ca="1">IF(Insumo[[#This Row],[VALOR]]=0,Insumo[TOTAL],E113/C113)</f>
        <v>0</v>
      </c>
      <c r="E113" s="69">
        <f ca="1">SUM(Insumo[[#This Row],[CAP1-3]:[CAP29]])</f>
        <v>0</v>
      </c>
      <c r="F113" s="69">
        <f ca="1">SUMIF('CAP1-3'!$B:$H,Insumo[[#This Row],[DESCRIPCION]],'CAP1-3'!$H:$H)</f>
        <v>0</v>
      </c>
      <c r="G113" s="69">
        <f ca="1">SUMIF('CAP4-5'!$B:$H,Insumo[[#This Row],[DESCRIPCION]],'CAP4-5'!$H:$H)</f>
        <v>0</v>
      </c>
      <c r="H113" s="69">
        <f ca="1">SUMIF('CAP6-7'!$B:$H,Insumo[[#This Row],[DESCRIPCION]],'CAP6-7'!$H:$H)</f>
        <v>0</v>
      </c>
      <c r="I113" s="69">
        <f ca="1">SUMIF('CAP8'!$B:$H,Insumo[[#This Row],[DESCRIPCION]],'CAP8'!$H:$H)</f>
        <v>0</v>
      </c>
      <c r="J113" s="69">
        <f ca="1">SUMIF('CAP9-13'!$B:$H,Insumo[[#This Row],[DESCRIPCION]],'CAP9-13'!$H:$H)</f>
        <v>0</v>
      </c>
      <c r="K113" s="69">
        <f ca="1">SUMIF('CAP14-15'!$B:$H,Insumo[[#This Row],[DESCRIPCION]],'CAP14-15'!$H:$H)</f>
        <v>0</v>
      </c>
      <c r="L113" s="69">
        <f ca="1">SUMIF('CAP16-18'!$B:$H,Insumo[[#This Row],[DESCRIPCION]],'CAP16-18'!$H:$H)</f>
        <v>0</v>
      </c>
      <c r="M113" s="69">
        <f ca="1">SUMIF('CAP19-22'!$B:$H,Insumo[[#This Row],[DESCRIPCION]],'CAP19-22'!$H:$H)</f>
        <v>0</v>
      </c>
      <c r="N113" s="69">
        <f ca="1">SUMIF('CAP23-24'!$B:$H,Insumo[[#This Row],[DESCRIPCION]],'CAP23-24'!$H:$H)</f>
        <v>0</v>
      </c>
      <c r="O113" s="69">
        <f ca="1">SUMIF('CAP25'!$B:$H,Insumo[[#This Row],[DESCRIPCION]],'CAP25'!$H:$H)</f>
        <v>0</v>
      </c>
      <c r="P113" s="69">
        <f ca="1">SUMIF('CAP26-28'!$B:$H,Insumo[[#This Row],[DESCRIPCION]],'CAP26-28'!$H:$H)</f>
        <v>0</v>
      </c>
      <c r="Q113" s="69">
        <f ca="1">SUMIF('CAP29'!$B:$H,Insumo[[#This Row],[DESCRIPCION]],'CAP29'!$H:$H)</f>
        <v>0</v>
      </c>
      <c r="T113" s="136">
        <v>271426</v>
      </c>
    </row>
    <row r="114" spans="1:20">
      <c r="A114" s="301" t="s">
        <v>2719</v>
      </c>
      <c r="B114" s="303" t="s">
        <v>23</v>
      </c>
      <c r="C114" s="304">
        <f t="shared" si="1"/>
        <v>451245.9</v>
      </c>
      <c r="D114" s="281" cm="1">
        <f t="array" aca="1" ref="D114" ca="1">IF(Insumo[[#This Row],[VALOR]]=0,Insumo[TOTAL],E114/C114)</f>
        <v>0</v>
      </c>
      <c r="E114" s="69">
        <f ca="1">SUM(Insumo[[#This Row],[CAP1-3]:[CAP29]])</f>
        <v>0</v>
      </c>
      <c r="F114" s="69">
        <f ca="1">SUMIF('CAP1-3'!$B:$H,Insumo[[#This Row],[DESCRIPCION]],'CAP1-3'!$H:$H)</f>
        <v>0</v>
      </c>
      <c r="G114" s="69">
        <f ca="1">SUMIF('CAP4-5'!$B:$H,Insumo[[#This Row],[DESCRIPCION]],'CAP4-5'!$H:$H)</f>
        <v>0</v>
      </c>
      <c r="H114" s="69">
        <f ca="1">SUMIF('CAP6-7'!$B:$H,Insumo[[#This Row],[DESCRIPCION]],'CAP6-7'!$H:$H)</f>
        <v>0</v>
      </c>
      <c r="I114" s="69">
        <f ca="1">SUMIF('CAP8'!$B:$H,Insumo[[#This Row],[DESCRIPCION]],'CAP8'!$H:$H)</f>
        <v>0</v>
      </c>
      <c r="J114" s="69">
        <f ca="1">SUMIF('CAP9-13'!$B:$H,Insumo[[#This Row],[DESCRIPCION]],'CAP9-13'!$H:$H)</f>
        <v>0</v>
      </c>
      <c r="K114" s="69">
        <f ca="1">SUMIF('CAP14-15'!$B:$H,Insumo[[#This Row],[DESCRIPCION]],'CAP14-15'!$H:$H)</f>
        <v>0</v>
      </c>
      <c r="L114" s="69">
        <f ca="1">SUMIF('CAP16-18'!$B:$H,Insumo[[#This Row],[DESCRIPCION]],'CAP16-18'!$H:$H)</f>
        <v>0</v>
      </c>
      <c r="M114" s="69">
        <f ca="1">SUMIF('CAP19-22'!$B:$H,Insumo[[#This Row],[DESCRIPCION]],'CAP19-22'!$H:$H)</f>
        <v>0</v>
      </c>
      <c r="N114" s="69">
        <f ca="1">SUMIF('CAP23-24'!$B:$H,Insumo[[#This Row],[DESCRIPCION]],'CAP23-24'!$H:$H)</f>
        <v>0</v>
      </c>
      <c r="O114" s="69">
        <f ca="1">SUMIF('CAP25'!$B:$H,Insumo[[#This Row],[DESCRIPCION]],'CAP25'!$H:$H)</f>
        <v>0</v>
      </c>
      <c r="P114" s="69">
        <f ca="1">SUMIF('CAP26-28'!$B:$H,Insumo[[#This Row],[DESCRIPCION]],'CAP26-28'!$H:$H)</f>
        <v>0</v>
      </c>
      <c r="Q114" s="69">
        <f ca="1">SUMIF('CAP29'!$B:$H,Insumo[[#This Row],[DESCRIPCION]],'CAP29'!$H:$H)</f>
        <v>0</v>
      </c>
      <c r="T114" s="136">
        <v>429758</v>
      </c>
    </row>
    <row r="115" spans="1:20">
      <c r="A115" s="301" t="s">
        <v>2720</v>
      </c>
      <c r="B115" s="303" t="s">
        <v>2721</v>
      </c>
      <c r="C115" s="304">
        <f t="shared" si="1"/>
        <v>26387.550000000003</v>
      </c>
      <c r="D115" s="281" cm="1">
        <f t="array" aca="1" ref="D115" ca="1">IF(Insumo[[#This Row],[VALOR]]=0,Insumo[TOTAL],E115/C115)</f>
        <v>0</v>
      </c>
      <c r="E115" s="69">
        <f ca="1">SUM(Insumo[[#This Row],[CAP1-3]:[CAP29]])</f>
        <v>0</v>
      </c>
      <c r="F115" s="69">
        <f ca="1">SUMIF('CAP1-3'!$B:$H,Insumo[[#This Row],[DESCRIPCION]],'CAP1-3'!$H:$H)</f>
        <v>0</v>
      </c>
      <c r="G115" s="69">
        <f ca="1">SUMIF('CAP4-5'!$B:$H,Insumo[[#This Row],[DESCRIPCION]],'CAP4-5'!$H:$H)</f>
        <v>0</v>
      </c>
      <c r="H115" s="69">
        <f ca="1">SUMIF('CAP6-7'!$B:$H,Insumo[[#This Row],[DESCRIPCION]],'CAP6-7'!$H:$H)</f>
        <v>0</v>
      </c>
      <c r="I115" s="69">
        <f ca="1">SUMIF('CAP8'!$B:$H,Insumo[[#This Row],[DESCRIPCION]],'CAP8'!$H:$H)</f>
        <v>0</v>
      </c>
      <c r="J115" s="69">
        <f ca="1">SUMIF('CAP9-13'!$B:$H,Insumo[[#This Row],[DESCRIPCION]],'CAP9-13'!$H:$H)</f>
        <v>0</v>
      </c>
      <c r="K115" s="69">
        <f ca="1">SUMIF('CAP14-15'!$B:$H,Insumo[[#This Row],[DESCRIPCION]],'CAP14-15'!$H:$H)</f>
        <v>0</v>
      </c>
      <c r="L115" s="69">
        <f ca="1">SUMIF('CAP16-18'!$B:$H,Insumo[[#This Row],[DESCRIPCION]],'CAP16-18'!$H:$H)</f>
        <v>0</v>
      </c>
      <c r="M115" s="69">
        <f ca="1">SUMIF('CAP19-22'!$B:$H,Insumo[[#This Row],[DESCRIPCION]],'CAP19-22'!$H:$H)</f>
        <v>0</v>
      </c>
      <c r="N115" s="69">
        <f ca="1">SUMIF('CAP23-24'!$B:$H,Insumo[[#This Row],[DESCRIPCION]],'CAP23-24'!$H:$H)</f>
        <v>0</v>
      </c>
      <c r="O115" s="69">
        <f ca="1">SUMIF('CAP25'!$B:$H,Insumo[[#This Row],[DESCRIPCION]],'CAP25'!$H:$H)</f>
        <v>0</v>
      </c>
      <c r="P115" s="69">
        <f ca="1">SUMIF('CAP26-28'!$B:$H,Insumo[[#This Row],[DESCRIPCION]],'CAP26-28'!$H:$H)</f>
        <v>0</v>
      </c>
      <c r="Q115" s="69">
        <f ca="1">SUMIF('CAP29'!$B:$H,Insumo[[#This Row],[DESCRIPCION]],'CAP29'!$H:$H)</f>
        <v>0</v>
      </c>
      <c r="T115" s="136">
        <v>25131</v>
      </c>
    </row>
    <row r="116" spans="1:20">
      <c r="A116" s="301" t="s">
        <v>2722</v>
      </c>
      <c r="B116" s="303" t="s">
        <v>23</v>
      </c>
      <c r="C116" s="304">
        <f t="shared" si="1"/>
        <v>153444375</v>
      </c>
      <c r="D116" s="281" cm="1">
        <f t="array" aca="1" ref="D116" ca="1">IF(Insumo[[#This Row],[VALOR]]=0,Insumo[TOTAL],E116/C116)</f>
        <v>0</v>
      </c>
      <c r="E116" s="69">
        <f ca="1">SUM(Insumo[[#This Row],[CAP1-3]:[CAP29]])</f>
        <v>0</v>
      </c>
      <c r="F116" s="69">
        <f ca="1">SUMIF('CAP1-3'!$B:$H,Insumo[[#This Row],[DESCRIPCION]],'CAP1-3'!$H:$H)</f>
        <v>0</v>
      </c>
      <c r="G116" s="69">
        <f ca="1">SUMIF('CAP4-5'!$B:$H,Insumo[[#This Row],[DESCRIPCION]],'CAP4-5'!$H:$H)</f>
        <v>0</v>
      </c>
      <c r="H116" s="69">
        <f ca="1">SUMIF('CAP6-7'!$B:$H,Insumo[[#This Row],[DESCRIPCION]],'CAP6-7'!$H:$H)</f>
        <v>0</v>
      </c>
      <c r="I116" s="69">
        <f ca="1">SUMIF('CAP8'!$B:$H,Insumo[[#This Row],[DESCRIPCION]],'CAP8'!$H:$H)</f>
        <v>0</v>
      </c>
      <c r="J116" s="69">
        <f ca="1">SUMIF('CAP9-13'!$B:$H,Insumo[[#This Row],[DESCRIPCION]],'CAP9-13'!$H:$H)</f>
        <v>0</v>
      </c>
      <c r="K116" s="69">
        <f ca="1">SUMIF('CAP14-15'!$B:$H,Insumo[[#This Row],[DESCRIPCION]],'CAP14-15'!$H:$H)</f>
        <v>0</v>
      </c>
      <c r="L116" s="69">
        <f ca="1">SUMIF('CAP16-18'!$B:$H,Insumo[[#This Row],[DESCRIPCION]],'CAP16-18'!$H:$H)</f>
        <v>0</v>
      </c>
      <c r="M116" s="69">
        <f ca="1">SUMIF('CAP19-22'!$B:$H,Insumo[[#This Row],[DESCRIPCION]],'CAP19-22'!$H:$H)</f>
        <v>0</v>
      </c>
      <c r="N116" s="69">
        <f ca="1">SUMIF('CAP23-24'!$B:$H,Insumo[[#This Row],[DESCRIPCION]],'CAP23-24'!$H:$H)</f>
        <v>0</v>
      </c>
      <c r="O116" s="69">
        <f ca="1">SUMIF('CAP25'!$B:$H,Insumo[[#This Row],[DESCRIPCION]],'CAP25'!$H:$H)</f>
        <v>0</v>
      </c>
      <c r="P116" s="69">
        <f ca="1">SUMIF('CAP26-28'!$B:$H,Insumo[[#This Row],[DESCRIPCION]],'CAP26-28'!$H:$H)</f>
        <v>0</v>
      </c>
      <c r="Q116" s="69">
        <f ca="1">SUMIF('CAP29'!$B:$H,Insumo[[#This Row],[DESCRIPCION]],'CAP29'!$H:$H)</f>
        <v>0</v>
      </c>
      <c r="T116" s="136">
        <v>146137500</v>
      </c>
    </row>
    <row r="117" spans="1:20">
      <c r="A117" s="301" t="s">
        <v>2723</v>
      </c>
      <c r="B117" s="303" t="s">
        <v>2662</v>
      </c>
      <c r="C117" s="304">
        <f t="shared" si="1"/>
        <v>23749.95</v>
      </c>
      <c r="D117" s="281" cm="1">
        <f t="array" aca="1" ref="D117" ca="1">IF(Insumo[[#This Row],[VALOR]]=0,Insumo[TOTAL],E117/C117)</f>
        <v>0</v>
      </c>
      <c r="E117" s="69">
        <f ca="1">SUM(Insumo[[#This Row],[CAP1-3]:[CAP29]])</f>
        <v>0</v>
      </c>
      <c r="F117" s="69">
        <f ca="1">SUMIF('CAP1-3'!$B:$H,Insumo[[#This Row],[DESCRIPCION]],'CAP1-3'!$H:$H)</f>
        <v>0</v>
      </c>
      <c r="G117" s="69">
        <f ca="1">SUMIF('CAP4-5'!$B:$H,Insumo[[#This Row],[DESCRIPCION]],'CAP4-5'!$H:$H)</f>
        <v>0</v>
      </c>
      <c r="H117" s="69">
        <f ca="1">SUMIF('CAP6-7'!$B:$H,Insumo[[#This Row],[DESCRIPCION]],'CAP6-7'!$H:$H)</f>
        <v>0</v>
      </c>
      <c r="I117" s="69">
        <f ca="1">SUMIF('CAP8'!$B:$H,Insumo[[#This Row],[DESCRIPCION]],'CAP8'!$H:$H)</f>
        <v>0</v>
      </c>
      <c r="J117" s="69">
        <f ca="1">SUMIF('CAP9-13'!$B:$H,Insumo[[#This Row],[DESCRIPCION]],'CAP9-13'!$H:$H)</f>
        <v>0</v>
      </c>
      <c r="K117" s="69">
        <f ca="1">SUMIF('CAP14-15'!$B:$H,Insumo[[#This Row],[DESCRIPCION]],'CAP14-15'!$H:$H)</f>
        <v>0</v>
      </c>
      <c r="L117" s="69">
        <f ca="1">SUMIF('CAP16-18'!$B:$H,Insumo[[#This Row],[DESCRIPCION]],'CAP16-18'!$H:$H)</f>
        <v>0</v>
      </c>
      <c r="M117" s="69">
        <f ca="1">SUMIF('CAP19-22'!$B:$H,Insumo[[#This Row],[DESCRIPCION]],'CAP19-22'!$H:$H)</f>
        <v>0</v>
      </c>
      <c r="N117" s="69">
        <f ca="1">SUMIF('CAP23-24'!$B:$H,Insumo[[#This Row],[DESCRIPCION]],'CAP23-24'!$H:$H)</f>
        <v>0</v>
      </c>
      <c r="O117" s="69">
        <f ca="1">SUMIF('CAP25'!$B:$H,Insumo[[#This Row],[DESCRIPCION]],'CAP25'!$H:$H)</f>
        <v>0</v>
      </c>
      <c r="P117" s="69">
        <f ca="1">SUMIF('CAP26-28'!$B:$H,Insumo[[#This Row],[DESCRIPCION]],'CAP26-28'!$H:$H)</f>
        <v>0</v>
      </c>
      <c r="Q117" s="69">
        <f ca="1">SUMIF('CAP29'!$B:$H,Insumo[[#This Row],[DESCRIPCION]],'CAP29'!$H:$H)</f>
        <v>0</v>
      </c>
      <c r="T117" s="136">
        <v>22619</v>
      </c>
    </row>
    <row r="118" spans="1:20">
      <c r="A118" s="301" t="s">
        <v>2724</v>
      </c>
      <c r="B118" s="303" t="s">
        <v>338</v>
      </c>
      <c r="C118" s="304">
        <f t="shared" si="1"/>
        <v>2536.8000000000002</v>
      </c>
      <c r="D118" s="281" cm="1">
        <f t="array" aca="1" ref="D118" ca="1">IF(Insumo[[#This Row],[VALOR]]=0,Insumo[TOTAL],E118/C118)</f>
        <v>0</v>
      </c>
      <c r="E118" s="69">
        <f ca="1">SUM(Insumo[[#This Row],[CAP1-3]:[CAP29]])</f>
        <v>0</v>
      </c>
      <c r="F118" s="69">
        <f ca="1">SUMIF('CAP1-3'!$B:$H,Insumo[[#This Row],[DESCRIPCION]],'CAP1-3'!$H:$H)</f>
        <v>0</v>
      </c>
      <c r="G118" s="69">
        <f ca="1">SUMIF('CAP4-5'!$B:$H,Insumo[[#This Row],[DESCRIPCION]],'CAP4-5'!$H:$H)</f>
        <v>0</v>
      </c>
      <c r="H118" s="69">
        <f ca="1">SUMIF('CAP6-7'!$B:$H,Insumo[[#This Row],[DESCRIPCION]],'CAP6-7'!$H:$H)</f>
        <v>0</v>
      </c>
      <c r="I118" s="69">
        <f ca="1">SUMIF('CAP8'!$B:$H,Insumo[[#This Row],[DESCRIPCION]],'CAP8'!$H:$H)</f>
        <v>0</v>
      </c>
      <c r="J118" s="69">
        <f ca="1">SUMIF('CAP9-13'!$B:$H,Insumo[[#This Row],[DESCRIPCION]],'CAP9-13'!$H:$H)</f>
        <v>0</v>
      </c>
      <c r="K118" s="69">
        <f ca="1">SUMIF('CAP14-15'!$B:$H,Insumo[[#This Row],[DESCRIPCION]],'CAP14-15'!$H:$H)</f>
        <v>0</v>
      </c>
      <c r="L118" s="69">
        <f ca="1">SUMIF('CAP16-18'!$B:$H,Insumo[[#This Row],[DESCRIPCION]],'CAP16-18'!$H:$H)</f>
        <v>0</v>
      </c>
      <c r="M118" s="69">
        <f ca="1">SUMIF('CAP19-22'!$B:$H,Insumo[[#This Row],[DESCRIPCION]],'CAP19-22'!$H:$H)</f>
        <v>0</v>
      </c>
      <c r="N118" s="69">
        <f ca="1">SUMIF('CAP23-24'!$B:$H,Insumo[[#This Row],[DESCRIPCION]],'CAP23-24'!$H:$H)</f>
        <v>0</v>
      </c>
      <c r="O118" s="69">
        <f ca="1">SUMIF('CAP25'!$B:$H,Insumo[[#This Row],[DESCRIPCION]],'CAP25'!$H:$H)</f>
        <v>0</v>
      </c>
      <c r="P118" s="69">
        <f ca="1">SUMIF('CAP26-28'!$B:$H,Insumo[[#This Row],[DESCRIPCION]],'CAP26-28'!$H:$H)</f>
        <v>0</v>
      </c>
      <c r="Q118" s="69">
        <f ca="1">SUMIF('CAP29'!$B:$H,Insumo[[#This Row],[DESCRIPCION]],'CAP29'!$H:$H)</f>
        <v>0</v>
      </c>
      <c r="T118" s="136">
        <v>2416</v>
      </c>
    </row>
    <row r="119" spans="1:20">
      <c r="A119" s="301" t="s">
        <v>2725</v>
      </c>
      <c r="B119" s="303" t="s">
        <v>20</v>
      </c>
      <c r="C119" s="304">
        <f t="shared" si="1"/>
        <v>102182.85</v>
      </c>
      <c r="D119" s="281" cm="1">
        <f t="array" aca="1" ref="D119" ca="1">IF(Insumo[[#This Row],[VALOR]]=0,Insumo[TOTAL],E119/C119)</f>
        <v>0</v>
      </c>
      <c r="E119" s="69">
        <f ca="1">SUM(Insumo[[#This Row],[CAP1-3]:[CAP29]])</f>
        <v>0</v>
      </c>
      <c r="F119" s="69">
        <f ca="1">SUMIF('CAP1-3'!$B:$H,Insumo[[#This Row],[DESCRIPCION]],'CAP1-3'!$H:$H)</f>
        <v>0</v>
      </c>
      <c r="G119" s="69">
        <f ca="1">SUMIF('CAP4-5'!$B:$H,Insumo[[#This Row],[DESCRIPCION]],'CAP4-5'!$H:$H)</f>
        <v>0</v>
      </c>
      <c r="H119" s="69">
        <f ca="1">SUMIF('CAP6-7'!$B:$H,Insumo[[#This Row],[DESCRIPCION]],'CAP6-7'!$H:$H)</f>
        <v>0</v>
      </c>
      <c r="I119" s="69">
        <f ca="1">SUMIF('CAP8'!$B:$H,Insumo[[#This Row],[DESCRIPCION]],'CAP8'!$H:$H)</f>
        <v>0</v>
      </c>
      <c r="J119" s="69">
        <f ca="1">SUMIF('CAP9-13'!$B:$H,Insumo[[#This Row],[DESCRIPCION]],'CAP9-13'!$H:$H)</f>
        <v>0</v>
      </c>
      <c r="K119" s="69">
        <f ca="1">SUMIF('CAP14-15'!$B:$H,Insumo[[#This Row],[DESCRIPCION]],'CAP14-15'!$H:$H)</f>
        <v>0</v>
      </c>
      <c r="L119" s="69">
        <f ca="1">SUMIF('CAP16-18'!$B:$H,Insumo[[#This Row],[DESCRIPCION]],'CAP16-18'!$H:$H)</f>
        <v>0</v>
      </c>
      <c r="M119" s="69">
        <f ca="1">SUMIF('CAP19-22'!$B:$H,Insumo[[#This Row],[DESCRIPCION]],'CAP19-22'!$H:$H)</f>
        <v>0</v>
      </c>
      <c r="N119" s="69">
        <f ca="1">SUMIF('CAP23-24'!$B:$H,Insumo[[#This Row],[DESCRIPCION]],'CAP23-24'!$H:$H)</f>
        <v>0</v>
      </c>
      <c r="O119" s="69">
        <f ca="1">SUMIF('CAP25'!$B:$H,Insumo[[#This Row],[DESCRIPCION]],'CAP25'!$H:$H)</f>
        <v>0</v>
      </c>
      <c r="P119" s="69">
        <f ca="1">SUMIF('CAP26-28'!$B:$H,Insumo[[#This Row],[DESCRIPCION]],'CAP26-28'!$H:$H)</f>
        <v>0</v>
      </c>
      <c r="Q119" s="69">
        <f ca="1">SUMIF('CAP29'!$B:$H,Insumo[[#This Row],[DESCRIPCION]],'CAP29'!$H:$H)</f>
        <v>0</v>
      </c>
      <c r="T119" s="136">
        <v>97317</v>
      </c>
    </row>
    <row r="120" spans="1:20">
      <c r="A120" s="301" t="s">
        <v>2726</v>
      </c>
      <c r="B120" s="303" t="s">
        <v>20</v>
      </c>
      <c r="C120" s="304">
        <f t="shared" si="1"/>
        <v>71493.45</v>
      </c>
      <c r="D120" s="281" cm="1">
        <f t="array" aca="1" ref="D120" ca="1">IF(Insumo[[#This Row],[VALOR]]=0,Insumo[TOTAL],E120/C120)</f>
        <v>0</v>
      </c>
      <c r="E120" s="69">
        <f ca="1">SUM(Insumo[[#This Row],[CAP1-3]:[CAP29]])</f>
        <v>0</v>
      </c>
      <c r="F120" s="69">
        <f ca="1">SUMIF('CAP1-3'!$B:$H,Insumo[[#This Row],[DESCRIPCION]],'CAP1-3'!$H:$H)</f>
        <v>0</v>
      </c>
      <c r="G120" s="69">
        <f ca="1">SUMIF('CAP4-5'!$B:$H,Insumo[[#This Row],[DESCRIPCION]],'CAP4-5'!$H:$H)</f>
        <v>0</v>
      </c>
      <c r="H120" s="69">
        <f ca="1">SUMIF('CAP6-7'!$B:$H,Insumo[[#This Row],[DESCRIPCION]],'CAP6-7'!$H:$H)</f>
        <v>0</v>
      </c>
      <c r="I120" s="69">
        <f ca="1">SUMIF('CAP8'!$B:$H,Insumo[[#This Row],[DESCRIPCION]],'CAP8'!$H:$H)</f>
        <v>0</v>
      </c>
      <c r="J120" s="69">
        <f ca="1">SUMIF('CAP9-13'!$B:$H,Insumo[[#This Row],[DESCRIPCION]],'CAP9-13'!$H:$H)</f>
        <v>0</v>
      </c>
      <c r="K120" s="69">
        <f ca="1">SUMIF('CAP14-15'!$B:$H,Insumo[[#This Row],[DESCRIPCION]],'CAP14-15'!$H:$H)</f>
        <v>0</v>
      </c>
      <c r="L120" s="69">
        <f ca="1">SUMIF('CAP16-18'!$B:$H,Insumo[[#This Row],[DESCRIPCION]],'CAP16-18'!$H:$H)</f>
        <v>0</v>
      </c>
      <c r="M120" s="69">
        <f ca="1">SUMIF('CAP19-22'!$B:$H,Insumo[[#This Row],[DESCRIPCION]],'CAP19-22'!$H:$H)</f>
        <v>0</v>
      </c>
      <c r="N120" s="69">
        <f ca="1">SUMIF('CAP23-24'!$B:$H,Insumo[[#This Row],[DESCRIPCION]],'CAP23-24'!$H:$H)</f>
        <v>0</v>
      </c>
      <c r="O120" s="69">
        <f ca="1">SUMIF('CAP25'!$B:$H,Insumo[[#This Row],[DESCRIPCION]],'CAP25'!$H:$H)</f>
        <v>0</v>
      </c>
      <c r="P120" s="69">
        <f ca="1">SUMIF('CAP26-28'!$B:$H,Insumo[[#This Row],[DESCRIPCION]],'CAP26-28'!$H:$H)</f>
        <v>0</v>
      </c>
      <c r="Q120" s="69">
        <f ca="1">SUMIF('CAP29'!$B:$H,Insumo[[#This Row],[DESCRIPCION]],'CAP29'!$H:$H)</f>
        <v>0</v>
      </c>
      <c r="T120" s="136">
        <v>68089</v>
      </c>
    </row>
    <row r="121" spans="1:20">
      <c r="A121" s="301" t="s">
        <v>2727</v>
      </c>
      <c r="B121" s="303" t="s">
        <v>23</v>
      </c>
      <c r="C121" s="304">
        <f t="shared" si="1"/>
        <v>146160</v>
      </c>
      <c r="D121" s="281" cm="1">
        <f t="array" aca="1" ref="D121" ca="1">IF(Insumo[[#This Row],[VALOR]]=0,Insumo[TOTAL],E121/C121)</f>
        <v>0</v>
      </c>
      <c r="E121" s="69">
        <f ca="1">SUM(Insumo[[#This Row],[CAP1-3]:[CAP29]])</f>
        <v>0</v>
      </c>
      <c r="F121" s="69">
        <f ca="1">SUMIF('CAP1-3'!$B:$H,Insumo[[#This Row],[DESCRIPCION]],'CAP1-3'!$H:$H)</f>
        <v>0</v>
      </c>
      <c r="G121" s="69">
        <f ca="1">SUMIF('CAP4-5'!$B:$H,Insumo[[#This Row],[DESCRIPCION]],'CAP4-5'!$H:$H)</f>
        <v>0</v>
      </c>
      <c r="H121" s="69">
        <f ca="1">SUMIF('CAP6-7'!$B:$H,Insumo[[#This Row],[DESCRIPCION]],'CAP6-7'!$H:$H)</f>
        <v>0</v>
      </c>
      <c r="I121" s="69">
        <f ca="1">SUMIF('CAP8'!$B:$H,Insumo[[#This Row],[DESCRIPCION]],'CAP8'!$H:$H)</f>
        <v>0</v>
      </c>
      <c r="J121" s="69">
        <f ca="1">SUMIF('CAP9-13'!$B:$H,Insumo[[#This Row],[DESCRIPCION]],'CAP9-13'!$H:$H)</f>
        <v>0</v>
      </c>
      <c r="K121" s="69">
        <f ca="1">SUMIF('CAP14-15'!$B:$H,Insumo[[#This Row],[DESCRIPCION]],'CAP14-15'!$H:$H)</f>
        <v>0</v>
      </c>
      <c r="L121" s="69">
        <f ca="1">SUMIF('CAP16-18'!$B:$H,Insumo[[#This Row],[DESCRIPCION]],'CAP16-18'!$H:$H)</f>
        <v>0</v>
      </c>
      <c r="M121" s="69">
        <f ca="1">SUMIF('CAP19-22'!$B:$H,Insumo[[#This Row],[DESCRIPCION]],'CAP19-22'!$H:$H)</f>
        <v>0</v>
      </c>
      <c r="N121" s="69">
        <f ca="1">SUMIF('CAP23-24'!$B:$H,Insumo[[#This Row],[DESCRIPCION]],'CAP23-24'!$H:$H)</f>
        <v>0</v>
      </c>
      <c r="O121" s="69">
        <f ca="1">SUMIF('CAP25'!$B:$H,Insumo[[#This Row],[DESCRIPCION]],'CAP25'!$H:$H)</f>
        <v>0</v>
      </c>
      <c r="P121" s="69">
        <f ca="1">SUMIF('CAP26-28'!$B:$H,Insumo[[#This Row],[DESCRIPCION]],'CAP26-28'!$H:$H)</f>
        <v>0</v>
      </c>
      <c r="Q121" s="69">
        <f ca="1">SUMIF('CAP29'!$B:$H,Insumo[[#This Row],[DESCRIPCION]],'CAP29'!$H:$H)</f>
        <v>0</v>
      </c>
      <c r="R121" s="290"/>
      <c r="T121" s="136">
        <v>139200</v>
      </c>
    </row>
    <row r="122" spans="1:20">
      <c r="A122" s="301" t="s">
        <v>2728</v>
      </c>
      <c r="B122" s="303" t="s">
        <v>23</v>
      </c>
      <c r="C122" s="304">
        <f t="shared" si="1"/>
        <v>163800</v>
      </c>
      <c r="D122" s="281" cm="1">
        <f t="array" aca="1" ref="D122" ca="1">IF(Insumo[[#This Row],[VALOR]]=0,Insumo[TOTAL],E122/C122)</f>
        <v>0</v>
      </c>
      <c r="E122" s="69">
        <f ca="1">SUM(Insumo[[#This Row],[CAP1-3]:[CAP29]])</f>
        <v>0</v>
      </c>
      <c r="F122" s="69">
        <f ca="1">SUMIF('CAP1-3'!$B:$H,Insumo[[#This Row],[DESCRIPCION]],'CAP1-3'!$H:$H)</f>
        <v>0</v>
      </c>
      <c r="G122" s="69">
        <f ca="1">SUMIF('CAP4-5'!$B:$H,Insumo[[#This Row],[DESCRIPCION]],'CAP4-5'!$H:$H)</f>
        <v>0</v>
      </c>
      <c r="H122" s="69">
        <f ca="1">SUMIF('CAP6-7'!$B:$H,Insumo[[#This Row],[DESCRIPCION]],'CAP6-7'!$H:$H)</f>
        <v>0</v>
      </c>
      <c r="I122" s="69">
        <f ca="1">SUMIF('CAP8'!$B:$H,Insumo[[#This Row],[DESCRIPCION]],'CAP8'!$H:$H)</f>
        <v>0</v>
      </c>
      <c r="J122" s="69">
        <f ca="1">SUMIF('CAP9-13'!$B:$H,Insumo[[#This Row],[DESCRIPCION]],'CAP9-13'!$H:$H)</f>
        <v>0</v>
      </c>
      <c r="K122" s="69">
        <f ca="1">SUMIF('CAP14-15'!$B:$H,Insumo[[#This Row],[DESCRIPCION]],'CAP14-15'!$H:$H)</f>
        <v>0</v>
      </c>
      <c r="L122" s="69">
        <f ca="1">SUMIF('CAP16-18'!$B:$H,Insumo[[#This Row],[DESCRIPCION]],'CAP16-18'!$H:$H)</f>
        <v>0</v>
      </c>
      <c r="M122" s="69">
        <f ca="1">SUMIF('CAP19-22'!$B:$H,Insumo[[#This Row],[DESCRIPCION]],'CAP19-22'!$H:$H)</f>
        <v>0</v>
      </c>
      <c r="N122" s="69">
        <f ca="1">SUMIF('CAP23-24'!$B:$H,Insumo[[#This Row],[DESCRIPCION]],'CAP23-24'!$H:$H)</f>
        <v>0</v>
      </c>
      <c r="O122" s="69">
        <f ca="1">SUMIF('CAP25'!$B:$H,Insumo[[#This Row],[DESCRIPCION]],'CAP25'!$H:$H)</f>
        <v>0</v>
      </c>
      <c r="P122" s="69">
        <f ca="1">SUMIF('CAP26-28'!$B:$H,Insumo[[#This Row],[DESCRIPCION]],'CAP26-28'!$H:$H)</f>
        <v>0</v>
      </c>
      <c r="Q122" s="69">
        <f ca="1">SUMIF('CAP29'!$B:$H,Insumo[[#This Row],[DESCRIPCION]],'CAP29'!$H:$H)</f>
        <v>0</v>
      </c>
      <c r="R122" s="290"/>
      <c r="T122" s="136">
        <v>156000</v>
      </c>
    </row>
    <row r="123" spans="1:20">
      <c r="A123" s="301" t="s">
        <v>2729</v>
      </c>
      <c r="B123" s="303" t="s">
        <v>23</v>
      </c>
      <c r="C123" s="304">
        <f t="shared" si="1"/>
        <v>182700</v>
      </c>
      <c r="D123" s="281" cm="1">
        <f t="array" aca="1" ref="D123" ca="1">IF(Insumo[[#This Row],[VALOR]]=0,Insumo[TOTAL],E123/C123)</f>
        <v>0</v>
      </c>
      <c r="E123" s="69">
        <f ca="1">SUM(Insumo[[#This Row],[CAP1-3]:[CAP29]])</f>
        <v>0</v>
      </c>
      <c r="F123" s="69">
        <f ca="1">SUMIF('CAP1-3'!$B:$H,Insumo[[#This Row],[DESCRIPCION]],'CAP1-3'!$H:$H)</f>
        <v>0</v>
      </c>
      <c r="G123" s="69">
        <f ca="1">SUMIF('CAP4-5'!$B:$H,Insumo[[#This Row],[DESCRIPCION]],'CAP4-5'!$H:$H)</f>
        <v>0</v>
      </c>
      <c r="H123" s="69">
        <f ca="1">SUMIF('CAP6-7'!$B:$H,Insumo[[#This Row],[DESCRIPCION]],'CAP6-7'!$H:$H)</f>
        <v>0</v>
      </c>
      <c r="I123" s="69">
        <f ca="1">SUMIF('CAP8'!$B:$H,Insumo[[#This Row],[DESCRIPCION]],'CAP8'!$H:$H)</f>
        <v>0</v>
      </c>
      <c r="J123" s="69">
        <f ca="1">SUMIF('CAP9-13'!$B:$H,Insumo[[#This Row],[DESCRIPCION]],'CAP9-13'!$H:$H)</f>
        <v>0</v>
      </c>
      <c r="K123" s="69">
        <f ca="1">SUMIF('CAP14-15'!$B:$H,Insumo[[#This Row],[DESCRIPCION]],'CAP14-15'!$H:$H)</f>
        <v>0</v>
      </c>
      <c r="L123" s="69">
        <f ca="1">SUMIF('CAP16-18'!$B:$H,Insumo[[#This Row],[DESCRIPCION]],'CAP16-18'!$H:$H)</f>
        <v>0</v>
      </c>
      <c r="M123" s="69">
        <f ca="1">SUMIF('CAP19-22'!$B:$H,Insumo[[#This Row],[DESCRIPCION]],'CAP19-22'!$H:$H)</f>
        <v>0</v>
      </c>
      <c r="N123" s="69">
        <f ca="1">SUMIF('CAP23-24'!$B:$H,Insumo[[#This Row],[DESCRIPCION]],'CAP23-24'!$H:$H)</f>
        <v>0</v>
      </c>
      <c r="O123" s="69">
        <f ca="1">SUMIF('CAP25'!$B:$H,Insumo[[#This Row],[DESCRIPCION]],'CAP25'!$H:$H)</f>
        <v>0</v>
      </c>
      <c r="P123" s="69">
        <f ca="1">SUMIF('CAP26-28'!$B:$H,Insumo[[#This Row],[DESCRIPCION]],'CAP26-28'!$H:$H)</f>
        <v>0</v>
      </c>
      <c r="Q123" s="69">
        <f ca="1">SUMIF('CAP29'!$B:$H,Insumo[[#This Row],[DESCRIPCION]],'CAP29'!$H:$H)</f>
        <v>0</v>
      </c>
      <c r="R123" s="290"/>
      <c r="T123" s="136">
        <v>174000</v>
      </c>
    </row>
    <row r="124" spans="1:20">
      <c r="A124" s="301" t="s">
        <v>2730</v>
      </c>
      <c r="B124" s="303" t="s">
        <v>23</v>
      </c>
      <c r="C124" s="304">
        <f t="shared" si="1"/>
        <v>201600</v>
      </c>
      <c r="D124" s="281" cm="1">
        <f t="array" aca="1" ref="D124" ca="1">IF(Insumo[[#This Row],[VALOR]]=0,Insumo[TOTAL],E124/C124)</f>
        <v>0</v>
      </c>
      <c r="E124" s="69">
        <f ca="1">SUM(Insumo[[#This Row],[CAP1-3]:[CAP29]])</f>
        <v>0</v>
      </c>
      <c r="F124" s="69">
        <f ca="1">SUMIF('CAP1-3'!$B:$H,Insumo[[#This Row],[DESCRIPCION]],'CAP1-3'!$H:$H)</f>
        <v>0</v>
      </c>
      <c r="G124" s="69">
        <f ca="1">SUMIF('CAP4-5'!$B:$H,Insumo[[#This Row],[DESCRIPCION]],'CAP4-5'!$H:$H)</f>
        <v>0</v>
      </c>
      <c r="H124" s="69">
        <f ca="1">SUMIF('CAP6-7'!$B:$H,Insumo[[#This Row],[DESCRIPCION]],'CAP6-7'!$H:$H)</f>
        <v>0</v>
      </c>
      <c r="I124" s="69">
        <f ca="1">SUMIF('CAP8'!$B:$H,Insumo[[#This Row],[DESCRIPCION]],'CAP8'!$H:$H)</f>
        <v>0</v>
      </c>
      <c r="J124" s="69">
        <f ca="1">SUMIF('CAP9-13'!$B:$H,Insumo[[#This Row],[DESCRIPCION]],'CAP9-13'!$H:$H)</f>
        <v>0</v>
      </c>
      <c r="K124" s="69">
        <f ca="1">SUMIF('CAP14-15'!$B:$H,Insumo[[#This Row],[DESCRIPCION]],'CAP14-15'!$H:$H)</f>
        <v>0</v>
      </c>
      <c r="L124" s="69">
        <f ca="1">SUMIF('CAP16-18'!$B:$H,Insumo[[#This Row],[DESCRIPCION]],'CAP16-18'!$H:$H)</f>
        <v>0</v>
      </c>
      <c r="M124" s="69">
        <f ca="1">SUMIF('CAP19-22'!$B:$H,Insumo[[#This Row],[DESCRIPCION]],'CAP19-22'!$H:$H)</f>
        <v>0</v>
      </c>
      <c r="N124" s="69">
        <f ca="1">SUMIF('CAP23-24'!$B:$H,Insumo[[#This Row],[DESCRIPCION]],'CAP23-24'!$H:$H)</f>
        <v>0</v>
      </c>
      <c r="O124" s="69">
        <f ca="1">SUMIF('CAP25'!$B:$H,Insumo[[#This Row],[DESCRIPCION]],'CAP25'!$H:$H)</f>
        <v>0</v>
      </c>
      <c r="P124" s="69">
        <f ca="1">SUMIF('CAP26-28'!$B:$H,Insumo[[#This Row],[DESCRIPCION]],'CAP26-28'!$H:$H)</f>
        <v>0</v>
      </c>
      <c r="Q124" s="69">
        <f ca="1">SUMIF('CAP29'!$B:$H,Insumo[[#This Row],[DESCRIPCION]],'CAP29'!$H:$H)</f>
        <v>0</v>
      </c>
      <c r="R124" s="290"/>
      <c r="T124" s="136">
        <v>192000</v>
      </c>
    </row>
    <row r="125" spans="1:20">
      <c r="A125" s="301" t="s">
        <v>2731</v>
      </c>
      <c r="B125" s="303" t="s">
        <v>23</v>
      </c>
      <c r="C125" s="304">
        <f t="shared" si="1"/>
        <v>126000</v>
      </c>
      <c r="D125" s="281" cm="1">
        <f t="array" aca="1" ref="D125" ca="1">IF(Insumo[[#This Row],[VALOR]]=0,Insumo[TOTAL],E125/C125)</f>
        <v>0</v>
      </c>
      <c r="E125" s="69">
        <f ca="1">SUM(Insumo[[#This Row],[CAP1-3]:[CAP29]])</f>
        <v>0</v>
      </c>
      <c r="F125" s="69">
        <f ca="1">SUMIF('CAP1-3'!$B:$H,Insumo[[#This Row],[DESCRIPCION]],'CAP1-3'!$H:$H)</f>
        <v>0</v>
      </c>
      <c r="G125" s="69">
        <f ca="1">SUMIF('CAP4-5'!$B:$H,Insumo[[#This Row],[DESCRIPCION]],'CAP4-5'!$H:$H)</f>
        <v>0</v>
      </c>
      <c r="H125" s="69">
        <f ca="1">SUMIF('CAP6-7'!$B:$H,Insumo[[#This Row],[DESCRIPCION]],'CAP6-7'!$H:$H)</f>
        <v>0</v>
      </c>
      <c r="I125" s="69">
        <f ca="1">SUMIF('CAP8'!$B:$H,Insumo[[#This Row],[DESCRIPCION]],'CAP8'!$H:$H)</f>
        <v>0</v>
      </c>
      <c r="J125" s="69">
        <f ca="1">SUMIF('CAP9-13'!$B:$H,Insumo[[#This Row],[DESCRIPCION]],'CAP9-13'!$H:$H)</f>
        <v>0</v>
      </c>
      <c r="K125" s="69">
        <f ca="1">SUMIF('CAP14-15'!$B:$H,Insumo[[#This Row],[DESCRIPCION]],'CAP14-15'!$H:$H)</f>
        <v>0</v>
      </c>
      <c r="L125" s="69">
        <f ca="1">SUMIF('CAP16-18'!$B:$H,Insumo[[#This Row],[DESCRIPCION]],'CAP16-18'!$H:$H)</f>
        <v>0</v>
      </c>
      <c r="M125" s="69">
        <f ca="1">SUMIF('CAP19-22'!$B:$H,Insumo[[#This Row],[DESCRIPCION]],'CAP19-22'!$H:$H)</f>
        <v>0</v>
      </c>
      <c r="N125" s="69">
        <f ca="1">SUMIF('CAP23-24'!$B:$H,Insumo[[#This Row],[DESCRIPCION]],'CAP23-24'!$H:$H)</f>
        <v>0</v>
      </c>
      <c r="O125" s="69">
        <f ca="1">SUMIF('CAP25'!$B:$H,Insumo[[#This Row],[DESCRIPCION]],'CAP25'!$H:$H)</f>
        <v>0</v>
      </c>
      <c r="P125" s="69">
        <f ca="1">SUMIF('CAP26-28'!$B:$H,Insumo[[#This Row],[DESCRIPCION]],'CAP26-28'!$H:$H)</f>
        <v>0</v>
      </c>
      <c r="Q125" s="69">
        <f ca="1">SUMIF('CAP29'!$B:$H,Insumo[[#This Row],[DESCRIPCION]],'CAP29'!$H:$H)</f>
        <v>0</v>
      </c>
      <c r="R125" s="290"/>
      <c r="T125" s="136">
        <v>120000</v>
      </c>
    </row>
    <row r="126" spans="1:20">
      <c r="A126" s="301" t="s">
        <v>2732</v>
      </c>
      <c r="B126" s="303" t="s">
        <v>23</v>
      </c>
      <c r="C126" s="304">
        <f t="shared" si="1"/>
        <v>140700</v>
      </c>
      <c r="D126" s="281" cm="1">
        <f t="array" aca="1" ref="D126" ca="1">IF(Insumo[[#This Row],[VALOR]]=0,Insumo[TOTAL],E126/C126)</f>
        <v>0</v>
      </c>
      <c r="E126" s="69">
        <f ca="1">SUM(Insumo[[#This Row],[CAP1-3]:[CAP29]])</f>
        <v>0</v>
      </c>
      <c r="F126" s="69">
        <f ca="1">SUMIF('CAP1-3'!$B:$H,Insumo[[#This Row],[DESCRIPCION]],'CAP1-3'!$H:$H)</f>
        <v>0</v>
      </c>
      <c r="G126" s="69">
        <f ca="1">SUMIF('CAP4-5'!$B:$H,Insumo[[#This Row],[DESCRIPCION]],'CAP4-5'!$H:$H)</f>
        <v>0</v>
      </c>
      <c r="H126" s="69">
        <f ca="1">SUMIF('CAP6-7'!$B:$H,Insumo[[#This Row],[DESCRIPCION]],'CAP6-7'!$H:$H)</f>
        <v>0</v>
      </c>
      <c r="I126" s="69">
        <f ca="1">SUMIF('CAP8'!$B:$H,Insumo[[#This Row],[DESCRIPCION]],'CAP8'!$H:$H)</f>
        <v>0</v>
      </c>
      <c r="J126" s="69">
        <f ca="1">SUMIF('CAP9-13'!$B:$H,Insumo[[#This Row],[DESCRIPCION]],'CAP9-13'!$H:$H)</f>
        <v>0</v>
      </c>
      <c r="K126" s="69">
        <f ca="1">SUMIF('CAP14-15'!$B:$H,Insumo[[#This Row],[DESCRIPCION]],'CAP14-15'!$H:$H)</f>
        <v>0</v>
      </c>
      <c r="L126" s="69">
        <f ca="1">SUMIF('CAP16-18'!$B:$H,Insumo[[#This Row],[DESCRIPCION]],'CAP16-18'!$H:$H)</f>
        <v>0</v>
      </c>
      <c r="M126" s="69">
        <f ca="1">SUMIF('CAP19-22'!$B:$H,Insumo[[#This Row],[DESCRIPCION]],'CAP19-22'!$H:$H)</f>
        <v>0</v>
      </c>
      <c r="N126" s="69">
        <f ca="1">SUMIF('CAP23-24'!$B:$H,Insumo[[#This Row],[DESCRIPCION]],'CAP23-24'!$H:$H)</f>
        <v>0</v>
      </c>
      <c r="O126" s="69">
        <f ca="1">SUMIF('CAP25'!$B:$H,Insumo[[#This Row],[DESCRIPCION]],'CAP25'!$H:$H)</f>
        <v>0</v>
      </c>
      <c r="P126" s="69">
        <f ca="1">SUMIF('CAP26-28'!$B:$H,Insumo[[#This Row],[DESCRIPCION]],'CAP26-28'!$H:$H)</f>
        <v>0</v>
      </c>
      <c r="Q126" s="69">
        <f ca="1">SUMIF('CAP29'!$B:$H,Insumo[[#This Row],[DESCRIPCION]],'CAP29'!$H:$H)</f>
        <v>0</v>
      </c>
      <c r="R126" s="290"/>
      <c r="T126" s="136">
        <v>134000</v>
      </c>
    </row>
    <row r="127" spans="1:20">
      <c r="A127" s="301" t="s">
        <v>2733</v>
      </c>
      <c r="B127" s="303" t="s">
        <v>23</v>
      </c>
      <c r="C127" s="304">
        <f t="shared" si="1"/>
        <v>134400</v>
      </c>
      <c r="D127" s="281" cm="1">
        <f t="array" aca="1" ref="D127" ca="1">IF(Insumo[[#This Row],[VALOR]]=0,Insumo[TOTAL],E127/C127)</f>
        <v>0</v>
      </c>
      <c r="E127" s="69">
        <f ca="1">SUM(Insumo[[#This Row],[CAP1-3]:[CAP29]])</f>
        <v>0</v>
      </c>
      <c r="F127" s="69">
        <f ca="1">SUMIF('CAP1-3'!$B:$H,Insumo[[#This Row],[DESCRIPCION]],'CAP1-3'!$H:$H)</f>
        <v>0</v>
      </c>
      <c r="G127" s="69">
        <f ca="1">SUMIF('CAP4-5'!$B:$H,Insumo[[#This Row],[DESCRIPCION]],'CAP4-5'!$H:$H)</f>
        <v>0</v>
      </c>
      <c r="H127" s="69">
        <f ca="1">SUMIF('CAP6-7'!$B:$H,Insumo[[#This Row],[DESCRIPCION]],'CAP6-7'!$H:$H)</f>
        <v>0</v>
      </c>
      <c r="I127" s="69">
        <f ca="1">SUMIF('CAP8'!$B:$H,Insumo[[#This Row],[DESCRIPCION]],'CAP8'!$H:$H)</f>
        <v>0</v>
      </c>
      <c r="J127" s="69">
        <f ca="1">SUMIF('CAP9-13'!$B:$H,Insumo[[#This Row],[DESCRIPCION]],'CAP9-13'!$H:$H)</f>
        <v>0</v>
      </c>
      <c r="K127" s="69">
        <f ca="1">SUMIF('CAP14-15'!$B:$H,Insumo[[#This Row],[DESCRIPCION]],'CAP14-15'!$H:$H)</f>
        <v>0</v>
      </c>
      <c r="L127" s="69">
        <f ca="1">SUMIF('CAP16-18'!$B:$H,Insumo[[#This Row],[DESCRIPCION]],'CAP16-18'!$H:$H)</f>
        <v>0</v>
      </c>
      <c r="M127" s="69">
        <f ca="1">SUMIF('CAP19-22'!$B:$H,Insumo[[#This Row],[DESCRIPCION]],'CAP19-22'!$H:$H)</f>
        <v>0</v>
      </c>
      <c r="N127" s="69">
        <f ca="1">SUMIF('CAP23-24'!$B:$H,Insumo[[#This Row],[DESCRIPCION]],'CAP23-24'!$H:$H)</f>
        <v>0</v>
      </c>
      <c r="O127" s="69">
        <f ca="1">SUMIF('CAP25'!$B:$H,Insumo[[#This Row],[DESCRIPCION]],'CAP25'!$H:$H)</f>
        <v>0</v>
      </c>
      <c r="P127" s="69">
        <f ca="1">SUMIF('CAP26-28'!$B:$H,Insumo[[#This Row],[DESCRIPCION]],'CAP26-28'!$H:$H)</f>
        <v>0</v>
      </c>
      <c r="Q127" s="69">
        <f ca="1">SUMIF('CAP29'!$B:$H,Insumo[[#This Row],[DESCRIPCION]],'CAP29'!$H:$H)</f>
        <v>0</v>
      </c>
      <c r="R127" s="290"/>
      <c r="T127" s="136">
        <v>128000</v>
      </c>
    </row>
    <row r="128" spans="1:20">
      <c r="A128" s="301" t="s">
        <v>2734</v>
      </c>
      <c r="B128" s="303" t="s">
        <v>23</v>
      </c>
      <c r="C128" s="304">
        <f t="shared" si="1"/>
        <v>150150</v>
      </c>
      <c r="D128" s="281" cm="1">
        <f t="array" aca="1" ref="D128" ca="1">IF(Insumo[[#This Row],[VALOR]]=0,Insumo[TOTAL],E128/C128)</f>
        <v>0</v>
      </c>
      <c r="E128" s="69">
        <f ca="1">SUM(Insumo[[#This Row],[CAP1-3]:[CAP29]])</f>
        <v>0</v>
      </c>
      <c r="F128" s="69">
        <f ca="1">SUMIF('CAP1-3'!$B:$H,Insumo[[#This Row],[DESCRIPCION]],'CAP1-3'!$H:$H)</f>
        <v>0</v>
      </c>
      <c r="G128" s="69">
        <f ca="1">SUMIF('CAP4-5'!$B:$H,Insumo[[#This Row],[DESCRIPCION]],'CAP4-5'!$H:$H)</f>
        <v>0</v>
      </c>
      <c r="H128" s="69">
        <f ca="1">SUMIF('CAP6-7'!$B:$H,Insumo[[#This Row],[DESCRIPCION]],'CAP6-7'!$H:$H)</f>
        <v>0</v>
      </c>
      <c r="I128" s="69">
        <f ca="1">SUMIF('CAP8'!$B:$H,Insumo[[#This Row],[DESCRIPCION]],'CAP8'!$H:$H)</f>
        <v>0</v>
      </c>
      <c r="J128" s="69">
        <f ca="1">SUMIF('CAP9-13'!$B:$H,Insumo[[#This Row],[DESCRIPCION]],'CAP9-13'!$H:$H)</f>
        <v>0</v>
      </c>
      <c r="K128" s="69">
        <f ca="1">SUMIF('CAP14-15'!$B:$H,Insumo[[#This Row],[DESCRIPCION]],'CAP14-15'!$H:$H)</f>
        <v>0</v>
      </c>
      <c r="L128" s="69">
        <f ca="1">SUMIF('CAP16-18'!$B:$H,Insumo[[#This Row],[DESCRIPCION]],'CAP16-18'!$H:$H)</f>
        <v>0</v>
      </c>
      <c r="M128" s="69">
        <f ca="1">SUMIF('CAP19-22'!$B:$H,Insumo[[#This Row],[DESCRIPCION]],'CAP19-22'!$H:$H)</f>
        <v>0</v>
      </c>
      <c r="N128" s="69">
        <f ca="1">SUMIF('CAP23-24'!$B:$H,Insumo[[#This Row],[DESCRIPCION]],'CAP23-24'!$H:$H)</f>
        <v>0</v>
      </c>
      <c r="O128" s="69">
        <f ca="1">SUMIF('CAP25'!$B:$H,Insumo[[#This Row],[DESCRIPCION]],'CAP25'!$H:$H)</f>
        <v>0</v>
      </c>
      <c r="P128" s="69">
        <f ca="1">SUMIF('CAP26-28'!$B:$H,Insumo[[#This Row],[DESCRIPCION]],'CAP26-28'!$H:$H)</f>
        <v>0</v>
      </c>
      <c r="Q128" s="69">
        <f ca="1">SUMIF('CAP29'!$B:$H,Insumo[[#This Row],[DESCRIPCION]],'CAP29'!$H:$H)</f>
        <v>0</v>
      </c>
      <c r="R128" s="290"/>
      <c r="T128" s="136">
        <v>143000</v>
      </c>
    </row>
    <row r="129" spans="1:20">
      <c r="A129" s="301" t="s">
        <v>2735</v>
      </c>
      <c r="B129" s="303" t="s">
        <v>23</v>
      </c>
      <c r="C129" s="304">
        <f t="shared" si="1"/>
        <v>163800</v>
      </c>
      <c r="D129" s="281" cm="1">
        <f t="array" aca="1" ref="D129" ca="1">IF(Insumo[[#This Row],[VALOR]]=0,Insumo[TOTAL],E129/C129)</f>
        <v>0</v>
      </c>
      <c r="E129" s="69">
        <f ca="1">SUM(Insumo[[#This Row],[CAP1-3]:[CAP29]])</f>
        <v>0</v>
      </c>
      <c r="F129" s="69">
        <f ca="1">SUMIF('CAP1-3'!$B:$H,Insumo[[#This Row],[DESCRIPCION]],'CAP1-3'!$H:$H)</f>
        <v>0</v>
      </c>
      <c r="G129" s="69">
        <f ca="1">SUMIF('CAP4-5'!$B:$H,Insumo[[#This Row],[DESCRIPCION]],'CAP4-5'!$H:$H)</f>
        <v>0</v>
      </c>
      <c r="H129" s="69">
        <f ca="1">SUMIF('CAP6-7'!$B:$H,Insumo[[#This Row],[DESCRIPCION]],'CAP6-7'!$H:$H)</f>
        <v>0</v>
      </c>
      <c r="I129" s="69">
        <f ca="1">SUMIF('CAP8'!$B:$H,Insumo[[#This Row],[DESCRIPCION]],'CAP8'!$H:$H)</f>
        <v>0</v>
      </c>
      <c r="J129" s="69">
        <f ca="1">SUMIF('CAP9-13'!$B:$H,Insumo[[#This Row],[DESCRIPCION]],'CAP9-13'!$H:$H)</f>
        <v>0</v>
      </c>
      <c r="K129" s="69">
        <f ca="1">SUMIF('CAP14-15'!$B:$H,Insumo[[#This Row],[DESCRIPCION]],'CAP14-15'!$H:$H)</f>
        <v>0</v>
      </c>
      <c r="L129" s="69">
        <f ca="1">SUMIF('CAP16-18'!$B:$H,Insumo[[#This Row],[DESCRIPCION]],'CAP16-18'!$H:$H)</f>
        <v>0</v>
      </c>
      <c r="M129" s="69">
        <f ca="1">SUMIF('CAP19-22'!$B:$H,Insumo[[#This Row],[DESCRIPCION]],'CAP19-22'!$H:$H)</f>
        <v>0</v>
      </c>
      <c r="N129" s="69">
        <f ca="1">SUMIF('CAP23-24'!$B:$H,Insumo[[#This Row],[DESCRIPCION]],'CAP23-24'!$H:$H)</f>
        <v>0</v>
      </c>
      <c r="O129" s="69">
        <f ca="1">SUMIF('CAP25'!$B:$H,Insumo[[#This Row],[DESCRIPCION]],'CAP25'!$H:$H)</f>
        <v>0</v>
      </c>
      <c r="P129" s="69">
        <f ca="1">SUMIF('CAP26-28'!$B:$H,Insumo[[#This Row],[DESCRIPCION]],'CAP26-28'!$H:$H)</f>
        <v>0</v>
      </c>
      <c r="Q129" s="69">
        <f ca="1">SUMIF('CAP29'!$B:$H,Insumo[[#This Row],[DESCRIPCION]],'CAP29'!$H:$H)</f>
        <v>0</v>
      </c>
      <c r="R129" s="290"/>
      <c r="T129" s="136">
        <v>156000</v>
      </c>
    </row>
    <row r="130" spans="1:20">
      <c r="A130" s="301" t="s">
        <v>2736</v>
      </c>
      <c r="B130" s="303" t="s">
        <v>23</v>
      </c>
      <c r="C130" s="304">
        <f t="shared" si="1"/>
        <v>192150</v>
      </c>
      <c r="D130" s="281" cm="1">
        <f t="array" aca="1" ref="D130" ca="1">IF(Insumo[[#This Row],[VALOR]]=0,Insumo[TOTAL],E130/C130)</f>
        <v>0</v>
      </c>
      <c r="E130" s="69">
        <f ca="1">SUM(Insumo[[#This Row],[CAP1-3]:[CAP29]])</f>
        <v>0</v>
      </c>
      <c r="F130" s="69">
        <f ca="1">SUMIF('CAP1-3'!$B:$H,Insumo[[#This Row],[DESCRIPCION]],'CAP1-3'!$H:$H)</f>
        <v>0</v>
      </c>
      <c r="G130" s="69">
        <f ca="1">SUMIF('CAP4-5'!$B:$H,Insumo[[#This Row],[DESCRIPCION]],'CAP4-5'!$H:$H)</f>
        <v>0</v>
      </c>
      <c r="H130" s="69">
        <f ca="1">SUMIF('CAP6-7'!$B:$H,Insumo[[#This Row],[DESCRIPCION]],'CAP6-7'!$H:$H)</f>
        <v>0</v>
      </c>
      <c r="I130" s="69">
        <f ca="1">SUMIF('CAP8'!$B:$H,Insumo[[#This Row],[DESCRIPCION]],'CAP8'!$H:$H)</f>
        <v>0</v>
      </c>
      <c r="J130" s="69">
        <f ca="1">SUMIF('CAP9-13'!$B:$H,Insumo[[#This Row],[DESCRIPCION]],'CAP9-13'!$H:$H)</f>
        <v>0</v>
      </c>
      <c r="K130" s="69">
        <f ca="1">SUMIF('CAP14-15'!$B:$H,Insumo[[#This Row],[DESCRIPCION]],'CAP14-15'!$H:$H)</f>
        <v>0</v>
      </c>
      <c r="L130" s="69">
        <f ca="1">SUMIF('CAP16-18'!$B:$H,Insumo[[#This Row],[DESCRIPCION]],'CAP16-18'!$H:$H)</f>
        <v>0</v>
      </c>
      <c r="M130" s="69">
        <f ca="1">SUMIF('CAP19-22'!$B:$H,Insumo[[#This Row],[DESCRIPCION]],'CAP19-22'!$H:$H)</f>
        <v>0</v>
      </c>
      <c r="N130" s="69">
        <f ca="1">SUMIF('CAP23-24'!$B:$H,Insumo[[#This Row],[DESCRIPCION]],'CAP23-24'!$H:$H)</f>
        <v>0</v>
      </c>
      <c r="O130" s="69">
        <f ca="1">SUMIF('CAP25'!$B:$H,Insumo[[#This Row],[DESCRIPCION]],'CAP25'!$H:$H)</f>
        <v>0</v>
      </c>
      <c r="P130" s="69">
        <f ca="1">SUMIF('CAP26-28'!$B:$H,Insumo[[#This Row],[DESCRIPCION]],'CAP26-28'!$H:$H)</f>
        <v>0</v>
      </c>
      <c r="Q130" s="69">
        <f ca="1">SUMIF('CAP29'!$B:$H,Insumo[[#This Row],[DESCRIPCION]],'CAP29'!$H:$H)</f>
        <v>0</v>
      </c>
      <c r="R130" s="290"/>
      <c r="T130" s="136">
        <v>183000</v>
      </c>
    </row>
    <row r="131" spans="1:20">
      <c r="A131" s="301" t="s">
        <v>2737</v>
      </c>
      <c r="B131" s="303" t="s">
        <v>23</v>
      </c>
      <c r="C131" s="304">
        <f t="shared" si="1"/>
        <v>207900</v>
      </c>
      <c r="D131" s="281" cm="1">
        <f t="array" aca="1" ref="D131" ca="1">IF(Insumo[[#This Row],[VALOR]]=0,Insumo[TOTAL],E131/C131)</f>
        <v>0</v>
      </c>
      <c r="E131" s="69">
        <f ca="1">SUM(Insumo[[#This Row],[CAP1-3]:[CAP29]])</f>
        <v>0</v>
      </c>
      <c r="F131" s="69">
        <f ca="1">SUMIF('CAP1-3'!$B:$H,Insumo[[#This Row],[DESCRIPCION]],'CAP1-3'!$H:$H)</f>
        <v>0</v>
      </c>
      <c r="G131" s="69">
        <f ca="1">SUMIF('CAP4-5'!$B:$H,Insumo[[#This Row],[DESCRIPCION]],'CAP4-5'!$H:$H)</f>
        <v>0</v>
      </c>
      <c r="H131" s="69">
        <f ca="1">SUMIF('CAP6-7'!$B:$H,Insumo[[#This Row],[DESCRIPCION]],'CAP6-7'!$H:$H)</f>
        <v>0</v>
      </c>
      <c r="I131" s="69">
        <f ca="1">SUMIF('CAP8'!$B:$H,Insumo[[#This Row],[DESCRIPCION]],'CAP8'!$H:$H)</f>
        <v>0</v>
      </c>
      <c r="J131" s="69">
        <f ca="1">SUMIF('CAP9-13'!$B:$H,Insumo[[#This Row],[DESCRIPCION]],'CAP9-13'!$H:$H)</f>
        <v>0</v>
      </c>
      <c r="K131" s="69">
        <f ca="1">SUMIF('CAP14-15'!$B:$H,Insumo[[#This Row],[DESCRIPCION]],'CAP14-15'!$H:$H)</f>
        <v>0</v>
      </c>
      <c r="L131" s="69">
        <f ca="1">SUMIF('CAP16-18'!$B:$H,Insumo[[#This Row],[DESCRIPCION]],'CAP16-18'!$H:$H)</f>
        <v>0</v>
      </c>
      <c r="M131" s="69">
        <f ca="1">SUMIF('CAP19-22'!$B:$H,Insumo[[#This Row],[DESCRIPCION]],'CAP19-22'!$H:$H)</f>
        <v>0</v>
      </c>
      <c r="N131" s="69">
        <f ca="1">SUMIF('CAP23-24'!$B:$H,Insumo[[#This Row],[DESCRIPCION]],'CAP23-24'!$H:$H)</f>
        <v>0</v>
      </c>
      <c r="O131" s="69">
        <f ca="1">SUMIF('CAP25'!$B:$H,Insumo[[#This Row],[DESCRIPCION]],'CAP25'!$H:$H)</f>
        <v>0</v>
      </c>
      <c r="P131" s="69">
        <f ca="1">SUMIF('CAP26-28'!$B:$H,Insumo[[#This Row],[DESCRIPCION]],'CAP26-28'!$H:$H)</f>
        <v>0</v>
      </c>
      <c r="Q131" s="69">
        <f ca="1">SUMIF('CAP29'!$B:$H,Insumo[[#This Row],[DESCRIPCION]],'CAP29'!$H:$H)</f>
        <v>0</v>
      </c>
      <c r="R131" s="290"/>
      <c r="T131" s="136">
        <v>198000</v>
      </c>
    </row>
    <row r="132" spans="1:20">
      <c r="A132" s="301" t="s">
        <v>2738</v>
      </c>
      <c r="B132" s="303" t="s">
        <v>30</v>
      </c>
      <c r="C132" s="304">
        <f t="shared" si="1"/>
        <v>170493.75</v>
      </c>
      <c r="D132" s="281" cm="1">
        <f t="array" aca="1" ref="D132" ca="1">IF(Insumo[[#This Row],[VALOR]]=0,Insumo[TOTAL],E132/C132)</f>
        <v>0</v>
      </c>
      <c r="E132" s="69">
        <f ca="1">SUM(Insumo[[#This Row],[CAP1-3]:[CAP29]])</f>
        <v>0</v>
      </c>
      <c r="F132" s="69">
        <f ca="1">SUMIF('CAP1-3'!$B:$H,Insumo[[#This Row],[DESCRIPCION]],'CAP1-3'!$H:$H)</f>
        <v>0</v>
      </c>
      <c r="G132" s="69">
        <f ca="1">SUMIF('CAP4-5'!$B:$H,Insumo[[#This Row],[DESCRIPCION]],'CAP4-5'!$H:$H)</f>
        <v>0</v>
      </c>
      <c r="H132" s="69">
        <f ca="1">SUMIF('CAP6-7'!$B:$H,Insumo[[#This Row],[DESCRIPCION]],'CAP6-7'!$H:$H)</f>
        <v>0</v>
      </c>
      <c r="I132" s="69">
        <f ca="1">SUMIF('CAP8'!$B:$H,Insumo[[#This Row],[DESCRIPCION]],'CAP8'!$H:$H)</f>
        <v>0</v>
      </c>
      <c r="J132" s="69">
        <f ca="1">SUMIF('CAP9-13'!$B:$H,Insumo[[#This Row],[DESCRIPCION]],'CAP9-13'!$H:$H)</f>
        <v>0</v>
      </c>
      <c r="K132" s="69">
        <f ca="1">SUMIF('CAP14-15'!$B:$H,Insumo[[#This Row],[DESCRIPCION]],'CAP14-15'!$H:$H)</f>
        <v>0</v>
      </c>
      <c r="L132" s="69">
        <f ca="1">SUMIF('CAP16-18'!$B:$H,Insumo[[#This Row],[DESCRIPCION]],'CAP16-18'!$H:$H)</f>
        <v>0</v>
      </c>
      <c r="M132" s="69">
        <f ca="1">SUMIF('CAP19-22'!$B:$H,Insumo[[#This Row],[DESCRIPCION]],'CAP19-22'!$H:$H)</f>
        <v>0</v>
      </c>
      <c r="N132" s="69">
        <f ca="1">SUMIF('CAP23-24'!$B:$H,Insumo[[#This Row],[DESCRIPCION]],'CAP23-24'!$H:$H)</f>
        <v>0</v>
      </c>
      <c r="O132" s="69">
        <f ca="1">SUMIF('CAP25'!$B:$H,Insumo[[#This Row],[DESCRIPCION]],'CAP25'!$H:$H)</f>
        <v>0</v>
      </c>
      <c r="P132" s="69">
        <f ca="1">SUMIF('CAP26-28'!$B:$H,Insumo[[#This Row],[DESCRIPCION]],'CAP26-28'!$H:$H)</f>
        <v>0</v>
      </c>
      <c r="Q132" s="69">
        <f ca="1">SUMIF('CAP29'!$B:$H,Insumo[[#This Row],[DESCRIPCION]],'CAP29'!$H:$H)</f>
        <v>0</v>
      </c>
      <c r="T132" s="136">
        <v>162375</v>
      </c>
    </row>
    <row r="133" spans="1:20">
      <c r="A133" s="301" t="s">
        <v>2739</v>
      </c>
      <c r="B133" s="303" t="s">
        <v>30</v>
      </c>
      <c r="C133" s="304">
        <f t="shared" si="1"/>
        <v>125028.75</v>
      </c>
      <c r="D133" s="281" cm="1">
        <f t="array" aca="1" ref="D133" ca="1">IF(Insumo[[#This Row],[VALOR]]=0,Insumo[TOTAL],E133/C133)</f>
        <v>0</v>
      </c>
      <c r="E133" s="69">
        <f ca="1">SUM(Insumo[[#This Row],[CAP1-3]:[CAP29]])</f>
        <v>0</v>
      </c>
      <c r="F133" s="69">
        <f ca="1">SUMIF('CAP1-3'!$B:$H,Insumo[[#This Row],[DESCRIPCION]],'CAP1-3'!$H:$H)</f>
        <v>0</v>
      </c>
      <c r="G133" s="69">
        <f ca="1">SUMIF('CAP4-5'!$B:$H,Insumo[[#This Row],[DESCRIPCION]],'CAP4-5'!$H:$H)</f>
        <v>0</v>
      </c>
      <c r="H133" s="69">
        <f ca="1">SUMIF('CAP6-7'!$B:$H,Insumo[[#This Row],[DESCRIPCION]],'CAP6-7'!$H:$H)</f>
        <v>0</v>
      </c>
      <c r="I133" s="69">
        <f ca="1">SUMIF('CAP8'!$B:$H,Insumo[[#This Row],[DESCRIPCION]],'CAP8'!$H:$H)</f>
        <v>0</v>
      </c>
      <c r="J133" s="69">
        <f ca="1">SUMIF('CAP9-13'!$B:$H,Insumo[[#This Row],[DESCRIPCION]],'CAP9-13'!$H:$H)</f>
        <v>0</v>
      </c>
      <c r="K133" s="69">
        <f ca="1">SUMIF('CAP14-15'!$B:$H,Insumo[[#This Row],[DESCRIPCION]],'CAP14-15'!$H:$H)</f>
        <v>0</v>
      </c>
      <c r="L133" s="69">
        <f ca="1">SUMIF('CAP16-18'!$B:$H,Insumo[[#This Row],[DESCRIPCION]],'CAP16-18'!$H:$H)</f>
        <v>0</v>
      </c>
      <c r="M133" s="69">
        <f ca="1">SUMIF('CAP19-22'!$B:$H,Insumo[[#This Row],[DESCRIPCION]],'CAP19-22'!$H:$H)</f>
        <v>0</v>
      </c>
      <c r="N133" s="69">
        <f ca="1">SUMIF('CAP23-24'!$B:$H,Insumo[[#This Row],[DESCRIPCION]],'CAP23-24'!$H:$H)</f>
        <v>0</v>
      </c>
      <c r="O133" s="69">
        <f ca="1">SUMIF('CAP25'!$B:$H,Insumo[[#This Row],[DESCRIPCION]],'CAP25'!$H:$H)</f>
        <v>0</v>
      </c>
      <c r="P133" s="69">
        <f ca="1">SUMIF('CAP26-28'!$B:$H,Insumo[[#This Row],[DESCRIPCION]],'CAP26-28'!$H:$H)</f>
        <v>0</v>
      </c>
      <c r="Q133" s="69">
        <f ca="1">SUMIF('CAP29'!$B:$H,Insumo[[#This Row],[DESCRIPCION]],'CAP29'!$H:$H)</f>
        <v>0</v>
      </c>
      <c r="T133" s="136">
        <v>119075</v>
      </c>
    </row>
    <row r="134" spans="1:20">
      <c r="A134" s="301" t="s">
        <v>2740</v>
      </c>
      <c r="B134" s="303" t="s">
        <v>30</v>
      </c>
      <c r="C134" s="304">
        <f t="shared" ref="C134:C197" si="2">T134*$T$3</f>
        <v>170493.75</v>
      </c>
      <c r="D134" s="281" cm="1">
        <f t="array" aca="1" ref="D134" ca="1">IF(Insumo[[#This Row],[VALOR]]=0,Insumo[TOTAL],E134/C134)</f>
        <v>0</v>
      </c>
      <c r="E134" s="69">
        <f ca="1">SUM(Insumo[[#This Row],[CAP1-3]:[CAP29]])</f>
        <v>0</v>
      </c>
      <c r="F134" s="69">
        <f ca="1">SUMIF('CAP1-3'!$B:$H,Insumo[[#This Row],[DESCRIPCION]],'CAP1-3'!$H:$H)</f>
        <v>0</v>
      </c>
      <c r="G134" s="69">
        <f ca="1">SUMIF('CAP4-5'!$B:$H,Insumo[[#This Row],[DESCRIPCION]],'CAP4-5'!$H:$H)</f>
        <v>0</v>
      </c>
      <c r="H134" s="69">
        <f ca="1">SUMIF('CAP6-7'!$B:$H,Insumo[[#This Row],[DESCRIPCION]],'CAP6-7'!$H:$H)</f>
        <v>0</v>
      </c>
      <c r="I134" s="69">
        <f ca="1">SUMIF('CAP8'!$B:$H,Insumo[[#This Row],[DESCRIPCION]],'CAP8'!$H:$H)</f>
        <v>0</v>
      </c>
      <c r="J134" s="69">
        <f ca="1">SUMIF('CAP9-13'!$B:$H,Insumo[[#This Row],[DESCRIPCION]],'CAP9-13'!$H:$H)</f>
        <v>0</v>
      </c>
      <c r="K134" s="69">
        <f ca="1">SUMIF('CAP14-15'!$B:$H,Insumo[[#This Row],[DESCRIPCION]],'CAP14-15'!$H:$H)</f>
        <v>0</v>
      </c>
      <c r="L134" s="69">
        <f ca="1">SUMIF('CAP16-18'!$B:$H,Insumo[[#This Row],[DESCRIPCION]],'CAP16-18'!$H:$H)</f>
        <v>0</v>
      </c>
      <c r="M134" s="69">
        <f ca="1">SUMIF('CAP19-22'!$B:$H,Insumo[[#This Row],[DESCRIPCION]],'CAP19-22'!$H:$H)</f>
        <v>0</v>
      </c>
      <c r="N134" s="69">
        <f ca="1">SUMIF('CAP23-24'!$B:$H,Insumo[[#This Row],[DESCRIPCION]],'CAP23-24'!$H:$H)</f>
        <v>0</v>
      </c>
      <c r="O134" s="69">
        <f ca="1">SUMIF('CAP25'!$B:$H,Insumo[[#This Row],[DESCRIPCION]],'CAP25'!$H:$H)</f>
        <v>0</v>
      </c>
      <c r="P134" s="69">
        <f ca="1">SUMIF('CAP26-28'!$B:$H,Insumo[[#This Row],[DESCRIPCION]],'CAP26-28'!$H:$H)</f>
        <v>0</v>
      </c>
      <c r="Q134" s="69">
        <f ca="1">SUMIF('CAP29'!$B:$H,Insumo[[#This Row],[DESCRIPCION]],'CAP29'!$H:$H)</f>
        <v>0</v>
      </c>
      <c r="T134" s="136">
        <v>162375</v>
      </c>
    </row>
    <row r="135" spans="1:20">
      <c r="A135" s="301" t="s">
        <v>2741</v>
      </c>
      <c r="B135" s="303" t="s">
        <v>30</v>
      </c>
      <c r="C135" s="304">
        <f t="shared" si="2"/>
        <v>198909.9</v>
      </c>
      <c r="D135" s="281" cm="1">
        <f t="array" aca="1" ref="D135" ca="1">IF(Insumo[[#This Row],[VALOR]]=0,Insumo[TOTAL],E135/C135)</f>
        <v>0</v>
      </c>
      <c r="E135" s="69">
        <f ca="1">SUM(Insumo[[#This Row],[CAP1-3]:[CAP29]])</f>
        <v>0</v>
      </c>
      <c r="F135" s="69">
        <f ca="1">SUMIF('CAP1-3'!$B:$H,Insumo[[#This Row],[DESCRIPCION]],'CAP1-3'!$H:$H)</f>
        <v>0</v>
      </c>
      <c r="G135" s="69">
        <f ca="1">SUMIF('CAP4-5'!$B:$H,Insumo[[#This Row],[DESCRIPCION]],'CAP4-5'!$H:$H)</f>
        <v>0</v>
      </c>
      <c r="H135" s="69">
        <f ca="1">SUMIF('CAP6-7'!$B:$H,Insumo[[#This Row],[DESCRIPCION]],'CAP6-7'!$H:$H)</f>
        <v>0</v>
      </c>
      <c r="I135" s="69">
        <f ca="1">SUMIF('CAP8'!$B:$H,Insumo[[#This Row],[DESCRIPCION]],'CAP8'!$H:$H)</f>
        <v>0</v>
      </c>
      <c r="J135" s="69">
        <f ca="1">SUMIF('CAP9-13'!$B:$H,Insumo[[#This Row],[DESCRIPCION]],'CAP9-13'!$H:$H)</f>
        <v>0</v>
      </c>
      <c r="K135" s="69">
        <f ca="1">SUMIF('CAP14-15'!$B:$H,Insumo[[#This Row],[DESCRIPCION]],'CAP14-15'!$H:$H)</f>
        <v>0</v>
      </c>
      <c r="L135" s="69">
        <f ca="1">SUMIF('CAP16-18'!$B:$H,Insumo[[#This Row],[DESCRIPCION]],'CAP16-18'!$H:$H)</f>
        <v>0</v>
      </c>
      <c r="M135" s="69">
        <f ca="1">SUMIF('CAP19-22'!$B:$H,Insumo[[#This Row],[DESCRIPCION]],'CAP19-22'!$H:$H)</f>
        <v>0</v>
      </c>
      <c r="N135" s="69">
        <f ca="1">SUMIF('CAP23-24'!$B:$H,Insumo[[#This Row],[DESCRIPCION]],'CAP23-24'!$H:$H)</f>
        <v>0</v>
      </c>
      <c r="O135" s="69">
        <f ca="1">SUMIF('CAP25'!$B:$H,Insumo[[#This Row],[DESCRIPCION]],'CAP25'!$H:$H)</f>
        <v>0</v>
      </c>
      <c r="P135" s="69">
        <f ca="1">SUMIF('CAP26-28'!$B:$H,Insumo[[#This Row],[DESCRIPCION]],'CAP26-28'!$H:$H)</f>
        <v>0</v>
      </c>
      <c r="Q135" s="69">
        <f ca="1">SUMIF('CAP29'!$B:$H,Insumo[[#This Row],[DESCRIPCION]],'CAP29'!$H:$H)</f>
        <v>0</v>
      </c>
      <c r="T135" s="136">
        <v>189438</v>
      </c>
    </row>
    <row r="136" spans="1:20">
      <c r="A136" s="301" t="s">
        <v>2742</v>
      </c>
      <c r="B136" s="303" t="s">
        <v>30</v>
      </c>
      <c r="C136" s="304">
        <f t="shared" si="2"/>
        <v>107979.90000000001</v>
      </c>
      <c r="D136" s="281" cm="1">
        <f t="array" aca="1" ref="D136" ca="1">IF(Insumo[[#This Row],[VALOR]]=0,Insumo[TOTAL],E136/C136)</f>
        <v>0</v>
      </c>
      <c r="E136" s="69">
        <f ca="1">SUM(Insumo[[#This Row],[CAP1-3]:[CAP29]])</f>
        <v>0</v>
      </c>
      <c r="F136" s="69">
        <f ca="1">SUMIF('CAP1-3'!$B:$H,Insumo[[#This Row],[DESCRIPCION]],'CAP1-3'!$H:$H)</f>
        <v>0</v>
      </c>
      <c r="G136" s="69">
        <f ca="1">SUMIF('CAP4-5'!$B:$H,Insumo[[#This Row],[DESCRIPCION]],'CAP4-5'!$H:$H)</f>
        <v>0</v>
      </c>
      <c r="H136" s="69">
        <f ca="1">SUMIF('CAP6-7'!$B:$H,Insumo[[#This Row],[DESCRIPCION]],'CAP6-7'!$H:$H)</f>
        <v>0</v>
      </c>
      <c r="I136" s="69">
        <f ca="1">SUMIF('CAP8'!$B:$H,Insumo[[#This Row],[DESCRIPCION]],'CAP8'!$H:$H)</f>
        <v>0</v>
      </c>
      <c r="J136" s="69">
        <f ca="1">SUMIF('CAP9-13'!$B:$H,Insumo[[#This Row],[DESCRIPCION]],'CAP9-13'!$H:$H)</f>
        <v>0</v>
      </c>
      <c r="K136" s="69">
        <f ca="1">SUMIF('CAP14-15'!$B:$H,Insumo[[#This Row],[DESCRIPCION]],'CAP14-15'!$H:$H)</f>
        <v>0</v>
      </c>
      <c r="L136" s="69">
        <f ca="1">SUMIF('CAP16-18'!$B:$H,Insumo[[#This Row],[DESCRIPCION]],'CAP16-18'!$H:$H)</f>
        <v>0</v>
      </c>
      <c r="M136" s="69">
        <f ca="1">SUMIF('CAP19-22'!$B:$H,Insumo[[#This Row],[DESCRIPCION]],'CAP19-22'!$H:$H)</f>
        <v>0</v>
      </c>
      <c r="N136" s="69">
        <f ca="1">SUMIF('CAP23-24'!$B:$H,Insumo[[#This Row],[DESCRIPCION]],'CAP23-24'!$H:$H)</f>
        <v>0</v>
      </c>
      <c r="O136" s="69">
        <f ca="1">SUMIF('CAP25'!$B:$H,Insumo[[#This Row],[DESCRIPCION]],'CAP25'!$H:$H)</f>
        <v>0</v>
      </c>
      <c r="P136" s="69">
        <f ca="1">SUMIF('CAP26-28'!$B:$H,Insumo[[#This Row],[DESCRIPCION]],'CAP26-28'!$H:$H)</f>
        <v>0</v>
      </c>
      <c r="Q136" s="69">
        <f ca="1">SUMIF('CAP29'!$B:$H,Insumo[[#This Row],[DESCRIPCION]],'CAP29'!$H:$H)</f>
        <v>0</v>
      </c>
      <c r="T136" s="136">
        <v>102838</v>
      </c>
    </row>
    <row r="137" spans="1:20">
      <c r="A137" s="301" t="s">
        <v>2743</v>
      </c>
      <c r="B137" s="303" t="s">
        <v>30</v>
      </c>
      <c r="C137" s="304">
        <f t="shared" si="2"/>
        <v>261423.75</v>
      </c>
      <c r="D137" s="281" cm="1">
        <f t="array" aca="1" ref="D137" ca="1">IF(Insumo[[#This Row],[VALOR]]=0,Insumo[TOTAL],E137/C137)</f>
        <v>0</v>
      </c>
      <c r="E137" s="69">
        <f ca="1">SUM(Insumo[[#This Row],[CAP1-3]:[CAP29]])</f>
        <v>0</v>
      </c>
      <c r="F137" s="69">
        <f ca="1">SUMIF('CAP1-3'!$B:$H,Insumo[[#This Row],[DESCRIPCION]],'CAP1-3'!$H:$H)</f>
        <v>0</v>
      </c>
      <c r="G137" s="69">
        <f ca="1">SUMIF('CAP4-5'!$B:$H,Insumo[[#This Row],[DESCRIPCION]],'CAP4-5'!$H:$H)</f>
        <v>0</v>
      </c>
      <c r="H137" s="69">
        <f ca="1">SUMIF('CAP6-7'!$B:$H,Insumo[[#This Row],[DESCRIPCION]],'CAP6-7'!$H:$H)</f>
        <v>0</v>
      </c>
      <c r="I137" s="69">
        <f ca="1">SUMIF('CAP8'!$B:$H,Insumo[[#This Row],[DESCRIPCION]],'CAP8'!$H:$H)</f>
        <v>0</v>
      </c>
      <c r="J137" s="69">
        <f ca="1">SUMIF('CAP9-13'!$B:$H,Insumo[[#This Row],[DESCRIPCION]],'CAP9-13'!$H:$H)</f>
        <v>0</v>
      </c>
      <c r="K137" s="69">
        <f ca="1">SUMIF('CAP14-15'!$B:$H,Insumo[[#This Row],[DESCRIPCION]],'CAP14-15'!$H:$H)</f>
        <v>0</v>
      </c>
      <c r="L137" s="69">
        <f ca="1">SUMIF('CAP16-18'!$B:$H,Insumo[[#This Row],[DESCRIPCION]],'CAP16-18'!$H:$H)</f>
        <v>0</v>
      </c>
      <c r="M137" s="69">
        <f ca="1">SUMIF('CAP19-22'!$B:$H,Insumo[[#This Row],[DESCRIPCION]],'CAP19-22'!$H:$H)</f>
        <v>0</v>
      </c>
      <c r="N137" s="69">
        <f ca="1">SUMIF('CAP23-24'!$B:$H,Insumo[[#This Row],[DESCRIPCION]],'CAP23-24'!$H:$H)</f>
        <v>0</v>
      </c>
      <c r="O137" s="69">
        <f ca="1">SUMIF('CAP25'!$B:$H,Insumo[[#This Row],[DESCRIPCION]],'CAP25'!$H:$H)</f>
        <v>0</v>
      </c>
      <c r="P137" s="69">
        <f ca="1">SUMIF('CAP26-28'!$B:$H,Insumo[[#This Row],[DESCRIPCION]],'CAP26-28'!$H:$H)</f>
        <v>0</v>
      </c>
      <c r="Q137" s="69">
        <f ca="1">SUMIF('CAP29'!$B:$H,Insumo[[#This Row],[DESCRIPCION]],'CAP29'!$H:$H)</f>
        <v>0</v>
      </c>
      <c r="T137" s="136">
        <v>248975</v>
      </c>
    </row>
    <row r="138" spans="1:20">
      <c r="A138" s="301" t="s">
        <v>2744</v>
      </c>
      <c r="B138" s="303" t="s">
        <v>2662</v>
      </c>
      <c r="C138" s="304">
        <f t="shared" si="2"/>
        <v>122528.70000000001</v>
      </c>
      <c r="D138" s="281" cm="1">
        <f t="array" aca="1" ref="D138" ca="1">IF(Insumo[[#This Row],[VALOR]]=0,Insumo[TOTAL],E138/C138)</f>
        <v>0</v>
      </c>
      <c r="E138" s="69">
        <f ca="1">SUM(Insumo[[#This Row],[CAP1-3]:[CAP29]])</f>
        <v>0</v>
      </c>
      <c r="F138" s="69">
        <f ca="1">SUMIF('CAP1-3'!$B:$H,Insumo[[#This Row],[DESCRIPCION]],'CAP1-3'!$H:$H)</f>
        <v>0</v>
      </c>
      <c r="G138" s="69">
        <f ca="1">SUMIF('CAP4-5'!$B:$H,Insumo[[#This Row],[DESCRIPCION]],'CAP4-5'!$H:$H)</f>
        <v>0</v>
      </c>
      <c r="H138" s="69">
        <f ca="1">SUMIF('CAP6-7'!$B:$H,Insumo[[#This Row],[DESCRIPCION]],'CAP6-7'!$H:$H)</f>
        <v>0</v>
      </c>
      <c r="I138" s="69">
        <f ca="1">SUMIF('CAP8'!$B:$H,Insumo[[#This Row],[DESCRIPCION]],'CAP8'!$H:$H)</f>
        <v>0</v>
      </c>
      <c r="J138" s="69">
        <f ca="1">SUMIF('CAP9-13'!$B:$H,Insumo[[#This Row],[DESCRIPCION]],'CAP9-13'!$H:$H)</f>
        <v>0</v>
      </c>
      <c r="K138" s="69">
        <f ca="1">SUMIF('CAP14-15'!$B:$H,Insumo[[#This Row],[DESCRIPCION]],'CAP14-15'!$H:$H)</f>
        <v>0</v>
      </c>
      <c r="L138" s="69">
        <f ca="1">SUMIF('CAP16-18'!$B:$H,Insumo[[#This Row],[DESCRIPCION]],'CAP16-18'!$H:$H)</f>
        <v>0</v>
      </c>
      <c r="M138" s="69">
        <f ca="1">SUMIF('CAP19-22'!$B:$H,Insumo[[#This Row],[DESCRIPCION]],'CAP19-22'!$H:$H)</f>
        <v>0</v>
      </c>
      <c r="N138" s="69">
        <f ca="1">SUMIF('CAP23-24'!$B:$H,Insumo[[#This Row],[DESCRIPCION]],'CAP23-24'!$H:$H)</f>
        <v>0</v>
      </c>
      <c r="O138" s="69">
        <f ca="1">SUMIF('CAP25'!$B:$H,Insumo[[#This Row],[DESCRIPCION]],'CAP25'!$H:$H)</f>
        <v>0</v>
      </c>
      <c r="P138" s="69">
        <f ca="1">SUMIF('CAP26-28'!$B:$H,Insumo[[#This Row],[DESCRIPCION]],'CAP26-28'!$H:$H)</f>
        <v>0</v>
      </c>
      <c r="Q138" s="69">
        <f ca="1">SUMIF('CAP29'!$B:$H,Insumo[[#This Row],[DESCRIPCION]],'CAP29'!$H:$H)</f>
        <v>0</v>
      </c>
      <c r="T138" s="136">
        <v>116694</v>
      </c>
    </row>
    <row r="139" spans="1:20">
      <c r="A139" s="301" t="s">
        <v>2745</v>
      </c>
      <c r="B139" s="303" t="s">
        <v>23</v>
      </c>
      <c r="C139" s="304">
        <f t="shared" si="2"/>
        <v>118095.6</v>
      </c>
      <c r="D139" s="281" cm="1">
        <f t="array" aca="1" ref="D139" ca="1">IF(Insumo[[#This Row],[VALOR]]=0,Insumo[TOTAL],E139/C139)</f>
        <v>0</v>
      </c>
      <c r="E139" s="69">
        <f ca="1">SUM(Insumo[[#This Row],[CAP1-3]:[CAP29]])</f>
        <v>0</v>
      </c>
      <c r="F139" s="69">
        <f ca="1">SUMIF('CAP1-3'!$B:$H,Insumo[[#This Row],[DESCRIPCION]],'CAP1-3'!$H:$H)</f>
        <v>0</v>
      </c>
      <c r="G139" s="69">
        <f ca="1">SUMIF('CAP4-5'!$B:$H,Insumo[[#This Row],[DESCRIPCION]],'CAP4-5'!$H:$H)</f>
        <v>0</v>
      </c>
      <c r="H139" s="69">
        <f ca="1">SUMIF('CAP6-7'!$B:$H,Insumo[[#This Row],[DESCRIPCION]],'CAP6-7'!$H:$H)</f>
        <v>0</v>
      </c>
      <c r="I139" s="69">
        <f ca="1">SUMIF('CAP8'!$B:$H,Insumo[[#This Row],[DESCRIPCION]],'CAP8'!$H:$H)</f>
        <v>0</v>
      </c>
      <c r="J139" s="69">
        <f ca="1">SUMIF('CAP9-13'!$B:$H,Insumo[[#This Row],[DESCRIPCION]],'CAP9-13'!$H:$H)</f>
        <v>0</v>
      </c>
      <c r="K139" s="69">
        <f ca="1">SUMIF('CAP14-15'!$B:$H,Insumo[[#This Row],[DESCRIPCION]],'CAP14-15'!$H:$H)</f>
        <v>0</v>
      </c>
      <c r="L139" s="69">
        <f ca="1">SUMIF('CAP16-18'!$B:$H,Insumo[[#This Row],[DESCRIPCION]],'CAP16-18'!$H:$H)</f>
        <v>0</v>
      </c>
      <c r="M139" s="69">
        <f ca="1">SUMIF('CAP19-22'!$B:$H,Insumo[[#This Row],[DESCRIPCION]],'CAP19-22'!$H:$H)</f>
        <v>0</v>
      </c>
      <c r="N139" s="69">
        <f ca="1">SUMIF('CAP23-24'!$B:$H,Insumo[[#This Row],[DESCRIPCION]],'CAP23-24'!$H:$H)</f>
        <v>0</v>
      </c>
      <c r="O139" s="69">
        <f ca="1">SUMIF('CAP25'!$B:$H,Insumo[[#This Row],[DESCRIPCION]],'CAP25'!$H:$H)</f>
        <v>0</v>
      </c>
      <c r="P139" s="69">
        <f ca="1">SUMIF('CAP26-28'!$B:$H,Insumo[[#This Row],[DESCRIPCION]],'CAP26-28'!$H:$H)</f>
        <v>0</v>
      </c>
      <c r="Q139" s="69">
        <f ca="1">SUMIF('CAP29'!$B:$H,Insumo[[#This Row],[DESCRIPCION]],'CAP29'!$H:$H)</f>
        <v>0</v>
      </c>
      <c r="T139" s="136">
        <v>112472</v>
      </c>
    </row>
    <row r="140" spans="1:20">
      <c r="A140" s="301" t="s">
        <v>2746</v>
      </c>
      <c r="B140" s="303" t="s">
        <v>30</v>
      </c>
      <c r="C140" s="304">
        <f t="shared" si="2"/>
        <v>16922.850000000002</v>
      </c>
      <c r="D140" s="281" cm="1">
        <f t="array" aca="1" ref="D140" ca="1">IF(Insumo[[#This Row],[VALOR]]=0,Insumo[TOTAL],E140/C140)</f>
        <v>0</v>
      </c>
      <c r="E140" s="69">
        <f ca="1">SUM(Insumo[[#This Row],[CAP1-3]:[CAP29]])</f>
        <v>0</v>
      </c>
      <c r="F140" s="69">
        <f ca="1">SUMIF('CAP1-3'!$B:$H,Insumo[[#This Row],[DESCRIPCION]],'CAP1-3'!$H:$H)</f>
        <v>0</v>
      </c>
      <c r="G140" s="69">
        <f ca="1">SUMIF('CAP4-5'!$B:$H,Insumo[[#This Row],[DESCRIPCION]],'CAP4-5'!$H:$H)</f>
        <v>0</v>
      </c>
      <c r="H140" s="69">
        <f ca="1">SUMIF('CAP6-7'!$B:$H,Insumo[[#This Row],[DESCRIPCION]],'CAP6-7'!$H:$H)</f>
        <v>0</v>
      </c>
      <c r="I140" s="69">
        <f ca="1">SUMIF('CAP8'!$B:$H,Insumo[[#This Row],[DESCRIPCION]],'CAP8'!$H:$H)</f>
        <v>0</v>
      </c>
      <c r="J140" s="69">
        <f ca="1">SUMIF('CAP9-13'!$B:$H,Insumo[[#This Row],[DESCRIPCION]],'CAP9-13'!$H:$H)</f>
        <v>0</v>
      </c>
      <c r="K140" s="69">
        <f ca="1">SUMIF('CAP14-15'!$B:$H,Insumo[[#This Row],[DESCRIPCION]],'CAP14-15'!$H:$H)</f>
        <v>0</v>
      </c>
      <c r="L140" s="69">
        <f ca="1">SUMIF('CAP16-18'!$B:$H,Insumo[[#This Row],[DESCRIPCION]],'CAP16-18'!$H:$H)</f>
        <v>0</v>
      </c>
      <c r="M140" s="69">
        <f ca="1">SUMIF('CAP19-22'!$B:$H,Insumo[[#This Row],[DESCRIPCION]],'CAP19-22'!$H:$H)</f>
        <v>0</v>
      </c>
      <c r="N140" s="69">
        <f ca="1">SUMIF('CAP23-24'!$B:$H,Insumo[[#This Row],[DESCRIPCION]],'CAP23-24'!$H:$H)</f>
        <v>0</v>
      </c>
      <c r="O140" s="69">
        <f ca="1">SUMIF('CAP25'!$B:$H,Insumo[[#This Row],[DESCRIPCION]],'CAP25'!$H:$H)</f>
        <v>0</v>
      </c>
      <c r="P140" s="69">
        <f ca="1">SUMIF('CAP26-28'!$B:$H,Insumo[[#This Row],[DESCRIPCION]],'CAP26-28'!$H:$H)</f>
        <v>0</v>
      </c>
      <c r="Q140" s="69">
        <f ca="1">SUMIF('CAP29'!$B:$H,Insumo[[#This Row],[DESCRIPCION]],'CAP29'!$H:$H)</f>
        <v>0</v>
      </c>
      <c r="T140" s="136">
        <v>16117</v>
      </c>
    </row>
    <row r="141" spans="1:20">
      <c r="A141" s="301" t="s">
        <v>2747</v>
      </c>
      <c r="B141" s="303" t="s">
        <v>23</v>
      </c>
      <c r="C141" s="304">
        <f t="shared" si="2"/>
        <v>625410.45000000007</v>
      </c>
      <c r="D141" s="281" cm="1">
        <f t="array" aca="1" ref="D141" ca="1">IF(Insumo[[#This Row],[VALOR]]=0,Insumo[TOTAL],E141/C141)</f>
        <v>0</v>
      </c>
      <c r="E141" s="69">
        <f ca="1">SUM(Insumo[[#This Row],[CAP1-3]:[CAP29]])</f>
        <v>0</v>
      </c>
      <c r="F141" s="69">
        <f ca="1">SUMIF('CAP1-3'!$B:$H,Insumo[[#This Row],[DESCRIPCION]],'CAP1-3'!$H:$H)</f>
        <v>0</v>
      </c>
      <c r="G141" s="69">
        <f ca="1">SUMIF('CAP4-5'!$B:$H,Insumo[[#This Row],[DESCRIPCION]],'CAP4-5'!$H:$H)</f>
        <v>0</v>
      </c>
      <c r="H141" s="69">
        <f ca="1">SUMIF('CAP6-7'!$B:$H,Insumo[[#This Row],[DESCRIPCION]],'CAP6-7'!$H:$H)</f>
        <v>0</v>
      </c>
      <c r="I141" s="69">
        <f ca="1">SUMIF('CAP8'!$B:$H,Insumo[[#This Row],[DESCRIPCION]],'CAP8'!$H:$H)</f>
        <v>0</v>
      </c>
      <c r="J141" s="69">
        <f ca="1">SUMIF('CAP9-13'!$B:$H,Insumo[[#This Row],[DESCRIPCION]],'CAP9-13'!$H:$H)</f>
        <v>0</v>
      </c>
      <c r="K141" s="69">
        <f ca="1">SUMIF('CAP14-15'!$B:$H,Insumo[[#This Row],[DESCRIPCION]],'CAP14-15'!$H:$H)</f>
        <v>0</v>
      </c>
      <c r="L141" s="69">
        <f ca="1">SUMIF('CAP16-18'!$B:$H,Insumo[[#This Row],[DESCRIPCION]],'CAP16-18'!$H:$H)</f>
        <v>0</v>
      </c>
      <c r="M141" s="69">
        <f ca="1">SUMIF('CAP19-22'!$B:$H,Insumo[[#This Row],[DESCRIPCION]],'CAP19-22'!$H:$H)</f>
        <v>0</v>
      </c>
      <c r="N141" s="69">
        <f ca="1">SUMIF('CAP23-24'!$B:$H,Insumo[[#This Row],[DESCRIPCION]],'CAP23-24'!$H:$H)</f>
        <v>0</v>
      </c>
      <c r="O141" s="69">
        <f ca="1">SUMIF('CAP25'!$B:$H,Insumo[[#This Row],[DESCRIPCION]],'CAP25'!$H:$H)</f>
        <v>0</v>
      </c>
      <c r="P141" s="69">
        <f ca="1">SUMIF('CAP26-28'!$B:$H,Insumo[[#This Row],[DESCRIPCION]],'CAP26-28'!$H:$H)</f>
        <v>0</v>
      </c>
      <c r="Q141" s="69">
        <f ca="1">SUMIF('CAP29'!$B:$H,Insumo[[#This Row],[DESCRIPCION]],'CAP29'!$H:$H)</f>
        <v>0</v>
      </c>
      <c r="T141" s="136">
        <v>595629</v>
      </c>
    </row>
    <row r="142" spans="1:20">
      <c r="A142" s="301" t="s">
        <v>2748</v>
      </c>
      <c r="B142" s="303" t="s">
        <v>2749</v>
      </c>
      <c r="C142" s="304">
        <f t="shared" si="2"/>
        <v>231758.1</v>
      </c>
      <c r="D142" s="281" cm="1">
        <f t="array" aca="1" ref="D142" ca="1">IF(Insumo[[#This Row],[VALOR]]=0,Insumo[TOTAL],E142/C142)</f>
        <v>0</v>
      </c>
      <c r="E142" s="69">
        <f ca="1">SUM(Insumo[[#This Row],[CAP1-3]:[CAP29]])</f>
        <v>0</v>
      </c>
      <c r="F142" s="69">
        <f ca="1">SUMIF('CAP1-3'!$B:$H,Insumo[[#This Row],[DESCRIPCION]],'CAP1-3'!$H:$H)</f>
        <v>0</v>
      </c>
      <c r="G142" s="69">
        <f ca="1">SUMIF('CAP4-5'!$B:$H,Insumo[[#This Row],[DESCRIPCION]],'CAP4-5'!$H:$H)</f>
        <v>0</v>
      </c>
      <c r="H142" s="69">
        <f ca="1">SUMIF('CAP6-7'!$B:$H,Insumo[[#This Row],[DESCRIPCION]],'CAP6-7'!$H:$H)</f>
        <v>0</v>
      </c>
      <c r="I142" s="69">
        <f ca="1">SUMIF('CAP8'!$B:$H,Insumo[[#This Row],[DESCRIPCION]],'CAP8'!$H:$H)</f>
        <v>0</v>
      </c>
      <c r="J142" s="69">
        <f ca="1">SUMIF('CAP9-13'!$B:$H,Insumo[[#This Row],[DESCRIPCION]],'CAP9-13'!$H:$H)</f>
        <v>0</v>
      </c>
      <c r="K142" s="69">
        <f ca="1">SUMIF('CAP14-15'!$B:$H,Insumo[[#This Row],[DESCRIPCION]],'CAP14-15'!$H:$H)</f>
        <v>0</v>
      </c>
      <c r="L142" s="69">
        <f ca="1">SUMIF('CAP16-18'!$B:$H,Insumo[[#This Row],[DESCRIPCION]],'CAP16-18'!$H:$H)</f>
        <v>0</v>
      </c>
      <c r="M142" s="69">
        <f ca="1">SUMIF('CAP19-22'!$B:$H,Insumo[[#This Row],[DESCRIPCION]],'CAP19-22'!$H:$H)</f>
        <v>0</v>
      </c>
      <c r="N142" s="69">
        <f ca="1">SUMIF('CAP23-24'!$B:$H,Insumo[[#This Row],[DESCRIPCION]],'CAP23-24'!$H:$H)</f>
        <v>0</v>
      </c>
      <c r="O142" s="69">
        <f ca="1">SUMIF('CAP25'!$B:$H,Insumo[[#This Row],[DESCRIPCION]],'CAP25'!$H:$H)</f>
        <v>0</v>
      </c>
      <c r="P142" s="69">
        <f ca="1">SUMIF('CAP26-28'!$B:$H,Insumo[[#This Row],[DESCRIPCION]],'CAP26-28'!$H:$H)</f>
        <v>0</v>
      </c>
      <c r="Q142" s="69">
        <f ca="1">SUMIF('CAP29'!$B:$H,Insumo[[#This Row],[DESCRIPCION]],'CAP29'!$H:$H)</f>
        <v>0</v>
      </c>
      <c r="T142" s="136">
        <v>220722</v>
      </c>
    </row>
    <row r="143" spans="1:20">
      <c r="A143" s="301" t="s">
        <v>2750</v>
      </c>
      <c r="B143" s="303" t="s">
        <v>23</v>
      </c>
      <c r="C143" s="304">
        <f t="shared" si="2"/>
        <v>13526.1</v>
      </c>
      <c r="D143" s="281" cm="1">
        <f t="array" aca="1" ref="D143" ca="1">IF(Insumo[[#This Row],[VALOR]]=0,Insumo[TOTAL],E143/C143)</f>
        <v>0</v>
      </c>
      <c r="E143" s="69">
        <f ca="1">SUM(Insumo[[#This Row],[CAP1-3]:[CAP29]])</f>
        <v>0</v>
      </c>
      <c r="F143" s="69">
        <f ca="1">SUMIF('CAP1-3'!$B:$H,Insumo[[#This Row],[DESCRIPCION]],'CAP1-3'!$H:$H)</f>
        <v>0</v>
      </c>
      <c r="G143" s="69">
        <f ca="1">SUMIF('CAP4-5'!$B:$H,Insumo[[#This Row],[DESCRIPCION]],'CAP4-5'!$H:$H)</f>
        <v>0</v>
      </c>
      <c r="H143" s="69">
        <f ca="1">SUMIF('CAP6-7'!$B:$H,Insumo[[#This Row],[DESCRIPCION]],'CAP6-7'!$H:$H)</f>
        <v>0</v>
      </c>
      <c r="I143" s="69">
        <f ca="1">SUMIF('CAP8'!$B:$H,Insumo[[#This Row],[DESCRIPCION]],'CAP8'!$H:$H)</f>
        <v>0</v>
      </c>
      <c r="J143" s="69">
        <f ca="1">SUMIF('CAP9-13'!$B:$H,Insumo[[#This Row],[DESCRIPCION]],'CAP9-13'!$H:$H)</f>
        <v>0</v>
      </c>
      <c r="K143" s="69">
        <f ca="1">SUMIF('CAP14-15'!$B:$H,Insumo[[#This Row],[DESCRIPCION]],'CAP14-15'!$H:$H)</f>
        <v>0</v>
      </c>
      <c r="L143" s="69">
        <f ca="1">SUMIF('CAP16-18'!$B:$H,Insumo[[#This Row],[DESCRIPCION]],'CAP16-18'!$H:$H)</f>
        <v>0</v>
      </c>
      <c r="M143" s="69">
        <f ca="1">SUMIF('CAP19-22'!$B:$H,Insumo[[#This Row],[DESCRIPCION]],'CAP19-22'!$H:$H)</f>
        <v>0</v>
      </c>
      <c r="N143" s="69">
        <f ca="1">SUMIF('CAP23-24'!$B:$H,Insumo[[#This Row],[DESCRIPCION]],'CAP23-24'!$H:$H)</f>
        <v>0</v>
      </c>
      <c r="O143" s="69">
        <f ca="1">SUMIF('CAP25'!$B:$H,Insumo[[#This Row],[DESCRIPCION]],'CAP25'!$H:$H)</f>
        <v>0</v>
      </c>
      <c r="P143" s="69">
        <f ca="1">SUMIF('CAP26-28'!$B:$H,Insumo[[#This Row],[DESCRIPCION]],'CAP26-28'!$H:$H)</f>
        <v>0</v>
      </c>
      <c r="Q143" s="69">
        <f ca="1">SUMIF('CAP29'!$B:$H,Insumo[[#This Row],[DESCRIPCION]],'CAP29'!$H:$H)</f>
        <v>0</v>
      </c>
      <c r="T143" s="136">
        <v>12882</v>
      </c>
    </row>
    <row r="144" spans="1:20">
      <c r="A144" s="301" t="s">
        <v>2751</v>
      </c>
      <c r="B144" s="303" t="s">
        <v>23</v>
      </c>
      <c r="C144" s="304">
        <f t="shared" si="2"/>
        <v>7331.1</v>
      </c>
      <c r="D144" s="281" cm="1">
        <f t="array" aca="1" ref="D144" ca="1">IF(Insumo[[#This Row],[VALOR]]=0,Insumo[TOTAL],E144/C144)</f>
        <v>0</v>
      </c>
      <c r="E144" s="69">
        <f ca="1">SUM(Insumo[[#This Row],[CAP1-3]:[CAP29]])</f>
        <v>0</v>
      </c>
      <c r="F144" s="69">
        <f ca="1">SUMIF('CAP1-3'!$B:$H,Insumo[[#This Row],[DESCRIPCION]],'CAP1-3'!$H:$H)</f>
        <v>0</v>
      </c>
      <c r="G144" s="69">
        <f ca="1">SUMIF('CAP4-5'!$B:$H,Insumo[[#This Row],[DESCRIPCION]],'CAP4-5'!$H:$H)</f>
        <v>0</v>
      </c>
      <c r="H144" s="69">
        <f ca="1">SUMIF('CAP6-7'!$B:$H,Insumo[[#This Row],[DESCRIPCION]],'CAP6-7'!$H:$H)</f>
        <v>0</v>
      </c>
      <c r="I144" s="69">
        <f ca="1">SUMIF('CAP8'!$B:$H,Insumo[[#This Row],[DESCRIPCION]],'CAP8'!$H:$H)</f>
        <v>0</v>
      </c>
      <c r="J144" s="69">
        <f ca="1">SUMIF('CAP9-13'!$B:$H,Insumo[[#This Row],[DESCRIPCION]],'CAP9-13'!$H:$H)</f>
        <v>0</v>
      </c>
      <c r="K144" s="69">
        <f ca="1">SUMIF('CAP14-15'!$B:$H,Insumo[[#This Row],[DESCRIPCION]],'CAP14-15'!$H:$H)</f>
        <v>0</v>
      </c>
      <c r="L144" s="69">
        <f ca="1">SUMIF('CAP16-18'!$B:$H,Insumo[[#This Row],[DESCRIPCION]],'CAP16-18'!$H:$H)</f>
        <v>0</v>
      </c>
      <c r="M144" s="69">
        <f ca="1">SUMIF('CAP19-22'!$B:$H,Insumo[[#This Row],[DESCRIPCION]],'CAP19-22'!$H:$H)</f>
        <v>0</v>
      </c>
      <c r="N144" s="69">
        <f ca="1">SUMIF('CAP23-24'!$B:$H,Insumo[[#This Row],[DESCRIPCION]],'CAP23-24'!$H:$H)</f>
        <v>0</v>
      </c>
      <c r="O144" s="69">
        <f ca="1">SUMIF('CAP25'!$B:$H,Insumo[[#This Row],[DESCRIPCION]],'CAP25'!$H:$H)</f>
        <v>0</v>
      </c>
      <c r="P144" s="69">
        <f ca="1">SUMIF('CAP26-28'!$B:$H,Insumo[[#This Row],[DESCRIPCION]],'CAP26-28'!$H:$H)</f>
        <v>0</v>
      </c>
      <c r="Q144" s="69">
        <f ca="1">SUMIF('CAP29'!$B:$H,Insumo[[#This Row],[DESCRIPCION]],'CAP29'!$H:$H)</f>
        <v>0</v>
      </c>
      <c r="T144" s="136">
        <v>6982</v>
      </c>
    </row>
    <row r="145" spans="1:20">
      <c r="A145" s="301" t="s">
        <v>2752</v>
      </c>
      <c r="B145" s="303" t="s">
        <v>338</v>
      </c>
      <c r="C145" s="304">
        <f t="shared" si="2"/>
        <v>16935.45</v>
      </c>
      <c r="D145" s="281" cm="1">
        <f t="array" aca="1" ref="D145" ca="1">IF(Insumo[[#This Row],[VALOR]]=0,Insumo[TOTAL],E145/C145)</f>
        <v>0</v>
      </c>
      <c r="E145" s="69">
        <f ca="1">SUM(Insumo[[#This Row],[CAP1-3]:[CAP29]])</f>
        <v>0</v>
      </c>
      <c r="F145" s="69">
        <f ca="1">SUMIF('CAP1-3'!$B:$H,Insumo[[#This Row],[DESCRIPCION]],'CAP1-3'!$H:$H)</f>
        <v>0</v>
      </c>
      <c r="G145" s="69">
        <f ca="1">SUMIF('CAP4-5'!$B:$H,Insumo[[#This Row],[DESCRIPCION]],'CAP4-5'!$H:$H)</f>
        <v>0</v>
      </c>
      <c r="H145" s="69">
        <f ca="1">SUMIF('CAP6-7'!$B:$H,Insumo[[#This Row],[DESCRIPCION]],'CAP6-7'!$H:$H)</f>
        <v>0</v>
      </c>
      <c r="I145" s="69">
        <f ca="1">SUMIF('CAP8'!$B:$H,Insumo[[#This Row],[DESCRIPCION]],'CAP8'!$H:$H)</f>
        <v>0</v>
      </c>
      <c r="J145" s="69">
        <f ca="1">SUMIF('CAP9-13'!$B:$H,Insumo[[#This Row],[DESCRIPCION]],'CAP9-13'!$H:$H)</f>
        <v>0</v>
      </c>
      <c r="K145" s="69">
        <f ca="1">SUMIF('CAP14-15'!$B:$H,Insumo[[#This Row],[DESCRIPCION]],'CAP14-15'!$H:$H)</f>
        <v>0</v>
      </c>
      <c r="L145" s="69">
        <f ca="1">SUMIF('CAP16-18'!$B:$H,Insumo[[#This Row],[DESCRIPCION]],'CAP16-18'!$H:$H)</f>
        <v>0</v>
      </c>
      <c r="M145" s="69">
        <f ca="1">SUMIF('CAP19-22'!$B:$H,Insumo[[#This Row],[DESCRIPCION]],'CAP19-22'!$H:$H)</f>
        <v>0</v>
      </c>
      <c r="N145" s="69">
        <f ca="1">SUMIF('CAP23-24'!$B:$H,Insumo[[#This Row],[DESCRIPCION]],'CAP23-24'!$H:$H)</f>
        <v>0</v>
      </c>
      <c r="O145" s="69">
        <f ca="1">SUMIF('CAP25'!$B:$H,Insumo[[#This Row],[DESCRIPCION]],'CAP25'!$H:$H)</f>
        <v>0</v>
      </c>
      <c r="P145" s="69">
        <f ca="1">SUMIF('CAP26-28'!$B:$H,Insumo[[#This Row],[DESCRIPCION]],'CAP26-28'!$H:$H)</f>
        <v>0</v>
      </c>
      <c r="Q145" s="69">
        <f ca="1">SUMIF('CAP29'!$B:$H,Insumo[[#This Row],[DESCRIPCION]],'CAP29'!$H:$H)</f>
        <v>0</v>
      </c>
      <c r="T145" s="136">
        <v>16129</v>
      </c>
    </row>
    <row r="146" spans="1:20">
      <c r="A146" s="301" t="s">
        <v>2753</v>
      </c>
      <c r="B146" s="303" t="s">
        <v>23</v>
      </c>
      <c r="C146" s="304">
        <f t="shared" si="2"/>
        <v>2576.7000000000003</v>
      </c>
      <c r="D146" s="281" cm="1">
        <f t="array" aca="1" ref="D146" ca="1">IF(Insumo[[#This Row],[VALOR]]=0,Insumo[TOTAL],E146/C146)</f>
        <v>0</v>
      </c>
      <c r="E146" s="69">
        <f ca="1">SUM(Insumo[[#This Row],[CAP1-3]:[CAP29]])</f>
        <v>0</v>
      </c>
      <c r="F146" s="69">
        <f ca="1">SUMIF('CAP1-3'!$B:$H,Insumo[[#This Row],[DESCRIPCION]],'CAP1-3'!$H:$H)</f>
        <v>0</v>
      </c>
      <c r="G146" s="69">
        <f ca="1">SUMIF('CAP4-5'!$B:$H,Insumo[[#This Row],[DESCRIPCION]],'CAP4-5'!$H:$H)</f>
        <v>0</v>
      </c>
      <c r="H146" s="69">
        <f ca="1">SUMIF('CAP6-7'!$B:$H,Insumo[[#This Row],[DESCRIPCION]],'CAP6-7'!$H:$H)</f>
        <v>0</v>
      </c>
      <c r="I146" s="69">
        <f ca="1">SUMIF('CAP8'!$B:$H,Insumo[[#This Row],[DESCRIPCION]],'CAP8'!$H:$H)</f>
        <v>0</v>
      </c>
      <c r="J146" s="69">
        <f ca="1">SUMIF('CAP9-13'!$B:$H,Insumo[[#This Row],[DESCRIPCION]],'CAP9-13'!$H:$H)</f>
        <v>0</v>
      </c>
      <c r="K146" s="69">
        <f ca="1">SUMIF('CAP14-15'!$B:$H,Insumo[[#This Row],[DESCRIPCION]],'CAP14-15'!$H:$H)</f>
        <v>0</v>
      </c>
      <c r="L146" s="69">
        <f ca="1">SUMIF('CAP16-18'!$B:$H,Insumo[[#This Row],[DESCRIPCION]],'CAP16-18'!$H:$H)</f>
        <v>0</v>
      </c>
      <c r="M146" s="69">
        <f ca="1">SUMIF('CAP19-22'!$B:$H,Insumo[[#This Row],[DESCRIPCION]],'CAP19-22'!$H:$H)</f>
        <v>0</v>
      </c>
      <c r="N146" s="69">
        <f ca="1">SUMIF('CAP23-24'!$B:$H,Insumo[[#This Row],[DESCRIPCION]],'CAP23-24'!$H:$H)</f>
        <v>0</v>
      </c>
      <c r="O146" s="69">
        <f ca="1">SUMIF('CAP25'!$B:$H,Insumo[[#This Row],[DESCRIPCION]],'CAP25'!$H:$H)</f>
        <v>0</v>
      </c>
      <c r="P146" s="69">
        <f ca="1">SUMIF('CAP26-28'!$B:$H,Insumo[[#This Row],[DESCRIPCION]],'CAP26-28'!$H:$H)</f>
        <v>0</v>
      </c>
      <c r="Q146" s="69">
        <f ca="1">SUMIF('CAP29'!$B:$H,Insumo[[#This Row],[DESCRIPCION]],'CAP29'!$H:$H)</f>
        <v>0</v>
      </c>
      <c r="T146" s="136">
        <v>2454</v>
      </c>
    </row>
    <row r="147" spans="1:20">
      <c r="A147" s="301" t="s">
        <v>2754</v>
      </c>
      <c r="B147" s="303" t="s">
        <v>23</v>
      </c>
      <c r="C147" s="304">
        <f t="shared" si="2"/>
        <v>3486</v>
      </c>
      <c r="D147" s="281" cm="1">
        <f t="array" aca="1" ref="D147" ca="1">IF(Insumo[[#This Row],[VALOR]]=0,Insumo[TOTAL],E147/C147)</f>
        <v>0</v>
      </c>
      <c r="E147" s="69">
        <f ca="1">SUM(Insumo[[#This Row],[CAP1-3]:[CAP29]])</f>
        <v>0</v>
      </c>
      <c r="F147" s="69">
        <f ca="1">SUMIF('CAP1-3'!$B:$H,Insumo[[#This Row],[DESCRIPCION]],'CAP1-3'!$H:$H)</f>
        <v>0</v>
      </c>
      <c r="G147" s="69">
        <f ca="1">SUMIF('CAP4-5'!$B:$H,Insumo[[#This Row],[DESCRIPCION]],'CAP4-5'!$H:$H)</f>
        <v>0</v>
      </c>
      <c r="H147" s="69">
        <f ca="1">SUMIF('CAP6-7'!$B:$H,Insumo[[#This Row],[DESCRIPCION]],'CAP6-7'!$H:$H)</f>
        <v>0</v>
      </c>
      <c r="I147" s="69">
        <f ca="1">SUMIF('CAP8'!$B:$H,Insumo[[#This Row],[DESCRIPCION]],'CAP8'!$H:$H)</f>
        <v>0</v>
      </c>
      <c r="J147" s="69">
        <f ca="1">SUMIF('CAP9-13'!$B:$H,Insumo[[#This Row],[DESCRIPCION]],'CAP9-13'!$H:$H)</f>
        <v>0</v>
      </c>
      <c r="K147" s="69">
        <f ca="1">SUMIF('CAP14-15'!$B:$H,Insumo[[#This Row],[DESCRIPCION]],'CAP14-15'!$H:$H)</f>
        <v>0</v>
      </c>
      <c r="L147" s="69">
        <f ca="1">SUMIF('CAP16-18'!$B:$H,Insumo[[#This Row],[DESCRIPCION]],'CAP16-18'!$H:$H)</f>
        <v>0</v>
      </c>
      <c r="M147" s="69">
        <f ca="1">SUMIF('CAP19-22'!$B:$H,Insumo[[#This Row],[DESCRIPCION]],'CAP19-22'!$H:$H)</f>
        <v>0</v>
      </c>
      <c r="N147" s="69">
        <f ca="1">SUMIF('CAP23-24'!$B:$H,Insumo[[#This Row],[DESCRIPCION]],'CAP23-24'!$H:$H)</f>
        <v>0</v>
      </c>
      <c r="O147" s="69">
        <f ca="1">SUMIF('CAP25'!$B:$H,Insumo[[#This Row],[DESCRIPCION]],'CAP25'!$H:$H)</f>
        <v>0</v>
      </c>
      <c r="P147" s="69">
        <f ca="1">SUMIF('CAP26-28'!$B:$H,Insumo[[#This Row],[DESCRIPCION]],'CAP26-28'!$H:$H)</f>
        <v>0</v>
      </c>
      <c r="Q147" s="69">
        <f ca="1">SUMIF('CAP29'!$B:$H,Insumo[[#This Row],[DESCRIPCION]],'CAP29'!$H:$H)</f>
        <v>0</v>
      </c>
      <c r="T147" s="136">
        <v>3320</v>
      </c>
    </row>
    <row r="148" spans="1:20">
      <c r="A148" s="301" t="s">
        <v>2755</v>
      </c>
      <c r="B148" s="303" t="s">
        <v>23</v>
      </c>
      <c r="C148" s="304">
        <f t="shared" si="2"/>
        <v>3978.4500000000003</v>
      </c>
      <c r="D148" s="281" cm="1">
        <f t="array" aca="1" ref="D148" ca="1">IF(Insumo[[#This Row],[VALOR]]=0,Insumo[TOTAL],E148/C148)</f>
        <v>0</v>
      </c>
      <c r="E148" s="69">
        <f ca="1">SUM(Insumo[[#This Row],[CAP1-3]:[CAP29]])</f>
        <v>0</v>
      </c>
      <c r="F148" s="69">
        <f ca="1">SUMIF('CAP1-3'!$B:$H,Insumo[[#This Row],[DESCRIPCION]],'CAP1-3'!$H:$H)</f>
        <v>0</v>
      </c>
      <c r="G148" s="69">
        <f ca="1">SUMIF('CAP4-5'!$B:$H,Insumo[[#This Row],[DESCRIPCION]],'CAP4-5'!$H:$H)</f>
        <v>0</v>
      </c>
      <c r="H148" s="69">
        <f ca="1">SUMIF('CAP6-7'!$B:$H,Insumo[[#This Row],[DESCRIPCION]],'CAP6-7'!$H:$H)</f>
        <v>0</v>
      </c>
      <c r="I148" s="69">
        <f ca="1">SUMIF('CAP8'!$B:$H,Insumo[[#This Row],[DESCRIPCION]],'CAP8'!$H:$H)</f>
        <v>0</v>
      </c>
      <c r="J148" s="69">
        <f ca="1">SUMIF('CAP9-13'!$B:$H,Insumo[[#This Row],[DESCRIPCION]],'CAP9-13'!$H:$H)</f>
        <v>0</v>
      </c>
      <c r="K148" s="69">
        <f ca="1">SUMIF('CAP14-15'!$B:$H,Insumo[[#This Row],[DESCRIPCION]],'CAP14-15'!$H:$H)</f>
        <v>0</v>
      </c>
      <c r="L148" s="69">
        <f ca="1">SUMIF('CAP16-18'!$B:$H,Insumo[[#This Row],[DESCRIPCION]],'CAP16-18'!$H:$H)</f>
        <v>0</v>
      </c>
      <c r="M148" s="69">
        <f ca="1">SUMIF('CAP19-22'!$B:$H,Insumo[[#This Row],[DESCRIPCION]],'CAP19-22'!$H:$H)</f>
        <v>0</v>
      </c>
      <c r="N148" s="69">
        <f ca="1">SUMIF('CAP23-24'!$B:$H,Insumo[[#This Row],[DESCRIPCION]],'CAP23-24'!$H:$H)</f>
        <v>0</v>
      </c>
      <c r="O148" s="69">
        <f ca="1">SUMIF('CAP25'!$B:$H,Insumo[[#This Row],[DESCRIPCION]],'CAP25'!$H:$H)</f>
        <v>0</v>
      </c>
      <c r="P148" s="69">
        <f ca="1">SUMIF('CAP26-28'!$B:$H,Insumo[[#This Row],[DESCRIPCION]],'CAP26-28'!$H:$H)</f>
        <v>0</v>
      </c>
      <c r="Q148" s="69">
        <f ca="1">SUMIF('CAP29'!$B:$H,Insumo[[#This Row],[DESCRIPCION]],'CAP29'!$H:$H)</f>
        <v>0</v>
      </c>
      <c r="T148" s="136">
        <v>3789</v>
      </c>
    </row>
    <row r="149" spans="1:20">
      <c r="A149" s="301" t="s">
        <v>2756</v>
      </c>
      <c r="B149" s="303" t="s">
        <v>2621</v>
      </c>
      <c r="C149" s="304">
        <f t="shared" si="2"/>
        <v>5680.5</v>
      </c>
      <c r="D149" s="281" cm="1">
        <f t="array" aca="1" ref="D149" ca="1">IF(Insumo[[#This Row],[VALOR]]=0,Insumo[TOTAL],E149/C149)</f>
        <v>0</v>
      </c>
      <c r="E149" s="69">
        <f ca="1">SUM(Insumo[[#This Row],[CAP1-3]:[CAP29]])</f>
        <v>0</v>
      </c>
      <c r="F149" s="69">
        <f ca="1">SUMIF('CAP1-3'!$B:$H,Insumo[[#This Row],[DESCRIPCION]],'CAP1-3'!$H:$H)</f>
        <v>0</v>
      </c>
      <c r="G149" s="69">
        <f ca="1">SUMIF('CAP4-5'!$B:$H,Insumo[[#This Row],[DESCRIPCION]],'CAP4-5'!$H:$H)</f>
        <v>0</v>
      </c>
      <c r="H149" s="69">
        <f ca="1">SUMIF('CAP6-7'!$B:$H,Insumo[[#This Row],[DESCRIPCION]],'CAP6-7'!$H:$H)</f>
        <v>0</v>
      </c>
      <c r="I149" s="69">
        <f ca="1">SUMIF('CAP8'!$B:$H,Insumo[[#This Row],[DESCRIPCION]],'CAP8'!$H:$H)</f>
        <v>0</v>
      </c>
      <c r="J149" s="69">
        <f ca="1">SUMIF('CAP9-13'!$B:$H,Insumo[[#This Row],[DESCRIPCION]],'CAP9-13'!$H:$H)</f>
        <v>0</v>
      </c>
      <c r="K149" s="69">
        <f ca="1">SUMIF('CAP14-15'!$B:$H,Insumo[[#This Row],[DESCRIPCION]],'CAP14-15'!$H:$H)</f>
        <v>0</v>
      </c>
      <c r="L149" s="69">
        <f ca="1">SUMIF('CAP16-18'!$B:$H,Insumo[[#This Row],[DESCRIPCION]],'CAP16-18'!$H:$H)</f>
        <v>0</v>
      </c>
      <c r="M149" s="69">
        <f ca="1">SUMIF('CAP19-22'!$B:$H,Insumo[[#This Row],[DESCRIPCION]],'CAP19-22'!$H:$H)</f>
        <v>0</v>
      </c>
      <c r="N149" s="69">
        <f ca="1">SUMIF('CAP23-24'!$B:$H,Insumo[[#This Row],[DESCRIPCION]],'CAP23-24'!$H:$H)</f>
        <v>0</v>
      </c>
      <c r="O149" s="69">
        <f ca="1">SUMIF('CAP25'!$B:$H,Insumo[[#This Row],[DESCRIPCION]],'CAP25'!$H:$H)</f>
        <v>0</v>
      </c>
      <c r="P149" s="69">
        <f ca="1">SUMIF('CAP26-28'!$B:$H,Insumo[[#This Row],[DESCRIPCION]],'CAP26-28'!$H:$H)</f>
        <v>0</v>
      </c>
      <c r="Q149" s="69">
        <f ca="1">SUMIF('CAP29'!$B:$H,Insumo[[#This Row],[DESCRIPCION]],'CAP29'!$H:$H)</f>
        <v>0</v>
      </c>
      <c r="T149" s="136">
        <v>5410</v>
      </c>
    </row>
    <row r="150" spans="1:20">
      <c r="A150" s="301" t="s">
        <v>2757</v>
      </c>
      <c r="B150" s="303" t="s">
        <v>23</v>
      </c>
      <c r="C150" s="304">
        <f t="shared" si="2"/>
        <v>1705.2</v>
      </c>
      <c r="D150" s="281" cm="1">
        <f t="array" aca="1" ref="D150" ca="1">IF(Insumo[[#This Row],[VALOR]]=0,Insumo[TOTAL],E150/C150)</f>
        <v>0</v>
      </c>
      <c r="E150" s="69">
        <f ca="1">SUM(Insumo[[#This Row],[CAP1-3]:[CAP29]])</f>
        <v>0</v>
      </c>
      <c r="F150" s="69">
        <f ca="1">SUMIF('CAP1-3'!$B:$H,Insumo[[#This Row],[DESCRIPCION]],'CAP1-3'!$H:$H)</f>
        <v>0</v>
      </c>
      <c r="G150" s="69">
        <f ca="1">SUMIF('CAP4-5'!$B:$H,Insumo[[#This Row],[DESCRIPCION]],'CAP4-5'!$H:$H)</f>
        <v>0</v>
      </c>
      <c r="H150" s="69">
        <f ca="1">SUMIF('CAP6-7'!$B:$H,Insumo[[#This Row],[DESCRIPCION]],'CAP6-7'!$H:$H)</f>
        <v>0</v>
      </c>
      <c r="I150" s="69">
        <f ca="1">SUMIF('CAP8'!$B:$H,Insumo[[#This Row],[DESCRIPCION]],'CAP8'!$H:$H)</f>
        <v>0</v>
      </c>
      <c r="J150" s="69">
        <f ca="1">SUMIF('CAP9-13'!$B:$H,Insumo[[#This Row],[DESCRIPCION]],'CAP9-13'!$H:$H)</f>
        <v>0</v>
      </c>
      <c r="K150" s="69">
        <f ca="1">SUMIF('CAP14-15'!$B:$H,Insumo[[#This Row],[DESCRIPCION]],'CAP14-15'!$H:$H)</f>
        <v>0</v>
      </c>
      <c r="L150" s="69">
        <f ca="1">SUMIF('CAP16-18'!$B:$H,Insumo[[#This Row],[DESCRIPCION]],'CAP16-18'!$H:$H)</f>
        <v>0</v>
      </c>
      <c r="M150" s="69">
        <f ca="1">SUMIF('CAP19-22'!$B:$H,Insumo[[#This Row],[DESCRIPCION]],'CAP19-22'!$H:$H)</f>
        <v>0</v>
      </c>
      <c r="N150" s="69">
        <f ca="1">SUMIF('CAP23-24'!$B:$H,Insumo[[#This Row],[DESCRIPCION]],'CAP23-24'!$H:$H)</f>
        <v>0</v>
      </c>
      <c r="O150" s="69">
        <f ca="1">SUMIF('CAP25'!$B:$H,Insumo[[#This Row],[DESCRIPCION]],'CAP25'!$H:$H)</f>
        <v>0</v>
      </c>
      <c r="P150" s="69">
        <f ca="1">SUMIF('CAP26-28'!$B:$H,Insumo[[#This Row],[DESCRIPCION]],'CAP26-28'!$H:$H)</f>
        <v>0</v>
      </c>
      <c r="Q150" s="69">
        <f ca="1">SUMIF('CAP29'!$B:$H,Insumo[[#This Row],[DESCRIPCION]],'CAP29'!$H:$H)</f>
        <v>0</v>
      </c>
      <c r="T150" s="136">
        <v>1624</v>
      </c>
    </row>
    <row r="151" spans="1:20">
      <c r="A151" s="301" t="s">
        <v>2758</v>
      </c>
      <c r="B151" s="303" t="s">
        <v>23</v>
      </c>
      <c r="C151" s="304">
        <f t="shared" si="2"/>
        <v>396291</v>
      </c>
      <c r="D151" s="281" cm="1">
        <f t="array" aca="1" ref="D151" ca="1">IF(Insumo[[#This Row],[VALOR]]=0,Insumo[TOTAL],E151/C151)</f>
        <v>0</v>
      </c>
      <c r="E151" s="69">
        <f ca="1">SUM(Insumo[[#This Row],[CAP1-3]:[CAP29]])</f>
        <v>0</v>
      </c>
      <c r="F151" s="69">
        <f ca="1">SUMIF('CAP1-3'!$B:$H,Insumo[[#This Row],[DESCRIPCION]],'CAP1-3'!$H:$H)</f>
        <v>0</v>
      </c>
      <c r="G151" s="69">
        <f ca="1">SUMIF('CAP4-5'!$B:$H,Insumo[[#This Row],[DESCRIPCION]],'CAP4-5'!$H:$H)</f>
        <v>0</v>
      </c>
      <c r="H151" s="69">
        <f ca="1">SUMIF('CAP6-7'!$B:$H,Insumo[[#This Row],[DESCRIPCION]],'CAP6-7'!$H:$H)</f>
        <v>0</v>
      </c>
      <c r="I151" s="69">
        <f ca="1">SUMIF('CAP8'!$B:$H,Insumo[[#This Row],[DESCRIPCION]],'CAP8'!$H:$H)</f>
        <v>0</v>
      </c>
      <c r="J151" s="69">
        <f ca="1">SUMIF('CAP9-13'!$B:$H,Insumo[[#This Row],[DESCRIPCION]],'CAP9-13'!$H:$H)</f>
        <v>0</v>
      </c>
      <c r="K151" s="69">
        <f ca="1">SUMIF('CAP14-15'!$B:$H,Insumo[[#This Row],[DESCRIPCION]],'CAP14-15'!$H:$H)</f>
        <v>0</v>
      </c>
      <c r="L151" s="69">
        <f ca="1">SUMIF('CAP16-18'!$B:$H,Insumo[[#This Row],[DESCRIPCION]],'CAP16-18'!$H:$H)</f>
        <v>0</v>
      </c>
      <c r="M151" s="69">
        <f ca="1">SUMIF('CAP19-22'!$B:$H,Insumo[[#This Row],[DESCRIPCION]],'CAP19-22'!$H:$H)</f>
        <v>0</v>
      </c>
      <c r="N151" s="69">
        <f ca="1">SUMIF('CAP23-24'!$B:$H,Insumo[[#This Row],[DESCRIPCION]],'CAP23-24'!$H:$H)</f>
        <v>0</v>
      </c>
      <c r="O151" s="69">
        <f ca="1">SUMIF('CAP25'!$B:$H,Insumo[[#This Row],[DESCRIPCION]],'CAP25'!$H:$H)</f>
        <v>0</v>
      </c>
      <c r="P151" s="69">
        <f ca="1">SUMIF('CAP26-28'!$B:$H,Insumo[[#This Row],[DESCRIPCION]],'CAP26-28'!$H:$H)</f>
        <v>0</v>
      </c>
      <c r="Q151" s="69">
        <f ca="1">SUMIF('CAP29'!$B:$H,Insumo[[#This Row],[DESCRIPCION]],'CAP29'!$H:$H)</f>
        <v>0</v>
      </c>
      <c r="T151" s="136">
        <v>377420</v>
      </c>
    </row>
    <row r="152" spans="1:20">
      <c r="A152" s="301" t="s">
        <v>2759</v>
      </c>
      <c r="B152" s="303" t="s">
        <v>338</v>
      </c>
      <c r="C152" s="304">
        <f t="shared" si="2"/>
        <v>10864.35</v>
      </c>
      <c r="D152" s="281" cm="1">
        <f t="array" aca="1" ref="D152" ca="1">IF(Insumo[[#This Row],[VALOR]]=0,Insumo[TOTAL],E152/C152)</f>
        <v>0</v>
      </c>
      <c r="E152" s="69">
        <f ca="1">SUM(Insumo[[#This Row],[CAP1-3]:[CAP29]])</f>
        <v>0</v>
      </c>
      <c r="F152" s="69">
        <f ca="1">SUMIF('CAP1-3'!$B:$H,Insumo[[#This Row],[DESCRIPCION]],'CAP1-3'!$H:$H)</f>
        <v>0</v>
      </c>
      <c r="G152" s="69">
        <f ca="1">SUMIF('CAP4-5'!$B:$H,Insumo[[#This Row],[DESCRIPCION]],'CAP4-5'!$H:$H)</f>
        <v>0</v>
      </c>
      <c r="H152" s="69">
        <f ca="1">SUMIF('CAP6-7'!$B:$H,Insumo[[#This Row],[DESCRIPCION]],'CAP6-7'!$H:$H)</f>
        <v>0</v>
      </c>
      <c r="I152" s="69">
        <f ca="1">SUMIF('CAP8'!$B:$H,Insumo[[#This Row],[DESCRIPCION]],'CAP8'!$H:$H)</f>
        <v>0</v>
      </c>
      <c r="J152" s="69">
        <f ca="1">SUMIF('CAP9-13'!$B:$H,Insumo[[#This Row],[DESCRIPCION]],'CAP9-13'!$H:$H)</f>
        <v>0</v>
      </c>
      <c r="K152" s="69">
        <f ca="1">SUMIF('CAP14-15'!$B:$H,Insumo[[#This Row],[DESCRIPCION]],'CAP14-15'!$H:$H)</f>
        <v>0</v>
      </c>
      <c r="L152" s="69">
        <f ca="1">SUMIF('CAP16-18'!$B:$H,Insumo[[#This Row],[DESCRIPCION]],'CAP16-18'!$H:$H)</f>
        <v>0</v>
      </c>
      <c r="M152" s="69">
        <f ca="1">SUMIF('CAP19-22'!$B:$H,Insumo[[#This Row],[DESCRIPCION]],'CAP19-22'!$H:$H)</f>
        <v>0</v>
      </c>
      <c r="N152" s="69">
        <f ca="1">SUMIF('CAP23-24'!$B:$H,Insumo[[#This Row],[DESCRIPCION]],'CAP23-24'!$H:$H)</f>
        <v>0</v>
      </c>
      <c r="O152" s="69">
        <f ca="1">SUMIF('CAP25'!$B:$H,Insumo[[#This Row],[DESCRIPCION]],'CAP25'!$H:$H)</f>
        <v>0</v>
      </c>
      <c r="P152" s="69">
        <f ca="1">SUMIF('CAP26-28'!$B:$H,Insumo[[#This Row],[DESCRIPCION]],'CAP26-28'!$H:$H)</f>
        <v>0</v>
      </c>
      <c r="Q152" s="69">
        <f ca="1">SUMIF('CAP29'!$B:$H,Insumo[[#This Row],[DESCRIPCION]],'CAP29'!$H:$H)</f>
        <v>0</v>
      </c>
      <c r="T152" s="136">
        <v>10347</v>
      </c>
    </row>
    <row r="153" spans="1:20">
      <c r="A153" s="301" t="s">
        <v>2760</v>
      </c>
      <c r="B153" s="303" t="s">
        <v>23</v>
      </c>
      <c r="C153" s="304">
        <f t="shared" si="2"/>
        <v>26710.95</v>
      </c>
      <c r="D153" s="281" cm="1">
        <f t="array" aca="1" ref="D153" ca="1">IF(Insumo[[#This Row],[VALOR]]=0,Insumo[TOTAL],E153/C153)</f>
        <v>0</v>
      </c>
      <c r="E153" s="69">
        <f ca="1">SUM(Insumo[[#This Row],[CAP1-3]:[CAP29]])</f>
        <v>0</v>
      </c>
      <c r="F153" s="69">
        <f ca="1">SUMIF('CAP1-3'!$B:$H,Insumo[[#This Row],[DESCRIPCION]],'CAP1-3'!$H:$H)</f>
        <v>0</v>
      </c>
      <c r="G153" s="69">
        <f ca="1">SUMIF('CAP4-5'!$B:$H,Insumo[[#This Row],[DESCRIPCION]],'CAP4-5'!$H:$H)</f>
        <v>0</v>
      </c>
      <c r="H153" s="69">
        <f ca="1">SUMIF('CAP6-7'!$B:$H,Insumo[[#This Row],[DESCRIPCION]],'CAP6-7'!$H:$H)</f>
        <v>0</v>
      </c>
      <c r="I153" s="69">
        <f ca="1">SUMIF('CAP8'!$B:$H,Insumo[[#This Row],[DESCRIPCION]],'CAP8'!$H:$H)</f>
        <v>0</v>
      </c>
      <c r="J153" s="69">
        <f ca="1">SUMIF('CAP9-13'!$B:$H,Insumo[[#This Row],[DESCRIPCION]],'CAP9-13'!$H:$H)</f>
        <v>0</v>
      </c>
      <c r="K153" s="69">
        <f ca="1">SUMIF('CAP14-15'!$B:$H,Insumo[[#This Row],[DESCRIPCION]],'CAP14-15'!$H:$H)</f>
        <v>0</v>
      </c>
      <c r="L153" s="69">
        <f ca="1">SUMIF('CAP16-18'!$B:$H,Insumo[[#This Row],[DESCRIPCION]],'CAP16-18'!$H:$H)</f>
        <v>0</v>
      </c>
      <c r="M153" s="69">
        <f ca="1">SUMIF('CAP19-22'!$B:$H,Insumo[[#This Row],[DESCRIPCION]],'CAP19-22'!$H:$H)</f>
        <v>0</v>
      </c>
      <c r="N153" s="69">
        <f ca="1">SUMIF('CAP23-24'!$B:$H,Insumo[[#This Row],[DESCRIPCION]],'CAP23-24'!$H:$H)</f>
        <v>0</v>
      </c>
      <c r="O153" s="69">
        <f ca="1">SUMIF('CAP25'!$B:$H,Insumo[[#This Row],[DESCRIPCION]],'CAP25'!$H:$H)</f>
        <v>0</v>
      </c>
      <c r="P153" s="69">
        <f ca="1">SUMIF('CAP26-28'!$B:$H,Insumo[[#This Row],[DESCRIPCION]],'CAP26-28'!$H:$H)</f>
        <v>0</v>
      </c>
      <c r="Q153" s="69">
        <f ca="1">SUMIF('CAP29'!$B:$H,Insumo[[#This Row],[DESCRIPCION]],'CAP29'!$H:$H)</f>
        <v>0</v>
      </c>
      <c r="T153" s="136">
        <v>25439</v>
      </c>
    </row>
    <row r="154" spans="1:20">
      <c r="A154" s="301" t="s">
        <v>2761</v>
      </c>
      <c r="B154" s="303" t="s">
        <v>23</v>
      </c>
      <c r="C154" s="304">
        <f t="shared" si="2"/>
        <v>1079.4000000000001</v>
      </c>
      <c r="D154" s="281" cm="1">
        <f t="array" aca="1" ref="D154" ca="1">IF(Insumo[[#This Row],[VALOR]]=0,Insumo[TOTAL],E154/C154)</f>
        <v>0</v>
      </c>
      <c r="E154" s="69">
        <f ca="1">SUM(Insumo[[#This Row],[CAP1-3]:[CAP29]])</f>
        <v>0</v>
      </c>
      <c r="F154" s="69">
        <f ca="1">SUMIF('CAP1-3'!$B:$H,Insumo[[#This Row],[DESCRIPCION]],'CAP1-3'!$H:$H)</f>
        <v>0</v>
      </c>
      <c r="G154" s="69">
        <f ca="1">SUMIF('CAP4-5'!$B:$H,Insumo[[#This Row],[DESCRIPCION]],'CAP4-5'!$H:$H)</f>
        <v>0</v>
      </c>
      <c r="H154" s="69">
        <f ca="1">SUMIF('CAP6-7'!$B:$H,Insumo[[#This Row],[DESCRIPCION]],'CAP6-7'!$H:$H)</f>
        <v>0</v>
      </c>
      <c r="I154" s="69">
        <f ca="1">SUMIF('CAP8'!$B:$H,Insumo[[#This Row],[DESCRIPCION]],'CAP8'!$H:$H)</f>
        <v>0</v>
      </c>
      <c r="J154" s="69">
        <f ca="1">SUMIF('CAP9-13'!$B:$H,Insumo[[#This Row],[DESCRIPCION]],'CAP9-13'!$H:$H)</f>
        <v>0</v>
      </c>
      <c r="K154" s="69">
        <f ca="1">SUMIF('CAP14-15'!$B:$H,Insumo[[#This Row],[DESCRIPCION]],'CAP14-15'!$H:$H)</f>
        <v>0</v>
      </c>
      <c r="L154" s="69">
        <f ca="1">SUMIF('CAP16-18'!$B:$H,Insumo[[#This Row],[DESCRIPCION]],'CAP16-18'!$H:$H)</f>
        <v>0</v>
      </c>
      <c r="M154" s="69">
        <f ca="1">SUMIF('CAP19-22'!$B:$H,Insumo[[#This Row],[DESCRIPCION]],'CAP19-22'!$H:$H)</f>
        <v>0</v>
      </c>
      <c r="N154" s="69">
        <f ca="1">SUMIF('CAP23-24'!$B:$H,Insumo[[#This Row],[DESCRIPCION]],'CAP23-24'!$H:$H)</f>
        <v>0</v>
      </c>
      <c r="O154" s="69">
        <f ca="1">SUMIF('CAP25'!$B:$H,Insumo[[#This Row],[DESCRIPCION]],'CAP25'!$H:$H)</f>
        <v>0</v>
      </c>
      <c r="P154" s="69">
        <f ca="1">SUMIF('CAP26-28'!$B:$H,Insumo[[#This Row],[DESCRIPCION]],'CAP26-28'!$H:$H)</f>
        <v>0</v>
      </c>
      <c r="Q154" s="69">
        <f ca="1">SUMIF('CAP29'!$B:$H,Insumo[[#This Row],[DESCRIPCION]],'CAP29'!$H:$H)</f>
        <v>0</v>
      </c>
      <c r="T154" s="136">
        <v>1028</v>
      </c>
    </row>
    <row r="155" spans="1:20">
      <c r="A155" s="301" t="s">
        <v>2762</v>
      </c>
      <c r="B155" s="303" t="s">
        <v>23</v>
      </c>
      <c r="C155" s="304">
        <f t="shared" si="2"/>
        <v>40816.65</v>
      </c>
      <c r="D155" s="281" cm="1">
        <f t="array" aca="1" ref="D155" ca="1">IF(Insumo[[#This Row],[VALOR]]=0,Insumo[TOTAL],E155/C155)</f>
        <v>0</v>
      </c>
      <c r="E155" s="69">
        <f ca="1">SUM(Insumo[[#This Row],[CAP1-3]:[CAP29]])</f>
        <v>0</v>
      </c>
      <c r="F155" s="69">
        <f ca="1">SUMIF('CAP1-3'!$B:$H,Insumo[[#This Row],[DESCRIPCION]],'CAP1-3'!$H:$H)</f>
        <v>0</v>
      </c>
      <c r="G155" s="69">
        <f ca="1">SUMIF('CAP4-5'!$B:$H,Insumo[[#This Row],[DESCRIPCION]],'CAP4-5'!$H:$H)</f>
        <v>0</v>
      </c>
      <c r="H155" s="69">
        <f ca="1">SUMIF('CAP6-7'!$B:$H,Insumo[[#This Row],[DESCRIPCION]],'CAP6-7'!$H:$H)</f>
        <v>0</v>
      </c>
      <c r="I155" s="69">
        <f ca="1">SUMIF('CAP8'!$B:$H,Insumo[[#This Row],[DESCRIPCION]],'CAP8'!$H:$H)</f>
        <v>0</v>
      </c>
      <c r="J155" s="69">
        <f ca="1">SUMIF('CAP9-13'!$B:$H,Insumo[[#This Row],[DESCRIPCION]],'CAP9-13'!$H:$H)</f>
        <v>0</v>
      </c>
      <c r="K155" s="69">
        <f ca="1">SUMIF('CAP14-15'!$B:$H,Insumo[[#This Row],[DESCRIPCION]],'CAP14-15'!$H:$H)</f>
        <v>0</v>
      </c>
      <c r="L155" s="69">
        <f ca="1">SUMIF('CAP16-18'!$B:$H,Insumo[[#This Row],[DESCRIPCION]],'CAP16-18'!$H:$H)</f>
        <v>0</v>
      </c>
      <c r="M155" s="69">
        <f ca="1">SUMIF('CAP19-22'!$B:$H,Insumo[[#This Row],[DESCRIPCION]],'CAP19-22'!$H:$H)</f>
        <v>0</v>
      </c>
      <c r="N155" s="69">
        <f ca="1">SUMIF('CAP23-24'!$B:$H,Insumo[[#This Row],[DESCRIPCION]],'CAP23-24'!$H:$H)</f>
        <v>0</v>
      </c>
      <c r="O155" s="69">
        <f ca="1">SUMIF('CAP25'!$B:$H,Insumo[[#This Row],[DESCRIPCION]],'CAP25'!$H:$H)</f>
        <v>0</v>
      </c>
      <c r="P155" s="69">
        <f ca="1">SUMIF('CAP26-28'!$B:$H,Insumo[[#This Row],[DESCRIPCION]],'CAP26-28'!$H:$H)</f>
        <v>0</v>
      </c>
      <c r="Q155" s="69">
        <f ca="1">SUMIF('CAP29'!$B:$H,Insumo[[#This Row],[DESCRIPCION]],'CAP29'!$H:$H)</f>
        <v>0</v>
      </c>
      <c r="T155" s="136">
        <v>38873</v>
      </c>
    </row>
    <row r="156" spans="1:20">
      <c r="A156" s="301" t="s">
        <v>2763</v>
      </c>
      <c r="B156" s="303" t="s">
        <v>23</v>
      </c>
      <c r="C156" s="304">
        <f t="shared" si="2"/>
        <v>17731.350000000002</v>
      </c>
      <c r="D156" s="281" cm="1">
        <f t="array" aca="1" ref="D156" ca="1">IF(Insumo[[#This Row],[VALOR]]=0,Insumo[TOTAL],E156/C156)</f>
        <v>0</v>
      </c>
      <c r="E156" s="69">
        <f ca="1">SUM(Insumo[[#This Row],[CAP1-3]:[CAP29]])</f>
        <v>0</v>
      </c>
      <c r="F156" s="69">
        <f ca="1">SUMIF('CAP1-3'!$B:$H,Insumo[[#This Row],[DESCRIPCION]],'CAP1-3'!$H:$H)</f>
        <v>0</v>
      </c>
      <c r="G156" s="69">
        <f ca="1">SUMIF('CAP4-5'!$B:$H,Insumo[[#This Row],[DESCRIPCION]],'CAP4-5'!$H:$H)</f>
        <v>0</v>
      </c>
      <c r="H156" s="69">
        <f ca="1">SUMIF('CAP6-7'!$B:$H,Insumo[[#This Row],[DESCRIPCION]],'CAP6-7'!$H:$H)</f>
        <v>0</v>
      </c>
      <c r="I156" s="69">
        <f ca="1">SUMIF('CAP8'!$B:$H,Insumo[[#This Row],[DESCRIPCION]],'CAP8'!$H:$H)</f>
        <v>0</v>
      </c>
      <c r="J156" s="69">
        <f ca="1">SUMIF('CAP9-13'!$B:$H,Insumo[[#This Row],[DESCRIPCION]],'CAP9-13'!$H:$H)</f>
        <v>0</v>
      </c>
      <c r="K156" s="69">
        <f ca="1">SUMIF('CAP14-15'!$B:$H,Insumo[[#This Row],[DESCRIPCION]],'CAP14-15'!$H:$H)</f>
        <v>0</v>
      </c>
      <c r="L156" s="69">
        <f ca="1">SUMIF('CAP16-18'!$B:$H,Insumo[[#This Row],[DESCRIPCION]],'CAP16-18'!$H:$H)</f>
        <v>0</v>
      </c>
      <c r="M156" s="69">
        <f ca="1">SUMIF('CAP19-22'!$B:$H,Insumo[[#This Row],[DESCRIPCION]],'CAP19-22'!$H:$H)</f>
        <v>0</v>
      </c>
      <c r="N156" s="69">
        <f ca="1">SUMIF('CAP23-24'!$B:$H,Insumo[[#This Row],[DESCRIPCION]],'CAP23-24'!$H:$H)</f>
        <v>0</v>
      </c>
      <c r="O156" s="69">
        <f ca="1">SUMIF('CAP25'!$B:$H,Insumo[[#This Row],[DESCRIPCION]],'CAP25'!$H:$H)</f>
        <v>0</v>
      </c>
      <c r="P156" s="69">
        <f ca="1">SUMIF('CAP26-28'!$B:$H,Insumo[[#This Row],[DESCRIPCION]],'CAP26-28'!$H:$H)</f>
        <v>0</v>
      </c>
      <c r="Q156" s="69">
        <f ca="1">SUMIF('CAP29'!$B:$H,Insumo[[#This Row],[DESCRIPCION]],'CAP29'!$H:$H)</f>
        <v>0</v>
      </c>
      <c r="T156" s="136">
        <v>16887</v>
      </c>
    </row>
    <row r="157" spans="1:20">
      <c r="A157" s="301" t="s">
        <v>2764</v>
      </c>
      <c r="B157" s="303" t="s">
        <v>23</v>
      </c>
      <c r="C157" s="304">
        <f t="shared" si="2"/>
        <v>25347</v>
      </c>
      <c r="D157" s="281" cm="1">
        <f t="array" aca="1" ref="D157" ca="1">IF(Insumo[[#This Row],[VALOR]]=0,Insumo[TOTAL],E157/C157)</f>
        <v>0</v>
      </c>
      <c r="E157" s="69">
        <f ca="1">SUM(Insumo[[#This Row],[CAP1-3]:[CAP29]])</f>
        <v>0</v>
      </c>
      <c r="F157" s="69">
        <f ca="1">SUMIF('CAP1-3'!$B:$H,Insumo[[#This Row],[DESCRIPCION]],'CAP1-3'!$H:$H)</f>
        <v>0</v>
      </c>
      <c r="G157" s="69">
        <f ca="1">SUMIF('CAP4-5'!$B:$H,Insumo[[#This Row],[DESCRIPCION]],'CAP4-5'!$H:$H)</f>
        <v>0</v>
      </c>
      <c r="H157" s="69">
        <f ca="1">SUMIF('CAP6-7'!$B:$H,Insumo[[#This Row],[DESCRIPCION]],'CAP6-7'!$H:$H)</f>
        <v>0</v>
      </c>
      <c r="I157" s="69">
        <f ca="1">SUMIF('CAP8'!$B:$H,Insumo[[#This Row],[DESCRIPCION]],'CAP8'!$H:$H)</f>
        <v>0</v>
      </c>
      <c r="J157" s="69">
        <f ca="1">SUMIF('CAP9-13'!$B:$H,Insumo[[#This Row],[DESCRIPCION]],'CAP9-13'!$H:$H)</f>
        <v>0</v>
      </c>
      <c r="K157" s="69">
        <f ca="1">SUMIF('CAP14-15'!$B:$H,Insumo[[#This Row],[DESCRIPCION]],'CAP14-15'!$H:$H)</f>
        <v>0</v>
      </c>
      <c r="L157" s="69">
        <f ca="1">SUMIF('CAP16-18'!$B:$H,Insumo[[#This Row],[DESCRIPCION]],'CAP16-18'!$H:$H)</f>
        <v>0</v>
      </c>
      <c r="M157" s="69">
        <f ca="1">SUMIF('CAP19-22'!$B:$H,Insumo[[#This Row],[DESCRIPCION]],'CAP19-22'!$H:$H)</f>
        <v>0</v>
      </c>
      <c r="N157" s="69">
        <f ca="1">SUMIF('CAP23-24'!$B:$H,Insumo[[#This Row],[DESCRIPCION]],'CAP23-24'!$H:$H)</f>
        <v>0</v>
      </c>
      <c r="O157" s="69">
        <f ca="1">SUMIF('CAP25'!$B:$H,Insumo[[#This Row],[DESCRIPCION]],'CAP25'!$H:$H)</f>
        <v>0</v>
      </c>
      <c r="P157" s="69">
        <f ca="1">SUMIF('CAP26-28'!$B:$H,Insumo[[#This Row],[DESCRIPCION]],'CAP26-28'!$H:$H)</f>
        <v>0</v>
      </c>
      <c r="Q157" s="69">
        <f ca="1">SUMIF('CAP29'!$B:$H,Insumo[[#This Row],[DESCRIPCION]],'CAP29'!$H:$H)</f>
        <v>0</v>
      </c>
      <c r="T157" s="136">
        <v>24140</v>
      </c>
    </row>
    <row r="158" spans="1:20">
      <c r="A158" s="301" t="s">
        <v>2765</v>
      </c>
      <c r="B158" s="303" t="s">
        <v>23</v>
      </c>
      <c r="C158" s="304">
        <f t="shared" si="2"/>
        <v>440897.10000000003</v>
      </c>
      <c r="D158" s="281" cm="1">
        <f t="array" aca="1" ref="D158" ca="1">IF(Insumo[[#This Row],[VALOR]]=0,Insumo[TOTAL],E158/C158)</f>
        <v>0</v>
      </c>
      <c r="E158" s="69">
        <f ca="1">SUM(Insumo[[#This Row],[CAP1-3]:[CAP29]])</f>
        <v>0</v>
      </c>
      <c r="F158" s="69">
        <f ca="1">SUMIF('CAP1-3'!$B:$H,Insumo[[#This Row],[DESCRIPCION]],'CAP1-3'!$H:$H)</f>
        <v>0</v>
      </c>
      <c r="G158" s="69">
        <f ca="1">SUMIF('CAP4-5'!$B:$H,Insumo[[#This Row],[DESCRIPCION]],'CAP4-5'!$H:$H)</f>
        <v>0</v>
      </c>
      <c r="H158" s="69">
        <f ca="1">SUMIF('CAP6-7'!$B:$H,Insumo[[#This Row],[DESCRIPCION]],'CAP6-7'!$H:$H)</f>
        <v>0</v>
      </c>
      <c r="I158" s="69">
        <f ca="1">SUMIF('CAP8'!$B:$H,Insumo[[#This Row],[DESCRIPCION]],'CAP8'!$H:$H)</f>
        <v>0</v>
      </c>
      <c r="J158" s="69">
        <f ca="1">SUMIF('CAP9-13'!$B:$H,Insumo[[#This Row],[DESCRIPCION]],'CAP9-13'!$H:$H)</f>
        <v>0</v>
      </c>
      <c r="K158" s="69">
        <f ca="1">SUMIF('CAP14-15'!$B:$H,Insumo[[#This Row],[DESCRIPCION]],'CAP14-15'!$H:$H)</f>
        <v>0</v>
      </c>
      <c r="L158" s="69">
        <f ca="1">SUMIF('CAP16-18'!$B:$H,Insumo[[#This Row],[DESCRIPCION]],'CAP16-18'!$H:$H)</f>
        <v>0</v>
      </c>
      <c r="M158" s="69">
        <f ca="1">SUMIF('CAP19-22'!$B:$H,Insumo[[#This Row],[DESCRIPCION]],'CAP19-22'!$H:$H)</f>
        <v>0</v>
      </c>
      <c r="N158" s="69">
        <f ca="1">SUMIF('CAP23-24'!$B:$H,Insumo[[#This Row],[DESCRIPCION]],'CAP23-24'!$H:$H)</f>
        <v>0</v>
      </c>
      <c r="O158" s="69">
        <f ca="1">SUMIF('CAP25'!$B:$H,Insumo[[#This Row],[DESCRIPCION]],'CAP25'!$H:$H)</f>
        <v>0</v>
      </c>
      <c r="P158" s="69">
        <f ca="1">SUMIF('CAP26-28'!$B:$H,Insumo[[#This Row],[DESCRIPCION]],'CAP26-28'!$H:$H)</f>
        <v>0</v>
      </c>
      <c r="Q158" s="69">
        <f ca="1">SUMIF('CAP29'!$B:$H,Insumo[[#This Row],[DESCRIPCION]],'CAP29'!$H:$H)</f>
        <v>0</v>
      </c>
      <c r="T158" s="136">
        <v>419902</v>
      </c>
    </row>
    <row r="159" spans="1:20">
      <c r="A159" s="301" t="s">
        <v>2766</v>
      </c>
      <c r="B159" s="303" t="s">
        <v>23</v>
      </c>
      <c r="C159" s="304">
        <f t="shared" si="2"/>
        <v>689758.91249999998</v>
      </c>
      <c r="D159" s="281" cm="1">
        <f t="array" aca="1" ref="D159" ca="1">IF(Insumo[[#This Row],[VALOR]]=0,Insumo[TOTAL],E159/C159)</f>
        <v>0</v>
      </c>
      <c r="E159" s="69">
        <f ca="1">SUM(Insumo[[#This Row],[CAP1-3]:[CAP29]])</f>
        <v>0</v>
      </c>
      <c r="F159" s="69">
        <f ca="1">SUMIF('CAP1-3'!$B:$H,Insumo[[#This Row],[DESCRIPCION]],'CAP1-3'!$H:$H)</f>
        <v>0</v>
      </c>
      <c r="G159" s="69">
        <f ca="1">SUMIF('CAP4-5'!$B:$H,Insumo[[#This Row],[DESCRIPCION]],'CAP4-5'!$H:$H)</f>
        <v>0</v>
      </c>
      <c r="H159" s="69">
        <f ca="1">SUMIF('CAP6-7'!$B:$H,Insumo[[#This Row],[DESCRIPCION]],'CAP6-7'!$H:$H)</f>
        <v>0</v>
      </c>
      <c r="I159" s="69">
        <f ca="1">SUMIF('CAP8'!$B:$H,Insumo[[#This Row],[DESCRIPCION]],'CAP8'!$H:$H)</f>
        <v>0</v>
      </c>
      <c r="J159" s="69">
        <f ca="1">SUMIF('CAP9-13'!$B:$H,Insumo[[#This Row],[DESCRIPCION]],'CAP9-13'!$H:$H)</f>
        <v>0</v>
      </c>
      <c r="K159" s="69">
        <f ca="1">SUMIF('CAP14-15'!$B:$H,Insumo[[#This Row],[DESCRIPCION]],'CAP14-15'!$H:$H)</f>
        <v>0</v>
      </c>
      <c r="L159" s="69">
        <f ca="1">SUMIF('CAP16-18'!$B:$H,Insumo[[#This Row],[DESCRIPCION]],'CAP16-18'!$H:$H)</f>
        <v>0</v>
      </c>
      <c r="M159" s="69">
        <f ca="1">SUMIF('CAP19-22'!$B:$H,Insumo[[#This Row],[DESCRIPCION]],'CAP19-22'!$H:$H)</f>
        <v>0</v>
      </c>
      <c r="N159" s="69">
        <f ca="1">SUMIF('CAP23-24'!$B:$H,Insumo[[#This Row],[DESCRIPCION]],'CAP23-24'!$H:$H)</f>
        <v>0</v>
      </c>
      <c r="O159" s="69">
        <f ca="1">SUMIF('CAP25'!$B:$H,Insumo[[#This Row],[DESCRIPCION]],'CAP25'!$H:$H)</f>
        <v>0</v>
      </c>
      <c r="P159" s="69">
        <f ca="1">SUMIF('CAP26-28'!$B:$H,Insumo[[#This Row],[DESCRIPCION]],'CAP26-28'!$H:$H)</f>
        <v>0</v>
      </c>
      <c r="Q159" s="69">
        <f ca="1">SUMIF('CAP29'!$B:$H,Insumo[[#This Row],[DESCRIPCION]],'CAP29'!$H:$H)</f>
        <v>0</v>
      </c>
      <c r="R159" s="290"/>
      <c r="T159" s="136">
        <v>656913.25</v>
      </c>
    </row>
    <row r="160" spans="1:20">
      <c r="A160" s="301" t="s">
        <v>2767</v>
      </c>
      <c r="B160" s="303" t="s">
        <v>23</v>
      </c>
      <c r="C160" s="304">
        <f t="shared" si="2"/>
        <v>415826.25</v>
      </c>
      <c r="D160" s="281" cm="1">
        <f t="array" aca="1" ref="D160" ca="1">IF(Insumo[[#This Row],[VALOR]]=0,Insumo[TOTAL],E160/C160)</f>
        <v>0</v>
      </c>
      <c r="E160" s="69">
        <f ca="1">SUM(Insumo[[#This Row],[CAP1-3]:[CAP29]])</f>
        <v>0</v>
      </c>
      <c r="F160" s="69">
        <f ca="1">SUMIF('CAP1-3'!$B:$H,Insumo[[#This Row],[DESCRIPCION]],'CAP1-3'!$H:$H)</f>
        <v>0</v>
      </c>
      <c r="G160" s="69">
        <f ca="1">SUMIF('CAP4-5'!$B:$H,Insumo[[#This Row],[DESCRIPCION]],'CAP4-5'!$H:$H)</f>
        <v>0</v>
      </c>
      <c r="H160" s="69">
        <f ca="1">SUMIF('CAP6-7'!$B:$H,Insumo[[#This Row],[DESCRIPCION]],'CAP6-7'!$H:$H)</f>
        <v>0</v>
      </c>
      <c r="I160" s="69">
        <f ca="1">SUMIF('CAP8'!$B:$H,Insumo[[#This Row],[DESCRIPCION]],'CAP8'!$H:$H)</f>
        <v>0</v>
      </c>
      <c r="J160" s="69">
        <f ca="1">SUMIF('CAP9-13'!$B:$H,Insumo[[#This Row],[DESCRIPCION]],'CAP9-13'!$H:$H)</f>
        <v>0</v>
      </c>
      <c r="K160" s="69">
        <f ca="1">SUMIF('CAP14-15'!$B:$H,Insumo[[#This Row],[DESCRIPCION]],'CAP14-15'!$H:$H)</f>
        <v>0</v>
      </c>
      <c r="L160" s="69">
        <f ca="1">SUMIF('CAP16-18'!$B:$H,Insumo[[#This Row],[DESCRIPCION]],'CAP16-18'!$H:$H)</f>
        <v>0</v>
      </c>
      <c r="M160" s="69">
        <f ca="1">SUMIF('CAP19-22'!$B:$H,Insumo[[#This Row],[DESCRIPCION]],'CAP19-22'!$H:$H)</f>
        <v>0</v>
      </c>
      <c r="N160" s="69">
        <f ca="1">SUMIF('CAP23-24'!$B:$H,Insumo[[#This Row],[DESCRIPCION]],'CAP23-24'!$H:$H)</f>
        <v>0</v>
      </c>
      <c r="O160" s="69">
        <f ca="1">SUMIF('CAP25'!$B:$H,Insumo[[#This Row],[DESCRIPCION]],'CAP25'!$H:$H)</f>
        <v>0</v>
      </c>
      <c r="P160" s="69">
        <f ca="1">SUMIF('CAP26-28'!$B:$H,Insumo[[#This Row],[DESCRIPCION]],'CAP26-28'!$H:$H)</f>
        <v>0</v>
      </c>
      <c r="Q160" s="69">
        <f ca="1">SUMIF('CAP29'!$B:$H,Insumo[[#This Row],[DESCRIPCION]],'CAP29'!$H:$H)</f>
        <v>0</v>
      </c>
      <c r="R160" s="290"/>
      <c r="T160" s="136">
        <v>396025</v>
      </c>
    </row>
    <row r="161" spans="1:20">
      <c r="A161" s="301" t="s">
        <v>2768</v>
      </c>
      <c r="B161" s="303" t="s">
        <v>23</v>
      </c>
      <c r="C161" s="304">
        <f t="shared" si="2"/>
        <v>1008236.25</v>
      </c>
      <c r="D161" s="281" cm="1">
        <f t="array" aca="1" ref="D161" ca="1">IF(Insumo[[#This Row],[VALOR]]=0,Insumo[TOTAL],E161/C161)</f>
        <v>0</v>
      </c>
      <c r="E161" s="69">
        <f ca="1">SUM(Insumo[[#This Row],[CAP1-3]:[CAP29]])</f>
        <v>0</v>
      </c>
      <c r="F161" s="69">
        <f ca="1">SUMIF('CAP1-3'!$B:$H,Insumo[[#This Row],[DESCRIPCION]],'CAP1-3'!$H:$H)</f>
        <v>0</v>
      </c>
      <c r="G161" s="69">
        <f ca="1">SUMIF('CAP4-5'!$B:$H,Insumo[[#This Row],[DESCRIPCION]],'CAP4-5'!$H:$H)</f>
        <v>0</v>
      </c>
      <c r="H161" s="69">
        <f ca="1">SUMIF('CAP6-7'!$B:$H,Insumo[[#This Row],[DESCRIPCION]],'CAP6-7'!$H:$H)</f>
        <v>0</v>
      </c>
      <c r="I161" s="69">
        <f ca="1">SUMIF('CAP8'!$B:$H,Insumo[[#This Row],[DESCRIPCION]],'CAP8'!$H:$H)</f>
        <v>0</v>
      </c>
      <c r="J161" s="69">
        <f ca="1">SUMIF('CAP9-13'!$B:$H,Insumo[[#This Row],[DESCRIPCION]],'CAP9-13'!$H:$H)</f>
        <v>0</v>
      </c>
      <c r="K161" s="69">
        <f ca="1">SUMIF('CAP14-15'!$B:$H,Insumo[[#This Row],[DESCRIPCION]],'CAP14-15'!$H:$H)</f>
        <v>0</v>
      </c>
      <c r="L161" s="69">
        <f ca="1">SUMIF('CAP16-18'!$B:$H,Insumo[[#This Row],[DESCRIPCION]],'CAP16-18'!$H:$H)</f>
        <v>0</v>
      </c>
      <c r="M161" s="69">
        <f ca="1">SUMIF('CAP19-22'!$B:$H,Insumo[[#This Row],[DESCRIPCION]],'CAP19-22'!$H:$H)</f>
        <v>0</v>
      </c>
      <c r="N161" s="69">
        <f ca="1">SUMIF('CAP23-24'!$B:$H,Insumo[[#This Row],[DESCRIPCION]],'CAP23-24'!$H:$H)</f>
        <v>0</v>
      </c>
      <c r="O161" s="69">
        <f ca="1">SUMIF('CAP25'!$B:$H,Insumo[[#This Row],[DESCRIPCION]],'CAP25'!$H:$H)</f>
        <v>0</v>
      </c>
      <c r="P161" s="69">
        <f ca="1">SUMIF('CAP26-28'!$B:$H,Insumo[[#This Row],[DESCRIPCION]],'CAP26-28'!$H:$H)</f>
        <v>0</v>
      </c>
      <c r="Q161" s="69">
        <f ca="1">SUMIF('CAP29'!$B:$H,Insumo[[#This Row],[DESCRIPCION]],'CAP29'!$H:$H)</f>
        <v>0</v>
      </c>
      <c r="R161" s="290"/>
      <c r="T161" s="136">
        <v>960225</v>
      </c>
    </row>
    <row r="162" spans="1:20">
      <c r="A162" s="301" t="s">
        <v>2769</v>
      </c>
      <c r="B162" s="303" t="s">
        <v>23</v>
      </c>
      <c r="C162" s="304">
        <f t="shared" si="2"/>
        <v>1743052.5</v>
      </c>
      <c r="D162" s="281" cm="1">
        <f t="array" aca="1" ref="D162" ca="1">IF(Insumo[[#This Row],[VALOR]]=0,Insumo[TOTAL],E162/C162)</f>
        <v>0</v>
      </c>
      <c r="E162" s="69">
        <f ca="1">SUM(Insumo[[#This Row],[CAP1-3]:[CAP29]])</f>
        <v>0</v>
      </c>
      <c r="F162" s="69">
        <f ca="1">SUMIF('CAP1-3'!$B:$H,Insumo[[#This Row],[DESCRIPCION]],'CAP1-3'!$H:$H)</f>
        <v>0</v>
      </c>
      <c r="G162" s="69">
        <f ca="1">SUMIF('CAP4-5'!$B:$H,Insumo[[#This Row],[DESCRIPCION]],'CAP4-5'!$H:$H)</f>
        <v>0</v>
      </c>
      <c r="H162" s="69">
        <f ca="1">SUMIF('CAP6-7'!$B:$H,Insumo[[#This Row],[DESCRIPCION]],'CAP6-7'!$H:$H)</f>
        <v>0</v>
      </c>
      <c r="I162" s="69">
        <f ca="1">SUMIF('CAP8'!$B:$H,Insumo[[#This Row],[DESCRIPCION]],'CAP8'!$H:$H)</f>
        <v>0</v>
      </c>
      <c r="J162" s="69">
        <f ca="1">SUMIF('CAP9-13'!$B:$H,Insumo[[#This Row],[DESCRIPCION]],'CAP9-13'!$H:$H)</f>
        <v>0</v>
      </c>
      <c r="K162" s="69">
        <f ca="1">SUMIF('CAP14-15'!$B:$H,Insumo[[#This Row],[DESCRIPCION]],'CAP14-15'!$H:$H)</f>
        <v>0</v>
      </c>
      <c r="L162" s="69">
        <f ca="1">SUMIF('CAP16-18'!$B:$H,Insumo[[#This Row],[DESCRIPCION]],'CAP16-18'!$H:$H)</f>
        <v>0</v>
      </c>
      <c r="M162" s="69">
        <f ca="1">SUMIF('CAP19-22'!$B:$H,Insumo[[#This Row],[DESCRIPCION]],'CAP19-22'!$H:$H)</f>
        <v>0</v>
      </c>
      <c r="N162" s="69">
        <f ca="1">SUMIF('CAP23-24'!$B:$H,Insumo[[#This Row],[DESCRIPCION]],'CAP23-24'!$H:$H)</f>
        <v>0</v>
      </c>
      <c r="O162" s="69">
        <f ca="1">SUMIF('CAP25'!$B:$H,Insumo[[#This Row],[DESCRIPCION]],'CAP25'!$H:$H)</f>
        <v>0</v>
      </c>
      <c r="P162" s="69">
        <f ca="1">SUMIF('CAP26-28'!$B:$H,Insumo[[#This Row],[DESCRIPCION]],'CAP26-28'!$H:$H)</f>
        <v>0</v>
      </c>
      <c r="Q162" s="69">
        <f ca="1">SUMIF('CAP29'!$B:$H,Insumo[[#This Row],[DESCRIPCION]],'CAP29'!$H:$H)</f>
        <v>0</v>
      </c>
      <c r="R162" s="290"/>
      <c r="T162" s="136">
        <v>1660050</v>
      </c>
    </row>
    <row r="163" spans="1:20">
      <c r="A163" s="301" t="s">
        <v>2770</v>
      </c>
      <c r="B163" s="303" t="s">
        <v>23</v>
      </c>
      <c r="C163" s="304">
        <f t="shared" si="2"/>
        <v>2956353.75</v>
      </c>
      <c r="D163" s="281" cm="1">
        <f t="array" aca="1" ref="D163" ca="1">IF(Insumo[[#This Row],[VALOR]]=0,Insumo[TOTAL],E163/C163)</f>
        <v>0</v>
      </c>
      <c r="E163" s="69">
        <f ca="1">SUM(Insumo[[#This Row],[CAP1-3]:[CAP29]])</f>
        <v>0</v>
      </c>
      <c r="F163" s="69">
        <f ca="1">SUMIF('CAP1-3'!$B:$H,Insumo[[#This Row],[DESCRIPCION]],'CAP1-3'!$H:$H)</f>
        <v>0</v>
      </c>
      <c r="G163" s="69">
        <f ca="1">SUMIF('CAP4-5'!$B:$H,Insumo[[#This Row],[DESCRIPCION]],'CAP4-5'!$H:$H)</f>
        <v>0</v>
      </c>
      <c r="H163" s="69">
        <f ca="1">SUMIF('CAP6-7'!$B:$H,Insumo[[#This Row],[DESCRIPCION]],'CAP6-7'!$H:$H)</f>
        <v>0</v>
      </c>
      <c r="I163" s="69">
        <f ca="1">SUMIF('CAP8'!$B:$H,Insumo[[#This Row],[DESCRIPCION]],'CAP8'!$H:$H)</f>
        <v>0</v>
      </c>
      <c r="J163" s="69">
        <f ca="1">SUMIF('CAP9-13'!$B:$H,Insumo[[#This Row],[DESCRIPCION]],'CAP9-13'!$H:$H)</f>
        <v>0</v>
      </c>
      <c r="K163" s="69">
        <f ca="1">SUMIF('CAP14-15'!$B:$H,Insumo[[#This Row],[DESCRIPCION]],'CAP14-15'!$H:$H)</f>
        <v>0</v>
      </c>
      <c r="L163" s="69">
        <f ca="1">SUMIF('CAP16-18'!$B:$H,Insumo[[#This Row],[DESCRIPCION]],'CAP16-18'!$H:$H)</f>
        <v>0</v>
      </c>
      <c r="M163" s="69">
        <f ca="1">SUMIF('CAP19-22'!$B:$H,Insumo[[#This Row],[DESCRIPCION]],'CAP19-22'!$H:$H)</f>
        <v>0</v>
      </c>
      <c r="N163" s="69">
        <f ca="1">SUMIF('CAP23-24'!$B:$H,Insumo[[#This Row],[DESCRIPCION]],'CAP23-24'!$H:$H)</f>
        <v>0</v>
      </c>
      <c r="O163" s="69">
        <f ca="1">SUMIF('CAP25'!$B:$H,Insumo[[#This Row],[DESCRIPCION]],'CAP25'!$H:$H)</f>
        <v>0</v>
      </c>
      <c r="P163" s="69">
        <f ca="1">SUMIF('CAP26-28'!$B:$H,Insumo[[#This Row],[DESCRIPCION]],'CAP26-28'!$H:$H)</f>
        <v>0</v>
      </c>
      <c r="Q163" s="69">
        <f ca="1">SUMIF('CAP29'!$B:$H,Insumo[[#This Row],[DESCRIPCION]],'CAP29'!$H:$H)</f>
        <v>0</v>
      </c>
      <c r="R163" s="290"/>
      <c r="T163" s="136">
        <v>2815575</v>
      </c>
    </row>
    <row r="164" spans="1:20">
      <c r="A164" s="301" t="s">
        <v>2771</v>
      </c>
      <c r="B164" s="303" t="s">
        <v>23</v>
      </c>
      <c r="C164" s="304">
        <f t="shared" si="2"/>
        <v>48875.4</v>
      </c>
      <c r="D164" s="281" cm="1">
        <f t="array" aca="1" ref="D164" ca="1">IF(Insumo[[#This Row],[VALOR]]=0,Insumo[TOTAL],E164/C164)</f>
        <v>0</v>
      </c>
      <c r="E164" s="69">
        <f ca="1">SUM(Insumo[[#This Row],[CAP1-3]:[CAP29]])</f>
        <v>0</v>
      </c>
      <c r="F164" s="69">
        <f ca="1">SUMIF('CAP1-3'!$B:$H,Insumo[[#This Row],[DESCRIPCION]],'CAP1-3'!$H:$H)</f>
        <v>0</v>
      </c>
      <c r="G164" s="69">
        <f ca="1">SUMIF('CAP4-5'!$B:$H,Insumo[[#This Row],[DESCRIPCION]],'CAP4-5'!$H:$H)</f>
        <v>0</v>
      </c>
      <c r="H164" s="69">
        <f ca="1">SUMIF('CAP6-7'!$B:$H,Insumo[[#This Row],[DESCRIPCION]],'CAP6-7'!$H:$H)</f>
        <v>0</v>
      </c>
      <c r="I164" s="69">
        <f ca="1">SUMIF('CAP8'!$B:$H,Insumo[[#This Row],[DESCRIPCION]],'CAP8'!$H:$H)</f>
        <v>0</v>
      </c>
      <c r="J164" s="69">
        <f ca="1">SUMIF('CAP9-13'!$B:$H,Insumo[[#This Row],[DESCRIPCION]],'CAP9-13'!$H:$H)</f>
        <v>0</v>
      </c>
      <c r="K164" s="69">
        <f ca="1">SUMIF('CAP14-15'!$B:$H,Insumo[[#This Row],[DESCRIPCION]],'CAP14-15'!$H:$H)</f>
        <v>0</v>
      </c>
      <c r="L164" s="69">
        <f ca="1">SUMIF('CAP16-18'!$B:$H,Insumo[[#This Row],[DESCRIPCION]],'CAP16-18'!$H:$H)</f>
        <v>0</v>
      </c>
      <c r="M164" s="69">
        <f ca="1">SUMIF('CAP19-22'!$B:$H,Insumo[[#This Row],[DESCRIPCION]],'CAP19-22'!$H:$H)</f>
        <v>0</v>
      </c>
      <c r="N164" s="69">
        <f ca="1">SUMIF('CAP23-24'!$B:$H,Insumo[[#This Row],[DESCRIPCION]],'CAP23-24'!$H:$H)</f>
        <v>0</v>
      </c>
      <c r="O164" s="69">
        <f ca="1">SUMIF('CAP25'!$B:$H,Insumo[[#This Row],[DESCRIPCION]],'CAP25'!$H:$H)</f>
        <v>0</v>
      </c>
      <c r="P164" s="69">
        <f ca="1">SUMIF('CAP26-28'!$B:$H,Insumo[[#This Row],[DESCRIPCION]],'CAP26-28'!$H:$H)</f>
        <v>0</v>
      </c>
      <c r="Q164" s="69">
        <f ca="1">SUMIF('CAP29'!$B:$H,Insumo[[#This Row],[DESCRIPCION]],'CAP29'!$H:$H)</f>
        <v>0</v>
      </c>
      <c r="T164" s="136">
        <v>46548</v>
      </c>
    </row>
    <row r="165" spans="1:20">
      <c r="A165" s="301" t="s">
        <v>2772</v>
      </c>
      <c r="B165" s="303" t="s">
        <v>23</v>
      </c>
      <c r="C165" s="304">
        <f t="shared" si="2"/>
        <v>17049.900000000001</v>
      </c>
      <c r="D165" s="281" cm="1">
        <f t="array" aca="1" ref="D165" ca="1">IF(Insumo[[#This Row],[VALOR]]=0,Insumo[TOTAL],E165/C165)</f>
        <v>0</v>
      </c>
      <c r="E165" s="69">
        <f ca="1">SUM(Insumo[[#This Row],[CAP1-3]:[CAP29]])</f>
        <v>0</v>
      </c>
      <c r="F165" s="69">
        <f ca="1">SUMIF('CAP1-3'!$B:$H,Insumo[[#This Row],[DESCRIPCION]],'CAP1-3'!$H:$H)</f>
        <v>0</v>
      </c>
      <c r="G165" s="69">
        <f ca="1">SUMIF('CAP4-5'!$B:$H,Insumo[[#This Row],[DESCRIPCION]],'CAP4-5'!$H:$H)</f>
        <v>0</v>
      </c>
      <c r="H165" s="69">
        <f ca="1">SUMIF('CAP6-7'!$B:$H,Insumo[[#This Row],[DESCRIPCION]],'CAP6-7'!$H:$H)</f>
        <v>0</v>
      </c>
      <c r="I165" s="69">
        <f ca="1">SUMIF('CAP8'!$B:$H,Insumo[[#This Row],[DESCRIPCION]],'CAP8'!$H:$H)</f>
        <v>0</v>
      </c>
      <c r="J165" s="69">
        <f ca="1">SUMIF('CAP9-13'!$B:$H,Insumo[[#This Row],[DESCRIPCION]],'CAP9-13'!$H:$H)</f>
        <v>0</v>
      </c>
      <c r="K165" s="69">
        <f ca="1">SUMIF('CAP14-15'!$B:$H,Insumo[[#This Row],[DESCRIPCION]],'CAP14-15'!$H:$H)</f>
        <v>0</v>
      </c>
      <c r="L165" s="69">
        <f ca="1">SUMIF('CAP16-18'!$B:$H,Insumo[[#This Row],[DESCRIPCION]],'CAP16-18'!$H:$H)</f>
        <v>0</v>
      </c>
      <c r="M165" s="69">
        <f ca="1">SUMIF('CAP19-22'!$B:$H,Insumo[[#This Row],[DESCRIPCION]],'CAP19-22'!$H:$H)</f>
        <v>0</v>
      </c>
      <c r="N165" s="69">
        <f ca="1">SUMIF('CAP23-24'!$B:$H,Insumo[[#This Row],[DESCRIPCION]],'CAP23-24'!$H:$H)</f>
        <v>0</v>
      </c>
      <c r="O165" s="69">
        <f ca="1">SUMIF('CAP25'!$B:$H,Insumo[[#This Row],[DESCRIPCION]],'CAP25'!$H:$H)</f>
        <v>0</v>
      </c>
      <c r="P165" s="69">
        <f ca="1">SUMIF('CAP26-28'!$B:$H,Insumo[[#This Row],[DESCRIPCION]],'CAP26-28'!$H:$H)</f>
        <v>0</v>
      </c>
      <c r="Q165" s="69">
        <f ca="1">SUMIF('CAP29'!$B:$H,Insumo[[#This Row],[DESCRIPCION]],'CAP29'!$H:$H)</f>
        <v>0</v>
      </c>
      <c r="T165" s="136">
        <v>16238</v>
      </c>
    </row>
    <row r="166" spans="1:20">
      <c r="A166" s="301" t="s">
        <v>2773</v>
      </c>
      <c r="B166" s="303" t="s">
        <v>23</v>
      </c>
      <c r="C166" s="304">
        <f t="shared" si="2"/>
        <v>45351.6</v>
      </c>
      <c r="D166" s="281" cm="1">
        <f t="array" aca="1" ref="D166" ca="1">IF(Insumo[[#This Row],[VALOR]]=0,Insumo[TOTAL],E166/C166)</f>
        <v>0</v>
      </c>
      <c r="E166" s="69">
        <f ca="1">SUM(Insumo[[#This Row],[CAP1-3]:[CAP29]])</f>
        <v>0</v>
      </c>
      <c r="F166" s="69">
        <f ca="1">SUMIF('CAP1-3'!$B:$H,Insumo[[#This Row],[DESCRIPCION]],'CAP1-3'!$H:$H)</f>
        <v>0</v>
      </c>
      <c r="G166" s="69">
        <f ca="1">SUMIF('CAP4-5'!$B:$H,Insumo[[#This Row],[DESCRIPCION]],'CAP4-5'!$H:$H)</f>
        <v>0</v>
      </c>
      <c r="H166" s="69">
        <f ca="1">SUMIF('CAP6-7'!$B:$H,Insumo[[#This Row],[DESCRIPCION]],'CAP6-7'!$H:$H)</f>
        <v>0</v>
      </c>
      <c r="I166" s="69">
        <f ca="1">SUMIF('CAP8'!$B:$H,Insumo[[#This Row],[DESCRIPCION]],'CAP8'!$H:$H)</f>
        <v>0</v>
      </c>
      <c r="J166" s="69">
        <f ca="1">SUMIF('CAP9-13'!$B:$H,Insumo[[#This Row],[DESCRIPCION]],'CAP9-13'!$H:$H)</f>
        <v>0</v>
      </c>
      <c r="K166" s="69">
        <f ca="1">SUMIF('CAP14-15'!$B:$H,Insumo[[#This Row],[DESCRIPCION]],'CAP14-15'!$H:$H)</f>
        <v>0</v>
      </c>
      <c r="L166" s="69">
        <f ca="1">SUMIF('CAP16-18'!$B:$H,Insumo[[#This Row],[DESCRIPCION]],'CAP16-18'!$H:$H)</f>
        <v>0</v>
      </c>
      <c r="M166" s="69">
        <f ca="1">SUMIF('CAP19-22'!$B:$H,Insumo[[#This Row],[DESCRIPCION]],'CAP19-22'!$H:$H)</f>
        <v>0</v>
      </c>
      <c r="N166" s="69">
        <f ca="1">SUMIF('CAP23-24'!$B:$H,Insumo[[#This Row],[DESCRIPCION]],'CAP23-24'!$H:$H)</f>
        <v>0</v>
      </c>
      <c r="O166" s="69">
        <f ca="1">SUMIF('CAP25'!$B:$H,Insumo[[#This Row],[DESCRIPCION]],'CAP25'!$H:$H)</f>
        <v>0</v>
      </c>
      <c r="P166" s="69">
        <f ca="1">SUMIF('CAP26-28'!$B:$H,Insumo[[#This Row],[DESCRIPCION]],'CAP26-28'!$H:$H)</f>
        <v>0</v>
      </c>
      <c r="Q166" s="69">
        <f ca="1">SUMIF('CAP29'!$B:$H,Insumo[[#This Row],[DESCRIPCION]],'CAP29'!$H:$H)</f>
        <v>0</v>
      </c>
      <c r="R166" s="136" t="s">
        <v>2774</v>
      </c>
      <c r="T166" s="136">
        <v>43192</v>
      </c>
    </row>
    <row r="167" spans="1:20">
      <c r="A167" s="301" t="s">
        <v>2775</v>
      </c>
      <c r="B167" s="303" t="s">
        <v>23</v>
      </c>
      <c r="C167" s="304">
        <f t="shared" si="2"/>
        <v>45351.6</v>
      </c>
      <c r="D167" s="281" cm="1">
        <f t="array" aca="1" ref="D167" ca="1">IF(Insumo[[#This Row],[VALOR]]=0,Insumo[TOTAL],E167/C167)</f>
        <v>0</v>
      </c>
      <c r="E167" s="69">
        <f ca="1">SUM(Insumo[[#This Row],[CAP1-3]:[CAP29]])</f>
        <v>0</v>
      </c>
      <c r="F167" s="69">
        <f ca="1">SUMIF('CAP1-3'!$B:$H,Insumo[[#This Row],[DESCRIPCION]],'CAP1-3'!$H:$H)</f>
        <v>0</v>
      </c>
      <c r="G167" s="69">
        <f ca="1">SUMIF('CAP4-5'!$B:$H,Insumo[[#This Row],[DESCRIPCION]],'CAP4-5'!$H:$H)</f>
        <v>0</v>
      </c>
      <c r="H167" s="69">
        <f ca="1">SUMIF('CAP6-7'!$B:$H,Insumo[[#This Row],[DESCRIPCION]],'CAP6-7'!$H:$H)</f>
        <v>0</v>
      </c>
      <c r="I167" s="69">
        <f ca="1">SUMIF('CAP8'!$B:$H,Insumo[[#This Row],[DESCRIPCION]],'CAP8'!$H:$H)</f>
        <v>0</v>
      </c>
      <c r="J167" s="69">
        <f ca="1">SUMIF('CAP9-13'!$B:$H,Insumo[[#This Row],[DESCRIPCION]],'CAP9-13'!$H:$H)</f>
        <v>0</v>
      </c>
      <c r="K167" s="69">
        <f ca="1">SUMIF('CAP14-15'!$B:$H,Insumo[[#This Row],[DESCRIPCION]],'CAP14-15'!$H:$H)</f>
        <v>0</v>
      </c>
      <c r="L167" s="69">
        <f ca="1">SUMIF('CAP16-18'!$B:$H,Insumo[[#This Row],[DESCRIPCION]],'CAP16-18'!$H:$H)</f>
        <v>0</v>
      </c>
      <c r="M167" s="69">
        <f ca="1">SUMIF('CAP19-22'!$B:$H,Insumo[[#This Row],[DESCRIPCION]],'CAP19-22'!$H:$H)</f>
        <v>0</v>
      </c>
      <c r="N167" s="69">
        <f ca="1">SUMIF('CAP23-24'!$B:$H,Insumo[[#This Row],[DESCRIPCION]],'CAP23-24'!$H:$H)</f>
        <v>0</v>
      </c>
      <c r="O167" s="69">
        <f ca="1">SUMIF('CAP25'!$B:$H,Insumo[[#This Row],[DESCRIPCION]],'CAP25'!$H:$H)</f>
        <v>0</v>
      </c>
      <c r="P167" s="69">
        <f ca="1">SUMIF('CAP26-28'!$B:$H,Insumo[[#This Row],[DESCRIPCION]],'CAP26-28'!$H:$H)</f>
        <v>0</v>
      </c>
      <c r="Q167" s="69">
        <f ca="1">SUMIF('CAP29'!$B:$H,Insumo[[#This Row],[DESCRIPCION]],'CAP29'!$H:$H)</f>
        <v>0</v>
      </c>
      <c r="T167" s="136">
        <v>43192</v>
      </c>
    </row>
    <row r="168" spans="1:20">
      <c r="A168" s="301" t="s">
        <v>2776</v>
      </c>
      <c r="B168" s="303" t="s">
        <v>23</v>
      </c>
      <c r="C168" s="304">
        <f t="shared" si="2"/>
        <v>51148.65</v>
      </c>
      <c r="D168" s="281" cm="1">
        <f t="array" aca="1" ref="D168" ca="1">IF(Insumo[[#This Row],[VALOR]]=0,Insumo[TOTAL],E168/C168)</f>
        <v>0</v>
      </c>
      <c r="E168" s="69">
        <f ca="1">SUM(Insumo[[#This Row],[CAP1-3]:[CAP29]])</f>
        <v>0</v>
      </c>
      <c r="F168" s="69">
        <f ca="1">SUMIF('CAP1-3'!$B:$H,Insumo[[#This Row],[DESCRIPCION]],'CAP1-3'!$H:$H)</f>
        <v>0</v>
      </c>
      <c r="G168" s="69">
        <f ca="1">SUMIF('CAP4-5'!$B:$H,Insumo[[#This Row],[DESCRIPCION]],'CAP4-5'!$H:$H)</f>
        <v>0</v>
      </c>
      <c r="H168" s="69">
        <f ca="1">SUMIF('CAP6-7'!$B:$H,Insumo[[#This Row],[DESCRIPCION]],'CAP6-7'!$H:$H)</f>
        <v>0</v>
      </c>
      <c r="I168" s="69">
        <f ca="1">SUMIF('CAP8'!$B:$H,Insumo[[#This Row],[DESCRIPCION]],'CAP8'!$H:$H)</f>
        <v>0</v>
      </c>
      <c r="J168" s="69">
        <f ca="1">SUMIF('CAP9-13'!$B:$H,Insumo[[#This Row],[DESCRIPCION]],'CAP9-13'!$H:$H)</f>
        <v>0</v>
      </c>
      <c r="K168" s="69">
        <f ca="1">SUMIF('CAP14-15'!$B:$H,Insumo[[#This Row],[DESCRIPCION]],'CAP14-15'!$H:$H)</f>
        <v>0</v>
      </c>
      <c r="L168" s="69">
        <f ca="1">SUMIF('CAP16-18'!$B:$H,Insumo[[#This Row],[DESCRIPCION]],'CAP16-18'!$H:$H)</f>
        <v>0</v>
      </c>
      <c r="M168" s="69">
        <f ca="1">SUMIF('CAP19-22'!$B:$H,Insumo[[#This Row],[DESCRIPCION]],'CAP19-22'!$H:$H)</f>
        <v>0</v>
      </c>
      <c r="N168" s="69">
        <f ca="1">SUMIF('CAP23-24'!$B:$H,Insumo[[#This Row],[DESCRIPCION]],'CAP23-24'!$H:$H)</f>
        <v>0</v>
      </c>
      <c r="O168" s="69">
        <f ca="1">SUMIF('CAP25'!$B:$H,Insumo[[#This Row],[DESCRIPCION]],'CAP25'!$H:$H)</f>
        <v>0</v>
      </c>
      <c r="P168" s="69">
        <f ca="1">SUMIF('CAP26-28'!$B:$H,Insumo[[#This Row],[DESCRIPCION]],'CAP26-28'!$H:$H)</f>
        <v>0</v>
      </c>
      <c r="Q168" s="69">
        <f ca="1">SUMIF('CAP29'!$B:$H,Insumo[[#This Row],[DESCRIPCION]],'CAP29'!$H:$H)</f>
        <v>0</v>
      </c>
      <c r="T168" s="136">
        <v>48713</v>
      </c>
    </row>
    <row r="169" spans="1:20">
      <c r="A169" s="301" t="s">
        <v>2777</v>
      </c>
      <c r="B169" s="303" t="s">
        <v>23</v>
      </c>
      <c r="C169" s="304">
        <f t="shared" si="2"/>
        <v>56717.850000000006</v>
      </c>
      <c r="D169" s="281" cm="1">
        <f t="array" aca="1" ref="D169" ca="1">IF(Insumo[[#This Row],[VALOR]]=0,Insumo[TOTAL],E169/C169)</f>
        <v>0</v>
      </c>
      <c r="E169" s="69">
        <f ca="1">SUM(Insumo[[#This Row],[CAP1-3]:[CAP29]])</f>
        <v>0</v>
      </c>
      <c r="F169" s="69">
        <f ca="1">SUMIF('CAP1-3'!$B:$H,Insumo[[#This Row],[DESCRIPCION]],'CAP1-3'!$H:$H)</f>
        <v>0</v>
      </c>
      <c r="G169" s="69">
        <f ca="1">SUMIF('CAP4-5'!$B:$H,Insumo[[#This Row],[DESCRIPCION]],'CAP4-5'!$H:$H)</f>
        <v>0</v>
      </c>
      <c r="H169" s="69">
        <f ca="1">SUMIF('CAP6-7'!$B:$H,Insumo[[#This Row],[DESCRIPCION]],'CAP6-7'!$H:$H)</f>
        <v>0</v>
      </c>
      <c r="I169" s="69">
        <f ca="1">SUMIF('CAP8'!$B:$H,Insumo[[#This Row],[DESCRIPCION]],'CAP8'!$H:$H)</f>
        <v>0</v>
      </c>
      <c r="J169" s="69">
        <f ca="1">SUMIF('CAP9-13'!$B:$H,Insumo[[#This Row],[DESCRIPCION]],'CAP9-13'!$H:$H)</f>
        <v>0</v>
      </c>
      <c r="K169" s="69">
        <f ca="1">SUMIF('CAP14-15'!$B:$H,Insumo[[#This Row],[DESCRIPCION]],'CAP14-15'!$H:$H)</f>
        <v>0</v>
      </c>
      <c r="L169" s="69">
        <f ca="1">SUMIF('CAP16-18'!$B:$H,Insumo[[#This Row],[DESCRIPCION]],'CAP16-18'!$H:$H)</f>
        <v>0</v>
      </c>
      <c r="M169" s="69">
        <f ca="1">SUMIF('CAP19-22'!$B:$H,Insumo[[#This Row],[DESCRIPCION]],'CAP19-22'!$H:$H)</f>
        <v>0</v>
      </c>
      <c r="N169" s="69">
        <f ca="1">SUMIF('CAP23-24'!$B:$H,Insumo[[#This Row],[DESCRIPCION]],'CAP23-24'!$H:$H)</f>
        <v>0</v>
      </c>
      <c r="O169" s="69">
        <f ca="1">SUMIF('CAP25'!$B:$H,Insumo[[#This Row],[DESCRIPCION]],'CAP25'!$H:$H)</f>
        <v>0</v>
      </c>
      <c r="P169" s="69">
        <f ca="1">SUMIF('CAP26-28'!$B:$H,Insumo[[#This Row],[DESCRIPCION]],'CAP26-28'!$H:$H)</f>
        <v>0</v>
      </c>
      <c r="Q169" s="69">
        <f ca="1">SUMIF('CAP29'!$B:$H,Insumo[[#This Row],[DESCRIPCION]],'CAP29'!$H:$H)</f>
        <v>0</v>
      </c>
      <c r="R169" s="136" t="s">
        <v>2774</v>
      </c>
      <c r="T169" s="136">
        <v>54017</v>
      </c>
    </row>
    <row r="170" spans="1:20">
      <c r="A170" s="301" t="s">
        <v>2778</v>
      </c>
      <c r="B170" s="303" t="s">
        <v>30</v>
      </c>
      <c r="C170" s="304">
        <f t="shared" si="2"/>
        <v>12503.4</v>
      </c>
      <c r="D170" s="281" cm="1">
        <f t="array" aca="1" ref="D170" ca="1">IF(Insumo[[#This Row],[VALOR]]=0,Insumo[TOTAL],E170/C170)</f>
        <v>0</v>
      </c>
      <c r="E170" s="69">
        <f ca="1">SUM(Insumo[[#This Row],[CAP1-3]:[CAP29]])</f>
        <v>0</v>
      </c>
      <c r="F170" s="69">
        <f ca="1">SUMIF('CAP1-3'!$B:$H,Insumo[[#This Row],[DESCRIPCION]],'CAP1-3'!$H:$H)</f>
        <v>0</v>
      </c>
      <c r="G170" s="69">
        <f ca="1">SUMIF('CAP4-5'!$B:$H,Insumo[[#This Row],[DESCRIPCION]],'CAP4-5'!$H:$H)</f>
        <v>0</v>
      </c>
      <c r="H170" s="69">
        <f ca="1">SUMIF('CAP6-7'!$B:$H,Insumo[[#This Row],[DESCRIPCION]],'CAP6-7'!$H:$H)</f>
        <v>0</v>
      </c>
      <c r="I170" s="69">
        <f ca="1">SUMIF('CAP8'!$B:$H,Insumo[[#This Row],[DESCRIPCION]],'CAP8'!$H:$H)</f>
        <v>0</v>
      </c>
      <c r="J170" s="69">
        <f ca="1">SUMIF('CAP9-13'!$B:$H,Insumo[[#This Row],[DESCRIPCION]],'CAP9-13'!$H:$H)</f>
        <v>0</v>
      </c>
      <c r="K170" s="69">
        <f ca="1">SUMIF('CAP14-15'!$B:$H,Insumo[[#This Row],[DESCRIPCION]],'CAP14-15'!$H:$H)</f>
        <v>0</v>
      </c>
      <c r="L170" s="69">
        <f ca="1">SUMIF('CAP16-18'!$B:$H,Insumo[[#This Row],[DESCRIPCION]],'CAP16-18'!$H:$H)</f>
        <v>0</v>
      </c>
      <c r="M170" s="69">
        <f ca="1">SUMIF('CAP19-22'!$B:$H,Insumo[[#This Row],[DESCRIPCION]],'CAP19-22'!$H:$H)</f>
        <v>0</v>
      </c>
      <c r="N170" s="69">
        <f ca="1">SUMIF('CAP23-24'!$B:$H,Insumo[[#This Row],[DESCRIPCION]],'CAP23-24'!$H:$H)</f>
        <v>0</v>
      </c>
      <c r="O170" s="69">
        <f ca="1">SUMIF('CAP25'!$B:$H,Insumo[[#This Row],[DESCRIPCION]],'CAP25'!$H:$H)</f>
        <v>0</v>
      </c>
      <c r="P170" s="69">
        <f ca="1">SUMIF('CAP26-28'!$B:$H,Insumo[[#This Row],[DESCRIPCION]],'CAP26-28'!$H:$H)</f>
        <v>0</v>
      </c>
      <c r="Q170" s="69">
        <f ca="1">SUMIF('CAP29'!$B:$H,Insumo[[#This Row],[DESCRIPCION]],'CAP29'!$H:$H)</f>
        <v>0</v>
      </c>
      <c r="T170" s="136">
        <v>11908</v>
      </c>
    </row>
    <row r="171" spans="1:20">
      <c r="A171" s="301" t="s">
        <v>2779</v>
      </c>
      <c r="B171" s="303" t="s">
        <v>30</v>
      </c>
      <c r="C171" s="304">
        <f t="shared" si="2"/>
        <v>17049.900000000001</v>
      </c>
      <c r="D171" s="281" cm="1">
        <f t="array" aca="1" ref="D171" ca="1">IF(Insumo[[#This Row],[VALOR]]=0,Insumo[TOTAL],E171/C171)</f>
        <v>0</v>
      </c>
      <c r="E171" s="69">
        <f ca="1">SUM(Insumo[[#This Row],[CAP1-3]:[CAP29]])</f>
        <v>0</v>
      </c>
      <c r="F171" s="69">
        <f ca="1">SUMIF('CAP1-3'!$B:$H,Insumo[[#This Row],[DESCRIPCION]],'CAP1-3'!$H:$H)</f>
        <v>0</v>
      </c>
      <c r="G171" s="69">
        <f ca="1">SUMIF('CAP4-5'!$B:$H,Insumo[[#This Row],[DESCRIPCION]],'CAP4-5'!$H:$H)</f>
        <v>0</v>
      </c>
      <c r="H171" s="69">
        <f ca="1">SUMIF('CAP6-7'!$B:$H,Insumo[[#This Row],[DESCRIPCION]],'CAP6-7'!$H:$H)</f>
        <v>0</v>
      </c>
      <c r="I171" s="69">
        <f ca="1">SUMIF('CAP8'!$B:$H,Insumo[[#This Row],[DESCRIPCION]],'CAP8'!$H:$H)</f>
        <v>0</v>
      </c>
      <c r="J171" s="69">
        <f ca="1">SUMIF('CAP9-13'!$B:$H,Insumo[[#This Row],[DESCRIPCION]],'CAP9-13'!$H:$H)</f>
        <v>0</v>
      </c>
      <c r="K171" s="69">
        <f ca="1">SUMIF('CAP14-15'!$B:$H,Insumo[[#This Row],[DESCRIPCION]],'CAP14-15'!$H:$H)</f>
        <v>0</v>
      </c>
      <c r="L171" s="69">
        <f ca="1">SUMIF('CAP16-18'!$B:$H,Insumo[[#This Row],[DESCRIPCION]],'CAP16-18'!$H:$H)</f>
        <v>0</v>
      </c>
      <c r="M171" s="69">
        <f ca="1">SUMIF('CAP19-22'!$B:$H,Insumo[[#This Row],[DESCRIPCION]],'CAP19-22'!$H:$H)</f>
        <v>0</v>
      </c>
      <c r="N171" s="69">
        <f ca="1">SUMIF('CAP23-24'!$B:$H,Insumo[[#This Row],[DESCRIPCION]],'CAP23-24'!$H:$H)</f>
        <v>0</v>
      </c>
      <c r="O171" s="69">
        <f ca="1">SUMIF('CAP25'!$B:$H,Insumo[[#This Row],[DESCRIPCION]],'CAP25'!$H:$H)</f>
        <v>0</v>
      </c>
      <c r="P171" s="69">
        <f ca="1">SUMIF('CAP26-28'!$B:$H,Insumo[[#This Row],[DESCRIPCION]],'CAP26-28'!$H:$H)</f>
        <v>0</v>
      </c>
      <c r="Q171" s="69">
        <f ca="1">SUMIF('CAP29'!$B:$H,Insumo[[#This Row],[DESCRIPCION]],'CAP29'!$H:$H)</f>
        <v>0</v>
      </c>
      <c r="T171" s="136">
        <v>16238</v>
      </c>
    </row>
    <row r="172" spans="1:20">
      <c r="A172" s="301" t="s">
        <v>2780</v>
      </c>
      <c r="B172" s="303" t="s">
        <v>30</v>
      </c>
      <c r="C172" s="304">
        <f t="shared" si="2"/>
        <v>22732.5</v>
      </c>
      <c r="D172" s="281" cm="1">
        <f t="array" aca="1" ref="D172" ca="1">IF(Insumo[[#This Row],[VALOR]]=0,Insumo[TOTAL],E172/C172)</f>
        <v>0</v>
      </c>
      <c r="E172" s="69">
        <f ca="1">SUM(Insumo[[#This Row],[CAP1-3]:[CAP29]])</f>
        <v>0</v>
      </c>
      <c r="F172" s="69">
        <f ca="1">SUMIF('CAP1-3'!$B:$H,Insumo[[#This Row],[DESCRIPCION]],'CAP1-3'!$H:$H)</f>
        <v>0</v>
      </c>
      <c r="G172" s="69">
        <f ca="1">SUMIF('CAP4-5'!$B:$H,Insumo[[#This Row],[DESCRIPCION]],'CAP4-5'!$H:$H)</f>
        <v>0</v>
      </c>
      <c r="H172" s="69">
        <f ca="1">SUMIF('CAP6-7'!$B:$H,Insumo[[#This Row],[DESCRIPCION]],'CAP6-7'!$H:$H)</f>
        <v>0</v>
      </c>
      <c r="I172" s="69">
        <f ca="1">SUMIF('CAP8'!$B:$H,Insumo[[#This Row],[DESCRIPCION]],'CAP8'!$H:$H)</f>
        <v>0</v>
      </c>
      <c r="J172" s="69">
        <f ca="1">SUMIF('CAP9-13'!$B:$H,Insumo[[#This Row],[DESCRIPCION]],'CAP9-13'!$H:$H)</f>
        <v>0</v>
      </c>
      <c r="K172" s="69">
        <f ca="1">SUMIF('CAP14-15'!$B:$H,Insumo[[#This Row],[DESCRIPCION]],'CAP14-15'!$H:$H)</f>
        <v>0</v>
      </c>
      <c r="L172" s="69">
        <f ca="1">SUMIF('CAP16-18'!$B:$H,Insumo[[#This Row],[DESCRIPCION]],'CAP16-18'!$H:$H)</f>
        <v>0</v>
      </c>
      <c r="M172" s="69">
        <f ca="1">SUMIF('CAP19-22'!$B:$H,Insumo[[#This Row],[DESCRIPCION]],'CAP19-22'!$H:$H)</f>
        <v>0</v>
      </c>
      <c r="N172" s="69">
        <f ca="1">SUMIF('CAP23-24'!$B:$H,Insumo[[#This Row],[DESCRIPCION]],'CAP23-24'!$H:$H)</f>
        <v>0</v>
      </c>
      <c r="O172" s="69">
        <f ca="1">SUMIF('CAP25'!$B:$H,Insumo[[#This Row],[DESCRIPCION]],'CAP25'!$H:$H)</f>
        <v>0</v>
      </c>
      <c r="P172" s="69">
        <f ca="1">SUMIF('CAP26-28'!$B:$H,Insumo[[#This Row],[DESCRIPCION]],'CAP26-28'!$H:$H)</f>
        <v>0</v>
      </c>
      <c r="Q172" s="69">
        <f ca="1">SUMIF('CAP29'!$B:$H,Insumo[[#This Row],[DESCRIPCION]],'CAP29'!$H:$H)</f>
        <v>0</v>
      </c>
      <c r="T172" s="136">
        <v>21650</v>
      </c>
    </row>
    <row r="173" spans="1:20">
      <c r="A173" s="301" t="s">
        <v>2781</v>
      </c>
      <c r="B173" s="303" t="s">
        <v>30</v>
      </c>
      <c r="C173" s="304">
        <f t="shared" si="2"/>
        <v>9288.3000000000011</v>
      </c>
      <c r="D173" s="281" cm="1">
        <f t="array" aca="1" ref="D173" ca="1">IF(Insumo[[#This Row],[VALOR]]=0,Insumo[TOTAL],E173/C173)</f>
        <v>0</v>
      </c>
      <c r="E173" s="69">
        <f ca="1">SUM(Insumo[[#This Row],[CAP1-3]:[CAP29]])</f>
        <v>0</v>
      </c>
      <c r="F173" s="69">
        <f ca="1">SUMIF('CAP1-3'!$B:$H,Insumo[[#This Row],[DESCRIPCION]],'CAP1-3'!$H:$H)</f>
        <v>0</v>
      </c>
      <c r="G173" s="69">
        <f ca="1">SUMIF('CAP4-5'!$B:$H,Insumo[[#This Row],[DESCRIPCION]],'CAP4-5'!$H:$H)</f>
        <v>0</v>
      </c>
      <c r="H173" s="69">
        <f ca="1">SUMIF('CAP6-7'!$B:$H,Insumo[[#This Row],[DESCRIPCION]],'CAP6-7'!$H:$H)</f>
        <v>0</v>
      </c>
      <c r="I173" s="69">
        <f ca="1">SUMIF('CAP8'!$B:$H,Insumo[[#This Row],[DESCRIPCION]],'CAP8'!$H:$H)</f>
        <v>0</v>
      </c>
      <c r="J173" s="69">
        <f ca="1">SUMIF('CAP9-13'!$B:$H,Insumo[[#This Row],[DESCRIPCION]],'CAP9-13'!$H:$H)</f>
        <v>0</v>
      </c>
      <c r="K173" s="69">
        <f ca="1">SUMIF('CAP14-15'!$B:$H,Insumo[[#This Row],[DESCRIPCION]],'CAP14-15'!$H:$H)</f>
        <v>0</v>
      </c>
      <c r="L173" s="69">
        <f ca="1">SUMIF('CAP16-18'!$B:$H,Insumo[[#This Row],[DESCRIPCION]],'CAP16-18'!$H:$H)</f>
        <v>0</v>
      </c>
      <c r="M173" s="69">
        <f ca="1">SUMIF('CAP19-22'!$B:$H,Insumo[[#This Row],[DESCRIPCION]],'CAP19-22'!$H:$H)</f>
        <v>0</v>
      </c>
      <c r="N173" s="69">
        <f ca="1">SUMIF('CAP23-24'!$B:$H,Insumo[[#This Row],[DESCRIPCION]],'CAP23-24'!$H:$H)</f>
        <v>0</v>
      </c>
      <c r="O173" s="69">
        <f ca="1">SUMIF('CAP25'!$B:$H,Insumo[[#This Row],[DESCRIPCION]],'CAP25'!$H:$H)</f>
        <v>0</v>
      </c>
      <c r="P173" s="69">
        <f ca="1">SUMIF('CAP26-28'!$B:$H,Insumo[[#This Row],[DESCRIPCION]],'CAP26-28'!$H:$H)</f>
        <v>0</v>
      </c>
      <c r="Q173" s="69">
        <f ca="1">SUMIF('CAP29'!$B:$H,Insumo[[#This Row],[DESCRIPCION]],'CAP29'!$H:$H)</f>
        <v>0</v>
      </c>
      <c r="R173" s="290"/>
      <c r="T173" s="136">
        <v>8846</v>
      </c>
    </row>
    <row r="174" spans="1:20">
      <c r="A174" s="301" t="s">
        <v>2782</v>
      </c>
      <c r="B174" s="303" t="s">
        <v>30</v>
      </c>
      <c r="C174" s="304">
        <f t="shared" si="2"/>
        <v>9794.4</v>
      </c>
      <c r="D174" s="281" cm="1">
        <f t="array" aca="1" ref="D174" ca="1">IF(Insumo[[#This Row],[VALOR]]=0,Insumo[TOTAL],E174/C174)</f>
        <v>0</v>
      </c>
      <c r="E174" s="69">
        <f ca="1">SUM(Insumo[[#This Row],[CAP1-3]:[CAP29]])</f>
        <v>0</v>
      </c>
      <c r="F174" s="69">
        <f ca="1">SUMIF('CAP1-3'!$B:$H,Insumo[[#This Row],[DESCRIPCION]],'CAP1-3'!$H:$H)</f>
        <v>0</v>
      </c>
      <c r="G174" s="69">
        <f ca="1">SUMIF('CAP4-5'!$B:$H,Insumo[[#This Row],[DESCRIPCION]],'CAP4-5'!$H:$H)</f>
        <v>0</v>
      </c>
      <c r="H174" s="69">
        <f ca="1">SUMIF('CAP6-7'!$B:$H,Insumo[[#This Row],[DESCRIPCION]],'CAP6-7'!$H:$H)</f>
        <v>0</v>
      </c>
      <c r="I174" s="69">
        <f ca="1">SUMIF('CAP8'!$B:$H,Insumo[[#This Row],[DESCRIPCION]],'CAP8'!$H:$H)</f>
        <v>0</v>
      </c>
      <c r="J174" s="69">
        <f ca="1">SUMIF('CAP9-13'!$B:$H,Insumo[[#This Row],[DESCRIPCION]],'CAP9-13'!$H:$H)</f>
        <v>0</v>
      </c>
      <c r="K174" s="69">
        <f ca="1">SUMIF('CAP14-15'!$B:$H,Insumo[[#This Row],[DESCRIPCION]],'CAP14-15'!$H:$H)</f>
        <v>0</v>
      </c>
      <c r="L174" s="69">
        <f ca="1">SUMIF('CAP16-18'!$B:$H,Insumo[[#This Row],[DESCRIPCION]],'CAP16-18'!$H:$H)</f>
        <v>0</v>
      </c>
      <c r="M174" s="69">
        <f ca="1">SUMIF('CAP19-22'!$B:$H,Insumo[[#This Row],[DESCRIPCION]],'CAP19-22'!$H:$H)</f>
        <v>0</v>
      </c>
      <c r="N174" s="69">
        <f ca="1">SUMIF('CAP23-24'!$B:$H,Insumo[[#This Row],[DESCRIPCION]],'CAP23-24'!$H:$H)</f>
        <v>0</v>
      </c>
      <c r="O174" s="69">
        <f ca="1">SUMIF('CAP25'!$B:$H,Insumo[[#This Row],[DESCRIPCION]],'CAP25'!$H:$H)</f>
        <v>0</v>
      </c>
      <c r="P174" s="69">
        <f ca="1">SUMIF('CAP26-28'!$B:$H,Insumo[[#This Row],[DESCRIPCION]],'CAP26-28'!$H:$H)</f>
        <v>0</v>
      </c>
      <c r="Q174" s="69">
        <f ca="1">SUMIF('CAP29'!$B:$H,Insumo[[#This Row],[DESCRIPCION]],'CAP29'!$H:$H)</f>
        <v>0</v>
      </c>
      <c r="R174" s="290"/>
      <c r="T174" s="136">
        <v>9328</v>
      </c>
    </row>
    <row r="175" spans="1:20">
      <c r="A175" s="301" t="s">
        <v>2783</v>
      </c>
      <c r="B175" s="303" t="s">
        <v>30</v>
      </c>
      <c r="C175" s="304">
        <f t="shared" si="2"/>
        <v>3941.7000000000003</v>
      </c>
      <c r="D175" s="281" cm="1">
        <f t="array" aca="1" ref="D175" ca="1">IF(Insumo[[#This Row],[VALOR]]=0,Insumo[TOTAL],E175/C175)</f>
        <v>0</v>
      </c>
      <c r="E175" s="69">
        <f ca="1">SUM(Insumo[[#This Row],[CAP1-3]:[CAP29]])</f>
        <v>0</v>
      </c>
      <c r="F175" s="69">
        <f ca="1">SUMIF('CAP1-3'!$B:$H,Insumo[[#This Row],[DESCRIPCION]],'CAP1-3'!$H:$H)</f>
        <v>0</v>
      </c>
      <c r="G175" s="69">
        <f ca="1">SUMIF('CAP4-5'!$B:$H,Insumo[[#This Row],[DESCRIPCION]],'CAP4-5'!$H:$H)</f>
        <v>0</v>
      </c>
      <c r="H175" s="69">
        <f ca="1">SUMIF('CAP6-7'!$B:$H,Insumo[[#This Row],[DESCRIPCION]],'CAP6-7'!$H:$H)</f>
        <v>0</v>
      </c>
      <c r="I175" s="69">
        <f ca="1">SUMIF('CAP8'!$B:$H,Insumo[[#This Row],[DESCRIPCION]],'CAP8'!$H:$H)</f>
        <v>0</v>
      </c>
      <c r="J175" s="69">
        <f ca="1">SUMIF('CAP9-13'!$B:$H,Insumo[[#This Row],[DESCRIPCION]],'CAP9-13'!$H:$H)</f>
        <v>0</v>
      </c>
      <c r="K175" s="69">
        <f ca="1">SUMIF('CAP14-15'!$B:$H,Insumo[[#This Row],[DESCRIPCION]],'CAP14-15'!$H:$H)</f>
        <v>0</v>
      </c>
      <c r="L175" s="69">
        <f ca="1">SUMIF('CAP16-18'!$B:$H,Insumo[[#This Row],[DESCRIPCION]],'CAP16-18'!$H:$H)</f>
        <v>0</v>
      </c>
      <c r="M175" s="69">
        <f ca="1">SUMIF('CAP19-22'!$B:$H,Insumo[[#This Row],[DESCRIPCION]],'CAP19-22'!$H:$H)</f>
        <v>0</v>
      </c>
      <c r="N175" s="69">
        <f ca="1">SUMIF('CAP23-24'!$B:$H,Insumo[[#This Row],[DESCRIPCION]],'CAP23-24'!$H:$H)</f>
        <v>0</v>
      </c>
      <c r="O175" s="69">
        <f ca="1">SUMIF('CAP25'!$B:$H,Insumo[[#This Row],[DESCRIPCION]],'CAP25'!$H:$H)</f>
        <v>0</v>
      </c>
      <c r="P175" s="69">
        <f ca="1">SUMIF('CAP26-28'!$B:$H,Insumo[[#This Row],[DESCRIPCION]],'CAP26-28'!$H:$H)</f>
        <v>0</v>
      </c>
      <c r="Q175" s="69">
        <f ca="1">SUMIF('CAP29'!$B:$H,Insumo[[#This Row],[DESCRIPCION]],'CAP29'!$H:$H)</f>
        <v>0</v>
      </c>
      <c r="R175" s="290"/>
      <c r="T175" s="136">
        <v>3754</v>
      </c>
    </row>
    <row r="176" spans="1:20">
      <c r="A176" s="301" t="s">
        <v>2784</v>
      </c>
      <c r="B176" s="303" t="s">
        <v>30</v>
      </c>
      <c r="C176" s="304">
        <f t="shared" si="2"/>
        <v>4987.5</v>
      </c>
      <c r="D176" s="281" cm="1">
        <f t="array" aca="1" ref="D176" ca="1">IF(Insumo[[#This Row],[VALOR]]=0,Insumo[TOTAL],E176/C176)</f>
        <v>0</v>
      </c>
      <c r="E176" s="69">
        <f ca="1">SUM(Insumo[[#This Row],[CAP1-3]:[CAP29]])</f>
        <v>0</v>
      </c>
      <c r="F176" s="69">
        <f ca="1">SUMIF('CAP1-3'!$B:$H,Insumo[[#This Row],[DESCRIPCION]],'CAP1-3'!$H:$H)</f>
        <v>0</v>
      </c>
      <c r="G176" s="69">
        <f ca="1">SUMIF('CAP4-5'!$B:$H,Insumo[[#This Row],[DESCRIPCION]],'CAP4-5'!$H:$H)</f>
        <v>0</v>
      </c>
      <c r="H176" s="69">
        <f ca="1">SUMIF('CAP6-7'!$B:$H,Insumo[[#This Row],[DESCRIPCION]],'CAP6-7'!$H:$H)</f>
        <v>0</v>
      </c>
      <c r="I176" s="69">
        <f ca="1">SUMIF('CAP8'!$B:$H,Insumo[[#This Row],[DESCRIPCION]],'CAP8'!$H:$H)</f>
        <v>0</v>
      </c>
      <c r="J176" s="69">
        <f ca="1">SUMIF('CAP9-13'!$B:$H,Insumo[[#This Row],[DESCRIPCION]],'CAP9-13'!$H:$H)</f>
        <v>0</v>
      </c>
      <c r="K176" s="69">
        <f ca="1">SUMIF('CAP14-15'!$B:$H,Insumo[[#This Row],[DESCRIPCION]],'CAP14-15'!$H:$H)</f>
        <v>0</v>
      </c>
      <c r="L176" s="69">
        <f ca="1">SUMIF('CAP16-18'!$B:$H,Insumo[[#This Row],[DESCRIPCION]],'CAP16-18'!$H:$H)</f>
        <v>0</v>
      </c>
      <c r="M176" s="69">
        <f ca="1">SUMIF('CAP19-22'!$B:$H,Insumo[[#This Row],[DESCRIPCION]],'CAP19-22'!$H:$H)</f>
        <v>0</v>
      </c>
      <c r="N176" s="69">
        <f ca="1">SUMIF('CAP23-24'!$B:$H,Insumo[[#This Row],[DESCRIPCION]],'CAP23-24'!$H:$H)</f>
        <v>0</v>
      </c>
      <c r="O176" s="69">
        <f ca="1">SUMIF('CAP25'!$B:$H,Insumo[[#This Row],[DESCRIPCION]],'CAP25'!$H:$H)</f>
        <v>0</v>
      </c>
      <c r="P176" s="69">
        <f ca="1">SUMIF('CAP26-28'!$B:$H,Insumo[[#This Row],[DESCRIPCION]],'CAP26-28'!$H:$H)</f>
        <v>0</v>
      </c>
      <c r="Q176" s="69">
        <f ca="1">SUMIF('CAP29'!$B:$H,Insumo[[#This Row],[DESCRIPCION]],'CAP29'!$H:$H)</f>
        <v>0</v>
      </c>
      <c r="R176" s="290"/>
      <c r="T176" s="136">
        <v>4750</v>
      </c>
    </row>
    <row r="177" spans="1:20">
      <c r="A177" s="301" t="s">
        <v>2785</v>
      </c>
      <c r="B177" s="303" t="s">
        <v>30</v>
      </c>
      <c r="C177" s="304">
        <f t="shared" si="2"/>
        <v>46709.25</v>
      </c>
      <c r="D177" s="281" cm="1">
        <f t="array" aca="1" ref="D177" ca="1">IF(Insumo[[#This Row],[VALOR]]=0,Insumo[TOTAL],E177/C177)</f>
        <v>0</v>
      </c>
      <c r="E177" s="69">
        <f ca="1">SUM(Insumo[[#This Row],[CAP1-3]:[CAP29]])</f>
        <v>0</v>
      </c>
      <c r="F177" s="69">
        <f ca="1">SUMIF('CAP1-3'!$B:$H,Insumo[[#This Row],[DESCRIPCION]],'CAP1-3'!$H:$H)</f>
        <v>0</v>
      </c>
      <c r="G177" s="69">
        <f ca="1">SUMIF('CAP4-5'!$B:$H,Insumo[[#This Row],[DESCRIPCION]],'CAP4-5'!$H:$H)</f>
        <v>0</v>
      </c>
      <c r="H177" s="69">
        <f ca="1">SUMIF('CAP6-7'!$B:$H,Insumo[[#This Row],[DESCRIPCION]],'CAP6-7'!$H:$H)</f>
        <v>0</v>
      </c>
      <c r="I177" s="69">
        <f ca="1">SUMIF('CAP8'!$B:$H,Insumo[[#This Row],[DESCRIPCION]],'CAP8'!$H:$H)</f>
        <v>0</v>
      </c>
      <c r="J177" s="69">
        <f ca="1">SUMIF('CAP9-13'!$B:$H,Insumo[[#This Row],[DESCRIPCION]],'CAP9-13'!$H:$H)</f>
        <v>0</v>
      </c>
      <c r="K177" s="69">
        <f ca="1">SUMIF('CAP14-15'!$B:$H,Insumo[[#This Row],[DESCRIPCION]],'CAP14-15'!$H:$H)</f>
        <v>0</v>
      </c>
      <c r="L177" s="69">
        <f ca="1">SUMIF('CAP16-18'!$B:$H,Insumo[[#This Row],[DESCRIPCION]],'CAP16-18'!$H:$H)</f>
        <v>0</v>
      </c>
      <c r="M177" s="69">
        <f ca="1">SUMIF('CAP19-22'!$B:$H,Insumo[[#This Row],[DESCRIPCION]],'CAP19-22'!$H:$H)</f>
        <v>0</v>
      </c>
      <c r="N177" s="69">
        <f ca="1">SUMIF('CAP23-24'!$B:$H,Insumo[[#This Row],[DESCRIPCION]],'CAP23-24'!$H:$H)</f>
        <v>0</v>
      </c>
      <c r="O177" s="69">
        <f ca="1">SUMIF('CAP25'!$B:$H,Insumo[[#This Row],[DESCRIPCION]],'CAP25'!$H:$H)</f>
        <v>0</v>
      </c>
      <c r="P177" s="69">
        <f ca="1">SUMIF('CAP26-28'!$B:$H,Insumo[[#This Row],[DESCRIPCION]],'CAP26-28'!$H:$H)</f>
        <v>0</v>
      </c>
      <c r="Q177" s="69">
        <f ca="1">SUMIF('CAP29'!$B:$H,Insumo[[#This Row],[DESCRIPCION]],'CAP29'!$H:$H)</f>
        <v>0</v>
      </c>
      <c r="R177" s="290"/>
      <c r="T177" s="136">
        <v>44485</v>
      </c>
    </row>
    <row r="178" spans="1:20">
      <c r="A178" s="301" t="s">
        <v>2786</v>
      </c>
      <c r="B178" s="303" t="s">
        <v>30</v>
      </c>
      <c r="C178" s="304">
        <f t="shared" si="2"/>
        <v>23924.25</v>
      </c>
      <c r="D178" s="281" cm="1">
        <f t="array" aca="1" ref="D178" ca="1">IF(Insumo[[#This Row],[VALOR]]=0,Insumo[TOTAL],E178/C178)</f>
        <v>0</v>
      </c>
      <c r="E178" s="69">
        <f ca="1">SUM(Insumo[[#This Row],[CAP1-3]:[CAP29]])</f>
        <v>0</v>
      </c>
      <c r="F178" s="69">
        <f ca="1">SUMIF('CAP1-3'!$B:$H,Insumo[[#This Row],[DESCRIPCION]],'CAP1-3'!$H:$H)</f>
        <v>0</v>
      </c>
      <c r="G178" s="69">
        <f ca="1">SUMIF('CAP4-5'!$B:$H,Insumo[[#This Row],[DESCRIPCION]],'CAP4-5'!$H:$H)</f>
        <v>0</v>
      </c>
      <c r="H178" s="69">
        <f ca="1">SUMIF('CAP6-7'!$B:$H,Insumo[[#This Row],[DESCRIPCION]],'CAP6-7'!$H:$H)</f>
        <v>0</v>
      </c>
      <c r="I178" s="69">
        <f ca="1">SUMIF('CAP8'!$B:$H,Insumo[[#This Row],[DESCRIPCION]],'CAP8'!$H:$H)</f>
        <v>0</v>
      </c>
      <c r="J178" s="69">
        <f ca="1">SUMIF('CAP9-13'!$B:$H,Insumo[[#This Row],[DESCRIPCION]],'CAP9-13'!$H:$H)</f>
        <v>0</v>
      </c>
      <c r="K178" s="69">
        <f ca="1">SUMIF('CAP14-15'!$B:$H,Insumo[[#This Row],[DESCRIPCION]],'CAP14-15'!$H:$H)</f>
        <v>0</v>
      </c>
      <c r="L178" s="69">
        <f ca="1">SUMIF('CAP16-18'!$B:$H,Insumo[[#This Row],[DESCRIPCION]],'CAP16-18'!$H:$H)</f>
        <v>0</v>
      </c>
      <c r="M178" s="69">
        <f ca="1">SUMIF('CAP19-22'!$B:$H,Insumo[[#This Row],[DESCRIPCION]],'CAP19-22'!$H:$H)</f>
        <v>0</v>
      </c>
      <c r="N178" s="69">
        <f ca="1">SUMIF('CAP23-24'!$B:$H,Insumo[[#This Row],[DESCRIPCION]],'CAP23-24'!$H:$H)</f>
        <v>0</v>
      </c>
      <c r="O178" s="69">
        <f ca="1">SUMIF('CAP25'!$B:$H,Insumo[[#This Row],[DESCRIPCION]],'CAP25'!$H:$H)</f>
        <v>0</v>
      </c>
      <c r="P178" s="69">
        <f ca="1">SUMIF('CAP26-28'!$B:$H,Insumo[[#This Row],[DESCRIPCION]],'CAP26-28'!$H:$H)</f>
        <v>0</v>
      </c>
      <c r="Q178" s="69">
        <f ca="1">SUMIF('CAP29'!$B:$H,Insumo[[#This Row],[DESCRIPCION]],'CAP29'!$H:$H)</f>
        <v>0</v>
      </c>
      <c r="R178" s="290"/>
      <c r="T178" s="136">
        <v>22785</v>
      </c>
    </row>
    <row r="179" spans="1:20">
      <c r="A179" s="301" t="s">
        <v>2787</v>
      </c>
      <c r="B179" s="303" t="s">
        <v>30</v>
      </c>
      <c r="C179" s="304">
        <f t="shared" si="2"/>
        <v>14353.5</v>
      </c>
      <c r="D179" s="281" cm="1">
        <f t="array" aca="1" ref="D179" ca="1">IF(Insumo[[#This Row],[VALOR]]=0,Insumo[TOTAL],E179/C179)</f>
        <v>0</v>
      </c>
      <c r="E179" s="69">
        <f ca="1">SUM(Insumo[[#This Row],[CAP1-3]:[CAP29]])</f>
        <v>0</v>
      </c>
      <c r="F179" s="69">
        <f ca="1">SUMIF('CAP1-3'!$B:$H,Insumo[[#This Row],[DESCRIPCION]],'CAP1-3'!$H:$H)</f>
        <v>0</v>
      </c>
      <c r="G179" s="69">
        <f ca="1">SUMIF('CAP4-5'!$B:$H,Insumo[[#This Row],[DESCRIPCION]],'CAP4-5'!$H:$H)</f>
        <v>0</v>
      </c>
      <c r="H179" s="69">
        <f ca="1">SUMIF('CAP6-7'!$B:$H,Insumo[[#This Row],[DESCRIPCION]],'CAP6-7'!$H:$H)</f>
        <v>0</v>
      </c>
      <c r="I179" s="69">
        <f ca="1">SUMIF('CAP8'!$B:$H,Insumo[[#This Row],[DESCRIPCION]],'CAP8'!$H:$H)</f>
        <v>0</v>
      </c>
      <c r="J179" s="69">
        <f ca="1">SUMIF('CAP9-13'!$B:$H,Insumo[[#This Row],[DESCRIPCION]],'CAP9-13'!$H:$H)</f>
        <v>0</v>
      </c>
      <c r="K179" s="69">
        <f ca="1">SUMIF('CAP14-15'!$B:$H,Insumo[[#This Row],[DESCRIPCION]],'CAP14-15'!$H:$H)</f>
        <v>0</v>
      </c>
      <c r="L179" s="69">
        <f ca="1">SUMIF('CAP16-18'!$B:$H,Insumo[[#This Row],[DESCRIPCION]],'CAP16-18'!$H:$H)</f>
        <v>0</v>
      </c>
      <c r="M179" s="69">
        <f ca="1">SUMIF('CAP19-22'!$B:$H,Insumo[[#This Row],[DESCRIPCION]],'CAP19-22'!$H:$H)</f>
        <v>0</v>
      </c>
      <c r="N179" s="69">
        <f ca="1">SUMIF('CAP23-24'!$B:$H,Insumo[[#This Row],[DESCRIPCION]],'CAP23-24'!$H:$H)</f>
        <v>0</v>
      </c>
      <c r="O179" s="69">
        <f ca="1">SUMIF('CAP25'!$B:$H,Insumo[[#This Row],[DESCRIPCION]],'CAP25'!$H:$H)</f>
        <v>0</v>
      </c>
      <c r="P179" s="69">
        <f ca="1">SUMIF('CAP26-28'!$B:$H,Insumo[[#This Row],[DESCRIPCION]],'CAP26-28'!$H:$H)</f>
        <v>0</v>
      </c>
      <c r="Q179" s="69">
        <f ca="1">SUMIF('CAP29'!$B:$H,Insumo[[#This Row],[DESCRIPCION]],'CAP29'!$H:$H)</f>
        <v>0</v>
      </c>
      <c r="R179" s="290"/>
      <c r="T179" s="136">
        <v>13670</v>
      </c>
    </row>
    <row r="180" spans="1:20">
      <c r="A180" s="301" t="s">
        <v>2788</v>
      </c>
      <c r="B180" s="303" t="s">
        <v>30</v>
      </c>
      <c r="C180" s="304">
        <f t="shared" si="2"/>
        <v>9032.1</v>
      </c>
      <c r="D180" s="281" cm="1">
        <f t="array" aca="1" ref="D180" ca="1">IF(Insumo[[#This Row],[VALOR]]=0,Insumo[TOTAL],E180/C180)</f>
        <v>0</v>
      </c>
      <c r="E180" s="69">
        <f ca="1">SUM(Insumo[[#This Row],[CAP1-3]:[CAP29]])</f>
        <v>0</v>
      </c>
      <c r="F180" s="69">
        <f ca="1">SUMIF('CAP1-3'!$B:$H,Insumo[[#This Row],[DESCRIPCION]],'CAP1-3'!$H:$H)</f>
        <v>0</v>
      </c>
      <c r="G180" s="69">
        <f ca="1">SUMIF('CAP4-5'!$B:$H,Insumo[[#This Row],[DESCRIPCION]],'CAP4-5'!$H:$H)</f>
        <v>0</v>
      </c>
      <c r="H180" s="69">
        <f ca="1">SUMIF('CAP6-7'!$B:$H,Insumo[[#This Row],[DESCRIPCION]],'CAP6-7'!$H:$H)</f>
        <v>0</v>
      </c>
      <c r="I180" s="69">
        <f ca="1">SUMIF('CAP8'!$B:$H,Insumo[[#This Row],[DESCRIPCION]],'CAP8'!$H:$H)</f>
        <v>0</v>
      </c>
      <c r="J180" s="69">
        <f ca="1">SUMIF('CAP9-13'!$B:$H,Insumo[[#This Row],[DESCRIPCION]],'CAP9-13'!$H:$H)</f>
        <v>0</v>
      </c>
      <c r="K180" s="69">
        <f ca="1">SUMIF('CAP14-15'!$B:$H,Insumo[[#This Row],[DESCRIPCION]],'CAP14-15'!$H:$H)</f>
        <v>0</v>
      </c>
      <c r="L180" s="69">
        <f ca="1">SUMIF('CAP16-18'!$B:$H,Insumo[[#This Row],[DESCRIPCION]],'CAP16-18'!$H:$H)</f>
        <v>0</v>
      </c>
      <c r="M180" s="69">
        <f ca="1">SUMIF('CAP19-22'!$B:$H,Insumo[[#This Row],[DESCRIPCION]],'CAP19-22'!$H:$H)</f>
        <v>0</v>
      </c>
      <c r="N180" s="69">
        <f ca="1">SUMIF('CAP23-24'!$B:$H,Insumo[[#This Row],[DESCRIPCION]],'CAP23-24'!$H:$H)</f>
        <v>0</v>
      </c>
      <c r="O180" s="69">
        <f ca="1">SUMIF('CAP25'!$B:$H,Insumo[[#This Row],[DESCRIPCION]],'CAP25'!$H:$H)</f>
        <v>0</v>
      </c>
      <c r="P180" s="69">
        <f ca="1">SUMIF('CAP26-28'!$B:$H,Insumo[[#This Row],[DESCRIPCION]],'CAP26-28'!$H:$H)</f>
        <v>0</v>
      </c>
      <c r="Q180" s="69">
        <f ca="1">SUMIF('CAP29'!$B:$H,Insumo[[#This Row],[DESCRIPCION]],'CAP29'!$H:$H)</f>
        <v>0</v>
      </c>
      <c r="T180" s="136">
        <v>8602</v>
      </c>
    </row>
    <row r="181" spans="1:20">
      <c r="A181" s="301" t="s">
        <v>2789</v>
      </c>
      <c r="B181" s="303" t="s">
        <v>30</v>
      </c>
      <c r="C181" s="304">
        <f t="shared" si="2"/>
        <v>65520</v>
      </c>
      <c r="D181" s="281" cm="1">
        <f t="array" aca="1" ref="D181" ca="1">IF(Insumo[[#This Row],[VALOR]]=0,Insumo[TOTAL],E181/C181)</f>
        <v>0</v>
      </c>
      <c r="E181" s="69">
        <f ca="1">SUM(Insumo[[#This Row],[CAP1-3]:[CAP29]])</f>
        <v>0</v>
      </c>
      <c r="F181" s="69">
        <f ca="1">SUMIF('CAP1-3'!$B:$H,Insumo[[#This Row],[DESCRIPCION]],'CAP1-3'!$H:$H)</f>
        <v>0</v>
      </c>
      <c r="G181" s="69">
        <f ca="1">SUMIF('CAP4-5'!$B:$H,Insumo[[#This Row],[DESCRIPCION]],'CAP4-5'!$H:$H)</f>
        <v>0</v>
      </c>
      <c r="H181" s="69">
        <f ca="1">SUMIF('CAP6-7'!$B:$H,Insumo[[#This Row],[DESCRIPCION]],'CAP6-7'!$H:$H)</f>
        <v>0</v>
      </c>
      <c r="I181" s="69">
        <f ca="1">SUMIF('CAP8'!$B:$H,Insumo[[#This Row],[DESCRIPCION]],'CAP8'!$H:$H)</f>
        <v>0</v>
      </c>
      <c r="J181" s="69">
        <f ca="1">SUMIF('CAP9-13'!$B:$H,Insumo[[#This Row],[DESCRIPCION]],'CAP9-13'!$H:$H)</f>
        <v>0</v>
      </c>
      <c r="K181" s="69">
        <f ca="1">SUMIF('CAP14-15'!$B:$H,Insumo[[#This Row],[DESCRIPCION]],'CAP14-15'!$H:$H)</f>
        <v>0</v>
      </c>
      <c r="L181" s="69">
        <f ca="1">SUMIF('CAP16-18'!$B:$H,Insumo[[#This Row],[DESCRIPCION]],'CAP16-18'!$H:$H)</f>
        <v>0</v>
      </c>
      <c r="M181" s="69">
        <f ca="1">SUMIF('CAP19-22'!$B:$H,Insumo[[#This Row],[DESCRIPCION]],'CAP19-22'!$H:$H)</f>
        <v>0</v>
      </c>
      <c r="N181" s="69">
        <f ca="1">SUMIF('CAP23-24'!$B:$H,Insumo[[#This Row],[DESCRIPCION]],'CAP23-24'!$H:$H)</f>
        <v>0</v>
      </c>
      <c r="O181" s="69">
        <f ca="1">SUMIF('CAP25'!$B:$H,Insumo[[#This Row],[DESCRIPCION]],'CAP25'!$H:$H)</f>
        <v>0</v>
      </c>
      <c r="P181" s="69">
        <f ca="1">SUMIF('CAP26-28'!$B:$H,Insumo[[#This Row],[DESCRIPCION]],'CAP26-28'!$H:$H)</f>
        <v>0</v>
      </c>
      <c r="Q181" s="69">
        <f ca="1">SUMIF('CAP29'!$B:$H,Insumo[[#This Row],[DESCRIPCION]],'CAP29'!$H:$H)</f>
        <v>0</v>
      </c>
      <c r="R181" s="290"/>
      <c r="T181" s="136">
        <v>62400</v>
      </c>
    </row>
    <row r="182" spans="1:20">
      <c r="A182" s="301" t="s">
        <v>2790</v>
      </c>
      <c r="B182" s="303" t="s">
        <v>30</v>
      </c>
      <c r="C182" s="304">
        <f t="shared" si="2"/>
        <v>153300</v>
      </c>
      <c r="D182" s="281" cm="1">
        <f t="array" aca="1" ref="D182" ca="1">IF(Insumo[[#This Row],[VALOR]]=0,Insumo[TOTAL],E182/C182)</f>
        <v>0</v>
      </c>
      <c r="E182" s="69">
        <f ca="1">SUM(Insumo[[#This Row],[CAP1-3]:[CAP29]])</f>
        <v>0</v>
      </c>
      <c r="F182" s="69">
        <f ca="1">SUMIF('CAP1-3'!$B:$H,Insumo[[#This Row],[DESCRIPCION]],'CAP1-3'!$H:$H)</f>
        <v>0</v>
      </c>
      <c r="G182" s="69">
        <f ca="1">SUMIF('CAP4-5'!$B:$H,Insumo[[#This Row],[DESCRIPCION]],'CAP4-5'!$H:$H)</f>
        <v>0</v>
      </c>
      <c r="H182" s="69">
        <f ca="1">SUMIF('CAP6-7'!$B:$H,Insumo[[#This Row],[DESCRIPCION]],'CAP6-7'!$H:$H)</f>
        <v>0</v>
      </c>
      <c r="I182" s="69">
        <f ca="1">SUMIF('CAP8'!$B:$H,Insumo[[#This Row],[DESCRIPCION]],'CAP8'!$H:$H)</f>
        <v>0</v>
      </c>
      <c r="J182" s="69">
        <f ca="1">SUMIF('CAP9-13'!$B:$H,Insumo[[#This Row],[DESCRIPCION]],'CAP9-13'!$H:$H)</f>
        <v>0</v>
      </c>
      <c r="K182" s="69">
        <f ca="1">SUMIF('CAP14-15'!$B:$H,Insumo[[#This Row],[DESCRIPCION]],'CAP14-15'!$H:$H)</f>
        <v>0</v>
      </c>
      <c r="L182" s="69">
        <f ca="1">SUMIF('CAP16-18'!$B:$H,Insumo[[#This Row],[DESCRIPCION]],'CAP16-18'!$H:$H)</f>
        <v>0</v>
      </c>
      <c r="M182" s="69">
        <f ca="1">SUMIF('CAP19-22'!$B:$H,Insumo[[#This Row],[DESCRIPCION]],'CAP19-22'!$H:$H)</f>
        <v>0</v>
      </c>
      <c r="N182" s="69">
        <f ca="1">SUMIF('CAP23-24'!$B:$H,Insumo[[#This Row],[DESCRIPCION]],'CAP23-24'!$H:$H)</f>
        <v>0</v>
      </c>
      <c r="O182" s="69">
        <f ca="1">SUMIF('CAP25'!$B:$H,Insumo[[#This Row],[DESCRIPCION]],'CAP25'!$H:$H)</f>
        <v>0</v>
      </c>
      <c r="P182" s="69">
        <f ca="1">SUMIF('CAP26-28'!$B:$H,Insumo[[#This Row],[DESCRIPCION]],'CAP26-28'!$H:$H)</f>
        <v>0</v>
      </c>
      <c r="Q182" s="69">
        <f ca="1">SUMIF('CAP29'!$B:$H,Insumo[[#This Row],[DESCRIPCION]],'CAP29'!$H:$H)</f>
        <v>0</v>
      </c>
      <c r="R182" s="290"/>
      <c r="T182" s="136">
        <v>146000</v>
      </c>
    </row>
    <row r="183" spans="1:20">
      <c r="A183" s="301" t="s">
        <v>2791</v>
      </c>
      <c r="B183" s="303" t="s">
        <v>30</v>
      </c>
      <c r="C183" s="304">
        <f t="shared" si="2"/>
        <v>229950</v>
      </c>
      <c r="D183" s="281" cm="1">
        <f t="array" aca="1" ref="D183" ca="1">IF(Insumo[[#This Row],[VALOR]]=0,Insumo[TOTAL],E183/C183)</f>
        <v>0</v>
      </c>
      <c r="E183" s="69">
        <f ca="1">SUM(Insumo[[#This Row],[CAP1-3]:[CAP29]])</f>
        <v>0</v>
      </c>
      <c r="F183" s="69">
        <f ca="1">SUMIF('CAP1-3'!$B:$H,Insumo[[#This Row],[DESCRIPCION]],'CAP1-3'!$H:$H)</f>
        <v>0</v>
      </c>
      <c r="G183" s="69">
        <f ca="1">SUMIF('CAP4-5'!$B:$H,Insumo[[#This Row],[DESCRIPCION]],'CAP4-5'!$H:$H)</f>
        <v>0</v>
      </c>
      <c r="H183" s="69">
        <f ca="1">SUMIF('CAP6-7'!$B:$H,Insumo[[#This Row],[DESCRIPCION]],'CAP6-7'!$H:$H)</f>
        <v>0</v>
      </c>
      <c r="I183" s="69">
        <f ca="1">SUMIF('CAP8'!$B:$H,Insumo[[#This Row],[DESCRIPCION]],'CAP8'!$H:$H)</f>
        <v>0</v>
      </c>
      <c r="J183" s="69">
        <f ca="1">SUMIF('CAP9-13'!$B:$H,Insumo[[#This Row],[DESCRIPCION]],'CAP9-13'!$H:$H)</f>
        <v>0</v>
      </c>
      <c r="K183" s="69">
        <f ca="1">SUMIF('CAP14-15'!$B:$H,Insumo[[#This Row],[DESCRIPCION]],'CAP14-15'!$H:$H)</f>
        <v>0</v>
      </c>
      <c r="L183" s="69">
        <f ca="1">SUMIF('CAP16-18'!$B:$H,Insumo[[#This Row],[DESCRIPCION]],'CAP16-18'!$H:$H)</f>
        <v>0</v>
      </c>
      <c r="M183" s="69">
        <f ca="1">SUMIF('CAP19-22'!$B:$H,Insumo[[#This Row],[DESCRIPCION]],'CAP19-22'!$H:$H)</f>
        <v>0</v>
      </c>
      <c r="N183" s="69">
        <f ca="1">SUMIF('CAP23-24'!$B:$H,Insumo[[#This Row],[DESCRIPCION]],'CAP23-24'!$H:$H)</f>
        <v>0</v>
      </c>
      <c r="O183" s="69">
        <f ca="1">SUMIF('CAP25'!$B:$H,Insumo[[#This Row],[DESCRIPCION]],'CAP25'!$H:$H)</f>
        <v>0</v>
      </c>
      <c r="P183" s="69">
        <f ca="1">SUMIF('CAP26-28'!$B:$H,Insumo[[#This Row],[DESCRIPCION]],'CAP26-28'!$H:$H)</f>
        <v>0</v>
      </c>
      <c r="Q183" s="69">
        <f ca="1">SUMIF('CAP29'!$B:$H,Insumo[[#This Row],[DESCRIPCION]],'CAP29'!$H:$H)</f>
        <v>0</v>
      </c>
      <c r="R183" s="290"/>
      <c r="T183" s="136">
        <v>219000</v>
      </c>
    </row>
    <row r="184" spans="1:20">
      <c r="A184" s="301" t="s">
        <v>2792</v>
      </c>
      <c r="B184" s="303" t="s">
        <v>30</v>
      </c>
      <c r="C184" s="304">
        <f t="shared" si="2"/>
        <v>12303.9</v>
      </c>
      <c r="D184" s="281" cm="1">
        <f t="array" aca="1" ref="D184" ca="1">IF(Insumo[[#This Row],[VALOR]]=0,Insumo[TOTAL],E184/C184)</f>
        <v>0</v>
      </c>
      <c r="E184" s="69">
        <f ca="1">SUM(Insumo[[#This Row],[CAP1-3]:[CAP29]])</f>
        <v>0</v>
      </c>
      <c r="F184" s="69">
        <f ca="1">SUMIF('CAP1-3'!$B:$H,Insumo[[#This Row],[DESCRIPCION]],'CAP1-3'!$H:$H)</f>
        <v>0</v>
      </c>
      <c r="G184" s="69">
        <f ca="1">SUMIF('CAP4-5'!$B:$H,Insumo[[#This Row],[DESCRIPCION]],'CAP4-5'!$H:$H)</f>
        <v>0</v>
      </c>
      <c r="H184" s="69">
        <f ca="1">SUMIF('CAP6-7'!$B:$H,Insumo[[#This Row],[DESCRIPCION]],'CAP6-7'!$H:$H)</f>
        <v>0</v>
      </c>
      <c r="I184" s="69">
        <f ca="1">SUMIF('CAP8'!$B:$H,Insumo[[#This Row],[DESCRIPCION]],'CAP8'!$H:$H)</f>
        <v>0</v>
      </c>
      <c r="J184" s="69">
        <f ca="1">SUMIF('CAP9-13'!$B:$H,Insumo[[#This Row],[DESCRIPCION]],'CAP9-13'!$H:$H)</f>
        <v>0</v>
      </c>
      <c r="K184" s="69">
        <f ca="1">SUMIF('CAP14-15'!$B:$H,Insumo[[#This Row],[DESCRIPCION]],'CAP14-15'!$H:$H)</f>
        <v>0</v>
      </c>
      <c r="L184" s="69">
        <f ca="1">SUMIF('CAP16-18'!$B:$H,Insumo[[#This Row],[DESCRIPCION]],'CAP16-18'!$H:$H)</f>
        <v>0</v>
      </c>
      <c r="M184" s="69">
        <f ca="1">SUMIF('CAP19-22'!$B:$H,Insumo[[#This Row],[DESCRIPCION]],'CAP19-22'!$H:$H)</f>
        <v>0</v>
      </c>
      <c r="N184" s="69">
        <f ca="1">SUMIF('CAP23-24'!$B:$H,Insumo[[#This Row],[DESCRIPCION]],'CAP23-24'!$H:$H)</f>
        <v>0</v>
      </c>
      <c r="O184" s="69">
        <f ca="1">SUMIF('CAP25'!$B:$H,Insumo[[#This Row],[DESCRIPCION]],'CAP25'!$H:$H)</f>
        <v>0</v>
      </c>
      <c r="P184" s="69">
        <f ca="1">SUMIF('CAP26-28'!$B:$H,Insumo[[#This Row],[DESCRIPCION]],'CAP26-28'!$H:$H)</f>
        <v>0</v>
      </c>
      <c r="Q184" s="69">
        <f ca="1">SUMIF('CAP29'!$B:$H,Insumo[[#This Row],[DESCRIPCION]],'CAP29'!$H:$H)</f>
        <v>0</v>
      </c>
      <c r="R184" s="290"/>
      <c r="T184" s="136">
        <v>11718</v>
      </c>
    </row>
    <row r="185" spans="1:20">
      <c r="A185" s="301" t="s">
        <v>2793</v>
      </c>
      <c r="B185" s="303" t="s">
        <v>30</v>
      </c>
      <c r="C185" s="304">
        <f t="shared" si="2"/>
        <v>42091.869749999998</v>
      </c>
      <c r="D185" s="281" cm="1">
        <f t="array" aca="1" ref="D185" ca="1">IF(Insumo[[#This Row],[VALOR]]=0,Insumo[TOTAL],E185/C185)</f>
        <v>0</v>
      </c>
      <c r="E185" s="69">
        <f ca="1">SUM(Insumo[[#This Row],[CAP1-3]:[CAP29]])</f>
        <v>0</v>
      </c>
      <c r="F185" s="69">
        <f ca="1">SUMIF('CAP1-3'!$B:$H,Insumo[[#This Row],[DESCRIPCION]],'CAP1-3'!$H:$H)</f>
        <v>0</v>
      </c>
      <c r="G185" s="69">
        <f ca="1">SUMIF('CAP4-5'!$B:$H,Insumo[[#This Row],[DESCRIPCION]],'CAP4-5'!$H:$H)</f>
        <v>0</v>
      </c>
      <c r="H185" s="69">
        <f ca="1">SUMIF('CAP6-7'!$B:$H,Insumo[[#This Row],[DESCRIPCION]],'CAP6-7'!$H:$H)</f>
        <v>0</v>
      </c>
      <c r="I185" s="69">
        <f ca="1">SUMIF('CAP8'!$B:$H,Insumo[[#This Row],[DESCRIPCION]],'CAP8'!$H:$H)</f>
        <v>0</v>
      </c>
      <c r="J185" s="69">
        <f ca="1">SUMIF('CAP9-13'!$B:$H,Insumo[[#This Row],[DESCRIPCION]],'CAP9-13'!$H:$H)</f>
        <v>0</v>
      </c>
      <c r="K185" s="69">
        <f ca="1">SUMIF('CAP14-15'!$B:$H,Insumo[[#This Row],[DESCRIPCION]],'CAP14-15'!$H:$H)</f>
        <v>0</v>
      </c>
      <c r="L185" s="69">
        <f ca="1">SUMIF('CAP16-18'!$B:$H,Insumo[[#This Row],[DESCRIPCION]],'CAP16-18'!$H:$H)</f>
        <v>0</v>
      </c>
      <c r="M185" s="69">
        <f ca="1">SUMIF('CAP19-22'!$B:$H,Insumo[[#This Row],[DESCRIPCION]],'CAP19-22'!$H:$H)</f>
        <v>0</v>
      </c>
      <c r="N185" s="69">
        <f ca="1">SUMIF('CAP23-24'!$B:$H,Insumo[[#This Row],[DESCRIPCION]],'CAP23-24'!$H:$H)</f>
        <v>0</v>
      </c>
      <c r="O185" s="69">
        <f ca="1">SUMIF('CAP25'!$B:$H,Insumo[[#This Row],[DESCRIPCION]],'CAP25'!$H:$H)</f>
        <v>0</v>
      </c>
      <c r="P185" s="69">
        <f ca="1">SUMIF('CAP26-28'!$B:$H,Insumo[[#This Row],[DESCRIPCION]],'CAP26-28'!$H:$H)</f>
        <v>0</v>
      </c>
      <c r="Q185" s="69">
        <f ca="1">SUMIF('CAP29'!$B:$H,Insumo[[#This Row],[DESCRIPCION]],'CAP29'!$H:$H)</f>
        <v>0</v>
      </c>
      <c r="R185" s="290"/>
      <c r="T185" s="136">
        <v>40087.494999999995</v>
      </c>
    </row>
    <row r="186" spans="1:20">
      <c r="A186" s="301" t="s">
        <v>2794</v>
      </c>
      <c r="B186" s="303" t="s">
        <v>30</v>
      </c>
      <c r="C186" s="304">
        <f t="shared" si="2"/>
        <v>52137.776250000003</v>
      </c>
      <c r="D186" s="281" cm="1">
        <f t="array" aca="1" ref="D186" ca="1">IF(Insumo[[#This Row],[VALOR]]=0,Insumo[TOTAL],E186/C186)</f>
        <v>0</v>
      </c>
      <c r="E186" s="69">
        <f ca="1">SUM(Insumo[[#This Row],[CAP1-3]:[CAP29]])</f>
        <v>0</v>
      </c>
      <c r="F186" s="69">
        <f ca="1">SUMIF('CAP1-3'!$B:$H,Insumo[[#This Row],[DESCRIPCION]],'CAP1-3'!$H:$H)</f>
        <v>0</v>
      </c>
      <c r="G186" s="69">
        <f ca="1">SUMIF('CAP4-5'!$B:$H,Insumo[[#This Row],[DESCRIPCION]],'CAP4-5'!$H:$H)</f>
        <v>0</v>
      </c>
      <c r="H186" s="69">
        <f ca="1">SUMIF('CAP6-7'!$B:$H,Insumo[[#This Row],[DESCRIPCION]],'CAP6-7'!$H:$H)</f>
        <v>0</v>
      </c>
      <c r="I186" s="69">
        <f ca="1">SUMIF('CAP8'!$B:$H,Insumo[[#This Row],[DESCRIPCION]],'CAP8'!$H:$H)</f>
        <v>0</v>
      </c>
      <c r="J186" s="69">
        <f ca="1">SUMIF('CAP9-13'!$B:$H,Insumo[[#This Row],[DESCRIPCION]],'CAP9-13'!$H:$H)</f>
        <v>0</v>
      </c>
      <c r="K186" s="69">
        <f ca="1">SUMIF('CAP14-15'!$B:$H,Insumo[[#This Row],[DESCRIPCION]],'CAP14-15'!$H:$H)</f>
        <v>0</v>
      </c>
      <c r="L186" s="69">
        <f ca="1">SUMIF('CAP16-18'!$B:$H,Insumo[[#This Row],[DESCRIPCION]],'CAP16-18'!$H:$H)</f>
        <v>0</v>
      </c>
      <c r="M186" s="69">
        <f ca="1">SUMIF('CAP19-22'!$B:$H,Insumo[[#This Row],[DESCRIPCION]],'CAP19-22'!$H:$H)</f>
        <v>0</v>
      </c>
      <c r="N186" s="69">
        <f ca="1">SUMIF('CAP23-24'!$B:$H,Insumo[[#This Row],[DESCRIPCION]],'CAP23-24'!$H:$H)</f>
        <v>0</v>
      </c>
      <c r="O186" s="69">
        <f ca="1">SUMIF('CAP25'!$B:$H,Insumo[[#This Row],[DESCRIPCION]],'CAP25'!$H:$H)</f>
        <v>0</v>
      </c>
      <c r="P186" s="69">
        <f ca="1">SUMIF('CAP26-28'!$B:$H,Insumo[[#This Row],[DESCRIPCION]],'CAP26-28'!$H:$H)</f>
        <v>0</v>
      </c>
      <c r="Q186" s="69">
        <f ca="1">SUMIF('CAP29'!$B:$H,Insumo[[#This Row],[DESCRIPCION]],'CAP29'!$H:$H)</f>
        <v>0</v>
      </c>
      <c r="R186" s="290"/>
      <c r="T186" s="136">
        <v>49655.025000000001</v>
      </c>
    </row>
    <row r="187" spans="1:20">
      <c r="A187" s="301" t="s">
        <v>2795</v>
      </c>
      <c r="B187" s="303" t="s">
        <v>30</v>
      </c>
      <c r="C187" s="304">
        <f t="shared" si="2"/>
        <v>3182.55</v>
      </c>
      <c r="D187" s="281" cm="1">
        <f t="array" aca="1" ref="D187" ca="1">IF(Insumo[[#This Row],[VALOR]]=0,Insumo[TOTAL],E187/C187)</f>
        <v>0</v>
      </c>
      <c r="E187" s="69">
        <f ca="1">SUM(Insumo[[#This Row],[CAP1-3]:[CAP29]])</f>
        <v>0</v>
      </c>
      <c r="F187" s="69">
        <f ca="1">SUMIF('CAP1-3'!$B:$H,Insumo[[#This Row],[DESCRIPCION]],'CAP1-3'!$H:$H)</f>
        <v>0</v>
      </c>
      <c r="G187" s="69">
        <f ca="1">SUMIF('CAP4-5'!$B:$H,Insumo[[#This Row],[DESCRIPCION]],'CAP4-5'!$H:$H)</f>
        <v>0</v>
      </c>
      <c r="H187" s="69">
        <f ca="1">SUMIF('CAP6-7'!$B:$H,Insumo[[#This Row],[DESCRIPCION]],'CAP6-7'!$H:$H)</f>
        <v>0</v>
      </c>
      <c r="I187" s="69">
        <f ca="1">SUMIF('CAP8'!$B:$H,Insumo[[#This Row],[DESCRIPCION]],'CAP8'!$H:$H)</f>
        <v>0</v>
      </c>
      <c r="J187" s="69">
        <f ca="1">SUMIF('CAP9-13'!$B:$H,Insumo[[#This Row],[DESCRIPCION]],'CAP9-13'!$H:$H)</f>
        <v>0</v>
      </c>
      <c r="K187" s="69">
        <f ca="1">SUMIF('CAP14-15'!$B:$H,Insumo[[#This Row],[DESCRIPCION]],'CAP14-15'!$H:$H)</f>
        <v>0</v>
      </c>
      <c r="L187" s="69">
        <f ca="1">SUMIF('CAP16-18'!$B:$H,Insumo[[#This Row],[DESCRIPCION]],'CAP16-18'!$H:$H)</f>
        <v>0</v>
      </c>
      <c r="M187" s="69">
        <f ca="1">SUMIF('CAP19-22'!$B:$H,Insumo[[#This Row],[DESCRIPCION]],'CAP19-22'!$H:$H)</f>
        <v>0</v>
      </c>
      <c r="N187" s="69">
        <f ca="1">SUMIF('CAP23-24'!$B:$H,Insumo[[#This Row],[DESCRIPCION]],'CAP23-24'!$H:$H)</f>
        <v>0</v>
      </c>
      <c r="O187" s="69">
        <f ca="1">SUMIF('CAP25'!$B:$H,Insumo[[#This Row],[DESCRIPCION]],'CAP25'!$H:$H)</f>
        <v>0</v>
      </c>
      <c r="P187" s="69">
        <f ca="1">SUMIF('CAP26-28'!$B:$H,Insumo[[#This Row],[DESCRIPCION]],'CAP26-28'!$H:$H)</f>
        <v>0</v>
      </c>
      <c r="Q187" s="69">
        <f ca="1">SUMIF('CAP29'!$B:$H,Insumo[[#This Row],[DESCRIPCION]],'CAP29'!$H:$H)</f>
        <v>0</v>
      </c>
      <c r="T187" s="136">
        <v>3031</v>
      </c>
    </row>
    <row r="188" spans="1:20">
      <c r="A188" s="301" t="s">
        <v>2796</v>
      </c>
      <c r="B188" s="303" t="s">
        <v>30</v>
      </c>
      <c r="C188" s="304">
        <f t="shared" si="2"/>
        <v>7860.8250000000007</v>
      </c>
      <c r="D188" s="281" cm="1">
        <f t="array" aca="1" ref="D188" ca="1">IF(Insumo[[#This Row],[VALOR]]=0,Insumo[TOTAL],E188/C188)</f>
        <v>0</v>
      </c>
      <c r="E188" s="69">
        <f ca="1">SUM(Insumo[[#This Row],[CAP1-3]:[CAP29]])</f>
        <v>0</v>
      </c>
      <c r="F188" s="69">
        <f ca="1">SUMIF('CAP1-3'!$B:$H,Insumo[[#This Row],[DESCRIPCION]],'CAP1-3'!$H:$H)</f>
        <v>0</v>
      </c>
      <c r="G188" s="69">
        <f ca="1">SUMIF('CAP4-5'!$B:$H,Insumo[[#This Row],[DESCRIPCION]],'CAP4-5'!$H:$H)</f>
        <v>0</v>
      </c>
      <c r="H188" s="69">
        <f ca="1">SUMIF('CAP6-7'!$B:$H,Insumo[[#This Row],[DESCRIPCION]],'CAP6-7'!$H:$H)</f>
        <v>0</v>
      </c>
      <c r="I188" s="69">
        <f ca="1">SUMIF('CAP8'!$B:$H,Insumo[[#This Row],[DESCRIPCION]],'CAP8'!$H:$H)</f>
        <v>0</v>
      </c>
      <c r="J188" s="69">
        <f ca="1">SUMIF('CAP9-13'!$B:$H,Insumo[[#This Row],[DESCRIPCION]],'CAP9-13'!$H:$H)</f>
        <v>0</v>
      </c>
      <c r="K188" s="69">
        <f ca="1">SUMIF('CAP14-15'!$B:$H,Insumo[[#This Row],[DESCRIPCION]],'CAP14-15'!$H:$H)</f>
        <v>0</v>
      </c>
      <c r="L188" s="69">
        <f ca="1">SUMIF('CAP16-18'!$B:$H,Insumo[[#This Row],[DESCRIPCION]],'CAP16-18'!$H:$H)</f>
        <v>0</v>
      </c>
      <c r="M188" s="69">
        <f ca="1">SUMIF('CAP19-22'!$B:$H,Insumo[[#This Row],[DESCRIPCION]],'CAP19-22'!$H:$H)</f>
        <v>0</v>
      </c>
      <c r="N188" s="69">
        <f ca="1">SUMIF('CAP23-24'!$B:$H,Insumo[[#This Row],[DESCRIPCION]],'CAP23-24'!$H:$H)</f>
        <v>0</v>
      </c>
      <c r="O188" s="69">
        <f ca="1">SUMIF('CAP25'!$B:$H,Insumo[[#This Row],[DESCRIPCION]],'CAP25'!$H:$H)</f>
        <v>0</v>
      </c>
      <c r="P188" s="69">
        <f ca="1">SUMIF('CAP26-28'!$B:$H,Insumo[[#This Row],[DESCRIPCION]],'CAP26-28'!$H:$H)</f>
        <v>0</v>
      </c>
      <c r="Q188" s="69">
        <f ca="1">SUMIF('CAP29'!$B:$H,Insumo[[#This Row],[DESCRIPCION]],'CAP29'!$H:$H)</f>
        <v>0</v>
      </c>
      <c r="R188" s="290"/>
      <c r="T188" s="136">
        <v>7486.5</v>
      </c>
    </row>
    <row r="189" spans="1:20">
      <c r="A189" s="301" t="s">
        <v>2797</v>
      </c>
      <c r="B189" s="303" t="s">
        <v>30</v>
      </c>
      <c r="C189" s="304">
        <f t="shared" si="2"/>
        <v>11989.466999999999</v>
      </c>
      <c r="D189" s="281" cm="1">
        <f t="array" aca="1" ref="D189" ca="1">IF(Insumo[[#This Row],[VALOR]]=0,Insumo[TOTAL],E189/C189)</f>
        <v>0</v>
      </c>
      <c r="E189" s="69">
        <f ca="1">SUM(Insumo[[#This Row],[CAP1-3]:[CAP29]])</f>
        <v>0</v>
      </c>
      <c r="F189" s="69">
        <f ca="1">SUMIF('CAP1-3'!$B:$H,Insumo[[#This Row],[DESCRIPCION]],'CAP1-3'!$H:$H)</f>
        <v>0</v>
      </c>
      <c r="G189" s="69">
        <f ca="1">SUMIF('CAP4-5'!$B:$H,Insumo[[#This Row],[DESCRIPCION]],'CAP4-5'!$H:$H)</f>
        <v>0</v>
      </c>
      <c r="H189" s="69">
        <f ca="1">SUMIF('CAP6-7'!$B:$H,Insumo[[#This Row],[DESCRIPCION]],'CAP6-7'!$H:$H)</f>
        <v>0</v>
      </c>
      <c r="I189" s="69">
        <f ca="1">SUMIF('CAP8'!$B:$H,Insumo[[#This Row],[DESCRIPCION]],'CAP8'!$H:$H)</f>
        <v>0</v>
      </c>
      <c r="J189" s="69">
        <f ca="1">SUMIF('CAP9-13'!$B:$H,Insumo[[#This Row],[DESCRIPCION]],'CAP9-13'!$H:$H)</f>
        <v>0</v>
      </c>
      <c r="K189" s="69">
        <f ca="1">SUMIF('CAP14-15'!$B:$H,Insumo[[#This Row],[DESCRIPCION]],'CAP14-15'!$H:$H)</f>
        <v>0</v>
      </c>
      <c r="L189" s="69">
        <f ca="1">SUMIF('CAP16-18'!$B:$H,Insumo[[#This Row],[DESCRIPCION]],'CAP16-18'!$H:$H)</f>
        <v>0</v>
      </c>
      <c r="M189" s="69">
        <f ca="1">SUMIF('CAP19-22'!$B:$H,Insumo[[#This Row],[DESCRIPCION]],'CAP19-22'!$H:$H)</f>
        <v>0</v>
      </c>
      <c r="N189" s="69">
        <f ca="1">SUMIF('CAP23-24'!$B:$H,Insumo[[#This Row],[DESCRIPCION]],'CAP23-24'!$H:$H)</f>
        <v>0</v>
      </c>
      <c r="O189" s="69">
        <f ca="1">SUMIF('CAP25'!$B:$H,Insumo[[#This Row],[DESCRIPCION]],'CAP25'!$H:$H)</f>
        <v>0</v>
      </c>
      <c r="P189" s="69">
        <f ca="1">SUMIF('CAP26-28'!$B:$H,Insumo[[#This Row],[DESCRIPCION]],'CAP26-28'!$H:$H)</f>
        <v>0</v>
      </c>
      <c r="Q189" s="69">
        <f ca="1">SUMIF('CAP29'!$B:$H,Insumo[[#This Row],[DESCRIPCION]],'CAP29'!$H:$H)</f>
        <v>0</v>
      </c>
      <c r="R189" s="290"/>
      <c r="T189" s="136">
        <v>11418.539999999999</v>
      </c>
    </row>
    <row r="190" spans="1:20">
      <c r="A190" s="301" t="s">
        <v>2798</v>
      </c>
      <c r="B190" s="303" t="s">
        <v>30</v>
      </c>
      <c r="C190" s="304">
        <f t="shared" si="2"/>
        <v>17799.642000000003</v>
      </c>
      <c r="D190" s="281" cm="1">
        <f t="array" aca="1" ref="D190" ca="1">IF(Insumo[[#This Row],[VALOR]]=0,Insumo[TOTAL],E190/C190)</f>
        <v>0</v>
      </c>
      <c r="E190" s="69">
        <f ca="1">SUM(Insumo[[#This Row],[CAP1-3]:[CAP29]])</f>
        <v>0</v>
      </c>
      <c r="F190" s="69">
        <f ca="1">SUMIF('CAP1-3'!$B:$H,Insumo[[#This Row],[DESCRIPCION]],'CAP1-3'!$H:$H)</f>
        <v>0</v>
      </c>
      <c r="G190" s="69">
        <f ca="1">SUMIF('CAP4-5'!$B:$H,Insumo[[#This Row],[DESCRIPCION]],'CAP4-5'!$H:$H)</f>
        <v>0</v>
      </c>
      <c r="H190" s="69">
        <f ca="1">SUMIF('CAP6-7'!$B:$H,Insumo[[#This Row],[DESCRIPCION]],'CAP6-7'!$H:$H)</f>
        <v>0</v>
      </c>
      <c r="I190" s="69">
        <f ca="1">SUMIF('CAP8'!$B:$H,Insumo[[#This Row],[DESCRIPCION]],'CAP8'!$H:$H)</f>
        <v>0</v>
      </c>
      <c r="J190" s="69">
        <f ca="1">SUMIF('CAP9-13'!$B:$H,Insumo[[#This Row],[DESCRIPCION]],'CAP9-13'!$H:$H)</f>
        <v>0</v>
      </c>
      <c r="K190" s="69">
        <f ca="1">SUMIF('CAP14-15'!$B:$H,Insumo[[#This Row],[DESCRIPCION]],'CAP14-15'!$H:$H)</f>
        <v>0</v>
      </c>
      <c r="L190" s="69">
        <f ca="1">SUMIF('CAP16-18'!$B:$H,Insumo[[#This Row],[DESCRIPCION]],'CAP16-18'!$H:$H)</f>
        <v>0</v>
      </c>
      <c r="M190" s="69">
        <f ca="1">SUMIF('CAP19-22'!$B:$H,Insumo[[#This Row],[DESCRIPCION]],'CAP19-22'!$H:$H)</f>
        <v>0</v>
      </c>
      <c r="N190" s="69">
        <f ca="1">SUMIF('CAP23-24'!$B:$H,Insumo[[#This Row],[DESCRIPCION]],'CAP23-24'!$H:$H)</f>
        <v>0</v>
      </c>
      <c r="O190" s="69">
        <f ca="1">SUMIF('CAP25'!$B:$H,Insumo[[#This Row],[DESCRIPCION]],'CAP25'!$H:$H)</f>
        <v>0</v>
      </c>
      <c r="P190" s="69">
        <f ca="1">SUMIF('CAP26-28'!$B:$H,Insumo[[#This Row],[DESCRIPCION]],'CAP26-28'!$H:$H)</f>
        <v>0</v>
      </c>
      <c r="Q190" s="69">
        <f ca="1">SUMIF('CAP29'!$B:$H,Insumo[[#This Row],[DESCRIPCION]],'CAP29'!$H:$H)</f>
        <v>0</v>
      </c>
      <c r="R190" s="290"/>
      <c r="T190" s="136">
        <v>16952.04</v>
      </c>
    </row>
    <row r="191" spans="1:20">
      <c r="A191" s="301" t="s">
        <v>2799</v>
      </c>
      <c r="B191" s="303" t="s">
        <v>30</v>
      </c>
      <c r="C191" s="304">
        <f t="shared" si="2"/>
        <v>28335.425999999999</v>
      </c>
      <c r="D191" s="281" cm="1">
        <f t="array" aca="1" ref="D191" ca="1">IF(Insumo[[#This Row],[VALOR]]=0,Insumo[TOTAL],E191/C191)</f>
        <v>0</v>
      </c>
      <c r="E191" s="69">
        <f ca="1">SUM(Insumo[[#This Row],[CAP1-3]:[CAP29]])</f>
        <v>0</v>
      </c>
      <c r="F191" s="69">
        <f ca="1">SUMIF('CAP1-3'!$B:$H,Insumo[[#This Row],[DESCRIPCION]],'CAP1-3'!$H:$H)</f>
        <v>0</v>
      </c>
      <c r="G191" s="69">
        <f ca="1">SUMIF('CAP4-5'!$B:$H,Insumo[[#This Row],[DESCRIPCION]],'CAP4-5'!$H:$H)</f>
        <v>0</v>
      </c>
      <c r="H191" s="69">
        <f ca="1">SUMIF('CAP6-7'!$B:$H,Insumo[[#This Row],[DESCRIPCION]],'CAP6-7'!$H:$H)</f>
        <v>0</v>
      </c>
      <c r="I191" s="69">
        <f ca="1">SUMIF('CAP8'!$B:$H,Insumo[[#This Row],[DESCRIPCION]],'CAP8'!$H:$H)</f>
        <v>0</v>
      </c>
      <c r="J191" s="69">
        <f ca="1">SUMIF('CAP9-13'!$B:$H,Insumo[[#This Row],[DESCRIPCION]],'CAP9-13'!$H:$H)</f>
        <v>0</v>
      </c>
      <c r="K191" s="69">
        <f ca="1">SUMIF('CAP14-15'!$B:$H,Insumo[[#This Row],[DESCRIPCION]],'CAP14-15'!$H:$H)</f>
        <v>0</v>
      </c>
      <c r="L191" s="69">
        <f ca="1">SUMIF('CAP16-18'!$B:$H,Insumo[[#This Row],[DESCRIPCION]],'CAP16-18'!$H:$H)</f>
        <v>0</v>
      </c>
      <c r="M191" s="69">
        <f ca="1">SUMIF('CAP19-22'!$B:$H,Insumo[[#This Row],[DESCRIPCION]],'CAP19-22'!$H:$H)</f>
        <v>0</v>
      </c>
      <c r="N191" s="69">
        <f ca="1">SUMIF('CAP23-24'!$B:$H,Insumo[[#This Row],[DESCRIPCION]],'CAP23-24'!$H:$H)</f>
        <v>0</v>
      </c>
      <c r="O191" s="69">
        <f ca="1">SUMIF('CAP25'!$B:$H,Insumo[[#This Row],[DESCRIPCION]],'CAP25'!$H:$H)</f>
        <v>0</v>
      </c>
      <c r="P191" s="69">
        <f ca="1">SUMIF('CAP26-28'!$B:$H,Insumo[[#This Row],[DESCRIPCION]],'CAP26-28'!$H:$H)</f>
        <v>0</v>
      </c>
      <c r="Q191" s="69">
        <f ca="1">SUMIF('CAP29'!$B:$H,Insumo[[#This Row],[DESCRIPCION]],'CAP29'!$H:$H)</f>
        <v>0</v>
      </c>
      <c r="R191" s="290"/>
      <c r="T191" s="136">
        <v>26986.12</v>
      </c>
    </row>
    <row r="192" spans="1:20">
      <c r="A192" s="301" t="s">
        <v>2800</v>
      </c>
      <c r="B192" s="303" t="s">
        <v>30</v>
      </c>
      <c r="C192" s="304">
        <f t="shared" si="2"/>
        <v>7387.8</v>
      </c>
      <c r="D192" s="281" cm="1">
        <f t="array" aca="1" ref="D192" ca="1">IF(Insumo[[#This Row],[VALOR]]=0,Insumo[TOTAL],E192/C192)</f>
        <v>0</v>
      </c>
      <c r="E192" s="69">
        <f ca="1">SUM(Insumo[[#This Row],[CAP1-3]:[CAP29]])</f>
        <v>0</v>
      </c>
      <c r="F192" s="69">
        <f ca="1">SUMIF('CAP1-3'!$B:$H,Insumo[[#This Row],[DESCRIPCION]],'CAP1-3'!$H:$H)</f>
        <v>0</v>
      </c>
      <c r="G192" s="69">
        <f ca="1">SUMIF('CAP4-5'!$B:$H,Insumo[[#This Row],[DESCRIPCION]],'CAP4-5'!$H:$H)</f>
        <v>0</v>
      </c>
      <c r="H192" s="69">
        <f ca="1">SUMIF('CAP6-7'!$B:$H,Insumo[[#This Row],[DESCRIPCION]],'CAP6-7'!$H:$H)</f>
        <v>0</v>
      </c>
      <c r="I192" s="69">
        <f ca="1">SUMIF('CAP8'!$B:$H,Insumo[[#This Row],[DESCRIPCION]],'CAP8'!$H:$H)</f>
        <v>0</v>
      </c>
      <c r="J192" s="69">
        <f ca="1">SUMIF('CAP9-13'!$B:$H,Insumo[[#This Row],[DESCRIPCION]],'CAP9-13'!$H:$H)</f>
        <v>0</v>
      </c>
      <c r="K192" s="69">
        <f ca="1">SUMIF('CAP14-15'!$B:$H,Insumo[[#This Row],[DESCRIPCION]],'CAP14-15'!$H:$H)</f>
        <v>0</v>
      </c>
      <c r="L192" s="69">
        <f ca="1">SUMIF('CAP16-18'!$B:$H,Insumo[[#This Row],[DESCRIPCION]],'CAP16-18'!$H:$H)</f>
        <v>0</v>
      </c>
      <c r="M192" s="69">
        <f ca="1">SUMIF('CAP19-22'!$B:$H,Insumo[[#This Row],[DESCRIPCION]],'CAP19-22'!$H:$H)</f>
        <v>0</v>
      </c>
      <c r="N192" s="69">
        <f ca="1">SUMIF('CAP23-24'!$B:$H,Insumo[[#This Row],[DESCRIPCION]],'CAP23-24'!$H:$H)</f>
        <v>0</v>
      </c>
      <c r="O192" s="69">
        <f ca="1">SUMIF('CAP25'!$B:$H,Insumo[[#This Row],[DESCRIPCION]],'CAP25'!$H:$H)</f>
        <v>0</v>
      </c>
      <c r="P192" s="69">
        <f ca="1">SUMIF('CAP26-28'!$B:$H,Insumo[[#This Row],[DESCRIPCION]],'CAP26-28'!$H:$H)</f>
        <v>0</v>
      </c>
      <c r="Q192" s="69">
        <f ca="1">SUMIF('CAP29'!$B:$H,Insumo[[#This Row],[DESCRIPCION]],'CAP29'!$H:$H)</f>
        <v>0</v>
      </c>
      <c r="T192" s="136">
        <v>7036</v>
      </c>
    </row>
    <row r="193" spans="1:20">
      <c r="A193" s="301" t="s">
        <v>2801</v>
      </c>
      <c r="B193" s="303" t="s">
        <v>23</v>
      </c>
      <c r="C193" s="304">
        <f t="shared" si="2"/>
        <v>22152.9</v>
      </c>
      <c r="D193" s="281" cm="1">
        <f t="array" aca="1" ref="D193" ca="1">IF(Insumo[[#This Row],[VALOR]]=0,Insumo[TOTAL],E193/C193)</f>
        <v>0</v>
      </c>
      <c r="E193" s="69">
        <f ca="1">SUM(Insumo[[#This Row],[CAP1-3]:[CAP29]])</f>
        <v>0</v>
      </c>
      <c r="F193" s="69">
        <f ca="1">SUMIF('CAP1-3'!$B:$H,Insumo[[#This Row],[DESCRIPCION]],'CAP1-3'!$H:$H)</f>
        <v>0</v>
      </c>
      <c r="G193" s="69">
        <f ca="1">SUMIF('CAP4-5'!$B:$H,Insumo[[#This Row],[DESCRIPCION]],'CAP4-5'!$H:$H)</f>
        <v>0</v>
      </c>
      <c r="H193" s="69">
        <f ca="1">SUMIF('CAP6-7'!$B:$H,Insumo[[#This Row],[DESCRIPCION]],'CAP6-7'!$H:$H)</f>
        <v>0</v>
      </c>
      <c r="I193" s="69">
        <f ca="1">SUMIF('CAP8'!$B:$H,Insumo[[#This Row],[DESCRIPCION]],'CAP8'!$H:$H)</f>
        <v>0</v>
      </c>
      <c r="J193" s="69">
        <f ca="1">SUMIF('CAP9-13'!$B:$H,Insumo[[#This Row],[DESCRIPCION]],'CAP9-13'!$H:$H)</f>
        <v>0</v>
      </c>
      <c r="K193" s="69">
        <f ca="1">SUMIF('CAP14-15'!$B:$H,Insumo[[#This Row],[DESCRIPCION]],'CAP14-15'!$H:$H)</f>
        <v>0</v>
      </c>
      <c r="L193" s="69">
        <f ca="1">SUMIF('CAP16-18'!$B:$H,Insumo[[#This Row],[DESCRIPCION]],'CAP16-18'!$H:$H)</f>
        <v>0</v>
      </c>
      <c r="M193" s="69">
        <f ca="1">SUMIF('CAP19-22'!$B:$H,Insumo[[#This Row],[DESCRIPCION]],'CAP19-22'!$H:$H)</f>
        <v>0</v>
      </c>
      <c r="N193" s="69">
        <f ca="1">SUMIF('CAP23-24'!$B:$H,Insumo[[#This Row],[DESCRIPCION]],'CAP23-24'!$H:$H)</f>
        <v>0</v>
      </c>
      <c r="O193" s="69">
        <f ca="1">SUMIF('CAP25'!$B:$H,Insumo[[#This Row],[DESCRIPCION]],'CAP25'!$H:$H)</f>
        <v>0</v>
      </c>
      <c r="P193" s="69">
        <f ca="1">SUMIF('CAP26-28'!$B:$H,Insumo[[#This Row],[DESCRIPCION]],'CAP26-28'!$H:$H)</f>
        <v>0</v>
      </c>
      <c r="Q193" s="69">
        <f ca="1">SUMIF('CAP29'!$B:$H,Insumo[[#This Row],[DESCRIPCION]],'CAP29'!$H:$H)</f>
        <v>0</v>
      </c>
      <c r="T193" s="136">
        <v>21098</v>
      </c>
    </row>
    <row r="194" spans="1:20">
      <c r="A194" s="301" t="s">
        <v>2802</v>
      </c>
      <c r="B194" s="303" t="s">
        <v>23</v>
      </c>
      <c r="C194" s="304">
        <f t="shared" si="2"/>
        <v>27154.050000000003</v>
      </c>
      <c r="D194" s="281" cm="1">
        <f t="array" aca="1" ref="D194" ca="1">IF(Insumo[[#This Row],[VALOR]]=0,Insumo[TOTAL],E194/C194)</f>
        <v>0</v>
      </c>
      <c r="E194" s="69">
        <f ca="1">SUM(Insumo[[#This Row],[CAP1-3]:[CAP29]])</f>
        <v>0</v>
      </c>
      <c r="F194" s="69">
        <f ca="1">SUMIF('CAP1-3'!$B:$H,Insumo[[#This Row],[DESCRIPCION]],'CAP1-3'!$H:$H)</f>
        <v>0</v>
      </c>
      <c r="G194" s="69">
        <f ca="1">SUMIF('CAP4-5'!$B:$H,Insumo[[#This Row],[DESCRIPCION]],'CAP4-5'!$H:$H)</f>
        <v>0</v>
      </c>
      <c r="H194" s="69">
        <f ca="1">SUMIF('CAP6-7'!$B:$H,Insumo[[#This Row],[DESCRIPCION]],'CAP6-7'!$H:$H)</f>
        <v>0</v>
      </c>
      <c r="I194" s="69">
        <f ca="1">SUMIF('CAP8'!$B:$H,Insumo[[#This Row],[DESCRIPCION]],'CAP8'!$H:$H)</f>
        <v>0</v>
      </c>
      <c r="J194" s="69">
        <f ca="1">SUMIF('CAP9-13'!$B:$H,Insumo[[#This Row],[DESCRIPCION]],'CAP9-13'!$H:$H)</f>
        <v>0</v>
      </c>
      <c r="K194" s="69">
        <f ca="1">SUMIF('CAP14-15'!$B:$H,Insumo[[#This Row],[DESCRIPCION]],'CAP14-15'!$H:$H)</f>
        <v>0</v>
      </c>
      <c r="L194" s="69">
        <f ca="1">SUMIF('CAP16-18'!$B:$H,Insumo[[#This Row],[DESCRIPCION]],'CAP16-18'!$H:$H)</f>
        <v>0</v>
      </c>
      <c r="M194" s="69">
        <f ca="1">SUMIF('CAP19-22'!$B:$H,Insumo[[#This Row],[DESCRIPCION]],'CAP19-22'!$H:$H)</f>
        <v>0</v>
      </c>
      <c r="N194" s="69">
        <f ca="1">SUMIF('CAP23-24'!$B:$H,Insumo[[#This Row],[DESCRIPCION]],'CAP23-24'!$H:$H)</f>
        <v>0</v>
      </c>
      <c r="O194" s="69">
        <f ca="1">SUMIF('CAP25'!$B:$H,Insumo[[#This Row],[DESCRIPCION]],'CAP25'!$H:$H)</f>
        <v>0</v>
      </c>
      <c r="P194" s="69">
        <f ca="1">SUMIF('CAP26-28'!$B:$H,Insumo[[#This Row],[DESCRIPCION]],'CAP26-28'!$H:$H)</f>
        <v>0</v>
      </c>
      <c r="Q194" s="69">
        <f ca="1">SUMIF('CAP29'!$B:$H,Insumo[[#This Row],[DESCRIPCION]],'CAP29'!$H:$H)</f>
        <v>0</v>
      </c>
      <c r="T194" s="136">
        <v>25861</v>
      </c>
    </row>
    <row r="195" spans="1:20">
      <c r="A195" s="301" t="s">
        <v>2803</v>
      </c>
      <c r="B195" s="303" t="s">
        <v>23</v>
      </c>
      <c r="C195" s="304">
        <f t="shared" si="2"/>
        <v>35883.75</v>
      </c>
      <c r="D195" s="281" cm="1">
        <f t="array" aca="1" ref="D195" ca="1">IF(Insumo[[#This Row],[VALOR]]=0,Insumo[TOTAL],E195/C195)</f>
        <v>0</v>
      </c>
      <c r="E195" s="69">
        <f ca="1">SUM(Insumo[[#This Row],[CAP1-3]:[CAP29]])</f>
        <v>0</v>
      </c>
      <c r="F195" s="69">
        <f ca="1">SUMIF('CAP1-3'!$B:$H,Insumo[[#This Row],[DESCRIPCION]],'CAP1-3'!$H:$H)</f>
        <v>0</v>
      </c>
      <c r="G195" s="69">
        <f ca="1">SUMIF('CAP4-5'!$B:$H,Insumo[[#This Row],[DESCRIPCION]],'CAP4-5'!$H:$H)</f>
        <v>0</v>
      </c>
      <c r="H195" s="69">
        <f ca="1">SUMIF('CAP6-7'!$B:$H,Insumo[[#This Row],[DESCRIPCION]],'CAP6-7'!$H:$H)</f>
        <v>0</v>
      </c>
      <c r="I195" s="69">
        <f ca="1">SUMIF('CAP8'!$B:$H,Insumo[[#This Row],[DESCRIPCION]],'CAP8'!$H:$H)</f>
        <v>0</v>
      </c>
      <c r="J195" s="69">
        <f ca="1">SUMIF('CAP9-13'!$B:$H,Insumo[[#This Row],[DESCRIPCION]],'CAP9-13'!$H:$H)</f>
        <v>0</v>
      </c>
      <c r="K195" s="69">
        <f ca="1">SUMIF('CAP14-15'!$B:$H,Insumo[[#This Row],[DESCRIPCION]],'CAP14-15'!$H:$H)</f>
        <v>0</v>
      </c>
      <c r="L195" s="69">
        <f ca="1">SUMIF('CAP16-18'!$B:$H,Insumo[[#This Row],[DESCRIPCION]],'CAP16-18'!$H:$H)</f>
        <v>0</v>
      </c>
      <c r="M195" s="69">
        <f ca="1">SUMIF('CAP19-22'!$B:$H,Insumo[[#This Row],[DESCRIPCION]],'CAP19-22'!$H:$H)</f>
        <v>0</v>
      </c>
      <c r="N195" s="69">
        <f ca="1">SUMIF('CAP23-24'!$B:$H,Insumo[[#This Row],[DESCRIPCION]],'CAP23-24'!$H:$H)</f>
        <v>0</v>
      </c>
      <c r="O195" s="69">
        <f ca="1">SUMIF('CAP25'!$B:$H,Insumo[[#This Row],[DESCRIPCION]],'CAP25'!$H:$H)</f>
        <v>0</v>
      </c>
      <c r="P195" s="69">
        <f ca="1">SUMIF('CAP26-28'!$B:$H,Insumo[[#This Row],[DESCRIPCION]],'CAP26-28'!$H:$H)</f>
        <v>0</v>
      </c>
      <c r="Q195" s="69">
        <f ca="1">SUMIF('CAP29'!$B:$H,Insumo[[#This Row],[DESCRIPCION]],'CAP29'!$H:$H)</f>
        <v>0</v>
      </c>
      <c r="T195" s="136">
        <v>34175</v>
      </c>
    </row>
    <row r="196" spans="1:20">
      <c r="A196" s="301" t="s">
        <v>2804</v>
      </c>
      <c r="B196" s="303" t="s">
        <v>23</v>
      </c>
      <c r="C196" s="304">
        <f t="shared" si="2"/>
        <v>295522.5</v>
      </c>
      <c r="D196" s="281" cm="1">
        <f t="array" aca="1" ref="D196" ca="1">IF(Insumo[[#This Row],[VALOR]]=0,Insumo[TOTAL],E196/C196)</f>
        <v>0</v>
      </c>
      <c r="E196" s="69">
        <f ca="1">SUM(Insumo[[#This Row],[CAP1-3]:[CAP29]])</f>
        <v>0</v>
      </c>
      <c r="F196" s="69">
        <f ca="1">SUMIF('CAP1-3'!$B:$H,Insumo[[#This Row],[DESCRIPCION]],'CAP1-3'!$H:$H)</f>
        <v>0</v>
      </c>
      <c r="G196" s="69">
        <f ca="1">SUMIF('CAP4-5'!$B:$H,Insumo[[#This Row],[DESCRIPCION]],'CAP4-5'!$H:$H)</f>
        <v>0</v>
      </c>
      <c r="H196" s="69">
        <f ca="1">SUMIF('CAP6-7'!$B:$H,Insumo[[#This Row],[DESCRIPCION]],'CAP6-7'!$H:$H)</f>
        <v>0</v>
      </c>
      <c r="I196" s="69">
        <f ca="1">SUMIF('CAP8'!$B:$H,Insumo[[#This Row],[DESCRIPCION]],'CAP8'!$H:$H)</f>
        <v>0</v>
      </c>
      <c r="J196" s="69">
        <f ca="1">SUMIF('CAP9-13'!$B:$H,Insumo[[#This Row],[DESCRIPCION]],'CAP9-13'!$H:$H)</f>
        <v>0</v>
      </c>
      <c r="K196" s="69">
        <f ca="1">SUMIF('CAP14-15'!$B:$H,Insumo[[#This Row],[DESCRIPCION]],'CAP14-15'!$H:$H)</f>
        <v>0</v>
      </c>
      <c r="L196" s="69">
        <f ca="1">SUMIF('CAP16-18'!$B:$H,Insumo[[#This Row],[DESCRIPCION]],'CAP16-18'!$H:$H)</f>
        <v>0</v>
      </c>
      <c r="M196" s="69">
        <f ca="1">SUMIF('CAP19-22'!$B:$H,Insumo[[#This Row],[DESCRIPCION]],'CAP19-22'!$H:$H)</f>
        <v>0</v>
      </c>
      <c r="N196" s="69">
        <f ca="1">SUMIF('CAP23-24'!$B:$H,Insumo[[#This Row],[DESCRIPCION]],'CAP23-24'!$H:$H)</f>
        <v>0</v>
      </c>
      <c r="O196" s="69">
        <f ca="1">SUMIF('CAP25'!$B:$H,Insumo[[#This Row],[DESCRIPCION]],'CAP25'!$H:$H)</f>
        <v>0</v>
      </c>
      <c r="P196" s="69">
        <f ca="1">SUMIF('CAP26-28'!$B:$H,Insumo[[#This Row],[DESCRIPCION]],'CAP26-28'!$H:$H)</f>
        <v>0</v>
      </c>
      <c r="Q196" s="69">
        <f ca="1">SUMIF('CAP29'!$B:$H,Insumo[[#This Row],[DESCRIPCION]],'CAP29'!$H:$H)</f>
        <v>0</v>
      </c>
      <c r="T196" s="136">
        <v>281450</v>
      </c>
    </row>
    <row r="197" spans="1:20">
      <c r="A197" s="301" t="s">
        <v>2805</v>
      </c>
      <c r="B197" s="303" t="s">
        <v>23</v>
      </c>
      <c r="C197" s="304">
        <f t="shared" si="2"/>
        <v>53307.450000000004</v>
      </c>
      <c r="D197" s="281" cm="1">
        <f t="array" aca="1" ref="D197" ca="1">IF(Insumo[[#This Row],[VALOR]]=0,Insumo[TOTAL],E197/C197)</f>
        <v>0</v>
      </c>
      <c r="E197" s="69">
        <f ca="1">SUM(Insumo[[#This Row],[CAP1-3]:[CAP29]])</f>
        <v>0</v>
      </c>
      <c r="F197" s="69">
        <f ca="1">SUMIF('CAP1-3'!$B:$H,Insumo[[#This Row],[DESCRIPCION]],'CAP1-3'!$H:$H)</f>
        <v>0</v>
      </c>
      <c r="G197" s="69">
        <f ca="1">SUMIF('CAP4-5'!$B:$H,Insumo[[#This Row],[DESCRIPCION]],'CAP4-5'!$H:$H)</f>
        <v>0</v>
      </c>
      <c r="H197" s="69">
        <f ca="1">SUMIF('CAP6-7'!$B:$H,Insumo[[#This Row],[DESCRIPCION]],'CAP6-7'!$H:$H)</f>
        <v>0</v>
      </c>
      <c r="I197" s="69">
        <f ca="1">SUMIF('CAP8'!$B:$H,Insumo[[#This Row],[DESCRIPCION]],'CAP8'!$H:$H)</f>
        <v>0</v>
      </c>
      <c r="J197" s="69">
        <f ca="1">SUMIF('CAP9-13'!$B:$H,Insumo[[#This Row],[DESCRIPCION]],'CAP9-13'!$H:$H)</f>
        <v>0</v>
      </c>
      <c r="K197" s="69">
        <f ca="1">SUMIF('CAP14-15'!$B:$H,Insumo[[#This Row],[DESCRIPCION]],'CAP14-15'!$H:$H)</f>
        <v>0</v>
      </c>
      <c r="L197" s="69">
        <f ca="1">SUMIF('CAP16-18'!$B:$H,Insumo[[#This Row],[DESCRIPCION]],'CAP16-18'!$H:$H)</f>
        <v>0</v>
      </c>
      <c r="M197" s="69">
        <f ca="1">SUMIF('CAP19-22'!$B:$H,Insumo[[#This Row],[DESCRIPCION]],'CAP19-22'!$H:$H)</f>
        <v>0</v>
      </c>
      <c r="N197" s="69">
        <f ca="1">SUMIF('CAP23-24'!$B:$H,Insumo[[#This Row],[DESCRIPCION]],'CAP23-24'!$H:$H)</f>
        <v>0</v>
      </c>
      <c r="O197" s="69">
        <f ca="1">SUMIF('CAP25'!$B:$H,Insumo[[#This Row],[DESCRIPCION]],'CAP25'!$H:$H)</f>
        <v>0</v>
      </c>
      <c r="P197" s="69">
        <f ca="1">SUMIF('CAP26-28'!$B:$H,Insumo[[#This Row],[DESCRIPCION]],'CAP26-28'!$H:$H)</f>
        <v>0</v>
      </c>
      <c r="Q197" s="69">
        <f ca="1">SUMIF('CAP29'!$B:$H,Insumo[[#This Row],[DESCRIPCION]],'CAP29'!$H:$H)</f>
        <v>0</v>
      </c>
      <c r="T197" s="136">
        <v>50769</v>
      </c>
    </row>
    <row r="198" spans="1:20">
      <c r="A198" s="301" t="s">
        <v>2806</v>
      </c>
      <c r="B198" s="303" t="s">
        <v>23</v>
      </c>
      <c r="C198" s="304">
        <f t="shared" ref="C198:C261" si="3">T198*$T$3</f>
        <v>3012.4500000000003</v>
      </c>
      <c r="D198" s="281" cm="1">
        <f t="array" aca="1" ref="D198" ca="1">IF(Insumo[[#This Row],[VALOR]]=0,Insumo[TOTAL],E198/C198)</f>
        <v>0</v>
      </c>
      <c r="E198" s="69">
        <f ca="1">SUM(Insumo[[#This Row],[CAP1-3]:[CAP29]])</f>
        <v>0</v>
      </c>
      <c r="F198" s="69">
        <f ca="1">SUMIF('CAP1-3'!$B:$H,Insumo[[#This Row],[DESCRIPCION]],'CAP1-3'!$H:$H)</f>
        <v>0</v>
      </c>
      <c r="G198" s="69">
        <f ca="1">SUMIF('CAP4-5'!$B:$H,Insumo[[#This Row],[DESCRIPCION]],'CAP4-5'!$H:$H)</f>
        <v>0</v>
      </c>
      <c r="H198" s="69">
        <f ca="1">SUMIF('CAP6-7'!$B:$H,Insumo[[#This Row],[DESCRIPCION]],'CAP6-7'!$H:$H)</f>
        <v>0</v>
      </c>
      <c r="I198" s="69">
        <f ca="1">SUMIF('CAP8'!$B:$H,Insumo[[#This Row],[DESCRIPCION]],'CAP8'!$H:$H)</f>
        <v>0</v>
      </c>
      <c r="J198" s="69">
        <f ca="1">SUMIF('CAP9-13'!$B:$H,Insumo[[#This Row],[DESCRIPCION]],'CAP9-13'!$H:$H)</f>
        <v>0</v>
      </c>
      <c r="K198" s="69">
        <f ca="1">SUMIF('CAP14-15'!$B:$H,Insumo[[#This Row],[DESCRIPCION]],'CAP14-15'!$H:$H)</f>
        <v>0</v>
      </c>
      <c r="L198" s="69">
        <f ca="1">SUMIF('CAP16-18'!$B:$H,Insumo[[#This Row],[DESCRIPCION]],'CAP16-18'!$H:$H)</f>
        <v>0</v>
      </c>
      <c r="M198" s="69">
        <f ca="1">SUMIF('CAP19-22'!$B:$H,Insumo[[#This Row],[DESCRIPCION]],'CAP19-22'!$H:$H)</f>
        <v>0</v>
      </c>
      <c r="N198" s="69">
        <f ca="1">SUMIF('CAP23-24'!$B:$H,Insumo[[#This Row],[DESCRIPCION]],'CAP23-24'!$H:$H)</f>
        <v>0</v>
      </c>
      <c r="O198" s="69">
        <f ca="1">SUMIF('CAP25'!$B:$H,Insumo[[#This Row],[DESCRIPCION]],'CAP25'!$H:$H)</f>
        <v>0</v>
      </c>
      <c r="P198" s="69">
        <f ca="1">SUMIF('CAP26-28'!$B:$H,Insumo[[#This Row],[DESCRIPCION]],'CAP26-28'!$H:$H)</f>
        <v>0</v>
      </c>
      <c r="Q198" s="69">
        <f ca="1">SUMIF('CAP29'!$B:$H,Insumo[[#This Row],[DESCRIPCION]],'CAP29'!$H:$H)</f>
        <v>0</v>
      </c>
      <c r="T198" s="136">
        <v>2869</v>
      </c>
    </row>
    <row r="199" spans="1:20">
      <c r="A199" s="301" t="s">
        <v>2807</v>
      </c>
      <c r="B199" s="303" t="s">
        <v>2621</v>
      </c>
      <c r="C199" s="304">
        <f t="shared" si="3"/>
        <v>2841.3</v>
      </c>
      <c r="D199" s="281" cm="1">
        <f t="array" aca="1" ref="D199" ca="1">IF(Insumo[[#This Row],[VALOR]]=0,Insumo[TOTAL],E199/C199)</f>
        <v>0</v>
      </c>
      <c r="E199" s="69">
        <f ca="1">SUM(Insumo[[#This Row],[CAP1-3]:[CAP29]])</f>
        <v>0</v>
      </c>
      <c r="F199" s="69">
        <f ca="1">SUMIF('CAP1-3'!$B:$H,Insumo[[#This Row],[DESCRIPCION]],'CAP1-3'!$H:$H)</f>
        <v>0</v>
      </c>
      <c r="G199" s="69">
        <f ca="1">SUMIF('CAP4-5'!$B:$H,Insumo[[#This Row],[DESCRIPCION]],'CAP4-5'!$H:$H)</f>
        <v>0</v>
      </c>
      <c r="H199" s="69">
        <f ca="1">SUMIF('CAP6-7'!$B:$H,Insumo[[#This Row],[DESCRIPCION]],'CAP6-7'!$H:$H)</f>
        <v>0</v>
      </c>
      <c r="I199" s="69">
        <f ca="1">SUMIF('CAP8'!$B:$H,Insumo[[#This Row],[DESCRIPCION]],'CAP8'!$H:$H)</f>
        <v>0</v>
      </c>
      <c r="J199" s="69">
        <f ca="1">SUMIF('CAP9-13'!$B:$H,Insumo[[#This Row],[DESCRIPCION]],'CAP9-13'!$H:$H)</f>
        <v>0</v>
      </c>
      <c r="K199" s="69">
        <f ca="1">SUMIF('CAP14-15'!$B:$H,Insumo[[#This Row],[DESCRIPCION]],'CAP14-15'!$H:$H)</f>
        <v>0</v>
      </c>
      <c r="L199" s="69">
        <f ca="1">SUMIF('CAP16-18'!$B:$H,Insumo[[#This Row],[DESCRIPCION]],'CAP16-18'!$H:$H)</f>
        <v>0</v>
      </c>
      <c r="M199" s="69">
        <f ca="1">SUMIF('CAP19-22'!$B:$H,Insumo[[#This Row],[DESCRIPCION]],'CAP19-22'!$H:$H)</f>
        <v>0</v>
      </c>
      <c r="N199" s="69">
        <f ca="1">SUMIF('CAP23-24'!$B:$H,Insumo[[#This Row],[DESCRIPCION]],'CAP23-24'!$H:$H)</f>
        <v>0</v>
      </c>
      <c r="O199" s="69">
        <f ca="1">SUMIF('CAP25'!$B:$H,Insumo[[#This Row],[DESCRIPCION]],'CAP25'!$H:$H)</f>
        <v>0</v>
      </c>
      <c r="P199" s="69">
        <f ca="1">SUMIF('CAP26-28'!$B:$H,Insumo[[#This Row],[DESCRIPCION]],'CAP26-28'!$H:$H)</f>
        <v>0</v>
      </c>
      <c r="Q199" s="69">
        <f ca="1">SUMIF('CAP29'!$B:$H,Insumo[[#This Row],[DESCRIPCION]],'CAP29'!$H:$H)</f>
        <v>0</v>
      </c>
      <c r="T199" s="136">
        <v>2706</v>
      </c>
    </row>
    <row r="200" spans="1:20">
      <c r="A200" s="301" t="s">
        <v>2808</v>
      </c>
      <c r="B200" s="303" t="s">
        <v>23</v>
      </c>
      <c r="C200" s="304">
        <f t="shared" si="3"/>
        <v>53307.450000000004</v>
      </c>
      <c r="D200" s="281" cm="1">
        <f t="array" aca="1" ref="D200" ca="1">IF(Insumo[[#This Row],[VALOR]]=0,Insumo[TOTAL],E200/C200)</f>
        <v>0</v>
      </c>
      <c r="E200" s="69">
        <f ca="1">SUM(Insumo[[#This Row],[CAP1-3]:[CAP29]])</f>
        <v>0</v>
      </c>
      <c r="F200" s="69">
        <f ca="1">SUMIF('CAP1-3'!$B:$H,Insumo[[#This Row],[DESCRIPCION]],'CAP1-3'!$H:$H)</f>
        <v>0</v>
      </c>
      <c r="G200" s="69">
        <f ca="1">SUMIF('CAP4-5'!$B:$H,Insumo[[#This Row],[DESCRIPCION]],'CAP4-5'!$H:$H)</f>
        <v>0</v>
      </c>
      <c r="H200" s="69">
        <f ca="1">SUMIF('CAP6-7'!$B:$H,Insumo[[#This Row],[DESCRIPCION]],'CAP6-7'!$H:$H)</f>
        <v>0</v>
      </c>
      <c r="I200" s="69">
        <f ca="1">SUMIF('CAP8'!$B:$H,Insumo[[#This Row],[DESCRIPCION]],'CAP8'!$H:$H)</f>
        <v>0</v>
      </c>
      <c r="J200" s="69">
        <f ca="1">SUMIF('CAP9-13'!$B:$H,Insumo[[#This Row],[DESCRIPCION]],'CAP9-13'!$H:$H)</f>
        <v>0</v>
      </c>
      <c r="K200" s="69">
        <f ca="1">SUMIF('CAP14-15'!$B:$H,Insumo[[#This Row],[DESCRIPCION]],'CAP14-15'!$H:$H)</f>
        <v>0</v>
      </c>
      <c r="L200" s="69">
        <f ca="1">SUMIF('CAP16-18'!$B:$H,Insumo[[#This Row],[DESCRIPCION]],'CAP16-18'!$H:$H)</f>
        <v>0</v>
      </c>
      <c r="M200" s="69">
        <f ca="1">SUMIF('CAP19-22'!$B:$H,Insumo[[#This Row],[DESCRIPCION]],'CAP19-22'!$H:$H)</f>
        <v>0</v>
      </c>
      <c r="N200" s="69">
        <f ca="1">SUMIF('CAP23-24'!$B:$H,Insumo[[#This Row],[DESCRIPCION]],'CAP23-24'!$H:$H)</f>
        <v>0</v>
      </c>
      <c r="O200" s="69">
        <f ca="1">SUMIF('CAP25'!$B:$H,Insumo[[#This Row],[DESCRIPCION]],'CAP25'!$H:$H)</f>
        <v>0</v>
      </c>
      <c r="P200" s="69">
        <f ca="1">SUMIF('CAP26-28'!$B:$H,Insumo[[#This Row],[DESCRIPCION]],'CAP26-28'!$H:$H)</f>
        <v>0</v>
      </c>
      <c r="Q200" s="69">
        <f ca="1">SUMIF('CAP29'!$B:$H,Insumo[[#This Row],[DESCRIPCION]],'CAP29'!$H:$H)</f>
        <v>0</v>
      </c>
      <c r="T200" s="136">
        <v>50769</v>
      </c>
    </row>
    <row r="201" spans="1:20">
      <c r="A201" s="301" t="s">
        <v>2809</v>
      </c>
      <c r="B201" s="303" t="s">
        <v>23</v>
      </c>
      <c r="C201" s="304">
        <f t="shared" si="3"/>
        <v>3258.15</v>
      </c>
      <c r="D201" s="281" cm="1">
        <f t="array" aca="1" ref="D201" ca="1">IF(Insumo[[#This Row],[VALOR]]=0,Insumo[TOTAL],E201/C201)</f>
        <v>0</v>
      </c>
      <c r="E201" s="69">
        <f ca="1">SUM(Insumo[[#This Row],[CAP1-3]:[CAP29]])</f>
        <v>0</v>
      </c>
      <c r="F201" s="69">
        <f ca="1">SUMIF('CAP1-3'!$B:$H,Insumo[[#This Row],[DESCRIPCION]],'CAP1-3'!$H:$H)</f>
        <v>0</v>
      </c>
      <c r="G201" s="69">
        <f ca="1">SUMIF('CAP4-5'!$B:$H,Insumo[[#This Row],[DESCRIPCION]],'CAP4-5'!$H:$H)</f>
        <v>0</v>
      </c>
      <c r="H201" s="69">
        <f ca="1">SUMIF('CAP6-7'!$B:$H,Insumo[[#This Row],[DESCRIPCION]],'CAP6-7'!$H:$H)</f>
        <v>0</v>
      </c>
      <c r="I201" s="69">
        <f ca="1">SUMIF('CAP8'!$B:$H,Insumo[[#This Row],[DESCRIPCION]],'CAP8'!$H:$H)</f>
        <v>0</v>
      </c>
      <c r="J201" s="69">
        <f ca="1">SUMIF('CAP9-13'!$B:$H,Insumo[[#This Row],[DESCRIPCION]],'CAP9-13'!$H:$H)</f>
        <v>0</v>
      </c>
      <c r="K201" s="69">
        <f ca="1">SUMIF('CAP14-15'!$B:$H,Insumo[[#This Row],[DESCRIPCION]],'CAP14-15'!$H:$H)</f>
        <v>0</v>
      </c>
      <c r="L201" s="69">
        <f ca="1">SUMIF('CAP16-18'!$B:$H,Insumo[[#This Row],[DESCRIPCION]],'CAP16-18'!$H:$H)</f>
        <v>0</v>
      </c>
      <c r="M201" s="69">
        <f ca="1">SUMIF('CAP19-22'!$B:$H,Insumo[[#This Row],[DESCRIPCION]],'CAP19-22'!$H:$H)</f>
        <v>0</v>
      </c>
      <c r="N201" s="69">
        <f ca="1">SUMIF('CAP23-24'!$B:$H,Insumo[[#This Row],[DESCRIPCION]],'CAP23-24'!$H:$H)</f>
        <v>0</v>
      </c>
      <c r="O201" s="69">
        <f ca="1">SUMIF('CAP25'!$B:$H,Insumo[[#This Row],[DESCRIPCION]],'CAP25'!$H:$H)</f>
        <v>0</v>
      </c>
      <c r="P201" s="69">
        <f ca="1">SUMIF('CAP26-28'!$B:$H,Insumo[[#This Row],[DESCRIPCION]],'CAP26-28'!$H:$H)</f>
        <v>0</v>
      </c>
      <c r="Q201" s="69">
        <f ca="1">SUMIF('CAP29'!$B:$H,Insumo[[#This Row],[DESCRIPCION]],'CAP29'!$H:$H)</f>
        <v>0</v>
      </c>
      <c r="T201" s="136">
        <v>3103</v>
      </c>
    </row>
    <row r="202" spans="1:20">
      <c r="A202" s="301" t="s">
        <v>2810</v>
      </c>
      <c r="B202" s="303" t="s">
        <v>23</v>
      </c>
      <c r="C202" s="304">
        <f t="shared" si="3"/>
        <v>13526.1</v>
      </c>
      <c r="D202" s="281" cm="1">
        <f t="array" aca="1" ref="D202" ca="1">IF(Insumo[[#This Row],[VALOR]]=0,Insumo[TOTAL],E202/C202)</f>
        <v>0</v>
      </c>
      <c r="E202" s="69">
        <f ca="1">SUM(Insumo[[#This Row],[CAP1-3]:[CAP29]])</f>
        <v>0</v>
      </c>
      <c r="F202" s="69">
        <f ca="1">SUMIF('CAP1-3'!$B:$H,Insumo[[#This Row],[DESCRIPCION]],'CAP1-3'!$H:$H)</f>
        <v>0</v>
      </c>
      <c r="G202" s="69">
        <f ca="1">SUMIF('CAP4-5'!$B:$H,Insumo[[#This Row],[DESCRIPCION]],'CAP4-5'!$H:$H)</f>
        <v>0</v>
      </c>
      <c r="H202" s="69">
        <f ca="1">SUMIF('CAP6-7'!$B:$H,Insumo[[#This Row],[DESCRIPCION]],'CAP6-7'!$H:$H)</f>
        <v>0</v>
      </c>
      <c r="I202" s="69">
        <f ca="1">SUMIF('CAP8'!$B:$H,Insumo[[#This Row],[DESCRIPCION]],'CAP8'!$H:$H)</f>
        <v>0</v>
      </c>
      <c r="J202" s="69">
        <f ca="1">SUMIF('CAP9-13'!$B:$H,Insumo[[#This Row],[DESCRIPCION]],'CAP9-13'!$H:$H)</f>
        <v>0</v>
      </c>
      <c r="K202" s="69">
        <f ca="1">SUMIF('CAP14-15'!$B:$H,Insumo[[#This Row],[DESCRIPCION]],'CAP14-15'!$H:$H)</f>
        <v>0</v>
      </c>
      <c r="L202" s="69">
        <f ca="1">SUMIF('CAP16-18'!$B:$H,Insumo[[#This Row],[DESCRIPCION]],'CAP16-18'!$H:$H)</f>
        <v>0</v>
      </c>
      <c r="M202" s="69">
        <f ca="1">SUMIF('CAP19-22'!$B:$H,Insumo[[#This Row],[DESCRIPCION]],'CAP19-22'!$H:$H)</f>
        <v>0</v>
      </c>
      <c r="N202" s="69">
        <f ca="1">SUMIF('CAP23-24'!$B:$H,Insumo[[#This Row],[DESCRIPCION]],'CAP23-24'!$H:$H)</f>
        <v>0</v>
      </c>
      <c r="O202" s="69">
        <f ca="1">SUMIF('CAP25'!$B:$H,Insumo[[#This Row],[DESCRIPCION]],'CAP25'!$H:$H)</f>
        <v>0</v>
      </c>
      <c r="P202" s="69">
        <f ca="1">SUMIF('CAP26-28'!$B:$H,Insumo[[#This Row],[DESCRIPCION]],'CAP26-28'!$H:$H)</f>
        <v>0</v>
      </c>
      <c r="Q202" s="69">
        <f ca="1">SUMIF('CAP29'!$B:$H,Insumo[[#This Row],[DESCRIPCION]],'CAP29'!$H:$H)</f>
        <v>0</v>
      </c>
      <c r="T202" s="136">
        <v>12882</v>
      </c>
    </row>
    <row r="203" spans="1:20">
      <c r="A203" s="301" t="s">
        <v>2811</v>
      </c>
      <c r="B203" s="303" t="s">
        <v>23</v>
      </c>
      <c r="C203" s="304">
        <f t="shared" si="3"/>
        <v>1730965.9500000002</v>
      </c>
      <c r="D203" s="281" cm="1">
        <f t="array" aca="1" ref="D203" ca="1">IF(Insumo[[#This Row],[VALOR]]=0,Insumo[TOTAL],E203/C203)</f>
        <v>0</v>
      </c>
      <c r="E203" s="69">
        <f ca="1">SUM(Insumo[[#This Row],[CAP1-3]:[CAP29]])</f>
        <v>0</v>
      </c>
      <c r="F203" s="69">
        <f ca="1">SUMIF('CAP1-3'!$B:$H,Insumo[[#This Row],[DESCRIPCION]],'CAP1-3'!$H:$H)</f>
        <v>0</v>
      </c>
      <c r="G203" s="69">
        <f ca="1">SUMIF('CAP4-5'!$B:$H,Insumo[[#This Row],[DESCRIPCION]],'CAP4-5'!$H:$H)</f>
        <v>0</v>
      </c>
      <c r="H203" s="69">
        <f ca="1">SUMIF('CAP6-7'!$B:$H,Insumo[[#This Row],[DESCRIPCION]],'CAP6-7'!$H:$H)</f>
        <v>0</v>
      </c>
      <c r="I203" s="69">
        <f ca="1">SUMIF('CAP8'!$B:$H,Insumo[[#This Row],[DESCRIPCION]],'CAP8'!$H:$H)</f>
        <v>0</v>
      </c>
      <c r="J203" s="69">
        <f ca="1">SUMIF('CAP9-13'!$B:$H,Insumo[[#This Row],[DESCRIPCION]],'CAP9-13'!$H:$H)</f>
        <v>0</v>
      </c>
      <c r="K203" s="69">
        <f ca="1">SUMIF('CAP14-15'!$B:$H,Insumo[[#This Row],[DESCRIPCION]],'CAP14-15'!$H:$H)</f>
        <v>0</v>
      </c>
      <c r="L203" s="69">
        <f ca="1">SUMIF('CAP16-18'!$B:$H,Insumo[[#This Row],[DESCRIPCION]],'CAP16-18'!$H:$H)</f>
        <v>0</v>
      </c>
      <c r="M203" s="69">
        <f ca="1">SUMIF('CAP19-22'!$B:$H,Insumo[[#This Row],[DESCRIPCION]],'CAP19-22'!$H:$H)</f>
        <v>0</v>
      </c>
      <c r="N203" s="69">
        <f ca="1">SUMIF('CAP23-24'!$B:$H,Insumo[[#This Row],[DESCRIPCION]],'CAP23-24'!$H:$H)</f>
        <v>0</v>
      </c>
      <c r="O203" s="69">
        <f ca="1">SUMIF('CAP25'!$B:$H,Insumo[[#This Row],[DESCRIPCION]],'CAP25'!$H:$H)</f>
        <v>0</v>
      </c>
      <c r="P203" s="69">
        <f ca="1">SUMIF('CAP26-28'!$B:$H,Insumo[[#This Row],[DESCRIPCION]],'CAP26-28'!$H:$H)</f>
        <v>0</v>
      </c>
      <c r="Q203" s="69">
        <f ca="1">SUMIF('CAP29'!$B:$H,Insumo[[#This Row],[DESCRIPCION]],'CAP29'!$H:$H)</f>
        <v>0</v>
      </c>
      <c r="T203" s="136">
        <v>1648539</v>
      </c>
    </row>
    <row r="204" spans="1:20">
      <c r="A204" s="301" t="s">
        <v>2812</v>
      </c>
      <c r="B204" s="303" t="s">
        <v>23</v>
      </c>
      <c r="C204" s="304">
        <f t="shared" si="3"/>
        <v>1818486.6</v>
      </c>
      <c r="D204" s="281" cm="1">
        <f t="array" aca="1" ref="D204" ca="1">IF(Insumo[[#This Row],[VALOR]]=0,Insumo[TOTAL],E204/C204)</f>
        <v>0</v>
      </c>
      <c r="E204" s="69">
        <f ca="1">SUM(Insumo[[#This Row],[CAP1-3]:[CAP29]])</f>
        <v>0</v>
      </c>
      <c r="F204" s="69">
        <f ca="1">SUMIF('CAP1-3'!$B:$H,Insumo[[#This Row],[DESCRIPCION]],'CAP1-3'!$H:$H)</f>
        <v>0</v>
      </c>
      <c r="G204" s="69">
        <f ca="1">SUMIF('CAP4-5'!$B:$H,Insumo[[#This Row],[DESCRIPCION]],'CAP4-5'!$H:$H)</f>
        <v>0</v>
      </c>
      <c r="H204" s="69">
        <f ca="1">SUMIF('CAP6-7'!$B:$H,Insumo[[#This Row],[DESCRIPCION]],'CAP6-7'!$H:$H)</f>
        <v>0</v>
      </c>
      <c r="I204" s="69">
        <f ca="1">SUMIF('CAP8'!$B:$H,Insumo[[#This Row],[DESCRIPCION]],'CAP8'!$H:$H)</f>
        <v>0</v>
      </c>
      <c r="J204" s="69">
        <f ca="1">SUMIF('CAP9-13'!$B:$H,Insumo[[#This Row],[DESCRIPCION]],'CAP9-13'!$H:$H)</f>
        <v>0</v>
      </c>
      <c r="K204" s="69">
        <f ca="1">SUMIF('CAP14-15'!$B:$H,Insumo[[#This Row],[DESCRIPCION]],'CAP14-15'!$H:$H)</f>
        <v>0</v>
      </c>
      <c r="L204" s="69">
        <f ca="1">SUMIF('CAP16-18'!$B:$H,Insumo[[#This Row],[DESCRIPCION]],'CAP16-18'!$H:$H)</f>
        <v>0</v>
      </c>
      <c r="M204" s="69">
        <f ca="1">SUMIF('CAP19-22'!$B:$H,Insumo[[#This Row],[DESCRIPCION]],'CAP19-22'!$H:$H)</f>
        <v>0</v>
      </c>
      <c r="N204" s="69">
        <f ca="1">SUMIF('CAP23-24'!$B:$H,Insumo[[#This Row],[DESCRIPCION]],'CAP23-24'!$H:$H)</f>
        <v>0</v>
      </c>
      <c r="O204" s="69">
        <f ca="1">SUMIF('CAP25'!$B:$H,Insumo[[#This Row],[DESCRIPCION]],'CAP25'!$H:$H)</f>
        <v>0</v>
      </c>
      <c r="P204" s="69">
        <f ca="1">SUMIF('CAP26-28'!$B:$H,Insumo[[#This Row],[DESCRIPCION]],'CAP26-28'!$H:$H)</f>
        <v>0</v>
      </c>
      <c r="Q204" s="69">
        <f ca="1">SUMIF('CAP29'!$B:$H,Insumo[[#This Row],[DESCRIPCION]],'CAP29'!$H:$H)</f>
        <v>0</v>
      </c>
      <c r="T204" s="136">
        <v>1731892</v>
      </c>
    </row>
    <row r="205" spans="1:20">
      <c r="A205" s="301" t="s">
        <v>2813</v>
      </c>
      <c r="B205" s="303" t="s">
        <v>23</v>
      </c>
      <c r="C205" s="304">
        <f t="shared" si="3"/>
        <v>78313.2</v>
      </c>
      <c r="D205" s="281" cm="1">
        <f t="array" aca="1" ref="D205" ca="1">IF(Insumo[[#This Row],[VALOR]]=0,Insumo[TOTAL],E205/C205)</f>
        <v>0</v>
      </c>
      <c r="E205" s="69">
        <f ca="1">SUM(Insumo[[#This Row],[CAP1-3]:[CAP29]])</f>
        <v>0</v>
      </c>
      <c r="F205" s="69">
        <f ca="1">SUMIF('CAP1-3'!$B:$H,Insumo[[#This Row],[DESCRIPCION]],'CAP1-3'!$H:$H)</f>
        <v>0</v>
      </c>
      <c r="G205" s="69">
        <f ca="1">SUMIF('CAP4-5'!$B:$H,Insumo[[#This Row],[DESCRIPCION]],'CAP4-5'!$H:$H)</f>
        <v>0</v>
      </c>
      <c r="H205" s="69">
        <f ca="1">SUMIF('CAP6-7'!$B:$H,Insumo[[#This Row],[DESCRIPCION]],'CAP6-7'!$H:$H)</f>
        <v>0</v>
      </c>
      <c r="I205" s="69">
        <f ca="1">SUMIF('CAP8'!$B:$H,Insumo[[#This Row],[DESCRIPCION]],'CAP8'!$H:$H)</f>
        <v>0</v>
      </c>
      <c r="J205" s="69">
        <f ca="1">SUMIF('CAP9-13'!$B:$H,Insumo[[#This Row],[DESCRIPCION]],'CAP9-13'!$H:$H)</f>
        <v>0</v>
      </c>
      <c r="K205" s="69">
        <f ca="1">SUMIF('CAP14-15'!$B:$H,Insumo[[#This Row],[DESCRIPCION]],'CAP14-15'!$H:$H)</f>
        <v>0</v>
      </c>
      <c r="L205" s="69">
        <f ca="1">SUMIF('CAP16-18'!$B:$H,Insumo[[#This Row],[DESCRIPCION]],'CAP16-18'!$H:$H)</f>
        <v>0</v>
      </c>
      <c r="M205" s="69">
        <f ca="1">SUMIF('CAP19-22'!$B:$H,Insumo[[#This Row],[DESCRIPCION]],'CAP19-22'!$H:$H)</f>
        <v>0</v>
      </c>
      <c r="N205" s="69">
        <f ca="1">SUMIF('CAP23-24'!$B:$H,Insumo[[#This Row],[DESCRIPCION]],'CAP23-24'!$H:$H)</f>
        <v>0</v>
      </c>
      <c r="O205" s="69">
        <f ca="1">SUMIF('CAP25'!$B:$H,Insumo[[#This Row],[DESCRIPCION]],'CAP25'!$H:$H)</f>
        <v>0</v>
      </c>
      <c r="P205" s="69">
        <f ca="1">SUMIF('CAP26-28'!$B:$H,Insumo[[#This Row],[DESCRIPCION]],'CAP26-28'!$H:$H)</f>
        <v>0</v>
      </c>
      <c r="Q205" s="69">
        <f ca="1">SUMIF('CAP29'!$B:$H,Insumo[[#This Row],[DESCRIPCION]],'CAP29'!$H:$H)</f>
        <v>0</v>
      </c>
      <c r="T205" s="136">
        <v>74584</v>
      </c>
    </row>
    <row r="206" spans="1:20">
      <c r="A206" s="301" t="s">
        <v>2814</v>
      </c>
      <c r="B206" s="303" t="s">
        <v>23</v>
      </c>
      <c r="C206" s="304">
        <f t="shared" si="3"/>
        <v>10343.550000000001</v>
      </c>
      <c r="D206" s="281" cm="1">
        <f t="array" aca="1" ref="D206" ca="1">IF(Insumo[[#This Row],[VALOR]]=0,Insumo[TOTAL],E206/C206)</f>
        <v>0</v>
      </c>
      <c r="E206" s="69">
        <f ca="1">SUM(Insumo[[#This Row],[CAP1-3]:[CAP29]])</f>
        <v>0</v>
      </c>
      <c r="F206" s="69">
        <f ca="1">SUMIF('CAP1-3'!$B:$H,Insumo[[#This Row],[DESCRIPCION]],'CAP1-3'!$H:$H)</f>
        <v>0</v>
      </c>
      <c r="G206" s="69">
        <f ca="1">SUMIF('CAP4-5'!$B:$H,Insumo[[#This Row],[DESCRIPCION]],'CAP4-5'!$H:$H)</f>
        <v>0</v>
      </c>
      <c r="H206" s="69">
        <f ca="1">SUMIF('CAP6-7'!$B:$H,Insumo[[#This Row],[DESCRIPCION]],'CAP6-7'!$H:$H)</f>
        <v>0</v>
      </c>
      <c r="I206" s="69">
        <f ca="1">SUMIF('CAP8'!$B:$H,Insumo[[#This Row],[DESCRIPCION]],'CAP8'!$H:$H)</f>
        <v>0</v>
      </c>
      <c r="J206" s="69">
        <f ca="1">SUMIF('CAP9-13'!$B:$H,Insumo[[#This Row],[DESCRIPCION]],'CAP9-13'!$H:$H)</f>
        <v>0</v>
      </c>
      <c r="K206" s="69">
        <f ca="1">SUMIF('CAP14-15'!$B:$H,Insumo[[#This Row],[DESCRIPCION]],'CAP14-15'!$H:$H)</f>
        <v>0</v>
      </c>
      <c r="L206" s="69">
        <f ca="1">SUMIF('CAP16-18'!$B:$H,Insumo[[#This Row],[DESCRIPCION]],'CAP16-18'!$H:$H)</f>
        <v>0</v>
      </c>
      <c r="M206" s="69">
        <f ca="1">SUMIF('CAP19-22'!$B:$H,Insumo[[#This Row],[DESCRIPCION]],'CAP19-22'!$H:$H)</f>
        <v>0</v>
      </c>
      <c r="N206" s="69">
        <f ca="1">SUMIF('CAP23-24'!$B:$H,Insumo[[#This Row],[DESCRIPCION]],'CAP23-24'!$H:$H)</f>
        <v>0</v>
      </c>
      <c r="O206" s="69">
        <f ca="1">SUMIF('CAP25'!$B:$H,Insumo[[#This Row],[DESCRIPCION]],'CAP25'!$H:$H)</f>
        <v>0</v>
      </c>
      <c r="P206" s="69">
        <f ca="1">SUMIF('CAP26-28'!$B:$H,Insumo[[#This Row],[DESCRIPCION]],'CAP26-28'!$H:$H)</f>
        <v>0</v>
      </c>
      <c r="Q206" s="69">
        <f ca="1">SUMIF('CAP29'!$B:$H,Insumo[[#This Row],[DESCRIPCION]],'CAP29'!$H:$H)</f>
        <v>0</v>
      </c>
      <c r="T206" s="136">
        <v>9851</v>
      </c>
    </row>
    <row r="207" spans="1:20">
      <c r="A207" s="301" t="s">
        <v>2815</v>
      </c>
      <c r="B207" s="303" t="s">
        <v>30</v>
      </c>
      <c r="C207" s="304">
        <f t="shared" si="3"/>
        <v>136395</v>
      </c>
      <c r="D207" s="281" cm="1">
        <f t="array" aca="1" ref="D207" ca="1">IF(Insumo[[#This Row],[VALOR]]=0,Insumo[TOTAL],E207/C207)</f>
        <v>0</v>
      </c>
      <c r="E207" s="69">
        <f ca="1">SUM(Insumo[[#This Row],[CAP1-3]:[CAP29]])</f>
        <v>0</v>
      </c>
      <c r="F207" s="69">
        <f ca="1">SUMIF('CAP1-3'!$B:$H,Insumo[[#This Row],[DESCRIPCION]],'CAP1-3'!$H:$H)</f>
        <v>0</v>
      </c>
      <c r="G207" s="69">
        <f ca="1">SUMIF('CAP4-5'!$B:$H,Insumo[[#This Row],[DESCRIPCION]],'CAP4-5'!$H:$H)</f>
        <v>0</v>
      </c>
      <c r="H207" s="69">
        <f ca="1">SUMIF('CAP6-7'!$B:$H,Insumo[[#This Row],[DESCRIPCION]],'CAP6-7'!$H:$H)</f>
        <v>0</v>
      </c>
      <c r="I207" s="69">
        <f ca="1">SUMIF('CAP8'!$B:$H,Insumo[[#This Row],[DESCRIPCION]],'CAP8'!$H:$H)</f>
        <v>0</v>
      </c>
      <c r="J207" s="69">
        <f ca="1">SUMIF('CAP9-13'!$B:$H,Insumo[[#This Row],[DESCRIPCION]],'CAP9-13'!$H:$H)</f>
        <v>0</v>
      </c>
      <c r="K207" s="69">
        <f ca="1">SUMIF('CAP14-15'!$B:$H,Insumo[[#This Row],[DESCRIPCION]],'CAP14-15'!$H:$H)</f>
        <v>0</v>
      </c>
      <c r="L207" s="69">
        <f ca="1">SUMIF('CAP16-18'!$B:$H,Insumo[[#This Row],[DESCRIPCION]],'CAP16-18'!$H:$H)</f>
        <v>0</v>
      </c>
      <c r="M207" s="69">
        <f ca="1">SUMIF('CAP19-22'!$B:$H,Insumo[[#This Row],[DESCRIPCION]],'CAP19-22'!$H:$H)</f>
        <v>0</v>
      </c>
      <c r="N207" s="69">
        <f ca="1">SUMIF('CAP23-24'!$B:$H,Insumo[[#This Row],[DESCRIPCION]],'CAP23-24'!$H:$H)</f>
        <v>0</v>
      </c>
      <c r="O207" s="69">
        <f ca="1">SUMIF('CAP25'!$B:$H,Insumo[[#This Row],[DESCRIPCION]],'CAP25'!$H:$H)</f>
        <v>0</v>
      </c>
      <c r="P207" s="69">
        <f ca="1">SUMIF('CAP26-28'!$B:$H,Insumo[[#This Row],[DESCRIPCION]],'CAP26-28'!$H:$H)</f>
        <v>0</v>
      </c>
      <c r="Q207" s="69">
        <f ca="1">SUMIF('CAP29'!$B:$H,Insumo[[#This Row],[DESCRIPCION]],'CAP29'!$H:$H)</f>
        <v>0</v>
      </c>
      <c r="T207" s="136">
        <v>129900</v>
      </c>
    </row>
    <row r="208" spans="1:20">
      <c r="A208" s="301" t="s">
        <v>2816</v>
      </c>
      <c r="B208" s="303" t="s">
        <v>30</v>
      </c>
      <c r="C208" s="304">
        <f t="shared" si="3"/>
        <v>187543.65</v>
      </c>
      <c r="D208" s="281" cm="1">
        <f t="array" aca="1" ref="D208" ca="1">IF(Insumo[[#This Row],[VALOR]]=0,Insumo[TOTAL],E208/C208)</f>
        <v>0</v>
      </c>
      <c r="E208" s="69">
        <f ca="1">SUM(Insumo[[#This Row],[CAP1-3]:[CAP29]])</f>
        <v>0</v>
      </c>
      <c r="F208" s="69">
        <f ca="1">SUMIF('CAP1-3'!$B:$H,Insumo[[#This Row],[DESCRIPCION]],'CAP1-3'!$H:$H)</f>
        <v>0</v>
      </c>
      <c r="G208" s="69">
        <f ca="1">SUMIF('CAP4-5'!$B:$H,Insumo[[#This Row],[DESCRIPCION]],'CAP4-5'!$H:$H)</f>
        <v>0</v>
      </c>
      <c r="H208" s="69">
        <f ca="1">SUMIF('CAP6-7'!$B:$H,Insumo[[#This Row],[DESCRIPCION]],'CAP6-7'!$H:$H)</f>
        <v>0</v>
      </c>
      <c r="I208" s="69">
        <f ca="1">SUMIF('CAP8'!$B:$H,Insumo[[#This Row],[DESCRIPCION]],'CAP8'!$H:$H)</f>
        <v>0</v>
      </c>
      <c r="J208" s="69">
        <f ca="1">SUMIF('CAP9-13'!$B:$H,Insumo[[#This Row],[DESCRIPCION]],'CAP9-13'!$H:$H)</f>
        <v>0</v>
      </c>
      <c r="K208" s="69">
        <f ca="1">SUMIF('CAP14-15'!$B:$H,Insumo[[#This Row],[DESCRIPCION]],'CAP14-15'!$H:$H)</f>
        <v>0</v>
      </c>
      <c r="L208" s="69">
        <f ca="1">SUMIF('CAP16-18'!$B:$H,Insumo[[#This Row],[DESCRIPCION]],'CAP16-18'!$H:$H)</f>
        <v>0</v>
      </c>
      <c r="M208" s="69">
        <f ca="1">SUMIF('CAP19-22'!$B:$H,Insumo[[#This Row],[DESCRIPCION]],'CAP19-22'!$H:$H)</f>
        <v>0</v>
      </c>
      <c r="N208" s="69">
        <f ca="1">SUMIF('CAP23-24'!$B:$H,Insumo[[#This Row],[DESCRIPCION]],'CAP23-24'!$H:$H)</f>
        <v>0</v>
      </c>
      <c r="O208" s="69">
        <f ca="1">SUMIF('CAP25'!$B:$H,Insumo[[#This Row],[DESCRIPCION]],'CAP25'!$H:$H)</f>
        <v>0</v>
      </c>
      <c r="P208" s="69">
        <f ca="1">SUMIF('CAP26-28'!$B:$H,Insumo[[#This Row],[DESCRIPCION]],'CAP26-28'!$H:$H)</f>
        <v>0</v>
      </c>
      <c r="Q208" s="69">
        <f ca="1">SUMIF('CAP29'!$B:$H,Insumo[[#This Row],[DESCRIPCION]],'CAP29'!$H:$H)</f>
        <v>0</v>
      </c>
      <c r="T208" s="136">
        <v>178613</v>
      </c>
    </row>
    <row r="209" spans="1:20">
      <c r="A209" s="301" t="s">
        <v>2817</v>
      </c>
      <c r="B209" s="303" t="s">
        <v>30</v>
      </c>
      <c r="C209" s="304">
        <f t="shared" si="3"/>
        <v>47746.65</v>
      </c>
      <c r="D209" s="281" cm="1">
        <f t="array" aca="1" ref="D209" ca="1">IF(Insumo[[#This Row],[VALOR]]=0,Insumo[TOTAL],E209/C209)</f>
        <v>0</v>
      </c>
      <c r="E209" s="69">
        <f ca="1">SUM(Insumo[[#This Row],[CAP1-3]:[CAP29]])</f>
        <v>0</v>
      </c>
      <c r="F209" s="69">
        <f ca="1">SUMIF('CAP1-3'!$B:$H,Insumo[[#This Row],[DESCRIPCION]],'CAP1-3'!$H:$H)</f>
        <v>0</v>
      </c>
      <c r="G209" s="69">
        <f ca="1">SUMIF('CAP4-5'!$B:$H,Insumo[[#This Row],[DESCRIPCION]],'CAP4-5'!$H:$H)</f>
        <v>0</v>
      </c>
      <c r="H209" s="69">
        <f ca="1">SUMIF('CAP6-7'!$B:$H,Insumo[[#This Row],[DESCRIPCION]],'CAP6-7'!$H:$H)</f>
        <v>0</v>
      </c>
      <c r="I209" s="69">
        <f ca="1">SUMIF('CAP8'!$B:$H,Insumo[[#This Row],[DESCRIPCION]],'CAP8'!$H:$H)</f>
        <v>0</v>
      </c>
      <c r="J209" s="69">
        <f ca="1">SUMIF('CAP9-13'!$B:$H,Insumo[[#This Row],[DESCRIPCION]],'CAP9-13'!$H:$H)</f>
        <v>0</v>
      </c>
      <c r="K209" s="69">
        <f ca="1">SUMIF('CAP14-15'!$B:$H,Insumo[[#This Row],[DESCRIPCION]],'CAP14-15'!$H:$H)</f>
        <v>0</v>
      </c>
      <c r="L209" s="69">
        <f ca="1">SUMIF('CAP16-18'!$B:$H,Insumo[[#This Row],[DESCRIPCION]],'CAP16-18'!$H:$H)</f>
        <v>0</v>
      </c>
      <c r="M209" s="69">
        <f ca="1">SUMIF('CAP19-22'!$B:$H,Insumo[[#This Row],[DESCRIPCION]],'CAP19-22'!$H:$H)</f>
        <v>0</v>
      </c>
      <c r="N209" s="69">
        <f ca="1">SUMIF('CAP23-24'!$B:$H,Insumo[[#This Row],[DESCRIPCION]],'CAP23-24'!$H:$H)</f>
        <v>0</v>
      </c>
      <c r="O209" s="69">
        <f ca="1">SUMIF('CAP25'!$B:$H,Insumo[[#This Row],[DESCRIPCION]],'CAP25'!$H:$H)</f>
        <v>0</v>
      </c>
      <c r="P209" s="69">
        <f ca="1">SUMIF('CAP26-28'!$B:$H,Insumo[[#This Row],[DESCRIPCION]],'CAP26-28'!$H:$H)</f>
        <v>0</v>
      </c>
      <c r="Q209" s="69">
        <f ca="1">SUMIF('CAP29'!$B:$H,Insumo[[#This Row],[DESCRIPCION]],'CAP29'!$H:$H)</f>
        <v>0</v>
      </c>
      <c r="T209" s="136">
        <v>45473</v>
      </c>
    </row>
    <row r="210" spans="1:20">
      <c r="A210" s="301" t="s">
        <v>2818</v>
      </c>
      <c r="B210" s="303" t="s">
        <v>23</v>
      </c>
      <c r="C210" s="304">
        <f t="shared" si="3"/>
        <v>2770902.75</v>
      </c>
      <c r="D210" s="281" cm="1">
        <f t="array" aca="1" ref="D210" ca="1">IF(Insumo[[#This Row],[VALOR]]=0,Insumo[TOTAL],E210/C210)</f>
        <v>0</v>
      </c>
      <c r="E210" s="69">
        <f ca="1">SUM(Insumo[[#This Row],[CAP1-3]:[CAP29]])</f>
        <v>0</v>
      </c>
      <c r="F210" s="69">
        <f ca="1">SUMIF('CAP1-3'!$B:$H,Insumo[[#This Row],[DESCRIPCION]],'CAP1-3'!$H:$H)</f>
        <v>0</v>
      </c>
      <c r="G210" s="69">
        <f ca="1">SUMIF('CAP4-5'!$B:$H,Insumo[[#This Row],[DESCRIPCION]],'CAP4-5'!$H:$H)</f>
        <v>0</v>
      </c>
      <c r="H210" s="69">
        <f ca="1">SUMIF('CAP6-7'!$B:$H,Insumo[[#This Row],[DESCRIPCION]],'CAP6-7'!$H:$H)</f>
        <v>0</v>
      </c>
      <c r="I210" s="69">
        <f ca="1">SUMIF('CAP8'!$B:$H,Insumo[[#This Row],[DESCRIPCION]],'CAP8'!$H:$H)</f>
        <v>0</v>
      </c>
      <c r="J210" s="69">
        <f ca="1">SUMIF('CAP9-13'!$B:$H,Insumo[[#This Row],[DESCRIPCION]],'CAP9-13'!$H:$H)</f>
        <v>0</v>
      </c>
      <c r="K210" s="69">
        <f ca="1">SUMIF('CAP14-15'!$B:$H,Insumo[[#This Row],[DESCRIPCION]],'CAP14-15'!$H:$H)</f>
        <v>0</v>
      </c>
      <c r="L210" s="69">
        <f ca="1">SUMIF('CAP16-18'!$B:$H,Insumo[[#This Row],[DESCRIPCION]],'CAP16-18'!$H:$H)</f>
        <v>0</v>
      </c>
      <c r="M210" s="69">
        <f ca="1">SUMIF('CAP19-22'!$B:$H,Insumo[[#This Row],[DESCRIPCION]],'CAP19-22'!$H:$H)</f>
        <v>0</v>
      </c>
      <c r="N210" s="69">
        <f ca="1">SUMIF('CAP23-24'!$B:$H,Insumo[[#This Row],[DESCRIPCION]],'CAP23-24'!$H:$H)</f>
        <v>0</v>
      </c>
      <c r="O210" s="69">
        <f ca="1">SUMIF('CAP25'!$B:$H,Insumo[[#This Row],[DESCRIPCION]],'CAP25'!$H:$H)</f>
        <v>0</v>
      </c>
      <c r="P210" s="69">
        <f ca="1">SUMIF('CAP26-28'!$B:$H,Insumo[[#This Row],[DESCRIPCION]],'CAP26-28'!$H:$H)</f>
        <v>0</v>
      </c>
      <c r="Q210" s="69">
        <f ca="1">SUMIF('CAP29'!$B:$H,Insumo[[#This Row],[DESCRIPCION]],'CAP29'!$H:$H)</f>
        <v>0</v>
      </c>
      <c r="T210" s="136">
        <v>2638955</v>
      </c>
    </row>
    <row r="211" spans="1:20">
      <c r="A211" s="301" t="s">
        <v>2819</v>
      </c>
      <c r="B211" s="303" t="s">
        <v>23</v>
      </c>
      <c r="C211" s="304">
        <f t="shared" si="3"/>
        <v>3057521.25</v>
      </c>
      <c r="D211" s="281" cm="1">
        <f t="array" aca="1" ref="D211" ca="1">IF(Insumo[[#This Row],[VALOR]]=0,Insumo[TOTAL],E211/C211)</f>
        <v>0</v>
      </c>
      <c r="E211" s="69">
        <f ca="1">SUM(Insumo[[#This Row],[CAP1-3]:[CAP29]])</f>
        <v>0</v>
      </c>
      <c r="F211" s="69">
        <f ca="1">SUMIF('CAP1-3'!$B:$H,Insumo[[#This Row],[DESCRIPCION]],'CAP1-3'!$H:$H)</f>
        <v>0</v>
      </c>
      <c r="G211" s="69">
        <f ca="1">SUMIF('CAP4-5'!$B:$H,Insumo[[#This Row],[DESCRIPCION]],'CAP4-5'!$H:$H)</f>
        <v>0</v>
      </c>
      <c r="H211" s="69">
        <f ca="1">SUMIF('CAP6-7'!$B:$H,Insumo[[#This Row],[DESCRIPCION]],'CAP6-7'!$H:$H)</f>
        <v>0</v>
      </c>
      <c r="I211" s="69">
        <f ca="1">SUMIF('CAP8'!$B:$H,Insumo[[#This Row],[DESCRIPCION]],'CAP8'!$H:$H)</f>
        <v>0</v>
      </c>
      <c r="J211" s="69">
        <f ca="1">SUMIF('CAP9-13'!$B:$H,Insumo[[#This Row],[DESCRIPCION]],'CAP9-13'!$H:$H)</f>
        <v>0</v>
      </c>
      <c r="K211" s="69">
        <f ca="1">SUMIF('CAP14-15'!$B:$H,Insumo[[#This Row],[DESCRIPCION]],'CAP14-15'!$H:$H)</f>
        <v>0</v>
      </c>
      <c r="L211" s="69">
        <f ca="1">SUMIF('CAP16-18'!$B:$H,Insumo[[#This Row],[DESCRIPCION]],'CAP16-18'!$H:$H)</f>
        <v>0</v>
      </c>
      <c r="M211" s="69">
        <f ca="1">SUMIF('CAP19-22'!$B:$H,Insumo[[#This Row],[DESCRIPCION]],'CAP19-22'!$H:$H)</f>
        <v>0</v>
      </c>
      <c r="N211" s="69">
        <f ca="1">SUMIF('CAP23-24'!$B:$H,Insumo[[#This Row],[DESCRIPCION]],'CAP23-24'!$H:$H)</f>
        <v>0</v>
      </c>
      <c r="O211" s="69">
        <f ca="1">SUMIF('CAP25'!$B:$H,Insumo[[#This Row],[DESCRIPCION]],'CAP25'!$H:$H)</f>
        <v>0</v>
      </c>
      <c r="P211" s="69">
        <f ca="1">SUMIF('CAP26-28'!$B:$H,Insumo[[#This Row],[DESCRIPCION]],'CAP26-28'!$H:$H)</f>
        <v>0</v>
      </c>
      <c r="Q211" s="69">
        <f ca="1">SUMIF('CAP29'!$B:$H,Insumo[[#This Row],[DESCRIPCION]],'CAP29'!$H:$H)</f>
        <v>0</v>
      </c>
      <c r="T211" s="136">
        <v>2911925</v>
      </c>
    </row>
    <row r="212" spans="1:20">
      <c r="A212" s="301" t="s">
        <v>2820</v>
      </c>
      <c r="B212" s="303" t="s">
        <v>23</v>
      </c>
      <c r="C212" s="304">
        <f t="shared" si="3"/>
        <v>42275.1</v>
      </c>
      <c r="D212" s="281" cm="1">
        <f t="array" aca="1" ref="D212" ca="1">IF(Insumo[[#This Row],[VALOR]]=0,Insumo[TOTAL],E212/C212)</f>
        <v>0</v>
      </c>
      <c r="E212" s="69">
        <f ca="1">SUM(Insumo[[#This Row],[CAP1-3]:[CAP29]])</f>
        <v>0</v>
      </c>
      <c r="F212" s="69">
        <f ca="1">SUMIF('CAP1-3'!$B:$H,Insumo[[#This Row],[DESCRIPCION]],'CAP1-3'!$H:$H)</f>
        <v>0</v>
      </c>
      <c r="G212" s="69">
        <f ca="1">SUMIF('CAP4-5'!$B:$H,Insumo[[#This Row],[DESCRIPCION]],'CAP4-5'!$H:$H)</f>
        <v>0</v>
      </c>
      <c r="H212" s="69">
        <f ca="1">SUMIF('CAP6-7'!$B:$H,Insumo[[#This Row],[DESCRIPCION]],'CAP6-7'!$H:$H)</f>
        <v>0</v>
      </c>
      <c r="I212" s="69">
        <f ca="1">SUMIF('CAP8'!$B:$H,Insumo[[#This Row],[DESCRIPCION]],'CAP8'!$H:$H)</f>
        <v>0</v>
      </c>
      <c r="J212" s="69">
        <f ca="1">SUMIF('CAP9-13'!$B:$H,Insumo[[#This Row],[DESCRIPCION]],'CAP9-13'!$H:$H)</f>
        <v>0</v>
      </c>
      <c r="K212" s="69">
        <f ca="1">SUMIF('CAP14-15'!$B:$H,Insumo[[#This Row],[DESCRIPCION]],'CAP14-15'!$H:$H)</f>
        <v>0</v>
      </c>
      <c r="L212" s="69">
        <f ca="1">SUMIF('CAP16-18'!$B:$H,Insumo[[#This Row],[DESCRIPCION]],'CAP16-18'!$H:$H)</f>
        <v>0</v>
      </c>
      <c r="M212" s="69">
        <f ca="1">SUMIF('CAP19-22'!$B:$H,Insumo[[#This Row],[DESCRIPCION]],'CAP19-22'!$H:$H)</f>
        <v>0</v>
      </c>
      <c r="N212" s="69">
        <f ca="1">SUMIF('CAP23-24'!$B:$H,Insumo[[#This Row],[DESCRIPCION]],'CAP23-24'!$H:$H)</f>
        <v>0</v>
      </c>
      <c r="O212" s="69">
        <f ca="1">SUMIF('CAP25'!$B:$H,Insumo[[#This Row],[DESCRIPCION]],'CAP25'!$H:$H)</f>
        <v>0</v>
      </c>
      <c r="P212" s="69">
        <f ca="1">SUMIF('CAP26-28'!$B:$H,Insumo[[#This Row],[DESCRIPCION]],'CAP26-28'!$H:$H)</f>
        <v>0</v>
      </c>
      <c r="Q212" s="69">
        <f ca="1">SUMIF('CAP29'!$B:$H,Insumo[[#This Row],[DESCRIPCION]],'CAP29'!$H:$H)</f>
        <v>0</v>
      </c>
      <c r="T212" s="136">
        <v>40262</v>
      </c>
    </row>
    <row r="213" spans="1:20">
      <c r="A213" s="301" t="s">
        <v>2821</v>
      </c>
      <c r="B213" s="303" t="s">
        <v>23</v>
      </c>
      <c r="C213" s="304">
        <f t="shared" si="3"/>
        <v>1583.4</v>
      </c>
      <c r="D213" s="281" cm="1">
        <f t="array" aca="1" ref="D213" ca="1">IF(Insumo[[#This Row],[VALOR]]=0,Insumo[TOTAL],E213/C213)</f>
        <v>0</v>
      </c>
      <c r="E213" s="69">
        <f ca="1">SUM(Insumo[[#This Row],[CAP1-3]:[CAP29]])</f>
        <v>0</v>
      </c>
      <c r="F213" s="69">
        <f ca="1">SUMIF('CAP1-3'!$B:$H,Insumo[[#This Row],[DESCRIPCION]],'CAP1-3'!$H:$H)</f>
        <v>0</v>
      </c>
      <c r="G213" s="69">
        <f ca="1">SUMIF('CAP4-5'!$B:$H,Insumo[[#This Row],[DESCRIPCION]],'CAP4-5'!$H:$H)</f>
        <v>0</v>
      </c>
      <c r="H213" s="69">
        <f ca="1">SUMIF('CAP6-7'!$B:$H,Insumo[[#This Row],[DESCRIPCION]],'CAP6-7'!$H:$H)</f>
        <v>0</v>
      </c>
      <c r="I213" s="69">
        <f ca="1">SUMIF('CAP8'!$B:$H,Insumo[[#This Row],[DESCRIPCION]],'CAP8'!$H:$H)</f>
        <v>0</v>
      </c>
      <c r="J213" s="69">
        <f ca="1">SUMIF('CAP9-13'!$B:$H,Insumo[[#This Row],[DESCRIPCION]],'CAP9-13'!$H:$H)</f>
        <v>0</v>
      </c>
      <c r="K213" s="69">
        <f ca="1">SUMIF('CAP14-15'!$B:$H,Insumo[[#This Row],[DESCRIPCION]],'CAP14-15'!$H:$H)</f>
        <v>0</v>
      </c>
      <c r="L213" s="69">
        <f ca="1">SUMIF('CAP16-18'!$B:$H,Insumo[[#This Row],[DESCRIPCION]],'CAP16-18'!$H:$H)</f>
        <v>0</v>
      </c>
      <c r="M213" s="69">
        <f ca="1">SUMIF('CAP19-22'!$B:$H,Insumo[[#This Row],[DESCRIPCION]],'CAP19-22'!$H:$H)</f>
        <v>0</v>
      </c>
      <c r="N213" s="69">
        <f ca="1">SUMIF('CAP23-24'!$B:$H,Insumo[[#This Row],[DESCRIPCION]],'CAP23-24'!$H:$H)</f>
        <v>0</v>
      </c>
      <c r="O213" s="69">
        <f ca="1">SUMIF('CAP25'!$B:$H,Insumo[[#This Row],[DESCRIPCION]],'CAP25'!$H:$H)</f>
        <v>0</v>
      </c>
      <c r="P213" s="69">
        <f ca="1">SUMIF('CAP26-28'!$B:$H,Insumo[[#This Row],[DESCRIPCION]],'CAP26-28'!$H:$H)</f>
        <v>0</v>
      </c>
      <c r="Q213" s="69">
        <f ca="1">SUMIF('CAP29'!$B:$H,Insumo[[#This Row],[DESCRIPCION]],'CAP29'!$H:$H)</f>
        <v>0</v>
      </c>
      <c r="T213" s="136">
        <v>1508</v>
      </c>
    </row>
    <row r="214" spans="1:20">
      <c r="A214" s="301" t="s">
        <v>2822</v>
      </c>
      <c r="B214" s="303" t="s">
        <v>23</v>
      </c>
      <c r="C214" s="304">
        <f t="shared" si="3"/>
        <v>9797.5500000000011</v>
      </c>
      <c r="D214" s="281" cm="1">
        <f t="array" aca="1" ref="D214" ca="1">IF(Insumo[[#This Row],[VALOR]]=0,Insumo[TOTAL],E214/C214)</f>
        <v>0</v>
      </c>
      <c r="E214" s="69">
        <f ca="1">SUM(Insumo[[#This Row],[CAP1-3]:[CAP29]])</f>
        <v>0</v>
      </c>
      <c r="F214" s="69">
        <f ca="1">SUMIF('CAP1-3'!$B:$H,Insumo[[#This Row],[DESCRIPCION]],'CAP1-3'!$H:$H)</f>
        <v>0</v>
      </c>
      <c r="G214" s="69">
        <f ca="1">SUMIF('CAP4-5'!$B:$H,Insumo[[#This Row],[DESCRIPCION]],'CAP4-5'!$H:$H)</f>
        <v>0</v>
      </c>
      <c r="H214" s="69">
        <f ca="1">SUMIF('CAP6-7'!$B:$H,Insumo[[#This Row],[DESCRIPCION]],'CAP6-7'!$H:$H)</f>
        <v>0</v>
      </c>
      <c r="I214" s="69">
        <f ca="1">SUMIF('CAP8'!$B:$H,Insumo[[#This Row],[DESCRIPCION]],'CAP8'!$H:$H)</f>
        <v>0</v>
      </c>
      <c r="J214" s="69">
        <f ca="1">SUMIF('CAP9-13'!$B:$H,Insumo[[#This Row],[DESCRIPCION]],'CAP9-13'!$H:$H)</f>
        <v>0</v>
      </c>
      <c r="K214" s="69">
        <f ca="1">SUMIF('CAP14-15'!$B:$H,Insumo[[#This Row],[DESCRIPCION]],'CAP14-15'!$H:$H)</f>
        <v>0</v>
      </c>
      <c r="L214" s="69">
        <f ca="1">SUMIF('CAP16-18'!$B:$H,Insumo[[#This Row],[DESCRIPCION]],'CAP16-18'!$H:$H)</f>
        <v>0</v>
      </c>
      <c r="M214" s="69">
        <f ca="1">SUMIF('CAP19-22'!$B:$H,Insumo[[#This Row],[DESCRIPCION]],'CAP19-22'!$H:$H)</f>
        <v>0</v>
      </c>
      <c r="N214" s="69">
        <f ca="1">SUMIF('CAP23-24'!$B:$H,Insumo[[#This Row],[DESCRIPCION]],'CAP23-24'!$H:$H)</f>
        <v>0</v>
      </c>
      <c r="O214" s="69">
        <f ca="1">SUMIF('CAP25'!$B:$H,Insumo[[#This Row],[DESCRIPCION]],'CAP25'!$H:$H)</f>
        <v>0</v>
      </c>
      <c r="P214" s="69">
        <f ca="1">SUMIF('CAP26-28'!$B:$H,Insumo[[#This Row],[DESCRIPCION]],'CAP26-28'!$H:$H)</f>
        <v>0</v>
      </c>
      <c r="Q214" s="69">
        <f ca="1">SUMIF('CAP29'!$B:$H,Insumo[[#This Row],[DESCRIPCION]],'CAP29'!$H:$H)</f>
        <v>0</v>
      </c>
      <c r="R214" s="290"/>
      <c r="T214" s="136">
        <v>9331</v>
      </c>
    </row>
    <row r="215" spans="1:20">
      <c r="A215" s="301" t="s">
        <v>2823</v>
      </c>
      <c r="B215" s="303" t="s">
        <v>338</v>
      </c>
      <c r="C215" s="304">
        <f t="shared" si="3"/>
        <v>1680</v>
      </c>
      <c r="D215" s="281" cm="1">
        <f t="array" aca="1" ref="D215" ca="1">IF(Insumo[[#This Row],[VALOR]]=0,Insumo[TOTAL],E215/C215)</f>
        <v>0</v>
      </c>
      <c r="E215" s="69">
        <f ca="1">SUM(Insumo[[#This Row],[CAP1-3]:[CAP29]])</f>
        <v>0</v>
      </c>
      <c r="F215" s="69">
        <f ca="1">SUMIF('CAP1-3'!$B:$H,Insumo[[#This Row],[DESCRIPCION]],'CAP1-3'!$H:$H)</f>
        <v>0</v>
      </c>
      <c r="G215" s="69">
        <f ca="1">SUMIF('CAP4-5'!$B:$H,Insumo[[#This Row],[DESCRIPCION]],'CAP4-5'!$H:$H)</f>
        <v>0</v>
      </c>
      <c r="H215" s="69">
        <f ca="1">SUMIF('CAP6-7'!$B:$H,Insumo[[#This Row],[DESCRIPCION]],'CAP6-7'!$H:$H)</f>
        <v>0</v>
      </c>
      <c r="I215" s="69">
        <f ca="1">SUMIF('CAP8'!$B:$H,Insumo[[#This Row],[DESCRIPCION]],'CAP8'!$H:$H)</f>
        <v>0</v>
      </c>
      <c r="J215" s="69">
        <f ca="1">SUMIF('CAP9-13'!$B:$H,Insumo[[#This Row],[DESCRIPCION]],'CAP9-13'!$H:$H)</f>
        <v>0</v>
      </c>
      <c r="K215" s="69">
        <f ca="1">SUMIF('CAP14-15'!$B:$H,Insumo[[#This Row],[DESCRIPCION]],'CAP14-15'!$H:$H)</f>
        <v>0</v>
      </c>
      <c r="L215" s="69">
        <f ca="1">SUMIF('CAP16-18'!$B:$H,Insumo[[#This Row],[DESCRIPCION]],'CAP16-18'!$H:$H)</f>
        <v>0</v>
      </c>
      <c r="M215" s="69">
        <f ca="1">SUMIF('CAP19-22'!$B:$H,Insumo[[#This Row],[DESCRIPCION]],'CAP19-22'!$H:$H)</f>
        <v>0</v>
      </c>
      <c r="N215" s="69">
        <f ca="1">SUMIF('CAP23-24'!$B:$H,Insumo[[#This Row],[DESCRIPCION]],'CAP23-24'!$H:$H)</f>
        <v>0</v>
      </c>
      <c r="O215" s="69">
        <f ca="1">SUMIF('CAP25'!$B:$H,Insumo[[#This Row],[DESCRIPCION]],'CAP25'!$H:$H)</f>
        <v>0</v>
      </c>
      <c r="P215" s="69">
        <f ca="1">SUMIF('CAP26-28'!$B:$H,Insumo[[#This Row],[DESCRIPCION]],'CAP26-28'!$H:$H)</f>
        <v>0</v>
      </c>
      <c r="Q215" s="69">
        <f ca="1">SUMIF('CAP29'!$B:$H,Insumo[[#This Row],[DESCRIPCION]],'CAP29'!$H:$H)</f>
        <v>0</v>
      </c>
      <c r="T215" s="136">
        <v>1600</v>
      </c>
    </row>
    <row r="216" spans="1:20">
      <c r="A216" s="301" t="s">
        <v>2824</v>
      </c>
      <c r="B216" s="303" t="s">
        <v>23</v>
      </c>
      <c r="C216" s="304">
        <f t="shared" si="3"/>
        <v>34230</v>
      </c>
      <c r="D216" s="281" cm="1">
        <f t="array" aca="1" ref="D216" ca="1">IF(Insumo[[#This Row],[VALOR]]=0,Insumo[TOTAL],E216/C216)</f>
        <v>0</v>
      </c>
      <c r="E216" s="69">
        <f ca="1">SUM(Insumo[[#This Row],[CAP1-3]:[CAP29]])</f>
        <v>0</v>
      </c>
      <c r="F216" s="286">
        <f ca="1">SUMIF('CAP1-3'!$B:$H,Insumo[[#This Row],[DESCRIPCION]],'CAP1-3'!$H:$H)</f>
        <v>0</v>
      </c>
      <c r="G216" s="286">
        <f ca="1">SUMIF('CAP4-5'!$B:$H,Insumo[[#This Row],[DESCRIPCION]],'CAP4-5'!$H:$H)</f>
        <v>0</v>
      </c>
      <c r="H216" s="286">
        <f ca="1">SUMIF('CAP6-7'!$B:$H,Insumo[[#This Row],[DESCRIPCION]],'CAP6-7'!$H:$H)</f>
        <v>0</v>
      </c>
      <c r="I216" s="286">
        <f ca="1">SUMIF('CAP8'!$B:$H,Insumo[[#This Row],[DESCRIPCION]],'CAP8'!$H:$H)</f>
        <v>0</v>
      </c>
      <c r="J216" s="286">
        <f ca="1">SUMIF('CAP9-13'!$B:$H,Insumo[[#This Row],[DESCRIPCION]],'CAP9-13'!$H:$H)</f>
        <v>0</v>
      </c>
      <c r="K216" s="286">
        <f ca="1">SUMIF('CAP14-15'!$B:$H,Insumo[[#This Row],[DESCRIPCION]],'CAP14-15'!$H:$H)</f>
        <v>0</v>
      </c>
      <c r="L216" s="286">
        <f ca="1">SUMIF('CAP16-18'!$B:$H,Insumo[[#This Row],[DESCRIPCION]],'CAP16-18'!$H:$H)</f>
        <v>0</v>
      </c>
      <c r="M216" s="286">
        <f ca="1">SUMIF('CAP19-22'!$B:$H,Insumo[[#This Row],[DESCRIPCION]],'CAP19-22'!$H:$H)</f>
        <v>0</v>
      </c>
      <c r="N216" s="286">
        <f ca="1">SUMIF('CAP23-24'!$B:$H,Insumo[[#This Row],[DESCRIPCION]],'CAP23-24'!$H:$H)</f>
        <v>0</v>
      </c>
      <c r="O216" s="286">
        <f ca="1">SUMIF('CAP25'!$B:$H,Insumo[[#This Row],[DESCRIPCION]],'CAP25'!$H:$H)</f>
        <v>0</v>
      </c>
      <c r="P216" s="286">
        <f ca="1">SUMIF('CAP26-28'!$B:$H,Insumo[[#This Row],[DESCRIPCION]],'CAP26-28'!$H:$H)</f>
        <v>0</v>
      </c>
      <c r="Q216" s="286">
        <f ca="1">SUMIF('CAP29'!$B:$H,Insumo[[#This Row],[DESCRIPCION]],'CAP29'!$H:$H)</f>
        <v>0</v>
      </c>
      <c r="T216" s="136">
        <v>32600</v>
      </c>
    </row>
    <row r="217" spans="1:20">
      <c r="A217" s="301" t="s">
        <v>2825</v>
      </c>
      <c r="B217" s="303" t="s">
        <v>2826</v>
      </c>
      <c r="C217" s="304">
        <f t="shared" si="3"/>
        <v>9657.9</v>
      </c>
      <c r="D217" s="281" cm="1">
        <f t="array" aca="1" ref="D217" ca="1">IF(Insumo[[#This Row],[VALOR]]=0,Insumo[TOTAL],E217/C217)</f>
        <v>0</v>
      </c>
      <c r="E217" s="69">
        <f ca="1">SUM(Insumo[[#This Row],[CAP1-3]:[CAP29]])</f>
        <v>0</v>
      </c>
      <c r="F217" s="69">
        <f ca="1">SUMIF('CAP1-3'!$B:$H,Insumo[[#This Row],[DESCRIPCION]],'CAP1-3'!$H:$H)</f>
        <v>0</v>
      </c>
      <c r="G217" s="69">
        <f ca="1">SUMIF('CAP4-5'!$B:$H,Insumo[[#This Row],[DESCRIPCION]],'CAP4-5'!$H:$H)</f>
        <v>0</v>
      </c>
      <c r="H217" s="69">
        <f ca="1">SUMIF('CAP6-7'!$B:$H,Insumo[[#This Row],[DESCRIPCION]],'CAP6-7'!$H:$H)</f>
        <v>0</v>
      </c>
      <c r="I217" s="69">
        <f ca="1">SUMIF('CAP8'!$B:$H,Insumo[[#This Row],[DESCRIPCION]],'CAP8'!$H:$H)</f>
        <v>0</v>
      </c>
      <c r="J217" s="69">
        <f ca="1">SUMIF('CAP9-13'!$B:$H,Insumo[[#This Row],[DESCRIPCION]],'CAP9-13'!$H:$H)</f>
        <v>0</v>
      </c>
      <c r="K217" s="69">
        <f ca="1">SUMIF('CAP14-15'!$B:$H,Insumo[[#This Row],[DESCRIPCION]],'CAP14-15'!$H:$H)</f>
        <v>0</v>
      </c>
      <c r="L217" s="69">
        <f ca="1">SUMIF('CAP16-18'!$B:$H,Insumo[[#This Row],[DESCRIPCION]],'CAP16-18'!$H:$H)</f>
        <v>0</v>
      </c>
      <c r="M217" s="69">
        <f ca="1">SUMIF('CAP19-22'!$B:$H,Insumo[[#This Row],[DESCRIPCION]],'CAP19-22'!$H:$H)</f>
        <v>0</v>
      </c>
      <c r="N217" s="69">
        <f ca="1">SUMIF('CAP23-24'!$B:$H,Insumo[[#This Row],[DESCRIPCION]],'CAP23-24'!$H:$H)</f>
        <v>0</v>
      </c>
      <c r="O217" s="69">
        <f ca="1">SUMIF('CAP25'!$B:$H,Insumo[[#This Row],[DESCRIPCION]],'CAP25'!$H:$H)</f>
        <v>0</v>
      </c>
      <c r="P217" s="69">
        <f ca="1">SUMIF('CAP26-28'!$B:$H,Insumo[[#This Row],[DESCRIPCION]],'CAP26-28'!$H:$H)</f>
        <v>0</v>
      </c>
      <c r="Q217" s="69">
        <f ca="1">SUMIF('CAP29'!$B:$H,Insumo[[#This Row],[DESCRIPCION]],'CAP29'!$H:$H)</f>
        <v>0</v>
      </c>
      <c r="T217" s="136">
        <v>9198</v>
      </c>
    </row>
    <row r="218" spans="1:20">
      <c r="A218" s="301" t="s">
        <v>2827</v>
      </c>
      <c r="B218" s="303" t="s">
        <v>20</v>
      </c>
      <c r="C218" s="304">
        <f t="shared" si="3"/>
        <v>34098.75</v>
      </c>
      <c r="D218" s="281" cm="1">
        <f t="array" aca="1" ref="D218" ca="1">IF(Insumo[[#This Row],[VALOR]]=0,Insumo[TOTAL],E218/C218)</f>
        <v>0</v>
      </c>
      <c r="E218" s="69">
        <f ca="1">SUM(Insumo[[#This Row],[CAP1-3]:[CAP29]])</f>
        <v>0</v>
      </c>
      <c r="F218" s="69">
        <f ca="1">SUMIF('CAP1-3'!$B:$H,Insumo[[#This Row],[DESCRIPCION]],'CAP1-3'!$H:$H)</f>
        <v>0</v>
      </c>
      <c r="G218" s="69">
        <f ca="1">SUMIF('CAP4-5'!$B:$H,Insumo[[#This Row],[DESCRIPCION]],'CAP4-5'!$H:$H)</f>
        <v>0</v>
      </c>
      <c r="H218" s="69">
        <f ca="1">SUMIF('CAP6-7'!$B:$H,Insumo[[#This Row],[DESCRIPCION]],'CAP6-7'!$H:$H)</f>
        <v>0</v>
      </c>
      <c r="I218" s="69">
        <f ca="1">SUMIF('CAP8'!$B:$H,Insumo[[#This Row],[DESCRIPCION]],'CAP8'!$H:$H)</f>
        <v>0</v>
      </c>
      <c r="J218" s="69">
        <f ca="1">SUMIF('CAP9-13'!$B:$H,Insumo[[#This Row],[DESCRIPCION]],'CAP9-13'!$H:$H)</f>
        <v>0</v>
      </c>
      <c r="K218" s="69">
        <f ca="1">SUMIF('CAP14-15'!$B:$H,Insumo[[#This Row],[DESCRIPCION]],'CAP14-15'!$H:$H)</f>
        <v>0</v>
      </c>
      <c r="L218" s="69">
        <f ca="1">SUMIF('CAP16-18'!$B:$H,Insumo[[#This Row],[DESCRIPCION]],'CAP16-18'!$H:$H)</f>
        <v>0</v>
      </c>
      <c r="M218" s="69">
        <f ca="1">SUMIF('CAP19-22'!$B:$H,Insumo[[#This Row],[DESCRIPCION]],'CAP19-22'!$H:$H)</f>
        <v>0</v>
      </c>
      <c r="N218" s="69">
        <f ca="1">SUMIF('CAP23-24'!$B:$H,Insumo[[#This Row],[DESCRIPCION]],'CAP23-24'!$H:$H)</f>
        <v>0</v>
      </c>
      <c r="O218" s="69">
        <f ca="1">SUMIF('CAP25'!$B:$H,Insumo[[#This Row],[DESCRIPCION]],'CAP25'!$H:$H)</f>
        <v>0</v>
      </c>
      <c r="P218" s="69">
        <f ca="1">SUMIF('CAP26-28'!$B:$H,Insumo[[#This Row],[DESCRIPCION]],'CAP26-28'!$H:$H)</f>
        <v>0</v>
      </c>
      <c r="Q218" s="69">
        <f ca="1">SUMIF('CAP29'!$B:$H,Insumo[[#This Row],[DESCRIPCION]],'CAP29'!$H:$H)</f>
        <v>0</v>
      </c>
      <c r="T218" s="136">
        <v>32475</v>
      </c>
    </row>
    <row r="219" spans="1:20">
      <c r="A219" s="301" t="s">
        <v>2828</v>
      </c>
      <c r="B219" s="303" t="s">
        <v>30</v>
      </c>
      <c r="C219" s="304">
        <f t="shared" si="3"/>
        <v>306888.75</v>
      </c>
      <c r="D219" s="281" cm="1">
        <f t="array" aca="1" ref="D219" ca="1">IF(Insumo[[#This Row],[VALOR]]=0,Insumo[TOTAL],E219/C219)</f>
        <v>0</v>
      </c>
      <c r="E219" s="69">
        <f ca="1">SUM(Insumo[[#This Row],[CAP1-3]:[CAP29]])</f>
        <v>0</v>
      </c>
      <c r="F219" s="69">
        <f ca="1">SUMIF('CAP1-3'!$B:$H,Insumo[[#This Row],[DESCRIPCION]],'CAP1-3'!$H:$H)</f>
        <v>0</v>
      </c>
      <c r="G219" s="69">
        <f ca="1">SUMIF('CAP4-5'!$B:$H,Insumo[[#This Row],[DESCRIPCION]],'CAP4-5'!$H:$H)</f>
        <v>0</v>
      </c>
      <c r="H219" s="69">
        <f ca="1">SUMIF('CAP6-7'!$B:$H,Insumo[[#This Row],[DESCRIPCION]],'CAP6-7'!$H:$H)</f>
        <v>0</v>
      </c>
      <c r="I219" s="69">
        <f ca="1">SUMIF('CAP8'!$B:$H,Insumo[[#This Row],[DESCRIPCION]],'CAP8'!$H:$H)</f>
        <v>0</v>
      </c>
      <c r="J219" s="69">
        <f ca="1">SUMIF('CAP9-13'!$B:$H,Insumo[[#This Row],[DESCRIPCION]],'CAP9-13'!$H:$H)</f>
        <v>0</v>
      </c>
      <c r="K219" s="69">
        <f ca="1">SUMIF('CAP14-15'!$B:$H,Insumo[[#This Row],[DESCRIPCION]],'CAP14-15'!$H:$H)</f>
        <v>0</v>
      </c>
      <c r="L219" s="69">
        <f ca="1">SUMIF('CAP16-18'!$B:$H,Insumo[[#This Row],[DESCRIPCION]],'CAP16-18'!$H:$H)</f>
        <v>0</v>
      </c>
      <c r="M219" s="69">
        <f ca="1">SUMIF('CAP19-22'!$B:$H,Insumo[[#This Row],[DESCRIPCION]],'CAP19-22'!$H:$H)</f>
        <v>0</v>
      </c>
      <c r="N219" s="69">
        <f ca="1">SUMIF('CAP23-24'!$B:$H,Insumo[[#This Row],[DESCRIPCION]],'CAP23-24'!$H:$H)</f>
        <v>0</v>
      </c>
      <c r="O219" s="69">
        <f ca="1">SUMIF('CAP25'!$B:$H,Insumo[[#This Row],[DESCRIPCION]],'CAP25'!$H:$H)</f>
        <v>0</v>
      </c>
      <c r="P219" s="69">
        <f ca="1">SUMIF('CAP26-28'!$B:$H,Insumo[[#This Row],[DESCRIPCION]],'CAP26-28'!$H:$H)</f>
        <v>0</v>
      </c>
      <c r="Q219" s="69">
        <f ca="1">SUMIF('CAP29'!$B:$H,Insumo[[#This Row],[DESCRIPCION]],'CAP29'!$H:$H)</f>
        <v>0</v>
      </c>
      <c r="T219" s="136">
        <v>292275</v>
      </c>
    </row>
    <row r="220" spans="1:20">
      <c r="A220" s="301" t="s">
        <v>2829</v>
      </c>
      <c r="B220" s="303" t="s">
        <v>23</v>
      </c>
      <c r="C220" s="304">
        <f t="shared" si="3"/>
        <v>79450.350000000006</v>
      </c>
      <c r="D220" s="281" cm="1">
        <f t="array" aca="1" ref="D220" ca="1">IF(Insumo[[#This Row],[VALOR]]=0,Insumo[TOTAL],E220/C220)</f>
        <v>0</v>
      </c>
      <c r="E220" s="69">
        <f ca="1">SUM(Insumo[[#This Row],[CAP1-3]:[CAP29]])</f>
        <v>0</v>
      </c>
      <c r="F220" s="69">
        <f ca="1">SUMIF('CAP1-3'!$B:$H,Insumo[[#This Row],[DESCRIPCION]],'CAP1-3'!$H:$H)</f>
        <v>0</v>
      </c>
      <c r="G220" s="69">
        <f ca="1">SUMIF('CAP4-5'!$B:$H,Insumo[[#This Row],[DESCRIPCION]],'CAP4-5'!$H:$H)</f>
        <v>0</v>
      </c>
      <c r="H220" s="69">
        <f ca="1">SUMIF('CAP6-7'!$B:$H,Insumo[[#This Row],[DESCRIPCION]],'CAP6-7'!$H:$H)</f>
        <v>0</v>
      </c>
      <c r="I220" s="69">
        <f ca="1">SUMIF('CAP8'!$B:$H,Insumo[[#This Row],[DESCRIPCION]],'CAP8'!$H:$H)</f>
        <v>0</v>
      </c>
      <c r="J220" s="69">
        <f ca="1">SUMIF('CAP9-13'!$B:$H,Insumo[[#This Row],[DESCRIPCION]],'CAP9-13'!$H:$H)</f>
        <v>0</v>
      </c>
      <c r="K220" s="69">
        <f ca="1">SUMIF('CAP14-15'!$B:$H,Insumo[[#This Row],[DESCRIPCION]],'CAP14-15'!$H:$H)</f>
        <v>0</v>
      </c>
      <c r="L220" s="69">
        <f ca="1">SUMIF('CAP16-18'!$B:$H,Insumo[[#This Row],[DESCRIPCION]],'CAP16-18'!$H:$H)</f>
        <v>0</v>
      </c>
      <c r="M220" s="69">
        <f ca="1">SUMIF('CAP19-22'!$B:$H,Insumo[[#This Row],[DESCRIPCION]],'CAP19-22'!$H:$H)</f>
        <v>0</v>
      </c>
      <c r="N220" s="69">
        <f ca="1">SUMIF('CAP23-24'!$B:$H,Insumo[[#This Row],[DESCRIPCION]],'CAP23-24'!$H:$H)</f>
        <v>0</v>
      </c>
      <c r="O220" s="69">
        <f ca="1">SUMIF('CAP25'!$B:$H,Insumo[[#This Row],[DESCRIPCION]],'CAP25'!$H:$H)</f>
        <v>0</v>
      </c>
      <c r="P220" s="69">
        <f ca="1">SUMIF('CAP26-28'!$B:$H,Insumo[[#This Row],[DESCRIPCION]],'CAP26-28'!$H:$H)</f>
        <v>0</v>
      </c>
      <c r="Q220" s="69">
        <f ca="1">SUMIF('CAP29'!$B:$H,Insumo[[#This Row],[DESCRIPCION]],'CAP29'!$H:$H)</f>
        <v>0</v>
      </c>
      <c r="T220" s="136">
        <v>75667</v>
      </c>
    </row>
    <row r="221" spans="1:20">
      <c r="A221" s="301" t="s">
        <v>2830</v>
      </c>
      <c r="B221" s="303" t="s">
        <v>23</v>
      </c>
      <c r="C221" s="304">
        <f t="shared" si="3"/>
        <v>64653.75</v>
      </c>
      <c r="D221" s="281" cm="1">
        <f t="array" aca="1" ref="D221" ca="1">IF(Insumo[[#This Row],[VALOR]]=0,Insumo[TOTAL],E221/C221)</f>
        <v>0</v>
      </c>
      <c r="E221" s="69">
        <f ca="1">SUM(Insumo[[#This Row],[CAP1-3]:[CAP29]])</f>
        <v>0</v>
      </c>
      <c r="F221" s="69">
        <f ca="1">SUMIF('CAP1-3'!$B:$H,Insumo[[#This Row],[DESCRIPCION]],'CAP1-3'!$H:$H)</f>
        <v>0</v>
      </c>
      <c r="G221" s="69">
        <f ca="1">SUMIF('CAP4-5'!$B:$H,Insumo[[#This Row],[DESCRIPCION]],'CAP4-5'!$H:$H)</f>
        <v>0</v>
      </c>
      <c r="H221" s="69">
        <f ca="1">SUMIF('CAP6-7'!$B:$H,Insumo[[#This Row],[DESCRIPCION]],'CAP6-7'!$H:$H)</f>
        <v>0</v>
      </c>
      <c r="I221" s="69">
        <f ca="1">SUMIF('CAP8'!$B:$H,Insumo[[#This Row],[DESCRIPCION]],'CAP8'!$H:$H)</f>
        <v>0</v>
      </c>
      <c r="J221" s="69">
        <f ca="1">SUMIF('CAP9-13'!$B:$H,Insumo[[#This Row],[DESCRIPCION]],'CAP9-13'!$H:$H)</f>
        <v>0</v>
      </c>
      <c r="K221" s="69">
        <f ca="1">SUMIF('CAP14-15'!$B:$H,Insumo[[#This Row],[DESCRIPCION]],'CAP14-15'!$H:$H)</f>
        <v>0</v>
      </c>
      <c r="L221" s="69">
        <f ca="1">SUMIF('CAP16-18'!$B:$H,Insumo[[#This Row],[DESCRIPCION]],'CAP16-18'!$H:$H)</f>
        <v>0</v>
      </c>
      <c r="M221" s="69">
        <f ca="1">SUMIF('CAP19-22'!$B:$H,Insumo[[#This Row],[DESCRIPCION]],'CAP19-22'!$H:$H)</f>
        <v>0</v>
      </c>
      <c r="N221" s="69">
        <f ca="1">SUMIF('CAP23-24'!$B:$H,Insumo[[#This Row],[DESCRIPCION]],'CAP23-24'!$H:$H)</f>
        <v>0</v>
      </c>
      <c r="O221" s="69">
        <f ca="1">SUMIF('CAP25'!$B:$H,Insumo[[#This Row],[DESCRIPCION]],'CAP25'!$H:$H)</f>
        <v>0</v>
      </c>
      <c r="P221" s="69">
        <f ca="1">SUMIF('CAP26-28'!$B:$H,Insumo[[#This Row],[DESCRIPCION]],'CAP26-28'!$H:$H)</f>
        <v>0</v>
      </c>
      <c r="Q221" s="69">
        <f ca="1">SUMIF('CAP29'!$B:$H,Insumo[[#This Row],[DESCRIPCION]],'CAP29'!$H:$H)</f>
        <v>0</v>
      </c>
      <c r="R221" s="136" t="s">
        <v>2831</v>
      </c>
      <c r="T221" s="136">
        <v>61575</v>
      </c>
    </row>
    <row r="222" spans="1:20">
      <c r="A222" s="301" t="s">
        <v>2832</v>
      </c>
      <c r="B222" s="303" t="s">
        <v>23</v>
      </c>
      <c r="C222" s="304">
        <f t="shared" si="3"/>
        <v>87462.900000000009</v>
      </c>
      <c r="D222" s="281" cm="1">
        <f t="array" aca="1" ref="D222" ca="1">IF(Insumo[[#This Row],[VALOR]]=0,Insumo[TOTAL],E222/C222)</f>
        <v>0</v>
      </c>
      <c r="E222" s="69">
        <f ca="1">SUM(Insumo[[#This Row],[CAP1-3]:[CAP29]])</f>
        <v>0</v>
      </c>
      <c r="F222" s="69">
        <f ca="1">SUMIF('CAP1-3'!$B:$H,Insumo[[#This Row],[DESCRIPCION]],'CAP1-3'!$H:$H)</f>
        <v>0</v>
      </c>
      <c r="G222" s="69">
        <f ca="1">SUMIF('CAP4-5'!$B:$H,Insumo[[#This Row],[DESCRIPCION]],'CAP4-5'!$H:$H)</f>
        <v>0</v>
      </c>
      <c r="H222" s="69">
        <f ca="1">SUMIF('CAP6-7'!$B:$H,Insumo[[#This Row],[DESCRIPCION]],'CAP6-7'!$H:$H)</f>
        <v>0</v>
      </c>
      <c r="I222" s="69">
        <f ca="1">SUMIF('CAP8'!$B:$H,Insumo[[#This Row],[DESCRIPCION]],'CAP8'!$H:$H)</f>
        <v>0</v>
      </c>
      <c r="J222" s="69">
        <f ca="1">SUMIF('CAP9-13'!$B:$H,Insumo[[#This Row],[DESCRIPCION]],'CAP9-13'!$H:$H)</f>
        <v>0</v>
      </c>
      <c r="K222" s="69">
        <f ca="1">SUMIF('CAP14-15'!$B:$H,Insumo[[#This Row],[DESCRIPCION]],'CAP14-15'!$H:$H)</f>
        <v>0</v>
      </c>
      <c r="L222" s="69">
        <f ca="1">SUMIF('CAP16-18'!$B:$H,Insumo[[#This Row],[DESCRIPCION]],'CAP16-18'!$H:$H)</f>
        <v>0</v>
      </c>
      <c r="M222" s="69">
        <f ca="1">SUMIF('CAP19-22'!$B:$H,Insumo[[#This Row],[DESCRIPCION]],'CAP19-22'!$H:$H)</f>
        <v>0</v>
      </c>
      <c r="N222" s="69">
        <f ca="1">SUMIF('CAP23-24'!$B:$H,Insumo[[#This Row],[DESCRIPCION]],'CAP23-24'!$H:$H)</f>
        <v>0</v>
      </c>
      <c r="O222" s="69">
        <f ca="1">SUMIF('CAP25'!$B:$H,Insumo[[#This Row],[DESCRIPCION]],'CAP25'!$H:$H)</f>
        <v>0</v>
      </c>
      <c r="P222" s="69">
        <f ca="1">SUMIF('CAP26-28'!$B:$H,Insumo[[#This Row],[DESCRIPCION]],'CAP26-28'!$H:$H)</f>
        <v>0</v>
      </c>
      <c r="Q222" s="69">
        <f ca="1">SUMIF('CAP29'!$B:$H,Insumo[[#This Row],[DESCRIPCION]],'CAP29'!$H:$H)</f>
        <v>0</v>
      </c>
      <c r="T222" s="136">
        <v>83298</v>
      </c>
    </row>
    <row r="223" spans="1:20">
      <c r="A223" s="301" t="s">
        <v>2833</v>
      </c>
      <c r="B223" s="303" t="s">
        <v>23</v>
      </c>
      <c r="C223" s="304">
        <f t="shared" si="3"/>
        <v>682.5</v>
      </c>
      <c r="D223" s="281" cm="1">
        <f t="array" aca="1" ref="D223" ca="1">IF(Insumo[[#This Row],[VALOR]]=0,Insumo[TOTAL],E223/C223)</f>
        <v>0</v>
      </c>
      <c r="E223" s="69">
        <f ca="1">SUM(Insumo[[#This Row],[CAP1-3]:[CAP29]])</f>
        <v>0</v>
      </c>
      <c r="F223" s="69">
        <f ca="1">SUMIF('CAP1-3'!$B:$H,Insumo[[#This Row],[DESCRIPCION]],'CAP1-3'!$H:$H)</f>
        <v>0</v>
      </c>
      <c r="G223" s="69">
        <f ca="1">SUMIF('CAP4-5'!$B:$H,Insumo[[#This Row],[DESCRIPCION]],'CAP4-5'!$H:$H)</f>
        <v>0</v>
      </c>
      <c r="H223" s="69">
        <f ca="1">SUMIF('CAP6-7'!$B:$H,Insumo[[#This Row],[DESCRIPCION]],'CAP6-7'!$H:$H)</f>
        <v>0</v>
      </c>
      <c r="I223" s="69">
        <f ca="1">SUMIF('CAP8'!$B:$H,Insumo[[#This Row],[DESCRIPCION]],'CAP8'!$H:$H)</f>
        <v>0</v>
      </c>
      <c r="J223" s="69">
        <f ca="1">SUMIF('CAP9-13'!$B:$H,Insumo[[#This Row],[DESCRIPCION]],'CAP9-13'!$H:$H)</f>
        <v>0</v>
      </c>
      <c r="K223" s="69">
        <f ca="1">SUMIF('CAP14-15'!$B:$H,Insumo[[#This Row],[DESCRIPCION]],'CAP14-15'!$H:$H)</f>
        <v>0</v>
      </c>
      <c r="L223" s="69">
        <f ca="1">SUMIF('CAP16-18'!$B:$H,Insumo[[#This Row],[DESCRIPCION]],'CAP16-18'!$H:$H)</f>
        <v>0</v>
      </c>
      <c r="M223" s="69">
        <f ca="1">SUMIF('CAP19-22'!$B:$H,Insumo[[#This Row],[DESCRIPCION]],'CAP19-22'!$H:$H)</f>
        <v>0</v>
      </c>
      <c r="N223" s="69">
        <f ca="1">SUMIF('CAP23-24'!$B:$H,Insumo[[#This Row],[DESCRIPCION]],'CAP23-24'!$H:$H)</f>
        <v>0</v>
      </c>
      <c r="O223" s="69">
        <f ca="1">SUMIF('CAP25'!$B:$H,Insumo[[#This Row],[DESCRIPCION]],'CAP25'!$H:$H)</f>
        <v>0</v>
      </c>
      <c r="P223" s="69">
        <f ca="1">SUMIF('CAP26-28'!$B:$H,Insumo[[#This Row],[DESCRIPCION]],'CAP26-28'!$H:$H)</f>
        <v>0</v>
      </c>
      <c r="Q223" s="69">
        <f ca="1">SUMIF('CAP29'!$B:$H,Insumo[[#This Row],[DESCRIPCION]],'CAP29'!$H:$H)</f>
        <v>0</v>
      </c>
      <c r="T223" s="136">
        <v>650</v>
      </c>
    </row>
    <row r="224" spans="1:20">
      <c r="A224" s="301" t="s">
        <v>2834</v>
      </c>
      <c r="B224" s="303" t="s">
        <v>23</v>
      </c>
      <c r="C224" s="304">
        <f t="shared" si="3"/>
        <v>6592.9500000000007</v>
      </c>
      <c r="D224" s="281" cm="1">
        <f t="array" aca="1" ref="D224" ca="1">IF(Insumo[[#This Row],[VALOR]]=0,Insumo[TOTAL],E224/C224)</f>
        <v>0</v>
      </c>
      <c r="E224" s="69">
        <f ca="1">SUM(Insumo[[#This Row],[CAP1-3]:[CAP29]])</f>
        <v>0</v>
      </c>
      <c r="F224" s="69">
        <f ca="1">SUMIF('CAP1-3'!$B:$H,Insumo[[#This Row],[DESCRIPCION]],'CAP1-3'!$H:$H)</f>
        <v>0</v>
      </c>
      <c r="G224" s="69">
        <f ca="1">SUMIF('CAP4-5'!$B:$H,Insumo[[#This Row],[DESCRIPCION]],'CAP4-5'!$H:$H)</f>
        <v>0</v>
      </c>
      <c r="H224" s="69">
        <f ca="1">SUMIF('CAP6-7'!$B:$H,Insumo[[#This Row],[DESCRIPCION]],'CAP6-7'!$H:$H)</f>
        <v>0</v>
      </c>
      <c r="I224" s="69">
        <f ca="1">SUMIF('CAP8'!$B:$H,Insumo[[#This Row],[DESCRIPCION]],'CAP8'!$H:$H)</f>
        <v>0</v>
      </c>
      <c r="J224" s="69">
        <f ca="1">SUMIF('CAP9-13'!$B:$H,Insumo[[#This Row],[DESCRIPCION]],'CAP9-13'!$H:$H)</f>
        <v>0</v>
      </c>
      <c r="K224" s="69">
        <f ca="1">SUMIF('CAP14-15'!$B:$H,Insumo[[#This Row],[DESCRIPCION]],'CAP14-15'!$H:$H)</f>
        <v>0</v>
      </c>
      <c r="L224" s="69">
        <f ca="1">SUMIF('CAP16-18'!$B:$H,Insumo[[#This Row],[DESCRIPCION]],'CAP16-18'!$H:$H)</f>
        <v>0</v>
      </c>
      <c r="M224" s="69">
        <f ca="1">SUMIF('CAP19-22'!$B:$H,Insumo[[#This Row],[DESCRIPCION]],'CAP19-22'!$H:$H)</f>
        <v>0</v>
      </c>
      <c r="N224" s="69">
        <f ca="1">SUMIF('CAP23-24'!$B:$H,Insumo[[#This Row],[DESCRIPCION]],'CAP23-24'!$H:$H)</f>
        <v>0</v>
      </c>
      <c r="O224" s="69">
        <f ca="1">SUMIF('CAP25'!$B:$H,Insumo[[#This Row],[DESCRIPCION]],'CAP25'!$H:$H)</f>
        <v>0</v>
      </c>
      <c r="P224" s="69">
        <f ca="1">SUMIF('CAP26-28'!$B:$H,Insumo[[#This Row],[DESCRIPCION]],'CAP26-28'!$H:$H)</f>
        <v>0</v>
      </c>
      <c r="Q224" s="69">
        <f ca="1">SUMIF('CAP29'!$B:$H,Insumo[[#This Row],[DESCRIPCION]],'CAP29'!$H:$H)</f>
        <v>0</v>
      </c>
      <c r="T224" s="136">
        <v>6279</v>
      </c>
    </row>
    <row r="225" spans="1:20">
      <c r="A225" s="301" t="s">
        <v>2835</v>
      </c>
      <c r="B225" s="303" t="s">
        <v>23</v>
      </c>
      <c r="C225" s="304">
        <f t="shared" si="3"/>
        <v>321210.75</v>
      </c>
      <c r="D225" s="281" cm="1">
        <f t="array" aca="1" ref="D225" ca="1">IF(Insumo[[#This Row],[VALOR]]=0,Insumo[TOTAL],E225/C225)</f>
        <v>0</v>
      </c>
      <c r="E225" s="69">
        <f ca="1">SUM(Insumo[[#This Row],[CAP1-3]:[CAP29]])</f>
        <v>0</v>
      </c>
      <c r="F225" s="69">
        <f ca="1">SUMIF('CAP1-3'!$B:$H,Insumo[[#This Row],[DESCRIPCION]],'CAP1-3'!$H:$H)</f>
        <v>0</v>
      </c>
      <c r="G225" s="69">
        <f ca="1">SUMIF('CAP4-5'!$B:$H,Insumo[[#This Row],[DESCRIPCION]],'CAP4-5'!$H:$H)</f>
        <v>0</v>
      </c>
      <c r="H225" s="69">
        <f ca="1">SUMIF('CAP6-7'!$B:$H,Insumo[[#This Row],[DESCRIPCION]],'CAP6-7'!$H:$H)</f>
        <v>0</v>
      </c>
      <c r="I225" s="69">
        <f ca="1">SUMIF('CAP8'!$B:$H,Insumo[[#This Row],[DESCRIPCION]],'CAP8'!$H:$H)</f>
        <v>0</v>
      </c>
      <c r="J225" s="69">
        <f ca="1">SUMIF('CAP9-13'!$B:$H,Insumo[[#This Row],[DESCRIPCION]],'CAP9-13'!$H:$H)</f>
        <v>0</v>
      </c>
      <c r="K225" s="69">
        <f ca="1">SUMIF('CAP14-15'!$B:$H,Insumo[[#This Row],[DESCRIPCION]],'CAP14-15'!$H:$H)</f>
        <v>0</v>
      </c>
      <c r="L225" s="69">
        <f ca="1">SUMIF('CAP16-18'!$B:$H,Insumo[[#This Row],[DESCRIPCION]],'CAP16-18'!$H:$H)</f>
        <v>0</v>
      </c>
      <c r="M225" s="69">
        <f ca="1">SUMIF('CAP19-22'!$B:$H,Insumo[[#This Row],[DESCRIPCION]],'CAP19-22'!$H:$H)</f>
        <v>0</v>
      </c>
      <c r="N225" s="69">
        <f ca="1">SUMIF('CAP23-24'!$B:$H,Insumo[[#This Row],[DESCRIPCION]],'CAP23-24'!$H:$H)</f>
        <v>0</v>
      </c>
      <c r="O225" s="69">
        <f ca="1">SUMIF('CAP25'!$B:$H,Insumo[[#This Row],[DESCRIPCION]],'CAP25'!$H:$H)</f>
        <v>0</v>
      </c>
      <c r="P225" s="69">
        <f ca="1">SUMIF('CAP26-28'!$B:$H,Insumo[[#This Row],[DESCRIPCION]],'CAP26-28'!$H:$H)</f>
        <v>0</v>
      </c>
      <c r="Q225" s="69">
        <f ca="1">SUMIF('CAP29'!$B:$H,Insumo[[#This Row],[DESCRIPCION]],'CAP29'!$H:$H)</f>
        <v>0</v>
      </c>
      <c r="T225" s="136">
        <v>305915</v>
      </c>
    </row>
    <row r="226" spans="1:20">
      <c r="A226" s="301" t="s">
        <v>2836</v>
      </c>
      <c r="B226" s="303" t="s">
        <v>23</v>
      </c>
      <c r="C226" s="304">
        <f t="shared" si="3"/>
        <v>238236.6</v>
      </c>
      <c r="D226" s="281" cm="1">
        <f t="array" aca="1" ref="D226" ca="1">IF(Insumo[[#This Row],[VALOR]]=0,Insumo[TOTAL],E226/C226)</f>
        <v>0</v>
      </c>
      <c r="E226" s="69">
        <f ca="1">SUM(Insumo[[#This Row],[CAP1-3]:[CAP29]])</f>
        <v>0</v>
      </c>
      <c r="F226" s="69">
        <f ca="1">SUMIF('CAP1-3'!$B:$H,Insumo[[#This Row],[DESCRIPCION]],'CAP1-3'!$H:$H)</f>
        <v>0</v>
      </c>
      <c r="G226" s="69">
        <f ca="1">SUMIF('CAP4-5'!$B:$H,Insumo[[#This Row],[DESCRIPCION]],'CAP4-5'!$H:$H)</f>
        <v>0</v>
      </c>
      <c r="H226" s="69">
        <f ca="1">SUMIF('CAP6-7'!$B:$H,Insumo[[#This Row],[DESCRIPCION]],'CAP6-7'!$H:$H)</f>
        <v>0</v>
      </c>
      <c r="I226" s="69">
        <f ca="1">SUMIF('CAP8'!$B:$H,Insumo[[#This Row],[DESCRIPCION]],'CAP8'!$H:$H)</f>
        <v>0</v>
      </c>
      <c r="J226" s="69">
        <f ca="1">SUMIF('CAP9-13'!$B:$H,Insumo[[#This Row],[DESCRIPCION]],'CAP9-13'!$H:$H)</f>
        <v>0</v>
      </c>
      <c r="K226" s="69">
        <f ca="1">SUMIF('CAP14-15'!$B:$H,Insumo[[#This Row],[DESCRIPCION]],'CAP14-15'!$H:$H)</f>
        <v>0</v>
      </c>
      <c r="L226" s="69">
        <f ca="1">SUMIF('CAP16-18'!$B:$H,Insumo[[#This Row],[DESCRIPCION]],'CAP16-18'!$H:$H)</f>
        <v>0</v>
      </c>
      <c r="M226" s="69">
        <f ca="1">SUMIF('CAP19-22'!$B:$H,Insumo[[#This Row],[DESCRIPCION]],'CAP19-22'!$H:$H)</f>
        <v>0</v>
      </c>
      <c r="N226" s="69">
        <f ca="1">SUMIF('CAP23-24'!$B:$H,Insumo[[#This Row],[DESCRIPCION]],'CAP23-24'!$H:$H)</f>
        <v>0</v>
      </c>
      <c r="O226" s="69">
        <f ca="1">SUMIF('CAP25'!$B:$H,Insumo[[#This Row],[DESCRIPCION]],'CAP25'!$H:$H)</f>
        <v>0</v>
      </c>
      <c r="P226" s="69">
        <f ca="1">SUMIF('CAP26-28'!$B:$H,Insumo[[#This Row],[DESCRIPCION]],'CAP26-28'!$H:$H)</f>
        <v>0</v>
      </c>
      <c r="Q226" s="69">
        <f ca="1">SUMIF('CAP29'!$B:$H,Insumo[[#This Row],[DESCRIPCION]],'CAP29'!$H:$H)</f>
        <v>0</v>
      </c>
      <c r="T226" s="136">
        <v>226892</v>
      </c>
    </row>
    <row r="227" spans="1:20">
      <c r="A227" s="301" t="s">
        <v>2837</v>
      </c>
      <c r="B227" s="303" t="s">
        <v>23</v>
      </c>
      <c r="C227" s="304">
        <f t="shared" si="3"/>
        <v>150262.35</v>
      </c>
      <c r="D227" s="281" cm="1">
        <f t="array" aca="1" ref="D227" ca="1">IF(Insumo[[#This Row],[VALOR]]=0,Insumo[TOTAL],E227/C227)</f>
        <v>0</v>
      </c>
      <c r="E227" s="69">
        <f ca="1">SUM(Insumo[[#This Row],[CAP1-3]:[CAP29]])</f>
        <v>0</v>
      </c>
      <c r="F227" s="69">
        <f ca="1">SUMIF('CAP1-3'!$B:$H,Insumo[[#This Row],[DESCRIPCION]],'CAP1-3'!$H:$H)</f>
        <v>0</v>
      </c>
      <c r="G227" s="69">
        <f ca="1">SUMIF('CAP4-5'!$B:$H,Insumo[[#This Row],[DESCRIPCION]],'CAP4-5'!$H:$H)</f>
        <v>0</v>
      </c>
      <c r="H227" s="69">
        <f ca="1">SUMIF('CAP6-7'!$B:$H,Insumo[[#This Row],[DESCRIPCION]],'CAP6-7'!$H:$H)</f>
        <v>0</v>
      </c>
      <c r="I227" s="69">
        <f ca="1">SUMIF('CAP8'!$B:$H,Insumo[[#This Row],[DESCRIPCION]],'CAP8'!$H:$H)</f>
        <v>0</v>
      </c>
      <c r="J227" s="69">
        <f ca="1">SUMIF('CAP9-13'!$B:$H,Insumo[[#This Row],[DESCRIPCION]],'CAP9-13'!$H:$H)</f>
        <v>0</v>
      </c>
      <c r="K227" s="69">
        <f ca="1">SUMIF('CAP14-15'!$B:$H,Insumo[[#This Row],[DESCRIPCION]],'CAP14-15'!$H:$H)</f>
        <v>0</v>
      </c>
      <c r="L227" s="69">
        <f ca="1">SUMIF('CAP16-18'!$B:$H,Insumo[[#This Row],[DESCRIPCION]],'CAP16-18'!$H:$H)</f>
        <v>0</v>
      </c>
      <c r="M227" s="69">
        <f ca="1">SUMIF('CAP19-22'!$B:$H,Insumo[[#This Row],[DESCRIPCION]],'CAP19-22'!$H:$H)</f>
        <v>0</v>
      </c>
      <c r="N227" s="69">
        <f ca="1">SUMIF('CAP23-24'!$B:$H,Insumo[[#This Row],[DESCRIPCION]],'CAP23-24'!$H:$H)</f>
        <v>0</v>
      </c>
      <c r="O227" s="69">
        <f ca="1">SUMIF('CAP25'!$B:$H,Insumo[[#This Row],[DESCRIPCION]],'CAP25'!$H:$H)</f>
        <v>0</v>
      </c>
      <c r="P227" s="69">
        <f ca="1">SUMIF('CAP26-28'!$B:$H,Insumo[[#This Row],[DESCRIPCION]],'CAP26-28'!$H:$H)</f>
        <v>0</v>
      </c>
      <c r="Q227" s="69">
        <f ca="1">SUMIF('CAP29'!$B:$H,Insumo[[#This Row],[DESCRIPCION]],'CAP29'!$H:$H)</f>
        <v>0</v>
      </c>
      <c r="T227" s="136">
        <v>143107</v>
      </c>
    </row>
    <row r="228" spans="1:20">
      <c r="A228" s="301" t="s">
        <v>2838</v>
      </c>
      <c r="B228" s="303" t="s">
        <v>23</v>
      </c>
      <c r="C228" s="304">
        <f t="shared" si="3"/>
        <v>70016.100000000006</v>
      </c>
      <c r="D228" s="281" cm="1">
        <f t="array" aca="1" ref="D228" ca="1">IF(Insumo[[#This Row],[VALOR]]=0,Insumo[TOTAL],E228/C228)</f>
        <v>0</v>
      </c>
      <c r="E228" s="69">
        <f ca="1">SUM(Insumo[[#This Row],[CAP1-3]:[CAP29]])</f>
        <v>0</v>
      </c>
      <c r="F228" s="69">
        <f ca="1">SUMIF('CAP1-3'!$B:$H,Insumo[[#This Row],[DESCRIPCION]],'CAP1-3'!$H:$H)</f>
        <v>0</v>
      </c>
      <c r="G228" s="69">
        <f ca="1">SUMIF('CAP4-5'!$B:$H,Insumo[[#This Row],[DESCRIPCION]],'CAP4-5'!$H:$H)</f>
        <v>0</v>
      </c>
      <c r="H228" s="69">
        <f ca="1">SUMIF('CAP6-7'!$B:$H,Insumo[[#This Row],[DESCRIPCION]],'CAP6-7'!$H:$H)</f>
        <v>0</v>
      </c>
      <c r="I228" s="69">
        <f ca="1">SUMIF('CAP8'!$B:$H,Insumo[[#This Row],[DESCRIPCION]],'CAP8'!$H:$H)</f>
        <v>0</v>
      </c>
      <c r="J228" s="69">
        <f ca="1">SUMIF('CAP9-13'!$B:$H,Insumo[[#This Row],[DESCRIPCION]],'CAP9-13'!$H:$H)</f>
        <v>0</v>
      </c>
      <c r="K228" s="69">
        <f ca="1">SUMIF('CAP14-15'!$B:$H,Insumo[[#This Row],[DESCRIPCION]],'CAP14-15'!$H:$H)</f>
        <v>0</v>
      </c>
      <c r="L228" s="69">
        <f ca="1">SUMIF('CAP16-18'!$B:$H,Insumo[[#This Row],[DESCRIPCION]],'CAP16-18'!$H:$H)</f>
        <v>0</v>
      </c>
      <c r="M228" s="69">
        <f ca="1">SUMIF('CAP19-22'!$B:$H,Insumo[[#This Row],[DESCRIPCION]],'CAP19-22'!$H:$H)</f>
        <v>0</v>
      </c>
      <c r="N228" s="69">
        <f ca="1">SUMIF('CAP23-24'!$B:$H,Insumo[[#This Row],[DESCRIPCION]],'CAP23-24'!$H:$H)</f>
        <v>0</v>
      </c>
      <c r="O228" s="69">
        <f ca="1">SUMIF('CAP25'!$B:$H,Insumo[[#This Row],[DESCRIPCION]],'CAP25'!$H:$H)</f>
        <v>0</v>
      </c>
      <c r="P228" s="69">
        <f ca="1">SUMIF('CAP26-28'!$B:$H,Insumo[[#This Row],[DESCRIPCION]],'CAP26-28'!$H:$H)</f>
        <v>0</v>
      </c>
      <c r="Q228" s="69">
        <f ca="1">SUMIF('CAP29'!$B:$H,Insumo[[#This Row],[DESCRIPCION]],'CAP29'!$H:$H)</f>
        <v>0</v>
      </c>
      <c r="T228" s="136">
        <v>66682</v>
      </c>
    </row>
    <row r="229" spans="1:20">
      <c r="A229" s="301" t="s">
        <v>2839</v>
      </c>
      <c r="B229" s="303" t="s">
        <v>23</v>
      </c>
      <c r="C229" s="304">
        <f t="shared" si="3"/>
        <v>426234.9</v>
      </c>
      <c r="D229" s="281" cm="1">
        <f t="array" aca="1" ref="D229" ca="1">IF(Insumo[[#This Row],[VALOR]]=0,Insumo[TOTAL],E229/C229)</f>
        <v>0</v>
      </c>
      <c r="E229" s="69">
        <f ca="1">SUM(Insumo[[#This Row],[CAP1-3]:[CAP29]])</f>
        <v>0</v>
      </c>
      <c r="F229" s="69">
        <f ca="1">SUMIF('CAP1-3'!$B:$H,Insumo[[#This Row],[DESCRIPCION]],'CAP1-3'!$H:$H)</f>
        <v>0</v>
      </c>
      <c r="G229" s="69">
        <f ca="1">SUMIF('CAP4-5'!$B:$H,Insumo[[#This Row],[DESCRIPCION]],'CAP4-5'!$H:$H)</f>
        <v>0</v>
      </c>
      <c r="H229" s="69">
        <f ca="1">SUMIF('CAP6-7'!$B:$H,Insumo[[#This Row],[DESCRIPCION]],'CAP6-7'!$H:$H)</f>
        <v>0</v>
      </c>
      <c r="I229" s="69">
        <f ca="1">SUMIF('CAP8'!$B:$H,Insumo[[#This Row],[DESCRIPCION]],'CAP8'!$H:$H)</f>
        <v>0</v>
      </c>
      <c r="J229" s="69">
        <f ca="1">SUMIF('CAP9-13'!$B:$H,Insumo[[#This Row],[DESCRIPCION]],'CAP9-13'!$H:$H)</f>
        <v>0</v>
      </c>
      <c r="K229" s="69">
        <f ca="1">SUMIF('CAP14-15'!$B:$H,Insumo[[#This Row],[DESCRIPCION]],'CAP14-15'!$H:$H)</f>
        <v>0</v>
      </c>
      <c r="L229" s="69">
        <f ca="1">SUMIF('CAP16-18'!$B:$H,Insumo[[#This Row],[DESCRIPCION]],'CAP16-18'!$H:$H)</f>
        <v>0</v>
      </c>
      <c r="M229" s="69">
        <f ca="1">SUMIF('CAP19-22'!$B:$H,Insumo[[#This Row],[DESCRIPCION]],'CAP19-22'!$H:$H)</f>
        <v>0</v>
      </c>
      <c r="N229" s="69">
        <f ca="1">SUMIF('CAP23-24'!$B:$H,Insumo[[#This Row],[DESCRIPCION]],'CAP23-24'!$H:$H)</f>
        <v>0</v>
      </c>
      <c r="O229" s="69">
        <f ca="1">SUMIF('CAP25'!$B:$H,Insumo[[#This Row],[DESCRIPCION]],'CAP25'!$H:$H)</f>
        <v>0</v>
      </c>
      <c r="P229" s="69">
        <f ca="1">SUMIF('CAP26-28'!$B:$H,Insumo[[#This Row],[DESCRIPCION]],'CAP26-28'!$H:$H)</f>
        <v>0</v>
      </c>
      <c r="Q229" s="69">
        <f ca="1">SUMIF('CAP29'!$B:$H,Insumo[[#This Row],[DESCRIPCION]],'CAP29'!$H:$H)</f>
        <v>0</v>
      </c>
      <c r="T229" s="136">
        <v>405938</v>
      </c>
    </row>
    <row r="230" spans="1:20">
      <c r="A230" s="301" t="s">
        <v>2840</v>
      </c>
      <c r="B230" s="303" t="s">
        <v>23</v>
      </c>
      <c r="C230" s="304">
        <f t="shared" si="3"/>
        <v>101557.05</v>
      </c>
      <c r="D230" s="281" cm="1">
        <f t="array" aca="1" ref="D230" ca="1">IF(Insumo[[#This Row],[VALOR]]=0,Insumo[TOTAL],E230/C230)</f>
        <v>0</v>
      </c>
      <c r="E230" s="69">
        <f ca="1">SUM(Insumo[[#This Row],[CAP1-3]:[CAP29]])</f>
        <v>0</v>
      </c>
      <c r="F230" s="69">
        <f ca="1">SUMIF('CAP1-3'!$B:$H,Insumo[[#This Row],[DESCRIPCION]],'CAP1-3'!$H:$H)</f>
        <v>0</v>
      </c>
      <c r="G230" s="69">
        <f ca="1">SUMIF('CAP4-5'!$B:$H,Insumo[[#This Row],[DESCRIPCION]],'CAP4-5'!$H:$H)</f>
        <v>0</v>
      </c>
      <c r="H230" s="69">
        <f ca="1">SUMIF('CAP6-7'!$B:$H,Insumo[[#This Row],[DESCRIPCION]],'CAP6-7'!$H:$H)</f>
        <v>0</v>
      </c>
      <c r="I230" s="69">
        <f ca="1">SUMIF('CAP8'!$B:$H,Insumo[[#This Row],[DESCRIPCION]],'CAP8'!$H:$H)</f>
        <v>0</v>
      </c>
      <c r="J230" s="69">
        <f ca="1">SUMIF('CAP9-13'!$B:$H,Insumo[[#This Row],[DESCRIPCION]],'CAP9-13'!$H:$H)</f>
        <v>0</v>
      </c>
      <c r="K230" s="69">
        <f ca="1">SUMIF('CAP14-15'!$B:$H,Insumo[[#This Row],[DESCRIPCION]],'CAP14-15'!$H:$H)</f>
        <v>0</v>
      </c>
      <c r="L230" s="69">
        <f ca="1">SUMIF('CAP16-18'!$B:$H,Insumo[[#This Row],[DESCRIPCION]],'CAP16-18'!$H:$H)</f>
        <v>0</v>
      </c>
      <c r="M230" s="69">
        <f ca="1">SUMIF('CAP19-22'!$B:$H,Insumo[[#This Row],[DESCRIPCION]],'CAP19-22'!$H:$H)</f>
        <v>0</v>
      </c>
      <c r="N230" s="69">
        <f ca="1">SUMIF('CAP23-24'!$B:$H,Insumo[[#This Row],[DESCRIPCION]],'CAP23-24'!$H:$H)</f>
        <v>0</v>
      </c>
      <c r="O230" s="69">
        <f ca="1">SUMIF('CAP25'!$B:$H,Insumo[[#This Row],[DESCRIPCION]],'CAP25'!$H:$H)</f>
        <v>0</v>
      </c>
      <c r="P230" s="69">
        <f ca="1">SUMIF('CAP26-28'!$B:$H,Insumo[[#This Row],[DESCRIPCION]],'CAP26-28'!$H:$H)</f>
        <v>0</v>
      </c>
      <c r="Q230" s="69">
        <f ca="1">SUMIF('CAP29'!$B:$H,Insumo[[#This Row],[DESCRIPCION]],'CAP29'!$H:$H)</f>
        <v>0</v>
      </c>
      <c r="T230" s="136">
        <v>96721</v>
      </c>
    </row>
    <row r="231" spans="1:20">
      <c r="A231" s="301" t="s">
        <v>2841</v>
      </c>
      <c r="B231" s="303" t="s">
        <v>23</v>
      </c>
      <c r="C231" s="304">
        <f t="shared" si="3"/>
        <v>352353.75</v>
      </c>
      <c r="D231" s="281" cm="1">
        <f t="array" aca="1" ref="D231" ca="1">IF(Insumo[[#This Row],[VALOR]]=0,Insumo[TOTAL],E231/C231)</f>
        <v>0</v>
      </c>
      <c r="E231" s="69">
        <f ca="1">SUM(Insumo[[#This Row],[CAP1-3]:[CAP29]])</f>
        <v>0</v>
      </c>
      <c r="F231" s="69">
        <f ca="1">SUMIF('CAP1-3'!$B:$H,Insumo[[#This Row],[DESCRIPCION]],'CAP1-3'!$H:$H)</f>
        <v>0</v>
      </c>
      <c r="G231" s="69">
        <f ca="1">SUMIF('CAP4-5'!$B:$H,Insumo[[#This Row],[DESCRIPCION]],'CAP4-5'!$H:$H)</f>
        <v>0</v>
      </c>
      <c r="H231" s="69">
        <f ca="1">SUMIF('CAP6-7'!$B:$H,Insumo[[#This Row],[DESCRIPCION]],'CAP6-7'!$H:$H)</f>
        <v>0</v>
      </c>
      <c r="I231" s="69">
        <f ca="1">SUMIF('CAP8'!$B:$H,Insumo[[#This Row],[DESCRIPCION]],'CAP8'!$H:$H)</f>
        <v>0</v>
      </c>
      <c r="J231" s="69">
        <f ca="1">SUMIF('CAP9-13'!$B:$H,Insumo[[#This Row],[DESCRIPCION]],'CAP9-13'!$H:$H)</f>
        <v>0</v>
      </c>
      <c r="K231" s="69">
        <f ca="1">SUMIF('CAP14-15'!$B:$H,Insumo[[#This Row],[DESCRIPCION]],'CAP14-15'!$H:$H)</f>
        <v>0</v>
      </c>
      <c r="L231" s="69">
        <f ca="1">SUMIF('CAP16-18'!$B:$H,Insumo[[#This Row],[DESCRIPCION]],'CAP16-18'!$H:$H)</f>
        <v>0</v>
      </c>
      <c r="M231" s="69">
        <f ca="1">SUMIF('CAP19-22'!$B:$H,Insumo[[#This Row],[DESCRIPCION]],'CAP19-22'!$H:$H)</f>
        <v>0</v>
      </c>
      <c r="N231" s="69">
        <f ca="1">SUMIF('CAP23-24'!$B:$H,Insumo[[#This Row],[DESCRIPCION]],'CAP23-24'!$H:$H)</f>
        <v>0</v>
      </c>
      <c r="O231" s="69">
        <f ca="1">SUMIF('CAP25'!$B:$H,Insumo[[#This Row],[DESCRIPCION]],'CAP25'!$H:$H)</f>
        <v>0</v>
      </c>
      <c r="P231" s="69">
        <f ca="1">SUMIF('CAP26-28'!$B:$H,Insumo[[#This Row],[DESCRIPCION]],'CAP26-28'!$H:$H)</f>
        <v>0</v>
      </c>
      <c r="Q231" s="69">
        <f ca="1">SUMIF('CAP29'!$B:$H,Insumo[[#This Row],[DESCRIPCION]],'CAP29'!$H:$H)</f>
        <v>0</v>
      </c>
      <c r="T231" s="136">
        <v>335575</v>
      </c>
    </row>
    <row r="232" spans="1:20">
      <c r="A232" s="301" t="s">
        <v>2842</v>
      </c>
      <c r="B232" s="303" t="s">
        <v>23</v>
      </c>
      <c r="C232" s="304">
        <f t="shared" si="3"/>
        <v>244374.90000000002</v>
      </c>
      <c r="D232" s="281" cm="1">
        <f t="array" aca="1" ref="D232" ca="1">IF(Insumo[[#This Row],[VALOR]]=0,Insumo[TOTAL],E232/C232)</f>
        <v>0</v>
      </c>
      <c r="E232" s="69">
        <f ca="1">SUM(Insumo[[#This Row],[CAP1-3]:[CAP29]])</f>
        <v>0</v>
      </c>
      <c r="F232" s="69">
        <f ca="1">SUMIF('CAP1-3'!$B:$H,Insumo[[#This Row],[DESCRIPCION]],'CAP1-3'!$H:$H)</f>
        <v>0</v>
      </c>
      <c r="G232" s="69">
        <f ca="1">SUMIF('CAP4-5'!$B:$H,Insumo[[#This Row],[DESCRIPCION]],'CAP4-5'!$H:$H)</f>
        <v>0</v>
      </c>
      <c r="H232" s="69">
        <f ca="1">SUMIF('CAP6-7'!$B:$H,Insumo[[#This Row],[DESCRIPCION]],'CAP6-7'!$H:$H)</f>
        <v>0</v>
      </c>
      <c r="I232" s="69">
        <f ca="1">SUMIF('CAP8'!$B:$H,Insumo[[#This Row],[DESCRIPCION]],'CAP8'!$H:$H)</f>
        <v>0</v>
      </c>
      <c r="J232" s="69">
        <f ca="1">SUMIF('CAP9-13'!$B:$H,Insumo[[#This Row],[DESCRIPCION]],'CAP9-13'!$H:$H)</f>
        <v>0</v>
      </c>
      <c r="K232" s="69">
        <f ca="1">SUMIF('CAP14-15'!$B:$H,Insumo[[#This Row],[DESCRIPCION]],'CAP14-15'!$H:$H)</f>
        <v>0</v>
      </c>
      <c r="L232" s="69">
        <f ca="1">SUMIF('CAP16-18'!$B:$H,Insumo[[#This Row],[DESCRIPCION]],'CAP16-18'!$H:$H)</f>
        <v>0</v>
      </c>
      <c r="M232" s="69">
        <f ca="1">SUMIF('CAP19-22'!$B:$H,Insumo[[#This Row],[DESCRIPCION]],'CAP19-22'!$H:$H)</f>
        <v>0</v>
      </c>
      <c r="N232" s="69">
        <f ca="1">SUMIF('CAP23-24'!$B:$H,Insumo[[#This Row],[DESCRIPCION]],'CAP23-24'!$H:$H)</f>
        <v>0</v>
      </c>
      <c r="O232" s="69">
        <f ca="1">SUMIF('CAP25'!$B:$H,Insumo[[#This Row],[DESCRIPCION]],'CAP25'!$H:$H)</f>
        <v>0</v>
      </c>
      <c r="P232" s="69">
        <f ca="1">SUMIF('CAP26-28'!$B:$H,Insumo[[#This Row],[DESCRIPCION]],'CAP26-28'!$H:$H)</f>
        <v>0</v>
      </c>
      <c r="Q232" s="69">
        <f ca="1">SUMIF('CAP29'!$B:$H,Insumo[[#This Row],[DESCRIPCION]],'CAP29'!$H:$H)</f>
        <v>0</v>
      </c>
      <c r="T232" s="136">
        <v>232738</v>
      </c>
    </row>
    <row r="233" spans="1:20">
      <c r="A233" s="301" t="s">
        <v>2843</v>
      </c>
      <c r="B233" s="303" t="s">
        <v>2844</v>
      </c>
      <c r="C233" s="304">
        <f t="shared" si="3"/>
        <v>1244.25</v>
      </c>
      <c r="D233" s="281" cm="1">
        <f t="array" aca="1" ref="D233" ca="1">IF(Insumo[[#This Row],[VALOR]]=0,Insumo[TOTAL],E233/C233)</f>
        <v>0</v>
      </c>
      <c r="E233" s="69">
        <f ca="1">SUM(Insumo[[#This Row],[CAP1-3]:[CAP29]])</f>
        <v>0</v>
      </c>
      <c r="F233" s="69">
        <f ca="1">SUMIF('CAP1-3'!$B:$H,Insumo[[#This Row],[DESCRIPCION]],'CAP1-3'!$H:$H)</f>
        <v>0</v>
      </c>
      <c r="G233" s="69">
        <f ca="1">SUMIF('CAP4-5'!$B:$H,Insumo[[#This Row],[DESCRIPCION]],'CAP4-5'!$H:$H)</f>
        <v>0</v>
      </c>
      <c r="H233" s="69">
        <f ca="1">SUMIF('CAP6-7'!$B:$H,Insumo[[#This Row],[DESCRIPCION]],'CAP6-7'!$H:$H)</f>
        <v>0</v>
      </c>
      <c r="I233" s="69">
        <f ca="1">SUMIF('CAP8'!$B:$H,Insumo[[#This Row],[DESCRIPCION]],'CAP8'!$H:$H)</f>
        <v>0</v>
      </c>
      <c r="J233" s="69">
        <f ca="1">SUMIF('CAP9-13'!$B:$H,Insumo[[#This Row],[DESCRIPCION]],'CAP9-13'!$H:$H)</f>
        <v>0</v>
      </c>
      <c r="K233" s="69">
        <f ca="1">SUMIF('CAP14-15'!$B:$H,Insumo[[#This Row],[DESCRIPCION]],'CAP14-15'!$H:$H)</f>
        <v>0</v>
      </c>
      <c r="L233" s="69">
        <f ca="1">SUMIF('CAP16-18'!$B:$H,Insumo[[#This Row],[DESCRIPCION]],'CAP16-18'!$H:$H)</f>
        <v>0</v>
      </c>
      <c r="M233" s="69">
        <f ca="1">SUMIF('CAP19-22'!$B:$H,Insumo[[#This Row],[DESCRIPCION]],'CAP19-22'!$H:$H)</f>
        <v>0</v>
      </c>
      <c r="N233" s="69">
        <f ca="1">SUMIF('CAP23-24'!$B:$H,Insumo[[#This Row],[DESCRIPCION]],'CAP23-24'!$H:$H)</f>
        <v>0</v>
      </c>
      <c r="O233" s="69">
        <f ca="1">SUMIF('CAP25'!$B:$H,Insumo[[#This Row],[DESCRIPCION]],'CAP25'!$H:$H)</f>
        <v>0</v>
      </c>
      <c r="P233" s="69">
        <f ca="1">SUMIF('CAP26-28'!$B:$H,Insumo[[#This Row],[DESCRIPCION]],'CAP26-28'!$H:$H)</f>
        <v>0</v>
      </c>
      <c r="Q233" s="69">
        <f ca="1">SUMIF('CAP29'!$B:$H,Insumo[[#This Row],[DESCRIPCION]],'CAP29'!$H:$H)</f>
        <v>0</v>
      </c>
      <c r="T233" s="136">
        <v>1185</v>
      </c>
    </row>
    <row r="234" spans="1:20">
      <c r="A234" s="301" t="s">
        <v>2845</v>
      </c>
      <c r="B234" s="303" t="s">
        <v>30</v>
      </c>
      <c r="C234" s="304">
        <f t="shared" si="3"/>
        <v>112.35000000000001</v>
      </c>
      <c r="D234" s="281" cm="1">
        <f t="array" aca="1" ref="D234" ca="1">IF(Insumo[[#This Row],[VALOR]]=0,Insumo[TOTAL],E234/C234)</f>
        <v>0</v>
      </c>
      <c r="E234" s="69">
        <f ca="1">SUM(Insumo[[#This Row],[CAP1-3]:[CAP29]])</f>
        <v>0</v>
      </c>
      <c r="F234" s="69">
        <f ca="1">SUMIF('CAP1-3'!$B:$H,Insumo[[#This Row],[DESCRIPCION]],'CAP1-3'!$H:$H)</f>
        <v>0</v>
      </c>
      <c r="G234" s="69">
        <f ca="1">SUMIF('CAP4-5'!$B:$H,Insumo[[#This Row],[DESCRIPCION]],'CAP4-5'!$H:$H)</f>
        <v>0</v>
      </c>
      <c r="H234" s="69">
        <f ca="1">SUMIF('CAP6-7'!$B:$H,Insumo[[#This Row],[DESCRIPCION]],'CAP6-7'!$H:$H)</f>
        <v>0</v>
      </c>
      <c r="I234" s="69">
        <f ca="1">SUMIF('CAP8'!$B:$H,Insumo[[#This Row],[DESCRIPCION]],'CAP8'!$H:$H)</f>
        <v>0</v>
      </c>
      <c r="J234" s="69">
        <f ca="1">SUMIF('CAP9-13'!$B:$H,Insumo[[#This Row],[DESCRIPCION]],'CAP9-13'!$H:$H)</f>
        <v>0</v>
      </c>
      <c r="K234" s="69">
        <f ca="1">SUMIF('CAP14-15'!$B:$H,Insumo[[#This Row],[DESCRIPCION]],'CAP14-15'!$H:$H)</f>
        <v>0</v>
      </c>
      <c r="L234" s="69">
        <f ca="1">SUMIF('CAP16-18'!$B:$H,Insumo[[#This Row],[DESCRIPCION]],'CAP16-18'!$H:$H)</f>
        <v>0</v>
      </c>
      <c r="M234" s="69">
        <f ca="1">SUMIF('CAP19-22'!$B:$H,Insumo[[#This Row],[DESCRIPCION]],'CAP19-22'!$H:$H)</f>
        <v>0</v>
      </c>
      <c r="N234" s="69">
        <f ca="1">SUMIF('CAP23-24'!$B:$H,Insumo[[#This Row],[DESCRIPCION]],'CAP23-24'!$H:$H)</f>
        <v>0</v>
      </c>
      <c r="O234" s="69">
        <f ca="1">SUMIF('CAP25'!$B:$H,Insumo[[#This Row],[DESCRIPCION]],'CAP25'!$H:$H)</f>
        <v>0</v>
      </c>
      <c r="P234" s="69">
        <f ca="1">SUMIF('CAP26-28'!$B:$H,Insumo[[#This Row],[DESCRIPCION]],'CAP26-28'!$H:$H)</f>
        <v>0</v>
      </c>
      <c r="Q234" s="69">
        <f ca="1">SUMIF('CAP29'!$B:$H,Insumo[[#This Row],[DESCRIPCION]],'CAP29'!$H:$H)</f>
        <v>0</v>
      </c>
      <c r="T234" s="136">
        <v>107</v>
      </c>
    </row>
    <row r="235" spans="1:20">
      <c r="A235" s="301" t="s">
        <v>2846</v>
      </c>
      <c r="B235" s="303" t="s">
        <v>30</v>
      </c>
      <c r="C235" s="304">
        <f t="shared" si="3"/>
        <v>160.65</v>
      </c>
      <c r="D235" s="281" cm="1">
        <f t="array" aca="1" ref="D235" ca="1">IF(Insumo[[#This Row],[VALOR]]=0,Insumo[TOTAL],E235/C235)</f>
        <v>0</v>
      </c>
      <c r="E235" s="69">
        <f ca="1">SUM(Insumo[[#This Row],[CAP1-3]:[CAP29]])</f>
        <v>0</v>
      </c>
      <c r="F235" s="69">
        <f ca="1">SUMIF('CAP1-3'!$B:$H,Insumo[[#This Row],[DESCRIPCION]],'CAP1-3'!$H:$H)</f>
        <v>0</v>
      </c>
      <c r="G235" s="69">
        <f ca="1">SUMIF('CAP4-5'!$B:$H,Insumo[[#This Row],[DESCRIPCION]],'CAP4-5'!$H:$H)</f>
        <v>0</v>
      </c>
      <c r="H235" s="69">
        <f ca="1">SUMIF('CAP6-7'!$B:$H,Insumo[[#This Row],[DESCRIPCION]],'CAP6-7'!$H:$H)</f>
        <v>0</v>
      </c>
      <c r="I235" s="69">
        <f ca="1">SUMIF('CAP8'!$B:$H,Insumo[[#This Row],[DESCRIPCION]],'CAP8'!$H:$H)</f>
        <v>0</v>
      </c>
      <c r="J235" s="69">
        <f ca="1">SUMIF('CAP9-13'!$B:$H,Insumo[[#This Row],[DESCRIPCION]],'CAP9-13'!$H:$H)</f>
        <v>0</v>
      </c>
      <c r="K235" s="69">
        <f ca="1">SUMIF('CAP14-15'!$B:$H,Insumo[[#This Row],[DESCRIPCION]],'CAP14-15'!$H:$H)</f>
        <v>0</v>
      </c>
      <c r="L235" s="69">
        <f ca="1">SUMIF('CAP16-18'!$B:$H,Insumo[[#This Row],[DESCRIPCION]],'CAP16-18'!$H:$H)</f>
        <v>0</v>
      </c>
      <c r="M235" s="69">
        <f ca="1">SUMIF('CAP19-22'!$B:$H,Insumo[[#This Row],[DESCRIPCION]],'CAP19-22'!$H:$H)</f>
        <v>0</v>
      </c>
      <c r="N235" s="69">
        <f ca="1">SUMIF('CAP23-24'!$B:$H,Insumo[[#This Row],[DESCRIPCION]],'CAP23-24'!$H:$H)</f>
        <v>0</v>
      </c>
      <c r="O235" s="69">
        <f ca="1">SUMIF('CAP25'!$B:$H,Insumo[[#This Row],[DESCRIPCION]],'CAP25'!$H:$H)</f>
        <v>0</v>
      </c>
      <c r="P235" s="69">
        <f ca="1">SUMIF('CAP26-28'!$B:$H,Insumo[[#This Row],[DESCRIPCION]],'CAP26-28'!$H:$H)</f>
        <v>0</v>
      </c>
      <c r="Q235" s="69">
        <f ca="1">SUMIF('CAP29'!$B:$H,Insumo[[#This Row],[DESCRIPCION]],'CAP29'!$H:$H)</f>
        <v>0</v>
      </c>
      <c r="T235" s="136">
        <v>153</v>
      </c>
    </row>
    <row r="236" spans="1:20">
      <c r="A236" s="301" t="s">
        <v>2847</v>
      </c>
      <c r="B236" s="303" t="s">
        <v>23</v>
      </c>
      <c r="C236" s="304">
        <f t="shared" si="3"/>
        <v>1362.9</v>
      </c>
      <c r="D236" s="281" cm="1">
        <f t="array" aca="1" ref="D236" ca="1">IF(Insumo[[#This Row],[VALOR]]=0,Insumo[TOTAL],E236/C236)</f>
        <v>0</v>
      </c>
      <c r="E236" s="69">
        <f ca="1">SUM(Insumo[[#This Row],[CAP1-3]:[CAP29]])</f>
        <v>0</v>
      </c>
      <c r="F236" s="69">
        <f ca="1">SUMIF('CAP1-3'!$B:$H,Insumo[[#This Row],[DESCRIPCION]],'CAP1-3'!$H:$H)</f>
        <v>0</v>
      </c>
      <c r="G236" s="69">
        <f ca="1">SUMIF('CAP4-5'!$B:$H,Insumo[[#This Row],[DESCRIPCION]],'CAP4-5'!$H:$H)</f>
        <v>0</v>
      </c>
      <c r="H236" s="69">
        <f ca="1">SUMIF('CAP6-7'!$B:$H,Insumo[[#This Row],[DESCRIPCION]],'CAP6-7'!$H:$H)</f>
        <v>0</v>
      </c>
      <c r="I236" s="69">
        <f ca="1">SUMIF('CAP8'!$B:$H,Insumo[[#This Row],[DESCRIPCION]],'CAP8'!$H:$H)</f>
        <v>0</v>
      </c>
      <c r="J236" s="69">
        <f ca="1">SUMIF('CAP9-13'!$B:$H,Insumo[[#This Row],[DESCRIPCION]],'CAP9-13'!$H:$H)</f>
        <v>0</v>
      </c>
      <c r="K236" s="69">
        <f ca="1">SUMIF('CAP14-15'!$B:$H,Insumo[[#This Row],[DESCRIPCION]],'CAP14-15'!$H:$H)</f>
        <v>0</v>
      </c>
      <c r="L236" s="69">
        <f ca="1">SUMIF('CAP16-18'!$B:$H,Insumo[[#This Row],[DESCRIPCION]],'CAP16-18'!$H:$H)</f>
        <v>0</v>
      </c>
      <c r="M236" s="69">
        <f ca="1">SUMIF('CAP19-22'!$B:$H,Insumo[[#This Row],[DESCRIPCION]],'CAP19-22'!$H:$H)</f>
        <v>0</v>
      </c>
      <c r="N236" s="69">
        <f ca="1">SUMIF('CAP23-24'!$B:$H,Insumo[[#This Row],[DESCRIPCION]],'CAP23-24'!$H:$H)</f>
        <v>0</v>
      </c>
      <c r="O236" s="69">
        <f ca="1">SUMIF('CAP25'!$B:$H,Insumo[[#This Row],[DESCRIPCION]],'CAP25'!$H:$H)</f>
        <v>0</v>
      </c>
      <c r="P236" s="69">
        <f ca="1">SUMIF('CAP26-28'!$B:$H,Insumo[[#This Row],[DESCRIPCION]],'CAP26-28'!$H:$H)</f>
        <v>0</v>
      </c>
      <c r="Q236" s="69">
        <f ca="1">SUMIF('CAP29'!$B:$H,Insumo[[#This Row],[DESCRIPCION]],'CAP29'!$H:$H)</f>
        <v>0</v>
      </c>
      <c r="T236" s="136">
        <v>1298</v>
      </c>
    </row>
    <row r="237" spans="1:20">
      <c r="A237" s="301" t="s">
        <v>2848</v>
      </c>
      <c r="B237" s="303" t="s">
        <v>30</v>
      </c>
      <c r="C237" s="304">
        <f t="shared" si="3"/>
        <v>37098.537000000004</v>
      </c>
      <c r="D237" s="281" cm="1">
        <f t="array" aca="1" ref="D237" ca="1">IF(Insumo[[#This Row],[VALOR]]=0,Insumo[TOTAL],E237/C237)</f>
        <v>0</v>
      </c>
      <c r="E237" s="69">
        <f ca="1">SUM(Insumo[[#This Row],[CAP1-3]:[CAP29]])</f>
        <v>0</v>
      </c>
      <c r="F237" s="69">
        <f ca="1">SUMIF('CAP1-3'!$B:$H,Insumo[[#This Row],[DESCRIPCION]],'CAP1-3'!$H:$H)</f>
        <v>0</v>
      </c>
      <c r="G237" s="69">
        <f ca="1">SUMIF('CAP4-5'!$B:$H,Insumo[[#This Row],[DESCRIPCION]],'CAP4-5'!$H:$H)</f>
        <v>0</v>
      </c>
      <c r="H237" s="69">
        <f ca="1">SUMIF('CAP6-7'!$B:$H,Insumo[[#This Row],[DESCRIPCION]],'CAP6-7'!$H:$H)</f>
        <v>0</v>
      </c>
      <c r="I237" s="69">
        <f ca="1">SUMIF('CAP8'!$B:$H,Insumo[[#This Row],[DESCRIPCION]],'CAP8'!$H:$H)</f>
        <v>0</v>
      </c>
      <c r="J237" s="69">
        <f ca="1">SUMIF('CAP9-13'!$B:$H,Insumo[[#This Row],[DESCRIPCION]],'CAP9-13'!$H:$H)</f>
        <v>0</v>
      </c>
      <c r="K237" s="69">
        <f ca="1">SUMIF('CAP14-15'!$B:$H,Insumo[[#This Row],[DESCRIPCION]],'CAP14-15'!$H:$H)</f>
        <v>0</v>
      </c>
      <c r="L237" s="69">
        <f ca="1">SUMIF('CAP16-18'!$B:$H,Insumo[[#This Row],[DESCRIPCION]],'CAP16-18'!$H:$H)</f>
        <v>0</v>
      </c>
      <c r="M237" s="69">
        <f ca="1">SUMIF('CAP19-22'!$B:$H,Insumo[[#This Row],[DESCRIPCION]],'CAP19-22'!$H:$H)</f>
        <v>0</v>
      </c>
      <c r="N237" s="69">
        <f ca="1">SUMIF('CAP23-24'!$B:$H,Insumo[[#This Row],[DESCRIPCION]],'CAP23-24'!$H:$H)</f>
        <v>0</v>
      </c>
      <c r="O237" s="69">
        <f ca="1">SUMIF('CAP25'!$B:$H,Insumo[[#This Row],[DESCRIPCION]],'CAP25'!$H:$H)</f>
        <v>0</v>
      </c>
      <c r="P237" s="69">
        <f ca="1">SUMIF('CAP26-28'!$B:$H,Insumo[[#This Row],[DESCRIPCION]],'CAP26-28'!$H:$H)</f>
        <v>0</v>
      </c>
      <c r="Q237" s="69">
        <f ca="1">SUMIF('CAP29'!$B:$H,Insumo[[#This Row],[DESCRIPCION]],'CAP29'!$H:$H)</f>
        <v>0</v>
      </c>
      <c r="R237" s="290"/>
      <c r="T237" s="136">
        <v>35331.94</v>
      </c>
    </row>
    <row r="238" spans="1:20">
      <c r="A238" s="301" t="s">
        <v>2849</v>
      </c>
      <c r="B238" s="303" t="s">
        <v>30</v>
      </c>
      <c r="C238" s="304">
        <f t="shared" si="3"/>
        <v>90570.375</v>
      </c>
      <c r="D238" s="281" cm="1">
        <f t="array" aca="1" ref="D238" ca="1">IF(Insumo[[#This Row],[VALOR]]=0,Insumo[TOTAL],E238/C238)</f>
        <v>0</v>
      </c>
      <c r="E238" s="69">
        <f ca="1">SUM(Insumo[[#This Row],[CAP1-3]:[CAP29]])</f>
        <v>0</v>
      </c>
      <c r="F238" s="69">
        <f ca="1">SUMIF('CAP1-3'!$B:$H,Insumo[[#This Row],[DESCRIPCION]],'CAP1-3'!$H:$H)</f>
        <v>0</v>
      </c>
      <c r="G238" s="69">
        <f ca="1">SUMIF('CAP4-5'!$B:$H,Insumo[[#This Row],[DESCRIPCION]],'CAP4-5'!$H:$H)</f>
        <v>0</v>
      </c>
      <c r="H238" s="69">
        <f ca="1">SUMIF('CAP6-7'!$B:$H,Insumo[[#This Row],[DESCRIPCION]],'CAP6-7'!$H:$H)</f>
        <v>0</v>
      </c>
      <c r="I238" s="69">
        <f ca="1">SUMIF('CAP8'!$B:$H,Insumo[[#This Row],[DESCRIPCION]],'CAP8'!$H:$H)</f>
        <v>0</v>
      </c>
      <c r="J238" s="69">
        <f ca="1">SUMIF('CAP9-13'!$B:$H,Insumo[[#This Row],[DESCRIPCION]],'CAP9-13'!$H:$H)</f>
        <v>0</v>
      </c>
      <c r="K238" s="69">
        <f ca="1">SUMIF('CAP14-15'!$B:$H,Insumo[[#This Row],[DESCRIPCION]],'CAP14-15'!$H:$H)</f>
        <v>0</v>
      </c>
      <c r="L238" s="69">
        <f ca="1">SUMIF('CAP16-18'!$B:$H,Insumo[[#This Row],[DESCRIPCION]],'CAP16-18'!$H:$H)</f>
        <v>0</v>
      </c>
      <c r="M238" s="69">
        <f ca="1">SUMIF('CAP19-22'!$B:$H,Insumo[[#This Row],[DESCRIPCION]],'CAP19-22'!$H:$H)</f>
        <v>0</v>
      </c>
      <c r="N238" s="69">
        <f ca="1">SUMIF('CAP23-24'!$B:$H,Insumo[[#This Row],[DESCRIPCION]],'CAP23-24'!$H:$H)</f>
        <v>0</v>
      </c>
      <c r="O238" s="69">
        <f ca="1">SUMIF('CAP25'!$B:$H,Insumo[[#This Row],[DESCRIPCION]],'CAP25'!$H:$H)</f>
        <v>0</v>
      </c>
      <c r="P238" s="69">
        <f ca="1">SUMIF('CAP26-28'!$B:$H,Insumo[[#This Row],[DESCRIPCION]],'CAP26-28'!$H:$H)</f>
        <v>0</v>
      </c>
      <c r="Q238" s="69">
        <f ca="1">SUMIF('CAP29'!$B:$H,Insumo[[#This Row],[DESCRIPCION]],'CAP29'!$H:$H)</f>
        <v>0</v>
      </c>
      <c r="R238" s="290"/>
      <c r="T238" s="136">
        <v>86257.5</v>
      </c>
    </row>
    <row r="239" spans="1:20">
      <c r="A239" s="301" t="s">
        <v>2850</v>
      </c>
      <c r="B239" s="303" t="s">
        <v>30</v>
      </c>
      <c r="C239" s="304">
        <f t="shared" si="3"/>
        <v>511.35</v>
      </c>
      <c r="D239" s="281" cm="1">
        <f t="array" aca="1" ref="D239" ca="1">IF(Insumo[[#This Row],[VALOR]]=0,Insumo[TOTAL],E239/C239)</f>
        <v>0</v>
      </c>
      <c r="E239" s="69">
        <f ca="1">SUM(Insumo[[#This Row],[CAP1-3]:[CAP29]])</f>
        <v>0</v>
      </c>
      <c r="F239" s="69">
        <f ca="1">SUMIF('CAP1-3'!$B:$H,Insumo[[#This Row],[DESCRIPCION]],'CAP1-3'!$H:$H)</f>
        <v>0</v>
      </c>
      <c r="G239" s="69">
        <f ca="1">SUMIF('CAP4-5'!$B:$H,Insumo[[#This Row],[DESCRIPCION]],'CAP4-5'!$H:$H)</f>
        <v>0</v>
      </c>
      <c r="H239" s="69">
        <f ca="1">SUMIF('CAP6-7'!$B:$H,Insumo[[#This Row],[DESCRIPCION]],'CAP6-7'!$H:$H)</f>
        <v>0</v>
      </c>
      <c r="I239" s="69">
        <f ca="1">SUMIF('CAP8'!$B:$H,Insumo[[#This Row],[DESCRIPCION]],'CAP8'!$H:$H)</f>
        <v>0</v>
      </c>
      <c r="J239" s="69">
        <f ca="1">SUMIF('CAP9-13'!$B:$H,Insumo[[#This Row],[DESCRIPCION]],'CAP9-13'!$H:$H)</f>
        <v>0</v>
      </c>
      <c r="K239" s="69">
        <f ca="1">SUMIF('CAP14-15'!$B:$H,Insumo[[#This Row],[DESCRIPCION]],'CAP14-15'!$H:$H)</f>
        <v>0</v>
      </c>
      <c r="L239" s="69">
        <f ca="1">SUMIF('CAP16-18'!$B:$H,Insumo[[#This Row],[DESCRIPCION]],'CAP16-18'!$H:$H)</f>
        <v>0</v>
      </c>
      <c r="M239" s="69">
        <f ca="1">SUMIF('CAP19-22'!$B:$H,Insumo[[#This Row],[DESCRIPCION]],'CAP19-22'!$H:$H)</f>
        <v>0</v>
      </c>
      <c r="N239" s="69">
        <f ca="1">SUMIF('CAP23-24'!$B:$H,Insumo[[#This Row],[DESCRIPCION]],'CAP23-24'!$H:$H)</f>
        <v>0</v>
      </c>
      <c r="O239" s="69">
        <f ca="1">SUMIF('CAP25'!$B:$H,Insumo[[#This Row],[DESCRIPCION]],'CAP25'!$H:$H)</f>
        <v>0</v>
      </c>
      <c r="P239" s="69">
        <f ca="1">SUMIF('CAP26-28'!$B:$H,Insumo[[#This Row],[DESCRIPCION]],'CAP26-28'!$H:$H)</f>
        <v>0</v>
      </c>
      <c r="Q239" s="69">
        <f ca="1">SUMIF('CAP29'!$B:$H,Insumo[[#This Row],[DESCRIPCION]],'CAP29'!$H:$H)</f>
        <v>0</v>
      </c>
      <c r="T239" s="136">
        <v>487</v>
      </c>
    </row>
    <row r="240" spans="1:20">
      <c r="A240" s="301" t="s">
        <v>2851</v>
      </c>
      <c r="B240" s="303" t="s">
        <v>30</v>
      </c>
      <c r="C240" s="304">
        <f t="shared" si="3"/>
        <v>102970.35</v>
      </c>
      <c r="D240" s="281" cm="1">
        <f t="array" aca="1" ref="D240" ca="1">IF(Insumo[[#This Row],[VALOR]]=0,Insumo[TOTAL],E240/C240)</f>
        <v>0</v>
      </c>
      <c r="E240" s="69">
        <f ca="1">SUM(Insumo[[#This Row],[CAP1-3]:[CAP29]])</f>
        <v>0</v>
      </c>
      <c r="F240" s="69">
        <f ca="1">SUMIF('CAP1-3'!$B:$H,Insumo[[#This Row],[DESCRIPCION]],'CAP1-3'!$H:$H)</f>
        <v>0</v>
      </c>
      <c r="G240" s="69">
        <f ca="1">SUMIF('CAP4-5'!$B:$H,Insumo[[#This Row],[DESCRIPCION]],'CAP4-5'!$H:$H)</f>
        <v>0</v>
      </c>
      <c r="H240" s="69">
        <f ca="1">SUMIF('CAP6-7'!$B:$H,Insumo[[#This Row],[DESCRIPCION]],'CAP6-7'!$H:$H)</f>
        <v>0</v>
      </c>
      <c r="I240" s="69">
        <f ca="1">SUMIF('CAP8'!$B:$H,Insumo[[#This Row],[DESCRIPCION]],'CAP8'!$H:$H)</f>
        <v>0</v>
      </c>
      <c r="J240" s="69">
        <f ca="1">SUMIF('CAP9-13'!$B:$H,Insumo[[#This Row],[DESCRIPCION]],'CAP9-13'!$H:$H)</f>
        <v>0</v>
      </c>
      <c r="K240" s="69">
        <f ca="1">SUMIF('CAP14-15'!$B:$H,Insumo[[#This Row],[DESCRIPCION]],'CAP14-15'!$H:$H)</f>
        <v>0</v>
      </c>
      <c r="L240" s="69">
        <f ca="1">SUMIF('CAP16-18'!$B:$H,Insumo[[#This Row],[DESCRIPCION]],'CAP16-18'!$H:$H)</f>
        <v>0</v>
      </c>
      <c r="M240" s="69">
        <f ca="1">SUMIF('CAP19-22'!$B:$H,Insumo[[#This Row],[DESCRIPCION]],'CAP19-22'!$H:$H)</f>
        <v>0</v>
      </c>
      <c r="N240" s="69">
        <f ca="1">SUMIF('CAP23-24'!$B:$H,Insumo[[#This Row],[DESCRIPCION]],'CAP23-24'!$H:$H)</f>
        <v>0</v>
      </c>
      <c r="O240" s="69">
        <f ca="1">SUMIF('CAP25'!$B:$H,Insumo[[#This Row],[DESCRIPCION]],'CAP25'!$H:$H)</f>
        <v>0</v>
      </c>
      <c r="P240" s="69">
        <f ca="1">SUMIF('CAP26-28'!$B:$H,Insumo[[#This Row],[DESCRIPCION]],'CAP26-28'!$H:$H)</f>
        <v>0</v>
      </c>
      <c r="Q240" s="69">
        <f ca="1">SUMIF('CAP29'!$B:$H,Insumo[[#This Row],[DESCRIPCION]],'CAP29'!$H:$H)</f>
        <v>0</v>
      </c>
      <c r="R240" s="136" t="s">
        <v>2663</v>
      </c>
      <c r="T240" s="136">
        <v>98067</v>
      </c>
    </row>
    <row r="241" spans="1:20">
      <c r="A241" s="301" t="s">
        <v>2852</v>
      </c>
      <c r="B241" s="303" t="s">
        <v>30</v>
      </c>
      <c r="C241" s="304">
        <f t="shared" si="3"/>
        <v>34966.050000000003</v>
      </c>
      <c r="D241" s="281" cm="1">
        <f t="array" aca="1" ref="D241" ca="1">IF(Insumo[[#This Row],[VALOR]]=0,Insumo[TOTAL],E241/C241)</f>
        <v>0</v>
      </c>
      <c r="E241" s="69">
        <f ca="1">SUM(Insumo[[#This Row],[CAP1-3]:[CAP29]])</f>
        <v>0</v>
      </c>
      <c r="F241" s="69">
        <f ca="1">SUMIF('CAP1-3'!$B:$H,Insumo[[#This Row],[DESCRIPCION]],'CAP1-3'!$H:$H)</f>
        <v>0</v>
      </c>
      <c r="G241" s="69">
        <f ca="1">SUMIF('CAP4-5'!$B:$H,Insumo[[#This Row],[DESCRIPCION]],'CAP4-5'!$H:$H)</f>
        <v>0</v>
      </c>
      <c r="H241" s="69">
        <f ca="1">SUMIF('CAP6-7'!$B:$H,Insumo[[#This Row],[DESCRIPCION]],'CAP6-7'!$H:$H)</f>
        <v>0</v>
      </c>
      <c r="I241" s="69">
        <f ca="1">SUMIF('CAP8'!$B:$H,Insumo[[#This Row],[DESCRIPCION]],'CAP8'!$H:$H)</f>
        <v>0</v>
      </c>
      <c r="J241" s="69">
        <f ca="1">SUMIF('CAP9-13'!$B:$H,Insumo[[#This Row],[DESCRIPCION]],'CAP9-13'!$H:$H)</f>
        <v>0</v>
      </c>
      <c r="K241" s="69">
        <f ca="1">SUMIF('CAP14-15'!$B:$H,Insumo[[#This Row],[DESCRIPCION]],'CAP14-15'!$H:$H)</f>
        <v>0</v>
      </c>
      <c r="L241" s="69">
        <f ca="1">SUMIF('CAP16-18'!$B:$H,Insumo[[#This Row],[DESCRIPCION]],'CAP16-18'!$H:$H)</f>
        <v>0</v>
      </c>
      <c r="M241" s="69">
        <f ca="1">SUMIF('CAP19-22'!$B:$H,Insumo[[#This Row],[DESCRIPCION]],'CAP19-22'!$H:$H)</f>
        <v>0</v>
      </c>
      <c r="N241" s="69">
        <f ca="1">SUMIF('CAP23-24'!$B:$H,Insumo[[#This Row],[DESCRIPCION]],'CAP23-24'!$H:$H)</f>
        <v>0</v>
      </c>
      <c r="O241" s="69">
        <f ca="1">SUMIF('CAP25'!$B:$H,Insumo[[#This Row],[DESCRIPCION]],'CAP25'!$H:$H)</f>
        <v>0</v>
      </c>
      <c r="P241" s="69">
        <f ca="1">SUMIF('CAP26-28'!$B:$H,Insumo[[#This Row],[DESCRIPCION]],'CAP26-28'!$H:$H)</f>
        <v>0</v>
      </c>
      <c r="Q241" s="69">
        <f ca="1">SUMIF('CAP29'!$B:$H,Insumo[[#This Row],[DESCRIPCION]],'CAP29'!$H:$H)</f>
        <v>0</v>
      </c>
      <c r="R241" s="136" t="s">
        <v>2663</v>
      </c>
      <c r="T241" s="136">
        <v>33301</v>
      </c>
    </row>
    <row r="242" spans="1:20">
      <c r="A242" s="301" t="s">
        <v>2853</v>
      </c>
      <c r="B242" s="303" t="s">
        <v>30</v>
      </c>
      <c r="C242" s="304">
        <f t="shared" si="3"/>
        <v>59442.600000000006</v>
      </c>
      <c r="D242" s="281" cm="1">
        <f t="array" aca="1" ref="D242" ca="1">IF(Insumo[[#This Row],[VALOR]]=0,Insumo[TOTAL],E242/C242)</f>
        <v>0</v>
      </c>
      <c r="E242" s="69">
        <f ca="1">SUM(Insumo[[#This Row],[CAP1-3]:[CAP29]])</f>
        <v>0</v>
      </c>
      <c r="F242" s="69">
        <f ca="1">SUMIF('CAP1-3'!$B:$H,Insumo[[#This Row],[DESCRIPCION]],'CAP1-3'!$H:$H)</f>
        <v>0</v>
      </c>
      <c r="G242" s="69">
        <f ca="1">SUMIF('CAP4-5'!$B:$H,Insumo[[#This Row],[DESCRIPCION]],'CAP4-5'!$H:$H)</f>
        <v>0</v>
      </c>
      <c r="H242" s="69">
        <f ca="1">SUMIF('CAP6-7'!$B:$H,Insumo[[#This Row],[DESCRIPCION]],'CAP6-7'!$H:$H)</f>
        <v>0</v>
      </c>
      <c r="I242" s="69">
        <f ca="1">SUMIF('CAP8'!$B:$H,Insumo[[#This Row],[DESCRIPCION]],'CAP8'!$H:$H)</f>
        <v>0</v>
      </c>
      <c r="J242" s="69">
        <f ca="1">SUMIF('CAP9-13'!$B:$H,Insumo[[#This Row],[DESCRIPCION]],'CAP9-13'!$H:$H)</f>
        <v>0</v>
      </c>
      <c r="K242" s="69">
        <f ca="1">SUMIF('CAP14-15'!$B:$H,Insumo[[#This Row],[DESCRIPCION]],'CAP14-15'!$H:$H)</f>
        <v>0</v>
      </c>
      <c r="L242" s="69">
        <f ca="1">SUMIF('CAP16-18'!$B:$H,Insumo[[#This Row],[DESCRIPCION]],'CAP16-18'!$H:$H)</f>
        <v>0</v>
      </c>
      <c r="M242" s="69">
        <f ca="1">SUMIF('CAP19-22'!$B:$H,Insumo[[#This Row],[DESCRIPCION]],'CAP19-22'!$H:$H)</f>
        <v>0</v>
      </c>
      <c r="N242" s="69">
        <f ca="1">SUMIF('CAP23-24'!$B:$H,Insumo[[#This Row],[DESCRIPCION]],'CAP23-24'!$H:$H)</f>
        <v>0</v>
      </c>
      <c r="O242" s="69">
        <f ca="1">SUMIF('CAP25'!$B:$H,Insumo[[#This Row],[DESCRIPCION]],'CAP25'!$H:$H)</f>
        <v>0</v>
      </c>
      <c r="P242" s="69">
        <f ca="1">SUMIF('CAP26-28'!$B:$H,Insumo[[#This Row],[DESCRIPCION]],'CAP26-28'!$H:$H)</f>
        <v>0</v>
      </c>
      <c r="Q242" s="69">
        <f ca="1">SUMIF('CAP29'!$B:$H,Insumo[[#This Row],[DESCRIPCION]],'CAP29'!$H:$H)</f>
        <v>0</v>
      </c>
      <c r="R242" s="136" t="s">
        <v>2663</v>
      </c>
      <c r="T242" s="136">
        <v>56612</v>
      </c>
    </row>
    <row r="243" spans="1:20">
      <c r="A243" s="301" t="s">
        <v>2854</v>
      </c>
      <c r="B243" s="303" t="s">
        <v>23</v>
      </c>
      <c r="C243" s="304">
        <f t="shared" si="3"/>
        <v>100496.55</v>
      </c>
      <c r="D243" s="281" cm="1">
        <f t="array" aca="1" ref="D243" ca="1">IF(Insumo[[#This Row],[VALOR]]=0,Insumo[TOTAL],E243/C243)</f>
        <v>0</v>
      </c>
      <c r="E243" s="69">
        <f ca="1">SUM(Insumo[[#This Row],[CAP1-3]:[CAP29]])</f>
        <v>0</v>
      </c>
      <c r="F243" s="69">
        <f ca="1">SUMIF('CAP1-3'!$B:$H,Insumo[[#This Row],[DESCRIPCION]],'CAP1-3'!$H:$H)</f>
        <v>0</v>
      </c>
      <c r="G243" s="69">
        <f ca="1">SUMIF('CAP4-5'!$B:$H,Insumo[[#This Row],[DESCRIPCION]],'CAP4-5'!$H:$H)</f>
        <v>0</v>
      </c>
      <c r="H243" s="69">
        <f ca="1">SUMIF('CAP6-7'!$B:$H,Insumo[[#This Row],[DESCRIPCION]],'CAP6-7'!$H:$H)</f>
        <v>0</v>
      </c>
      <c r="I243" s="69">
        <f ca="1">SUMIF('CAP8'!$B:$H,Insumo[[#This Row],[DESCRIPCION]],'CAP8'!$H:$H)</f>
        <v>0</v>
      </c>
      <c r="J243" s="69">
        <f ca="1">SUMIF('CAP9-13'!$B:$H,Insumo[[#This Row],[DESCRIPCION]],'CAP9-13'!$H:$H)</f>
        <v>0</v>
      </c>
      <c r="K243" s="69">
        <f ca="1">SUMIF('CAP14-15'!$B:$H,Insumo[[#This Row],[DESCRIPCION]],'CAP14-15'!$H:$H)</f>
        <v>0</v>
      </c>
      <c r="L243" s="69">
        <f ca="1">SUMIF('CAP16-18'!$B:$H,Insumo[[#This Row],[DESCRIPCION]],'CAP16-18'!$H:$H)</f>
        <v>0</v>
      </c>
      <c r="M243" s="69">
        <f ca="1">SUMIF('CAP19-22'!$B:$H,Insumo[[#This Row],[DESCRIPCION]],'CAP19-22'!$H:$H)</f>
        <v>0</v>
      </c>
      <c r="N243" s="69">
        <f ca="1">SUMIF('CAP23-24'!$B:$H,Insumo[[#This Row],[DESCRIPCION]],'CAP23-24'!$H:$H)</f>
        <v>0</v>
      </c>
      <c r="O243" s="69">
        <f ca="1">SUMIF('CAP25'!$B:$H,Insumo[[#This Row],[DESCRIPCION]],'CAP25'!$H:$H)</f>
        <v>0</v>
      </c>
      <c r="P243" s="69">
        <f ca="1">SUMIF('CAP26-28'!$B:$H,Insumo[[#This Row],[DESCRIPCION]],'CAP26-28'!$H:$H)</f>
        <v>0</v>
      </c>
      <c r="Q243" s="69">
        <f ca="1">SUMIF('CAP29'!$B:$H,Insumo[[#This Row],[DESCRIPCION]],'CAP29'!$H:$H)</f>
        <v>0</v>
      </c>
      <c r="T243" s="136">
        <v>95711</v>
      </c>
    </row>
    <row r="244" spans="1:20">
      <c r="A244" s="301" t="s">
        <v>2855</v>
      </c>
      <c r="B244" s="303" t="s">
        <v>23</v>
      </c>
      <c r="C244" s="304">
        <f t="shared" si="3"/>
        <v>6421.8</v>
      </c>
      <c r="D244" s="281" cm="1">
        <f t="array" aca="1" ref="D244" ca="1">IF(Insumo[[#This Row],[VALOR]]=0,Insumo[TOTAL],E244/C244)</f>
        <v>0</v>
      </c>
      <c r="E244" s="69">
        <f ca="1">SUM(Insumo[[#This Row],[CAP1-3]:[CAP29]])</f>
        <v>0</v>
      </c>
      <c r="F244" s="69">
        <f ca="1">SUMIF('CAP1-3'!$B:$H,Insumo[[#This Row],[DESCRIPCION]],'CAP1-3'!$H:$H)</f>
        <v>0</v>
      </c>
      <c r="G244" s="69">
        <f ca="1">SUMIF('CAP4-5'!$B:$H,Insumo[[#This Row],[DESCRIPCION]],'CAP4-5'!$H:$H)</f>
        <v>0</v>
      </c>
      <c r="H244" s="69">
        <f ca="1">SUMIF('CAP6-7'!$B:$H,Insumo[[#This Row],[DESCRIPCION]],'CAP6-7'!$H:$H)</f>
        <v>0</v>
      </c>
      <c r="I244" s="69">
        <f ca="1">SUMIF('CAP8'!$B:$H,Insumo[[#This Row],[DESCRIPCION]],'CAP8'!$H:$H)</f>
        <v>0</v>
      </c>
      <c r="J244" s="69">
        <f ca="1">SUMIF('CAP9-13'!$B:$H,Insumo[[#This Row],[DESCRIPCION]],'CAP9-13'!$H:$H)</f>
        <v>0</v>
      </c>
      <c r="K244" s="69">
        <f ca="1">SUMIF('CAP14-15'!$B:$H,Insumo[[#This Row],[DESCRIPCION]],'CAP14-15'!$H:$H)</f>
        <v>0</v>
      </c>
      <c r="L244" s="69">
        <f ca="1">SUMIF('CAP16-18'!$B:$H,Insumo[[#This Row],[DESCRIPCION]],'CAP16-18'!$H:$H)</f>
        <v>0</v>
      </c>
      <c r="M244" s="69">
        <f ca="1">SUMIF('CAP19-22'!$B:$H,Insumo[[#This Row],[DESCRIPCION]],'CAP19-22'!$H:$H)</f>
        <v>0</v>
      </c>
      <c r="N244" s="69">
        <f ca="1">SUMIF('CAP23-24'!$B:$H,Insumo[[#This Row],[DESCRIPCION]],'CAP23-24'!$H:$H)</f>
        <v>0</v>
      </c>
      <c r="O244" s="69">
        <f ca="1">SUMIF('CAP25'!$B:$H,Insumo[[#This Row],[DESCRIPCION]],'CAP25'!$H:$H)</f>
        <v>0</v>
      </c>
      <c r="P244" s="69">
        <f ca="1">SUMIF('CAP26-28'!$B:$H,Insumo[[#This Row],[DESCRIPCION]],'CAP26-28'!$H:$H)</f>
        <v>0</v>
      </c>
      <c r="Q244" s="69">
        <f ca="1">SUMIF('CAP29'!$B:$H,Insumo[[#This Row],[DESCRIPCION]],'CAP29'!$H:$H)</f>
        <v>0</v>
      </c>
      <c r="T244" s="136">
        <v>6116</v>
      </c>
    </row>
    <row r="245" spans="1:20">
      <c r="A245" s="301" t="s">
        <v>2856</v>
      </c>
      <c r="B245" s="303" t="s">
        <v>23</v>
      </c>
      <c r="C245" s="304">
        <f t="shared" si="3"/>
        <v>60241.65</v>
      </c>
      <c r="D245" s="281" cm="1">
        <f t="array" aca="1" ref="D245" ca="1">IF(Insumo[[#This Row],[VALOR]]=0,Insumo[TOTAL],E245/C245)</f>
        <v>0</v>
      </c>
      <c r="E245" s="69">
        <f ca="1">SUM(Insumo[[#This Row],[CAP1-3]:[CAP29]])</f>
        <v>0</v>
      </c>
      <c r="F245" s="69">
        <f ca="1">SUMIF('CAP1-3'!$B:$H,Insumo[[#This Row],[DESCRIPCION]],'CAP1-3'!$H:$H)</f>
        <v>0</v>
      </c>
      <c r="G245" s="69">
        <f ca="1">SUMIF('CAP4-5'!$B:$H,Insumo[[#This Row],[DESCRIPCION]],'CAP4-5'!$H:$H)</f>
        <v>0</v>
      </c>
      <c r="H245" s="69">
        <f ca="1">SUMIF('CAP6-7'!$B:$H,Insumo[[#This Row],[DESCRIPCION]],'CAP6-7'!$H:$H)</f>
        <v>0</v>
      </c>
      <c r="I245" s="69">
        <f ca="1">SUMIF('CAP8'!$B:$H,Insumo[[#This Row],[DESCRIPCION]],'CAP8'!$H:$H)</f>
        <v>0</v>
      </c>
      <c r="J245" s="69">
        <f ca="1">SUMIF('CAP9-13'!$B:$H,Insumo[[#This Row],[DESCRIPCION]],'CAP9-13'!$H:$H)</f>
        <v>0</v>
      </c>
      <c r="K245" s="69">
        <f ca="1">SUMIF('CAP14-15'!$B:$H,Insumo[[#This Row],[DESCRIPCION]],'CAP14-15'!$H:$H)</f>
        <v>0</v>
      </c>
      <c r="L245" s="69">
        <f ca="1">SUMIF('CAP16-18'!$B:$H,Insumo[[#This Row],[DESCRIPCION]],'CAP16-18'!$H:$H)</f>
        <v>0</v>
      </c>
      <c r="M245" s="69">
        <f ca="1">SUMIF('CAP19-22'!$B:$H,Insumo[[#This Row],[DESCRIPCION]],'CAP19-22'!$H:$H)</f>
        <v>0</v>
      </c>
      <c r="N245" s="69">
        <f ca="1">SUMIF('CAP23-24'!$B:$H,Insumo[[#This Row],[DESCRIPCION]],'CAP23-24'!$H:$H)</f>
        <v>0</v>
      </c>
      <c r="O245" s="69">
        <f ca="1">SUMIF('CAP25'!$B:$H,Insumo[[#This Row],[DESCRIPCION]],'CAP25'!$H:$H)</f>
        <v>0</v>
      </c>
      <c r="P245" s="69">
        <f ca="1">SUMIF('CAP26-28'!$B:$H,Insumo[[#This Row],[DESCRIPCION]],'CAP26-28'!$H:$H)</f>
        <v>0</v>
      </c>
      <c r="Q245" s="69">
        <f ca="1">SUMIF('CAP29'!$B:$H,Insumo[[#This Row],[DESCRIPCION]],'CAP29'!$H:$H)</f>
        <v>0</v>
      </c>
      <c r="R245" s="136" t="s">
        <v>2622</v>
      </c>
      <c r="T245" s="136">
        <v>57373</v>
      </c>
    </row>
    <row r="246" spans="1:20">
      <c r="A246" s="301" t="s">
        <v>2857</v>
      </c>
      <c r="B246" s="303" t="s">
        <v>23</v>
      </c>
      <c r="C246" s="304">
        <f t="shared" si="3"/>
        <v>74891.25</v>
      </c>
      <c r="D246" s="281" cm="1">
        <f t="array" aca="1" ref="D246" ca="1">IF(Insumo[[#This Row],[VALOR]]=0,Insumo[TOTAL],E246/C246)</f>
        <v>0</v>
      </c>
      <c r="E246" s="69">
        <f ca="1">SUM(Insumo[[#This Row],[CAP1-3]:[CAP29]])</f>
        <v>0</v>
      </c>
      <c r="F246" s="69">
        <f ca="1">SUMIF('CAP1-3'!$B:$H,Insumo[[#This Row],[DESCRIPCION]],'CAP1-3'!$H:$H)</f>
        <v>0</v>
      </c>
      <c r="G246" s="69">
        <f ca="1">SUMIF('CAP4-5'!$B:$H,Insumo[[#This Row],[DESCRIPCION]],'CAP4-5'!$H:$H)</f>
        <v>0</v>
      </c>
      <c r="H246" s="69">
        <f ca="1">SUMIF('CAP6-7'!$B:$H,Insumo[[#This Row],[DESCRIPCION]],'CAP6-7'!$H:$H)</f>
        <v>0</v>
      </c>
      <c r="I246" s="69">
        <f ca="1">SUMIF('CAP8'!$B:$H,Insumo[[#This Row],[DESCRIPCION]],'CAP8'!$H:$H)</f>
        <v>0</v>
      </c>
      <c r="J246" s="69">
        <f ca="1">SUMIF('CAP9-13'!$B:$H,Insumo[[#This Row],[DESCRIPCION]],'CAP9-13'!$H:$H)</f>
        <v>0</v>
      </c>
      <c r="K246" s="69">
        <f ca="1">SUMIF('CAP14-15'!$B:$H,Insumo[[#This Row],[DESCRIPCION]],'CAP14-15'!$H:$H)</f>
        <v>0</v>
      </c>
      <c r="L246" s="69">
        <f ca="1">SUMIF('CAP16-18'!$B:$H,Insumo[[#This Row],[DESCRIPCION]],'CAP16-18'!$H:$H)</f>
        <v>0</v>
      </c>
      <c r="M246" s="69">
        <f ca="1">SUMIF('CAP19-22'!$B:$H,Insumo[[#This Row],[DESCRIPCION]],'CAP19-22'!$H:$H)</f>
        <v>0</v>
      </c>
      <c r="N246" s="69">
        <f ca="1">SUMIF('CAP23-24'!$B:$H,Insumo[[#This Row],[DESCRIPCION]],'CAP23-24'!$H:$H)</f>
        <v>0</v>
      </c>
      <c r="O246" s="69">
        <f ca="1">SUMIF('CAP25'!$B:$H,Insumo[[#This Row],[DESCRIPCION]],'CAP25'!$H:$H)</f>
        <v>0</v>
      </c>
      <c r="P246" s="69">
        <f ca="1">SUMIF('CAP26-28'!$B:$H,Insumo[[#This Row],[DESCRIPCION]],'CAP26-28'!$H:$H)</f>
        <v>0</v>
      </c>
      <c r="Q246" s="69">
        <f ca="1">SUMIF('CAP29'!$B:$H,Insumo[[#This Row],[DESCRIPCION]],'CAP29'!$H:$H)</f>
        <v>0</v>
      </c>
      <c r="R246" s="136" t="s">
        <v>2622</v>
      </c>
      <c r="T246" s="136">
        <v>71325</v>
      </c>
    </row>
    <row r="247" spans="1:20">
      <c r="A247" s="301" t="s">
        <v>2858</v>
      </c>
      <c r="B247" s="303" t="s">
        <v>23</v>
      </c>
      <c r="C247" s="304">
        <f t="shared" si="3"/>
        <v>161286.30000000002</v>
      </c>
      <c r="D247" s="281" cm="1">
        <f t="array" aca="1" ref="D247" ca="1">IF(Insumo[[#This Row],[VALOR]]=0,Insumo[TOTAL],E247/C247)</f>
        <v>0</v>
      </c>
      <c r="E247" s="69">
        <f ca="1">SUM(Insumo[[#This Row],[CAP1-3]:[CAP29]])</f>
        <v>0</v>
      </c>
      <c r="F247" s="69">
        <f ca="1">SUMIF('CAP1-3'!$B:$H,Insumo[[#This Row],[DESCRIPCION]],'CAP1-3'!$H:$H)</f>
        <v>0</v>
      </c>
      <c r="G247" s="69">
        <f ca="1">SUMIF('CAP4-5'!$B:$H,Insumo[[#This Row],[DESCRIPCION]],'CAP4-5'!$H:$H)</f>
        <v>0</v>
      </c>
      <c r="H247" s="69">
        <f ca="1">SUMIF('CAP6-7'!$B:$H,Insumo[[#This Row],[DESCRIPCION]],'CAP6-7'!$H:$H)</f>
        <v>0</v>
      </c>
      <c r="I247" s="69">
        <f ca="1">SUMIF('CAP8'!$B:$H,Insumo[[#This Row],[DESCRIPCION]],'CAP8'!$H:$H)</f>
        <v>0</v>
      </c>
      <c r="J247" s="69">
        <f ca="1">SUMIF('CAP9-13'!$B:$H,Insumo[[#This Row],[DESCRIPCION]],'CAP9-13'!$H:$H)</f>
        <v>0</v>
      </c>
      <c r="K247" s="69">
        <f ca="1">SUMIF('CAP14-15'!$B:$H,Insumo[[#This Row],[DESCRIPCION]],'CAP14-15'!$H:$H)</f>
        <v>0</v>
      </c>
      <c r="L247" s="69">
        <f ca="1">SUMIF('CAP16-18'!$B:$H,Insumo[[#This Row],[DESCRIPCION]],'CAP16-18'!$H:$H)</f>
        <v>0</v>
      </c>
      <c r="M247" s="69">
        <f ca="1">SUMIF('CAP19-22'!$B:$H,Insumo[[#This Row],[DESCRIPCION]],'CAP19-22'!$H:$H)</f>
        <v>0</v>
      </c>
      <c r="N247" s="69">
        <f ca="1">SUMIF('CAP23-24'!$B:$H,Insumo[[#This Row],[DESCRIPCION]],'CAP23-24'!$H:$H)</f>
        <v>0</v>
      </c>
      <c r="O247" s="69">
        <f ca="1">SUMIF('CAP25'!$B:$H,Insumo[[#This Row],[DESCRIPCION]],'CAP25'!$H:$H)</f>
        <v>0</v>
      </c>
      <c r="P247" s="69">
        <f ca="1">SUMIF('CAP26-28'!$B:$H,Insumo[[#This Row],[DESCRIPCION]],'CAP26-28'!$H:$H)</f>
        <v>0</v>
      </c>
      <c r="Q247" s="69">
        <f ca="1">SUMIF('CAP29'!$B:$H,Insumo[[#This Row],[DESCRIPCION]],'CAP29'!$H:$H)</f>
        <v>0</v>
      </c>
      <c r="R247" s="136" t="s">
        <v>2622</v>
      </c>
      <c r="T247" s="136">
        <v>153606</v>
      </c>
    </row>
    <row r="248" spans="1:20">
      <c r="A248" s="301" t="s">
        <v>2859</v>
      </c>
      <c r="B248" s="303" t="s">
        <v>23</v>
      </c>
      <c r="C248" s="304">
        <f t="shared" si="3"/>
        <v>307422.15000000002</v>
      </c>
      <c r="D248" s="281" cm="1">
        <f t="array" aca="1" ref="D248" ca="1">IF(Insumo[[#This Row],[VALOR]]=0,Insumo[TOTAL],E248/C248)</f>
        <v>0</v>
      </c>
      <c r="E248" s="69">
        <f ca="1">SUM(Insumo[[#This Row],[CAP1-3]:[CAP29]])</f>
        <v>0</v>
      </c>
      <c r="F248" s="69">
        <f ca="1">SUMIF('CAP1-3'!$B:$H,Insumo[[#This Row],[DESCRIPCION]],'CAP1-3'!$H:$H)</f>
        <v>0</v>
      </c>
      <c r="G248" s="69">
        <f ca="1">SUMIF('CAP4-5'!$B:$H,Insumo[[#This Row],[DESCRIPCION]],'CAP4-5'!$H:$H)</f>
        <v>0</v>
      </c>
      <c r="H248" s="69">
        <f ca="1">SUMIF('CAP6-7'!$B:$H,Insumo[[#This Row],[DESCRIPCION]],'CAP6-7'!$H:$H)</f>
        <v>0</v>
      </c>
      <c r="I248" s="69">
        <f ca="1">SUMIF('CAP8'!$B:$H,Insumo[[#This Row],[DESCRIPCION]],'CAP8'!$H:$H)</f>
        <v>0</v>
      </c>
      <c r="J248" s="69">
        <f ca="1">SUMIF('CAP9-13'!$B:$H,Insumo[[#This Row],[DESCRIPCION]],'CAP9-13'!$H:$H)</f>
        <v>0</v>
      </c>
      <c r="K248" s="69">
        <f ca="1">SUMIF('CAP14-15'!$B:$H,Insumo[[#This Row],[DESCRIPCION]],'CAP14-15'!$H:$H)</f>
        <v>0</v>
      </c>
      <c r="L248" s="69">
        <f ca="1">SUMIF('CAP16-18'!$B:$H,Insumo[[#This Row],[DESCRIPCION]],'CAP16-18'!$H:$H)</f>
        <v>0</v>
      </c>
      <c r="M248" s="69">
        <f ca="1">SUMIF('CAP19-22'!$B:$H,Insumo[[#This Row],[DESCRIPCION]],'CAP19-22'!$H:$H)</f>
        <v>0</v>
      </c>
      <c r="N248" s="69">
        <f ca="1">SUMIF('CAP23-24'!$B:$H,Insumo[[#This Row],[DESCRIPCION]],'CAP23-24'!$H:$H)</f>
        <v>0</v>
      </c>
      <c r="O248" s="69">
        <f ca="1">SUMIF('CAP25'!$B:$H,Insumo[[#This Row],[DESCRIPCION]],'CAP25'!$H:$H)</f>
        <v>0</v>
      </c>
      <c r="P248" s="69">
        <f ca="1">SUMIF('CAP26-28'!$B:$H,Insumo[[#This Row],[DESCRIPCION]],'CAP26-28'!$H:$H)</f>
        <v>0</v>
      </c>
      <c r="Q248" s="69">
        <f ca="1">SUMIF('CAP29'!$B:$H,Insumo[[#This Row],[DESCRIPCION]],'CAP29'!$H:$H)</f>
        <v>0</v>
      </c>
      <c r="R248" s="136" t="s">
        <v>2622</v>
      </c>
      <c r="T248" s="136">
        <v>292783</v>
      </c>
    </row>
    <row r="249" spans="1:20">
      <c r="A249" s="301" t="s">
        <v>2860</v>
      </c>
      <c r="B249" s="303" t="s">
        <v>23</v>
      </c>
      <c r="C249" s="304">
        <f t="shared" si="3"/>
        <v>37509.15</v>
      </c>
      <c r="D249" s="281" cm="1">
        <f t="array" aca="1" ref="D249" ca="1">IF(Insumo[[#This Row],[VALOR]]=0,Insumo[TOTAL],E249/C249)</f>
        <v>0</v>
      </c>
      <c r="E249" s="69">
        <f ca="1">SUM(Insumo[[#This Row],[CAP1-3]:[CAP29]])</f>
        <v>0</v>
      </c>
      <c r="F249" s="69">
        <f ca="1">SUMIF('CAP1-3'!$B:$H,Insumo[[#This Row],[DESCRIPCION]],'CAP1-3'!$H:$H)</f>
        <v>0</v>
      </c>
      <c r="G249" s="69">
        <f ca="1">SUMIF('CAP4-5'!$B:$H,Insumo[[#This Row],[DESCRIPCION]],'CAP4-5'!$H:$H)</f>
        <v>0</v>
      </c>
      <c r="H249" s="69">
        <f ca="1">SUMIF('CAP6-7'!$B:$H,Insumo[[#This Row],[DESCRIPCION]],'CAP6-7'!$H:$H)</f>
        <v>0</v>
      </c>
      <c r="I249" s="69">
        <f ca="1">SUMIF('CAP8'!$B:$H,Insumo[[#This Row],[DESCRIPCION]],'CAP8'!$H:$H)</f>
        <v>0</v>
      </c>
      <c r="J249" s="69">
        <f ca="1">SUMIF('CAP9-13'!$B:$H,Insumo[[#This Row],[DESCRIPCION]],'CAP9-13'!$H:$H)</f>
        <v>0</v>
      </c>
      <c r="K249" s="69">
        <f ca="1">SUMIF('CAP14-15'!$B:$H,Insumo[[#This Row],[DESCRIPCION]],'CAP14-15'!$H:$H)</f>
        <v>0</v>
      </c>
      <c r="L249" s="69">
        <f ca="1">SUMIF('CAP16-18'!$B:$H,Insumo[[#This Row],[DESCRIPCION]],'CAP16-18'!$H:$H)</f>
        <v>0</v>
      </c>
      <c r="M249" s="69">
        <f ca="1">SUMIF('CAP19-22'!$B:$H,Insumo[[#This Row],[DESCRIPCION]],'CAP19-22'!$H:$H)</f>
        <v>0</v>
      </c>
      <c r="N249" s="69">
        <f ca="1">SUMIF('CAP23-24'!$B:$H,Insumo[[#This Row],[DESCRIPCION]],'CAP23-24'!$H:$H)</f>
        <v>0</v>
      </c>
      <c r="O249" s="69">
        <f ca="1">SUMIF('CAP25'!$B:$H,Insumo[[#This Row],[DESCRIPCION]],'CAP25'!$H:$H)</f>
        <v>0</v>
      </c>
      <c r="P249" s="69">
        <f ca="1">SUMIF('CAP26-28'!$B:$H,Insumo[[#This Row],[DESCRIPCION]],'CAP26-28'!$H:$H)</f>
        <v>0</v>
      </c>
      <c r="Q249" s="69">
        <f ca="1">SUMIF('CAP29'!$B:$H,Insumo[[#This Row],[DESCRIPCION]],'CAP29'!$H:$H)</f>
        <v>0</v>
      </c>
      <c r="T249" s="136">
        <v>35723</v>
      </c>
    </row>
    <row r="250" spans="1:20">
      <c r="A250" s="301" t="s">
        <v>2861</v>
      </c>
      <c r="B250" s="303" t="s">
        <v>23</v>
      </c>
      <c r="C250" s="304">
        <f t="shared" si="3"/>
        <v>26142.9</v>
      </c>
      <c r="D250" s="281" cm="1">
        <f t="array" aca="1" ref="D250" ca="1">IF(Insumo[[#This Row],[VALOR]]=0,Insumo[TOTAL],E250/C250)</f>
        <v>0</v>
      </c>
      <c r="E250" s="69">
        <f ca="1">SUM(Insumo[[#This Row],[CAP1-3]:[CAP29]])</f>
        <v>0</v>
      </c>
      <c r="F250" s="69">
        <f ca="1">SUMIF('CAP1-3'!$B:$H,Insumo[[#This Row],[DESCRIPCION]],'CAP1-3'!$H:$H)</f>
        <v>0</v>
      </c>
      <c r="G250" s="69">
        <f ca="1">SUMIF('CAP4-5'!$B:$H,Insumo[[#This Row],[DESCRIPCION]],'CAP4-5'!$H:$H)</f>
        <v>0</v>
      </c>
      <c r="H250" s="69">
        <f ca="1">SUMIF('CAP6-7'!$B:$H,Insumo[[#This Row],[DESCRIPCION]],'CAP6-7'!$H:$H)</f>
        <v>0</v>
      </c>
      <c r="I250" s="69">
        <f ca="1">SUMIF('CAP8'!$B:$H,Insumo[[#This Row],[DESCRIPCION]],'CAP8'!$H:$H)</f>
        <v>0</v>
      </c>
      <c r="J250" s="69">
        <f ca="1">SUMIF('CAP9-13'!$B:$H,Insumo[[#This Row],[DESCRIPCION]],'CAP9-13'!$H:$H)</f>
        <v>0</v>
      </c>
      <c r="K250" s="69">
        <f ca="1">SUMIF('CAP14-15'!$B:$H,Insumo[[#This Row],[DESCRIPCION]],'CAP14-15'!$H:$H)</f>
        <v>0</v>
      </c>
      <c r="L250" s="69">
        <f ca="1">SUMIF('CAP16-18'!$B:$H,Insumo[[#This Row],[DESCRIPCION]],'CAP16-18'!$H:$H)</f>
        <v>0</v>
      </c>
      <c r="M250" s="69">
        <f ca="1">SUMIF('CAP19-22'!$B:$H,Insumo[[#This Row],[DESCRIPCION]],'CAP19-22'!$H:$H)</f>
        <v>0</v>
      </c>
      <c r="N250" s="69">
        <f ca="1">SUMIF('CAP23-24'!$B:$H,Insumo[[#This Row],[DESCRIPCION]],'CAP23-24'!$H:$H)</f>
        <v>0</v>
      </c>
      <c r="O250" s="69">
        <f ca="1">SUMIF('CAP25'!$B:$H,Insumo[[#This Row],[DESCRIPCION]],'CAP25'!$H:$H)</f>
        <v>0</v>
      </c>
      <c r="P250" s="69">
        <f ca="1">SUMIF('CAP26-28'!$B:$H,Insumo[[#This Row],[DESCRIPCION]],'CAP26-28'!$H:$H)</f>
        <v>0</v>
      </c>
      <c r="Q250" s="69">
        <f ca="1">SUMIF('CAP29'!$B:$H,Insumo[[#This Row],[DESCRIPCION]],'CAP29'!$H:$H)</f>
        <v>0</v>
      </c>
      <c r="T250" s="136">
        <v>24898</v>
      </c>
    </row>
    <row r="251" spans="1:20">
      <c r="A251" s="301" t="s">
        <v>2862</v>
      </c>
      <c r="B251" s="303" t="s">
        <v>23</v>
      </c>
      <c r="C251" s="304">
        <f t="shared" si="3"/>
        <v>67061.400000000009</v>
      </c>
      <c r="D251" s="281" cm="1">
        <f t="array" aca="1" ref="D251" ca="1">IF(Insumo[[#This Row],[VALOR]]=0,Insumo[TOTAL],E251/C251)</f>
        <v>0</v>
      </c>
      <c r="E251" s="69">
        <f ca="1">SUM(Insumo[[#This Row],[CAP1-3]:[CAP29]])</f>
        <v>0</v>
      </c>
      <c r="F251" s="69">
        <f ca="1">SUMIF('CAP1-3'!$B:$H,Insumo[[#This Row],[DESCRIPCION]],'CAP1-3'!$H:$H)</f>
        <v>0</v>
      </c>
      <c r="G251" s="69">
        <f ca="1">SUMIF('CAP4-5'!$B:$H,Insumo[[#This Row],[DESCRIPCION]],'CAP4-5'!$H:$H)</f>
        <v>0</v>
      </c>
      <c r="H251" s="69">
        <f ca="1">SUMIF('CAP6-7'!$B:$H,Insumo[[#This Row],[DESCRIPCION]],'CAP6-7'!$H:$H)</f>
        <v>0</v>
      </c>
      <c r="I251" s="69">
        <f ca="1">SUMIF('CAP8'!$B:$H,Insumo[[#This Row],[DESCRIPCION]],'CAP8'!$H:$H)</f>
        <v>0</v>
      </c>
      <c r="J251" s="69">
        <f ca="1">SUMIF('CAP9-13'!$B:$H,Insumo[[#This Row],[DESCRIPCION]],'CAP9-13'!$H:$H)</f>
        <v>0</v>
      </c>
      <c r="K251" s="69">
        <f ca="1">SUMIF('CAP14-15'!$B:$H,Insumo[[#This Row],[DESCRIPCION]],'CAP14-15'!$H:$H)</f>
        <v>0</v>
      </c>
      <c r="L251" s="69">
        <f ca="1">SUMIF('CAP16-18'!$B:$H,Insumo[[#This Row],[DESCRIPCION]],'CAP16-18'!$H:$H)</f>
        <v>0</v>
      </c>
      <c r="M251" s="69">
        <f ca="1">SUMIF('CAP19-22'!$B:$H,Insumo[[#This Row],[DESCRIPCION]],'CAP19-22'!$H:$H)</f>
        <v>0</v>
      </c>
      <c r="N251" s="69">
        <f ca="1">SUMIF('CAP23-24'!$B:$H,Insumo[[#This Row],[DESCRIPCION]],'CAP23-24'!$H:$H)</f>
        <v>0</v>
      </c>
      <c r="O251" s="69">
        <f ca="1">SUMIF('CAP25'!$B:$H,Insumo[[#This Row],[DESCRIPCION]],'CAP25'!$H:$H)</f>
        <v>0</v>
      </c>
      <c r="P251" s="69">
        <f ca="1">SUMIF('CAP26-28'!$B:$H,Insumo[[#This Row],[DESCRIPCION]],'CAP26-28'!$H:$H)</f>
        <v>0</v>
      </c>
      <c r="Q251" s="69">
        <f ca="1">SUMIF('CAP29'!$B:$H,Insumo[[#This Row],[DESCRIPCION]],'CAP29'!$H:$H)</f>
        <v>0</v>
      </c>
      <c r="T251" s="136">
        <v>63868</v>
      </c>
    </row>
    <row r="252" spans="1:20">
      <c r="A252" s="301" t="s">
        <v>2863</v>
      </c>
      <c r="B252" s="303" t="s">
        <v>2826</v>
      </c>
      <c r="C252" s="304">
        <f t="shared" si="3"/>
        <v>56831.25</v>
      </c>
      <c r="D252" s="281" cm="1">
        <f t="array" aca="1" ref="D252" ca="1">IF(Insumo[[#This Row],[VALOR]]=0,Insumo[TOTAL],E252/C252)</f>
        <v>0</v>
      </c>
      <c r="E252" s="69">
        <f ca="1">SUM(Insumo[[#This Row],[CAP1-3]:[CAP29]])</f>
        <v>0</v>
      </c>
      <c r="F252" s="69">
        <f ca="1">SUMIF('CAP1-3'!$B:$H,Insumo[[#This Row],[DESCRIPCION]],'CAP1-3'!$H:$H)</f>
        <v>0</v>
      </c>
      <c r="G252" s="69">
        <f ca="1">SUMIF('CAP4-5'!$B:$H,Insumo[[#This Row],[DESCRIPCION]],'CAP4-5'!$H:$H)</f>
        <v>0</v>
      </c>
      <c r="H252" s="69">
        <f ca="1">SUMIF('CAP6-7'!$B:$H,Insumo[[#This Row],[DESCRIPCION]],'CAP6-7'!$H:$H)</f>
        <v>0</v>
      </c>
      <c r="I252" s="69">
        <f ca="1">SUMIF('CAP8'!$B:$H,Insumo[[#This Row],[DESCRIPCION]],'CAP8'!$H:$H)</f>
        <v>0</v>
      </c>
      <c r="J252" s="69">
        <f ca="1">SUMIF('CAP9-13'!$B:$H,Insumo[[#This Row],[DESCRIPCION]],'CAP9-13'!$H:$H)</f>
        <v>0</v>
      </c>
      <c r="K252" s="69">
        <f ca="1">SUMIF('CAP14-15'!$B:$H,Insumo[[#This Row],[DESCRIPCION]],'CAP14-15'!$H:$H)</f>
        <v>0</v>
      </c>
      <c r="L252" s="69">
        <f ca="1">SUMIF('CAP16-18'!$B:$H,Insumo[[#This Row],[DESCRIPCION]],'CAP16-18'!$H:$H)</f>
        <v>0</v>
      </c>
      <c r="M252" s="69">
        <f ca="1">SUMIF('CAP19-22'!$B:$H,Insumo[[#This Row],[DESCRIPCION]],'CAP19-22'!$H:$H)</f>
        <v>0</v>
      </c>
      <c r="N252" s="69">
        <f ca="1">SUMIF('CAP23-24'!$B:$H,Insumo[[#This Row],[DESCRIPCION]],'CAP23-24'!$H:$H)</f>
        <v>0</v>
      </c>
      <c r="O252" s="69">
        <f ca="1">SUMIF('CAP25'!$B:$H,Insumo[[#This Row],[DESCRIPCION]],'CAP25'!$H:$H)</f>
        <v>0</v>
      </c>
      <c r="P252" s="69">
        <f ca="1">SUMIF('CAP26-28'!$B:$H,Insumo[[#This Row],[DESCRIPCION]],'CAP26-28'!$H:$H)</f>
        <v>0</v>
      </c>
      <c r="Q252" s="69">
        <f ca="1">SUMIF('CAP29'!$B:$H,Insumo[[#This Row],[DESCRIPCION]],'CAP29'!$H:$H)</f>
        <v>0</v>
      </c>
      <c r="R252" s="136" t="s">
        <v>2663</v>
      </c>
      <c r="T252" s="136">
        <v>54125</v>
      </c>
    </row>
    <row r="253" spans="1:20">
      <c r="A253" s="301" t="s">
        <v>2864</v>
      </c>
      <c r="B253" s="303" t="s">
        <v>30</v>
      </c>
      <c r="C253" s="304">
        <f t="shared" si="3"/>
        <v>16907.100000000002</v>
      </c>
      <c r="D253" s="281" cm="1">
        <f t="array" aca="1" ref="D253" ca="1">IF(Insumo[[#This Row],[VALOR]]=0,Insumo[TOTAL],E253/C253)</f>
        <v>0</v>
      </c>
      <c r="E253" s="69">
        <f ca="1">SUM(Insumo[[#This Row],[CAP1-3]:[CAP29]])</f>
        <v>0</v>
      </c>
      <c r="F253" s="69">
        <f ca="1">SUMIF('CAP1-3'!$B:$H,Insumo[[#This Row],[DESCRIPCION]],'CAP1-3'!$H:$H)</f>
        <v>0</v>
      </c>
      <c r="G253" s="69">
        <f ca="1">SUMIF('CAP4-5'!$B:$H,Insumo[[#This Row],[DESCRIPCION]],'CAP4-5'!$H:$H)</f>
        <v>0</v>
      </c>
      <c r="H253" s="69">
        <f ca="1">SUMIF('CAP6-7'!$B:$H,Insumo[[#This Row],[DESCRIPCION]],'CAP6-7'!$H:$H)</f>
        <v>0</v>
      </c>
      <c r="I253" s="69">
        <f ca="1">SUMIF('CAP8'!$B:$H,Insumo[[#This Row],[DESCRIPCION]],'CAP8'!$H:$H)</f>
        <v>0</v>
      </c>
      <c r="J253" s="69">
        <f ca="1">SUMIF('CAP9-13'!$B:$H,Insumo[[#This Row],[DESCRIPCION]],'CAP9-13'!$H:$H)</f>
        <v>0</v>
      </c>
      <c r="K253" s="69">
        <f ca="1">SUMIF('CAP14-15'!$B:$H,Insumo[[#This Row],[DESCRIPCION]],'CAP14-15'!$H:$H)</f>
        <v>0</v>
      </c>
      <c r="L253" s="69">
        <f ca="1">SUMIF('CAP16-18'!$B:$H,Insumo[[#This Row],[DESCRIPCION]],'CAP16-18'!$H:$H)</f>
        <v>0</v>
      </c>
      <c r="M253" s="69">
        <f ca="1">SUMIF('CAP19-22'!$B:$H,Insumo[[#This Row],[DESCRIPCION]],'CAP19-22'!$H:$H)</f>
        <v>0</v>
      </c>
      <c r="N253" s="69">
        <f ca="1">SUMIF('CAP23-24'!$B:$H,Insumo[[#This Row],[DESCRIPCION]],'CAP23-24'!$H:$H)</f>
        <v>0</v>
      </c>
      <c r="O253" s="69">
        <f ca="1">SUMIF('CAP25'!$B:$H,Insumo[[#This Row],[DESCRIPCION]],'CAP25'!$H:$H)</f>
        <v>0</v>
      </c>
      <c r="P253" s="69">
        <f ca="1">SUMIF('CAP26-28'!$B:$H,Insumo[[#This Row],[DESCRIPCION]],'CAP26-28'!$H:$H)</f>
        <v>0</v>
      </c>
      <c r="Q253" s="69">
        <f ca="1">SUMIF('CAP29'!$B:$H,Insumo[[#This Row],[DESCRIPCION]],'CAP29'!$H:$H)</f>
        <v>0</v>
      </c>
      <c r="T253" s="136">
        <v>16102</v>
      </c>
    </row>
    <row r="254" spans="1:20">
      <c r="A254" s="301" t="s">
        <v>2865</v>
      </c>
      <c r="B254" s="303" t="s">
        <v>52</v>
      </c>
      <c r="C254" s="304">
        <f t="shared" si="3"/>
        <v>887054.70000000007</v>
      </c>
      <c r="D254" s="281" cm="1">
        <f t="array" aca="1" ref="D254" ca="1">IF(Insumo[[#This Row],[VALOR]]=0,Insumo[TOTAL],E254/C254)</f>
        <v>0</v>
      </c>
      <c r="E254" s="69">
        <f ca="1">SUM(Insumo[[#This Row],[CAP1-3]:[CAP29]])</f>
        <v>0</v>
      </c>
      <c r="F254" s="69">
        <f ca="1">SUMIF('CAP1-3'!$B:$H,Insumo[[#This Row],[DESCRIPCION]],'CAP1-3'!$H:$H)</f>
        <v>0</v>
      </c>
      <c r="G254" s="69">
        <f ca="1">SUMIF('CAP4-5'!$B:$H,Insumo[[#This Row],[DESCRIPCION]],'CAP4-5'!$H:$H)</f>
        <v>0</v>
      </c>
      <c r="H254" s="69">
        <f ca="1">SUMIF('CAP6-7'!$B:$H,Insumo[[#This Row],[DESCRIPCION]],'CAP6-7'!$H:$H)</f>
        <v>0</v>
      </c>
      <c r="I254" s="69">
        <f ca="1">SUMIF('CAP8'!$B:$H,Insumo[[#This Row],[DESCRIPCION]],'CAP8'!$H:$H)</f>
        <v>0</v>
      </c>
      <c r="J254" s="69">
        <f ca="1">SUMIF('CAP9-13'!$B:$H,Insumo[[#This Row],[DESCRIPCION]],'CAP9-13'!$H:$H)</f>
        <v>0</v>
      </c>
      <c r="K254" s="69">
        <f ca="1">SUMIF('CAP14-15'!$B:$H,Insumo[[#This Row],[DESCRIPCION]],'CAP14-15'!$H:$H)</f>
        <v>0</v>
      </c>
      <c r="L254" s="69">
        <f ca="1">SUMIF('CAP16-18'!$B:$H,Insumo[[#This Row],[DESCRIPCION]],'CAP16-18'!$H:$H)</f>
        <v>0</v>
      </c>
      <c r="M254" s="69">
        <f ca="1">SUMIF('CAP19-22'!$B:$H,Insumo[[#This Row],[DESCRIPCION]],'CAP19-22'!$H:$H)</f>
        <v>0</v>
      </c>
      <c r="N254" s="69">
        <f ca="1">SUMIF('CAP23-24'!$B:$H,Insumo[[#This Row],[DESCRIPCION]],'CAP23-24'!$H:$H)</f>
        <v>0</v>
      </c>
      <c r="O254" s="69">
        <f ca="1">SUMIF('CAP25'!$B:$H,Insumo[[#This Row],[DESCRIPCION]],'CAP25'!$H:$H)</f>
        <v>0</v>
      </c>
      <c r="P254" s="69">
        <f ca="1">SUMIF('CAP26-28'!$B:$H,Insumo[[#This Row],[DESCRIPCION]],'CAP26-28'!$H:$H)</f>
        <v>0</v>
      </c>
      <c r="Q254" s="69">
        <f ca="1">SUMIF('CAP29'!$B:$H,Insumo[[#This Row],[DESCRIPCION]],'CAP29'!$H:$H)</f>
        <v>0</v>
      </c>
      <c r="T254" s="136">
        <v>844814</v>
      </c>
    </row>
    <row r="255" spans="1:20">
      <c r="A255" s="301" t="s">
        <v>2866</v>
      </c>
      <c r="B255" s="303" t="s">
        <v>52</v>
      </c>
      <c r="C255" s="304">
        <f t="shared" si="3"/>
        <v>556946.25</v>
      </c>
      <c r="D255" s="281" cm="1">
        <f t="array" aca="1" ref="D255" ca="1">IF(Insumo[[#This Row],[VALOR]]=0,Insumo[TOTAL],E255/C255)</f>
        <v>0</v>
      </c>
      <c r="E255" s="69">
        <f ca="1">SUM(Insumo[[#This Row],[CAP1-3]:[CAP29]])</f>
        <v>0</v>
      </c>
      <c r="F255" s="69">
        <f ca="1">SUMIF('CAP1-3'!$B:$H,Insumo[[#This Row],[DESCRIPCION]],'CAP1-3'!$H:$H)</f>
        <v>0</v>
      </c>
      <c r="G255" s="69">
        <f ca="1">SUMIF('CAP4-5'!$B:$H,Insumo[[#This Row],[DESCRIPCION]],'CAP4-5'!$H:$H)</f>
        <v>0</v>
      </c>
      <c r="H255" s="69">
        <f ca="1">SUMIF('CAP6-7'!$B:$H,Insumo[[#This Row],[DESCRIPCION]],'CAP6-7'!$H:$H)</f>
        <v>0</v>
      </c>
      <c r="I255" s="69">
        <f ca="1">SUMIF('CAP8'!$B:$H,Insumo[[#This Row],[DESCRIPCION]],'CAP8'!$H:$H)</f>
        <v>0</v>
      </c>
      <c r="J255" s="69">
        <f ca="1">SUMIF('CAP9-13'!$B:$H,Insumo[[#This Row],[DESCRIPCION]],'CAP9-13'!$H:$H)</f>
        <v>0</v>
      </c>
      <c r="K255" s="69">
        <f ca="1">SUMIF('CAP14-15'!$B:$H,Insumo[[#This Row],[DESCRIPCION]],'CAP14-15'!$H:$H)</f>
        <v>0</v>
      </c>
      <c r="L255" s="69">
        <f ca="1">SUMIF('CAP16-18'!$B:$H,Insumo[[#This Row],[DESCRIPCION]],'CAP16-18'!$H:$H)</f>
        <v>0</v>
      </c>
      <c r="M255" s="69">
        <f ca="1">SUMIF('CAP19-22'!$B:$H,Insumo[[#This Row],[DESCRIPCION]],'CAP19-22'!$H:$H)</f>
        <v>0</v>
      </c>
      <c r="N255" s="69">
        <f ca="1">SUMIF('CAP23-24'!$B:$H,Insumo[[#This Row],[DESCRIPCION]],'CAP23-24'!$H:$H)</f>
        <v>0</v>
      </c>
      <c r="O255" s="69">
        <f ca="1">SUMIF('CAP25'!$B:$H,Insumo[[#This Row],[DESCRIPCION]],'CAP25'!$H:$H)</f>
        <v>0</v>
      </c>
      <c r="P255" s="69">
        <f ca="1">SUMIF('CAP26-28'!$B:$H,Insumo[[#This Row],[DESCRIPCION]],'CAP26-28'!$H:$H)</f>
        <v>0</v>
      </c>
      <c r="Q255" s="69">
        <f ca="1">SUMIF('CAP29'!$B:$H,Insumo[[#This Row],[DESCRIPCION]],'CAP29'!$H:$H)</f>
        <v>0</v>
      </c>
      <c r="R255" s="136" t="s">
        <v>2867</v>
      </c>
      <c r="T255" s="136">
        <v>530425</v>
      </c>
    </row>
    <row r="256" spans="1:20">
      <c r="A256" s="301" t="s">
        <v>2868</v>
      </c>
      <c r="B256" s="303" t="s">
        <v>52</v>
      </c>
      <c r="C256" s="304">
        <f t="shared" si="3"/>
        <v>718719.75</v>
      </c>
      <c r="D256" s="281" cm="1">
        <f t="array" aca="1" ref="D256" ca="1">IF(Insumo[[#This Row],[VALOR]]=0,Insumo[TOTAL],E256/C256)</f>
        <v>0</v>
      </c>
      <c r="E256" s="69">
        <f ca="1">SUM(Insumo[[#This Row],[CAP1-3]:[CAP29]])</f>
        <v>0</v>
      </c>
      <c r="F256" s="69">
        <f ca="1">SUMIF('CAP1-3'!$B:$H,Insumo[[#This Row],[DESCRIPCION]],'CAP1-3'!$H:$H)</f>
        <v>0</v>
      </c>
      <c r="G256" s="69">
        <f ca="1">SUMIF('CAP4-5'!$B:$H,Insumo[[#This Row],[DESCRIPCION]],'CAP4-5'!$H:$H)</f>
        <v>0</v>
      </c>
      <c r="H256" s="69">
        <f ca="1">SUMIF('CAP6-7'!$B:$H,Insumo[[#This Row],[DESCRIPCION]],'CAP6-7'!$H:$H)</f>
        <v>0</v>
      </c>
      <c r="I256" s="69">
        <f ca="1">SUMIF('CAP8'!$B:$H,Insumo[[#This Row],[DESCRIPCION]],'CAP8'!$H:$H)</f>
        <v>0</v>
      </c>
      <c r="J256" s="69">
        <f ca="1">SUMIF('CAP9-13'!$B:$H,Insumo[[#This Row],[DESCRIPCION]],'CAP9-13'!$H:$H)</f>
        <v>0</v>
      </c>
      <c r="K256" s="69">
        <f ca="1">SUMIF('CAP14-15'!$B:$H,Insumo[[#This Row],[DESCRIPCION]],'CAP14-15'!$H:$H)</f>
        <v>0</v>
      </c>
      <c r="L256" s="69">
        <f ca="1">SUMIF('CAP16-18'!$B:$H,Insumo[[#This Row],[DESCRIPCION]],'CAP16-18'!$H:$H)</f>
        <v>0</v>
      </c>
      <c r="M256" s="69">
        <f ca="1">SUMIF('CAP19-22'!$B:$H,Insumo[[#This Row],[DESCRIPCION]],'CAP19-22'!$H:$H)</f>
        <v>0</v>
      </c>
      <c r="N256" s="69">
        <f ca="1">SUMIF('CAP23-24'!$B:$H,Insumo[[#This Row],[DESCRIPCION]],'CAP23-24'!$H:$H)</f>
        <v>0</v>
      </c>
      <c r="O256" s="69">
        <f ca="1">SUMIF('CAP25'!$B:$H,Insumo[[#This Row],[DESCRIPCION]],'CAP25'!$H:$H)</f>
        <v>0</v>
      </c>
      <c r="P256" s="69">
        <f ca="1">SUMIF('CAP26-28'!$B:$H,Insumo[[#This Row],[DESCRIPCION]],'CAP26-28'!$H:$H)</f>
        <v>0</v>
      </c>
      <c r="Q256" s="69">
        <f ca="1">SUMIF('CAP29'!$B:$H,Insumo[[#This Row],[DESCRIPCION]],'CAP29'!$H:$H)</f>
        <v>0</v>
      </c>
      <c r="T256" s="136">
        <v>684495</v>
      </c>
    </row>
    <row r="257" spans="1:20">
      <c r="A257" s="301" t="s">
        <v>2869</v>
      </c>
      <c r="B257" s="303" t="s">
        <v>52</v>
      </c>
      <c r="C257" s="304">
        <f t="shared" si="3"/>
        <v>726988.5</v>
      </c>
      <c r="D257" s="281" cm="1">
        <f t="array" aca="1" ref="D257" ca="1">IF(Insumo[[#This Row],[VALOR]]=0,Insumo[TOTAL],E257/C257)</f>
        <v>0</v>
      </c>
      <c r="E257" s="69">
        <f ca="1">SUM(Insumo[[#This Row],[CAP1-3]:[CAP29]])</f>
        <v>0</v>
      </c>
      <c r="F257" s="69">
        <f ca="1">SUMIF('CAP1-3'!$B:$H,Insumo[[#This Row],[DESCRIPCION]],'CAP1-3'!$H:$H)</f>
        <v>0</v>
      </c>
      <c r="G257" s="69">
        <f ca="1">SUMIF('CAP4-5'!$B:$H,Insumo[[#This Row],[DESCRIPCION]],'CAP4-5'!$H:$H)</f>
        <v>0</v>
      </c>
      <c r="H257" s="69">
        <f ca="1">SUMIF('CAP6-7'!$B:$H,Insumo[[#This Row],[DESCRIPCION]],'CAP6-7'!$H:$H)</f>
        <v>0</v>
      </c>
      <c r="I257" s="69">
        <f ca="1">SUMIF('CAP8'!$B:$H,Insumo[[#This Row],[DESCRIPCION]],'CAP8'!$H:$H)</f>
        <v>0</v>
      </c>
      <c r="J257" s="69">
        <f ca="1">SUMIF('CAP9-13'!$B:$H,Insumo[[#This Row],[DESCRIPCION]],'CAP9-13'!$H:$H)</f>
        <v>0</v>
      </c>
      <c r="K257" s="69">
        <f ca="1">SUMIF('CAP14-15'!$B:$H,Insumo[[#This Row],[DESCRIPCION]],'CAP14-15'!$H:$H)</f>
        <v>0</v>
      </c>
      <c r="L257" s="69">
        <f ca="1">SUMIF('CAP16-18'!$B:$H,Insumo[[#This Row],[DESCRIPCION]],'CAP16-18'!$H:$H)</f>
        <v>0</v>
      </c>
      <c r="M257" s="69">
        <f ca="1">SUMIF('CAP19-22'!$B:$H,Insumo[[#This Row],[DESCRIPCION]],'CAP19-22'!$H:$H)</f>
        <v>0</v>
      </c>
      <c r="N257" s="69">
        <f ca="1">SUMIF('CAP23-24'!$B:$H,Insumo[[#This Row],[DESCRIPCION]],'CAP23-24'!$H:$H)</f>
        <v>0</v>
      </c>
      <c r="O257" s="69">
        <f ca="1">SUMIF('CAP25'!$B:$H,Insumo[[#This Row],[DESCRIPCION]],'CAP25'!$H:$H)</f>
        <v>0</v>
      </c>
      <c r="P257" s="69">
        <f ca="1">SUMIF('CAP26-28'!$B:$H,Insumo[[#This Row],[DESCRIPCION]],'CAP26-28'!$H:$H)</f>
        <v>0</v>
      </c>
      <c r="Q257" s="69">
        <f ca="1">SUMIF('CAP29'!$B:$H,Insumo[[#This Row],[DESCRIPCION]],'CAP29'!$H:$H)</f>
        <v>0</v>
      </c>
      <c r="R257" s="136" t="s">
        <v>2867</v>
      </c>
      <c r="T257" s="136">
        <v>692370</v>
      </c>
    </row>
    <row r="258" spans="1:20">
      <c r="A258" s="301" t="s">
        <v>2870</v>
      </c>
      <c r="B258" s="303" t="s">
        <v>52</v>
      </c>
      <c r="C258" s="304">
        <f t="shared" si="3"/>
        <v>722578.5</v>
      </c>
      <c r="D258" s="281" cm="1">
        <f t="array" aca="1" ref="D258" ca="1">IF(Insumo[[#This Row],[VALOR]]=0,Insumo[TOTAL],E258/C258)</f>
        <v>0</v>
      </c>
      <c r="E258" s="69">
        <f ca="1">SUM(Insumo[[#This Row],[CAP1-3]:[CAP29]])</f>
        <v>0</v>
      </c>
      <c r="F258" s="69">
        <f ca="1">SUMIF('CAP1-3'!$B:$H,Insumo[[#This Row],[DESCRIPCION]],'CAP1-3'!$H:$H)</f>
        <v>0</v>
      </c>
      <c r="G258" s="69">
        <f ca="1">SUMIF('CAP4-5'!$B:$H,Insumo[[#This Row],[DESCRIPCION]],'CAP4-5'!$H:$H)</f>
        <v>0</v>
      </c>
      <c r="H258" s="69">
        <f ca="1">SUMIF('CAP6-7'!$B:$H,Insumo[[#This Row],[DESCRIPCION]],'CAP6-7'!$H:$H)</f>
        <v>0</v>
      </c>
      <c r="I258" s="69">
        <f ca="1">SUMIF('CAP8'!$B:$H,Insumo[[#This Row],[DESCRIPCION]],'CAP8'!$H:$H)</f>
        <v>0</v>
      </c>
      <c r="J258" s="69">
        <f ca="1">SUMIF('CAP9-13'!$B:$H,Insumo[[#This Row],[DESCRIPCION]],'CAP9-13'!$H:$H)</f>
        <v>0</v>
      </c>
      <c r="K258" s="69">
        <f ca="1">SUMIF('CAP14-15'!$B:$H,Insumo[[#This Row],[DESCRIPCION]],'CAP14-15'!$H:$H)</f>
        <v>0</v>
      </c>
      <c r="L258" s="69">
        <f ca="1">SUMIF('CAP16-18'!$B:$H,Insumo[[#This Row],[DESCRIPCION]],'CAP16-18'!$H:$H)</f>
        <v>0</v>
      </c>
      <c r="M258" s="69">
        <f ca="1">SUMIF('CAP19-22'!$B:$H,Insumo[[#This Row],[DESCRIPCION]],'CAP19-22'!$H:$H)</f>
        <v>0</v>
      </c>
      <c r="N258" s="69">
        <f ca="1">SUMIF('CAP23-24'!$B:$H,Insumo[[#This Row],[DESCRIPCION]],'CAP23-24'!$H:$H)</f>
        <v>0</v>
      </c>
      <c r="O258" s="69">
        <f ca="1">SUMIF('CAP25'!$B:$H,Insumo[[#This Row],[DESCRIPCION]],'CAP25'!$H:$H)</f>
        <v>0</v>
      </c>
      <c r="P258" s="69">
        <f ca="1">SUMIF('CAP26-28'!$B:$H,Insumo[[#This Row],[DESCRIPCION]],'CAP26-28'!$H:$H)</f>
        <v>0</v>
      </c>
      <c r="Q258" s="69">
        <f ca="1">SUMIF('CAP29'!$B:$H,Insumo[[#This Row],[DESCRIPCION]],'CAP29'!$H:$H)</f>
        <v>0</v>
      </c>
      <c r="T258" s="136">
        <v>688170</v>
      </c>
    </row>
    <row r="259" spans="1:20">
      <c r="A259" s="301" t="s">
        <v>2871</v>
      </c>
      <c r="B259" s="303" t="s">
        <v>52</v>
      </c>
      <c r="C259" s="304">
        <f t="shared" si="3"/>
        <v>730847.25</v>
      </c>
      <c r="D259" s="281" cm="1">
        <f t="array" aca="1" ref="D259" ca="1">IF(Insumo[[#This Row],[VALOR]]=0,Insumo[TOTAL],E259/C259)</f>
        <v>0</v>
      </c>
      <c r="E259" s="69">
        <f ca="1">SUM(Insumo[[#This Row],[CAP1-3]:[CAP29]])</f>
        <v>0</v>
      </c>
      <c r="F259" s="69">
        <f ca="1">SUMIF('CAP1-3'!$B:$H,Insumo[[#This Row],[DESCRIPCION]],'CAP1-3'!$H:$H)</f>
        <v>0</v>
      </c>
      <c r="G259" s="69">
        <f ca="1">SUMIF('CAP4-5'!$B:$H,Insumo[[#This Row],[DESCRIPCION]],'CAP4-5'!$H:$H)</f>
        <v>0</v>
      </c>
      <c r="H259" s="69">
        <f ca="1">SUMIF('CAP6-7'!$B:$H,Insumo[[#This Row],[DESCRIPCION]],'CAP6-7'!$H:$H)</f>
        <v>0</v>
      </c>
      <c r="I259" s="69">
        <f ca="1">SUMIF('CAP8'!$B:$H,Insumo[[#This Row],[DESCRIPCION]],'CAP8'!$H:$H)</f>
        <v>0</v>
      </c>
      <c r="J259" s="69">
        <f ca="1">SUMIF('CAP9-13'!$B:$H,Insumo[[#This Row],[DESCRIPCION]],'CAP9-13'!$H:$H)</f>
        <v>0</v>
      </c>
      <c r="K259" s="69">
        <f ca="1">SUMIF('CAP14-15'!$B:$H,Insumo[[#This Row],[DESCRIPCION]],'CAP14-15'!$H:$H)</f>
        <v>0</v>
      </c>
      <c r="L259" s="69">
        <f ca="1">SUMIF('CAP16-18'!$B:$H,Insumo[[#This Row],[DESCRIPCION]],'CAP16-18'!$H:$H)</f>
        <v>0</v>
      </c>
      <c r="M259" s="69">
        <f ca="1">SUMIF('CAP19-22'!$B:$H,Insumo[[#This Row],[DESCRIPCION]],'CAP19-22'!$H:$H)</f>
        <v>0</v>
      </c>
      <c r="N259" s="69">
        <f ca="1">SUMIF('CAP23-24'!$B:$H,Insumo[[#This Row],[DESCRIPCION]],'CAP23-24'!$H:$H)</f>
        <v>0</v>
      </c>
      <c r="O259" s="69">
        <f ca="1">SUMIF('CAP25'!$B:$H,Insumo[[#This Row],[DESCRIPCION]],'CAP25'!$H:$H)</f>
        <v>0</v>
      </c>
      <c r="P259" s="69">
        <f ca="1">SUMIF('CAP26-28'!$B:$H,Insumo[[#This Row],[DESCRIPCION]],'CAP26-28'!$H:$H)</f>
        <v>0</v>
      </c>
      <c r="Q259" s="69">
        <f ca="1">SUMIF('CAP29'!$B:$H,Insumo[[#This Row],[DESCRIPCION]],'CAP29'!$H:$H)</f>
        <v>0</v>
      </c>
      <c r="R259" s="136" t="s">
        <v>2867</v>
      </c>
      <c r="T259" s="136">
        <v>696045</v>
      </c>
    </row>
    <row r="260" spans="1:20">
      <c r="A260" s="301" t="s">
        <v>2872</v>
      </c>
      <c r="B260" s="303" t="s">
        <v>52</v>
      </c>
      <c r="C260" s="304">
        <f t="shared" si="3"/>
        <v>726437.25</v>
      </c>
      <c r="D260" s="281" cm="1">
        <f t="array" aca="1" ref="D260" ca="1">IF(Insumo[[#This Row],[VALOR]]=0,Insumo[TOTAL],E260/C260)</f>
        <v>0</v>
      </c>
      <c r="E260" s="69">
        <f ca="1">SUM(Insumo[[#This Row],[CAP1-3]:[CAP29]])</f>
        <v>0</v>
      </c>
      <c r="F260" s="69">
        <f ca="1">SUMIF('CAP1-3'!$B:$H,Insumo[[#This Row],[DESCRIPCION]],'CAP1-3'!$H:$H)</f>
        <v>0</v>
      </c>
      <c r="G260" s="69">
        <f ca="1">SUMIF('CAP4-5'!$B:$H,Insumo[[#This Row],[DESCRIPCION]],'CAP4-5'!$H:$H)</f>
        <v>0</v>
      </c>
      <c r="H260" s="69">
        <f ca="1">SUMIF('CAP6-7'!$B:$H,Insumo[[#This Row],[DESCRIPCION]],'CAP6-7'!$H:$H)</f>
        <v>0</v>
      </c>
      <c r="I260" s="69">
        <f ca="1">SUMIF('CAP8'!$B:$H,Insumo[[#This Row],[DESCRIPCION]],'CAP8'!$H:$H)</f>
        <v>0</v>
      </c>
      <c r="J260" s="69">
        <f ca="1">SUMIF('CAP9-13'!$B:$H,Insumo[[#This Row],[DESCRIPCION]],'CAP9-13'!$H:$H)</f>
        <v>0</v>
      </c>
      <c r="K260" s="69">
        <f ca="1">SUMIF('CAP14-15'!$B:$H,Insumo[[#This Row],[DESCRIPCION]],'CAP14-15'!$H:$H)</f>
        <v>0</v>
      </c>
      <c r="L260" s="69">
        <f ca="1">SUMIF('CAP16-18'!$B:$H,Insumo[[#This Row],[DESCRIPCION]],'CAP16-18'!$H:$H)</f>
        <v>0</v>
      </c>
      <c r="M260" s="69">
        <f ca="1">SUMIF('CAP19-22'!$B:$H,Insumo[[#This Row],[DESCRIPCION]],'CAP19-22'!$H:$H)</f>
        <v>0</v>
      </c>
      <c r="N260" s="69">
        <f ca="1">SUMIF('CAP23-24'!$B:$H,Insumo[[#This Row],[DESCRIPCION]],'CAP23-24'!$H:$H)</f>
        <v>0</v>
      </c>
      <c r="O260" s="69">
        <f ca="1">SUMIF('CAP25'!$B:$H,Insumo[[#This Row],[DESCRIPCION]],'CAP25'!$H:$H)</f>
        <v>0</v>
      </c>
      <c r="P260" s="69">
        <f ca="1">SUMIF('CAP26-28'!$B:$H,Insumo[[#This Row],[DESCRIPCION]],'CAP26-28'!$H:$H)</f>
        <v>0</v>
      </c>
      <c r="Q260" s="69">
        <f ca="1">SUMIF('CAP29'!$B:$H,Insumo[[#This Row],[DESCRIPCION]],'CAP29'!$H:$H)</f>
        <v>0</v>
      </c>
      <c r="T260" s="136">
        <v>691845</v>
      </c>
    </row>
    <row r="261" spans="1:20">
      <c r="A261" s="301" t="s">
        <v>2873</v>
      </c>
      <c r="B261" s="303" t="s">
        <v>52</v>
      </c>
      <c r="C261" s="304">
        <f t="shared" si="3"/>
        <v>734706</v>
      </c>
      <c r="D261" s="281" cm="1">
        <f t="array" aca="1" ref="D261" ca="1">IF(Insumo[[#This Row],[VALOR]]=0,Insumo[TOTAL],E261/C261)</f>
        <v>0</v>
      </c>
      <c r="E261" s="69">
        <f ca="1">SUM(Insumo[[#This Row],[CAP1-3]:[CAP29]])</f>
        <v>0</v>
      </c>
      <c r="F261" s="69">
        <f ca="1">SUMIF('CAP1-3'!$B:$H,Insumo[[#This Row],[DESCRIPCION]],'CAP1-3'!$H:$H)</f>
        <v>0</v>
      </c>
      <c r="G261" s="69">
        <f ca="1">SUMIF('CAP4-5'!$B:$H,Insumo[[#This Row],[DESCRIPCION]],'CAP4-5'!$H:$H)</f>
        <v>0</v>
      </c>
      <c r="H261" s="69">
        <f ca="1">SUMIF('CAP6-7'!$B:$H,Insumo[[#This Row],[DESCRIPCION]],'CAP6-7'!$H:$H)</f>
        <v>0</v>
      </c>
      <c r="I261" s="69">
        <f ca="1">SUMIF('CAP8'!$B:$H,Insumo[[#This Row],[DESCRIPCION]],'CAP8'!$H:$H)</f>
        <v>0</v>
      </c>
      <c r="J261" s="69">
        <f ca="1">SUMIF('CAP9-13'!$B:$H,Insumo[[#This Row],[DESCRIPCION]],'CAP9-13'!$H:$H)</f>
        <v>0</v>
      </c>
      <c r="K261" s="69">
        <f ca="1">SUMIF('CAP14-15'!$B:$H,Insumo[[#This Row],[DESCRIPCION]],'CAP14-15'!$H:$H)</f>
        <v>0</v>
      </c>
      <c r="L261" s="69">
        <f ca="1">SUMIF('CAP16-18'!$B:$H,Insumo[[#This Row],[DESCRIPCION]],'CAP16-18'!$H:$H)</f>
        <v>0</v>
      </c>
      <c r="M261" s="69">
        <f ca="1">SUMIF('CAP19-22'!$B:$H,Insumo[[#This Row],[DESCRIPCION]],'CAP19-22'!$H:$H)</f>
        <v>0</v>
      </c>
      <c r="N261" s="69">
        <f ca="1">SUMIF('CAP23-24'!$B:$H,Insumo[[#This Row],[DESCRIPCION]],'CAP23-24'!$H:$H)</f>
        <v>0</v>
      </c>
      <c r="O261" s="69">
        <f ca="1">SUMIF('CAP25'!$B:$H,Insumo[[#This Row],[DESCRIPCION]],'CAP25'!$H:$H)</f>
        <v>0</v>
      </c>
      <c r="P261" s="69">
        <f ca="1">SUMIF('CAP26-28'!$B:$H,Insumo[[#This Row],[DESCRIPCION]],'CAP26-28'!$H:$H)</f>
        <v>0</v>
      </c>
      <c r="Q261" s="69">
        <f ca="1">SUMIF('CAP29'!$B:$H,Insumo[[#This Row],[DESCRIPCION]],'CAP29'!$H:$H)</f>
        <v>0</v>
      </c>
      <c r="R261" s="136" t="s">
        <v>2867</v>
      </c>
      <c r="T261" s="136">
        <v>699720</v>
      </c>
    </row>
    <row r="262" spans="1:20">
      <c r="A262" s="301" t="s">
        <v>2874</v>
      </c>
      <c r="B262" s="303" t="s">
        <v>52</v>
      </c>
      <c r="C262" s="304">
        <f t="shared" ref="C262:C325" si="4">T262*$T$3</f>
        <v>722578.5</v>
      </c>
      <c r="D262" s="281" cm="1">
        <f t="array" aca="1" ref="D262" ca="1">IF(Insumo[[#This Row],[VALOR]]=0,Insumo[TOTAL],E262/C262)</f>
        <v>0</v>
      </c>
      <c r="E262" s="69">
        <f ca="1">SUM(Insumo[[#This Row],[CAP1-3]:[CAP29]])</f>
        <v>0</v>
      </c>
      <c r="F262" s="69">
        <f ca="1">SUMIF('CAP1-3'!$B:$H,Insumo[[#This Row],[DESCRIPCION]],'CAP1-3'!$H:$H)</f>
        <v>0</v>
      </c>
      <c r="G262" s="69">
        <f ca="1">SUMIF('CAP4-5'!$B:$H,Insumo[[#This Row],[DESCRIPCION]],'CAP4-5'!$H:$H)</f>
        <v>0</v>
      </c>
      <c r="H262" s="69">
        <f ca="1">SUMIF('CAP6-7'!$B:$H,Insumo[[#This Row],[DESCRIPCION]],'CAP6-7'!$H:$H)</f>
        <v>0</v>
      </c>
      <c r="I262" s="69">
        <f ca="1">SUMIF('CAP8'!$B:$H,Insumo[[#This Row],[DESCRIPCION]],'CAP8'!$H:$H)</f>
        <v>0</v>
      </c>
      <c r="J262" s="69">
        <f ca="1">SUMIF('CAP9-13'!$B:$H,Insumo[[#This Row],[DESCRIPCION]],'CAP9-13'!$H:$H)</f>
        <v>0</v>
      </c>
      <c r="K262" s="69">
        <f ca="1">SUMIF('CAP14-15'!$B:$H,Insumo[[#This Row],[DESCRIPCION]],'CAP14-15'!$H:$H)</f>
        <v>0</v>
      </c>
      <c r="L262" s="69">
        <f ca="1">SUMIF('CAP16-18'!$B:$H,Insumo[[#This Row],[DESCRIPCION]],'CAP16-18'!$H:$H)</f>
        <v>0</v>
      </c>
      <c r="M262" s="69">
        <f ca="1">SUMIF('CAP19-22'!$B:$H,Insumo[[#This Row],[DESCRIPCION]],'CAP19-22'!$H:$H)</f>
        <v>0</v>
      </c>
      <c r="N262" s="69">
        <f ca="1">SUMIF('CAP23-24'!$B:$H,Insumo[[#This Row],[DESCRIPCION]],'CAP23-24'!$H:$H)</f>
        <v>0</v>
      </c>
      <c r="O262" s="69">
        <f ca="1">SUMIF('CAP25'!$B:$H,Insumo[[#This Row],[DESCRIPCION]],'CAP25'!$H:$H)</f>
        <v>0</v>
      </c>
      <c r="P262" s="69">
        <f ca="1">SUMIF('CAP26-28'!$B:$H,Insumo[[#This Row],[DESCRIPCION]],'CAP26-28'!$H:$H)</f>
        <v>0</v>
      </c>
      <c r="Q262" s="69">
        <f ca="1">SUMIF('CAP29'!$B:$H,Insumo[[#This Row],[DESCRIPCION]],'CAP29'!$H:$H)</f>
        <v>0</v>
      </c>
      <c r="T262" s="136">
        <v>688170</v>
      </c>
    </row>
    <row r="263" spans="1:20">
      <c r="A263" s="301" t="s">
        <v>2875</v>
      </c>
      <c r="B263" s="303" t="s">
        <v>52</v>
      </c>
      <c r="C263" s="304">
        <f t="shared" si="4"/>
        <v>726437.25</v>
      </c>
      <c r="D263" s="281" cm="1">
        <f t="array" aca="1" ref="D263" ca="1">IF(Insumo[[#This Row],[VALOR]]=0,Insumo[TOTAL],E263/C263)</f>
        <v>0</v>
      </c>
      <c r="E263" s="69">
        <f ca="1">SUM(Insumo[[#This Row],[CAP1-3]:[CAP29]])</f>
        <v>0</v>
      </c>
      <c r="F263" s="69">
        <f ca="1">SUMIF('CAP1-3'!$B:$H,Insumo[[#This Row],[DESCRIPCION]],'CAP1-3'!$H:$H)</f>
        <v>0</v>
      </c>
      <c r="G263" s="69">
        <f ca="1">SUMIF('CAP4-5'!$B:$H,Insumo[[#This Row],[DESCRIPCION]],'CAP4-5'!$H:$H)</f>
        <v>0</v>
      </c>
      <c r="H263" s="69">
        <f ca="1">SUMIF('CAP6-7'!$B:$H,Insumo[[#This Row],[DESCRIPCION]],'CAP6-7'!$H:$H)</f>
        <v>0</v>
      </c>
      <c r="I263" s="69">
        <f ca="1">SUMIF('CAP8'!$B:$H,Insumo[[#This Row],[DESCRIPCION]],'CAP8'!$H:$H)</f>
        <v>0</v>
      </c>
      <c r="J263" s="69">
        <f ca="1">SUMIF('CAP9-13'!$B:$H,Insumo[[#This Row],[DESCRIPCION]],'CAP9-13'!$H:$H)</f>
        <v>0</v>
      </c>
      <c r="K263" s="69">
        <f ca="1">SUMIF('CAP14-15'!$B:$H,Insumo[[#This Row],[DESCRIPCION]],'CAP14-15'!$H:$H)</f>
        <v>0</v>
      </c>
      <c r="L263" s="69">
        <f ca="1">SUMIF('CAP16-18'!$B:$H,Insumo[[#This Row],[DESCRIPCION]],'CAP16-18'!$H:$H)</f>
        <v>0</v>
      </c>
      <c r="M263" s="69">
        <f ca="1">SUMIF('CAP19-22'!$B:$H,Insumo[[#This Row],[DESCRIPCION]],'CAP19-22'!$H:$H)</f>
        <v>0</v>
      </c>
      <c r="N263" s="69">
        <f ca="1">SUMIF('CAP23-24'!$B:$H,Insumo[[#This Row],[DESCRIPCION]],'CAP23-24'!$H:$H)</f>
        <v>0</v>
      </c>
      <c r="O263" s="69">
        <f ca="1">SUMIF('CAP25'!$B:$H,Insumo[[#This Row],[DESCRIPCION]],'CAP25'!$H:$H)</f>
        <v>0</v>
      </c>
      <c r="P263" s="69">
        <f ca="1">SUMIF('CAP26-28'!$B:$H,Insumo[[#This Row],[DESCRIPCION]],'CAP26-28'!$H:$H)</f>
        <v>0</v>
      </c>
      <c r="Q263" s="69">
        <f ca="1">SUMIF('CAP29'!$B:$H,Insumo[[#This Row],[DESCRIPCION]],'CAP29'!$H:$H)</f>
        <v>0</v>
      </c>
      <c r="T263" s="136">
        <v>691845</v>
      </c>
    </row>
    <row r="264" spans="1:20">
      <c r="A264" s="301" t="s">
        <v>2876</v>
      </c>
      <c r="B264" s="303" t="s">
        <v>52</v>
      </c>
      <c r="C264" s="304">
        <f t="shared" si="4"/>
        <v>730296</v>
      </c>
      <c r="D264" s="281" cm="1">
        <f t="array" aca="1" ref="D264" ca="1">IF(Insumo[[#This Row],[VALOR]]=0,Insumo[TOTAL],E264/C264)</f>
        <v>0</v>
      </c>
      <c r="E264" s="69">
        <f ca="1">SUM(Insumo[[#This Row],[CAP1-3]:[CAP29]])</f>
        <v>0</v>
      </c>
      <c r="F264" s="69">
        <f ca="1">SUMIF('CAP1-3'!$B:$H,Insumo[[#This Row],[DESCRIPCION]],'CAP1-3'!$H:$H)</f>
        <v>0</v>
      </c>
      <c r="G264" s="69">
        <f ca="1">SUMIF('CAP4-5'!$B:$H,Insumo[[#This Row],[DESCRIPCION]],'CAP4-5'!$H:$H)</f>
        <v>0</v>
      </c>
      <c r="H264" s="69">
        <f ca="1">SUMIF('CAP6-7'!$B:$H,Insumo[[#This Row],[DESCRIPCION]],'CAP6-7'!$H:$H)</f>
        <v>0</v>
      </c>
      <c r="I264" s="69">
        <f ca="1">SUMIF('CAP8'!$B:$H,Insumo[[#This Row],[DESCRIPCION]],'CAP8'!$H:$H)</f>
        <v>0</v>
      </c>
      <c r="J264" s="69">
        <f ca="1">SUMIF('CAP9-13'!$B:$H,Insumo[[#This Row],[DESCRIPCION]],'CAP9-13'!$H:$H)</f>
        <v>0</v>
      </c>
      <c r="K264" s="69">
        <f ca="1">SUMIF('CAP14-15'!$B:$H,Insumo[[#This Row],[DESCRIPCION]],'CAP14-15'!$H:$H)</f>
        <v>0</v>
      </c>
      <c r="L264" s="69">
        <f ca="1">SUMIF('CAP16-18'!$B:$H,Insumo[[#This Row],[DESCRIPCION]],'CAP16-18'!$H:$H)</f>
        <v>0</v>
      </c>
      <c r="M264" s="69">
        <f ca="1">SUMIF('CAP19-22'!$B:$H,Insumo[[#This Row],[DESCRIPCION]],'CAP19-22'!$H:$H)</f>
        <v>0</v>
      </c>
      <c r="N264" s="69">
        <f ca="1">SUMIF('CAP23-24'!$B:$H,Insumo[[#This Row],[DESCRIPCION]],'CAP23-24'!$H:$H)</f>
        <v>0</v>
      </c>
      <c r="O264" s="69">
        <f ca="1">SUMIF('CAP25'!$B:$H,Insumo[[#This Row],[DESCRIPCION]],'CAP25'!$H:$H)</f>
        <v>0</v>
      </c>
      <c r="P264" s="69">
        <f ca="1">SUMIF('CAP26-28'!$B:$H,Insumo[[#This Row],[DESCRIPCION]],'CAP26-28'!$H:$H)</f>
        <v>0</v>
      </c>
      <c r="Q264" s="69">
        <f ca="1">SUMIF('CAP29'!$B:$H,Insumo[[#This Row],[DESCRIPCION]],'CAP29'!$H:$H)</f>
        <v>0</v>
      </c>
      <c r="T264" s="136">
        <v>695520</v>
      </c>
    </row>
    <row r="265" spans="1:20">
      <c r="A265" s="301" t="s">
        <v>2877</v>
      </c>
      <c r="B265" s="303" t="s">
        <v>52</v>
      </c>
      <c r="C265" s="304">
        <f t="shared" si="4"/>
        <v>790447.35</v>
      </c>
      <c r="D265" s="281" cm="1">
        <f t="array" aca="1" ref="D265" ca="1">IF(Insumo[[#This Row],[VALOR]]=0,Insumo[TOTAL],E265/C265)</f>
        <v>0</v>
      </c>
      <c r="E265" s="69">
        <f ca="1">SUM(Insumo[[#This Row],[CAP1-3]:[CAP29]])</f>
        <v>0</v>
      </c>
      <c r="F265" s="69">
        <f ca="1">SUMIF('CAP1-3'!$B:$H,Insumo[[#This Row],[DESCRIPCION]],'CAP1-3'!$H:$H)</f>
        <v>0</v>
      </c>
      <c r="G265" s="69">
        <f ca="1">SUMIF('CAP4-5'!$B:$H,Insumo[[#This Row],[DESCRIPCION]],'CAP4-5'!$H:$H)</f>
        <v>0</v>
      </c>
      <c r="H265" s="69">
        <f ca="1">SUMIF('CAP6-7'!$B:$H,Insumo[[#This Row],[DESCRIPCION]],'CAP6-7'!$H:$H)</f>
        <v>0</v>
      </c>
      <c r="I265" s="69">
        <f ca="1">SUMIF('CAP8'!$B:$H,Insumo[[#This Row],[DESCRIPCION]],'CAP8'!$H:$H)</f>
        <v>0</v>
      </c>
      <c r="J265" s="69">
        <f ca="1">SUMIF('CAP9-13'!$B:$H,Insumo[[#This Row],[DESCRIPCION]],'CAP9-13'!$H:$H)</f>
        <v>0</v>
      </c>
      <c r="K265" s="69">
        <f ca="1">SUMIF('CAP14-15'!$B:$H,Insumo[[#This Row],[DESCRIPCION]],'CAP14-15'!$H:$H)</f>
        <v>0</v>
      </c>
      <c r="L265" s="69">
        <f ca="1">SUMIF('CAP16-18'!$B:$H,Insumo[[#This Row],[DESCRIPCION]],'CAP16-18'!$H:$H)</f>
        <v>0</v>
      </c>
      <c r="M265" s="69">
        <f ca="1">SUMIF('CAP19-22'!$B:$H,Insumo[[#This Row],[DESCRIPCION]],'CAP19-22'!$H:$H)</f>
        <v>0</v>
      </c>
      <c r="N265" s="69">
        <f ca="1">SUMIF('CAP23-24'!$B:$H,Insumo[[#This Row],[DESCRIPCION]],'CAP23-24'!$H:$H)</f>
        <v>0</v>
      </c>
      <c r="O265" s="69">
        <f ca="1">SUMIF('CAP25'!$B:$H,Insumo[[#This Row],[DESCRIPCION]],'CAP25'!$H:$H)</f>
        <v>0</v>
      </c>
      <c r="P265" s="69">
        <f ca="1">SUMIF('CAP26-28'!$B:$H,Insumo[[#This Row],[DESCRIPCION]],'CAP26-28'!$H:$H)</f>
        <v>0</v>
      </c>
      <c r="Q265" s="69">
        <f ca="1">SUMIF('CAP29'!$B:$H,Insumo[[#This Row],[DESCRIPCION]],'CAP29'!$H:$H)</f>
        <v>0</v>
      </c>
      <c r="T265" s="136">
        <v>752807</v>
      </c>
    </row>
    <row r="266" spans="1:20">
      <c r="A266" s="301" t="s">
        <v>2878</v>
      </c>
      <c r="B266" s="303" t="s">
        <v>52</v>
      </c>
      <c r="C266" s="304">
        <f t="shared" si="4"/>
        <v>754551</v>
      </c>
      <c r="D266" s="281" cm="1">
        <f t="array" aca="1" ref="D266" ca="1">IF(Insumo[[#This Row],[VALOR]]=0,Insumo[TOTAL],E266/C266)</f>
        <v>0</v>
      </c>
      <c r="E266" s="69">
        <f ca="1">SUM(Insumo[[#This Row],[CAP1-3]:[CAP29]])</f>
        <v>0</v>
      </c>
      <c r="F266" s="69">
        <f ca="1">SUMIF('CAP1-3'!$B:$H,Insumo[[#This Row],[DESCRIPCION]],'CAP1-3'!$H:$H)</f>
        <v>0</v>
      </c>
      <c r="G266" s="69">
        <f ca="1">SUMIF('CAP4-5'!$B:$H,Insumo[[#This Row],[DESCRIPCION]],'CAP4-5'!$H:$H)</f>
        <v>0</v>
      </c>
      <c r="H266" s="69">
        <f ca="1">SUMIF('CAP6-7'!$B:$H,Insumo[[#This Row],[DESCRIPCION]],'CAP6-7'!$H:$H)</f>
        <v>0</v>
      </c>
      <c r="I266" s="69">
        <f ca="1">SUMIF('CAP8'!$B:$H,Insumo[[#This Row],[DESCRIPCION]],'CAP8'!$H:$H)</f>
        <v>0</v>
      </c>
      <c r="J266" s="69">
        <f ca="1">SUMIF('CAP9-13'!$B:$H,Insumo[[#This Row],[DESCRIPCION]],'CAP9-13'!$H:$H)</f>
        <v>0</v>
      </c>
      <c r="K266" s="69">
        <f ca="1">SUMIF('CAP14-15'!$B:$H,Insumo[[#This Row],[DESCRIPCION]],'CAP14-15'!$H:$H)</f>
        <v>0</v>
      </c>
      <c r="L266" s="69">
        <f ca="1">SUMIF('CAP16-18'!$B:$H,Insumo[[#This Row],[DESCRIPCION]],'CAP16-18'!$H:$H)</f>
        <v>0</v>
      </c>
      <c r="M266" s="69">
        <f ca="1">SUMIF('CAP19-22'!$B:$H,Insumo[[#This Row],[DESCRIPCION]],'CAP19-22'!$H:$H)</f>
        <v>0</v>
      </c>
      <c r="N266" s="69">
        <f ca="1">SUMIF('CAP23-24'!$B:$H,Insumo[[#This Row],[DESCRIPCION]],'CAP23-24'!$H:$H)</f>
        <v>0</v>
      </c>
      <c r="O266" s="69">
        <f ca="1">SUMIF('CAP25'!$B:$H,Insumo[[#This Row],[DESCRIPCION]],'CAP25'!$H:$H)</f>
        <v>0</v>
      </c>
      <c r="P266" s="69">
        <f ca="1">SUMIF('CAP26-28'!$B:$H,Insumo[[#This Row],[DESCRIPCION]],'CAP26-28'!$H:$H)</f>
        <v>0</v>
      </c>
      <c r="Q266" s="69">
        <f ca="1">SUMIF('CAP29'!$B:$H,Insumo[[#This Row],[DESCRIPCION]],'CAP29'!$H:$H)</f>
        <v>0</v>
      </c>
      <c r="T266" s="136">
        <v>718620</v>
      </c>
    </row>
    <row r="267" spans="1:20">
      <c r="A267" s="301" t="s">
        <v>2879</v>
      </c>
      <c r="B267" s="303" t="s">
        <v>52</v>
      </c>
      <c r="C267" s="304">
        <f t="shared" si="4"/>
        <v>875564.55</v>
      </c>
      <c r="D267" s="281" cm="1">
        <f t="array" aca="1" ref="D267" ca="1">IF(Insumo[[#This Row],[VALOR]]=0,Insumo[TOTAL],E267/C267)</f>
        <v>0</v>
      </c>
      <c r="E267" s="69">
        <f ca="1">SUM(Insumo[[#This Row],[CAP1-3]:[CAP29]])</f>
        <v>0</v>
      </c>
      <c r="F267" s="69">
        <f ca="1">SUMIF('CAP1-3'!$B:$H,Insumo[[#This Row],[DESCRIPCION]],'CAP1-3'!$H:$H)</f>
        <v>0</v>
      </c>
      <c r="G267" s="69">
        <f ca="1">SUMIF('CAP4-5'!$B:$H,Insumo[[#This Row],[DESCRIPCION]],'CAP4-5'!$H:$H)</f>
        <v>0</v>
      </c>
      <c r="H267" s="69">
        <f ca="1">SUMIF('CAP6-7'!$B:$H,Insumo[[#This Row],[DESCRIPCION]],'CAP6-7'!$H:$H)</f>
        <v>0</v>
      </c>
      <c r="I267" s="69">
        <f ca="1">SUMIF('CAP8'!$B:$H,Insumo[[#This Row],[DESCRIPCION]],'CAP8'!$H:$H)</f>
        <v>0</v>
      </c>
      <c r="J267" s="69">
        <f ca="1">SUMIF('CAP9-13'!$B:$H,Insumo[[#This Row],[DESCRIPCION]],'CAP9-13'!$H:$H)</f>
        <v>0</v>
      </c>
      <c r="K267" s="69">
        <f ca="1">SUMIF('CAP14-15'!$B:$H,Insumo[[#This Row],[DESCRIPCION]],'CAP14-15'!$H:$H)</f>
        <v>0</v>
      </c>
      <c r="L267" s="69">
        <f ca="1">SUMIF('CAP16-18'!$B:$H,Insumo[[#This Row],[DESCRIPCION]],'CAP16-18'!$H:$H)</f>
        <v>0</v>
      </c>
      <c r="M267" s="69">
        <f ca="1">SUMIF('CAP19-22'!$B:$H,Insumo[[#This Row],[DESCRIPCION]],'CAP19-22'!$H:$H)</f>
        <v>0</v>
      </c>
      <c r="N267" s="69">
        <f ca="1">SUMIF('CAP23-24'!$B:$H,Insumo[[#This Row],[DESCRIPCION]],'CAP23-24'!$H:$H)</f>
        <v>0</v>
      </c>
      <c r="O267" s="69">
        <f ca="1">SUMIF('CAP25'!$B:$H,Insumo[[#This Row],[DESCRIPCION]],'CAP25'!$H:$H)</f>
        <v>0</v>
      </c>
      <c r="P267" s="69">
        <f ca="1">SUMIF('CAP26-28'!$B:$H,Insumo[[#This Row],[DESCRIPCION]],'CAP26-28'!$H:$H)</f>
        <v>0</v>
      </c>
      <c r="Q267" s="69">
        <f ca="1">SUMIF('CAP29'!$B:$H,Insumo[[#This Row],[DESCRIPCION]],'CAP29'!$H:$H)</f>
        <v>0</v>
      </c>
      <c r="T267" s="136">
        <v>833871</v>
      </c>
    </row>
    <row r="268" spans="1:20">
      <c r="A268" s="301" t="s">
        <v>2880</v>
      </c>
      <c r="B268" s="303" t="s">
        <v>52</v>
      </c>
      <c r="C268" s="304">
        <f t="shared" si="4"/>
        <v>753833.85</v>
      </c>
      <c r="D268" s="281" cm="1">
        <f t="array" aca="1" ref="D268" ca="1">IF(Insumo[[#This Row],[VALOR]]=0,Insumo[TOTAL],E268/C268)</f>
        <v>0</v>
      </c>
      <c r="E268" s="69">
        <f ca="1">SUM(Insumo[[#This Row],[CAP1-3]:[CAP29]])</f>
        <v>0</v>
      </c>
      <c r="F268" s="69">
        <f ca="1">SUMIF('CAP1-3'!$B:$H,Insumo[[#This Row],[DESCRIPCION]],'CAP1-3'!$H:$H)</f>
        <v>0</v>
      </c>
      <c r="G268" s="69">
        <f ca="1">SUMIF('CAP4-5'!$B:$H,Insumo[[#This Row],[DESCRIPCION]],'CAP4-5'!$H:$H)</f>
        <v>0</v>
      </c>
      <c r="H268" s="69">
        <f ca="1">SUMIF('CAP6-7'!$B:$H,Insumo[[#This Row],[DESCRIPCION]],'CAP6-7'!$H:$H)</f>
        <v>0</v>
      </c>
      <c r="I268" s="69">
        <f ca="1">SUMIF('CAP8'!$B:$H,Insumo[[#This Row],[DESCRIPCION]],'CAP8'!$H:$H)</f>
        <v>0</v>
      </c>
      <c r="J268" s="69">
        <f ca="1">SUMIF('CAP9-13'!$B:$H,Insumo[[#This Row],[DESCRIPCION]],'CAP9-13'!$H:$H)</f>
        <v>0</v>
      </c>
      <c r="K268" s="69">
        <f ca="1">SUMIF('CAP14-15'!$B:$H,Insumo[[#This Row],[DESCRIPCION]],'CAP14-15'!$H:$H)</f>
        <v>0</v>
      </c>
      <c r="L268" s="69">
        <f ca="1">SUMIF('CAP16-18'!$B:$H,Insumo[[#This Row],[DESCRIPCION]],'CAP16-18'!$H:$H)</f>
        <v>0</v>
      </c>
      <c r="M268" s="69">
        <f ca="1">SUMIF('CAP19-22'!$B:$H,Insumo[[#This Row],[DESCRIPCION]],'CAP19-22'!$H:$H)</f>
        <v>0</v>
      </c>
      <c r="N268" s="69">
        <f ca="1">SUMIF('CAP23-24'!$B:$H,Insumo[[#This Row],[DESCRIPCION]],'CAP23-24'!$H:$H)</f>
        <v>0</v>
      </c>
      <c r="O268" s="69">
        <f ca="1">SUMIF('CAP25'!$B:$H,Insumo[[#This Row],[DESCRIPCION]],'CAP25'!$H:$H)</f>
        <v>0</v>
      </c>
      <c r="P268" s="69">
        <f ca="1">SUMIF('CAP26-28'!$B:$H,Insumo[[#This Row],[DESCRIPCION]],'CAP26-28'!$H:$H)</f>
        <v>0</v>
      </c>
      <c r="Q268" s="69">
        <f ca="1">SUMIF('CAP29'!$B:$H,Insumo[[#This Row],[DESCRIPCION]],'CAP29'!$H:$H)</f>
        <v>0</v>
      </c>
      <c r="T268" s="136">
        <v>717937</v>
      </c>
    </row>
    <row r="269" spans="1:20">
      <c r="A269" s="301" t="s">
        <v>2881</v>
      </c>
      <c r="B269" s="303" t="s">
        <v>52</v>
      </c>
      <c r="C269" s="304">
        <f t="shared" si="4"/>
        <v>789337.5</v>
      </c>
      <c r="D269" s="281" cm="1">
        <f t="array" aca="1" ref="D269" ca="1">IF(Insumo[[#This Row],[VALOR]]=0,Insumo[TOTAL],E269/C269)</f>
        <v>0</v>
      </c>
      <c r="E269" s="69">
        <f ca="1">SUM(Insumo[[#This Row],[CAP1-3]:[CAP29]])</f>
        <v>0</v>
      </c>
      <c r="F269" s="69">
        <f ca="1">SUMIF('CAP1-3'!$B:$H,Insumo[[#This Row],[DESCRIPCION]],'CAP1-3'!$H:$H)</f>
        <v>0</v>
      </c>
      <c r="G269" s="69">
        <f ca="1">SUMIF('CAP4-5'!$B:$H,Insumo[[#This Row],[DESCRIPCION]],'CAP4-5'!$H:$H)</f>
        <v>0</v>
      </c>
      <c r="H269" s="69">
        <f ca="1">SUMIF('CAP6-7'!$B:$H,Insumo[[#This Row],[DESCRIPCION]],'CAP6-7'!$H:$H)</f>
        <v>0</v>
      </c>
      <c r="I269" s="69">
        <f ca="1">SUMIF('CAP8'!$B:$H,Insumo[[#This Row],[DESCRIPCION]],'CAP8'!$H:$H)</f>
        <v>0</v>
      </c>
      <c r="J269" s="69">
        <f ca="1">SUMIF('CAP9-13'!$B:$H,Insumo[[#This Row],[DESCRIPCION]],'CAP9-13'!$H:$H)</f>
        <v>0</v>
      </c>
      <c r="K269" s="69">
        <f ca="1">SUMIF('CAP14-15'!$B:$H,Insumo[[#This Row],[DESCRIPCION]],'CAP14-15'!$H:$H)</f>
        <v>0</v>
      </c>
      <c r="L269" s="69">
        <f ca="1">SUMIF('CAP16-18'!$B:$H,Insumo[[#This Row],[DESCRIPCION]],'CAP16-18'!$H:$H)</f>
        <v>0</v>
      </c>
      <c r="M269" s="69">
        <f ca="1">SUMIF('CAP19-22'!$B:$H,Insumo[[#This Row],[DESCRIPCION]],'CAP19-22'!$H:$H)</f>
        <v>0</v>
      </c>
      <c r="N269" s="69">
        <f ca="1">SUMIF('CAP23-24'!$B:$H,Insumo[[#This Row],[DESCRIPCION]],'CAP23-24'!$H:$H)</f>
        <v>0</v>
      </c>
      <c r="O269" s="69">
        <f ca="1">SUMIF('CAP25'!$B:$H,Insumo[[#This Row],[DESCRIPCION]],'CAP25'!$H:$H)</f>
        <v>0</v>
      </c>
      <c r="P269" s="69">
        <f ca="1">SUMIF('CAP26-28'!$B:$H,Insumo[[#This Row],[DESCRIPCION]],'CAP26-28'!$H:$H)</f>
        <v>0</v>
      </c>
      <c r="Q269" s="69">
        <f ca="1">SUMIF('CAP29'!$B:$H,Insumo[[#This Row],[DESCRIPCION]],'CAP29'!$H:$H)</f>
        <v>0</v>
      </c>
      <c r="T269" s="136">
        <v>751750</v>
      </c>
    </row>
    <row r="270" spans="1:20">
      <c r="A270" s="301" t="s">
        <v>2882</v>
      </c>
      <c r="B270" s="303" t="s">
        <v>52</v>
      </c>
      <c r="C270" s="304">
        <f t="shared" si="4"/>
        <v>781856.25</v>
      </c>
      <c r="D270" s="281" cm="1">
        <f t="array" aca="1" ref="D270" ca="1">IF(Insumo[[#This Row],[VALOR]]=0,Insumo[TOTAL],E270/C270)</f>
        <v>0</v>
      </c>
      <c r="E270" s="69">
        <f ca="1">SUM(Insumo[[#This Row],[CAP1-3]:[CAP29]])</f>
        <v>0</v>
      </c>
      <c r="F270" s="69">
        <f ca="1">SUMIF('CAP1-3'!$B:$H,Insumo[[#This Row],[DESCRIPCION]],'CAP1-3'!$H:$H)</f>
        <v>0</v>
      </c>
      <c r="G270" s="69">
        <f ca="1">SUMIF('CAP4-5'!$B:$H,Insumo[[#This Row],[DESCRIPCION]],'CAP4-5'!$H:$H)</f>
        <v>0</v>
      </c>
      <c r="H270" s="69">
        <f ca="1">SUMIF('CAP6-7'!$B:$H,Insumo[[#This Row],[DESCRIPCION]],'CAP6-7'!$H:$H)</f>
        <v>0</v>
      </c>
      <c r="I270" s="69">
        <f ca="1">SUMIF('CAP8'!$B:$H,Insumo[[#This Row],[DESCRIPCION]],'CAP8'!$H:$H)</f>
        <v>0</v>
      </c>
      <c r="J270" s="69">
        <f ca="1">SUMIF('CAP9-13'!$B:$H,Insumo[[#This Row],[DESCRIPCION]],'CAP9-13'!$H:$H)</f>
        <v>0</v>
      </c>
      <c r="K270" s="69">
        <f ca="1">SUMIF('CAP14-15'!$B:$H,Insumo[[#This Row],[DESCRIPCION]],'CAP14-15'!$H:$H)</f>
        <v>0</v>
      </c>
      <c r="L270" s="69">
        <f ca="1">SUMIF('CAP16-18'!$B:$H,Insumo[[#This Row],[DESCRIPCION]],'CAP16-18'!$H:$H)</f>
        <v>0</v>
      </c>
      <c r="M270" s="69">
        <f ca="1">SUMIF('CAP19-22'!$B:$H,Insumo[[#This Row],[DESCRIPCION]],'CAP19-22'!$H:$H)</f>
        <v>0</v>
      </c>
      <c r="N270" s="69">
        <f ca="1">SUMIF('CAP23-24'!$B:$H,Insumo[[#This Row],[DESCRIPCION]],'CAP23-24'!$H:$H)</f>
        <v>0</v>
      </c>
      <c r="O270" s="69">
        <f ca="1">SUMIF('CAP25'!$B:$H,Insumo[[#This Row],[DESCRIPCION]],'CAP25'!$H:$H)</f>
        <v>0</v>
      </c>
      <c r="P270" s="69">
        <f ca="1">SUMIF('CAP26-28'!$B:$H,Insumo[[#This Row],[DESCRIPCION]],'CAP26-28'!$H:$H)</f>
        <v>0</v>
      </c>
      <c r="Q270" s="69">
        <f ca="1">SUMIF('CAP29'!$B:$H,Insumo[[#This Row],[DESCRIPCION]],'CAP29'!$H:$H)</f>
        <v>0</v>
      </c>
      <c r="T270" s="136">
        <v>744625</v>
      </c>
    </row>
    <row r="271" spans="1:20">
      <c r="A271" s="301" t="s">
        <v>2883</v>
      </c>
      <c r="B271" s="303" t="s">
        <v>52</v>
      </c>
      <c r="C271" s="304">
        <f t="shared" si="4"/>
        <v>803937.75</v>
      </c>
      <c r="D271" s="281" cm="1">
        <f t="array" aca="1" ref="D271" ca="1">IF(Insumo[[#This Row],[VALOR]]=0,Insumo[TOTAL],E271/C271)</f>
        <v>0</v>
      </c>
      <c r="E271" s="69">
        <f ca="1">SUM(Insumo[[#This Row],[CAP1-3]:[CAP29]])</f>
        <v>0</v>
      </c>
      <c r="F271" s="69">
        <f ca="1">SUMIF('CAP1-3'!$B:$H,Insumo[[#This Row],[DESCRIPCION]],'CAP1-3'!$H:$H)</f>
        <v>0</v>
      </c>
      <c r="G271" s="69">
        <f ca="1">SUMIF('CAP4-5'!$B:$H,Insumo[[#This Row],[DESCRIPCION]],'CAP4-5'!$H:$H)</f>
        <v>0</v>
      </c>
      <c r="H271" s="69">
        <f ca="1">SUMIF('CAP6-7'!$B:$H,Insumo[[#This Row],[DESCRIPCION]],'CAP6-7'!$H:$H)</f>
        <v>0</v>
      </c>
      <c r="I271" s="69">
        <f ca="1">SUMIF('CAP8'!$B:$H,Insumo[[#This Row],[DESCRIPCION]],'CAP8'!$H:$H)</f>
        <v>0</v>
      </c>
      <c r="J271" s="69">
        <f ca="1">SUMIF('CAP9-13'!$B:$H,Insumo[[#This Row],[DESCRIPCION]],'CAP9-13'!$H:$H)</f>
        <v>0</v>
      </c>
      <c r="K271" s="69">
        <f ca="1">SUMIF('CAP14-15'!$B:$H,Insumo[[#This Row],[DESCRIPCION]],'CAP14-15'!$H:$H)</f>
        <v>0</v>
      </c>
      <c r="L271" s="69">
        <f ca="1">SUMIF('CAP16-18'!$B:$H,Insumo[[#This Row],[DESCRIPCION]],'CAP16-18'!$H:$H)</f>
        <v>0</v>
      </c>
      <c r="M271" s="69">
        <f ca="1">SUMIF('CAP19-22'!$B:$H,Insumo[[#This Row],[DESCRIPCION]],'CAP19-22'!$H:$H)</f>
        <v>0</v>
      </c>
      <c r="N271" s="69">
        <f ca="1">SUMIF('CAP23-24'!$B:$H,Insumo[[#This Row],[DESCRIPCION]],'CAP23-24'!$H:$H)</f>
        <v>0</v>
      </c>
      <c r="O271" s="69">
        <f ca="1">SUMIF('CAP25'!$B:$H,Insumo[[#This Row],[DESCRIPCION]],'CAP25'!$H:$H)</f>
        <v>0</v>
      </c>
      <c r="P271" s="69">
        <f ca="1">SUMIF('CAP26-28'!$B:$H,Insumo[[#This Row],[DESCRIPCION]],'CAP26-28'!$H:$H)</f>
        <v>0</v>
      </c>
      <c r="Q271" s="69">
        <f ca="1">SUMIF('CAP29'!$B:$H,Insumo[[#This Row],[DESCRIPCION]],'CAP29'!$H:$H)</f>
        <v>0</v>
      </c>
      <c r="T271" s="136">
        <v>765655</v>
      </c>
    </row>
    <row r="272" spans="1:20">
      <c r="A272" s="301" t="s">
        <v>2884</v>
      </c>
      <c r="B272" s="303" t="s">
        <v>52</v>
      </c>
      <c r="C272" s="304">
        <f t="shared" si="4"/>
        <v>822906</v>
      </c>
      <c r="D272" s="281" cm="1">
        <f t="array" aca="1" ref="D272" ca="1">IF(Insumo[[#This Row],[VALOR]]=0,Insumo[TOTAL],E272/C272)</f>
        <v>0</v>
      </c>
      <c r="E272" s="69">
        <f ca="1">SUM(Insumo[[#This Row],[CAP1-3]:[CAP29]])</f>
        <v>0</v>
      </c>
      <c r="F272" s="69">
        <f ca="1">SUMIF('CAP1-3'!$B:$H,Insumo[[#This Row],[DESCRIPCION]],'CAP1-3'!$H:$H)</f>
        <v>0</v>
      </c>
      <c r="G272" s="69">
        <f ca="1">SUMIF('CAP4-5'!$B:$H,Insumo[[#This Row],[DESCRIPCION]],'CAP4-5'!$H:$H)</f>
        <v>0</v>
      </c>
      <c r="H272" s="69">
        <f ca="1">SUMIF('CAP6-7'!$B:$H,Insumo[[#This Row],[DESCRIPCION]],'CAP6-7'!$H:$H)</f>
        <v>0</v>
      </c>
      <c r="I272" s="69">
        <f ca="1">SUMIF('CAP8'!$B:$H,Insumo[[#This Row],[DESCRIPCION]],'CAP8'!$H:$H)</f>
        <v>0</v>
      </c>
      <c r="J272" s="69">
        <f ca="1">SUMIF('CAP9-13'!$B:$H,Insumo[[#This Row],[DESCRIPCION]],'CAP9-13'!$H:$H)</f>
        <v>0</v>
      </c>
      <c r="K272" s="69">
        <f ca="1">SUMIF('CAP14-15'!$B:$H,Insumo[[#This Row],[DESCRIPCION]],'CAP14-15'!$H:$H)</f>
        <v>0</v>
      </c>
      <c r="L272" s="69">
        <f ca="1">SUMIF('CAP16-18'!$B:$H,Insumo[[#This Row],[DESCRIPCION]],'CAP16-18'!$H:$H)</f>
        <v>0</v>
      </c>
      <c r="M272" s="69">
        <f ca="1">SUMIF('CAP19-22'!$B:$H,Insumo[[#This Row],[DESCRIPCION]],'CAP19-22'!$H:$H)</f>
        <v>0</v>
      </c>
      <c r="N272" s="69">
        <f ca="1">SUMIF('CAP23-24'!$B:$H,Insumo[[#This Row],[DESCRIPCION]],'CAP23-24'!$H:$H)</f>
        <v>0</v>
      </c>
      <c r="O272" s="69">
        <f ca="1">SUMIF('CAP25'!$B:$H,Insumo[[#This Row],[DESCRIPCION]],'CAP25'!$H:$H)</f>
        <v>0</v>
      </c>
      <c r="P272" s="69">
        <f ca="1">SUMIF('CAP26-28'!$B:$H,Insumo[[#This Row],[DESCRIPCION]],'CAP26-28'!$H:$H)</f>
        <v>0</v>
      </c>
      <c r="Q272" s="69">
        <f ca="1">SUMIF('CAP29'!$B:$H,Insumo[[#This Row],[DESCRIPCION]],'CAP29'!$H:$H)</f>
        <v>0</v>
      </c>
      <c r="T272" s="136">
        <v>783720</v>
      </c>
    </row>
    <row r="273" spans="1:20">
      <c r="A273" s="301" t="s">
        <v>2885</v>
      </c>
      <c r="B273" s="303" t="s">
        <v>52</v>
      </c>
      <c r="C273" s="304">
        <f t="shared" si="4"/>
        <v>920666.25</v>
      </c>
      <c r="D273" s="281" cm="1">
        <f t="array" aca="1" ref="D273" ca="1">IF(Insumo[[#This Row],[VALOR]]=0,Insumo[TOTAL],E273/C273)</f>
        <v>0</v>
      </c>
      <c r="E273" s="69">
        <f ca="1">SUM(Insumo[[#This Row],[CAP1-3]:[CAP29]])</f>
        <v>0</v>
      </c>
      <c r="F273" s="69">
        <f ca="1">SUMIF('CAP1-3'!$B:$H,Insumo[[#This Row],[DESCRIPCION]],'CAP1-3'!$H:$H)</f>
        <v>0</v>
      </c>
      <c r="G273" s="69">
        <f ca="1">SUMIF('CAP4-5'!$B:$H,Insumo[[#This Row],[DESCRIPCION]],'CAP4-5'!$H:$H)</f>
        <v>0</v>
      </c>
      <c r="H273" s="69">
        <f ca="1">SUMIF('CAP6-7'!$B:$H,Insumo[[#This Row],[DESCRIPCION]],'CAP6-7'!$H:$H)</f>
        <v>0</v>
      </c>
      <c r="I273" s="69">
        <f ca="1">SUMIF('CAP8'!$B:$H,Insumo[[#This Row],[DESCRIPCION]],'CAP8'!$H:$H)</f>
        <v>0</v>
      </c>
      <c r="J273" s="69">
        <f ca="1">SUMIF('CAP9-13'!$B:$H,Insumo[[#This Row],[DESCRIPCION]],'CAP9-13'!$H:$H)</f>
        <v>0</v>
      </c>
      <c r="K273" s="69">
        <f ca="1">SUMIF('CAP14-15'!$B:$H,Insumo[[#This Row],[DESCRIPCION]],'CAP14-15'!$H:$H)</f>
        <v>0</v>
      </c>
      <c r="L273" s="69">
        <f ca="1">SUMIF('CAP16-18'!$B:$H,Insumo[[#This Row],[DESCRIPCION]],'CAP16-18'!$H:$H)</f>
        <v>0</v>
      </c>
      <c r="M273" s="69">
        <f ca="1">SUMIF('CAP19-22'!$B:$H,Insumo[[#This Row],[DESCRIPCION]],'CAP19-22'!$H:$H)</f>
        <v>0</v>
      </c>
      <c r="N273" s="69">
        <f ca="1">SUMIF('CAP23-24'!$B:$H,Insumo[[#This Row],[DESCRIPCION]],'CAP23-24'!$H:$H)</f>
        <v>0</v>
      </c>
      <c r="O273" s="69">
        <f ca="1">SUMIF('CAP25'!$B:$H,Insumo[[#This Row],[DESCRIPCION]],'CAP25'!$H:$H)</f>
        <v>0</v>
      </c>
      <c r="P273" s="69">
        <f ca="1">SUMIF('CAP26-28'!$B:$H,Insumo[[#This Row],[DESCRIPCION]],'CAP26-28'!$H:$H)</f>
        <v>0</v>
      </c>
      <c r="Q273" s="69">
        <f ca="1">SUMIF('CAP29'!$B:$H,Insumo[[#This Row],[DESCRIPCION]],'CAP29'!$H:$H)</f>
        <v>0</v>
      </c>
      <c r="T273" s="136">
        <v>876825</v>
      </c>
    </row>
    <row r="274" spans="1:20">
      <c r="A274" s="301" t="s">
        <v>2886</v>
      </c>
      <c r="B274" s="303" t="s">
        <v>52</v>
      </c>
      <c r="C274" s="304">
        <f t="shared" si="4"/>
        <v>892251.15</v>
      </c>
      <c r="D274" s="281" cm="1">
        <f t="array" aca="1" ref="D274" ca="1">IF(Insumo[[#This Row],[VALOR]]=0,Insumo[TOTAL],E274/C274)</f>
        <v>0</v>
      </c>
      <c r="E274" s="69">
        <f ca="1">SUM(Insumo[[#This Row],[CAP1-3]:[CAP29]])</f>
        <v>0</v>
      </c>
      <c r="F274" s="69">
        <f ca="1">SUMIF('CAP1-3'!$B:$H,Insumo[[#This Row],[DESCRIPCION]],'CAP1-3'!$H:$H)</f>
        <v>0</v>
      </c>
      <c r="G274" s="69">
        <f ca="1">SUMIF('CAP4-5'!$B:$H,Insumo[[#This Row],[DESCRIPCION]],'CAP4-5'!$H:$H)</f>
        <v>0</v>
      </c>
      <c r="H274" s="69">
        <f ca="1">SUMIF('CAP6-7'!$B:$H,Insumo[[#This Row],[DESCRIPCION]],'CAP6-7'!$H:$H)</f>
        <v>0</v>
      </c>
      <c r="I274" s="69">
        <f ca="1">SUMIF('CAP8'!$B:$H,Insumo[[#This Row],[DESCRIPCION]],'CAP8'!$H:$H)</f>
        <v>0</v>
      </c>
      <c r="J274" s="69">
        <f ca="1">SUMIF('CAP9-13'!$B:$H,Insumo[[#This Row],[DESCRIPCION]],'CAP9-13'!$H:$H)</f>
        <v>0</v>
      </c>
      <c r="K274" s="69">
        <f ca="1">SUMIF('CAP14-15'!$B:$H,Insumo[[#This Row],[DESCRIPCION]],'CAP14-15'!$H:$H)</f>
        <v>0</v>
      </c>
      <c r="L274" s="69">
        <f ca="1">SUMIF('CAP16-18'!$B:$H,Insumo[[#This Row],[DESCRIPCION]],'CAP16-18'!$H:$H)</f>
        <v>0</v>
      </c>
      <c r="M274" s="69">
        <f ca="1">SUMIF('CAP19-22'!$B:$H,Insumo[[#This Row],[DESCRIPCION]],'CAP19-22'!$H:$H)</f>
        <v>0</v>
      </c>
      <c r="N274" s="69">
        <f ca="1">SUMIF('CAP23-24'!$B:$H,Insumo[[#This Row],[DESCRIPCION]],'CAP23-24'!$H:$H)</f>
        <v>0</v>
      </c>
      <c r="O274" s="69">
        <f ca="1">SUMIF('CAP25'!$B:$H,Insumo[[#This Row],[DESCRIPCION]],'CAP25'!$H:$H)</f>
        <v>0</v>
      </c>
      <c r="P274" s="69">
        <f ca="1">SUMIF('CAP26-28'!$B:$H,Insumo[[#This Row],[DESCRIPCION]],'CAP26-28'!$H:$H)</f>
        <v>0</v>
      </c>
      <c r="Q274" s="69">
        <f ca="1">SUMIF('CAP29'!$B:$H,Insumo[[#This Row],[DESCRIPCION]],'CAP29'!$H:$H)</f>
        <v>0</v>
      </c>
      <c r="T274" s="136">
        <v>849763</v>
      </c>
    </row>
    <row r="275" spans="1:20">
      <c r="A275" s="301" t="s">
        <v>2887</v>
      </c>
      <c r="B275" s="303" t="s">
        <v>23</v>
      </c>
      <c r="C275" s="304">
        <f t="shared" si="4"/>
        <v>1437.45</v>
      </c>
      <c r="D275" s="281" cm="1">
        <f t="array" aca="1" ref="D275" ca="1">IF(Insumo[[#This Row],[VALOR]]=0,Insumo[TOTAL],E275/C275)</f>
        <v>0</v>
      </c>
      <c r="E275" s="69">
        <f ca="1">SUM(Insumo[[#This Row],[CAP1-3]:[CAP29]])</f>
        <v>0</v>
      </c>
      <c r="F275" s="69">
        <f ca="1">SUMIF('CAP1-3'!$B:$H,Insumo[[#This Row],[DESCRIPCION]],'CAP1-3'!$H:$H)</f>
        <v>0</v>
      </c>
      <c r="G275" s="69">
        <f ca="1">SUMIF('CAP4-5'!$B:$H,Insumo[[#This Row],[DESCRIPCION]],'CAP4-5'!$H:$H)</f>
        <v>0</v>
      </c>
      <c r="H275" s="69">
        <f ca="1">SUMIF('CAP6-7'!$B:$H,Insumo[[#This Row],[DESCRIPCION]],'CAP6-7'!$H:$H)</f>
        <v>0</v>
      </c>
      <c r="I275" s="69">
        <f ca="1">SUMIF('CAP8'!$B:$H,Insumo[[#This Row],[DESCRIPCION]],'CAP8'!$H:$H)</f>
        <v>0</v>
      </c>
      <c r="J275" s="69">
        <f ca="1">SUMIF('CAP9-13'!$B:$H,Insumo[[#This Row],[DESCRIPCION]],'CAP9-13'!$H:$H)</f>
        <v>0</v>
      </c>
      <c r="K275" s="69">
        <f ca="1">SUMIF('CAP14-15'!$B:$H,Insumo[[#This Row],[DESCRIPCION]],'CAP14-15'!$H:$H)</f>
        <v>0</v>
      </c>
      <c r="L275" s="69">
        <f ca="1">SUMIF('CAP16-18'!$B:$H,Insumo[[#This Row],[DESCRIPCION]],'CAP16-18'!$H:$H)</f>
        <v>0</v>
      </c>
      <c r="M275" s="69">
        <f ca="1">SUMIF('CAP19-22'!$B:$H,Insumo[[#This Row],[DESCRIPCION]],'CAP19-22'!$H:$H)</f>
        <v>0</v>
      </c>
      <c r="N275" s="69">
        <f ca="1">SUMIF('CAP23-24'!$B:$H,Insumo[[#This Row],[DESCRIPCION]],'CAP23-24'!$H:$H)</f>
        <v>0</v>
      </c>
      <c r="O275" s="69">
        <f ca="1">SUMIF('CAP25'!$B:$H,Insumo[[#This Row],[DESCRIPCION]],'CAP25'!$H:$H)</f>
        <v>0</v>
      </c>
      <c r="P275" s="69">
        <f ca="1">SUMIF('CAP26-28'!$B:$H,Insumo[[#This Row],[DESCRIPCION]],'CAP26-28'!$H:$H)</f>
        <v>0</v>
      </c>
      <c r="Q275" s="69">
        <f ca="1">SUMIF('CAP29'!$B:$H,Insumo[[#This Row],[DESCRIPCION]],'CAP29'!$H:$H)</f>
        <v>0</v>
      </c>
      <c r="T275" s="136">
        <v>1369</v>
      </c>
    </row>
    <row r="276" spans="1:20">
      <c r="A276" s="301" t="s">
        <v>2888</v>
      </c>
      <c r="B276" s="303" t="s">
        <v>23</v>
      </c>
      <c r="C276" s="304">
        <f t="shared" si="4"/>
        <v>1648.5</v>
      </c>
      <c r="D276" s="281" cm="1">
        <f t="array" aca="1" ref="D276" ca="1">IF(Insumo[[#This Row],[VALOR]]=0,Insumo[TOTAL],E276/C276)</f>
        <v>0</v>
      </c>
      <c r="E276" s="69">
        <f ca="1">SUM(Insumo[[#This Row],[CAP1-3]:[CAP29]])</f>
        <v>0</v>
      </c>
      <c r="F276" s="69">
        <f ca="1">SUMIF('CAP1-3'!$B:$H,Insumo[[#This Row],[DESCRIPCION]],'CAP1-3'!$H:$H)</f>
        <v>0</v>
      </c>
      <c r="G276" s="69">
        <f ca="1">SUMIF('CAP4-5'!$B:$H,Insumo[[#This Row],[DESCRIPCION]],'CAP4-5'!$H:$H)</f>
        <v>0</v>
      </c>
      <c r="H276" s="69">
        <f ca="1">SUMIF('CAP6-7'!$B:$H,Insumo[[#This Row],[DESCRIPCION]],'CAP6-7'!$H:$H)</f>
        <v>0</v>
      </c>
      <c r="I276" s="69">
        <f ca="1">SUMIF('CAP8'!$B:$H,Insumo[[#This Row],[DESCRIPCION]],'CAP8'!$H:$H)</f>
        <v>0</v>
      </c>
      <c r="J276" s="69">
        <f ca="1">SUMIF('CAP9-13'!$B:$H,Insumo[[#This Row],[DESCRIPCION]],'CAP9-13'!$H:$H)</f>
        <v>0</v>
      </c>
      <c r="K276" s="69">
        <f ca="1">SUMIF('CAP14-15'!$B:$H,Insumo[[#This Row],[DESCRIPCION]],'CAP14-15'!$H:$H)</f>
        <v>0</v>
      </c>
      <c r="L276" s="69">
        <f ca="1">SUMIF('CAP16-18'!$B:$H,Insumo[[#This Row],[DESCRIPCION]],'CAP16-18'!$H:$H)</f>
        <v>0</v>
      </c>
      <c r="M276" s="69">
        <f ca="1">SUMIF('CAP19-22'!$B:$H,Insumo[[#This Row],[DESCRIPCION]],'CAP19-22'!$H:$H)</f>
        <v>0</v>
      </c>
      <c r="N276" s="69">
        <f ca="1">SUMIF('CAP23-24'!$B:$H,Insumo[[#This Row],[DESCRIPCION]],'CAP23-24'!$H:$H)</f>
        <v>0</v>
      </c>
      <c r="O276" s="69">
        <f ca="1">SUMIF('CAP25'!$B:$H,Insumo[[#This Row],[DESCRIPCION]],'CAP25'!$H:$H)</f>
        <v>0</v>
      </c>
      <c r="P276" s="69">
        <f ca="1">SUMIF('CAP26-28'!$B:$H,Insumo[[#This Row],[DESCRIPCION]],'CAP26-28'!$H:$H)</f>
        <v>0</v>
      </c>
      <c r="Q276" s="69">
        <f ca="1">SUMIF('CAP29'!$B:$H,Insumo[[#This Row],[DESCRIPCION]],'CAP29'!$H:$H)</f>
        <v>0</v>
      </c>
      <c r="T276" s="136">
        <v>1570</v>
      </c>
    </row>
    <row r="277" spans="1:20">
      <c r="A277" s="301" t="s">
        <v>2889</v>
      </c>
      <c r="B277" s="303" t="s">
        <v>23</v>
      </c>
      <c r="C277" s="304">
        <f t="shared" si="4"/>
        <v>2273.25</v>
      </c>
      <c r="D277" s="281" cm="1">
        <f t="array" aca="1" ref="D277" ca="1">IF(Insumo[[#This Row],[VALOR]]=0,Insumo[TOTAL],E277/C277)</f>
        <v>0</v>
      </c>
      <c r="E277" s="69">
        <f ca="1">SUM(Insumo[[#This Row],[CAP1-3]:[CAP29]])</f>
        <v>0</v>
      </c>
      <c r="F277" s="69">
        <f ca="1">SUMIF('CAP1-3'!$B:$H,Insumo[[#This Row],[DESCRIPCION]],'CAP1-3'!$H:$H)</f>
        <v>0</v>
      </c>
      <c r="G277" s="69">
        <f ca="1">SUMIF('CAP4-5'!$B:$H,Insumo[[#This Row],[DESCRIPCION]],'CAP4-5'!$H:$H)</f>
        <v>0</v>
      </c>
      <c r="H277" s="69">
        <f ca="1">SUMIF('CAP6-7'!$B:$H,Insumo[[#This Row],[DESCRIPCION]],'CAP6-7'!$H:$H)</f>
        <v>0</v>
      </c>
      <c r="I277" s="69">
        <f ca="1">SUMIF('CAP8'!$B:$H,Insumo[[#This Row],[DESCRIPCION]],'CAP8'!$H:$H)</f>
        <v>0</v>
      </c>
      <c r="J277" s="69">
        <f ca="1">SUMIF('CAP9-13'!$B:$H,Insumo[[#This Row],[DESCRIPCION]],'CAP9-13'!$H:$H)</f>
        <v>0</v>
      </c>
      <c r="K277" s="69">
        <f ca="1">SUMIF('CAP14-15'!$B:$H,Insumo[[#This Row],[DESCRIPCION]],'CAP14-15'!$H:$H)</f>
        <v>0</v>
      </c>
      <c r="L277" s="69">
        <f ca="1">SUMIF('CAP16-18'!$B:$H,Insumo[[#This Row],[DESCRIPCION]],'CAP16-18'!$H:$H)</f>
        <v>0</v>
      </c>
      <c r="M277" s="69">
        <f ca="1">SUMIF('CAP19-22'!$B:$H,Insumo[[#This Row],[DESCRIPCION]],'CAP19-22'!$H:$H)</f>
        <v>0</v>
      </c>
      <c r="N277" s="69">
        <f ca="1">SUMIF('CAP23-24'!$B:$H,Insumo[[#This Row],[DESCRIPCION]],'CAP23-24'!$H:$H)</f>
        <v>0</v>
      </c>
      <c r="O277" s="69">
        <f ca="1">SUMIF('CAP25'!$B:$H,Insumo[[#This Row],[DESCRIPCION]],'CAP25'!$H:$H)</f>
        <v>0</v>
      </c>
      <c r="P277" s="69">
        <f ca="1">SUMIF('CAP26-28'!$B:$H,Insumo[[#This Row],[DESCRIPCION]],'CAP26-28'!$H:$H)</f>
        <v>0</v>
      </c>
      <c r="Q277" s="69">
        <f ca="1">SUMIF('CAP29'!$B:$H,Insumo[[#This Row],[DESCRIPCION]],'CAP29'!$H:$H)</f>
        <v>0</v>
      </c>
      <c r="T277" s="136">
        <v>2165</v>
      </c>
    </row>
    <row r="278" spans="1:20">
      <c r="A278" s="301" t="s">
        <v>2890</v>
      </c>
      <c r="B278" s="303" t="s">
        <v>23</v>
      </c>
      <c r="C278" s="304">
        <f t="shared" si="4"/>
        <v>37823.1</v>
      </c>
      <c r="D278" s="281" cm="1">
        <f t="array" aca="1" ref="D278" ca="1">IF(Insumo[[#This Row],[VALOR]]=0,Insumo[TOTAL],E278/C278)</f>
        <v>0</v>
      </c>
      <c r="E278" s="69">
        <f ca="1">SUM(Insumo[[#This Row],[CAP1-3]:[CAP29]])</f>
        <v>0</v>
      </c>
      <c r="F278" s="69">
        <f ca="1">SUMIF('CAP1-3'!$B:$H,Insumo[[#This Row],[DESCRIPCION]],'CAP1-3'!$H:$H)</f>
        <v>0</v>
      </c>
      <c r="G278" s="69">
        <f ca="1">SUMIF('CAP4-5'!$B:$H,Insumo[[#This Row],[DESCRIPCION]],'CAP4-5'!$H:$H)</f>
        <v>0</v>
      </c>
      <c r="H278" s="69">
        <f ca="1">SUMIF('CAP6-7'!$B:$H,Insumo[[#This Row],[DESCRIPCION]],'CAP6-7'!$H:$H)</f>
        <v>0</v>
      </c>
      <c r="I278" s="69">
        <f ca="1">SUMIF('CAP8'!$B:$H,Insumo[[#This Row],[DESCRIPCION]],'CAP8'!$H:$H)</f>
        <v>0</v>
      </c>
      <c r="J278" s="69">
        <f ca="1">SUMIF('CAP9-13'!$B:$H,Insumo[[#This Row],[DESCRIPCION]],'CAP9-13'!$H:$H)</f>
        <v>0</v>
      </c>
      <c r="K278" s="69">
        <f ca="1">SUMIF('CAP14-15'!$B:$H,Insumo[[#This Row],[DESCRIPCION]],'CAP14-15'!$H:$H)</f>
        <v>0</v>
      </c>
      <c r="L278" s="69">
        <f ca="1">SUMIF('CAP16-18'!$B:$H,Insumo[[#This Row],[DESCRIPCION]],'CAP16-18'!$H:$H)</f>
        <v>0</v>
      </c>
      <c r="M278" s="69">
        <f ca="1">SUMIF('CAP19-22'!$B:$H,Insumo[[#This Row],[DESCRIPCION]],'CAP19-22'!$H:$H)</f>
        <v>0</v>
      </c>
      <c r="N278" s="69">
        <f ca="1">SUMIF('CAP23-24'!$B:$H,Insumo[[#This Row],[DESCRIPCION]],'CAP23-24'!$H:$H)</f>
        <v>0</v>
      </c>
      <c r="O278" s="69">
        <f ca="1">SUMIF('CAP25'!$B:$H,Insumo[[#This Row],[DESCRIPCION]],'CAP25'!$H:$H)</f>
        <v>0</v>
      </c>
      <c r="P278" s="69">
        <f ca="1">SUMIF('CAP26-28'!$B:$H,Insumo[[#This Row],[DESCRIPCION]],'CAP26-28'!$H:$H)</f>
        <v>0</v>
      </c>
      <c r="Q278" s="69">
        <f ca="1">SUMIF('CAP29'!$B:$H,Insumo[[#This Row],[DESCRIPCION]],'CAP29'!$H:$H)</f>
        <v>0</v>
      </c>
      <c r="R278" s="290"/>
      <c r="T278" s="136">
        <v>36022</v>
      </c>
    </row>
    <row r="279" spans="1:20">
      <c r="A279" s="301" t="s">
        <v>2891</v>
      </c>
      <c r="B279" s="303" t="s">
        <v>23</v>
      </c>
      <c r="C279" s="304">
        <f t="shared" si="4"/>
        <v>48079.5</v>
      </c>
      <c r="D279" s="281" cm="1">
        <f t="array" aca="1" ref="D279" ca="1">IF(Insumo[[#This Row],[VALOR]]=0,Insumo[TOTAL],E279/C279)</f>
        <v>0</v>
      </c>
      <c r="E279" s="69">
        <f ca="1">SUM(Insumo[[#This Row],[CAP1-3]:[CAP29]])</f>
        <v>0</v>
      </c>
      <c r="F279" s="69">
        <f ca="1">SUMIF('CAP1-3'!$B:$H,Insumo[[#This Row],[DESCRIPCION]],'CAP1-3'!$H:$H)</f>
        <v>0</v>
      </c>
      <c r="G279" s="69">
        <f ca="1">SUMIF('CAP4-5'!$B:$H,Insumo[[#This Row],[DESCRIPCION]],'CAP4-5'!$H:$H)</f>
        <v>0</v>
      </c>
      <c r="H279" s="69">
        <f ca="1">SUMIF('CAP6-7'!$B:$H,Insumo[[#This Row],[DESCRIPCION]],'CAP6-7'!$H:$H)</f>
        <v>0</v>
      </c>
      <c r="I279" s="69">
        <f ca="1">SUMIF('CAP8'!$B:$H,Insumo[[#This Row],[DESCRIPCION]],'CAP8'!$H:$H)</f>
        <v>0</v>
      </c>
      <c r="J279" s="69">
        <f ca="1">SUMIF('CAP9-13'!$B:$H,Insumo[[#This Row],[DESCRIPCION]],'CAP9-13'!$H:$H)</f>
        <v>0</v>
      </c>
      <c r="K279" s="69">
        <f ca="1">SUMIF('CAP14-15'!$B:$H,Insumo[[#This Row],[DESCRIPCION]],'CAP14-15'!$H:$H)</f>
        <v>0</v>
      </c>
      <c r="L279" s="69">
        <f ca="1">SUMIF('CAP16-18'!$B:$H,Insumo[[#This Row],[DESCRIPCION]],'CAP16-18'!$H:$H)</f>
        <v>0</v>
      </c>
      <c r="M279" s="69">
        <f ca="1">SUMIF('CAP19-22'!$B:$H,Insumo[[#This Row],[DESCRIPCION]],'CAP19-22'!$H:$H)</f>
        <v>0</v>
      </c>
      <c r="N279" s="69">
        <f ca="1">SUMIF('CAP23-24'!$B:$H,Insumo[[#This Row],[DESCRIPCION]],'CAP23-24'!$H:$H)</f>
        <v>0</v>
      </c>
      <c r="O279" s="69">
        <f ca="1">SUMIF('CAP25'!$B:$H,Insumo[[#This Row],[DESCRIPCION]],'CAP25'!$H:$H)</f>
        <v>0</v>
      </c>
      <c r="P279" s="69">
        <f ca="1">SUMIF('CAP26-28'!$B:$H,Insumo[[#This Row],[DESCRIPCION]],'CAP26-28'!$H:$H)</f>
        <v>0</v>
      </c>
      <c r="Q279" s="69">
        <f ca="1">SUMIF('CAP29'!$B:$H,Insumo[[#This Row],[DESCRIPCION]],'CAP29'!$H:$H)</f>
        <v>0</v>
      </c>
      <c r="T279" s="136">
        <v>45790</v>
      </c>
    </row>
    <row r="280" spans="1:20">
      <c r="A280" s="301" t="s">
        <v>2892</v>
      </c>
      <c r="B280" s="303" t="s">
        <v>23</v>
      </c>
      <c r="C280" s="304">
        <f t="shared" si="4"/>
        <v>20583.150000000001</v>
      </c>
      <c r="D280" s="281" cm="1">
        <f t="array" aca="1" ref="D280" ca="1">IF(Insumo[[#This Row],[VALOR]]=0,Insumo[TOTAL],E280/C280)</f>
        <v>0</v>
      </c>
      <c r="E280" s="69">
        <f ca="1">SUM(Insumo[[#This Row],[CAP1-3]:[CAP29]])</f>
        <v>0</v>
      </c>
      <c r="F280" s="69">
        <f ca="1">SUMIF('CAP1-3'!$B:$H,Insumo[[#This Row],[DESCRIPCION]],'CAP1-3'!$H:$H)</f>
        <v>0</v>
      </c>
      <c r="G280" s="69">
        <f ca="1">SUMIF('CAP4-5'!$B:$H,Insumo[[#This Row],[DESCRIPCION]],'CAP4-5'!$H:$H)</f>
        <v>0</v>
      </c>
      <c r="H280" s="69">
        <f ca="1">SUMIF('CAP6-7'!$B:$H,Insumo[[#This Row],[DESCRIPCION]],'CAP6-7'!$H:$H)</f>
        <v>0</v>
      </c>
      <c r="I280" s="69">
        <f ca="1">SUMIF('CAP8'!$B:$H,Insumo[[#This Row],[DESCRIPCION]],'CAP8'!$H:$H)</f>
        <v>0</v>
      </c>
      <c r="J280" s="69">
        <f ca="1">SUMIF('CAP9-13'!$B:$H,Insumo[[#This Row],[DESCRIPCION]],'CAP9-13'!$H:$H)</f>
        <v>0</v>
      </c>
      <c r="K280" s="69">
        <f ca="1">SUMIF('CAP14-15'!$B:$H,Insumo[[#This Row],[DESCRIPCION]],'CAP14-15'!$H:$H)</f>
        <v>0</v>
      </c>
      <c r="L280" s="69">
        <f ca="1">SUMIF('CAP16-18'!$B:$H,Insumo[[#This Row],[DESCRIPCION]],'CAP16-18'!$H:$H)</f>
        <v>0</v>
      </c>
      <c r="M280" s="69">
        <f ca="1">SUMIF('CAP19-22'!$B:$H,Insumo[[#This Row],[DESCRIPCION]],'CAP19-22'!$H:$H)</f>
        <v>0</v>
      </c>
      <c r="N280" s="69">
        <f ca="1">SUMIF('CAP23-24'!$B:$H,Insumo[[#This Row],[DESCRIPCION]],'CAP23-24'!$H:$H)</f>
        <v>0</v>
      </c>
      <c r="O280" s="69">
        <f ca="1">SUMIF('CAP25'!$B:$H,Insumo[[#This Row],[DESCRIPCION]],'CAP25'!$H:$H)</f>
        <v>0</v>
      </c>
      <c r="P280" s="69">
        <f ca="1">SUMIF('CAP26-28'!$B:$H,Insumo[[#This Row],[DESCRIPCION]],'CAP26-28'!$H:$H)</f>
        <v>0</v>
      </c>
      <c r="Q280" s="69">
        <f ca="1">SUMIF('CAP29'!$B:$H,Insumo[[#This Row],[DESCRIPCION]],'CAP29'!$H:$H)</f>
        <v>0</v>
      </c>
      <c r="T280" s="136">
        <v>19603</v>
      </c>
    </row>
    <row r="281" spans="1:20">
      <c r="A281" s="301" t="s">
        <v>2893</v>
      </c>
      <c r="B281" s="303" t="s">
        <v>23</v>
      </c>
      <c r="C281" s="304">
        <f t="shared" si="4"/>
        <v>54374.25</v>
      </c>
      <c r="D281" s="281" cm="1">
        <f t="array" aca="1" ref="D281" ca="1">IF(Insumo[[#This Row],[VALOR]]=0,Insumo[TOTAL],E281/C281)</f>
        <v>0</v>
      </c>
      <c r="E281" s="69">
        <f ca="1">SUM(Insumo[[#This Row],[CAP1-3]:[CAP29]])</f>
        <v>0</v>
      </c>
      <c r="F281" s="69">
        <f ca="1">SUMIF('CAP1-3'!$B:$H,Insumo[[#This Row],[DESCRIPCION]],'CAP1-3'!$H:$H)</f>
        <v>0</v>
      </c>
      <c r="G281" s="69">
        <f ca="1">SUMIF('CAP4-5'!$B:$H,Insumo[[#This Row],[DESCRIPCION]],'CAP4-5'!$H:$H)</f>
        <v>0</v>
      </c>
      <c r="H281" s="69">
        <f ca="1">SUMIF('CAP6-7'!$B:$H,Insumo[[#This Row],[DESCRIPCION]],'CAP6-7'!$H:$H)</f>
        <v>0</v>
      </c>
      <c r="I281" s="69">
        <f ca="1">SUMIF('CAP8'!$B:$H,Insumo[[#This Row],[DESCRIPCION]],'CAP8'!$H:$H)</f>
        <v>0</v>
      </c>
      <c r="J281" s="69">
        <f ca="1">SUMIF('CAP9-13'!$B:$H,Insumo[[#This Row],[DESCRIPCION]],'CAP9-13'!$H:$H)</f>
        <v>0</v>
      </c>
      <c r="K281" s="69">
        <f ca="1">SUMIF('CAP14-15'!$B:$H,Insumo[[#This Row],[DESCRIPCION]],'CAP14-15'!$H:$H)</f>
        <v>0</v>
      </c>
      <c r="L281" s="69">
        <f ca="1">SUMIF('CAP16-18'!$B:$H,Insumo[[#This Row],[DESCRIPCION]],'CAP16-18'!$H:$H)</f>
        <v>0</v>
      </c>
      <c r="M281" s="69">
        <f ca="1">SUMIF('CAP19-22'!$B:$H,Insumo[[#This Row],[DESCRIPCION]],'CAP19-22'!$H:$H)</f>
        <v>0</v>
      </c>
      <c r="N281" s="69">
        <f ca="1">SUMIF('CAP23-24'!$B:$H,Insumo[[#This Row],[DESCRIPCION]],'CAP23-24'!$H:$H)</f>
        <v>0</v>
      </c>
      <c r="O281" s="69">
        <f ca="1">SUMIF('CAP25'!$B:$H,Insumo[[#This Row],[DESCRIPCION]],'CAP25'!$H:$H)</f>
        <v>0</v>
      </c>
      <c r="P281" s="69">
        <f ca="1">SUMIF('CAP26-28'!$B:$H,Insumo[[#This Row],[DESCRIPCION]],'CAP26-28'!$H:$H)</f>
        <v>0</v>
      </c>
      <c r="Q281" s="69">
        <f ca="1">SUMIF('CAP29'!$B:$H,Insumo[[#This Row],[DESCRIPCION]],'CAP29'!$H:$H)</f>
        <v>0</v>
      </c>
      <c r="R281" s="136" t="s">
        <v>2894</v>
      </c>
      <c r="T281" s="136">
        <v>51785</v>
      </c>
    </row>
    <row r="282" spans="1:20">
      <c r="A282" s="301" t="s">
        <v>2895</v>
      </c>
      <c r="B282" s="303" t="s">
        <v>23</v>
      </c>
      <c r="C282" s="304">
        <f t="shared" si="4"/>
        <v>230812.05000000002</v>
      </c>
      <c r="D282" s="281" cm="1">
        <f t="array" aca="1" ref="D282" ca="1">IF(Insumo[[#This Row],[VALOR]]=0,Insumo[TOTAL],E282/C282)</f>
        <v>0</v>
      </c>
      <c r="E282" s="69">
        <f ca="1">SUM(Insumo[[#This Row],[CAP1-3]:[CAP29]])</f>
        <v>0</v>
      </c>
      <c r="F282" s="69">
        <f ca="1">SUMIF('CAP1-3'!$B:$H,Insumo[[#This Row],[DESCRIPCION]],'CAP1-3'!$H:$H)</f>
        <v>0</v>
      </c>
      <c r="G282" s="69">
        <f ca="1">SUMIF('CAP4-5'!$B:$H,Insumo[[#This Row],[DESCRIPCION]],'CAP4-5'!$H:$H)</f>
        <v>0</v>
      </c>
      <c r="H282" s="69">
        <f ca="1">SUMIF('CAP6-7'!$B:$H,Insumo[[#This Row],[DESCRIPCION]],'CAP6-7'!$H:$H)</f>
        <v>0</v>
      </c>
      <c r="I282" s="69">
        <f ca="1">SUMIF('CAP8'!$B:$H,Insumo[[#This Row],[DESCRIPCION]],'CAP8'!$H:$H)</f>
        <v>0</v>
      </c>
      <c r="J282" s="69">
        <f ca="1">SUMIF('CAP9-13'!$B:$H,Insumo[[#This Row],[DESCRIPCION]],'CAP9-13'!$H:$H)</f>
        <v>0</v>
      </c>
      <c r="K282" s="69">
        <f ca="1">SUMIF('CAP14-15'!$B:$H,Insumo[[#This Row],[DESCRIPCION]],'CAP14-15'!$H:$H)</f>
        <v>0</v>
      </c>
      <c r="L282" s="69">
        <f ca="1">SUMIF('CAP16-18'!$B:$H,Insumo[[#This Row],[DESCRIPCION]],'CAP16-18'!$H:$H)</f>
        <v>0</v>
      </c>
      <c r="M282" s="69">
        <f ca="1">SUMIF('CAP19-22'!$B:$H,Insumo[[#This Row],[DESCRIPCION]],'CAP19-22'!$H:$H)</f>
        <v>0</v>
      </c>
      <c r="N282" s="69">
        <f ca="1">SUMIF('CAP23-24'!$B:$H,Insumo[[#This Row],[DESCRIPCION]],'CAP23-24'!$H:$H)</f>
        <v>0</v>
      </c>
      <c r="O282" s="69">
        <f ca="1">SUMIF('CAP25'!$B:$H,Insumo[[#This Row],[DESCRIPCION]],'CAP25'!$H:$H)</f>
        <v>0</v>
      </c>
      <c r="P282" s="69">
        <f ca="1">SUMIF('CAP26-28'!$B:$H,Insumo[[#This Row],[DESCRIPCION]],'CAP26-28'!$H:$H)</f>
        <v>0</v>
      </c>
      <c r="Q282" s="69">
        <f ca="1">SUMIF('CAP29'!$B:$H,Insumo[[#This Row],[DESCRIPCION]],'CAP29'!$H:$H)</f>
        <v>0</v>
      </c>
      <c r="R282" s="290"/>
      <c r="T282" s="136">
        <v>219821</v>
      </c>
    </row>
    <row r="283" spans="1:20" ht="12" customHeight="1">
      <c r="A283" s="301" t="s">
        <v>2896</v>
      </c>
      <c r="B283" s="303" t="s">
        <v>23</v>
      </c>
      <c r="C283" s="304">
        <f t="shared" si="4"/>
        <v>1193456.25</v>
      </c>
      <c r="D283" s="281" cm="1">
        <f t="array" aca="1" ref="D283" ca="1">IF(Insumo[[#This Row],[VALOR]]=0,Insumo[TOTAL],E283/C283)</f>
        <v>0</v>
      </c>
      <c r="E283" s="69">
        <f ca="1">SUM(Insumo[[#This Row],[CAP1-3]:[CAP29]])</f>
        <v>0</v>
      </c>
      <c r="F283" s="69">
        <f ca="1">SUMIF('CAP1-3'!$B:$H,Insumo[[#This Row],[DESCRIPCION]],'CAP1-3'!$H:$H)</f>
        <v>0</v>
      </c>
      <c r="G283" s="69">
        <f ca="1">SUMIF('CAP4-5'!$B:$H,Insumo[[#This Row],[DESCRIPCION]],'CAP4-5'!$H:$H)</f>
        <v>0</v>
      </c>
      <c r="H283" s="69">
        <f ca="1">SUMIF('CAP6-7'!$B:$H,Insumo[[#This Row],[DESCRIPCION]],'CAP6-7'!$H:$H)</f>
        <v>0</v>
      </c>
      <c r="I283" s="69">
        <f ca="1">SUMIF('CAP8'!$B:$H,Insumo[[#This Row],[DESCRIPCION]],'CAP8'!$H:$H)</f>
        <v>0</v>
      </c>
      <c r="J283" s="69">
        <f ca="1">SUMIF('CAP9-13'!$B:$H,Insumo[[#This Row],[DESCRIPCION]],'CAP9-13'!$H:$H)</f>
        <v>0</v>
      </c>
      <c r="K283" s="69">
        <f ca="1">SUMIF('CAP14-15'!$B:$H,Insumo[[#This Row],[DESCRIPCION]],'CAP14-15'!$H:$H)</f>
        <v>0</v>
      </c>
      <c r="L283" s="69">
        <f ca="1">SUMIF('CAP16-18'!$B:$H,Insumo[[#This Row],[DESCRIPCION]],'CAP16-18'!$H:$H)</f>
        <v>0</v>
      </c>
      <c r="M283" s="69">
        <f ca="1">SUMIF('CAP19-22'!$B:$H,Insumo[[#This Row],[DESCRIPCION]],'CAP19-22'!$H:$H)</f>
        <v>0</v>
      </c>
      <c r="N283" s="69">
        <f ca="1">SUMIF('CAP23-24'!$B:$H,Insumo[[#This Row],[DESCRIPCION]],'CAP23-24'!$H:$H)</f>
        <v>0</v>
      </c>
      <c r="O283" s="69">
        <f ca="1">SUMIF('CAP25'!$B:$H,Insumo[[#This Row],[DESCRIPCION]],'CAP25'!$H:$H)</f>
        <v>0</v>
      </c>
      <c r="P283" s="69">
        <f ca="1">SUMIF('CAP26-28'!$B:$H,Insumo[[#This Row],[DESCRIPCION]],'CAP26-28'!$H:$H)</f>
        <v>0</v>
      </c>
      <c r="Q283" s="69">
        <f ca="1">SUMIF('CAP29'!$B:$H,Insumo[[#This Row],[DESCRIPCION]],'CAP29'!$H:$H)</f>
        <v>0</v>
      </c>
      <c r="T283" s="136">
        <v>1136625</v>
      </c>
    </row>
    <row r="284" spans="1:20" ht="12" customHeight="1">
      <c r="A284" s="301" t="s">
        <v>2897</v>
      </c>
      <c r="B284" s="303" t="s">
        <v>23</v>
      </c>
      <c r="C284" s="304">
        <f t="shared" si="4"/>
        <v>48306.3</v>
      </c>
      <c r="D284" s="281" cm="1">
        <f t="array" aca="1" ref="D284" ca="1">IF(Insumo[[#This Row],[VALOR]]=0,Insumo[TOTAL],E284/C284)</f>
        <v>0</v>
      </c>
      <c r="E284" s="69">
        <f ca="1">SUM(Insumo[[#This Row],[CAP1-3]:[CAP29]])</f>
        <v>0</v>
      </c>
      <c r="F284" s="69">
        <f ca="1">SUMIF('CAP1-3'!$B:$H,Insumo[[#This Row],[DESCRIPCION]],'CAP1-3'!$H:$H)</f>
        <v>0</v>
      </c>
      <c r="G284" s="69">
        <f ca="1">SUMIF('CAP4-5'!$B:$H,Insumo[[#This Row],[DESCRIPCION]],'CAP4-5'!$H:$H)</f>
        <v>0</v>
      </c>
      <c r="H284" s="69">
        <f ca="1">SUMIF('CAP6-7'!$B:$H,Insumo[[#This Row],[DESCRIPCION]],'CAP6-7'!$H:$H)</f>
        <v>0</v>
      </c>
      <c r="I284" s="69">
        <f ca="1">SUMIF('CAP8'!$B:$H,Insumo[[#This Row],[DESCRIPCION]],'CAP8'!$H:$H)</f>
        <v>0</v>
      </c>
      <c r="J284" s="69">
        <f ca="1">SUMIF('CAP9-13'!$B:$H,Insumo[[#This Row],[DESCRIPCION]],'CAP9-13'!$H:$H)</f>
        <v>0</v>
      </c>
      <c r="K284" s="69">
        <f ca="1">SUMIF('CAP14-15'!$B:$H,Insumo[[#This Row],[DESCRIPCION]],'CAP14-15'!$H:$H)</f>
        <v>0</v>
      </c>
      <c r="L284" s="69">
        <f ca="1">SUMIF('CAP16-18'!$B:$H,Insumo[[#This Row],[DESCRIPCION]],'CAP16-18'!$H:$H)</f>
        <v>0</v>
      </c>
      <c r="M284" s="69">
        <f ca="1">SUMIF('CAP19-22'!$B:$H,Insumo[[#This Row],[DESCRIPCION]],'CAP19-22'!$H:$H)</f>
        <v>0</v>
      </c>
      <c r="N284" s="69">
        <f ca="1">SUMIF('CAP23-24'!$B:$H,Insumo[[#This Row],[DESCRIPCION]],'CAP23-24'!$H:$H)</f>
        <v>0</v>
      </c>
      <c r="O284" s="69">
        <f ca="1">SUMIF('CAP25'!$B:$H,Insumo[[#This Row],[DESCRIPCION]],'CAP25'!$H:$H)</f>
        <v>0</v>
      </c>
      <c r="P284" s="69">
        <f ca="1">SUMIF('CAP26-28'!$B:$H,Insumo[[#This Row],[DESCRIPCION]],'CAP26-28'!$H:$H)</f>
        <v>0</v>
      </c>
      <c r="Q284" s="69">
        <f ca="1">SUMIF('CAP29'!$B:$H,Insumo[[#This Row],[DESCRIPCION]],'CAP29'!$H:$H)</f>
        <v>0</v>
      </c>
      <c r="T284" s="136">
        <v>46006</v>
      </c>
    </row>
    <row r="285" spans="1:20" ht="12" customHeight="1">
      <c r="A285" s="301" t="s">
        <v>2898</v>
      </c>
      <c r="B285" s="303" t="s">
        <v>30</v>
      </c>
      <c r="C285" s="304">
        <f t="shared" si="4"/>
        <v>39782.400000000001</v>
      </c>
      <c r="D285" s="281" cm="1">
        <f t="array" aca="1" ref="D285" ca="1">IF(Insumo[[#This Row],[VALOR]]=0,Insumo[TOTAL],E285/C285)</f>
        <v>0</v>
      </c>
      <c r="E285" s="69">
        <f ca="1">SUM(Insumo[[#This Row],[CAP1-3]:[CAP29]])</f>
        <v>0</v>
      </c>
      <c r="F285" s="69">
        <f ca="1">SUMIF('CAP1-3'!$B:$H,Insumo[[#This Row],[DESCRIPCION]],'CAP1-3'!$H:$H)</f>
        <v>0</v>
      </c>
      <c r="G285" s="69">
        <f ca="1">SUMIF('CAP4-5'!$B:$H,Insumo[[#This Row],[DESCRIPCION]],'CAP4-5'!$H:$H)</f>
        <v>0</v>
      </c>
      <c r="H285" s="69">
        <f ca="1">SUMIF('CAP6-7'!$B:$H,Insumo[[#This Row],[DESCRIPCION]],'CAP6-7'!$H:$H)</f>
        <v>0</v>
      </c>
      <c r="I285" s="69">
        <f ca="1">SUMIF('CAP8'!$B:$H,Insumo[[#This Row],[DESCRIPCION]],'CAP8'!$H:$H)</f>
        <v>0</v>
      </c>
      <c r="J285" s="69">
        <f ca="1">SUMIF('CAP9-13'!$B:$H,Insumo[[#This Row],[DESCRIPCION]],'CAP9-13'!$H:$H)</f>
        <v>0</v>
      </c>
      <c r="K285" s="69">
        <f ca="1">SUMIF('CAP14-15'!$B:$H,Insumo[[#This Row],[DESCRIPCION]],'CAP14-15'!$H:$H)</f>
        <v>0</v>
      </c>
      <c r="L285" s="69">
        <f ca="1">SUMIF('CAP16-18'!$B:$H,Insumo[[#This Row],[DESCRIPCION]],'CAP16-18'!$H:$H)</f>
        <v>0</v>
      </c>
      <c r="M285" s="69">
        <f ca="1">SUMIF('CAP19-22'!$B:$H,Insumo[[#This Row],[DESCRIPCION]],'CAP19-22'!$H:$H)</f>
        <v>0</v>
      </c>
      <c r="N285" s="69">
        <f ca="1">SUMIF('CAP23-24'!$B:$H,Insumo[[#This Row],[DESCRIPCION]],'CAP23-24'!$H:$H)</f>
        <v>0</v>
      </c>
      <c r="O285" s="69">
        <f ca="1">SUMIF('CAP25'!$B:$H,Insumo[[#This Row],[DESCRIPCION]],'CAP25'!$H:$H)</f>
        <v>0</v>
      </c>
      <c r="P285" s="69">
        <f ca="1">SUMIF('CAP26-28'!$B:$H,Insumo[[#This Row],[DESCRIPCION]],'CAP26-28'!$H:$H)</f>
        <v>0</v>
      </c>
      <c r="Q285" s="69">
        <f ca="1">SUMIF('CAP29'!$B:$H,Insumo[[#This Row],[DESCRIPCION]],'CAP29'!$H:$H)</f>
        <v>0</v>
      </c>
      <c r="T285" s="136">
        <v>37888</v>
      </c>
    </row>
    <row r="286" spans="1:20" ht="12" customHeight="1">
      <c r="A286" s="301" t="s">
        <v>2899</v>
      </c>
      <c r="B286" s="303" t="s">
        <v>30</v>
      </c>
      <c r="C286" s="304">
        <f t="shared" si="4"/>
        <v>153444.9</v>
      </c>
      <c r="D286" s="281" cm="1">
        <f t="array" aca="1" ref="D286" ca="1">IF(Insumo[[#This Row],[VALOR]]=0,Insumo[TOTAL],E286/C286)</f>
        <v>0</v>
      </c>
      <c r="E286" s="69">
        <f ca="1">SUM(Insumo[[#This Row],[CAP1-3]:[CAP29]])</f>
        <v>0</v>
      </c>
      <c r="F286" s="69">
        <f ca="1">SUMIF('CAP1-3'!$B:$H,Insumo[[#This Row],[DESCRIPCION]],'CAP1-3'!$H:$H)</f>
        <v>0</v>
      </c>
      <c r="G286" s="69">
        <f ca="1">SUMIF('CAP4-5'!$B:$H,Insumo[[#This Row],[DESCRIPCION]],'CAP4-5'!$H:$H)</f>
        <v>0</v>
      </c>
      <c r="H286" s="69">
        <f ca="1">SUMIF('CAP6-7'!$B:$H,Insumo[[#This Row],[DESCRIPCION]],'CAP6-7'!$H:$H)</f>
        <v>0</v>
      </c>
      <c r="I286" s="69">
        <f ca="1">SUMIF('CAP8'!$B:$H,Insumo[[#This Row],[DESCRIPCION]],'CAP8'!$H:$H)</f>
        <v>0</v>
      </c>
      <c r="J286" s="69">
        <f ca="1">SUMIF('CAP9-13'!$B:$H,Insumo[[#This Row],[DESCRIPCION]],'CAP9-13'!$H:$H)</f>
        <v>0</v>
      </c>
      <c r="K286" s="69">
        <f ca="1">SUMIF('CAP14-15'!$B:$H,Insumo[[#This Row],[DESCRIPCION]],'CAP14-15'!$H:$H)</f>
        <v>0</v>
      </c>
      <c r="L286" s="69">
        <f ca="1">SUMIF('CAP16-18'!$B:$H,Insumo[[#This Row],[DESCRIPCION]],'CAP16-18'!$H:$H)</f>
        <v>0</v>
      </c>
      <c r="M286" s="69">
        <f ca="1">SUMIF('CAP19-22'!$B:$H,Insumo[[#This Row],[DESCRIPCION]],'CAP19-22'!$H:$H)</f>
        <v>0</v>
      </c>
      <c r="N286" s="69">
        <f ca="1">SUMIF('CAP23-24'!$B:$H,Insumo[[#This Row],[DESCRIPCION]],'CAP23-24'!$H:$H)</f>
        <v>0</v>
      </c>
      <c r="O286" s="69">
        <f ca="1">SUMIF('CAP25'!$B:$H,Insumo[[#This Row],[DESCRIPCION]],'CAP25'!$H:$H)</f>
        <v>0</v>
      </c>
      <c r="P286" s="69">
        <f ca="1">SUMIF('CAP26-28'!$B:$H,Insumo[[#This Row],[DESCRIPCION]],'CAP26-28'!$H:$H)</f>
        <v>0</v>
      </c>
      <c r="Q286" s="69">
        <f ca="1">SUMIF('CAP29'!$B:$H,Insumo[[#This Row],[DESCRIPCION]],'CAP29'!$H:$H)</f>
        <v>0</v>
      </c>
      <c r="T286" s="136">
        <v>146138</v>
      </c>
    </row>
    <row r="287" spans="1:20" ht="12" customHeight="1">
      <c r="A287" s="301" t="s">
        <v>2900</v>
      </c>
      <c r="B287" s="303" t="s">
        <v>23</v>
      </c>
      <c r="C287" s="304">
        <f t="shared" si="4"/>
        <v>13933.5</v>
      </c>
      <c r="D287" s="281" cm="1">
        <f t="array" aca="1" ref="D287" ca="1">IF(Insumo[[#This Row],[VALOR]]=0,Insumo[TOTAL],E287/C287)</f>
        <v>0</v>
      </c>
      <c r="E287" s="69">
        <f ca="1">SUM(Insumo[[#This Row],[CAP1-3]:[CAP29]])</f>
        <v>0</v>
      </c>
      <c r="F287" s="69">
        <f ca="1">SUMIF('CAP1-3'!$B:$H,Insumo[[#This Row],[DESCRIPCION]],'CAP1-3'!$H:$H)</f>
        <v>0</v>
      </c>
      <c r="G287" s="69">
        <f ca="1">SUMIF('CAP4-5'!$B:$H,Insumo[[#This Row],[DESCRIPCION]],'CAP4-5'!$H:$H)</f>
        <v>0</v>
      </c>
      <c r="H287" s="69">
        <f ca="1">SUMIF('CAP6-7'!$B:$H,Insumo[[#This Row],[DESCRIPCION]],'CAP6-7'!$H:$H)</f>
        <v>0</v>
      </c>
      <c r="I287" s="69">
        <f ca="1">SUMIF('CAP8'!$B:$H,Insumo[[#This Row],[DESCRIPCION]],'CAP8'!$H:$H)</f>
        <v>0</v>
      </c>
      <c r="J287" s="69">
        <f ca="1">SUMIF('CAP9-13'!$B:$H,Insumo[[#This Row],[DESCRIPCION]],'CAP9-13'!$H:$H)</f>
        <v>0</v>
      </c>
      <c r="K287" s="69">
        <f ca="1">SUMIF('CAP14-15'!$B:$H,Insumo[[#This Row],[DESCRIPCION]],'CAP14-15'!$H:$H)</f>
        <v>0</v>
      </c>
      <c r="L287" s="69">
        <f ca="1">SUMIF('CAP16-18'!$B:$H,Insumo[[#This Row],[DESCRIPCION]],'CAP16-18'!$H:$H)</f>
        <v>0</v>
      </c>
      <c r="M287" s="69">
        <f ca="1">SUMIF('CAP19-22'!$B:$H,Insumo[[#This Row],[DESCRIPCION]],'CAP19-22'!$H:$H)</f>
        <v>0</v>
      </c>
      <c r="N287" s="69">
        <f ca="1">SUMIF('CAP23-24'!$B:$H,Insumo[[#This Row],[DESCRIPCION]],'CAP23-24'!$H:$H)</f>
        <v>0</v>
      </c>
      <c r="O287" s="69">
        <f ca="1">SUMIF('CAP25'!$B:$H,Insumo[[#This Row],[DESCRIPCION]],'CAP25'!$H:$H)</f>
        <v>0</v>
      </c>
      <c r="P287" s="69">
        <f ca="1">SUMIF('CAP26-28'!$B:$H,Insumo[[#This Row],[DESCRIPCION]],'CAP26-28'!$H:$H)</f>
        <v>0</v>
      </c>
      <c r="Q287" s="69">
        <f ca="1">SUMIF('CAP29'!$B:$H,Insumo[[#This Row],[DESCRIPCION]],'CAP29'!$H:$H)</f>
        <v>0</v>
      </c>
      <c r="T287" s="136">
        <v>13270</v>
      </c>
    </row>
    <row r="288" spans="1:20" ht="12" customHeight="1">
      <c r="A288" s="301" t="s">
        <v>2901</v>
      </c>
      <c r="B288" s="303" t="s">
        <v>30</v>
      </c>
      <c r="C288" s="304">
        <f t="shared" si="4"/>
        <v>5683.6500000000005</v>
      </c>
      <c r="D288" s="281" cm="1">
        <f t="array" aca="1" ref="D288" ca="1">IF(Insumo[[#This Row],[VALOR]]=0,Insumo[TOTAL],E288/C288)</f>
        <v>0</v>
      </c>
      <c r="E288" s="69">
        <f ca="1">SUM(Insumo[[#This Row],[CAP1-3]:[CAP29]])</f>
        <v>0</v>
      </c>
      <c r="F288" s="286">
        <f ca="1">SUMIF('CAP1-3'!$B:$H,Insumo[[#This Row],[DESCRIPCION]],'CAP1-3'!$H:$H)</f>
        <v>0</v>
      </c>
      <c r="G288" s="286">
        <f ca="1">SUMIF('CAP4-5'!$B:$H,Insumo[[#This Row],[DESCRIPCION]],'CAP4-5'!$H:$H)</f>
        <v>0</v>
      </c>
      <c r="H288" s="286">
        <f ca="1">SUMIF('CAP6-7'!$B:$H,Insumo[[#This Row],[DESCRIPCION]],'CAP6-7'!$H:$H)</f>
        <v>0</v>
      </c>
      <c r="I288" s="286">
        <f ca="1">SUMIF('CAP8'!$B:$H,Insumo[[#This Row],[DESCRIPCION]],'CAP8'!$H:$H)</f>
        <v>0</v>
      </c>
      <c r="J288" s="286">
        <f ca="1">SUMIF('CAP9-13'!$B:$H,Insumo[[#This Row],[DESCRIPCION]],'CAP9-13'!$H:$H)</f>
        <v>0</v>
      </c>
      <c r="K288" s="286">
        <f ca="1">SUMIF('CAP14-15'!$B:$H,Insumo[[#This Row],[DESCRIPCION]],'CAP14-15'!$H:$H)</f>
        <v>0</v>
      </c>
      <c r="L288" s="286">
        <f ca="1">SUMIF('CAP16-18'!$B:$H,Insumo[[#This Row],[DESCRIPCION]],'CAP16-18'!$H:$H)</f>
        <v>0</v>
      </c>
      <c r="M288" s="286">
        <f ca="1">SUMIF('CAP19-22'!$B:$H,Insumo[[#This Row],[DESCRIPCION]],'CAP19-22'!$H:$H)</f>
        <v>0</v>
      </c>
      <c r="N288" s="286">
        <f ca="1">SUMIF('CAP23-24'!$B:$H,Insumo[[#This Row],[DESCRIPCION]],'CAP23-24'!$H:$H)</f>
        <v>0</v>
      </c>
      <c r="O288" s="286">
        <f ca="1">SUMIF('CAP25'!$B:$H,Insumo[[#This Row],[DESCRIPCION]],'CAP25'!$H:$H)</f>
        <v>0</v>
      </c>
      <c r="P288" s="286">
        <f ca="1">SUMIF('CAP26-28'!$B:$H,Insumo[[#This Row],[DESCRIPCION]],'CAP26-28'!$H:$H)</f>
        <v>0</v>
      </c>
      <c r="Q288" s="286">
        <f ca="1">SUMIF('CAP29'!$B:$H,Insumo[[#This Row],[DESCRIPCION]],'CAP29'!$H:$H)</f>
        <v>0</v>
      </c>
      <c r="T288" s="136">
        <v>5413</v>
      </c>
    </row>
    <row r="289" spans="1:20" ht="12" customHeight="1">
      <c r="A289" s="301" t="s">
        <v>2902</v>
      </c>
      <c r="B289" s="303" t="s">
        <v>30</v>
      </c>
      <c r="C289" s="304">
        <f t="shared" si="4"/>
        <v>313497.45</v>
      </c>
      <c r="D289" s="281" cm="1">
        <f t="array" aca="1" ref="D289" ca="1">IF(Insumo[[#This Row],[VALOR]]=0,Insumo[TOTAL],E289/C289)</f>
        <v>0</v>
      </c>
      <c r="E289" s="69">
        <f ca="1">SUM(Insumo[[#This Row],[CAP1-3]:[CAP29]])</f>
        <v>0</v>
      </c>
      <c r="F289" s="69">
        <f ca="1">SUMIF('CAP1-3'!$B:$H,Insumo[[#This Row],[DESCRIPCION]],'CAP1-3'!$H:$H)</f>
        <v>0</v>
      </c>
      <c r="G289" s="69">
        <f ca="1">SUMIF('CAP4-5'!$B:$H,Insumo[[#This Row],[DESCRIPCION]],'CAP4-5'!$H:$H)</f>
        <v>0</v>
      </c>
      <c r="H289" s="69">
        <f ca="1">SUMIF('CAP6-7'!$B:$H,Insumo[[#This Row],[DESCRIPCION]],'CAP6-7'!$H:$H)</f>
        <v>0</v>
      </c>
      <c r="I289" s="69">
        <f ca="1">SUMIF('CAP8'!$B:$H,Insumo[[#This Row],[DESCRIPCION]],'CAP8'!$H:$H)</f>
        <v>0</v>
      </c>
      <c r="J289" s="69">
        <f ca="1">SUMIF('CAP9-13'!$B:$H,Insumo[[#This Row],[DESCRIPCION]],'CAP9-13'!$H:$H)</f>
        <v>0</v>
      </c>
      <c r="K289" s="69">
        <f ca="1">SUMIF('CAP14-15'!$B:$H,Insumo[[#This Row],[DESCRIPCION]],'CAP14-15'!$H:$H)</f>
        <v>0</v>
      </c>
      <c r="L289" s="69">
        <f ca="1">SUMIF('CAP16-18'!$B:$H,Insumo[[#This Row],[DESCRIPCION]],'CAP16-18'!$H:$H)</f>
        <v>0</v>
      </c>
      <c r="M289" s="69">
        <f ca="1">SUMIF('CAP19-22'!$B:$H,Insumo[[#This Row],[DESCRIPCION]],'CAP19-22'!$H:$H)</f>
        <v>0</v>
      </c>
      <c r="N289" s="69">
        <f ca="1">SUMIF('CAP23-24'!$B:$H,Insumo[[#This Row],[DESCRIPCION]],'CAP23-24'!$H:$H)</f>
        <v>0</v>
      </c>
      <c r="O289" s="69">
        <f ca="1">SUMIF('CAP25'!$B:$H,Insumo[[#This Row],[DESCRIPCION]],'CAP25'!$H:$H)</f>
        <v>0</v>
      </c>
      <c r="P289" s="69">
        <f ca="1">SUMIF('CAP26-28'!$B:$H,Insumo[[#This Row],[DESCRIPCION]],'CAP26-28'!$H:$H)</f>
        <v>0</v>
      </c>
      <c r="Q289" s="69">
        <f ca="1">SUMIF('CAP29'!$B:$H,Insumo[[#This Row],[DESCRIPCION]],'CAP29'!$H:$H)</f>
        <v>0</v>
      </c>
      <c r="T289" s="136">
        <v>298569</v>
      </c>
    </row>
    <row r="290" spans="1:20" ht="12" customHeight="1">
      <c r="A290" s="301" t="s">
        <v>2903</v>
      </c>
      <c r="B290" s="303" t="s">
        <v>30</v>
      </c>
      <c r="C290" s="304">
        <f t="shared" si="4"/>
        <v>352353.75</v>
      </c>
      <c r="D290" s="281" cm="1">
        <f t="array" aca="1" ref="D290" ca="1">IF(Insumo[[#This Row],[VALOR]]=0,Insumo[TOTAL],E290/C290)</f>
        <v>0</v>
      </c>
      <c r="E290" s="69">
        <f ca="1">SUM(Insumo[[#This Row],[CAP1-3]:[CAP29]])</f>
        <v>0</v>
      </c>
      <c r="F290" s="69">
        <f ca="1">SUMIF('CAP1-3'!$B:$H,Insumo[[#This Row],[DESCRIPCION]],'CAP1-3'!$H:$H)</f>
        <v>0</v>
      </c>
      <c r="G290" s="69">
        <f ca="1">SUMIF('CAP4-5'!$B:$H,Insumo[[#This Row],[DESCRIPCION]],'CAP4-5'!$H:$H)</f>
        <v>0</v>
      </c>
      <c r="H290" s="69">
        <f ca="1">SUMIF('CAP6-7'!$B:$H,Insumo[[#This Row],[DESCRIPCION]],'CAP6-7'!$H:$H)</f>
        <v>0</v>
      </c>
      <c r="I290" s="69">
        <f ca="1">SUMIF('CAP8'!$B:$H,Insumo[[#This Row],[DESCRIPCION]],'CAP8'!$H:$H)</f>
        <v>0</v>
      </c>
      <c r="J290" s="69">
        <f ca="1">SUMIF('CAP9-13'!$B:$H,Insumo[[#This Row],[DESCRIPCION]],'CAP9-13'!$H:$H)</f>
        <v>0</v>
      </c>
      <c r="K290" s="69">
        <f ca="1">SUMIF('CAP14-15'!$B:$H,Insumo[[#This Row],[DESCRIPCION]],'CAP14-15'!$H:$H)</f>
        <v>0</v>
      </c>
      <c r="L290" s="69">
        <f ca="1">SUMIF('CAP16-18'!$B:$H,Insumo[[#This Row],[DESCRIPCION]],'CAP16-18'!$H:$H)</f>
        <v>0</v>
      </c>
      <c r="M290" s="69">
        <f ca="1">SUMIF('CAP19-22'!$B:$H,Insumo[[#This Row],[DESCRIPCION]],'CAP19-22'!$H:$H)</f>
        <v>0</v>
      </c>
      <c r="N290" s="69">
        <f ca="1">SUMIF('CAP23-24'!$B:$H,Insumo[[#This Row],[DESCRIPCION]],'CAP23-24'!$H:$H)</f>
        <v>0</v>
      </c>
      <c r="O290" s="69">
        <f ca="1">SUMIF('CAP25'!$B:$H,Insumo[[#This Row],[DESCRIPCION]],'CAP25'!$H:$H)</f>
        <v>0</v>
      </c>
      <c r="P290" s="69">
        <f ca="1">SUMIF('CAP26-28'!$B:$H,Insumo[[#This Row],[DESCRIPCION]],'CAP26-28'!$H:$H)</f>
        <v>0</v>
      </c>
      <c r="Q290" s="69">
        <f ca="1">SUMIF('CAP29'!$B:$H,Insumo[[#This Row],[DESCRIPCION]],'CAP29'!$H:$H)</f>
        <v>0</v>
      </c>
      <c r="T290" s="136">
        <v>335575</v>
      </c>
    </row>
    <row r="291" spans="1:20" ht="12" customHeight="1">
      <c r="A291" s="301" t="s">
        <v>2904</v>
      </c>
      <c r="B291" s="303" t="s">
        <v>20</v>
      </c>
      <c r="C291" s="304">
        <f t="shared" si="4"/>
        <v>43038.450000000004</v>
      </c>
      <c r="D291" s="281" cm="1">
        <f t="array" aca="1" ref="D291" ca="1">IF(Insumo[[#This Row],[VALOR]]=0,Insumo[TOTAL],E291/C291)</f>
        <v>0</v>
      </c>
      <c r="E291" s="69">
        <f ca="1">SUM(Insumo[[#This Row],[CAP1-3]:[CAP29]])</f>
        <v>0</v>
      </c>
      <c r="F291" s="69">
        <f ca="1">SUMIF('CAP1-3'!$B:$H,Insumo[[#This Row],[DESCRIPCION]],'CAP1-3'!$H:$H)</f>
        <v>0</v>
      </c>
      <c r="G291" s="69">
        <f ca="1">SUMIF('CAP4-5'!$B:$H,Insumo[[#This Row],[DESCRIPCION]],'CAP4-5'!$H:$H)</f>
        <v>0</v>
      </c>
      <c r="H291" s="69">
        <f ca="1">SUMIF('CAP6-7'!$B:$H,Insumo[[#This Row],[DESCRIPCION]],'CAP6-7'!$H:$H)</f>
        <v>0</v>
      </c>
      <c r="I291" s="69">
        <f ca="1">SUMIF('CAP8'!$B:$H,Insumo[[#This Row],[DESCRIPCION]],'CAP8'!$H:$H)</f>
        <v>0</v>
      </c>
      <c r="J291" s="69">
        <f ca="1">SUMIF('CAP9-13'!$B:$H,Insumo[[#This Row],[DESCRIPCION]],'CAP9-13'!$H:$H)</f>
        <v>0</v>
      </c>
      <c r="K291" s="69">
        <f ca="1">SUMIF('CAP14-15'!$B:$H,Insumo[[#This Row],[DESCRIPCION]],'CAP14-15'!$H:$H)</f>
        <v>0</v>
      </c>
      <c r="L291" s="69">
        <f ca="1">SUMIF('CAP16-18'!$B:$H,Insumo[[#This Row],[DESCRIPCION]],'CAP16-18'!$H:$H)</f>
        <v>0</v>
      </c>
      <c r="M291" s="69">
        <f ca="1">SUMIF('CAP19-22'!$B:$H,Insumo[[#This Row],[DESCRIPCION]],'CAP19-22'!$H:$H)</f>
        <v>0</v>
      </c>
      <c r="N291" s="69">
        <f ca="1">SUMIF('CAP23-24'!$B:$H,Insumo[[#This Row],[DESCRIPCION]],'CAP23-24'!$H:$H)</f>
        <v>0</v>
      </c>
      <c r="O291" s="69">
        <f ca="1">SUMIF('CAP25'!$B:$H,Insumo[[#This Row],[DESCRIPCION]],'CAP25'!$H:$H)</f>
        <v>0</v>
      </c>
      <c r="P291" s="69">
        <f ca="1">SUMIF('CAP26-28'!$B:$H,Insumo[[#This Row],[DESCRIPCION]],'CAP26-28'!$H:$H)</f>
        <v>0</v>
      </c>
      <c r="Q291" s="69">
        <f ca="1">SUMIF('CAP29'!$B:$H,Insumo[[#This Row],[DESCRIPCION]],'CAP29'!$H:$H)</f>
        <v>0</v>
      </c>
      <c r="T291" s="136">
        <v>40989</v>
      </c>
    </row>
    <row r="292" spans="1:20" ht="12" customHeight="1">
      <c r="A292" s="301" t="s">
        <v>2905</v>
      </c>
      <c r="B292" s="303" t="s">
        <v>20</v>
      </c>
      <c r="C292" s="304">
        <f t="shared" si="4"/>
        <v>134581.65</v>
      </c>
      <c r="D292" s="281" cm="1">
        <f t="array" aca="1" ref="D292" ca="1">IF(Insumo[[#This Row],[VALOR]]=0,Insumo[TOTAL],E292/C292)</f>
        <v>0</v>
      </c>
      <c r="E292" s="69">
        <f ca="1">SUM(Insumo[[#This Row],[CAP1-3]:[CAP29]])</f>
        <v>0</v>
      </c>
      <c r="F292" s="69">
        <f ca="1">SUMIF('CAP1-3'!$B:$H,Insumo[[#This Row],[DESCRIPCION]],'CAP1-3'!$H:$H)</f>
        <v>0</v>
      </c>
      <c r="G292" s="69">
        <f ca="1">SUMIF('CAP4-5'!$B:$H,Insumo[[#This Row],[DESCRIPCION]],'CAP4-5'!$H:$H)</f>
        <v>0</v>
      </c>
      <c r="H292" s="69">
        <f ca="1">SUMIF('CAP6-7'!$B:$H,Insumo[[#This Row],[DESCRIPCION]],'CAP6-7'!$H:$H)</f>
        <v>0</v>
      </c>
      <c r="I292" s="69">
        <f ca="1">SUMIF('CAP8'!$B:$H,Insumo[[#This Row],[DESCRIPCION]],'CAP8'!$H:$H)</f>
        <v>0</v>
      </c>
      <c r="J292" s="69">
        <f ca="1">SUMIF('CAP9-13'!$B:$H,Insumo[[#This Row],[DESCRIPCION]],'CAP9-13'!$H:$H)</f>
        <v>0</v>
      </c>
      <c r="K292" s="69">
        <f ca="1">SUMIF('CAP14-15'!$B:$H,Insumo[[#This Row],[DESCRIPCION]],'CAP14-15'!$H:$H)</f>
        <v>0</v>
      </c>
      <c r="L292" s="69">
        <f ca="1">SUMIF('CAP16-18'!$B:$H,Insumo[[#This Row],[DESCRIPCION]],'CAP16-18'!$H:$H)</f>
        <v>0</v>
      </c>
      <c r="M292" s="69">
        <f ca="1">SUMIF('CAP19-22'!$B:$H,Insumo[[#This Row],[DESCRIPCION]],'CAP19-22'!$H:$H)</f>
        <v>0</v>
      </c>
      <c r="N292" s="69">
        <f ca="1">SUMIF('CAP23-24'!$B:$H,Insumo[[#This Row],[DESCRIPCION]],'CAP23-24'!$H:$H)</f>
        <v>0</v>
      </c>
      <c r="O292" s="69">
        <f ca="1">SUMIF('CAP25'!$B:$H,Insumo[[#This Row],[DESCRIPCION]],'CAP25'!$H:$H)</f>
        <v>0</v>
      </c>
      <c r="P292" s="69">
        <f ca="1">SUMIF('CAP26-28'!$B:$H,Insumo[[#This Row],[DESCRIPCION]],'CAP26-28'!$H:$H)</f>
        <v>0</v>
      </c>
      <c r="Q292" s="69">
        <f ca="1">SUMIF('CAP29'!$B:$H,Insumo[[#This Row],[DESCRIPCION]],'CAP29'!$H:$H)</f>
        <v>0</v>
      </c>
      <c r="T292" s="136">
        <v>128173</v>
      </c>
    </row>
    <row r="293" spans="1:20" ht="12" customHeight="1">
      <c r="A293" s="301" t="s">
        <v>2906</v>
      </c>
      <c r="B293" s="303" t="s">
        <v>23</v>
      </c>
      <c r="C293" s="304">
        <f t="shared" si="4"/>
        <v>23357.25</v>
      </c>
      <c r="D293" s="281" cm="1">
        <f t="array" aca="1" ref="D293" ca="1">IF(Insumo[[#This Row],[VALOR]]=0,Insumo[TOTAL],E293/C293)</f>
        <v>0</v>
      </c>
      <c r="E293" s="69">
        <f ca="1">SUM(Insumo[[#This Row],[CAP1-3]:[CAP29]])</f>
        <v>0</v>
      </c>
      <c r="F293" s="69">
        <f ca="1">SUMIF('CAP1-3'!$B:$H,Insumo[[#This Row],[DESCRIPCION]],'CAP1-3'!$H:$H)</f>
        <v>0</v>
      </c>
      <c r="G293" s="69">
        <f ca="1">SUMIF('CAP4-5'!$B:$H,Insumo[[#This Row],[DESCRIPCION]],'CAP4-5'!$H:$H)</f>
        <v>0</v>
      </c>
      <c r="H293" s="69">
        <f ca="1">SUMIF('CAP6-7'!$B:$H,Insumo[[#This Row],[DESCRIPCION]],'CAP6-7'!$H:$H)</f>
        <v>0</v>
      </c>
      <c r="I293" s="69">
        <f ca="1">SUMIF('CAP8'!$B:$H,Insumo[[#This Row],[DESCRIPCION]],'CAP8'!$H:$H)</f>
        <v>0</v>
      </c>
      <c r="J293" s="69">
        <f ca="1">SUMIF('CAP9-13'!$B:$H,Insumo[[#This Row],[DESCRIPCION]],'CAP9-13'!$H:$H)</f>
        <v>0</v>
      </c>
      <c r="K293" s="69">
        <f ca="1">SUMIF('CAP14-15'!$B:$H,Insumo[[#This Row],[DESCRIPCION]],'CAP14-15'!$H:$H)</f>
        <v>0</v>
      </c>
      <c r="L293" s="69">
        <f ca="1">SUMIF('CAP16-18'!$B:$H,Insumo[[#This Row],[DESCRIPCION]],'CAP16-18'!$H:$H)</f>
        <v>0</v>
      </c>
      <c r="M293" s="69">
        <f ca="1">SUMIF('CAP19-22'!$B:$H,Insumo[[#This Row],[DESCRIPCION]],'CAP19-22'!$H:$H)</f>
        <v>0</v>
      </c>
      <c r="N293" s="69">
        <f ca="1">SUMIF('CAP23-24'!$B:$H,Insumo[[#This Row],[DESCRIPCION]],'CAP23-24'!$H:$H)</f>
        <v>0</v>
      </c>
      <c r="O293" s="69">
        <f ca="1">SUMIF('CAP25'!$B:$H,Insumo[[#This Row],[DESCRIPCION]],'CAP25'!$H:$H)</f>
        <v>0</v>
      </c>
      <c r="P293" s="69">
        <f ca="1">SUMIF('CAP26-28'!$B:$H,Insumo[[#This Row],[DESCRIPCION]],'CAP26-28'!$H:$H)</f>
        <v>0</v>
      </c>
      <c r="Q293" s="69">
        <f ca="1">SUMIF('CAP29'!$B:$H,Insumo[[#This Row],[DESCRIPCION]],'CAP29'!$H:$H)</f>
        <v>0</v>
      </c>
      <c r="T293" s="136">
        <v>22245</v>
      </c>
    </row>
    <row r="294" spans="1:20" ht="12" customHeight="1">
      <c r="A294" s="301" t="s">
        <v>2907</v>
      </c>
      <c r="B294" s="303" t="s">
        <v>23</v>
      </c>
      <c r="C294" s="304">
        <f t="shared" si="4"/>
        <v>15750</v>
      </c>
      <c r="D294" s="281" cm="1">
        <f t="array" aca="1" ref="D294" ca="1">IF(Insumo[[#This Row],[VALOR]]=0,Insumo[TOTAL],E294/C294)</f>
        <v>0</v>
      </c>
      <c r="E294" s="69">
        <f ca="1">SUM(Insumo[[#This Row],[CAP1-3]:[CAP29]])</f>
        <v>0</v>
      </c>
      <c r="F294" s="69">
        <f ca="1">SUMIF('CAP1-3'!$B:$H,Insumo[[#This Row],[DESCRIPCION]],'CAP1-3'!$H:$H)</f>
        <v>0</v>
      </c>
      <c r="G294" s="69">
        <f ca="1">SUMIF('CAP4-5'!$B:$H,Insumo[[#This Row],[DESCRIPCION]],'CAP4-5'!$H:$H)</f>
        <v>0</v>
      </c>
      <c r="H294" s="69">
        <f ca="1">SUMIF('CAP6-7'!$B:$H,Insumo[[#This Row],[DESCRIPCION]],'CAP6-7'!$H:$H)</f>
        <v>0</v>
      </c>
      <c r="I294" s="69">
        <f ca="1">SUMIF('CAP8'!$B:$H,Insumo[[#This Row],[DESCRIPCION]],'CAP8'!$H:$H)</f>
        <v>0</v>
      </c>
      <c r="J294" s="69">
        <f ca="1">SUMIF('CAP9-13'!$B:$H,Insumo[[#This Row],[DESCRIPCION]],'CAP9-13'!$H:$H)</f>
        <v>0</v>
      </c>
      <c r="K294" s="69">
        <f ca="1">SUMIF('CAP14-15'!$B:$H,Insumo[[#This Row],[DESCRIPCION]],'CAP14-15'!$H:$H)</f>
        <v>0</v>
      </c>
      <c r="L294" s="69">
        <f ca="1">SUMIF('CAP16-18'!$B:$H,Insumo[[#This Row],[DESCRIPCION]],'CAP16-18'!$H:$H)</f>
        <v>0</v>
      </c>
      <c r="M294" s="69">
        <f ca="1">SUMIF('CAP19-22'!$B:$H,Insumo[[#This Row],[DESCRIPCION]],'CAP19-22'!$H:$H)</f>
        <v>0</v>
      </c>
      <c r="N294" s="69">
        <f ca="1">SUMIF('CAP23-24'!$B:$H,Insumo[[#This Row],[DESCRIPCION]],'CAP23-24'!$H:$H)</f>
        <v>0</v>
      </c>
      <c r="O294" s="69">
        <f ca="1">SUMIF('CAP25'!$B:$H,Insumo[[#This Row],[DESCRIPCION]],'CAP25'!$H:$H)</f>
        <v>0</v>
      </c>
      <c r="P294" s="69">
        <f ca="1">SUMIF('CAP26-28'!$B:$H,Insumo[[#This Row],[DESCRIPCION]],'CAP26-28'!$H:$H)</f>
        <v>0</v>
      </c>
      <c r="Q294" s="69">
        <f ca="1">SUMIF('CAP29'!$B:$H,Insumo[[#This Row],[DESCRIPCION]],'CAP29'!$H:$H)</f>
        <v>0</v>
      </c>
      <c r="R294" s="290"/>
      <c r="T294" s="136">
        <v>15000</v>
      </c>
    </row>
    <row r="295" spans="1:20" ht="12" customHeight="1">
      <c r="A295" s="301" t="s">
        <v>2908</v>
      </c>
      <c r="B295" s="303" t="s">
        <v>23</v>
      </c>
      <c r="C295" s="304">
        <f t="shared" si="4"/>
        <v>11550</v>
      </c>
      <c r="D295" s="281" cm="1">
        <f t="array" aca="1" ref="D295" ca="1">IF(Insumo[[#This Row],[VALOR]]=0,Insumo[TOTAL],E295/C295)</f>
        <v>0</v>
      </c>
      <c r="E295" s="69">
        <f ca="1">SUM(Insumo[[#This Row],[CAP1-3]:[CAP29]])</f>
        <v>0</v>
      </c>
      <c r="F295" s="69">
        <f ca="1">SUMIF('CAP1-3'!$B:$H,Insumo[[#This Row],[DESCRIPCION]],'CAP1-3'!$H:$H)</f>
        <v>0</v>
      </c>
      <c r="G295" s="69">
        <f ca="1">SUMIF('CAP4-5'!$B:$H,Insumo[[#This Row],[DESCRIPCION]],'CAP4-5'!$H:$H)</f>
        <v>0</v>
      </c>
      <c r="H295" s="69">
        <f ca="1">SUMIF('CAP6-7'!$B:$H,Insumo[[#This Row],[DESCRIPCION]],'CAP6-7'!$H:$H)</f>
        <v>0</v>
      </c>
      <c r="I295" s="69">
        <f ca="1">SUMIF('CAP8'!$B:$H,Insumo[[#This Row],[DESCRIPCION]],'CAP8'!$H:$H)</f>
        <v>0</v>
      </c>
      <c r="J295" s="69">
        <f ca="1">SUMIF('CAP9-13'!$B:$H,Insumo[[#This Row],[DESCRIPCION]],'CAP9-13'!$H:$H)</f>
        <v>0</v>
      </c>
      <c r="K295" s="69">
        <f ca="1">SUMIF('CAP14-15'!$B:$H,Insumo[[#This Row],[DESCRIPCION]],'CAP14-15'!$H:$H)</f>
        <v>0</v>
      </c>
      <c r="L295" s="69">
        <f ca="1">SUMIF('CAP16-18'!$B:$H,Insumo[[#This Row],[DESCRIPCION]],'CAP16-18'!$H:$H)</f>
        <v>0</v>
      </c>
      <c r="M295" s="69">
        <f ca="1">SUMIF('CAP19-22'!$B:$H,Insumo[[#This Row],[DESCRIPCION]],'CAP19-22'!$H:$H)</f>
        <v>0</v>
      </c>
      <c r="N295" s="69">
        <f ca="1">SUMIF('CAP23-24'!$B:$H,Insumo[[#This Row],[DESCRIPCION]],'CAP23-24'!$H:$H)</f>
        <v>0</v>
      </c>
      <c r="O295" s="69">
        <f ca="1">SUMIF('CAP25'!$B:$H,Insumo[[#This Row],[DESCRIPCION]],'CAP25'!$H:$H)</f>
        <v>0</v>
      </c>
      <c r="P295" s="69">
        <f ca="1">SUMIF('CAP26-28'!$B:$H,Insumo[[#This Row],[DESCRIPCION]],'CAP26-28'!$H:$H)</f>
        <v>0</v>
      </c>
      <c r="Q295" s="69">
        <f ca="1">SUMIF('CAP29'!$B:$H,Insumo[[#This Row],[DESCRIPCION]],'CAP29'!$H:$H)</f>
        <v>0</v>
      </c>
      <c r="R295" s="290"/>
      <c r="T295" s="136">
        <v>11000</v>
      </c>
    </row>
    <row r="296" spans="1:20" ht="12" customHeight="1">
      <c r="A296" s="301" t="s">
        <v>2909</v>
      </c>
      <c r="B296" s="303" t="s">
        <v>23</v>
      </c>
      <c r="C296" s="304">
        <f t="shared" si="4"/>
        <v>8925</v>
      </c>
      <c r="D296" s="281" cm="1">
        <f t="array" aca="1" ref="D296" ca="1">IF(Insumo[[#This Row],[VALOR]]=0,Insumo[TOTAL],E296/C296)</f>
        <v>0</v>
      </c>
      <c r="E296" s="69">
        <f ca="1">SUM(Insumo[[#This Row],[CAP1-3]:[CAP29]])</f>
        <v>0</v>
      </c>
      <c r="F296" s="69">
        <f ca="1">SUMIF('CAP1-3'!$B:$H,Insumo[[#This Row],[DESCRIPCION]],'CAP1-3'!$H:$H)</f>
        <v>0</v>
      </c>
      <c r="G296" s="69">
        <f ca="1">SUMIF('CAP4-5'!$B:$H,Insumo[[#This Row],[DESCRIPCION]],'CAP4-5'!$H:$H)</f>
        <v>0</v>
      </c>
      <c r="H296" s="69">
        <f ca="1">SUMIF('CAP6-7'!$B:$H,Insumo[[#This Row],[DESCRIPCION]],'CAP6-7'!$H:$H)</f>
        <v>0</v>
      </c>
      <c r="I296" s="69">
        <f ca="1">SUMIF('CAP8'!$B:$H,Insumo[[#This Row],[DESCRIPCION]],'CAP8'!$H:$H)</f>
        <v>0</v>
      </c>
      <c r="J296" s="69">
        <f ca="1">SUMIF('CAP9-13'!$B:$H,Insumo[[#This Row],[DESCRIPCION]],'CAP9-13'!$H:$H)</f>
        <v>0</v>
      </c>
      <c r="K296" s="69">
        <f ca="1">SUMIF('CAP14-15'!$B:$H,Insumo[[#This Row],[DESCRIPCION]],'CAP14-15'!$H:$H)</f>
        <v>0</v>
      </c>
      <c r="L296" s="69">
        <f ca="1">SUMIF('CAP16-18'!$B:$H,Insumo[[#This Row],[DESCRIPCION]],'CAP16-18'!$H:$H)</f>
        <v>0</v>
      </c>
      <c r="M296" s="69">
        <f ca="1">SUMIF('CAP19-22'!$B:$H,Insumo[[#This Row],[DESCRIPCION]],'CAP19-22'!$H:$H)</f>
        <v>0</v>
      </c>
      <c r="N296" s="69">
        <f ca="1">SUMIF('CAP23-24'!$B:$H,Insumo[[#This Row],[DESCRIPCION]],'CAP23-24'!$H:$H)</f>
        <v>0</v>
      </c>
      <c r="O296" s="69">
        <f ca="1">SUMIF('CAP25'!$B:$H,Insumo[[#This Row],[DESCRIPCION]],'CAP25'!$H:$H)</f>
        <v>0</v>
      </c>
      <c r="P296" s="69">
        <f ca="1">SUMIF('CAP26-28'!$B:$H,Insumo[[#This Row],[DESCRIPCION]],'CAP26-28'!$H:$H)</f>
        <v>0</v>
      </c>
      <c r="Q296" s="69">
        <f ca="1">SUMIF('CAP29'!$B:$H,Insumo[[#This Row],[DESCRIPCION]],'CAP29'!$H:$H)</f>
        <v>0</v>
      </c>
      <c r="R296" s="290"/>
      <c r="T296" s="136">
        <v>8500</v>
      </c>
    </row>
    <row r="297" spans="1:20" ht="12" customHeight="1">
      <c r="A297" s="301" t="s">
        <v>2910</v>
      </c>
      <c r="B297" s="303" t="s">
        <v>23</v>
      </c>
      <c r="C297" s="304">
        <f t="shared" si="4"/>
        <v>6825</v>
      </c>
      <c r="D297" s="281" cm="1">
        <f t="array" aca="1" ref="D297" ca="1">IF(Insumo[[#This Row],[VALOR]]=0,Insumo[TOTAL],E297/C297)</f>
        <v>0</v>
      </c>
      <c r="E297" s="69">
        <f ca="1">SUM(Insumo[[#This Row],[CAP1-3]:[CAP29]])</f>
        <v>0</v>
      </c>
      <c r="F297" s="69">
        <f ca="1">SUMIF('CAP1-3'!$B:$H,Insumo[[#This Row],[DESCRIPCION]],'CAP1-3'!$H:$H)</f>
        <v>0</v>
      </c>
      <c r="G297" s="69">
        <f ca="1">SUMIF('CAP4-5'!$B:$H,Insumo[[#This Row],[DESCRIPCION]],'CAP4-5'!$H:$H)</f>
        <v>0</v>
      </c>
      <c r="H297" s="69">
        <f ca="1">SUMIF('CAP6-7'!$B:$H,Insumo[[#This Row],[DESCRIPCION]],'CAP6-7'!$H:$H)</f>
        <v>0</v>
      </c>
      <c r="I297" s="69">
        <f ca="1">SUMIF('CAP8'!$B:$H,Insumo[[#This Row],[DESCRIPCION]],'CAP8'!$H:$H)</f>
        <v>0</v>
      </c>
      <c r="J297" s="69">
        <f ca="1">SUMIF('CAP9-13'!$B:$H,Insumo[[#This Row],[DESCRIPCION]],'CAP9-13'!$H:$H)</f>
        <v>0</v>
      </c>
      <c r="K297" s="69">
        <f ca="1">SUMIF('CAP14-15'!$B:$H,Insumo[[#This Row],[DESCRIPCION]],'CAP14-15'!$H:$H)</f>
        <v>0</v>
      </c>
      <c r="L297" s="69">
        <f ca="1">SUMIF('CAP16-18'!$B:$H,Insumo[[#This Row],[DESCRIPCION]],'CAP16-18'!$H:$H)</f>
        <v>0</v>
      </c>
      <c r="M297" s="69">
        <f ca="1">SUMIF('CAP19-22'!$B:$H,Insumo[[#This Row],[DESCRIPCION]],'CAP19-22'!$H:$H)</f>
        <v>0</v>
      </c>
      <c r="N297" s="69">
        <f ca="1">SUMIF('CAP23-24'!$B:$H,Insumo[[#This Row],[DESCRIPCION]],'CAP23-24'!$H:$H)</f>
        <v>0</v>
      </c>
      <c r="O297" s="69">
        <f ca="1">SUMIF('CAP25'!$B:$H,Insumo[[#This Row],[DESCRIPCION]],'CAP25'!$H:$H)</f>
        <v>0</v>
      </c>
      <c r="P297" s="69">
        <f ca="1">SUMIF('CAP26-28'!$B:$H,Insumo[[#This Row],[DESCRIPCION]],'CAP26-28'!$H:$H)</f>
        <v>0</v>
      </c>
      <c r="Q297" s="69">
        <f ca="1">SUMIF('CAP29'!$B:$H,Insumo[[#This Row],[DESCRIPCION]],'CAP29'!$H:$H)</f>
        <v>0</v>
      </c>
      <c r="R297" s="290"/>
      <c r="T297" s="136">
        <v>6500</v>
      </c>
    </row>
    <row r="298" spans="1:20" ht="12" customHeight="1">
      <c r="A298" s="301" t="s">
        <v>2911</v>
      </c>
      <c r="B298" s="303" t="s">
        <v>23</v>
      </c>
      <c r="C298" s="304">
        <f t="shared" si="4"/>
        <v>1207.5</v>
      </c>
      <c r="D298" s="281" cm="1">
        <f t="array" aca="1" ref="D298" ca="1">IF(Insumo[[#This Row],[VALOR]]=0,Insumo[TOTAL],E298/C298)</f>
        <v>0</v>
      </c>
      <c r="E298" s="69">
        <f ca="1">SUM(Insumo[[#This Row],[CAP1-3]:[CAP29]])</f>
        <v>0</v>
      </c>
      <c r="F298" s="69">
        <f ca="1">SUMIF('CAP1-3'!$B:$H,Insumo[[#This Row],[DESCRIPCION]],'CAP1-3'!$H:$H)</f>
        <v>0</v>
      </c>
      <c r="G298" s="69">
        <f ca="1">SUMIF('CAP4-5'!$B:$H,Insumo[[#This Row],[DESCRIPCION]],'CAP4-5'!$H:$H)</f>
        <v>0</v>
      </c>
      <c r="H298" s="69">
        <f ca="1">SUMIF('CAP6-7'!$B:$H,Insumo[[#This Row],[DESCRIPCION]],'CAP6-7'!$H:$H)</f>
        <v>0</v>
      </c>
      <c r="I298" s="69">
        <f ca="1">SUMIF('CAP8'!$B:$H,Insumo[[#This Row],[DESCRIPCION]],'CAP8'!$H:$H)</f>
        <v>0</v>
      </c>
      <c r="J298" s="69">
        <f ca="1">SUMIF('CAP9-13'!$B:$H,Insumo[[#This Row],[DESCRIPCION]],'CAP9-13'!$H:$H)</f>
        <v>0</v>
      </c>
      <c r="K298" s="69">
        <f ca="1">SUMIF('CAP14-15'!$B:$H,Insumo[[#This Row],[DESCRIPCION]],'CAP14-15'!$H:$H)</f>
        <v>0</v>
      </c>
      <c r="L298" s="69">
        <f ca="1">SUMIF('CAP16-18'!$B:$H,Insumo[[#This Row],[DESCRIPCION]],'CAP16-18'!$H:$H)</f>
        <v>0</v>
      </c>
      <c r="M298" s="69">
        <f ca="1">SUMIF('CAP19-22'!$B:$H,Insumo[[#This Row],[DESCRIPCION]],'CAP19-22'!$H:$H)</f>
        <v>0</v>
      </c>
      <c r="N298" s="69">
        <f ca="1">SUMIF('CAP23-24'!$B:$H,Insumo[[#This Row],[DESCRIPCION]],'CAP23-24'!$H:$H)</f>
        <v>0</v>
      </c>
      <c r="O298" s="69">
        <f ca="1">SUMIF('CAP25'!$B:$H,Insumo[[#This Row],[DESCRIPCION]],'CAP25'!$H:$H)</f>
        <v>0</v>
      </c>
      <c r="P298" s="69">
        <f ca="1">SUMIF('CAP26-28'!$B:$H,Insumo[[#This Row],[DESCRIPCION]],'CAP26-28'!$H:$H)</f>
        <v>0</v>
      </c>
      <c r="Q298" s="69">
        <f ca="1">SUMIF('CAP29'!$B:$H,Insumo[[#This Row],[DESCRIPCION]],'CAP29'!$H:$H)</f>
        <v>0</v>
      </c>
      <c r="R298" s="290"/>
      <c r="T298" s="136">
        <v>1150</v>
      </c>
    </row>
    <row r="299" spans="1:20" ht="12" customHeight="1">
      <c r="A299" s="301" t="s">
        <v>2912</v>
      </c>
      <c r="B299" s="303" t="s">
        <v>23</v>
      </c>
      <c r="C299" s="304">
        <f t="shared" si="4"/>
        <v>4410</v>
      </c>
      <c r="D299" s="281" cm="1">
        <f t="array" aca="1" ref="D299" ca="1">IF(Insumo[[#This Row],[VALOR]]=0,Insumo[TOTAL],E299/C299)</f>
        <v>0</v>
      </c>
      <c r="E299" s="69">
        <f ca="1">SUM(Insumo[[#This Row],[CAP1-3]:[CAP29]])</f>
        <v>0</v>
      </c>
      <c r="F299" s="69">
        <f ca="1">SUMIF('CAP1-3'!$B:$H,Insumo[[#This Row],[DESCRIPCION]],'CAP1-3'!$H:$H)</f>
        <v>0</v>
      </c>
      <c r="G299" s="69">
        <f ca="1">SUMIF('CAP4-5'!$B:$H,Insumo[[#This Row],[DESCRIPCION]],'CAP4-5'!$H:$H)</f>
        <v>0</v>
      </c>
      <c r="H299" s="69">
        <f ca="1">SUMIF('CAP6-7'!$B:$H,Insumo[[#This Row],[DESCRIPCION]],'CAP6-7'!$H:$H)</f>
        <v>0</v>
      </c>
      <c r="I299" s="69">
        <f ca="1">SUMIF('CAP8'!$B:$H,Insumo[[#This Row],[DESCRIPCION]],'CAP8'!$H:$H)</f>
        <v>0</v>
      </c>
      <c r="J299" s="69">
        <f ca="1">SUMIF('CAP9-13'!$B:$H,Insumo[[#This Row],[DESCRIPCION]],'CAP9-13'!$H:$H)</f>
        <v>0</v>
      </c>
      <c r="K299" s="69">
        <f ca="1">SUMIF('CAP14-15'!$B:$H,Insumo[[#This Row],[DESCRIPCION]],'CAP14-15'!$H:$H)</f>
        <v>0</v>
      </c>
      <c r="L299" s="69">
        <f ca="1">SUMIF('CAP16-18'!$B:$H,Insumo[[#This Row],[DESCRIPCION]],'CAP16-18'!$H:$H)</f>
        <v>0</v>
      </c>
      <c r="M299" s="69">
        <f ca="1">SUMIF('CAP19-22'!$B:$H,Insumo[[#This Row],[DESCRIPCION]],'CAP19-22'!$H:$H)</f>
        <v>0</v>
      </c>
      <c r="N299" s="69">
        <f ca="1">SUMIF('CAP23-24'!$B:$H,Insumo[[#This Row],[DESCRIPCION]],'CAP23-24'!$H:$H)</f>
        <v>0</v>
      </c>
      <c r="O299" s="69">
        <f ca="1">SUMIF('CAP25'!$B:$H,Insumo[[#This Row],[DESCRIPCION]],'CAP25'!$H:$H)</f>
        <v>0</v>
      </c>
      <c r="P299" s="69">
        <f ca="1">SUMIF('CAP26-28'!$B:$H,Insumo[[#This Row],[DESCRIPCION]],'CAP26-28'!$H:$H)</f>
        <v>0</v>
      </c>
      <c r="Q299" s="69">
        <f ca="1">SUMIF('CAP29'!$B:$H,Insumo[[#This Row],[DESCRIPCION]],'CAP29'!$H:$H)</f>
        <v>0</v>
      </c>
      <c r="R299" s="290"/>
      <c r="T299" s="136">
        <v>4200</v>
      </c>
    </row>
    <row r="300" spans="1:20" ht="12" customHeight="1">
      <c r="A300" s="301" t="s">
        <v>2913</v>
      </c>
      <c r="B300" s="303" t="s">
        <v>23</v>
      </c>
      <c r="C300" s="304">
        <f t="shared" si="4"/>
        <v>1312.5</v>
      </c>
      <c r="D300" s="281" cm="1">
        <f t="array" aca="1" ref="D300" ca="1">IF(Insumo[[#This Row],[VALOR]]=0,Insumo[TOTAL],E300/C300)</f>
        <v>0</v>
      </c>
      <c r="E300" s="69">
        <f ca="1">SUM(Insumo[[#This Row],[CAP1-3]:[CAP29]])</f>
        <v>0</v>
      </c>
      <c r="F300" s="69">
        <f ca="1">SUMIF('CAP1-3'!$B:$H,Insumo[[#This Row],[DESCRIPCION]],'CAP1-3'!$H:$H)</f>
        <v>0</v>
      </c>
      <c r="G300" s="69">
        <f ca="1">SUMIF('CAP4-5'!$B:$H,Insumo[[#This Row],[DESCRIPCION]],'CAP4-5'!$H:$H)</f>
        <v>0</v>
      </c>
      <c r="H300" s="69">
        <f ca="1">SUMIF('CAP6-7'!$B:$H,Insumo[[#This Row],[DESCRIPCION]],'CAP6-7'!$H:$H)</f>
        <v>0</v>
      </c>
      <c r="I300" s="69">
        <f ca="1">SUMIF('CAP8'!$B:$H,Insumo[[#This Row],[DESCRIPCION]],'CAP8'!$H:$H)</f>
        <v>0</v>
      </c>
      <c r="J300" s="69">
        <f ca="1">SUMIF('CAP9-13'!$B:$H,Insumo[[#This Row],[DESCRIPCION]],'CAP9-13'!$H:$H)</f>
        <v>0</v>
      </c>
      <c r="K300" s="69">
        <f ca="1">SUMIF('CAP14-15'!$B:$H,Insumo[[#This Row],[DESCRIPCION]],'CAP14-15'!$H:$H)</f>
        <v>0</v>
      </c>
      <c r="L300" s="69">
        <f ca="1">SUMIF('CAP16-18'!$B:$H,Insumo[[#This Row],[DESCRIPCION]],'CAP16-18'!$H:$H)</f>
        <v>0</v>
      </c>
      <c r="M300" s="69">
        <f ca="1">SUMIF('CAP19-22'!$B:$H,Insumo[[#This Row],[DESCRIPCION]],'CAP19-22'!$H:$H)</f>
        <v>0</v>
      </c>
      <c r="N300" s="69">
        <f ca="1">SUMIF('CAP23-24'!$B:$H,Insumo[[#This Row],[DESCRIPCION]],'CAP23-24'!$H:$H)</f>
        <v>0</v>
      </c>
      <c r="O300" s="69">
        <f ca="1">SUMIF('CAP25'!$B:$H,Insumo[[#This Row],[DESCRIPCION]],'CAP25'!$H:$H)</f>
        <v>0</v>
      </c>
      <c r="P300" s="69">
        <f ca="1">SUMIF('CAP26-28'!$B:$H,Insumo[[#This Row],[DESCRIPCION]],'CAP26-28'!$H:$H)</f>
        <v>0</v>
      </c>
      <c r="Q300" s="69">
        <f ca="1">SUMIF('CAP29'!$B:$H,Insumo[[#This Row],[DESCRIPCION]],'CAP29'!$H:$H)</f>
        <v>0</v>
      </c>
      <c r="R300" s="290"/>
      <c r="T300" s="136">
        <v>1250</v>
      </c>
    </row>
    <row r="301" spans="1:20" ht="12" customHeight="1">
      <c r="A301" s="301" t="s">
        <v>2914</v>
      </c>
      <c r="B301" s="303" t="s">
        <v>23</v>
      </c>
      <c r="C301" s="304">
        <f t="shared" si="4"/>
        <v>2625</v>
      </c>
      <c r="D301" s="281" cm="1">
        <f t="array" aca="1" ref="D301" ca="1">IF(Insumo[[#This Row],[VALOR]]=0,Insumo[TOTAL],E301/C301)</f>
        <v>0</v>
      </c>
      <c r="E301" s="69">
        <f ca="1">SUM(Insumo[[#This Row],[CAP1-3]:[CAP29]])</f>
        <v>0</v>
      </c>
      <c r="F301" s="69">
        <f ca="1">SUMIF('CAP1-3'!$B:$H,Insumo[[#This Row],[DESCRIPCION]],'CAP1-3'!$H:$H)</f>
        <v>0</v>
      </c>
      <c r="G301" s="69">
        <f ca="1">SUMIF('CAP4-5'!$B:$H,Insumo[[#This Row],[DESCRIPCION]],'CAP4-5'!$H:$H)</f>
        <v>0</v>
      </c>
      <c r="H301" s="69">
        <f ca="1">SUMIF('CAP6-7'!$B:$H,Insumo[[#This Row],[DESCRIPCION]],'CAP6-7'!$H:$H)</f>
        <v>0</v>
      </c>
      <c r="I301" s="69">
        <f ca="1">SUMIF('CAP8'!$B:$H,Insumo[[#This Row],[DESCRIPCION]],'CAP8'!$H:$H)</f>
        <v>0</v>
      </c>
      <c r="J301" s="69">
        <f ca="1">SUMIF('CAP9-13'!$B:$H,Insumo[[#This Row],[DESCRIPCION]],'CAP9-13'!$H:$H)</f>
        <v>0</v>
      </c>
      <c r="K301" s="69">
        <f ca="1">SUMIF('CAP14-15'!$B:$H,Insumo[[#This Row],[DESCRIPCION]],'CAP14-15'!$H:$H)</f>
        <v>0</v>
      </c>
      <c r="L301" s="69">
        <f ca="1">SUMIF('CAP16-18'!$B:$H,Insumo[[#This Row],[DESCRIPCION]],'CAP16-18'!$H:$H)</f>
        <v>0</v>
      </c>
      <c r="M301" s="69">
        <f ca="1">SUMIF('CAP19-22'!$B:$H,Insumo[[#This Row],[DESCRIPCION]],'CAP19-22'!$H:$H)</f>
        <v>0</v>
      </c>
      <c r="N301" s="69">
        <f ca="1">SUMIF('CAP23-24'!$B:$H,Insumo[[#This Row],[DESCRIPCION]],'CAP23-24'!$H:$H)</f>
        <v>0</v>
      </c>
      <c r="O301" s="69">
        <f ca="1">SUMIF('CAP25'!$B:$H,Insumo[[#This Row],[DESCRIPCION]],'CAP25'!$H:$H)</f>
        <v>0</v>
      </c>
      <c r="P301" s="69">
        <f ca="1">SUMIF('CAP26-28'!$B:$H,Insumo[[#This Row],[DESCRIPCION]],'CAP26-28'!$H:$H)</f>
        <v>0</v>
      </c>
      <c r="Q301" s="69">
        <f ca="1">SUMIF('CAP29'!$B:$H,Insumo[[#This Row],[DESCRIPCION]],'CAP29'!$H:$H)</f>
        <v>0</v>
      </c>
      <c r="T301" s="136">
        <v>2500</v>
      </c>
    </row>
    <row r="302" spans="1:20" ht="12" customHeight="1">
      <c r="A302" s="301" t="s">
        <v>2915</v>
      </c>
      <c r="B302" s="303" t="s">
        <v>23</v>
      </c>
      <c r="C302" s="304">
        <f t="shared" si="4"/>
        <v>4410</v>
      </c>
      <c r="D302" s="281" cm="1">
        <f t="array" aca="1" ref="D302" ca="1">IF(Insumo[[#This Row],[VALOR]]=0,Insumo[TOTAL],E302/C302)</f>
        <v>0</v>
      </c>
      <c r="E302" s="69">
        <f ca="1">SUM(Insumo[[#This Row],[CAP1-3]:[CAP29]])</f>
        <v>0</v>
      </c>
      <c r="F302" s="69">
        <f ca="1">SUMIF('CAP1-3'!$B:$H,Insumo[[#This Row],[DESCRIPCION]],'CAP1-3'!$H:$H)</f>
        <v>0</v>
      </c>
      <c r="G302" s="69">
        <f ca="1">SUMIF('CAP4-5'!$B:$H,Insumo[[#This Row],[DESCRIPCION]],'CAP4-5'!$H:$H)</f>
        <v>0</v>
      </c>
      <c r="H302" s="69">
        <f ca="1">SUMIF('CAP6-7'!$B:$H,Insumo[[#This Row],[DESCRIPCION]],'CAP6-7'!$H:$H)</f>
        <v>0</v>
      </c>
      <c r="I302" s="69">
        <f ca="1">SUMIF('CAP8'!$B:$H,Insumo[[#This Row],[DESCRIPCION]],'CAP8'!$H:$H)</f>
        <v>0</v>
      </c>
      <c r="J302" s="69">
        <f ca="1">SUMIF('CAP9-13'!$B:$H,Insumo[[#This Row],[DESCRIPCION]],'CAP9-13'!$H:$H)</f>
        <v>0</v>
      </c>
      <c r="K302" s="69">
        <f ca="1">SUMIF('CAP14-15'!$B:$H,Insumo[[#This Row],[DESCRIPCION]],'CAP14-15'!$H:$H)</f>
        <v>0</v>
      </c>
      <c r="L302" s="69">
        <f ca="1">SUMIF('CAP16-18'!$B:$H,Insumo[[#This Row],[DESCRIPCION]],'CAP16-18'!$H:$H)</f>
        <v>0</v>
      </c>
      <c r="M302" s="69">
        <f ca="1">SUMIF('CAP19-22'!$B:$H,Insumo[[#This Row],[DESCRIPCION]],'CAP19-22'!$H:$H)</f>
        <v>0</v>
      </c>
      <c r="N302" s="69">
        <f ca="1">SUMIF('CAP23-24'!$B:$H,Insumo[[#This Row],[DESCRIPCION]],'CAP23-24'!$H:$H)</f>
        <v>0</v>
      </c>
      <c r="O302" s="69">
        <f ca="1">SUMIF('CAP25'!$B:$H,Insumo[[#This Row],[DESCRIPCION]],'CAP25'!$H:$H)</f>
        <v>0</v>
      </c>
      <c r="P302" s="69">
        <f ca="1">SUMIF('CAP26-28'!$B:$H,Insumo[[#This Row],[DESCRIPCION]],'CAP26-28'!$H:$H)</f>
        <v>0</v>
      </c>
      <c r="Q302" s="69">
        <f ca="1">SUMIF('CAP29'!$B:$H,Insumo[[#This Row],[DESCRIPCION]],'CAP29'!$H:$H)</f>
        <v>0</v>
      </c>
      <c r="T302" s="136">
        <v>4200</v>
      </c>
    </row>
    <row r="303" spans="1:20" ht="12" customHeight="1">
      <c r="A303" s="301" t="s">
        <v>2916</v>
      </c>
      <c r="B303" s="303" t="s">
        <v>23</v>
      </c>
      <c r="C303" s="304">
        <f t="shared" si="4"/>
        <v>9765</v>
      </c>
      <c r="D303" s="281" cm="1">
        <f t="array" aca="1" ref="D303" ca="1">IF(Insumo[[#This Row],[VALOR]]=0,Insumo[TOTAL],E303/C303)</f>
        <v>0</v>
      </c>
      <c r="E303" s="69">
        <f ca="1">SUM(Insumo[[#This Row],[CAP1-3]:[CAP29]])</f>
        <v>0</v>
      </c>
      <c r="F303" s="69">
        <f ca="1">SUMIF('CAP1-3'!$B:$H,Insumo[[#This Row],[DESCRIPCION]],'CAP1-3'!$H:$H)</f>
        <v>0</v>
      </c>
      <c r="G303" s="69">
        <f ca="1">SUMIF('CAP4-5'!$B:$H,Insumo[[#This Row],[DESCRIPCION]],'CAP4-5'!$H:$H)</f>
        <v>0</v>
      </c>
      <c r="H303" s="69">
        <f ca="1">SUMIF('CAP6-7'!$B:$H,Insumo[[#This Row],[DESCRIPCION]],'CAP6-7'!$H:$H)</f>
        <v>0</v>
      </c>
      <c r="I303" s="69">
        <f ca="1">SUMIF('CAP8'!$B:$H,Insumo[[#This Row],[DESCRIPCION]],'CAP8'!$H:$H)</f>
        <v>0</v>
      </c>
      <c r="J303" s="69">
        <f ca="1">SUMIF('CAP9-13'!$B:$H,Insumo[[#This Row],[DESCRIPCION]],'CAP9-13'!$H:$H)</f>
        <v>0</v>
      </c>
      <c r="K303" s="69">
        <f ca="1">SUMIF('CAP14-15'!$B:$H,Insumo[[#This Row],[DESCRIPCION]],'CAP14-15'!$H:$H)</f>
        <v>0</v>
      </c>
      <c r="L303" s="69">
        <f ca="1">SUMIF('CAP16-18'!$B:$H,Insumo[[#This Row],[DESCRIPCION]],'CAP16-18'!$H:$H)</f>
        <v>0</v>
      </c>
      <c r="M303" s="69">
        <f ca="1">SUMIF('CAP19-22'!$B:$H,Insumo[[#This Row],[DESCRIPCION]],'CAP19-22'!$H:$H)</f>
        <v>0</v>
      </c>
      <c r="N303" s="69">
        <f ca="1">SUMIF('CAP23-24'!$B:$H,Insumo[[#This Row],[DESCRIPCION]],'CAP23-24'!$H:$H)</f>
        <v>0</v>
      </c>
      <c r="O303" s="69">
        <f ca="1">SUMIF('CAP25'!$B:$H,Insumo[[#This Row],[DESCRIPCION]],'CAP25'!$H:$H)</f>
        <v>0</v>
      </c>
      <c r="P303" s="69">
        <f ca="1">SUMIF('CAP26-28'!$B:$H,Insumo[[#This Row],[DESCRIPCION]],'CAP26-28'!$H:$H)</f>
        <v>0</v>
      </c>
      <c r="Q303" s="69">
        <f ca="1">SUMIF('CAP29'!$B:$H,Insumo[[#This Row],[DESCRIPCION]],'CAP29'!$H:$H)</f>
        <v>0</v>
      </c>
      <c r="T303" s="136">
        <v>9300</v>
      </c>
    </row>
    <row r="304" spans="1:20" ht="12" customHeight="1">
      <c r="A304" s="301" t="s">
        <v>2917</v>
      </c>
      <c r="B304" s="303" t="s">
        <v>23</v>
      </c>
      <c r="C304" s="304">
        <f t="shared" si="4"/>
        <v>40057.5</v>
      </c>
      <c r="D304" s="281" cm="1">
        <f t="array" aca="1" ref="D304" ca="1">IF(Insumo[[#This Row],[VALOR]]=0,Insumo[TOTAL],E304/C304)</f>
        <v>0</v>
      </c>
      <c r="E304" s="69">
        <f ca="1">SUM(Insumo[[#This Row],[CAP1-3]:[CAP29]])</f>
        <v>0</v>
      </c>
      <c r="F304" s="69">
        <f ca="1">SUMIF('CAP1-3'!$B:$H,Insumo[[#This Row],[DESCRIPCION]],'CAP1-3'!$H:$H)</f>
        <v>0</v>
      </c>
      <c r="G304" s="69">
        <f ca="1">SUMIF('CAP4-5'!$B:$H,Insumo[[#This Row],[DESCRIPCION]],'CAP4-5'!$H:$H)</f>
        <v>0</v>
      </c>
      <c r="H304" s="69">
        <f ca="1">SUMIF('CAP6-7'!$B:$H,Insumo[[#This Row],[DESCRIPCION]],'CAP6-7'!$H:$H)</f>
        <v>0</v>
      </c>
      <c r="I304" s="69">
        <f ca="1">SUMIF('CAP8'!$B:$H,Insumo[[#This Row],[DESCRIPCION]],'CAP8'!$H:$H)</f>
        <v>0</v>
      </c>
      <c r="J304" s="69">
        <f ca="1">SUMIF('CAP9-13'!$B:$H,Insumo[[#This Row],[DESCRIPCION]],'CAP9-13'!$H:$H)</f>
        <v>0</v>
      </c>
      <c r="K304" s="69">
        <f ca="1">SUMIF('CAP14-15'!$B:$H,Insumo[[#This Row],[DESCRIPCION]],'CAP14-15'!$H:$H)</f>
        <v>0</v>
      </c>
      <c r="L304" s="69">
        <f ca="1">SUMIF('CAP16-18'!$B:$H,Insumo[[#This Row],[DESCRIPCION]],'CAP16-18'!$H:$H)</f>
        <v>0</v>
      </c>
      <c r="M304" s="69">
        <f ca="1">SUMIF('CAP19-22'!$B:$H,Insumo[[#This Row],[DESCRIPCION]],'CAP19-22'!$H:$H)</f>
        <v>0</v>
      </c>
      <c r="N304" s="69">
        <f ca="1">SUMIF('CAP23-24'!$B:$H,Insumo[[#This Row],[DESCRIPCION]],'CAP23-24'!$H:$H)</f>
        <v>0</v>
      </c>
      <c r="O304" s="69">
        <f ca="1">SUMIF('CAP25'!$B:$H,Insumo[[#This Row],[DESCRIPCION]],'CAP25'!$H:$H)</f>
        <v>0</v>
      </c>
      <c r="P304" s="69">
        <f ca="1">SUMIF('CAP26-28'!$B:$H,Insumo[[#This Row],[DESCRIPCION]],'CAP26-28'!$H:$H)</f>
        <v>0</v>
      </c>
      <c r="Q304" s="69">
        <f ca="1">SUMIF('CAP29'!$B:$H,Insumo[[#This Row],[DESCRIPCION]],'CAP29'!$H:$H)</f>
        <v>0</v>
      </c>
      <c r="T304" s="136">
        <v>38150</v>
      </c>
    </row>
    <row r="305" spans="1:20" ht="12" customHeight="1">
      <c r="A305" s="301" t="s">
        <v>2918</v>
      </c>
      <c r="B305" s="303" t="s">
        <v>23</v>
      </c>
      <c r="C305" s="304">
        <f t="shared" si="4"/>
        <v>53674.950000000004</v>
      </c>
      <c r="D305" s="281" cm="1">
        <f t="array" aca="1" ref="D305" ca="1">IF(Insumo[[#This Row],[VALOR]]=0,Insumo[TOTAL],E305/C305)</f>
        <v>0</v>
      </c>
      <c r="E305" s="69">
        <f ca="1">SUM(Insumo[[#This Row],[CAP1-3]:[CAP29]])</f>
        <v>0</v>
      </c>
      <c r="F305" s="69">
        <f ca="1">SUMIF('CAP1-3'!$B:$H,Insumo[[#This Row],[DESCRIPCION]],'CAP1-3'!$H:$H)</f>
        <v>0</v>
      </c>
      <c r="G305" s="69">
        <f ca="1">SUMIF('CAP4-5'!$B:$H,Insumo[[#This Row],[DESCRIPCION]],'CAP4-5'!$H:$H)</f>
        <v>0</v>
      </c>
      <c r="H305" s="69">
        <f ca="1">SUMIF('CAP6-7'!$B:$H,Insumo[[#This Row],[DESCRIPCION]],'CAP6-7'!$H:$H)</f>
        <v>0</v>
      </c>
      <c r="I305" s="69">
        <f ca="1">SUMIF('CAP8'!$B:$H,Insumo[[#This Row],[DESCRIPCION]],'CAP8'!$H:$H)</f>
        <v>0</v>
      </c>
      <c r="J305" s="69">
        <f ca="1">SUMIF('CAP9-13'!$B:$H,Insumo[[#This Row],[DESCRIPCION]],'CAP9-13'!$H:$H)</f>
        <v>0</v>
      </c>
      <c r="K305" s="69">
        <f ca="1">SUMIF('CAP14-15'!$B:$H,Insumo[[#This Row],[DESCRIPCION]],'CAP14-15'!$H:$H)</f>
        <v>0</v>
      </c>
      <c r="L305" s="69">
        <f ca="1">SUMIF('CAP16-18'!$B:$H,Insumo[[#This Row],[DESCRIPCION]],'CAP16-18'!$H:$H)</f>
        <v>0</v>
      </c>
      <c r="M305" s="69">
        <f ca="1">SUMIF('CAP19-22'!$B:$H,Insumo[[#This Row],[DESCRIPCION]],'CAP19-22'!$H:$H)</f>
        <v>0</v>
      </c>
      <c r="N305" s="69">
        <f ca="1">SUMIF('CAP23-24'!$B:$H,Insumo[[#This Row],[DESCRIPCION]],'CAP23-24'!$H:$H)</f>
        <v>0</v>
      </c>
      <c r="O305" s="69">
        <f ca="1">SUMIF('CAP25'!$B:$H,Insumo[[#This Row],[DESCRIPCION]],'CAP25'!$H:$H)</f>
        <v>0</v>
      </c>
      <c r="P305" s="69">
        <f ca="1">SUMIF('CAP26-28'!$B:$H,Insumo[[#This Row],[DESCRIPCION]],'CAP26-28'!$H:$H)</f>
        <v>0</v>
      </c>
      <c r="Q305" s="69">
        <f ca="1">SUMIF('CAP29'!$B:$H,Insumo[[#This Row],[DESCRIPCION]],'CAP29'!$H:$H)</f>
        <v>0</v>
      </c>
      <c r="T305" s="136">
        <v>51119</v>
      </c>
    </row>
    <row r="306" spans="1:20" ht="12" customHeight="1">
      <c r="A306" s="301" t="s">
        <v>2919</v>
      </c>
      <c r="B306" s="303" t="s">
        <v>23</v>
      </c>
      <c r="C306" s="304">
        <f t="shared" si="4"/>
        <v>258014.40000000002</v>
      </c>
      <c r="D306" s="281" cm="1">
        <f t="array" aca="1" ref="D306" ca="1">IF(Insumo[[#This Row],[VALOR]]=0,Insumo[TOTAL],E306/C306)</f>
        <v>0</v>
      </c>
      <c r="E306" s="69">
        <f ca="1">SUM(Insumo[[#This Row],[CAP1-3]:[CAP29]])</f>
        <v>0</v>
      </c>
      <c r="F306" s="69">
        <f ca="1">SUMIF('CAP1-3'!$B:$H,Insumo[[#This Row],[DESCRIPCION]],'CAP1-3'!$H:$H)</f>
        <v>0</v>
      </c>
      <c r="G306" s="69">
        <f ca="1">SUMIF('CAP4-5'!$B:$H,Insumo[[#This Row],[DESCRIPCION]],'CAP4-5'!$H:$H)</f>
        <v>0</v>
      </c>
      <c r="H306" s="69">
        <f ca="1">SUMIF('CAP6-7'!$B:$H,Insumo[[#This Row],[DESCRIPCION]],'CAP6-7'!$H:$H)</f>
        <v>0</v>
      </c>
      <c r="I306" s="69">
        <f ca="1">SUMIF('CAP8'!$B:$H,Insumo[[#This Row],[DESCRIPCION]],'CAP8'!$H:$H)</f>
        <v>0</v>
      </c>
      <c r="J306" s="69">
        <f ca="1">SUMIF('CAP9-13'!$B:$H,Insumo[[#This Row],[DESCRIPCION]],'CAP9-13'!$H:$H)</f>
        <v>0</v>
      </c>
      <c r="K306" s="69">
        <f ca="1">SUMIF('CAP14-15'!$B:$H,Insumo[[#This Row],[DESCRIPCION]],'CAP14-15'!$H:$H)</f>
        <v>0</v>
      </c>
      <c r="L306" s="69">
        <f ca="1">SUMIF('CAP16-18'!$B:$H,Insumo[[#This Row],[DESCRIPCION]],'CAP16-18'!$H:$H)</f>
        <v>0</v>
      </c>
      <c r="M306" s="69">
        <f ca="1">SUMIF('CAP19-22'!$B:$H,Insumo[[#This Row],[DESCRIPCION]],'CAP19-22'!$H:$H)</f>
        <v>0</v>
      </c>
      <c r="N306" s="69">
        <f ca="1">SUMIF('CAP23-24'!$B:$H,Insumo[[#This Row],[DESCRIPCION]],'CAP23-24'!$H:$H)</f>
        <v>0</v>
      </c>
      <c r="O306" s="69">
        <f ca="1">SUMIF('CAP25'!$B:$H,Insumo[[#This Row],[DESCRIPCION]],'CAP25'!$H:$H)</f>
        <v>0</v>
      </c>
      <c r="P306" s="69">
        <f ca="1">SUMIF('CAP26-28'!$B:$H,Insumo[[#This Row],[DESCRIPCION]],'CAP26-28'!$H:$H)</f>
        <v>0</v>
      </c>
      <c r="Q306" s="69">
        <f ca="1">SUMIF('CAP29'!$B:$H,Insumo[[#This Row],[DESCRIPCION]],'CAP29'!$H:$H)</f>
        <v>0</v>
      </c>
      <c r="T306" s="136">
        <v>245728</v>
      </c>
    </row>
    <row r="307" spans="1:20" ht="12" customHeight="1">
      <c r="A307" s="301" t="s">
        <v>2920</v>
      </c>
      <c r="B307" s="303" t="s">
        <v>30</v>
      </c>
      <c r="C307" s="304">
        <f t="shared" si="4"/>
        <v>22687.350000000002</v>
      </c>
      <c r="D307" s="281" cm="1">
        <f t="array" aca="1" ref="D307" ca="1">IF(Insumo[[#This Row],[VALOR]]=0,Insumo[TOTAL],E307/C307)</f>
        <v>0</v>
      </c>
      <c r="E307" s="69">
        <f ca="1">SUM(Insumo[[#This Row],[CAP1-3]:[CAP29]])</f>
        <v>0</v>
      </c>
      <c r="F307" s="69">
        <f ca="1">SUMIF('CAP1-3'!$B:$H,Insumo[[#This Row],[DESCRIPCION]],'CAP1-3'!$H:$H)</f>
        <v>0</v>
      </c>
      <c r="G307" s="69">
        <f ca="1">SUMIF('CAP4-5'!$B:$H,Insumo[[#This Row],[DESCRIPCION]],'CAP4-5'!$H:$H)</f>
        <v>0</v>
      </c>
      <c r="H307" s="69">
        <f ca="1">SUMIF('CAP6-7'!$B:$H,Insumo[[#This Row],[DESCRIPCION]],'CAP6-7'!$H:$H)</f>
        <v>0</v>
      </c>
      <c r="I307" s="69">
        <f ca="1">SUMIF('CAP8'!$B:$H,Insumo[[#This Row],[DESCRIPCION]],'CAP8'!$H:$H)</f>
        <v>0</v>
      </c>
      <c r="J307" s="69">
        <f ca="1">SUMIF('CAP9-13'!$B:$H,Insumo[[#This Row],[DESCRIPCION]],'CAP9-13'!$H:$H)</f>
        <v>0</v>
      </c>
      <c r="K307" s="69">
        <f ca="1">SUMIF('CAP14-15'!$B:$H,Insumo[[#This Row],[DESCRIPCION]],'CAP14-15'!$H:$H)</f>
        <v>0</v>
      </c>
      <c r="L307" s="69">
        <f ca="1">SUMIF('CAP16-18'!$B:$H,Insumo[[#This Row],[DESCRIPCION]],'CAP16-18'!$H:$H)</f>
        <v>0</v>
      </c>
      <c r="M307" s="69">
        <f ca="1">SUMIF('CAP19-22'!$B:$H,Insumo[[#This Row],[DESCRIPCION]],'CAP19-22'!$H:$H)</f>
        <v>0</v>
      </c>
      <c r="N307" s="69">
        <f ca="1">SUMIF('CAP23-24'!$B:$H,Insumo[[#This Row],[DESCRIPCION]],'CAP23-24'!$H:$H)</f>
        <v>0</v>
      </c>
      <c r="O307" s="69">
        <f ca="1">SUMIF('CAP25'!$B:$H,Insumo[[#This Row],[DESCRIPCION]],'CAP25'!$H:$H)</f>
        <v>0</v>
      </c>
      <c r="P307" s="69">
        <f ca="1">SUMIF('CAP26-28'!$B:$H,Insumo[[#This Row],[DESCRIPCION]],'CAP26-28'!$H:$H)</f>
        <v>0</v>
      </c>
      <c r="Q307" s="69">
        <f ca="1">SUMIF('CAP29'!$B:$H,Insumo[[#This Row],[DESCRIPCION]],'CAP29'!$H:$H)</f>
        <v>0</v>
      </c>
      <c r="T307" s="136">
        <v>21607</v>
      </c>
    </row>
    <row r="308" spans="1:20" ht="12" customHeight="1">
      <c r="A308" s="301" t="s">
        <v>2921</v>
      </c>
      <c r="B308" s="303" t="s">
        <v>30</v>
      </c>
      <c r="C308" s="304">
        <f t="shared" si="4"/>
        <v>1773.45</v>
      </c>
      <c r="D308" s="281" cm="1">
        <f t="array" aca="1" ref="D308" ca="1">IF(Insumo[[#This Row],[VALOR]]=0,Insumo[TOTAL],E308/C308)</f>
        <v>0</v>
      </c>
      <c r="E308" s="69">
        <f ca="1">SUM(Insumo[[#This Row],[CAP1-3]:[CAP29]])</f>
        <v>0</v>
      </c>
      <c r="F308" s="69">
        <f ca="1">SUMIF('CAP1-3'!$B:$H,Insumo[[#This Row],[DESCRIPCION]],'CAP1-3'!$H:$H)</f>
        <v>0</v>
      </c>
      <c r="G308" s="69">
        <f ca="1">SUMIF('CAP4-5'!$B:$H,Insumo[[#This Row],[DESCRIPCION]],'CAP4-5'!$H:$H)</f>
        <v>0</v>
      </c>
      <c r="H308" s="69">
        <f ca="1">SUMIF('CAP6-7'!$B:$H,Insumo[[#This Row],[DESCRIPCION]],'CAP6-7'!$H:$H)</f>
        <v>0</v>
      </c>
      <c r="I308" s="69">
        <f ca="1">SUMIF('CAP8'!$B:$H,Insumo[[#This Row],[DESCRIPCION]],'CAP8'!$H:$H)</f>
        <v>0</v>
      </c>
      <c r="J308" s="69">
        <f ca="1">SUMIF('CAP9-13'!$B:$H,Insumo[[#This Row],[DESCRIPCION]],'CAP9-13'!$H:$H)</f>
        <v>0</v>
      </c>
      <c r="K308" s="69">
        <f ca="1">SUMIF('CAP14-15'!$B:$H,Insumo[[#This Row],[DESCRIPCION]],'CAP14-15'!$H:$H)</f>
        <v>0</v>
      </c>
      <c r="L308" s="69">
        <f ca="1">SUMIF('CAP16-18'!$B:$H,Insumo[[#This Row],[DESCRIPCION]],'CAP16-18'!$H:$H)</f>
        <v>0</v>
      </c>
      <c r="M308" s="69">
        <f ca="1">SUMIF('CAP19-22'!$B:$H,Insumo[[#This Row],[DESCRIPCION]],'CAP19-22'!$H:$H)</f>
        <v>0</v>
      </c>
      <c r="N308" s="69">
        <f ca="1">SUMIF('CAP23-24'!$B:$H,Insumo[[#This Row],[DESCRIPCION]],'CAP23-24'!$H:$H)</f>
        <v>0</v>
      </c>
      <c r="O308" s="69">
        <f ca="1">SUMIF('CAP25'!$B:$H,Insumo[[#This Row],[DESCRIPCION]],'CAP25'!$H:$H)</f>
        <v>0</v>
      </c>
      <c r="P308" s="69">
        <f ca="1">SUMIF('CAP26-28'!$B:$H,Insumo[[#This Row],[DESCRIPCION]],'CAP26-28'!$H:$H)</f>
        <v>0</v>
      </c>
      <c r="Q308" s="69">
        <f ca="1">SUMIF('CAP29'!$B:$H,Insumo[[#This Row],[DESCRIPCION]],'CAP29'!$H:$H)</f>
        <v>0</v>
      </c>
      <c r="T308" s="136">
        <v>1689</v>
      </c>
    </row>
    <row r="309" spans="1:20" ht="12" customHeight="1">
      <c r="A309" s="301" t="s">
        <v>2922</v>
      </c>
      <c r="B309" s="303" t="s">
        <v>30</v>
      </c>
      <c r="C309" s="304">
        <f t="shared" si="4"/>
        <v>3862.9500000000003</v>
      </c>
      <c r="D309" s="281" cm="1">
        <f t="array" aca="1" ref="D309" ca="1">IF(Insumo[[#This Row],[VALOR]]=0,Insumo[TOTAL],E309/C309)</f>
        <v>0</v>
      </c>
      <c r="E309" s="69">
        <f ca="1">SUM(Insumo[[#This Row],[CAP1-3]:[CAP29]])</f>
        <v>0</v>
      </c>
      <c r="F309" s="69">
        <f ca="1">SUMIF('CAP1-3'!$B:$H,Insumo[[#This Row],[DESCRIPCION]],'CAP1-3'!$H:$H)</f>
        <v>0</v>
      </c>
      <c r="G309" s="69">
        <f ca="1">SUMIF('CAP4-5'!$B:$H,Insumo[[#This Row],[DESCRIPCION]],'CAP4-5'!$H:$H)</f>
        <v>0</v>
      </c>
      <c r="H309" s="69">
        <f ca="1">SUMIF('CAP6-7'!$B:$H,Insumo[[#This Row],[DESCRIPCION]],'CAP6-7'!$H:$H)</f>
        <v>0</v>
      </c>
      <c r="I309" s="69">
        <f ca="1">SUMIF('CAP8'!$B:$H,Insumo[[#This Row],[DESCRIPCION]],'CAP8'!$H:$H)</f>
        <v>0</v>
      </c>
      <c r="J309" s="69">
        <f ca="1">SUMIF('CAP9-13'!$B:$H,Insumo[[#This Row],[DESCRIPCION]],'CAP9-13'!$H:$H)</f>
        <v>0</v>
      </c>
      <c r="K309" s="69">
        <f ca="1">SUMIF('CAP14-15'!$B:$H,Insumo[[#This Row],[DESCRIPCION]],'CAP14-15'!$H:$H)</f>
        <v>0</v>
      </c>
      <c r="L309" s="69">
        <f ca="1">SUMIF('CAP16-18'!$B:$H,Insumo[[#This Row],[DESCRIPCION]],'CAP16-18'!$H:$H)</f>
        <v>0</v>
      </c>
      <c r="M309" s="69">
        <f ca="1">SUMIF('CAP19-22'!$B:$H,Insumo[[#This Row],[DESCRIPCION]],'CAP19-22'!$H:$H)</f>
        <v>0</v>
      </c>
      <c r="N309" s="69">
        <f ca="1">SUMIF('CAP23-24'!$B:$H,Insumo[[#This Row],[DESCRIPCION]],'CAP23-24'!$H:$H)</f>
        <v>0</v>
      </c>
      <c r="O309" s="69">
        <f ca="1">SUMIF('CAP25'!$B:$H,Insumo[[#This Row],[DESCRIPCION]],'CAP25'!$H:$H)</f>
        <v>0</v>
      </c>
      <c r="P309" s="69">
        <f ca="1">SUMIF('CAP26-28'!$B:$H,Insumo[[#This Row],[DESCRIPCION]],'CAP26-28'!$H:$H)</f>
        <v>0</v>
      </c>
      <c r="Q309" s="69">
        <f ca="1">SUMIF('CAP29'!$B:$H,Insumo[[#This Row],[DESCRIPCION]],'CAP29'!$H:$H)</f>
        <v>0</v>
      </c>
      <c r="T309" s="136">
        <v>3679</v>
      </c>
    </row>
    <row r="310" spans="1:20" ht="12" customHeight="1">
      <c r="A310" s="301" t="s">
        <v>2923</v>
      </c>
      <c r="B310" s="303" t="s">
        <v>23</v>
      </c>
      <c r="C310" s="304">
        <f t="shared" si="4"/>
        <v>158.55000000000001</v>
      </c>
      <c r="D310" s="281" cm="1">
        <f t="array" aca="1" ref="D310" ca="1">IF(Insumo[[#This Row],[VALOR]]=0,Insumo[TOTAL],E310/C310)</f>
        <v>0</v>
      </c>
      <c r="E310" s="69">
        <f ca="1">SUM(Insumo[[#This Row],[CAP1-3]:[CAP29]])</f>
        <v>0</v>
      </c>
      <c r="F310" s="69">
        <f ca="1">SUMIF('CAP1-3'!$B:$H,Insumo[[#This Row],[DESCRIPCION]],'CAP1-3'!$H:$H)</f>
        <v>0</v>
      </c>
      <c r="G310" s="69">
        <f ca="1">SUMIF('CAP4-5'!$B:$H,Insumo[[#This Row],[DESCRIPCION]],'CAP4-5'!$H:$H)</f>
        <v>0</v>
      </c>
      <c r="H310" s="69">
        <f ca="1">SUMIF('CAP6-7'!$B:$H,Insumo[[#This Row],[DESCRIPCION]],'CAP6-7'!$H:$H)</f>
        <v>0</v>
      </c>
      <c r="I310" s="69">
        <f ca="1">SUMIF('CAP8'!$B:$H,Insumo[[#This Row],[DESCRIPCION]],'CAP8'!$H:$H)</f>
        <v>0</v>
      </c>
      <c r="J310" s="69">
        <f ca="1">SUMIF('CAP9-13'!$B:$H,Insumo[[#This Row],[DESCRIPCION]],'CAP9-13'!$H:$H)</f>
        <v>0</v>
      </c>
      <c r="K310" s="69">
        <f ca="1">SUMIF('CAP14-15'!$B:$H,Insumo[[#This Row],[DESCRIPCION]],'CAP14-15'!$H:$H)</f>
        <v>0</v>
      </c>
      <c r="L310" s="69">
        <f ca="1">SUMIF('CAP16-18'!$B:$H,Insumo[[#This Row],[DESCRIPCION]],'CAP16-18'!$H:$H)</f>
        <v>0</v>
      </c>
      <c r="M310" s="69">
        <f ca="1">SUMIF('CAP19-22'!$B:$H,Insumo[[#This Row],[DESCRIPCION]],'CAP19-22'!$H:$H)</f>
        <v>0</v>
      </c>
      <c r="N310" s="69">
        <f ca="1">SUMIF('CAP23-24'!$B:$H,Insumo[[#This Row],[DESCRIPCION]],'CAP23-24'!$H:$H)</f>
        <v>0</v>
      </c>
      <c r="O310" s="69">
        <f ca="1">SUMIF('CAP25'!$B:$H,Insumo[[#This Row],[DESCRIPCION]],'CAP25'!$H:$H)</f>
        <v>0</v>
      </c>
      <c r="P310" s="69">
        <f ca="1">SUMIF('CAP26-28'!$B:$H,Insumo[[#This Row],[DESCRIPCION]],'CAP26-28'!$H:$H)</f>
        <v>0</v>
      </c>
      <c r="Q310" s="69">
        <f ca="1">SUMIF('CAP29'!$B:$H,Insumo[[#This Row],[DESCRIPCION]],'CAP29'!$H:$H)</f>
        <v>0</v>
      </c>
      <c r="T310" s="136">
        <v>151</v>
      </c>
    </row>
    <row r="311" spans="1:20" ht="12" customHeight="1">
      <c r="A311" s="301" t="s">
        <v>2924</v>
      </c>
      <c r="B311" s="303" t="s">
        <v>23</v>
      </c>
      <c r="C311" s="304">
        <f t="shared" si="4"/>
        <v>486435.60000000003</v>
      </c>
      <c r="D311" s="281" cm="1">
        <f t="array" aca="1" ref="D311" ca="1">IF(Insumo[[#This Row],[VALOR]]=0,Insumo[TOTAL],E311/C311)</f>
        <v>0</v>
      </c>
      <c r="E311" s="69">
        <f ca="1">SUM(Insumo[[#This Row],[CAP1-3]:[CAP29]])</f>
        <v>0</v>
      </c>
      <c r="F311" s="69">
        <f ca="1">SUMIF('CAP1-3'!$B:$H,Insumo[[#This Row],[DESCRIPCION]],'CAP1-3'!$H:$H)</f>
        <v>0</v>
      </c>
      <c r="G311" s="69">
        <f ca="1">SUMIF('CAP4-5'!$B:$H,Insumo[[#This Row],[DESCRIPCION]],'CAP4-5'!$H:$H)</f>
        <v>0</v>
      </c>
      <c r="H311" s="69">
        <f ca="1">SUMIF('CAP6-7'!$B:$H,Insumo[[#This Row],[DESCRIPCION]],'CAP6-7'!$H:$H)</f>
        <v>0</v>
      </c>
      <c r="I311" s="69">
        <f ca="1">SUMIF('CAP8'!$B:$H,Insumo[[#This Row],[DESCRIPCION]],'CAP8'!$H:$H)</f>
        <v>0</v>
      </c>
      <c r="J311" s="69">
        <f ca="1">SUMIF('CAP9-13'!$B:$H,Insumo[[#This Row],[DESCRIPCION]],'CAP9-13'!$H:$H)</f>
        <v>0</v>
      </c>
      <c r="K311" s="69">
        <f ca="1">SUMIF('CAP14-15'!$B:$H,Insumo[[#This Row],[DESCRIPCION]],'CAP14-15'!$H:$H)</f>
        <v>0</v>
      </c>
      <c r="L311" s="69">
        <f ca="1">SUMIF('CAP16-18'!$B:$H,Insumo[[#This Row],[DESCRIPCION]],'CAP16-18'!$H:$H)</f>
        <v>0</v>
      </c>
      <c r="M311" s="69">
        <f ca="1">SUMIF('CAP19-22'!$B:$H,Insumo[[#This Row],[DESCRIPCION]],'CAP19-22'!$H:$H)</f>
        <v>0</v>
      </c>
      <c r="N311" s="69">
        <f ca="1">SUMIF('CAP23-24'!$B:$H,Insumo[[#This Row],[DESCRIPCION]],'CAP23-24'!$H:$H)</f>
        <v>0</v>
      </c>
      <c r="O311" s="69">
        <f ca="1">SUMIF('CAP25'!$B:$H,Insumo[[#This Row],[DESCRIPCION]],'CAP25'!$H:$H)</f>
        <v>0</v>
      </c>
      <c r="P311" s="69">
        <f ca="1">SUMIF('CAP26-28'!$B:$H,Insumo[[#This Row],[DESCRIPCION]],'CAP26-28'!$H:$H)</f>
        <v>0</v>
      </c>
      <c r="Q311" s="69">
        <f ca="1">SUMIF('CAP29'!$B:$H,Insumo[[#This Row],[DESCRIPCION]],'CAP29'!$H:$H)</f>
        <v>0</v>
      </c>
      <c r="T311" s="136">
        <v>463272</v>
      </c>
    </row>
    <row r="312" spans="1:20" ht="12" customHeight="1">
      <c r="A312" s="302" t="s">
        <v>3810</v>
      </c>
      <c r="B312" s="305" t="s">
        <v>23</v>
      </c>
      <c r="C312" s="304">
        <f t="shared" si="4"/>
        <v>16275</v>
      </c>
      <c r="D312" s="293" cm="1">
        <f t="array" aca="1" ref="D312" ca="1">IF(Insumo[[#This Row],[VALOR]]=0,Insumo[TOTAL],E312/C312)</f>
        <v>0</v>
      </c>
      <c r="E312" s="292">
        <f ca="1">SUM(Insumo[[#This Row],[CAP1-3]:[CAP29]])</f>
        <v>0</v>
      </c>
      <c r="F312" s="292">
        <f ca="1">SUMIF('CAP1-3'!$B:$H,Insumo[[#This Row],[DESCRIPCION]],'CAP1-3'!$H:$H)</f>
        <v>0</v>
      </c>
      <c r="G312" s="292">
        <f ca="1">SUMIF('CAP4-5'!$B:$H,Insumo[[#This Row],[DESCRIPCION]],'CAP4-5'!$H:$H)</f>
        <v>0</v>
      </c>
      <c r="H312" s="292">
        <f ca="1">SUMIF('CAP6-7'!$B:$H,Insumo[[#This Row],[DESCRIPCION]],'CAP6-7'!$H:$H)</f>
        <v>0</v>
      </c>
      <c r="I312" s="292">
        <f ca="1">SUMIF('CAP8'!$B:$H,Insumo[[#This Row],[DESCRIPCION]],'CAP8'!$H:$H)</f>
        <v>0</v>
      </c>
      <c r="J312" s="292">
        <f ca="1">SUMIF('CAP9-13'!$B:$H,Insumo[[#This Row],[DESCRIPCION]],'CAP9-13'!$H:$H)</f>
        <v>0</v>
      </c>
      <c r="K312" s="292">
        <f ca="1">SUMIF('CAP14-15'!$B:$H,Insumo[[#This Row],[DESCRIPCION]],'CAP14-15'!$H:$H)</f>
        <v>0</v>
      </c>
      <c r="L312" s="292">
        <f ca="1">SUMIF('CAP16-18'!$B:$H,Insumo[[#This Row],[DESCRIPCION]],'CAP16-18'!$H:$H)</f>
        <v>0</v>
      </c>
      <c r="M312" s="292">
        <f ca="1">SUMIF('CAP19-22'!$B:$H,Insumo[[#This Row],[DESCRIPCION]],'CAP19-22'!$H:$H)</f>
        <v>0</v>
      </c>
      <c r="N312" s="292">
        <f ca="1">SUMIF('CAP23-24'!$B:$H,Insumo[[#This Row],[DESCRIPCION]],'CAP23-24'!$H:$H)</f>
        <v>0</v>
      </c>
      <c r="O312" s="292">
        <f ca="1">SUMIF('CAP25'!$B:$H,Insumo[[#This Row],[DESCRIPCION]],'CAP25'!$H:$H)</f>
        <v>0</v>
      </c>
      <c r="P312" s="292">
        <f ca="1">SUMIF('CAP26-28'!$B:$H,Insumo[[#This Row],[DESCRIPCION]],'CAP26-28'!$H:$H)</f>
        <v>0</v>
      </c>
      <c r="Q312" s="292">
        <f ca="1">SUMIF('CAP29'!$B:$H,Insumo[[#This Row],[DESCRIPCION]],'CAP29'!$H:$H)</f>
        <v>0</v>
      </c>
      <c r="R312" s="294"/>
      <c r="T312" s="136">
        <v>15500</v>
      </c>
    </row>
    <row r="313" spans="1:20" ht="12" customHeight="1">
      <c r="A313" s="301" t="s">
        <v>2925</v>
      </c>
      <c r="B313" s="303" t="s">
        <v>2686</v>
      </c>
      <c r="C313" s="304">
        <f t="shared" si="4"/>
        <v>28923.300000000003</v>
      </c>
      <c r="D313" s="281" cm="1">
        <f t="array" aca="1" ref="D313" ca="1">IF(Insumo[[#This Row],[VALOR]]=0,Insumo[TOTAL],E313/C313)</f>
        <v>0</v>
      </c>
      <c r="E313" s="69">
        <f ca="1">SUM(Insumo[[#This Row],[CAP1-3]:[CAP29]])</f>
        <v>0</v>
      </c>
      <c r="F313" s="69">
        <f ca="1">SUMIF('CAP1-3'!$B:$H,Insumo[[#This Row],[DESCRIPCION]],'CAP1-3'!$H:$H)</f>
        <v>0</v>
      </c>
      <c r="G313" s="69">
        <f ca="1">SUMIF('CAP4-5'!$B:$H,Insumo[[#This Row],[DESCRIPCION]],'CAP4-5'!$H:$H)</f>
        <v>0</v>
      </c>
      <c r="H313" s="69">
        <f ca="1">SUMIF('CAP6-7'!$B:$H,Insumo[[#This Row],[DESCRIPCION]],'CAP6-7'!$H:$H)</f>
        <v>0</v>
      </c>
      <c r="I313" s="69">
        <f ca="1">SUMIF('CAP8'!$B:$H,Insumo[[#This Row],[DESCRIPCION]],'CAP8'!$H:$H)</f>
        <v>0</v>
      </c>
      <c r="J313" s="69">
        <f ca="1">SUMIF('CAP9-13'!$B:$H,Insumo[[#This Row],[DESCRIPCION]],'CAP9-13'!$H:$H)</f>
        <v>0</v>
      </c>
      <c r="K313" s="69">
        <f ca="1">SUMIF('CAP14-15'!$B:$H,Insumo[[#This Row],[DESCRIPCION]],'CAP14-15'!$H:$H)</f>
        <v>0</v>
      </c>
      <c r="L313" s="69">
        <f ca="1">SUMIF('CAP16-18'!$B:$H,Insumo[[#This Row],[DESCRIPCION]],'CAP16-18'!$H:$H)</f>
        <v>0</v>
      </c>
      <c r="M313" s="69">
        <f ca="1">SUMIF('CAP19-22'!$B:$H,Insumo[[#This Row],[DESCRIPCION]],'CAP19-22'!$H:$H)</f>
        <v>0</v>
      </c>
      <c r="N313" s="69">
        <f ca="1">SUMIF('CAP23-24'!$B:$H,Insumo[[#This Row],[DESCRIPCION]],'CAP23-24'!$H:$H)</f>
        <v>0</v>
      </c>
      <c r="O313" s="69">
        <f ca="1">SUMIF('CAP25'!$B:$H,Insumo[[#This Row],[DESCRIPCION]],'CAP25'!$H:$H)</f>
        <v>0</v>
      </c>
      <c r="P313" s="69">
        <f ca="1">SUMIF('CAP26-28'!$B:$H,Insumo[[#This Row],[DESCRIPCION]],'CAP26-28'!$H:$H)</f>
        <v>0</v>
      </c>
      <c r="Q313" s="69">
        <f ca="1">SUMIF('CAP29'!$B:$H,Insumo[[#This Row],[DESCRIPCION]],'CAP29'!$H:$H)</f>
        <v>0</v>
      </c>
      <c r="T313" s="136">
        <v>27546</v>
      </c>
    </row>
    <row r="314" spans="1:20" ht="12" customHeight="1">
      <c r="A314" s="301" t="s">
        <v>2926</v>
      </c>
      <c r="B314" s="303" t="s">
        <v>2686</v>
      </c>
      <c r="C314" s="304">
        <f t="shared" si="4"/>
        <v>18834.900000000001</v>
      </c>
      <c r="D314" s="281" cm="1">
        <f t="array" aca="1" ref="D314" ca="1">IF(Insumo[[#This Row],[VALOR]]=0,Insumo[TOTAL],E314/C314)</f>
        <v>0</v>
      </c>
      <c r="E314" s="69">
        <f ca="1">SUM(Insumo[[#This Row],[CAP1-3]:[CAP29]])</f>
        <v>0</v>
      </c>
      <c r="F314" s="69">
        <f ca="1">SUMIF('CAP1-3'!$B:$H,Insumo[[#This Row],[DESCRIPCION]],'CAP1-3'!$H:$H)</f>
        <v>0</v>
      </c>
      <c r="G314" s="69">
        <f ca="1">SUMIF('CAP4-5'!$B:$H,Insumo[[#This Row],[DESCRIPCION]],'CAP4-5'!$H:$H)</f>
        <v>0</v>
      </c>
      <c r="H314" s="69">
        <f ca="1">SUMIF('CAP6-7'!$B:$H,Insumo[[#This Row],[DESCRIPCION]],'CAP6-7'!$H:$H)</f>
        <v>0</v>
      </c>
      <c r="I314" s="69">
        <f ca="1">SUMIF('CAP8'!$B:$H,Insumo[[#This Row],[DESCRIPCION]],'CAP8'!$H:$H)</f>
        <v>0</v>
      </c>
      <c r="J314" s="69">
        <f ca="1">SUMIF('CAP9-13'!$B:$H,Insumo[[#This Row],[DESCRIPCION]],'CAP9-13'!$H:$H)</f>
        <v>0</v>
      </c>
      <c r="K314" s="69">
        <f ca="1">SUMIF('CAP14-15'!$B:$H,Insumo[[#This Row],[DESCRIPCION]],'CAP14-15'!$H:$H)</f>
        <v>0</v>
      </c>
      <c r="L314" s="69">
        <f ca="1">SUMIF('CAP16-18'!$B:$H,Insumo[[#This Row],[DESCRIPCION]],'CAP16-18'!$H:$H)</f>
        <v>0</v>
      </c>
      <c r="M314" s="69">
        <f ca="1">SUMIF('CAP19-22'!$B:$H,Insumo[[#This Row],[DESCRIPCION]],'CAP19-22'!$H:$H)</f>
        <v>0</v>
      </c>
      <c r="N314" s="69">
        <f ca="1">SUMIF('CAP23-24'!$B:$H,Insumo[[#This Row],[DESCRIPCION]],'CAP23-24'!$H:$H)</f>
        <v>0</v>
      </c>
      <c r="O314" s="69">
        <f ca="1">SUMIF('CAP25'!$B:$H,Insumo[[#This Row],[DESCRIPCION]],'CAP25'!$H:$H)</f>
        <v>0</v>
      </c>
      <c r="P314" s="69">
        <f ca="1">SUMIF('CAP26-28'!$B:$H,Insumo[[#This Row],[DESCRIPCION]],'CAP26-28'!$H:$H)</f>
        <v>0</v>
      </c>
      <c r="Q314" s="69">
        <f ca="1">SUMIF('CAP29'!$B:$H,Insumo[[#This Row],[DESCRIPCION]],'CAP29'!$H:$H)</f>
        <v>0</v>
      </c>
      <c r="T314" s="136">
        <v>17938</v>
      </c>
    </row>
    <row r="315" spans="1:20" ht="12" customHeight="1">
      <c r="A315" s="301" t="s">
        <v>2927</v>
      </c>
      <c r="B315" s="303" t="s">
        <v>23</v>
      </c>
      <c r="C315" s="304">
        <f t="shared" si="4"/>
        <v>140941.5</v>
      </c>
      <c r="D315" s="281" cm="1">
        <f t="array" aca="1" ref="D315" ca="1">IF(Insumo[[#This Row],[VALOR]]=0,Insumo[TOTAL],E315/C315)</f>
        <v>0</v>
      </c>
      <c r="E315" s="69">
        <f ca="1">SUM(Insumo[[#This Row],[CAP1-3]:[CAP29]])</f>
        <v>0</v>
      </c>
      <c r="F315" s="69">
        <f ca="1">SUMIF('CAP1-3'!$B:$H,Insumo[[#This Row],[DESCRIPCION]],'CAP1-3'!$H:$H)</f>
        <v>0</v>
      </c>
      <c r="G315" s="69">
        <f ca="1">SUMIF('CAP4-5'!$B:$H,Insumo[[#This Row],[DESCRIPCION]],'CAP4-5'!$H:$H)</f>
        <v>0</v>
      </c>
      <c r="H315" s="69">
        <f ca="1">SUMIF('CAP6-7'!$B:$H,Insumo[[#This Row],[DESCRIPCION]],'CAP6-7'!$H:$H)</f>
        <v>0</v>
      </c>
      <c r="I315" s="69">
        <f ca="1">SUMIF('CAP8'!$B:$H,Insumo[[#This Row],[DESCRIPCION]],'CAP8'!$H:$H)</f>
        <v>0</v>
      </c>
      <c r="J315" s="69">
        <f ca="1">SUMIF('CAP9-13'!$B:$H,Insumo[[#This Row],[DESCRIPCION]],'CAP9-13'!$H:$H)</f>
        <v>0</v>
      </c>
      <c r="K315" s="69">
        <f ca="1">SUMIF('CAP14-15'!$B:$H,Insumo[[#This Row],[DESCRIPCION]],'CAP14-15'!$H:$H)</f>
        <v>0</v>
      </c>
      <c r="L315" s="69">
        <f ca="1">SUMIF('CAP16-18'!$B:$H,Insumo[[#This Row],[DESCRIPCION]],'CAP16-18'!$H:$H)</f>
        <v>0</v>
      </c>
      <c r="M315" s="69">
        <f ca="1">SUMIF('CAP19-22'!$B:$H,Insumo[[#This Row],[DESCRIPCION]],'CAP19-22'!$H:$H)</f>
        <v>0</v>
      </c>
      <c r="N315" s="69">
        <f ca="1">SUMIF('CAP23-24'!$B:$H,Insumo[[#This Row],[DESCRIPCION]],'CAP23-24'!$H:$H)</f>
        <v>0</v>
      </c>
      <c r="O315" s="69">
        <f ca="1">SUMIF('CAP25'!$B:$H,Insumo[[#This Row],[DESCRIPCION]],'CAP25'!$H:$H)</f>
        <v>0</v>
      </c>
      <c r="P315" s="69">
        <f ca="1">SUMIF('CAP26-28'!$B:$H,Insumo[[#This Row],[DESCRIPCION]],'CAP26-28'!$H:$H)</f>
        <v>0</v>
      </c>
      <c r="Q315" s="69">
        <f ca="1">SUMIF('CAP29'!$B:$H,Insumo[[#This Row],[DESCRIPCION]],'CAP29'!$H:$H)</f>
        <v>0</v>
      </c>
      <c r="R315" s="136" t="s">
        <v>2663</v>
      </c>
      <c r="T315" s="136">
        <v>134230</v>
      </c>
    </row>
    <row r="316" spans="1:20" ht="12" customHeight="1">
      <c r="A316" s="301" t="s">
        <v>2928</v>
      </c>
      <c r="B316" s="303" t="s">
        <v>20</v>
      </c>
      <c r="C316" s="304">
        <f t="shared" si="4"/>
        <v>284156.25</v>
      </c>
      <c r="D316" s="281" cm="1">
        <f t="array" aca="1" ref="D316" ca="1">IF(Insumo[[#This Row],[VALOR]]=0,Insumo[TOTAL],E316/C316)</f>
        <v>0</v>
      </c>
      <c r="E316" s="69">
        <f ca="1">SUM(Insumo[[#This Row],[CAP1-3]:[CAP29]])</f>
        <v>0</v>
      </c>
      <c r="F316" s="69">
        <f ca="1">SUMIF('CAP1-3'!$B:$H,Insumo[[#This Row],[DESCRIPCION]],'CAP1-3'!$H:$H)</f>
        <v>0</v>
      </c>
      <c r="G316" s="69">
        <f ca="1">SUMIF('CAP4-5'!$B:$H,Insumo[[#This Row],[DESCRIPCION]],'CAP4-5'!$H:$H)</f>
        <v>0</v>
      </c>
      <c r="H316" s="69">
        <f ca="1">SUMIF('CAP6-7'!$B:$H,Insumo[[#This Row],[DESCRIPCION]],'CAP6-7'!$H:$H)</f>
        <v>0</v>
      </c>
      <c r="I316" s="69">
        <f ca="1">SUMIF('CAP8'!$B:$H,Insumo[[#This Row],[DESCRIPCION]],'CAP8'!$H:$H)</f>
        <v>0</v>
      </c>
      <c r="J316" s="69">
        <f ca="1">SUMIF('CAP9-13'!$B:$H,Insumo[[#This Row],[DESCRIPCION]],'CAP9-13'!$H:$H)</f>
        <v>0</v>
      </c>
      <c r="K316" s="69">
        <f ca="1">SUMIF('CAP14-15'!$B:$H,Insumo[[#This Row],[DESCRIPCION]],'CAP14-15'!$H:$H)</f>
        <v>0</v>
      </c>
      <c r="L316" s="69">
        <f ca="1">SUMIF('CAP16-18'!$B:$H,Insumo[[#This Row],[DESCRIPCION]],'CAP16-18'!$H:$H)</f>
        <v>0</v>
      </c>
      <c r="M316" s="69">
        <f ca="1">SUMIF('CAP19-22'!$B:$H,Insumo[[#This Row],[DESCRIPCION]],'CAP19-22'!$H:$H)</f>
        <v>0</v>
      </c>
      <c r="N316" s="69">
        <f ca="1">SUMIF('CAP23-24'!$B:$H,Insumo[[#This Row],[DESCRIPCION]],'CAP23-24'!$H:$H)</f>
        <v>0</v>
      </c>
      <c r="O316" s="69">
        <f ca="1">SUMIF('CAP25'!$B:$H,Insumo[[#This Row],[DESCRIPCION]],'CAP25'!$H:$H)</f>
        <v>0</v>
      </c>
      <c r="P316" s="69">
        <f ca="1">SUMIF('CAP26-28'!$B:$H,Insumo[[#This Row],[DESCRIPCION]],'CAP26-28'!$H:$H)</f>
        <v>0</v>
      </c>
      <c r="Q316" s="69">
        <f ca="1">SUMIF('CAP29'!$B:$H,Insumo[[#This Row],[DESCRIPCION]],'CAP29'!$H:$H)</f>
        <v>0</v>
      </c>
      <c r="T316" s="136">
        <v>270625</v>
      </c>
    </row>
    <row r="317" spans="1:20" ht="12" customHeight="1">
      <c r="A317" s="301" t="s">
        <v>2929</v>
      </c>
      <c r="B317" s="303" t="s">
        <v>20</v>
      </c>
      <c r="C317" s="304">
        <f t="shared" si="4"/>
        <v>292914.3</v>
      </c>
      <c r="D317" s="281" cm="1">
        <f t="array" aca="1" ref="D317" ca="1">IF(Insumo[[#This Row],[VALOR]]=0,Insumo[TOTAL],E317/C317)</f>
        <v>0</v>
      </c>
      <c r="E317" s="69">
        <f ca="1">SUM(Insumo[[#This Row],[CAP1-3]:[CAP29]])</f>
        <v>0</v>
      </c>
      <c r="F317" s="69">
        <f ca="1">SUMIF('CAP1-3'!$B:$H,Insumo[[#This Row],[DESCRIPCION]],'CAP1-3'!$H:$H)</f>
        <v>0</v>
      </c>
      <c r="G317" s="69">
        <f ca="1">SUMIF('CAP4-5'!$B:$H,Insumo[[#This Row],[DESCRIPCION]],'CAP4-5'!$H:$H)</f>
        <v>0</v>
      </c>
      <c r="H317" s="69">
        <f ca="1">SUMIF('CAP6-7'!$B:$H,Insumo[[#This Row],[DESCRIPCION]],'CAP6-7'!$H:$H)</f>
        <v>0</v>
      </c>
      <c r="I317" s="69">
        <f ca="1">SUMIF('CAP8'!$B:$H,Insumo[[#This Row],[DESCRIPCION]],'CAP8'!$H:$H)</f>
        <v>0</v>
      </c>
      <c r="J317" s="69">
        <f ca="1">SUMIF('CAP9-13'!$B:$H,Insumo[[#This Row],[DESCRIPCION]],'CAP9-13'!$H:$H)</f>
        <v>0</v>
      </c>
      <c r="K317" s="69">
        <f ca="1">SUMIF('CAP14-15'!$B:$H,Insumo[[#This Row],[DESCRIPCION]],'CAP14-15'!$H:$H)</f>
        <v>0</v>
      </c>
      <c r="L317" s="69">
        <f ca="1">SUMIF('CAP16-18'!$B:$H,Insumo[[#This Row],[DESCRIPCION]],'CAP16-18'!$H:$H)</f>
        <v>0</v>
      </c>
      <c r="M317" s="69">
        <f ca="1">SUMIF('CAP19-22'!$B:$H,Insumo[[#This Row],[DESCRIPCION]],'CAP19-22'!$H:$H)</f>
        <v>0</v>
      </c>
      <c r="N317" s="69">
        <f ca="1">SUMIF('CAP23-24'!$B:$H,Insumo[[#This Row],[DESCRIPCION]],'CAP23-24'!$H:$H)</f>
        <v>0</v>
      </c>
      <c r="O317" s="69">
        <f ca="1">SUMIF('CAP25'!$B:$H,Insumo[[#This Row],[DESCRIPCION]],'CAP25'!$H:$H)</f>
        <v>0</v>
      </c>
      <c r="P317" s="69">
        <f ca="1">SUMIF('CAP26-28'!$B:$H,Insumo[[#This Row],[DESCRIPCION]],'CAP26-28'!$H:$H)</f>
        <v>0</v>
      </c>
      <c r="Q317" s="69">
        <f ca="1">SUMIF('CAP29'!$B:$H,Insumo[[#This Row],[DESCRIPCION]],'CAP29'!$H:$H)</f>
        <v>0</v>
      </c>
      <c r="T317" s="136">
        <v>278966</v>
      </c>
    </row>
    <row r="318" spans="1:20" ht="12" customHeight="1">
      <c r="A318" s="301" t="s">
        <v>2930</v>
      </c>
      <c r="B318" s="303" t="s">
        <v>20</v>
      </c>
      <c r="C318" s="304">
        <f t="shared" si="4"/>
        <v>865653.60000000009</v>
      </c>
      <c r="D318" s="281" cm="1">
        <f t="array" aca="1" ref="D318" ca="1">IF(Insumo[[#This Row],[VALOR]]=0,Insumo[TOTAL],E318/C318)</f>
        <v>0</v>
      </c>
      <c r="E318" s="69">
        <f ca="1">SUM(Insumo[[#This Row],[CAP1-3]:[CAP29]])</f>
        <v>0</v>
      </c>
      <c r="F318" s="69">
        <f ca="1">SUMIF('CAP1-3'!$B:$H,Insumo[[#This Row],[DESCRIPCION]],'CAP1-3'!$H:$H)</f>
        <v>0</v>
      </c>
      <c r="G318" s="69">
        <f ca="1">SUMIF('CAP4-5'!$B:$H,Insumo[[#This Row],[DESCRIPCION]],'CAP4-5'!$H:$H)</f>
        <v>0</v>
      </c>
      <c r="H318" s="69">
        <f ca="1">SUMIF('CAP6-7'!$B:$H,Insumo[[#This Row],[DESCRIPCION]],'CAP6-7'!$H:$H)</f>
        <v>0</v>
      </c>
      <c r="I318" s="69">
        <f ca="1">SUMIF('CAP8'!$B:$H,Insumo[[#This Row],[DESCRIPCION]],'CAP8'!$H:$H)</f>
        <v>0</v>
      </c>
      <c r="J318" s="69">
        <f ca="1">SUMIF('CAP9-13'!$B:$H,Insumo[[#This Row],[DESCRIPCION]],'CAP9-13'!$H:$H)</f>
        <v>0</v>
      </c>
      <c r="K318" s="69">
        <f ca="1">SUMIF('CAP14-15'!$B:$H,Insumo[[#This Row],[DESCRIPCION]],'CAP14-15'!$H:$H)</f>
        <v>0</v>
      </c>
      <c r="L318" s="69">
        <f ca="1">SUMIF('CAP16-18'!$B:$H,Insumo[[#This Row],[DESCRIPCION]],'CAP16-18'!$H:$H)</f>
        <v>0</v>
      </c>
      <c r="M318" s="69">
        <f ca="1">SUMIF('CAP19-22'!$B:$H,Insumo[[#This Row],[DESCRIPCION]],'CAP19-22'!$H:$H)</f>
        <v>0</v>
      </c>
      <c r="N318" s="69">
        <f ca="1">SUMIF('CAP23-24'!$B:$H,Insumo[[#This Row],[DESCRIPCION]],'CAP23-24'!$H:$H)</f>
        <v>0</v>
      </c>
      <c r="O318" s="69">
        <f ca="1">SUMIF('CAP25'!$B:$H,Insumo[[#This Row],[DESCRIPCION]],'CAP25'!$H:$H)</f>
        <v>0</v>
      </c>
      <c r="P318" s="69">
        <f ca="1">SUMIF('CAP26-28'!$B:$H,Insumo[[#This Row],[DESCRIPCION]],'CAP26-28'!$H:$H)</f>
        <v>0</v>
      </c>
      <c r="Q318" s="69">
        <f ca="1">SUMIF('CAP29'!$B:$H,Insumo[[#This Row],[DESCRIPCION]],'CAP29'!$H:$H)</f>
        <v>0</v>
      </c>
      <c r="T318" s="136">
        <v>824432</v>
      </c>
    </row>
    <row r="319" spans="1:20" ht="12" customHeight="1">
      <c r="A319" s="301" t="s">
        <v>2931</v>
      </c>
      <c r="B319" s="303" t="s">
        <v>20</v>
      </c>
      <c r="C319" s="304">
        <f t="shared" si="4"/>
        <v>514578.75</v>
      </c>
      <c r="D319" s="281" cm="1">
        <f t="array" aca="1" ref="D319" ca="1">IF(Insumo[[#This Row],[VALOR]]=0,Insumo[TOTAL],E319/C319)</f>
        <v>0</v>
      </c>
      <c r="E319" s="69">
        <f ca="1">SUM(Insumo[[#This Row],[CAP1-3]:[CAP29]])</f>
        <v>0</v>
      </c>
      <c r="F319" s="69">
        <f ca="1">SUMIF('CAP1-3'!$B:$H,Insumo[[#This Row],[DESCRIPCION]],'CAP1-3'!$H:$H)</f>
        <v>0</v>
      </c>
      <c r="G319" s="69">
        <f ca="1">SUMIF('CAP4-5'!$B:$H,Insumo[[#This Row],[DESCRIPCION]],'CAP4-5'!$H:$H)</f>
        <v>0</v>
      </c>
      <c r="H319" s="69">
        <f ca="1">SUMIF('CAP6-7'!$B:$H,Insumo[[#This Row],[DESCRIPCION]],'CAP6-7'!$H:$H)</f>
        <v>0</v>
      </c>
      <c r="I319" s="69">
        <f ca="1">SUMIF('CAP8'!$B:$H,Insumo[[#This Row],[DESCRIPCION]],'CAP8'!$H:$H)</f>
        <v>0</v>
      </c>
      <c r="J319" s="69">
        <f ca="1">SUMIF('CAP9-13'!$B:$H,Insumo[[#This Row],[DESCRIPCION]],'CAP9-13'!$H:$H)</f>
        <v>0</v>
      </c>
      <c r="K319" s="69">
        <f ca="1">SUMIF('CAP14-15'!$B:$H,Insumo[[#This Row],[DESCRIPCION]],'CAP14-15'!$H:$H)</f>
        <v>0</v>
      </c>
      <c r="L319" s="69">
        <f ca="1">SUMIF('CAP16-18'!$B:$H,Insumo[[#This Row],[DESCRIPCION]],'CAP16-18'!$H:$H)</f>
        <v>0</v>
      </c>
      <c r="M319" s="69">
        <f ca="1">SUMIF('CAP19-22'!$B:$H,Insumo[[#This Row],[DESCRIPCION]],'CAP19-22'!$H:$H)</f>
        <v>0</v>
      </c>
      <c r="N319" s="69">
        <f ca="1">SUMIF('CAP23-24'!$B:$H,Insumo[[#This Row],[DESCRIPCION]],'CAP23-24'!$H:$H)</f>
        <v>0</v>
      </c>
      <c r="O319" s="69">
        <f ca="1">SUMIF('CAP25'!$B:$H,Insumo[[#This Row],[DESCRIPCION]],'CAP25'!$H:$H)</f>
        <v>0</v>
      </c>
      <c r="P319" s="69">
        <f ca="1">SUMIF('CAP26-28'!$B:$H,Insumo[[#This Row],[DESCRIPCION]],'CAP26-28'!$H:$H)</f>
        <v>0</v>
      </c>
      <c r="Q319" s="69">
        <f ca="1">SUMIF('CAP29'!$B:$H,Insumo[[#This Row],[DESCRIPCION]],'CAP29'!$H:$H)</f>
        <v>0</v>
      </c>
      <c r="T319" s="136">
        <v>490075</v>
      </c>
    </row>
    <row r="320" spans="1:20" ht="12" customHeight="1">
      <c r="A320" s="301" t="s">
        <v>2932</v>
      </c>
      <c r="B320" s="303" t="s">
        <v>23</v>
      </c>
      <c r="C320" s="304">
        <f t="shared" si="4"/>
        <v>89793.900000000009</v>
      </c>
      <c r="D320" s="281" cm="1">
        <f t="array" aca="1" ref="D320" ca="1">IF(Insumo[[#This Row],[VALOR]]=0,Insumo[TOTAL],E320/C320)</f>
        <v>0</v>
      </c>
      <c r="E320" s="69">
        <f ca="1">SUM(Insumo[[#This Row],[CAP1-3]:[CAP29]])</f>
        <v>0</v>
      </c>
      <c r="F320" s="69">
        <f ca="1">SUMIF('CAP1-3'!$B:$H,Insumo[[#This Row],[DESCRIPCION]],'CAP1-3'!$H:$H)</f>
        <v>0</v>
      </c>
      <c r="G320" s="69">
        <f ca="1">SUMIF('CAP4-5'!$B:$H,Insumo[[#This Row],[DESCRIPCION]],'CAP4-5'!$H:$H)</f>
        <v>0</v>
      </c>
      <c r="H320" s="69">
        <f ca="1">SUMIF('CAP6-7'!$B:$H,Insumo[[#This Row],[DESCRIPCION]],'CAP6-7'!$H:$H)</f>
        <v>0</v>
      </c>
      <c r="I320" s="69">
        <f ca="1">SUMIF('CAP8'!$B:$H,Insumo[[#This Row],[DESCRIPCION]],'CAP8'!$H:$H)</f>
        <v>0</v>
      </c>
      <c r="J320" s="69">
        <f ca="1">SUMIF('CAP9-13'!$B:$H,Insumo[[#This Row],[DESCRIPCION]],'CAP9-13'!$H:$H)</f>
        <v>0</v>
      </c>
      <c r="K320" s="69">
        <f ca="1">SUMIF('CAP14-15'!$B:$H,Insumo[[#This Row],[DESCRIPCION]],'CAP14-15'!$H:$H)</f>
        <v>0</v>
      </c>
      <c r="L320" s="69">
        <f ca="1">SUMIF('CAP16-18'!$B:$H,Insumo[[#This Row],[DESCRIPCION]],'CAP16-18'!$H:$H)</f>
        <v>0</v>
      </c>
      <c r="M320" s="69">
        <f ca="1">SUMIF('CAP19-22'!$B:$H,Insumo[[#This Row],[DESCRIPCION]],'CAP19-22'!$H:$H)</f>
        <v>0</v>
      </c>
      <c r="N320" s="69">
        <f ca="1">SUMIF('CAP23-24'!$B:$H,Insumo[[#This Row],[DESCRIPCION]],'CAP23-24'!$H:$H)</f>
        <v>0</v>
      </c>
      <c r="O320" s="69">
        <f ca="1">SUMIF('CAP25'!$B:$H,Insumo[[#This Row],[DESCRIPCION]],'CAP25'!$H:$H)</f>
        <v>0</v>
      </c>
      <c r="P320" s="69">
        <f ca="1">SUMIF('CAP26-28'!$B:$H,Insumo[[#This Row],[DESCRIPCION]],'CAP26-28'!$H:$H)</f>
        <v>0</v>
      </c>
      <c r="Q320" s="69">
        <f ca="1">SUMIF('CAP29'!$B:$H,Insumo[[#This Row],[DESCRIPCION]],'CAP29'!$H:$H)</f>
        <v>0</v>
      </c>
      <c r="T320" s="136">
        <v>85518</v>
      </c>
    </row>
    <row r="321" spans="1:20" ht="12" customHeight="1">
      <c r="A321" s="301" t="s">
        <v>2933</v>
      </c>
      <c r="B321" s="303" t="s">
        <v>23</v>
      </c>
      <c r="C321" s="304">
        <f t="shared" si="4"/>
        <v>223915.65000000002</v>
      </c>
      <c r="D321" s="281" cm="1">
        <f t="array" aca="1" ref="D321" ca="1">IF(Insumo[[#This Row],[VALOR]]=0,Insumo[TOTAL],E321/C321)</f>
        <v>0</v>
      </c>
      <c r="E321" s="69">
        <f ca="1">SUM(Insumo[[#This Row],[CAP1-3]:[CAP29]])</f>
        <v>0</v>
      </c>
      <c r="F321" s="69">
        <f ca="1">SUMIF('CAP1-3'!$B:$H,Insumo[[#This Row],[DESCRIPCION]],'CAP1-3'!$H:$H)</f>
        <v>0</v>
      </c>
      <c r="G321" s="69">
        <f ca="1">SUMIF('CAP4-5'!$B:$H,Insumo[[#This Row],[DESCRIPCION]],'CAP4-5'!$H:$H)</f>
        <v>0</v>
      </c>
      <c r="H321" s="69">
        <f ca="1">SUMIF('CAP6-7'!$B:$H,Insumo[[#This Row],[DESCRIPCION]],'CAP6-7'!$H:$H)</f>
        <v>0</v>
      </c>
      <c r="I321" s="69">
        <f ca="1">SUMIF('CAP8'!$B:$H,Insumo[[#This Row],[DESCRIPCION]],'CAP8'!$H:$H)</f>
        <v>0</v>
      </c>
      <c r="J321" s="69">
        <f ca="1">SUMIF('CAP9-13'!$B:$H,Insumo[[#This Row],[DESCRIPCION]],'CAP9-13'!$H:$H)</f>
        <v>0</v>
      </c>
      <c r="K321" s="69">
        <f ca="1">SUMIF('CAP14-15'!$B:$H,Insumo[[#This Row],[DESCRIPCION]],'CAP14-15'!$H:$H)</f>
        <v>0</v>
      </c>
      <c r="L321" s="69">
        <f ca="1">SUMIF('CAP16-18'!$B:$H,Insumo[[#This Row],[DESCRIPCION]],'CAP16-18'!$H:$H)</f>
        <v>0</v>
      </c>
      <c r="M321" s="69">
        <f ca="1">SUMIF('CAP19-22'!$B:$H,Insumo[[#This Row],[DESCRIPCION]],'CAP19-22'!$H:$H)</f>
        <v>0</v>
      </c>
      <c r="N321" s="69">
        <f ca="1">SUMIF('CAP23-24'!$B:$H,Insumo[[#This Row],[DESCRIPCION]],'CAP23-24'!$H:$H)</f>
        <v>0</v>
      </c>
      <c r="O321" s="69">
        <f ca="1">SUMIF('CAP25'!$B:$H,Insumo[[#This Row],[DESCRIPCION]],'CAP25'!$H:$H)</f>
        <v>0</v>
      </c>
      <c r="P321" s="69">
        <f ca="1">SUMIF('CAP26-28'!$B:$H,Insumo[[#This Row],[DESCRIPCION]],'CAP26-28'!$H:$H)</f>
        <v>0</v>
      </c>
      <c r="Q321" s="69">
        <f ca="1">SUMIF('CAP29'!$B:$H,Insumo[[#This Row],[DESCRIPCION]],'CAP29'!$H:$H)</f>
        <v>0</v>
      </c>
      <c r="T321" s="136">
        <v>213253</v>
      </c>
    </row>
    <row r="322" spans="1:20" ht="12" customHeight="1">
      <c r="A322" s="301" t="s">
        <v>2934</v>
      </c>
      <c r="B322" s="303" t="s">
        <v>23</v>
      </c>
      <c r="C322" s="304">
        <f t="shared" si="4"/>
        <v>17049.900000000001</v>
      </c>
      <c r="D322" s="281" cm="1">
        <f t="array" aca="1" ref="D322" ca="1">IF(Insumo[[#This Row],[VALOR]]=0,Insumo[TOTAL],E322/C322)</f>
        <v>0</v>
      </c>
      <c r="E322" s="69">
        <f ca="1">SUM(Insumo[[#This Row],[CAP1-3]:[CAP29]])</f>
        <v>0</v>
      </c>
      <c r="F322" s="69">
        <f ca="1">SUMIF('CAP1-3'!$B:$H,Insumo[[#This Row],[DESCRIPCION]],'CAP1-3'!$H:$H)</f>
        <v>0</v>
      </c>
      <c r="G322" s="69">
        <f ca="1">SUMIF('CAP4-5'!$B:$H,Insumo[[#This Row],[DESCRIPCION]],'CAP4-5'!$H:$H)</f>
        <v>0</v>
      </c>
      <c r="H322" s="69">
        <f ca="1">SUMIF('CAP6-7'!$B:$H,Insumo[[#This Row],[DESCRIPCION]],'CAP6-7'!$H:$H)</f>
        <v>0</v>
      </c>
      <c r="I322" s="69">
        <f ca="1">SUMIF('CAP8'!$B:$H,Insumo[[#This Row],[DESCRIPCION]],'CAP8'!$H:$H)</f>
        <v>0</v>
      </c>
      <c r="J322" s="69">
        <f ca="1">SUMIF('CAP9-13'!$B:$H,Insumo[[#This Row],[DESCRIPCION]],'CAP9-13'!$H:$H)</f>
        <v>0</v>
      </c>
      <c r="K322" s="69">
        <f ca="1">SUMIF('CAP14-15'!$B:$H,Insumo[[#This Row],[DESCRIPCION]],'CAP14-15'!$H:$H)</f>
        <v>0</v>
      </c>
      <c r="L322" s="69">
        <f ca="1">SUMIF('CAP16-18'!$B:$H,Insumo[[#This Row],[DESCRIPCION]],'CAP16-18'!$H:$H)</f>
        <v>0</v>
      </c>
      <c r="M322" s="69">
        <f ca="1">SUMIF('CAP19-22'!$B:$H,Insumo[[#This Row],[DESCRIPCION]],'CAP19-22'!$H:$H)</f>
        <v>0</v>
      </c>
      <c r="N322" s="69">
        <f ca="1">SUMIF('CAP23-24'!$B:$H,Insumo[[#This Row],[DESCRIPCION]],'CAP23-24'!$H:$H)</f>
        <v>0</v>
      </c>
      <c r="O322" s="69">
        <f ca="1">SUMIF('CAP25'!$B:$H,Insumo[[#This Row],[DESCRIPCION]],'CAP25'!$H:$H)</f>
        <v>0</v>
      </c>
      <c r="P322" s="69">
        <f ca="1">SUMIF('CAP26-28'!$B:$H,Insumo[[#This Row],[DESCRIPCION]],'CAP26-28'!$H:$H)</f>
        <v>0</v>
      </c>
      <c r="Q322" s="69">
        <f ca="1">SUMIF('CAP29'!$B:$H,Insumo[[#This Row],[DESCRIPCION]],'CAP29'!$H:$H)</f>
        <v>0</v>
      </c>
      <c r="T322" s="136">
        <v>16238</v>
      </c>
    </row>
    <row r="323" spans="1:20" ht="12" customHeight="1">
      <c r="A323" s="301" t="s">
        <v>2935</v>
      </c>
      <c r="B323" s="303" t="s">
        <v>23</v>
      </c>
      <c r="C323" s="304">
        <f t="shared" si="4"/>
        <v>19791.45</v>
      </c>
      <c r="D323" s="281" cm="1">
        <f t="array" aca="1" ref="D323" ca="1">IF(Insumo[[#This Row],[VALOR]]=0,Insumo[TOTAL],E323/C323)</f>
        <v>0</v>
      </c>
      <c r="E323" s="69">
        <f ca="1">SUM(Insumo[[#This Row],[CAP1-3]:[CAP29]])</f>
        <v>0</v>
      </c>
      <c r="F323" s="69">
        <f ca="1">SUMIF('CAP1-3'!$B:$H,Insumo[[#This Row],[DESCRIPCION]],'CAP1-3'!$H:$H)</f>
        <v>0</v>
      </c>
      <c r="G323" s="69">
        <f ca="1">SUMIF('CAP4-5'!$B:$H,Insumo[[#This Row],[DESCRIPCION]],'CAP4-5'!$H:$H)</f>
        <v>0</v>
      </c>
      <c r="H323" s="69">
        <f ca="1">SUMIF('CAP6-7'!$B:$H,Insumo[[#This Row],[DESCRIPCION]],'CAP6-7'!$H:$H)</f>
        <v>0</v>
      </c>
      <c r="I323" s="69">
        <f ca="1">SUMIF('CAP8'!$B:$H,Insumo[[#This Row],[DESCRIPCION]],'CAP8'!$H:$H)</f>
        <v>0</v>
      </c>
      <c r="J323" s="69">
        <f ca="1">SUMIF('CAP9-13'!$B:$H,Insumo[[#This Row],[DESCRIPCION]],'CAP9-13'!$H:$H)</f>
        <v>0</v>
      </c>
      <c r="K323" s="69">
        <f ca="1">SUMIF('CAP14-15'!$B:$H,Insumo[[#This Row],[DESCRIPCION]],'CAP14-15'!$H:$H)</f>
        <v>0</v>
      </c>
      <c r="L323" s="69">
        <f ca="1">SUMIF('CAP16-18'!$B:$H,Insumo[[#This Row],[DESCRIPCION]],'CAP16-18'!$H:$H)</f>
        <v>0</v>
      </c>
      <c r="M323" s="69">
        <f ca="1">SUMIF('CAP19-22'!$B:$H,Insumo[[#This Row],[DESCRIPCION]],'CAP19-22'!$H:$H)</f>
        <v>0</v>
      </c>
      <c r="N323" s="69">
        <f ca="1">SUMIF('CAP23-24'!$B:$H,Insumo[[#This Row],[DESCRIPCION]],'CAP23-24'!$H:$H)</f>
        <v>0</v>
      </c>
      <c r="O323" s="69">
        <f ca="1">SUMIF('CAP25'!$B:$H,Insumo[[#This Row],[DESCRIPCION]],'CAP25'!$H:$H)</f>
        <v>0</v>
      </c>
      <c r="P323" s="69">
        <f ca="1">SUMIF('CAP26-28'!$B:$H,Insumo[[#This Row],[DESCRIPCION]],'CAP26-28'!$H:$H)</f>
        <v>0</v>
      </c>
      <c r="Q323" s="69">
        <f ca="1">SUMIF('CAP29'!$B:$H,Insumo[[#This Row],[DESCRIPCION]],'CAP29'!$H:$H)</f>
        <v>0</v>
      </c>
      <c r="T323" s="136">
        <v>18849</v>
      </c>
    </row>
    <row r="324" spans="1:20" ht="12" customHeight="1">
      <c r="A324" s="301" t="s">
        <v>2936</v>
      </c>
      <c r="B324" s="303" t="s">
        <v>2662</v>
      </c>
      <c r="C324" s="304">
        <f t="shared" si="4"/>
        <v>41490.75</v>
      </c>
      <c r="D324" s="281" cm="1">
        <f t="array" aca="1" ref="D324" ca="1">IF(Insumo[[#This Row],[VALOR]]=0,Insumo[TOTAL],E324/C324)</f>
        <v>0</v>
      </c>
      <c r="E324" s="69">
        <f ca="1">SUM(Insumo[[#This Row],[CAP1-3]:[CAP29]])</f>
        <v>0</v>
      </c>
      <c r="F324" s="69">
        <f ca="1">SUMIF('CAP1-3'!$B:$H,Insumo[[#This Row],[DESCRIPCION]],'CAP1-3'!$H:$H)</f>
        <v>0</v>
      </c>
      <c r="G324" s="69">
        <f ca="1">SUMIF('CAP4-5'!$B:$H,Insumo[[#This Row],[DESCRIPCION]],'CAP4-5'!$H:$H)</f>
        <v>0</v>
      </c>
      <c r="H324" s="69">
        <f ca="1">SUMIF('CAP6-7'!$B:$H,Insumo[[#This Row],[DESCRIPCION]],'CAP6-7'!$H:$H)</f>
        <v>0</v>
      </c>
      <c r="I324" s="69">
        <f ca="1">SUMIF('CAP8'!$B:$H,Insumo[[#This Row],[DESCRIPCION]],'CAP8'!$H:$H)</f>
        <v>0</v>
      </c>
      <c r="J324" s="69">
        <f ca="1">SUMIF('CAP9-13'!$B:$H,Insumo[[#This Row],[DESCRIPCION]],'CAP9-13'!$H:$H)</f>
        <v>0</v>
      </c>
      <c r="K324" s="69">
        <f ca="1">SUMIF('CAP14-15'!$B:$H,Insumo[[#This Row],[DESCRIPCION]],'CAP14-15'!$H:$H)</f>
        <v>0</v>
      </c>
      <c r="L324" s="69">
        <f ca="1">SUMIF('CAP16-18'!$B:$H,Insumo[[#This Row],[DESCRIPCION]],'CAP16-18'!$H:$H)</f>
        <v>0</v>
      </c>
      <c r="M324" s="69">
        <f ca="1">SUMIF('CAP19-22'!$B:$H,Insumo[[#This Row],[DESCRIPCION]],'CAP19-22'!$H:$H)</f>
        <v>0</v>
      </c>
      <c r="N324" s="69">
        <f ca="1">SUMIF('CAP23-24'!$B:$H,Insumo[[#This Row],[DESCRIPCION]],'CAP23-24'!$H:$H)</f>
        <v>0</v>
      </c>
      <c r="O324" s="69">
        <f ca="1">SUMIF('CAP25'!$B:$H,Insumo[[#This Row],[DESCRIPCION]],'CAP25'!$H:$H)</f>
        <v>0</v>
      </c>
      <c r="P324" s="69">
        <f ca="1">SUMIF('CAP26-28'!$B:$H,Insumo[[#This Row],[DESCRIPCION]],'CAP26-28'!$H:$H)</f>
        <v>0</v>
      </c>
      <c r="Q324" s="69">
        <f ca="1">SUMIF('CAP29'!$B:$H,Insumo[[#This Row],[DESCRIPCION]],'CAP29'!$H:$H)</f>
        <v>0</v>
      </c>
      <c r="T324" s="136">
        <v>39515</v>
      </c>
    </row>
    <row r="325" spans="1:20" ht="12" customHeight="1">
      <c r="A325" s="301" t="s">
        <v>2937</v>
      </c>
      <c r="B325" s="303" t="s">
        <v>2662</v>
      </c>
      <c r="C325" s="304">
        <f t="shared" si="4"/>
        <v>28416.15</v>
      </c>
      <c r="D325" s="281" cm="1">
        <f t="array" aca="1" ref="D325" ca="1">IF(Insumo[[#This Row],[VALOR]]=0,Insumo[TOTAL],E325/C325)</f>
        <v>0</v>
      </c>
      <c r="E325" s="69">
        <f ca="1">SUM(Insumo[[#This Row],[CAP1-3]:[CAP29]])</f>
        <v>0</v>
      </c>
      <c r="F325" s="69">
        <f ca="1">SUMIF('CAP1-3'!$B:$H,Insumo[[#This Row],[DESCRIPCION]],'CAP1-3'!$H:$H)</f>
        <v>0</v>
      </c>
      <c r="G325" s="69">
        <f ca="1">SUMIF('CAP4-5'!$B:$H,Insumo[[#This Row],[DESCRIPCION]],'CAP4-5'!$H:$H)</f>
        <v>0</v>
      </c>
      <c r="H325" s="69">
        <f ca="1">SUMIF('CAP6-7'!$B:$H,Insumo[[#This Row],[DESCRIPCION]],'CAP6-7'!$H:$H)</f>
        <v>0</v>
      </c>
      <c r="I325" s="69">
        <f ca="1">SUMIF('CAP8'!$B:$H,Insumo[[#This Row],[DESCRIPCION]],'CAP8'!$H:$H)</f>
        <v>0</v>
      </c>
      <c r="J325" s="69">
        <f ca="1">SUMIF('CAP9-13'!$B:$H,Insumo[[#This Row],[DESCRIPCION]],'CAP9-13'!$H:$H)</f>
        <v>0</v>
      </c>
      <c r="K325" s="69">
        <f ca="1">SUMIF('CAP14-15'!$B:$H,Insumo[[#This Row],[DESCRIPCION]],'CAP14-15'!$H:$H)</f>
        <v>0</v>
      </c>
      <c r="L325" s="69">
        <f ca="1">SUMIF('CAP16-18'!$B:$H,Insumo[[#This Row],[DESCRIPCION]],'CAP16-18'!$H:$H)</f>
        <v>0</v>
      </c>
      <c r="M325" s="69">
        <f ca="1">SUMIF('CAP19-22'!$B:$H,Insumo[[#This Row],[DESCRIPCION]],'CAP19-22'!$H:$H)</f>
        <v>0</v>
      </c>
      <c r="N325" s="69">
        <f ca="1">SUMIF('CAP23-24'!$B:$H,Insumo[[#This Row],[DESCRIPCION]],'CAP23-24'!$H:$H)</f>
        <v>0</v>
      </c>
      <c r="O325" s="69">
        <f ca="1">SUMIF('CAP25'!$B:$H,Insumo[[#This Row],[DESCRIPCION]],'CAP25'!$H:$H)</f>
        <v>0</v>
      </c>
      <c r="P325" s="69">
        <f ca="1">SUMIF('CAP26-28'!$B:$H,Insumo[[#This Row],[DESCRIPCION]],'CAP26-28'!$H:$H)</f>
        <v>0</v>
      </c>
      <c r="Q325" s="69">
        <f ca="1">SUMIF('CAP29'!$B:$H,Insumo[[#This Row],[DESCRIPCION]],'CAP29'!$H:$H)</f>
        <v>0</v>
      </c>
      <c r="T325" s="136">
        <v>27063</v>
      </c>
    </row>
    <row r="326" spans="1:20" ht="12" customHeight="1">
      <c r="A326" s="301" t="s">
        <v>2938</v>
      </c>
      <c r="B326" s="303" t="s">
        <v>20</v>
      </c>
      <c r="C326" s="304">
        <f t="shared" ref="C326:C389" si="5">T326*$T$3</f>
        <v>57020.25</v>
      </c>
      <c r="D326" s="281" cm="1">
        <f t="array" aca="1" ref="D326" ca="1">IF(Insumo[[#This Row],[VALOR]]=0,Insumo[TOTAL],E326/C326)</f>
        <v>0</v>
      </c>
      <c r="E326" s="69">
        <f ca="1">SUM(Insumo[[#This Row],[CAP1-3]:[CAP29]])</f>
        <v>0</v>
      </c>
      <c r="F326" s="69">
        <f ca="1">SUMIF('CAP1-3'!$B:$H,Insumo[[#This Row],[DESCRIPCION]],'CAP1-3'!$H:$H)</f>
        <v>0</v>
      </c>
      <c r="G326" s="69">
        <f ca="1">SUMIF('CAP4-5'!$B:$H,Insumo[[#This Row],[DESCRIPCION]],'CAP4-5'!$H:$H)</f>
        <v>0</v>
      </c>
      <c r="H326" s="69">
        <f ca="1">SUMIF('CAP6-7'!$B:$H,Insumo[[#This Row],[DESCRIPCION]],'CAP6-7'!$H:$H)</f>
        <v>0</v>
      </c>
      <c r="I326" s="69">
        <f ca="1">SUMIF('CAP8'!$B:$H,Insumo[[#This Row],[DESCRIPCION]],'CAP8'!$H:$H)</f>
        <v>0</v>
      </c>
      <c r="J326" s="69">
        <f ca="1">SUMIF('CAP9-13'!$B:$H,Insumo[[#This Row],[DESCRIPCION]],'CAP9-13'!$H:$H)</f>
        <v>0</v>
      </c>
      <c r="K326" s="69">
        <f ca="1">SUMIF('CAP14-15'!$B:$H,Insumo[[#This Row],[DESCRIPCION]],'CAP14-15'!$H:$H)</f>
        <v>0</v>
      </c>
      <c r="L326" s="69">
        <f ca="1">SUMIF('CAP16-18'!$B:$H,Insumo[[#This Row],[DESCRIPCION]],'CAP16-18'!$H:$H)</f>
        <v>0</v>
      </c>
      <c r="M326" s="69">
        <f ca="1">SUMIF('CAP19-22'!$B:$H,Insumo[[#This Row],[DESCRIPCION]],'CAP19-22'!$H:$H)</f>
        <v>0</v>
      </c>
      <c r="N326" s="69">
        <f ca="1">SUMIF('CAP23-24'!$B:$H,Insumo[[#This Row],[DESCRIPCION]],'CAP23-24'!$H:$H)</f>
        <v>0</v>
      </c>
      <c r="O326" s="69">
        <f ca="1">SUMIF('CAP25'!$B:$H,Insumo[[#This Row],[DESCRIPCION]],'CAP25'!$H:$H)</f>
        <v>0</v>
      </c>
      <c r="P326" s="69">
        <f ca="1">SUMIF('CAP26-28'!$B:$H,Insumo[[#This Row],[DESCRIPCION]],'CAP26-28'!$H:$H)</f>
        <v>0</v>
      </c>
      <c r="Q326" s="69">
        <f ca="1">SUMIF('CAP29'!$B:$H,Insumo[[#This Row],[DESCRIPCION]],'CAP29'!$H:$H)</f>
        <v>0</v>
      </c>
      <c r="T326" s="136">
        <v>54305</v>
      </c>
    </row>
    <row r="327" spans="1:20" ht="12" customHeight="1">
      <c r="A327" s="301" t="s">
        <v>2939</v>
      </c>
      <c r="B327" s="303" t="s">
        <v>20</v>
      </c>
      <c r="C327" s="304">
        <f t="shared" si="5"/>
        <v>45351.6</v>
      </c>
      <c r="D327" s="281" cm="1">
        <f t="array" aca="1" ref="D327" ca="1">IF(Insumo[[#This Row],[VALOR]]=0,Insumo[TOTAL],E327/C327)</f>
        <v>0</v>
      </c>
      <c r="E327" s="69">
        <f ca="1">SUM(Insumo[[#This Row],[CAP1-3]:[CAP29]])</f>
        <v>0</v>
      </c>
      <c r="F327" s="69">
        <f ca="1">SUMIF('CAP1-3'!$B:$H,Insumo[[#This Row],[DESCRIPCION]],'CAP1-3'!$H:$H)</f>
        <v>0</v>
      </c>
      <c r="G327" s="69">
        <f ca="1">SUMIF('CAP4-5'!$B:$H,Insumo[[#This Row],[DESCRIPCION]],'CAP4-5'!$H:$H)</f>
        <v>0</v>
      </c>
      <c r="H327" s="69">
        <f ca="1">SUMIF('CAP6-7'!$B:$H,Insumo[[#This Row],[DESCRIPCION]],'CAP6-7'!$H:$H)</f>
        <v>0</v>
      </c>
      <c r="I327" s="69">
        <f ca="1">SUMIF('CAP8'!$B:$H,Insumo[[#This Row],[DESCRIPCION]],'CAP8'!$H:$H)</f>
        <v>0</v>
      </c>
      <c r="J327" s="69">
        <f ca="1">SUMIF('CAP9-13'!$B:$H,Insumo[[#This Row],[DESCRIPCION]],'CAP9-13'!$H:$H)</f>
        <v>0</v>
      </c>
      <c r="K327" s="69">
        <f ca="1">SUMIF('CAP14-15'!$B:$H,Insumo[[#This Row],[DESCRIPCION]],'CAP14-15'!$H:$H)</f>
        <v>0</v>
      </c>
      <c r="L327" s="69">
        <f ca="1">SUMIF('CAP16-18'!$B:$H,Insumo[[#This Row],[DESCRIPCION]],'CAP16-18'!$H:$H)</f>
        <v>0</v>
      </c>
      <c r="M327" s="69">
        <f ca="1">SUMIF('CAP19-22'!$B:$H,Insumo[[#This Row],[DESCRIPCION]],'CAP19-22'!$H:$H)</f>
        <v>0</v>
      </c>
      <c r="N327" s="69">
        <f ca="1">SUMIF('CAP23-24'!$B:$H,Insumo[[#This Row],[DESCRIPCION]],'CAP23-24'!$H:$H)</f>
        <v>0</v>
      </c>
      <c r="O327" s="69">
        <f ca="1">SUMIF('CAP25'!$B:$H,Insumo[[#This Row],[DESCRIPCION]],'CAP25'!$H:$H)</f>
        <v>0</v>
      </c>
      <c r="P327" s="69">
        <f ca="1">SUMIF('CAP26-28'!$B:$H,Insumo[[#This Row],[DESCRIPCION]],'CAP26-28'!$H:$H)</f>
        <v>0</v>
      </c>
      <c r="Q327" s="69">
        <f ca="1">SUMIF('CAP29'!$B:$H,Insumo[[#This Row],[DESCRIPCION]],'CAP29'!$H:$H)</f>
        <v>0</v>
      </c>
      <c r="T327" s="136">
        <v>43192</v>
      </c>
    </row>
    <row r="328" spans="1:20" ht="12" customHeight="1">
      <c r="A328" s="301" t="s">
        <v>2940</v>
      </c>
      <c r="B328" s="303" t="s">
        <v>20</v>
      </c>
      <c r="C328" s="304">
        <f t="shared" si="5"/>
        <v>54624.15</v>
      </c>
      <c r="D328" s="281" cm="1">
        <f t="array" aca="1" ref="D328" ca="1">IF(Insumo[[#This Row],[VALOR]]=0,Insumo[TOTAL],E328/C328)</f>
        <v>0</v>
      </c>
      <c r="E328" s="69">
        <f ca="1">SUM(Insumo[[#This Row],[CAP1-3]:[CAP29]])</f>
        <v>0</v>
      </c>
      <c r="F328" s="69">
        <f ca="1">SUMIF('CAP1-3'!$B:$H,Insumo[[#This Row],[DESCRIPCION]],'CAP1-3'!$H:$H)</f>
        <v>0</v>
      </c>
      <c r="G328" s="69">
        <f ca="1">SUMIF('CAP4-5'!$B:$H,Insumo[[#This Row],[DESCRIPCION]],'CAP4-5'!$H:$H)</f>
        <v>0</v>
      </c>
      <c r="H328" s="69">
        <f ca="1">SUMIF('CAP6-7'!$B:$H,Insumo[[#This Row],[DESCRIPCION]],'CAP6-7'!$H:$H)</f>
        <v>0</v>
      </c>
      <c r="I328" s="69">
        <f ca="1">SUMIF('CAP8'!$B:$H,Insumo[[#This Row],[DESCRIPCION]],'CAP8'!$H:$H)</f>
        <v>0</v>
      </c>
      <c r="J328" s="69">
        <f ca="1">SUMIF('CAP9-13'!$B:$H,Insumo[[#This Row],[DESCRIPCION]],'CAP9-13'!$H:$H)</f>
        <v>0</v>
      </c>
      <c r="K328" s="69">
        <f ca="1">SUMIF('CAP14-15'!$B:$H,Insumo[[#This Row],[DESCRIPCION]],'CAP14-15'!$H:$H)</f>
        <v>0</v>
      </c>
      <c r="L328" s="69">
        <f ca="1">SUMIF('CAP16-18'!$B:$H,Insumo[[#This Row],[DESCRIPCION]],'CAP16-18'!$H:$H)</f>
        <v>0</v>
      </c>
      <c r="M328" s="69">
        <f ca="1">SUMIF('CAP19-22'!$B:$H,Insumo[[#This Row],[DESCRIPCION]],'CAP19-22'!$H:$H)</f>
        <v>0</v>
      </c>
      <c r="N328" s="69">
        <f ca="1">SUMIF('CAP23-24'!$B:$H,Insumo[[#This Row],[DESCRIPCION]],'CAP23-24'!$H:$H)</f>
        <v>0</v>
      </c>
      <c r="O328" s="69">
        <f ca="1">SUMIF('CAP25'!$B:$H,Insumo[[#This Row],[DESCRIPCION]],'CAP25'!$H:$H)</f>
        <v>0</v>
      </c>
      <c r="P328" s="69">
        <f ca="1">SUMIF('CAP26-28'!$B:$H,Insumo[[#This Row],[DESCRIPCION]],'CAP26-28'!$H:$H)</f>
        <v>0</v>
      </c>
      <c r="Q328" s="69">
        <f ca="1">SUMIF('CAP29'!$B:$H,Insumo[[#This Row],[DESCRIPCION]],'CAP29'!$H:$H)</f>
        <v>0</v>
      </c>
      <c r="T328" s="136">
        <v>52023</v>
      </c>
    </row>
    <row r="329" spans="1:20" ht="12" customHeight="1">
      <c r="A329" s="301" t="s">
        <v>2941</v>
      </c>
      <c r="B329" s="303" t="s">
        <v>23</v>
      </c>
      <c r="C329" s="304">
        <f t="shared" si="5"/>
        <v>386452.5</v>
      </c>
      <c r="D329" s="281" cm="1">
        <f t="array" aca="1" ref="D329" ca="1">IF(Insumo[[#This Row],[VALOR]]=0,Insumo[TOTAL],E329/C329)</f>
        <v>0</v>
      </c>
      <c r="E329" s="69">
        <f ca="1">SUM(Insumo[[#This Row],[CAP1-3]:[CAP29]])</f>
        <v>0</v>
      </c>
      <c r="F329" s="69">
        <f ca="1">SUMIF('CAP1-3'!$B:$H,Insumo[[#This Row],[DESCRIPCION]],'CAP1-3'!$H:$H)</f>
        <v>0</v>
      </c>
      <c r="G329" s="69">
        <f ca="1">SUMIF('CAP4-5'!$B:$H,Insumo[[#This Row],[DESCRIPCION]],'CAP4-5'!$H:$H)</f>
        <v>0</v>
      </c>
      <c r="H329" s="69">
        <f ca="1">SUMIF('CAP6-7'!$B:$H,Insumo[[#This Row],[DESCRIPCION]],'CAP6-7'!$H:$H)</f>
        <v>0</v>
      </c>
      <c r="I329" s="69">
        <f ca="1">SUMIF('CAP8'!$B:$H,Insumo[[#This Row],[DESCRIPCION]],'CAP8'!$H:$H)</f>
        <v>0</v>
      </c>
      <c r="J329" s="69">
        <f ca="1">SUMIF('CAP9-13'!$B:$H,Insumo[[#This Row],[DESCRIPCION]],'CAP9-13'!$H:$H)</f>
        <v>0</v>
      </c>
      <c r="K329" s="69">
        <f ca="1">SUMIF('CAP14-15'!$B:$H,Insumo[[#This Row],[DESCRIPCION]],'CAP14-15'!$H:$H)</f>
        <v>0</v>
      </c>
      <c r="L329" s="69">
        <f ca="1">SUMIF('CAP16-18'!$B:$H,Insumo[[#This Row],[DESCRIPCION]],'CAP16-18'!$H:$H)</f>
        <v>0</v>
      </c>
      <c r="M329" s="69">
        <f ca="1">SUMIF('CAP19-22'!$B:$H,Insumo[[#This Row],[DESCRIPCION]],'CAP19-22'!$H:$H)</f>
        <v>0</v>
      </c>
      <c r="N329" s="69">
        <f ca="1">SUMIF('CAP23-24'!$B:$H,Insumo[[#This Row],[DESCRIPCION]],'CAP23-24'!$H:$H)</f>
        <v>0</v>
      </c>
      <c r="O329" s="69">
        <f ca="1">SUMIF('CAP25'!$B:$H,Insumo[[#This Row],[DESCRIPCION]],'CAP25'!$H:$H)</f>
        <v>0</v>
      </c>
      <c r="P329" s="69">
        <f ca="1">SUMIF('CAP26-28'!$B:$H,Insumo[[#This Row],[DESCRIPCION]],'CAP26-28'!$H:$H)</f>
        <v>0</v>
      </c>
      <c r="Q329" s="69">
        <f ca="1">SUMIF('CAP29'!$B:$H,Insumo[[#This Row],[DESCRIPCION]],'CAP29'!$H:$H)</f>
        <v>0</v>
      </c>
      <c r="T329" s="136">
        <v>368050</v>
      </c>
    </row>
    <row r="330" spans="1:20" ht="12" customHeight="1">
      <c r="A330" s="301" t="s">
        <v>2942</v>
      </c>
      <c r="B330" s="303" t="s">
        <v>23</v>
      </c>
      <c r="C330" s="304">
        <f t="shared" si="5"/>
        <v>19493.25</v>
      </c>
      <c r="D330" s="281" cm="1">
        <f t="array" aca="1" ref="D330" ca="1">IF(Insumo[[#This Row],[VALOR]]=0,Insumo[TOTAL],E330/C330)</f>
        <v>0</v>
      </c>
      <c r="E330" s="69">
        <f ca="1">SUM(Insumo[[#This Row],[CAP1-3]:[CAP29]])</f>
        <v>0</v>
      </c>
      <c r="F330" s="69">
        <f ca="1">SUMIF('CAP1-3'!$B:$H,Insumo[[#This Row],[DESCRIPCION]],'CAP1-3'!$H:$H)</f>
        <v>0</v>
      </c>
      <c r="G330" s="69">
        <f ca="1">SUMIF('CAP4-5'!$B:$H,Insumo[[#This Row],[DESCRIPCION]],'CAP4-5'!$H:$H)</f>
        <v>0</v>
      </c>
      <c r="H330" s="69">
        <f ca="1">SUMIF('CAP6-7'!$B:$H,Insumo[[#This Row],[DESCRIPCION]],'CAP6-7'!$H:$H)</f>
        <v>0</v>
      </c>
      <c r="I330" s="69">
        <f ca="1">SUMIF('CAP8'!$B:$H,Insumo[[#This Row],[DESCRIPCION]],'CAP8'!$H:$H)</f>
        <v>0</v>
      </c>
      <c r="J330" s="69">
        <f ca="1">SUMIF('CAP9-13'!$B:$H,Insumo[[#This Row],[DESCRIPCION]],'CAP9-13'!$H:$H)</f>
        <v>0</v>
      </c>
      <c r="K330" s="69">
        <f ca="1">SUMIF('CAP14-15'!$B:$H,Insumo[[#This Row],[DESCRIPCION]],'CAP14-15'!$H:$H)</f>
        <v>0</v>
      </c>
      <c r="L330" s="69">
        <f ca="1">SUMIF('CAP16-18'!$B:$H,Insumo[[#This Row],[DESCRIPCION]],'CAP16-18'!$H:$H)</f>
        <v>0</v>
      </c>
      <c r="M330" s="69">
        <f ca="1">SUMIF('CAP19-22'!$B:$H,Insumo[[#This Row],[DESCRIPCION]],'CAP19-22'!$H:$H)</f>
        <v>0</v>
      </c>
      <c r="N330" s="69">
        <f ca="1">SUMIF('CAP23-24'!$B:$H,Insumo[[#This Row],[DESCRIPCION]],'CAP23-24'!$H:$H)</f>
        <v>0</v>
      </c>
      <c r="O330" s="69">
        <f ca="1">SUMIF('CAP25'!$B:$H,Insumo[[#This Row],[DESCRIPCION]],'CAP25'!$H:$H)</f>
        <v>0</v>
      </c>
      <c r="P330" s="69">
        <f ca="1">SUMIF('CAP26-28'!$B:$H,Insumo[[#This Row],[DESCRIPCION]],'CAP26-28'!$H:$H)</f>
        <v>0</v>
      </c>
      <c r="Q330" s="69">
        <f ca="1">SUMIF('CAP29'!$B:$H,Insumo[[#This Row],[DESCRIPCION]],'CAP29'!$H:$H)</f>
        <v>0</v>
      </c>
      <c r="T330" s="136">
        <v>18565</v>
      </c>
    </row>
    <row r="331" spans="1:20" ht="12" customHeight="1">
      <c r="A331" s="301" t="s">
        <v>2943</v>
      </c>
      <c r="B331" s="303" t="s">
        <v>20</v>
      </c>
      <c r="C331" s="304">
        <f t="shared" si="5"/>
        <v>68084.100000000006</v>
      </c>
      <c r="D331" s="281" cm="1">
        <f t="array" aca="1" ref="D331" ca="1">IF(Insumo[[#This Row],[VALOR]]=0,Insumo[TOTAL],E331/C331)</f>
        <v>0</v>
      </c>
      <c r="E331" s="69">
        <f ca="1">SUM(Insumo[[#This Row],[CAP1-3]:[CAP29]])</f>
        <v>0</v>
      </c>
      <c r="F331" s="69">
        <f ca="1">SUMIF('CAP1-3'!$B:$H,Insumo[[#This Row],[DESCRIPCION]],'CAP1-3'!$H:$H)</f>
        <v>0</v>
      </c>
      <c r="G331" s="69">
        <f ca="1">SUMIF('CAP4-5'!$B:$H,Insumo[[#This Row],[DESCRIPCION]],'CAP4-5'!$H:$H)</f>
        <v>0</v>
      </c>
      <c r="H331" s="69">
        <f ca="1">SUMIF('CAP6-7'!$B:$H,Insumo[[#This Row],[DESCRIPCION]],'CAP6-7'!$H:$H)</f>
        <v>0</v>
      </c>
      <c r="I331" s="69">
        <f ca="1">SUMIF('CAP8'!$B:$H,Insumo[[#This Row],[DESCRIPCION]],'CAP8'!$H:$H)</f>
        <v>0</v>
      </c>
      <c r="J331" s="69">
        <f ca="1">SUMIF('CAP9-13'!$B:$H,Insumo[[#This Row],[DESCRIPCION]],'CAP9-13'!$H:$H)</f>
        <v>0</v>
      </c>
      <c r="K331" s="69">
        <f ca="1">SUMIF('CAP14-15'!$B:$H,Insumo[[#This Row],[DESCRIPCION]],'CAP14-15'!$H:$H)</f>
        <v>0</v>
      </c>
      <c r="L331" s="69">
        <f ca="1">SUMIF('CAP16-18'!$B:$H,Insumo[[#This Row],[DESCRIPCION]],'CAP16-18'!$H:$H)</f>
        <v>0</v>
      </c>
      <c r="M331" s="69">
        <f ca="1">SUMIF('CAP19-22'!$B:$H,Insumo[[#This Row],[DESCRIPCION]],'CAP19-22'!$H:$H)</f>
        <v>0</v>
      </c>
      <c r="N331" s="69">
        <f ca="1">SUMIF('CAP23-24'!$B:$H,Insumo[[#This Row],[DESCRIPCION]],'CAP23-24'!$H:$H)</f>
        <v>0</v>
      </c>
      <c r="O331" s="69">
        <f ca="1">SUMIF('CAP25'!$B:$H,Insumo[[#This Row],[DESCRIPCION]],'CAP25'!$H:$H)</f>
        <v>0</v>
      </c>
      <c r="P331" s="69">
        <f ca="1">SUMIF('CAP26-28'!$B:$H,Insumo[[#This Row],[DESCRIPCION]],'CAP26-28'!$H:$H)</f>
        <v>0</v>
      </c>
      <c r="Q331" s="69">
        <f ca="1">SUMIF('CAP29'!$B:$H,Insumo[[#This Row],[DESCRIPCION]],'CAP29'!$H:$H)</f>
        <v>0</v>
      </c>
      <c r="T331" s="136">
        <v>64842</v>
      </c>
    </row>
    <row r="332" spans="1:20" ht="12" customHeight="1">
      <c r="A332" s="301" t="s">
        <v>2944</v>
      </c>
      <c r="B332" s="303" t="s">
        <v>20</v>
      </c>
      <c r="C332" s="304">
        <f t="shared" si="5"/>
        <v>43078.35</v>
      </c>
      <c r="D332" s="281" cm="1">
        <f t="array" aca="1" ref="D332" ca="1">IF(Insumo[[#This Row],[VALOR]]=0,Insumo[TOTAL],E332/C332)</f>
        <v>0</v>
      </c>
      <c r="E332" s="69">
        <f ca="1">SUM(Insumo[[#This Row],[CAP1-3]:[CAP29]])</f>
        <v>0</v>
      </c>
      <c r="F332" s="69">
        <f ca="1">SUMIF('CAP1-3'!$B:$H,Insumo[[#This Row],[DESCRIPCION]],'CAP1-3'!$H:$H)</f>
        <v>0</v>
      </c>
      <c r="G332" s="69">
        <f ca="1">SUMIF('CAP4-5'!$B:$H,Insumo[[#This Row],[DESCRIPCION]],'CAP4-5'!$H:$H)</f>
        <v>0</v>
      </c>
      <c r="H332" s="69">
        <f ca="1">SUMIF('CAP6-7'!$B:$H,Insumo[[#This Row],[DESCRIPCION]],'CAP6-7'!$H:$H)</f>
        <v>0</v>
      </c>
      <c r="I332" s="69">
        <f ca="1">SUMIF('CAP8'!$B:$H,Insumo[[#This Row],[DESCRIPCION]],'CAP8'!$H:$H)</f>
        <v>0</v>
      </c>
      <c r="J332" s="69">
        <f ca="1">SUMIF('CAP9-13'!$B:$H,Insumo[[#This Row],[DESCRIPCION]],'CAP9-13'!$H:$H)</f>
        <v>0</v>
      </c>
      <c r="K332" s="69">
        <f ca="1">SUMIF('CAP14-15'!$B:$H,Insumo[[#This Row],[DESCRIPCION]],'CAP14-15'!$H:$H)</f>
        <v>0</v>
      </c>
      <c r="L332" s="69">
        <f ca="1">SUMIF('CAP16-18'!$B:$H,Insumo[[#This Row],[DESCRIPCION]],'CAP16-18'!$H:$H)</f>
        <v>0</v>
      </c>
      <c r="M332" s="69">
        <f ca="1">SUMIF('CAP19-22'!$B:$H,Insumo[[#This Row],[DESCRIPCION]],'CAP19-22'!$H:$H)</f>
        <v>0</v>
      </c>
      <c r="N332" s="69">
        <f ca="1">SUMIF('CAP23-24'!$B:$H,Insumo[[#This Row],[DESCRIPCION]],'CAP23-24'!$H:$H)</f>
        <v>0</v>
      </c>
      <c r="O332" s="69">
        <f ca="1">SUMIF('CAP25'!$B:$H,Insumo[[#This Row],[DESCRIPCION]],'CAP25'!$H:$H)</f>
        <v>0</v>
      </c>
      <c r="P332" s="69">
        <f ca="1">SUMIF('CAP26-28'!$B:$H,Insumo[[#This Row],[DESCRIPCION]],'CAP26-28'!$H:$H)</f>
        <v>0</v>
      </c>
      <c r="Q332" s="69">
        <f ca="1">SUMIF('CAP29'!$B:$H,Insumo[[#This Row],[DESCRIPCION]],'CAP29'!$H:$H)</f>
        <v>0</v>
      </c>
      <c r="T332" s="136">
        <v>41027</v>
      </c>
    </row>
    <row r="333" spans="1:20" ht="12" customHeight="1">
      <c r="A333" s="301" t="s">
        <v>2945</v>
      </c>
      <c r="B333" s="303" t="s">
        <v>23</v>
      </c>
      <c r="C333" s="304">
        <f t="shared" si="5"/>
        <v>11594.1</v>
      </c>
      <c r="D333" s="281" cm="1">
        <f t="array" aca="1" ref="D333" ca="1">IF(Insumo[[#This Row],[VALOR]]=0,Insumo[TOTAL],E333/C333)</f>
        <v>0</v>
      </c>
      <c r="E333" s="69">
        <f ca="1">SUM(Insumo[[#This Row],[CAP1-3]:[CAP29]])</f>
        <v>0</v>
      </c>
      <c r="F333" s="69">
        <f ca="1">SUMIF('CAP1-3'!$B:$H,Insumo[[#This Row],[DESCRIPCION]],'CAP1-3'!$H:$H)</f>
        <v>0</v>
      </c>
      <c r="G333" s="69">
        <f ca="1">SUMIF('CAP4-5'!$B:$H,Insumo[[#This Row],[DESCRIPCION]],'CAP4-5'!$H:$H)</f>
        <v>0</v>
      </c>
      <c r="H333" s="69">
        <f ca="1">SUMIF('CAP6-7'!$B:$H,Insumo[[#This Row],[DESCRIPCION]],'CAP6-7'!$H:$H)</f>
        <v>0</v>
      </c>
      <c r="I333" s="69">
        <f ca="1">SUMIF('CAP8'!$B:$H,Insumo[[#This Row],[DESCRIPCION]],'CAP8'!$H:$H)</f>
        <v>0</v>
      </c>
      <c r="J333" s="69">
        <f ca="1">SUMIF('CAP9-13'!$B:$H,Insumo[[#This Row],[DESCRIPCION]],'CAP9-13'!$H:$H)</f>
        <v>0</v>
      </c>
      <c r="K333" s="69">
        <f ca="1">SUMIF('CAP14-15'!$B:$H,Insumo[[#This Row],[DESCRIPCION]],'CAP14-15'!$H:$H)</f>
        <v>0</v>
      </c>
      <c r="L333" s="69">
        <f ca="1">SUMIF('CAP16-18'!$B:$H,Insumo[[#This Row],[DESCRIPCION]],'CAP16-18'!$H:$H)</f>
        <v>0</v>
      </c>
      <c r="M333" s="69">
        <f ca="1">SUMIF('CAP19-22'!$B:$H,Insumo[[#This Row],[DESCRIPCION]],'CAP19-22'!$H:$H)</f>
        <v>0</v>
      </c>
      <c r="N333" s="69">
        <f ca="1">SUMIF('CAP23-24'!$B:$H,Insumo[[#This Row],[DESCRIPCION]],'CAP23-24'!$H:$H)</f>
        <v>0</v>
      </c>
      <c r="O333" s="69">
        <f ca="1">SUMIF('CAP25'!$B:$H,Insumo[[#This Row],[DESCRIPCION]],'CAP25'!$H:$H)</f>
        <v>0</v>
      </c>
      <c r="P333" s="69">
        <f ca="1">SUMIF('CAP26-28'!$B:$H,Insumo[[#This Row],[DESCRIPCION]],'CAP26-28'!$H:$H)</f>
        <v>0</v>
      </c>
      <c r="Q333" s="69">
        <f ca="1">SUMIF('CAP29'!$B:$H,Insumo[[#This Row],[DESCRIPCION]],'CAP29'!$H:$H)</f>
        <v>0</v>
      </c>
      <c r="T333" s="136">
        <v>11042</v>
      </c>
    </row>
    <row r="334" spans="1:20" ht="12" customHeight="1">
      <c r="A334" s="301" t="s">
        <v>2946</v>
      </c>
      <c r="B334" s="303" t="s">
        <v>23</v>
      </c>
      <c r="C334" s="304">
        <f t="shared" si="5"/>
        <v>1648.5</v>
      </c>
      <c r="D334" s="281" cm="1">
        <f t="array" aca="1" ref="D334" ca="1">IF(Insumo[[#This Row],[VALOR]]=0,Insumo[TOTAL],E334/C334)</f>
        <v>0</v>
      </c>
      <c r="E334" s="69">
        <f ca="1">SUM(Insumo[[#This Row],[CAP1-3]:[CAP29]])</f>
        <v>0</v>
      </c>
      <c r="F334" s="69">
        <f ca="1">SUMIF('CAP1-3'!$B:$H,Insumo[[#This Row],[DESCRIPCION]],'CAP1-3'!$H:$H)</f>
        <v>0</v>
      </c>
      <c r="G334" s="69">
        <f ca="1">SUMIF('CAP4-5'!$B:$H,Insumo[[#This Row],[DESCRIPCION]],'CAP4-5'!$H:$H)</f>
        <v>0</v>
      </c>
      <c r="H334" s="69">
        <f ca="1">SUMIF('CAP6-7'!$B:$H,Insumo[[#This Row],[DESCRIPCION]],'CAP6-7'!$H:$H)</f>
        <v>0</v>
      </c>
      <c r="I334" s="69">
        <f ca="1">SUMIF('CAP8'!$B:$H,Insumo[[#This Row],[DESCRIPCION]],'CAP8'!$H:$H)</f>
        <v>0</v>
      </c>
      <c r="J334" s="69">
        <f ca="1">SUMIF('CAP9-13'!$B:$H,Insumo[[#This Row],[DESCRIPCION]],'CAP9-13'!$H:$H)</f>
        <v>0</v>
      </c>
      <c r="K334" s="69">
        <f ca="1">SUMIF('CAP14-15'!$B:$H,Insumo[[#This Row],[DESCRIPCION]],'CAP14-15'!$H:$H)</f>
        <v>0</v>
      </c>
      <c r="L334" s="69">
        <f ca="1">SUMIF('CAP16-18'!$B:$H,Insumo[[#This Row],[DESCRIPCION]],'CAP16-18'!$H:$H)</f>
        <v>0</v>
      </c>
      <c r="M334" s="69">
        <f ca="1">SUMIF('CAP19-22'!$B:$H,Insumo[[#This Row],[DESCRIPCION]],'CAP19-22'!$H:$H)</f>
        <v>0</v>
      </c>
      <c r="N334" s="69">
        <f ca="1">SUMIF('CAP23-24'!$B:$H,Insumo[[#This Row],[DESCRIPCION]],'CAP23-24'!$H:$H)</f>
        <v>0</v>
      </c>
      <c r="O334" s="69">
        <f ca="1">SUMIF('CAP25'!$B:$H,Insumo[[#This Row],[DESCRIPCION]],'CAP25'!$H:$H)</f>
        <v>0</v>
      </c>
      <c r="P334" s="69">
        <f ca="1">SUMIF('CAP26-28'!$B:$H,Insumo[[#This Row],[DESCRIPCION]],'CAP26-28'!$H:$H)</f>
        <v>0</v>
      </c>
      <c r="Q334" s="69">
        <f ca="1">SUMIF('CAP29'!$B:$H,Insumo[[#This Row],[DESCRIPCION]],'CAP29'!$H:$H)</f>
        <v>0</v>
      </c>
      <c r="T334" s="136">
        <v>1570</v>
      </c>
    </row>
    <row r="335" spans="1:20" ht="12" customHeight="1">
      <c r="A335" s="301" t="s">
        <v>2947</v>
      </c>
      <c r="B335" s="303" t="s">
        <v>338</v>
      </c>
      <c r="C335" s="304">
        <f t="shared" si="5"/>
        <v>52767.75</v>
      </c>
      <c r="D335" s="281" cm="1">
        <f t="array" aca="1" ref="D335" ca="1">IF(Insumo[[#This Row],[VALOR]]=0,Insumo[TOTAL],E335/C335)</f>
        <v>0</v>
      </c>
      <c r="E335" s="69">
        <f ca="1">SUM(Insumo[[#This Row],[CAP1-3]:[CAP29]])</f>
        <v>0</v>
      </c>
      <c r="F335" s="69">
        <f ca="1">SUMIF('CAP1-3'!$B:$H,Insumo[[#This Row],[DESCRIPCION]],'CAP1-3'!$H:$H)</f>
        <v>0</v>
      </c>
      <c r="G335" s="69">
        <f ca="1">SUMIF('CAP4-5'!$B:$H,Insumo[[#This Row],[DESCRIPCION]],'CAP4-5'!$H:$H)</f>
        <v>0</v>
      </c>
      <c r="H335" s="69">
        <f ca="1">SUMIF('CAP6-7'!$B:$H,Insumo[[#This Row],[DESCRIPCION]],'CAP6-7'!$H:$H)</f>
        <v>0</v>
      </c>
      <c r="I335" s="69">
        <f ca="1">SUMIF('CAP8'!$B:$H,Insumo[[#This Row],[DESCRIPCION]],'CAP8'!$H:$H)</f>
        <v>0</v>
      </c>
      <c r="J335" s="69">
        <f ca="1">SUMIF('CAP9-13'!$B:$H,Insumo[[#This Row],[DESCRIPCION]],'CAP9-13'!$H:$H)</f>
        <v>0</v>
      </c>
      <c r="K335" s="69">
        <f ca="1">SUMIF('CAP14-15'!$B:$H,Insumo[[#This Row],[DESCRIPCION]],'CAP14-15'!$H:$H)</f>
        <v>0</v>
      </c>
      <c r="L335" s="69">
        <f ca="1">SUMIF('CAP16-18'!$B:$H,Insumo[[#This Row],[DESCRIPCION]],'CAP16-18'!$H:$H)</f>
        <v>0</v>
      </c>
      <c r="M335" s="69">
        <f ca="1">SUMIF('CAP19-22'!$B:$H,Insumo[[#This Row],[DESCRIPCION]],'CAP19-22'!$H:$H)</f>
        <v>0</v>
      </c>
      <c r="N335" s="69">
        <f ca="1">SUMIF('CAP23-24'!$B:$H,Insumo[[#This Row],[DESCRIPCION]],'CAP23-24'!$H:$H)</f>
        <v>0</v>
      </c>
      <c r="O335" s="69">
        <f ca="1">SUMIF('CAP25'!$B:$H,Insumo[[#This Row],[DESCRIPCION]],'CAP25'!$H:$H)</f>
        <v>0</v>
      </c>
      <c r="P335" s="69">
        <f ca="1">SUMIF('CAP26-28'!$B:$H,Insumo[[#This Row],[DESCRIPCION]],'CAP26-28'!$H:$H)</f>
        <v>0</v>
      </c>
      <c r="Q335" s="69">
        <f ca="1">SUMIF('CAP29'!$B:$H,Insumo[[#This Row],[DESCRIPCION]],'CAP29'!$H:$H)</f>
        <v>0</v>
      </c>
      <c r="T335" s="136">
        <v>50255</v>
      </c>
    </row>
    <row r="336" spans="1:20" ht="12" customHeight="1">
      <c r="A336" s="301" t="s">
        <v>2948</v>
      </c>
      <c r="B336" s="303" t="s">
        <v>2662</v>
      </c>
      <c r="C336" s="304">
        <f t="shared" si="5"/>
        <v>41532.75</v>
      </c>
      <c r="D336" s="281" cm="1">
        <f t="array" aca="1" ref="D336" ca="1">IF(Insumo[[#This Row],[VALOR]]=0,Insumo[TOTAL],E336/C336)</f>
        <v>0</v>
      </c>
      <c r="E336" s="69">
        <f ca="1">SUM(Insumo[[#This Row],[CAP1-3]:[CAP29]])</f>
        <v>0</v>
      </c>
      <c r="F336" s="69">
        <f ca="1">SUMIF('CAP1-3'!$B:$H,Insumo[[#This Row],[DESCRIPCION]],'CAP1-3'!$H:$H)</f>
        <v>0</v>
      </c>
      <c r="G336" s="69">
        <f ca="1">SUMIF('CAP4-5'!$B:$H,Insumo[[#This Row],[DESCRIPCION]],'CAP4-5'!$H:$H)</f>
        <v>0</v>
      </c>
      <c r="H336" s="69">
        <f ca="1">SUMIF('CAP6-7'!$B:$H,Insumo[[#This Row],[DESCRIPCION]],'CAP6-7'!$H:$H)</f>
        <v>0</v>
      </c>
      <c r="I336" s="69">
        <f ca="1">SUMIF('CAP8'!$B:$H,Insumo[[#This Row],[DESCRIPCION]],'CAP8'!$H:$H)</f>
        <v>0</v>
      </c>
      <c r="J336" s="69">
        <f ca="1">SUMIF('CAP9-13'!$B:$H,Insumo[[#This Row],[DESCRIPCION]],'CAP9-13'!$H:$H)</f>
        <v>0</v>
      </c>
      <c r="K336" s="69">
        <f ca="1">SUMIF('CAP14-15'!$B:$H,Insumo[[#This Row],[DESCRIPCION]],'CAP14-15'!$H:$H)</f>
        <v>0</v>
      </c>
      <c r="L336" s="69">
        <f ca="1">SUMIF('CAP16-18'!$B:$H,Insumo[[#This Row],[DESCRIPCION]],'CAP16-18'!$H:$H)</f>
        <v>0</v>
      </c>
      <c r="M336" s="69">
        <f ca="1">SUMIF('CAP19-22'!$B:$H,Insumo[[#This Row],[DESCRIPCION]],'CAP19-22'!$H:$H)</f>
        <v>0</v>
      </c>
      <c r="N336" s="69">
        <f ca="1">SUMIF('CAP23-24'!$B:$H,Insumo[[#This Row],[DESCRIPCION]],'CAP23-24'!$H:$H)</f>
        <v>0</v>
      </c>
      <c r="O336" s="69">
        <f ca="1">SUMIF('CAP25'!$B:$H,Insumo[[#This Row],[DESCRIPCION]],'CAP25'!$H:$H)</f>
        <v>0</v>
      </c>
      <c r="P336" s="69">
        <f ca="1">SUMIF('CAP26-28'!$B:$H,Insumo[[#This Row],[DESCRIPCION]],'CAP26-28'!$H:$H)</f>
        <v>0</v>
      </c>
      <c r="Q336" s="69">
        <f ca="1">SUMIF('CAP29'!$B:$H,Insumo[[#This Row],[DESCRIPCION]],'CAP29'!$H:$H)</f>
        <v>0</v>
      </c>
      <c r="T336" s="136">
        <v>39555</v>
      </c>
    </row>
    <row r="337" spans="1:20" ht="12" customHeight="1">
      <c r="A337" s="301" t="s">
        <v>2949</v>
      </c>
      <c r="B337" s="303" t="s">
        <v>23</v>
      </c>
      <c r="C337" s="304">
        <f t="shared" si="5"/>
        <v>125028.75</v>
      </c>
      <c r="D337" s="281" cm="1">
        <f t="array" aca="1" ref="D337" ca="1">IF(Insumo[[#This Row],[VALOR]]=0,Insumo[TOTAL],E337/C337)</f>
        <v>0</v>
      </c>
      <c r="E337" s="69">
        <f ca="1">SUM(Insumo[[#This Row],[CAP1-3]:[CAP29]])</f>
        <v>0</v>
      </c>
      <c r="F337" s="69">
        <f ca="1">SUMIF('CAP1-3'!$B:$H,Insumo[[#This Row],[DESCRIPCION]],'CAP1-3'!$H:$H)</f>
        <v>0</v>
      </c>
      <c r="G337" s="69">
        <f ca="1">SUMIF('CAP4-5'!$B:$H,Insumo[[#This Row],[DESCRIPCION]],'CAP4-5'!$H:$H)</f>
        <v>0</v>
      </c>
      <c r="H337" s="69">
        <f ca="1">SUMIF('CAP6-7'!$B:$H,Insumo[[#This Row],[DESCRIPCION]],'CAP6-7'!$H:$H)</f>
        <v>0</v>
      </c>
      <c r="I337" s="69">
        <f ca="1">SUMIF('CAP8'!$B:$H,Insumo[[#This Row],[DESCRIPCION]],'CAP8'!$H:$H)</f>
        <v>0</v>
      </c>
      <c r="J337" s="69">
        <f ca="1">SUMIF('CAP9-13'!$B:$H,Insumo[[#This Row],[DESCRIPCION]],'CAP9-13'!$H:$H)</f>
        <v>0</v>
      </c>
      <c r="K337" s="69">
        <f ca="1">SUMIF('CAP14-15'!$B:$H,Insumo[[#This Row],[DESCRIPCION]],'CAP14-15'!$H:$H)</f>
        <v>0</v>
      </c>
      <c r="L337" s="69">
        <f ca="1">SUMIF('CAP16-18'!$B:$H,Insumo[[#This Row],[DESCRIPCION]],'CAP16-18'!$H:$H)</f>
        <v>0</v>
      </c>
      <c r="M337" s="69">
        <f ca="1">SUMIF('CAP19-22'!$B:$H,Insumo[[#This Row],[DESCRIPCION]],'CAP19-22'!$H:$H)</f>
        <v>0</v>
      </c>
      <c r="N337" s="69">
        <f ca="1">SUMIF('CAP23-24'!$B:$H,Insumo[[#This Row],[DESCRIPCION]],'CAP23-24'!$H:$H)</f>
        <v>0</v>
      </c>
      <c r="O337" s="69">
        <f ca="1">SUMIF('CAP25'!$B:$H,Insumo[[#This Row],[DESCRIPCION]],'CAP25'!$H:$H)</f>
        <v>0</v>
      </c>
      <c r="P337" s="69">
        <f ca="1">SUMIF('CAP26-28'!$B:$H,Insumo[[#This Row],[DESCRIPCION]],'CAP26-28'!$H:$H)</f>
        <v>0</v>
      </c>
      <c r="Q337" s="69">
        <f ca="1">SUMIF('CAP29'!$B:$H,Insumo[[#This Row],[DESCRIPCION]],'CAP29'!$H:$H)</f>
        <v>0</v>
      </c>
      <c r="T337" s="136">
        <v>119075</v>
      </c>
    </row>
    <row r="338" spans="1:20" ht="12" customHeight="1">
      <c r="A338" s="301" t="s">
        <v>2950</v>
      </c>
      <c r="B338" s="303" t="s">
        <v>20</v>
      </c>
      <c r="C338" s="304">
        <f t="shared" si="5"/>
        <v>25005.75</v>
      </c>
      <c r="D338" s="281" cm="1">
        <f t="array" aca="1" ref="D338" ca="1">IF(Insumo[[#This Row],[VALOR]]=0,Insumo[TOTAL],E338/C338)</f>
        <v>0</v>
      </c>
      <c r="E338" s="69">
        <f ca="1">SUM(Insumo[[#This Row],[CAP1-3]:[CAP29]])</f>
        <v>0</v>
      </c>
      <c r="F338" s="69">
        <f ca="1">SUMIF('CAP1-3'!$B:$H,Insumo[[#This Row],[DESCRIPCION]],'CAP1-3'!$H:$H)</f>
        <v>0</v>
      </c>
      <c r="G338" s="69">
        <f ca="1">SUMIF('CAP4-5'!$B:$H,Insumo[[#This Row],[DESCRIPCION]],'CAP4-5'!$H:$H)</f>
        <v>0</v>
      </c>
      <c r="H338" s="69">
        <f ca="1">SUMIF('CAP6-7'!$B:$H,Insumo[[#This Row],[DESCRIPCION]],'CAP6-7'!$H:$H)</f>
        <v>0</v>
      </c>
      <c r="I338" s="69">
        <f ca="1">SUMIF('CAP8'!$B:$H,Insumo[[#This Row],[DESCRIPCION]],'CAP8'!$H:$H)</f>
        <v>0</v>
      </c>
      <c r="J338" s="69">
        <f ca="1">SUMIF('CAP9-13'!$B:$H,Insumo[[#This Row],[DESCRIPCION]],'CAP9-13'!$H:$H)</f>
        <v>0</v>
      </c>
      <c r="K338" s="69">
        <f ca="1">SUMIF('CAP14-15'!$B:$H,Insumo[[#This Row],[DESCRIPCION]],'CAP14-15'!$H:$H)</f>
        <v>0</v>
      </c>
      <c r="L338" s="69">
        <f ca="1">SUMIF('CAP16-18'!$B:$H,Insumo[[#This Row],[DESCRIPCION]],'CAP16-18'!$H:$H)</f>
        <v>0</v>
      </c>
      <c r="M338" s="69">
        <f ca="1">SUMIF('CAP19-22'!$B:$H,Insumo[[#This Row],[DESCRIPCION]],'CAP19-22'!$H:$H)</f>
        <v>0</v>
      </c>
      <c r="N338" s="69">
        <f ca="1">SUMIF('CAP23-24'!$B:$H,Insumo[[#This Row],[DESCRIPCION]],'CAP23-24'!$H:$H)</f>
        <v>0</v>
      </c>
      <c r="O338" s="69">
        <f ca="1">SUMIF('CAP25'!$B:$H,Insumo[[#This Row],[DESCRIPCION]],'CAP25'!$H:$H)</f>
        <v>0</v>
      </c>
      <c r="P338" s="69">
        <f ca="1">SUMIF('CAP26-28'!$B:$H,Insumo[[#This Row],[DESCRIPCION]],'CAP26-28'!$H:$H)</f>
        <v>0</v>
      </c>
      <c r="Q338" s="69">
        <f ca="1">SUMIF('CAP29'!$B:$H,Insumo[[#This Row],[DESCRIPCION]],'CAP29'!$H:$H)</f>
        <v>0</v>
      </c>
      <c r="T338" s="136">
        <v>23815</v>
      </c>
    </row>
    <row r="339" spans="1:20" ht="12" customHeight="1">
      <c r="A339" s="301" t="s">
        <v>2951</v>
      </c>
      <c r="B339" s="303" t="s">
        <v>20</v>
      </c>
      <c r="C339" s="304">
        <f t="shared" si="5"/>
        <v>6132</v>
      </c>
      <c r="D339" s="281" cm="1">
        <f t="array" aca="1" ref="D339" ca="1">IF(Insumo[[#This Row],[VALOR]]=0,Insumo[TOTAL],E339/C339)</f>
        <v>0</v>
      </c>
      <c r="E339" s="69">
        <f ca="1">SUM(Insumo[[#This Row],[CAP1-3]:[CAP29]])</f>
        <v>0</v>
      </c>
      <c r="F339" s="69">
        <f ca="1">SUMIF('CAP1-3'!$B:$H,Insumo[[#This Row],[DESCRIPCION]],'CAP1-3'!$H:$H)</f>
        <v>0</v>
      </c>
      <c r="G339" s="69">
        <f ca="1">SUMIF('CAP4-5'!$B:$H,Insumo[[#This Row],[DESCRIPCION]],'CAP4-5'!$H:$H)</f>
        <v>0</v>
      </c>
      <c r="H339" s="69">
        <f ca="1">SUMIF('CAP6-7'!$B:$H,Insumo[[#This Row],[DESCRIPCION]],'CAP6-7'!$H:$H)</f>
        <v>0</v>
      </c>
      <c r="I339" s="69">
        <f ca="1">SUMIF('CAP8'!$B:$H,Insumo[[#This Row],[DESCRIPCION]],'CAP8'!$H:$H)</f>
        <v>0</v>
      </c>
      <c r="J339" s="69">
        <f ca="1">SUMIF('CAP9-13'!$B:$H,Insumo[[#This Row],[DESCRIPCION]],'CAP9-13'!$H:$H)</f>
        <v>0</v>
      </c>
      <c r="K339" s="69">
        <f ca="1">SUMIF('CAP14-15'!$B:$H,Insumo[[#This Row],[DESCRIPCION]],'CAP14-15'!$H:$H)</f>
        <v>0</v>
      </c>
      <c r="L339" s="69">
        <f ca="1">SUMIF('CAP16-18'!$B:$H,Insumo[[#This Row],[DESCRIPCION]],'CAP16-18'!$H:$H)</f>
        <v>0</v>
      </c>
      <c r="M339" s="69">
        <f ca="1">SUMIF('CAP19-22'!$B:$H,Insumo[[#This Row],[DESCRIPCION]],'CAP19-22'!$H:$H)</f>
        <v>0</v>
      </c>
      <c r="N339" s="69">
        <f ca="1">SUMIF('CAP23-24'!$B:$H,Insumo[[#This Row],[DESCRIPCION]],'CAP23-24'!$H:$H)</f>
        <v>0</v>
      </c>
      <c r="O339" s="69">
        <f ca="1">SUMIF('CAP25'!$B:$H,Insumo[[#This Row],[DESCRIPCION]],'CAP25'!$H:$H)</f>
        <v>0</v>
      </c>
      <c r="P339" s="69">
        <f ca="1">SUMIF('CAP26-28'!$B:$H,Insumo[[#This Row],[DESCRIPCION]],'CAP26-28'!$H:$H)</f>
        <v>0</v>
      </c>
      <c r="Q339" s="69">
        <f ca="1">SUMIF('CAP29'!$B:$H,Insumo[[#This Row],[DESCRIPCION]],'CAP29'!$H:$H)</f>
        <v>0</v>
      </c>
      <c r="T339" s="136">
        <v>5840</v>
      </c>
    </row>
    <row r="340" spans="1:20" ht="12" customHeight="1">
      <c r="A340" s="301" t="s">
        <v>2952</v>
      </c>
      <c r="B340" s="303" t="s">
        <v>23</v>
      </c>
      <c r="C340" s="304">
        <f t="shared" si="5"/>
        <v>778474.20000000007</v>
      </c>
      <c r="D340" s="281" cm="1">
        <f t="array" aca="1" ref="D340" ca="1">IF(Insumo[[#This Row],[VALOR]]=0,Insumo[TOTAL],E340/C340)</f>
        <v>0</v>
      </c>
      <c r="E340" s="69">
        <f ca="1">SUM(Insumo[[#This Row],[CAP1-3]:[CAP29]])</f>
        <v>0</v>
      </c>
      <c r="F340" s="69">
        <f ca="1">SUMIF('CAP1-3'!$B:$H,Insumo[[#This Row],[DESCRIPCION]],'CAP1-3'!$H:$H)</f>
        <v>0</v>
      </c>
      <c r="G340" s="69">
        <f ca="1">SUMIF('CAP4-5'!$B:$H,Insumo[[#This Row],[DESCRIPCION]],'CAP4-5'!$H:$H)</f>
        <v>0</v>
      </c>
      <c r="H340" s="69">
        <f ca="1">SUMIF('CAP6-7'!$B:$H,Insumo[[#This Row],[DESCRIPCION]],'CAP6-7'!$H:$H)</f>
        <v>0</v>
      </c>
      <c r="I340" s="69">
        <f ca="1">SUMIF('CAP8'!$B:$H,Insumo[[#This Row],[DESCRIPCION]],'CAP8'!$H:$H)</f>
        <v>0</v>
      </c>
      <c r="J340" s="69">
        <f ca="1">SUMIF('CAP9-13'!$B:$H,Insumo[[#This Row],[DESCRIPCION]],'CAP9-13'!$H:$H)</f>
        <v>0</v>
      </c>
      <c r="K340" s="69">
        <f ca="1">SUMIF('CAP14-15'!$B:$H,Insumo[[#This Row],[DESCRIPCION]],'CAP14-15'!$H:$H)</f>
        <v>0</v>
      </c>
      <c r="L340" s="69">
        <f ca="1">SUMIF('CAP16-18'!$B:$H,Insumo[[#This Row],[DESCRIPCION]],'CAP16-18'!$H:$H)</f>
        <v>0</v>
      </c>
      <c r="M340" s="69">
        <f ca="1">SUMIF('CAP19-22'!$B:$H,Insumo[[#This Row],[DESCRIPCION]],'CAP19-22'!$H:$H)</f>
        <v>0</v>
      </c>
      <c r="N340" s="69">
        <f ca="1">SUMIF('CAP23-24'!$B:$H,Insumo[[#This Row],[DESCRIPCION]],'CAP23-24'!$H:$H)</f>
        <v>0</v>
      </c>
      <c r="O340" s="69">
        <f ca="1">SUMIF('CAP25'!$B:$H,Insumo[[#This Row],[DESCRIPCION]],'CAP25'!$H:$H)</f>
        <v>0</v>
      </c>
      <c r="P340" s="69">
        <f ca="1">SUMIF('CAP26-28'!$B:$H,Insumo[[#This Row],[DESCRIPCION]],'CAP26-28'!$H:$H)</f>
        <v>0</v>
      </c>
      <c r="Q340" s="69">
        <f ca="1">SUMIF('CAP29'!$B:$H,Insumo[[#This Row],[DESCRIPCION]],'CAP29'!$H:$H)</f>
        <v>0</v>
      </c>
      <c r="T340" s="136">
        <v>741404</v>
      </c>
    </row>
    <row r="341" spans="1:20" ht="12" customHeight="1">
      <c r="A341" s="301" t="s">
        <v>2953</v>
      </c>
      <c r="B341" s="303" t="s">
        <v>23</v>
      </c>
      <c r="C341" s="304">
        <f t="shared" si="5"/>
        <v>821665.95000000007</v>
      </c>
      <c r="D341" s="281" cm="1">
        <f t="array" aca="1" ref="D341" ca="1">IF(Insumo[[#This Row],[VALOR]]=0,Insumo[TOTAL],E341/C341)</f>
        <v>0</v>
      </c>
      <c r="E341" s="69">
        <f ca="1">SUM(Insumo[[#This Row],[CAP1-3]:[CAP29]])</f>
        <v>0</v>
      </c>
      <c r="F341" s="69">
        <f ca="1">SUMIF('CAP1-3'!$B:$H,Insumo[[#This Row],[DESCRIPCION]],'CAP1-3'!$H:$H)</f>
        <v>0</v>
      </c>
      <c r="G341" s="69">
        <f ca="1">SUMIF('CAP4-5'!$B:$H,Insumo[[#This Row],[DESCRIPCION]],'CAP4-5'!$H:$H)</f>
        <v>0</v>
      </c>
      <c r="H341" s="69">
        <f ca="1">SUMIF('CAP6-7'!$B:$H,Insumo[[#This Row],[DESCRIPCION]],'CAP6-7'!$H:$H)</f>
        <v>0</v>
      </c>
      <c r="I341" s="69">
        <f ca="1">SUMIF('CAP8'!$B:$H,Insumo[[#This Row],[DESCRIPCION]],'CAP8'!$H:$H)</f>
        <v>0</v>
      </c>
      <c r="J341" s="69">
        <f ca="1">SUMIF('CAP9-13'!$B:$H,Insumo[[#This Row],[DESCRIPCION]],'CAP9-13'!$H:$H)</f>
        <v>0</v>
      </c>
      <c r="K341" s="69">
        <f ca="1">SUMIF('CAP14-15'!$B:$H,Insumo[[#This Row],[DESCRIPCION]],'CAP14-15'!$H:$H)</f>
        <v>0</v>
      </c>
      <c r="L341" s="69">
        <f ca="1">SUMIF('CAP16-18'!$B:$H,Insumo[[#This Row],[DESCRIPCION]],'CAP16-18'!$H:$H)</f>
        <v>0</v>
      </c>
      <c r="M341" s="69">
        <f ca="1">SUMIF('CAP19-22'!$B:$H,Insumo[[#This Row],[DESCRIPCION]],'CAP19-22'!$H:$H)</f>
        <v>0</v>
      </c>
      <c r="N341" s="69">
        <f ca="1">SUMIF('CAP23-24'!$B:$H,Insumo[[#This Row],[DESCRIPCION]],'CAP23-24'!$H:$H)</f>
        <v>0</v>
      </c>
      <c r="O341" s="69">
        <f ca="1">SUMIF('CAP25'!$B:$H,Insumo[[#This Row],[DESCRIPCION]],'CAP25'!$H:$H)</f>
        <v>0</v>
      </c>
      <c r="P341" s="69">
        <f ca="1">SUMIF('CAP26-28'!$B:$H,Insumo[[#This Row],[DESCRIPCION]],'CAP26-28'!$H:$H)</f>
        <v>0</v>
      </c>
      <c r="Q341" s="69">
        <f ca="1">SUMIF('CAP29'!$B:$H,Insumo[[#This Row],[DESCRIPCION]],'CAP29'!$H:$H)</f>
        <v>0</v>
      </c>
      <c r="T341" s="136">
        <v>782539</v>
      </c>
    </row>
    <row r="342" spans="1:20" ht="12" customHeight="1">
      <c r="A342" s="301" t="s">
        <v>2954</v>
      </c>
      <c r="B342" s="303" t="s">
        <v>20</v>
      </c>
      <c r="C342" s="304">
        <f t="shared" si="5"/>
        <v>102154.92581625449</v>
      </c>
      <c r="D342" s="281" cm="1">
        <f t="array" aca="1" ref="D342" ca="1">IF(Insumo[[#This Row],[VALOR]]=0,Insumo[TOTAL],E342/C342)</f>
        <v>0</v>
      </c>
      <c r="E342" s="69">
        <f ca="1">SUM(Insumo[[#This Row],[CAP1-3]:[CAP29]])</f>
        <v>0</v>
      </c>
      <c r="F342" s="69">
        <f ca="1">SUMIF('CAP1-3'!$B:$H,Insumo[[#This Row],[DESCRIPCION]],'CAP1-3'!$H:$H)</f>
        <v>0</v>
      </c>
      <c r="G342" s="69">
        <f ca="1">SUMIF('CAP4-5'!$B:$H,Insumo[[#This Row],[DESCRIPCION]],'CAP4-5'!$H:$H)</f>
        <v>0</v>
      </c>
      <c r="H342" s="69">
        <f ca="1">SUMIF('CAP6-7'!$B:$H,Insumo[[#This Row],[DESCRIPCION]],'CAP6-7'!$H:$H)</f>
        <v>0</v>
      </c>
      <c r="I342" s="69">
        <f ca="1">SUMIF('CAP8'!$B:$H,Insumo[[#This Row],[DESCRIPCION]],'CAP8'!$H:$H)</f>
        <v>0</v>
      </c>
      <c r="J342" s="69">
        <f ca="1">SUMIF('CAP9-13'!$B:$H,Insumo[[#This Row],[DESCRIPCION]],'CAP9-13'!$H:$H)</f>
        <v>0</v>
      </c>
      <c r="K342" s="69">
        <f ca="1">SUMIF('CAP14-15'!$B:$H,Insumo[[#This Row],[DESCRIPCION]],'CAP14-15'!$H:$H)</f>
        <v>0</v>
      </c>
      <c r="L342" s="69">
        <f ca="1">SUMIF('CAP16-18'!$B:$H,Insumo[[#This Row],[DESCRIPCION]],'CAP16-18'!$H:$H)</f>
        <v>0</v>
      </c>
      <c r="M342" s="69">
        <f ca="1">SUMIF('CAP19-22'!$B:$H,Insumo[[#This Row],[DESCRIPCION]],'CAP19-22'!$H:$H)</f>
        <v>0</v>
      </c>
      <c r="N342" s="69">
        <f ca="1">SUMIF('CAP23-24'!$B:$H,Insumo[[#This Row],[DESCRIPCION]],'CAP23-24'!$H:$H)</f>
        <v>0</v>
      </c>
      <c r="O342" s="69">
        <f ca="1">SUMIF('CAP25'!$B:$H,Insumo[[#This Row],[DESCRIPCION]],'CAP25'!$H:$H)</f>
        <v>0</v>
      </c>
      <c r="P342" s="69">
        <f ca="1">SUMIF('CAP26-28'!$B:$H,Insumo[[#This Row],[DESCRIPCION]],'CAP26-28'!$H:$H)</f>
        <v>0</v>
      </c>
      <c r="Q342" s="69">
        <f ca="1">SUMIF('CAP29'!$B:$H,Insumo[[#This Row],[DESCRIPCION]],'CAP29'!$H:$H)</f>
        <v>0</v>
      </c>
      <c r="T342" s="136">
        <v>97290.40553928999</v>
      </c>
    </row>
    <row r="343" spans="1:20" ht="12" customHeight="1">
      <c r="A343" s="301" t="s">
        <v>2955</v>
      </c>
      <c r="B343" s="303" t="s">
        <v>30</v>
      </c>
      <c r="C343" s="304">
        <f t="shared" si="5"/>
        <v>9887.85</v>
      </c>
      <c r="D343" s="281" cm="1">
        <f t="array" aca="1" ref="D343" ca="1">IF(Insumo[[#This Row],[VALOR]]=0,Insumo[TOTAL],E343/C343)</f>
        <v>0</v>
      </c>
      <c r="E343" s="69">
        <f ca="1">SUM(Insumo[[#This Row],[CAP1-3]:[CAP29]])</f>
        <v>0</v>
      </c>
      <c r="F343" s="69">
        <f ca="1">SUMIF('CAP1-3'!$B:$H,Insumo[[#This Row],[DESCRIPCION]],'CAP1-3'!$H:$H)</f>
        <v>0</v>
      </c>
      <c r="G343" s="69">
        <f ca="1">SUMIF('CAP4-5'!$B:$H,Insumo[[#This Row],[DESCRIPCION]],'CAP4-5'!$H:$H)</f>
        <v>0</v>
      </c>
      <c r="H343" s="69">
        <f ca="1">SUMIF('CAP6-7'!$B:$H,Insumo[[#This Row],[DESCRIPCION]],'CAP6-7'!$H:$H)</f>
        <v>0</v>
      </c>
      <c r="I343" s="69">
        <f ca="1">SUMIF('CAP8'!$B:$H,Insumo[[#This Row],[DESCRIPCION]],'CAP8'!$H:$H)</f>
        <v>0</v>
      </c>
      <c r="J343" s="69">
        <f ca="1">SUMIF('CAP9-13'!$B:$H,Insumo[[#This Row],[DESCRIPCION]],'CAP9-13'!$H:$H)</f>
        <v>0</v>
      </c>
      <c r="K343" s="69">
        <f ca="1">SUMIF('CAP14-15'!$B:$H,Insumo[[#This Row],[DESCRIPCION]],'CAP14-15'!$H:$H)</f>
        <v>0</v>
      </c>
      <c r="L343" s="69">
        <f ca="1">SUMIF('CAP16-18'!$B:$H,Insumo[[#This Row],[DESCRIPCION]],'CAP16-18'!$H:$H)</f>
        <v>0</v>
      </c>
      <c r="M343" s="69">
        <f ca="1">SUMIF('CAP19-22'!$B:$H,Insumo[[#This Row],[DESCRIPCION]],'CAP19-22'!$H:$H)</f>
        <v>0</v>
      </c>
      <c r="N343" s="69">
        <f ca="1">SUMIF('CAP23-24'!$B:$H,Insumo[[#This Row],[DESCRIPCION]],'CAP23-24'!$H:$H)</f>
        <v>0</v>
      </c>
      <c r="O343" s="69">
        <f ca="1">SUMIF('CAP25'!$B:$H,Insumo[[#This Row],[DESCRIPCION]],'CAP25'!$H:$H)</f>
        <v>0</v>
      </c>
      <c r="P343" s="69">
        <f ca="1">SUMIF('CAP26-28'!$B:$H,Insumo[[#This Row],[DESCRIPCION]],'CAP26-28'!$H:$H)</f>
        <v>0</v>
      </c>
      <c r="Q343" s="69">
        <f ca="1">SUMIF('CAP29'!$B:$H,Insumo[[#This Row],[DESCRIPCION]],'CAP29'!$H:$H)</f>
        <v>0</v>
      </c>
      <c r="T343" s="136">
        <v>9417</v>
      </c>
    </row>
    <row r="344" spans="1:20" ht="12" customHeight="1">
      <c r="A344" s="301" t="s">
        <v>2956</v>
      </c>
      <c r="B344" s="303" t="s">
        <v>52</v>
      </c>
      <c r="C344" s="304">
        <f t="shared" si="5"/>
        <v>475327.65</v>
      </c>
      <c r="D344" s="281" cm="1">
        <f t="array" aca="1" ref="D344" ca="1">IF(Insumo[[#This Row],[VALOR]]=0,Insumo[TOTAL],E344/C344)</f>
        <v>0</v>
      </c>
      <c r="E344" s="69">
        <f ca="1">SUM(Insumo[[#This Row],[CAP1-3]:[CAP29]])</f>
        <v>0</v>
      </c>
      <c r="F344" s="69">
        <f ca="1">SUMIF('CAP1-3'!$B:$H,Insumo[[#This Row],[DESCRIPCION]],'CAP1-3'!$H:$H)</f>
        <v>0</v>
      </c>
      <c r="G344" s="69">
        <f ca="1">SUMIF('CAP4-5'!$B:$H,Insumo[[#This Row],[DESCRIPCION]],'CAP4-5'!$H:$H)</f>
        <v>0</v>
      </c>
      <c r="H344" s="69">
        <f ca="1">SUMIF('CAP6-7'!$B:$H,Insumo[[#This Row],[DESCRIPCION]],'CAP6-7'!$H:$H)</f>
        <v>0</v>
      </c>
      <c r="I344" s="69">
        <f ca="1">SUMIF('CAP8'!$B:$H,Insumo[[#This Row],[DESCRIPCION]],'CAP8'!$H:$H)</f>
        <v>0</v>
      </c>
      <c r="J344" s="69">
        <f ca="1">SUMIF('CAP9-13'!$B:$H,Insumo[[#This Row],[DESCRIPCION]],'CAP9-13'!$H:$H)</f>
        <v>0</v>
      </c>
      <c r="K344" s="69">
        <f ca="1">SUMIF('CAP14-15'!$B:$H,Insumo[[#This Row],[DESCRIPCION]],'CAP14-15'!$H:$H)</f>
        <v>0</v>
      </c>
      <c r="L344" s="69">
        <f ca="1">SUMIF('CAP16-18'!$B:$H,Insumo[[#This Row],[DESCRIPCION]],'CAP16-18'!$H:$H)</f>
        <v>0</v>
      </c>
      <c r="M344" s="69">
        <f ca="1">SUMIF('CAP19-22'!$B:$H,Insumo[[#This Row],[DESCRIPCION]],'CAP19-22'!$H:$H)</f>
        <v>0</v>
      </c>
      <c r="N344" s="69">
        <f ca="1">SUMIF('CAP23-24'!$B:$H,Insumo[[#This Row],[DESCRIPCION]],'CAP23-24'!$H:$H)</f>
        <v>0</v>
      </c>
      <c r="O344" s="69">
        <f ca="1">SUMIF('CAP25'!$B:$H,Insumo[[#This Row],[DESCRIPCION]],'CAP25'!$H:$H)</f>
        <v>0</v>
      </c>
      <c r="P344" s="69">
        <f ca="1">SUMIF('CAP26-28'!$B:$H,Insumo[[#This Row],[DESCRIPCION]],'CAP26-28'!$H:$H)</f>
        <v>0</v>
      </c>
      <c r="Q344" s="69">
        <f ca="1">SUMIF('CAP29'!$B:$H,Insumo[[#This Row],[DESCRIPCION]],'CAP29'!$H:$H)</f>
        <v>0</v>
      </c>
      <c r="T344" s="136">
        <v>452693</v>
      </c>
    </row>
    <row r="345" spans="1:20" ht="12" customHeight="1">
      <c r="A345" s="301" t="s">
        <v>2957</v>
      </c>
      <c r="B345" s="303" t="s">
        <v>20</v>
      </c>
      <c r="C345" s="304">
        <f t="shared" si="5"/>
        <v>149544.7581937575</v>
      </c>
      <c r="D345" s="281" cm="1">
        <f t="array" aca="1" ref="D345" ca="1">IF(Insumo[[#This Row],[VALOR]]=0,Insumo[TOTAL],E345/C345)</f>
        <v>0</v>
      </c>
      <c r="E345" s="69">
        <f ca="1">SUM(Insumo[[#This Row],[CAP1-3]:[CAP29]])</f>
        <v>0</v>
      </c>
      <c r="F345" s="69">
        <f ca="1">SUMIF('CAP1-3'!$B:$H,Insumo[[#This Row],[DESCRIPCION]],'CAP1-3'!$H:$H)</f>
        <v>0</v>
      </c>
      <c r="G345" s="69">
        <f ca="1">SUMIF('CAP4-5'!$B:$H,Insumo[[#This Row],[DESCRIPCION]],'CAP4-5'!$H:$H)</f>
        <v>0</v>
      </c>
      <c r="H345" s="69">
        <f ca="1">SUMIF('CAP6-7'!$B:$H,Insumo[[#This Row],[DESCRIPCION]],'CAP6-7'!$H:$H)</f>
        <v>0</v>
      </c>
      <c r="I345" s="69">
        <f ca="1">SUMIF('CAP8'!$B:$H,Insumo[[#This Row],[DESCRIPCION]],'CAP8'!$H:$H)</f>
        <v>0</v>
      </c>
      <c r="J345" s="69">
        <f ca="1">SUMIF('CAP9-13'!$B:$H,Insumo[[#This Row],[DESCRIPCION]],'CAP9-13'!$H:$H)</f>
        <v>0</v>
      </c>
      <c r="K345" s="69">
        <f ca="1">SUMIF('CAP14-15'!$B:$H,Insumo[[#This Row],[DESCRIPCION]],'CAP14-15'!$H:$H)</f>
        <v>0</v>
      </c>
      <c r="L345" s="69">
        <f ca="1">SUMIF('CAP16-18'!$B:$H,Insumo[[#This Row],[DESCRIPCION]],'CAP16-18'!$H:$H)</f>
        <v>0</v>
      </c>
      <c r="M345" s="69">
        <f ca="1">SUMIF('CAP19-22'!$B:$H,Insumo[[#This Row],[DESCRIPCION]],'CAP19-22'!$H:$H)</f>
        <v>0</v>
      </c>
      <c r="N345" s="69">
        <f ca="1">SUMIF('CAP23-24'!$B:$H,Insumo[[#This Row],[DESCRIPCION]],'CAP23-24'!$H:$H)</f>
        <v>0</v>
      </c>
      <c r="O345" s="69">
        <f ca="1">SUMIF('CAP25'!$B:$H,Insumo[[#This Row],[DESCRIPCION]],'CAP25'!$H:$H)</f>
        <v>0</v>
      </c>
      <c r="P345" s="69">
        <f ca="1">SUMIF('CAP26-28'!$B:$H,Insumo[[#This Row],[DESCRIPCION]],'CAP26-28'!$H:$H)</f>
        <v>0</v>
      </c>
      <c r="Q345" s="69">
        <f ca="1">SUMIF('CAP29'!$B:$H,Insumo[[#This Row],[DESCRIPCION]],'CAP29'!$H:$H)</f>
        <v>0</v>
      </c>
      <c r="T345" s="136">
        <v>142423.57923214999</v>
      </c>
    </row>
    <row r="346" spans="1:20" ht="12" customHeight="1">
      <c r="A346" s="301" t="s">
        <v>2958</v>
      </c>
      <c r="B346" s="303" t="s">
        <v>20</v>
      </c>
      <c r="C346" s="304">
        <f t="shared" si="5"/>
        <v>68174.400000000009</v>
      </c>
      <c r="D346" s="281" cm="1">
        <f t="array" aca="1" ref="D346" ca="1">IF(Insumo[[#This Row],[VALOR]]=0,Insumo[TOTAL],E346/C346)</f>
        <v>0</v>
      </c>
      <c r="E346" s="69">
        <f ca="1">SUM(Insumo[[#This Row],[CAP1-3]:[CAP29]])</f>
        <v>0</v>
      </c>
      <c r="F346" s="286">
        <f ca="1">SUMIF('CAP1-3'!$B:$H,Insumo[[#This Row],[DESCRIPCION]],'CAP1-3'!$H:$H)</f>
        <v>0</v>
      </c>
      <c r="G346" s="286">
        <f ca="1">SUMIF('CAP4-5'!$B:$H,Insumo[[#This Row],[DESCRIPCION]],'CAP4-5'!$H:$H)</f>
        <v>0</v>
      </c>
      <c r="H346" s="286">
        <f ca="1">SUMIF('CAP6-7'!$B:$H,Insumo[[#This Row],[DESCRIPCION]],'CAP6-7'!$H:$H)</f>
        <v>0</v>
      </c>
      <c r="I346" s="286">
        <f ca="1">SUMIF('CAP8'!$B:$H,Insumo[[#This Row],[DESCRIPCION]],'CAP8'!$H:$H)</f>
        <v>0</v>
      </c>
      <c r="J346" s="286">
        <f ca="1">SUMIF('CAP9-13'!$B:$H,Insumo[[#This Row],[DESCRIPCION]],'CAP9-13'!$H:$H)</f>
        <v>0</v>
      </c>
      <c r="K346" s="286">
        <f ca="1">SUMIF('CAP14-15'!$B:$H,Insumo[[#This Row],[DESCRIPCION]],'CAP14-15'!$H:$H)</f>
        <v>0</v>
      </c>
      <c r="L346" s="286">
        <f ca="1">SUMIF('CAP16-18'!$B:$H,Insumo[[#This Row],[DESCRIPCION]],'CAP16-18'!$H:$H)</f>
        <v>0</v>
      </c>
      <c r="M346" s="286">
        <f ca="1">SUMIF('CAP19-22'!$B:$H,Insumo[[#This Row],[DESCRIPCION]],'CAP19-22'!$H:$H)</f>
        <v>0</v>
      </c>
      <c r="N346" s="286">
        <f ca="1">SUMIF('CAP23-24'!$B:$H,Insumo[[#This Row],[DESCRIPCION]],'CAP23-24'!$H:$H)</f>
        <v>0</v>
      </c>
      <c r="O346" s="286">
        <f ca="1">SUMIF('CAP25'!$B:$H,Insumo[[#This Row],[DESCRIPCION]],'CAP25'!$H:$H)</f>
        <v>0</v>
      </c>
      <c r="P346" s="286">
        <f ca="1">SUMIF('CAP26-28'!$B:$H,Insumo[[#This Row],[DESCRIPCION]],'CAP26-28'!$H:$H)</f>
        <v>0</v>
      </c>
      <c r="Q346" s="286">
        <f ca="1">SUMIF('CAP29'!$B:$H,Insumo[[#This Row],[DESCRIPCION]],'CAP29'!$H:$H)</f>
        <v>0</v>
      </c>
      <c r="R346" s="136" t="s">
        <v>2663</v>
      </c>
      <c r="T346" s="136">
        <v>64928</v>
      </c>
    </row>
    <row r="347" spans="1:20" ht="12" customHeight="1">
      <c r="A347" s="301" t="s">
        <v>2959</v>
      </c>
      <c r="B347" s="303" t="s">
        <v>20</v>
      </c>
      <c r="C347" s="304">
        <f t="shared" si="5"/>
        <v>15760.5</v>
      </c>
      <c r="D347" s="281" cm="1">
        <f t="array" aca="1" ref="D347" ca="1">IF(Insumo[[#This Row],[VALOR]]=0,Insumo[TOTAL],E347/C347)</f>
        <v>0</v>
      </c>
      <c r="E347" s="69">
        <f ca="1">SUM(Insumo[[#This Row],[CAP1-3]:[CAP29]])</f>
        <v>0</v>
      </c>
      <c r="F347" s="69">
        <f ca="1">SUMIF('CAP1-3'!$B:$H,Insumo[[#This Row],[DESCRIPCION]],'CAP1-3'!$H:$H)</f>
        <v>0</v>
      </c>
      <c r="G347" s="69">
        <f ca="1">SUMIF('CAP4-5'!$B:$H,Insumo[[#This Row],[DESCRIPCION]],'CAP4-5'!$H:$H)</f>
        <v>0</v>
      </c>
      <c r="H347" s="69">
        <f ca="1">SUMIF('CAP6-7'!$B:$H,Insumo[[#This Row],[DESCRIPCION]],'CAP6-7'!$H:$H)</f>
        <v>0</v>
      </c>
      <c r="I347" s="69">
        <f ca="1">SUMIF('CAP8'!$B:$H,Insumo[[#This Row],[DESCRIPCION]],'CAP8'!$H:$H)</f>
        <v>0</v>
      </c>
      <c r="J347" s="69">
        <f ca="1">SUMIF('CAP9-13'!$B:$H,Insumo[[#This Row],[DESCRIPCION]],'CAP9-13'!$H:$H)</f>
        <v>0</v>
      </c>
      <c r="K347" s="69">
        <f ca="1">SUMIF('CAP14-15'!$B:$H,Insumo[[#This Row],[DESCRIPCION]],'CAP14-15'!$H:$H)</f>
        <v>0</v>
      </c>
      <c r="L347" s="69">
        <f ca="1">SUMIF('CAP16-18'!$B:$H,Insumo[[#This Row],[DESCRIPCION]],'CAP16-18'!$H:$H)</f>
        <v>0</v>
      </c>
      <c r="M347" s="69">
        <f ca="1">SUMIF('CAP19-22'!$B:$H,Insumo[[#This Row],[DESCRIPCION]],'CAP19-22'!$H:$H)</f>
        <v>0</v>
      </c>
      <c r="N347" s="69">
        <f ca="1">SUMIF('CAP23-24'!$B:$H,Insumo[[#This Row],[DESCRIPCION]],'CAP23-24'!$H:$H)</f>
        <v>0</v>
      </c>
      <c r="O347" s="69">
        <f ca="1">SUMIF('CAP25'!$B:$H,Insumo[[#This Row],[DESCRIPCION]],'CAP25'!$H:$H)</f>
        <v>0</v>
      </c>
      <c r="P347" s="69">
        <f ca="1">SUMIF('CAP26-28'!$B:$H,Insumo[[#This Row],[DESCRIPCION]],'CAP26-28'!$H:$H)</f>
        <v>0</v>
      </c>
      <c r="Q347" s="69">
        <f ca="1">SUMIF('CAP29'!$B:$H,Insumo[[#This Row],[DESCRIPCION]],'CAP29'!$H:$H)</f>
        <v>0</v>
      </c>
      <c r="T347" s="136">
        <v>15010</v>
      </c>
    </row>
    <row r="348" spans="1:20" ht="12" customHeight="1">
      <c r="A348" s="301" t="s">
        <v>2960</v>
      </c>
      <c r="B348" s="303" t="s">
        <v>23</v>
      </c>
      <c r="C348" s="304">
        <f t="shared" si="5"/>
        <v>397818.75</v>
      </c>
      <c r="D348" s="281" cm="1">
        <f t="array" aca="1" ref="D348" ca="1">IF(Insumo[[#This Row],[VALOR]]=0,Insumo[TOTAL],E348/C348)</f>
        <v>0</v>
      </c>
      <c r="E348" s="69">
        <f ca="1">SUM(Insumo[[#This Row],[CAP1-3]:[CAP29]])</f>
        <v>0</v>
      </c>
      <c r="F348" s="69">
        <f ca="1">SUMIF('CAP1-3'!$B:$H,Insumo[[#This Row],[DESCRIPCION]],'CAP1-3'!$H:$H)</f>
        <v>0</v>
      </c>
      <c r="G348" s="69">
        <f ca="1">SUMIF('CAP4-5'!$B:$H,Insumo[[#This Row],[DESCRIPCION]],'CAP4-5'!$H:$H)</f>
        <v>0</v>
      </c>
      <c r="H348" s="69">
        <f ca="1">SUMIF('CAP6-7'!$B:$H,Insumo[[#This Row],[DESCRIPCION]],'CAP6-7'!$H:$H)</f>
        <v>0</v>
      </c>
      <c r="I348" s="69">
        <f ca="1">SUMIF('CAP8'!$B:$H,Insumo[[#This Row],[DESCRIPCION]],'CAP8'!$H:$H)</f>
        <v>0</v>
      </c>
      <c r="J348" s="69">
        <f ca="1">SUMIF('CAP9-13'!$B:$H,Insumo[[#This Row],[DESCRIPCION]],'CAP9-13'!$H:$H)</f>
        <v>0</v>
      </c>
      <c r="K348" s="69">
        <f ca="1">SUMIF('CAP14-15'!$B:$H,Insumo[[#This Row],[DESCRIPCION]],'CAP14-15'!$H:$H)</f>
        <v>0</v>
      </c>
      <c r="L348" s="69">
        <f ca="1">SUMIF('CAP16-18'!$B:$H,Insumo[[#This Row],[DESCRIPCION]],'CAP16-18'!$H:$H)</f>
        <v>0</v>
      </c>
      <c r="M348" s="69">
        <f ca="1">SUMIF('CAP19-22'!$B:$H,Insumo[[#This Row],[DESCRIPCION]],'CAP19-22'!$H:$H)</f>
        <v>0</v>
      </c>
      <c r="N348" s="69">
        <f ca="1">SUMIF('CAP23-24'!$B:$H,Insumo[[#This Row],[DESCRIPCION]],'CAP23-24'!$H:$H)</f>
        <v>0</v>
      </c>
      <c r="O348" s="69">
        <f ca="1">SUMIF('CAP25'!$B:$H,Insumo[[#This Row],[DESCRIPCION]],'CAP25'!$H:$H)</f>
        <v>0</v>
      </c>
      <c r="P348" s="69">
        <f ca="1">SUMIF('CAP26-28'!$B:$H,Insumo[[#This Row],[DESCRIPCION]],'CAP26-28'!$H:$H)</f>
        <v>0</v>
      </c>
      <c r="Q348" s="69">
        <f ca="1">SUMIF('CAP29'!$B:$H,Insumo[[#This Row],[DESCRIPCION]],'CAP29'!$H:$H)</f>
        <v>0</v>
      </c>
      <c r="T348" s="136">
        <v>378875</v>
      </c>
    </row>
    <row r="349" spans="1:20" ht="12" customHeight="1">
      <c r="A349" s="301" t="s">
        <v>2961</v>
      </c>
      <c r="B349" s="303" t="s">
        <v>23</v>
      </c>
      <c r="C349" s="304">
        <f t="shared" si="5"/>
        <v>437601.15</v>
      </c>
      <c r="D349" s="281" cm="1">
        <f t="array" aca="1" ref="D349" ca="1">IF(Insumo[[#This Row],[VALOR]]=0,Insumo[TOTAL],E349/C349)</f>
        <v>0</v>
      </c>
      <c r="E349" s="69">
        <f ca="1">SUM(Insumo[[#This Row],[CAP1-3]:[CAP29]])</f>
        <v>0</v>
      </c>
      <c r="F349" s="69">
        <f ca="1">SUMIF('CAP1-3'!$B:$H,Insumo[[#This Row],[DESCRIPCION]],'CAP1-3'!$H:$H)</f>
        <v>0</v>
      </c>
      <c r="G349" s="69">
        <f ca="1">SUMIF('CAP4-5'!$B:$H,Insumo[[#This Row],[DESCRIPCION]],'CAP4-5'!$H:$H)</f>
        <v>0</v>
      </c>
      <c r="H349" s="69">
        <f ca="1">SUMIF('CAP6-7'!$B:$H,Insumo[[#This Row],[DESCRIPCION]],'CAP6-7'!$H:$H)</f>
        <v>0</v>
      </c>
      <c r="I349" s="69">
        <f ca="1">SUMIF('CAP8'!$B:$H,Insumo[[#This Row],[DESCRIPCION]],'CAP8'!$H:$H)</f>
        <v>0</v>
      </c>
      <c r="J349" s="69">
        <f ca="1">SUMIF('CAP9-13'!$B:$H,Insumo[[#This Row],[DESCRIPCION]],'CAP9-13'!$H:$H)</f>
        <v>0</v>
      </c>
      <c r="K349" s="69">
        <f ca="1">SUMIF('CAP14-15'!$B:$H,Insumo[[#This Row],[DESCRIPCION]],'CAP14-15'!$H:$H)</f>
        <v>0</v>
      </c>
      <c r="L349" s="69">
        <f ca="1">SUMIF('CAP16-18'!$B:$H,Insumo[[#This Row],[DESCRIPCION]],'CAP16-18'!$H:$H)</f>
        <v>0</v>
      </c>
      <c r="M349" s="69">
        <f ca="1">SUMIF('CAP19-22'!$B:$H,Insumo[[#This Row],[DESCRIPCION]],'CAP19-22'!$H:$H)</f>
        <v>0</v>
      </c>
      <c r="N349" s="69">
        <f ca="1">SUMIF('CAP23-24'!$B:$H,Insumo[[#This Row],[DESCRIPCION]],'CAP23-24'!$H:$H)</f>
        <v>0</v>
      </c>
      <c r="O349" s="69">
        <f ca="1">SUMIF('CAP25'!$B:$H,Insumo[[#This Row],[DESCRIPCION]],'CAP25'!$H:$H)</f>
        <v>0</v>
      </c>
      <c r="P349" s="69">
        <f ca="1">SUMIF('CAP26-28'!$B:$H,Insumo[[#This Row],[DESCRIPCION]],'CAP26-28'!$H:$H)</f>
        <v>0</v>
      </c>
      <c r="Q349" s="69">
        <f ca="1">SUMIF('CAP29'!$B:$H,Insumo[[#This Row],[DESCRIPCION]],'CAP29'!$H:$H)</f>
        <v>0</v>
      </c>
      <c r="T349" s="136">
        <v>416763</v>
      </c>
    </row>
    <row r="350" spans="1:20" ht="12" customHeight="1">
      <c r="A350" s="301" t="s">
        <v>2962</v>
      </c>
      <c r="B350" s="303" t="s">
        <v>2621</v>
      </c>
      <c r="C350" s="304">
        <f t="shared" si="5"/>
        <v>1285.2</v>
      </c>
      <c r="D350" s="281" cm="1">
        <f t="array" aca="1" ref="D350" ca="1">IF(Insumo[[#This Row],[VALOR]]=0,Insumo[TOTAL],E350/C350)</f>
        <v>0</v>
      </c>
      <c r="E350" s="69">
        <f ca="1">SUM(Insumo[[#This Row],[CAP1-3]:[CAP29]])</f>
        <v>0</v>
      </c>
      <c r="F350" s="69">
        <f ca="1">SUMIF('CAP1-3'!$B:$H,Insumo[[#This Row],[DESCRIPCION]],'CAP1-3'!$H:$H)</f>
        <v>0</v>
      </c>
      <c r="G350" s="69">
        <f ca="1">SUMIF('CAP4-5'!$B:$H,Insumo[[#This Row],[DESCRIPCION]],'CAP4-5'!$H:$H)</f>
        <v>0</v>
      </c>
      <c r="H350" s="69">
        <f ca="1">SUMIF('CAP6-7'!$B:$H,Insumo[[#This Row],[DESCRIPCION]],'CAP6-7'!$H:$H)</f>
        <v>0</v>
      </c>
      <c r="I350" s="69">
        <f ca="1">SUMIF('CAP8'!$B:$H,Insumo[[#This Row],[DESCRIPCION]],'CAP8'!$H:$H)</f>
        <v>0</v>
      </c>
      <c r="J350" s="69">
        <f ca="1">SUMIF('CAP9-13'!$B:$H,Insumo[[#This Row],[DESCRIPCION]],'CAP9-13'!$H:$H)</f>
        <v>0</v>
      </c>
      <c r="K350" s="69">
        <f ca="1">SUMIF('CAP14-15'!$B:$H,Insumo[[#This Row],[DESCRIPCION]],'CAP14-15'!$H:$H)</f>
        <v>0</v>
      </c>
      <c r="L350" s="69">
        <f ca="1">SUMIF('CAP16-18'!$B:$H,Insumo[[#This Row],[DESCRIPCION]],'CAP16-18'!$H:$H)</f>
        <v>0</v>
      </c>
      <c r="M350" s="69">
        <f ca="1">SUMIF('CAP19-22'!$B:$H,Insumo[[#This Row],[DESCRIPCION]],'CAP19-22'!$H:$H)</f>
        <v>0</v>
      </c>
      <c r="N350" s="69">
        <f ca="1">SUMIF('CAP23-24'!$B:$H,Insumo[[#This Row],[DESCRIPCION]],'CAP23-24'!$H:$H)</f>
        <v>0</v>
      </c>
      <c r="O350" s="69">
        <f ca="1">SUMIF('CAP25'!$B:$H,Insumo[[#This Row],[DESCRIPCION]],'CAP25'!$H:$H)</f>
        <v>0</v>
      </c>
      <c r="P350" s="69">
        <f ca="1">SUMIF('CAP26-28'!$B:$H,Insumo[[#This Row],[DESCRIPCION]],'CAP26-28'!$H:$H)</f>
        <v>0</v>
      </c>
      <c r="Q350" s="69">
        <f ca="1">SUMIF('CAP29'!$B:$H,Insumo[[#This Row],[DESCRIPCION]],'CAP29'!$H:$H)</f>
        <v>0</v>
      </c>
      <c r="T350" s="136">
        <v>1224</v>
      </c>
    </row>
    <row r="351" spans="1:20" ht="12" customHeight="1">
      <c r="A351" s="301" t="s">
        <v>2963</v>
      </c>
      <c r="B351" s="303" t="s">
        <v>23</v>
      </c>
      <c r="C351" s="304">
        <f t="shared" si="5"/>
        <v>56717.850000000006</v>
      </c>
      <c r="D351" s="281" cm="1">
        <f t="array" aca="1" ref="D351" ca="1">IF(Insumo[[#This Row],[VALOR]]=0,Insumo[TOTAL],E351/C351)</f>
        <v>0</v>
      </c>
      <c r="E351" s="69">
        <f ca="1">SUM(Insumo[[#This Row],[CAP1-3]:[CAP29]])</f>
        <v>0</v>
      </c>
      <c r="F351" s="69">
        <f ca="1">SUMIF('CAP1-3'!$B:$H,Insumo[[#This Row],[DESCRIPCION]],'CAP1-3'!$H:$H)</f>
        <v>0</v>
      </c>
      <c r="G351" s="69">
        <f ca="1">SUMIF('CAP4-5'!$B:$H,Insumo[[#This Row],[DESCRIPCION]],'CAP4-5'!$H:$H)</f>
        <v>0</v>
      </c>
      <c r="H351" s="69">
        <f ca="1">SUMIF('CAP6-7'!$B:$H,Insumo[[#This Row],[DESCRIPCION]],'CAP6-7'!$H:$H)</f>
        <v>0</v>
      </c>
      <c r="I351" s="69">
        <f ca="1">SUMIF('CAP8'!$B:$H,Insumo[[#This Row],[DESCRIPCION]],'CAP8'!$H:$H)</f>
        <v>0</v>
      </c>
      <c r="J351" s="69">
        <f ca="1">SUMIF('CAP9-13'!$B:$H,Insumo[[#This Row],[DESCRIPCION]],'CAP9-13'!$H:$H)</f>
        <v>0</v>
      </c>
      <c r="K351" s="69">
        <f ca="1">SUMIF('CAP14-15'!$B:$H,Insumo[[#This Row],[DESCRIPCION]],'CAP14-15'!$H:$H)</f>
        <v>0</v>
      </c>
      <c r="L351" s="69">
        <f ca="1">SUMIF('CAP16-18'!$B:$H,Insumo[[#This Row],[DESCRIPCION]],'CAP16-18'!$H:$H)</f>
        <v>0</v>
      </c>
      <c r="M351" s="69">
        <f ca="1">SUMIF('CAP19-22'!$B:$H,Insumo[[#This Row],[DESCRIPCION]],'CAP19-22'!$H:$H)</f>
        <v>0</v>
      </c>
      <c r="N351" s="69">
        <f ca="1">SUMIF('CAP23-24'!$B:$H,Insumo[[#This Row],[DESCRIPCION]],'CAP23-24'!$H:$H)</f>
        <v>0</v>
      </c>
      <c r="O351" s="69">
        <f ca="1">SUMIF('CAP25'!$B:$H,Insumo[[#This Row],[DESCRIPCION]],'CAP25'!$H:$H)</f>
        <v>0</v>
      </c>
      <c r="P351" s="69">
        <f ca="1">SUMIF('CAP26-28'!$B:$H,Insumo[[#This Row],[DESCRIPCION]],'CAP26-28'!$H:$H)</f>
        <v>0</v>
      </c>
      <c r="Q351" s="69">
        <f ca="1">SUMIF('CAP29'!$B:$H,Insumo[[#This Row],[DESCRIPCION]],'CAP29'!$H:$H)</f>
        <v>0</v>
      </c>
      <c r="T351" s="136">
        <v>54017</v>
      </c>
    </row>
    <row r="352" spans="1:20" ht="12" customHeight="1">
      <c r="A352" s="301" t="s">
        <v>2964</v>
      </c>
      <c r="B352" s="303" t="s">
        <v>30</v>
      </c>
      <c r="C352" s="304">
        <f t="shared" si="5"/>
        <v>28595.7</v>
      </c>
      <c r="D352" s="281" cm="1">
        <f t="array" aca="1" ref="D352" ca="1">IF(Insumo[[#This Row],[VALOR]]=0,Insumo[TOTAL],E352/C352)</f>
        <v>0</v>
      </c>
      <c r="E352" s="69">
        <f ca="1">SUM(Insumo[[#This Row],[CAP1-3]:[CAP29]])</f>
        <v>0</v>
      </c>
      <c r="F352" s="69">
        <f ca="1">SUMIF('CAP1-3'!$B:$H,Insumo[[#This Row],[DESCRIPCION]],'CAP1-3'!$H:$H)</f>
        <v>0</v>
      </c>
      <c r="G352" s="69">
        <f ca="1">SUMIF('CAP4-5'!$B:$H,Insumo[[#This Row],[DESCRIPCION]],'CAP4-5'!$H:$H)</f>
        <v>0</v>
      </c>
      <c r="H352" s="69">
        <f ca="1">SUMIF('CAP6-7'!$B:$H,Insumo[[#This Row],[DESCRIPCION]],'CAP6-7'!$H:$H)</f>
        <v>0</v>
      </c>
      <c r="I352" s="69">
        <f ca="1">SUMIF('CAP8'!$B:$H,Insumo[[#This Row],[DESCRIPCION]],'CAP8'!$H:$H)</f>
        <v>0</v>
      </c>
      <c r="J352" s="69">
        <f ca="1">SUMIF('CAP9-13'!$B:$H,Insumo[[#This Row],[DESCRIPCION]],'CAP9-13'!$H:$H)</f>
        <v>0</v>
      </c>
      <c r="K352" s="69">
        <f ca="1">SUMIF('CAP14-15'!$B:$H,Insumo[[#This Row],[DESCRIPCION]],'CAP14-15'!$H:$H)</f>
        <v>0</v>
      </c>
      <c r="L352" s="69">
        <f ca="1">SUMIF('CAP16-18'!$B:$H,Insumo[[#This Row],[DESCRIPCION]],'CAP16-18'!$H:$H)</f>
        <v>0</v>
      </c>
      <c r="M352" s="69">
        <f ca="1">SUMIF('CAP19-22'!$B:$H,Insumo[[#This Row],[DESCRIPCION]],'CAP19-22'!$H:$H)</f>
        <v>0</v>
      </c>
      <c r="N352" s="69">
        <f ca="1">SUMIF('CAP23-24'!$B:$H,Insumo[[#This Row],[DESCRIPCION]],'CAP23-24'!$H:$H)</f>
        <v>0</v>
      </c>
      <c r="O352" s="69">
        <f ca="1">SUMIF('CAP25'!$B:$H,Insumo[[#This Row],[DESCRIPCION]],'CAP25'!$H:$H)</f>
        <v>0</v>
      </c>
      <c r="P352" s="69">
        <f ca="1">SUMIF('CAP26-28'!$B:$H,Insumo[[#This Row],[DESCRIPCION]],'CAP26-28'!$H:$H)</f>
        <v>0</v>
      </c>
      <c r="Q352" s="69">
        <f ca="1">SUMIF('CAP29'!$B:$H,Insumo[[#This Row],[DESCRIPCION]],'CAP29'!$H:$H)</f>
        <v>0</v>
      </c>
      <c r="T352" s="136">
        <v>27234</v>
      </c>
    </row>
    <row r="353" spans="1:20" ht="12" customHeight="1">
      <c r="A353" s="301" t="s">
        <v>2965</v>
      </c>
      <c r="B353" s="303" t="s">
        <v>30</v>
      </c>
      <c r="C353" s="304">
        <f t="shared" si="5"/>
        <v>58233</v>
      </c>
      <c r="D353" s="281" cm="1">
        <f t="array" aca="1" ref="D353" ca="1">IF(Insumo[[#This Row],[VALOR]]=0,Insumo[TOTAL],E353/C353)</f>
        <v>0</v>
      </c>
      <c r="E353" s="69">
        <f ca="1">SUM(Insumo[[#This Row],[CAP1-3]:[CAP29]])</f>
        <v>0</v>
      </c>
      <c r="F353" s="69">
        <f ca="1">SUMIF('CAP1-3'!$B:$H,Insumo[[#This Row],[DESCRIPCION]],'CAP1-3'!$H:$H)</f>
        <v>0</v>
      </c>
      <c r="G353" s="69">
        <f ca="1">SUMIF('CAP4-5'!$B:$H,Insumo[[#This Row],[DESCRIPCION]],'CAP4-5'!$H:$H)</f>
        <v>0</v>
      </c>
      <c r="H353" s="69">
        <f ca="1">SUMIF('CAP6-7'!$B:$H,Insumo[[#This Row],[DESCRIPCION]],'CAP6-7'!$H:$H)</f>
        <v>0</v>
      </c>
      <c r="I353" s="69">
        <f ca="1">SUMIF('CAP8'!$B:$H,Insumo[[#This Row],[DESCRIPCION]],'CAP8'!$H:$H)</f>
        <v>0</v>
      </c>
      <c r="J353" s="69">
        <f ca="1">SUMIF('CAP9-13'!$B:$H,Insumo[[#This Row],[DESCRIPCION]],'CAP9-13'!$H:$H)</f>
        <v>0</v>
      </c>
      <c r="K353" s="69">
        <f ca="1">SUMIF('CAP14-15'!$B:$H,Insumo[[#This Row],[DESCRIPCION]],'CAP14-15'!$H:$H)</f>
        <v>0</v>
      </c>
      <c r="L353" s="69">
        <f ca="1">SUMIF('CAP16-18'!$B:$H,Insumo[[#This Row],[DESCRIPCION]],'CAP16-18'!$H:$H)</f>
        <v>0</v>
      </c>
      <c r="M353" s="69">
        <f ca="1">SUMIF('CAP19-22'!$B:$H,Insumo[[#This Row],[DESCRIPCION]],'CAP19-22'!$H:$H)</f>
        <v>0</v>
      </c>
      <c r="N353" s="69">
        <f ca="1">SUMIF('CAP23-24'!$B:$H,Insumo[[#This Row],[DESCRIPCION]],'CAP23-24'!$H:$H)</f>
        <v>0</v>
      </c>
      <c r="O353" s="69">
        <f ca="1">SUMIF('CAP25'!$B:$H,Insumo[[#This Row],[DESCRIPCION]],'CAP25'!$H:$H)</f>
        <v>0</v>
      </c>
      <c r="P353" s="69">
        <f ca="1">SUMIF('CAP26-28'!$B:$H,Insumo[[#This Row],[DESCRIPCION]],'CAP26-28'!$H:$H)</f>
        <v>0</v>
      </c>
      <c r="Q353" s="69">
        <f ca="1">SUMIF('CAP29'!$B:$H,Insumo[[#This Row],[DESCRIPCION]],'CAP29'!$H:$H)</f>
        <v>0</v>
      </c>
      <c r="T353" s="136">
        <v>55460</v>
      </c>
    </row>
    <row r="354" spans="1:20" ht="12" customHeight="1">
      <c r="A354" s="301" t="s">
        <v>2966</v>
      </c>
      <c r="B354" s="303" t="s">
        <v>20</v>
      </c>
      <c r="C354" s="304">
        <f t="shared" si="5"/>
        <v>41677.65</v>
      </c>
      <c r="D354" s="281" cm="1">
        <f t="array" aca="1" ref="D354" ca="1">IF(Insumo[[#This Row],[VALOR]]=0,Insumo[TOTAL],E354/C354)</f>
        <v>0</v>
      </c>
      <c r="E354" s="69">
        <f ca="1">SUM(Insumo[[#This Row],[CAP1-3]:[CAP29]])</f>
        <v>0</v>
      </c>
      <c r="F354" s="69">
        <f ca="1">SUMIF('CAP1-3'!$B:$H,Insumo[[#This Row],[DESCRIPCION]],'CAP1-3'!$H:$H)</f>
        <v>0</v>
      </c>
      <c r="G354" s="69">
        <f ca="1">SUMIF('CAP4-5'!$B:$H,Insumo[[#This Row],[DESCRIPCION]],'CAP4-5'!$H:$H)</f>
        <v>0</v>
      </c>
      <c r="H354" s="69">
        <f ca="1">SUMIF('CAP6-7'!$B:$H,Insumo[[#This Row],[DESCRIPCION]],'CAP6-7'!$H:$H)</f>
        <v>0</v>
      </c>
      <c r="I354" s="69">
        <f ca="1">SUMIF('CAP8'!$B:$H,Insumo[[#This Row],[DESCRIPCION]],'CAP8'!$H:$H)</f>
        <v>0</v>
      </c>
      <c r="J354" s="69">
        <f ca="1">SUMIF('CAP9-13'!$B:$H,Insumo[[#This Row],[DESCRIPCION]],'CAP9-13'!$H:$H)</f>
        <v>0</v>
      </c>
      <c r="K354" s="69">
        <f ca="1">SUMIF('CAP14-15'!$B:$H,Insumo[[#This Row],[DESCRIPCION]],'CAP14-15'!$H:$H)</f>
        <v>0</v>
      </c>
      <c r="L354" s="69">
        <f ca="1">SUMIF('CAP16-18'!$B:$H,Insumo[[#This Row],[DESCRIPCION]],'CAP16-18'!$H:$H)</f>
        <v>0</v>
      </c>
      <c r="M354" s="69">
        <f ca="1">SUMIF('CAP19-22'!$B:$H,Insumo[[#This Row],[DESCRIPCION]],'CAP19-22'!$H:$H)</f>
        <v>0</v>
      </c>
      <c r="N354" s="69">
        <f ca="1">SUMIF('CAP23-24'!$B:$H,Insumo[[#This Row],[DESCRIPCION]],'CAP23-24'!$H:$H)</f>
        <v>0</v>
      </c>
      <c r="O354" s="69">
        <f ca="1">SUMIF('CAP25'!$B:$H,Insumo[[#This Row],[DESCRIPCION]],'CAP25'!$H:$H)</f>
        <v>0</v>
      </c>
      <c r="P354" s="69">
        <f ca="1">SUMIF('CAP26-28'!$B:$H,Insumo[[#This Row],[DESCRIPCION]],'CAP26-28'!$H:$H)</f>
        <v>0</v>
      </c>
      <c r="Q354" s="69">
        <f ca="1">SUMIF('CAP29'!$B:$H,Insumo[[#This Row],[DESCRIPCION]],'CAP29'!$H:$H)</f>
        <v>0</v>
      </c>
      <c r="T354" s="136">
        <v>39693</v>
      </c>
    </row>
    <row r="355" spans="1:20" ht="12" customHeight="1">
      <c r="A355" s="301" t="s">
        <v>2967</v>
      </c>
      <c r="B355" s="303" t="s">
        <v>20</v>
      </c>
      <c r="C355" s="304">
        <f t="shared" si="5"/>
        <v>46771.200000000004</v>
      </c>
      <c r="D355" s="281" cm="1">
        <f t="array" aca="1" ref="D355" ca="1">IF(Insumo[[#This Row],[VALOR]]=0,Insumo[TOTAL],E355/C355)</f>
        <v>0</v>
      </c>
      <c r="E355" s="69">
        <f ca="1">SUM(Insumo[[#This Row],[CAP1-3]:[CAP29]])</f>
        <v>0</v>
      </c>
      <c r="F355" s="69">
        <f ca="1">SUMIF('CAP1-3'!$B:$H,Insumo[[#This Row],[DESCRIPCION]],'CAP1-3'!$H:$H)</f>
        <v>0</v>
      </c>
      <c r="G355" s="69">
        <f ca="1">SUMIF('CAP4-5'!$B:$H,Insumo[[#This Row],[DESCRIPCION]],'CAP4-5'!$H:$H)</f>
        <v>0</v>
      </c>
      <c r="H355" s="69">
        <f ca="1">SUMIF('CAP6-7'!$B:$H,Insumo[[#This Row],[DESCRIPCION]],'CAP6-7'!$H:$H)</f>
        <v>0</v>
      </c>
      <c r="I355" s="69">
        <f ca="1">SUMIF('CAP8'!$B:$H,Insumo[[#This Row],[DESCRIPCION]],'CAP8'!$H:$H)</f>
        <v>0</v>
      </c>
      <c r="J355" s="69">
        <f ca="1">SUMIF('CAP9-13'!$B:$H,Insumo[[#This Row],[DESCRIPCION]],'CAP9-13'!$H:$H)</f>
        <v>0</v>
      </c>
      <c r="K355" s="69">
        <f ca="1">SUMIF('CAP14-15'!$B:$H,Insumo[[#This Row],[DESCRIPCION]],'CAP14-15'!$H:$H)</f>
        <v>0</v>
      </c>
      <c r="L355" s="69">
        <f ca="1">SUMIF('CAP16-18'!$B:$H,Insumo[[#This Row],[DESCRIPCION]],'CAP16-18'!$H:$H)</f>
        <v>0</v>
      </c>
      <c r="M355" s="69">
        <f ca="1">SUMIF('CAP19-22'!$B:$H,Insumo[[#This Row],[DESCRIPCION]],'CAP19-22'!$H:$H)</f>
        <v>0</v>
      </c>
      <c r="N355" s="69">
        <f ca="1">SUMIF('CAP23-24'!$B:$H,Insumo[[#This Row],[DESCRIPCION]],'CAP23-24'!$H:$H)</f>
        <v>0</v>
      </c>
      <c r="O355" s="69">
        <f ca="1">SUMIF('CAP25'!$B:$H,Insumo[[#This Row],[DESCRIPCION]],'CAP25'!$H:$H)</f>
        <v>0</v>
      </c>
      <c r="P355" s="69">
        <f ca="1">SUMIF('CAP26-28'!$B:$H,Insumo[[#This Row],[DESCRIPCION]],'CAP26-28'!$H:$H)</f>
        <v>0</v>
      </c>
      <c r="Q355" s="69">
        <f ca="1">SUMIF('CAP29'!$B:$H,Insumo[[#This Row],[DESCRIPCION]],'CAP29'!$H:$H)</f>
        <v>0</v>
      </c>
      <c r="T355" s="136">
        <v>44544</v>
      </c>
    </row>
    <row r="356" spans="1:20" ht="12" customHeight="1">
      <c r="A356" s="301" t="s">
        <v>2968</v>
      </c>
      <c r="B356" s="303" t="s">
        <v>20</v>
      </c>
      <c r="C356" s="304">
        <f t="shared" si="5"/>
        <v>26058.9</v>
      </c>
      <c r="D356" s="281" cm="1">
        <f t="array" aca="1" ref="D356" ca="1">IF(Insumo[[#This Row],[VALOR]]=0,Insumo[TOTAL],E356/C356)</f>
        <v>0</v>
      </c>
      <c r="E356" s="69">
        <f ca="1">SUM(Insumo[[#This Row],[CAP1-3]:[CAP29]])</f>
        <v>0</v>
      </c>
      <c r="F356" s="69">
        <f ca="1">SUMIF('CAP1-3'!$B:$H,Insumo[[#This Row],[DESCRIPCION]],'CAP1-3'!$H:$H)</f>
        <v>0</v>
      </c>
      <c r="G356" s="69">
        <f ca="1">SUMIF('CAP4-5'!$B:$H,Insumo[[#This Row],[DESCRIPCION]],'CAP4-5'!$H:$H)</f>
        <v>0</v>
      </c>
      <c r="H356" s="69">
        <f ca="1">SUMIF('CAP6-7'!$B:$H,Insumo[[#This Row],[DESCRIPCION]],'CAP6-7'!$H:$H)</f>
        <v>0</v>
      </c>
      <c r="I356" s="69">
        <f ca="1">SUMIF('CAP8'!$B:$H,Insumo[[#This Row],[DESCRIPCION]],'CAP8'!$H:$H)</f>
        <v>0</v>
      </c>
      <c r="J356" s="69">
        <f ca="1">SUMIF('CAP9-13'!$B:$H,Insumo[[#This Row],[DESCRIPCION]],'CAP9-13'!$H:$H)</f>
        <v>0</v>
      </c>
      <c r="K356" s="69">
        <f ca="1">SUMIF('CAP14-15'!$B:$H,Insumo[[#This Row],[DESCRIPCION]],'CAP14-15'!$H:$H)</f>
        <v>0</v>
      </c>
      <c r="L356" s="69">
        <f ca="1">SUMIF('CAP16-18'!$B:$H,Insumo[[#This Row],[DESCRIPCION]],'CAP16-18'!$H:$H)</f>
        <v>0</v>
      </c>
      <c r="M356" s="69">
        <f ca="1">SUMIF('CAP19-22'!$B:$H,Insumo[[#This Row],[DESCRIPCION]],'CAP19-22'!$H:$H)</f>
        <v>0</v>
      </c>
      <c r="N356" s="69">
        <f ca="1">SUMIF('CAP23-24'!$B:$H,Insumo[[#This Row],[DESCRIPCION]],'CAP23-24'!$H:$H)</f>
        <v>0</v>
      </c>
      <c r="O356" s="69">
        <f ca="1">SUMIF('CAP25'!$B:$H,Insumo[[#This Row],[DESCRIPCION]],'CAP25'!$H:$H)</f>
        <v>0</v>
      </c>
      <c r="P356" s="69">
        <f ca="1">SUMIF('CAP26-28'!$B:$H,Insumo[[#This Row],[DESCRIPCION]],'CAP26-28'!$H:$H)</f>
        <v>0</v>
      </c>
      <c r="Q356" s="69">
        <f ca="1">SUMIF('CAP29'!$B:$H,Insumo[[#This Row],[DESCRIPCION]],'CAP29'!$H:$H)</f>
        <v>0</v>
      </c>
      <c r="R356" s="290"/>
      <c r="T356" s="136">
        <v>24818</v>
      </c>
    </row>
    <row r="357" spans="1:20" ht="12" customHeight="1">
      <c r="A357" s="301" t="s">
        <v>2969</v>
      </c>
      <c r="B357" s="303" t="s">
        <v>20</v>
      </c>
      <c r="C357" s="304">
        <f t="shared" si="5"/>
        <v>31479</v>
      </c>
      <c r="D357" s="281" cm="1">
        <f t="array" aca="1" ref="D357" ca="1">IF(Insumo[[#This Row],[VALOR]]=0,Insumo[TOTAL],E357/C357)</f>
        <v>0</v>
      </c>
      <c r="E357" s="69">
        <f ca="1">SUM(Insumo[[#This Row],[CAP1-3]:[CAP29]])</f>
        <v>0</v>
      </c>
      <c r="F357" s="69">
        <f ca="1">SUMIF('CAP1-3'!$B:$H,Insumo[[#This Row],[DESCRIPCION]],'CAP1-3'!$H:$H)</f>
        <v>0</v>
      </c>
      <c r="G357" s="69">
        <f ca="1">SUMIF('CAP4-5'!$B:$H,Insumo[[#This Row],[DESCRIPCION]],'CAP4-5'!$H:$H)</f>
        <v>0</v>
      </c>
      <c r="H357" s="69">
        <f ca="1">SUMIF('CAP6-7'!$B:$H,Insumo[[#This Row],[DESCRIPCION]],'CAP6-7'!$H:$H)</f>
        <v>0</v>
      </c>
      <c r="I357" s="69">
        <f ca="1">SUMIF('CAP8'!$B:$H,Insumo[[#This Row],[DESCRIPCION]],'CAP8'!$H:$H)</f>
        <v>0</v>
      </c>
      <c r="J357" s="69">
        <f ca="1">SUMIF('CAP9-13'!$B:$H,Insumo[[#This Row],[DESCRIPCION]],'CAP9-13'!$H:$H)</f>
        <v>0</v>
      </c>
      <c r="K357" s="69">
        <f ca="1">SUMIF('CAP14-15'!$B:$H,Insumo[[#This Row],[DESCRIPCION]],'CAP14-15'!$H:$H)</f>
        <v>0</v>
      </c>
      <c r="L357" s="69">
        <f ca="1">SUMIF('CAP16-18'!$B:$H,Insumo[[#This Row],[DESCRIPCION]],'CAP16-18'!$H:$H)</f>
        <v>0</v>
      </c>
      <c r="M357" s="69">
        <f ca="1">SUMIF('CAP19-22'!$B:$H,Insumo[[#This Row],[DESCRIPCION]],'CAP19-22'!$H:$H)</f>
        <v>0</v>
      </c>
      <c r="N357" s="69">
        <f ca="1">SUMIF('CAP23-24'!$B:$H,Insumo[[#This Row],[DESCRIPCION]],'CAP23-24'!$H:$H)</f>
        <v>0</v>
      </c>
      <c r="O357" s="69">
        <f ca="1">SUMIF('CAP25'!$B:$H,Insumo[[#This Row],[DESCRIPCION]],'CAP25'!$H:$H)</f>
        <v>0</v>
      </c>
      <c r="P357" s="69">
        <f ca="1">SUMIF('CAP26-28'!$B:$H,Insumo[[#This Row],[DESCRIPCION]],'CAP26-28'!$H:$H)</f>
        <v>0</v>
      </c>
      <c r="Q357" s="69">
        <f ca="1">SUMIF('CAP29'!$B:$H,Insumo[[#This Row],[DESCRIPCION]],'CAP29'!$H:$H)</f>
        <v>0</v>
      </c>
      <c r="R357" s="290"/>
      <c r="T357" s="136">
        <v>29980</v>
      </c>
    </row>
    <row r="358" spans="1:20" ht="12" customHeight="1">
      <c r="A358" s="301" t="s">
        <v>2970</v>
      </c>
      <c r="B358" s="303" t="s">
        <v>20</v>
      </c>
      <c r="C358" s="304">
        <f t="shared" si="5"/>
        <v>28416.15</v>
      </c>
      <c r="D358" s="281" cm="1">
        <f t="array" aca="1" ref="D358" ca="1">IF(Insumo[[#This Row],[VALOR]]=0,Insumo[TOTAL],E358/C358)</f>
        <v>0</v>
      </c>
      <c r="E358" s="69">
        <f ca="1">SUM(Insumo[[#This Row],[CAP1-3]:[CAP29]])</f>
        <v>0</v>
      </c>
      <c r="F358" s="69">
        <f ca="1">SUMIF('CAP1-3'!$B:$H,Insumo[[#This Row],[DESCRIPCION]],'CAP1-3'!$H:$H)</f>
        <v>0</v>
      </c>
      <c r="G358" s="69">
        <f ca="1">SUMIF('CAP4-5'!$B:$H,Insumo[[#This Row],[DESCRIPCION]],'CAP4-5'!$H:$H)</f>
        <v>0</v>
      </c>
      <c r="H358" s="69">
        <f ca="1">SUMIF('CAP6-7'!$B:$H,Insumo[[#This Row],[DESCRIPCION]],'CAP6-7'!$H:$H)</f>
        <v>0</v>
      </c>
      <c r="I358" s="69">
        <f ca="1">SUMIF('CAP8'!$B:$H,Insumo[[#This Row],[DESCRIPCION]],'CAP8'!$H:$H)</f>
        <v>0</v>
      </c>
      <c r="J358" s="69">
        <f ca="1">SUMIF('CAP9-13'!$B:$H,Insumo[[#This Row],[DESCRIPCION]],'CAP9-13'!$H:$H)</f>
        <v>0</v>
      </c>
      <c r="K358" s="69">
        <f ca="1">SUMIF('CAP14-15'!$B:$H,Insumo[[#This Row],[DESCRIPCION]],'CAP14-15'!$H:$H)</f>
        <v>0</v>
      </c>
      <c r="L358" s="69">
        <f ca="1">SUMIF('CAP16-18'!$B:$H,Insumo[[#This Row],[DESCRIPCION]],'CAP16-18'!$H:$H)</f>
        <v>0</v>
      </c>
      <c r="M358" s="69">
        <f ca="1">SUMIF('CAP19-22'!$B:$H,Insumo[[#This Row],[DESCRIPCION]],'CAP19-22'!$H:$H)</f>
        <v>0</v>
      </c>
      <c r="N358" s="69">
        <f ca="1">SUMIF('CAP23-24'!$B:$H,Insumo[[#This Row],[DESCRIPCION]],'CAP23-24'!$H:$H)</f>
        <v>0</v>
      </c>
      <c r="O358" s="69">
        <f ca="1">SUMIF('CAP25'!$B:$H,Insumo[[#This Row],[DESCRIPCION]],'CAP25'!$H:$H)</f>
        <v>0</v>
      </c>
      <c r="P358" s="69">
        <f ca="1">SUMIF('CAP26-28'!$B:$H,Insumo[[#This Row],[DESCRIPCION]],'CAP26-28'!$H:$H)</f>
        <v>0</v>
      </c>
      <c r="Q358" s="69">
        <f ca="1">SUMIF('CAP29'!$B:$H,Insumo[[#This Row],[DESCRIPCION]],'CAP29'!$H:$H)</f>
        <v>0</v>
      </c>
      <c r="R358" s="290"/>
      <c r="T358" s="136">
        <v>27063</v>
      </c>
    </row>
    <row r="359" spans="1:20" ht="12" customHeight="1">
      <c r="A359" s="301" t="s">
        <v>2971</v>
      </c>
      <c r="B359" s="303" t="s">
        <v>20</v>
      </c>
      <c r="C359" s="304">
        <f t="shared" si="5"/>
        <v>23869.65</v>
      </c>
      <c r="D359" s="281" cm="1">
        <f t="array" aca="1" ref="D359" ca="1">IF(Insumo[[#This Row],[VALOR]]=0,Insumo[TOTAL],E359/C359)</f>
        <v>0</v>
      </c>
      <c r="E359" s="69">
        <f ca="1">SUM(Insumo[[#This Row],[CAP1-3]:[CAP29]])</f>
        <v>0</v>
      </c>
      <c r="F359" s="69">
        <f ca="1">SUMIF('CAP1-3'!$B:$H,Insumo[[#This Row],[DESCRIPCION]],'CAP1-3'!$H:$H)</f>
        <v>0</v>
      </c>
      <c r="G359" s="69">
        <f ca="1">SUMIF('CAP4-5'!$B:$H,Insumo[[#This Row],[DESCRIPCION]],'CAP4-5'!$H:$H)</f>
        <v>0</v>
      </c>
      <c r="H359" s="69">
        <f ca="1">SUMIF('CAP6-7'!$B:$H,Insumo[[#This Row],[DESCRIPCION]],'CAP6-7'!$H:$H)</f>
        <v>0</v>
      </c>
      <c r="I359" s="69">
        <f ca="1">SUMIF('CAP8'!$B:$H,Insumo[[#This Row],[DESCRIPCION]],'CAP8'!$H:$H)</f>
        <v>0</v>
      </c>
      <c r="J359" s="69">
        <f ca="1">SUMIF('CAP9-13'!$B:$H,Insumo[[#This Row],[DESCRIPCION]],'CAP9-13'!$H:$H)</f>
        <v>0</v>
      </c>
      <c r="K359" s="69">
        <f ca="1">SUMIF('CAP14-15'!$B:$H,Insumo[[#This Row],[DESCRIPCION]],'CAP14-15'!$H:$H)</f>
        <v>0</v>
      </c>
      <c r="L359" s="69">
        <f ca="1">SUMIF('CAP16-18'!$B:$H,Insumo[[#This Row],[DESCRIPCION]],'CAP16-18'!$H:$H)</f>
        <v>0</v>
      </c>
      <c r="M359" s="69">
        <f ca="1">SUMIF('CAP19-22'!$B:$H,Insumo[[#This Row],[DESCRIPCION]],'CAP19-22'!$H:$H)</f>
        <v>0</v>
      </c>
      <c r="N359" s="69">
        <f ca="1">SUMIF('CAP23-24'!$B:$H,Insumo[[#This Row],[DESCRIPCION]],'CAP23-24'!$H:$H)</f>
        <v>0</v>
      </c>
      <c r="O359" s="69">
        <f ca="1">SUMIF('CAP25'!$B:$H,Insumo[[#This Row],[DESCRIPCION]],'CAP25'!$H:$H)</f>
        <v>0</v>
      </c>
      <c r="P359" s="69">
        <f ca="1">SUMIF('CAP26-28'!$B:$H,Insumo[[#This Row],[DESCRIPCION]],'CAP26-28'!$H:$H)</f>
        <v>0</v>
      </c>
      <c r="Q359" s="69">
        <f ca="1">SUMIF('CAP29'!$B:$H,Insumo[[#This Row],[DESCRIPCION]],'CAP29'!$H:$H)</f>
        <v>0</v>
      </c>
      <c r="R359" s="290"/>
      <c r="T359" s="136">
        <v>22733</v>
      </c>
    </row>
    <row r="360" spans="1:20" ht="12" customHeight="1">
      <c r="A360" s="301" t="s">
        <v>2972</v>
      </c>
      <c r="B360" s="303" t="s">
        <v>20</v>
      </c>
      <c r="C360" s="304">
        <f t="shared" si="5"/>
        <v>20459.25</v>
      </c>
      <c r="D360" s="281" cm="1">
        <f t="array" aca="1" ref="D360" ca="1">IF(Insumo[[#This Row],[VALOR]]=0,Insumo[TOTAL],E360/C360)</f>
        <v>0</v>
      </c>
      <c r="E360" s="69">
        <f ca="1">SUM(Insumo[[#This Row],[CAP1-3]:[CAP29]])</f>
        <v>0</v>
      </c>
      <c r="F360" s="69">
        <f ca="1">SUMIF('CAP1-3'!$B:$H,Insumo[[#This Row],[DESCRIPCION]],'CAP1-3'!$H:$H)</f>
        <v>0</v>
      </c>
      <c r="G360" s="69">
        <f ca="1">SUMIF('CAP4-5'!$B:$H,Insumo[[#This Row],[DESCRIPCION]],'CAP4-5'!$H:$H)</f>
        <v>0</v>
      </c>
      <c r="H360" s="69">
        <f ca="1">SUMIF('CAP6-7'!$B:$H,Insumo[[#This Row],[DESCRIPCION]],'CAP6-7'!$H:$H)</f>
        <v>0</v>
      </c>
      <c r="I360" s="69">
        <f ca="1">SUMIF('CAP8'!$B:$H,Insumo[[#This Row],[DESCRIPCION]],'CAP8'!$H:$H)</f>
        <v>0</v>
      </c>
      <c r="J360" s="69">
        <f ca="1">SUMIF('CAP9-13'!$B:$H,Insumo[[#This Row],[DESCRIPCION]],'CAP9-13'!$H:$H)</f>
        <v>0</v>
      </c>
      <c r="K360" s="69">
        <f ca="1">SUMIF('CAP14-15'!$B:$H,Insumo[[#This Row],[DESCRIPCION]],'CAP14-15'!$H:$H)</f>
        <v>0</v>
      </c>
      <c r="L360" s="69">
        <f ca="1">SUMIF('CAP16-18'!$B:$H,Insumo[[#This Row],[DESCRIPCION]],'CAP16-18'!$H:$H)</f>
        <v>0</v>
      </c>
      <c r="M360" s="69">
        <f ca="1">SUMIF('CAP19-22'!$B:$H,Insumo[[#This Row],[DESCRIPCION]],'CAP19-22'!$H:$H)</f>
        <v>0</v>
      </c>
      <c r="N360" s="69">
        <f ca="1">SUMIF('CAP23-24'!$B:$H,Insumo[[#This Row],[DESCRIPCION]],'CAP23-24'!$H:$H)</f>
        <v>0</v>
      </c>
      <c r="O360" s="69">
        <f ca="1">SUMIF('CAP25'!$B:$H,Insumo[[#This Row],[DESCRIPCION]],'CAP25'!$H:$H)</f>
        <v>0</v>
      </c>
      <c r="P360" s="69">
        <f ca="1">SUMIF('CAP26-28'!$B:$H,Insumo[[#This Row],[DESCRIPCION]],'CAP26-28'!$H:$H)</f>
        <v>0</v>
      </c>
      <c r="Q360" s="69">
        <f ca="1">SUMIF('CAP29'!$B:$H,Insumo[[#This Row],[DESCRIPCION]],'CAP29'!$H:$H)</f>
        <v>0</v>
      </c>
      <c r="R360" s="290"/>
      <c r="T360" s="136">
        <v>19485</v>
      </c>
    </row>
    <row r="361" spans="1:20" ht="12" customHeight="1">
      <c r="A361" s="301" t="s">
        <v>2973</v>
      </c>
      <c r="B361" s="303" t="s">
        <v>20</v>
      </c>
      <c r="C361" s="304">
        <f t="shared" si="5"/>
        <v>18186</v>
      </c>
      <c r="D361" s="281" cm="1">
        <f t="array" aca="1" ref="D361" ca="1">IF(Insumo[[#This Row],[VALOR]]=0,Insumo[TOTAL],E361/C361)</f>
        <v>0</v>
      </c>
      <c r="E361" s="69">
        <f ca="1">SUM(Insumo[[#This Row],[CAP1-3]:[CAP29]])</f>
        <v>0</v>
      </c>
      <c r="F361" s="69">
        <f ca="1">SUMIF('CAP1-3'!$B:$H,Insumo[[#This Row],[DESCRIPCION]],'CAP1-3'!$H:$H)</f>
        <v>0</v>
      </c>
      <c r="G361" s="69">
        <f ca="1">SUMIF('CAP4-5'!$B:$H,Insumo[[#This Row],[DESCRIPCION]],'CAP4-5'!$H:$H)</f>
        <v>0</v>
      </c>
      <c r="H361" s="69">
        <f ca="1">SUMIF('CAP6-7'!$B:$H,Insumo[[#This Row],[DESCRIPCION]],'CAP6-7'!$H:$H)</f>
        <v>0</v>
      </c>
      <c r="I361" s="69">
        <f ca="1">SUMIF('CAP8'!$B:$H,Insumo[[#This Row],[DESCRIPCION]],'CAP8'!$H:$H)</f>
        <v>0</v>
      </c>
      <c r="J361" s="69">
        <f ca="1">SUMIF('CAP9-13'!$B:$H,Insumo[[#This Row],[DESCRIPCION]],'CAP9-13'!$H:$H)</f>
        <v>0</v>
      </c>
      <c r="K361" s="69">
        <f ca="1">SUMIF('CAP14-15'!$B:$H,Insumo[[#This Row],[DESCRIPCION]],'CAP14-15'!$H:$H)</f>
        <v>0</v>
      </c>
      <c r="L361" s="69">
        <f ca="1">SUMIF('CAP16-18'!$B:$H,Insumo[[#This Row],[DESCRIPCION]],'CAP16-18'!$H:$H)</f>
        <v>0</v>
      </c>
      <c r="M361" s="69">
        <f ca="1">SUMIF('CAP19-22'!$B:$H,Insumo[[#This Row],[DESCRIPCION]],'CAP19-22'!$H:$H)</f>
        <v>0</v>
      </c>
      <c r="N361" s="69">
        <f ca="1">SUMIF('CAP23-24'!$B:$H,Insumo[[#This Row],[DESCRIPCION]],'CAP23-24'!$H:$H)</f>
        <v>0</v>
      </c>
      <c r="O361" s="69">
        <f ca="1">SUMIF('CAP25'!$B:$H,Insumo[[#This Row],[DESCRIPCION]],'CAP25'!$H:$H)</f>
        <v>0</v>
      </c>
      <c r="P361" s="69">
        <f ca="1">SUMIF('CAP26-28'!$B:$H,Insumo[[#This Row],[DESCRIPCION]],'CAP26-28'!$H:$H)</f>
        <v>0</v>
      </c>
      <c r="Q361" s="69">
        <f ca="1">SUMIF('CAP29'!$B:$H,Insumo[[#This Row],[DESCRIPCION]],'CAP29'!$H:$H)</f>
        <v>0</v>
      </c>
      <c r="R361" s="290"/>
      <c r="T361" s="136">
        <v>17320</v>
      </c>
    </row>
    <row r="362" spans="1:20" ht="12" customHeight="1">
      <c r="A362" s="301" t="s">
        <v>2974</v>
      </c>
      <c r="B362" s="303" t="s">
        <v>20</v>
      </c>
      <c r="C362" s="304">
        <f t="shared" si="5"/>
        <v>15912.75</v>
      </c>
      <c r="D362" s="281" cm="1">
        <f t="array" aca="1" ref="D362" ca="1">IF(Insumo[[#This Row],[VALOR]]=0,Insumo[TOTAL],E362/C362)</f>
        <v>0</v>
      </c>
      <c r="E362" s="69">
        <f ca="1">SUM(Insumo[[#This Row],[CAP1-3]:[CAP29]])</f>
        <v>0</v>
      </c>
      <c r="F362" s="69">
        <f ca="1">SUMIF('CAP1-3'!$B:$H,Insumo[[#This Row],[DESCRIPCION]],'CAP1-3'!$H:$H)</f>
        <v>0</v>
      </c>
      <c r="G362" s="69">
        <f ca="1">SUMIF('CAP4-5'!$B:$H,Insumo[[#This Row],[DESCRIPCION]],'CAP4-5'!$H:$H)</f>
        <v>0</v>
      </c>
      <c r="H362" s="69">
        <f ca="1">SUMIF('CAP6-7'!$B:$H,Insumo[[#This Row],[DESCRIPCION]],'CAP6-7'!$H:$H)</f>
        <v>0</v>
      </c>
      <c r="I362" s="69">
        <f ca="1">SUMIF('CAP8'!$B:$H,Insumo[[#This Row],[DESCRIPCION]],'CAP8'!$H:$H)</f>
        <v>0</v>
      </c>
      <c r="J362" s="69">
        <f ca="1">SUMIF('CAP9-13'!$B:$H,Insumo[[#This Row],[DESCRIPCION]],'CAP9-13'!$H:$H)</f>
        <v>0</v>
      </c>
      <c r="K362" s="69">
        <f ca="1">SUMIF('CAP14-15'!$B:$H,Insumo[[#This Row],[DESCRIPCION]],'CAP14-15'!$H:$H)</f>
        <v>0</v>
      </c>
      <c r="L362" s="69">
        <f ca="1">SUMIF('CAP16-18'!$B:$H,Insumo[[#This Row],[DESCRIPCION]],'CAP16-18'!$H:$H)</f>
        <v>0</v>
      </c>
      <c r="M362" s="69">
        <f ca="1">SUMIF('CAP19-22'!$B:$H,Insumo[[#This Row],[DESCRIPCION]],'CAP19-22'!$H:$H)</f>
        <v>0</v>
      </c>
      <c r="N362" s="69">
        <f ca="1">SUMIF('CAP23-24'!$B:$H,Insumo[[#This Row],[DESCRIPCION]],'CAP23-24'!$H:$H)</f>
        <v>0</v>
      </c>
      <c r="O362" s="69">
        <f ca="1">SUMIF('CAP25'!$B:$H,Insumo[[#This Row],[DESCRIPCION]],'CAP25'!$H:$H)</f>
        <v>0</v>
      </c>
      <c r="P362" s="69">
        <f ca="1">SUMIF('CAP26-28'!$B:$H,Insumo[[#This Row],[DESCRIPCION]],'CAP26-28'!$H:$H)</f>
        <v>0</v>
      </c>
      <c r="Q362" s="69">
        <f ca="1">SUMIF('CAP29'!$B:$H,Insumo[[#This Row],[DESCRIPCION]],'CAP29'!$H:$H)</f>
        <v>0</v>
      </c>
      <c r="R362" s="290"/>
      <c r="T362" s="136">
        <v>15155</v>
      </c>
    </row>
    <row r="363" spans="1:20" ht="12" customHeight="1">
      <c r="A363" s="301" t="s">
        <v>3814</v>
      </c>
      <c r="B363" s="303" t="s">
        <v>20</v>
      </c>
      <c r="C363" s="304">
        <f t="shared" si="5"/>
        <v>18375</v>
      </c>
      <c r="D363" s="281" cm="1">
        <f t="array" aca="1" ref="D363" ca="1">IF(Insumo[[#This Row],[VALOR]]=0,Insumo[TOTAL],E363/C363)</f>
        <v>0</v>
      </c>
      <c r="E363" s="69">
        <f ca="1">SUM(Insumo[[#This Row],[CAP1-3]:[CAP29]])</f>
        <v>0</v>
      </c>
      <c r="F363" s="69">
        <f ca="1">SUMIF('CAP1-3'!$B:$H,Insumo[[#This Row],[DESCRIPCION]],'CAP1-3'!$H:$H)</f>
        <v>0</v>
      </c>
      <c r="G363" s="69">
        <f ca="1">SUMIF('CAP4-5'!$B:$H,Insumo[[#This Row],[DESCRIPCION]],'CAP4-5'!$H:$H)</f>
        <v>0</v>
      </c>
      <c r="H363" s="69">
        <f ca="1">SUMIF('CAP6-7'!$B:$H,Insumo[[#This Row],[DESCRIPCION]],'CAP6-7'!$H:$H)</f>
        <v>0</v>
      </c>
      <c r="I363" s="69">
        <f ca="1">SUMIF('CAP8'!$B:$H,Insumo[[#This Row],[DESCRIPCION]],'CAP8'!$H:$H)</f>
        <v>0</v>
      </c>
      <c r="J363" s="69">
        <f ca="1">SUMIF('CAP9-13'!$B:$H,Insumo[[#This Row],[DESCRIPCION]],'CAP9-13'!$H:$H)</f>
        <v>0</v>
      </c>
      <c r="K363" s="69">
        <f ca="1">SUMIF('CAP14-15'!$B:$H,Insumo[[#This Row],[DESCRIPCION]],'CAP14-15'!$H:$H)</f>
        <v>0</v>
      </c>
      <c r="L363" s="69">
        <f ca="1">SUMIF('CAP16-18'!$B:$H,Insumo[[#This Row],[DESCRIPCION]],'CAP16-18'!$H:$H)</f>
        <v>0</v>
      </c>
      <c r="M363" s="69">
        <f ca="1">SUMIF('CAP19-22'!$B:$H,Insumo[[#This Row],[DESCRIPCION]],'CAP19-22'!$H:$H)</f>
        <v>0</v>
      </c>
      <c r="N363" s="69">
        <f ca="1">SUMIF('CAP23-24'!$B:$H,Insumo[[#This Row],[DESCRIPCION]],'CAP23-24'!$H:$H)</f>
        <v>0</v>
      </c>
      <c r="O363" s="69">
        <f ca="1">SUMIF('CAP25'!$B:$H,Insumo[[#This Row],[DESCRIPCION]],'CAP25'!$H:$H)</f>
        <v>0</v>
      </c>
      <c r="P363" s="69">
        <f ca="1">SUMIF('CAP26-28'!$B:$H,Insumo[[#This Row],[DESCRIPCION]],'CAP26-28'!$H:$H)</f>
        <v>0</v>
      </c>
      <c r="Q363" s="69">
        <f ca="1">SUMIF('CAP29'!$B:$H,Insumo[[#This Row],[DESCRIPCION]],'CAP29'!$H:$H)</f>
        <v>0</v>
      </c>
      <c r="R363" s="290"/>
      <c r="T363" s="136">
        <v>17500</v>
      </c>
    </row>
    <row r="364" spans="1:20" ht="12" customHeight="1">
      <c r="A364" s="301" t="s">
        <v>2975</v>
      </c>
      <c r="B364" s="303" t="s">
        <v>20</v>
      </c>
      <c r="C364" s="304">
        <f t="shared" si="5"/>
        <v>4189.5</v>
      </c>
      <c r="D364" s="281" cm="1">
        <f t="array" aca="1" ref="D364" ca="1">IF(Insumo[[#This Row],[VALOR]]=0,Insumo[TOTAL],E364/C364)</f>
        <v>0</v>
      </c>
      <c r="E364" s="69">
        <f ca="1">SUM(Insumo[[#This Row],[CAP1-3]:[CAP29]])</f>
        <v>0</v>
      </c>
      <c r="F364" s="69">
        <f ca="1">SUMIF('CAP1-3'!$B:$H,Insumo[[#This Row],[DESCRIPCION]],'CAP1-3'!$H:$H)</f>
        <v>0</v>
      </c>
      <c r="G364" s="69">
        <f ca="1">SUMIF('CAP4-5'!$B:$H,Insumo[[#This Row],[DESCRIPCION]],'CAP4-5'!$H:$H)</f>
        <v>0</v>
      </c>
      <c r="H364" s="69">
        <f ca="1">SUMIF('CAP6-7'!$B:$H,Insumo[[#This Row],[DESCRIPCION]],'CAP6-7'!$H:$H)</f>
        <v>0</v>
      </c>
      <c r="I364" s="69">
        <f ca="1">SUMIF('CAP8'!$B:$H,Insumo[[#This Row],[DESCRIPCION]],'CAP8'!$H:$H)</f>
        <v>0</v>
      </c>
      <c r="J364" s="69">
        <f ca="1">SUMIF('CAP9-13'!$B:$H,Insumo[[#This Row],[DESCRIPCION]],'CAP9-13'!$H:$H)</f>
        <v>0</v>
      </c>
      <c r="K364" s="69">
        <f ca="1">SUMIF('CAP14-15'!$B:$H,Insumo[[#This Row],[DESCRIPCION]],'CAP14-15'!$H:$H)</f>
        <v>0</v>
      </c>
      <c r="L364" s="69">
        <f ca="1">SUMIF('CAP16-18'!$B:$H,Insumo[[#This Row],[DESCRIPCION]],'CAP16-18'!$H:$H)</f>
        <v>0</v>
      </c>
      <c r="M364" s="69">
        <f ca="1">SUMIF('CAP19-22'!$B:$H,Insumo[[#This Row],[DESCRIPCION]],'CAP19-22'!$H:$H)</f>
        <v>0</v>
      </c>
      <c r="N364" s="69">
        <f ca="1">SUMIF('CAP23-24'!$B:$H,Insumo[[#This Row],[DESCRIPCION]],'CAP23-24'!$H:$H)</f>
        <v>0</v>
      </c>
      <c r="O364" s="69">
        <f ca="1">SUMIF('CAP25'!$B:$H,Insumo[[#This Row],[DESCRIPCION]],'CAP25'!$H:$H)</f>
        <v>0</v>
      </c>
      <c r="P364" s="69">
        <f ca="1">SUMIF('CAP26-28'!$B:$H,Insumo[[#This Row],[DESCRIPCION]],'CAP26-28'!$H:$H)</f>
        <v>0</v>
      </c>
      <c r="Q364" s="69">
        <f ca="1">SUMIF('CAP29'!$B:$H,Insumo[[#This Row],[DESCRIPCION]],'CAP29'!$H:$H)</f>
        <v>0</v>
      </c>
      <c r="R364" s="290" t="s">
        <v>2774</v>
      </c>
      <c r="T364" s="136">
        <v>3990</v>
      </c>
    </row>
    <row r="365" spans="1:20" ht="12" customHeight="1">
      <c r="A365" s="301" t="s">
        <v>2976</v>
      </c>
      <c r="B365" s="303" t="s">
        <v>20</v>
      </c>
      <c r="C365" s="304">
        <f t="shared" si="5"/>
        <v>8784.3000000000011</v>
      </c>
      <c r="D365" s="281" cm="1">
        <f t="array" aca="1" ref="D365" ca="1">IF(Insumo[[#This Row],[VALOR]]=0,Insumo[TOTAL],E365/C365)</f>
        <v>0</v>
      </c>
      <c r="E365" s="69">
        <f ca="1">SUM(Insumo[[#This Row],[CAP1-3]:[CAP29]])</f>
        <v>0</v>
      </c>
      <c r="F365" s="69">
        <f ca="1">SUMIF('CAP1-3'!$B:$H,Insumo[[#This Row],[DESCRIPCION]],'CAP1-3'!$H:$H)</f>
        <v>0</v>
      </c>
      <c r="G365" s="69">
        <f ca="1">SUMIF('CAP4-5'!$B:$H,Insumo[[#This Row],[DESCRIPCION]],'CAP4-5'!$H:$H)</f>
        <v>0</v>
      </c>
      <c r="H365" s="69">
        <f ca="1">SUMIF('CAP6-7'!$B:$H,Insumo[[#This Row],[DESCRIPCION]],'CAP6-7'!$H:$H)</f>
        <v>0</v>
      </c>
      <c r="I365" s="69">
        <f ca="1">SUMIF('CAP8'!$B:$H,Insumo[[#This Row],[DESCRIPCION]],'CAP8'!$H:$H)</f>
        <v>0</v>
      </c>
      <c r="J365" s="69">
        <f ca="1">SUMIF('CAP9-13'!$B:$H,Insumo[[#This Row],[DESCRIPCION]],'CAP9-13'!$H:$H)</f>
        <v>0</v>
      </c>
      <c r="K365" s="69">
        <f ca="1">SUMIF('CAP14-15'!$B:$H,Insumo[[#This Row],[DESCRIPCION]],'CAP14-15'!$H:$H)</f>
        <v>0</v>
      </c>
      <c r="L365" s="69">
        <f ca="1">SUMIF('CAP16-18'!$B:$H,Insumo[[#This Row],[DESCRIPCION]],'CAP16-18'!$H:$H)</f>
        <v>0</v>
      </c>
      <c r="M365" s="69">
        <f ca="1">SUMIF('CAP19-22'!$B:$H,Insumo[[#This Row],[DESCRIPCION]],'CAP19-22'!$H:$H)</f>
        <v>0</v>
      </c>
      <c r="N365" s="69">
        <f ca="1">SUMIF('CAP23-24'!$B:$H,Insumo[[#This Row],[DESCRIPCION]],'CAP23-24'!$H:$H)</f>
        <v>0</v>
      </c>
      <c r="O365" s="69">
        <f ca="1">SUMIF('CAP25'!$B:$H,Insumo[[#This Row],[DESCRIPCION]],'CAP25'!$H:$H)</f>
        <v>0</v>
      </c>
      <c r="P365" s="69">
        <f ca="1">SUMIF('CAP26-28'!$B:$H,Insumo[[#This Row],[DESCRIPCION]],'CAP26-28'!$H:$H)</f>
        <v>0</v>
      </c>
      <c r="Q365" s="69">
        <f ca="1">SUMIF('CAP29'!$B:$H,Insumo[[#This Row],[DESCRIPCION]],'CAP29'!$H:$H)</f>
        <v>0</v>
      </c>
      <c r="R365" s="290" t="s">
        <v>2774</v>
      </c>
      <c r="T365" s="136">
        <v>8366</v>
      </c>
    </row>
    <row r="366" spans="1:20" ht="12" customHeight="1">
      <c r="A366" s="301" t="s">
        <v>2977</v>
      </c>
      <c r="B366" s="303" t="s">
        <v>338</v>
      </c>
      <c r="C366" s="304">
        <f t="shared" si="5"/>
        <v>1779.75</v>
      </c>
      <c r="D366" s="281" cm="1">
        <f t="array" aca="1" ref="D366" ca="1">IF(Insumo[[#This Row],[VALOR]]=0,Insumo[TOTAL],E366/C366)</f>
        <v>0</v>
      </c>
      <c r="E366" s="69">
        <f ca="1">SUM(Insumo[[#This Row],[CAP1-3]:[CAP29]])</f>
        <v>0</v>
      </c>
      <c r="F366" s="69">
        <f ca="1">SUMIF('CAP1-3'!$B:$H,Insumo[[#This Row],[DESCRIPCION]],'CAP1-3'!$H:$H)</f>
        <v>0</v>
      </c>
      <c r="G366" s="69">
        <f ca="1">SUMIF('CAP4-5'!$B:$H,Insumo[[#This Row],[DESCRIPCION]],'CAP4-5'!$H:$H)</f>
        <v>0</v>
      </c>
      <c r="H366" s="69">
        <f ca="1">SUMIF('CAP6-7'!$B:$H,Insumo[[#This Row],[DESCRIPCION]],'CAP6-7'!$H:$H)</f>
        <v>0</v>
      </c>
      <c r="I366" s="69">
        <f ca="1">SUMIF('CAP8'!$B:$H,Insumo[[#This Row],[DESCRIPCION]],'CAP8'!$H:$H)</f>
        <v>0</v>
      </c>
      <c r="J366" s="69">
        <f ca="1">SUMIF('CAP9-13'!$B:$H,Insumo[[#This Row],[DESCRIPCION]],'CAP9-13'!$H:$H)</f>
        <v>0</v>
      </c>
      <c r="K366" s="69">
        <f ca="1">SUMIF('CAP14-15'!$B:$H,Insumo[[#This Row],[DESCRIPCION]],'CAP14-15'!$H:$H)</f>
        <v>0</v>
      </c>
      <c r="L366" s="69">
        <f ca="1">SUMIF('CAP16-18'!$B:$H,Insumo[[#This Row],[DESCRIPCION]],'CAP16-18'!$H:$H)</f>
        <v>0</v>
      </c>
      <c r="M366" s="69">
        <f ca="1">SUMIF('CAP19-22'!$B:$H,Insumo[[#This Row],[DESCRIPCION]],'CAP19-22'!$H:$H)</f>
        <v>0</v>
      </c>
      <c r="N366" s="69">
        <f ca="1">SUMIF('CAP23-24'!$B:$H,Insumo[[#This Row],[DESCRIPCION]],'CAP23-24'!$H:$H)</f>
        <v>0</v>
      </c>
      <c r="O366" s="69">
        <f ca="1">SUMIF('CAP25'!$B:$H,Insumo[[#This Row],[DESCRIPCION]],'CAP25'!$H:$H)</f>
        <v>0</v>
      </c>
      <c r="P366" s="69">
        <f ca="1">SUMIF('CAP26-28'!$B:$H,Insumo[[#This Row],[DESCRIPCION]],'CAP26-28'!$H:$H)</f>
        <v>0</v>
      </c>
      <c r="Q366" s="69">
        <f ca="1">SUMIF('CAP29'!$B:$H,Insumo[[#This Row],[DESCRIPCION]],'CAP29'!$H:$H)</f>
        <v>0</v>
      </c>
      <c r="R366" s="290"/>
      <c r="T366" s="136">
        <v>1695</v>
      </c>
    </row>
    <row r="367" spans="1:20" ht="12" customHeight="1">
      <c r="A367" s="301" t="s">
        <v>2978</v>
      </c>
      <c r="B367" s="303" t="s">
        <v>2749</v>
      </c>
      <c r="C367" s="304">
        <f t="shared" si="5"/>
        <v>144351.9</v>
      </c>
      <c r="D367" s="281" cm="1">
        <f t="array" aca="1" ref="D367" ca="1">IF(Insumo[[#This Row],[VALOR]]=0,Insumo[TOTAL],E367/C367)</f>
        <v>0</v>
      </c>
      <c r="E367" s="69">
        <f ca="1">SUM(Insumo[[#This Row],[CAP1-3]:[CAP29]])</f>
        <v>0</v>
      </c>
      <c r="F367" s="69">
        <f ca="1">SUMIF('CAP1-3'!$B:$H,Insumo[[#This Row],[DESCRIPCION]],'CAP1-3'!$H:$H)</f>
        <v>0</v>
      </c>
      <c r="G367" s="69">
        <f ca="1">SUMIF('CAP4-5'!$B:$H,Insumo[[#This Row],[DESCRIPCION]],'CAP4-5'!$H:$H)</f>
        <v>0</v>
      </c>
      <c r="H367" s="69">
        <f ca="1">SUMIF('CAP6-7'!$B:$H,Insumo[[#This Row],[DESCRIPCION]],'CAP6-7'!$H:$H)</f>
        <v>0</v>
      </c>
      <c r="I367" s="69">
        <f ca="1">SUMIF('CAP8'!$B:$H,Insumo[[#This Row],[DESCRIPCION]],'CAP8'!$H:$H)</f>
        <v>0</v>
      </c>
      <c r="J367" s="69">
        <f ca="1">SUMIF('CAP9-13'!$B:$H,Insumo[[#This Row],[DESCRIPCION]],'CAP9-13'!$H:$H)</f>
        <v>0</v>
      </c>
      <c r="K367" s="69">
        <f ca="1">SUMIF('CAP14-15'!$B:$H,Insumo[[#This Row],[DESCRIPCION]],'CAP14-15'!$H:$H)</f>
        <v>0</v>
      </c>
      <c r="L367" s="69">
        <f ca="1">SUMIF('CAP16-18'!$B:$H,Insumo[[#This Row],[DESCRIPCION]],'CAP16-18'!$H:$H)</f>
        <v>0</v>
      </c>
      <c r="M367" s="69">
        <f ca="1">SUMIF('CAP19-22'!$B:$H,Insumo[[#This Row],[DESCRIPCION]],'CAP19-22'!$H:$H)</f>
        <v>0</v>
      </c>
      <c r="N367" s="69">
        <f ca="1">SUMIF('CAP23-24'!$B:$H,Insumo[[#This Row],[DESCRIPCION]],'CAP23-24'!$H:$H)</f>
        <v>0</v>
      </c>
      <c r="O367" s="69">
        <f ca="1">SUMIF('CAP25'!$B:$H,Insumo[[#This Row],[DESCRIPCION]],'CAP25'!$H:$H)</f>
        <v>0</v>
      </c>
      <c r="P367" s="69">
        <f ca="1">SUMIF('CAP26-28'!$B:$H,Insumo[[#This Row],[DESCRIPCION]],'CAP26-28'!$H:$H)</f>
        <v>0</v>
      </c>
      <c r="Q367" s="69">
        <f ca="1">SUMIF('CAP29'!$B:$H,Insumo[[#This Row],[DESCRIPCION]],'CAP29'!$H:$H)</f>
        <v>0</v>
      </c>
      <c r="R367" s="290"/>
      <c r="T367" s="136">
        <v>137478</v>
      </c>
    </row>
    <row r="368" spans="1:20" ht="12" customHeight="1">
      <c r="A368" s="301" t="s">
        <v>2979</v>
      </c>
      <c r="B368" s="303" t="s">
        <v>23</v>
      </c>
      <c r="C368" s="304">
        <f t="shared" si="5"/>
        <v>39667.950000000004</v>
      </c>
      <c r="D368" s="281" cm="1">
        <f t="array" aca="1" ref="D368" ca="1">IF(Insumo[[#This Row],[VALOR]]=0,Insumo[TOTAL],E368/C368)</f>
        <v>0</v>
      </c>
      <c r="E368" s="69">
        <f ca="1">SUM(Insumo[[#This Row],[CAP1-3]:[CAP29]])</f>
        <v>0</v>
      </c>
      <c r="F368" s="69">
        <f ca="1">SUMIF('CAP1-3'!$B:$H,Insumo[[#This Row],[DESCRIPCION]],'CAP1-3'!$H:$H)</f>
        <v>0</v>
      </c>
      <c r="G368" s="69">
        <f ca="1">SUMIF('CAP4-5'!$B:$H,Insumo[[#This Row],[DESCRIPCION]],'CAP4-5'!$H:$H)</f>
        <v>0</v>
      </c>
      <c r="H368" s="69">
        <f ca="1">SUMIF('CAP6-7'!$B:$H,Insumo[[#This Row],[DESCRIPCION]],'CAP6-7'!$H:$H)</f>
        <v>0</v>
      </c>
      <c r="I368" s="69">
        <f ca="1">SUMIF('CAP8'!$B:$H,Insumo[[#This Row],[DESCRIPCION]],'CAP8'!$H:$H)</f>
        <v>0</v>
      </c>
      <c r="J368" s="69">
        <f ca="1">SUMIF('CAP9-13'!$B:$H,Insumo[[#This Row],[DESCRIPCION]],'CAP9-13'!$H:$H)</f>
        <v>0</v>
      </c>
      <c r="K368" s="69">
        <f ca="1">SUMIF('CAP14-15'!$B:$H,Insumo[[#This Row],[DESCRIPCION]],'CAP14-15'!$H:$H)</f>
        <v>0</v>
      </c>
      <c r="L368" s="69">
        <f ca="1">SUMIF('CAP16-18'!$B:$H,Insumo[[#This Row],[DESCRIPCION]],'CAP16-18'!$H:$H)</f>
        <v>0</v>
      </c>
      <c r="M368" s="69">
        <f ca="1">SUMIF('CAP19-22'!$B:$H,Insumo[[#This Row],[DESCRIPCION]],'CAP19-22'!$H:$H)</f>
        <v>0</v>
      </c>
      <c r="N368" s="69">
        <f ca="1">SUMIF('CAP23-24'!$B:$H,Insumo[[#This Row],[DESCRIPCION]],'CAP23-24'!$H:$H)</f>
        <v>0</v>
      </c>
      <c r="O368" s="69">
        <f ca="1">SUMIF('CAP25'!$B:$H,Insumo[[#This Row],[DESCRIPCION]],'CAP25'!$H:$H)</f>
        <v>0</v>
      </c>
      <c r="P368" s="69">
        <f ca="1">SUMIF('CAP26-28'!$B:$H,Insumo[[#This Row],[DESCRIPCION]],'CAP26-28'!$H:$H)</f>
        <v>0</v>
      </c>
      <c r="Q368" s="69">
        <f ca="1">SUMIF('CAP29'!$B:$H,Insumo[[#This Row],[DESCRIPCION]],'CAP29'!$H:$H)</f>
        <v>0</v>
      </c>
      <c r="R368" s="290"/>
      <c r="T368" s="136">
        <v>37779</v>
      </c>
    </row>
    <row r="369" spans="1:20" ht="12" customHeight="1">
      <c r="A369" s="301" t="s">
        <v>2980</v>
      </c>
      <c r="B369" s="303" t="s">
        <v>23</v>
      </c>
      <c r="C369" s="304">
        <f t="shared" si="5"/>
        <v>231</v>
      </c>
      <c r="D369" s="281" cm="1">
        <f t="array" aca="1" ref="D369" ca="1">IF(Insumo[[#This Row],[VALOR]]=0,Insumo[TOTAL],E369/C369)</f>
        <v>0</v>
      </c>
      <c r="E369" s="69">
        <f ca="1">SUM(Insumo[[#This Row],[CAP1-3]:[CAP29]])</f>
        <v>0</v>
      </c>
      <c r="F369" s="69">
        <f ca="1">SUMIF('CAP1-3'!$B:$H,Insumo[[#This Row],[DESCRIPCION]],'CAP1-3'!$H:$H)</f>
        <v>0</v>
      </c>
      <c r="G369" s="69">
        <f ca="1">SUMIF('CAP4-5'!$B:$H,Insumo[[#This Row],[DESCRIPCION]],'CAP4-5'!$H:$H)</f>
        <v>0</v>
      </c>
      <c r="H369" s="69">
        <f ca="1">SUMIF('CAP6-7'!$B:$H,Insumo[[#This Row],[DESCRIPCION]],'CAP6-7'!$H:$H)</f>
        <v>0</v>
      </c>
      <c r="I369" s="69">
        <f ca="1">SUMIF('CAP8'!$B:$H,Insumo[[#This Row],[DESCRIPCION]],'CAP8'!$H:$H)</f>
        <v>0</v>
      </c>
      <c r="J369" s="69">
        <f ca="1">SUMIF('CAP9-13'!$B:$H,Insumo[[#This Row],[DESCRIPCION]],'CAP9-13'!$H:$H)</f>
        <v>0</v>
      </c>
      <c r="K369" s="69">
        <f ca="1">SUMIF('CAP14-15'!$B:$H,Insumo[[#This Row],[DESCRIPCION]],'CAP14-15'!$H:$H)</f>
        <v>0</v>
      </c>
      <c r="L369" s="69">
        <f ca="1">SUMIF('CAP16-18'!$B:$H,Insumo[[#This Row],[DESCRIPCION]],'CAP16-18'!$H:$H)</f>
        <v>0</v>
      </c>
      <c r="M369" s="69">
        <f ca="1">SUMIF('CAP19-22'!$B:$H,Insumo[[#This Row],[DESCRIPCION]],'CAP19-22'!$H:$H)</f>
        <v>0</v>
      </c>
      <c r="N369" s="69">
        <f ca="1">SUMIF('CAP23-24'!$B:$H,Insumo[[#This Row],[DESCRIPCION]],'CAP23-24'!$H:$H)</f>
        <v>0</v>
      </c>
      <c r="O369" s="69">
        <f ca="1">SUMIF('CAP25'!$B:$H,Insumo[[#This Row],[DESCRIPCION]],'CAP25'!$H:$H)</f>
        <v>0</v>
      </c>
      <c r="P369" s="69">
        <f ca="1">SUMIF('CAP26-28'!$B:$H,Insumo[[#This Row],[DESCRIPCION]],'CAP26-28'!$H:$H)</f>
        <v>0</v>
      </c>
      <c r="Q369" s="69">
        <f ca="1">SUMIF('CAP29'!$B:$H,Insumo[[#This Row],[DESCRIPCION]],'CAP29'!$H:$H)</f>
        <v>0</v>
      </c>
      <c r="R369" s="290"/>
      <c r="T369" s="136">
        <v>220</v>
      </c>
    </row>
    <row r="370" spans="1:20" ht="12" customHeight="1">
      <c r="A370" s="301" t="s">
        <v>2981</v>
      </c>
      <c r="B370" s="303" t="s">
        <v>23</v>
      </c>
      <c r="C370" s="304">
        <f t="shared" si="5"/>
        <v>3921.75</v>
      </c>
      <c r="D370" s="281" cm="1">
        <f t="array" aca="1" ref="D370" ca="1">IF(Insumo[[#This Row],[VALOR]]=0,Insumo[TOTAL],E370/C370)</f>
        <v>0</v>
      </c>
      <c r="E370" s="69">
        <f ca="1">SUM(Insumo[[#This Row],[CAP1-3]:[CAP29]])</f>
        <v>0</v>
      </c>
      <c r="F370" s="69">
        <f ca="1">SUMIF('CAP1-3'!$B:$H,Insumo[[#This Row],[DESCRIPCION]],'CAP1-3'!$H:$H)</f>
        <v>0</v>
      </c>
      <c r="G370" s="69">
        <f ca="1">SUMIF('CAP4-5'!$B:$H,Insumo[[#This Row],[DESCRIPCION]],'CAP4-5'!$H:$H)</f>
        <v>0</v>
      </c>
      <c r="H370" s="69">
        <f ca="1">SUMIF('CAP6-7'!$B:$H,Insumo[[#This Row],[DESCRIPCION]],'CAP6-7'!$H:$H)</f>
        <v>0</v>
      </c>
      <c r="I370" s="69">
        <f ca="1">SUMIF('CAP8'!$B:$H,Insumo[[#This Row],[DESCRIPCION]],'CAP8'!$H:$H)</f>
        <v>0</v>
      </c>
      <c r="J370" s="69">
        <f ca="1">SUMIF('CAP9-13'!$B:$H,Insumo[[#This Row],[DESCRIPCION]],'CAP9-13'!$H:$H)</f>
        <v>0</v>
      </c>
      <c r="K370" s="69">
        <f ca="1">SUMIF('CAP14-15'!$B:$H,Insumo[[#This Row],[DESCRIPCION]],'CAP14-15'!$H:$H)</f>
        <v>0</v>
      </c>
      <c r="L370" s="69">
        <f ca="1">SUMIF('CAP16-18'!$B:$H,Insumo[[#This Row],[DESCRIPCION]],'CAP16-18'!$H:$H)</f>
        <v>0</v>
      </c>
      <c r="M370" s="69">
        <f ca="1">SUMIF('CAP19-22'!$B:$H,Insumo[[#This Row],[DESCRIPCION]],'CAP19-22'!$H:$H)</f>
        <v>0</v>
      </c>
      <c r="N370" s="69">
        <f ca="1">SUMIF('CAP23-24'!$B:$H,Insumo[[#This Row],[DESCRIPCION]],'CAP23-24'!$H:$H)</f>
        <v>0</v>
      </c>
      <c r="O370" s="69">
        <f ca="1">SUMIF('CAP25'!$B:$H,Insumo[[#This Row],[DESCRIPCION]],'CAP25'!$H:$H)</f>
        <v>0</v>
      </c>
      <c r="P370" s="69">
        <f ca="1">SUMIF('CAP26-28'!$B:$H,Insumo[[#This Row],[DESCRIPCION]],'CAP26-28'!$H:$H)</f>
        <v>0</v>
      </c>
      <c r="Q370" s="69">
        <f ca="1">SUMIF('CAP29'!$B:$H,Insumo[[#This Row],[DESCRIPCION]],'CAP29'!$H:$H)</f>
        <v>0</v>
      </c>
      <c r="R370" s="290"/>
      <c r="T370" s="136">
        <v>3735</v>
      </c>
    </row>
    <row r="371" spans="1:20" ht="12" customHeight="1">
      <c r="A371" s="301" t="s">
        <v>2982</v>
      </c>
      <c r="B371" s="303" t="s">
        <v>338</v>
      </c>
      <c r="C371" s="304">
        <f t="shared" si="5"/>
        <v>12042.45</v>
      </c>
      <c r="D371" s="281" cm="1">
        <f t="array" aca="1" ref="D371" ca="1">IF(Insumo[[#This Row],[VALOR]]=0,Insumo[TOTAL],E371/C371)</f>
        <v>0</v>
      </c>
      <c r="E371" s="69">
        <f ca="1">SUM(Insumo[[#This Row],[CAP1-3]:[CAP29]])</f>
        <v>0</v>
      </c>
      <c r="F371" s="69">
        <f ca="1">SUMIF('CAP1-3'!$B:$H,Insumo[[#This Row],[DESCRIPCION]],'CAP1-3'!$H:$H)</f>
        <v>0</v>
      </c>
      <c r="G371" s="69">
        <f ca="1">SUMIF('CAP4-5'!$B:$H,Insumo[[#This Row],[DESCRIPCION]],'CAP4-5'!$H:$H)</f>
        <v>0</v>
      </c>
      <c r="H371" s="69">
        <f ca="1">SUMIF('CAP6-7'!$B:$H,Insumo[[#This Row],[DESCRIPCION]],'CAP6-7'!$H:$H)</f>
        <v>0</v>
      </c>
      <c r="I371" s="69">
        <f ca="1">SUMIF('CAP8'!$B:$H,Insumo[[#This Row],[DESCRIPCION]],'CAP8'!$H:$H)</f>
        <v>0</v>
      </c>
      <c r="J371" s="69">
        <f ca="1">SUMIF('CAP9-13'!$B:$H,Insumo[[#This Row],[DESCRIPCION]],'CAP9-13'!$H:$H)</f>
        <v>0</v>
      </c>
      <c r="K371" s="69">
        <f ca="1">SUMIF('CAP14-15'!$B:$H,Insumo[[#This Row],[DESCRIPCION]],'CAP14-15'!$H:$H)</f>
        <v>0</v>
      </c>
      <c r="L371" s="69">
        <f ca="1">SUMIF('CAP16-18'!$B:$H,Insumo[[#This Row],[DESCRIPCION]],'CAP16-18'!$H:$H)</f>
        <v>0</v>
      </c>
      <c r="M371" s="69">
        <f ca="1">SUMIF('CAP19-22'!$B:$H,Insumo[[#This Row],[DESCRIPCION]],'CAP19-22'!$H:$H)</f>
        <v>0</v>
      </c>
      <c r="N371" s="69">
        <f ca="1">SUMIF('CAP23-24'!$B:$H,Insumo[[#This Row],[DESCRIPCION]],'CAP23-24'!$H:$H)</f>
        <v>0</v>
      </c>
      <c r="O371" s="69">
        <f ca="1">SUMIF('CAP25'!$B:$H,Insumo[[#This Row],[DESCRIPCION]],'CAP25'!$H:$H)</f>
        <v>0</v>
      </c>
      <c r="P371" s="69">
        <f ca="1">SUMIF('CAP26-28'!$B:$H,Insumo[[#This Row],[DESCRIPCION]],'CAP26-28'!$H:$H)</f>
        <v>0</v>
      </c>
      <c r="Q371" s="69">
        <f ca="1">SUMIF('CAP29'!$B:$H,Insumo[[#This Row],[DESCRIPCION]],'CAP29'!$H:$H)</f>
        <v>0</v>
      </c>
      <c r="R371" s="290"/>
      <c r="T371" s="136">
        <v>11469</v>
      </c>
    </row>
    <row r="372" spans="1:20" ht="12" customHeight="1">
      <c r="A372" s="301" t="s">
        <v>2983</v>
      </c>
      <c r="B372" s="303" t="s">
        <v>52</v>
      </c>
      <c r="C372" s="304">
        <f t="shared" si="5"/>
        <v>693341.25</v>
      </c>
      <c r="D372" s="281" cm="1">
        <f t="array" aca="1" ref="D372" ca="1">IF(Insumo[[#This Row],[VALOR]]=0,Insumo[TOTAL],E372/C372)</f>
        <v>0</v>
      </c>
      <c r="E372" s="69">
        <f ca="1">SUM(Insumo[[#This Row],[CAP1-3]:[CAP29]])</f>
        <v>0</v>
      </c>
      <c r="F372" s="69">
        <f ca="1">SUMIF('CAP1-3'!$B:$H,Insumo[[#This Row],[DESCRIPCION]],'CAP1-3'!$H:$H)</f>
        <v>0</v>
      </c>
      <c r="G372" s="69">
        <f ca="1">SUMIF('CAP4-5'!$B:$H,Insumo[[#This Row],[DESCRIPCION]],'CAP4-5'!$H:$H)</f>
        <v>0</v>
      </c>
      <c r="H372" s="69">
        <f ca="1">SUMIF('CAP6-7'!$B:$H,Insumo[[#This Row],[DESCRIPCION]],'CAP6-7'!$H:$H)</f>
        <v>0</v>
      </c>
      <c r="I372" s="69">
        <f ca="1">SUMIF('CAP8'!$B:$H,Insumo[[#This Row],[DESCRIPCION]],'CAP8'!$H:$H)</f>
        <v>0</v>
      </c>
      <c r="J372" s="69">
        <f ca="1">SUMIF('CAP9-13'!$B:$H,Insumo[[#This Row],[DESCRIPCION]],'CAP9-13'!$H:$H)</f>
        <v>0</v>
      </c>
      <c r="K372" s="69">
        <f ca="1">SUMIF('CAP14-15'!$B:$H,Insumo[[#This Row],[DESCRIPCION]],'CAP14-15'!$H:$H)</f>
        <v>0</v>
      </c>
      <c r="L372" s="69">
        <f ca="1">SUMIF('CAP16-18'!$B:$H,Insumo[[#This Row],[DESCRIPCION]],'CAP16-18'!$H:$H)</f>
        <v>0</v>
      </c>
      <c r="M372" s="69">
        <f ca="1">SUMIF('CAP19-22'!$B:$H,Insumo[[#This Row],[DESCRIPCION]],'CAP19-22'!$H:$H)</f>
        <v>0</v>
      </c>
      <c r="N372" s="69">
        <f ca="1">SUMIF('CAP23-24'!$B:$H,Insumo[[#This Row],[DESCRIPCION]],'CAP23-24'!$H:$H)</f>
        <v>0</v>
      </c>
      <c r="O372" s="69">
        <f ca="1">SUMIF('CAP25'!$B:$H,Insumo[[#This Row],[DESCRIPCION]],'CAP25'!$H:$H)</f>
        <v>0</v>
      </c>
      <c r="P372" s="69">
        <f ca="1">SUMIF('CAP26-28'!$B:$H,Insumo[[#This Row],[DESCRIPCION]],'CAP26-28'!$H:$H)</f>
        <v>0</v>
      </c>
      <c r="Q372" s="69">
        <f ca="1">SUMIF('CAP29'!$B:$H,Insumo[[#This Row],[DESCRIPCION]],'CAP29'!$H:$H)</f>
        <v>0</v>
      </c>
      <c r="R372" s="290"/>
      <c r="T372" s="136">
        <v>660325</v>
      </c>
    </row>
    <row r="373" spans="1:20" ht="12" customHeight="1">
      <c r="A373" s="301" t="s">
        <v>2984</v>
      </c>
      <c r="B373" s="303" t="s">
        <v>23</v>
      </c>
      <c r="C373" s="304">
        <f t="shared" si="5"/>
        <v>3515.4</v>
      </c>
      <c r="D373" s="281" cm="1">
        <f t="array" aca="1" ref="D373" ca="1">IF(Insumo[[#This Row],[VALOR]]=0,Insumo[TOTAL],E373/C373)</f>
        <v>0</v>
      </c>
      <c r="E373" s="69">
        <f ca="1">SUM(Insumo[[#This Row],[CAP1-3]:[CAP29]])</f>
        <v>0</v>
      </c>
      <c r="F373" s="69">
        <f ca="1">SUMIF('CAP1-3'!$B:$H,Insumo[[#This Row],[DESCRIPCION]],'CAP1-3'!$H:$H)</f>
        <v>0</v>
      </c>
      <c r="G373" s="69">
        <f ca="1">SUMIF('CAP4-5'!$B:$H,Insumo[[#This Row],[DESCRIPCION]],'CAP4-5'!$H:$H)</f>
        <v>0</v>
      </c>
      <c r="H373" s="69">
        <f ca="1">SUMIF('CAP6-7'!$B:$H,Insumo[[#This Row],[DESCRIPCION]],'CAP6-7'!$H:$H)</f>
        <v>0</v>
      </c>
      <c r="I373" s="69">
        <f ca="1">SUMIF('CAP8'!$B:$H,Insumo[[#This Row],[DESCRIPCION]],'CAP8'!$H:$H)</f>
        <v>0</v>
      </c>
      <c r="J373" s="69">
        <f ca="1">SUMIF('CAP9-13'!$B:$H,Insumo[[#This Row],[DESCRIPCION]],'CAP9-13'!$H:$H)</f>
        <v>0</v>
      </c>
      <c r="K373" s="69">
        <f ca="1">SUMIF('CAP14-15'!$B:$H,Insumo[[#This Row],[DESCRIPCION]],'CAP14-15'!$H:$H)</f>
        <v>0</v>
      </c>
      <c r="L373" s="69">
        <f ca="1">SUMIF('CAP16-18'!$B:$H,Insumo[[#This Row],[DESCRIPCION]],'CAP16-18'!$H:$H)</f>
        <v>0</v>
      </c>
      <c r="M373" s="69">
        <f ca="1">SUMIF('CAP19-22'!$B:$H,Insumo[[#This Row],[DESCRIPCION]],'CAP19-22'!$H:$H)</f>
        <v>0</v>
      </c>
      <c r="N373" s="69">
        <f ca="1">SUMIF('CAP23-24'!$B:$H,Insumo[[#This Row],[DESCRIPCION]],'CAP23-24'!$H:$H)</f>
        <v>0</v>
      </c>
      <c r="O373" s="69">
        <f ca="1">SUMIF('CAP25'!$B:$H,Insumo[[#This Row],[DESCRIPCION]],'CAP25'!$H:$H)</f>
        <v>0</v>
      </c>
      <c r="P373" s="69">
        <f ca="1">SUMIF('CAP26-28'!$B:$H,Insumo[[#This Row],[DESCRIPCION]],'CAP26-28'!$H:$H)</f>
        <v>0</v>
      </c>
      <c r="Q373" s="69">
        <f ca="1">SUMIF('CAP29'!$B:$H,Insumo[[#This Row],[DESCRIPCION]],'CAP29'!$H:$H)</f>
        <v>0</v>
      </c>
      <c r="R373" s="290"/>
      <c r="T373" s="136">
        <v>3348</v>
      </c>
    </row>
    <row r="374" spans="1:20" ht="12" customHeight="1">
      <c r="A374" s="301" t="s">
        <v>2985</v>
      </c>
      <c r="B374" s="303" t="s">
        <v>23</v>
      </c>
      <c r="C374" s="304">
        <f t="shared" si="5"/>
        <v>68084.100000000006</v>
      </c>
      <c r="D374" s="281" cm="1">
        <f t="array" aca="1" ref="D374" ca="1">IF(Insumo[[#This Row],[VALOR]]=0,Insumo[TOTAL],E374/C374)</f>
        <v>0</v>
      </c>
      <c r="E374" s="69">
        <f ca="1">SUM(Insumo[[#This Row],[CAP1-3]:[CAP29]])</f>
        <v>0</v>
      </c>
      <c r="F374" s="69">
        <f ca="1">SUMIF('CAP1-3'!$B:$H,Insumo[[#This Row],[DESCRIPCION]],'CAP1-3'!$H:$H)</f>
        <v>0</v>
      </c>
      <c r="G374" s="69">
        <f ca="1">SUMIF('CAP4-5'!$B:$H,Insumo[[#This Row],[DESCRIPCION]],'CAP4-5'!$H:$H)</f>
        <v>0</v>
      </c>
      <c r="H374" s="69">
        <f ca="1">SUMIF('CAP6-7'!$B:$H,Insumo[[#This Row],[DESCRIPCION]],'CAP6-7'!$H:$H)</f>
        <v>0</v>
      </c>
      <c r="I374" s="69">
        <f ca="1">SUMIF('CAP8'!$B:$H,Insumo[[#This Row],[DESCRIPCION]],'CAP8'!$H:$H)</f>
        <v>0</v>
      </c>
      <c r="J374" s="69">
        <f ca="1">SUMIF('CAP9-13'!$B:$H,Insumo[[#This Row],[DESCRIPCION]],'CAP9-13'!$H:$H)</f>
        <v>0</v>
      </c>
      <c r="K374" s="69">
        <f ca="1">SUMIF('CAP14-15'!$B:$H,Insumo[[#This Row],[DESCRIPCION]],'CAP14-15'!$H:$H)</f>
        <v>0</v>
      </c>
      <c r="L374" s="69">
        <f ca="1">SUMIF('CAP16-18'!$B:$H,Insumo[[#This Row],[DESCRIPCION]],'CAP16-18'!$H:$H)</f>
        <v>0</v>
      </c>
      <c r="M374" s="69">
        <f ca="1">SUMIF('CAP19-22'!$B:$H,Insumo[[#This Row],[DESCRIPCION]],'CAP19-22'!$H:$H)</f>
        <v>0</v>
      </c>
      <c r="N374" s="69">
        <f ca="1">SUMIF('CAP23-24'!$B:$H,Insumo[[#This Row],[DESCRIPCION]],'CAP23-24'!$H:$H)</f>
        <v>0</v>
      </c>
      <c r="O374" s="69">
        <f ca="1">SUMIF('CAP25'!$B:$H,Insumo[[#This Row],[DESCRIPCION]],'CAP25'!$H:$H)</f>
        <v>0</v>
      </c>
      <c r="P374" s="69">
        <f ca="1">SUMIF('CAP26-28'!$B:$H,Insumo[[#This Row],[DESCRIPCION]],'CAP26-28'!$H:$H)</f>
        <v>0</v>
      </c>
      <c r="Q374" s="69">
        <f ca="1">SUMIF('CAP29'!$B:$H,Insumo[[#This Row],[DESCRIPCION]],'CAP29'!$H:$H)</f>
        <v>0</v>
      </c>
      <c r="R374" s="290"/>
      <c r="T374" s="136">
        <v>64842</v>
      </c>
    </row>
    <row r="375" spans="1:20" ht="12" customHeight="1">
      <c r="A375" s="301" t="s">
        <v>2986</v>
      </c>
      <c r="B375" s="303" t="s">
        <v>23</v>
      </c>
      <c r="C375" s="304">
        <f t="shared" si="5"/>
        <v>257899.95</v>
      </c>
      <c r="D375" s="281" cm="1">
        <f t="array" aca="1" ref="D375" ca="1">IF(Insumo[[#This Row],[VALOR]]=0,Insumo[TOTAL],E375/C375)</f>
        <v>0</v>
      </c>
      <c r="E375" s="69">
        <f ca="1">SUM(Insumo[[#This Row],[CAP1-3]:[CAP29]])</f>
        <v>0</v>
      </c>
      <c r="F375" s="69">
        <f ca="1">SUMIF('CAP1-3'!$B:$H,Insumo[[#This Row],[DESCRIPCION]],'CAP1-3'!$H:$H)</f>
        <v>0</v>
      </c>
      <c r="G375" s="69">
        <f ca="1">SUMIF('CAP4-5'!$B:$H,Insumo[[#This Row],[DESCRIPCION]],'CAP4-5'!$H:$H)</f>
        <v>0</v>
      </c>
      <c r="H375" s="69">
        <f ca="1">SUMIF('CAP6-7'!$B:$H,Insumo[[#This Row],[DESCRIPCION]],'CAP6-7'!$H:$H)</f>
        <v>0</v>
      </c>
      <c r="I375" s="69">
        <f ca="1">SUMIF('CAP8'!$B:$H,Insumo[[#This Row],[DESCRIPCION]],'CAP8'!$H:$H)</f>
        <v>0</v>
      </c>
      <c r="J375" s="69">
        <f ca="1">SUMIF('CAP9-13'!$B:$H,Insumo[[#This Row],[DESCRIPCION]],'CAP9-13'!$H:$H)</f>
        <v>0</v>
      </c>
      <c r="K375" s="69">
        <f ca="1">SUMIF('CAP14-15'!$B:$H,Insumo[[#This Row],[DESCRIPCION]],'CAP14-15'!$H:$H)</f>
        <v>0</v>
      </c>
      <c r="L375" s="69">
        <f ca="1">SUMIF('CAP16-18'!$B:$H,Insumo[[#This Row],[DESCRIPCION]],'CAP16-18'!$H:$H)</f>
        <v>0</v>
      </c>
      <c r="M375" s="69">
        <f ca="1">SUMIF('CAP19-22'!$B:$H,Insumo[[#This Row],[DESCRIPCION]],'CAP19-22'!$H:$H)</f>
        <v>0</v>
      </c>
      <c r="N375" s="69">
        <f ca="1">SUMIF('CAP23-24'!$B:$H,Insumo[[#This Row],[DESCRIPCION]],'CAP23-24'!$H:$H)</f>
        <v>0</v>
      </c>
      <c r="O375" s="69">
        <f ca="1">SUMIF('CAP25'!$B:$H,Insumo[[#This Row],[DESCRIPCION]],'CAP25'!$H:$H)</f>
        <v>0</v>
      </c>
      <c r="P375" s="69">
        <f ca="1">SUMIF('CAP26-28'!$B:$H,Insumo[[#This Row],[DESCRIPCION]],'CAP26-28'!$H:$H)</f>
        <v>0</v>
      </c>
      <c r="Q375" s="69">
        <f ca="1">SUMIF('CAP29'!$B:$H,Insumo[[#This Row],[DESCRIPCION]],'CAP29'!$H:$H)</f>
        <v>0</v>
      </c>
      <c r="R375" s="290"/>
      <c r="T375" s="136">
        <v>245619</v>
      </c>
    </row>
    <row r="376" spans="1:20" ht="12" customHeight="1">
      <c r="A376" s="301" t="s">
        <v>2987</v>
      </c>
      <c r="B376" s="303" t="s">
        <v>23</v>
      </c>
      <c r="C376" s="304">
        <f t="shared" si="5"/>
        <v>257899.95</v>
      </c>
      <c r="D376" s="281" cm="1">
        <f t="array" aca="1" ref="D376" ca="1">IF(Insumo[[#This Row],[VALOR]]=0,Insumo[TOTAL],E376/C376)</f>
        <v>0</v>
      </c>
      <c r="E376" s="69">
        <f ca="1">SUM(Insumo[[#This Row],[CAP1-3]:[CAP29]])</f>
        <v>0</v>
      </c>
      <c r="F376" s="69">
        <f ca="1">SUMIF('CAP1-3'!$B:$H,Insumo[[#This Row],[DESCRIPCION]],'CAP1-3'!$H:$H)</f>
        <v>0</v>
      </c>
      <c r="G376" s="69">
        <f ca="1">SUMIF('CAP4-5'!$B:$H,Insumo[[#This Row],[DESCRIPCION]],'CAP4-5'!$H:$H)</f>
        <v>0</v>
      </c>
      <c r="H376" s="69">
        <f ca="1">SUMIF('CAP6-7'!$B:$H,Insumo[[#This Row],[DESCRIPCION]],'CAP6-7'!$H:$H)</f>
        <v>0</v>
      </c>
      <c r="I376" s="69">
        <f ca="1">SUMIF('CAP8'!$B:$H,Insumo[[#This Row],[DESCRIPCION]],'CAP8'!$H:$H)</f>
        <v>0</v>
      </c>
      <c r="J376" s="69">
        <f ca="1">SUMIF('CAP9-13'!$B:$H,Insumo[[#This Row],[DESCRIPCION]],'CAP9-13'!$H:$H)</f>
        <v>0</v>
      </c>
      <c r="K376" s="69">
        <f ca="1">SUMIF('CAP14-15'!$B:$H,Insumo[[#This Row],[DESCRIPCION]],'CAP14-15'!$H:$H)</f>
        <v>0</v>
      </c>
      <c r="L376" s="69">
        <f ca="1">SUMIF('CAP16-18'!$B:$H,Insumo[[#This Row],[DESCRIPCION]],'CAP16-18'!$H:$H)</f>
        <v>0</v>
      </c>
      <c r="M376" s="69">
        <f ca="1">SUMIF('CAP19-22'!$B:$H,Insumo[[#This Row],[DESCRIPCION]],'CAP19-22'!$H:$H)</f>
        <v>0</v>
      </c>
      <c r="N376" s="69">
        <f ca="1">SUMIF('CAP23-24'!$B:$H,Insumo[[#This Row],[DESCRIPCION]],'CAP23-24'!$H:$H)</f>
        <v>0</v>
      </c>
      <c r="O376" s="69">
        <f ca="1">SUMIF('CAP25'!$B:$H,Insumo[[#This Row],[DESCRIPCION]],'CAP25'!$H:$H)</f>
        <v>0</v>
      </c>
      <c r="P376" s="69">
        <f ca="1">SUMIF('CAP26-28'!$B:$H,Insumo[[#This Row],[DESCRIPCION]],'CAP26-28'!$H:$H)</f>
        <v>0</v>
      </c>
      <c r="Q376" s="69">
        <f ca="1">SUMIF('CAP29'!$B:$H,Insumo[[#This Row],[DESCRIPCION]],'CAP29'!$H:$H)</f>
        <v>0</v>
      </c>
      <c r="R376" s="290"/>
      <c r="T376" s="136">
        <v>245619</v>
      </c>
    </row>
    <row r="377" spans="1:20" ht="12" customHeight="1">
      <c r="A377" s="301" t="s">
        <v>2988</v>
      </c>
      <c r="B377" s="303" t="s">
        <v>23</v>
      </c>
      <c r="C377" s="304">
        <f t="shared" si="5"/>
        <v>73255.350000000006</v>
      </c>
      <c r="D377" s="281" cm="1">
        <f t="array" aca="1" ref="D377" ca="1">IF(Insumo[[#This Row],[VALOR]]=0,Insumo[TOTAL],E377/C377)</f>
        <v>0</v>
      </c>
      <c r="E377" s="69">
        <f ca="1">SUM(Insumo[[#This Row],[CAP1-3]:[CAP29]])</f>
        <v>0</v>
      </c>
      <c r="F377" s="69">
        <f ca="1">SUMIF('CAP1-3'!$B:$H,Insumo[[#This Row],[DESCRIPCION]],'CAP1-3'!$H:$H)</f>
        <v>0</v>
      </c>
      <c r="G377" s="69">
        <f ca="1">SUMIF('CAP4-5'!$B:$H,Insumo[[#This Row],[DESCRIPCION]],'CAP4-5'!$H:$H)</f>
        <v>0</v>
      </c>
      <c r="H377" s="69">
        <f ca="1">SUMIF('CAP6-7'!$B:$H,Insumo[[#This Row],[DESCRIPCION]],'CAP6-7'!$H:$H)</f>
        <v>0</v>
      </c>
      <c r="I377" s="69">
        <f ca="1">SUMIF('CAP8'!$B:$H,Insumo[[#This Row],[DESCRIPCION]],'CAP8'!$H:$H)</f>
        <v>0</v>
      </c>
      <c r="J377" s="69">
        <f ca="1">SUMIF('CAP9-13'!$B:$H,Insumo[[#This Row],[DESCRIPCION]],'CAP9-13'!$H:$H)</f>
        <v>0</v>
      </c>
      <c r="K377" s="69">
        <f ca="1">SUMIF('CAP14-15'!$B:$H,Insumo[[#This Row],[DESCRIPCION]],'CAP14-15'!$H:$H)</f>
        <v>0</v>
      </c>
      <c r="L377" s="69">
        <f ca="1">SUMIF('CAP16-18'!$B:$H,Insumo[[#This Row],[DESCRIPCION]],'CAP16-18'!$H:$H)</f>
        <v>0</v>
      </c>
      <c r="M377" s="69">
        <f ca="1">SUMIF('CAP19-22'!$B:$H,Insumo[[#This Row],[DESCRIPCION]],'CAP19-22'!$H:$H)</f>
        <v>0</v>
      </c>
      <c r="N377" s="69">
        <f ca="1">SUMIF('CAP23-24'!$B:$H,Insumo[[#This Row],[DESCRIPCION]],'CAP23-24'!$H:$H)</f>
        <v>0</v>
      </c>
      <c r="O377" s="69">
        <f ca="1">SUMIF('CAP25'!$B:$H,Insumo[[#This Row],[DESCRIPCION]],'CAP25'!$H:$H)</f>
        <v>0</v>
      </c>
      <c r="P377" s="69">
        <f ca="1">SUMIF('CAP26-28'!$B:$H,Insumo[[#This Row],[DESCRIPCION]],'CAP26-28'!$H:$H)</f>
        <v>0</v>
      </c>
      <c r="Q377" s="69">
        <f ca="1">SUMIF('CAP29'!$B:$H,Insumo[[#This Row],[DESCRIPCION]],'CAP29'!$H:$H)</f>
        <v>0</v>
      </c>
      <c r="R377" s="290"/>
      <c r="T377" s="136">
        <v>69767</v>
      </c>
    </row>
    <row r="378" spans="1:20" ht="12" customHeight="1">
      <c r="A378" s="301" t="s">
        <v>2989</v>
      </c>
      <c r="B378" s="303" t="s">
        <v>23</v>
      </c>
      <c r="C378" s="304">
        <f t="shared" si="5"/>
        <v>2841.3</v>
      </c>
      <c r="D378" s="281" cm="1">
        <f t="array" aca="1" ref="D378" ca="1">IF(Insumo[[#This Row],[VALOR]]=0,Insumo[TOTAL],E378/C378)</f>
        <v>0</v>
      </c>
      <c r="E378" s="69">
        <f ca="1">SUM(Insumo[[#This Row],[CAP1-3]:[CAP29]])</f>
        <v>0</v>
      </c>
      <c r="F378" s="69">
        <f ca="1">SUMIF('CAP1-3'!$B:$H,Insumo[[#This Row],[DESCRIPCION]],'CAP1-3'!$H:$H)</f>
        <v>0</v>
      </c>
      <c r="G378" s="69">
        <f ca="1">SUMIF('CAP4-5'!$B:$H,Insumo[[#This Row],[DESCRIPCION]],'CAP4-5'!$H:$H)</f>
        <v>0</v>
      </c>
      <c r="H378" s="69">
        <f ca="1">SUMIF('CAP6-7'!$B:$H,Insumo[[#This Row],[DESCRIPCION]],'CAP6-7'!$H:$H)</f>
        <v>0</v>
      </c>
      <c r="I378" s="69">
        <f ca="1">SUMIF('CAP8'!$B:$H,Insumo[[#This Row],[DESCRIPCION]],'CAP8'!$H:$H)</f>
        <v>0</v>
      </c>
      <c r="J378" s="69">
        <f ca="1">SUMIF('CAP9-13'!$B:$H,Insumo[[#This Row],[DESCRIPCION]],'CAP9-13'!$H:$H)</f>
        <v>0</v>
      </c>
      <c r="K378" s="69">
        <f ca="1">SUMIF('CAP14-15'!$B:$H,Insumo[[#This Row],[DESCRIPCION]],'CAP14-15'!$H:$H)</f>
        <v>0</v>
      </c>
      <c r="L378" s="69">
        <f ca="1">SUMIF('CAP16-18'!$B:$H,Insumo[[#This Row],[DESCRIPCION]],'CAP16-18'!$H:$H)</f>
        <v>0</v>
      </c>
      <c r="M378" s="69">
        <f ca="1">SUMIF('CAP19-22'!$B:$H,Insumo[[#This Row],[DESCRIPCION]],'CAP19-22'!$H:$H)</f>
        <v>0</v>
      </c>
      <c r="N378" s="69">
        <f ca="1">SUMIF('CAP23-24'!$B:$H,Insumo[[#This Row],[DESCRIPCION]],'CAP23-24'!$H:$H)</f>
        <v>0</v>
      </c>
      <c r="O378" s="69">
        <f ca="1">SUMIF('CAP25'!$B:$H,Insumo[[#This Row],[DESCRIPCION]],'CAP25'!$H:$H)</f>
        <v>0</v>
      </c>
      <c r="P378" s="69">
        <f ca="1">SUMIF('CAP26-28'!$B:$H,Insumo[[#This Row],[DESCRIPCION]],'CAP26-28'!$H:$H)</f>
        <v>0</v>
      </c>
      <c r="Q378" s="69">
        <f ca="1">SUMIF('CAP29'!$B:$H,Insumo[[#This Row],[DESCRIPCION]],'CAP29'!$H:$H)</f>
        <v>0</v>
      </c>
      <c r="R378" s="290"/>
      <c r="T378" s="136">
        <v>2706</v>
      </c>
    </row>
    <row r="379" spans="1:20" ht="12" customHeight="1">
      <c r="A379" s="301" t="s">
        <v>2990</v>
      </c>
      <c r="B379" s="303" t="s">
        <v>23</v>
      </c>
      <c r="C379" s="304">
        <f t="shared" si="5"/>
        <v>5114.55</v>
      </c>
      <c r="D379" s="281" cm="1">
        <f t="array" aca="1" ref="D379" ca="1">IF(Insumo[[#This Row],[VALOR]]=0,Insumo[TOTAL],E379/C379)</f>
        <v>0</v>
      </c>
      <c r="E379" s="69">
        <f ca="1">SUM(Insumo[[#This Row],[CAP1-3]:[CAP29]])</f>
        <v>0</v>
      </c>
      <c r="F379" s="69">
        <f ca="1">SUMIF('CAP1-3'!$B:$H,Insumo[[#This Row],[DESCRIPCION]],'CAP1-3'!$H:$H)</f>
        <v>0</v>
      </c>
      <c r="G379" s="69">
        <f ca="1">SUMIF('CAP4-5'!$B:$H,Insumo[[#This Row],[DESCRIPCION]],'CAP4-5'!$H:$H)</f>
        <v>0</v>
      </c>
      <c r="H379" s="69">
        <f ca="1">SUMIF('CAP6-7'!$B:$H,Insumo[[#This Row],[DESCRIPCION]],'CAP6-7'!$H:$H)</f>
        <v>0</v>
      </c>
      <c r="I379" s="69">
        <f ca="1">SUMIF('CAP8'!$B:$H,Insumo[[#This Row],[DESCRIPCION]],'CAP8'!$H:$H)</f>
        <v>0</v>
      </c>
      <c r="J379" s="69">
        <f ca="1">SUMIF('CAP9-13'!$B:$H,Insumo[[#This Row],[DESCRIPCION]],'CAP9-13'!$H:$H)</f>
        <v>0</v>
      </c>
      <c r="K379" s="69">
        <f ca="1">SUMIF('CAP14-15'!$B:$H,Insumo[[#This Row],[DESCRIPCION]],'CAP14-15'!$H:$H)</f>
        <v>0</v>
      </c>
      <c r="L379" s="69">
        <f ca="1">SUMIF('CAP16-18'!$B:$H,Insumo[[#This Row],[DESCRIPCION]],'CAP16-18'!$H:$H)</f>
        <v>0</v>
      </c>
      <c r="M379" s="69">
        <f ca="1">SUMIF('CAP19-22'!$B:$H,Insumo[[#This Row],[DESCRIPCION]],'CAP19-22'!$H:$H)</f>
        <v>0</v>
      </c>
      <c r="N379" s="69">
        <f ca="1">SUMIF('CAP23-24'!$B:$H,Insumo[[#This Row],[DESCRIPCION]],'CAP23-24'!$H:$H)</f>
        <v>0</v>
      </c>
      <c r="O379" s="69">
        <f ca="1">SUMIF('CAP25'!$B:$H,Insumo[[#This Row],[DESCRIPCION]],'CAP25'!$H:$H)</f>
        <v>0</v>
      </c>
      <c r="P379" s="69">
        <f ca="1">SUMIF('CAP26-28'!$B:$H,Insumo[[#This Row],[DESCRIPCION]],'CAP26-28'!$H:$H)</f>
        <v>0</v>
      </c>
      <c r="Q379" s="69">
        <f ca="1">SUMIF('CAP29'!$B:$H,Insumo[[#This Row],[DESCRIPCION]],'CAP29'!$H:$H)</f>
        <v>0</v>
      </c>
      <c r="R379" s="290"/>
      <c r="T379" s="136">
        <v>4871</v>
      </c>
    </row>
    <row r="380" spans="1:20" ht="12" customHeight="1">
      <c r="A380" s="301" t="s">
        <v>2991</v>
      </c>
      <c r="B380" s="303" t="s">
        <v>23</v>
      </c>
      <c r="C380" s="304">
        <f t="shared" si="5"/>
        <v>10798.2</v>
      </c>
      <c r="D380" s="281" cm="1">
        <f t="array" aca="1" ref="D380" ca="1">IF(Insumo[[#This Row],[VALOR]]=0,Insumo[TOTAL],E380/C380)</f>
        <v>0</v>
      </c>
      <c r="E380" s="69">
        <f ca="1">SUM(Insumo[[#This Row],[CAP1-3]:[CAP29]])</f>
        <v>0</v>
      </c>
      <c r="F380" s="69">
        <f ca="1">SUMIF('CAP1-3'!$B:$H,Insumo[[#This Row],[DESCRIPCION]],'CAP1-3'!$H:$H)</f>
        <v>0</v>
      </c>
      <c r="G380" s="69">
        <f ca="1">SUMIF('CAP4-5'!$B:$H,Insumo[[#This Row],[DESCRIPCION]],'CAP4-5'!$H:$H)</f>
        <v>0</v>
      </c>
      <c r="H380" s="69">
        <f ca="1">SUMIF('CAP6-7'!$B:$H,Insumo[[#This Row],[DESCRIPCION]],'CAP6-7'!$H:$H)</f>
        <v>0</v>
      </c>
      <c r="I380" s="69">
        <f ca="1">SUMIF('CAP8'!$B:$H,Insumo[[#This Row],[DESCRIPCION]],'CAP8'!$H:$H)</f>
        <v>0</v>
      </c>
      <c r="J380" s="69">
        <f ca="1">SUMIF('CAP9-13'!$B:$H,Insumo[[#This Row],[DESCRIPCION]],'CAP9-13'!$H:$H)</f>
        <v>0</v>
      </c>
      <c r="K380" s="69">
        <f ca="1">SUMIF('CAP14-15'!$B:$H,Insumo[[#This Row],[DESCRIPCION]],'CAP14-15'!$H:$H)</f>
        <v>0</v>
      </c>
      <c r="L380" s="69">
        <f ca="1">SUMIF('CAP16-18'!$B:$H,Insumo[[#This Row],[DESCRIPCION]],'CAP16-18'!$H:$H)</f>
        <v>0</v>
      </c>
      <c r="M380" s="69">
        <f ca="1">SUMIF('CAP19-22'!$B:$H,Insumo[[#This Row],[DESCRIPCION]],'CAP19-22'!$H:$H)</f>
        <v>0</v>
      </c>
      <c r="N380" s="69">
        <f ca="1">SUMIF('CAP23-24'!$B:$H,Insumo[[#This Row],[DESCRIPCION]],'CAP23-24'!$H:$H)</f>
        <v>0</v>
      </c>
      <c r="O380" s="69">
        <f ca="1">SUMIF('CAP25'!$B:$H,Insumo[[#This Row],[DESCRIPCION]],'CAP25'!$H:$H)</f>
        <v>0</v>
      </c>
      <c r="P380" s="69">
        <f ca="1">SUMIF('CAP26-28'!$B:$H,Insumo[[#This Row],[DESCRIPCION]],'CAP26-28'!$H:$H)</f>
        <v>0</v>
      </c>
      <c r="Q380" s="69">
        <f ca="1">SUMIF('CAP29'!$B:$H,Insumo[[#This Row],[DESCRIPCION]],'CAP29'!$H:$H)</f>
        <v>0</v>
      </c>
      <c r="R380" s="290"/>
      <c r="T380" s="136">
        <v>10284</v>
      </c>
    </row>
    <row r="381" spans="1:20" ht="12" customHeight="1">
      <c r="A381" s="301" t="s">
        <v>2992</v>
      </c>
      <c r="B381" s="303" t="s">
        <v>23</v>
      </c>
      <c r="C381" s="304">
        <f t="shared" si="5"/>
        <v>4546.5</v>
      </c>
      <c r="D381" s="281" cm="1">
        <f t="array" aca="1" ref="D381" ca="1">IF(Insumo[[#This Row],[VALOR]]=0,Insumo[TOTAL],E381/C381)</f>
        <v>0</v>
      </c>
      <c r="E381" s="69">
        <f ca="1">SUM(Insumo[[#This Row],[CAP1-3]:[CAP29]])</f>
        <v>0</v>
      </c>
      <c r="F381" s="69">
        <f ca="1">SUMIF('CAP1-3'!$B:$H,Insumo[[#This Row],[DESCRIPCION]],'CAP1-3'!$H:$H)</f>
        <v>0</v>
      </c>
      <c r="G381" s="69">
        <f ca="1">SUMIF('CAP4-5'!$B:$H,Insumo[[#This Row],[DESCRIPCION]],'CAP4-5'!$H:$H)</f>
        <v>0</v>
      </c>
      <c r="H381" s="69">
        <f ca="1">SUMIF('CAP6-7'!$B:$H,Insumo[[#This Row],[DESCRIPCION]],'CAP6-7'!$H:$H)</f>
        <v>0</v>
      </c>
      <c r="I381" s="69">
        <f ca="1">SUMIF('CAP8'!$B:$H,Insumo[[#This Row],[DESCRIPCION]],'CAP8'!$H:$H)</f>
        <v>0</v>
      </c>
      <c r="J381" s="69">
        <f ca="1">SUMIF('CAP9-13'!$B:$H,Insumo[[#This Row],[DESCRIPCION]],'CAP9-13'!$H:$H)</f>
        <v>0</v>
      </c>
      <c r="K381" s="69">
        <f ca="1">SUMIF('CAP14-15'!$B:$H,Insumo[[#This Row],[DESCRIPCION]],'CAP14-15'!$H:$H)</f>
        <v>0</v>
      </c>
      <c r="L381" s="69">
        <f ca="1">SUMIF('CAP16-18'!$B:$H,Insumo[[#This Row],[DESCRIPCION]],'CAP16-18'!$H:$H)</f>
        <v>0</v>
      </c>
      <c r="M381" s="69">
        <f ca="1">SUMIF('CAP19-22'!$B:$H,Insumo[[#This Row],[DESCRIPCION]],'CAP19-22'!$H:$H)</f>
        <v>0</v>
      </c>
      <c r="N381" s="69">
        <f ca="1">SUMIF('CAP23-24'!$B:$H,Insumo[[#This Row],[DESCRIPCION]],'CAP23-24'!$H:$H)</f>
        <v>0</v>
      </c>
      <c r="O381" s="69">
        <f ca="1">SUMIF('CAP25'!$B:$H,Insumo[[#This Row],[DESCRIPCION]],'CAP25'!$H:$H)</f>
        <v>0</v>
      </c>
      <c r="P381" s="69">
        <f ca="1">SUMIF('CAP26-28'!$B:$H,Insumo[[#This Row],[DESCRIPCION]],'CAP26-28'!$H:$H)</f>
        <v>0</v>
      </c>
      <c r="Q381" s="69">
        <f ca="1">SUMIF('CAP29'!$B:$H,Insumo[[#This Row],[DESCRIPCION]],'CAP29'!$H:$H)</f>
        <v>0</v>
      </c>
      <c r="R381" s="290"/>
      <c r="T381" s="136">
        <v>4330</v>
      </c>
    </row>
    <row r="382" spans="1:20" ht="12" customHeight="1">
      <c r="A382" s="301" t="s">
        <v>2993</v>
      </c>
      <c r="B382" s="303" t="s">
        <v>30</v>
      </c>
      <c r="C382" s="304">
        <f t="shared" si="5"/>
        <v>18906.3</v>
      </c>
      <c r="D382" s="281" cm="1">
        <f t="array" aca="1" ref="D382" ca="1">IF(Insumo[[#This Row],[VALOR]]=0,Insumo[TOTAL],E382/C382)</f>
        <v>0</v>
      </c>
      <c r="E382" s="69">
        <f ca="1">SUM(Insumo[[#This Row],[CAP1-3]:[CAP29]])</f>
        <v>0</v>
      </c>
      <c r="F382" s="69">
        <f ca="1">SUMIF('CAP1-3'!$B:$H,Insumo[[#This Row],[DESCRIPCION]],'CAP1-3'!$H:$H)</f>
        <v>0</v>
      </c>
      <c r="G382" s="69">
        <f ca="1">SUMIF('CAP4-5'!$B:$H,Insumo[[#This Row],[DESCRIPCION]],'CAP4-5'!$H:$H)</f>
        <v>0</v>
      </c>
      <c r="H382" s="69">
        <f ca="1">SUMIF('CAP6-7'!$B:$H,Insumo[[#This Row],[DESCRIPCION]],'CAP6-7'!$H:$H)</f>
        <v>0</v>
      </c>
      <c r="I382" s="69">
        <f ca="1">SUMIF('CAP8'!$B:$H,Insumo[[#This Row],[DESCRIPCION]],'CAP8'!$H:$H)</f>
        <v>0</v>
      </c>
      <c r="J382" s="69">
        <f ca="1">SUMIF('CAP9-13'!$B:$H,Insumo[[#This Row],[DESCRIPCION]],'CAP9-13'!$H:$H)</f>
        <v>0</v>
      </c>
      <c r="K382" s="69">
        <f ca="1">SUMIF('CAP14-15'!$B:$H,Insumo[[#This Row],[DESCRIPCION]],'CAP14-15'!$H:$H)</f>
        <v>0</v>
      </c>
      <c r="L382" s="69">
        <f ca="1">SUMIF('CAP16-18'!$B:$H,Insumo[[#This Row],[DESCRIPCION]],'CAP16-18'!$H:$H)</f>
        <v>0</v>
      </c>
      <c r="M382" s="69">
        <f ca="1">SUMIF('CAP19-22'!$B:$H,Insumo[[#This Row],[DESCRIPCION]],'CAP19-22'!$H:$H)</f>
        <v>0</v>
      </c>
      <c r="N382" s="69">
        <f ca="1">SUMIF('CAP23-24'!$B:$H,Insumo[[#This Row],[DESCRIPCION]],'CAP23-24'!$H:$H)</f>
        <v>0</v>
      </c>
      <c r="O382" s="69">
        <f ca="1">SUMIF('CAP25'!$B:$H,Insumo[[#This Row],[DESCRIPCION]],'CAP25'!$H:$H)</f>
        <v>0</v>
      </c>
      <c r="P382" s="69">
        <f ca="1">SUMIF('CAP26-28'!$B:$H,Insumo[[#This Row],[DESCRIPCION]],'CAP26-28'!$H:$H)</f>
        <v>0</v>
      </c>
      <c r="Q382" s="69">
        <f ca="1">SUMIF('CAP29'!$B:$H,Insumo[[#This Row],[DESCRIPCION]],'CAP29'!$H:$H)</f>
        <v>0</v>
      </c>
      <c r="R382" s="290" t="s">
        <v>2774</v>
      </c>
      <c r="T382" s="136">
        <v>18006</v>
      </c>
    </row>
    <row r="383" spans="1:20" ht="12" customHeight="1">
      <c r="A383" s="301" t="s">
        <v>2994</v>
      </c>
      <c r="B383" s="303" t="s">
        <v>30</v>
      </c>
      <c r="C383" s="304">
        <f t="shared" si="5"/>
        <v>12265.050000000001</v>
      </c>
      <c r="D383" s="281" cm="1">
        <f t="array" aca="1" ref="D383" ca="1">IF(Insumo[[#This Row],[VALOR]]=0,Insumo[TOTAL],E383/C383)</f>
        <v>0</v>
      </c>
      <c r="E383" s="69">
        <f ca="1">SUM(Insumo[[#This Row],[CAP1-3]:[CAP29]])</f>
        <v>0</v>
      </c>
      <c r="F383" s="69">
        <f ca="1">SUMIF('CAP1-3'!$B:$H,Insumo[[#This Row],[DESCRIPCION]],'CAP1-3'!$H:$H)</f>
        <v>0</v>
      </c>
      <c r="G383" s="69">
        <f ca="1">SUMIF('CAP4-5'!$B:$H,Insumo[[#This Row],[DESCRIPCION]],'CAP4-5'!$H:$H)</f>
        <v>0</v>
      </c>
      <c r="H383" s="69">
        <f ca="1">SUMIF('CAP6-7'!$B:$H,Insumo[[#This Row],[DESCRIPCION]],'CAP6-7'!$H:$H)</f>
        <v>0</v>
      </c>
      <c r="I383" s="69">
        <f ca="1">SUMIF('CAP8'!$B:$H,Insumo[[#This Row],[DESCRIPCION]],'CAP8'!$H:$H)</f>
        <v>0</v>
      </c>
      <c r="J383" s="69">
        <f ca="1">SUMIF('CAP9-13'!$B:$H,Insumo[[#This Row],[DESCRIPCION]],'CAP9-13'!$H:$H)</f>
        <v>0</v>
      </c>
      <c r="K383" s="69">
        <f ca="1">SUMIF('CAP14-15'!$B:$H,Insumo[[#This Row],[DESCRIPCION]],'CAP14-15'!$H:$H)</f>
        <v>0</v>
      </c>
      <c r="L383" s="69">
        <f ca="1">SUMIF('CAP16-18'!$B:$H,Insumo[[#This Row],[DESCRIPCION]],'CAP16-18'!$H:$H)</f>
        <v>0</v>
      </c>
      <c r="M383" s="69">
        <f ca="1">SUMIF('CAP19-22'!$B:$H,Insumo[[#This Row],[DESCRIPCION]],'CAP19-22'!$H:$H)</f>
        <v>0</v>
      </c>
      <c r="N383" s="69">
        <f ca="1">SUMIF('CAP23-24'!$B:$H,Insumo[[#This Row],[DESCRIPCION]],'CAP23-24'!$H:$H)</f>
        <v>0</v>
      </c>
      <c r="O383" s="69">
        <f ca="1">SUMIF('CAP25'!$B:$H,Insumo[[#This Row],[DESCRIPCION]],'CAP25'!$H:$H)</f>
        <v>0</v>
      </c>
      <c r="P383" s="69">
        <f ca="1">SUMIF('CAP26-28'!$B:$H,Insumo[[#This Row],[DESCRIPCION]],'CAP26-28'!$H:$H)</f>
        <v>0</v>
      </c>
      <c r="Q383" s="69">
        <f ca="1">SUMIF('CAP29'!$B:$H,Insumo[[#This Row],[DESCRIPCION]],'CAP29'!$H:$H)</f>
        <v>0</v>
      </c>
      <c r="R383" s="290" t="s">
        <v>2774</v>
      </c>
      <c r="T383" s="136">
        <v>11681</v>
      </c>
    </row>
    <row r="384" spans="1:20" ht="12" customHeight="1">
      <c r="A384" s="301" t="s">
        <v>2995</v>
      </c>
      <c r="B384" s="303" t="s">
        <v>23</v>
      </c>
      <c r="C384" s="304">
        <f t="shared" si="5"/>
        <v>10479</v>
      </c>
      <c r="D384" s="281" cm="1">
        <f t="array" aca="1" ref="D384" ca="1">IF(Insumo[[#This Row],[VALOR]]=0,Insumo[TOTAL],E384/C384)</f>
        <v>0</v>
      </c>
      <c r="E384" s="69">
        <f ca="1">SUM(Insumo[[#This Row],[CAP1-3]:[CAP29]])</f>
        <v>0</v>
      </c>
      <c r="F384" s="69">
        <f ca="1">SUMIF('CAP1-3'!$B:$H,Insumo[[#This Row],[DESCRIPCION]],'CAP1-3'!$H:$H)</f>
        <v>0</v>
      </c>
      <c r="G384" s="69">
        <f ca="1">SUMIF('CAP4-5'!$B:$H,Insumo[[#This Row],[DESCRIPCION]],'CAP4-5'!$H:$H)</f>
        <v>0</v>
      </c>
      <c r="H384" s="69">
        <f ca="1">SUMIF('CAP6-7'!$B:$H,Insumo[[#This Row],[DESCRIPCION]],'CAP6-7'!$H:$H)</f>
        <v>0</v>
      </c>
      <c r="I384" s="69">
        <f ca="1">SUMIF('CAP8'!$B:$H,Insumo[[#This Row],[DESCRIPCION]],'CAP8'!$H:$H)</f>
        <v>0</v>
      </c>
      <c r="J384" s="69">
        <f ca="1">SUMIF('CAP9-13'!$B:$H,Insumo[[#This Row],[DESCRIPCION]],'CAP9-13'!$H:$H)</f>
        <v>0</v>
      </c>
      <c r="K384" s="69">
        <f ca="1">SUMIF('CAP14-15'!$B:$H,Insumo[[#This Row],[DESCRIPCION]],'CAP14-15'!$H:$H)</f>
        <v>0</v>
      </c>
      <c r="L384" s="69">
        <f ca="1">SUMIF('CAP16-18'!$B:$H,Insumo[[#This Row],[DESCRIPCION]],'CAP16-18'!$H:$H)</f>
        <v>0</v>
      </c>
      <c r="M384" s="69">
        <f ca="1">SUMIF('CAP19-22'!$B:$H,Insumo[[#This Row],[DESCRIPCION]],'CAP19-22'!$H:$H)</f>
        <v>0</v>
      </c>
      <c r="N384" s="69">
        <f ca="1">SUMIF('CAP23-24'!$B:$H,Insumo[[#This Row],[DESCRIPCION]],'CAP23-24'!$H:$H)</f>
        <v>0</v>
      </c>
      <c r="O384" s="69">
        <f ca="1">SUMIF('CAP25'!$B:$H,Insumo[[#This Row],[DESCRIPCION]],'CAP25'!$H:$H)</f>
        <v>0</v>
      </c>
      <c r="P384" s="69">
        <f ca="1">SUMIF('CAP26-28'!$B:$H,Insumo[[#This Row],[DESCRIPCION]],'CAP26-28'!$H:$H)</f>
        <v>0</v>
      </c>
      <c r="Q384" s="69">
        <f ca="1">SUMIF('CAP29'!$B:$H,Insumo[[#This Row],[DESCRIPCION]],'CAP29'!$H:$H)</f>
        <v>0</v>
      </c>
      <c r="R384" s="290"/>
      <c r="T384" s="136">
        <v>9980</v>
      </c>
    </row>
    <row r="385" spans="1:20" ht="12" customHeight="1">
      <c r="A385" s="301" t="s">
        <v>2996</v>
      </c>
      <c r="B385" s="303" t="s">
        <v>23</v>
      </c>
      <c r="C385" s="304">
        <f t="shared" si="5"/>
        <v>104569.5</v>
      </c>
      <c r="D385" s="281" cm="1">
        <f t="array" aca="1" ref="D385" ca="1">IF(Insumo[[#This Row],[VALOR]]=0,Insumo[TOTAL],E385/C385)</f>
        <v>0</v>
      </c>
      <c r="E385" s="69">
        <f ca="1">SUM(Insumo[[#This Row],[CAP1-3]:[CAP29]])</f>
        <v>0</v>
      </c>
      <c r="F385" s="69">
        <f ca="1">SUMIF('CAP1-3'!$B:$H,Insumo[[#This Row],[DESCRIPCION]],'CAP1-3'!$H:$H)</f>
        <v>0</v>
      </c>
      <c r="G385" s="69">
        <f ca="1">SUMIF('CAP4-5'!$B:$H,Insumo[[#This Row],[DESCRIPCION]],'CAP4-5'!$H:$H)</f>
        <v>0</v>
      </c>
      <c r="H385" s="69">
        <f ca="1">SUMIF('CAP6-7'!$B:$H,Insumo[[#This Row],[DESCRIPCION]],'CAP6-7'!$H:$H)</f>
        <v>0</v>
      </c>
      <c r="I385" s="69">
        <f ca="1">SUMIF('CAP8'!$B:$H,Insumo[[#This Row],[DESCRIPCION]],'CAP8'!$H:$H)</f>
        <v>0</v>
      </c>
      <c r="J385" s="69">
        <f ca="1">SUMIF('CAP9-13'!$B:$H,Insumo[[#This Row],[DESCRIPCION]],'CAP9-13'!$H:$H)</f>
        <v>0</v>
      </c>
      <c r="K385" s="69">
        <f ca="1">SUMIF('CAP14-15'!$B:$H,Insumo[[#This Row],[DESCRIPCION]],'CAP14-15'!$H:$H)</f>
        <v>0</v>
      </c>
      <c r="L385" s="69">
        <f ca="1">SUMIF('CAP16-18'!$B:$H,Insumo[[#This Row],[DESCRIPCION]],'CAP16-18'!$H:$H)</f>
        <v>0</v>
      </c>
      <c r="M385" s="69">
        <f ca="1">SUMIF('CAP19-22'!$B:$H,Insumo[[#This Row],[DESCRIPCION]],'CAP19-22'!$H:$H)</f>
        <v>0</v>
      </c>
      <c r="N385" s="69">
        <f ca="1">SUMIF('CAP23-24'!$B:$H,Insumo[[#This Row],[DESCRIPCION]],'CAP23-24'!$H:$H)</f>
        <v>0</v>
      </c>
      <c r="O385" s="69">
        <f ca="1">SUMIF('CAP25'!$B:$H,Insumo[[#This Row],[DESCRIPCION]],'CAP25'!$H:$H)</f>
        <v>0</v>
      </c>
      <c r="P385" s="69">
        <f ca="1">SUMIF('CAP26-28'!$B:$H,Insumo[[#This Row],[DESCRIPCION]],'CAP26-28'!$H:$H)</f>
        <v>0</v>
      </c>
      <c r="Q385" s="69">
        <f ca="1">SUMIF('CAP29'!$B:$H,Insumo[[#This Row],[DESCRIPCION]],'CAP29'!$H:$H)</f>
        <v>0</v>
      </c>
      <c r="R385" s="290"/>
      <c r="T385" s="136">
        <v>99590</v>
      </c>
    </row>
    <row r="386" spans="1:20" ht="12" customHeight="1">
      <c r="A386" s="301" t="s">
        <v>2997</v>
      </c>
      <c r="B386" s="303" t="s">
        <v>338</v>
      </c>
      <c r="C386" s="304">
        <f t="shared" si="5"/>
        <v>11366.25</v>
      </c>
      <c r="D386" s="281" cm="1">
        <f t="array" aca="1" ref="D386" ca="1">IF(Insumo[[#This Row],[VALOR]]=0,Insumo[TOTAL],E386/C386)</f>
        <v>0</v>
      </c>
      <c r="E386" s="69">
        <f ca="1">SUM(Insumo[[#This Row],[CAP1-3]:[CAP29]])</f>
        <v>0</v>
      </c>
      <c r="F386" s="69">
        <f ca="1">SUMIF('CAP1-3'!$B:$H,Insumo[[#This Row],[DESCRIPCION]],'CAP1-3'!$H:$H)</f>
        <v>0</v>
      </c>
      <c r="G386" s="69">
        <f ca="1">SUMIF('CAP4-5'!$B:$H,Insumo[[#This Row],[DESCRIPCION]],'CAP4-5'!$H:$H)</f>
        <v>0</v>
      </c>
      <c r="H386" s="69">
        <f ca="1">SUMIF('CAP6-7'!$B:$H,Insumo[[#This Row],[DESCRIPCION]],'CAP6-7'!$H:$H)</f>
        <v>0</v>
      </c>
      <c r="I386" s="69">
        <f ca="1">SUMIF('CAP8'!$B:$H,Insumo[[#This Row],[DESCRIPCION]],'CAP8'!$H:$H)</f>
        <v>0</v>
      </c>
      <c r="J386" s="69">
        <f ca="1">SUMIF('CAP9-13'!$B:$H,Insumo[[#This Row],[DESCRIPCION]],'CAP9-13'!$H:$H)</f>
        <v>0</v>
      </c>
      <c r="K386" s="69">
        <f ca="1">SUMIF('CAP14-15'!$B:$H,Insumo[[#This Row],[DESCRIPCION]],'CAP14-15'!$H:$H)</f>
        <v>0</v>
      </c>
      <c r="L386" s="69">
        <f ca="1">SUMIF('CAP16-18'!$B:$H,Insumo[[#This Row],[DESCRIPCION]],'CAP16-18'!$H:$H)</f>
        <v>0</v>
      </c>
      <c r="M386" s="69">
        <f ca="1">SUMIF('CAP19-22'!$B:$H,Insumo[[#This Row],[DESCRIPCION]],'CAP19-22'!$H:$H)</f>
        <v>0</v>
      </c>
      <c r="N386" s="69">
        <f ca="1">SUMIF('CAP23-24'!$B:$H,Insumo[[#This Row],[DESCRIPCION]],'CAP23-24'!$H:$H)</f>
        <v>0</v>
      </c>
      <c r="O386" s="69">
        <f ca="1">SUMIF('CAP25'!$B:$H,Insumo[[#This Row],[DESCRIPCION]],'CAP25'!$H:$H)</f>
        <v>0</v>
      </c>
      <c r="P386" s="69">
        <f ca="1">SUMIF('CAP26-28'!$B:$H,Insumo[[#This Row],[DESCRIPCION]],'CAP26-28'!$H:$H)</f>
        <v>0</v>
      </c>
      <c r="Q386" s="69">
        <f ca="1">SUMIF('CAP29'!$B:$H,Insumo[[#This Row],[DESCRIPCION]],'CAP29'!$H:$H)</f>
        <v>0</v>
      </c>
      <c r="R386" s="290"/>
      <c r="T386" s="136">
        <v>10825</v>
      </c>
    </row>
    <row r="387" spans="1:20" ht="12" customHeight="1">
      <c r="A387" s="301" t="s">
        <v>2998</v>
      </c>
      <c r="B387" s="303" t="s">
        <v>20</v>
      </c>
      <c r="C387" s="304">
        <f t="shared" si="5"/>
        <v>7084.35</v>
      </c>
      <c r="D387" s="281" cm="1">
        <f t="array" aca="1" ref="D387" ca="1">IF(Insumo[[#This Row],[VALOR]]=0,Insumo[TOTAL],E387/C387)</f>
        <v>0</v>
      </c>
      <c r="E387" s="69">
        <f ca="1">SUM(Insumo[[#This Row],[CAP1-3]:[CAP29]])</f>
        <v>0</v>
      </c>
      <c r="F387" s="69">
        <f ca="1">SUMIF('CAP1-3'!$B:$H,Insumo[[#This Row],[DESCRIPCION]],'CAP1-3'!$H:$H)</f>
        <v>0</v>
      </c>
      <c r="G387" s="69">
        <f ca="1">SUMIF('CAP4-5'!$B:$H,Insumo[[#This Row],[DESCRIPCION]],'CAP4-5'!$H:$H)</f>
        <v>0</v>
      </c>
      <c r="H387" s="69">
        <f ca="1">SUMIF('CAP6-7'!$B:$H,Insumo[[#This Row],[DESCRIPCION]],'CAP6-7'!$H:$H)</f>
        <v>0</v>
      </c>
      <c r="I387" s="69">
        <f ca="1">SUMIF('CAP8'!$B:$H,Insumo[[#This Row],[DESCRIPCION]],'CAP8'!$H:$H)</f>
        <v>0</v>
      </c>
      <c r="J387" s="69">
        <f ca="1">SUMIF('CAP9-13'!$B:$H,Insumo[[#This Row],[DESCRIPCION]],'CAP9-13'!$H:$H)</f>
        <v>0</v>
      </c>
      <c r="K387" s="69">
        <f ca="1">SUMIF('CAP14-15'!$B:$H,Insumo[[#This Row],[DESCRIPCION]],'CAP14-15'!$H:$H)</f>
        <v>0</v>
      </c>
      <c r="L387" s="69">
        <f ca="1">SUMIF('CAP16-18'!$B:$H,Insumo[[#This Row],[DESCRIPCION]],'CAP16-18'!$H:$H)</f>
        <v>0</v>
      </c>
      <c r="M387" s="69">
        <f ca="1">SUMIF('CAP19-22'!$B:$H,Insumo[[#This Row],[DESCRIPCION]],'CAP19-22'!$H:$H)</f>
        <v>0</v>
      </c>
      <c r="N387" s="69">
        <f ca="1">SUMIF('CAP23-24'!$B:$H,Insumo[[#This Row],[DESCRIPCION]],'CAP23-24'!$H:$H)</f>
        <v>0</v>
      </c>
      <c r="O387" s="69">
        <f ca="1">SUMIF('CAP25'!$B:$H,Insumo[[#This Row],[DESCRIPCION]],'CAP25'!$H:$H)</f>
        <v>0</v>
      </c>
      <c r="P387" s="69">
        <f ca="1">SUMIF('CAP26-28'!$B:$H,Insumo[[#This Row],[DESCRIPCION]],'CAP26-28'!$H:$H)</f>
        <v>0</v>
      </c>
      <c r="Q387" s="69">
        <f ca="1">SUMIF('CAP29'!$B:$H,Insumo[[#This Row],[DESCRIPCION]],'CAP29'!$H:$H)</f>
        <v>0</v>
      </c>
      <c r="R387" s="290"/>
      <c r="T387" s="136">
        <v>6747</v>
      </c>
    </row>
    <row r="388" spans="1:20" ht="12" customHeight="1">
      <c r="A388" s="301" t="s">
        <v>2999</v>
      </c>
      <c r="B388" s="303" t="s">
        <v>338</v>
      </c>
      <c r="C388" s="304">
        <f t="shared" si="5"/>
        <v>22467.9</v>
      </c>
      <c r="D388" s="281" cm="1">
        <f t="array" aca="1" ref="D388" ca="1">IF(Insumo[[#This Row],[VALOR]]=0,Insumo[TOTAL],E388/C388)</f>
        <v>0</v>
      </c>
      <c r="E388" s="69">
        <f ca="1">SUM(Insumo[[#This Row],[CAP1-3]:[CAP29]])</f>
        <v>0</v>
      </c>
      <c r="F388" s="69">
        <f ca="1">SUMIF('CAP1-3'!$B:$H,Insumo[[#This Row],[DESCRIPCION]],'CAP1-3'!$H:$H)</f>
        <v>0</v>
      </c>
      <c r="G388" s="69">
        <f ca="1">SUMIF('CAP4-5'!$B:$H,Insumo[[#This Row],[DESCRIPCION]],'CAP4-5'!$H:$H)</f>
        <v>0</v>
      </c>
      <c r="H388" s="69">
        <f ca="1">SUMIF('CAP6-7'!$B:$H,Insumo[[#This Row],[DESCRIPCION]],'CAP6-7'!$H:$H)</f>
        <v>0</v>
      </c>
      <c r="I388" s="69">
        <f ca="1">SUMIF('CAP8'!$B:$H,Insumo[[#This Row],[DESCRIPCION]],'CAP8'!$H:$H)</f>
        <v>0</v>
      </c>
      <c r="J388" s="69">
        <f ca="1">SUMIF('CAP9-13'!$B:$H,Insumo[[#This Row],[DESCRIPCION]],'CAP9-13'!$H:$H)</f>
        <v>0</v>
      </c>
      <c r="K388" s="69">
        <f ca="1">SUMIF('CAP14-15'!$B:$H,Insumo[[#This Row],[DESCRIPCION]],'CAP14-15'!$H:$H)</f>
        <v>0</v>
      </c>
      <c r="L388" s="69">
        <f ca="1">SUMIF('CAP16-18'!$B:$H,Insumo[[#This Row],[DESCRIPCION]],'CAP16-18'!$H:$H)</f>
        <v>0</v>
      </c>
      <c r="M388" s="69">
        <f ca="1">SUMIF('CAP19-22'!$B:$H,Insumo[[#This Row],[DESCRIPCION]],'CAP19-22'!$H:$H)</f>
        <v>0</v>
      </c>
      <c r="N388" s="69">
        <f ca="1">SUMIF('CAP23-24'!$B:$H,Insumo[[#This Row],[DESCRIPCION]],'CAP23-24'!$H:$H)</f>
        <v>0</v>
      </c>
      <c r="O388" s="69">
        <f ca="1">SUMIF('CAP25'!$B:$H,Insumo[[#This Row],[DESCRIPCION]],'CAP25'!$H:$H)</f>
        <v>0</v>
      </c>
      <c r="P388" s="69">
        <f ca="1">SUMIF('CAP26-28'!$B:$H,Insumo[[#This Row],[DESCRIPCION]],'CAP26-28'!$H:$H)</f>
        <v>0</v>
      </c>
      <c r="Q388" s="69">
        <f ca="1">SUMIF('CAP29'!$B:$H,Insumo[[#This Row],[DESCRIPCION]],'CAP29'!$H:$H)</f>
        <v>0</v>
      </c>
      <c r="R388" s="290"/>
      <c r="T388" s="136">
        <v>21398</v>
      </c>
    </row>
    <row r="389" spans="1:20" ht="12" customHeight="1">
      <c r="A389" s="301" t="s">
        <v>3000</v>
      </c>
      <c r="B389" s="303" t="s">
        <v>338</v>
      </c>
      <c r="C389" s="304">
        <f t="shared" si="5"/>
        <v>42964.950000000004</v>
      </c>
      <c r="D389" s="281" cm="1">
        <f t="array" aca="1" ref="D389" ca="1">IF(Insumo[[#This Row],[VALOR]]=0,Insumo[TOTAL],E389/C389)</f>
        <v>0</v>
      </c>
      <c r="E389" s="69">
        <f ca="1">SUM(Insumo[[#This Row],[CAP1-3]:[CAP29]])</f>
        <v>0</v>
      </c>
      <c r="F389" s="69">
        <f ca="1">SUMIF('CAP1-3'!$B:$H,Insumo[[#This Row],[DESCRIPCION]],'CAP1-3'!$H:$H)</f>
        <v>0</v>
      </c>
      <c r="G389" s="69">
        <f ca="1">SUMIF('CAP4-5'!$B:$H,Insumo[[#This Row],[DESCRIPCION]],'CAP4-5'!$H:$H)</f>
        <v>0</v>
      </c>
      <c r="H389" s="69">
        <f ca="1">SUMIF('CAP6-7'!$B:$H,Insumo[[#This Row],[DESCRIPCION]],'CAP6-7'!$H:$H)</f>
        <v>0</v>
      </c>
      <c r="I389" s="69">
        <f ca="1">SUMIF('CAP8'!$B:$H,Insumo[[#This Row],[DESCRIPCION]],'CAP8'!$H:$H)</f>
        <v>0</v>
      </c>
      <c r="J389" s="69">
        <f ca="1">SUMIF('CAP9-13'!$B:$H,Insumo[[#This Row],[DESCRIPCION]],'CAP9-13'!$H:$H)</f>
        <v>0</v>
      </c>
      <c r="K389" s="69">
        <f ca="1">SUMIF('CAP14-15'!$B:$H,Insumo[[#This Row],[DESCRIPCION]],'CAP14-15'!$H:$H)</f>
        <v>0</v>
      </c>
      <c r="L389" s="69">
        <f ca="1">SUMIF('CAP16-18'!$B:$H,Insumo[[#This Row],[DESCRIPCION]],'CAP16-18'!$H:$H)</f>
        <v>0</v>
      </c>
      <c r="M389" s="69">
        <f ca="1">SUMIF('CAP19-22'!$B:$H,Insumo[[#This Row],[DESCRIPCION]],'CAP19-22'!$H:$H)</f>
        <v>0</v>
      </c>
      <c r="N389" s="69">
        <f ca="1">SUMIF('CAP23-24'!$B:$H,Insumo[[#This Row],[DESCRIPCION]],'CAP23-24'!$H:$H)</f>
        <v>0</v>
      </c>
      <c r="O389" s="69">
        <f ca="1">SUMIF('CAP25'!$B:$H,Insumo[[#This Row],[DESCRIPCION]],'CAP25'!$H:$H)</f>
        <v>0</v>
      </c>
      <c r="P389" s="69">
        <f ca="1">SUMIF('CAP26-28'!$B:$H,Insumo[[#This Row],[DESCRIPCION]],'CAP26-28'!$H:$H)</f>
        <v>0</v>
      </c>
      <c r="Q389" s="69">
        <f ca="1">SUMIF('CAP29'!$B:$H,Insumo[[#This Row],[DESCRIPCION]],'CAP29'!$H:$H)</f>
        <v>0</v>
      </c>
      <c r="R389" s="290"/>
      <c r="T389" s="136">
        <v>40919</v>
      </c>
    </row>
    <row r="390" spans="1:20" ht="12" customHeight="1">
      <c r="A390" s="301" t="s">
        <v>3001</v>
      </c>
      <c r="B390" s="303" t="s">
        <v>338</v>
      </c>
      <c r="C390" s="304">
        <f t="shared" ref="C390:C453" si="6">T390*$T$3</f>
        <v>31986.15</v>
      </c>
      <c r="D390" s="281" cm="1">
        <f t="array" aca="1" ref="D390" ca="1">IF(Insumo[[#This Row],[VALOR]]=0,Insumo[TOTAL],E390/C390)</f>
        <v>0</v>
      </c>
      <c r="E390" s="69">
        <f ca="1">SUM(Insumo[[#This Row],[CAP1-3]:[CAP29]])</f>
        <v>0</v>
      </c>
      <c r="F390" s="69">
        <f ca="1">SUMIF('CAP1-3'!$B:$H,Insumo[[#This Row],[DESCRIPCION]],'CAP1-3'!$H:$H)</f>
        <v>0</v>
      </c>
      <c r="G390" s="69">
        <f ca="1">SUMIF('CAP4-5'!$B:$H,Insumo[[#This Row],[DESCRIPCION]],'CAP4-5'!$H:$H)</f>
        <v>0</v>
      </c>
      <c r="H390" s="69">
        <f ca="1">SUMIF('CAP6-7'!$B:$H,Insumo[[#This Row],[DESCRIPCION]],'CAP6-7'!$H:$H)</f>
        <v>0</v>
      </c>
      <c r="I390" s="69">
        <f ca="1">SUMIF('CAP8'!$B:$H,Insumo[[#This Row],[DESCRIPCION]],'CAP8'!$H:$H)</f>
        <v>0</v>
      </c>
      <c r="J390" s="69">
        <f ca="1">SUMIF('CAP9-13'!$B:$H,Insumo[[#This Row],[DESCRIPCION]],'CAP9-13'!$H:$H)</f>
        <v>0</v>
      </c>
      <c r="K390" s="69">
        <f ca="1">SUMIF('CAP14-15'!$B:$H,Insumo[[#This Row],[DESCRIPCION]],'CAP14-15'!$H:$H)</f>
        <v>0</v>
      </c>
      <c r="L390" s="69">
        <f ca="1">SUMIF('CAP16-18'!$B:$H,Insumo[[#This Row],[DESCRIPCION]],'CAP16-18'!$H:$H)</f>
        <v>0</v>
      </c>
      <c r="M390" s="69">
        <f ca="1">SUMIF('CAP19-22'!$B:$H,Insumo[[#This Row],[DESCRIPCION]],'CAP19-22'!$H:$H)</f>
        <v>0</v>
      </c>
      <c r="N390" s="69">
        <f ca="1">SUMIF('CAP23-24'!$B:$H,Insumo[[#This Row],[DESCRIPCION]],'CAP23-24'!$H:$H)</f>
        <v>0</v>
      </c>
      <c r="O390" s="69">
        <f ca="1">SUMIF('CAP25'!$B:$H,Insumo[[#This Row],[DESCRIPCION]],'CAP25'!$H:$H)</f>
        <v>0</v>
      </c>
      <c r="P390" s="69">
        <f ca="1">SUMIF('CAP26-28'!$B:$H,Insumo[[#This Row],[DESCRIPCION]],'CAP26-28'!$H:$H)</f>
        <v>0</v>
      </c>
      <c r="Q390" s="69">
        <f ca="1">SUMIF('CAP29'!$B:$H,Insumo[[#This Row],[DESCRIPCION]],'CAP29'!$H:$H)</f>
        <v>0</v>
      </c>
      <c r="R390" s="290"/>
      <c r="T390" s="136">
        <v>30463</v>
      </c>
    </row>
    <row r="391" spans="1:20" ht="12" customHeight="1">
      <c r="A391" s="301" t="s">
        <v>3002</v>
      </c>
      <c r="B391" s="303" t="s">
        <v>20</v>
      </c>
      <c r="C391" s="304">
        <f t="shared" si="6"/>
        <v>13933.5</v>
      </c>
      <c r="D391" s="281" cm="1">
        <f t="array" aca="1" ref="D391" ca="1">IF(Insumo[[#This Row],[VALOR]]=0,Insumo[TOTAL],E391/C391)</f>
        <v>0</v>
      </c>
      <c r="E391" s="69">
        <f ca="1">SUM(Insumo[[#This Row],[CAP1-3]:[CAP29]])</f>
        <v>0</v>
      </c>
      <c r="F391" s="69">
        <f ca="1">SUMIF('CAP1-3'!$B:$H,Insumo[[#This Row],[DESCRIPCION]],'CAP1-3'!$H:$H)</f>
        <v>0</v>
      </c>
      <c r="G391" s="69">
        <f ca="1">SUMIF('CAP4-5'!$B:$H,Insumo[[#This Row],[DESCRIPCION]],'CAP4-5'!$H:$H)</f>
        <v>0</v>
      </c>
      <c r="H391" s="69">
        <f ca="1">SUMIF('CAP6-7'!$B:$H,Insumo[[#This Row],[DESCRIPCION]],'CAP6-7'!$H:$H)</f>
        <v>0</v>
      </c>
      <c r="I391" s="69">
        <f ca="1">SUMIF('CAP8'!$B:$H,Insumo[[#This Row],[DESCRIPCION]],'CAP8'!$H:$H)</f>
        <v>0</v>
      </c>
      <c r="J391" s="69">
        <f ca="1">SUMIF('CAP9-13'!$B:$H,Insumo[[#This Row],[DESCRIPCION]],'CAP9-13'!$H:$H)</f>
        <v>0</v>
      </c>
      <c r="K391" s="69">
        <f ca="1">SUMIF('CAP14-15'!$B:$H,Insumo[[#This Row],[DESCRIPCION]],'CAP14-15'!$H:$H)</f>
        <v>0</v>
      </c>
      <c r="L391" s="69">
        <f ca="1">SUMIF('CAP16-18'!$B:$H,Insumo[[#This Row],[DESCRIPCION]],'CAP16-18'!$H:$H)</f>
        <v>0</v>
      </c>
      <c r="M391" s="69">
        <f ca="1">SUMIF('CAP19-22'!$B:$H,Insumo[[#This Row],[DESCRIPCION]],'CAP19-22'!$H:$H)</f>
        <v>0</v>
      </c>
      <c r="N391" s="69">
        <f ca="1">SUMIF('CAP23-24'!$B:$H,Insumo[[#This Row],[DESCRIPCION]],'CAP23-24'!$H:$H)</f>
        <v>0</v>
      </c>
      <c r="O391" s="69">
        <f ca="1">SUMIF('CAP25'!$B:$H,Insumo[[#This Row],[DESCRIPCION]],'CAP25'!$H:$H)</f>
        <v>0</v>
      </c>
      <c r="P391" s="69">
        <f ca="1">SUMIF('CAP26-28'!$B:$H,Insumo[[#This Row],[DESCRIPCION]],'CAP26-28'!$H:$H)</f>
        <v>0</v>
      </c>
      <c r="Q391" s="69">
        <f ca="1">SUMIF('CAP29'!$B:$H,Insumo[[#This Row],[DESCRIPCION]],'CAP29'!$H:$H)</f>
        <v>0</v>
      </c>
      <c r="R391" s="290"/>
      <c r="T391" s="136">
        <v>13270</v>
      </c>
    </row>
    <row r="392" spans="1:20" ht="12" customHeight="1">
      <c r="A392" s="301" t="s">
        <v>3003</v>
      </c>
      <c r="B392" s="303" t="s">
        <v>2662</v>
      </c>
      <c r="C392" s="304">
        <f t="shared" si="6"/>
        <v>95461.8</v>
      </c>
      <c r="D392" s="281" cm="1">
        <f t="array" aca="1" ref="D392" ca="1">IF(Insumo[[#This Row],[VALOR]]=0,Insumo[TOTAL],E392/C392)</f>
        <v>0</v>
      </c>
      <c r="E392" s="69">
        <f ca="1">SUM(Insumo[[#This Row],[CAP1-3]:[CAP29]])</f>
        <v>0</v>
      </c>
      <c r="F392" s="69">
        <f ca="1">SUMIF('CAP1-3'!$B:$H,Insumo[[#This Row],[DESCRIPCION]],'CAP1-3'!$H:$H)</f>
        <v>0</v>
      </c>
      <c r="G392" s="69">
        <f ca="1">SUMIF('CAP4-5'!$B:$H,Insumo[[#This Row],[DESCRIPCION]],'CAP4-5'!$H:$H)</f>
        <v>0</v>
      </c>
      <c r="H392" s="69">
        <f ca="1">SUMIF('CAP6-7'!$B:$H,Insumo[[#This Row],[DESCRIPCION]],'CAP6-7'!$H:$H)</f>
        <v>0</v>
      </c>
      <c r="I392" s="69">
        <f ca="1">SUMIF('CAP8'!$B:$H,Insumo[[#This Row],[DESCRIPCION]],'CAP8'!$H:$H)</f>
        <v>0</v>
      </c>
      <c r="J392" s="69">
        <f ca="1">SUMIF('CAP9-13'!$B:$H,Insumo[[#This Row],[DESCRIPCION]],'CAP9-13'!$H:$H)</f>
        <v>0</v>
      </c>
      <c r="K392" s="69">
        <f ca="1">SUMIF('CAP14-15'!$B:$H,Insumo[[#This Row],[DESCRIPCION]],'CAP14-15'!$H:$H)</f>
        <v>0</v>
      </c>
      <c r="L392" s="69">
        <f ca="1">SUMIF('CAP16-18'!$B:$H,Insumo[[#This Row],[DESCRIPCION]],'CAP16-18'!$H:$H)</f>
        <v>0</v>
      </c>
      <c r="M392" s="69">
        <f ca="1">SUMIF('CAP19-22'!$B:$H,Insumo[[#This Row],[DESCRIPCION]],'CAP19-22'!$H:$H)</f>
        <v>0</v>
      </c>
      <c r="N392" s="69">
        <f ca="1">SUMIF('CAP23-24'!$B:$H,Insumo[[#This Row],[DESCRIPCION]],'CAP23-24'!$H:$H)</f>
        <v>0</v>
      </c>
      <c r="O392" s="69">
        <f ca="1">SUMIF('CAP25'!$B:$H,Insumo[[#This Row],[DESCRIPCION]],'CAP25'!$H:$H)</f>
        <v>0</v>
      </c>
      <c r="P392" s="69">
        <f ca="1">SUMIF('CAP26-28'!$B:$H,Insumo[[#This Row],[DESCRIPCION]],'CAP26-28'!$H:$H)</f>
        <v>0</v>
      </c>
      <c r="Q392" s="69">
        <f ca="1">SUMIF('CAP29'!$B:$H,Insumo[[#This Row],[DESCRIPCION]],'CAP29'!$H:$H)</f>
        <v>0</v>
      </c>
      <c r="R392" s="290"/>
      <c r="T392" s="136">
        <v>90916</v>
      </c>
    </row>
    <row r="393" spans="1:20" ht="12" customHeight="1">
      <c r="A393" s="301" t="s">
        <v>3004</v>
      </c>
      <c r="B393" s="303" t="s">
        <v>338</v>
      </c>
      <c r="C393" s="304">
        <f t="shared" si="6"/>
        <v>62365.8</v>
      </c>
      <c r="D393" s="281" cm="1">
        <f t="array" aca="1" ref="D393" ca="1">IF(Insumo[[#This Row],[VALOR]]=0,Insumo[TOTAL],E393/C393)</f>
        <v>0</v>
      </c>
      <c r="E393" s="69">
        <f ca="1">SUM(Insumo[[#This Row],[CAP1-3]:[CAP29]])</f>
        <v>0</v>
      </c>
      <c r="F393" s="69">
        <f ca="1">SUMIF('CAP1-3'!$B:$H,Insumo[[#This Row],[DESCRIPCION]],'CAP1-3'!$H:$H)</f>
        <v>0</v>
      </c>
      <c r="G393" s="69">
        <f ca="1">SUMIF('CAP4-5'!$B:$H,Insumo[[#This Row],[DESCRIPCION]],'CAP4-5'!$H:$H)</f>
        <v>0</v>
      </c>
      <c r="H393" s="69">
        <f ca="1">SUMIF('CAP6-7'!$B:$H,Insumo[[#This Row],[DESCRIPCION]],'CAP6-7'!$H:$H)</f>
        <v>0</v>
      </c>
      <c r="I393" s="69">
        <f ca="1">SUMIF('CAP8'!$B:$H,Insumo[[#This Row],[DESCRIPCION]],'CAP8'!$H:$H)</f>
        <v>0</v>
      </c>
      <c r="J393" s="69">
        <f ca="1">SUMIF('CAP9-13'!$B:$H,Insumo[[#This Row],[DESCRIPCION]],'CAP9-13'!$H:$H)</f>
        <v>0</v>
      </c>
      <c r="K393" s="69">
        <f ca="1">SUMIF('CAP14-15'!$B:$H,Insumo[[#This Row],[DESCRIPCION]],'CAP14-15'!$H:$H)</f>
        <v>0</v>
      </c>
      <c r="L393" s="69">
        <f ca="1">SUMIF('CAP16-18'!$B:$H,Insumo[[#This Row],[DESCRIPCION]],'CAP16-18'!$H:$H)</f>
        <v>0</v>
      </c>
      <c r="M393" s="69">
        <f ca="1">SUMIF('CAP19-22'!$B:$H,Insumo[[#This Row],[DESCRIPCION]],'CAP19-22'!$H:$H)</f>
        <v>0</v>
      </c>
      <c r="N393" s="69">
        <f ca="1">SUMIF('CAP23-24'!$B:$H,Insumo[[#This Row],[DESCRIPCION]],'CAP23-24'!$H:$H)</f>
        <v>0</v>
      </c>
      <c r="O393" s="69">
        <f ca="1">SUMIF('CAP25'!$B:$H,Insumo[[#This Row],[DESCRIPCION]],'CAP25'!$H:$H)</f>
        <v>0</v>
      </c>
      <c r="P393" s="69">
        <f ca="1">SUMIF('CAP26-28'!$B:$H,Insumo[[#This Row],[DESCRIPCION]],'CAP26-28'!$H:$H)</f>
        <v>0</v>
      </c>
      <c r="Q393" s="69">
        <f ca="1">SUMIF('CAP29'!$B:$H,Insumo[[#This Row],[DESCRIPCION]],'CAP29'!$H:$H)</f>
        <v>0</v>
      </c>
      <c r="R393" s="290"/>
      <c r="T393" s="136">
        <v>59396</v>
      </c>
    </row>
    <row r="394" spans="1:20" ht="12" customHeight="1">
      <c r="A394" s="301" t="s">
        <v>3005</v>
      </c>
      <c r="B394" s="303" t="s">
        <v>2662</v>
      </c>
      <c r="C394" s="304">
        <f t="shared" si="6"/>
        <v>121619.40000000001</v>
      </c>
      <c r="D394" s="281" cm="1">
        <f t="array" aca="1" ref="D394" ca="1">IF(Insumo[[#This Row],[VALOR]]=0,Insumo[TOTAL],E394/C394)</f>
        <v>0</v>
      </c>
      <c r="E394" s="69">
        <f ca="1">SUM(Insumo[[#This Row],[CAP1-3]:[CAP29]])</f>
        <v>0</v>
      </c>
      <c r="F394" s="69">
        <f ca="1">SUMIF('CAP1-3'!$B:$H,Insumo[[#This Row],[DESCRIPCION]],'CAP1-3'!$H:$H)</f>
        <v>0</v>
      </c>
      <c r="G394" s="69">
        <f ca="1">SUMIF('CAP4-5'!$B:$H,Insumo[[#This Row],[DESCRIPCION]],'CAP4-5'!$H:$H)</f>
        <v>0</v>
      </c>
      <c r="H394" s="69">
        <f ca="1">SUMIF('CAP6-7'!$B:$H,Insumo[[#This Row],[DESCRIPCION]],'CAP6-7'!$H:$H)</f>
        <v>0</v>
      </c>
      <c r="I394" s="69">
        <f ca="1">SUMIF('CAP8'!$B:$H,Insumo[[#This Row],[DESCRIPCION]],'CAP8'!$H:$H)</f>
        <v>0</v>
      </c>
      <c r="J394" s="69">
        <f ca="1">SUMIF('CAP9-13'!$B:$H,Insumo[[#This Row],[DESCRIPCION]],'CAP9-13'!$H:$H)</f>
        <v>0</v>
      </c>
      <c r="K394" s="69">
        <f ca="1">SUMIF('CAP14-15'!$B:$H,Insumo[[#This Row],[DESCRIPCION]],'CAP14-15'!$H:$H)</f>
        <v>0</v>
      </c>
      <c r="L394" s="69">
        <f ca="1">SUMIF('CAP16-18'!$B:$H,Insumo[[#This Row],[DESCRIPCION]],'CAP16-18'!$H:$H)</f>
        <v>0</v>
      </c>
      <c r="M394" s="69">
        <f ca="1">SUMIF('CAP19-22'!$B:$H,Insumo[[#This Row],[DESCRIPCION]],'CAP19-22'!$H:$H)</f>
        <v>0</v>
      </c>
      <c r="N394" s="69">
        <f ca="1">SUMIF('CAP23-24'!$B:$H,Insumo[[#This Row],[DESCRIPCION]],'CAP23-24'!$H:$H)</f>
        <v>0</v>
      </c>
      <c r="O394" s="69">
        <f ca="1">SUMIF('CAP25'!$B:$H,Insumo[[#This Row],[DESCRIPCION]],'CAP25'!$H:$H)</f>
        <v>0</v>
      </c>
      <c r="P394" s="69">
        <f ca="1">SUMIF('CAP26-28'!$B:$H,Insumo[[#This Row],[DESCRIPCION]],'CAP26-28'!$H:$H)</f>
        <v>0</v>
      </c>
      <c r="Q394" s="69">
        <f ca="1">SUMIF('CAP29'!$B:$H,Insumo[[#This Row],[DESCRIPCION]],'CAP29'!$H:$H)</f>
        <v>0</v>
      </c>
      <c r="R394" s="290"/>
      <c r="T394" s="136">
        <v>115828</v>
      </c>
    </row>
    <row r="395" spans="1:20" ht="12" customHeight="1">
      <c r="A395" s="301" t="s">
        <v>3006</v>
      </c>
      <c r="B395" s="303" t="s">
        <v>2686</v>
      </c>
      <c r="C395" s="304">
        <f t="shared" si="6"/>
        <v>82064.850000000006</v>
      </c>
      <c r="D395" s="281" cm="1">
        <f t="array" aca="1" ref="D395" ca="1">IF(Insumo[[#This Row],[VALOR]]=0,Insumo[TOTAL],E395/C395)</f>
        <v>0</v>
      </c>
      <c r="E395" s="69">
        <f ca="1">SUM(Insumo[[#This Row],[CAP1-3]:[CAP29]])</f>
        <v>0</v>
      </c>
      <c r="F395" s="69">
        <f ca="1">SUMIF('CAP1-3'!$B:$H,Insumo[[#This Row],[DESCRIPCION]],'CAP1-3'!$H:$H)</f>
        <v>0</v>
      </c>
      <c r="G395" s="69">
        <f ca="1">SUMIF('CAP4-5'!$B:$H,Insumo[[#This Row],[DESCRIPCION]],'CAP4-5'!$H:$H)</f>
        <v>0</v>
      </c>
      <c r="H395" s="69">
        <f ca="1">SUMIF('CAP6-7'!$B:$H,Insumo[[#This Row],[DESCRIPCION]],'CAP6-7'!$H:$H)</f>
        <v>0</v>
      </c>
      <c r="I395" s="69">
        <f ca="1">SUMIF('CAP8'!$B:$H,Insumo[[#This Row],[DESCRIPCION]],'CAP8'!$H:$H)</f>
        <v>0</v>
      </c>
      <c r="J395" s="69">
        <f ca="1">SUMIF('CAP9-13'!$B:$H,Insumo[[#This Row],[DESCRIPCION]],'CAP9-13'!$H:$H)</f>
        <v>0</v>
      </c>
      <c r="K395" s="69">
        <f ca="1">SUMIF('CAP14-15'!$B:$H,Insumo[[#This Row],[DESCRIPCION]],'CAP14-15'!$H:$H)</f>
        <v>0</v>
      </c>
      <c r="L395" s="69">
        <f ca="1">SUMIF('CAP16-18'!$B:$H,Insumo[[#This Row],[DESCRIPCION]],'CAP16-18'!$H:$H)</f>
        <v>0</v>
      </c>
      <c r="M395" s="69">
        <f ca="1">SUMIF('CAP19-22'!$B:$H,Insumo[[#This Row],[DESCRIPCION]],'CAP19-22'!$H:$H)</f>
        <v>0</v>
      </c>
      <c r="N395" s="69">
        <f ca="1">SUMIF('CAP23-24'!$B:$H,Insumo[[#This Row],[DESCRIPCION]],'CAP23-24'!$H:$H)</f>
        <v>0</v>
      </c>
      <c r="O395" s="69">
        <f ca="1">SUMIF('CAP25'!$B:$H,Insumo[[#This Row],[DESCRIPCION]],'CAP25'!$H:$H)</f>
        <v>0</v>
      </c>
      <c r="P395" s="69">
        <f ca="1">SUMIF('CAP26-28'!$B:$H,Insumo[[#This Row],[DESCRIPCION]],'CAP26-28'!$H:$H)</f>
        <v>0</v>
      </c>
      <c r="Q395" s="69">
        <f ca="1">SUMIF('CAP29'!$B:$H,Insumo[[#This Row],[DESCRIPCION]],'CAP29'!$H:$H)</f>
        <v>0</v>
      </c>
      <c r="R395" s="290"/>
      <c r="T395" s="136">
        <v>78157</v>
      </c>
    </row>
    <row r="396" spans="1:20" ht="12" customHeight="1">
      <c r="A396" s="301" t="s">
        <v>3007</v>
      </c>
      <c r="B396" s="303" t="s">
        <v>20</v>
      </c>
      <c r="C396" s="304">
        <f t="shared" si="6"/>
        <v>19316.850000000002</v>
      </c>
      <c r="D396" s="281" cm="1">
        <f t="array" aca="1" ref="D396" ca="1">IF(Insumo[[#This Row],[VALOR]]=0,Insumo[TOTAL],E396/C396)</f>
        <v>0</v>
      </c>
      <c r="E396" s="69">
        <f ca="1">SUM(Insumo[[#This Row],[CAP1-3]:[CAP29]])</f>
        <v>0</v>
      </c>
      <c r="F396" s="69">
        <f ca="1">SUMIF('CAP1-3'!$B:$H,Insumo[[#This Row],[DESCRIPCION]],'CAP1-3'!$H:$H)</f>
        <v>0</v>
      </c>
      <c r="G396" s="69">
        <f ca="1">SUMIF('CAP4-5'!$B:$H,Insumo[[#This Row],[DESCRIPCION]],'CAP4-5'!$H:$H)</f>
        <v>0</v>
      </c>
      <c r="H396" s="69">
        <f ca="1">SUMIF('CAP6-7'!$B:$H,Insumo[[#This Row],[DESCRIPCION]],'CAP6-7'!$H:$H)</f>
        <v>0</v>
      </c>
      <c r="I396" s="69">
        <f ca="1">SUMIF('CAP8'!$B:$H,Insumo[[#This Row],[DESCRIPCION]],'CAP8'!$H:$H)</f>
        <v>0</v>
      </c>
      <c r="J396" s="69">
        <f ca="1">SUMIF('CAP9-13'!$B:$H,Insumo[[#This Row],[DESCRIPCION]],'CAP9-13'!$H:$H)</f>
        <v>0</v>
      </c>
      <c r="K396" s="69">
        <f ca="1">SUMIF('CAP14-15'!$B:$H,Insumo[[#This Row],[DESCRIPCION]],'CAP14-15'!$H:$H)</f>
        <v>0</v>
      </c>
      <c r="L396" s="69">
        <f ca="1">SUMIF('CAP16-18'!$B:$H,Insumo[[#This Row],[DESCRIPCION]],'CAP16-18'!$H:$H)</f>
        <v>0</v>
      </c>
      <c r="M396" s="69">
        <f ca="1">SUMIF('CAP19-22'!$B:$H,Insumo[[#This Row],[DESCRIPCION]],'CAP19-22'!$H:$H)</f>
        <v>0</v>
      </c>
      <c r="N396" s="69">
        <f ca="1">SUMIF('CAP23-24'!$B:$H,Insumo[[#This Row],[DESCRIPCION]],'CAP23-24'!$H:$H)</f>
        <v>0</v>
      </c>
      <c r="O396" s="69">
        <f ca="1">SUMIF('CAP25'!$B:$H,Insumo[[#This Row],[DESCRIPCION]],'CAP25'!$H:$H)</f>
        <v>0</v>
      </c>
      <c r="P396" s="69">
        <f ca="1">SUMIF('CAP26-28'!$B:$H,Insumo[[#This Row],[DESCRIPCION]],'CAP26-28'!$H:$H)</f>
        <v>0</v>
      </c>
      <c r="Q396" s="69">
        <f ca="1">SUMIF('CAP29'!$B:$H,Insumo[[#This Row],[DESCRIPCION]],'CAP29'!$H:$H)</f>
        <v>0</v>
      </c>
      <c r="R396" s="290"/>
      <c r="T396" s="136">
        <v>18397</v>
      </c>
    </row>
    <row r="397" spans="1:20" ht="12" customHeight="1">
      <c r="A397" s="301" t="s">
        <v>3008</v>
      </c>
      <c r="B397" s="303" t="s">
        <v>23</v>
      </c>
      <c r="C397" s="304">
        <f t="shared" si="6"/>
        <v>85247.400000000009</v>
      </c>
      <c r="D397" s="281" cm="1">
        <f t="array" aca="1" ref="D397" ca="1">IF(Insumo[[#This Row],[VALOR]]=0,Insumo[TOTAL],E397/C397)</f>
        <v>0</v>
      </c>
      <c r="E397" s="69">
        <f ca="1">SUM(Insumo[[#This Row],[CAP1-3]:[CAP29]])</f>
        <v>0</v>
      </c>
      <c r="F397" s="69">
        <f ca="1">SUMIF('CAP1-3'!$B:$H,Insumo[[#This Row],[DESCRIPCION]],'CAP1-3'!$H:$H)</f>
        <v>0</v>
      </c>
      <c r="G397" s="69">
        <f ca="1">SUMIF('CAP4-5'!$B:$H,Insumo[[#This Row],[DESCRIPCION]],'CAP4-5'!$H:$H)</f>
        <v>0</v>
      </c>
      <c r="H397" s="69">
        <f ca="1">SUMIF('CAP6-7'!$B:$H,Insumo[[#This Row],[DESCRIPCION]],'CAP6-7'!$H:$H)</f>
        <v>0</v>
      </c>
      <c r="I397" s="69">
        <f ca="1">SUMIF('CAP8'!$B:$H,Insumo[[#This Row],[DESCRIPCION]],'CAP8'!$H:$H)</f>
        <v>0</v>
      </c>
      <c r="J397" s="69">
        <f ca="1">SUMIF('CAP9-13'!$B:$H,Insumo[[#This Row],[DESCRIPCION]],'CAP9-13'!$H:$H)</f>
        <v>0</v>
      </c>
      <c r="K397" s="69">
        <f ca="1">SUMIF('CAP14-15'!$B:$H,Insumo[[#This Row],[DESCRIPCION]],'CAP14-15'!$H:$H)</f>
        <v>0</v>
      </c>
      <c r="L397" s="69">
        <f ca="1">SUMIF('CAP16-18'!$B:$H,Insumo[[#This Row],[DESCRIPCION]],'CAP16-18'!$H:$H)</f>
        <v>0</v>
      </c>
      <c r="M397" s="69">
        <f ca="1">SUMIF('CAP19-22'!$B:$H,Insumo[[#This Row],[DESCRIPCION]],'CAP19-22'!$H:$H)</f>
        <v>0</v>
      </c>
      <c r="N397" s="69">
        <f ca="1">SUMIF('CAP23-24'!$B:$H,Insumo[[#This Row],[DESCRIPCION]],'CAP23-24'!$H:$H)</f>
        <v>0</v>
      </c>
      <c r="O397" s="69">
        <f ca="1">SUMIF('CAP25'!$B:$H,Insumo[[#This Row],[DESCRIPCION]],'CAP25'!$H:$H)</f>
        <v>0</v>
      </c>
      <c r="P397" s="69">
        <f ca="1">SUMIF('CAP26-28'!$B:$H,Insumo[[#This Row],[DESCRIPCION]],'CAP26-28'!$H:$H)</f>
        <v>0</v>
      </c>
      <c r="Q397" s="69">
        <f ca="1">SUMIF('CAP29'!$B:$H,Insumo[[#This Row],[DESCRIPCION]],'CAP29'!$H:$H)</f>
        <v>0</v>
      </c>
      <c r="R397" s="290"/>
      <c r="T397" s="136">
        <v>81188</v>
      </c>
    </row>
    <row r="398" spans="1:20" ht="12" customHeight="1">
      <c r="A398" s="301" t="s">
        <v>3009</v>
      </c>
      <c r="B398" s="303" t="s">
        <v>338</v>
      </c>
      <c r="C398" s="304">
        <f t="shared" si="6"/>
        <v>34651.050000000003</v>
      </c>
      <c r="D398" s="281" cm="1">
        <f t="array" aca="1" ref="D398" ca="1">IF(Insumo[[#This Row],[VALOR]]=0,Insumo[TOTAL],E398/C398)</f>
        <v>0</v>
      </c>
      <c r="E398" s="69">
        <f ca="1">SUM(Insumo[[#This Row],[CAP1-3]:[CAP29]])</f>
        <v>0</v>
      </c>
      <c r="F398" s="69">
        <f ca="1">SUMIF('CAP1-3'!$B:$H,Insumo[[#This Row],[DESCRIPCION]],'CAP1-3'!$H:$H)</f>
        <v>0</v>
      </c>
      <c r="G398" s="69">
        <f ca="1">SUMIF('CAP4-5'!$B:$H,Insumo[[#This Row],[DESCRIPCION]],'CAP4-5'!$H:$H)</f>
        <v>0</v>
      </c>
      <c r="H398" s="69">
        <f ca="1">SUMIF('CAP6-7'!$B:$H,Insumo[[#This Row],[DESCRIPCION]],'CAP6-7'!$H:$H)</f>
        <v>0</v>
      </c>
      <c r="I398" s="69">
        <f ca="1">SUMIF('CAP8'!$B:$H,Insumo[[#This Row],[DESCRIPCION]],'CAP8'!$H:$H)</f>
        <v>0</v>
      </c>
      <c r="J398" s="69">
        <f ca="1">SUMIF('CAP9-13'!$B:$H,Insumo[[#This Row],[DESCRIPCION]],'CAP9-13'!$H:$H)</f>
        <v>0</v>
      </c>
      <c r="K398" s="69">
        <f ca="1">SUMIF('CAP14-15'!$B:$H,Insumo[[#This Row],[DESCRIPCION]],'CAP14-15'!$H:$H)</f>
        <v>0</v>
      </c>
      <c r="L398" s="69">
        <f ca="1">SUMIF('CAP16-18'!$B:$H,Insumo[[#This Row],[DESCRIPCION]],'CAP16-18'!$H:$H)</f>
        <v>0</v>
      </c>
      <c r="M398" s="69">
        <f ca="1">SUMIF('CAP19-22'!$B:$H,Insumo[[#This Row],[DESCRIPCION]],'CAP19-22'!$H:$H)</f>
        <v>0</v>
      </c>
      <c r="N398" s="69">
        <f ca="1">SUMIF('CAP23-24'!$B:$H,Insumo[[#This Row],[DESCRIPCION]],'CAP23-24'!$H:$H)</f>
        <v>0</v>
      </c>
      <c r="O398" s="69">
        <f ca="1">SUMIF('CAP25'!$B:$H,Insumo[[#This Row],[DESCRIPCION]],'CAP25'!$H:$H)</f>
        <v>0</v>
      </c>
      <c r="P398" s="69">
        <f ca="1">SUMIF('CAP26-28'!$B:$H,Insumo[[#This Row],[DESCRIPCION]],'CAP26-28'!$H:$H)</f>
        <v>0</v>
      </c>
      <c r="Q398" s="69">
        <f ca="1">SUMIF('CAP29'!$B:$H,Insumo[[#This Row],[DESCRIPCION]],'CAP29'!$H:$H)</f>
        <v>0</v>
      </c>
      <c r="T398" s="136">
        <v>33001</v>
      </c>
    </row>
    <row r="399" spans="1:20" ht="12" customHeight="1">
      <c r="A399" s="301" t="s">
        <v>3010</v>
      </c>
      <c r="B399" s="303" t="s">
        <v>2621</v>
      </c>
      <c r="C399" s="304">
        <f t="shared" si="6"/>
        <v>11309.550000000001</v>
      </c>
      <c r="D399" s="281" cm="1">
        <f t="array" aca="1" ref="D399" ca="1">IF(Insumo[[#This Row],[VALOR]]=0,Insumo[TOTAL],E399/C399)</f>
        <v>0</v>
      </c>
      <c r="E399" s="69">
        <f ca="1">SUM(Insumo[[#This Row],[CAP1-3]:[CAP29]])</f>
        <v>0</v>
      </c>
      <c r="F399" s="69">
        <f ca="1">SUMIF('CAP1-3'!$B:$H,Insumo[[#This Row],[DESCRIPCION]],'CAP1-3'!$H:$H)</f>
        <v>0</v>
      </c>
      <c r="G399" s="69">
        <f ca="1">SUMIF('CAP4-5'!$B:$H,Insumo[[#This Row],[DESCRIPCION]],'CAP4-5'!$H:$H)</f>
        <v>0</v>
      </c>
      <c r="H399" s="69">
        <f ca="1">SUMIF('CAP6-7'!$B:$H,Insumo[[#This Row],[DESCRIPCION]],'CAP6-7'!$H:$H)</f>
        <v>0</v>
      </c>
      <c r="I399" s="69">
        <f ca="1">SUMIF('CAP8'!$B:$H,Insumo[[#This Row],[DESCRIPCION]],'CAP8'!$H:$H)</f>
        <v>0</v>
      </c>
      <c r="J399" s="69">
        <f ca="1">SUMIF('CAP9-13'!$B:$H,Insumo[[#This Row],[DESCRIPCION]],'CAP9-13'!$H:$H)</f>
        <v>0</v>
      </c>
      <c r="K399" s="69">
        <f ca="1">SUMIF('CAP14-15'!$B:$H,Insumo[[#This Row],[DESCRIPCION]],'CAP14-15'!$H:$H)</f>
        <v>0</v>
      </c>
      <c r="L399" s="69">
        <f ca="1">SUMIF('CAP16-18'!$B:$H,Insumo[[#This Row],[DESCRIPCION]],'CAP16-18'!$H:$H)</f>
        <v>0</v>
      </c>
      <c r="M399" s="69">
        <f ca="1">SUMIF('CAP19-22'!$B:$H,Insumo[[#This Row],[DESCRIPCION]],'CAP19-22'!$H:$H)</f>
        <v>0</v>
      </c>
      <c r="N399" s="69">
        <f ca="1">SUMIF('CAP23-24'!$B:$H,Insumo[[#This Row],[DESCRIPCION]],'CAP23-24'!$H:$H)</f>
        <v>0</v>
      </c>
      <c r="O399" s="69">
        <f ca="1">SUMIF('CAP25'!$B:$H,Insumo[[#This Row],[DESCRIPCION]],'CAP25'!$H:$H)</f>
        <v>0</v>
      </c>
      <c r="P399" s="69">
        <f ca="1">SUMIF('CAP26-28'!$B:$H,Insumo[[#This Row],[DESCRIPCION]],'CAP26-28'!$H:$H)</f>
        <v>0</v>
      </c>
      <c r="Q399" s="69">
        <f ca="1">SUMIF('CAP29'!$B:$H,Insumo[[#This Row],[DESCRIPCION]],'CAP29'!$H:$H)</f>
        <v>0</v>
      </c>
      <c r="T399" s="136">
        <v>10771</v>
      </c>
    </row>
    <row r="400" spans="1:20" ht="12" customHeight="1">
      <c r="A400" s="301" t="s">
        <v>3011</v>
      </c>
      <c r="B400" s="303" t="s">
        <v>23</v>
      </c>
      <c r="C400" s="304">
        <f t="shared" si="6"/>
        <v>8325.4500000000007</v>
      </c>
      <c r="D400" s="281" cm="1">
        <f t="array" aca="1" ref="D400" ca="1">IF(Insumo[[#This Row],[VALOR]]=0,Insumo[TOTAL],E400/C400)</f>
        <v>0</v>
      </c>
      <c r="E400" s="69">
        <f ca="1">SUM(Insumo[[#This Row],[CAP1-3]:[CAP29]])</f>
        <v>0</v>
      </c>
      <c r="F400" s="69">
        <f ca="1">SUMIF('CAP1-3'!$B:$H,Insumo[[#This Row],[DESCRIPCION]],'CAP1-3'!$H:$H)</f>
        <v>0</v>
      </c>
      <c r="G400" s="69">
        <f ca="1">SUMIF('CAP4-5'!$B:$H,Insumo[[#This Row],[DESCRIPCION]],'CAP4-5'!$H:$H)</f>
        <v>0</v>
      </c>
      <c r="H400" s="69">
        <f ca="1">SUMIF('CAP6-7'!$B:$H,Insumo[[#This Row],[DESCRIPCION]],'CAP6-7'!$H:$H)</f>
        <v>0</v>
      </c>
      <c r="I400" s="69">
        <f ca="1">SUMIF('CAP8'!$B:$H,Insumo[[#This Row],[DESCRIPCION]],'CAP8'!$H:$H)</f>
        <v>0</v>
      </c>
      <c r="J400" s="69">
        <f ca="1">SUMIF('CAP9-13'!$B:$H,Insumo[[#This Row],[DESCRIPCION]],'CAP9-13'!$H:$H)</f>
        <v>0</v>
      </c>
      <c r="K400" s="69">
        <f ca="1">SUMIF('CAP14-15'!$B:$H,Insumo[[#This Row],[DESCRIPCION]],'CAP14-15'!$H:$H)</f>
        <v>0</v>
      </c>
      <c r="L400" s="69">
        <f ca="1">SUMIF('CAP16-18'!$B:$H,Insumo[[#This Row],[DESCRIPCION]],'CAP16-18'!$H:$H)</f>
        <v>0</v>
      </c>
      <c r="M400" s="69">
        <f ca="1">SUMIF('CAP19-22'!$B:$H,Insumo[[#This Row],[DESCRIPCION]],'CAP19-22'!$H:$H)</f>
        <v>0</v>
      </c>
      <c r="N400" s="69">
        <f ca="1">SUMIF('CAP23-24'!$B:$H,Insumo[[#This Row],[DESCRIPCION]],'CAP23-24'!$H:$H)</f>
        <v>0</v>
      </c>
      <c r="O400" s="69">
        <f ca="1">SUMIF('CAP25'!$B:$H,Insumo[[#This Row],[DESCRIPCION]],'CAP25'!$H:$H)</f>
        <v>0</v>
      </c>
      <c r="P400" s="69">
        <f ca="1">SUMIF('CAP26-28'!$B:$H,Insumo[[#This Row],[DESCRIPCION]],'CAP26-28'!$H:$H)</f>
        <v>0</v>
      </c>
      <c r="Q400" s="69">
        <f ca="1">SUMIF('CAP29'!$B:$H,Insumo[[#This Row],[DESCRIPCION]],'CAP29'!$H:$H)</f>
        <v>0</v>
      </c>
      <c r="T400" s="136">
        <v>7929</v>
      </c>
    </row>
    <row r="401" spans="1:20" ht="12" customHeight="1">
      <c r="A401" s="301" t="s">
        <v>3012</v>
      </c>
      <c r="B401" s="303" t="s">
        <v>23</v>
      </c>
      <c r="C401" s="304">
        <f t="shared" si="6"/>
        <v>13639.5</v>
      </c>
      <c r="D401" s="281" cm="1">
        <f t="array" aca="1" ref="D401" ca="1">IF(Insumo[[#This Row],[VALOR]]=0,Insumo[TOTAL],E401/C401)</f>
        <v>0</v>
      </c>
      <c r="E401" s="69">
        <f ca="1">SUM(Insumo[[#This Row],[CAP1-3]:[CAP29]])</f>
        <v>0</v>
      </c>
      <c r="F401" s="69">
        <f ca="1">SUMIF('CAP1-3'!$B:$H,Insumo[[#This Row],[DESCRIPCION]],'CAP1-3'!$H:$H)</f>
        <v>0</v>
      </c>
      <c r="G401" s="69">
        <f ca="1">SUMIF('CAP4-5'!$B:$H,Insumo[[#This Row],[DESCRIPCION]],'CAP4-5'!$H:$H)</f>
        <v>0</v>
      </c>
      <c r="H401" s="69">
        <f ca="1">SUMIF('CAP6-7'!$B:$H,Insumo[[#This Row],[DESCRIPCION]],'CAP6-7'!$H:$H)</f>
        <v>0</v>
      </c>
      <c r="I401" s="69">
        <f ca="1">SUMIF('CAP8'!$B:$H,Insumo[[#This Row],[DESCRIPCION]],'CAP8'!$H:$H)</f>
        <v>0</v>
      </c>
      <c r="J401" s="69">
        <f ca="1">SUMIF('CAP9-13'!$B:$H,Insumo[[#This Row],[DESCRIPCION]],'CAP9-13'!$H:$H)</f>
        <v>0</v>
      </c>
      <c r="K401" s="69">
        <f ca="1">SUMIF('CAP14-15'!$B:$H,Insumo[[#This Row],[DESCRIPCION]],'CAP14-15'!$H:$H)</f>
        <v>0</v>
      </c>
      <c r="L401" s="69">
        <f ca="1">SUMIF('CAP16-18'!$B:$H,Insumo[[#This Row],[DESCRIPCION]],'CAP16-18'!$H:$H)</f>
        <v>0</v>
      </c>
      <c r="M401" s="69">
        <f ca="1">SUMIF('CAP19-22'!$B:$H,Insumo[[#This Row],[DESCRIPCION]],'CAP19-22'!$H:$H)</f>
        <v>0</v>
      </c>
      <c r="N401" s="69">
        <f ca="1">SUMIF('CAP23-24'!$B:$H,Insumo[[#This Row],[DESCRIPCION]],'CAP23-24'!$H:$H)</f>
        <v>0</v>
      </c>
      <c r="O401" s="69">
        <f ca="1">SUMIF('CAP25'!$B:$H,Insumo[[#This Row],[DESCRIPCION]],'CAP25'!$H:$H)</f>
        <v>0</v>
      </c>
      <c r="P401" s="69">
        <f ca="1">SUMIF('CAP26-28'!$B:$H,Insumo[[#This Row],[DESCRIPCION]],'CAP26-28'!$H:$H)</f>
        <v>0</v>
      </c>
      <c r="Q401" s="69">
        <f ca="1">SUMIF('CAP29'!$B:$H,Insumo[[#This Row],[DESCRIPCION]],'CAP29'!$H:$H)</f>
        <v>0</v>
      </c>
      <c r="T401" s="136">
        <v>12990</v>
      </c>
    </row>
    <row r="402" spans="1:20" ht="12" customHeight="1">
      <c r="A402" s="301" t="s">
        <v>3013</v>
      </c>
      <c r="B402" s="303" t="s">
        <v>30</v>
      </c>
      <c r="C402" s="304">
        <f t="shared" si="6"/>
        <v>2386912.5</v>
      </c>
      <c r="D402" s="281" cm="1">
        <f t="array" aca="1" ref="D402" ca="1">IF(Insumo[[#This Row],[VALOR]]=0,Insumo[TOTAL],E402/C402)</f>
        <v>0</v>
      </c>
      <c r="E402" s="69">
        <f ca="1">SUM(Insumo[[#This Row],[CAP1-3]:[CAP29]])</f>
        <v>0</v>
      </c>
      <c r="F402" s="69">
        <f ca="1">SUMIF('CAP1-3'!$B:$H,Insumo[[#This Row],[DESCRIPCION]],'CAP1-3'!$H:$H)</f>
        <v>0</v>
      </c>
      <c r="G402" s="69">
        <f ca="1">SUMIF('CAP4-5'!$B:$H,Insumo[[#This Row],[DESCRIPCION]],'CAP4-5'!$H:$H)</f>
        <v>0</v>
      </c>
      <c r="H402" s="69">
        <f ca="1">SUMIF('CAP6-7'!$B:$H,Insumo[[#This Row],[DESCRIPCION]],'CAP6-7'!$H:$H)</f>
        <v>0</v>
      </c>
      <c r="I402" s="69">
        <f ca="1">SUMIF('CAP8'!$B:$H,Insumo[[#This Row],[DESCRIPCION]],'CAP8'!$H:$H)</f>
        <v>0</v>
      </c>
      <c r="J402" s="69">
        <f ca="1">SUMIF('CAP9-13'!$B:$H,Insumo[[#This Row],[DESCRIPCION]],'CAP9-13'!$H:$H)</f>
        <v>0</v>
      </c>
      <c r="K402" s="69">
        <f ca="1">SUMIF('CAP14-15'!$B:$H,Insumo[[#This Row],[DESCRIPCION]],'CAP14-15'!$H:$H)</f>
        <v>0</v>
      </c>
      <c r="L402" s="69">
        <f ca="1">SUMIF('CAP16-18'!$B:$H,Insumo[[#This Row],[DESCRIPCION]],'CAP16-18'!$H:$H)</f>
        <v>0</v>
      </c>
      <c r="M402" s="69">
        <f ca="1">SUMIF('CAP19-22'!$B:$H,Insumo[[#This Row],[DESCRIPCION]],'CAP19-22'!$H:$H)</f>
        <v>0</v>
      </c>
      <c r="N402" s="69">
        <f ca="1">SUMIF('CAP23-24'!$B:$H,Insumo[[#This Row],[DESCRIPCION]],'CAP23-24'!$H:$H)</f>
        <v>0</v>
      </c>
      <c r="O402" s="69">
        <f ca="1">SUMIF('CAP25'!$B:$H,Insumo[[#This Row],[DESCRIPCION]],'CAP25'!$H:$H)</f>
        <v>0</v>
      </c>
      <c r="P402" s="69">
        <f ca="1">SUMIF('CAP26-28'!$B:$H,Insumo[[#This Row],[DESCRIPCION]],'CAP26-28'!$H:$H)</f>
        <v>0</v>
      </c>
      <c r="Q402" s="69">
        <f ca="1">SUMIF('CAP29'!$B:$H,Insumo[[#This Row],[DESCRIPCION]],'CAP29'!$H:$H)</f>
        <v>0</v>
      </c>
      <c r="T402" s="136">
        <v>2273250</v>
      </c>
    </row>
    <row r="403" spans="1:20" ht="12" customHeight="1">
      <c r="A403" s="301" t="s">
        <v>3014</v>
      </c>
      <c r="B403" s="303" t="s">
        <v>23</v>
      </c>
      <c r="C403" s="304">
        <f t="shared" si="6"/>
        <v>1247400</v>
      </c>
      <c r="D403" s="281" cm="1">
        <f t="array" aca="1" ref="D403" ca="1">IF(Insumo[[#This Row],[VALOR]]=0,Insumo[TOTAL],E403/C403)</f>
        <v>0</v>
      </c>
      <c r="E403" s="69">
        <f ca="1">SUM(Insumo[[#This Row],[CAP1-3]:[CAP29]])</f>
        <v>0</v>
      </c>
      <c r="F403" s="69">
        <f ca="1">SUMIF('CAP1-3'!$B:$H,Insumo[[#This Row],[DESCRIPCION]],'CAP1-3'!$H:$H)</f>
        <v>0</v>
      </c>
      <c r="G403" s="69">
        <f ca="1">SUMIF('CAP4-5'!$B:$H,Insumo[[#This Row],[DESCRIPCION]],'CAP4-5'!$H:$H)</f>
        <v>0</v>
      </c>
      <c r="H403" s="69">
        <f ca="1">SUMIF('CAP6-7'!$B:$H,Insumo[[#This Row],[DESCRIPCION]],'CAP6-7'!$H:$H)</f>
        <v>0</v>
      </c>
      <c r="I403" s="69">
        <f ca="1">SUMIF('CAP8'!$B:$H,Insumo[[#This Row],[DESCRIPCION]],'CAP8'!$H:$H)</f>
        <v>0</v>
      </c>
      <c r="J403" s="69">
        <f ca="1">SUMIF('CAP9-13'!$B:$H,Insumo[[#This Row],[DESCRIPCION]],'CAP9-13'!$H:$H)</f>
        <v>0</v>
      </c>
      <c r="K403" s="69">
        <f ca="1">SUMIF('CAP14-15'!$B:$H,Insumo[[#This Row],[DESCRIPCION]],'CAP14-15'!$H:$H)</f>
        <v>0</v>
      </c>
      <c r="L403" s="69">
        <f ca="1">SUMIF('CAP16-18'!$B:$H,Insumo[[#This Row],[DESCRIPCION]],'CAP16-18'!$H:$H)</f>
        <v>0</v>
      </c>
      <c r="M403" s="69">
        <f ca="1">SUMIF('CAP19-22'!$B:$H,Insumo[[#This Row],[DESCRIPCION]],'CAP19-22'!$H:$H)</f>
        <v>0</v>
      </c>
      <c r="N403" s="69">
        <f ca="1">SUMIF('CAP23-24'!$B:$H,Insumo[[#This Row],[DESCRIPCION]],'CAP23-24'!$H:$H)</f>
        <v>0</v>
      </c>
      <c r="O403" s="69">
        <f ca="1">SUMIF('CAP25'!$B:$H,Insumo[[#This Row],[DESCRIPCION]],'CAP25'!$H:$H)</f>
        <v>0</v>
      </c>
      <c r="P403" s="69">
        <f ca="1">SUMIF('CAP26-28'!$B:$H,Insumo[[#This Row],[DESCRIPCION]],'CAP26-28'!$H:$H)</f>
        <v>0</v>
      </c>
      <c r="Q403" s="69">
        <f ca="1">SUMIF('CAP29'!$B:$H,Insumo[[#This Row],[DESCRIPCION]],'CAP29'!$H:$H)</f>
        <v>0</v>
      </c>
      <c r="T403" s="136">
        <v>1188000</v>
      </c>
    </row>
    <row r="404" spans="1:20" ht="12" customHeight="1">
      <c r="A404" s="301" t="s">
        <v>3015</v>
      </c>
      <c r="B404" s="303" t="s">
        <v>23</v>
      </c>
      <c r="C404" s="304">
        <f t="shared" si="6"/>
        <v>2841.3</v>
      </c>
      <c r="D404" s="281" cm="1">
        <f t="array" aca="1" ref="D404" ca="1">IF(Insumo[[#This Row],[VALOR]]=0,Insumo[TOTAL],E404/C404)</f>
        <v>0</v>
      </c>
      <c r="E404" s="69">
        <f ca="1">SUM(Insumo[[#This Row],[CAP1-3]:[CAP29]])</f>
        <v>0</v>
      </c>
      <c r="F404" s="69">
        <f ca="1">SUMIF('CAP1-3'!$B:$H,Insumo[[#This Row],[DESCRIPCION]],'CAP1-3'!$H:$H)</f>
        <v>0</v>
      </c>
      <c r="G404" s="69">
        <f ca="1">SUMIF('CAP4-5'!$B:$H,Insumo[[#This Row],[DESCRIPCION]],'CAP4-5'!$H:$H)</f>
        <v>0</v>
      </c>
      <c r="H404" s="69">
        <f ca="1">SUMIF('CAP6-7'!$B:$H,Insumo[[#This Row],[DESCRIPCION]],'CAP6-7'!$H:$H)</f>
        <v>0</v>
      </c>
      <c r="I404" s="69">
        <f ca="1">SUMIF('CAP8'!$B:$H,Insumo[[#This Row],[DESCRIPCION]],'CAP8'!$H:$H)</f>
        <v>0</v>
      </c>
      <c r="J404" s="69">
        <f ca="1">SUMIF('CAP9-13'!$B:$H,Insumo[[#This Row],[DESCRIPCION]],'CAP9-13'!$H:$H)</f>
        <v>0</v>
      </c>
      <c r="K404" s="69">
        <f ca="1">SUMIF('CAP14-15'!$B:$H,Insumo[[#This Row],[DESCRIPCION]],'CAP14-15'!$H:$H)</f>
        <v>0</v>
      </c>
      <c r="L404" s="69">
        <f ca="1">SUMIF('CAP16-18'!$B:$H,Insumo[[#This Row],[DESCRIPCION]],'CAP16-18'!$H:$H)</f>
        <v>0</v>
      </c>
      <c r="M404" s="69">
        <f ca="1">SUMIF('CAP19-22'!$B:$H,Insumo[[#This Row],[DESCRIPCION]],'CAP19-22'!$H:$H)</f>
        <v>0</v>
      </c>
      <c r="N404" s="69">
        <f ca="1">SUMIF('CAP23-24'!$B:$H,Insumo[[#This Row],[DESCRIPCION]],'CAP23-24'!$H:$H)</f>
        <v>0</v>
      </c>
      <c r="O404" s="69">
        <f ca="1">SUMIF('CAP25'!$B:$H,Insumo[[#This Row],[DESCRIPCION]],'CAP25'!$H:$H)</f>
        <v>0</v>
      </c>
      <c r="P404" s="69">
        <f ca="1">SUMIF('CAP26-28'!$B:$H,Insumo[[#This Row],[DESCRIPCION]],'CAP26-28'!$H:$H)</f>
        <v>0</v>
      </c>
      <c r="Q404" s="69">
        <f ca="1">SUMIF('CAP29'!$B:$H,Insumo[[#This Row],[DESCRIPCION]],'CAP29'!$H:$H)</f>
        <v>0</v>
      </c>
      <c r="T404" s="136">
        <v>2706</v>
      </c>
    </row>
    <row r="405" spans="1:20" ht="12" customHeight="1">
      <c r="A405" s="301" t="s">
        <v>3016</v>
      </c>
      <c r="B405" s="303" t="s">
        <v>23</v>
      </c>
      <c r="C405" s="304">
        <f t="shared" si="6"/>
        <v>1648.5</v>
      </c>
      <c r="D405" s="281" cm="1">
        <f t="array" aca="1" ref="D405" ca="1">IF(Insumo[[#This Row],[VALOR]]=0,Insumo[TOTAL],E405/C405)</f>
        <v>0</v>
      </c>
      <c r="E405" s="69">
        <f ca="1">SUM(Insumo[[#This Row],[CAP1-3]:[CAP29]])</f>
        <v>0</v>
      </c>
      <c r="F405" s="69">
        <f ca="1">SUMIF('CAP1-3'!$B:$H,Insumo[[#This Row],[DESCRIPCION]],'CAP1-3'!$H:$H)</f>
        <v>0</v>
      </c>
      <c r="G405" s="69">
        <f ca="1">SUMIF('CAP4-5'!$B:$H,Insumo[[#This Row],[DESCRIPCION]],'CAP4-5'!$H:$H)</f>
        <v>0</v>
      </c>
      <c r="H405" s="69">
        <f ca="1">SUMIF('CAP6-7'!$B:$H,Insumo[[#This Row],[DESCRIPCION]],'CAP6-7'!$H:$H)</f>
        <v>0</v>
      </c>
      <c r="I405" s="69">
        <f ca="1">SUMIF('CAP8'!$B:$H,Insumo[[#This Row],[DESCRIPCION]],'CAP8'!$H:$H)</f>
        <v>0</v>
      </c>
      <c r="J405" s="69">
        <f ca="1">SUMIF('CAP9-13'!$B:$H,Insumo[[#This Row],[DESCRIPCION]],'CAP9-13'!$H:$H)</f>
        <v>0</v>
      </c>
      <c r="K405" s="69">
        <f ca="1">SUMIF('CAP14-15'!$B:$H,Insumo[[#This Row],[DESCRIPCION]],'CAP14-15'!$H:$H)</f>
        <v>0</v>
      </c>
      <c r="L405" s="69">
        <f ca="1">SUMIF('CAP16-18'!$B:$H,Insumo[[#This Row],[DESCRIPCION]],'CAP16-18'!$H:$H)</f>
        <v>0</v>
      </c>
      <c r="M405" s="69">
        <f ca="1">SUMIF('CAP19-22'!$B:$H,Insumo[[#This Row],[DESCRIPCION]],'CAP19-22'!$H:$H)</f>
        <v>0</v>
      </c>
      <c r="N405" s="69">
        <f ca="1">SUMIF('CAP23-24'!$B:$H,Insumo[[#This Row],[DESCRIPCION]],'CAP23-24'!$H:$H)</f>
        <v>0</v>
      </c>
      <c r="O405" s="69">
        <f ca="1">SUMIF('CAP25'!$B:$H,Insumo[[#This Row],[DESCRIPCION]],'CAP25'!$H:$H)</f>
        <v>0</v>
      </c>
      <c r="P405" s="69">
        <f ca="1">SUMIF('CAP26-28'!$B:$H,Insumo[[#This Row],[DESCRIPCION]],'CAP26-28'!$H:$H)</f>
        <v>0</v>
      </c>
      <c r="Q405" s="69">
        <f ca="1">SUMIF('CAP29'!$B:$H,Insumo[[#This Row],[DESCRIPCION]],'CAP29'!$H:$H)</f>
        <v>0</v>
      </c>
      <c r="T405" s="136">
        <v>1570</v>
      </c>
    </row>
    <row r="406" spans="1:20" ht="12" customHeight="1">
      <c r="A406" s="301" t="s">
        <v>3017</v>
      </c>
      <c r="B406" s="303" t="s">
        <v>23</v>
      </c>
      <c r="C406" s="304">
        <f t="shared" si="6"/>
        <v>2159.85</v>
      </c>
      <c r="D406" s="281" cm="1">
        <f t="array" aca="1" ref="D406" ca="1">IF(Insumo[[#This Row],[VALOR]]=0,Insumo[TOTAL],E406/C406)</f>
        <v>0</v>
      </c>
      <c r="E406" s="69">
        <f ca="1">SUM(Insumo[[#This Row],[CAP1-3]:[CAP29]])</f>
        <v>0</v>
      </c>
      <c r="F406" s="69">
        <f ca="1">SUMIF('CAP1-3'!$B:$H,Insumo[[#This Row],[DESCRIPCION]],'CAP1-3'!$H:$H)</f>
        <v>0</v>
      </c>
      <c r="G406" s="69">
        <f ca="1">SUMIF('CAP4-5'!$B:$H,Insumo[[#This Row],[DESCRIPCION]],'CAP4-5'!$H:$H)</f>
        <v>0</v>
      </c>
      <c r="H406" s="69">
        <f ca="1">SUMIF('CAP6-7'!$B:$H,Insumo[[#This Row],[DESCRIPCION]],'CAP6-7'!$H:$H)</f>
        <v>0</v>
      </c>
      <c r="I406" s="69">
        <f ca="1">SUMIF('CAP8'!$B:$H,Insumo[[#This Row],[DESCRIPCION]],'CAP8'!$H:$H)</f>
        <v>0</v>
      </c>
      <c r="J406" s="69">
        <f ca="1">SUMIF('CAP9-13'!$B:$H,Insumo[[#This Row],[DESCRIPCION]],'CAP9-13'!$H:$H)</f>
        <v>0</v>
      </c>
      <c r="K406" s="69">
        <f ca="1">SUMIF('CAP14-15'!$B:$H,Insumo[[#This Row],[DESCRIPCION]],'CAP14-15'!$H:$H)</f>
        <v>0</v>
      </c>
      <c r="L406" s="69">
        <f ca="1">SUMIF('CAP16-18'!$B:$H,Insumo[[#This Row],[DESCRIPCION]],'CAP16-18'!$H:$H)</f>
        <v>0</v>
      </c>
      <c r="M406" s="69">
        <f ca="1">SUMIF('CAP19-22'!$B:$H,Insumo[[#This Row],[DESCRIPCION]],'CAP19-22'!$H:$H)</f>
        <v>0</v>
      </c>
      <c r="N406" s="69">
        <f ca="1">SUMIF('CAP23-24'!$B:$H,Insumo[[#This Row],[DESCRIPCION]],'CAP23-24'!$H:$H)</f>
        <v>0</v>
      </c>
      <c r="O406" s="69">
        <f ca="1">SUMIF('CAP25'!$B:$H,Insumo[[#This Row],[DESCRIPCION]],'CAP25'!$H:$H)</f>
        <v>0</v>
      </c>
      <c r="P406" s="69">
        <f ca="1">SUMIF('CAP26-28'!$B:$H,Insumo[[#This Row],[DESCRIPCION]],'CAP26-28'!$H:$H)</f>
        <v>0</v>
      </c>
      <c r="Q406" s="69">
        <f ca="1">SUMIF('CAP29'!$B:$H,Insumo[[#This Row],[DESCRIPCION]],'CAP29'!$H:$H)</f>
        <v>0</v>
      </c>
      <c r="T406" s="136">
        <v>2057</v>
      </c>
    </row>
    <row r="407" spans="1:20" ht="12" customHeight="1">
      <c r="A407" s="301" t="s">
        <v>3018</v>
      </c>
      <c r="B407" s="303" t="s">
        <v>23</v>
      </c>
      <c r="C407" s="304">
        <f t="shared" si="6"/>
        <v>2940</v>
      </c>
      <c r="D407" s="281" cm="1">
        <f t="array" aca="1" ref="D407" ca="1">IF(Insumo[[#This Row],[VALOR]]=0,Insumo[TOTAL],E407/C407)</f>
        <v>0</v>
      </c>
      <c r="E407" s="69">
        <f ca="1">SUM(Insumo[[#This Row],[CAP1-3]:[CAP29]])</f>
        <v>0</v>
      </c>
      <c r="F407" s="69">
        <f ca="1">SUMIF('CAP1-3'!$B:$H,Insumo[[#This Row],[DESCRIPCION]],'CAP1-3'!$H:$H)</f>
        <v>0</v>
      </c>
      <c r="G407" s="69">
        <f ca="1">SUMIF('CAP4-5'!$B:$H,Insumo[[#This Row],[DESCRIPCION]],'CAP4-5'!$H:$H)</f>
        <v>0</v>
      </c>
      <c r="H407" s="69">
        <f ca="1">SUMIF('CAP6-7'!$B:$H,Insumo[[#This Row],[DESCRIPCION]],'CAP6-7'!$H:$H)</f>
        <v>0</v>
      </c>
      <c r="I407" s="69">
        <f ca="1">SUMIF('CAP8'!$B:$H,Insumo[[#This Row],[DESCRIPCION]],'CAP8'!$H:$H)</f>
        <v>0</v>
      </c>
      <c r="J407" s="69">
        <f ca="1">SUMIF('CAP9-13'!$B:$H,Insumo[[#This Row],[DESCRIPCION]],'CAP9-13'!$H:$H)</f>
        <v>0</v>
      </c>
      <c r="K407" s="69">
        <f ca="1">SUMIF('CAP14-15'!$B:$H,Insumo[[#This Row],[DESCRIPCION]],'CAP14-15'!$H:$H)</f>
        <v>0</v>
      </c>
      <c r="L407" s="69">
        <f ca="1">SUMIF('CAP16-18'!$B:$H,Insumo[[#This Row],[DESCRIPCION]],'CAP16-18'!$H:$H)</f>
        <v>0</v>
      </c>
      <c r="M407" s="69">
        <f ca="1">SUMIF('CAP19-22'!$B:$H,Insumo[[#This Row],[DESCRIPCION]],'CAP19-22'!$H:$H)</f>
        <v>0</v>
      </c>
      <c r="N407" s="69">
        <f ca="1">SUMIF('CAP23-24'!$B:$H,Insumo[[#This Row],[DESCRIPCION]],'CAP23-24'!$H:$H)</f>
        <v>0</v>
      </c>
      <c r="O407" s="69">
        <f ca="1">SUMIF('CAP25'!$B:$H,Insumo[[#This Row],[DESCRIPCION]],'CAP25'!$H:$H)</f>
        <v>0</v>
      </c>
      <c r="P407" s="69">
        <f ca="1">SUMIF('CAP26-28'!$B:$H,Insumo[[#This Row],[DESCRIPCION]],'CAP26-28'!$H:$H)</f>
        <v>0</v>
      </c>
      <c r="Q407" s="69">
        <f ca="1">SUMIF('CAP29'!$B:$H,Insumo[[#This Row],[DESCRIPCION]],'CAP29'!$H:$H)</f>
        <v>0</v>
      </c>
      <c r="T407" s="136">
        <v>2800</v>
      </c>
    </row>
    <row r="408" spans="1:20" ht="12" customHeight="1">
      <c r="A408" s="301" t="s">
        <v>3019</v>
      </c>
      <c r="B408" s="303" t="s">
        <v>23</v>
      </c>
      <c r="C408" s="304">
        <f t="shared" si="6"/>
        <v>1818.6000000000001</v>
      </c>
      <c r="D408" s="281" cm="1">
        <f t="array" aca="1" ref="D408" ca="1">IF(Insumo[[#This Row],[VALOR]]=0,Insumo[TOTAL],E408/C408)</f>
        <v>0</v>
      </c>
      <c r="E408" s="69">
        <f ca="1">SUM(Insumo[[#This Row],[CAP1-3]:[CAP29]])</f>
        <v>0</v>
      </c>
      <c r="F408" s="69">
        <f ca="1">SUMIF('CAP1-3'!$B:$H,Insumo[[#This Row],[DESCRIPCION]],'CAP1-3'!$H:$H)</f>
        <v>0</v>
      </c>
      <c r="G408" s="69">
        <f ca="1">SUMIF('CAP4-5'!$B:$H,Insumo[[#This Row],[DESCRIPCION]],'CAP4-5'!$H:$H)</f>
        <v>0</v>
      </c>
      <c r="H408" s="69">
        <f ca="1">SUMIF('CAP6-7'!$B:$H,Insumo[[#This Row],[DESCRIPCION]],'CAP6-7'!$H:$H)</f>
        <v>0</v>
      </c>
      <c r="I408" s="69">
        <f ca="1">SUMIF('CAP8'!$B:$H,Insumo[[#This Row],[DESCRIPCION]],'CAP8'!$H:$H)</f>
        <v>0</v>
      </c>
      <c r="J408" s="69">
        <f ca="1">SUMIF('CAP9-13'!$B:$H,Insumo[[#This Row],[DESCRIPCION]],'CAP9-13'!$H:$H)</f>
        <v>0</v>
      </c>
      <c r="K408" s="69">
        <f ca="1">SUMIF('CAP14-15'!$B:$H,Insumo[[#This Row],[DESCRIPCION]],'CAP14-15'!$H:$H)</f>
        <v>0</v>
      </c>
      <c r="L408" s="69">
        <f ca="1">SUMIF('CAP16-18'!$B:$H,Insumo[[#This Row],[DESCRIPCION]],'CAP16-18'!$H:$H)</f>
        <v>0</v>
      </c>
      <c r="M408" s="69">
        <f ca="1">SUMIF('CAP19-22'!$B:$H,Insumo[[#This Row],[DESCRIPCION]],'CAP19-22'!$H:$H)</f>
        <v>0</v>
      </c>
      <c r="N408" s="69">
        <f ca="1">SUMIF('CAP23-24'!$B:$H,Insumo[[#This Row],[DESCRIPCION]],'CAP23-24'!$H:$H)</f>
        <v>0</v>
      </c>
      <c r="O408" s="69">
        <f ca="1">SUMIF('CAP25'!$B:$H,Insumo[[#This Row],[DESCRIPCION]],'CAP25'!$H:$H)</f>
        <v>0</v>
      </c>
      <c r="P408" s="69">
        <f ca="1">SUMIF('CAP26-28'!$B:$H,Insumo[[#This Row],[DESCRIPCION]],'CAP26-28'!$H:$H)</f>
        <v>0</v>
      </c>
      <c r="Q408" s="69">
        <f ca="1">SUMIF('CAP29'!$B:$H,Insumo[[#This Row],[DESCRIPCION]],'CAP29'!$H:$H)</f>
        <v>0</v>
      </c>
      <c r="T408" s="136">
        <v>1732</v>
      </c>
    </row>
    <row r="409" spans="1:20" ht="12" customHeight="1">
      <c r="A409" s="301" t="s">
        <v>3020</v>
      </c>
      <c r="B409" s="303" t="s">
        <v>23</v>
      </c>
      <c r="C409" s="304">
        <f t="shared" si="6"/>
        <v>909.30000000000007</v>
      </c>
      <c r="D409" s="281" cm="1">
        <f t="array" aca="1" ref="D409" ca="1">IF(Insumo[[#This Row],[VALOR]]=0,Insumo[TOTAL],E409/C409)</f>
        <v>0</v>
      </c>
      <c r="E409" s="69">
        <f ca="1">SUM(Insumo[[#This Row],[CAP1-3]:[CAP29]])</f>
        <v>0</v>
      </c>
      <c r="F409" s="69">
        <f ca="1">SUMIF('CAP1-3'!$B:$H,Insumo[[#This Row],[DESCRIPCION]],'CAP1-3'!$H:$H)</f>
        <v>0</v>
      </c>
      <c r="G409" s="69">
        <f ca="1">SUMIF('CAP4-5'!$B:$H,Insumo[[#This Row],[DESCRIPCION]],'CAP4-5'!$H:$H)</f>
        <v>0</v>
      </c>
      <c r="H409" s="69">
        <f ca="1">SUMIF('CAP6-7'!$B:$H,Insumo[[#This Row],[DESCRIPCION]],'CAP6-7'!$H:$H)</f>
        <v>0</v>
      </c>
      <c r="I409" s="69">
        <f ca="1">SUMIF('CAP8'!$B:$H,Insumo[[#This Row],[DESCRIPCION]],'CAP8'!$H:$H)</f>
        <v>0</v>
      </c>
      <c r="J409" s="69">
        <f ca="1">SUMIF('CAP9-13'!$B:$H,Insumo[[#This Row],[DESCRIPCION]],'CAP9-13'!$H:$H)</f>
        <v>0</v>
      </c>
      <c r="K409" s="69">
        <f ca="1">SUMIF('CAP14-15'!$B:$H,Insumo[[#This Row],[DESCRIPCION]],'CAP14-15'!$H:$H)</f>
        <v>0</v>
      </c>
      <c r="L409" s="69">
        <f ca="1">SUMIF('CAP16-18'!$B:$H,Insumo[[#This Row],[DESCRIPCION]],'CAP16-18'!$H:$H)</f>
        <v>0</v>
      </c>
      <c r="M409" s="69">
        <f ca="1">SUMIF('CAP19-22'!$B:$H,Insumo[[#This Row],[DESCRIPCION]],'CAP19-22'!$H:$H)</f>
        <v>0</v>
      </c>
      <c r="N409" s="69">
        <f ca="1">SUMIF('CAP23-24'!$B:$H,Insumo[[#This Row],[DESCRIPCION]],'CAP23-24'!$H:$H)</f>
        <v>0</v>
      </c>
      <c r="O409" s="69">
        <f ca="1">SUMIF('CAP25'!$B:$H,Insumo[[#This Row],[DESCRIPCION]],'CAP25'!$H:$H)</f>
        <v>0</v>
      </c>
      <c r="P409" s="69">
        <f ca="1">SUMIF('CAP26-28'!$B:$H,Insumo[[#This Row],[DESCRIPCION]],'CAP26-28'!$H:$H)</f>
        <v>0</v>
      </c>
      <c r="Q409" s="69">
        <f ca="1">SUMIF('CAP29'!$B:$H,Insumo[[#This Row],[DESCRIPCION]],'CAP29'!$H:$H)</f>
        <v>0</v>
      </c>
      <c r="T409" s="136">
        <v>866</v>
      </c>
    </row>
    <row r="410" spans="1:20" ht="12" customHeight="1">
      <c r="A410" s="301" t="s">
        <v>3021</v>
      </c>
      <c r="B410" s="303" t="s">
        <v>23</v>
      </c>
      <c r="C410" s="304">
        <f t="shared" si="6"/>
        <v>1022.7</v>
      </c>
      <c r="D410" s="281" cm="1">
        <f t="array" aca="1" ref="D410" ca="1">IF(Insumo[[#This Row],[VALOR]]=0,Insumo[TOTAL],E410/C410)</f>
        <v>0</v>
      </c>
      <c r="E410" s="69">
        <f ca="1">SUM(Insumo[[#This Row],[CAP1-3]:[CAP29]])</f>
        <v>0</v>
      </c>
      <c r="F410" s="69">
        <f ca="1">SUMIF('CAP1-3'!$B:$H,Insumo[[#This Row],[DESCRIPCION]],'CAP1-3'!$H:$H)</f>
        <v>0</v>
      </c>
      <c r="G410" s="69">
        <f ca="1">SUMIF('CAP4-5'!$B:$H,Insumo[[#This Row],[DESCRIPCION]],'CAP4-5'!$H:$H)</f>
        <v>0</v>
      </c>
      <c r="H410" s="69">
        <f ca="1">SUMIF('CAP6-7'!$B:$H,Insumo[[#This Row],[DESCRIPCION]],'CAP6-7'!$H:$H)</f>
        <v>0</v>
      </c>
      <c r="I410" s="69">
        <f ca="1">SUMIF('CAP8'!$B:$H,Insumo[[#This Row],[DESCRIPCION]],'CAP8'!$H:$H)</f>
        <v>0</v>
      </c>
      <c r="J410" s="69">
        <f ca="1">SUMIF('CAP9-13'!$B:$H,Insumo[[#This Row],[DESCRIPCION]],'CAP9-13'!$H:$H)</f>
        <v>0</v>
      </c>
      <c r="K410" s="69">
        <f ca="1">SUMIF('CAP14-15'!$B:$H,Insumo[[#This Row],[DESCRIPCION]],'CAP14-15'!$H:$H)</f>
        <v>0</v>
      </c>
      <c r="L410" s="69">
        <f ca="1">SUMIF('CAP16-18'!$B:$H,Insumo[[#This Row],[DESCRIPCION]],'CAP16-18'!$H:$H)</f>
        <v>0</v>
      </c>
      <c r="M410" s="69">
        <f ca="1">SUMIF('CAP19-22'!$B:$H,Insumo[[#This Row],[DESCRIPCION]],'CAP19-22'!$H:$H)</f>
        <v>0</v>
      </c>
      <c r="N410" s="69">
        <f ca="1">SUMIF('CAP23-24'!$B:$H,Insumo[[#This Row],[DESCRIPCION]],'CAP23-24'!$H:$H)</f>
        <v>0</v>
      </c>
      <c r="O410" s="69">
        <f ca="1">SUMIF('CAP25'!$B:$H,Insumo[[#This Row],[DESCRIPCION]],'CAP25'!$H:$H)</f>
        <v>0</v>
      </c>
      <c r="P410" s="69">
        <f ca="1">SUMIF('CAP26-28'!$B:$H,Insumo[[#This Row],[DESCRIPCION]],'CAP26-28'!$H:$H)</f>
        <v>0</v>
      </c>
      <c r="Q410" s="69">
        <f ca="1">SUMIF('CAP29'!$B:$H,Insumo[[#This Row],[DESCRIPCION]],'CAP29'!$H:$H)</f>
        <v>0</v>
      </c>
      <c r="T410" s="136">
        <v>974</v>
      </c>
    </row>
    <row r="411" spans="1:20" ht="12" customHeight="1">
      <c r="A411" s="301" t="s">
        <v>3022</v>
      </c>
      <c r="B411" s="303" t="s">
        <v>20</v>
      </c>
      <c r="C411" s="304">
        <f t="shared" si="6"/>
        <v>120368.85</v>
      </c>
      <c r="D411" s="281" cm="1">
        <f t="array" aca="1" ref="D411" ca="1">IF(Insumo[[#This Row],[VALOR]]=0,Insumo[TOTAL],E411/C411)</f>
        <v>0</v>
      </c>
      <c r="E411" s="69">
        <f ca="1">SUM(Insumo[[#This Row],[CAP1-3]:[CAP29]])</f>
        <v>0</v>
      </c>
      <c r="F411" s="69">
        <f ca="1">SUMIF('CAP1-3'!$B:$H,Insumo[[#This Row],[DESCRIPCION]],'CAP1-3'!$H:$H)</f>
        <v>0</v>
      </c>
      <c r="G411" s="69">
        <f ca="1">SUMIF('CAP4-5'!$B:$H,Insumo[[#This Row],[DESCRIPCION]],'CAP4-5'!$H:$H)</f>
        <v>0</v>
      </c>
      <c r="H411" s="69">
        <f ca="1">SUMIF('CAP6-7'!$B:$H,Insumo[[#This Row],[DESCRIPCION]],'CAP6-7'!$H:$H)</f>
        <v>0</v>
      </c>
      <c r="I411" s="69">
        <f ca="1">SUMIF('CAP8'!$B:$H,Insumo[[#This Row],[DESCRIPCION]],'CAP8'!$H:$H)</f>
        <v>0</v>
      </c>
      <c r="J411" s="69">
        <f ca="1">SUMIF('CAP9-13'!$B:$H,Insumo[[#This Row],[DESCRIPCION]],'CAP9-13'!$H:$H)</f>
        <v>0</v>
      </c>
      <c r="K411" s="69">
        <f ca="1">SUMIF('CAP14-15'!$B:$H,Insumo[[#This Row],[DESCRIPCION]],'CAP14-15'!$H:$H)</f>
        <v>0</v>
      </c>
      <c r="L411" s="69">
        <f ca="1">SUMIF('CAP16-18'!$B:$H,Insumo[[#This Row],[DESCRIPCION]],'CAP16-18'!$H:$H)</f>
        <v>0</v>
      </c>
      <c r="M411" s="69">
        <f ca="1">SUMIF('CAP19-22'!$B:$H,Insumo[[#This Row],[DESCRIPCION]],'CAP19-22'!$H:$H)</f>
        <v>0</v>
      </c>
      <c r="N411" s="69">
        <f ca="1">SUMIF('CAP23-24'!$B:$H,Insumo[[#This Row],[DESCRIPCION]],'CAP23-24'!$H:$H)</f>
        <v>0</v>
      </c>
      <c r="O411" s="69">
        <f ca="1">SUMIF('CAP25'!$B:$H,Insumo[[#This Row],[DESCRIPCION]],'CAP25'!$H:$H)</f>
        <v>0</v>
      </c>
      <c r="P411" s="69">
        <f ca="1">SUMIF('CAP26-28'!$B:$H,Insumo[[#This Row],[DESCRIPCION]],'CAP26-28'!$H:$H)</f>
        <v>0</v>
      </c>
      <c r="Q411" s="69">
        <f ca="1">SUMIF('CAP29'!$B:$H,Insumo[[#This Row],[DESCRIPCION]],'CAP29'!$H:$H)</f>
        <v>0</v>
      </c>
      <c r="T411" s="136">
        <v>114637</v>
      </c>
    </row>
    <row r="412" spans="1:20" ht="12" customHeight="1">
      <c r="A412" s="301" t="s">
        <v>3023</v>
      </c>
      <c r="B412" s="303" t="s">
        <v>20</v>
      </c>
      <c r="C412" s="304">
        <f t="shared" si="6"/>
        <v>150830.39999999999</v>
      </c>
      <c r="D412" s="281" cm="1">
        <f t="array" aca="1" ref="D412" ca="1">IF(Insumo[[#This Row],[VALOR]]=0,Insumo[TOTAL],E412/C412)</f>
        <v>0</v>
      </c>
      <c r="E412" s="69">
        <f ca="1">SUM(Insumo[[#This Row],[CAP1-3]:[CAP29]])</f>
        <v>0</v>
      </c>
      <c r="F412" s="69">
        <f ca="1">SUMIF('CAP1-3'!$B:$H,Insumo[[#This Row],[DESCRIPCION]],'CAP1-3'!$H:$H)</f>
        <v>0</v>
      </c>
      <c r="G412" s="69">
        <f ca="1">SUMIF('CAP4-5'!$B:$H,Insumo[[#This Row],[DESCRIPCION]],'CAP4-5'!$H:$H)</f>
        <v>0</v>
      </c>
      <c r="H412" s="69">
        <f ca="1">SUMIF('CAP6-7'!$B:$H,Insumo[[#This Row],[DESCRIPCION]],'CAP6-7'!$H:$H)</f>
        <v>0</v>
      </c>
      <c r="I412" s="69">
        <f ca="1">SUMIF('CAP8'!$B:$H,Insumo[[#This Row],[DESCRIPCION]],'CAP8'!$H:$H)</f>
        <v>0</v>
      </c>
      <c r="J412" s="69">
        <f ca="1">SUMIF('CAP9-13'!$B:$H,Insumo[[#This Row],[DESCRIPCION]],'CAP9-13'!$H:$H)</f>
        <v>0</v>
      </c>
      <c r="K412" s="69">
        <f ca="1">SUMIF('CAP14-15'!$B:$H,Insumo[[#This Row],[DESCRIPCION]],'CAP14-15'!$H:$H)</f>
        <v>0</v>
      </c>
      <c r="L412" s="69">
        <f ca="1">SUMIF('CAP16-18'!$B:$H,Insumo[[#This Row],[DESCRIPCION]],'CAP16-18'!$H:$H)</f>
        <v>0</v>
      </c>
      <c r="M412" s="69">
        <f ca="1">SUMIF('CAP19-22'!$B:$H,Insumo[[#This Row],[DESCRIPCION]],'CAP19-22'!$H:$H)</f>
        <v>0</v>
      </c>
      <c r="N412" s="69">
        <f ca="1">SUMIF('CAP23-24'!$B:$H,Insumo[[#This Row],[DESCRIPCION]],'CAP23-24'!$H:$H)</f>
        <v>0</v>
      </c>
      <c r="O412" s="69">
        <f ca="1">SUMIF('CAP25'!$B:$H,Insumo[[#This Row],[DESCRIPCION]],'CAP25'!$H:$H)</f>
        <v>0</v>
      </c>
      <c r="P412" s="69">
        <f ca="1">SUMIF('CAP26-28'!$B:$H,Insumo[[#This Row],[DESCRIPCION]],'CAP26-28'!$H:$H)</f>
        <v>0</v>
      </c>
      <c r="Q412" s="69">
        <f ca="1">SUMIF('CAP29'!$B:$H,Insumo[[#This Row],[DESCRIPCION]],'CAP29'!$H:$H)</f>
        <v>0</v>
      </c>
      <c r="T412" s="136">
        <v>143648</v>
      </c>
    </row>
    <row r="413" spans="1:20" ht="12" customHeight="1">
      <c r="A413" s="301" t="s">
        <v>3024</v>
      </c>
      <c r="B413" s="303" t="s">
        <v>20</v>
      </c>
      <c r="C413" s="304">
        <f t="shared" si="6"/>
        <v>139918.80000000002</v>
      </c>
      <c r="D413" s="281" cm="1">
        <f t="array" aca="1" ref="D413" ca="1">IF(Insumo[[#This Row],[VALOR]]=0,Insumo[TOTAL],E413/C413)</f>
        <v>0</v>
      </c>
      <c r="E413" s="69">
        <f ca="1">SUM(Insumo[[#This Row],[CAP1-3]:[CAP29]])</f>
        <v>0</v>
      </c>
      <c r="F413" s="69">
        <f ca="1">SUMIF('CAP1-3'!$B:$H,Insumo[[#This Row],[DESCRIPCION]],'CAP1-3'!$H:$H)</f>
        <v>0</v>
      </c>
      <c r="G413" s="69">
        <f ca="1">SUMIF('CAP4-5'!$B:$H,Insumo[[#This Row],[DESCRIPCION]],'CAP4-5'!$H:$H)</f>
        <v>0</v>
      </c>
      <c r="H413" s="69">
        <f ca="1">SUMIF('CAP6-7'!$B:$H,Insumo[[#This Row],[DESCRIPCION]],'CAP6-7'!$H:$H)</f>
        <v>0</v>
      </c>
      <c r="I413" s="69">
        <f ca="1">SUMIF('CAP8'!$B:$H,Insumo[[#This Row],[DESCRIPCION]],'CAP8'!$H:$H)</f>
        <v>0</v>
      </c>
      <c r="J413" s="69">
        <f ca="1">SUMIF('CAP9-13'!$B:$H,Insumo[[#This Row],[DESCRIPCION]],'CAP9-13'!$H:$H)</f>
        <v>0</v>
      </c>
      <c r="K413" s="69">
        <f ca="1">SUMIF('CAP14-15'!$B:$H,Insumo[[#This Row],[DESCRIPCION]],'CAP14-15'!$H:$H)</f>
        <v>0</v>
      </c>
      <c r="L413" s="69">
        <f ca="1">SUMIF('CAP16-18'!$B:$H,Insumo[[#This Row],[DESCRIPCION]],'CAP16-18'!$H:$H)</f>
        <v>0</v>
      </c>
      <c r="M413" s="69">
        <f ca="1">SUMIF('CAP19-22'!$B:$H,Insumo[[#This Row],[DESCRIPCION]],'CAP19-22'!$H:$H)</f>
        <v>0</v>
      </c>
      <c r="N413" s="69">
        <f ca="1">SUMIF('CAP23-24'!$B:$H,Insumo[[#This Row],[DESCRIPCION]],'CAP23-24'!$H:$H)</f>
        <v>0</v>
      </c>
      <c r="O413" s="69">
        <f ca="1">SUMIF('CAP25'!$B:$H,Insumo[[#This Row],[DESCRIPCION]],'CAP25'!$H:$H)</f>
        <v>0</v>
      </c>
      <c r="P413" s="69">
        <f ca="1">SUMIF('CAP26-28'!$B:$H,Insumo[[#This Row],[DESCRIPCION]],'CAP26-28'!$H:$H)</f>
        <v>0</v>
      </c>
      <c r="Q413" s="69">
        <f ca="1">SUMIF('CAP29'!$B:$H,Insumo[[#This Row],[DESCRIPCION]],'CAP29'!$H:$H)</f>
        <v>0</v>
      </c>
      <c r="T413" s="136">
        <v>133256</v>
      </c>
    </row>
    <row r="414" spans="1:20" ht="12" customHeight="1">
      <c r="A414" s="301" t="s">
        <v>3025</v>
      </c>
      <c r="B414" s="303" t="s">
        <v>20</v>
      </c>
      <c r="C414" s="304">
        <f t="shared" si="6"/>
        <v>86326.8</v>
      </c>
      <c r="D414" s="281" cm="1">
        <f t="array" aca="1" ref="D414" ca="1">IF(Insumo[[#This Row],[VALOR]]=0,Insumo[TOTAL],E414/C414)</f>
        <v>0</v>
      </c>
      <c r="E414" s="69">
        <f ca="1">SUM(Insumo[[#This Row],[CAP1-3]:[CAP29]])</f>
        <v>0</v>
      </c>
      <c r="F414" s="69">
        <f ca="1">SUMIF('CAP1-3'!$B:$H,Insumo[[#This Row],[DESCRIPCION]],'CAP1-3'!$H:$H)</f>
        <v>0</v>
      </c>
      <c r="G414" s="69">
        <f ca="1">SUMIF('CAP4-5'!$B:$H,Insumo[[#This Row],[DESCRIPCION]],'CAP4-5'!$H:$H)</f>
        <v>0</v>
      </c>
      <c r="H414" s="69">
        <f ca="1">SUMIF('CAP6-7'!$B:$H,Insumo[[#This Row],[DESCRIPCION]],'CAP6-7'!$H:$H)</f>
        <v>0</v>
      </c>
      <c r="I414" s="69">
        <f ca="1">SUMIF('CAP8'!$B:$H,Insumo[[#This Row],[DESCRIPCION]],'CAP8'!$H:$H)</f>
        <v>0</v>
      </c>
      <c r="J414" s="69">
        <f ca="1">SUMIF('CAP9-13'!$B:$H,Insumo[[#This Row],[DESCRIPCION]],'CAP9-13'!$H:$H)</f>
        <v>0</v>
      </c>
      <c r="K414" s="69">
        <f ca="1">SUMIF('CAP14-15'!$B:$H,Insumo[[#This Row],[DESCRIPCION]],'CAP14-15'!$H:$H)</f>
        <v>0</v>
      </c>
      <c r="L414" s="69">
        <f ca="1">SUMIF('CAP16-18'!$B:$H,Insumo[[#This Row],[DESCRIPCION]],'CAP16-18'!$H:$H)</f>
        <v>0</v>
      </c>
      <c r="M414" s="69">
        <f ca="1">SUMIF('CAP19-22'!$B:$H,Insumo[[#This Row],[DESCRIPCION]],'CAP19-22'!$H:$H)</f>
        <v>0</v>
      </c>
      <c r="N414" s="69">
        <f ca="1">SUMIF('CAP23-24'!$B:$H,Insumo[[#This Row],[DESCRIPCION]],'CAP23-24'!$H:$H)</f>
        <v>0</v>
      </c>
      <c r="O414" s="69">
        <f ca="1">SUMIF('CAP25'!$B:$H,Insumo[[#This Row],[DESCRIPCION]],'CAP25'!$H:$H)</f>
        <v>0</v>
      </c>
      <c r="P414" s="69">
        <f ca="1">SUMIF('CAP26-28'!$B:$H,Insumo[[#This Row],[DESCRIPCION]],'CAP26-28'!$H:$H)</f>
        <v>0</v>
      </c>
      <c r="Q414" s="69">
        <f ca="1">SUMIF('CAP29'!$B:$H,Insumo[[#This Row],[DESCRIPCION]],'CAP29'!$H:$H)</f>
        <v>0</v>
      </c>
      <c r="T414" s="136">
        <v>82216</v>
      </c>
    </row>
    <row r="415" spans="1:20" ht="12" customHeight="1">
      <c r="A415" s="301" t="s">
        <v>3026</v>
      </c>
      <c r="B415" s="303" t="s">
        <v>23</v>
      </c>
      <c r="C415" s="304">
        <f t="shared" si="6"/>
        <v>106470</v>
      </c>
      <c r="D415" s="281" cm="1">
        <f t="array" aca="1" ref="D415" ca="1">IF(Insumo[[#This Row],[VALOR]]=0,Insumo[TOTAL],E415/C415)</f>
        <v>0</v>
      </c>
      <c r="E415" s="69">
        <f ca="1">SUM(Insumo[[#This Row],[CAP1-3]:[CAP29]])</f>
        <v>0</v>
      </c>
      <c r="F415" s="69">
        <f ca="1">SUMIF('CAP1-3'!$B:$H,Insumo[[#This Row],[DESCRIPCION]],'CAP1-3'!$H:$H)</f>
        <v>0</v>
      </c>
      <c r="G415" s="69">
        <f ca="1">SUMIF('CAP4-5'!$B:$H,Insumo[[#This Row],[DESCRIPCION]],'CAP4-5'!$H:$H)</f>
        <v>0</v>
      </c>
      <c r="H415" s="69">
        <f ca="1">SUMIF('CAP6-7'!$B:$H,Insumo[[#This Row],[DESCRIPCION]],'CAP6-7'!$H:$H)</f>
        <v>0</v>
      </c>
      <c r="I415" s="69">
        <f ca="1">SUMIF('CAP8'!$B:$H,Insumo[[#This Row],[DESCRIPCION]],'CAP8'!$H:$H)</f>
        <v>0</v>
      </c>
      <c r="J415" s="69">
        <f ca="1">SUMIF('CAP9-13'!$B:$H,Insumo[[#This Row],[DESCRIPCION]],'CAP9-13'!$H:$H)</f>
        <v>0</v>
      </c>
      <c r="K415" s="69">
        <f ca="1">SUMIF('CAP14-15'!$B:$H,Insumo[[#This Row],[DESCRIPCION]],'CAP14-15'!$H:$H)</f>
        <v>0</v>
      </c>
      <c r="L415" s="69">
        <f ca="1">SUMIF('CAP16-18'!$B:$H,Insumo[[#This Row],[DESCRIPCION]],'CAP16-18'!$H:$H)</f>
        <v>0</v>
      </c>
      <c r="M415" s="69">
        <f ca="1">SUMIF('CAP19-22'!$B:$H,Insumo[[#This Row],[DESCRIPCION]],'CAP19-22'!$H:$H)</f>
        <v>0</v>
      </c>
      <c r="N415" s="69">
        <f ca="1">SUMIF('CAP23-24'!$B:$H,Insumo[[#This Row],[DESCRIPCION]],'CAP23-24'!$H:$H)</f>
        <v>0</v>
      </c>
      <c r="O415" s="69">
        <f ca="1">SUMIF('CAP25'!$B:$H,Insumo[[#This Row],[DESCRIPCION]],'CAP25'!$H:$H)</f>
        <v>0</v>
      </c>
      <c r="P415" s="69">
        <f ca="1">SUMIF('CAP26-28'!$B:$H,Insumo[[#This Row],[DESCRIPCION]],'CAP26-28'!$H:$H)</f>
        <v>0</v>
      </c>
      <c r="Q415" s="69">
        <f ca="1">SUMIF('CAP29'!$B:$H,Insumo[[#This Row],[DESCRIPCION]],'CAP29'!$H:$H)</f>
        <v>0</v>
      </c>
      <c r="R415" s="136" t="s">
        <v>2774</v>
      </c>
      <c r="T415" s="136">
        <v>101400</v>
      </c>
    </row>
    <row r="416" spans="1:20" ht="12" customHeight="1">
      <c r="A416" s="301" t="s">
        <v>3027</v>
      </c>
      <c r="B416" s="303" t="s">
        <v>23</v>
      </c>
      <c r="C416" s="304">
        <f t="shared" si="6"/>
        <v>44520</v>
      </c>
      <c r="D416" s="281" cm="1">
        <f t="array" aca="1" ref="D416" ca="1">IF(Insumo[[#This Row],[VALOR]]=0,Insumo[TOTAL],E416/C416)</f>
        <v>0</v>
      </c>
      <c r="E416" s="69">
        <f ca="1">SUM(Insumo[[#This Row],[CAP1-3]:[CAP29]])</f>
        <v>0</v>
      </c>
      <c r="F416" s="69">
        <f ca="1">SUMIF('CAP1-3'!$B:$H,Insumo[[#This Row],[DESCRIPCION]],'CAP1-3'!$H:$H)</f>
        <v>0</v>
      </c>
      <c r="G416" s="69">
        <f ca="1">SUMIF('CAP4-5'!$B:$H,Insumo[[#This Row],[DESCRIPCION]],'CAP4-5'!$H:$H)</f>
        <v>0</v>
      </c>
      <c r="H416" s="69">
        <f ca="1">SUMIF('CAP6-7'!$B:$H,Insumo[[#This Row],[DESCRIPCION]],'CAP6-7'!$H:$H)</f>
        <v>0</v>
      </c>
      <c r="I416" s="69">
        <f ca="1">SUMIF('CAP8'!$B:$H,Insumo[[#This Row],[DESCRIPCION]],'CAP8'!$H:$H)</f>
        <v>0</v>
      </c>
      <c r="J416" s="69">
        <f ca="1">SUMIF('CAP9-13'!$B:$H,Insumo[[#This Row],[DESCRIPCION]],'CAP9-13'!$H:$H)</f>
        <v>0</v>
      </c>
      <c r="K416" s="69">
        <f ca="1">SUMIF('CAP14-15'!$B:$H,Insumo[[#This Row],[DESCRIPCION]],'CAP14-15'!$H:$H)</f>
        <v>0</v>
      </c>
      <c r="L416" s="69">
        <f ca="1">SUMIF('CAP16-18'!$B:$H,Insumo[[#This Row],[DESCRIPCION]],'CAP16-18'!$H:$H)</f>
        <v>0</v>
      </c>
      <c r="M416" s="69">
        <f ca="1">SUMIF('CAP19-22'!$B:$H,Insumo[[#This Row],[DESCRIPCION]],'CAP19-22'!$H:$H)</f>
        <v>0</v>
      </c>
      <c r="N416" s="69">
        <f ca="1">SUMIF('CAP23-24'!$B:$H,Insumo[[#This Row],[DESCRIPCION]],'CAP23-24'!$H:$H)</f>
        <v>0</v>
      </c>
      <c r="O416" s="69">
        <f ca="1">SUMIF('CAP25'!$B:$H,Insumo[[#This Row],[DESCRIPCION]],'CAP25'!$H:$H)</f>
        <v>0</v>
      </c>
      <c r="P416" s="69">
        <f ca="1">SUMIF('CAP26-28'!$B:$H,Insumo[[#This Row],[DESCRIPCION]],'CAP26-28'!$H:$H)</f>
        <v>0</v>
      </c>
      <c r="Q416" s="69">
        <f ca="1">SUMIF('CAP29'!$B:$H,Insumo[[#This Row],[DESCRIPCION]],'CAP29'!$H:$H)</f>
        <v>0</v>
      </c>
      <c r="R416" s="136" t="s">
        <v>2774</v>
      </c>
      <c r="T416" s="136">
        <v>42400</v>
      </c>
    </row>
    <row r="417" spans="1:20" ht="12" customHeight="1">
      <c r="A417" s="301" t="s">
        <v>3028</v>
      </c>
      <c r="B417" s="303" t="s">
        <v>23</v>
      </c>
      <c r="C417" s="304">
        <f t="shared" si="6"/>
        <v>62475</v>
      </c>
      <c r="D417" s="281" cm="1">
        <f t="array" aca="1" ref="D417" ca="1">IF(Insumo[[#This Row],[VALOR]]=0,Insumo[TOTAL],E417/C417)</f>
        <v>0</v>
      </c>
      <c r="E417" s="69">
        <f ca="1">SUM(Insumo[[#This Row],[CAP1-3]:[CAP29]])</f>
        <v>0</v>
      </c>
      <c r="F417" s="69">
        <f ca="1">SUMIF('CAP1-3'!$B:$H,Insumo[[#This Row],[DESCRIPCION]],'CAP1-3'!$H:$H)</f>
        <v>0</v>
      </c>
      <c r="G417" s="69">
        <f ca="1">SUMIF('CAP4-5'!$B:$H,Insumo[[#This Row],[DESCRIPCION]],'CAP4-5'!$H:$H)</f>
        <v>0</v>
      </c>
      <c r="H417" s="69">
        <f ca="1">SUMIF('CAP6-7'!$B:$H,Insumo[[#This Row],[DESCRIPCION]],'CAP6-7'!$H:$H)</f>
        <v>0</v>
      </c>
      <c r="I417" s="69">
        <f ca="1">SUMIF('CAP8'!$B:$H,Insumo[[#This Row],[DESCRIPCION]],'CAP8'!$H:$H)</f>
        <v>0</v>
      </c>
      <c r="J417" s="69">
        <f ca="1">SUMIF('CAP9-13'!$B:$H,Insumo[[#This Row],[DESCRIPCION]],'CAP9-13'!$H:$H)</f>
        <v>0</v>
      </c>
      <c r="K417" s="69">
        <f ca="1">SUMIF('CAP14-15'!$B:$H,Insumo[[#This Row],[DESCRIPCION]],'CAP14-15'!$H:$H)</f>
        <v>0</v>
      </c>
      <c r="L417" s="69">
        <f ca="1">SUMIF('CAP16-18'!$B:$H,Insumo[[#This Row],[DESCRIPCION]],'CAP16-18'!$H:$H)</f>
        <v>0</v>
      </c>
      <c r="M417" s="69">
        <f ca="1">SUMIF('CAP19-22'!$B:$H,Insumo[[#This Row],[DESCRIPCION]],'CAP19-22'!$H:$H)</f>
        <v>0</v>
      </c>
      <c r="N417" s="69">
        <f ca="1">SUMIF('CAP23-24'!$B:$H,Insumo[[#This Row],[DESCRIPCION]],'CAP23-24'!$H:$H)</f>
        <v>0</v>
      </c>
      <c r="O417" s="69">
        <f ca="1">SUMIF('CAP25'!$B:$H,Insumo[[#This Row],[DESCRIPCION]],'CAP25'!$H:$H)</f>
        <v>0</v>
      </c>
      <c r="P417" s="69">
        <f ca="1">SUMIF('CAP26-28'!$B:$H,Insumo[[#This Row],[DESCRIPCION]],'CAP26-28'!$H:$H)</f>
        <v>0</v>
      </c>
      <c r="Q417" s="69">
        <f ca="1">SUMIF('CAP29'!$B:$H,Insumo[[#This Row],[DESCRIPCION]],'CAP29'!$H:$H)</f>
        <v>0</v>
      </c>
      <c r="R417" s="136" t="s">
        <v>2774</v>
      </c>
      <c r="T417" s="136">
        <v>59500</v>
      </c>
    </row>
    <row r="418" spans="1:20" ht="12" customHeight="1">
      <c r="A418" s="301" t="s">
        <v>3029</v>
      </c>
      <c r="B418" s="303" t="s">
        <v>23</v>
      </c>
      <c r="C418" s="304">
        <f t="shared" si="6"/>
        <v>82845</v>
      </c>
      <c r="D418" s="281" cm="1">
        <f t="array" aca="1" ref="D418" ca="1">IF(Insumo[[#This Row],[VALOR]]=0,Insumo[TOTAL],E418/C418)</f>
        <v>0</v>
      </c>
      <c r="E418" s="69">
        <f ca="1">SUM(Insumo[[#This Row],[CAP1-3]:[CAP29]])</f>
        <v>0</v>
      </c>
      <c r="F418" s="69">
        <f ca="1">SUMIF('CAP1-3'!$B:$H,Insumo[[#This Row],[DESCRIPCION]],'CAP1-3'!$H:$H)</f>
        <v>0</v>
      </c>
      <c r="G418" s="69">
        <f ca="1">SUMIF('CAP4-5'!$B:$H,Insumo[[#This Row],[DESCRIPCION]],'CAP4-5'!$H:$H)</f>
        <v>0</v>
      </c>
      <c r="H418" s="69">
        <f ca="1">SUMIF('CAP6-7'!$B:$H,Insumo[[#This Row],[DESCRIPCION]],'CAP6-7'!$H:$H)</f>
        <v>0</v>
      </c>
      <c r="I418" s="69">
        <f ca="1">SUMIF('CAP8'!$B:$H,Insumo[[#This Row],[DESCRIPCION]],'CAP8'!$H:$H)</f>
        <v>0</v>
      </c>
      <c r="J418" s="69">
        <f ca="1">SUMIF('CAP9-13'!$B:$H,Insumo[[#This Row],[DESCRIPCION]],'CAP9-13'!$H:$H)</f>
        <v>0</v>
      </c>
      <c r="K418" s="69">
        <f ca="1">SUMIF('CAP14-15'!$B:$H,Insumo[[#This Row],[DESCRIPCION]],'CAP14-15'!$H:$H)</f>
        <v>0</v>
      </c>
      <c r="L418" s="69">
        <f ca="1">SUMIF('CAP16-18'!$B:$H,Insumo[[#This Row],[DESCRIPCION]],'CAP16-18'!$H:$H)</f>
        <v>0</v>
      </c>
      <c r="M418" s="69">
        <f ca="1">SUMIF('CAP19-22'!$B:$H,Insumo[[#This Row],[DESCRIPCION]],'CAP19-22'!$H:$H)</f>
        <v>0</v>
      </c>
      <c r="N418" s="69">
        <f ca="1">SUMIF('CAP23-24'!$B:$H,Insumo[[#This Row],[DESCRIPCION]],'CAP23-24'!$H:$H)</f>
        <v>0</v>
      </c>
      <c r="O418" s="69">
        <f ca="1">SUMIF('CAP25'!$B:$H,Insumo[[#This Row],[DESCRIPCION]],'CAP25'!$H:$H)</f>
        <v>0</v>
      </c>
      <c r="P418" s="69">
        <f ca="1">SUMIF('CAP26-28'!$B:$H,Insumo[[#This Row],[DESCRIPCION]],'CAP26-28'!$H:$H)</f>
        <v>0</v>
      </c>
      <c r="Q418" s="69">
        <f ca="1">SUMIF('CAP29'!$B:$H,Insumo[[#This Row],[DESCRIPCION]],'CAP29'!$H:$H)</f>
        <v>0</v>
      </c>
      <c r="R418" s="136" t="s">
        <v>2774</v>
      </c>
      <c r="T418" s="136">
        <v>78900</v>
      </c>
    </row>
    <row r="419" spans="1:20" ht="12" customHeight="1">
      <c r="A419" s="301" t="s">
        <v>3030</v>
      </c>
      <c r="B419" s="303" t="s">
        <v>23</v>
      </c>
      <c r="C419" s="304">
        <f t="shared" si="6"/>
        <v>50715</v>
      </c>
      <c r="D419" s="281" cm="1">
        <f t="array" aca="1" ref="D419" ca="1">IF(Insumo[[#This Row],[VALOR]]=0,Insumo[TOTAL],E419/C419)</f>
        <v>0</v>
      </c>
      <c r="E419" s="69">
        <f ca="1">SUM(Insumo[[#This Row],[CAP1-3]:[CAP29]])</f>
        <v>0</v>
      </c>
      <c r="F419" s="69">
        <f ca="1">SUMIF('CAP1-3'!$B:$H,Insumo[[#This Row],[DESCRIPCION]],'CAP1-3'!$H:$H)</f>
        <v>0</v>
      </c>
      <c r="G419" s="69">
        <f ca="1">SUMIF('CAP4-5'!$B:$H,Insumo[[#This Row],[DESCRIPCION]],'CAP4-5'!$H:$H)</f>
        <v>0</v>
      </c>
      <c r="H419" s="69">
        <f ca="1">SUMIF('CAP6-7'!$B:$H,Insumo[[#This Row],[DESCRIPCION]],'CAP6-7'!$H:$H)</f>
        <v>0</v>
      </c>
      <c r="I419" s="69">
        <f ca="1">SUMIF('CAP8'!$B:$H,Insumo[[#This Row],[DESCRIPCION]],'CAP8'!$H:$H)</f>
        <v>0</v>
      </c>
      <c r="J419" s="69">
        <f ca="1">SUMIF('CAP9-13'!$B:$H,Insumo[[#This Row],[DESCRIPCION]],'CAP9-13'!$H:$H)</f>
        <v>0</v>
      </c>
      <c r="K419" s="69">
        <f ca="1">SUMIF('CAP14-15'!$B:$H,Insumo[[#This Row],[DESCRIPCION]],'CAP14-15'!$H:$H)</f>
        <v>0</v>
      </c>
      <c r="L419" s="69">
        <f ca="1">SUMIF('CAP16-18'!$B:$H,Insumo[[#This Row],[DESCRIPCION]],'CAP16-18'!$H:$H)</f>
        <v>0</v>
      </c>
      <c r="M419" s="69">
        <f ca="1">SUMIF('CAP19-22'!$B:$H,Insumo[[#This Row],[DESCRIPCION]],'CAP19-22'!$H:$H)</f>
        <v>0</v>
      </c>
      <c r="N419" s="69">
        <f ca="1">SUMIF('CAP23-24'!$B:$H,Insumo[[#This Row],[DESCRIPCION]],'CAP23-24'!$H:$H)</f>
        <v>0</v>
      </c>
      <c r="O419" s="69">
        <f ca="1">SUMIF('CAP25'!$B:$H,Insumo[[#This Row],[DESCRIPCION]],'CAP25'!$H:$H)</f>
        <v>0</v>
      </c>
      <c r="P419" s="69">
        <f ca="1">SUMIF('CAP26-28'!$B:$H,Insumo[[#This Row],[DESCRIPCION]],'CAP26-28'!$H:$H)</f>
        <v>0</v>
      </c>
      <c r="Q419" s="69">
        <f ca="1">SUMIF('CAP29'!$B:$H,Insumo[[#This Row],[DESCRIPCION]],'CAP29'!$H:$H)</f>
        <v>0</v>
      </c>
      <c r="R419" s="136" t="s">
        <v>2774</v>
      </c>
      <c r="T419" s="136">
        <v>48300</v>
      </c>
    </row>
    <row r="420" spans="1:20" ht="12" customHeight="1">
      <c r="A420" s="301" t="s">
        <v>3031</v>
      </c>
      <c r="B420" s="303" t="s">
        <v>20</v>
      </c>
      <c r="C420" s="304">
        <f t="shared" si="6"/>
        <v>149257.5</v>
      </c>
      <c r="D420" s="281" cm="1">
        <f t="array" aca="1" ref="D420" ca="1">IF(Insumo[[#This Row],[VALOR]]=0,Insumo[TOTAL],E420/C420)</f>
        <v>0</v>
      </c>
      <c r="E420" s="69">
        <f ca="1">SUM(Insumo[[#This Row],[CAP1-3]:[CAP29]])</f>
        <v>0</v>
      </c>
      <c r="F420" s="69">
        <f ca="1">SUMIF('CAP1-3'!$B:$H,Insumo[[#This Row],[DESCRIPCION]],'CAP1-3'!$H:$H)</f>
        <v>0</v>
      </c>
      <c r="G420" s="69">
        <f ca="1">SUMIF('CAP4-5'!$B:$H,Insumo[[#This Row],[DESCRIPCION]],'CAP4-5'!$H:$H)</f>
        <v>0</v>
      </c>
      <c r="H420" s="69">
        <f ca="1">SUMIF('CAP6-7'!$B:$H,Insumo[[#This Row],[DESCRIPCION]],'CAP6-7'!$H:$H)</f>
        <v>0</v>
      </c>
      <c r="I420" s="69">
        <f ca="1">SUMIF('CAP8'!$B:$H,Insumo[[#This Row],[DESCRIPCION]],'CAP8'!$H:$H)</f>
        <v>0</v>
      </c>
      <c r="J420" s="69">
        <f ca="1">SUMIF('CAP9-13'!$B:$H,Insumo[[#This Row],[DESCRIPCION]],'CAP9-13'!$H:$H)</f>
        <v>0</v>
      </c>
      <c r="K420" s="69">
        <f ca="1">SUMIF('CAP14-15'!$B:$H,Insumo[[#This Row],[DESCRIPCION]],'CAP14-15'!$H:$H)</f>
        <v>0</v>
      </c>
      <c r="L420" s="69">
        <f ca="1">SUMIF('CAP16-18'!$B:$H,Insumo[[#This Row],[DESCRIPCION]],'CAP16-18'!$H:$H)</f>
        <v>0</v>
      </c>
      <c r="M420" s="69">
        <f ca="1">SUMIF('CAP19-22'!$B:$H,Insumo[[#This Row],[DESCRIPCION]],'CAP19-22'!$H:$H)</f>
        <v>0</v>
      </c>
      <c r="N420" s="69">
        <f ca="1">SUMIF('CAP23-24'!$B:$H,Insumo[[#This Row],[DESCRIPCION]],'CAP23-24'!$H:$H)</f>
        <v>0</v>
      </c>
      <c r="O420" s="69">
        <f ca="1">SUMIF('CAP25'!$B:$H,Insumo[[#This Row],[DESCRIPCION]],'CAP25'!$H:$H)</f>
        <v>0</v>
      </c>
      <c r="P420" s="69">
        <f ca="1">SUMIF('CAP26-28'!$B:$H,Insumo[[#This Row],[DESCRIPCION]],'CAP26-28'!$H:$H)</f>
        <v>0</v>
      </c>
      <c r="Q420" s="69">
        <f ca="1">SUMIF('CAP29'!$B:$H,Insumo[[#This Row],[DESCRIPCION]],'CAP29'!$H:$H)</f>
        <v>0</v>
      </c>
      <c r="T420" s="136">
        <v>142150</v>
      </c>
    </row>
    <row r="421" spans="1:20" ht="12" customHeight="1">
      <c r="A421" s="301" t="s">
        <v>3032</v>
      </c>
      <c r="B421" s="303" t="s">
        <v>20</v>
      </c>
      <c r="C421" s="304">
        <f t="shared" si="6"/>
        <v>90921.600000000006</v>
      </c>
      <c r="D421" s="281" cm="1">
        <f t="array" aca="1" ref="D421" ca="1">IF(Insumo[[#This Row],[VALOR]]=0,Insumo[TOTAL],E421/C421)</f>
        <v>0</v>
      </c>
      <c r="E421" s="69">
        <f ca="1">SUM(Insumo[[#This Row],[CAP1-3]:[CAP29]])</f>
        <v>0</v>
      </c>
      <c r="F421" s="69">
        <f ca="1">SUMIF('CAP1-3'!$B:$H,Insumo[[#This Row],[DESCRIPCION]],'CAP1-3'!$H:$H)</f>
        <v>0</v>
      </c>
      <c r="G421" s="69">
        <f ca="1">SUMIF('CAP4-5'!$B:$H,Insumo[[#This Row],[DESCRIPCION]],'CAP4-5'!$H:$H)</f>
        <v>0</v>
      </c>
      <c r="H421" s="69">
        <f ca="1">SUMIF('CAP6-7'!$B:$H,Insumo[[#This Row],[DESCRIPCION]],'CAP6-7'!$H:$H)</f>
        <v>0</v>
      </c>
      <c r="I421" s="69">
        <f ca="1">SUMIF('CAP8'!$B:$H,Insumo[[#This Row],[DESCRIPCION]],'CAP8'!$H:$H)</f>
        <v>0</v>
      </c>
      <c r="J421" s="69">
        <f ca="1">SUMIF('CAP9-13'!$B:$H,Insumo[[#This Row],[DESCRIPCION]],'CAP9-13'!$H:$H)</f>
        <v>0</v>
      </c>
      <c r="K421" s="69">
        <f ca="1">SUMIF('CAP14-15'!$B:$H,Insumo[[#This Row],[DESCRIPCION]],'CAP14-15'!$H:$H)</f>
        <v>0</v>
      </c>
      <c r="L421" s="69">
        <f ca="1">SUMIF('CAP16-18'!$B:$H,Insumo[[#This Row],[DESCRIPCION]],'CAP16-18'!$H:$H)</f>
        <v>0</v>
      </c>
      <c r="M421" s="69">
        <f ca="1">SUMIF('CAP19-22'!$B:$H,Insumo[[#This Row],[DESCRIPCION]],'CAP19-22'!$H:$H)</f>
        <v>0</v>
      </c>
      <c r="N421" s="69">
        <f ca="1">SUMIF('CAP23-24'!$B:$H,Insumo[[#This Row],[DESCRIPCION]],'CAP23-24'!$H:$H)</f>
        <v>0</v>
      </c>
      <c r="O421" s="69">
        <f ca="1">SUMIF('CAP25'!$B:$H,Insumo[[#This Row],[DESCRIPCION]],'CAP25'!$H:$H)</f>
        <v>0</v>
      </c>
      <c r="P421" s="69">
        <f ca="1">SUMIF('CAP26-28'!$B:$H,Insumo[[#This Row],[DESCRIPCION]],'CAP26-28'!$H:$H)</f>
        <v>0</v>
      </c>
      <c r="Q421" s="69">
        <f ca="1">SUMIF('CAP29'!$B:$H,Insumo[[#This Row],[DESCRIPCION]],'CAP29'!$H:$H)</f>
        <v>0</v>
      </c>
      <c r="T421" s="136">
        <v>86592</v>
      </c>
    </row>
    <row r="422" spans="1:20" ht="12" customHeight="1">
      <c r="A422" s="301" t="s">
        <v>3033</v>
      </c>
      <c r="B422" s="303" t="s">
        <v>20</v>
      </c>
      <c r="C422" s="304">
        <f t="shared" si="6"/>
        <v>87622.5</v>
      </c>
      <c r="D422" s="281" cm="1">
        <f t="array" aca="1" ref="D422" ca="1">IF(Insumo[[#This Row],[VALOR]]=0,Insumo[TOTAL],E422/C422)</f>
        <v>0</v>
      </c>
      <c r="E422" s="69">
        <f ca="1">SUM(Insumo[[#This Row],[CAP1-3]:[CAP29]])</f>
        <v>0</v>
      </c>
      <c r="F422" s="69">
        <f ca="1">SUMIF('CAP1-3'!$B:$H,Insumo[[#This Row],[DESCRIPCION]],'CAP1-3'!$H:$H)</f>
        <v>0</v>
      </c>
      <c r="G422" s="69">
        <f ca="1">SUMIF('CAP4-5'!$B:$H,Insumo[[#This Row],[DESCRIPCION]],'CAP4-5'!$H:$H)</f>
        <v>0</v>
      </c>
      <c r="H422" s="69">
        <f ca="1">SUMIF('CAP6-7'!$B:$H,Insumo[[#This Row],[DESCRIPCION]],'CAP6-7'!$H:$H)</f>
        <v>0</v>
      </c>
      <c r="I422" s="69">
        <f ca="1">SUMIF('CAP8'!$B:$H,Insumo[[#This Row],[DESCRIPCION]],'CAP8'!$H:$H)</f>
        <v>0</v>
      </c>
      <c r="J422" s="69">
        <f ca="1">SUMIF('CAP9-13'!$B:$H,Insumo[[#This Row],[DESCRIPCION]],'CAP9-13'!$H:$H)</f>
        <v>0</v>
      </c>
      <c r="K422" s="69">
        <f ca="1">SUMIF('CAP14-15'!$B:$H,Insumo[[#This Row],[DESCRIPCION]],'CAP14-15'!$H:$H)</f>
        <v>0</v>
      </c>
      <c r="L422" s="69">
        <f ca="1">SUMIF('CAP16-18'!$B:$H,Insumo[[#This Row],[DESCRIPCION]],'CAP16-18'!$H:$H)</f>
        <v>0</v>
      </c>
      <c r="M422" s="69">
        <f ca="1">SUMIF('CAP19-22'!$B:$H,Insumo[[#This Row],[DESCRIPCION]],'CAP19-22'!$H:$H)</f>
        <v>0</v>
      </c>
      <c r="N422" s="69">
        <f ca="1">SUMIF('CAP23-24'!$B:$H,Insumo[[#This Row],[DESCRIPCION]],'CAP23-24'!$H:$H)</f>
        <v>0</v>
      </c>
      <c r="O422" s="69">
        <f ca="1">SUMIF('CAP25'!$B:$H,Insumo[[#This Row],[DESCRIPCION]],'CAP25'!$H:$H)</f>
        <v>0</v>
      </c>
      <c r="P422" s="69">
        <f ca="1">SUMIF('CAP26-28'!$B:$H,Insumo[[#This Row],[DESCRIPCION]],'CAP26-28'!$H:$H)</f>
        <v>0</v>
      </c>
      <c r="Q422" s="69">
        <f ca="1">SUMIF('CAP29'!$B:$H,Insumo[[#This Row],[DESCRIPCION]],'CAP29'!$H:$H)</f>
        <v>0</v>
      </c>
      <c r="T422" s="136">
        <v>83450</v>
      </c>
    </row>
    <row r="423" spans="1:20" ht="12" customHeight="1">
      <c r="A423" s="301" t="s">
        <v>3034</v>
      </c>
      <c r="B423" s="303" t="s">
        <v>20</v>
      </c>
      <c r="C423" s="304">
        <f t="shared" si="6"/>
        <v>53653.950000000004</v>
      </c>
      <c r="D423" s="281" cm="1">
        <f t="array" aca="1" ref="D423" ca="1">IF(Insumo[[#This Row],[VALOR]]=0,Insumo[TOTAL],E423/C423)</f>
        <v>0</v>
      </c>
      <c r="E423" s="69">
        <f ca="1">SUM(Insumo[[#This Row],[CAP1-3]:[CAP29]])</f>
        <v>0</v>
      </c>
      <c r="F423" s="69">
        <f ca="1">SUMIF('CAP1-3'!$B:$H,Insumo[[#This Row],[DESCRIPCION]],'CAP1-3'!$H:$H)</f>
        <v>0</v>
      </c>
      <c r="G423" s="69">
        <f ca="1">SUMIF('CAP4-5'!$B:$H,Insumo[[#This Row],[DESCRIPCION]],'CAP4-5'!$H:$H)</f>
        <v>0</v>
      </c>
      <c r="H423" s="69">
        <f ca="1">SUMIF('CAP6-7'!$B:$H,Insumo[[#This Row],[DESCRIPCION]],'CAP6-7'!$H:$H)</f>
        <v>0</v>
      </c>
      <c r="I423" s="69">
        <f ca="1">SUMIF('CAP8'!$B:$H,Insumo[[#This Row],[DESCRIPCION]],'CAP8'!$H:$H)</f>
        <v>0</v>
      </c>
      <c r="J423" s="69">
        <f ca="1">SUMIF('CAP9-13'!$B:$H,Insumo[[#This Row],[DESCRIPCION]],'CAP9-13'!$H:$H)</f>
        <v>0</v>
      </c>
      <c r="K423" s="69">
        <f ca="1">SUMIF('CAP14-15'!$B:$H,Insumo[[#This Row],[DESCRIPCION]],'CAP14-15'!$H:$H)</f>
        <v>0</v>
      </c>
      <c r="L423" s="69">
        <f ca="1">SUMIF('CAP16-18'!$B:$H,Insumo[[#This Row],[DESCRIPCION]],'CAP16-18'!$H:$H)</f>
        <v>0</v>
      </c>
      <c r="M423" s="69">
        <f ca="1">SUMIF('CAP19-22'!$B:$H,Insumo[[#This Row],[DESCRIPCION]],'CAP19-22'!$H:$H)</f>
        <v>0</v>
      </c>
      <c r="N423" s="69">
        <f ca="1">SUMIF('CAP23-24'!$B:$H,Insumo[[#This Row],[DESCRIPCION]],'CAP23-24'!$H:$H)</f>
        <v>0</v>
      </c>
      <c r="O423" s="69">
        <f ca="1">SUMIF('CAP25'!$B:$H,Insumo[[#This Row],[DESCRIPCION]],'CAP25'!$H:$H)</f>
        <v>0</v>
      </c>
      <c r="P423" s="69">
        <f ca="1">SUMIF('CAP26-28'!$B:$H,Insumo[[#This Row],[DESCRIPCION]],'CAP26-28'!$H:$H)</f>
        <v>0</v>
      </c>
      <c r="Q423" s="69">
        <f ca="1">SUMIF('CAP29'!$B:$H,Insumo[[#This Row],[DESCRIPCION]],'CAP29'!$H:$H)</f>
        <v>0</v>
      </c>
      <c r="R423" s="136" t="s">
        <v>2774</v>
      </c>
      <c r="T423" s="136">
        <v>51099</v>
      </c>
    </row>
    <row r="424" spans="1:20" ht="12" customHeight="1">
      <c r="A424" s="301" t="s">
        <v>3035</v>
      </c>
      <c r="B424" s="303" t="s">
        <v>23</v>
      </c>
      <c r="C424" s="304">
        <f t="shared" si="6"/>
        <v>24700.2</v>
      </c>
      <c r="D424" s="281" cm="1">
        <f t="array" aca="1" ref="D424" ca="1">IF(Insumo[[#This Row],[VALOR]]=0,Insumo[TOTAL],E424/C424)</f>
        <v>0</v>
      </c>
      <c r="E424" s="69">
        <f ca="1">SUM(Insumo[[#This Row],[CAP1-3]:[CAP29]])</f>
        <v>0</v>
      </c>
      <c r="F424" s="69">
        <f ca="1">SUMIF('CAP1-3'!$B:$H,Insumo[[#This Row],[DESCRIPCION]],'CAP1-3'!$H:$H)</f>
        <v>0</v>
      </c>
      <c r="G424" s="69">
        <f ca="1">SUMIF('CAP4-5'!$B:$H,Insumo[[#This Row],[DESCRIPCION]],'CAP4-5'!$H:$H)</f>
        <v>0</v>
      </c>
      <c r="H424" s="69">
        <f ca="1">SUMIF('CAP6-7'!$B:$H,Insumo[[#This Row],[DESCRIPCION]],'CAP6-7'!$H:$H)</f>
        <v>0</v>
      </c>
      <c r="I424" s="69">
        <f ca="1">SUMIF('CAP8'!$B:$H,Insumo[[#This Row],[DESCRIPCION]],'CAP8'!$H:$H)</f>
        <v>0</v>
      </c>
      <c r="J424" s="69">
        <f ca="1">SUMIF('CAP9-13'!$B:$H,Insumo[[#This Row],[DESCRIPCION]],'CAP9-13'!$H:$H)</f>
        <v>0</v>
      </c>
      <c r="K424" s="69">
        <f ca="1">SUMIF('CAP14-15'!$B:$H,Insumo[[#This Row],[DESCRIPCION]],'CAP14-15'!$H:$H)</f>
        <v>0</v>
      </c>
      <c r="L424" s="69">
        <f ca="1">SUMIF('CAP16-18'!$B:$H,Insumo[[#This Row],[DESCRIPCION]],'CAP16-18'!$H:$H)</f>
        <v>0</v>
      </c>
      <c r="M424" s="69">
        <f ca="1">SUMIF('CAP19-22'!$B:$H,Insumo[[#This Row],[DESCRIPCION]],'CAP19-22'!$H:$H)</f>
        <v>0</v>
      </c>
      <c r="N424" s="69">
        <f ca="1">SUMIF('CAP23-24'!$B:$H,Insumo[[#This Row],[DESCRIPCION]],'CAP23-24'!$H:$H)</f>
        <v>0</v>
      </c>
      <c r="O424" s="69">
        <f ca="1">SUMIF('CAP25'!$B:$H,Insumo[[#This Row],[DESCRIPCION]],'CAP25'!$H:$H)</f>
        <v>0</v>
      </c>
      <c r="P424" s="69">
        <f ca="1">SUMIF('CAP26-28'!$B:$H,Insumo[[#This Row],[DESCRIPCION]],'CAP26-28'!$H:$H)</f>
        <v>0</v>
      </c>
      <c r="Q424" s="69">
        <f ca="1">SUMIF('CAP29'!$B:$H,Insumo[[#This Row],[DESCRIPCION]],'CAP29'!$H:$H)</f>
        <v>0</v>
      </c>
      <c r="T424" s="136">
        <v>23524</v>
      </c>
    </row>
    <row r="425" spans="1:20" ht="12" customHeight="1">
      <c r="A425" s="301" t="s">
        <v>3036</v>
      </c>
      <c r="B425" s="303" t="s">
        <v>23</v>
      </c>
      <c r="C425" s="304">
        <f t="shared" si="6"/>
        <v>310867.20000000001</v>
      </c>
      <c r="D425" s="281" cm="1">
        <f t="array" aca="1" ref="D425" ca="1">IF(Insumo[[#This Row],[VALOR]]=0,Insumo[TOTAL],E425/C425)</f>
        <v>0</v>
      </c>
      <c r="E425" s="69">
        <f ca="1">SUM(Insumo[[#This Row],[CAP1-3]:[CAP29]])</f>
        <v>0</v>
      </c>
      <c r="F425" s="69">
        <f ca="1">SUMIF('CAP1-3'!$B:$H,Insumo[[#This Row],[DESCRIPCION]],'CAP1-3'!$H:$H)</f>
        <v>0</v>
      </c>
      <c r="G425" s="69">
        <f ca="1">SUMIF('CAP4-5'!$B:$H,Insumo[[#This Row],[DESCRIPCION]],'CAP4-5'!$H:$H)</f>
        <v>0</v>
      </c>
      <c r="H425" s="69">
        <f ca="1">SUMIF('CAP6-7'!$B:$H,Insumo[[#This Row],[DESCRIPCION]],'CAP6-7'!$H:$H)</f>
        <v>0</v>
      </c>
      <c r="I425" s="69">
        <f ca="1">SUMIF('CAP8'!$B:$H,Insumo[[#This Row],[DESCRIPCION]],'CAP8'!$H:$H)</f>
        <v>0</v>
      </c>
      <c r="J425" s="69">
        <f ca="1">SUMIF('CAP9-13'!$B:$H,Insumo[[#This Row],[DESCRIPCION]],'CAP9-13'!$H:$H)</f>
        <v>0</v>
      </c>
      <c r="K425" s="69">
        <f ca="1">SUMIF('CAP14-15'!$B:$H,Insumo[[#This Row],[DESCRIPCION]],'CAP14-15'!$H:$H)</f>
        <v>0</v>
      </c>
      <c r="L425" s="69">
        <f ca="1">SUMIF('CAP16-18'!$B:$H,Insumo[[#This Row],[DESCRIPCION]],'CAP16-18'!$H:$H)</f>
        <v>0</v>
      </c>
      <c r="M425" s="69">
        <f ca="1">SUMIF('CAP19-22'!$B:$H,Insumo[[#This Row],[DESCRIPCION]],'CAP19-22'!$H:$H)</f>
        <v>0</v>
      </c>
      <c r="N425" s="69">
        <f ca="1">SUMIF('CAP23-24'!$B:$H,Insumo[[#This Row],[DESCRIPCION]],'CAP23-24'!$H:$H)</f>
        <v>0</v>
      </c>
      <c r="O425" s="69">
        <f ca="1">SUMIF('CAP25'!$B:$H,Insumo[[#This Row],[DESCRIPCION]],'CAP25'!$H:$H)</f>
        <v>0</v>
      </c>
      <c r="P425" s="69">
        <f ca="1">SUMIF('CAP26-28'!$B:$H,Insumo[[#This Row],[DESCRIPCION]],'CAP26-28'!$H:$H)</f>
        <v>0</v>
      </c>
      <c r="Q425" s="69">
        <f ca="1">SUMIF('CAP29'!$B:$H,Insumo[[#This Row],[DESCRIPCION]],'CAP29'!$H:$H)</f>
        <v>0</v>
      </c>
      <c r="T425" s="136">
        <v>296064</v>
      </c>
    </row>
    <row r="426" spans="1:20" ht="12" customHeight="1">
      <c r="A426" s="301" t="s">
        <v>3037</v>
      </c>
      <c r="B426" s="303" t="s">
        <v>23</v>
      </c>
      <c r="C426" s="304">
        <f t="shared" si="6"/>
        <v>227211.6</v>
      </c>
      <c r="D426" s="281" cm="1">
        <f t="array" aca="1" ref="D426" ca="1">IF(Insumo[[#This Row],[VALOR]]=0,Insumo[TOTAL],E426/C426)</f>
        <v>0</v>
      </c>
      <c r="E426" s="69">
        <f ca="1">SUM(Insumo[[#This Row],[CAP1-3]:[CAP29]])</f>
        <v>0</v>
      </c>
      <c r="F426" s="69">
        <f ca="1">SUMIF('CAP1-3'!$B:$H,Insumo[[#This Row],[DESCRIPCION]],'CAP1-3'!$H:$H)</f>
        <v>0</v>
      </c>
      <c r="G426" s="69">
        <f ca="1">SUMIF('CAP4-5'!$B:$H,Insumo[[#This Row],[DESCRIPCION]],'CAP4-5'!$H:$H)</f>
        <v>0</v>
      </c>
      <c r="H426" s="69">
        <f ca="1">SUMIF('CAP6-7'!$B:$H,Insumo[[#This Row],[DESCRIPCION]],'CAP6-7'!$H:$H)</f>
        <v>0</v>
      </c>
      <c r="I426" s="69">
        <f ca="1">SUMIF('CAP8'!$B:$H,Insumo[[#This Row],[DESCRIPCION]],'CAP8'!$H:$H)</f>
        <v>0</v>
      </c>
      <c r="J426" s="69">
        <f ca="1">SUMIF('CAP9-13'!$B:$H,Insumo[[#This Row],[DESCRIPCION]],'CAP9-13'!$H:$H)</f>
        <v>0</v>
      </c>
      <c r="K426" s="69">
        <f ca="1">SUMIF('CAP14-15'!$B:$H,Insumo[[#This Row],[DESCRIPCION]],'CAP14-15'!$H:$H)</f>
        <v>0</v>
      </c>
      <c r="L426" s="69">
        <f ca="1">SUMIF('CAP16-18'!$B:$H,Insumo[[#This Row],[DESCRIPCION]],'CAP16-18'!$H:$H)</f>
        <v>0</v>
      </c>
      <c r="M426" s="69">
        <f ca="1">SUMIF('CAP19-22'!$B:$H,Insumo[[#This Row],[DESCRIPCION]],'CAP19-22'!$H:$H)</f>
        <v>0</v>
      </c>
      <c r="N426" s="69">
        <f ca="1">SUMIF('CAP23-24'!$B:$H,Insumo[[#This Row],[DESCRIPCION]],'CAP23-24'!$H:$H)</f>
        <v>0</v>
      </c>
      <c r="O426" s="69">
        <f ca="1">SUMIF('CAP25'!$B:$H,Insumo[[#This Row],[DESCRIPCION]],'CAP25'!$H:$H)</f>
        <v>0</v>
      </c>
      <c r="P426" s="69">
        <f ca="1">SUMIF('CAP26-28'!$B:$H,Insumo[[#This Row],[DESCRIPCION]],'CAP26-28'!$H:$H)</f>
        <v>0</v>
      </c>
      <c r="Q426" s="69">
        <f ca="1">SUMIF('CAP29'!$B:$H,Insumo[[#This Row],[DESCRIPCION]],'CAP29'!$H:$H)</f>
        <v>0</v>
      </c>
      <c r="T426" s="136">
        <v>216392</v>
      </c>
    </row>
    <row r="427" spans="1:20" ht="12" customHeight="1">
      <c r="A427" s="301" t="s">
        <v>3038</v>
      </c>
      <c r="B427" s="303" t="s">
        <v>23</v>
      </c>
      <c r="C427" s="304">
        <f t="shared" si="6"/>
        <v>86270.1</v>
      </c>
      <c r="D427" s="281" cm="1">
        <f t="array" aca="1" ref="D427" ca="1">IF(Insumo[[#This Row],[VALOR]]=0,Insumo[TOTAL],E427/C427)</f>
        <v>0</v>
      </c>
      <c r="E427" s="69">
        <f ca="1">SUM(Insumo[[#This Row],[CAP1-3]:[CAP29]])</f>
        <v>0</v>
      </c>
      <c r="F427" s="69">
        <f ca="1">SUMIF('CAP1-3'!$B:$H,Insumo[[#This Row],[DESCRIPCION]],'CAP1-3'!$H:$H)</f>
        <v>0</v>
      </c>
      <c r="G427" s="69">
        <f ca="1">SUMIF('CAP4-5'!$B:$H,Insumo[[#This Row],[DESCRIPCION]],'CAP4-5'!$H:$H)</f>
        <v>0</v>
      </c>
      <c r="H427" s="69">
        <f ca="1">SUMIF('CAP6-7'!$B:$H,Insumo[[#This Row],[DESCRIPCION]],'CAP6-7'!$H:$H)</f>
        <v>0</v>
      </c>
      <c r="I427" s="69">
        <f ca="1">SUMIF('CAP8'!$B:$H,Insumo[[#This Row],[DESCRIPCION]],'CAP8'!$H:$H)</f>
        <v>0</v>
      </c>
      <c r="J427" s="69">
        <f ca="1">SUMIF('CAP9-13'!$B:$H,Insumo[[#This Row],[DESCRIPCION]],'CAP9-13'!$H:$H)</f>
        <v>0</v>
      </c>
      <c r="K427" s="69">
        <f ca="1">SUMIF('CAP14-15'!$B:$H,Insumo[[#This Row],[DESCRIPCION]],'CAP14-15'!$H:$H)</f>
        <v>0</v>
      </c>
      <c r="L427" s="69">
        <f ca="1">SUMIF('CAP16-18'!$B:$H,Insumo[[#This Row],[DESCRIPCION]],'CAP16-18'!$H:$H)</f>
        <v>0</v>
      </c>
      <c r="M427" s="69">
        <f ca="1">SUMIF('CAP19-22'!$B:$H,Insumo[[#This Row],[DESCRIPCION]],'CAP19-22'!$H:$H)</f>
        <v>0</v>
      </c>
      <c r="N427" s="69">
        <f ca="1">SUMIF('CAP23-24'!$B:$H,Insumo[[#This Row],[DESCRIPCION]],'CAP23-24'!$H:$H)</f>
        <v>0</v>
      </c>
      <c r="O427" s="69">
        <f ca="1">SUMIF('CAP25'!$B:$H,Insumo[[#This Row],[DESCRIPCION]],'CAP25'!$H:$H)</f>
        <v>0</v>
      </c>
      <c r="P427" s="69">
        <f ca="1">SUMIF('CAP26-28'!$B:$H,Insumo[[#This Row],[DESCRIPCION]],'CAP26-28'!$H:$H)</f>
        <v>0</v>
      </c>
      <c r="Q427" s="69">
        <f ca="1">SUMIF('CAP29'!$B:$H,Insumo[[#This Row],[DESCRIPCION]],'CAP29'!$H:$H)</f>
        <v>0</v>
      </c>
      <c r="T427" s="136">
        <v>82162</v>
      </c>
    </row>
    <row r="428" spans="1:20" ht="12" customHeight="1">
      <c r="A428" s="301" t="s">
        <v>3039</v>
      </c>
      <c r="B428" s="303" t="s">
        <v>23</v>
      </c>
      <c r="C428" s="304">
        <f t="shared" si="6"/>
        <v>107865.45000000001</v>
      </c>
      <c r="D428" s="281" cm="1">
        <f t="array" aca="1" ref="D428" ca="1">IF(Insumo[[#This Row],[VALOR]]=0,Insumo[TOTAL],E428/C428)</f>
        <v>0</v>
      </c>
      <c r="E428" s="69">
        <f ca="1">SUM(Insumo[[#This Row],[CAP1-3]:[CAP29]])</f>
        <v>0</v>
      </c>
      <c r="F428" s="69">
        <f ca="1">SUMIF('CAP1-3'!$B:$H,Insumo[[#This Row],[DESCRIPCION]],'CAP1-3'!$H:$H)</f>
        <v>0</v>
      </c>
      <c r="G428" s="69">
        <f ca="1">SUMIF('CAP4-5'!$B:$H,Insumo[[#This Row],[DESCRIPCION]],'CAP4-5'!$H:$H)</f>
        <v>0</v>
      </c>
      <c r="H428" s="69">
        <f ca="1">SUMIF('CAP6-7'!$B:$H,Insumo[[#This Row],[DESCRIPCION]],'CAP6-7'!$H:$H)</f>
        <v>0</v>
      </c>
      <c r="I428" s="69">
        <f ca="1">SUMIF('CAP8'!$B:$H,Insumo[[#This Row],[DESCRIPCION]],'CAP8'!$H:$H)</f>
        <v>0</v>
      </c>
      <c r="J428" s="69">
        <f ca="1">SUMIF('CAP9-13'!$B:$H,Insumo[[#This Row],[DESCRIPCION]],'CAP9-13'!$H:$H)</f>
        <v>0</v>
      </c>
      <c r="K428" s="69">
        <f ca="1">SUMIF('CAP14-15'!$B:$H,Insumo[[#This Row],[DESCRIPCION]],'CAP14-15'!$H:$H)</f>
        <v>0</v>
      </c>
      <c r="L428" s="69">
        <f ca="1">SUMIF('CAP16-18'!$B:$H,Insumo[[#This Row],[DESCRIPCION]],'CAP16-18'!$H:$H)</f>
        <v>0</v>
      </c>
      <c r="M428" s="69">
        <f ca="1">SUMIF('CAP19-22'!$B:$H,Insumo[[#This Row],[DESCRIPCION]],'CAP19-22'!$H:$H)</f>
        <v>0</v>
      </c>
      <c r="N428" s="69">
        <f ca="1">SUMIF('CAP23-24'!$B:$H,Insumo[[#This Row],[DESCRIPCION]],'CAP23-24'!$H:$H)</f>
        <v>0</v>
      </c>
      <c r="O428" s="69">
        <f ca="1">SUMIF('CAP25'!$B:$H,Insumo[[#This Row],[DESCRIPCION]],'CAP25'!$H:$H)</f>
        <v>0</v>
      </c>
      <c r="P428" s="69">
        <f ca="1">SUMIF('CAP26-28'!$B:$H,Insumo[[#This Row],[DESCRIPCION]],'CAP26-28'!$H:$H)</f>
        <v>0</v>
      </c>
      <c r="Q428" s="69">
        <f ca="1">SUMIF('CAP29'!$B:$H,Insumo[[#This Row],[DESCRIPCION]],'CAP29'!$H:$H)</f>
        <v>0</v>
      </c>
      <c r="T428" s="136">
        <v>102729</v>
      </c>
    </row>
    <row r="429" spans="1:20" ht="12" customHeight="1">
      <c r="A429" s="301" t="s">
        <v>3040</v>
      </c>
      <c r="B429" s="303" t="s">
        <v>23</v>
      </c>
      <c r="C429" s="304">
        <f t="shared" si="6"/>
        <v>248806.95</v>
      </c>
      <c r="D429" s="281" cm="1">
        <f t="array" aca="1" ref="D429" ca="1">IF(Insumo[[#This Row],[VALOR]]=0,Insumo[TOTAL],E429/C429)</f>
        <v>0</v>
      </c>
      <c r="E429" s="69">
        <f ca="1">SUM(Insumo[[#This Row],[CAP1-3]:[CAP29]])</f>
        <v>0</v>
      </c>
      <c r="F429" s="69">
        <f ca="1">SUMIF('CAP1-3'!$B:$H,Insumo[[#This Row],[DESCRIPCION]],'CAP1-3'!$H:$H)</f>
        <v>0</v>
      </c>
      <c r="G429" s="69">
        <f ca="1">SUMIF('CAP4-5'!$B:$H,Insumo[[#This Row],[DESCRIPCION]],'CAP4-5'!$H:$H)</f>
        <v>0</v>
      </c>
      <c r="H429" s="69">
        <f ca="1">SUMIF('CAP6-7'!$B:$H,Insumo[[#This Row],[DESCRIPCION]],'CAP6-7'!$H:$H)</f>
        <v>0</v>
      </c>
      <c r="I429" s="69">
        <f ca="1">SUMIF('CAP8'!$B:$H,Insumo[[#This Row],[DESCRIPCION]],'CAP8'!$H:$H)</f>
        <v>0</v>
      </c>
      <c r="J429" s="69">
        <f ca="1">SUMIF('CAP9-13'!$B:$H,Insumo[[#This Row],[DESCRIPCION]],'CAP9-13'!$H:$H)</f>
        <v>0</v>
      </c>
      <c r="K429" s="69">
        <f ca="1">SUMIF('CAP14-15'!$B:$H,Insumo[[#This Row],[DESCRIPCION]],'CAP14-15'!$H:$H)</f>
        <v>0</v>
      </c>
      <c r="L429" s="69">
        <f ca="1">SUMIF('CAP16-18'!$B:$H,Insumo[[#This Row],[DESCRIPCION]],'CAP16-18'!$H:$H)</f>
        <v>0</v>
      </c>
      <c r="M429" s="69">
        <f ca="1">SUMIF('CAP19-22'!$B:$H,Insumo[[#This Row],[DESCRIPCION]],'CAP19-22'!$H:$H)</f>
        <v>0</v>
      </c>
      <c r="N429" s="69">
        <f ca="1">SUMIF('CAP23-24'!$B:$H,Insumo[[#This Row],[DESCRIPCION]],'CAP23-24'!$H:$H)</f>
        <v>0</v>
      </c>
      <c r="O429" s="69">
        <f ca="1">SUMIF('CAP25'!$B:$H,Insumo[[#This Row],[DESCRIPCION]],'CAP25'!$H:$H)</f>
        <v>0</v>
      </c>
      <c r="P429" s="69">
        <f ca="1">SUMIF('CAP26-28'!$B:$H,Insumo[[#This Row],[DESCRIPCION]],'CAP26-28'!$H:$H)</f>
        <v>0</v>
      </c>
      <c r="Q429" s="69">
        <f ca="1">SUMIF('CAP29'!$B:$H,Insumo[[#This Row],[DESCRIPCION]],'CAP29'!$H:$H)</f>
        <v>0</v>
      </c>
      <c r="T429" s="136">
        <v>236959</v>
      </c>
    </row>
    <row r="430" spans="1:20" ht="12" customHeight="1">
      <c r="A430" s="301" t="s">
        <v>3041</v>
      </c>
      <c r="B430" s="303" t="s">
        <v>23</v>
      </c>
      <c r="C430" s="304">
        <f t="shared" si="6"/>
        <v>175551.6</v>
      </c>
      <c r="D430" s="281" cm="1">
        <f t="array" aca="1" ref="D430" ca="1">IF(Insumo[[#This Row],[VALOR]]=0,Insumo[TOTAL],E430/C430)</f>
        <v>0</v>
      </c>
      <c r="E430" s="69">
        <f ca="1">SUM(Insumo[[#This Row],[CAP1-3]:[CAP29]])</f>
        <v>0</v>
      </c>
      <c r="F430" s="69">
        <f ca="1">SUMIF('CAP1-3'!$B:$H,Insumo[[#This Row],[DESCRIPCION]],'CAP1-3'!$H:$H)</f>
        <v>0</v>
      </c>
      <c r="G430" s="69">
        <f ca="1">SUMIF('CAP4-5'!$B:$H,Insumo[[#This Row],[DESCRIPCION]],'CAP4-5'!$H:$H)</f>
        <v>0</v>
      </c>
      <c r="H430" s="69">
        <f ca="1">SUMIF('CAP6-7'!$B:$H,Insumo[[#This Row],[DESCRIPCION]],'CAP6-7'!$H:$H)</f>
        <v>0</v>
      </c>
      <c r="I430" s="69">
        <f ca="1">SUMIF('CAP8'!$B:$H,Insumo[[#This Row],[DESCRIPCION]],'CAP8'!$H:$H)</f>
        <v>0</v>
      </c>
      <c r="J430" s="69">
        <f ca="1">SUMIF('CAP9-13'!$B:$H,Insumo[[#This Row],[DESCRIPCION]],'CAP9-13'!$H:$H)</f>
        <v>0</v>
      </c>
      <c r="K430" s="69">
        <f ca="1">SUMIF('CAP14-15'!$B:$H,Insumo[[#This Row],[DESCRIPCION]],'CAP14-15'!$H:$H)</f>
        <v>0</v>
      </c>
      <c r="L430" s="69">
        <f ca="1">SUMIF('CAP16-18'!$B:$H,Insumo[[#This Row],[DESCRIPCION]],'CAP16-18'!$H:$H)</f>
        <v>0</v>
      </c>
      <c r="M430" s="69">
        <f ca="1">SUMIF('CAP19-22'!$B:$H,Insumo[[#This Row],[DESCRIPCION]],'CAP19-22'!$H:$H)</f>
        <v>0</v>
      </c>
      <c r="N430" s="69">
        <f ca="1">SUMIF('CAP23-24'!$B:$H,Insumo[[#This Row],[DESCRIPCION]],'CAP23-24'!$H:$H)</f>
        <v>0</v>
      </c>
      <c r="O430" s="69">
        <f ca="1">SUMIF('CAP25'!$B:$H,Insumo[[#This Row],[DESCRIPCION]],'CAP25'!$H:$H)</f>
        <v>0</v>
      </c>
      <c r="P430" s="69">
        <f ca="1">SUMIF('CAP26-28'!$B:$H,Insumo[[#This Row],[DESCRIPCION]],'CAP26-28'!$H:$H)</f>
        <v>0</v>
      </c>
      <c r="Q430" s="69">
        <f ca="1">SUMIF('CAP29'!$B:$H,Insumo[[#This Row],[DESCRIPCION]],'CAP29'!$H:$H)</f>
        <v>0</v>
      </c>
      <c r="T430" s="136">
        <v>167192</v>
      </c>
    </row>
    <row r="431" spans="1:20" ht="12" customHeight="1">
      <c r="A431" s="301" t="s">
        <v>3042</v>
      </c>
      <c r="B431" s="303" t="s">
        <v>23</v>
      </c>
      <c r="C431" s="304">
        <f t="shared" si="6"/>
        <v>393215.55</v>
      </c>
      <c r="D431" s="281" cm="1">
        <f t="array" aca="1" ref="D431" ca="1">IF(Insumo[[#This Row],[VALOR]]=0,Insumo[TOTAL],E431/C431)</f>
        <v>0</v>
      </c>
      <c r="E431" s="69">
        <f ca="1">SUM(Insumo[[#This Row],[CAP1-3]:[CAP29]])</f>
        <v>0</v>
      </c>
      <c r="F431" s="69">
        <f ca="1">SUMIF('CAP1-3'!$B:$H,Insumo[[#This Row],[DESCRIPCION]],'CAP1-3'!$H:$H)</f>
        <v>0</v>
      </c>
      <c r="G431" s="69">
        <f ca="1">SUMIF('CAP4-5'!$B:$H,Insumo[[#This Row],[DESCRIPCION]],'CAP4-5'!$H:$H)</f>
        <v>0</v>
      </c>
      <c r="H431" s="69">
        <f ca="1">SUMIF('CAP6-7'!$B:$H,Insumo[[#This Row],[DESCRIPCION]],'CAP6-7'!$H:$H)</f>
        <v>0</v>
      </c>
      <c r="I431" s="69">
        <f ca="1">SUMIF('CAP8'!$B:$H,Insumo[[#This Row],[DESCRIPCION]],'CAP8'!$H:$H)</f>
        <v>0</v>
      </c>
      <c r="J431" s="69">
        <f ca="1">SUMIF('CAP9-13'!$B:$H,Insumo[[#This Row],[DESCRIPCION]],'CAP9-13'!$H:$H)</f>
        <v>0</v>
      </c>
      <c r="K431" s="69">
        <f ca="1">SUMIF('CAP14-15'!$B:$H,Insumo[[#This Row],[DESCRIPCION]],'CAP14-15'!$H:$H)</f>
        <v>0</v>
      </c>
      <c r="L431" s="69">
        <f ca="1">SUMIF('CAP16-18'!$B:$H,Insumo[[#This Row],[DESCRIPCION]],'CAP16-18'!$H:$H)</f>
        <v>0</v>
      </c>
      <c r="M431" s="69">
        <f ca="1">SUMIF('CAP19-22'!$B:$H,Insumo[[#This Row],[DESCRIPCION]],'CAP19-22'!$H:$H)</f>
        <v>0</v>
      </c>
      <c r="N431" s="69">
        <f ca="1">SUMIF('CAP23-24'!$B:$H,Insumo[[#This Row],[DESCRIPCION]],'CAP23-24'!$H:$H)</f>
        <v>0</v>
      </c>
      <c r="O431" s="69">
        <f ca="1">SUMIF('CAP25'!$B:$H,Insumo[[#This Row],[DESCRIPCION]],'CAP25'!$H:$H)</f>
        <v>0</v>
      </c>
      <c r="P431" s="69">
        <f ca="1">SUMIF('CAP26-28'!$B:$H,Insumo[[#This Row],[DESCRIPCION]],'CAP26-28'!$H:$H)</f>
        <v>0</v>
      </c>
      <c r="Q431" s="69">
        <f ca="1">SUMIF('CAP29'!$B:$H,Insumo[[#This Row],[DESCRIPCION]],'CAP29'!$H:$H)</f>
        <v>0</v>
      </c>
      <c r="T431" s="136">
        <v>374491</v>
      </c>
    </row>
    <row r="432" spans="1:20" ht="12" customHeight="1">
      <c r="A432" s="301" t="s">
        <v>3043</v>
      </c>
      <c r="B432" s="303" t="s">
        <v>23</v>
      </c>
      <c r="C432" s="304">
        <f t="shared" si="6"/>
        <v>2050.65</v>
      </c>
      <c r="D432" s="281" cm="1">
        <f t="array" aca="1" ref="D432" ca="1">IF(Insumo[[#This Row],[VALOR]]=0,Insumo[TOTAL],E432/C432)</f>
        <v>0</v>
      </c>
      <c r="E432" s="69">
        <f ca="1">SUM(Insumo[[#This Row],[CAP1-3]:[CAP29]])</f>
        <v>0</v>
      </c>
      <c r="F432" s="69">
        <f ca="1">SUMIF('CAP1-3'!$B:$H,Insumo[[#This Row],[DESCRIPCION]],'CAP1-3'!$H:$H)</f>
        <v>0</v>
      </c>
      <c r="G432" s="69">
        <f ca="1">SUMIF('CAP4-5'!$B:$H,Insumo[[#This Row],[DESCRIPCION]],'CAP4-5'!$H:$H)</f>
        <v>0</v>
      </c>
      <c r="H432" s="69">
        <f ca="1">SUMIF('CAP6-7'!$B:$H,Insumo[[#This Row],[DESCRIPCION]],'CAP6-7'!$H:$H)</f>
        <v>0</v>
      </c>
      <c r="I432" s="69">
        <f ca="1">SUMIF('CAP8'!$B:$H,Insumo[[#This Row],[DESCRIPCION]],'CAP8'!$H:$H)</f>
        <v>0</v>
      </c>
      <c r="J432" s="69">
        <f ca="1">SUMIF('CAP9-13'!$B:$H,Insumo[[#This Row],[DESCRIPCION]],'CAP9-13'!$H:$H)</f>
        <v>0</v>
      </c>
      <c r="K432" s="69">
        <f ca="1">SUMIF('CAP14-15'!$B:$H,Insumo[[#This Row],[DESCRIPCION]],'CAP14-15'!$H:$H)</f>
        <v>0</v>
      </c>
      <c r="L432" s="69">
        <f ca="1">SUMIF('CAP16-18'!$B:$H,Insumo[[#This Row],[DESCRIPCION]],'CAP16-18'!$H:$H)</f>
        <v>0</v>
      </c>
      <c r="M432" s="69">
        <f ca="1">SUMIF('CAP19-22'!$B:$H,Insumo[[#This Row],[DESCRIPCION]],'CAP19-22'!$H:$H)</f>
        <v>0</v>
      </c>
      <c r="N432" s="69">
        <f ca="1">SUMIF('CAP23-24'!$B:$H,Insumo[[#This Row],[DESCRIPCION]],'CAP23-24'!$H:$H)</f>
        <v>0</v>
      </c>
      <c r="O432" s="69">
        <f ca="1">SUMIF('CAP25'!$B:$H,Insumo[[#This Row],[DESCRIPCION]],'CAP25'!$H:$H)</f>
        <v>0</v>
      </c>
      <c r="P432" s="69">
        <f ca="1">SUMIF('CAP26-28'!$B:$H,Insumo[[#This Row],[DESCRIPCION]],'CAP26-28'!$H:$H)</f>
        <v>0</v>
      </c>
      <c r="Q432" s="69">
        <f ca="1">SUMIF('CAP29'!$B:$H,Insumo[[#This Row],[DESCRIPCION]],'CAP29'!$H:$H)</f>
        <v>0</v>
      </c>
      <c r="T432" s="136">
        <v>1953</v>
      </c>
    </row>
    <row r="433" spans="1:20" ht="12" customHeight="1">
      <c r="A433" s="301" t="s">
        <v>3044</v>
      </c>
      <c r="B433" s="303" t="s">
        <v>30</v>
      </c>
      <c r="C433" s="304">
        <f t="shared" si="6"/>
        <v>97522.95</v>
      </c>
      <c r="D433" s="281" cm="1">
        <f t="array" aca="1" ref="D433" ca="1">IF(Insumo[[#This Row],[VALOR]]=0,Insumo[TOTAL],E433/C433)</f>
        <v>0</v>
      </c>
      <c r="E433" s="69">
        <f ca="1">SUM(Insumo[[#This Row],[CAP1-3]:[CAP29]])</f>
        <v>0</v>
      </c>
      <c r="F433" s="69">
        <f ca="1">SUMIF('CAP1-3'!$B:$H,Insumo[[#This Row],[DESCRIPCION]],'CAP1-3'!$H:$H)</f>
        <v>0</v>
      </c>
      <c r="G433" s="69">
        <f ca="1">SUMIF('CAP4-5'!$B:$H,Insumo[[#This Row],[DESCRIPCION]],'CAP4-5'!$H:$H)</f>
        <v>0</v>
      </c>
      <c r="H433" s="69">
        <f ca="1">SUMIF('CAP6-7'!$B:$H,Insumo[[#This Row],[DESCRIPCION]],'CAP6-7'!$H:$H)</f>
        <v>0</v>
      </c>
      <c r="I433" s="69">
        <f ca="1">SUMIF('CAP8'!$B:$H,Insumo[[#This Row],[DESCRIPCION]],'CAP8'!$H:$H)</f>
        <v>0</v>
      </c>
      <c r="J433" s="69">
        <f ca="1">SUMIF('CAP9-13'!$B:$H,Insumo[[#This Row],[DESCRIPCION]],'CAP9-13'!$H:$H)</f>
        <v>0</v>
      </c>
      <c r="K433" s="69">
        <f ca="1">SUMIF('CAP14-15'!$B:$H,Insumo[[#This Row],[DESCRIPCION]],'CAP14-15'!$H:$H)</f>
        <v>0</v>
      </c>
      <c r="L433" s="69">
        <f ca="1">SUMIF('CAP16-18'!$B:$H,Insumo[[#This Row],[DESCRIPCION]],'CAP16-18'!$H:$H)</f>
        <v>0</v>
      </c>
      <c r="M433" s="69">
        <f ca="1">SUMIF('CAP19-22'!$B:$H,Insumo[[#This Row],[DESCRIPCION]],'CAP19-22'!$H:$H)</f>
        <v>0</v>
      </c>
      <c r="N433" s="69">
        <f ca="1">SUMIF('CAP23-24'!$B:$H,Insumo[[#This Row],[DESCRIPCION]],'CAP23-24'!$H:$H)</f>
        <v>0</v>
      </c>
      <c r="O433" s="69">
        <f ca="1">SUMIF('CAP25'!$B:$H,Insumo[[#This Row],[DESCRIPCION]],'CAP25'!$H:$H)</f>
        <v>0</v>
      </c>
      <c r="P433" s="69">
        <f ca="1">SUMIF('CAP26-28'!$B:$H,Insumo[[#This Row],[DESCRIPCION]],'CAP26-28'!$H:$H)</f>
        <v>0</v>
      </c>
      <c r="Q433" s="69">
        <f ca="1">SUMIF('CAP29'!$B:$H,Insumo[[#This Row],[DESCRIPCION]],'CAP29'!$H:$H)</f>
        <v>0</v>
      </c>
      <c r="T433" s="136">
        <v>92879</v>
      </c>
    </row>
    <row r="434" spans="1:20" ht="12" customHeight="1">
      <c r="A434" s="301" t="s">
        <v>3045</v>
      </c>
      <c r="B434" s="303" t="s">
        <v>30</v>
      </c>
      <c r="C434" s="304">
        <f t="shared" si="6"/>
        <v>31952.550000000003</v>
      </c>
      <c r="D434" s="281" cm="1">
        <f t="array" aca="1" ref="D434" ca="1">IF(Insumo[[#This Row],[VALOR]]=0,Insumo[TOTAL],E434/C434)</f>
        <v>0</v>
      </c>
      <c r="E434" s="69">
        <f ca="1">SUM(Insumo[[#This Row],[CAP1-3]:[CAP29]])</f>
        <v>0</v>
      </c>
      <c r="F434" s="69">
        <f ca="1">SUMIF('CAP1-3'!$B:$H,Insumo[[#This Row],[DESCRIPCION]],'CAP1-3'!$H:$H)</f>
        <v>0</v>
      </c>
      <c r="G434" s="69">
        <f ca="1">SUMIF('CAP4-5'!$B:$H,Insumo[[#This Row],[DESCRIPCION]],'CAP4-5'!$H:$H)</f>
        <v>0</v>
      </c>
      <c r="H434" s="69">
        <f ca="1">SUMIF('CAP6-7'!$B:$H,Insumo[[#This Row],[DESCRIPCION]],'CAP6-7'!$H:$H)</f>
        <v>0</v>
      </c>
      <c r="I434" s="69">
        <f ca="1">SUMIF('CAP8'!$B:$H,Insumo[[#This Row],[DESCRIPCION]],'CAP8'!$H:$H)</f>
        <v>0</v>
      </c>
      <c r="J434" s="69">
        <f ca="1">SUMIF('CAP9-13'!$B:$H,Insumo[[#This Row],[DESCRIPCION]],'CAP9-13'!$H:$H)</f>
        <v>0</v>
      </c>
      <c r="K434" s="69">
        <f ca="1">SUMIF('CAP14-15'!$B:$H,Insumo[[#This Row],[DESCRIPCION]],'CAP14-15'!$H:$H)</f>
        <v>0</v>
      </c>
      <c r="L434" s="69">
        <f ca="1">SUMIF('CAP16-18'!$B:$H,Insumo[[#This Row],[DESCRIPCION]],'CAP16-18'!$H:$H)</f>
        <v>0</v>
      </c>
      <c r="M434" s="69">
        <f ca="1">SUMIF('CAP19-22'!$B:$H,Insumo[[#This Row],[DESCRIPCION]],'CAP19-22'!$H:$H)</f>
        <v>0</v>
      </c>
      <c r="N434" s="69">
        <f ca="1">SUMIF('CAP23-24'!$B:$H,Insumo[[#This Row],[DESCRIPCION]],'CAP23-24'!$H:$H)</f>
        <v>0</v>
      </c>
      <c r="O434" s="69">
        <f ca="1">SUMIF('CAP25'!$B:$H,Insumo[[#This Row],[DESCRIPCION]],'CAP25'!$H:$H)</f>
        <v>0</v>
      </c>
      <c r="P434" s="69">
        <f ca="1">SUMIF('CAP26-28'!$B:$H,Insumo[[#This Row],[DESCRIPCION]],'CAP26-28'!$H:$H)</f>
        <v>0</v>
      </c>
      <c r="Q434" s="69">
        <f ca="1">SUMIF('CAP29'!$B:$H,Insumo[[#This Row],[DESCRIPCION]],'CAP29'!$H:$H)</f>
        <v>0</v>
      </c>
      <c r="T434" s="136">
        <v>30431</v>
      </c>
    </row>
    <row r="435" spans="1:20" ht="12" customHeight="1">
      <c r="A435" s="301" t="s">
        <v>3046</v>
      </c>
      <c r="B435" s="303" t="s">
        <v>23</v>
      </c>
      <c r="C435" s="304">
        <f t="shared" si="6"/>
        <v>62413.05</v>
      </c>
      <c r="D435" s="281" cm="1">
        <f t="array" aca="1" ref="D435" ca="1">IF(Insumo[[#This Row],[VALOR]]=0,Insumo[TOTAL],E435/C435)</f>
        <v>0</v>
      </c>
      <c r="E435" s="69">
        <f ca="1">SUM(Insumo[[#This Row],[CAP1-3]:[CAP29]])</f>
        <v>0</v>
      </c>
      <c r="F435" s="69">
        <f ca="1">SUMIF('CAP1-3'!$B:$H,Insumo[[#This Row],[DESCRIPCION]],'CAP1-3'!$H:$H)</f>
        <v>0</v>
      </c>
      <c r="G435" s="69">
        <f ca="1">SUMIF('CAP4-5'!$B:$H,Insumo[[#This Row],[DESCRIPCION]],'CAP4-5'!$H:$H)</f>
        <v>0</v>
      </c>
      <c r="H435" s="69">
        <f ca="1">SUMIF('CAP6-7'!$B:$H,Insumo[[#This Row],[DESCRIPCION]],'CAP6-7'!$H:$H)</f>
        <v>0</v>
      </c>
      <c r="I435" s="69">
        <f ca="1">SUMIF('CAP8'!$B:$H,Insumo[[#This Row],[DESCRIPCION]],'CAP8'!$H:$H)</f>
        <v>0</v>
      </c>
      <c r="J435" s="69">
        <f ca="1">SUMIF('CAP9-13'!$B:$H,Insumo[[#This Row],[DESCRIPCION]],'CAP9-13'!$H:$H)</f>
        <v>0</v>
      </c>
      <c r="K435" s="69">
        <f ca="1">SUMIF('CAP14-15'!$B:$H,Insumo[[#This Row],[DESCRIPCION]],'CAP14-15'!$H:$H)</f>
        <v>0</v>
      </c>
      <c r="L435" s="69">
        <f ca="1">SUMIF('CAP16-18'!$B:$H,Insumo[[#This Row],[DESCRIPCION]],'CAP16-18'!$H:$H)</f>
        <v>0</v>
      </c>
      <c r="M435" s="69">
        <f ca="1">SUMIF('CAP19-22'!$B:$H,Insumo[[#This Row],[DESCRIPCION]],'CAP19-22'!$H:$H)</f>
        <v>0</v>
      </c>
      <c r="N435" s="69">
        <f ca="1">SUMIF('CAP23-24'!$B:$H,Insumo[[#This Row],[DESCRIPCION]],'CAP23-24'!$H:$H)</f>
        <v>0</v>
      </c>
      <c r="O435" s="69">
        <f ca="1">SUMIF('CAP25'!$B:$H,Insumo[[#This Row],[DESCRIPCION]],'CAP25'!$H:$H)</f>
        <v>0</v>
      </c>
      <c r="P435" s="69">
        <f ca="1">SUMIF('CAP26-28'!$B:$H,Insumo[[#This Row],[DESCRIPCION]],'CAP26-28'!$H:$H)</f>
        <v>0</v>
      </c>
      <c r="Q435" s="69">
        <f ca="1">SUMIF('CAP29'!$B:$H,Insumo[[#This Row],[DESCRIPCION]],'CAP29'!$H:$H)</f>
        <v>0</v>
      </c>
      <c r="T435" s="136">
        <v>59441</v>
      </c>
    </row>
    <row r="436" spans="1:20" ht="12" customHeight="1">
      <c r="A436" s="301" t="s">
        <v>3047</v>
      </c>
      <c r="B436" s="303" t="s">
        <v>23</v>
      </c>
      <c r="C436" s="304">
        <f t="shared" si="6"/>
        <v>10230.15</v>
      </c>
      <c r="D436" s="281" cm="1">
        <f t="array" aca="1" ref="D436" ca="1">IF(Insumo[[#This Row],[VALOR]]=0,Insumo[TOTAL],E436/C436)</f>
        <v>0</v>
      </c>
      <c r="E436" s="69">
        <f ca="1">SUM(Insumo[[#This Row],[CAP1-3]:[CAP29]])</f>
        <v>0</v>
      </c>
      <c r="F436" s="69">
        <f ca="1">SUMIF('CAP1-3'!$B:$H,Insumo[[#This Row],[DESCRIPCION]],'CAP1-3'!$H:$H)</f>
        <v>0</v>
      </c>
      <c r="G436" s="69">
        <f ca="1">SUMIF('CAP4-5'!$B:$H,Insumo[[#This Row],[DESCRIPCION]],'CAP4-5'!$H:$H)</f>
        <v>0</v>
      </c>
      <c r="H436" s="69">
        <f ca="1">SUMIF('CAP6-7'!$B:$H,Insumo[[#This Row],[DESCRIPCION]],'CAP6-7'!$H:$H)</f>
        <v>0</v>
      </c>
      <c r="I436" s="69">
        <f ca="1">SUMIF('CAP8'!$B:$H,Insumo[[#This Row],[DESCRIPCION]],'CAP8'!$H:$H)</f>
        <v>0</v>
      </c>
      <c r="J436" s="69">
        <f ca="1">SUMIF('CAP9-13'!$B:$H,Insumo[[#This Row],[DESCRIPCION]],'CAP9-13'!$H:$H)</f>
        <v>0</v>
      </c>
      <c r="K436" s="69">
        <f ca="1">SUMIF('CAP14-15'!$B:$H,Insumo[[#This Row],[DESCRIPCION]],'CAP14-15'!$H:$H)</f>
        <v>0</v>
      </c>
      <c r="L436" s="69">
        <f ca="1">SUMIF('CAP16-18'!$B:$H,Insumo[[#This Row],[DESCRIPCION]],'CAP16-18'!$H:$H)</f>
        <v>0</v>
      </c>
      <c r="M436" s="69">
        <f ca="1">SUMIF('CAP19-22'!$B:$H,Insumo[[#This Row],[DESCRIPCION]],'CAP19-22'!$H:$H)</f>
        <v>0</v>
      </c>
      <c r="N436" s="69">
        <f ca="1">SUMIF('CAP23-24'!$B:$H,Insumo[[#This Row],[DESCRIPCION]],'CAP23-24'!$H:$H)</f>
        <v>0</v>
      </c>
      <c r="O436" s="69">
        <f ca="1">SUMIF('CAP25'!$B:$H,Insumo[[#This Row],[DESCRIPCION]],'CAP25'!$H:$H)</f>
        <v>0</v>
      </c>
      <c r="P436" s="69">
        <f ca="1">SUMIF('CAP26-28'!$B:$H,Insumo[[#This Row],[DESCRIPCION]],'CAP26-28'!$H:$H)</f>
        <v>0</v>
      </c>
      <c r="Q436" s="69">
        <f ca="1">SUMIF('CAP29'!$B:$H,Insumo[[#This Row],[DESCRIPCION]],'CAP29'!$H:$H)</f>
        <v>0</v>
      </c>
      <c r="T436" s="136">
        <v>9743</v>
      </c>
    </row>
    <row r="437" spans="1:20" ht="12" customHeight="1">
      <c r="A437" s="301" t="s">
        <v>3048</v>
      </c>
      <c r="B437" s="303" t="s">
        <v>30</v>
      </c>
      <c r="C437" s="304">
        <f t="shared" si="6"/>
        <v>4091.8500000000004</v>
      </c>
      <c r="D437" s="281" cm="1">
        <f t="array" aca="1" ref="D437" ca="1">IF(Insumo[[#This Row],[VALOR]]=0,Insumo[TOTAL],E437/C437)</f>
        <v>0</v>
      </c>
      <c r="E437" s="69">
        <f ca="1">SUM(Insumo[[#This Row],[CAP1-3]:[CAP29]])</f>
        <v>0</v>
      </c>
      <c r="F437" s="286">
        <f ca="1">SUMIF('CAP1-3'!$B:$H,Insumo[[#This Row],[DESCRIPCION]],'CAP1-3'!$H:$H)</f>
        <v>0</v>
      </c>
      <c r="G437" s="286">
        <f ca="1">SUMIF('CAP4-5'!$B:$H,Insumo[[#This Row],[DESCRIPCION]],'CAP4-5'!$H:$H)</f>
        <v>0</v>
      </c>
      <c r="H437" s="286">
        <f ca="1">SUMIF('CAP6-7'!$B:$H,Insumo[[#This Row],[DESCRIPCION]],'CAP6-7'!$H:$H)</f>
        <v>0</v>
      </c>
      <c r="I437" s="286">
        <f ca="1">SUMIF('CAP8'!$B:$H,Insumo[[#This Row],[DESCRIPCION]],'CAP8'!$H:$H)</f>
        <v>0</v>
      </c>
      <c r="J437" s="286">
        <f ca="1">SUMIF('CAP9-13'!$B:$H,Insumo[[#This Row],[DESCRIPCION]],'CAP9-13'!$H:$H)</f>
        <v>0</v>
      </c>
      <c r="K437" s="286">
        <f ca="1">SUMIF('CAP14-15'!$B:$H,Insumo[[#This Row],[DESCRIPCION]],'CAP14-15'!$H:$H)</f>
        <v>0</v>
      </c>
      <c r="L437" s="286">
        <f ca="1">SUMIF('CAP16-18'!$B:$H,Insumo[[#This Row],[DESCRIPCION]],'CAP16-18'!$H:$H)</f>
        <v>0</v>
      </c>
      <c r="M437" s="286">
        <f ca="1">SUMIF('CAP19-22'!$B:$H,Insumo[[#This Row],[DESCRIPCION]],'CAP19-22'!$H:$H)</f>
        <v>0</v>
      </c>
      <c r="N437" s="286">
        <f ca="1">SUMIF('CAP23-24'!$B:$H,Insumo[[#This Row],[DESCRIPCION]],'CAP23-24'!$H:$H)</f>
        <v>0</v>
      </c>
      <c r="O437" s="286">
        <f ca="1">SUMIF('CAP25'!$B:$H,Insumo[[#This Row],[DESCRIPCION]],'CAP25'!$H:$H)</f>
        <v>0</v>
      </c>
      <c r="P437" s="286">
        <f ca="1">SUMIF('CAP26-28'!$B:$H,Insumo[[#This Row],[DESCRIPCION]],'CAP26-28'!$H:$H)</f>
        <v>0</v>
      </c>
      <c r="Q437" s="286">
        <f ca="1">SUMIF('CAP29'!$B:$H,Insumo[[#This Row],[DESCRIPCION]],'CAP29'!$H:$H)</f>
        <v>0</v>
      </c>
      <c r="T437" s="136">
        <v>3897</v>
      </c>
    </row>
    <row r="438" spans="1:20" ht="12" customHeight="1">
      <c r="A438" s="301" t="s">
        <v>3049</v>
      </c>
      <c r="B438" s="303" t="s">
        <v>23</v>
      </c>
      <c r="C438" s="304">
        <f t="shared" si="6"/>
        <v>39156.6</v>
      </c>
      <c r="D438" s="281" cm="1">
        <f t="array" aca="1" ref="D438" ca="1">IF(Insumo[[#This Row],[VALOR]]=0,Insumo[TOTAL],E438/C438)</f>
        <v>0</v>
      </c>
      <c r="E438" s="69">
        <f ca="1">SUM(Insumo[[#This Row],[CAP1-3]:[CAP29]])</f>
        <v>0</v>
      </c>
      <c r="F438" s="69">
        <f ca="1">SUMIF('CAP1-3'!$B:$H,Insumo[[#This Row],[DESCRIPCION]],'CAP1-3'!$H:$H)</f>
        <v>0</v>
      </c>
      <c r="G438" s="69">
        <f ca="1">SUMIF('CAP4-5'!$B:$H,Insumo[[#This Row],[DESCRIPCION]],'CAP4-5'!$H:$H)</f>
        <v>0</v>
      </c>
      <c r="H438" s="69">
        <f ca="1">SUMIF('CAP6-7'!$B:$H,Insumo[[#This Row],[DESCRIPCION]],'CAP6-7'!$H:$H)</f>
        <v>0</v>
      </c>
      <c r="I438" s="69">
        <f ca="1">SUMIF('CAP8'!$B:$H,Insumo[[#This Row],[DESCRIPCION]],'CAP8'!$H:$H)</f>
        <v>0</v>
      </c>
      <c r="J438" s="69">
        <f ca="1">SUMIF('CAP9-13'!$B:$H,Insumo[[#This Row],[DESCRIPCION]],'CAP9-13'!$H:$H)</f>
        <v>0</v>
      </c>
      <c r="K438" s="69">
        <f ca="1">SUMIF('CAP14-15'!$B:$H,Insumo[[#This Row],[DESCRIPCION]],'CAP14-15'!$H:$H)</f>
        <v>0</v>
      </c>
      <c r="L438" s="69">
        <f ca="1">SUMIF('CAP16-18'!$B:$H,Insumo[[#This Row],[DESCRIPCION]],'CAP16-18'!$H:$H)</f>
        <v>0</v>
      </c>
      <c r="M438" s="69">
        <f ca="1">SUMIF('CAP19-22'!$B:$H,Insumo[[#This Row],[DESCRIPCION]],'CAP19-22'!$H:$H)</f>
        <v>0</v>
      </c>
      <c r="N438" s="69">
        <f ca="1">SUMIF('CAP23-24'!$B:$H,Insumo[[#This Row],[DESCRIPCION]],'CAP23-24'!$H:$H)</f>
        <v>0</v>
      </c>
      <c r="O438" s="69">
        <f ca="1">SUMIF('CAP25'!$B:$H,Insumo[[#This Row],[DESCRIPCION]],'CAP25'!$H:$H)</f>
        <v>0</v>
      </c>
      <c r="P438" s="69">
        <f ca="1">SUMIF('CAP26-28'!$B:$H,Insumo[[#This Row],[DESCRIPCION]],'CAP26-28'!$H:$H)</f>
        <v>0</v>
      </c>
      <c r="Q438" s="69">
        <f ca="1">SUMIF('CAP29'!$B:$H,Insumo[[#This Row],[DESCRIPCION]],'CAP29'!$H:$H)</f>
        <v>0</v>
      </c>
      <c r="T438" s="136">
        <v>37292</v>
      </c>
    </row>
    <row r="439" spans="1:20" ht="12" customHeight="1">
      <c r="A439" s="301" t="s">
        <v>3050</v>
      </c>
      <c r="B439" s="303" t="s">
        <v>23</v>
      </c>
      <c r="C439" s="304">
        <f t="shared" si="6"/>
        <v>42278.25</v>
      </c>
      <c r="D439" s="281" cm="1">
        <f t="array" aca="1" ref="D439" ca="1">IF(Insumo[[#This Row],[VALOR]]=0,Insumo[TOTAL],E439/C439)</f>
        <v>0</v>
      </c>
      <c r="E439" s="69">
        <f ca="1">SUM(Insumo[[#This Row],[CAP1-3]:[CAP29]])</f>
        <v>0</v>
      </c>
      <c r="F439" s="69">
        <f ca="1">SUMIF('CAP1-3'!$B:$H,Insumo[[#This Row],[DESCRIPCION]],'CAP1-3'!$H:$H)</f>
        <v>0</v>
      </c>
      <c r="G439" s="69">
        <f ca="1">SUMIF('CAP4-5'!$B:$H,Insumo[[#This Row],[DESCRIPCION]],'CAP4-5'!$H:$H)</f>
        <v>0</v>
      </c>
      <c r="H439" s="69">
        <f ca="1">SUMIF('CAP6-7'!$B:$H,Insumo[[#This Row],[DESCRIPCION]],'CAP6-7'!$H:$H)</f>
        <v>0</v>
      </c>
      <c r="I439" s="69">
        <f ca="1">SUMIF('CAP8'!$B:$H,Insumo[[#This Row],[DESCRIPCION]],'CAP8'!$H:$H)</f>
        <v>0</v>
      </c>
      <c r="J439" s="69">
        <f ca="1">SUMIF('CAP9-13'!$B:$H,Insumo[[#This Row],[DESCRIPCION]],'CAP9-13'!$H:$H)</f>
        <v>0</v>
      </c>
      <c r="K439" s="69">
        <f ca="1">SUMIF('CAP14-15'!$B:$H,Insumo[[#This Row],[DESCRIPCION]],'CAP14-15'!$H:$H)</f>
        <v>0</v>
      </c>
      <c r="L439" s="69">
        <f ca="1">SUMIF('CAP16-18'!$B:$H,Insumo[[#This Row],[DESCRIPCION]],'CAP16-18'!$H:$H)</f>
        <v>0</v>
      </c>
      <c r="M439" s="69">
        <f ca="1">SUMIF('CAP19-22'!$B:$H,Insumo[[#This Row],[DESCRIPCION]],'CAP19-22'!$H:$H)</f>
        <v>0</v>
      </c>
      <c r="N439" s="69">
        <f ca="1">SUMIF('CAP23-24'!$B:$H,Insumo[[#This Row],[DESCRIPCION]],'CAP23-24'!$H:$H)</f>
        <v>0</v>
      </c>
      <c r="O439" s="69">
        <f ca="1">SUMIF('CAP25'!$B:$H,Insumo[[#This Row],[DESCRIPCION]],'CAP25'!$H:$H)</f>
        <v>0</v>
      </c>
      <c r="P439" s="69">
        <f ca="1">SUMIF('CAP26-28'!$B:$H,Insumo[[#This Row],[DESCRIPCION]],'CAP26-28'!$H:$H)</f>
        <v>0</v>
      </c>
      <c r="Q439" s="69">
        <f ca="1">SUMIF('CAP29'!$B:$H,Insumo[[#This Row],[DESCRIPCION]],'CAP29'!$H:$H)</f>
        <v>0</v>
      </c>
      <c r="T439" s="136">
        <v>40265</v>
      </c>
    </row>
    <row r="440" spans="1:20" ht="12" customHeight="1">
      <c r="A440" s="301" t="s">
        <v>3051</v>
      </c>
      <c r="B440" s="303" t="s">
        <v>23</v>
      </c>
      <c r="C440" s="304">
        <f t="shared" si="6"/>
        <v>195216</v>
      </c>
      <c r="D440" s="281" cm="1">
        <f t="array" aca="1" ref="D440" ca="1">IF(Insumo[[#This Row],[VALOR]]=0,Insumo[TOTAL],E440/C440)</f>
        <v>0</v>
      </c>
      <c r="E440" s="69">
        <f ca="1">SUM(Insumo[[#This Row],[CAP1-3]:[CAP29]])</f>
        <v>0</v>
      </c>
      <c r="F440" s="69">
        <f ca="1">SUMIF('CAP1-3'!$B:$H,Insumo[[#This Row],[DESCRIPCION]],'CAP1-3'!$H:$H)</f>
        <v>0</v>
      </c>
      <c r="G440" s="69">
        <f ca="1">SUMIF('CAP4-5'!$B:$H,Insumo[[#This Row],[DESCRIPCION]],'CAP4-5'!$H:$H)</f>
        <v>0</v>
      </c>
      <c r="H440" s="69">
        <f ca="1">SUMIF('CAP6-7'!$B:$H,Insumo[[#This Row],[DESCRIPCION]],'CAP6-7'!$H:$H)</f>
        <v>0</v>
      </c>
      <c r="I440" s="69">
        <f ca="1">SUMIF('CAP8'!$B:$H,Insumo[[#This Row],[DESCRIPCION]],'CAP8'!$H:$H)</f>
        <v>0</v>
      </c>
      <c r="J440" s="69">
        <f ca="1">SUMIF('CAP9-13'!$B:$H,Insumo[[#This Row],[DESCRIPCION]],'CAP9-13'!$H:$H)</f>
        <v>0</v>
      </c>
      <c r="K440" s="69">
        <f ca="1">SUMIF('CAP14-15'!$B:$H,Insumo[[#This Row],[DESCRIPCION]],'CAP14-15'!$H:$H)</f>
        <v>0</v>
      </c>
      <c r="L440" s="69">
        <f ca="1">SUMIF('CAP16-18'!$B:$H,Insumo[[#This Row],[DESCRIPCION]],'CAP16-18'!$H:$H)</f>
        <v>0</v>
      </c>
      <c r="M440" s="69">
        <f ca="1">SUMIF('CAP19-22'!$B:$H,Insumo[[#This Row],[DESCRIPCION]],'CAP19-22'!$H:$H)</f>
        <v>0</v>
      </c>
      <c r="N440" s="69">
        <f ca="1">SUMIF('CAP23-24'!$B:$H,Insumo[[#This Row],[DESCRIPCION]],'CAP23-24'!$H:$H)</f>
        <v>0</v>
      </c>
      <c r="O440" s="69">
        <f ca="1">SUMIF('CAP25'!$B:$H,Insumo[[#This Row],[DESCRIPCION]],'CAP25'!$H:$H)</f>
        <v>0</v>
      </c>
      <c r="P440" s="69">
        <f ca="1">SUMIF('CAP26-28'!$B:$H,Insumo[[#This Row],[DESCRIPCION]],'CAP26-28'!$H:$H)</f>
        <v>0</v>
      </c>
      <c r="Q440" s="69">
        <f ca="1">SUMIF('CAP29'!$B:$H,Insumo[[#This Row],[DESCRIPCION]],'CAP29'!$H:$H)</f>
        <v>0</v>
      </c>
      <c r="T440" s="136">
        <v>185920</v>
      </c>
    </row>
    <row r="441" spans="1:20" ht="12" customHeight="1">
      <c r="A441" s="301" t="s">
        <v>3052</v>
      </c>
      <c r="B441" s="303" t="s">
        <v>23</v>
      </c>
      <c r="C441" s="304">
        <f t="shared" si="6"/>
        <v>118834.8</v>
      </c>
      <c r="D441" s="281" cm="1">
        <f t="array" aca="1" ref="D441" ca="1">IF(Insumo[[#This Row],[VALOR]]=0,Insumo[TOTAL],E441/C441)</f>
        <v>0</v>
      </c>
      <c r="E441" s="69">
        <f ca="1">SUM(Insumo[[#This Row],[CAP1-3]:[CAP29]])</f>
        <v>0</v>
      </c>
      <c r="F441" s="69">
        <f ca="1">SUMIF('CAP1-3'!$B:$H,Insumo[[#This Row],[DESCRIPCION]],'CAP1-3'!$H:$H)</f>
        <v>0</v>
      </c>
      <c r="G441" s="69">
        <f ca="1">SUMIF('CAP4-5'!$B:$H,Insumo[[#This Row],[DESCRIPCION]],'CAP4-5'!$H:$H)</f>
        <v>0</v>
      </c>
      <c r="H441" s="69">
        <f ca="1">SUMIF('CAP6-7'!$B:$H,Insumo[[#This Row],[DESCRIPCION]],'CAP6-7'!$H:$H)</f>
        <v>0</v>
      </c>
      <c r="I441" s="69">
        <f ca="1">SUMIF('CAP8'!$B:$H,Insumo[[#This Row],[DESCRIPCION]],'CAP8'!$H:$H)</f>
        <v>0</v>
      </c>
      <c r="J441" s="69">
        <f ca="1">SUMIF('CAP9-13'!$B:$H,Insumo[[#This Row],[DESCRIPCION]],'CAP9-13'!$H:$H)</f>
        <v>0</v>
      </c>
      <c r="K441" s="69">
        <f ca="1">SUMIF('CAP14-15'!$B:$H,Insumo[[#This Row],[DESCRIPCION]],'CAP14-15'!$H:$H)</f>
        <v>0</v>
      </c>
      <c r="L441" s="69">
        <f ca="1">SUMIF('CAP16-18'!$B:$H,Insumo[[#This Row],[DESCRIPCION]],'CAP16-18'!$H:$H)</f>
        <v>0</v>
      </c>
      <c r="M441" s="69">
        <f ca="1">SUMIF('CAP19-22'!$B:$H,Insumo[[#This Row],[DESCRIPCION]],'CAP19-22'!$H:$H)</f>
        <v>0</v>
      </c>
      <c r="N441" s="69">
        <f ca="1">SUMIF('CAP23-24'!$B:$H,Insumo[[#This Row],[DESCRIPCION]],'CAP23-24'!$H:$H)</f>
        <v>0</v>
      </c>
      <c r="O441" s="69">
        <f ca="1">SUMIF('CAP25'!$B:$H,Insumo[[#This Row],[DESCRIPCION]],'CAP25'!$H:$H)</f>
        <v>0</v>
      </c>
      <c r="P441" s="69">
        <f ca="1">SUMIF('CAP26-28'!$B:$H,Insumo[[#This Row],[DESCRIPCION]],'CAP26-28'!$H:$H)</f>
        <v>0</v>
      </c>
      <c r="Q441" s="69">
        <f ca="1">SUMIF('CAP29'!$B:$H,Insumo[[#This Row],[DESCRIPCION]],'CAP29'!$H:$H)</f>
        <v>0</v>
      </c>
      <c r="T441" s="136">
        <v>113176</v>
      </c>
    </row>
    <row r="442" spans="1:20" ht="12" customHeight="1">
      <c r="A442" s="301" t="s">
        <v>3053</v>
      </c>
      <c r="B442" s="303" t="s">
        <v>23</v>
      </c>
      <c r="C442" s="304">
        <f t="shared" si="6"/>
        <v>642193.65</v>
      </c>
      <c r="D442" s="281" cm="1">
        <f t="array" aca="1" ref="D442" ca="1">IF(Insumo[[#This Row],[VALOR]]=0,Insumo[TOTAL],E442/C442)</f>
        <v>0</v>
      </c>
      <c r="E442" s="69">
        <f ca="1">SUM(Insumo[[#This Row],[CAP1-3]:[CAP29]])</f>
        <v>0</v>
      </c>
      <c r="F442" s="69">
        <f ca="1">SUMIF('CAP1-3'!$B:$H,Insumo[[#This Row],[DESCRIPCION]],'CAP1-3'!$H:$H)</f>
        <v>0</v>
      </c>
      <c r="G442" s="69">
        <f ca="1">SUMIF('CAP4-5'!$B:$H,Insumo[[#This Row],[DESCRIPCION]],'CAP4-5'!$H:$H)</f>
        <v>0</v>
      </c>
      <c r="H442" s="69">
        <f ca="1">SUMIF('CAP6-7'!$B:$H,Insumo[[#This Row],[DESCRIPCION]],'CAP6-7'!$H:$H)</f>
        <v>0</v>
      </c>
      <c r="I442" s="69">
        <f ca="1">SUMIF('CAP8'!$B:$H,Insumo[[#This Row],[DESCRIPCION]],'CAP8'!$H:$H)</f>
        <v>0</v>
      </c>
      <c r="J442" s="69">
        <f ca="1">SUMIF('CAP9-13'!$B:$H,Insumo[[#This Row],[DESCRIPCION]],'CAP9-13'!$H:$H)</f>
        <v>0</v>
      </c>
      <c r="K442" s="69">
        <f ca="1">SUMIF('CAP14-15'!$B:$H,Insumo[[#This Row],[DESCRIPCION]],'CAP14-15'!$H:$H)</f>
        <v>0</v>
      </c>
      <c r="L442" s="69">
        <f ca="1">SUMIF('CAP16-18'!$B:$H,Insumo[[#This Row],[DESCRIPCION]],'CAP16-18'!$H:$H)</f>
        <v>0</v>
      </c>
      <c r="M442" s="69">
        <f ca="1">SUMIF('CAP19-22'!$B:$H,Insumo[[#This Row],[DESCRIPCION]],'CAP19-22'!$H:$H)</f>
        <v>0</v>
      </c>
      <c r="N442" s="69">
        <f ca="1">SUMIF('CAP23-24'!$B:$H,Insumo[[#This Row],[DESCRIPCION]],'CAP23-24'!$H:$H)</f>
        <v>0</v>
      </c>
      <c r="O442" s="69">
        <f ca="1">SUMIF('CAP25'!$B:$H,Insumo[[#This Row],[DESCRIPCION]],'CAP25'!$H:$H)</f>
        <v>0</v>
      </c>
      <c r="P442" s="69">
        <f ca="1">SUMIF('CAP26-28'!$B:$H,Insumo[[#This Row],[DESCRIPCION]],'CAP26-28'!$H:$H)</f>
        <v>0</v>
      </c>
      <c r="Q442" s="69">
        <f ca="1">SUMIF('CAP29'!$B:$H,Insumo[[#This Row],[DESCRIPCION]],'CAP29'!$H:$H)</f>
        <v>0</v>
      </c>
      <c r="T442" s="136">
        <v>611613</v>
      </c>
    </row>
    <row r="443" spans="1:20" ht="12" customHeight="1">
      <c r="A443" s="301" t="s">
        <v>3054</v>
      </c>
      <c r="B443" s="303" t="s">
        <v>23</v>
      </c>
      <c r="C443" s="304">
        <f t="shared" si="6"/>
        <v>153753.60000000001</v>
      </c>
      <c r="D443" s="281" cm="1">
        <f t="array" aca="1" ref="D443" ca="1">IF(Insumo[[#This Row],[VALOR]]=0,Insumo[TOTAL],E443/C443)</f>
        <v>0</v>
      </c>
      <c r="E443" s="69">
        <f ca="1">SUM(Insumo[[#This Row],[CAP1-3]:[CAP29]])</f>
        <v>0</v>
      </c>
      <c r="F443" s="69">
        <f ca="1">SUMIF('CAP1-3'!$B:$H,Insumo[[#This Row],[DESCRIPCION]],'CAP1-3'!$H:$H)</f>
        <v>0</v>
      </c>
      <c r="G443" s="69">
        <f ca="1">SUMIF('CAP4-5'!$B:$H,Insumo[[#This Row],[DESCRIPCION]],'CAP4-5'!$H:$H)</f>
        <v>0</v>
      </c>
      <c r="H443" s="69">
        <f ca="1">SUMIF('CAP6-7'!$B:$H,Insumo[[#This Row],[DESCRIPCION]],'CAP6-7'!$H:$H)</f>
        <v>0</v>
      </c>
      <c r="I443" s="69">
        <f ca="1">SUMIF('CAP8'!$B:$H,Insumo[[#This Row],[DESCRIPCION]],'CAP8'!$H:$H)</f>
        <v>0</v>
      </c>
      <c r="J443" s="69">
        <f ca="1">SUMIF('CAP9-13'!$B:$H,Insumo[[#This Row],[DESCRIPCION]],'CAP9-13'!$H:$H)</f>
        <v>0</v>
      </c>
      <c r="K443" s="69">
        <f ca="1">SUMIF('CAP14-15'!$B:$H,Insumo[[#This Row],[DESCRIPCION]],'CAP14-15'!$H:$H)</f>
        <v>0</v>
      </c>
      <c r="L443" s="69">
        <f ca="1">SUMIF('CAP16-18'!$B:$H,Insumo[[#This Row],[DESCRIPCION]],'CAP16-18'!$H:$H)</f>
        <v>0</v>
      </c>
      <c r="M443" s="69">
        <f ca="1">SUMIF('CAP19-22'!$B:$H,Insumo[[#This Row],[DESCRIPCION]],'CAP19-22'!$H:$H)</f>
        <v>0</v>
      </c>
      <c r="N443" s="69">
        <f ca="1">SUMIF('CAP23-24'!$B:$H,Insumo[[#This Row],[DESCRIPCION]],'CAP23-24'!$H:$H)</f>
        <v>0</v>
      </c>
      <c r="O443" s="69">
        <f ca="1">SUMIF('CAP25'!$B:$H,Insumo[[#This Row],[DESCRIPCION]],'CAP25'!$H:$H)</f>
        <v>0</v>
      </c>
      <c r="P443" s="69">
        <f ca="1">SUMIF('CAP26-28'!$B:$H,Insumo[[#This Row],[DESCRIPCION]],'CAP26-28'!$H:$H)</f>
        <v>0</v>
      </c>
      <c r="Q443" s="69">
        <f ca="1">SUMIF('CAP29'!$B:$H,Insumo[[#This Row],[DESCRIPCION]],'CAP29'!$H:$H)</f>
        <v>0</v>
      </c>
      <c r="T443" s="136">
        <v>146432</v>
      </c>
    </row>
    <row r="444" spans="1:20" ht="12" customHeight="1">
      <c r="A444" s="301" t="s">
        <v>3055</v>
      </c>
      <c r="B444" s="303" t="s">
        <v>23</v>
      </c>
      <c r="C444" s="304">
        <f t="shared" si="6"/>
        <v>51148.65</v>
      </c>
      <c r="D444" s="281" cm="1">
        <f t="array" aca="1" ref="D444" ca="1">IF(Insumo[[#This Row],[VALOR]]=0,Insumo[TOTAL],E444/C444)</f>
        <v>0</v>
      </c>
      <c r="E444" s="69">
        <f ca="1">SUM(Insumo[[#This Row],[CAP1-3]:[CAP29]])</f>
        <v>0</v>
      </c>
      <c r="F444" s="69">
        <f ca="1">SUMIF('CAP1-3'!$B:$H,Insumo[[#This Row],[DESCRIPCION]],'CAP1-3'!$H:$H)</f>
        <v>0</v>
      </c>
      <c r="G444" s="69">
        <f ca="1">SUMIF('CAP4-5'!$B:$H,Insumo[[#This Row],[DESCRIPCION]],'CAP4-5'!$H:$H)</f>
        <v>0</v>
      </c>
      <c r="H444" s="69">
        <f ca="1">SUMIF('CAP6-7'!$B:$H,Insumo[[#This Row],[DESCRIPCION]],'CAP6-7'!$H:$H)</f>
        <v>0</v>
      </c>
      <c r="I444" s="69">
        <f ca="1">SUMIF('CAP8'!$B:$H,Insumo[[#This Row],[DESCRIPCION]],'CAP8'!$H:$H)</f>
        <v>0</v>
      </c>
      <c r="J444" s="69">
        <f ca="1">SUMIF('CAP9-13'!$B:$H,Insumo[[#This Row],[DESCRIPCION]],'CAP9-13'!$H:$H)</f>
        <v>0</v>
      </c>
      <c r="K444" s="69">
        <f ca="1">SUMIF('CAP14-15'!$B:$H,Insumo[[#This Row],[DESCRIPCION]],'CAP14-15'!$H:$H)</f>
        <v>0</v>
      </c>
      <c r="L444" s="69">
        <f ca="1">SUMIF('CAP16-18'!$B:$H,Insumo[[#This Row],[DESCRIPCION]],'CAP16-18'!$H:$H)</f>
        <v>0</v>
      </c>
      <c r="M444" s="69">
        <f ca="1">SUMIF('CAP19-22'!$B:$H,Insumo[[#This Row],[DESCRIPCION]],'CAP19-22'!$H:$H)</f>
        <v>0</v>
      </c>
      <c r="N444" s="69">
        <f ca="1">SUMIF('CAP23-24'!$B:$H,Insumo[[#This Row],[DESCRIPCION]],'CAP23-24'!$H:$H)</f>
        <v>0</v>
      </c>
      <c r="O444" s="69">
        <f ca="1">SUMIF('CAP25'!$B:$H,Insumo[[#This Row],[DESCRIPCION]],'CAP25'!$H:$H)</f>
        <v>0</v>
      </c>
      <c r="P444" s="69">
        <f ca="1">SUMIF('CAP26-28'!$B:$H,Insumo[[#This Row],[DESCRIPCION]],'CAP26-28'!$H:$H)</f>
        <v>0</v>
      </c>
      <c r="Q444" s="69">
        <f ca="1">SUMIF('CAP29'!$B:$H,Insumo[[#This Row],[DESCRIPCION]],'CAP29'!$H:$H)</f>
        <v>0</v>
      </c>
      <c r="T444" s="136">
        <v>48713</v>
      </c>
    </row>
    <row r="445" spans="1:20" ht="12" customHeight="1">
      <c r="A445" s="301" t="s">
        <v>3056</v>
      </c>
      <c r="B445" s="303" t="s">
        <v>23</v>
      </c>
      <c r="C445" s="304">
        <f t="shared" si="6"/>
        <v>40122.6</v>
      </c>
      <c r="D445" s="281" cm="1">
        <f t="array" aca="1" ref="D445" ca="1">IF(Insumo[[#This Row],[VALOR]]=0,Insumo[TOTAL],E445/C445)</f>
        <v>0</v>
      </c>
      <c r="E445" s="69">
        <f ca="1">SUM(Insumo[[#This Row],[CAP1-3]:[CAP29]])</f>
        <v>0</v>
      </c>
      <c r="F445" s="69">
        <f ca="1">SUMIF('CAP1-3'!$B:$H,Insumo[[#This Row],[DESCRIPCION]],'CAP1-3'!$H:$H)</f>
        <v>0</v>
      </c>
      <c r="G445" s="69">
        <f ca="1">SUMIF('CAP4-5'!$B:$H,Insumo[[#This Row],[DESCRIPCION]],'CAP4-5'!$H:$H)</f>
        <v>0</v>
      </c>
      <c r="H445" s="69">
        <f ca="1">SUMIF('CAP6-7'!$B:$H,Insumo[[#This Row],[DESCRIPCION]],'CAP6-7'!$H:$H)</f>
        <v>0</v>
      </c>
      <c r="I445" s="69">
        <f ca="1">SUMIF('CAP8'!$B:$H,Insumo[[#This Row],[DESCRIPCION]],'CAP8'!$H:$H)</f>
        <v>0</v>
      </c>
      <c r="J445" s="69">
        <f ca="1">SUMIF('CAP9-13'!$B:$H,Insumo[[#This Row],[DESCRIPCION]],'CAP9-13'!$H:$H)</f>
        <v>0</v>
      </c>
      <c r="K445" s="69">
        <f ca="1">SUMIF('CAP14-15'!$B:$H,Insumo[[#This Row],[DESCRIPCION]],'CAP14-15'!$H:$H)</f>
        <v>0</v>
      </c>
      <c r="L445" s="69">
        <f ca="1">SUMIF('CAP16-18'!$B:$H,Insumo[[#This Row],[DESCRIPCION]],'CAP16-18'!$H:$H)</f>
        <v>0</v>
      </c>
      <c r="M445" s="69">
        <f ca="1">SUMIF('CAP19-22'!$B:$H,Insumo[[#This Row],[DESCRIPCION]],'CAP19-22'!$H:$H)</f>
        <v>0</v>
      </c>
      <c r="N445" s="69">
        <f ca="1">SUMIF('CAP23-24'!$B:$H,Insumo[[#This Row],[DESCRIPCION]],'CAP23-24'!$H:$H)</f>
        <v>0</v>
      </c>
      <c r="O445" s="69">
        <f ca="1">SUMIF('CAP25'!$B:$H,Insumo[[#This Row],[DESCRIPCION]],'CAP25'!$H:$H)</f>
        <v>0</v>
      </c>
      <c r="P445" s="69">
        <f ca="1">SUMIF('CAP26-28'!$B:$H,Insumo[[#This Row],[DESCRIPCION]],'CAP26-28'!$H:$H)</f>
        <v>0</v>
      </c>
      <c r="Q445" s="69">
        <f ca="1">SUMIF('CAP29'!$B:$H,Insumo[[#This Row],[DESCRIPCION]],'CAP29'!$H:$H)</f>
        <v>0</v>
      </c>
      <c r="T445" s="136">
        <v>38212</v>
      </c>
    </row>
    <row r="446" spans="1:20" ht="12" customHeight="1">
      <c r="A446" s="301" t="s">
        <v>3057</v>
      </c>
      <c r="B446" s="303" t="s">
        <v>23</v>
      </c>
      <c r="C446" s="304">
        <f t="shared" si="6"/>
        <v>51545.55</v>
      </c>
      <c r="D446" s="281" cm="1">
        <f t="array" aca="1" ref="D446" ca="1">IF(Insumo[[#This Row],[VALOR]]=0,Insumo[TOTAL],E446/C446)</f>
        <v>0</v>
      </c>
      <c r="E446" s="69">
        <f ca="1">SUM(Insumo[[#This Row],[CAP1-3]:[CAP29]])</f>
        <v>0</v>
      </c>
      <c r="F446" s="69">
        <f ca="1">SUMIF('CAP1-3'!$B:$H,Insumo[[#This Row],[DESCRIPCION]],'CAP1-3'!$H:$H)</f>
        <v>0</v>
      </c>
      <c r="G446" s="69">
        <f ca="1">SUMIF('CAP4-5'!$B:$H,Insumo[[#This Row],[DESCRIPCION]],'CAP4-5'!$H:$H)</f>
        <v>0</v>
      </c>
      <c r="H446" s="69">
        <f ca="1">SUMIF('CAP6-7'!$B:$H,Insumo[[#This Row],[DESCRIPCION]],'CAP6-7'!$H:$H)</f>
        <v>0</v>
      </c>
      <c r="I446" s="69">
        <f ca="1">SUMIF('CAP8'!$B:$H,Insumo[[#This Row],[DESCRIPCION]],'CAP8'!$H:$H)</f>
        <v>0</v>
      </c>
      <c r="J446" s="69">
        <f ca="1">SUMIF('CAP9-13'!$B:$H,Insumo[[#This Row],[DESCRIPCION]],'CAP9-13'!$H:$H)</f>
        <v>0</v>
      </c>
      <c r="K446" s="69">
        <f ca="1">SUMIF('CAP14-15'!$B:$H,Insumo[[#This Row],[DESCRIPCION]],'CAP14-15'!$H:$H)</f>
        <v>0</v>
      </c>
      <c r="L446" s="69">
        <f ca="1">SUMIF('CAP16-18'!$B:$H,Insumo[[#This Row],[DESCRIPCION]],'CAP16-18'!$H:$H)</f>
        <v>0</v>
      </c>
      <c r="M446" s="69">
        <f ca="1">SUMIF('CAP19-22'!$B:$H,Insumo[[#This Row],[DESCRIPCION]],'CAP19-22'!$H:$H)</f>
        <v>0</v>
      </c>
      <c r="N446" s="69">
        <f ca="1">SUMIF('CAP23-24'!$B:$H,Insumo[[#This Row],[DESCRIPCION]],'CAP23-24'!$H:$H)</f>
        <v>0</v>
      </c>
      <c r="O446" s="69">
        <f ca="1">SUMIF('CAP25'!$B:$H,Insumo[[#This Row],[DESCRIPCION]],'CAP25'!$H:$H)</f>
        <v>0</v>
      </c>
      <c r="P446" s="69">
        <f ca="1">SUMIF('CAP26-28'!$B:$H,Insumo[[#This Row],[DESCRIPCION]],'CAP26-28'!$H:$H)</f>
        <v>0</v>
      </c>
      <c r="Q446" s="69">
        <f ca="1">SUMIF('CAP29'!$B:$H,Insumo[[#This Row],[DESCRIPCION]],'CAP29'!$H:$H)</f>
        <v>0</v>
      </c>
      <c r="T446" s="136">
        <v>49091</v>
      </c>
    </row>
    <row r="447" spans="1:20" ht="12" customHeight="1">
      <c r="A447" s="301" t="s">
        <v>3058</v>
      </c>
      <c r="B447" s="303" t="s">
        <v>23</v>
      </c>
      <c r="C447" s="304">
        <f t="shared" si="6"/>
        <v>11025</v>
      </c>
      <c r="D447" s="281" cm="1">
        <f t="array" aca="1" ref="D447" ca="1">IF(Insumo[[#This Row],[VALOR]]=0,Insumo[TOTAL],E447/C447)</f>
        <v>0</v>
      </c>
      <c r="E447" s="69">
        <f ca="1">SUM(Insumo[[#This Row],[CAP1-3]:[CAP29]])</f>
        <v>0</v>
      </c>
      <c r="F447" s="69">
        <f ca="1">SUMIF('CAP1-3'!$B:$H,Insumo[[#This Row],[DESCRIPCION]],'CAP1-3'!$H:$H)</f>
        <v>0</v>
      </c>
      <c r="G447" s="69">
        <f ca="1">SUMIF('CAP4-5'!$B:$H,Insumo[[#This Row],[DESCRIPCION]],'CAP4-5'!$H:$H)</f>
        <v>0</v>
      </c>
      <c r="H447" s="69">
        <f ca="1">SUMIF('CAP6-7'!$B:$H,Insumo[[#This Row],[DESCRIPCION]],'CAP6-7'!$H:$H)</f>
        <v>0</v>
      </c>
      <c r="I447" s="69">
        <f ca="1">SUMIF('CAP8'!$B:$H,Insumo[[#This Row],[DESCRIPCION]],'CAP8'!$H:$H)</f>
        <v>0</v>
      </c>
      <c r="J447" s="69">
        <f ca="1">SUMIF('CAP9-13'!$B:$H,Insumo[[#This Row],[DESCRIPCION]],'CAP9-13'!$H:$H)</f>
        <v>0</v>
      </c>
      <c r="K447" s="69">
        <f ca="1">SUMIF('CAP14-15'!$B:$H,Insumo[[#This Row],[DESCRIPCION]],'CAP14-15'!$H:$H)</f>
        <v>0</v>
      </c>
      <c r="L447" s="69">
        <f ca="1">SUMIF('CAP16-18'!$B:$H,Insumo[[#This Row],[DESCRIPCION]],'CAP16-18'!$H:$H)</f>
        <v>0</v>
      </c>
      <c r="M447" s="69">
        <f ca="1">SUMIF('CAP19-22'!$B:$H,Insumo[[#This Row],[DESCRIPCION]],'CAP19-22'!$H:$H)</f>
        <v>0</v>
      </c>
      <c r="N447" s="69">
        <f ca="1">SUMIF('CAP23-24'!$B:$H,Insumo[[#This Row],[DESCRIPCION]],'CAP23-24'!$H:$H)</f>
        <v>0</v>
      </c>
      <c r="O447" s="69">
        <f ca="1">SUMIF('CAP25'!$B:$H,Insumo[[#This Row],[DESCRIPCION]],'CAP25'!$H:$H)</f>
        <v>0</v>
      </c>
      <c r="P447" s="69">
        <f ca="1">SUMIF('CAP26-28'!$B:$H,Insumo[[#This Row],[DESCRIPCION]],'CAP26-28'!$H:$H)</f>
        <v>0</v>
      </c>
      <c r="Q447" s="69">
        <f ca="1">SUMIF('CAP29'!$B:$H,Insumo[[#This Row],[DESCRIPCION]],'CAP29'!$H:$H)</f>
        <v>0</v>
      </c>
      <c r="R447" s="290"/>
      <c r="T447" s="136">
        <v>10500</v>
      </c>
    </row>
    <row r="448" spans="1:20" ht="12" customHeight="1">
      <c r="A448" s="301" t="s">
        <v>3059</v>
      </c>
      <c r="B448" s="303" t="s">
        <v>23</v>
      </c>
      <c r="C448" s="304">
        <f t="shared" si="6"/>
        <v>11550</v>
      </c>
      <c r="D448" s="281" cm="1">
        <f t="array" aca="1" ref="D448" ca="1">IF(Insumo[[#This Row],[VALOR]]=0,Insumo[TOTAL],E448/C448)</f>
        <v>0</v>
      </c>
      <c r="E448" s="69">
        <f ca="1">SUM(Insumo[[#This Row],[CAP1-3]:[CAP29]])</f>
        <v>0</v>
      </c>
      <c r="F448" s="69">
        <f ca="1">SUMIF('CAP1-3'!$B:$H,Insumo[[#This Row],[DESCRIPCION]],'CAP1-3'!$H:$H)</f>
        <v>0</v>
      </c>
      <c r="G448" s="69">
        <f ca="1">SUMIF('CAP4-5'!$B:$H,Insumo[[#This Row],[DESCRIPCION]],'CAP4-5'!$H:$H)</f>
        <v>0</v>
      </c>
      <c r="H448" s="69">
        <f ca="1">SUMIF('CAP6-7'!$B:$H,Insumo[[#This Row],[DESCRIPCION]],'CAP6-7'!$H:$H)</f>
        <v>0</v>
      </c>
      <c r="I448" s="69">
        <f ca="1">SUMIF('CAP8'!$B:$H,Insumo[[#This Row],[DESCRIPCION]],'CAP8'!$H:$H)</f>
        <v>0</v>
      </c>
      <c r="J448" s="69">
        <f ca="1">SUMIF('CAP9-13'!$B:$H,Insumo[[#This Row],[DESCRIPCION]],'CAP9-13'!$H:$H)</f>
        <v>0</v>
      </c>
      <c r="K448" s="69">
        <f ca="1">SUMIF('CAP14-15'!$B:$H,Insumo[[#This Row],[DESCRIPCION]],'CAP14-15'!$H:$H)</f>
        <v>0</v>
      </c>
      <c r="L448" s="69">
        <f ca="1">SUMIF('CAP16-18'!$B:$H,Insumo[[#This Row],[DESCRIPCION]],'CAP16-18'!$H:$H)</f>
        <v>0</v>
      </c>
      <c r="M448" s="69">
        <f ca="1">SUMIF('CAP19-22'!$B:$H,Insumo[[#This Row],[DESCRIPCION]],'CAP19-22'!$H:$H)</f>
        <v>0</v>
      </c>
      <c r="N448" s="69">
        <f ca="1">SUMIF('CAP23-24'!$B:$H,Insumo[[#This Row],[DESCRIPCION]],'CAP23-24'!$H:$H)</f>
        <v>0</v>
      </c>
      <c r="O448" s="69">
        <f ca="1">SUMIF('CAP25'!$B:$H,Insumo[[#This Row],[DESCRIPCION]],'CAP25'!$H:$H)</f>
        <v>0</v>
      </c>
      <c r="P448" s="69">
        <f ca="1">SUMIF('CAP26-28'!$B:$H,Insumo[[#This Row],[DESCRIPCION]],'CAP26-28'!$H:$H)</f>
        <v>0</v>
      </c>
      <c r="Q448" s="69">
        <f ca="1">SUMIF('CAP29'!$B:$H,Insumo[[#This Row],[DESCRIPCION]],'CAP29'!$H:$H)</f>
        <v>0</v>
      </c>
      <c r="R448" s="290"/>
      <c r="T448" s="136">
        <v>11000</v>
      </c>
    </row>
    <row r="449" spans="1:20" ht="12" customHeight="1">
      <c r="A449" s="301" t="s">
        <v>3060</v>
      </c>
      <c r="B449" s="303" t="s">
        <v>338</v>
      </c>
      <c r="C449" s="304">
        <f t="shared" si="6"/>
        <v>37509.15</v>
      </c>
      <c r="D449" s="281" cm="1">
        <f t="array" aca="1" ref="D449" ca="1">IF(Insumo[[#This Row],[VALOR]]=0,Insumo[TOTAL],E449/C449)</f>
        <v>0</v>
      </c>
      <c r="E449" s="69">
        <f ca="1">SUM(Insumo[[#This Row],[CAP1-3]:[CAP29]])</f>
        <v>0</v>
      </c>
      <c r="F449" s="69">
        <f ca="1">SUMIF('CAP1-3'!$B:$H,Insumo[[#This Row],[DESCRIPCION]],'CAP1-3'!$H:$H)</f>
        <v>0</v>
      </c>
      <c r="G449" s="69">
        <f ca="1">SUMIF('CAP4-5'!$B:$H,Insumo[[#This Row],[DESCRIPCION]],'CAP4-5'!$H:$H)</f>
        <v>0</v>
      </c>
      <c r="H449" s="69">
        <f ca="1">SUMIF('CAP6-7'!$B:$H,Insumo[[#This Row],[DESCRIPCION]],'CAP6-7'!$H:$H)</f>
        <v>0</v>
      </c>
      <c r="I449" s="69">
        <f ca="1">SUMIF('CAP8'!$B:$H,Insumo[[#This Row],[DESCRIPCION]],'CAP8'!$H:$H)</f>
        <v>0</v>
      </c>
      <c r="J449" s="69">
        <f ca="1">SUMIF('CAP9-13'!$B:$H,Insumo[[#This Row],[DESCRIPCION]],'CAP9-13'!$H:$H)</f>
        <v>0</v>
      </c>
      <c r="K449" s="69">
        <f ca="1">SUMIF('CAP14-15'!$B:$H,Insumo[[#This Row],[DESCRIPCION]],'CAP14-15'!$H:$H)</f>
        <v>0</v>
      </c>
      <c r="L449" s="69">
        <f ca="1">SUMIF('CAP16-18'!$B:$H,Insumo[[#This Row],[DESCRIPCION]],'CAP16-18'!$H:$H)</f>
        <v>0</v>
      </c>
      <c r="M449" s="69">
        <f ca="1">SUMIF('CAP19-22'!$B:$H,Insumo[[#This Row],[DESCRIPCION]],'CAP19-22'!$H:$H)</f>
        <v>0</v>
      </c>
      <c r="N449" s="69">
        <f ca="1">SUMIF('CAP23-24'!$B:$H,Insumo[[#This Row],[DESCRIPCION]],'CAP23-24'!$H:$H)</f>
        <v>0</v>
      </c>
      <c r="O449" s="69">
        <f ca="1">SUMIF('CAP25'!$B:$H,Insumo[[#This Row],[DESCRIPCION]],'CAP25'!$H:$H)</f>
        <v>0</v>
      </c>
      <c r="P449" s="69">
        <f ca="1">SUMIF('CAP26-28'!$B:$H,Insumo[[#This Row],[DESCRIPCION]],'CAP26-28'!$H:$H)</f>
        <v>0</v>
      </c>
      <c r="Q449" s="69">
        <f ca="1">SUMIF('CAP29'!$B:$H,Insumo[[#This Row],[DESCRIPCION]],'CAP29'!$H:$H)</f>
        <v>0</v>
      </c>
      <c r="T449" s="136">
        <v>35723</v>
      </c>
    </row>
    <row r="450" spans="1:20" ht="12" customHeight="1">
      <c r="A450" s="301" t="s">
        <v>3061</v>
      </c>
      <c r="B450" s="303" t="s">
        <v>23</v>
      </c>
      <c r="C450" s="304">
        <f t="shared" si="6"/>
        <v>456750</v>
      </c>
      <c r="D450" s="281" cm="1">
        <f t="array" aca="1" ref="D450" ca="1">IF(Insumo[[#This Row],[VALOR]]=0,Insumo[TOTAL],E450/C450)</f>
        <v>0</v>
      </c>
      <c r="E450" s="69">
        <f ca="1">SUM(Insumo[[#This Row],[CAP1-3]:[CAP29]])</f>
        <v>0</v>
      </c>
      <c r="F450" s="69">
        <f ca="1">SUMIF('CAP1-3'!$B:$H,Insumo[[#This Row],[DESCRIPCION]],'CAP1-3'!$H:$H)</f>
        <v>0</v>
      </c>
      <c r="G450" s="69">
        <f ca="1">SUMIF('CAP4-5'!$B:$H,Insumo[[#This Row],[DESCRIPCION]],'CAP4-5'!$H:$H)</f>
        <v>0</v>
      </c>
      <c r="H450" s="69">
        <f ca="1">SUMIF('CAP6-7'!$B:$H,Insumo[[#This Row],[DESCRIPCION]],'CAP6-7'!$H:$H)</f>
        <v>0</v>
      </c>
      <c r="I450" s="69">
        <f ca="1">SUMIF('CAP8'!$B:$H,Insumo[[#This Row],[DESCRIPCION]],'CAP8'!$H:$H)</f>
        <v>0</v>
      </c>
      <c r="J450" s="69">
        <f ca="1">SUMIF('CAP9-13'!$B:$H,Insumo[[#This Row],[DESCRIPCION]],'CAP9-13'!$H:$H)</f>
        <v>0</v>
      </c>
      <c r="K450" s="69">
        <f ca="1">SUMIF('CAP14-15'!$B:$H,Insumo[[#This Row],[DESCRIPCION]],'CAP14-15'!$H:$H)</f>
        <v>0</v>
      </c>
      <c r="L450" s="69">
        <f ca="1">SUMIF('CAP16-18'!$B:$H,Insumo[[#This Row],[DESCRIPCION]],'CAP16-18'!$H:$H)</f>
        <v>0</v>
      </c>
      <c r="M450" s="69">
        <f ca="1">SUMIF('CAP19-22'!$B:$H,Insumo[[#This Row],[DESCRIPCION]],'CAP19-22'!$H:$H)</f>
        <v>0</v>
      </c>
      <c r="N450" s="69">
        <f ca="1">SUMIF('CAP23-24'!$B:$H,Insumo[[#This Row],[DESCRIPCION]],'CAP23-24'!$H:$H)</f>
        <v>0</v>
      </c>
      <c r="O450" s="69">
        <f ca="1">SUMIF('CAP25'!$B:$H,Insumo[[#This Row],[DESCRIPCION]],'CAP25'!$H:$H)</f>
        <v>0</v>
      </c>
      <c r="P450" s="69">
        <f ca="1">SUMIF('CAP26-28'!$B:$H,Insumo[[#This Row],[DESCRIPCION]],'CAP26-28'!$H:$H)</f>
        <v>0</v>
      </c>
      <c r="Q450" s="69">
        <f ca="1">SUMIF('CAP29'!$B:$H,Insumo[[#This Row],[DESCRIPCION]],'CAP29'!$H:$H)</f>
        <v>0</v>
      </c>
      <c r="R450" s="290"/>
      <c r="T450" s="136">
        <v>435000</v>
      </c>
    </row>
    <row r="451" spans="1:20" ht="12" customHeight="1">
      <c r="A451" s="301" t="s">
        <v>3062</v>
      </c>
      <c r="B451" s="303" t="s">
        <v>23</v>
      </c>
      <c r="C451" s="304">
        <f t="shared" si="6"/>
        <v>278250</v>
      </c>
      <c r="D451" s="281" cm="1">
        <f t="array" aca="1" ref="D451" ca="1">IF(Insumo[[#This Row],[VALOR]]=0,Insumo[TOTAL],E451/C451)</f>
        <v>0</v>
      </c>
      <c r="E451" s="69">
        <f ca="1">SUM(Insumo[[#This Row],[CAP1-3]:[CAP29]])</f>
        <v>0</v>
      </c>
      <c r="F451" s="69">
        <f ca="1">SUMIF('CAP1-3'!$B:$H,Insumo[[#This Row],[DESCRIPCION]],'CAP1-3'!$H:$H)</f>
        <v>0</v>
      </c>
      <c r="G451" s="69">
        <f ca="1">SUMIF('CAP4-5'!$B:$H,Insumo[[#This Row],[DESCRIPCION]],'CAP4-5'!$H:$H)</f>
        <v>0</v>
      </c>
      <c r="H451" s="69">
        <f ca="1">SUMIF('CAP6-7'!$B:$H,Insumo[[#This Row],[DESCRIPCION]],'CAP6-7'!$H:$H)</f>
        <v>0</v>
      </c>
      <c r="I451" s="69">
        <f ca="1">SUMIF('CAP8'!$B:$H,Insumo[[#This Row],[DESCRIPCION]],'CAP8'!$H:$H)</f>
        <v>0</v>
      </c>
      <c r="J451" s="69">
        <f ca="1">SUMIF('CAP9-13'!$B:$H,Insumo[[#This Row],[DESCRIPCION]],'CAP9-13'!$H:$H)</f>
        <v>0</v>
      </c>
      <c r="K451" s="69">
        <f ca="1">SUMIF('CAP14-15'!$B:$H,Insumo[[#This Row],[DESCRIPCION]],'CAP14-15'!$H:$H)</f>
        <v>0</v>
      </c>
      <c r="L451" s="69">
        <f ca="1">SUMIF('CAP16-18'!$B:$H,Insumo[[#This Row],[DESCRIPCION]],'CAP16-18'!$H:$H)</f>
        <v>0</v>
      </c>
      <c r="M451" s="69">
        <f ca="1">SUMIF('CAP19-22'!$B:$H,Insumo[[#This Row],[DESCRIPCION]],'CAP19-22'!$H:$H)</f>
        <v>0</v>
      </c>
      <c r="N451" s="69">
        <f ca="1">SUMIF('CAP23-24'!$B:$H,Insumo[[#This Row],[DESCRIPCION]],'CAP23-24'!$H:$H)</f>
        <v>0</v>
      </c>
      <c r="O451" s="69">
        <f ca="1">SUMIF('CAP25'!$B:$H,Insumo[[#This Row],[DESCRIPCION]],'CAP25'!$H:$H)</f>
        <v>0</v>
      </c>
      <c r="P451" s="69">
        <f ca="1">SUMIF('CAP26-28'!$B:$H,Insumo[[#This Row],[DESCRIPCION]],'CAP26-28'!$H:$H)</f>
        <v>0</v>
      </c>
      <c r="Q451" s="69">
        <f ca="1">SUMIF('CAP29'!$B:$H,Insumo[[#This Row],[DESCRIPCION]],'CAP29'!$H:$H)</f>
        <v>0</v>
      </c>
      <c r="R451" s="290"/>
      <c r="T451" s="136">
        <v>265000</v>
      </c>
    </row>
    <row r="452" spans="1:20" ht="12" customHeight="1">
      <c r="A452" s="301" t="s">
        <v>3063</v>
      </c>
      <c r="B452" s="303" t="s">
        <v>23</v>
      </c>
      <c r="C452" s="304">
        <f t="shared" si="6"/>
        <v>55230</v>
      </c>
      <c r="D452" s="281" cm="1">
        <f t="array" aca="1" ref="D452" ca="1">IF(Insumo[[#This Row],[VALOR]]=0,Insumo[TOTAL],E452/C452)</f>
        <v>0</v>
      </c>
      <c r="E452" s="69">
        <f ca="1">SUM(Insumo[[#This Row],[CAP1-3]:[CAP29]])</f>
        <v>0</v>
      </c>
      <c r="F452" s="69">
        <f ca="1">SUMIF('CAP1-3'!$B:$H,Insumo[[#This Row],[DESCRIPCION]],'CAP1-3'!$H:$H)</f>
        <v>0</v>
      </c>
      <c r="G452" s="69">
        <f ca="1">SUMIF('CAP4-5'!$B:$H,Insumo[[#This Row],[DESCRIPCION]],'CAP4-5'!$H:$H)</f>
        <v>0</v>
      </c>
      <c r="H452" s="69">
        <f ca="1">SUMIF('CAP6-7'!$B:$H,Insumo[[#This Row],[DESCRIPCION]],'CAP6-7'!$H:$H)</f>
        <v>0</v>
      </c>
      <c r="I452" s="69">
        <f ca="1">SUMIF('CAP8'!$B:$H,Insumo[[#This Row],[DESCRIPCION]],'CAP8'!$H:$H)</f>
        <v>0</v>
      </c>
      <c r="J452" s="69">
        <f ca="1">SUMIF('CAP9-13'!$B:$H,Insumo[[#This Row],[DESCRIPCION]],'CAP9-13'!$H:$H)</f>
        <v>0</v>
      </c>
      <c r="K452" s="69">
        <f ca="1">SUMIF('CAP14-15'!$B:$H,Insumo[[#This Row],[DESCRIPCION]],'CAP14-15'!$H:$H)</f>
        <v>0</v>
      </c>
      <c r="L452" s="69">
        <f ca="1">SUMIF('CAP16-18'!$B:$H,Insumo[[#This Row],[DESCRIPCION]],'CAP16-18'!$H:$H)</f>
        <v>0</v>
      </c>
      <c r="M452" s="69">
        <f ca="1">SUMIF('CAP19-22'!$B:$H,Insumo[[#This Row],[DESCRIPCION]],'CAP19-22'!$H:$H)</f>
        <v>0</v>
      </c>
      <c r="N452" s="69">
        <f ca="1">SUMIF('CAP23-24'!$B:$H,Insumo[[#This Row],[DESCRIPCION]],'CAP23-24'!$H:$H)</f>
        <v>0</v>
      </c>
      <c r="O452" s="69">
        <f ca="1">SUMIF('CAP25'!$B:$H,Insumo[[#This Row],[DESCRIPCION]],'CAP25'!$H:$H)</f>
        <v>0</v>
      </c>
      <c r="P452" s="69">
        <f ca="1">SUMIF('CAP26-28'!$B:$H,Insumo[[#This Row],[DESCRIPCION]],'CAP26-28'!$H:$H)</f>
        <v>0</v>
      </c>
      <c r="Q452" s="69">
        <f ca="1">SUMIF('CAP29'!$B:$H,Insumo[[#This Row],[DESCRIPCION]],'CAP29'!$H:$H)</f>
        <v>0</v>
      </c>
      <c r="R452" s="290"/>
      <c r="T452" s="136">
        <v>52600</v>
      </c>
    </row>
    <row r="453" spans="1:20" ht="12" customHeight="1">
      <c r="A453" s="301" t="s">
        <v>3064</v>
      </c>
      <c r="B453" s="303" t="s">
        <v>23</v>
      </c>
      <c r="C453" s="304">
        <f t="shared" si="6"/>
        <v>2972.3032499999999</v>
      </c>
      <c r="D453" s="281" cm="1">
        <f t="array" aca="1" ref="D453" ca="1">IF(Insumo[[#This Row],[VALOR]]=0,Insumo[TOTAL],E453/C453)</f>
        <v>0</v>
      </c>
      <c r="E453" s="69">
        <f ca="1">SUM(Insumo[[#This Row],[CAP1-3]:[CAP29]])</f>
        <v>0</v>
      </c>
      <c r="F453" s="69">
        <f ca="1">SUMIF('CAP1-3'!$B:$H,Insumo[[#This Row],[DESCRIPCION]],'CAP1-3'!$H:$H)</f>
        <v>0</v>
      </c>
      <c r="G453" s="69">
        <f ca="1">SUMIF('CAP4-5'!$B:$H,Insumo[[#This Row],[DESCRIPCION]],'CAP4-5'!$H:$H)</f>
        <v>0</v>
      </c>
      <c r="H453" s="69">
        <f ca="1">SUMIF('CAP6-7'!$B:$H,Insumo[[#This Row],[DESCRIPCION]],'CAP6-7'!$H:$H)</f>
        <v>0</v>
      </c>
      <c r="I453" s="69">
        <f ca="1">SUMIF('CAP8'!$B:$H,Insumo[[#This Row],[DESCRIPCION]],'CAP8'!$H:$H)</f>
        <v>0</v>
      </c>
      <c r="J453" s="69">
        <f ca="1">SUMIF('CAP9-13'!$B:$H,Insumo[[#This Row],[DESCRIPCION]],'CAP9-13'!$H:$H)</f>
        <v>0</v>
      </c>
      <c r="K453" s="69">
        <f ca="1">SUMIF('CAP14-15'!$B:$H,Insumo[[#This Row],[DESCRIPCION]],'CAP14-15'!$H:$H)</f>
        <v>0</v>
      </c>
      <c r="L453" s="69">
        <f ca="1">SUMIF('CAP16-18'!$B:$H,Insumo[[#This Row],[DESCRIPCION]],'CAP16-18'!$H:$H)</f>
        <v>0</v>
      </c>
      <c r="M453" s="69">
        <f ca="1">SUMIF('CAP19-22'!$B:$H,Insumo[[#This Row],[DESCRIPCION]],'CAP19-22'!$H:$H)</f>
        <v>0</v>
      </c>
      <c r="N453" s="69">
        <f ca="1">SUMIF('CAP23-24'!$B:$H,Insumo[[#This Row],[DESCRIPCION]],'CAP23-24'!$H:$H)</f>
        <v>0</v>
      </c>
      <c r="O453" s="69">
        <f ca="1">SUMIF('CAP25'!$B:$H,Insumo[[#This Row],[DESCRIPCION]],'CAP25'!$H:$H)</f>
        <v>0</v>
      </c>
      <c r="P453" s="69">
        <f ca="1">SUMIF('CAP26-28'!$B:$H,Insumo[[#This Row],[DESCRIPCION]],'CAP26-28'!$H:$H)</f>
        <v>0</v>
      </c>
      <c r="Q453" s="69">
        <f ca="1">SUMIF('CAP29'!$B:$H,Insumo[[#This Row],[DESCRIPCION]],'CAP29'!$H:$H)</f>
        <v>0</v>
      </c>
      <c r="R453" s="290"/>
      <c r="T453" s="136">
        <v>2830.7649999999999</v>
      </c>
    </row>
    <row r="454" spans="1:20" ht="12" customHeight="1">
      <c r="A454" s="301" t="s">
        <v>3065</v>
      </c>
      <c r="B454" s="303" t="s">
        <v>23</v>
      </c>
      <c r="C454" s="304">
        <f t="shared" ref="C454:C517" si="7">T454*$T$3</f>
        <v>2972550</v>
      </c>
      <c r="D454" s="281" cm="1">
        <f t="array" aca="1" ref="D454" ca="1">IF(Insumo[[#This Row],[VALOR]]=0,Insumo[TOTAL],E454/C454)</f>
        <v>0</v>
      </c>
      <c r="E454" s="69">
        <f ca="1">SUM(Insumo[[#This Row],[CAP1-3]:[CAP29]])</f>
        <v>0</v>
      </c>
      <c r="F454" s="69">
        <f ca="1">SUMIF('CAP1-3'!$B:$H,Insumo[[#This Row],[DESCRIPCION]],'CAP1-3'!$H:$H)</f>
        <v>0</v>
      </c>
      <c r="G454" s="69">
        <f ca="1">SUMIF('CAP4-5'!$B:$H,Insumo[[#This Row],[DESCRIPCION]],'CAP4-5'!$H:$H)</f>
        <v>0</v>
      </c>
      <c r="H454" s="69">
        <f ca="1">SUMIF('CAP6-7'!$B:$H,Insumo[[#This Row],[DESCRIPCION]],'CAP6-7'!$H:$H)</f>
        <v>0</v>
      </c>
      <c r="I454" s="69">
        <f ca="1">SUMIF('CAP8'!$B:$H,Insumo[[#This Row],[DESCRIPCION]],'CAP8'!$H:$H)</f>
        <v>0</v>
      </c>
      <c r="J454" s="69">
        <f ca="1">SUMIF('CAP9-13'!$B:$H,Insumo[[#This Row],[DESCRIPCION]],'CAP9-13'!$H:$H)</f>
        <v>0</v>
      </c>
      <c r="K454" s="69">
        <f ca="1">SUMIF('CAP14-15'!$B:$H,Insumo[[#This Row],[DESCRIPCION]],'CAP14-15'!$H:$H)</f>
        <v>0</v>
      </c>
      <c r="L454" s="69">
        <f ca="1">SUMIF('CAP16-18'!$B:$H,Insumo[[#This Row],[DESCRIPCION]],'CAP16-18'!$H:$H)</f>
        <v>0</v>
      </c>
      <c r="M454" s="69">
        <f ca="1">SUMIF('CAP19-22'!$B:$H,Insumo[[#This Row],[DESCRIPCION]],'CAP19-22'!$H:$H)</f>
        <v>0</v>
      </c>
      <c r="N454" s="69">
        <f ca="1">SUMIF('CAP23-24'!$B:$H,Insumo[[#This Row],[DESCRIPCION]],'CAP23-24'!$H:$H)</f>
        <v>0</v>
      </c>
      <c r="O454" s="69">
        <f ca="1">SUMIF('CAP25'!$B:$H,Insumo[[#This Row],[DESCRIPCION]],'CAP25'!$H:$H)</f>
        <v>0</v>
      </c>
      <c r="P454" s="69">
        <f ca="1">SUMIF('CAP26-28'!$B:$H,Insumo[[#This Row],[DESCRIPCION]],'CAP26-28'!$H:$H)</f>
        <v>0</v>
      </c>
      <c r="Q454" s="69">
        <f ca="1">SUMIF('CAP29'!$B:$H,Insumo[[#This Row],[DESCRIPCION]],'CAP29'!$H:$H)</f>
        <v>0</v>
      </c>
      <c r="R454" s="290"/>
      <c r="T454" s="136">
        <v>2831000</v>
      </c>
    </row>
    <row r="455" spans="1:20" ht="12" customHeight="1">
      <c r="A455" s="301" t="s">
        <v>3066</v>
      </c>
      <c r="B455" s="303" t="s">
        <v>23</v>
      </c>
      <c r="C455" s="304">
        <f t="shared" si="7"/>
        <v>3827250</v>
      </c>
      <c r="D455" s="281" cm="1">
        <f t="array" aca="1" ref="D455" ca="1">IF(Insumo[[#This Row],[VALOR]]=0,Insumo[TOTAL],E455/C455)</f>
        <v>0</v>
      </c>
      <c r="E455" s="69">
        <f ca="1">SUM(Insumo[[#This Row],[CAP1-3]:[CAP29]])</f>
        <v>0</v>
      </c>
      <c r="F455" s="69">
        <f ca="1">SUMIF('CAP1-3'!$B:$H,Insumo[[#This Row],[DESCRIPCION]],'CAP1-3'!$H:$H)</f>
        <v>0</v>
      </c>
      <c r="G455" s="69">
        <f ca="1">SUMIF('CAP4-5'!$B:$H,Insumo[[#This Row],[DESCRIPCION]],'CAP4-5'!$H:$H)</f>
        <v>0</v>
      </c>
      <c r="H455" s="69">
        <f ca="1">SUMIF('CAP6-7'!$B:$H,Insumo[[#This Row],[DESCRIPCION]],'CAP6-7'!$H:$H)</f>
        <v>0</v>
      </c>
      <c r="I455" s="69">
        <f ca="1">SUMIF('CAP8'!$B:$H,Insumo[[#This Row],[DESCRIPCION]],'CAP8'!$H:$H)</f>
        <v>0</v>
      </c>
      <c r="J455" s="69">
        <f ca="1">SUMIF('CAP9-13'!$B:$H,Insumo[[#This Row],[DESCRIPCION]],'CAP9-13'!$H:$H)</f>
        <v>0</v>
      </c>
      <c r="K455" s="69">
        <f ca="1">SUMIF('CAP14-15'!$B:$H,Insumo[[#This Row],[DESCRIPCION]],'CAP14-15'!$H:$H)</f>
        <v>0</v>
      </c>
      <c r="L455" s="69">
        <f ca="1">SUMIF('CAP16-18'!$B:$H,Insumo[[#This Row],[DESCRIPCION]],'CAP16-18'!$H:$H)</f>
        <v>0</v>
      </c>
      <c r="M455" s="69">
        <f ca="1">SUMIF('CAP19-22'!$B:$H,Insumo[[#This Row],[DESCRIPCION]],'CAP19-22'!$H:$H)</f>
        <v>0</v>
      </c>
      <c r="N455" s="69">
        <f ca="1">SUMIF('CAP23-24'!$B:$H,Insumo[[#This Row],[DESCRIPCION]],'CAP23-24'!$H:$H)</f>
        <v>0</v>
      </c>
      <c r="O455" s="69">
        <f ca="1">SUMIF('CAP25'!$B:$H,Insumo[[#This Row],[DESCRIPCION]],'CAP25'!$H:$H)</f>
        <v>0</v>
      </c>
      <c r="P455" s="69">
        <f ca="1">SUMIF('CAP26-28'!$B:$H,Insumo[[#This Row],[DESCRIPCION]],'CAP26-28'!$H:$H)</f>
        <v>0</v>
      </c>
      <c r="Q455" s="69">
        <f ca="1">SUMIF('CAP29'!$B:$H,Insumo[[#This Row],[DESCRIPCION]],'CAP29'!$H:$H)</f>
        <v>0</v>
      </c>
      <c r="R455" s="290"/>
      <c r="T455" s="136">
        <v>3645000</v>
      </c>
    </row>
    <row r="456" spans="1:20" ht="12" customHeight="1">
      <c r="A456" s="301" t="s">
        <v>3067</v>
      </c>
      <c r="B456" s="303" t="s">
        <v>23</v>
      </c>
      <c r="C456" s="304">
        <f t="shared" si="7"/>
        <v>5673150</v>
      </c>
      <c r="D456" s="281" cm="1">
        <f t="array" aca="1" ref="D456" ca="1">IF(Insumo[[#This Row],[VALOR]]=0,Insumo[TOTAL],E456/C456)</f>
        <v>0</v>
      </c>
      <c r="E456" s="69">
        <f ca="1">SUM(Insumo[[#This Row],[CAP1-3]:[CAP29]])</f>
        <v>0</v>
      </c>
      <c r="F456" s="69">
        <f ca="1">SUMIF('CAP1-3'!$B:$H,Insumo[[#This Row],[DESCRIPCION]],'CAP1-3'!$H:$H)</f>
        <v>0</v>
      </c>
      <c r="G456" s="69">
        <f ca="1">SUMIF('CAP4-5'!$B:$H,Insumo[[#This Row],[DESCRIPCION]],'CAP4-5'!$H:$H)</f>
        <v>0</v>
      </c>
      <c r="H456" s="69">
        <f ca="1">SUMIF('CAP6-7'!$B:$H,Insumo[[#This Row],[DESCRIPCION]],'CAP6-7'!$H:$H)</f>
        <v>0</v>
      </c>
      <c r="I456" s="69">
        <f ca="1">SUMIF('CAP8'!$B:$H,Insumo[[#This Row],[DESCRIPCION]],'CAP8'!$H:$H)</f>
        <v>0</v>
      </c>
      <c r="J456" s="69">
        <f ca="1">SUMIF('CAP9-13'!$B:$H,Insumo[[#This Row],[DESCRIPCION]],'CAP9-13'!$H:$H)</f>
        <v>0</v>
      </c>
      <c r="K456" s="69">
        <f ca="1">SUMIF('CAP14-15'!$B:$H,Insumo[[#This Row],[DESCRIPCION]],'CAP14-15'!$H:$H)</f>
        <v>0</v>
      </c>
      <c r="L456" s="69">
        <f ca="1">SUMIF('CAP16-18'!$B:$H,Insumo[[#This Row],[DESCRIPCION]],'CAP16-18'!$H:$H)</f>
        <v>0</v>
      </c>
      <c r="M456" s="69">
        <f ca="1">SUMIF('CAP19-22'!$B:$H,Insumo[[#This Row],[DESCRIPCION]],'CAP19-22'!$H:$H)</f>
        <v>0</v>
      </c>
      <c r="N456" s="69">
        <f ca="1">SUMIF('CAP23-24'!$B:$H,Insumo[[#This Row],[DESCRIPCION]],'CAP23-24'!$H:$H)</f>
        <v>0</v>
      </c>
      <c r="O456" s="69">
        <f ca="1">SUMIF('CAP25'!$B:$H,Insumo[[#This Row],[DESCRIPCION]],'CAP25'!$H:$H)</f>
        <v>0</v>
      </c>
      <c r="P456" s="69">
        <f ca="1">SUMIF('CAP26-28'!$B:$H,Insumo[[#This Row],[DESCRIPCION]],'CAP26-28'!$H:$H)</f>
        <v>0</v>
      </c>
      <c r="Q456" s="69">
        <f ca="1">SUMIF('CAP29'!$B:$H,Insumo[[#This Row],[DESCRIPCION]],'CAP29'!$H:$H)</f>
        <v>0</v>
      </c>
      <c r="R456" s="290"/>
      <c r="T456" s="136">
        <v>5403000</v>
      </c>
    </row>
    <row r="457" spans="1:20" ht="12" customHeight="1">
      <c r="A457" s="301" t="s">
        <v>3068</v>
      </c>
      <c r="B457" s="303" t="s">
        <v>23</v>
      </c>
      <c r="C457" s="304">
        <f t="shared" si="7"/>
        <v>5399100</v>
      </c>
      <c r="D457" s="281" cm="1">
        <f t="array" aca="1" ref="D457" ca="1">IF(Insumo[[#This Row],[VALOR]]=0,Insumo[TOTAL],E457/C457)</f>
        <v>0</v>
      </c>
      <c r="E457" s="69">
        <f ca="1">SUM(Insumo[[#This Row],[CAP1-3]:[CAP29]])</f>
        <v>0</v>
      </c>
      <c r="F457" s="69">
        <f ca="1">SUMIF('CAP1-3'!$B:$H,Insumo[[#This Row],[DESCRIPCION]],'CAP1-3'!$H:$H)</f>
        <v>0</v>
      </c>
      <c r="G457" s="69">
        <f ca="1">SUMIF('CAP4-5'!$B:$H,Insumo[[#This Row],[DESCRIPCION]],'CAP4-5'!$H:$H)</f>
        <v>0</v>
      </c>
      <c r="H457" s="69">
        <f ca="1">SUMIF('CAP6-7'!$B:$H,Insumo[[#This Row],[DESCRIPCION]],'CAP6-7'!$H:$H)</f>
        <v>0</v>
      </c>
      <c r="I457" s="69">
        <f ca="1">SUMIF('CAP8'!$B:$H,Insumo[[#This Row],[DESCRIPCION]],'CAP8'!$H:$H)</f>
        <v>0</v>
      </c>
      <c r="J457" s="69">
        <f ca="1">SUMIF('CAP9-13'!$B:$H,Insumo[[#This Row],[DESCRIPCION]],'CAP9-13'!$H:$H)</f>
        <v>0</v>
      </c>
      <c r="K457" s="69">
        <f ca="1">SUMIF('CAP14-15'!$B:$H,Insumo[[#This Row],[DESCRIPCION]],'CAP14-15'!$H:$H)</f>
        <v>0</v>
      </c>
      <c r="L457" s="69">
        <f ca="1">SUMIF('CAP16-18'!$B:$H,Insumo[[#This Row],[DESCRIPCION]],'CAP16-18'!$H:$H)</f>
        <v>0</v>
      </c>
      <c r="M457" s="69">
        <f ca="1">SUMIF('CAP19-22'!$B:$H,Insumo[[#This Row],[DESCRIPCION]],'CAP19-22'!$H:$H)</f>
        <v>0</v>
      </c>
      <c r="N457" s="69">
        <f ca="1">SUMIF('CAP23-24'!$B:$H,Insumo[[#This Row],[DESCRIPCION]],'CAP23-24'!$H:$H)</f>
        <v>0</v>
      </c>
      <c r="O457" s="69">
        <f ca="1">SUMIF('CAP25'!$B:$H,Insumo[[#This Row],[DESCRIPCION]],'CAP25'!$H:$H)</f>
        <v>0</v>
      </c>
      <c r="P457" s="69">
        <f ca="1">SUMIF('CAP26-28'!$B:$H,Insumo[[#This Row],[DESCRIPCION]],'CAP26-28'!$H:$H)</f>
        <v>0</v>
      </c>
      <c r="Q457" s="69">
        <f ca="1">SUMIF('CAP29'!$B:$H,Insumo[[#This Row],[DESCRIPCION]],'CAP29'!$H:$H)</f>
        <v>0</v>
      </c>
      <c r="R457" s="290"/>
      <c r="T457" s="136">
        <v>5142000</v>
      </c>
    </row>
    <row r="458" spans="1:20" ht="12" customHeight="1">
      <c r="A458" s="301" t="s">
        <v>3069</v>
      </c>
      <c r="B458" s="303" t="s">
        <v>23</v>
      </c>
      <c r="C458" s="304">
        <f t="shared" si="7"/>
        <v>6015450</v>
      </c>
      <c r="D458" s="281" cm="1">
        <f t="array" aca="1" ref="D458" ca="1">IF(Insumo[[#This Row],[VALOR]]=0,Insumo[TOTAL],E458/C458)</f>
        <v>0</v>
      </c>
      <c r="E458" s="69">
        <f ca="1">SUM(Insumo[[#This Row],[CAP1-3]:[CAP29]])</f>
        <v>0</v>
      </c>
      <c r="F458" s="69">
        <f ca="1">SUMIF('CAP1-3'!$B:$H,Insumo[[#This Row],[DESCRIPCION]],'CAP1-3'!$H:$H)</f>
        <v>0</v>
      </c>
      <c r="G458" s="69">
        <f ca="1">SUMIF('CAP4-5'!$B:$H,Insumo[[#This Row],[DESCRIPCION]],'CAP4-5'!$H:$H)</f>
        <v>0</v>
      </c>
      <c r="H458" s="69">
        <f ca="1">SUMIF('CAP6-7'!$B:$H,Insumo[[#This Row],[DESCRIPCION]],'CAP6-7'!$H:$H)</f>
        <v>0</v>
      </c>
      <c r="I458" s="69">
        <f ca="1">SUMIF('CAP8'!$B:$H,Insumo[[#This Row],[DESCRIPCION]],'CAP8'!$H:$H)</f>
        <v>0</v>
      </c>
      <c r="J458" s="69">
        <f ca="1">SUMIF('CAP9-13'!$B:$H,Insumo[[#This Row],[DESCRIPCION]],'CAP9-13'!$H:$H)</f>
        <v>0</v>
      </c>
      <c r="K458" s="69">
        <f ca="1">SUMIF('CAP14-15'!$B:$H,Insumo[[#This Row],[DESCRIPCION]],'CAP14-15'!$H:$H)</f>
        <v>0</v>
      </c>
      <c r="L458" s="69">
        <f ca="1">SUMIF('CAP16-18'!$B:$H,Insumo[[#This Row],[DESCRIPCION]],'CAP16-18'!$H:$H)</f>
        <v>0</v>
      </c>
      <c r="M458" s="69">
        <f ca="1">SUMIF('CAP19-22'!$B:$H,Insumo[[#This Row],[DESCRIPCION]],'CAP19-22'!$H:$H)</f>
        <v>0</v>
      </c>
      <c r="N458" s="69">
        <f ca="1">SUMIF('CAP23-24'!$B:$H,Insumo[[#This Row],[DESCRIPCION]],'CAP23-24'!$H:$H)</f>
        <v>0</v>
      </c>
      <c r="O458" s="69">
        <f ca="1">SUMIF('CAP25'!$B:$H,Insumo[[#This Row],[DESCRIPCION]],'CAP25'!$H:$H)</f>
        <v>0</v>
      </c>
      <c r="P458" s="69">
        <f ca="1">SUMIF('CAP26-28'!$B:$H,Insumo[[#This Row],[DESCRIPCION]],'CAP26-28'!$H:$H)</f>
        <v>0</v>
      </c>
      <c r="Q458" s="69">
        <f ca="1">SUMIF('CAP29'!$B:$H,Insumo[[#This Row],[DESCRIPCION]],'CAP29'!$H:$H)</f>
        <v>0</v>
      </c>
      <c r="R458" s="290"/>
      <c r="T458" s="136">
        <v>5729000</v>
      </c>
    </row>
    <row r="459" spans="1:20" ht="12" customHeight="1">
      <c r="A459" s="301" t="s">
        <v>3070</v>
      </c>
      <c r="B459" s="303" t="s">
        <v>23</v>
      </c>
      <c r="C459" s="304">
        <f t="shared" si="7"/>
        <v>4647300</v>
      </c>
      <c r="D459" s="281" cm="1">
        <f t="array" aca="1" ref="D459" ca="1">IF(Insumo[[#This Row],[VALOR]]=0,Insumo[TOTAL],E459/C459)</f>
        <v>0</v>
      </c>
      <c r="E459" s="69">
        <f ca="1">SUM(Insumo[[#This Row],[CAP1-3]:[CAP29]])</f>
        <v>0</v>
      </c>
      <c r="F459" s="69">
        <f ca="1">SUMIF('CAP1-3'!$B:$H,Insumo[[#This Row],[DESCRIPCION]],'CAP1-3'!$H:$H)</f>
        <v>0</v>
      </c>
      <c r="G459" s="69">
        <f ca="1">SUMIF('CAP4-5'!$B:$H,Insumo[[#This Row],[DESCRIPCION]],'CAP4-5'!$H:$H)</f>
        <v>0</v>
      </c>
      <c r="H459" s="69">
        <f ca="1">SUMIF('CAP6-7'!$B:$H,Insumo[[#This Row],[DESCRIPCION]],'CAP6-7'!$H:$H)</f>
        <v>0</v>
      </c>
      <c r="I459" s="69">
        <f ca="1">SUMIF('CAP8'!$B:$H,Insumo[[#This Row],[DESCRIPCION]],'CAP8'!$H:$H)</f>
        <v>0</v>
      </c>
      <c r="J459" s="69">
        <f ca="1">SUMIF('CAP9-13'!$B:$H,Insumo[[#This Row],[DESCRIPCION]],'CAP9-13'!$H:$H)</f>
        <v>0</v>
      </c>
      <c r="K459" s="69">
        <f ca="1">SUMIF('CAP14-15'!$B:$H,Insumo[[#This Row],[DESCRIPCION]],'CAP14-15'!$H:$H)</f>
        <v>0</v>
      </c>
      <c r="L459" s="69">
        <f ca="1">SUMIF('CAP16-18'!$B:$H,Insumo[[#This Row],[DESCRIPCION]],'CAP16-18'!$H:$H)</f>
        <v>0</v>
      </c>
      <c r="M459" s="69">
        <f ca="1">SUMIF('CAP19-22'!$B:$H,Insumo[[#This Row],[DESCRIPCION]],'CAP19-22'!$H:$H)</f>
        <v>0</v>
      </c>
      <c r="N459" s="69">
        <f ca="1">SUMIF('CAP23-24'!$B:$H,Insumo[[#This Row],[DESCRIPCION]],'CAP23-24'!$H:$H)</f>
        <v>0</v>
      </c>
      <c r="O459" s="69">
        <f ca="1">SUMIF('CAP25'!$B:$H,Insumo[[#This Row],[DESCRIPCION]],'CAP25'!$H:$H)</f>
        <v>0</v>
      </c>
      <c r="P459" s="69">
        <f ca="1">SUMIF('CAP26-28'!$B:$H,Insumo[[#This Row],[DESCRIPCION]],'CAP26-28'!$H:$H)</f>
        <v>0</v>
      </c>
      <c r="Q459" s="69">
        <f ca="1">SUMIF('CAP29'!$B:$H,Insumo[[#This Row],[DESCRIPCION]],'CAP29'!$H:$H)</f>
        <v>0</v>
      </c>
      <c r="R459" s="290"/>
      <c r="T459" s="136">
        <v>4426000</v>
      </c>
    </row>
    <row r="460" spans="1:20" ht="12" customHeight="1">
      <c r="A460" s="301" t="s">
        <v>3071</v>
      </c>
      <c r="B460" s="303" t="s">
        <v>23</v>
      </c>
      <c r="C460" s="304">
        <f t="shared" si="7"/>
        <v>308700</v>
      </c>
      <c r="D460" s="281" cm="1">
        <f t="array" aca="1" ref="D460" ca="1">IF(Insumo[[#This Row],[VALOR]]=0,Insumo[TOTAL],E460/C460)</f>
        <v>0</v>
      </c>
      <c r="E460" s="69">
        <f ca="1">SUM(Insumo[[#This Row],[CAP1-3]:[CAP29]])</f>
        <v>0</v>
      </c>
      <c r="F460" s="69">
        <f ca="1">SUMIF('CAP1-3'!$B:$H,Insumo[[#This Row],[DESCRIPCION]],'CAP1-3'!$H:$H)</f>
        <v>0</v>
      </c>
      <c r="G460" s="69">
        <f ca="1">SUMIF('CAP4-5'!$B:$H,Insumo[[#This Row],[DESCRIPCION]],'CAP4-5'!$H:$H)</f>
        <v>0</v>
      </c>
      <c r="H460" s="69">
        <f ca="1">SUMIF('CAP6-7'!$B:$H,Insumo[[#This Row],[DESCRIPCION]],'CAP6-7'!$H:$H)</f>
        <v>0</v>
      </c>
      <c r="I460" s="69">
        <f ca="1">SUMIF('CAP8'!$B:$H,Insumo[[#This Row],[DESCRIPCION]],'CAP8'!$H:$H)</f>
        <v>0</v>
      </c>
      <c r="J460" s="69">
        <f ca="1">SUMIF('CAP9-13'!$B:$H,Insumo[[#This Row],[DESCRIPCION]],'CAP9-13'!$H:$H)</f>
        <v>0</v>
      </c>
      <c r="K460" s="69">
        <f ca="1">SUMIF('CAP14-15'!$B:$H,Insumo[[#This Row],[DESCRIPCION]],'CAP14-15'!$H:$H)</f>
        <v>0</v>
      </c>
      <c r="L460" s="69">
        <f ca="1">SUMIF('CAP16-18'!$B:$H,Insumo[[#This Row],[DESCRIPCION]],'CAP16-18'!$H:$H)</f>
        <v>0</v>
      </c>
      <c r="M460" s="69">
        <f ca="1">SUMIF('CAP19-22'!$B:$H,Insumo[[#This Row],[DESCRIPCION]],'CAP19-22'!$H:$H)</f>
        <v>0</v>
      </c>
      <c r="N460" s="69">
        <f ca="1">SUMIF('CAP23-24'!$B:$H,Insumo[[#This Row],[DESCRIPCION]],'CAP23-24'!$H:$H)</f>
        <v>0</v>
      </c>
      <c r="O460" s="69">
        <f ca="1">SUMIF('CAP25'!$B:$H,Insumo[[#This Row],[DESCRIPCION]],'CAP25'!$H:$H)</f>
        <v>0</v>
      </c>
      <c r="P460" s="69">
        <f ca="1">SUMIF('CAP26-28'!$B:$H,Insumo[[#This Row],[DESCRIPCION]],'CAP26-28'!$H:$H)</f>
        <v>0</v>
      </c>
      <c r="Q460" s="69">
        <f ca="1">SUMIF('CAP29'!$B:$H,Insumo[[#This Row],[DESCRIPCION]],'CAP29'!$H:$H)</f>
        <v>0</v>
      </c>
      <c r="R460" s="290"/>
      <c r="T460" s="136">
        <v>294000</v>
      </c>
    </row>
    <row r="461" spans="1:20" ht="12" customHeight="1">
      <c r="A461" s="301" t="s">
        <v>3072</v>
      </c>
      <c r="B461" s="303" t="s">
        <v>23</v>
      </c>
      <c r="C461" s="304">
        <f t="shared" si="7"/>
        <v>451500</v>
      </c>
      <c r="D461" s="281" cm="1">
        <f t="array" aca="1" ref="D461" ca="1">IF(Insumo[[#This Row],[VALOR]]=0,Insumo[TOTAL],E461/C461)</f>
        <v>0</v>
      </c>
      <c r="E461" s="69">
        <f ca="1">SUM(Insumo[[#This Row],[CAP1-3]:[CAP29]])</f>
        <v>0</v>
      </c>
      <c r="F461" s="69">
        <f ca="1">SUMIF('CAP1-3'!$B:$H,Insumo[[#This Row],[DESCRIPCION]],'CAP1-3'!$H:$H)</f>
        <v>0</v>
      </c>
      <c r="G461" s="69">
        <f ca="1">SUMIF('CAP4-5'!$B:$H,Insumo[[#This Row],[DESCRIPCION]],'CAP4-5'!$H:$H)</f>
        <v>0</v>
      </c>
      <c r="H461" s="69">
        <f ca="1">SUMIF('CAP6-7'!$B:$H,Insumo[[#This Row],[DESCRIPCION]],'CAP6-7'!$H:$H)</f>
        <v>0</v>
      </c>
      <c r="I461" s="69">
        <f ca="1">SUMIF('CAP8'!$B:$H,Insumo[[#This Row],[DESCRIPCION]],'CAP8'!$H:$H)</f>
        <v>0</v>
      </c>
      <c r="J461" s="69">
        <f ca="1">SUMIF('CAP9-13'!$B:$H,Insumo[[#This Row],[DESCRIPCION]],'CAP9-13'!$H:$H)</f>
        <v>0</v>
      </c>
      <c r="K461" s="69">
        <f ca="1">SUMIF('CAP14-15'!$B:$H,Insumo[[#This Row],[DESCRIPCION]],'CAP14-15'!$H:$H)</f>
        <v>0</v>
      </c>
      <c r="L461" s="69">
        <f ca="1">SUMIF('CAP16-18'!$B:$H,Insumo[[#This Row],[DESCRIPCION]],'CAP16-18'!$H:$H)</f>
        <v>0</v>
      </c>
      <c r="M461" s="69">
        <f ca="1">SUMIF('CAP19-22'!$B:$H,Insumo[[#This Row],[DESCRIPCION]],'CAP19-22'!$H:$H)</f>
        <v>0</v>
      </c>
      <c r="N461" s="69">
        <f ca="1">SUMIF('CAP23-24'!$B:$H,Insumo[[#This Row],[DESCRIPCION]],'CAP23-24'!$H:$H)</f>
        <v>0</v>
      </c>
      <c r="O461" s="69">
        <f ca="1">SUMIF('CAP25'!$B:$H,Insumo[[#This Row],[DESCRIPCION]],'CAP25'!$H:$H)</f>
        <v>0</v>
      </c>
      <c r="P461" s="69">
        <f ca="1">SUMIF('CAP26-28'!$B:$H,Insumo[[#This Row],[DESCRIPCION]],'CAP26-28'!$H:$H)</f>
        <v>0</v>
      </c>
      <c r="Q461" s="69">
        <f ca="1">SUMIF('CAP29'!$B:$H,Insumo[[#This Row],[DESCRIPCION]],'CAP29'!$H:$H)</f>
        <v>0</v>
      </c>
      <c r="R461" s="290"/>
      <c r="T461" s="136">
        <v>430000</v>
      </c>
    </row>
    <row r="462" spans="1:20" ht="12" customHeight="1">
      <c r="A462" s="301" t="s">
        <v>3073</v>
      </c>
      <c r="B462" s="303" t="s">
        <v>23</v>
      </c>
      <c r="C462" s="304">
        <f t="shared" si="7"/>
        <v>530880</v>
      </c>
      <c r="D462" s="281" cm="1">
        <f t="array" aca="1" ref="D462" ca="1">IF(Insumo[[#This Row],[VALOR]]=0,Insumo[TOTAL],E462/C462)</f>
        <v>0</v>
      </c>
      <c r="E462" s="69">
        <f ca="1">SUM(Insumo[[#This Row],[CAP1-3]:[CAP29]])</f>
        <v>0</v>
      </c>
      <c r="F462" s="69">
        <f ca="1">SUMIF('CAP1-3'!$B:$H,Insumo[[#This Row],[DESCRIPCION]],'CAP1-3'!$H:$H)</f>
        <v>0</v>
      </c>
      <c r="G462" s="69">
        <f ca="1">SUMIF('CAP4-5'!$B:$H,Insumo[[#This Row],[DESCRIPCION]],'CAP4-5'!$H:$H)</f>
        <v>0</v>
      </c>
      <c r="H462" s="69">
        <f ca="1">SUMIF('CAP6-7'!$B:$H,Insumo[[#This Row],[DESCRIPCION]],'CAP6-7'!$H:$H)</f>
        <v>0</v>
      </c>
      <c r="I462" s="69">
        <f ca="1">SUMIF('CAP8'!$B:$H,Insumo[[#This Row],[DESCRIPCION]],'CAP8'!$H:$H)</f>
        <v>0</v>
      </c>
      <c r="J462" s="69">
        <f ca="1">SUMIF('CAP9-13'!$B:$H,Insumo[[#This Row],[DESCRIPCION]],'CAP9-13'!$H:$H)</f>
        <v>0</v>
      </c>
      <c r="K462" s="69">
        <f ca="1">SUMIF('CAP14-15'!$B:$H,Insumo[[#This Row],[DESCRIPCION]],'CAP14-15'!$H:$H)</f>
        <v>0</v>
      </c>
      <c r="L462" s="69">
        <f ca="1">SUMIF('CAP16-18'!$B:$H,Insumo[[#This Row],[DESCRIPCION]],'CAP16-18'!$H:$H)</f>
        <v>0</v>
      </c>
      <c r="M462" s="69">
        <f ca="1">SUMIF('CAP19-22'!$B:$H,Insumo[[#This Row],[DESCRIPCION]],'CAP19-22'!$H:$H)</f>
        <v>0</v>
      </c>
      <c r="N462" s="69">
        <f ca="1">SUMIF('CAP23-24'!$B:$H,Insumo[[#This Row],[DESCRIPCION]],'CAP23-24'!$H:$H)</f>
        <v>0</v>
      </c>
      <c r="O462" s="69">
        <f ca="1">SUMIF('CAP25'!$B:$H,Insumo[[#This Row],[DESCRIPCION]],'CAP25'!$H:$H)</f>
        <v>0</v>
      </c>
      <c r="P462" s="69">
        <f ca="1">SUMIF('CAP26-28'!$B:$H,Insumo[[#This Row],[DESCRIPCION]],'CAP26-28'!$H:$H)</f>
        <v>0</v>
      </c>
      <c r="Q462" s="69">
        <f ca="1">SUMIF('CAP29'!$B:$H,Insumo[[#This Row],[DESCRIPCION]],'CAP29'!$H:$H)</f>
        <v>0</v>
      </c>
      <c r="R462" s="290"/>
      <c r="T462" s="136">
        <v>505600</v>
      </c>
    </row>
    <row r="463" spans="1:20" ht="12" customHeight="1">
      <c r="A463" s="301" t="s">
        <v>3074</v>
      </c>
      <c r="B463" s="303" t="s">
        <v>23</v>
      </c>
      <c r="C463" s="304">
        <f t="shared" si="7"/>
        <v>129150</v>
      </c>
      <c r="D463" s="281" cm="1">
        <f t="array" aca="1" ref="D463" ca="1">IF(Insumo[[#This Row],[VALOR]]=0,Insumo[TOTAL],E463/C463)</f>
        <v>0</v>
      </c>
      <c r="E463" s="69">
        <f ca="1">SUM(Insumo[[#This Row],[CAP1-3]:[CAP29]])</f>
        <v>0</v>
      </c>
      <c r="F463" s="69">
        <f ca="1">SUMIF('CAP1-3'!$B:$H,Insumo[[#This Row],[DESCRIPCION]],'CAP1-3'!$H:$H)</f>
        <v>0</v>
      </c>
      <c r="G463" s="69">
        <f ca="1">SUMIF('CAP4-5'!$B:$H,Insumo[[#This Row],[DESCRIPCION]],'CAP4-5'!$H:$H)</f>
        <v>0</v>
      </c>
      <c r="H463" s="69">
        <f ca="1">SUMIF('CAP6-7'!$B:$H,Insumo[[#This Row],[DESCRIPCION]],'CAP6-7'!$H:$H)</f>
        <v>0</v>
      </c>
      <c r="I463" s="69">
        <f ca="1">SUMIF('CAP8'!$B:$H,Insumo[[#This Row],[DESCRIPCION]],'CAP8'!$H:$H)</f>
        <v>0</v>
      </c>
      <c r="J463" s="69">
        <f ca="1">SUMIF('CAP9-13'!$B:$H,Insumo[[#This Row],[DESCRIPCION]],'CAP9-13'!$H:$H)</f>
        <v>0</v>
      </c>
      <c r="K463" s="69">
        <f ca="1">SUMIF('CAP14-15'!$B:$H,Insumo[[#This Row],[DESCRIPCION]],'CAP14-15'!$H:$H)</f>
        <v>0</v>
      </c>
      <c r="L463" s="69">
        <f ca="1">SUMIF('CAP16-18'!$B:$H,Insumo[[#This Row],[DESCRIPCION]],'CAP16-18'!$H:$H)</f>
        <v>0</v>
      </c>
      <c r="M463" s="69">
        <f ca="1">SUMIF('CAP19-22'!$B:$H,Insumo[[#This Row],[DESCRIPCION]],'CAP19-22'!$H:$H)</f>
        <v>0</v>
      </c>
      <c r="N463" s="69">
        <f ca="1">SUMIF('CAP23-24'!$B:$H,Insumo[[#This Row],[DESCRIPCION]],'CAP23-24'!$H:$H)</f>
        <v>0</v>
      </c>
      <c r="O463" s="69">
        <f ca="1">SUMIF('CAP25'!$B:$H,Insumo[[#This Row],[DESCRIPCION]],'CAP25'!$H:$H)</f>
        <v>0</v>
      </c>
      <c r="P463" s="69">
        <f ca="1">SUMIF('CAP26-28'!$B:$H,Insumo[[#This Row],[DESCRIPCION]],'CAP26-28'!$H:$H)</f>
        <v>0</v>
      </c>
      <c r="Q463" s="69">
        <f ca="1">SUMIF('CAP29'!$B:$H,Insumo[[#This Row],[DESCRIPCION]],'CAP29'!$H:$H)</f>
        <v>0</v>
      </c>
      <c r="R463" s="290"/>
      <c r="T463" s="136">
        <v>123000</v>
      </c>
    </row>
    <row r="464" spans="1:20" ht="12" customHeight="1">
      <c r="A464" s="301" t="s">
        <v>3075</v>
      </c>
      <c r="B464" s="303" t="s">
        <v>23</v>
      </c>
      <c r="C464" s="304">
        <f t="shared" si="7"/>
        <v>149100</v>
      </c>
      <c r="D464" s="281" cm="1">
        <f t="array" aca="1" ref="D464" ca="1">IF(Insumo[[#This Row],[VALOR]]=0,Insumo[TOTAL],E464/C464)</f>
        <v>0</v>
      </c>
      <c r="E464" s="69">
        <f ca="1">SUM(Insumo[[#This Row],[CAP1-3]:[CAP29]])</f>
        <v>0</v>
      </c>
      <c r="F464" s="69">
        <f ca="1">SUMIF('CAP1-3'!$B:$H,Insumo[[#This Row],[DESCRIPCION]],'CAP1-3'!$H:$H)</f>
        <v>0</v>
      </c>
      <c r="G464" s="69">
        <f ca="1">SUMIF('CAP4-5'!$B:$H,Insumo[[#This Row],[DESCRIPCION]],'CAP4-5'!$H:$H)</f>
        <v>0</v>
      </c>
      <c r="H464" s="69">
        <f ca="1">SUMIF('CAP6-7'!$B:$H,Insumo[[#This Row],[DESCRIPCION]],'CAP6-7'!$H:$H)</f>
        <v>0</v>
      </c>
      <c r="I464" s="69">
        <f ca="1">SUMIF('CAP8'!$B:$H,Insumo[[#This Row],[DESCRIPCION]],'CAP8'!$H:$H)</f>
        <v>0</v>
      </c>
      <c r="J464" s="69">
        <f ca="1">SUMIF('CAP9-13'!$B:$H,Insumo[[#This Row],[DESCRIPCION]],'CAP9-13'!$H:$H)</f>
        <v>0</v>
      </c>
      <c r="K464" s="69">
        <f ca="1">SUMIF('CAP14-15'!$B:$H,Insumo[[#This Row],[DESCRIPCION]],'CAP14-15'!$H:$H)</f>
        <v>0</v>
      </c>
      <c r="L464" s="69">
        <f ca="1">SUMIF('CAP16-18'!$B:$H,Insumo[[#This Row],[DESCRIPCION]],'CAP16-18'!$H:$H)</f>
        <v>0</v>
      </c>
      <c r="M464" s="69">
        <f ca="1">SUMIF('CAP19-22'!$B:$H,Insumo[[#This Row],[DESCRIPCION]],'CAP19-22'!$H:$H)</f>
        <v>0</v>
      </c>
      <c r="N464" s="69">
        <f ca="1">SUMIF('CAP23-24'!$B:$H,Insumo[[#This Row],[DESCRIPCION]],'CAP23-24'!$H:$H)</f>
        <v>0</v>
      </c>
      <c r="O464" s="69">
        <f ca="1">SUMIF('CAP25'!$B:$H,Insumo[[#This Row],[DESCRIPCION]],'CAP25'!$H:$H)</f>
        <v>0</v>
      </c>
      <c r="P464" s="69">
        <f ca="1">SUMIF('CAP26-28'!$B:$H,Insumo[[#This Row],[DESCRIPCION]],'CAP26-28'!$H:$H)</f>
        <v>0</v>
      </c>
      <c r="Q464" s="69">
        <f ca="1">SUMIF('CAP29'!$B:$H,Insumo[[#This Row],[DESCRIPCION]],'CAP29'!$H:$H)</f>
        <v>0</v>
      </c>
      <c r="R464" s="290"/>
      <c r="T464" s="136">
        <v>142000</v>
      </c>
    </row>
    <row r="465" spans="1:20" ht="12" customHeight="1">
      <c r="A465" s="301" t="s">
        <v>3076</v>
      </c>
      <c r="B465" s="303" t="s">
        <v>23</v>
      </c>
      <c r="C465" s="304">
        <f t="shared" si="7"/>
        <v>205800</v>
      </c>
      <c r="D465" s="281" cm="1">
        <f t="array" aca="1" ref="D465" ca="1">IF(Insumo[[#This Row],[VALOR]]=0,Insumo[TOTAL],E465/C465)</f>
        <v>0</v>
      </c>
      <c r="E465" s="69">
        <f ca="1">SUM(Insumo[[#This Row],[CAP1-3]:[CAP29]])</f>
        <v>0</v>
      </c>
      <c r="F465" s="69">
        <f ca="1">SUMIF('CAP1-3'!$B:$H,Insumo[[#This Row],[DESCRIPCION]],'CAP1-3'!$H:$H)</f>
        <v>0</v>
      </c>
      <c r="G465" s="69">
        <f ca="1">SUMIF('CAP4-5'!$B:$H,Insumo[[#This Row],[DESCRIPCION]],'CAP4-5'!$H:$H)</f>
        <v>0</v>
      </c>
      <c r="H465" s="69">
        <f ca="1">SUMIF('CAP6-7'!$B:$H,Insumo[[#This Row],[DESCRIPCION]],'CAP6-7'!$H:$H)</f>
        <v>0</v>
      </c>
      <c r="I465" s="69">
        <f ca="1">SUMIF('CAP8'!$B:$H,Insumo[[#This Row],[DESCRIPCION]],'CAP8'!$H:$H)</f>
        <v>0</v>
      </c>
      <c r="J465" s="69">
        <f ca="1">SUMIF('CAP9-13'!$B:$H,Insumo[[#This Row],[DESCRIPCION]],'CAP9-13'!$H:$H)</f>
        <v>0</v>
      </c>
      <c r="K465" s="69">
        <f ca="1">SUMIF('CAP14-15'!$B:$H,Insumo[[#This Row],[DESCRIPCION]],'CAP14-15'!$H:$H)</f>
        <v>0</v>
      </c>
      <c r="L465" s="69">
        <f ca="1">SUMIF('CAP16-18'!$B:$H,Insumo[[#This Row],[DESCRIPCION]],'CAP16-18'!$H:$H)</f>
        <v>0</v>
      </c>
      <c r="M465" s="69">
        <f ca="1">SUMIF('CAP19-22'!$B:$H,Insumo[[#This Row],[DESCRIPCION]],'CAP19-22'!$H:$H)</f>
        <v>0</v>
      </c>
      <c r="N465" s="69">
        <f ca="1">SUMIF('CAP23-24'!$B:$H,Insumo[[#This Row],[DESCRIPCION]],'CAP23-24'!$H:$H)</f>
        <v>0</v>
      </c>
      <c r="O465" s="69">
        <f ca="1">SUMIF('CAP25'!$B:$H,Insumo[[#This Row],[DESCRIPCION]],'CAP25'!$H:$H)</f>
        <v>0</v>
      </c>
      <c r="P465" s="69">
        <f ca="1">SUMIF('CAP26-28'!$B:$H,Insumo[[#This Row],[DESCRIPCION]],'CAP26-28'!$H:$H)</f>
        <v>0</v>
      </c>
      <c r="Q465" s="69">
        <f ca="1">SUMIF('CAP29'!$B:$H,Insumo[[#This Row],[DESCRIPCION]],'CAP29'!$H:$H)</f>
        <v>0</v>
      </c>
      <c r="R465" s="290"/>
      <c r="T465" s="136">
        <v>196000</v>
      </c>
    </row>
    <row r="466" spans="1:20" ht="12" customHeight="1">
      <c r="A466" s="301" t="s">
        <v>3077</v>
      </c>
      <c r="B466" s="303" t="s">
        <v>23</v>
      </c>
      <c r="C466" s="304">
        <f t="shared" si="7"/>
        <v>456750</v>
      </c>
      <c r="D466" s="281" cm="1">
        <f t="array" aca="1" ref="D466" ca="1">IF(Insumo[[#This Row],[VALOR]]=0,Insumo[TOTAL],E466/C466)</f>
        <v>0</v>
      </c>
      <c r="E466" s="69">
        <f ca="1">SUM(Insumo[[#This Row],[CAP1-3]:[CAP29]])</f>
        <v>0</v>
      </c>
      <c r="F466" s="69">
        <f ca="1">SUMIF('CAP1-3'!$B:$H,Insumo[[#This Row],[DESCRIPCION]],'CAP1-3'!$H:$H)</f>
        <v>0</v>
      </c>
      <c r="G466" s="69">
        <f ca="1">SUMIF('CAP4-5'!$B:$H,Insumo[[#This Row],[DESCRIPCION]],'CAP4-5'!$H:$H)</f>
        <v>0</v>
      </c>
      <c r="H466" s="69">
        <f ca="1">SUMIF('CAP6-7'!$B:$H,Insumo[[#This Row],[DESCRIPCION]],'CAP6-7'!$H:$H)</f>
        <v>0</v>
      </c>
      <c r="I466" s="69">
        <f ca="1">SUMIF('CAP8'!$B:$H,Insumo[[#This Row],[DESCRIPCION]],'CAP8'!$H:$H)</f>
        <v>0</v>
      </c>
      <c r="J466" s="69">
        <f ca="1">SUMIF('CAP9-13'!$B:$H,Insumo[[#This Row],[DESCRIPCION]],'CAP9-13'!$H:$H)</f>
        <v>0</v>
      </c>
      <c r="K466" s="69">
        <f ca="1">SUMIF('CAP14-15'!$B:$H,Insumo[[#This Row],[DESCRIPCION]],'CAP14-15'!$H:$H)</f>
        <v>0</v>
      </c>
      <c r="L466" s="69">
        <f ca="1">SUMIF('CAP16-18'!$B:$H,Insumo[[#This Row],[DESCRIPCION]],'CAP16-18'!$H:$H)</f>
        <v>0</v>
      </c>
      <c r="M466" s="69">
        <f ca="1">SUMIF('CAP19-22'!$B:$H,Insumo[[#This Row],[DESCRIPCION]],'CAP19-22'!$H:$H)</f>
        <v>0</v>
      </c>
      <c r="N466" s="69">
        <f ca="1">SUMIF('CAP23-24'!$B:$H,Insumo[[#This Row],[DESCRIPCION]],'CAP23-24'!$H:$H)</f>
        <v>0</v>
      </c>
      <c r="O466" s="69">
        <f ca="1">SUMIF('CAP25'!$B:$H,Insumo[[#This Row],[DESCRIPCION]],'CAP25'!$H:$H)</f>
        <v>0</v>
      </c>
      <c r="P466" s="69">
        <f ca="1">SUMIF('CAP26-28'!$B:$H,Insumo[[#This Row],[DESCRIPCION]],'CAP26-28'!$H:$H)</f>
        <v>0</v>
      </c>
      <c r="Q466" s="69">
        <f ca="1">SUMIF('CAP29'!$B:$H,Insumo[[#This Row],[DESCRIPCION]],'CAP29'!$H:$H)</f>
        <v>0</v>
      </c>
      <c r="R466" s="290"/>
      <c r="T466" s="136">
        <v>435000</v>
      </c>
    </row>
    <row r="467" spans="1:20" ht="12" customHeight="1">
      <c r="A467" s="301" t="s">
        <v>3078</v>
      </c>
      <c r="B467" s="303" t="s">
        <v>23</v>
      </c>
      <c r="C467" s="304">
        <f t="shared" si="7"/>
        <v>547050</v>
      </c>
      <c r="D467" s="281" cm="1">
        <f t="array" aca="1" ref="D467" ca="1">IF(Insumo[[#This Row],[VALOR]]=0,Insumo[TOTAL],E467/C467)</f>
        <v>0</v>
      </c>
      <c r="E467" s="69">
        <f ca="1">SUM(Insumo[[#This Row],[CAP1-3]:[CAP29]])</f>
        <v>0</v>
      </c>
      <c r="F467" s="69">
        <f ca="1">SUMIF('CAP1-3'!$B:$H,Insumo[[#This Row],[DESCRIPCION]],'CAP1-3'!$H:$H)</f>
        <v>0</v>
      </c>
      <c r="G467" s="69">
        <f ca="1">SUMIF('CAP4-5'!$B:$H,Insumo[[#This Row],[DESCRIPCION]],'CAP4-5'!$H:$H)</f>
        <v>0</v>
      </c>
      <c r="H467" s="69">
        <f ca="1">SUMIF('CAP6-7'!$B:$H,Insumo[[#This Row],[DESCRIPCION]],'CAP6-7'!$H:$H)</f>
        <v>0</v>
      </c>
      <c r="I467" s="69">
        <f ca="1">SUMIF('CAP8'!$B:$H,Insumo[[#This Row],[DESCRIPCION]],'CAP8'!$H:$H)</f>
        <v>0</v>
      </c>
      <c r="J467" s="69">
        <f ca="1">SUMIF('CAP9-13'!$B:$H,Insumo[[#This Row],[DESCRIPCION]],'CAP9-13'!$H:$H)</f>
        <v>0</v>
      </c>
      <c r="K467" s="69">
        <f ca="1">SUMIF('CAP14-15'!$B:$H,Insumo[[#This Row],[DESCRIPCION]],'CAP14-15'!$H:$H)</f>
        <v>0</v>
      </c>
      <c r="L467" s="69">
        <f ca="1">SUMIF('CAP16-18'!$B:$H,Insumo[[#This Row],[DESCRIPCION]],'CAP16-18'!$H:$H)</f>
        <v>0</v>
      </c>
      <c r="M467" s="69">
        <f ca="1">SUMIF('CAP19-22'!$B:$H,Insumo[[#This Row],[DESCRIPCION]],'CAP19-22'!$H:$H)</f>
        <v>0</v>
      </c>
      <c r="N467" s="69">
        <f ca="1">SUMIF('CAP23-24'!$B:$H,Insumo[[#This Row],[DESCRIPCION]],'CAP23-24'!$H:$H)</f>
        <v>0</v>
      </c>
      <c r="O467" s="69">
        <f ca="1">SUMIF('CAP25'!$B:$H,Insumo[[#This Row],[DESCRIPCION]],'CAP25'!$H:$H)</f>
        <v>0</v>
      </c>
      <c r="P467" s="69">
        <f ca="1">SUMIF('CAP26-28'!$B:$H,Insumo[[#This Row],[DESCRIPCION]],'CAP26-28'!$H:$H)</f>
        <v>0</v>
      </c>
      <c r="Q467" s="69">
        <f ca="1">SUMIF('CAP29'!$B:$H,Insumo[[#This Row],[DESCRIPCION]],'CAP29'!$H:$H)</f>
        <v>0</v>
      </c>
      <c r="R467" s="290"/>
      <c r="T467" s="136">
        <v>521000</v>
      </c>
    </row>
    <row r="468" spans="1:20" ht="12" customHeight="1">
      <c r="A468" s="301" t="s">
        <v>3079</v>
      </c>
      <c r="B468" s="303" t="s">
        <v>23</v>
      </c>
      <c r="C468" s="304">
        <f t="shared" si="7"/>
        <v>420000</v>
      </c>
      <c r="D468" s="281" cm="1">
        <f t="array" aca="1" ref="D468" ca="1">IF(Insumo[[#This Row],[VALOR]]=0,Insumo[TOTAL],E468/C468)</f>
        <v>0</v>
      </c>
      <c r="E468" s="69">
        <f ca="1">SUM(Insumo[[#This Row],[CAP1-3]:[CAP29]])</f>
        <v>0</v>
      </c>
      <c r="F468" s="69">
        <f ca="1">SUMIF('CAP1-3'!$B:$H,Insumo[[#This Row],[DESCRIPCION]],'CAP1-3'!$H:$H)</f>
        <v>0</v>
      </c>
      <c r="G468" s="69">
        <f ca="1">SUMIF('CAP4-5'!$B:$H,Insumo[[#This Row],[DESCRIPCION]],'CAP4-5'!$H:$H)</f>
        <v>0</v>
      </c>
      <c r="H468" s="69">
        <f ca="1">SUMIF('CAP6-7'!$B:$H,Insumo[[#This Row],[DESCRIPCION]],'CAP6-7'!$H:$H)</f>
        <v>0</v>
      </c>
      <c r="I468" s="69">
        <f ca="1">SUMIF('CAP8'!$B:$H,Insumo[[#This Row],[DESCRIPCION]],'CAP8'!$H:$H)</f>
        <v>0</v>
      </c>
      <c r="J468" s="69">
        <f ca="1">SUMIF('CAP9-13'!$B:$H,Insumo[[#This Row],[DESCRIPCION]],'CAP9-13'!$H:$H)</f>
        <v>0</v>
      </c>
      <c r="K468" s="69">
        <f ca="1">SUMIF('CAP14-15'!$B:$H,Insumo[[#This Row],[DESCRIPCION]],'CAP14-15'!$H:$H)</f>
        <v>0</v>
      </c>
      <c r="L468" s="69">
        <f ca="1">SUMIF('CAP16-18'!$B:$H,Insumo[[#This Row],[DESCRIPCION]],'CAP16-18'!$H:$H)</f>
        <v>0</v>
      </c>
      <c r="M468" s="69">
        <f ca="1">SUMIF('CAP19-22'!$B:$H,Insumo[[#This Row],[DESCRIPCION]],'CAP19-22'!$H:$H)</f>
        <v>0</v>
      </c>
      <c r="N468" s="69">
        <f ca="1">SUMIF('CAP23-24'!$B:$H,Insumo[[#This Row],[DESCRIPCION]],'CAP23-24'!$H:$H)</f>
        <v>0</v>
      </c>
      <c r="O468" s="69">
        <f ca="1">SUMIF('CAP25'!$B:$H,Insumo[[#This Row],[DESCRIPCION]],'CAP25'!$H:$H)</f>
        <v>0</v>
      </c>
      <c r="P468" s="69">
        <f ca="1">SUMIF('CAP26-28'!$B:$H,Insumo[[#This Row],[DESCRIPCION]],'CAP26-28'!$H:$H)</f>
        <v>0</v>
      </c>
      <c r="Q468" s="69">
        <f ca="1">SUMIF('CAP29'!$B:$H,Insumo[[#This Row],[DESCRIPCION]],'CAP29'!$H:$H)</f>
        <v>0</v>
      </c>
      <c r="R468" s="290"/>
      <c r="T468" s="136">
        <v>400000</v>
      </c>
    </row>
    <row r="469" spans="1:20" ht="12" customHeight="1">
      <c r="A469" s="301" t="s">
        <v>3080</v>
      </c>
      <c r="B469" s="303" t="s">
        <v>23</v>
      </c>
      <c r="C469" s="304">
        <f t="shared" si="7"/>
        <v>464730</v>
      </c>
      <c r="D469" s="281" cm="1">
        <f t="array" aca="1" ref="D469" ca="1">IF(Insumo[[#This Row],[VALOR]]=0,Insumo[TOTAL],E469/C469)</f>
        <v>0</v>
      </c>
      <c r="E469" s="69">
        <f ca="1">SUM(Insumo[[#This Row],[CAP1-3]:[CAP29]])</f>
        <v>0</v>
      </c>
      <c r="F469" s="69">
        <f ca="1">SUMIF('CAP1-3'!$B:$H,Insumo[[#This Row],[DESCRIPCION]],'CAP1-3'!$H:$H)</f>
        <v>0</v>
      </c>
      <c r="G469" s="69">
        <f ca="1">SUMIF('CAP4-5'!$B:$H,Insumo[[#This Row],[DESCRIPCION]],'CAP4-5'!$H:$H)</f>
        <v>0</v>
      </c>
      <c r="H469" s="69">
        <f ca="1">SUMIF('CAP6-7'!$B:$H,Insumo[[#This Row],[DESCRIPCION]],'CAP6-7'!$H:$H)</f>
        <v>0</v>
      </c>
      <c r="I469" s="69">
        <f ca="1">SUMIF('CAP8'!$B:$H,Insumo[[#This Row],[DESCRIPCION]],'CAP8'!$H:$H)</f>
        <v>0</v>
      </c>
      <c r="J469" s="69">
        <f ca="1">SUMIF('CAP9-13'!$B:$H,Insumo[[#This Row],[DESCRIPCION]],'CAP9-13'!$H:$H)</f>
        <v>0</v>
      </c>
      <c r="K469" s="69">
        <f ca="1">SUMIF('CAP14-15'!$B:$H,Insumo[[#This Row],[DESCRIPCION]],'CAP14-15'!$H:$H)</f>
        <v>0</v>
      </c>
      <c r="L469" s="69">
        <f ca="1">SUMIF('CAP16-18'!$B:$H,Insumo[[#This Row],[DESCRIPCION]],'CAP16-18'!$H:$H)</f>
        <v>0</v>
      </c>
      <c r="M469" s="69">
        <f ca="1">SUMIF('CAP19-22'!$B:$H,Insumo[[#This Row],[DESCRIPCION]],'CAP19-22'!$H:$H)</f>
        <v>0</v>
      </c>
      <c r="N469" s="69">
        <f ca="1">SUMIF('CAP23-24'!$B:$H,Insumo[[#This Row],[DESCRIPCION]],'CAP23-24'!$H:$H)</f>
        <v>0</v>
      </c>
      <c r="O469" s="69">
        <f ca="1">SUMIF('CAP25'!$B:$H,Insumo[[#This Row],[DESCRIPCION]],'CAP25'!$H:$H)</f>
        <v>0</v>
      </c>
      <c r="P469" s="69">
        <f ca="1">SUMIF('CAP26-28'!$B:$H,Insumo[[#This Row],[DESCRIPCION]],'CAP26-28'!$H:$H)</f>
        <v>0</v>
      </c>
      <c r="Q469" s="69">
        <f ca="1">SUMIF('CAP29'!$B:$H,Insumo[[#This Row],[DESCRIPCION]],'CAP29'!$H:$H)</f>
        <v>0</v>
      </c>
      <c r="R469" s="290"/>
      <c r="T469" s="136">
        <v>442600</v>
      </c>
    </row>
    <row r="470" spans="1:20" ht="12" customHeight="1">
      <c r="A470" s="301" t="s">
        <v>3081</v>
      </c>
      <c r="B470" s="303" t="s">
        <v>23</v>
      </c>
      <c r="C470" s="304">
        <f t="shared" si="7"/>
        <v>527100</v>
      </c>
      <c r="D470" s="281" cm="1">
        <f t="array" aca="1" ref="D470" ca="1">IF(Insumo[[#This Row],[VALOR]]=0,Insumo[TOTAL],E470/C470)</f>
        <v>0</v>
      </c>
      <c r="E470" s="69">
        <f ca="1">SUM(Insumo[[#This Row],[CAP1-3]:[CAP29]])</f>
        <v>0</v>
      </c>
      <c r="F470" s="69">
        <f ca="1">SUMIF('CAP1-3'!$B:$H,Insumo[[#This Row],[DESCRIPCION]],'CAP1-3'!$H:$H)</f>
        <v>0</v>
      </c>
      <c r="G470" s="69">
        <f ca="1">SUMIF('CAP4-5'!$B:$H,Insumo[[#This Row],[DESCRIPCION]],'CAP4-5'!$H:$H)</f>
        <v>0</v>
      </c>
      <c r="H470" s="69">
        <f ca="1">SUMIF('CAP6-7'!$B:$H,Insumo[[#This Row],[DESCRIPCION]],'CAP6-7'!$H:$H)</f>
        <v>0</v>
      </c>
      <c r="I470" s="69">
        <f ca="1">SUMIF('CAP8'!$B:$H,Insumo[[#This Row],[DESCRIPCION]],'CAP8'!$H:$H)</f>
        <v>0</v>
      </c>
      <c r="J470" s="69">
        <f ca="1">SUMIF('CAP9-13'!$B:$H,Insumo[[#This Row],[DESCRIPCION]],'CAP9-13'!$H:$H)</f>
        <v>0</v>
      </c>
      <c r="K470" s="69">
        <f ca="1">SUMIF('CAP14-15'!$B:$H,Insumo[[#This Row],[DESCRIPCION]],'CAP14-15'!$H:$H)</f>
        <v>0</v>
      </c>
      <c r="L470" s="69">
        <f ca="1">SUMIF('CAP16-18'!$B:$H,Insumo[[#This Row],[DESCRIPCION]],'CAP16-18'!$H:$H)</f>
        <v>0</v>
      </c>
      <c r="M470" s="69">
        <f ca="1">SUMIF('CAP19-22'!$B:$H,Insumo[[#This Row],[DESCRIPCION]],'CAP19-22'!$H:$H)</f>
        <v>0</v>
      </c>
      <c r="N470" s="69">
        <f ca="1">SUMIF('CAP23-24'!$B:$H,Insumo[[#This Row],[DESCRIPCION]],'CAP23-24'!$H:$H)</f>
        <v>0</v>
      </c>
      <c r="O470" s="69">
        <f ca="1">SUMIF('CAP25'!$B:$H,Insumo[[#This Row],[DESCRIPCION]],'CAP25'!$H:$H)</f>
        <v>0</v>
      </c>
      <c r="P470" s="69">
        <f ca="1">SUMIF('CAP26-28'!$B:$H,Insumo[[#This Row],[DESCRIPCION]],'CAP26-28'!$H:$H)</f>
        <v>0</v>
      </c>
      <c r="Q470" s="69">
        <f ca="1">SUMIF('CAP29'!$B:$H,Insumo[[#This Row],[DESCRIPCION]],'CAP29'!$H:$H)</f>
        <v>0</v>
      </c>
      <c r="R470" s="290"/>
      <c r="T470" s="136">
        <v>502000</v>
      </c>
    </row>
    <row r="471" spans="1:20" ht="12" customHeight="1">
      <c r="A471" s="301" t="s">
        <v>3082</v>
      </c>
      <c r="B471" s="303" t="s">
        <v>23</v>
      </c>
      <c r="C471" s="304">
        <f t="shared" si="7"/>
        <v>652050</v>
      </c>
      <c r="D471" s="281" cm="1">
        <f t="array" aca="1" ref="D471" ca="1">IF(Insumo[[#This Row],[VALOR]]=0,Insumo[TOTAL],E471/C471)</f>
        <v>0</v>
      </c>
      <c r="E471" s="69">
        <f ca="1">SUM(Insumo[[#This Row],[CAP1-3]:[CAP29]])</f>
        <v>0</v>
      </c>
      <c r="F471" s="69">
        <f ca="1">SUMIF('CAP1-3'!$B:$H,Insumo[[#This Row],[DESCRIPCION]],'CAP1-3'!$H:$H)</f>
        <v>0</v>
      </c>
      <c r="G471" s="69">
        <f ca="1">SUMIF('CAP4-5'!$B:$H,Insumo[[#This Row],[DESCRIPCION]],'CAP4-5'!$H:$H)</f>
        <v>0</v>
      </c>
      <c r="H471" s="69">
        <f ca="1">SUMIF('CAP6-7'!$B:$H,Insumo[[#This Row],[DESCRIPCION]],'CAP6-7'!$H:$H)</f>
        <v>0</v>
      </c>
      <c r="I471" s="69">
        <f ca="1">SUMIF('CAP8'!$B:$H,Insumo[[#This Row],[DESCRIPCION]],'CAP8'!$H:$H)</f>
        <v>0</v>
      </c>
      <c r="J471" s="69">
        <f ca="1">SUMIF('CAP9-13'!$B:$H,Insumo[[#This Row],[DESCRIPCION]],'CAP9-13'!$H:$H)</f>
        <v>0</v>
      </c>
      <c r="K471" s="69">
        <f ca="1">SUMIF('CAP14-15'!$B:$H,Insumo[[#This Row],[DESCRIPCION]],'CAP14-15'!$H:$H)</f>
        <v>0</v>
      </c>
      <c r="L471" s="69">
        <f ca="1">SUMIF('CAP16-18'!$B:$H,Insumo[[#This Row],[DESCRIPCION]],'CAP16-18'!$H:$H)</f>
        <v>0</v>
      </c>
      <c r="M471" s="69">
        <f ca="1">SUMIF('CAP19-22'!$B:$H,Insumo[[#This Row],[DESCRIPCION]],'CAP19-22'!$H:$H)</f>
        <v>0</v>
      </c>
      <c r="N471" s="69">
        <f ca="1">SUMIF('CAP23-24'!$B:$H,Insumo[[#This Row],[DESCRIPCION]],'CAP23-24'!$H:$H)</f>
        <v>0</v>
      </c>
      <c r="O471" s="69">
        <f ca="1">SUMIF('CAP25'!$B:$H,Insumo[[#This Row],[DESCRIPCION]],'CAP25'!$H:$H)</f>
        <v>0</v>
      </c>
      <c r="P471" s="69">
        <f ca="1">SUMIF('CAP26-28'!$B:$H,Insumo[[#This Row],[DESCRIPCION]],'CAP26-28'!$H:$H)</f>
        <v>0</v>
      </c>
      <c r="Q471" s="69">
        <f ca="1">SUMIF('CAP29'!$B:$H,Insumo[[#This Row],[DESCRIPCION]],'CAP29'!$H:$H)</f>
        <v>0</v>
      </c>
      <c r="R471" s="290"/>
      <c r="T471" s="136">
        <v>621000</v>
      </c>
    </row>
    <row r="472" spans="1:20" ht="12" customHeight="1">
      <c r="A472" s="301" t="s">
        <v>3083</v>
      </c>
      <c r="B472" s="303" t="s">
        <v>23</v>
      </c>
      <c r="C472" s="304">
        <f t="shared" si="7"/>
        <v>128100</v>
      </c>
      <c r="D472" s="281" cm="1">
        <f t="array" aca="1" ref="D472" ca="1">IF(Insumo[[#This Row],[VALOR]]=0,Insumo[TOTAL],E472/C472)</f>
        <v>0</v>
      </c>
      <c r="E472" s="69">
        <f ca="1">SUM(Insumo[[#This Row],[CAP1-3]:[CAP29]])</f>
        <v>0</v>
      </c>
      <c r="F472" s="69">
        <f ca="1">SUMIF('CAP1-3'!$B:$H,Insumo[[#This Row],[DESCRIPCION]],'CAP1-3'!$H:$H)</f>
        <v>0</v>
      </c>
      <c r="G472" s="69">
        <f ca="1">SUMIF('CAP4-5'!$B:$H,Insumo[[#This Row],[DESCRIPCION]],'CAP4-5'!$H:$H)</f>
        <v>0</v>
      </c>
      <c r="H472" s="69">
        <f ca="1">SUMIF('CAP6-7'!$B:$H,Insumo[[#This Row],[DESCRIPCION]],'CAP6-7'!$H:$H)</f>
        <v>0</v>
      </c>
      <c r="I472" s="69">
        <f ca="1">SUMIF('CAP8'!$B:$H,Insumo[[#This Row],[DESCRIPCION]],'CAP8'!$H:$H)</f>
        <v>0</v>
      </c>
      <c r="J472" s="69">
        <f ca="1">SUMIF('CAP9-13'!$B:$H,Insumo[[#This Row],[DESCRIPCION]],'CAP9-13'!$H:$H)</f>
        <v>0</v>
      </c>
      <c r="K472" s="69">
        <f ca="1">SUMIF('CAP14-15'!$B:$H,Insumo[[#This Row],[DESCRIPCION]],'CAP14-15'!$H:$H)</f>
        <v>0</v>
      </c>
      <c r="L472" s="69">
        <f ca="1">SUMIF('CAP16-18'!$B:$H,Insumo[[#This Row],[DESCRIPCION]],'CAP16-18'!$H:$H)</f>
        <v>0</v>
      </c>
      <c r="M472" s="69">
        <f ca="1">SUMIF('CAP19-22'!$B:$H,Insumo[[#This Row],[DESCRIPCION]],'CAP19-22'!$H:$H)</f>
        <v>0</v>
      </c>
      <c r="N472" s="69">
        <f ca="1">SUMIF('CAP23-24'!$B:$H,Insumo[[#This Row],[DESCRIPCION]],'CAP23-24'!$H:$H)</f>
        <v>0</v>
      </c>
      <c r="O472" s="69">
        <f ca="1">SUMIF('CAP25'!$B:$H,Insumo[[#This Row],[DESCRIPCION]],'CAP25'!$H:$H)</f>
        <v>0</v>
      </c>
      <c r="P472" s="69">
        <f ca="1">SUMIF('CAP26-28'!$B:$H,Insumo[[#This Row],[DESCRIPCION]],'CAP26-28'!$H:$H)</f>
        <v>0</v>
      </c>
      <c r="Q472" s="69">
        <f ca="1">SUMIF('CAP29'!$B:$H,Insumo[[#This Row],[DESCRIPCION]],'CAP29'!$H:$H)</f>
        <v>0</v>
      </c>
      <c r="R472" s="290"/>
      <c r="T472" s="136">
        <v>122000</v>
      </c>
    </row>
    <row r="473" spans="1:20" ht="12" customHeight="1">
      <c r="A473" s="301" t="s">
        <v>3084</v>
      </c>
      <c r="B473" s="303" t="s">
        <v>23</v>
      </c>
      <c r="C473" s="304">
        <f t="shared" si="7"/>
        <v>164850</v>
      </c>
      <c r="D473" s="281" cm="1">
        <f t="array" aca="1" ref="D473" ca="1">IF(Insumo[[#This Row],[VALOR]]=0,Insumo[TOTAL],E473/C473)</f>
        <v>0</v>
      </c>
      <c r="E473" s="69">
        <f ca="1">SUM(Insumo[[#This Row],[CAP1-3]:[CAP29]])</f>
        <v>0</v>
      </c>
      <c r="F473" s="69">
        <f ca="1">SUMIF('CAP1-3'!$B:$H,Insumo[[#This Row],[DESCRIPCION]],'CAP1-3'!$H:$H)</f>
        <v>0</v>
      </c>
      <c r="G473" s="69">
        <f ca="1">SUMIF('CAP4-5'!$B:$H,Insumo[[#This Row],[DESCRIPCION]],'CAP4-5'!$H:$H)</f>
        <v>0</v>
      </c>
      <c r="H473" s="69">
        <f ca="1">SUMIF('CAP6-7'!$B:$H,Insumo[[#This Row],[DESCRIPCION]],'CAP6-7'!$H:$H)</f>
        <v>0</v>
      </c>
      <c r="I473" s="69">
        <f ca="1">SUMIF('CAP8'!$B:$H,Insumo[[#This Row],[DESCRIPCION]],'CAP8'!$H:$H)</f>
        <v>0</v>
      </c>
      <c r="J473" s="69">
        <f ca="1">SUMIF('CAP9-13'!$B:$H,Insumo[[#This Row],[DESCRIPCION]],'CAP9-13'!$H:$H)</f>
        <v>0</v>
      </c>
      <c r="K473" s="69">
        <f ca="1">SUMIF('CAP14-15'!$B:$H,Insumo[[#This Row],[DESCRIPCION]],'CAP14-15'!$H:$H)</f>
        <v>0</v>
      </c>
      <c r="L473" s="69">
        <f ca="1">SUMIF('CAP16-18'!$B:$H,Insumo[[#This Row],[DESCRIPCION]],'CAP16-18'!$H:$H)</f>
        <v>0</v>
      </c>
      <c r="M473" s="69">
        <f ca="1">SUMIF('CAP19-22'!$B:$H,Insumo[[#This Row],[DESCRIPCION]],'CAP19-22'!$H:$H)</f>
        <v>0</v>
      </c>
      <c r="N473" s="69">
        <f ca="1">SUMIF('CAP23-24'!$B:$H,Insumo[[#This Row],[DESCRIPCION]],'CAP23-24'!$H:$H)</f>
        <v>0</v>
      </c>
      <c r="O473" s="69">
        <f ca="1">SUMIF('CAP25'!$B:$H,Insumo[[#This Row],[DESCRIPCION]],'CAP25'!$H:$H)</f>
        <v>0</v>
      </c>
      <c r="P473" s="69">
        <f ca="1">SUMIF('CAP26-28'!$B:$H,Insumo[[#This Row],[DESCRIPCION]],'CAP26-28'!$H:$H)</f>
        <v>0</v>
      </c>
      <c r="Q473" s="69">
        <f ca="1">SUMIF('CAP29'!$B:$H,Insumo[[#This Row],[DESCRIPCION]],'CAP29'!$H:$H)</f>
        <v>0</v>
      </c>
      <c r="R473" s="290"/>
      <c r="T473" s="136">
        <v>157000</v>
      </c>
    </row>
    <row r="474" spans="1:20" ht="12" customHeight="1">
      <c r="A474" s="301" t="s">
        <v>3085</v>
      </c>
      <c r="B474" s="303" t="s">
        <v>23</v>
      </c>
      <c r="C474" s="304">
        <f t="shared" si="7"/>
        <v>214200</v>
      </c>
      <c r="D474" s="281" cm="1">
        <f t="array" aca="1" ref="D474" ca="1">IF(Insumo[[#This Row],[VALOR]]=0,Insumo[TOTAL],E474/C474)</f>
        <v>0</v>
      </c>
      <c r="E474" s="69">
        <f ca="1">SUM(Insumo[[#This Row],[CAP1-3]:[CAP29]])</f>
        <v>0</v>
      </c>
      <c r="F474" s="69">
        <f ca="1">SUMIF('CAP1-3'!$B:$H,Insumo[[#This Row],[DESCRIPCION]],'CAP1-3'!$H:$H)</f>
        <v>0</v>
      </c>
      <c r="G474" s="69">
        <f ca="1">SUMIF('CAP4-5'!$B:$H,Insumo[[#This Row],[DESCRIPCION]],'CAP4-5'!$H:$H)</f>
        <v>0</v>
      </c>
      <c r="H474" s="69">
        <f ca="1">SUMIF('CAP6-7'!$B:$H,Insumo[[#This Row],[DESCRIPCION]],'CAP6-7'!$H:$H)</f>
        <v>0</v>
      </c>
      <c r="I474" s="69">
        <f ca="1">SUMIF('CAP8'!$B:$H,Insumo[[#This Row],[DESCRIPCION]],'CAP8'!$H:$H)</f>
        <v>0</v>
      </c>
      <c r="J474" s="69">
        <f ca="1">SUMIF('CAP9-13'!$B:$H,Insumo[[#This Row],[DESCRIPCION]],'CAP9-13'!$H:$H)</f>
        <v>0</v>
      </c>
      <c r="K474" s="69">
        <f ca="1">SUMIF('CAP14-15'!$B:$H,Insumo[[#This Row],[DESCRIPCION]],'CAP14-15'!$H:$H)</f>
        <v>0</v>
      </c>
      <c r="L474" s="69">
        <f ca="1">SUMIF('CAP16-18'!$B:$H,Insumo[[#This Row],[DESCRIPCION]],'CAP16-18'!$H:$H)</f>
        <v>0</v>
      </c>
      <c r="M474" s="69">
        <f ca="1">SUMIF('CAP19-22'!$B:$H,Insumo[[#This Row],[DESCRIPCION]],'CAP19-22'!$H:$H)</f>
        <v>0</v>
      </c>
      <c r="N474" s="69">
        <f ca="1">SUMIF('CAP23-24'!$B:$H,Insumo[[#This Row],[DESCRIPCION]],'CAP23-24'!$H:$H)</f>
        <v>0</v>
      </c>
      <c r="O474" s="69">
        <f ca="1">SUMIF('CAP25'!$B:$H,Insumo[[#This Row],[DESCRIPCION]],'CAP25'!$H:$H)</f>
        <v>0</v>
      </c>
      <c r="P474" s="69">
        <f ca="1">SUMIF('CAP26-28'!$B:$H,Insumo[[#This Row],[DESCRIPCION]],'CAP26-28'!$H:$H)</f>
        <v>0</v>
      </c>
      <c r="Q474" s="69">
        <f ca="1">SUMIF('CAP29'!$B:$H,Insumo[[#This Row],[DESCRIPCION]],'CAP29'!$H:$H)</f>
        <v>0</v>
      </c>
      <c r="R474" s="290"/>
      <c r="T474" s="136">
        <v>204000</v>
      </c>
    </row>
    <row r="475" spans="1:20" ht="12" customHeight="1">
      <c r="A475" s="301" t="s">
        <v>3086</v>
      </c>
      <c r="B475" s="303" t="s">
        <v>23</v>
      </c>
      <c r="C475" s="304">
        <f t="shared" si="7"/>
        <v>1622250</v>
      </c>
      <c r="D475" s="281" cm="1">
        <f t="array" aca="1" ref="D475" ca="1">IF(Insumo[[#This Row],[VALOR]]=0,Insumo[TOTAL],E475/C475)</f>
        <v>0</v>
      </c>
      <c r="E475" s="69">
        <f ca="1">SUM(Insumo[[#This Row],[CAP1-3]:[CAP29]])</f>
        <v>0</v>
      </c>
      <c r="F475" s="69">
        <f ca="1">SUMIF('CAP1-3'!$B:$H,Insumo[[#This Row],[DESCRIPCION]],'CAP1-3'!$H:$H)</f>
        <v>0</v>
      </c>
      <c r="G475" s="69">
        <f ca="1">SUMIF('CAP4-5'!$B:$H,Insumo[[#This Row],[DESCRIPCION]],'CAP4-5'!$H:$H)</f>
        <v>0</v>
      </c>
      <c r="H475" s="69">
        <f ca="1">SUMIF('CAP6-7'!$B:$H,Insumo[[#This Row],[DESCRIPCION]],'CAP6-7'!$H:$H)</f>
        <v>0</v>
      </c>
      <c r="I475" s="69">
        <f ca="1">SUMIF('CAP8'!$B:$H,Insumo[[#This Row],[DESCRIPCION]],'CAP8'!$H:$H)</f>
        <v>0</v>
      </c>
      <c r="J475" s="69">
        <f ca="1">SUMIF('CAP9-13'!$B:$H,Insumo[[#This Row],[DESCRIPCION]],'CAP9-13'!$H:$H)</f>
        <v>0</v>
      </c>
      <c r="K475" s="69">
        <f ca="1">SUMIF('CAP14-15'!$B:$H,Insumo[[#This Row],[DESCRIPCION]],'CAP14-15'!$H:$H)</f>
        <v>0</v>
      </c>
      <c r="L475" s="69">
        <f ca="1">SUMIF('CAP16-18'!$B:$H,Insumo[[#This Row],[DESCRIPCION]],'CAP16-18'!$H:$H)</f>
        <v>0</v>
      </c>
      <c r="M475" s="69">
        <f ca="1">SUMIF('CAP19-22'!$B:$H,Insumo[[#This Row],[DESCRIPCION]],'CAP19-22'!$H:$H)</f>
        <v>0</v>
      </c>
      <c r="N475" s="69">
        <f ca="1">SUMIF('CAP23-24'!$B:$H,Insumo[[#This Row],[DESCRIPCION]],'CAP23-24'!$H:$H)</f>
        <v>0</v>
      </c>
      <c r="O475" s="69">
        <f ca="1">SUMIF('CAP25'!$B:$H,Insumo[[#This Row],[DESCRIPCION]],'CAP25'!$H:$H)</f>
        <v>0</v>
      </c>
      <c r="P475" s="69">
        <f ca="1">SUMIF('CAP26-28'!$B:$H,Insumo[[#This Row],[DESCRIPCION]],'CAP26-28'!$H:$H)</f>
        <v>0</v>
      </c>
      <c r="Q475" s="69">
        <f ca="1">SUMIF('CAP29'!$B:$H,Insumo[[#This Row],[DESCRIPCION]],'CAP29'!$H:$H)</f>
        <v>0</v>
      </c>
      <c r="R475" s="290"/>
      <c r="T475" s="136">
        <v>1545000</v>
      </c>
    </row>
    <row r="476" spans="1:20" ht="12" customHeight="1">
      <c r="A476" s="301" t="s">
        <v>3087</v>
      </c>
      <c r="B476" s="303" t="s">
        <v>23</v>
      </c>
      <c r="C476" s="304">
        <f t="shared" si="7"/>
        <v>1706250</v>
      </c>
      <c r="D476" s="281" cm="1">
        <f t="array" aca="1" ref="D476" ca="1">IF(Insumo[[#This Row],[VALOR]]=0,Insumo[TOTAL],E476/C476)</f>
        <v>0</v>
      </c>
      <c r="E476" s="69">
        <f ca="1">SUM(Insumo[[#This Row],[CAP1-3]:[CAP29]])</f>
        <v>0</v>
      </c>
      <c r="F476" s="69">
        <f ca="1">SUMIF('CAP1-3'!$B:$H,Insumo[[#This Row],[DESCRIPCION]],'CAP1-3'!$H:$H)</f>
        <v>0</v>
      </c>
      <c r="G476" s="69">
        <f ca="1">SUMIF('CAP4-5'!$B:$H,Insumo[[#This Row],[DESCRIPCION]],'CAP4-5'!$H:$H)</f>
        <v>0</v>
      </c>
      <c r="H476" s="69">
        <f ca="1">SUMIF('CAP6-7'!$B:$H,Insumo[[#This Row],[DESCRIPCION]],'CAP6-7'!$H:$H)</f>
        <v>0</v>
      </c>
      <c r="I476" s="69">
        <f ca="1">SUMIF('CAP8'!$B:$H,Insumo[[#This Row],[DESCRIPCION]],'CAP8'!$H:$H)</f>
        <v>0</v>
      </c>
      <c r="J476" s="69">
        <f ca="1">SUMIF('CAP9-13'!$B:$H,Insumo[[#This Row],[DESCRIPCION]],'CAP9-13'!$H:$H)</f>
        <v>0</v>
      </c>
      <c r="K476" s="69">
        <f ca="1">SUMIF('CAP14-15'!$B:$H,Insumo[[#This Row],[DESCRIPCION]],'CAP14-15'!$H:$H)</f>
        <v>0</v>
      </c>
      <c r="L476" s="69">
        <f ca="1">SUMIF('CAP16-18'!$B:$H,Insumo[[#This Row],[DESCRIPCION]],'CAP16-18'!$H:$H)</f>
        <v>0</v>
      </c>
      <c r="M476" s="69">
        <f ca="1">SUMIF('CAP19-22'!$B:$H,Insumo[[#This Row],[DESCRIPCION]],'CAP19-22'!$H:$H)</f>
        <v>0</v>
      </c>
      <c r="N476" s="69">
        <f ca="1">SUMIF('CAP23-24'!$B:$H,Insumo[[#This Row],[DESCRIPCION]],'CAP23-24'!$H:$H)</f>
        <v>0</v>
      </c>
      <c r="O476" s="69">
        <f ca="1">SUMIF('CAP25'!$B:$H,Insumo[[#This Row],[DESCRIPCION]],'CAP25'!$H:$H)</f>
        <v>0</v>
      </c>
      <c r="P476" s="69">
        <f ca="1">SUMIF('CAP26-28'!$B:$H,Insumo[[#This Row],[DESCRIPCION]],'CAP26-28'!$H:$H)</f>
        <v>0</v>
      </c>
      <c r="Q476" s="69">
        <f ca="1">SUMIF('CAP29'!$B:$H,Insumo[[#This Row],[DESCRIPCION]],'CAP29'!$H:$H)</f>
        <v>0</v>
      </c>
      <c r="R476" s="290"/>
      <c r="T476" s="136">
        <v>1625000</v>
      </c>
    </row>
    <row r="477" spans="1:20" ht="12" customHeight="1">
      <c r="A477" s="301" t="s">
        <v>3088</v>
      </c>
      <c r="B477" s="303" t="s">
        <v>23</v>
      </c>
      <c r="C477" s="304">
        <f t="shared" si="7"/>
        <v>831600</v>
      </c>
      <c r="D477" s="281" cm="1">
        <f t="array" aca="1" ref="D477" ca="1">IF(Insumo[[#This Row],[VALOR]]=0,Insumo[TOTAL],E477/C477)</f>
        <v>0</v>
      </c>
      <c r="E477" s="69">
        <f ca="1">SUM(Insumo[[#This Row],[CAP1-3]:[CAP29]])</f>
        <v>0</v>
      </c>
      <c r="F477" s="69">
        <f ca="1">SUMIF('CAP1-3'!$B:$H,Insumo[[#This Row],[DESCRIPCION]],'CAP1-3'!$H:$H)</f>
        <v>0</v>
      </c>
      <c r="G477" s="69">
        <f ca="1">SUMIF('CAP4-5'!$B:$H,Insumo[[#This Row],[DESCRIPCION]],'CAP4-5'!$H:$H)</f>
        <v>0</v>
      </c>
      <c r="H477" s="69">
        <f ca="1">SUMIF('CAP6-7'!$B:$H,Insumo[[#This Row],[DESCRIPCION]],'CAP6-7'!$H:$H)</f>
        <v>0</v>
      </c>
      <c r="I477" s="69">
        <f ca="1">SUMIF('CAP8'!$B:$H,Insumo[[#This Row],[DESCRIPCION]],'CAP8'!$H:$H)</f>
        <v>0</v>
      </c>
      <c r="J477" s="69">
        <f ca="1">SUMIF('CAP9-13'!$B:$H,Insumo[[#This Row],[DESCRIPCION]],'CAP9-13'!$H:$H)</f>
        <v>0</v>
      </c>
      <c r="K477" s="69">
        <f ca="1">SUMIF('CAP14-15'!$B:$H,Insumo[[#This Row],[DESCRIPCION]],'CAP14-15'!$H:$H)</f>
        <v>0</v>
      </c>
      <c r="L477" s="69">
        <f ca="1">SUMIF('CAP16-18'!$B:$H,Insumo[[#This Row],[DESCRIPCION]],'CAP16-18'!$H:$H)</f>
        <v>0</v>
      </c>
      <c r="M477" s="69">
        <f ca="1">SUMIF('CAP19-22'!$B:$H,Insumo[[#This Row],[DESCRIPCION]],'CAP19-22'!$H:$H)</f>
        <v>0</v>
      </c>
      <c r="N477" s="69">
        <f ca="1">SUMIF('CAP23-24'!$B:$H,Insumo[[#This Row],[DESCRIPCION]],'CAP23-24'!$H:$H)</f>
        <v>0</v>
      </c>
      <c r="O477" s="69">
        <f ca="1">SUMIF('CAP25'!$B:$H,Insumo[[#This Row],[DESCRIPCION]],'CAP25'!$H:$H)</f>
        <v>0</v>
      </c>
      <c r="P477" s="69">
        <f ca="1">SUMIF('CAP26-28'!$B:$H,Insumo[[#This Row],[DESCRIPCION]],'CAP26-28'!$H:$H)</f>
        <v>0</v>
      </c>
      <c r="Q477" s="69">
        <f ca="1">SUMIF('CAP29'!$B:$H,Insumo[[#This Row],[DESCRIPCION]],'CAP29'!$H:$H)</f>
        <v>0</v>
      </c>
      <c r="R477" s="290"/>
      <c r="T477" s="136">
        <v>792000</v>
      </c>
    </row>
    <row r="478" spans="1:20" ht="12" customHeight="1">
      <c r="A478" s="301" t="s">
        <v>3089</v>
      </c>
      <c r="B478" s="303" t="s">
        <v>23</v>
      </c>
      <c r="C478" s="304">
        <f t="shared" si="7"/>
        <v>927150</v>
      </c>
      <c r="D478" s="281" cm="1">
        <f t="array" aca="1" ref="D478" ca="1">IF(Insumo[[#This Row],[VALOR]]=0,Insumo[TOTAL],E478/C478)</f>
        <v>0</v>
      </c>
      <c r="E478" s="69">
        <f ca="1">SUM(Insumo[[#This Row],[CAP1-3]:[CAP29]])</f>
        <v>0</v>
      </c>
      <c r="F478" s="69">
        <f ca="1">SUMIF('CAP1-3'!$B:$H,Insumo[[#This Row],[DESCRIPCION]],'CAP1-3'!$H:$H)</f>
        <v>0</v>
      </c>
      <c r="G478" s="69">
        <f ca="1">SUMIF('CAP4-5'!$B:$H,Insumo[[#This Row],[DESCRIPCION]],'CAP4-5'!$H:$H)</f>
        <v>0</v>
      </c>
      <c r="H478" s="69">
        <f ca="1">SUMIF('CAP6-7'!$B:$H,Insumo[[#This Row],[DESCRIPCION]],'CAP6-7'!$H:$H)</f>
        <v>0</v>
      </c>
      <c r="I478" s="69">
        <f ca="1">SUMIF('CAP8'!$B:$H,Insumo[[#This Row],[DESCRIPCION]],'CAP8'!$H:$H)</f>
        <v>0</v>
      </c>
      <c r="J478" s="69">
        <f ca="1">SUMIF('CAP9-13'!$B:$H,Insumo[[#This Row],[DESCRIPCION]],'CAP9-13'!$H:$H)</f>
        <v>0</v>
      </c>
      <c r="K478" s="69">
        <f ca="1">SUMIF('CAP14-15'!$B:$H,Insumo[[#This Row],[DESCRIPCION]],'CAP14-15'!$H:$H)</f>
        <v>0</v>
      </c>
      <c r="L478" s="69">
        <f ca="1">SUMIF('CAP16-18'!$B:$H,Insumo[[#This Row],[DESCRIPCION]],'CAP16-18'!$H:$H)</f>
        <v>0</v>
      </c>
      <c r="M478" s="69">
        <f ca="1">SUMIF('CAP19-22'!$B:$H,Insumo[[#This Row],[DESCRIPCION]],'CAP19-22'!$H:$H)</f>
        <v>0</v>
      </c>
      <c r="N478" s="69">
        <f ca="1">SUMIF('CAP23-24'!$B:$H,Insumo[[#This Row],[DESCRIPCION]],'CAP23-24'!$H:$H)</f>
        <v>0</v>
      </c>
      <c r="O478" s="69">
        <f ca="1">SUMIF('CAP25'!$B:$H,Insumo[[#This Row],[DESCRIPCION]],'CAP25'!$H:$H)</f>
        <v>0</v>
      </c>
      <c r="P478" s="69">
        <f ca="1">SUMIF('CAP26-28'!$B:$H,Insumo[[#This Row],[DESCRIPCION]],'CAP26-28'!$H:$H)</f>
        <v>0</v>
      </c>
      <c r="Q478" s="69">
        <f ca="1">SUMIF('CAP29'!$B:$H,Insumo[[#This Row],[DESCRIPCION]],'CAP29'!$H:$H)</f>
        <v>0</v>
      </c>
      <c r="R478" s="290"/>
      <c r="T478" s="136">
        <v>883000</v>
      </c>
    </row>
    <row r="479" spans="1:20" ht="12" customHeight="1">
      <c r="A479" s="301" t="s">
        <v>3090</v>
      </c>
      <c r="B479" s="303" t="s">
        <v>23</v>
      </c>
      <c r="C479" s="304">
        <f t="shared" si="7"/>
        <v>1009050</v>
      </c>
      <c r="D479" s="281" cm="1">
        <f t="array" aca="1" ref="D479" ca="1">IF(Insumo[[#This Row],[VALOR]]=0,Insumo[TOTAL],E479/C479)</f>
        <v>0</v>
      </c>
      <c r="E479" s="69">
        <f ca="1">SUM(Insumo[[#This Row],[CAP1-3]:[CAP29]])</f>
        <v>0</v>
      </c>
      <c r="F479" s="69">
        <f ca="1">SUMIF('CAP1-3'!$B:$H,Insumo[[#This Row],[DESCRIPCION]],'CAP1-3'!$H:$H)</f>
        <v>0</v>
      </c>
      <c r="G479" s="69">
        <f ca="1">SUMIF('CAP4-5'!$B:$H,Insumo[[#This Row],[DESCRIPCION]],'CAP4-5'!$H:$H)</f>
        <v>0</v>
      </c>
      <c r="H479" s="69">
        <f ca="1">SUMIF('CAP6-7'!$B:$H,Insumo[[#This Row],[DESCRIPCION]],'CAP6-7'!$H:$H)</f>
        <v>0</v>
      </c>
      <c r="I479" s="69">
        <f ca="1">SUMIF('CAP8'!$B:$H,Insumo[[#This Row],[DESCRIPCION]],'CAP8'!$H:$H)</f>
        <v>0</v>
      </c>
      <c r="J479" s="69">
        <f ca="1">SUMIF('CAP9-13'!$B:$H,Insumo[[#This Row],[DESCRIPCION]],'CAP9-13'!$H:$H)</f>
        <v>0</v>
      </c>
      <c r="K479" s="69">
        <f ca="1">SUMIF('CAP14-15'!$B:$H,Insumo[[#This Row],[DESCRIPCION]],'CAP14-15'!$H:$H)</f>
        <v>0</v>
      </c>
      <c r="L479" s="69">
        <f ca="1">SUMIF('CAP16-18'!$B:$H,Insumo[[#This Row],[DESCRIPCION]],'CAP16-18'!$H:$H)</f>
        <v>0</v>
      </c>
      <c r="M479" s="69">
        <f ca="1">SUMIF('CAP19-22'!$B:$H,Insumo[[#This Row],[DESCRIPCION]],'CAP19-22'!$H:$H)</f>
        <v>0</v>
      </c>
      <c r="N479" s="69">
        <f ca="1">SUMIF('CAP23-24'!$B:$H,Insumo[[#This Row],[DESCRIPCION]],'CAP23-24'!$H:$H)</f>
        <v>0</v>
      </c>
      <c r="O479" s="69">
        <f ca="1">SUMIF('CAP25'!$B:$H,Insumo[[#This Row],[DESCRIPCION]],'CAP25'!$H:$H)</f>
        <v>0</v>
      </c>
      <c r="P479" s="69">
        <f ca="1">SUMIF('CAP26-28'!$B:$H,Insumo[[#This Row],[DESCRIPCION]],'CAP26-28'!$H:$H)</f>
        <v>0</v>
      </c>
      <c r="Q479" s="69">
        <f ca="1">SUMIF('CAP29'!$B:$H,Insumo[[#This Row],[DESCRIPCION]],'CAP29'!$H:$H)</f>
        <v>0</v>
      </c>
      <c r="R479" s="290"/>
      <c r="T479" s="136">
        <v>961000</v>
      </c>
    </row>
    <row r="480" spans="1:20" ht="12" customHeight="1">
      <c r="A480" s="301" t="s">
        <v>3091</v>
      </c>
      <c r="B480" s="303" t="s">
        <v>23</v>
      </c>
      <c r="C480" s="304">
        <f t="shared" si="7"/>
        <v>2150400</v>
      </c>
      <c r="D480" s="281" cm="1">
        <f t="array" aca="1" ref="D480" ca="1">IF(Insumo[[#This Row],[VALOR]]=0,Insumo[TOTAL],E480/C480)</f>
        <v>0</v>
      </c>
      <c r="E480" s="69">
        <f ca="1">SUM(Insumo[[#This Row],[CAP1-3]:[CAP29]])</f>
        <v>0</v>
      </c>
      <c r="F480" s="69">
        <f ca="1">SUMIF('CAP1-3'!$B:$H,Insumo[[#This Row],[DESCRIPCION]],'CAP1-3'!$H:$H)</f>
        <v>0</v>
      </c>
      <c r="G480" s="69">
        <f ca="1">SUMIF('CAP4-5'!$B:$H,Insumo[[#This Row],[DESCRIPCION]],'CAP4-5'!$H:$H)</f>
        <v>0</v>
      </c>
      <c r="H480" s="69">
        <f ca="1">SUMIF('CAP6-7'!$B:$H,Insumo[[#This Row],[DESCRIPCION]],'CAP6-7'!$H:$H)</f>
        <v>0</v>
      </c>
      <c r="I480" s="69">
        <f ca="1">SUMIF('CAP8'!$B:$H,Insumo[[#This Row],[DESCRIPCION]],'CAP8'!$H:$H)</f>
        <v>0</v>
      </c>
      <c r="J480" s="69">
        <f ca="1">SUMIF('CAP9-13'!$B:$H,Insumo[[#This Row],[DESCRIPCION]],'CAP9-13'!$H:$H)</f>
        <v>0</v>
      </c>
      <c r="K480" s="69">
        <f ca="1">SUMIF('CAP14-15'!$B:$H,Insumo[[#This Row],[DESCRIPCION]],'CAP14-15'!$H:$H)</f>
        <v>0</v>
      </c>
      <c r="L480" s="69">
        <f ca="1">SUMIF('CAP16-18'!$B:$H,Insumo[[#This Row],[DESCRIPCION]],'CAP16-18'!$H:$H)</f>
        <v>0</v>
      </c>
      <c r="M480" s="69">
        <f ca="1">SUMIF('CAP19-22'!$B:$H,Insumo[[#This Row],[DESCRIPCION]],'CAP19-22'!$H:$H)</f>
        <v>0</v>
      </c>
      <c r="N480" s="69">
        <f ca="1">SUMIF('CAP23-24'!$B:$H,Insumo[[#This Row],[DESCRIPCION]],'CAP23-24'!$H:$H)</f>
        <v>0</v>
      </c>
      <c r="O480" s="69">
        <f ca="1">SUMIF('CAP25'!$B:$H,Insumo[[#This Row],[DESCRIPCION]],'CAP25'!$H:$H)</f>
        <v>0</v>
      </c>
      <c r="P480" s="69">
        <f ca="1">SUMIF('CAP26-28'!$B:$H,Insumo[[#This Row],[DESCRIPCION]],'CAP26-28'!$H:$H)</f>
        <v>0</v>
      </c>
      <c r="Q480" s="69">
        <f ca="1">SUMIF('CAP29'!$B:$H,Insumo[[#This Row],[DESCRIPCION]],'CAP29'!$H:$H)</f>
        <v>0</v>
      </c>
      <c r="R480" s="290"/>
      <c r="T480" s="136">
        <v>2048000</v>
      </c>
    </row>
    <row r="481" spans="1:20" ht="12" customHeight="1">
      <c r="A481" s="301" t="s">
        <v>3092</v>
      </c>
      <c r="B481" s="303" t="s">
        <v>23</v>
      </c>
      <c r="C481" s="304">
        <f t="shared" si="7"/>
        <v>2311050</v>
      </c>
      <c r="D481" s="281" cm="1">
        <f t="array" aca="1" ref="D481" ca="1">IF(Insumo[[#This Row],[VALOR]]=0,Insumo[TOTAL],E481/C481)</f>
        <v>0</v>
      </c>
      <c r="E481" s="69">
        <f ca="1">SUM(Insumo[[#This Row],[CAP1-3]:[CAP29]])</f>
        <v>0</v>
      </c>
      <c r="F481" s="69">
        <f ca="1">SUMIF('CAP1-3'!$B:$H,Insumo[[#This Row],[DESCRIPCION]],'CAP1-3'!$H:$H)</f>
        <v>0</v>
      </c>
      <c r="G481" s="69">
        <f ca="1">SUMIF('CAP4-5'!$B:$H,Insumo[[#This Row],[DESCRIPCION]],'CAP4-5'!$H:$H)</f>
        <v>0</v>
      </c>
      <c r="H481" s="69">
        <f ca="1">SUMIF('CAP6-7'!$B:$H,Insumo[[#This Row],[DESCRIPCION]],'CAP6-7'!$H:$H)</f>
        <v>0</v>
      </c>
      <c r="I481" s="69">
        <f ca="1">SUMIF('CAP8'!$B:$H,Insumo[[#This Row],[DESCRIPCION]],'CAP8'!$H:$H)</f>
        <v>0</v>
      </c>
      <c r="J481" s="69">
        <f ca="1">SUMIF('CAP9-13'!$B:$H,Insumo[[#This Row],[DESCRIPCION]],'CAP9-13'!$H:$H)</f>
        <v>0</v>
      </c>
      <c r="K481" s="69">
        <f ca="1">SUMIF('CAP14-15'!$B:$H,Insumo[[#This Row],[DESCRIPCION]],'CAP14-15'!$H:$H)</f>
        <v>0</v>
      </c>
      <c r="L481" s="69">
        <f ca="1">SUMIF('CAP16-18'!$B:$H,Insumo[[#This Row],[DESCRIPCION]],'CAP16-18'!$H:$H)</f>
        <v>0</v>
      </c>
      <c r="M481" s="69">
        <f ca="1">SUMIF('CAP19-22'!$B:$H,Insumo[[#This Row],[DESCRIPCION]],'CAP19-22'!$H:$H)</f>
        <v>0</v>
      </c>
      <c r="N481" s="69">
        <f ca="1">SUMIF('CAP23-24'!$B:$H,Insumo[[#This Row],[DESCRIPCION]],'CAP23-24'!$H:$H)</f>
        <v>0</v>
      </c>
      <c r="O481" s="69">
        <f ca="1">SUMIF('CAP25'!$B:$H,Insumo[[#This Row],[DESCRIPCION]],'CAP25'!$H:$H)</f>
        <v>0</v>
      </c>
      <c r="P481" s="69">
        <f ca="1">SUMIF('CAP26-28'!$B:$H,Insumo[[#This Row],[DESCRIPCION]],'CAP26-28'!$H:$H)</f>
        <v>0</v>
      </c>
      <c r="Q481" s="69">
        <f ca="1">SUMIF('CAP29'!$B:$H,Insumo[[#This Row],[DESCRIPCION]],'CAP29'!$H:$H)</f>
        <v>0</v>
      </c>
      <c r="R481" s="290"/>
      <c r="T481" s="136">
        <v>2201000</v>
      </c>
    </row>
    <row r="482" spans="1:20" ht="12" customHeight="1">
      <c r="A482" s="301" t="s">
        <v>3093</v>
      </c>
      <c r="B482" s="303" t="s">
        <v>23</v>
      </c>
      <c r="C482" s="304">
        <f t="shared" si="7"/>
        <v>2329950</v>
      </c>
      <c r="D482" s="281" cm="1">
        <f t="array" aca="1" ref="D482" ca="1">IF(Insumo[[#This Row],[VALOR]]=0,Insumo[TOTAL],E482/C482)</f>
        <v>0</v>
      </c>
      <c r="E482" s="69">
        <f ca="1">SUM(Insumo[[#This Row],[CAP1-3]:[CAP29]])</f>
        <v>0</v>
      </c>
      <c r="F482" s="69">
        <f ca="1">SUMIF('CAP1-3'!$B:$H,Insumo[[#This Row],[DESCRIPCION]],'CAP1-3'!$H:$H)</f>
        <v>0</v>
      </c>
      <c r="G482" s="69">
        <f ca="1">SUMIF('CAP4-5'!$B:$H,Insumo[[#This Row],[DESCRIPCION]],'CAP4-5'!$H:$H)</f>
        <v>0</v>
      </c>
      <c r="H482" s="69">
        <f ca="1">SUMIF('CAP6-7'!$B:$H,Insumo[[#This Row],[DESCRIPCION]],'CAP6-7'!$H:$H)</f>
        <v>0</v>
      </c>
      <c r="I482" s="69">
        <f ca="1">SUMIF('CAP8'!$B:$H,Insumo[[#This Row],[DESCRIPCION]],'CAP8'!$H:$H)</f>
        <v>0</v>
      </c>
      <c r="J482" s="69">
        <f ca="1">SUMIF('CAP9-13'!$B:$H,Insumo[[#This Row],[DESCRIPCION]],'CAP9-13'!$H:$H)</f>
        <v>0</v>
      </c>
      <c r="K482" s="69">
        <f ca="1">SUMIF('CAP14-15'!$B:$H,Insumo[[#This Row],[DESCRIPCION]],'CAP14-15'!$H:$H)</f>
        <v>0</v>
      </c>
      <c r="L482" s="69">
        <f ca="1">SUMIF('CAP16-18'!$B:$H,Insumo[[#This Row],[DESCRIPCION]],'CAP16-18'!$H:$H)</f>
        <v>0</v>
      </c>
      <c r="M482" s="69">
        <f ca="1">SUMIF('CAP19-22'!$B:$H,Insumo[[#This Row],[DESCRIPCION]],'CAP19-22'!$H:$H)</f>
        <v>0</v>
      </c>
      <c r="N482" s="69">
        <f ca="1">SUMIF('CAP23-24'!$B:$H,Insumo[[#This Row],[DESCRIPCION]],'CAP23-24'!$H:$H)</f>
        <v>0</v>
      </c>
      <c r="O482" s="69">
        <f ca="1">SUMIF('CAP25'!$B:$H,Insumo[[#This Row],[DESCRIPCION]],'CAP25'!$H:$H)</f>
        <v>0</v>
      </c>
      <c r="P482" s="69">
        <f ca="1">SUMIF('CAP26-28'!$B:$H,Insumo[[#This Row],[DESCRIPCION]],'CAP26-28'!$H:$H)</f>
        <v>0</v>
      </c>
      <c r="Q482" s="69">
        <f ca="1">SUMIF('CAP29'!$B:$H,Insumo[[#This Row],[DESCRIPCION]],'CAP29'!$H:$H)</f>
        <v>0</v>
      </c>
      <c r="R482" s="290"/>
      <c r="T482" s="136">
        <v>2219000</v>
      </c>
    </row>
    <row r="483" spans="1:20" ht="12" customHeight="1">
      <c r="A483" s="301" t="s">
        <v>3094</v>
      </c>
      <c r="B483" s="303" t="s">
        <v>23</v>
      </c>
      <c r="C483" s="304">
        <f t="shared" si="7"/>
        <v>2392950</v>
      </c>
      <c r="D483" s="281" cm="1">
        <f t="array" aca="1" ref="D483" ca="1">IF(Insumo[[#This Row],[VALOR]]=0,Insumo[TOTAL],E483/C483)</f>
        <v>0</v>
      </c>
      <c r="E483" s="69">
        <f ca="1">SUM(Insumo[[#This Row],[CAP1-3]:[CAP29]])</f>
        <v>0</v>
      </c>
      <c r="F483" s="69">
        <f ca="1">SUMIF('CAP1-3'!$B:$H,Insumo[[#This Row],[DESCRIPCION]],'CAP1-3'!$H:$H)</f>
        <v>0</v>
      </c>
      <c r="G483" s="69">
        <f ca="1">SUMIF('CAP4-5'!$B:$H,Insumo[[#This Row],[DESCRIPCION]],'CAP4-5'!$H:$H)</f>
        <v>0</v>
      </c>
      <c r="H483" s="69">
        <f ca="1">SUMIF('CAP6-7'!$B:$H,Insumo[[#This Row],[DESCRIPCION]],'CAP6-7'!$H:$H)</f>
        <v>0</v>
      </c>
      <c r="I483" s="69">
        <f ca="1">SUMIF('CAP8'!$B:$H,Insumo[[#This Row],[DESCRIPCION]],'CAP8'!$H:$H)</f>
        <v>0</v>
      </c>
      <c r="J483" s="69">
        <f ca="1">SUMIF('CAP9-13'!$B:$H,Insumo[[#This Row],[DESCRIPCION]],'CAP9-13'!$H:$H)</f>
        <v>0</v>
      </c>
      <c r="K483" s="69">
        <f ca="1">SUMIF('CAP14-15'!$B:$H,Insumo[[#This Row],[DESCRIPCION]],'CAP14-15'!$H:$H)</f>
        <v>0</v>
      </c>
      <c r="L483" s="69">
        <f ca="1">SUMIF('CAP16-18'!$B:$H,Insumo[[#This Row],[DESCRIPCION]],'CAP16-18'!$H:$H)</f>
        <v>0</v>
      </c>
      <c r="M483" s="69">
        <f ca="1">SUMIF('CAP19-22'!$B:$H,Insumo[[#This Row],[DESCRIPCION]],'CAP19-22'!$H:$H)</f>
        <v>0</v>
      </c>
      <c r="N483" s="69">
        <f ca="1">SUMIF('CAP23-24'!$B:$H,Insumo[[#This Row],[DESCRIPCION]],'CAP23-24'!$H:$H)</f>
        <v>0</v>
      </c>
      <c r="O483" s="69">
        <f ca="1">SUMIF('CAP25'!$B:$H,Insumo[[#This Row],[DESCRIPCION]],'CAP25'!$H:$H)</f>
        <v>0</v>
      </c>
      <c r="P483" s="69">
        <f ca="1">SUMIF('CAP26-28'!$B:$H,Insumo[[#This Row],[DESCRIPCION]],'CAP26-28'!$H:$H)</f>
        <v>0</v>
      </c>
      <c r="Q483" s="69">
        <f ca="1">SUMIF('CAP29'!$B:$H,Insumo[[#This Row],[DESCRIPCION]],'CAP29'!$H:$H)</f>
        <v>0</v>
      </c>
      <c r="R483" s="290"/>
      <c r="T483" s="136">
        <v>2279000</v>
      </c>
    </row>
    <row r="484" spans="1:20" ht="12" customHeight="1">
      <c r="A484" s="301" t="s">
        <v>3095</v>
      </c>
      <c r="B484" s="303" t="s">
        <v>23</v>
      </c>
      <c r="C484" s="304">
        <f t="shared" si="7"/>
        <v>2574600</v>
      </c>
      <c r="D484" s="281" cm="1">
        <f t="array" aca="1" ref="D484" ca="1">IF(Insumo[[#This Row],[VALOR]]=0,Insumo[TOTAL],E484/C484)</f>
        <v>0</v>
      </c>
      <c r="E484" s="69">
        <f ca="1">SUM(Insumo[[#This Row],[CAP1-3]:[CAP29]])</f>
        <v>0</v>
      </c>
      <c r="F484" s="69">
        <f ca="1">SUMIF('CAP1-3'!$B:$H,Insumo[[#This Row],[DESCRIPCION]],'CAP1-3'!$H:$H)</f>
        <v>0</v>
      </c>
      <c r="G484" s="69">
        <f ca="1">SUMIF('CAP4-5'!$B:$H,Insumo[[#This Row],[DESCRIPCION]],'CAP4-5'!$H:$H)</f>
        <v>0</v>
      </c>
      <c r="H484" s="69">
        <f ca="1">SUMIF('CAP6-7'!$B:$H,Insumo[[#This Row],[DESCRIPCION]],'CAP6-7'!$H:$H)</f>
        <v>0</v>
      </c>
      <c r="I484" s="69">
        <f ca="1">SUMIF('CAP8'!$B:$H,Insumo[[#This Row],[DESCRIPCION]],'CAP8'!$H:$H)</f>
        <v>0</v>
      </c>
      <c r="J484" s="69">
        <f ca="1">SUMIF('CAP9-13'!$B:$H,Insumo[[#This Row],[DESCRIPCION]],'CAP9-13'!$H:$H)</f>
        <v>0</v>
      </c>
      <c r="K484" s="69">
        <f ca="1">SUMIF('CAP14-15'!$B:$H,Insumo[[#This Row],[DESCRIPCION]],'CAP14-15'!$H:$H)</f>
        <v>0</v>
      </c>
      <c r="L484" s="69">
        <f ca="1">SUMIF('CAP16-18'!$B:$H,Insumo[[#This Row],[DESCRIPCION]],'CAP16-18'!$H:$H)</f>
        <v>0</v>
      </c>
      <c r="M484" s="69">
        <f ca="1">SUMIF('CAP19-22'!$B:$H,Insumo[[#This Row],[DESCRIPCION]],'CAP19-22'!$H:$H)</f>
        <v>0</v>
      </c>
      <c r="N484" s="69">
        <f ca="1">SUMIF('CAP23-24'!$B:$H,Insumo[[#This Row],[DESCRIPCION]],'CAP23-24'!$H:$H)</f>
        <v>0</v>
      </c>
      <c r="O484" s="69">
        <f ca="1">SUMIF('CAP25'!$B:$H,Insumo[[#This Row],[DESCRIPCION]],'CAP25'!$H:$H)</f>
        <v>0</v>
      </c>
      <c r="P484" s="69">
        <f ca="1">SUMIF('CAP26-28'!$B:$H,Insumo[[#This Row],[DESCRIPCION]],'CAP26-28'!$H:$H)</f>
        <v>0</v>
      </c>
      <c r="Q484" s="69">
        <f ca="1">SUMIF('CAP29'!$B:$H,Insumo[[#This Row],[DESCRIPCION]],'CAP29'!$H:$H)</f>
        <v>0</v>
      </c>
      <c r="R484" s="290"/>
      <c r="T484" s="136">
        <v>2452000</v>
      </c>
    </row>
    <row r="485" spans="1:20" ht="22.5" customHeight="1">
      <c r="A485" s="301" t="s">
        <v>3096</v>
      </c>
      <c r="B485" s="303" t="s">
        <v>23</v>
      </c>
      <c r="C485" s="304">
        <f t="shared" si="7"/>
        <v>403200</v>
      </c>
      <c r="D485" s="281" cm="1">
        <f t="array" aca="1" ref="D485" ca="1">IF(Insumo[[#This Row],[VALOR]]=0,Insumo[TOTAL],E485/C485)</f>
        <v>0</v>
      </c>
      <c r="E485" s="69">
        <f ca="1">SUM(Insumo[[#This Row],[CAP1-3]:[CAP29]])</f>
        <v>0</v>
      </c>
      <c r="F485" s="69">
        <f ca="1">SUMIF('CAP1-3'!$B:$H,Insumo[[#This Row],[DESCRIPCION]],'CAP1-3'!$H:$H)</f>
        <v>0</v>
      </c>
      <c r="G485" s="69">
        <f ca="1">SUMIF('CAP4-5'!$B:$H,Insumo[[#This Row],[DESCRIPCION]],'CAP4-5'!$H:$H)</f>
        <v>0</v>
      </c>
      <c r="H485" s="69">
        <f ca="1">SUMIF('CAP6-7'!$B:$H,Insumo[[#This Row],[DESCRIPCION]],'CAP6-7'!$H:$H)</f>
        <v>0</v>
      </c>
      <c r="I485" s="69">
        <f ca="1">SUMIF('CAP8'!$B:$H,Insumo[[#This Row],[DESCRIPCION]],'CAP8'!$H:$H)</f>
        <v>0</v>
      </c>
      <c r="J485" s="69">
        <f ca="1">SUMIF('CAP9-13'!$B:$H,Insumo[[#This Row],[DESCRIPCION]],'CAP9-13'!$H:$H)</f>
        <v>0</v>
      </c>
      <c r="K485" s="69">
        <f ca="1">SUMIF('CAP14-15'!$B:$H,Insumo[[#This Row],[DESCRIPCION]],'CAP14-15'!$H:$H)</f>
        <v>0</v>
      </c>
      <c r="L485" s="69">
        <f ca="1">SUMIF('CAP16-18'!$B:$H,Insumo[[#This Row],[DESCRIPCION]],'CAP16-18'!$H:$H)</f>
        <v>0</v>
      </c>
      <c r="M485" s="69">
        <f ca="1">SUMIF('CAP19-22'!$B:$H,Insumo[[#This Row],[DESCRIPCION]],'CAP19-22'!$H:$H)</f>
        <v>0</v>
      </c>
      <c r="N485" s="69">
        <f ca="1">SUMIF('CAP23-24'!$B:$H,Insumo[[#This Row],[DESCRIPCION]],'CAP23-24'!$H:$H)</f>
        <v>0</v>
      </c>
      <c r="O485" s="69">
        <f ca="1">SUMIF('CAP25'!$B:$H,Insumo[[#This Row],[DESCRIPCION]],'CAP25'!$H:$H)</f>
        <v>0</v>
      </c>
      <c r="P485" s="69">
        <f ca="1">SUMIF('CAP26-28'!$B:$H,Insumo[[#This Row],[DESCRIPCION]],'CAP26-28'!$H:$H)</f>
        <v>0</v>
      </c>
      <c r="Q485" s="69">
        <f ca="1">SUMIF('CAP29'!$B:$H,Insumo[[#This Row],[DESCRIPCION]],'CAP29'!$H:$H)</f>
        <v>0</v>
      </c>
      <c r="R485" s="290"/>
      <c r="T485" s="136">
        <v>384000</v>
      </c>
    </row>
    <row r="486" spans="1:20" ht="22.5" customHeight="1">
      <c r="A486" s="301" t="s">
        <v>3097</v>
      </c>
      <c r="B486" s="303" t="s">
        <v>23</v>
      </c>
      <c r="C486" s="304">
        <f t="shared" si="7"/>
        <v>456750</v>
      </c>
      <c r="D486" s="281" cm="1">
        <f t="array" aca="1" ref="D486" ca="1">IF(Insumo[[#This Row],[VALOR]]=0,Insumo[TOTAL],E486/C486)</f>
        <v>0</v>
      </c>
      <c r="E486" s="69">
        <f ca="1">SUM(Insumo[[#This Row],[CAP1-3]:[CAP29]])</f>
        <v>0</v>
      </c>
      <c r="F486" s="69">
        <f ca="1">SUMIF('CAP1-3'!$B:$H,Insumo[[#This Row],[DESCRIPCION]],'CAP1-3'!$H:$H)</f>
        <v>0</v>
      </c>
      <c r="G486" s="69">
        <f ca="1">SUMIF('CAP4-5'!$B:$H,Insumo[[#This Row],[DESCRIPCION]],'CAP4-5'!$H:$H)</f>
        <v>0</v>
      </c>
      <c r="H486" s="69">
        <f ca="1">SUMIF('CAP6-7'!$B:$H,Insumo[[#This Row],[DESCRIPCION]],'CAP6-7'!$H:$H)</f>
        <v>0</v>
      </c>
      <c r="I486" s="69">
        <f ca="1">SUMIF('CAP8'!$B:$H,Insumo[[#This Row],[DESCRIPCION]],'CAP8'!$H:$H)</f>
        <v>0</v>
      </c>
      <c r="J486" s="69">
        <f ca="1">SUMIF('CAP9-13'!$B:$H,Insumo[[#This Row],[DESCRIPCION]],'CAP9-13'!$H:$H)</f>
        <v>0</v>
      </c>
      <c r="K486" s="69">
        <f ca="1">SUMIF('CAP14-15'!$B:$H,Insumo[[#This Row],[DESCRIPCION]],'CAP14-15'!$H:$H)</f>
        <v>0</v>
      </c>
      <c r="L486" s="69">
        <f ca="1">SUMIF('CAP16-18'!$B:$H,Insumo[[#This Row],[DESCRIPCION]],'CAP16-18'!$H:$H)</f>
        <v>0</v>
      </c>
      <c r="M486" s="69">
        <f ca="1">SUMIF('CAP19-22'!$B:$H,Insumo[[#This Row],[DESCRIPCION]],'CAP19-22'!$H:$H)</f>
        <v>0</v>
      </c>
      <c r="N486" s="69">
        <f ca="1">SUMIF('CAP23-24'!$B:$H,Insumo[[#This Row],[DESCRIPCION]],'CAP23-24'!$H:$H)</f>
        <v>0</v>
      </c>
      <c r="O486" s="69">
        <f ca="1">SUMIF('CAP25'!$B:$H,Insumo[[#This Row],[DESCRIPCION]],'CAP25'!$H:$H)</f>
        <v>0</v>
      </c>
      <c r="P486" s="69">
        <f ca="1">SUMIF('CAP26-28'!$B:$H,Insumo[[#This Row],[DESCRIPCION]],'CAP26-28'!$H:$H)</f>
        <v>0</v>
      </c>
      <c r="Q486" s="69">
        <f ca="1">SUMIF('CAP29'!$B:$H,Insumo[[#This Row],[DESCRIPCION]],'CAP29'!$H:$H)</f>
        <v>0</v>
      </c>
      <c r="R486" s="290"/>
      <c r="T486" s="136">
        <v>435000</v>
      </c>
    </row>
    <row r="487" spans="1:20" ht="22.5" customHeight="1">
      <c r="A487" s="301" t="s">
        <v>3098</v>
      </c>
      <c r="B487" s="303" t="s">
        <v>23</v>
      </c>
      <c r="C487" s="304">
        <f t="shared" si="7"/>
        <v>546000</v>
      </c>
      <c r="D487" s="281" cm="1">
        <f t="array" aca="1" ref="D487" ca="1">IF(Insumo[[#This Row],[VALOR]]=0,Insumo[TOTAL],E487/C487)</f>
        <v>0</v>
      </c>
      <c r="E487" s="69">
        <f ca="1">SUM(Insumo[[#This Row],[CAP1-3]:[CAP29]])</f>
        <v>0</v>
      </c>
      <c r="F487" s="69">
        <f ca="1">SUMIF('CAP1-3'!$B:$H,Insumo[[#This Row],[DESCRIPCION]],'CAP1-3'!$H:$H)</f>
        <v>0</v>
      </c>
      <c r="G487" s="69">
        <f ca="1">SUMIF('CAP4-5'!$B:$H,Insumo[[#This Row],[DESCRIPCION]],'CAP4-5'!$H:$H)</f>
        <v>0</v>
      </c>
      <c r="H487" s="69">
        <f ca="1">SUMIF('CAP6-7'!$B:$H,Insumo[[#This Row],[DESCRIPCION]],'CAP6-7'!$H:$H)</f>
        <v>0</v>
      </c>
      <c r="I487" s="69">
        <f ca="1">SUMIF('CAP8'!$B:$H,Insumo[[#This Row],[DESCRIPCION]],'CAP8'!$H:$H)</f>
        <v>0</v>
      </c>
      <c r="J487" s="69">
        <f ca="1">SUMIF('CAP9-13'!$B:$H,Insumo[[#This Row],[DESCRIPCION]],'CAP9-13'!$H:$H)</f>
        <v>0</v>
      </c>
      <c r="K487" s="69">
        <f ca="1">SUMIF('CAP14-15'!$B:$H,Insumo[[#This Row],[DESCRIPCION]],'CAP14-15'!$H:$H)</f>
        <v>0</v>
      </c>
      <c r="L487" s="69">
        <f ca="1">SUMIF('CAP16-18'!$B:$H,Insumo[[#This Row],[DESCRIPCION]],'CAP16-18'!$H:$H)</f>
        <v>0</v>
      </c>
      <c r="M487" s="69">
        <f ca="1">SUMIF('CAP19-22'!$B:$H,Insumo[[#This Row],[DESCRIPCION]],'CAP19-22'!$H:$H)</f>
        <v>0</v>
      </c>
      <c r="N487" s="69">
        <f ca="1">SUMIF('CAP23-24'!$B:$H,Insumo[[#This Row],[DESCRIPCION]],'CAP23-24'!$H:$H)</f>
        <v>0</v>
      </c>
      <c r="O487" s="69">
        <f ca="1">SUMIF('CAP25'!$B:$H,Insumo[[#This Row],[DESCRIPCION]],'CAP25'!$H:$H)</f>
        <v>0</v>
      </c>
      <c r="P487" s="69">
        <f ca="1">SUMIF('CAP26-28'!$B:$H,Insumo[[#This Row],[DESCRIPCION]],'CAP26-28'!$H:$H)</f>
        <v>0</v>
      </c>
      <c r="Q487" s="69">
        <f ca="1">SUMIF('CAP29'!$B:$H,Insumo[[#This Row],[DESCRIPCION]],'CAP29'!$H:$H)</f>
        <v>0</v>
      </c>
      <c r="R487" s="290"/>
      <c r="T487" s="136">
        <v>520000</v>
      </c>
    </row>
    <row r="488" spans="1:20" ht="22.5" customHeight="1">
      <c r="A488" s="301" t="s">
        <v>3099</v>
      </c>
      <c r="B488" s="303" t="s">
        <v>23</v>
      </c>
      <c r="C488" s="304">
        <f t="shared" si="7"/>
        <v>670950</v>
      </c>
      <c r="D488" s="281" cm="1">
        <f t="array" aca="1" ref="D488" ca="1">IF(Insumo[[#This Row],[VALOR]]=0,Insumo[TOTAL],E488/C488)</f>
        <v>0</v>
      </c>
      <c r="E488" s="69">
        <f ca="1">SUM(Insumo[[#This Row],[CAP1-3]:[CAP29]])</f>
        <v>0</v>
      </c>
      <c r="F488" s="69">
        <f ca="1">SUMIF('CAP1-3'!$B:$H,Insumo[[#This Row],[DESCRIPCION]],'CAP1-3'!$H:$H)</f>
        <v>0</v>
      </c>
      <c r="G488" s="69">
        <f ca="1">SUMIF('CAP4-5'!$B:$H,Insumo[[#This Row],[DESCRIPCION]],'CAP4-5'!$H:$H)</f>
        <v>0</v>
      </c>
      <c r="H488" s="69">
        <f ca="1">SUMIF('CAP6-7'!$B:$H,Insumo[[#This Row],[DESCRIPCION]],'CAP6-7'!$H:$H)</f>
        <v>0</v>
      </c>
      <c r="I488" s="69">
        <f ca="1">SUMIF('CAP8'!$B:$H,Insumo[[#This Row],[DESCRIPCION]],'CAP8'!$H:$H)</f>
        <v>0</v>
      </c>
      <c r="J488" s="69">
        <f ca="1">SUMIF('CAP9-13'!$B:$H,Insumo[[#This Row],[DESCRIPCION]],'CAP9-13'!$H:$H)</f>
        <v>0</v>
      </c>
      <c r="K488" s="69">
        <f ca="1">SUMIF('CAP14-15'!$B:$H,Insumo[[#This Row],[DESCRIPCION]],'CAP14-15'!$H:$H)</f>
        <v>0</v>
      </c>
      <c r="L488" s="69">
        <f ca="1">SUMIF('CAP16-18'!$B:$H,Insumo[[#This Row],[DESCRIPCION]],'CAP16-18'!$H:$H)</f>
        <v>0</v>
      </c>
      <c r="M488" s="69">
        <f ca="1">SUMIF('CAP19-22'!$B:$H,Insumo[[#This Row],[DESCRIPCION]],'CAP19-22'!$H:$H)</f>
        <v>0</v>
      </c>
      <c r="N488" s="69">
        <f ca="1">SUMIF('CAP23-24'!$B:$H,Insumo[[#This Row],[DESCRIPCION]],'CAP23-24'!$H:$H)</f>
        <v>0</v>
      </c>
      <c r="O488" s="69">
        <f ca="1">SUMIF('CAP25'!$B:$H,Insumo[[#This Row],[DESCRIPCION]],'CAP25'!$H:$H)</f>
        <v>0</v>
      </c>
      <c r="P488" s="69">
        <f ca="1">SUMIF('CAP26-28'!$B:$H,Insumo[[#This Row],[DESCRIPCION]],'CAP26-28'!$H:$H)</f>
        <v>0</v>
      </c>
      <c r="Q488" s="69">
        <f ca="1">SUMIF('CAP29'!$B:$H,Insumo[[#This Row],[DESCRIPCION]],'CAP29'!$H:$H)</f>
        <v>0</v>
      </c>
      <c r="R488" s="290"/>
      <c r="T488" s="136">
        <v>639000</v>
      </c>
    </row>
    <row r="489" spans="1:20" ht="22.5" customHeight="1">
      <c r="A489" s="301" t="s">
        <v>3100</v>
      </c>
      <c r="B489" s="303" t="s">
        <v>23</v>
      </c>
      <c r="C489" s="304">
        <f t="shared" si="7"/>
        <v>901950</v>
      </c>
      <c r="D489" s="281" cm="1">
        <f t="array" aca="1" ref="D489" ca="1">IF(Insumo[[#This Row],[VALOR]]=0,Insumo[TOTAL],E489/C489)</f>
        <v>0</v>
      </c>
      <c r="E489" s="69">
        <f ca="1">SUM(Insumo[[#This Row],[CAP1-3]:[CAP29]])</f>
        <v>0</v>
      </c>
      <c r="F489" s="69">
        <f ca="1">SUMIF('CAP1-3'!$B:$H,Insumo[[#This Row],[DESCRIPCION]],'CAP1-3'!$H:$H)</f>
        <v>0</v>
      </c>
      <c r="G489" s="69">
        <f ca="1">SUMIF('CAP4-5'!$B:$H,Insumo[[#This Row],[DESCRIPCION]],'CAP4-5'!$H:$H)</f>
        <v>0</v>
      </c>
      <c r="H489" s="69">
        <f ca="1">SUMIF('CAP6-7'!$B:$H,Insumo[[#This Row],[DESCRIPCION]],'CAP6-7'!$H:$H)</f>
        <v>0</v>
      </c>
      <c r="I489" s="69">
        <f ca="1">SUMIF('CAP8'!$B:$H,Insumo[[#This Row],[DESCRIPCION]],'CAP8'!$H:$H)</f>
        <v>0</v>
      </c>
      <c r="J489" s="69">
        <f ca="1">SUMIF('CAP9-13'!$B:$H,Insumo[[#This Row],[DESCRIPCION]],'CAP9-13'!$H:$H)</f>
        <v>0</v>
      </c>
      <c r="K489" s="69">
        <f ca="1">SUMIF('CAP14-15'!$B:$H,Insumo[[#This Row],[DESCRIPCION]],'CAP14-15'!$H:$H)</f>
        <v>0</v>
      </c>
      <c r="L489" s="69">
        <f ca="1">SUMIF('CAP16-18'!$B:$H,Insumo[[#This Row],[DESCRIPCION]],'CAP16-18'!$H:$H)</f>
        <v>0</v>
      </c>
      <c r="M489" s="69">
        <f ca="1">SUMIF('CAP19-22'!$B:$H,Insumo[[#This Row],[DESCRIPCION]],'CAP19-22'!$H:$H)</f>
        <v>0</v>
      </c>
      <c r="N489" s="69">
        <f ca="1">SUMIF('CAP23-24'!$B:$H,Insumo[[#This Row],[DESCRIPCION]],'CAP23-24'!$H:$H)</f>
        <v>0</v>
      </c>
      <c r="O489" s="69">
        <f ca="1">SUMIF('CAP25'!$B:$H,Insumo[[#This Row],[DESCRIPCION]],'CAP25'!$H:$H)</f>
        <v>0</v>
      </c>
      <c r="P489" s="69">
        <f ca="1">SUMIF('CAP26-28'!$B:$H,Insumo[[#This Row],[DESCRIPCION]],'CAP26-28'!$H:$H)</f>
        <v>0</v>
      </c>
      <c r="Q489" s="69">
        <f ca="1">SUMIF('CAP29'!$B:$H,Insumo[[#This Row],[DESCRIPCION]],'CAP29'!$H:$H)</f>
        <v>0</v>
      </c>
      <c r="R489" s="290"/>
      <c r="T489" s="136">
        <v>859000</v>
      </c>
    </row>
    <row r="490" spans="1:20" ht="24" customHeight="1">
      <c r="A490" s="301" t="s">
        <v>3101</v>
      </c>
      <c r="B490" s="303" t="s">
        <v>23</v>
      </c>
      <c r="C490" s="304">
        <f t="shared" si="7"/>
        <v>134190</v>
      </c>
      <c r="D490" s="281" cm="1">
        <f t="array" aca="1" ref="D490" ca="1">IF(Insumo[[#This Row],[VALOR]]=0,Insumo[TOTAL],E490/C490)</f>
        <v>0</v>
      </c>
      <c r="E490" s="69">
        <f ca="1">SUM(Insumo[[#This Row],[CAP1-3]:[CAP29]])</f>
        <v>0</v>
      </c>
      <c r="F490" s="69">
        <f ca="1">SUMIF('CAP1-3'!$B:$H,Insumo[[#This Row],[DESCRIPCION]],'CAP1-3'!$H:$H)</f>
        <v>0</v>
      </c>
      <c r="G490" s="69">
        <f ca="1">SUMIF('CAP4-5'!$B:$H,Insumo[[#This Row],[DESCRIPCION]],'CAP4-5'!$H:$H)</f>
        <v>0</v>
      </c>
      <c r="H490" s="69">
        <f ca="1">SUMIF('CAP6-7'!$B:$H,Insumo[[#This Row],[DESCRIPCION]],'CAP6-7'!$H:$H)</f>
        <v>0</v>
      </c>
      <c r="I490" s="69">
        <f ca="1">SUMIF('CAP8'!$B:$H,Insumo[[#This Row],[DESCRIPCION]],'CAP8'!$H:$H)</f>
        <v>0</v>
      </c>
      <c r="J490" s="69">
        <f ca="1">SUMIF('CAP9-13'!$B:$H,Insumo[[#This Row],[DESCRIPCION]],'CAP9-13'!$H:$H)</f>
        <v>0</v>
      </c>
      <c r="K490" s="69">
        <f ca="1">SUMIF('CAP14-15'!$B:$H,Insumo[[#This Row],[DESCRIPCION]],'CAP14-15'!$H:$H)</f>
        <v>0</v>
      </c>
      <c r="L490" s="69">
        <f ca="1">SUMIF('CAP16-18'!$B:$H,Insumo[[#This Row],[DESCRIPCION]],'CAP16-18'!$H:$H)</f>
        <v>0</v>
      </c>
      <c r="M490" s="69">
        <f ca="1">SUMIF('CAP19-22'!$B:$H,Insumo[[#This Row],[DESCRIPCION]],'CAP19-22'!$H:$H)</f>
        <v>0</v>
      </c>
      <c r="N490" s="69">
        <f ca="1">SUMIF('CAP23-24'!$B:$H,Insumo[[#This Row],[DESCRIPCION]],'CAP23-24'!$H:$H)</f>
        <v>0</v>
      </c>
      <c r="O490" s="69">
        <f ca="1">SUMIF('CAP25'!$B:$H,Insumo[[#This Row],[DESCRIPCION]],'CAP25'!$H:$H)</f>
        <v>0</v>
      </c>
      <c r="P490" s="69">
        <f ca="1">SUMIF('CAP26-28'!$B:$H,Insumo[[#This Row],[DESCRIPCION]],'CAP26-28'!$H:$H)</f>
        <v>0</v>
      </c>
      <c r="Q490" s="69">
        <f ca="1">SUMIF('CAP29'!$B:$H,Insumo[[#This Row],[DESCRIPCION]],'CAP29'!$H:$H)</f>
        <v>0</v>
      </c>
      <c r="R490" s="290"/>
      <c r="T490" s="136">
        <v>127800</v>
      </c>
    </row>
    <row r="491" spans="1:20" ht="24.75" customHeight="1">
      <c r="A491" s="301" t="s">
        <v>3102</v>
      </c>
      <c r="B491" s="303" t="s">
        <v>23</v>
      </c>
      <c r="C491" s="304">
        <f t="shared" si="7"/>
        <v>255874.5</v>
      </c>
      <c r="D491" s="281" cm="1">
        <f t="array" aca="1" ref="D491" ca="1">IF(Insumo[[#This Row],[VALOR]]=0,Insumo[TOTAL],E491/C491)</f>
        <v>0</v>
      </c>
      <c r="E491" s="69">
        <f ca="1">SUM(Insumo[[#This Row],[CAP1-3]:[CAP29]])</f>
        <v>0</v>
      </c>
      <c r="F491" s="69">
        <f ca="1">SUMIF('CAP1-3'!$B:$H,Insumo[[#This Row],[DESCRIPCION]],'CAP1-3'!$H:$H)</f>
        <v>0</v>
      </c>
      <c r="G491" s="69">
        <f ca="1">SUMIF('CAP4-5'!$B:$H,Insumo[[#This Row],[DESCRIPCION]],'CAP4-5'!$H:$H)</f>
        <v>0</v>
      </c>
      <c r="H491" s="69">
        <f ca="1">SUMIF('CAP6-7'!$B:$H,Insumo[[#This Row],[DESCRIPCION]],'CAP6-7'!$H:$H)</f>
        <v>0</v>
      </c>
      <c r="I491" s="69">
        <f ca="1">SUMIF('CAP8'!$B:$H,Insumo[[#This Row],[DESCRIPCION]],'CAP8'!$H:$H)</f>
        <v>0</v>
      </c>
      <c r="J491" s="69">
        <f ca="1">SUMIF('CAP9-13'!$B:$H,Insumo[[#This Row],[DESCRIPCION]],'CAP9-13'!$H:$H)</f>
        <v>0</v>
      </c>
      <c r="K491" s="69">
        <f ca="1">SUMIF('CAP14-15'!$B:$H,Insumo[[#This Row],[DESCRIPCION]],'CAP14-15'!$H:$H)</f>
        <v>0</v>
      </c>
      <c r="L491" s="69">
        <f ca="1">SUMIF('CAP16-18'!$B:$H,Insumo[[#This Row],[DESCRIPCION]],'CAP16-18'!$H:$H)</f>
        <v>0</v>
      </c>
      <c r="M491" s="69">
        <f ca="1">SUMIF('CAP19-22'!$B:$H,Insumo[[#This Row],[DESCRIPCION]],'CAP19-22'!$H:$H)</f>
        <v>0</v>
      </c>
      <c r="N491" s="69">
        <f ca="1">SUMIF('CAP23-24'!$B:$H,Insumo[[#This Row],[DESCRIPCION]],'CAP23-24'!$H:$H)</f>
        <v>0</v>
      </c>
      <c r="O491" s="69">
        <f ca="1">SUMIF('CAP25'!$B:$H,Insumo[[#This Row],[DESCRIPCION]],'CAP25'!$H:$H)</f>
        <v>0</v>
      </c>
      <c r="P491" s="69">
        <f ca="1">SUMIF('CAP26-28'!$B:$H,Insumo[[#This Row],[DESCRIPCION]],'CAP26-28'!$H:$H)</f>
        <v>0</v>
      </c>
      <c r="Q491" s="69">
        <f ca="1">SUMIF('CAP29'!$B:$H,Insumo[[#This Row],[DESCRIPCION]],'CAP29'!$H:$H)</f>
        <v>0</v>
      </c>
      <c r="R491" s="290"/>
      <c r="T491" s="136">
        <v>243690</v>
      </c>
    </row>
    <row r="492" spans="1:20" ht="24.75" customHeight="1">
      <c r="A492" s="301" t="s">
        <v>3103</v>
      </c>
      <c r="B492" s="303" t="s">
        <v>23</v>
      </c>
      <c r="C492" s="304">
        <f t="shared" si="7"/>
        <v>366588.60000000003</v>
      </c>
      <c r="D492" s="281" cm="1">
        <f t="array" aca="1" ref="D492" ca="1">IF(Insumo[[#This Row],[VALOR]]=0,Insumo[TOTAL],E492/C492)</f>
        <v>0</v>
      </c>
      <c r="E492" s="69">
        <f ca="1">SUM(Insumo[[#This Row],[CAP1-3]:[CAP29]])</f>
        <v>0</v>
      </c>
      <c r="F492" s="69">
        <f ca="1">SUMIF('CAP1-3'!$B:$H,Insumo[[#This Row],[DESCRIPCION]],'CAP1-3'!$H:$H)</f>
        <v>0</v>
      </c>
      <c r="G492" s="69">
        <f ca="1">SUMIF('CAP4-5'!$B:$H,Insumo[[#This Row],[DESCRIPCION]],'CAP4-5'!$H:$H)</f>
        <v>0</v>
      </c>
      <c r="H492" s="69">
        <f ca="1">SUMIF('CAP6-7'!$B:$H,Insumo[[#This Row],[DESCRIPCION]],'CAP6-7'!$H:$H)</f>
        <v>0</v>
      </c>
      <c r="I492" s="69">
        <f ca="1">SUMIF('CAP8'!$B:$H,Insumo[[#This Row],[DESCRIPCION]],'CAP8'!$H:$H)</f>
        <v>0</v>
      </c>
      <c r="J492" s="69">
        <f ca="1">SUMIF('CAP9-13'!$B:$H,Insumo[[#This Row],[DESCRIPCION]],'CAP9-13'!$H:$H)</f>
        <v>0</v>
      </c>
      <c r="K492" s="69">
        <f ca="1">SUMIF('CAP14-15'!$B:$H,Insumo[[#This Row],[DESCRIPCION]],'CAP14-15'!$H:$H)</f>
        <v>0</v>
      </c>
      <c r="L492" s="69">
        <f ca="1">SUMIF('CAP16-18'!$B:$H,Insumo[[#This Row],[DESCRIPCION]],'CAP16-18'!$H:$H)</f>
        <v>0</v>
      </c>
      <c r="M492" s="69">
        <f ca="1">SUMIF('CAP19-22'!$B:$H,Insumo[[#This Row],[DESCRIPCION]],'CAP19-22'!$H:$H)</f>
        <v>0</v>
      </c>
      <c r="N492" s="69">
        <f ca="1">SUMIF('CAP23-24'!$B:$H,Insumo[[#This Row],[DESCRIPCION]],'CAP23-24'!$H:$H)</f>
        <v>0</v>
      </c>
      <c r="O492" s="69">
        <f ca="1">SUMIF('CAP25'!$B:$H,Insumo[[#This Row],[DESCRIPCION]],'CAP25'!$H:$H)</f>
        <v>0</v>
      </c>
      <c r="P492" s="69">
        <f ca="1">SUMIF('CAP26-28'!$B:$H,Insumo[[#This Row],[DESCRIPCION]],'CAP26-28'!$H:$H)</f>
        <v>0</v>
      </c>
      <c r="Q492" s="69">
        <f ca="1">SUMIF('CAP29'!$B:$H,Insumo[[#This Row],[DESCRIPCION]],'CAP29'!$H:$H)</f>
        <v>0</v>
      </c>
      <c r="R492" s="290"/>
      <c r="T492" s="136">
        <v>349132</v>
      </c>
    </row>
    <row r="493" spans="1:20">
      <c r="A493" s="301" t="s">
        <v>3104</v>
      </c>
      <c r="B493" s="303" t="s">
        <v>23</v>
      </c>
      <c r="C493" s="304">
        <f t="shared" si="7"/>
        <v>131250</v>
      </c>
      <c r="D493" s="281" cm="1">
        <f t="array" aca="1" ref="D493" ca="1">IF(Insumo[[#This Row],[VALOR]]=0,Insumo[TOTAL],E493/C493)</f>
        <v>0</v>
      </c>
      <c r="E493" s="69">
        <f ca="1">SUM(Insumo[[#This Row],[CAP1-3]:[CAP29]])</f>
        <v>0</v>
      </c>
      <c r="F493" s="69">
        <f ca="1">SUMIF('CAP1-3'!$B:$H,Insumo[[#This Row],[DESCRIPCION]],'CAP1-3'!$H:$H)</f>
        <v>0</v>
      </c>
      <c r="G493" s="69">
        <f ca="1">SUMIF('CAP4-5'!$B:$H,Insumo[[#This Row],[DESCRIPCION]],'CAP4-5'!$H:$H)</f>
        <v>0</v>
      </c>
      <c r="H493" s="69">
        <f ca="1">SUMIF('CAP6-7'!$B:$H,Insumo[[#This Row],[DESCRIPCION]],'CAP6-7'!$H:$H)</f>
        <v>0</v>
      </c>
      <c r="I493" s="69">
        <f ca="1">SUMIF('CAP8'!$B:$H,Insumo[[#This Row],[DESCRIPCION]],'CAP8'!$H:$H)</f>
        <v>0</v>
      </c>
      <c r="J493" s="69">
        <f ca="1">SUMIF('CAP9-13'!$B:$H,Insumo[[#This Row],[DESCRIPCION]],'CAP9-13'!$H:$H)</f>
        <v>0</v>
      </c>
      <c r="K493" s="69">
        <f ca="1">SUMIF('CAP14-15'!$B:$H,Insumo[[#This Row],[DESCRIPCION]],'CAP14-15'!$H:$H)</f>
        <v>0</v>
      </c>
      <c r="L493" s="69">
        <f ca="1">SUMIF('CAP16-18'!$B:$H,Insumo[[#This Row],[DESCRIPCION]],'CAP16-18'!$H:$H)</f>
        <v>0</v>
      </c>
      <c r="M493" s="69">
        <f ca="1">SUMIF('CAP19-22'!$B:$H,Insumo[[#This Row],[DESCRIPCION]],'CAP19-22'!$H:$H)</f>
        <v>0</v>
      </c>
      <c r="N493" s="69">
        <f ca="1">SUMIF('CAP23-24'!$B:$H,Insumo[[#This Row],[DESCRIPCION]],'CAP23-24'!$H:$H)</f>
        <v>0</v>
      </c>
      <c r="O493" s="69">
        <f ca="1">SUMIF('CAP25'!$B:$H,Insumo[[#This Row],[DESCRIPCION]],'CAP25'!$H:$H)</f>
        <v>0</v>
      </c>
      <c r="P493" s="69">
        <f ca="1">SUMIF('CAP26-28'!$B:$H,Insumo[[#This Row],[DESCRIPCION]],'CAP26-28'!$H:$H)</f>
        <v>0</v>
      </c>
      <c r="Q493" s="69">
        <f ca="1">SUMIF('CAP29'!$B:$H,Insumo[[#This Row],[DESCRIPCION]],'CAP29'!$H:$H)</f>
        <v>0</v>
      </c>
      <c r="R493" s="290"/>
      <c r="T493" s="136">
        <v>125000</v>
      </c>
    </row>
    <row r="494" spans="1:20" ht="12" customHeight="1">
      <c r="A494" s="301" t="s">
        <v>3105</v>
      </c>
      <c r="B494" s="303" t="s">
        <v>23</v>
      </c>
      <c r="C494" s="304">
        <f t="shared" si="7"/>
        <v>199290</v>
      </c>
      <c r="D494" s="281" cm="1">
        <f t="array" aca="1" ref="D494" ca="1">IF(Insumo[[#This Row],[VALOR]]=0,Insumo[TOTAL],E494/C494)</f>
        <v>0</v>
      </c>
      <c r="E494" s="69">
        <f ca="1">SUM(Insumo[[#This Row],[CAP1-3]:[CAP29]])</f>
        <v>0</v>
      </c>
      <c r="F494" s="69">
        <f ca="1">SUMIF('CAP1-3'!$B:$H,Insumo[[#This Row],[DESCRIPCION]],'CAP1-3'!$H:$H)</f>
        <v>0</v>
      </c>
      <c r="G494" s="69">
        <f ca="1">SUMIF('CAP4-5'!$B:$H,Insumo[[#This Row],[DESCRIPCION]],'CAP4-5'!$H:$H)</f>
        <v>0</v>
      </c>
      <c r="H494" s="69">
        <f ca="1">SUMIF('CAP6-7'!$B:$H,Insumo[[#This Row],[DESCRIPCION]],'CAP6-7'!$H:$H)</f>
        <v>0</v>
      </c>
      <c r="I494" s="69">
        <f ca="1">SUMIF('CAP8'!$B:$H,Insumo[[#This Row],[DESCRIPCION]],'CAP8'!$H:$H)</f>
        <v>0</v>
      </c>
      <c r="J494" s="69">
        <f ca="1">SUMIF('CAP9-13'!$B:$H,Insumo[[#This Row],[DESCRIPCION]],'CAP9-13'!$H:$H)</f>
        <v>0</v>
      </c>
      <c r="K494" s="69">
        <f ca="1">SUMIF('CAP14-15'!$B:$H,Insumo[[#This Row],[DESCRIPCION]],'CAP14-15'!$H:$H)</f>
        <v>0</v>
      </c>
      <c r="L494" s="69">
        <f ca="1">SUMIF('CAP16-18'!$B:$H,Insumo[[#This Row],[DESCRIPCION]],'CAP16-18'!$H:$H)</f>
        <v>0</v>
      </c>
      <c r="M494" s="69">
        <f ca="1">SUMIF('CAP19-22'!$B:$H,Insumo[[#This Row],[DESCRIPCION]],'CAP19-22'!$H:$H)</f>
        <v>0</v>
      </c>
      <c r="N494" s="69">
        <f ca="1">SUMIF('CAP23-24'!$B:$H,Insumo[[#This Row],[DESCRIPCION]],'CAP23-24'!$H:$H)</f>
        <v>0</v>
      </c>
      <c r="O494" s="69">
        <f ca="1">SUMIF('CAP25'!$B:$H,Insumo[[#This Row],[DESCRIPCION]],'CAP25'!$H:$H)</f>
        <v>0</v>
      </c>
      <c r="P494" s="69">
        <f ca="1">SUMIF('CAP26-28'!$B:$H,Insumo[[#This Row],[DESCRIPCION]],'CAP26-28'!$H:$H)</f>
        <v>0</v>
      </c>
      <c r="Q494" s="69">
        <f ca="1">SUMIF('CAP29'!$B:$H,Insumo[[#This Row],[DESCRIPCION]],'CAP29'!$H:$H)</f>
        <v>0</v>
      </c>
      <c r="R494" s="290"/>
      <c r="T494" s="136">
        <v>189800</v>
      </c>
    </row>
    <row r="495" spans="1:20" ht="12" customHeight="1">
      <c r="A495" s="301" t="s">
        <v>3106</v>
      </c>
      <c r="B495" s="303" t="s">
        <v>23</v>
      </c>
      <c r="C495" s="304">
        <f t="shared" si="7"/>
        <v>411838.875</v>
      </c>
      <c r="D495" s="281" cm="1">
        <f t="array" aca="1" ref="D495" ca="1">IF(Insumo[[#This Row],[VALOR]]=0,Insumo[TOTAL],E495/C495)</f>
        <v>0</v>
      </c>
      <c r="E495" s="69">
        <f ca="1">SUM(Insumo[[#This Row],[CAP1-3]:[CAP29]])</f>
        <v>0</v>
      </c>
      <c r="F495" s="69">
        <f ca="1">SUMIF('CAP1-3'!$B:$H,Insumo[[#This Row],[DESCRIPCION]],'CAP1-3'!$H:$H)</f>
        <v>0</v>
      </c>
      <c r="G495" s="69">
        <f ca="1">SUMIF('CAP4-5'!$B:$H,Insumo[[#This Row],[DESCRIPCION]],'CAP4-5'!$H:$H)</f>
        <v>0</v>
      </c>
      <c r="H495" s="69">
        <f ca="1">SUMIF('CAP6-7'!$B:$H,Insumo[[#This Row],[DESCRIPCION]],'CAP6-7'!$H:$H)</f>
        <v>0</v>
      </c>
      <c r="I495" s="69">
        <f ca="1">SUMIF('CAP8'!$B:$H,Insumo[[#This Row],[DESCRIPCION]],'CAP8'!$H:$H)</f>
        <v>0</v>
      </c>
      <c r="J495" s="69">
        <f ca="1">SUMIF('CAP9-13'!$B:$H,Insumo[[#This Row],[DESCRIPCION]],'CAP9-13'!$H:$H)</f>
        <v>0</v>
      </c>
      <c r="K495" s="69">
        <f ca="1">SUMIF('CAP14-15'!$B:$H,Insumo[[#This Row],[DESCRIPCION]],'CAP14-15'!$H:$H)</f>
        <v>0</v>
      </c>
      <c r="L495" s="69">
        <f ca="1">SUMIF('CAP16-18'!$B:$H,Insumo[[#This Row],[DESCRIPCION]],'CAP16-18'!$H:$H)</f>
        <v>0</v>
      </c>
      <c r="M495" s="69">
        <f ca="1">SUMIF('CAP19-22'!$B:$H,Insumo[[#This Row],[DESCRIPCION]],'CAP19-22'!$H:$H)</f>
        <v>0</v>
      </c>
      <c r="N495" s="69">
        <f ca="1">SUMIF('CAP23-24'!$B:$H,Insumo[[#This Row],[DESCRIPCION]],'CAP23-24'!$H:$H)</f>
        <v>0</v>
      </c>
      <c r="O495" s="69">
        <f ca="1">SUMIF('CAP25'!$B:$H,Insumo[[#This Row],[DESCRIPCION]],'CAP25'!$H:$H)</f>
        <v>0</v>
      </c>
      <c r="P495" s="69">
        <f ca="1">SUMIF('CAP26-28'!$B:$H,Insumo[[#This Row],[DESCRIPCION]],'CAP26-28'!$H:$H)</f>
        <v>0</v>
      </c>
      <c r="Q495" s="69">
        <f ca="1">SUMIF('CAP29'!$B:$H,Insumo[[#This Row],[DESCRIPCION]],'CAP29'!$H:$H)</f>
        <v>0</v>
      </c>
      <c r="R495" s="290"/>
      <c r="T495" s="136">
        <v>392227.5</v>
      </c>
    </row>
    <row r="496" spans="1:20" ht="12" customHeight="1">
      <c r="A496" s="301" t="s">
        <v>3107</v>
      </c>
      <c r="B496" s="303" t="s">
        <v>23</v>
      </c>
      <c r="C496" s="304">
        <f t="shared" si="7"/>
        <v>486150</v>
      </c>
      <c r="D496" s="281" cm="1">
        <f t="array" aca="1" ref="D496" ca="1">IF(Insumo[[#This Row],[VALOR]]=0,Insumo[TOTAL],E496/C496)</f>
        <v>0</v>
      </c>
      <c r="E496" s="69">
        <f ca="1">SUM(Insumo[[#This Row],[CAP1-3]:[CAP29]])</f>
        <v>0</v>
      </c>
      <c r="F496" s="69">
        <f ca="1">SUMIF('CAP1-3'!$B:$H,Insumo[[#This Row],[DESCRIPCION]],'CAP1-3'!$H:$H)</f>
        <v>0</v>
      </c>
      <c r="G496" s="69">
        <f ca="1">SUMIF('CAP4-5'!$B:$H,Insumo[[#This Row],[DESCRIPCION]],'CAP4-5'!$H:$H)</f>
        <v>0</v>
      </c>
      <c r="H496" s="69">
        <f ca="1">SUMIF('CAP6-7'!$B:$H,Insumo[[#This Row],[DESCRIPCION]],'CAP6-7'!$H:$H)</f>
        <v>0</v>
      </c>
      <c r="I496" s="69">
        <f ca="1">SUMIF('CAP8'!$B:$H,Insumo[[#This Row],[DESCRIPCION]],'CAP8'!$H:$H)</f>
        <v>0</v>
      </c>
      <c r="J496" s="69">
        <f ca="1">SUMIF('CAP9-13'!$B:$H,Insumo[[#This Row],[DESCRIPCION]],'CAP9-13'!$H:$H)</f>
        <v>0</v>
      </c>
      <c r="K496" s="69">
        <f ca="1">SUMIF('CAP14-15'!$B:$H,Insumo[[#This Row],[DESCRIPCION]],'CAP14-15'!$H:$H)</f>
        <v>0</v>
      </c>
      <c r="L496" s="69">
        <f ca="1">SUMIF('CAP16-18'!$B:$H,Insumo[[#This Row],[DESCRIPCION]],'CAP16-18'!$H:$H)</f>
        <v>0</v>
      </c>
      <c r="M496" s="69">
        <f ca="1">SUMIF('CAP19-22'!$B:$H,Insumo[[#This Row],[DESCRIPCION]],'CAP19-22'!$H:$H)</f>
        <v>0</v>
      </c>
      <c r="N496" s="69">
        <f ca="1">SUMIF('CAP23-24'!$B:$H,Insumo[[#This Row],[DESCRIPCION]],'CAP23-24'!$H:$H)</f>
        <v>0</v>
      </c>
      <c r="O496" s="69">
        <f ca="1">SUMIF('CAP25'!$B:$H,Insumo[[#This Row],[DESCRIPCION]],'CAP25'!$H:$H)</f>
        <v>0</v>
      </c>
      <c r="P496" s="69">
        <f ca="1">SUMIF('CAP26-28'!$B:$H,Insumo[[#This Row],[DESCRIPCION]],'CAP26-28'!$H:$H)</f>
        <v>0</v>
      </c>
      <c r="Q496" s="69">
        <f ca="1">SUMIF('CAP29'!$B:$H,Insumo[[#This Row],[DESCRIPCION]],'CAP29'!$H:$H)</f>
        <v>0</v>
      </c>
      <c r="R496" s="290"/>
      <c r="T496" s="136">
        <v>463000</v>
      </c>
    </row>
    <row r="497" spans="1:20" ht="12" customHeight="1">
      <c r="A497" s="301" t="s">
        <v>3108</v>
      </c>
      <c r="B497" s="303" t="s">
        <v>23</v>
      </c>
      <c r="C497" s="304">
        <f t="shared" si="7"/>
        <v>264124.85924999998</v>
      </c>
      <c r="D497" s="281" cm="1">
        <f t="array" aca="1" ref="D497" ca="1">IF(Insumo[[#This Row],[VALOR]]=0,Insumo[TOTAL],E497/C497)</f>
        <v>0</v>
      </c>
      <c r="E497" s="69">
        <f ca="1">SUM(Insumo[[#This Row],[CAP1-3]:[CAP29]])</f>
        <v>0</v>
      </c>
      <c r="F497" s="69">
        <f ca="1">SUMIF('CAP1-3'!$B:$H,Insumo[[#This Row],[DESCRIPCION]],'CAP1-3'!$H:$H)</f>
        <v>0</v>
      </c>
      <c r="G497" s="69">
        <f ca="1">SUMIF('CAP4-5'!$B:$H,Insumo[[#This Row],[DESCRIPCION]],'CAP4-5'!$H:$H)</f>
        <v>0</v>
      </c>
      <c r="H497" s="69">
        <f ca="1">SUMIF('CAP6-7'!$B:$H,Insumo[[#This Row],[DESCRIPCION]],'CAP6-7'!$H:$H)</f>
        <v>0</v>
      </c>
      <c r="I497" s="69">
        <f ca="1">SUMIF('CAP8'!$B:$H,Insumo[[#This Row],[DESCRIPCION]],'CAP8'!$H:$H)</f>
        <v>0</v>
      </c>
      <c r="J497" s="69">
        <f ca="1">SUMIF('CAP9-13'!$B:$H,Insumo[[#This Row],[DESCRIPCION]],'CAP9-13'!$H:$H)</f>
        <v>0</v>
      </c>
      <c r="K497" s="69">
        <f ca="1">SUMIF('CAP14-15'!$B:$H,Insumo[[#This Row],[DESCRIPCION]],'CAP14-15'!$H:$H)</f>
        <v>0</v>
      </c>
      <c r="L497" s="69">
        <f ca="1">SUMIF('CAP16-18'!$B:$H,Insumo[[#This Row],[DESCRIPCION]],'CAP16-18'!$H:$H)</f>
        <v>0</v>
      </c>
      <c r="M497" s="69">
        <f ca="1">SUMIF('CAP19-22'!$B:$H,Insumo[[#This Row],[DESCRIPCION]],'CAP19-22'!$H:$H)</f>
        <v>0</v>
      </c>
      <c r="N497" s="69">
        <f ca="1">SUMIF('CAP23-24'!$B:$H,Insumo[[#This Row],[DESCRIPCION]],'CAP23-24'!$H:$H)</f>
        <v>0</v>
      </c>
      <c r="O497" s="69">
        <f ca="1">SUMIF('CAP25'!$B:$H,Insumo[[#This Row],[DESCRIPCION]],'CAP25'!$H:$H)</f>
        <v>0</v>
      </c>
      <c r="P497" s="69">
        <f ca="1">SUMIF('CAP26-28'!$B:$H,Insumo[[#This Row],[DESCRIPCION]],'CAP26-28'!$H:$H)</f>
        <v>0</v>
      </c>
      <c r="Q497" s="69">
        <f ca="1">SUMIF('CAP29'!$B:$H,Insumo[[#This Row],[DESCRIPCION]],'CAP29'!$H:$H)</f>
        <v>0</v>
      </c>
      <c r="R497" s="290"/>
      <c r="T497" s="136">
        <v>251547.48499999999</v>
      </c>
    </row>
    <row r="498" spans="1:20" ht="12" customHeight="1">
      <c r="A498" s="301" t="s">
        <v>3109</v>
      </c>
      <c r="B498" s="303" t="s">
        <v>23</v>
      </c>
      <c r="C498" s="304">
        <f t="shared" si="7"/>
        <v>358004.75549999997</v>
      </c>
      <c r="D498" s="281" cm="1">
        <f t="array" aca="1" ref="D498" ca="1">IF(Insumo[[#This Row],[VALOR]]=0,Insumo[TOTAL],E498/C498)</f>
        <v>0</v>
      </c>
      <c r="E498" s="69">
        <f ca="1">SUM(Insumo[[#This Row],[CAP1-3]:[CAP29]])</f>
        <v>0</v>
      </c>
      <c r="F498" s="69">
        <f ca="1">SUMIF('CAP1-3'!$B:$H,Insumo[[#This Row],[DESCRIPCION]],'CAP1-3'!$H:$H)</f>
        <v>0</v>
      </c>
      <c r="G498" s="69">
        <f ca="1">SUMIF('CAP4-5'!$B:$H,Insumo[[#This Row],[DESCRIPCION]],'CAP4-5'!$H:$H)</f>
        <v>0</v>
      </c>
      <c r="H498" s="69">
        <f ca="1">SUMIF('CAP6-7'!$B:$H,Insumo[[#This Row],[DESCRIPCION]],'CAP6-7'!$H:$H)</f>
        <v>0</v>
      </c>
      <c r="I498" s="69">
        <f ca="1">SUMIF('CAP8'!$B:$H,Insumo[[#This Row],[DESCRIPCION]],'CAP8'!$H:$H)</f>
        <v>0</v>
      </c>
      <c r="J498" s="69">
        <f ca="1">SUMIF('CAP9-13'!$B:$H,Insumo[[#This Row],[DESCRIPCION]],'CAP9-13'!$H:$H)</f>
        <v>0</v>
      </c>
      <c r="K498" s="69">
        <f ca="1">SUMIF('CAP14-15'!$B:$H,Insumo[[#This Row],[DESCRIPCION]],'CAP14-15'!$H:$H)</f>
        <v>0</v>
      </c>
      <c r="L498" s="69">
        <f ca="1">SUMIF('CAP16-18'!$B:$H,Insumo[[#This Row],[DESCRIPCION]],'CAP16-18'!$H:$H)</f>
        <v>0</v>
      </c>
      <c r="M498" s="69">
        <f ca="1">SUMIF('CAP19-22'!$B:$H,Insumo[[#This Row],[DESCRIPCION]],'CAP19-22'!$H:$H)</f>
        <v>0</v>
      </c>
      <c r="N498" s="69">
        <f ca="1">SUMIF('CAP23-24'!$B:$H,Insumo[[#This Row],[DESCRIPCION]],'CAP23-24'!$H:$H)</f>
        <v>0</v>
      </c>
      <c r="O498" s="69">
        <f ca="1">SUMIF('CAP25'!$B:$H,Insumo[[#This Row],[DESCRIPCION]],'CAP25'!$H:$H)</f>
        <v>0</v>
      </c>
      <c r="P498" s="69">
        <f ca="1">SUMIF('CAP26-28'!$B:$H,Insumo[[#This Row],[DESCRIPCION]],'CAP26-28'!$H:$H)</f>
        <v>0</v>
      </c>
      <c r="Q498" s="69">
        <f ca="1">SUMIF('CAP29'!$B:$H,Insumo[[#This Row],[DESCRIPCION]],'CAP29'!$H:$H)</f>
        <v>0</v>
      </c>
      <c r="R498" s="290"/>
      <c r="T498" s="136">
        <v>340956.91</v>
      </c>
    </row>
    <row r="499" spans="1:20" ht="12" customHeight="1">
      <c r="A499" s="301" t="s">
        <v>3110</v>
      </c>
      <c r="B499" s="303" t="s">
        <v>23</v>
      </c>
      <c r="C499" s="304">
        <f t="shared" si="7"/>
        <v>246276.22949999999</v>
      </c>
      <c r="D499" s="281" cm="1">
        <f t="array" aca="1" ref="D499" ca="1">IF(Insumo[[#This Row],[VALOR]]=0,Insumo[TOTAL],E499/C499)</f>
        <v>0</v>
      </c>
      <c r="E499" s="69">
        <f ca="1">SUM(Insumo[[#This Row],[CAP1-3]:[CAP29]])</f>
        <v>0</v>
      </c>
      <c r="F499" s="69">
        <f ca="1">SUMIF('CAP1-3'!$B:$H,Insumo[[#This Row],[DESCRIPCION]],'CAP1-3'!$H:$H)</f>
        <v>0</v>
      </c>
      <c r="G499" s="69">
        <f ca="1">SUMIF('CAP4-5'!$B:$H,Insumo[[#This Row],[DESCRIPCION]],'CAP4-5'!$H:$H)</f>
        <v>0</v>
      </c>
      <c r="H499" s="69">
        <f ca="1">SUMIF('CAP6-7'!$B:$H,Insumo[[#This Row],[DESCRIPCION]],'CAP6-7'!$H:$H)</f>
        <v>0</v>
      </c>
      <c r="I499" s="69">
        <f ca="1">SUMIF('CAP8'!$B:$H,Insumo[[#This Row],[DESCRIPCION]],'CAP8'!$H:$H)</f>
        <v>0</v>
      </c>
      <c r="J499" s="69">
        <f ca="1">SUMIF('CAP9-13'!$B:$H,Insumo[[#This Row],[DESCRIPCION]],'CAP9-13'!$H:$H)</f>
        <v>0</v>
      </c>
      <c r="K499" s="69">
        <f ca="1">SUMIF('CAP14-15'!$B:$H,Insumo[[#This Row],[DESCRIPCION]],'CAP14-15'!$H:$H)</f>
        <v>0</v>
      </c>
      <c r="L499" s="69">
        <f ca="1">SUMIF('CAP16-18'!$B:$H,Insumo[[#This Row],[DESCRIPCION]],'CAP16-18'!$H:$H)</f>
        <v>0</v>
      </c>
      <c r="M499" s="69">
        <f ca="1">SUMIF('CAP19-22'!$B:$H,Insumo[[#This Row],[DESCRIPCION]],'CAP19-22'!$H:$H)</f>
        <v>0</v>
      </c>
      <c r="N499" s="69">
        <f ca="1">SUMIF('CAP23-24'!$B:$H,Insumo[[#This Row],[DESCRIPCION]],'CAP23-24'!$H:$H)</f>
        <v>0</v>
      </c>
      <c r="O499" s="69">
        <f ca="1">SUMIF('CAP25'!$B:$H,Insumo[[#This Row],[DESCRIPCION]],'CAP25'!$H:$H)</f>
        <v>0</v>
      </c>
      <c r="P499" s="69">
        <f ca="1">SUMIF('CAP26-28'!$B:$H,Insumo[[#This Row],[DESCRIPCION]],'CAP26-28'!$H:$H)</f>
        <v>0</v>
      </c>
      <c r="Q499" s="69">
        <f ca="1">SUMIF('CAP29'!$B:$H,Insumo[[#This Row],[DESCRIPCION]],'CAP29'!$H:$H)</f>
        <v>0</v>
      </c>
      <c r="R499" s="290"/>
      <c r="T499" s="136">
        <v>234548.78999999998</v>
      </c>
    </row>
    <row r="500" spans="1:20" ht="12" customHeight="1">
      <c r="A500" s="301" t="s">
        <v>3111</v>
      </c>
      <c r="B500" s="303" t="s">
        <v>23</v>
      </c>
      <c r="C500" s="304">
        <f t="shared" si="7"/>
        <v>219501.576</v>
      </c>
      <c r="D500" s="281" cm="1">
        <f t="array" aca="1" ref="D500" ca="1">IF(Insumo[[#This Row],[VALOR]]=0,Insumo[TOTAL],E500/C500)</f>
        <v>0</v>
      </c>
      <c r="E500" s="69">
        <f ca="1">SUM(Insumo[[#This Row],[CAP1-3]:[CAP29]])</f>
        <v>0</v>
      </c>
      <c r="F500" s="69">
        <f ca="1">SUMIF('CAP1-3'!$B:$H,Insumo[[#This Row],[DESCRIPCION]],'CAP1-3'!$H:$H)</f>
        <v>0</v>
      </c>
      <c r="G500" s="69">
        <f ca="1">SUMIF('CAP4-5'!$B:$H,Insumo[[#This Row],[DESCRIPCION]],'CAP4-5'!$H:$H)</f>
        <v>0</v>
      </c>
      <c r="H500" s="69">
        <f ca="1">SUMIF('CAP6-7'!$B:$H,Insumo[[#This Row],[DESCRIPCION]],'CAP6-7'!$H:$H)</f>
        <v>0</v>
      </c>
      <c r="I500" s="69">
        <f ca="1">SUMIF('CAP8'!$B:$H,Insumo[[#This Row],[DESCRIPCION]],'CAP8'!$H:$H)</f>
        <v>0</v>
      </c>
      <c r="J500" s="69">
        <f ca="1">SUMIF('CAP9-13'!$B:$H,Insumo[[#This Row],[DESCRIPCION]],'CAP9-13'!$H:$H)</f>
        <v>0</v>
      </c>
      <c r="K500" s="69">
        <f ca="1">SUMIF('CAP14-15'!$B:$H,Insumo[[#This Row],[DESCRIPCION]],'CAP14-15'!$H:$H)</f>
        <v>0</v>
      </c>
      <c r="L500" s="69">
        <f ca="1">SUMIF('CAP16-18'!$B:$H,Insumo[[#This Row],[DESCRIPCION]],'CAP16-18'!$H:$H)</f>
        <v>0</v>
      </c>
      <c r="M500" s="69">
        <f ca="1">SUMIF('CAP19-22'!$B:$H,Insumo[[#This Row],[DESCRIPCION]],'CAP19-22'!$H:$H)</f>
        <v>0</v>
      </c>
      <c r="N500" s="69">
        <f ca="1">SUMIF('CAP23-24'!$B:$H,Insumo[[#This Row],[DESCRIPCION]],'CAP23-24'!$H:$H)</f>
        <v>0</v>
      </c>
      <c r="O500" s="69">
        <f ca="1">SUMIF('CAP25'!$B:$H,Insumo[[#This Row],[DESCRIPCION]],'CAP25'!$H:$H)</f>
        <v>0</v>
      </c>
      <c r="P500" s="69">
        <f ca="1">SUMIF('CAP26-28'!$B:$H,Insumo[[#This Row],[DESCRIPCION]],'CAP26-28'!$H:$H)</f>
        <v>0</v>
      </c>
      <c r="Q500" s="69">
        <f ca="1">SUMIF('CAP29'!$B:$H,Insumo[[#This Row],[DESCRIPCION]],'CAP29'!$H:$H)</f>
        <v>0</v>
      </c>
      <c r="R500" s="290"/>
      <c r="T500" s="136">
        <v>209049.12</v>
      </c>
    </row>
    <row r="501" spans="1:20" ht="24.75" customHeight="1">
      <c r="A501" s="301" t="s">
        <v>3112</v>
      </c>
      <c r="B501" s="303" t="s">
        <v>23</v>
      </c>
      <c r="C501" s="304">
        <f t="shared" si="7"/>
        <v>112350</v>
      </c>
      <c r="D501" s="281" cm="1">
        <f t="array" aca="1" ref="D501" ca="1">IF(Insumo[[#This Row],[VALOR]]=0,Insumo[TOTAL],E501/C501)</f>
        <v>0</v>
      </c>
      <c r="E501" s="69">
        <f ca="1">SUM(Insumo[[#This Row],[CAP1-3]:[CAP29]])</f>
        <v>0</v>
      </c>
      <c r="F501" s="69">
        <f ca="1">SUMIF('CAP1-3'!$B:$H,Insumo[[#This Row],[DESCRIPCION]],'CAP1-3'!$H:$H)</f>
        <v>0</v>
      </c>
      <c r="G501" s="69">
        <f ca="1">SUMIF('CAP4-5'!$B:$H,Insumo[[#This Row],[DESCRIPCION]],'CAP4-5'!$H:$H)</f>
        <v>0</v>
      </c>
      <c r="H501" s="69">
        <f ca="1">SUMIF('CAP6-7'!$B:$H,Insumo[[#This Row],[DESCRIPCION]],'CAP6-7'!$H:$H)</f>
        <v>0</v>
      </c>
      <c r="I501" s="69">
        <f ca="1">SUMIF('CAP8'!$B:$H,Insumo[[#This Row],[DESCRIPCION]],'CAP8'!$H:$H)</f>
        <v>0</v>
      </c>
      <c r="J501" s="69">
        <f ca="1">SUMIF('CAP9-13'!$B:$H,Insumo[[#This Row],[DESCRIPCION]],'CAP9-13'!$H:$H)</f>
        <v>0</v>
      </c>
      <c r="K501" s="69">
        <f ca="1">SUMIF('CAP14-15'!$B:$H,Insumo[[#This Row],[DESCRIPCION]],'CAP14-15'!$H:$H)</f>
        <v>0</v>
      </c>
      <c r="L501" s="69">
        <f ca="1">SUMIF('CAP16-18'!$B:$H,Insumo[[#This Row],[DESCRIPCION]],'CAP16-18'!$H:$H)</f>
        <v>0</v>
      </c>
      <c r="M501" s="69">
        <f ca="1">SUMIF('CAP19-22'!$B:$H,Insumo[[#This Row],[DESCRIPCION]],'CAP19-22'!$H:$H)</f>
        <v>0</v>
      </c>
      <c r="N501" s="69">
        <f ca="1">SUMIF('CAP23-24'!$B:$H,Insumo[[#This Row],[DESCRIPCION]],'CAP23-24'!$H:$H)</f>
        <v>0</v>
      </c>
      <c r="O501" s="69">
        <f ca="1">SUMIF('CAP25'!$B:$H,Insumo[[#This Row],[DESCRIPCION]],'CAP25'!$H:$H)</f>
        <v>0</v>
      </c>
      <c r="P501" s="69">
        <f ca="1">SUMIF('CAP26-28'!$B:$H,Insumo[[#This Row],[DESCRIPCION]],'CAP26-28'!$H:$H)</f>
        <v>0</v>
      </c>
      <c r="Q501" s="69">
        <f ca="1">SUMIF('CAP29'!$B:$H,Insumo[[#This Row],[DESCRIPCION]],'CAP29'!$H:$H)</f>
        <v>0</v>
      </c>
      <c r="R501" s="290"/>
      <c r="T501" s="136">
        <v>107000</v>
      </c>
    </row>
    <row r="502" spans="1:20" ht="12" customHeight="1">
      <c r="A502" s="301" t="s">
        <v>3113</v>
      </c>
      <c r="B502" s="303" t="s">
        <v>23</v>
      </c>
      <c r="C502" s="304">
        <f t="shared" si="7"/>
        <v>95077.247999999992</v>
      </c>
      <c r="D502" s="281" cm="1">
        <f t="array" aca="1" ref="D502" ca="1">IF(Insumo[[#This Row],[VALOR]]=0,Insumo[TOTAL],E502/C502)</f>
        <v>0</v>
      </c>
      <c r="E502" s="69">
        <f ca="1">SUM(Insumo[[#This Row],[CAP1-3]:[CAP29]])</f>
        <v>0</v>
      </c>
      <c r="F502" s="69">
        <f ca="1">SUMIF('CAP1-3'!$B:$H,Insumo[[#This Row],[DESCRIPCION]],'CAP1-3'!$H:$H)</f>
        <v>0</v>
      </c>
      <c r="G502" s="69">
        <f ca="1">SUMIF('CAP4-5'!$B:$H,Insumo[[#This Row],[DESCRIPCION]],'CAP4-5'!$H:$H)</f>
        <v>0</v>
      </c>
      <c r="H502" s="69">
        <f ca="1">SUMIF('CAP6-7'!$B:$H,Insumo[[#This Row],[DESCRIPCION]],'CAP6-7'!$H:$H)</f>
        <v>0</v>
      </c>
      <c r="I502" s="69">
        <f ca="1">SUMIF('CAP8'!$B:$H,Insumo[[#This Row],[DESCRIPCION]],'CAP8'!$H:$H)</f>
        <v>0</v>
      </c>
      <c r="J502" s="69">
        <f ca="1">SUMIF('CAP9-13'!$B:$H,Insumo[[#This Row],[DESCRIPCION]],'CAP9-13'!$H:$H)</f>
        <v>0</v>
      </c>
      <c r="K502" s="69">
        <f ca="1">SUMIF('CAP14-15'!$B:$H,Insumo[[#This Row],[DESCRIPCION]],'CAP14-15'!$H:$H)</f>
        <v>0</v>
      </c>
      <c r="L502" s="69">
        <f ca="1">SUMIF('CAP16-18'!$B:$H,Insumo[[#This Row],[DESCRIPCION]],'CAP16-18'!$H:$H)</f>
        <v>0</v>
      </c>
      <c r="M502" s="69">
        <f ca="1">SUMIF('CAP19-22'!$B:$H,Insumo[[#This Row],[DESCRIPCION]],'CAP19-22'!$H:$H)</f>
        <v>0</v>
      </c>
      <c r="N502" s="69">
        <f ca="1">SUMIF('CAP23-24'!$B:$H,Insumo[[#This Row],[DESCRIPCION]],'CAP23-24'!$H:$H)</f>
        <v>0</v>
      </c>
      <c r="O502" s="69">
        <f ca="1">SUMIF('CAP25'!$B:$H,Insumo[[#This Row],[DESCRIPCION]],'CAP25'!$H:$H)</f>
        <v>0</v>
      </c>
      <c r="P502" s="69">
        <f ca="1">SUMIF('CAP26-28'!$B:$H,Insumo[[#This Row],[DESCRIPCION]],'CAP26-28'!$H:$H)</f>
        <v>0</v>
      </c>
      <c r="Q502" s="69">
        <f ca="1">SUMIF('CAP29'!$B:$H,Insumo[[#This Row],[DESCRIPCION]],'CAP29'!$H:$H)</f>
        <v>0</v>
      </c>
      <c r="R502" s="290"/>
      <c r="T502" s="136">
        <v>90549.759999999995</v>
      </c>
    </row>
    <row r="503" spans="1:20" ht="12" customHeight="1">
      <c r="A503" s="301" t="s">
        <v>3114</v>
      </c>
      <c r="B503" s="303" t="s">
        <v>23</v>
      </c>
      <c r="C503" s="304">
        <f t="shared" si="7"/>
        <v>107331</v>
      </c>
      <c r="D503" s="281" cm="1">
        <f t="array" aca="1" ref="D503" ca="1">IF(Insumo[[#This Row],[VALOR]]=0,Insumo[TOTAL],E503/C503)</f>
        <v>0</v>
      </c>
      <c r="E503" s="69">
        <f ca="1">SUM(Insumo[[#This Row],[CAP1-3]:[CAP29]])</f>
        <v>0</v>
      </c>
      <c r="F503" s="69">
        <f ca="1">SUMIF('CAP1-3'!$B:$H,Insumo[[#This Row],[DESCRIPCION]],'CAP1-3'!$H:$H)</f>
        <v>0</v>
      </c>
      <c r="G503" s="69">
        <f ca="1">SUMIF('CAP4-5'!$B:$H,Insumo[[#This Row],[DESCRIPCION]],'CAP4-5'!$H:$H)</f>
        <v>0</v>
      </c>
      <c r="H503" s="69">
        <f ca="1">SUMIF('CAP6-7'!$B:$H,Insumo[[#This Row],[DESCRIPCION]],'CAP6-7'!$H:$H)</f>
        <v>0</v>
      </c>
      <c r="I503" s="69">
        <f ca="1">SUMIF('CAP8'!$B:$H,Insumo[[#This Row],[DESCRIPCION]],'CAP8'!$H:$H)</f>
        <v>0</v>
      </c>
      <c r="J503" s="69">
        <f ca="1">SUMIF('CAP9-13'!$B:$H,Insumo[[#This Row],[DESCRIPCION]],'CAP9-13'!$H:$H)</f>
        <v>0</v>
      </c>
      <c r="K503" s="69">
        <f ca="1">SUMIF('CAP14-15'!$B:$H,Insumo[[#This Row],[DESCRIPCION]],'CAP14-15'!$H:$H)</f>
        <v>0</v>
      </c>
      <c r="L503" s="69">
        <f ca="1">SUMIF('CAP16-18'!$B:$H,Insumo[[#This Row],[DESCRIPCION]],'CAP16-18'!$H:$H)</f>
        <v>0</v>
      </c>
      <c r="M503" s="69">
        <f ca="1">SUMIF('CAP19-22'!$B:$H,Insumo[[#This Row],[DESCRIPCION]],'CAP19-22'!$H:$H)</f>
        <v>0</v>
      </c>
      <c r="N503" s="69">
        <f ca="1">SUMIF('CAP23-24'!$B:$H,Insumo[[#This Row],[DESCRIPCION]],'CAP23-24'!$H:$H)</f>
        <v>0</v>
      </c>
      <c r="O503" s="69">
        <f ca="1">SUMIF('CAP25'!$B:$H,Insumo[[#This Row],[DESCRIPCION]],'CAP25'!$H:$H)</f>
        <v>0</v>
      </c>
      <c r="P503" s="69">
        <f ca="1">SUMIF('CAP26-28'!$B:$H,Insumo[[#This Row],[DESCRIPCION]],'CAP26-28'!$H:$H)</f>
        <v>0</v>
      </c>
      <c r="Q503" s="69">
        <f ca="1">SUMIF('CAP29'!$B:$H,Insumo[[#This Row],[DESCRIPCION]],'CAP29'!$H:$H)</f>
        <v>0</v>
      </c>
      <c r="R503" s="290"/>
      <c r="T503" s="136">
        <v>102220</v>
      </c>
    </row>
    <row r="504" spans="1:20">
      <c r="A504" s="301" t="s">
        <v>3115</v>
      </c>
      <c r="B504" s="303" t="s">
        <v>23</v>
      </c>
      <c r="C504" s="304">
        <f t="shared" si="7"/>
        <v>132415.0275</v>
      </c>
      <c r="D504" s="281" cm="1">
        <f t="array" aca="1" ref="D504" ca="1">IF(Insumo[[#This Row],[VALOR]]=0,Insumo[TOTAL],E504/C504)</f>
        <v>0</v>
      </c>
      <c r="E504" s="69">
        <f ca="1">SUM(Insumo[[#This Row],[CAP1-3]:[CAP29]])</f>
        <v>0</v>
      </c>
      <c r="F504" s="69">
        <f ca="1">SUMIF('CAP1-3'!$B:$H,Insumo[[#This Row],[DESCRIPCION]],'CAP1-3'!$H:$H)</f>
        <v>0</v>
      </c>
      <c r="G504" s="69">
        <f ca="1">SUMIF('CAP4-5'!$B:$H,Insumo[[#This Row],[DESCRIPCION]],'CAP4-5'!$H:$H)</f>
        <v>0</v>
      </c>
      <c r="H504" s="69">
        <f ca="1">SUMIF('CAP6-7'!$B:$H,Insumo[[#This Row],[DESCRIPCION]],'CAP6-7'!$H:$H)</f>
        <v>0</v>
      </c>
      <c r="I504" s="69">
        <f ca="1">SUMIF('CAP8'!$B:$H,Insumo[[#This Row],[DESCRIPCION]],'CAP8'!$H:$H)</f>
        <v>0</v>
      </c>
      <c r="J504" s="69">
        <f ca="1">SUMIF('CAP9-13'!$B:$H,Insumo[[#This Row],[DESCRIPCION]],'CAP9-13'!$H:$H)</f>
        <v>0</v>
      </c>
      <c r="K504" s="69">
        <f ca="1">SUMIF('CAP14-15'!$B:$H,Insumo[[#This Row],[DESCRIPCION]],'CAP14-15'!$H:$H)</f>
        <v>0</v>
      </c>
      <c r="L504" s="69">
        <f ca="1">SUMIF('CAP16-18'!$B:$H,Insumo[[#This Row],[DESCRIPCION]],'CAP16-18'!$H:$H)</f>
        <v>0</v>
      </c>
      <c r="M504" s="69">
        <f ca="1">SUMIF('CAP19-22'!$B:$H,Insumo[[#This Row],[DESCRIPCION]],'CAP19-22'!$H:$H)</f>
        <v>0</v>
      </c>
      <c r="N504" s="69">
        <f ca="1">SUMIF('CAP23-24'!$B:$H,Insumo[[#This Row],[DESCRIPCION]],'CAP23-24'!$H:$H)</f>
        <v>0</v>
      </c>
      <c r="O504" s="69">
        <f ca="1">SUMIF('CAP25'!$B:$H,Insumo[[#This Row],[DESCRIPCION]],'CAP25'!$H:$H)</f>
        <v>0</v>
      </c>
      <c r="P504" s="69">
        <f ca="1">SUMIF('CAP26-28'!$B:$H,Insumo[[#This Row],[DESCRIPCION]],'CAP26-28'!$H:$H)</f>
        <v>0</v>
      </c>
      <c r="Q504" s="69">
        <f ca="1">SUMIF('CAP29'!$B:$H,Insumo[[#This Row],[DESCRIPCION]],'CAP29'!$H:$H)</f>
        <v>0</v>
      </c>
      <c r="R504" s="290"/>
      <c r="T504" s="136">
        <v>126109.55</v>
      </c>
    </row>
    <row r="505" spans="1:20">
      <c r="A505" s="301" t="s">
        <v>3116</v>
      </c>
      <c r="B505" s="303" t="s">
        <v>23</v>
      </c>
      <c r="C505" s="304">
        <f t="shared" si="7"/>
        <v>110250</v>
      </c>
      <c r="D505" s="281" cm="1">
        <f t="array" aca="1" ref="D505" ca="1">IF(Insumo[[#This Row],[VALOR]]=0,Insumo[TOTAL],E505/C505)</f>
        <v>0</v>
      </c>
      <c r="E505" s="69">
        <f ca="1">SUM(Insumo[[#This Row],[CAP1-3]:[CAP29]])</f>
        <v>0</v>
      </c>
      <c r="F505" s="69">
        <f ca="1">SUMIF('CAP1-3'!$B:$H,Insumo[[#This Row],[DESCRIPCION]],'CAP1-3'!$H:$H)</f>
        <v>0</v>
      </c>
      <c r="G505" s="69">
        <f ca="1">SUMIF('CAP4-5'!$B:$H,Insumo[[#This Row],[DESCRIPCION]],'CAP4-5'!$H:$H)</f>
        <v>0</v>
      </c>
      <c r="H505" s="69">
        <f ca="1">SUMIF('CAP6-7'!$B:$H,Insumo[[#This Row],[DESCRIPCION]],'CAP6-7'!$H:$H)</f>
        <v>0</v>
      </c>
      <c r="I505" s="69">
        <f ca="1">SUMIF('CAP8'!$B:$H,Insumo[[#This Row],[DESCRIPCION]],'CAP8'!$H:$H)</f>
        <v>0</v>
      </c>
      <c r="J505" s="69">
        <f ca="1">SUMIF('CAP9-13'!$B:$H,Insumo[[#This Row],[DESCRIPCION]],'CAP9-13'!$H:$H)</f>
        <v>0</v>
      </c>
      <c r="K505" s="69">
        <f ca="1">SUMIF('CAP14-15'!$B:$H,Insumo[[#This Row],[DESCRIPCION]],'CAP14-15'!$H:$H)</f>
        <v>0</v>
      </c>
      <c r="L505" s="69">
        <f ca="1">SUMIF('CAP16-18'!$B:$H,Insumo[[#This Row],[DESCRIPCION]],'CAP16-18'!$H:$H)</f>
        <v>0</v>
      </c>
      <c r="M505" s="69">
        <f ca="1">SUMIF('CAP19-22'!$B:$H,Insumo[[#This Row],[DESCRIPCION]],'CAP19-22'!$H:$H)</f>
        <v>0</v>
      </c>
      <c r="N505" s="69">
        <f ca="1">SUMIF('CAP23-24'!$B:$H,Insumo[[#This Row],[DESCRIPCION]],'CAP23-24'!$H:$H)</f>
        <v>0</v>
      </c>
      <c r="O505" s="69">
        <f ca="1">SUMIF('CAP25'!$B:$H,Insumo[[#This Row],[DESCRIPCION]],'CAP25'!$H:$H)</f>
        <v>0</v>
      </c>
      <c r="P505" s="69">
        <f ca="1">SUMIF('CAP26-28'!$B:$H,Insumo[[#This Row],[DESCRIPCION]],'CAP26-28'!$H:$H)</f>
        <v>0</v>
      </c>
      <c r="Q505" s="69">
        <f ca="1">SUMIF('CAP29'!$B:$H,Insumo[[#This Row],[DESCRIPCION]],'CAP29'!$H:$H)</f>
        <v>0</v>
      </c>
      <c r="R505" s="290"/>
      <c r="T505" s="136">
        <v>105000</v>
      </c>
    </row>
    <row r="506" spans="1:20">
      <c r="A506" s="301" t="s">
        <v>3117</v>
      </c>
      <c r="B506" s="303" t="s">
        <v>23</v>
      </c>
      <c r="C506" s="304">
        <f t="shared" si="7"/>
        <v>96415.866750000001</v>
      </c>
      <c r="D506" s="281" cm="1">
        <f t="array" aca="1" ref="D506" ca="1">IF(Insumo[[#This Row],[VALOR]]=0,Insumo[TOTAL],E506/C506)</f>
        <v>0</v>
      </c>
      <c r="E506" s="69">
        <f ca="1">SUM(Insumo[[#This Row],[CAP1-3]:[CAP29]])</f>
        <v>0</v>
      </c>
      <c r="F506" s="69">
        <f ca="1">SUMIF('CAP1-3'!$B:$H,Insumo[[#This Row],[DESCRIPCION]],'CAP1-3'!$H:$H)</f>
        <v>0</v>
      </c>
      <c r="G506" s="69">
        <f ca="1">SUMIF('CAP4-5'!$B:$H,Insumo[[#This Row],[DESCRIPCION]],'CAP4-5'!$H:$H)</f>
        <v>0</v>
      </c>
      <c r="H506" s="69">
        <f ca="1">SUMIF('CAP6-7'!$B:$H,Insumo[[#This Row],[DESCRIPCION]],'CAP6-7'!$H:$H)</f>
        <v>0</v>
      </c>
      <c r="I506" s="69">
        <f ca="1">SUMIF('CAP8'!$B:$H,Insumo[[#This Row],[DESCRIPCION]],'CAP8'!$H:$H)</f>
        <v>0</v>
      </c>
      <c r="J506" s="69">
        <f ca="1">SUMIF('CAP9-13'!$B:$H,Insumo[[#This Row],[DESCRIPCION]],'CAP9-13'!$H:$H)</f>
        <v>0</v>
      </c>
      <c r="K506" s="69">
        <f ca="1">SUMIF('CAP14-15'!$B:$H,Insumo[[#This Row],[DESCRIPCION]],'CAP14-15'!$H:$H)</f>
        <v>0</v>
      </c>
      <c r="L506" s="69">
        <f ca="1">SUMIF('CAP16-18'!$B:$H,Insumo[[#This Row],[DESCRIPCION]],'CAP16-18'!$H:$H)</f>
        <v>0</v>
      </c>
      <c r="M506" s="69">
        <f ca="1">SUMIF('CAP19-22'!$B:$H,Insumo[[#This Row],[DESCRIPCION]],'CAP19-22'!$H:$H)</f>
        <v>0</v>
      </c>
      <c r="N506" s="69">
        <f ca="1">SUMIF('CAP23-24'!$B:$H,Insumo[[#This Row],[DESCRIPCION]],'CAP23-24'!$H:$H)</f>
        <v>0</v>
      </c>
      <c r="O506" s="69">
        <f ca="1">SUMIF('CAP25'!$B:$H,Insumo[[#This Row],[DESCRIPCION]],'CAP25'!$H:$H)</f>
        <v>0</v>
      </c>
      <c r="P506" s="69">
        <f ca="1">SUMIF('CAP26-28'!$B:$H,Insumo[[#This Row],[DESCRIPCION]],'CAP26-28'!$H:$H)</f>
        <v>0</v>
      </c>
      <c r="Q506" s="69">
        <f ca="1">SUMIF('CAP29'!$B:$H,Insumo[[#This Row],[DESCRIPCION]],'CAP29'!$H:$H)</f>
        <v>0</v>
      </c>
      <c r="R506" s="290"/>
      <c r="T506" s="136">
        <v>91824.634999999995</v>
      </c>
    </row>
    <row r="507" spans="1:20">
      <c r="A507" s="301" t="s">
        <v>3118</v>
      </c>
      <c r="B507" s="303" t="s">
        <v>23</v>
      </c>
      <c r="C507" s="304">
        <f t="shared" si="7"/>
        <v>87675</v>
      </c>
      <c r="D507" s="281" cm="1">
        <f t="array" aca="1" ref="D507" ca="1">IF(Insumo[[#This Row],[VALOR]]=0,Insumo[TOTAL],E507/C507)</f>
        <v>0</v>
      </c>
      <c r="E507" s="69">
        <f ca="1">SUM(Insumo[[#This Row],[CAP1-3]:[CAP29]])</f>
        <v>0</v>
      </c>
      <c r="F507" s="69">
        <f ca="1">SUMIF('CAP1-3'!$B:$H,Insumo[[#This Row],[DESCRIPCION]],'CAP1-3'!$H:$H)</f>
        <v>0</v>
      </c>
      <c r="G507" s="69">
        <f ca="1">SUMIF('CAP4-5'!$B:$H,Insumo[[#This Row],[DESCRIPCION]],'CAP4-5'!$H:$H)</f>
        <v>0</v>
      </c>
      <c r="H507" s="69">
        <f ca="1">SUMIF('CAP6-7'!$B:$H,Insumo[[#This Row],[DESCRIPCION]],'CAP6-7'!$H:$H)</f>
        <v>0</v>
      </c>
      <c r="I507" s="69">
        <f ca="1">SUMIF('CAP8'!$B:$H,Insumo[[#This Row],[DESCRIPCION]],'CAP8'!$H:$H)</f>
        <v>0</v>
      </c>
      <c r="J507" s="69">
        <f ca="1">SUMIF('CAP9-13'!$B:$H,Insumo[[#This Row],[DESCRIPCION]],'CAP9-13'!$H:$H)</f>
        <v>0</v>
      </c>
      <c r="K507" s="69">
        <f ca="1">SUMIF('CAP14-15'!$B:$H,Insumo[[#This Row],[DESCRIPCION]],'CAP14-15'!$H:$H)</f>
        <v>0</v>
      </c>
      <c r="L507" s="69">
        <f ca="1">SUMIF('CAP16-18'!$B:$H,Insumo[[#This Row],[DESCRIPCION]],'CAP16-18'!$H:$H)</f>
        <v>0</v>
      </c>
      <c r="M507" s="69">
        <f ca="1">SUMIF('CAP19-22'!$B:$H,Insumo[[#This Row],[DESCRIPCION]],'CAP19-22'!$H:$H)</f>
        <v>0</v>
      </c>
      <c r="N507" s="69">
        <f ca="1">SUMIF('CAP23-24'!$B:$H,Insumo[[#This Row],[DESCRIPCION]],'CAP23-24'!$H:$H)</f>
        <v>0</v>
      </c>
      <c r="O507" s="69">
        <f ca="1">SUMIF('CAP25'!$B:$H,Insumo[[#This Row],[DESCRIPCION]],'CAP25'!$H:$H)</f>
        <v>0</v>
      </c>
      <c r="P507" s="69">
        <f ca="1">SUMIF('CAP26-28'!$B:$H,Insumo[[#This Row],[DESCRIPCION]],'CAP26-28'!$H:$H)</f>
        <v>0</v>
      </c>
      <c r="Q507" s="69">
        <f ca="1">SUMIF('CAP29'!$B:$H,Insumo[[#This Row],[DESCRIPCION]],'CAP29'!$H:$H)</f>
        <v>0</v>
      </c>
      <c r="R507" s="290"/>
      <c r="T507" s="136">
        <v>83500</v>
      </c>
    </row>
    <row r="508" spans="1:20">
      <c r="A508" s="301" t="s">
        <v>3812</v>
      </c>
      <c r="B508" s="303" t="s">
        <v>23</v>
      </c>
      <c r="C508" s="304">
        <f t="shared" si="7"/>
        <v>173250</v>
      </c>
      <c r="D508" s="281" cm="1">
        <f t="array" aca="1" ref="D508" ca="1">IF(Insumo[[#This Row],[VALOR]]=0,Insumo[TOTAL],E508/C508)</f>
        <v>0</v>
      </c>
      <c r="E508" s="69">
        <f ca="1">SUM(Insumo[[#This Row],[CAP1-3]:[CAP29]])</f>
        <v>0</v>
      </c>
      <c r="F508" s="69">
        <f ca="1">SUMIF('CAP1-3'!$B:$H,Insumo[[#This Row],[DESCRIPCION]],'CAP1-3'!$H:$H)</f>
        <v>0</v>
      </c>
      <c r="G508" s="69">
        <f ca="1">SUMIF('CAP4-5'!$B:$H,Insumo[[#This Row],[DESCRIPCION]],'CAP4-5'!$H:$H)</f>
        <v>0</v>
      </c>
      <c r="H508" s="69">
        <f ca="1">SUMIF('CAP6-7'!$B:$H,Insumo[[#This Row],[DESCRIPCION]],'CAP6-7'!$H:$H)</f>
        <v>0</v>
      </c>
      <c r="I508" s="69">
        <f ca="1">SUMIF('CAP8'!$B:$H,Insumo[[#This Row],[DESCRIPCION]],'CAP8'!$H:$H)</f>
        <v>0</v>
      </c>
      <c r="J508" s="69">
        <f ca="1">SUMIF('CAP9-13'!$B:$H,Insumo[[#This Row],[DESCRIPCION]],'CAP9-13'!$H:$H)</f>
        <v>0</v>
      </c>
      <c r="K508" s="69">
        <f ca="1">SUMIF('CAP14-15'!$B:$H,Insumo[[#This Row],[DESCRIPCION]],'CAP14-15'!$H:$H)</f>
        <v>0</v>
      </c>
      <c r="L508" s="69">
        <f ca="1">SUMIF('CAP16-18'!$B:$H,Insumo[[#This Row],[DESCRIPCION]],'CAP16-18'!$H:$H)</f>
        <v>0</v>
      </c>
      <c r="M508" s="69">
        <f ca="1">SUMIF('CAP19-22'!$B:$H,Insumo[[#This Row],[DESCRIPCION]],'CAP19-22'!$H:$H)</f>
        <v>0</v>
      </c>
      <c r="N508" s="69">
        <f ca="1">SUMIF('CAP23-24'!$B:$H,Insumo[[#This Row],[DESCRIPCION]],'CAP23-24'!$H:$H)</f>
        <v>0</v>
      </c>
      <c r="O508" s="69">
        <f ca="1">SUMIF('CAP25'!$B:$H,Insumo[[#This Row],[DESCRIPCION]],'CAP25'!$H:$H)</f>
        <v>0</v>
      </c>
      <c r="P508" s="69">
        <f ca="1">SUMIF('CAP26-28'!$B:$H,Insumo[[#This Row],[DESCRIPCION]],'CAP26-28'!$H:$H)</f>
        <v>0</v>
      </c>
      <c r="Q508" s="69">
        <f ca="1">SUMIF('CAP29'!$B:$H,Insumo[[#This Row],[DESCRIPCION]],'CAP29'!$H:$H)</f>
        <v>0</v>
      </c>
      <c r="R508" s="290"/>
      <c r="T508" s="136">
        <v>165000</v>
      </c>
    </row>
    <row r="509" spans="1:20">
      <c r="A509" s="301" t="s">
        <v>3119</v>
      </c>
      <c r="B509" s="303" t="s">
        <v>23</v>
      </c>
      <c r="C509" s="304">
        <f t="shared" si="7"/>
        <v>152181.01499999998</v>
      </c>
      <c r="D509" s="281" cm="1">
        <f t="array" aca="1" ref="D509" ca="1">IF(Insumo[[#This Row],[VALOR]]=0,Insumo[TOTAL],E509/C509)</f>
        <v>0</v>
      </c>
      <c r="E509" s="69">
        <f ca="1">SUM(Insumo[[#This Row],[CAP1-3]:[CAP29]])</f>
        <v>0</v>
      </c>
      <c r="F509" s="69">
        <f ca="1">SUMIF('CAP1-3'!$B:$H,Insumo[[#This Row],[DESCRIPCION]],'CAP1-3'!$H:$H)</f>
        <v>0</v>
      </c>
      <c r="G509" s="69">
        <f ca="1">SUMIF('CAP4-5'!$B:$H,Insumo[[#This Row],[DESCRIPCION]],'CAP4-5'!$H:$H)</f>
        <v>0</v>
      </c>
      <c r="H509" s="69">
        <f ca="1">SUMIF('CAP6-7'!$B:$H,Insumo[[#This Row],[DESCRIPCION]],'CAP6-7'!$H:$H)</f>
        <v>0</v>
      </c>
      <c r="I509" s="69">
        <f ca="1">SUMIF('CAP8'!$B:$H,Insumo[[#This Row],[DESCRIPCION]],'CAP8'!$H:$H)</f>
        <v>0</v>
      </c>
      <c r="J509" s="69">
        <f ca="1">SUMIF('CAP9-13'!$B:$H,Insumo[[#This Row],[DESCRIPCION]],'CAP9-13'!$H:$H)</f>
        <v>0</v>
      </c>
      <c r="K509" s="69">
        <f ca="1">SUMIF('CAP14-15'!$B:$H,Insumo[[#This Row],[DESCRIPCION]],'CAP14-15'!$H:$H)</f>
        <v>0</v>
      </c>
      <c r="L509" s="69">
        <f ca="1">SUMIF('CAP16-18'!$B:$H,Insumo[[#This Row],[DESCRIPCION]],'CAP16-18'!$H:$H)</f>
        <v>0</v>
      </c>
      <c r="M509" s="69">
        <f ca="1">SUMIF('CAP19-22'!$B:$H,Insumo[[#This Row],[DESCRIPCION]],'CAP19-22'!$H:$H)</f>
        <v>0</v>
      </c>
      <c r="N509" s="69">
        <f ca="1">SUMIF('CAP23-24'!$B:$H,Insumo[[#This Row],[DESCRIPCION]],'CAP23-24'!$H:$H)</f>
        <v>0</v>
      </c>
      <c r="O509" s="69">
        <f ca="1">SUMIF('CAP25'!$B:$H,Insumo[[#This Row],[DESCRIPCION]],'CAP25'!$H:$H)</f>
        <v>0</v>
      </c>
      <c r="P509" s="69">
        <f ca="1">SUMIF('CAP26-28'!$B:$H,Insumo[[#This Row],[DESCRIPCION]],'CAP26-28'!$H:$H)</f>
        <v>0</v>
      </c>
      <c r="Q509" s="69">
        <f ca="1">SUMIF('CAP29'!$B:$H,Insumo[[#This Row],[DESCRIPCION]],'CAP29'!$H:$H)</f>
        <v>0</v>
      </c>
      <c r="R509" s="290"/>
      <c r="T509" s="136">
        <v>144934.29999999999</v>
      </c>
    </row>
    <row r="510" spans="1:20">
      <c r="A510" s="301" t="s">
        <v>3120</v>
      </c>
      <c r="B510" s="303" t="s">
        <v>23</v>
      </c>
      <c r="C510" s="304">
        <f t="shared" si="7"/>
        <v>205584.49799999999</v>
      </c>
      <c r="D510" s="281" cm="1">
        <f t="array" aca="1" ref="D510" ca="1">IF(Insumo[[#This Row],[VALOR]]=0,Insumo[TOTAL],E510/C510)</f>
        <v>0</v>
      </c>
      <c r="E510" s="69">
        <f ca="1">SUM(Insumo[[#This Row],[CAP1-3]:[CAP29]])</f>
        <v>0</v>
      </c>
      <c r="F510" s="69">
        <f ca="1">SUMIF('CAP1-3'!$B:$H,Insumo[[#This Row],[DESCRIPCION]],'CAP1-3'!$H:$H)</f>
        <v>0</v>
      </c>
      <c r="G510" s="69">
        <f ca="1">SUMIF('CAP4-5'!$B:$H,Insumo[[#This Row],[DESCRIPCION]],'CAP4-5'!$H:$H)</f>
        <v>0</v>
      </c>
      <c r="H510" s="69">
        <f ca="1">SUMIF('CAP6-7'!$B:$H,Insumo[[#This Row],[DESCRIPCION]],'CAP6-7'!$H:$H)</f>
        <v>0</v>
      </c>
      <c r="I510" s="69">
        <f ca="1">SUMIF('CAP8'!$B:$H,Insumo[[#This Row],[DESCRIPCION]],'CAP8'!$H:$H)</f>
        <v>0</v>
      </c>
      <c r="J510" s="69">
        <f ca="1">SUMIF('CAP9-13'!$B:$H,Insumo[[#This Row],[DESCRIPCION]],'CAP9-13'!$H:$H)</f>
        <v>0</v>
      </c>
      <c r="K510" s="69">
        <f ca="1">SUMIF('CAP14-15'!$B:$H,Insumo[[#This Row],[DESCRIPCION]],'CAP14-15'!$H:$H)</f>
        <v>0</v>
      </c>
      <c r="L510" s="69">
        <f ca="1">SUMIF('CAP16-18'!$B:$H,Insumo[[#This Row],[DESCRIPCION]],'CAP16-18'!$H:$H)</f>
        <v>0</v>
      </c>
      <c r="M510" s="69">
        <f ca="1">SUMIF('CAP19-22'!$B:$H,Insumo[[#This Row],[DESCRIPCION]],'CAP19-22'!$H:$H)</f>
        <v>0</v>
      </c>
      <c r="N510" s="69">
        <f ca="1">SUMIF('CAP23-24'!$B:$H,Insumo[[#This Row],[DESCRIPCION]],'CAP23-24'!$H:$H)</f>
        <v>0</v>
      </c>
      <c r="O510" s="69">
        <f ca="1">SUMIF('CAP25'!$B:$H,Insumo[[#This Row],[DESCRIPCION]],'CAP25'!$H:$H)</f>
        <v>0</v>
      </c>
      <c r="P510" s="69">
        <f ca="1">SUMIF('CAP26-28'!$B:$H,Insumo[[#This Row],[DESCRIPCION]],'CAP26-28'!$H:$H)</f>
        <v>0</v>
      </c>
      <c r="Q510" s="69">
        <f ca="1">SUMIF('CAP29'!$B:$H,Insumo[[#This Row],[DESCRIPCION]],'CAP29'!$H:$H)</f>
        <v>0</v>
      </c>
      <c r="R510" s="290"/>
      <c r="T510" s="136">
        <v>195794.75999999998</v>
      </c>
    </row>
    <row r="511" spans="1:20">
      <c r="A511" s="301" t="s">
        <v>3121</v>
      </c>
      <c r="B511" s="303" t="s">
        <v>23</v>
      </c>
      <c r="C511" s="304">
        <f t="shared" si="7"/>
        <v>158184.86250000002</v>
      </c>
      <c r="D511" s="281" cm="1">
        <f t="array" aca="1" ref="D511" ca="1">IF(Insumo[[#This Row],[VALOR]]=0,Insumo[TOTAL],E511/C511)</f>
        <v>0</v>
      </c>
      <c r="E511" s="69">
        <f ca="1">SUM(Insumo[[#This Row],[CAP1-3]:[CAP29]])</f>
        <v>0</v>
      </c>
      <c r="F511" s="69">
        <f ca="1">SUMIF('CAP1-3'!$B:$H,Insumo[[#This Row],[DESCRIPCION]],'CAP1-3'!$H:$H)</f>
        <v>0</v>
      </c>
      <c r="G511" s="69">
        <f ca="1">SUMIF('CAP4-5'!$B:$H,Insumo[[#This Row],[DESCRIPCION]],'CAP4-5'!$H:$H)</f>
        <v>0</v>
      </c>
      <c r="H511" s="69">
        <f ca="1">SUMIF('CAP6-7'!$B:$H,Insumo[[#This Row],[DESCRIPCION]],'CAP6-7'!$H:$H)</f>
        <v>0</v>
      </c>
      <c r="I511" s="69">
        <f ca="1">SUMIF('CAP8'!$B:$H,Insumo[[#This Row],[DESCRIPCION]],'CAP8'!$H:$H)</f>
        <v>0</v>
      </c>
      <c r="J511" s="69">
        <f ca="1">SUMIF('CAP9-13'!$B:$H,Insumo[[#This Row],[DESCRIPCION]],'CAP9-13'!$H:$H)</f>
        <v>0</v>
      </c>
      <c r="K511" s="69">
        <f ca="1">SUMIF('CAP14-15'!$B:$H,Insumo[[#This Row],[DESCRIPCION]],'CAP14-15'!$H:$H)</f>
        <v>0</v>
      </c>
      <c r="L511" s="69">
        <f ca="1">SUMIF('CAP16-18'!$B:$H,Insumo[[#This Row],[DESCRIPCION]],'CAP16-18'!$H:$H)</f>
        <v>0</v>
      </c>
      <c r="M511" s="69">
        <f ca="1">SUMIF('CAP19-22'!$B:$H,Insumo[[#This Row],[DESCRIPCION]],'CAP19-22'!$H:$H)</f>
        <v>0</v>
      </c>
      <c r="N511" s="69">
        <f ca="1">SUMIF('CAP23-24'!$B:$H,Insumo[[#This Row],[DESCRIPCION]],'CAP23-24'!$H:$H)</f>
        <v>0</v>
      </c>
      <c r="O511" s="69">
        <f ca="1">SUMIF('CAP25'!$B:$H,Insumo[[#This Row],[DESCRIPCION]],'CAP25'!$H:$H)</f>
        <v>0</v>
      </c>
      <c r="P511" s="69">
        <f ca="1">SUMIF('CAP26-28'!$B:$H,Insumo[[#This Row],[DESCRIPCION]],'CAP26-28'!$H:$H)</f>
        <v>0</v>
      </c>
      <c r="Q511" s="69">
        <f ca="1">SUMIF('CAP29'!$B:$H,Insumo[[#This Row],[DESCRIPCION]],'CAP29'!$H:$H)</f>
        <v>0</v>
      </c>
      <c r="R511" s="290"/>
      <c r="T511" s="136">
        <v>150652.25</v>
      </c>
    </row>
    <row r="512" spans="1:20">
      <c r="A512" s="301" t="s">
        <v>3122</v>
      </c>
      <c r="B512" s="303" t="s">
        <v>23</v>
      </c>
      <c r="C512" s="304">
        <f t="shared" si="7"/>
        <v>158184.86250000002</v>
      </c>
      <c r="D512" s="281" cm="1">
        <f t="array" aca="1" ref="D512" ca="1">IF(Insumo[[#This Row],[VALOR]]=0,Insumo[TOTAL],E512/C512)</f>
        <v>0</v>
      </c>
      <c r="E512" s="69">
        <f ca="1">SUM(Insumo[[#This Row],[CAP1-3]:[CAP29]])</f>
        <v>0</v>
      </c>
      <c r="F512" s="69">
        <f ca="1">SUMIF('CAP1-3'!$B:$H,Insumo[[#This Row],[DESCRIPCION]],'CAP1-3'!$H:$H)</f>
        <v>0</v>
      </c>
      <c r="G512" s="69">
        <f ca="1">SUMIF('CAP4-5'!$B:$H,Insumo[[#This Row],[DESCRIPCION]],'CAP4-5'!$H:$H)</f>
        <v>0</v>
      </c>
      <c r="H512" s="69">
        <f ca="1">SUMIF('CAP6-7'!$B:$H,Insumo[[#This Row],[DESCRIPCION]],'CAP6-7'!$H:$H)</f>
        <v>0</v>
      </c>
      <c r="I512" s="69">
        <f ca="1">SUMIF('CAP8'!$B:$H,Insumo[[#This Row],[DESCRIPCION]],'CAP8'!$H:$H)</f>
        <v>0</v>
      </c>
      <c r="J512" s="69">
        <f ca="1">SUMIF('CAP9-13'!$B:$H,Insumo[[#This Row],[DESCRIPCION]],'CAP9-13'!$H:$H)</f>
        <v>0</v>
      </c>
      <c r="K512" s="69">
        <f ca="1">SUMIF('CAP14-15'!$B:$H,Insumo[[#This Row],[DESCRIPCION]],'CAP14-15'!$H:$H)</f>
        <v>0</v>
      </c>
      <c r="L512" s="69">
        <f ca="1">SUMIF('CAP16-18'!$B:$H,Insumo[[#This Row],[DESCRIPCION]],'CAP16-18'!$H:$H)</f>
        <v>0</v>
      </c>
      <c r="M512" s="69">
        <f ca="1">SUMIF('CAP19-22'!$B:$H,Insumo[[#This Row],[DESCRIPCION]],'CAP19-22'!$H:$H)</f>
        <v>0</v>
      </c>
      <c r="N512" s="69">
        <f ca="1">SUMIF('CAP23-24'!$B:$H,Insumo[[#This Row],[DESCRIPCION]],'CAP23-24'!$H:$H)</f>
        <v>0</v>
      </c>
      <c r="O512" s="69">
        <f ca="1">SUMIF('CAP25'!$B:$H,Insumo[[#This Row],[DESCRIPCION]],'CAP25'!$H:$H)</f>
        <v>0</v>
      </c>
      <c r="P512" s="69">
        <f ca="1">SUMIF('CAP26-28'!$B:$H,Insumo[[#This Row],[DESCRIPCION]],'CAP26-28'!$H:$H)</f>
        <v>0</v>
      </c>
      <c r="Q512" s="69">
        <f ca="1">SUMIF('CAP29'!$B:$H,Insumo[[#This Row],[DESCRIPCION]],'CAP29'!$H:$H)</f>
        <v>0</v>
      </c>
      <c r="R512" s="290"/>
      <c r="T512" s="136">
        <v>150652.25</v>
      </c>
    </row>
    <row r="513" spans="1:20">
      <c r="A513" s="301" t="s">
        <v>3123</v>
      </c>
      <c r="B513" s="303" t="s">
        <v>23</v>
      </c>
      <c r="C513" s="304">
        <f t="shared" si="7"/>
        <v>109732.56</v>
      </c>
      <c r="D513" s="281" cm="1">
        <f t="array" aca="1" ref="D513" ca="1">IF(Insumo[[#This Row],[VALOR]]=0,Insumo[TOTAL],E513/C513)</f>
        <v>0</v>
      </c>
      <c r="E513" s="69">
        <f ca="1">SUM(Insumo[[#This Row],[CAP1-3]:[CAP29]])</f>
        <v>0</v>
      </c>
      <c r="F513" s="69">
        <f ca="1">SUMIF('CAP1-3'!$B:$H,Insumo[[#This Row],[DESCRIPCION]],'CAP1-3'!$H:$H)</f>
        <v>0</v>
      </c>
      <c r="G513" s="69">
        <f ca="1">SUMIF('CAP4-5'!$B:$H,Insumo[[#This Row],[DESCRIPCION]],'CAP4-5'!$H:$H)</f>
        <v>0</v>
      </c>
      <c r="H513" s="69">
        <f ca="1">SUMIF('CAP6-7'!$B:$H,Insumo[[#This Row],[DESCRIPCION]],'CAP6-7'!$H:$H)</f>
        <v>0</v>
      </c>
      <c r="I513" s="69">
        <f ca="1">SUMIF('CAP8'!$B:$H,Insumo[[#This Row],[DESCRIPCION]],'CAP8'!$H:$H)</f>
        <v>0</v>
      </c>
      <c r="J513" s="69">
        <f ca="1">SUMIF('CAP9-13'!$B:$H,Insumo[[#This Row],[DESCRIPCION]],'CAP9-13'!$H:$H)</f>
        <v>0</v>
      </c>
      <c r="K513" s="69">
        <f ca="1">SUMIF('CAP14-15'!$B:$H,Insumo[[#This Row],[DESCRIPCION]],'CAP14-15'!$H:$H)</f>
        <v>0</v>
      </c>
      <c r="L513" s="69">
        <f ca="1">SUMIF('CAP16-18'!$B:$H,Insumo[[#This Row],[DESCRIPCION]],'CAP16-18'!$H:$H)</f>
        <v>0</v>
      </c>
      <c r="M513" s="69">
        <f ca="1">SUMIF('CAP19-22'!$B:$H,Insumo[[#This Row],[DESCRIPCION]],'CAP19-22'!$H:$H)</f>
        <v>0</v>
      </c>
      <c r="N513" s="69">
        <f ca="1">SUMIF('CAP23-24'!$B:$H,Insumo[[#This Row],[DESCRIPCION]],'CAP23-24'!$H:$H)</f>
        <v>0</v>
      </c>
      <c r="O513" s="69">
        <f ca="1">SUMIF('CAP25'!$B:$H,Insumo[[#This Row],[DESCRIPCION]],'CAP25'!$H:$H)</f>
        <v>0</v>
      </c>
      <c r="P513" s="69">
        <f ca="1">SUMIF('CAP26-28'!$B:$H,Insumo[[#This Row],[DESCRIPCION]],'CAP26-28'!$H:$H)</f>
        <v>0</v>
      </c>
      <c r="Q513" s="69">
        <f ca="1">SUMIF('CAP29'!$B:$H,Insumo[[#This Row],[DESCRIPCION]],'CAP29'!$H:$H)</f>
        <v>0</v>
      </c>
      <c r="R513" s="290"/>
      <c r="T513" s="136">
        <v>104507.2</v>
      </c>
    </row>
    <row r="514" spans="1:20" ht="12" customHeight="1">
      <c r="A514" s="301" t="s">
        <v>3124</v>
      </c>
      <c r="B514" s="303" t="s">
        <v>23</v>
      </c>
      <c r="C514" s="304">
        <f t="shared" si="7"/>
        <v>54444.600000000006</v>
      </c>
      <c r="D514" s="281" cm="1">
        <f t="array" aca="1" ref="D514" ca="1">IF(Insumo[[#This Row],[VALOR]]=0,Insumo[TOTAL],E514/C514)</f>
        <v>0</v>
      </c>
      <c r="E514" s="69">
        <f ca="1">SUM(Insumo[[#This Row],[CAP1-3]:[CAP29]])</f>
        <v>0</v>
      </c>
      <c r="F514" s="69">
        <f ca="1">SUMIF('CAP1-3'!$B:$H,Insumo[[#This Row],[DESCRIPCION]],'CAP1-3'!$H:$H)</f>
        <v>0</v>
      </c>
      <c r="G514" s="69">
        <f ca="1">SUMIF('CAP4-5'!$B:$H,Insumo[[#This Row],[DESCRIPCION]],'CAP4-5'!$H:$H)</f>
        <v>0</v>
      </c>
      <c r="H514" s="69">
        <f ca="1">SUMIF('CAP6-7'!$B:$H,Insumo[[#This Row],[DESCRIPCION]],'CAP6-7'!$H:$H)</f>
        <v>0</v>
      </c>
      <c r="I514" s="69">
        <f ca="1">SUMIF('CAP8'!$B:$H,Insumo[[#This Row],[DESCRIPCION]],'CAP8'!$H:$H)</f>
        <v>0</v>
      </c>
      <c r="J514" s="69">
        <f ca="1">SUMIF('CAP9-13'!$B:$H,Insumo[[#This Row],[DESCRIPCION]],'CAP9-13'!$H:$H)</f>
        <v>0</v>
      </c>
      <c r="K514" s="69">
        <f ca="1">SUMIF('CAP14-15'!$B:$H,Insumo[[#This Row],[DESCRIPCION]],'CAP14-15'!$H:$H)</f>
        <v>0</v>
      </c>
      <c r="L514" s="69">
        <f ca="1">SUMIF('CAP16-18'!$B:$H,Insumo[[#This Row],[DESCRIPCION]],'CAP16-18'!$H:$H)</f>
        <v>0</v>
      </c>
      <c r="M514" s="69">
        <f ca="1">SUMIF('CAP19-22'!$B:$H,Insumo[[#This Row],[DESCRIPCION]],'CAP19-22'!$H:$H)</f>
        <v>0</v>
      </c>
      <c r="N514" s="69">
        <f ca="1">SUMIF('CAP23-24'!$B:$H,Insumo[[#This Row],[DESCRIPCION]],'CAP23-24'!$H:$H)</f>
        <v>0</v>
      </c>
      <c r="O514" s="69">
        <f ca="1">SUMIF('CAP25'!$B:$H,Insumo[[#This Row],[DESCRIPCION]],'CAP25'!$H:$H)</f>
        <v>0</v>
      </c>
      <c r="P514" s="69">
        <f ca="1">SUMIF('CAP26-28'!$B:$H,Insumo[[#This Row],[DESCRIPCION]],'CAP26-28'!$H:$H)</f>
        <v>0</v>
      </c>
      <c r="Q514" s="69">
        <f ca="1">SUMIF('CAP29'!$B:$H,Insumo[[#This Row],[DESCRIPCION]],'CAP29'!$H:$H)</f>
        <v>0</v>
      </c>
      <c r="T514" s="136">
        <v>51852</v>
      </c>
    </row>
    <row r="515" spans="1:20" ht="12" customHeight="1">
      <c r="A515" s="301" t="s">
        <v>3125</v>
      </c>
      <c r="B515" s="303" t="s">
        <v>30</v>
      </c>
      <c r="C515" s="304">
        <f t="shared" si="7"/>
        <v>17049.900000000001</v>
      </c>
      <c r="D515" s="281" cm="1">
        <f t="array" aca="1" ref="D515" ca="1">IF(Insumo[[#This Row],[VALOR]]=0,Insumo[TOTAL],E515/C515)</f>
        <v>0</v>
      </c>
      <c r="E515" s="69">
        <f ca="1">SUM(Insumo[[#This Row],[CAP1-3]:[CAP29]])</f>
        <v>0</v>
      </c>
      <c r="F515" s="69">
        <f ca="1">SUMIF('CAP1-3'!$B:$H,Insumo[[#This Row],[DESCRIPCION]],'CAP1-3'!$H:$H)</f>
        <v>0</v>
      </c>
      <c r="G515" s="69">
        <f ca="1">SUMIF('CAP4-5'!$B:$H,Insumo[[#This Row],[DESCRIPCION]],'CAP4-5'!$H:$H)</f>
        <v>0</v>
      </c>
      <c r="H515" s="69">
        <f ca="1">SUMIF('CAP6-7'!$B:$H,Insumo[[#This Row],[DESCRIPCION]],'CAP6-7'!$H:$H)</f>
        <v>0</v>
      </c>
      <c r="I515" s="69">
        <f ca="1">SUMIF('CAP8'!$B:$H,Insumo[[#This Row],[DESCRIPCION]],'CAP8'!$H:$H)</f>
        <v>0</v>
      </c>
      <c r="J515" s="69">
        <f ca="1">SUMIF('CAP9-13'!$B:$H,Insumo[[#This Row],[DESCRIPCION]],'CAP9-13'!$H:$H)</f>
        <v>0</v>
      </c>
      <c r="K515" s="69">
        <f ca="1">SUMIF('CAP14-15'!$B:$H,Insumo[[#This Row],[DESCRIPCION]],'CAP14-15'!$H:$H)</f>
        <v>0</v>
      </c>
      <c r="L515" s="69">
        <f ca="1">SUMIF('CAP16-18'!$B:$H,Insumo[[#This Row],[DESCRIPCION]],'CAP16-18'!$H:$H)</f>
        <v>0</v>
      </c>
      <c r="M515" s="69">
        <f ca="1">SUMIF('CAP19-22'!$B:$H,Insumo[[#This Row],[DESCRIPCION]],'CAP19-22'!$H:$H)</f>
        <v>0</v>
      </c>
      <c r="N515" s="69">
        <f ca="1">SUMIF('CAP23-24'!$B:$H,Insumo[[#This Row],[DESCRIPCION]],'CAP23-24'!$H:$H)</f>
        <v>0</v>
      </c>
      <c r="O515" s="69">
        <f ca="1">SUMIF('CAP25'!$B:$H,Insumo[[#This Row],[DESCRIPCION]],'CAP25'!$H:$H)</f>
        <v>0</v>
      </c>
      <c r="P515" s="69">
        <f ca="1">SUMIF('CAP26-28'!$B:$H,Insumo[[#This Row],[DESCRIPCION]],'CAP26-28'!$H:$H)</f>
        <v>0</v>
      </c>
      <c r="Q515" s="69">
        <f ca="1">SUMIF('CAP29'!$B:$H,Insumo[[#This Row],[DESCRIPCION]],'CAP29'!$H:$H)</f>
        <v>0</v>
      </c>
      <c r="T515" s="136">
        <v>16238</v>
      </c>
    </row>
    <row r="516" spans="1:20" ht="12" customHeight="1">
      <c r="A516" s="301" t="s">
        <v>3126</v>
      </c>
      <c r="B516" s="303" t="s">
        <v>30</v>
      </c>
      <c r="C516" s="304">
        <f t="shared" si="7"/>
        <v>34098.75</v>
      </c>
      <c r="D516" s="281" cm="1">
        <f t="array" aca="1" ref="D516" ca="1">IF(Insumo[[#This Row],[VALOR]]=0,Insumo[TOTAL],E516/C516)</f>
        <v>0</v>
      </c>
      <c r="E516" s="69">
        <f ca="1">SUM(Insumo[[#This Row],[CAP1-3]:[CAP29]])</f>
        <v>0</v>
      </c>
      <c r="F516" s="69">
        <f ca="1">SUMIF('CAP1-3'!$B:$H,Insumo[[#This Row],[DESCRIPCION]],'CAP1-3'!$H:$H)</f>
        <v>0</v>
      </c>
      <c r="G516" s="69">
        <f ca="1">SUMIF('CAP4-5'!$B:$H,Insumo[[#This Row],[DESCRIPCION]],'CAP4-5'!$H:$H)</f>
        <v>0</v>
      </c>
      <c r="H516" s="69">
        <f ca="1">SUMIF('CAP6-7'!$B:$H,Insumo[[#This Row],[DESCRIPCION]],'CAP6-7'!$H:$H)</f>
        <v>0</v>
      </c>
      <c r="I516" s="69">
        <f ca="1">SUMIF('CAP8'!$B:$H,Insumo[[#This Row],[DESCRIPCION]],'CAP8'!$H:$H)</f>
        <v>0</v>
      </c>
      <c r="J516" s="69">
        <f ca="1">SUMIF('CAP9-13'!$B:$H,Insumo[[#This Row],[DESCRIPCION]],'CAP9-13'!$H:$H)</f>
        <v>0</v>
      </c>
      <c r="K516" s="69">
        <f ca="1">SUMIF('CAP14-15'!$B:$H,Insumo[[#This Row],[DESCRIPCION]],'CAP14-15'!$H:$H)</f>
        <v>0</v>
      </c>
      <c r="L516" s="69">
        <f ca="1">SUMIF('CAP16-18'!$B:$H,Insumo[[#This Row],[DESCRIPCION]],'CAP16-18'!$H:$H)</f>
        <v>0</v>
      </c>
      <c r="M516" s="69">
        <f ca="1">SUMIF('CAP19-22'!$B:$H,Insumo[[#This Row],[DESCRIPCION]],'CAP19-22'!$H:$H)</f>
        <v>0</v>
      </c>
      <c r="N516" s="69">
        <f ca="1">SUMIF('CAP23-24'!$B:$H,Insumo[[#This Row],[DESCRIPCION]],'CAP23-24'!$H:$H)</f>
        <v>0</v>
      </c>
      <c r="O516" s="69">
        <f ca="1">SUMIF('CAP25'!$B:$H,Insumo[[#This Row],[DESCRIPCION]],'CAP25'!$H:$H)</f>
        <v>0</v>
      </c>
      <c r="P516" s="69">
        <f ca="1">SUMIF('CAP26-28'!$B:$H,Insumo[[#This Row],[DESCRIPCION]],'CAP26-28'!$H:$H)</f>
        <v>0</v>
      </c>
      <c r="Q516" s="69">
        <f ca="1">SUMIF('CAP29'!$B:$H,Insumo[[#This Row],[DESCRIPCION]],'CAP29'!$H:$H)</f>
        <v>0</v>
      </c>
      <c r="T516" s="136">
        <v>32475</v>
      </c>
    </row>
    <row r="517" spans="1:20" ht="12" customHeight="1">
      <c r="A517" s="301" t="s">
        <v>3127</v>
      </c>
      <c r="B517" s="303" t="s">
        <v>20</v>
      </c>
      <c r="C517" s="304">
        <f t="shared" si="7"/>
        <v>70543.199999999997</v>
      </c>
      <c r="D517" s="281" cm="1">
        <f t="array" aca="1" ref="D517" ca="1">IF(Insumo[[#This Row],[VALOR]]=0,Insumo[TOTAL],E517/C517)</f>
        <v>0</v>
      </c>
      <c r="E517" s="69">
        <f ca="1">SUM(Insumo[[#This Row],[CAP1-3]:[CAP29]])</f>
        <v>0</v>
      </c>
      <c r="F517" s="69">
        <f ca="1">SUMIF('CAP1-3'!$B:$H,Insumo[[#This Row],[DESCRIPCION]],'CAP1-3'!$H:$H)</f>
        <v>0</v>
      </c>
      <c r="G517" s="69">
        <f ca="1">SUMIF('CAP4-5'!$B:$H,Insumo[[#This Row],[DESCRIPCION]],'CAP4-5'!$H:$H)</f>
        <v>0</v>
      </c>
      <c r="H517" s="69">
        <f ca="1">SUMIF('CAP6-7'!$B:$H,Insumo[[#This Row],[DESCRIPCION]],'CAP6-7'!$H:$H)</f>
        <v>0</v>
      </c>
      <c r="I517" s="69">
        <f ca="1">SUMIF('CAP8'!$B:$H,Insumo[[#This Row],[DESCRIPCION]],'CAP8'!$H:$H)</f>
        <v>0</v>
      </c>
      <c r="J517" s="69">
        <f ca="1">SUMIF('CAP9-13'!$B:$H,Insumo[[#This Row],[DESCRIPCION]],'CAP9-13'!$H:$H)</f>
        <v>0</v>
      </c>
      <c r="K517" s="69">
        <f ca="1">SUMIF('CAP14-15'!$B:$H,Insumo[[#This Row],[DESCRIPCION]],'CAP14-15'!$H:$H)</f>
        <v>0</v>
      </c>
      <c r="L517" s="69">
        <f ca="1">SUMIF('CAP16-18'!$B:$H,Insumo[[#This Row],[DESCRIPCION]],'CAP16-18'!$H:$H)</f>
        <v>0</v>
      </c>
      <c r="M517" s="69">
        <f ca="1">SUMIF('CAP19-22'!$B:$H,Insumo[[#This Row],[DESCRIPCION]],'CAP19-22'!$H:$H)</f>
        <v>0</v>
      </c>
      <c r="N517" s="69">
        <f ca="1">SUMIF('CAP23-24'!$B:$H,Insumo[[#This Row],[DESCRIPCION]],'CAP23-24'!$H:$H)</f>
        <v>0</v>
      </c>
      <c r="O517" s="69">
        <f ca="1">SUMIF('CAP25'!$B:$H,Insumo[[#This Row],[DESCRIPCION]],'CAP25'!$H:$H)</f>
        <v>0</v>
      </c>
      <c r="P517" s="69">
        <f ca="1">SUMIF('CAP26-28'!$B:$H,Insumo[[#This Row],[DESCRIPCION]],'CAP26-28'!$H:$H)</f>
        <v>0</v>
      </c>
      <c r="Q517" s="69">
        <f ca="1">SUMIF('CAP29'!$B:$H,Insumo[[#This Row],[DESCRIPCION]],'CAP29'!$H:$H)</f>
        <v>0</v>
      </c>
      <c r="T517" s="136">
        <v>67184</v>
      </c>
    </row>
    <row r="518" spans="1:20" ht="12" customHeight="1">
      <c r="A518" s="301" t="s">
        <v>3128</v>
      </c>
      <c r="B518" s="303" t="s">
        <v>20</v>
      </c>
      <c r="C518" s="304">
        <f t="shared" ref="C518:C581" si="8">T518*$T$3</f>
        <v>56207.55</v>
      </c>
      <c r="D518" s="281" cm="1">
        <f t="array" aca="1" ref="D518" ca="1">IF(Insumo[[#This Row],[VALOR]]=0,Insumo[TOTAL],E518/C518)</f>
        <v>0</v>
      </c>
      <c r="E518" s="69">
        <f ca="1">SUM(Insumo[[#This Row],[CAP1-3]:[CAP29]])</f>
        <v>0</v>
      </c>
      <c r="F518" s="69">
        <f ca="1">SUMIF('CAP1-3'!$B:$H,Insumo[[#This Row],[DESCRIPCION]],'CAP1-3'!$H:$H)</f>
        <v>0</v>
      </c>
      <c r="G518" s="69">
        <f ca="1">SUMIF('CAP4-5'!$B:$H,Insumo[[#This Row],[DESCRIPCION]],'CAP4-5'!$H:$H)</f>
        <v>0</v>
      </c>
      <c r="H518" s="69">
        <f ca="1">SUMIF('CAP6-7'!$B:$H,Insumo[[#This Row],[DESCRIPCION]],'CAP6-7'!$H:$H)</f>
        <v>0</v>
      </c>
      <c r="I518" s="69">
        <f ca="1">SUMIF('CAP8'!$B:$H,Insumo[[#This Row],[DESCRIPCION]],'CAP8'!$H:$H)</f>
        <v>0</v>
      </c>
      <c r="J518" s="69">
        <f ca="1">SUMIF('CAP9-13'!$B:$H,Insumo[[#This Row],[DESCRIPCION]],'CAP9-13'!$H:$H)</f>
        <v>0</v>
      </c>
      <c r="K518" s="69">
        <f ca="1">SUMIF('CAP14-15'!$B:$H,Insumo[[#This Row],[DESCRIPCION]],'CAP14-15'!$H:$H)</f>
        <v>0</v>
      </c>
      <c r="L518" s="69">
        <f ca="1">SUMIF('CAP16-18'!$B:$H,Insumo[[#This Row],[DESCRIPCION]],'CAP16-18'!$H:$H)</f>
        <v>0</v>
      </c>
      <c r="M518" s="69">
        <f ca="1">SUMIF('CAP19-22'!$B:$H,Insumo[[#This Row],[DESCRIPCION]],'CAP19-22'!$H:$H)</f>
        <v>0</v>
      </c>
      <c r="N518" s="69">
        <f ca="1">SUMIF('CAP23-24'!$B:$H,Insumo[[#This Row],[DESCRIPCION]],'CAP23-24'!$H:$H)</f>
        <v>0</v>
      </c>
      <c r="O518" s="69">
        <f ca="1">SUMIF('CAP25'!$B:$H,Insumo[[#This Row],[DESCRIPCION]],'CAP25'!$H:$H)</f>
        <v>0</v>
      </c>
      <c r="P518" s="69">
        <f ca="1">SUMIF('CAP26-28'!$B:$H,Insumo[[#This Row],[DESCRIPCION]],'CAP26-28'!$H:$H)</f>
        <v>0</v>
      </c>
      <c r="Q518" s="69">
        <f ca="1">SUMIF('CAP29'!$B:$H,Insumo[[#This Row],[DESCRIPCION]],'CAP29'!$H:$H)</f>
        <v>0</v>
      </c>
      <c r="T518" s="136">
        <v>53531</v>
      </c>
    </row>
    <row r="519" spans="1:20" ht="12" customHeight="1">
      <c r="A519" s="301" t="s">
        <v>3129</v>
      </c>
      <c r="B519" s="303" t="s">
        <v>20</v>
      </c>
      <c r="C519" s="304">
        <f t="shared" si="8"/>
        <v>48246.450000000004</v>
      </c>
      <c r="D519" s="281" cm="1">
        <f t="array" aca="1" ref="D519" ca="1">IF(Insumo[[#This Row],[VALOR]]=0,Insumo[TOTAL],E519/C519)</f>
        <v>0</v>
      </c>
      <c r="E519" s="69">
        <f ca="1">SUM(Insumo[[#This Row],[CAP1-3]:[CAP29]])</f>
        <v>0</v>
      </c>
      <c r="F519" s="69">
        <f ca="1">SUMIF('CAP1-3'!$B:$H,Insumo[[#This Row],[DESCRIPCION]],'CAP1-3'!$H:$H)</f>
        <v>0</v>
      </c>
      <c r="G519" s="69">
        <f ca="1">SUMIF('CAP4-5'!$B:$H,Insumo[[#This Row],[DESCRIPCION]],'CAP4-5'!$H:$H)</f>
        <v>0</v>
      </c>
      <c r="H519" s="69">
        <f ca="1">SUMIF('CAP6-7'!$B:$H,Insumo[[#This Row],[DESCRIPCION]],'CAP6-7'!$H:$H)</f>
        <v>0</v>
      </c>
      <c r="I519" s="69">
        <f ca="1">SUMIF('CAP8'!$B:$H,Insumo[[#This Row],[DESCRIPCION]],'CAP8'!$H:$H)</f>
        <v>0</v>
      </c>
      <c r="J519" s="69">
        <f ca="1">SUMIF('CAP9-13'!$B:$H,Insumo[[#This Row],[DESCRIPCION]],'CAP9-13'!$H:$H)</f>
        <v>0</v>
      </c>
      <c r="K519" s="69">
        <f ca="1">SUMIF('CAP14-15'!$B:$H,Insumo[[#This Row],[DESCRIPCION]],'CAP14-15'!$H:$H)</f>
        <v>0</v>
      </c>
      <c r="L519" s="69">
        <f ca="1">SUMIF('CAP16-18'!$B:$H,Insumo[[#This Row],[DESCRIPCION]],'CAP16-18'!$H:$H)</f>
        <v>0</v>
      </c>
      <c r="M519" s="69">
        <f ca="1">SUMIF('CAP19-22'!$B:$H,Insumo[[#This Row],[DESCRIPCION]],'CAP19-22'!$H:$H)</f>
        <v>0</v>
      </c>
      <c r="N519" s="69">
        <f ca="1">SUMIF('CAP23-24'!$B:$H,Insumo[[#This Row],[DESCRIPCION]],'CAP23-24'!$H:$H)</f>
        <v>0</v>
      </c>
      <c r="O519" s="69">
        <f ca="1">SUMIF('CAP25'!$B:$H,Insumo[[#This Row],[DESCRIPCION]],'CAP25'!$H:$H)</f>
        <v>0</v>
      </c>
      <c r="P519" s="69">
        <f ca="1">SUMIF('CAP26-28'!$B:$H,Insumo[[#This Row],[DESCRIPCION]],'CAP26-28'!$H:$H)</f>
        <v>0</v>
      </c>
      <c r="Q519" s="69">
        <f ca="1">SUMIF('CAP29'!$B:$H,Insumo[[#This Row],[DESCRIPCION]],'CAP29'!$H:$H)</f>
        <v>0</v>
      </c>
      <c r="R519" s="136" t="s">
        <v>2774</v>
      </c>
      <c r="T519" s="136">
        <v>45949</v>
      </c>
    </row>
    <row r="520" spans="1:20" ht="12" customHeight="1">
      <c r="A520" s="301" t="s">
        <v>3130</v>
      </c>
      <c r="B520" s="303" t="s">
        <v>20</v>
      </c>
      <c r="C520" s="304">
        <f t="shared" si="8"/>
        <v>9102.4500000000007</v>
      </c>
      <c r="D520" s="281" cm="1">
        <f t="array" aca="1" ref="D520" ca="1">IF(Insumo[[#This Row],[VALOR]]=0,Insumo[TOTAL],E520/C520)</f>
        <v>0</v>
      </c>
      <c r="E520" s="69">
        <f ca="1">SUM(Insumo[[#This Row],[CAP1-3]:[CAP29]])</f>
        <v>0</v>
      </c>
      <c r="F520" s="69">
        <f ca="1">SUMIF('CAP1-3'!$B:$H,Insumo[[#This Row],[DESCRIPCION]],'CAP1-3'!$H:$H)</f>
        <v>0</v>
      </c>
      <c r="G520" s="69">
        <f ca="1">SUMIF('CAP4-5'!$B:$H,Insumo[[#This Row],[DESCRIPCION]],'CAP4-5'!$H:$H)</f>
        <v>0</v>
      </c>
      <c r="H520" s="69">
        <f ca="1">SUMIF('CAP6-7'!$B:$H,Insumo[[#This Row],[DESCRIPCION]],'CAP6-7'!$H:$H)</f>
        <v>0</v>
      </c>
      <c r="I520" s="69">
        <f ca="1">SUMIF('CAP8'!$B:$H,Insumo[[#This Row],[DESCRIPCION]],'CAP8'!$H:$H)</f>
        <v>0</v>
      </c>
      <c r="J520" s="69">
        <f ca="1">SUMIF('CAP9-13'!$B:$H,Insumo[[#This Row],[DESCRIPCION]],'CAP9-13'!$H:$H)</f>
        <v>0</v>
      </c>
      <c r="K520" s="69">
        <f ca="1">SUMIF('CAP14-15'!$B:$H,Insumo[[#This Row],[DESCRIPCION]],'CAP14-15'!$H:$H)</f>
        <v>0</v>
      </c>
      <c r="L520" s="69">
        <f ca="1">SUMIF('CAP16-18'!$B:$H,Insumo[[#This Row],[DESCRIPCION]],'CAP16-18'!$H:$H)</f>
        <v>0</v>
      </c>
      <c r="M520" s="69">
        <f ca="1">SUMIF('CAP19-22'!$B:$H,Insumo[[#This Row],[DESCRIPCION]],'CAP19-22'!$H:$H)</f>
        <v>0</v>
      </c>
      <c r="N520" s="69">
        <f ca="1">SUMIF('CAP23-24'!$B:$H,Insumo[[#This Row],[DESCRIPCION]],'CAP23-24'!$H:$H)</f>
        <v>0</v>
      </c>
      <c r="O520" s="69">
        <f ca="1">SUMIF('CAP25'!$B:$H,Insumo[[#This Row],[DESCRIPCION]],'CAP25'!$H:$H)</f>
        <v>0</v>
      </c>
      <c r="P520" s="69">
        <f ca="1">SUMIF('CAP26-28'!$B:$H,Insumo[[#This Row],[DESCRIPCION]],'CAP26-28'!$H:$H)</f>
        <v>0</v>
      </c>
      <c r="Q520" s="69">
        <f ca="1">SUMIF('CAP29'!$B:$H,Insumo[[#This Row],[DESCRIPCION]],'CAP29'!$H:$H)</f>
        <v>0</v>
      </c>
      <c r="T520" s="136">
        <v>8669</v>
      </c>
    </row>
    <row r="521" spans="1:20" ht="12" customHeight="1">
      <c r="A521" s="301" t="s">
        <v>3131</v>
      </c>
      <c r="B521" s="303" t="s">
        <v>20</v>
      </c>
      <c r="C521" s="304">
        <f t="shared" si="8"/>
        <v>17412.150000000001</v>
      </c>
      <c r="D521" s="281" cm="1">
        <f t="array" aca="1" ref="D521" ca="1">IF(Insumo[[#This Row],[VALOR]]=0,Insumo[TOTAL],E521/C521)</f>
        <v>0</v>
      </c>
      <c r="E521" s="69">
        <f ca="1">SUM(Insumo[[#This Row],[CAP1-3]:[CAP29]])</f>
        <v>0</v>
      </c>
      <c r="F521" s="69">
        <f ca="1">SUMIF('CAP1-3'!$B:$H,Insumo[[#This Row],[DESCRIPCION]],'CAP1-3'!$H:$H)</f>
        <v>0</v>
      </c>
      <c r="G521" s="69">
        <f ca="1">SUMIF('CAP4-5'!$B:$H,Insumo[[#This Row],[DESCRIPCION]],'CAP4-5'!$H:$H)</f>
        <v>0</v>
      </c>
      <c r="H521" s="69">
        <f ca="1">SUMIF('CAP6-7'!$B:$H,Insumo[[#This Row],[DESCRIPCION]],'CAP6-7'!$H:$H)</f>
        <v>0</v>
      </c>
      <c r="I521" s="69">
        <f ca="1">SUMIF('CAP8'!$B:$H,Insumo[[#This Row],[DESCRIPCION]],'CAP8'!$H:$H)</f>
        <v>0</v>
      </c>
      <c r="J521" s="69">
        <f ca="1">SUMIF('CAP9-13'!$B:$H,Insumo[[#This Row],[DESCRIPCION]],'CAP9-13'!$H:$H)</f>
        <v>0</v>
      </c>
      <c r="K521" s="69">
        <f ca="1">SUMIF('CAP14-15'!$B:$H,Insumo[[#This Row],[DESCRIPCION]],'CAP14-15'!$H:$H)</f>
        <v>0</v>
      </c>
      <c r="L521" s="69">
        <f ca="1">SUMIF('CAP16-18'!$B:$H,Insumo[[#This Row],[DESCRIPCION]],'CAP16-18'!$H:$H)</f>
        <v>0</v>
      </c>
      <c r="M521" s="69">
        <f ca="1">SUMIF('CAP19-22'!$B:$H,Insumo[[#This Row],[DESCRIPCION]],'CAP19-22'!$H:$H)</f>
        <v>0</v>
      </c>
      <c r="N521" s="69">
        <f ca="1">SUMIF('CAP23-24'!$B:$H,Insumo[[#This Row],[DESCRIPCION]],'CAP23-24'!$H:$H)</f>
        <v>0</v>
      </c>
      <c r="O521" s="69">
        <f ca="1">SUMIF('CAP25'!$B:$H,Insumo[[#This Row],[DESCRIPCION]],'CAP25'!$H:$H)</f>
        <v>0</v>
      </c>
      <c r="P521" s="69">
        <f ca="1">SUMIF('CAP26-28'!$B:$H,Insumo[[#This Row],[DESCRIPCION]],'CAP26-28'!$H:$H)</f>
        <v>0</v>
      </c>
      <c r="Q521" s="69">
        <f ca="1">SUMIF('CAP29'!$B:$H,Insumo[[#This Row],[DESCRIPCION]],'CAP29'!$H:$H)</f>
        <v>0</v>
      </c>
      <c r="T521" s="136">
        <v>16583</v>
      </c>
    </row>
    <row r="522" spans="1:20" ht="12" customHeight="1">
      <c r="A522" s="301" t="s">
        <v>3132</v>
      </c>
      <c r="B522" s="303" t="s">
        <v>23</v>
      </c>
      <c r="C522" s="304">
        <f t="shared" si="8"/>
        <v>122150.70000000001</v>
      </c>
      <c r="D522" s="281" cm="1">
        <f t="array" aca="1" ref="D522" ca="1">IF(Insumo[[#This Row],[VALOR]]=0,Insumo[TOTAL],E522/C522)</f>
        <v>0</v>
      </c>
      <c r="E522" s="69">
        <f ca="1">SUM(Insumo[[#This Row],[CAP1-3]:[CAP29]])</f>
        <v>0</v>
      </c>
      <c r="F522" s="69">
        <f ca="1">SUMIF('CAP1-3'!$B:$H,Insumo[[#This Row],[DESCRIPCION]],'CAP1-3'!$H:$H)</f>
        <v>0</v>
      </c>
      <c r="G522" s="69">
        <f ca="1">SUMIF('CAP4-5'!$B:$H,Insumo[[#This Row],[DESCRIPCION]],'CAP4-5'!$H:$H)</f>
        <v>0</v>
      </c>
      <c r="H522" s="69">
        <f ca="1">SUMIF('CAP6-7'!$B:$H,Insumo[[#This Row],[DESCRIPCION]],'CAP6-7'!$H:$H)</f>
        <v>0</v>
      </c>
      <c r="I522" s="69">
        <f ca="1">SUMIF('CAP8'!$B:$H,Insumo[[#This Row],[DESCRIPCION]],'CAP8'!$H:$H)</f>
        <v>0</v>
      </c>
      <c r="J522" s="69">
        <f ca="1">SUMIF('CAP9-13'!$B:$H,Insumo[[#This Row],[DESCRIPCION]],'CAP9-13'!$H:$H)</f>
        <v>0</v>
      </c>
      <c r="K522" s="69">
        <f ca="1">SUMIF('CAP14-15'!$B:$H,Insumo[[#This Row],[DESCRIPCION]],'CAP14-15'!$H:$H)</f>
        <v>0</v>
      </c>
      <c r="L522" s="69">
        <f ca="1">SUMIF('CAP16-18'!$B:$H,Insumo[[#This Row],[DESCRIPCION]],'CAP16-18'!$H:$H)</f>
        <v>0</v>
      </c>
      <c r="M522" s="69">
        <f ca="1">SUMIF('CAP19-22'!$B:$H,Insumo[[#This Row],[DESCRIPCION]],'CAP19-22'!$H:$H)</f>
        <v>0</v>
      </c>
      <c r="N522" s="69">
        <f ca="1">SUMIF('CAP23-24'!$B:$H,Insumo[[#This Row],[DESCRIPCION]],'CAP23-24'!$H:$H)</f>
        <v>0</v>
      </c>
      <c r="O522" s="69">
        <f ca="1">SUMIF('CAP25'!$B:$H,Insumo[[#This Row],[DESCRIPCION]],'CAP25'!$H:$H)</f>
        <v>0</v>
      </c>
      <c r="P522" s="69">
        <f ca="1">SUMIF('CAP26-28'!$B:$H,Insumo[[#This Row],[DESCRIPCION]],'CAP26-28'!$H:$H)</f>
        <v>0</v>
      </c>
      <c r="Q522" s="69">
        <f ca="1">SUMIF('CAP29'!$B:$H,Insumo[[#This Row],[DESCRIPCION]],'CAP29'!$H:$H)</f>
        <v>0</v>
      </c>
      <c r="T522" s="136">
        <v>116334</v>
      </c>
    </row>
    <row r="523" spans="1:20" ht="12" customHeight="1">
      <c r="A523" s="301" t="s">
        <v>3133</v>
      </c>
      <c r="B523" s="303" t="s">
        <v>23</v>
      </c>
      <c r="C523" s="304">
        <f t="shared" si="8"/>
        <v>154637.70000000001</v>
      </c>
      <c r="D523" s="281" cm="1">
        <f t="array" aca="1" ref="D523" ca="1">IF(Insumo[[#This Row],[VALOR]]=0,Insumo[TOTAL],E523/C523)</f>
        <v>0</v>
      </c>
      <c r="E523" s="69">
        <f ca="1">SUM(Insumo[[#This Row],[CAP1-3]:[CAP29]])</f>
        <v>0</v>
      </c>
      <c r="F523" s="69">
        <f ca="1">SUMIF('CAP1-3'!$B:$H,Insumo[[#This Row],[DESCRIPCION]],'CAP1-3'!$H:$H)</f>
        <v>0</v>
      </c>
      <c r="G523" s="69">
        <f ca="1">SUMIF('CAP4-5'!$B:$H,Insumo[[#This Row],[DESCRIPCION]],'CAP4-5'!$H:$H)</f>
        <v>0</v>
      </c>
      <c r="H523" s="69">
        <f ca="1">SUMIF('CAP6-7'!$B:$H,Insumo[[#This Row],[DESCRIPCION]],'CAP6-7'!$H:$H)</f>
        <v>0</v>
      </c>
      <c r="I523" s="69">
        <f ca="1">SUMIF('CAP8'!$B:$H,Insumo[[#This Row],[DESCRIPCION]],'CAP8'!$H:$H)</f>
        <v>0</v>
      </c>
      <c r="J523" s="69">
        <f ca="1">SUMIF('CAP9-13'!$B:$H,Insumo[[#This Row],[DESCRIPCION]],'CAP9-13'!$H:$H)</f>
        <v>0</v>
      </c>
      <c r="K523" s="69">
        <f ca="1">SUMIF('CAP14-15'!$B:$H,Insumo[[#This Row],[DESCRIPCION]],'CAP14-15'!$H:$H)</f>
        <v>0</v>
      </c>
      <c r="L523" s="69">
        <f ca="1">SUMIF('CAP16-18'!$B:$H,Insumo[[#This Row],[DESCRIPCION]],'CAP16-18'!$H:$H)</f>
        <v>0</v>
      </c>
      <c r="M523" s="69">
        <f ca="1">SUMIF('CAP19-22'!$B:$H,Insumo[[#This Row],[DESCRIPCION]],'CAP19-22'!$H:$H)</f>
        <v>0</v>
      </c>
      <c r="N523" s="69">
        <f ca="1">SUMIF('CAP23-24'!$B:$H,Insumo[[#This Row],[DESCRIPCION]],'CAP23-24'!$H:$H)</f>
        <v>0</v>
      </c>
      <c r="O523" s="69">
        <f ca="1">SUMIF('CAP25'!$B:$H,Insumo[[#This Row],[DESCRIPCION]],'CAP25'!$H:$H)</f>
        <v>0</v>
      </c>
      <c r="P523" s="69">
        <f ca="1">SUMIF('CAP26-28'!$B:$H,Insumo[[#This Row],[DESCRIPCION]],'CAP26-28'!$H:$H)</f>
        <v>0</v>
      </c>
      <c r="Q523" s="69">
        <f ca="1">SUMIF('CAP29'!$B:$H,Insumo[[#This Row],[DESCRIPCION]],'CAP29'!$H:$H)</f>
        <v>0</v>
      </c>
      <c r="T523" s="136">
        <v>147274</v>
      </c>
    </row>
    <row r="524" spans="1:20" ht="12" customHeight="1">
      <c r="A524" s="301" t="s">
        <v>3134</v>
      </c>
      <c r="B524" s="303" t="s">
        <v>23</v>
      </c>
      <c r="C524" s="304">
        <f t="shared" si="8"/>
        <v>217350</v>
      </c>
      <c r="D524" s="281" cm="1">
        <f t="array" aca="1" ref="D524" ca="1">IF(Insumo[[#This Row],[VALOR]]=0,Insumo[TOTAL],E524/C524)</f>
        <v>0</v>
      </c>
      <c r="E524" s="69">
        <f ca="1">SUM(Insumo[[#This Row],[CAP1-3]:[CAP29]])</f>
        <v>0</v>
      </c>
      <c r="F524" s="69">
        <f ca="1">SUMIF('CAP1-3'!$B:$H,Insumo[[#This Row],[DESCRIPCION]],'CAP1-3'!$H:$H)</f>
        <v>0</v>
      </c>
      <c r="G524" s="69">
        <f ca="1">SUMIF('CAP4-5'!$B:$H,Insumo[[#This Row],[DESCRIPCION]],'CAP4-5'!$H:$H)</f>
        <v>0</v>
      </c>
      <c r="H524" s="69">
        <f ca="1">SUMIF('CAP6-7'!$B:$H,Insumo[[#This Row],[DESCRIPCION]],'CAP6-7'!$H:$H)</f>
        <v>0</v>
      </c>
      <c r="I524" s="69">
        <f ca="1">SUMIF('CAP8'!$B:$H,Insumo[[#This Row],[DESCRIPCION]],'CAP8'!$H:$H)</f>
        <v>0</v>
      </c>
      <c r="J524" s="69">
        <f ca="1">SUMIF('CAP9-13'!$B:$H,Insumo[[#This Row],[DESCRIPCION]],'CAP9-13'!$H:$H)</f>
        <v>0</v>
      </c>
      <c r="K524" s="69">
        <f ca="1">SUMIF('CAP14-15'!$B:$H,Insumo[[#This Row],[DESCRIPCION]],'CAP14-15'!$H:$H)</f>
        <v>0</v>
      </c>
      <c r="L524" s="69">
        <f ca="1">SUMIF('CAP16-18'!$B:$H,Insumo[[#This Row],[DESCRIPCION]],'CAP16-18'!$H:$H)</f>
        <v>0</v>
      </c>
      <c r="M524" s="69">
        <f ca="1">SUMIF('CAP19-22'!$B:$H,Insumo[[#This Row],[DESCRIPCION]],'CAP19-22'!$H:$H)</f>
        <v>0</v>
      </c>
      <c r="N524" s="69">
        <f ca="1">SUMIF('CAP23-24'!$B:$H,Insumo[[#This Row],[DESCRIPCION]],'CAP23-24'!$H:$H)</f>
        <v>0</v>
      </c>
      <c r="O524" s="69">
        <f ca="1">SUMIF('CAP25'!$B:$H,Insumo[[#This Row],[DESCRIPCION]],'CAP25'!$H:$H)</f>
        <v>0</v>
      </c>
      <c r="P524" s="69">
        <f ca="1">SUMIF('CAP26-28'!$B:$H,Insumo[[#This Row],[DESCRIPCION]],'CAP26-28'!$H:$H)</f>
        <v>0</v>
      </c>
      <c r="Q524" s="69">
        <f ca="1">SUMIF('CAP29'!$B:$H,Insumo[[#This Row],[DESCRIPCION]],'CAP29'!$H:$H)</f>
        <v>0</v>
      </c>
      <c r="T524" s="136">
        <v>207000</v>
      </c>
    </row>
    <row r="525" spans="1:20" ht="12" customHeight="1">
      <c r="A525" s="301" t="s">
        <v>3135</v>
      </c>
      <c r="B525" s="303" t="s">
        <v>23</v>
      </c>
      <c r="C525" s="304">
        <f t="shared" si="8"/>
        <v>236862.15000000002</v>
      </c>
      <c r="D525" s="281" cm="1">
        <f t="array" aca="1" ref="D525" ca="1">IF(Insumo[[#This Row],[VALOR]]=0,Insumo[TOTAL],E525/C525)</f>
        <v>0</v>
      </c>
      <c r="E525" s="69">
        <f ca="1">SUM(Insumo[[#This Row],[CAP1-3]:[CAP29]])</f>
        <v>0</v>
      </c>
      <c r="F525" s="69">
        <f ca="1">SUMIF('CAP1-3'!$B:$H,Insumo[[#This Row],[DESCRIPCION]],'CAP1-3'!$H:$H)</f>
        <v>0</v>
      </c>
      <c r="G525" s="69">
        <f ca="1">SUMIF('CAP4-5'!$B:$H,Insumo[[#This Row],[DESCRIPCION]],'CAP4-5'!$H:$H)</f>
        <v>0</v>
      </c>
      <c r="H525" s="69">
        <f ca="1">SUMIF('CAP6-7'!$B:$H,Insumo[[#This Row],[DESCRIPCION]],'CAP6-7'!$H:$H)</f>
        <v>0</v>
      </c>
      <c r="I525" s="69">
        <f ca="1">SUMIF('CAP8'!$B:$H,Insumo[[#This Row],[DESCRIPCION]],'CAP8'!$H:$H)</f>
        <v>0</v>
      </c>
      <c r="J525" s="69">
        <f ca="1">SUMIF('CAP9-13'!$B:$H,Insumo[[#This Row],[DESCRIPCION]],'CAP9-13'!$H:$H)</f>
        <v>0</v>
      </c>
      <c r="K525" s="69">
        <f ca="1">SUMIF('CAP14-15'!$B:$H,Insumo[[#This Row],[DESCRIPCION]],'CAP14-15'!$H:$H)</f>
        <v>0</v>
      </c>
      <c r="L525" s="69">
        <f ca="1">SUMIF('CAP16-18'!$B:$H,Insumo[[#This Row],[DESCRIPCION]],'CAP16-18'!$H:$H)</f>
        <v>0</v>
      </c>
      <c r="M525" s="69">
        <f ca="1">SUMIF('CAP19-22'!$B:$H,Insumo[[#This Row],[DESCRIPCION]],'CAP19-22'!$H:$H)</f>
        <v>0</v>
      </c>
      <c r="N525" s="69">
        <f ca="1">SUMIF('CAP23-24'!$B:$H,Insumo[[#This Row],[DESCRIPCION]],'CAP23-24'!$H:$H)</f>
        <v>0</v>
      </c>
      <c r="O525" s="69">
        <f ca="1">SUMIF('CAP25'!$B:$H,Insumo[[#This Row],[DESCRIPCION]],'CAP25'!$H:$H)</f>
        <v>0</v>
      </c>
      <c r="P525" s="69">
        <f ca="1">SUMIF('CAP26-28'!$B:$H,Insumo[[#This Row],[DESCRIPCION]],'CAP26-28'!$H:$H)</f>
        <v>0</v>
      </c>
      <c r="Q525" s="69">
        <f ca="1">SUMIF('CAP29'!$B:$H,Insumo[[#This Row],[DESCRIPCION]],'CAP29'!$H:$H)</f>
        <v>0</v>
      </c>
      <c r="T525" s="136">
        <v>225583</v>
      </c>
    </row>
    <row r="526" spans="1:20" ht="12" customHeight="1">
      <c r="A526" s="301" t="s">
        <v>3136</v>
      </c>
      <c r="B526" s="303" t="s">
        <v>23</v>
      </c>
      <c r="C526" s="304">
        <f t="shared" si="8"/>
        <v>268917.60000000003</v>
      </c>
      <c r="D526" s="281" cm="1">
        <f t="array" aca="1" ref="D526" ca="1">IF(Insumo[[#This Row],[VALOR]]=0,Insumo[TOTAL],E526/C526)</f>
        <v>0</v>
      </c>
      <c r="E526" s="69">
        <f ca="1">SUM(Insumo[[#This Row],[CAP1-3]:[CAP29]])</f>
        <v>0</v>
      </c>
      <c r="F526" s="69">
        <f ca="1">SUMIF('CAP1-3'!$B:$H,Insumo[[#This Row],[DESCRIPCION]],'CAP1-3'!$H:$H)</f>
        <v>0</v>
      </c>
      <c r="G526" s="69">
        <f ca="1">SUMIF('CAP4-5'!$B:$H,Insumo[[#This Row],[DESCRIPCION]],'CAP4-5'!$H:$H)</f>
        <v>0</v>
      </c>
      <c r="H526" s="69">
        <f ca="1">SUMIF('CAP6-7'!$B:$H,Insumo[[#This Row],[DESCRIPCION]],'CAP6-7'!$H:$H)</f>
        <v>0</v>
      </c>
      <c r="I526" s="69">
        <f ca="1">SUMIF('CAP8'!$B:$H,Insumo[[#This Row],[DESCRIPCION]],'CAP8'!$H:$H)</f>
        <v>0</v>
      </c>
      <c r="J526" s="69">
        <f ca="1">SUMIF('CAP9-13'!$B:$H,Insumo[[#This Row],[DESCRIPCION]],'CAP9-13'!$H:$H)</f>
        <v>0</v>
      </c>
      <c r="K526" s="69">
        <f ca="1">SUMIF('CAP14-15'!$B:$H,Insumo[[#This Row],[DESCRIPCION]],'CAP14-15'!$H:$H)</f>
        <v>0</v>
      </c>
      <c r="L526" s="69">
        <f ca="1">SUMIF('CAP16-18'!$B:$H,Insumo[[#This Row],[DESCRIPCION]],'CAP16-18'!$H:$H)</f>
        <v>0</v>
      </c>
      <c r="M526" s="69">
        <f ca="1">SUMIF('CAP19-22'!$B:$H,Insumo[[#This Row],[DESCRIPCION]],'CAP19-22'!$H:$H)</f>
        <v>0</v>
      </c>
      <c r="N526" s="69">
        <f ca="1">SUMIF('CAP23-24'!$B:$H,Insumo[[#This Row],[DESCRIPCION]],'CAP23-24'!$H:$H)</f>
        <v>0</v>
      </c>
      <c r="O526" s="69">
        <f ca="1">SUMIF('CAP25'!$B:$H,Insumo[[#This Row],[DESCRIPCION]],'CAP25'!$H:$H)</f>
        <v>0</v>
      </c>
      <c r="P526" s="69">
        <f ca="1">SUMIF('CAP26-28'!$B:$H,Insumo[[#This Row],[DESCRIPCION]],'CAP26-28'!$H:$H)</f>
        <v>0</v>
      </c>
      <c r="Q526" s="69">
        <f ca="1">SUMIF('CAP29'!$B:$H,Insumo[[#This Row],[DESCRIPCION]],'CAP29'!$H:$H)</f>
        <v>0</v>
      </c>
      <c r="T526" s="136">
        <v>256112</v>
      </c>
    </row>
    <row r="527" spans="1:20" ht="12" customHeight="1">
      <c r="A527" s="301" t="s">
        <v>3137</v>
      </c>
      <c r="B527" s="303" t="s">
        <v>23</v>
      </c>
      <c r="C527" s="304">
        <f t="shared" si="8"/>
        <v>365779.05</v>
      </c>
      <c r="D527" s="281" cm="1">
        <f t="array" aca="1" ref="D527" ca="1">IF(Insumo[[#This Row],[VALOR]]=0,Insumo[TOTAL],E527/C527)</f>
        <v>0</v>
      </c>
      <c r="E527" s="69">
        <f ca="1">SUM(Insumo[[#This Row],[CAP1-3]:[CAP29]])</f>
        <v>0</v>
      </c>
      <c r="F527" s="69">
        <f ca="1">SUMIF('CAP1-3'!$B:$H,Insumo[[#This Row],[DESCRIPCION]],'CAP1-3'!$H:$H)</f>
        <v>0</v>
      </c>
      <c r="G527" s="69">
        <f ca="1">SUMIF('CAP4-5'!$B:$H,Insumo[[#This Row],[DESCRIPCION]],'CAP4-5'!$H:$H)</f>
        <v>0</v>
      </c>
      <c r="H527" s="69">
        <f ca="1">SUMIF('CAP6-7'!$B:$H,Insumo[[#This Row],[DESCRIPCION]],'CAP6-7'!$H:$H)</f>
        <v>0</v>
      </c>
      <c r="I527" s="69">
        <f ca="1">SUMIF('CAP8'!$B:$H,Insumo[[#This Row],[DESCRIPCION]],'CAP8'!$H:$H)</f>
        <v>0</v>
      </c>
      <c r="J527" s="69">
        <f ca="1">SUMIF('CAP9-13'!$B:$H,Insumo[[#This Row],[DESCRIPCION]],'CAP9-13'!$H:$H)</f>
        <v>0</v>
      </c>
      <c r="K527" s="69">
        <f ca="1">SUMIF('CAP14-15'!$B:$H,Insumo[[#This Row],[DESCRIPCION]],'CAP14-15'!$H:$H)</f>
        <v>0</v>
      </c>
      <c r="L527" s="69">
        <f ca="1">SUMIF('CAP16-18'!$B:$H,Insumo[[#This Row],[DESCRIPCION]],'CAP16-18'!$H:$H)</f>
        <v>0</v>
      </c>
      <c r="M527" s="69">
        <f ca="1">SUMIF('CAP19-22'!$B:$H,Insumo[[#This Row],[DESCRIPCION]],'CAP19-22'!$H:$H)</f>
        <v>0</v>
      </c>
      <c r="N527" s="69">
        <f ca="1">SUMIF('CAP23-24'!$B:$H,Insumo[[#This Row],[DESCRIPCION]],'CAP23-24'!$H:$H)</f>
        <v>0</v>
      </c>
      <c r="O527" s="69">
        <f ca="1">SUMIF('CAP25'!$B:$H,Insumo[[#This Row],[DESCRIPCION]],'CAP25'!$H:$H)</f>
        <v>0</v>
      </c>
      <c r="P527" s="69">
        <f ca="1">SUMIF('CAP26-28'!$B:$H,Insumo[[#This Row],[DESCRIPCION]],'CAP26-28'!$H:$H)</f>
        <v>0</v>
      </c>
      <c r="Q527" s="69">
        <f ca="1">SUMIF('CAP29'!$B:$H,Insumo[[#This Row],[DESCRIPCION]],'CAP29'!$H:$H)</f>
        <v>0</v>
      </c>
      <c r="T527" s="136">
        <v>348361</v>
      </c>
    </row>
    <row r="528" spans="1:20" ht="12" customHeight="1">
      <c r="A528" s="301" t="s">
        <v>3138</v>
      </c>
      <c r="B528" s="303" t="s">
        <v>20</v>
      </c>
      <c r="C528" s="304">
        <f t="shared" si="8"/>
        <v>26005.350000000002</v>
      </c>
      <c r="D528" s="281" cm="1">
        <f t="array" aca="1" ref="D528" ca="1">IF(Insumo[[#This Row],[VALOR]]=0,Insumo[TOTAL],E528/C528)</f>
        <v>0</v>
      </c>
      <c r="E528" s="69">
        <f ca="1">SUM(Insumo[[#This Row],[CAP1-3]:[CAP29]])</f>
        <v>0</v>
      </c>
      <c r="F528" s="69">
        <f ca="1">SUMIF('CAP1-3'!$B:$H,Insumo[[#This Row],[DESCRIPCION]],'CAP1-3'!$H:$H)</f>
        <v>0</v>
      </c>
      <c r="G528" s="69">
        <f ca="1">SUMIF('CAP4-5'!$B:$H,Insumo[[#This Row],[DESCRIPCION]],'CAP4-5'!$H:$H)</f>
        <v>0</v>
      </c>
      <c r="H528" s="69">
        <f ca="1">SUMIF('CAP6-7'!$B:$H,Insumo[[#This Row],[DESCRIPCION]],'CAP6-7'!$H:$H)</f>
        <v>0</v>
      </c>
      <c r="I528" s="69">
        <f ca="1">SUMIF('CAP8'!$B:$H,Insumo[[#This Row],[DESCRIPCION]],'CAP8'!$H:$H)</f>
        <v>0</v>
      </c>
      <c r="J528" s="69">
        <f ca="1">SUMIF('CAP9-13'!$B:$H,Insumo[[#This Row],[DESCRIPCION]],'CAP9-13'!$H:$H)</f>
        <v>0</v>
      </c>
      <c r="K528" s="69">
        <f ca="1">SUMIF('CAP14-15'!$B:$H,Insumo[[#This Row],[DESCRIPCION]],'CAP14-15'!$H:$H)</f>
        <v>0</v>
      </c>
      <c r="L528" s="69">
        <f ca="1">SUMIF('CAP16-18'!$B:$H,Insumo[[#This Row],[DESCRIPCION]],'CAP16-18'!$H:$H)</f>
        <v>0</v>
      </c>
      <c r="M528" s="69">
        <f ca="1">SUMIF('CAP19-22'!$B:$H,Insumo[[#This Row],[DESCRIPCION]],'CAP19-22'!$H:$H)</f>
        <v>0</v>
      </c>
      <c r="N528" s="69">
        <f ca="1">SUMIF('CAP23-24'!$B:$H,Insumo[[#This Row],[DESCRIPCION]],'CAP23-24'!$H:$H)</f>
        <v>0</v>
      </c>
      <c r="O528" s="69">
        <f ca="1">SUMIF('CAP25'!$B:$H,Insumo[[#This Row],[DESCRIPCION]],'CAP25'!$H:$H)</f>
        <v>0</v>
      </c>
      <c r="P528" s="69">
        <f ca="1">SUMIF('CAP26-28'!$B:$H,Insumo[[#This Row],[DESCRIPCION]],'CAP26-28'!$H:$H)</f>
        <v>0</v>
      </c>
      <c r="Q528" s="69">
        <f ca="1">SUMIF('CAP29'!$B:$H,Insumo[[#This Row],[DESCRIPCION]],'CAP29'!$H:$H)</f>
        <v>0</v>
      </c>
      <c r="T528" s="136">
        <v>24767</v>
      </c>
    </row>
    <row r="529" spans="1:20" ht="12" customHeight="1">
      <c r="A529" s="301" t="s">
        <v>3139</v>
      </c>
      <c r="B529" s="303" t="s">
        <v>52</v>
      </c>
      <c r="C529" s="304">
        <f t="shared" si="8"/>
        <v>136858.05000000002</v>
      </c>
      <c r="D529" s="281" cm="1">
        <f t="array" aca="1" ref="D529" ca="1">IF(Insumo[[#This Row],[VALOR]]=0,Insumo[TOTAL],E529/C529)</f>
        <v>0</v>
      </c>
      <c r="E529" s="69">
        <f ca="1">SUM(Insumo[[#This Row],[CAP1-3]:[CAP29]])</f>
        <v>0</v>
      </c>
      <c r="F529" s="69">
        <f ca="1">SUMIF('CAP1-3'!$B:$H,Insumo[[#This Row],[DESCRIPCION]],'CAP1-3'!$H:$H)</f>
        <v>0</v>
      </c>
      <c r="G529" s="69">
        <f ca="1">SUMIF('CAP4-5'!$B:$H,Insumo[[#This Row],[DESCRIPCION]],'CAP4-5'!$H:$H)</f>
        <v>0</v>
      </c>
      <c r="H529" s="69">
        <f ca="1">SUMIF('CAP6-7'!$B:$H,Insumo[[#This Row],[DESCRIPCION]],'CAP6-7'!$H:$H)</f>
        <v>0</v>
      </c>
      <c r="I529" s="69">
        <f ca="1">SUMIF('CAP8'!$B:$H,Insumo[[#This Row],[DESCRIPCION]],'CAP8'!$H:$H)</f>
        <v>0</v>
      </c>
      <c r="J529" s="69">
        <f ca="1">SUMIF('CAP9-13'!$B:$H,Insumo[[#This Row],[DESCRIPCION]],'CAP9-13'!$H:$H)</f>
        <v>0</v>
      </c>
      <c r="K529" s="69">
        <f ca="1">SUMIF('CAP14-15'!$B:$H,Insumo[[#This Row],[DESCRIPCION]],'CAP14-15'!$H:$H)</f>
        <v>0</v>
      </c>
      <c r="L529" s="69">
        <f ca="1">SUMIF('CAP16-18'!$B:$H,Insumo[[#This Row],[DESCRIPCION]],'CAP16-18'!$H:$H)</f>
        <v>0</v>
      </c>
      <c r="M529" s="69">
        <f ca="1">SUMIF('CAP19-22'!$B:$H,Insumo[[#This Row],[DESCRIPCION]],'CAP19-22'!$H:$H)</f>
        <v>0</v>
      </c>
      <c r="N529" s="69">
        <f ca="1">SUMIF('CAP23-24'!$B:$H,Insumo[[#This Row],[DESCRIPCION]],'CAP23-24'!$H:$H)</f>
        <v>0</v>
      </c>
      <c r="O529" s="69">
        <f ca="1">SUMIF('CAP25'!$B:$H,Insumo[[#This Row],[DESCRIPCION]],'CAP25'!$H:$H)</f>
        <v>0</v>
      </c>
      <c r="P529" s="69">
        <f ca="1">SUMIF('CAP26-28'!$B:$H,Insumo[[#This Row],[DESCRIPCION]],'CAP26-28'!$H:$H)</f>
        <v>0</v>
      </c>
      <c r="Q529" s="69">
        <f ca="1">SUMIF('CAP29'!$B:$H,Insumo[[#This Row],[DESCRIPCION]],'CAP29'!$H:$H)</f>
        <v>0</v>
      </c>
      <c r="T529" s="136">
        <v>130341</v>
      </c>
    </row>
    <row r="530" spans="1:20" ht="12" customHeight="1">
      <c r="A530" s="301" t="s">
        <v>3140</v>
      </c>
      <c r="B530" s="303" t="s">
        <v>52</v>
      </c>
      <c r="C530" s="304">
        <f t="shared" si="8"/>
        <v>123398.1</v>
      </c>
      <c r="D530" s="281" cm="1">
        <f t="array" aca="1" ref="D530" ca="1">IF(Insumo[[#This Row],[VALOR]]=0,Insumo[TOTAL],E530/C530)</f>
        <v>0</v>
      </c>
      <c r="E530" s="69">
        <f ca="1">SUM(Insumo[[#This Row],[CAP1-3]:[CAP29]])</f>
        <v>0</v>
      </c>
      <c r="F530" s="69">
        <f ca="1">SUMIF('CAP1-3'!$B:$H,Insumo[[#This Row],[DESCRIPCION]],'CAP1-3'!$H:$H)</f>
        <v>0</v>
      </c>
      <c r="G530" s="69">
        <f ca="1">SUMIF('CAP4-5'!$B:$H,Insumo[[#This Row],[DESCRIPCION]],'CAP4-5'!$H:$H)</f>
        <v>0</v>
      </c>
      <c r="H530" s="69">
        <f ca="1">SUMIF('CAP6-7'!$B:$H,Insumo[[#This Row],[DESCRIPCION]],'CAP6-7'!$H:$H)</f>
        <v>0</v>
      </c>
      <c r="I530" s="69">
        <f ca="1">SUMIF('CAP8'!$B:$H,Insumo[[#This Row],[DESCRIPCION]],'CAP8'!$H:$H)</f>
        <v>0</v>
      </c>
      <c r="J530" s="69">
        <f ca="1">SUMIF('CAP9-13'!$B:$H,Insumo[[#This Row],[DESCRIPCION]],'CAP9-13'!$H:$H)</f>
        <v>0</v>
      </c>
      <c r="K530" s="69">
        <f ca="1">SUMIF('CAP14-15'!$B:$H,Insumo[[#This Row],[DESCRIPCION]],'CAP14-15'!$H:$H)</f>
        <v>0</v>
      </c>
      <c r="L530" s="69">
        <f ca="1">SUMIF('CAP16-18'!$B:$H,Insumo[[#This Row],[DESCRIPCION]],'CAP16-18'!$H:$H)</f>
        <v>0</v>
      </c>
      <c r="M530" s="69">
        <f ca="1">SUMIF('CAP19-22'!$B:$H,Insumo[[#This Row],[DESCRIPCION]],'CAP19-22'!$H:$H)</f>
        <v>0</v>
      </c>
      <c r="N530" s="69">
        <f ca="1">SUMIF('CAP23-24'!$B:$H,Insumo[[#This Row],[DESCRIPCION]],'CAP23-24'!$H:$H)</f>
        <v>0</v>
      </c>
      <c r="O530" s="69">
        <f ca="1">SUMIF('CAP25'!$B:$H,Insumo[[#This Row],[DESCRIPCION]],'CAP25'!$H:$H)</f>
        <v>0</v>
      </c>
      <c r="P530" s="69">
        <f ca="1">SUMIF('CAP26-28'!$B:$H,Insumo[[#This Row],[DESCRIPCION]],'CAP26-28'!$H:$H)</f>
        <v>0</v>
      </c>
      <c r="Q530" s="69">
        <f ca="1">SUMIF('CAP29'!$B:$H,Insumo[[#This Row],[DESCRIPCION]],'CAP29'!$H:$H)</f>
        <v>0</v>
      </c>
      <c r="T530" s="136">
        <v>117522</v>
      </c>
    </row>
    <row r="531" spans="1:20" ht="12" customHeight="1">
      <c r="A531" s="301" t="s">
        <v>3141</v>
      </c>
      <c r="B531" s="303" t="s">
        <v>30</v>
      </c>
      <c r="C531" s="304">
        <f t="shared" si="8"/>
        <v>7599.9000000000005</v>
      </c>
      <c r="D531" s="281" cm="1">
        <f t="array" aca="1" ref="D531" ca="1">IF(Insumo[[#This Row],[VALOR]]=0,Insumo[TOTAL],E531/C531)</f>
        <v>0</v>
      </c>
      <c r="E531" s="69">
        <f ca="1">SUM(Insumo[[#This Row],[CAP1-3]:[CAP29]])</f>
        <v>0</v>
      </c>
      <c r="F531" s="69">
        <f ca="1">SUMIF('CAP1-3'!$B:$H,Insumo[[#This Row],[DESCRIPCION]],'CAP1-3'!$H:$H)</f>
        <v>0</v>
      </c>
      <c r="G531" s="69">
        <f ca="1">SUMIF('CAP4-5'!$B:$H,Insumo[[#This Row],[DESCRIPCION]],'CAP4-5'!$H:$H)</f>
        <v>0</v>
      </c>
      <c r="H531" s="69">
        <f ca="1">SUMIF('CAP6-7'!$B:$H,Insumo[[#This Row],[DESCRIPCION]],'CAP6-7'!$H:$H)</f>
        <v>0</v>
      </c>
      <c r="I531" s="69">
        <f ca="1">SUMIF('CAP8'!$B:$H,Insumo[[#This Row],[DESCRIPCION]],'CAP8'!$H:$H)</f>
        <v>0</v>
      </c>
      <c r="J531" s="69">
        <f ca="1">SUMIF('CAP9-13'!$B:$H,Insumo[[#This Row],[DESCRIPCION]],'CAP9-13'!$H:$H)</f>
        <v>0</v>
      </c>
      <c r="K531" s="69">
        <f ca="1">SUMIF('CAP14-15'!$B:$H,Insumo[[#This Row],[DESCRIPCION]],'CAP14-15'!$H:$H)</f>
        <v>0</v>
      </c>
      <c r="L531" s="69">
        <f ca="1">SUMIF('CAP16-18'!$B:$H,Insumo[[#This Row],[DESCRIPCION]],'CAP16-18'!$H:$H)</f>
        <v>0</v>
      </c>
      <c r="M531" s="69">
        <f ca="1">SUMIF('CAP19-22'!$B:$H,Insumo[[#This Row],[DESCRIPCION]],'CAP19-22'!$H:$H)</f>
        <v>0</v>
      </c>
      <c r="N531" s="69">
        <f ca="1">SUMIF('CAP23-24'!$B:$H,Insumo[[#This Row],[DESCRIPCION]],'CAP23-24'!$H:$H)</f>
        <v>0</v>
      </c>
      <c r="O531" s="69">
        <f ca="1">SUMIF('CAP25'!$B:$H,Insumo[[#This Row],[DESCRIPCION]],'CAP25'!$H:$H)</f>
        <v>0</v>
      </c>
      <c r="P531" s="69">
        <f ca="1">SUMIF('CAP26-28'!$B:$H,Insumo[[#This Row],[DESCRIPCION]],'CAP26-28'!$H:$H)</f>
        <v>0</v>
      </c>
      <c r="Q531" s="69">
        <f ca="1">SUMIF('CAP29'!$B:$H,Insumo[[#This Row],[DESCRIPCION]],'CAP29'!$H:$H)</f>
        <v>0</v>
      </c>
      <c r="T531" s="136">
        <v>7238</v>
      </c>
    </row>
    <row r="532" spans="1:20" ht="12" customHeight="1">
      <c r="A532" s="301" t="s">
        <v>3142</v>
      </c>
      <c r="B532" s="303" t="s">
        <v>20</v>
      </c>
      <c r="C532" s="304">
        <f t="shared" si="8"/>
        <v>125028.75</v>
      </c>
      <c r="D532" s="281" cm="1">
        <f t="array" aca="1" ref="D532" ca="1">IF(Insumo[[#This Row],[VALOR]]=0,Insumo[TOTAL],E532/C532)</f>
        <v>0</v>
      </c>
      <c r="E532" s="69">
        <f ca="1">SUM(Insumo[[#This Row],[CAP1-3]:[CAP29]])</f>
        <v>0</v>
      </c>
      <c r="F532" s="69">
        <f ca="1">SUMIF('CAP1-3'!$B:$H,Insumo[[#This Row],[DESCRIPCION]],'CAP1-3'!$H:$H)</f>
        <v>0</v>
      </c>
      <c r="G532" s="69">
        <f ca="1">SUMIF('CAP4-5'!$B:$H,Insumo[[#This Row],[DESCRIPCION]],'CAP4-5'!$H:$H)</f>
        <v>0</v>
      </c>
      <c r="H532" s="69">
        <f ca="1">SUMIF('CAP6-7'!$B:$H,Insumo[[#This Row],[DESCRIPCION]],'CAP6-7'!$H:$H)</f>
        <v>0</v>
      </c>
      <c r="I532" s="69">
        <f ca="1">SUMIF('CAP8'!$B:$H,Insumo[[#This Row],[DESCRIPCION]],'CAP8'!$H:$H)</f>
        <v>0</v>
      </c>
      <c r="J532" s="69">
        <f ca="1">SUMIF('CAP9-13'!$B:$H,Insumo[[#This Row],[DESCRIPCION]],'CAP9-13'!$H:$H)</f>
        <v>0</v>
      </c>
      <c r="K532" s="69">
        <f ca="1">SUMIF('CAP14-15'!$B:$H,Insumo[[#This Row],[DESCRIPCION]],'CAP14-15'!$H:$H)</f>
        <v>0</v>
      </c>
      <c r="L532" s="69">
        <f ca="1">SUMIF('CAP16-18'!$B:$H,Insumo[[#This Row],[DESCRIPCION]],'CAP16-18'!$H:$H)</f>
        <v>0</v>
      </c>
      <c r="M532" s="69">
        <f ca="1">SUMIF('CAP19-22'!$B:$H,Insumo[[#This Row],[DESCRIPCION]],'CAP19-22'!$H:$H)</f>
        <v>0</v>
      </c>
      <c r="N532" s="69">
        <f ca="1">SUMIF('CAP23-24'!$B:$H,Insumo[[#This Row],[DESCRIPCION]],'CAP23-24'!$H:$H)</f>
        <v>0</v>
      </c>
      <c r="O532" s="69">
        <f ca="1">SUMIF('CAP25'!$B:$H,Insumo[[#This Row],[DESCRIPCION]],'CAP25'!$H:$H)</f>
        <v>0</v>
      </c>
      <c r="P532" s="69">
        <f ca="1">SUMIF('CAP26-28'!$B:$H,Insumo[[#This Row],[DESCRIPCION]],'CAP26-28'!$H:$H)</f>
        <v>0</v>
      </c>
      <c r="Q532" s="69">
        <f ca="1">SUMIF('CAP29'!$B:$H,Insumo[[#This Row],[DESCRIPCION]],'CAP29'!$H:$H)</f>
        <v>0</v>
      </c>
      <c r="T532" s="136">
        <v>119075</v>
      </c>
    </row>
    <row r="533" spans="1:20" ht="12" customHeight="1">
      <c r="A533" s="301" t="s">
        <v>3143</v>
      </c>
      <c r="B533" s="303" t="s">
        <v>23</v>
      </c>
      <c r="C533" s="304">
        <f t="shared" si="8"/>
        <v>909300</v>
      </c>
      <c r="D533" s="281" cm="1">
        <f t="array" aca="1" ref="D533" ca="1">IF(Insumo[[#This Row],[VALOR]]=0,Insumo[TOTAL],E533/C533)</f>
        <v>0</v>
      </c>
      <c r="E533" s="69">
        <f ca="1">SUM(Insumo[[#This Row],[CAP1-3]:[CAP29]])</f>
        <v>0</v>
      </c>
      <c r="F533" s="69">
        <f ca="1">SUMIF('CAP1-3'!$B:$H,Insumo[[#This Row],[DESCRIPCION]],'CAP1-3'!$H:$H)</f>
        <v>0</v>
      </c>
      <c r="G533" s="69">
        <f ca="1">SUMIF('CAP4-5'!$B:$H,Insumo[[#This Row],[DESCRIPCION]],'CAP4-5'!$H:$H)</f>
        <v>0</v>
      </c>
      <c r="H533" s="69">
        <f ca="1">SUMIF('CAP6-7'!$B:$H,Insumo[[#This Row],[DESCRIPCION]],'CAP6-7'!$H:$H)</f>
        <v>0</v>
      </c>
      <c r="I533" s="69">
        <f ca="1">SUMIF('CAP8'!$B:$H,Insumo[[#This Row],[DESCRIPCION]],'CAP8'!$H:$H)</f>
        <v>0</v>
      </c>
      <c r="J533" s="69">
        <f ca="1">SUMIF('CAP9-13'!$B:$H,Insumo[[#This Row],[DESCRIPCION]],'CAP9-13'!$H:$H)</f>
        <v>0</v>
      </c>
      <c r="K533" s="69">
        <f ca="1">SUMIF('CAP14-15'!$B:$H,Insumo[[#This Row],[DESCRIPCION]],'CAP14-15'!$H:$H)</f>
        <v>0</v>
      </c>
      <c r="L533" s="69">
        <f ca="1">SUMIF('CAP16-18'!$B:$H,Insumo[[#This Row],[DESCRIPCION]],'CAP16-18'!$H:$H)</f>
        <v>0</v>
      </c>
      <c r="M533" s="69">
        <f ca="1">SUMIF('CAP19-22'!$B:$H,Insumo[[#This Row],[DESCRIPCION]],'CAP19-22'!$H:$H)</f>
        <v>0</v>
      </c>
      <c r="N533" s="69">
        <f ca="1">SUMIF('CAP23-24'!$B:$H,Insumo[[#This Row],[DESCRIPCION]],'CAP23-24'!$H:$H)</f>
        <v>0</v>
      </c>
      <c r="O533" s="69">
        <f ca="1">SUMIF('CAP25'!$B:$H,Insumo[[#This Row],[DESCRIPCION]],'CAP25'!$H:$H)</f>
        <v>0</v>
      </c>
      <c r="P533" s="69">
        <f ca="1">SUMIF('CAP26-28'!$B:$H,Insumo[[#This Row],[DESCRIPCION]],'CAP26-28'!$H:$H)</f>
        <v>0</v>
      </c>
      <c r="Q533" s="69">
        <f ca="1">SUMIF('CAP29'!$B:$H,Insumo[[#This Row],[DESCRIPCION]],'CAP29'!$H:$H)</f>
        <v>0</v>
      </c>
      <c r="T533" s="136">
        <v>866000</v>
      </c>
    </row>
    <row r="534" spans="1:20" ht="12" customHeight="1">
      <c r="A534" s="301" t="s">
        <v>3144</v>
      </c>
      <c r="B534" s="303" t="s">
        <v>30</v>
      </c>
      <c r="C534" s="304">
        <f t="shared" si="8"/>
        <v>1716.75</v>
      </c>
      <c r="D534" s="281" cm="1">
        <f t="array" aca="1" ref="D534" ca="1">IF(Insumo[[#This Row],[VALOR]]=0,Insumo[TOTAL],E534/C534)</f>
        <v>0</v>
      </c>
      <c r="E534" s="69">
        <f ca="1">SUM(Insumo[[#This Row],[CAP1-3]:[CAP29]])</f>
        <v>0</v>
      </c>
      <c r="F534" s="69">
        <f ca="1">SUMIF('CAP1-3'!$B:$H,Insumo[[#This Row],[DESCRIPCION]],'CAP1-3'!$H:$H)</f>
        <v>0</v>
      </c>
      <c r="G534" s="69">
        <f ca="1">SUMIF('CAP4-5'!$B:$H,Insumo[[#This Row],[DESCRIPCION]],'CAP4-5'!$H:$H)</f>
        <v>0</v>
      </c>
      <c r="H534" s="69">
        <f ca="1">SUMIF('CAP6-7'!$B:$H,Insumo[[#This Row],[DESCRIPCION]],'CAP6-7'!$H:$H)</f>
        <v>0</v>
      </c>
      <c r="I534" s="69">
        <f ca="1">SUMIF('CAP8'!$B:$H,Insumo[[#This Row],[DESCRIPCION]],'CAP8'!$H:$H)</f>
        <v>0</v>
      </c>
      <c r="J534" s="69">
        <f ca="1">SUMIF('CAP9-13'!$B:$H,Insumo[[#This Row],[DESCRIPCION]],'CAP9-13'!$H:$H)</f>
        <v>0</v>
      </c>
      <c r="K534" s="69">
        <f ca="1">SUMIF('CAP14-15'!$B:$H,Insumo[[#This Row],[DESCRIPCION]],'CAP14-15'!$H:$H)</f>
        <v>0</v>
      </c>
      <c r="L534" s="69">
        <f ca="1">SUMIF('CAP16-18'!$B:$H,Insumo[[#This Row],[DESCRIPCION]],'CAP16-18'!$H:$H)</f>
        <v>0</v>
      </c>
      <c r="M534" s="69">
        <f ca="1">SUMIF('CAP19-22'!$B:$H,Insumo[[#This Row],[DESCRIPCION]],'CAP19-22'!$H:$H)</f>
        <v>0</v>
      </c>
      <c r="N534" s="69">
        <f ca="1">SUMIF('CAP23-24'!$B:$H,Insumo[[#This Row],[DESCRIPCION]],'CAP23-24'!$H:$H)</f>
        <v>0</v>
      </c>
      <c r="O534" s="69">
        <f ca="1">SUMIF('CAP25'!$B:$H,Insumo[[#This Row],[DESCRIPCION]],'CAP25'!$H:$H)</f>
        <v>0</v>
      </c>
      <c r="P534" s="69">
        <f ca="1">SUMIF('CAP26-28'!$B:$H,Insumo[[#This Row],[DESCRIPCION]],'CAP26-28'!$H:$H)</f>
        <v>0</v>
      </c>
      <c r="Q534" s="69">
        <f ca="1">SUMIF('CAP29'!$B:$H,Insumo[[#This Row],[DESCRIPCION]],'CAP29'!$H:$H)</f>
        <v>0</v>
      </c>
      <c r="T534" s="136">
        <v>1635</v>
      </c>
    </row>
    <row r="535" spans="1:20" ht="12" customHeight="1">
      <c r="A535" s="301" t="s">
        <v>3145</v>
      </c>
      <c r="B535" s="303" t="s">
        <v>30</v>
      </c>
      <c r="C535" s="304">
        <f t="shared" si="8"/>
        <v>36134.700000000004</v>
      </c>
      <c r="D535" s="281" cm="1">
        <f t="array" aca="1" ref="D535" ca="1">IF(Insumo[[#This Row],[VALOR]]=0,Insumo[TOTAL],E535/C535)</f>
        <v>0</v>
      </c>
      <c r="E535" s="69">
        <f ca="1">SUM(Insumo[[#This Row],[CAP1-3]:[CAP29]])</f>
        <v>0</v>
      </c>
      <c r="F535" s="69">
        <f ca="1">SUMIF('CAP1-3'!$B:$H,Insumo[[#This Row],[DESCRIPCION]],'CAP1-3'!$H:$H)</f>
        <v>0</v>
      </c>
      <c r="G535" s="69">
        <f ca="1">SUMIF('CAP4-5'!$B:$H,Insumo[[#This Row],[DESCRIPCION]],'CAP4-5'!$H:$H)</f>
        <v>0</v>
      </c>
      <c r="H535" s="69">
        <f ca="1">SUMIF('CAP6-7'!$B:$H,Insumo[[#This Row],[DESCRIPCION]],'CAP6-7'!$H:$H)</f>
        <v>0</v>
      </c>
      <c r="I535" s="69">
        <f ca="1">SUMIF('CAP8'!$B:$H,Insumo[[#This Row],[DESCRIPCION]],'CAP8'!$H:$H)</f>
        <v>0</v>
      </c>
      <c r="J535" s="69">
        <f ca="1">SUMIF('CAP9-13'!$B:$H,Insumo[[#This Row],[DESCRIPCION]],'CAP9-13'!$H:$H)</f>
        <v>0</v>
      </c>
      <c r="K535" s="69">
        <f ca="1">SUMIF('CAP14-15'!$B:$H,Insumo[[#This Row],[DESCRIPCION]],'CAP14-15'!$H:$H)</f>
        <v>0</v>
      </c>
      <c r="L535" s="69">
        <f ca="1">SUMIF('CAP16-18'!$B:$H,Insumo[[#This Row],[DESCRIPCION]],'CAP16-18'!$H:$H)</f>
        <v>0</v>
      </c>
      <c r="M535" s="69">
        <f ca="1">SUMIF('CAP19-22'!$B:$H,Insumo[[#This Row],[DESCRIPCION]],'CAP19-22'!$H:$H)</f>
        <v>0</v>
      </c>
      <c r="N535" s="69">
        <f ca="1">SUMIF('CAP23-24'!$B:$H,Insumo[[#This Row],[DESCRIPCION]],'CAP23-24'!$H:$H)</f>
        <v>0</v>
      </c>
      <c r="O535" s="69">
        <f ca="1">SUMIF('CAP25'!$B:$H,Insumo[[#This Row],[DESCRIPCION]],'CAP25'!$H:$H)</f>
        <v>0</v>
      </c>
      <c r="P535" s="69">
        <f ca="1">SUMIF('CAP26-28'!$B:$H,Insumo[[#This Row],[DESCRIPCION]],'CAP26-28'!$H:$H)</f>
        <v>0</v>
      </c>
      <c r="Q535" s="69">
        <f ca="1">SUMIF('CAP29'!$B:$H,Insumo[[#This Row],[DESCRIPCION]],'CAP29'!$H:$H)</f>
        <v>0</v>
      </c>
      <c r="T535" s="136">
        <v>34414</v>
      </c>
    </row>
    <row r="536" spans="1:20" ht="12" customHeight="1">
      <c r="A536" s="301" t="s">
        <v>3146</v>
      </c>
      <c r="B536" s="303" t="s">
        <v>23</v>
      </c>
      <c r="C536" s="304">
        <f t="shared" si="8"/>
        <v>105820.05</v>
      </c>
      <c r="D536" s="281" cm="1">
        <f t="array" aca="1" ref="D536" ca="1">IF(Insumo[[#This Row],[VALOR]]=0,Insumo[TOTAL],E536/C536)</f>
        <v>0</v>
      </c>
      <c r="E536" s="69">
        <f ca="1">SUM(Insumo[[#This Row],[CAP1-3]:[CAP29]])</f>
        <v>0</v>
      </c>
      <c r="F536" s="69">
        <f ca="1">SUMIF('CAP1-3'!$B:$H,Insumo[[#This Row],[DESCRIPCION]],'CAP1-3'!$H:$H)</f>
        <v>0</v>
      </c>
      <c r="G536" s="69">
        <f ca="1">SUMIF('CAP4-5'!$B:$H,Insumo[[#This Row],[DESCRIPCION]],'CAP4-5'!$H:$H)</f>
        <v>0</v>
      </c>
      <c r="H536" s="69">
        <f ca="1">SUMIF('CAP6-7'!$B:$H,Insumo[[#This Row],[DESCRIPCION]],'CAP6-7'!$H:$H)</f>
        <v>0</v>
      </c>
      <c r="I536" s="69">
        <f ca="1">SUMIF('CAP8'!$B:$H,Insumo[[#This Row],[DESCRIPCION]],'CAP8'!$H:$H)</f>
        <v>0</v>
      </c>
      <c r="J536" s="69">
        <f ca="1">SUMIF('CAP9-13'!$B:$H,Insumo[[#This Row],[DESCRIPCION]],'CAP9-13'!$H:$H)</f>
        <v>0</v>
      </c>
      <c r="K536" s="69">
        <f ca="1">SUMIF('CAP14-15'!$B:$H,Insumo[[#This Row],[DESCRIPCION]],'CAP14-15'!$H:$H)</f>
        <v>0</v>
      </c>
      <c r="L536" s="69">
        <f ca="1">SUMIF('CAP16-18'!$B:$H,Insumo[[#This Row],[DESCRIPCION]],'CAP16-18'!$H:$H)</f>
        <v>0</v>
      </c>
      <c r="M536" s="69">
        <f ca="1">SUMIF('CAP19-22'!$B:$H,Insumo[[#This Row],[DESCRIPCION]],'CAP19-22'!$H:$H)</f>
        <v>0</v>
      </c>
      <c r="N536" s="69">
        <f ca="1">SUMIF('CAP23-24'!$B:$H,Insumo[[#This Row],[DESCRIPCION]],'CAP23-24'!$H:$H)</f>
        <v>0</v>
      </c>
      <c r="O536" s="69">
        <f ca="1">SUMIF('CAP25'!$B:$H,Insumo[[#This Row],[DESCRIPCION]],'CAP25'!$H:$H)</f>
        <v>0</v>
      </c>
      <c r="P536" s="69">
        <f ca="1">SUMIF('CAP26-28'!$B:$H,Insumo[[#This Row],[DESCRIPCION]],'CAP26-28'!$H:$H)</f>
        <v>0</v>
      </c>
      <c r="Q536" s="69">
        <f ca="1">SUMIF('CAP29'!$B:$H,Insumo[[#This Row],[DESCRIPCION]],'CAP29'!$H:$H)</f>
        <v>0</v>
      </c>
      <c r="T536" s="136">
        <v>100781</v>
      </c>
    </row>
    <row r="537" spans="1:20" ht="12" customHeight="1">
      <c r="A537" s="301" t="s">
        <v>3147</v>
      </c>
      <c r="B537" s="303" t="s">
        <v>20</v>
      </c>
      <c r="C537" s="304">
        <f t="shared" si="8"/>
        <v>31175.550000000003</v>
      </c>
      <c r="D537" s="281" cm="1">
        <f t="array" aca="1" ref="D537" ca="1">IF(Insumo[[#This Row],[VALOR]]=0,Insumo[TOTAL],E537/C537)</f>
        <v>0</v>
      </c>
      <c r="E537" s="69">
        <f ca="1">SUM(Insumo[[#This Row],[CAP1-3]:[CAP29]])</f>
        <v>0</v>
      </c>
      <c r="F537" s="69">
        <f ca="1">SUMIF('CAP1-3'!$B:$H,Insumo[[#This Row],[DESCRIPCION]],'CAP1-3'!$H:$H)</f>
        <v>0</v>
      </c>
      <c r="G537" s="69">
        <f ca="1">SUMIF('CAP4-5'!$B:$H,Insumo[[#This Row],[DESCRIPCION]],'CAP4-5'!$H:$H)</f>
        <v>0</v>
      </c>
      <c r="H537" s="69">
        <f ca="1">SUMIF('CAP6-7'!$B:$H,Insumo[[#This Row],[DESCRIPCION]],'CAP6-7'!$H:$H)</f>
        <v>0</v>
      </c>
      <c r="I537" s="69">
        <f ca="1">SUMIF('CAP8'!$B:$H,Insumo[[#This Row],[DESCRIPCION]],'CAP8'!$H:$H)</f>
        <v>0</v>
      </c>
      <c r="J537" s="69">
        <f ca="1">SUMIF('CAP9-13'!$B:$H,Insumo[[#This Row],[DESCRIPCION]],'CAP9-13'!$H:$H)</f>
        <v>0</v>
      </c>
      <c r="K537" s="69">
        <f ca="1">SUMIF('CAP14-15'!$B:$H,Insumo[[#This Row],[DESCRIPCION]],'CAP14-15'!$H:$H)</f>
        <v>0</v>
      </c>
      <c r="L537" s="69">
        <f ca="1">SUMIF('CAP16-18'!$B:$H,Insumo[[#This Row],[DESCRIPCION]],'CAP16-18'!$H:$H)</f>
        <v>0</v>
      </c>
      <c r="M537" s="69">
        <f ca="1">SUMIF('CAP19-22'!$B:$H,Insumo[[#This Row],[DESCRIPCION]],'CAP19-22'!$H:$H)</f>
        <v>0</v>
      </c>
      <c r="N537" s="69">
        <f ca="1">SUMIF('CAP23-24'!$B:$H,Insumo[[#This Row],[DESCRIPCION]],'CAP23-24'!$H:$H)</f>
        <v>0</v>
      </c>
      <c r="O537" s="69">
        <f ca="1">SUMIF('CAP25'!$B:$H,Insumo[[#This Row],[DESCRIPCION]],'CAP25'!$H:$H)</f>
        <v>0</v>
      </c>
      <c r="P537" s="69">
        <f ca="1">SUMIF('CAP26-28'!$B:$H,Insumo[[#This Row],[DESCRIPCION]],'CAP26-28'!$H:$H)</f>
        <v>0</v>
      </c>
      <c r="Q537" s="69">
        <f ca="1">SUMIF('CAP29'!$B:$H,Insumo[[#This Row],[DESCRIPCION]],'CAP29'!$H:$H)</f>
        <v>0</v>
      </c>
      <c r="T537" s="136">
        <v>29691</v>
      </c>
    </row>
    <row r="538" spans="1:20" ht="12" customHeight="1">
      <c r="A538" s="301" t="s">
        <v>3148</v>
      </c>
      <c r="B538" s="303" t="s">
        <v>20</v>
      </c>
      <c r="C538" s="304">
        <f t="shared" si="8"/>
        <v>21243.600000000002</v>
      </c>
      <c r="D538" s="281" cm="1">
        <f t="array" aca="1" ref="D538" ca="1">IF(Insumo[[#This Row],[VALOR]]=0,Insumo[TOTAL],E538/C538)</f>
        <v>0</v>
      </c>
      <c r="E538" s="69">
        <f ca="1">SUM(Insumo[[#This Row],[CAP1-3]:[CAP29]])</f>
        <v>0</v>
      </c>
      <c r="F538" s="69">
        <f ca="1">SUMIF('CAP1-3'!$B:$H,Insumo[[#This Row],[DESCRIPCION]],'CAP1-3'!$H:$H)</f>
        <v>0</v>
      </c>
      <c r="G538" s="69">
        <f ca="1">SUMIF('CAP4-5'!$B:$H,Insumo[[#This Row],[DESCRIPCION]],'CAP4-5'!$H:$H)</f>
        <v>0</v>
      </c>
      <c r="H538" s="69">
        <f ca="1">SUMIF('CAP6-7'!$B:$H,Insumo[[#This Row],[DESCRIPCION]],'CAP6-7'!$H:$H)</f>
        <v>0</v>
      </c>
      <c r="I538" s="69">
        <f ca="1">SUMIF('CAP8'!$B:$H,Insumo[[#This Row],[DESCRIPCION]],'CAP8'!$H:$H)</f>
        <v>0</v>
      </c>
      <c r="J538" s="69">
        <f ca="1">SUMIF('CAP9-13'!$B:$H,Insumo[[#This Row],[DESCRIPCION]],'CAP9-13'!$H:$H)</f>
        <v>0</v>
      </c>
      <c r="K538" s="69">
        <f ca="1">SUMIF('CAP14-15'!$B:$H,Insumo[[#This Row],[DESCRIPCION]],'CAP14-15'!$H:$H)</f>
        <v>0</v>
      </c>
      <c r="L538" s="69">
        <f ca="1">SUMIF('CAP16-18'!$B:$H,Insumo[[#This Row],[DESCRIPCION]],'CAP16-18'!$H:$H)</f>
        <v>0</v>
      </c>
      <c r="M538" s="69">
        <f ca="1">SUMIF('CAP19-22'!$B:$H,Insumo[[#This Row],[DESCRIPCION]],'CAP19-22'!$H:$H)</f>
        <v>0</v>
      </c>
      <c r="N538" s="69">
        <f ca="1">SUMIF('CAP23-24'!$B:$H,Insumo[[#This Row],[DESCRIPCION]],'CAP23-24'!$H:$H)</f>
        <v>0</v>
      </c>
      <c r="O538" s="69">
        <f ca="1">SUMIF('CAP25'!$B:$H,Insumo[[#This Row],[DESCRIPCION]],'CAP25'!$H:$H)</f>
        <v>0</v>
      </c>
      <c r="P538" s="69">
        <f ca="1">SUMIF('CAP26-28'!$B:$H,Insumo[[#This Row],[DESCRIPCION]],'CAP26-28'!$H:$H)</f>
        <v>0</v>
      </c>
      <c r="Q538" s="69">
        <f ca="1">SUMIF('CAP29'!$B:$H,Insumo[[#This Row],[DESCRIPCION]],'CAP29'!$H:$H)</f>
        <v>0</v>
      </c>
      <c r="R538" s="136" t="s">
        <v>2663</v>
      </c>
      <c r="T538" s="136">
        <v>20232</v>
      </c>
    </row>
    <row r="539" spans="1:20" ht="12" customHeight="1">
      <c r="A539" s="301" t="s">
        <v>3149</v>
      </c>
      <c r="B539" s="303" t="s">
        <v>20</v>
      </c>
      <c r="C539" s="304">
        <f t="shared" si="8"/>
        <v>17844.75</v>
      </c>
      <c r="D539" s="281" cm="1">
        <f t="array" aca="1" ref="D539" ca="1">IF(Insumo[[#This Row],[VALOR]]=0,Insumo[TOTAL],E539/C539)</f>
        <v>0</v>
      </c>
      <c r="E539" s="69">
        <f ca="1">SUM(Insumo[[#This Row],[CAP1-3]:[CAP29]])</f>
        <v>0</v>
      </c>
      <c r="F539" s="69">
        <f ca="1">SUMIF('CAP1-3'!$B:$H,Insumo[[#This Row],[DESCRIPCION]],'CAP1-3'!$H:$H)</f>
        <v>0</v>
      </c>
      <c r="G539" s="69">
        <f ca="1">SUMIF('CAP4-5'!$B:$H,Insumo[[#This Row],[DESCRIPCION]],'CAP4-5'!$H:$H)</f>
        <v>0</v>
      </c>
      <c r="H539" s="69">
        <f ca="1">SUMIF('CAP6-7'!$B:$H,Insumo[[#This Row],[DESCRIPCION]],'CAP6-7'!$H:$H)</f>
        <v>0</v>
      </c>
      <c r="I539" s="69">
        <f ca="1">SUMIF('CAP8'!$B:$H,Insumo[[#This Row],[DESCRIPCION]],'CAP8'!$H:$H)</f>
        <v>0</v>
      </c>
      <c r="J539" s="69">
        <f ca="1">SUMIF('CAP9-13'!$B:$H,Insumo[[#This Row],[DESCRIPCION]],'CAP9-13'!$H:$H)</f>
        <v>0</v>
      </c>
      <c r="K539" s="69">
        <f ca="1">SUMIF('CAP14-15'!$B:$H,Insumo[[#This Row],[DESCRIPCION]],'CAP14-15'!$H:$H)</f>
        <v>0</v>
      </c>
      <c r="L539" s="69">
        <f ca="1">SUMIF('CAP16-18'!$B:$H,Insumo[[#This Row],[DESCRIPCION]],'CAP16-18'!$H:$H)</f>
        <v>0</v>
      </c>
      <c r="M539" s="69">
        <f ca="1">SUMIF('CAP19-22'!$B:$H,Insumo[[#This Row],[DESCRIPCION]],'CAP19-22'!$H:$H)</f>
        <v>0</v>
      </c>
      <c r="N539" s="69">
        <f ca="1">SUMIF('CAP23-24'!$B:$H,Insumo[[#This Row],[DESCRIPCION]],'CAP23-24'!$H:$H)</f>
        <v>0</v>
      </c>
      <c r="O539" s="69">
        <f ca="1">SUMIF('CAP25'!$B:$H,Insumo[[#This Row],[DESCRIPCION]],'CAP25'!$H:$H)</f>
        <v>0</v>
      </c>
      <c r="P539" s="69">
        <f ca="1">SUMIF('CAP26-28'!$B:$H,Insumo[[#This Row],[DESCRIPCION]],'CAP26-28'!$H:$H)</f>
        <v>0</v>
      </c>
      <c r="Q539" s="69">
        <f ca="1">SUMIF('CAP29'!$B:$H,Insumo[[#This Row],[DESCRIPCION]],'CAP29'!$H:$H)</f>
        <v>0</v>
      </c>
      <c r="T539" s="136">
        <v>16995</v>
      </c>
    </row>
    <row r="540" spans="1:20" ht="12" customHeight="1">
      <c r="A540" s="301" t="s">
        <v>3150</v>
      </c>
      <c r="B540" s="303" t="s">
        <v>23</v>
      </c>
      <c r="C540" s="304">
        <f t="shared" si="8"/>
        <v>136395</v>
      </c>
      <c r="D540" s="281" cm="1">
        <f t="array" aca="1" ref="D540" ca="1">IF(Insumo[[#This Row],[VALOR]]=0,Insumo[TOTAL],E540/C540)</f>
        <v>0</v>
      </c>
      <c r="E540" s="69">
        <f ca="1">SUM(Insumo[[#This Row],[CAP1-3]:[CAP29]])</f>
        <v>0</v>
      </c>
      <c r="F540" s="69">
        <f ca="1">SUMIF('CAP1-3'!$B:$H,Insumo[[#This Row],[DESCRIPCION]],'CAP1-3'!$H:$H)</f>
        <v>0</v>
      </c>
      <c r="G540" s="69">
        <f ca="1">SUMIF('CAP4-5'!$B:$H,Insumo[[#This Row],[DESCRIPCION]],'CAP4-5'!$H:$H)</f>
        <v>0</v>
      </c>
      <c r="H540" s="69">
        <f ca="1">SUMIF('CAP6-7'!$B:$H,Insumo[[#This Row],[DESCRIPCION]],'CAP6-7'!$H:$H)</f>
        <v>0</v>
      </c>
      <c r="I540" s="69">
        <f ca="1">SUMIF('CAP8'!$B:$H,Insumo[[#This Row],[DESCRIPCION]],'CAP8'!$H:$H)</f>
        <v>0</v>
      </c>
      <c r="J540" s="69">
        <f ca="1">SUMIF('CAP9-13'!$B:$H,Insumo[[#This Row],[DESCRIPCION]],'CAP9-13'!$H:$H)</f>
        <v>0</v>
      </c>
      <c r="K540" s="69">
        <f ca="1">SUMIF('CAP14-15'!$B:$H,Insumo[[#This Row],[DESCRIPCION]],'CAP14-15'!$H:$H)</f>
        <v>0</v>
      </c>
      <c r="L540" s="69">
        <f ca="1">SUMIF('CAP16-18'!$B:$H,Insumo[[#This Row],[DESCRIPCION]],'CAP16-18'!$H:$H)</f>
        <v>0</v>
      </c>
      <c r="M540" s="69">
        <f ca="1">SUMIF('CAP19-22'!$B:$H,Insumo[[#This Row],[DESCRIPCION]],'CAP19-22'!$H:$H)</f>
        <v>0</v>
      </c>
      <c r="N540" s="69">
        <f ca="1">SUMIF('CAP23-24'!$B:$H,Insumo[[#This Row],[DESCRIPCION]],'CAP23-24'!$H:$H)</f>
        <v>0</v>
      </c>
      <c r="O540" s="69">
        <f ca="1">SUMIF('CAP25'!$B:$H,Insumo[[#This Row],[DESCRIPCION]],'CAP25'!$H:$H)</f>
        <v>0</v>
      </c>
      <c r="P540" s="69">
        <f ca="1">SUMIF('CAP26-28'!$B:$H,Insumo[[#This Row],[DESCRIPCION]],'CAP26-28'!$H:$H)</f>
        <v>0</v>
      </c>
      <c r="Q540" s="69">
        <f ca="1">SUMIF('CAP29'!$B:$H,Insumo[[#This Row],[DESCRIPCION]],'CAP29'!$H:$H)</f>
        <v>0</v>
      </c>
      <c r="R540" s="290"/>
      <c r="T540" s="136">
        <v>129900</v>
      </c>
    </row>
    <row r="541" spans="1:20" ht="12" customHeight="1">
      <c r="A541" s="301" t="s">
        <v>3151</v>
      </c>
      <c r="B541" s="303" t="s">
        <v>23</v>
      </c>
      <c r="C541" s="304">
        <f t="shared" si="8"/>
        <v>119546.70000000001</v>
      </c>
      <c r="D541" s="281" cm="1">
        <f t="array" aca="1" ref="D541" ca="1">IF(Insumo[[#This Row],[VALOR]]=0,Insumo[TOTAL],E541/C541)</f>
        <v>0</v>
      </c>
      <c r="E541" s="69">
        <f ca="1">SUM(Insumo[[#This Row],[CAP1-3]:[CAP29]])</f>
        <v>0</v>
      </c>
      <c r="F541" s="69">
        <f ca="1">SUMIF('CAP1-3'!$B:$H,Insumo[[#This Row],[DESCRIPCION]],'CAP1-3'!$H:$H)</f>
        <v>0</v>
      </c>
      <c r="G541" s="69">
        <f ca="1">SUMIF('CAP4-5'!$B:$H,Insumo[[#This Row],[DESCRIPCION]],'CAP4-5'!$H:$H)</f>
        <v>0</v>
      </c>
      <c r="H541" s="69">
        <f ca="1">SUMIF('CAP6-7'!$B:$H,Insumo[[#This Row],[DESCRIPCION]],'CAP6-7'!$H:$H)</f>
        <v>0</v>
      </c>
      <c r="I541" s="69">
        <f ca="1">SUMIF('CAP8'!$B:$H,Insumo[[#This Row],[DESCRIPCION]],'CAP8'!$H:$H)</f>
        <v>0</v>
      </c>
      <c r="J541" s="69">
        <f ca="1">SUMIF('CAP9-13'!$B:$H,Insumo[[#This Row],[DESCRIPCION]],'CAP9-13'!$H:$H)</f>
        <v>0</v>
      </c>
      <c r="K541" s="69">
        <f ca="1">SUMIF('CAP14-15'!$B:$H,Insumo[[#This Row],[DESCRIPCION]],'CAP14-15'!$H:$H)</f>
        <v>0</v>
      </c>
      <c r="L541" s="69">
        <f ca="1">SUMIF('CAP16-18'!$B:$H,Insumo[[#This Row],[DESCRIPCION]],'CAP16-18'!$H:$H)</f>
        <v>0</v>
      </c>
      <c r="M541" s="69">
        <f ca="1">SUMIF('CAP19-22'!$B:$H,Insumo[[#This Row],[DESCRIPCION]],'CAP19-22'!$H:$H)</f>
        <v>0</v>
      </c>
      <c r="N541" s="69">
        <f ca="1">SUMIF('CAP23-24'!$B:$H,Insumo[[#This Row],[DESCRIPCION]],'CAP23-24'!$H:$H)</f>
        <v>0</v>
      </c>
      <c r="O541" s="69">
        <f ca="1">SUMIF('CAP25'!$B:$H,Insumo[[#This Row],[DESCRIPCION]],'CAP25'!$H:$H)</f>
        <v>0</v>
      </c>
      <c r="P541" s="69">
        <f ca="1">SUMIF('CAP26-28'!$B:$H,Insumo[[#This Row],[DESCRIPCION]],'CAP26-28'!$H:$H)</f>
        <v>0</v>
      </c>
      <c r="Q541" s="69">
        <f ca="1">SUMIF('CAP29'!$B:$H,Insumo[[#This Row],[DESCRIPCION]],'CAP29'!$H:$H)</f>
        <v>0</v>
      </c>
      <c r="T541" s="136">
        <v>113854</v>
      </c>
    </row>
    <row r="542" spans="1:20" ht="12" customHeight="1">
      <c r="A542" s="301" t="s">
        <v>3152</v>
      </c>
      <c r="B542" s="303" t="s">
        <v>23</v>
      </c>
      <c r="C542" s="304">
        <f t="shared" si="8"/>
        <v>130712.40000000001</v>
      </c>
      <c r="D542" s="281" cm="1">
        <f t="array" aca="1" ref="D542" ca="1">IF(Insumo[[#This Row],[VALOR]]=0,Insumo[TOTAL],E542/C542)</f>
        <v>0</v>
      </c>
      <c r="E542" s="69">
        <f ca="1">SUM(Insumo[[#This Row],[CAP1-3]:[CAP29]])</f>
        <v>0</v>
      </c>
      <c r="F542" s="69">
        <f ca="1">SUMIF('CAP1-3'!$B:$H,Insumo[[#This Row],[DESCRIPCION]],'CAP1-3'!$H:$H)</f>
        <v>0</v>
      </c>
      <c r="G542" s="69">
        <f ca="1">SUMIF('CAP4-5'!$B:$H,Insumo[[#This Row],[DESCRIPCION]],'CAP4-5'!$H:$H)</f>
        <v>0</v>
      </c>
      <c r="H542" s="69">
        <f ca="1">SUMIF('CAP6-7'!$B:$H,Insumo[[#This Row],[DESCRIPCION]],'CAP6-7'!$H:$H)</f>
        <v>0</v>
      </c>
      <c r="I542" s="69">
        <f ca="1">SUMIF('CAP8'!$B:$H,Insumo[[#This Row],[DESCRIPCION]],'CAP8'!$H:$H)</f>
        <v>0</v>
      </c>
      <c r="J542" s="69">
        <f ca="1">SUMIF('CAP9-13'!$B:$H,Insumo[[#This Row],[DESCRIPCION]],'CAP9-13'!$H:$H)</f>
        <v>0</v>
      </c>
      <c r="K542" s="69">
        <f ca="1">SUMIF('CAP14-15'!$B:$H,Insumo[[#This Row],[DESCRIPCION]],'CAP14-15'!$H:$H)</f>
        <v>0</v>
      </c>
      <c r="L542" s="69">
        <f ca="1">SUMIF('CAP16-18'!$B:$H,Insumo[[#This Row],[DESCRIPCION]],'CAP16-18'!$H:$H)</f>
        <v>0</v>
      </c>
      <c r="M542" s="69">
        <f ca="1">SUMIF('CAP19-22'!$B:$H,Insumo[[#This Row],[DESCRIPCION]],'CAP19-22'!$H:$H)</f>
        <v>0</v>
      </c>
      <c r="N542" s="69">
        <f ca="1">SUMIF('CAP23-24'!$B:$H,Insumo[[#This Row],[DESCRIPCION]],'CAP23-24'!$H:$H)</f>
        <v>0</v>
      </c>
      <c r="O542" s="69">
        <f ca="1">SUMIF('CAP25'!$B:$H,Insumo[[#This Row],[DESCRIPCION]],'CAP25'!$H:$H)</f>
        <v>0</v>
      </c>
      <c r="P542" s="69">
        <f ca="1">SUMIF('CAP26-28'!$B:$H,Insumo[[#This Row],[DESCRIPCION]],'CAP26-28'!$H:$H)</f>
        <v>0</v>
      </c>
      <c r="Q542" s="69">
        <f ca="1">SUMIF('CAP29'!$B:$H,Insumo[[#This Row],[DESCRIPCION]],'CAP29'!$H:$H)</f>
        <v>0</v>
      </c>
      <c r="T542" s="136">
        <v>124488</v>
      </c>
    </row>
    <row r="543" spans="1:20" ht="12" customHeight="1">
      <c r="A543" s="301" t="s">
        <v>3153</v>
      </c>
      <c r="B543" s="303" t="s">
        <v>23</v>
      </c>
      <c r="C543" s="304">
        <f t="shared" si="8"/>
        <v>139504.05000000002</v>
      </c>
      <c r="D543" s="281" cm="1">
        <f t="array" aca="1" ref="D543" ca="1">IF(Insumo[[#This Row],[VALOR]]=0,Insumo[TOTAL],E543/C543)</f>
        <v>0</v>
      </c>
      <c r="E543" s="69">
        <f ca="1">SUM(Insumo[[#This Row],[CAP1-3]:[CAP29]])</f>
        <v>0</v>
      </c>
      <c r="F543" s="69">
        <f ca="1">SUMIF('CAP1-3'!$B:$H,Insumo[[#This Row],[DESCRIPCION]],'CAP1-3'!$H:$H)</f>
        <v>0</v>
      </c>
      <c r="G543" s="69">
        <f ca="1">SUMIF('CAP4-5'!$B:$H,Insumo[[#This Row],[DESCRIPCION]],'CAP4-5'!$H:$H)</f>
        <v>0</v>
      </c>
      <c r="H543" s="69">
        <f ca="1">SUMIF('CAP6-7'!$B:$H,Insumo[[#This Row],[DESCRIPCION]],'CAP6-7'!$H:$H)</f>
        <v>0</v>
      </c>
      <c r="I543" s="69">
        <f ca="1">SUMIF('CAP8'!$B:$H,Insumo[[#This Row],[DESCRIPCION]],'CAP8'!$H:$H)</f>
        <v>0</v>
      </c>
      <c r="J543" s="69">
        <f ca="1">SUMIF('CAP9-13'!$B:$H,Insumo[[#This Row],[DESCRIPCION]],'CAP9-13'!$H:$H)</f>
        <v>0</v>
      </c>
      <c r="K543" s="69">
        <f ca="1">SUMIF('CAP14-15'!$B:$H,Insumo[[#This Row],[DESCRIPCION]],'CAP14-15'!$H:$H)</f>
        <v>0</v>
      </c>
      <c r="L543" s="69">
        <f ca="1">SUMIF('CAP16-18'!$B:$H,Insumo[[#This Row],[DESCRIPCION]],'CAP16-18'!$H:$H)</f>
        <v>0</v>
      </c>
      <c r="M543" s="69">
        <f ca="1">SUMIF('CAP19-22'!$B:$H,Insumo[[#This Row],[DESCRIPCION]],'CAP19-22'!$H:$H)</f>
        <v>0</v>
      </c>
      <c r="N543" s="69">
        <f ca="1">SUMIF('CAP23-24'!$B:$H,Insumo[[#This Row],[DESCRIPCION]],'CAP23-24'!$H:$H)</f>
        <v>0</v>
      </c>
      <c r="O543" s="69">
        <f ca="1">SUMIF('CAP25'!$B:$H,Insumo[[#This Row],[DESCRIPCION]],'CAP25'!$H:$H)</f>
        <v>0</v>
      </c>
      <c r="P543" s="69">
        <f ca="1">SUMIF('CAP26-28'!$B:$H,Insumo[[#This Row],[DESCRIPCION]],'CAP26-28'!$H:$H)</f>
        <v>0</v>
      </c>
      <c r="Q543" s="69">
        <f ca="1">SUMIF('CAP29'!$B:$H,Insumo[[#This Row],[DESCRIPCION]],'CAP29'!$H:$H)</f>
        <v>0</v>
      </c>
      <c r="T543" s="136">
        <v>132861</v>
      </c>
    </row>
    <row r="544" spans="1:20" ht="12" customHeight="1">
      <c r="A544" s="301" t="s">
        <v>3154</v>
      </c>
      <c r="B544" s="303" t="s">
        <v>23</v>
      </c>
      <c r="C544" s="304">
        <f t="shared" si="8"/>
        <v>119346.15000000001</v>
      </c>
      <c r="D544" s="281" cm="1">
        <f t="array" aca="1" ref="D544" ca="1">IF(Insumo[[#This Row],[VALOR]]=0,Insumo[TOTAL],E544/C544)</f>
        <v>0</v>
      </c>
      <c r="E544" s="69">
        <f ca="1">SUM(Insumo[[#This Row],[CAP1-3]:[CAP29]])</f>
        <v>0</v>
      </c>
      <c r="F544" s="69">
        <f ca="1">SUMIF('CAP1-3'!$B:$H,Insumo[[#This Row],[DESCRIPCION]],'CAP1-3'!$H:$H)</f>
        <v>0</v>
      </c>
      <c r="G544" s="69">
        <f ca="1">SUMIF('CAP4-5'!$B:$H,Insumo[[#This Row],[DESCRIPCION]],'CAP4-5'!$H:$H)</f>
        <v>0</v>
      </c>
      <c r="H544" s="69">
        <f ca="1">SUMIF('CAP6-7'!$B:$H,Insumo[[#This Row],[DESCRIPCION]],'CAP6-7'!$H:$H)</f>
        <v>0</v>
      </c>
      <c r="I544" s="69">
        <f ca="1">SUMIF('CAP8'!$B:$H,Insumo[[#This Row],[DESCRIPCION]],'CAP8'!$H:$H)</f>
        <v>0</v>
      </c>
      <c r="J544" s="69">
        <f ca="1">SUMIF('CAP9-13'!$B:$H,Insumo[[#This Row],[DESCRIPCION]],'CAP9-13'!$H:$H)</f>
        <v>0</v>
      </c>
      <c r="K544" s="69">
        <f ca="1">SUMIF('CAP14-15'!$B:$H,Insumo[[#This Row],[DESCRIPCION]],'CAP14-15'!$H:$H)</f>
        <v>0</v>
      </c>
      <c r="L544" s="69">
        <f ca="1">SUMIF('CAP16-18'!$B:$H,Insumo[[#This Row],[DESCRIPCION]],'CAP16-18'!$H:$H)</f>
        <v>0</v>
      </c>
      <c r="M544" s="69">
        <f ca="1">SUMIF('CAP19-22'!$B:$H,Insumo[[#This Row],[DESCRIPCION]],'CAP19-22'!$H:$H)</f>
        <v>0</v>
      </c>
      <c r="N544" s="69">
        <f ca="1">SUMIF('CAP23-24'!$B:$H,Insumo[[#This Row],[DESCRIPCION]],'CAP23-24'!$H:$H)</f>
        <v>0</v>
      </c>
      <c r="O544" s="69">
        <f ca="1">SUMIF('CAP25'!$B:$H,Insumo[[#This Row],[DESCRIPCION]],'CAP25'!$H:$H)</f>
        <v>0</v>
      </c>
      <c r="P544" s="69">
        <f ca="1">SUMIF('CAP26-28'!$B:$H,Insumo[[#This Row],[DESCRIPCION]],'CAP26-28'!$H:$H)</f>
        <v>0</v>
      </c>
      <c r="Q544" s="69">
        <f ca="1">SUMIF('CAP29'!$B:$H,Insumo[[#This Row],[DESCRIPCION]],'CAP29'!$H:$H)</f>
        <v>0</v>
      </c>
      <c r="T544" s="136">
        <v>113663</v>
      </c>
    </row>
    <row r="545" spans="1:20" ht="12" customHeight="1">
      <c r="A545" s="301" t="s">
        <v>3155</v>
      </c>
      <c r="B545" s="303" t="s">
        <v>30</v>
      </c>
      <c r="C545" s="304">
        <f t="shared" si="8"/>
        <v>73881.150000000009</v>
      </c>
      <c r="D545" s="281" cm="1">
        <f t="array" aca="1" ref="D545" ca="1">IF(Insumo[[#This Row],[VALOR]]=0,Insumo[TOTAL],E545/C545)</f>
        <v>0</v>
      </c>
      <c r="E545" s="69">
        <f ca="1">SUM(Insumo[[#This Row],[CAP1-3]:[CAP29]])</f>
        <v>0</v>
      </c>
      <c r="F545" s="69">
        <f ca="1">SUMIF('CAP1-3'!$B:$H,Insumo[[#This Row],[DESCRIPCION]],'CAP1-3'!$H:$H)</f>
        <v>0</v>
      </c>
      <c r="G545" s="69">
        <f ca="1">SUMIF('CAP4-5'!$B:$H,Insumo[[#This Row],[DESCRIPCION]],'CAP4-5'!$H:$H)</f>
        <v>0</v>
      </c>
      <c r="H545" s="69">
        <f ca="1">SUMIF('CAP6-7'!$B:$H,Insumo[[#This Row],[DESCRIPCION]],'CAP6-7'!$H:$H)</f>
        <v>0</v>
      </c>
      <c r="I545" s="69">
        <f ca="1">SUMIF('CAP8'!$B:$H,Insumo[[#This Row],[DESCRIPCION]],'CAP8'!$H:$H)</f>
        <v>0</v>
      </c>
      <c r="J545" s="69">
        <f ca="1">SUMIF('CAP9-13'!$B:$H,Insumo[[#This Row],[DESCRIPCION]],'CAP9-13'!$H:$H)</f>
        <v>0</v>
      </c>
      <c r="K545" s="69">
        <f ca="1">SUMIF('CAP14-15'!$B:$H,Insumo[[#This Row],[DESCRIPCION]],'CAP14-15'!$H:$H)</f>
        <v>0</v>
      </c>
      <c r="L545" s="69">
        <f ca="1">SUMIF('CAP16-18'!$B:$H,Insumo[[#This Row],[DESCRIPCION]],'CAP16-18'!$H:$H)</f>
        <v>0</v>
      </c>
      <c r="M545" s="69">
        <f ca="1">SUMIF('CAP19-22'!$B:$H,Insumo[[#This Row],[DESCRIPCION]],'CAP19-22'!$H:$H)</f>
        <v>0</v>
      </c>
      <c r="N545" s="69">
        <f ca="1">SUMIF('CAP23-24'!$B:$H,Insumo[[#This Row],[DESCRIPCION]],'CAP23-24'!$H:$H)</f>
        <v>0</v>
      </c>
      <c r="O545" s="69">
        <f ca="1">SUMIF('CAP25'!$B:$H,Insumo[[#This Row],[DESCRIPCION]],'CAP25'!$H:$H)</f>
        <v>0</v>
      </c>
      <c r="P545" s="69">
        <f ca="1">SUMIF('CAP26-28'!$B:$H,Insumo[[#This Row],[DESCRIPCION]],'CAP26-28'!$H:$H)</f>
        <v>0</v>
      </c>
      <c r="Q545" s="69">
        <f ca="1">SUMIF('CAP29'!$B:$H,Insumo[[#This Row],[DESCRIPCION]],'CAP29'!$H:$H)</f>
        <v>0</v>
      </c>
      <c r="T545" s="136">
        <v>70363</v>
      </c>
    </row>
    <row r="546" spans="1:20" ht="12" customHeight="1">
      <c r="A546" s="301" t="s">
        <v>3156</v>
      </c>
      <c r="B546" s="303" t="s">
        <v>338</v>
      </c>
      <c r="C546" s="304">
        <f t="shared" si="8"/>
        <v>1363.95</v>
      </c>
      <c r="D546" s="281" cm="1">
        <f t="array" aca="1" ref="D546" ca="1">IF(Insumo[[#This Row],[VALOR]]=0,Insumo[TOTAL],E546/C546)</f>
        <v>0</v>
      </c>
      <c r="E546" s="69">
        <f ca="1">SUM(Insumo[[#This Row],[CAP1-3]:[CAP29]])</f>
        <v>0</v>
      </c>
      <c r="F546" s="69">
        <f ca="1">SUMIF('CAP1-3'!$B:$H,Insumo[[#This Row],[DESCRIPCION]],'CAP1-3'!$H:$H)</f>
        <v>0</v>
      </c>
      <c r="G546" s="69">
        <f ca="1">SUMIF('CAP4-5'!$B:$H,Insumo[[#This Row],[DESCRIPCION]],'CAP4-5'!$H:$H)</f>
        <v>0</v>
      </c>
      <c r="H546" s="69">
        <f ca="1">SUMIF('CAP6-7'!$B:$H,Insumo[[#This Row],[DESCRIPCION]],'CAP6-7'!$H:$H)</f>
        <v>0</v>
      </c>
      <c r="I546" s="69">
        <f ca="1">SUMIF('CAP8'!$B:$H,Insumo[[#This Row],[DESCRIPCION]],'CAP8'!$H:$H)</f>
        <v>0</v>
      </c>
      <c r="J546" s="69">
        <f ca="1">SUMIF('CAP9-13'!$B:$H,Insumo[[#This Row],[DESCRIPCION]],'CAP9-13'!$H:$H)</f>
        <v>0</v>
      </c>
      <c r="K546" s="69">
        <f ca="1">SUMIF('CAP14-15'!$B:$H,Insumo[[#This Row],[DESCRIPCION]],'CAP14-15'!$H:$H)</f>
        <v>0</v>
      </c>
      <c r="L546" s="69">
        <f ca="1">SUMIF('CAP16-18'!$B:$H,Insumo[[#This Row],[DESCRIPCION]],'CAP16-18'!$H:$H)</f>
        <v>0</v>
      </c>
      <c r="M546" s="69">
        <f ca="1">SUMIF('CAP19-22'!$B:$H,Insumo[[#This Row],[DESCRIPCION]],'CAP19-22'!$H:$H)</f>
        <v>0</v>
      </c>
      <c r="N546" s="69">
        <f ca="1">SUMIF('CAP23-24'!$B:$H,Insumo[[#This Row],[DESCRIPCION]],'CAP23-24'!$H:$H)</f>
        <v>0</v>
      </c>
      <c r="O546" s="69">
        <f ca="1">SUMIF('CAP25'!$B:$H,Insumo[[#This Row],[DESCRIPCION]],'CAP25'!$H:$H)</f>
        <v>0</v>
      </c>
      <c r="P546" s="69">
        <f ca="1">SUMIF('CAP26-28'!$B:$H,Insumo[[#This Row],[DESCRIPCION]],'CAP26-28'!$H:$H)</f>
        <v>0</v>
      </c>
      <c r="Q546" s="69">
        <f ca="1">SUMIF('CAP29'!$B:$H,Insumo[[#This Row],[DESCRIPCION]],'CAP29'!$H:$H)</f>
        <v>0</v>
      </c>
      <c r="T546" s="136">
        <v>1299</v>
      </c>
    </row>
    <row r="547" spans="1:20" ht="12" customHeight="1">
      <c r="A547" s="301" t="s">
        <v>3157</v>
      </c>
      <c r="B547" s="303" t="s">
        <v>338</v>
      </c>
      <c r="C547" s="304">
        <f t="shared" si="8"/>
        <v>29345.4</v>
      </c>
      <c r="D547" s="281" cm="1">
        <f t="array" aca="1" ref="D547" ca="1">IF(Insumo[[#This Row],[VALOR]]=0,Insumo[TOTAL],E547/C547)</f>
        <v>0</v>
      </c>
      <c r="E547" s="69">
        <f ca="1">SUM(Insumo[[#This Row],[CAP1-3]:[CAP29]])</f>
        <v>0</v>
      </c>
      <c r="F547" s="69">
        <f ca="1">SUMIF('CAP1-3'!$B:$H,Insumo[[#This Row],[DESCRIPCION]],'CAP1-3'!$H:$H)</f>
        <v>0</v>
      </c>
      <c r="G547" s="69">
        <f ca="1">SUMIF('CAP4-5'!$B:$H,Insumo[[#This Row],[DESCRIPCION]],'CAP4-5'!$H:$H)</f>
        <v>0</v>
      </c>
      <c r="H547" s="69">
        <f ca="1">SUMIF('CAP6-7'!$B:$H,Insumo[[#This Row],[DESCRIPCION]],'CAP6-7'!$H:$H)</f>
        <v>0</v>
      </c>
      <c r="I547" s="69">
        <f ca="1">SUMIF('CAP8'!$B:$H,Insumo[[#This Row],[DESCRIPCION]],'CAP8'!$H:$H)</f>
        <v>0</v>
      </c>
      <c r="J547" s="69">
        <f ca="1">SUMIF('CAP9-13'!$B:$H,Insumo[[#This Row],[DESCRIPCION]],'CAP9-13'!$H:$H)</f>
        <v>0</v>
      </c>
      <c r="K547" s="69">
        <f ca="1">SUMIF('CAP14-15'!$B:$H,Insumo[[#This Row],[DESCRIPCION]],'CAP14-15'!$H:$H)</f>
        <v>0</v>
      </c>
      <c r="L547" s="69">
        <f ca="1">SUMIF('CAP16-18'!$B:$H,Insumo[[#This Row],[DESCRIPCION]],'CAP16-18'!$H:$H)</f>
        <v>0</v>
      </c>
      <c r="M547" s="69">
        <f ca="1">SUMIF('CAP19-22'!$B:$H,Insumo[[#This Row],[DESCRIPCION]],'CAP19-22'!$H:$H)</f>
        <v>0</v>
      </c>
      <c r="N547" s="69">
        <f ca="1">SUMIF('CAP23-24'!$B:$H,Insumo[[#This Row],[DESCRIPCION]],'CAP23-24'!$H:$H)</f>
        <v>0</v>
      </c>
      <c r="O547" s="69">
        <f ca="1">SUMIF('CAP25'!$B:$H,Insumo[[#This Row],[DESCRIPCION]],'CAP25'!$H:$H)</f>
        <v>0</v>
      </c>
      <c r="P547" s="69">
        <f ca="1">SUMIF('CAP26-28'!$B:$H,Insumo[[#This Row],[DESCRIPCION]],'CAP26-28'!$H:$H)</f>
        <v>0</v>
      </c>
      <c r="Q547" s="69">
        <f ca="1">SUMIF('CAP29'!$B:$H,Insumo[[#This Row],[DESCRIPCION]],'CAP29'!$H:$H)</f>
        <v>0</v>
      </c>
      <c r="T547" s="136">
        <v>27948</v>
      </c>
    </row>
    <row r="548" spans="1:20" ht="12" customHeight="1">
      <c r="A548" s="301" t="s">
        <v>3158</v>
      </c>
      <c r="B548" s="303" t="s">
        <v>23</v>
      </c>
      <c r="C548" s="304">
        <f t="shared" si="8"/>
        <v>28416.15</v>
      </c>
      <c r="D548" s="281" cm="1">
        <f t="array" aca="1" ref="D548" ca="1">IF(Insumo[[#This Row],[VALOR]]=0,Insumo[TOTAL],E548/C548)</f>
        <v>0</v>
      </c>
      <c r="E548" s="69">
        <f ca="1">SUM(Insumo[[#This Row],[CAP1-3]:[CAP29]])</f>
        <v>0</v>
      </c>
      <c r="F548" s="69">
        <f ca="1">SUMIF('CAP1-3'!$B:$H,Insumo[[#This Row],[DESCRIPCION]],'CAP1-3'!$H:$H)</f>
        <v>0</v>
      </c>
      <c r="G548" s="69">
        <f ca="1">SUMIF('CAP4-5'!$B:$H,Insumo[[#This Row],[DESCRIPCION]],'CAP4-5'!$H:$H)</f>
        <v>0</v>
      </c>
      <c r="H548" s="69">
        <f ca="1">SUMIF('CAP6-7'!$B:$H,Insumo[[#This Row],[DESCRIPCION]],'CAP6-7'!$H:$H)</f>
        <v>0</v>
      </c>
      <c r="I548" s="69">
        <f ca="1">SUMIF('CAP8'!$B:$H,Insumo[[#This Row],[DESCRIPCION]],'CAP8'!$H:$H)</f>
        <v>0</v>
      </c>
      <c r="J548" s="69">
        <f ca="1">SUMIF('CAP9-13'!$B:$H,Insumo[[#This Row],[DESCRIPCION]],'CAP9-13'!$H:$H)</f>
        <v>0</v>
      </c>
      <c r="K548" s="69">
        <f ca="1">SUMIF('CAP14-15'!$B:$H,Insumo[[#This Row],[DESCRIPCION]],'CAP14-15'!$H:$H)</f>
        <v>0</v>
      </c>
      <c r="L548" s="69">
        <f ca="1">SUMIF('CAP16-18'!$B:$H,Insumo[[#This Row],[DESCRIPCION]],'CAP16-18'!$H:$H)</f>
        <v>0</v>
      </c>
      <c r="M548" s="69">
        <f ca="1">SUMIF('CAP19-22'!$B:$H,Insumo[[#This Row],[DESCRIPCION]],'CAP19-22'!$H:$H)</f>
        <v>0</v>
      </c>
      <c r="N548" s="69">
        <f ca="1">SUMIF('CAP23-24'!$B:$H,Insumo[[#This Row],[DESCRIPCION]],'CAP23-24'!$H:$H)</f>
        <v>0</v>
      </c>
      <c r="O548" s="69">
        <f ca="1">SUMIF('CAP25'!$B:$H,Insumo[[#This Row],[DESCRIPCION]],'CAP25'!$H:$H)</f>
        <v>0</v>
      </c>
      <c r="P548" s="69">
        <f ca="1">SUMIF('CAP26-28'!$B:$H,Insumo[[#This Row],[DESCRIPCION]],'CAP26-28'!$H:$H)</f>
        <v>0</v>
      </c>
      <c r="Q548" s="69">
        <f ca="1">SUMIF('CAP29'!$B:$H,Insumo[[#This Row],[DESCRIPCION]],'CAP29'!$H:$H)</f>
        <v>0</v>
      </c>
      <c r="T548" s="136">
        <v>27063</v>
      </c>
    </row>
    <row r="549" spans="1:20" ht="12" customHeight="1">
      <c r="A549" s="301" t="s">
        <v>3159</v>
      </c>
      <c r="B549" s="303" t="s">
        <v>338</v>
      </c>
      <c r="C549" s="304">
        <f t="shared" si="8"/>
        <v>9467.85</v>
      </c>
      <c r="D549" s="281" cm="1">
        <f t="array" aca="1" ref="D549" ca="1">IF(Insumo[[#This Row],[VALOR]]=0,Insumo[TOTAL],E549/C549)</f>
        <v>0</v>
      </c>
      <c r="E549" s="69">
        <f ca="1">SUM(Insumo[[#This Row],[CAP1-3]:[CAP29]])</f>
        <v>0</v>
      </c>
      <c r="F549" s="69">
        <f ca="1">SUMIF('CAP1-3'!$B:$H,Insumo[[#This Row],[DESCRIPCION]],'CAP1-3'!$H:$H)</f>
        <v>0</v>
      </c>
      <c r="G549" s="69">
        <f ca="1">SUMIF('CAP4-5'!$B:$H,Insumo[[#This Row],[DESCRIPCION]],'CAP4-5'!$H:$H)</f>
        <v>0</v>
      </c>
      <c r="H549" s="69">
        <f ca="1">SUMIF('CAP6-7'!$B:$H,Insumo[[#This Row],[DESCRIPCION]],'CAP6-7'!$H:$H)</f>
        <v>0</v>
      </c>
      <c r="I549" s="69">
        <f ca="1">SUMIF('CAP8'!$B:$H,Insumo[[#This Row],[DESCRIPCION]],'CAP8'!$H:$H)</f>
        <v>0</v>
      </c>
      <c r="J549" s="69">
        <f ca="1">SUMIF('CAP9-13'!$B:$H,Insumo[[#This Row],[DESCRIPCION]],'CAP9-13'!$H:$H)</f>
        <v>0</v>
      </c>
      <c r="K549" s="69">
        <f ca="1">SUMIF('CAP14-15'!$B:$H,Insumo[[#This Row],[DESCRIPCION]],'CAP14-15'!$H:$H)</f>
        <v>0</v>
      </c>
      <c r="L549" s="69">
        <f ca="1">SUMIF('CAP16-18'!$B:$H,Insumo[[#This Row],[DESCRIPCION]],'CAP16-18'!$H:$H)</f>
        <v>0</v>
      </c>
      <c r="M549" s="69">
        <f ca="1">SUMIF('CAP19-22'!$B:$H,Insumo[[#This Row],[DESCRIPCION]],'CAP19-22'!$H:$H)</f>
        <v>0</v>
      </c>
      <c r="N549" s="69">
        <f ca="1">SUMIF('CAP23-24'!$B:$H,Insumo[[#This Row],[DESCRIPCION]],'CAP23-24'!$H:$H)</f>
        <v>0</v>
      </c>
      <c r="O549" s="69">
        <f ca="1">SUMIF('CAP25'!$B:$H,Insumo[[#This Row],[DESCRIPCION]],'CAP25'!$H:$H)</f>
        <v>0</v>
      </c>
      <c r="P549" s="69">
        <f ca="1">SUMIF('CAP26-28'!$B:$H,Insumo[[#This Row],[DESCRIPCION]],'CAP26-28'!$H:$H)</f>
        <v>0</v>
      </c>
      <c r="Q549" s="69">
        <f ca="1">SUMIF('CAP29'!$B:$H,Insumo[[#This Row],[DESCRIPCION]],'CAP29'!$H:$H)</f>
        <v>0</v>
      </c>
      <c r="T549" s="136">
        <v>9017</v>
      </c>
    </row>
    <row r="550" spans="1:20" ht="12" customHeight="1">
      <c r="A550" s="301" t="s">
        <v>3160</v>
      </c>
      <c r="B550" s="303" t="s">
        <v>52</v>
      </c>
      <c r="C550" s="304">
        <f t="shared" si="8"/>
        <v>73881.150000000009</v>
      </c>
      <c r="D550" s="281" cm="1">
        <f t="array" aca="1" ref="D550" ca="1">IF(Insumo[[#This Row],[VALOR]]=0,Insumo[TOTAL],E550/C550)</f>
        <v>0</v>
      </c>
      <c r="E550" s="69">
        <f ca="1">SUM(Insumo[[#This Row],[CAP1-3]:[CAP29]])</f>
        <v>0</v>
      </c>
      <c r="F550" s="69">
        <f ca="1">SUMIF('CAP1-3'!$B:$H,Insumo[[#This Row],[DESCRIPCION]],'CAP1-3'!$H:$H)</f>
        <v>0</v>
      </c>
      <c r="G550" s="69">
        <f ca="1">SUMIF('CAP4-5'!$B:$H,Insumo[[#This Row],[DESCRIPCION]],'CAP4-5'!$H:$H)</f>
        <v>0</v>
      </c>
      <c r="H550" s="69">
        <f ca="1">SUMIF('CAP6-7'!$B:$H,Insumo[[#This Row],[DESCRIPCION]],'CAP6-7'!$H:$H)</f>
        <v>0</v>
      </c>
      <c r="I550" s="69">
        <f ca="1">SUMIF('CAP8'!$B:$H,Insumo[[#This Row],[DESCRIPCION]],'CAP8'!$H:$H)</f>
        <v>0</v>
      </c>
      <c r="J550" s="69">
        <f ca="1">SUMIF('CAP9-13'!$B:$H,Insumo[[#This Row],[DESCRIPCION]],'CAP9-13'!$H:$H)</f>
        <v>0</v>
      </c>
      <c r="K550" s="69">
        <f ca="1">SUMIF('CAP14-15'!$B:$H,Insumo[[#This Row],[DESCRIPCION]],'CAP14-15'!$H:$H)</f>
        <v>0</v>
      </c>
      <c r="L550" s="69">
        <f ca="1">SUMIF('CAP16-18'!$B:$H,Insumo[[#This Row],[DESCRIPCION]],'CAP16-18'!$H:$H)</f>
        <v>0</v>
      </c>
      <c r="M550" s="69">
        <f ca="1">SUMIF('CAP19-22'!$B:$H,Insumo[[#This Row],[DESCRIPCION]],'CAP19-22'!$H:$H)</f>
        <v>0</v>
      </c>
      <c r="N550" s="69">
        <f ca="1">SUMIF('CAP23-24'!$B:$H,Insumo[[#This Row],[DESCRIPCION]],'CAP23-24'!$H:$H)</f>
        <v>0</v>
      </c>
      <c r="O550" s="69">
        <f ca="1">SUMIF('CAP25'!$B:$H,Insumo[[#This Row],[DESCRIPCION]],'CAP25'!$H:$H)</f>
        <v>0</v>
      </c>
      <c r="P550" s="69">
        <f ca="1">SUMIF('CAP26-28'!$B:$H,Insumo[[#This Row],[DESCRIPCION]],'CAP26-28'!$H:$H)</f>
        <v>0</v>
      </c>
      <c r="Q550" s="69">
        <f ca="1">SUMIF('CAP29'!$B:$H,Insumo[[#This Row],[DESCRIPCION]],'CAP29'!$H:$H)</f>
        <v>0</v>
      </c>
      <c r="T550" s="136">
        <v>70363</v>
      </c>
    </row>
    <row r="551" spans="1:20" ht="12" customHeight="1">
      <c r="A551" s="301" t="s">
        <v>3161</v>
      </c>
      <c r="B551" s="303" t="s">
        <v>52</v>
      </c>
      <c r="C551" s="304">
        <f t="shared" si="8"/>
        <v>53915.4</v>
      </c>
      <c r="D551" s="281" cm="1">
        <f t="array" aca="1" ref="D551" ca="1">IF(Insumo[[#This Row],[VALOR]]=0,Insumo[TOTAL],E551/C551)</f>
        <v>0</v>
      </c>
      <c r="E551" s="69">
        <f ca="1">SUM(Insumo[[#This Row],[CAP1-3]:[CAP29]])</f>
        <v>0</v>
      </c>
      <c r="F551" s="69">
        <f ca="1">SUMIF('CAP1-3'!$B:$H,Insumo[[#This Row],[DESCRIPCION]],'CAP1-3'!$H:$H)</f>
        <v>0</v>
      </c>
      <c r="G551" s="69">
        <f ca="1">SUMIF('CAP4-5'!$B:$H,Insumo[[#This Row],[DESCRIPCION]],'CAP4-5'!$H:$H)</f>
        <v>0</v>
      </c>
      <c r="H551" s="69">
        <f ca="1">SUMIF('CAP6-7'!$B:$H,Insumo[[#This Row],[DESCRIPCION]],'CAP6-7'!$H:$H)</f>
        <v>0</v>
      </c>
      <c r="I551" s="69">
        <f ca="1">SUMIF('CAP8'!$B:$H,Insumo[[#This Row],[DESCRIPCION]],'CAP8'!$H:$H)</f>
        <v>0</v>
      </c>
      <c r="J551" s="69">
        <f ca="1">SUMIF('CAP9-13'!$B:$H,Insumo[[#This Row],[DESCRIPCION]],'CAP9-13'!$H:$H)</f>
        <v>0</v>
      </c>
      <c r="K551" s="69">
        <f ca="1">SUMIF('CAP14-15'!$B:$H,Insumo[[#This Row],[DESCRIPCION]],'CAP14-15'!$H:$H)</f>
        <v>0</v>
      </c>
      <c r="L551" s="69">
        <f ca="1">SUMIF('CAP16-18'!$B:$H,Insumo[[#This Row],[DESCRIPCION]],'CAP16-18'!$H:$H)</f>
        <v>0</v>
      </c>
      <c r="M551" s="69">
        <f ca="1">SUMIF('CAP19-22'!$B:$H,Insumo[[#This Row],[DESCRIPCION]],'CAP19-22'!$H:$H)</f>
        <v>0</v>
      </c>
      <c r="N551" s="69">
        <f ca="1">SUMIF('CAP23-24'!$B:$H,Insumo[[#This Row],[DESCRIPCION]],'CAP23-24'!$H:$H)</f>
        <v>0</v>
      </c>
      <c r="O551" s="69">
        <f ca="1">SUMIF('CAP25'!$B:$H,Insumo[[#This Row],[DESCRIPCION]],'CAP25'!$H:$H)</f>
        <v>0</v>
      </c>
      <c r="P551" s="69">
        <f ca="1">SUMIF('CAP26-28'!$B:$H,Insumo[[#This Row],[DESCRIPCION]],'CAP26-28'!$H:$H)</f>
        <v>0</v>
      </c>
      <c r="Q551" s="69">
        <f ca="1">SUMIF('CAP29'!$B:$H,Insumo[[#This Row],[DESCRIPCION]],'CAP29'!$H:$H)</f>
        <v>0</v>
      </c>
      <c r="T551" s="136">
        <v>51348</v>
      </c>
    </row>
    <row r="552" spans="1:20" ht="12" customHeight="1">
      <c r="A552" s="301" t="s">
        <v>3162</v>
      </c>
      <c r="B552" s="303" t="s">
        <v>52</v>
      </c>
      <c r="C552" s="304">
        <f t="shared" si="8"/>
        <v>113662.5</v>
      </c>
      <c r="D552" s="281" cm="1">
        <f t="array" aca="1" ref="D552" ca="1">IF(Insumo[[#This Row],[VALOR]]=0,Insumo[TOTAL],E552/C552)</f>
        <v>0</v>
      </c>
      <c r="E552" s="69">
        <f ca="1">SUM(Insumo[[#This Row],[CAP1-3]:[CAP29]])</f>
        <v>0</v>
      </c>
      <c r="F552" s="69">
        <f ca="1">SUMIF('CAP1-3'!$B:$H,Insumo[[#This Row],[DESCRIPCION]],'CAP1-3'!$H:$H)</f>
        <v>0</v>
      </c>
      <c r="G552" s="69">
        <f ca="1">SUMIF('CAP4-5'!$B:$H,Insumo[[#This Row],[DESCRIPCION]],'CAP4-5'!$H:$H)</f>
        <v>0</v>
      </c>
      <c r="H552" s="69">
        <f ca="1">SUMIF('CAP6-7'!$B:$H,Insumo[[#This Row],[DESCRIPCION]],'CAP6-7'!$H:$H)</f>
        <v>0</v>
      </c>
      <c r="I552" s="69">
        <f ca="1">SUMIF('CAP8'!$B:$H,Insumo[[#This Row],[DESCRIPCION]],'CAP8'!$H:$H)</f>
        <v>0</v>
      </c>
      <c r="J552" s="69">
        <f ca="1">SUMIF('CAP9-13'!$B:$H,Insumo[[#This Row],[DESCRIPCION]],'CAP9-13'!$H:$H)</f>
        <v>0</v>
      </c>
      <c r="K552" s="69">
        <f ca="1">SUMIF('CAP14-15'!$B:$H,Insumo[[#This Row],[DESCRIPCION]],'CAP14-15'!$H:$H)</f>
        <v>0</v>
      </c>
      <c r="L552" s="69">
        <f ca="1">SUMIF('CAP16-18'!$B:$H,Insumo[[#This Row],[DESCRIPCION]],'CAP16-18'!$H:$H)</f>
        <v>0</v>
      </c>
      <c r="M552" s="69">
        <f ca="1">SUMIF('CAP19-22'!$B:$H,Insumo[[#This Row],[DESCRIPCION]],'CAP19-22'!$H:$H)</f>
        <v>0</v>
      </c>
      <c r="N552" s="69">
        <f ca="1">SUMIF('CAP23-24'!$B:$H,Insumo[[#This Row],[DESCRIPCION]],'CAP23-24'!$H:$H)</f>
        <v>0</v>
      </c>
      <c r="O552" s="69">
        <f ca="1">SUMIF('CAP25'!$B:$H,Insumo[[#This Row],[DESCRIPCION]],'CAP25'!$H:$H)</f>
        <v>0</v>
      </c>
      <c r="P552" s="69">
        <f ca="1">SUMIF('CAP26-28'!$B:$H,Insumo[[#This Row],[DESCRIPCION]],'CAP26-28'!$H:$H)</f>
        <v>0</v>
      </c>
      <c r="Q552" s="69">
        <f ca="1">SUMIF('CAP29'!$B:$H,Insumo[[#This Row],[DESCRIPCION]],'CAP29'!$H:$H)</f>
        <v>0</v>
      </c>
      <c r="T552" s="136">
        <v>108250</v>
      </c>
    </row>
    <row r="553" spans="1:20" ht="12" customHeight="1">
      <c r="A553" s="301" t="s">
        <v>3163</v>
      </c>
      <c r="B553" s="303" t="s">
        <v>23</v>
      </c>
      <c r="C553" s="304">
        <f t="shared" si="8"/>
        <v>1999693.5</v>
      </c>
      <c r="D553" s="281" cm="1">
        <f t="array" aca="1" ref="D553" ca="1">IF(Insumo[[#This Row],[VALOR]]=0,Insumo[TOTAL],E553/C553)</f>
        <v>0</v>
      </c>
      <c r="E553" s="69">
        <f ca="1">SUM(Insumo[[#This Row],[CAP1-3]:[CAP29]])</f>
        <v>0</v>
      </c>
      <c r="F553" s="69">
        <f ca="1">SUMIF('CAP1-3'!$B:$H,Insumo[[#This Row],[DESCRIPCION]],'CAP1-3'!$H:$H)</f>
        <v>0</v>
      </c>
      <c r="G553" s="69">
        <f ca="1">SUMIF('CAP4-5'!$B:$H,Insumo[[#This Row],[DESCRIPCION]],'CAP4-5'!$H:$H)</f>
        <v>0</v>
      </c>
      <c r="H553" s="69">
        <f ca="1">SUMIF('CAP6-7'!$B:$H,Insumo[[#This Row],[DESCRIPCION]],'CAP6-7'!$H:$H)</f>
        <v>0</v>
      </c>
      <c r="I553" s="69">
        <f ca="1">SUMIF('CAP8'!$B:$H,Insumo[[#This Row],[DESCRIPCION]],'CAP8'!$H:$H)</f>
        <v>0</v>
      </c>
      <c r="J553" s="69">
        <f ca="1">SUMIF('CAP9-13'!$B:$H,Insumo[[#This Row],[DESCRIPCION]],'CAP9-13'!$H:$H)</f>
        <v>0</v>
      </c>
      <c r="K553" s="69">
        <f ca="1">SUMIF('CAP14-15'!$B:$H,Insumo[[#This Row],[DESCRIPCION]],'CAP14-15'!$H:$H)</f>
        <v>0</v>
      </c>
      <c r="L553" s="69">
        <f ca="1">SUMIF('CAP16-18'!$B:$H,Insumo[[#This Row],[DESCRIPCION]],'CAP16-18'!$H:$H)</f>
        <v>0</v>
      </c>
      <c r="M553" s="69">
        <f ca="1">SUMIF('CAP19-22'!$B:$H,Insumo[[#This Row],[DESCRIPCION]],'CAP19-22'!$H:$H)</f>
        <v>0</v>
      </c>
      <c r="N553" s="69">
        <f ca="1">SUMIF('CAP23-24'!$B:$H,Insumo[[#This Row],[DESCRIPCION]],'CAP23-24'!$H:$H)</f>
        <v>0</v>
      </c>
      <c r="O553" s="69">
        <f ca="1">SUMIF('CAP25'!$B:$H,Insumo[[#This Row],[DESCRIPCION]],'CAP25'!$H:$H)</f>
        <v>0</v>
      </c>
      <c r="P553" s="69">
        <f ca="1">SUMIF('CAP26-28'!$B:$H,Insumo[[#This Row],[DESCRIPCION]],'CAP26-28'!$H:$H)</f>
        <v>0</v>
      </c>
      <c r="Q553" s="69">
        <f ca="1">SUMIF('CAP29'!$B:$H,Insumo[[#This Row],[DESCRIPCION]],'CAP29'!$H:$H)</f>
        <v>0</v>
      </c>
      <c r="T553" s="136">
        <v>1904470</v>
      </c>
    </row>
    <row r="554" spans="1:20" ht="12" customHeight="1">
      <c r="A554" s="301" t="s">
        <v>3164</v>
      </c>
      <c r="B554" s="303" t="s">
        <v>23</v>
      </c>
      <c r="C554" s="304">
        <f t="shared" si="8"/>
        <v>1363950</v>
      </c>
      <c r="D554" s="281" cm="1">
        <f t="array" aca="1" ref="D554" ca="1">IF(Insumo[[#This Row],[VALOR]]=0,Insumo[TOTAL],E554/C554)</f>
        <v>0</v>
      </c>
      <c r="E554" s="69">
        <f ca="1">SUM(Insumo[[#This Row],[CAP1-3]:[CAP29]])</f>
        <v>0</v>
      </c>
      <c r="F554" s="69">
        <f ca="1">SUMIF('CAP1-3'!$B:$H,Insumo[[#This Row],[DESCRIPCION]],'CAP1-3'!$H:$H)</f>
        <v>0</v>
      </c>
      <c r="G554" s="69">
        <f ca="1">SUMIF('CAP4-5'!$B:$H,Insumo[[#This Row],[DESCRIPCION]],'CAP4-5'!$H:$H)</f>
        <v>0</v>
      </c>
      <c r="H554" s="69">
        <f ca="1">SUMIF('CAP6-7'!$B:$H,Insumo[[#This Row],[DESCRIPCION]],'CAP6-7'!$H:$H)</f>
        <v>0</v>
      </c>
      <c r="I554" s="69">
        <f ca="1">SUMIF('CAP8'!$B:$H,Insumo[[#This Row],[DESCRIPCION]],'CAP8'!$H:$H)</f>
        <v>0</v>
      </c>
      <c r="J554" s="69">
        <f ca="1">SUMIF('CAP9-13'!$B:$H,Insumo[[#This Row],[DESCRIPCION]],'CAP9-13'!$H:$H)</f>
        <v>0</v>
      </c>
      <c r="K554" s="69">
        <f ca="1">SUMIF('CAP14-15'!$B:$H,Insumo[[#This Row],[DESCRIPCION]],'CAP14-15'!$H:$H)</f>
        <v>0</v>
      </c>
      <c r="L554" s="69">
        <f ca="1">SUMIF('CAP16-18'!$B:$H,Insumo[[#This Row],[DESCRIPCION]],'CAP16-18'!$H:$H)</f>
        <v>0</v>
      </c>
      <c r="M554" s="69">
        <f ca="1">SUMIF('CAP19-22'!$B:$H,Insumo[[#This Row],[DESCRIPCION]],'CAP19-22'!$H:$H)</f>
        <v>0</v>
      </c>
      <c r="N554" s="69">
        <f ca="1">SUMIF('CAP23-24'!$B:$H,Insumo[[#This Row],[DESCRIPCION]],'CAP23-24'!$H:$H)</f>
        <v>0</v>
      </c>
      <c r="O554" s="69">
        <f ca="1">SUMIF('CAP25'!$B:$H,Insumo[[#This Row],[DESCRIPCION]],'CAP25'!$H:$H)</f>
        <v>0</v>
      </c>
      <c r="P554" s="69">
        <f ca="1">SUMIF('CAP26-28'!$B:$H,Insumo[[#This Row],[DESCRIPCION]],'CAP26-28'!$H:$H)</f>
        <v>0</v>
      </c>
      <c r="Q554" s="69">
        <f ca="1">SUMIF('CAP29'!$B:$H,Insumo[[#This Row],[DESCRIPCION]],'CAP29'!$H:$H)</f>
        <v>0</v>
      </c>
      <c r="T554" s="136">
        <v>1299000</v>
      </c>
    </row>
    <row r="555" spans="1:20" ht="12" customHeight="1">
      <c r="A555" s="301" t="s">
        <v>3165</v>
      </c>
      <c r="B555" s="303" t="s">
        <v>23</v>
      </c>
      <c r="C555" s="304">
        <f t="shared" si="8"/>
        <v>681975</v>
      </c>
      <c r="D555" s="281" cm="1">
        <f t="array" aca="1" ref="D555" ca="1">IF(Insumo[[#This Row],[VALOR]]=0,Insumo[TOTAL],E555/C555)</f>
        <v>0</v>
      </c>
      <c r="E555" s="69">
        <f ca="1">SUM(Insumo[[#This Row],[CAP1-3]:[CAP29]])</f>
        <v>0</v>
      </c>
      <c r="F555" s="69">
        <f ca="1">SUMIF('CAP1-3'!$B:$H,Insumo[[#This Row],[DESCRIPCION]],'CAP1-3'!$H:$H)</f>
        <v>0</v>
      </c>
      <c r="G555" s="69">
        <f ca="1">SUMIF('CAP4-5'!$B:$H,Insumo[[#This Row],[DESCRIPCION]],'CAP4-5'!$H:$H)</f>
        <v>0</v>
      </c>
      <c r="H555" s="69">
        <f ca="1">SUMIF('CAP6-7'!$B:$H,Insumo[[#This Row],[DESCRIPCION]],'CAP6-7'!$H:$H)</f>
        <v>0</v>
      </c>
      <c r="I555" s="69">
        <f ca="1">SUMIF('CAP8'!$B:$H,Insumo[[#This Row],[DESCRIPCION]],'CAP8'!$H:$H)</f>
        <v>0</v>
      </c>
      <c r="J555" s="69">
        <f ca="1">SUMIF('CAP9-13'!$B:$H,Insumo[[#This Row],[DESCRIPCION]],'CAP9-13'!$H:$H)</f>
        <v>0</v>
      </c>
      <c r="K555" s="69">
        <f ca="1">SUMIF('CAP14-15'!$B:$H,Insumo[[#This Row],[DESCRIPCION]],'CAP14-15'!$H:$H)</f>
        <v>0</v>
      </c>
      <c r="L555" s="69">
        <f ca="1">SUMIF('CAP16-18'!$B:$H,Insumo[[#This Row],[DESCRIPCION]],'CAP16-18'!$H:$H)</f>
        <v>0</v>
      </c>
      <c r="M555" s="69">
        <f ca="1">SUMIF('CAP19-22'!$B:$H,Insumo[[#This Row],[DESCRIPCION]],'CAP19-22'!$H:$H)</f>
        <v>0</v>
      </c>
      <c r="N555" s="69">
        <f ca="1">SUMIF('CAP23-24'!$B:$H,Insumo[[#This Row],[DESCRIPCION]],'CAP23-24'!$H:$H)</f>
        <v>0</v>
      </c>
      <c r="O555" s="69">
        <f ca="1">SUMIF('CAP25'!$B:$H,Insumo[[#This Row],[DESCRIPCION]],'CAP25'!$H:$H)</f>
        <v>0</v>
      </c>
      <c r="P555" s="69">
        <f ca="1">SUMIF('CAP26-28'!$B:$H,Insumo[[#This Row],[DESCRIPCION]],'CAP26-28'!$H:$H)</f>
        <v>0</v>
      </c>
      <c r="Q555" s="69">
        <f ca="1">SUMIF('CAP29'!$B:$H,Insumo[[#This Row],[DESCRIPCION]],'CAP29'!$H:$H)</f>
        <v>0</v>
      </c>
      <c r="T555" s="136">
        <v>649500</v>
      </c>
    </row>
    <row r="556" spans="1:20" ht="12" customHeight="1">
      <c r="A556" s="301" t="s">
        <v>3166</v>
      </c>
      <c r="B556" s="303" t="s">
        <v>23</v>
      </c>
      <c r="C556" s="304">
        <f t="shared" si="8"/>
        <v>2386912.5</v>
      </c>
      <c r="D556" s="281" cm="1">
        <f t="array" aca="1" ref="D556" ca="1">IF(Insumo[[#This Row],[VALOR]]=0,Insumo[TOTAL],E556/C556)</f>
        <v>0</v>
      </c>
      <c r="E556" s="69">
        <f ca="1">SUM(Insumo[[#This Row],[CAP1-3]:[CAP29]])</f>
        <v>0</v>
      </c>
      <c r="F556" s="69">
        <f ca="1">SUMIF('CAP1-3'!$B:$H,Insumo[[#This Row],[DESCRIPCION]],'CAP1-3'!$H:$H)</f>
        <v>0</v>
      </c>
      <c r="G556" s="69">
        <f ca="1">SUMIF('CAP4-5'!$B:$H,Insumo[[#This Row],[DESCRIPCION]],'CAP4-5'!$H:$H)</f>
        <v>0</v>
      </c>
      <c r="H556" s="69">
        <f ca="1">SUMIF('CAP6-7'!$B:$H,Insumo[[#This Row],[DESCRIPCION]],'CAP6-7'!$H:$H)</f>
        <v>0</v>
      </c>
      <c r="I556" s="69">
        <f ca="1">SUMIF('CAP8'!$B:$H,Insumo[[#This Row],[DESCRIPCION]],'CAP8'!$H:$H)</f>
        <v>0</v>
      </c>
      <c r="J556" s="69">
        <f ca="1">SUMIF('CAP9-13'!$B:$H,Insumo[[#This Row],[DESCRIPCION]],'CAP9-13'!$H:$H)</f>
        <v>0</v>
      </c>
      <c r="K556" s="69">
        <f ca="1">SUMIF('CAP14-15'!$B:$H,Insumo[[#This Row],[DESCRIPCION]],'CAP14-15'!$H:$H)</f>
        <v>0</v>
      </c>
      <c r="L556" s="69">
        <f ca="1">SUMIF('CAP16-18'!$B:$H,Insumo[[#This Row],[DESCRIPCION]],'CAP16-18'!$H:$H)</f>
        <v>0</v>
      </c>
      <c r="M556" s="69">
        <f ca="1">SUMIF('CAP19-22'!$B:$H,Insumo[[#This Row],[DESCRIPCION]],'CAP19-22'!$H:$H)</f>
        <v>0</v>
      </c>
      <c r="N556" s="69">
        <f ca="1">SUMIF('CAP23-24'!$B:$H,Insumo[[#This Row],[DESCRIPCION]],'CAP23-24'!$H:$H)</f>
        <v>0</v>
      </c>
      <c r="O556" s="69">
        <f ca="1">SUMIF('CAP25'!$B:$H,Insumo[[#This Row],[DESCRIPCION]],'CAP25'!$H:$H)</f>
        <v>0</v>
      </c>
      <c r="P556" s="69">
        <f ca="1">SUMIF('CAP26-28'!$B:$H,Insumo[[#This Row],[DESCRIPCION]],'CAP26-28'!$H:$H)</f>
        <v>0</v>
      </c>
      <c r="Q556" s="69">
        <f ca="1">SUMIF('CAP29'!$B:$H,Insumo[[#This Row],[DESCRIPCION]],'CAP29'!$H:$H)</f>
        <v>0</v>
      </c>
      <c r="T556" s="136">
        <v>2273250</v>
      </c>
    </row>
    <row r="557" spans="1:20" ht="12" customHeight="1">
      <c r="A557" s="301" t="s">
        <v>3167</v>
      </c>
      <c r="B557" s="303" t="s">
        <v>23</v>
      </c>
      <c r="C557" s="304">
        <f t="shared" si="8"/>
        <v>2841562.5</v>
      </c>
      <c r="D557" s="281" cm="1">
        <f t="array" aca="1" ref="D557" ca="1">IF(Insumo[[#This Row],[VALOR]]=0,Insumo[TOTAL],E557/C557)</f>
        <v>0</v>
      </c>
      <c r="E557" s="69">
        <f ca="1">SUM(Insumo[[#This Row],[CAP1-3]:[CAP29]])</f>
        <v>0</v>
      </c>
      <c r="F557" s="69">
        <f ca="1">SUMIF('CAP1-3'!$B:$H,Insumo[[#This Row],[DESCRIPCION]],'CAP1-3'!$H:$H)</f>
        <v>0</v>
      </c>
      <c r="G557" s="69">
        <f ca="1">SUMIF('CAP4-5'!$B:$H,Insumo[[#This Row],[DESCRIPCION]],'CAP4-5'!$H:$H)</f>
        <v>0</v>
      </c>
      <c r="H557" s="69">
        <f ca="1">SUMIF('CAP6-7'!$B:$H,Insumo[[#This Row],[DESCRIPCION]],'CAP6-7'!$H:$H)</f>
        <v>0</v>
      </c>
      <c r="I557" s="69">
        <f ca="1">SUMIF('CAP8'!$B:$H,Insumo[[#This Row],[DESCRIPCION]],'CAP8'!$H:$H)</f>
        <v>0</v>
      </c>
      <c r="J557" s="69">
        <f ca="1">SUMIF('CAP9-13'!$B:$H,Insumo[[#This Row],[DESCRIPCION]],'CAP9-13'!$H:$H)</f>
        <v>0</v>
      </c>
      <c r="K557" s="69">
        <f ca="1">SUMIF('CAP14-15'!$B:$H,Insumo[[#This Row],[DESCRIPCION]],'CAP14-15'!$H:$H)</f>
        <v>0</v>
      </c>
      <c r="L557" s="69">
        <f ca="1">SUMIF('CAP16-18'!$B:$H,Insumo[[#This Row],[DESCRIPCION]],'CAP16-18'!$H:$H)</f>
        <v>0</v>
      </c>
      <c r="M557" s="69">
        <f ca="1">SUMIF('CAP19-22'!$B:$H,Insumo[[#This Row],[DESCRIPCION]],'CAP19-22'!$H:$H)</f>
        <v>0</v>
      </c>
      <c r="N557" s="69">
        <f ca="1">SUMIF('CAP23-24'!$B:$H,Insumo[[#This Row],[DESCRIPCION]],'CAP23-24'!$H:$H)</f>
        <v>0</v>
      </c>
      <c r="O557" s="69">
        <f ca="1">SUMIF('CAP25'!$B:$H,Insumo[[#This Row],[DESCRIPCION]],'CAP25'!$H:$H)</f>
        <v>0</v>
      </c>
      <c r="P557" s="69">
        <f ca="1">SUMIF('CAP26-28'!$B:$H,Insumo[[#This Row],[DESCRIPCION]],'CAP26-28'!$H:$H)</f>
        <v>0</v>
      </c>
      <c r="Q557" s="69">
        <f ca="1">SUMIF('CAP29'!$B:$H,Insumo[[#This Row],[DESCRIPCION]],'CAP29'!$H:$H)</f>
        <v>0</v>
      </c>
      <c r="T557" s="136">
        <v>2706250</v>
      </c>
    </row>
    <row r="558" spans="1:20" ht="12" customHeight="1">
      <c r="A558" s="301" t="s">
        <v>3168</v>
      </c>
      <c r="B558" s="303" t="s">
        <v>23</v>
      </c>
      <c r="C558" s="304">
        <f t="shared" si="8"/>
        <v>966131.25</v>
      </c>
      <c r="D558" s="281" cm="1">
        <f t="array" aca="1" ref="D558" ca="1">IF(Insumo[[#This Row],[VALOR]]=0,Insumo[TOTAL],E558/C558)</f>
        <v>0</v>
      </c>
      <c r="E558" s="69">
        <f ca="1">SUM(Insumo[[#This Row],[CAP1-3]:[CAP29]])</f>
        <v>0</v>
      </c>
      <c r="F558" s="69">
        <f ca="1">SUMIF('CAP1-3'!$B:$H,Insumo[[#This Row],[DESCRIPCION]],'CAP1-3'!$H:$H)</f>
        <v>0</v>
      </c>
      <c r="G558" s="69">
        <f ca="1">SUMIF('CAP4-5'!$B:$H,Insumo[[#This Row],[DESCRIPCION]],'CAP4-5'!$H:$H)</f>
        <v>0</v>
      </c>
      <c r="H558" s="69">
        <f ca="1">SUMIF('CAP6-7'!$B:$H,Insumo[[#This Row],[DESCRIPCION]],'CAP6-7'!$H:$H)</f>
        <v>0</v>
      </c>
      <c r="I558" s="69">
        <f ca="1">SUMIF('CAP8'!$B:$H,Insumo[[#This Row],[DESCRIPCION]],'CAP8'!$H:$H)</f>
        <v>0</v>
      </c>
      <c r="J558" s="69">
        <f ca="1">SUMIF('CAP9-13'!$B:$H,Insumo[[#This Row],[DESCRIPCION]],'CAP9-13'!$H:$H)</f>
        <v>0</v>
      </c>
      <c r="K558" s="69">
        <f ca="1">SUMIF('CAP14-15'!$B:$H,Insumo[[#This Row],[DESCRIPCION]],'CAP14-15'!$H:$H)</f>
        <v>0</v>
      </c>
      <c r="L558" s="69">
        <f ca="1">SUMIF('CAP16-18'!$B:$H,Insumo[[#This Row],[DESCRIPCION]],'CAP16-18'!$H:$H)</f>
        <v>0</v>
      </c>
      <c r="M558" s="69">
        <f ca="1">SUMIF('CAP19-22'!$B:$H,Insumo[[#This Row],[DESCRIPCION]],'CAP19-22'!$H:$H)</f>
        <v>0</v>
      </c>
      <c r="N558" s="69">
        <f ca="1">SUMIF('CAP23-24'!$B:$H,Insumo[[#This Row],[DESCRIPCION]],'CAP23-24'!$H:$H)</f>
        <v>0</v>
      </c>
      <c r="O558" s="69">
        <f ca="1">SUMIF('CAP25'!$B:$H,Insumo[[#This Row],[DESCRIPCION]],'CAP25'!$H:$H)</f>
        <v>0</v>
      </c>
      <c r="P558" s="69">
        <f ca="1">SUMIF('CAP26-28'!$B:$H,Insumo[[#This Row],[DESCRIPCION]],'CAP26-28'!$H:$H)</f>
        <v>0</v>
      </c>
      <c r="Q558" s="69">
        <f ca="1">SUMIF('CAP29'!$B:$H,Insumo[[#This Row],[DESCRIPCION]],'CAP29'!$H:$H)</f>
        <v>0</v>
      </c>
      <c r="T558" s="136">
        <v>920125</v>
      </c>
    </row>
    <row r="559" spans="1:20" ht="12" customHeight="1">
      <c r="A559" s="301" t="s">
        <v>3169</v>
      </c>
      <c r="B559" s="303" t="s">
        <v>338</v>
      </c>
      <c r="C559" s="304">
        <f t="shared" si="8"/>
        <v>4433.1000000000004</v>
      </c>
      <c r="D559" s="281" cm="1">
        <f t="array" aca="1" ref="D559" ca="1">IF(Insumo[[#This Row],[VALOR]]=0,Insumo[TOTAL],E559/C559)</f>
        <v>0</v>
      </c>
      <c r="E559" s="69">
        <f ca="1">SUM(Insumo[[#This Row],[CAP1-3]:[CAP29]])</f>
        <v>0</v>
      </c>
      <c r="F559" s="69">
        <f ca="1">SUMIF('CAP1-3'!$B:$H,Insumo[[#This Row],[DESCRIPCION]],'CAP1-3'!$H:$H)</f>
        <v>0</v>
      </c>
      <c r="G559" s="69">
        <f ca="1">SUMIF('CAP4-5'!$B:$H,Insumo[[#This Row],[DESCRIPCION]],'CAP4-5'!$H:$H)</f>
        <v>0</v>
      </c>
      <c r="H559" s="69">
        <f ca="1">SUMIF('CAP6-7'!$B:$H,Insumo[[#This Row],[DESCRIPCION]],'CAP6-7'!$H:$H)</f>
        <v>0</v>
      </c>
      <c r="I559" s="69">
        <f ca="1">SUMIF('CAP8'!$B:$H,Insumo[[#This Row],[DESCRIPCION]],'CAP8'!$H:$H)</f>
        <v>0</v>
      </c>
      <c r="J559" s="69">
        <f ca="1">SUMIF('CAP9-13'!$B:$H,Insumo[[#This Row],[DESCRIPCION]],'CAP9-13'!$H:$H)</f>
        <v>0</v>
      </c>
      <c r="K559" s="69">
        <f ca="1">SUMIF('CAP14-15'!$B:$H,Insumo[[#This Row],[DESCRIPCION]],'CAP14-15'!$H:$H)</f>
        <v>0</v>
      </c>
      <c r="L559" s="69">
        <f ca="1">SUMIF('CAP16-18'!$B:$H,Insumo[[#This Row],[DESCRIPCION]],'CAP16-18'!$H:$H)</f>
        <v>0</v>
      </c>
      <c r="M559" s="69">
        <f ca="1">SUMIF('CAP19-22'!$B:$H,Insumo[[#This Row],[DESCRIPCION]],'CAP19-22'!$H:$H)</f>
        <v>0</v>
      </c>
      <c r="N559" s="69">
        <f ca="1">SUMIF('CAP23-24'!$B:$H,Insumo[[#This Row],[DESCRIPCION]],'CAP23-24'!$H:$H)</f>
        <v>0</v>
      </c>
      <c r="O559" s="69">
        <f ca="1">SUMIF('CAP25'!$B:$H,Insumo[[#This Row],[DESCRIPCION]],'CAP25'!$H:$H)</f>
        <v>0</v>
      </c>
      <c r="P559" s="69">
        <f ca="1">SUMIF('CAP26-28'!$B:$H,Insumo[[#This Row],[DESCRIPCION]],'CAP26-28'!$H:$H)</f>
        <v>0</v>
      </c>
      <c r="Q559" s="69">
        <f ca="1">SUMIF('CAP29'!$B:$H,Insumo[[#This Row],[DESCRIPCION]],'CAP29'!$H:$H)</f>
        <v>0</v>
      </c>
      <c r="T559" s="136">
        <v>4222</v>
      </c>
    </row>
    <row r="560" spans="1:20" ht="12" customHeight="1">
      <c r="A560" s="301" t="s">
        <v>3170</v>
      </c>
      <c r="B560" s="303" t="s">
        <v>23</v>
      </c>
      <c r="C560" s="304">
        <f t="shared" si="8"/>
        <v>51034.200000000004</v>
      </c>
      <c r="D560" s="281" cm="1">
        <f t="array" aca="1" ref="D560" ca="1">IF(Insumo[[#This Row],[VALOR]]=0,Insumo[TOTAL],E560/C560)</f>
        <v>0</v>
      </c>
      <c r="E560" s="69">
        <f ca="1">SUM(Insumo[[#This Row],[CAP1-3]:[CAP29]])</f>
        <v>0</v>
      </c>
      <c r="F560" s="69">
        <f ca="1">SUMIF('CAP1-3'!$B:$H,Insumo[[#This Row],[DESCRIPCION]],'CAP1-3'!$H:$H)</f>
        <v>0</v>
      </c>
      <c r="G560" s="69">
        <f ca="1">SUMIF('CAP4-5'!$B:$H,Insumo[[#This Row],[DESCRIPCION]],'CAP4-5'!$H:$H)</f>
        <v>0</v>
      </c>
      <c r="H560" s="69">
        <f ca="1">SUMIF('CAP6-7'!$B:$H,Insumo[[#This Row],[DESCRIPCION]],'CAP6-7'!$H:$H)</f>
        <v>0</v>
      </c>
      <c r="I560" s="69">
        <f ca="1">SUMIF('CAP8'!$B:$H,Insumo[[#This Row],[DESCRIPCION]],'CAP8'!$H:$H)</f>
        <v>0</v>
      </c>
      <c r="J560" s="69">
        <f ca="1">SUMIF('CAP9-13'!$B:$H,Insumo[[#This Row],[DESCRIPCION]],'CAP9-13'!$H:$H)</f>
        <v>0</v>
      </c>
      <c r="K560" s="69">
        <f ca="1">SUMIF('CAP14-15'!$B:$H,Insumo[[#This Row],[DESCRIPCION]],'CAP14-15'!$H:$H)</f>
        <v>0</v>
      </c>
      <c r="L560" s="69">
        <f ca="1">SUMIF('CAP16-18'!$B:$H,Insumo[[#This Row],[DESCRIPCION]],'CAP16-18'!$H:$H)</f>
        <v>0</v>
      </c>
      <c r="M560" s="69">
        <f ca="1">SUMIF('CAP19-22'!$B:$H,Insumo[[#This Row],[DESCRIPCION]],'CAP19-22'!$H:$H)</f>
        <v>0</v>
      </c>
      <c r="N560" s="69">
        <f ca="1">SUMIF('CAP23-24'!$B:$H,Insumo[[#This Row],[DESCRIPCION]],'CAP23-24'!$H:$H)</f>
        <v>0</v>
      </c>
      <c r="O560" s="69">
        <f ca="1">SUMIF('CAP25'!$B:$H,Insumo[[#This Row],[DESCRIPCION]],'CAP25'!$H:$H)</f>
        <v>0</v>
      </c>
      <c r="P560" s="69">
        <f ca="1">SUMIF('CAP26-28'!$B:$H,Insumo[[#This Row],[DESCRIPCION]],'CAP26-28'!$H:$H)</f>
        <v>0</v>
      </c>
      <c r="Q560" s="69">
        <f ca="1">SUMIF('CAP29'!$B:$H,Insumo[[#This Row],[DESCRIPCION]],'CAP29'!$H:$H)</f>
        <v>0</v>
      </c>
      <c r="T560" s="136">
        <v>48604</v>
      </c>
    </row>
    <row r="561" spans="1:20" ht="12" customHeight="1">
      <c r="A561" s="301" t="s">
        <v>3171</v>
      </c>
      <c r="B561" s="303" t="s">
        <v>52</v>
      </c>
      <c r="C561" s="304">
        <f t="shared" si="8"/>
        <v>852468.75</v>
      </c>
      <c r="D561" s="281" cm="1">
        <f t="array" aca="1" ref="D561" ca="1">IF(Insumo[[#This Row],[VALOR]]=0,Insumo[TOTAL],E561/C561)</f>
        <v>0</v>
      </c>
      <c r="E561" s="69">
        <f ca="1">SUM(Insumo[[#This Row],[CAP1-3]:[CAP29]])</f>
        <v>0</v>
      </c>
      <c r="F561" s="69">
        <f ca="1">SUMIF('CAP1-3'!$B:$H,Insumo[[#This Row],[DESCRIPCION]],'CAP1-3'!$H:$H)</f>
        <v>0</v>
      </c>
      <c r="G561" s="69">
        <f ca="1">SUMIF('CAP4-5'!$B:$H,Insumo[[#This Row],[DESCRIPCION]],'CAP4-5'!$H:$H)</f>
        <v>0</v>
      </c>
      <c r="H561" s="69">
        <f ca="1">SUMIF('CAP6-7'!$B:$H,Insumo[[#This Row],[DESCRIPCION]],'CAP6-7'!$H:$H)</f>
        <v>0</v>
      </c>
      <c r="I561" s="69">
        <f ca="1">SUMIF('CAP8'!$B:$H,Insumo[[#This Row],[DESCRIPCION]],'CAP8'!$H:$H)</f>
        <v>0</v>
      </c>
      <c r="J561" s="69">
        <f ca="1">SUMIF('CAP9-13'!$B:$H,Insumo[[#This Row],[DESCRIPCION]],'CAP9-13'!$H:$H)</f>
        <v>0</v>
      </c>
      <c r="K561" s="69">
        <f ca="1">SUMIF('CAP14-15'!$B:$H,Insumo[[#This Row],[DESCRIPCION]],'CAP14-15'!$H:$H)</f>
        <v>0</v>
      </c>
      <c r="L561" s="69">
        <f ca="1">SUMIF('CAP16-18'!$B:$H,Insumo[[#This Row],[DESCRIPCION]],'CAP16-18'!$H:$H)</f>
        <v>0</v>
      </c>
      <c r="M561" s="69">
        <f ca="1">SUMIF('CAP19-22'!$B:$H,Insumo[[#This Row],[DESCRIPCION]],'CAP19-22'!$H:$H)</f>
        <v>0</v>
      </c>
      <c r="N561" s="69">
        <f ca="1">SUMIF('CAP23-24'!$B:$H,Insumo[[#This Row],[DESCRIPCION]],'CAP23-24'!$H:$H)</f>
        <v>0</v>
      </c>
      <c r="O561" s="69">
        <f ca="1">SUMIF('CAP25'!$B:$H,Insumo[[#This Row],[DESCRIPCION]],'CAP25'!$H:$H)</f>
        <v>0</v>
      </c>
      <c r="P561" s="69">
        <f ca="1">SUMIF('CAP26-28'!$B:$H,Insumo[[#This Row],[DESCRIPCION]],'CAP26-28'!$H:$H)</f>
        <v>0</v>
      </c>
      <c r="Q561" s="69">
        <f ca="1">SUMIF('CAP29'!$B:$H,Insumo[[#This Row],[DESCRIPCION]],'CAP29'!$H:$H)</f>
        <v>0</v>
      </c>
      <c r="T561" s="136">
        <v>811875</v>
      </c>
    </row>
    <row r="562" spans="1:20" ht="12" customHeight="1">
      <c r="A562" s="301" t="s">
        <v>3172</v>
      </c>
      <c r="B562" s="303" t="s">
        <v>23</v>
      </c>
      <c r="C562" s="304">
        <f t="shared" si="8"/>
        <v>112411.95000000001</v>
      </c>
      <c r="D562" s="281" cm="1">
        <f t="array" aca="1" ref="D562" ca="1">IF(Insumo[[#This Row],[VALOR]]=0,Insumo[TOTAL],E562/C562)</f>
        <v>0</v>
      </c>
      <c r="E562" s="69">
        <f ca="1">SUM(Insumo[[#This Row],[CAP1-3]:[CAP29]])</f>
        <v>0</v>
      </c>
      <c r="F562" s="69">
        <f ca="1">SUMIF('CAP1-3'!$B:$H,Insumo[[#This Row],[DESCRIPCION]],'CAP1-3'!$H:$H)</f>
        <v>0</v>
      </c>
      <c r="G562" s="69">
        <f ca="1">SUMIF('CAP4-5'!$B:$H,Insumo[[#This Row],[DESCRIPCION]],'CAP4-5'!$H:$H)</f>
        <v>0</v>
      </c>
      <c r="H562" s="69">
        <f ca="1">SUMIF('CAP6-7'!$B:$H,Insumo[[#This Row],[DESCRIPCION]],'CAP6-7'!$H:$H)</f>
        <v>0</v>
      </c>
      <c r="I562" s="69">
        <f ca="1">SUMIF('CAP8'!$B:$H,Insumo[[#This Row],[DESCRIPCION]],'CAP8'!$H:$H)</f>
        <v>0</v>
      </c>
      <c r="J562" s="69">
        <f ca="1">SUMIF('CAP9-13'!$B:$H,Insumo[[#This Row],[DESCRIPCION]],'CAP9-13'!$H:$H)</f>
        <v>0</v>
      </c>
      <c r="K562" s="69">
        <f ca="1">SUMIF('CAP14-15'!$B:$H,Insumo[[#This Row],[DESCRIPCION]],'CAP14-15'!$H:$H)</f>
        <v>0</v>
      </c>
      <c r="L562" s="69">
        <f ca="1">SUMIF('CAP16-18'!$B:$H,Insumo[[#This Row],[DESCRIPCION]],'CAP16-18'!$H:$H)</f>
        <v>0</v>
      </c>
      <c r="M562" s="69">
        <f ca="1">SUMIF('CAP19-22'!$B:$H,Insumo[[#This Row],[DESCRIPCION]],'CAP19-22'!$H:$H)</f>
        <v>0</v>
      </c>
      <c r="N562" s="69">
        <f ca="1">SUMIF('CAP23-24'!$B:$H,Insumo[[#This Row],[DESCRIPCION]],'CAP23-24'!$H:$H)</f>
        <v>0</v>
      </c>
      <c r="O562" s="69">
        <f ca="1">SUMIF('CAP25'!$B:$H,Insumo[[#This Row],[DESCRIPCION]],'CAP25'!$H:$H)</f>
        <v>0</v>
      </c>
      <c r="P562" s="69">
        <f ca="1">SUMIF('CAP26-28'!$B:$H,Insumo[[#This Row],[DESCRIPCION]],'CAP26-28'!$H:$H)</f>
        <v>0</v>
      </c>
      <c r="Q562" s="69">
        <f ca="1">SUMIF('CAP29'!$B:$H,Insumo[[#This Row],[DESCRIPCION]],'CAP29'!$H:$H)</f>
        <v>0</v>
      </c>
      <c r="T562" s="136">
        <v>107059</v>
      </c>
    </row>
    <row r="563" spans="1:20" ht="12" customHeight="1">
      <c r="A563" s="301" t="s">
        <v>3173</v>
      </c>
      <c r="B563" s="303" t="s">
        <v>338</v>
      </c>
      <c r="C563" s="304">
        <f t="shared" si="8"/>
        <v>6253.8</v>
      </c>
      <c r="D563" s="281" cm="1">
        <f t="array" aca="1" ref="D563" ca="1">IF(Insumo[[#This Row],[VALOR]]=0,Insumo[TOTAL],E563/C563)</f>
        <v>0</v>
      </c>
      <c r="E563" s="69">
        <f ca="1">SUM(Insumo[[#This Row],[CAP1-3]:[CAP29]])</f>
        <v>0</v>
      </c>
      <c r="F563" s="69">
        <f ca="1">SUMIF('CAP1-3'!$B:$H,Insumo[[#This Row],[DESCRIPCION]],'CAP1-3'!$H:$H)</f>
        <v>0</v>
      </c>
      <c r="G563" s="69">
        <f ca="1">SUMIF('CAP4-5'!$B:$H,Insumo[[#This Row],[DESCRIPCION]],'CAP4-5'!$H:$H)</f>
        <v>0</v>
      </c>
      <c r="H563" s="69">
        <f ca="1">SUMIF('CAP6-7'!$B:$H,Insumo[[#This Row],[DESCRIPCION]],'CAP6-7'!$H:$H)</f>
        <v>0</v>
      </c>
      <c r="I563" s="69">
        <f ca="1">SUMIF('CAP8'!$B:$H,Insumo[[#This Row],[DESCRIPCION]],'CAP8'!$H:$H)</f>
        <v>0</v>
      </c>
      <c r="J563" s="69">
        <f ca="1">SUMIF('CAP9-13'!$B:$H,Insumo[[#This Row],[DESCRIPCION]],'CAP9-13'!$H:$H)</f>
        <v>0</v>
      </c>
      <c r="K563" s="69">
        <f ca="1">SUMIF('CAP14-15'!$B:$H,Insumo[[#This Row],[DESCRIPCION]],'CAP14-15'!$H:$H)</f>
        <v>0</v>
      </c>
      <c r="L563" s="69">
        <f ca="1">SUMIF('CAP16-18'!$B:$H,Insumo[[#This Row],[DESCRIPCION]],'CAP16-18'!$H:$H)</f>
        <v>0</v>
      </c>
      <c r="M563" s="69">
        <f ca="1">SUMIF('CAP19-22'!$B:$H,Insumo[[#This Row],[DESCRIPCION]],'CAP19-22'!$H:$H)</f>
        <v>0</v>
      </c>
      <c r="N563" s="69">
        <f ca="1">SUMIF('CAP23-24'!$B:$H,Insumo[[#This Row],[DESCRIPCION]],'CAP23-24'!$H:$H)</f>
        <v>0</v>
      </c>
      <c r="O563" s="69">
        <f ca="1">SUMIF('CAP25'!$B:$H,Insumo[[#This Row],[DESCRIPCION]],'CAP25'!$H:$H)</f>
        <v>0</v>
      </c>
      <c r="P563" s="69">
        <f ca="1">SUMIF('CAP26-28'!$B:$H,Insumo[[#This Row],[DESCRIPCION]],'CAP26-28'!$H:$H)</f>
        <v>0</v>
      </c>
      <c r="Q563" s="69">
        <f ca="1">SUMIF('CAP29'!$B:$H,Insumo[[#This Row],[DESCRIPCION]],'CAP29'!$H:$H)</f>
        <v>0</v>
      </c>
      <c r="T563" s="136">
        <v>5956</v>
      </c>
    </row>
    <row r="564" spans="1:20" ht="12" customHeight="1">
      <c r="A564" s="301" t="s">
        <v>3174</v>
      </c>
      <c r="B564" s="303" t="s">
        <v>23</v>
      </c>
      <c r="C564" s="304">
        <f t="shared" si="8"/>
        <v>1704937.5</v>
      </c>
      <c r="D564" s="281" cm="1">
        <f t="array" aca="1" ref="D564" ca="1">IF(Insumo[[#This Row],[VALOR]]=0,Insumo[TOTAL],E564/C564)</f>
        <v>0</v>
      </c>
      <c r="E564" s="69">
        <f ca="1">SUM(Insumo[[#This Row],[CAP1-3]:[CAP29]])</f>
        <v>0</v>
      </c>
      <c r="F564" s="69">
        <f ca="1">SUMIF('CAP1-3'!$B:$H,Insumo[[#This Row],[DESCRIPCION]],'CAP1-3'!$H:$H)</f>
        <v>0</v>
      </c>
      <c r="G564" s="69">
        <f ca="1">SUMIF('CAP4-5'!$B:$H,Insumo[[#This Row],[DESCRIPCION]],'CAP4-5'!$H:$H)</f>
        <v>0</v>
      </c>
      <c r="H564" s="69">
        <f ca="1">SUMIF('CAP6-7'!$B:$H,Insumo[[#This Row],[DESCRIPCION]],'CAP6-7'!$H:$H)</f>
        <v>0</v>
      </c>
      <c r="I564" s="69">
        <f ca="1">SUMIF('CAP8'!$B:$H,Insumo[[#This Row],[DESCRIPCION]],'CAP8'!$H:$H)</f>
        <v>0</v>
      </c>
      <c r="J564" s="69">
        <f ca="1">SUMIF('CAP9-13'!$B:$H,Insumo[[#This Row],[DESCRIPCION]],'CAP9-13'!$H:$H)</f>
        <v>0</v>
      </c>
      <c r="K564" s="69">
        <f ca="1">SUMIF('CAP14-15'!$B:$H,Insumo[[#This Row],[DESCRIPCION]],'CAP14-15'!$H:$H)</f>
        <v>0</v>
      </c>
      <c r="L564" s="69">
        <f ca="1">SUMIF('CAP16-18'!$B:$H,Insumo[[#This Row],[DESCRIPCION]],'CAP16-18'!$H:$H)</f>
        <v>0</v>
      </c>
      <c r="M564" s="69">
        <f ca="1">SUMIF('CAP19-22'!$B:$H,Insumo[[#This Row],[DESCRIPCION]],'CAP19-22'!$H:$H)</f>
        <v>0</v>
      </c>
      <c r="N564" s="69">
        <f ca="1">SUMIF('CAP23-24'!$B:$H,Insumo[[#This Row],[DESCRIPCION]],'CAP23-24'!$H:$H)</f>
        <v>0</v>
      </c>
      <c r="O564" s="69">
        <f ca="1">SUMIF('CAP25'!$B:$H,Insumo[[#This Row],[DESCRIPCION]],'CAP25'!$H:$H)</f>
        <v>0</v>
      </c>
      <c r="P564" s="69">
        <f ca="1">SUMIF('CAP26-28'!$B:$H,Insumo[[#This Row],[DESCRIPCION]],'CAP26-28'!$H:$H)</f>
        <v>0</v>
      </c>
      <c r="Q564" s="69">
        <f ca="1">SUMIF('CAP29'!$B:$H,Insumo[[#This Row],[DESCRIPCION]],'CAP29'!$H:$H)</f>
        <v>0</v>
      </c>
      <c r="T564" s="136">
        <v>1623750</v>
      </c>
    </row>
    <row r="565" spans="1:20" ht="12" customHeight="1">
      <c r="A565" s="301" t="s">
        <v>3175</v>
      </c>
      <c r="B565" s="303" t="s">
        <v>23</v>
      </c>
      <c r="C565" s="304">
        <f t="shared" si="8"/>
        <v>2671068.75</v>
      </c>
      <c r="D565" s="281" cm="1">
        <f t="array" aca="1" ref="D565" ca="1">IF(Insumo[[#This Row],[VALOR]]=0,Insumo[TOTAL],E565/C565)</f>
        <v>0</v>
      </c>
      <c r="E565" s="69">
        <f ca="1">SUM(Insumo[[#This Row],[CAP1-3]:[CAP29]])</f>
        <v>0</v>
      </c>
      <c r="F565" s="69">
        <f ca="1">SUMIF('CAP1-3'!$B:$H,Insumo[[#This Row],[DESCRIPCION]],'CAP1-3'!$H:$H)</f>
        <v>0</v>
      </c>
      <c r="G565" s="69">
        <f ca="1">SUMIF('CAP4-5'!$B:$H,Insumo[[#This Row],[DESCRIPCION]],'CAP4-5'!$H:$H)</f>
        <v>0</v>
      </c>
      <c r="H565" s="69">
        <f ca="1">SUMIF('CAP6-7'!$B:$H,Insumo[[#This Row],[DESCRIPCION]],'CAP6-7'!$H:$H)</f>
        <v>0</v>
      </c>
      <c r="I565" s="69">
        <f ca="1">SUMIF('CAP8'!$B:$H,Insumo[[#This Row],[DESCRIPCION]],'CAP8'!$H:$H)</f>
        <v>0</v>
      </c>
      <c r="J565" s="69">
        <f ca="1">SUMIF('CAP9-13'!$B:$H,Insumo[[#This Row],[DESCRIPCION]],'CAP9-13'!$H:$H)</f>
        <v>0</v>
      </c>
      <c r="K565" s="69">
        <f ca="1">SUMIF('CAP14-15'!$B:$H,Insumo[[#This Row],[DESCRIPCION]],'CAP14-15'!$H:$H)</f>
        <v>0</v>
      </c>
      <c r="L565" s="69">
        <f ca="1">SUMIF('CAP16-18'!$B:$H,Insumo[[#This Row],[DESCRIPCION]],'CAP16-18'!$H:$H)</f>
        <v>0</v>
      </c>
      <c r="M565" s="69">
        <f ca="1">SUMIF('CAP19-22'!$B:$H,Insumo[[#This Row],[DESCRIPCION]],'CAP19-22'!$H:$H)</f>
        <v>0</v>
      </c>
      <c r="N565" s="69">
        <f ca="1">SUMIF('CAP23-24'!$B:$H,Insumo[[#This Row],[DESCRIPCION]],'CAP23-24'!$H:$H)</f>
        <v>0</v>
      </c>
      <c r="O565" s="69">
        <f ca="1">SUMIF('CAP25'!$B:$H,Insumo[[#This Row],[DESCRIPCION]],'CAP25'!$H:$H)</f>
        <v>0</v>
      </c>
      <c r="P565" s="69">
        <f ca="1">SUMIF('CAP26-28'!$B:$H,Insumo[[#This Row],[DESCRIPCION]],'CAP26-28'!$H:$H)</f>
        <v>0</v>
      </c>
      <c r="Q565" s="69">
        <f ca="1">SUMIF('CAP29'!$B:$H,Insumo[[#This Row],[DESCRIPCION]],'CAP29'!$H:$H)</f>
        <v>0</v>
      </c>
      <c r="T565" s="136">
        <v>2543875</v>
      </c>
    </row>
    <row r="566" spans="1:20" ht="12" customHeight="1">
      <c r="A566" s="301" t="s">
        <v>3176</v>
      </c>
      <c r="B566" s="303" t="s">
        <v>23</v>
      </c>
      <c r="C566" s="304">
        <f t="shared" si="8"/>
        <v>230644.05000000002</v>
      </c>
      <c r="D566" s="281" cm="1">
        <f t="array" aca="1" ref="D566" ca="1">IF(Insumo[[#This Row],[VALOR]]=0,Insumo[TOTAL],E566/C566)</f>
        <v>0</v>
      </c>
      <c r="E566" s="69">
        <f ca="1">SUM(Insumo[[#This Row],[CAP1-3]:[CAP29]])</f>
        <v>0</v>
      </c>
      <c r="F566" s="69">
        <f ca="1">SUMIF('CAP1-3'!$B:$H,Insumo[[#This Row],[DESCRIPCION]],'CAP1-3'!$H:$H)</f>
        <v>0</v>
      </c>
      <c r="G566" s="69">
        <f ca="1">SUMIF('CAP4-5'!$B:$H,Insumo[[#This Row],[DESCRIPCION]],'CAP4-5'!$H:$H)</f>
        <v>0</v>
      </c>
      <c r="H566" s="69">
        <f ca="1">SUMIF('CAP6-7'!$B:$H,Insumo[[#This Row],[DESCRIPCION]],'CAP6-7'!$H:$H)</f>
        <v>0</v>
      </c>
      <c r="I566" s="69">
        <f ca="1">SUMIF('CAP8'!$B:$H,Insumo[[#This Row],[DESCRIPCION]],'CAP8'!$H:$H)</f>
        <v>0</v>
      </c>
      <c r="J566" s="69">
        <f ca="1">SUMIF('CAP9-13'!$B:$H,Insumo[[#This Row],[DESCRIPCION]],'CAP9-13'!$H:$H)</f>
        <v>0</v>
      </c>
      <c r="K566" s="69">
        <f ca="1">SUMIF('CAP14-15'!$B:$H,Insumo[[#This Row],[DESCRIPCION]],'CAP14-15'!$H:$H)</f>
        <v>0</v>
      </c>
      <c r="L566" s="69">
        <f ca="1">SUMIF('CAP16-18'!$B:$H,Insumo[[#This Row],[DESCRIPCION]],'CAP16-18'!$H:$H)</f>
        <v>0</v>
      </c>
      <c r="M566" s="69">
        <f ca="1">SUMIF('CAP19-22'!$B:$H,Insumo[[#This Row],[DESCRIPCION]],'CAP19-22'!$H:$H)</f>
        <v>0</v>
      </c>
      <c r="N566" s="69">
        <f ca="1">SUMIF('CAP23-24'!$B:$H,Insumo[[#This Row],[DESCRIPCION]],'CAP23-24'!$H:$H)</f>
        <v>0</v>
      </c>
      <c r="O566" s="69">
        <f ca="1">SUMIF('CAP25'!$B:$H,Insumo[[#This Row],[DESCRIPCION]],'CAP25'!$H:$H)</f>
        <v>0</v>
      </c>
      <c r="P566" s="69">
        <f ca="1">SUMIF('CAP26-28'!$B:$H,Insumo[[#This Row],[DESCRIPCION]],'CAP26-28'!$H:$H)</f>
        <v>0</v>
      </c>
      <c r="Q566" s="69">
        <f ca="1">SUMIF('CAP29'!$B:$H,Insumo[[#This Row],[DESCRIPCION]],'CAP29'!$H:$H)</f>
        <v>0</v>
      </c>
      <c r="T566" s="136">
        <v>219661</v>
      </c>
    </row>
    <row r="567" spans="1:20" ht="12" customHeight="1">
      <c r="A567" s="301" t="s">
        <v>3177</v>
      </c>
      <c r="B567" s="303" t="s">
        <v>23</v>
      </c>
      <c r="C567" s="304">
        <f t="shared" si="8"/>
        <v>5289.9000000000005</v>
      </c>
      <c r="D567" s="281" cm="1">
        <f t="array" aca="1" ref="D567" ca="1">IF(Insumo[[#This Row],[VALOR]]=0,Insumo[TOTAL],E567/C567)</f>
        <v>0</v>
      </c>
      <c r="E567" s="69">
        <f ca="1">SUM(Insumo[[#This Row],[CAP1-3]:[CAP29]])</f>
        <v>0</v>
      </c>
      <c r="F567" s="69">
        <f ca="1">SUMIF('CAP1-3'!$B:$H,Insumo[[#This Row],[DESCRIPCION]],'CAP1-3'!$H:$H)</f>
        <v>0</v>
      </c>
      <c r="G567" s="69">
        <f ca="1">SUMIF('CAP4-5'!$B:$H,Insumo[[#This Row],[DESCRIPCION]],'CAP4-5'!$H:$H)</f>
        <v>0</v>
      </c>
      <c r="H567" s="69">
        <f ca="1">SUMIF('CAP6-7'!$B:$H,Insumo[[#This Row],[DESCRIPCION]],'CAP6-7'!$H:$H)</f>
        <v>0</v>
      </c>
      <c r="I567" s="69">
        <f ca="1">SUMIF('CAP8'!$B:$H,Insumo[[#This Row],[DESCRIPCION]],'CAP8'!$H:$H)</f>
        <v>0</v>
      </c>
      <c r="J567" s="69">
        <f ca="1">SUMIF('CAP9-13'!$B:$H,Insumo[[#This Row],[DESCRIPCION]],'CAP9-13'!$H:$H)</f>
        <v>0</v>
      </c>
      <c r="K567" s="69">
        <f ca="1">SUMIF('CAP14-15'!$B:$H,Insumo[[#This Row],[DESCRIPCION]],'CAP14-15'!$H:$H)</f>
        <v>0</v>
      </c>
      <c r="L567" s="69">
        <f ca="1">SUMIF('CAP16-18'!$B:$H,Insumo[[#This Row],[DESCRIPCION]],'CAP16-18'!$H:$H)</f>
        <v>0</v>
      </c>
      <c r="M567" s="69">
        <f ca="1">SUMIF('CAP19-22'!$B:$H,Insumo[[#This Row],[DESCRIPCION]],'CAP19-22'!$H:$H)</f>
        <v>0</v>
      </c>
      <c r="N567" s="69">
        <f ca="1">SUMIF('CAP23-24'!$B:$H,Insumo[[#This Row],[DESCRIPCION]],'CAP23-24'!$H:$H)</f>
        <v>0</v>
      </c>
      <c r="O567" s="69">
        <f ca="1">SUMIF('CAP25'!$B:$H,Insumo[[#This Row],[DESCRIPCION]],'CAP25'!$H:$H)</f>
        <v>0</v>
      </c>
      <c r="P567" s="69">
        <f ca="1">SUMIF('CAP26-28'!$B:$H,Insumo[[#This Row],[DESCRIPCION]],'CAP26-28'!$H:$H)</f>
        <v>0</v>
      </c>
      <c r="Q567" s="69">
        <f ca="1">SUMIF('CAP29'!$B:$H,Insumo[[#This Row],[DESCRIPCION]],'CAP29'!$H:$H)</f>
        <v>0</v>
      </c>
      <c r="T567" s="136">
        <v>5038</v>
      </c>
    </row>
    <row r="568" spans="1:20" ht="12" customHeight="1">
      <c r="A568" s="301" t="s">
        <v>3178</v>
      </c>
      <c r="B568" s="303" t="s">
        <v>23</v>
      </c>
      <c r="C568" s="304">
        <f t="shared" si="8"/>
        <v>966616.35000000009</v>
      </c>
      <c r="D568" s="281" cm="1">
        <f t="array" aca="1" ref="D568" ca="1">IF(Insumo[[#This Row],[VALOR]]=0,Insumo[TOTAL],E568/C568)</f>
        <v>0</v>
      </c>
      <c r="E568" s="69">
        <f ca="1">SUM(Insumo[[#This Row],[CAP1-3]:[CAP29]])</f>
        <v>0</v>
      </c>
      <c r="F568" s="69">
        <f ca="1">SUMIF('CAP1-3'!$B:$H,Insumo[[#This Row],[DESCRIPCION]],'CAP1-3'!$H:$H)</f>
        <v>0</v>
      </c>
      <c r="G568" s="69">
        <f ca="1">SUMIF('CAP4-5'!$B:$H,Insumo[[#This Row],[DESCRIPCION]],'CAP4-5'!$H:$H)</f>
        <v>0</v>
      </c>
      <c r="H568" s="69">
        <f ca="1">SUMIF('CAP6-7'!$B:$H,Insumo[[#This Row],[DESCRIPCION]],'CAP6-7'!$H:$H)</f>
        <v>0</v>
      </c>
      <c r="I568" s="69">
        <f ca="1">SUMIF('CAP8'!$B:$H,Insumo[[#This Row],[DESCRIPCION]],'CAP8'!$H:$H)</f>
        <v>0</v>
      </c>
      <c r="J568" s="69">
        <f ca="1">SUMIF('CAP9-13'!$B:$H,Insumo[[#This Row],[DESCRIPCION]],'CAP9-13'!$H:$H)</f>
        <v>0</v>
      </c>
      <c r="K568" s="69">
        <f ca="1">SUMIF('CAP14-15'!$B:$H,Insumo[[#This Row],[DESCRIPCION]],'CAP14-15'!$H:$H)</f>
        <v>0</v>
      </c>
      <c r="L568" s="69">
        <f ca="1">SUMIF('CAP16-18'!$B:$H,Insumo[[#This Row],[DESCRIPCION]],'CAP16-18'!$H:$H)</f>
        <v>0</v>
      </c>
      <c r="M568" s="69">
        <f ca="1">SUMIF('CAP19-22'!$B:$H,Insumo[[#This Row],[DESCRIPCION]],'CAP19-22'!$H:$H)</f>
        <v>0</v>
      </c>
      <c r="N568" s="69">
        <f ca="1">SUMIF('CAP23-24'!$B:$H,Insumo[[#This Row],[DESCRIPCION]],'CAP23-24'!$H:$H)</f>
        <v>0</v>
      </c>
      <c r="O568" s="69">
        <f ca="1">SUMIF('CAP25'!$B:$H,Insumo[[#This Row],[DESCRIPCION]],'CAP25'!$H:$H)</f>
        <v>0</v>
      </c>
      <c r="P568" s="69">
        <f ca="1">SUMIF('CAP26-28'!$B:$H,Insumo[[#This Row],[DESCRIPCION]],'CAP26-28'!$H:$H)</f>
        <v>0</v>
      </c>
      <c r="Q568" s="69">
        <f ca="1">SUMIF('CAP29'!$B:$H,Insumo[[#This Row],[DESCRIPCION]],'CAP29'!$H:$H)</f>
        <v>0</v>
      </c>
      <c r="T568" s="136">
        <v>920587</v>
      </c>
    </row>
    <row r="569" spans="1:20" ht="12" customHeight="1">
      <c r="A569" s="301" t="s">
        <v>3179</v>
      </c>
      <c r="B569" s="303" t="s">
        <v>23</v>
      </c>
      <c r="C569" s="304">
        <f t="shared" si="8"/>
        <v>437601.15</v>
      </c>
      <c r="D569" s="281" cm="1">
        <f t="array" aca="1" ref="D569" ca="1">IF(Insumo[[#This Row],[VALOR]]=0,Insumo[TOTAL],E569/C569)</f>
        <v>0</v>
      </c>
      <c r="E569" s="69">
        <f ca="1">SUM(Insumo[[#This Row],[CAP1-3]:[CAP29]])</f>
        <v>0</v>
      </c>
      <c r="F569" s="69">
        <f ca="1">SUMIF('CAP1-3'!$B:$H,Insumo[[#This Row],[DESCRIPCION]],'CAP1-3'!$H:$H)</f>
        <v>0</v>
      </c>
      <c r="G569" s="69">
        <f ca="1">SUMIF('CAP4-5'!$B:$H,Insumo[[#This Row],[DESCRIPCION]],'CAP4-5'!$H:$H)</f>
        <v>0</v>
      </c>
      <c r="H569" s="69">
        <f ca="1">SUMIF('CAP6-7'!$B:$H,Insumo[[#This Row],[DESCRIPCION]],'CAP6-7'!$H:$H)</f>
        <v>0</v>
      </c>
      <c r="I569" s="69">
        <f ca="1">SUMIF('CAP8'!$B:$H,Insumo[[#This Row],[DESCRIPCION]],'CAP8'!$H:$H)</f>
        <v>0</v>
      </c>
      <c r="J569" s="69">
        <f ca="1">SUMIF('CAP9-13'!$B:$H,Insumo[[#This Row],[DESCRIPCION]],'CAP9-13'!$H:$H)</f>
        <v>0</v>
      </c>
      <c r="K569" s="69">
        <f ca="1">SUMIF('CAP14-15'!$B:$H,Insumo[[#This Row],[DESCRIPCION]],'CAP14-15'!$H:$H)</f>
        <v>0</v>
      </c>
      <c r="L569" s="69">
        <f ca="1">SUMIF('CAP16-18'!$B:$H,Insumo[[#This Row],[DESCRIPCION]],'CAP16-18'!$H:$H)</f>
        <v>0</v>
      </c>
      <c r="M569" s="69">
        <f ca="1">SUMIF('CAP19-22'!$B:$H,Insumo[[#This Row],[DESCRIPCION]],'CAP19-22'!$H:$H)</f>
        <v>0</v>
      </c>
      <c r="N569" s="69">
        <f ca="1">SUMIF('CAP23-24'!$B:$H,Insumo[[#This Row],[DESCRIPCION]],'CAP23-24'!$H:$H)</f>
        <v>0</v>
      </c>
      <c r="O569" s="69">
        <f ca="1">SUMIF('CAP25'!$B:$H,Insumo[[#This Row],[DESCRIPCION]],'CAP25'!$H:$H)</f>
        <v>0</v>
      </c>
      <c r="P569" s="69">
        <f ca="1">SUMIF('CAP26-28'!$B:$H,Insumo[[#This Row],[DESCRIPCION]],'CAP26-28'!$H:$H)</f>
        <v>0</v>
      </c>
      <c r="Q569" s="69">
        <f ca="1">SUMIF('CAP29'!$B:$H,Insumo[[#This Row],[DESCRIPCION]],'CAP29'!$H:$H)</f>
        <v>0</v>
      </c>
      <c r="T569" s="136">
        <v>416763</v>
      </c>
    </row>
    <row r="570" spans="1:20" ht="12" customHeight="1">
      <c r="A570" s="301" t="s">
        <v>3180</v>
      </c>
      <c r="B570" s="303" t="s">
        <v>23</v>
      </c>
      <c r="C570" s="304">
        <f t="shared" si="8"/>
        <v>306888.75</v>
      </c>
      <c r="D570" s="281" cm="1">
        <f t="array" aca="1" ref="D570" ca="1">IF(Insumo[[#This Row],[VALOR]]=0,Insumo[TOTAL],E570/C570)</f>
        <v>0</v>
      </c>
      <c r="E570" s="69">
        <f ca="1">SUM(Insumo[[#This Row],[CAP1-3]:[CAP29]])</f>
        <v>0</v>
      </c>
      <c r="F570" s="69">
        <f ca="1">SUMIF('CAP1-3'!$B:$H,Insumo[[#This Row],[DESCRIPCION]],'CAP1-3'!$H:$H)</f>
        <v>0</v>
      </c>
      <c r="G570" s="69">
        <f ca="1">SUMIF('CAP4-5'!$B:$H,Insumo[[#This Row],[DESCRIPCION]],'CAP4-5'!$H:$H)</f>
        <v>0</v>
      </c>
      <c r="H570" s="69">
        <f ca="1">SUMIF('CAP6-7'!$B:$H,Insumo[[#This Row],[DESCRIPCION]],'CAP6-7'!$H:$H)</f>
        <v>0</v>
      </c>
      <c r="I570" s="69">
        <f ca="1">SUMIF('CAP8'!$B:$H,Insumo[[#This Row],[DESCRIPCION]],'CAP8'!$H:$H)</f>
        <v>0</v>
      </c>
      <c r="J570" s="69">
        <f ca="1">SUMIF('CAP9-13'!$B:$H,Insumo[[#This Row],[DESCRIPCION]],'CAP9-13'!$H:$H)</f>
        <v>0</v>
      </c>
      <c r="K570" s="69">
        <f ca="1">SUMIF('CAP14-15'!$B:$H,Insumo[[#This Row],[DESCRIPCION]],'CAP14-15'!$H:$H)</f>
        <v>0</v>
      </c>
      <c r="L570" s="69">
        <f ca="1">SUMIF('CAP16-18'!$B:$H,Insumo[[#This Row],[DESCRIPCION]],'CAP16-18'!$H:$H)</f>
        <v>0</v>
      </c>
      <c r="M570" s="69">
        <f ca="1">SUMIF('CAP19-22'!$B:$H,Insumo[[#This Row],[DESCRIPCION]],'CAP19-22'!$H:$H)</f>
        <v>0</v>
      </c>
      <c r="N570" s="69">
        <f ca="1">SUMIF('CAP23-24'!$B:$H,Insumo[[#This Row],[DESCRIPCION]],'CAP23-24'!$H:$H)</f>
        <v>0</v>
      </c>
      <c r="O570" s="69">
        <f ca="1">SUMIF('CAP25'!$B:$H,Insumo[[#This Row],[DESCRIPCION]],'CAP25'!$H:$H)</f>
        <v>0</v>
      </c>
      <c r="P570" s="69">
        <f ca="1">SUMIF('CAP26-28'!$B:$H,Insumo[[#This Row],[DESCRIPCION]],'CAP26-28'!$H:$H)</f>
        <v>0</v>
      </c>
      <c r="Q570" s="69">
        <f ca="1">SUMIF('CAP29'!$B:$H,Insumo[[#This Row],[DESCRIPCION]],'CAP29'!$H:$H)</f>
        <v>0</v>
      </c>
      <c r="T570" s="136">
        <v>292275</v>
      </c>
    </row>
    <row r="571" spans="1:20" ht="12" customHeight="1">
      <c r="A571" s="301" t="s">
        <v>3181</v>
      </c>
      <c r="B571" s="303" t="s">
        <v>338</v>
      </c>
      <c r="C571" s="304">
        <f t="shared" si="8"/>
        <v>56831.25</v>
      </c>
      <c r="D571" s="281" cm="1">
        <f t="array" aca="1" ref="D571" ca="1">IF(Insumo[[#This Row],[VALOR]]=0,Insumo[TOTAL],E571/C571)</f>
        <v>0</v>
      </c>
      <c r="E571" s="69">
        <f ca="1">SUM(Insumo[[#This Row],[CAP1-3]:[CAP29]])</f>
        <v>0</v>
      </c>
      <c r="F571" s="69">
        <f ca="1">SUMIF('CAP1-3'!$B:$H,Insumo[[#This Row],[DESCRIPCION]],'CAP1-3'!$H:$H)</f>
        <v>0</v>
      </c>
      <c r="G571" s="69">
        <f ca="1">SUMIF('CAP4-5'!$B:$H,Insumo[[#This Row],[DESCRIPCION]],'CAP4-5'!$H:$H)</f>
        <v>0</v>
      </c>
      <c r="H571" s="69">
        <f ca="1">SUMIF('CAP6-7'!$B:$H,Insumo[[#This Row],[DESCRIPCION]],'CAP6-7'!$H:$H)</f>
        <v>0</v>
      </c>
      <c r="I571" s="69">
        <f ca="1">SUMIF('CAP8'!$B:$H,Insumo[[#This Row],[DESCRIPCION]],'CAP8'!$H:$H)</f>
        <v>0</v>
      </c>
      <c r="J571" s="69">
        <f ca="1">SUMIF('CAP9-13'!$B:$H,Insumo[[#This Row],[DESCRIPCION]],'CAP9-13'!$H:$H)</f>
        <v>0</v>
      </c>
      <c r="K571" s="69">
        <f ca="1">SUMIF('CAP14-15'!$B:$H,Insumo[[#This Row],[DESCRIPCION]],'CAP14-15'!$H:$H)</f>
        <v>0</v>
      </c>
      <c r="L571" s="69">
        <f ca="1">SUMIF('CAP16-18'!$B:$H,Insumo[[#This Row],[DESCRIPCION]],'CAP16-18'!$H:$H)</f>
        <v>0</v>
      </c>
      <c r="M571" s="69">
        <f ca="1">SUMIF('CAP19-22'!$B:$H,Insumo[[#This Row],[DESCRIPCION]],'CAP19-22'!$H:$H)</f>
        <v>0</v>
      </c>
      <c r="N571" s="69">
        <f ca="1">SUMIF('CAP23-24'!$B:$H,Insumo[[#This Row],[DESCRIPCION]],'CAP23-24'!$H:$H)</f>
        <v>0</v>
      </c>
      <c r="O571" s="69">
        <f ca="1">SUMIF('CAP25'!$B:$H,Insumo[[#This Row],[DESCRIPCION]],'CAP25'!$H:$H)</f>
        <v>0</v>
      </c>
      <c r="P571" s="69">
        <f ca="1">SUMIF('CAP26-28'!$B:$H,Insumo[[#This Row],[DESCRIPCION]],'CAP26-28'!$H:$H)</f>
        <v>0</v>
      </c>
      <c r="Q571" s="69">
        <f ca="1">SUMIF('CAP29'!$B:$H,Insumo[[#This Row],[DESCRIPCION]],'CAP29'!$H:$H)</f>
        <v>0</v>
      </c>
      <c r="R571" s="136" t="s">
        <v>2663</v>
      </c>
      <c r="T571" s="136">
        <v>54125</v>
      </c>
    </row>
    <row r="572" spans="1:20" ht="12" customHeight="1">
      <c r="A572" s="301" t="s">
        <v>3182</v>
      </c>
      <c r="B572" s="303" t="s">
        <v>23</v>
      </c>
      <c r="C572" s="304">
        <f t="shared" si="8"/>
        <v>113662.5</v>
      </c>
      <c r="D572" s="281" cm="1">
        <f t="array" aca="1" ref="D572" ca="1">IF(Insumo[[#This Row],[VALOR]]=0,Insumo[TOTAL],E572/C572)</f>
        <v>0</v>
      </c>
      <c r="E572" s="69">
        <f ca="1">SUM(Insumo[[#This Row],[CAP1-3]:[CAP29]])</f>
        <v>0</v>
      </c>
      <c r="F572" s="69">
        <f ca="1">SUMIF('CAP1-3'!$B:$H,Insumo[[#This Row],[DESCRIPCION]],'CAP1-3'!$H:$H)</f>
        <v>0</v>
      </c>
      <c r="G572" s="69">
        <f ca="1">SUMIF('CAP4-5'!$B:$H,Insumo[[#This Row],[DESCRIPCION]],'CAP4-5'!$H:$H)</f>
        <v>0</v>
      </c>
      <c r="H572" s="69">
        <f ca="1">SUMIF('CAP6-7'!$B:$H,Insumo[[#This Row],[DESCRIPCION]],'CAP6-7'!$H:$H)</f>
        <v>0</v>
      </c>
      <c r="I572" s="69">
        <f ca="1">SUMIF('CAP8'!$B:$H,Insumo[[#This Row],[DESCRIPCION]],'CAP8'!$H:$H)</f>
        <v>0</v>
      </c>
      <c r="J572" s="69">
        <f ca="1">SUMIF('CAP9-13'!$B:$H,Insumo[[#This Row],[DESCRIPCION]],'CAP9-13'!$H:$H)</f>
        <v>0</v>
      </c>
      <c r="K572" s="69">
        <f ca="1">SUMIF('CAP14-15'!$B:$H,Insumo[[#This Row],[DESCRIPCION]],'CAP14-15'!$H:$H)</f>
        <v>0</v>
      </c>
      <c r="L572" s="69">
        <f ca="1">SUMIF('CAP16-18'!$B:$H,Insumo[[#This Row],[DESCRIPCION]],'CAP16-18'!$H:$H)</f>
        <v>0</v>
      </c>
      <c r="M572" s="69">
        <f ca="1">SUMIF('CAP19-22'!$B:$H,Insumo[[#This Row],[DESCRIPCION]],'CAP19-22'!$H:$H)</f>
        <v>0</v>
      </c>
      <c r="N572" s="69">
        <f ca="1">SUMIF('CAP23-24'!$B:$H,Insumo[[#This Row],[DESCRIPCION]],'CAP23-24'!$H:$H)</f>
        <v>0</v>
      </c>
      <c r="O572" s="69">
        <f ca="1">SUMIF('CAP25'!$B:$H,Insumo[[#This Row],[DESCRIPCION]],'CAP25'!$H:$H)</f>
        <v>0</v>
      </c>
      <c r="P572" s="69">
        <f ca="1">SUMIF('CAP26-28'!$B:$H,Insumo[[#This Row],[DESCRIPCION]],'CAP26-28'!$H:$H)</f>
        <v>0</v>
      </c>
      <c r="Q572" s="69">
        <f ca="1">SUMIF('CAP29'!$B:$H,Insumo[[#This Row],[DESCRIPCION]],'CAP29'!$H:$H)</f>
        <v>0</v>
      </c>
      <c r="T572" s="136">
        <v>108250</v>
      </c>
    </row>
    <row r="573" spans="1:20" ht="12" customHeight="1">
      <c r="A573" s="301" t="s">
        <v>3183</v>
      </c>
      <c r="B573" s="303" t="s">
        <v>23</v>
      </c>
      <c r="C573" s="304">
        <f t="shared" si="8"/>
        <v>235095</v>
      </c>
      <c r="D573" s="281" cm="1">
        <f t="array" aca="1" ref="D573" ca="1">IF(Insumo[[#This Row],[VALOR]]=0,Insumo[TOTAL],E573/C573)</f>
        <v>0</v>
      </c>
      <c r="E573" s="69">
        <f ca="1">SUM(Insumo[[#This Row],[CAP1-3]:[CAP29]])</f>
        <v>0</v>
      </c>
      <c r="F573" s="69">
        <f ca="1">SUMIF('CAP1-3'!$B:$H,Insumo[[#This Row],[DESCRIPCION]],'CAP1-3'!$H:$H)</f>
        <v>0</v>
      </c>
      <c r="G573" s="69">
        <f ca="1">SUMIF('CAP4-5'!$B:$H,Insumo[[#This Row],[DESCRIPCION]],'CAP4-5'!$H:$H)</f>
        <v>0</v>
      </c>
      <c r="H573" s="69">
        <f ca="1">SUMIF('CAP6-7'!$B:$H,Insumo[[#This Row],[DESCRIPCION]],'CAP6-7'!$H:$H)</f>
        <v>0</v>
      </c>
      <c r="I573" s="69">
        <f ca="1">SUMIF('CAP8'!$B:$H,Insumo[[#This Row],[DESCRIPCION]],'CAP8'!$H:$H)</f>
        <v>0</v>
      </c>
      <c r="J573" s="69">
        <f ca="1">SUMIF('CAP9-13'!$B:$H,Insumo[[#This Row],[DESCRIPCION]],'CAP9-13'!$H:$H)</f>
        <v>0</v>
      </c>
      <c r="K573" s="69">
        <f ca="1">SUMIF('CAP14-15'!$B:$H,Insumo[[#This Row],[DESCRIPCION]],'CAP14-15'!$H:$H)</f>
        <v>0</v>
      </c>
      <c r="L573" s="69">
        <f ca="1">SUMIF('CAP16-18'!$B:$H,Insumo[[#This Row],[DESCRIPCION]],'CAP16-18'!$H:$H)</f>
        <v>0</v>
      </c>
      <c r="M573" s="69">
        <f ca="1">SUMIF('CAP19-22'!$B:$H,Insumo[[#This Row],[DESCRIPCION]],'CAP19-22'!$H:$H)</f>
        <v>0</v>
      </c>
      <c r="N573" s="69">
        <f ca="1">SUMIF('CAP23-24'!$B:$H,Insumo[[#This Row],[DESCRIPCION]],'CAP23-24'!$H:$H)</f>
        <v>0</v>
      </c>
      <c r="O573" s="69">
        <f ca="1">SUMIF('CAP25'!$B:$H,Insumo[[#This Row],[DESCRIPCION]],'CAP25'!$H:$H)</f>
        <v>0</v>
      </c>
      <c r="P573" s="69">
        <f ca="1">SUMIF('CAP26-28'!$B:$H,Insumo[[#This Row],[DESCRIPCION]],'CAP26-28'!$H:$H)</f>
        <v>0</v>
      </c>
      <c r="Q573" s="69">
        <f ca="1">SUMIF('CAP29'!$B:$H,Insumo[[#This Row],[DESCRIPCION]],'CAP29'!$H:$H)</f>
        <v>0</v>
      </c>
      <c r="R573" s="290"/>
      <c r="T573" s="136">
        <v>223900</v>
      </c>
    </row>
    <row r="574" spans="1:20" ht="12" customHeight="1">
      <c r="A574" s="301" t="s">
        <v>3184</v>
      </c>
      <c r="B574" s="303" t="s">
        <v>23</v>
      </c>
      <c r="C574" s="304">
        <f t="shared" si="8"/>
        <v>246435</v>
      </c>
      <c r="D574" s="281" cm="1">
        <f t="array" aca="1" ref="D574" ca="1">IF(Insumo[[#This Row],[VALOR]]=0,Insumo[TOTAL],E574/C574)</f>
        <v>0</v>
      </c>
      <c r="E574" s="69">
        <f ca="1">SUM(Insumo[[#This Row],[CAP1-3]:[CAP29]])</f>
        <v>0</v>
      </c>
      <c r="F574" s="69">
        <f ca="1">SUMIF('CAP1-3'!$B:$H,Insumo[[#This Row],[DESCRIPCION]],'CAP1-3'!$H:$H)</f>
        <v>0</v>
      </c>
      <c r="G574" s="69">
        <f ca="1">SUMIF('CAP4-5'!$B:$H,Insumo[[#This Row],[DESCRIPCION]],'CAP4-5'!$H:$H)</f>
        <v>0</v>
      </c>
      <c r="H574" s="69">
        <f ca="1">SUMIF('CAP6-7'!$B:$H,Insumo[[#This Row],[DESCRIPCION]],'CAP6-7'!$H:$H)</f>
        <v>0</v>
      </c>
      <c r="I574" s="69">
        <f ca="1">SUMIF('CAP8'!$B:$H,Insumo[[#This Row],[DESCRIPCION]],'CAP8'!$H:$H)</f>
        <v>0</v>
      </c>
      <c r="J574" s="69">
        <f ca="1">SUMIF('CAP9-13'!$B:$H,Insumo[[#This Row],[DESCRIPCION]],'CAP9-13'!$H:$H)</f>
        <v>0</v>
      </c>
      <c r="K574" s="69">
        <f ca="1">SUMIF('CAP14-15'!$B:$H,Insumo[[#This Row],[DESCRIPCION]],'CAP14-15'!$H:$H)</f>
        <v>0</v>
      </c>
      <c r="L574" s="69">
        <f ca="1">SUMIF('CAP16-18'!$B:$H,Insumo[[#This Row],[DESCRIPCION]],'CAP16-18'!$H:$H)</f>
        <v>0</v>
      </c>
      <c r="M574" s="69">
        <f ca="1">SUMIF('CAP19-22'!$B:$H,Insumo[[#This Row],[DESCRIPCION]],'CAP19-22'!$H:$H)</f>
        <v>0</v>
      </c>
      <c r="N574" s="69">
        <f ca="1">SUMIF('CAP23-24'!$B:$H,Insumo[[#This Row],[DESCRIPCION]],'CAP23-24'!$H:$H)</f>
        <v>0</v>
      </c>
      <c r="O574" s="69">
        <f ca="1">SUMIF('CAP25'!$B:$H,Insumo[[#This Row],[DESCRIPCION]],'CAP25'!$H:$H)</f>
        <v>0</v>
      </c>
      <c r="P574" s="69">
        <f ca="1">SUMIF('CAP26-28'!$B:$H,Insumo[[#This Row],[DESCRIPCION]],'CAP26-28'!$H:$H)</f>
        <v>0</v>
      </c>
      <c r="Q574" s="69">
        <f ca="1">SUMIF('CAP29'!$B:$H,Insumo[[#This Row],[DESCRIPCION]],'CAP29'!$H:$H)</f>
        <v>0</v>
      </c>
      <c r="R574" s="290"/>
      <c r="T574" s="136">
        <v>234700</v>
      </c>
    </row>
    <row r="575" spans="1:20" ht="12" customHeight="1">
      <c r="A575" s="301" t="s">
        <v>3185</v>
      </c>
      <c r="B575" s="303" t="s">
        <v>23</v>
      </c>
      <c r="C575" s="304">
        <f t="shared" si="8"/>
        <v>2012850</v>
      </c>
      <c r="D575" s="281" cm="1">
        <f t="array" aca="1" ref="D575" ca="1">IF(Insumo[[#This Row],[VALOR]]=0,Insumo[TOTAL],E575/C575)</f>
        <v>0</v>
      </c>
      <c r="E575" s="69">
        <f ca="1">SUM(Insumo[[#This Row],[CAP1-3]:[CAP29]])</f>
        <v>0</v>
      </c>
      <c r="F575" s="69">
        <f ca="1">SUMIF('CAP1-3'!$B:$H,Insumo[[#This Row],[DESCRIPCION]],'CAP1-3'!$H:$H)</f>
        <v>0</v>
      </c>
      <c r="G575" s="69">
        <f ca="1">SUMIF('CAP4-5'!$B:$H,Insumo[[#This Row],[DESCRIPCION]],'CAP4-5'!$H:$H)</f>
        <v>0</v>
      </c>
      <c r="H575" s="69">
        <f ca="1">SUMIF('CAP6-7'!$B:$H,Insumo[[#This Row],[DESCRIPCION]],'CAP6-7'!$H:$H)</f>
        <v>0</v>
      </c>
      <c r="I575" s="69">
        <f ca="1">SUMIF('CAP8'!$B:$H,Insumo[[#This Row],[DESCRIPCION]],'CAP8'!$H:$H)</f>
        <v>0</v>
      </c>
      <c r="J575" s="69">
        <f ca="1">SUMIF('CAP9-13'!$B:$H,Insumo[[#This Row],[DESCRIPCION]],'CAP9-13'!$H:$H)</f>
        <v>0</v>
      </c>
      <c r="K575" s="69">
        <f ca="1">SUMIF('CAP14-15'!$B:$H,Insumo[[#This Row],[DESCRIPCION]],'CAP14-15'!$H:$H)</f>
        <v>0</v>
      </c>
      <c r="L575" s="69">
        <f ca="1">SUMIF('CAP16-18'!$B:$H,Insumo[[#This Row],[DESCRIPCION]],'CAP16-18'!$H:$H)</f>
        <v>0</v>
      </c>
      <c r="M575" s="69">
        <f ca="1">SUMIF('CAP19-22'!$B:$H,Insumo[[#This Row],[DESCRIPCION]],'CAP19-22'!$H:$H)</f>
        <v>0</v>
      </c>
      <c r="N575" s="69">
        <f ca="1">SUMIF('CAP23-24'!$B:$H,Insumo[[#This Row],[DESCRIPCION]],'CAP23-24'!$H:$H)</f>
        <v>0</v>
      </c>
      <c r="O575" s="69">
        <f ca="1">SUMIF('CAP25'!$B:$H,Insumo[[#This Row],[DESCRIPCION]],'CAP25'!$H:$H)</f>
        <v>0</v>
      </c>
      <c r="P575" s="69">
        <f ca="1">SUMIF('CAP26-28'!$B:$H,Insumo[[#This Row],[DESCRIPCION]],'CAP26-28'!$H:$H)</f>
        <v>0</v>
      </c>
      <c r="Q575" s="69">
        <f ca="1">SUMIF('CAP29'!$B:$H,Insumo[[#This Row],[DESCRIPCION]],'CAP29'!$H:$H)</f>
        <v>0</v>
      </c>
      <c r="R575" s="290"/>
      <c r="T575" s="136">
        <v>1917000</v>
      </c>
    </row>
    <row r="576" spans="1:20" ht="12" customHeight="1">
      <c r="A576" s="301" t="s">
        <v>3186</v>
      </c>
      <c r="B576" s="303" t="s">
        <v>23</v>
      </c>
      <c r="C576" s="304">
        <f t="shared" si="8"/>
        <v>2114700</v>
      </c>
      <c r="D576" s="281" cm="1">
        <f t="array" aca="1" ref="D576" ca="1">IF(Insumo[[#This Row],[VALOR]]=0,Insumo[TOTAL],E576/C576)</f>
        <v>0</v>
      </c>
      <c r="E576" s="69">
        <f ca="1">SUM(Insumo[[#This Row],[CAP1-3]:[CAP29]])</f>
        <v>0</v>
      </c>
      <c r="F576" s="69">
        <f ca="1">SUMIF('CAP1-3'!$B:$H,Insumo[[#This Row],[DESCRIPCION]],'CAP1-3'!$H:$H)</f>
        <v>0</v>
      </c>
      <c r="G576" s="69">
        <f ca="1">SUMIF('CAP4-5'!$B:$H,Insumo[[#This Row],[DESCRIPCION]],'CAP4-5'!$H:$H)</f>
        <v>0</v>
      </c>
      <c r="H576" s="69">
        <f ca="1">SUMIF('CAP6-7'!$B:$H,Insumo[[#This Row],[DESCRIPCION]],'CAP6-7'!$H:$H)</f>
        <v>0</v>
      </c>
      <c r="I576" s="69">
        <f ca="1">SUMIF('CAP8'!$B:$H,Insumo[[#This Row],[DESCRIPCION]],'CAP8'!$H:$H)</f>
        <v>0</v>
      </c>
      <c r="J576" s="69">
        <f ca="1">SUMIF('CAP9-13'!$B:$H,Insumo[[#This Row],[DESCRIPCION]],'CAP9-13'!$H:$H)</f>
        <v>0</v>
      </c>
      <c r="K576" s="69">
        <f ca="1">SUMIF('CAP14-15'!$B:$H,Insumo[[#This Row],[DESCRIPCION]],'CAP14-15'!$H:$H)</f>
        <v>0</v>
      </c>
      <c r="L576" s="69">
        <f ca="1">SUMIF('CAP16-18'!$B:$H,Insumo[[#This Row],[DESCRIPCION]],'CAP16-18'!$H:$H)</f>
        <v>0</v>
      </c>
      <c r="M576" s="69">
        <f ca="1">SUMIF('CAP19-22'!$B:$H,Insumo[[#This Row],[DESCRIPCION]],'CAP19-22'!$H:$H)</f>
        <v>0</v>
      </c>
      <c r="N576" s="69">
        <f ca="1">SUMIF('CAP23-24'!$B:$H,Insumo[[#This Row],[DESCRIPCION]],'CAP23-24'!$H:$H)</f>
        <v>0</v>
      </c>
      <c r="O576" s="69">
        <f ca="1">SUMIF('CAP25'!$B:$H,Insumo[[#This Row],[DESCRIPCION]],'CAP25'!$H:$H)</f>
        <v>0</v>
      </c>
      <c r="P576" s="69">
        <f ca="1">SUMIF('CAP26-28'!$B:$H,Insumo[[#This Row],[DESCRIPCION]],'CAP26-28'!$H:$H)</f>
        <v>0</v>
      </c>
      <c r="Q576" s="69">
        <f ca="1">SUMIF('CAP29'!$B:$H,Insumo[[#This Row],[DESCRIPCION]],'CAP29'!$H:$H)</f>
        <v>0</v>
      </c>
      <c r="R576" s="290"/>
      <c r="T576" s="136">
        <v>2014000</v>
      </c>
    </row>
    <row r="577" spans="1:20" ht="12" customHeight="1">
      <c r="A577" s="301" t="s">
        <v>3187</v>
      </c>
      <c r="B577" s="303" t="s">
        <v>23</v>
      </c>
      <c r="C577" s="304">
        <f t="shared" si="8"/>
        <v>12332.25</v>
      </c>
      <c r="D577" s="281" cm="1">
        <f t="array" aca="1" ref="D577" ca="1">IF(Insumo[[#This Row],[VALOR]]=0,Insumo[TOTAL],E577/C577)</f>
        <v>0</v>
      </c>
      <c r="E577" s="69">
        <f ca="1">SUM(Insumo[[#This Row],[CAP1-3]:[CAP29]])</f>
        <v>0</v>
      </c>
      <c r="F577" s="69">
        <f ca="1">SUMIF('CAP1-3'!$B:$H,Insumo[[#This Row],[DESCRIPCION]],'CAP1-3'!$H:$H)</f>
        <v>0</v>
      </c>
      <c r="G577" s="69">
        <f ca="1">SUMIF('CAP4-5'!$B:$H,Insumo[[#This Row],[DESCRIPCION]],'CAP4-5'!$H:$H)</f>
        <v>0</v>
      </c>
      <c r="H577" s="69">
        <f ca="1">SUMIF('CAP6-7'!$B:$H,Insumo[[#This Row],[DESCRIPCION]],'CAP6-7'!$H:$H)</f>
        <v>0</v>
      </c>
      <c r="I577" s="69">
        <f ca="1">SUMIF('CAP8'!$B:$H,Insumo[[#This Row],[DESCRIPCION]],'CAP8'!$H:$H)</f>
        <v>0</v>
      </c>
      <c r="J577" s="69">
        <f ca="1">SUMIF('CAP9-13'!$B:$H,Insumo[[#This Row],[DESCRIPCION]],'CAP9-13'!$H:$H)</f>
        <v>0</v>
      </c>
      <c r="K577" s="69">
        <f ca="1">SUMIF('CAP14-15'!$B:$H,Insumo[[#This Row],[DESCRIPCION]],'CAP14-15'!$H:$H)</f>
        <v>0</v>
      </c>
      <c r="L577" s="69">
        <f ca="1">SUMIF('CAP16-18'!$B:$H,Insumo[[#This Row],[DESCRIPCION]],'CAP16-18'!$H:$H)</f>
        <v>0</v>
      </c>
      <c r="M577" s="69">
        <f ca="1">SUMIF('CAP19-22'!$B:$H,Insumo[[#This Row],[DESCRIPCION]],'CAP19-22'!$H:$H)</f>
        <v>0</v>
      </c>
      <c r="N577" s="69">
        <f ca="1">SUMIF('CAP23-24'!$B:$H,Insumo[[#This Row],[DESCRIPCION]],'CAP23-24'!$H:$H)</f>
        <v>0</v>
      </c>
      <c r="O577" s="69">
        <f ca="1">SUMIF('CAP25'!$B:$H,Insumo[[#This Row],[DESCRIPCION]],'CAP25'!$H:$H)</f>
        <v>0</v>
      </c>
      <c r="P577" s="69">
        <f ca="1">SUMIF('CAP26-28'!$B:$H,Insumo[[#This Row],[DESCRIPCION]],'CAP26-28'!$H:$H)</f>
        <v>0</v>
      </c>
      <c r="Q577" s="69">
        <f ca="1">SUMIF('CAP29'!$B:$H,Insumo[[#This Row],[DESCRIPCION]],'CAP29'!$H:$H)</f>
        <v>0</v>
      </c>
      <c r="T577" s="136">
        <v>11745</v>
      </c>
    </row>
    <row r="578" spans="1:20" ht="12" customHeight="1">
      <c r="A578" s="301" t="s">
        <v>3188</v>
      </c>
      <c r="B578" s="303" t="s">
        <v>20</v>
      </c>
      <c r="C578" s="304">
        <f t="shared" si="8"/>
        <v>71565.900000000009</v>
      </c>
      <c r="D578" s="281" cm="1">
        <f t="array" aca="1" ref="D578" ca="1">IF(Insumo[[#This Row],[VALOR]]=0,Insumo[TOTAL],E578/C578)</f>
        <v>0</v>
      </c>
      <c r="E578" s="69">
        <f ca="1">SUM(Insumo[[#This Row],[CAP1-3]:[CAP29]])</f>
        <v>0</v>
      </c>
      <c r="F578" s="69">
        <f ca="1">SUMIF('CAP1-3'!$B:$H,Insumo[[#This Row],[DESCRIPCION]],'CAP1-3'!$H:$H)</f>
        <v>0</v>
      </c>
      <c r="G578" s="69">
        <f ca="1">SUMIF('CAP4-5'!$B:$H,Insumo[[#This Row],[DESCRIPCION]],'CAP4-5'!$H:$H)</f>
        <v>0</v>
      </c>
      <c r="H578" s="69">
        <f ca="1">SUMIF('CAP6-7'!$B:$H,Insumo[[#This Row],[DESCRIPCION]],'CAP6-7'!$H:$H)</f>
        <v>0</v>
      </c>
      <c r="I578" s="69">
        <f ca="1">SUMIF('CAP8'!$B:$H,Insumo[[#This Row],[DESCRIPCION]],'CAP8'!$H:$H)</f>
        <v>0</v>
      </c>
      <c r="J578" s="69">
        <f ca="1">SUMIF('CAP9-13'!$B:$H,Insumo[[#This Row],[DESCRIPCION]],'CAP9-13'!$H:$H)</f>
        <v>0</v>
      </c>
      <c r="K578" s="69">
        <f ca="1">SUMIF('CAP14-15'!$B:$H,Insumo[[#This Row],[DESCRIPCION]],'CAP14-15'!$H:$H)</f>
        <v>0</v>
      </c>
      <c r="L578" s="69">
        <f ca="1">SUMIF('CAP16-18'!$B:$H,Insumo[[#This Row],[DESCRIPCION]],'CAP16-18'!$H:$H)</f>
        <v>0</v>
      </c>
      <c r="M578" s="69">
        <f ca="1">SUMIF('CAP19-22'!$B:$H,Insumo[[#This Row],[DESCRIPCION]],'CAP19-22'!$H:$H)</f>
        <v>0</v>
      </c>
      <c r="N578" s="69">
        <f ca="1">SUMIF('CAP23-24'!$B:$H,Insumo[[#This Row],[DESCRIPCION]],'CAP23-24'!$H:$H)</f>
        <v>0</v>
      </c>
      <c r="O578" s="69">
        <f ca="1">SUMIF('CAP25'!$B:$H,Insumo[[#This Row],[DESCRIPCION]],'CAP25'!$H:$H)</f>
        <v>0</v>
      </c>
      <c r="P578" s="69">
        <f ca="1">SUMIF('CAP26-28'!$B:$H,Insumo[[#This Row],[DESCRIPCION]],'CAP26-28'!$H:$H)</f>
        <v>0</v>
      </c>
      <c r="Q578" s="69">
        <f ca="1">SUMIF('CAP29'!$B:$H,Insumo[[#This Row],[DESCRIPCION]],'CAP29'!$H:$H)</f>
        <v>0</v>
      </c>
      <c r="T578" s="136">
        <v>68158</v>
      </c>
    </row>
    <row r="579" spans="1:20" ht="12" customHeight="1">
      <c r="A579" s="301" t="s">
        <v>3189</v>
      </c>
      <c r="B579" s="303" t="s">
        <v>2621</v>
      </c>
      <c r="C579" s="304">
        <f t="shared" si="8"/>
        <v>6819.75</v>
      </c>
      <c r="D579" s="281" cm="1">
        <f t="array" aca="1" ref="D579" ca="1">IF(Insumo[[#This Row],[VALOR]]=0,Insumo[TOTAL],E579/C579)</f>
        <v>0</v>
      </c>
      <c r="E579" s="69">
        <f ca="1">SUM(Insumo[[#This Row],[CAP1-3]:[CAP29]])</f>
        <v>0</v>
      </c>
      <c r="F579" s="69">
        <f ca="1">SUMIF('CAP1-3'!$B:$H,Insumo[[#This Row],[DESCRIPCION]],'CAP1-3'!$H:$H)</f>
        <v>0</v>
      </c>
      <c r="G579" s="69">
        <f ca="1">SUMIF('CAP4-5'!$B:$H,Insumo[[#This Row],[DESCRIPCION]],'CAP4-5'!$H:$H)</f>
        <v>0</v>
      </c>
      <c r="H579" s="69">
        <f ca="1">SUMIF('CAP6-7'!$B:$H,Insumo[[#This Row],[DESCRIPCION]],'CAP6-7'!$H:$H)</f>
        <v>0</v>
      </c>
      <c r="I579" s="69">
        <f ca="1">SUMIF('CAP8'!$B:$H,Insumo[[#This Row],[DESCRIPCION]],'CAP8'!$H:$H)</f>
        <v>0</v>
      </c>
      <c r="J579" s="69">
        <f ca="1">SUMIF('CAP9-13'!$B:$H,Insumo[[#This Row],[DESCRIPCION]],'CAP9-13'!$H:$H)</f>
        <v>0</v>
      </c>
      <c r="K579" s="69">
        <f ca="1">SUMIF('CAP14-15'!$B:$H,Insumo[[#This Row],[DESCRIPCION]],'CAP14-15'!$H:$H)</f>
        <v>0</v>
      </c>
      <c r="L579" s="69">
        <f ca="1">SUMIF('CAP16-18'!$B:$H,Insumo[[#This Row],[DESCRIPCION]],'CAP16-18'!$H:$H)</f>
        <v>0</v>
      </c>
      <c r="M579" s="69">
        <f ca="1">SUMIF('CAP19-22'!$B:$H,Insumo[[#This Row],[DESCRIPCION]],'CAP19-22'!$H:$H)</f>
        <v>0</v>
      </c>
      <c r="N579" s="69">
        <f ca="1">SUMIF('CAP23-24'!$B:$H,Insumo[[#This Row],[DESCRIPCION]],'CAP23-24'!$H:$H)</f>
        <v>0</v>
      </c>
      <c r="O579" s="69">
        <f ca="1">SUMIF('CAP25'!$B:$H,Insumo[[#This Row],[DESCRIPCION]],'CAP25'!$H:$H)</f>
        <v>0</v>
      </c>
      <c r="P579" s="69">
        <f ca="1">SUMIF('CAP26-28'!$B:$H,Insumo[[#This Row],[DESCRIPCION]],'CAP26-28'!$H:$H)</f>
        <v>0</v>
      </c>
      <c r="Q579" s="69">
        <f ca="1">SUMIF('CAP29'!$B:$H,Insumo[[#This Row],[DESCRIPCION]],'CAP29'!$H:$H)</f>
        <v>0</v>
      </c>
      <c r="T579" s="136">
        <v>6495</v>
      </c>
    </row>
    <row r="580" spans="1:20" ht="12" customHeight="1">
      <c r="A580" s="301" t="s">
        <v>3190</v>
      </c>
      <c r="B580" s="303" t="s">
        <v>23</v>
      </c>
      <c r="C580" s="304">
        <f t="shared" si="8"/>
        <v>397818.75</v>
      </c>
      <c r="D580" s="281" cm="1">
        <f t="array" aca="1" ref="D580" ca="1">IF(Insumo[[#This Row],[VALOR]]=0,Insumo[TOTAL],E580/C580)</f>
        <v>0</v>
      </c>
      <c r="E580" s="69">
        <f ca="1">SUM(Insumo[[#This Row],[CAP1-3]:[CAP29]])</f>
        <v>0</v>
      </c>
      <c r="F580" s="69">
        <f ca="1">SUMIF('CAP1-3'!$B:$H,Insumo[[#This Row],[DESCRIPCION]],'CAP1-3'!$H:$H)</f>
        <v>0</v>
      </c>
      <c r="G580" s="69">
        <f ca="1">SUMIF('CAP4-5'!$B:$H,Insumo[[#This Row],[DESCRIPCION]],'CAP4-5'!$H:$H)</f>
        <v>0</v>
      </c>
      <c r="H580" s="69">
        <f ca="1">SUMIF('CAP6-7'!$B:$H,Insumo[[#This Row],[DESCRIPCION]],'CAP6-7'!$H:$H)</f>
        <v>0</v>
      </c>
      <c r="I580" s="69">
        <f ca="1">SUMIF('CAP8'!$B:$H,Insumo[[#This Row],[DESCRIPCION]],'CAP8'!$H:$H)</f>
        <v>0</v>
      </c>
      <c r="J580" s="69">
        <f ca="1">SUMIF('CAP9-13'!$B:$H,Insumo[[#This Row],[DESCRIPCION]],'CAP9-13'!$H:$H)</f>
        <v>0</v>
      </c>
      <c r="K580" s="69">
        <f ca="1">SUMIF('CAP14-15'!$B:$H,Insumo[[#This Row],[DESCRIPCION]],'CAP14-15'!$H:$H)</f>
        <v>0</v>
      </c>
      <c r="L580" s="69">
        <f ca="1">SUMIF('CAP16-18'!$B:$H,Insumo[[#This Row],[DESCRIPCION]],'CAP16-18'!$H:$H)</f>
        <v>0</v>
      </c>
      <c r="M580" s="69">
        <f ca="1">SUMIF('CAP19-22'!$B:$H,Insumo[[#This Row],[DESCRIPCION]],'CAP19-22'!$H:$H)</f>
        <v>0</v>
      </c>
      <c r="N580" s="69">
        <f ca="1">SUMIF('CAP23-24'!$B:$H,Insumo[[#This Row],[DESCRIPCION]],'CAP23-24'!$H:$H)</f>
        <v>0</v>
      </c>
      <c r="O580" s="69">
        <f ca="1">SUMIF('CAP25'!$B:$H,Insumo[[#This Row],[DESCRIPCION]],'CAP25'!$H:$H)</f>
        <v>0</v>
      </c>
      <c r="P580" s="69">
        <f ca="1">SUMIF('CAP26-28'!$B:$H,Insumo[[#This Row],[DESCRIPCION]],'CAP26-28'!$H:$H)</f>
        <v>0</v>
      </c>
      <c r="Q580" s="69">
        <f ca="1">SUMIF('CAP29'!$B:$H,Insumo[[#This Row],[DESCRIPCION]],'CAP29'!$H:$H)</f>
        <v>0</v>
      </c>
      <c r="T580" s="136">
        <v>378875</v>
      </c>
    </row>
    <row r="581" spans="1:20" ht="12" customHeight="1">
      <c r="A581" s="301" t="s">
        <v>3191</v>
      </c>
      <c r="B581" s="303" t="s">
        <v>20</v>
      </c>
      <c r="C581" s="304">
        <f t="shared" si="8"/>
        <v>6819.75</v>
      </c>
      <c r="D581" s="281" cm="1">
        <f t="array" aca="1" ref="D581" ca="1">IF(Insumo[[#This Row],[VALOR]]=0,Insumo[TOTAL],E581/C581)</f>
        <v>0</v>
      </c>
      <c r="E581" s="69">
        <f ca="1">SUM(Insumo[[#This Row],[CAP1-3]:[CAP29]])</f>
        <v>0</v>
      </c>
      <c r="F581" s="69">
        <f ca="1">SUMIF('CAP1-3'!$B:$H,Insumo[[#This Row],[DESCRIPCION]],'CAP1-3'!$H:$H)</f>
        <v>0</v>
      </c>
      <c r="G581" s="69">
        <f ca="1">SUMIF('CAP4-5'!$B:$H,Insumo[[#This Row],[DESCRIPCION]],'CAP4-5'!$H:$H)</f>
        <v>0</v>
      </c>
      <c r="H581" s="69">
        <f ca="1">SUMIF('CAP6-7'!$B:$H,Insumo[[#This Row],[DESCRIPCION]],'CAP6-7'!$H:$H)</f>
        <v>0</v>
      </c>
      <c r="I581" s="69">
        <f ca="1">SUMIF('CAP8'!$B:$H,Insumo[[#This Row],[DESCRIPCION]],'CAP8'!$H:$H)</f>
        <v>0</v>
      </c>
      <c r="J581" s="69">
        <f ca="1">SUMIF('CAP9-13'!$B:$H,Insumo[[#This Row],[DESCRIPCION]],'CAP9-13'!$H:$H)</f>
        <v>0</v>
      </c>
      <c r="K581" s="69">
        <f ca="1">SUMIF('CAP14-15'!$B:$H,Insumo[[#This Row],[DESCRIPCION]],'CAP14-15'!$H:$H)</f>
        <v>0</v>
      </c>
      <c r="L581" s="69">
        <f ca="1">SUMIF('CAP16-18'!$B:$H,Insumo[[#This Row],[DESCRIPCION]],'CAP16-18'!$H:$H)</f>
        <v>0</v>
      </c>
      <c r="M581" s="69">
        <f ca="1">SUMIF('CAP19-22'!$B:$H,Insumo[[#This Row],[DESCRIPCION]],'CAP19-22'!$H:$H)</f>
        <v>0</v>
      </c>
      <c r="N581" s="69">
        <f ca="1">SUMIF('CAP23-24'!$B:$H,Insumo[[#This Row],[DESCRIPCION]],'CAP23-24'!$H:$H)</f>
        <v>0</v>
      </c>
      <c r="O581" s="69">
        <f ca="1">SUMIF('CAP25'!$B:$H,Insumo[[#This Row],[DESCRIPCION]],'CAP25'!$H:$H)</f>
        <v>0</v>
      </c>
      <c r="P581" s="69">
        <f ca="1">SUMIF('CAP26-28'!$B:$H,Insumo[[#This Row],[DESCRIPCION]],'CAP26-28'!$H:$H)</f>
        <v>0</v>
      </c>
      <c r="Q581" s="69">
        <f ca="1">SUMIF('CAP29'!$B:$H,Insumo[[#This Row],[DESCRIPCION]],'CAP29'!$H:$H)</f>
        <v>0</v>
      </c>
      <c r="T581" s="136">
        <v>6495</v>
      </c>
    </row>
    <row r="582" spans="1:20" ht="12" customHeight="1">
      <c r="A582" s="301" t="s">
        <v>3192</v>
      </c>
      <c r="B582" s="303" t="s">
        <v>23</v>
      </c>
      <c r="C582" s="304">
        <f t="shared" ref="C582:C645" si="9">T582*$T$3</f>
        <v>1137.1500000000001</v>
      </c>
      <c r="D582" s="281" cm="1">
        <f t="array" aca="1" ref="D582" ca="1">IF(Insumo[[#This Row],[VALOR]]=0,Insumo[TOTAL],E582/C582)</f>
        <v>0</v>
      </c>
      <c r="E582" s="69">
        <f ca="1">SUM(Insumo[[#This Row],[CAP1-3]:[CAP29]])</f>
        <v>0</v>
      </c>
      <c r="F582" s="69">
        <f ca="1">SUMIF('CAP1-3'!$B:$H,Insumo[[#This Row],[DESCRIPCION]],'CAP1-3'!$H:$H)</f>
        <v>0</v>
      </c>
      <c r="G582" s="69">
        <f ca="1">SUMIF('CAP4-5'!$B:$H,Insumo[[#This Row],[DESCRIPCION]],'CAP4-5'!$H:$H)</f>
        <v>0</v>
      </c>
      <c r="H582" s="69">
        <f ca="1">SUMIF('CAP6-7'!$B:$H,Insumo[[#This Row],[DESCRIPCION]],'CAP6-7'!$H:$H)</f>
        <v>0</v>
      </c>
      <c r="I582" s="69">
        <f ca="1">SUMIF('CAP8'!$B:$H,Insumo[[#This Row],[DESCRIPCION]],'CAP8'!$H:$H)</f>
        <v>0</v>
      </c>
      <c r="J582" s="69">
        <f ca="1">SUMIF('CAP9-13'!$B:$H,Insumo[[#This Row],[DESCRIPCION]],'CAP9-13'!$H:$H)</f>
        <v>0</v>
      </c>
      <c r="K582" s="69">
        <f ca="1">SUMIF('CAP14-15'!$B:$H,Insumo[[#This Row],[DESCRIPCION]],'CAP14-15'!$H:$H)</f>
        <v>0</v>
      </c>
      <c r="L582" s="69">
        <f ca="1">SUMIF('CAP16-18'!$B:$H,Insumo[[#This Row],[DESCRIPCION]],'CAP16-18'!$H:$H)</f>
        <v>0</v>
      </c>
      <c r="M582" s="69">
        <f ca="1">SUMIF('CAP19-22'!$B:$H,Insumo[[#This Row],[DESCRIPCION]],'CAP19-22'!$H:$H)</f>
        <v>0</v>
      </c>
      <c r="N582" s="69">
        <f ca="1">SUMIF('CAP23-24'!$B:$H,Insumo[[#This Row],[DESCRIPCION]],'CAP23-24'!$H:$H)</f>
        <v>0</v>
      </c>
      <c r="O582" s="69">
        <f ca="1">SUMIF('CAP25'!$B:$H,Insumo[[#This Row],[DESCRIPCION]],'CAP25'!$H:$H)</f>
        <v>0</v>
      </c>
      <c r="P582" s="69">
        <f ca="1">SUMIF('CAP26-28'!$B:$H,Insumo[[#This Row],[DESCRIPCION]],'CAP26-28'!$H:$H)</f>
        <v>0</v>
      </c>
      <c r="Q582" s="69">
        <f ca="1">SUMIF('CAP29'!$B:$H,Insumo[[#This Row],[DESCRIPCION]],'CAP29'!$H:$H)</f>
        <v>0</v>
      </c>
      <c r="T582" s="136">
        <v>1083</v>
      </c>
    </row>
    <row r="583" spans="1:20" ht="12" customHeight="1">
      <c r="A583" s="301" t="s">
        <v>3193</v>
      </c>
      <c r="B583" s="303" t="s">
        <v>338</v>
      </c>
      <c r="C583" s="304">
        <f t="shared" si="9"/>
        <v>13423.2</v>
      </c>
      <c r="D583" s="281" cm="1">
        <f t="array" aca="1" ref="D583" ca="1">IF(Insumo[[#This Row],[VALOR]]=0,Insumo[TOTAL],E583/C583)</f>
        <v>0</v>
      </c>
      <c r="E583" s="69">
        <f ca="1">SUM(Insumo[[#This Row],[CAP1-3]:[CAP29]])</f>
        <v>0</v>
      </c>
      <c r="F583" s="69">
        <f ca="1">SUMIF('CAP1-3'!$B:$H,Insumo[[#This Row],[DESCRIPCION]],'CAP1-3'!$H:$H)</f>
        <v>0</v>
      </c>
      <c r="G583" s="69">
        <f ca="1">SUMIF('CAP4-5'!$B:$H,Insumo[[#This Row],[DESCRIPCION]],'CAP4-5'!$H:$H)</f>
        <v>0</v>
      </c>
      <c r="H583" s="69">
        <f ca="1">SUMIF('CAP6-7'!$B:$H,Insumo[[#This Row],[DESCRIPCION]],'CAP6-7'!$H:$H)</f>
        <v>0</v>
      </c>
      <c r="I583" s="69">
        <f ca="1">SUMIF('CAP8'!$B:$H,Insumo[[#This Row],[DESCRIPCION]],'CAP8'!$H:$H)</f>
        <v>0</v>
      </c>
      <c r="J583" s="69">
        <f ca="1">SUMIF('CAP9-13'!$B:$H,Insumo[[#This Row],[DESCRIPCION]],'CAP9-13'!$H:$H)</f>
        <v>0</v>
      </c>
      <c r="K583" s="69">
        <f ca="1">SUMIF('CAP14-15'!$B:$H,Insumo[[#This Row],[DESCRIPCION]],'CAP14-15'!$H:$H)</f>
        <v>0</v>
      </c>
      <c r="L583" s="69">
        <f ca="1">SUMIF('CAP16-18'!$B:$H,Insumo[[#This Row],[DESCRIPCION]],'CAP16-18'!$H:$H)</f>
        <v>0</v>
      </c>
      <c r="M583" s="69">
        <f ca="1">SUMIF('CAP19-22'!$B:$H,Insumo[[#This Row],[DESCRIPCION]],'CAP19-22'!$H:$H)</f>
        <v>0</v>
      </c>
      <c r="N583" s="69">
        <f ca="1">SUMIF('CAP23-24'!$B:$H,Insumo[[#This Row],[DESCRIPCION]],'CAP23-24'!$H:$H)</f>
        <v>0</v>
      </c>
      <c r="O583" s="69">
        <f ca="1">SUMIF('CAP25'!$B:$H,Insumo[[#This Row],[DESCRIPCION]],'CAP25'!$H:$H)</f>
        <v>0</v>
      </c>
      <c r="P583" s="69">
        <f ca="1">SUMIF('CAP26-28'!$B:$H,Insumo[[#This Row],[DESCRIPCION]],'CAP26-28'!$H:$H)</f>
        <v>0</v>
      </c>
      <c r="Q583" s="69">
        <f ca="1">SUMIF('CAP29'!$B:$H,Insumo[[#This Row],[DESCRIPCION]],'CAP29'!$H:$H)</f>
        <v>0</v>
      </c>
      <c r="T583" s="136">
        <v>12784</v>
      </c>
    </row>
    <row r="584" spans="1:20" ht="12" customHeight="1">
      <c r="A584" s="301" t="s">
        <v>3194</v>
      </c>
      <c r="B584" s="303" t="s">
        <v>2662</v>
      </c>
      <c r="C584" s="304">
        <f t="shared" si="9"/>
        <v>123892.65000000001</v>
      </c>
      <c r="D584" s="281" cm="1">
        <f t="array" aca="1" ref="D584" ca="1">IF(Insumo[[#This Row],[VALOR]]=0,Insumo[TOTAL],E584/C584)</f>
        <v>0</v>
      </c>
      <c r="E584" s="69">
        <f ca="1">SUM(Insumo[[#This Row],[CAP1-3]:[CAP29]])</f>
        <v>0</v>
      </c>
      <c r="F584" s="69">
        <f ca="1">SUMIF('CAP1-3'!$B:$H,Insumo[[#This Row],[DESCRIPCION]],'CAP1-3'!$H:$H)</f>
        <v>0</v>
      </c>
      <c r="G584" s="69">
        <f ca="1">SUMIF('CAP4-5'!$B:$H,Insumo[[#This Row],[DESCRIPCION]],'CAP4-5'!$H:$H)</f>
        <v>0</v>
      </c>
      <c r="H584" s="69">
        <f ca="1">SUMIF('CAP6-7'!$B:$H,Insumo[[#This Row],[DESCRIPCION]],'CAP6-7'!$H:$H)</f>
        <v>0</v>
      </c>
      <c r="I584" s="69">
        <f ca="1">SUMIF('CAP8'!$B:$H,Insumo[[#This Row],[DESCRIPCION]],'CAP8'!$H:$H)</f>
        <v>0</v>
      </c>
      <c r="J584" s="69">
        <f ca="1">SUMIF('CAP9-13'!$B:$H,Insumo[[#This Row],[DESCRIPCION]],'CAP9-13'!$H:$H)</f>
        <v>0</v>
      </c>
      <c r="K584" s="69">
        <f ca="1">SUMIF('CAP14-15'!$B:$H,Insumo[[#This Row],[DESCRIPCION]],'CAP14-15'!$H:$H)</f>
        <v>0</v>
      </c>
      <c r="L584" s="69">
        <f ca="1">SUMIF('CAP16-18'!$B:$H,Insumo[[#This Row],[DESCRIPCION]],'CAP16-18'!$H:$H)</f>
        <v>0</v>
      </c>
      <c r="M584" s="69">
        <f ca="1">SUMIF('CAP19-22'!$B:$H,Insumo[[#This Row],[DESCRIPCION]],'CAP19-22'!$H:$H)</f>
        <v>0</v>
      </c>
      <c r="N584" s="69">
        <f ca="1">SUMIF('CAP23-24'!$B:$H,Insumo[[#This Row],[DESCRIPCION]],'CAP23-24'!$H:$H)</f>
        <v>0</v>
      </c>
      <c r="O584" s="69">
        <f ca="1">SUMIF('CAP25'!$B:$H,Insumo[[#This Row],[DESCRIPCION]],'CAP25'!$H:$H)</f>
        <v>0</v>
      </c>
      <c r="P584" s="69">
        <f ca="1">SUMIF('CAP26-28'!$B:$H,Insumo[[#This Row],[DESCRIPCION]],'CAP26-28'!$H:$H)</f>
        <v>0</v>
      </c>
      <c r="Q584" s="69">
        <f ca="1">SUMIF('CAP29'!$B:$H,Insumo[[#This Row],[DESCRIPCION]],'CAP29'!$H:$H)</f>
        <v>0</v>
      </c>
      <c r="T584" s="136">
        <v>117993</v>
      </c>
    </row>
    <row r="585" spans="1:20" ht="12" customHeight="1">
      <c r="A585" s="301" t="s">
        <v>3195</v>
      </c>
      <c r="B585" s="303" t="s">
        <v>23</v>
      </c>
      <c r="C585" s="304">
        <f t="shared" si="9"/>
        <v>15991.5</v>
      </c>
      <c r="D585" s="281" cm="1">
        <f t="array" aca="1" ref="D585" ca="1">IF(Insumo[[#This Row],[VALOR]]=0,Insumo[TOTAL],E585/C585)</f>
        <v>0</v>
      </c>
      <c r="E585" s="69">
        <f ca="1">SUM(Insumo[[#This Row],[CAP1-3]:[CAP29]])</f>
        <v>0</v>
      </c>
      <c r="F585" s="69">
        <f ca="1">SUMIF('CAP1-3'!$B:$H,Insumo[[#This Row],[DESCRIPCION]],'CAP1-3'!$H:$H)</f>
        <v>0</v>
      </c>
      <c r="G585" s="69">
        <f ca="1">SUMIF('CAP4-5'!$B:$H,Insumo[[#This Row],[DESCRIPCION]],'CAP4-5'!$H:$H)</f>
        <v>0</v>
      </c>
      <c r="H585" s="69">
        <f ca="1">SUMIF('CAP6-7'!$B:$H,Insumo[[#This Row],[DESCRIPCION]],'CAP6-7'!$H:$H)</f>
        <v>0</v>
      </c>
      <c r="I585" s="69">
        <f ca="1">SUMIF('CAP8'!$B:$H,Insumo[[#This Row],[DESCRIPCION]],'CAP8'!$H:$H)</f>
        <v>0</v>
      </c>
      <c r="J585" s="69">
        <f ca="1">SUMIF('CAP9-13'!$B:$H,Insumo[[#This Row],[DESCRIPCION]],'CAP9-13'!$H:$H)</f>
        <v>0</v>
      </c>
      <c r="K585" s="69">
        <f ca="1">SUMIF('CAP14-15'!$B:$H,Insumo[[#This Row],[DESCRIPCION]],'CAP14-15'!$H:$H)</f>
        <v>0</v>
      </c>
      <c r="L585" s="69">
        <f ca="1">SUMIF('CAP16-18'!$B:$H,Insumo[[#This Row],[DESCRIPCION]],'CAP16-18'!$H:$H)</f>
        <v>0</v>
      </c>
      <c r="M585" s="69">
        <f ca="1">SUMIF('CAP19-22'!$B:$H,Insumo[[#This Row],[DESCRIPCION]],'CAP19-22'!$H:$H)</f>
        <v>0</v>
      </c>
      <c r="N585" s="69">
        <f ca="1">SUMIF('CAP23-24'!$B:$H,Insumo[[#This Row],[DESCRIPCION]],'CAP23-24'!$H:$H)</f>
        <v>0</v>
      </c>
      <c r="O585" s="69">
        <f ca="1">SUMIF('CAP25'!$B:$H,Insumo[[#This Row],[DESCRIPCION]],'CAP25'!$H:$H)</f>
        <v>0</v>
      </c>
      <c r="P585" s="69">
        <f ca="1">SUMIF('CAP26-28'!$B:$H,Insumo[[#This Row],[DESCRIPCION]],'CAP26-28'!$H:$H)</f>
        <v>0</v>
      </c>
      <c r="Q585" s="69">
        <f ca="1">SUMIF('CAP29'!$B:$H,Insumo[[#This Row],[DESCRIPCION]],'CAP29'!$H:$H)</f>
        <v>0</v>
      </c>
      <c r="T585" s="136">
        <v>15230</v>
      </c>
    </row>
    <row r="586" spans="1:20" ht="12" customHeight="1">
      <c r="A586" s="301" t="s">
        <v>3196</v>
      </c>
      <c r="B586" s="303" t="s">
        <v>30</v>
      </c>
      <c r="C586" s="304">
        <f t="shared" si="9"/>
        <v>17049.900000000001</v>
      </c>
      <c r="D586" s="281" cm="1">
        <f t="array" aca="1" ref="D586" ca="1">IF(Insumo[[#This Row],[VALOR]]=0,Insumo[TOTAL],E586/C586)</f>
        <v>0</v>
      </c>
      <c r="E586" s="69">
        <f ca="1">SUM(Insumo[[#This Row],[CAP1-3]:[CAP29]])</f>
        <v>0</v>
      </c>
      <c r="F586" s="69">
        <f ca="1">SUMIF('CAP1-3'!$B:$H,Insumo[[#This Row],[DESCRIPCION]],'CAP1-3'!$H:$H)</f>
        <v>0</v>
      </c>
      <c r="G586" s="69">
        <f ca="1">SUMIF('CAP4-5'!$B:$H,Insumo[[#This Row],[DESCRIPCION]],'CAP4-5'!$H:$H)</f>
        <v>0</v>
      </c>
      <c r="H586" s="69">
        <f ca="1">SUMIF('CAP6-7'!$B:$H,Insumo[[#This Row],[DESCRIPCION]],'CAP6-7'!$H:$H)</f>
        <v>0</v>
      </c>
      <c r="I586" s="69">
        <f ca="1">SUMIF('CAP8'!$B:$H,Insumo[[#This Row],[DESCRIPCION]],'CAP8'!$H:$H)</f>
        <v>0</v>
      </c>
      <c r="J586" s="69">
        <f ca="1">SUMIF('CAP9-13'!$B:$H,Insumo[[#This Row],[DESCRIPCION]],'CAP9-13'!$H:$H)</f>
        <v>0</v>
      </c>
      <c r="K586" s="69">
        <f ca="1">SUMIF('CAP14-15'!$B:$H,Insumo[[#This Row],[DESCRIPCION]],'CAP14-15'!$H:$H)</f>
        <v>0</v>
      </c>
      <c r="L586" s="69">
        <f ca="1">SUMIF('CAP16-18'!$B:$H,Insumo[[#This Row],[DESCRIPCION]],'CAP16-18'!$H:$H)</f>
        <v>0</v>
      </c>
      <c r="M586" s="69">
        <f ca="1">SUMIF('CAP19-22'!$B:$H,Insumo[[#This Row],[DESCRIPCION]],'CAP19-22'!$H:$H)</f>
        <v>0</v>
      </c>
      <c r="N586" s="69">
        <f ca="1">SUMIF('CAP23-24'!$B:$H,Insumo[[#This Row],[DESCRIPCION]],'CAP23-24'!$H:$H)</f>
        <v>0</v>
      </c>
      <c r="O586" s="69">
        <f ca="1">SUMIF('CAP25'!$B:$H,Insumo[[#This Row],[DESCRIPCION]],'CAP25'!$H:$H)</f>
        <v>0</v>
      </c>
      <c r="P586" s="69">
        <f ca="1">SUMIF('CAP26-28'!$B:$H,Insumo[[#This Row],[DESCRIPCION]],'CAP26-28'!$H:$H)</f>
        <v>0</v>
      </c>
      <c r="Q586" s="69">
        <f ca="1">SUMIF('CAP29'!$B:$H,Insumo[[#This Row],[DESCRIPCION]],'CAP29'!$H:$H)</f>
        <v>0</v>
      </c>
      <c r="T586" s="136">
        <v>16238</v>
      </c>
    </row>
    <row r="587" spans="1:20" ht="12" customHeight="1">
      <c r="A587" s="301" t="s">
        <v>3197</v>
      </c>
      <c r="B587" s="303" t="s">
        <v>30</v>
      </c>
      <c r="C587" s="304">
        <f t="shared" si="9"/>
        <v>5683.6500000000005</v>
      </c>
      <c r="D587" s="281" cm="1">
        <f t="array" aca="1" ref="D587" ca="1">IF(Insumo[[#This Row],[VALOR]]=0,Insumo[TOTAL],E587/C587)</f>
        <v>0</v>
      </c>
      <c r="E587" s="69">
        <f ca="1">SUM(Insumo[[#This Row],[CAP1-3]:[CAP29]])</f>
        <v>0</v>
      </c>
      <c r="F587" s="69">
        <f ca="1">SUMIF('CAP1-3'!$B:$H,Insumo[[#This Row],[DESCRIPCION]],'CAP1-3'!$H:$H)</f>
        <v>0</v>
      </c>
      <c r="G587" s="69">
        <f ca="1">SUMIF('CAP4-5'!$B:$H,Insumo[[#This Row],[DESCRIPCION]],'CAP4-5'!$H:$H)</f>
        <v>0</v>
      </c>
      <c r="H587" s="69">
        <f ca="1">SUMIF('CAP6-7'!$B:$H,Insumo[[#This Row],[DESCRIPCION]],'CAP6-7'!$H:$H)</f>
        <v>0</v>
      </c>
      <c r="I587" s="69">
        <f ca="1">SUMIF('CAP8'!$B:$H,Insumo[[#This Row],[DESCRIPCION]],'CAP8'!$H:$H)</f>
        <v>0</v>
      </c>
      <c r="J587" s="69">
        <f ca="1">SUMIF('CAP9-13'!$B:$H,Insumo[[#This Row],[DESCRIPCION]],'CAP9-13'!$H:$H)</f>
        <v>0</v>
      </c>
      <c r="K587" s="69">
        <f ca="1">SUMIF('CAP14-15'!$B:$H,Insumo[[#This Row],[DESCRIPCION]],'CAP14-15'!$H:$H)</f>
        <v>0</v>
      </c>
      <c r="L587" s="69">
        <f ca="1">SUMIF('CAP16-18'!$B:$H,Insumo[[#This Row],[DESCRIPCION]],'CAP16-18'!$H:$H)</f>
        <v>0</v>
      </c>
      <c r="M587" s="69">
        <f ca="1">SUMIF('CAP19-22'!$B:$H,Insumo[[#This Row],[DESCRIPCION]],'CAP19-22'!$H:$H)</f>
        <v>0</v>
      </c>
      <c r="N587" s="69">
        <f ca="1">SUMIF('CAP23-24'!$B:$H,Insumo[[#This Row],[DESCRIPCION]],'CAP23-24'!$H:$H)</f>
        <v>0</v>
      </c>
      <c r="O587" s="69">
        <f ca="1">SUMIF('CAP25'!$B:$H,Insumo[[#This Row],[DESCRIPCION]],'CAP25'!$H:$H)</f>
        <v>0</v>
      </c>
      <c r="P587" s="69">
        <f ca="1">SUMIF('CAP26-28'!$B:$H,Insumo[[#This Row],[DESCRIPCION]],'CAP26-28'!$H:$H)</f>
        <v>0</v>
      </c>
      <c r="Q587" s="69">
        <f ca="1">SUMIF('CAP29'!$B:$H,Insumo[[#This Row],[DESCRIPCION]],'CAP29'!$H:$H)</f>
        <v>0</v>
      </c>
      <c r="T587" s="136">
        <v>5413</v>
      </c>
    </row>
    <row r="588" spans="1:20" ht="12" customHeight="1">
      <c r="A588" s="301" t="s">
        <v>3198</v>
      </c>
      <c r="B588" s="303" t="s">
        <v>30</v>
      </c>
      <c r="C588" s="304">
        <f t="shared" si="9"/>
        <v>5683.6500000000005</v>
      </c>
      <c r="D588" s="281" cm="1">
        <f t="array" aca="1" ref="D588" ca="1">IF(Insumo[[#This Row],[VALOR]]=0,Insumo[TOTAL],E588/C588)</f>
        <v>0</v>
      </c>
      <c r="E588" s="69">
        <f ca="1">SUM(Insumo[[#This Row],[CAP1-3]:[CAP29]])</f>
        <v>0</v>
      </c>
      <c r="F588" s="69">
        <f ca="1">SUMIF('CAP1-3'!$B:$H,Insumo[[#This Row],[DESCRIPCION]],'CAP1-3'!$H:$H)</f>
        <v>0</v>
      </c>
      <c r="G588" s="69">
        <f ca="1">SUMIF('CAP4-5'!$B:$H,Insumo[[#This Row],[DESCRIPCION]],'CAP4-5'!$H:$H)</f>
        <v>0</v>
      </c>
      <c r="H588" s="69">
        <f ca="1">SUMIF('CAP6-7'!$B:$H,Insumo[[#This Row],[DESCRIPCION]],'CAP6-7'!$H:$H)</f>
        <v>0</v>
      </c>
      <c r="I588" s="69">
        <f ca="1">SUMIF('CAP8'!$B:$H,Insumo[[#This Row],[DESCRIPCION]],'CAP8'!$H:$H)</f>
        <v>0</v>
      </c>
      <c r="J588" s="69">
        <f ca="1">SUMIF('CAP9-13'!$B:$H,Insumo[[#This Row],[DESCRIPCION]],'CAP9-13'!$H:$H)</f>
        <v>0</v>
      </c>
      <c r="K588" s="69">
        <f ca="1">SUMIF('CAP14-15'!$B:$H,Insumo[[#This Row],[DESCRIPCION]],'CAP14-15'!$H:$H)</f>
        <v>0</v>
      </c>
      <c r="L588" s="69">
        <f ca="1">SUMIF('CAP16-18'!$B:$H,Insumo[[#This Row],[DESCRIPCION]],'CAP16-18'!$H:$H)</f>
        <v>0</v>
      </c>
      <c r="M588" s="69">
        <f ca="1">SUMIF('CAP19-22'!$B:$H,Insumo[[#This Row],[DESCRIPCION]],'CAP19-22'!$H:$H)</f>
        <v>0</v>
      </c>
      <c r="N588" s="69">
        <f ca="1">SUMIF('CAP23-24'!$B:$H,Insumo[[#This Row],[DESCRIPCION]],'CAP23-24'!$H:$H)</f>
        <v>0</v>
      </c>
      <c r="O588" s="69">
        <f ca="1">SUMIF('CAP25'!$B:$H,Insumo[[#This Row],[DESCRIPCION]],'CAP25'!$H:$H)</f>
        <v>0</v>
      </c>
      <c r="P588" s="69">
        <f ca="1">SUMIF('CAP26-28'!$B:$H,Insumo[[#This Row],[DESCRIPCION]],'CAP26-28'!$H:$H)</f>
        <v>0</v>
      </c>
      <c r="Q588" s="69">
        <f ca="1">SUMIF('CAP29'!$B:$H,Insumo[[#This Row],[DESCRIPCION]],'CAP29'!$H:$H)</f>
        <v>0</v>
      </c>
      <c r="T588" s="136">
        <v>5413</v>
      </c>
    </row>
    <row r="589" spans="1:20" ht="12" customHeight="1">
      <c r="A589" s="301" t="s">
        <v>3199</v>
      </c>
      <c r="B589" s="303" t="s">
        <v>23</v>
      </c>
      <c r="C589" s="304">
        <f t="shared" si="9"/>
        <v>27720</v>
      </c>
      <c r="D589" s="281" cm="1">
        <f t="array" aca="1" ref="D589" ca="1">IF(Insumo[[#This Row],[VALOR]]=0,Insumo[TOTAL],E589/C589)</f>
        <v>0</v>
      </c>
      <c r="E589" s="69">
        <f ca="1">SUM(Insumo[[#This Row],[CAP1-3]:[CAP29]])</f>
        <v>0</v>
      </c>
      <c r="F589" s="69">
        <f ca="1">SUMIF('CAP1-3'!$B:$H,Insumo[[#This Row],[DESCRIPCION]],'CAP1-3'!$H:$H)</f>
        <v>0</v>
      </c>
      <c r="G589" s="69">
        <f ca="1">SUMIF('CAP4-5'!$B:$H,Insumo[[#This Row],[DESCRIPCION]],'CAP4-5'!$H:$H)</f>
        <v>0</v>
      </c>
      <c r="H589" s="69">
        <f ca="1">SUMIF('CAP6-7'!$B:$H,Insumo[[#This Row],[DESCRIPCION]],'CAP6-7'!$H:$H)</f>
        <v>0</v>
      </c>
      <c r="I589" s="69">
        <f ca="1">SUMIF('CAP8'!$B:$H,Insumo[[#This Row],[DESCRIPCION]],'CAP8'!$H:$H)</f>
        <v>0</v>
      </c>
      <c r="J589" s="69">
        <f ca="1">SUMIF('CAP9-13'!$B:$H,Insumo[[#This Row],[DESCRIPCION]],'CAP9-13'!$H:$H)</f>
        <v>0</v>
      </c>
      <c r="K589" s="69">
        <f ca="1">SUMIF('CAP14-15'!$B:$H,Insumo[[#This Row],[DESCRIPCION]],'CAP14-15'!$H:$H)</f>
        <v>0</v>
      </c>
      <c r="L589" s="69">
        <f ca="1">SUMIF('CAP16-18'!$B:$H,Insumo[[#This Row],[DESCRIPCION]],'CAP16-18'!$H:$H)</f>
        <v>0</v>
      </c>
      <c r="M589" s="69">
        <f ca="1">SUMIF('CAP19-22'!$B:$H,Insumo[[#This Row],[DESCRIPCION]],'CAP19-22'!$H:$H)</f>
        <v>0</v>
      </c>
      <c r="N589" s="69">
        <f ca="1">SUMIF('CAP23-24'!$B:$H,Insumo[[#This Row],[DESCRIPCION]],'CAP23-24'!$H:$H)</f>
        <v>0</v>
      </c>
      <c r="O589" s="69">
        <f ca="1">SUMIF('CAP25'!$B:$H,Insumo[[#This Row],[DESCRIPCION]],'CAP25'!$H:$H)</f>
        <v>0</v>
      </c>
      <c r="P589" s="69">
        <f ca="1">SUMIF('CAP26-28'!$B:$H,Insumo[[#This Row],[DESCRIPCION]],'CAP26-28'!$H:$H)</f>
        <v>0</v>
      </c>
      <c r="Q589" s="69">
        <f ca="1">SUMIF('CAP29'!$B:$H,Insumo[[#This Row],[DESCRIPCION]],'CAP29'!$H:$H)</f>
        <v>0</v>
      </c>
      <c r="R589" s="290"/>
      <c r="T589" s="136">
        <v>26400</v>
      </c>
    </row>
    <row r="590" spans="1:20" ht="12" customHeight="1">
      <c r="A590" s="301" t="s">
        <v>3200</v>
      </c>
      <c r="B590" s="303" t="s">
        <v>23</v>
      </c>
      <c r="C590" s="304">
        <f t="shared" si="9"/>
        <v>2386.65</v>
      </c>
      <c r="D590" s="281" cm="1">
        <f t="array" aca="1" ref="D590" ca="1">IF(Insumo[[#This Row],[VALOR]]=0,Insumo[TOTAL],E590/C590)</f>
        <v>0</v>
      </c>
      <c r="E590" s="69">
        <f ca="1">SUM(Insumo[[#This Row],[CAP1-3]:[CAP29]])</f>
        <v>0</v>
      </c>
      <c r="F590" s="69">
        <f ca="1">SUMIF('CAP1-3'!$B:$H,Insumo[[#This Row],[DESCRIPCION]],'CAP1-3'!$H:$H)</f>
        <v>0</v>
      </c>
      <c r="G590" s="69">
        <f ca="1">SUMIF('CAP4-5'!$B:$H,Insumo[[#This Row],[DESCRIPCION]],'CAP4-5'!$H:$H)</f>
        <v>0</v>
      </c>
      <c r="H590" s="69">
        <f ca="1">SUMIF('CAP6-7'!$B:$H,Insumo[[#This Row],[DESCRIPCION]],'CAP6-7'!$H:$H)</f>
        <v>0</v>
      </c>
      <c r="I590" s="69">
        <f ca="1">SUMIF('CAP8'!$B:$H,Insumo[[#This Row],[DESCRIPCION]],'CAP8'!$H:$H)</f>
        <v>0</v>
      </c>
      <c r="J590" s="69">
        <f ca="1">SUMIF('CAP9-13'!$B:$H,Insumo[[#This Row],[DESCRIPCION]],'CAP9-13'!$H:$H)</f>
        <v>0</v>
      </c>
      <c r="K590" s="69">
        <f ca="1">SUMIF('CAP14-15'!$B:$H,Insumo[[#This Row],[DESCRIPCION]],'CAP14-15'!$H:$H)</f>
        <v>0</v>
      </c>
      <c r="L590" s="69">
        <f ca="1">SUMIF('CAP16-18'!$B:$H,Insumo[[#This Row],[DESCRIPCION]],'CAP16-18'!$H:$H)</f>
        <v>0</v>
      </c>
      <c r="M590" s="69">
        <f ca="1">SUMIF('CAP19-22'!$B:$H,Insumo[[#This Row],[DESCRIPCION]],'CAP19-22'!$H:$H)</f>
        <v>0</v>
      </c>
      <c r="N590" s="69">
        <f ca="1">SUMIF('CAP23-24'!$B:$H,Insumo[[#This Row],[DESCRIPCION]],'CAP23-24'!$H:$H)</f>
        <v>0</v>
      </c>
      <c r="O590" s="69">
        <f ca="1">SUMIF('CAP25'!$B:$H,Insumo[[#This Row],[DESCRIPCION]],'CAP25'!$H:$H)</f>
        <v>0</v>
      </c>
      <c r="P590" s="69">
        <f ca="1">SUMIF('CAP26-28'!$B:$H,Insumo[[#This Row],[DESCRIPCION]],'CAP26-28'!$H:$H)</f>
        <v>0</v>
      </c>
      <c r="Q590" s="69">
        <f ca="1">SUMIF('CAP29'!$B:$H,Insumo[[#This Row],[DESCRIPCION]],'CAP29'!$H:$H)</f>
        <v>0</v>
      </c>
      <c r="T590" s="136">
        <v>2273</v>
      </c>
    </row>
    <row r="591" spans="1:20" ht="12" customHeight="1">
      <c r="A591" s="301" t="s">
        <v>3201</v>
      </c>
      <c r="B591" s="303" t="s">
        <v>52</v>
      </c>
      <c r="C591" s="304">
        <f t="shared" si="9"/>
        <v>113662.5</v>
      </c>
      <c r="D591" s="281" cm="1">
        <f t="array" aca="1" ref="D591" ca="1">IF(Insumo[[#This Row],[VALOR]]=0,Insumo[TOTAL],E591/C591)</f>
        <v>0</v>
      </c>
      <c r="E591" s="69">
        <f ca="1">SUM(Insumo[[#This Row],[CAP1-3]:[CAP29]])</f>
        <v>0</v>
      </c>
      <c r="F591" s="286">
        <f ca="1">SUMIF('CAP1-3'!$B:$H,Insumo[[#This Row],[DESCRIPCION]],'CAP1-3'!$H:$H)</f>
        <v>0</v>
      </c>
      <c r="G591" s="286">
        <f ca="1">SUMIF('CAP4-5'!$B:$H,Insumo[[#This Row],[DESCRIPCION]],'CAP4-5'!$H:$H)</f>
        <v>0</v>
      </c>
      <c r="H591" s="286">
        <f ca="1">SUMIF('CAP6-7'!$B:$H,Insumo[[#This Row],[DESCRIPCION]],'CAP6-7'!$H:$H)</f>
        <v>0</v>
      </c>
      <c r="I591" s="286">
        <f ca="1">SUMIF('CAP8'!$B:$H,Insumo[[#This Row],[DESCRIPCION]],'CAP8'!$H:$H)</f>
        <v>0</v>
      </c>
      <c r="J591" s="286">
        <f ca="1">SUMIF('CAP9-13'!$B:$H,Insumo[[#This Row],[DESCRIPCION]],'CAP9-13'!$H:$H)</f>
        <v>0</v>
      </c>
      <c r="K591" s="286">
        <f ca="1">SUMIF('CAP14-15'!$B:$H,Insumo[[#This Row],[DESCRIPCION]],'CAP14-15'!$H:$H)</f>
        <v>0</v>
      </c>
      <c r="L591" s="286">
        <f ca="1">SUMIF('CAP16-18'!$B:$H,Insumo[[#This Row],[DESCRIPCION]],'CAP16-18'!$H:$H)</f>
        <v>0</v>
      </c>
      <c r="M591" s="286">
        <f ca="1">SUMIF('CAP19-22'!$B:$H,Insumo[[#This Row],[DESCRIPCION]],'CAP19-22'!$H:$H)</f>
        <v>0</v>
      </c>
      <c r="N591" s="286">
        <f ca="1">SUMIF('CAP23-24'!$B:$H,Insumo[[#This Row],[DESCRIPCION]],'CAP23-24'!$H:$H)</f>
        <v>0</v>
      </c>
      <c r="O591" s="286">
        <f ca="1">SUMIF('CAP25'!$B:$H,Insumo[[#This Row],[DESCRIPCION]],'CAP25'!$H:$H)</f>
        <v>0</v>
      </c>
      <c r="P591" s="286">
        <f ca="1">SUMIF('CAP26-28'!$B:$H,Insumo[[#This Row],[DESCRIPCION]],'CAP26-28'!$H:$H)</f>
        <v>0</v>
      </c>
      <c r="Q591" s="286">
        <f ca="1">SUMIF('CAP29'!$B:$H,Insumo[[#This Row],[DESCRIPCION]],'CAP29'!$H:$H)</f>
        <v>0</v>
      </c>
      <c r="T591" s="136">
        <v>108250</v>
      </c>
    </row>
    <row r="592" spans="1:20" ht="12" customHeight="1">
      <c r="A592" s="301" t="s">
        <v>3202</v>
      </c>
      <c r="B592" s="303" t="s">
        <v>20</v>
      </c>
      <c r="C592" s="304">
        <f t="shared" si="9"/>
        <v>77582.400000000009</v>
      </c>
      <c r="D592" s="281" cm="1">
        <f t="array" aca="1" ref="D592" ca="1">IF(Insumo[[#This Row],[VALOR]]=0,Insumo[TOTAL],E592/C592)</f>
        <v>0</v>
      </c>
      <c r="E592" s="69">
        <f ca="1">SUM(Insumo[[#This Row],[CAP1-3]:[CAP29]])</f>
        <v>0</v>
      </c>
      <c r="F592" s="69">
        <f ca="1">SUMIF('CAP1-3'!$B:$H,Insumo[[#This Row],[DESCRIPCION]],'CAP1-3'!$H:$H)</f>
        <v>0</v>
      </c>
      <c r="G592" s="69">
        <f ca="1">SUMIF('CAP4-5'!$B:$H,Insumo[[#This Row],[DESCRIPCION]],'CAP4-5'!$H:$H)</f>
        <v>0</v>
      </c>
      <c r="H592" s="69">
        <f ca="1">SUMIF('CAP6-7'!$B:$H,Insumo[[#This Row],[DESCRIPCION]],'CAP6-7'!$H:$H)</f>
        <v>0</v>
      </c>
      <c r="I592" s="69">
        <f ca="1">SUMIF('CAP8'!$B:$H,Insumo[[#This Row],[DESCRIPCION]],'CAP8'!$H:$H)</f>
        <v>0</v>
      </c>
      <c r="J592" s="69">
        <f ca="1">SUMIF('CAP9-13'!$B:$H,Insumo[[#This Row],[DESCRIPCION]],'CAP9-13'!$H:$H)</f>
        <v>0</v>
      </c>
      <c r="K592" s="69">
        <f ca="1">SUMIF('CAP14-15'!$B:$H,Insumo[[#This Row],[DESCRIPCION]],'CAP14-15'!$H:$H)</f>
        <v>0</v>
      </c>
      <c r="L592" s="69">
        <f ca="1">SUMIF('CAP16-18'!$B:$H,Insumo[[#This Row],[DESCRIPCION]],'CAP16-18'!$H:$H)</f>
        <v>0</v>
      </c>
      <c r="M592" s="69">
        <f ca="1">SUMIF('CAP19-22'!$B:$H,Insumo[[#This Row],[DESCRIPCION]],'CAP19-22'!$H:$H)</f>
        <v>0</v>
      </c>
      <c r="N592" s="69">
        <f ca="1">SUMIF('CAP23-24'!$B:$H,Insumo[[#This Row],[DESCRIPCION]],'CAP23-24'!$H:$H)</f>
        <v>0</v>
      </c>
      <c r="O592" s="69">
        <f ca="1">SUMIF('CAP25'!$B:$H,Insumo[[#This Row],[DESCRIPCION]],'CAP25'!$H:$H)</f>
        <v>0</v>
      </c>
      <c r="P592" s="69">
        <f ca="1">SUMIF('CAP26-28'!$B:$H,Insumo[[#This Row],[DESCRIPCION]],'CAP26-28'!$H:$H)</f>
        <v>0</v>
      </c>
      <c r="Q592" s="69">
        <f ca="1">SUMIF('CAP29'!$B:$H,Insumo[[#This Row],[DESCRIPCION]],'CAP29'!$H:$H)</f>
        <v>0</v>
      </c>
      <c r="T592" s="136">
        <v>73888</v>
      </c>
    </row>
    <row r="593" spans="1:20" ht="12" customHeight="1">
      <c r="A593" s="301" t="s">
        <v>3203</v>
      </c>
      <c r="B593" s="303" t="s">
        <v>52</v>
      </c>
      <c r="C593" s="304">
        <f t="shared" si="9"/>
        <v>113662.5</v>
      </c>
      <c r="D593" s="281" cm="1">
        <f t="array" aca="1" ref="D593" ca="1">IF(Insumo[[#This Row],[VALOR]]=0,Insumo[TOTAL],E593/C593)</f>
        <v>0</v>
      </c>
      <c r="E593" s="69">
        <f ca="1">SUM(Insumo[[#This Row],[CAP1-3]:[CAP29]])</f>
        <v>0</v>
      </c>
      <c r="F593" s="69">
        <f ca="1">SUMIF('CAP1-3'!$B:$H,Insumo[[#This Row],[DESCRIPCION]],'CAP1-3'!$H:$H)</f>
        <v>0</v>
      </c>
      <c r="G593" s="69">
        <f ca="1">SUMIF('CAP4-5'!$B:$H,Insumo[[#This Row],[DESCRIPCION]],'CAP4-5'!$H:$H)</f>
        <v>0</v>
      </c>
      <c r="H593" s="69">
        <f ca="1">SUMIF('CAP6-7'!$B:$H,Insumo[[#This Row],[DESCRIPCION]],'CAP6-7'!$H:$H)</f>
        <v>0</v>
      </c>
      <c r="I593" s="69">
        <f ca="1">SUMIF('CAP8'!$B:$H,Insumo[[#This Row],[DESCRIPCION]],'CAP8'!$H:$H)</f>
        <v>0</v>
      </c>
      <c r="J593" s="69">
        <f ca="1">SUMIF('CAP9-13'!$B:$H,Insumo[[#This Row],[DESCRIPCION]],'CAP9-13'!$H:$H)</f>
        <v>0</v>
      </c>
      <c r="K593" s="69">
        <f ca="1">SUMIF('CAP14-15'!$B:$H,Insumo[[#This Row],[DESCRIPCION]],'CAP14-15'!$H:$H)</f>
        <v>0</v>
      </c>
      <c r="L593" s="69">
        <f ca="1">SUMIF('CAP16-18'!$B:$H,Insumo[[#This Row],[DESCRIPCION]],'CAP16-18'!$H:$H)</f>
        <v>0</v>
      </c>
      <c r="M593" s="69">
        <f ca="1">SUMIF('CAP19-22'!$B:$H,Insumo[[#This Row],[DESCRIPCION]],'CAP19-22'!$H:$H)</f>
        <v>0</v>
      </c>
      <c r="N593" s="69">
        <f ca="1">SUMIF('CAP23-24'!$B:$H,Insumo[[#This Row],[DESCRIPCION]],'CAP23-24'!$H:$H)</f>
        <v>0</v>
      </c>
      <c r="O593" s="69">
        <f ca="1">SUMIF('CAP25'!$B:$H,Insumo[[#This Row],[DESCRIPCION]],'CAP25'!$H:$H)</f>
        <v>0</v>
      </c>
      <c r="P593" s="69">
        <f ca="1">SUMIF('CAP26-28'!$B:$H,Insumo[[#This Row],[DESCRIPCION]],'CAP26-28'!$H:$H)</f>
        <v>0</v>
      </c>
      <c r="Q593" s="69">
        <f ca="1">SUMIF('CAP29'!$B:$H,Insumo[[#This Row],[DESCRIPCION]],'CAP29'!$H:$H)</f>
        <v>0</v>
      </c>
      <c r="T593" s="136">
        <v>108250</v>
      </c>
    </row>
    <row r="594" spans="1:20" ht="12" customHeight="1">
      <c r="A594" s="301" t="s">
        <v>3204</v>
      </c>
      <c r="B594" s="303" t="s">
        <v>2662</v>
      </c>
      <c r="C594" s="304">
        <f t="shared" si="9"/>
        <v>107805.6</v>
      </c>
      <c r="D594" s="281" cm="1">
        <f t="array" aca="1" ref="D594" ca="1">IF(Insumo[[#This Row],[VALOR]]=0,Insumo[TOTAL],E594/C594)</f>
        <v>0</v>
      </c>
      <c r="E594" s="69">
        <f ca="1">SUM(Insumo[[#This Row],[CAP1-3]:[CAP29]])</f>
        <v>0</v>
      </c>
      <c r="F594" s="69">
        <f ca="1">SUMIF('CAP1-3'!$B:$H,Insumo[[#This Row],[DESCRIPCION]],'CAP1-3'!$H:$H)</f>
        <v>0</v>
      </c>
      <c r="G594" s="69">
        <f ca="1">SUMIF('CAP4-5'!$B:$H,Insumo[[#This Row],[DESCRIPCION]],'CAP4-5'!$H:$H)</f>
        <v>0</v>
      </c>
      <c r="H594" s="69">
        <f ca="1">SUMIF('CAP6-7'!$B:$H,Insumo[[#This Row],[DESCRIPCION]],'CAP6-7'!$H:$H)</f>
        <v>0</v>
      </c>
      <c r="I594" s="69">
        <f ca="1">SUMIF('CAP8'!$B:$H,Insumo[[#This Row],[DESCRIPCION]],'CAP8'!$H:$H)</f>
        <v>0</v>
      </c>
      <c r="J594" s="69">
        <f ca="1">SUMIF('CAP9-13'!$B:$H,Insumo[[#This Row],[DESCRIPCION]],'CAP9-13'!$H:$H)</f>
        <v>0</v>
      </c>
      <c r="K594" s="69">
        <f ca="1">SUMIF('CAP14-15'!$B:$H,Insumo[[#This Row],[DESCRIPCION]],'CAP14-15'!$H:$H)</f>
        <v>0</v>
      </c>
      <c r="L594" s="69">
        <f ca="1">SUMIF('CAP16-18'!$B:$H,Insumo[[#This Row],[DESCRIPCION]],'CAP16-18'!$H:$H)</f>
        <v>0</v>
      </c>
      <c r="M594" s="69">
        <f ca="1">SUMIF('CAP19-22'!$B:$H,Insumo[[#This Row],[DESCRIPCION]],'CAP19-22'!$H:$H)</f>
        <v>0</v>
      </c>
      <c r="N594" s="69">
        <f ca="1">SUMIF('CAP23-24'!$B:$H,Insumo[[#This Row],[DESCRIPCION]],'CAP23-24'!$H:$H)</f>
        <v>0</v>
      </c>
      <c r="O594" s="69">
        <f ca="1">SUMIF('CAP25'!$B:$H,Insumo[[#This Row],[DESCRIPCION]],'CAP25'!$H:$H)</f>
        <v>0</v>
      </c>
      <c r="P594" s="69">
        <f ca="1">SUMIF('CAP26-28'!$B:$H,Insumo[[#This Row],[DESCRIPCION]],'CAP26-28'!$H:$H)</f>
        <v>0</v>
      </c>
      <c r="Q594" s="69">
        <f ca="1">SUMIF('CAP29'!$B:$H,Insumo[[#This Row],[DESCRIPCION]],'CAP29'!$H:$H)</f>
        <v>0</v>
      </c>
      <c r="T594" s="136">
        <v>102672</v>
      </c>
    </row>
    <row r="595" spans="1:20" ht="12" customHeight="1">
      <c r="A595" s="301" t="s">
        <v>3205</v>
      </c>
      <c r="B595" s="303" t="s">
        <v>2662</v>
      </c>
      <c r="C595" s="304">
        <f t="shared" si="9"/>
        <v>272221.95</v>
      </c>
      <c r="D595" s="281" cm="1">
        <f t="array" aca="1" ref="D595" ca="1">IF(Insumo[[#This Row],[VALOR]]=0,Insumo[TOTAL],E595/C595)</f>
        <v>0</v>
      </c>
      <c r="E595" s="69">
        <f ca="1">SUM(Insumo[[#This Row],[CAP1-3]:[CAP29]])</f>
        <v>0</v>
      </c>
      <c r="F595" s="69">
        <f ca="1">SUMIF('CAP1-3'!$B:$H,Insumo[[#This Row],[DESCRIPCION]],'CAP1-3'!$H:$H)</f>
        <v>0</v>
      </c>
      <c r="G595" s="69">
        <f ca="1">SUMIF('CAP4-5'!$B:$H,Insumo[[#This Row],[DESCRIPCION]],'CAP4-5'!$H:$H)</f>
        <v>0</v>
      </c>
      <c r="H595" s="69">
        <f ca="1">SUMIF('CAP6-7'!$B:$H,Insumo[[#This Row],[DESCRIPCION]],'CAP6-7'!$H:$H)</f>
        <v>0</v>
      </c>
      <c r="I595" s="69">
        <f ca="1">SUMIF('CAP8'!$B:$H,Insumo[[#This Row],[DESCRIPCION]],'CAP8'!$H:$H)</f>
        <v>0</v>
      </c>
      <c r="J595" s="69">
        <f ca="1">SUMIF('CAP9-13'!$B:$H,Insumo[[#This Row],[DESCRIPCION]],'CAP9-13'!$H:$H)</f>
        <v>0</v>
      </c>
      <c r="K595" s="69">
        <f ca="1">SUMIF('CAP14-15'!$B:$H,Insumo[[#This Row],[DESCRIPCION]],'CAP14-15'!$H:$H)</f>
        <v>0</v>
      </c>
      <c r="L595" s="69">
        <f ca="1">SUMIF('CAP16-18'!$B:$H,Insumo[[#This Row],[DESCRIPCION]],'CAP16-18'!$H:$H)</f>
        <v>0</v>
      </c>
      <c r="M595" s="69">
        <f ca="1">SUMIF('CAP19-22'!$B:$H,Insumo[[#This Row],[DESCRIPCION]],'CAP19-22'!$H:$H)</f>
        <v>0</v>
      </c>
      <c r="N595" s="69">
        <f ca="1">SUMIF('CAP23-24'!$B:$H,Insumo[[#This Row],[DESCRIPCION]],'CAP23-24'!$H:$H)</f>
        <v>0</v>
      </c>
      <c r="O595" s="69">
        <f ca="1">SUMIF('CAP25'!$B:$H,Insumo[[#This Row],[DESCRIPCION]],'CAP25'!$H:$H)</f>
        <v>0</v>
      </c>
      <c r="P595" s="69">
        <f ca="1">SUMIF('CAP26-28'!$B:$H,Insumo[[#This Row],[DESCRIPCION]],'CAP26-28'!$H:$H)</f>
        <v>0</v>
      </c>
      <c r="Q595" s="69">
        <f ca="1">SUMIF('CAP29'!$B:$H,Insumo[[#This Row],[DESCRIPCION]],'CAP29'!$H:$H)</f>
        <v>0</v>
      </c>
      <c r="R595" s="136" t="s">
        <v>2663</v>
      </c>
      <c r="T595" s="136">
        <v>259259</v>
      </c>
    </row>
    <row r="596" spans="1:20" ht="12" customHeight="1">
      <c r="A596" s="301" t="s">
        <v>3206</v>
      </c>
      <c r="B596" s="303" t="s">
        <v>2662</v>
      </c>
      <c r="C596" s="304">
        <f t="shared" si="9"/>
        <v>185155.95</v>
      </c>
      <c r="D596" s="281" cm="1">
        <f t="array" aca="1" ref="D596" ca="1">IF(Insumo[[#This Row],[VALOR]]=0,Insumo[TOTAL],E596/C596)</f>
        <v>0</v>
      </c>
      <c r="E596" s="69">
        <f ca="1">SUM(Insumo[[#This Row],[CAP1-3]:[CAP29]])</f>
        <v>0</v>
      </c>
      <c r="F596" s="69">
        <f ca="1">SUMIF('CAP1-3'!$B:$H,Insumo[[#This Row],[DESCRIPCION]],'CAP1-3'!$H:$H)</f>
        <v>0</v>
      </c>
      <c r="G596" s="69">
        <f ca="1">SUMIF('CAP4-5'!$B:$H,Insumo[[#This Row],[DESCRIPCION]],'CAP4-5'!$H:$H)</f>
        <v>0</v>
      </c>
      <c r="H596" s="69">
        <f ca="1">SUMIF('CAP6-7'!$B:$H,Insumo[[#This Row],[DESCRIPCION]],'CAP6-7'!$H:$H)</f>
        <v>0</v>
      </c>
      <c r="I596" s="69">
        <f ca="1">SUMIF('CAP8'!$B:$H,Insumo[[#This Row],[DESCRIPCION]],'CAP8'!$H:$H)</f>
        <v>0</v>
      </c>
      <c r="J596" s="69">
        <f ca="1">SUMIF('CAP9-13'!$B:$H,Insumo[[#This Row],[DESCRIPCION]],'CAP9-13'!$H:$H)</f>
        <v>0</v>
      </c>
      <c r="K596" s="69">
        <f ca="1">SUMIF('CAP14-15'!$B:$H,Insumo[[#This Row],[DESCRIPCION]],'CAP14-15'!$H:$H)</f>
        <v>0</v>
      </c>
      <c r="L596" s="69">
        <f ca="1">SUMIF('CAP16-18'!$B:$H,Insumo[[#This Row],[DESCRIPCION]],'CAP16-18'!$H:$H)</f>
        <v>0</v>
      </c>
      <c r="M596" s="69">
        <f ca="1">SUMIF('CAP19-22'!$B:$H,Insumo[[#This Row],[DESCRIPCION]],'CAP19-22'!$H:$H)</f>
        <v>0</v>
      </c>
      <c r="N596" s="69">
        <f ca="1">SUMIF('CAP23-24'!$B:$H,Insumo[[#This Row],[DESCRIPCION]],'CAP23-24'!$H:$H)</f>
        <v>0</v>
      </c>
      <c r="O596" s="69">
        <f ca="1">SUMIF('CAP25'!$B:$H,Insumo[[#This Row],[DESCRIPCION]],'CAP25'!$H:$H)</f>
        <v>0</v>
      </c>
      <c r="P596" s="69">
        <f ca="1">SUMIF('CAP26-28'!$B:$H,Insumo[[#This Row],[DESCRIPCION]],'CAP26-28'!$H:$H)</f>
        <v>0</v>
      </c>
      <c r="Q596" s="69">
        <f ca="1">SUMIF('CAP29'!$B:$H,Insumo[[#This Row],[DESCRIPCION]],'CAP29'!$H:$H)</f>
        <v>0</v>
      </c>
      <c r="T596" s="136">
        <v>176339</v>
      </c>
    </row>
    <row r="597" spans="1:20" ht="12" customHeight="1">
      <c r="A597" s="301" t="s">
        <v>3207</v>
      </c>
      <c r="B597" s="303" t="s">
        <v>2749</v>
      </c>
      <c r="C597" s="304">
        <f t="shared" si="9"/>
        <v>78766.8</v>
      </c>
      <c r="D597" s="281" cm="1">
        <f t="array" aca="1" ref="D597" ca="1">IF(Insumo[[#This Row],[VALOR]]=0,Insumo[TOTAL],E597/C597)</f>
        <v>0</v>
      </c>
      <c r="E597" s="69">
        <f ca="1">SUM(Insumo[[#This Row],[CAP1-3]:[CAP29]])</f>
        <v>0</v>
      </c>
      <c r="F597" s="69">
        <f ca="1">SUMIF('CAP1-3'!$B:$H,Insumo[[#This Row],[DESCRIPCION]],'CAP1-3'!$H:$H)</f>
        <v>0</v>
      </c>
      <c r="G597" s="69">
        <f ca="1">SUMIF('CAP4-5'!$B:$H,Insumo[[#This Row],[DESCRIPCION]],'CAP4-5'!$H:$H)</f>
        <v>0</v>
      </c>
      <c r="H597" s="69">
        <f ca="1">SUMIF('CAP6-7'!$B:$H,Insumo[[#This Row],[DESCRIPCION]],'CAP6-7'!$H:$H)</f>
        <v>0</v>
      </c>
      <c r="I597" s="69">
        <f ca="1">SUMIF('CAP8'!$B:$H,Insumo[[#This Row],[DESCRIPCION]],'CAP8'!$H:$H)</f>
        <v>0</v>
      </c>
      <c r="J597" s="69">
        <f ca="1">SUMIF('CAP9-13'!$B:$H,Insumo[[#This Row],[DESCRIPCION]],'CAP9-13'!$H:$H)</f>
        <v>0</v>
      </c>
      <c r="K597" s="69">
        <f ca="1">SUMIF('CAP14-15'!$B:$H,Insumo[[#This Row],[DESCRIPCION]],'CAP14-15'!$H:$H)</f>
        <v>0</v>
      </c>
      <c r="L597" s="69">
        <f ca="1">SUMIF('CAP16-18'!$B:$H,Insumo[[#This Row],[DESCRIPCION]],'CAP16-18'!$H:$H)</f>
        <v>0</v>
      </c>
      <c r="M597" s="69">
        <f ca="1">SUMIF('CAP19-22'!$B:$H,Insumo[[#This Row],[DESCRIPCION]],'CAP19-22'!$H:$H)</f>
        <v>0</v>
      </c>
      <c r="N597" s="69">
        <f ca="1">SUMIF('CAP23-24'!$B:$H,Insumo[[#This Row],[DESCRIPCION]],'CAP23-24'!$H:$H)</f>
        <v>0</v>
      </c>
      <c r="O597" s="69">
        <f ca="1">SUMIF('CAP25'!$B:$H,Insumo[[#This Row],[DESCRIPCION]],'CAP25'!$H:$H)</f>
        <v>0</v>
      </c>
      <c r="P597" s="69">
        <f ca="1">SUMIF('CAP26-28'!$B:$H,Insumo[[#This Row],[DESCRIPCION]],'CAP26-28'!$H:$H)</f>
        <v>0</v>
      </c>
      <c r="Q597" s="69">
        <f ca="1">SUMIF('CAP29'!$B:$H,Insumo[[#This Row],[DESCRIPCION]],'CAP29'!$H:$H)</f>
        <v>0</v>
      </c>
      <c r="T597" s="136">
        <v>75016</v>
      </c>
    </row>
    <row r="598" spans="1:20" ht="12" customHeight="1">
      <c r="A598" s="301" t="s">
        <v>3208</v>
      </c>
      <c r="B598" s="303" t="s">
        <v>2662</v>
      </c>
      <c r="C598" s="304">
        <f t="shared" si="9"/>
        <v>142720.20000000001</v>
      </c>
      <c r="D598" s="281" cm="1">
        <f t="array" aca="1" ref="D598" ca="1">IF(Insumo[[#This Row],[VALOR]]=0,Insumo[TOTAL],E598/C598)</f>
        <v>0</v>
      </c>
      <c r="E598" s="69">
        <f ca="1">SUM(Insumo[[#This Row],[CAP1-3]:[CAP29]])</f>
        <v>0</v>
      </c>
      <c r="F598" s="69">
        <f ca="1">SUMIF('CAP1-3'!$B:$H,Insumo[[#This Row],[DESCRIPCION]],'CAP1-3'!$H:$H)</f>
        <v>0</v>
      </c>
      <c r="G598" s="69">
        <f ca="1">SUMIF('CAP4-5'!$B:$H,Insumo[[#This Row],[DESCRIPCION]],'CAP4-5'!$H:$H)</f>
        <v>0</v>
      </c>
      <c r="H598" s="69">
        <f ca="1">SUMIF('CAP6-7'!$B:$H,Insumo[[#This Row],[DESCRIPCION]],'CAP6-7'!$H:$H)</f>
        <v>0</v>
      </c>
      <c r="I598" s="69">
        <f ca="1">SUMIF('CAP8'!$B:$H,Insumo[[#This Row],[DESCRIPCION]],'CAP8'!$H:$H)</f>
        <v>0</v>
      </c>
      <c r="J598" s="69">
        <f ca="1">SUMIF('CAP9-13'!$B:$H,Insumo[[#This Row],[DESCRIPCION]],'CAP9-13'!$H:$H)</f>
        <v>0</v>
      </c>
      <c r="K598" s="69">
        <f ca="1">SUMIF('CAP14-15'!$B:$H,Insumo[[#This Row],[DESCRIPCION]],'CAP14-15'!$H:$H)</f>
        <v>0</v>
      </c>
      <c r="L598" s="69">
        <f ca="1">SUMIF('CAP16-18'!$B:$H,Insumo[[#This Row],[DESCRIPCION]],'CAP16-18'!$H:$H)</f>
        <v>0</v>
      </c>
      <c r="M598" s="69">
        <f ca="1">SUMIF('CAP19-22'!$B:$H,Insumo[[#This Row],[DESCRIPCION]],'CAP19-22'!$H:$H)</f>
        <v>0</v>
      </c>
      <c r="N598" s="69">
        <f ca="1">SUMIF('CAP23-24'!$B:$H,Insumo[[#This Row],[DESCRIPCION]],'CAP23-24'!$H:$H)</f>
        <v>0</v>
      </c>
      <c r="O598" s="69">
        <f ca="1">SUMIF('CAP25'!$B:$H,Insumo[[#This Row],[DESCRIPCION]],'CAP25'!$H:$H)</f>
        <v>0</v>
      </c>
      <c r="P598" s="69">
        <f ca="1">SUMIF('CAP26-28'!$B:$H,Insumo[[#This Row],[DESCRIPCION]],'CAP26-28'!$H:$H)</f>
        <v>0</v>
      </c>
      <c r="Q598" s="69">
        <f ca="1">SUMIF('CAP29'!$B:$H,Insumo[[#This Row],[DESCRIPCION]],'CAP29'!$H:$H)</f>
        <v>0</v>
      </c>
      <c r="T598" s="136">
        <v>135924</v>
      </c>
    </row>
    <row r="599" spans="1:20" ht="12" customHeight="1">
      <c r="A599" s="301" t="s">
        <v>3209</v>
      </c>
      <c r="B599" s="303" t="s">
        <v>2662</v>
      </c>
      <c r="C599" s="304">
        <f t="shared" si="9"/>
        <v>99748.95</v>
      </c>
      <c r="D599" s="281" cm="1">
        <f t="array" aca="1" ref="D599" ca="1">IF(Insumo[[#This Row],[VALOR]]=0,Insumo[TOTAL],E599/C599)</f>
        <v>0</v>
      </c>
      <c r="E599" s="69">
        <f ca="1">SUM(Insumo[[#This Row],[CAP1-3]:[CAP29]])</f>
        <v>0</v>
      </c>
      <c r="F599" s="69">
        <f ca="1">SUMIF('CAP1-3'!$B:$H,Insumo[[#This Row],[DESCRIPCION]],'CAP1-3'!$H:$H)</f>
        <v>0</v>
      </c>
      <c r="G599" s="69">
        <f ca="1">SUMIF('CAP4-5'!$B:$H,Insumo[[#This Row],[DESCRIPCION]],'CAP4-5'!$H:$H)</f>
        <v>0</v>
      </c>
      <c r="H599" s="69">
        <f ca="1">SUMIF('CAP6-7'!$B:$H,Insumo[[#This Row],[DESCRIPCION]],'CAP6-7'!$H:$H)</f>
        <v>0</v>
      </c>
      <c r="I599" s="69">
        <f ca="1">SUMIF('CAP8'!$B:$H,Insumo[[#This Row],[DESCRIPCION]],'CAP8'!$H:$H)</f>
        <v>0</v>
      </c>
      <c r="J599" s="69">
        <f ca="1">SUMIF('CAP9-13'!$B:$H,Insumo[[#This Row],[DESCRIPCION]],'CAP9-13'!$H:$H)</f>
        <v>0</v>
      </c>
      <c r="K599" s="69">
        <f ca="1">SUMIF('CAP14-15'!$B:$H,Insumo[[#This Row],[DESCRIPCION]],'CAP14-15'!$H:$H)</f>
        <v>0</v>
      </c>
      <c r="L599" s="69">
        <f ca="1">SUMIF('CAP16-18'!$B:$H,Insumo[[#This Row],[DESCRIPCION]],'CAP16-18'!$H:$H)</f>
        <v>0</v>
      </c>
      <c r="M599" s="69">
        <f ca="1">SUMIF('CAP19-22'!$B:$H,Insumo[[#This Row],[DESCRIPCION]],'CAP19-22'!$H:$H)</f>
        <v>0</v>
      </c>
      <c r="N599" s="69">
        <f ca="1">SUMIF('CAP23-24'!$B:$H,Insumo[[#This Row],[DESCRIPCION]],'CAP23-24'!$H:$H)</f>
        <v>0</v>
      </c>
      <c r="O599" s="69">
        <f ca="1">SUMIF('CAP25'!$B:$H,Insumo[[#This Row],[DESCRIPCION]],'CAP25'!$H:$H)</f>
        <v>0</v>
      </c>
      <c r="P599" s="69">
        <f ca="1">SUMIF('CAP26-28'!$B:$H,Insumo[[#This Row],[DESCRIPCION]],'CAP26-28'!$H:$H)</f>
        <v>0</v>
      </c>
      <c r="Q599" s="69">
        <f ca="1">SUMIF('CAP29'!$B:$H,Insumo[[#This Row],[DESCRIPCION]],'CAP29'!$H:$H)</f>
        <v>0</v>
      </c>
      <c r="T599" s="136">
        <v>94999</v>
      </c>
    </row>
    <row r="600" spans="1:20" ht="12" customHeight="1">
      <c r="A600" s="301" t="s">
        <v>3210</v>
      </c>
      <c r="B600" s="303" t="s">
        <v>2662</v>
      </c>
      <c r="C600" s="304">
        <f t="shared" si="9"/>
        <v>98105.7</v>
      </c>
      <c r="D600" s="281" cm="1">
        <f t="array" aca="1" ref="D600" ca="1">IF(Insumo[[#This Row],[VALOR]]=0,Insumo[TOTAL],E600/C600)</f>
        <v>0</v>
      </c>
      <c r="E600" s="69">
        <f ca="1">SUM(Insumo[[#This Row],[CAP1-3]:[CAP29]])</f>
        <v>0</v>
      </c>
      <c r="F600" s="69">
        <f ca="1">SUMIF('CAP1-3'!$B:$H,Insumo[[#This Row],[DESCRIPCION]],'CAP1-3'!$H:$H)</f>
        <v>0</v>
      </c>
      <c r="G600" s="69">
        <f ca="1">SUMIF('CAP4-5'!$B:$H,Insumo[[#This Row],[DESCRIPCION]],'CAP4-5'!$H:$H)</f>
        <v>0</v>
      </c>
      <c r="H600" s="69">
        <f ca="1">SUMIF('CAP6-7'!$B:$H,Insumo[[#This Row],[DESCRIPCION]],'CAP6-7'!$H:$H)</f>
        <v>0</v>
      </c>
      <c r="I600" s="69">
        <f ca="1">SUMIF('CAP8'!$B:$H,Insumo[[#This Row],[DESCRIPCION]],'CAP8'!$H:$H)</f>
        <v>0</v>
      </c>
      <c r="J600" s="69">
        <f ca="1">SUMIF('CAP9-13'!$B:$H,Insumo[[#This Row],[DESCRIPCION]],'CAP9-13'!$H:$H)</f>
        <v>0</v>
      </c>
      <c r="K600" s="69">
        <f ca="1">SUMIF('CAP14-15'!$B:$H,Insumo[[#This Row],[DESCRIPCION]],'CAP14-15'!$H:$H)</f>
        <v>0</v>
      </c>
      <c r="L600" s="69">
        <f ca="1">SUMIF('CAP16-18'!$B:$H,Insumo[[#This Row],[DESCRIPCION]],'CAP16-18'!$H:$H)</f>
        <v>0</v>
      </c>
      <c r="M600" s="69">
        <f ca="1">SUMIF('CAP19-22'!$B:$H,Insumo[[#This Row],[DESCRIPCION]],'CAP19-22'!$H:$H)</f>
        <v>0</v>
      </c>
      <c r="N600" s="69">
        <f ca="1">SUMIF('CAP23-24'!$B:$H,Insumo[[#This Row],[DESCRIPCION]],'CAP23-24'!$H:$H)</f>
        <v>0</v>
      </c>
      <c r="O600" s="69">
        <f ca="1">SUMIF('CAP25'!$B:$H,Insumo[[#This Row],[DESCRIPCION]],'CAP25'!$H:$H)</f>
        <v>0</v>
      </c>
      <c r="P600" s="69">
        <f ca="1">SUMIF('CAP26-28'!$B:$H,Insumo[[#This Row],[DESCRIPCION]],'CAP26-28'!$H:$H)</f>
        <v>0</v>
      </c>
      <c r="Q600" s="69">
        <f ca="1">SUMIF('CAP29'!$B:$H,Insumo[[#This Row],[DESCRIPCION]],'CAP29'!$H:$H)</f>
        <v>0</v>
      </c>
      <c r="T600" s="136">
        <v>93434</v>
      </c>
    </row>
    <row r="601" spans="1:20" ht="12" customHeight="1">
      <c r="A601" s="301" t="s">
        <v>3211</v>
      </c>
      <c r="B601" s="303" t="s">
        <v>2662</v>
      </c>
      <c r="C601" s="304">
        <f t="shared" si="9"/>
        <v>149268</v>
      </c>
      <c r="D601" s="281" cm="1">
        <f t="array" aca="1" ref="D601" ca="1">IF(Insumo[[#This Row],[VALOR]]=0,Insumo[TOTAL],E601/C601)</f>
        <v>0</v>
      </c>
      <c r="E601" s="69">
        <f ca="1">SUM(Insumo[[#This Row],[CAP1-3]:[CAP29]])</f>
        <v>0</v>
      </c>
      <c r="F601" s="69">
        <f ca="1">SUMIF('CAP1-3'!$B:$H,Insumo[[#This Row],[DESCRIPCION]],'CAP1-3'!$H:$H)</f>
        <v>0</v>
      </c>
      <c r="G601" s="69">
        <f ca="1">SUMIF('CAP4-5'!$B:$H,Insumo[[#This Row],[DESCRIPCION]],'CAP4-5'!$H:$H)</f>
        <v>0</v>
      </c>
      <c r="H601" s="69">
        <f ca="1">SUMIF('CAP6-7'!$B:$H,Insumo[[#This Row],[DESCRIPCION]],'CAP6-7'!$H:$H)</f>
        <v>0</v>
      </c>
      <c r="I601" s="69">
        <f ca="1">SUMIF('CAP8'!$B:$H,Insumo[[#This Row],[DESCRIPCION]],'CAP8'!$H:$H)</f>
        <v>0</v>
      </c>
      <c r="J601" s="69">
        <f ca="1">SUMIF('CAP9-13'!$B:$H,Insumo[[#This Row],[DESCRIPCION]],'CAP9-13'!$H:$H)</f>
        <v>0</v>
      </c>
      <c r="K601" s="69">
        <f ca="1">SUMIF('CAP14-15'!$B:$H,Insumo[[#This Row],[DESCRIPCION]],'CAP14-15'!$H:$H)</f>
        <v>0</v>
      </c>
      <c r="L601" s="69">
        <f ca="1">SUMIF('CAP16-18'!$B:$H,Insumo[[#This Row],[DESCRIPCION]],'CAP16-18'!$H:$H)</f>
        <v>0</v>
      </c>
      <c r="M601" s="69">
        <f ca="1">SUMIF('CAP19-22'!$B:$H,Insumo[[#This Row],[DESCRIPCION]],'CAP19-22'!$H:$H)</f>
        <v>0</v>
      </c>
      <c r="N601" s="69">
        <f ca="1">SUMIF('CAP23-24'!$B:$H,Insumo[[#This Row],[DESCRIPCION]],'CAP23-24'!$H:$H)</f>
        <v>0</v>
      </c>
      <c r="O601" s="69">
        <f ca="1">SUMIF('CAP25'!$B:$H,Insumo[[#This Row],[DESCRIPCION]],'CAP25'!$H:$H)</f>
        <v>0</v>
      </c>
      <c r="P601" s="69">
        <f ca="1">SUMIF('CAP26-28'!$B:$H,Insumo[[#This Row],[DESCRIPCION]],'CAP26-28'!$H:$H)</f>
        <v>0</v>
      </c>
      <c r="Q601" s="69">
        <f ca="1">SUMIF('CAP29'!$B:$H,Insumo[[#This Row],[DESCRIPCION]],'CAP29'!$H:$H)</f>
        <v>0</v>
      </c>
      <c r="T601" s="136">
        <v>142160</v>
      </c>
    </row>
    <row r="602" spans="1:20" ht="12" customHeight="1">
      <c r="A602" s="301" t="s">
        <v>3212</v>
      </c>
      <c r="B602" s="303" t="s">
        <v>23</v>
      </c>
      <c r="C602" s="304">
        <f t="shared" si="9"/>
        <v>113654.1</v>
      </c>
      <c r="D602" s="281" cm="1">
        <f t="array" aca="1" ref="D602" ca="1">IF(Insumo[[#This Row],[VALOR]]=0,Insumo[TOTAL],E602/C602)</f>
        <v>0</v>
      </c>
      <c r="E602" s="69">
        <f ca="1">SUM(Insumo[[#This Row],[CAP1-3]:[CAP29]])</f>
        <v>0</v>
      </c>
      <c r="F602" s="69">
        <f ca="1">SUMIF('CAP1-3'!$B:$H,Insumo[[#This Row],[DESCRIPCION]],'CAP1-3'!$H:$H)</f>
        <v>0</v>
      </c>
      <c r="G602" s="69">
        <f ca="1">SUMIF('CAP4-5'!$B:$H,Insumo[[#This Row],[DESCRIPCION]],'CAP4-5'!$H:$H)</f>
        <v>0</v>
      </c>
      <c r="H602" s="69">
        <f ca="1">SUMIF('CAP6-7'!$B:$H,Insumo[[#This Row],[DESCRIPCION]],'CAP6-7'!$H:$H)</f>
        <v>0</v>
      </c>
      <c r="I602" s="69">
        <f ca="1">SUMIF('CAP8'!$B:$H,Insumo[[#This Row],[DESCRIPCION]],'CAP8'!$H:$H)</f>
        <v>0</v>
      </c>
      <c r="J602" s="69">
        <f ca="1">SUMIF('CAP9-13'!$B:$H,Insumo[[#This Row],[DESCRIPCION]],'CAP9-13'!$H:$H)</f>
        <v>0</v>
      </c>
      <c r="K602" s="69">
        <f ca="1">SUMIF('CAP14-15'!$B:$H,Insumo[[#This Row],[DESCRIPCION]],'CAP14-15'!$H:$H)</f>
        <v>0</v>
      </c>
      <c r="L602" s="69">
        <f ca="1">SUMIF('CAP16-18'!$B:$H,Insumo[[#This Row],[DESCRIPCION]],'CAP16-18'!$H:$H)</f>
        <v>0</v>
      </c>
      <c r="M602" s="69">
        <f ca="1">SUMIF('CAP19-22'!$B:$H,Insumo[[#This Row],[DESCRIPCION]],'CAP19-22'!$H:$H)</f>
        <v>0</v>
      </c>
      <c r="N602" s="69">
        <f ca="1">SUMIF('CAP23-24'!$B:$H,Insumo[[#This Row],[DESCRIPCION]],'CAP23-24'!$H:$H)</f>
        <v>0</v>
      </c>
      <c r="O602" s="69">
        <f ca="1">SUMIF('CAP25'!$B:$H,Insumo[[#This Row],[DESCRIPCION]],'CAP25'!$H:$H)</f>
        <v>0</v>
      </c>
      <c r="P602" s="69">
        <f ca="1">SUMIF('CAP26-28'!$B:$H,Insumo[[#This Row],[DESCRIPCION]],'CAP26-28'!$H:$H)</f>
        <v>0</v>
      </c>
      <c r="Q602" s="69">
        <f ca="1">SUMIF('CAP29'!$B:$H,Insumo[[#This Row],[DESCRIPCION]],'CAP29'!$H:$H)</f>
        <v>0</v>
      </c>
      <c r="T602" s="136">
        <v>108242</v>
      </c>
    </row>
    <row r="603" spans="1:20" ht="12" customHeight="1">
      <c r="A603" s="301" t="s">
        <v>3213</v>
      </c>
      <c r="B603" s="303" t="s">
        <v>30</v>
      </c>
      <c r="C603" s="304">
        <f t="shared" si="9"/>
        <v>13594.35</v>
      </c>
      <c r="D603" s="281" cm="1">
        <f t="array" aca="1" ref="D603" ca="1">IF(Insumo[[#This Row],[VALOR]]=0,Insumo[TOTAL],E603/C603)</f>
        <v>0</v>
      </c>
      <c r="E603" s="69">
        <f ca="1">SUM(Insumo[[#This Row],[CAP1-3]:[CAP29]])</f>
        <v>0</v>
      </c>
      <c r="F603" s="69">
        <f ca="1">SUMIF('CAP1-3'!$B:$H,Insumo[[#This Row],[DESCRIPCION]],'CAP1-3'!$H:$H)</f>
        <v>0</v>
      </c>
      <c r="G603" s="69">
        <f ca="1">SUMIF('CAP4-5'!$B:$H,Insumo[[#This Row],[DESCRIPCION]],'CAP4-5'!$H:$H)</f>
        <v>0</v>
      </c>
      <c r="H603" s="69">
        <f ca="1">SUMIF('CAP6-7'!$B:$H,Insumo[[#This Row],[DESCRIPCION]],'CAP6-7'!$H:$H)</f>
        <v>0</v>
      </c>
      <c r="I603" s="69">
        <f ca="1">SUMIF('CAP8'!$B:$H,Insumo[[#This Row],[DESCRIPCION]],'CAP8'!$H:$H)</f>
        <v>0</v>
      </c>
      <c r="J603" s="69">
        <f ca="1">SUMIF('CAP9-13'!$B:$H,Insumo[[#This Row],[DESCRIPCION]],'CAP9-13'!$H:$H)</f>
        <v>0</v>
      </c>
      <c r="K603" s="69">
        <f ca="1">SUMIF('CAP14-15'!$B:$H,Insumo[[#This Row],[DESCRIPCION]],'CAP14-15'!$H:$H)</f>
        <v>0</v>
      </c>
      <c r="L603" s="69">
        <f ca="1">SUMIF('CAP16-18'!$B:$H,Insumo[[#This Row],[DESCRIPCION]],'CAP16-18'!$H:$H)</f>
        <v>0</v>
      </c>
      <c r="M603" s="69">
        <f ca="1">SUMIF('CAP19-22'!$B:$H,Insumo[[#This Row],[DESCRIPCION]],'CAP19-22'!$H:$H)</f>
        <v>0</v>
      </c>
      <c r="N603" s="69">
        <f ca="1">SUMIF('CAP23-24'!$B:$H,Insumo[[#This Row],[DESCRIPCION]],'CAP23-24'!$H:$H)</f>
        <v>0</v>
      </c>
      <c r="O603" s="69">
        <f ca="1">SUMIF('CAP25'!$B:$H,Insumo[[#This Row],[DESCRIPCION]],'CAP25'!$H:$H)</f>
        <v>0</v>
      </c>
      <c r="P603" s="69">
        <f ca="1">SUMIF('CAP26-28'!$B:$H,Insumo[[#This Row],[DESCRIPCION]],'CAP26-28'!$H:$H)</f>
        <v>0</v>
      </c>
      <c r="Q603" s="69">
        <f ca="1">SUMIF('CAP29'!$B:$H,Insumo[[#This Row],[DESCRIPCION]],'CAP29'!$H:$H)</f>
        <v>0</v>
      </c>
      <c r="T603" s="136">
        <v>12947</v>
      </c>
    </row>
    <row r="604" spans="1:20" ht="12" customHeight="1">
      <c r="A604" s="301" t="s">
        <v>3214</v>
      </c>
      <c r="B604" s="303" t="s">
        <v>20</v>
      </c>
      <c r="C604" s="304">
        <f t="shared" si="9"/>
        <v>23749.95</v>
      </c>
      <c r="D604" s="281" cm="1">
        <f t="array" aca="1" ref="D604" ca="1">IF(Insumo[[#This Row],[VALOR]]=0,Insumo[TOTAL],E604/C604)</f>
        <v>0</v>
      </c>
      <c r="E604" s="69">
        <f ca="1">SUM(Insumo[[#This Row],[CAP1-3]:[CAP29]])</f>
        <v>0</v>
      </c>
      <c r="F604" s="69">
        <f ca="1">SUMIF('CAP1-3'!$B:$H,Insumo[[#This Row],[DESCRIPCION]],'CAP1-3'!$H:$H)</f>
        <v>0</v>
      </c>
      <c r="G604" s="69">
        <f ca="1">SUMIF('CAP4-5'!$B:$H,Insumo[[#This Row],[DESCRIPCION]],'CAP4-5'!$H:$H)</f>
        <v>0</v>
      </c>
      <c r="H604" s="69">
        <f ca="1">SUMIF('CAP6-7'!$B:$H,Insumo[[#This Row],[DESCRIPCION]],'CAP6-7'!$H:$H)</f>
        <v>0</v>
      </c>
      <c r="I604" s="69">
        <f ca="1">SUMIF('CAP8'!$B:$H,Insumo[[#This Row],[DESCRIPCION]],'CAP8'!$H:$H)</f>
        <v>0</v>
      </c>
      <c r="J604" s="69">
        <f ca="1">SUMIF('CAP9-13'!$B:$H,Insumo[[#This Row],[DESCRIPCION]],'CAP9-13'!$H:$H)</f>
        <v>0</v>
      </c>
      <c r="K604" s="69">
        <f ca="1">SUMIF('CAP14-15'!$B:$H,Insumo[[#This Row],[DESCRIPCION]],'CAP14-15'!$H:$H)</f>
        <v>0</v>
      </c>
      <c r="L604" s="69">
        <f ca="1">SUMIF('CAP16-18'!$B:$H,Insumo[[#This Row],[DESCRIPCION]],'CAP16-18'!$H:$H)</f>
        <v>0</v>
      </c>
      <c r="M604" s="69">
        <f ca="1">SUMIF('CAP19-22'!$B:$H,Insumo[[#This Row],[DESCRIPCION]],'CAP19-22'!$H:$H)</f>
        <v>0</v>
      </c>
      <c r="N604" s="69">
        <f ca="1">SUMIF('CAP23-24'!$B:$H,Insumo[[#This Row],[DESCRIPCION]],'CAP23-24'!$H:$H)</f>
        <v>0</v>
      </c>
      <c r="O604" s="69">
        <f ca="1">SUMIF('CAP25'!$B:$H,Insumo[[#This Row],[DESCRIPCION]],'CAP25'!$H:$H)</f>
        <v>0</v>
      </c>
      <c r="P604" s="69">
        <f ca="1">SUMIF('CAP26-28'!$B:$H,Insumo[[#This Row],[DESCRIPCION]],'CAP26-28'!$H:$H)</f>
        <v>0</v>
      </c>
      <c r="Q604" s="69">
        <f ca="1">SUMIF('CAP29'!$B:$H,Insumo[[#This Row],[DESCRIPCION]],'CAP29'!$H:$H)</f>
        <v>0</v>
      </c>
      <c r="T604" s="136">
        <v>22619</v>
      </c>
    </row>
    <row r="605" spans="1:20" ht="12" customHeight="1">
      <c r="A605" s="301" t="s">
        <v>3215</v>
      </c>
      <c r="B605" s="303" t="s">
        <v>20</v>
      </c>
      <c r="C605" s="304">
        <f t="shared" si="9"/>
        <v>64995</v>
      </c>
      <c r="D605" s="281" cm="1">
        <f t="array" aca="1" ref="D605" ca="1">IF(Insumo[[#This Row],[VALOR]]=0,Insumo[TOTAL],E605/C605)</f>
        <v>0</v>
      </c>
      <c r="E605" s="69">
        <f ca="1">SUM(Insumo[[#This Row],[CAP1-3]:[CAP29]])</f>
        <v>0</v>
      </c>
      <c r="F605" s="69">
        <f ca="1">SUMIF('CAP1-3'!$B:$H,Insumo[[#This Row],[DESCRIPCION]],'CAP1-3'!$H:$H)</f>
        <v>0</v>
      </c>
      <c r="G605" s="69">
        <f ca="1">SUMIF('CAP4-5'!$B:$H,Insumo[[#This Row],[DESCRIPCION]],'CAP4-5'!$H:$H)</f>
        <v>0</v>
      </c>
      <c r="H605" s="69">
        <f ca="1">SUMIF('CAP6-7'!$B:$H,Insumo[[#This Row],[DESCRIPCION]],'CAP6-7'!$H:$H)</f>
        <v>0</v>
      </c>
      <c r="I605" s="69">
        <f ca="1">SUMIF('CAP8'!$B:$H,Insumo[[#This Row],[DESCRIPCION]],'CAP8'!$H:$H)</f>
        <v>0</v>
      </c>
      <c r="J605" s="69">
        <f ca="1">SUMIF('CAP9-13'!$B:$H,Insumo[[#This Row],[DESCRIPCION]],'CAP9-13'!$H:$H)</f>
        <v>0</v>
      </c>
      <c r="K605" s="69">
        <f ca="1">SUMIF('CAP14-15'!$B:$H,Insumo[[#This Row],[DESCRIPCION]],'CAP14-15'!$H:$H)</f>
        <v>0</v>
      </c>
      <c r="L605" s="69">
        <f ca="1">SUMIF('CAP16-18'!$B:$H,Insumo[[#This Row],[DESCRIPCION]],'CAP16-18'!$H:$H)</f>
        <v>0</v>
      </c>
      <c r="M605" s="69">
        <f ca="1">SUMIF('CAP19-22'!$B:$H,Insumo[[#This Row],[DESCRIPCION]],'CAP19-22'!$H:$H)</f>
        <v>0</v>
      </c>
      <c r="N605" s="69">
        <f ca="1">SUMIF('CAP23-24'!$B:$H,Insumo[[#This Row],[DESCRIPCION]],'CAP23-24'!$H:$H)</f>
        <v>0</v>
      </c>
      <c r="O605" s="69">
        <f ca="1">SUMIF('CAP25'!$B:$H,Insumo[[#This Row],[DESCRIPCION]],'CAP25'!$H:$H)</f>
        <v>0</v>
      </c>
      <c r="P605" s="69">
        <f ca="1">SUMIF('CAP26-28'!$B:$H,Insumo[[#This Row],[DESCRIPCION]],'CAP26-28'!$H:$H)</f>
        <v>0</v>
      </c>
      <c r="Q605" s="69">
        <f ca="1">SUMIF('CAP29'!$B:$H,Insumo[[#This Row],[DESCRIPCION]],'CAP29'!$H:$H)</f>
        <v>0</v>
      </c>
      <c r="T605" s="136">
        <v>61900</v>
      </c>
    </row>
    <row r="606" spans="1:20" ht="12" customHeight="1">
      <c r="A606" s="301" t="s">
        <v>3216</v>
      </c>
      <c r="B606" s="303" t="s">
        <v>23</v>
      </c>
      <c r="C606" s="304">
        <f t="shared" si="9"/>
        <v>71249.850000000006</v>
      </c>
      <c r="D606" s="281" cm="1">
        <f t="array" aca="1" ref="D606" ca="1">IF(Insumo[[#This Row],[VALOR]]=0,Insumo[TOTAL],E606/C606)</f>
        <v>0</v>
      </c>
      <c r="E606" s="69">
        <f ca="1">SUM(Insumo[[#This Row],[CAP1-3]:[CAP29]])</f>
        <v>0</v>
      </c>
      <c r="F606" s="69">
        <f ca="1">SUMIF('CAP1-3'!$B:$H,Insumo[[#This Row],[DESCRIPCION]],'CAP1-3'!$H:$H)</f>
        <v>0</v>
      </c>
      <c r="G606" s="69">
        <f ca="1">SUMIF('CAP4-5'!$B:$H,Insumo[[#This Row],[DESCRIPCION]],'CAP4-5'!$H:$H)</f>
        <v>0</v>
      </c>
      <c r="H606" s="69">
        <f ca="1">SUMIF('CAP6-7'!$B:$H,Insumo[[#This Row],[DESCRIPCION]],'CAP6-7'!$H:$H)</f>
        <v>0</v>
      </c>
      <c r="I606" s="69">
        <f ca="1">SUMIF('CAP8'!$B:$H,Insumo[[#This Row],[DESCRIPCION]],'CAP8'!$H:$H)</f>
        <v>0</v>
      </c>
      <c r="J606" s="69">
        <f ca="1">SUMIF('CAP9-13'!$B:$H,Insumo[[#This Row],[DESCRIPCION]],'CAP9-13'!$H:$H)</f>
        <v>0</v>
      </c>
      <c r="K606" s="69">
        <f ca="1">SUMIF('CAP14-15'!$B:$H,Insumo[[#This Row],[DESCRIPCION]],'CAP14-15'!$H:$H)</f>
        <v>0</v>
      </c>
      <c r="L606" s="69">
        <f ca="1">SUMIF('CAP16-18'!$B:$H,Insumo[[#This Row],[DESCRIPCION]],'CAP16-18'!$H:$H)</f>
        <v>0</v>
      </c>
      <c r="M606" s="69">
        <f ca="1">SUMIF('CAP19-22'!$B:$H,Insumo[[#This Row],[DESCRIPCION]],'CAP19-22'!$H:$H)</f>
        <v>0</v>
      </c>
      <c r="N606" s="69">
        <f ca="1">SUMIF('CAP23-24'!$B:$H,Insumo[[#This Row],[DESCRIPCION]],'CAP23-24'!$H:$H)</f>
        <v>0</v>
      </c>
      <c r="O606" s="69">
        <f ca="1">SUMIF('CAP25'!$B:$H,Insumo[[#This Row],[DESCRIPCION]],'CAP25'!$H:$H)</f>
        <v>0</v>
      </c>
      <c r="P606" s="69">
        <f ca="1">SUMIF('CAP26-28'!$B:$H,Insumo[[#This Row],[DESCRIPCION]],'CAP26-28'!$H:$H)</f>
        <v>0</v>
      </c>
      <c r="Q606" s="69">
        <f ca="1">SUMIF('CAP29'!$B:$H,Insumo[[#This Row],[DESCRIPCION]],'CAP29'!$H:$H)</f>
        <v>0</v>
      </c>
      <c r="T606" s="136">
        <v>67857</v>
      </c>
    </row>
    <row r="607" spans="1:20" ht="12" customHeight="1">
      <c r="A607" s="301" t="s">
        <v>3217</v>
      </c>
      <c r="B607" s="303" t="s">
        <v>23</v>
      </c>
      <c r="C607" s="304">
        <f t="shared" si="9"/>
        <v>3182.55</v>
      </c>
      <c r="D607" s="281" cm="1">
        <f t="array" aca="1" ref="D607" ca="1">IF(Insumo[[#This Row],[VALOR]]=0,Insumo[TOTAL],E607/C607)</f>
        <v>0</v>
      </c>
      <c r="E607" s="69">
        <f ca="1">SUM(Insumo[[#This Row],[CAP1-3]:[CAP29]])</f>
        <v>0</v>
      </c>
      <c r="F607" s="69">
        <f ca="1">SUMIF('CAP1-3'!$B:$H,Insumo[[#This Row],[DESCRIPCION]],'CAP1-3'!$H:$H)</f>
        <v>0</v>
      </c>
      <c r="G607" s="69">
        <f ca="1">SUMIF('CAP4-5'!$B:$H,Insumo[[#This Row],[DESCRIPCION]],'CAP4-5'!$H:$H)</f>
        <v>0</v>
      </c>
      <c r="H607" s="69">
        <f ca="1">SUMIF('CAP6-7'!$B:$H,Insumo[[#This Row],[DESCRIPCION]],'CAP6-7'!$H:$H)</f>
        <v>0</v>
      </c>
      <c r="I607" s="69">
        <f ca="1">SUMIF('CAP8'!$B:$H,Insumo[[#This Row],[DESCRIPCION]],'CAP8'!$H:$H)</f>
        <v>0</v>
      </c>
      <c r="J607" s="69">
        <f ca="1">SUMIF('CAP9-13'!$B:$H,Insumo[[#This Row],[DESCRIPCION]],'CAP9-13'!$H:$H)</f>
        <v>0</v>
      </c>
      <c r="K607" s="69">
        <f ca="1">SUMIF('CAP14-15'!$B:$H,Insumo[[#This Row],[DESCRIPCION]],'CAP14-15'!$H:$H)</f>
        <v>0</v>
      </c>
      <c r="L607" s="69">
        <f ca="1">SUMIF('CAP16-18'!$B:$H,Insumo[[#This Row],[DESCRIPCION]],'CAP16-18'!$H:$H)</f>
        <v>0</v>
      </c>
      <c r="M607" s="69">
        <f ca="1">SUMIF('CAP19-22'!$B:$H,Insumo[[#This Row],[DESCRIPCION]],'CAP19-22'!$H:$H)</f>
        <v>0</v>
      </c>
      <c r="N607" s="69">
        <f ca="1">SUMIF('CAP23-24'!$B:$H,Insumo[[#This Row],[DESCRIPCION]],'CAP23-24'!$H:$H)</f>
        <v>0</v>
      </c>
      <c r="O607" s="69">
        <f ca="1">SUMIF('CAP25'!$B:$H,Insumo[[#This Row],[DESCRIPCION]],'CAP25'!$H:$H)</f>
        <v>0</v>
      </c>
      <c r="P607" s="69">
        <f ca="1">SUMIF('CAP26-28'!$B:$H,Insumo[[#This Row],[DESCRIPCION]],'CAP26-28'!$H:$H)</f>
        <v>0</v>
      </c>
      <c r="Q607" s="69">
        <f ca="1">SUMIF('CAP29'!$B:$H,Insumo[[#This Row],[DESCRIPCION]],'CAP29'!$H:$H)</f>
        <v>0</v>
      </c>
      <c r="T607" s="136">
        <v>3031</v>
      </c>
    </row>
    <row r="608" spans="1:20" ht="12" customHeight="1">
      <c r="A608" s="301" t="s">
        <v>3218</v>
      </c>
      <c r="B608" s="303" t="s">
        <v>23</v>
      </c>
      <c r="C608" s="304">
        <f t="shared" si="9"/>
        <v>70350000</v>
      </c>
      <c r="D608" s="281" cm="1">
        <f t="array" aca="1" ref="D608" ca="1">IF(Insumo[[#This Row],[VALOR]]=0,Insumo[TOTAL],E608/C608)</f>
        <v>0</v>
      </c>
      <c r="E608" s="69">
        <f ca="1">SUM(Insumo[[#This Row],[CAP1-3]:[CAP29]])</f>
        <v>0</v>
      </c>
      <c r="F608" s="69">
        <f ca="1">SUMIF('CAP1-3'!$B:$H,Insumo[[#This Row],[DESCRIPCION]],'CAP1-3'!$H:$H)</f>
        <v>0</v>
      </c>
      <c r="G608" s="69">
        <f ca="1">SUMIF('CAP4-5'!$B:$H,Insumo[[#This Row],[DESCRIPCION]],'CAP4-5'!$H:$H)</f>
        <v>0</v>
      </c>
      <c r="H608" s="69">
        <f ca="1">SUMIF('CAP6-7'!$B:$H,Insumo[[#This Row],[DESCRIPCION]],'CAP6-7'!$H:$H)</f>
        <v>0</v>
      </c>
      <c r="I608" s="69">
        <f ca="1">SUMIF('CAP8'!$B:$H,Insumo[[#This Row],[DESCRIPCION]],'CAP8'!$H:$H)</f>
        <v>0</v>
      </c>
      <c r="J608" s="69">
        <f ca="1">SUMIF('CAP9-13'!$B:$H,Insumo[[#This Row],[DESCRIPCION]],'CAP9-13'!$H:$H)</f>
        <v>0</v>
      </c>
      <c r="K608" s="69">
        <f ca="1">SUMIF('CAP14-15'!$B:$H,Insumo[[#This Row],[DESCRIPCION]],'CAP14-15'!$H:$H)</f>
        <v>0</v>
      </c>
      <c r="L608" s="69">
        <f ca="1">SUMIF('CAP16-18'!$B:$H,Insumo[[#This Row],[DESCRIPCION]],'CAP16-18'!$H:$H)</f>
        <v>0</v>
      </c>
      <c r="M608" s="69">
        <f ca="1">SUMIF('CAP19-22'!$B:$H,Insumo[[#This Row],[DESCRIPCION]],'CAP19-22'!$H:$H)</f>
        <v>0</v>
      </c>
      <c r="N608" s="69">
        <f ca="1">SUMIF('CAP23-24'!$B:$H,Insumo[[#This Row],[DESCRIPCION]],'CAP23-24'!$H:$H)</f>
        <v>0</v>
      </c>
      <c r="O608" s="69">
        <f ca="1">SUMIF('CAP25'!$B:$H,Insumo[[#This Row],[DESCRIPCION]],'CAP25'!$H:$H)</f>
        <v>0</v>
      </c>
      <c r="P608" s="69">
        <f ca="1">SUMIF('CAP26-28'!$B:$H,Insumo[[#This Row],[DESCRIPCION]],'CAP26-28'!$H:$H)</f>
        <v>0</v>
      </c>
      <c r="Q608" s="69">
        <f ca="1">SUMIF('CAP29'!$B:$H,Insumo[[#This Row],[DESCRIPCION]],'CAP29'!$H:$H)</f>
        <v>0</v>
      </c>
      <c r="R608" s="290"/>
      <c r="T608" s="136">
        <v>67000000</v>
      </c>
    </row>
    <row r="609" spans="1:20" ht="12" customHeight="1">
      <c r="A609" s="301" t="s">
        <v>3219</v>
      </c>
      <c r="B609" s="303" t="s">
        <v>23</v>
      </c>
      <c r="C609" s="304">
        <f t="shared" si="9"/>
        <v>1440.6000000000001</v>
      </c>
      <c r="D609" s="281" cm="1">
        <f t="array" aca="1" ref="D609" ca="1">IF(Insumo[[#This Row],[VALOR]]=0,Insumo[TOTAL],E609/C609)</f>
        <v>0</v>
      </c>
      <c r="E609" s="69">
        <f ca="1">SUM(Insumo[[#This Row],[CAP1-3]:[CAP29]])</f>
        <v>0</v>
      </c>
      <c r="F609" s="69">
        <f ca="1">SUMIF('CAP1-3'!$B:$H,Insumo[[#This Row],[DESCRIPCION]],'CAP1-3'!$H:$H)</f>
        <v>0</v>
      </c>
      <c r="G609" s="69">
        <f ca="1">SUMIF('CAP4-5'!$B:$H,Insumo[[#This Row],[DESCRIPCION]],'CAP4-5'!$H:$H)</f>
        <v>0</v>
      </c>
      <c r="H609" s="69">
        <f ca="1">SUMIF('CAP6-7'!$B:$H,Insumo[[#This Row],[DESCRIPCION]],'CAP6-7'!$H:$H)</f>
        <v>0</v>
      </c>
      <c r="I609" s="69">
        <f ca="1">SUMIF('CAP8'!$B:$H,Insumo[[#This Row],[DESCRIPCION]],'CAP8'!$H:$H)</f>
        <v>0</v>
      </c>
      <c r="J609" s="69">
        <f ca="1">SUMIF('CAP9-13'!$B:$H,Insumo[[#This Row],[DESCRIPCION]],'CAP9-13'!$H:$H)</f>
        <v>0</v>
      </c>
      <c r="K609" s="69">
        <f ca="1">SUMIF('CAP14-15'!$B:$H,Insumo[[#This Row],[DESCRIPCION]],'CAP14-15'!$H:$H)</f>
        <v>0</v>
      </c>
      <c r="L609" s="69">
        <f ca="1">SUMIF('CAP16-18'!$B:$H,Insumo[[#This Row],[DESCRIPCION]],'CAP16-18'!$H:$H)</f>
        <v>0</v>
      </c>
      <c r="M609" s="69">
        <f ca="1">SUMIF('CAP19-22'!$B:$H,Insumo[[#This Row],[DESCRIPCION]],'CAP19-22'!$H:$H)</f>
        <v>0</v>
      </c>
      <c r="N609" s="69">
        <f ca="1">SUMIF('CAP23-24'!$B:$H,Insumo[[#This Row],[DESCRIPCION]],'CAP23-24'!$H:$H)</f>
        <v>0</v>
      </c>
      <c r="O609" s="69">
        <f ca="1">SUMIF('CAP25'!$B:$H,Insumo[[#This Row],[DESCRIPCION]],'CAP25'!$H:$H)</f>
        <v>0</v>
      </c>
      <c r="P609" s="69">
        <f ca="1">SUMIF('CAP26-28'!$B:$H,Insumo[[#This Row],[DESCRIPCION]],'CAP26-28'!$H:$H)</f>
        <v>0</v>
      </c>
      <c r="Q609" s="69">
        <f ca="1">SUMIF('CAP29'!$B:$H,Insumo[[#This Row],[DESCRIPCION]],'CAP29'!$H:$H)</f>
        <v>0</v>
      </c>
      <c r="T609" s="136">
        <v>1372</v>
      </c>
    </row>
    <row r="610" spans="1:20" ht="12" customHeight="1">
      <c r="A610" s="301" t="s">
        <v>3220</v>
      </c>
      <c r="B610" s="303" t="s">
        <v>23</v>
      </c>
      <c r="C610" s="304">
        <f t="shared" si="9"/>
        <v>8524.9500000000007</v>
      </c>
      <c r="D610" s="281" cm="1">
        <f t="array" aca="1" ref="D610" ca="1">IF(Insumo[[#This Row],[VALOR]]=0,Insumo[TOTAL],E610/C610)</f>
        <v>0</v>
      </c>
      <c r="E610" s="69">
        <f ca="1">SUM(Insumo[[#This Row],[CAP1-3]:[CAP29]])</f>
        <v>0</v>
      </c>
      <c r="F610" s="69">
        <f ca="1">SUMIF('CAP1-3'!$B:$H,Insumo[[#This Row],[DESCRIPCION]],'CAP1-3'!$H:$H)</f>
        <v>0</v>
      </c>
      <c r="G610" s="69">
        <f ca="1">SUMIF('CAP4-5'!$B:$H,Insumo[[#This Row],[DESCRIPCION]],'CAP4-5'!$H:$H)</f>
        <v>0</v>
      </c>
      <c r="H610" s="69">
        <f ca="1">SUMIF('CAP6-7'!$B:$H,Insumo[[#This Row],[DESCRIPCION]],'CAP6-7'!$H:$H)</f>
        <v>0</v>
      </c>
      <c r="I610" s="69">
        <f ca="1">SUMIF('CAP8'!$B:$H,Insumo[[#This Row],[DESCRIPCION]],'CAP8'!$H:$H)</f>
        <v>0</v>
      </c>
      <c r="J610" s="69">
        <f ca="1">SUMIF('CAP9-13'!$B:$H,Insumo[[#This Row],[DESCRIPCION]],'CAP9-13'!$H:$H)</f>
        <v>0</v>
      </c>
      <c r="K610" s="69">
        <f ca="1">SUMIF('CAP14-15'!$B:$H,Insumo[[#This Row],[DESCRIPCION]],'CAP14-15'!$H:$H)</f>
        <v>0</v>
      </c>
      <c r="L610" s="69">
        <f ca="1">SUMIF('CAP16-18'!$B:$H,Insumo[[#This Row],[DESCRIPCION]],'CAP16-18'!$H:$H)</f>
        <v>0</v>
      </c>
      <c r="M610" s="69">
        <f ca="1">SUMIF('CAP19-22'!$B:$H,Insumo[[#This Row],[DESCRIPCION]],'CAP19-22'!$H:$H)</f>
        <v>0</v>
      </c>
      <c r="N610" s="69">
        <f ca="1">SUMIF('CAP23-24'!$B:$H,Insumo[[#This Row],[DESCRIPCION]],'CAP23-24'!$H:$H)</f>
        <v>0</v>
      </c>
      <c r="O610" s="69">
        <f ca="1">SUMIF('CAP25'!$B:$H,Insumo[[#This Row],[DESCRIPCION]],'CAP25'!$H:$H)</f>
        <v>0</v>
      </c>
      <c r="P610" s="69">
        <f ca="1">SUMIF('CAP26-28'!$B:$H,Insumo[[#This Row],[DESCRIPCION]],'CAP26-28'!$H:$H)</f>
        <v>0</v>
      </c>
      <c r="Q610" s="69">
        <f ca="1">SUMIF('CAP29'!$B:$H,Insumo[[#This Row],[DESCRIPCION]],'CAP29'!$H:$H)</f>
        <v>0</v>
      </c>
      <c r="T610" s="136">
        <v>8119</v>
      </c>
    </row>
    <row r="611" spans="1:20" ht="12" customHeight="1">
      <c r="A611" s="301" t="s">
        <v>3221</v>
      </c>
      <c r="B611" s="303" t="s">
        <v>20</v>
      </c>
      <c r="C611" s="304">
        <f t="shared" si="9"/>
        <v>1313.55</v>
      </c>
      <c r="D611" s="281" cm="1">
        <f t="array" aca="1" ref="D611" ca="1">IF(Insumo[[#This Row],[VALOR]]=0,Insumo[TOTAL],E611/C611)</f>
        <v>0</v>
      </c>
      <c r="E611" s="69">
        <f ca="1">SUM(Insumo[[#This Row],[CAP1-3]:[CAP29]])</f>
        <v>0</v>
      </c>
      <c r="F611" s="69">
        <f ca="1">SUMIF('CAP1-3'!$B:$H,Insumo[[#This Row],[DESCRIPCION]],'CAP1-3'!$H:$H)</f>
        <v>0</v>
      </c>
      <c r="G611" s="69">
        <f ca="1">SUMIF('CAP4-5'!$B:$H,Insumo[[#This Row],[DESCRIPCION]],'CAP4-5'!$H:$H)</f>
        <v>0</v>
      </c>
      <c r="H611" s="69">
        <f ca="1">SUMIF('CAP6-7'!$B:$H,Insumo[[#This Row],[DESCRIPCION]],'CAP6-7'!$H:$H)</f>
        <v>0</v>
      </c>
      <c r="I611" s="69">
        <f ca="1">SUMIF('CAP8'!$B:$H,Insumo[[#This Row],[DESCRIPCION]],'CAP8'!$H:$H)</f>
        <v>0</v>
      </c>
      <c r="J611" s="69">
        <f ca="1">SUMIF('CAP9-13'!$B:$H,Insumo[[#This Row],[DESCRIPCION]],'CAP9-13'!$H:$H)</f>
        <v>0</v>
      </c>
      <c r="K611" s="69">
        <f ca="1">SUMIF('CAP14-15'!$B:$H,Insumo[[#This Row],[DESCRIPCION]],'CAP14-15'!$H:$H)</f>
        <v>0</v>
      </c>
      <c r="L611" s="69">
        <f ca="1">SUMIF('CAP16-18'!$B:$H,Insumo[[#This Row],[DESCRIPCION]],'CAP16-18'!$H:$H)</f>
        <v>0</v>
      </c>
      <c r="M611" s="69">
        <f ca="1">SUMIF('CAP19-22'!$B:$H,Insumo[[#This Row],[DESCRIPCION]],'CAP19-22'!$H:$H)</f>
        <v>0</v>
      </c>
      <c r="N611" s="69">
        <f ca="1">SUMIF('CAP23-24'!$B:$H,Insumo[[#This Row],[DESCRIPCION]],'CAP23-24'!$H:$H)</f>
        <v>0</v>
      </c>
      <c r="O611" s="69">
        <f ca="1">SUMIF('CAP25'!$B:$H,Insumo[[#This Row],[DESCRIPCION]],'CAP25'!$H:$H)</f>
        <v>0</v>
      </c>
      <c r="P611" s="69">
        <f ca="1">SUMIF('CAP26-28'!$B:$H,Insumo[[#This Row],[DESCRIPCION]],'CAP26-28'!$H:$H)</f>
        <v>0</v>
      </c>
      <c r="Q611" s="69">
        <f ca="1">SUMIF('CAP29'!$B:$H,Insumo[[#This Row],[DESCRIPCION]],'CAP29'!$H:$H)</f>
        <v>0</v>
      </c>
      <c r="R611" s="136" t="s">
        <v>2774</v>
      </c>
      <c r="T611" s="136">
        <v>1251</v>
      </c>
    </row>
    <row r="612" spans="1:20" ht="12" customHeight="1">
      <c r="A612" s="301" t="s">
        <v>3222</v>
      </c>
      <c r="B612" s="303" t="s">
        <v>20</v>
      </c>
      <c r="C612" s="304">
        <f t="shared" si="9"/>
        <v>1723.0500000000002</v>
      </c>
      <c r="D612" s="281" cm="1">
        <f t="array" aca="1" ref="D612" ca="1">IF(Insumo[[#This Row],[VALOR]]=0,Insumo[TOTAL],E612/C612)</f>
        <v>0</v>
      </c>
      <c r="E612" s="69">
        <f ca="1">SUM(Insumo[[#This Row],[CAP1-3]:[CAP29]])</f>
        <v>0</v>
      </c>
      <c r="F612" s="69">
        <f ca="1">SUMIF('CAP1-3'!$B:$H,Insumo[[#This Row],[DESCRIPCION]],'CAP1-3'!$H:$H)</f>
        <v>0</v>
      </c>
      <c r="G612" s="69">
        <f ca="1">SUMIF('CAP4-5'!$B:$H,Insumo[[#This Row],[DESCRIPCION]],'CAP4-5'!$H:$H)</f>
        <v>0</v>
      </c>
      <c r="H612" s="69">
        <f ca="1">SUMIF('CAP6-7'!$B:$H,Insumo[[#This Row],[DESCRIPCION]],'CAP6-7'!$H:$H)</f>
        <v>0</v>
      </c>
      <c r="I612" s="69">
        <f ca="1">SUMIF('CAP8'!$B:$H,Insumo[[#This Row],[DESCRIPCION]],'CAP8'!$H:$H)</f>
        <v>0</v>
      </c>
      <c r="J612" s="69">
        <f ca="1">SUMIF('CAP9-13'!$B:$H,Insumo[[#This Row],[DESCRIPCION]],'CAP9-13'!$H:$H)</f>
        <v>0</v>
      </c>
      <c r="K612" s="69">
        <f ca="1">SUMIF('CAP14-15'!$B:$H,Insumo[[#This Row],[DESCRIPCION]],'CAP14-15'!$H:$H)</f>
        <v>0</v>
      </c>
      <c r="L612" s="69">
        <f ca="1">SUMIF('CAP16-18'!$B:$H,Insumo[[#This Row],[DESCRIPCION]],'CAP16-18'!$H:$H)</f>
        <v>0</v>
      </c>
      <c r="M612" s="69">
        <f ca="1">SUMIF('CAP19-22'!$B:$H,Insumo[[#This Row],[DESCRIPCION]],'CAP19-22'!$H:$H)</f>
        <v>0</v>
      </c>
      <c r="N612" s="69">
        <f ca="1">SUMIF('CAP23-24'!$B:$H,Insumo[[#This Row],[DESCRIPCION]],'CAP23-24'!$H:$H)</f>
        <v>0</v>
      </c>
      <c r="O612" s="69">
        <f ca="1">SUMIF('CAP25'!$B:$H,Insumo[[#This Row],[DESCRIPCION]],'CAP25'!$H:$H)</f>
        <v>0</v>
      </c>
      <c r="P612" s="69">
        <f ca="1">SUMIF('CAP26-28'!$B:$H,Insumo[[#This Row],[DESCRIPCION]],'CAP26-28'!$H:$H)</f>
        <v>0</v>
      </c>
      <c r="Q612" s="69">
        <f ca="1">SUMIF('CAP29'!$B:$H,Insumo[[#This Row],[DESCRIPCION]],'CAP29'!$H:$H)</f>
        <v>0</v>
      </c>
      <c r="T612" s="136">
        <v>1641</v>
      </c>
    </row>
    <row r="613" spans="1:20" ht="12" customHeight="1">
      <c r="A613" s="301" t="s">
        <v>3223</v>
      </c>
      <c r="B613" s="303" t="s">
        <v>338</v>
      </c>
      <c r="C613" s="304">
        <f t="shared" si="9"/>
        <v>29108.100000000002</v>
      </c>
      <c r="D613" s="281" cm="1">
        <f t="array" aca="1" ref="D613" ca="1">IF(Insumo[[#This Row],[VALOR]]=0,Insumo[TOTAL],E613/C613)</f>
        <v>0</v>
      </c>
      <c r="E613" s="69">
        <f ca="1">SUM(Insumo[[#This Row],[CAP1-3]:[CAP29]])</f>
        <v>0</v>
      </c>
      <c r="F613" s="69">
        <f ca="1">SUMIF('CAP1-3'!$B:$H,Insumo[[#This Row],[DESCRIPCION]],'CAP1-3'!$H:$H)</f>
        <v>0</v>
      </c>
      <c r="G613" s="69">
        <f ca="1">SUMIF('CAP4-5'!$B:$H,Insumo[[#This Row],[DESCRIPCION]],'CAP4-5'!$H:$H)</f>
        <v>0</v>
      </c>
      <c r="H613" s="69">
        <f ca="1">SUMIF('CAP6-7'!$B:$H,Insumo[[#This Row],[DESCRIPCION]],'CAP6-7'!$H:$H)</f>
        <v>0</v>
      </c>
      <c r="I613" s="69">
        <f ca="1">SUMIF('CAP8'!$B:$H,Insumo[[#This Row],[DESCRIPCION]],'CAP8'!$H:$H)</f>
        <v>0</v>
      </c>
      <c r="J613" s="69">
        <f ca="1">SUMIF('CAP9-13'!$B:$H,Insumo[[#This Row],[DESCRIPCION]],'CAP9-13'!$H:$H)</f>
        <v>0</v>
      </c>
      <c r="K613" s="69">
        <f ca="1">SUMIF('CAP14-15'!$B:$H,Insumo[[#This Row],[DESCRIPCION]],'CAP14-15'!$H:$H)</f>
        <v>0</v>
      </c>
      <c r="L613" s="69">
        <f ca="1">SUMIF('CAP16-18'!$B:$H,Insumo[[#This Row],[DESCRIPCION]],'CAP16-18'!$H:$H)</f>
        <v>0</v>
      </c>
      <c r="M613" s="69">
        <f ca="1">SUMIF('CAP19-22'!$B:$H,Insumo[[#This Row],[DESCRIPCION]],'CAP19-22'!$H:$H)</f>
        <v>0</v>
      </c>
      <c r="N613" s="69">
        <f ca="1">SUMIF('CAP23-24'!$B:$H,Insumo[[#This Row],[DESCRIPCION]],'CAP23-24'!$H:$H)</f>
        <v>0</v>
      </c>
      <c r="O613" s="69">
        <f ca="1">SUMIF('CAP25'!$B:$H,Insumo[[#This Row],[DESCRIPCION]],'CAP25'!$H:$H)</f>
        <v>0</v>
      </c>
      <c r="P613" s="69">
        <f ca="1">SUMIF('CAP26-28'!$B:$H,Insumo[[#This Row],[DESCRIPCION]],'CAP26-28'!$H:$H)</f>
        <v>0</v>
      </c>
      <c r="Q613" s="69">
        <f ca="1">SUMIF('CAP29'!$B:$H,Insumo[[#This Row],[DESCRIPCION]],'CAP29'!$H:$H)</f>
        <v>0</v>
      </c>
      <c r="R613" s="136" t="s">
        <v>2774</v>
      </c>
      <c r="T613" s="136">
        <v>27722</v>
      </c>
    </row>
    <row r="614" spans="1:20" ht="12" customHeight="1">
      <c r="A614" s="301" t="s">
        <v>3224</v>
      </c>
      <c r="B614" s="303" t="s">
        <v>30</v>
      </c>
      <c r="C614" s="304">
        <f t="shared" si="9"/>
        <v>8109.1500000000005</v>
      </c>
      <c r="D614" s="281" cm="1">
        <f t="array" aca="1" ref="D614" ca="1">IF(Insumo[[#This Row],[VALOR]]=0,Insumo[TOTAL],E614/C614)</f>
        <v>0</v>
      </c>
      <c r="E614" s="69">
        <f ca="1">SUM(Insumo[[#This Row],[CAP1-3]:[CAP29]])</f>
        <v>0</v>
      </c>
      <c r="F614" s="69">
        <f ca="1">SUMIF('CAP1-3'!$B:$H,Insumo[[#This Row],[DESCRIPCION]],'CAP1-3'!$H:$H)</f>
        <v>0</v>
      </c>
      <c r="G614" s="69">
        <f ca="1">SUMIF('CAP4-5'!$B:$H,Insumo[[#This Row],[DESCRIPCION]],'CAP4-5'!$H:$H)</f>
        <v>0</v>
      </c>
      <c r="H614" s="69">
        <f ca="1">SUMIF('CAP6-7'!$B:$H,Insumo[[#This Row],[DESCRIPCION]],'CAP6-7'!$H:$H)</f>
        <v>0</v>
      </c>
      <c r="I614" s="69">
        <f ca="1">SUMIF('CAP8'!$B:$H,Insumo[[#This Row],[DESCRIPCION]],'CAP8'!$H:$H)</f>
        <v>0</v>
      </c>
      <c r="J614" s="69">
        <f ca="1">SUMIF('CAP9-13'!$B:$H,Insumo[[#This Row],[DESCRIPCION]],'CAP9-13'!$H:$H)</f>
        <v>0</v>
      </c>
      <c r="K614" s="69">
        <f ca="1">SUMIF('CAP14-15'!$B:$H,Insumo[[#This Row],[DESCRIPCION]],'CAP14-15'!$H:$H)</f>
        <v>0</v>
      </c>
      <c r="L614" s="69">
        <f ca="1">SUMIF('CAP16-18'!$B:$H,Insumo[[#This Row],[DESCRIPCION]],'CAP16-18'!$H:$H)</f>
        <v>0</v>
      </c>
      <c r="M614" s="69">
        <f ca="1">SUMIF('CAP19-22'!$B:$H,Insumo[[#This Row],[DESCRIPCION]],'CAP19-22'!$H:$H)</f>
        <v>0</v>
      </c>
      <c r="N614" s="69">
        <f ca="1">SUMIF('CAP23-24'!$B:$H,Insumo[[#This Row],[DESCRIPCION]],'CAP23-24'!$H:$H)</f>
        <v>0</v>
      </c>
      <c r="O614" s="69">
        <f ca="1">SUMIF('CAP25'!$B:$H,Insumo[[#This Row],[DESCRIPCION]],'CAP25'!$H:$H)</f>
        <v>0</v>
      </c>
      <c r="P614" s="69">
        <f ca="1">SUMIF('CAP26-28'!$B:$H,Insumo[[#This Row],[DESCRIPCION]],'CAP26-28'!$H:$H)</f>
        <v>0</v>
      </c>
      <c r="Q614" s="69">
        <f ca="1">SUMIF('CAP29'!$B:$H,Insumo[[#This Row],[DESCRIPCION]],'CAP29'!$H:$H)</f>
        <v>0</v>
      </c>
      <c r="R614" s="136">
        <v>45717</v>
      </c>
      <c r="T614" s="136">
        <v>7723</v>
      </c>
    </row>
    <row r="615" spans="1:20" ht="12" customHeight="1">
      <c r="A615" s="301" t="s">
        <v>3225</v>
      </c>
      <c r="B615" s="303" t="s">
        <v>30</v>
      </c>
      <c r="C615" s="304">
        <f t="shared" si="9"/>
        <v>12280.800000000001</v>
      </c>
      <c r="D615" s="281" cm="1">
        <f t="array" aca="1" ref="D615" ca="1">IF(Insumo[[#This Row],[VALOR]]=0,Insumo[TOTAL],E615/C615)</f>
        <v>0</v>
      </c>
      <c r="E615" s="69">
        <f ca="1">SUM(Insumo[[#This Row],[CAP1-3]:[CAP29]])</f>
        <v>0</v>
      </c>
      <c r="F615" s="69">
        <f ca="1">SUMIF('CAP1-3'!$B:$H,Insumo[[#This Row],[DESCRIPCION]],'CAP1-3'!$H:$H)</f>
        <v>0</v>
      </c>
      <c r="G615" s="69">
        <f ca="1">SUMIF('CAP4-5'!$B:$H,Insumo[[#This Row],[DESCRIPCION]],'CAP4-5'!$H:$H)</f>
        <v>0</v>
      </c>
      <c r="H615" s="69">
        <f ca="1">SUMIF('CAP6-7'!$B:$H,Insumo[[#This Row],[DESCRIPCION]],'CAP6-7'!$H:$H)</f>
        <v>0</v>
      </c>
      <c r="I615" s="69">
        <f ca="1">SUMIF('CAP8'!$B:$H,Insumo[[#This Row],[DESCRIPCION]],'CAP8'!$H:$H)</f>
        <v>0</v>
      </c>
      <c r="J615" s="69">
        <f ca="1">SUMIF('CAP9-13'!$B:$H,Insumo[[#This Row],[DESCRIPCION]],'CAP9-13'!$H:$H)</f>
        <v>0</v>
      </c>
      <c r="K615" s="69">
        <f ca="1">SUMIF('CAP14-15'!$B:$H,Insumo[[#This Row],[DESCRIPCION]],'CAP14-15'!$H:$H)</f>
        <v>0</v>
      </c>
      <c r="L615" s="69">
        <f ca="1">SUMIF('CAP16-18'!$B:$H,Insumo[[#This Row],[DESCRIPCION]],'CAP16-18'!$H:$H)</f>
        <v>0</v>
      </c>
      <c r="M615" s="69">
        <f ca="1">SUMIF('CAP19-22'!$B:$H,Insumo[[#This Row],[DESCRIPCION]],'CAP19-22'!$H:$H)</f>
        <v>0</v>
      </c>
      <c r="N615" s="69">
        <f ca="1">SUMIF('CAP23-24'!$B:$H,Insumo[[#This Row],[DESCRIPCION]],'CAP23-24'!$H:$H)</f>
        <v>0</v>
      </c>
      <c r="O615" s="69">
        <f ca="1">SUMIF('CAP25'!$B:$H,Insumo[[#This Row],[DESCRIPCION]],'CAP25'!$H:$H)</f>
        <v>0</v>
      </c>
      <c r="P615" s="69">
        <f ca="1">SUMIF('CAP26-28'!$B:$H,Insumo[[#This Row],[DESCRIPCION]],'CAP26-28'!$H:$H)</f>
        <v>0</v>
      </c>
      <c r="Q615" s="69">
        <f ca="1">SUMIF('CAP29'!$B:$H,Insumo[[#This Row],[DESCRIPCION]],'CAP29'!$H:$H)</f>
        <v>0</v>
      </c>
      <c r="T615" s="136">
        <v>11696</v>
      </c>
    </row>
    <row r="616" spans="1:20" ht="12" customHeight="1">
      <c r="A616" s="301" t="s">
        <v>3226</v>
      </c>
      <c r="B616" s="303" t="s">
        <v>30</v>
      </c>
      <c r="C616" s="304">
        <f t="shared" si="9"/>
        <v>10183.950000000001</v>
      </c>
      <c r="D616" s="281" cm="1">
        <f t="array" aca="1" ref="D616" ca="1">IF(Insumo[[#This Row],[VALOR]]=0,Insumo[TOTAL],E616/C616)</f>
        <v>0</v>
      </c>
      <c r="E616" s="69">
        <f ca="1">SUM(Insumo[[#This Row],[CAP1-3]:[CAP29]])</f>
        <v>0</v>
      </c>
      <c r="F616" s="69">
        <f ca="1">SUMIF('CAP1-3'!$B:$H,Insumo[[#This Row],[DESCRIPCION]],'CAP1-3'!$H:$H)</f>
        <v>0</v>
      </c>
      <c r="G616" s="69">
        <f ca="1">SUMIF('CAP4-5'!$B:$H,Insumo[[#This Row],[DESCRIPCION]],'CAP4-5'!$H:$H)</f>
        <v>0</v>
      </c>
      <c r="H616" s="69">
        <f ca="1">SUMIF('CAP6-7'!$B:$H,Insumo[[#This Row],[DESCRIPCION]],'CAP6-7'!$H:$H)</f>
        <v>0</v>
      </c>
      <c r="I616" s="69">
        <f ca="1">SUMIF('CAP8'!$B:$H,Insumo[[#This Row],[DESCRIPCION]],'CAP8'!$H:$H)</f>
        <v>0</v>
      </c>
      <c r="J616" s="69">
        <f ca="1">SUMIF('CAP9-13'!$B:$H,Insumo[[#This Row],[DESCRIPCION]],'CAP9-13'!$H:$H)</f>
        <v>0</v>
      </c>
      <c r="K616" s="69">
        <f ca="1">SUMIF('CAP14-15'!$B:$H,Insumo[[#This Row],[DESCRIPCION]],'CAP14-15'!$H:$H)</f>
        <v>0</v>
      </c>
      <c r="L616" s="69">
        <f ca="1">SUMIF('CAP16-18'!$B:$H,Insumo[[#This Row],[DESCRIPCION]],'CAP16-18'!$H:$H)</f>
        <v>0</v>
      </c>
      <c r="M616" s="69">
        <f ca="1">SUMIF('CAP19-22'!$B:$H,Insumo[[#This Row],[DESCRIPCION]],'CAP19-22'!$H:$H)</f>
        <v>0</v>
      </c>
      <c r="N616" s="69">
        <f ca="1">SUMIF('CAP23-24'!$B:$H,Insumo[[#This Row],[DESCRIPCION]],'CAP23-24'!$H:$H)</f>
        <v>0</v>
      </c>
      <c r="O616" s="69">
        <f ca="1">SUMIF('CAP25'!$B:$H,Insumo[[#This Row],[DESCRIPCION]],'CAP25'!$H:$H)</f>
        <v>0</v>
      </c>
      <c r="P616" s="69">
        <f ca="1">SUMIF('CAP26-28'!$B:$H,Insumo[[#This Row],[DESCRIPCION]],'CAP26-28'!$H:$H)</f>
        <v>0</v>
      </c>
      <c r="Q616" s="69">
        <f ca="1">SUMIF('CAP29'!$B:$H,Insumo[[#This Row],[DESCRIPCION]],'CAP29'!$H:$H)</f>
        <v>0</v>
      </c>
      <c r="T616" s="136">
        <v>9699</v>
      </c>
    </row>
    <row r="617" spans="1:20" ht="12" customHeight="1">
      <c r="A617" s="301" t="s">
        <v>3227</v>
      </c>
      <c r="B617" s="303" t="s">
        <v>23</v>
      </c>
      <c r="C617" s="304">
        <f t="shared" si="9"/>
        <v>210000</v>
      </c>
      <c r="D617" s="281" cm="1">
        <f t="array" aca="1" ref="D617" ca="1">IF(Insumo[[#This Row],[VALOR]]=0,Insumo[TOTAL],E617/C617)</f>
        <v>0</v>
      </c>
      <c r="E617" s="69">
        <f ca="1">SUM(Insumo[[#This Row],[CAP1-3]:[CAP29]])</f>
        <v>0</v>
      </c>
      <c r="F617" s="69">
        <f ca="1">SUMIF('CAP1-3'!$B:$H,Insumo[[#This Row],[DESCRIPCION]],'CAP1-3'!$H:$H)</f>
        <v>0</v>
      </c>
      <c r="G617" s="69">
        <f ca="1">SUMIF('CAP4-5'!$B:$H,Insumo[[#This Row],[DESCRIPCION]],'CAP4-5'!$H:$H)</f>
        <v>0</v>
      </c>
      <c r="H617" s="69">
        <f ca="1">SUMIF('CAP6-7'!$B:$H,Insumo[[#This Row],[DESCRIPCION]],'CAP6-7'!$H:$H)</f>
        <v>0</v>
      </c>
      <c r="I617" s="69">
        <f ca="1">SUMIF('CAP8'!$B:$H,Insumo[[#This Row],[DESCRIPCION]],'CAP8'!$H:$H)</f>
        <v>0</v>
      </c>
      <c r="J617" s="69">
        <f ca="1">SUMIF('CAP9-13'!$B:$H,Insumo[[#This Row],[DESCRIPCION]],'CAP9-13'!$H:$H)</f>
        <v>0</v>
      </c>
      <c r="K617" s="69">
        <f ca="1">SUMIF('CAP14-15'!$B:$H,Insumo[[#This Row],[DESCRIPCION]],'CAP14-15'!$H:$H)</f>
        <v>0</v>
      </c>
      <c r="L617" s="69">
        <f ca="1">SUMIF('CAP16-18'!$B:$H,Insumo[[#This Row],[DESCRIPCION]],'CAP16-18'!$H:$H)</f>
        <v>0</v>
      </c>
      <c r="M617" s="69">
        <f ca="1">SUMIF('CAP19-22'!$B:$H,Insumo[[#This Row],[DESCRIPCION]],'CAP19-22'!$H:$H)</f>
        <v>0</v>
      </c>
      <c r="N617" s="69">
        <f ca="1">SUMIF('CAP23-24'!$B:$H,Insumo[[#This Row],[DESCRIPCION]],'CAP23-24'!$H:$H)</f>
        <v>0</v>
      </c>
      <c r="O617" s="69">
        <f ca="1">SUMIF('CAP25'!$B:$H,Insumo[[#This Row],[DESCRIPCION]],'CAP25'!$H:$H)</f>
        <v>0</v>
      </c>
      <c r="P617" s="69">
        <f ca="1">SUMIF('CAP26-28'!$B:$H,Insumo[[#This Row],[DESCRIPCION]],'CAP26-28'!$H:$H)</f>
        <v>0</v>
      </c>
      <c r="Q617" s="69">
        <f ca="1">SUMIF('CAP29'!$B:$H,Insumo[[#This Row],[DESCRIPCION]],'CAP29'!$H:$H)</f>
        <v>0</v>
      </c>
      <c r="R617" s="290"/>
      <c r="T617" s="136">
        <v>200000</v>
      </c>
    </row>
    <row r="618" spans="1:20" ht="12" customHeight="1">
      <c r="A618" s="301" t="s">
        <v>3228</v>
      </c>
      <c r="B618" s="303" t="s">
        <v>23</v>
      </c>
      <c r="C618" s="304">
        <f t="shared" si="9"/>
        <v>39331.950000000004</v>
      </c>
      <c r="D618" s="281" cm="1">
        <f t="array" aca="1" ref="D618" ca="1">IF(Insumo[[#This Row],[VALOR]]=0,Insumo[TOTAL],E618/C618)</f>
        <v>0</v>
      </c>
      <c r="E618" s="69">
        <f ca="1">SUM(Insumo[[#This Row],[CAP1-3]:[CAP29]])</f>
        <v>0</v>
      </c>
      <c r="F618" s="69">
        <f ca="1">SUMIF('CAP1-3'!$B:$H,Insumo[[#This Row],[DESCRIPCION]],'CAP1-3'!$H:$H)</f>
        <v>0</v>
      </c>
      <c r="G618" s="69">
        <f ca="1">SUMIF('CAP4-5'!$B:$H,Insumo[[#This Row],[DESCRIPCION]],'CAP4-5'!$H:$H)</f>
        <v>0</v>
      </c>
      <c r="H618" s="69">
        <f ca="1">SUMIF('CAP6-7'!$B:$H,Insumo[[#This Row],[DESCRIPCION]],'CAP6-7'!$H:$H)</f>
        <v>0</v>
      </c>
      <c r="I618" s="69">
        <f ca="1">SUMIF('CAP8'!$B:$H,Insumo[[#This Row],[DESCRIPCION]],'CAP8'!$H:$H)</f>
        <v>0</v>
      </c>
      <c r="J618" s="69">
        <f ca="1">SUMIF('CAP9-13'!$B:$H,Insumo[[#This Row],[DESCRIPCION]],'CAP9-13'!$H:$H)</f>
        <v>0</v>
      </c>
      <c r="K618" s="69">
        <f ca="1">SUMIF('CAP14-15'!$B:$H,Insumo[[#This Row],[DESCRIPCION]],'CAP14-15'!$H:$H)</f>
        <v>0</v>
      </c>
      <c r="L618" s="69">
        <f ca="1">SUMIF('CAP16-18'!$B:$H,Insumo[[#This Row],[DESCRIPCION]],'CAP16-18'!$H:$H)</f>
        <v>0</v>
      </c>
      <c r="M618" s="69">
        <f ca="1">SUMIF('CAP19-22'!$B:$H,Insumo[[#This Row],[DESCRIPCION]],'CAP19-22'!$H:$H)</f>
        <v>0</v>
      </c>
      <c r="N618" s="69">
        <f ca="1">SUMIF('CAP23-24'!$B:$H,Insumo[[#This Row],[DESCRIPCION]],'CAP23-24'!$H:$H)</f>
        <v>0</v>
      </c>
      <c r="O618" s="69">
        <f ca="1">SUMIF('CAP25'!$B:$H,Insumo[[#This Row],[DESCRIPCION]],'CAP25'!$H:$H)</f>
        <v>0</v>
      </c>
      <c r="P618" s="69">
        <f ca="1">SUMIF('CAP26-28'!$B:$H,Insumo[[#This Row],[DESCRIPCION]],'CAP26-28'!$H:$H)</f>
        <v>0</v>
      </c>
      <c r="Q618" s="69">
        <f ca="1">SUMIF('CAP29'!$B:$H,Insumo[[#This Row],[DESCRIPCION]],'CAP29'!$H:$H)</f>
        <v>0</v>
      </c>
      <c r="T618" s="136">
        <v>37459</v>
      </c>
    </row>
    <row r="619" spans="1:20" ht="12" customHeight="1">
      <c r="A619" s="301" t="s">
        <v>3229</v>
      </c>
      <c r="B619" s="303" t="s">
        <v>23</v>
      </c>
      <c r="C619" s="304">
        <f t="shared" si="9"/>
        <v>170493.75</v>
      </c>
      <c r="D619" s="281" cm="1">
        <f t="array" aca="1" ref="D619" ca="1">IF(Insumo[[#This Row],[VALOR]]=0,Insumo[TOTAL],E619/C619)</f>
        <v>0</v>
      </c>
      <c r="E619" s="69">
        <f ca="1">SUM(Insumo[[#This Row],[CAP1-3]:[CAP29]])</f>
        <v>0</v>
      </c>
      <c r="F619" s="69">
        <f ca="1">SUMIF('CAP1-3'!$B:$H,Insumo[[#This Row],[DESCRIPCION]],'CAP1-3'!$H:$H)</f>
        <v>0</v>
      </c>
      <c r="G619" s="69">
        <f ca="1">SUMIF('CAP4-5'!$B:$H,Insumo[[#This Row],[DESCRIPCION]],'CAP4-5'!$H:$H)</f>
        <v>0</v>
      </c>
      <c r="H619" s="69">
        <f ca="1">SUMIF('CAP6-7'!$B:$H,Insumo[[#This Row],[DESCRIPCION]],'CAP6-7'!$H:$H)</f>
        <v>0</v>
      </c>
      <c r="I619" s="69">
        <f ca="1">SUMIF('CAP8'!$B:$H,Insumo[[#This Row],[DESCRIPCION]],'CAP8'!$H:$H)</f>
        <v>0</v>
      </c>
      <c r="J619" s="69">
        <f ca="1">SUMIF('CAP9-13'!$B:$H,Insumo[[#This Row],[DESCRIPCION]],'CAP9-13'!$H:$H)</f>
        <v>0</v>
      </c>
      <c r="K619" s="69">
        <f ca="1">SUMIF('CAP14-15'!$B:$H,Insumo[[#This Row],[DESCRIPCION]],'CAP14-15'!$H:$H)</f>
        <v>0</v>
      </c>
      <c r="L619" s="69">
        <f ca="1">SUMIF('CAP16-18'!$B:$H,Insumo[[#This Row],[DESCRIPCION]],'CAP16-18'!$H:$H)</f>
        <v>0</v>
      </c>
      <c r="M619" s="69">
        <f ca="1">SUMIF('CAP19-22'!$B:$H,Insumo[[#This Row],[DESCRIPCION]],'CAP19-22'!$H:$H)</f>
        <v>0</v>
      </c>
      <c r="N619" s="69">
        <f ca="1">SUMIF('CAP23-24'!$B:$H,Insumo[[#This Row],[DESCRIPCION]],'CAP23-24'!$H:$H)</f>
        <v>0</v>
      </c>
      <c r="O619" s="69">
        <f ca="1">SUMIF('CAP25'!$B:$H,Insumo[[#This Row],[DESCRIPCION]],'CAP25'!$H:$H)</f>
        <v>0</v>
      </c>
      <c r="P619" s="69">
        <f ca="1">SUMIF('CAP26-28'!$B:$H,Insumo[[#This Row],[DESCRIPCION]],'CAP26-28'!$H:$H)</f>
        <v>0</v>
      </c>
      <c r="Q619" s="69">
        <f ca="1">SUMIF('CAP29'!$B:$H,Insumo[[#This Row],[DESCRIPCION]],'CAP29'!$H:$H)</f>
        <v>0</v>
      </c>
      <c r="T619" s="136">
        <v>162375</v>
      </c>
    </row>
    <row r="620" spans="1:20" ht="12" customHeight="1">
      <c r="A620" s="301" t="s">
        <v>3230</v>
      </c>
      <c r="B620" s="303" t="s">
        <v>20</v>
      </c>
      <c r="C620" s="304">
        <f t="shared" si="9"/>
        <v>85928.85</v>
      </c>
      <c r="D620" s="281" cm="1">
        <f t="array" aca="1" ref="D620" ca="1">IF(Insumo[[#This Row],[VALOR]]=0,Insumo[TOTAL],E620/C620)</f>
        <v>0</v>
      </c>
      <c r="E620" s="69">
        <f ca="1">SUM(Insumo[[#This Row],[CAP1-3]:[CAP29]])</f>
        <v>0</v>
      </c>
      <c r="F620" s="69">
        <f ca="1">SUMIF('CAP1-3'!$B:$H,Insumo[[#This Row],[DESCRIPCION]],'CAP1-3'!$H:$H)</f>
        <v>0</v>
      </c>
      <c r="G620" s="69">
        <f ca="1">SUMIF('CAP4-5'!$B:$H,Insumo[[#This Row],[DESCRIPCION]],'CAP4-5'!$H:$H)</f>
        <v>0</v>
      </c>
      <c r="H620" s="69">
        <f ca="1">SUMIF('CAP6-7'!$B:$H,Insumo[[#This Row],[DESCRIPCION]],'CAP6-7'!$H:$H)</f>
        <v>0</v>
      </c>
      <c r="I620" s="69">
        <f ca="1">SUMIF('CAP8'!$B:$H,Insumo[[#This Row],[DESCRIPCION]],'CAP8'!$H:$H)</f>
        <v>0</v>
      </c>
      <c r="J620" s="69">
        <f ca="1">SUMIF('CAP9-13'!$B:$H,Insumo[[#This Row],[DESCRIPCION]],'CAP9-13'!$H:$H)</f>
        <v>0</v>
      </c>
      <c r="K620" s="69">
        <f ca="1">SUMIF('CAP14-15'!$B:$H,Insumo[[#This Row],[DESCRIPCION]],'CAP14-15'!$H:$H)</f>
        <v>0</v>
      </c>
      <c r="L620" s="69">
        <f ca="1">SUMIF('CAP16-18'!$B:$H,Insumo[[#This Row],[DESCRIPCION]],'CAP16-18'!$H:$H)</f>
        <v>0</v>
      </c>
      <c r="M620" s="69">
        <f ca="1">SUMIF('CAP19-22'!$B:$H,Insumo[[#This Row],[DESCRIPCION]],'CAP19-22'!$H:$H)</f>
        <v>0</v>
      </c>
      <c r="N620" s="69">
        <f ca="1">SUMIF('CAP23-24'!$B:$H,Insumo[[#This Row],[DESCRIPCION]],'CAP23-24'!$H:$H)</f>
        <v>0</v>
      </c>
      <c r="O620" s="69">
        <f ca="1">SUMIF('CAP25'!$B:$H,Insumo[[#This Row],[DESCRIPCION]],'CAP25'!$H:$H)</f>
        <v>0</v>
      </c>
      <c r="P620" s="69">
        <f ca="1">SUMIF('CAP26-28'!$B:$H,Insumo[[#This Row],[DESCRIPCION]],'CAP26-28'!$H:$H)</f>
        <v>0</v>
      </c>
      <c r="Q620" s="69">
        <f ca="1">SUMIF('CAP29'!$B:$H,Insumo[[#This Row],[DESCRIPCION]],'CAP29'!$H:$H)</f>
        <v>0</v>
      </c>
      <c r="T620" s="136">
        <v>81837</v>
      </c>
    </row>
    <row r="621" spans="1:20" ht="12" customHeight="1">
      <c r="A621" s="301" t="s">
        <v>3231</v>
      </c>
      <c r="B621" s="303" t="s">
        <v>23</v>
      </c>
      <c r="C621" s="304">
        <f t="shared" si="9"/>
        <v>1056300</v>
      </c>
      <c r="D621" s="281" cm="1">
        <f t="array" aca="1" ref="D621" ca="1">IF(Insumo[[#This Row],[VALOR]]=0,Insumo[TOTAL],E621/C621)</f>
        <v>0</v>
      </c>
      <c r="E621" s="69">
        <f ca="1">SUM(Insumo[[#This Row],[CAP1-3]:[CAP29]])</f>
        <v>0</v>
      </c>
      <c r="F621" s="69">
        <f ca="1">SUMIF('CAP1-3'!$B:$H,Insumo[[#This Row],[DESCRIPCION]],'CAP1-3'!$H:$H)</f>
        <v>0</v>
      </c>
      <c r="G621" s="69">
        <f ca="1">SUMIF('CAP4-5'!$B:$H,Insumo[[#This Row],[DESCRIPCION]],'CAP4-5'!$H:$H)</f>
        <v>0</v>
      </c>
      <c r="H621" s="69">
        <f ca="1">SUMIF('CAP6-7'!$B:$H,Insumo[[#This Row],[DESCRIPCION]],'CAP6-7'!$H:$H)</f>
        <v>0</v>
      </c>
      <c r="I621" s="69">
        <f ca="1">SUMIF('CAP8'!$B:$H,Insumo[[#This Row],[DESCRIPCION]],'CAP8'!$H:$H)</f>
        <v>0</v>
      </c>
      <c r="J621" s="69">
        <f ca="1">SUMIF('CAP9-13'!$B:$H,Insumo[[#This Row],[DESCRIPCION]],'CAP9-13'!$H:$H)</f>
        <v>0</v>
      </c>
      <c r="K621" s="69">
        <f ca="1">SUMIF('CAP14-15'!$B:$H,Insumo[[#This Row],[DESCRIPCION]],'CAP14-15'!$H:$H)</f>
        <v>0</v>
      </c>
      <c r="L621" s="69">
        <f ca="1">SUMIF('CAP16-18'!$B:$H,Insumo[[#This Row],[DESCRIPCION]],'CAP16-18'!$H:$H)</f>
        <v>0</v>
      </c>
      <c r="M621" s="69">
        <f ca="1">SUMIF('CAP19-22'!$B:$H,Insumo[[#This Row],[DESCRIPCION]],'CAP19-22'!$H:$H)</f>
        <v>0</v>
      </c>
      <c r="N621" s="69">
        <f ca="1">SUMIF('CAP23-24'!$B:$H,Insumo[[#This Row],[DESCRIPCION]],'CAP23-24'!$H:$H)</f>
        <v>0</v>
      </c>
      <c r="O621" s="69">
        <f ca="1">SUMIF('CAP25'!$B:$H,Insumo[[#This Row],[DESCRIPCION]],'CAP25'!$H:$H)</f>
        <v>0</v>
      </c>
      <c r="P621" s="69">
        <f ca="1">SUMIF('CAP26-28'!$B:$H,Insumo[[#This Row],[DESCRIPCION]],'CAP26-28'!$H:$H)</f>
        <v>0</v>
      </c>
      <c r="Q621" s="69">
        <f ca="1">SUMIF('CAP29'!$B:$H,Insumo[[#This Row],[DESCRIPCION]],'CAP29'!$H:$H)</f>
        <v>0</v>
      </c>
      <c r="R621" s="290"/>
      <c r="T621" s="136">
        <v>1006000</v>
      </c>
    </row>
    <row r="622" spans="1:20" ht="12" customHeight="1">
      <c r="A622" s="301" t="s">
        <v>3232</v>
      </c>
      <c r="B622" s="303" t="s">
        <v>23</v>
      </c>
      <c r="C622" s="304">
        <f t="shared" si="9"/>
        <v>1332450</v>
      </c>
      <c r="D622" s="281" cm="1">
        <f t="array" aca="1" ref="D622" ca="1">IF(Insumo[[#This Row],[VALOR]]=0,Insumo[TOTAL],E622/C622)</f>
        <v>0</v>
      </c>
      <c r="E622" s="69">
        <f ca="1">SUM(Insumo[[#This Row],[CAP1-3]:[CAP29]])</f>
        <v>0</v>
      </c>
      <c r="F622" s="69">
        <f ca="1">SUMIF('CAP1-3'!$B:$H,Insumo[[#This Row],[DESCRIPCION]],'CAP1-3'!$H:$H)</f>
        <v>0</v>
      </c>
      <c r="G622" s="69">
        <f ca="1">SUMIF('CAP4-5'!$B:$H,Insumo[[#This Row],[DESCRIPCION]],'CAP4-5'!$H:$H)</f>
        <v>0</v>
      </c>
      <c r="H622" s="69">
        <f ca="1">SUMIF('CAP6-7'!$B:$H,Insumo[[#This Row],[DESCRIPCION]],'CAP6-7'!$H:$H)</f>
        <v>0</v>
      </c>
      <c r="I622" s="69">
        <f ca="1">SUMIF('CAP8'!$B:$H,Insumo[[#This Row],[DESCRIPCION]],'CAP8'!$H:$H)</f>
        <v>0</v>
      </c>
      <c r="J622" s="69">
        <f ca="1">SUMIF('CAP9-13'!$B:$H,Insumo[[#This Row],[DESCRIPCION]],'CAP9-13'!$H:$H)</f>
        <v>0</v>
      </c>
      <c r="K622" s="69">
        <f ca="1">SUMIF('CAP14-15'!$B:$H,Insumo[[#This Row],[DESCRIPCION]],'CAP14-15'!$H:$H)</f>
        <v>0</v>
      </c>
      <c r="L622" s="69">
        <f ca="1">SUMIF('CAP16-18'!$B:$H,Insumo[[#This Row],[DESCRIPCION]],'CAP16-18'!$H:$H)</f>
        <v>0</v>
      </c>
      <c r="M622" s="69">
        <f ca="1">SUMIF('CAP19-22'!$B:$H,Insumo[[#This Row],[DESCRIPCION]],'CAP19-22'!$H:$H)</f>
        <v>0</v>
      </c>
      <c r="N622" s="69">
        <f ca="1">SUMIF('CAP23-24'!$B:$H,Insumo[[#This Row],[DESCRIPCION]],'CAP23-24'!$H:$H)</f>
        <v>0</v>
      </c>
      <c r="O622" s="69">
        <f ca="1">SUMIF('CAP25'!$B:$H,Insumo[[#This Row],[DESCRIPCION]],'CAP25'!$H:$H)</f>
        <v>0</v>
      </c>
      <c r="P622" s="69">
        <f ca="1">SUMIF('CAP26-28'!$B:$H,Insumo[[#This Row],[DESCRIPCION]],'CAP26-28'!$H:$H)</f>
        <v>0</v>
      </c>
      <c r="Q622" s="69">
        <f ca="1">SUMIF('CAP29'!$B:$H,Insumo[[#This Row],[DESCRIPCION]],'CAP29'!$H:$H)</f>
        <v>0</v>
      </c>
      <c r="R622" s="290"/>
      <c r="T622" s="136">
        <v>1269000</v>
      </c>
    </row>
    <row r="623" spans="1:20" ht="12" customHeight="1">
      <c r="A623" s="301" t="s">
        <v>3233</v>
      </c>
      <c r="B623" s="303" t="s">
        <v>23</v>
      </c>
      <c r="C623" s="304">
        <f t="shared" si="9"/>
        <v>1777650</v>
      </c>
      <c r="D623" s="281" cm="1">
        <f t="array" aca="1" ref="D623" ca="1">IF(Insumo[[#This Row],[VALOR]]=0,Insumo[TOTAL],E623/C623)</f>
        <v>0</v>
      </c>
      <c r="E623" s="69">
        <f ca="1">SUM(Insumo[[#This Row],[CAP1-3]:[CAP29]])</f>
        <v>0</v>
      </c>
      <c r="F623" s="69">
        <f ca="1">SUMIF('CAP1-3'!$B:$H,Insumo[[#This Row],[DESCRIPCION]],'CAP1-3'!$H:$H)</f>
        <v>0</v>
      </c>
      <c r="G623" s="69">
        <f ca="1">SUMIF('CAP4-5'!$B:$H,Insumo[[#This Row],[DESCRIPCION]],'CAP4-5'!$H:$H)</f>
        <v>0</v>
      </c>
      <c r="H623" s="69">
        <f ca="1">SUMIF('CAP6-7'!$B:$H,Insumo[[#This Row],[DESCRIPCION]],'CAP6-7'!$H:$H)</f>
        <v>0</v>
      </c>
      <c r="I623" s="69">
        <f ca="1">SUMIF('CAP8'!$B:$H,Insumo[[#This Row],[DESCRIPCION]],'CAP8'!$H:$H)</f>
        <v>0</v>
      </c>
      <c r="J623" s="69">
        <f ca="1">SUMIF('CAP9-13'!$B:$H,Insumo[[#This Row],[DESCRIPCION]],'CAP9-13'!$H:$H)</f>
        <v>0</v>
      </c>
      <c r="K623" s="69">
        <f ca="1">SUMIF('CAP14-15'!$B:$H,Insumo[[#This Row],[DESCRIPCION]],'CAP14-15'!$H:$H)</f>
        <v>0</v>
      </c>
      <c r="L623" s="69">
        <f ca="1">SUMIF('CAP16-18'!$B:$H,Insumo[[#This Row],[DESCRIPCION]],'CAP16-18'!$H:$H)</f>
        <v>0</v>
      </c>
      <c r="M623" s="69">
        <f ca="1">SUMIF('CAP19-22'!$B:$H,Insumo[[#This Row],[DESCRIPCION]],'CAP19-22'!$H:$H)</f>
        <v>0</v>
      </c>
      <c r="N623" s="69">
        <f ca="1">SUMIF('CAP23-24'!$B:$H,Insumo[[#This Row],[DESCRIPCION]],'CAP23-24'!$H:$H)</f>
        <v>0</v>
      </c>
      <c r="O623" s="69">
        <f ca="1">SUMIF('CAP25'!$B:$H,Insumo[[#This Row],[DESCRIPCION]],'CAP25'!$H:$H)</f>
        <v>0</v>
      </c>
      <c r="P623" s="69">
        <f ca="1">SUMIF('CAP26-28'!$B:$H,Insumo[[#This Row],[DESCRIPCION]],'CAP26-28'!$H:$H)</f>
        <v>0</v>
      </c>
      <c r="Q623" s="69">
        <f ca="1">SUMIF('CAP29'!$B:$H,Insumo[[#This Row],[DESCRIPCION]],'CAP29'!$H:$H)</f>
        <v>0</v>
      </c>
      <c r="R623" s="290"/>
      <c r="T623" s="136">
        <v>1693000</v>
      </c>
    </row>
    <row r="624" spans="1:20" ht="12" customHeight="1">
      <c r="A624" s="301" t="s">
        <v>3234</v>
      </c>
      <c r="B624" s="303" t="s">
        <v>23</v>
      </c>
      <c r="C624" s="304">
        <f t="shared" si="9"/>
        <v>4063500</v>
      </c>
      <c r="D624" s="281" cm="1">
        <f t="array" aca="1" ref="D624" ca="1">IF(Insumo[[#This Row],[VALOR]]=0,Insumo[TOTAL],E624/C624)</f>
        <v>0</v>
      </c>
      <c r="E624" s="69">
        <f ca="1">SUM(Insumo[[#This Row],[CAP1-3]:[CAP29]])</f>
        <v>0</v>
      </c>
      <c r="F624" s="69">
        <f ca="1">SUMIF('CAP1-3'!$B:$H,Insumo[[#This Row],[DESCRIPCION]],'CAP1-3'!$H:$H)</f>
        <v>0</v>
      </c>
      <c r="G624" s="69">
        <f ca="1">SUMIF('CAP4-5'!$B:$H,Insumo[[#This Row],[DESCRIPCION]],'CAP4-5'!$H:$H)</f>
        <v>0</v>
      </c>
      <c r="H624" s="69">
        <f ca="1">SUMIF('CAP6-7'!$B:$H,Insumo[[#This Row],[DESCRIPCION]],'CAP6-7'!$H:$H)</f>
        <v>0</v>
      </c>
      <c r="I624" s="69">
        <f ca="1">SUMIF('CAP8'!$B:$H,Insumo[[#This Row],[DESCRIPCION]],'CAP8'!$H:$H)</f>
        <v>0</v>
      </c>
      <c r="J624" s="69">
        <f ca="1">SUMIF('CAP9-13'!$B:$H,Insumo[[#This Row],[DESCRIPCION]],'CAP9-13'!$H:$H)</f>
        <v>0</v>
      </c>
      <c r="K624" s="69">
        <f ca="1">SUMIF('CAP14-15'!$B:$H,Insumo[[#This Row],[DESCRIPCION]],'CAP14-15'!$H:$H)</f>
        <v>0</v>
      </c>
      <c r="L624" s="69">
        <f ca="1">SUMIF('CAP16-18'!$B:$H,Insumo[[#This Row],[DESCRIPCION]],'CAP16-18'!$H:$H)</f>
        <v>0</v>
      </c>
      <c r="M624" s="69">
        <f ca="1">SUMIF('CAP19-22'!$B:$H,Insumo[[#This Row],[DESCRIPCION]],'CAP19-22'!$H:$H)</f>
        <v>0</v>
      </c>
      <c r="N624" s="69">
        <f ca="1">SUMIF('CAP23-24'!$B:$H,Insumo[[#This Row],[DESCRIPCION]],'CAP23-24'!$H:$H)</f>
        <v>0</v>
      </c>
      <c r="O624" s="69">
        <f ca="1">SUMIF('CAP25'!$B:$H,Insumo[[#This Row],[DESCRIPCION]],'CAP25'!$H:$H)</f>
        <v>0</v>
      </c>
      <c r="P624" s="69">
        <f ca="1">SUMIF('CAP26-28'!$B:$H,Insumo[[#This Row],[DESCRIPCION]],'CAP26-28'!$H:$H)</f>
        <v>0</v>
      </c>
      <c r="Q624" s="69">
        <f ca="1">SUMIF('CAP29'!$B:$H,Insumo[[#This Row],[DESCRIPCION]],'CAP29'!$H:$H)</f>
        <v>0</v>
      </c>
      <c r="R624" s="290"/>
      <c r="T624" s="136">
        <v>3870000</v>
      </c>
    </row>
    <row r="625" spans="1:20" ht="12" customHeight="1">
      <c r="A625" s="301" t="s">
        <v>3235</v>
      </c>
      <c r="B625" s="303" t="s">
        <v>23</v>
      </c>
      <c r="C625" s="304">
        <f t="shared" si="9"/>
        <v>4414200</v>
      </c>
      <c r="D625" s="281" cm="1">
        <f t="array" aca="1" ref="D625" ca="1">IF(Insumo[[#This Row],[VALOR]]=0,Insumo[TOTAL],E625/C625)</f>
        <v>0</v>
      </c>
      <c r="E625" s="69">
        <f ca="1">SUM(Insumo[[#This Row],[CAP1-3]:[CAP29]])</f>
        <v>0</v>
      </c>
      <c r="F625" s="69">
        <f ca="1">SUMIF('CAP1-3'!$B:$H,Insumo[[#This Row],[DESCRIPCION]],'CAP1-3'!$H:$H)</f>
        <v>0</v>
      </c>
      <c r="G625" s="69">
        <f ca="1">SUMIF('CAP4-5'!$B:$H,Insumo[[#This Row],[DESCRIPCION]],'CAP4-5'!$H:$H)</f>
        <v>0</v>
      </c>
      <c r="H625" s="69">
        <f ca="1">SUMIF('CAP6-7'!$B:$H,Insumo[[#This Row],[DESCRIPCION]],'CAP6-7'!$H:$H)</f>
        <v>0</v>
      </c>
      <c r="I625" s="69">
        <f ca="1">SUMIF('CAP8'!$B:$H,Insumo[[#This Row],[DESCRIPCION]],'CAP8'!$H:$H)</f>
        <v>0</v>
      </c>
      <c r="J625" s="69">
        <f ca="1">SUMIF('CAP9-13'!$B:$H,Insumo[[#This Row],[DESCRIPCION]],'CAP9-13'!$H:$H)</f>
        <v>0</v>
      </c>
      <c r="K625" s="69">
        <f ca="1">SUMIF('CAP14-15'!$B:$H,Insumo[[#This Row],[DESCRIPCION]],'CAP14-15'!$H:$H)</f>
        <v>0</v>
      </c>
      <c r="L625" s="69">
        <f ca="1">SUMIF('CAP16-18'!$B:$H,Insumo[[#This Row],[DESCRIPCION]],'CAP16-18'!$H:$H)</f>
        <v>0</v>
      </c>
      <c r="M625" s="69">
        <f ca="1">SUMIF('CAP19-22'!$B:$H,Insumo[[#This Row],[DESCRIPCION]],'CAP19-22'!$H:$H)</f>
        <v>0</v>
      </c>
      <c r="N625" s="69">
        <f ca="1">SUMIF('CAP23-24'!$B:$H,Insumo[[#This Row],[DESCRIPCION]],'CAP23-24'!$H:$H)</f>
        <v>0</v>
      </c>
      <c r="O625" s="69">
        <f ca="1">SUMIF('CAP25'!$B:$H,Insumo[[#This Row],[DESCRIPCION]],'CAP25'!$H:$H)</f>
        <v>0</v>
      </c>
      <c r="P625" s="69">
        <f ca="1">SUMIF('CAP26-28'!$B:$H,Insumo[[#This Row],[DESCRIPCION]],'CAP26-28'!$H:$H)</f>
        <v>0</v>
      </c>
      <c r="Q625" s="69">
        <f ca="1">SUMIF('CAP29'!$B:$H,Insumo[[#This Row],[DESCRIPCION]],'CAP29'!$H:$H)</f>
        <v>0</v>
      </c>
      <c r="R625" s="290"/>
      <c r="T625" s="136">
        <v>4204000</v>
      </c>
    </row>
    <row r="626" spans="1:20" ht="12" customHeight="1">
      <c r="A626" s="301" t="s">
        <v>3236</v>
      </c>
      <c r="B626" s="303" t="s">
        <v>23</v>
      </c>
      <c r="C626" s="304">
        <f t="shared" si="9"/>
        <v>69328.350000000006</v>
      </c>
      <c r="D626" s="281" cm="1">
        <f t="array" aca="1" ref="D626" ca="1">IF(Insumo[[#This Row],[VALOR]]=0,Insumo[TOTAL],E626/C626)</f>
        <v>0</v>
      </c>
      <c r="E626" s="69">
        <f ca="1">SUM(Insumo[[#This Row],[CAP1-3]:[CAP29]])</f>
        <v>0</v>
      </c>
      <c r="F626" s="69">
        <f ca="1">SUMIF('CAP1-3'!$B:$H,Insumo[[#This Row],[DESCRIPCION]],'CAP1-3'!$H:$H)</f>
        <v>0</v>
      </c>
      <c r="G626" s="69">
        <f ca="1">SUMIF('CAP4-5'!$B:$H,Insumo[[#This Row],[DESCRIPCION]],'CAP4-5'!$H:$H)</f>
        <v>0</v>
      </c>
      <c r="H626" s="69">
        <f ca="1">SUMIF('CAP6-7'!$B:$H,Insumo[[#This Row],[DESCRIPCION]],'CAP6-7'!$H:$H)</f>
        <v>0</v>
      </c>
      <c r="I626" s="69">
        <f ca="1">SUMIF('CAP8'!$B:$H,Insumo[[#This Row],[DESCRIPCION]],'CAP8'!$H:$H)</f>
        <v>0</v>
      </c>
      <c r="J626" s="69">
        <f ca="1">SUMIF('CAP9-13'!$B:$H,Insumo[[#This Row],[DESCRIPCION]],'CAP9-13'!$H:$H)</f>
        <v>0</v>
      </c>
      <c r="K626" s="69">
        <f ca="1">SUMIF('CAP14-15'!$B:$H,Insumo[[#This Row],[DESCRIPCION]],'CAP14-15'!$H:$H)</f>
        <v>0</v>
      </c>
      <c r="L626" s="69">
        <f ca="1">SUMIF('CAP16-18'!$B:$H,Insumo[[#This Row],[DESCRIPCION]],'CAP16-18'!$H:$H)</f>
        <v>0</v>
      </c>
      <c r="M626" s="69">
        <f ca="1">SUMIF('CAP19-22'!$B:$H,Insumo[[#This Row],[DESCRIPCION]],'CAP19-22'!$H:$H)</f>
        <v>0</v>
      </c>
      <c r="N626" s="69">
        <f ca="1">SUMIF('CAP23-24'!$B:$H,Insumo[[#This Row],[DESCRIPCION]],'CAP23-24'!$H:$H)</f>
        <v>0</v>
      </c>
      <c r="O626" s="69">
        <f ca="1">SUMIF('CAP25'!$B:$H,Insumo[[#This Row],[DESCRIPCION]],'CAP25'!$H:$H)</f>
        <v>0</v>
      </c>
      <c r="P626" s="69">
        <f ca="1">SUMIF('CAP26-28'!$B:$H,Insumo[[#This Row],[DESCRIPCION]],'CAP26-28'!$H:$H)</f>
        <v>0</v>
      </c>
      <c r="Q626" s="69">
        <f ca="1">SUMIF('CAP29'!$B:$H,Insumo[[#This Row],[DESCRIPCION]],'CAP29'!$H:$H)</f>
        <v>0</v>
      </c>
      <c r="T626" s="136">
        <v>66027</v>
      </c>
    </row>
    <row r="627" spans="1:20" ht="12" customHeight="1">
      <c r="A627" s="301" t="s">
        <v>3237</v>
      </c>
      <c r="B627" s="303" t="s">
        <v>52</v>
      </c>
      <c r="C627" s="304">
        <f t="shared" si="9"/>
        <v>460779.75591344369</v>
      </c>
      <c r="D627" s="281" cm="1">
        <f t="array" aca="1" ref="D627" ca="1">IF(Insumo[[#This Row],[VALOR]]=0,Insumo[TOTAL],E627/C627)</f>
        <v>0</v>
      </c>
      <c r="E627" s="69">
        <f ca="1">SUM(Insumo[[#This Row],[CAP1-3]:[CAP29]])</f>
        <v>0</v>
      </c>
      <c r="F627" s="69">
        <f ca="1">SUMIF('CAP1-3'!$B:$H,Insumo[[#This Row],[DESCRIPCION]],'CAP1-3'!$H:$H)</f>
        <v>0</v>
      </c>
      <c r="G627" s="69">
        <f ca="1">SUMIF('CAP4-5'!$B:$H,Insumo[[#This Row],[DESCRIPCION]],'CAP4-5'!$H:$H)</f>
        <v>0</v>
      </c>
      <c r="H627" s="69">
        <f ca="1">SUMIF('CAP6-7'!$B:$H,Insumo[[#This Row],[DESCRIPCION]],'CAP6-7'!$H:$H)</f>
        <v>0</v>
      </c>
      <c r="I627" s="69">
        <f ca="1">SUMIF('CAP8'!$B:$H,Insumo[[#This Row],[DESCRIPCION]],'CAP8'!$H:$H)</f>
        <v>0</v>
      </c>
      <c r="J627" s="69">
        <f ca="1">SUMIF('CAP9-13'!$B:$H,Insumo[[#This Row],[DESCRIPCION]],'CAP9-13'!$H:$H)</f>
        <v>0</v>
      </c>
      <c r="K627" s="69">
        <f ca="1">SUMIF('CAP14-15'!$B:$H,Insumo[[#This Row],[DESCRIPCION]],'CAP14-15'!$H:$H)</f>
        <v>0</v>
      </c>
      <c r="L627" s="69">
        <f ca="1">SUMIF('CAP16-18'!$B:$H,Insumo[[#This Row],[DESCRIPCION]],'CAP16-18'!$H:$H)</f>
        <v>0</v>
      </c>
      <c r="M627" s="69">
        <f ca="1">SUMIF('CAP19-22'!$B:$H,Insumo[[#This Row],[DESCRIPCION]],'CAP19-22'!$H:$H)</f>
        <v>0</v>
      </c>
      <c r="N627" s="69">
        <f ca="1">SUMIF('CAP23-24'!$B:$H,Insumo[[#This Row],[DESCRIPCION]],'CAP23-24'!$H:$H)</f>
        <v>0</v>
      </c>
      <c r="O627" s="69">
        <f ca="1">SUMIF('CAP25'!$B:$H,Insumo[[#This Row],[DESCRIPCION]],'CAP25'!$H:$H)</f>
        <v>0</v>
      </c>
      <c r="P627" s="69">
        <f ca="1">SUMIF('CAP26-28'!$B:$H,Insumo[[#This Row],[DESCRIPCION]],'CAP26-28'!$H:$H)</f>
        <v>0</v>
      </c>
      <c r="Q627" s="69">
        <f ca="1">SUMIF('CAP29'!$B:$H,Insumo[[#This Row],[DESCRIPCION]],'CAP29'!$H:$H)</f>
        <v>0</v>
      </c>
      <c r="T627" s="136">
        <v>438837.86277470825</v>
      </c>
    </row>
    <row r="628" spans="1:20" ht="12" customHeight="1">
      <c r="A628" s="301" t="s">
        <v>3238</v>
      </c>
      <c r="B628" s="303" t="s">
        <v>52</v>
      </c>
      <c r="C628" s="304">
        <f t="shared" si="9"/>
        <v>488900.227320117</v>
      </c>
      <c r="D628" s="281" cm="1">
        <f t="array" aca="1" ref="D628" ca="1">IF(Insumo[[#This Row],[VALOR]]=0,Insumo[TOTAL],E628/C628)</f>
        <v>0</v>
      </c>
      <c r="E628" s="69">
        <f ca="1">SUM(Insumo[[#This Row],[CAP1-3]:[CAP29]])</f>
        <v>0</v>
      </c>
      <c r="F628" s="69">
        <f ca="1">SUMIF('CAP1-3'!$B:$H,Insumo[[#This Row],[DESCRIPCION]],'CAP1-3'!$H:$H)</f>
        <v>0</v>
      </c>
      <c r="G628" s="69">
        <f ca="1">SUMIF('CAP4-5'!$B:$H,Insumo[[#This Row],[DESCRIPCION]],'CAP4-5'!$H:$H)</f>
        <v>0</v>
      </c>
      <c r="H628" s="69">
        <f ca="1">SUMIF('CAP6-7'!$B:$H,Insumo[[#This Row],[DESCRIPCION]],'CAP6-7'!$H:$H)</f>
        <v>0</v>
      </c>
      <c r="I628" s="69">
        <f ca="1">SUMIF('CAP8'!$B:$H,Insumo[[#This Row],[DESCRIPCION]],'CAP8'!$H:$H)</f>
        <v>0</v>
      </c>
      <c r="J628" s="69">
        <f ca="1">SUMIF('CAP9-13'!$B:$H,Insumo[[#This Row],[DESCRIPCION]],'CAP9-13'!$H:$H)</f>
        <v>0</v>
      </c>
      <c r="K628" s="69">
        <f ca="1">SUMIF('CAP14-15'!$B:$H,Insumo[[#This Row],[DESCRIPCION]],'CAP14-15'!$H:$H)</f>
        <v>0</v>
      </c>
      <c r="L628" s="69">
        <f ca="1">SUMIF('CAP16-18'!$B:$H,Insumo[[#This Row],[DESCRIPCION]],'CAP16-18'!$H:$H)</f>
        <v>0</v>
      </c>
      <c r="M628" s="69">
        <f ca="1">SUMIF('CAP19-22'!$B:$H,Insumo[[#This Row],[DESCRIPCION]],'CAP19-22'!$H:$H)</f>
        <v>0</v>
      </c>
      <c r="N628" s="69">
        <f ca="1">SUMIF('CAP23-24'!$B:$H,Insumo[[#This Row],[DESCRIPCION]],'CAP23-24'!$H:$H)</f>
        <v>0</v>
      </c>
      <c r="O628" s="69">
        <f ca="1">SUMIF('CAP25'!$B:$H,Insumo[[#This Row],[DESCRIPCION]],'CAP25'!$H:$H)</f>
        <v>0</v>
      </c>
      <c r="P628" s="69">
        <f ca="1">SUMIF('CAP26-28'!$B:$H,Insumo[[#This Row],[DESCRIPCION]],'CAP26-28'!$H:$H)</f>
        <v>0</v>
      </c>
      <c r="Q628" s="69">
        <f ca="1">SUMIF('CAP29'!$B:$H,Insumo[[#This Row],[DESCRIPCION]],'CAP29'!$H:$H)</f>
        <v>0</v>
      </c>
      <c r="T628" s="136">
        <v>465619.26411439711</v>
      </c>
    </row>
    <row r="629" spans="1:20" ht="12" customHeight="1">
      <c r="A629" s="301" t="s">
        <v>3239</v>
      </c>
      <c r="B629" s="303" t="s">
        <v>52</v>
      </c>
      <c r="C629" s="304">
        <f t="shared" si="9"/>
        <v>521159.50227762427</v>
      </c>
      <c r="D629" s="281" cm="1">
        <f t="array" aca="1" ref="D629" ca="1">IF(Insumo[[#This Row],[VALOR]]=0,Insumo[TOTAL],E629/C629)</f>
        <v>0</v>
      </c>
      <c r="E629" s="69">
        <f ca="1">SUM(Insumo[[#This Row],[CAP1-3]:[CAP29]])</f>
        <v>0</v>
      </c>
      <c r="F629" s="69">
        <f ca="1">SUMIF('CAP1-3'!$B:$H,Insumo[[#This Row],[DESCRIPCION]],'CAP1-3'!$H:$H)</f>
        <v>0</v>
      </c>
      <c r="G629" s="69">
        <f ca="1">SUMIF('CAP4-5'!$B:$H,Insumo[[#This Row],[DESCRIPCION]],'CAP4-5'!$H:$H)</f>
        <v>0</v>
      </c>
      <c r="H629" s="69">
        <f ca="1">SUMIF('CAP6-7'!$B:$H,Insumo[[#This Row],[DESCRIPCION]],'CAP6-7'!$H:$H)</f>
        <v>0</v>
      </c>
      <c r="I629" s="69">
        <f ca="1">SUMIF('CAP8'!$B:$H,Insumo[[#This Row],[DESCRIPCION]],'CAP8'!$H:$H)</f>
        <v>0</v>
      </c>
      <c r="J629" s="69">
        <f ca="1">SUMIF('CAP9-13'!$B:$H,Insumo[[#This Row],[DESCRIPCION]],'CAP9-13'!$H:$H)</f>
        <v>0</v>
      </c>
      <c r="K629" s="69">
        <f ca="1">SUMIF('CAP14-15'!$B:$H,Insumo[[#This Row],[DESCRIPCION]],'CAP14-15'!$H:$H)</f>
        <v>0</v>
      </c>
      <c r="L629" s="69">
        <f ca="1">SUMIF('CAP16-18'!$B:$H,Insumo[[#This Row],[DESCRIPCION]],'CAP16-18'!$H:$H)</f>
        <v>0</v>
      </c>
      <c r="M629" s="69">
        <f ca="1">SUMIF('CAP19-22'!$B:$H,Insumo[[#This Row],[DESCRIPCION]],'CAP19-22'!$H:$H)</f>
        <v>0</v>
      </c>
      <c r="N629" s="69">
        <f ca="1">SUMIF('CAP23-24'!$B:$H,Insumo[[#This Row],[DESCRIPCION]],'CAP23-24'!$H:$H)</f>
        <v>0</v>
      </c>
      <c r="O629" s="69">
        <f ca="1">SUMIF('CAP25'!$B:$H,Insumo[[#This Row],[DESCRIPCION]],'CAP25'!$H:$H)</f>
        <v>0</v>
      </c>
      <c r="P629" s="69">
        <f ca="1">SUMIF('CAP26-28'!$B:$H,Insumo[[#This Row],[DESCRIPCION]],'CAP26-28'!$H:$H)</f>
        <v>0</v>
      </c>
      <c r="Q629" s="69">
        <f ca="1">SUMIF('CAP29'!$B:$H,Insumo[[#This Row],[DESCRIPCION]],'CAP29'!$H:$H)</f>
        <v>0</v>
      </c>
      <c r="T629" s="136">
        <v>496342.38312154688</v>
      </c>
    </row>
    <row r="630" spans="1:20" ht="12" customHeight="1">
      <c r="A630" s="301" t="s">
        <v>3240</v>
      </c>
      <c r="B630" s="303" t="s">
        <v>52</v>
      </c>
      <c r="C630" s="304">
        <f t="shared" si="9"/>
        <v>539790.3034961326</v>
      </c>
      <c r="D630" s="281" cm="1">
        <f t="array" aca="1" ref="D630" ca="1">IF(Insumo[[#This Row],[VALOR]]=0,Insumo[TOTAL],E630/C630)</f>
        <v>0</v>
      </c>
      <c r="E630" s="69">
        <f ca="1">SUM(Insumo[[#This Row],[CAP1-3]:[CAP29]])</f>
        <v>0</v>
      </c>
      <c r="F630" s="69">
        <f ca="1">SUMIF('CAP1-3'!$B:$H,Insumo[[#This Row],[DESCRIPCION]],'CAP1-3'!$H:$H)</f>
        <v>0</v>
      </c>
      <c r="G630" s="69">
        <f ca="1">SUMIF('CAP4-5'!$B:$H,Insumo[[#This Row],[DESCRIPCION]],'CAP4-5'!$H:$H)</f>
        <v>0</v>
      </c>
      <c r="H630" s="69">
        <f ca="1">SUMIF('CAP6-7'!$B:$H,Insumo[[#This Row],[DESCRIPCION]],'CAP6-7'!$H:$H)</f>
        <v>0</v>
      </c>
      <c r="I630" s="69">
        <f ca="1">SUMIF('CAP8'!$B:$H,Insumo[[#This Row],[DESCRIPCION]],'CAP8'!$H:$H)</f>
        <v>0</v>
      </c>
      <c r="J630" s="69">
        <f ca="1">SUMIF('CAP9-13'!$B:$H,Insumo[[#This Row],[DESCRIPCION]],'CAP9-13'!$H:$H)</f>
        <v>0</v>
      </c>
      <c r="K630" s="69">
        <f ca="1">SUMIF('CAP14-15'!$B:$H,Insumo[[#This Row],[DESCRIPCION]],'CAP14-15'!$H:$H)</f>
        <v>0</v>
      </c>
      <c r="L630" s="69">
        <f ca="1">SUMIF('CAP16-18'!$B:$H,Insumo[[#This Row],[DESCRIPCION]],'CAP16-18'!$H:$H)</f>
        <v>0</v>
      </c>
      <c r="M630" s="69">
        <f ca="1">SUMIF('CAP19-22'!$B:$H,Insumo[[#This Row],[DESCRIPCION]],'CAP19-22'!$H:$H)</f>
        <v>0</v>
      </c>
      <c r="N630" s="69">
        <f ca="1">SUMIF('CAP23-24'!$B:$H,Insumo[[#This Row],[DESCRIPCION]],'CAP23-24'!$H:$H)</f>
        <v>0</v>
      </c>
      <c r="O630" s="69">
        <f ca="1">SUMIF('CAP25'!$B:$H,Insumo[[#This Row],[DESCRIPCION]],'CAP25'!$H:$H)</f>
        <v>0</v>
      </c>
      <c r="P630" s="69">
        <f ca="1">SUMIF('CAP26-28'!$B:$H,Insumo[[#This Row],[DESCRIPCION]],'CAP26-28'!$H:$H)</f>
        <v>0</v>
      </c>
      <c r="Q630" s="69">
        <f ca="1">SUMIF('CAP29'!$B:$H,Insumo[[#This Row],[DESCRIPCION]],'CAP29'!$H:$H)</f>
        <v>0</v>
      </c>
      <c r="T630" s="136">
        <v>514086.00332965003</v>
      </c>
    </row>
    <row r="631" spans="1:20" ht="12" customHeight="1">
      <c r="A631" s="301" t="s">
        <v>3241</v>
      </c>
      <c r="B631" s="303" t="s">
        <v>52</v>
      </c>
      <c r="C631" s="304">
        <f t="shared" si="9"/>
        <v>568453.66874585627</v>
      </c>
      <c r="D631" s="281" cm="1">
        <f t="array" aca="1" ref="D631" ca="1">IF(Insumo[[#This Row],[VALOR]]=0,Insumo[TOTAL],E631/C631)</f>
        <v>0</v>
      </c>
      <c r="E631" s="69">
        <f ca="1">SUM(Insumo[[#This Row],[CAP1-3]:[CAP29]])</f>
        <v>0</v>
      </c>
      <c r="F631" s="69">
        <f ca="1">SUMIF('CAP1-3'!$B:$H,Insumo[[#This Row],[DESCRIPCION]],'CAP1-3'!$H:$H)</f>
        <v>0</v>
      </c>
      <c r="G631" s="69">
        <f ca="1">SUMIF('CAP4-5'!$B:$H,Insumo[[#This Row],[DESCRIPCION]],'CAP4-5'!$H:$H)</f>
        <v>0</v>
      </c>
      <c r="H631" s="69">
        <f ca="1">SUMIF('CAP6-7'!$B:$H,Insumo[[#This Row],[DESCRIPCION]],'CAP6-7'!$H:$H)</f>
        <v>0</v>
      </c>
      <c r="I631" s="69">
        <f ca="1">SUMIF('CAP8'!$B:$H,Insumo[[#This Row],[DESCRIPCION]],'CAP8'!$H:$H)</f>
        <v>0</v>
      </c>
      <c r="J631" s="69">
        <f ca="1">SUMIF('CAP9-13'!$B:$H,Insumo[[#This Row],[DESCRIPCION]],'CAP9-13'!$H:$H)</f>
        <v>0</v>
      </c>
      <c r="K631" s="69">
        <f ca="1">SUMIF('CAP14-15'!$B:$H,Insumo[[#This Row],[DESCRIPCION]],'CAP14-15'!$H:$H)</f>
        <v>0</v>
      </c>
      <c r="L631" s="69">
        <f ca="1">SUMIF('CAP16-18'!$B:$H,Insumo[[#This Row],[DESCRIPCION]],'CAP16-18'!$H:$H)</f>
        <v>0</v>
      </c>
      <c r="M631" s="69">
        <f ca="1">SUMIF('CAP19-22'!$B:$H,Insumo[[#This Row],[DESCRIPCION]],'CAP19-22'!$H:$H)</f>
        <v>0</v>
      </c>
      <c r="N631" s="69">
        <f ca="1">SUMIF('CAP23-24'!$B:$H,Insumo[[#This Row],[DESCRIPCION]],'CAP23-24'!$H:$H)</f>
        <v>0</v>
      </c>
      <c r="O631" s="69">
        <f ca="1">SUMIF('CAP25'!$B:$H,Insumo[[#This Row],[DESCRIPCION]],'CAP25'!$H:$H)</f>
        <v>0</v>
      </c>
      <c r="P631" s="69">
        <f ca="1">SUMIF('CAP26-28'!$B:$H,Insumo[[#This Row],[DESCRIPCION]],'CAP26-28'!$H:$H)</f>
        <v>0</v>
      </c>
      <c r="Q631" s="69">
        <f ca="1">SUMIF('CAP29'!$B:$H,Insumo[[#This Row],[DESCRIPCION]],'CAP29'!$H:$H)</f>
        <v>0</v>
      </c>
      <c r="T631" s="136">
        <v>541384.446424625</v>
      </c>
    </row>
    <row r="632" spans="1:20" ht="12" customHeight="1">
      <c r="A632" s="301" t="s">
        <v>3242</v>
      </c>
      <c r="B632" s="303" t="s">
        <v>52</v>
      </c>
      <c r="C632" s="304">
        <f t="shared" si="9"/>
        <v>448609.94602931855</v>
      </c>
      <c r="D632" s="281" cm="1">
        <f t="array" aca="1" ref="D632" ca="1">IF(Insumo[[#This Row],[VALOR]]=0,Insumo[TOTAL],E632/C632)</f>
        <v>0</v>
      </c>
      <c r="E632" s="69">
        <f ca="1">SUM(Insumo[[#This Row],[CAP1-3]:[CAP29]])</f>
        <v>0</v>
      </c>
      <c r="F632" s="69">
        <f ca="1">SUMIF('CAP1-3'!$B:$H,Insumo[[#This Row],[DESCRIPCION]],'CAP1-3'!$H:$H)</f>
        <v>0</v>
      </c>
      <c r="G632" s="69">
        <f ca="1">SUMIF('CAP4-5'!$B:$H,Insumo[[#This Row],[DESCRIPCION]],'CAP4-5'!$H:$H)</f>
        <v>0</v>
      </c>
      <c r="H632" s="69">
        <f ca="1">SUMIF('CAP6-7'!$B:$H,Insumo[[#This Row],[DESCRIPCION]],'CAP6-7'!$H:$H)</f>
        <v>0</v>
      </c>
      <c r="I632" s="69">
        <f ca="1">SUMIF('CAP8'!$B:$H,Insumo[[#This Row],[DESCRIPCION]],'CAP8'!$H:$H)</f>
        <v>0</v>
      </c>
      <c r="J632" s="69">
        <f ca="1">SUMIF('CAP9-13'!$B:$H,Insumo[[#This Row],[DESCRIPCION]],'CAP9-13'!$H:$H)</f>
        <v>0</v>
      </c>
      <c r="K632" s="69">
        <f ca="1">SUMIF('CAP14-15'!$B:$H,Insumo[[#This Row],[DESCRIPCION]],'CAP14-15'!$H:$H)</f>
        <v>0</v>
      </c>
      <c r="L632" s="69">
        <f ca="1">SUMIF('CAP16-18'!$B:$H,Insumo[[#This Row],[DESCRIPCION]],'CAP16-18'!$H:$H)</f>
        <v>0</v>
      </c>
      <c r="M632" s="69">
        <f ca="1">SUMIF('CAP19-22'!$B:$H,Insumo[[#This Row],[DESCRIPCION]],'CAP19-22'!$H:$H)</f>
        <v>0</v>
      </c>
      <c r="N632" s="69">
        <f ca="1">SUMIF('CAP23-24'!$B:$H,Insumo[[#This Row],[DESCRIPCION]],'CAP23-24'!$H:$H)</f>
        <v>0</v>
      </c>
      <c r="O632" s="69">
        <f ca="1">SUMIF('CAP25'!$B:$H,Insumo[[#This Row],[DESCRIPCION]],'CAP25'!$H:$H)</f>
        <v>0</v>
      </c>
      <c r="P632" s="69">
        <f ca="1">SUMIF('CAP26-28'!$B:$H,Insumo[[#This Row],[DESCRIPCION]],'CAP26-28'!$H:$H)</f>
        <v>0</v>
      </c>
      <c r="Q632" s="69">
        <f ca="1">SUMIF('CAP29'!$B:$H,Insumo[[#This Row],[DESCRIPCION]],'CAP29'!$H:$H)</f>
        <v>0</v>
      </c>
      <c r="T632" s="136">
        <v>427247.56764697004</v>
      </c>
    </row>
    <row r="633" spans="1:20" ht="12" customHeight="1">
      <c r="A633" s="301" t="s">
        <v>3243</v>
      </c>
      <c r="B633" s="303" t="s">
        <v>52</v>
      </c>
      <c r="C633" s="304">
        <f t="shared" si="9"/>
        <v>566498.65722213767</v>
      </c>
      <c r="D633" s="281" cm="1">
        <f t="array" aca="1" ref="D633" ca="1">IF(Insumo[[#This Row],[VALOR]]=0,Insumo[TOTAL],E633/C633)</f>
        <v>0</v>
      </c>
      <c r="E633" s="69">
        <f ca="1">SUM(Insumo[[#This Row],[CAP1-3]:[CAP29]])</f>
        <v>0</v>
      </c>
      <c r="F633" s="69">
        <f ca="1">SUMIF('CAP1-3'!$B:$H,Insumo[[#This Row],[DESCRIPCION]],'CAP1-3'!$H:$H)</f>
        <v>0</v>
      </c>
      <c r="G633" s="69">
        <f ca="1">SUMIF('CAP4-5'!$B:$H,Insumo[[#This Row],[DESCRIPCION]],'CAP4-5'!$H:$H)</f>
        <v>0</v>
      </c>
      <c r="H633" s="69">
        <f ca="1">SUMIF('CAP6-7'!$B:$H,Insumo[[#This Row],[DESCRIPCION]],'CAP6-7'!$H:$H)</f>
        <v>0</v>
      </c>
      <c r="I633" s="69">
        <f ca="1">SUMIF('CAP8'!$B:$H,Insumo[[#This Row],[DESCRIPCION]],'CAP8'!$H:$H)</f>
        <v>0</v>
      </c>
      <c r="J633" s="69">
        <f ca="1">SUMIF('CAP9-13'!$B:$H,Insumo[[#This Row],[DESCRIPCION]],'CAP9-13'!$H:$H)</f>
        <v>0</v>
      </c>
      <c r="K633" s="69">
        <f ca="1">SUMIF('CAP14-15'!$B:$H,Insumo[[#This Row],[DESCRIPCION]],'CAP14-15'!$H:$H)</f>
        <v>0</v>
      </c>
      <c r="L633" s="69">
        <f ca="1">SUMIF('CAP16-18'!$B:$H,Insumo[[#This Row],[DESCRIPCION]],'CAP16-18'!$H:$H)</f>
        <v>0</v>
      </c>
      <c r="M633" s="69">
        <f ca="1">SUMIF('CAP19-22'!$B:$H,Insumo[[#This Row],[DESCRIPCION]],'CAP19-22'!$H:$H)</f>
        <v>0</v>
      </c>
      <c r="N633" s="69">
        <f ca="1">SUMIF('CAP23-24'!$B:$H,Insumo[[#This Row],[DESCRIPCION]],'CAP23-24'!$H:$H)</f>
        <v>0</v>
      </c>
      <c r="O633" s="69">
        <f ca="1">SUMIF('CAP25'!$B:$H,Insumo[[#This Row],[DESCRIPCION]],'CAP25'!$H:$H)</f>
        <v>0</v>
      </c>
      <c r="P633" s="69">
        <f ca="1">SUMIF('CAP26-28'!$B:$H,Insumo[[#This Row],[DESCRIPCION]],'CAP26-28'!$H:$H)</f>
        <v>0</v>
      </c>
      <c r="Q633" s="69">
        <f ca="1">SUMIF('CAP29'!$B:$H,Insumo[[#This Row],[DESCRIPCION]],'CAP29'!$H:$H)</f>
        <v>0</v>
      </c>
      <c r="T633" s="136">
        <v>539522.53068775008</v>
      </c>
    </row>
    <row r="634" spans="1:20" ht="12" customHeight="1">
      <c r="A634" s="301" t="s">
        <v>3244</v>
      </c>
      <c r="B634" s="303" t="s">
        <v>52</v>
      </c>
      <c r="C634" s="304">
        <f t="shared" si="9"/>
        <v>497765.65722213761</v>
      </c>
      <c r="D634" s="281" cm="1">
        <f t="array" aca="1" ref="D634" ca="1">IF(Insumo[[#This Row],[VALOR]]=0,Insumo[TOTAL],E634/C634)</f>
        <v>0</v>
      </c>
      <c r="E634" s="69">
        <f ca="1">SUM(Insumo[[#This Row],[CAP1-3]:[CAP29]])</f>
        <v>0</v>
      </c>
      <c r="F634" s="69">
        <f ca="1">SUMIF('CAP1-3'!$B:$H,Insumo[[#This Row],[DESCRIPCION]],'CAP1-3'!$H:$H)</f>
        <v>0</v>
      </c>
      <c r="G634" s="69">
        <f ca="1">SUMIF('CAP4-5'!$B:$H,Insumo[[#This Row],[DESCRIPCION]],'CAP4-5'!$H:$H)</f>
        <v>0</v>
      </c>
      <c r="H634" s="69">
        <f ca="1">SUMIF('CAP6-7'!$B:$H,Insumo[[#This Row],[DESCRIPCION]],'CAP6-7'!$H:$H)</f>
        <v>0</v>
      </c>
      <c r="I634" s="69">
        <f ca="1">SUMIF('CAP8'!$B:$H,Insumo[[#This Row],[DESCRIPCION]],'CAP8'!$H:$H)</f>
        <v>0</v>
      </c>
      <c r="J634" s="69">
        <f ca="1">SUMIF('CAP9-13'!$B:$H,Insumo[[#This Row],[DESCRIPCION]],'CAP9-13'!$H:$H)</f>
        <v>0</v>
      </c>
      <c r="K634" s="69">
        <f ca="1">SUMIF('CAP14-15'!$B:$H,Insumo[[#This Row],[DESCRIPCION]],'CAP14-15'!$H:$H)</f>
        <v>0</v>
      </c>
      <c r="L634" s="69">
        <f ca="1">SUMIF('CAP16-18'!$B:$H,Insumo[[#This Row],[DESCRIPCION]],'CAP16-18'!$H:$H)</f>
        <v>0</v>
      </c>
      <c r="M634" s="69">
        <f ca="1">SUMIF('CAP19-22'!$B:$H,Insumo[[#This Row],[DESCRIPCION]],'CAP19-22'!$H:$H)</f>
        <v>0</v>
      </c>
      <c r="N634" s="69">
        <f ca="1">SUMIF('CAP23-24'!$B:$H,Insumo[[#This Row],[DESCRIPCION]],'CAP23-24'!$H:$H)</f>
        <v>0</v>
      </c>
      <c r="O634" s="69">
        <f ca="1">SUMIF('CAP25'!$B:$H,Insumo[[#This Row],[DESCRIPCION]],'CAP25'!$H:$H)</f>
        <v>0</v>
      </c>
      <c r="P634" s="69">
        <f ca="1">SUMIF('CAP26-28'!$B:$H,Insumo[[#This Row],[DESCRIPCION]],'CAP26-28'!$H:$H)</f>
        <v>0</v>
      </c>
      <c r="Q634" s="69">
        <f ca="1">SUMIF('CAP29'!$B:$H,Insumo[[#This Row],[DESCRIPCION]],'CAP29'!$H:$H)</f>
        <v>0</v>
      </c>
      <c r="T634" s="136">
        <v>474062.53068775008</v>
      </c>
    </row>
    <row r="635" spans="1:20" ht="12" customHeight="1">
      <c r="A635" s="301" t="s">
        <v>3245</v>
      </c>
      <c r="B635" s="303" t="s">
        <v>52</v>
      </c>
      <c r="C635" s="304">
        <f t="shared" si="9"/>
        <v>483519.91180237505</v>
      </c>
      <c r="D635" s="281" cm="1">
        <f t="array" aca="1" ref="D635" ca="1">IF(Insumo[[#This Row],[VALOR]]=0,Insumo[TOTAL],E635/C635)</f>
        <v>0</v>
      </c>
      <c r="E635" s="69">
        <f ca="1">SUM(Insumo[[#This Row],[CAP1-3]:[CAP29]])</f>
        <v>0</v>
      </c>
      <c r="F635" s="69">
        <f ca="1">SUMIF('CAP1-3'!$B:$H,Insumo[[#This Row],[DESCRIPCION]],'CAP1-3'!$H:$H)</f>
        <v>0</v>
      </c>
      <c r="G635" s="69">
        <f ca="1">SUMIF('CAP4-5'!$B:$H,Insumo[[#This Row],[DESCRIPCION]],'CAP4-5'!$H:$H)</f>
        <v>0</v>
      </c>
      <c r="H635" s="69">
        <f ca="1">SUMIF('CAP6-7'!$B:$H,Insumo[[#This Row],[DESCRIPCION]],'CAP6-7'!$H:$H)</f>
        <v>0</v>
      </c>
      <c r="I635" s="69">
        <f ca="1">SUMIF('CAP8'!$B:$H,Insumo[[#This Row],[DESCRIPCION]],'CAP8'!$H:$H)</f>
        <v>0</v>
      </c>
      <c r="J635" s="69">
        <f ca="1">SUMIF('CAP9-13'!$B:$H,Insumo[[#This Row],[DESCRIPCION]],'CAP9-13'!$H:$H)</f>
        <v>0</v>
      </c>
      <c r="K635" s="69">
        <f ca="1">SUMIF('CAP14-15'!$B:$H,Insumo[[#This Row],[DESCRIPCION]],'CAP14-15'!$H:$H)</f>
        <v>0</v>
      </c>
      <c r="L635" s="69">
        <f ca="1">SUMIF('CAP16-18'!$B:$H,Insumo[[#This Row],[DESCRIPCION]],'CAP16-18'!$H:$H)</f>
        <v>0</v>
      </c>
      <c r="M635" s="69">
        <f ca="1">SUMIF('CAP19-22'!$B:$H,Insumo[[#This Row],[DESCRIPCION]],'CAP19-22'!$H:$H)</f>
        <v>0</v>
      </c>
      <c r="N635" s="69">
        <f ca="1">SUMIF('CAP23-24'!$B:$H,Insumo[[#This Row],[DESCRIPCION]],'CAP23-24'!$H:$H)</f>
        <v>0</v>
      </c>
      <c r="O635" s="69">
        <f ca="1">SUMIF('CAP25'!$B:$H,Insumo[[#This Row],[DESCRIPCION]],'CAP25'!$H:$H)</f>
        <v>0</v>
      </c>
      <c r="P635" s="69">
        <f ca="1">SUMIF('CAP26-28'!$B:$H,Insumo[[#This Row],[DESCRIPCION]],'CAP26-28'!$H:$H)</f>
        <v>0</v>
      </c>
      <c r="Q635" s="69">
        <f ca="1">SUMIF('CAP29'!$B:$H,Insumo[[#This Row],[DESCRIPCION]],'CAP29'!$H:$H)</f>
        <v>0</v>
      </c>
      <c r="T635" s="136">
        <v>460495.15409750002</v>
      </c>
    </row>
    <row r="636" spans="1:20" ht="12" customHeight="1">
      <c r="A636" s="301" t="s">
        <v>3246</v>
      </c>
      <c r="B636" s="303" t="s">
        <v>20</v>
      </c>
      <c r="C636" s="304">
        <f t="shared" si="9"/>
        <v>318255</v>
      </c>
      <c r="D636" s="281" cm="1">
        <f t="array" aca="1" ref="D636" ca="1">IF(Insumo[[#This Row],[VALOR]]=0,Insumo[TOTAL],E636/C636)</f>
        <v>0</v>
      </c>
      <c r="E636" s="69">
        <f ca="1">SUM(Insumo[[#This Row],[CAP1-3]:[CAP29]])</f>
        <v>0</v>
      </c>
      <c r="F636" s="69">
        <f ca="1">SUMIF('CAP1-3'!$B:$H,Insumo[[#This Row],[DESCRIPCION]],'CAP1-3'!$H:$H)</f>
        <v>0</v>
      </c>
      <c r="G636" s="69">
        <f ca="1">SUMIF('CAP4-5'!$B:$H,Insumo[[#This Row],[DESCRIPCION]],'CAP4-5'!$H:$H)</f>
        <v>0</v>
      </c>
      <c r="H636" s="69">
        <f ca="1">SUMIF('CAP6-7'!$B:$H,Insumo[[#This Row],[DESCRIPCION]],'CAP6-7'!$H:$H)</f>
        <v>0</v>
      </c>
      <c r="I636" s="69">
        <f ca="1">SUMIF('CAP8'!$B:$H,Insumo[[#This Row],[DESCRIPCION]],'CAP8'!$H:$H)</f>
        <v>0</v>
      </c>
      <c r="J636" s="69">
        <f ca="1">SUMIF('CAP9-13'!$B:$H,Insumo[[#This Row],[DESCRIPCION]],'CAP9-13'!$H:$H)</f>
        <v>0</v>
      </c>
      <c r="K636" s="69">
        <f ca="1">SUMIF('CAP14-15'!$B:$H,Insumo[[#This Row],[DESCRIPCION]],'CAP14-15'!$H:$H)</f>
        <v>0</v>
      </c>
      <c r="L636" s="69">
        <f ca="1">SUMIF('CAP16-18'!$B:$H,Insumo[[#This Row],[DESCRIPCION]],'CAP16-18'!$H:$H)</f>
        <v>0</v>
      </c>
      <c r="M636" s="69">
        <f ca="1">SUMIF('CAP19-22'!$B:$H,Insumo[[#This Row],[DESCRIPCION]],'CAP19-22'!$H:$H)</f>
        <v>0</v>
      </c>
      <c r="N636" s="69">
        <f ca="1">SUMIF('CAP23-24'!$B:$H,Insumo[[#This Row],[DESCRIPCION]],'CAP23-24'!$H:$H)</f>
        <v>0</v>
      </c>
      <c r="O636" s="69">
        <f ca="1">SUMIF('CAP25'!$B:$H,Insumo[[#This Row],[DESCRIPCION]],'CAP25'!$H:$H)</f>
        <v>0</v>
      </c>
      <c r="P636" s="69">
        <f ca="1">SUMIF('CAP26-28'!$B:$H,Insumo[[#This Row],[DESCRIPCION]],'CAP26-28'!$H:$H)</f>
        <v>0</v>
      </c>
      <c r="Q636" s="69">
        <f ca="1">SUMIF('CAP29'!$B:$H,Insumo[[#This Row],[DESCRIPCION]],'CAP29'!$H:$H)</f>
        <v>0</v>
      </c>
      <c r="T636" s="136">
        <v>303100</v>
      </c>
    </row>
    <row r="637" spans="1:20" ht="12" customHeight="1">
      <c r="A637" s="301" t="s">
        <v>3247</v>
      </c>
      <c r="B637" s="303" t="s">
        <v>23</v>
      </c>
      <c r="C637" s="304">
        <f t="shared" si="9"/>
        <v>90816.6</v>
      </c>
      <c r="D637" s="281" cm="1">
        <f t="array" aca="1" ref="D637" ca="1">IF(Insumo[[#This Row],[VALOR]]=0,Insumo[TOTAL],E637/C637)</f>
        <v>0</v>
      </c>
      <c r="E637" s="69">
        <f ca="1">SUM(Insumo[[#This Row],[CAP1-3]:[CAP29]])</f>
        <v>0</v>
      </c>
      <c r="F637" s="69">
        <f ca="1">SUMIF('CAP1-3'!$B:$H,Insumo[[#This Row],[DESCRIPCION]],'CAP1-3'!$H:$H)</f>
        <v>0</v>
      </c>
      <c r="G637" s="69">
        <f ca="1">SUMIF('CAP4-5'!$B:$H,Insumo[[#This Row],[DESCRIPCION]],'CAP4-5'!$H:$H)</f>
        <v>0</v>
      </c>
      <c r="H637" s="69">
        <f ca="1">SUMIF('CAP6-7'!$B:$H,Insumo[[#This Row],[DESCRIPCION]],'CAP6-7'!$H:$H)</f>
        <v>0</v>
      </c>
      <c r="I637" s="69">
        <f ca="1">SUMIF('CAP8'!$B:$H,Insumo[[#This Row],[DESCRIPCION]],'CAP8'!$H:$H)</f>
        <v>0</v>
      </c>
      <c r="J637" s="69">
        <f ca="1">SUMIF('CAP9-13'!$B:$H,Insumo[[#This Row],[DESCRIPCION]],'CAP9-13'!$H:$H)</f>
        <v>0</v>
      </c>
      <c r="K637" s="69">
        <f ca="1">SUMIF('CAP14-15'!$B:$H,Insumo[[#This Row],[DESCRIPCION]],'CAP14-15'!$H:$H)</f>
        <v>0</v>
      </c>
      <c r="L637" s="69">
        <f ca="1">SUMIF('CAP16-18'!$B:$H,Insumo[[#This Row],[DESCRIPCION]],'CAP16-18'!$H:$H)</f>
        <v>0</v>
      </c>
      <c r="M637" s="69">
        <f ca="1">SUMIF('CAP19-22'!$B:$H,Insumo[[#This Row],[DESCRIPCION]],'CAP19-22'!$H:$H)</f>
        <v>0</v>
      </c>
      <c r="N637" s="69">
        <f ca="1">SUMIF('CAP23-24'!$B:$H,Insumo[[#This Row],[DESCRIPCION]],'CAP23-24'!$H:$H)</f>
        <v>0</v>
      </c>
      <c r="O637" s="69">
        <f ca="1">SUMIF('CAP25'!$B:$H,Insumo[[#This Row],[DESCRIPCION]],'CAP25'!$H:$H)</f>
        <v>0</v>
      </c>
      <c r="P637" s="69">
        <f ca="1">SUMIF('CAP26-28'!$B:$H,Insumo[[#This Row],[DESCRIPCION]],'CAP26-28'!$H:$H)</f>
        <v>0</v>
      </c>
      <c r="Q637" s="69">
        <f ca="1">SUMIF('CAP29'!$B:$H,Insumo[[#This Row],[DESCRIPCION]],'CAP29'!$H:$H)</f>
        <v>0</v>
      </c>
      <c r="T637" s="136">
        <v>86492</v>
      </c>
    </row>
    <row r="638" spans="1:20" ht="12" customHeight="1">
      <c r="A638" s="301" t="s">
        <v>3248</v>
      </c>
      <c r="B638" s="303" t="s">
        <v>20</v>
      </c>
      <c r="C638" s="304">
        <f t="shared" si="9"/>
        <v>318255</v>
      </c>
      <c r="D638" s="281" cm="1">
        <f t="array" aca="1" ref="D638" ca="1">IF(Insumo[[#This Row],[VALOR]]=0,Insumo[TOTAL],E638/C638)</f>
        <v>0</v>
      </c>
      <c r="E638" s="69">
        <f ca="1">SUM(Insumo[[#This Row],[CAP1-3]:[CAP29]])</f>
        <v>0</v>
      </c>
      <c r="F638" s="69">
        <f ca="1">SUMIF('CAP1-3'!$B:$H,Insumo[[#This Row],[DESCRIPCION]],'CAP1-3'!$H:$H)</f>
        <v>0</v>
      </c>
      <c r="G638" s="69">
        <f ca="1">SUMIF('CAP4-5'!$B:$H,Insumo[[#This Row],[DESCRIPCION]],'CAP4-5'!$H:$H)</f>
        <v>0</v>
      </c>
      <c r="H638" s="69">
        <f ca="1">SUMIF('CAP6-7'!$B:$H,Insumo[[#This Row],[DESCRIPCION]],'CAP6-7'!$H:$H)</f>
        <v>0</v>
      </c>
      <c r="I638" s="69">
        <f ca="1">SUMIF('CAP8'!$B:$H,Insumo[[#This Row],[DESCRIPCION]],'CAP8'!$H:$H)</f>
        <v>0</v>
      </c>
      <c r="J638" s="69">
        <f ca="1">SUMIF('CAP9-13'!$B:$H,Insumo[[#This Row],[DESCRIPCION]],'CAP9-13'!$H:$H)</f>
        <v>0</v>
      </c>
      <c r="K638" s="69">
        <f ca="1">SUMIF('CAP14-15'!$B:$H,Insumo[[#This Row],[DESCRIPCION]],'CAP14-15'!$H:$H)</f>
        <v>0</v>
      </c>
      <c r="L638" s="69">
        <f ca="1">SUMIF('CAP16-18'!$B:$H,Insumo[[#This Row],[DESCRIPCION]],'CAP16-18'!$H:$H)</f>
        <v>0</v>
      </c>
      <c r="M638" s="69">
        <f ca="1">SUMIF('CAP19-22'!$B:$H,Insumo[[#This Row],[DESCRIPCION]],'CAP19-22'!$H:$H)</f>
        <v>0</v>
      </c>
      <c r="N638" s="69">
        <f ca="1">SUMIF('CAP23-24'!$B:$H,Insumo[[#This Row],[DESCRIPCION]],'CAP23-24'!$H:$H)</f>
        <v>0</v>
      </c>
      <c r="O638" s="69">
        <f ca="1">SUMIF('CAP25'!$B:$H,Insumo[[#This Row],[DESCRIPCION]],'CAP25'!$H:$H)</f>
        <v>0</v>
      </c>
      <c r="P638" s="69">
        <f ca="1">SUMIF('CAP26-28'!$B:$H,Insumo[[#This Row],[DESCRIPCION]],'CAP26-28'!$H:$H)</f>
        <v>0</v>
      </c>
      <c r="Q638" s="69">
        <f ca="1">SUMIF('CAP29'!$B:$H,Insumo[[#This Row],[DESCRIPCION]],'CAP29'!$H:$H)</f>
        <v>0</v>
      </c>
      <c r="T638" s="136">
        <v>303100</v>
      </c>
    </row>
    <row r="639" spans="1:20" ht="12" customHeight="1">
      <c r="A639" s="301" t="s">
        <v>3249</v>
      </c>
      <c r="B639" s="303" t="s">
        <v>20</v>
      </c>
      <c r="C639" s="304">
        <f t="shared" si="9"/>
        <v>295522.5</v>
      </c>
      <c r="D639" s="281" cm="1">
        <f t="array" aca="1" ref="D639" ca="1">IF(Insumo[[#This Row],[VALOR]]=0,Insumo[TOTAL],E639/C639)</f>
        <v>0</v>
      </c>
      <c r="E639" s="69">
        <f ca="1">SUM(Insumo[[#This Row],[CAP1-3]:[CAP29]])</f>
        <v>0</v>
      </c>
      <c r="F639" s="69">
        <f ca="1">SUMIF('CAP1-3'!$B:$H,Insumo[[#This Row],[DESCRIPCION]],'CAP1-3'!$H:$H)</f>
        <v>0</v>
      </c>
      <c r="G639" s="69">
        <f ca="1">SUMIF('CAP4-5'!$B:$H,Insumo[[#This Row],[DESCRIPCION]],'CAP4-5'!$H:$H)</f>
        <v>0</v>
      </c>
      <c r="H639" s="69">
        <f ca="1">SUMIF('CAP6-7'!$B:$H,Insumo[[#This Row],[DESCRIPCION]],'CAP6-7'!$H:$H)</f>
        <v>0</v>
      </c>
      <c r="I639" s="69">
        <f ca="1">SUMIF('CAP8'!$B:$H,Insumo[[#This Row],[DESCRIPCION]],'CAP8'!$H:$H)</f>
        <v>0</v>
      </c>
      <c r="J639" s="69">
        <f ca="1">SUMIF('CAP9-13'!$B:$H,Insumo[[#This Row],[DESCRIPCION]],'CAP9-13'!$H:$H)</f>
        <v>0</v>
      </c>
      <c r="K639" s="69">
        <f ca="1">SUMIF('CAP14-15'!$B:$H,Insumo[[#This Row],[DESCRIPCION]],'CAP14-15'!$H:$H)</f>
        <v>0</v>
      </c>
      <c r="L639" s="69">
        <f ca="1">SUMIF('CAP16-18'!$B:$H,Insumo[[#This Row],[DESCRIPCION]],'CAP16-18'!$H:$H)</f>
        <v>0</v>
      </c>
      <c r="M639" s="69">
        <f ca="1">SUMIF('CAP19-22'!$B:$H,Insumo[[#This Row],[DESCRIPCION]],'CAP19-22'!$H:$H)</f>
        <v>0</v>
      </c>
      <c r="N639" s="69">
        <f ca="1">SUMIF('CAP23-24'!$B:$H,Insumo[[#This Row],[DESCRIPCION]],'CAP23-24'!$H:$H)</f>
        <v>0</v>
      </c>
      <c r="O639" s="69">
        <f ca="1">SUMIF('CAP25'!$B:$H,Insumo[[#This Row],[DESCRIPCION]],'CAP25'!$H:$H)</f>
        <v>0</v>
      </c>
      <c r="P639" s="69">
        <f ca="1">SUMIF('CAP26-28'!$B:$H,Insumo[[#This Row],[DESCRIPCION]],'CAP26-28'!$H:$H)</f>
        <v>0</v>
      </c>
      <c r="Q639" s="69">
        <f ca="1">SUMIF('CAP29'!$B:$H,Insumo[[#This Row],[DESCRIPCION]],'CAP29'!$H:$H)</f>
        <v>0</v>
      </c>
      <c r="T639" s="136">
        <v>281450</v>
      </c>
    </row>
    <row r="640" spans="1:20" ht="12" customHeight="1">
      <c r="A640" s="301" t="s">
        <v>3250</v>
      </c>
      <c r="B640" s="303" t="s">
        <v>23</v>
      </c>
      <c r="C640" s="304">
        <f t="shared" si="9"/>
        <v>413731.5</v>
      </c>
      <c r="D640" s="281" cm="1">
        <f t="array" aca="1" ref="D640" ca="1">IF(Insumo[[#This Row],[VALOR]]=0,Insumo[TOTAL],E640/C640)</f>
        <v>0</v>
      </c>
      <c r="E640" s="69">
        <f ca="1">SUM(Insumo[[#This Row],[CAP1-3]:[CAP29]])</f>
        <v>0</v>
      </c>
      <c r="F640" s="69">
        <f ca="1">SUMIF('CAP1-3'!$B:$H,Insumo[[#This Row],[DESCRIPCION]],'CAP1-3'!$H:$H)</f>
        <v>0</v>
      </c>
      <c r="G640" s="69">
        <f ca="1">SUMIF('CAP4-5'!$B:$H,Insumo[[#This Row],[DESCRIPCION]],'CAP4-5'!$H:$H)</f>
        <v>0</v>
      </c>
      <c r="H640" s="69">
        <f ca="1">SUMIF('CAP6-7'!$B:$H,Insumo[[#This Row],[DESCRIPCION]],'CAP6-7'!$H:$H)</f>
        <v>0</v>
      </c>
      <c r="I640" s="69">
        <f ca="1">SUMIF('CAP8'!$B:$H,Insumo[[#This Row],[DESCRIPCION]],'CAP8'!$H:$H)</f>
        <v>0</v>
      </c>
      <c r="J640" s="69">
        <f ca="1">SUMIF('CAP9-13'!$B:$H,Insumo[[#This Row],[DESCRIPCION]],'CAP9-13'!$H:$H)</f>
        <v>0</v>
      </c>
      <c r="K640" s="69">
        <f ca="1">SUMIF('CAP14-15'!$B:$H,Insumo[[#This Row],[DESCRIPCION]],'CAP14-15'!$H:$H)</f>
        <v>0</v>
      </c>
      <c r="L640" s="69">
        <f ca="1">SUMIF('CAP16-18'!$B:$H,Insumo[[#This Row],[DESCRIPCION]],'CAP16-18'!$H:$H)</f>
        <v>0</v>
      </c>
      <c r="M640" s="69">
        <f ca="1">SUMIF('CAP19-22'!$B:$H,Insumo[[#This Row],[DESCRIPCION]],'CAP19-22'!$H:$H)</f>
        <v>0</v>
      </c>
      <c r="N640" s="69">
        <f ca="1">SUMIF('CAP23-24'!$B:$H,Insumo[[#This Row],[DESCRIPCION]],'CAP23-24'!$H:$H)</f>
        <v>0</v>
      </c>
      <c r="O640" s="69">
        <f ca="1">SUMIF('CAP25'!$B:$H,Insumo[[#This Row],[DESCRIPCION]],'CAP25'!$H:$H)</f>
        <v>0</v>
      </c>
      <c r="P640" s="69">
        <f ca="1">SUMIF('CAP26-28'!$B:$H,Insumo[[#This Row],[DESCRIPCION]],'CAP26-28'!$H:$H)</f>
        <v>0</v>
      </c>
      <c r="Q640" s="69">
        <f ca="1">SUMIF('CAP29'!$B:$H,Insumo[[#This Row],[DESCRIPCION]],'CAP29'!$H:$H)</f>
        <v>0</v>
      </c>
      <c r="T640" s="136">
        <v>394030</v>
      </c>
    </row>
    <row r="641" spans="1:20" ht="12" customHeight="1">
      <c r="A641" s="301" t="s">
        <v>3251</v>
      </c>
      <c r="B641" s="303" t="s">
        <v>20</v>
      </c>
      <c r="C641" s="304">
        <f t="shared" si="9"/>
        <v>170493.75</v>
      </c>
      <c r="D641" s="281" cm="1">
        <f t="array" aca="1" ref="D641" ca="1">IF(Insumo[[#This Row],[VALOR]]=0,Insumo[TOTAL],E641/C641)</f>
        <v>0</v>
      </c>
      <c r="E641" s="69">
        <f ca="1">SUM(Insumo[[#This Row],[CAP1-3]:[CAP29]])</f>
        <v>0</v>
      </c>
      <c r="F641" s="69">
        <f ca="1">SUMIF('CAP1-3'!$B:$H,Insumo[[#This Row],[DESCRIPCION]],'CAP1-3'!$H:$H)</f>
        <v>0</v>
      </c>
      <c r="G641" s="69">
        <f ca="1">SUMIF('CAP4-5'!$B:$H,Insumo[[#This Row],[DESCRIPCION]],'CAP4-5'!$H:$H)</f>
        <v>0</v>
      </c>
      <c r="H641" s="69">
        <f ca="1">SUMIF('CAP6-7'!$B:$H,Insumo[[#This Row],[DESCRIPCION]],'CAP6-7'!$H:$H)</f>
        <v>0</v>
      </c>
      <c r="I641" s="69">
        <f ca="1">SUMIF('CAP8'!$B:$H,Insumo[[#This Row],[DESCRIPCION]],'CAP8'!$H:$H)</f>
        <v>0</v>
      </c>
      <c r="J641" s="69">
        <f ca="1">SUMIF('CAP9-13'!$B:$H,Insumo[[#This Row],[DESCRIPCION]],'CAP9-13'!$H:$H)</f>
        <v>0</v>
      </c>
      <c r="K641" s="69">
        <f ca="1">SUMIF('CAP14-15'!$B:$H,Insumo[[#This Row],[DESCRIPCION]],'CAP14-15'!$H:$H)</f>
        <v>0</v>
      </c>
      <c r="L641" s="69">
        <f ca="1">SUMIF('CAP16-18'!$B:$H,Insumo[[#This Row],[DESCRIPCION]],'CAP16-18'!$H:$H)</f>
        <v>0</v>
      </c>
      <c r="M641" s="69">
        <f ca="1">SUMIF('CAP19-22'!$B:$H,Insumo[[#This Row],[DESCRIPCION]],'CAP19-22'!$H:$H)</f>
        <v>0</v>
      </c>
      <c r="N641" s="69">
        <f ca="1">SUMIF('CAP23-24'!$B:$H,Insumo[[#This Row],[DESCRIPCION]],'CAP23-24'!$H:$H)</f>
        <v>0</v>
      </c>
      <c r="O641" s="69">
        <f ca="1">SUMIF('CAP25'!$B:$H,Insumo[[#This Row],[DESCRIPCION]],'CAP25'!$H:$H)</f>
        <v>0</v>
      </c>
      <c r="P641" s="69">
        <f ca="1">SUMIF('CAP26-28'!$B:$H,Insumo[[#This Row],[DESCRIPCION]],'CAP26-28'!$H:$H)</f>
        <v>0</v>
      </c>
      <c r="Q641" s="69">
        <f ca="1">SUMIF('CAP29'!$B:$H,Insumo[[#This Row],[DESCRIPCION]],'CAP29'!$H:$H)</f>
        <v>0</v>
      </c>
      <c r="T641" s="136">
        <v>162375</v>
      </c>
    </row>
    <row r="642" spans="1:20" ht="12" customHeight="1">
      <c r="A642" s="301" t="s">
        <v>3252</v>
      </c>
      <c r="B642" s="303" t="s">
        <v>23</v>
      </c>
      <c r="C642" s="304">
        <f t="shared" si="9"/>
        <v>397818.75</v>
      </c>
      <c r="D642" s="281" cm="1">
        <f t="array" aca="1" ref="D642" ca="1">IF(Insumo[[#This Row],[VALOR]]=0,Insumo[TOTAL],E642/C642)</f>
        <v>0</v>
      </c>
      <c r="E642" s="69">
        <f ca="1">SUM(Insumo[[#This Row],[CAP1-3]:[CAP29]])</f>
        <v>0</v>
      </c>
      <c r="F642" s="69">
        <f ca="1">SUMIF('CAP1-3'!$B:$H,Insumo[[#This Row],[DESCRIPCION]],'CAP1-3'!$H:$H)</f>
        <v>0</v>
      </c>
      <c r="G642" s="69">
        <f ca="1">SUMIF('CAP4-5'!$B:$H,Insumo[[#This Row],[DESCRIPCION]],'CAP4-5'!$H:$H)</f>
        <v>0</v>
      </c>
      <c r="H642" s="69">
        <f ca="1">SUMIF('CAP6-7'!$B:$H,Insumo[[#This Row],[DESCRIPCION]],'CAP6-7'!$H:$H)</f>
        <v>0</v>
      </c>
      <c r="I642" s="69">
        <f ca="1">SUMIF('CAP8'!$B:$H,Insumo[[#This Row],[DESCRIPCION]],'CAP8'!$H:$H)</f>
        <v>0</v>
      </c>
      <c r="J642" s="69">
        <f ca="1">SUMIF('CAP9-13'!$B:$H,Insumo[[#This Row],[DESCRIPCION]],'CAP9-13'!$H:$H)</f>
        <v>0</v>
      </c>
      <c r="K642" s="69">
        <f ca="1">SUMIF('CAP14-15'!$B:$H,Insumo[[#This Row],[DESCRIPCION]],'CAP14-15'!$H:$H)</f>
        <v>0</v>
      </c>
      <c r="L642" s="69">
        <f ca="1">SUMIF('CAP16-18'!$B:$H,Insumo[[#This Row],[DESCRIPCION]],'CAP16-18'!$H:$H)</f>
        <v>0</v>
      </c>
      <c r="M642" s="69">
        <f ca="1">SUMIF('CAP19-22'!$B:$H,Insumo[[#This Row],[DESCRIPCION]],'CAP19-22'!$H:$H)</f>
        <v>0</v>
      </c>
      <c r="N642" s="69">
        <f ca="1">SUMIF('CAP23-24'!$B:$H,Insumo[[#This Row],[DESCRIPCION]],'CAP23-24'!$H:$H)</f>
        <v>0</v>
      </c>
      <c r="O642" s="69">
        <f ca="1">SUMIF('CAP25'!$B:$H,Insumo[[#This Row],[DESCRIPCION]],'CAP25'!$H:$H)</f>
        <v>0</v>
      </c>
      <c r="P642" s="69">
        <f ca="1">SUMIF('CAP26-28'!$B:$H,Insumo[[#This Row],[DESCRIPCION]],'CAP26-28'!$H:$H)</f>
        <v>0</v>
      </c>
      <c r="Q642" s="69">
        <f ca="1">SUMIF('CAP29'!$B:$H,Insumo[[#This Row],[DESCRIPCION]],'CAP29'!$H:$H)</f>
        <v>0</v>
      </c>
      <c r="T642" s="136">
        <v>378875</v>
      </c>
    </row>
    <row r="643" spans="1:20" ht="12" customHeight="1">
      <c r="A643" s="301" t="s">
        <v>3253</v>
      </c>
      <c r="B643" s="303" t="s">
        <v>2826</v>
      </c>
      <c r="C643" s="304">
        <f t="shared" si="9"/>
        <v>6482.7000000000007</v>
      </c>
      <c r="D643" s="281" cm="1">
        <f t="array" aca="1" ref="D643" ca="1">IF(Insumo[[#This Row],[VALOR]]=0,Insumo[TOTAL],E643/C643)</f>
        <v>0</v>
      </c>
      <c r="E643" s="69">
        <f ca="1">SUM(Insumo[[#This Row],[CAP1-3]:[CAP29]])</f>
        <v>0</v>
      </c>
      <c r="F643" s="286">
        <f ca="1">SUMIF('CAP1-3'!$B:$H,Insumo[[#This Row],[DESCRIPCION]],'CAP1-3'!$H:$H)</f>
        <v>0</v>
      </c>
      <c r="G643" s="286">
        <f ca="1">SUMIF('CAP4-5'!$B:$H,Insumo[[#This Row],[DESCRIPCION]],'CAP4-5'!$H:$H)</f>
        <v>0</v>
      </c>
      <c r="H643" s="286">
        <f ca="1">SUMIF('CAP6-7'!$B:$H,Insumo[[#This Row],[DESCRIPCION]],'CAP6-7'!$H:$H)</f>
        <v>0</v>
      </c>
      <c r="I643" s="286">
        <f ca="1">SUMIF('CAP8'!$B:$H,Insumo[[#This Row],[DESCRIPCION]],'CAP8'!$H:$H)</f>
        <v>0</v>
      </c>
      <c r="J643" s="286">
        <f ca="1">SUMIF('CAP9-13'!$B:$H,Insumo[[#This Row],[DESCRIPCION]],'CAP9-13'!$H:$H)</f>
        <v>0</v>
      </c>
      <c r="K643" s="286">
        <f ca="1">SUMIF('CAP14-15'!$B:$H,Insumo[[#This Row],[DESCRIPCION]],'CAP14-15'!$H:$H)</f>
        <v>0</v>
      </c>
      <c r="L643" s="286">
        <f ca="1">SUMIF('CAP16-18'!$B:$H,Insumo[[#This Row],[DESCRIPCION]],'CAP16-18'!$H:$H)</f>
        <v>0</v>
      </c>
      <c r="M643" s="286">
        <f ca="1">SUMIF('CAP19-22'!$B:$H,Insumo[[#This Row],[DESCRIPCION]],'CAP19-22'!$H:$H)</f>
        <v>0</v>
      </c>
      <c r="N643" s="286">
        <f ca="1">SUMIF('CAP23-24'!$B:$H,Insumo[[#This Row],[DESCRIPCION]],'CAP23-24'!$H:$H)</f>
        <v>0</v>
      </c>
      <c r="O643" s="286">
        <f ca="1">SUMIF('CAP25'!$B:$H,Insumo[[#This Row],[DESCRIPCION]],'CAP25'!$H:$H)</f>
        <v>0</v>
      </c>
      <c r="P643" s="286">
        <f ca="1">SUMIF('CAP26-28'!$B:$H,Insumo[[#This Row],[DESCRIPCION]],'CAP26-28'!$H:$H)</f>
        <v>0</v>
      </c>
      <c r="Q643" s="286">
        <f ca="1">SUMIF('CAP29'!$B:$H,Insumo[[#This Row],[DESCRIPCION]],'CAP29'!$H:$H)</f>
        <v>0</v>
      </c>
      <c r="R643" s="136" t="s">
        <v>2696</v>
      </c>
      <c r="T643" s="136">
        <v>6174</v>
      </c>
    </row>
    <row r="644" spans="1:20" ht="12" customHeight="1">
      <c r="A644" s="301" t="s">
        <v>3254</v>
      </c>
      <c r="B644" s="303" t="s">
        <v>23</v>
      </c>
      <c r="C644" s="304">
        <f t="shared" si="9"/>
        <v>23064.3</v>
      </c>
      <c r="D644" s="281" cm="1">
        <f t="array" aca="1" ref="D644" ca="1">IF(Insumo[[#This Row],[VALOR]]=0,Insumo[TOTAL],E644/C644)</f>
        <v>0</v>
      </c>
      <c r="E644" s="69">
        <f ca="1">SUM(Insumo[[#This Row],[CAP1-3]:[CAP29]])</f>
        <v>0</v>
      </c>
      <c r="F644" s="69">
        <f ca="1">SUMIF('CAP1-3'!$B:$H,Insumo[[#This Row],[DESCRIPCION]],'CAP1-3'!$H:$H)</f>
        <v>0</v>
      </c>
      <c r="G644" s="69">
        <f ca="1">SUMIF('CAP4-5'!$B:$H,Insumo[[#This Row],[DESCRIPCION]],'CAP4-5'!$H:$H)</f>
        <v>0</v>
      </c>
      <c r="H644" s="69">
        <f ca="1">SUMIF('CAP6-7'!$B:$H,Insumo[[#This Row],[DESCRIPCION]],'CAP6-7'!$H:$H)</f>
        <v>0</v>
      </c>
      <c r="I644" s="69">
        <f ca="1">SUMIF('CAP8'!$B:$H,Insumo[[#This Row],[DESCRIPCION]],'CAP8'!$H:$H)</f>
        <v>0</v>
      </c>
      <c r="J644" s="69">
        <f ca="1">SUMIF('CAP9-13'!$B:$H,Insumo[[#This Row],[DESCRIPCION]],'CAP9-13'!$H:$H)</f>
        <v>0</v>
      </c>
      <c r="K644" s="69">
        <f ca="1">SUMIF('CAP14-15'!$B:$H,Insumo[[#This Row],[DESCRIPCION]],'CAP14-15'!$H:$H)</f>
        <v>0</v>
      </c>
      <c r="L644" s="69">
        <f ca="1">SUMIF('CAP16-18'!$B:$H,Insumo[[#This Row],[DESCRIPCION]],'CAP16-18'!$H:$H)</f>
        <v>0</v>
      </c>
      <c r="M644" s="69">
        <f ca="1">SUMIF('CAP19-22'!$B:$H,Insumo[[#This Row],[DESCRIPCION]],'CAP19-22'!$H:$H)</f>
        <v>0</v>
      </c>
      <c r="N644" s="69">
        <f ca="1">SUMIF('CAP23-24'!$B:$H,Insumo[[#This Row],[DESCRIPCION]],'CAP23-24'!$H:$H)</f>
        <v>0</v>
      </c>
      <c r="O644" s="69">
        <f ca="1">SUMIF('CAP25'!$B:$H,Insumo[[#This Row],[DESCRIPCION]],'CAP25'!$H:$H)</f>
        <v>0</v>
      </c>
      <c r="P644" s="69">
        <f ca="1">SUMIF('CAP26-28'!$B:$H,Insumo[[#This Row],[DESCRIPCION]],'CAP26-28'!$H:$H)</f>
        <v>0</v>
      </c>
      <c r="Q644" s="69">
        <f ca="1">SUMIF('CAP29'!$B:$H,Insumo[[#This Row],[DESCRIPCION]],'CAP29'!$H:$H)</f>
        <v>0</v>
      </c>
      <c r="T644" s="136">
        <v>21966</v>
      </c>
    </row>
    <row r="645" spans="1:20" ht="12" customHeight="1">
      <c r="A645" s="301" t="s">
        <v>3255</v>
      </c>
      <c r="B645" s="303" t="s">
        <v>23</v>
      </c>
      <c r="C645" s="304">
        <f t="shared" si="9"/>
        <v>23064.3</v>
      </c>
      <c r="D645" s="281" cm="1">
        <f t="array" aca="1" ref="D645" ca="1">IF(Insumo[[#This Row],[VALOR]]=0,Insumo[TOTAL],E645/C645)</f>
        <v>0</v>
      </c>
      <c r="E645" s="69">
        <f ca="1">SUM(Insumo[[#This Row],[CAP1-3]:[CAP29]])</f>
        <v>0</v>
      </c>
      <c r="F645" s="69">
        <f ca="1">SUMIF('CAP1-3'!$B:$H,Insumo[[#This Row],[DESCRIPCION]],'CAP1-3'!$H:$H)</f>
        <v>0</v>
      </c>
      <c r="G645" s="69">
        <f ca="1">SUMIF('CAP4-5'!$B:$H,Insumo[[#This Row],[DESCRIPCION]],'CAP4-5'!$H:$H)</f>
        <v>0</v>
      </c>
      <c r="H645" s="69">
        <f ca="1">SUMIF('CAP6-7'!$B:$H,Insumo[[#This Row],[DESCRIPCION]],'CAP6-7'!$H:$H)</f>
        <v>0</v>
      </c>
      <c r="I645" s="69">
        <f ca="1">SUMIF('CAP8'!$B:$H,Insumo[[#This Row],[DESCRIPCION]],'CAP8'!$H:$H)</f>
        <v>0</v>
      </c>
      <c r="J645" s="69">
        <f ca="1">SUMIF('CAP9-13'!$B:$H,Insumo[[#This Row],[DESCRIPCION]],'CAP9-13'!$H:$H)</f>
        <v>0</v>
      </c>
      <c r="K645" s="69">
        <f ca="1">SUMIF('CAP14-15'!$B:$H,Insumo[[#This Row],[DESCRIPCION]],'CAP14-15'!$H:$H)</f>
        <v>0</v>
      </c>
      <c r="L645" s="69">
        <f ca="1">SUMIF('CAP16-18'!$B:$H,Insumo[[#This Row],[DESCRIPCION]],'CAP16-18'!$H:$H)</f>
        <v>0</v>
      </c>
      <c r="M645" s="69">
        <f ca="1">SUMIF('CAP19-22'!$B:$H,Insumo[[#This Row],[DESCRIPCION]],'CAP19-22'!$H:$H)</f>
        <v>0</v>
      </c>
      <c r="N645" s="69">
        <f ca="1">SUMIF('CAP23-24'!$B:$H,Insumo[[#This Row],[DESCRIPCION]],'CAP23-24'!$H:$H)</f>
        <v>0</v>
      </c>
      <c r="O645" s="69">
        <f ca="1">SUMIF('CAP25'!$B:$H,Insumo[[#This Row],[DESCRIPCION]],'CAP25'!$H:$H)</f>
        <v>0</v>
      </c>
      <c r="P645" s="69">
        <f ca="1">SUMIF('CAP26-28'!$B:$H,Insumo[[#This Row],[DESCRIPCION]],'CAP26-28'!$H:$H)</f>
        <v>0</v>
      </c>
      <c r="Q645" s="69">
        <f ca="1">SUMIF('CAP29'!$B:$H,Insumo[[#This Row],[DESCRIPCION]],'CAP29'!$H:$H)</f>
        <v>0</v>
      </c>
      <c r="T645" s="136">
        <v>21966</v>
      </c>
    </row>
    <row r="646" spans="1:20" ht="12" customHeight="1">
      <c r="A646" s="301" t="s">
        <v>3256</v>
      </c>
      <c r="B646" s="303" t="s">
        <v>23</v>
      </c>
      <c r="C646" s="304">
        <f t="shared" ref="C646:C709" si="10">T646*$T$3</f>
        <v>23300.55</v>
      </c>
      <c r="D646" s="281" cm="1">
        <f t="array" aca="1" ref="D646" ca="1">IF(Insumo[[#This Row],[VALOR]]=0,Insumo[TOTAL],E646/C646)</f>
        <v>0</v>
      </c>
      <c r="E646" s="69">
        <f ca="1">SUM(Insumo[[#This Row],[CAP1-3]:[CAP29]])</f>
        <v>0</v>
      </c>
      <c r="F646" s="69">
        <f ca="1">SUMIF('CAP1-3'!$B:$H,Insumo[[#This Row],[DESCRIPCION]],'CAP1-3'!$H:$H)</f>
        <v>0</v>
      </c>
      <c r="G646" s="69">
        <f ca="1">SUMIF('CAP4-5'!$B:$H,Insumo[[#This Row],[DESCRIPCION]],'CAP4-5'!$H:$H)</f>
        <v>0</v>
      </c>
      <c r="H646" s="69">
        <f ca="1">SUMIF('CAP6-7'!$B:$H,Insumo[[#This Row],[DESCRIPCION]],'CAP6-7'!$H:$H)</f>
        <v>0</v>
      </c>
      <c r="I646" s="69">
        <f ca="1">SUMIF('CAP8'!$B:$H,Insumo[[#This Row],[DESCRIPCION]],'CAP8'!$H:$H)</f>
        <v>0</v>
      </c>
      <c r="J646" s="69">
        <f ca="1">SUMIF('CAP9-13'!$B:$H,Insumo[[#This Row],[DESCRIPCION]],'CAP9-13'!$H:$H)</f>
        <v>0</v>
      </c>
      <c r="K646" s="69">
        <f ca="1">SUMIF('CAP14-15'!$B:$H,Insumo[[#This Row],[DESCRIPCION]],'CAP14-15'!$H:$H)</f>
        <v>0</v>
      </c>
      <c r="L646" s="69">
        <f ca="1">SUMIF('CAP16-18'!$B:$H,Insumo[[#This Row],[DESCRIPCION]],'CAP16-18'!$H:$H)</f>
        <v>0</v>
      </c>
      <c r="M646" s="69">
        <f ca="1">SUMIF('CAP19-22'!$B:$H,Insumo[[#This Row],[DESCRIPCION]],'CAP19-22'!$H:$H)</f>
        <v>0</v>
      </c>
      <c r="N646" s="69">
        <f ca="1">SUMIF('CAP23-24'!$B:$H,Insumo[[#This Row],[DESCRIPCION]],'CAP23-24'!$H:$H)</f>
        <v>0</v>
      </c>
      <c r="O646" s="69">
        <f ca="1">SUMIF('CAP25'!$B:$H,Insumo[[#This Row],[DESCRIPCION]],'CAP25'!$H:$H)</f>
        <v>0</v>
      </c>
      <c r="P646" s="69">
        <f ca="1">SUMIF('CAP26-28'!$B:$H,Insumo[[#This Row],[DESCRIPCION]],'CAP26-28'!$H:$H)</f>
        <v>0</v>
      </c>
      <c r="Q646" s="69">
        <f ca="1">SUMIF('CAP29'!$B:$H,Insumo[[#This Row],[DESCRIPCION]],'CAP29'!$H:$H)</f>
        <v>0</v>
      </c>
      <c r="T646" s="136">
        <v>22191</v>
      </c>
    </row>
    <row r="647" spans="1:20" ht="12" customHeight="1">
      <c r="A647" s="301" t="s">
        <v>3257</v>
      </c>
      <c r="B647" s="303" t="s">
        <v>23</v>
      </c>
      <c r="C647" s="304">
        <f t="shared" si="10"/>
        <v>28699.65</v>
      </c>
      <c r="D647" s="281" cm="1">
        <f t="array" aca="1" ref="D647" ca="1">IF(Insumo[[#This Row],[VALOR]]=0,Insumo[TOTAL],E647/C647)</f>
        <v>0</v>
      </c>
      <c r="E647" s="69">
        <f ca="1">SUM(Insumo[[#This Row],[CAP1-3]:[CAP29]])</f>
        <v>0</v>
      </c>
      <c r="F647" s="69">
        <f ca="1">SUMIF('CAP1-3'!$B:$H,Insumo[[#This Row],[DESCRIPCION]],'CAP1-3'!$H:$H)</f>
        <v>0</v>
      </c>
      <c r="G647" s="69">
        <f ca="1">SUMIF('CAP4-5'!$B:$H,Insumo[[#This Row],[DESCRIPCION]],'CAP4-5'!$H:$H)</f>
        <v>0</v>
      </c>
      <c r="H647" s="69">
        <f ca="1">SUMIF('CAP6-7'!$B:$H,Insumo[[#This Row],[DESCRIPCION]],'CAP6-7'!$H:$H)</f>
        <v>0</v>
      </c>
      <c r="I647" s="69">
        <f ca="1">SUMIF('CAP8'!$B:$H,Insumo[[#This Row],[DESCRIPCION]],'CAP8'!$H:$H)</f>
        <v>0</v>
      </c>
      <c r="J647" s="69">
        <f ca="1">SUMIF('CAP9-13'!$B:$H,Insumo[[#This Row],[DESCRIPCION]],'CAP9-13'!$H:$H)</f>
        <v>0</v>
      </c>
      <c r="K647" s="69">
        <f ca="1">SUMIF('CAP14-15'!$B:$H,Insumo[[#This Row],[DESCRIPCION]],'CAP14-15'!$H:$H)</f>
        <v>0</v>
      </c>
      <c r="L647" s="69">
        <f ca="1">SUMIF('CAP16-18'!$B:$H,Insumo[[#This Row],[DESCRIPCION]],'CAP16-18'!$H:$H)</f>
        <v>0</v>
      </c>
      <c r="M647" s="69">
        <f ca="1">SUMIF('CAP19-22'!$B:$H,Insumo[[#This Row],[DESCRIPCION]],'CAP19-22'!$H:$H)</f>
        <v>0</v>
      </c>
      <c r="N647" s="69">
        <f ca="1">SUMIF('CAP23-24'!$B:$H,Insumo[[#This Row],[DESCRIPCION]],'CAP23-24'!$H:$H)</f>
        <v>0</v>
      </c>
      <c r="O647" s="69">
        <f ca="1">SUMIF('CAP25'!$B:$H,Insumo[[#This Row],[DESCRIPCION]],'CAP25'!$H:$H)</f>
        <v>0</v>
      </c>
      <c r="P647" s="69">
        <f ca="1">SUMIF('CAP26-28'!$B:$H,Insumo[[#This Row],[DESCRIPCION]],'CAP26-28'!$H:$H)</f>
        <v>0</v>
      </c>
      <c r="Q647" s="69">
        <f ca="1">SUMIF('CAP29'!$B:$H,Insumo[[#This Row],[DESCRIPCION]],'CAP29'!$H:$H)</f>
        <v>0</v>
      </c>
      <c r="T647" s="136">
        <v>27333</v>
      </c>
    </row>
    <row r="648" spans="1:20" ht="12" customHeight="1">
      <c r="A648" s="301" t="s">
        <v>3258</v>
      </c>
      <c r="B648" s="303" t="s">
        <v>23</v>
      </c>
      <c r="C648" s="304">
        <f t="shared" si="10"/>
        <v>863835</v>
      </c>
      <c r="D648" s="281" cm="1">
        <f t="array" aca="1" ref="D648" ca="1">IF(Insumo[[#This Row],[VALOR]]=0,Insumo[TOTAL],E648/C648)</f>
        <v>0</v>
      </c>
      <c r="E648" s="69">
        <f ca="1">SUM(Insumo[[#This Row],[CAP1-3]:[CAP29]])</f>
        <v>0</v>
      </c>
      <c r="F648" s="69">
        <f ca="1">SUMIF('CAP1-3'!$B:$H,Insumo[[#This Row],[DESCRIPCION]],'CAP1-3'!$H:$H)</f>
        <v>0</v>
      </c>
      <c r="G648" s="69">
        <f ca="1">SUMIF('CAP4-5'!$B:$H,Insumo[[#This Row],[DESCRIPCION]],'CAP4-5'!$H:$H)</f>
        <v>0</v>
      </c>
      <c r="H648" s="69">
        <f ca="1">SUMIF('CAP6-7'!$B:$H,Insumo[[#This Row],[DESCRIPCION]],'CAP6-7'!$H:$H)</f>
        <v>0</v>
      </c>
      <c r="I648" s="69">
        <f ca="1">SUMIF('CAP8'!$B:$H,Insumo[[#This Row],[DESCRIPCION]],'CAP8'!$H:$H)</f>
        <v>0</v>
      </c>
      <c r="J648" s="69">
        <f ca="1">SUMIF('CAP9-13'!$B:$H,Insumo[[#This Row],[DESCRIPCION]],'CAP9-13'!$H:$H)</f>
        <v>0</v>
      </c>
      <c r="K648" s="69">
        <f ca="1">SUMIF('CAP14-15'!$B:$H,Insumo[[#This Row],[DESCRIPCION]],'CAP14-15'!$H:$H)</f>
        <v>0</v>
      </c>
      <c r="L648" s="69">
        <f ca="1">SUMIF('CAP16-18'!$B:$H,Insumo[[#This Row],[DESCRIPCION]],'CAP16-18'!$H:$H)</f>
        <v>0</v>
      </c>
      <c r="M648" s="69">
        <f ca="1">SUMIF('CAP19-22'!$B:$H,Insumo[[#This Row],[DESCRIPCION]],'CAP19-22'!$H:$H)</f>
        <v>0</v>
      </c>
      <c r="N648" s="69">
        <f ca="1">SUMIF('CAP23-24'!$B:$H,Insumo[[#This Row],[DESCRIPCION]],'CAP23-24'!$H:$H)</f>
        <v>0</v>
      </c>
      <c r="O648" s="69">
        <f ca="1">SUMIF('CAP25'!$B:$H,Insumo[[#This Row],[DESCRIPCION]],'CAP25'!$H:$H)</f>
        <v>0</v>
      </c>
      <c r="P648" s="69">
        <f ca="1">SUMIF('CAP26-28'!$B:$H,Insumo[[#This Row],[DESCRIPCION]],'CAP26-28'!$H:$H)</f>
        <v>0</v>
      </c>
      <c r="Q648" s="69">
        <f ca="1">SUMIF('CAP29'!$B:$H,Insumo[[#This Row],[DESCRIPCION]],'CAP29'!$H:$H)</f>
        <v>0</v>
      </c>
      <c r="T648" s="136">
        <v>822700</v>
      </c>
    </row>
    <row r="649" spans="1:20" ht="12" customHeight="1">
      <c r="A649" s="301" t="s">
        <v>3259</v>
      </c>
      <c r="B649" s="303" t="s">
        <v>23</v>
      </c>
      <c r="C649" s="304">
        <f t="shared" si="10"/>
        <v>138386.85</v>
      </c>
      <c r="D649" s="281" cm="1">
        <f t="array" aca="1" ref="D649" ca="1">IF(Insumo[[#This Row],[VALOR]]=0,Insumo[TOTAL],E649/C649)</f>
        <v>0</v>
      </c>
      <c r="E649" s="69">
        <f ca="1">SUM(Insumo[[#This Row],[CAP1-3]:[CAP29]])</f>
        <v>0</v>
      </c>
      <c r="F649" s="69">
        <f ca="1">SUMIF('CAP1-3'!$B:$H,Insumo[[#This Row],[DESCRIPCION]],'CAP1-3'!$H:$H)</f>
        <v>0</v>
      </c>
      <c r="G649" s="69">
        <f ca="1">SUMIF('CAP4-5'!$B:$H,Insumo[[#This Row],[DESCRIPCION]],'CAP4-5'!$H:$H)</f>
        <v>0</v>
      </c>
      <c r="H649" s="69">
        <f ca="1">SUMIF('CAP6-7'!$B:$H,Insumo[[#This Row],[DESCRIPCION]],'CAP6-7'!$H:$H)</f>
        <v>0</v>
      </c>
      <c r="I649" s="69">
        <f ca="1">SUMIF('CAP8'!$B:$H,Insumo[[#This Row],[DESCRIPCION]],'CAP8'!$H:$H)</f>
        <v>0</v>
      </c>
      <c r="J649" s="69">
        <f ca="1">SUMIF('CAP9-13'!$B:$H,Insumo[[#This Row],[DESCRIPCION]],'CAP9-13'!$H:$H)</f>
        <v>0</v>
      </c>
      <c r="K649" s="69">
        <f ca="1">SUMIF('CAP14-15'!$B:$H,Insumo[[#This Row],[DESCRIPCION]],'CAP14-15'!$H:$H)</f>
        <v>0</v>
      </c>
      <c r="L649" s="69">
        <f ca="1">SUMIF('CAP16-18'!$B:$H,Insumo[[#This Row],[DESCRIPCION]],'CAP16-18'!$H:$H)</f>
        <v>0</v>
      </c>
      <c r="M649" s="69">
        <f ca="1">SUMIF('CAP19-22'!$B:$H,Insumo[[#This Row],[DESCRIPCION]],'CAP19-22'!$H:$H)</f>
        <v>0</v>
      </c>
      <c r="N649" s="69">
        <f ca="1">SUMIF('CAP23-24'!$B:$H,Insumo[[#This Row],[DESCRIPCION]],'CAP23-24'!$H:$H)</f>
        <v>0</v>
      </c>
      <c r="O649" s="69">
        <f ca="1">SUMIF('CAP25'!$B:$H,Insumo[[#This Row],[DESCRIPCION]],'CAP25'!$H:$H)</f>
        <v>0</v>
      </c>
      <c r="P649" s="69">
        <f ca="1">SUMIF('CAP26-28'!$B:$H,Insumo[[#This Row],[DESCRIPCION]],'CAP26-28'!$H:$H)</f>
        <v>0</v>
      </c>
      <c r="Q649" s="69">
        <f ca="1">SUMIF('CAP29'!$B:$H,Insumo[[#This Row],[DESCRIPCION]],'CAP29'!$H:$H)</f>
        <v>0</v>
      </c>
      <c r="T649" s="136">
        <v>131797</v>
      </c>
    </row>
    <row r="650" spans="1:20" ht="12" customHeight="1">
      <c r="A650" s="301" t="s">
        <v>3260</v>
      </c>
      <c r="B650" s="303" t="s">
        <v>20</v>
      </c>
      <c r="C650" s="304">
        <f t="shared" si="10"/>
        <v>173493.6</v>
      </c>
      <c r="D650" s="281" cm="1">
        <f t="array" aca="1" ref="D650" ca="1">IF(Insumo[[#This Row],[VALOR]]=0,Insumo[TOTAL],E650/C650)</f>
        <v>0</v>
      </c>
      <c r="E650" s="69">
        <f ca="1">SUM(Insumo[[#This Row],[CAP1-3]:[CAP29]])</f>
        <v>0</v>
      </c>
      <c r="F650" s="69">
        <f ca="1">SUMIF('CAP1-3'!$B:$H,Insumo[[#This Row],[DESCRIPCION]],'CAP1-3'!$H:$H)</f>
        <v>0</v>
      </c>
      <c r="G650" s="69">
        <f ca="1">SUMIF('CAP4-5'!$B:$H,Insumo[[#This Row],[DESCRIPCION]],'CAP4-5'!$H:$H)</f>
        <v>0</v>
      </c>
      <c r="H650" s="69">
        <f ca="1">SUMIF('CAP6-7'!$B:$H,Insumo[[#This Row],[DESCRIPCION]],'CAP6-7'!$H:$H)</f>
        <v>0</v>
      </c>
      <c r="I650" s="69">
        <f ca="1">SUMIF('CAP8'!$B:$H,Insumo[[#This Row],[DESCRIPCION]],'CAP8'!$H:$H)</f>
        <v>0</v>
      </c>
      <c r="J650" s="69">
        <f ca="1">SUMIF('CAP9-13'!$B:$H,Insumo[[#This Row],[DESCRIPCION]],'CAP9-13'!$H:$H)</f>
        <v>0</v>
      </c>
      <c r="K650" s="69">
        <f ca="1">SUMIF('CAP14-15'!$B:$H,Insumo[[#This Row],[DESCRIPCION]],'CAP14-15'!$H:$H)</f>
        <v>0</v>
      </c>
      <c r="L650" s="69">
        <f ca="1">SUMIF('CAP16-18'!$B:$H,Insumo[[#This Row],[DESCRIPCION]],'CAP16-18'!$H:$H)</f>
        <v>0</v>
      </c>
      <c r="M650" s="69">
        <f ca="1">SUMIF('CAP19-22'!$B:$H,Insumo[[#This Row],[DESCRIPCION]],'CAP19-22'!$H:$H)</f>
        <v>0</v>
      </c>
      <c r="N650" s="69">
        <f ca="1">SUMIF('CAP23-24'!$B:$H,Insumo[[#This Row],[DESCRIPCION]],'CAP23-24'!$H:$H)</f>
        <v>0</v>
      </c>
      <c r="O650" s="69">
        <f ca="1">SUMIF('CAP25'!$B:$H,Insumo[[#This Row],[DESCRIPCION]],'CAP25'!$H:$H)</f>
        <v>0</v>
      </c>
      <c r="P650" s="69">
        <f ca="1">SUMIF('CAP26-28'!$B:$H,Insumo[[#This Row],[DESCRIPCION]],'CAP26-28'!$H:$H)</f>
        <v>0</v>
      </c>
      <c r="Q650" s="69">
        <f ca="1">SUMIF('CAP29'!$B:$H,Insumo[[#This Row],[DESCRIPCION]],'CAP29'!$H:$H)</f>
        <v>0</v>
      </c>
      <c r="T650" s="136">
        <v>165232</v>
      </c>
    </row>
    <row r="651" spans="1:20" ht="12" customHeight="1">
      <c r="A651" s="301" t="s">
        <v>3261</v>
      </c>
      <c r="B651" s="303" t="s">
        <v>30</v>
      </c>
      <c r="C651" s="304">
        <f t="shared" si="10"/>
        <v>198909.9</v>
      </c>
      <c r="D651" s="281" cm="1">
        <f t="array" aca="1" ref="D651" ca="1">IF(Insumo[[#This Row],[VALOR]]=0,Insumo[TOTAL],E651/C651)</f>
        <v>0</v>
      </c>
      <c r="E651" s="69">
        <f ca="1">SUM(Insumo[[#This Row],[CAP1-3]:[CAP29]])</f>
        <v>0</v>
      </c>
      <c r="F651" s="69">
        <f ca="1">SUMIF('CAP1-3'!$B:$H,Insumo[[#This Row],[DESCRIPCION]],'CAP1-3'!$H:$H)</f>
        <v>0</v>
      </c>
      <c r="G651" s="69">
        <f ca="1">SUMIF('CAP4-5'!$B:$H,Insumo[[#This Row],[DESCRIPCION]],'CAP4-5'!$H:$H)</f>
        <v>0</v>
      </c>
      <c r="H651" s="69">
        <f ca="1">SUMIF('CAP6-7'!$B:$H,Insumo[[#This Row],[DESCRIPCION]],'CAP6-7'!$H:$H)</f>
        <v>0</v>
      </c>
      <c r="I651" s="69">
        <f ca="1">SUMIF('CAP8'!$B:$H,Insumo[[#This Row],[DESCRIPCION]],'CAP8'!$H:$H)</f>
        <v>0</v>
      </c>
      <c r="J651" s="69">
        <f ca="1">SUMIF('CAP9-13'!$B:$H,Insumo[[#This Row],[DESCRIPCION]],'CAP9-13'!$H:$H)</f>
        <v>0</v>
      </c>
      <c r="K651" s="69">
        <f ca="1">SUMIF('CAP14-15'!$B:$H,Insumo[[#This Row],[DESCRIPCION]],'CAP14-15'!$H:$H)</f>
        <v>0</v>
      </c>
      <c r="L651" s="69">
        <f ca="1">SUMIF('CAP16-18'!$B:$H,Insumo[[#This Row],[DESCRIPCION]],'CAP16-18'!$H:$H)</f>
        <v>0</v>
      </c>
      <c r="M651" s="69">
        <f ca="1">SUMIF('CAP19-22'!$B:$H,Insumo[[#This Row],[DESCRIPCION]],'CAP19-22'!$H:$H)</f>
        <v>0</v>
      </c>
      <c r="N651" s="69">
        <f ca="1">SUMIF('CAP23-24'!$B:$H,Insumo[[#This Row],[DESCRIPCION]],'CAP23-24'!$H:$H)</f>
        <v>0</v>
      </c>
      <c r="O651" s="69">
        <f ca="1">SUMIF('CAP25'!$B:$H,Insumo[[#This Row],[DESCRIPCION]],'CAP25'!$H:$H)</f>
        <v>0</v>
      </c>
      <c r="P651" s="69">
        <f ca="1">SUMIF('CAP26-28'!$B:$H,Insumo[[#This Row],[DESCRIPCION]],'CAP26-28'!$H:$H)</f>
        <v>0</v>
      </c>
      <c r="Q651" s="69">
        <f ca="1">SUMIF('CAP29'!$B:$H,Insumo[[#This Row],[DESCRIPCION]],'CAP29'!$H:$H)</f>
        <v>0</v>
      </c>
      <c r="T651" s="136">
        <v>189438</v>
      </c>
    </row>
    <row r="652" spans="1:20" ht="12" customHeight="1">
      <c r="A652" s="301" t="s">
        <v>3262</v>
      </c>
      <c r="B652" s="303" t="s">
        <v>30</v>
      </c>
      <c r="C652" s="304">
        <f t="shared" si="10"/>
        <v>340987.5</v>
      </c>
      <c r="D652" s="281" cm="1">
        <f t="array" aca="1" ref="D652" ca="1">IF(Insumo[[#This Row],[VALOR]]=0,Insumo[TOTAL],E652/C652)</f>
        <v>0</v>
      </c>
      <c r="E652" s="69">
        <f ca="1">SUM(Insumo[[#This Row],[CAP1-3]:[CAP29]])</f>
        <v>0</v>
      </c>
      <c r="F652" s="69">
        <f ca="1">SUMIF('CAP1-3'!$B:$H,Insumo[[#This Row],[DESCRIPCION]],'CAP1-3'!$H:$H)</f>
        <v>0</v>
      </c>
      <c r="G652" s="69">
        <f ca="1">SUMIF('CAP4-5'!$B:$H,Insumo[[#This Row],[DESCRIPCION]],'CAP4-5'!$H:$H)</f>
        <v>0</v>
      </c>
      <c r="H652" s="69">
        <f ca="1">SUMIF('CAP6-7'!$B:$H,Insumo[[#This Row],[DESCRIPCION]],'CAP6-7'!$H:$H)</f>
        <v>0</v>
      </c>
      <c r="I652" s="69">
        <f ca="1">SUMIF('CAP8'!$B:$H,Insumo[[#This Row],[DESCRIPCION]],'CAP8'!$H:$H)</f>
        <v>0</v>
      </c>
      <c r="J652" s="69">
        <f ca="1">SUMIF('CAP9-13'!$B:$H,Insumo[[#This Row],[DESCRIPCION]],'CAP9-13'!$H:$H)</f>
        <v>0</v>
      </c>
      <c r="K652" s="69">
        <f ca="1">SUMIF('CAP14-15'!$B:$H,Insumo[[#This Row],[DESCRIPCION]],'CAP14-15'!$H:$H)</f>
        <v>0</v>
      </c>
      <c r="L652" s="69">
        <f ca="1">SUMIF('CAP16-18'!$B:$H,Insumo[[#This Row],[DESCRIPCION]],'CAP16-18'!$H:$H)</f>
        <v>0</v>
      </c>
      <c r="M652" s="69">
        <f ca="1">SUMIF('CAP19-22'!$B:$H,Insumo[[#This Row],[DESCRIPCION]],'CAP19-22'!$H:$H)</f>
        <v>0</v>
      </c>
      <c r="N652" s="69">
        <f ca="1">SUMIF('CAP23-24'!$B:$H,Insumo[[#This Row],[DESCRIPCION]],'CAP23-24'!$H:$H)</f>
        <v>0</v>
      </c>
      <c r="O652" s="69">
        <f ca="1">SUMIF('CAP25'!$B:$H,Insumo[[#This Row],[DESCRIPCION]],'CAP25'!$H:$H)</f>
        <v>0</v>
      </c>
      <c r="P652" s="69">
        <f ca="1">SUMIF('CAP26-28'!$B:$H,Insumo[[#This Row],[DESCRIPCION]],'CAP26-28'!$H:$H)</f>
        <v>0</v>
      </c>
      <c r="Q652" s="69">
        <f ca="1">SUMIF('CAP29'!$B:$H,Insumo[[#This Row],[DESCRIPCION]],'CAP29'!$H:$H)</f>
        <v>0</v>
      </c>
      <c r="T652" s="136">
        <v>324750</v>
      </c>
    </row>
    <row r="653" spans="1:20" ht="12" customHeight="1">
      <c r="A653" s="301" t="s">
        <v>3263</v>
      </c>
      <c r="B653" s="303" t="s">
        <v>23</v>
      </c>
      <c r="C653" s="304">
        <f t="shared" si="10"/>
        <v>372713.25</v>
      </c>
      <c r="D653" s="281" cm="1">
        <f t="array" aca="1" ref="D653" ca="1">IF(Insumo[[#This Row],[VALOR]]=0,Insumo[TOTAL],E653/C653)</f>
        <v>0</v>
      </c>
      <c r="E653" s="69">
        <f ca="1">SUM(Insumo[[#This Row],[CAP1-3]:[CAP29]])</f>
        <v>0</v>
      </c>
      <c r="F653" s="69">
        <f ca="1">SUMIF('CAP1-3'!$B:$H,Insumo[[#This Row],[DESCRIPCION]],'CAP1-3'!$H:$H)</f>
        <v>0</v>
      </c>
      <c r="G653" s="69">
        <f ca="1">SUMIF('CAP4-5'!$B:$H,Insumo[[#This Row],[DESCRIPCION]],'CAP4-5'!$H:$H)</f>
        <v>0</v>
      </c>
      <c r="H653" s="69">
        <f ca="1">SUMIF('CAP6-7'!$B:$H,Insumo[[#This Row],[DESCRIPCION]],'CAP6-7'!$H:$H)</f>
        <v>0</v>
      </c>
      <c r="I653" s="69">
        <f ca="1">SUMIF('CAP8'!$B:$H,Insumo[[#This Row],[DESCRIPCION]],'CAP8'!$H:$H)</f>
        <v>0</v>
      </c>
      <c r="J653" s="69">
        <f ca="1">SUMIF('CAP9-13'!$B:$H,Insumo[[#This Row],[DESCRIPCION]],'CAP9-13'!$H:$H)</f>
        <v>0</v>
      </c>
      <c r="K653" s="69">
        <f ca="1">SUMIF('CAP14-15'!$B:$H,Insumo[[#This Row],[DESCRIPCION]],'CAP14-15'!$H:$H)</f>
        <v>0</v>
      </c>
      <c r="L653" s="69">
        <f ca="1">SUMIF('CAP16-18'!$B:$H,Insumo[[#This Row],[DESCRIPCION]],'CAP16-18'!$H:$H)</f>
        <v>0</v>
      </c>
      <c r="M653" s="69">
        <f ca="1">SUMIF('CAP19-22'!$B:$H,Insumo[[#This Row],[DESCRIPCION]],'CAP19-22'!$H:$H)</f>
        <v>0</v>
      </c>
      <c r="N653" s="69">
        <f ca="1">SUMIF('CAP23-24'!$B:$H,Insumo[[#This Row],[DESCRIPCION]],'CAP23-24'!$H:$H)</f>
        <v>0</v>
      </c>
      <c r="O653" s="69">
        <f ca="1">SUMIF('CAP25'!$B:$H,Insumo[[#This Row],[DESCRIPCION]],'CAP25'!$H:$H)</f>
        <v>0</v>
      </c>
      <c r="P653" s="69">
        <f ca="1">SUMIF('CAP26-28'!$B:$H,Insumo[[#This Row],[DESCRIPCION]],'CAP26-28'!$H:$H)</f>
        <v>0</v>
      </c>
      <c r="Q653" s="69">
        <f ca="1">SUMIF('CAP29'!$B:$H,Insumo[[#This Row],[DESCRIPCION]],'CAP29'!$H:$H)</f>
        <v>0</v>
      </c>
      <c r="T653" s="136">
        <v>354965</v>
      </c>
    </row>
    <row r="654" spans="1:20" ht="12" customHeight="1">
      <c r="A654" s="301" t="s">
        <v>3264</v>
      </c>
      <c r="B654" s="303" t="s">
        <v>23</v>
      </c>
      <c r="C654" s="304">
        <f t="shared" si="10"/>
        <v>14526.75</v>
      </c>
      <c r="D654" s="281" cm="1">
        <f t="array" aca="1" ref="D654" ca="1">IF(Insumo[[#This Row],[VALOR]]=0,Insumo[TOTAL],E654/C654)</f>
        <v>0</v>
      </c>
      <c r="E654" s="69">
        <f ca="1">SUM(Insumo[[#This Row],[CAP1-3]:[CAP29]])</f>
        <v>0</v>
      </c>
      <c r="F654" s="69">
        <f ca="1">SUMIF('CAP1-3'!$B:$H,Insumo[[#This Row],[DESCRIPCION]],'CAP1-3'!$H:$H)</f>
        <v>0</v>
      </c>
      <c r="G654" s="69">
        <f ca="1">SUMIF('CAP4-5'!$B:$H,Insumo[[#This Row],[DESCRIPCION]],'CAP4-5'!$H:$H)</f>
        <v>0</v>
      </c>
      <c r="H654" s="69">
        <f ca="1">SUMIF('CAP6-7'!$B:$H,Insumo[[#This Row],[DESCRIPCION]],'CAP6-7'!$H:$H)</f>
        <v>0</v>
      </c>
      <c r="I654" s="69">
        <f ca="1">SUMIF('CAP8'!$B:$H,Insumo[[#This Row],[DESCRIPCION]],'CAP8'!$H:$H)</f>
        <v>0</v>
      </c>
      <c r="J654" s="69">
        <f ca="1">SUMIF('CAP9-13'!$B:$H,Insumo[[#This Row],[DESCRIPCION]],'CAP9-13'!$H:$H)</f>
        <v>0</v>
      </c>
      <c r="K654" s="69">
        <f ca="1">SUMIF('CAP14-15'!$B:$H,Insumo[[#This Row],[DESCRIPCION]],'CAP14-15'!$H:$H)</f>
        <v>0</v>
      </c>
      <c r="L654" s="69">
        <f ca="1">SUMIF('CAP16-18'!$B:$H,Insumo[[#This Row],[DESCRIPCION]],'CAP16-18'!$H:$H)</f>
        <v>0</v>
      </c>
      <c r="M654" s="69">
        <f ca="1">SUMIF('CAP19-22'!$B:$H,Insumo[[#This Row],[DESCRIPCION]],'CAP19-22'!$H:$H)</f>
        <v>0</v>
      </c>
      <c r="N654" s="69">
        <f ca="1">SUMIF('CAP23-24'!$B:$H,Insumo[[#This Row],[DESCRIPCION]],'CAP23-24'!$H:$H)</f>
        <v>0</v>
      </c>
      <c r="O654" s="69">
        <f ca="1">SUMIF('CAP25'!$B:$H,Insumo[[#This Row],[DESCRIPCION]],'CAP25'!$H:$H)</f>
        <v>0</v>
      </c>
      <c r="P654" s="69">
        <f ca="1">SUMIF('CAP26-28'!$B:$H,Insumo[[#This Row],[DESCRIPCION]],'CAP26-28'!$H:$H)</f>
        <v>0</v>
      </c>
      <c r="Q654" s="69">
        <f ca="1">SUMIF('CAP29'!$B:$H,Insumo[[#This Row],[DESCRIPCION]],'CAP29'!$H:$H)</f>
        <v>0</v>
      </c>
      <c r="R654" s="136" t="s">
        <v>3265</v>
      </c>
      <c r="T654" s="136">
        <v>13835</v>
      </c>
    </row>
    <row r="655" spans="1:20" ht="12" customHeight="1">
      <c r="A655" s="301" t="s">
        <v>3266</v>
      </c>
      <c r="B655" s="303" t="s">
        <v>23</v>
      </c>
      <c r="C655" s="304">
        <f t="shared" si="10"/>
        <v>15912.75</v>
      </c>
      <c r="D655" s="281" cm="1">
        <f t="array" aca="1" ref="D655" ca="1">IF(Insumo[[#This Row],[VALOR]]=0,Insumo[TOTAL],E655/C655)</f>
        <v>0</v>
      </c>
      <c r="E655" s="69">
        <f ca="1">SUM(Insumo[[#This Row],[CAP1-3]:[CAP29]])</f>
        <v>0</v>
      </c>
      <c r="F655" s="69">
        <f ca="1">SUMIF('CAP1-3'!$B:$H,Insumo[[#This Row],[DESCRIPCION]],'CAP1-3'!$H:$H)</f>
        <v>0</v>
      </c>
      <c r="G655" s="69">
        <f ca="1">SUMIF('CAP4-5'!$B:$H,Insumo[[#This Row],[DESCRIPCION]],'CAP4-5'!$H:$H)</f>
        <v>0</v>
      </c>
      <c r="H655" s="69">
        <f ca="1">SUMIF('CAP6-7'!$B:$H,Insumo[[#This Row],[DESCRIPCION]],'CAP6-7'!$H:$H)</f>
        <v>0</v>
      </c>
      <c r="I655" s="69">
        <f ca="1">SUMIF('CAP8'!$B:$H,Insumo[[#This Row],[DESCRIPCION]],'CAP8'!$H:$H)</f>
        <v>0</v>
      </c>
      <c r="J655" s="69">
        <f ca="1">SUMIF('CAP9-13'!$B:$H,Insumo[[#This Row],[DESCRIPCION]],'CAP9-13'!$H:$H)</f>
        <v>0</v>
      </c>
      <c r="K655" s="69">
        <f ca="1">SUMIF('CAP14-15'!$B:$H,Insumo[[#This Row],[DESCRIPCION]],'CAP14-15'!$H:$H)</f>
        <v>0</v>
      </c>
      <c r="L655" s="69">
        <f ca="1">SUMIF('CAP16-18'!$B:$H,Insumo[[#This Row],[DESCRIPCION]],'CAP16-18'!$H:$H)</f>
        <v>0</v>
      </c>
      <c r="M655" s="69">
        <f ca="1">SUMIF('CAP19-22'!$B:$H,Insumo[[#This Row],[DESCRIPCION]],'CAP19-22'!$H:$H)</f>
        <v>0</v>
      </c>
      <c r="N655" s="69">
        <f ca="1">SUMIF('CAP23-24'!$B:$H,Insumo[[#This Row],[DESCRIPCION]],'CAP23-24'!$H:$H)</f>
        <v>0</v>
      </c>
      <c r="O655" s="69">
        <f ca="1">SUMIF('CAP25'!$B:$H,Insumo[[#This Row],[DESCRIPCION]],'CAP25'!$H:$H)</f>
        <v>0</v>
      </c>
      <c r="P655" s="69">
        <f ca="1">SUMIF('CAP26-28'!$B:$H,Insumo[[#This Row],[DESCRIPCION]],'CAP26-28'!$H:$H)</f>
        <v>0</v>
      </c>
      <c r="Q655" s="69">
        <f ca="1">SUMIF('CAP29'!$B:$H,Insumo[[#This Row],[DESCRIPCION]],'CAP29'!$H:$H)</f>
        <v>0</v>
      </c>
      <c r="R655" s="136" t="s">
        <v>3265</v>
      </c>
      <c r="T655" s="136">
        <v>15155</v>
      </c>
    </row>
    <row r="656" spans="1:20" ht="12" customHeight="1">
      <c r="A656" s="301" t="s">
        <v>3267</v>
      </c>
      <c r="B656" s="303" t="s">
        <v>23</v>
      </c>
      <c r="C656" s="304">
        <f t="shared" si="10"/>
        <v>20112.75</v>
      </c>
      <c r="D656" s="281" cm="1">
        <f t="array" aca="1" ref="D656" ca="1">IF(Insumo[[#This Row],[VALOR]]=0,Insumo[TOTAL],E656/C656)</f>
        <v>0</v>
      </c>
      <c r="E656" s="69">
        <f ca="1">SUM(Insumo[[#This Row],[CAP1-3]:[CAP29]])</f>
        <v>0</v>
      </c>
      <c r="F656" s="69">
        <f ca="1">SUMIF('CAP1-3'!$B:$H,Insumo[[#This Row],[DESCRIPCION]],'CAP1-3'!$H:$H)</f>
        <v>0</v>
      </c>
      <c r="G656" s="69">
        <f ca="1">SUMIF('CAP4-5'!$B:$H,Insumo[[#This Row],[DESCRIPCION]],'CAP4-5'!$H:$H)</f>
        <v>0</v>
      </c>
      <c r="H656" s="69">
        <f ca="1">SUMIF('CAP6-7'!$B:$H,Insumo[[#This Row],[DESCRIPCION]],'CAP6-7'!$H:$H)</f>
        <v>0</v>
      </c>
      <c r="I656" s="69">
        <f ca="1">SUMIF('CAP8'!$B:$H,Insumo[[#This Row],[DESCRIPCION]],'CAP8'!$H:$H)</f>
        <v>0</v>
      </c>
      <c r="J656" s="69">
        <f ca="1">SUMIF('CAP9-13'!$B:$H,Insumo[[#This Row],[DESCRIPCION]],'CAP9-13'!$H:$H)</f>
        <v>0</v>
      </c>
      <c r="K656" s="69">
        <f ca="1">SUMIF('CAP14-15'!$B:$H,Insumo[[#This Row],[DESCRIPCION]],'CAP14-15'!$H:$H)</f>
        <v>0</v>
      </c>
      <c r="L656" s="69">
        <f ca="1">SUMIF('CAP16-18'!$B:$H,Insumo[[#This Row],[DESCRIPCION]],'CAP16-18'!$H:$H)</f>
        <v>0</v>
      </c>
      <c r="M656" s="69">
        <f ca="1">SUMIF('CAP19-22'!$B:$H,Insumo[[#This Row],[DESCRIPCION]],'CAP19-22'!$H:$H)</f>
        <v>0</v>
      </c>
      <c r="N656" s="69">
        <f ca="1">SUMIF('CAP23-24'!$B:$H,Insumo[[#This Row],[DESCRIPCION]],'CAP23-24'!$H:$H)</f>
        <v>0</v>
      </c>
      <c r="O656" s="69">
        <f ca="1">SUMIF('CAP25'!$B:$H,Insumo[[#This Row],[DESCRIPCION]],'CAP25'!$H:$H)</f>
        <v>0</v>
      </c>
      <c r="P656" s="69">
        <f ca="1">SUMIF('CAP26-28'!$B:$H,Insumo[[#This Row],[DESCRIPCION]],'CAP26-28'!$H:$H)</f>
        <v>0</v>
      </c>
      <c r="Q656" s="69">
        <f ca="1">SUMIF('CAP29'!$B:$H,Insumo[[#This Row],[DESCRIPCION]],'CAP29'!$H:$H)</f>
        <v>0</v>
      </c>
      <c r="R656" s="136" t="s">
        <v>3265</v>
      </c>
      <c r="T656" s="136">
        <v>19155</v>
      </c>
    </row>
    <row r="657" spans="1:20" ht="12" customHeight="1">
      <c r="A657" s="301" t="s">
        <v>3268</v>
      </c>
      <c r="B657" s="303" t="s">
        <v>23</v>
      </c>
      <c r="C657" s="304">
        <f t="shared" si="10"/>
        <v>70357.350000000006</v>
      </c>
      <c r="D657" s="281" cm="1">
        <f t="array" aca="1" ref="D657" ca="1">IF(Insumo[[#This Row],[VALOR]]=0,Insumo[TOTAL],E657/C657)</f>
        <v>0</v>
      </c>
      <c r="E657" s="69">
        <f ca="1">SUM(Insumo[[#This Row],[CAP1-3]:[CAP29]])</f>
        <v>0</v>
      </c>
      <c r="F657" s="69">
        <f ca="1">SUMIF('CAP1-3'!$B:$H,Insumo[[#This Row],[DESCRIPCION]],'CAP1-3'!$H:$H)</f>
        <v>0</v>
      </c>
      <c r="G657" s="69">
        <f ca="1">SUMIF('CAP4-5'!$B:$H,Insumo[[#This Row],[DESCRIPCION]],'CAP4-5'!$H:$H)</f>
        <v>0</v>
      </c>
      <c r="H657" s="69">
        <f ca="1">SUMIF('CAP6-7'!$B:$H,Insumo[[#This Row],[DESCRIPCION]],'CAP6-7'!$H:$H)</f>
        <v>0</v>
      </c>
      <c r="I657" s="69">
        <f ca="1">SUMIF('CAP8'!$B:$H,Insumo[[#This Row],[DESCRIPCION]],'CAP8'!$H:$H)</f>
        <v>0</v>
      </c>
      <c r="J657" s="69">
        <f ca="1">SUMIF('CAP9-13'!$B:$H,Insumo[[#This Row],[DESCRIPCION]],'CAP9-13'!$H:$H)</f>
        <v>0</v>
      </c>
      <c r="K657" s="69">
        <f ca="1">SUMIF('CAP14-15'!$B:$H,Insumo[[#This Row],[DESCRIPCION]],'CAP14-15'!$H:$H)</f>
        <v>0</v>
      </c>
      <c r="L657" s="69">
        <f ca="1">SUMIF('CAP16-18'!$B:$H,Insumo[[#This Row],[DESCRIPCION]],'CAP16-18'!$H:$H)</f>
        <v>0</v>
      </c>
      <c r="M657" s="69">
        <f ca="1">SUMIF('CAP19-22'!$B:$H,Insumo[[#This Row],[DESCRIPCION]],'CAP19-22'!$H:$H)</f>
        <v>0</v>
      </c>
      <c r="N657" s="69">
        <f ca="1">SUMIF('CAP23-24'!$B:$H,Insumo[[#This Row],[DESCRIPCION]],'CAP23-24'!$H:$H)</f>
        <v>0</v>
      </c>
      <c r="O657" s="69">
        <f ca="1">SUMIF('CAP25'!$B:$H,Insumo[[#This Row],[DESCRIPCION]],'CAP25'!$H:$H)</f>
        <v>0</v>
      </c>
      <c r="P657" s="69">
        <f ca="1">SUMIF('CAP26-28'!$B:$H,Insumo[[#This Row],[DESCRIPCION]],'CAP26-28'!$H:$H)</f>
        <v>0</v>
      </c>
      <c r="Q657" s="69">
        <f ca="1">SUMIF('CAP29'!$B:$H,Insumo[[#This Row],[DESCRIPCION]],'CAP29'!$H:$H)</f>
        <v>0</v>
      </c>
      <c r="T657" s="136">
        <v>67007</v>
      </c>
    </row>
    <row r="658" spans="1:20" ht="12" customHeight="1">
      <c r="A658" s="301" t="s">
        <v>3269</v>
      </c>
      <c r="B658" s="303" t="s">
        <v>23</v>
      </c>
      <c r="C658" s="304">
        <f t="shared" si="10"/>
        <v>96613.650000000009</v>
      </c>
      <c r="D658" s="281" cm="1">
        <f t="array" aca="1" ref="D658" ca="1">IF(Insumo[[#This Row],[VALOR]]=0,Insumo[TOTAL],E658/C658)</f>
        <v>0</v>
      </c>
      <c r="E658" s="69">
        <f ca="1">SUM(Insumo[[#This Row],[CAP1-3]:[CAP29]])</f>
        <v>0</v>
      </c>
      <c r="F658" s="69">
        <f ca="1">SUMIF('CAP1-3'!$B:$H,Insumo[[#This Row],[DESCRIPCION]],'CAP1-3'!$H:$H)</f>
        <v>0</v>
      </c>
      <c r="G658" s="69">
        <f ca="1">SUMIF('CAP4-5'!$B:$H,Insumo[[#This Row],[DESCRIPCION]],'CAP4-5'!$H:$H)</f>
        <v>0</v>
      </c>
      <c r="H658" s="69">
        <f ca="1">SUMIF('CAP6-7'!$B:$H,Insumo[[#This Row],[DESCRIPCION]],'CAP6-7'!$H:$H)</f>
        <v>0</v>
      </c>
      <c r="I658" s="69">
        <f ca="1">SUMIF('CAP8'!$B:$H,Insumo[[#This Row],[DESCRIPCION]],'CAP8'!$H:$H)</f>
        <v>0</v>
      </c>
      <c r="J658" s="69">
        <f ca="1">SUMIF('CAP9-13'!$B:$H,Insumo[[#This Row],[DESCRIPCION]],'CAP9-13'!$H:$H)</f>
        <v>0</v>
      </c>
      <c r="K658" s="69">
        <f ca="1">SUMIF('CAP14-15'!$B:$H,Insumo[[#This Row],[DESCRIPCION]],'CAP14-15'!$H:$H)</f>
        <v>0</v>
      </c>
      <c r="L658" s="69">
        <f ca="1">SUMIF('CAP16-18'!$B:$H,Insumo[[#This Row],[DESCRIPCION]],'CAP16-18'!$H:$H)</f>
        <v>0</v>
      </c>
      <c r="M658" s="69">
        <f ca="1">SUMIF('CAP19-22'!$B:$H,Insumo[[#This Row],[DESCRIPCION]],'CAP19-22'!$H:$H)</f>
        <v>0</v>
      </c>
      <c r="N658" s="69">
        <f ca="1">SUMIF('CAP23-24'!$B:$H,Insumo[[#This Row],[DESCRIPCION]],'CAP23-24'!$H:$H)</f>
        <v>0</v>
      </c>
      <c r="O658" s="69">
        <f ca="1">SUMIF('CAP25'!$B:$H,Insumo[[#This Row],[DESCRIPCION]],'CAP25'!$H:$H)</f>
        <v>0</v>
      </c>
      <c r="P658" s="69">
        <f ca="1">SUMIF('CAP26-28'!$B:$H,Insumo[[#This Row],[DESCRIPCION]],'CAP26-28'!$H:$H)</f>
        <v>0</v>
      </c>
      <c r="Q658" s="69">
        <f ca="1">SUMIF('CAP29'!$B:$H,Insumo[[#This Row],[DESCRIPCION]],'CAP29'!$H:$H)</f>
        <v>0</v>
      </c>
      <c r="T658" s="136">
        <v>92013</v>
      </c>
    </row>
    <row r="659" spans="1:20" ht="12" customHeight="1">
      <c r="A659" s="301" t="s">
        <v>3270</v>
      </c>
      <c r="B659" s="303" t="s">
        <v>23</v>
      </c>
      <c r="C659" s="304">
        <f t="shared" si="10"/>
        <v>15041.25</v>
      </c>
      <c r="D659" s="281" cm="1">
        <f t="array" aca="1" ref="D659" ca="1">IF(Insumo[[#This Row],[VALOR]]=0,Insumo[TOTAL],E659/C659)</f>
        <v>0</v>
      </c>
      <c r="E659" s="69">
        <f ca="1">SUM(Insumo[[#This Row],[CAP1-3]:[CAP29]])</f>
        <v>0</v>
      </c>
      <c r="F659" s="69">
        <f ca="1">SUMIF('CAP1-3'!$B:$H,Insumo[[#This Row],[DESCRIPCION]],'CAP1-3'!$H:$H)</f>
        <v>0</v>
      </c>
      <c r="G659" s="69">
        <f ca="1">SUMIF('CAP4-5'!$B:$H,Insumo[[#This Row],[DESCRIPCION]],'CAP4-5'!$H:$H)</f>
        <v>0</v>
      </c>
      <c r="H659" s="69">
        <f ca="1">SUMIF('CAP6-7'!$B:$H,Insumo[[#This Row],[DESCRIPCION]],'CAP6-7'!$H:$H)</f>
        <v>0</v>
      </c>
      <c r="I659" s="69">
        <f ca="1">SUMIF('CAP8'!$B:$H,Insumo[[#This Row],[DESCRIPCION]],'CAP8'!$H:$H)</f>
        <v>0</v>
      </c>
      <c r="J659" s="69">
        <f ca="1">SUMIF('CAP9-13'!$B:$H,Insumo[[#This Row],[DESCRIPCION]],'CAP9-13'!$H:$H)</f>
        <v>0</v>
      </c>
      <c r="K659" s="69">
        <f ca="1">SUMIF('CAP14-15'!$B:$H,Insumo[[#This Row],[DESCRIPCION]],'CAP14-15'!$H:$H)</f>
        <v>0</v>
      </c>
      <c r="L659" s="69">
        <f ca="1">SUMIF('CAP16-18'!$B:$H,Insumo[[#This Row],[DESCRIPCION]],'CAP16-18'!$H:$H)</f>
        <v>0</v>
      </c>
      <c r="M659" s="69">
        <f ca="1">SUMIF('CAP19-22'!$B:$H,Insumo[[#This Row],[DESCRIPCION]],'CAP19-22'!$H:$H)</f>
        <v>0</v>
      </c>
      <c r="N659" s="69">
        <f ca="1">SUMIF('CAP23-24'!$B:$H,Insumo[[#This Row],[DESCRIPCION]],'CAP23-24'!$H:$H)</f>
        <v>0</v>
      </c>
      <c r="O659" s="69">
        <f ca="1">SUMIF('CAP25'!$B:$H,Insumo[[#This Row],[DESCRIPCION]],'CAP25'!$H:$H)</f>
        <v>0</v>
      </c>
      <c r="P659" s="69">
        <f ca="1">SUMIF('CAP26-28'!$B:$H,Insumo[[#This Row],[DESCRIPCION]],'CAP26-28'!$H:$H)</f>
        <v>0</v>
      </c>
      <c r="Q659" s="69">
        <f ca="1">SUMIF('CAP29'!$B:$H,Insumo[[#This Row],[DESCRIPCION]],'CAP29'!$H:$H)</f>
        <v>0</v>
      </c>
      <c r="T659" s="136">
        <v>14325</v>
      </c>
    </row>
    <row r="660" spans="1:20" ht="12" customHeight="1">
      <c r="A660" s="301" t="s">
        <v>3271</v>
      </c>
      <c r="B660" s="303" t="s">
        <v>23</v>
      </c>
      <c r="C660" s="304">
        <f t="shared" si="10"/>
        <v>29438.850000000002</v>
      </c>
      <c r="D660" s="281" cm="1">
        <f t="array" aca="1" ref="D660" ca="1">IF(Insumo[[#This Row],[VALOR]]=0,Insumo[TOTAL],E660/C660)</f>
        <v>0</v>
      </c>
      <c r="E660" s="69">
        <f ca="1">SUM(Insumo[[#This Row],[CAP1-3]:[CAP29]])</f>
        <v>0</v>
      </c>
      <c r="F660" s="69">
        <f ca="1">SUMIF('CAP1-3'!$B:$H,Insumo[[#This Row],[DESCRIPCION]],'CAP1-3'!$H:$H)</f>
        <v>0</v>
      </c>
      <c r="G660" s="69">
        <f ca="1">SUMIF('CAP4-5'!$B:$H,Insumo[[#This Row],[DESCRIPCION]],'CAP4-5'!$H:$H)</f>
        <v>0</v>
      </c>
      <c r="H660" s="69">
        <f ca="1">SUMIF('CAP6-7'!$B:$H,Insumo[[#This Row],[DESCRIPCION]],'CAP6-7'!$H:$H)</f>
        <v>0</v>
      </c>
      <c r="I660" s="69">
        <f ca="1">SUMIF('CAP8'!$B:$H,Insumo[[#This Row],[DESCRIPCION]],'CAP8'!$H:$H)</f>
        <v>0</v>
      </c>
      <c r="J660" s="69">
        <f ca="1">SUMIF('CAP9-13'!$B:$H,Insumo[[#This Row],[DESCRIPCION]],'CAP9-13'!$H:$H)</f>
        <v>0</v>
      </c>
      <c r="K660" s="69">
        <f ca="1">SUMIF('CAP14-15'!$B:$H,Insumo[[#This Row],[DESCRIPCION]],'CAP14-15'!$H:$H)</f>
        <v>0</v>
      </c>
      <c r="L660" s="69">
        <f ca="1">SUMIF('CAP16-18'!$B:$H,Insumo[[#This Row],[DESCRIPCION]],'CAP16-18'!$H:$H)</f>
        <v>0</v>
      </c>
      <c r="M660" s="69">
        <f ca="1">SUMIF('CAP19-22'!$B:$H,Insumo[[#This Row],[DESCRIPCION]],'CAP19-22'!$H:$H)</f>
        <v>0</v>
      </c>
      <c r="N660" s="69">
        <f ca="1">SUMIF('CAP23-24'!$B:$H,Insumo[[#This Row],[DESCRIPCION]],'CAP23-24'!$H:$H)</f>
        <v>0</v>
      </c>
      <c r="O660" s="69">
        <f ca="1">SUMIF('CAP25'!$B:$H,Insumo[[#This Row],[DESCRIPCION]],'CAP25'!$H:$H)</f>
        <v>0</v>
      </c>
      <c r="P660" s="69">
        <f ca="1">SUMIF('CAP26-28'!$B:$H,Insumo[[#This Row],[DESCRIPCION]],'CAP26-28'!$H:$H)</f>
        <v>0</v>
      </c>
      <c r="Q660" s="69">
        <f ca="1">SUMIF('CAP29'!$B:$H,Insumo[[#This Row],[DESCRIPCION]],'CAP29'!$H:$H)</f>
        <v>0</v>
      </c>
      <c r="T660" s="136">
        <v>28037</v>
      </c>
    </row>
    <row r="661" spans="1:20" ht="12" customHeight="1">
      <c r="A661" s="301" t="s">
        <v>3272</v>
      </c>
      <c r="B661" s="303" t="s">
        <v>23</v>
      </c>
      <c r="C661" s="304">
        <f t="shared" si="10"/>
        <v>47624.85</v>
      </c>
      <c r="D661" s="281" cm="1">
        <f t="array" aca="1" ref="D661" ca="1">IF(Insumo[[#This Row],[VALOR]]=0,Insumo[TOTAL],E661/C661)</f>
        <v>0</v>
      </c>
      <c r="E661" s="69">
        <f ca="1">SUM(Insumo[[#This Row],[CAP1-3]:[CAP29]])</f>
        <v>0</v>
      </c>
      <c r="F661" s="69">
        <f ca="1">SUMIF('CAP1-3'!$B:$H,Insumo[[#This Row],[DESCRIPCION]],'CAP1-3'!$H:$H)</f>
        <v>0</v>
      </c>
      <c r="G661" s="69">
        <f ca="1">SUMIF('CAP4-5'!$B:$H,Insumo[[#This Row],[DESCRIPCION]],'CAP4-5'!$H:$H)</f>
        <v>0</v>
      </c>
      <c r="H661" s="69">
        <f ca="1">SUMIF('CAP6-7'!$B:$H,Insumo[[#This Row],[DESCRIPCION]],'CAP6-7'!$H:$H)</f>
        <v>0</v>
      </c>
      <c r="I661" s="69">
        <f ca="1">SUMIF('CAP8'!$B:$H,Insumo[[#This Row],[DESCRIPCION]],'CAP8'!$H:$H)</f>
        <v>0</v>
      </c>
      <c r="J661" s="69">
        <f ca="1">SUMIF('CAP9-13'!$B:$H,Insumo[[#This Row],[DESCRIPCION]],'CAP9-13'!$H:$H)</f>
        <v>0</v>
      </c>
      <c r="K661" s="69">
        <f ca="1">SUMIF('CAP14-15'!$B:$H,Insumo[[#This Row],[DESCRIPCION]],'CAP14-15'!$H:$H)</f>
        <v>0</v>
      </c>
      <c r="L661" s="69">
        <f ca="1">SUMIF('CAP16-18'!$B:$H,Insumo[[#This Row],[DESCRIPCION]],'CAP16-18'!$H:$H)</f>
        <v>0</v>
      </c>
      <c r="M661" s="69">
        <f ca="1">SUMIF('CAP19-22'!$B:$H,Insumo[[#This Row],[DESCRIPCION]],'CAP19-22'!$H:$H)</f>
        <v>0</v>
      </c>
      <c r="N661" s="69">
        <f ca="1">SUMIF('CAP23-24'!$B:$H,Insumo[[#This Row],[DESCRIPCION]],'CAP23-24'!$H:$H)</f>
        <v>0</v>
      </c>
      <c r="O661" s="69">
        <f ca="1">SUMIF('CAP25'!$B:$H,Insumo[[#This Row],[DESCRIPCION]],'CAP25'!$H:$H)</f>
        <v>0</v>
      </c>
      <c r="P661" s="69">
        <f ca="1">SUMIF('CAP26-28'!$B:$H,Insumo[[#This Row],[DESCRIPCION]],'CAP26-28'!$H:$H)</f>
        <v>0</v>
      </c>
      <c r="Q661" s="69">
        <f ca="1">SUMIF('CAP29'!$B:$H,Insumo[[#This Row],[DESCRIPCION]],'CAP29'!$H:$H)</f>
        <v>0</v>
      </c>
      <c r="T661" s="136">
        <v>45357</v>
      </c>
    </row>
    <row r="662" spans="1:20" ht="12" customHeight="1">
      <c r="A662" s="301" t="s">
        <v>3273</v>
      </c>
      <c r="B662" s="303" t="s">
        <v>23</v>
      </c>
      <c r="C662" s="304">
        <f t="shared" si="10"/>
        <v>14397.6</v>
      </c>
      <c r="D662" s="281" cm="1">
        <f t="array" aca="1" ref="D662" ca="1">IF(Insumo[[#This Row],[VALOR]]=0,Insumo[TOTAL],E662/C662)</f>
        <v>0</v>
      </c>
      <c r="E662" s="69">
        <f ca="1">SUM(Insumo[[#This Row],[CAP1-3]:[CAP29]])</f>
        <v>0</v>
      </c>
      <c r="F662" s="69">
        <f ca="1">SUMIF('CAP1-3'!$B:$H,Insumo[[#This Row],[DESCRIPCION]],'CAP1-3'!$H:$H)</f>
        <v>0</v>
      </c>
      <c r="G662" s="69">
        <f ca="1">SUMIF('CAP4-5'!$B:$H,Insumo[[#This Row],[DESCRIPCION]],'CAP4-5'!$H:$H)</f>
        <v>0</v>
      </c>
      <c r="H662" s="69">
        <f ca="1">SUMIF('CAP6-7'!$B:$H,Insumo[[#This Row],[DESCRIPCION]],'CAP6-7'!$H:$H)</f>
        <v>0</v>
      </c>
      <c r="I662" s="69">
        <f ca="1">SUMIF('CAP8'!$B:$H,Insumo[[#This Row],[DESCRIPCION]],'CAP8'!$H:$H)</f>
        <v>0</v>
      </c>
      <c r="J662" s="69">
        <f ca="1">SUMIF('CAP9-13'!$B:$H,Insumo[[#This Row],[DESCRIPCION]],'CAP9-13'!$H:$H)</f>
        <v>0</v>
      </c>
      <c r="K662" s="69">
        <f ca="1">SUMIF('CAP14-15'!$B:$H,Insumo[[#This Row],[DESCRIPCION]],'CAP14-15'!$H:$H)</f>
        <v>0</v>
      </c>
      <c r="L662" s="69">
        <f ca="1">SUMIF('CAP16-18'!$B:$H,Insumo[[#This Row],[DESCRIPCION]],'CAP16-18'!$H:$H)</f>
        <v>0</v>
      </c>
      <c r="M662" s="69">
        <f ca="1">SUMIF('CAP19-22'!$B:$H,Insumo[[#This Row],[DESCRIPCION]],'CAP19-22'!$H:$H)</f>
        <v>0</v>
      </c>
      <c r="N662" s="69">
        <f ca="1">SUMIF('CAP23-24'!$B:$H,Insumo[[#This Row],[DESCRIPCION]],'CAP23-24'!$H:$H)</f>
        <v>0</v>
      </c>
      <c r="O662" s="69">
        <f ca="1">SUMIF('CAP25'!$B:$H,Insumo[[#This Row],[DESCRIPCION]],'CAP25'!$H:$H)</f>
        <v>0</v>
      </c>
      <c r="P662" s="69">
        <f ca="1">SUMIF('CAP26-28'!$B:$H,Insumo[[#This Row],[DESCRIPCION]],'CAP26-28'!$H:$H)</f>
        <v>0</v>
      </c>
      <c r="Q662" s="69">
        <f ca="1">SUMIF('CAP29'!$B:$H,Insumo[[#This Row],[DESCRIPCION]],'CAP29'!$H:$H)</f>
        <v>0</v>
      </c>
      <c r="T662" s="136">
        <v>13712</v>
      </c>
    </row>
    <row r="663" spans="1:20" ht="12" customHeight="1">
      <c r="A663" s="301" t="s">
        <v>3274</v>
      </c>
      <c r="B663" s="303" t="s">
        <v>23</v>
      </c>
      <c r="C663" s="304">
        <f t="shared" si="10"/>
        <v>17416.350000000002</v>
      </c>
      <c r="D663" s="281" cm="1">
        <f t="array" aca="1" ref="D663" ca="1">IF(Insumo[[#This Row],[VALOR]]=0,Insumo[TOTAL],E663/C663)</f>
        <v>0</v>
      </c>
      <c r="E663" s="69">
        <f ca="1">SUM(Insumo[[#This Row],[CAP1-3]:[CAP29]])</f>
        <v>0</v>
      </c>
      <c r="F663" s="69">
        <f ca="1">SUMIF('CAP1-3'!$B:$H,Insumo[[#This Row],[DESCRIPCION]],'CAP1-3'!$H:$H)</f>
        <v>0</v>
      </c>
      <c r="G663" s="69">
        <f ca="1">SUMIF('CAP4-5'!$B:$H,Insumo[[#This Row],[DESCRIPCION]],'CAP4-5'!$H:$H)</f>
        <v>0</v>
      </c>
      <c r="H663" s="69">
        <f ca="1">SUMIF('CAP6-7'!$B:$H,Insumo[[#This Row],[DESCRIPCION]],'CAP6-7'!$H:$H)</f>
        <v>0</v>
      </c>
      <c r="I663" s="69">
        <f ca="1">SUMIF('CAP8'!$B:$H,Insumo[[#This Row],[DESCRIPCION]],'CAP8'!$H:$H)</f>
        <v>0</v>
      </c>
      <c r="J663" s="69">
        <f ca="1">SUMIF('CAP9-13'!$B:$H,Insumo[[#This Row],[DESCRIPCION]],'CAP9-13'!$H:$H)</f>
        <v>0</v>
      </c>
      <c r="K663" s="69">
        <f ca="1">SUMIF('CAP14-15'!$B:$H,Insumo[[#This Row],[DESCRIPCION]],'CAP14-15'!$H:$H)</f>
        <v>0</v>
      </c>
      <c r="L663" s="69">
        <f ca="1">SUMIF('CAP16-18'!$B:$H,Insumo[[#This Row],[DESCRIPCION]],'CAP16-18'!$H:$H)</f>
        <v>0</v>
      </c>
      <c r="M663" s="69">
        <f ca="1">SUMIF('CAP19-22'!$B:$H,Insumo[[#This Row],[DESCRIPCION]],'CAP19-22'!$H:$H)</f>
        <v>0</v>
      </c>
      <c r="N663" s="69">
        <f ca="1">SUMIF('CAP23-24'!$B:$H,Insumo[[#This Row],[DESCRIPCION]],'CAP23-24'!$H:$H)</f>
        <v>0</v>
      </c>
      <c r="O663" s="69">
        <f ca="1">SUMIF('CAP25'!$B:$H,Insumo[[#This Row],[DESCRIPCION]],'CAP25'!$H:$H)</f>
        <v>0</v>
      </c>
      <c r="P663" s="69">
        <f ca="1">SUMIF('CAP26-28'!$B:$H,Insumo[[#This Row],[DESCRIPCION]],'CAP26-28'!$H:$H)</f>
        <v>0</v>
      </c>
      <c r="Q663" s="69">
        <f ca="1">SUMIF('CAP29'!$B:$H,Insumo[[#This Row],[DESCRIPCION]],'CAP29'!$H:$H)</f>
        <v>0</v>
      </c>
      <c r="T663" s="136">
        <v>16587</v>
      </c>
    </row>
    <row r="664" spans="1:20" ht="12" customHeight="1">
      <c r="A664" s="301" t="s">
        <v>3275</v>
      </c>
      <c r="B664" s="303" t="s">
        <v>23</v>
      </c>
      <c r="C664" s="304">
        <f t="shared" si="10"/>
        <v>3637.2000000000003</v>
      </c>
      <c r="D664" s="281" cm="1">
        <f t="array" aca="1" ref="D664" ca="1">IF(Insumo[[#This Row],[VALOR]]=0,Insumo[TOTAL],E664/C664)</f>
        <v>0</v>
      </c>
      <c r="E664" s="69">
        <f ca="1">SUM(Insumo[[#This Row],[CAP1-3]:[CAP29]])</f>
        <v>0</v>
      </c>
      <c r="F664" s="69">
        <f ca="1">SUMIF('CAP1-3'!$B:$H,Insumo[[#This Row],[DESCRIPCION]],'CAP1-3'!$H:$H)</f>
        <v>0</v>
      </c>
      <c r="G664" s="69">
        <f ca="1">SUMIF('CAP4-5'!$B:$H,Insumo[[#This Row],[DESCRIPCION]],'CAP4-5'!$H:$H)</f>
        <v>0</v>
      </c>
      <c r="H664" s="69">
        <f ca="1">SUMIF('CAP6-7'!$B:$H,Insumo[[#This Row],[DESCRIPCION]],'CAP6-7'!$H:$H)</f>
        <v>0</v>
      </c>
      <c r="I664" s="69">
        <f ca="1">SUMIF('CAP8'!$B:$H,Insumo[[#This Row],[DESCRIPCION]],'CAP8'!$H:$H)</f>
        <v>0</v>
      </c>
      <c r="J664" s="69">
        <f ca="1">SUMIF('CAP9-13'!$B:$H,Insumo[[#This Row],[DESCRIPCION]],'CAP9-13'!$H:$H)</f>
        <v>0</v>
      </c>
      <c r="K664" s="69">
        <f ca="1">SUMIF('CAP14-15'!$B:$H,Insumo[[#This Row],[DESCRIPCION]],'CAP14-15'!$H:$H)</f>
        <v>0</v>
      </c>
      <c r="L664" s="69">
        <f ca="1">SUMIF('CAP16-18'!$B:$H,Insumo[[#This Row],[DESCRIPCION]],'CAP16-18'!$H:$H)</f>
        <v>0</v>
      </c>
      <c r="M664" s="69">
        <f ca="1">SUMIF('CAP19-22'!$B:$H,Insumo[[#This Row],[DESCRIPCION]],'CAP19-22'!$H:$H)</f>
        <v>0</v>
      </c>
      <c r="N664" s="69">
        <f ca="1">SUMIF('CAP23-24'!$B:$H,Insumo[[#This Row],[DESCRIPCION]],'CAP23-24'!$H:$H)</f>
        <v>0</v>
      </c>
      <c r="O664" s="69">
        <f ca="1">SUMIF('CAP25'!$B:$H,Insumo[[#This Row],[DESCRIPCION]],'CAP25'!$H:$H)</f>
        <v>0</v>
      </c>
      <c r="P664" s="69">
        <f ca="1">SUMIF('CAP26-28'!$B:$H,Insumo[[#This Row],[DESCRIPCION]],'CAP26-28'!$H:$H)</f>
        <v>0</v>
      </c>
      <c r="Q664" s="69">
        <f ca="1">SUMIF('CAP29'!$B:$H,Insumo[[#This Row],[DESCRIPCION]],'CAP29'!$H:$H)</f>
        <v>0</v>
      </c>
      <c r="T664" s="136">
        <v>3464</v>
      </c>
    </row>
    <row r="665" spans="1:20" ht="12" customHeight="1">
      <c r="A665" s="301" t="s">
        <v>3276</v>
      </c>
      <c r="B665" s="303" t="s">
        <v>23</v>
      </c>
      <c r="C665" s="304">
        <f t="shared" si="10"/>
        <v>2996030.1</v>
      </c>
      <c r="D665" s="281" cm="1">
        <f t="array" aca="1" ref="D665" ca="1">IF(Insumo[[#This Row],[VALOR]]=0,Insumo[TOTAL],E665/C665)</f>
        <v>0</v>
      </c>
      <c r="E665" s="69">
        <f ca="1">SUM(Insumo[[#This Row],[CAP1-3]:[CAP29]])</f>
        <v>0</v>
      </c>
      <c r="F665" s="69">
        <f ca="1">SUMIF('CAP1-3'!$B:$H,Insumo[[#This Row],[DESCRIPCION]],'CAP1-3'!$H:$H)</f>
        <v>0</v>
      </c>
      <c r="G665" s="69">
        <f ca="1">SUMIF('CAP4-5'!$B:$H,Insumo[[#This Row],[DESCRIPCION]],'CAP4-5'!$H:$H)</f>
        <v>0</v>
      </c>
      <c r="H665" s="69">
        <f ca="1">SUMIF('CAP6-7'!$B:$H,Insumo[[#This Row],[DESCRIPCION]],'CAP6-7'!$H:$H)</f>
        <v>0</v>
      </c>
      <c r="I665" s="69">
        <f ca="1">SUMIF('CAP8'!$B:$H,Insumo[[#This Row],[DESCRIPCION]],'CAP8'!$H:$H)</f>
        <v>0</v>
      </c>
      <c r="J665" s="69">
        <f ca="1">SUMIF('CAP9-13'!$B:$H,Insumo[[#This Row],[DESCRIPCION]],'CAP9-13'!$H:$H)</f>
        <v>0</v>
      </c>
      <c r="K665" s="69">
        <f ca="1">SUMIF('CAP14-15'!$B:$H,Insumo[[#This Row],[DESCRIPCION]],'CAP14-15'!$H:$H)</f>
        <v>0</v>
      </c>
      <c r="L665" s="69">
        <f ca="1">SUMIF('CAP16-18'!$B:$H,Insumo[[#This Row],[DESCRIPCION]],'CAP16-18'!$H:$H)</f>
        <v>0</v>
      </c>
      <c r="M665" s="69">
        <f ca="1">SUMIF('CAP19-22'!$B:$H,Insumo[[#This Row],[DESCRIPCION]],'CAP19-22'!$H:$H)</f>
        <v>0</v>
      </c>
      <c r="N665" s="69">
        <f ca="1">SUMIF('CAP23-24'!$B:$H,Insumo[[#This Row],[DESCRIPCION]],'CAP23-24'!$H:$H)</f>
        <v>0</v>
      </c>
      <c r="O665" s="69">
        <f ca="1">SUMIF('CAP25'!$B:$H,Insumo[[#This Row],[DESCRIPCION]],'CAP25'!$H:$H)</f>
        <v>0</v>
      </c>
      <c r="P665" s="69">
        <f ca="1">SUMIF('CAP26-28'!$B:$H,Insumo[[#This Row],[DESCRIPCION]],'CAP26-28'!$H:$H)</f>
        <v>0</v>
      </c>
      <c r="Q665" s="69">
        <f ca="1">SUMIF('CAP29'!$B:$H,Insumo[[#This Row],[DESCRIPCION]],'CAP29'!$H:$H)</f>
        <v>0</v>
      </c>
      <c r="T665" s="136">
        <v>2853362</v>
      </c>
    </row>
    <row r="666" spans="1:20" ht="12" customHeight="1">
      <c r="A666" s="301" t="s">
        <v>3277</v>
      </c>
      <c r="B666" s="303" t="s">
        <v>23</v>
      </c>
      <c r="C666" s="304">
        <f t="shared" si="10"/>
        <v>755741.70000000007</v>
      </c>
      <c r="D666" s="281" cm="1">
        <f t="array" aca="1" ref="D666" ca="1">IF(Insumo[[#This Row],[VALOR]]=0,Insumo[TOTAL],E666/C666)</f>
        <v>0</v>
      </c>
      <c r="E666" s="69">
        <f ca="1">SUM(Insumo[[#This Row],[CAP1-3]:[CAP29]])</f>
        <v>0</v>
      </c>
      <c r="F666" s="69">
        <f ca="1">SUMIF('CAP1-3'!$B:$H,Insumo[[#This Row],[DESCRIPCION]],'CAP1-3'!$H:$H)</f>
        <v>0</v>
      </c>
      <c r="G666" s="69">
        <f ca="1">SUMIF('CAP4-5'!$B:$H,Insumo[[#This Row],[DESCRIPCION]],'CAP4-5'!$H:$H)</f>
        <v>0</v>
      </c>
      <c r="H666" s="69">
        <f ca="1">SUMIF('CAP6-7'!$B:$H,Insumo[[#This Row],[DESCRIPCION]],'CAP6-7'!$H:$H)</f>
        <v>0</v>
      </c>
      <c r="I666" s="69">
        <f ca="1">SUMIF('CAP8'!$B:$H,Insumo[[#This Row],[DESCRIPCION]],'CAP8'!$H:$H)</f>
        <v>0</v>
      </c>
      <c r="J666" s="69">
        <f ca="1">SUMIF('CAP9-13'!$B:$H,Insumo[[#This Row],[DESCRIPCION]],'CAP9-13'!$H:$H)</f>
        <v>0</v>
      </c>
      <c r="K666" s="69">
        <f ca="1">SUMIF('CAP14-15'!$B:$H,Insumo[[#This Row],[DESCRIPCION]],'CAP14-15'!$H:$H)</f>
        <v>0</v>
      </c>
      <c r="L666" s="69">
        <f ca="1">SUMIF('CAP16-18'!$B:$H,Insumo[[#This Row],[DESCRIPCION]],'CAP16-18'!$H:$H)</f>
        <v>0</v>
      </c>
      <c r="M666" s="69">
        <f ca="1">SUMIF('CAP19-22'!$B:$H,Insumo[[#This Row],[DESCRIPCION]],'CAP19-22'!$H:$H)</f>
        <v>0</v>
      </c>
      <c r="N666" s="69">
        <f ca="1">SUMIF('CAP23-24'!$B:$H,Insumo[[#This Row],[DESCRIPCION]],'CAP23-24'!$H:$H)</f>
        <v>0</v>
      </c>
      <c r="O666" s="69">
        <f ca="1">SUMIF('CAP25'!$B:$H,Insumo[[#This Row],[DESCRIPCION]],'CAP25'!$H:$H)</f>
        <v>0</v>
      </c>
      <c r="P666" s="69">
        <f ca="1">SUMIF('CAP26-28'!$B:$H,Insumo[[#This Row],[DESCRIPCION]],'CAP26-28'!$H:$H)</f>
        <v>0</v>
      </c>
      <c r="Q666" s="69">
        <f ca="1">SUMIF('CAP29'!$B:$H,Insumo[[#This Row],[DESCRIPCION]],'CAP29'!$H:$H)</f>
        <v>0</v>
      </c>
      <c r="T666" s="136">
        <v>719754</v>
      </c>
    </row>
    <row r="667" spans="1:20" ht="12" customHeight="1">
      <c r="A667" s="301" t="s">
        <v>3278</v>
      </c>
      <c r="B667" s="303" t="s">
        <v>23</v>
      </c>
      <c r="C667" s="304">
        <f t="shared" si="10"/>
        <v>639223.20000000007</v>
      </c>
      <c r="D667" s="281" cm="1">
        <f t="array" aca="1" ref="D667" ca="1">IF(Insumo[[#This Row],[VALOR]]=0,Insumo[TOTAL],E667/C667)</f>
        <v>0</v>
      </c>
      <c r="E667" s="69">
        <f ca="1">SUM(Insumo[[#This Row],[CAP1-3]:[CAP29]])</f>
        <v>0</v>
      </c>
      <c r="F667" s="69">
        <f ca="1">SUMIF('CAP1-3'!$B:$H,Insumo[[#This Row],[DESCRIPCION]],'CAP1-3'!$H:$H)</f>
        <v>0</v>
      </c>
      <c r="G667" s="69">
        <f ca="1">SUMIF('CAP4-5'!$B:$H,Insumo[[#This Row],[DESCRIPCION]],'CAP4-5'!$H:$H)</f>
        <v>0</v>
      </c>
      <c r="H667" s="69">
        <f ca="1">SUMIF('CAP6-7'!$B:$H,Insumo[[#This Row],[DESCRIPCION]],'CAP6-7'!$H:$H)</f>
        <v>0</v>
      </c>
      <c r="I667" s="69">
        <f ca="1">SUMIF('CAP8'!$B:$H,Insumo[[#This Row],[DESCRIPCION]],'CAP8'!$H:$H)</f>
        <v>0</v>
      </c>
      <c r="J667" s="69">
        <f ca="1">SUMIF('CAP9-13'!$B:$H,Insumo[[#This Row],[DESCRIPCION]],'CAP9-13'!$H:$H)</f>
        <v>0</v>
      </c>
      <c r="K667" s="69">
        <f ca="1">SUMIF('CAP14-15'!$B:$H,Insumo[[#This Row],[DESCRIPCION]],'CAP14-15'!$H:$H)</f>
        <v>0</v>
      </c>
      <c r="L667" s="69">
        <f ca="1">SUMIF('CAP16-18'!$B:$H,Insumo[[#This Row],[DESCRIPCION]],'CAP16-18'!$H:$H)</f>
        <v>0</v>
      </c>
      <c r="M667" s="69">
        <f ca="1">SUMIF('CAP19-22'!$B:$H,Insumo[[#This Row],[DESCRIPCION]],'CAP19-22'!$H:$H)</f>
        <v>0</v>
      </c>
      <c r="N667" s="69">
        <f ca="1">SUMIF('CAP23-24'!$B:$H,Insumo[[#This Row],[DESCRIPCION]],'CAP23-24'!$H:$H)</f>
        <v>0</v>
      </c>
      <c r="O667" s="69">
        <f ca="1">SUMIF('CAP25'!$B:$H,Insumo[[#This Row],[DESCRIPCION]],'CAP25'!$H:$H)</f>
        <v>0</v>
      </c>
      <c r="P667" s="69">
        <f ca="1">SUMIF('CAP26-28'!$B:$H,Insumo[[#This Row],[DESCRIPCION]],'CAP26-28'!$H:$H)</f>
        <v>0</v>
      </c>
      <c r="Q667" s="69">
        <f ca="1">SUMIF('CAP29'!$B:$H,Insumo[[#This Row],[DESCRIPCION]],'CAP29'!$H:$H)</f>
        <v>0</v>
      </c>
      <c r="T667" s="136">
        <v>608784</v>
      </c>
    </row>
    <row r="668" spans="1:20" ht="12" customHeight="1">
      <c r="A668" s="301" t="s">
        <v>3279</v>
      </c>
      <c r="B668" s="303" t="s">
        <v>23</v>
      </c>
      <c r="C668" s="304">
        <f t="shared" si="10"/>
        <v>227211.6</v>
      </c>
      <c r="D668" s="281" cm="1">
        <f t="array" aca="1" ref="D668" ca="1">IF(Insumo[[#This Row],[VALOR]]=0,Insumo[TOTAL],E668/C668)</f>
        <v>0</v>
      </c>
      <c r="E668" s="69">
        <f ca="1">SUM(Insumo[[#This Row],[CAP1-3]:[CAP29]])</f>
        <v>0</v>
      </c>
      <c r="F668" s="69">
        <f ca="1">SUMIF('CAP1-3'!$B:$H,Insumo[[#This Row],[DESCRIPCION]],'CAP1-3'!$H:$H)</f>
        <v>0</v>
      </c>
      <c r="G668" s="69">
        <f ca="1">SUMIF('CAP4-5'!$B:$H,Insumo[[#This Row],[DESCRIPCION]],'CAP4-5'!$H:$H)</f>
        <v>0</v>
      </c>
      <c r="H668" s="69">
        <f ca="1">SUMIF('CAP6-7'!$B:$H,Insumo[[#This Row],[DESCRIPCION]],'CAP6-7'!$H:$H)</f>
        <v>0</v>
      </c>
      <c r="I668" s="69">
        <f ca="1">SUMIF('CAP8'!$B:$H,Insumo[[#This Row],[DESCRIPCION]],'CAP8'!$H:$H)</f>
        <v>0</v>
      </c>
      <c r="J668" s="69">
        <f ca="1">SUMIF('CAP9-13'!$B:$H,Insumo[[#This Row],[DESCRIPCION]],'CAP9-13'!$H:$H)</f>
        <v>0</v>
      </c>
      <c r="K668" s="69">
        <f ca="1">SUMIF('CAP14-15'!$B:$H,Insumo[[#This Row],[DESCRIPCION]],'CAP14-15'!$H:$H)</f>
        <v>0</v>
      </c>
      <c r="L668" s="69">
        <f ca="1">SUMIF('CAP16-18'!$B:$H,Insumo[[#This Row],[DESCRIPCION]],'CAP16-18'!$H:$H)</f>
        <v>0</v>
      </c>
      <c r="M668" s="69">
        <f ca="1">SUMIF('CAP19-22'!$B:$H,Insumo[[#This Row],[DESCRIPCION]],'CAP19-22'!$H:$H)</f>
        <v>0</v>
      </c>
      <c r="N668" s="69">
        <f ca="1">SUMIF('CAP23-24'!$B:$H,Insumo[[#This Row],[DESCRIPCION]],'CAP23-24'!$H:$H)</f>
        <v>0</v>
      </c>
      <c r="O668" s="69">
        <f ca="1">SUMIF('CAP25'!$B:$H,Insumo[[#This Row],[DESCRIPCION]],'CAP25'!$H:$H)</f>
        <v>0</v>
      </c>
      <c r="P668" s="69">
        <f ca="1">SUMIF('CAP26-28'!$B:$H,Insumo[[#This Row],[DESCRIPCION]],'CAP26-28'!$H:$H)</f>
        <v>0</v>
      </c>
      <c r="Q668" s="69">
        <f ca="1">SUMIF('CAP29'!$B:$H,Insumo[[#This Row],[DESCRIPCION]],'CAP29'!$H:$H)</f>
        <v>0</v>
      </c>
      <c r="T668" s="136">
        <v>216392</v>
      </c>
    </row>
    <row r="669" spans="1:20" ht="12" customHeight="1">
      <c r="A669" s="301" t="s">
        <v>3280</v>
      </c>
      <c r="B669" s="303" t="s">
        <v>23</v>
      </c>
      <c r="C669" s="304">
        <f t="shared" si="10"/>
        <v>73881.150000000009</v>
      </c>
      <c r="D669" s="281" cm="1">
        <f t="array" aca="1" ref="D669" ca="1">IF(Insumo[[#This Row],[VALOR]]=0,Insumo[TOTAL],E669/C669)</f>
        <v>0</v>
      </c>
      <c r="E669" s="69">
        <f ca="1">SUM(Insumo[[#This Row],[CAP1-3]:[CAP29]])</f>
        <v>0</v>
      </c>
      <c r="F669" s="69">
        <f ca="1">SUMIF('CAP1-3'!$B:$H,Insumo[[#This Row],[DESCRIPCION]],'CAP1-3'!$H:$H)</f>
        <v>0</v>
      </c>
      <c r="G669" s="69">
        <f ca="1">SUMIF('CAP4-5'!$B:$H,Insumo[[#This Row],[DESCRIPCION]],'CAP4-5'!$H:$H)</f>
        <v>0</v>
      </c>
      <c r="H669" s="69">
        <f ca="1">SUMIF('CAP6-7'!$B:$H,Insumo[[#This Row],[DESCRIPCION]],'CAP6-7'!$H:$H)</f>
        <v>0</v>
      </c>
      <c r="I669" s="69">
        <f ca="1">SUMIF('CAP8'!$B:$H,Insumo[[#This Row],[DESCRIPCION]],'CAP8'!$H:$H)</f>
        <v>0</v>
      </c>
      <c r="J669" s="69">
        <f ca="1">SUMIF('CAP9-13'!$B:$H,Insumo[[#This Row],[DESCRIPCION]],'CAP9-13'!$H:$H)</f>
        <v>0</v>
      </c>
      <c r="K669" s="69">
        <f ca="1">SUMIF('CAP14-15'!$B:$H,Insumo[[#This Row],[DESCRIPCION]],'CAP14-15'!$H:$H)</f>
        <v>0</v>
      </c>
      <c r="L669" s="69">
        <f ca="1">SUMIF('CAP16-18'!$B:$H,Insumo[[#This Row],[DESCRIPCION]],'CAP16-18'!$H:$H)</f>
        <v>0</v>
      </c>
      <c r="M669" s="69">
        <f ca="1">SUMIF('CAP19-22'!$B:$H,Insumo[[#This Row],[DESCRIPCION]],'CAP19-22'!$H:$H)</f>
        <v>0</v>
      </c>
      <c r="N669" s="69">
        <f ca="1">SUMIF('CAP23-24'!$B:$H,Insumo[[#This Row],[DESCRIPCION]],'CAP23-24'!$H:$H)</f>
        <v>0</v>
      </c>
      <c r="O669" s="69">
        <f ca="1">SUMIF('CAP25'!$B:$H,Insumo[[#This Row],[DESCRIPCION]],'CAP25'!$H:$H)</f>
        <v>0</v>
      </c>
      <c r="P669" s="69">
        <f ca="1">SUMIF('CAP26-28'!$B:$H,Insumo[[#This Row],[DESCRIPCION]],'CAP26-28'!$H:$H)</f>
        <v>0</v>
      </c>
      <c r="Q669" s="69">
        <f ca="1">SUMIF('CAP29'!$B:$H,Insumo[[#This Row],[DESCRIPCION]],'CAP29'!$H:$H)</f>
        <v>0</v>
      </c>
      <c r="T669" s="136">
        <v>70363</v>
      </c>
    </row>
    <row r="670" spans="1:20" ht="12" customHeight="1">
      <c r="A670" s="301" t="s">
        <v>3281</v>
      </c>
      <c r="B670" s="303" t="s">
        <v>23</v>
      </c>
      <c r="C670" s="304">
        <f t="shared" si="10"/>
        <v>68197.5</v>
      </c>
      <c r="D670" s="281" cm="1">
        <f t="array" aca="1" ref="D670" ca="1">IF(Insumo[[#This Row],[VALOR]]=0,Insumo[TOTAL],E670/C670)</f>
        <v>0</v>
      </c>
      <c r="E670" s="69">
        <f ca="1">SUM(Insumo[[#This Row],[CAP1-3]:[CAP29]])</f>
        <v>0</v>
      </c>
      <c r="F670" s="69">
        <f ca="1">SUMIF('CAP1-3'!$B:$H,Insumo[[#This Row],[DESCRIPCION]],'CAP1-3'!$H:$H)</f>
        <v>0</v>
      </c>
      <c r="G670" s="69">
        <f ca="1">SUMIF('CAP4-5'!$B:$H,Insumo[[#This Row],[DESCRIPCION]],'CAP4-5'!$H:$H)</f>
        <v>0</v>
      </c>
      <c r="H670" s="69">
        <f ca="1">SUMIF('CAP6-7'!$B:$H,Insumo[[#This Row],[DESCRIPCION]],'CAP6-7'!$H:$H)</f>
        <v>0</v>
      </c>
      <c r="I670" s="69">
        <f ca="1">SUMIF('CAP8'!$B:$H,Insumo[[#This Row],[DESCRIPCION]],'CAP8'!$H:$H)</f>
        <v>0</v>
      </c>
      <c r="J670" s="69">
        <f ca="1">SUMIF('CAP9-13'!$B:$H,Insumo[[#This Row],[DESCRIPCION]],'CAP9-13'!$H:$H)</f>
        <v>0</v>
      </c>
      <c r="K670" s="69">
        <f ca="1">SUMIF('CAP14-15'!$B:$H,Insumo[[#This Row],[DESCRIPCION]],'CAP14-15'!$H:$H)</f>
        <v>0</v>
      </c>
      <c r="L670" s="69">
        <f ca="1">SUMIF('CAP16-18'!$B:$H,Insumo[[#This Row],[DESCRIPCION]],'CAP16-18'!$H:$H)</f>
        <v>0</v>
      </c>
      <c r="M670" s="69">
        <f ca="1">SUMIF('CAP19-22'!$B:$H,Insumo[[#This Row],[DESCRIPCION]],'CAP19-22'!$H:$H)</f>
        <v>0</v>
      </c>
      <c r="N670" s="69">
        <f ca="1">SUMIF('CAP23-24'!$B:$H,Insumo[[#This Row],[DESCRIPCION]],'CAP23-24'!$H:$H)</f>
        <v>0</v>
      </c>
      <c r="O670" s="69">
        <f ca="1">SUMIF('CAP25'!$B:$H,Insumo[[#This Row],[DESCRIPCION]],'CAP25'!$H:$H)</f>
        <v>0</v>
      </c>
      <c r="P670" s="69">
        <f ca="1">SUMIF('CAP26-28'!$B:$H,Insumo[[#This Row],[DESCRIPCION]],'CAP26-28'!$H:$H)</f>
        <v>0</v>
      </c>
      <c r="Q670" s="69">
        <f ca="1">SUMIF('CAP29'!$B:$H,Insumo[[#This Row],[DESCRIPCION]],'CAP29'!$H:$H)</f>
        <v>0</v>
      </c>
      <c r="T670" s="136">
        <v>64950</v>
      </c>
    </row>
    <row r="671" spans="1:20" ht="12" customHeight="1">
      <c r="A671" s="301" t="s">
        <v>3282</v>
      </c>
      <c r="B671" s="303" t="s">
        <v>23</v>
      </c>
      <c r="C671" s="304">
        <f t="shared" si="10"/>
        <v>260951.25</v>
      </c>
      <c r="D671" s="281" cm="1">
        <f t="array" aca="1" ref="D671" ca="1">IF(Insumo[[#This Row],[VALOR]]=0,Insumo[TOTAL],E671/C671)</f>
        <v>0</v>
      </c>
      <c r="E671" s="69">
        <f ca="1">SUM(Insumo[[#This Row],[CAP1-3]:[CAP29]])</f>
        <v>0</v>
      </c>
      <c r="F671" s="69">
        <f ca="1">SUMIF('CAP1-3'!$B:$H,Insumo[[#This Row],[DESCRIPCION]],'CAP1-3'!$H:$H)</f>
        <v>0</v>
      </c>
      <c r="G671" s="69">
        <f ca="1">SUMIF('CAP4-5'!$B:$H,Insumo[[#This Row],[DESCRIPCION]],'CAP4-5'!$H:$H)</f>
        <v>0</v>
      </c>
      <c r="H671" s="69">
        <f ca="1">SUMIF('CAP6-7'!$B:$H,Insumo[[#This Row],[DESCRIPCION]],'CAP6-7'!$H:$H)</f>
        <v>0</v>
      </c>
      <c r="I671" s="69">
        <f ca="1">SUMIF('CAP8'!$B:$H,Insumo[[#This Row],[DESCRIPCION]],'CAP8'!$H:$H)</f>
        <v>0</v>
      </c>
      <c r="J671" s="69">
        <f ca="1">SUMIF('CAP9-13'!$B:$H,Insumo[[#This Row],[DESCRIPCION]],'CAP9-13'!$H:$H)</f>
        <v>0</v>
      </c>
      <c r="K671" s="69">
        <f ca="1">SUMIF('CAP14-15'!$B:$H,Insumo[[#This Row],[DESCRIPCION]],'CAP14-15'!$H:$H)</f>
        <v>0</v>
      </c>
      <c r="L671" s="69">
        <f ca="1">SUMIF('CAP16-18'!$B:$H,Insumo[[#This Row],[DESCRIPCION]],'CAP16-18'!$H:$H)</f>
        <v>0</v>
      </c>
      <c r="M671" s="69">
        <f ca="1">SUMIF('CAP19-22'!$B:$H,Insumo[[#This Row],[DESCRIPCION]],'CAP19-22'!$H:$H)</f>
        <v>0</v>
      </c>
      <c r="N671" s="69">
        <f ca="1">SUMIF('CAP23-24'!$B:$H,Insumo[[#This Row],[DESCRIPCION]],'CAP23-24'!$H:$H)</f>
        <v>0</v>
      </c>
      <c r="O671" s="69">
        <f ca="1">SUMIF('CAP25'!$B:$H,Insumo[[#This Row],[DESCRIPCION]],'CAP25'!$H:$H)</f>
        <v>0</v>
      </c>
      <c r="P671" s="69">
        <f ca="1">SUMIF('CAP26-28'!$B:$H,Insumo[[#This Row],[DESCRIPCION]],'CAP26-28'!$H:$H)</f>
        <v>0</v>
      </c>
      <c r="Q671" s="69">
        <f ca="1">SUMIF('CAP29'!$B:$H,Insumo[[#This Row],[DESCRIPCION]],'CAP29'!$H:$H)</f>
        <v>0</v>
      </c>
      <c r="T671" s="136">
        <v>248525</v>
      </c>
    </row>
    <row r="672" spans="1:20" ht="12" customHeight="1">
      <c r="A672" s="301" t="s">
        <v>3283</v>
      </c>
      <c r="B672" s="303" t="s">
        <v>23</v>
      </c>
      <c r="C672" s="304">
        <f t="shared" si="10"/>
        <v>38440.5</v>
      </c>
      <c r="D672" s="281" cm="1">
        <f t="array" aca="1" ref="D672" ca="1">IF(Insumo[[#This Row],[VALOR]]=0,Insumo[TOTAL],E672/C672)</f>
        <v>0</v>
      </c>
      <c r="E672" s="69">
        <f ca="1">SUM(Insumo[[#This Row],[CAP1-3]:[CAP29]])</f>
        <v>0</v>
      </c>
      <c r="F672" s="69">
        <f ca="1">SUMIF('CAP1-3'!$B:$H,Insumo[[#This Row],[DESCRIPCION]],'CAP1-3'!$H:$H)</f>
        <v>0</v>
      </c>
      <c r="G672" s="69">
        <f ca="1">SUMIF('CAP4-5'!$B:$H,Insumo[[#This Row],[DESCRIPCION]],'CAP4-5'!$H:$H)</f>
        <v>0</v>
      </c>
      <c r="H672" s="69">
        <f ca="1">SUMIF('CAP6-7'!$B:$H,Insumo[[#This Row],[DESCRIPCION]],'CAP6-7'!$H:$H)</f>
        <v>0</v>
      </c>
      <c r="I672" s="69">
        <f ca="1">SUMIF('CAP8'!$B:$H,Insumo[[#This Row],[DESCRIPCION]],'CAP8'!$H:$H)</f>
        <v>0</v>
      </c>
      <c r="J672" s="69">
        <f ca="1">SUMIF('CAP9-13'!$B:$H,Insumo[[#This Row],[DESCRIPCION]],'CAP9-13'!$H:$H)</f>
        <v>0</v>
      </c>
      <c r="K672" s="69">
        <f ca="1">SUMIF('CAP14-15'!$B:$H,Insumo[[#This Row],[DESCRIPCION]],'CAP14-15'!$H:$H)</f>
        <v>0</v>
      </c>
      <c r="L672" s="69">
        <f ca="1">SUMIF('CAP16-18'!$B:$H,Insumo[[#This Row],[DESCRIPCION]],'CAP16-18'!$H:$H)</f>
        <v>0</v>
      </c>
      <c r="M672" s="69">
        <f ca="1">SUMIF('CAP19-22'!$B:$H,Insumo[[#This Row],[DESCRIPCION]],'CAP19-22'!$H:$H)</f>
        <v>0</v>
      </c>
      <c r="N672" s="69">
        <f ca="1">SUMIF('CAP23-24'!$B:$H,Insumo[[#This Row],[DESCRIPCION]],'CAP23-24'!$H:$H)</f>
        <v>0</v>
      </c>
      <c r="O672" s="69">
        <f ca="1">SUMIF('CAP25'!$B:$H,Insumo[[#This Row],[DESCRIPCION]],'CAP25'!$H:$H)</f>
        <v>0</v>
      </c>
      <c r="P672" s="69">
        <f ca="1">SUMIF('CAP26-28'!$B:$H,Insumo[[#This Row],[DESCRIPCION]],'CAP26-28'!$H:$H)</f>
        <v>0</v>
      </c>
      <c r="Q672" s="69">
        <f ca="1">SUMIF('CAP29'!$B:$H,Insumo[[#This Row],[DESCRIPCION]],'CAP29'!$H:$H)</f>
        <v>0</v>
      </c>
      <c r="T672" s="136">
        <v>36610</v>
      </c>
    </row>
    <row r="673" spans="1:20" ht="12" customHeight="1">
      <c r="A673" s="301" t="s">
        <v>3284</v>
      </c>
      <c r="B673" s="303" t="s">
        <v>23</v>
      </c>
      <c r="C673" s="304">
        <f t="shared" si="10"/>
        <v>559219.5</v>
      </c>
      <c r="D673" s="281" cm="1">
        <f t="array" aca="1" ref="D673" ca="1">IF(Insumo[[#This Row],[VALOR]]=0,Insumo[TOTAL],E673/C673)</f>
        <v>0</v>
      </c>
      <c r="E673" s="69">
        <f ca="1">SUM(Insumo[[#This Row],[CAP1-3]:[CAP29]])</f>
        <v>0</v>
      </c>
      <c r="F673" s="69">
        <f ca="1">SUMIF('CAP1-3'!$B:$H,Insumo[[#This Row],[DESCRIPCION]],'CAP1-3'!$H:$H)</f>
        <v>0</v>
      </c>
      <c r="G673" s="69">
        <f ca="1">SUMIF('CAP4-5'!$B:$H,Insumo[[#This Row],[DESCRIPCION]],'CAP4-5'!$H:$H)</f>
        <v>0</v>
      </c>
      <c r="H673" s="69">
        <f ca="1">SUMIF('CAP6-7'!$B:$H,Insumo[[#This Row],[DESCRIPCION]],'CAP6-7'!$H:$H)</f>
        <v>0</v>
      </c>
      <c r="I673" s="69">
        <f ca="1">SUMIF('CAP8'!$B:$H,Insumo[[#This Row],[DESCRIPCION]],'CAP8'!$H:$H)</f>
        <v>0</v>
      </c>
      <c r="J673" s="69">
        <f ca="1">SUMIF('CAP9-13'!$B:$H,Insumo[[#This Row],[DESCRIPCION]],'CAP9-13'!$H:$H)</f>
        <v>0</v>
      </c>
      <c r="K673" s="69">
        <f ca="1">SUMIF('CAP14-15'!$B:$H,Insumo[[#This Row],[DESCRIPCION]],'CAP14-15'!$H:$H)</f>
        <v>0</v>
      </c>
      <c r="L673" s="69">
        <f ca="1">SUMIF('CAP16-18'!$B:$H,Insumo[[#This Row],[DESCRIPCION]],'CAP16-18'!$H:$H)</f>
        <v>0</v>
      </c>
      <c r="M673" s="69">
        <f ca="1">SUMIF('CAP19-22'!$B:$H,Insumo[[#This Row],[DESCRIPCION]],'CAP19-22'!$H:$H)</f>
        <v>0</v>
      </c>
      <c r="N673" s="69">
        <f ca="1">SUMIF('CAP23-24'!$B:$H,Insumo[[#This Row],[DESCRIPCION]],'CAP23-24'!$H:$H)</f>
        <v>0</v>
      </c>
      <c r="O673" s="69">
        <f ca="1">SUMIF('CAP25'!$B:$H,Insumo[[#This Row],[DESCRIPCION]],'CAP25'!$H:$H)</f>
        <v>0</v>
      </c>
      <c r="P673" s="69">
        <f ca="1">SUMIF('CAP26-28'!$B:$H,Insumo[[#This Row],[DESCRIPCION]],'CAP26-28'!$H:$H)</f>
        <v>0</v>
      </c>
      <c r="Q673" s="69">
        <f ca="1">SUMIF('CAP29'!$B:$H,Insumo[[#This Row],[DESCRIPCION]],'CAP29'!$H:$H)</f>
        <v>0</v>
      </c>
      <c r="T673" s="136">
        <v>532590</v>
      </c>
    </row>
    <row r="674" spans="1:20" ht="12" customHeight="1">
      <c r="A674" s="301" t="s">
        <v>3285</v>
      </c>
      <c r="B674" s="303" t="s">
        <v>23</v>
      </c>
      <c r="C674" s="304">
        <f t="shared" si="10"/>
        <v>469426.65</v>
      </c>
      <c r="D674" s="281" cm="1">
        <f t="array" aca="1" ref="D674" ca="1">IF(Insumo[[#This Row],[VALOR]]=0,Insumo[TOTAL],E674/C674)</f>
        <v>0</v>
      </c>
      <c r="E674" s="69">
        <f ca="1">SUM(Insumo[[#This Row],[CAP1-3]:[CAP29]])</f>
        <v>0</v>
      </c>
      <c r="F674" s="69">
        <f ca="1">SUMIF('CAP1-3'!$B:$H,Insumo[[#This Row],[DESCRIPCION]],'CAP1-3'!$H:$H)</f>
        <v>0</v>
      </c>
      <c r="G674" s="69">
        <f ca="1">SUMIF('CAP4-5'!$B:$H,Insumo[[#This Row],[DESCRIPCION]],'CAP4-5'!$H:$H)</f>
        <v>0</v>
      </c>
      <c r="H674" s="69">
        <f ca="1">SUMIF('CAP6-7'!$B:$H,Insumo[[#This Row],[DESCRIPCION]],'CAP6-7'!$H:$H)</f>
        <v>0</v>
      </c>
      <c r="I674" s="69">
        <f ca="1">SUMIF('CAP8'!$B:$H,Insumo[[#This Row],[DESCRIPCION]],'CAP8'!$H:$H)</f>
        <v>0</v>
      </c>
      <c r="J674" s="69">
        <f ca="1">SUMIF('CAP9-13'!$B:$H,Insumo[[#This Row],[DESCRIPCION]],'CAP9-13'!$H:$H)</f>
        <v>0</v>
      </c>
      <c r="K674" s="69">
        <f ca="1">SUMIF('CAP14-15'!$B:$H,Insumo[[#This Row],[DESCRIPCION]],'CAP14-15'!$H:$H)</f>
        <v>0</v>
      </c>
      <c r="L674" s="69">
        <f ca="1">SUMIF('CAP16-18'!$B:$H,Insumo[[#This Row],[DESCRIPCION]],'CAP16-18'!$H:$H)</f>
        <v>0</v>
      </c>
      <c r="M674" s="69">
        <f ca="1">SUMIF('CAP19-22'!$B:$H,Insumo[[#This Row],[DESCRIPCION]],'CAP19-22'!$H:$H)</f>
        <v>0</v>
      </c>
      <c r="N674" s="69">
        <f ca="1">SUMIF('CAP23-24'!$B:$H,Insumo[[#This Row],[DESCRIPCION]],'CAP23-24'!$H:$H)</f>
        <v>0</v>
      </c>
      <c r="O674" s="69">
        <f ca="1">SUMIF('CAP25'!$B:$H,Insumo[[#This Row],[DESCRIPCION]],'CAP25'!$H:$H)</f>
        <v>0</v>
      </c>
      <c r="P674" s="69">
        <f ca="1">SUMIF('CAP26-28'!$B:$H,Insumo[[#This Row],[DESCRIPCION]],'CAP26-28'!$H:$H)</f>
        <v>0</v>
      </c>
      <c r="Q674" s="69">
        <f ca="1">SUMIF('CAP29'!$B:$H,Insumo[[#This Row],[DESCRIPCION]],'CAP29'!$H:$H)</f>
        <v>0</v>
      </c>
      <c r="T674" s="136">
        <v>447073</v>
      </c>
    </row>
    <row r="675" spans="1:20" ht="12" customHeight="1">
      <c r="A675" s="301" t="s">
        <v>3286</v>
      </c>
      <c r="B675" s="303" t="s">
        <v>23</v>
      </c>
      <c r="C675" s="304">
        <f t="shared" si="10"/>
        <v>110507.25</v>
      </c>
      <c r="D675" s="281" cm="1">
        <f t="array" aca="1" ref="D675" ca="1">IF(Insumo[[#This Row],[VALOR]]=0,Insumo[TOTAL],E675/C675)</f>
        <v>0</v>
      </c>
      <c r="E675" s="69">
        <f ca="1">SUM(Insumo[[#This Row],[CAP1-3]:[CAP29]])</f>
        <v>0</v>
      </c>
      <c r="F675" s="69">
        <f ca="1">SUMIF('CAP1-3'!$B:$H,Insumo[[#This Row],[DESCRIPCION]],'CAP1-3'!$H:$H)</f>
        <v>0</v>
      </c>
      <c r="G675" s="69">
        <f ca="1">SUMIF('CAP4-5'!$B:$H,Insumo[[#This Row],[DESCRIPCION]],'CAP4-5'!$H:$H)</f>
        <v>0</v>
      </c>
      <c r="H675" s="69">
        <f ca="1">SUMIF('CAP6-7'!$B:$H,Insumo[[#This Row],[DESCRIPCION]],'CAP6-7'!$H:$H)</f>
        <v>0</v>
      </c>
      <c r="I675" s="69">
        <f ca="1">SUMIF('CAP8'!$B:$H,Insumo[[#This Row],[DESCRIPCION]],'CAP8'!$H:$H)</f>
        <v>0</v>
      </c>
      <c r="J675" s="69">
        <f ca="1">SUMIF('CAP9-13'!$B:$H,Insumo[[#This Row],[DESCRIPCION]],'CAP9-13'!$H:$H)</f>
        <v>0</v>
      </c>
      <c r="K675" s="69">
        <f ca="1">SUMIF('CAP14-15'!$B:$H,Insumo[[#This Row],[DESCRIPCION]],'CAP14-15'!$H:$H)</f>
        <v>0</v>
      </c>
      <c r="L675" s="69">
        <f ca="1">SUMIF('CAP16-18'!$B:$H,Insumo[[#This Row],[DESCRIPCION]],'CAP16-18'!$H:$H)</f>
        <v>0</v>
      </c>
      <c r="M675" s="69">
        <f ca="1">SUMIF('CAP19-22'!$B:$H,Insumo[[#This Row],[DESCRIPCION]],'CAP19-22'!$H:$H)</f>
        <v>0</v>
      </c>
      <c r="N675" s="69">
        <f ca="1">SUMIF('CAP23-24'!$B:$H,Insumo[[#This Row],[DESCRIPCION]],'CAP23-24'!$H:$H)</f>
        <v>0</v>
      </c>
      <c r="O675" s="69">
        <f ca="1">SUMIF('CAP25'!$B:$H,Insumo[[#This Row],[DESCRIPCION]],'CAP25'!$H:$H)</f>
        <v>0</v>
      </c>
      <c r="P675" s="69">
        <f ca="1">SUMIF('CAP26-28'!$B:$H,Insumo[[#This Row],[DESCRIPCION]],'CAP26-28'!$H:$H)</f>
        <v>0</v>
      </c>
      <c r="Q675" s="69">
        <f ca="1">SUMIF('CAP29'!$B:$H,Insumo[[#This Row],[DESCRIPCION]],'CAP29'!$H:$H)</f>
        <v>0</v>
      </c>
      <c r="R675" s="290"/>
      <c r="T675" s="136">
        <v>105245</v>
      </c>
    </row>
    <row r="676" spans="1:20" ht="12" customHeight="1">
      <c r="A676" s="301" t="s">
        <v>3287</v>
      </c>
      <c r="B676" s="303" t="s">
        <v>23</v>
      </c>
      <c r="C676" s="304">
        <f t="shared" si="10"/>
        <v>311850</v>
      </c>
      <c r="D676" s="281" cm="1">
        <f t="array" aca="1" ref="D676" ca="1">IF(Insumo[[#This Row],[VALOR]]=0,Insumo[TOTAL],E676/C676)</f>
        <v>0</v>
      </c>
      <c r="E676" s="69">
        <f ca="1">SUM(Insumo[[#This Row],[CAP1-3]:[CAP29]])</f>
        <v>0</v>
      </c>
      <c r="F676" s="69">
        <f ca="1">SUMIF('CAP1-3'!$B:$H,Insumo[[#This Row],[DESCRIPCION]],'CAP1-3'!$H:$H)</f>
        <v>0</v>
      </c>
      <c r="G676" s="69">
        <f ca="1">SUMIF('CAP4-5'!$B:$H,Insumo[[#This Row],[DESCRIPCION]],'CAP4-5'!$H:$H)</f>
        <v>0</v>
      </c>
      <c r="H676" s="69">
        <f ca="1">SUMIF('CAP6-7'!$B:$H,Insumo[[#This Row],[DESCRIPCION]],'CAP6-7'!$H:$H)</f>
        <v>0</v>
      </c>
      <c r="I676" s="69">
        <f ca="1">SUMIF('CAP8'!$B:$H,Insumo[[#This Row],[DESCRIPCION]],'CAP8'!$H:$H)</f>
        <v>0</v>
      </c>
      <c r="J676" s="69">
        <f ca="1">SUMIF('CAP9-13'!$B:$H,Insumo[[#This Row],[DESCRIPCION]],'CAP9-13'!$H:$H)</f>
        <v>0</v>
      </c>
      <c r="K676" s="69">
        <f ca="1">SUMIF('CAP14-15'!$B:$H,Insumo[[#This Row],[DESCRIPCION]],'CAP14-15'!$H:$H)</f>
        <v>0</v>
      </c>
      <c r="L676" s="69">
        <f ca="1">SUMIF('CAP16-18'!$B:$H,Insumo[[#This Row],[DESCRIPCION]],'CAP16-18'!$H:$H)</f>
        <v>0</v>
      </c>
      <c r="M676" s="69">
        <f ca="1">SUMIF('CAP19-22'!$B:$H,Insumo[[#This Row],[DESCRIPCION]],'CAP19-22'!$H:$H)</f>
        <v>0</v>
      </c>
      <c r="N676" s="69">
        <f ca="1">SUMIF('CAP23-24'!$B:$H,Insumo[[#This Row],[DESCRIPCION]],'CAP23-24'!$H:$H)</f>
        <v>0</v>
      </c>
      <c r="O676" s="69">
        <f ca="1">SUMIF('CAP25'!$B:$H,Insumo[[#This Row],[DESCRIPCION]],'CAP25'!$H:$H)</f>
        <v>0</v>
      </c>
      <c r="P676" s="69">
        <f ca="1">SUMIF('CAP26-28'!$B:$H,Insumo[[#This Row],[DESCRIPCION]],'CAP26-28'!$H:$H)</f>
        <v>0</v>
      </c>
      <c r="Q676" s="69">
        <f ca="1">SUMIF('CAP29'!$B:$H,Insumo[[#This Row],[DESCRIPCION]],'CAP29'!$H:$H)</f>
        <v>0</v>
      </c>
      <c r="R676" s="290"/>
      <c r="T676" s="136">
        <v>297000</v>
      </c>
    </row>
    <row r="677" spans="1:20" ht="12" customHeight="1">
      <c r="A677" s="301" t="s">
        <v>3288</v>
      </c>
      <c r="B677" s="303" t="s">
        <v>23</v>
      </c>
      <c r="C677" s="304">
        <f t="shared" si="10"/>
        <v>179865</v>
      </c>
      <c r="D677" s="281" cm="1">
        <f t="array" aca="1" ref="D677" ca="1">IF(Insumo[[#This Row],[VALOR]]=0,Insumo[TOTAL],E677/C677)</f>
        <v>0</v>
      </c>
      <c r="E677" s="69">
        <f ca="1">SUM(Insumo[[#This Row],[CAP1-3]:[CAP29]])</f>
        <v>0</v>
      </c>
      <c r="F677" s="69">
        <f ca="1">SUMIF('CAP1-3'!$B:$H,Insumo[[#This Row],[DESCRIPCION]],'CAP1-3'!$H:$H)</f>
        <v>0</v>
      </c>
      <c r="G677" s="69">
        <f ca="1">SUMIF('CAP4-5'!$B:$H,Insumo[[#This Row],[DESCRIPCION]],'CAP4-5'!$H:$H)</f>
        <v>0</v>
      </c>
      <c r="H677" s="69">
        <f ca="1">SUMIF('CAP6-7'!$B:$H,Insumo[[#This Row],[DESCRIPCION]],'CAP6-7'!$H:$H)</f>
        <v>0</v>
      </c>
      <c r="I677" s="69">
        <f ca="1">SUMIF('CAP8'!$B:$H,Insumo[[#This Row],[DESCRIPCION]],'CAP8'!$H:$H)</f>
        <v>0</v>
      </c>
      <c r="J677" s="69">
        <f ca="1">SUMIF('CAP9-13'!$B:$H,Insumo[[#This Row],[DESCRIPCION]],'CAP9-13'!$H:$H)</f>
        <v>0</v>
      </c>
      <c r="K677" s="69">
        <f ca="1">SUMIF('CAP14-15'!$B:$H,Insumo[[#This Row],[DESCRIPCION]],'CAP14-15'!$H:$H)</f>
        <v>0</v>
      </c>
      <c r="L677" s="69">
        <f ca="1">SUMIF('CAP16-18'!$B:$H,Insumo[[#This Row],[DESCRIPCION]],'CAP16-18'!$H:$H)</f>
        <v>0</v>
      </c>
      <c r="M677" s="69">
        <f ca="1">SUMIF('CAP19-22'!$B:$H,Insumo[[#This Row],[DESCRIPCION]],'CAP19-22'!$H:$H)</f>
        <v>0</v>
      </c>
      <c r="N677" s="69">
        <f ca="1">SUMIF('CAP23-24'!$B:$H,Insumo[[#This Row],[DESCRIPCION]],'CAP23-24'!$H:$H)</f>
        <v>0</v>
      </c>
      <c r="O677" s="69">
        <f ca="1">SUMIF('CAP25'!$B:$H,Insumo[[#This Row],[DESCRIPCION]],'CAP25'!$H:$H)</f>
        <v>0</v>
      </c>
      <c r="P677" s="69">
        <f ca="1">SUMIF('CAP26-28'!$B:$H,Insumo[[#This Row],[DESCRIPCION]],'CAP26-28'!$H:$H)</f>
        <v>0</v>
      </c>
      <c r="Q677" s="69">
        <f ca="1">SUMIF('CAP29'!$B:$H,Insumo[[#This Row],[DESCRIPCION]],'CAP29'!$H:$H)</f>
        <v>0</v>
      </c>
      <c r="R677" s="290"/>
      <c r="T677" s="136">
        <v>171300</v>
      </c>
    </row>
    <row r="678" spans="1:20" ht="12" customHeight="1">
      <c r="A678" s="301" t="s">
        <v>3289</v>
      </c>
      <c r="B678" s="303" t="s">
        <v>23</v>
      </c>
      <c r="C678" s="304">
        <f t="shared" si="10"/>
        <v>712493.25</v>
      </c>
      <c r="D678" s="281" cm="1">
        <f t="array" aca="1" ref="D678" ca="1">IF(Insumo[[#This Row],[VALOR]]=0,Insumo[TOTAL],E678/C678)</f>
        <v>0</v>
      </c>
      <c r="E678" s="69">
        <f ca="1">SUM(Insumo[[#This Row],[CAP1-3]:[CAP29]])</f>
        <v>0</v>
      </c>
      <c r="F678" s="69">
        <f ca="1">SUMIF('CAP1-3'!$B:$H,Insumo[[#This Row],[DESCRIPCION]],'CAP1-3'!$H:$H)</f>
        <v>0</v>
      </c>
      <c r="G678" s="69">
        <f ca="1">SUMIF('CAP4-5'!$B:$H,Insumo[[#This Row],[DESCRIPCION]],'CAP4-5'!$H:$H)</f>
        <v>0</v>
      </c>
      <c r="H678" s="69">
        <f ca="1">SUMIF('CAP6-7'!$B:$H,Insumo[[#This Row],[DESCRIPCION]],'CAP6-7'!$H:$H)</f>
        <v>0</v>
      </c>
      <c r="I678" s="69">
        <f ca="1">SUMIF('CAP8'!$B:$H,Insumo[[#This Row],[DESCRIPCION]],'CAP8'!$H:$H)</f>
        <v>0</v>
      </c>
      <c r="J678" s="69">
        <f ca="1">SUMIF('CAP9-13'!$B:$H,Insumo[[#This Row],[DESCRIPCION]],'CAP9-13'!$H:$H)</f>
        <v>0</v>
      </c>
      <c r="K678" s="69">
        <f ca="1">SUMIF('CAP14-15'!$B:$H,Insumo[[#This Row],[DESCRIPCION]],'CAP14-15'!$H:$H)</f>
        <v>0</v>
      </c>
      <c r="L678" s="69">
        <f ca="1">SUMIF('CAP16-18'!$B:$H,Insumo[[#This Row],[DESCRIPCION]],'CAP16-18'!$H:$H)</f>
        <v>0</v>
      </c>
      <c r="M678" s="69">
        <f ca="1">SUMIF('CAP19-22'!$B:$H,Insumo[[#This Row],[DESCRIPCION]],'CAP19-22'!$H:$H)</f>
        <v>0</v>
      </c>
      <c r="N678" s="69">
        <f ca="1">SUMIF('CAP23-24'!$B:$H,Insumo[[#This Row],[DESCRIPCION]],'CAP23-24'!$H:$H)</f>
        <v>0</v>
      </c>
      <c r="O678" s="69">
        <f ca="1">SUMIF('CAP25'!$B:$H,Insumo[[#This Row],[DESCRIPCION]],'CAP25'!$H:$H)</f>
        <v>0</v>
      </c>
      <c r="P678" s="69">
        <f ca="1">SUMIF('CAP26-28'!$B:$H,Insumo[[#This Row],[DESCRIPCION]],'CAP26-28'!$H:$H)</f>
        <v>0</v>
      </c>
      <c r="Q678" s="69">
        <f ca="1">SUMIF('CAP29'!$B:$H,Insumo[[#This Row],[DESCRIPCION]],'CAP29'!$H:$H)</f>
        <v>0</v>
      </c>
      <c r="T678" s="136">
        <v>678565</v>
      </c>
    </row>
    <row r="679" spans="1:20" ht="12" customHeight="1">
      <c r="A679" s="301" t="s">
        <v>3290</v>
      </c>
      <c r="B679" s="303" t="s">
        <v>23</v>
      </c>
      <c r="C679" s="304">
        <f t="shared" si="10"/>
        <v>321665.40000000002</v>
      </c>
      <c r="D679" s="281" cm="1">
        <f t="array" aca="1" ref="D679" ca="1">IF(Insumo[[#This Row],[VALOR]]=0,Insumo[TOTAL],E679/C679)</f>
        <v>0</v>
      </c>
      <c r="E679" s="69">
        <f ca="1">SUM(Insumo[[#This Row],[CAP1-3]:[CAP29]])</f>
        <v>0</v>
      </c>
      <c r="F679" s="69">
        <f ca="1">SUMIF('CAP1-3'!$B:$H,Insumo[[#This Row],[DESCRIPCION]],'CAP1-3'!$H:$H)</f>
        <v>0</v>
      </c>
      <c r="G679" s="69">
        <f ca="1">SUMIF('CAP4-5'!$B:$H,Insumo[[#This Row],[DESCRIPCION]],'CAP4-5'!$H:$H)</f>
        <v>0</v>
      </c>
      <c r="H679" s="69">
        <f ca="1">SUMIF('CAP6-7'!$B:$H,Insumo[[#This Row],[DESCRIPCION]],'CAP6-7'!$H:$H)</f>
        <v>0</v>
      </c>
      <c r="I679" s="69">
        <f ca="1">SUMIF('CAP8'!$B:$H,Insumo[[#This Row],[DESCRIPCION]],'CAP8'!$H:$H)</f>
        <v>0</v>
      </c>
      <c r="J679" s="69">
        <f ca="1">SUMIF('CAP9-13'!$B:$H,Insumo[[#This Row],[DESCRIPCION]],'CAP9-13'!$H:$H)</f>
        <v>0</v>
      </c>
      <c r="K679" s="69">
        <f ca="1">SUMIF('CAP14-15'!$B:$H,Insumo[[#This Row],[DESCRIPCION]],'CAP14-15'!$H:$H)</f>
        <v>0</v>
      </c>
      <c r="L679" s="69">
        <f ca="1">SUMIF('CAP16-18'!$B:$H,Insumo[[#This Row],[DESCRIPCION]],'CAP16-18'!$H:$H)</f>
        <v>0</v>
      </c>
      <c r="M679" s="69">
        <f ca="1">SUMIF('CAP19-22'!$B:$H,Insumo[[#This Row],[DESCRIPCION]],'CAP19-22'!$H:$H)</f>
        <v>0</v>
      </c>
      <c r="N679" s="69">
        <f ca="1">SUMIF('CAP23-24'!$B:$H,Insumo[[#This Row],[DESCRIPCION]],'CAP23-24'!$H:$H)</f>
        <v>0</v>
      </c>
      <c r="O679" s="69">
        <f ca="1">SUMIF('CAP25'!$B:$H,Insumo[[#This Row],[DESCRIPCION]],'CAP25'!$H:$H)</f>
        <v>0</v>
      </c>
      <c r="P679" s="69">
        <f ca="1">SUMIF('CAP26-28'!$B:$H,Insumo[[#This Row],[DESCRIPCION]],'CAP26-28'!$H:$H)</f>
        <v>0</v>
      </c>
      <c r="Q679" s="69">
        <f ca="1">SUMIF('CAP29'!$B:$H,Insumo[[#This Row],[DESCRIPCION]],'CAP29'!$H:$H)</f>
        <v>0</v>
      </c>
      <c r="T679" s="136">
        <v>306348</v>
      </c>
    </row>
    <row r="680" spans="1:20" ht="12" customHeight="1">
      <c r="A680" s="301" t="s">
        <v>3291</v>
      </c>
      <c r="B680" s="303" t="s">
        <v>23</v>
      </c>
      <c r="C680" s="304">
        <f t="shared" si="10"/>
        <v>414868.65</v>
      </c>
      <c r="D680" s="281" cm="1">
        <f t="array" aca="1" ref="D680" ca="1">IF(Insumo[[#This Row],[VALOR]]=0,Insumo[TOTAL],E680/C680)</f>
        <v>0</v>
      </c>
      <c r="E680" s="69">
        <f ca="1">SUM(Insumo[[#This Row],[CAP1-3]:[CAP29]])</f>
        <v>0</v>
      </c>
      <c r="F680" s="69">
        <f ca="1">SUMIF('CAP1-3'!$B:$H,Insumo[[#This Row],[DESCRIPCION]],'CAP1-3'!$H:$H)</f>
        <v>0</v>
      </c>
      <c r="G680" s="69">
        <f ca="1">SUMIF('CAP4-5'!$B:$H,Insumo[[#This Row],[DESCRIPCION]],'CAP4-5'!$H:$H)</f>
        <v>0</v>
      </c>
      <c r="H680" s="69">
        <f ca="1">SUMIF('CAP6-7'!$B:$H,Insumo[[#This Row],[DESCRIPCION]],'CAP6-7'!$H:$H)</f>
        <v>0</v>
      </c>
      <c r="I680" s="69">
        <f ca="1">SUMIF('CAP8'!$B:$H,Insumo[[#This Row],[DESCRIPCION]],'CAP8'!$H:$H)</f>
        <v>0</v>
      </c>
      <c r="J680" s="69">
        <f ca="1">SUMIF('CAP9-13'!$B:$H,Insumo[[#This Row],[DESCRIPCION]],'CAP9-13'!$H:$H)</f>
        <v>0</v>
      </c>
      <c r="K680" s="69">
        <f ca="1">SUMIF('CAP14-15'!$B:$H,Insumo[[#This Row],[DESCRIPCION]],'CAP14-15'!$H:$H)</f>
        <v>0</v>
      </c>
      <c r="L680" s="69">
        <f ca="1">SUMIF('CAP16-18'!$B:$H,Insumo[[#This Row],[DESCRIPCION]],'CAP16-18'!$H:$H)</f>
        <v>0</v>
      </c>
      <c r="M680" s="69">
        <f ca="1">SUMIF('CAP19-22'!$B:$H,Insumo[[#This Row],[DESCRIPCION]],'CAP19-22'!$H:$H)</f>
        <v>0</v>
      </c>
      <c r="N680" s="69">
        <f ca="1">SUMIF('CAP23-24'!$B:$H,Insumo[[#This Row],[DESCRIPCION]],'CAP23-24'!$H:$H)</f>
        <v>0</v>
      </c>
      <c r="O680" s="69">
        <f ca="1">SUMIF('CAP25'!$B:$H,Insumo[[#This Row],[DESCRIPCION]],'CAP25'!$H:$H)</f>
        <v>0</v>
      </c>
      <c r="P680" s="69">
        <f ca="1">SUMIF('CAP26-28'!$B:$H,Insumo[[#This Row],[DESCRIPCION]],'CAP26-28'!$H:$H)</f>
        <v>0</v>
      </c>
      <c r="Q680" s="69">
        <f ca="1">SUMIF('CAP29'!$B:$H,Insumo[[#This Row],[DESCRIPCION]],'CAP29'!$H:$H)</f>
        <v>0</v>
      </c>
      <c r="T680" s="136">
        <v>395113</v>
      </c>
    </row>
    <row r="681" spans="1:20" ht="12" customHeight="1">
      <c r="A681" s="301" t="s">
        <v>3292</v>
      </c>
      <c r="B681" s="303" t="s">
        <v>23</v>
      </c>
      <c r="C681" s="304">
        <f t="shared" si="10"/>
        <v>466016.25</v>
      </c>
      <c r="D681" s="281" cm="1">
        <f t="array" aca="1" ref="D681" ca="1">IF(Insumo[[#This Row],[VALOR]]=0,Insumo[TOTAL],E681/C681)</f>
        <v>0</v>
      </c>
      <c r="E681" s="69">
        <f ca="1">SUM(Insumo[[#This Row],[CAP1-3]:[CAP29]])</f>
        <v>0</v>
      </c>
      <c r="F681" s="69">
        <f ca="1">SUMIF('CAP1-3'!$B:$H,Insumo[[#This Row],[DESCRIPCION]],'CAP1-3'!$H:$H)</f>
        <v>0</v>
      </c>
      <c r="G681" s="69">
        <f ca="1">SUMIF('CAP4-5'!$B:$H,Insumo[[#This Row],[DESCRIPCION]],'CAP4-5'!$H:$H)</f>
        <v>0</v>
      </c>
      <c r="H681" s="69">
        <f ca="1">SUMIF('CAP6-7'!$B:$H,Insumo[[#This Row],[DESCRIPCION]],'CAP6-7'!$H:$H)</f>
        <v>0</v>
      </c>
      <c r="I681" s="69">
        <f ca="1">SUMIF('CAP8'!$B:$H,Insumo[[#This Row],[DESCRIPCION]],'CAP8'!$H:$H)</f>
        <v>0</v>
      </c>
      <c r="J681" s="69">
        <f ca="1">SUMIF('CAP9-13'!$B:$H,Insumo[[#This Row],[DESCRIPCION]],'CAP9-13'!$H:$H)</f>
        <v>0</v>
      </c>
      <c r="K681" s="69">
        <f ca="1">SUMIF('CAP14-15'!$B:$H,Insumo[[#This Row],[DESCRIPCION]],'CAP14-15'!$H:$H)</f>
        <v>0</v>
      </c>
      <c r="L681" s="69">
        <f ca="1">SUMIF('CAP16-18'!$B:$H,Insumo[[#This Row],[DESCRIPCION]],'CAP16-18'!$H:$H)</f>
        <v>0</v>
      </c>
      <c r="M681" s="69">
        <f ca="1">SUMIF('CAP19-22'!$B:$H,Insumo[[#This Row],[DESCRIPCION]],'CAP19-22'!$H:$H)</f>
        <v>0</v>
      </c>
      <c r="N681" s="69">
        <f ca="1">SUMIF('CAP23-24'!$B:$H,Insumo[[#This Row],[DESCRIPCION]],'CAP23-24'!$H:$H)</f>
        <v>0</v>
      </c>
      <c r="O681" s="69">
        <f ca="1">SUMIF('CAP25'!$B:$H,Insumo[[#This Row],[DESCRIPCION]],'CAP25'!$H:$H)</f>
        <v>0</v>
      </c>
      <c r="P681" s="69">
        <f ca="1">SUMIF('CAP26-28'!$B:$H,Insumo[[#This Row],[DESCRIPCION]],'CAP26-28'!$H:$H)</f>
        <v>0</v>
      </c>
      <c r="Q681" s="69">
        <f ca="1">SUMIF('CAP29'!$B:$H,Insumo[[#This Row],[DESCRIPCION]],'CAP29'!$H:$H)</f>
        <v>0</v>
      </c>
      <c r="T681" s="136">
        <v>443825</v>
      </c>
    </row>
    <row r="682" spans="1:20" ht="12" customHeight="1">
      <c r="A682" s="301" t="s">
        <v>3293</v>
      </c>
      <c r="B682" s="303" t="s">
        <v>23</v>
      </c>
      <c r="C682" s="304">
        <f t="shared" si="10"/>
        <v>70243.95</v>
      </c>
      <c r="D682" s="281" cm="1">
        <f t="array" aca="1" ref="D682" ca="1">IF(Insumo[[#This Row],[VALOR]]=0,Insumo[TOTAL],E682/C682)</f>
        <v>0</v>
      </c>
      <c r="E682" s="69">
        <f ca="1">SUM(Insumo[[#This Row],[CAP1-3]:[CAP29]])</f>
        <v>0</v>
      </c>
      <c r="F682" s="69">
        <f ca="1">SUMIF('CAP1-3'!$B:$H,Insumo[[#This Row],[DESCRIPCION]],'CAP1-3'!$H:$H)</f>
        <v>0</v>
      </c>
      <c r="G682" s="69">
        <f ca="1">SUMIF('CAP4-5'!$B:$H,Insumo[[#This Row],[DESCRIPCION]],'CAP4-5'!$H:$H)</f>
        <v>0</v>
      </c>
      <c r="H682" s="69">
        <f ca="1">SUMIF('CAP6-7'!$B:$H,Insumo[[#This Row],[DESCRIPCION]],'CAP6-7'!$H:$H)</f>
        <v>0</v>
      </c>
      <c r="I682" s="69">
        <f ca="1">SUMIF('CAP8'!$B:$H,Insumo[[#This Row],[DESCRIPCION]],'CAP8'!$H:$H)</f>
        <v>0</v>
      </c>
      <c r="J682" s="69">
        <f ca="1">SUMIF('CAP9-13'!$B:$H,Insumo[[#This Row],[DESCRIPCION]],'CAP9-13'!$H:$H)</f>
        <v>0</v>
      </c>
      <c r="K682" s="69">
        <f ca="1">SUMIF('CAP14-15'!$B:$H,Insumo[[#This Row],[DESCRIPCION]],'CAP14-15'!$H:$H)</f>
        <v>0</v>
      </c>
      <c r="L682" s="69">
        <f ca="1">SUMIF('CAP16-18'!$B:$H,Insumo[[#This Row],[DESCRIPCION]],'CAP16-18'!$H:$H)</f>
        <v>0</v>
      </c>
      <c r="M682" s="69">
        <f ca="1">SUMIF('CAP19-22'!$B:$H,Insumo[[#This Row],[DESCRIPCION]],'CAP19-22'!$H:$H)</f>
        <v>0</v>
      </c>
      <c r="N682" s="69">
        <f ca="1">SUMIF('CAP23-24'!$B:$H,Insumo[[#This Row],[DESCRIPCION]],'CAP23-24'!$H:$H)</f>
        <v>0</v>
      </c>
      <c r="O682" s="69">
        <f ca="1">SUMIF('CAP25'!$B:$H,Insumo[[#This Row],[DESCRIPCION]],'CAP25'!$H:$H)</f>
        <v>0</v>
      </c>
      <c r="P682" s="69">
        <f ca="1">SUMIF('CAP26-28'!$B:$H,Insumo[[#This Row],[DESCRIPCION]],'CAP26-28'!$H:$H)</f>
        <v>0</v>
      </c>
      <c r="Q682" s="69">
        <f ca="1">SUMIF('CAP29'!$B:$H,Insumo[[#This Row],[DESCRIPCION]],'CAP29'!$H:$H)</f>
        <v>0</v>
      </c>
      <c r="T682" s="136">
        <v>66899</v>
      </c>
    </row>
    <row r="683" spans="1:20" ht="12" customHeight="1">
      <c r="A683" s="301" t="s">
        <v>3294</v>
      </c>
      <c r="B683" s="303" t="s">
        <v>23</v>
      </c>
      <c r="C683" s="304">
        <f t="shared" si="10"/>
        <v>3891.3</v>
      </c>
      <c r="D683" s="281" cm="1">
        <f t="array" aca="1" ref="D683" ca="1">IF(Insumo[[#This Row],[VALOR]]=0,Insumo[TOTAL],E683/C683)</f>
        <v>0</v>
      </c>
      <c r="E683" s="69">
        <f ca="1">SUM(Insumo[[#This Row],[CAP1-3]:[CAP29]])</f>
        <v>0</v>
      </c>
      <c r="F683" s="69">
        <f ca="1">SUMIF('CAP1-3'!$B:$H,Insumo[[#This Row],[DESCRIPCION]],'CAP1-3'!$H:$H)</f>
        <v>0</v>
      </c>
      <c r="G683" s="69">
        <f ca="1">SUMIF('CAP4-5'!$B:$H,Insumo[[#This Row],[DESCRIPCION]],'CAP4-5'!$H:$H)</f>
        <v>0</v>
      </c>
      <c r="H683" s="69">
        <f ca="1">SUMIF('CAP6-7'!$B:$H,Insumo[[#This Row],[DESCRIPCION]],'CAP6-7'!$H:$H)</f>
        <v>0</v>
      </c>
      <c r="I683" s="69">
        <f ca="1">SUMIF('CAP8'!$B:$H,Insumo[[#This Row],[DESCRIPCION]],'CAP8'!$H:$H)</f>
        <v>0</v>
      </c>
      <c r="J683" s="69">
        <f ca="1">SUMIF('CAP9-13'!$B:$H,Insumo[[#This Row],[DESCRIPCION]],'CAP9-13'!$H:$H)</f>
        <v>0</v>
      </c>
      <c r="K683" s="69">
        <f ca="1">SUMIF('CAP14-15'!$B:$H,Insumo[[#This Row],[DESCRIPCION]],'CAP14-15'!$H:$H)</f>
        <v>0</v>
      </c>
      <c r="L683" s="69">
        <f ca="1">SUMIF('CAP16-18'!$B:$H,Insumo[[#This Row],[DESCRIPCION]],'CAP16-18'!$H:$H)</f>
        <v>0</v>
      </c>
      <c r="M683" s="69">
        <f ca="1">SUMIF('CAP19-22'!$B:$H,Insumo[[#This Row],[DESCRIPCION]],'CAP19-22'!$H:$H)</f>
        <v>0</v>
      </c>
      <c r="N683" s="69">
        <f ca="1">SUMIF('CAP23-24'!$B:$H,Insumo[[#This Row],[DESCRIPCION]],'CAP23-24'!$H:$H)</f>
        <v>0</v>
      </c>
      <c r="O683" s="69">
        <f ca="1">SUMIF('CAP25'!$B:$H,Insumo[[#This Row],[DESCRIPCION]],'CAP25'!$H:$H)</f>
        <v>0</v>
      </c>
      <c r="P683" s="69">
        <f ca="1">SUMIF('CAP26-28'!$B:$H,Insumo[[#This Row],[DESCRIPCION]],'CAP26-28'!$H:$H)</f>
        <v>0</v>
      </c>
      <c r="Q683" s="69">
        <f ca="1">SUMIF('CAP29'!$B:$H,Insumo[[#This Row],[DESCRIPCION]],'CAP29'!$H:$H)</f>
        <v>0</v>
      </c>
      <c r="T683" s="136">
        <v>3706</v>
      </c>
    </row>
    <row r="684" spans="1:20" ht="12" customHeight="1">
      <c r="A684" s="301" t="s">
        <v>3295</v>
      </c>
      <c r="B684" s="303" t="s">
        <v>338</v>
      </c>
      <c r="C684" s="304">
        <f t="shared" si="10"/>
        <v>22039.5</v>
      </c>
      <c r="D684" s="281" cm="1">
        <f t="array" aca="1" ref="D684" ca="1">IF(Insumo[[#This Row],[VALOR]]=0,Insumo[TOTAL],E684/C684)</f>
        <v>0</v>
      </c>
      <c r="E684" s="69">
        <f ca="1">SUM(Insumo[[#This Row],[CAP1-3]:[CAP29]])</f>
        <v>0</v>
      </c>
      <c r="F684" s="69">
        <f ca="1">SUMIF('CAP1-3'!$B:$H,Insumo[[#This Row],[DESCRIPCION]],'CAP1-3'!$H:$H)</f>
        <v>0</v>
      </c>
      <c r="G684" s="69">
        <f ca="1">SUMIF('CAP4-5'!$B:$H,Insumo[[#This Row],[DESCRIPCION]],'CAP4-5'!$H:$H)</f>
        <v>0</v>
      </c>
      <c r="H684" s="69">
        <f ca="1">SUMIF('CAP6-7'!$B:$H,Insumo[[#This Row],[DESCRIPCION]],'CAP6-7'!$H:$H)</f>
        <v>0</v>
      </c>
      <c r="I684" s="69">
        <f ca="1">SUMIF('CAP8'!$B:$H,Insumo[[#This Row],[DESCRIPCION]],'CAP8'!$H:$H)</f>
        <v>0</v>
      </c>
      <c r="J684" s="69">
        <f ca="1">SUMIF('CAP9-13'!$B:$H,Insumo[[#This Row],[DESCRIPCION]],'CAP9-13'!$H:$H)</f>
        <v>0</v>
      </c>
      <c r="K684" s="69">
        <f ca="1">SUMIF('CAP14-15'!$B:$H,Insumo[[#This Row],[DESCRIPCION]],'CAP14-15'!$H:$H)</f>
        <v>0</v>
      </c>
      <c r="L684" s="69">
        <f ca="1">SUMIF('CAP16-18'!$B:$H,Insumo[[#This Row],[DESCRIPCION]],'CAP16-18'!$H:$H)</f>
        <v>0</v>
      </c>
      <c r="M684" s="69">
        <f ca="1">SUMIF('CAP19-22'!$B:$H,Insumo[[#This Row],[DESCRIPCION]],'CAP19-22'!$H:$H)</f>
        <v>0</v>
      </c>
      <c r="N684" s="69">
        <f ca="1">SUMIF('CAP23-24'!$B:$H,Insumo[[#This Row],[DESCRIPCION]],'CAP23-24'!$H:$H)</f>
        <v>0</v>
      </c>
      <c r="O684" s="69">
        <f ca="1">SUMIF('CAP25'!$B:$H,Insumo[[#This Row],[DESCRIPCION]],'CAP25'!$H:$H)</f>
        <v>0</v>
      </c>
      <c r="P684" s="69">
        <f ca="1">SUMIF('CAP26-28'!$B:$H,Insumo[[#This Row],[DESCRIPCION]],'CAP26-28'!$H:$H)</f>
        <v>0</v>
      </c>
      <c r="Q684" s="69">
        <f ca="1">SUMIF('CAP29'!$B:$H,Insumo[[#This Row],[DESCRIPCION]],'CAP29'!$H:$H)</f>
        <v>0</v>
      </c>
      <c r="T684" s="136">
        <v>20990</v>
      </c>
    </row>
    <row r="685" spans="1:20" ht="12" customHeight="1">
      <c r="A685" s="301" t="s">
        <v>3296</v>
      </c>
      <c r="B685" s="303" t="s">
        <v>3297</v>
      </c>
      <c r="C685" s="304">
        <f t="shared" si="10"/>
        <v>475109.25</v>
      </c>
      <c r="D685" s="281" cm="1">
        <f t="array" aca="1" ref="D685" ca="1">IF(Insumo[[#This Row],[VALOR]]=0,Insumo[TOTAL],E685/C685)</f>
        <v>0</v>
      </c>
      <c r="E685" s="69">
        <f ca="1">SUM(Insumo[[#This Row],[CAP1-3]:[CAP29]])</f>
        <v>0</v>
      </c>
      <c r="F685" s="69">
        <f ca="1">SUMIF('CAP1-3'!$B:$H,Insumo[[#This Row],[DESCRIPCION]],'CAP1-3'!$H:$H)</f>
        <v>0</v>
      </c>
      <c r="G685" s="69">
        <f ca="1">SUMIF('CAP4-5'!$B:$H,Insumo[[#This Row],[DESCRIPCION]],'CAP4-5'!$H:$H)</f>
        <v>0</v>
      </c>
      <c r="H685" s="69">
        <f ca="1">SUMIF('CAP6-7'!$B:$H,Insumo[[#This Row],[DESCRIPCION]],'CAP6-7'!$H:$H)</f>
        <v>0</v>
      </c>
      <c r="I685" s="69">
        <f ca="1">SUMIF('CAP8'!$B:$H,Insumo[[#This Row],[DESCRIPCION]],'CAP8'!$H:$H)</f>
        <v>0</v>
      </c>
      <c r="J685" s="69">
        <f ca="1">SUMIF('CAP9-13'!$B:$H,Insumo[[#This Row],[DESCRIPCION]],'CAP9-13'!$H:$H)</f>
        <v>0</v>
      </c>
      <c r="K685" s="69">
        <f ca="1">SUMIF('CAP14-15'!$B:$H,Insumo[[#This Row],[DESCRIPCION]],'CAP14-15'!$H:$H)</f>
        <v>0</v>
      </c>
      <c r="L685" s="69">
        <f ca="1">SUMIF('CAP16-18'!$B:$H,Insumo[[#This Row],[DESCRIPCION]],'CAP16-18'!$H:$H)</f>
        <v>0</v>
      </c>
      <c r="M685" s="69">
        <f ca="1">SUMIF('CAP19-22'!$B:$H,Insumo[[#This Row],[DESCRIPCION]],'CAP19-22'!$H:$H)</f>
        <v>0</v>
      </c>
      <c r="N685" s="69">
        <f ca="1">SUMIF('CAP23-24'!$B:$H,Insumo[[#This Row],[DESCRIPCION]],'CAP23-24'!$H:$H)</f>
        <v>0</v>
      </c>
      <c r="O685" s="69">
        <f ca="1">SUMIF('CAP25'!$B:$H,Insumo[[#This Row],[DESCRIPCION]],'CAP25'!$H:$H)</f>
        <v>0</v>
      </c>
      <c r="P685" s="69">
        <f ca="1">SUMIF('CAP26-28'!$B:$H,Insumo[[#This Row],[DESCRIPCION]],'CAP26-28'!$H:$H)</f>
        <v>0</v>
      </c>
      <c r="Q685" s="69">
        <f ca="1">SUMIF('CAP29'!$B:$H,Insumo[[#This Row],[DESCRIPCION]],'CAP29'!$H:$H)</f>
        <v>0</v>
      </c>
      <c r="T685" s="136">
        <v>452485</v>
      </c>
    </row>
    <row r="686" spans="1:20" ht="12" customHeight="1">
      <c r="A686" s="301" t="s">
        <v>3298</v>
      </c>
      <c r="B686" s="303" t="s">
        <v>2749</v>
      </c>
      <c r="C686" s="304">
        <f t="shared" si="10"/>
        <v>167816.25</v>
      </c>
      <c r="D686" s="281" cm="1">
        <f t="array" aca="1" ref="D686" ca="1">IF(Insumo[[#This Row],[VALOR]]=0,Insumo[TOTAL],E686/C686)</f>
        <v>0</v>
      </c>
      <c r="E686" s="69">
        <f ca="1">SUM(Insumo[[#This Row],[CAP1-3]:[CAP29]])</f>
        <v>0</v>
      </c>
      <c r="F686" s="69">
        <f ca="1">SUMIF('CAP1-3'!$B:$H,Insumo[[#This Row],[DESCRIPCION]],'CAP1-3'!$H:$H)</f>
        <v>0</v>
      </c>
      <c r="G686" s="69">
        <f ca="1">SUMIF('CAP4-5'!$B:$H,Insumo[[#This Row],[DESCRIPCION]],'CAP4-5'!$H:$H)</f>
        <v>0</v>
      </c>
      <c r="H686" s="69">
        <f ca="1">SUMIF('CAP6-7'!$B:$H,Insumo[[#This Row],[DESCRIPCION]],'CAP6-7'!$H:$H)</f>
        <v>0</v>
      </c>
      <c r="I686" s="69">
        <f ca="1">SUMIF('CAP8'!$B:$H,Insumo[[#This Row],[DESCRIPCION]],'CAP8'!$H:$H)</f>
        <v>0</v>
      </c>
      <c r="J686" s="69">
        <f ca="1">SUMIF('CAP9-13'!$B:$H,Insumo[[#This Row],[DESCRIPCION]],'CAP9-13'!$H:$H)</f>
        <v>0</v>
      </c>
      <c r="K686" s="69">
        <f ca="1">SUMIF('CAP14-15'!$B:$H,Insumo[[#This Row],[DESCRIPCION]],'CAP14-15'!$H:$H)</f>
        <v>0</v>
      </c>
      <c r="L686" s="69">
        <f ca="1">SUMIF('CAP16-18'!$B:$H,Insumo[[#This Row],[DESCRIPCION]],'CAP16-18'!$H:$H)</f>
        <v>0</v>
      </c>
      <c r="M686" s="69">
        <f ca="1">SUMIF('CAP19-22'!$B:$H,Insumo[[#This Row],[DESCRIPCION]],'CAP19-22'!$H:$H)</f>
        <v>0</v>
      </c>
      <c r="N686" s="69">
        <f ca="1">SUMIF('CAP23-24'!$B:$H,Insumo[[#This Row],[DESCRIPCION]],'CAP23-24'!$H:$H)</f>
        <v>0</v>
      </c>
      <c r="O686" s="69">
        <f ca="1">SUMIF('CAP25'!$B:$H,Insumo[[#This Row],[DESCRIPCION]],'CAP25'!$H:$H)</f>
        <v>0</v>
      </c>
      <c r="P686" s="69">
        <f ca="1">SUMIF('CAP26-28'!$B:$H,Insumo[[#This Row],[DESCRIPCION]],'CAP26-28'!$H:$H)</f>
        <v>0</v>
      </c>
      <c r="Q686" s="69">
        <f ca="1">SUMIF('CAP29'!$B:$H,Insumo[[#This Row],[DESCRIPCION]],'CAP29'!$H:$H)</f>
        <v>0</v>
      </c>
      <c r="T686" s="136">
        <v>159825</v>
      </c>
    </row>
    <row r="687" spans="1:20" ht="12" customHeight="1">
      <c r="A687" s="301" t="s">
        <v>3299</v>
      </c>
      <c r="B687" s="303" t="s">
        <v>23</v>
      </c>
      <c r="C687" s="304">
        <f t="shared" si="10"/>
        <v>9188.5500000000011</v>
      </c>
      <c r="D687" s="281" cm="1">
        <f t="array" aca="1" ref="D687" ca="1">IF(Insumo[[#This Row],[VALOR]]=0,Insumo[TOTAL],E687/C687)</f>
        <v>0</v>
      </c>
      <c r="E687" s="69">
        <f ca="1">SUM(Insumo[[#This Row],[CAP1-3]:[CAP29]])</f>
        <v>0</v>
      </c>
      <c r="F687" s="69">
        <f ca="1">SUMIF('CAP1-3'!$B:$H,Insumo[[#This Row],[DESCRIPCION]],'CAP1-3'!$H:$H)</f>
        <v>0</v>
      </c>
      <c r="G687" s="69">
        <f ca="1">SUMIF('CAP4-5'!$B:$H,Insumo[[#This Row],[DESCRIPCION]],'CAP4-5'!$H:$H)</f>
        <v>0</v>
      </c>
      <c r="H687" s="69">
        <f ca="1">SUMIF('CAP6-7'!$B:$H,Insumo[[#This Row],[DESCRIPCION]],'CAP6-7'!$H:$H)</f>
        <v>0</v>
      </c>
      <c r="I687" s="69">
        <f ca="1">SUMIF('CAP8'!$B:$H,Insumo[[#This Row],[DESCRIPCION]],'CAP8'!$H:$H)</f>
        <v>0</v>
      </c>
      <c r="J687" s="69">
        <f ca="1">SUMIF('CAP9-13'!$B:$H,Insumo[[#This Row],[DESCRIPCION]],'CAP9-13'!$H:$H)</f>
        <v>0</v>
      </c>
      <c r="K687" s="69">
        <f ca="1">SUMIF('CAP14-15'!$B:$H,Insumo[[#This Row],[DESCRIPCION]],'CAP14-15'!$H:$H)</f>
        <v>0</v>
      </c>
      <c r="L687" s="69">
        <f ca="1">SUMIF('CAP16-18'!$B:$H,Insumo[[#This Row],[DESCRIPCION]],'CAP16-18'!$H:$H)</f>
        <v>0</v>
      </c>
      <c r="M687" s="69">
        <f ca="1">SUMIF('CAP19-22'!$B:$H,Insumo[[#This Row],[DESCRIPCION]],'CAP19-22'!$H:$H)</f>
        <v>0</v>
      </c>
      <c r="N687" s="69">
        <f ca="1">SUMIF('CAP23-24'!$B:$H,Insumo[[#This Row],[DESCRIPCION]],'CAP23-24'!$H:$H)</f>
        <v>0</v>
      </c>
      <c r="O687" s="69">
        <f ca="1">SUMIF('CAP25'!$B:$H,Insumo[[#This Row],[DESCRIPCION]],'CAP25'!$H:$H)</f>
        <v>0</v>
      </c>
      <c r="P687" s="69">
        <f ca="1">SUMIF('CAP26-28'!$B:$H,Insumo[[#This Row],[DESCRIPCION]],'CAP26-28'!$H:$H)</f>
        <v>0</v>
      </c>
      <c r="Q687" s="69">
        <f ca="1">SUMIF('CAP29'!$B:$H,Insumo[[#This Row],[DESCRIPCION]],'CAP29'!$H:$H)</f>
        <v>0</v>
      </c>
      <c r="R687" s="136" t="s">
        <v>2622</v>
      </c>
      <c r="T687" s="136">
        <v>8751</v>
      </c>
    </row>
    <row r="688" spans="1:20" ht="12" customHeight="1">
      <c r="A688" s="301" t="s">
        <v>3300</v>
      </c>
      <c r="B688" s="303" t="s">
        <v>23</v>
      </c>
      <c r="C688" s="304">
        <f t="shared" si="10"/>
        <v>19378.8</v>
      </c>
      <c r="D688" s="281" cm="1">
        <f t="array" aca="1" ref="D688" ca="1">IF(Insumo[[#This Row],[VALOR]]=0,Insumo[TOTAL],E688/C688)</f>
        <v>0</v>
      </c>
      <c r="E688" s="69">
        <f ca="1">SUM(Insumo[[#This Row],[CAP1-3]:[CAP29]])</f>
        <v>0</v>
      </c>
      <c r="F688" s="69">
        <f ca="1">SUMIF('CAP1-3'!$B:$H,Insumo[[#This Row],[DESCRIPCION]],'CAP1-3'!$H:$H)</f>
        <v>0</v>
      </c>
      <c r="G688" s="69">
        <f ca="1">SUMIF('CAP4-5'!$B:$H,Insumo[[#This Row],[DESCRIPCION]],'CAP4-5'!$H:$H)</f>
        <v>0</v>
      </c>
      <c r="H688" s="69">
        <f ca="1">SUMIF('CAP6-7'!$B:$H,Insumo[[#This Row],[DESCRIPCION]],'CAP6-7'!$H:$H)</f>
        <v>0</v>
      </c>
      <c r="I688" s="69">
        <f ca="1">SUMIF('CAP8'!$B:$H,Insumo[[#This Row],[DESCRIPCION]],'CAP8'!$H:$H)</f>
        <v>0</v>
      </c>
      <c r="J688" s="69">
        <f ca="1">SUMIF('CAP9-13'!$B:$H,Insumo[[#This Row],[DESCRIPCION]],'CAP9-13'!$H:$H)</f>
        <v>0</v>
      </c>
      <c r="K688" s="69">
        <f ca="1">SUMIF('CAP14-15'!$B:$H,Insumo[[#This Row],[DESCRIPCION]],'CAP14-15'!$H:$H)</f>
        <v>0</v>
      </c>
      <c r="L688" s="69">
        <f ca="1">SUMIF('CAP16-18'!$B:$H,Insumo[[#This Row],[DESCRIPCION]],'CAP16-18'!$H:$H)</f>
        <v>0</v>
      </c>
      <c r="M688" s="69">
        <f ca="1">SUMIF('CAP19-22'!$B:$H,Insumo[[#This Row],[DESCRIPCION]],'CAP19-22'!$H:$H)</f>
        <v>0</v>
      </c>
      <c r="N688" s="69">
        <f ca="1">SUMIF('CAP23-24'!$B:$H,Insumo[[#This Row],[DESCRIPCION]],'CAP23-24'!$H:$H)</f>
        <v>0</v>
      </c>
      <c r="O688" s="69">
        <f ca="1">SUMIF('CAP25'!$B:$H,Insumo[[#This Row],[DESCRIPCION]],'CAP25'!$H:$H)</f>
        <v>0</v>
      </c>
      <c r="P688" s="69">
        <f ca="1">SUMIF('CAP26-28'!$B:$H,Insumo[[#This Row],[DESCRIPCION]],'CAP26-28'!$H:$H)</f>
        <v>0</v>
      </c>
      <c r="Q688" s="69">
        <f ca="1">SUMIF('CAP29'!$B:$H,Insumo[[#This Row],[DESCRIPCION]],'CAP29'!$H:$H)</f>
        <v>0</v>
      </c>
      <c r="R688" s="136" t="s">
        <v>2622</v>
      </c>
      <c r="T688" s="136">
        <v>18456</v>
      </c>
    </row>
    <row r="689" spans="1:20" ht="12" customHeight="1">
      <c r="A689" s="301" t="s">
        <v>3301</v>
      </c>
      <c r="B689" s="303" t="s">
        <v>23</v>
      </c>
      <c r="C689" s="304">
        <f t="shared" si="10"/>
        <v>40370.400000000001</v>
      </c>
      <c r="D689" s="281" cm="1">
        <f t="array" aca="1" ref="D689" ca="1">IF(Insumo[[#This Row],[VALOR]]=0,Insumo[TOTAL],E689/C689)</f>
        <v>0</v>
      </c>
      <c r="E689" s="69">
        <f ca="1">SUM(Insumo[[#This Row],[CAP1-3]:[CAP29]])</f>
        <v>0</v>
      </c>
      <c r="F689" s="69">
        <f ca="1">SUMIF('CAP1-3'!$B:$H,Insumo[[#This Row],[DESCRIPCION]],'CAP1-3'!$H:$H)</f>
        <v>0</v>
      </c>
      <c r="G689" s="69">
        <f ca="1">SUMIF('CAP4-5'!$B:$H,Insumo[[#This Row],[DESCRIPCION]],'CAP4-5'!$H:$H)</f>
        <v>0</v>
      </c>
      <c r="H689" s="69">
        <f ca="1">SUMIF('CAP6-7'!$B:$H,Insumo[[#This Row],[DESCRIPCION]],'CAP6-7'!$H:$H)</f>
        <v>0</v>
      </c>
      <c r="I689" s="69">
        <f ca="1">SUMIF('CAP8'!$B:$H,Insumo[[#This Row],[DESCRIPCION]],'CAP8'!$H:$H)</f>
        <v>0</v>
      </c>
      <c r="J689" s="69">
        <f ca="1">SUMIF('CAP9-13'!$B:$H,Insumo[[#This Row],[DESCRIPCION]],'CAP9-13'!$H:$H)</f>
        <v>0</v>
      </c>
      <c r="K689" s="69">
        <f ca="1">SUMIF('CAP14-15'!$B:$H,Insumo[[#This Row],[DESCRIPCION]],'CAP14-15'!$H:$H)</f>
        <v>0</v>
      </c>
      <c r="L689" s="69">
        <f ca="1">SUMIF('CAP16-18'!$B:$H,Insumo[[#This Row],[DESCRIPCION]],'CAP16-18'!$H:$H)</f>
        <v>0</v>
      </c>
      <c r="M689" s="69">
        <f ca="1">SUMIF('CAP19-22'!$B:$H,Insumo[[#This Row],[DESCRIPCION]],'CAP19-22'!$H:$H)</f>
        <v>0</v>
      </c>
      <c r="N689" s="69">
        <f ca="1">SUMIF('CAP23-24'!$B:$H,Insumo[[#This Row],[DESCRIPCION]],'CAP23-24'!$H:$H)</f>
        <v>0</v>
      </c>
      <c r="O689" s="69">
        <f ca="1">SUMIF('CAP25'!$B:$H,Insumo[[#This Row],[DESCRIPCION]],'CAP25'!$H:$H)</f>
        <v>0</v>
      </c>
      <c r="P689" s="69">
        <f ca="1">SUMIF('CAP26-28'!$B:$H,Insumo[[#This Row],[DESCRIPCION]],'CAP26-28'!$H:$H)</f>
        <v>0</v>
      </c>
      <c r="Q689" s="69">
        <f ca="1">SUMIF('CAP29'!$B:$H,Insumo[[#This Row],[DESCRIPCION]],'CAP29'!$H:$H)</f>
        <v>0</v>
      </c>
      <c r="R689" s="136" t="s">
        <v>2622</v>
      </c>
      <c r="T689" s="136">
        <v>38448</v>
      </c>
    </row>
    <row r="690" spans="1:20" ht="12" customHeight="1">
      <c r="A690" s="301" t="s">
        <v>3302</v>
      </c>
      <c r="B690" s="303" t="s">
        <v>338</v>
      </c>
      <c r="C690" s="304">
        <f t="shared" si="10"/>
        <v>26142.9</v>
      </c>
      <c r="D690" s="281" cm="1">
        <f t="array" aca="1" ref="D690" ca="1">IF(Insumo[[#This Row],[VALOR]]=0,Insumo[TOTAL],E690/C690)</f>
        <v>0</v>
      </c>
      <c r="E690" s="69">
        <f ca="1">SUM(Insumo[[#This Row],[CAP1-3]:[CAP29]])</f>
        <v>0</v>
      </c>
      <c r="F690" s="69">
        <f ca="1">SUMIF('CAP1-3'!$B:$H,Insumo[[#This Row],[DESCRIPCION]],'CAP1-3'!$H:$H)</f>
        <v>0</v>
      </c>
      <c r="G690" s="69">
        <f ca="1">SUMIF('CAP4-5'!$B:$H,Insumo[[#This Row],[DESCRIPCION]],'CAP4-5'!$H:$H)</f>
        <v>0</v>
      </c>
      <c r="H690" s="69">
        <f ca="1">SUMIF('CAP6-7'!$B:$H,Insumo[[#This Row],[DESCRIPCION]],'CAP6-7'!$H:$H)</f>
        <v>0</v>
      </c>
      <c r="I690" s="69">
        <f ca="1">SUMIF('CAP8'!$B:$H,Insumo[[#This Row],[DESCRIPCION]],'CAP8'!$H:$H)</f>
        <v>0</v>
      </c>
      <c r="J690" s="69">
        <f ca="1">SUMIF('CAP9-13'!$B:$H,Insumo[[#This Row],[DESCRIPCION]],'CAP9-13'!$H:$H)</f>
        <v>0</v>
      </c>
      <c r="K690" s="69">
        <f ca="1">SUMIF('CAP14-15'!$B:$H,Insumo[[#This Row],[DESCRIPCION]],'CAP14-15'!$H:$H)</f>
        <v>0</v>
      </c>
      <c r="L690" s="69">
        <f ca="1">SUMIF('CAP16-18'!$B:$H,Insumo[[#This Row],[DESCRIPCION]],'CAP16-18'!$H:$H)</f>
        <v>0</v>
      </c>
      <c r="M690" s="69">
        <f ca="1">SUMIF('CAP19-22'!$B:$H,Insumo[[#This Row],[DESCRIPCION]],'CAP19-22'!$H:$H)</f>
        <v>0</v>
      </c>
      <c r="N690" s="69">
        <f ca="1">SUMIF('CAP23-24'!$B:$H,Insumo[[#This Row],[DESCRIPCION]],'CAP23-24'!$H:$H)</f>
        <v>0</v>
      </c>
      <c r="O690" s="69">
        <f ca="1">SUMIF('CAP25'!$B:$H,Insumo[[#This Row],[DESCRIPCION]],'CAP25'!$H:$H)</f>
        <v>0</v>
      </c>
      <c r="P690" s="69">
        <f ca="1">SUMIF('CAP26-28'!$B:$H,Insumo[[#This Row],[DESCRIPCION]],'CAP26-28'!$H:$H)</f>
        <v>0</v>
      </c>
      <c r="Q690" s="69">
        <f ca="1">SUMIF('CAP29'!$B:$H,Insumo[[#This Row],[DESCRIPCION]],'CAP29'!$H:$H)</f>
        <v>0</v>
      </c>
      <c r="R690" s="136" t="s">
        <v>3303</v>
      </c>
      <c r="T690" s="136">
        <v>24898</v>
      </c>
    </row>
    <row r="691" spans="1:20" ht="12" customHeight="1">
      <c r="A691" s="301" t="s">
        <v>3304</v>
      </c>
      <c r="B691" s="303" t="s">
        <v>23</v>
      </c>
      <c r="C691" s="304">
        <f t="shared" si="10"/>
        <v>113549.1</v>
      </c>
      <c r="D691" s="281" cm="1">
        <f t="array" aca="1" ref="D691" ca="1">IF(Insumo[[#This Row],[VALOR]]=0,Insumo[TOTAL],E691/C691)</f>
        <v>0</v>
      </c>
      <c r="E691" s="69">
        <f ca="1">SUM(Insumo[[#This Row],[CAP1-3]:[CAP29]])</f>
        <v>0</v>
      </c>
      <c r="F691" s="69">
        <f ca="1">SUMIF('CAP1-3'!$B:$H,Insumo[[#This Row],[DESCRIPCION]],'CAP1-3'!$H:$H)</f>
        <v>0</v>
      </c>
      <c r="G691" s="69">
        <f ca="1">SUMIF('CAP4-5'!$B:$H,Insumo[[#This Row],[DESCRIPCION]],'CAP4-5'!$H:$H)</f>
        <v>0</v>
      </c>
      <c r="H691" s="69">
        <f ca="1">SUMIF('CAP6-7'!$B:$H,Insumo[[#This Row],[DESCRIPCION]],'CAP6-7'!$H:$H)</f>
        <v>0</v>
      </c>
      <c r="I691" s="69">
        <f ca="1">SUMIF('CAP8'!$B:$H,Insumo[[#This Row],[DESCRIPCION]],'CAP8'!$H:$H)</f>
        <v>0</v>
      </c>
      <c r="J691" s="69">
        <f ca="1">SUMIF('CAP9-13'!$B:$H,Insumo[[#This Row],[DESCRIPCION]],'CAP9-13'!$H:$H)</f>
        <v>0</v>
      </c>
      <c r="K691" s="69">
        <f ca="1">SUMIF('CAP14-15'!$B:$H,Insumo[[#This Row],[DESCRIPCION]],'CAP14-15'!$H:$H)</f>
        <v>0</v>
      </c>
      <c r="L691" s="69">
        <f ca="1">SUMIF('CAP16-18'!$B:$H,Insumo[[#This Row],[DESCRIPCION]],'CAP16-18'!$H:$H)</f>
        <v>0</v>
      </c>
      <c r="M691" s="69">
        <f ca="1">SUMIF('CAP19-22'!$B:$H,Insumo[[#This Row],[DESCRIPCION]],'CAP19-22'!$H:$H)</f>
        <v>0</v>
      </c>
      <c r="N691" s="69">
        <f ca="1">SUMIF('CAP23-24'!$B:$H,Insumo[[#This Row],[DESCRIPCION]],'CAP23-24'!$H:$H)</f>
        <v>0</v>
      </c>
      <c r="O691" s="69">
        <f ca="1">SUMIF('CAP25'!$B:$H,Insumo[[#This Row],[DESCRIPCION]],'CAP25'!$H:$H)</f>
        <v>0</v>
      </c>
      <c r="P691" s="69">
        <f ca="1">SUMIF('CAP26-28'!$B:$H,Insumo[[#This Row],[DESCRIPCION]],'CAP26-28'!$H:$H)</f>
        <v>0</v>
      </c>
      <c r="Q691" s="69">
        <f ca="1">SUMIF('CAP29'!$B:$H,Insumo[[#This Row],[DESCRIPCION]],'CAP29'!$H:$H)</f>
        <v>0</v>
      </c>
      <c r="R691" s="136" t="s">
        <v>3303</v>
      </c>
      <c r="T691" s="136">
        <v>108142</v>
      </c>
    </row>
    <row r="692" spans="1:20" ht="12" customHeight="1">
      <c r="A692" s="301" t="s">
        <v>3305</v>
      </c>
      <c r="B692" s="303" t="s">
        <v>338</v>
      </c>
      <c r="C692" s="304">
        <f t="shared" si="10"/>
        <v>179473.35</v>
      </c>
      <c r="D692" s="281" cm="1">
        <f t="array" aca="1" ref="D692" ca="1">IF(Insumo[[#This Row],[VALOR]]=0,Insumo[TOTAL],E692/C692)</f>
        <v>0</v>
      </c>
      <c r="E692" s="69">
        <f ca="1">SUM(Insumo[[#This Row],[CAP1-3]:[CAP29]])</f>
        <v>0</v>
      </c>
      <c r="F692" s="69">
        <f ca="1">SUMIF('CAP1-3'!$B:$H,Insumo[[#This Row],[DESCRIPCION]],'CAP1-3'!$H:$H)</f>
        <v>0</v>
      </c>
      <c r="G692" s="69">
        <f ca="1">SUMIF('CAP4-5'!$B:$H,Insumo[[#This Row],[DESCRIPCION]],'CAP4-5'!$H:$H)</f>
        <v>0</v>
      </c>
      <c r="H692" s="69">
        <f ca="1">SUMIF('CAP6-7'!$B:$H,Insumo[[#This Row],[DESCRIPCION]],'CAP6-7'!$H:$H)</f>
        <v>0</v>
      </c>
      <c r="I692" s="69">
        <f ca="1">SUMIF('CAP8'!$B:$H,Insumo[[#This Row],[DESCRIPCION]],'CAP8'!$H:$H)</f>
        <v>0</v>
      </c>
      <c r="J692" s="69">
        <f ca="1">SUMIF('CAP9-13'!$B:$H,Insumo[[#This Row],[DESCRIPCION]],'CAP9-13'!$H:$H)</f>
        <v>0</v>
      </c>
      <c r="K692" s="69">
        <f ca="1">SUMIF('CAP14-15'!$B:$H,Insumo[[#This Row],[DESCRIPCION]],'CAP14-15'!$H:$H)</f>
        <v>0</v>
      </c>
      <c r="L692" s="69">
        <f ca="1">SUMIF('CAP16-18'!$B:$H,Insumo[[#This Row],[DESCRIPCION]],'CAP16-18'!$H:$H)</f>
        <v>0</v>
      </c>
      <c r="M692" s="69">
        <f ca="1">SUMIF('CAP19-22'!$B:$H,Insumo[[#This Row],[DESCRIPCION]],'CAP19-22'!$H:$H)</f>
        <v>0</v>
      </c>
      <c r="N692" s="69">
        <f ca="1">SUMIF('CAP23-24'!$B:$H,Insumo[[#This Row],[DESCRIPCION]],'CAP23-24'!$H:$H)</f>
        <v>0</v>
      </c>
      <c r="O692" s="69">
        <f ca="1">SUMIF('CAP25'!$B:$H,Insumo[[#This Row],[DESCRIPCION]],'CAP25'!$H:$H)</f>
        <v>0</v>
      </c>
      <c r="P692" s="69">
        <f ca="1">SUMIF('CAP26-28'!$B:$H,Insumo[[#This Row],[DESCRIPCION]],'CAP26-28'!$H:$H)</f>
        <v>0</v>
      </c>
      <c r="Q692" s="69">
        <f ca="1">SUMIF('CAP29'!$B:$H,Insumo[[#This Row],[DESCRIPCION]],'CAP29'!$H:$H)</f>
        <v>0</v>
      </c>
      <c r="T692" s="136">
        <v>170927</v>
      </c>
    </row>
    <row r="693" spans="1:20" ht="12" customHeight="1">
      <c r="A693" s="301" t="s">
        <v>3306</v>
      </c>
      <c r="B693" s="303" t="s">
        <v>338</v>
      </c>
      <c r="C693" s="304">
        <f t="shared" si="10"/>
        <v>2612.4</v>
      </c>
      <c r="D693" s="281" cm="1">
        <f t="array" aca="1" ref="D693" ca="1">IF(Insumo[[#This Row],[VALOR]]=0,Insumo[TOTAL],E693/C693)</f>
        <v>0</v>
      </c>
      <c r="E693" s="69">
        <f ca="1">SUM(Insumo[[#This Row],[CAP1-3]:[CAP29]])</f>
        <v>0</v>
      </c>
      <c r="F693" s="69">
        <f ca="1">SUMIF('CAP1-3'!$B:$H,Insumo[[#This Row],[DESCRIPCION]],'CAP1-3'!$H:$H)</f>
        <v>0</v>
      </c>
      <c r="G693" s="69">
        <f ca="1">SUMIF('CAP4-5'!$B:$H,Insumo[[#This Row],[DESCRIPCION]],'CAP4-5'!$H:$H)</f>
        <v>0</v>
      </c>
      <c r="H693" s="69">
        <f ca="1">SUMIF('CAP6-7'!$B:$H,Insumo[[#This Row],[DESCRIPCION]],'CAP6-7'!$H:$H)</f>
        <v>0</v>
      </c>
      <c r="I693" s="69">
        <f ca="1">SUMIF('CAP8'!$B:$H,Insumo[[#This Row],[DESCRIPCION]],'CAP8'!$H:$H)</f>
        <v>0</v>
      </c>
      <c r="J693" s="69">
        <f ca="1">SUMIF('CAP9-13'!$B:$H,Insumo[[#This Row],[DESCRIPCION]],'CAP9-13'!$H:$H)</f>
        <v>0</v>
      </c>
      <c r="K693" s="69">
        <f ca="1">SUMIF('CAP14-15'!$B:$H,Insumo[[#This Row],[DESCRIPCION]],'CAP14-15'!$H:$H)</f>
        <v>0</v>
      </c>
      <c r="L693" s="69">
        <f ca="1">SUMIF('CAP16-18'!$B:$H,Insumo[[#This Row],[DESCRIPCION]],'CAP16-18'!$H:$H)</f>
        <v>0</v>
      </c>
      <c r="M693" s="69">
        <f ca="1">SUMIF('CAP19-22'!$B:$H,Insumo[[#This Row],[DESCRIPCION]],'CAP19-22'!$H:$H)</f>
        <v>0</v>
      </c>
      <c r="N693" s="69">
        <f ca="1">SUMIF('CAP23-24'!$B:$H,Insumo[[#This Row],[DESCRIPCION]],'CAP23-24'!$H:$H)</f>
        <v>0</v>
      </c>
      <c r="O693" s="69">
        <f ca="1">SUMIF('CAP25'!$B:$H,Insumo[[#This Row],[DESCRIPCION]],'CAP25'!$H:$H)</f>
        <v>0</v>
      </c>
      <c r="P693" s="69">
        <f ca="1">SUMIF('CAP26-28'!$B:$H,Insumo[[#This Row],[DESCRIPCION]],'CAP26-28'!$H:$H)</f>
        <v>0</v>
      </c>
      <c r="Q693" s="69">
        <f ca="1">SUMIF('CAP29'!$B:$H,Insumo[[#This Row],[DESCRIPCION]],'CAP29'!$H:$H)</f>
        <v>0</v>
      </c>
      <c r="T693" s="136">
        <v>2488</v>
      </c>
    </row>
    <row r="694" spans="1:20" ht="12" customHeight="1">
      <c r="A694" s="301" t="s">
        <v>3307</v>
      </c>
      <c r="B694" s="303" t="s">
        <v>338</v>
      </c>
      <c r="C694" s="304">
        <f t="shared" si="10"/>
        <v>173108.25</v>
      </c>
      <c r="D694" s="281" cm="1">
        <f t="array" aca="1" ref="D694" ca="1">IF(Insumo[[#This Row],[VALOR]]=0,Insumo[TOTAL],E694/C694)</f>
        <v>0</v>
      </c>
      <c r="E694" s="69">
        <f ca="1">SUM(Insumo[[#This Row],[CAP1-3]:[CAP29]])</f>
        <v>0</v>
      </c>
      <c r="F694" s="69">
        <f ca="1">SUMIF('CAP1-3'!$B:$H,Insumo[[#This Row],[DESCRIPCION]],'CAP1-3'!$H:$H)</f>
        <v>0</v>
      </c>
      <c r="G694" s="69">
        <f ca="1">SUMIF('CAP4-5'!$B:$H,Insumo[[#This Row],[DESCRIPCION]],'CAP4-5'!$H:$H)</f>
        <v>0</v>
      </c>
      <c r="H694" s="69">
        <f ca="1">SUMIF('CAP6-7'!$B:$H,Insumo[[#This Row],[DESCRIPCION]],'CAP6-7'!$H:$H)</f>
        <v>0</v>
      </c>
      <c r="I694" s="69">
        <f ca="1">SUMIF('CAP8'!$B:$H,Insumo[[#This Row],[DESCRIPCION]],'CAP8'!$H:$H)</f>
        <v>0</v>
      </c>
      <c r="J694" s="69">
        <f ca="1">SUMIF('CAP9-13'!$B:$H,Insumo[[#This Row],[DESCRIPCION]],'CAP9-13'!$H:$H)</f>
        <v>0</v>
      </c>
      <c r="K694" s="69">
        <f ca="1">SUMIF('CAP14-15'!$B:$H,Insumo[[#This Row],[DESCRIPCION]],'CAP14-15'!$H:$H)</f>
        <v>0</v>
      </c>
      <c r="L694" s="69">
        <f ca="1">SUMIF('CAP16-18'!$B:$H,Insumo[[#This Row],[DESCRIPCION]],'CAP16-18'!$H:$H)</f>
        <v>0</v>
      </c>
      <c r="M694" s="69">
        <f ca="1">SUMIF('CAP19-22'!$B:$H,Insumo[[#This Row],[DESCRIPCION]],'CAP19-22'!$H:$H)</f>
        <v>0</v>
      </c>
      <c r="N694" s="69">
        <f ca="1">SUMIF('CAP23-24'!$B:$H,Insumo[[#This Row],[DESCRIPCION]],'CAP23-24'!$H:$H)</f>
        <v>0</v>
      </c>
      <c r="O694" s="69">
        <f ca="1">SUMIF('CAP25'!$B:$H,Insumo[[#This Row],[DESCRIPCION]],'CAP25'!$H:$H)</f>
        <v>0</v>
      </c>
      <c r="P694" s="69">
        <f ca="1">SUMIF('CAP26-28'!$B:$H,Insumo[[#This Row],[DESCRIPCION]],'CAP26-28'!$H:$H)</f>
        <v>0</v>
      </c>
      <c r="Q694" s="69">
        <f ca="1">SUMIF('CAP29'!$B:$H,Insumo[[#This Row],[DESCRIPCION]],'CAP29'!$H:$H)</f>
        <v>0</v>
      </c>
      <c r="R694" s="136" t="s">
        <v>3303</v>
      </c>
      <c r="T694" s="136">
        <v>164865</v>
      </c>
    </row>
    <row r="695" spans="1:20" ht="12" customHeight="1">
      <c r="A695" s="301" t="s">
        <v>3308</v>
      </c>
      <c r="B695" s="303" t="s">
        <v>338</v>
      </c>
      <c r="C695" s="304">
        <f t="shared" si="10"/>
        <v>37650.9</v>
      </c>
      <c r="D695" s="281" cm="1">
        <f t="array" aca="1" ref="D695" ca="1">IF(Insumo[[#This Row],[VALOR]]=0,Insumo[TOTAL],E695/C695)</f>
        <v>0</v>
      </c>
      <c r="E695" s="69">
        <f ca="1">SUM(Insumo[[#This Row],[CAP1-3]:[CAP29]])</f>
        <v>0</v>
      </c>
      <c r="F695" s="69">
        <f ca="1">SUMIF('CAP1-3'!$B:$H,Insumo[[#This Row],[DESCRIPCION]],'CAP1-3'!$H:$H)</f>
        <v>0</v>
      </c>
      <c r="G695" s="69">
        <f ca="1">SUMIF('CAP4-5'!$B:$H,Insumo[[#This Row],[DESCRIPCION]],'CAP4-5'!$H:$H)</f>
        <v>0</v>
      </c>
      <c r="H695" s="69">
        <f ca="1">SUMIF('CAP6-7'!$B:$H,Insumo[[#This Row],[DESCRIPCION]],'CAP6-7'!$H:$H)</f>
        <v>0</v>
      </c>
      <c r="I695" s="69">
        <f ca="1">SUMIF('CAP8'!$B:$H,Insumo[[#This Row],[DESCRIPCION]],'CAP8'!$H:$H)</f>
        <v>0</v>
      </c>
      <c r="J695" s="69">
        <f ca="1">SUMIF('CAP9-13'!$B:$H,Insumo[[#This Row],[DESCRIPCION]],'CAP9-13'!$H:$H)</f>
        <v>0</v>
      </c>
      <c r="K695" s="69">
        <f ca="1">SUMIF('CAP14-15'!$B:$H,Insumo[[#This Row],[DESCRIPCION]],'CAP14-15'!$H:$H)</f>
        <v>0</v>
      </c>
      <c r="L695" s="69">
        <f ca="1">SUMIF('CAP16-18'!$B:$H,Insumo[[#This Row],[DESCRIPCION]],'CAP16-18'!$H:$H)</f>
        <v>0</v>
      </c>
      <c r="M695" s="69">
        <f ca="1">SUMIF('CAP19-22'!$B:$H,Insumo[[#This Row],[DESCRIPCION]],'CAP19-22'!$H:$H)</f>
        <v>0</v>
      </c>
      <c r="N695" s="69">
        <f ca="1">SUMIF('CAP23-24'!$B:$H,Insumo[[#This Row],[DESCRIPCION]],'CAP23-24'!$H:$H)</f>
        <v>0</v>
      </c>
      <c r="O695" s="69">
        <f ca="1">SUMIF('CAP25'!$B:$H,Insumo[[#This Row],[DESCRIPCION]],'CAP25'!$H:$H)</f>
        <v>0</v>
      </c>
      <c r="P695" s="69">
        <f ca="1">SUMIF('CAP26-28'!$B:$H,Insumo[[#This Row],[DESCRIPCION]],'CAP26-28'!$H:$H)</f>
        <v>0</v>
      </c>
      <c r="Q695" s="69">
        <f ca="1">SUMIF('CAP29'!$B:$H,Insumo[[#This Row],[DESCRIPCION]],'CAP29'!$H:$H)</f>
        <v>0</v>
      </c>
      <c r="T695" s="136">
        <v>35858</v>
      </c>
    </row>
    <row r="696" spans="1:20" ht="12" customHeight="1">
      <c r="A696" s="301" t="s">
        <v>3309</v>
      </c>
      <c r="B696" s="303" t="s">
        <v>23</v>
      </c>
      <c r="C696" s="304">
        <f t="shared" si="10"/>
        <v>56717.850000000006</v>
      </c>
      <c r="D696" s="281" cm="1">
        <f t="array" aca="1" ref="D696" ca="1">IF(Insumo[[#This Row],[VALOR]]=0,Insumo[TOTAL],E696/C696)</f>
        <v>0</v>
      </c>
      <c r="E696" s="69">
        <f ca="1">SUM(Insumo[[#This Row],[CAP1-3]:[CAP29]])</f>
        <v>0</v>
      </c>
      <c r="F696" s="69">
        <f ca="1">SUMIF('CAP1-3'!$B:$H,Insumo[[#This Row],[DESCRIPCION]],'CAP1-3'!$H:$H)</f>
        <v>0</v>
      </c>
      <c r="G696" s="69">
        <f ca="1">SUMIF('CAP4-5'!$B:$H,Insumo[[#This Row],[DESCRIPCION]],'CAP4-5'!$H:$H)</f>
        <v>0</v>
      </c>
      <c r="H696" s="69">
        <f ca="1">SUMIF('CAP6-7'!$B:$H,Insumo[[#This Row],[DESCRIPCION]],'CAP6-7'!$H:$H)</f>
        <v>0</v>
      </c>
      <c r="I696" s="69">
        <f ca="1">SUMIF('CAP8'!$B:$H,Insumo[[#This Row],[DESCRIPCION]],'CAP8'!$H:$H)</f>
        <v>0</v>
      </c>
      <c r="J696" s="69">
        <f ca="1">SUMIF('CAP9-13'!$B:$H,Insumo[[#This Row],[DESCRIPCION]],'CAP9-13'!$H:$H)</f>
        <v>0</v>
      </c>
      <c r="K696" s="69">
        <f ca="1">SUMIF('CAP14-15'!$B:$H,Insumo[[#This Row],[DESCRIPCION]],'CAP14-15'!$H:$H)</f>
        <v>0</v>
      </c>
      <c r="L696" s="69">
        <f ca="1">SUMIF('CAP16-18'!$B:$H,Insumo[[#This Row],[DESCRIPCION]],'CAP16-18'!$H:$H)</f>
        <v>0</v>
      </c>
      <c r="M696" s="69">
        <f ca="1">SUMIF('CAP19-22'!$B:$H,Insumo[[#This Row],[DESCRIPCION]],'CAP19-22'!$H:$H)</f>
        <v>0</v>
      </c>
      <c r="N696" s="69">
        <f ca="1">SUMIF('CAP23-24'!$B:$H,Insumo[[#This Row],[DESCRIPCION]],'CAP23-24'!$H:$H)</f>
        <v>0</v>
      </c>
      <c r="O696" s="69">
        <f ca="1">SUMIF('CAP25'!$B:$H,Insumo[[#This Row],[DESCRIPCION]],'CAP25'!$H:$H)</f>
        <v>0</v>
      </c>
      <c r="P696" s="69">
        <f ca="1">SUMIF('CAP26-28'!$B:$H,Insumo[[#This Row],[DESCRIPCION]],'CAP26-28'!$H:$H)</f>
        <v>0</v>
      </c>
      <c r="Q696" s="69">
        <f ca="1">SUMIF('CAP29'!$B:$H,Insumo[[#This Row],[DESCRIPCION]],'CAP29'!$H:$H)</f>
        <v>0</v>
      </c>
      <c r="R696" s="136">
        <v>45717</v>
      </c>
      <c r="T696" s="136">
        <v>54017</v>
      </c>
    </row>
    <row r="697" spans="1:20" ht="12" customHeight="1">
      <c r="A697" s="301" t="s">
        <v>3310</v>
      </c>
      <c r="B697" s="303" t="s">
        <v>23</v>
      </c>
      <c r="C697" s="304">
        <f t="shared" si="10"/>
        <v>105616.35</v>
      </c>
      <c r="D697" s="281" cm="1">
        <f t="array" aca="1" ref="D697" ca="1">IF(Insumo[[#This Row],[VALOR]]=0,Insumo[TOTAL],E697/C697)</f>
        <v>0</v>
      </c>
      <c r="E697" s="69">
        <f ca="1">SUM(Insumo[[#This Row],[CAP1-3]:[CAP29]])</f>
        <v>0</v>
      </c>
      <c r="F697" s="69">
        <f ca="1">SUMIF('CAP1-3'!$B:$H,Insumo[[#This Row],[DESCRIPCION]],'CAP1-3'!$H:$H)</f>
        <v>0</v>
      </c>
      <c r="G697" s="69">
        <f ca="1">SUMIF('CAP4-5'!$B:$H,Insumo[[#This Row],[DESCRIPCION]],'CAP4-5'!$H:$H)</f>
        <v>0</v>
      </c>
      <c r="H697" s="69">
        <f ca="1">SUMIF('CAP6-7'!$B:$H,Insumo[[#This Row],[DESCRIPCION]],'CAP6-7'!$H:$H)</f>
        <v>0</v>
      </c>
      <c r="I697" s="69">
        <f ca="1">SUMIF('CAP8'!$B:$H,Insumo[[#This Row],[DESCRIPCION]],'CAP8'!$H:$H)</f>
        <v>0</v>
      </c>
      <c r="J697" s="69">
        <f ca="1">SUMIF('CAP9-13'!$B:$H,Insumo[[#This Row],[DESCRIPCION]],'CAP9-13'!$H:$H)</f>
        <v>0</v>
      </c>
      <c r="K697" s="69">
        <f ca="1">SUMIF('CAP14-15'!$B:$H,Insumo[[#This Row],[DESCRIPCION]],'CAP14-15'!$H:$H)</f>
        <v>0</v>
      </c>
      <c r="L697" s="69">
        <f ca="1">SUMIF('CAP16-18'!$B:$H,Insumo[[#This Row],[DESCRIPCION]],'CAP16-18'!$H:$H)</f>
        <v>0</v>
      </c>
      <c r="M697" s="69">
        <f ca="1">SUMIF('CAP19-22'!$B:$H,Insumo[[#This Row],[DESCRIPCION]],'CAP19-22'!$H:$H)</f>
        <v>0</v>
      </c>
      <c r="N697" s="69">
        <f ca="1">SUMIF('CAP23-24'!$B:$H,Insumo[[#This Row],[DESCRIPCION]],'CAP23-24'!$H:$H)</f>
        <v>0</v>
      </c>
      <c r="O697" s="69">
        <f ca="1">SUMIF('CAP25'!$B:$H,Insumo[[#This Row],[DESCRIPCION]],'CAP25'!$H:$H)</f>
        <v>0</v>
      </c>
      <c r="P697" s="69">
        <f ca="1">SUMIF('CAP26-28'!$B:$H,Insumo[[#This Row],[DESCRIPCION]],'CAP26-28'!$H:$H)</f>
        <v>0</v>
      </c>
      <c r="Q697" s="69">
        <f ca="1">SUMIF('CAP29'!$B:$H,Insumo[[#This Row],[DESCRIPCION]],'CAP29'!$H:$H)</f>
        <v>0</v>
      </c>
      <c r="T697" s="136">
        <v>100587</v>
      </c>
    </row>
    <row r="698" spans="1:20" ht="12" customHeight="1">
      <c r="A698" s="301" t="s">
        <v>3311</v>
      </c>
      <c r="B698" s="303" t="s">
        <v>338</v>
      </c>
      <c r="C698" s="304">
        <f t="shared" si="10"/>
        <v>2838.15</v>
      </c>
      <c r="D698" s="281" cm="1">
        <f t="array" aca="1" ref="D698" ca="1">IF(Insumo[[#This Row],[VALOR]]=0,Insumo[TOTAL],E698/C698)</f>
        <v>0</v>
      </c>
      <c r="E698" s="69">
        <f ca="1">SUM(Insumo[[#This Row],[CAP1-3]:[CAP29]])</f>
        <v>0</v>
      </c>
      <c r="F698" s="69">
        <f ca="1">SUMIF('CAP1-3'!$B:$H,Insumo[[#This Row],[DESCRIPCION]],'CAP1-3'!$H:$H)</f>
        <v>0</v>
      </c>
      <c r="G698" s="69">
        <f ca="1">SUMIF('CAP4-5'!$B:$H,Insumo[[#This Row],[DESCRIPCION]],'CAP4-5'!$H:$H)</f>
        <v>0</v>
      </c>
      <c r="H698" s="69">
        <f ca="1">SUMIF('CAP6-7'!$B:$H,Insumo[[#This Row],[DESCRIPCION]],'CAP6-7'!$H:$H)</f>
        <v>0</v>
      </c>
      <c r="I698" s="69">
        <f ca="1">SUMIF('CAP8'!$B:$H,Insumo[[#This Row],[DESCRIPCION]],'CAP8'!$H:$H)</f>
        <v>0</v>
      </c>
      <c r="J698" s="69">
        <f ca="1">SUMIF('CAP9-13'!$B:$H,Insumo[[#This Row],[DESCRIPCION]],'CAP9-13'!$H:$H)</f>
        <v>0</v>
      </c>
      <c r="K698" s="69">
        <f ca="1">SUMIF('CAP14-15'!$B:$H,Insumo[[#This Row],[DESCRIPCION]],'CAP14-15'!$H:$H)</f>
        <v>0</v>
      </c>
      <c r="L698" s="69">
        <f ca="1">SUMIF('CAP16-18'!$B:$H,Insumo[[#This Row],[DESCRIPCION]],'CAP16-18'!$H:$H)</f>
        <v>0</v>
      </c>
      <c r="M698" s="69">
        <f ca="1">SUMIF('CAP19-22'!$B:$H,Insumo[[#This Row],[DESCRIPCION]],'CAP19-22'!$H:$H)</f>
        <v>0</v>
      </c>
      <c r="N698" s="69">
        <f ca="1">SUMIF('CAP23-24'!$B:$H,Insumo[[#This Row],[DESCRIPCION]],'CAP23-24'!$H:$H)</f>
        <v>0</v>
      </c>
      <c r="O698" s="69">
        <f ca="1">SUMIF('CAP25'!$B:$H,Insumo[[#This Row],[DESCRIPCION]],'CAP25'!$H:$H)</f>
        <v>0</v>
      </c>
      <c r="P698" s="69">
        <f ca="1">SUMIF('CAP26-28'!$B:$H,Insumo[[#This Row],[DESCRIPCION]],'CAP26-28'!$H:$H)</f>
        <v>0</v>
      </c>
      <c r="Q698" s="69">
        <f ca="1">SUMIF('CAP29'!$B:$H,Insumo[[#This Row],[DESCRIPCION]],'CAP29'!$H:$H)</f>
        <v>0</v>
      </c>
      <c r="R698" s="136" t="s">
        <v>3303</v>
      </c>
      <c r="T698" s="136">
        <v>2703</v>
      </c>
    </row>
    <row r="699" spans="1:20" ht="12" customHeight="1">
      <c r="A699" s="301" t="s">
        <v>3312</v>
      </c>
      <c r="B699" s="303" t="s">
        <v>338</v>
      </c>
      <c r="C699" s="304">
        <f t="shared" si="10"/>
        <v>16528.05</v>
      </c>
      <c r="D699" s="281" cm="1">
        <f t="array" aca="1" ref="D699" ca="1">IF(Insumo[[#This Row],[VALOR]]=0,Insumo[TOTAL],E699/C699)</f>
        <v>0</v>
      </c>
      <c r="E699" s="69">
        <f ca="1">SUM(Insumo[[#This Row],[CAP1-3]:[CAP29]])</f>
        <v>0</v>
      </c>
      <c r="F699" s="69">
        <f ca="1">SUMIF('CAP1-3'!$B:$H,Insumo[[#This Row],[DESCRIPCION]],'CAP1-3'!$H:$H)</f>
        <v>0</v>
      </c>
      <c r="G699" s="69">
        <f ca="1">SUMIF('CAP4-5'!$B:$H,Insumo[[#This Row],[DESCRIPCION]],'CAP4-5'!$H:$H)</f>
        <v>0</v>
      </c>
      <c r="H699" s="69">
        <f ca="1">SUMIF('CAP6-7'!$B:$H,Insumo[[#This Row],[DESCRIPCION]],'CAP6-7'!$H:$H)</f>
        <v>0</v>
      </c>
      <c r="I699" s="69">
        <f ca="1">SUMIF('CAP8'!$B:$H,Insumo[[#This Row],[DESCRIPCION]],'CAP8'!$H:$H)</f>
        <v>0</v>
      </c>
      <c r="J699" s="69">
        <f ca="1">SUMIF('CAP9-13'!$B:$H,Insumo[[#This Row],[DESCRIPCION]],'CAP9-13'!$H:$H)</f>
        <v>0</v>
      </c>
      <c r="K699" s="69">
        <f ca="1">SUMIF('CAP14-15'!$B:$H,Insumo[[#This Row],[DESCRIPCION]],'CAP14-15'!$H:$H)</f>
        <v>0</v>
      </c>
      <c r="L699" s="69">
        <f ca="1">SUMIF('CAP16-18'!$B:$H,Insumo[[#This Row],[DESCRIPCION]],'CAP16-18'!$H:$H)</f>
        <v>0</v>
      </c>
      <c r="M699" s="69">
        <f ca="1">SUMIF('CAP19-22'!$B:$H,Insumo[[#This Row],[DESCRIPCION]],'CAP19-22'!$H:$H)</f>
        <v>0</v>
      </c>
      <c r="N699" s="69">
        <f ca="1">SUMIF('CAP23-24'!$B:$H,Insumo[[#This Row],[DESCRIPCION]],'CAP23-24'!$H:$H)</f>
        <v>0</v>
      </c>
      <c r="O699" s="69">
        <f ca="1">SUMIF('CAP25'!$B:$H,Insumo[[#This Row],[DESCRIPCION]],'CAP25'!$H:$H)</f>
        <v>0</v>
      </c>
      <c r="P699" s="69">
        <f ca="1">SUMIF('CAP26-28'!$B:$H,Insumo[[#This Row],[DESCRIPCION]],'CAP26-28'!$H:$H)</f>
        <v>0</v>
      </c>
      <c r="Q699" s="69">
        <f ca="1">SUMIF('CAP29'!$B:$H,Insumo[[#This Row],[DESCRIPCION]],'CAP29'!$H:$H)</f>
        <v>0</v>
      </c>
      <c r="T699" s="136">
        <v>15741</v>
      </c>
    </row>
    <row r="700" spans="1:20" ht="12" customHeight="1">
      <c r="A700" s="301" t="s">
        <v>3313</v>
      </c>
      <c r="B700" s="303" t="s">
        <v>23</v>
      </c>
      <c r="C700" s="304">
        <f t="shared" si="10"/>
        <v>153423.9</v>
      </c>
      <c r="D700" s="281" cm="1">
        <f t="array" aca="1" ref="D700" ca="1">IF(Insumo[[#This Row],[VALOR]]=0,Insumo[TOTAL],E700/C700)</f>
        <v>0</v>
      </c>
      <c r="E700" s="69">
        <f ca="1">SUM(Insumo[[#This Row],[CAP1-3]:[CAP29]])</f>
        <v>0</v>
      </c>
      <c r="F700" s="69">
        <f ca="1">SUMIF('CAP1-3'!$B:$H,Insumo[[#This Row],[DESCRIPCION]],'CAP1-3'!$H:$H)</f>
        <v>0</v>
      </c>
      <c r="G700" s="69">
        <f ca="1">SUMIF('CAP4-5'!$B:$H,Insumo[[#This Row],[DESCRIPCION]],'CAP4-5'!$H:$H)</f>
        <v>0</v>
      </c>
      <c r="H700" s="69">
        <f ca="1">SUMIF('CAP6-7'!$B:$H,Insumo[[#This Row],[DESCRIPCION]],'CAP6-7'!$H:$H)</f>
        <v>0</v>
      </c>
      <c r="I700" s="69">
        <f ca="1">SUMIF('CAP8'!$B:$H,Insumo[[#This Row],[DESCRIPCION]],'CAP8'!$H:$H)</f>
        <v>0</v>
      </c>
      <c r="J700" s="69">
        <f ca="1">SUMIF('CAP9-13'!$B:$H,Insumo[[#This Row],[DESCRIPCION]],'CAP9-13'!$H:$H)</f>
        <v>0</v>
      </c>
      <c r="K700" s="69">
        <f ca="1">SUMIF('CAP14-15'!$B:$H,Insumo[[#This Row],[DESCRIPCION]],'CAP14-15'!$H:$H)</f>
        <v>0</v>
      </c>
      <c r="L700" s="69">
        <f ca="1">SUMIF('CAP16-18'!$B:$H,Insumo[[#This Row],[DESCRIPCION]],'CAP16-18'!$H:$H)</f>
        <v>0</v>
      </c>
      <c r="M700" s="69">
        <f ca="1">SUMIF('CAP19-22'!$B:$H,Insumo[[#This Row],[DESCRIPCION]],'CAP19-22'!$H:$H)</f>
        <v>0</v>
      </c>
      <c r="N700" s="69">
        <f ca="1">SUMIF('CAP23-24'!$B:$H,Insumo[[#This Row],[DESCRIPCION]],'CAP23-24'!$H:$H)</f>
        <v>0</v>
      </c>
      <c r="O700" s="69">
        <f ca="1">SUMIF('CAP25'!$B:$H,Insumo[[#This Row],[DESCRIPCION]],'CAP25'!$H:$H)</f>
        <v>0</v>
      </c>
      <c r="P700" s="69">
        <f ca="1">SUMIF('CAP26-28'!$B:$H,Insumo[[#This Row],[DESCRIPCION]],'CAP26-28'!$H:$H)</f>
        <v>0</v>
      </c>
      <c r="Q700" s="69">
        <f ca="1">SUMIF('CAP29'!$B:$H,Insumo[[#This Row],[DESCRIPCION]],'CAP29'!$H:$H)</f>
        <v>0</v>
      </c>
      <c r="T700" s="136">
        <v>146118</v>
      </c>
    </row>
    <row r="701" spans="1:20" ht="12" customHeight="1">
      <c r="A701" s="301" t="s">
        <v>3314</v>
      </c>
      <c r="B701" s="303" t="s">
        <v>30</v>
      </c>
      <c r="C701" s="304">
        <f t="shared" si="10"/>
        <v>2136.75</v>
      </c>
      <c r="D701" s="281" cm="1">
        <f t="array" aca="1" ref="D701" ca="1">IF(Insumo[[#This Row],[VALOR]]=0,Insumo[TOTAL],E701/C701)</f>
        <v>0</v>
      </c>
      <c r="E701" s="69">
        <f ca="1">SUM(Insumo[[#This Row],[CAP1-3]:[CAP29]])</f>
        <v>0</v>
      </c>
      <c r="F701" s="69">
        <f ca="1">SUMIF('CAP1-3'!$B:$H,Insumo[[#This Row],[DESCRIPCION]],'CAP1-3'!$H:$H)</f>
        <v>0</v>
      </c>
      <c r="G701" s="69">
        <f ca="1">SUMIF('CAP4-5'!$B:$H,Insumo[[#This Row],[DESCRIPCION]],'CAP4-5'!$H:$H)</f>
        <v>0</v>
      </c>
      <c r="H701" s="69">
        <f ca="1">SUMIF('CAP6-7'!$B:$H,Insumo[[#This Row],[DESCRIPCION]],'CAP6-7'!$H:$H)</f>
        <v>0</v>
      </c>
      <c r="I701" s="69">
        <f ca="1">SUMIF('CAP8'!$B:$H,Insumo[[#This Row],[DESCRIPCION]],'CAP8'!$H:$H)</f>
        <v>0</v>
      </c>
      <c r="J701" s="69">
        <f ca="1">SUMIF('CAP9-13'!$B:$H,Insumo[[#This Row],[DESCRIPCION]],'CAP9-13'!$H:$H)</f>
        <v>0</v>
      </c>
      <c r="K701" s="69">
        <f ca="1">SUMIF('CAP14-15'!$B:$H,Insumo[[#This Row],[DESCRIPCION]],'CAP14-15'!$H:$H)</f>
        <v>0</v>
      </c>
      <c r="L701" s="69">
        <f ca="1">SUMIF('CAP16-18'!$B:$H,Insumo[[#This Row],[DESCRIPCION]],'CAP16-18'!$H:$H)</f>
        <v>0</v>
      </c>
      <c r="M701" s="69">
        <f ca="1">SUMIF('CAP19-22'!$B:$H,Insumo[[#This Row],[DESCRIPCION]],'CAP19-22'!$H:$H)</f>
        <v>0</v>
      </c>
      <c r="N701" s="69">
        <f ca="1">SUMIF('CAP23-24'!$B:$H,Insumo[[#This Row],[DESCRIPCION]],'CAP23-24'!$H:$H)</f>
        <v>0</v>
      </c>
      <c r="O701" s="69">
        <f ca="1">SUMIF('CAP25'!$B:$H,Insumo[[#This Row],[DESCRIPCION]],'CAP25'!$H:$H)</f>
        <v>0</v>
      </c>
      <c r="P701" s="69">
        <f ca="1">SUMIF('CAP26-28'!$B:$H,Insumo[[#This Row],[DESCRIPCION]],'CAP26-28'!$H:$H)</f>
        <v>0</v>
      </c>
      <c r="Q701" s="69">
        <f ca="1">SUMIF('CAP29'!$B:$H,Insumo[[#This Row],[DESCRIPCION]],'CAP29'!$H:$H)</f>
        <v>0</v>
      </c>
      <c r="T701" s="136">
        <v>2035</v>
      </c>
    </row>
    <row r="702" spans="1:20" ht="12" customHeight="1">
      <c r="A702" s="301" t="s">
        <v>3315</v>
      </c>
      <c r="B702" s="303" t="s">
        <v>338</v>
      </c>
      <c r="C702" s="304">
        <f t="shared" si="10"/>
        <v>14089.95</v>
      </c>
      <c r="D702" s="281" cm="1">
        <f t="array" aca="1" ref="D702" ca="1">IF(Insumo[[#This Row],[VALOR]]=0,Insumo[TOTAL],E702/C702)</f>
        <v>0</v>
      </c>
      <c r="E702" s="69">
        <f ca="1">SUM(Insumo[[#This Row],[CAP1-3]:[CAP29]])</f>
        <v>0</v>
      </c>
      <c r="F702" s="69">
        <f ca="1">SUMIF('CAP1-3'!$B:$H,Insumo[[#This Row],[DESCRIPCION]],'CAP1-3'!$H:$H)</f>
        <v>0</v>
      </c>
      <c r="G702" s="69">
        <f ca="1">SUMIF('CAP4-5'!$B:$H,Insumo[[#This Row],[DESCRIPCION]],'CAP4-5'!$H:$H)</f>
        <v>0</v>
      </c>
      <c r="H702" s="69">
        <f ca="1">SUMIF('CAP6-7'!$B:$H,Insumo[[#This Row],[DESCRIPCION]],'CAP6-7'!$H:$H)</f>
        <v>0</v>
      </c>
      <c r="I702" s="69">
        <f ca="1">SUMIF('CAP8'!$B:$H,Insumo[[#This Row],[DESCRIPCION]],'CAP8'!$H:$H)</f>
        <v>0</v>
      </c>
      <c r="J702" s="69">
        <f ca="1">SUMIF('CAP9-13'!$B:$H,Insumo[[#This Row],[DESCRIPCION]],'CAP9-13'!$H:$H)</f>
        <v>0</v>
      </c>
      <c r="K702" s="69">
        <f ca="1">SUMIF('CAP14-15'!$B:$H,Insumo[[#This Row],[DESCRIPCION]],'CAP14-15'!$H:$H)</f>
        <v>0</v>
      </c>
      <c r="L702" s="69">
        <f ca="1">SUMIF('CAP16-18'!$B:$H,Insumo[[#This Row],[DESCRIPCION]],'CAP16-18'!$H:$H)</f>
        <v>0</v>
      </c>
      <c r="M702" s="69">
        <f ca="1">SUMIF('CAP19-22'!$B:$H,Insumo[[#This Row],[DESCRIPCION]],'CAP19-22'!$H:$H)</f>
        <v>0</v>
      </c>
      <c r="N702" s="69">
        <f ca="1">SUMIF('CAP23-24'!$B:$H,Insumo[[#This Row],[DESCRIPCION]],'CAP23-24'!$H:$H)</f>
        <v>0</v>
      </c>
      <c r="O702" s="69">
        <f ca="1">SUMIF('CAP25'!$B:$H,Insumo[[#This Row],[DESCRIPCION]],'CAP25'!$H:$H)</f>
        <v>0</v>
      </c>
      <c r="P702" s="69">
        <f ca="1">SUMIF('CAP26-28'!$B:$H,Insumo[[#This Row],[DESCRIPCION]],'CAP26-28'!$H:$H)</f>
        <v>0</v>
      </c>
      <c r="Q702" s="69">
        <f ca="1">SUMIF('CAP29'!$B:$H,Insumo[[#This Row],[DESCRIPCION]],'CAP29'!$H:$H)</f>
        <v>0</v>
      </c>
      <c r="R702" s="136" t="s">
        <v>3303</v>
      </c>
      <c r="T702" s="136">
        <v>13419</v>
      </c>
    </row>
    <row r="703" spans="1:20" ht="12" customHeight="1">
      <c r="A703" s="301" t="s">
        <v>3316</v>
      </c>
      <c r="B703" s="303" t="s">
        <v>23</v>
      </c>
      <c r="C703" s="304">
        <f t="shared" si="10"/>
        <v>5446.35</v>
      </c>
      <c r="D703" s="281" cm="1">
        <f t="array" aca="1" ref="D703" ca="1">IF(Insumo[[#This Row],[VALOR]]=0,Insumo[TOTAL],E703/C703)</f>
        <v>0</v>
      </c>
      <c r="E703" s="69">
        <f ca="1">SUM(Insumo[[#This Row],[CAP1-3]:[CAP29]])</f>
        <v>0</v>
      </c>
      <c r="F703" s="69">
        <f ca="1">SUMIF('CAP1-3'!$B:$H,Insumo[[#This Row],[DESCRIPCION]],'CAP1-3'!$H:$H)</f>
        <v>0</v>
      </c>
      <c r="G703" s="69">
        <f ca="1">SUMIF('CAP4-5'!$B:$H,Insumo[[#This Row],[DESCRIPCION]],'CAP4-5'!$H:$H)</f>
        <v>0</v>
      </c>
      <c r="H703" s="69">
        <f ca="1">SUMIF('CAP6-7'!$B:$H,Insumo[[#This Row],[DESCRIPCION]],'CAP6-7'!$H:$H)</f>
        <v>0</v>
      </c>
      <c r="I703" s="69">
        <f ca="1">SUMIF('CAP8'!$B:$H,Insumo[[#This Row],[DESCRIPCION]],'CAP8'!$H:$H)</f>
        <v>0</v>
      </c>
      <c r="J703" s="69">
        <f ca="1">SUMIF('CAP9-13'!$B:$H,Insumo[[#This Row],[DESCRIPCION]],'CAP9-13'!$H:$H)</f>
        <v>0</v>
      </c>
      <c r="K703" s="69">
        <f ca="1">SUMIF('CAP14-15'!$B:$H,Insumo[[#This Row],[DESCRIPCION]],'CAP14-15'!$H:$H)</f>
        <v>0</v>
      </c>
      <c r="L703" s="69">
        <f ca="1">SUMIF('CAP16-18'!$B:$H,Insumo[[#This Row],[DESCRIPCION]],'CAP16-18'!$H:$H)</f>
        <v>0</v>
      </c>
      <c r="M703" s="69">
        <f ca="1">SUMIF('CAP19-22'!$B:$H,Insumo[[#This Row],[DESCRIPCION]],'CAP19-22'!$H:$H)</f>
        <v>0</v>
      </c>
      <c r="N703" s="69">
        <f ca="1">SUMIF('CAP23-24'!$B:$H,Insumo[[#This Row],[DESCRIPCION]],'CAP23-24'!$H:$H)</f>
        <v>0</v>
      </c>
      <c r="O703" s="69">
        <f ca="1">SUMIF('CAP25'!$B:$H,Insumo[[#This Row],[DESCRIPCION]],'CAP25'!$H:$H)</f>
        <v>0</v>
      </c>
      <c r="P703" s="69">
        <f ca="1">SUMIF('CAP26-28'!$B:$H,Insumo[[#This Row],[DESCRIPCION]],'CAP26-28'!$H:$H)</f>
        <v>0</v>
      </c>
      <c r="Q703" s="69">
        <f ca="1">SUMIF('CAP29'!$B:$H,Insumo[[#This Row],[DESCRIPCION]],'CAP29'!$H:$H)</f>
        <v>0</v>
      </c>
      <c r="T703" s="136">
        <v>5187</v>
      </c>
    </row>
    <row r="704" spans="1:20" ht="12" customHeight="1">
      <c r="A704" s="301" t="s">
        <v>3317</v>
      </c>
      <c r="B704" s="303" t="s">
        <v>23</v>
      </c>
      <c r="C704" s="304">
        <f t="shared" si="10"/>
        <v>66122.7</v>
      </c>
      <c r="D704" s="281" cm="1">
        <f t="array" aca="1" ref="D704" ca="1">IF(Insumo[[#This Row],[VALOR]]=0,Insumo[TOTAL],E704/C704)</f>
        <v>0</v>
      </c>
      <c r="E704" s="69">
        <f ca="1">SUM(Insumo[[#This Row],[CAP1-3]:[CAP29]])</f>
        <v>0</v>
      </c>
      <c r="F704" s="69">
        <f ca="1">SUMIF('CAP1-3'!$B:$H,Insumo[[#This Row],[DESCRIPCION]],'CAP1-3'!$H:$H)</f>
        <v>0</v>
      </c>
      <c r="G704" s="69">
        <f ca="1">SUMIF('CAP4-5'!$B:$H,Insumo[[#This Row],[DESCRIPCION]],'CAP4-5'!$H:$H)</f>
        <v>0</v>
      </c>
      <c r="H704" s="69">
        <f ca="1">SUMIF('CAP6-7'!$B:$H,Insumo[[#This Row],[DESCRIPCION]],'CAP6-7'!$H:$H)</f>
        <v>0</v>
      </c>
      <c r="I704" s="69">
        <f ca="1">SUMIF('CAP8'!$B:$H,Insumo[[#This Row],[DESCRIPCION]],'CAP8'!$H:$H)</f>
        <v>0</v>
      </c>
      <c r="J704" s="69">
        <f ca="1">SUMIF('CAP9-13'!$B:$H,Insumo[[#This Row],[DESCRIPCION]],'CAP9-13'!$H:$H)</f>
        <v>0</v>
      </c>
      <c r="K704" s="69">
        <f ca="1">SUMIF('CAP14-15'!$B:$H,Insumo[[#This Row],[DESCRIPCION]],'CAP14-15'!$H:$H)</f>
        <v>0</v>
      </c>
      <c r="L704" s="69">
        <f ca="1">SUMIF('CAP16-18'!$B:$H,Insumo[[#This Row],[DESCRIPCION]],'CAP16-18'!$H:$H)</f>
        <v>0</v>
      </c>
      <c r="M704" s="69">
        <f ca="1">SUMIF('CAP19-22'!$B:$H,Insumo[[#This Row],[DESCRIPCION]],'CAP19-22'!$H:$H)</f>
        <v>0</v>
      </c>
      <c r="N704" s="69">
        <f ca="1">SUMIF('CAP23-24'!$B:$H,Insumo[[#This Row],[DESCRIPCION]],'CAP23-24'!$H:$H)</f>
        <v>0</v>
      </c>
      <c r="O704" s="69">
        <f ca="1">SUMIF('CAP25'!$B:$H,Insumo[[#This Row],[DESCRIPCION]],'CAP25'!$H:$H)</f>
        <v>0</v>
      </c>
      <c r="P704" s="69">
        <f ca="1">SUMIF('CAP26-28'!$B:$H,Insumo[[#This Row],[DESCRIPCION]],'CAP26-28'!$H:$H)</f>
        <v>0</v>
      </c>
      <c r="Q704" s="69">
        <f ca="1">SUMIF('CAP29'!$B:$H,Insumo[[#This Row],[DESCRIPCION]],'CAP29'!$H:$H)</f>
        <v>0</v>
      </c>
      <c r="T704" s="136">
        <v>62974</v>
      </c>
    </row>
    <row r="705" spans="1:20" ht="12" customHeight="1">
      <c r="A705" s="301" t="s">
        <v>3318</v>
      </c>
      <c r="B705" s="303" t="s">
        <v>23</v>
      </c>
      <c r="C705" s="304">
        <f t="shared" si="10"/>
        <v>66122.7</v>
      </c>
      <c r="D705" s="281" cm="1">
        <f t="array" aca="1" ref="D705" ca="1">IF(Insumo[[#This Row],[VALOR]]=0,Insumo[TOTAL],E705/C705)</f>
        <v>0</v>
      </c>
      <c r="E705" s="69">
        <f ca="1">SUM(Insumo[[#This Row],[CAP1-3]:[CAP29]])</f>
        <v>0</v>
      </c>
      <c r="F705" s="69">
        <f ca="1">SUMIF('CAP1-3'!$B:$H,Insumo[[#This Row],[DESCRIPCION]],'CAP1-3'!$H:$H)</f>
        <v>0</v>
      </c>
      <c r="G705" s="69">
        <f ca="1">SUMIF('CAP4-5'!$B:$H,Insumo[[#This Row],[DESCRIPCION]],'CAP4-5'!$H:$H)</f>
        <v>0</v>
      </c>
      <c r="H705" s="69">
        <f ca="1">SUMIF('CAP6-7'!$B:$H,Insumo[[#This Row],[DESCRIPCION]],'CAP6-7'!$H:$H)</f>
        <v>0</v>
      </c>
      <c r="I705" s="69">
        <f ca="1">SUMIF('CAP8'!$B:$H,Insumo[[#This Row],[DESCRIPCION]],'CAP8'!$H:$H)</f>
        <v>0</v>
      </c>
      <c r="J705" s="69">
        <f ca="1">SUMIF('CAP9-13'!$B:$H,Insumo[[#This Row],[DESCRIPCION]],'CAP9-13'!$H:$H)</f>
        <v>0</v>
      </c>
      <c r="K705" s="69">
        <f ca="1">SUMIF('CAP14-15'!$B:$H,Insumo[[#This Row],[DESCRIPCION]],'CAP14-15'!$H:$H)</f>
        <v>0</v>
      </c>
      <c r="L705" s="69">
        <f ca="1">SUMIF('CAP16-18'!$B:$H,Insumo[[#This Row],[DESCRIPCION]],'CAP16-18'!$H:$H)</f>
        <v>0</v>
      </c>
      <c r="M705" s="69">
        <f ca="1">SUMIF('CAP19-22'!$B:$H,Insumo[[#This Row],[DESCRIPCION]],'CAP19-22'!$H:$H)</f>
        <v>0</v>
      </c>
      <c r="N705" s="69">
        <f ca="1">SUMIF('CAP23-24'!$B:$H,Insumo[[#This Row],[DESCRIPCION]],'CAP23-24'!$H:$H)</f>
        <v>0</v>
      </c>
      <c r="O705" s="69">
        <f ca="1">SUMIF('CAP25'!$B:$H,Insumo[[#This Row],[DESCRIPCION]],'CAP25'!$H:$H)</f>
        <v>0</v>
      </c>
      <c r="P705" s="69">
        <f ca="1">SUMIF('CAP26-28'!$B:$H,Insumo[[#This Row],[DESCRIPCION]],'CAP26-28'!$H:$H)</f>
        <v>0</v>
      </c>
      <c r="Q705" s="69">
        <f ca="1">SUMIF('CAP29'!$B:$H,Insumo[[#This Row],[DESCRIPCION]],'CAP29'!$H:$H)</f>
        <v>0</v>
      </c>
      <c r="T705" s="136">
        <v>62974</v>
      </c>
    </row>
    <row r="706" spans="1:20" ht="12" customHeight="1">
      <c r="A706" s="301" t="s">
        <v>3319</v>
      </c>
      <c r="B706" s="303" t="s">
        <v>23</v>
      </c>
      <c r="C706" s="304">
        <f t="shared" si="10"/>
        <v>66122.7</v>
      </c>
      <c r="D706" s="281" cm="1">
        <f t="array" aca="1" ref="D706" ca="1">IF(Insumo[[#This Row],[VALOR]]=0,Insumo[TOTAL],E706/C706)</f>
        <v>0</v>
      </c>
      <c r="E706" s="69">
        <f ca="1">SUM(Insumo[[#This Row],[CAP1-3]:[CAP29]])</f>
        <v>0</v>
      </c>
      <c r="F706" s="69">
        <f ca="1">SUMIF('CAP1-3'!$B:$H,Insumo[[#This Row],[DESCRIPCION]],'CAP1-3'!$H:$H)</f>
        <v>0</v>
      </c>
      <c r="G706" s="69">
        <f ca="1">SUMIF('CAP4-5'!$B:$H,Insumo[[#This Row],[DESCRIPCION]],'CAP4-5'!$H:$H)</f>
        <v>0</v>
      </c>
      <c r="H706" s="69">
        <f ca="1">SUMIF('CAP6-7'!$B:$H,Insumo[[#This Row],[DESCRIPCION]],'CAP6-7'!$H:$H)</f>
        <v>0</v>
      </c>
      <c r="I706" s="69">
        <f ca="1">SUMIF('CAP8'!$B:$H,Insumo[[#This Row],[DESCRIPCION]],'CAP8'!$H:$H)</f>
        <v>0</v>
      </c>
      <c r="J706" s="69">
        <f ca="1">SUMIF('CAP9-13'!$B:$H,Insumo[[#This Row],[DESCRIPCION]],'CAP9-13'!$H:$H)</f>
        <v>0</v>
      </c>
      <c r="K706" s="69">
        <f ca="1">SUMIF('CAP14-15'!$B:$H,Insumo[[#This Row],[DESCRIPCION]],'CAP14-15'!$H:$H)</f>
        <v>0</v>
      </c>
      <c r="L706" s="69">
        <f ca="1">SUMIF('CAP16-18'!$B:$H,Insumo[[#This Row],[DESCRIPCION]],'CAP16-18'!$H:$H)</f>
        <v>0</v>
      </c>
      <c r="M706" s="69">
        <f ca="1">SUMIF('CAP19-22'!$B:$H,Insumo[[#This Row],[DESCRIPCION]],'CAP19-22'!$H:$H)</f>
        <v>0</v>
      </c>
      <c r="N706" s="69">
        <f ca="1">SUMIF('CAP23-24'!$B:$H,Insumo[[#This Row],[DESCRIPCION]],'CAP23-24'!$H:$H)</f>
        <v>0</v>
      </c>
      <c r="O706" s="69">
        <f ca="1">SUMIF('CAP25'!$B:$H,Insumo[[#This Row],[DESCRIPCION]],'CAP25'!$H:$H)</f>
        <v>0</v>
      </c>
      <c r="P706" s="69">
        <f ca="1">SUMIF('CAP26-28'!$B:$H,Insumo[[#This Row],[DESCRIPCION]],'CAP26-28'!$H:$H)</f>
        <v>0</v>
      </c>
      <c r="Q706" s="69">
        <f ca="1">SUMIF('CAP29'!$B:$H,Insumo[[#This Row],[DESCRIPCION]],'CAP29'!$H:$H)</f>
        <v>0</v>
      </c>
      <c r="T706" s="136">
        <v>62974</v>
      </c>
    </row>
    <row r="707" spans="1:20" ht="12" customHeight="1">
      <c r="A707" s="301" t="s">
        <v>3320</v>
      </c>
      <c r="B707" s="303" t="s">
        <v>23</v>
      </c>
      <c r="C707" s="304">
        <f t="shared" si="10"/>
        <v>66122.7</v>
      </c>
      <c r="D707" s="281" cm="1">
        <f t="array" aca="1" ref="D707" ca="1">IF(Insumo[[#This Row],[VALOR]]=0,Insumo[TOTAL],E707/C707)</f>
        <v>0</v>
      </c>
      <c r="E707" s="69">
        <f ca="1">SUM(Insumo[[#This Row],[CAP1-3]:[CAP29]])</f>
        <v>0</v>
      </c>
      <c r="F707" s="69">
        <f ca="1">SUMIF('CAP1-3'!$B:$H,Insumo[[#This Row],[DESCRIPCION]],'CAP1-3'!$H:$H)</f>
        <v>0</v>
      </c>
      <c r="G707" s="69">
        <f ca="1">SUMIF('CAP4-5'!$B:$H,Insumo[[#This Row],[DESCRIPCION]],'CAP4-5'!$H:$H)</f>
        <v>0</v>
      </c>
      <c r="H707" s="69">
        <f ca="1">SUMIF('CAP6-7'!$B:$H,Insumo[[#This Row],[DESCRIPCION]],'CAP6-7'!$H:$H)</f>
        <v>0</v>
      </c>
      <c r="I707" s="69">
        <f ca="1">SUMIF('CAP8'!$B:$H,Insumo[[#This Row],[DESCRIPCION]],'CAP8'!$H:$H)</f>
        <v>0</v>
      </c>
      <c r="J707" s="69">
        <f ca="1">SUMIF('CAP9-13'!$B:$H,Insumo[[#This Row],[DESCRIPCION]],'CAP9-13'!$H:$H)</f>
        <v>0</v>
      </c>
      <c r="K707" s="69">
        <f ca="1">SUMIF('CAP14-15'!$B:$H,Insumo[[#This Row],[DESCRIPCION]],'CAP14-15'!$H:$H)</f>
        <v>0</v>
      </c>
      <c r="L707" s="69">
        <f ca="1">SUMIF('CAP16-18'!$B:$H,Insumo[[#This Row],[DESCRIPCION]],'CAP16-18'!$H:$H)</f>
        <v>0</v>
      </c>
      <c r="M707" s="69">
        <f ca="1">SUMIF('CAP19-22'!$B:$H,Insumo[[#This Row],[DESCRIPCION]],'CAP19-22'!$H:$H)</f>
        <v>0</v>
      </c>
      <c r="N707" s="69">
        <f ca="1">SUMIF('CAP23-24'!$B:$H,Insumo[[#This Row],[DESCRIPCION]],'CAP23-24'!$H:$H)</f>
        <v>0</v>
      </c>
      <c r="O707" s="69">
        <f ca="1">SUMIF('CAP25'!$B:$H,Insumo[[#This Row],[DESCRIPCION]],'CAP25'!$H:$H)</f>
        <v>0</v>
      </c>
      <c r="P707" s="69">
        <f ca="1">SUMIF('CAP26-28'!$B:$H,Insumo[[#This Row],[DESCRIPCION]],'CAP26-28'!$H:$H)</f>
        <v>0</v>
      </c>
      <c r="Q707" s="69">
        <f ca="1">SUMIF('CAP29'!$B:$H,Insumo[[#This Row],[DESCRIPCION]],'CAP29'!$H:$H)</f>
        <v>0</v>
      </c>
      <c r="T707" s="136">
        <v>62974</v>
      </c>
    </row>
    <row r="708" spans="1:20" ht="12" customHeight="1">
      <c r="A708" s="301" t="s">
        <v>3321</v>
      </c>
      <c r="B708" s="303" t="s">
        <v>23</v>
      </c>
      <c r="C708" s="304">
        <f t="shared" si="10"/>
        <v>66122.7</v>
      </c>
      <c r="D708" s="281" cm="1">
        <f t="array" aca="1" ref="D708" ca="1">IF(Insumo[[#This Row],[VALOR]]=0,Insumo[TOTAL],E708/C708)</f>
        <v>0</v>
      </c>
      <c r="E708" s="69">
        <f ca="1">SUM(Insumo[[#This Row],[CAP1-3]:[CAP29]])</f>
        <v>0</v>
      </c>
      <c r="F708" s="69">
        <f ca="1">SUMIF('CAP1-3'!$B:$H,Insumo[[#This Row],[DESCRIPCION]],'CAP1-3'!$H:$H)</f>
        <v>0</v>
      </c>
      <c r="G708" s="69">
        <f ca="1">SUMIF('CAP4-5'!$B:$H,Insumo[[#This Row],[DESCRIPCION]],'CAP4-5'!$H:$H)</f>
        <v>0</v>
      </c>
      <c r="H708" s="69">
        <f ca="1">SUMIF('CAP6-7'!$B:$H,Insumo[[#This Row],[DESCRIPCION]],'CAP6-7'!$H:$H)</f>
        <v>0</v>
      </c>
      <c r="I708" s="69">
        <f ca="1">SUMIF('CAP8'!$B:$H,Insumo[[#This Row],[DESCRIPCION]],'CAP8'!$H:$H)</f>
        <v>0</v>
      </c>
      <c r="J708" s="69">
        <f ca="1">SUMIF('CAP9-13'!$B:$H,Insumo[[#This Row],[DESCRIPCION]],'CAP9-13'!$H:$H)</f>
        <v>0</v>
      </c>
      <c r="K708" s="69">
        <f ca="1">SUMIF('CAP14-15'!$B:$H,Insumo[[#This Row],[DESCRIPCION]],'CAP14-15'!$H:$H)</f>
        <v>0</v>
      </c>
      <c r="L708" s="69">
        <f ca="1">SUMIF('CAP16-18'!$B:$H,Insumo[[#This Row],[DESCRIPCION]],'CAP16-18'!$H:$H)</f>
        <v>0</v>
      </c>
      <c r="M708" s="69">
        <f ca="1">SUMIF('CAP19-22'!$B:$H,Insumo[[#This Row],[DESCRIPCION]],'CAP19-22'!$H:$H)</f>
        <v>0</v>
      </c>
      <c r="N708" s="69">
        <f ca="1">SUMIF('CAP23-24'!$B:$H,Insumo[[#This Row],[DESCRIPCION]],'CAP23-24'!$H:$H)</f>
        <v>0</v>
      </c>
      <c r="O708" s="69">
        <f ca="1">SUMIF('CAP25'!$B:$H,Insumo[[#This Row],[DESCRIPCION]],'CAP25'!$H:$H)</f>
        <v>0</v>
      </c>
      <c r="P708" s="69">
        <f ca="1">SUMIF('CAP26-28'!$B:$H,Insumo[[#This Row],[DESCRIPCION]],'CAP26-28'!$H:$H)</f>
        <v>0</v>
      </c>
      <c r="Q708" s="69">
        <f ca="1">SUMIF('CAP29'!$B:$H,Insumo[[#This Row],[DESCRIPCION]],'CAP29'!$H:$H)</f>
        <v>0</v>
      </c>
      <c r="T708" s="136">
        <v>62974</v>
      </c>
    </row>
    <row r="709" spans="1:20" ht="12" customHeight="1">
      <c r="A709" s="301" t="s">
        <v>3322</v>
      </c>
      <c r="B709" s="303" t="s">
        <v>23</v>
      </c>
      <c r="C709" s="304">
        <f t="shared" si="10"/>
        <v>66122.7</v>
      </c>
      <c r="D709" s="281" cm="1">
        <f t="array" aca="1" ref="D709" ca="1">IF(Insumo[[#This Row],[VALOR]]=0,Insumo[TOTAL],E709/C709)</f>
        <v>0</v>
      </c>
      <c r="E709" s="69">
        <f ca="1">SUM(Insumo[[#This Row],[CAP1-3]:[CAP29]])</f>
        <v>0</v>
      </c>
      <c r="F709" s="69">
        <f ca="1">SUMIF('CAP1-3'!$B:$H,Insumo[[#This Row],[DESCRIPCION]],'CAP1-3'!$H:$H)</f>
        <v>0</v>
      </c>
      <c r="G709" s="69">
        <f ca="1">SUMIF('CAP4-5'!$B:$H,Insumo[[#This Row],[DESCRIPCION]],'CAP4-5'!$H:$H)</f>
        <v>0</v>
      </c>
      <c r="H709" s="69">
        <f ca="1">SUMIF('CAP6-7'!$B:$H,Insumo[[#This Row],[DESCRIPCION]],'CAP6-7'!$H:$H)</f>
        <v>0</v>
      </c>
      <c r="I709" s="69">
        <f ca="1">SUMIF('CAP8'!$B:$H,Insumo[[#This Row],[DESCRIPCION]],'CAP8'!$H:$H)</f>
        <v>0</v>
      </c>
      <c r="J709" s="69">
        <f ca="1">SUMIF('CAP9-13'!$B:$H,Insumo[[#This Row],[DESCRIPCION]],'CAP9-13'!$H:$H)</f>
        <v>0</v>
      </c>
      <c r="K709" s="69">
        <f ca="1">SUMIF('CAP14-15'!$B:$H,Insumo[[#This Row],[DESCRIPCION]],'CAP14-15'!$H:$H)</f>
        <v>0</v>
      </c>
      <c r="L709" s="69">
        <f ca="1">SUMIF('CAP16-18'!$B:$H,Insumo[[#This Row],[DESCRIPCION]],'CAP16-18'!$H:$H)</f>
        <v>0</v>
      </c>
      <c r="M709" s="69">
        <f ca="1">SUMIF('CAP19-22'!$B:$H,Insumo[[#This Row],[DESCRIPCION]],'CAP19-22'!$H:$H)</f>
        <v>0</v>
      </c>
      <c r="N709" s="69">
        <f ca="1">SUMIF('CAP23-24'!$B:$H,Insumo[[#This Row],[DESCRIPCION]],'CAP23-24'!$H:$H)</f>
        <v>0</v>
      </c>
      <c r="O709" s="69">
        <f ca="1">SUMIF('CAP25'!$B:$H,Insumo[[#This Row],[DESCRIPCION]],'CAP25'!$H:$H)</f>
        <v>0</v>
      </c>
      <c r="P709" s="69">
        <f ca="1">SUMIF('CAP26-28'!$B:$H,Insumo[[#This Row],[DESCRIPCION]],'CAP26-28'!$H:$H)</f>
        <v>0</v>
      </c>
      <c r="Q709" s="69">
        <f ca="1">SUMIF('CAP29'!$B:$H,Insumo[[#This Row],[DESCRIPCION]],'CAP29'!$H:$H)</f>
        <v>0</v>
      </c>
      <c r="T709" s="136">
        <v>62974</v>
      </c>
    </row>
    <row r="710" spans="1:20" ht="12" customHeight="1">
      <c r="A710" s="301" t="s">
        <v>3323</v>
      </c>
      <c r="B710" s="303" t="s">
        <v>23</v>
      </c>
      <c r="C710" s="304">
        <f t="shared" ref="C710:C773" si="11">T710*$T$3</f>
        <v>66122.7</v>
      </c>
      <c r="D710" s="281" cm="1">
        <f t="array" aca="1" ref="D710" ca="1">IF(Insumo[[#This Row],[VALOR]]=0,Insumo[TOTAL],E710/C710)</f>
        <v>0</v>
      </c>
      <c r="E710" s="69">
        <f ca="1">SUM(Insumo[[#This Row],[CAP1-3]:[CAP29]])</f>
        <v>0</v>
      </c>
      <c r="F710" s="69">
        <f ca="1">SUMIF('CAP1-3'!$B:$H,Insumo[[#This Row],[DESCRIPCION]],'CAP1-3'!$H:$H)</f>
        <v>0</v>
      </c>
      <c r="G710" s="69">
        <f ca="1">SUMIF('CAP4-5'!$B:$H,Insumo[[#This Row],[DESCRIPCION]],'CAP4-5'!$H:$H)</f>
        <v>0</v>
      </c>
      <c r="H710" s="69">
        <f ca="1">SUMIF('CAP6-7'!$B:$H,Insumo[[#This Row],[DESCRIPCION]],'CAP6-7'!$H:$H)</f>
        <v>0</v>
      </c>
      <c r="I710" s="69">
        <f ca="1">SUMIF('CAP8'!$B:$H,Insumo[[#This Row],[DESCRIPCION]],'CAP8'!$H:$H)</f>
        <v>0</v>
      </c>
      <c r="J710" s="69">
        <f ca="1">SUMIF('CAP9-13'!$B:$H,Insumo[[#This Row],[DESCRIPCION]],'CAP9-13'!$H:$H)</f>
        <v>0</v>
      </c>
      <c r="K710" s="69">
        <f ca="1">SUMIF('CAP14-15'!$B:$H,Insumo[[#This Row],[DESCRIPCION]],'CAP14-15'!$H:$H)</f>
        <v>0</v>
      </c>
      <c r="L710" s="69">
        <f ca="1">SUMIF('CAP16-18'!$B:$H,Insumo[[#This Row],[DESCRIPCION]],'CAP16-18'!$H:$H)</f>
        <v>0</v>
      </c>
      <c r="M710" s="69">
        <f ca="1">SUMIF('CAP19-22'!$B:$H,Insumo[[#This Row],[DESCRIPCION]],'CAP19-22'!$H:$H)</f>
        <v>0</v>
      </c>
      <c r="N710" s="69">
        <f ca="1">SUMIF('CAP23-24'!$B:$H,Insumo[[#This Row],[DESCRIPCION]],'CAP23-24'!$H:$H)</f>
        <v>0</v>
      </c>
      <c r="O710" s="69">
        <f ca="1">SUMIF('CAP25'!$B:$H,Insumo[[#This Row],[DESCRIPCION]],'CAP25'!$H:$H)</f>
        <v>0</v>
      </c>
      <c r="P710" s="69">
        <f ca="1">SUMIF('CAP26-28'!$B:$H,Insumo[[#This Row],[DESCRIPCION]],'CAP26-28'!$H:$H)</f>
        <v>0</v>
      </c>
      <c r="Q710" s="69">
        <f ca="1">SUMIF('CAP29'!$B:$H,Insumo[[#This Row],[DESCRIPCION]],'CAP29'!$H:$H)</f>
        <v>0</v>
      </c>
      <c r="T710" s="136">
        <v>62974</v>
      </c>
    </row>
    <row r="711" spans="1:20" ht="12" customHeight="1">
      <c r="A711" s="301" t="s">
        <v>3324</v>
      </c>
      <c r="B711" s="303" t="s">
        <v>23</v>
      </c>
      <c r="C711" s="304">
        <f t="shared" si="11"/>
        <v>66122.7</v>
      </c>
      <c r="D711" s="281" cm="1">
        <f t="array" aca="1" ref="D711" ca="1">IF(Insumo[[#This Row],[VALOR]]=0,Insumo[TOTAL],E711/C711)</f>
        <v>0</v>
      </c>
      <c r="E711" s="69">
        <f ca="1">SUM(Insumo[[#This Row],[CAP1-3]:[CAP29]])</f>
        <v>0</v>
      </c>
      <c r="F711" s="69">
        <f ca="1">SUMIF('CAP1-3'!$B:$H,Insumo[[#This Row],[DESCRIPCION]],'CAP1-3'!$H:$H)</f>
        <v>0</v>
      </c>
      <c r="G711" s="69">
        <f ca="1">SUMIF('CAP4-5'!$B:$H,Insumo[[#This Row],[DESCRIPCION]],'CAP4-5'!$H:$H)</f>
        <v>0</v>
      </c>
      <c r="H711" s="69">
        <f ca="1">SUMIF('CAP6-7'!$B:$H,Insumo[[#This Row],[DESCRIPCION]],'CAP6-7'!$H:$H)</f>
        <v>0</v>
      </c>
      <c r="I711" s="69">
        <f ca="1">SUMIF('CAP8'!$B:$H,Insumo[[#This Row],[DESCRIPCION]],'CAP8'!$H:$H)</f>
        <v>0</v>
      </c>
      <c r="J711" s="69">
        <f ca="1">SUMIF('CAP9-13'!$B:$H,Insumo[[#This Row],[DESCRIPCION]],'CAP9-13'!$H:$H)</f>
        <v>0</v>
      </c>
      <c r="K711" s="69">
        <f ca="1">SUMIF('CAP14-15'!$B:$H,Insumo[[#This Row],[DESCRIPCION]],'CAP14-15'!$H:$H)</f>
        <v>0</v>
      </c>
      <c r="L711" s="69">
        <f ca="1">SUMIF('CAP16-18'!$B:$H,Insumo[[#This Row],[DESCRIPCION]],'CAP16-18'!$H:$H)</f>
        <v>0</v>
      </c>
      <c r="M711" s="69">
        <f ca="1">SUMIF('CAP19-22'!$B:$H,Insumo[[#This Row],[DESCRIPCION]],'CAP19-22'!$H:$H)</f>
        <v>0</v>
      </c>
      <c r="N711" s="69">
        <f ca="1">SUMIF('CAP23-24'!$B:$H,Insumo[[#This Row],[DESCRIPCION]],'CAP23-24'!$H:$H)</f>
        <v>0</v>
      </c>
      <c r="O711" s="69">
        <f ca="1">SUMIF('CAP25'!$B:$H,Insumo[[#This Row],[DESCRIPCION]],'CAP25'!$H:$H)</f>
        <v>0</v>
      </c>
      <c r="P711" s="69">
        <f ca="1">SUMIF('CAP26-28'!$B:$H,Insumo[[#This Row],[DESCRIPCION]],'CAP26-28'!$H:$H)</f>
        <v>0</v>
      </c>
      <c r="Q711" s="69">
        <f ca="1">SUMIF('CAP29'!$B:$H,Insumo[[#This Row],[DESCRIPCION]],'CAP29'!$H:$H)</f>
        <v>0</v>
      </c>
      <c r="T711" s="136">
        <v>62974</v>
      </c>
    </row>
    <row r="712" spans="1:20" ht="12" customHeight="1">
      <c r="A712" s="301" t="s">
        <v>3325</v>
      </c>
      <c r="B712" s="303" t="s">
        <v>30</v>
      </c>
      <c r="C712" s="304">
        <f t="shared" si="11"/>
        <v>90930</v>
      </c>
      <c r="D712" s="281" cm="1">
        <f t="array" aca="1" ref="D712" ca="1">IF(Insumo[[#This Row],[VALOR]]=0,Insumo[TOTAL],E712/C712)</f>
        <v>0</v>
      </c>
      <c r="E712" s="69">
        <f ca="1">SUM(Insumo[[#This Row],[CAP1-3]:[CAP29]])</f>
        <v>0</v>
      </c>
      <c r="F712" s="69">
        <f ca="1">SUMIF('CAP1-3'!$B:$H,Insumo[[#This Row],[DESCRIPCION]],'CAP1-3'!$H:$H)</f>
        <v>0</v>
      </c>
      <c r="G712" s="69">
        <f ca="1">SUMIF('CAP4-5'!$B:$H,Insumo[[#This Row],[DESCRIPCION]],'CAP4-5'!$H:$H)</f>
        <v>0</v>
      </c>
      <c r="H712" s="69">
        <f ca="1">SUMIF('CAP6-7'!$B:$H,Insumo[[#This Row],[DESCRIPCION]],'CAP6-7'!$H:$H)</f>
        <v>0</v>
      </c>
      <c r="I712" s="69">
        <f ca="1">SUMIF('CAP8'!$B:$H,Insumo[[#This Row],[DESCRIPCION]],'CAP8'!$H:$H)</f>
        <v>0</v>
      </c>
      <c r="J712" s="69">
        <f ca="1">SUMIF('CAP9-13'!$B:$H,Insumo[[#This Row],[DESCRIPCION]],'CAP9-13'!$H:$H)</f>
        <v>0</v>
      </c>
      <c r="K712" s="69">
        <f ca="1">SUMIF('CAP14-15'!$B:$H,Insumo[[#This Row],[DESCRIPCION]],'CAP14-15'!$H:$H)</f>
        <v>0</v>
      </c>
      <c r="L712" s="69">
        <f ca="1">SUMIF('CAP16-18'!$B:$H,Insumo[[#This Row],[DESCRIPCION]],'CAP16-18'!$H:$H)</f>
        <v>0</v>
      </c>
      <c r="M712" s="69">
        <f ca="1">SUMIF('CAP19-22'!$B:$H,Insumo[[#This Row],[DESCRIPCION]],'CAP19-22'!$H:$H)</f>
        <v>0</v>
      </c>
      <c r="N712" s="69">
        <f ca="1">SUMIF('CAP23-24'!$B:$H,Insumo[[#This Row],[DESCRIPCION]],'CAP23-24'!$H:$H)</f>
        <v>0</v>
      </c>
      <c r="O712" s="69">
        <f ca="1">SUMIF('CAP25'!$B:$H,Insumo[[#This Row],[DESCRIPCION]],'CAP25'!$H:$H)</f>
        <v>0</v>
      </c>
      <c r="P712" s="69">
        <f ca="1">SUMIF('CAP26-28'!$B:$H,Insumo[[#This Row],[DESCRIPCION]],'CAP26-28'!$H:$H)</f>
        <v>0</v>
      </c>
      <c r="Q712" s="69">
        <f ca="1">SUMIF('CAP29'!$B:$H,Insumo[[#This Row],[DESCRIPCION]],'CAP29'!$H:$H)</f>
        <v>0</v>
      </c>
      <c r="T712" s="136">
        <v>86600</v>
      </c>
    </row>
    <row r="713" spans="1:20" ht="12" customHeight="1">
      <c r="A713" s="301" t="s">
        <v>3326</v>
      </c>
      <c r="B713" s="303" t="s">
        <v>338</v>
      </c>
      <c r="C713" s="304">
        <f t="shared" si="11"/>
        <v>5978.7</v>
      </c>
      <c r="D713" s="281" cm="1">
        <f t="array" aca="1" ref="D713" ca="1">IF(Insumo[[#This Row],[VALOR]]=0,Insumo[TOTAL],E713/C713)</f>
        <v>0</v>
      </c>
      <c r="E713" s="69">
        <f ca="1">SUM(Insumo[[#This Row],[CAP1-3]:[CAP29]])</f>
        <v>0</v>
      </c>
      <c r="F713" s="69">
        <f ca="1">SUMIF('CAP1-3'!$B:$H,Insumo[[#This Row],[DESCRIPCION]],'CAP1-3'!$H:$H)</f>
        <v>0</v>
      </c>
      <c r="G713" s="69">
        <f ca="1">SUMIF('CAP4-5'!$B:$H,Insumo[[#This Row],[DESCRIPCION]],'CAP4-5'!$H:$H)</f>
        <v>0</v>
      </c>
      <c r="H713" s="69">
        <f ca="1">SUMIF('CAP6-7'!$B:$H,Insumo[[#This Row],[DESCRIPCION]],'CAP6-7'!$H:$H)</f>
        <v>0</v>
      </c>
      <c r="I713" s="69">
        <f ca="1">SUMIF('CAP8'!$B:$H,Insumo[[#This Row],[DESCRIPCION]],'CAP8'!$H:$H)</f>
        <v>0</v>
      </c>
      <c r="J713" s="69">
        <f ca="1">SUMIF('CAP9-13'!$B:$H,Insumo[[#This Row],[DESCRIPCION]],'CAP9-13'!$H:$H)</f>
        <v>0</v>
      </c>
      <c r="K713" s="69">
        <f ca="1">SUMIF('CAP14-15'!$B:$H,Insumo[[#This Row],[DESCRIPCION]],'CAP14-15'!$H:$H)</f>
        <v>0</v>
      </c>
      <c r="L713" s="69">
        <f ca="1">SUMIF('CAP16-18'!$B:$H,Insumo[[#This Row],[DESCRIPCION]],'CAP16-18'!$H:$H)</f>
        <v>0</v>
      </c>
      <c r="M713" s="69">
        <f ca="1">SUMIF('CAP19-22'!$B:$H,Insumo[[#This Row],[DESCRIPCION]],'CAP19-22'!$H:$H)</f>
        <v>0</v>
      </c>
      <c r="N713" s="69">
        <f ca="1">SUMIF('CAP23-24'!$B:$H,Insumo[[#This Row],[DESCRIPCION]],'CAP23-24'!$H:$H)</f>
        <v>0</v>
      </c>
      <c r="O713" s="69">
        <f ca="1">SUMIF('CAP25'!$B:$H,Insumo[[#This Row],[DESCRIPCION]],'CAP25'!$H:$H)</f>
        <v>0</v>
      </c>
      <c r="P713" s="69">
        <f ca="1">SUMIF('CAP26-28'!$B:$H,Insumo[[#This Row],[DESCRIPCION]],'CAP26-28'!$H:$H)</f>
        <v>0</v>
      </c>
      <c r="Q713" s="69">
        <f ca="1">SUMIF('CAP29'!$B:$H,Insumo[[#This Row],[DESCRIPCION]],'CAP29'!$H:$H)</f>
        <v>0</v>
      </c>
      <c r="R713" s="136" t="s">
        <v>2663</v>
      </c>
      <c r="T713" s="136">
        <v>5694</v>
      </c>
    </row>
    <row r="714" spans="1:20" ht="12" customHeight="1">
      <c r="A714" s="301" t="s">
        <v>3327</v>
      </c>
      <c r="B714" s="303" t="s">
        <v>23</v>
      </c>
      <c r="C714" s="304">
        <f t="shared" si="11"/>
        <v>29438.850000000002</v>
      </c>
      <c r="D714" s="281" cm="1">
        <f t="array" aca="1" ref="D714" ca="1">IF(Insumo[[#This Row],[VALOR]]=0,Insumo[TOTAL],E714/C714)</f>
        <v>0</v>
      </c>
      <c r="E714" s="69">
        <f ca="1">SUM(Insumo[[#This Row],[CAP1-3]:[CAP29]])</f>
        <v>0</v>
      </c>
      <c r="F714" s="69">
        <f ca="1">SUMIF('CAP1-3'!$B:$H,Insumo[[#This Row],[DESCRIPCION]],'CAP1-3'!$H:$H)</f>
        <v>0</v>
      </c>
      <c r="G714" s="69">
        <f ca="1">SUMIF('CAP4-5'!$B:$H,Insumo[[#This Row],[DESCRIPCION]],'CAP4-5'!$H:$H)</f>
        <v>0</v>
      </c>
      <c r="H714" s="69">
        <f ca="1">SUMIF('CAP6-7'!$B:$H,Insumo[[#This Row],[DESCRIPCION]],'CAP6-7'!$H:$H)</f>
        <v>0</v>
      </c>
      <c r="I714" s="69">
        <f ca="1">SUMIF('CAP8'!$B:$H,Insumo[[#This Row],[DESCRIPCION]],'CAP8'!$H:$H)</f>
        <v>0</v>
      </c>
      <c r="J714" s="69">
        <f ca="1">SUMIF('CAP9-13'!$B:$H,Insumo[[#This Row],[DESCRIPCION]],'CAP9-13'!$H:$H)</f>
        <v>0</v>
      </c>
      <c r="K714" s="69">
        <f ca="1">SUMIF('CAP14-15'!$B:$H,Insumo[[#This Row],[DESCRIPCION]],'CAP14-15'!$H:$H)</f>
        <v>0</v>
      </c>
      <c r="L714" s="69">
        <f ca="1">SUMIF('CAP16-18'!$B:$H,Insumo[[#This Row],[DESCRIPCION]],'CAP16-18'!$H:$H)</f>
        <v>0</v>
      </c>
      <c r="M714" s="69">
        <f ca="1">SUMIF('CAP19-22'!$B:$H,Insumo[[#This Row],[DESCRIPCION]],'CAP19-22'!$H:$H)</f>
        <v>0</v>
      </c>
      <c r="N714" s="69">
        <f ca="1">SUMIF('CAP23-24'!$B:$H,Insumo[[#This Row],[DESCRIPCION]],'CAP23-24'!$H:$H)</f>
        <v>0</v>
      </c>
      <c r="O714" s="69">
        <f ca="1">SUMIF('CAP25'!$B:$H,Insumo[[#This Row],[DESCRIPCION]],'CAP25'!$H:$H)</f>
        <v>0</v>
      </c>
      <c r="P714" s="69">
        <f ca="1">SUMIF('CAP26-28'!$B:$H,Insumo[[#This Row],[DESCRIPCION]],'CAP26-28'!$H:$H)</f>
        <v>0</v>
      </c>
      <c r="Q714" s="69">
        <f ca="1">SUMIF('CAP29'!$B:$H,Insumo[[#This Row],[DESCRIPCION]],'CAP29'!$H:$H)</f>
        <v>0</v>
      </c>
      <c r="T714" s="136">
        <v>28037</v>
      </c>
    </row>
    <row r="715" spans="1:20" ht="12" customHeight="1">
      <c r="A715" s="301" t="s">
        <v>3328</v>
      </c>
      <c r="B715" s="303" t="s">
        <v>23</v>
      </c>
      <c r="C715" s="304">
        <f t="shared" si="11"/>
        <v>79747.5</v>
      </c>
      <c r="D715" s="281" cm="1">
        <f t="array" aca="1" ref="D715" ca="1">IF(Insumo[[#This Row],[VALOR]]=0,Insumo[TOTAL],E715/C715)</f>
        <v>0</v>
      </c>
      <c r="E715" s="69">
        <f ca="1">SUM(Insumo[[#This Row],[CAP1-3]:[CAP29]])</f>
        <v>0</v>
      </c>
      <c r="F715" s="69">
        <f ca="1">SUMIF('CAP1-3'!$B:$H,Insumo[[#This Row],[DESCRIPCION]],'CAP1-3'!$H:$H)</f>
        <v>0</v>
      </c>
      <c r="G715" s="69">
        <f ca="1">SUMIF('CAP4-5'!$B:$H,Insumo[[#This Row],[DESCRIPCION]],'CAP4-5'!$H:$H)</f>
        <v>0</v>
      </c>
      <c r="H715" s="69">
        <f ca="1">SUMIF('CAP6-7'!$B:$H,Insumo[[#This Row],[DESCRIPCION]],'CAP6-7'!$H:$H)</f>
        <v>0</v>
      </c>
      <c r="I715" s="69">
        <f ca="1">SUMIF('CAP8'!$B:$H,Insumo[[#This Row],[DESCRIPCION]],'CAP8'!$H:$H)</f>
        <v>0</v>
      </c>
      <c r="J715" s="69">
        <f ca="1">SUMIF('CAP9-13'!$B:$H,Insumo[[#This Row],[DESCRIPCION]],'CAP9-13'!$H:$H)</f>
        <v>0</v>
      </c>
      <c r="K715" s="69">
        <f ca="1">SUMIF('CAP14-15'!$B:$H,Insumo[[#This Row],[DESCRIPCION]],'CAP14-15'!$H:$H)</f>
        <v>0</v>
      </c>
      <c r="L715" s="69">
        <f ca="1">SUMIF('CAP16-18'!$B:$H,Insumo[[#This Row],[DESCRIPCION]],'CAP16-18'!$H:$H)</f>
        <v>0</v>
      </c>
      <c r="M715" s="69">
        <f ca="1">SUMIF('CAP19-22'!$B:$H,Insumo[[#This Row],[DESCRIPCION]],'CAP19-22'!$H:$H)</f>
        <v>0</v>
      </c>
      <c r="N715" s="69">
        <f ca="1">SUMIF('CAP23-24'!$B:$H,Insumo[[#This Row],[DESCRIPCION]],'CAP23-24'!$H:$H)</f>
        <v>0</v>
      </c>
      <c r="O715" s="69">
        <f ca="1">SUMIF('CAP25'!$B:$H,Insumo[[#This Row],[DESCRIPCION]],'CAP25'!$H:$H)</f>
        <v>0</v>
      </c>
      <c r="P715" s="69">
        <f ca="1">SUMIF('CAP26-28'!$B:$H,Insumo[[#This Row],[DESCRIPCION]],'CAP26-28'!$H:$H)</f>
        <v>0</v>
      </c>
      <c r="Q715" s="69">
        <f ca="1">SUMIF('CAP29'!$B:$H,Insumo[[#This Row],[DESCRIPCION]],'CAP29'!$H:$H)</f>
        <v>0</v>
      </c>
      <c r="R715" s="290"/>
      <c r="T715" s="136">
        <v>75950</v>
      </c>
    </row>
    <row r="716" spans="1:20" ht="12" customHeight="1">
      <c r="A716" s="301" t="s">
        <v>3329</v>
      </c>
      <c r="B716" s="303" t="s">
        <v>23</v>
      </c>
      <c r="C716" s="304">
        <f t="shared" si="11"/>
        <v>42424.200000000004</v>
      </c>
      <c r="D716" s="281" cm="1">
        <f t="array" aca="1" ref="D716" ca="1">IF(Insumo[[#This Row],[VALOR]]=0,Insumo[TOTAL],E716/C716)</f>
        <v>0</v>
      </c>
      <c r="E716" s="69">
        <f ca="1">SUM(Insumo[[#This Row],[CAP1-3]:[CAP29]])</f>
        <v>0</v>
      </c>
      <c r="F716" s="69">
        <f ca="1">SUMIF('CAP1-3'!$B:$H,Insumo[[#This Row],[DESCRIPCION]],'CAP1-3'!$H:$H)</f>
        <v>0</v>
      </c>
      <c r="G716" s="69">
        <f ca="1">SUMIF('CAP4-5'!$B:$H,Insumo[[#This Row],[DESCRIPCION]],'CAP4-5'!$H:$H)</f>
        <v>0</v>
      </c>
      <c r="H716" s="69">
        <f ca="1">SUMIF('CAP6-7'!$B:$H,Insumo[[#This Row],[DESCRIPCION]],'CAP6-7'!$H:$H)</f>
        <v>0</v>
      </c>
      <c r="I716" s="69">
        <f ca="1">SUMIF('CAP8'!$B:$H,Insumo[[#This Row],[DESCRIPCION]],'CAP8'!$H:$H)</f>
        <v>0</v>
      </c>
      <c r="J716" s="69">
        <f ca="1">SUMIF('CAP9-13'!$B:$H,Insumo[[#This Row],[DESCRIPCION]],'CAP9-13'!$H:$H)</f>
        <v>0</v>
      </c>
      <c r="K716" s="69">
        <f ca="1">SUMIF('CAP14-15'!$B:$H,Insumo[[#This Row],[DESCRIPCION]],'CAP14-15'!$H:$H)</f>
        <v>0</v>
      </c>
      <c r="L716" s="69">
        <f ca="1">SUMIF('CAP16-18'!$B:$H,Insumo[[#This Row],[DESCRIPCION]],'CAP16-18'!$H:$H)</f>
        <v>0</v>
      </c>
      <c r="M716" s="69">
        <f ca="1">SUMIF('CAP19-22'!$B:$H,Insumo[[#This Row],[DESCRIPCION]],'CAP19-22'!$H:$H)</f>
        <v>0</v>
      </c>
      <c r="N716" s="69">
        <f ca="1">SUMIF('CAP23-24'!$B:$H,Insumo[[#This Row],[DESCRIPCION]],'CAP23-24'!$H:$H)</f>
        <v>0</v>
      </c>
      <c r="O716" s="69">
        <f ca="1">SUMIF('CAP25'!$B:$H,Insumo[[#This Row],[DESCRIPCION]],'CAP25'!$H:$H)</f>
        <v>0</v>
      </c>
      <c r="P716" s="69">
        <f ca="1">SUMIF('CAP26-28'!$B:$H,Insumo[[#This Row],[DESCRIPCION]],'CAP26-28'!$H:$H)</f>
        <v>0</v>
      </c>
      <c r="Q716" s="69">
        <f ca="1">SUMIF('CAP29'!$B:$H,Insumo[[#This Row],[DESCRIPCION]],'CAP29'!$H:$H)</f>
        <v>0</v>
      </c>
      <c r="T716" s="136">
        <v>40404</v>
      </c>
    </row>
    <row r="717" spans="1:20" ht="12" customHeight="1">
      <c r="A717" s="301" t="s">
        <v>3330</v>
      </c>
      <c r="B717" s="303" t="s">
        <v>23</v>
      </c>
      <c r="C717" s="304">
        <f t="shared" si="11"/>
        <v>42000</v>
      </c>
      <c r="D717" s="281" cm="1">
        <f t="array" aca="1" ref="D717" ca="1">IF(Insumo[[#This Row],[VALOR]]=0,Insumo[TOTAL],E717/C717)</f>
        <v>0</v>
      </c>
      <c r="E717" s="69">
        <f ca="1">SUM(Insumo[[#This Row],[CAP1-3]:[CAP29]])</f>
        <v>0</v>
      </c>
      <c r="F717" s="69">
        <f ca="1">SUMIF('CAP1-3'!$B:$H,Insumo[[#This Row],[DESCRIPCION]],'CAP1-3'!$H:$H)</f>
        <v>0</v>
      </c>
      <c r="G717" s="69">
        <f ca="1">SUMIF('CAP4-5'!$B:$H,Insumo[[#This Row],[DESCRIPCION]],'CAP4-5'!$H:$H)</f>
        <v>0</v>
      </c>
      <c r="H717" s="69">
        <f ca="1">SUMIF('CAP6-7'!$B:$H,Insumo[[#This Row],[DESCRIPCION]],'CAP6-7'!$H:$H)</f>
        <v>0</v>
      </c>
      <c r="I717" s="69">
        <f ca="1">SUMIF('CAP8'!$B:$H,Insumo[[#This Row],[DESCRIPCION]],'CAP8'!$H:$H)</f>
        <v>0</v>
      </c>
      <c r="J717" s="69">
        <f ca="1">SUMIF('CAP9-13'!$B:$H,Insumo[[#This Row],[DESCRIPCION]],'CAP9-13'!$H:$H)</f>
        <v>0</v>
      </c>
      <c r="K717" s="69">
        <f ca="1">SUMIF('CAP14-15'!$B:$H,Insumo[[#This Row],[DESCRIPCION]],'CAP14-15'!$H:$H)</f>
        <v>0</v>
      </c>
      <c r="L717" s="69">
        <f ca="1">SUMIF('CAP16-18'!$B:$H,Insumo[[#This Row],[DESCRIPCION]],'CAP16-18'!$H:$H)</f>
        <v>0</v>
      </c>
      <c r="M717" s="69">
        <f ca="1">SUMIF('CAP19-22'!$B:$H,Insumo[[#This Row],[DESCRIPCION]],'CAP19-22'!$H:$H)</f>
        <v>0</v>
      </c>
      <c r="N717" s="69">
        <f ca="1">SUMIF('CAP23-24'!$B:$H,Insumo[[#This Row],[DESCRIPCION]],'CAP23-24'!$H:$H)</f>
        <v>0</v>
      </c>
      <c r="O717" s="69">
        <f ca="1">SUMIF('CAP25'!$B:$H,Insumo[[#This Row],[DESCRIPCION]],'CAP25'!$H:$H)</f>
        <v>0</v>
      </c>
      <c r="P717" s="69">
        <f ca="1">SUMIF('CAP26-28'!$B:$H,Insumo[[#This Row],[DESCRIPCION]],'CAP26-28'!$H:$H)</f>
        <v>0</v>
      </c>
      <c r="Q717" s="69">
        <f ca="1">SUMIF('CAP29'!$B:$H,Insumo[[#This Row],[DESCRIPCION]],'CAP29'!$H:$H)</f>
        <v>0</v>
      </c>
      <c r="R717" s="290"/>
      <c r="T717" s="136">
        <v>40000</v>
      </c>
    </row>
    <row r="718" spans="1:20" ht="12" customHeight="1">
      <c r="A718" s="301" t="s">
        <v>3331</v>
      </c>
      <c r="B718" s="303" t="s">
        <v>23</v>
      </c>
      <c r="C718" s="304">
        <f t="shared" si="11"/>
        <v>81837</v>
      </c>
      <c r="D718" s="281" cm="1">
        <f t="array" aca="1" ref="D718" ca="1">IF(Insumo[[#This Row],[VALOR]]=0,Insumo[TOTAL],E718/C718)</f>
        <v>0</v>
      </c>
      <c r="E718" s="69">
        <f ca="1">SUM(Insumo[[#This Row],[CAP1-3]:[CAP29]])</f>
        <v>0</v>
      </c>
      <c r="F718" s="69">
        <f ca="1">SUMIF('CAP1-3'!$B:$H,Insumo[[#This Row],[DESCRIPCION]],'CAP1-3'!$H:$H)</f>
        <v>0</v>
      </c>
      <c r="G718" s="69">
        <f ca="1">SUMIF('CAP4-5'!$B:$H,Insumo[[#This Row],[DESCRIPCION]],'CAP4-5'!$H:$H)</f>
        <v>0</v>
      </c>
      <c r="H718" s="69">
        <f ca="1">SUMIF('CAP6-7'!$B:$H,Insumo[[#This Row],[DESCRIPCION]],'CAP6-7'!$H:$H)</f>
        <v>0</v>
      </c>
      <c r="I718" s="69">
        <f ca="1">SUMIF('CAP8'!$B:$H,Insumo[[#This Row],[DESCRIPCION]],'CAP8'!$H:$H)</f>
        <v>0</v>
      </c>
      <c r="J718" s="69">
        <f ca="1">SUMIF('CAP9-13'!$B:$H,Insumo[[#This Row],[DESCRIPCION]],'CAP9-13'!$H:$H)</f>
        <v>0</v>
      </c>
      <c r="K718" s="69">
        <f ca="1">SUMIF('CAP14-15'!$B:$H,Insumo[[#This Row],[DESCRIPCION]],'CAP14-15'!$H:$H)</f>
        <v>0</v>
      </c>
      <c r="L718" s="69">
        <f ca="1">SUMIF('CAP16-18'!$B:$H,Insumo[[#This Row],[DESCRIPCION]],'CAP16-18'!$H:$H)</f>
        <v>0</v>
      </c>
      <c r="M718" s="69">
        <f ca="1">SUMIF('CAP19-22'!$B:$H,Insumo[[#This Row],[DESCRIPCION]],'CAP19-22'!$H:$H)</f>
        <v>0</v>
      </c>
      <c r="N718" s="69">
        <f ca="1">SUMIF('CAP23-24'!$B:$H,Insumo[[#This Row],[DESCRIPCION]],'CAP23-24'!$H:$H)</f>
        <v>0</v>
      </c>
      <c r="O718" s="69">
        <f ca="1">SUMIF('CAP25'!$B:$H,Insumo[[#This Row],[DESCRIPCION]],'CAP25'!$H:$H)</f>
        <v>0</v>
      </c>
      <c r="P718" s="69">
        <f ca="1">SUMIF('CAP26-28'!$B:$H,Insumo[[#This Row],[DESCRIPCION]],'CAP26-28'!$H:$H)</f>
        <v>0</v>
      </c>
      <c r="Q718" s="69">
        <f ca="1">SUMIF('CAP29'!$B:$H,Insumo[[#This Row],[DESCRIPCION]],'CAP29'!$H:$H)</f>
        <v>0</v>
      </c>
      <c r="T718" s="136">
        <v>77940</v>
      </c>
    </row>
    <row r="719" spans="1:20" ht="12" customHeight="1">
      <c r="A719" s="301" t="s">
        <v>3332</v>
      </c>
      <c r="B719" s="303" t="s">
        <v>23</v>
      </c>
      <c r="C719" s="304">
        <f t="shared" si="11"/>
        <v>67061.400000000009</v>
      </c>
      <c r="D719" s="281" cm="1">
        <f t="array" aca="1" ref="D719" ca="1">IF(Insumo[[#This Row],[VALOR]]=0,Insumo[TOTAL],E719/C719)</f>
        <v>0</v>
      </c>
      <c r="E719" s="69">
        <f ca="1">SUM(Insumo[[#This Row],[CAP1-3]:[CAP29]])</f>
        <v>0</v>
      </c>
      <c r="F719" s="69">
        <f ca="1">SUMIF('CAP1-3'!$B:$H,Insumo[[#This Row],[DESCRIPCION]],'CAP1-3'!$H:$H)</f>
        <v>0</v>
      </c>
      <c r="G719" s="69">
        <f ca="1">SUMIF('CAP4-5'!$B:$H,Insumo[[#This Row],[DESCRIPCION]],'CAP4-5'!$H:$H)</f>
        <v>0</v>
      </c>
      <c r="H719" s="69">
        <f ca="1">SUMIF('CAP6-7'!$B:$H,Insumo[[#This Row],[DESCRIPCION]],'CAP6-7'!$H:$H)</f>
        <v>0</v>
      </c>
      <c r="I719" s="69">
        <f ca="1">SUMIF('CAP8'!$B:$H,Insumo[[#This Row],[DESCRIPCION]],'CAP8'!$H:$H)</f>
        <v>0</v>
      </c>
      <c r="J719" s="69">
        <f ca="1">SUMIF('CAP9-13'!$B:$H,Insumo[[#This Row],[DESCRIPCION]],'CAP9-13'!$H:$H)</f>
        <v>0</v>
      </c>
      <c r="K719" s="69">
        <f ca="1">SUMIF('CAP14-15'!$B:$H,Insumo[[#This Row],[DESCRIPCION]],'CAP14-15'!$H:$H)</f>
        <v>0</v>
      </c>
      <c r="L719" s="69">
        <f ca="1">SUMIF('CAP16-18'!$B:$H,Insumo[[#This Row],[DESCRIPCION]],'CAP16-18'!$H:$H)</f>
        <v>0</v>
      </c>
      <c r="M719" s="69">
        <f ca="1">SUMIF('CAP19-22'!$B:$H,Insumo[[#This Row],[DESCRIPCION]],'CAP19-22'!$H:$H)</f>
        <v>0</v>
      </c>
      <c r="N719" s="69">
        <f ca="1">SUMIF('CAP23-24'!$B:$H,Insumo[[#This Row],[DESCRIPCION]],'CAP23-24'!$H:$H)</f>
        <v>0</v>
      </c>
      <c r="O719" s="69">
        <f ca="1">SUMIF('CAP25'!$B:$H,Insumo[[#This Row],[DESCRIPCION]],'CAP25'!$H:$H)</f>
        <v>0</v>
      </c>
      <c r="P719" s="69">
        <f ca="1">SUMIF('CAP26-28'!$B:$H,Insumo[[#This Row],[DESCRIPCION]],'CAP26-28'!$H:$H)</f>
        <v>0</v>
      </c>
      <c r="Q719" s="69">
        <f ca="1">SUMIF('CAP29'!$B:$H,Insumo[[#This Row],[DESCRIPCION]],'CAP29'!$H:$H)</f>
        <v>0</v>
      </c>
      <c r="T719" s="136">
        <v>63868</v>
      </c>
    </row>
    <row r="720" spans="1:20" ht="12" customHeight="1">
      <c r="A720" s="301" t="s">
        <v>3333</v>
      </c>
      <c r="B720" s="303" t="s">
        <v>23</v>
      </c>
      <c r="C720" s="304">
        <f t="shared" si="11"/>
        <v>54558</v>
      </c>
      <c r="D720" s="281" cm="1">
        <f t="array" aca="1" ref="D720" ca="1">IF(Insumo[[#This Row],[VALOR]]=0,Insumo[TOTAL],E720/C720)</f>
        <v>0</v>
      </c>
      <c r="E720" s="69">
        <f ca="1">SUM(Insumo[[#This Row],[CAP1-3]:[CAP29]])</f>
        <v>0</v>
      </c>
      <c r="F720" s="69">
        <f ca="1">SUMIF('CAP1-3'!$B:$H,Insumo[[#This Row],[DESCRIPCION]],'CAP1-3'!$H:$H)</f>
        <v>0</v>
      </c>
      <c r="G720" s="69">
        <f ca="1">SUMIF('CAP4-5'!$B:$H,Insumo[[#This Row],[DESCRIPCION]],'CAP4-5'!$H:$H)</f>
        <v>0</v>
      </c>
      <c r="H720" s="69">
        <f ca="1">SUMIF('CAP6-7'!$B:$H,Insumo[[#This Row],[DESCRIPCION]],'CAP6-7'!$H:$H)</f>
        <v>0</v>
      </c>
      <c r="I720" s="69">
        <f ca="1">SUMIF('CAP8'!$B:$H,Insumo[[#This Row],[DESCRIPCION]],'CAP8'!$H:$H)</f>
        <v>0</v>
      </c>
      <c r="J720" s="69">
        <f ca="1">SUMIF('CAP9-13'!$B:$H,Insumo[[#This Row],[DESCRIPCION]],'CAP9-13'!$H:$H)</f>
        <v>0</v>
      </c>
      <c r="K720" s="69">
        <f ca="1">SUMIF('CAP14-15'!$B:$H,Insumo[[#This Row],[DESCRIPCION]],'CAP14-15'!$H:$H)</f>
        <v>0</v>
      </c>
      <c r="L720" s="69">
        <f ca="1">SUMIF('CAP16-18'!$B:$H,Insumo[[#This Row],[DESCRIPCION]],'CAP16-18'!$H:$H)</f>
        <v>0</v>
      </c>
      <c r="M720" s="69">
        <f ca="1">SUMIF('CAP19-22'!$B:$H,Insumo[[#This Row],[DESCRIPCION]],'CAP19-22'!$H:$H)</f>
        <v>0</v>
      </c>
      <c r="N720" s="69">
        <f ca="1">SUMIF('CAP23-24'!$B:$H,Insumo[[#This Row],[DESCRIPCION]],'CAP23-24'!$H:$H)</f>
        <v>0</v>
      </c>
      <c r="O720" s="69">
        <f ca="1">SUMIF('CAP25'!$B:$H,Insumo[[#This Row],[DESCRIPCION]],'CAP25'!$H:$H)</f>
        <v>0</v>
      </c>
      <c r="P720" s="69">
        <f ca="1">SUMIF('CAP26-28'!$B:$H,Insumo[[#This Row],[DESCRIPCION]],'CAP26-28'!$H:$H)</f>
        <v>0</v>
      </c>
      <c r="Q720" s="69">
        <f ca="1">SUMIF('CAP29'!$B:$H,Insumo[[#This Row],[DESCRIPCION]],'CAP29'!$H:$H)</f>
        <v>0</v>
      </c>
      <c r="T720" s="136">
        <v>51960</v>
      </c>
    </row>
    <row r="721" spans="1:20" ht="12" customHeight="1">
      <c r="A721" s="301" t="s">
        <v>3334</v>
      </c>
      <c r="B721" s="303" t="s">
        <v>23</v>
      </c>
      <c r="C721" s="304">
        <f t="shared" si="11"/>
        <v>173904.15</v>
      </c>
      <c r="D721" s="281" cm="1">
        <f t="array" aca="1" ref="D721" ca="1">IF(Insumo[[#This Row],[VALOR]]=0,Insumo[TOTAL],E721/C721)</f>
        <v>0</v>
      </c>
      <c r="E721" s="69">
        <f ca="1">SUM(Insumo[[#This Row],[CAP1-3]:[CAP29]])</f>
        <v>0</v>
      </c>
      <c r="F721" s="69">
        <f ca="1">SUMIF('CAP1-3'!$B:$H,Insumo[[#This Row],[DESCRIPCION]],'CAP1-3'!$H:$H)</f>
        <v>0</v>
      </c>
      <c r="G721" s="69">
        <f ca="1">SUMIF('CAP4-5'!$B:$H,Insumo[[#This Row],[DESCRIPCION]],'CAP4-5'!$H:$H)</f>
        <v>0</v>
      </c>
      <c r="H721" s="69">
        <f ca="1">SUMIF('CAP6-7'!$B:$H,Insumo[[#This Row],[DESCRIPCION]],'CAP6-7'!$H:$H)</f>
        <v>0</v>
      </c>
      <c r="I721" s="69">
        <f ca="1">SUMIF('CAP8'!$B:$H,Insumo[[#This Row],[DESCRIPCION]],'CAP8'!$H:$H)</f>
        <v>0</v>
      </c>
      <c r="J721" s="69">
        <f ca="1">SUMIF('CAP9-13'!$B:$H,Insumo[[#This Row],[DESCRIPCION]],'CAP9-13'!$H:$H)</f>
        <v>0</v>
      </c>
      <c r="K721" s="69">
        <f ca="1">SUMIF('CAP14-15'!$B:$H,Insumo[[#This Row],[DESCRIPCION]],'CAP14-15'!$H:$H)</f>
        <v>0</v>
      </c>
      <c r="L721" s="69">
        <f ca="1">SUMIF('CAP16-18'!$B:$H,Insumo[[#This Row],[DESCRIPCION]],'CAP16-18'!$H:$H)</f>
        <v>0</v>
      </c>
      <c r="M721" s="69">
        <f ca="1">SUMIF('CAP19-22'!$B:$H,Insumo[[#This Row],[DESCRIPCION]],'CAP19-22'!$H:$H)</f>
        <v>0</v>
      </c>
      <c r="N721" s="69">
        <f ca="1">SUMIF('CAP23-24'!$B:$H,Insumo[[#This Row],[DESCRIPCION]],'CAP23-24'!$H:$H)</f>
        <v>0</v>
      </c>
      <c r="O721" s="69">
        <f ca="1">SUMIF('CAP25'!$B:$H,Insumo[[#This Row],[DESCRIPCION]],'CAP25'!$H:$H)</f>
        <v>0</v>
      </c>
      <c r="P721" s="69">
        <f ca="1">SUMIF('CAP26-28'!$B:$H,Insumo[[#This Row],[DESCRIPCION]],'CAP26-28'!$H:$H)</f>
        <v>0</v>
      </c>
      <c r="Q721" s="69">
        <f ca="1">SUMIF('CAP29'!$B:$H,Insumo[[#This Row],[DESCRIPCION]],'CAP29'!$H:$H)</f>
        <v>0</v>
      </c>
      <c r="T721" s="136">
        <v>165623</v>
      </c>
    </row>
    <row r="722" spans="1:20" ht="12" customHeight="1">
      <c r="A722" s="301" t="s">
        <v>3335</v>
      </c>
      <c r="B722" s="303" t="s">
        <v>23</v>
      </c>
      <c r="C722" s="304">
        <f t="shared" si="11"/>
        <v>167084.4</v>
      </c>
      <c r="D722" s="281" cm="1">
        <f t="array" aca="1" ref="D722" ca="1">IF(Insumo[[#This Row],[VALOR]]=0,Insumo[TOTAL],E722/C722)</f>
        <v>0</v>
      </c>
      <c r="E722" s="69">
        <f ca="1">SUM(Insumo[[#This Row],[CAP1-3]:[CAP29]])</f>
        <v>0</v>
      </c>
      <c r="F722" s="69">
        <f ca="1">SUMIF('CAP1-3'!$B:$H,Insumo[[#This Row],[DESCRIPCION]],'CAP1-3'!$H:$H)</f>
        <v>0</v>
      </c>
      <c r="G722" s="69">
        <f ca="1">SUMIF('CAP4-5'!$B:$H,Insumo[[#This Row],[DESCRIPCION]],'CAP4-5'!$H:$H)</f>
        <v>0</v>
      </c>
      <c r="H722" s="69">
        <f ca="1">SUMIF('CAP6-7'!$B:$H,Insumo[[#This Row],[DESCRIPCION]],'CAP6-7'!$H:$H)</f>
        <v>0</v>
      </c>
      <c r="I722" s="69">
        <f ca="1">SUMIF('CAP8'!$B:$H,Insumo[[#This Row],[DESCRIPCION]],'CAP8'!$H:$H)</f>
        <v>0</v>
      </c>
      <c r="J722" s="69">
        <f ca="1">SUMIF('CAP9-13'!$B:$H,Insumo[[#This Row],[DESCRIPCION]],'CAP9-13'!$H:$H)</f>
        <v>0</v>
      </c>
      <c r="K722" s="69">
        <f ca="1">SUMIF('CAP14-15'!$B:$H,Insumo[[#This Row],[DESCRIPCION]],'CAP14-15'!$H:$H)</f>
        <v>0</v>
      </c>
      <c r="L722" s="69">
        <f ca="1">SUMIF('CAP16-18'!$B:$H,Insumo[[#This Row],[DESCRIPCION]],'CAP16-18'!$H:$H)</f>
        <v>0</v>
      </c>
      <c r="M722" s="69">
        <f ca="1">SUMIF('CAP19-22'!$B:$H,Insumo[[#This Row],[DESCRIPCION]],'CAP19-22'!$H:$H)</f>
        <v>0</v>
      </c>
      <c r="N722" s="69">
        <f ca="1">SUMIF('CAP23-24'!$B:$H,Insumo[[#This Row],[DESCRIPCION]],'CAP23-24'!$H:$H)</f>
        <v>0</v>
      </c>
      <c r="O722" s="69">
        <f ca="1">SUMIF('CAP25'!$B:$H,Insumo[[#This Row],[DESCRIPCION]],'CAP25'!$H:$H)</f>
        <v>0</v>
      </c>
      <c r="P722" s="69">
        <f ca="1">SUMIF('CAP26-28'!$B:$H,Insumo[[#This Row],[DESCRIPCION]],'CAP26-28'!$H:$H)</f>
        <v>0</v>
      </c>
      <c r="Q722" s="69">
        <f ca="1">SUMIF('CAP29'!$B:$H,Insumo[[#This Row],[DESCRIPCION]],'CAP29'!$H:$H)</f>
        <v>0</v>
      </c>
      <c r="T722" s="136">
        <v>159128</v>
      </c>
    </row>
    <row r="723" spans="1:20" ht="12" customHeight="1">
      <c r="A723" s="301" t="s">
        <v>3336</v>
      </c>
      <c r="B723" s="303" t="s">
        <v>20</v>
      </c>
      <c r="C723" s="304">
        <f t="shared" si="11"/>
        <v>13933.5</v>
      </c>
      <c r="D723" s="281" cm="1">
        <f t="array" aca="1" ref="D723" ca="1">IF(Insumo[[#This Row],[VALOR]]=0,Insumo[TOTAL],E723/C723)</f>
        <v>0</v>
      </c>
      <c r="E723" s="69">
        <f ca="1">SUM(Insumo[[#This Row],[CAP1-3]:[CAP29]])</f>
        <v>0</v>
      </c>
      <c r="F723" s="69">
        <f ca="1">SUMIF('CAP1-3'!$B:$H,Insumo[[#This Row],[DESCRIPCION]],'CAP1-3'!$H:$H)</f>
        <v>0</v>
      </c>
      <c r="G723" s="69">
        <f ca="1">SUMIF('CAP4-5'!$B:$H,Insumo[[#This Row],[DESCRIPCION]],'CAP4-5'!$H:$H)</f>
        <v>0</v>
      </c>
      <c r="H723" s="69">
        <f ca="1">SUMIF('CAP6-7'!$B:$H,Insumo[[#This Row],[DESCRIPCION]],'CAP6-7'!$H:$H)</f>
        <v>0</v>
      </c>
      <c r="I723" s="69">
        <f ca="1">SUMIF('CAP8'!$B:$H,Insumo[[#This Row],[DESCRIPCION]],'CAP8'!$H:$H)</f>
        <v>0</v>
      </c>
      <c r="J723" s="69">
        <f ca="1">SUMIF('CAP9-13'!$B:$H,Insumo[[#This Row],[DESCRIPCION]],'CAP9-13'!$H:$H)</f>
        <v>0</v>
      </c>
      <c r="K723" s="69">
        <f ca="1">SUMIF('CAP14-15'!$B:$H,Insumo[[#This Row],[DESCRIPCION]],'CAP14-15'!$H:$H)</f>
        <v>0</v>
      </c>
      <c r="L723" s="69">
        <f ca="1">SUMIF('CAP16-18'!$B:$H,Insumo[[#This Row],[DESCRIPCION]],'CAP16-18'!$H:$H)</f>
        <v>0</v>
      </c>
      <c r="M723" s="69">
        <f ca="1">SUMIF('CAP19-22'!$B:$H,Insumo[[#This Row],[DESCRIPCION]],'CAP19-22'!$H:$H)</f>
        <v>0</v>
      </c>
      <c r="N723" s="69">
        <f ca="1">SUMIF('CAP23-24'!$B:$H,Insumo[[#This Row],[DESCRIPCION]],'CAP23-24'!$H:$H)</f>
        <v>0</v>
      </c>
      <c r="O723" s="69">
        <f ca="1">SUMIF('CAP25'!$B:$H,Insumo[[#This Row],[DESCRIPCION]],'CAP25'!$H:$H)</f>
        <v>0</v>
      </c>
      <c r="P723" s="69">
        <f ca="1">SUMIF('CAP26-28'!$B:$H,Insumo[[#This Row],[DESCRIPCION]],'CAP26-28'!$H:$H)</f>
        <v>0</v>
      </c>
      <c r="Q723" s="69">
        <f ca="1">SUMIF('CAP29'!$B:$H,Insumo[[#This Row],[DESCRIPCION]],'CAP29'!$H:$H)</f>
        <v>0</v>
      </c>
      <c r="T723" s="136">
        <v>13270</v>
      </c>
    </row>
    <row r="724" spans="1:20" ht="12" customHeight="1">
      <c r="A724" s="301" t="s">
        <v>3337</v>
      </c>
      <c r="B724" s="303" t="s">
        <v>23</v>
      </c>
      <c r="C724" s="304">
        <f t="shared" si="11"/>
        <v>12350.1</v>
      </c>
      <c r="D724" s="281" cm="1">
        <f t="array" aca="1" ref="D724" ca="1">IF(Insumo[[#This Row],[VALOR]]=0,Insumo[TOTAL],E724/C724)</f>
        <v>0</v>
      </c>
      <c r="E724" s="69">
        <f ca="1">SUM(Insumo[[#This Row],[CAP1-3]:[CAP29]])</f>
        <v>0</v>
      </c>
      <c r="F724" s="69">
        <f ca="1">SUMIF('CAP1-3'!$B:$H,Insumo[[#This Row],[DESCRIPCION]],'CAP1-3'!$H:$H)</f>
        <v>0</v>
      </c>
      <c r="G724" s="69">
        <f ca="1">SUMIF('CAP4-5'!$B:$H,Insumo[[#This Row],[DESCRIPCION]],'CAP4-5'!$H:$H)</f>
        <v>0</v>
      </c>
      <c r="H724" s="69">
        <f ca="1">SUMIF('CAP6-7'!$B:$H,Insumo[[#This Row],[DESCRIPCION]],'CAP6-7'!$H:$H)</f>
        <v>0</v>
      </c>
      <c r="I724" s="69">
        <f ca="1">SUMIF('CAP8'!$B:$H,Insumo[[#This Row],[DESCRIPCION]],'CAP8'!$H:$H)</f>
        <v>0</v>
      </c>
      <c r="J724" s="69">
        <f ca="1">SUMIF('CAP9-13'!$B:$H,Insumo[[#This Row],[DESCRIPCION]],'CAP9-13'!$H:$H)</f>
        <v>0</v>
      </c>
      <c r="K724" s="69">
        <f ca="1">SUMIF('CAP14-15'!$B:$H,Insumo[[#This Row],[DESCRIPCION]],'CAP14-15'!$H:$H)</f>
        <v>0</v>
      </c>
      <c r="L724" s="69">
        <f ca="1">SUMIF('CAP16-18'!$B:$H,Insumo[[#This Row],[DESCRIPCION]],'CAP16-18'!$H:$H)</f>
        <v>0</v>
      </c>
      <c r="M724" s="69">
        <f ca="1">SUMIF('CAP19-22'!$B:$H,Insumo[[#This Row],[DESCRIPCION]],'CAP19-22'!$H:$H)</f>
        <v>0</v>
      </c>
      <c r="N724" s="69">
        <f ca="1">SUMIF('CAP23-24'!$B:$H,Insumo[[#This Row],[DESCRIPCION]],'CAP23-24'!$H:$H)</f>
        <v>0</v>
      </c>
      <c r="O724" s="69">
        <f ca="1">SUMIF('CAP25'!$B:$H,Insumo[[#This Row],[DESCRIPCION]],'CAP25'!$H:$H)</f>
        <v>0</v>
      </c>
      <c r="P724" s="69">
        <f ca="1">SUMIF('CAP26-28'!$B:$H,Insumo[[#This Row],[DESCRIPCION]],'CAP26-28'!$H:$H)</f>
        <v>0</v>
      </c>
      <c r="Q724" s="69">
        <f ca="1">SUMIF('CAP29'!$B:$H,Insumo[[#This Row],[DESCRIPCION]],'CAP29'!$H:$H)</f>
        <v>0</v>
      </c>
      <c r="T724" s="136">
        <v>11762</v>
      </c>
    </row>
    <row r="725" spans="1:20" ht="12" customHeight="1">
      <c r="A725" s="301" t="s">
        <v>3338</v>
      </c>
      <c r="B725" s="303" t="s">
        <v>30</v>
      </c>
      <c r="C725" s="304">
        <f t="shared" si="11"/>
        <v>8047.2000000000007</v>
      </c>
      <c r="D725" s="281" cm="1">
        <f t="array" aca="1" ref="D725" ca="1">IF(Insumo[[#This Row],[VALOR]]=0,Insumo[TOTAL],E725/C725)</f>
        <v>0</v>
      </c>
      <c r="E725" s="69">
        <f ca="1">SUM(Insumo[[#This Row],[CAP1-3]:[CAP29]])</f>
        <v>0</v>
      </c>
      <c r="F725" s="286">
        <f ca="1">SUMIF('CAP1-3'!$B:$H,Insumo[[#This Row],[DESCRIPCION]],'CAP1-3'!$H:$H)</f>
        <v>0</v>
      </c>
      <c r="G725" s="286">
        <f ca="1">SUMIF('CAP4-5'!$B:$H,Insumo[[#This Row],[DESCRIPCION]],'CAP4-5'!$H:$H)</f>
        <v>0</v>
      </c>
      <c r="H725" s="286">
        <f ca="1">SUMIF('CAP6-7'!$B:$H,Insumo[[#This Row],[DESCRIPCION]],'CAP6-7'!$H:$H)</f>
        <v>0</v>
      </c>
      <c r="I725" s="286">
        <f ca="1">SUMIF('CAP8'!$B:$H,Insumo[[#This Row],[DESCRIPCION]],'CAP8'!$H:$H)</f>
        <v>0</v>
      </c>
      <c r="J725" s="286">
        <f ca="1">SUMIF('CAP9-13'!$B:$H,Insumo[[#This Row],[DESCRIPCION]],'CAP9-13'!$H:$H)</f>
        <v>0</v>
      </c>
      <c r="K725" s="286">
        <f ca="1">SUMIF('CAP14-15'!$B:$H,Insumo[[#This Row],[DESCRIPCION]],'CAP14-15'!$H:$H)</f>
        <v>0</v>
      </c>
      <c r="L725" s="286">
        <f ca="1">SUMIF('CAP16-18'!$B:$H,Insumo[[#This Row],[DESCRIPCION]],'CAP16-18'!$H:$H)</f>
        <v>0</v>
      </c>
      <c r="M725" s="286">
        <f ca="1">SUMIF('CAP19-22'!$B:$H,Insumo[[#This Row],[DESCRIPCION]],'CAP19-22'!$H:$H)</f>
        <v>0</v>
      </c>
      <c r="N725" s="286">
        <f ca="1">SUMIF('CAP23-24'!$B:$H,Insumo[[#This Row],[DESCRIPCION]],'CAP23-24'!$H:$H)</f>
        <v>0</v>
      </c>
      <c r="O725" s="286">
        <f ca="1">SUMIF('CAP25'!$B:$H,Insumo[[#This Row],[DESCRIPCION]],'CAP25'!$H:$H)</f>
        <v>0</v>
      </c>
      <c r="P725" s="286">
        <f ca="1">SUMIF('CAP26-28'!$B:$H,Insumo[[#This Row],[DESCRIPCION]],'CAP26-28'!$H:$H)</f>
        <v>0</v>
      </c>
      <c r="Q725" s="286">
        <f ca="1">SUMIF('CAP29'!$B:$H,Insumo[[#This Row],[DESCRIPCION]],'CAP29'!$H:$H)</f>
        <v>0</v>
      </c>
      <c r="T725" s="136">
        <v>7664</v>
      </c>
    </row>
    <row r="726" spans="1:20" ht="12" customHeight="1">
      <c r="A726" s="301" t="s">
        <v>3339</v>
      </c>
      <c r="B726" s="303" t="s">
        <v>23</v>
      </c>
      <c r="C726" s="304">
        <f t="shared" si="11"/>
        <v>60608.100000000006</v>
      </c>
      <c r="D726" s="281" cm="1">
        <f t="array" aca="1" ref="D726" ca="1">IF(Insumo[[#This Row],[VALOR]]=0,Insumo[TOTAL],E726/C726)</f>
        <v>0</v>
      </c>
      <c r="E726" s="69">
        <f ca="1">SUM(Insumo[[#This Row],[CAP1-3]:[CAP29]])</f>
        <v>0</v>
      </c>
      <c r="F726" s="69">
        <f ca="1">SUMIF('CAP1-3'!$B:$H,Insumo[[#This Row],[DESCRIPCION]],'CAP1-3'!$H:$H)</f>
        <v>0</v>
      </c>
      <c r="G726" s="69">
        <f ca="1">SUMIF('CAP4-5'!$B:$H,Insumo[[#This Row],[DESCRIPCION]],'CAP4-5'!$H:$H)</f>
        <v>0</v>
      </c>
      <c r="H726" s="69">
        <f ca="1">SUMIF('CAP6-7'!$B:$H,Insumo[[#This Row],[DESCRIPCION]],'CAP6-7'!$H:$H)</f>
        <v>0</v>
      </c>
      <c r="I726" s="69">
        <f ca="1">SUMIF('CAP8'!$B:$H,Insumo[[#This Row],[DESCRIPCION]],'CAP8'!$H:$H)</f>
        <v>0</v>
      </c>
      <c r="J726" s="69">
        <f ca="1">SUMIF('CAP9-13'!$B:$H,Insumo[[#This Row],[DESCRIPCION]],'CAP9-13'!$H:$H)</f>
        <v>0</v>
      </c>
      <c r="K726" s="69">
        <f ca="1">SUMIF('CAP14-15'!$B:$H,Insumo[[#This Row],[DESCRIPCION]],'CAP14-15'!$H:$H)</f>
        <v>0</v>
      </c>
      <c r="L726" s="69">
        <f ca="1">SUMIF('CAP16-18'!$B:$H,Insumo[[#This Row],[DESCRIPCION]],'CAP16-18'!$H:$H)</f>
        <v>0</v>
      </c>
      <c r="M726" s="69">
        <f ca="1">SUMIF('CAP19-22'!$B:$H,Insumo[[#This Row],[DESCRIPCION]],'CAP19-22'!$H:$H)</f>
        <v>0</v>
      </c>
      <c r="N726" s="69">
        <f ca="1">SUMIF('CAP23-24'!$B:$H,Insumo[[#This Row],[DESCRIPCION]],'CAP23-24'!$H:$H)</f>
        <v>0</v>
      </c>
      <c r="O726" s="69">
        <f ca="1">SUMIF('CAP25'!$B:$H,Insumo[[#This Row],[DESCRIPCION]],'CAP25'!$H:$H)</f>
        <v>0</v>
      </c>
      <c r="P726" s="69">
        <f ca="1">SUMIF('CAP26-28'!$B:$H,Insumo[[#This Row],[DESCRIPCION]],'CAP26-28'!$H:$H)</f>
        <v>0</v>
      </c>
      <c r="Q726" s="69">
        <f ca="1">SUMIF('CAP29'!$B:$H,Insumo[[#This Row],[DESCRIPCION]],'CAP29'!$H:$H)</f>
        <v>0</v>
      </c>
      <c r="R726" s="290"/>
      <c r="T726" s="136">
        <v>57722</v>
      </c>
    </row>
    <row r="727" spans="1:20" ht="12" customHeight="1">
      <c r="A727" s="301" t="s">
        <v>3340</v>
      </c>
      <c r="B727" s="303" t="s">
        <v>23</v>
      </c>
      <c r="C727" s="304">
        <f t="shared" si="11"/>
        <v>83734.875</v>
      </c>
      <c r="D727" s="281" cm="1">
        <f t="array" aca="1" ref="D727" ca="1">IF(Insumo[[#This Row],[VALOR]]=0,Insumo[TOTAL],E727/C727)</f>
        <v>0</v>
      </c>
      <c r="E727" s="69">
        <f ca="1">SUM(Insumo[[#This Row],[CAP1-3]:[CAP29]])</f>
        <v>0</v>
      </c>
      <c r="F727" s="69">
        <f ca="1">SUMIF('CAP1-3'!$B:$H,Insumo[[#This Row],[DESCRIPCION]],'CAP1-3'!$H:$H)</f>
        <v>0</v>
      </c>
      <c r="G727" s="69">
        <f ca="1">SUMIF('CAP4-5'!$B:$H,Insumo[[#This Row],[DESCRIPCION]],'CAP4-5'!$H:$H)</f>
        <v>0</v>
      </c>
      <c r="H727" s="69">
        <f ca="1">SUMIF('CAP6-7'!$B:$H,Insumo[[#This Row],[DESCRIPCION]],'CAP6-7'!$H:$H)</f>
        <v>0</v>
      </c>
      <c r="I727" s="69">
        <f ca="1">SUMIF('CAP8'!$B:$H,Insumo[[#This Row],[DESCRIPCION]],'CAP8'!$H:$H)</f>
        <v>0</v>
      </c>
      <c r="J727" s="69">
        <f ca="1">SUMIF('CAP9-13'!$B:$H,Insumo[[#This Row],[DESCRIPCION]],'CAP9-13'!$H:$H)</f>
        <v>0</v>
      </c>
      <c r="K727" s="69">
        <f ca="1">SUMIF('CAP14-15'!$B:$H,Insumo[[#This Row],[DESCRIPCION]],'CAP14-15'!$H:$H)</f>
        <v>0</v>
      </c>
      <c r="L727" s="69">
        <f ca="1">SUMIF('CAP16-18'!$B:$H,Insumo[[#This Row],[DESCRIPCION]],'CAP16-18'!$H:$H)</f>
        <v>0</v>
      </c>
      <c r="M727" s="69">
        <f ca="1">SUMIF('CAP19-22'!$B:$H,Insumo[[#This Row],[DESCRIPCION]],'CAP19-22'!$H:$H)</f>
        <v>0</v>
      </c>
      <c r="N727" s="69">
        <f ca="1">SUMIF('CAP23-24'!$B:$H,Insumo[[#This Row],[DESCRIPCION]],'CAP23-24'!$H:$H)</f>
        <v>0</v>
      </c>
      <c r="O727" s="69">
        <f ca="1">SUMIF('CAP25'!$B:$H,Insumo[[#This Row],[DESCRIPCION]],'CAP25'!$H:$H)</f>
        <v>0</v>
      </c>
      <c r="P727" s="69">
        <f ca="1">SUMIF('CAP26-28'!$B:$H,Insumo[[#This Row],[DESCRIPCION]],'CAP26-28'!$H:$H)</f>
        <v>0</v>
      </c>
      <c r="Q727" s="69">
        <f ca="1">SUMIF('CAP29'!$B:$H,Insumo[[#This Row],[DESCRIPCION]],'CAP29'!$H:$H)</f>
        <v>0</v>
      </c>
      <c r="R727" s="290"/>
      <c r="T727" s="136">
        <v>79747.5</v>
      </c>
    </row>
    <row r="728" spans="1:20" ht="12" customHeight="1">
      <c r="A728" s="301" t="s">
        <v>3341</v>
      </c>
      <c r="B728" s="303" t="s">
        <v>23</v>
      </c>
      <c r="C728" s="304">
        <f t="shared" si="11"/>
        <v>99750</v>
      </c>
      <c r="D728" s="281" cm="1">
        <f t="array" aca="1" ref="D728" ca="1">IF(Insumo[[#This Row],[VALOR]]=0,Insumo[TOTAL],E728/C728)</f>
        <v>0</v>
      </c>
      <c r="E728" s="69">
        <f ca="1">SUM(Insumo[[#This Row],[CAP1-3]:[CAP29]])</f>
        <v>0</v>
      </c>
      <c r="F728" s="69">
        <f ca="1">SUMIF('CAP1-3'!$B:$H,Insumo[[#This Row],[DESCRIPCION]],'CAP1-3'!$H:$H)</f>
        <v>0</v>
      </c>
      <c r="G728" s="69">
        <f ca="1">SUMIF('CAP4-5'!$B:$H,Insumo[[#This Row],[DESCRIPCION]],'CAP4-5'!$H:$H)</f>
        <v>0</v>
      </c>
      <c r="H728" s="69">
        <f ca="1">SUMIF('CAP6-7'!$B:$H,Insumo[[#This Row],[DESCRIPCION]],'CAP6-7'!$H:$H)</f>
        <v>0</v>
      </c>
      <c r="I728" s="69">
        <f ca="1">SUMIF('CAP8'!$B:$H,Insumo[[#This Row],[DESCRIPCION]],'CAP8'!$H:$H)</f>
        <v>0</v>
      </c>
      <c r="J728" s="69">
        <f ca="1">SUMIF('CAP9-13'!$B:$H,Insumo[[#This Row],[DESCRIPCION]],'CAP9-13'!$H:$H)</f>
        <v>0</v>
      </c>
      <c r="K728" s="69">
        <f ca="1">SUMIF('CAP14-15'!$B:$H,Insumo[[#This Row],[DESCRIPCION]],'CAP14-15'!$H:$H)</f>
        <v>0</v>
      </c>
      <c r="L728" s="69">
        <f ca="1">SUMIF('CAP16-18'!$B:$H,Insumo[[#This Row],[DESCRIPCION]],'CAP16-18'!$H:$H)</f>
        <v>0</v>
      </c>
      <c r="M728" s="69">
        <f ca="1">SUMIF('CAP19-22'!$B:$H,Insumo[[#This Row],[DESCRIPCION]],'CAP19-22'!$H:$H)</f>
        <v>0</v>
      </c>
      <c r="N728" s="69">
        <f ca="1">SUMIF('CAP23-24'!$B:$H,Insumo[[#This Row],[DESCRIPCION]],'CAP23-24'!$H:$H)</f>
        <v>0</v>
      </c>
      <c r="O728" s="69">
        <f ca="1">SUMIF('CAP25'!$B:$H,Insumo[[#This Row],[DESCRIPCION]],'CAP25'!$H:$H)</f>
        <v>0</v>
      </c>
      <c r="P728" s="69">
        <f ca="1">SUMIF('CAP26-28'!$B:$H,Insumo[[#This Row],[DESCRIPCION]],'CAP26-28'!$H:$H)</f>
        <v>0</v>
      </c>
      <c r="Q728" s="69">
        <f ca="1">SUMIF('CAP29'!$B:$H,Insumo[[#This Row],[DESCRIPCION]],'CAP29'!$H:$H)</f>
        <v>0</v>
      </c>
      <c r="R728" s="290"/>
      <c r="T728" s="136">
        <v>95000</v>
      </c>
    </row>
    <row r="729" spans="1:20" ht="12" customHeight="1">
      <c r="A729" s="301" t="s">
        <v>3342</v>
      </c>
      <c r="B729" s="303" t="s">
        <v>23</v>
      </c>
      <c r="C729" s="304">
        <f t="shared" si="11"/>
        <v>181311.63750000001</v>
      </c>
      <c r="D729" s="281" cm="1">
        <f t="array" aca="1" ref="D729" ca="1">IF(Insumo[[#This Row],[VALOR]]=0,Insumo[TOTAL],E729/C729)</f>
        <v>0</v>
      </c>
      <c r="E729" s="69">
        <f ca="1">SUM(Insumo[[#This Row],[CAP1-3]:[CAP29]])</f>
        <v>0</v>
      </c>
      <c r="F729" s="69">
        <f ca="1">SUMIF('CAP1-3'!$B:$H,Insumo[[#This Row],[DESCRIPCION]],'CAP1-3'!$H:$H)</f>
        <v>0</v>
      </c>
      <c r="G729" s="69">
        <f ca="1">SUMIF('CAP4-5'!$B:$H,Insumo[[#This Row],[DESCRIPCION]],'CAP4-5'!$H:$H)</f>
        <v>0</v>
      </c>
      <c r="H729" s="69">
        <f ca="1">SUMIF('CAP6-7'!$B:$H,Insumo[[#This Row],[DESCRIPCION]],'CAP6-7'!$H:$H)</f>
        <v>0</v>
      </c>
      <c r="I729" s="69">
        <f ca="1">SUMIF('CAP8'!$B:$H,Insumo[[#This Row],[DESCRIPCION]],'CAP8'!$H:$H)</f>
        <v>0</v>
      </c>
      <c r="J729" s="69">
        <f ca="1">SUMIF('CAP9-13'!$B:$H,Insumo[[#This Row],[DESCRIPCION]],'CAP9-13'!$H:$H)</f>
        <v>0</v>
      </c>
      <c r="K729" s="69">
        <f ca="1">SUMIF('CAP14-15'!$B:$H,Insumo[[#This Row],[DESCRIPCION]],'CAP14-15'!$H:$H)</f>
        <v>0</v>
      </c>
      <c r="L729" s="69">
        <f ca="1">SUMIF('CAP16-18'!$B:$H,Insumo[[#This Row],[DESCRIPCION]],'CAP16-18'!$H:$H)</f>
        <v>0</v>
      </c>
      <c r="M729" s="69">
        <f ca="1">SUMIF('CAP19-22'!$B:$H,Insumo[[#This Row],[DESCRIPCION]],'CAP19-22'!$H:$H)</f>
        <v>0</v>
      </c>
      <c r="N729" s="69">
        <f ca="1">SUMIF('CAP23-24'!$B:$H,Insumo[[#This Row],[DESCRIPCION]],'CAP23-24'!$H:$H)</f>
        <v>0</v>
      </c>
      <c r="O729" s="69">
        <f ca="1">SUMIF('CAP25'!$B:$H,Insumo[[#This Row],[DESCRIPCION]],'CAP25'!$H:$H)</f>
        <v>0</v>
      </c>
      <c r="P729" s="69">
        <f ca="1">SUMIF('CAP26-28'!$B:$H,Insumo[[#This Row],[DESCRIPCION]],'CAP26-28'!$H:$H)</f>
        <v>0</v>
      </c>
      <c r="Q729" s="69">
        <f ca="1">SUMIF('CAP29'!$B:$H,Insumo[[#This Row],[DESCRIPCION]],'CAP29'!$H:$H)</f>
        <v>0</v>
      </c>
      <c r="R729" s="290"/>
      <c r="T729" s="136">
        <v>172677.75</v>
      </c>
    </row>
    <row r="730" spans="1:20" ht="12" customHeight="1">
      <c r="A730" s="301" t="s">
        <v>3343</v>
      </c>
      <c r="B730" s="303" t="s">
        <v>23</v>
      </c>
      <c r="C730" s="304">
        <f t="shared" si="11"/>
        <v>100083.1125</v>
      </c>
      <c r="D730" s="281" cm="1">
        <f t="array" aca="1" ref="D730" ca="1">IF(Insumo[[#This Row],[VALOR]]=0,Insumo[TOTAL],E730/C730)</f>
        <v>0</v>
      </c>
      <c r="E730" s="69">
        <f ca="1">SUM(Insumo[[#This Row],[CAP1-3]:[CAP29]])</f>
        <v>0</v>
      </c>
      <c r="F730" s="69">
        <f ca="1">SUMIF('CAP1-3'!$B:$H,Insumo[[#This Row],[DESCRIPCION]],'CAP1-3'!$H:$H)</f>
        <v>0</v>
      </c>
      <c r="G730" s="69">
        <f ca="1">SUMIF('CAP4-5'!$B:$H,Insumo[[#This Row],[DESCRIPCION]],'CAP4-5'!$H:$H)</f>
        <v>0</v>
      </c>
      <c r="H730" s="69">
        <f ca="1">SUMIF('CAP6-7'!$B:$H,Insumo[[#This Row],[DESCRIPCION]],'CAP6-7'!$H:$H)</f>
        <v>0</v>
      </c>
      <c r="I730" s="69">
        <f ca="1">SUMIF('CAP8'!$B:$H,Insumo[[#This Row],[DESCRIPCION]],'CAP8'!$H:$H)</f>
        <v>0</v>
      </c>
      <c r="J730" s="69">
        <f ca="1">SUMIF('CAP9-13'!$B:$H,Insumo[[#This Row],[DESCRIPCION]],'CAP9-13'!$H:$H)</f>
        <v>0</v>
      </c>
      <c r="K730" s="69">
        <f ca="1">SUMIF('CAP14-15'!$B:$H,Insumo[[#This Row],[DESCRIPCION]],'CAP14-15'!$H:$H)</f>
        <v>0</v>
      </c>
      <c r="L730" s="69">
        <f ca="1">SUMIF('CAP16-18'!$B:$H,Insumo[[#This Row],[DESCRIPCION]],'CAP16-18'!$H:$H)</f>
        <v>0</v>
      </c>
      <c r="M730" s="69">
        <f ca="1">SUMIF('CAP19-22'!$B:$H,Insumo[[#This Row],[DESCRIPCION]],'CAP19-22'!$H:$H)</f>
        <v>0</v>
      </c>
      <c r="N730" s="69">
        <f ca="1">SUMIF('CAP23-24'!$B:$H,Insumo[[#This Row],[DESCRIPCION]],'CAP23-24'!$H:$H)</f>
        <v>0</v>
      </c>
      <c r="O730" s="69">
        <f ca="1">SUMIF('CAP25'!$B:$H,Insumo[[#This Row],[DESCRIPCION]],'CAP25'!$H:$H)</f>
        <v>0</v>
      </c>
      <c r="P730" s="69">
        <f ca="1">SUMIF('CAP26-28'!$B:$H,Insumo[[#This Row],[DESCRIPCION]],'CAP26-28'!$H:$H)</f>
        <v>0</v>
      </c>
      <c r="Q730" s="69">
        <f ca="1">SUMIF('CAP29'!$B:$H,Insumo[[#This Row],[DESCRIPCION]],'CAP29'!$H:$H)</f>
        <v>0</v>
      </c>
      <c r="R730" s="290"/>
      <c r="T730" s="136">
        <v>95317.25</v>
      </c>
    </row>
    <row r="731" spans="1:20">
      <c r="A731" s="301" t="s">
        <v>3344</v>
      </c>
      <c r="B731" s="303" t="s">
        <v>23</v>
      </c>
      <c r="C731" s="304">
        <f t="shared" si="11"/>
        <v>209109.33750000002</v>
      </c>
      <c r="D731" s="281" cm="1">
        <f t="array" aca="1" ref="D731" ca="1">IF(Insumo[[#This Row],[VALOR]]=0,Insumo[TOTAL],E731/C731)</f>
        <v>0</v>
      </c>
      <c r="E731" s="69">
        <f ca="1">SUM(Insumo[[#This Row],[CAP1-3]:[CAP29]])</f>
        <v>0</v>
      </c>
      <c r="F731" s="69">
        <f ca="1">SUMIF('CAP1-3'!$B:$H,Insumo[[#This Row],[DESCRIPCION]],'CAP1-3'!$H:$H)</f>
        <v>0</v>
      </c>
      <c r="G731" s="69">
        <f ca="1">SUMIF('CAP4-5'!$B:$H,Insumo[[#This Row],[DESCRIPCION]],'CAP4-5'!$H:$H)</f>
        <v>0</v>
      </c>
      <c r="H731" s="69">
        <f ca="1">SUMIF('CAP6-7'!$B:$H,Insumo[[#This Row],[DESCRIPCION]],'CAP6-7'!$H:$H)</f>
        <v>0</v>
      </c>
      <c r="I731" s="69">
        <f ca="1">SUMIF('CAP8'!$B:$H,Insumo[[#This Row],[DESCRIPCION]],'CAP8'!$H:$H)</f>
        <v>0</v>
      </c>
      <c r="J731" s="69">
        <f ca="1">SUMIF('CAP9-13'!$B:$H,Insumo[[#This Row],[DESCRIPCION]],'CAP9-13'!$H:$H)</f>
        <v>0</v>
      </c>
      <c r="K731" s="69">
        <f ca="1">SUMIF('CAP14-15'!$B:$H,Insumo[[#This Row],[DESCRIPCION]],'CAP14-15'!$H:$H)</f>
        <v>0</v>
      </c>
      <c r="L731" s="69">
        <f ca="1">SUMIF('CAP16-18'!$B:$H,Insumo[[#This Row],[DESCRIPCION]],'CAP16-18'!$H:$H)</f>
        <v>0</v>
      </c>
      <c r="M731" s="69">
        <f ca="1">SUMIF('CAP19-22'!$B:$H,Insumo[[#This Row],[DESCRIPCION]],'CAP19-22'!$H:$H)</f>
        <v>0</v>
      </c>
      <c r="N731" s="69">
        <f ca="1">SUMIF('CAP23-24'!$B:$H,Insumo[[#This Row],[DESCRIPCION]],'CAP23-24'!$H:$H)</f>
        <v>0</v>
      </c>
      <c r="O731" s="69">
        <f ca="1">SUMIF('CAP25'!$B:$H,Insumo[[#This Row],[DESCRIPCION]],'CAP25'!$H:$H)</f>
        <v>0</v>
      </c>
      <c r="P731" s="69">
        <f ca="1">SUMIF('CAP26-28'!$B:$H,Insumo[[#This Row],[DESCRIPCION]],'CAP26-28'!$H:$H)</f>
        <v>0</v>
      </c>
      <c r="Q731" s="69">
        <f ca="1">SUMIF('CAP29'!$B:$H,Insumo[[#This Row],[DESCRIPCION]],'CAP29'!$H:$H)</f>
        <v>0</v>
      </c>
      <c r="T731" s="136">
        <v>199151.75</v>
      </c>
    </row>
    <row r="732" spans="1:20">
      <c r="A732" s="301" t="s">
        <v>3345</v>
      </c>
      <c r="B732" s="303" t="s">
        <v>23</v>
      </c>
      <c r="C732" s="304">
        <f t="shared" si="11"/>
        <v>429326.36250000005</v>
      </c>
      <c r="D732" s="281" cm="1">
        <f t="array" aca="1" ref="D732" ca="1">IF(Insumo[[#This Row],[VALOR]]=0,Insumo[TOTAL],E732/C732)</f>
        <v>0</v>
      </c>
      <c r="E732" s="69">
        <f ca="1">SUM(Insumo[[#This Row],[CAP1-3]:[CAP29]])</f>
        <v>0</v>
      </c>
      <c r="F732" s="69">
        <f ca="1">SUMIF('CAP1-3'!$B:$H,Insumo[[#This Row],[DESCRIPCION]],'CAP1-3'!$H:$H)</f>
        <v>0</v>
      </c>
      <c r="G732" s="69">
        <f ca="1">SUMIF('CAP4-5'!$B:$H,Insumo[[#This Row],[DESCRIPCION]],'CAP4-5'!$H:$H)</f>
        <v>0</v>
      </c>
      <c r="H732" s="69">
        <f ca="1">SUMIF('CAP6-7'!$B:$H,Insumo[[#This Row],[DESCRIPCION]],'CAP6-7'!$H:$H)</f>
        <v>0</v>
      </c>
      <c r="I732" s="69">
        <f ca="1">SUMIF('CAP8'!$B:$H,Insumo[[#This Row],[DESCRIPCION]],'CAP8'!$H:$H)</f>
        <v>0</v>
      </c>
      <c r="J732" s="69">
        <f ca="1">SUMIF('CAP9-13'!$B:$H,Insumo[[#This Row],[DESCRIPCION]],'CAP9-13'!$H:$H)</f>
        <v>0</v>
      </c>
      <c r="K732" s="69">
        <f ca="1">SUMIF('CAP14-15'!$B:$H,Insumo[[#This Row],[DESCRIPCION]],'CAP14-15'!$H:$H)</f>
        <v>0</v>
      </c>
      <c r="L732" s="69">
        <f ca="1">SUMIF('CAP16-18'!$B:$H,Insumo[[#This Row],[DESCRIPCION]],'CAP16-18'!$H:$H)</f>
        <v>0</v>
      </c>
      <c r="M732" s="69">
        <f ca="1">SUMIF('CAP19-22'!$B:$H,Insumo[[#This Row],[DESCRIPCION]],'CAP19-22'!$H:$H)</f>
        <v>0</v>
      </c>
      <c r="N732" s="69">
        <f ca="1">SUMIF('CAP23-24'!$B:$H,Insumo[[#This Row],[DESCRIPCION]],'CAP23-24'!$H:$H)</f>
        <v>0</v>
      </c>
      <c r="O732" s="69">
        <f ca="1">SUMIF('CAP25'!$B:$H,Insumo[[#This Row],[DESCRIPCION]],'CAP25'!$H:$H)</f>
        <v>0</v>
      </c>
      <c r="P732" s="69">
        <f ca="1">SUMIF('CAP26-28'!$B:$H,Insumo[[#This Row],[DESCRIPCION]],'CAP26-28'!$H:$H)</f>
        <v>0</v>
      </c>
      <c r="Q732" s="69">
        <f ca="1">SUMIF('CAP29'!$B:$H,Insumo[[#This Row],[DESCRIPCION]],'CAP29'!$H:$H)</f>
        <v>0</v>
      </c>
      <c r="R732" s="290"/>
      <c r="T732" s="136">
        <v>408882.25</v>
      </c>
    </row>
    <row r="733" spans="1:20" ht="12" customHeight="1">
      <c r="A733" s="301" t="s">
        <v>3346</v>
      </c>
      <c r="B733" s="303" t="s">
        <v>23</v>
      </c>
      <c r="C733" s="304">
        <f t="shared" si="11"/>
        <v>100083.1125</v>
      </c>
      <c r="D733" s="281" cm="1">
        <f t="array" aca="1" ref="D733" ca="1">IF(Insumo[[#This Row],[VALOR]]=0,Insumo[TOTAL],E733/C733)</f>
        <v>0</v>
      </c>
      <c r="E733" s="69">
        <f ca="1">SUM(Insumo[[#This Row],[CAP1-3]:[CAP29]])</f>
        <v>0</v>
      </c>
      <c r="F733" s="69">
        <f ca="1">SUMIF('CAP1-3'!$B:$H,Insumo[[#This Row],[DESCRIPCION]],'CAP1-3'!$H:$H)</f>
        <v>0</v>
      </c>
      <c r="G733" s="69">
        <f ca="1">SUMIF('CAP4-5'!$B:$H,Insumo[[#This Row],[DESCRIPCION]],'CAP4-5'!$H:$H)</f>
        <v>0</v>
      </c>
      <c r="H733" s="69">
        <f ca="1">SUMIF('CAP6-7'!$B:$H,Insumo[[#This Row],[DESCRIPCION]],'CAP6-7'!$H:$H)</f>
        <v>0</v>
      </c>
      <c r="I733" s="69">
        <f ca="1">SUMIF('CAP8'!$B:$H,Insumo[[#This Row],[DESCRIPCION]],'CAP8'!$H:$H)</f>
        <v>0</v>
      </c>
      <c r="J733" s="69">
        <f ca="1">SUMIF('CAP9-13'!$B:$H,Insumo[[#This Row],[DESCRIPCION]],'CAP9-13'!$H:$H)</f>
        <v>0</v>
      </c>
      <c r="K733" s="69">
        <f ca="1">SUMIF('CAP14-15'!$B:$H,Insumo[[#This Row],[DESCRIPCION]],'CAP14-15'!$H:$H)</f>
        <v>0</v>
      </c>
      <c r="L733" s="69">
        <f ca="1">SUMIF('CAP16-18'!$B:$H,Insumo[[#This Row],[DESCRIPCION]],'CAP16-18'!$H:$H)</f>
        <v>0</v>
      </c>
      <c r="M733" s="69">
        <f ca="1">SUMIF('CAP19-22'!$B:$H,Insumo[[#This Row],[DESCRIPCION]],'CAP19-22'!$H:$H)</f>
        <v>0</v>
      </c>
      <c r="N733" s="69">
        <f ca="1">SUMIF('CAP23-24'!$B:$H,Insumo[[#This Row],[DESCRIPCION]],'CAP23-24'!$H:$H)</f>
        <v>0</v>
      </c>
      <c r="O733" s="69">
        <f ca="1">SUMIF('CAP25'!$B:$H,Insumo[[#This Row],[DESCRIPCION]],'CAP25'!$H:$H)</f>
        <v>0</v>
      </c>
      <c r="P733" s="69">
        <f ca="1">SUMIF('CAP26-28'!$B:$H,Insumo[[#This Row],[DESCRIPCION]],'CAP26-28'!$H:$H)</f>
        <v>0</v>
      </c>
      <c r="Q733" s="69">
        <f ca="1">SUMIF('CAP29'!$B:$H,Insumo[[#This Row],[DESCRIPCION]],'CAP29'!$H:$H)</f>
        <v>0</v>
      </c>
      <c r="R733" s="290"/>
      <c r="T733" s="136">
        <v>95317.25</v>
      </c>
    </row>
    <row r="734" spans="1:20" ht="12" customHeight="1">
      <c r="A734" s="301" t="s">
        <v>3347</v>
      </c>
      <c r="B734" s="303" t="s">
        <v>23</v>
      </c>
      <c r="C734" s="304">
        <f t="shared" si="11"/>
        <v>257641.38750000001</v>
      </c>
      <c r="D734" s="281" cm="1">
        <f t="array" aca="1" ref="D734" ca="1">IF(Insumo[[#This Row],[VALOR]]=0,Insumo[TOTAL],E734/C734)</f>
        <v>0</v>
      </c>
      <c r="E734" s="69">
        <f ca="1">SUM(Insumo[[#This Row],[CAP1-3]:[CAP29]])</f>
        <v>0</v>
      </c>
      <c r="F734" s="69">
        <f ca="1">SUMIF('CAP1-3'!$B:$H,Insumo[[#This Row],[DESCRIPCION]],'CAP1-3'!$H:$H)</f>
        <v>0</v>
      </c>
      <c r="G734" s="69">
        <f ca="1">SUMIF('CAP4-5'!$B:$H,Insumo[[#This Row],[DESCRIPCION]],'CAP4-5'!$H:$H)</f>
        <v>0</v>
      </c>
      <c r="H734" s="69">
        <f ca="1">SUMIF('CAP6-7'!$B:$H,Insumo[[#This Row],[DESCRIPCION]],'CAP6-7'!$H:$H)</f>
        <v>0</v>
      </c>
      <c r="I734" s="69">
        <f ca="1">SUMIF('CAP8'!$B:$H,Insumo[[#This Row],[DESCRIPCION]],'CAP8'!$H:$H)</f>
        <v>0</v>
      </c>
      <c r="J734" s="69">
        <f ca="1">SUMIF('CAP9-13'!$B:$H,Insumo[[#This Row],[DESCRIPCION]],'CAP9-13'!$H:$H)</f>
        <v>0</v>
      </c>
      <c r="K734" s="69">
        <f ca="1">SUMIF('CAP14-15'!$B:$H,Insumo[[#This Row],[DESCRIPCION]],'CAP14-15'!$H:$H)</f>
        <v>0</v>
      </c>
      <c r="L734" s="69">
        <f ca="1">SUMIF('CAP16-18'!$B:$H,Insumo[[#This Row],[DESCRIPCION]],'CAP16-18'!$H:$H)</f>
        <v>0</v>
      </c>
      <c r="M734" s="69">
        <f ca="1">SUMIF('CAP19-22'!$B:$H,Insumo[[#This Row],[DESCRIPCION]],'CAP19-22'!$H:$H)</f>
        <v>0</v>
      </c>
      <c r="N734" s="69">
        <f ca="1">SUMIF('CAP23-24'!$B:$H,Insumo[[#This Row],[DESCRIPCION]],'CAP23-24'!$H:$H)</f>
        <v>0</v>
      </c>
      <c r="O734" s="69">
        <f ca="1">SUMIF('CAP25'!$B:$H,Insumo[[#This Row],[DESCRIPCION]],'CAP25'!$H:$H)</f>
        <v>0</v>
      </c>
      <c r="P734" s="69">
        <f ca="1">SUMIF('CAP26-28'!$B:$H,Insumo[[#This Row],[DESCRIPCION]],'CAP26-28'!$H:$H)</f>
        <v>0</v>
      </c>
      <c r="Q734" s="69">
        <f ca="1">SUMIF('CAP29'!$B:$H,Insumo[[#This Row],[DESCRIPCION]],'CAP29'!$H:$H)</f>
        <v>0</v>
      </c>
      <c r="T734" s="136">
        <v>245372.75</v>
      </c>
    </row>
    <row r="735" spans="1:20" ht="12" customHeight="1">
      <c r="A735" s="301" t="s">
        <v>3348</v>
      </c>
      <c r="B735" s="303" t="s">
        <v>23</v>
      </c>
      <c r="C735" s="304">
        <f t="shared" si="11"/>
        <v>577599.75</v>
      </c>
      <c r="D735" s="281" cm="1">
        <f t="array" aca="1" ref="D735" ca="1">IF(Insumo[[#This Row],[VALOR]]=0,Insumo[TOTAL],E735/C735)</f>
        <v>0</v>
      </c>
      <c r="E735" s="69">
        <f ca="1">SUM(Insumo[[#This Row],[CAP1-3]:[CAP29]])</f>
        <v>0</v>
      </c>
      <c r="F735" s="69">
        <f ca="1">SUMIF('CAP1-3'!$B:$H,Insumo[[#This Row],[DESCRIPCION]],'CAP1-3'!$H:$H)</f>
        <v>0</v>
      </c>
      <c r="G735" s="69">
        <f ca="1">SUMIF('CAP4-5'!$B:$H,Insumo[[#This Row],[DESCRIPCION]],'CAP4-5'!$H:$H)</f>
        <v>0</v>
      </c>
      <c r="H735" s="69">
        <f ca="1">SUMIF('CAP6-7'!$B:$H,Insumo[[#This Row],[DESCRIPCION]],'CAP6-7'!$H:$H)</f>
        <v>0</v>
      </c>
      <c r="I735" s="69">
        <f ca="1">SUMIF('CAP8'!$B:$H,Insumo[[#This Row],[DESCRIPCION]],'CAP8'!$H:$H)</f>
        <v>0</v>
      </c>
      <c r="J735" s="69">
        <f ca="1">SUMIF('CAP9-13'!$B:$H,Insumo[[#This Row],[DESCRIPCION]],'CAP9-13'!$H:$H)</f>
        <v>0</v>
      </c>
      <c r="K735" s="69">
        <f ca="1">SUMIF('CAP14-15'!$B:$H,Insumo[[#This Row],[DESCRIPCION]],'CAP14-15'!$H:$H)</f>
        <v>0</v>
      </c>
      <c r="L735" s="69">
        <f ca="1">SUMIF('CAP16-18'!$B:$H,Insumo[[#This Row],[DESCRIPCION]],'CAP16-18'!$H:$H)</f>
        <v>0</v>
      </c>
      <c r="M735" s="69">
        <f ca="1">SUMIF('CAP19-22'!$B:$H,Insumo[[#This Row],[DESCRIPCION]],'CAP19-22'!$H:$H)</f>
        <v>0</v>
      </c>
      <c r="N735" s="69">
        <f ca="1">SUMIF('CAP23-24'!$B:$H,Insumo[[#This Row],[DESCRIPCION]],'CAP23-24'!$H:$H)</f>
        <v>0</v>
      </c>
      <c r="O735" s="69">
        <f ca="1">SUMIF('CAP25'!$B:$H,Insumo[[#This Row],[DESCRIPCION]],'CAP25'!$H:$H)</f>
        <v>0</v>
      </c>
      <c r="P735" s="69">
        <f ca="1">SUMIF('CAP26-28'!$B:$H,Insumo[[#This Row],[DESCRIPCION]],'CAP26-28'!$H:$H)</f>
        <v>0</v>
      </c>
      <c r="Q735" s="69">
        <f ca="1">SUMIF('CAP29'!$B:$H,Insumo[[#This Row],[DESCRIPCION]],'CAP29'!$H:$H)</f>
        <v>0</v>
      </c>
      <c r="R735" s="290"/>
      <c r="T735" s="136">
        <v>550095</v>
      </c>
    </row>
    <row r="736" spans="1:20" ht="12" customHeight="1">
      <c r="A736" s="301" t="s">
        <v>3349</v>
      </c>
      <c r="B736" s="303" t="s">
        <v>23</v>
      </c>
      <c r="C736" s="304">
        <f t="shared" si="11"/>
        <v>566719.91249999998</v>
      </c>
      <c r="D736" s="281" cm="1">
        <f t="array" aca="1" ref="D736" ca="1">IF(Insumo[[#This Row],[VALOR]]=0,Insumo[TOTAL],E736/C736)</f>
        <v>0</v>
      </c>
      <c r="E736" s="69">
        <f ca="1">SUM(Insumo[[#This Row],[CAP1-3]:[CAP29]])</f>
        <v>0</v>
      </c>
      <c r="F736" s="69">
        <f ca="1">SUMIF('CAP1-3'!$B:$H,Insumo[[#This Row],[DESCRIPCION]],'CAP1-3'!$H:$H)</f>
        <v>0</v>
      </c>
      <c r="G736" s="69">
        <f ca="1">SUMIF('CAP4-5'!$B:$H,Insumo[[#This Row],[DESCRIPCION]],'CAP4-5'!$H:$H)</f>
        <v>0</v>
      </c>
      <c r="H736" s="69">
        <f ca="1">SUMIF('CAP6-7'!$B:$H,Insumo[[#This Row],[DESCRIPCION]],'CAP6-7'!$H:$H)</f>
        <v>0</v>
      </c>
      <c r="I736" s="69">
        <f ca="1">SUMIF('CAP8'!$B:$H,Insumo[[#This Row],[DESCRIPCION]],'CAP8'!$H:$H)</f>
        <v>0</v>
      </c>
      <c r="J736" s="69">
        <f ca="1">SUMIF('CAP9-13'!$B:$H,Insumo[[#This Row],[DESCRIPCION]],'CAP9-13'!$H:$H)</f>
        <v>0</v>
      </c>
      <c r="K736" s="69">
        <f ca="1">SUMIF('CAP14-15'!$B:$H,Insumo[[#This Row],[DESCRIPCION]],'CAP14-15'!$H:$H)</f>
        <v>0</v>
      </c>
      <c r="L736" s="69">
        <f ca="1">SUMIF('CAP16-18'!$B:$H,Insumo[[#This Row],[DESCRIPCION]],'CAP16-18'!$H:$H)</f>
        <v>0</v>
      </c>
      <c r="M736" s="69">
        <f ca="1">SUMIF('CAP19-22'!$B:$H,Insumo[[#This Row],[DESCRIPCION]],'CAP19-22'!$H:$H)</f>
        <v>0</v>
      </c>
      <c r="N736" s="69">
        <f ca="1">SUMIF('CAP23-24'!$B:$H,Insumo[[#This Row],[DESCRIPCION]],'CAP23-24'!$H:$H)</f>
        <v>0</v>
      </c>
      <c r="O736" s="69">
        <f ca="1">SUMIF('CAP25'!$B:$H,Insumo[[#This Row],[DESCRIPCION]],'CAP25'!$H:$H)</f>
        <v>0</v>
      </c>
      <c r="P736" s="69">
        <f ca="1">SUMIF('CAP26-28'!$B:$H,Insumo[[#This Row],[DESCRIPCION]],'CAP26-28'!$H:$H)</f>
        <v>0</v>
      </c>
      <c r="Q736" s="69">
        <f ca="1">SUMIF('CAP29'!$B:$H,Insumo[[#This Row],[DESCRIPCION]],'CAP29'!$H:$H)</f>
        <v>0</v>
      </c>
      <c r="R736" s="290"/>
      <c r="T736" s="136">
        <v>539733.25</v>
      </c>
    </row>
    <row r="737" spans="1:20" ht="12" customHeight="1">
      <c r="A737" s="301" t="s">
        <v>3350</v>
      </c>
      <c r="B737" s="303" t="s">
        <v>23</v>
      </c>
      <c r="C737" s="304">
        <f t="shared" si="11"/>
        <v>666916.95000000007</v>
      </c>
      <c r="D737" s="281" cm="1">
        <f t="array" aca="1" ref="D737" ca="1">IF(Insumo[[#This Row],[VALOR]]=0,Insumo[TOTAL],E737/C737)</f>
        <v>0</v>
      </c>
      <c r="E737" s="69">
        <f ca="1">SUM(Insumo[[#This Row],[CAP1-3]:[CAP29]])</f>
        <v>0</v>
      </c>
      <c r="F737" s="69">
        <f ca="1">SUMIF('CAP1-3'!$B:$H,Insumo[[#This Row],[DESCRIPCION]],'CAP1-3'!$H:$H)</f>
        <v>0</v>
      </c>
      <c r="G737" s="69">
        <f ca="1">SUMIF('CAP4-5'!$B:$H,Insumo[[#This Row],[DESCRIPCION]],'CAP4-5'!$H:$H)</f>
        <v>0</v>
      </c>
      <c r="H737" s="69">
        <f ca="1">SUMIF('CAP6-7'!$B:$H,Insumo[[#This Row],[DESCRIPCION]],'CAP6-7'!$H:$H)</f>
        <v>0</v>
      </c>
      <c r="I737" s="69">
        <f ca="1">SUMIF('CAP8'!$B:$H,Insumo[[#This Row],[DESCRIPCION]],'CAP8'!$H:$H)</f>
        <v>0</v>
      </c>
      <c r="J737" s="69">
        <f ca="1">SUMIF('CAP9-13'!$B:$H,Insumo[[#This Row],[DESCRIPCION]],'CAP9-13'!$H:$H)</f>
        <v>0</v>
      </c>
      <c r="K737" s="69">
        <f ca="1">SUMIF('CAP14-15'!$B:$H,Insumo[[#This Row],[DESCRIPCION]],'CAP14-15'!$H:$H)</f>
        <v>0</v>
      </c>
      <c r="L737" s="69">
        <f ca="1">SUMIF('CAP16-18'!$B:$H,Insumo[[#This Row],[DESCRIPCION]],'CAP16-18'!$H:$H)</f>
        <v>0</v>
      </c>
      <c r="M737" s="69">
        <f ca="1">SUMIF('CAP19-22'!$B:$H,Insumo[[#This Row],[DESCRIPCION]],'CAP19-22'!$H:$H)</f>
        <v>0</v>
      </c>
      <c r="N737" s="69">
        <f ca="1">SUMIF('CAP23-24'!$B:$H,Insumo[[#This Row],[DESCRIPCION]],'CAP23-24'!$H:$H)</f>
        <v>0</v>
      </c>
      <c r="O737" s="69">
        <f ca="1">SUMIF('CAP25'!$B:$H,Insumo[[#This Row],[DESCRIPCION]],'CAP25'!$H:$H)</f>
        <v>0</v>
      </c>
      <c r="P737" s="69">
        <f ca="1">SUMIF('CAP26-28'!$B:$H,Insumo[[#This Row],[DESCRIPCION]],'CAP26-28'!$H:$H)</f>
        <v>0</v>
      </c>
      <c r="Q737" s="69">
        <f ca="1">SUMIF('CAP29'!$B:$H,Insumo[[#This Row],[DESCRIPCION]],'CAP29'!$H:$H)</f>
        <v>0</v>
      </c>
      <c r="R737" s="290"/>
      <c r="T737" s="136">
        <v>635159</v>
      </c>
    </row>
    <row r="738" spans="1:20" ht="12" customHeight="1">
      <c r="A738" s="301" t="s">
        <v>3351</v>
      </c>
      <c r="B738" s="303" t="s">
        <v>23</v>
      </c>
      <c r="C738" s="304">
        <f t="shared" si="11"/>
        <v>401016</v>
      </c>
      <c r="D738" s="281" cm="1">
        <f t="array" aca="1" ref="D738" ca="1">IF(Insumo[[#This Row],[VALOR]]=0,Insumo[TOTAL],E738/C738)</f>
        <v>0</v>
      </c>
      <c r="E738" s="69">
        <f ca="1">SUM(Insumo[[#This Row],[CAP1-3]:[CAP29]])</f>
        <v>0</v>
      </c>
      <c r="F738" s="69">
        <f ca="1">SUMIF('CAP1-3'!$B:$H,Insumo[[#This Row],[DESCRIPCION]],'CAP1-3'!$H:$H)</f>
        <v>0</v>
      </c>
      <c r="G738" s="69">
        <f ca="1">SUMIF('CAP4-5'!$B:$H,Insumo[[#This Row],[DESCRIPCION]],'CAP4-5'!$H:$H)</f>
        <v>0</v>
      </c>
      <c r="H738" s="69">
        <f ca="1">SUMIF('CAP6-7'!$B:$H,Insumo[[#This Row],[DESCRIPCION]],'CAP6-7'!$H:$H)</f>
        <v>0</v>
      </c>
      <c r="I738" s="69">
        <f ca="1">SUMIF('CAP8'!$B:$H,Insumo[[#This Row],[DESCRIPCION]],'CAP8'!$H:$H)</f>
        <v>0</v>
      </c>
      <c r="J738" s="69">
        <f ca="1">SUMIF('CAP9-13'!$B:$H,Insumo[[#This Row],[DESCRIPCION]],'CAP9-13'!$H:$H)</f>
        <v>0</v>
      </c>
      <c r="K738" s="69">
        <f ca="1">SUMIF('CAP14-15'!$B:$H,Insumo[[#This Row],[DESCRIPCION]],'CAP14-15'!$H:$H)</f>
        <v>0</v>
      </c>
      <c r="L738" s="69">
        <f ca="1">SUMIF('CAP16-18'!$B:$H,Insumo[[#This Row],[DESCRIPCION]],'CAP16-18'!$H:$H)</f>
        <v>0</v>
      </c>
      <c r="M738" s="69">
        <f ca="1">SUMIF('CAP19-22'!$B:$H,Insumo[[#This Row],[DESCRIPCION]],'CAP19-22'!$H:$H)</f>
        <v>0</v>
      </c>
      <c r="N738" s="69">
        <f ca="1">SUMIF('CAP23-24'!$B:$H,Insumo[[#This Row],[DESCRIPCION]],'CAP23-24'!$H:$H)</f>
        <v>0</v>
      </c>
      <c r="O738" s="69">
        <f ca="1">SUMIF('CAP25'!$B:$H,Insumo[[#This Row],[DESCRIPCION]],'CAP25'!$H:$H)</f>
        <v>0</v>
      </c>
      <c r="P738" s="69">
        <f ca="1">SUMIF('CAP26-28'!$B:$H,Insumo[[#This Row],[DESCRIPCION]],'CAP26-28'!$H:$H)</f>
        <v>0</v>
      </c>
      <c r="Q738" s="69">
        <f ca="1">SUMIF('CAP29'!$B:$H,Insumo[[#This Row],[DESCRIPCION]],'CAP29'!$H:$H)</f>
        <v>0</v>
      </c>
      <c r="R738" s="290"/>
      <c r="T738" s="136">
        <v>381920</v>
      </c>
    </row>
    <row r="739" spans="1:20" ht="12" customHeight="1">
      <c r="A739" s="301" t="s">
        <v>3352</v>
      </c>
      <c r="B739" s="303" t="s">
        <v>23</v>
      </c>
      <c r="C739" s="304">
        <f t="shared" si="11"/>
        <v>715164.1875</v>
      </c>
      <c r="D739" s="281" cm="1">
        <f t="array" aca="1" ref="D739" ca="1">IF(Insumo[[#This Row],[VALOR]]=0,Insumo[TOTAL],E739/C739)</f>
        <v>0</v>
      </c>
      <c r="E739" s="69">
        <f ca="1">SUM(Insumo[[#This Row],[CAP1-3]:[CAP29]])</f>
        <v>0</v>
      </c>
      <c r="F739" s="69">
        <f ca="1">SUMIF('CAP1-3'!$B:$H,Insumo[[#This Row],[DESCRIPCION]],'CAP1-3'!$H:$H)</f>
        <v>0</v>
      </c>
      <c r="G739" s="69">
        <f ca="1">SUMIF('CAP4-5'!$B:$H,Insumo[[#This Row],[DESCRIPCION]],'CAP4-5'!$H:$H)</f>
        <v>0</v>
      </c>
      <c r="H739" s="69">
        <f ca="1">SUMIF('CAP6-7'!$B:$H,Insumo[[#This Row],[DESCRIPCION]],'CAP6-7'!$H:$H)</f>
        <v>0</v>
      </c>
      <c r="I739" s="69">
        <f ca="1">SUMIF('CAP8'!$B:$H,Insumo[[#This Row],[DESCRIPCION]],'CAP8'!$H:$H)</f>
        <v>0</v>
      </c>
      <c r="J739" s="69">
        <f ca="1">SUMIF('CAP9-13'!$B:$H,Insumo[[#This Row],[DESCRIPCION]],'CAP9-13'!$H:$H)</f>
        <v>0</v>
      </c>
      <c r="K739" s="69">
        <f ca="1">SUMIF('CAP14-15'!$B:$H,Insumo[[#This Row],[DESCRIPCION]],'CAP14-15'!$H:$H)</f>
        <v>0</v>
      </c>
      <c r="L739" s="69">
        <f ca="1">SUMIF('CAP16-18'!$B:$H,Insumo[[#This Row],[DESCRIPCION]],'CAP16-18'!$H:$H)</f>
        <v>0</v>
      </c>
      <c r="M739" s="69">
        <f ca="1">SUMIF('CAP19-22'!$B:$H,Insumo[[#This Row],[DESCRIPCION]],'CAP19-22'!$H:$H)</f>
        <v>0</v>
      </c>
      <c r="N739" s="69">
        <f ca="1">SUMIF('CAP23-24'!$B:$H,Insumo[[#This Row],[DESCRIPCION]],'CAP23-24'!$H:$H)</f>
        <v>0</v>
      </c>
      <c r="O739" s="69">
        <f ca="1">SUMIF('CAP25'!$B:$H,Insumo[[#This Row],[DESCRIPCION]],'CAP25'!$H:$H)</f>
        <v>0</v>
      </c>
      <c r="P739" s="69">
        <f ca="1">SUMIF('CAP26-28'!$B:$H,Insumo[[#This Row],[DESCRIPCION]],'CAP26-28'!$H:$H)</f>
        <v>0</v>
      </c>
      <c r="Q739" s="69">
        <f ca="1">SUMIF('CAP29'!$B:$H,Insumo[[#This Row],[DESCRIPCION]],'CAP29'!$H:$H)</f>
        <v>0</v>
      </c>
      <c r="R739" s="290"/>
      <c r="T739" s="136">
        <v>681108.75</v>
      </c>
    </row>
    <row r="740" spans="1:20" ht="12" customHeight="1">
      <c r="A740" s="301" t="s">
        <v>3353</v>
      </c>
      <c r="B740" s="303" t="s">
        <v>23</v>
      </c>
      <c r="C740" s="304">
        <f t="shared" si="11"/>
        <v>781012.83750000002</v>
      </c>
      <c r="D740" s="281" cm="1">
        <f t="array" aca="1" ref="D740" ca="1">IF(Insumo[[#This Row],[VALOR]]=0,Insumo[TOTAL],E740/C740)</f>
        <v>0</v>
      </c>
      <c r="E740" s="69">
        <f ca="1">SUM(Insumo[[#This Row],[CAP1-3]:[CAP29]])</f>
        <v>0</v>
      </c>
      <c r="F740" s="69">
        <f ca="1">SUMIF('CAP1-3'!$B:$H,Insumo[[#This Row],[DESCRIPCION]],'CAP1-3'!$H:$H)</f>
        <v>0</v>
      </c>
      <c r="G740" s="69">
        <f ca="1">SUMIF('CAP4-5'!$B:$H,Insumo[[#This Row],[DESCRIPCION]],'CAP4-5'!$H:$H)</f>
        <v>0</v>
      </c>
      <c r="H740" s="69">
        <f ca="1">SUMIF('CAP6-7'!$B:$H,Insumo[[#This Row],[DESCRIPCION]],'CAP6-7'!$H:$H)</f>
        <v>0</v>
      </c>
      <c r="I740" s="69">
        <f ca="1">SUMIF('CAP8'!$B:$H,Insumo[[#This Row],[DESCRIPCION]],'CAP8'!$H:$H)</f>
        <v>0</v>
      </c>
      <c r="J740" s="69">
        <f ca="1">SUMIF('CAP9-13'!$B:$H,Insumo[[#This Row],[DESCRIPCION]],'CAP9-13'!$H:$H)</f>
        <v>0</v>
      </c>
      <c r="K740" s="69">
        <f ca="1">SUMIF('CAP14-15'!$B:$H,Insumo[[#This Row],[DESCRIPCION]],'CAP14-15'!$H:$H)</f>
        <v>0</v>
      </c>
      <c r="L740" s="69">
        <f ca="1">SUMIF('CAP16-18'!$B:$H,Insumo[[#This Row],[DESCRIPCION]],'CAP16-18'!$H:$H)</f>
        <v>0</v>
      </c>
      <c r="M740" s="69">
        <f ca="1">SUMIF('CAP19-22'!$B:$H,Insumo[[#This Row],[DESCRIPCION]],'CAP19-22'!$H:$H)</f>
        <v>0</v>
      </c>
      <c r="N740" s="69">
        <f ca="1">SUMIF('CAP23-24'!$B:$H,Insumo[[#This Row],[DESCRIPCION]],'CAP23-24'!$H:$H)</f>
        <v>0</v>
      </c>
      <c r="O740" s="69">
        <f ca="1">SUMIF('CAP25'!$B:$H,Insumo[[#This Row],[DESCRIPCION]],'CAP25'!$H:$H)</f>
        <v>0</v>
      </c>
      <c r="P740" s="69">
        <f ca="1">SUMIF('CAP26-28'!$B:$H,Insumo[[#This Row],[DESCRIPCION]],'CAP26-28'!$H:$H)</f>
        <v>0</v>
      </c>
      <c r="Q740" s="69">
        <f ca="1">SUMIF('CAP29'!$B:$H,Insumo[[#This Row],[DESCRIPCION]],'CAP29'!$H:$H)</f>
        <v>0</v>
      </c>
      <c r="R740" s="290"/>
      <c r="T740" s="136">
        <v>743821.75</v>
      </c>
    </row>
    <row r="741" spans="1:20" ht="12" customHeight="1">
      <c r="A741" s="301" t="s">
        <v>3354</v>
      </c>
      <c r="B741" s="303" t="s">
        <v>23</v>
      </c>
      <c r="C741" s="304">
        <f t="shared" si="11"/>
        <v>2137479.75</v>
      </c>
      <c r="D741" s="281" cm="1">
        <f t="array" aca="1" ref="D741" ca="1">IF(Insumo[[#This Row],[VALOR]]=0,Insumo[TOTAL],E741/C741)</f>
        <v>0</v>
      </c>
      <c r="E741" s="69">
        <f ca="1">SUM(Insumo[[#This Row],[CAP1-3]:[CAP29]])</f>
        <v>0</v>
      </c>
      <c r="F741" s="69">
        <f ca="1">SUMIF('CAP1-3'!$B:$H,Insumo[[#This Row],[DESCRIPCION]],'CAP1-3'!$H:$H)</f>
        <v>0</v>
      </c>
      <c r="G741" s="69">
        <f ca="1">SUMIF('CAP4-5'!$B:$H,Insumo[[#This Row],[DESCRIPCION]],'CAP4-5'!$H:$H)</f>
        <v>0</v>
      </c>
      <c r="H741" s="69">
        <f ca="1">SUMIF('CAP6-7'!$B:$H,Insumo[[#This Row],[DESCRIPCION]],'CAP6-7'!$H:$H)</f>
        <v>0</v>
      </c>
      <c r="I741" s="69">
        <f ca="1">SUMIF('CAP8'!$B:$H,Insumo[[#This Row],[DESCRIPCION]],'CAP8'!$H:$H)</f>
        <v>0</v>
      </c>
      <c r="J741" s="69">
        <f ca="1">SUMIF('CAP9-13'!$B:$H,Insumo[[#This Row],[DESCRIPCION]],'CAP9-13'!$H:$H)</f>
        <v>0</v>
      </c>
      <c r="K741" s="69">
        <f ca="1">SUMIF('CAP14-15'!$B:$H,Insumo[[#This Row],[DESCRIPCION]],'CAP14-15'!$H:$H)</f>
        <v>0</v>
      </c>
      <c r="L741" s="69">
        <f ca="1">SUMIF('CAP16-18'!$B:$H,Insumo[[#This Row],[DESCRIPCION]],'CAP16-18'!$H:$H)</f>
        <v>0</v>
      </c>
      <c r="M741" s="69">
        <f ca="1">SUMIF('CAP19-22'!$B:$H,Insumo[[#This Row],[DESCRIPCION]],'CAP19-22'!$H:$H)</f>
        <v>0</v>
      </c>
      <c r="N741" s="69">
        <f ca="1">SUMIF('CAP23-24'!$B:$H,Insumo[[#This Row],[DESCRIPCION]],'CAP23-24'!$H:$H)</f>
        <v>0</v>
      </c>
      <c r="O741" s="69">
        <f ca="1">SUMIF('CAP25'!$B:$H,Insumo[[#This Row],[DESCRIPCION]],'CAP25'!$H:$H)</f>
        <v>0</v>
      </c>
      <c r="P741" s="69">
        <f ca="1">SUMIF('CAP26-28'!$B:$H,Insumo[[#This Row],[DESCRIPCION]],'CAP26-28'!$H:$H)</f>
        <v>0</v>
      </c>
      <c r="Q741" s="69">
        <f ca="1">SUMIF('CAP29'!$B:$H,Insumo[[#This Row],[DESCRIPCION]],'CAP29'!$H:$H)</f>
        <v>0</v>
      </c>
      <c r="T741" s="136">
        <v>2035695</v>
      </c>
    </row>
    <row r="742" spans="1:20" ht="12" customHeight="1">
      <c r="A742" s="301" t="s">
        <v>3355</v>
      </c>
      <c r="B742" s="303" t="s">
        <v>20</v>
      </c>
      <c r="C742" s="304">
        <f t="shared" si="11"/>
        <v>62751.15</v>
      </c>
      <c r="D742" s="281" cm="1">
        <f t="array" aca="1" ref="D742" ca="1">IF(Insumo[[#This Row],[VALOR]]=0,Insumo[TOTAL],E742/C742)</f>
        <v>0</v>
      </c>
      <c r="E742" s="69">
        <f ca="1">SUM(Insumo[[#This Row],[CAP1-3]:[CAP29]])</f>
        <v>0</v>
      </c>
      <c r="F742" s="69">
        <f ca="1">SUMIF('CAP1-3'!$B:$H,Insumo[[#This Row],[DESCRIPCION]],'CAP1-3'!$H:$H)</f>
        <v>0</v>
      </c>
      <c r="G742" s="69">
        <f ca="1">SUMIF('CAP4-5'!$B:$H,Insumo[[#This Row],[DESCRIPCION]],'CAP4-5'!$H:$H)</f>
        <v>0</v>
      </c>
      <c r="H742" s="69">
        <f ca="1">SUMIF('CAP6-7'!$B:$H,Insumo[[#This Row],[DESCRIPCION]],'CAP6-7'!$H:$H)</f>
        <v>0</v>
      </c>
      <c r="I742" s="69">
        <f ca="1">SUMIF('CAP8'!$B:$H,Insumo[[#This Row],[DESCRIPCION]],'CAP8'!$H:$H)</f>
        <v>0</v>
      </c>
      <c r="J742" s="69">
        <f ca="1">SUMIF('CAP9-13'!$B:$H,Insumo[[#This Row],[DESCRIPCION]],'CAP9-13'!$H:$H)</f>
        <v>0</v>
      </c>
      <c r="K742" s="69">
        <f ca="1">SUMIF('CAP14-15'!$B:$H,Insumo[[#This Row],[DESCRIPCION]],'CAP14-15'!$H:$H)</f>
        <v>0</v>
      </c>
      <c r="L742" s="69">
        <f ca="1">SUMIF('CAP16-18'!$B:$H,Insumo[[#This Row],[DESCRIPCION]],'CAP16-18'!$H:$H)</f>
        <v>0</v>
      </c>
      <c r="M742" s="69">
        <f ca="1">SUMIF('CAP19-22'!$B:$H,Insumo[[#This Row],[DESCRIPCION]],'CAP19-22'!$H:$H)</f>
        <v>0</v>
      </c>
      <c r="N742" s="69">
        <f ca="1">SUMIF('CAP23-24'!$B:$H,Insumo[[#This Row],[DESCRIPCION]],'CAP23-24'!$H:$H)</f>
        <v>0</v>
      </c>
      <c r="O742" s="69">
        <f ca="1">SUMIF('CAP25'!$B:$H,Insumo[[#This Row],[DESCRIPCION]],'CAP25'!$H:$H)</f>
        <v>0</v>
      </c>
      <c r="P742" s="69">
        <f ca="1">SUMIF('CAP26-28'!$B:$H,Insumo[[#This Row],[DESCRIPCION]],'CAP26-28'!$H:$H)</f>
        <v>0</v>
      </c>
      <c r="Q742" s="69">
        <f ca="1">SUMIF('CAP29'!$B:$H,Insumo[[#This Row],[DESCRIPCION]],'CAP29'!$H:$H)</f>
        <v>0</v>
      </c>
      <c r="R742" s="136" t="s">
        <v>3356</v>
      </c>
      <c r="T742" s="136">
        <v>59763</v>
      </c>
    </row>
    <row r="743" spans="1:20" ht="12" customHeight="1">
      <c r="A743" s="301" t="s">
        <v>3357</v>
      </c>
      <c r="B743" s="303" t="s">
        <v>20</v>
      </c>
      <c r="C743" s="304">
        <f t="shared" si="11"/>
        <v>13593.300000000001</v>
      </c>
      <c r="D743" s="281" cm="1">
        <f t="array" aca="1" ref="D743" ca="1">IF(Insumo[[#This Row],[VALOR]]=0,Insumo[TOTAL],E743/C743)</f>
        <v>0</v>
      </c>
      <c r="E743" s="69">
        <f ca="1">SUM(Insumo[[#This Row],[CAP1-3]:[CAP29]])</f>
        <v>0</v>
      </c>
      <c r="F743" s="69">
        <f ca="1">SUMIF('CAP1-3'!$B:$H,Insumo[[#This Row],[DESCRIPCION]],'CAP1-3'!$H:$H)</f>
        <v>0</v>
      </c>
      <c r="G743" s="69">
        <f ca="1">SUMIF('CAP4-5'!$B:$H,Insumo[[#This Row],[DESCRIPCION]],'CAP4-5'!$H:$H)</f>
        <v>0</v>
      </c>
      <c r="H743" s="69">
        <f ca="1">SUMIF('CAP6-7'!$B:$H,Insumo[[#This Row],[DESCRIPCION]],'CAP6-7'!$H:$H)</f>
        <v>0</v>
      </c>
      <c r="I743" s="69">
        <f ca="1">SUMIF('CAP8'!$B:$H,Insumo[[#This Row],[DESCRIPCION]],'CAP8'!$H:$H)</f>
        <v>0</v>
      </c>
      <c r="J743" s="69">
        <f ca="1">SUMIF('CAP9-13'!$B:$H,Insumo[[#This Row],[DESCRIPCION]],'CAP9-13'!$H:$H)</f>
        <v>0</v>
      </c>
      <c r="K743" s="69">
        <f ca="1">SUMIF('CAP14-15'!$B:$H,Insumo[[#This Row],[DESCRIPCION]],'CAP14-15'!$H:$H)</f>
        <v>0</v>
      </c>
      <c r="L743" s="69">
        <f ca="1">SUMIF('CAP16-18'!$B:$H,Insumo[[#This Row],[DESCRIPCION]],'CAP16-18'!$H:$H)</f>
        <v>0</v>
      </c>
      <c r="M743" s="69">
        <f ca="1">SUMIF('CAP19-22'!$B:$H,Insumo[[#This Row],[DESCRIPCION]],'CAP19-22'!$H:$H)</f>
        <v>0</v>
      </c>
      <c r="N743" s="69">
        <f ca="1">SUMIF('CAP23-24'!$B:$H,Insumo[[#This Row],[DESCRIPCION]],'CAP23-24'!$H:$H)</f>
        <v>0</v>
      </c>
      <c r="O743" s="69">
        <f ca="1">SUMIF('CAP25'!$B:$H,Insumo[[#This Row],[DESCRIPCION]],'CAP25'!$H:$H)</f>
        <v>0</v>
      </c>
      <c r="P743" s="69">
        <f ca="1">SUMIF('CAP26-28'!$B:$H,Insumo[[#This Row],[DESCRIPCION]],'CAP26-28'!$H:$H)</f>
        <v>0</v>
      </c>
      <c r="Q743" s="69">
        <f ca="1">SUMIF('CAP29'!$B:$H,Insumo[[#This Row],[DESCRIPCION]],'CAP29'!$H:$H)</f>
        <v>0</v>
      </c>
      <c r="T743" s="136">
        <v>12946</v>
      </c>
    </row>
    <row r="744" spans="1:20" ht="12" customHeight="1">
      <c r="A744" s="301" t="s">
        <v>3358</v>
      </c>
      <c r="B744" s="303" t="s">
        <v>23</v>
      </c>
      <c r="C744" s="304">
        <f t="shared" si="11"/>
        <v>20266.05</v>
      </c>
      <c r="D744" s="281" cm="1">
        <f t="array" aca="1" ref="D744" ca="1">IF(Insumo[[#This Row],[VALOR]]=0,Insumo[TOTAL],E744/C744)</f>
        <v>0</v>
      </c>
      <c r="E744" s="69">
        <f ca="1">SUM(Insumo[[#This Row],[CAP1-3]:[CAP29]])</f>
        <v>0</v>
      </c>
      <c r="F744" s="69">
        <f ca="1">SUMIF('CAP1-3'!$B:$H,Insumo[[#This Row],[DESCRIPCION]],'CAP1-3'!$H:$H)</f>
        <v>0</v>
      </c>
      <c r="G744" s="69">
        <f ca="1">SUMIF('CAP4-5'!$B:$H,Insumo[[#This Row],[DESCRIPCION]],'CAP4-5'!$H:$H)</f>
        <v>0</v>
      </c>
      <c r="H744" s="69">
        <f ca="1">SUMIF('CAP6-7'!$B:$H,Insumo[[#This Row],[DESCRIPCION]],'CAP6-7'!$H:$H)</f>
        <v>0</v>
      </c>
      <c r="I744" s="69">
        <f ca="1">SUMIF('CAP8'!$B:$H,Insumo[[#This Row],[DESCRIPCION]],'CAP8'!$H:$H)</f>
        <v>0</v>
      </c>
      <c r="J744" s="69">
        <f ca="1">SUMIF('CAP9-13'!$B:$H,Insumo[[#This Row],[DESCRIPCION]],'CAP9-13'!$H:$H)</f>
        <v>0</v>
      </c>
      <c r="K744" s="69">
        <f ca="1">SUMIF('CAP14-15'!$B:$H,Insumo[[#This Row],[DESCRIPCION]],'CAP14-15'!$H:$H)</f>
        <v>0</v>
      </c>
      <c r="L744" s="69">
        <f ca="1">SUMIF('CAP16-18'!$B:$H,Insumo[[#This Row],[DESCRIPCION]],'CAP16-18'!$H:$H)</f>
        <v>0</v>
      </c>
      <c r="M744" s="69">
        <f ca="1">SUMIF('CAP19-22'!$B:$H,Insumo[[#This Row],[DESCRIPCION]],'CAP19-22'!$H:$H)</f>
        <v>0</v>
      </c>
      <c r="N744" s="69">
        <f ca="1">SUMIF('CAP23-24'!$B:$H,Insumo[[#This Row],[DESCRIPCION]],'CAP23-24'!$H:$H)</f>
        <v>0</v>
      </c>
      <c r="O744" s="69">
        <f ca="1">SUMIF('CAP25'!$B:$H,Insumo[[#This Row],[DESCRIPCION]],'CAP25'!$H:$H)</f>
        <v>0</v>
      </c>
      <c r="P744" s="69">
        <f ca="1">SUMIF('CAP26-28'!$B:$H,Insumo[[#This Row],[DESCRIPCION]],'CAP26-28'!$H:$H)</f>
        <v>0</v>
      </c>
      <c r="Q744" s="69">
        <f ca="1">SUMIF('CAP29'!$B:$H,Insumo[[#This Row],[DESCRIPCION]],'CAP29'!$H:$H)</f>
        <v>0</v>
      </c>
      <c r="T744" s="136">
        <v>19301</v>
      </c>
    </row>
    <row r="745" spans="1:20" ht="12" customHeight="1">
      <c r="A745" s="301" t="s">
        <v>3359</v>
      </c>
      <c r="B745" s="303" t="s">
        <v>23</v>
      </c>
      <c r="C745" s="304">
        <f t="shared" si="11"/>
        <v>493395</v>
      </c>
      <c r="D745" s="281" cm="1">
        <f t="array" aca="1" ref="D745" ca="1">IF(Insumo[[#This Row],[VALOR]]=0,Insumo[TOTAL],E745/C745)</f>
        <v>0</v>
      </c>
      <c r="E745" s="69">
        <f ca="1">SUM(Insumo[[#This Row],[CAP1-3]:[CAP29]])</f>
        <v>0</v>
      </c>
      <c r="F745" s="69">
        <f ca="1">SUMIF('CAP1-3'!$B:$H,Insumo[[#This Row],[DESCRIPCION]],'CAP1-3'!$H:$H)</f>
        <v>0</v>
      </c>
      <c r="G745" s="69">
        <f ca="1">SUMIF('CAP4-5'!$B:$H,Insumo[[#This Row],[DESCRIPCION]],'CAP4-5'!$H:$H)</f>
        <v>0</v>
      </c>
      <c r="H745" s="69">
        <f ca="1">SUMIF('CAP6-7'!$B:$H,Insumo[[#This Row],[DESCRIPCION]],'CAP6-7'!$H:$H)</f>
        <v>0</v>
      </c>
      <c r="I745" s="69">
        <f ca="1">SUMIF('CAP8'!$B:$H,Insumo[[#This Row],[DESCRIPCION]],'CAP8'!$H:$H)</f>
        <v>0</v>
      </c>
      <c r="J745" s="69">
        <f ca="1">SUMIF('CAP9-13'!$B:$H,Insumo[[#This Row],[DESCRIPCION]],'CAP9-13'!$H:$H)</f>
        <v>0</v>
      </c>
      <c r="K745" s="69">
        <f ca="1">SUMIF('CAP14-15'!$B:$H,Insumo[[#This Row],[DESCRIPCION]],'CAP14-15'!$H:$H)</f>
        <v>0</v>
      </c>
      <c r="L745" s="69">
        <f ca="1">SUMIF('CAP16-18'!$B:$H,Insumo[[#This Row],[DESCRIPCION]],'CAP16-18'!$H:$H)</f>
        <v>0</v>
      </c>
      <c r="M745" s="69">
        <f ca="1">SUMIF('CAP19-22'!$B:$H,Insumo[[#This Row],[DESCRIPCION]],'CAP19-22'!$H:$H)</f>
        <v>0</v>
      </c>
      <c r="N745" s="69">
        <f ca="1">SUMIF('CAP23-24'!$B:$H,Insumo[[#This Row],[DESCRIPCION]],'CAP23-24'!$H:$H)</f>
        <v>0</v>
      </c>
      <c r="O745" s="69">
        <f ca="1">SUMIF('CAP25'!$B:$H,Insumo[[#This Row],[DESCRIPCION]],'CAP25'!$H:$H)</f>
        <v>0</v>
      </c>
      <c r="P745" s="69">
        <f ca="1">SUMIF('CAP26-28'!$B:$H,Insumo[[#This Row],[DESCRIPCION]],'CAP26-28'!$H:$H)</f>
        <v>0</v>
      </c>
      <c r="Q745" s="69">
        <f ca="1">SUMIF('CAP29'!$B:$H,Insumo[[#This Row],[DESCRIPCION]],'CAP29'!$H:$H)</f>
        <v>0</v>
      </c>
      <c r="R745" s="136" t="s">
        <v>3356</v>
      </c>
      <c r="T745" s="136">
        <v>469900</v>
      </c>
    </row>
    <row r="746" spans="1:20" ht="12" customHeight="1">
      <c r="A746" s="301" t="s">
        <v>3360</v>
      </c>
      <c r="B746" s="303" t="s">
        <v>23</v>
      </c>
      <c r="C746" s="304">
        <f t="shared" si="11"/>
        <v>928095</v>
      </c>
      <c r="D746" s="281" cm="1">
        <f t="array" aca="1" ref="D746" ca="1">IF(Insumo[[#This Row],[VALOR]]=0,Insumo[TOTAL],E746/C746)</f>
        <v>0</v>
      </c>
      <c r="E746" s="69">
        <f ca="1">SUM(Insumo[[#This Row],[CAP1-3]:[CAP29]])</f>
        <v>0</v>
      </c>
      <c r="F746" s="69">
        <f ca="1">SUMIF('CAP1-3'!$B:$H,Insumo[[#This Row],[DESCRIPCION]],'CAP1-3'!$H:$H)</f>
        <v>0</v>
      </c>
      <c r="G746" s="69">
        <f ca="1">SUMIF('CAP4-5'!$B:$H,Insumo[[#This Row],[DESCRIPCION]],'CAP4-5'!$H:$H)</f>
        <v>0</v>
      </c>
      <c r="H746" s="69">
        <f ca="1">SUMIF('CAP6-7'!$B:$H,Insumo[[#This Row],[DESCRIPCION]],'CAP6-7'!$H:$H)</f>
        <v>0</v>
      </c>
      <c r="I746" s="69">
        <f ca="1">SUMIF('CAP8'!$B:$H,Insumo[[#This Row],[DESCRIPCION]],'CAP8'!$H:$H)</f>
        <v>0</v>
      </c>
      <c r="J746" s="69">
        <f ca="1">SUMIF('CAP9-13'!$B:$H,Insumo[[#This Row],[DESCRIPCION]],'CAP9-13'!$H:$H)</f>
        <v>0</v>
      </c>
      <c r="K746" s="69">
        <f ca="1">SUMIF('CAP14-15'!$B:$H,Insumo[[#This Row],[DESCRIPCION]],'CAP14-15'!$H:$H)</f>
        <v>0</v>
      </c>
      <c r="L746" s="69">
        <f ca="1">SUMIF('CAP16-18'!$B:$H,Insumo[[#This Row],[DESCRIPCION]],'CAP16-18'!$H:$H)</f>
        <v>0</v>
      </c>
      <c r="M746" s="69">
        <f ca="1">SUMIF('CAP19-22'!$B:$H,Insumo[[#This Row],[DESCRIPCION]],'CAP19-22'!$H:$H)</f>
        <v>0</v>
      </c>
      <c r="N746" s="69">
        <f ca="1">SUMIF('CAP23-24'!$B:$H,Insumo[[#This Row],[DESCRIPCION]],'CAP23-24'!$H:$H)</f>
        <v>0</v>
      </c>
      <c r="O746" s="69">
        <f ca="1">SUMIF('CAP25'!$B:$H,Insumo[[#This Row],[DESCRIPCION]],'CAP25'!$H:$H)</f>
        <v>0</v>
      </c>
      <c r="P746" s="69">
        <f ca="1">SUMIF('CAP26-28'!$B:$H,Insumo[[#This Row],[DESCRIPCION]],'CAP26-28'!$H:$H)</f>
        <v>0</v>
      </c>
      <c r="Q746" s="69">
        <f ca="1">SUMIF('CAP29'!$B:$H,Insumo[[#This Row],[DESCRIPCION]],'CAP29'!$H:$H)</f>
        <v>0</v>
      </c>
      <c r="R746" s="136" t="s">
        <v>3356</v>
      </c>
      <c r="T746" s="136">
        <v>883900</v>
      </c>
    </row>
    <row r="747" spans="1:20" ht="12" customHeight="1">
      <c r="A747" s="301" t="s">
        <v>3361</v>
      </c>
      <c r="B747" s="303" t="s">
        <v>23</v>
      </c>
      <c r="C747" s="304">
        <f t="shared" si="11"/>
        <v>253995</v>
      </c>
      <c r="D747" s="281" cm="1">
        <f t="array" aca="1" ref="D747" ca="1">IF(Insumo[[#This Row],[VALOR]]=0,Insumo[TOTAL],E747/C747)</f>
        <v>0</v>
      </c>
      <c r="E747" s="69">
        <f ca="1">SUM(Insumo[[#This Row],[CAP1-3]:[CAP29]])</f>
        <v>0</v>
      </c>
      <c r="F747" s="69">
        <f ca="1">SUMIF('CAP1-3'!$B:$H,Insumo[[#This Row],[DESCRIPCION]],'CAP1-3'!$H:$H)</f>
        <v>0</v>
      </c>
      <c r="G747" s="69">
        <f ca="1">SUMIF('CAP4-5'!$B:$H,Insumo[[#This Row],[DESCRIPCION]],'CAP4-5'!$H:$H)</f>
        <v>0</v>
      </c>
      <c r="H747" s="69">
        <f ca="1">SUMIF('CAP6-7'!$B:$H,Insumo[[#This Row],[DESCRIPCION]],'CAP6-7'!$H:$H)</f>
        <v>0</v>
      </c>
      <c r="I747" s="69">
        <f ca="1">SUMIF('CAP8'!$B:$H,Insumo[[#This Row],[DESCRIPCION]],'CAP8'!$H:$H)</f>
        <v>0</v>
      </c>
      <c r="J747" s="69">
        <f ca="1">SUMIF('CAP9-13'!$B:$H,Insumo[[#This Row],[DESCRIPCION]],'CAP9-13'!$H:$H)</f>
        <v>0</v>
      </c>
      <c r="K747" s="69">
        <f ca="1">SUMIF('CAP14-15'!$B:$H,Insumo[[#This Row],[DESCRIPCION]],'CAP14-15'!$H:$H)</f>
        <v>0</v>
      </c>
      <c r="L747" s="69">
        <f ca="1">SUMIF('CAP16-18'!$B:$H,Insumo[[#This Row],[DESCRIPCION]],'CAP16-18'!$H:$H)</f>
        <v>0</v>
      </c>
      <c r="M747" s="69">
        <f ca="1">SUMIF('CAP19-22'!$B:$H,Insumo[[#This Row],[DESCRIPCION]],'CAP19-22'!$H:$H)</f>
        <v>0</v>
      </c>
      <c r="N747" s="69">
        <f ca="1">SUMIF('CAP23-24'!$B:$H,Insumo[[#This Row],[DESCRIPCION]],'CAP23-24'!$H:$H)</f>
        <v>0</v>
      </c>
      <c r="O747" s="69">
        <f ca="1">SUMIF('CAP25'!$B:$H,Insumo[[#This Row],[DESCRIPCION]],'CAP25'!$H:$H)</f>
        <v>0</v>
      </c>
      <c r="P747" s="69">
        <f ca="1">SUMIF('CAP26-28'!$B:$H,Insumo[[#This Row],[DESCRIPCION]],'CAP26-28'!$H:$H)</f>
        <v>0</v>
      </c>
      <c r="Q747" s="69">
        <f ca="1">SUMIF('CAP29'!$B:$H,Insumo[[#This Row],[DESCRIPCION]],'CAP29'!$H:$H)</f>
        <v>0</v>
      </c>
      <c r="R747" s="136" t="s">
        <v>3356</v>
      </c>
      <c r="T747" s="136">
        <v>241900</v>
      </c>
    </row>
    <row r="748" spans="1:20" ht="12" customHeight="1">
      <c r="A748" s="301" t="s">
        <v>3362</v>
      </c>
      <c r="B748" s="303" t="s">
        <v>23</v>
      </c>
      <c r="C748" s="304">
        <f t="shared" si="11"/>
        <v>285495</v>
      </c>
      <c r="D748" s="281" cm="1">
        <f t="array" aca="1" ref="D748" ca="1">IF(Insumo[[#This Row],[VALOR]]=0,Insumo[TOTAL],E748/C748)</f>
        <v>0</v>
      </c>
      <c r="E748" s="69">
        <f ca="1">SUM(Insumo[[#This Row],[CAP1-3]:[CAP29]])</f>
        <v>0</v>
      </c>
      <c r="F748" s="69">
        <f ca="1">SUMIF('CAP1-3'!$B:$H,Insumo[[#This Row],[DESCRIPCION]],'CAP1-3'!$H:$H)</f>
        <v>0</v>
      </c>
      <c r="G748" s="69">
        <f ca="1">SUMIF('CAP4-5'!$B:$H,Insumo[[#This Row],[DESCRIPCION]],'CAP4-5'!$H:$H)</f>
        <v>0</v>
      </c>
      <c r="H748" s="69">
        <f ca="1">SUMIF('CAP6-7'!$B:$H,Insumo[[#This Row],[DESCRIPCION]],'CAP6-7'!$H:$H)</f>
        <v>0</v>
      </c>
      <c r="I748" s="69">
        <f ca="1">SUMIF('CAP8'!$B:$H,Insumo[[#This Row],[DESCRIPCION]],'CAP8'!$H:$H)</f>
        <v>0</v>
      </c>
      <c r="J748" s="69">
        <f ca="1">SUMIF('CAP9-13'!$B:$H,Insumo[[#This Row],[DESCRIPCION]],'CAP9-13'!$H:$H)</f>
        <v>0</v>
      </c>
      <c r="K748" s="69">
        <f ca="1">SUMIF('CAP14-15'!$B:$H,Insumo[[#This Row],[DESCRIPCION]],'CAP14-15'!$H:$H)</f>
        <v>0</v>
      </c>
      <c r="L748" s="69">
        <f ca="1">SUMIF('CAP16-18'!$B:$H,Insumo[[#This Row],[DESCRIPCION]],'CAP16-18'!$H:$H)</f>
        <v>0</v>
      </c>
      <c r="M748" s="69">
        <f ca="1">SUMIF('CAP19-22'!$B:$H,Insumo[[#This Row],[DESCRIPCION]],'CAP19-22'!$H:$H)</f>
        <v>0</v>
      </c>
      <c r="N748" s="69">
        <f ca="1">SUMIF('CAP23-24'!$B:$H,Insumo[[#This Row],[DESCRIPCION]],'CAP23-24'!$H:$H)</f>
        <v>0</v>
      </c>
      <c r="O748" s="69">
        <f ca="1">SUMIF('CAP25'!$B:$H,Insumo[[#This Row],[DESCRIPCION]],'CAP25'!$H:$H)</f>
        <v>0</v>
      </c>
      <c r="P748" s="69">
        <f ca="1">SUMIF('CAP26-28'!$B:$H,Insumo[[#This Row],[DESCRIPCION]],'CAP26-28'!$H:$H)</f>
        <v>0</v>
      </c>
      <c r="Q748" s="69">
        <f ca="1">SUMIF('CAP29'!$B:$H,Insumo[[#This Row],[DESCRIPCION]],'CAP29'!$H:$H)</f>
        <v>0</v>
      </c>
      <c r="R748" s="136" t="s">
        <v>3356</v>
      </c>
      <c r="T748" s="136">
        <v>271900</v>
      </c>
    </row>
    <row r="749" spans="1:20" ht="12" customHeight="1">
      <c r="A749" s="301" t="s">
        <v>3363</v>
      </c>
      <c r="B749" s="303" t="s">
        <v>23</v>
      </c>
      <c r="C749" s="304">
        <f t="shared" si="11"/>
        <v>5604.9000000000005</v>
      </c>
      <c r="D749" s="281" cm="1">
        <f t="array" aca="1" ref="D749" ca="1">IF(Insumo[[#This Row],[VALOR]]=0,Insumo[TOTAL],E749/C749)</f>
        <v>0</v>
      </c>
      <c r="E749" s="69">
        <f ca="1">SUM(Insumo[[#This Row],[CAP1-3]:[CAP29]])</f>
        <v>0</v>
      </c>
      <c r="F749" s="69">
        <f ca="1">SUMIF('CAP1-3'!$B:$H,Insumo[[#This Row],[DESCRIPCION]],'CAP1-3'!$H:$H)</f>
        <v>0</v>
      </c>
      <c r="G749" s="69">
        <f ca="1">SUMIF('CAP4-5'!$B:$H,Insumo[[#This Row],[DESCRIPCION]],'CAP4-5'!$H:$H)</f>
        <v>0</v>
      </c>
      <c r="H749" s="69">
        <f ca="1">SUMIF('CAP6-7'!$B:$H,Insumo[[#This Row],[DESCRIPCION]],'CAP6-7'!$H:$H)</f>
        <v>0</v>
      </c>
      <c r="I749" s="69">
        <f ca="1">SUMIF('CAP8'!$B:$H,Insumo[[#This Row],[DESCRIPCION]],'CAP8'!$H:$H)</f>
        <v>0</v>
      </c>
      <c r="J749" s="69">
        <f ca="1">SUMIF('CAP9-13'!$B:$H,Insumo[[#This Row],[DESCRIPCION]],'CAP9-13'!$H:$H)</f>
        <v>0</v>
      </c>
      <c r="K749" s="69">
        <f ca="1">SUMIF('CAP14-15'!$B:$H,Insumo[[#This Row],[DESCRIPCION]],'CAP14-15'!$H:$H)</f>
        <v>0</v>
      </c>
      <c r="L749" s="69">
        <f ca="1">SUMIF('CAP16-18'!$B:$H,Insumo[[#This Row],[DESCRIPCION]],'CAP16-18'!$H:$H)</f>
        <v>0</v>
      </c>
      <c r="M749" s="69">
        <f ca="1">SUMIF('CAP19-22'!$B:$H,Insumo[[#This Row],[DESCRIPCION]],'CAP19-22'!$H:$H)</f>
        <v>0</v>
      </c>
      <c r="N749" s="69">
        <f ca="1">SUMIF('CAP23-24'!$B:$H,Insumo[[#This Row],[DESCRIPCION]],'CAP23-24'!$H:$H)</f>
        <v>0</v>
      </c>
      <c r="O749" s="69">
        <f ca="1">SUMIF('CAP25'!$B:$H,Insumo[[#This Row],[DESCRIPCION]],'CAP25'!$H:$H)</f>
        <v>0</v>
      </c>
      <c r="P749" s="69">
        <f ca="1">SUMIF('CAP26-28'!$B:$H,Insumo[[#This Row],[DESCRIPCION]],'CAP26-28'!$H:$H)</f>
        <v>0</v>
      </c>
      <c r="Q749" s="69">
        <f ca="1">SUMIF('CAP29'!$B:$H,Insumo[[#This Row],[DESCRIPCION]],'CAP29'!$H:$H)</f>
        <v>0</v>
      </c>
      <c r="T749" s="136">
        <v>5338</v>
      </c>
    </row>
    <row r="750" spans="1:20" ht="12" customHeight="1">
      <c r="A750" s="301" t="s">
        <v>3364</v>
      </c>
      <c r="B750" s="303" t="s">
        <v>23</v>
      </c>
      <c r="C750" s="304">
        <f t="shared" si="11"/>
        <v>1704937.5</v>
      </c>
      <c r="D750" s="281" cm="1">
        <f t="array" aca="1" ref="D750" ca="1">IF(Insumo[[#This Row],[VALOR]]=0,Insumo[TOTAL],E750/C750)</f>
        <v>0</v>
      </c>
      <c r="E750" s="69">
        <f ca="1">SUM(Insumo[[#This Row],[CAP1-3]:[CAP29]])</f>
        <v>0</v>
      </c>
      <c r="F750" s="69">
        <f ca="1">SUMIF('CAP1-3'!$B:$H,Insumo[[#This Row],[DESCRIPCION]],'CAP1-3'!$H:$H)</f>
        <v>0</v>
      </c>
      <c r="G750" s="69">
        <f ca="1">SUMIF('CAP4-5'!$B:$H,Insumo[[#This Row],[DESCRIPCION]],'CAP4-5'!$H:$H)</f>
        <v>0</v>
      </c>
      <c r="H750" s="69">
        <f ca="1">SUMIF('CAP6-7'!$B:$H,Insumo[[#This Row],[DESCRIPCION]],'CAP6-7'!$H:$H)</f>
        <v>0</v>
      </c>
      <c r="I750" s="69">
        <f ca="1">SUMIF('CAP8'!$B:$H,Insumo[[#This Row],[DESCRIPCION]],'CAP8'!$H:$H)</f>
        <v>0</v>
      </c>
      <c r="J750" s="69">
        <f ca="1">SUMIF('CAP9-13'!$B:$H,Insumo[[#This Row],[DESCRIPCION]],'CAP9-13'!$H:$H)</f>
        <v>0</v>
      </c>
      <c r="K750" s="69">
        <f ca="1">SUMIF('CAP14-15'!$B:$H,Insumo[[#This Row],[DESCRIPCION]],'CAP14-15'!$H:$H)</f>
        <v>0</v>
      </c>
      <c r="L750" s="69">
        <f ca="1">SUMIF('CAP16-18'!$B:$H,Insumo[[#This Row],[DESCRIPCION]],'CAP16-18'!$H:$H)</f>
        <v>0</v>
      </c>
      <c r="M750" s="69">
        <f ca="1">SUMIF('CAP19-22'!$B:$H,Insumo[[#This Row],[DESCRIPCION]],'CAP19-22'!$H:$H)</f>
        <v>0</v>
      </c>
      <c r="N750" s="69">
        <f ca="1">SUMIF('CAP23-24'!$B:$H,Insumo[[#This Row],[DESCRIPCION]],'CAP23-24'!$H:$H)</f>
        <v>0</v>
      </c>
      <c r="O750" s="69">
        <f ca="1">SUMIF('CAP25'!$B:$H,Insumo[[#This Row],[DESCRIPCION]],'CAP25'!$H:$H)</f>
        <v>0</v>
      </c>
      <c r="P750" s="69">
        <f ca="1">SUMIF('CAP26-28'!$B:$H,Insumo[[#This Row],[DESCRIPCION]],'CAP26-28'!$H:$H)</f>
        <v>0</v>
      </c>
      <c r="Q750" s="69">
        <f ca="1">SUMIF('CAP29'!$B:$H,Insumo[[#This Row],[DESCRIPCION]],'CAP29'!$H:$H)</f>
        <v>0</v>
      </c>
      <c r="T750" s="136">
        <v>1623750</v>
      </c>
    </row>
    <row r="751" spans="1:20" ht="12" customHeight="1">
      <c r="A751" s="301" t="s">
        <v>3365</v>
      </c>
      <c r="B751" s="303" t="s">
        <v>23</v>
      </c>
      <c r="C751" s="304">
        <f t="shared" si="11"/>
        <v>839158.95000000007</v>
      </c>
      <c r="D751" s="281" cm="1">
        <f t="array" aca="1" ref="D751" ca="1">IF(Insumo[[#This Row],[VALOR]]=0,Insumo[TOTAL],E751/C751)</f>
        <v>0</v>
      </c>
      <c r="E751" s="69">
        <f ca="1">SUM(Insumo[[#This Row],[CAP1-3]:[CAP29]])</f>
        <v>0</v>
      </c>
      <c r="F751" s="69">
        <f ca="1">SUMIF('CAP1-3'!$B:$H,Insumo[[#This Row],[DESCRIPCION]],'CAP1-3'!$H:$H)</f>
        <v>0</v>
      </c>
      <c r="G751" s="69">
        <f ca="1">SUMIF('CAP4-5'!$B:$H,Insumo[[#This Row],[DESCRIPCION]],'CAP4-5'!$H:$H)</f>
        <v>0</v>
      </c>
      <c r="H751" s="69">
        <f ca="1">SUMIF('CAP6-7'!$B:$H,Insumo[[#This Row],[DESCRIPCION]],'CAP6-7'!$H:$H)</f>
        <v>0</v>
      </c>
      <c r="I751" s="69">
        <f ca="1">SUMIF('CAP8'!$B:$H,Insumo[[#This Row],[DESCRIPCION]],'CAP8'!$H:$H)</f>
        <v>0</v>
      </c>
      <c r="J751" s="69">
        <f ca="1">SUMIF('CAP9-13'!$B:$H,Insumo[[#This Row],[DESCRIPCION]],'CAP9-13'!$H:$H)</f>
        <v>0</v>
      </c>
      <c r="K751" s="69">
        <f ca="1">SUMIF('CAP14-15'!$B:$H,Insumo[[#This Row],[DESCRIPCION]],'CAP14-15'!$H:$H)</f>
        <v>0</v>
      </c>
      <c r="L751" s="69">
        <f ca="1">SUMIF('CAP16-18'!$B:$H,Insumo[[#This Row],[DESCRIPCION]],'CAP16-18'!$H:$H)</f>
        <v>0</v>
      </c>
      <c r="M751" s="69">
        <f ca="1">SUMIF('CAP19-22'!$B:$H,Insumo[[#This Row],[DESCRIPCION]],'CAP19-22'!$H:$H)</f>
        <v>0</v>
      </c>
      <c r="N751" s="69">
        <f ca="1">SUMIF('CAP23-24'!$B:$H,Insumo[[#This Row],[DESCRIPCION]],'CAP23-24'!$H:$H)</f>
        <v>0</v>
      </c>
      <c r="O751" s="69">
        <f ca="1">SUMIF('CAP25'!$B:$H,Insumo[[#This Row],[DESCRIPCION]],'CAP25'!$H:$H)</f>
        <v>0</v>
      </c>
      <c r="P751" s="69">
        <f ca="1">SUMIF('CAP26-28'!$B:$H,Insumo[[#This Row],[DESCRIPCION]],'CAP26-28'!$H:$H)</f>
        <v>0</v>
      </c>
      <c r="Q751" s="69">
        <f ca="1">SUMIF('CAP29'!$B:$H,Insumo[[#This Row],[DESCRIPCION]],'CAP29'!$H:$H)</f>
        <v>0</v>
      </c>
      <c r="T751" s="136">
        <v>799199</v>
      </c>
    </row>
    <row r="752" spans="1:20" ht="12" customHeight="1">
      <c r="A752" s="301" t="s">
        <v>3366</v>
      </c>
      <c r="B752" s="303" t="s">
        <v>23</v>
      </c>
      <c r="C752" s="304">
        <f t="shared" si="11"/>
        <v>108604.65000000001</v>
      </c>
      <c r="D752" s="281" cm="1">
        <f t="array" aca="1" ref="D752" ca="1">IF(Insumo[[#This Row],[VALOR]]=0,Insumo[TOTAL],E752/C752)</f>
        <v>0</v>
      </c>
      <c r="E752" s="69">
        <f ca="1">SUM(Insumo[[#This Row],[CAP1-3]:[CAP29]])</f>
        <v>0</v>
      </c>
      <c r="F752" s="69">
        <f ca="1">SUMIF('CAP1-3'!$B:$H,Insumo[[#This Row],[DESCRIPCION]],'CAP1-3'!$H:$H)</f>
        <v>0</v>
      </c>
      <c r="G752" s="69">
        <f ca="1">SUMIF('CAP4-5'!$B:$H,Insumo[[#This Row],[DESCRIPCION]],'CAP4-5'!$H:$H)</f>
        <v>0</v>
      </c>
      <c r="H752" s="69">
        <f ca="1">SUMIF('CAP6-7'!$B:$H,Insumo[[#This Row],[DESCRIPCION]],'CAP6-7'!$H:$H)</f>
        <v>0</v>
      </c>
      <c r="I752" s="69">
        <f ca="1">SUMIF('CAP8'!$B:$H,Insumo[[#This Row],[DESCRIPCION]],'CAP8'!$H:$H)</f>
        <v>0</v>
      </c>
      <c r="J752" s="69">
        <f ca="1">SUMIF('CAP9-13'!$B:$H,Insumo[[#This Row],[DESCRIPCION]],'CAP9-13'!$H:$H)</f>
        <v>0</v>
      </c>
      <c r="K752" s="69">
        <f ca="1">SUMIF('CAP14-15'!$B:$H,Insumo[[#This Row],[DESCRIPCION]],'CAP14-15'!$H:$H)</f>
        <v>0</v>
      </c>
      <c r="L752" s="69">
        <f ca="1">SUMIF('CAP16-18'!$B:$H,Insumo[[#This Row],[DESCRIPCION]],'CAP16-18'!$H:$H)</f>
        <v>0</v>
      </c>
      <c r="M752" s="69">
        <f ca="1">SUMIF('CAP19-22'!$B:$H,Insumo[[#This Row],[DESCRIPCION]],'CAP19-22'!$H:$H)</f>
        <v>0</v>
      </c>
      <c r="N752" s="69">
        <f ca="1">SUMIF('CAP23-24'!$B:$H,Insumo[[#This Row],[DESCRIPCION]],'CAP23-24'!$H:$H)</f>
        <v>0</v>
      </c>
      <c r="O752" s="69">
        <f ca="1">SUMIF('CAP25'!$B:$H,Insumo[[#This Row],[DESCRIPCION]],'CAP25'!$H:$H)</f>
        <v>0</v>
      </c>
      <c r="P752" s="69">
        <f ca="1">SUMIF('CAP26-28'!$B:$H,Insumo[[#This Row],[DESCRIPCION]],'CAP26-28'!$H:$H)</f>
        <v>0</v>
      </c>
      <c r="Q752" s="69">
        <f ca="1">SUMIF('CAP29'!$B:$H,Insumo[[#This Row],[DESCRIPCION]],'CAP29'!$H:$H)</f>
        <v>0</v>
      </c>
      <c r="T752" s="136">
        <v>103433</v>
      </c>
    </row>
    <row r="753" spans="1:20" ht="12" customHeight="1">
      <c r="A753" s="301" t="s">
        <v>3367</v>
      </c>
      <c r="B753" s="303" t="s">
        <v>23</v>
      </c>
      <c r="C753" s="304">
        <f t="shared" si="11"/>
        <v>8233.0500000000011</v>
      </c>
      <c r="D753" s="281" cm="1">
        <f t="array" aca="1" ref="D753" ca="1">IF(Insumo[[#This Row],[VALOR]]=0,Insumo[TOTAL],E753/C753)</f>
        <v>0</v>
      </c>
      <c r="E753" s="69">
        <f ca="1">SUM(Insumo[[#This Row],[CAP1-3]:[CAP29]])</f>
        <v>0</v>
      </c>
      <c r="F753" s="69">
        <f ca="1">SUMIF('CAP1-3'!$B:$H,Insumo[[#This Row],[DESCRIPCION]],'CAP1-3'!$H:$H)</f>
        <v>0</v>
      </c>
      <c r="G753" s="69">
        <f ca="1">SUMIF('CAP4-5'!$B:$H,Insumo[[#This Row],[DESCRIPCION]],'CAP4-5'!$H:$H)</f>
        <v>0</v>
      </c>
      <c r="H753" s="69">
        <f ca="1">SUMIF('CAP6-7'!$B:$H,Insumo[[#This Row],[DESCRIPCION]],'CAP6-7'!$H:$H)</f>
        <v>0</v>
      </c>
      <c r="I753" s="69">
        <f ca="1">SUMIF('CAP8'!$B:$H,Insumo[[#This Row],[DESCRIPCION]],'CAP8'!$H:$H)</f>
        <v>0</v>
      </c>
      <c r="J753" s="69">
        <f ca="1">SUMIF('CAP9-13'!$B:$H,Insumo[[#This Row],[DESCRIPCION]],'CAP9-13'!$H:$H)</f>
        <v>0</v>
      </c>
      <c r="K753" s="69">
        <f ca="1">SUMIF('CAP14-15'!$B:$H,Insumo[[#This Row],[DESCRIPCION]],'CAP14-15'!$H:$H)</f>
        <v>0</v>
      </c>
      <c r="L753" s="69">
        <f ca="1">SUMIF('CAP16-18'!$B:$H,Insumo[[#This Row],[DESCRIPCION]],'CAP16-18'!$H:$H)</f>
        <v>0</v>
      </c>
      <c r="M753" s="69">
        <f ca="1">SUMIF('CAP19-22'!$B:$H,Insumo[[#This Row],[DESCRIPCION]],'CAP19-22'!$H:$H)</f>
        <v>0</v>
      </c>
      <c r="N753" s="69">
        <f ca="1">SUMIF('CAP23-24'!$B:$H,Insumo[[#This Row],[DESCRIPCION]],'CAP23-24'!$H:$H)</f>
        <v>0</v>
      </c>
      <c r="O753" s="69">
        <f ca="1">SUMIF('CAP25'!$B:$H,Insumo[[#This Row],[DESCRIPCION]],'CAP25'!$H:$H)</f>
        <v>0</v>
      </c>
      <c r="P753" s="69">
        <f ca="1">SUMIF('CAP26-28'!$B:$H,Insumo[[#This Row],[DESCRIPCION]],'CAP26-28'!$H:$H)</f>
        <v>0</v>
      </c>
      <c r="Q753" s="69">
        <f ca="1">SUMIF('CAP29'!$B:$H,Insumo[[#This Row],[DESCRIPCION]],'CAP29'!$H:$H)</f>
        <v>0</v>
      </c>
      <c r="T753" s="136">
        <v>7841</v>
      </c>
    </row>
    <row r="754" spans="1:20" ht="12" customHeight="1">
      <c r="A754" s="301" t="s">
        <v>3368</v>
      </c>
      <c r="B754" s="303" t="s">
        <v>23</v>
      </c>
      <c r="C754" s="304">
        <f t="shared" si="11"/>
        <v>1844.8500000000001</v>
      </c>
      <c r="D754" s="281" cm="1">
        <f t="array" aca="1" ref="D754" ca="1">IF(Insumo[[#This Row],[VALOR]]=0,Insumo[TOTAL],E754/C754)</f>
        <v>0</v>
      </c>
      <c r="E754" s="69">
        <f ca="1">SUM(Insumo[[#This Row],[CAP1-3]:[CAP29]])</f>
        <v>0</v>
      </c>
      <c r="F754" s="69">
        <f ca="1">SUMIF('CAP1-3'!$B:$H,Insumo[[#This Row],[DESCRIPCION]],'CAP1-3'!$H:$H)</f>
        <v>0</v>
      </c>
      <c r="G754" s="69">
        <f ca="1">SUMIF('CAP4-5'!$B:$H,Insumo[[#This Row],[DESCRIPCION]],'CAP4-5'!$H:$H)</f>
        <v>0</v>
      </c>
      <c r="H754" s="69">
        <f ca="1">SUMIF('CAP6-7'!$B:$H,Insumo[[#This Row],[DESCRIPCION]],'CAP6-7'!$H:$H)</f>
        <v>0</v>
      </c>
      <c r="I754" s="69">
        <f ca="1">SUMIF('CAP8'!$B:$H,Insumo[[#This Row],[DESCRIPCION]],'CAP8'!$H:$H)</f>
        <v>0</v>
      </c>
      <c r="J754" s="69">
        <f ca="1">SUMIF('CAP9-13'!$B:$H,Insumo[[#This Row],[DESCRIPCION]],'CAP9-13'!$H:$H)</f>
        <v>0</v>
      </c>
      <c r="K754" s="69">
        <f ca="1">SUMIF('CAP14-15'!$B:$H,Insumo[[#This Row],[DESCRIPCION]],'CAP14-15'!$H:$H)</f>
        <v>0</v>
      </c>
      <c r="L754" s="69">
        <f ca="1">SUMIF('CAP16-18'!$B:$H,Insumo[[#This Row],[DESCRIPCION]],'CAP16-18'!$H:$H)</f>
        <v>0</v>
      </c>
      <c r="M754" s="69">
        <f ca="1">SUMIF('CAP19-22'!$B:$H,Insumo[[#This Row],[DESCRIPCION]],'CAP19-22'!$H:$H)</f>
        <v>0</v>
      </c>
      <c r="N754" s="69">
        <f ca="1">SUMIF('CAP23-24'!$B:$H,Insumo[[#This Row],[DESCRIPCION]],'CAP23-24'!$H:$H)</f>
        <v>0</v>
      </c>
      <c r="O754" s="69">
        <f ca="1">SUMIF('CAP25'!$B:$H,Insumo[[#This Row],[DESCRIPCION]],'CAP25'!$H:$H)</f>
        <v>0</v>
      </c>
      <c r="P754" s="69">
        <f ca="1">SUMIF('CAP26-28'!$B:$H,Insumo[[#This Row],[DESCRIPCION]],'CAP26-28'!$H:$H)</f>
        <v>0</v>
      </c>
      <c r="Q754" s="69">
        <f ca="1">SUMIF('CAP29'!$B:$H,Insumo[[#This Row],[DESCRIPCION]],'CAP29'!$H:$H)</f>
        <v>0</v>
      </c>
      <c r="T754" s="136">
        <v>1757</v>
      </c>
    </row>
    <row r="755" spans="1:20" ht="12" customHeight="1">
      <c r="A755" s="301" t="s">
        <v>3369</v>
      </c>
      <c r="B755" s="303" t="s">
        <v>52</v>
      </c>
      <c r="C755" s="304">
        <f t="shared" si="11"/>
        <v>5114.55</v>
      </c>
      <c r="D755" s="281" cm="1">
        <f t="array" aca="1" ref="D755" ca="1">IF(Insumo[[#This Row],[VALOR]]=0,Insumo[TOTAL],E755/C755)</f>
        <v>0</v>
      </c>
      <c r="E755" s="69">
        <f ca="1">SUM(Insumo[[#This Row],[CAP1-3]:[CAP29]])</f>
        <v>0</v>
      </c>
      <c r="F755" s="69">
        <f ca="1">SUMIF('CAP1-3'!$B:$H,Insumo[[#This Row],[DESCRIPCION]],'CAP1-3'!$H:$H)</f>
        <v>0</v>
      </c>
      <c r="G755" s="69">
        <f ca="1">SUMIF('CAP4-5'!$B:$H,Insumo[[#This Row],[DESCRIPCION]],'CAP4-5'!$H:$H)</f>
        <v>0</v>
      </c>
      <c r="H755" s="69">
        <f ca="1">SUMIF('CAP6-7'!$B:$H,Insumo[[#This Row],[DESCRIPCION]],'CAP6-7'!$H:$H)</f>
        <v>0</v>
      </c>
      <c r="I755" s="69">
        <f ca="1">SUMIF('CAP8'!$B:$H,Insumo[[#This Row],[DESCRIPCION]],'CAP8'!$H:$H)</f>
        <v>0</v>
      </c>
      <c r="J755" s="69">
        <f ca="1">SUMIF('CAP9-13'!$B:$H,Insumo[[#This Row],[DESCRIPCION]],'CAP9-13'!$H:$H)</f>
        <v>0</v>
      </c>
      <c r="K755" s="69">
        <f ca="1">SUMIF('CAP14-15'!$B:$H,Insumo[[#This Row],[DESCRIPCION]],'CAP14-15'!$H:$H)</f>
        <v>0</v>
      </c>
      <c r="L755" s="69">
        <f ca="1">SUMIF('CAP16-18'!$B:$H,Insumo[[#This Row],[DESCRIPCION]],'CAP16-18'!$H:$H)</f>
        <v>0</v>
      </c>
      <c r="M755" s="69">
        <f ca="1">SUMIF('CAP19-22'!$B:$H,Insumo[[#This Row],[DESCRIPCION]],'CAP19-22'!$H:$H)</f>
        <v>0</v>
      </c>
      <c r="N755" s="69">
        <f ca="1">SUMIF('CAP23-24'!$B:$H,Insumo[[#This Row],[DESCRIPCION]],'CAP23-24'!$H:$H)</f>
        <v>0</v>
      </c>
      <c r="O755" s="69">
        <f ca="1">SUMIF('CAP25'!$B:$H,Insumo[[#This Row],[DESCRIPCION]],'CAP25'!$H:$H)</f>
        <v>0</v>
      </c>
      <c r="P755" s="69">
        <f ca="1">SUMIF('CAP26-28'!$B:$H,Insumo[[#This Row],[DESCRIPCION]],'CAP26-28'!$H:$H)</f>
        <v>0</v>
      </c>
      <c r="Q755" s="69">
        <f ca="1">SUMIF('CAP29'!$B:$H,Insumo[[#This Row],[DESCRIPCION]],'CAP29'!$H:$H)</f>
        <v>0</v>
      </c>
      <c r="T755" s="136">
        <v>4871</v>
      </c>
    </row>
    <row r="756" spans="1:20" ht="12" customHeight="1">
      <c r="A756" s="301" t="s">
        <v>3370</v>
      </c>
      <c r="B756" s="303" t="s">
        <v>23</v>
      </c>
      <c r="C756" s="304">
        <f t="shared" si="11"/>
        <v>38440.5</v>
      </c>
      <c r="D756" s="281" cm="1">
        <f t="array" aca="1" ref="D756" ca="1">IF(Insumo[[#This Row],[VALOR]]=0,Insumo[TOTAL],E756/C756)</f>
        <v>0</v>
      </c>
      <c r="E756" s="69">
        <f ca="1">SUM(Insumo[[#This Row],[CAP1-3]:[CAP29]])</f>
        <v>0</v>
      </c>
      <c r="F756" s="69">
        <f ca="1">SUMIF('CAP1-3'!$B:$H,Insumo[[#This Row],[DESCRIPCION]],'CAP1-3'!$H:$H)</f>
        <v>0</v>
      </c>
      <c r="G756" s="69">
        <f ca="1">SUMIF('CAP4-5'!$B:$H,Insumo[[#This Row],[DESCRIPCION]],'CAP4-5'!$H:$H)</f>
        <v>0</v>
      </c>
      <c r="H756" s="69">
        <f ca="1">SUMIF('CAP6-7'!$B:$H,Insumo[[#This Row],[DESCRIPCION]],'CAP6-7'!$H:$H)</f>
        <v>0</v>
      </c>
      <c r="I756" s="69">
        <f ca="1">SUMIF('CAP8'!$B:$H,Insumo[[#This Row],[DESCRIPCION]],'CAP8'!$H:$H)</f>
        <v>0</v>
      </c>
      <c r="J756" s="69">
        <f ca="1">SUMIF('CAP9-13'!$B:$H,Insumo[[#This Row],[DESCRIPCION]],'CAP9-13'!$H:$H)</f>
        <v>0</v>
      </c>
      <c r="K756" s="69">
        <f ca="1">SUMIF('CAP14-15'!$B:$H,Insumo[[#This Row],[DESCRIPCION]],'CAP14-15'!$H:$H)</f>
        <v>0</v>
      </c>
      <c r="L756" s="69">
        <f ca="1">SUMIF('CAP16-18'!$B:$H,Insumo[[#This Row],[DESCRIPCION]],'CAP16-18'!$H:$H)</f>
        <v>0</v>
      </c>
      <c r="M756" s="69">
        <f ca="1">SUMIF('CAP19-22'!$B:$H,Insumo[[#This Row],[DESCRIPCION]],'CAP19-22'!$H:$H)</f>
        <v>0</v>
      </c>
      <c r="N756" s="69">
        <f ca="1">SUMIF('CAP23-24'!$B:$H,Insumo[[#This Row],[DESCRIPCION]],'CAP23-24'!$H:$H)</f>
        <v>0</v>
      </c>
      <c r="O756" s="69">
        <f ca="1">SUMIF('CAP25'!$B:$H,Insumo[[#This Row],[DESCRIPCION]],'CAP25'!$H:$H)</f>
        <v>0</v>
      </c>
      <c r="P756" s="69">
        <f ca="1">SUMIF('CAP26-28'!$B:$H,Insumo[[#This Row],[DESCRIPCION]],'CAP26-28'!$H:$H)</f>
        <v>0</v>
      </c>
      <c r="Q756" s="69">
        <f ca="1">SUMIF('CAP29'!$B:$H,Insumo[[#This Row],[DESCRIPCION]],'CAP29'!$H:$H)</f>
        <v>0</v>
      </c>
      <c r="T756" s="136">
        <v>36610</v>
      </c>
    </row>
    <row r="757" spans="1:20" ht="12" customHeight="1">
      <c r="A757" s="301" t="s">
        <v>3371</v>
      </c>
      <c r="B757" s="303" t="s">
        <v>23</v>
      </c>
      <c r="C757" s="304">
        <f t="shared" si="11"/>
        <v>111389.25</v>
      </c>
      <c r="D757" s="281" cm="1">
        <f t="array" aca="1" ref="D757" ca="1">IF(Insumo[[#This Row],[VALOR]]=0,Insumo[TOTAL],E757/C757)</f>
        <v>0</v>
      </c>
      <c r="E757" s="69">
        <f ca="1">SUM(Insumo[[#This Row],[CAP1-3]:[CAP29]])</f>
        <v>0</v>
      </c>
      <c r="F757" s="69">
        <f ca="1">SUMIF('CAP1-3'!$B:$H,Insumo[[#This Row],[DESCRIPCION]],'CAP1-3'!$H:$H)</f>
        <v>0</v>
      </c>
      <c r="G757" s="69">
        <f ca="1">SUMIF('CAP4-5'!$B:$H,Insumo[[#This Row],[DESCRIPCION]],'CAP4-5'!$H:$H)</f>
        <v>0</v>
      </c>
      <c r="H757" s="69">
        <f ca="1">SUMIF('CAP6-7'!$B:$H,Insumo[[#This Row],[DESCRIPCION]],'CAP6-7'!$H:$H)</f>
        <v>0</v>
      </c>
      <c r="I757" s="69">
        <f ca="1">SUMIF('CAP8'!$B:$H,Insumo[[#This Row],[DESCRIPCION]],'CAP8'!$H:$H)</f>
        <v>0</v>
      </c>
      <c r="J757" s="69">
        <f ca="1">SUMIF('CAP9-13'!$B:$H,Insumo[[#This Row],[DESCRIPCION]],'CAP9-13'!$H:$H)</f>
        <v>0</v>
      </c>
      <c r="K757" s="69">
        <f ca="1">SUMIF('CAP14-15'!$B:$H,Insumo[[#This Row],[DESCRIPCION]],'CAP14-15'!$H:$H)</f>
        <v>0</v>
      </c>
      <c r="L757" s="69">
        <f ca="1">SUMIF('CAP16-18'!$B:$H,Insumo[[#This Row],[DESCRIPCION]],'CAP16-18'!$H:$H)</f>
        <v>0</v>
      </c>
      <c r="M757" s="69">
        <f ca="1">SUMIF('CAP19-22'!$B:$H,Insumo[[#This Row],[DESCRIPCION]],'CAP19-22'!$H:$H)</f>
        <v>0</v>
      </c>
      <c r="N757" s="69">
        <f ca="1">SUMIF('CAP23-24'!$B:$H,Insumo[[#This Row],[DESCRIPCION]],'CAP23-24'!$H:$H)</f>
        <v>0</v>
      </c>
      <c r="O757" s="69">
        <f ca="1">SUMIF('CAP25'!$B:$H,Insumo[[#This Row],[DESCRIPCION]],'CAP25'!$H:$H)</f>
        <v>0</v>
      </c>
      <c r="P757" s="69">
        <f ca="1">SUMIF('CAP26-28'!$B:$H,Insumo[[#This Row],[DESCRIPCION]],'CAP26-28'!$H:$H)</f>
        <v>0</v>
      </c>
      <c r="Q757" s="69">
        <f ca="1">SUMIF('CAP29'!$B:$H,Insumo[[#This Row],[DESCRIPCION]],'CAP29'!$H:$H)</f>
        <v>0</v>
      </c>
      <c r="T757" s="136">
        <v>106085</v>
      </c>
    </row>
    <row r="758" spans="1:20" ht="12" customHeight="1">
      <c r="A758" s="301" t="s">
        <v>3372</v>
      </c>
      <c r="B758" s="303" t="s">
        <v>23</v>
      </c>
      <c r="C758" s="304">
        <f t="shared" si="11"/>
        <v>67061.400000000009</v>
      </c>
      <c r="D758" s="281" cm="1">
        <f t="array" aca="1" ref="D758" ca="1">IF(Insumo[[#This Row],[VALOR]]=0,Insumo[TOTAL],E758/C758)</f>
        <v>0</v>
      </c>
      <c r="E758" s="69">
        <f ca="1">SUM(Insumo[[#This Row],[CAP1-3]:[CAP29]])</f>
        <v>0</v>
      </c>
      <c r="F758" s="69">
        <f ca="1">SUMIF('CAP1-3'!$B:$H,Insumo[[#This Row],[DESCRIPCION]],'CAP1-3'!$H:$H)</f>
        <v>0</v>
      </c>
      <c r="G758" s="69">
        <f ca="1">SUMIF('CAP4-5'!$B:$H,Insumo[[#This Row],[DESCRIPCION]],'CAP4-5'!$H:$H)</f>
        <v>0</v>
      </c>
      <c r="H758" s="69">
        <f ca="1">SUMIF('CAP6-7'!$B:$H,Insumo[[#This Row],[DESCRIPCION]],'CAP6-7'!$H:$H)</f>
        <v>0</v>
      </c>
      <c r="I758" s="69">
        <f ca="1">SUMIF('CAP8'!$B:$H,Insumo[[#This Row],[DESCRIPCION]],'CAP8'!$H:$H)</f>
        <v>0</v>
      </c>
      <c r="J758" s="69">
        <f ca="1">SUMIF('CAP9-13'!$B:$H,Insumo[[#This Row],[DESCRIPCION]],'CAP9-13'!$H:$H)</f>
        <v>0</v>
      </c>
      <c r="K758" s="69">
        <f ca="1">SUMIF('CAP14-15'!$B:$H,Insumo[[#This Row],[DESCRIPCION]],'CAP14-15'!$H:$H)</f>
        <v>0</v>
      </c>
      <c r="L758" s="69">
        <f ca="1">SUMIF('CAP16-18'!$B:$H,Insumo[[#This Row],[DESCRIPCION]],'CAP16-18'!$H:$H)</f>
        <v>0</v>
      </c>
      <c r="M758" s="69">
        <f ca="1">SUMIF('CAP19-22'!$B:$H,Insumo[[#This Row],[DESCRIPCION]],'CAP19-22'!$H:$H)</f>
        <v>0</v>
      </c>
      <c r="N758" s="69">
        <f ca="1">SUMIF('CAP23-24'!$B:$H,Insumo[[#This Row],[DESCRIPCION]],'CAP23-24'!$H:$H)</f>
        <v>0</v>
      </c>
      <c r="O758" s="69">
        <f ca="1">SUMIF('CAP25'!$B:$H,Insumo[[#This Row],[DESCRIPCION]],'CAP25'!$H:$H)</f>
        <v>0</v>
      </c>
      <c r="P758" s="69">
        <f ca="1">SUMIF('CAP26-28'!$B:$H,Insumo[[#This Row],[DESCRIPCION]],'CAP26-28'!$H:$H)</f>
        <v>0</v>
      </c>
      <c r="Q758" s="69">
        <f ca="1">SUMIF('CAP29'!$B:$H,Insumo[[#This Row],[DESCRIPCION]],'CAP29'!$H:$H)</f>
        <v>0</v>
      </c>
      <c r="T758" s="136">
        <v>63868</v>
      </c>
    </row>
    <row r="759" spans="1:20" ht="12" customHeight="1">
      <c r="A759" s="301" t="s">
        <v>3373</v>
      </c>
      <c r="B759" s="303" t="s">
        <v>23</v>
      </c>
      <c r="C759" s="304">
        <f t="shared" si="11"/>
        <v>56831.25</v>
      </c>
      <c r="D759" s="281" cm="1">
        <f t="array" aca="1" ref="D759" ca="1">IF(Insumo[[#This Row],[VALOR]]=0,Insumo[TOTAL],E759/C759)</f>
        <v>0</v>
      </c>
      <c r="E759" s="69">
        <f ca="1">SUM(Insumo[[#This Row],[CAP1-3]:[CAP29]])</f>
        <v>0</v>
      </c>
      <c r="F759" s="69">
        <f ca="1">SUMIF('CAP1-3'!$B:$H,Insumo[[#This Row],[DESCRIPCION]],'CAP1-3'!$H:$H)</f>
        <v>0</v>
      </c>
      <c r="G759" s="69">
        <f ca="1">SUMIF('CAP4-5'!$B:$H,Insumo[[#This Row],[DESCRIPCION]],'CAP4-5'!$H:$H)</f>
        <v>0</v>
      </c>
      <c r="H759" s="69">
        <f ca="1">SUMIF('CAP6-7'!$B:$H,Insumo[[#This Row],[DESCRIPCION]],'CAP6-7'!$H:$H)</f>
        <v>0</v>
      </c>
      <c r="I759" s="69">
        <f ca="1">SUMIF('CAP8'!$B:$H,Insumo[[#This Row],[DESCRIPCION]],'CAP8'!$H:$H)</f>
        <v>0</v>
      </c>
      <c r="J759" s="69">
        <f ca="1">SUMIF('CAP9-13'!$B:$H,Insumo[[#This Row],[DESCRIPCION]],'CAP9-13'!$H:$H)</f>
        <v>0</v>
      </c>
      <c r="K759" s="69">
        <f ca="1">SUMIF('CAP14-15'!$B:$H,Insumo[[#This Row],[DESCRIPCION]],'CAP14-15'!$H:$H)</f>
        <v>0</v>
      </c>
      <c r="L759" s="69">
        <f ca="1">SUMIF('CAP16-18'!$B:$H,Insumo[[#This Row],[DESCRIPCION]],'CAP16-18'!$H:$H)</f>
        <v>0</v>
      </c>
      <c r="M759" s="69">
        <f ca="1">SUMIF('CAP19-22'!$B:$H,Insumo[[#This Row],[DESCRIPCION]],'CAP19-22'!$H:$H)</f>
        <v>0</v>
      </c>
      <c r="N759" s="69">
        <f ca="1">SUMIF('CAP23-24'!$B:$H,Insumo[[#This Row],[DESCRIPCION]],'CAP23-24'!$H:$H)</f>
        <v>0</v>
      </c>
      <c r="O759" s="69">
        <f ca="1">SUMIF('CAP25'!$B:$H,Insumo[[#This Row],[DESCRIPCION]],'CAP25'!$H:$H)</f>
        <v>0</v>
      </c>
      <c r="P759" s="69">
        <f ca="1">SUMIF('CAP26-28'!$B:$H,Insumo[[#This Row],[DESCRIPCION]],'CAP26-28'!$H:$H)</f>
        <v>0</v>
      </c>
      <c r="Q759" s="69">
        <f ca="1">SUMIF('CAP29'!$B:$H,Insumo[[#This Row],[DESCRIPCION]],'CAP29'!$H:$H)</f>
        <v>0</v>
      </c>
      <c r="T759" s="136">
        <v>54125</v>
      </c>
    </row>
    <row r="760" spans="1:20" ht="12" customHeight="1">
      <c r="A760" s="301" t="s">
        <v>3374</v>
      </c>
      <c r="B760" s="303" t="s">
        <v>23</v>
      </c>
      <c r="C760" s="304">
        <f t="shared" si="11"/>
        <v>3978.4500000000003</v>
      </c>
      <c r="D760" s="281" cm="1">
        <f t="array" aca="1" ref="D760" ca="1">IF(Insumo[[#This Row],[VALOR]]=0,Insumo[TOTAL],E760/C760)</f>
        <v>0</v>
      </c>
      <c r="E760" s="69">
        <f ca="1">SUM(Insumo[[#This Row],[CAP1-3]:[CAP29]])</f>
        <v>0</v>
      </c>
      <c r="F760" s="69">
        <f ca="1">SUMIF('CAP1-3'!$B:$H,Insumo[[#This Row],[DESCRIPCION]],'CAP1-3'!$H:$H)</f>
        <v>0</v>
      </c>
      <c r="G760" s="69">
        <f ca="1">SUMIF('CAP4-5'!$B:$H,Insumo[[#This Row],[DESCRIPCION]],'CAP4-5'!$H:$H)</f>
        <v>0</v>
      </c>
      <c r="H760" s="69">
        <f ca="1">SUMIF('CAP6-7'!$B:$H,Insumo[[#This Row],[DESCRIPCION]],'CAP6-7'!$H:$H)</f>
        <v>0</v>
      </c>
      <c r="I760" s="69">
        <f ca="1">SUMIF('CAP8'!$B:$H,Insumo[[#This Row],[DESCRIPCION]],'CAP8'!$H:$H)</f>
        <v>0</v>
      </c>
      <c r="J760" s="69">
        <f ca="1">SUMIF('CAP9-13'!$B:$H,Insumo[[#This Row],[DESCRIPCION]],'CAP9-13'!$H:$H)</f>
        <v>0</v>
      </c>
      <c r="K760" s="69">
        <f ca="1">SUMIF('CAP14-15'!$B:$H,Insumo[[#This Row],[DESCRIPCION]],'CAP14-15'!$H:$H)</f>
        <v>0</v>
      </c>
      <c r="L760" s="69">
        <f ca="1">SUMIF('CAP16-18'!$B:$H,Insumo[[#This Row],[DESCRIPCION]],'CAP16-18'!$H:$H)</f>
        <v>0</v>
      </c>
      <c r="M760" s="69">
        <f ca="1">SUMIF('CAP19-22'!$B:$H,Insumo[[#This Row],[DESCRIPCION]],'CAP19-22'!$H:$H)</f>
        <v>0</v>
      </c>
      <c r="N760" s="69">
        <f ca="1">SUMIF('CAP23-24'!$B:$H,Insumo[[#This Row],[DESCRIPCION]],'CAP23-24'!$H:$H)</f>
        <v>0</v>
      </c>
      <c r="O760" s="69">
        <f ca="1">SUMIF('CAP25'!$B:$H,Insumo[[#This Row],[DESCRIPCION]],'CAP25'!$H:$H)</f>
        <v>0</v>
      </c>
      <c r="P760" s="69">
        <f ca="1">SUMIF('CAP26-28'!$B:$H,Insumo[[#This Row],[DESCRIPCION]],'CAP26-28'!$H:$H)</f>
        <v>0</v>
      </c>
      <c r="Q760" s="69">
        <f ca="1">SUMIF('CAP29'!$B:$H,Insumo[[#This Row],[DESCRIPCION]],'CAP29'!$H:$H)</f>
        <v>0</v>
      </c>
      <c r="T760" s="136">
        <v>3789</v>
      </c>
    </row>
    <row r="761" spans="1:20" ht="12" customHeight="1">
      <c r="A761" s="301" t="s">
        <v>3375</v>
      </c>
      <c r="B761" s="303" t="s">
        <v>23</v>
      </c>
      <c r="C761" s="304">
        <f t="shared" si="11"/>
        <v>41259.75</v>
      </c>
      <c r="D761" s="281" cm="1">
        <f t="array" aca="1" ref="D761" ca="1">IF(Insumo[[#This Row],[VALOR]]=0,Insumo[TOTAL],E761/C761)</f>
        <v>0</v>
      </c>
      <c r="E761" s="69">
        <f ca="1">SUM(Insumo[[#This Row],[CAP1-3]:[CAP29]])</f>
        <v>0</v>
      </c>
      <c r="F761" s="69">
        <f ca="1">SUMIF('CAP1-3'!$B:$H,Insumo[[#This Row],[DESCRIPCION]],'CAP1-3'!$H:$H)</f>
        <v>0</v>
      </c>
      <c r="G761" s="69">
        <f ca="1">SUMIF('CAP4-5'!$B:$H,Insumo[[#This Row],[DESCRIPCION]],'CAP4-5'!$H:$H)</f>
        <v>0</v>
      </c>
      <c r="H761" s="69">
        <f ca="1">SUMIF('CAP6-7'!$B:$H,Insumo[[#This Row],[DESCRIPCION]],'CAP6-7'!$H:$H)</f>
        <v>0</v>
      </c>
      <c r="I761" s="69">
        <f ca="1">SUMIF('CAP8'!$B:$H,Insumo[[#This Row],[DESCRIPCION]],'CAP8'!$H:$H)</f>
        <v>0</v>
      </c>
      <c r="J761" s="69">
        <f ca="1">SUMIF('CAP9-13'!$B:$H,Insumo[[#This Row],[DESCRIPCION]],'CAP9-13'!$H:$H)</f>
        <v>0</v>
      </c>
      <c r="K761" s="69">
        <f ca="1">SUMIF('CAP14-15'!$B:$H,Insumo[[#This Row],[DESCRIPCION]],'CAP14-15'!$H:$H)</f>
        <v>0</v>
      </c>
      <c r="L761" s="69">
        <f ca="1">SUMIF('CAP16-18'!$B:$H,Insumo[[#This Row],[DESCRIPCION]],'CAP16-18'!$H:$H)</f>
        <v>0</v>
      </c>
      <c r="M761" s="69">
        <f ca="1">SUMIF('CAP19-22'!$B:$H,Insumo[[#This Row],[DESCRIPCION]],'CAP19-22'!$H:$H)</f>
        <v>0</v>
      </c>
      <c r="N761" s="69">
        <f ca="1">SUMIF('CAP23-24'!$B:$H,Insumo[[#This Row],[DESCRIPCION]],'CAP23-24'!$H:$H)</f>
        <v>0</v>
      </c>
      <c r="O761" s="69">
        <f ca="1">SUMIF('CAP25'!$B:$H,Insumo[[#This Row],[DESCRIPCION]],'CAP25'!$H:$H)</f>
        <v>0</v>
      </c>
      <c r="P761" s="69">
        <f ca="1">SUMIF('CAP26-28'!$B:$H,Insumo[[#This Row],[DESCRIPCION]],'CAP26-28'!$H:$H)</f>
        <v>0</v>
      </c>
      <c r="Q761" s="69">
        <f ca="1">SUMIF('CAP29'!$B:$H,Insumo[[#This Row],[DESCRIPCION]],'CAP29'!$H:$H)</f>
        <v>0</v>
      </c>
      <c r="R761" s="136" t="s">
        <v>2663</v>
      </c>
      <c r="T761" s="136">
        <v>39295</v>
      </c>
    </row>
    <row r="762" spans="1:20" ht="12" customHeight="1">
      <c r="A762" s="301" t="s">
        <v>3376</v>
      </c>
      <c r="B762" s="303" t="s">
        <v>20</v>
      </c>
      <c r="C762" s="304">
        <f t="shared" si="11"/>
        <v>15648.150000000001</v>
      </c>
      <c r="D762" s="281" cm="1">
        <f t="array" aca="1" ref="D762" ca="1">IF(Insumo[[#This Row],[VALOR]]=0,Insumo[TOTAL],E762/C762)</f>
        <v>0</v>
      </c>
      <c r="E762" s="69">
        <f ca="1">SUM(Insumo[[#This Row],[CAP1-3]:[CAP29]])</f>
        <v>0</v>
      </c>
      <c r="F762" s="69">
        <f ca="1">SUMIF('CAP1-3'!$B:$H,Insumo[[#This Row],[DESCRIPCION]],'CAP1-3'!$H:$H)</f>
        <v>0</v>
      </c>
      <c r="G762" s="69">
        <f ca="1">SUMIF('CAP4-5'!$B:$H,Insumo[[#This Row],[DESCRIPCION]],'CAP4-5'!$H:$H)</f>
        <v>0</v>
      </c>
      <c r="H762" s="69">
        <f ca="1">SUMIF('CAP6-7'!$B:$H,Insumo[[#This Row],[DESCRIPCION]],'CAP6-7'!$H:$H)</f>
        <v>0</v>
      </c>
      <c r="I762" s="69">
        <f ca="1">SUMIF('CAP8'!$B:$H,Insumo[[#This Row],[DESCRIPCION]],'CAP8'!$H:$H)</f>
        <v>0</v>
      </c>
      <c r="J762" s="69">
        <f ca="1">SUMIF('CAP9-13'!$B:$H,Insumo[[#This Row],[DESCRIPCION]],'CAP9-13'!$H:$H)</f>
        <v>0</v>
      </c>
      <c r="K762" s="69">
        <f ca="1">SUMIF('CAP14-15'!$B:$H,Insumo[[#This Row],[DESCRIPCION]],'CAP14-15'!$H:$H)</f>
        <v>0</v>
      </c>
      <c r="L762" s="69">
        <f ca="1">SUMIF('CAP16-18'!$B:$H,Insumo[[#This Row],[DESCRIPCION]],'CAP16-18'!$H:$H)</f>
        <v>0</v>
      </c>
      <c r="M762" s="69">
        <f ca="1">SUMIF('CAP19-22'!$B:$H,Insumo[[#This Row],[DESCRIPCION]],'CAP19-22'!$H:$H)</f>
        <v>0</v>
      </c>
      <c r="N762" s="69">
        <f ca="1">SUMIF('CAP23-24'!$B:$H,Insumo[[#This Row],[DESCRIPCION]],'CAP23-24'!$H:$H)</f>
        <v>0</v>
      </c>
      <c r="O762" s="69">
        <f ca="1">SUMIF('CAP25'!$B:$H,Insumo[[#This Row],[DESCRIPCION]],'CAP25'!$H:$H)</f>
        <v>0</v>
      </c>
      <c r="P762" s="69">
        <f ca="1">SUMIF('CAP26-28'!$B:$H,Insumo[[#This Row],[DESCRIPCION]],'CAP26-28'!$H:$H)</f>
        <v>0</v>
      </c>
      <c r="Q762" s="69">
        <f ca="1">SUMIF('CAP29'!$B:$H,Insumo[[#This Row],[DESCRIPCION]],'CAP29'!$H:$H)</f>
        <v>0</v>
      </c>
      <c r="R762" s="136">
        <v>45658</v>
      </c>
      <c r="T762" s="136">
        <v>14903</v>
      </c>
    </row>
    <row r="763" spans="1:20" ht="12" customHeight="1">
      <c r="A763" s="301" t="s">
        <v>3377</v>
      </c>
      <c r="B763" s="303" t="s">
        <v>20</v>
      </c>
      <c r="C763" s="304">
        <f t="shared" si="11"/>
        <v>69837.600000000006</v>
      </c>
      <c r="D763" s="281" cm="1">
        <f t="array" aca="1" ref="D763" ca="1">IF(Insumo[[#This Row],[VALOR]]=0,Insumo[TOTAL],E763/C763)</f>
        <v>0</v>
      </c>
      <c r="E763" s="69">
        <f ca="1">SUM(Insumo[[#This Row],[CAP1-3]:[CAP29]])</f>
        <v>0</v>
      </c>
      <c r="F763" s="69">
        <f ca="1">SUMIF('CAP1-3'!$B:$H,Insumo[[#This Row],[DESCRIPCION]],'CAP1-3'!$H:$H)</f>
        <v>0</v>
      </c>
      <c r="G763" s="69">
        <f ca="1">SUMIF('CAP4-5'!$B:$H,Insumo[[#This Row],[DESCRIPCION]],'CAP4-5'!$H:$H)</f>
        <v>0</v>
      </c>
      <c r="H763" s="69">
        <f ca="1">SUMIF('CAP6-7'!$B:$H,Insumo[[#This Row],[DESCRIPCION]],'CAP6-7'!$H:$H)</f>
        <v>0</v>
      </c>
      <c r="I763" s="69">
        <f ca="1">SUMIF('CAP8'!$B:$H,Insumo[[#This Row],[DESCRIPCION]],'CAP8'!$H:$H)</f>
        <v>0</v>
      </c>
      <c r="J763" s="69">
        <f ca="1">SUMIF('CAP9-13'!$B:$H,Insumo[[#This Row],[DESCRIPCION]],'CAP9-13'!$H:$H)</f>
        <v>0</v>
      </c>
      <c r="K763" s="69">
        <f ca="1">SUMIF('CAP14-15'!$B:$H,Insumo[[#This Row],[DESCRIPCION]],'CAP14-15'!$H:$H)</f>
        <v>0</v>
      </c>
      <c r="L763" s="69">
        <f ca="1">SUMIF('CAP16-18'!$B:$H,Insumo[[#This Row],[DESCRIPCION]],'CAP16-18'!$H:$H)</f>
        <v>0</v>
      </c>
      <c r="M763" s="69">
        <f ca="1">SUMIF('CAP19-22'!$B:$H,Insumo[[#This Row],[DESCRIPCION]],'CAP19-22'!$H:$H)</f>
        <v>0</v>
      </c>
      <c r="N763" s="69">
        <f ca="1">SUMIF('CAP23-24'!$B:$H,Insumo[[#This Row],[DESCRIPCION]],'CAP23-24'!$H:$H)</f>
        <v>0</v>
      </c>
      <c r="O763" s="69">
        <f ca="1">SUMIF('CAP25'!$B:$H,Insumo[[#This Row],[DESCRIPCION]],'CAP25'!$H:$H)</f>
        <v>0</v>
      </c>
      <c r="P763" s="69">
        <f ca="1">SUMIF('CAP26-28'!$B:$H,Insumo[[#This Row],[DESCRIPCION]],'CAP26-28'!$H:$H)</f>
        <v>0</v>
      </c>
      <c r="Q763" s="69">
        <f ca="1">SUMIF('CAP29'!$B:$H,Insumo[[#This Row],[DESCRIPCION]],'CAP29'!$H:$H)</f>
        <v>0</v>
      </c>
      <c r="R763" s="136" t="s">
        <v>2663</v>
      </c>
      <c r="T763" s="136">
        <v>66512</v>
      </c>
    </row>
    <row r="764" spans="1:20" ht="12" customHeight="1">
      <c r="A764" s="301" t="s">
        <v>3378</v>
      </c>
      <c r="B764" s="303" t="s">
        <v>20</v>
      </c>
      <c r="C764" s="304">
        <f t="shared" si="11"/>
        <v>22164.45</v>
      </c>
      <c r="D764" s="281" cm="1">
        <f t="array" aca="1" ref="D764" ca="1">IF(Insumo[[#This Row],[VALOR]]=0,Insumo[TOTAL],E764/C764)</f>
        <v>0</v>
      </c>
      <c r="E764" s="69">
        <f ca="1">SUM(Insumo[[#This Row],[CAP1-3]:[CAP29]])</f>
        <v>0</v>
      </c>
      <c r="F764" s="69">
        <f ca="1">SUMIF('CAP1-3'!$B:$H,Insumo[[#This Row],[DESCRIPCION]],'CAP1-3'!$H:$H)</f>
        <v>0</v>
      </c>
      <c r="G764" s="69">
        <f ca="1">SUMIF('CAP4-5'!$B:$H,Insumo[[#This Row],[DESCRIPCION]],'CAP4-5'!$H:$H)</f>
        <v>0</v>
      </c>
      <c r="H764" s="69">
        <f ca="1">SUMIF('CAP6-7'!$B:$H,Insumo[[#This Row],[DESCRIPCION]],'CAP6-7'!$H:$H)</f>
        <v>0</v>
      </c>
      <c r="I764" s="69">
        <f ca="1">SUMIF('CAP8'!$B:$H,Insumo[[#This Row],[DESCRIPCION]],'CAP8'!$H:$H)</f>
        <v>0</v>
      </c>
      <c r="J764" s="69">
        <f ca="1">SUMIF('CAP9-13'!$B:$H,Insumo[[#This Row],[DESCRIPCION]],'CAP9-13'!$H:$H)</f>
        <v>0</v>
      </c>
      <c r="K764" s="69">
        <f ca="1">SUMIF('CAP14-15'!$B:$H,Insumo[[#This Row],[DESCRIPCION]],'CAP14-15'!$H:$H)</f>
        <v>0</v>
      </c>
      <c r="L764" s="69">
        <f ca="1">SUMIF('CAP16-18'!$B:$H,Insumo[[#This Row],[DESCRIPCION]],'CAP16-18'!$H:$H)</f>
        <v>0</v>
      </c>
      <c r="M764" s="69">
        <f ca="1">SUMIF('CAP19-22'!$B:$H,Insumo[[#This Row],[DESCRIPCION]],'CAP19-22'!$H:$H)</f>
        <v>0</v>
      </c>
      <c r="N764" s="69">
        <f ca="1">SUMIF('CAP23-24'!$B:$H,Insumo[[#This Row],[DESCRIPCION]],'CAP23-24'!$H:$H)</f>
        <v>0</v>
      </c>
      <c r="O764" s="69">
        <f ca="1">SUMIF('CAP25'!$B:$H,Insumo[[#This Row],[DESCRIPCION]],'CAP25'!$H:$H)</f>
        <v>0</v>
      </c>
      <c r="P764" s="69">
        <f ca="1">SUMIF('CAP26-28'!$B:$H,Insumo[[#This Row],[DESCRIPCION]],'CAP26-28'!$H:$H)</f>
        <v>0</v>
      </c>
      <c r="Q764" s="69">
        <f ca="1">SUMIF('CAP29'!$B:$H,Insumo[[#This Row],[DESCRIPCION]],'CAP29'!$H:$H)</f>
        <v>0</v>
      </c>
      <c r="R764" s="136" t="s">
        <v>2663</v>
      </c>
      <c r="T764" s="136">
        <v>21109</v>
      </c>
    </row>
    <row r="765" spans="1:20" ht="12" customHeight="1">
      <c r="A765" s="301" t="s">
        <v>3379</v>
      </c>
      <c r="B765" s="303" t="s">
        <v>20</v>
      </c>
      <c r="C765" s="304">
        <f t="shared" si="11"/>
        <v>26710.95</v>
      </c>
      <c r="D765" s="281" cm="1">
        <f t="array" aca="1" ref="D765" ca="1">IF(Insumo[[#This Row],[VALOR]]=0,Insumo[TOTAL],E765/C765)</f>
        <v>0</v>
      </c>
      <c r="E765" s="69">
        <f ca="1">SUM(Insumo[[#This Row],[CAP1-3]:[CAP29]])</f>
        <v>0</v>
      </c>
      <c r="F765" s="69">
        <f ca="1">SUMIF('CAP1-3'!$B:$H,Insumo[[#This Row],[DESCRIPCION]],'CAP1-3'!$H:$H)</f>
        <v>0</v>
      </c>
      <c r="G765" s="69">
        <f ca="1">SUMIF('CAP4-5'!$B:$H,Insumo[[#This Row],[DESCRIPCION]],'CAP4-5'!$H:$H)</f>
        <v>0</v>
      </c>
      <c r="H765" s="69">
        <f ca="1">SUMIF('CAP6-7'!$B:$H,Insumo[[#This Row],[DESCRIPCION]],'CAP6-7'!$H:$H)</f>
        <v>0</v>
      </c>
      <c r="I765" s="69">
        <f ca="1">SUMIF('CAP8'!$B:$H,Insumo[[#This Row],[DESCRIPCION]],'CAP8'!$H:$H)</f>
        <v>0</v>
      </c>
      <c r="J765" s="69">
        <f ca="1">SUMIF('CAP9-13'!$B:$H,Insumo[[#This Row],[DESCRIPCION]],'CAP9-13'!$H:$H)</f>
        <v>0</v>
      </c>
      <c r="K765" s="69">
        <f ca="1">SUMIF('CAP14-15'!$B:$H,Insumo[[#This Row],[DESCRIPCION]],'CAP14-15'!$H:$H)</f>
        <v>0</v>
      </c>
      <c r="L765" s="69">
        <f ca="1">SUMIF('CAP16-18'!$B:$H,Insumo[[#This Row],[DESCRIPCION]],'CAP16-18'!$H:$H)</f>
        <v>0</v>
      </c>
      <c r="M765" s="69">
        <f ca="1">SUMIF('CAP19-22'!$B:$H,Insumo[[#This Row],[DESCRIPCION]],'CAP19-22'!$H:$H)</f>
        <v>0</v>
      </c>
      <c r="N765" s="69">
        <f ca="1">SUMIF('CAP23-24'!$B:$H,Insumo[[#This Row],[DESCRIPCION]],'CAP23-24'!$H:$H)</f>
        <v>0</v>
      </c>
      <c r="O765" s="69">
        <f ca="1">SUMIF('CAP25'!$B:$H,Insumo[[#This Row],[DESCRIPCION]],'CAP25'!$H:$H)</f>
        <v>0</v>
      </c>
      <c r="P765" s="69">
        <f ca="1">SUMIF('CAP26-28'!$B:$H,Insumo[[#This Row],[DESCRIPCION]],'CAP26-28'!$H:$H)</f>
        <v>0</v>
      </c>
      <c r="Q765" s="69">
        <f ca="1">SUMIF('CAP29'!$B:$H,Insumo[[#This Row],[DESCRIPCION]],'CAP29'!$H:$H)</f>
        <v>0</v>
      </c>
      <c r="T765" s="136">
        <v>25439</v>
      </c>
    </row>
    <row r="766" spans="1:20" ht="12" customHeight="1">
      <c r="A766" s="301" t="s">
        <v>3380</v>
      </c>
      <c r="B766" s="303" t="s">
        <v>20</v>
      </c>
      <c r="C766" s="304">
        <f t="shared" si="11"/>
        <v>115367.70000000001</v>
      </c>
      <c r="D766" s="281" cm="1">
        <f t="array" aca="1" ref="D766" ca="1">IF(Insumo[[#This Row],[VALOR]]=0,Insumo[TOTAL],E766/C766)</f>
        <v>0</v>
      </c>
      <c r="E766" s="69">
        <f ca="1">SUM(Insumo[[#This Row],[CAP1-3]:[CAP29]])</f>
        <v>0</v>
      </c>
      <c r="F766" s="69">
        <f ca="1">SUMIF('CAP1-3'!$B:$H,Insumo[[#This Row],[DESCRIPCION]],'CAP1-3'!$H:$H)</f>
        <v>0</v>
      </c>
      <c r="G766" s="69">
        <f ca="1">SUMIF('CAP4-5'!$B:$H,Insumo[[#This Row],[DESCRIPCION]],'CAP4-5'!$H:$H)</f>
        <v>0</v>
      </c>
      <c r="H766" s="69">
        <f ca="1">SUMIF('CAP6-7'!$B:$H,Insumo[[#This Row],[DESCRIPCION]],'CAP6-7'!$H:$H)</f>
        <v>0</v>
      </c>
      <c r="I766" s="69">
        <f ca="1">SUMIF('CAP8'!$B:$H,Insumo[[#This Row],[DESCRIPCION]],'CAP8'!$H:$H)</f>
        <v>0</v>
      </c>
      <c r="J766" s="69">
        <f ca="1">SUMIF('CAP9-13'!$B:$H,Insumo[[#This Row],[DESCRIPCION]],'CAP9-13'!$H:$H)</f>
        <v>0</v>
      </c>
      <c r="K766" s="69">
        <f ca="1">SUMIF('CAP14-15'!$B:$H,Insumo[[#This Row],[DESCRIPCION]],'CAP14-15'!$H:$H)</f>
        <v>0</v>
      </c>
      <c r="L766" s="69">
        <f ca="1">SUMIF('CAP16-18'!$B:$H,Insumo[[#This Row],[DESCRIPCION]],'CAP16-18'!$H:$H)</f>
        <v>0</v>
      </c>
      <c r="M766" s="69">
        <f ca="1">SUMIF('CAP19-22'!$B:$H,Insumo[[#This Row],[DESCRIPCION]],'CAP19-22'!$H:$H)</f>
        <v>0</v>
      </c>
      <c r="N766" s="69">
        <f ca="1">SUMIF('CAP23-24'!$B:$H,Insumo[[#This Row],[DESCRIPCION]],'CAP23-24'!$H:$H)</f>
        <v>0</v>
      </c>
      <c r="O766" s="69">
        <f ca="1">SUMIF('CAP25'!$B:$H,Insumo[[#This Row],[DESCRIPCION]],'CAP25'!$H:$H)</f>
        <v>0</v>
      </c>
      <c r="P766" s="69">
        <f ca="1">SUMIF('CAP26-28'!$B:$H,Insumo[[#This Row],[DESCRIPCION]],'CAP26-28'!$H:$H)</f>
        <v>0</v>
      </c>
      <c r="Q766" s="69">
        <f ca="1">SUMIF('CAP29'!$B:$H,Insumo[[#This Row],[DESCRIPCION]],'CAP29'!$H:$H)</f>
        <v>0</v>
      </c>
      <c r="T766" s="136">
        <v>109874</v>
      </c>
    </row>
    <row r="767" spans="1:20" ht="12" customHeight="1">
      <c r="A767" s="301" t="s">
        <v>3381</v>
      </c>
      <c r="B767" s="303" t="s">
        <v>20</v>
      </c>
      <c r="C767" s="304">
        <f t="shared" si="11"/>
        <v>70544.25</v>
      </c>
      <c r="D767" s="281" cm="1">
        <f t="array" aca="1" ref="D767" ca="1">IF(Insumo[[#This Row],[VALOR]]=0,Insumo[TOTAL],E767/C767)</f>
        <v>0</v>
      </c>
      <c r="E767" s="69">
        <f ca="1">SUM(Insumo[[#This Row],[CAP1-3]:[CAP29]])</f>
        <v>0</v>
      </c>
      <c r="F767" s="69">
        <f ca="1">SUMIF('CAP1-3'!$B:$H,Insumo[[#This Row],[DESCRIPCION]],'CAP1-3'!$H:$H)</f>
        <v>0</v>
      </c>
      <c r="G767" s="69">
        <f ca="1">SUMIF('CAP4-5'!$B:$H,Insumo[[#This Row],[DESCRIPCION]],'CAP4-5'!$H:$H)</f>
        <v>0</v>
      </c>
      <c r="H767" s="69">
        <f ca="1">SUMIF('CAP6-7'!$B:$H,Insumo[[#This Row],[DESCRIPCION]],'CAP6-7'!$H:$H)</f>
        <v>0</v>
      </c>
      <c r="I767" s="69">
        <f ca="1">SUMIF('CAP8'!$B:$H,Insumo[[#This Row],[DESCRIPCION]],'CAP8'!$H:$H)</f>
        <v>0</v>
      </c>
      <c r="J767" s="69">
        <f ca="1">SUMIF('CAP9-13'!$B:$H,Insumo[[#This Row],[DESCRIPCION]],'CAP9-13'!$H:$H)</f>
        <v>0</v>
      </c>
      <c r="K767" s="69">
        <f ca="1">SUMIF('CAP14-15'!$B:$H,Insumo[[#This Row],[DESCRIPCION]],'CAP14-15'!$H:$H)</f>
        <v>0</v>
      </c>
      <c r="L767" s="69">
        <f ca="1">SUMIF('CAP16-18'!$B:$H,Insumo[[#This Row],[DESCRIPCION]],'CAP16-18'!$H:$H)</f>
        <v>0</v>
      </c>
      <c r="M767" s="69">
        <f ca="1">SUMIF('CAP19-22'!$B:$H,Insumo[[#This Row],[DESCRIPCION]],'CAP19-22'!$H:$H)</f>
        <v>0</v>
      </c>
      <c r="N767" s="69">
        <f ca="1">SUMIF('CAP23-24'!$B:$H,Insumo[[#This Row],[DESCRIPCION]],'CAP23-24'!$H:$H)</f>
        <v>0</v>
      </c>
      <c r="O767" s="69">
        <f ca="1">SUMIF('CAP25'!$B:$H,Insumo[[#This Row],[DESCRIPCION]],'CAP25'!$H:$H)</f>
        <v>0</v>
      </c>
      <c r="P767" s="69">
        <f ca="1">SUMIF('CAP26-28'!$B:$H,Insumo[[#This Row],[DESCRIPCION]],'CAP26-28'!$H:$H)</f>
        <v>0</v>
      </c>
      <c r="Q767" s="69">
        <f ca="1">SUMIF('CAP29'!$B:$H,Insumo[[#This Row],[DESCRIPCION]],'CAP29'!$H:$H)</f>
        <v>0</v>
      </c>
      <c r="R767" s="136" t="s">
        <v>2663</v>
      </c>
      <c r="T767" s="136">
        <v>67185</v>
      </c>
    </row>
    <row r="768" spans="1:20" ht="12" customHeight="1">
      <c r="A768" s="301" t="s">
        <v>3382</v>
      </c>
      <c r="B768" s="303" t="s">
        <v>20</v>
      </c>
      <c r="C768" s="304">
        <f t="shared" si="11"/>
        <v>59929.8</v>
      </c>
      <c r="D768" s="281" cm="1">
        <f t="array" aca="1" ref="D768" ca="1">IF(Insumo[[#This Row],[VALOR]]=0,Insumo[TOTAL],E768/C768)</f>
        <v>0</v>
      </c>
      <c r="E768" s="69">
        <f ca="1">SUM(Insumo[[#This Row],[CAP1-3]:[CAP29]])</f>
        <v>0</v>
      </c>
      <c r="F768" s="69">
        <f ca="1">SUMIF('CAP1-3'!$B:$H,Insumo[[#This Row],[DESCRIPCION]],'CAP1-3'!$H:$H)</f>
        <v>0</v>
      </c>
      <c r="G768" s="69">
        <f ca="1">SUMIF('CAP4-5'!$B:$H,Insumo[[#This Row],[DESCRIPCION]],'CAP4-5'!$H:$H)</f>
        <v>0</v>
      </c>
      <c r="H768" s="69">
        <f ca="1">SUMIF('CAP6-7'!$B:$H,Insumo[[#This Row],[DESCRIPCION]],'CAP6-7'!$H:$H)</f>
        <v>0</v>
      </c>
      <c r="I768" s="69">
        <f ca="1">SUMIF('CAP8'!$B:$H,Insumo[[#This Row],[DESCRIPCION]],'CAP8'!$H:$H)</f>
        <v>0</v>
      </c>
      <c r="J768" s="69">
        <f ca="1">SUMIF('CAP9-13'!$B:$H,Insumo[[#This Row],[DESCRIPCION]],'CAP9-13'!$H:$H)</f>
        <v>0</v>
      </c>
      <c r="K768" s="69">
        <f ca="1">SUMIF('CAP14-15'!$B:$H,Insumo[[#This Row],[DESCRIPCION]],'CAP14-15'!$H:$H)</f>
        <v>0</v>
      </c>
      <c r="L768" s="69">
        <f ca="1">SUMIF('CAP16-18'!$B:$H,Insumo[[#This Row],[DESCRIPCION]],'CAP16-18'!$H:$H)</f>
        <v>0</v>
      </c>
      <c r="M768" s="69">
        <f ca="1">SUMIF('CAP19-22'!$B:$H,Insumo[[#This Row],[DESCRIPCION]],'CAP19-22'!$H:$H)</f>
        <v>0</v>
      </c>
      <c r="N768" s="69">
        <f ca="1">SUMIF('CAP23-24'!$B:$H,Insumo[[#This Row],[DESCRIPCION]],'CAP23-24'!$H:$H)</f>
        <v>0</v>
      </c>
      <c r="O768" s="69">
        <f ca="1">SUMIF('CAP25'!$B:$H,Insumo[[#This Row],[DESCRIPCION]],'CAP25'!$H:$H)</f>
        <v>0</v>
      </c>
      <c r="P768" s="69">
        <f ca="1">SUMIF('CAP26-28'!$B:$H,Insumo[[#This Row],[DESCRIPCION]],'CAP26-28'!$H:$H)</f>
        <v>0</v>
      </c>
      <c r="Q768" s="69">
        <f ca="1">SUMIF('CAP29'!$B:$H,Insumo[[#This Row],[DESCRIPCION]],'CAP29'!$H:$H)</f>
        <v>0</v>
      </c>
      <c r="R768" s="136" t="s">
        <v>2663</v>
      </c>
      <c r="T768" s="136">
        <v>57076</v>
      </c>
    </row>
    <row r="769" spans="1:20" ht="12" customHeight="1">
      <c r="A769" s="301" t="s">
        <v>3383</v>
      </c>
      <c r="B769" s="303" t="s">
        <v>20</v>
      </c>
      <c r="C769" s="304">
        <f t="shared" si="11"/>
        <v>1959.3000000000002</v>
      </c>
      <c r="D769" s="281" cm="1">
        <f t="array" aca="1" ref="D769" ca="1">IF(Insumo[[#This Row],[VALOR]]=0,Insumo[TOTAL],E769/C769)</f>
        <v>0</v>
      </c>
      <c r="E769" s="69">
        <f ca="1">SUM(Insumo[[#This Row],[CAP1-3]:[CAP29]])</f>
        <v>0</v>
      </c>
      <c r="F769" s="69">
        <f ca="1">SUMIF('CAP1-3'!$B:$H,Insumo[[#This Row],[DESCRIPCION]],'CAP1-3'!$H:$H)</f>
        <v>0</v>
      </c>
      <c r="G769" s="69">
        <f ca="1">SUMIF('CAP4-5'!$B:$H,Insumo[[#This Row],[DESCRIPCION]],'CAP4-5'!$H:$H)</f>
        <v>0</v>
      </c>
      <c r="H769" s="69">
        <f ca="1">SUMIF('CAP6-7'!$B:$H,Insumo[[#This Row],[DESCRIPCION]],'CAP6-7'!$H:$H)</f>
        <v>0</v>
      </c>
      <c r="I769" s="69">
        <f ca="1">SUMIF('CAP8'!$B:$H,Insumo[[#This Row],[DESCRIPCION]],'CAP8'!$H:$H)</f>
        <v>0</v>
      </c>
      <c r="J769" s="69">
        <f ca="1">SUMIF('CAP9-13'!$B:$H,Insumo[[#This Row],[DESCRIPCION]],'CAP9-13'!$H:$H)</f>
        <v>0</v>
      </c>
      <c r="K769" s="69">
        <f ca="1">SUMIF('CAP14-15'!$B:$H,Insumo[[#This Row],[DESCRIPCION]],'CAP14-15'!$H:$H)</f>
        <v>0</v>
      </c>
      <c r="L769" s="69">
        <f ca="1">SUMIF('CAP16-18'!$B:$H,Insumo[[#This Row],[DESCRIPCION]],'CAP16-18'!$H:$H)</f>
        <v>0</v>
      </c>
      <c r="M769" s="69">
        <f ca="1">SUMIF('CAP19-22'!$B:$H,Insumo[[#This Row],[DESCRIPCION]],'CAP19-22'!$H:$H)</f>
        <v>0</v>
      </c>
      <c r="N769" s="69">
        <f ca="1">SUMIF('CAP23-24'!$B:$H,Insumo[[#This Row],[DESCRIPCION]],'CAP23-24'!$H:$H)</f>
        <v>0</v>
      </c>
      <c r="O769" s="69">
        <f ca="1">SUMIF('CAP25'!$B:$H,Insumo[[#This Row],[DESCRIPCION]],'CAP25'!$H:$H)</f>
        <v>0</v>
      </c>
      <c r="P769" s="69">
        <f ca="1">SUMIF('CAP26-28'!$B:$H,Insumo[[#This Row],[DESCRIPCION]],'CAP26-28'!$H:$H)</f>
        <v>0</v>
      </c>
      <c r="Q769" s="69">
        <f ca="1">SUMIF('CAP29'!$B:$H,Insumo[[#This Row],[DESCRIPCION]],'CAP29'!$H:$H)</f>
        <v>0</v>
      </c>
      <c r="R769" s="136" t="s">
        <v>2774</v>
      </c>
      <c r="T769" s="136">
        <v>1866</v>
      </c>
    </row>
    <row r="770" spans="1:20" ht="12" customHeight="1">
      <c r="A770" s="301" t="s">
        <v>3384</v>
      </c>
      <c r="B770" s="303" t="s">
        <v>23</v>
      </c>
      <c r="C770" s="304">
        <f t="shared" si="11"/>
        <v>28416.15</v>
      </c>
      <c r="D770" s="281" cm="1">
        <f t="array" aca="1" ref="D770" ca="1">IF(Insumo[[#This Row],[VALOR]]=0,Insumo[TOTAL],E770/C770)</f>
        <v>0</v>
      </c>
      <c r="E770" s="69">
        <f ca="1">SUM(Insumo[[#This Row],[CAP1-3]:[CAP29]])</f>
        <v>0</v>
      </c>
      <c r="F770" s="69">
        <f ca="1">SUMIF('CAP1-3'!$B:$H,Insumo[[#This Row],[DESCRIPCION]],'CAP1-3'!$H:$H)</f>
        <v>0</v>
      </c>
      <c r="G770" s="69">
        <f ca="1">SUMIF('CAP4-5'!$B:$H,Insumo[[#This Row],[DESCRIPCION]],'CAP4-5'!$H:$H)</f>
        <v>0</v>
      </c>
      <c r="H770" s="69">
        <f ca="1">SUMIF('CAP6-7'!$B:$H,Insumo[[#This Row],[DESCRIPCION]],'CAP6-7'!$H:$H)</f>
        <v>0</v>
      </c>
      <c r="I770" s="69">
        <f ca="1">SUMIF('CAP8'!$B:$H,Insumo[[#This Row],[DESCRIPCION]],'CAP8'!$H:$H)</f>
        <v>0</v>
      </c>
      <c r="J770" s="69">
        <f ca="1">SUMIF('CAP9-13'!$B:$H,Insumo[[#This Row],[DESCRIPCION]],'CAP9-13'!$H:$H)</f>
        <v>0</v>
      </c>
      <c r="K770" s="69">
        <f ca="1">SUMIF('CAP14-15'!$B:$H,Insumo[[#This Row],[DESCRIPCION]],'CAP14-15'!$H:$H)</f>
        <v>0</v>
      </c>
      <c r="L770" s="69">
        <f ca="1">SUMIF('CAP16-18'!$B:$H,Insumo[[#This Row],[DESCRIPCION]],'CAP16-18'!$H:$H)</f>
        <v>0</v>
      </c>
      <c r="M770" s="69">
        <f ca="1">SUMIF('CAP19-22'!$B:$H,Insumo[[#This Row],[DESCRIPCION]],'CAP19-22'!$H:$H)</f>
        <v>0</v>
      </c>
      <c r="N770" s="69">
        <f ca="1">SUMIF('CAP23-24'!$B:$H,Insumo[[#This Row],[DESCRIPCION]],'CAP23-24'!$H:$H)</f>
        <v>0</v>
      </c>
      <c r="O770" s="69">
        <f ca="1">SUMIF('CAP25'!$B:$H,Insumo[[#This Row],[DESCRIPCION]],'CAP25'!$H:$H)</f>
        <v>0</v>
      </c>
      <c r="P770" s="69">
        <f ca="1">SUMIF('CAP26-28'!$B:$H,Insumo[[#This Row],[DESCRIPCION]],'CAP26-28'!$H:$H)</f>
        <v>0</v>
      </c>
      <c r="Q770" s="69">
        <f ca="1">SUMIF('CAP29'!$B:$H,Insumo[[#This Row],[DESCRIPCION]],'CAP29'!$H:$H)</f>
        <v>0</v>
      </c>
      <c r="T770" s="136">
        <v>27063</v>
      </c>
    </row>
    <row r="771" spans="1:20" ht="12" customHeight="1">
      <c r="A771" s="301" t="s">
        <v>3385</v>
      </c>
      <c r="B771" s="303" t="s">
        <v>23</v>
      </c>
      <c r="C771" s="304">
        <f t="shared" si="11"/>
        <v>40918.5</v>
      </c>
      <c r="D771" s="281" cm="1">
        <f t="array" aca="1" ref="D771" ca="1">IF(Insumo[[#This Row],[VALOR]]=0,Insumo[TOTAL],E771/C771)</f>
        <v>0</v>
      </c>
      <c r="E771" s="69">
        <f ca="1">SUM(Insumo[[#This Row],[CAP1-3]:[CAP29]])</f>
        <v>0</v>
      </c>
      <c r="F771" s="69">
        <f ca="1">SUMIF('CAP1-3'!$B:$H,Insumo[[#This Row],[DESCRIPCION]],'CAP1-3'!$H:$H)</f>
        <v>0</v>
      </c>
      <c r="G771" s="69">
        <f ca="1">SUMIF('CAP4-5'!$B:$H,Insumo[[#This Row],[DESCRIPCION]],'CAP4-5'!$H:$H)</f>
        <v>0</v>
      </c>
      <c r="H771" s="69">
        <f ca="1">SUMIF('CAP6-7'!$B:$H,Insumo[[#This Row],[DESCRIPCION]],'CAP6-7'!$H:$H)</f>
        <v>0</v>
      </c>
      <c r="I771" s="69">
        <f ca="1">SUMIF('CAP8'!$B:$H,Insumo[[#This Row],[DESCRIPCION]],'CAP8'!$H:$H)</f>
        <v>0</v>
      </c>
      <c r="J771" s="69">
        <f ca="1">SUMIF('CAP9-13'!$B:$H,Insumo[[#This Row],[DESCRIPCION]],'CAP9-13'!$H:$H)</f>
        <v>0</v>
      </c>
      <c r="K771" s="69">
        <f ca="1">SUMIF('CAP14-15'!$B:$H,Insumo[[#This Row],[DESCRIPCION]],'CAP14-15'!$H:$H)</f>
        <v>0</v>
      </c>
      <c r="L771" s="69">
        <f ca="1">SUMIF('CAP16-18'!$B:$H,Insumo[[#This Row],[DESCRIPCION]],'CAP16-18'!$H:$H)</f>
        <v>0</v>
      </c>
      <c r="M771" s="69">
        <f ca="1">SUMIF('CAP19-22'!$B:$H,Insumo[[#This Row],[DESCRIPCION]],'CAP19-22'!$H:$H)</f>
        <v>0</v>
      </c>
      <c r="N771" s="69">
        <f ca="1">SUMIF('CAP23-24'!$B:$H,Insumo[[#This Row],[DESCRIPCION]],'CAP23-24'!$H:$H)</f>
        <v>0</v>
      </c>
      <c r="O771" s="69">
        <f ca="1">SUMIF('CAP25'!$B:$H,Insumo[[#This Row],[DESCRIPCION]],'CAP25'!$H:$H)</f>
        <v>0</v>
      </c>
      <c r="P771" s="69">
        <f ca="1">SUMIF('CAP26-28'!$B:$H,Insumo[[#This Row],[DESCRIPCION]],'CAP26-28'!$H:$H)</f>
        <v>0</v>
      </c>
      <c r="Q771" s="69">
        <f ca="1">SUMIF('CAP29'!$B:$H,Insumo[[#This Row],[DESCRIPCION]],'CAP29'!$H:$H)</f>
        <v>0</v>
      </c>
      <c r="T771" s="136">
        <v>38970</v>
      </c>
    </row>
    <row r="772" spans="1:20" ht="12" customHeight="1">
      <c r="A772" s="301" t="s">
        <v>3386</v>
      </c>
      <c r="B772" s="303" t="s">
        <v>30</v>
      </c>
      <c r="C772" s="304">
        <f t="shared" si="11"/>
        <v>71118.600000000006</v>
      </c>
      <c r="D772" s="281" cm="1">
        <f t="array" aca="1" ref="D772" ca="1">IF(Insumo[[#This Row],[VALOR]]=0,Insumo[TOTAL],E772/C772)</f>
        <v>0</v>
      </c>
      <c r="E772" s="69">
        <f ca="1">SUM(Insumo[[#This Row],[CAP1-3]:[CAP29]])</f>
        <v>0</v>
      </c>
      <c r="F772" s="69">
        <f ca="1">SUMIF('CAP1-3'!$B:$H,Insumo[[#This Row],[DESCRIPCION]],'CAP1-3'!$H:$H)</f>
        <v>0</v>
      </c>
      <c r="G772" s="69">
        <f ca="1">SUMIF('CAP4-5'!$B:$H,Insumo[[#This Row],[DESCRIPCION]],'CAP4-5'!$H:$H)</f>
        <v>0</v>
      </c>
      <c r="H772" s="69">
        <f ca="1">SUMIF('CAP6-7'!$B:$H,Insumo[[#This Row],[DESCRIPCION]],'CAP6-7'!$H:$H)</f>
        <v>0</v>
      </c>
      <c r="I772" s="69">
        <f ca="1">SUMIF('CAP8'!$B:$H,Insumo[[#This Row],[DESCRIPCION]],'CAP8'!$H:$H)</f>
        <v>0</v>
      </c>
      <c r="J772" s="69">
        <f ca="1">SUMIF('CAP9-13'!$B:$H,Insumo[[#This Row],[DESCRIPCION]],'CAP9-13'!$H:$H)</f>
        <v>0</v>
      </c>
      <c r="K772" s="69">
        <f ca="1">SUMIF('CAP14-15'!$B:$H,Insumo[[#This Row],[DESCRIPCION]],'CAP14-15'!$H:$H)</f>
        <v>0</v>
      </c>
      <c r="L772" s="69">
        <f ca="1">SUMIF('CAP16-18'!$B:$H,Insumo[[#This Row],[DESCRIPCION]],'CAP16-18'!$H:$H)</f>
        <v>0</v>
      </c>
      <c r="M772" s="69">
        <f ca="1">SUMIF('CAP19-22'!$B:$H,Insumo[[#This Row],[DESCRIPCION]],'CAP19-22'!$H:$H)</f>
        <v>0</v>
      </c>
      <c r="N772" s="69">
        <f ca="1">SUMIF('CAP23-24'!$B:$H,Insumo[[#This Row],[DESCRIPCION]],'CAP23-24'!$H:$H)</f>
        <v>0</v>
      </c>
      <c r="O772" s="69">
        <f ca="1">SUMIF('CAP25'!$B:$H,Insumo[[#This Row],[DESCRIPCION]],'CAP25'!$H:$H)</f>
        <v>0</v>
      </c>
      <c r="P772" s="69">
        <f ca="1">SUMIF('CAP26-28'!$B:$H,Insumo[[#This Row],[DESCRIPCION]],'CAP26-28'!$H:$H)</f>
        <v>0</v>
      </c>
      <c r="Q772" s="69">
        <f ca="1">SUMIF('CAP29'!$B:$H,Insumo[[#This Row],[DESCRIPCION]],'CAP29'!$H:$H)</f>
        <v>0</v>
      </c>
      <c r="T772" s="136">
        <v>67732</v>
      </c>
    </row>
    <row r="773" spans="1:20" ht="12" customHeight="1">
      <c r="A773" s="301" t="s">
        <v>3387</v>
      </c>
      <c r="B773" s="303" t="s">
        <v>23</v>
      </c>
      <c r="C773" s="304">
        <f t="shared" si="11"/>
        <v>7171.5</v>
      </c>
      <c r="D773" s="281" cm="1">
        <f t="array" aca="1" ref="D773" ca="1">IF(Insumo[[#This Row],[VALOR]]=0,Insumo[TOTAL],E773/C773)</f>
        <v>0</v>
      </c>
      <c r="E773" s="69">
        <f ca="1">SUM(Insumo[[#This Row],[CAP1-3]:[CAP29]])</f>
        <v>0</v>
      </c>
      <c r="F773" s="69">
        <f ca="1">SUMIF('CAP1-3'!$B:$H,Insumo[[#This Row],[DESCRIPCION]],'CAP1-3'!$H:$H)</f>
        <v>0</v>
      </c>
      <c r="G773" s="69">
        <f ca="1">SUMIF('CAP4-5'!$B:$H,Insumo[[#This Row],[DESCRIPCION]],'CAP4-5'!$H:$H)</f>
        <v>0</v>
      </c>
      <c r="H773" s="69">
        <f ca="1">SUMIF('CAP6-7'!$B:$H,Insumo[[#This Row],[DESCRIPCION]],'CAP6-7'!$H:$H)</f>
        <v>0</v>
      </c>
      <c r="I773" s="69">
        <f ca="1">SUMIF('CAP8'!$B:$H,Insumo[[#This Row],[DESCRIPCION]],'CAP8'!$H:$H)</f>
        <v>0</v>
      </c>
      <c r="J773" s="69">
        <f ca="1">SUMIF('CAP9-13'!$B:$H,Insumo[[#This Row],[DESCRIPCION]],'CAP9-13'!$H:$H)</f>
        <v>0</v>
      </c>
      <c r="K773" s="69">
        <f ca="1">SUMIF('CAP14-15'!$B:$H,Insumo[[#This Row],[DESCRIPCION]],'CAP14-15'!$H:$H)</f>
        <v>0</v>
      </c>
      <c r="L773" s="69">
        <f ca="1">SUMIF('CAP16-18'!$B:$H,Insumo[[#This Row],[DESCRIPCION]],'CAP16-18'!$H:$H)</f>
        <v>0</v>
      </c>
      <c r="M773" s="69">
        <f ca="1">SUMIF('CAP19-22'!$B:$H,Insumo[[#This Row],[DESCRIPCION]],'CAP19-22'!$H:$H)</f>
        <v>0</v>
      </c>
      <c r="N773" s="69">
        <f ca="1">SUMIF('CAP23-24'!$B:$H,Insumo[[#This Row],[DESCRIPCION]],'CAP23-24'!$H:$H)</f>
        <v>0</v>
      </c>
      <c r="O773" s="69">
        <f ca="1">SUMIF('CAP25'!$B:$H,Insumo[[#This Row],[DESCRIPCION]],'CAP25'!$H:$H)</f>
        <v>0</v>
      </c>
      <c r="P773" s="69">
        <f ca="1">SUMIF('CAP26-28'!$B:$H,Insumo[[#This Row],[DESCRIPCION]],'CAP26-28'!$H:$H)</f>
        <v>0</v>
      </c>
      <c r="Q773" s="69">
        <f ca="1">SUMIF('CAP29'!$B:$H,Insumo[[#This Row],[DESCRIPCION]],'CAP29'!$H:$H)</f>
        <v>0</v>
      </c>
      <c r="R773" s="290"/>
      <c r="T773" s="136">
        <v>6830</v>
      </c>
    </row>
    <row r="774" spans="1:20" ht="12" customHeight="1">
      <c r="A774" s="301" t="s">
        <v>3388</v>
      </c>
      <c r="B774" s="303" t="s">
        <v>23</v>
      </c>
      <c r="C774" s="304">
        <f t="shared" ref="C774:C837" si="12">T774*$T$3</f>
        <v>126665.70000000001</v>
      </c>
      <c r="D774" s="281" cm="1">
        <f t="array" aca="1" ref="D774" ca="1">IF(Insumo[[#This Row],[VALOR]]=0,Insumo[TOTAL],E774/C774)</f>
        <v>0</v>
      </c>
      <c r="E774" s="69">
        <f ca="1">SUM(Insumo[[#This Row],[CAP1-3]:[CAP29]])</f>
        <v>0</v>
      </c>
      <c r="F774" s="69">
        <f ca="1">SUMIF('CAP1-3'!$B:$H,Insumo[[#This Row],[DESCRIPCION]],'CAP1-3'!$H:$H)</f>
        <v>0</v>
      </c>
      <c r="G774" s="69">
        <f ca="1">SUMIF('CAP4-5'!$B:$H,Insumo[[#This Row],[DESCRIPCION]],'CAP4-5'!$H:$H)</f>
        <v>0</v>
      </c>
      <c r="H774" s="69">
        <f ca="1">SUMIF('CAP6-7'!$B:$H,Insumo[[#This Row],[DESCRIPCION]],'CAP6-7'!$H:$H)</f>
        <v>0</v>
      </c>
      <c r="I774" s="69">
        <f ca="1">SUMIF('CAP8'!$B:$H,Insumo[[#This Row],[DESCRIPCION]],'CAP8'!$H:$H)</f>
        <v>0</v>
      </c>
      <c r="J774" s="69">
        <f ca="1">SUMIF('CAP9-13'!$B:$H,Insumo[[#This Row],[DESCRIPCION]],'CAP9-13'!$H:$H)</f>
        <v>0</v>
      </c>
      <c r="K774" s="69">
        <f ca="1">SUMIF('CAP14-15'!$B:$H,Insumo[[#This Row],[DESCRIPCION]],'CAP14-15'!$H:$H)</f>
        <v>0</v>
      </c>
      <c r="L774" s="69">
        <f ca="1">SUMIF('CAP16-18'!$B:$H,Insumo[[#This Row],[DESCRIPCION]],'CAP16-18'!$H:$H)</f>
        <v>0</v>
      </c>
      <c r="M774" s="69">
        <f ca="1">SUMIF('CAP19-22'!$B:$H,Insumo[[#This Row],[DESCRIPCION]],'CAP19-22'!$H:$H)</f>
        <v>0</v>
      </c>
      <c r="N774" s="69">
        <f ca="1">SUMIF('CAP23-24'!$B:$H,Insumo[[#This Row],[DESCRIPCION]],'CAP23-24'!$H:$H)</f>
        <v>0</v>
      </c>
      <c r="O774" s="69">
        <f ca="1">SUMIF('CAP25'!$B:$H,Insumo[[#This Row],[DESCRIPCION]],'CAP25'!$H:$H)</f>
        <v>0</v>
      </c>
      <c r="P774" s="69">
        <f ca="1">SUMIF('CAP26-28'!$B:$H,Insumo[[#This Row],[DESCRIPCION]],'CAP26-28'!$H:$H)</f>
        <v>0</v>
      </c>
      <c r="Q774" s="69">
        <f ca="1">SUMIF('CAP29'!$B:$H,Insumo[[#This Row],[DESCRIPCION]],'CAP29'!$H:$H)</f>
        <v>0</v>
      </c>
      <c r="T774" s="136">
        <v>120634</v>
      </c>
    </row>
    <row r="775" spans="1:20" ht="12" customHeight="1">
      <c r="A775" s="301" t="s">
        <v>3389</v>
      </c>
      <c r="B775" s="303" t="s">
        <v>23</v>
      </c>
      <c r="C775" s="304">
        <f t="shared" si="12"/>
        <v>1193.8500000000001</v>
      </c>
      <c r="D775" s="281" cm="1">
        <f t="array" aca="1" ref="D775" ca="1">IF(Insumo[[#This Row],[VALOR]]=0,Insumo[TOTAL],E775/C775)</f>
        <v>0</v>
      </c>
      <c r="E775" s="69">
        <f ca="1">SUM(Insumo[[#This Row],[CAP1-3]:[CAP29]])</f>
        <v>0</v>
      </c>
      <c r="F775" s="69">
        <f ca="1">SUMIF('CAP1-3'!$B:$H,Insumo[[#This Row],[DESCRIPCION]],'CAP1-3'!$H:$H)</f>
        <v>0</v>
      </c>
      <c r="G775" s="69">
        <f ca="1">SUMIF('CAP4-5'!$B:$H,Insumo[[#This Row],[DESCRIPCION]],'CAP4-5'!$H:$H)</f>
        <v>0</v>
      </c>
      <c r="H775" s="69">
        <f ca="1">SUMIF('CAP6-7'!$B:$H,Insumo[[#This Row],[DESCRIPCION]],'CAP6-7'!$H:$H)</f>
        <v>0</v>
      </c>
      <c r="I775" s="69">
        <f ca="1">SUMIF('CAP8'!$B:$H,Insumo[[#This Row],[DESCRIPCION]],'CAP8'!$H:$H)</f>
        <v>0</v>
      </c>
      <c r="J775" s="69">
        <f ca="1">SUMIF('CAP9-13'!$B:$H,Insumo[[#This Row],[DESCRIPCION]],'CAP9-13'!$H:$H)</f>
        <v>0</v>
      </c>
      <c r="K775" s="69">
        <f ca="1">SUMIF('CAP14-15'!$B:$H,Insumo[[#This Row],[DESCRIPCION]],'CAP14-15'!$H:$H)</f>
        <v>0</v>
      </c>
      <c r="L775" s="69">
        <f ca="1">SUMIF('CAP16-18'!$B:$H,Insumo[[#This Row],[DESCRIPCION]],'CAP16-18'!$H:$H)</f>
        <v>0</v>
      </c>
      <c r="M775" s="69">
        <f ca="1">SUMIF('CAP19-22'!$B:$H,Insumo[[#This Row],[DESCRIPCION]],'CAP19-22'!$H:$H)</f>
        <v>0</v>
      </c>
      <c r="N775" s="69">
        <f ca="1">SUMIF('CAP23-24'!$B:$H,Insumo[[#This Row],[DESCRIPCION]],'CAP23-24'!$H:$H)</f>
        <v>0</v>
      </c>
      <c r="O775" s="69">
        <f ca="1">SUMIF('CAP25'!$B:$H,Insumo[[#This Row],[DESCRIPCION]],'CAP25'!$H:$H)</f>
        <v>0</v>
      </c>
      <c r="P775" s="69">
        <f ca="1">SUMIF('CAP26-28'!$B:$H,Insumo[[#This Row],[DESCRIPCION]],'CAP26-28'!$H:$H)</f>
        <v>0</v>
      </c>
      <c r="Q775" s="69">
        <f ca="1">SUMIF('CAP29'!$B:$H,Insumo[[#This Row],[DESCRIPCION]],'CAP29'!$H:$H)</f>
        <v>0</v>
      </c>
      <c r="T775" s="136">
        <v>1137</v>
      </c>
    </row>
    <row r="776" spans="1:20" ht="12" customHeight="1">
      <c r="A776" s="301" t="s">
        <v>3390</v>
      </c>
      <c r="B776" s="303" t="s">
        <v>23</v>
      </c>
      <c r="C776" s="304">
        <f t="shared" si="12"/>
        <v>6357.0150000000003</v>
      </c>
      <c r="D776" s="281" cm="1">
        <f t="array" aca="1" ref="D776" ca="1">IF(Insumo[[#This Row],[VALOR]]=0,Insumo[TOTAL],E776/C776)</f>
        <v>0</v>
      </c>
      <c r="E776" s="69">
        <f ca="1">SUM(Insumo[[#This Row],[CAP1-3]:[CAP29]])</f>
        <v>0</v>
      </c>
      <c r="F776" s="69">
        <f ca="1">SUMIF('CAP1-3'!$B:$H,Insumo[[#This Row],[DESCRIPCION]],'CAP1-3'!$H:$H)</f>
        <v>0</v>
      </c>
      <c r="G776" s="69">
        <f ca="1">SUMIF('CAP4-5'!$B:$H,Insumo[[#This Row],[DESCRIPCION]],'CAP4-5'!$H:$H)</f>
        <v>0</v>
      </c>
      <c r="H776" s="69">
        <f ca="1">SUMIF('CAP6-7'!$B:$H,Insumo[[#This Row],[DESCRIPCION]],'CAP6-7'!$H:$H)</f>
        <v>0</v>
      </c>
      <c r="I776" s="69">
        <f ca="1">SUMIF('CAP8'!$B:$H,Insumo[[#This Row],[DESCRIPCION]],'CAP8'!$H:$H)</f>
        <v>0</v>
      </c>
      <c r="J776" s="69">
        <f ca="1">SUMIF('CAP9-13'!$B:$H,Insumo[[#This Row],[DESCRIPCION]],'CAP9-13'!$H:$H)</f>
        <v>0</v>
      </c>
      <c r="K776" s="69">
        <f ca="1">SUMIF('CAP14-15'!$B:$H,Insumo[[#This Row],[DESCRIPCION]],'CAP14-15'!$H:$H)</f>
        <v>0</v>
      </c>
      <c r="L776" s="69">
        <f ca="1">SUMIF('CAP16-18'!$B:$H,Insumo[[#This Row],[DESCRIPCION]],'CAP16-18'!$H:$H)</f>
        <v>0</v>
      </c>
      <c r="M776" s="69">
        <f ca="1">SUMIF('CAP19-22'!$B:$H,Insumo[[#This Row],[DESCRIPCION]],'CAP19-22'!$H:$H)</f>
        <v>0</v>
      </c>
      <c r="N776" s="69">
        <f ca="1">SUMIF('CAP23-24'!$B:$H,Insumo[[#This Row],[DESCRIPCION]],'CAP23-24'!$H:$H)</f>
        <v>0</v>
      </c>
      <c r="O776" s="69">
        <f ca="1">SUMIF('CAP25'!$B:$H,Insumo[[#This Row],[DESCRIPCION]],'CAP25'!$H:$H)</f>
        <v>0</v>
      </c>
      <c r="P776" s="69">
        <f ca="1">SUMIF('CAP26-28'!$B:$H,Insumo[[#This Row],[DESCRIPCION]],'CAP26-28'!$H:$H)</f>
        <v>0</v>
      </c>
      <c r="Q776" s="69">
        <f ca="1">SUMIF('CAP29'!$B:$H,Insumo[[#This Row],[DESCRIPCION]],'CAP29'!$H:$H)</f>
        <v>0</v>
      </c>
      <c r="R776" s="290"/>
      <c r="T776" s="136">
        <v>6054.3</v>
      </c>
    </row>
    <row r="777" spans="1:20" ht="12" customHeight="1">
      <c r="A777" s="301" t="s">
        <v>3391</v>
      </c>
      <c r="B777" s="303" t="s">
        <v>2662</v>
      </c>
      <c r="C777" s="304">
        <f t="shared" si="12"/>
        <v>28984.2</v>
      </c>
      <c r="D777" s="281" cm="1">
        <f t="array" aca="1" ref="D777" ca="1">IF(Insumo[[#This Row],[VALOR]]=0,Insumo[TOTAL],E777/C777)</f>
        <v>0</v>
      </c>
      <c r="E777" s="69">
        <f ca="1">SUM(Insumo[[#This Row],[CAP1-3]:[CAP29]])</f>
        <v>0</v>
      </c>
      <c r="F777" s="69">
        <f ca="1">SUMIF('CAP1-3'!$B:$H,Insumo[[#This Row],[DESCRIPCION]],'CAP1-3'!$H:$H)</f>
        <v>0</v>
      </c>
      <c r="G777" s="69">
        <f ca="1">SUMIF('CAP4-5'!$B:$H,Insumo[[#This Row],[DESCRIPCION]],'CAP4-5'!$H:$H)</f>
        <v>0</v>
      </c>
      <c r="H777" s="69">
        <f ca="1">SUMIF('CAP6-7'!$B:$H,Insumo[[#This Row],[DESCRIPCION]],'CAP6-7'!$H:$H)</f>
        <v>0</v>
      </c>
      <c r="I777" s="69">
        <f ca="1">SUMIF('CAP8'!$B:$H,Insumo[[#This Row],[DESCRIPCION]],'CAP8'!$H:$H)</f>
        <v>0</v>
      </c>
      <c r="J777" s="69">
        <f ca="1">SUMIF('CAP9-13'!$B:$H,Insumo[[#This Row],[DESCRIPCION]],'CAP9-13'!$H:$H)</f>
        <v>0</v>
      </c>
      <c r="K777" s="69">
        <f ca="1">SUMIF('CAP14-15'!$B:$H,Insumo[[#This Row],[DESCRIPCION]],'CAP14-15'!$H:$H)</f>
        <v>0</v>
      </c>
      <c r="L777" s="69">
        <f ca="1">SUMIF('CAP16-18'!$B:$H,Insumo[[#This Row],[DESCRIPCION]],'CAP16-18'!$H:$H)</f>
        <v>0</v>
      </c>
      <c r="M777" s="69">
        <f ca="1">SUMIF('CAP19-22'!$B:$H,Insumo[[#This Row],[DESCRIPCION]],'CAP19-22'!$H:$H)</f>
        <v>0</v>
      </c>
      <c r="N777" s="69">
        <f ca="1">SUMIF('CAP23-24'!$B:$H,Insumo[[#This Row],[DESCRIPCION]],'CAP23-24'!$H:$H)</f>
        <v>0</v>
      </c>
      <c r="O777" s="69">
        <f ca="1">SUMIF('CAP25'!$B:$H,Insumo[[#This Row],[DESCRIPCION]],'CAP25'!$H:$H)</f>
        <v>0</v>
      </c>
      <c r="P777" s="69">
        <f ca="1">SUMIF('CAP26-28'!$B:$H,Insumo[[#This Row],[DESCRIPCION]],'CAP26-28'!$H:$H)</f>
        <v>0</v>
      </c>
      <c r="Q777" s="69">
        <f ca="1">SUMIF('CAP29'!$B:$H,Insumo[[#This Row],[DESCRIPCION]],'CAP29'!$H:$H)</f>
        <v>0</v>
      </c>
      <c r="T777" s="136">
        <v>27604</v>
      </c>
    </row>
    <row r="778" spans="1:20" ht="12" customHeight="1">
      <c r="A778" s="301" t="s">
        <v>3392</v>
      </c>
      <c r="B778" s="303" t="s">
        <v>23</v>
      </c>
      <c r="C778" s="304">
        <f t="shared" si="12"/>
        <v>185497.2</v>
      </c>
      <c r="D778" s="281" cm="1">
        <f t="array" aca="1" ref="D778" ca="1">IF(Insumo[[#This Row],[VALOR]]=0,Insumo[TOTAL],E778/C778)</f>
        <v>0</v>
      </c>
      <c r="E778" s="69">
        <f ca="1">SUM(Insumo[[#This Row],[CAP1-3]:[CAP29]])</f>
        <v>0</v>
      </c>
      <c r="F778" s="69">
        <f ca="1">SUMIF('CAP1-3'!$B:$H,Insumo[[#This Row],[DESCRIPCION]],'CAP1-3'!$H:$H)</f>
        <v>0</v>
      </c>
      <c r="G778" s="69">
        <f ca="1">SUMIF('CAP4-5'!$B:$H,Insumo[[#This Row],[DESCRIPCION]],'CAP4-5'!$H:$H)</f>
        <v>0</v>
      </c>
      <c r="H778" s="69">
        <f ca="1">SUMIF('CAP6-7'!$B:$H,Insumo[[#This Row],[DESCRIPCION]],'CAP6-7'!$H:$H)</f>
        <v>0</v>
      </c>
      <c r="I778" s="69">
        <f ca="1">SUMIF('CAP8'!$B:$H,Insumo[[#This Row],[DESCRIPCION]],'CAP8'!$H:$H)</f>
        <v>0</v>
      </c>
      <c r="J778" s="69">
        <f ca="1">SUMIF('CAP9-13'!$B:$H,Insumo[[#This Row],[DESCRIPCION]],'CAP9-13'!$H:$H)</f>
        <v>0</v>
      </c>
      <c r="K778" s="69">
        <f ca="1">SUMIF('CAP14-15'!$B:$H,Insumo[[#This Row],[DESCRIPCION]],'CAP14-15'!$H:$H)</f>
        <v>0</v>
      </c>
      <c r="L778" s="69">
        <f ca="1">SUMIF('CAP16-18'!$B:$H,Insumo[[#This Row],[DESCRIPCION]],'CAP16-18'!$H:$H)</f>
        <v>0</v>
      </c>
      <c r="M778" s="69">
        <f ca="1">SUMIF('CAP19-22'!$B:$H,Insumo[[#This Row],[DESCRIPCION]],'CAP19-22'!$H:$H)</f>
        <v>0</v>
      </c>
      <c r="N778" s="69">
        <f ca="1">SUMIF('CAP23-24'!$B:$H,Insumo[[#This Row],[DESCRIPCION]],'CAP23-24'!$H:$H)</f>
        <v>0</v>
      </c>
      <c r="O778" s="69">
        <f ca="1">SUMIF('CAP25'!$B:$H,Insumo[[#This Row],[DESCRIPCION]],'CAP25'!$H:$H)</f>
        <v>0</v>
      </c>
      <c r="P778" s="69">
        <f ca="1">SUMIF('CAP26-28'!$B:$H,Insumo[[#This Row],[DESCRIPCION]],'CAP26-28'!$H:$H)</f>
        <v>0</v>
      </c>
      <c r="Q778" s="69">
        <f ca="1">SUMIF('CAP29'!$B:$H,Insumo[[#This Row],[DESCRIPCION]],'CAP29'!$H:$H)</f>
        <v>0</v>
      </c>
      <c r="T778" s="136">
        <v>176664</v>
      </c>
    </row>
    <row r="779" spans="1:20" ht="12" customHeight="1">
      <c r="A779" s="301" t="s">
        <v>3393</v>
      </c>
      <c r="B779" s="303" t="s">
        <v>52</v>
      </c>
      <c r="C779" s="304">
        <f t="shared" si="12"/>
        <v>39782.400000000001</v>
      </c>
      <c r="D779" s="281" cm="1">
        <f t="array" aca="1" ref="D779" ca="1">IF(Insumo[[#This Row],[VALOR]]=0,Insumo[TOTAL],E779/C779)</f>
        <v>0</v>
      </c>
      <c r="E779" s="69">
        <f ca="1">SUM(Insumo[[#This Row],[CAP1-3]:[CAP29]])</f>
        <v>0</v>
      </c>
      <c r="F779" s="69">
        <f ca="1">SUMIF('CAP1-3'!$B:$H,Insumo[[#This Row],[DESCRIPCION]],'CAP1-3'!$H:$H)</f>
        <v>0</v>
      </c>
      <c r="G779" s="69">
        <f ca="1">SUMIF('CAP4-5'!$B:$H,Insumo[[#This Row],[DESCRIPCION]],'CAP4-5'!$H:$H)</f>
        <v>0</v>
      </c>
      <c r="H779" s="69">
        <f ca="1">SUMIF('CAP6-7'!$B:$H,Insumo[[#This Row],[DESCRIPCION]],'CAP6-7'!$H:$H)</f>
        <v>0</v>
      </c>
      <c r="I779" s="69">
        <f ca="1">SUMIF('CAP8'!$B:$H,Insumo[[#This Row],[DESCRIPCION]],'CAP8'!$H:$H)</f>
        <v>0</v>
      </c>
      <c r="J779" s="69">
        <f ca="1">SUMIF('CAP9-13'!$B:$H,Insumo[[#This Row],[DESCRIPCION]],'CAP9-13'!$H:$H)</f>
        <v>0</v>
      </c>
      <c r="K779" s="69">
        <f ca="1">SUMIF('CAP14-15'!$B:$H,Insumo[[#This Row],[DESCRIPCION]],'CAP14-15'!$H:$H)</f>
        <v>0</v>
      </c>
      <c r="L779" s="69">
        <f ca="1">SUMIF('CAP16-18'!$B:$H,Insumo[[#This Row],[DESCRIPCION]],'CAP16-18'!$H:$H)</f>
        <v>0</v>
      </c>
      <c r="M779" s="69">
        <f ca="1">SUMIF('CAP19-22'!$B:$H,Insumo[[#This Row],[DESCRIPCION]],'CAP19-22'!$H:$H)</f>
        <v>0</v>
      </c>
      <c r="N779" s="69">
        <f ca="1">SUMIF('CAP23-24'!$B:$H,Insumo[[#This Row],[DESCRIPCION]],'CAP23-24'!$H:$H)</f>
        <v>0</v>
      </c>
      <c r="O779" s="69">
        <f ca="1">SUMIF('CAP25'!$B:$H,Insumo[[#This Row],[DESCRIPCION]],'CAP25'!$H:$H)</f>
        <v>0</v>
      </c>
      <c r="P779" s="69">
        <f ca="1">SUMIF('CAP26-28'!$B:$H,Insumo[[#This Row],[DESCRIPCION]],'CAP26-28'!$H:$H)</f>
        <v>0</v>
      </c>
      <c r="Q779" s="69">
        <f ca="1">SUMIF('CAP29'!$B:$H,Insumo[[#This Row],[DESCRIPCION]],'CAP29'!$H:$H)</f>
        <v>0</v>
      </c>
      <c r="T779" s="136">
        <v>37888</v>
      </c>
    </row>
    <row r="780" spans="1:20" ht="12" customHeight="1">
      <c r="A780" s="301" t="s">
        <v>3394</v>
      </c>
      <c r="B780" s="303" t="s">
        <v>52</v>
      </c>
      <c r="C780" s="304">
        <f t="shared" si="12"/>
        <v>36190.35</v>
      </c>
      <c r="D780" s="281" cm="1">
        <f t="array" aca="1" ref="D780" ca="1">IF(Insumo[[#This Row],[VALOR]]=0,Insumo[TOTAL],E780/C780)</f>
        <v>0</v>
      </c>
      <c r="E780" s="69">
        <f ca="1">SUM(Insumo[[#This Row],[CAP1-3]:[CAP29]])</f>
        <v>0</v>
      </c>
      <c r="F780" s="69">
        <f ca="1">SUMIF('CAP1-3'!$B:$H,Insumo[[#This Row],[DESCRIPCION]],'CAP1-3'!$H:$H)</f>
        <v>0</v>
      </c>
      <c r="G780" s="69">
        <f ca="1">SUMIF('CAP4-5'!$B:$H,Insumo[[#This Row],[DESCRIPCION]],'CAP4-5'!$H:$H)</f>
        <v>0</v>
      </c>
      <c r="H780" s="69">
        <f ca="1">SUMIF('CAP6-7'!$B:$H,Insumo[[#This Row],[DESCRIPCION]],'CAP6-7'!$H:$H)</f>
        <v>0</v>
      </c>
      <c r="I780" s="69">
        <f ca="1">SUMIF('CAP8'!$B:$H,Insumo[[#This Row],[DESCRIPCION]],'CAP8'!$H:$H)</f>
        <v>0</v>
      </c>
      <c r="J780" s="69">
        <f ca="1">SUMIF('CAP9-13'!$B:$H,Insumo[[#This Row],[DESCRIPCION]],'CAP9-13'!$H:$H)</f>
        <v>0</v>
      </c>
      <c r="K780" s="69">
        <f ca="1">SUMIF('CAP14-15'!$B:$H,Insumo[[#This Row],[DESCRIPCION]],'CAP14-15'!$H:$H)</f>
        <v>0</v>
      </c>
      <c r="L780" s="69">
        <f ca="1">SUMIF('CAP16-18'!$B:$H,Insumo[[#This Row],[DESCRIPCION]],'CAP16-18'!$H:$H)</f>
        <v>0</v>
      </c>
      <c r="M780" s="69">
        <f ca="1">SUMIF('CAP19-22'!$B:$H,Insumo[[#This Row],[DESCRIPCION]],'CAP19-22'!$H:$H)</f>
        <v>0</v>
      </c>
      <c r="N780" s="69">
        <f ca="1">SUMIF('CAP23-24'!$B:$H,Insumo[[#This Row],[DESCRIPCION]],'CAP23-24'!$H:$H)</f>
        <v>0</v>
      </c>
      <c r="O780" s="69">
        <f ca="1">SUMIF('CAP25'!$B:$H,Insumo[[#This Row],[DESCRIPCION]],'CAP25'!$H:$H)</f>
        <v>0</v>
      </c>
      <c r="P780" s="69">
        <f ca="1">SUMIF('CAP26-28'!$B:$H,Insumo[[#This Row],[DESCRIPCION]],'CAP26-28'!$H:$H)</f>
        <v>0</v>
      </c>
      <c r="Q780" s="69">
        <f ca="1">SUMIF('CAP29'!$B:$H,Insumo[[#This Row],[DESCRIPCION]],'CAP29'!$H:$H)</f>
        <v>0</v>
      </c>
      <c r="T780" s="136">
        <v>34467</v>
      </c>
    </row>
    <row r="781" spans="1:20" ht="12" customHeight="1">
      <c r="A781" s="301" t="s">
        <v>3395</v>
      </c>
      <c r="B781" s="303" t="s">
        <v>52</v>
      </c>
      <c r="C781" s="304">
        <f t="shared" si="12"/>
        <v>47499.9</v>
      </c>
      <c r="D781" s="281" cm="1">
        <f t="array" aca="1" ref="D781" ca="1">IF(Insumo[[#This Row],[VALOR]]=0,Insumo[TOTAL],E781/C781)</f>
        <v>0</v>
      </c>
      <c r="E781" s="69">
        <f ca="1">SUM(Insumo[[#This Row],[CAP1-3]:[CAP29]])</f>
        <v>0</v>
      </c>
      <c r="F781" s="69">
        <f ca="1">SUMIF('CAP1-3'!$B:$H,Insumo[[#This Row],[DESCRIPCION]],'CAP1-3'!$H:$H)</f>
        <v>0</v>
      </c>
      <c r="G781" s="69">
        <f ca="1">SUMIF('CAP4-5'!$B:$H,Insumo[[#This Row],[DESCRIPCION]],'CAP4-5'!$H:$H)</f>
        <v>0</v>
      </c>
      <c r="H781" s="69">
        <f ca="1">SUMIF('CAP6-7'!$B:$H,Insumo[[#This Row],[DESCRIPCION]],'CAP6-7'!$H:$H)</f>
        <v>0</v>
      </c>
      <c r="I781" s="69">
        <f ca="1">SUMIF('CAP8'!$B:$H,Insumo[[#This Row],[DESCRIPCION]],'CAP8'!$H:$H)</f>
        <v>0</v>
      </c>
      <c r="J781" s="69">
        <f ca="1">SUMIF('CAP9-13'!$B:$H,Insumo[[#This Row],[DESCRIPCION]],'CAP9-13'!$H:$H)</f>
        <v>0</v>
      </c>
      <c r="K781" s="69">
        <f ca="1">SUMIF('CAP14-15'!$B:$H,Insumo[[#This Row],[DESCRIPCION]],'CAP14-15'!$H:$H)</f>
        <v>0</v>
      </c>
      <c r="L781" s="69">
        <f ca="1">SUMIF('CAP16-18'!$B:$H,Insumo[[#This Row],[DESCRIPCION]],'CAP16-18'!$H:$H)</f>
        <v>0</v>
      </c>
      <c r="M781" s="69">
        <f ca="1">SUMIF('CAP19-22'!$B:$H,Insumo[[#This Row],[DESCRIPCION]],'CAP19-22'!$H:$H)</f>
        <v>0</v>
      </c>
      <c r="N781" s="69">
        <f ca="1">SUMIF('CAP23-24'!$B:$H,Insumo[[#This Row],[DESCRIPCION]],'CAP23-24'!$H:$H)</f>
        <v>0</v>
      </c>
      <c r="O781" s="69">
        <f ca="1">SUMIF('CAP25'!$B:$H,Insumo[[#This Row],[DESCRIPCION]],'CAP25'!$H:$H)</f>
        <v>0</v>
      </c>
      <c r="P781" s="69">
        <f ca="1">SUMIF('CAP26-28'!$B:$H,Insumo[[#This Row],[DESCRIPCION]],'CAP26-28'!$H:$H)</f>
        <v>0</v>
      </c>
      <c r="Q781" s="69">
        <f ca="1">SUMIF('CAP29'!$B:$H,Insumo[[#This Row],[DESCRIPCION]],'CAP29'!$H:$H)</f>
        <v>0</v>
      </c>
      <c r="T781" s="136">
        <v>45238</v>
      </c>
    </row>
    <row r="782" spans="1:20" ht="12" customHeight="1">
      <c r="A782" s="301" t="s">
        <v>3396</v>
      </c>
      <c r="B782" s="303" t="s">
        <v>23</v>
      </c>
      <c r="C782" s="304">
        <f t="shared" si="12"/>
        <v>6016.5</v>
      </c>
      <c r="D782" s="281" cm="1">
        <f t="array" aca="1" ref="D782" ca="1">IF(Insumo[[#This Row],[VALOR]]=0,Insumo[TOTAL],E782/C782)</f>
        <v>0</v>
      </c>
      <c r="E782" s="69">
        <f ca="1">SUM(Insumo[[#This Row],[CAP1-3]:[CAP29]])</f>
        <v>0</v>
      </c>
      <c r="F782" s="69">
        <f ca="1">SUMIF('CAP1-3'!$B:$H,Insumo[[#This Row],[DESCRIPCION]],'CAP1-3'!$H:$H)</f>
        <v>0</v>
      </c>
      <c r="G782" s="69">
        <f ca="1">SUMIF('CAP4-5'!$B:$H,Insumo[[#This Row],[DESCRIPCION]],'CAP4-5'!$H:$H)</f>
        <v>0</v>
      </c>
      <c r="H782" s="69">
        <f ca="1">SUMIF('CAP6-7'!$B:$H,Insumo[[#This Row],[DESCRIPCION]],'CAP6-7'!$H:$H)</f>
        <v>0</v>
      </c>
      <c r="I782" s="69">
        <f ca="1">SUMIF('CAP8'!$B:$H,Insumo[[#This Row],[DESCRIPCION]],'CAP8'!$H:$H)</f>
        <v>0</v>
      </c>
      <c r="J782" s="69">
        <f ca="1">SUMIF('CAP9-13'!$B:$H,Insumo[[#This Row],[DESCRIPCION]],'CAP9-13'!$H:$H)</f>
        <v>0</v>
      </c>
      <c r="K782" s="69">
        <f ca="1">SUMIF('CAP14-15'!$B:$H,Insumo[[#This Row],[DESCRIPCION]],'CAP14-15'!$H:$H)</f>
        <v>0</v>
      </c>
      <c r="L782" s="69">
        <f ca="1">SUMIF('CAP16-18'!$B:$H,Insumo[[#This Row],[DESCRIPCION]],'CAP16-18'!$H:$H)</f>
        <v>0</v>
      </c>
      <c r="M782" s="69">
        <f ca="1">SUMIF('CAP19-22'!$B:$H,Insumo[[#This Row],[DESCRIPCION]],'CAP19-22'!$H:$H)</f>
        <v>0</v>
      </c>
      <c r="N782" s="69">
        <f ca="1">SUMIF('CAP23-24'!$B:$H,Insumo[[#This Row],[DESCRIPCION]],'CAP23-24'!$H:$H)</f>
        <v>0</v>
      </c>
      <c r="O782" s="69">
        <f ca="1">SUMIF('CAP25'!$B:$H,Insumo[[#This Row],[DESCRIPCION]],'CAP25'!$H:$H)</f>
        <v>0</v>
      </c>
      <c r="P782" s="69">
        <f ca="1">SUMIF('CAP26-28'!$B:$H,Insumo[[#This Row],[DESCRIPCION]],'CAP26-28'!$H:$H)</f>
        <v>0</v>
      </c>
      <c r="Q782" s="69">
        <f ca="1">SUMIF('CAP29'!$B:$H,Insumo[[#This Row],[DESCRIPCION]],'CAP29'!$H:$H)</f>
        <v>0</v>
      </c>
      <c r="T782" s="136">
        <v>5730</v>
      </c>
    </row>
    <row r="783" spans="1:20" ht="12" customHeight="1">
      <c r="A783" s="301" t="s">
        <v>3397</v>
      </c>
      <c r="B783" s="303" t="s">
        <v>23</v>
      </c>
      <c r="C783" s="304">
        <f t="shared" si="12"/>
        <v>15514.800000000001</v>
      </c>
      <c r="D783" s="281" cm="1">
        <f t="array" aca="1" ref="D783" ca="1">IF(Insumo[[#This Row],[VALOR]]=0,Insumo[TOTAL],E783/C783)</f>
        <v>0</v>
      </c>
      <c r="E783" s="69">
        <f ca="1">SUM(Insumo[[#This Row],[CAP1-3]:[CAP29]])</f>
        <v>0</v>
      </c>
      <c r="F783" s="69">
        <f ca="1">SUMIF('CAP1-3'!$B:$H,Insumo[[#This Row],[DESCRIPCION]],'CAP1-3'!$H:$H)</f>
        <v>0</v>
      </c>
      <c r="G783" s="69">
        <f ca="1">SUMIF('CAP4-5'!$B:$H,Insumo[[#This Row],[DESCRIPCION]],'CAP4-5'!$H:$H)</f>
        <v>0</v>
      </c>
      <c r="H783" s="69">
        <f ca="1">SUMIF('CAP6-7'!$B:$H,Insumo[[#This Row],[DESCRIPCION]],'CAP6-7'!$H:$H)</f>
        <v>0</v>
      </c>
      <c r="I783" s="69">
        <f ca="1">SUMIF('CAP8'!$B:$H,Insumo[[#This Row],[DESCRIPCION]],'CAP8'!$H:$H)</f>
        <v>0</v>
      </c>
      <c r="J783" s="69">
        <f ca="1">SUMIF('CAP9-13'!$B:$H,Insumo[[#This Row],[DESCRIPCION]],'CAP9-13'!$H:$H)</f>
        <v>0</v>
      </c>
      <c r="K783" s="69">
        <f ca="1">SUMIF('CAP14-15'!$B:$H,Insumo[[#This Row],[DESCRIPCION]],'CAP14-15'!$H:$H)</f>
        <v>0</v>
      </c>
      <c r="L783" s="69">
        <f ca="1">SUMIF('CAP16-18'!$B:$H,Insumo[[#This Row],[DESCRIPCION]],'CAP16-18'!$H:$H)</f>
        <v>0</v>
      </c>
      <c r="M783" s="69">
        <f ca="1">SUMIF('CAP19-22'!$B:$H,Insumo[[#This Row],[DESCRIPCION]],'CAP19-22'!$H:$H)</f>
        <v>0</v>
      </c>
      <c r="N783" s="69">
        <f ca="1">SUMIF('CAP23-24'!$B:$H,Insumo[[#This Row],[DESCRIPCION]],'CAP23-24'!$H:$H)</f>
        <v>0</v>
      </c>
      <c r="O783" s="69">
        <f ca="1">SUMIF('CAP25'!$B:$H,Insumo[[#This Row],[DESCRIPCION]],'CAP25'!$H:$H)</f>
        <v>0</v>
      </c>
      <c r="P783" s="69">
        <f ca="1">SUMIF('CAP26-28'!$B:$H,Insumo[[#This Row],[DESCRIPCION]],'CAP26-28'!$H:$H)</f>
        <v>0</v>
      </c>
      <c r="Q783" s="69">
        <f ca="1">SUMIF('CAP29'!$B:$H,Insumo[[#This Row],[DESCRIPCION]],'CAP29'!$H:$H)</f>
        <v>0</v>
      </c>
      <c r="T783" s="136">
        <v>14776</v>
      </c>
    </row>
    <row r="784" spans="1:20" ht="12" customHeight="1">
      <c r="A784" s="301" t="s">
        <v>3398</v>
      </c>
      <c r="B784" s="303" t="s">
        <v>23</v>
      </c>
      <c r="C784" s="304">
        <f t="shared" si="12"/>
        <v>31302.600000000002</v>
      </c>
      <c r="D784" s="281" cm="1">
        <f t="array" aca="1" ref="D784" ca="1">IF(Insumo[[#This Row],[VALOR]]=0,Insumo[TOTAL],E784/C784)</f>
        <v>0</v>
      </c>
      <c r="E784" s="69">
        <f ca="1">SUM(Insumo[[#This Row],[CAP1-3]:[CAP29]])</f>
        <v>0</v>
      </c>
      <c r="F784" s="69">
        <f ca="1">SUMIF('CAP1-3'!$B:$H,Insumo[[#This Row],[DESCRIPCION]],'CAP1-3'!$H:$H)</f>
        <v>0</v>
      </c>
      <c r="G784" s="69">
        <f ca="1">SUMIF('CAP4-5'!$B:$H,Insumo[[#This Row],[DESCRIPCION]],'CAP4-5'!$H:$H)</f>
        <v>0</v>
      </c>
      <c r="H784" s="69">
        <f ca="1">SUMIF('CAP6-7'!$B:$H,Insumo[[#This Row],[DESCRIPCION]],'CAP6-7'!$H:$H)</f>
        <v>0</v>
      </c>
      <c r="I784" s="69">
        <f ca="1">SUMIF('CAP8'!$B:$H,Insumo[[#This Row],[DESCRIPCION]],'CAP8'!$H:$H)</f>
        <v>0</v>
      </c>
      <c r="J784" s="69">
        <f ca="1">SUMIF('CAP9-13'!$B:$H,Insumo[[#This Row],[DESCRIPCION]],'CAP9-13'!$H:$H)</f>
        <v>0</v>
      </c>
      <c r="K784" s="69">
        <f ca="1">SUMIF('CAP14-15'!$B:$H,Insumo[[#This Row],[DESCRIPCION]],'CAP14-15'!$H:$H)</f>
        <v>0</v>
      </c>
      <c r="L784" s="69">
        <f ca="1">SUMIF('CAP16-18'!$B:$H,Insumo[[#This Row],[DESCRIPCION]],'CAP16-18'!$H:$H)</f>
        <v>0</v>
      </c>
      <c r="M784" s="69">
        <f ca="1">SUMIF('CAP19-22'!$B:$H,Insumo[[#This Row],[DESCRIPCION]],'CAP19-22'!$H:$H)</f>
        <v>0</v>
      </c>
      <c r="N784" s="69">
        <f ca="1">SUMIF('CAP23-24'!$B:$H,Insumo[[#This Row],[DESCRIPCION]],'CAP23-24'!$H:$H)</f>
        <v>0</v>
      </c>
      <c r="O784" s="69">
        <f ca="1">SUMIF('CAP25'!$B:$H,Insumo[[#This Row],[DESCRIPCION]],'CAP25'!$H:$H)</f>
        <v>0</v>
      </c>
      <c r="P784" s="69">
        <f ca="1">SUMIF('CAP26-28'!$B:$H,Insumo[[#This Row],[DESCRIPCION]],'CAP26-28'!$H:$H)</f>
        <v>0</v>
      </c>
      <c r="Q784" s="69">
        <f ca="1">SUMIF('CAP29'!$B:$H,Insumo[[#This Row],[DESCRIPCION]],'CAP29'!$H:$H)</f>
        <v>0</v>
      </c>
      <c r="T784" s="136">
        <v>29812</v>
      </c>
    </row>
    <row r="785" spans="1:20" ht="12" customHeight="1">
      <c r="A785" s="301" t="s">
        <v>3399</v>
      </c>
      <c r="B785" s="303" t="s">
        <v>23</v>
      </c>
      <c r="C785" s="304">
        <f t="shared" si="12"/>
        <v>99363.6</v>
      </c>
      <c r="D785" s="281" cm="1">
        <f t="array" aca="1" ref="D785" ca="1">IF(Insumo[[#This Row],[VALOR]]=0,Insumo[TOTAL],E785/C785)</f>
        <v>0</v>
      </c>
      <c r="E785" s="69">
        <f ca="1">SUM(Insumo[[#This Row],[CAP1-3]:[CAP29]])</f>
        <v>0</v>
      </c>
      <c r="F785" s="69">
        <f ca="1">SUMIF('CAP1-3'!$B:$H,Insumo[[#This Row],[DESCRIPCION]],'CAP1-3'!$H:$H)</f>
        <v>0</v>
      </c>
      <c r="G785" s="69">
        <f ca="1">SUMIF('CAP4-5'!$B:$H,Insumo[[#This Row],[DESCRIPCION]],'CAP4-5'!$H:$H)</f>
        <v>0</v>
      </c>
      <c r="H785" s="69">
        <f ca="1">SUMIF('CAP6-7'!$B:$H,Insumo[[#This Row],[DESCRIPCION]],'CAP6-7'!$H:$H)</f>
        <v>0</v>
      </c>
      <c r="I785" s="69">
        <f ca="1">SUMIF('CAP8'!$B:$H,Insumo[[#This Row],[DESCRIPCION]],'CAP8'!$H:$H)</f>
        <v>0</v>
      </c>
      <c r="J785" s="69">
        <f ca="1">SUMIF('CAP9-13'!$B:$H,Insumo[[#This Row],[DESCRIPCION]],'CAP9-13'!$H:$H)</f>
        <v>0</v>
      </c>
      <c r="K785" s="69">
        <f ca="1">SUMIF('CAP14-15'!$B:$H,Insumo[[#This Row],[DESCRIPCION]],'CAP14-15'!$H:$H)</f>
        <v>0</v>
      </c>
      <c r="L785" s="69">
        <f ca="1">SUMIF('CAP16-18'!$B:$H,Insumo[[#This Row],[DESCRIPCION]],'CAP16-18'!$H:$H)</f>
        <v>0</v>
      </c>
      <c r="M785" s="69">
        <f ca="1">SUMIF('CAP19-22'!$B:$H,Insumo[[#This Row],[DESCRIPCION]],'CAP19-22'!$H:$H)</f>
        <v>0</v>
      </c>
      <c r="N785" s="69">
        <f ca="1">SUMIF('CAP23-24'!$B:$H,Insumo[[#This Row],[DESCRIPCION]],'CAP23-24'!$H:$H)</f>
        <v>0</v>
      </c>
      <c r="O785" s="69">
        <f ca="1">SUMIF('CAP25'!$B:$H,Insumo[[#This Row],[DESCRIPCION]],'CAP25'!$H:$H)</f>
        <v>0</v>
      </c>
      <c r="P785" s="69">
        <f ca="1">SUMIF('CAP26-28'!$B:$H,Insumo[[#This Row],[DESCRIPCION]],'CAP26-28'!$H:$H)</f>
        <v>0</v>
      </c>
      <c r="Q785" s="69">
        <f ca="1">SUMIF('CAP29'!$B:$H,Insumo[[#This Row],[DESCRIPCION]],'CAP29'!$H:$H)</f>
        <v>0</v>
      </c>
      <c r="T785" s="136">
        <v>94632</v>
      </c>
    </row>
    <row r="786" spans="1:20" ht="12" customHeight="1">
      <c r="A786" s="301" t="s">
        <v>3400</v>
      </c>
      <c r="B786" s="303" t="s">
        <v>23</v>
      </c>
      <c r="C786" s="304">
        <f t="shared" si="12"/>
        <v>2466476.25</v>
      </c>
      <c r="D786" s="281" cm="1">
        <f t="array" aca="1" ref="D786" ca="1">IF(Insumo[[#This Row],[VALOR]]=0,Insumo[TOTAL],E786/C786)</f>
        <v>0</v>
      </c>
      <c r="E786" s="69">
        <f ca="1">SUM(Insumo[[#This Row],[CAP1-3]:[CAP29]])</f>
        <v>0</v>
      </c>
      <c r="F786" s="69">
        <f ca="1">SUMIF('CAP1-3'!$B:$H,Insumo[[#This Row],[DESCRIPCION]],'CAP1-3'!$H:$H)</f>
        <v>0</v>
      </c>
      <c r="G786" s="69">
        <f ca="1">SUMIF('CAP4-5'!$B:$H,Insumo[[#This Row],[DESCRIPCION]],'CAP4-5'!$H:$H)</f>
        <v>0</v>
      </c>
      <c r="H786" s="69">
        <f ca="1">SUMIF('CAP6-7'!$B:$H,Insumo[[#This Row],[DESCRIPCION]],'CAP6-7'!$H:$H)</f>
        <v>0</v>
      </c>
      <c r="I786" s="69">
        <f ca="1">SUMIF('CAP8'!$B:$H,Insumo[[#This Row],[DESCRIPCION]],'CAP8'!$H:$H)</f>
        <v>0</v>
      </c>
      <c r="J786" s="69">
        <f ca="1">SUMIF('CAP9-13'!$B:$H,Insumo[[#This Row],[DESCRIPCION]],'CAP9-13'!$H:$H)</f>
        <v>0</v>
      </c>
      <c r="K786" s="69">
        <f ca="1">SUMIF('CAP14-15'!$B:$H,Insumo[[#This Row],[DESCRIPCION]],'CAP14-15'!$H:$H)</f>
        <v>0</v>
      </c>
      <c r="L786" s="69">
        <f ca="1">SUMIF('CAP16-18'!$B:$H,Insumo[[#This Row],[DESCRIPCION]],'CAP16-18'!$H:$H)</f>
        <v>0</v>
      </c>
      <c r="M786" s="69">
        <f ca="1">SUMIF('CAP19-22'!$B:$H,Insumo[[#This Row],[DESCRIPCION]],'CAP19-22'!$H:$H)</f>
        <v>0</v>
      </c>
      <c r="N786" s="69">
        <f ca="1">SUMIF('CAP23-24'!$B:$H,Insumo[[#This Row],[DESCRIPCION]],'CAP23-24'!$H:$H)</f>
        <v>0</v>
      </c>
      <c r="O786" s="69">
        <f ca="1">SUMIF('CAP25'!$B:$H,Insumo[[#This Row],[DESCRIPCION]],'CAP25'!$H:$H)</f>
        <v>0</v>
      </c>
      <c r="P786" s="69">
        <f ca="1">SUMIF('CAP26-28'!$B:$H,Insumo[[#This Row],[DESCRIPCION]],'CAP26-28'!$H:$H)</f>
        <v>0</v>
      </c>
      <c r="Q786" s="69">
        <f ca="1">SUMIF('CAP29'!$B:$H,Insumo[[#This Row],[DESCRIPCION]],'CAP29'!$H:$H)</f>
        <v>0</v>
      </c>
      <c r="T786" s="136">
        <v>2349025</v>
      </c>
    </row>
    <row r="787" spans="1:20" ht="12" customHeight="1">
      <c r="A787" s="301" t="s">
        <v>3401</v>
      </c>
      <c r="B787" s="303" t="s">
        <v>23</v>
      </c>
      <c r="C787" s="304">
        <f t="shared" si="12"/>
        <v>8547</v>
      </c>
      <c r="D787" s="281" cm="1">
        <f t="array" aca="1" ref="D787" ca="1">IF(Insumo[[#This Row],[VALOR]]=0,Insumo[TOTAL],E787/C787)</f>
        <v>0</v>
      </c>
      <c r="E787" s="69">
        <f ca="1">SUM(Insumo[[#This Row],[CAP1-3]:[CAP29]])</f>
        <v>0</v>
      </c>
      <c r="F787" s="69">
        <f ca="1">SUMIF('CAP1-3'!$B:$H,Insumo[[#This Row],[DESCRIPCION]],'CAP1-3'!$H:$H)</f>
        <v>0</v>
      </c>
      <c r="G787" s="69">
        <f ca="1">SUMIF('CAP4-5'!$B:$H,Insumo[[#This Row],[DESCRIPCION]],'CAP4-5'!$H:$H)</f>
        <v>0</v>
      </c>
      <c r="H787" s="69">
        <f ca="1">SUMIF('CAP6-7'!$B:$H,Insumo[[#This Row],[DESCRIPCION]],'CAP6-7'!$H:$H)</f>
        <v>0</v>
      </c>
      <c r="I787" s="69">
        <f ca="1">SUMIF('CAP8'!$B:$H,Insumo[[#This Row],[DESCRIPCION]],'CAP8'!$H:$H)</f>
        <v>0</v>
      </c>
      <c r="J787" s="69">
        <f ca="1">SUMIF('CAP9-13'!$B:$H,Insumo[[#This Row],[DESCRIPCION]],'CAP9-13'!$H:$H)</f>
        <v>0</v>
      </c>
      <c r="K787" s="69">
        <f ca="1">SUMIF('CAP14-15'!$B:$H,Insumo[[#This Row],[DESCRIPCION]],'CAP14-15'!$H:$H)</f>
        <v>0</v>
      </c>
      <c r="L787" s="69">
        <f ca="1">SUMIF('CAP16-18'!$B:$H,Insumo[[#This Row],[DESCRIPCION]],'CAP16-18'!$H:$H)</f>
        <v>0</v>
      </c>
      <c r="M787" s="69">
        <f ca="1">SUMIF('CAP19-22'!$B:$H,Insumo[[#This Row],[DESCRIPCION]],'CAP19-22'!$H:$H)</f>
        <v>0</v>
      </c>
      <c r="N787" s="69">
        <f ca="1">SUMIF('CAP23-24'!$B:$H,Insumo[[#This Row],[DESCRIPCION]],'CAP23-24'!$H:$H)</f>
        <v>0</v>
      </c>
      <c r="O787" s="69">
        <f ca="1">SUMIF('CAP25'!$B:$H,Insumo[[#This Row],[DESCRIPCION]],'CAP25'!$H:$H)</f>
        <v>0</v>
      </c>
      <c r="P787" s="69">
        <f ca="1">SUMIF('CAP26-28'!$B:$H,Insumo[[#This Row],[DESCRIPCION]],'CAP26-28'!$H:$H)</f>
        <v>0</v>
      </c>
      <c r="Q787" s="69">
        <f ca="1">SUMIF('CAP29'!$B:$H,Insumo[[#This Row],[DESCRIPCION]],'CAP29'!$H:$H)</f>
        <v>0</v>
      </c>
      <c r="R787" s="290"/>
      <c r="T787" s="136">
        <v>8140</v>
      </c>
    </row>
    <row r="788" spans="1:20" ht="12" customHeight="1">
      <c r="A788" s="301" t="s">
        <v>3402</v>
      </c>
      <c r="B788" s="303" t="s">
        <v>23</v>
      </c>
      <c r="C788" s="304">
        <f t="shared" si="12"/>
        <v>395.85</v>
      </c>
      <c r="D788" s="281" cm="1">
        <f t="array" aca="1" ref="D788" ca="1">IF(Insumo[[#This Row],[VALOR]]=0,Insumo[TOTAL],E788/C788)</f>
        <v>0</v>
      </c>
      <c r="E788" s="69">
        <f ca="1">SUM(Insumo[[#This Row],[CAP1-3]:[CAP29]])</f>
        <v>0</v>
      </c>
      <c r="F788" s="69">
        <f ca="1">SUMIF('CAP1-3'!$B:$H,Insumo[[#This Row],[DESCRIPCION]],'CAP1-3'!$H:$H)</f>
        <v>0</v>
      </c>
      <c r="G788" s="69">
        <f ca="1">SUMIF('CAP4-5'!$B:$H,Insumo[[#This Row],[DESCRIPCION]],'CAP4-5'!$H:$H)</f>
        <v>0</v>
      </c>
      <c r="H788" s="69">
        <f ca="1">SUMIF('CAP6-7'!$B:$H,Insumo[[#This Row],[DESCRIPCION]],'CAP6-7'!$H:$H)</f>
        <v>0</v>
      </c>
      <c r="I788" s="69">
        <f ca="1">SUMIF('CAP8'!$B:$H,Insumo[[#This Row],[DESCRIPCION]],'CAP8'!$H:$H)</f>
        <v>0</v>
      </c>
      <c r="J788" s="69">
        <f ca="1">SUMIF('CAP9-13'!$B:$H,Insumo[[#This Row],[DESCRIPCION]],'CAP9-13'!$H:$H)</f>
        <v>0</v>
      </c>
      <c r="K788" s="69">
        <f ca="1">SUMIF('CAP14-15'!$B:$H,Insumo[[#This Row],[DESCRIPCION]],'CAP14-15'!$H:$H)</f>
        <v>0</v>
      </c>
      <c r="L788" s="69">
        <f ca="1">SUMIF('CAP16-18'!$B:$H,Insumo[[#This Row],[DESCRIPCION]],'CAP16-18'!$H:$H)</f>
        <v>0</v>
      </c>
      <c r="M788" s="69">
        <f ca="1">SUMIF('CAP19-22'!$B:$H,Insumo[[#This Row],[DESCRIPCION]],'CAP19-22'!$H:$H)</f>
        <v>0</v>
      </c>
      <c r="N788" s="69">
        <f ca="1">SUMIF('CAP23-24'!$B:$H,Insumo[[#This Row],[DESCRIPCION]],'CAP23-24'!$H:$H)</f>
        <v>0</v>
      </c>
      <c r="O788" s="69">
        <f ca="1">SUMIF('CAP25'!$B:$H,Insumo[[#This Row],[DESCRIPCION]],'CAP25'!$H:$H)</f>
        <v>0</v>
      </c>
      <c r="P788" s="69">
        <f ca="1">SUMIF('CAP26-28'!$B:$H,Insumo[[#This Row],[DESCRIPCION]],'CAP26-28'!$H:$H)</f>
        <v>0</v>
      </c>
      <c r="Q788" s="69">
        <f ca="1">SUMIF('CAP29'!$B:$H,Insumo[[#This Row],[DESCRIPCION]],'CAP29'!$H:$H)</f>
        <v>0</v>
      </c>
      <c r="T788" s="136">
        <v>377</v>
      </c>
    </row>
    <row r="789" spans="1:20" ht="12" customHeight="1">
      <c r="A789" s="301" t="s">
        <v>3403</v>
      </c>
      <c r="B789" s="303" t="s">
        <v>23</v>
      </c>
      <c r="C789" s="304">
        <f t="shared" si="12"/>
        <v>6138.3</v>
      </c>
      <c r="D789" s="281" cm="1">
        <f t="array" aca="1" ref="D789" ca="1">IF(Insumo[[#This Row],[VALOR]]=0,Insumo[TOTAL],E789/C789)</f>
        <v>0</v>
      </c>
      <c r="E789" s="69">
        <f ca="1">SUM(Insumo[[#This Row],[CAP1-3]:[CAP29]])</f>
        <v>0</v>
      </c>
      <c r="F789" s="69">
        <f ca="1">SUMIF('CAP1-3'!$B:$H,Insumo[[#This Row],[DESCRIPCION]],'CAP1-3'!$H:$H)</f>
        <v>0</v>
      </c>
      <c r="G789" s="69">
        <f ca="1">SUMIF('CAP4-5'!$B:$H,Insumo[[#This Row],[DESCRIPCION]],'CAP4-5'!$H:$H)</f>
        <v>0</v>
      </c>
      <c r="H789" s="69">
        <f ca="1">SUMIF('CAP6-7'!$B:$H,Insumo[[#This Row],[DESCRIPCION]],'CAP6-7'!$H:$H)</f>
        <v>0</v>
      </c>
      <c r="I789" s="69">
        <f ca="1">SUMIF('CAP8'!$B:$H,Insumo[[#This Row],[DESCRIPCION]],'CAP8'!$H:$H)</f>
        <v>0</v>
      </c>
      <c r="J789" s="69">
        <f ca="1">SUMIF('CAP9-13'!$B:$H,Insumo[[#This Row],[DESCRIPCION]],'CAP9-13'!$H:$H)</f>
        <v>0</v>
      </c>
      <c r="K789" s="69">
        <f ca="1">SUMIF('CAP14-15'!$B:$H,Insumo[[#This Row],[DESCRIPCION]],'CAP14-15'!$H:$H)</f>
        <v>0</v>
      </c>
      <c r="L789" s="69">
        <f ca="1">SUMIF('CAP16-18'!$B:$H,Insumo[[#This Row],[DESCRIPCION]],'CAP16-18'!$H:$H)</f>
        <v>0</v>
      </c>
      <c r="M789" s="69">
        <f ca="1">SUMIF('CAP19-22'!$B:$H,Insumo[[#This Row],[DESCRIPCION]],'CAP19-22'!$H:$H)</f>
        <v>0</v>
      </c>
      <c r="N789" s="69">
        <f ca="1">SUMIF('CAP23-24'!$B:$H,Insumo[[#This Row],[DESCRIPCION]],'CAP23-24'!$H:$H)</f>
        <v>0</v>
      </c>
      <c r="O789" s="69">
        <f ca="1">SUMIF('CAP25'!$B:$H,Insumo[[#This Row],[DESCRIPCION]],'CAP25'!$H:$H)</f>
        <v>0</v>
      </c>
      <c r="P789" s="69">
        <f ca="1">SUMIF('CAP26-28'!$B:$H,Insumo[[#This Row],[DESCRIPCION]],'CAP26-28'!$H:$H)</f>
        <v>0</v>
      </c>
      <c r="Q789" s="69">
        <f ca="1">SUMIF('CAP29'!$B:$H,Insumo[[#This Row],[DESCRIPCION]],'CAP29'!$H:$H)</f>
        <v>0</v>
      </c>
      <c r="T789" s="136">
        <v>5846</v>
      </c>
    </row>
    <row r="790" spans="1:20" ht="12" customHeight="1">
      <c r="A790" s="301" t="s">
        <v>3404</v>
      </c>
      <c r="B790" s="303" t="s">
        <v>23</v>
      </c>
      <c r="C790" s="304">
        <f t="shared" si="12"/>
        <v>43.050000000000004</v>
      </c>
      <c r="D790" s="281" cm="1">
        <f t="array" aca="1" ref="D790" ca="1">IF(Insumo[[#This Row],[VALOR]]=0,Insumo[TOTAL],E790/C790)</f>
        <v>0</v>
      </c>
      <c r="E790" s="69">
        <f ca="1">SUM(Insumo[[#This Row],[CAP1-3]:[CAP29]])</f>
        <v>0</v>
      </c>
      <c r="F790" s="69">
        <f ca="1">SUMIF('CAP1-3'!$B:$H,Insumo[[#This Row],[DESCRIPCION]],'CAP1-3'!$H:$H)</f>
        <v>0</v>
      </c>
      <c r="G790" s="69">
        <f ca="1">SUMIF('CAP4-5'!$B:$H,Insumo[[#This Row],[DESCRIPCION]],'CAP4-5'!$H:$H)</f>
        <v>0</v>
      </c>
      <c r="H790" s="69">
        <f ca="1">SUMIF('CAP6-7'!$B:$H,Insumo[[#This Row],[DESCRIPCION]],'CAP6-7'!$H:$H)</f>
        <v>0</v>
      </c>
      <c r="I790" s="69">
        <f ca="1">SUMIF('CAP8'!$B:$H,Insumo[[#This Row],[DESCRIPCION]],'CAP8'!$H:$H)</f>
        <v>0</v>
      </c>
      <c r="J790" s="69">
        <f ca="1">SUMIF('CAP9-13'!$B:$H,Insumo[[#This Row],[DESCRIPCION]],'CAP9-13'!$H:$H)</f>
        <v>0</v>
      </c>
      <c r="K790" s="69">
        <f ca="1">SUMIF('CAP14-15'!$B:$H,Insumo[[#This Row],[DESCRIPCION]],'CAP14-15'!$H:$H)</f>
        <v>0</v>
      </c>
      <c r="L790" s="69">
        <f ca="1">SUMIF('CAP16-18'!$B:$H,Insumo[[#This Row],[DESCRIPCION]],'CAP16-18'!$H:$H)</f>
        <v>0</v>
      </c>
      <c r="M790" s="69">
        <f ca="1">SUMIF('CAP19-22'!$B:$H,Insumo[[#This Row],[DESCRIPCION]],'CAP19-22'!$H:$H)</f>
        <v>0</v>
      </c>
      <c r="N790" s="69">
        <f ca="1">SUMIF('CAP23-24'!$B:$H,Insumo[[#This Row],[DESCRIPCION]],'CAP23-24'!$H:$H)</f>
        <v>0</v>
      </c>
      <c r="O790" s="69">
        <f ca="1">SUMIF('CAP25'!$B:$H,Insumo[[#This Row],[DESCRIPCION]],'CAP25'!$H:$H)</f>
        <v>0</v>
      </c>
      <c r="P790" s="69">
        <f ca="1">SUMIF('CAP26-28'!$B:$H,Insumo[[#This Row],[DESCRIPCION]],'CAP26-28'!$H:$H)</f>
        <v>0</v>
      </c>
      <c r="Q790" s="69">
        <f ca="1">SUMIF('CAP29'!$B:$H,Insumo[[#This Row],[DESCRIPCION]],'CAP29'!$H:$H)</f>
        <v>0</v>
      </c>
      <c r="T790" s="136">
        <v>41</v>
      </c>
    </row>
    <row r="791" spans="1:20" ht="12" customHeight="1">
      <c r="A791" s="301" t="s">
        <v>3405</v>
      </c>
      <c r="B791" s="303" t="s">
        <v>23</v>
      </c>
      <c r="C791" s="304">
        <f t="shared" si="12"/>
        <v>45.15</v>
      </c>
      <c r="D791" s="281" cm="1">
        <f t="array" aca="1" ref="D791" ca="1">IF(Insumo[[#This Row],[VALOR]]=0,Insumo[TOTAL],E791/C791)</f>
        <v>0</v>
      </c>
      <c r="E791" s="69">
        <f ca="1">SUM(Insumo[[#This Row],[CAP1-3]:[CAP29]])</f>
        <v>0</v>
      </c>
      <c r="F791" s="69">
        <f ca="1">SUMIF('CAP1-3'!$B:$H,Insumo[[#This Row],[DESCRIPCION]],'CAP1-3'!$H:$H)</f>
        <v>0</v>
      </c>
      <c r="G791" s="69">
        <f ca="1">SUMIF('CAP4-5'!$B:$H,Insumo[[#This Row],[DESCRIPCION]],'CAP4-5'!$H:$H)</f>
        <v>0</v>
      </c>
      <c r="H791" s="69">
        <f ca="1">SUMIF('CAP6-7'!$B:$H,Insumo[[#This Row],[DESCRIPCION]],'CAP6-7'!$H:$H)</f>
        <v>0</v>
      </c>
      <c r="I791" s="69">
        <f ca="1">SUMIF('CAP8'!$B:$H,Insumo[[#This Row],[DESCRIPCION]],'CAP8'!$H:$H)</f>
        <v>0</v>
      </c>
      <c r="J791" s="69">
        <f ca="1">SUMIF('CAP9-13'!$B:$H,Insumo[[#This Row],[DESCRIPCION]],'CAP9-13'!$H:$H)</f>
        <v>0</v>
      </c>
      <c r="K791" s="69">
        <f ca="1">SUMIF('CAP14-15'!$B:$H,Insumo[[#This Row],[DESCRIPCION]],'CAP14-15'!$H:$H)</f>
        <v>0</v>
      </c>
      <c r="L791" s="69">
        <f ca="1">SUMIF('CAP16-18'!$B:$H,Insumo[[#This Row],[DESCRIPCION]],'CAP16-18'!$H:$H)</f>
        <v>0</v>
      </c>
      <c r="M791" s="69">
        <f ca="1">SUMIF('CAP19-22'!$B:$H,Insumo[[#This Row],[DESCRIPCION]],'CAP19-22'!$H:$H)</f>
        <v>0</v>
      </c>
      <c r="N791" s="69">
        <f ca="1">SUMIF('CAP23-24'!$B:$H,Insumo[[#This Row],[DESCRIPCION]],'CAP23-24'!$H:$H)</f>
        <v>0</v>
      </c>
      <c r="O791" s="69">
        <f ca="1">SUMIF('CAP25'!$B:$H,Insumo[[#This Row],[DESCRIPCION]],'CAP25'!$H:$H)</f>
        <v>0</v>
      </c>
      <c r="P791" s="69">
        <f ca="1">SUMIF('CAP26-28'!$B:$H,Insumo[[#This Row],[DESCRIPCION]],'CAP26-28'!$H:$H)</f>
        <v>0</v>
      </c>
      <c r="Q791" s="69">
        <f ca="1">SUMIF('CAP29'!$B:$H,Insumo[[#This Row],[DESCRIPCION]],'CAP29'!$H:$H)</f>
        <v>0</v>
      </c>
      <c r="T791" s="136">
        <v>43</v>
      </c>
    </row>
    <row r="792" spans="1:20" ht="12" customHeight="1">
      <c r="A792" s="301" t="s">
        <v>3406</v>
      </c>
      <c r="B792" s="303" t="s">
        <v>23</v>
      </c>
      <c r="C792" s="304">
        <f t="shared" si="12"/>
        <v>44.1</v>
      </c>
      <c r="D792" s="281" cm="1">
        <f t="array" aca="1" ref="D792" ca="1">IF(Insumo[[#This Row],[VALOR]]=0,Insumo[TOTAL],E792/C792)</f>
        <v>0</v>
      </c>
      <c r="E792" s="69">
        <f ca="1">SUM(Insumo[[#This Row],[CAP1-3]:[CAP29]])</f>
        <v>0</v>
      </c>
      <c r="F792" s="69">
        <f ca="1">SUMIF('CAP1-3'!$B:$H,Insumo[[#This Row],[DESCRIPCION]],'CAP1-3'!$H:$H)</f>
        <v>0</v>
      </c>
      <c r="G792" s="69">
        <f ca="1">SUMIF('CAP4-5'!$B:$H,Insumo[[#This Row],[DESCRIPCION]],'CAP4-5'!$H:$H)</f>
        <v>0</v>
      </c>
      <c r="H792" s="69">
        <f ca="1">SUMIF('CAP6-7'!$B:$H,Insumo[[#This Row],[DESCRIPCION]],'CAP6-7'!$H:$H)</f>
        <v>0</v>
      </c>
      <c r="I792" s="69">
        <f ca="1">SUMIF('CAP8'!$B:$H,Insumo[[#This Row],[DESCRIPCION]],'CAP8'!$H:$H)</f>
        <v>0</v>
      </c>
      <c r="J792" s="69">
        <f ca="1">SUMIF('CAP9-13'!$B:$H,Insumo[[#This Row],[DESCRIPCION]],'CAP9-13'!$H:$H)</f>
        <v>0</v>
      </c>
      <c r="K792" s="69">
        <f ca="1">SUMIF('CAP14-15'!$B:$H,Insumo[[#This Row],[DESCRIPCION]],'CAP14-15'!$H:$H)</f>
        <v>0</v>
      </c>
      <c r="L792" s="69">
        <f ca="1">SUMIF('CAP16-18'!$B:$H,Insumo[[#This Row],[DESCRIPCION]],'CAP16-18'!$H:$H)</f>
        <v>0</v>
      </c>
      <c r="M792" s="69">
        <f ca="1">SUMIF('CAP19-22'!$B:$H,Insumo[[#This Row],[DESCRIPCION]],'CAP19-22'!$H:$H)</f>
        <v>0</v>
      </c>
      <c r="N792" s="69">
        <f ca="1">SUMIF('CAP23-24'!$B:$H,Insumo[[#This Row],[DESCRIPCION]],'CAP23-24'!$H:$H)</f>
        <v>0</v>
      </c>
      <c r="O792" s="69">
        <f ca="1">SUMIF('CAP25'!$B:$H,Insumo[[#This Row],[DESCRIPCION]],'CAP25'!$H:$H)</f>
        <v>0</v>
      </c>
      <c r="P792" s="69">
        <f ca="1">SUMIF('CAP26-28'!$B:$H,Insumo[[#This Row],[DESCRIPCION]],'CAP26-28'!$H:$H)</f>
        <v>0</v>
      </c>
      <c r="Q792" s="69">
        <f ca="1">SUMIF('CAP29'!$B:$H,Insumo[[#This Row],[DESCRIPCION]],'CAP29'!$H:$H)</f>
        <v>0</v>
      </c>
      <c r="T792" s="136">
        <v>42</v>
      </c>
    </row>
    <row r="793" spans="1:20" ht="12" customHeight="1">
      <c r="A793" s="301" t="s">
        <v>3407</v>
      </c>
      <c r="B793" s="303" t="s">
        <v>23</v>
      </c>
      <c r="C793" s="304">
        <f t="shared" si="12"/>
        <v>77.7</v>
      </c>
      <c r="D793" s="281" cm="1">
        <f t="array" aca="1" ref="D793" ca="1">IF(Insumo[[#This Row],[VALOR]]=0,Insumo[TOTAL],E793/C793)</f>
        <v>0</v>
      </c>
      <c r="E793" s="69">
        <f ca="1">SUM(Insumo[[#This Row],[CAP1-3]:[CAP29]])</f>
        <v>0</v>
      </c>
      <c r="F793" s="69">
        <f ca="1">SUMIF('CAP1-3'!$B:$H,Insumo[[#This Row],[DESCRIPCION]],'CAP1-3'!$H:$H)</f>
        <v>0</v>
      </c>
      <c r="G793" s="69">
        <f ca="1">SUMIF('CAP4-5'!$B:$H,Insumo[[#This Row],[DESCRIPCION]],'CAP4-5'!$H:$H)</f>
        <v>0</v>
      </c>
      <c r="H793" s="69">
        <f ca="1">SUMIF('CAP6-7'!$B:$H,Insumo[[#This Row],[DESCRIPCION]],'CAP6-7'!$H:$H)</f>
        <v>0</v>
      </c>
      <c r="I793" s="69">
        <f ca="1">SUMIF('CAP8'!$B:$H,Insumo[[#This Row],[DESCRIPCION]],'CAP8'!$H:$H)</f>
        <v>0</v>
      </c>
      <c r="J793" s="69">
        <f ca="1">SUMIF('CAP9-13'!$B:$H,Insumo[[#This Row],[DESCRIPCION]],'CAP9-13'!$H:$H)</f>
        <v>0</v>
      </c>
      <c r="K793" s="69">
        <f ca="1">SUMIF('CAP14-15'!$B:$H,Insumo[[#This Row],[DESCRIPCION]],'CAP14-15'!$H:$H)</f>
        <v>0</v>
      </c>
      <c r="L793" s="69">
        <f ca="1">SUMIF('CAP16-18'!$B:$H,Insumo[[#This Row],[DESCRIPCION]],'CAP16-18'!$H:$H)</f>
        <v>0</v>
      </c>
      <c r="M793" s="69">
        <f ca="1">SUMIF('CAP19-22'!$B:$H,Insumo[[#This Row],[DESCRIPCION]],'CAP19-22'!$H:$H)</f>
        <v>0</v>
      </c>
      <c r="N793" s="69">
        <f ca="1">SUMIF('CAP23-24'!$B:$H,Insumo[[#This Row],[DESCRIPCION]],'CAP23-24'!$H:$H)</f>
        <v>0</v>
      </c>
      <c r="O793" s="69">
        <f ca="1">SUMIF('CAP25'!$B:$H,Insumo[[#This Row],[DESCRIPCION]],'CAP25'!$H:$H)</f>
        <v>0</v>
      </c>
      <c r="P793" s="69">
        <f ca="1">SUMIF('CAP26-28'!$B:$H,Insumo[[#This Row],[DESCRIPCION]],'CAP26-28'!$H:$H)</f>
        <v>0</v>
      </c>
      <c r="Q793" s="69">
        <f ca="1">SUMIF('CAP29'!$B:$H,Insumo[[#This Row],[DESCRIPCION]],'CAP29'!$H:$H)</f>
        <v>0</v>
      </c>
      <c r="T793" s="136">
        <v>74</v>
      </c>
    </row>
    <row r="794" spans="1:20" ht="12" customHeight="1">
      <c r="A794" s="301" t="s">
        <v>3408</v>
      </c>
      <c r="B794" s="303" t="s">
        <v>23</v>
      </c>
      <c r="C794" s="304">
        <f t="shared" si="12"/>
        <v>568.05000000000007</v>
      </c>
      <c r="D794" s="281" cm="1">
        <f t="array" aca="1" ref="D794" ca="1">IF(Insumo[[#This Row],[VALOR]]=0,Insumo[TOTAL],E794/C794)</f>
        <v>0</v>
      </c>
      <c r="E794" s="69">
        <f ca="1">SUM(Insumo[[#This Row],[CAP1-3]:[CAP29]])</f>
        <v>0</v>
      </c>
      <c r="F794" s="69">
        <f ca="1">SUMIF('CAP1-3'!$B:$H,Insumo[[#This Row],[DESCRIPCION]],'CAP1-3'!$H:$H)</f>
        <v>0</v>
      </c>
      <c r="G794" s="69">
        <f ca="1">SUMIF('CAP4-5'!$B:$H,Insumo[[#This Row],[DESCRIPCION]],'CAP4-5'!$H:$H)</f>
        <v>0</v>
      </c>
      <c r="H794" s="69">
        <f ca="1">SUMIF('CAP6-7'!$B:$H,Insumo[[#This Row],[DESCRIPCION]],'CAP6-7'!$H:$H)</f>
        <v>0</v>
      </c>
      <c r="I794" s="69">
        <f ca="1">SUMIF('CAP8'!$B:$H,Insumo[[#This Row],[DESCRIPCION]],'CAP8'!$H:$H)</f>
        <v>0</v>
      </c>
      <c r="J794" s="69">
        <f ca="1">SUMIF('CAP9-13'!$B:$H,Insumo[[#This Row],[DESCRIPCION]],'CAP9-13'!$H:$H)</f>
        <v>0</v>
      </c>
      <c r="K794" s="69">
        <f ca="1">SUMIF('CAP14-15'!$B:$H,Insumo[[#This Row],[DESCRIPCION]],'CAP14-15'!$H:$H)</f>
        <v>0</v>
      </c>
      <c r="L794" s="69">
        <f ca="1">SUMIF('CAP16-18'!$B:$H,Insumo[[#This Row],[DESCRIPCION]],'CAP16-18'!$H:$H)</f>
        <v>0</v>
      </c>
      <c r="M794" s="69">
        <f ca="1">SUMIF('CAP19-22'!$B:$H,Insumo[[#This Row],[DESCRIPCION]],'CAP19-22'!$H:$H)</f>
        <v>0</v>
      </c>
      <c r="N794" s="69">
        <f ca="1">SUMIF('CAP23-24'!$B:$H,Insumo[[#This Row],[DESCRIPCION]],'CAP23-24'!$H:$H)</f>
        <v>0</v>
      </c>
      <c r="O794" s="69">
        <f ca="1">SUMIF('CAP25'!$B:$H,Insumo[[#This Row],[DESCRIPCION]],'CAP25'!$H:$H)</f>
        <v>0</v>
      </c>
      <c r="P794" s="69">
        <f ca="1">SUMIF('CAP26-28'!$B:$H,Insumo[[#This Row],[DESCRIPCION]],'CAP26-28'!$H:$H)</f>
        <v>0</v>
      </c>
      <c r="Q794" s="69">
        <f ca="1">SUMIF('CAP29'!$B:$H,Insumo[[#This Row],[DESCRIPCION]],'CAP29'!$H:$H)</f>
        <v>0</v>
      </c>
      <c r="T794" s="136">
        <v>541</v>
      </c>
    </row>
    <row r="795" spans="1:20" ht="12" customHeight="1">
      <c r="A795" s="301" t="s">
        <v>3409</v>
      </c>
      <c r="B795" s="303" t="s">
        <v>52</v>
      </c>
      <c r="C795" s="304">
        <f t="shared" si="12"/>
        <v>100591.05</v>
      </c>
      <c r="D795" s="281" cm="1">
        <f t="array" aca="1" ref="D795" ca="1">IF(Insumo[[#This Row],[VALOR]]=0,Insumo[TOTAL],E795/C795)</f>
        <v>0</v>
      </c>
      <c r="E795" s="69">
        <f ca="1">SUM(Insumo[[#This Row],[CAP1-3]:[CAP29]])</f>
        <v>0</v>
      </c>
      <c r="F795" s="69">
        <f ca="1">SUMIF('CAP1-3'!$B:$H,Insumo[[#This Row],[DESCRIPCION]],'CAP1-3'!$H:$H)</f>
        <v>0</v>
      </c>
      <c r="G795" s="69">
        <f ca="1">SUMIF('CAP4-5'!$B:$H,Insumo[[#This Row],[DESCRIPCION]],'CAP4-5'!$H:$H)</f>
        <v>0</v>
      </c>
      <c r="H795" s="69">
        <f ca="1">SUMIF('CAP6-7'!$B:$H,Insumo[[#This Row],[DESCRIPCION]],'CAP6-7'!$H:$H)</f>
        <v>0</v>
      </c>
      <c r="I795" s="69">
        <f ca="1">SUMIF('CAP8'!$B:$H,Insumo[[#This Row],[DESCRIPCION]],'CAP8'!$H:$H)</f>
        <v>0</v>
      </c>
      <c r="J795" s="69">
        <f ca="1">SUMIF('CAP9-13'!$B:$H,Insumo[[#This Row],[DESCRIPCION]],'CAP9-13'!$H:$H)</f>
        <v>0</v>
      </c>
      <c r="K795" s="69">
        <f ca="1">SUMIF('CAP14-15'!$B:$H,Insumo[[#This Row],[DESCRIPCION]],'CAP14-15'!$H:$H)</f>
        <v>0</v>
      </c>
      <c r="L795" s="69">
        <f ca="1">SUMIF('CAP16-18'!$B:$H,Insumo[[#This Row],[DESCRIPCION]],'CAP16-18'!$H:$H)</f>
        <v>0</v>
      </c>
      <c r="M795" s="69">
        <f ca="1">SUMIF('CAP19-22'!$B:$H,Insumo[[#This Row],[DESCRIPCION]],'CAP19-22'!$H:$H)</f>
        <v>0</v>
      </c>
      <c r="N795" s="69">
        <f ca="1">SUMIF('CAP23-24'!$B:$H,Insumo[[#This Row],[DESCRIPCION]],'CAP23-24'!$H:$H)</f>
        <v>0</v>
      </c>
      <c r="O795" s="69">
        <f ca="1">SUMIF('CAP25'!$B:$H,Insumo[[#This Row],[DESCRIPCION]],'CAP25'!$H:$H)</f>
        <v>0</v>
      </c>
      <c r="P795" s="69">
        <f ca="1">SUMIF('CAP26-28'!$B:$H,Insumo[[#This Row],[DESCRIPCION]],'CAP26-28'!$H:$H)</f>
        <v>0</v>
      </c>
      <c r="Q795" s="69">
        <f ca="1">SUMIF('CAP29'!$B:$H,Insumo[[#This Row],[DESCRIPCION]],'CAP29'!$H:$H)</f>
        <v>0</v>
      </c>
      <c r="R795" s="290"/>
      <c r="T795" s="136">
        <v>95801</v>
      </c>
    </row>
    <row r="796" spans="1:20" ht="12" customHeight="1">
      <c r="A796" s="301" t="s">
        <v>3410</v>
      </c>
      <c r="B796" s="303" t="s">
        <v>338</v>
      </c>
      <c r="C796" s="304">
        <f t="shared" si="12"/>
        <v>103675.95000000001</v>
      </c>
      <c r="D796" s="281" cm="1">
        <f t="array" aca="1" ref="D796" ca="1">IF(Insumo[[#This Row],[VALOR]]=0,Insumo[TOTAL],E796/C796)</f>
        <v>0</v>
      </c>
      <c r="E796" s="69">
        <f ca="1">SUM(Insumo[[#This Row],[CAP1-3]:[CAP29]])</f>
        <v>0</v>
      </c>
      <c r="F796" s="69">
        <f ca="1">SUMIF('CAP1-3'!$B:$H,Insumo[[#This Row],[DESCRIPCION]],'CAP1-3'!$H:$H)</f>
        <v>0</v>
      </c>
      <c r="G796" s="69">
        <f ca="1">SUMIF('CAP4-5'!$B:$H,Insumo[[#This Row],[DESCRIPCION]],'CAP4-5'!$H:$H)</f>
        <v>0</v>
      </c>
      <c r="H796" s="69">
        <f ca="1">SUMIF('CAP6-7'!$B:$H,Insumo[[#This Row],[DESCRIPCION]],'CAP6-7'!$H:$H)</f>
        <v>0</v>
      </c>
      <c r="I796" s="69">
        <f ca="1">SUMIF('CAP8'!$B:$H,Insumo[[#This Row],[DESCRIPCION]],'CAP8'!$H:$H)</f>
        <v>0</v>
      </c>
      <c r="J796" s="69">
        <f ca="1">SUMIF('CAP9-13'!$B:$H,Insumo[[#This Row],[DESCRIPCION]],'CAP9-13'!$H:$H)</f>
        <v>0</v>
      </c>
      <c r="K796" s="69">
        <f ca="1">SUMIF('CAP14-15'!$B:$H,Insumo[[#This Row],[DESCRIPCION]],'CAP14-15'!$H:$H)</f>
        <v>0</v>
      </c>
      <c r="L796" s="69">
        <f ca="1">SUMIF('CAP16-18'!$B:$H,Insumo[[#This Row],[DESCRIPCION]],'CAP16-18'!$H:$H)</f>
        <v>0</v>
      </c>
      <c r="M796" s="69">
        <f ca="1">SUMIF('CAP19-22'!$B:$H,Insumo[[#This Row],[DESCRIPCION]],'CAP19-22'!$H:$H)</f>
        <v>0</v>
      </c>
      <c r="N796" s="69">
        <f ca="1">SUMIF('CAP23-24'!$B:$H,Insumo[[#This Row],[DESCRIPCION]],'CAP23-24'!$H:$H)</f>
        <v>0</v>
      </c>
      <c r="O796" s="69">
        <f ca="1">SUMIF('CAP25'!$B:$H,Insumo[[#This Row],[DESCRIPCION]],'CAP25'!$H:$H)</f>
        <v>0</v>
      </c>
      <c r="P796" s="69">
        <f ca="1">SUMIF('CAP26-28'!$B:$H,Insumo[[#This Row],[DESCRIPCION]],'CAP26-28'!$H:$H)</f>
        <v>0</v>
      </c>
      <c r="Q796" s="69">
        <f ca="1">SUMIF('CAP29'!$B:$H,Insumo[[#This Row],[DESCRIPCION]],'CAP29'!$H:$H)</f>
        <v>0</v>
      </c>
      <c r="T796" s="136">
        <v>98739</v>
      </c>
    </row>
    <row r="797" spans="1:20" ht="12" customHeight="1">
      <c r="A797" s="301" t="s">
        <v>3411</v>
      </c>
      <c r="B797" s="303" t="s">
        <v>23</v>
      </c>
      <c r="C797" s="304">
        <f t="shared" si="12"/>
        <v>4971750</v>
      </c>
      <c r="D797" s="281" cm="1">
        <f t="array" aca="1" ref="D797" ca="1">IF(Insumo[[#This Row],[VALOR]]=0,Insumo[TOTAL],E797/C797)</f>
        <v>0</v>
      </c>
      <c r="E797" s="69">
        <f ca="1">SUM(Insumo[[#This Row],[CAP1-3]:[CAP29]])</f>
        <v>0</v>
      </c>
      <c r="F797" s="69">
        <f ca="1">SUMIF('CAP1-3'!$B:$H,Insumo[[#This Row],[DESCRIPCION]],'CAP1-3'!$H:$H)</f>
        <v>0</v>
      </c>
      <c r="G797" s="69">
        <f ca="1">SUMIF('CAP4-5'!$B:$H,Insumo[[#This Row],[DESCRIPCION]],'CAP4-5'!$H:$H)</f>
        <v>0</v>
      </c>
      <c r="H797" s="69">
        <f ca="1">SUMIF('CAP6-7'!$B:$H,Insumo[[#This Row],[DESCRIPCION]],'CAP6-7'!$H:$H)</f>
        <v>0</v>
      </c>
      <c r="I797" s="69">
        <f ca="1">SUMIF('CAP8'!$B:$H,Insumo[[#This Row],[DESCRIPCION]],'CAP8'!$H:$H)</f>
        <v>0</v>
      </c>
      <c r="J797" s="69">
        <f ca="1">SUMIF('CAP9-13'!$B:$H,Insumo[[#This Row],[DESCRIPCION]],'CAP9-13'!$H:$H)</f>
        <v>0</v>
      </c>
      <c r="K797" s="69">
        <f ca="1">SUMIF('CAP14-15'!$B:$H,Insumo[[#This Row],[DESCRIPCION]],'CAP14-15'!$H:$H)</f>
        <v>0</v>
      </c>
      <c r="L797" s="69">
        <f ca="1">SUMIF('CAP16-18'!$B:$H,Insumo[[#This Row],[DESCRIPCION]],'CAP16-18'!$H:$H)</f>
        <v>0</v>
      </c>
      <c r="M797" s="69">
        <f ca="1">SUMIF('CAP19-22'!$B:$H,Insumo[[#This Row],[DESCRIPCION]],'CAP19-22'!$H:$H)</f>
        <v>0</v>
      </c>
      <c r="N797" s="69">
        <f ca="1">SUMIF('CAP23-24'!$B:$H,Insumo[[#This Row],[DESCRIPCION]],'CAP23-24'!$H:$H)</f>
        <v>0</v>
      </c>
      <c r="O797" s="69">
        <f ca="1">SUMIF('CAP25'!$B:$H,Insumo[[#This Row],[DESCRIPCION]],'CAP25'!$H:$H)</f>
        <v>0</v>
      </c>
      <c r="P797" s="69">
        <f ca="1">SUMIF('CAP26-28'!$B:$H,Insumo[[#This Row],[DESCRIPCION]],'CAP26-28'!$H:$H)</f>
        <v>0</v>
      </c>
      <c r="Q797" s="69">
        <f ca="1">SUMIF('CAP29'!$B:$H,Insumo[[#This Row],[DESCRIPCION]],'CAP29'!$H:$H)</f>
        <v>0</v>
      </c>
      <c r="R797" s="290"/>
      <c r="T797" s="136">
        <v>4735000</v>
      </c>
    </row>
    <row r="798" spans="1:20" ht="12" customHeight="1">
      <c r="A798" s="301" t="s">
        <v>3412</v>
      </c>
      <c r="B798" s="303" t="s">
        <v>23</v>
      </c>
      <c r="C798" s="304">
        <f t="shared" si="12"/>
        <v>7770000</v>
      </c>
      <c r="D798" s="281" cm="1">
        <f t="array" aca="1" ref="D798" ca="1">IF(Insumo[[#This Row],[VALOR]]=0,Insumo[TOTAL],E798/C798)</f>
        <v>0</v>
      </c>
      <c r="E798" s="69">
        <f ca="1">SUM(Insumo[[#This Row],[CAP1-3]:[CAP29]])</f>
        <v>0</v>
      </c>
      <c r="F798" s="69">
        <f ca="1">SUMIF('CAP1-3'!$B:$H,Insumo[[#This Row],[DESCRIPCION]],'CAP1-3'!$H:$H)</f>
        <v>0</v>
      </c>
      <c r="G798" s="69">
        <f ca="1">SUMIF('CAP4-5'!$B:$H,Insumo[[#This Row],[DESCRIPCION]],'CAP4-5'!$H:$H)</f>
        <v>0</v>
      </c>
      <c r="H798" s="69">
        <f ca="1">SUMIF('CAP6-7'!$B:$H,Insumo[[#This Row],[DESCRIPCION]],'CAP6-7'!$H:$H)</f>
        <v>0</v>
      </c>
      <c r="I798" s="69">
        <f ca="1">SUMIF('CAP8'!$B:$H,Insumo[[#This Row],[DESCRIPCION]],'CAP8'!$H:$H)</f>
        <v>0</v>
      </c>
      <c r="J798" s="69">
        <f ca="1">SUMIF('CAP9-13'!$B:$H,Insumo[[#This Row],[DESCRIPCION]],'CAP9-13'!$H:$H)</f>
        <v>0</v>
      </c>
      <c r="K798" s="69">
        <f ca="1">SUMIF('CAP14-15'!$B:$H,Insumo[[#This Row],[DESCRIPCION]],'CAP14-15'!$H:$H)</f>
        <v>0</v>
      </c>
      <c r="L798" s="69">
        <f ca="1">SUMIF('CAP16-18'!$B:$H,Insumo[[#This Row],[DESCRIPCION]],'CAP16-18'!$H:$H)</f>
        <v>0</v>
      </c>
      <c r="M798" s="69">
        <f ca="1">SUMIF('CAP19-22'!$B:$H,Insumo[[#This Row],[DESCRIPCION]],'CAP19-22'!$H:$H)</f>
        <v>0</v>
      </c>
      <c r="N798" s="69">
        <f ca="1">SUMIF('CAP23-24'!$B:$H,Insumo[[#This Row],[DESCRIPCION]],'CAP23-24'!$H:$H)</f>
        <v>0</v>
      </c>
      <c r="O798" s="69">
        <f ca="1">SUMIF('CAP25'!$B:$H,Insumo[[#This Row],[DESCRIPCION]],'CAP25'!$H:$H)</f>
        <v>0</v>
      </c>
      <c r="P798" s="69">
        <f ca="1">SUMIF('CAP26-28'!$B:$H,Insumo[[#This Row],[DESCRIPCION]],'CAP26-28'!$H:$H)</f>
        <v>0</v>
      </c>
      <c r="Q798" s="69">
        <f ca="1">SUMIF('CAP29'!$B:$H,Insumo[[#This Row],[DESCRIPCION]],'CAP29'!$H:$H)</f>
        <v>0</v>
      </c>
      <c r="R798" s="290"/>
      <c r="T798" s="136">
        <v>7400000</v>
      </c>
    </row>
    <row r="799" spans="1:20" ht="12" customHeight="1">
      <c r="A799" s="301" t="s">
        <v>3413</v>
      </c>
      <c r="B799" s="303" t="s">
        <v>23</v>
      </c>
      <c r="C799" s="304">
        <f t="shared" si="12"/>
        <v>11865000</v>
      </c>
      <c r="D799" s="281" cm="1">
        <f t="array" aca="1" ref="D799" ca="1">IF(Insumo[[#This Row],[VALOR]]=0,Insumo[TOTAL],E799/C799)</f>
        <v>0</v>
      </c>
      <c r="E799" s="69">
        <f ca="1">SUM(Insumo[[#This Row],[CAP1-3]:[CAP29]])</f>
        <v>0</v>
      </c>
      <c r="F799" s="69">
        <f ca="1">SUMIF('CAP1-3'!$B:$H,Insumo[[#This Row],[DESCRIPCION]],'CAP1-3'!$H:$H)</f>
        <v>0</v>
      </c>
      <c r="G799" s="69">
        <f ca="1">SUMIF('CAP4-5'!$B:$H,Insumo[[#This Row],[DESCRIPCION]],'CAP4-5'!$H:$H)</f>
        <v>0</v>
      </c>
      <c r="H799" s="69">
        <f ca="1">SUMIF('CAP6-7'!$B:$H,Insumo[[#This Row],[DESCRIPCION]],'CAP6-7'!$H:$H)</f>
        <v>0</v>
      </c>
      <c r="I799" s="69">
        <f ca="1">SUMIF('CAP8'!$B:$H,Insumo[[#This Row],[DESCRIPCION]],'CAP8'!$H:$H)</f>
        <v>0</v>
      </c>
      <c r="J799" s="69">
        <f ca="1">SUMIF('CAP9-13'!$B:$H,Insumo[[#This Row],[DESCRIPCION]],'CAP9-13'!$H:$H)</f>
        <v>0</v>
      </c>
      <c r="K799" s="69">
        <f ca="1">SUMIF('CAP14-15'!$B:$H,Insumo[[#This Row],[DESCRIPCION]],'CAP14-15'!$H:$H)</f>
        <v>0</v>
      </c>
      <c r="L799" s="69">
        <f ca="1">SUMIF('CAP16-18'!$B:$H,Insumo[[#This Row],[DESCRIPCION]],'CAP16-18'!$H:$H)</f>
        <v>0</v>
      </c>
      <c r="M799" s="69">
        <f ca="1">SUMIF('CAP19-22'!$B:$H,Insumo[[#This Row],[DESCRIPCION]],'CAP19-22'!$H:$H)</f>
        <v>0</v>
      </c>
      <c r="N799" s="69">
        <f ca="1">SUMIF('CAP23-24'!$B:$H,Insumo[[#This Row],[DESCRIPCION]],'CAP23-24'!$H:$H)</f>
        <v>0</v>
      </c>
      <c r="O799" s="69">
        <f ca="1">SUMIF('CAP25'!$B:$H,Insumo[[#This Row],[DESCRIPCION]],'CAP25'!$H:$H)</f>
        <v>0</v>
      </c>
      <c r="P799" s="69">
        <f ca="1">SUMIF('CAP26-28'!$B:$H,Insumo[[#This Row],[DESCRIPCION]],'CAP26-28'!$H:$H)</f>
        <v>0</v>
      </c>
      <c r="Q799" s="69">
        <f ca="1">SUMIF('CAP29'!$B:$H,Insumo[[#This Row],[DESCRIPCION]],'CAP29'!$H:$H)</f>
        <v>0</v>
      </c>
      <c r="R799" s="290"/>
      <c r="T799" s="136">
        <v>11300000</v>
      </c>
    </row>
    <row r="800" spans="1:20" ht="12" customHeight="1">
      <c r="A800" s="301" t="s">
        <v>3414</v>
      </c>
      <c r="B800" s="303" t="s">
        <v>23</v>
      </c>
      <c r="C800" s="304">
        <f t="shared" si="12"/>
        <v>18585000</v>
      </c>
      <c r="D800" s="281" cm="1">
        <f t="array" aca="1" ref="D800" ca="1">IF(Insumo[[#This Row],[VALOR]]=0,Insumo[TOTAL],E800/C800)</f>
        <v>0</v>
      </c>
      <c r="E800" s="69">
        <f ca="1">SUM(Insumo[[#This Row],[CAP1-3]:[CAP29]])</f>
        <v>0</v>
      </c>
      <c r="F800" s="69">
        <f ca="1">SUMIF('CAP1-3'!$B:$H,Insumo[[#This Row],[DESCRIPCION]],'CAP1-3'!$H:$H)</f>
        <v>0</v>
      </c>
      <c r="G800" s="69">
        <f ca="1">SUMIF('CAP4-5'!$B:$H,Insumo[[#This Row],[DESCRIPCION]],'CAP4-5'!$H:$H)</f>
        <v>0</v>
      </c>
      <c r="H800" s="69">
        <f ca="1">SUMIF('CAP6-7'!$B:$H,Insumo[[#This Row],[DESCRIPCION]],'CAP6-7'!$H:$H)</f>
        <v>0</v>
      </c>
      <c r="I800" s="69">
        <f ca="1">SUMIF('CAP8'!$B:$H,Insumo[[#This Row],[DESCRIPCION]],'CAP8'!$H:$H)</f>
        <v>0</v>
      </c>
      <c r="J800" s="69">
        <f ca="1">SUMIF('CAP9-13'!$B:$H,Insumo[[#This Row],[DESCRIPCION]],'CAP9-13'!$H:$H)</f>
        <v>0</v>
      </c>
      <c r="K800" s="69">
        <f ca="1">SUMIF('CAP14-15'!$B:$H,Insumo[[#This Row],[DESCRIPCION]],'CAP14-15'!$H:$H)</f>
        <v>0</v>
      </c>
      <c r="L800" s="69">
        <f ca="1">SUMIF('CAP16-18'!$B:$H,Insumo[[#This Row],[DESCRIPCION]],'CAP16-18'!$H:$H)</f>
        <v>0</v>
      </c>
      <c r="M800" s="69">
        <f ca="1">SUMIF('CAP19-22'!$B:$H,Insumo[[#This Row],[DESCRIPCION]],'CAP19-22'!$H:$H)</f>
        <v>0</v>
      </c>
      <c r="N800" s="69">
        <f ca="1">SUMIF('CAP23-24'!$B:$H,Insumo[[#This Row],[DESCRIPCION]],'CAP23-24'!$H:$H)</f>
        <v>0</v>
      </c>
      <c r="O800" s="69">
        <f ca="1">SUMIF('CAP25'!$B:$H,Insumo[[#This Row],[DESCRIPCION]],'CAP25'!$H:$H)</f>
        <v>0</v>
      </c>
      <c r="P800" s="69">
        <f ca="1">SUMIF('CAP26-28'!$B:$H,Insumo[[#This Row],[DESCRIPCION]],'CAP26-28'!$H:$H)</f>
        <v>0</v>
      </c>
      <c r="Q800" s="69">
        <f ca="1">SUMIF('CAP29'!$B:$H,Insumo[[#This Row],[DESCRIPCION]],'CAP29'!$H:$H)</f>
        <v>0</v>
      </c>
      <c r="R800" s="290"/>
      <c r="T800" s="136">
        <v>17700000</v>
      </c>
    </row>
    <row r="801" spans="1:20" ht="12" customHeight="1">
      <c r="A801" s="301" t="s">
        <v>3415</v>
      </c>
      <c r="B801" s="303" t="s">
        <v>23</v>
      </c>
      <c r="C801" s="304">
        <f t="shared" si="12"/>
        <v>11301150</v>
      </c>
      <c r="D801" s="281" cm="1">
        <f t="array" aca="1" ref="D801" ca="1">IF(Insumo[[#This Row],[VALOR]]=0,Insumo[TOTAL],E801/C801)</f>
        <v>0</v>
      </c>
      <c r="E801" s="69">
        <f ca="1">SUM(Insumo[[#This Row],[CAP1-3]:[CAP29]])</f>
        <v>0</v>
      </c>
      <c r="F801" s="69">
        <f ca="1">SUMIF('CAP1-3'!$B:$H,Insumo[[#This Row],[DESCRIPCION]],'CAP1-3'!$H:$H)</f>
        <v>0</v>
      </c>
      <c r="G801" s="69">
        <f ca="1">SUMIF('CAP4-5'!$B:$H,Insumo[[#This Row],[DESCRIPCION]],'CAP4-5'!$H:$H)</f>
        <v>0</v>
      </c>
      <c r="H801" s="69">
        <f ca="1">SUMIF('CAP6-7'!$B:$H,Insumo[[#This Row],[DESCRIPCION]],'CAP6-7'!$H:$H)</f>
        <v>0</v>
      </c>
      <c r="I801" s="69">
        <f ca="1">SUMIF('CAP8'!$B:$H,Insumo[[#This Row],[DESCRIPCION]],'CAP8'!$H:$H)</f>
        <v>0</v>
      </c>
      <c r="J801" s="69">
        <f ca="1">SUMIF('CAP9-13'!$B:$H,Insumo[[#This Row],[DESCRIPCION]],'CAP9-13'!$H:$H)</f>
        <v>0</v>
      </c>
      <c r="K801" s="69">
        <f ca="1">SUMIF('CAP14-15'!$B:$H,Insumo[[#This Row],[DESCRIPCION]],'CAP14-15'!$H:$H)</f>
        <v>0</v>
      </c>
      <c r="L801" s="69">
        <f ca="1">SUMIF('CAP16-18'!$B:$H,Insumo[[#This Row],[DESCRIPCION]],'CAP16-18'!$H:$H)</f>
        <v>0</v>
      </c>
      <c r="M801" s="69">
        <f ca="1">SUMIF('CAP19-22'!$B:$H,Insumo[[#This Row],[DESCRIPCION]],'CAP19-22'!$H:$H)</f>
        <v>0</v>
      </c>
      <c r="N801" s="69">
        <f ca="1">SUMIF('CAP23-24'!$B:$H,Insumo[[#This Row],[DESCRIPCION]],'CAP23-24'!$H:$H)</f>
        <v>0</v>
      </c>
      <c r="O801" s="69">
        <f ca="1">SUMIF('CAP25'!$B:$H,Insumo[[#This Row],[DESCRIPCION]],'CAP25'!$H:$H)</f>
        <v>0</v>
      </c>
      <c r="P801" s="69">
        <f ca="1">SUMIF('CAP26-28'!$B:$H,Insumo[[#This Row],[DESCRIPCION]],'CAP26-28'!$H:$H)</f>
        <v>0</v>
      </c>
      <c r="Q801" s="69">
        <f ca="1">SUMIF('CAP29'!$B:$H,Insumo[[#This Row],[DESCRIPCION]],'CAP29'!$H:$H)</f>
        <v>0</v>
      </c>
      <c r="R801" s="290"/>
      <c r="T801" s="136">
        <v>10763000</v>
      </c>
    </row>
    <row r="802" spans="1:20" ht="12" customHeight="1">
      <c r="A802" s="301" t="s">
        <v>3416</v>
      </c>
      <c r="B802" s="303" t="s">
        <v>23</v>
      </c>
      <c r="C802" s="304">
        <f t="shared" si="12"/>
        <v>11745300</v>
      </c>
      <c r="D802" s="281" cm="1">
        <f t="array" aca="1" ref="D802" ca="1">IF(Insumo[[#This Row],[VALOR]]=0,Insumo[TOTAL],E802/C802)</f>
        <v>0</v>
      </c>
      <c r="E802" s="69">
        <f ca="1">SUM(Insumo[[#This Row],[CAP1-3]:[CAP29]])</f>
        <v>0</v>
      </c>
      <c r="F802" s="69">
        <f ca="1">SUMIF('CAP1-3'!$B:$H,Insumo[[#This Row],[DESCRIPCION]],'CAP1-3'!$H:$H)</f>
        <v>0</v>
      </c>
      <c r="G802" s="69">
        <f ca="1">SUMIF('CAP4-5'!$B:$H,Insumo[[#This Row],[DESCRIPCION]],'CAP4-5'!$H:$H)</f>
        <v>0</v>
      </c>
      <c r="H802" s="69">
        <f ca="1">SUMIF('CAP6-7'!$B:$H,Insumo[[#This Row],[DESCRIPCION]],'CAP6-7'!$H:$H)</f>
        <v>0</v>
      </c>
      <c r="I802" s="69">
        <f ca="1">SUMIF('CAP8'!$B:$H,Insumo[[#This Row],[DESCRIPCION]],'CAP8'!$H:$H)</f>
        <v>0</v>
      </c>
      <c r="J802" s="69">
        <f ca="1">SUMIF('CAP9-13'!$B:$H,Insumo[[#This Row],[DESCRIPCION]],'CAP9-13'!$H:$H)</f>
        <v>0</v>
      </c>
      <c r="K802" s="69">
        <f ca="1">SUMIF('CAP14-15'!$B:$H,Insumo[[#This Row],[DESCRIPCION]],'CAP14-15'!$H:$H)</f>
        <v>0</v>
      </c>
      <c r="L802" s="69">
        <f ca="1">SUMIF('CAP16-18'!$B:$H,Insumo[[#This Row],[DESCRIPCION]],'CAP16-18'!$H:$H)</f>
        <v>0</v>
      </c>
      <c r="M802" s="69">
        <f ca="1">SUMIF('CAP19-22'!$B:$H,Insumo[[#This Row],[DESCRIPCION]],'CAP19-22'!$H:$H)</f>
        <v>0</v>
      </c>
      <c r="N802" s="69">
        <f ca="1">SUMIF('CAP23-24'!$B:$H,Insumo[[#This Row],[DESCRIPCION]],'CAP23-24'!$H:$H)</f>
        <v>0</v>
      </c>
      <c r="O802" s="69">
        <f ca="1">SUMIF('CAP25'!$B:$H,Insumo[[#This Row],[DESCRIPCION]],'CAP25'!$H:$H)</f>
        <v>0</v>
      </c>
      <c r="P802" s="69">
        <f ca="1">SUMIF('CAP26-28'!$B:$H,Insumo[[#This Row],[DESCRIPCION]],'CAP26-28'!$H:$H)</f>
        <v>0</v>
      </c>
      <c r="Q802" s="69">
        <f ca="1">SUMIF('CAP29'!$B:$H,Insumo[[#This Row],[DESCRIPCION]],'CAP29'!$H:$H)</f>
        <v>0</v>
      </c>
      <c r="R802" s="290"/>
      <c r="T802" s="136">
        <v>11186000</v>
      </c>
    </row>
    <row r="803" spans="1:20" ht="12" customHeight="1">
      <c r="A803" s="301" t="s">
        <v>3417</v>
      </c>
      <c r="B803" s="303" t="s">
        <v>23</v>
      </c>
      <c r="C803" s="304">
        <f t="shared" si="12"/>
        <v>11534250</v>
      </c>
      <c r="D803" s="281" cm="1">
        <f t="array" aca="1" ref="D803" ca="1">IF(Insumo[[#This Row],[VALOR]]=0,Insumo[TOTAL],E803/C803)</f>
        <v>0</v>
      </c>
      <c r="E803" s="69">
        <f ca="1">SUM(Insumo[[#This Row],[CAP1-3]:[CAP29]])</f>
        <v>0</v>
      </c>
      <c r="F803" s="69">
        <f ca="1">SUMIF('CAP1-3'!$B:$H,Insumo[[#This Row],[DESCRIPCION]],'CAP1-3'!$H:$H)</f>
        <v>0</v>
      </c>
      <c r="G803" s="69">
        <f ca="1">SUMIF('CAP4-5'!$B:$H,Insumo[[#This Row],[DESCRIPCION]],'CAP4-5'!$H:$H)</f>
        <v>0</v>
      </c>
      <c r="H803" s="69">
        <f ca="1">SUMIF('CAP6-7'!$B:$H,Insumo[[#This Row],[DESCRIPCION]],'CAP6-7'!$H:$H)</f>
        <v>0</v>
      </c>
      <c r="I803" s="69">
        <f ca="1">SUMIF('CAP8'!$B:$H,Insumo[[#This Row],[DESCRIPCION]],'CAP8'!$H:$H)</f>
        <v>0</v>
      </c>
      <c r="J803" s="69">
        <f ca="1">SUMIF('CAP9-13'!$B:$H,Insumo[[#This Row],[DESCRIPCION]],'CAP9-13'!$H:$H)</f>
        <v>0</v>
      </c>
      <c r="K803" s="69">
        <f ca="1">SUMIF('CAP14-15'!$B:$H,Insumo[[#This Row],[DESCRIPCION]],'CAP14-15'!$H:$H)</f>
        <v>0</v>
      </c>
      <c r="L803" s="69">
        <f ca="1">SUMIF('CAP16-18'!$B:$H,Insumo[[#This Row],[DESCRIPCION]],'CAP16-18'!$H:$H)</f>
        <v>0</v>
      </c>
      <c r="M803" s="69">
        <f ca="1">SUMIF('CAP19-22'!$B:$H,Insumo[[#This Row],[DESCRIPCION]],'CAP19-22'!$H:$H)</f>
        <v>0</v>
      </c>
      <c r="N803" s="69">
        <f ca="1">SUMIF('CAP23-24'!$B:$H,Insumo[[#This Row],[DESCRIPCION]],'CAP23-24'!$H:$H)</f>
        <v>0</v>
      </c>
      <c r="O803" s="69">
        <f ca="1">SUMIF('CAP25'!$B:$H,Insumo[[#This Row],[DESCRIPCION]],'CAP25'!$H:$H)</f>
        <v>0</v>
      </c>
      <c r="P803" s="69">
        <f ca="1">SUMIF('CAP26-28'!$B:$H,Insumo[[#This Row],[DESCRIPCION]],'CAP26-28'!$H:$H)</f>
        <v>0</v>
      </c>
      <c r="Q803" s="69">
        <f ca="1">SUMIF('CAP29'!$B:$H,Insumo[[#This Row],[DESCRIPCION]],'CAP29'!$H:$H)</f>
        <v>0</v>
      </c>
      <c r="R803" s="290"/>
      <c r="T803" s="136">
        <v>10985000</v>
      </c>
    </row>
    <row r="804" spans="1:20" ht="12" customHeight="1">
      <c r="A804" s="301" t="s">
        <v>3418</v>
      </c>
      <c r="B804" s="303" t="s">
        <v>23</v>
      </c>
      <c r="C804" s="304">
        <f t="shared" si="12"/>
        <v>15582000</v>
      </c>
      <c r="D804" s="281" cm="1">
        <f t="array" aca="1" ref="D804" ca="1">IF(Insumo[[#This Row],[VALOR]]=0,Insumo[TOTAL],E804/C804)</f>
        <v>0</v>
      </c>
      <c r="E804" s="69">
        <f ca="1">SUM(Insumo[[#This Row],[CAP1-3]:[CAP29]])</f>
        <v>0</v>
      </c>
      <c r="F804" s="69">
        <f ca="1">SUMIF('CAP1-3'!$B:$H,Insumo[[#This Row],[DESCRIPCION]],'CAP1-3'!$H:$H)</f>
        <v>0</v>
      </c>
      <c r="G804" s="69">
        <f ca="1">SUMIF('CAP4-5'!$B:$H,Insumo[[#This Row],[DESCRIPCION]],'CAP4-5'!$H:$H)</f>
        <v>0</v>
      </c>
      <c r="H804" s="69">
        <f ca="1">SUMIF('CAP6-7'!$B:$H,Insumo[[#This Row],[DESCRIPCION]],'CAP6-7'!$H:$H)</f>
        <v>0</v>
      </c>
      <c r="I804" s="69">
        <f ca="1">SUMIF('CAP8'!$B:$H,Insumo[[#This Row],[DESCRIPCION]],'CAP8'!$H:$H)</f>
        <v>0</v>
      </c>
      <c r="J804" s="69">
        <f ca="1">SUMIF('CAP9-13'!$B:$H,Insumo[[#This Row],[DESCRIPCION]],'CAP9-13'!$H:$H)</f>
        <v>0</v>
      </c>
      <c r="K804" s="69">
        <f ca="1">SUMIF('CAP14-15'!$B:$H,Insumo[[#This Row],[DESCRIPCION]],'CAP14-15'!$H:$H)</f>
        <v>0</v>
      </c>
      <c r="L804" s="69">
        <f ca="1">SUMIF('CAP16-18'!$B:$H,Insumo[[#This Row],[DESCRIPCION]],'CAP16-18'!$H:$H)</f>
        <v>0</v>
      </c>
      <c r="M804" s="69">
        <f ca="1">SUMIF('CAP19-22'!$B:$H,Insumo[[#This Row],[DESCRIPCION]],'CAP19-22'!$H:$H)</f>
        <v>0</v>
      </c>
      <c r="N804" s="69">
        <f ca="1">SUMIF('CAP23-24'!$B:$H,Insumo[[#This Row],[DESCRIPCION]],'CAP23-24'!$H:$H)</f>
        <v>0</v>
      </c>
      <c r="O804" s="69">
        <f ca="1">SUMIF('CAP25'!$B:$H,Insumo[[#This Row],[DESCRIPCION]],'CAP25'!$H:$H)</f>
        <v>0</v>
      </c>
      <c r="P804" s="69">
        <f ca="1">SUMIF('CAP26-28'!$B:$H,Insumo[[#This Row],[DESCRIPCION]],'CAP26-28'!$H:$H)</f>
        <v>0</v>
      </c>
      <c r="Q804" s="69">
        <f ca="1">SUMIF('CAP29'!$B:$H,Insumo[[#This Row],[DESCRIPCION]],'CAP29'!$H:$H)</f>
        <v>0</v>
      </c>
      <c r="R804" s="290"/>
      <c r="T804" s="136">
        <v>14840000</v>
      </c>
    </row>
    <row r="805" spans="1:20" ht="12" customHeight="1">
      <c r="A805" s="301" t="s">
        <v>3419</v>
      </c>
      <c r="B805" s="303" t="s">
        <v>23</v>
      </c>
      <c r="C805" s="304">
        <f t="shared" si="12"/>
        <v>14847000</v>
      </c>
      <c r="D805" s="281" cm="1">
        <f t="array" aca="1" ref="D805" ca="1">IF(Insumo[[#This Row],[VALOR]]=0,Insumo[TOTAL],E805/C805)</f>
        <v>0</v>
      </c>
      <c r="E805" s="69">
        <f ca="1">SUM(Insumo[[#This Row],[CAP1-3]:[CAP29]])</f>
        <v>0</v>
      </c>
      <c r="F805" s="69">
        <f ca="1">SUMIF('CAP1-3'!$B:$H,Insumo[[#This Row],[DESCRIPCION]],'CAP1-3'!$H:$H)</f>
        <v>0</v>
      </c>
      <c r="G805" s="69">
        <f ca="1">SUMIF('CAP4-5'!$B:$H,Insumo[[#This Row],[DESCRIPCION]],'CAP4-5'!$H:$H)</f>
        <v>0</v>
      </c>
      <c r="H805" s="69">
        <f ca="1">SUMIF('CAP6-7'!$B:$H,Insumo[[#This Row],[DESCRIPCION]],'CAP6-7'!$H:$H)</f>
        <v>0</v>
      </c>
      <c r="I805" s="69">
        <f ca="1">SUMIF('CAP8'!$B:$H,Insumo[[#This Row],[DESCRIPCION]],'CAP8'!$H:$H)</f>
        <v>0</v>
      </c>
      <c r="J805" s="69">
        <f ca="1">SUMIF('CAP9-13'!$B:$H,Insumo[[#This Row],[DESCRIPCION]],'CAP9-13'!$H:$H)</f>
        <v>0</v>
      </c>
      <c r="K805" s="69">
        <f ca="1">SUMIF('CAP14-15'!$B:$H,Insumo[[#This Row],[DESCRIPCION]],'CAP14-15'!$H:$H)</f>
        <v>0</v>
      </c>
      <c r="L805" s="69">
        <f ca="1">SUMIF('CAP16-18'!$B:$H,Insumo[[#This Row],[DESCRIPCION]],'CAP16-18'!$H:$H)</f>
        <v>0</v>
      </c>
      <c r="M805" s="69">
        <f ca="1">SUMIF('CAP19-22'!$B:$H,Insumo[[#This Row],[DESCRIPCION]],'CAP19-22'!$H:$H)</f>
        <v>0</v>
      </c>
      <c r="N805" s="69">
        <f ca="1">SUMIF('CAP23-24'!$B:$H,Insumo[[#This Row],[DESCRIPCION]],'CAP23-24'!$H:$H)</f>
        <v>0</v>
      </c>
      <c r="O805" s="69">
        <f ca="1">SUMIF('CAP25'!$B:$H,Insumo[[#This Row],[DESCRIPCION]],'CAP25'!$H:$H)</f>
        <v>0</v>
      </c>
      <c r="P805" s="69">
        <f ca="1">SUMIF('CAP26-28'!$B:$H,Insumo[[#This Row],[DESCRIPCION]],'CAP26-28'!$H:$H)</f>
        <v>0</v>
      </c>
      <c r="Q805" s="69">
        <f ca="1">SUMIF('CAP29'!$B:$H,Insumo[[#This Row],[DESCRIPCION]],'CAP29'!$H:$H)</f>
        <v>0</v>
      </c>
      <c r="R805" s="290"/>
      <c r="T805" s="136">
        <v>14140000</v>
      </c>
    </row>
    <row r="806" spans="1:20" ht="12" customHeight="1">
      <c r="A806" s="301" t="s">
        <v>3420</v>
      </c>
      <c r="B806" s="303" t="s">
        <v>23</v>
      </c>
      <c r="C806" s="304">
        <f t="shared" si="12"/>
        <v>18235350</v>
      </c>
      <c r="D806" s="281" cm="1">
        <f t="array" aca="1" ref="D806" ca="1">IF(Insumo[[#This Row],[VALOR]]=0,Insumo[TOTAL],E806/C806)</f>
        <v>0</v>
      </c>
      <c r="E806" s="69">
        <f ca="1">SUM(Insumo[[#This Row],[CAP1-3]:[CAP29]])</f>
        <v>0</v>
      </c>
      <c r="F806" s="69">
        <f ca="1">SUMIF('CAP1-3'!$B:$H,Insumo[[#This Row],[DESCRIPCION]],'CAP1-3'!$H:$H)</f>
        <v>0</v>
      </c>
      <c r="G806" s="69">
        <f ca="1">SUMIF('CAP4-5'!$B:$H,Insumo[[#This Row],[DESCRIPCION]],'CAP4-5'!$H:$H)</f>
        <v>0</v>
      </c>
      <c r="H806" s="69">
        <f ca="1">SUMIF('CAP6-7'!$B:$H,Insumo[[#This Row],[DESCRIPCION]],'CAP6-7'!$H:$H)</f>
        <v>0</v>
      </c>
      <c r="I806" s="69">
        <f ca="1">SUMIF('CAP8'!$B:$H,Insumo[[#This Row],[DESCRIPCION]],'CAP8'!$H:$H)</f>
        <v>0</v>
      </c>
      <c r="J806" s="69">
        <f ca="1">SUMIF('CAP9-13'!$B:$H,Insumo[[#This Row],[DESCRIPCION]],'CAP9-13'!$H:$H)</f>
        <v>0</v>
      </c>
      <c r="K806" s="69">
        <f ca="1">SUMIF('CAP14-15'!$B:$H,Insumo[[#This Row],[DESCRIPCION]],'CAP14-15'!$H:$H)</f>
        <v>0</v>
      </c>
      <c r="L806" s="69">
        <f ca="1">SUMIF('CAP16-18'!$B:$H,Insumo[[#This Row],[DESCRIPCION]],'CAP16-18'!$H:$H)</f>
        <v>0</v>
      </c>
      <c r="M806" s="69">
        <f ca="1">SUMIF('CAP19-22'!$B:$H,Insumo[[#This Row],[DESCRIPCION]],'CAP19-22'!$H:$H)</f>
        <v>0</v>
      </c>
      <c r="N806" s="69">
        <f ca="1">SUMIF('CAP23-24'!$B:$H,Insumo[[#This Row],[DESCRIPCION]],'CAP23-24'!$H:$H)</f>
        <v>0</v>
      </c>
      <c r="O806" s="69">
        <f ca="1">SUMIF('CAP25'!$B:$H,Insumo[[#This Row],[DESCRIPCION]],'CAP25'!$H:$H)</f>
        <v>0</v>
      </c>
      <c r="P806" s="69">
        <f ca="1">SUMIF('CAP26-28'!$B:$H,Insumo[[#This Row],[DESCRIPCION]],'CAP26-28'!$H:$H)</f>
        <v>0</v>
      </c>
      <c r="Q806" s="69">
        <f ca="1">SUMIF('CAP29'!$B:$H,Insumo[[#This Row],[DESCRIPCION]],'CAP29'!$H:$H)</f>
        <v>0</v>
      </c>
      <c r="R806" s="290"/>
      <c r="T806" s="136">
        <v>17367000</v>
      </c>
    </row>
    <row r="807" spans="1:20" ht="12" customHeight="1">
      <c r="A807" s="301" t="s">
        <v>3421</v>
      </c>
      <c r="B807" s="303" t="s">
        <v>30</v>
      </c>
      <c r="C807" s="304">
        <f t="shared" si="12"/>
        <v>7688.1</v>
      </c>
      <c r="D807" s="281" cm="1">
        <f t="array" aca="1" ref="D807" ca="1">IF(Insumo[[#This Row],[VALOR]]=0,Insumo[TOTAL],E807/C807)</f>
        <v>0</v>
      </c>
      <c r="E807" s="69">
        <f ca="1">SUM(Insumo[[#This Row],[CAP1-3]:[CAP29]])</f>
        <v>0</v>
      </c>
      <c r="F807" s="69">
        <f ca="1">SUMIF('CAP1-3'!$B:$H,Insumo[[#This Row],[DESCRIPCION]],'CAP1-3'!$H:$H)</f>
        <v>0</v>
      </c>
      <c r="G807" s="69">
        <f ca="1">SUMIF('CAP4-5'!$B:$H,Insumo[[#This Row],[DESCRIPCION]],'CAP4-5'!$H:$H)</f>
        <v>0</v>
      </c>
      <c r="H807" s="69">
        <f ca="1">SUMIF('CAP6-7'!$B:$H,Insumo[[#This Row],[DESCRIPCION]],'CAP6-7'!$H:$H)</f>
        <v>0</v>
      </c>
      <c r="I807" s="69">
        <f ca="1">SUMIF('CAP8'!$B:$H,Insumo[[#This Row],[DESCRIPCION]],'CAP8'!$H:$H)</f>
        <v>0</v>
      </c>
      <c r="J807" s="69">
        <f ca="1">SUMIF('CAP9-13'!$B:$H,Insumo[[#This Row],[DESCRIPCION]],'CAP9-13'!$H:$H)</f>
        <v>0</v>
      </c>
      <c r="K807" s="69">
        <f ca="1">SUMIF('CAP14-15'!$B:$H,Insumo[[#This Row],[DESCRIPCION]],'CAP14-15'!$H:$H)</f>
        <v>0</v>
      </c>
      <c r="L807" s="69">
        <f ca="1">SUMIF('CAP16-18'!$B:$H,Insumo[[#This Row],[DESCRIPCION]],'CAP16-18'!$H:$H)</f>
        <v>0</v>
      </c>
      <c r="M807" s="69">
        <f ca="1">SUMIF('CAP19-22'!$B:$H,Insumo[[#This Row],[DESCRIPCION]],'CAP19-22'!$H:$H)</f>
        <v>0</v>
      </c>
      <c r="N807" s="69">
        <f ca="1">SUMIF('CAP23-24'!$B:$H,Insumo[[#This Row],[DESCRIPCION]],'CAP23-24'!$H:$H)</f>
        <v>0</v>
      </c>
      <c r="O807" s="69">
        <f ca="1">SUMIF('CAP25'!$B:$H,Insumo[[#This Row],[DESCRIPCION]],'CAP25'!$H:$H)</f>
        <v>0</v>
      </c>
      <c r="P807" s="69">
        <f ca="1">SUMIF('CAP26-28'!$B:$H,Insumo[[#This Row],[DESCRIPCION]],'CAP26-28'!$H:$H)</f>
        <v>0</v>
      </c>
      <c r="Q807" s="69">
        <f ca="1">SUMIF('CAP29'!$B:$H,Insumo[[#This Row],[DESCRIPCION]],'CAP29'!$H:$H)</f>
        <v>0</v>
      </c>
      <c r="T807" s="136">
        <v>7322</v>
      </c>
    </row>
    <row r="808" spans="1:20" ht="12" customHeight="1">
      <c r="A808" s="301" t="s">
        <v>3422</v>
      </c>
      <c r="B808" s="303" t="s">
        <v>30</v>
      </c>
      <c r="C808" s="304">
        <f t="shared" si="12"/>
        <v>227325</v>
      </c>
      <c r="D808" s="281" cm="1">
        <f t="array" aca="1" ref="D808" ca="1">IF(Insumo[[#This Row],[VALOR]]=0,Insumo[TOTAL],E808/C808)</f>
        <v>0</v>
      </c>
      <c r="E808" s="69">
        <f ca="1">SUM(Insumo[[#This Row],[CAP1-3]:[CAP29]])</f>
        <v>0</v>
      </c>
      <c r="F808" s="69">
        <f ca="1">SUMIF('CAP1-3'!$B:$H,Insumo[[#This Row],[DESCRIPCION]],'CAP1-3'!$H:$H)</f>
        <v>0</v>
      </c>
      <c r="G808" s="69">
        <f ca="1">SUMIF('CAP4-5'!$B:$H,Insumo[[#This Row],[DESCRIPCION]],'CAP4-5'!$H:$H)</f>
        <v>0</v>
      </c>
      <c r="H808" s="69">
        <f ca="1">SUMIF('CAP6-7'!$B:$H,Insumo[[#This Row],[DESCRIPCION]],'CAP6-7'!$H:$H)</f>
        <v>0</v>
      </c>
      <c r="I808" s="69">
        <f ca="1">SUMIF('CAP8'!$B:$H,Insumo[[#This Row],[DESCRIPCION]],'CAP8'!$H:$H)</f>
        <v>0</v>
      </c>
      <c r="J808" s="69">
        <f ca="1">SUMIF('CAP9-13'!$B:$H,Insumo[[#This Row],[DESCRIPCION]],'CAP9-13'!$H:$H)</f>
        <v>0</v>
      </c>
      <c r="K808" s="69">
        <f ca="1">SUMIF('CAP14-15'!$B:$H,Insumo[[#This Row],[DESCRIPCION]],'CAP14-15'!$H:$H)</f>
        <v>0</v>
      </c>
      <c r="L808" s="69">
        <f ca="1">SUMIF('CAP16-18'!$B:$H,Insumo[[#This Row],[DESCRIPCION]],'CAP16-18'!$H:$H)</f>
        <v>0</v>
      </c>
      <c r="M808" s="69">
        <f ca="1">SUMIF('CAP19-22'!$B:$H,Insumo[[#This Row],[DESCRIPCION]],'CAP19-22'!$H:$H)</f>
        <v>0</v>
      </c>
      <c r="N808" s="69">
        <f ca="1">SUMIF('CAP23-24'!$B:$H,Insumo[[#This Row],[DESCRIPCION]],'CAP23-24'!$H:$H)</f>
        <v>0</v>
      </c>
      <c r="O808" s="69">
        <f ca="1">SUMIF('CAP25'!$B:$H,Insumo[[#This Row],[DESCRIPCION]],'CAP25'!$H:$H)</f>
        <v>0</v>
      </c>
      <c r="P808" s="69">
        <f ca="1">SUMIF('CAP26-28'!$B:$H,Insumo[[#This Row],[DESCRIPCION]],'CAP26-28'!$H:$H)</f>
        <v>0</v>
      </c>
      <c r="Q808" s="69">
        <f ca="1">SUMIF('CAP29'!$B:$H,Insumo[[#This Row],[DESCRIPCION]],'CAP29'!$H:$H)</f>
        <v>0</v>
      </c>
      <c r="T808" s="136">
        <v>216500</v>
      </c>
    </row>
    <row r="809" spans="1:20" ht="12" customHeight="1">
      <c r="A809" s="301" t="s">
        <v>3423</v>
      </c>
      <c r="B809" s="303" t="s">
        <v>30</v>
      </c>
      <c r="C809" s="304">
        <f t="shared" si="12"/>
        <v>284156.25</v>
      </c>
      <c r="D809" s="281" cm="1">
        <f t="array" aca="1" ref="D809" ca="1">IF(Insumo[[#This Row],[VALOR]]=0,Insumo[TOTAL],E809/C809)</f>
        <v>0</v>
      </c>
      <c r="E809" s="69">
        <f ca="1">SUM(Insumo[[#This Row],[CAP1-3]:[CAP29]])</f>
        <v>0</v>
      </c>
      <c r="F809" s="69">
        <f ca="1">SUMIF('CAP1-3'!$B:$H,Insumo[[#This Row],[DESCRIPCION]],'CAP1-3'!$H:$H)</f>
        <v>0</v>
      </c>
      <c r="G809" s="69">
        <f ca="1">SUMIF('CAP4-5'!$B:$H,Insumo[[#This Row],[DESCRIPCION]],'CAP4-5'!$H:$H)</f>
        <v>0</v>
      </c>
      <c r="H809" s="69">
        <f ca="1">SUMIF('CAP6-7'!$B:$H,Insumo[[#This Row],[DESCRIPCION]],'CAP6-7'!$H:$H)</f>
        <v>0</v>
      </c>
      <c r="I809" s="69">
        <f ca="1">SUMIF('CAP8'!$B:$H,Insumo[[#This Row],[DESCRIPCION]],'CAP8'!$H:$H)</f>
        <v>0</v>
      </c>
      <c r="J809" s="69">
        <f ca="1">SUMIF('CAP9-13'!$B:$H,Insumo[[#This Row],[DESCRIPCION]],'CAP9-13'!$H:$H)</f>
        <v>0</v>
      </c>
      <c r="K809" s="69">
        <f ca="1">SUMIF('CAP14-15'!$B:$H,Insumo[[#This Row],[DESCRIPCION]],'CAP14-15'!$H:$H)</f>
        <v>0</v>
      </c>
      <c r="L809" s="69">
        <f ca="1">SUMIF('CAP16-18'!$B:$H,Insumo[[#This Row],[DESCRIPCION]],'CAP16-18'!$H:$H)</f>
        <v>0</v>
      </c>
      <c r="M809" s="69">
        <f ca="1">SUMIF('CAP19-22'!$B:$H,Insumo[[#This Row],[DESCRIPCION]],'CAP19-22'!$H:$H)</f>
        <v>0</v>
      </c>
      <c r="N809" s="69">
        <f ca="1">SUMIF('CAP23-24'!$B:$H,Insumo[[#This Row],[DESCRIPCION]],'CAP23-24'!$H:$H)</f>
        <v>0</v>
      </c>
      <c r="O809" s="69">
        <f ca="1">SUMIF('CAP25'!$B:$H,Insumo[[#This Row],[DESCRIPCION]],'CAP25'!$H:$H)</f>
        <v>0</v>
      </c>
      <c r="P809" s="69">
        <f ca="1">SUMIF('CAP26-28'!$B:$H,Insumo[[#This Row],[DESCRIPCION]],'CAP26-28'!$H:$H)</f>
        <v>0</v>
      </c>
      <c r="Q809" s="69">
        <f ca="1">SUMIF('CAP29'!$B:$H,Insumo[[#This Row],[DESCRIPCION]],'CAP29'!$H:$H)</f>
        <v>0</v>
      </c>
      <c r="T809" s="136">
        <v>270625</v>
      </c>
    </row>
    <row r="810" spans="1:20" ht="12" customHeight="1">
      <c r="A810" s="301" t="s">
        <v>3424</v>
      </c>
      <c r="B810" s="303" t="s">
        <v>30</v>
      </c>
      <c r="C810" s="304">
        <f t="shared" si="12"/>
        <v>318255</v>
      </c>
      <c r="D810" s="281" cm="1">
        <f t="array" aca="1" ref="D810" ca="1">IF(Insumo[[#This Row],[VALOR]]=0,Insumo[TOTAL],E810/C810)</f>
        <v>0</v>
      </c>
      <c r="E810" s="69">
        <f ca="1">SUM(Insumo[[#This Row],[CAP1-3]:[CAP29]])</f>
        <v>0</v>
      </c>
      <c r="F810" s="69">
        <f ca="1">SUMIF('CAP1-3'!$B:$H,Insumo[[#This Row],[DESCRIPCION]],'CAP1-3'!$H:$H)</f>
        <v>0</v>
      </c>
      <c r="G810" s="69">
        <f ca="1">SUMIF('CAP4-5'!$B:$H,Insumo[[#This Row],[DESCRIPCION]],'CAP4-5'!$H:$H)</f>
        <v>0</v>
      </c>
      <c r="H810" s="69">
        <f ca="1">SUMIF('CAP6-7'!$B:$H,Insumo[[#This Row],[DESCRIPCION]],'CAP6-7'!$H:$H)</f>
        <v>0</v>
      </c>
      <c r="I810" s="69">
        <f ca="1">SUMIF('CAP8'!$B:$H,Insumo[[#This Row],[DESCRIPCION]],'CAP8'!$H:$H)</f>
        <v>0</v>
      </c>
      <c r="J810" s="69">
        <f ca="1">SUMIF('CAP9-13'!$B:$H,Insumo[[#This Row],[DESCRIPCION]],'CAP9-13'!$H:$H)</f>
        <v>0</v>
      </c>
      <c r="K810" s="69">
        <f ca="1">SUMIF('CAP14-15'!$B:$H,Insumo[[#This Row],[DESCRIPCION]],'CAP14-15'!$H:$H)</f>
        <v>0</v>
      </c>
      <c r="L810" s="69">
        <f ca="1">SUMIF('CAP16-18'!$B:$H,Insumo[[#This Row],[DESCRIPCION]],'CAP16-18'!$H:$H)</f>
        <v>0</v>
      </c>
      <c r="M810" s="69">
        <f ca="1">SUMIF('CAP19-22'!$B:$H,Insumo[[#This Row],[DESCRIPCION]],'CAP19-22'!$H:$H)</f>
        <v>0</v>
      </c>
      <c r="N810" s="69">
        <f ca="1">SUMIF('CAP23-24'!$B:$H,Insumo[[#This Row],[DESCRIPCION]],'CAP23-24'!$H:$H)</f>
        <v>0</v>
      </c>
      <c r="O810" s="69">
        <f ca="1">SUMIF('CAP25'!$B:$H,Insumo[[#This Row],[DESCRIPCION]],'CAP25'!$H:$H)</f>
        <v>0</v>
      </c>
      <c r="P810" s="69">
        <f ca="1">SUMIF('CAP26-28'!$B:$H,Insumo[[#This Row],[DESCRIPCION]],'CAP26-28'!$H:$H)</f>
        <v>0</v>
      </c>
      <c r="Q810" s="69">
        <f ca="1">SUMIF('CAP29'!$B:$H,Insumo[[#This Row],[DESCRIPCION]],'CAP29'!$H:$H)</f>
        <v>0</v>
      </c>
      <c r="T810" s="136">
        <v>303100</v>
      </c>
    </row>
    <row r="811" spans="1:20" ht="12" customHeight="1">
      <c r="A811" s="301" t="s">
        <v>3425</v>
      </c>
      <c r="B811" s="303" t="s">
        <v>30</v>
      </c>
      <c r="C811" s="304">
        <f t="shared" si="12"/>
        <v>375086.25</v>
      </c>
      <c r="D811" s="281" cm="1">
        <f t="array" aca="1" ref="D811" ca="1">IF(Insumo[[#This Row],[VALOR]]=0,Insumo[TOTAL],E811/C811)</f>
        <v>0</v>
      </c>
      <c r="E811" s="69">
        <f ca="1">SUM(Insumo[[#This Row],[CAP1-3]:[CAP29]])</f>
        <v>0</v>
      </c>
      <c r="F811" s="69">
        <f ca="1">SUMIF('CAP1-3'!$B:$H,Insumo[[#This Row],[DESCRIPCION]],'CAP1-3'!$H:$H)</f>
        <v>0</v>
      </c>
      <c r="G811" s="69">
        <f ca="1">SUMIF('CAP4-5'!$B:$H,Insumo[[#This Row],[DESCRIPCION]],'CAP4-5'!$H:$H)</f>
        <v>0</v>
      </c>
      <c r="H811" s="69">
        <f ca="1">SUMIF('CAP6-7'!$B:$H,Insumo[[#This Row],[DESCRIPCION]],'CAP6-7'!$H:$H)</f>
        <v>0</v>
      </c>
      <c r="I811" s="69">
        <f ca="1">SUMIF('CAP8'!$B:$H,Insumo[[#This Row],[DESCRIPCION]],'CAP8'!$H:$H)</f>
        <v>0</v>
      </c>
      <c r="J811" s="69">
        <f ca="1">SUMIF('CAP9-13'!$B:$H,Insumo[[#This Row],[DESCRIPCION]],'CAP9-13'!$H:$H)</f>
        <v>0</v>
      </c>
      <c r="K811" s="69">
        <f ca="1">SUMIF('CAP14-15'!$B:$H,Insumo[[#This Row],[DESCRIPCION]],'CAP14-15'!$H:$H)</f>
        <v>0</v>
      </c>
      <c r="L811" s="69">
        <f ca="1">SUMIF('CAP16-18'!$B:$H,Insumo[[#This Row],[DESCRIPCION]],'CAP16-18'!$H:$H)</f>
        <v>0</v>
      </c>
      <c r="M811" s="69">
        <f ca="1">SUMIF('CAP19-22'!$B:$H,Insumo[[#This Row],[DESCRIPCION]],'CAP19-22'!$H:$H)</f>
        <v>0</v>
      </c>
      <c r="N811" s="69">
        <f ca="1">SUMIF('CAP23-24'!$B:$H,Insumo[[#This Row],[DESCRIPCION]],'CAP23-24'!$H:$H)</f>
        <v>0</v>
      </c>
      <c r="O811" s="69">
        <f ca="1">SUMIF('CAP25'!$B:$H,Insumo[[#This Row],[DESCRIPCION]],'CAP25'!$H:$H)</f>
        <v>0</v>
      </c>
      <c r="P811" s="69">
        <f ca="1">SUMIF('CAP26-28'!$B:$H,Insumo[[#This Row],[DESCRIPCION]],'CAP26-28'!$H:$H)</f>
        <v>0</v>
      </c>
      <c r="Q811" s="69">
        <f ca="1">SUMIF('CAP29'!$B:$H,Insumo[[#This Row],[DESCRIPCION]],'CAP29'!$H:$H)</f>
        <v>0</v>
      </c>
      <c r="T811" s="136">
        <v>357225</v>
      </c>
    </row>
    <row r="812" spans="1:20" ht="12" customHeight="1">
      <c r="A812" s="301" t="s">
        <v>3426</v>
      </c>
      <c r="B812" s="303" t="s">
        <v>30</v>
      </c>
      <c r="C812" s="304">
        <f t="shared" si="12"/>
        <v>409185</v>
      </c>
      <c r="D812" s="281" cm="1">
        <f t="array" aca="1" ref="D812" ca="1">IF(Insumo[[#This Row],[VALOR]]=0,Insumo[TOTAL],E812/C812)</f>
        <v>0</v>
      </c>
      <c r="E812" s="69">
        <f ca="1">SUM(Insumo[[#This Row],[CAP1-3]:[CAP29]])</f>
        <v>0</v>
      </c>
      <c r="F812" s="69">
        <f ca="1">SUMIF('CAP1-3'!$B:$H,Insumo[[#This Row],[DESCRIPCION]],'CAP1-3'!$H:$H)</f>
        <v>0</v>
      </c>
      <c r="G812" s="69">
        <f ca="1">SUMIF('CAP4-5'!$B:$H,Insumo[[#This Row],[DESCRIPCION]],'CAP4-5'!$H:$H)</f>
        <v>0</v>
      </c>
      <c r="H812" s="69">
        <f ca="1">SUMIF('CAP6-7'!$B:$H,Insumo[[#This Row],[DESCRIPCION]],'CAP6-7'!$H:$H)</f>
        <v>0</v>
      </c>
      <c r="I812" s="69">
        <f ca="1">SUMIF('CAP8'!$B:$H,Insumo[[#This Row],[DESCRIPCION]],'CAP8'!$H:$H)</f>
        <v>0</v>
      </c>
      <c r="J812" s="69">
        <f ca="1">SUMIF('CAP9-13'!$B:$H,Insumo[[#This Row],[DESCRIPCION]],'CAP9-13'!$H:$H)</f>
        <v>0</v>
      </c>
      <c r="K812" s="69">
        <f ca="1">SUMIF('CAP14-15'!$B:$H,Insumo[[#This Row],[DESCRIPCION]],'CAP14-15'!$H:$H)</f>
        <v>0</v>
      </c>
      <c r="L812" s="69">
        <f ca="1">SUMIF('CAP16-18'!$B:$H,Insumo[[#This Row],[DESCRIPCION]],'CAP16-18'!$H:$H)</f>
        <v>0</v>
      </c>
      <c r="M812" s="69">
        <f ca="1">SUMIF('CAP19-22'!$B:$H,Insumo[[#This Row],[DESCRIPCION]],'CAP19-22'!$H:$H)</f>
        <v>0</v>
      </c>
      <c r="N812" s="69">
        <f ca="1">SUMIF('CAP23-24'!$B:$H,Insumo[[#This Row],[DESCRIPCION]],'CAP23-24'!$H:$H)</f>
        <v>0</v>
      </c>
      <c r="O812" s="69">
        <f ca="1">SUMIF('CAP25'!$B:$H,Insumo[[#This Row],[DESCRIPCION]],'CAP25'!$H:$H)</f>
        <v>0</v>
      </c>
      <c r="P812" s="69">
        <f ca="1">SUMIF('CAP26-28'!$B:$H,Insumo[[#This Row],[DESCRIPCION]],'CAP26-28'!$H:$H)</f>
        <v>0</v>
      </c>
      <c r="Q812" s="69">
        <f ca="1">SUMIF('CAP29'!$B:$H,Insumo[[#This Row],[DESCRIPCION]],'CAP29'!$H:$H)</f>
        <v>0</v>
      </c>
      <c r="T812" s="136">
        <v>389700</v>
      </c>
    </row>
    <row r="813" spans="1:20" ht="12" customHeight="1">
      <c r="A813" s="301" t="s">
        <v>3427</v>
      </c>
      <c r="B813" s="303" t="s">
        <v>30</v>
      </c>
      <c r="C813" s="304">
        <f t="shared" si="12"/>
        <v>477382.5</v>
      </c>
      <c r="D813" s="281" cm="1">
        <f t="array" aca="1" ref="D813" ca="1">IF(Insumo[[#This Row],[VALOR]]=0,Insumo[TOTAL],E813/C813)</f>
        <v>0</v>
      </c>
      <c r="E813" s="69">
        <f ca="1">SUM(Insumo[[#This Row],[CAP1-3]:[CAP29]])</f>
        <v>0</v>
      </c>
      <c r="F813" s="69">
        <f ca="1">SUMIF('CAP1-3'!$B:$H,Insumo[[#This Row],[DESCRIPCION]],'CAP1-3'!$H:$H)</f>
        <v>0</v>
      </c>
      <c r="G813" s="69">
        <f ca="1">SUMIF('CAP4-5'!$B:$H,Insumo[[#This Row],[DESCRIPCION]],'CAP4-5'!$H:$H)</f>
        <v>0</v>
      </c>
      <c r="H813" s="69">
        <f ca="1">SUMIF('CAP6-7'!$B:$H,Insumo[[#This Row],[DESCRIPCION]],'CAP6-7'!$H:$H)</f>
        <v>0</v>
      </c>
      <c r="I813" s="69">
        <f ca="1">SUMIF('CAP8'!$B:$H,Insumo[[#This Row],[DESCRIPCION]],'CAP8'!$H:$H)</f>
        <v>0</v>
      </c>
      <c r="J813" s="69">
        <f ca="1">SUMIF('CAP9-13'!$B:$H,Insumo[[#This Row],[DESCRIPCION]],'CAP9-13'!$H:$H)</f>
        <v>0</v>
      </c>
      <c r="K813" s="69">
        <f ca="1">SUMIF('CAP14-15'!$B:$H,Insumo[[#This Row],[DESCRIPCION]],'CAP14-15'!$H:$H)</f>
        <v>0</v>
      </c>
      <c r="L813" s="69">
        <f ca="1">SUMIF('CAP16-18'!$B:$H,Insumo[[#This Row],[DESCRIPCION]],'CAP16-18'!$H:$H)</f>
        <v>0</v>
      </c>
      <c r="M813" s="69">
        <f ca="1">SUMIF('CAP19-22'!$B:$H,Insumo[[#This Row],[DESCRIPCION]],'CAP19-22'!$H:$H)</f>
        <v>0</v>
      </c>
      <c r="N813" s="69">
        <f ca="1">SUMIF('CAP23-24'!$B:$H,Insumo[[#This Row],[DESCRIPCION]],'CAP23-24'!$H:$H)</f>
        <v>0</v>
      </c>
      <c r="O813" s="69">
        <f ca="1">SUMIF('CAP25'!$B:$H,Insumo[[#This Row],[DESCRIPCION]],'CAP25'!$H:$H)</f>
        <v>0</v>
      </c>
      <c r="P813" s="69">
        <f ca="1">SUMIF('CAP26-28'!$B:$H,Insumo[[#This Row],[DESCRIPCION]],'CAP26-28'!$H:$H)</f>
        <v>0</v>
      </c>
      <c r="Q813" s="69">
        <f ca="1">SUMIF('CAP29'!$B:$H,Insumo[[#This Row],[DESCRIPCION]],'CAP29'!$H:$H)</f>
        <v>0</v>
      </c>
      <c r="T813" s="136">
        <v>454650</v>
      </c>
    </row>
    <row r="814" spans="1:20" ht="12" customHeight="1">
      <c r="A814" s="301" t="s">
        <v>3428</v>
      </c>
      <c r="B814" s="303" t="s">
        <v>30</v>
      </c>
      <c r="C814" s="304">
        <f t="shared" si="12"/>
        <v>534213.75</v>
      </c>
      <c r="D814" s="281" cm="1">
        <f t="array" aca="1" ref="D814" ca="1">IF(Insumo[[#This Row],[VALOR]]=0,Insumo[TOTAL],E814/C814)</f>
        <v>0</v>
      </c>
      <c r="E814" s="69">
        <f ca="1">SUM(Insumo[[#This Row],[CAP1-3]:[CAP29]])</f>
        <v>0</v>
      </c>
      <c r="F814" s="69">
        <f ca="1">SUMIF('CAP1-3'!$B:$H,Insumo[[#This Row],[DESCRIPCION]],'CAP1-3'!$H:$H)</f>
        <v>0</v>
      </c>
      <c r="G814" s="69">
        <f ca="1">SUMIF('CAP4-5'!$B:$H,Insumo[[#This Row],[DESCRIPCION]],'CAP4-5'!$H:$H)</f>
        <v>0</v>
      </c>
      <c r="H814" s="69">
        <f ca="1">SUMIF('CAP6-7'!$B:$H,Insumo[[#This Row],[DESCRIPCION]],'CAP6-7'!$H:$H)</f>
        <v>0</v>
      </c>
      <c r="I814" s="69">
        <f ca="1">SUMIF('CAP8'!$B:$H,Insumo[[#This Row],[DESCRIPCION]],'CAP8'!$H:$H)</f>
        <v>0</v>
      </c>
      <c r="J814" s="69">
        <f ca="1">SUMIF('CAP9-13'!$B:$H,Insumo[[#This Row],[DESCRIPCION]],'CAP9-13'!$H:$H)</f>
        <v>0</v>
      </c>
      <c r="K814" s="69">
        <f ca="1">SUMIF('CAP14-15'!$B:$H,Insumo[[#This Row],[DESCRIPCION]],'CAP14-15'!$H:$H)</f>
        <v>0</v>
      </c>
      <c r="L814" s="69">
        <f ca="1">SUMIF('CAP16-18'!$B:$H,Insumo[[#This Row],[DESCRIPCION]],'CAP16-18'!$H:$H)</f>
        <v>0</v>
      </c>
      <c r="M814" s="69">
        <f ca="1">SUMIF('CAP19-22'!$B:$H,Insumo[[#This Row],[DESCRIPCION]],'CAP19-22'!$H:$H)</f>
        <v>0</v>
      </c>
      <c r="N814" s="69">
        <f ca="1">SUMIF('CAP23-24'!$B:$H,Insumo[[#This Row],[DESCRIPCION]],'CAP23-24'!$H:$H)</f>
        <v>0</v>
      </c>
      <c r="O814" s="69">
        <f ca="1">SUMIF('CAP25'!$B:$H,Insumo[[#This Row],[DESCRIPCION]],'CAP25'!$H:$H)</f>
        <v>0</v>
      </c>
      <c r="P814" s="69">
        <f ca="1">SUMIF('CAP26-28'!$B:$H,Insumo[[#This Row],[DESCRIPCION]],'CAP26-28'!$H:$H)</f>
        <v>0</v>
      </c>
      <c r="Q814" s="69">
        <f ca="1">SUMIF('CAP29'!$B:$H,Insumo[[#This Row],[DESCRIPCION]],'CAP29'!$H:$H)</f>
        <v>0</v>
      </c>
      <c r="T814" s="136">
        <v>508775</v>
      </c>
    </row>
    <row r="815" spans="1:20" ht="12" customHeight="1">
      <c r="A815" s="301" t="s">
        <v>3429</v>
      </c>
      <c r="B815" s="303" t="s">
        <v>30</v>
      </c>
      <c r="C815" s="304">
        <f t="shared" si="12"/>
        <v>659242.5</v>
      </c>
      <c r="D815" s="281" cm="1">
        <f t="array" aca="1" ref="D815" ca="1">IF(Insumo[[#This Row],[VALOR]]=0,Insumo[TOTAL],E815/C815)</f>
        <v>0</v>
      </c>
      <c r="E815" s="69">
        <f ca="1">SUM(Insumo[[#This Row],[CAP1-3]:[CAP29]])</f>
        <v>0</v>
      </c>
      <c r="F815" s="69">
        <f ca="1">SUMIF('CAP1-3'!$B:$H,Insumo[[#This Row],[DESCRIPCION]],'CAP1-3'!$H:$H)</f>
        <v>0</v>
      </c>
      <c r="G815" s="69">
        <f ca="1">SUMIF('CAP4-5'!$B:$H,Insumo[[#This Row],[DESCRIPCION]],'CAP4-5'!$H:$H)</f>
        <v>0</v>
      </c>
      <c r="H815" s="69">
        <f ca="1">SUMIF('CAP6-7'!$B:$H,Insumo[[#This Row],[DESCRIPCION]],'CAP6-7'!$H:$H)</f>
        <v>0</v>
      </c>
      <c r="I815" s="69">
        <f ca="1">SUMIF('CAP8'!$B:$H,Insumo[[#This Row],[DESCRIPCION]],'CAP8'!$H:$H)</f>
        <v>0</v>
      </c>
      <c r="J815" s="69">
        <f ca="1">SUMIF('CAP9-13'!$B:$H,Insumo[[#This Row],[DESCRIPCION]],'CAP9-13'!$H:$H)</f>
        <v>0</v>
      </c>
      <c r="K815" s="69">
        <f ca="1">SUMIF('CAP14-15'!$B:$H,Insumo[[#This Row],[DESCRIPCION]],'CAP14-15'!$H:$H)</f>
        <v>0</v>
      </c>
      <c r="L815" s="69">
        <f ca="1">SUMIF('CAP16-18'!$B:$H,Insumo[[#This Row],[DESCRIPCION]],'CAP16-18'!$H:$H)</f>
        <v>0</v>
      </c>
      <c r="M815" s="69">
        <f ca="1">SUMIF('CAP19-22'!$B:$H,Insumo[[#This Row],[DESCRIPCION]],'CAP19-22'!$H:$H)</f>
        <v>0</v>
      </c>
      <c r="N815" s="69">
        <f ca="1">SUMIF('CAP23-24'!$B:$H,Insumo[[#This Row],[DESCRIPCION]],'CAP23-24'!$H:$H)</f>
        <v>0</v>
      </c>
      <c r="O815" s="69">
        <f ca="1">SUMIF('CAP25'!$B:$H,Insumo[[#This Row],[DESCRIPCION]],'CAP25'!$H:$H)</f>
        <v>0</v>
      </c>
      <c r="P815" s="69">
        <f ca="1">SUMIF('CAP26-28'!$B:$H,Insumo[[#This Row],[DESCRIPCION]],'CAP26-28'!$H:$H)</f>
        <v>0</v>
      </c>
      <c r="Q815" s="69">
        <f ca="1">SUMIF('CAP29'!$B:$H,Insumo[[#This Row],[DESCRIPCION]],'CAP29'!$H:$H)</f>
        <v>0</v>
      </c>
      <c r="T815" s="136">
        <v>627850</v>
      </c>
    </row>
    <row r="816" spans="1:20" ht="12" customHeight="1">
      <c r="A816" s="301" t="s">
        <v>3430</v>
      </c>
      <c r="B816" s="303" t="s">
        <v>30</v>
      </c>
      <c r="C816" s="304">
        <f t="shared" si="12"/>
        <v>909300</v>
      </c>
      <c r="D816" s="281" cm="1">
        <f t="array" aca="1" ref="D816" ca="1">IF(Insumo[[#This Row],[VALOR]]=0,Insumo[TOTAL],E816/C816)</f>
        <v>0</v>
      </c>
      <c r="E816" s="69">
        <f ca="1">SUM(Insumo[[#This Row],[CAP1-3]:[CAP29]])</f>
        <v>0</v>
      </c>
      <c r="F816" s="69">
        <f ca="1">SUMIF('CAP1-3'!$B:$H,Insumo[[#This Row],[DESCRIPCION]],'CAP1-3'!$H:$H)</f>
        <v>0</v>
      </c>
      <c r="G816" s="69">
        <f ca="1">SUMIF('CAP4-5'!$B:$H,Insumo[[#This Row],[DESCRIPCION]],'CAP4-5'!$H:$H)</f>
        <v>0</v>
      </c>
      <c r="H816" s="69">
        <f ca="1">SUMIF('CAP6-7'!$B:$H,Insumo[[#This Row],[DESCRIPCION]],'CAP6-7'!$H:$H)</f>
        <v>0</v>
      </c>
      <c r="I816" s="69">
        <f ca="1">SUMIF('CAP8'!$B:$H,Insumo[[#This Row],[DESCRIPCION]],'CAP8'!$H:$H)</f>
        <v>0</v>
      </c>
      <c r="J816" s="69">
        <f ca="1">SUMIF('CAP9-13'!$B:$H,Insumo[[#This Row],[DESCRIPCION]],'CAP9-13'!$H:$H)</f>
        <v>0</v>
      </c>
      <c r="K816" s="69">
        <f ca="1">SUMIF('CAP14-15'!$B:$H,Insumo[[#This Row],[DESCRIPCION]],'CAP14-15'!$H:$H)</f>
        <v>0</v>
      </c>
      <c r="L816" s="69">
        <f ca="1">SUMIF('CAP16-18'!$B:$H,Insumo[[#This Row],[DESCRIPCION]],'CAP16-18'!$H:$H)</f>
        <v>0</v>
      </c>
      <c r="M816" s="69">
        <f ca="1">SUMIF('CAP19-22'!$B:$H,Insumo[[#This Row],[DESCRIPCION]],'CAP19-22'!$H:$H)</f>
        <v>0</v>
      </c>
      <c r="N816" s="69">
        <f ca="1">SUMIF('CAP23-24'!$B:$H,Insumo[[#This Row],[DESCRIPCION]],'CAP23-24'!$H:$H)</f>
        <v>0</v>
      </c>
      <c r="O816" s="69">
        <f ca="1">SUMIF('CAP25'!$B:$H,Insumo[[#This Row],[DESCRIPCION]],'CAP25'!$H:$H)</f>
        <v>0</v>
      </c>
      <c r="P816" s="69">
        <f ca="1">SUMIF('CAP26-28'!$B:$H,Insumo[[#This Row],[DESCRIPCION]],'CAP26-28'!$H:$H)</f>
        <v>0</v>
      </c>
      <c r="Q816" s="69">
        <f ca="1">SUMIF('CAP29'!$B:$H,Insumo[[#This Row],[DESCRIPCION]],'CAP29'!$H:$H)</f>
        <v>0</v>
      </c>
      <c r="T816" s="136">
        <v>866000</v>
      </c>
    </row>
    <row r="817" spans="1:20" ht="12" customHeight="1">
      <c r="A817" s="301" t="s">
        <v>3431</v>
      </c>
      <c r="B817" s="303" t="s">
        <v>30</v>
      </c>
      <c r="C817" s="304">
        <f t="shared" si="12"/>
        <v>13650</v>
      </c>
      <c r="D817" s="281" cm="1">
        <f t="array" aca="1" ref="D817" ca="1">IF(Insumo[[#This Row],[VALOR]]=0,Insumo[TOTAL],E817/C817)</f>
        <v>0</v>
      </c>
      <c r="E817" s="69">
        <f ca="1">SUM(Insumo[[#This Row],[CAP1-3]:[CAP29]])</f>
        <v>0</v>
      </c>
      <c r="F817" s="69">
        <f ca="1">SUMIF('CAP1-3'!$B:$H,Insumo[[#This Row],[DESCRIPCION]],'CAP1-3'!$H:$H)</f>
        <v>0</v>
      </c>
      <c r="G817" s="69">
        <f ca="1">SUMIF('CAP4-5'!$B:$H,Insumo[[#This Row],[DESCRIPCION]],'CAP4-5'!$H:$H)</f>
        <v>0</v>
      </c>
      <c r="H817" s="69">
        <f ca="1">SUMIF('CAP6-7'!$B:$H,Insumo[[#This Row],[DESCRIPCION]],'CAP6-7'!$H:$H)</f>
        <v>0</v>
      </c>
      <c r="I817" s="69">
        <f ca="1">SUMIF('CAP8'!$B:$H,Insumo[[#This Row],[DESCRIPCION]],'CAP8'!$H:$H)</f>
        <v>0</v>
      </c>
      <c r="J817" s="69">
        <f ca="1">SUMIF('CAP9-13'!$B:$H,Insumo[[#This Row],[DESCRIPCION]],'CAP9-13'!$H:$H)</f>
        <v>0</v>
      </c>
      <c r="K817" s="69">
        <f ca="1">SUMIF('CAP14-15'!$B:$H,Insumo[[#This Row],[DESCRIPCION]],'CAP14-15'!$H:$H)</f>
        <v>0</v>
      </c>
      <c r="L817" s="69">
        <f ca="1">SUMIF('CAP16-18'!$B:$H,Insumo[[#This Row],[DESCRIPCION]],'CAP16-18'!$H:$H)</f>
        <v>0</v>
      </c>
      <c r="M817" s="69">
        <f ca="1">SUMIF('CAP19-22'!$B:$H,Insumo[[#This Row],[DESCRIPCION]],'CAP19-22'!$H:$H)</f>
        <v>0</v>
      </c>
      <c r="N817" s="69">
        <f ca="1">SUMIF('CAP23-24'!$B:$H,Insumo[[#This Row],[DESCRIPCION]],'CAP23-24'!$H:$H)</f>
        <v>0</v>
      </c>
      <c r="O817" s="69">
        <f ca="1">SUMIF('CAP25'!$B:$H,Insumo[[#This Row],[DESCRIPCION]],'CAP25'!$H:$H)</f>
        <v>0</v>
      </c>
      <c r="P817" s="69">
        <f ca="1">SUMIF('CAP26-28'!$B:$H,Insumo[[#This Row],[DESCRIPCION]],'CAP26-28'!$H:$H)</f>
        <v>0</v>
      </c>
      <c r="Q817" s="69">
        <f ca="1">SUMIF('CAP29'!$B:$H,Insumo[[#This Row],[DESCRIPCION]],'CAP29'!$H:$H)</f>
        <v>0</v>
      </c>
      <c r="R817" s="290"/>
      <c r="T817" s="136">
        <v>13000</v>
      </c>
    </row>
    <row r="818" spans="1:20" ht="12" customHeight="1">
      <c r="A818" s="301" t="s">
        <v>3432</v>
      </c>
      <c r="B818" s="303" t="s">
        <v>30</v>
      </c>
      <c r="C818" s="304">
        <f t="shared" si="12"/>
        <v>26880</v>
      </c>
      <c r="D818" s="281" cm="1">
        <f t="array" aca="1" ref="D818" ca="1">IF(Insumo[[#This Row],[VALOR]]=0,Insumo[TOTAL],E818/C818)</f>
        <v>0</v>
      </c>
      <c r="E818" s="69">
        <f ca="1">SUM(Insumo[[#This Row],[CAP1-3]:[CAP29]])</f>
        <v>0</v>
      </c>
      <c r="F818" s="69">
        <f ca="1">SUMIF('CAP1-3'!$B:$H,Insumo[[#This Row],[DESCRIPCION]],'CAP1-3'!$H:$H)</f>
        <v>0</v>
      </c>
      <c r="G818" s="69">
        <f ca="1">SUMIF('CAP4-5'!$B:$H,Insumo[[#This Row],[DESCRIPCION]],'CAP4-5'!$H:$H)</f>
        <v>0</v>
      </c>
      <c r="H818" s="69">
        <f ca="1">SUMIF('CAP6-7'!$B:$H,Insumo[[#This Row],[DESCRIPCION]],'CAP6-7'!$H:$H)</f>
        <v>0</v>
      </c>
      <c r="I818" s="69">
        <f ca="1">SUMIF('CAP8'!$B:$H,Insumo[[#This Row],[DESCRIPCION]],'CAP8'!$H:$H)</f>
        <v>0</v>
      </c>
      <c r="J818" s="69">
        <f ca="1">SUMIF('CAP9-13'!$B:$H,Insumo[[#This Row],[DESCRIPCION]],'CAP9-13'!$H:$H)</f>
        <v>0</v>
      </c>
      <c r="K818" s="69">
        <f ca="1">SUMIF('CAP14-15'!$B:$H,Insumo[[#This Row],[DESCRIPCION]],'CAP14-15'!$H:$H)</f>
        <v>0</v>
      </c>
      <c r="L818" s="69">
        <f ca="1">SUMIF('CAP16-18'!$B:$H,Insumo[[#This Row],[DESCRIPCION]],'CAP16-18'!$H:$H)</f>
        <v>0</v>
      </c>
      <c r="M818" s="69">
        <f ca="1">SUMIF('CAP19-22'!$B:$H,Insumo[[#This Row],[DESCRIPCION]],'CAP19-22'!$H:$H)</f>
        <v>0</v>
      </c>
      <c r="N818" s="69">
        <f ca="1">SUMIF('CAP23-24'!$B:$H,Insumo[[#This Row],[DESCRIPCION]],'CAP23-24'!$H:$H)</f>
        <v>0</v>
      </c>
      <c r="O818" s="69">
        <f ca="1">SUMIF('CAP25'!$B:$H,Insumo[[#This Row],[DESCRIPCION]],'CAP25'!$H:$H)</f>
        <v>0</v>
      </c>
      <c r="P818" s="69">
        <f ca="1">SUMIF('CAP26-28'!$B:$H,Insumo[[#This Row],[DESCRIPCION]],'CAP26-28'!$H:$H)</f>
        <v>0</v>
      </c>
      <c r="Q818" s="69">
        <f ca="1">SUMIF('CAP29'!$B:$H,Insumo[[#This Row],[DESCRIPCION]],'CAP29'!$H:$H)</f>
        <v>0</v>
      </c>
      <c r="R818" s="136" t="s">
        <v>2622</v>
      </c>
      <c r="T818" s="136">
        <v>25600</v>
      </c>
    </row>
    <row r="819" spans="1:20">
      <c r="A819" s="301" t="s">
        <v>3433</v>
      </c>
      <c r="B819" s="303" t="s">
        <v>30</v>
      </c>
      <c r="C819" s="304">
        <f t="shared" si="12"/>
        <v>19546.8</v>
      </c>
      <c r="D819" s="281" cm="1">
        <f t="array" aca="1" ref="D819" ca="1">IF(Insumo[[#This Row],[VALOR]]=0,Insumo[TOTAL],E819/C819)</f>
        <v>0</v>
      </c>
      <c r="E819" s="69">
        <f ca="1">SUM(Insumo[[#This Row],[CAP1-3]:[CAP29]])</f>
        <v>0</v>
      </c>
      <c r="F819" s="69">
        <f ca="1">SUMIF('CAP1-3'!$B:$H,Insumo[[#This Row],[DESCRIPCION]],'CAP1-3'!$H:$H)</f>
        <v>0</v>
      </c>
      <c r="G819" s="69">
        <f ca="1">SUMIF('CAP4-5'!$B:$H,Insumo[[#This Row],[DESCRIPCION]],'CAP4-5'!$H:$H)</f>
        <v>0</v>
      </c>
      <c r="H819" s="69">
        <f ca="1">SUMIF('CAP6-7'!$B:$H,Insumo[[#This Row],[DESCRIPCION]],'CAP6-7'!$H:$H)</f>
        <v>0</v>
      </c>
      <c r="I819" s="69">
        <f ca="1">SUMIF('CAP8'!$B:$H,Insumo[[#This Row],[DESCRIPCION]],'CAP8'!$H:$H)</f>
        <v>0</v>
      </c>
      <c r="J819" s="69">
        <f ca="1">SUMIF('CAP9-13'!$B:$H,Insumo[[#This Row],[DESCRIPCION]],'CAP9-13'!$H:$H)</f>
        <v>0</v>
      </c>
      <c r="K819" s="69">
        <f ca="1">SUMIF('CAP14-15'!$B:$H,Insumo[[#This Row],[DESCRIPCION]],'CAP14-15'!$H:$H)</f>
        <v>0</v>
      </c>
      <c r="L819" s="69">
        <f ca="1">SUMIF('CAP16-18'!$B:$H,Insumo[[#This Row],[DESCRIPCION]],'CAP16-18'!$H:$H)</f>
        <v>0</v>
      </c>
      <c r="M819" s="69">
        <f ca="1">SUMIF('CAP19-22'!$B:$H,Insumo[[#This Row],[DESCRIPCION]],'CAP19-22'!$H:$H)</f>
        <v>0</v>
      </c>
      <c r="N819" s="69">
        <f ca="1">SUMIF('CAP23-24'!$B:$H,Insumo[[#This Row],[DESCRIPCION]],'CAP23-24'!$H:$H)</f>
        <v>0</v>
      </c>
      <c r="O819" s="69">
        <f ca="1">SUMIF('CAP25'!$B:$H,Insumo[[#This Row],[DESCRIPCION]],'CAP25'!$H:$H)</f>
        <v>0</v>
      </c>
      <c r="P819" s="69">
        <f ca="1">SUMIF('CAP26-28'!$B:$H,Insumo[[#This Row],[DESCRIPCION]],'CAP26-28'!$H:$H)</f>
        <v>0</v>
      </c>
      <c r="Q819" s="69">
        <f ca="1">SUMIF('CAP29'!$B:$H,Insumo[[#This Row],[DESCRIPCION]],'CAP29'!$H:$H)</f>
        <v>0</v>
      </c>
      <c r="R819" s="136" t="s">
        <v>2622</v>
      </c>
      <c r="T819" s="136">
        <v>18616</v>
      </c>
    </row>
    <row r="820" spans="1:20" ht="12" customHeight="1">
      <c r="A820" s="301" t="s">
        <v>3434</v>
      </c>
      <c r="B820" s="303" t="s">
        <v>30</v>
      </c>
      <c r="C820" s="304">
        <f t="shared" si="12"/>
        <v>12794.25</v>
      </c>
      <c r="D820" s="281" cm="1">
        <f t="array" aca="1" ref="D820" ca="1">IF(Insumo[[#This Row],[VALOR]]=0,Insumo[TOTAL],E820/C820)</f>
        <v>0</v>
      </c>
      <c r="E820" s="69">
        <f ca="1">SUM(Insumo[[#This Row],[CAP1-3]:[CAP29]])</f>
        <v>0</v>
      </c>
      <c r="F820" s="69">
        <f ca="1">SUMIF('CAP1-3'!$B:$H,Insumo[[#This Row],[DESCRIPCION]],'CAP1-3'!$H:$H)</f>
        <v>0</v>
      </c>
      <c r="G820" s="69">
        <f ca="1">SUMIF('CAP4-5'!$B:$H,Insumo[[#This Row],[DESCRIPCION]],'CAP4-5'!$H:$H)</f>
        <v>0</v>
      </c>
      <c r="H820" s="69">
        <f ca="1">SUMIF('CAP6-7'!$B:$H,Insumo[[#This Row],[DESCRIPCION]],'CAP6-7'!$H:$H)</f>
        <v>0</v>
      </c>
      <c r="I820" s="69">
        <f ca="1">SUMIF('CAP8'!$B:$H,Insumo[[#This Row],[DESCRIPCION]],'CAP8'!$H:$H)</f>
        <v>0</v>
      </c>
      <c r="J820" s="69">
        <f ca="1">SUMIF('CAP9-13'!$B:$H,Insumo[[#This Row],[DESCRIPCION]],'CAP9-13'!$H:$H)</f>
        <v>0</v>
      </c>
      <c r="K820" s="69">
        <f ca="1">SUMIF('CAP14-15'!$B:$H,Insumo[[#This Row],[DESCRIPCION]],'CAP14-15'!$H:$H)</f>
        <v>0</v>
      </c>
      <c r="L820" s="69">
        <f ca="1">SUMIF('CAP16-18'!$B:$H,Insumo[[#This Row],[DESCRIPCION]],'CAP16-18'!$H:$H)</f>
        <v>0</v>
      </c>
      <c r="M820" s="69">
        <f ca="1">SUMIF('CAP19-22'!$B:$H,Insumo[[#This Row],[DESCRIPCION]],'CAP19-22'!$H:$H)</f>
        <v>0</v>
      </c>
      <c r="N820" s="69">
        <f ca="1">SUMIF('CAP23-24'!$B:$H,Insumo[[#This Row],[DESCRIPCION]],'CAP23-24'!$H:$H)</f>
        <v>0</v>
      </c>
      <c r="O820" s="69">
        <f ca="1">SUMIF('CAP25'!$B:$H,Insumo[[#This Row],[DESCRIPCION]],'CAP25'!$H:$H)</f>
        <v>0</v>
      </c>
      <c r="P820" s="69">
        <f ca="1">SUMIF('CAP26-28'!$B:$H,Insumo[[#This Row],[DESCRIPCION]],'CAP26-28'!$H:$H)</f>
        <v>0</v>
      </c>
      <c r="Q820" s="69">
        <f ca="1">SUMIF('CAP29'!$B:$H,Insumo[[#This Row],[DESCRIPCION]],'CAP29'!$H:$H)</f>
        <v>0</v>
      </c>
      <c r="T820" s="136">
        <v>12185</v>
      </c>
    </row>
    <row r="821" spans="1:20" ht="12" customHeight="1">
      <c r="A821" s="301" t="s">
        <v>3798</v>
      </c>
      <c r="B821" s="303" t="s">
        <v>30</v>
      </c>
      <c r="C821" s="304">
        <f t="shared" si="12"/>
        <v>12075</v>
      </c>
      <c r="D821" s="281" cm="1">
        <f t="array" aca="1" ref="D821" ca="1">IF(Insumo[[#This Row],[VALOR]]=0,Insumo[TOTAL],E821/C821)</f>
        <v>0</v>
      </c>
      <c r="E821" s="69">
        <f ca="1">SUM(Insumo[[#This Row],[CAP1-3]:[CAP29]])</f>
        <v>0</v>
      </c>
      <c r="F821" s="69">
        <f ca="1">SUMIF('CAP1-3'!$B:$H,Insumo[[#This Row],[DESCRIPCION]],'CAP1-3'!$H:$H)</f>
        <v>0</v>
      </c>
      <c r="G821" s="69">
        <f ca="1">SUMIF('CAP4-5'!$B:$H,Insumo[[#This Row],[DESCRIPCION]],'CAP4-5'!$H:$H)</f>
        <v>0</v>
      </c>
      <c r="H821" s="69">
        <f ca="1">SUMIF('CAP6-7'!$B:$H,Insumo[[#This Row],[DESCRIPCION]],'CAP6-7'!$H:$H)</f>
        <v>0</v>
      </c>
      <c r="I821" s="69">
        <f ca="1">SUMIF('CAP8'!$B:$H,Insumo[[#This Row],[DESCRIPCION]],'CAP8'!$H:$H)</f>
        <v>0</v>
      </c>
      <c r="J821" s="69">
        <f ca="1">SUMIF('CAP9-13'!$B:$H,Insumo[[#This Row],[DESCRIPCION]],'CAP9-13'!$H:$H)</f>
        <v>0</v>
      </c>
      <c r="K821" s="69">
        <f ca="1">SUMIF('CAP14-15'!$B:$H,Insumo[[#This Row],[DESCRIPCION]],'CAP14-15'!$H:$H)</f>
        <v>0</v>
      </c>
      <c r="L821" s="69">
        <f ca="1">SUMIF('CAP16-18'!$B:$H,Insumo[[#This Row],[DESCRIPCION]],'CAP16-18'!$H:$H)</f>
        <v>0</v>
      </c>
      <c r="M821" s="69">
        <f ca="1">SUMIF('CAP19-22'!$B:$H,Insumo[[#This Row],[DESCRIPCION]],'CAP19-22'!$H:$H)</f>
        <v>0</v>
      </c>
      <c r="N821" s="69">
        <f ca="1">SUMIF('CAP23-24'!$B:$H,Insumo[[#This Row],[DESCRIPCION]],'CAP23-24'!$H:$H)</f>
        <v>0</v>
      </c>
      <c r="O821" s="69">
        <f ca="1">SUMIF('CAP25'!$B:$H,Insumo[[#This Row],[DESCRIPCION]],'CAP25'!$H:$H)</f>
        <v>0</v>
      </c>
      <c r="P821" s="69">
        <f ca="1">SUMIF('CAP26-28'!$B:$H,Insumo[[#This Row],[DESCRIPCION]],'CAP26-28'!$H:$H)</f>
        <v>0</v>
      </c>
      <c r="Q821" s="69">
        <f ca="1">SUMIF('CAP29'!$B:$H,Insumo[[#This Row],[DESCRIPCION]],'CAP29'!$H:$H)</f>
        <v>0</v>
      </c>
      <c r="T821" s="136">
        <v>11500</v>
      </c>
    </row>
    <row r="822" spans="1:20" ht="12" customHeight="1">
      <c r="A822" s="301" t="s">
        <v>3435</v>
      </c>
      <c r="B822" s="303" t="s">
        <v>30</v>
      </c>
      <c r="C822" s="304">
        <f t="shared" si="12"/>
        <v>6376.6500000000005</v>
      </c>
      <c r="D822" s="281" cm="1">
        <f t="array" aca="1" ref="D822" ca="1">IF(Insumo[[#This Row],[VALOR]]=0,Insumo[TOTAL],E822/C822)</f>
        <v>0</v>
      </c>
      <c r="E822" s="69">
        <f ca="1">SUM(Insumo[[#This Row],[CAP1-3]:[CAP29]])</f>
        <v>0</v>
      </c>
      <c r="F822" s="69">
        <f ca="1">SUMIF('CAP1-3'!$B:$H,Insumo[[#This Row],[DESCRIPCION]],'CAP1-3'!$H:$H)</f>
        <v>0</v>
      </c>
      <c r="G822" s="69">
        <f ca="1">SUMIF('CAP4-5'!$B:$H,Insumo[[#This Row],[DESCRIPCION]],'CAP4-5'!$H:$H)</f>
        <v>0</v>
      </c>
      <c r="H822" s="69">
        <f ca="1">SUMIF('CAP6-7'!$B:$H,Insumo[[#This Row],[DESCRIPCION]],'CAP6-7'!$H:$H)</f>
        <v>0</v>
      </c>
      <c r="I822" s="69">
        <f ca="1">SUMIF('CAP8'!$B:$H,Insumo[[#This Row],[DESCRIPCION]],'CAP8'!$H:$H)</f>
        <v>0</v>
      </c>
      <c r="J822" s="69">
        <f ca="1">SUMIF('CAP9-13'!$B:$H,Insumo[[#This Row],[DESCRIPCION]],'CAP9-13'!$H:$H)</f>
        <v>0</v>
      </c>
      <c r="K822" s="69">
        <f ca="1">SUMIF('CAP14-15'!$B:$H,Insumo[[#This Row],[DESCRIPCION]],'CAP14-15'!$H:$H)</f>
        <v>0</v>
      </c>
      <c r="L822" s="69">
        <f ca="1">SUMIF('CAP16-18'!$B:$H,Insumo[[#This Row],[DESCRIPCION]],'CAP16-18'!$H:$H)</f>
        <v>0</v>
      </c>
      <c r="M822" s="69">
        <f ca="1">SUMIF('CAP19-22'!$B:$H,Insumo[[#This Row],[DESCRIPCION]],'CAP19-22'!$H:$H)</f>
        <v>0</v>
      </c>
      <c r="N822" s="69">
        <f ca="1">SUMIF('CAP23-24'!$B:$H,Insumo[[#This Row],[DESCRIPCION]],'CAP23-24'!$H:$H)</f>
        <v>0</v>
      </c>
      <c r="O822" s="69">
        <f ca="1">SUMIF('CAP25'!$B:$H,Insumo[[#This Row],[DESCRIPCION]],'CAP25'!$H:$H)</f>
        <v>0</v>
      </c>
      <c r="P822" s="69">
        <f ca="1">SUMIF('CAP26-28'!$B:$H,Insumo[[#This Row],[DESCRIPCION]],'CAP26-28'!$H:$H)</f>
        <v>0</v>
      </c>
      <c r="Q822" s="69">
        <f ca="1">SUMIF('CAP29'!$B:$H,Insumo[[#This Row],[DESCRIPCION]],'CAP29'!$H:$H)</f>
        <v>0</v>
      </c>
      <c r="R822" s="136" t="s">
        <v>2622</v>
      </c>
      <c r="T822" s="136">
        <v>6073</v>
      </c>
    </row>
    <row r="823" spans="1:20" ht="12" customHeight="1">
      <c r="A823" s="301" t="s">
        <v>3436</v>
      </c>
      <c r="B823" s="303" t="s">
        <v>30</v>
      </c>
      <c r="C823" s="304">
        <f t="shared" si="12"/>
        <v>4579.05</v>
      </c>
      <c r="D823" s="281" cm="1">
        <f t="array" aca="1" ref="D823" ca="1">IF(Insumo[[#This Row],[VALOR]]=0,Insumo[TOTAL],E823/C823)</f>
        <v>0</v>
      </c>
      <c r="E823" s="69">
        <f ca="1">SUM(Insumo[[#This Row],[CAP1-3]:[CAP29]])</f>
        <v>0</v>
      </c>
      <c r="F823" s="69">
        <f ca="1">SUMIF('CAP1-3'!$B:$H,Insumo[[#This Row],[DESCRIPCION]],'CAP1-3'!$H:$H)</f>
        <v>0</v>
      </c>
      <c r="G823" s="69">
        <f ca="1">SUMIF('CAP4-5'!$B:$H,Insumo[[#This Row],[DESCRIPCION]],'CAP4-5'!$H:$H)</f>
        <v>0</v>
      </c>
      <c r="H823" s="69">
        <f ca="1">SUMIF('CAP6-7'!$B:$H,Insumo[[#This Row],[DESCRIPCION]],'CAP6-7'!$H:$H)</f>
        <v>0</v>
      </c>
      <c r="I823" s="69">
        <f ca="1">SUMIF('CAP8'!$B:$H,Insumo[[#This Row],[DESCRIPCION]],'CAP8'!$H:$H)</f>
        <v>0</v>
      </c>
      <c r="J823" s="69">
        <f ca="1">SUMIF('CAP9-13'!$B:$H,Insumo[[#This Row],[DESCRIPCION]],'CAP9-13'!$H:$H)</f>
        <v>0</v>
      </c>
      <c r="K823" s="69">
        <f ca="1">SUMIF('CAP14-15'!$B:$H,Insumo[[#This Row],[DESCRIPCION]],'CAP14-15'!$H:$H)</f>
        <v>0</v>
      </c>
      <c r="L823" s="69">
        <f ca="1">SUMIF('CAP16-18'!$B:$H,Insumo[[#This Row],[DESCRIPCION]],'CAP16-18'!$H:$H)</f>
        <v>0</v>
      </c>
      <c r="M823" s="69">
        <f ca="1">SUMIF('CAP19-22'!$B:$H,Insumo[[#This Row],[DESCRIPCION]],'CAP19-22'!$H:$H)</f>
        <v>0</v>
      </c>
      <c r="N823" s="69">
        <f ca="1">SUMIF('CAP23-24'!$B:$H,Insumo[[#This Row],[DESCRIPCION]],'CAP23-24'!$H:$H)</f>
        <v>0</v>
      </c>
      <c r="O823" s="69">
        <f ca="1">SUMIF('CAP25'!$B:$H,Insumo[[#This Row],[DESCRIPCION]],'CAP25'!$H:$H)</f>
        <v>0</v>
      </c>
      <c r="P823" s="69">
        <f ca="1">SUMIF('CAP26-28'!$B:$H,Insumo[[#This Row],[DESCRIPCION]],'CAP26-28'!$H:$H)</f>
        <v>0</v>
      </c>
      <c r="Q823" s="69">
        <f ca="1">SUMIF('CAP29'!$B:$H,Insumo[[#This Row],[DESCRIPCION]],'CAP29'!$H:$H)</f>
        <v>0</v>
      </c>
      <c r="T823" s="136">
        <v>4361</v>
      </c>
    </row>
    <row r="824" spans="1:20" ht="12" customHeight="1">
      <c r="A824" s="301" t="s">
        <v>3437</v>
      </c>
      <c r="B824" s="303" t="s">
        <v>30</v>
      </c>
      <c r="C824" s="304">
        <f t="shared" si="12"/>
        <v>3496.5</v>
      </c>
      <c r="D824" s="281" cm="1">
        <f t="array" aca="1" ref="D824" ca="1">IF(Insumo[[#This Row],[VALOR]]=0,Insumo[TOTAL],E824/C824)</f>
        <v>0</v>
      </c>
      <c r="E824" s="69">
        <f ca="1">SUM(Insumo[[#This Row],[CAP1-3]:[CAP29]])</f>
        <v>0</v>
      </c>
      <c r="F824" s="69">
        <f ca="1">SUMIF('CAP1-3'!$B:$H,Insumo[[#This Row],[DESCRIPCION]],'CAP1-3'!$H:$H)</f>
        <v>0</v>
      </c>
      <c r="G824" s="69">
        <f ca="1">SUMIF('CAP4-5'!$B:$H,Insumo[[#This Row],[DESCRIPCION]],'CAP4-5'!$H:$H)</f>
        <v>0</v>
      </c>
      <c r="H824" s="69">
        <f ca="1">SUMIF('CAP6-7'!$B:$H,Insumo[[#This Row],[DESCRIPCION]],'CAP6-7'!$H:$H)</f>
        <v>0</v>
      </c>
      <c r="I824" s="69">
        <f ca="1">SUMIF('CAP8'!$B:$H,Insumo[[#This Row],[DESCRIPCION]],'CAP8'!$H:$H)</f>
        <v>0</v>
      </c>
      <c r="J824" s="69">
        <f ca="1">SUMIF('CAP9-13'!$B:$H,Insumo[[#This Row],[DESCRIPCION]],'CAP9-13'!$H:$H)</f>
        <v>0</v>
      </c>
      <c r="K824" s="69">
        <f ca="1">SUMIF('CAP14-15'!$B:$H,Insumo[[#This Row],[DESCRIPCION]],'CAP14-15'!$H:$H)</f>
        <v>0</v>
      </c>
      <c r="L824" s="69">
        <f ca="1">SUMIF('CAP16-18'!$B:$H,Insumo[[#This Row],[DESCRIPCION]],'CAP16-18'!$H:$H)</f>
        <v>0</v>
      </c>
      <c r="M824" s="69">
        <f ca="1">SUMIF('CAP19-22'!$B:$H,Insumo[[#This Row],[DESCRIPCION]],'CAP19-22'!$H:$H)</f>
        <v>0</v>
      </c>
      <c r="N824" s="69">
        <f ca="1">SUMIF('CAP23-24'!$B:$H,Insumo[[#This Row],[DESCRIPCION]],'CAP23-24'!$H:$H)</f>
        <v>0</v>
      </c>
      <c r="O824" s="69">
        <f ca="1">SUMIF('CAP25'!$B:$H,Insumo[[#This Row],[DESCRIPCION]],'CAP25'!$H:$H)</f>
        <v>0</v>
      </c>
      <c r="P824" s="69">
        <f ca="1">SUMIF('CAP26-28'!$B:$H,Insumo[[#This Row],[DESCRIPCION]],'CAP26-28'!$H:$H)</f>
        <v>0</v>
      </c>
      <c r="Q824" s="69">
        <f ca="1">SUMIF('CAP29'!$B:$H,Insumo[[#This Row],[DESCRIPCION]],'CAP29'!$H:$H)</f>
        <v>0</v>
      </c>
      <c r="R824" s="136" t="s">
        <v>2622</v>
      </c>
      <c r="T824" s="136">
        <v>3330</v>
      </c>
    </row>
    <row r="825" spans="1:20" ht="12" customHeight="1">
      <c r="A825" s="301" t="s">
        <v>3438</v>
      </c>
      <c r="B825" s="303" t="s">
        <v>30</v>
      </c>
      <c r="C825" s="304">
        <f t="shared" si="12"/>
        <v>21315</v>
      </c>
      <c r="D825" s="281" cm="1">
        <f t="array" aca="1" ref="D825" ca="1">IF(Insumo[[#This Row],[VALOR]]=0,Insumo[TOTAL],E825/C825)</f>
        <v>0</v>
      </c>
      <c r="E825" s="69">
        <f ca="1">SUM(Insumo[[#This Row],[CAP1-3]:[CAP29]])</f>
        <v>0</v>
      </c>
      <c r="F825" s="69">
        <f ca="1">SUMIF('CAP1-3'!$B:$H,Insumo[[#This Row],[DESCRIPCION]],'CAP1-3'!$H:$H)</f>
        <v>0</v>
      </c>
      <c r="G825" s="69">
        <f ca="1">SUMIF('CAP4-5'!$B:$H,Insumo[[#This Row],[DESCRIPCION]],'CAP4-5'!$H:$H)</f>
        <v>0</v>
      </c>
      <c r="H825" s="69">
        <f ca="1">SUMIF('CAP6-7'!$B:$H,Insumo[[#This Row],[DESCRIPCION]],'CAP6-7'!$H:$H)</f>
        <v>0</v>
      </c>
      <c r="I825" s="69">
        <f ca="1">SUMIF('CAP8'!$B:$H,Insumo[[#This Row],[DESCRIPCION]],'CAP8'!$H:$H)</f>
        <v>0</v>
      </c>
      <c r="J825" s="69">
        <f ca="1">SUMIF('CAP9-13'!$B:$H,Insumo[[#This Row],[DESCRIPCION]],'CAP9-13'!$H:$H)</f>
        <v>0</v>
      </c>
      <c r="K825" s="69">
        <f ca="1">SUMIF('CAP14-15'!$B:$H,Insumo[[#This Row],[DESCRIPCION]],'CAP14-15'!$H:$H)</f>
        <v>0</v>
      </c>
      <c r="L825" s="69">
        <f ca="1">SUMIF('CAP16-18'!$B:$H,Insumo[[#This Row],[DESCRIPCION]],'CAP16-18'!$H:$H)</f>
        <v>0</v>
      </c>
      <c r="M825" s="69">
        <f ca="1">SUMIF('CAP19-22'!$B:$H,Insumo[[#This Row],[DESCRIPCION]],'CAP19-22'!$H:$H)</f>
        <v>0</v>
      </c>
      <c r="N825" s="69">
        <f ca="1">SUMIF('CAP23-24'!$B:$H,Insumo[[#This Row],[DESCRIPCION]],'CAP23-24'!$H:$H)</f>
        <v>0</v>
      </c>
      <c r="O825" s="69">
        <f ca="1">SUMIF('CAP25'!$B:$H,Insumo[[#This Row],[DESCRIPCION]],'CAP25'!$H:$H)</f>
        <v>0</v>
      </c>
      <c r="P825" s="69">
        <f ca="1">SUMIF('CAP26-28'!$B:$H,Insumo[[#This Row],[DESCRIPCION]],'CAP26-28'!$H:$H)</f>
        <v>0</v>
      </c>
      <c r="Q825" s="69">
        <f ca="1">SUMIF('CAP29'!$B:$H,Insumo[[#This Row],[DESCRIPCION]],'CAP29'!$H:$H)</f>
        <v>0</v>
      </c>
      <c r="T825" s="136">
        <v>20300</v>
      </c>
    </row>
    <row r="826" spans="1:20" ht="12" customHeight="1">
      <c r="A826" s="301" t="s">
        <v>3439</v>
      </c>
      <c r="B826" s="303" t="s">
        <v>30</v>
      </c>
      <c r="C826" s="304">
        <f t="shared" si="12"/>
        <v>4725</v>
      </c>
      <c r="D826" s="281" cm="1">
        <f t="array" aca="1" ref="D826" ca="1">IF(Insumo[[#This Row],[VALOR]]=0,Insumo[TOTAL],E826/C826)</f>
        <v>0</v>
      </c>
      <c r="E826" s="69">
        <f ca="1">SUM(Insumo[[#This Row],[CAP1-3]:[CAP29]])</f>
        <v>0</v>
      </c>
      <c r="F826" s="69">
        <f ca="1">SUMIF('CAP1-3'!$B:$H,Insumo[[#This Row],[DESCRIPCION]],'CAP1-3'!$H:$H)</f>
        <v>0</v>
      </c>
      <c r="G826" s="69">
        <f ca="1">SUMIF('CAP4-5'!$B:$H,Insumo[[#This Row],[DESCRIPCION]],'CAP4-5'!$H:$H)</f>
        <v>0</v>
      </c>
      <c r="H826" s="69">
        <f ca="1">SUMIF('CAP6-7'!$B:$H,Insumo[[#This Row],[DESCRIPCION]],'CAP6-7'!$H:$H)</f>
        <v>0</v>
      </c>
      <c r="I826" s="69">
        <f ca="1">SUMIF('CAP8'!$B:$H,Insumo[[#This Row],[DESCRIPCION]],'CAP8'!$H:$H)</f>
        <v>0</v>
      </c>
      <c r="J826" s="69">
        <f ca="1">SUMIF('CAP9-13'!$B:$H,Insumo[[#This Row],[DESCRIPCION]],'CAP9-13'!$H:$H)</f>
        <v>0</v>
      </c>
      <c r="K826" s="69">
        <f ca="1">SUMIF('CAP14-15'!$B:$H,Insumo[[#This Row],[DESCRIPCION]],'CAP14-15'!$H:$H)</f>
        <v>0</v>
      </c>
      <c r="L826" s="69">
        <f ca="1">SUMIF('CAP16-18'!$B:$H,Insumo[[#This Row],[DESCRIPCION]],'CAP16-18'!$H:$H)</f>
        <v>0</v>
      </c>
      <c r="M826" s="69">
        <f ca="1">SUMIF('CAP19-22'!$B:$H,Insumo[[#This Row],[DESCRIPCION]],'CAP19-22'!$H:$H)</f>
        <v>0</v>
      </c>
      <c r="N826" s="69">
        <f ca="1">SUMIF('CAP23-24'!$B:$H,Insumo[[#This Row],[DESCRIPCION]],'CAP23-24'!$H:$H)</f>
        <v>0</v>
      </c>
      <c r="O826" s="69">
        <f ca="1">SUMIF('CAP25'!$B:$H,Insumo[[#This Row],[DESCRIPCION]],'CAP25'!$H:$H)</f>
        <v>0</v>
      </c>
      <c r="P826" s="69">
        <f ca="1">SUMIF('CAP26-28'!$B:$H,Insumo[[#This Row],[DESCRIPCION]],'CAP26-28'!$H:$H)</f>
        <v>0</v>
      </c>
      <c r="Q826" s="69">
        <f ca="1">SUMIF('CAP29'!$B:$H,Insumo[[#This Row],[DESCRIPCION]],'CAP29'!$H:$H)</f>
        <v>0</v>
      </c>
      <c r="R826" s="136" t="s">
        <v>2622</v>
      </c>
      <c r="T826" s="136">
        <v>4500</v>
      </c>
    </row>
    <row r="827" spans="1:20" ht="12" customHeight="1">
      <c r="A827" s="301" t="s">
        <v>3440</v>
      </c>
      <c r="B827" s="303" t="s">
        <v>30</v>
      </c>
      <c r="C827" s="304">
        <f t="shared" si="12"/>
        <v>8400</v>
      </c>
      <c r="D827" s="281" cm="1">
        <f t="array" aca="1" ref="D827" ca="1">IF(Insumo[[#This Row],[VALOR]]=0,Insumo[TOTAL],E827/C827)</f>
        <v>0</v>
      </c>
      <c r="E827" s="69">
        <f ca="1">SUM(Insumo[[#This Row],[CAP1-3]:[CAP29]])</f>
        <v>0</v>
      </c>
      <c r="F827" s="69">
        <f ca="1">SUMIF('CAP1-3'!$B:$H,Insumo[[#This Row],[DESCRIPCION]],'CAP1-3'!$H:$H)</f>
        <v>0</v>
      </c>
      <c r="G827" s="69">
        <f ca="1">SUMIF('CAP4-5'!$B:$H,Insumo[[#This Row],[DESCRIPCION]],'CAP4-5'!$H:$H)</f>
        <v>0</v>
      </c>
      <c r="H827" s="69">
        <f ca="1">SUMIF('CAP6-7'!$B:$H,Insumo[[#This Row],[DESCRIPCION]],'CAP6-7'!$H:$H)</f>
        <v>0</v>
      </c>
      <c r="I827" s="69">
        <f ca="1">SUMIF('CAP8'!$B:$H,Insumo[[#This Row],[DESCRIPCION]],'CAP8'!$H:$H)</f>
        <v>0</v>
      </c>
      <c r="J827" s="69">
        <f ca="1">SUMIF('CAP9-13'!$B:$H,Insumo[[#This Row],[DESCRIPCION]],'CAP9-13'!$H:$H)</f>
        <v>0</v>
      </c>
      <c r="K827" s="69">
        <f ca="1">SUMIF('CAP14-15'!$B:$H,Insumo[[#This Row],[DESCRIPCION]],'CAP14-15'!$H:$H)</f>
        <v>0</v>
      </c>
      <c r="L827" s="69">
        <f ca="1">SUMIF('CAP16-18'!$B:$H,Insumo[[#This Row],[DESCRIPCION]],'CAP16-18'!$H:$H)</f>
        <v>0</v>
      </c>
      <c r="M827" s="69">
        <f ca="1">SUMIF('CAP19-22'!$B:$H,Insumo[[#This Row],[DESCRIPCION]],'CAP19-22'!$H:$H)</f>
        <v>0</v>
      </c>
      <c r="N827" s="69">
        <f ca="1">SUMIF('CAP23-24'!$B:$H,Insumo[[#This Row],[DESCRIPCION]],'CAP23-24'!$H:$H)</f>
        <v>0</v>
      </c>
      <c r="O827" s="69">
        <f ca="1">SUMIF('CAP25'!$B:$H,Insumo[[#This Row],[DESCRIPCION]],'CAP25'!$H:$H)</f>
        <v>0</v>
      </c>
      <c r="P827" s="69">
        <f ca="1">SUMIF('CAP26-28'!$B:$H,Insumo[[#This Row],[DESCRIPCION]],'CAP26-28'!$H:$H)</f>
        <v>0</v>
      </c>
      <c r="Q827" s="69">
        <f ca="1">SUMIF('CAP29'!$B:$H,Insumo[[#This Row],[DESCRIPCION]],'CAP29'!$H:$H)</f>
        <v>0</v>
      </c>
      <c r="R827" s="136" t="s">
        <v>2622</v>
      </c>
      <c r="T827" s="136">
        <v>8000</v>
      </c>
    </row>
    <row r="828" spans="1:20" ht="12" customHeight="1">
      <c r="A828" s="301" t="s">
        <v>3441</v>
      </c>
      <c r="B828" s="303" t="s">
        <v>30</v>
      </c>
      <c r="C828" s="304">
        <f t="shared" si="12"/>
        <v>24205.474999999999</v>
      </c>
      <c r="D828" s="281" cm="1">
        <f t="array" aca="1" ref="D828" ca="1">IF(Insumo[[#This Row],[VALOR]]=0,Insumo[TOTAL],E828/C828)</f>
        <v>0</v>
      </c>
      <c r="E828" s="69">
        <f ca="1">SUM(Insumo[[#This Row],[CAP1-3]:[CAP29]])</f>
        <v>0</v>
      </c>
      <c r="F828" s="69">
        <f ca="1">SUMIF('CAP1-3'!$B:$H,Insumo[[#This Row],[DESCRIPCION]],'CAP1-3'!$H:$H)</f>
        <v>0</v>
      </c>
      <c r="G828" s="69">
        <f ca="1">SUMIF('CAP4-5'!$B:$H,Insumo[[#This Row],[DESCRIPCION]],'CAP4-5'!$H:$H)</f>
        <v>0</v>
      </c>
      <c r="H828" s="69">
        <f ca="1">SUMIF('CAP6-7'!$B:$H,Insumo[[#This Row],[DESCRIPCION]],'CAP6-7'!$H:$H)</f>
        <v>0</v>
      </c>
      <c r="I828" s="69">
        <f ca="1">SUMIF('CAP8'!$B:$H,Insumo[[#This Row],[DESCRIPCION]],'CAP8'!$H:$H)</f>
        <v>0</v>
      </c>
      <c r="J828" s="69">
        <f ca="1">SUMIF('CAP9-13'!$B:$H,Insumo[[#This Row],[DESCRIPCION]],'CAP9-13'!$H:$H)</f>
        <v>0</v>
      </c>
      <c r="K828" s="69">
        <f ca="1">SUMIF('CAP14-15'!$B:$H,Insumo[[#This Row],[DESCRIPCION]],'CAP14-15'!$H:$H)</f>
        <v>0</v>
      </c>
      <c r="L828" s="69">
        <f ca="1">SUMIF('CAP16-18'!$B:$H,Insumo[[#This Row],[DESCRIPCION]],'CAP16-18'!$H:$H)</f>
        <v>0</v>
      </c>
      <c r="M828" s="69">
        <f ca="1">SUMIF('CAP19-22'!$B:$H,Insumo[[#This Row],[DESCRIPCION]],'CAP19-22'!$H:$H)</f>
        <v>0</v>
      </c>
      <c r="N828" s="69">
        <f ca="1">SUMIF('CAP23-24'!$B:$H,Insumo[[#This Row],[DESCRIPCION]],'CAP23-24'!$H:$H)</f>
        <v>0</v>
      </c>
      <c r="O828" s="69">
        <f ca="1">SUMIF('CAP25'!$B:$H,Insumo[[#This Row],[DESCRIPCION]],'CAP25'!$H:$H)</f>
        <v>0</v>
      </c>
      <c r="P828" s="69">
        <f ca="1">SUMIF('CAP26-28'!$B:$H,Insumo[[#This Row],[DESCRIPCION]],'CAP26-28'!$H:$H)</f>
        <v>0</v>
      </c>
      <c r="Q828" s="69">
        <f ca="1">SUMIF('CAP29'!$B:$H,Insumo[[#This Row],[DESCRIPCION]],'CAP29'!$H:$H)</f>
        <v>0</v>
      </c>
      <c r="T828" s="136">
        <v>23052.833333333332</v>
      </c>
    </row>
    <row r="829" spans="1:20" ht="12" customHeight="1">
      <c r="A829" s="301" t="s">
        <v>3442</v>
      </c>
      <c r="B829" s="303" t="s">
        <v>30</v>
      </c>
      <c r="C829" s="304">
        <f t="shared" si="12"/>
        <v>15480.675000000001</v>
      </c>
      <c r="D829" s="281" cm="1">
        <f t="array" aca="1" ref="D829" ca="1">IF(Insumo[[#This Row],[VALOR]]=0,Insumo[TOTAL],E829/C829)</f>
        <v>0</v>
      </c>
      <c r="E829" s="69">
        <f ca="1">SUM(Insumo[[#This Row],[CAP1-3]:[CAP29]])</f>
        <v>0</v>
      </c>
      <c r="F829" s="69">
        <f ca="1">SUMIF('CAP1-3'!$B:$H,Insumo[[#This Row],[DESCRIPCION]],'CAP1-3'!$H:$H)</f>
        <v>0</v>
      </c>
      <c r="G829" s="69">
        <f ca="1">SUMIF('CAP4-5'!$B:$H,Insumo[[#This Row],[DESCRIPCION]],'CAP4-5'!$H:$H)</f>
        <v>0</v>
      </c>
      <c r="H829" s="69">
        <f ca="1">SUMIF('CAP6-7'!$B:$H,Insumo[[#This Row],[DESCRIPCION]],'CAP6-7'!$H:$H)</f>
        <v>0</v>
      </c>
      <c r="I829" s="69">
        <f ca="1">SUMIF('CAP8'!$B:$H,Insumo[[#This Row],[DESCRIPCION]],'CAP8'!$H:$H)</f>
        <v>0</v>
      </c>
      <c r="J829" s="69">
        <f ca="1">SUMIF('CAP9-13'!$B:$H,Insumo[[#This Row],[DESCRIPCION]],'CAP9-13'!$H:$H)</f>
        <v>0</v>
      </c>
      <c r="K829" s="69">
        <f ca="1">SUMIF('CAP14-15'!$B:$H,Insumo[[#This Row],[DESCRIPCION]],'CAP14-15'!$H:$H)</f>
        <v>0</v>
      </c>
      <c r="L829" s="69">
        <f ca="1">SUMIF('CAP16-18'!$B:$H,Insumo[[#This Row],[DESCRIPCION]],'CAP16-18'!$H:$H)</f>
        <v>0</v>
      </c>
      <c r="M829" s="69">
        <f ca="1">SUMIF('CAP19-22'!$B:$H,Insumo[[#This Row],[DESCRIPCION]],'CAP19-22'!$H:$H)</f>
        <v>0</v>
      </c>
      <c r="N829" s="69">
        <f ca="1">SUMIF('CAP23-24'!$B:$H,Insumo[[#This Row],[DESCRIPCION]],'CAP23-24'!$H:$H)</f>
        <v>0</v>
      </c>
      <c r="O829" s="69">
        <f ca="1">SUMIF('CAP25'!$B:$H,Insumo[[#This Row],[DESCRIPCION]],'CAP25'!$H:$H)</f>
        <v>0</v>
      </c>
      <c r="P829" s="69">
        <f ca="1">SUMIF('CAP26-28'!$B:$H,Insumo[[#This Row],[DESCRIPCION]],'CAP26-28'!$H:$H)</f>
        <v>0</v>
      </c>
      <c r="Q829" s="69">
        <f ca="1">SUMIF('CAP29'!$B:$H,Insumo[[#This Row],[DESCRIPCION]],'CAP29'!$H:$H)</f>
        <v>0</v>
      </c>
      <c r="T829" s="136">
        <v>14743.5</v>
      </c>
    </row>
    <row r="830" spans="1:20" ht="12.75" customHeight="1">
      <c r="A830" s="301" t="s">
        <v>3443</v>
      </c>
      <c r="B830" s="303" t="s">
        <v>30</v>
      </c>
      <c r="C830" s="304">
        <f t="shared" si="12"/>
        <v>23287.424999999999</v>
      </c>
      <c r="D830" s="281" cm="1">
        <f t="array" aca="1" ref="D830" ca="1">IF(Insumo[[#This Row],[VALOR]]=0,Insumo[TOTAL],E830/C830)</f>
        <v>0</v>
      </c>
      <c r="E830" s="69">
        <f ca="1">SUM(Insumo[[#This Row],[CAP1-3]:[CAP29]])</f>
        <v>0</v>
      </c>
      <c r="F830" s="69">
        <f ca="1">SUMIF('CAP1-3'!$B:$H,Insumo[[#This Row],[DESCRIPCION]],'CAP1-3'!$H:$H)</f>
        <v>0</v>
      </c>
      <c r="G830" s="69">
        <f ca="1">SUMIF('CAP4-5'!$B:$H,Insumo[[#This Row],[DESCRIPCION]],'CAP4-5'!$H:$H)</f>
        <v>0</v>
      </c>
      <c r="H830" s="69">
        <f ca="1">SUMIF('CAP6-7'!$B:$H,Insumo[[#This Row],[DESCRIPCION]],'CAP6-7'!$H:$H)</f>
        <v>0</v>
      </c>
      <c r="I830" s="69">
        <f ca="1">SUMIF('CAP8'!$B:$H,Insumo[[#This Row],[DESCRIPCION]],'CAP8'!$H:$H)</f>
        <v>0</v>
      </c>
      <c r="J830" s="69">
        <f ca="1">SUMIF('CAP9-13'!$B:$H,Insumo[[#This Row],[DESCRIPCION]],'CAP9-13'!$H:$H)</f>
        <v>0</v>
      </c>
      <c r="K830" s="69">
        <f ca="1">SUMIF('CAP14-15'!$B:$H,Insumo[[#This Row],[DESCRIPCION]],'CAP14-15'!$H:$H)</f>
        <v>0</v>
      </c>
      <c r="L830" s="69">
        <f ca="1">SUMIF('CAP16-18'!$B:$H,Insumo[[#This Row],[DESCRIPCION]],'CAP16-18'!$H:$H)</f>
        <v>0</v>
      </c>
      <c r="M830" s="69">
        <f ca="1">SUMIF('CAP19-22'!$B:$H,Insumo[[#This Row],[DESCRIPCION]],'CAP19-22'!$H:$H)</f>
        <v>0</v>
      </c>
      <c r="N830" s="69">
        <f ca="1">SUMIF('CAP23-24'!$B:$H,Insumo[[#This Row],[DESCRIPCION]],'CAP23-24'!$H:$H)</f>
        <v>0</v>
      </c>
      <c r="O830" s="69">
        <f ca="1">SUMIF('CAP25'!$B:$H,Insumo[[#This Row],[DESCRIPCION]],'CAP25'!$H:$H)</f>
        <v>0</v>
      </c>
      <c r="P830" s="69">
        <f ca="1">SUMIF('CAP26-28'!$B:$H,Insumo[[#This Row],[DESCRIPCION]],'CAP26-28'!$H:$H)</f>
        <v>0</v>
      </c>
      <c r="Q830" s="69">
        <f ca="1">SUMIF('CAP29'!$B:$H,Insumo[[#This Row],[DESCRIPCION]],'CAP29'!$H:$H)</f>
        <v>0</v>
      </c>
      <c r="R830" s="136" t="s">
        <v>3444</v>
      </c>
      <c r="T830" s="136">
        <v>22178.5</v>
      </c>
    </row>
    <row r="831" spans="1:20" ht="12" customHeight="1">
      <c r="A831" s="301" t="s">
        <v>3445</v>
      </c>
      <c r="B831" s="303" t="s">
        <v>30</v>
      </c>
      <c r="C831" s="304">
        <f t="shared" si="12"/>
        <v>20257.474999999999</v>
      </c>
      <c r="D831" s="281" cm="1">
        <f t="array" aca="1" ref="D831" ca="1">IF(Insumo[[#This Row],[VALOR]]=0,Insumo[TOTAL],E831/C831)</f>
        <v>0</v>
      </c>
      <c r="E831" s="69">
        <f ca="1">SUM(Insumo[[#This Row],[CAP1-3]:[CAP29]])</f>
        <v>0</v>
      </c>
      <c r="F831" s="69">
        <f ca="1">SUMIF('CAP1-3'!$B:$H,Insumo[[#This Row],[DESCRIPCION]],'CAP1-3'!$H:$H)</f>
        <v>0</v>
      </c>
      <c r="G831" s="69">
        <f ca="1">SUMIF('CAP4-5'!$B:$H,Insumo[[#This Row],[DESCRIPCION]],'CAP4-5'!$H:$H)</f>
        <v>0</v>
      </c>
      <c r="H831" s="69">
        <f ca="1">SUMIF('CAP6-7'!$B:$H,Insumo[[#This Row],[DESCRIPCION]],'CAP6-7'!$H:$H)</f>
        <v>0</v>
      </c>
      <c r="I831" s="69">
        <f ca="1">SUMIF('CAP8'!$B:$H,Insumo[[#This Row],[DESCRIPCION]],'CAP8'!$H:$H)</f>
        <v>0</v>
      </c>
      <c r="J831" s="69">
        <f ca="1">SUMIF('CAP9-13'!$B:$H,Insumo[[#This Row],[DESCRIPCION]],'CAP9-13'!$H:$H)</f>
        <v>0</v>
      </c>
      <c r="K831" s="69">
        <f ca="1">SUMIF('CAP14-15'!$B:$H,Insumo[[#This Row],[DESCRIPCION]],'CAP14-15'!$H:$H)</f>
        <v>0</v>
      </c>
      <c r="L831" s="69">
        <f ca="1">SUMIF('CAP16-18'!$B:$H,Insumo[[#This Row],[DESCRIPCION]],'CAP16-18'!$H:$H)</f>
        <v>0</v>
      </c>
      <c r="M831" s="69">
        <f ca="1">SUMIF('CAP19-22'!$B:$H,Insumo[[#This Row],[DESCRIPCION]],'CAP19-22'!$H:$H)</f>
        <v>0</v>
      </c>
      <c r="N831" s="69">
        <f ca="1">SUMIF('CAP23-24'!$B:$H,Insumo[[#This Row],[DESCRIPCION]],'CAP23-24'!$H:$H)</f>
        <v>0</v>
      </c>
      <c r="O831" s="69">
        <f ca="1">SUMIF('CAP25'!$B:$H,Insumo[[#This Row],[DESCRIPCION]],'CAP25'!$H:$H)</f>
        <v>0</v>
      </c>
      <c r="P831" s="69">
        <f ca="1">SUMIF('CAP26-28'!$B:$H,Insumo[[#This Row],[DESCRIPCION]],'CAP26-28'!$H:$H)</f>
        <v>0</v>
      </c>
      <c r="Q831" s="69">
        <f ca="1">SUMIF('CAP29'!$B:$H,Insumo[[#This Row],[DESCRIPCION]],'CAP29'!$H:$H)</f>
        <v>0</v>
      </c>
      <c r="R831" s="136" t="s">
        <v>3444</v>
      </c>
      <c r="T831" s="136">
        <v>19292.833333333332</v>
      </c>
    </row>
    <row r="832" spans="1:20" ht="12" customHeight="1">
      <c r="A832" s="301" t="s">
        <v>3446</v>
      </c>
      <c r="B832" s="303" t="s">
        <v>30</v>
      </c>
      <c r="C832" s="304">
        <f t="shared" si="12"/>
        <v>15568</v>
      </c>
      <c r="D832" s="281" cm="1">
        <f t="array" aca="1" ref="D832" ca="1">IF(Insumo[[#This Row],[VALOR]]=0,Insumo[TOTAL],E832/C832)</f>
        <v>0</v>
      </c>
      <c r="E832" s="69">
        <f ca="1">SUM(Insumo[[#This Row],[CAP1-3]:[CAP29]])</f>
        <v>0</v>
      </c>
      <c r="F832" s="69">
        <f ca="1">SUMIF('CAP1-3'!$B:$H,Insumo[[#This Row],[DESCRIPCION]],'CAP1-3'!$H:$H)</f>
        <v>0</v>
      </c>
      <c r="G832" s="69">
        <f ca="1">SUMIF('CAP4-5'!$B:$H,Insumo[[#This Row],[DESCRIPCION]],'CAP4-5'!$H:$H)</f>
        <v>0</v>
      </c>
      <c r="H832" s="69">
        <f ca="1">SUMIF('CAP6-7'!$B:$H,Insumo[[#This Row],[DESCRIPCION]],'CAP6-7'!$H:$H)</f>
        <v>0</v>
      </c>
      <c r="I832" s="69">
        <f ca="1">SUMIF('CAP8'!$B:$H,Insumo[[#This Row],[DESCRIPCION]],'CAP8'!$H:$H)</f>
        <v>0</v>
      </c>
      <c r="J832" s="69">
        <f ca="1">SUMIF('CAP9-13'!$B:$H,Insumo[[#This Row],[DESCRIPCION]],'CAP9-13'!$H:$H)</f>
        <v>0</v>
      </c>
      <c r="K832" s="69">
        <f ca="1">SUMIF('CAP14-15'!$B:$H,Insumo[[#This Row],[DESCRIPCION]],'CAP14-15'!$H:$H)</f>
        <v>0</v>
      </c>
      <c r="L832" s="69">
        <f ca="1">SUMIF('CAP16-18'!$B:$H,Insumo[[#This Row],[DESCRIPCION]],'CAP16-18'!$H:$H)</f>
        <v>0</v>
      </c>
      <c r="M832" s="69">
        <f ca="1">SUMIF('CAP19-22'!$B:$H,Insumo[[#This Row],[DESCRIPCION]],'CAP19-22'!$H:$H)</f>
        <v>0</v>
      </c>
      <c r="N832" s="69">
        <f ca="1">SUMIF('CAP23-24'!$B:$H,Insumo[[#This Row],[DESCRIPCION]],'CAP23-24'!$H:$H)</f>
        <v>0</v>
      </c>
      <c r="O832" s="69">
        <f ca="1">SUMIF('CAP25'!$B:$H,Insumo[[#This Row],[DESCRIPCION]],'CAP25'!$H:$H)</f>
        <v>0</v>
      </c>
      <c r="P832" s="69">
        <f ca="1">SUMIF('CAP26-28'!$B:$H,Insumo[[#This Row],[DESCRIPCION]],'CAP26-28'!$H:$H)</f>
        <v>0</v>
      </c>
      <c r="Q832" s="69">
        <f ca="1">SUMIF('CAP29'!$B:$H,Insumo[[#This Row],[DESCRIPCION]],'CAP29'!$H:$H)</f>
        <v>0</v>
      </c>
      <c r="R832" s="136" t="s">
        <v>3444</v>
      </c>
      <c r="T832" s="136">
        <v>14826.666666666666</v>
      </c>
    </row>
    <row r="833" spans="1:20" ht="12" customHeight="1">
      <c r="A833" s="301" t="s">
        <v>3447</v>
      </c>
      <c r="B833" s="303" t="s">
        <v>30</v>
      </c>
      <c r="C833" s="304">
        <f t="shared" si="12"/>
        <v>11119.85</v>
      </c>
      <c r="D833" s="281" cm="1">
        <f t="array" aca="1" ref="D833" ca="1">IF(Insumo[[#This Row],[VALOR]]=0,Insumo[TOTAL],E833/C833)</f>
        <v>0</v>
      </c>
      <c r="E833" s="69">
        <f ca="1">SUM(Insumo[[#This Row],[CAP1-3]:[CAP29]])</f>
        <v>0</v>
      </c>
      <c r="F833" s="69">
        <f ca="1">SUMIF('CAP1-3'!$B:$H,Insumo[[#This Row],[DESCRIPCION]],'CAP1-3'!$H:$H)</f>
        <v>0</v>
      </c>
      <c r="G833" s="69">
        <f ca="1">SUMIF('CAP4-5'!$B:$H,Insumo[[#This Row],[DESCRIPCION]],'CAP4-5'!$H:$H)</f>
        <v>0</v>
      </c>
      <c r="H833" s="69">
        <f ca="1">SUMIF('CAP6-7'!$B:$H,Insumo[[#This Row],[DESCRIPCION]],'CAP6-7'!$H:$H)</f>
        <v>0</v>
      </c>
      <c r="I833" s="69">
        <f ca="1">SUMIF('CAP8'!$B:$H,Insumo[[#This Row],[DESCRIPCION]],'CAP8'!$H:$H)</f>
        <v>0</v>
      </c>
      <c r="J833" s="69">
        <f ca="1">SUMIF('CAP9-13'!$B:$H,Insumo[[#This Row],[DESCRIPCION]],'CAP9-13'!$H:$H)</f>
        <v>0</v>
      </c>
      <c r="K833" s="69">
        <f ca="1">SUMIF('CAP14-15'!$B:$H,Insumo[[#This Row],[DESCRIPCION]],'CAP14-15'!$H:$H)</f>
        <v>0</v>
      </c>
      <c r="L833" s="69">
        <f ca="1">SUMIF('CAP16-18'!$B:$H,Insumo[[#This Row],[DESCRIPCION]],'CAP16-18'!$H:$H)</f>
        <v>0</v>
      </c>
      <c r="M833" s="69">
        <f ca="1">SUMIF('CAP19-22'!$B:$H,Insumo[[#This Row],[DESCRIPCION]],'CAP19-22'!$H:$H)</f>
        <v>0</v>
      </c>
      <c r="N833" s="69">
        <f ca="1">SUMIF('CAP23-24'!$B:$H,Insumo[[#This Row],[DESCRIPCION]],'CAP23-24'!$H:$H)</f>
        <v>0</v>
      </c>
      <c r="O833" s="69">
        <f ca="1">SUMIF('CAP25'!$B:$H,Insumo[[#This Row],[DESCRIPCION]],'CAP25'!$H:$H)</f>
        <v>0</v>
      </c>
      <c r="P833" s="69">
        <f ca="1">SUMIF('CAP26-28'!$B:$H,Insumo[[#This Row],[DESCRIPCION]],'CAP26-28'!$H:$H)</f>
        <v>0</v>
      </c>
      <c r="Q833" s="69">
        <f ca="1">SUMIF('CAP29'!$B:$H,Insumo[[#This Row],[DESCRIPCION]],'CAP29'!$H:$H)</f>
        <v>0</v>
      </c>
      <c r="R833" s="136" t="s">
        <v>3444</v>
      </c>
      <c r="T833" s="136">
        <v>10590.333333333334</v>
      </c>
    </row>
    <row r="834" spans="1:20" ht="12" customHeight="1">
      <c r="A834" s="301" t="s">
        <v>3448</v>
      </c>
      <c r="B834" s="303" t="s">
        <v>30</v>
      </c>
      <c r="C834" s="304">
        <f t="shared" si="12"/>
        <v>39741.625</v>
      </c>
      <c r="D834" s="281" cm="1">
        <f t="array" aca="1" ref="D834" ca="1">IF(Insumo[[#This Row],[VALOR]]=0,Insumo[TOTAL],E834/C834)</f>
        <v>0</v>
      </c>
      <c r="E834" s="69">
        <f ca="1">SUM(Insumo[[#This Row],[CAP1-3]:[CAP29]])</f>
        <v>0</v>
      </c>
      <c r="F834" s="69">
        <f ca="1">SUMIF('CAP1-3'!$B:$H,Insumo[[#This Row],[DESCRIPCION]],'CAP1-3'!$H:$H)</f>
        <v>0</v>
      </c>
      <c r="G834" s="69">
        <f ca="1">SUMIF('CAP4-5'!$B:$H,Insumo[[#This Row],[DESCRIPCION]],'CAP4-5'!$H:$H)</f>
        <v>0</v>
      </c>
      <c r="H834" s="69">
        <f ca="1">SUMIF('CAP6-7'!$B:$H,Insumo[[#This Row],[DESCRIPCION]],'CAP6-7'!$H:$H)</f>
        <v>0</v>
      </c>
      <c r="I834" s="69">
        <f ca="1">SUMIF('CAP8'!$B:$H,Insumo[[#This Row],[DESCRIPCION]],'CAP8'!$H:$H)</f>
        <v>0</v>
      </c>
      <c r="J834" s="69">
        <f ca="1">SUMIF('CAP9-13'!$B:$H,Insumo[[#This Row],[DESCRIPCION]],'CAP9-13'!$H:$H)</f>
        <v>0</v>
      </c>
      <c r="K834" s="69">
        <f ca="1">SUMIF('CAP14-15'!$B:$H,Insumo[[#This Row],[DESCRIPCION]],'CAP14-15'!$H:$H)</f>
        <v>0</v>
      </c>
      <c r="L834" s="69">
        <f ca="1">SUMIF('CAP16-18'!$B:$H,Insumo[[#This Row],[DESCRIPCION]],'CAP16-18'!$H:$H)</f>
        <v>0</v>
      </c>
      <c r="M834" s="69">
        <f ca="1">SUMIF('CAP19-22'!$B:$H,Insumo[[#This Row],[DESCRIPCION]],'CAP19-22'!$H:$H)</f>
        <v>0</v>
      </c>
      <c r="N834" s="69">
        <f ca="1">SUMIF('CAP23-24'!$B:$H,Insumo[[#This Row],[DESCRIPCION]],'CAP23-24'!$H:$H)</f>
        <v>0</v>
      </c>
      <c r="O834" s="69">
        <f ca="1">SUMIF('CAP25'!$B:$H,Insumo[[#This Row],[DESCRIPCION]],'CAP25'!$H:$H)</f>
        <v>0</v>
      </c>
      <c r="P834" s="69">
        <f ca="1">SUMIF('CAP26-28'!$B:$H,Insumo[[#This Row],[DESCRIPCION]],'CAP26-28'!$H:$H)</f>
        <v>0</v>
      </c>
      <c r="Q834" s="69">
        <f ca="1">SUMIF('CAP29'!$B:$H,Insumo[[#This Row],[DESCRIPCION]],'CAP29'!$H:$H)</f>
        <v>0</v>
      </c>
      <c r="R834" s="136" t="s">
        <v>3444</v>
      </c>
      <c r="T834" s="136">
        <v>37849.166666666664</v>
      </c>
    </row>
    <row r="835" spans="1:20" ht="12" customHeight="1">
      <c r="A835" s="301" t="s">
        <v>3449</v>
      </c>
      <c r="B835" s="303" t="s">
        <v>30</v>
      </c>
      <c r="C835" s="304">
        <f t="shared" si="12"/>
        <v>21998.025000000001</v>
      </c>
      <c r="D835" s="281" cm="1">
        <f t="array" aca="1" ref="D835" ca="1">IF(Insumo[[#This Row],[VALOR]]=0,Insumo[TOTAL],E835/C835)</f>
        <v>0</v>
      </c>
      <c r="E835" s="69">
        <f ca="1">SUM(Insumo[[#This Row],[CAP1-3]:[CAP29]])</f>
        <v>0</v>
      </c>
      <c r="F835" s="69">
        <f ca="1">SUMIF('CAP1-3'!$B:$H,Insumo[[#This Row],[DESCRIPCION]],'CAP1-3'!$H:$H)</f>
        <v>0</v>
      </c>
      <c r="G835" s="69">
        <f ca="1">SUMIF('CAP4-5'!$B:$H,Insumo[[#This Row],[DESCRIPCION]],'CAP4-5'!$H:$H)</f>
        <v>0</v>
      </c>
      <c r="H835" s="69">
        <f ca="1">SUMIF('CAP6-7'!$B:$H,Insumo[[#This Row],[DESCRIPCION]],'CAP6-7'!$H:$H)</f>
        <v>0</v>
      </c>
      <c r="I835" s="69">
        <f ca="1">SUMIF('CAP8'!$B:$H,Insumo[[#This Row],[DESCRIPCION]],'CAP8'!$H:$H)</f>
        <v>0</v>
      </c>
      <c r="J835" s="69">
        <f ca="1">SUMIF('CAP9-13'!$B:$H,Insumo[[#This Row],[DESCRIPCION]],'CAP9-13'!$H:$H)</f>
        <v>0</v>
      </c>
      <c r="K835" s="69">
        <f ca="1">SUMIF('CAP14-15'!$B:$H,Insumo[[#This Row],[DESCRIPCION]],'CAP14-15'!$H:$H)</f>
        <v>0</v>
      </c>
      <c r="L835" s="69">
        <f ca="1">SUMIF('CAP16-18'!$B:$H,Insumo[[#This Row],[DESCRIPCION]],'CAP16-18'!$H:$H)</f>
        <v>0</v>
      </c>
      <c r="M835" s="69">
        <f ca="1">SUMIF('CAP19-22'!$B:$H,Insumo[[#This Row],[DESCRIPCION]],'CAP19-22'!$H:$H)</f>
        <v>0</v>
      </c>
      <c r="N835" s="69">
        <f ca="1">SUMIF('CAP23-24'!$B:$H,Insumo[[#This Row],[DESCRIPCION]],'CAP23-24'!$H:$H)</f>
        <v>0</v>
      </c>
      <c r="O835" s="69">
        <f ca="1">SUMIF('CAP25'!$B:$H,Insumo[[#This Row],[DESCRIPCION]],'CAP25'!$H:$H)</f>
        <v>0</v>
      </c>
      <c r="P835" s="69">
        <f ca="1">SUMIF('CAP26-28'!$B:$H,Insumo[[#This Row],[DESCRIPCION]],'CAP26-28'!$H:$H)</f>
        <v>0</v>
      </c>
      <c r="Q835" s="69">
        <f ca="1">SUMIF('CAP29'!$B:$H,Insumo[[#This Row],[DESCRIPCION]],'CAP29'!$H:$H)</f>
        <v>0</v>
      </c>
      <c r="R835" s="136" t="s">
        <v>3444</v>
      </c>
      <c r="T835" s="136">
        <v>20950.5</v>
      </c>
    </row>
    <row r="836" spans="1:20" ht="12" customHeight="1">
      <c r="A836" s="301" t="s">
        <v>3450</v>
      </c>
      <c r="B836" s="303" t="s">
        <v>30</v>
      </c>
      <c r="C836" s="304">
        <f t="shared" si="12"/>
        <v>67911.725000000006</v>
      </c>
      <c r="D836" s="281" cm="1">
        <f t="array" aca="1" ref="D836" ca="1">IF(Insumo[[#This Row],[VALOR]]=0,Insumo[TOTAL],E836/C836)</f>
        <v>0</v>
      </c>
      <c r="E836" s="69">
        <f ca="1">SUM(Insumo[[#This Row],[CAP1-3]:[CAP29]])</f>
        <v>0</v>
      </c>
      <c r="F836" s="69">
        <f ca="1">SUMIF('CAP1-3'!$B:$H,Insumo[[#This Row],[DESCRIPCION]],'CAP1-3'!$H:$H)</f>
        <v>0</v>
      </c>
      <c r="G836" s="69">
        <f ca="1">SUMIF('CAP4-5'!$B:$H,Insumo[[#This Row],[DESCRIPCION]],'CAP4-5'!$H:$H)</f>
        <v>0</v>
      </c>
      <c r="H836" s="69">
        <f ca="1">SUMIF('CAP6-7'!$B:$H,Insumo[[#This Row],[DESCRIPCION]],'CAP6-7'!$H:$H)</f>
        <v>0</v>
      </c>
      <c r="I836" s="69">
        <f ca="1">SUMIF('CAP8'!$B:$H,Insumo[[#This Row],[DESCRIPCION]],'CAP8'!$H:$H)</f>
        <v>0</v>
      </c>
      <c r="J836" s="69">
        <f ca="1">SUMIF('CAP9-13'!$B:$H,Insumo[[#This Row],[DESCRIPCION]],'CAP9-13'!$H:$H)</f>
        <v>0</v>
      </c>
      <c r="K836" s="69">
        <f ca="1">SUMIF('CAP14-15'!$B:$H,Insumo[[#This Row],[DESCRIPCION]],'CAP14-15'!$H:$H)</f>
        <v>0</v>
      </c>
      <c r="L836" s="69">
        <f ca="1">SUMIF('CAP16-18'!$B:$H,Insumo[[#This Row],[DESCRIPCION]],'CAP16-18'!$H:$H)</f>
        <v>0</v>
      </c>
      <c r="M836" s="69">
        <f ca="1">SUMIF('CAP19-22'!$B:$H,Insumo[[#This Row],[DESCRIPCION]],'CAP19-22'!$H:$H)</f>
        <v>0</v>
      </c>
      <c r="N836" s="69">
        <f ca="1">SUMIF('CAP23-24'!$B:$H,Insumo[[#This Row],[DESCRIPCION]],'CAP23-24'!$H:$H)</f>
        <v>0</v>
      </c>
      <c r="O836" s="69">
        <f ca="1">SUMIF('CAP25'!$B:$H,Insumo[[#This Row],[DESCRIPCION]],'CAP25'!$H:$H)</f>
        <v>0</v>
      </c>
      <c r="P836" s="69">
        <f ca="1">SUMIF('CAP26-28'!$B:$H,Insumo[[#This Row],[DESCRIPCION]],'CAP26-28'!$H:$H)</f>
        <v>0</v>
      </c>
      <c r="Q836" s="69">
        <f ca="1">SUMIF('CAP29'!$B:$H,Insumo[[#This Row],[DESCRIPCION]],'CAP29'!$H:$H)</f>
        <v>0</v>
      </c>
      <c r="R836" s="136" t="s">
        <v>3444</v>
      </c>
      <c r="T836" s="136">
        <v>64677.833333333336</v>
      </c>
    </row>
    <row r="837" spans="1:20" ht="12" customHeight="1">
      <c r="A837" s="301" t="s">
        <v>3451</v>
      </c>
      <c r="B837" s="303" t="s">
        <v>30</v>
      </c>
      <c r="C837" s="304">
        <f t="shared" si="12"/>
        <v>11361.7</v>
      </c>
      <c r="D837" s="281" cm="1">
        <f t="array" aca="1" ref="D837" ca="1">IF(Insumo[[#This Row],[VALOR]]=0,Insumo[TOTAL],E837/C837)</f>
        <v>0</v>
      </c>
      <c r="E837" s="69">
        <f ca="1">SUM(Insumo[[#This Row],[CAP1-3]:[CAP29]])</f>
        <v>0</v>
      </c>
      <c r="F837" s="69">
        <f ca="1">SUMIF('CAP1-3'!$B:$H,Insumo[[#This Row],[DESCRIPCION]],'CAP1-3'!$H:$H)</f>
        <v>0</v>
      </c>
      <c r="G837" s="69">
        <f ca="1">SUMIF('CAP4-5'!$B:$H,Insumo[[#This Row],[DESCRIPCION]],'CAP4-5'!$H:$H)</f>
        <v>0</v>
      </c>
      <c r="H837" s="69">
        <f ca="1">SUMIF('CAP6-7'!$B:$H,Insumo[[#This Row],[DESCRIPCION]],'CAP6-7'!$H:$H)</f>
        <v>0</v>
      </c>
      <c r="I837" s="69">
        <f ca="1">SUMIF('CAP8'!$B:$H,Insumo[[#This Row],[DESCRIPCION]],'CAP8'!$H:$H)</f>
        <v>0</v>
      </c>
      <c r="J837" s="69">
        <f ca="1">SUMIF('CAP9-13'!$B:$H,Insumo[[#This Row],[DESCRIPCION]],'CAP9-13'!$H:$H)</f>
        <v>0</v>
      </c>
      <c r="K837" s="69">
        <f ca="1">SUMIF('CAP14-15'!$B:$H,Insumo[[#This Row],[DESCRIPCION]],'CAP14-15'!$H:$H)</f>
        <v>0</v>
      </c>
      <c r="L837" s="69">
        <f ca="1">SUMIF('CAP16-18'!$B:$H,Insumo[[#This Row],[DESCRIPCION]],'CAP16-18'!$H:$H)</f>
        <v>0</v>
      </c>
      <c r="M837" s="69">
        <f ca="1">SUMIF('CAP19-22'!$B:$H,Insumo[[#This Row],[DESCRIPCION]],'CAP19-22'!$H:$H)</f>
        <v>0</v>
      </c>
      <c r="N837" s="69">
        <f ca="1">SUMIF('CAP23-24'!$B:$H,Insumo[[#This Row],[DESCRIPCION]],'CAP23-24'!$H:$H)</f>
        <v>0</v>
      </c>
      <c r="O837" s="69">
        <f ca="1">SUMIF('CAP25'!$B:$H,Insumo[[#This Row],[DESCRIPCION]],'CAP25'!$H:$H)</f>
        <v>0</v>
      </c>
      <c r="P837" s="69">
        <f ca="1">SUMIF('CAP26-28'!$B:$H,Insumo[[#This Row],[DESCRIPCION]],'CAP26-28'!$H:$H)</f>
        <v>0</v>
      </c>
      <c r="Q837" s="69">
        <f ca="1">SUMIF('CAP29'!$B:$H,Insumo[[#This Row],[DESCRIPCION]],'CAP29'!$H:$H)</f>
        <v>0</v>
      </c>
      <c r="R837" s="136" t="s">
        <v>3444</v>
      </c>
      <c r="T837" s="136">
        <v>10820.666666666666</v>
      </c>
    </row>
    <row r="838" spans="1:20" ht="12" customHeight="1">
      <c r="A838" s="301" t="s">
        <v>3452</v>
      </c>
      <c r="B838" s="303" t="s">
        <v>30</v>
      </c>
      <c r="C838" s="304">
        <f t="shared" ref="C838:C901" si="13">T838*$T$3</f>
        <v>10290</v>
      </c>
      <c r="D838" s="281" cm="1">
        <f t="array" aca="1" ref="D838" ca="1">IF(Insumo[[#This Row],[VALOR]]=0,Insumo[TOTAL],E838/C838)</f>
        <v>0</v>
      </c>
      <c r="E838" s="69">
        <f ca="1">SUM(Insumo[[#This Row],[CAP1-3]:[CAP29]])</f>
        <v>0</v>
      </c>
      <c r="F838" s="69">
        <f ca="1">SUMIF('CAP1-3'!$B:$H,Insumo[[#This Row],[DESCRIPCION]],'CAP1-3'!$H:$H)</f>
        <v>0</v>
      </c>
      <c r="G838" s="69">
        <f ca="1">SUMIF('CAP4-5'!$B:$H,Insumo[[#This Row],[DESCRIPCION]],'CAP4-5'!$H:$H)</f>
        <v>0</v>
      </c>
      <c r="H838" s="69">
        <f ca="1">SUMIF('CAP6-7'!$B:$H,Insumo[[#This Row],[DESCRIPCION]],'CAP6-7'!$H:$H)</f>
        <v>0</v>
      </c>
      <c r="I838" s="69">
        <f ca="1">SUMIF('CAP8'!$B:$H,Insumo[[#This Row],[DESCRIPCION]],'CAP8'!$H:$H)</f>
        <v>0</v>
      </c>
      <c r="J838" s="69">
        <f ca="1">SUMIF('CAP9-13'!$B:$H,Insumo[[#This Row],[DESCRIPCION]],'CAP9-13'!$H:$H)</f>
        <v>0</v>
      </c>
      <c r="K838" s="69">
        <f ca="1">SUMIF('CAP14-15'!$B:$H,Insumo[[#This Row],[DESCRIPCION]],'CAP14-15'!$H:$H)</f>
        <v>0</v>
      </c>
      <c r="L838" s="69">
        <f ca="1">SUMIF('CAP16-18'!$B:$H,Insumo[[#This Row],[DESCRIPCION]],'CAP16-18'!$H:$H)</f>
        <v>0</v>
      </c>
      <c r="M838" s="69">
        <f ca="1">SUMIF('CAP19-22'!$B:$H,Insumo[[#This Row],[DESCRIPCION]],'CAP19-22'!$H:$H)</f>
        <v>0</v>
      </c>
      <c r="N838" s="69">
        <f ca="1">SUMIF('CAP23-24'!$B:$H,Insumo[[#This Row],[DESCRIPCION]],'CAP23-24'!$H:$H)</f>
        <v>0</v>
      </c>
      <c r="O838" s="69">
        <f ca="1">SUMIF('CAP25'!$B:$H,Insumo[[#This Row],[DESCRIPCION]],'CAP25'!$H:$H)</f>
        <v>0</v>
      </c>
      <c r="P838" s="69">
        <f ca="1">SUMIF('CAP26-28'!$B:$H,Insumo[[#This Row],[DESCRIPCION]],'CAP26-28'!$H:$H)</f>
        <v>0</v>
      </c>
      <c r="Q838" s="69">
        <f ca="1">SUMIF('CAP29'!$B:$H,Insumo[[#This Row],[DESCRIPCION]],'CAP29'!$H:$H)</f>
        <v>0</v>
      </c>
      <c r="T838" s="136">
        <v>9800</v>
      </c>
    </row>
    <row r="839" spans="1:20" ht="12" customHeight="1">
      <c r="A839" s="301" t="s">
        <v>3453</v>
      </c>
      <c r="B839" s="303" t="s">
        <v>30</v>
      </c>
      <c r="C839" s="304">
        <f t="shared" si="13"/>
        <v>85247.400000000009</v>
      </c>
      <c r="D839" s="281" cm="1">
        <f t="array" aca="1" ref="D839" ca="1">IF(Insumo[[#This Row],[VALOR]]=0,Insumo[TOTAL],E839/C839)</f>
        <v>0</v>
      </c>
      <c r="E839" s="69">
        <f ca="1">SUM(Insumo[[#This Row],[CAP1-3]:[CAP29]])</f>
        <v>0</v>
      </c>
      <c r="F839" s="69">
        <f ca="1">SUMIF('CAP1-3'!$B:$H,Insumo[[#This Row],[DESCRIPCION]],'CAP1-3'!$H:$H)</f>
        <v>0</v>
      </c>
      <c r="G839" s="69">
        <f ca="1">SUMIF('CAP4-5'!$B:$H,Insumo[[#This Row],[DESCRIPCION]],'CAP4-5'!$H:$H)</f>
        <v>0</v>
      </c>
      <c r="H839" s="69">
        <f ca="1">SUMIF('CAP6-7'!$B:$H,Insumo[[#This Row],[DESCRIPCION]],'CAP6-7'!$H:$H)</f>
        <v>0</v>
      </c>
      <c r="I839" s="69">
        <f ca="1">SUMIF('CAP8'!$B:$H,Insumo[[#This Row],[DESCRIPCION]],'CAP8'!$H:$H)</f>
        <v>0</v>
      </c>
      <c r="J839" s="69">
        <f ca="1">SUMIF('CAP9-13'!$B:$H,Insumo[[#This Row],[DESCRIPCION]],'CAP9-13'!$H:$H)</f>
        <v>0</v>
      </c>
      <c r="K839" s="69">
        <f ca="1">SUMIF('CAP14-15'!$B:$H,Insumo[[#This Row],[DESCRIPCION]],'CAP14-15'!$H:$H)</f>
        <v>0</v>
      </c>
      <c r="L839" s="69">
        <f ca="1">SUMIF('CAP16-18'!$B:$H,Insumo[[#This Row],[DESCRIPCION]],'CAP16-18'!$H:$H)</f>
        <v>0</v>
      </c>
      <c r="M839" s="69">
        <f ca="1">SUMIF('CAP19-22'!$B:$H,Insumo[[#This Row],[DESCRIPCION]],'CAP19-22'!$H:$H)</f>
        <v>0</v>
      </c>
      <c r="N839" s="69">
        <f ca="1">SUMIF('CAP23-24'!$B:$H,Insumo[[#This Row],[DESCRIPCION]],'CAP23-24'!$H:$H)</f>
        <v>0</v>
      </c>
      <c r="O839" s="69">
        <f ca="1">SUMIF('CAP25'!$B:$H,Insumo[[#This Row],[DESCRIPCION]],'CAP25'!$H:$H)</f>
        <v>0</v>
      </c>
      <c r="P839" s="69">
        <f ca="1">SUMIF('CAP26-28'!$B:$H,Insumo[[#This Row],[DESCRIPCION]],'CAP26-28'!$H:$H)</f>
        <v>0</v>
      </c>
      <c r="Q839" s="69">
        <f ca="1">SUMIF('CAP29'!$B:$H,Insumo[[#This Row],[DESCRIPCION]],'CAP29'!$H:$H)</f>
        <v>0</v>
      </c>
      <c r="T839" s="136">
        <v>81188</v>
      </c>
    </row>
    <row r="840" spans="1:20" ht="12" customHeight="1">
      <c r="A840" s="301" t="s">
        <v>3454</v>
      </c>
      <c r="B840" s="303" t="s">
        <v>30</v>
      </c>
      <c r="C840" s="304">
        <f t="shared" si="13"/>
        <v>107979.90000000001</v>
      </c>
      <c r="D840" s="281" cm="1">
        <f t="array" aca="1" ref="D840" ca="1">IF(Insumo[[#This Row],[VALOR]]=0,Insumo[TOTAL],E840/C840)</f>
        <v>0</v>
      </c>
      <c r="E840" s="69">
        <f ca="1">SUM(Insumo[[#This Row],[CAP1-3]:[CAP29]])</f>
        <v>0</v>
      </c>
      <c r="F840" s="69">
        <f ca="1">SUMIF('CAP1-3'!$B:$H,Insumo[[#This Row],[DESCRIPCION]],'CAP1-3'!$H:$H)</f>
        <v>0</v>
      </c>
      <c r="G840" s="69">
        <f ca="1">SUMIF('CAP4-5'!$B:$H,Insumo[[#This Row],[DESCRIPCION]],'CAP4-5'!$H:$H)</f>
        <v>0</v>
      </c>
      <c r="H840" s="69">
        <f ca="1">SUMIF('CAP6-7'!$B:$H,Insumo[[#This Row],[DESCRIPCION]],'CAP6-7'!$H:$H)</f>
        <v>0</v>
      </c>
      <c r="I840" s="69">
        <f ca="1">SUMIF('CAP8'!$B:$H,Insumo[[#This Row],[DESCRIPCION]],'CAP8'!$H:$H)</f>
        <v>0</v>
      </c>
      <c r="J840" s="69">
        <f ca="1">SUMIF('CAP9-13'!$B:$H,Insumo[[#This Row],[DESCRIPCION]],'CAP9-13'!$H:$H)</f>
        <v>0</v>
      </c>
      <c r="K840" s="69">
        <f ca="1">SUMIF('CAP14-15'!$B:$H,Insumo[[#This Row],[DESCRIPCION]],'CAP14-15'!$H:$H)</f>
        <v>0</v>
      </c>
      <c r="L840" s="69">
        <f ca="1">SUMIF('CAP16-18'!$B:$H,Insumo[[#This Row],[DESCRIPCION]],'CAP16-18'!$H:$H)</f>
        <v>0</v>
      </c>
      <c r="M840" s="69">
        <f ca="1">SUMIF('CAP19-22'!$B:$H,Insumo[[#This Row],[DESCRIPCION]],'CAP19-22'!$H:$H)</f>
        <v>0</v>
      </c>
      <c r="N840" s="69">
        <f ca="1">SUMIF('CAP23-24'!$B:$H,Insumo[[#This Row],[DESCRIPCION]],'CAP23-24'!$H:$H)</f>
        <v>0</v>
      </c>
      <c r="O840" s="69">
        <f ca="1">SUMIF('CAP25'!$B:$H,Insumo[[#This Row],[DESCRIPCION]],'CAP25'!$H:$H)</f>
        <v>0</v>
      </c>
      <c r="P840" s="69">
        <f ca="1">SUMIF('CAP26-28'!$B:$H,Insumo[[#This Row],[DESCRIPCION]],'CAP26-28'!$H:$H)</f>
        <v>0</v>
      </c>
      <c r="Q840" s="69">
        <f ca="1">SUMIF('CAP29'!$B:$H,Insumo[[#This Row],[DESCRIPCION]],'CAP29'!$H:$H)</f>
        <v>0</v>
      </c>
      <c r="T840" s="136">
        <v>102838</v>
      </c>
    </row>
    <row r="841" spans="1:20" ht="12" customHeight="1">
      <c r="A841" s="301" t="s">
        <v>3455</v>
      </c>
      <c r="B841" s="303" t="s">
        <v>30</v>
      </c>
      <c r="C841" s="304">
        <f t="shared" si="13"/>
        <v>142078.65</v>
      </c>
      <c r="D841" s="281" cm="1">
        <f t="array" aca="1" ref="D841" ca="1">IF(Insumo[[#This Row],[VALOR]]=0,Insumo[TOTAL],E841/C841)</f>
        <v>0</v>
      </c>
      <c r="E841" s="69">
        <f ca="1">SUM(Insumo[[#This Row],[CAP1-3]:[CAP29]])</f>
        <v>0</v>
      </c>
      <c r="F841" s="69">
        <f ca="1">SUMIF('CAP1-3'!$B:$H,Insumo[[#This Row],[DESCRIPCION]],'CAP1-3'!$H:$H)</f>
        <v>0</v>
      </c>
      <c r="G841" s="69">
        <f ca="1">SUMIF('CAP4-5'!$B:$H,Insumo[[#This Row],[DESCRIPCION]],'CAP4-5'!$H:$H)</f>
        <v>0</v>
      </c>
      <c r="H841" s="69">
        <f ca="1">SUMIF('CAP6-7'!$B:$H,Insumo[[#This Row],[DESCRIPCION]],'CAP6-7'!$H:$H)</f>
        <v>0</v>
      </c>
      <c r="I841" s="69">
        <f ca="1">SUMIF('CAP8'!$B:$H,Insumo[[#This Row],[DESCRIPCION]],'CAP8'!$H:$H)</f>
        <v>0</v>
      </c>
      <c r="J841" s="69">
        <f ca="1">SUMIF('CAP9-13'!$B:$H,Insumo[[#This Row],[DESCRIPCION]],'CAP9-13'!$H:$H)</f>
        <v>0</v>
      </c>
      <c r="K841" s="69">
        <f ca="1">SUMIF('CAP14-15'!$B:$H,Insumo[[#This Row],[DESCRIPCION]],'CAP14-15'!$H:$H)</f>
        <v>0</v>
      </c>
      <c r="L841" s="69">
        <f ca="1">SUMIF('CAP16-18'!$B:$H,Insumo[[#This Row],[DESCRIPCION]],'CAP16-18'!$H:$H)</f>
        <v>0</v>
      </c>
      <c r="M841" s="69">
        <f ca="1">SUMIF('CAP19-22'!$B:$H,Insumo[[#This Row],[DESCRIPCION]],'CAP19-22'!$H:$H)</f>
        <v>0</v>
      </c>
      <c r="N841" s="69">
        <f ca="1">SUMIF('CAP23-24'!$B:$H,Insumo[[#This Row],[DESCRIPCION]],'CAP23-24'!$H:$H)</f>
        <v>0</v>
      </c>
      <c r="O841" s="69">
        <f ca="1">SUMIF('CAP25'!$B:$H,Insumo[[#This Row],[DESCRIPCION]],'CAP25'!$H:$H)</f>
        <v>0</v>
      </c>
      <c r="P841" s="69">
        <f ca="1">SUMIF('CAP26-28'!$B:$H,Insumo[[#This Row],[DESCRIPCION]],'CAP26-28'!$H:$H)</f>
        <v>0</v>
      </c>
      <c r="Q841" s="69">
        <f ca="1">SUMIF('CAP29'!$B:$H,Insumo[[#This Row],[DESCRIPCION]],'CAP29'!$H:$H)</f>
        <v>0</v>
      </c>
      <c r="T841" s="136">
        <v>135313</v>
      </c>
    </row>
    <row r="842" spans="1:20" ht="12" customHeight="1">
      <c r="A842" s="301" t="s">
        <v>3456</v>
      </c>
      <c r="B842" s="303" t="s">
        <v>30</v>
      </c>
      <c r="C842" s="304">
        <f t="shared" si="13"/>
        <v>16943.850000000002</v>
      </c>
      <c r="D842" s="281" cm="1">
        <f t="array" aca="1" ref="D842" ca="1">IF(Insumo[[#This Row],[VALOR]]=0,Insumo[TOTAL],E842/C842)</f>
        <v>0</v>
      </c>
      <c r="E842" s="69">
        <f ca="1">SUM(Insumo[[#This Row],[CAP1-3]:[CAP29]])</f>
        <v>0</v>
      </c>
      <c r="F842" s="69">
        <f ca="1">SUMIF('CAP1-3'!$B:$H,Insumo[[#This Row],[DESCRIPCION]],'CAP1-3'!$H:$H)</f>
        <v>0</v>
      </c>
      <c r="G842" s="69">
        <f ca="1">SUMIF('CAP4-5'!$B:$H,Insumo[[#This Row],[DESCRIPCION]],'CAP4-5'!$H:$H)</f>
        <v>0</v>
      </c>
      <c r="H842" s="69">
        <f ca="1">SUMIF('CAP6-7'!$B:$H,Insumo[[#This Row],[DESCRIPCION]],'CAP6-7'!$H:$H)</f>
        <v>0</v>
      </c>
      <c r="I842" s="69">
        <f ca="1">SUMIF('CAP8'!$B:$H,Insumo[[#This Row],[DESCRIPCION]],'CAP8'!$H:$H)</f>
        <v>0</v>
      </c>
      <c r="J842" s="69">
        <f ca="1">SUMIF('CAP9-13'!$B:$H,Insumo[[#This Row],[DESCRIPCION]],'CAP9-13'!$H:$H)</f>
        <v>0</v>
      </c>
      <c r="K842" s="69">
        <f ca="1">SUMIF('CAP14-15'!$B:$H,Insumo[[#This Row],[DESCRIPCION]],'CAP14-15'!$H:$H)</f>
        <v>0</v>
      </c>
      <c r="L842" s="69">
        <f ca="1">SUMIF('CAP16-18'!$B:$H,Insumo[[#This Row],[DESCRIPCION]],'CAP16-18'!$H:$H)</f>
        <v>0</v>
      </c>
      <c r="M842" s="69">
        <f ca="1">SUMIF('CAP19-22'!$B:$H,Insumo[[#This Row],[DESCRIPCION]],'CAP19-22'!$H:$H)</f>
        <v>0</v>
      </c>
      <c r="N842" s="69">
        <f ca="1">SUMIF('CAP23-24'!$B:$H,Insumo[[#This Row],[DESCRIPCION]],'CAP23-24'!$H:$H)</f>
        <v>0</v>
      </c>
      <c r="O842" s="69">
        <f ca="1">SUMIF('CAP25'!$B:$H,Insumo[[#This Row],[DESCRIPCION]],'CAP25'!$H:$H)</f>
        <v>0</v>
      </c>
      <c r="P842" s="69">
        <f ca="1">SUMIF('CAP26-28'!$B:$H,Insumo[[#This Row],[DESCRIPCION]],'CAP26-28'!$H:$H)</f>
        <v>0</v>
      </c>
      <c r="Q842" s="69">
        <f ca="1">SUMIF('CAP29'!$B:$H,Insumo[[#This Row],[DESCRIPCION]],'CAP29'!$H:$H)</f>
        <v>0</v>
      </c>
      <c r="T842" s="136">
        <v>16137</v>
      </c>
    </row>
    <row r="843" spans="1:20" ht="12" customHeight="1">
      <c r="A843" s="301" t="s">
        <v>3457</v>
      </c>
      <c r="B843" s="303" t="s">
        <v>30</v>
      </c>
      <c r="C843" s="304">
        <f t="shared" si="13"/>
        <v>39782.400000000001</v>
      </c>
      <c r="D843" s="281" cm="1">
        <f t="array" aca="1" ref="D843" ca="1">IF(Insumo[[#This Row],[VALOR]]=0,Insumo[TOTAL],E843/C843)</f>
        <v>0</v>
      </c>
      <c r="E843" s="69">
        <f ca="1">SUM(Insumo[[#This Row],[CAP1-3]:[CAP29]])</f>
        <v>0</v>
      </c>
      <c r="F843" s="69">
        <f ca="1">SUMIF('CAP1-3'!$B:$H,Insumo[[#This Row],[DESCRIPCION]],'CAP1-3'!$H:$H)</f>
        <v>0</v>
      </c>
      <c r="G843" s="69">
        <f ca="1">SUMIF('CAP4-5'!$B:$H,Insumo[[#This Row],[DESCRIPCION]],'CAP4-5'!$H:$H)</f>
        <v>0</v>
      </c>
      <c r="H843" s="69">
        <f ca="1">SUMIF('CAP6-7'!$B:$H,Insumo[[#This Row],[DESCRIPCION]],'CAP6-7'!$H:$H)</f>
        <v>0</v>
      </c>
      <c r="I843" s="69">
        <f ca="1">SUMIF('CAP8'!$B:$H,Insumo[[#This Row],[DESCRIPCION]],'CAP8'!$H:$H)</f>
        <v>0</v>
      </c>
      <c r="J843" s="69">
        <f ca="1">SUMIF('CAP9-13'!$B:$H,Insumo[[#This Row],[DESCRIPCION]],'CAP9-13'!$H:$H)</f>
        <v>0</v>
      </c>
      <c r="K843" s="69">
        <f ca="1">SUMIF('CAP14-15'!$B:$H,Insumo[[#This Row],[DESCRIPCION]],'CAP14-15'!$H:$H)</f>
        <v>0</v>
      </c>
      <c r="L843" s="69">
        <f ca="1">SUMIF('CAP16-18'!$B:$H,Insumo[[#This Row],[DESCRIPCION]],'CAP16-18'!$H:$H)</f>
        <v>0</v>
      </c>
      <c r="M843" s="69">
        <f ca="1">SUMIF('CAP19-22'!$B:$H,Insumo[[#This Row],[DESCRIPCION]],'CAP19-22'!$H:$H)</f>
        <v>0</v>
      </c>
      <c r="N843" s="69">
        <f ca="1">SUMIF('CAP23-24'!$B:$H,Insumo[[#This Row],[DESCRIPCION]],'CAP23-24'!$H:$H)</f>
        <v>0</v>
      </c>
      <c r="O843" s="69">
        <f ca="1">SUMIF('CAP25'!$B:$H,Insumo[[#This Row],[DESCRIPCION]],'CAP25'!$H:$H)</f>
        <v>0</v>
      </c>
      <c r="P843" s="69">
        <f ca="1">SUMIF('CAP26-28'!$B:$H,Insumo[[#This Row],[DESCRIPCION]],'CAP26-28'!$H:$H)</f>
        <v>0</v>
      </c>
      <c r="Q843" s="69">
        <f ca="1">SUMIF('CAP29'!$B:$H,Insumo[[#This Row],[DESCRIPCION]],'CAP29'!$H:$H)</f>
        <v>0</v>
      </c>
      <c r="T843" s="136">
        <v>37888</v>
      </c>
    </row>
    <row r="844" spans="1:20" ht="12" customHeight="1">
      <c r="A844" s="301" t="s">
        <v>3458</v>
      </c>
      <c r="B844" s="303" t="s">
        <v>30</v>
      </c>
      <c r="C844" s="304">
        <f t="shared" si="13"/>
        <v>60241.65</v>
      </c>
      <c r="D844" s="281" cm="1">
        <f t="array" aca="1" ref="D844" ca="1">IF(Insumo[[#This Row],[VALOR]]=0,Insumo[TOTAL],E844/C844)</f>
        <v>0</v>
      </c>
      <c r="E844" s="69">
        <f ca="1">SUM(Insumo[[#This Row],[CAP1-3]:[CAP29]])</f>
        <v>0</v>
      </c>
      <c r="F844" s="69">
        <f ca="1">SUMIF('CAP1-3'!$B:$H,Insumo[[#This Row],[DESCRIPCION]],'CAP1-3'!$H:$H)</f>
        <v>0</v>
      </c>
      <c r="G844" s="69">
        <f ca="1">SUMIF('CAP4-5'!$B:$H,Insumo[[#This Row],[DESCRIPCION]],'CAP4-5'!$H:$H)</f>
        <v>0</v>
      </c>
      <c r="H844" s="69">
        <f ca="1">SUMIF('CAP6-7'!$B:$H,Insumo[[#This Row],[DESCRIPCION]],'CAP6-7'!$H:$H)</f>
        <v>0</v>
      </c>
      <c r="I844" s="69">
        <f ca="1">SUMIF('CAP8'!$B:$H,Insumo[[#This Row],[DESCRIPCION]],'CAP8'!$H:$H)</f>
        <v>0</v>
      </c>
      <c r="J844" s="69">
        <f ca="1">SUMIF('CAP9-13'!$B:$H,Insumo[[#This Row],[DESCRIPCION]],'CAP9-13'!$H:$H)</f>
        <v>0</v>
      </c>
      <c r="K844" s="69">
        <f ca="1">SUMIF('CAP14-15'!$B:$H,Insumo[[#This Row],[DESCRIPCION]],'CAP14-15'!$H:$H)</f>
        <v>0</v>
      </c>
      <c r="L844" s="69">
        <f ca="1">SUMIF('CAP16-18'!$B:$H,Insumo[[#This Row],[DESCRIPCION]],'CAP16-18'!$H:$H)</f>
        <v>0</v>
      </c>
      <c r="M844" s="69">
        <f ca="1">SUMIF('CAP19-22'!$B:$H,Insumo[[#This Row],[DESCRIPCION]],'CAP19-22'!$H:$H)</f>
        <v>0</v>
      </c>
      <c r="N844" s="69">
        <f ca="1">SUMIF('CAP23-24'!$B:$H,Insumo[[#This Row],[DESCRIPCION]],'CAP23-24'!$H:$H)</f>
        <v>0</v>
      </c>
      <c r="O844" s="69">
        <f ca="1">SUMIF('CAP25'!$B:$H,Insumo[[#This Row],[DESCRIPCION]],'CAP25'!$H:$H)</f>
        <v>0</v>
      </c>
      <c r="P844" s="69">
        <f ca="1">SUMIF('CAP26-28'!$B:$H,Insumo[[#This Row],[DESCRIPCION]],'CAP26-28'!$H:$H)</f>
        <v>0</v>
      </c>
      <c r="Q844" s="69">
        <f ca="1">SUMIF('CAP29'!$B:$H,Insumo[[#This Row],[DESCRIPCION]],'CAP29'!$H:$H)</f>
        <v>0</v>
      </c>
      <c r="T844" s="136">
        <v>57373</v>
      </c>
    </row>
    <row r="845" spans="1:20" ht="12" customHeight="1">
      <c r="A845" s="301" t="s">
        <v>3459</v>
      </c>
      <c r="B845" s="303" t="s">
        <v>30</v>
      </c>
      <c r="C845" s="304">
        <f t="shared" si="13"/>
        <v>97650</v>
      </c>
      <c r="D845" s="281" cm="1">
        <f t="array" aca="1" ref="D845" ca="1">IF(Insumo[[#This Row],[VALOR]]=0,Insumo[TOTAL],E845/C845)</f>
        <v>0</v>
      </c>
      <c r="E845" s="69">
        <f ca="1">SUM(Insumo[[#This Row],[CAP1-3]:[CAP29]])</f>
        <v>0</v>
      </c>
      <c r="F845" s="69">
        <f ca="1">SUMIF('CAP1-3'!$B:$H,Insumo[[#This Row],[DESCRIPCION]],'CAP1-3'!$H:$H)</f>
        <v>0</v>
      </c>
      <c r="G845" s="69">
        <f ca="1">SUMIF('CAP4-5'!$B:$H,Insumo[[#This Row],[DESCRIPCION]],'CAP4-5'!$H:$H)</f>
        <v>0</v>
      </c>
      <c r="H845" s="69">
        <f ca="1">SUMIF('CAP6-7'!$B:$H,Insumo[[#This Row],[DESCRIPCION]],'CAP6-7'!$H:$H)</f>
        <v>0</v>
      </c>
      <c r="I845" s="69">
        <f ca="1">SUMIF('CAP8'!$B:$H,Insumo[[#This Row],[DESCRIPCION]],'CAP8'!$H:$H)</f>
        <v>0</v>
      </c>
      <c r="J845" s="69">
        <f ca="1">SUMIF('CAP9-13'!$B:$H,Insumo[[#This Row],[DESCRIPCION]],'CAP9-13'!$H:$H)</f>
        <v>0</v>
      </c>
      <c r="K845" s="69">
        <f ca="1">SUMIF('CAP14-15'!$B:$H,Insumo[[#This Row],[DESCRIPCION]],'CAP14-15'!$H:$H)</f>
        <v>0</v>
      </c>
      <c r="L845" s="69">
        <f ca="1">SUMIF('CAP16-18'!$B:$H,Insumo[[#This Row],[DESCRIPCION]],'CAP16-18'!$H:$H)</f>
        <v>0</v>
      </c>
      <c r="M845" s="69">
        <f ca="1">SUMIF('CAP19-22'!$B:$H,Insumo[[#This Row],[DESCRIPCION]],'CAP19-22'!$H:$H)</f>
        <v>0</v>
      </c>
      <c r="N845" s="69">
        <f ca="1">SUMIF('CAP23-24'!$B:$H,Insumo[[#This Row],[DESCRIPCION]],'CAP23-24'!$H:$H)</f>
        <v>0</v>
      </c>
      <c r="O845" s="69">
        <f ca="1">SUMIF('CAP25'!$B:$H,Insumo[[#This Row],[DESCRIPCION]],'CAP25'!$H:$H)</f>
        <v>0</v>
      </c>
      <c r="P845" s="69">
        <f ca="1">SUMIF('CAP26-28'!$B:$H,Insumo[[#This Row],[DESCRIPCION]],'CAP26-28'!$H:$H)</f>
        <v>0</v>
      </c>
      <c r="Q845" s="69">
        <f ca="1">SUMIF('CAP29'!$B:$H,Insumo[[#This Row],[DESCRIPCION]],'CAP29'!$H:$H)</f>
        <v>0</v>
      </c>
      <c r="T845" s="136">
        <v>93000</v>
      </c>
    </row>
    <row r="846" spans="1:20" ht="12" customHeight="1">
      <c r="A846" s="301" t="s">
        <v>3460</v>
      </c>
      <c r="B846" s="303" t="s">
        <v>30</v>
      </c>
      <c r="C846" s="304">
        <f t="shared" si="13"/>
        <v>29767.5</v>
      </c>
      <c r="D846" s="281" cm="1">
        <f t="array" aca="1" ref="D846" ca="1">IF(Insumo[[#This Row],[VALOR]]=0,Insumo[TOTAL],E846/C846)</f>
        <v>0</v>
      </c>
      <c r="E846" s="69">
        <f ca="1">SUM(Insumo[[#This Row],[CAP1-3]:[CAP29]])</f>
        <v>0</v>
      </c>
      <c r="F846" s="69">
        <f ca="1">SUMIF('CAP1-3'!$B:$H,Insumo[[#This Row],[DESCRIPCION]],'CAP1-3'!$H:$H)</f>
        <v>0</v>
      </c>
      <c r="G846" s="69">
        <f ca="1">SUMIF('CAP4-5'!$B:$H,Insumo[[#This Row],[DESCRIPCION]],'CAP4-5'!$H:$H)</f>
        <v>0</v>
      </c>
      <c r="H846" s="69">
        <f ca="1">SUMIF('CAP6-7'!$B:$H,Insumo[[#This Row],[DESCRIPCION]],'CAP6-7'!$H:$H)</f>
        <v>0</v>
      </c>
      <c r="I846" s="69">
        <f ca="1">SUMIF('CAP8'!$B:$H,Insumo[[#This Row],[DESCRIPCION]],'CAP8'!$H:$H)</f>
        <v>0</v>
      </c>
      <c r="J846" s="69">
        <f ca="1">SUMIF('CAP9-13'!$B:$H,Insumo[[#This Row],[DESCRIPCION]],'CAP9-13'!$H:$H)</f>
        <v>0</v>
      </c>
      <c r="K846" s="69">
        <f ca="1">SUMIF('CAP14-15'!$B:$H,Insumo[[#This Row],[DESCRIPCION]],'CAP14-15'!$H:$H)</f>
        <v>0</v>
      </c>
      <c r="L846" s="69">
        <f ca="1">SUMIF('CAP16-18'!$B:$H,Insumo[[#This Row],[DESCRIPCION]],'CAP16-18'!$H:$H)</f>
        <v>0</v>
      </c>
      <c r="M846" s="69">
        <f ca="1">SUMIF('CAP19-22'!$B:$H,Insumo[[#This Row],[DESCRIPCION]],'CAP19-22'!$H:$H)</f>
        <v>0</v>
      </c>
      <c r="N846" s="69">
        <f ca="1">SUMIF('CAP23-24'!$B:$H,Insumo[[#This Row],[DESCRIPCION]],'CAP23-24'!$H:$H)</f>
        <v>0</v>
      </c>
      <c r="O846" s="69">
        <f ca="1">SUMIF('CAP25'!$B:$H,Insumo[[#This Row],[DESCRIPCION]],'CAP25'!$H:$H)</f>
        <v>0</v>
      </c>
      <c r="P846" s="69">
        <f ca="1">SUMIF('CAP26-28'!$B:$H,Insumo[[#This Row],[DESCRIPCION]],'CAP26-28'!$H:$H)</f>
        <v>0</v>
      </c>
      <c r="Q846" s="69">
        <f ca="1">SUMIF('CAP29'!$B:$H,Insumo[[#This Row],[DESCRIPCION]],'CAP29'!$H:$H)</f>
        <v>0</v>
      </c>
      <c r="T846" s="136">
        <v>28350</v>
      </c>
    </row>
    <row r="847" spans="1:20" ht="12" customHeight="1">
      <c r="A847" s="301" t="s">
        <v>3461</v>
      </c>
      <c r="B847" s="303" t="s">
        <v>30</v>
      </c>
      <c r="C847" s="304">
        <f t="shared" si="13"/>
        <v>14017.5</v>
      </c>
      <c r="D847" s="281" cm="1">
        <f t="array" aca="1" ref="D847" ca="1">IF(Insumo[[#This Row],[VALOR]]=0,Insumo[TOTAL],E847/C847)</f>
        <v>0</v>
      </c>
      <c r="E847" s="69">
        <f ca="1">SUM(Insumo[[#This Row],[CAP1-3]:[CAP29]])</f>
        <v>0</v>
      </c>
      <c r="F847" s="69">
        <f ca="1">SUMIF('CAP1-3'!$B:$H,Insumo[[#This Row],[DESCRIPCION]],'CAP1-3'!$H:$H)</f>
        <v>0</v>
      </c>
      <c r="G847" s="69">
        <f ca="1">SUMIF('CAP4-5'!$B:$H,Insumo[[#This Row],[DESCRIPCION]],'CAP4-5'!$H:$H)</f>
        <v>0</v>
      </c>
      <c r="H847" s="69">
        <f ca="1">SUMIF('CAP6-7'!$B:$H,Insumo[[#This Row],[DESCRIPCION]],'CAP6-7'!$H:$H)</f>
        <v>0</v>
      </c>
      <c r="I847" s="69">
        <f ca="1">SUMIF('CAP8'!$B:$H,Insumo[[#This Row],[DESCRIPCION]],'CAP8'!$H:$H)</f>
        <v>0</v>
      </c>
      <c r="J847" s="69">
        <f ca="1">SUMIF('CAP9-13'!$B:$H,Insumo[[#This Row],[DESCRIPCION]],'CAP9-13'!$H:$H)</f>
        <v>0</v>
      </c>
      <c r="K847" s="69">
        <f ca="1">SUMIF('CAP14-15'!$B:$H,Insumo[[#This Row],[DESCRIPCION]],'CAP14-15'!$H:$H)</f>
        <v>0</v>
      </c>
      <c r="L847" s="69">
        <f ca="1">SUMIF('CAP16-18'!$B:$H,Insumo[[#This Row],[DESCRIPCION]],'CAP16-18'!$H:$H)</f>
        <v>0</v>
      </c>
      <c r="M847" s="69">
        <f ca="1">SUMIF('CAP19-22'!$B:$H,Insumo[[#This Row],[DESCRIPCION]],'CAP19-22'!$H:$H)</f>
        <v>0</v>
      </c>
      <c r="N847" s="69">
        <f ca="1">SUMIF('CAP23-24'!$B:$H,Insumo[[#This Row],[DESCRIPCION]],'CAP23-24'!$H:$H)</f>
        <v>0</v>
      </c>
      <c r="O847" s="69">
        <f ca="1">SUMIF('CAP25'!$B:$H,Insumo[[#This Row],[DESCRIPCION]],'CAP25'!$H:$H)</f>
        <v>0</v>
      </c>
      <c r="P847" s="69">
        <f ca="1">SUMIF('CAP26-28'!$B:$H,Insumo[[#This Row],[DESCRIPCION]],'CAP26-28'!$H:$H)</f>
        <v>0</v>
      </c>
      <c r="Q847" s="69">
        <f ca="1">SUMIF('CAP29'!$B:$H,Insumo[[#This Row],[DESCRIPCION]],'CAP29'!$H:$H)</f>
        <v>0</v>
      </c>
      <c r="T847" s="136">
        <v>13350</v>
      </c>
    </row>
    <row r="848" spans="1:20" ht="12" customHeight="1">
      <c r="A848" s="301" t="s">
        <v>3462</v>
      </c>
      <c r="B848" s="303" t="s">
        <v>30</v>
      </c>
      <c r="C848" s="304">
        <f t="shared" si="13"/>
        <v>7934.85</v>
      </c>
      <c r="D848" s="281" cm="1">
        <f t="array" aca="1" ref="D848" ca="1">IF(Insumo[[#This Row],[VALOR]]=0,Insumo[TOTAL],E848/C848)</f>
        <v>0</v>
      </c>
      <c r="E848" s="69">
        <f ca="1">SUM(Insumo[[#This Row],[CAP1-3]:[CAP29]])</f>
        <v>0</v>
      </c>
      <c r="F848" s="69">
        <f ca="1">SUMIF('CAP1-3'!$B:$H,Insumo[[#This Row],[DESCRIPCION]],'CAP1-3'!$H:$H)</f>
        <v>0</v>
      </c>
      <c r="G848" s="69">
        <f ca="1">SUMIF('CAP4-5'!$B:$H,Insumo[[#This Row],[DESCRIPCION]],'CAP4-5'!$H:$H)</f>
        <v>0</v>
      </c>
      <c r="H848" s="69">
        <f ca="1">SUMIF('CAP6-7'!$B:$H,Insumo[[#This Row],[DESCRIPCION]],'CAP6-7'!$H:$H)</f>
        <v>0</v>
      </c>
      <c r="I848" s="69">
        <f ca="1">SUMIF('CAP8'!$B:$H,Insumo[[#This Row],[DESCRIPCION]],'CAP8'!$H:$H)</f>
        <v>0</v>
      </c>
      <c r="J848" s="69">
        <f ca="1">SUMIF('CAP9-13'!$B:$H,Insumo[[#This Row],[DESCRIPCION]],'CAP9-13'!$H:$H)</f>
        <v>0</v>
      </c>
      <c r="K848" s="69">
        <f ca="1">SUMIF('CAP14-15'!$B:$H,Insumo[[#This Row],[DESCRIPCION]],'CAP14-15'!$H:$H)</f>
        <v>0</v>
      </c>
      <c r="L848" s="69">
        <f ca="1">SUMIF('CAP16-18'!$B:$H,Insumo[[#This Row],[DESCRIPCION]],'CAP16-18'!$H:$H)</f>
        <v>0</v>
      </c>
      <c r="M848" s="69">
        <f ca="1">SUMIF('CAP19-22'!$B:$H,Insumo[[#This Row],[DESCRIPCION]],'CAP19-22'!$H:$H)</f>
        <v>0</v>
      </c>
      <c r="N848" s="69">
        <f ca="1">SUMIF('CAP23-24'!$B:$H,Insumo[[#This Row],[DESCRIPCION]],'CAP23-24'!$H:$H)</f>
        <v>0</v>
      </c>
      <c r="O848" s="69">
        <f ca="1">SUMIF('CAP25'!$B:$H,Insumo[[#This Row],[DESCRIPCION]],'CAP25'!$H:$H)</f>
        <v>0</v>
      </c>
      <c r="P848" s="69">
        <f ca="1">SUMIF('CAP26-28'!$B:$H,Insumo[[#This Row],[DESCRIPCION]],'CAP26-28'!$H:$H)</f>
        <v>0</v>
      </c>
      <c r="Q848" s="69">
        <f ca="1">SUMIF('CAP29'!$B:$H,Insumo[[#This Row],[DESCRIPCION]],'CAP29'!$H:$H)</f>
        <v>0</v>
      </c>
      <c r="T848" s="136">
        <v>7557</v>
      </c>
    </row>
    <row r="849" spans="1:20" ht="12" customHeight="1">
      <c r="A849" s="301" t="s">
        <v>3463</v>
      </c>
      <c r="B849" s="303" t="s">
        <v>30</v>
      </c>
      <c r="C849" s="304">
        <f t="shared" si="13"/>
        <v>10798.2</v>
      </c>
      <c r="D849" s="281" cm="1">
        <f t="array" aca="1" ref="D849" ca="1">IF(Insumo[[#This Row],[VALOR]]=0,Insumo[TOTAL],E849/C849)</f>
        <v>0</v>
      </c>
      <c r="E849" s="69">
        <f ca="1">SUM(Insumo[[#This Row],[CAP1-3]:[CAP29]])</f>
        <v>0</v>
      </c>
      <c r="F849" s="69">
        <f ca="1">SUMIF('CAP1-3'!$B:$H,Insumo[[#This Row],[DESCRIPCION]],'CAP1-3'!$H:$H)</f>
        <v>0</v>
      </c>
      <c r="G849" s="69">
        <f ca="1">SUMIF('CAP4-5'!$B:$H,Insumo[[#This Row],[DESCRIPCION]],'CAP4-5'!$H:$H)</f>
        <v>0</v>
      </c>
      <c r="H849" s="69">
        <f ca="1">SUMIF('CAP6-7'!$B:$H,Insumo[[#This Row],[DESCRIPCION]],'CAP6-7'!$H:$H)</f>
        <v>0</v>
      </c>
      <c r="I849" s="69">
        <f ca="1">SUMIF('CAP8'!$B:$H,Insumo[[#This Row],[DESCRIPCION]],'CAP8'!$H:$H)</f>
        <v>0</v>
      </c>
      <c r="J849" s="69">
        <f ca="1">SUMIF('CAP9-13'!$B:$H,Insumo[[#This Row],[DESCRIPCION]],'CAP9-13'!$H:$H)</f>
        <v>0</v>
      </c>
      <c r="K849" s="69">
        <f ca="1">SUMIF('CAP14-15'!$B:$H,Insumo[[#This Row],[DESCRIPCION]],'CAP14-15'!$H:$H)</f>
        <v>0</v>
      </c>
      <c r="L849" s="69">
        <f ca="1">SUMIF('CAP16-18'!$B:$H,Insumo[[#This Row],[DESCRIPCION]],'CAP16-18'!$H:$H)</f>
        <v>0</v>
      </c>
      <c r="M849" s="69">
        <f ca="1">SUMIF('CAP19-22'!$B:$H,Insumo[[#This Row],[DESCRIPCION]],'CAP19-22'!$H:$H)</f>
        <v>0</v>
      </c>
      <c r="N849" s="69">
        <f ca="1">SUMIF('CAP23-24'!$B:$H,Insumo[[#This Row],[DESCRIPCION]],'CAP23-24'!$H:$H)</f>
        <v>0</v>
      </c>
      <c r="O849" s="69">
        <f ca="1">SUMIF('CAP25'!$B:$H,Insumo[[#This Row],[DESCRIPCION]],'CAP25'!$H:$H)</f>
        <v>0</v>
      </c>
      <c r="P849" s="69">
        <f ca="1">SUMIF('CAP26-28'!$B:$H,Insumo[[#This Row],[DESCRIPCION]],'CAP26-28'!$H:$H)</f>
        <v>0</v>
      </c>
      <c r="Q849" s="69">
        <f ca="1">SUMIF('CAP29'!$B:$H,Insumo[[#This Row],[DESCRIPCION]],'CAP29'!$H:$H)</f>
        <v>0</v>
      </c>
      <c r="T849" s="136">
        <v>10284</v>
      </c>
    </row>
    <row r="850" spans="1:20" ht="12" customHeight="1">
      <c r="A850" s="301" t="s">
        <v>3464</v>
      </c>
      <c r="B850" s="303" t="s">
        <v>30</v>
      </c>
      <c r="C850" s="304">
        <f t="shared" si="13"/>
        <v>37679.25</v>
      </c>
      <c r="D850" s="281" cm="1">
        <f t="array" aca="1" ref="D850" ca="1">IF(Insumo[[#This Row],[VALOR]]=0,Insumo[TOTAL],E850/C850)</f>
        <v>0</v>
      </c>
      <c r="E850" s="69">
        <f ca="1">SUM(Insumo[[#This Row],[CAP1-3]:[CAP29]])</f>
        <v>0</v>
      </c>
      <c r="F850" s="69">
        <f ca="1">SUMIF('CAP1-3'!$B:$H,Insumo[[#This Row],[DESCRIPCION]],'CAP1-3'!$H:$H)</f>
        <v>0</v>
      </c>
      <c r="G850" s="69">
        <f ca="1">SUMIF('CAP4-5'!$B:$H,Insumo[[#This Row],[DESCRIPCION]],'CAP4-5'!$H:$H)</f>
        <v>0</v>
      </c>
      <c r="H850" s="69">
        <f ca="1">SUMIF('CAP6-7'!$B:$H,Insumo[[#This Row],[DESCRIPCION]],'CAP6-7'!$H:$H)</f>
        <v>0</v>
      </c>
      <c r="I850" s="69">
        <f ca="1">SUMIF('CAP8'!$B:$H,Insumo[[#This Row],[DESCRIPCION]],'CAP8'!$H:$H)</f>
        <v>0</v>
      </c>
      <c r="J850" s="69">
        <f ca="1">SUMIF('CAP9-13'!$B:$H,Insumo[[#This Row],[DESCRIPCION]],'CAP9-13'!$H:$H)</f>
        <v>0</v>
      </c>
      <c r="K850" s="69">
        <f ca="1">SUMIF('CAP14-15'!$B:$H,Insumo[[#This Row],[DESCRIPCION]],'CAP14-15'!$H:$H)</f>
        <v>0</v>
      </c>
      <c r="L850" s="69">
        <f ca="1">SUMIF('CAP16-18'!$B:$H,Insumo[[#This Row],[DESCRIPCION]],'CAP16-18'!$H:$H)</f>
        <v>0</v>
      </c>
      <c r="M850" s="69">
        <f ca="1">SUMIF('CAP19-22'!$B:$H,Insumo[[#This Row],[DESCRIPCION]],'CAP19-22'!$H:$H)</f>
        <v>0</v>
      </c>
      <c r="N850" s="69">
        <f ca="1">SUMIF('CAP23-24'!$B:$H,Insumo[[#This Row],[DESCRIPCION]],'CAP23-24'!$H:$H)</f>
        <v>0</v>
      </c>
      <c r="O850" s="69">
        <f ca="1">SUMIF('CAP25'!$B:$H,Insumo[[#This Row],[DESCRIPCION]],'CAP25'!$H:$H)</f>
        <v>0</v>
      </c>
      <c r="P850" s="69">
        <f ca="1">SUMIF('CAP26-28'!$B:$H,Insumo[[#This Row],[DESCRIPCION]],'CAP26-28'!$H:$H)</f>
        <v>0</v>
      </c>
      <c r="Q850" s="69">
        <f ca="1">SUMIF('CAP29'!$B:$H,Insumo[[#This Row],[DESCRIPCION]],'CAP29'!$H:$H)</f>
        <v>0</v>
      </c>
      <c r="R850" s="136" t="s">
        <v>2663</v>
      </c>
      <c r="T850" s="136">
        <v>35885</v>
      </c>
    </row>
    <row r="851" spans="1:20" ht="12" customHeight="1">
      <c r="A851" s="301" t="s">
        <v>3465</v>
      </c>
      <c r="B851" s="303" t="s">
        <v>23</v>
      </c>
      <c r="C851" s="304">
        <f t="shared" si="13"/>
        <v>11119.5</v>
      </c>
      <c r="D851" s="281" cm="1">
        <f t="array" aca="1" ref="D851" ca="1">IF(Insumo[[#This Row],[VALOR]]=0,Insumo[TOTAL],E851/C851)</f>
        <v>0</v>
      </c>
      <c r="E851" s="69">
        <f ca="1">SUM(Insumo[[#This Row],[CAP1-3]:[CAP29]])</f>
        <v>0</v>
      </c>
      <c r="F851" s="69">
        <f ca="1">SUMIF('CAP1-3'!$B:$H,Insumo[[#This Row],[DESCRIPCION]],'CAP1-3'!$H:$H)</f>
        <v>0</v>
      </c>
      <c r="G851" s="69">
        <f ca="1">SUMIF('CAP4-5'!$B:$H,Insumo[[#This Row],[DESCRIPCION]],'CAP4-5'!$H:$H)</f>
        <v>0</v>
      </c>
      <c r="H851" s="69">
        <f ca="1">SUMIF('CAP6-7'!$B:$H,Insumo[[#This Row],[DESCRIPCION]],'CAP6-7'!$H:$H)</f>
        <v>0</v>
      </c>
      <c r="I851" s="69">
        <f ca="1">SUMIF('CAP8'!$B:$H,Insumo[[#This Row],[DESCRIPCION]],'CAP8'!$H:$H)</f>
        <v>0</v>
      </c>
      <c r="J851" s="69">
        <f ca="1">SUMIF('CAP9-13'!$B:$H,Insumo[[#This Row],[DESCRIPCION]],'CAP9-13'!$H:$H)</f>
        <v>0</v>
      </c>
      <c r="K851" s="69">
        <f ca="1">SUMIF('CAP14-15'!$B:$H,Insumo[[#This Row],[DESCRIPCION]],'CAP14-15'!$H:$H)</f>
        <v>0</v>
      </c>
      <c r="L851" s="69">
        <f ca="1">SUMIF('CAP16-18'!$B:$H,Insumo[[#This Row],[DESCRIPCION]],'CAP16-18'!$H:$H)</f>
        <v>0</v>
      </c>
      <c r="M851" s="69">
        <f ca="1">SUMIF('CAP19-22'!$B:$H,Insumo[[#This Row],[DESCRIPCION]],'CAP19-22'!$H:$H)</f>
        <v>0</v>
      </c>
      <c r="N851" s="69">
        <f ca="1">SUMIF('CAP23-24'!$B:$H,Insumo[[#This Row],[DESCRIPCION]],'CAP23-24'!$H:$H)</f>
        <v>0</v>
      </c>
      <c r="O851" s="69">
        <f ca="1">SUMIF('CAP25'!$B:$H,Insumo[[#This Row],[DESCRIPCION]],'CAP25'!$H:$H)</f>
        <v>0</v>
      </c>
      <c r="P851" s="69">
        <f ca="1">SUMIF('CAP26-28'!$B:$H,Insumo[[#This Row],[DESCRIPCION]],'CAP26-28'!$H:$H)</f>
        <v>0</v>
      </c>
      <c r="Q851" s="69">
        <f ca="1">SUMIF('CAP29'!$B:$H,Insumo[[#This Row],[DESCRIPCION]],'CAP29'!$H:$H)</f>
        <v>0</v>
      </c>
      <c r="R851" s="136" t="s">
        <v>2663</v>
      </c>
      <c r="T851" s="136">
        <v>10590</v>
      </c>
    </row>
    <row r="852" spans="1:20" ht="12" customHeight="1">
      <c r="A852" s="301" t="s">
        <v>3466</v>
      </c>
      <c r="B852" s="303" t="s">
        <v>23</v>
      </c>
      <c r="C852" s="304">
        <f t="shared" si="13"/>
        <v>36508.5</v>
      </c>
      <c r="D852" s="281" cm="1">
        <f t="array" aca="1" ref="D852" ca="1">IF(Insumo[[#This Row],[VALOR]]=0,Insumo[TOTAL],E852/C852)</f>
        <v>0</v>
      </c>
      <c r="E852" s="69">
        <f ca="1">SUM(Insumo[[#This Row],[CAP1-3]:[CAP29]])</f>
        <v>0</v>
      </c>
      <c r="F852" s="69">
        <f ca="1">SUMIF('CAP1-3'!$B:$H,Insumo[[#This Row],[DESCRIPCION]],'CAP1-3'!$H:$H)</f>
        <v>0</v>
      </c>
      <c r="G852" s="69">
        <f ca="1">SUMIF('CAP4-5'!$B:$H,Insumo[[#This Row],[DESCRIPCION]],'CAP4-5'!$H:$H)</f>
        <v>0</v>
      </c>
      <c r="H852" s="69">
        <f ca="1">SUMIF('CAP6-7'!$B:$H,Insumo[[#This Row],[DESCRIPCION]],'CAP6-7'!$H:$H)</f>
        <v>0</v>
      </c>
      <c r="I852" s="69">
        <f ca="1">SUMIF('CAP8'!$B:$H,Insumo[[#This Row],[DESCRIPCION]],'CAP8'!$H:$H)</f>
        <v>0</v>
      </c>
      <c r="J852" s="69">
        <f ca="1">SUMIF('CAP9-13'!$B:$H,Insumo[[#This Row],[DESCRIPCION]],'CAP9-13'!$H:$H)</f>
        <v>0</v>
      </c>
      <c r="K852" s="69">
        <f ca="1">SUMIF('CAP14-15'!$B:$H,Insumo[[#This Row],[DESCRIPCION]],'CAP14-15'!$H:$H)</f>
        <v>0</v>
      </c>
      <c r="L852" s="69">
        <f ca="1">SUMIF('CAP16-18'!$B:$H,Insumo[[#This Row],[DESCRIPCION]],'CAP16-18'!$H:$H)</f>
        <v>0</v>
      </c>
      <c r="M852" s="69">
        <f ca="1">SUMIF('CAP19-22'!$B:$H,Insumo[[#This Row],[DESCRIPCION]],'CAP19-22'!$H:$H)</f>
        <v>0</v>
      </c>
      <c r="N852" s="69">
        <f ca="1">SUMIF('CAP23-24'!$B:$H,Insumo[[#This Row],[DESCRIPCION]],'CAP23-24'!$H:$H)</f>
        <v>0</v>
      </c>
      <c r="O852" s="69">
        <f ca="1">SUMIF('CAP25'!$B:$H,Insumo[[#This Row],[DESCRIPCION]],'CAP25'!$H:$H)</f>
        <v>0</v>
      </c>
      <c r="P852" s="69">
        <f ca="1">SUMIF('CAP26-28'!$B:$H,Insumo[[#This Row],[DESCRIPCION]],'CAP26-28'!$H:$H)</f>
        <v>0</v>
      </c>
      <c r="Q852" s="69">
        <f ca="1">SUMIF('CAP29'!$B:$H,Insumo[[#This Row],[DESCRIPCION]],'CAP29'!$H:$H)</f>
        <v>0</v>
      </c>
      <c r="T852" s="136">
        <v>34770</v>
      </c>
    </row>
    <row r="853" spans="1:20" ht="12" customHeight="1">
      <c r="A853" s="301" t="s">
        <v>3467</v>
      </c>
      <c r="B853" s="303" t="s">
        <v>30</v>
      </c>
      <c r="C853" s="304">
        <f t="shared" si="13"/>
        <v>44975.000000000007</v>
      </c>
      <c r="D853" s="281" cm="1">
        <f t="array" aca="1" ref="D853" ca="1">IF(Insumo[[#This Row],[VALOR]]=0,Insumo[TOTAL],E853/C853)</f>
        <v>0</v>
      </c>
      <c r="E853" s="69">
        <f ca="1">SUM(Insumo[[#This Row],[CAP1-3]:[CAP29]])</f>
        <v>0</v>
      </c>
      <c r="F853" s="69">
        <f ca="1">SUMIF('CAP1-3'!$B:$H,Insumo[[#This Row],[DESCRIPCION]],'CAP1-3'!$H:$H)</f>
        <v>0</v>
      </c>
      <c r="G853" s="69">
        <f ca="1">SUMIF('CAP4-5'!$B:$H,Insumo[[#This Row],[DESCRIPCION]],'CAP4-5'!$H:$H)</f>
        <v>0</v>
      </c>
      <c r="H853" s="69">
        <f ca="1">SUMIF('CAP6-7'!$B:$H,Insumo[[#This Row],[DESCRIPCION]],'CAP6-7'!$H:$H)</f>
        <v>0</v>
      </c>
      <c r="I853" s="69">
        <f ca="1">SUMIF('CAP8'!$B:$H,Insumo[[#This Row],[DESCRIPCION]],'CAP8'!$H:$H)</f>
        <v>0</v>
      </c>
      <c r="J853" s="69">
        <f ca="1">SUMIF('CAP9-13'!$B:$H,Insumo[[#This Row],[DESCRIPCION]],'CAP9-13'!$H:$H)</f>
        <v>0</v>
      </c>
      <c r="K853" s="69">
        <f ca="1">SUMIF('CAP14-15'!$B:$H,Insumo[[#This Row],[DESCRIPCION]],'CAP14-15'!$H:$H)</f>
        <v>0</v>
      </c>
      <c r="L853" s="69">
        <f ca="1">SUMIF('CAP16-18'!$B:$H,Insumo[[#This Row],[DESCRIPCION]],'CAP16-18'!$H:$H)</f>
        <v>0</v>
      </c>
      <c r="M853" s="69">
        <f ca="1">SUMIF('CAP19-22'!$B:$H,Insumo[[#This Row],[DESCRIPCION]],'CAP19-22'!$H:$H)</f>
        <v>0</v>
      </c>
      <c r="N853" s="69">
        <f ca="1">SUMIF('CAP23-24'!$B:$H,Insumo[[#This Row],[DESCRIPCION]],'CAP23-24'!$H:$H)</f>
        <v>0</v>
      </c>
      <c r="O853" s="69">
        <f ca="1">SUMIF('CAP25'!$B:$H,Insumo[[#This Row],[DESCRIPCION]],'CAP25'!$H:$H)</f>
        <v>0</v>
      </c>
      <c r="P853" s="69">
        <f ca="1">SUMIF('CAP26-28'!$B:$H,Insumo[[#This Row],[DESCRIPCION]],'CAP26-28'!$H:$H)</f>
        <v>0</v>
      </c>
      <c r="Q853" s="69">
        <f ca="1">SUMIF('CAP29'!$B:$H,Insumo[[#This Row],[DESCRIPCION]],'CAP29'!$H:$H)</f>
        <v>0</v>
      </c>
      <c r="T853" s="136">
        <v>42833.333333333336</v>
      </c>
    </row>
    <row r="854" spans="1:20" ht="12" customHeight="1">
      <c r="A854" s="301" t="s">
        <v>3468</v>
      </c>
      <c r="B854" s="303" t="s">
        <v>30</v>
      </c>
      <c r="C854" s="304">
        <f t="shared" si="13"/>
        <v>36925</v>
      </c>
      <c r="D854" s="281" cm="1">
        <f t="array" aca="1" ref="D854" ca="1">IF(Insumo[[#This Row],[VALOR]]=0,Insumo[TOTAL],E854/C854)</f>
        <v>0</v>
      </c>
      <c r="E854" s="69">
        <f ca="1">SUM(Insumo[[#This Row],[CAP1-3]:[CAP29]])</f>
        <v>0</v>
      </c>
      <c r="F854" s="69">
        <f ca="1">SUMIF('CAP1-3'!$B:$H,Insumo[[#This Row],[DESCRIPCION]],'CAP1-3'!$H:$H)</f>
        <v>0</v>
      </c>
      <c r="G854" s="69">
        <f ca="1">SUMIF('CAP4-5'!$B:$H,Insumo[[#This Row],[DESCRIPCION]],'CAP4-5'!$H:$H)</f>
        <v>0</v>
      </c>
      <c r="H854" s="69">
        <f ca="1">SUMIF('CAP6-7'!$B:$H,Insumo[[#This Row],[DESCRIPCION]],'CAP6-7'!$H:$H)</f>
        <v>0</v>
      </c>
      <c r="I854" s="69">
        <f ca="1">SUMIF('CAP8'!$B:$H,Insumo[[#This Row],[DESCRIPCION]],'CAP8'!$H:$H)</f>
        <v>0</v>
      </c>
      <c r="J854" s="69">
        <f ca="1">SUMIF('CAP9-13'!$B:$H,Insumo[[#This Row],[DESCRIPCION]],'CAP9-13'!$H:$H)</f>
        <v>0</v>
      </c>
      <c r="K854" s="69">
        <f ca="1">SUMIF('CAP14-15'!$B:$H,Insumo[[#This Row],[DESCRIPCION]],'CAP14-15'!$H:$H)</f>
        <v>0</v>
      </c>
      <c r="L854" s="69">
        <f ca="1">SUMIF('CAP16-18'!$B:$H,Insumo[[#This Row],[DESCRIPCION]],'CAP16-18'!$H:$H)</f>
        <v>0</v>
      </c>
      <c r="M854" s="69">
        <f ca="1">SUMIF('CAP19-22'!$B:$H,Insumo[[#This Row],[DESCRIPCION]],'CAP19-22'!$H:$H)</f>
        <v>0</v>
      </c>
      <c r="N854" s="69">
        <f ca="1">SUMIF('CAP23-24'!$B:$H,Insumo[[#This Row],[DESCRIPCION]],'CAP23-24'!$H:$H)</f>
        <v>0</v>
      </c>
      <c r="O854" s="69">
        <f ca="1">SUMIF('CAP25'!$B:$H,Insumo[[#This Row],[DESCRIPCION]],'CAP25'!$H:$H)</f>
        <v>0</v>
      </c>
      <c r="P854" s="69">
        <f ca="1">SUMIF('CAP26-28'!$B:$H,Insumo[[#This Row],[DESCRIPCION]],'CAP26-28'!$H:$H)</f>
        <v>0</v>
      </c>
      <c r="Q854" s="69">
        <f ca="1">SUMIF('CAP29'!$B:$H,Insumo[[#This Row],[DESCRIPCION]],'CAP29'!$H:$H)</f>
        <v>0</v>
      </c>
      <c r="R854" s="290"/>
      <c r="T854" s="136">
        <v>35166.666666666664</v>
      </c>
    </row>
    <row r="855" spans="1:20" ht="12" customHeight="1">
      <c r="A855" s="301" t="s">
        <v>3469</v>
      </c>
      <c r="B855" s="303" t="s">
        <v>30</v>
      </c>
      <c r="C855" s="304">
        <f t="shared" si="13"/>
        <v>14244.300000000001</v>
      </c>
      <c r="D855" s="281" cm="1">
        <f t="array" aca="1" ref="D855" ca="1">IF(Insumo[[#This Row],[VALOR]]=0,Insumo[TOTAL],E855/C855)</f>
        <v>0</v>
      </c>
      <c r="E855" s="69">
        <f ca="1">SUM(Insumo[[#This Row],[CAP1-3]:[CAP29]])</f>
        <v>0</v>
      </c>
      <c r="F855" s="69">
        <f ca="1">SUMIF('CAP1-3'!$B:$H,Insumo[[#This Row],[DESCRIPCION]],'CAP1-3'!$H:$H)</f>
        <v>0</v>
      </c>
      <c r="G855" s="69">
        <f ca="1">SUMIF('CAP4-5'!$B:$H,Insumo[[#This Row],[DESCRIPCION]],'CAP4-5'!$H:$H)</f>
        <v>0</v>
      </c>
      <c r="H855" s="69">
        <f ca="1">SUMIF('CAP6-7'!$B:$H,Insumo[[#This Row],[DESCRIPCION]],'CAP6-7'!$H:$H)</f>
        <v>0</v>
      </c>
      <c r="I855" s="69">
        <f ca="1">SUMIF('CAP8'!$B:$H,Insumo[[#This Row],[DESCRIPCION]],'CAP8'!$H:$H)</f>
        <v>0</v>
      </c>
      <c r="J855" s="69">
        <f ca="1">SUMIF('CAP9-13'!$B:$H,Insumo[[#This Row],[DESCRIPCION]],'CAP9-13'!$H:$H)</f>
        <v>0</v>
      </c>
      <c r="K855" s="69">
        <f ca="1">SUMIF('CAP14-15'!$B:$H,Insumo[[#This Row],[DESCRIPCION]],'CAP14-15'!$H:$H)</f>
        <v>0</v>
      </c>
      <c r="L855" s="69">
        <f ca="1">SUMIF('CAP16-18'!$B:$H,Insumo[[#This Row],[DESCRIPCION]],'CAP16-18'!$H:$H)</f>
        <v>0</v>
      </c>
      <c r="M855" s="69">
        <f ca="1">SUMIF('CAP19-22'!$B:$H,Insumo[[#This Row],[DESCRIPCION]],'CAP19-22'!$H:$H)</f>
        <v>0</v>
      </c>
      <c r="N855" s="69">
        <f ca="1">SUMIF('CAP23-24'!$B:$H,Insumo[[#This Row],[DESCRIPCION]],'CAP23-24'!$H:$H)</f>
        <v>0</v>
      </c>
      <c r="O855" s="69">
        <f ca="1">SUMIF('CAP25'!$B:$H,Insumo[[#This Row],[DESCRIPCION]],'CAP25'!$H:$H)</f>
        <v>0</v>
      </c>
      <c r="P855" s="69">
        <f ca="1">SUMIF('CAP26-28'!$B:$H,Insumo[[#This Row],[DESCRIPCION]],'CAP26-28'!$H:$H)</f>
        <v>0</v>
      </c>
      <c r="Q855" s="69">
        <f ca="1">SUMIF('CAP29'!$B:$H,Insumo[[#This Row],[DESCRIPCION]],'CAP29'!$H:$H)</f>
        <v>0</v>
      </c>
      <c r="T855" s="136">
        <v>13566</v>
      </c>
    </row>
    <row r="856" spans="1:20" ht="12" customHeight="1">
      <c r="A856" s="301" t="s">
        <v>3470</v>
      </c>
      <c r="B856" s="303" t="s">
        <v>30</v>
      </c>
      <c r="C856" s="304">
        <f t="shared" si="13"/>
        <v>21000</v>
      </c>
      <c r="D856" s="281" cm="1">
        <f t="array" aca="1" ref="D856" ca="1">IF(Insumo[[#This Row],[VALOR]]=0,Insumo[TOTAL],E856/C856)</f>
        <v>0</v>
      </c>
      <c r="E856" s="69">
        <f ca="1">SUM(Insumo[[#This Row],[CAP1-3]:[CAP29]])</f>
        <v>0</v>
      </c>
      <c r="F856" s="69">
        <f ca="1">SUMIF('CAP1-3'!$B:$H,Insumo[[#This Row],[DESCRIPCION]],'CAP1-3'!$H:$H)</f>
        <v>0</v>
      </c>
      <c r="G856" s="69">
        <f ca="1">SUMIF('CAP4-5'!$B:$H,Insumo[[#This Row],[DESCRIPCION]],'CAP4-5'!$H:$H)</f>
        <v>0</v>
      </c>
      <c r="H856" s="69">
        <f ca="1">SUMIF('CAP6-7'!$B:$H,Insumo[[#This Row],[DESCRIPCION]],'CAP6-7'!$H:$H)</f>
        <v>0</v>
      </c>
      <c r="I856" s="69">
        <f ca="1">SUMIF('CAP8'!$B:$H,Insumo[[#This Row],[DESCRIPCION]],'CAP8'!$H:$H)</f>
        <v>0</v>
      </c>
      <c r="J856" s="69">
        <f ca="1">SUMIF('CAP9-13'!$B:$H,Insumo[[#This Row],[DESCRIPCION]],'CAP9-13'!$H:$H)</f>
        <v>0</v>
      </c>
      <c r="K856" s="69">
        <f ca="1">SUMIF('CAP14-15'!$B:$H,Insumo[[#This Row],[DESCRIPCION]],'CAP14-15'!$H:$H)</f>
        <v>0</v>
      </c>
      <c r="L856" s="69">
        <f ca="1">SUMIF('CAP16-18'!$B:$H,Insumo[[#This Row],[DESCRIPCION]],'CAP16-18'!$H:$H)</f>
        <v>0</v>
      </c>
      <c r="M856" s="69">
        <f ca="1">SUMIF('CAP19-22'!$B:$H,Insumo[[#This Row],[DESCRIPCION]],'CAP19-22'!$H:$H)</f>
        <v>0</v>
      </c>
      <c r="N856" s="69">
        <f ca="1">SUMIF('CAP23-24'!$B:$H,Insumo[[#This Row],[DESCRIPCION]],'CAP23-24'!$H:$H)</f>
        <v>0</v>
      </c>
      <c r="O856" s="69">
        <f ca="1">SUMIF('CAP25'!$B:$H,Insumo[[#This Row],[DESCRIPCION]],'CAP25'!$H:$H)</f>
        <v>0</v>
      </c>
      <c r="P856" s="69">
        <f ca="1">SUMIF('CAP26-28'!$B:$H,Insumo[[#This Row],[DESCRIPCION]],'CAP26-28'!$H:$H)</f>
        <v>0</v>
      </c>
      <c r="Q856" s="69">
        <f ca="1">SUMIF('CAP29'!$B:$H,Insumo[[#This Row],[DESCRIPCION]],'CAP29'!$H:$H)</f>
        <v>0</v>
      </c>
      <c r="T856" s="136">
        <v>20000</v>
      </c>
    </row>
    <row r="857" spans="1:20" ht="12" customHeight="1">
      <c r="A857" s="301" t="s">
        <v>3471</v>
      </c>
      <c r="B857" s="303" t="s">
        <v>30</v>
      </c>
      <c r="C857" s="304">
        <f t="shared" si="13"/>
        <v>29624.7</v>
      </c>
      <c r="D857" s="281" cm="1">
        <f t="array" aca="1" ref="D857" ca="1">IF(Insumo[[#This Row],[VALOR]]=0,Insumo[TOTAL],E857/C857)</f>
        <v>0</v>
      </c>
      <c r="E857" s="69">
        <f ca="1">SUM(Insumo[[#This Row],[CAP1-3]:[CAP29]])</f>
        <v>0</v>
      </c>
      <c r="F857" s="69">
        <f ca="1">SUMIF('CAP1-3'!$B:$H,Insumo[[#This Row],[DESCRIPCION]],'CAP1-3'!$H:$H)</f>
        <v>0</v>
      </c>
      <c r="G857" s="69">
        <f ca="1">SUMIF('CAP4-5'!$B:$H,Insumo[[#This Row],[DESCRIPCION]],'CAP4-5'!$H:$H)</f>
        <v>0</v>
      </c>
      <c r="H857" s="69">
        <f ca="1">SUMIF('CAP6-7'!$B:$H,Insumo[[#This Row],[DESCRIPCION]],'CAP6-7'!$H:$H)</f>
        <v>0</v>
      </c>
      <c r="I857" s="69">
        <f ca="1">SUMIF('CAP8'!$B:$H,Insumo[[#This Row],[DESCRIPCION]],'CAP8'!$H:$H)</f>
        <v>0</v>
      </c>
      <c r="J857" s="69">
        <f ca="1">SUMIF('CAP9-13'!$B:$H,Insumo[[#This Row],[DESCRIPCION]],'CAP9-13'!$H:$H)</f>
        <v>0</v>
      </c>
      <c r="K857" s="69">
        <f ca="1">SUMIF('CAP14-15'!$B:$H,Insumo[[#This Row],[DESCRIPCION]],'CAP14-15'!$H:$H)</f>
        <v>0</v>
      </c>
      <c r="L857" s="69">
        <f ca="1">SUMIF('CAP16-18'!$B:$H,Insumo[[#This Row],[DESCRIPCION]],'CAP16-18'!$H:$H)</f>
        <v>0</v>
      </c>
      <c r="M857" s="69">
        <f ca="1">SUMIF('CAP19-22'!$B:$H,Insumo[[#This Row],[DESCRIPCION]],'CAP19-22'!$H:$H)</f>
        <v>0</v>
      </c>
      <c r="N857" s="69">
        <f ca="1">SUMIF('CAP23-24'!$B:$H,Insumo[[#This Row],[DESCRIPCION]],'CAP23-24'!$H:$H)</f>
        <v>0</v>
      </c>
      <c r="O857" s="69">
        <f ca="1">SUMIF('CAP25'!$B:$H,Insumo[[#This Row],[DESCRIPCION]],'CAP25'!$H:$H)</f>
        <v>0</v>
      </c>
      <c r="P857" s="69">
        <f ca="1">SUMIF('CAP26-28'!$B:$H,Insumo[[#This Row],[DESCRIPCION]],'CAP26-28'!$H:$H)</f>
        <v>0</v>
      </c>
      <c r="Q857" s="69">
        <f ca="1">SUMIF('CAP29'!$B:$H,Insumo[[#This Row],[DESCRIPCION]],'CAP29'!$H:$H)</f>
        <v>0</v>
      </c>
      <c r="R857" s="136" t="s">
        <v>2622</v>
      </c>
      <c r="T857" s="136">
        <v>28214</v>
      </c>
    </row>
    <row r="858" spans="1:20" ht="12" customHeight="1">
      <c r="A858" s="301" t="s">
        <v>3472</v>
      </c>
      <c r="B858" s="303" t="s">
        <v>30</v>
      </c>
      <c r="C858" s="304">
        <f t="shared" si="13"/>
        <v>60042.15</v>
      </c>
      <c r="D858" s="281" cm="1">
        <f t="array" aca="1" ref="D858" ca="1">IF(Insumo[[#This Row],[VALOR]]=0,Insumo[TOTAL],E858/C858)</f>
        <v>0</v>
      </c>
      <c r="E858" s="69">
        <f ca="1">SUM(Insumo[[#This Row],[CAP1-3]:[CAP29]])</f>
        <v>0</v>
      </c>
      <c r="F858" s="69">
        <f ca="1">SUMIF('CAP1-3'!$B:$H,Insumo[[#This Row],[DESCRIPCION]],'CAP1-3'!$H:$H)</f>
        <v>0</v>
      </c>
      <c r="G858" s="69">
        <f ca="1">SUMIF('CAP4-5'!$B:$H,Insumo[[#This Row],[DESCRIPCION]],'CAP4-5'!$H:$H)</f>
        <v>0</v>
      </c>
      <c r="H858" s="69">
        <f ca="1">SUMIF('CAP6-7'!$B:$H,Insumo[[#This Row],[DESCRIPCION]],'CAP6-7'!$H:$H)</f>
        <v>0</v>
      </c>
      <c r="I858" s="69">
        <f ca="1">SUMIF('CAP8'!$B:$H,Insumo[[#This Row],[DESCRIPCION]],'CAP8'!$H:$H)</f>
        <v>0</v>
      </c>
      <c r="J858" s="69">
        <f ca="1">SUMIF('CAP9-13'!$B:$H,Insumo[[#This Row],[DESCRIPCION]],'CAP9-13'!$H:$H)</f>
        <v>0</v>
      </c>
      <c r="K858" s="69">
        <f ca="1">SUMIF('CAP14-15'!$B:$H,Insumo[[#This Row],[DESCRIPCION]],'CAP14-15'!$H:$H)</f>
        <v>0</v>
      </c>
      <c r="L858" s="69">
        <f ca="1">SUMIF('CAP16-18'!$B:$H,Insumo[[#This Row],[DESCRIPCION]],'CAP16-18'!$H:$H)</f>
        <v>0</v>
      </c>
      <c r="M858" s="69">
        <f ca="1">SUMIF('CAP19-22'!$B:$H,Insumo[[#This Row],[DESCRIPCION]],'CAP19-22'!$H:$H)</f>
        <v>0</v>
      </c>
      <c r="N858" s="69">
        <f ca="1">SUMIF('CAP23-24'!$B:$H,Insumo[[#This Row],[DESCRIPCION]],'CAP23-24'!$H:$H)</f>
        <v>0</v>
      </c>
      <c r="O858" s="69">
        <f ca="1">SUMIF('CAP25'!$B:$H,Insumo[[#This Row],[DESCRIPCION]],'CAP25'!$H:$H)</f>
        <v>0</v>
      </c>
      <c r="P858" s="69">
        <f ca="1">SUMIF('CAP26-28'!$B:$H,Insumo[[#This Row],[DESCRIPCION]],'CAP26-28'!$H:$H)</f>
        <v>0</v>
      </c>
      <c r="Q858" s="69">
        <f ca="1">SUMIF('CAP29'!$B:$H,Insumo[[#This Row],[DESCRIPCION]],'CAP29'!$H:$H)</f>
        <v>0</v>
      </c>
      <c r="R858" s="136" t="s">
        <v>2622</v>
      </c>
      <c r="T858" s="136">
        <v>57183</v>
      </c>
    </row>
    <row r="859" spans="1:20" ht="12" customHeight="1">
      <c r="A859" s="301" t="s">
        <v>3473</v>
      </c>
      <c r="B859" s="303" t="s">
        <v>30</v>
      </c>
      <c r="C859" s="304">
        <f t="shared" si="13"/>
        <v>85483.650000000009</v>
      </c>
      <c r="D859" s="281" cm="1">
        <f t="array" aca="1" ref="D859" ca="1">IF(Insumo[[#This Row],[VALOR]]=0,Insumo[TOTAL],E859/C859)</f>
        <v>0</v>
      </c>
      <c r="E859" s="69">
        <f ca="1">SUM(Insumo[[#This Row],[CAP1-3]:[CAP29]])</f>
        <v>0</v>
      </c>
      <c r="F859" s="69">
        <f ca="1">SUMIF('CAP1-3'!$B:$H,Insumo[[#This Row],[DESCRIPCION]],'CAP1-3'!$H:$H)</f>
        <v>0</v>
      </c>
      <c r="G859" s="69">
        <f ca="1">SUMIF('CAP4-5'!$B:$H,Insumo[[#This Row],[DESCRIPCION]],'CAP4-5'!$H:$H)</f>
        <v>0</v>
      </c>
      <c r="H859" s="69">
        <f ca="1">SUMIF('CAP6-7'!$B:$H,Insumo[[#This Row],[DESCRIPCION]],'CAP6-7'!$H:$H)</f>
        <v>0</v>
      </c>
      <c r="I859" s="69">
        <f ca="1">SUMIF('CAP8'!$B:$H,Insumo[[#This Row],[DESCRIPCION]],'CAP8'!$H:$H)</f>
        <v>0</v>
      </c>
      <c r="J859" s="69">
        <f ca="1">SUMIF('CAP9-13'!$B:$H,Insumo[[#This Row],[DESCRIPCION]],'CAP9-13'!$H:$H)</f>
        <v>0</v>
      </c>
      <c r="K859" s="69">
        <f ca="1">SUMIF('CAP14-15'!$B:$H,Insumo[[#This Row],[DESCRIPCION]],'CAP14-15'!$H:$H)</f>
        <v>0</v>
      </c>
      <c r="L859" s="69">
        <f ca="1">SUMIF('CAP16-18'!$B:$H,Insumo[[#This Row],[DESCRIPCION]],'CAP16-18'!$H:$H)</f>
        <v>0</v>
      </c>
      <c r="M859" s="69">
        <f ca="1">SUMIF('CAP19-22'!$B:$H,Insumo[[#This Row],[DESCRIPCION]],'CAP19-22'!$H:$H)</f>
        <v>0</v>
      </c>
      <c r="N859" s="69">
        <f ca="1">SUMIF('CAP23-24'!$B:$H,Insumo[[#This Row],[DESCRIPCION]],'CAP23-24'!$H:$H)</f>
        <v>0</v>
      </c>
      <c r="O859" s="69">
        <f ca="1">SUMIF('CAP25'!$B:$H,Insumo[[#This Row],[DESCRIPCION]],'CAP25'!$H:$H)</f>
        <v>0</v>
      </c>
      <c r="P859" s="69">
        <f ca="1">SUMIF('CAP26-28'!$B:$H,Insumo[[#This Row],[DESCRIPCION]],'CAP26-28'!$H:$H)</f>
        <v>0</v>
      </c>
      <c r="Q859" s="69">
        <f ca="1">SUMIF('CAP29'!$B:$H,Insumo[[#This Row],[DESCRIPCION]],'CAP29'!$H:$H)</f>
        <v>0</v>
      </c>
      <c r="R859" s="136" t="s">
        <v>2622</v>
      </c>
      <c r="T859" s="136">
        <v>81413</v>
      </c>
    </row>
    <row r="860" spans="1:20" ht="12" customHeight="1">
      <c r="A860" s="301" t="s">
        <v>3474</v>
      </c>
      <c r="B860" s="303" t="s">
        <v>30</v>
      </c>
      <c r="C860" s="304">
        <f t="shared" si="13"/>
        <v>16769.55</v>
      </c>
      <c r="D860" s="281" cm="1">
        <f t="array" aca="1" ref="D860" ca="1">IF(Insumo[[#This Row],[VALOR]]=0,Insumo[TOTAL],E860/C860)</f>
        <v>0</v>
      </c>
      <c r="E860" s="69">
        <f ca="1">SUM(Insumo[[#This Row],[CAP1-3]:[CAP29]])</f>
        <v>0</v>
      </c>
      <c r="F860" s="69">
        <f ca="1">SUMIF('CAP1-3'!$B:$H,Insumo[[#This Row],[DESCRIPCION]],'CAP1-3'!$H:$H)</f>
        <v>0</v>
      </c>
      <c r="G860" s="69">
        <f ca="1">SUMIF('CAP4-5'!$B:$H,Insumo[[#This Row],[DESCRIPCION]],'CAP4-5'!$H:$H)</f>
        <v>0</v>
      </c>
      <c r="H860" s="69">
        <f ca="1">SUMIF('CAP6-7'!$B:$H,Insumo[[#This Row],[DESCRIPCION]],'CAP6-7'!$H:$H)</f>
        <v>0</v>
      </c>
      <c r="I860" s="69">
        <f ca="1">SUMIF('CAP8'!$B:$H,Insumo[[#This Row],[DESCRIPCION]],'CAP8'!$H:$H)</f>
        <v>0</v>
      </c>
      <c r="J860" s="69">
        <f ca="1">SUMIF('CAP9-13'!$B:$H,Insumo[[#This Row],[DESCRIPCION]],'CAP9-13'!$H:$H)</f>
        <v>0</v>
      </c>
      <c r="K860" s="69">
        <f ca="1">SUMIF('CAP14-15'!$B:$H,Insumo[[#This Row],[DESCRIPCION]],'CAP14-15'!$H:$H)</f>
        <v>0</v>
      </c>
      <c r="L860" s="69">
        <f ca="1">SUMIF('CAP16-18'!$B:$H,Insumo[[#This Row],[DESCRIPCION]],'CAP16-18'!$H:$H)</f>
        <v>0</v>
      </c>
      <c r="M860" s="69">
        <f ca="1">SUMIF('CAP19-22'!$B:$H,Insumo[[#This Row],[DESCRIPCION]],'CAP19-22'!$H:$H)</f>
        <v>0</v>
      </c>
      <c r="N860" s="69">
        <f ca="1">SUMIF('CAP23-24'!$B:$H,Insumo[[#This Row],[DESCRIPCION]],'CAP23-24'!$H:$H)</f>
        <v>0</v>
      </c>
      <c r="O860" s="69">
        <f ca="1">SUMIF('CAP25'!$B:$H,Insumo[[#This Row],[DESCRIPCION]],'CAP25'!$H:$H)</f>
        <v>0</v>
      </c>
      <c r="P860" s="69">
        <f ca="1">SUMIF('CAP26-28'!$B:$H,Insumo[[#This Row],[DESCRIPCION]],'CAP26-28'!$H:$H)</f>
        <v>0</v>
      </c>
      <c r="Q860" s="69">
        <f ca="1">SUMIF('CAP29'!$B:$H,Insumo[[#This Row],[DESCRIPCION]],'CAP29'!$H:$H)</f>
        <v>0</v>
      </c>
      <c r="T860" s="136">
        <v>15971</v>
      </c>
    </row>
    <row r="861" spans="1:20" ht="12" customHeight="1">
      <c r="A861" s="301" t="s">
        <v>3475</v>
      </c>
      <c r="B861" s="303" t="s">
        <v>30</v>
      </c>
      <c r="C861" s="304">
        <f t="shared" si="13"/>
        <v>3307094.7</v>
      </c>
      <c r="D861" s="281" cm="1">
        <f t="array" aca="1" ref="D861" ca="1">IF(Insumo[[#This Row],[VALOR]]=0,Insumo[TOTAL],E861/C861)</f>
        <v>0</v>
      </c>
      <c r="E861" s="69">
        <f ca="1">SUM(Insumo[[#This Row],[CAP1-3]:[CAP29]])</f>
        <v>0</v>
      </c>
      <c r="F861" s="69">
        <f ca="1">SUMIF('CAP1-3'!$B:$H,Insumo[[#This Row],[DESCRIPCION]],'CAP1-3'!$H:$H)</f>
        <v>0</v>
      </c>
      <c r="G861" s="69">
        <f ca="1">SUMIF('CAP4-5'!$B:$H,Insumo[[#This Row],[DESCRIPCION]],'CAP4-5'!$H:$H)</f>
        <v>0</v>
      </c>
      <c r="H861" s="69">
        <f ca="1">SUMIF('CAP6-7'!$B:$H,Insumo[[#This Row],[DESCRIPCION]],'CAP6-7'!$H:$H)</f>
        <v>0</v>
      </c>
      <c r="I861" s="69">
        <f ca="1">SUMIF('CAP8'!$B:$H,Insumo[[#This Row],[DESCRIPCION]],'CAP8'!$H:$H)</f>
        <v>0</v>
      </c>
      <c r="J861" s="69">
        <f ca="1">SUMIF('CAP9-13'!$B:$H,Insumo[[#This Row],[DESCRIPCION]],'CAP9-13'!$H:$H)</f>
        <v>0</v>
      </c>
      <c r="K861" s="69">
        <f ca="1">SUMIF('CAP14-15'!$B:$H,Insumo[[#This Row],[DESCRIPCION]],'CAP14-15'!$H:$H)</f>
        <v>0</v>
      </c>
      <c r="L861" s="69">
        <f ca="1">SUMIF('CAP16-18'!$B:$H,Insumo[[#This Row],[DESCRIPCION]],'CAP16-18'!$H:$H)</f>
        <v>0</v>
      </c>
      <c r="M861" s="69">
        <f ca="1">SUMIF('CAP19-22'!$B:$H,Insumo[[#This Row],[DESCRIPCION]],'CAP19-22'!$H:$H)</f>
        <v>0</v>
      </c>
      <c r="N861" s="69">
        <f ca="1">SUMIF('CAP23-24'!$B:$H,Insumo[[#This Row],[DESCRIPCION]],'CAP23-24'!$H:$H)</f>
        <v>0</v>
      </c>
      <c r="O861" s="69">
        <f ca="1">SUMIF('CAP25'!$B:$H,Insumo[[#This Row],[DESCRIPCION]],'CAP25'!$H:$H)</f>
        <v>0</v>
      </c>
      <c r="P861" s="69">
        <f ca="1">SUMIF('CAP26-28'!$B:$H,Insumo[[#This Row],[DESCRIPCION]],'CAP26-28'!$H:$H)</f>
        <v>0</v>
      </c>
      <c r="Q861" s="69">
        <f ca="1">SUMIF('CAP29'!$B:$H,Insumo[[#This Row],[DESCRIPCION]],'CAP29'!$H:$H)</f>
        <v>0</v>
      </c>
      <c r="R861" s="136" t="s">
        <v>3476</v>
      </c>
      <c r="T861" s="136">
        <v>3149614</v>
      </c>
    </row>
    <row r="862" spans="1:20" ht="12" customHeight="1">
      <c r="A862" s="301" t="s">
        <v>3477</v>
      </c>
      <c r="B862" s="303" t="s">
        <v>30</v>
      </c>
      <c r="C862" s="304">
        <f t="shared" si="13"/>
        <v>31438.050000000003</v>
      </c>
      <c r="D862" s="281" cm="1">
        <f t="array" aca="1" ref="D862" ca="1">IF(Insumo[[#This Row],[VALOR]]=0,Insumo[TOTAL],E862/C862)</f>
        <v>0</v>
      </c>
      <c r="E862" s="69">
        <f ca="1">SUM(Insumo[[#This Row],[CAP1-3]:[CAP29]])</f>
        <v>0</v>
      </c>
      <c r="F862" s="69">
        <f ca="1">SUMIF('CAP1-3'!$B:$H,Insumo[[#This Row],[DESCRIPCION]],'CAP1-3'!$H:$H)</f>
        <v>0</v>
      </c>
      <c r="G862" s="69">
        <f ca="1">SUMIF('CAP4-5'!$B:$H,Insumo[[#This Row],[DESCRIPCION]],'CAP4-5'!$H:$H)</f>
        <v>0</v>
      </c>
      <c r="H862" s="69">
        <f ca="1">SUMIF('CAP6-7'!$B:$H,Insumo[[#This Row],[DESCRIPCION]],'CAP6-7'!$H:$H)</f>
        <v>0</v>
      </c>
      <c r="I862" s="69">
        <f ca="1">SUMIF('CAP8'!$B:$H,Insumo[[#This Row],[DESCRIPCION]],'CAP8'!$H:$H)</f>
        <v>0</v>
      </c>
      <c r="J862" s="69">
        <f ca="1">SUMIF('CAP9-13'!$B:$H,Insumo[[#This Row],[DESCRIPCION]],'CAP9-13'!$H:$H)</f>
        <v>0</v>
      </c>
      <c r="K862" s="69">
        <f ca="1">SUMIF('CAP14-15'!$B:$H,Insumo[[#This Row],[DESCRIPCION]],'CAP14-15'!$H:$H)</f>
        <v>0</v>
      </c>
      <c r="L862" s="69">
        <f ca="1">SUMIF('CAP16-18'!$B:$H,Insumo[[#This Row],[DESCRIPCION]],'CAP16-18'!$H:$H)</f>
        <v>0</v>
      </c>
      <c r="M862" s="69">
        <f ca="1">SUMIF('CAP19-22'!$B:$H,Insumo[[#This Row],[DESCRIPCION]],'CAP19-22'!$H:$H)</f>
        <v>0</v>
      </c>
      <c r="N862" s="69">
        <f ca="1">SUMIF('CAP23-24'!$B:$H,Insumo[[#This Row],[DESCRIPCION]],'CAP23-24'!$H:$H)</f>
        <v>0</v>
      </c>
      <c r="O862" s="69">
        <f ca="1">SUMIF('CAP25'!$B:$H,Insumo[[#This Row],[DESCRIPCION]],'CAP25'!$H:$H)</f>
        <v>0</v>
      </c>
      <c r="P862" s="69">
        <f ca="1">SUMIF('CAP26-28'!$B:$H,Insumo[[#This Row],[DESCRIPCION]],'CAP26-28'!$H:$H)</f>
        <v>0</v>
      </c>
      <c r="Q862" s="69">
        <f ca="1">SUMIF('CAP29'!$B:$H,Insumo[[#This Row],[DESCRIPCION]],'CAP29'!$H:$H)</f>
        <v>0</v>
      </c>
      <c r="R862" s="136" t="s">
        <v>3476</v>
      </c>
      <c r="T862" s="136">
        <v>29941</v>
      </c>
    </row>
    <row r="863" spans="1:20" ht="12" customHeight="1">
      <c r="A863" s="301" t="s">
        <v>3478</v>
      </c>
      <c r="B863" s="303" t="s">
        <v>30</v>
      </c>
      <c r="C863" s="304">
        <f t="shared" si="13"/>
        <v>59749.200000000004</v>
      </c>
      <c r="D863" s="281" cm="1">
        <f t="array" aca="1" ref="D863" ca="1">IF(Insumo[[#This Row],[VALOR]]=0,Insumo[TOTAL],E863/C863)</f>
        <v>0</v>
      </c>
      <c r="E863" s="69">
        <f ca="1">SUM(Insumo[[#This Row],[CAP1-3]:[CAP29]])</f>
        <v>0</v>
      </c>
      <c r="F863" s="69">
        <f ca="1">SUMIF('CAP1-3'!$B:$H,Insumo[[#This Row],[DESCRIPCION]],'CAP1-3'!$H:$H)</f>
        <v>0</v>
      </c>
      <c r="G863" s="69">
        <f ca="1">SUMIF('CAP4-5'!$B:$H,Insumo[[#This Row],[DESCRIPCION]],'CAP4-5'!$H:$H)</f>
        <v>0</v>
      </c>
      <c r="H863" s="69">
        <f ca="1">SUMIF('CAP6-7'!$B:$H,Insumo[[#This Row],[DESCRIPCION]],'CAP6-7'!$H:$H)</f>
        <v>0</v>
      </c>
      <c r="I863" s="69">
        <f ca="1">SUMIF('CAP8'!$B:$H,Insumo[[#This Row],[DESCRIPCION]],'CAP8'!$H:$H)</f>
        <v>0</v>
      </c>
      <c r="J863" s="69">
        <f ca="1">SUMIF('CAP9-13'!$B:$H,Insumo[[#This Row],[DESCRIPCION]],'CAP9-13'!$H:$H)</f>
        <v>0</v>
      </c>
      <c r="K863" s="69">
        <f ca="1">SUMIF('CAP14-15'!$B:$H,Insumo[[#This Row],[DESCRIPCION]],'CAP14-15'!$H:$H)</f>
        <v>0</v>
      </c>
      <c r="L863" s="69">
        <f ca="1">SUMIF('CAP16-18'!$B:$H,Insumo[[#This Row],[DESCRIPCION]],'CAP16-18'!$H:$H)</f>
        <v>0</v>
      </c>
      <c r="M863" s="69">
        <f ca="1">SUMIF('CAP19-22'!$B:$H,Insumo[[#This Row],[DESCRIPCION]],'CAP19-22'!$H:$H)</f>
        <v>0</v>
      </c>
      <c r="N863" s="69">
        <f ca="1">SUMIF('CAP23-24'!$B:$H,Insumo[[#This Row],[DESCRIPCION]],'CAP23-24'!$H:$H)</f>
        <v>0</v>
      </c>
      <c r="O863" s="69">
        <f ca="1">SUMIF('CAP25'!$B:$H,Insumo[[#This Row],[DESCRIPCION]],'CAP25'!$H:$H)</f>
        <v>0</v>
      </c>
      <c r="P863" s="69">
        <f ca="1">SUMIF('CAP26-28'!$B:$H,Insumo[[#This Row],[DESCRIPCION]],'CAP26-28'!$H:$H)</f>
        <v>0</v>
      </c>
      <c r="Q863" s="69">
        <f ca="1">SUMIF('CAP29'!$B:$H,Insumo[[#This Row],[DESCRIPCION]],'CAP29'!$H:$H)</f>
        <v>0</v>
      </c>
      <c r="R863" s="136" t="s">
        <v>3476</v>
      </c>
      <c r="T863" s="136">
        <v>56904</v>
      </c>
    </row>
    <row r="864" spans="1:20" ht="12" customHeight="1">
      <c r="A864" s="301" t="s">
        <v>3479</v>
      </c>
      <c r="B864" s="303" t="s">
        <v>30</v>
      </c>
      <c r="C864" s="304">
        <f t="shared" si="13"/>
        <v>85411.199999999997</v>
      </c>
      <c r="D864" s="281" cm="1">
        <f t="array" aca="1" ref="D864" ca="1">IF(Insumo[[#This Row],[VALOR]]=0,Insumo[TOTAL],E864/C864)</f>
        <v>0</v>
      </c>
      <c r="E864" s="69">
        <f ca="1">SUM(Insumo[[#This Row],[CAP1-3]:[CAP29]])</f>
        <v>0</v>
      </c>
      <c r="F864" s="69">
        <f ca="1">SUMIF('CAP1-3'!$B:$H,Insumo[[#This Row],[DESCRIPCION]],'CAP1-3'!$H:$H)</f>
        <v>0</v>
      </c>
      <c r="G864" s="69">
        <f ca="1">SUMIF('CAP4-5'!$B:$H,Insumo[[#This Row],[DESCRIPCION]],'CAP4-5'!$H:$H)</f>
        <v>0</v>
      </c>
      <c r="H864" s="69">
        <f ca="1">SUMIF('CAP6-7'!$B:$H,Insumo[[#This Row],[DESCRIPCION]],'CAP6-7'!$H:$H)</f>
        <v>0</v>
      </c>
      <c r="I864" s="69">
        <f ca="1">SUMIF('CAP8'!$B:$H,Insumo[[#This Row],[DESCRIPCION]],'CAP8'!$H:$H)</f>
        <v>0</v>
      </c>
      <c r="J864" s="69">
        <f ca="1">SUMIF('CAP9-13'!$B:$H,Insumo[[#This Row],[DESCRIPCION]],'CAP9-13'!$H:$H)</f>
        <v>0</v>
      </c>
      <c r="K864" s="69">
        <f ca="1">SUMIF('CAP14-15'!$B:$H,Insumo[[#This Row],[DESCRIPCION]],'CAP14-15'!$H:$H)</f>
        <v>0</v>
      </c>
      <c r="L864" s="69">
        <f ca="1">SUMIF('CAP16-18'!$B:$H,Insumo[[#This Row],[DESCRIPCION]],'CAP16-18'!$H:$H)</f>
        <v>0</v>
      </c>
      <c r="M864" s="69">
        <f ca="1">SUMIF('CAP19-22'!$B:$H,Insumo[[#This Row],[DESCRIPCION]],'CAP19-22'!$H:$H)</f>
        <v>0</v>
      </c>
      <c r="N864" s="69">
        <f ca="1">SUMIF('CAP23-24'!$B:$H,Insumo[[#This Row],[DESCRIPCION]],'CAP23-24'!$H:$H)</f>
        <v>0</v>
      </c>
      <c r="O864" s="69">
        <f ca="1">SUMIF('CAP25'!$B:$H,Insumo[[#This Row],[DESCRIPCION]],'CAP25'!$H:$H)</f>
        <v>0</v>
      </c>
      <c r="P864" s="69">
        <f ca="1">SUMIF('CAP26-28'!$B:$H,Insumo[[#This Row],[DESCRIPCION]],'CAP26-28'!$H:$H)</f>
        <v>0</v>
      </c>
      <c r="Q864" s="69">
        <f ca="1">SUMIF('CAP29'!$B:$H,Insumo[[#This Row],[DESCRIPCION]],'CAP29'!$H:$H)</f>
        <v>0</v>
      </c>
      <c r="R864" s="136" t="s">
        <v>3476</v>
      </c>
      <c r="T864" s="136">
        <v>81344</v>
      </c>
    </row>
    <row r="865" spans="1:20" ht="12" customHeight="1">
      <c r="A865" s="301" t="s">
        <v>3480</v>
      </c>
      <c r="B865" s="303" t="s">
        <v>30</v>
      </c>
      <c r="C865" s="304">
        <f t="shared" si="13"/>
        <v>124746.3</v>
      </c>
      <c r="D865" s="281" cm="1">
        <f t="array" aca="1" ref="D865" ca="1">IF(Insumo[[#This Row],[VALOR]]=0,Insumo[TOTAL],E865/C865)</f>
        <v>0</v>
      </c>
      <c r="E865" s="69">
        <f ca="1">SUM(Insumo[[#This Row],[CAP1-3]:[CAP29]])</f>
        <v>0</v>
      </c>
      <c r="F865" s="69">
        <f ca="1">SUMIF('CAP1-3'!$B:$H,Insumo[[#This Row],[DESCRIPCION]],'CAP1-3'!$H:$H)</f>
        <v>0</v>
      </c>
      <c r="G865" s="69">
        <f ca="1">SUMIF('CAP4-5'!$B:$H,Insumo[[#This Row],[DESCRIPCION]],'CAP4-5'!$H:$H)</f>
        <v>0</v>
      </c>
      <c r="H865" s="69">
        <f ca="1">SUMIF('CAP6-7'!$B:$H,Insumo[[#This Row],[DESCRIPCION]],'CAP6-7'!$H:$H)</f>
        <v>0</v>
      </c>
      <c r="I865" s="69">
        <f ca="1">SUMIF('CAP8'!$B:$H,Insumo[[#This Row],[DESCRIPCION]],'CAP8'!$H:$H)</f>
        <v>0</v>
      </c>
      <c r="J865" s="69">
        <f ca="1">SUMIF('CAP9-13'!$B:$H,Insumo[[#This Row],[DESCRIPCION]],'CAP9-13'!$H:$H)</f>
        <v>0</v>
      </c>
      <c r="K865" s="69">
        <f ca="1">SUMIF('CAP14-15'!$B:$H,Insumo[[#This Row],[DESCRIPCION]],'CAP14-15'!$H:$H)</f>
        <v>0</v>
      </c>
      <c r="L865" s="69">
        <f ca="1">SUMIF('CAP16-18'!$B:$H,Insumo[[#This Row],[DESCRIPCION]],'CAP16-18'!$H:$H)</f>
        <v>0</v>
      </c>
      <c r="M865" s="69">
        <f ca="1">SUMIF('CAP19-22'!$B:$H,Insumo[[#This Row],[DESCRIPCION]],'CAP19-22'!$H:$H)</f>
        <v>0</v>
      </c>
      <c r="N865" s="69">
        <f ca="1">SUMIF('CAP23-24'!$B:$H,Insumo[[#This Row],[DESCRIPCION]],'CAP23-24'!$H:$H)</f>
        <v>0</v>
      </c>
      <c r="O865" s="69">
        <f ca="1">SUMIF('CAP25'!$B:$H,Insumo[[#This Row],[DESCRIPCION]],'CAP25'!$H:$H)</f>
        <v>0</v>
      </c>
      <c r="P865" s="69">
        <f ca="1">SUMIF('CAP26-28'!$B:$H,Insumo[[#This Row],[DESCRIPCION]],'CAP26-28'!$H:$H)</f>
        <v>0</v>
      </c>
      <c r="Q865" s="69">
        <f ca="1">SUMIF('CAP29'!$B:$H,Insumo[[#This Row],[DESCRIPCION]],'CAP29'!$H:$H)</f>
        <v>0</v>
      </c>
      <c r="R865" s="136" t="s">
        <v>3476</v>
      </c>
      <c r="T865" s="136">
        <v>118806</v>
      </c>
    </row>
    <row r="866" spans="1:20" ht="12" customHeight="1">
      <c r="A866" s="301" t="s">
        <v>3481</v>
      </c>
      <c r="B866" s="303" t="s">
        <v>30</v>
      </c>
      <c r="C866" s="304">
        <f t="shared" si="13"/>
        <v>179502.75</v>
      </c>
      <c r="D866" s="281" cm="1">
        <f t="array" aca="1" ref="D866" ca="1">IF(Insumo[[#This Row],[VALOR]]=0,Insumo[TOTAL],E866/C866)</f>
        <v>0</v>
      </c>
      <c r="E866" s="69">
        <f ca="1">SUM(Insumo[[#This Row],[CAP1-3]:[CAP29]])</f>
        <v>0</v>
      </c>
      <c r="F866" s="69">
        <f ca="1">SUMIF('CAP1-3'!$B:$H,Insumo[[#This Row],[DESCRIPCION]],'CAP1-3'!$H:$H)</f>
        <v>0</v>
      </c>
      <c r="G866" s="69">
        <f ca="1">SUMIF('CAP4-5'!$B:$H,Insumo[[#This Row],[DESCRIPCION]],'CAP4-5'!$H:$H)</f>
        <v>0</v>
      </c>
      <c r="H866" s="69">
        <f ca="1">SUMIF('CAP6-7'!$B:$H,Insumo[[#This Row],[DESCRIPCION]],'CAP6-7'!$H:$H)</f>
        <v>0</v>
      </c>
      <c r="I866" s="69">
        <f ca="1">SUMIF('CAP8'!$B:$H,Insumo[[#This Row],[DESCRIPCION]],'CAP8'!$H:$H)</f>
        <v>0</v>
      </c>
      <c r="J866" s="69">
        <f ca="1">SUMIF('CAP9-13'!$B:$H,Insumo[[#This Row],[DESCRIPCION]],'CAP9-13'!$H:$H)</f>
        <v>0</v>
      </c>
      <c r="K866" s="69">
        <f ca="1">SUMIF('CAP14-15'!$B:$H,Insumo[[#This Row],[DESCRIPCION]],'CAP14-15'!$H:$H)</f>
        <v>0</v>
      </c>
      <c r="L866" s="69">
        <f ca="1">SUMIF('CAP16-18'!$B:$H,Insumo[[#This Row],[DESCRIPCION]],'CAP16-18'!$H:$H)</f>
        <v>0</v>
      </c>
      <c r="M866" s="69">
        <f ca="1">SUMIF('CAP19-22'!$B:$H,Insumo[[#This Row],[DESCRIPCION]],'CAP19-22'!$H:$H)</f>
        <v>0</v>
      </c>
      <c r="N866" s="69">
        <f ca="1">SUMIF('CAP23-24'!$B:$H,Insumo[[#This Row],[DESCRIPCION]],'CAP23-24'!$H:$H)</f>
        <v>0</v>
      </c>
      <c r="O866" s="69">
        <f ca="1">SUMIF('CAP25'!$B:$H,Insumo[[#This Row],[DESCRIPCION]],'CAP25'!$H:$H)</f>
        <v>0</v>
      </c>
      <c r="P866" s="69">
        <f ca="1">SUMIF('CAP26-28'!$B:$H,Insumo[[#This Row],[DESCRIPCION]],'CAP26-28'!$H:$H)</f>
        <v>0</v>
      </c>
      <c r="Q866" s="69">
        <f ca="1">SUMIF('CAP29'!$B:$H,Insumo[[#This Row],[DESCRIPCION]],'CAP29'!$H:$H)</f>
        <v>0</v>
      </c>
      <c r="R866" s="136" t="s">
        <v>3476</v>
      </c>
      <c r="T866" s="136">
        <v>170955</v>
      </c>
    </row>
    <row r="867" spans="1:20" ht="12" customHeight="1">
      <c r="A867" s="301" t="s">
        <v>3482</v>
      </c>
      <c r="B867" s="303" t="s">
        <v>30</v>
      </c>
      <c r="C867" s="304">
        <f t="shared" si="13"/>
        <v>269008.95</v>
      </c>
      <c r="D867" s="281" cm="1">
        <f t="array" aca="1" ref="D867" ca="1">IF(Insumo[[#This Row],[VALOR]]=0,Insumo[TOTAL],E867/C867)</f>
        <v>0</v>
      </c>
      <c r="E867" s="69">
        <f ca="1">SUM(Insumo[[#This Row],[CAP1-3]:[CAP29]])</f>
        <v>0</v>
      </c>
      <c r="F867" s="69">
        <f ca="1">SUMIF('CAP1-3'!$B:$H,Insumo[[#This Row],[DESCRIPCION]],'CAP1-3'!$H:$H)</f>
        <v>0</v>
      </c>
      <c r="G867" s="69">
        <f ca="1">SUMIF('CAP4-5'!$B:$H,Insumo[[#This Row],[DESCRIPCION]],'CAP4-5'!$H:$H)</f>
        <v>0</v>
      </c>
      <c r="H867" s="69">
        <f ca="1">SUMIF('CAP6-7'!$B:$H,Insumo[[#This Row],[DESCRIPCION]],'CAP6-7'!$H:$H)</f>
        <v>0</v>
      </c>
      <c r="I867" s="69">
        <f ca="1">SUMIF('CAP8'!$B:$H,Insumo[[#This Row],[DESCRIPCION]],'CAP8'!$H:$H)</f>
        <v>0</v>
      </c>
      <c r="J867" s="69">
        <f ca="1">SUMIF('CAP9-13'!$B:$H,Insumo[[#This Row],[DESCRIPCION]],'CAP9-13'!$H:$H)</f>
        <v>0</v>
      </c>
      <c r="K867" s="69">
        <f ca="1">SUMIF('CAP14-15'!$B:$H,Insumo[[#This Row],[DESCRIPCION]],'CAP14-15'!$H:$H)</f>
        <v>0</v>
      </c>
      <c r="L867" s="69">
        <f ca="1">SUMIF('CAP16-18'!$B:$H,Insumo[[#This Row],[DESCRIPCION]],'CAP16-18'!$H:$H)</f>
        <v>0</v>
      </c>
      <c r="M867" s="69">
        <f ca="1">SUMIF('CAP19-22'!$B:$H,Insumo[[#This Row],[DESCRIPCION]],'CAP19-22'!$H:$H)</f>
        <v>0</v>
      </c>
      <c r="N867" s="69">
        <f ca="1">SUMIF('CAP23-24'!$B:$H,Insumo[[#This Row],[DESCRIPCION]],'CAP23-24'!$H:$H)</f>
        <v>0</v>
      </c>
      <c r="O867" s="69">
        <f ca="1">SUMIF('CAP25'!$B:$H,Insumo[[#This Row],[DESCRIPCION]],'CAP25'!$H:$H)</f>
        <v>0</v>
      </c>
      <c r="P867" s="69">
        <f ca="1">SUMIF('CAP26-28'!$B:$H,Insumo[[#This Row],[DESCRIPCION]],'CAP26-28'!$H:$H)</f>
        <v>0</v>
      </c>
      <c r="Q867" s="69">
        <f ca="1">SUMIF('CAP29'!$B:$H,Insumo[[#This Row],[DESCRIPCION]],'CAP29'!$H:$H)</f>
        <v>0</v>
      </c>
      <c r="R867" s="136" t="s">
        <v>3476</v>
      </c>
      <c r="T867" s="136">
        <v>256199</v>
      </c>
    </row>
    <row r="868" spans="1:20" ht="12" customHeight="1">
      <c r="A868" s="301" t="s">
        <v>3483</v>
      </c>
      <c r="B868" s="303" t="s">
        <v>30</v>
      </c>
      <c r="C868" s="304">
        <f t="shared" si="13"/>
        <v>329026.95</v>
      </c>
      <c r="D868" s="281" cm="1">
        <f t="array" aca="1" ref="D868" ca="1">IF(Insumo[[#This Row],[VALOR]]=0,Insumo[TOTAL],E868/C868)</f>
        <v>0</v>
      </c>
      <c r="E868" s="69">
        <f ca="1">SUM(Insumo[[#This Row],[CAP1-3]:[CAP29]])</f>
        <v>0</v>
      </c>
      <c r="F868" s="69">
        <f ca="1">SUMIF('CAP1-3'!$B:$H,Insumo[[#This Row],[DESCRIPCION]],'CAP1-3'!$H:$H)</f>
        <v>0</v>
      </c>
      <c r="G868" s="69">
        <f ca="1">SUMIF('CAP4-5'!$B:$H,Insumo[[#This Row],[DESCRIPCION]],'CAP4-5'!$H:$H)</f>
        <v>0</v>
      </c>
      <c r="H868" s="69">
        <f ca="1">SUMIF('CAP6-7'!$B:$H,Insumo[[#This Row],[DESCRIPCION]],'CAP6-7'!$H:$H)</f>
        <v>0</v>
      </c>
      <c r="I868" s="69">
        <f ca="1">SUMIF('CAP8'!$B:$H,Insumo[[#This Row],[DESCRIPCION]],'CAP8'!$H:$H)</f>
        <v>0</v>
      </c>
      <c r="J868" s="69">
        <f ca="1">SUMIF('CAP9-13'!$B:$H,Insumo[[#This Row],[DESCRIPCION]],'CAP9-13'!$H:$H)</f>
        <v>0</v>
      </c>
      <c r="K868" s="69">
        <f ca="1">SUMIF('CAP14-15'!$B:$H,Insumo[[#This Row],[DESCRIPCION]],'CAP14-15'!$H:$H)</f>
        <v>0</v>
      </c>
      <c r="L868" s="69">
        <f ca="1">SUMIF('CAP16-18'!$B:$H,Insumo[[#This Row],[DESCRIPCION]],'CAP16-18'!$H:$H)</f>
        <v>0</v>
      </c>
      <c r="M868" s="69">
        <f ca="1">SUMIF('CAP19-22'!$B:$H,Insumo[[#This Row],[DESCRIPCION]],'CAP19-22'!$H:$H)</f>
        <v>0</v>
      </c>
      <c r="N868" s="69">
        <f ca="1">SUMIF('CAP23-24'!$B:$H,Insumo[[#This Row],[DESCRIPCION]],'CAP23-24'!$H:$H)</f>
        <v>0</v>
      </c>
      <c r="O868" s="69">
        <f ca="1">SUMIF('CAP25'!$B:$H,Insumo[[#This Row],[DESCRIPCION]],'CAP25'!$H:$H)</f>
        <v>0</v>
      </c>
      <c r="P868" s="69">
        <f ca="1">SUMIF('CAP26-28'!$B:$H,Insumo[[#This Row],[DESCRIPCION]],'CAP26-28'!$H:$H)</f>
        <v>0</v>
      </c>
      <c r="Q868" s="69">
        <f ca="1">SUMIF('CAP29'!$B:$H,Insumo[[#This Row],[DESCRIPCION]],'CAP29'!$H:$H)</f>
        <v>0</v>
      </c>
      <c r="R868" s="136" t="s">
        <v>3476</v>
      </c>
      <c r="T868" s="136">
        <v>313359</v>
      </c>
    </row>
    <row r="869" spans="1:20" ht="12" customHeight="1">
      <c r="A869" s="301" t="s">
        <v>3484</v>
      </c>
      <c r="B869" s="303" t="s">
        <v>30</v>
      </c>
      <c r="C869" s="304">
        <f t="shared" si="13"/>
        <v>451979.85000000003</v>
      </c>
      <c r="D869" s="281" cm="1">
        <f t="array" aca="1" ref="D869" ca="1">IF(Insumo[[#This Row],[VALOR]]=0,Insumo[TOTAL],E869/C869)</f>
        <v>0</v>
      </c>
      <c r="E869" s="69">
        <f ca="1">SUM(Insumo[[#This Row],[CAP1-3]:[CAP29]])</f>
        <v>0</v>
      </c>
      <c r="F869" s="69">
        <f ca="1">SUMIF('CAP1-3'!$B:$H,Insumo[[#This Row],[DESCRIPCION]],'CAP1-3'!$H:$H)</f>
        <v>0</v>
      </c>
      <c r="G869" s="69">
        <f ca="1">SUMIF('CAP4-5'!$B:$H,Insumo[[#This Row],[DESCRIPCION]],'CAP4-5'!$H:$H)</f>
        <v>0</v>
      </c>
      <c r="H869" s="69">
        <f ca="1">SUMIF('CAP6-7'!$B:$H,Insumo[[#This Row],[DESCRIPCION]],'CAP6-7'!$H:$H)</f>
        <v>0</v>
      </c>
      <c r="I869" s="69">
        <f ca="1">SUMIF('CAP8'!$B:$H,Insumo[[#This Row],[DESCRIPCION]],'CAP8'!$H:$H)</f>
        <v>0</v>
      </c>
      <c r="J869" s="69">
        <f ca="1">SUMIF('CAP9-13'!$B:$H,Insumo[[#This Row],[DESCRIPCION]],'CAP9-13'!$H:$H)</f>
        <v>0</v>
      </c>
      <c r="K869" s="69">
        <f ca="1">SUMIF('CAP14-15'!$B:$H,Insumo[[#This Row],[DESCRIPCION]],'CAP14-15'!$H:$H)</f>
        <v>0</v>
      </c>
      <c r="L869" s="69">
        <f ca="1">SUMIF('CAP16-18'!$B:$H,Insumo[[#This Row],[DESCRIPCION]],'CAP16-18'!$H:$H)</f>
        <v>0</v>
      </c>
      <c r="M869" s="69">
        <f ca="1">SUMIF('CAP19-22'!$B:$H,Insumo[[#This Row],[DESCRIPCION]],'CAP19-22'!$H:$H)</f>
        <v>0</v>
      </c>
      <c r="N869" s="69">
        <f ca="1">SUMIF('CAP23-24'!$B:$H,Insumo[[#This Row],[DESCRIPCION]],'CAP23-24'!$H:$H)</f>
        <v>0</v>
      </c>
      <c r="O869" s="69">
        <f ca="1">SUMIF('CAP25'!$B:$H,Insumo[[#This Row],[DESCRIPCION]],'CAP25'!$H:$H)</f>
        <v>0</v>
      </c>
      <c r="P869" s="69">
        <f ca="1">SUMIF('CAP26-28'!$B:$H,Insumo[[#This Row],[DESCRIPCION]],'CAP26-28'!$H:$H)</f>
        <v>0</v>
      </c>
      <c r="Q869" s="69">
        <f ca="1">SUMIF('CAP29'!$B:$H,Insumo[[#This Row],[DESCRIPCION]],'CAP29'!$H:$H)</f>
        <v>0</v>
      </c>
      <c r="R869" s="136" t="s">
        <v>3476</v>
      </c>
      <c r="T869" s="136">
        <v>430457</v>
      </c>
    </row>
    <row r="870" spans="1:20" ht="12" customHeight="1">
      <c r="A870" s="301" t="s">
        <v>3485</v>
      </c>
      <c r="B870" s="303" t="s">
        <v>30</v>
      </c>
      <c r="C870" s="304">
        <f t="shared" si="13"/>
        <v>553994.70000000007</v>
      </c>
      <c r="D870" s="281" cm="1">
        <f t="array" aca="1" ref="D870" ca="1">IF(Insumo[[#This Row],[VALOR]]=0,Insumo[TOTAL],E870/C870)</f>
        <v>0</v>
      </c>
      <c r="E870" s="69">
        <f ca="1">SUM(Insumo[[#This Row],[CAP1-3]:[CAP29]])</f>
        <v>0</v>
      </c>
      <c r="F870" s="69">
        <f ca="1">SUMIF('CAP1-3'!$B:$H,Insumo[[#This Row],[DESCRIPCION]],'CAP1-3'!$H:$H)</f>
        <v>0</v>
      </c>
      <c r="G870" s="69">
        <f ca="1">SUMIF('CAP4-5'!$B:$H,Insumo[[#This Row],[DESCRIPCION]],'CAP4-5'!$H:$H)</f>
        <v>0</v>
      </c>
      <c r="H870" s="69">
        <f ca="1">SUMIF('CAP6-7'!$B:$H,Insumo[[#This Row],[DESCRIPCION]],'CAP6-7'!$H:$H)</f>
        <v>0</v>
      </c>
      <c r="I870" s="69">
        <f ca="1">SUMIF('CAP8'!$B:$H,Insumo[[#This Row],[DESCRIPCION]],'CAP8'!$H:$H)</f>
        <v>0</v>
      </c>
      <c r="J870" s="69">
        <f ca="1">SUMIF('CAP9-13'!$B:$H,Insumo[[#This Row],[DESCRIPCION]],'CAP9-13'!$H:$H)</f>
        <v>0</v>
      </c>
      <c r="K870" s="69">
        <f ca="1">SUMIF('CAP14-15'!$B:$H,Insumo[[#This Row],[DESCRIPCION]],'CAP14-15'!$H:$H)</f>
        <v>0</v>
      </c>
      <c r="L870" s="69">
        <f ca="1">SUMIF('CAP16-18'!$B:$H,Insumo[[#This Row],[DESCRIPCION]],'CAP16-18'!$H:$H)</f>
        <v>0</v>
      </c>
      <c r="M870" s="69">
        <f ca="1">SUMIF('CAP19-22'!$B:$H,Insumo[[#This Row],[DESCRIPCION]],'CAP19-22'!$H:$H)</f>
        <v>0</v>
      </c>
      <c r="N870" s="69">
        <f ca="1">SUMIF('CAP23-24'!$B:$H,Insumo[[#This Row],[DESCRIPCION]],'CAP23-24'!$H:$H)</f>
        <v>0</v>
      </c>
      <c r="O870" s="69">
        <f ca="1">SUMIF('CAP25'!$B:$H,Insumo[[#This Row],[DESCRIPCION]],'CAP25'!$H:$H)</f>
        <v>0</v>
      </c>
      <c r="P870" s="69">
        <f ca="1">SUMIF('CAP26-28'!$B:$H,Insumo[[#This Row],[DESCRIPCION]],'CAP26-28'!$H:$H)</f>
        <v>0</v>
      </c>
      <c r="Q870" s="69">
        <f ca="1">SUMIF('CAP29'!$B:$H,Insumo[[#This Row],[DESCRIPCION]],'CAP29'!$H:$H)</f>
        <v>0</v>
      </c>
      <c r="R870" s="136" t="s">
        <v>3476</v>
      </c>
      <c r="T870" s="136">
        <v>527614</v>
      </c>
    </row>
    <row r="871" spans="1:20" ht="12" customHeight="1">
      <c r="A871" s="301" t="s">
        <v>3486</v>
      </c>
      <c r="B871" s="303" t="s">
        <v>30</v>
      </c>
      <c r="C871" s="304">
        <f t="shared" si="13"/>
        <v>772941.75</v>
      </c>
      <c r="D871" s="281" cm="1">
        <f t="array" aca="1" ref="D871" ca="1">IF(Insumo[[#This Row],[VALOR]]=0,Insumo[TOTAL],E871/C871)</f>
        <v>0</v>
      </c>
      <c r="E871" s="69">
        <f ca="1">SUM(Insumo[[#This Row],[CAP1-3]:[CAP29]])</f>
        <v>0</v>
      </c>
      <c r="F871" s="69">
        <f ca="1">SUMIF('CAP1-3'!$B:$H,Insumo[[#This Row],[DESCRIPCION]],'CAP1-3'!$H:$H)</f>
        <v>0</v>
      </c>
      <c r="G871" s="69">
        <f ca="1">SUMIF('CAP4-5'!$B:$H,Insumo[[#This Row],[DESCRIPCION]],'CAP4-5'!$H:$H)</f>
        <v>0</v>
      </c>
      <c r="H871" s="69">
        <f ca="1">SUMIF('CAP6-7'!$B:$H,Insumo[[#This Row],[DESCRIPCION]],'CAP6-7'!$H:$H)</f>
        <v>0</v>
      </c>
      <c r="I871" s="69">
        <f ca="1">SUMIF('CAP8'!$B:$H,Insumo[[#This Row],[DESCRIPCION]],'CAP8'!$H:$H)</f>
        <v>0</v>
      </c>
      <c r="J871" s="69">
        <f ca="1">SUMIF('CAP9-13'!$B:$H,Insumo[[#This Row],[DESCRIPCION]],'CAP9-13'!$H:$H)</f>
        <v>0</v>
      </c>
      <c r="K871" s="69">
        <f ca="1">SUMIF('CAP14-15'!$B:$H,Insumo[[#This Row],[DESCRIPCION]],'CAP14-15'!$H:$H)</f>
        <v>0</v>
      </c>
      <c r="L871" s="69">
        <f ca="1">SUMIF('CAP16-18'!$B:$H,Insumo[[#This Row],[DESCRIPCION]],'CAP16-18'!$H:$H)</f>
        <v>0</v>
      </c>
      <c r="M871" s="69">
        <f ca="1">SUMIF('CAP19-22'!$B:$H,Insumo[[#This Row],[DESCRIPCION]],'CAP19-22'!$H:$H)</f>
        <v>0</v>
      </c>
      <c r="N871" s="69">
        <f ca="1">SUMIF('CAP23-24'!$B:$H,Insumo[[#This Row],[DESCRIPCION]],'CAP23-24'!$H:$H)</f>
        <v>0</v>
      </c>
      <c r="O871" s="69">
        <f ca="1">SUMIF('CAP25'!$B:$H,Insumo[[#This Row],[DESCRIPCION]],'CAP25'!$H:$H)</f>
        <v>0</v>
      </c>
      <c r="P871" s="69">
        <f ca="1">SUMIF('CAP26-28'!$B:$H,Insumo[[#This Row],[DESCRIPCION]],'CAP26-28'!$H:$H)</f>
        <v>0</v>
      </c>
      <c r="Q871" s="69">
        <f ca="1">SUMIF('CAP29'!$B:$H,Insumo[[#This Row],[DESCRIPCION]],'CAP29'!$H:$H)</f>
        <v>0</v>
      </c>
      <c r="R871" s="136" t="s">
        <v>3476</v>
      </c>
      <c r="T871" s="136">
        <v>736135</v>
      </c>
    </row>
    <row r="872" spans="1:20" ht="12" customHeight="1">
      <c r="A872" s="301" t="s">
        <v>3487</v>
      </c>
      <c r="B872" s="303" t="s">
        <v>30</v>
      </c>
      <c r="C872" s="304">
        <f t="shared" si="13"/>
        <v>908974.5</v>
      </c>
      <c r="D872" s="281" cm="1">
        <f t="array" aca="1" ref="D872" ca="1">IF(Insumo[[#This Row],[VALOR]]=0,Insumo[TOTAL],E872/C872)</f>
        <v>0</v>
      </c>
      <c r="E872" s="69">
        <f ca="1">SUM(Insumo[[#This Row],[CAP1-3]:[CAP29]])</f>
        <v>0</v>
      </c>
      <c r="F872" s="69">
        <f ca="1">SUMIF('CAP1-3'!$B:$H,Insumo[[#This Row],[DESCRIPCION]],'CAP1-3'!$H:$H)</f>
        <v>0</v>
      </c>
      <c r="G872" s="69">
        <f ca="1">SUMIF('CAP4-5'!$B:$H,Insumo[[#This Row],[DESCRIPCION]],'CAP4-5'!$H:$H)</f>
        <v>0</v>
      </c>
      <c r="H872" s="69">
        <f ca="1">SUMIF('CAP6-7'!$B:$H,Insumo[[#This Row],[DESCRIPCION]],'CAP6-7'!$H:$H)</f>
        <v>0</v>
      </c>
      <c r="I872" s="69">
        <f ca="1">SUMIF('CAP8'!$B:$H,Insumo[[#This Row],[DESCRIPCION]],'CAP8'!$H:$H)</f>
        <v>0</v>
      </c>
      <c r="J872" s="69">
        <f ca="1">SUMIF('CAP9-13'!$B:$H,Insumo[[#This Row],[DESCRIPCION]],'CAP9-13'!$H:$H)</f>
        <v>0</v>
      </c>
      <c r="K872" s="69">
        <f ca="1">SUMIF('CAP14-15'!$B:$H,Insumo[[#This Row],[DESCRIPCION]],'CAP14-15'!$H:$H)</f>
        <v>0</v>
      </c>
      <c r="L872" s="69">
        <f ca="1">SUMIF('CAP16-18'!$B:$H,Insumo[[#This Row],[DESCRIPCION]],'CAP16-18'!$H:$H)</f>
        <v>0</v>
      </c>
      <c r="M872" s="69">
        <f ca="1">SUMIF('CAP19-22'!$B:$H,Insumo[[#This Row],[DESCRIPCION]],'CAP19-22'!$H:$H)</f>
        <v>0</v>
      </c>
      <c r="N872" s="69">
        <f ca="1">SUMIF('CAP23-24'!$B:$H,Insumo[[#This Row],[DESCRIPCION]],'CAP23-24'!$H:$H)</f>
        <v>0</v>
      </c>
      <c r="O872" s="69">
        <f ca="1">SUMIF('CAP25'!$B:$H,Insumo[[#This Row],[DESCRIPCION]],'CAP25'!$H:$H)</f>
        <v>0</v>
      </c>
      <c r="P872" s="69">
        <f ca="1">SUMIF('CAP26-28'!$B:$H,Insumo[[#This Row],[DESCRIPCION]],'CAP26-28'!$H:$H)</f>
        <v>0</v>
      </c>
      <c r="Q872" s="69">
        <f ca="1">SUMIF('CAP29'!$B:$H,Insumo[[#This Row],[DESCRIPCION]],'CAP29'!$H:$H)</f>
        <v>0</v>
      </c>
      <c r="R872" s="136" t="s">
        <v>3476</v>
      </c>
      <c r="T872" s="136">
        <v>865690</v>
      </c>
    </row>
    <row r="873" spans="1:20" ht="12" customHeight="1">
      <c r="A873" s="301" t="s">
        <v>3488</v>
      </c>
      <c r="B873" s="303" t="s">
        <v>30</v>
      </c>
      <c r="C873" s="304">
        <f t="shared" si="13"/>
        <v>1134312.9000000001</v>
      </c>
      <c r="D873" s="281" cm="1">
        <f t="array" aca="1" ref="D873" ca="1">IF(Insumo[[#This Row],[VALOR]]=0,Insumo[TOTAL],E873/C873)</f>
        <v>0</v>
      </c>
      <c r="E873" s="69">
        <f ca="1">SUM(Insumo[[#This Row],[CAP1-3]:[CAP29]])</f>
        <v>0</v>
      </c>
      <c r="F873" s="69">
        <f ca="1">SUMIF('CAP1-3'!$B:$H,Insumo[[#This Row],[DESCRIPCION]],'CAP1-3'!$H:$H)</f>
        <v>0</v>
      </c>
      <c r="G873" s="69">
        <f ca="1">SUMIF('CAP4-5'!$B:$H,Insumo[[#This Row],[DESCRIPCION]],'CAP4-5'!$H:$H)</f>
        <v>0</v>
      </c>
      <c r="H873" s="69">
        <f ca="1">SUMIF('CAP6-7'!$B:$H,Insumo[[#This Row],[DESCRIPCION]],'CAP6-7'!$H:$H)</f>
        <v>0</v>
      </c>
      <c r="I873" s="69">
        <f ca="1">SUMIF('CAP8'!$B:$H,Insumo[[#This Row],[DESCRIPCION]],'CAP8'!$H:$H)</f>
        <v>0</v>
      </c>
      <c r="J873" s="69">
        <f ca="1">SUMIF('CAP9-13'!$B:$H,Insumo[[#This Row],[DESCRIPCION]],'CAP9-13'!$H:$H)</f>
        <v>0</v>
      </c>
      <c r="K873" s="69">
        <f ca="1">SUMIF('CAP14-15'!$B:$H,Insumo[[#This Row],[DESCRIPCION]],'CAP14-15'!$H:$H)</f>
        <v>0</v>
      </c>
      <c r="L873" s="69">
        <f ca="1">SUMIF('CAP16-18'!$B:$H,Insumo[[#This Row],[DESCRIPCION]],'CAP16-18'!$H:$H)</f>
        <v>0</v>
      </c>
      <c r="M873" s="69">
        <f ca="1">SUMIF('CAP19-22'!$B:$H,Insumo[[#This Row],[DESCRIPCION]],'CAP19-22'!$H:$H)</f>
        <v>0</v>
      </c>
      <c r="N873" s="69">
        <f ca="1">SUMIF('CAP23-24'!$B:$H,Insumo[[#This Row],[DESCRIPCION]],'CAP23-24'!$H:$H)</f>
        <v>0</v>
      </c>
      <c r="O873" s="69">
        <f ca="1">SUMIF('CAP25'!$B:$H,Insumo[[#This Row],[DESCRIPCION]],'CAP25'!$H:$H)</f>
        <v>0</v>
      </c>
      <c r="P873" s="69">
        <f ca="1">SUMIF('CAP26-28'!$B:$H,Insumo[[#This Row],[DESCRIPCION]],'CAP26-28'!$H:$H)</f>
        <v>0</v>
      </c>
      <c r="Q873" s="69">
        <f ca="1">SUMIF('CAP29'!$B:$H,Insumo[[#This Row],[DESCRIPCION]],'CAP29'!$H:$H)</f>
        <v>0</v>
      </c>
      <c r="R873" s="136" t="s">
        <v>3476</v>
      </c>
      <c r="T873" s="136">
        <v>1080298</v>
      </c>
    </row>
    <row r="874" spans="1:20" ht="12" customHeight="1">
      <c r="A874" s="301" t="s">
        <v>3489</v>
      </c>
      <c r="B874" s="303" t="s">
        <v>30</v>
      </c>
      <c r="C874" s="304">
        <f t="shared" si="13"/>
        <v>1564191.3</v>
      </c>
      <c r="D874" s="281" cm="1">
        <f t="array" aca="1" ref="D874" ca="1">IF(Insumo[[#This Row],[VALOR]]=0,Insumo[TOTAL],E874/C874)</f>
        <v>0</v>
      </c>
      <c r="E874" s="69">
        <f ca="1">SUM(Insumo[[#This Row],[CAP1-3]:[CAP29]])</f>
        <v>0</v>
      </c>
      <c r="F874" s="69">
        <f ca="1">SUMIF('CAP1-3'!$B:$H,Insumo[[#This Row],[DESCRIPCION]],'CAP1-3'!$H:$H)</f>
        <v>0</v>
      </c>
      <c r="G874" s="69">
        <f ca="1">SUMIF('CAP4-5'!$B:$H,Insumo[[#This Row],[DESCRIPCION]],'CAP4-5'!$H:$H)</f>
        <v>0</v>
      </c>
      <c r="H874" s="69">
        <f ca="1">SUMIF('CAP6-7'!$B:$H,Insumo[[#This Row],[DESCRIPCION]],'CAP6-7'!$H:$H)</f>
        <v>0</v>
      </c>
      <c r="I874" s="69">
        <f ca="1">SUMIF('CAP8'!$B:$H,Insumo[[#This Row],[DESCRIPCION]],'CAP8'!$H:$H)</f>
        <v>0</v>
      </c>
      <c r="J874" s="69">
        <f ca="1">SUMIF('CAP9-13'!$B:$H,Insumo[[#This Row],[DESCRIPCION]],'CAP9-13'!$H:$H)</f>
        <v>0</v>
      </c>
      <c r="K874" s="69">
        <f ca="1">SUMIF('CAP14-15'!$B:$H,Insumo[[#This Row],[DESCRIPCION]],'CAP14-15'!$H:$H)</f>
        <v>0</v>
      </c>
      <c r="L874" s="69">
        <f ca="1">SUMIF('CAP16-18'!$B:$H,Insumo[[#This Row],[DESCRIPCION]],'CAP16-18'!$H:$H)</f>
        <v>0</v>
      </c>
      <c r="M874" s="69">
        <f ca="1">SUMIF('CAP19-22'!$B:$H,Insumo[[#This Row],[DESCRIPCION]],'CAP19-22'!$H:$H)</f>
        <v>0</v>
      </c>
      <c r="N874" s="69">
        <f ca="1">SUMIF('CAP23-24'!$B:$H,Insumo[[#This Row],[DESCRIPCION]],'CAP23-24'!$H:$H)</f>
        <v>0</v>
      </c>
      <c r="O874" s="69">
        <f ca="1">SUMIF('CAP25'!$B:$H,Insumo[[#This Row],[DESCRIPCION]],'CAP25'!$H:$H)</f>
        <v>0</v>
      </c>
      <c r="P874" s="69">
        <f ca="1">SUMIF('CAP26-28'!$B:$H,Insumo[[#This Row],[DESCRIPCION]],'CAP26-28'!$H:$H)</f>
        <v>0</v>
      </c>
      <c r="Q874" s="69">
        <f ca="1">SUMIF('CAP29'!$B:$H,Insumo[[#This Row],[DESCRIPCION]],'CAP29'!$H:$H)</f>
        <v>0</v>
      </c>
      <c r="R874" s="136" t="s">
        <v>3476</v>
      </c>
      <c r="T874" s="136">
        <v>1489706</v>
      </c>
    </row>
    <row r="875" spans="1:20" ht="12" customHeight="1">
      <c r="A875" s="301" t="s">
        <v>3490</v>
      </c>
      <c r="B875" s="303" t="s">
        <v>30</v>
      </c>
      <c r="C875" s="304">
        <f t="shared" si="13"/>
        <v>2105425.35</v>
      </c>
      <c r="D875" s="281" cm="1">
        <f t="array" aca="1" ref="D875" ca="1">IF(Insumo[[#This Row],[VALOR]]=0,Insumo[TOTAL],E875/C875)</f>
        <v>0</v>
      </c>
      <c r="E875" s="69">
        <f ca="1">SUM(Insumo[[#This Row],[CAP1-3]:[CAP29]])</f>
        <v>0</v>
      </c>
      <c r="F875" s="69">
        <f ca="1">SUMIF('CAP1-3'!$B:$H,Insumo[[#This Row],[DESCRIPCION]],'CAP1-3'!$H:$H)</f>
        <v>0</v>
      </c>
      <c r="G875" s="69">
        <f ca="1">SUMIF('CAP4-5'!$B:$H,Insumo[[#This Row],[DESCRIPCION]],'CAP4-5'!$H:$H)</f>
        <v>0</v>
      </c>
      <c r="H875" s="69">
        <f ca="1">SUMIF('CAP6-7'!$B:$H,Insumo[[#This Row],[DESCRIPCION]],'CAP6-7'!$H:$H)</f>
        <v>0</v>
      </c>
      <c r="I875" s="69">
        <f ca="1">SUMIF('CAP8'!$B:$H,Insumo[[#This Row],[DESCRIPCION]],'CAP8'!$H:$H)</f>
        <v>0</v>
      </c>
      <c r="J875" s="69">
        <f ca="1">SUMIF('CAP9-13'!$B:$H,Insumo[[#This Row],[DESCRIPCION]],'CAP9-13'!$H:$H)</f>
        <v>0</v>
      </c>
      <c r="K875" s="69">
        <f ca="1">SUMIF('CAP14-15'!$B:$H,Insumo[[#This Row],[DESCRIPCION]],'CAP14-15'!$H:$H)</f>
        <v>0</v>
      </c>
      <c r="L875" s="69">
        <f ca="1">SUMIF('CAP16-18'!$B:$H,Insumo[[#This Row],[DESCRIPCION]],'CAP16-18'!$H:$H)</f>
        <v>0</v>
      </c>
      <c r="M875" s="69">
        <f ca="1">SUMIF('CAP19-22'!$B:$H,Insumo[[#This Row],[DESCRIPCION]],'CAP19-22'!$H:$H)</f>
        <v>0</v>
      </c>
      <c r="N875" s="69">
        <f ca="1">SUMIF('CAP23-24'!$B:$H,Insumo[[#This Row],[DESCRIPCION]],'CAP23-24'!$H:$H)</f>
        <v>0</v>
      </c>
      <c r="O875" s="69">
        <f ca="1">SUMIF('CAP25'!$B:$H,Insumo[[#This Row],[DESCRIPCION]],'CAP25'!$H:$H)</f>
        <v>0</v>
      </c>
      <c r="P875" s="69">
        <f ca="1">SUMIF('CAP26-28'!$B:$H,Insumo[[#This Row],[DESCRIPCION]],'CAP26-28'!$H:$H)</f>
        <v>0</v>
      </c>
      <c r="Q875" s="69">
        <f ca="1">SUMIF('CAP29'!$B:$H,Insumo[[#This Row],[DESCRIPCION]],'CAP29'!$H:$H)</f>
        <v>0</v>
      </c>
      <c r="R875" s="136" t="s">
        <v>3476</v>
      </c>
      <c r="T875" s="136">
        <v>2005167</v>
      </c>
    </row>
    <row r="876" spans="1:20" ht="12" customHeight="1">
      <c r="A876" s="301" t="s">
        <v>3491</v>
      </c>
      <c r="B876" s="303" t="s">
        <v>30</v>
      </c>
      <c r="C876" s="304">
        <f t="shared" si="13"/>
        <v>2816969.4</v>
      </c>
      <c r="D876" s="281" cm="1">
        <f t="array" aca="1" ref="D876" ca="1">IF(Insumo[[#This Row],[VALOR]]=0,Insumo[TOTAL],E876/C876)</f>
        <v>0</v>
      </c>
      <c r="E876" s="69">
        <f ca="1">SUM(Insumo[[#This Row],[CAP1-3]:[CAP29]])</f>
        <v>0</v>
      </c>
      <c r="F876" s="69">
        <f ca="1">SUMIF('CAP1-3'!$B:$H,Insumo[[#This Row],[DESCRIPCION]],'CAP1-3'!$H:$H)</f>
        <v>0</v>
      </c>
      <c r="G876" s="69">
        <f ca="1">SUMIF('CAP4-5'!$B:$H,Insumo[[#This Row],[DESCRIPCION]],'CAP4-5'!$H:$H)</f>
        <v>0</v>
      </c>
      <c r="H876" s="69">
        <f ca="1">SUMIF('CAP6-7'!$B:$H,Insumo[[#This Row],[DESCRIPCION]],'CAP6-7'!$H:$H)</f>
        <v>0</v>
      </c>
      <c r="I876" s="69">
        <f ca="1">SUMIF('CAP8'!$B:$H,Insumo[[#This Row],[DESCRIPCION]],'CAP8'!$H:$H)</f>
        <v>0</v>
      </c>
      <c r="J876" s="69">
        <f ca="1">SUMIF('CAP9-13'!$B:$H,Insumo[[#This Row],[DESCRIPCION]],'CAP9-13'!$H:$H)</f>
        <v>0</v>
      </c>
      <c r="K876" s="69">
        <f ca="1">SUMIF('CAP14-15'!$B:$H,Insumo[[#This Row],[DESCRIPCION]],'CAP14-15'!$H:$H)</f>
        <v>0</v>
      </c>
      <c r="L876" s="69">
        <f ca="1">SUMIF('CAP16-18'!$B:$H,Insumo[[#This Row],[DESCRIPCION]],'CAP16-18'!$H:$H)</f>
        <v>0</v>
      </c>
      <c r="M876" s="69">
        <f ca="1">SUMIF('CAP19-22'!$B:$H,Insumo[[#This Row],[DESCRIPCION]],'CAP19-22'!$H:$H)</f>
        <v>0</v>
      </c>
      <c r="N876" s="69">
        <f ca="1">SUMIF('CAP23-24'!$B:$H,Insumo[[#This Row],[DESCRIPCION]],'CAP23-24'!$H:$H)</f>
        <v>0</v>
      </c>
      <c r="O876" s="69">
        <f ca="1">SUMIF('CAP25'!$B:$H,Insumo[[#This Row],[DESCRIPCION]],'CAP25'!$H:$H)</f>
        <v>0</v>
      </c>
      <c r="P876" s="69">
        <f ca="1">SUMIF('CAP26-28'!$B:$H,Insumo[[#This Row],[DESCRIPCION]],'CAP26-28'!$H:$H)</f>
        <v>0</v>
      </c>
      <c r="Q876" s="69">
        <f ca="1">SUMIF('CAP29'!$B:$H,Insumo[[#This Row],[DESCRIPCION]],'CAP29'!$H:$H)</f>
        <v>0</v>
      </c>
      <c r="R876" s="136" t="s">
        <v>3476</v>
      </c>
      <c r="T876" s="136">
        <v>2682828</v>
      </c>
    </row>
    <row r="877" spans="1:20" ht="12" customHeight="1">
      <c r="A877" s="301" t="s">
        <v>3492</v>
      </c>
      <c r="B877" s="303" t="s">
        <v>30</v>
      </c>
      <c r="C877" s="304">
        <f t="shared" si="13"/>
        <v>18960.900000000001</v>
      </c>
      <c r="D877" s="281" cm="1">
        <f t="array" aca="1" ref="D877" ca="1">IF(Insumo[[#This Row],[VALOR]]=0,Insumo[TOTAL],E877/C877)</f>
        <v>0</v>
      </c>
      <c r="E877" s="69">
        <f ca="1">SUM(Insumo[[#This Row],[CAP1-3]:[CAP29]])</f>
        <v>0</v>
      </c>
      <c r="F877" s="69">
        <f ca="1">SUMIF('CAP1-3'!$B:$H,Insumo[[#This Row],[DESCRIPCION]],'CAP1-3'!$H:$H)</f>
        <v>0</v>
      </c>
      <c r="G877" s="69">
        <f ca="1">SUMIF('CAP4-5'!$B:$H,Insumo[[#This Row],[DESCRIPCION]],'CAP4-5'!$H:$H)</f>
        <v>0</v>
      </c>
      <c r="H877" s="69">
        <f ca="1">SUMIF('CAP6-7'!$B:$H,Insumo[[#This Row],[DESCRIPCION]],'CAP6-7'!$H:$H)</f>
        <v>0</v>
      </c>
      <c r="I877" s="69">
        <f ca="1">SUMIF('CAP8'!$B:$H,Insumo[[#This Row],[DESCRIPCION]],'CAP8'!$H:$H)</f>
        <v>0</v>
      </c>
      <c r="J877" s="69">
        <f ca="1">SUMIF('CAP9-13'!$B:$H,Insumo[[#This Row],[DESCRIPCION]],'CAP9-13'!$H:$H)</f>
        <v>0</v>
      </c>
      <c r="K877" s="69">
        <f ca="1">SUMIF('CAP14-15'!$B:$H,Insumo[[#This Row],[DESCRIPCION]],'CAP14-15'!$H:$H)</f>
        <v>0</v>
      </c>
      <c r="L877" s="69">
        <f ca="1">SUMIF('CAP16-18'!$B:$H,Insumo[[#This Row],[DESCRIPCION]],'CAP16-18'!$H:$H)</f>
        <v>0</v>
      </c>
      <c r="M877" s="69">
        <f ca="1">SUMIF('CAP19-22'!$B:$H,Insumo[[#This Row],[DESCRIPCION]],'CAP19-22'!$H:$H)</f>
        <v>0</v>
      </c>
      <c r="N877" s="69">
        <f ca="1">SUMIF('CAP23-24'!$B:$H,Insumo[[#This Row],[DESCRIPCION]],'CAP23-24'!$H:$H)</f>
        <v>0</v>
      </c>
      <c r="O877" s="69">
        <f ca="1">SUMIF('CAP25'!$B:$H,Insumo[[#This Row],[DESCRIPCION]],'CAP25'!$H:$H)</f>
        <v>0</v>
      </c>
      <c r="P877" s="69">
        <f ca="1">SUMIF('CAP26-28'!$B:$H,Insumo[[#This Row],[DESCRIPCION]],'CAP26-28'!$H:$H)</f>
        <v>0</v>
      </c>
      <c r="Q877" s="69">
        <f ca="1">SUMIF('CAP29'!$B:$H,Insumo[[#This Row],[DESCRIPCION]],'CAP29'!$H:$H)</f>
        <v>0</v>
      </c>
      <c r="R877" s="136" t="s">
        <v>2622</v>
      </c>
      <c r="T877" s="136">
        <v>18058</v>
      </c>
    </row>
    <row r="878" spans="1:20" ht="12" customHeight="1">
      <c r="A878" s="301" t="s">
        <v>3493</v>
      </c>
      <c r="B878" s="303" t="s">
        <v>30</v>
      </c>
      <c r="C878" s="304">
        <f t="shared" si="13"/>
        <v>14482.650000000001</v>
      </c>
      <c r="D878" s="281" cm="1">
        <f t="array" aca="1" ref="D878" ca="1">IF(Insumo[[#This Row],[VALOR]]=0,Insumo[TOTAL],E878/C878)</f>
        <v>0</v>
      </c>
      <c r="E878" s="69">
        <f ca="1">SUM(Insumo[[#This Row],[CAP1-3]:[CAP29]])</f>
        <v>0</v>
      </c>
      <c r="F878" s="69">
        <f ca="1">SUMIF('CAP1-3'!$B:$H,Insumo[[#This Row],[DESCRIPCION]],'CAP1-3'!$H:$H)</f>
        <v>0</v>
      </c>
      <c r="G878" s="69">
        <f ca="1">SUMIF('CAP4-5'!$B:$H,Insumo[[#This Row],[DESCRIPCION]],'CAP4-5'!$H:$H)</f>
        <v>0</v>
      </c>
      <c r="H878" s="69">
        <f ca="1">SUMIF('CAP6-7'!$B:$H,Insumo[[#This Row],[DESCRIPCION]],'CAP6-7'!$H:$H)</f>
        <v>0</v>
      </c>
      <c r="I878" s="69">
        <f ca="1">SUMIF('CAP8'!$B:$H,Insumo[[#This Row],[DESCRIPCION]],'CAP8'!$H:$H)</f>
        <v>0</v>
      </c>
      <c r="J878" s="69">
        <f ca="1">SUMIF('CAP9-13'!$B:$H,Insumo[[#This Row],[DESCRIPCION]],'CAP9-13'!$H:$H)</f>
        <v>0</v>
      </c>
      <c r="K878" s="69">
        <f ca="1">SUMIF('CAP14-15'!$B:$H,Insumo[[#This Row],[DESCRIPCION]],'CAP14-15'!$H:$H)</f>
        <v>0</v>
      </c>
      <c r="L878" s="69">
        <f ca="1">SUMIF('CAP16-18'!$B:$H,Insumo[[#This Row],[DESCRIPCION]],'CAP16-18'!$H:$H)</f>
        <v>0</v>
      </c>
      <c r="M878" s="69">
        <f ca="1">SUMIF('CAP19-22'!$B:$H,Insumo[[#This Row],[DESCRIPCION]],'CAP19-22'!$H:$H)</f>
        <v>0</v>
      </c>
      <c r="N878" s="69">
        <f ca="1">SUMIF('CAP23-24'!$B:$H,Insumo[[#This Row],[DESCRIPCION]],'CAP23-24'!$H:$H)</f>
        <v>0</v>
      </c>
      <c r="O878" s="69">
        <f ca="1">SUMIF('CAP25'!$B:$H,Insumo[[#This Row],[DESCRIPCION]],'CAP25'!$H:$H)</f>
        <v>0</v>
      </c>
      <c r="P878" s="69">
        <f ca="1">SUMIF('CAP26-28'!$B:$H,Insumo[[#This Row],[DESCRIPCION]],'CAP26-28'!$H:$H)</f>
        <v>0</v>
      </c>
      <c r="Q878" s="69">
        <f ca="1">SUMIF('CAP29'!$B:$H,Insumo[[#This Row],[DESCRIPCION]],'CAP29'!$H:$H)</f>
        <v>0</v>
      </c>
      <c r="R878" s="136" t="s">
        <v>2622</v>
      </c>
      <c r="T878" s="136">
        <v>13793</v>
      </c>
    </row>
    <row r="879" spans="1:20" ht="12" customHeight="1">
      <c r="A879" s="301" t="s">
        <v>3494</v>
      </c>
      <c r="B879" s="303" t="s">
        <v>30</v>
      </c>
      <c r="C879" s="304">
        <f t="shared" si="13"/>
        <v>11647.65</v>
      </c>
      <c r="D879" s="281" cm="1">
        <f t="array" aca="1" ref="D879" ca="1">IF(Insumo[[#This Row],[VALOR]]=0,Insumo[TOTAL],E879/C879)</f>
        <v>0</v>
      </c>
      <c r="E879" s="69">
        <f ca="1">SUM(Insumo[[#This Row],[CAP1-3]:[CAP29]])</f>
        <v>0</v>
      </c>
      <c r="F879" s="69">
        <f ca="1">SUMIF('CAP1-3'!$B:$H,Insumo[[#This Row],[DESCRIPCION]],'CAP1-3'!$H:$H)</f>
        <v>0</v>
      </c>
      <c r="G879" s="69">
        <f ca="1">SUMIF('CAP4-5'!$B:$H,Insumo[[#This Row],[DESCRIPCION]],'CAP4-5'!$H:$H)</f>
        <v>0</v>
      </c>
      <c r="H879" s="69">
        <f ca="1">SUMIF('CAP6-7'!$B:$H,Insumo[[#This Row],[DESCRIPCION]],'CAP6-7'!$H:$H)</f>
        <v>0</v>
      </c>
      <c r="I879" s="69">
        <f ca="1">SUMIF('CAP8'!$B:$H,Insumo[[#This Row],[DESCRIPCION]],'CAP8'!$H:$H)</f>
        <v>0</v>
      </c>
      <c r="J879" s="69">
        <f ca="1">SUMIF('CAP9-13'!$B:$H,Insumo[[#This Row],[DESCRIPCION]],'CAP9-13'!$H:$H)</f>
        <v>0</v>
      </c>
      <c r="K879" s="69">
        <f ca="1">SUMIF('CAP14-15'!$B:$H,Insumo[[#This Row],[DESCRIPCION]],'CAP14-15'!$H:$H)</f>
        <v>0</v>
      </c>
      <c r="L879" s="69">
        <f ca="1">SUMIF('CAP16-18'!$B:$H,Insumo[[#This Row],[DESCRIPCION]],'CAP16-18'!$H:$H)</f>
        <v>0</v>
      </c>
      <c r="M879" s="69">
        <f ca="1">SUMIF('CAP19-22'!$B:$H,Insumo[[#This Row],[DESCRIPCION]],'CAP19-22'!$H:$H)</f>
        <v>0</v>
      </c>
      <c r="N879" s="69">
        <f ca="1">SUMIF('CAP23-24'!$B:$H,Insumo[[#This Row],[DESCRIPCION]],'CAP23-24'!$H:$H)</f>
        <v>0</v>
      </c>
      <c r="O879" s="69">
        <f ca="1">SUMIF('CAP25'!$B:$H,Insumo[[#This Row],[DESCRIPCION]],'CAP25'!$H:$H)</f>
        <v>0</v>
      </c>
      <c r="P879" s="69">
        <f ca="1">SUMIF('CAP26-28'!$B:$H,Insumo[[#This Row],[DESCRIPCION]],'CAP26-28'!$H:$H)</f>
        <v>0</v>
      </c>
      <c r="Q879" s="69">
        <f ca="1">SUMIF('CAP29'!$B:$H,Insumo[[#This Row],[DESCRIPCION]],'CAP29'!$H:$H)</f>
        <v>0</v>
      </c>
      <c r="R879" s="136" t="s">
        <v>2622</v>
      </c>
      <c r="T879" s="136">
        <v>11093</v>
      </c>
    </row>
    <row r="880" spans="1:20" ht="12" customHeight="1">
      <c r="A880" s="301" t="s">
        <v>3495</v>
      </c>
      <c r="B880" s="303" t="s">
        <v>30</v>
      </c>
      <c r="C880" s="304">
        <f t="shared" si="13"/>
        <v>4645.2</v>
      </c>
      <c r="D880" s="281" cm="1">
        <f t="array" aca="1" ref="D880" ca="1">IF(Insumo[[#This Row],[VALOR]]=0,Insumo[TOTAL],E880/C880)</f>
        <v>0</v>
      </c>
      <c r="E880" s="69">
        <f ca="1">SUM(Insumo[[#This Row],[CAP1-3]:[CAP29]])</f>
        <v>0</v>
      </c>
      <c r="F880" s="69">
        <f ca="1">SUMIF('CAP1-3'!$B:$H,Insumo[[#This Row],[DESCRIPCION]],'CAP1-3'!$H:$H)</f>
        <v>0</v>
      </c>
      <c r="G880" s="69">
        <f ca="1">SUMIF('CAP4-5'!$B:$H,Insumo[[#This Row],[DESCRIPCION]],'CAP4-5'!$H:$H)</f>
        <v>0</v>
      </c>
      <c r="H880" s="69">
        <f ca="1">SUMIF('CAP6-7'!$B:$H,Insumo[[#This Row],[DESCRIPCION]],'CAP6-7'!$H:$H)</f>
        <v>0</v>
      </c>
      <c r="I880" s="69">
        <f ca="1">SUMIF('CAP8'!$B:$H,Insumo[[#This Row],[DESCRIPCION]],'CAP8'!$H:$H)</f>
        <v>0</v>
      </c>
      <c r="J880" s="69">
        <f ca="1">SUMIF('CAP9-13'!$B:$H,Insumo[[#This Row],[DESCRIPCION]],'CAP9-13'!$H:$H)</f>
        <v>0</v>
      </c>
      <c r="K880" s="69">
        <f ca="1">SUMIF('CAP14-15'!$B:$H,Insumo[[#This Row],[DESCRIPCION]],'CAP14-15'!$H:$H)</f>
        <v>0</v>
      </c>
      <c r="L880" s="69">
        <f ca="1">SUMIF('CAP16-18'!$B:$H,Insumo[[#This Row],[DESCRIPCION]],'CAP16-18'!$H:$H)</f>
        <v>0</v>
      </c>
      <c r="M880" s="69">
        <f ca="1">SUMIF('CAP19-22'!$B:$H,Insumo[[#This Row],[DESCRIPCION]],'CAP19-22'!$H:$H)</f>
        <v>0</v>
      </c>
      <c r="N880" s="69">
        <f ca="1">SUMIF('CAP23-24'!$B:$H,Insumo[[#This Row],[DESCRIPCION]],'CAP23-24'!$H:$H)</f>
        <v>0</v>
      </c>
      <c r="O880" s="69">
        <f ca="1">SUMIF('CAP25'!$B:$H,Insumo[[#This Row],[DESCRIPCION]],'CAP25'!$H:$H)</f>
        <v>0</v>
      </c>
      <c r="P880" s="69">
        <f ca="1">SUMIF('CAP26-28'!$B:$H,Insumo[[#This Row],[DESCRIPCION]],'CAP26-28'!$H:$H)</f>
        <v>0</v>
      </c>
      <c r="Q880" s="69">
        <f ca="1">SUMIF('CAP29'!$B:$H,Insumo[[#This Row],[DESCRIPCION]],'CAP29'!$H:$H)</f>
        <v>0</v>
      </c>
      <c r="R880" s="136" t="s">
        <v>2622</v>
      </c>
      <c r="T880" s="136">
        <v>4424</v>
      </c>
    </row>
    <row r="881" spans="1:20" ht="12" customHeight="1">
      <c r="A881" s="301" t="s">
        <v>3496</v>
      </c>
      <c r="B881" s="303" t="s">
        <v>30</v>
      </c>
      <c r="C881" s="304">
        <f t="shared" si="13"/>
        <v>46948.65</v>
      </c>
      <c r="D881" s="281" cm="1">
        <f t="array" aca="1" ref="D881" ca="1">IF(Insumo[[#This Row],[VALOR]]=0,Insumo[TOTAL],E881/C881)</f>
        <v>0</v>
      </c>
      <c r="E881" s="69">
        <f ca="1">SUM(Insumo[[#This Row],[CAP1-3]:[CAP29]])</f>
        <v>0</v>
      </c>
      <c r="F881" s="69">
        <f ca="1">SUMIF('CAP1-3'!$B:$H,Insumo[[#This Row],[DESCRIPCION]],'CAP1-3'!$H:$H)</f>
        <v>0</v>
      </c>
      <c r="G881" s="69">
        <f ca="1">SUMIF('CAP4-5'!$B:$H,Insumo[[#This Row],[DESCRIPCION]],'CAP4-5'!$H:$H)</f>
        <v>0</v>
      </c>
      <c r="H881" s="69">
        <f ca="1">SUMIF('CAP6-7'!$B:$H,Insumo[[#This Row],[DESCRIPCION]],'CAP6-7'!$H:$H)</f>
        <v>0</v>
      </c>
      <c r="I881" s="69">
        <f ca="1">SUMIF('CAP8'!$B:$H,Insumo[[#This Row],[DESCRIPCION]],'CAP8'!$H:$H)</f>
        <v>0</v>
      </c>
      <c r="J881" s="69">
        <f ca="1">SUMIF('CAP9-13'!$B:$H,Insumo[[#This Row],[DESCRIPCION]],'CAP9-13'!$H:$H)</f>
        <v>0</v>
      </c>
      <c r="K881" s="69">
        <f ca="1">SUMIF('CAP14-15'!$B:$H,Insumo[[#This Row],[DESCRIPCION]],'CAP14-15'!$H:$H)</f>
        <v>0</v>
      </c>
      <c r="L881" s="69">
        <f ca="1">SUMIF('CAP16-18'!$B:$H,Insumo[[#This Row],[DESCRIPCION]],'CAP16-18'!$H:$H)</f>
        <v>0</v>
      </c>
      <c r="M881" s="69">
        <f ca="1">SUMIF('CAP19-22'!$B:$H,Insumo[[#This Row],[DESCRIPCION]],'CAP19-22'!$H:$H)</f>
        <v>0</v>
      </c>
      <c r="N881" s="69">
        <f ca="1">SUMIF('CAP23-24'!$B:$H,Insumo[[#This Row],[DESCRIPCION]],'CAP23-24'!$H:$H)</f>
        <v>0</v>
      </c>
      <c r="O881" s="69">
        <f ca="1">SUMIF('CAP25'!$B:$H,Insumo[[#This Row],[DESCRIPCION]],'CAP25'!$H:$H)</f>
        <v>0</v>
      </c>
      <c r="P881" s="69">
        <f ca="1">SUMIF('CAP26-28'!$B:$H,Insumo[[#This Row],[DESCRIPCION]],'CAP26-28'!$H:$H)</f>
        <v>0</v>
      </c>
      <c r="Q881" s="69">
        <f ca="1">SUMIF('CAP29'!$B:$H,Insumo[[#This Row],[DESCRIPCION]],'CAP29'!$H:$H)</f>
        <v>0</v>
      </c>
      <c r="R881" s="136" t="s">
        <v>2622</v>
      </c>
      <c r="T881" s="136">
        <v>44713</v>
      </c>
    </row>
    <row r="882" spans="1:20" ht="12" customHeight="1">
      <c r="A882" s="301" t="s">
        <v>3497</v>
      </c>
      <c r="B882" s="303" t="s">
        <v>30</v>
      </c>
      <c r="C882" s="304">
        <f t="shared" si="13"/>
        <v>29006.25</v>
      </c>
      <c r="D882" s="281" cm="1">
        <f t="array" aca="1" ref="D882" ca="1">IF(Insumo[[#This Row],[VALOR]]=0,Insumo[TOTAL],E882/C882)</f>
        <v>0</v>
      </c>
      <c r="E882" s="69">
        <f ca="1">SUM(Insumo[[#This Row],[CAP1-3]:[CAP29]])</f>
        <v>0</v>
      </c>
      <c r="F882" s="69">
        <f ca="1">SUMIF('CAP1-3'!$B:$H,Insumo[[#This Row],[DESCRIPCION]],'CAP1-3'!$H:$H)</f>
        <v>0</v>
      </c>
      <c r="G882" s="69">
        <f ca="1">SUMIF('CAP4-5'!$B:$H,Insumo[[#This Row],[DESCRIPCION]],'CAP4-5'!$H:$H)</f>
        <v>0</v>
      </c>
      <c r="H882" s="69">
        <f ca="1">SUMIF('CAP6-7'!$B:$H,Insumo[[#This Row],[DESCRIPCION]],'CAP6-7'!$H:$H)</f>
        <v>0</v>
      </c>
      <c r="I882" s="69">
        <f ca="1">SUMIF('CAP8'!$B:$H,Insumo[[#This Row],[DESCRIPCION]],'CAP8'!$H:$H)</f>
        <v>0</v>
      </c>
      <c r="J882" s="69">
        <f ca="1">SUMIF('CAP9-13'!$B:$H,Insumo[[#This Row],[DESCRIPCION]],'CAP9-13'!$H:$H)</f>
        <v>0</v>
      </c>
      <c r="K882" s="69">
        <f ca="1">SUMIF('CAP14-15'!$B:$H,Insumo[[#This Row],[DESCRIPCION]],'CAP14-15'!$H:$H)</f>
        <v>0</v>
      </c>
      <c r="L882" s="69">
        <f ca="1">SUMIF('CAP16-18'!$B:$H,Insumo[[#This Row],[DESCRIPCION]],'CAP16-18'!$H:$H)</f>
        <v>0</v>
      </c>
      <c r="M882" s="69">
        <f ca="1">SUMIF('CAP19-22'!$B:$H,Insumo[[#This Row],[DESCRIPCION]],'CAP19-22'!$H:$H)</f>
        <v>0</v>
      </c>
      <c r="N882" s="69">
        <f ca="1">SUMIF('CAP23-24'!$B:$H,Insumo[[#This Row],[DESCRIPCION]],'CAP23-24'!$H:$H)</f>
        <v>0</v>
      </c>
      <c r="O882" s="69">
        <f ca="1">SUMIF('CAP25'!$B:$H,Insumo[[#This Row],[DESCRIPCION]],'CAP25'!$H:$H)</f>
        <v>0</v>
      </c>
      <c r="P882" s="69">
        <f ca="1">SUMIF('CAP26-28'!$B:$H,Insumo[[#This Row],[DESCRIPCION]],'CAP26-28'!$H:$H)</f>
        <v>0</v>
      </c>
      <c r="Q882" s="69">
        <f ca="1">SUMIF('CAP29'!$B:$H,Insumo[[#This Row],[DESCRIPCION]],'CAP29'!$H:$H)</f>
        <v>0</v>
      </c>
      <c r="R882" s="136" t="s">
        <v>2622</v>
      </c>
      <c r="T882" s="136">
        <v>27625</v>
      </c>
    </row>
    <row r="883" spans="1:20" ht="12" customHeight="1">
      <c r="A883" s="301" t="s">
        <v>3498</v>
      </c>
      <c r="B883" s="303" t="s">
        <v>30</v>
      </c>
      <c r="C883" s="304">
        <f t="shared" si="13"/>
        <v>62784.75</v>
      </c>
      <c r="D883" s="281" cm="1">
        <f t="array" aca="1" ref="D883" ca="1">IF(Insumo[[#This Row],[VALOR]]=0,Insumo[TOTAL],E883/C883)</f>
        <v>0</v>
      </c>
      <c r="E883" s="69">
        <f ca="1">SUM(Insumo[[#This Row],[CAP1-3]:[CAP29]])</f>
        <v>0</v>
      </c>
      <c r="F883" s="69">
        <f ca="1">SUMIF('CAP1-3'!$B:$H,Insumo[[#This Row],[DESCRIPCION]],'CAP1-3'!$H:$H)</f>
        <v>0</v>
      </c>
      <c r="G883" s="69">
        <f ca="1">SUMIF('CAP4-5'!$B:$H,Insumo[[#This Row],[DESCRIPCION]],'CAP4-5'!$H:$H)</f>
        <v>0</v>
      </c>
      <c r="H883" s="69">
        <f ca="1">SUMIF('CAP6-7'!$B:$H,Insumo[[#This Row],[DESCRIPCION]],'CAP6-7'!$H:$H)</f>
        <v>0</v>
      </c>
      <c r="I883" s="69">
        <f ca="1">SUMIF('CAP8'!$B:$H,Insumo[[#This Row],[DESCRIPCION]],'CAP8'!$H:$H)</f>
        <v>0</v>
      </c>
      <c r="J883" s="69">
        <f ca="1">SUMIF('CAP9-13'!$B:$H,Insumo[[#This Row],[DESCRIPCION]],'CAP9-13'!$H:$H)</f>
        <v>0</v>
      </c>
      <c r="K883" s="69">
        <f ca="1">SUMIF('CAP14-15'!$B:$H,Insumo[[#This Row],[DESCRIPCION]],'CAP14-15'!$H:$H)</f>
        <v>0</v>
      </c>
      <c r="L883" s="69">
        <f ca="1">SUMIF('CAP16-18'!$B:$H,Insumo[[#This Row],[DESCRIPCION]],'CAP16-18'!$H:$H)</f>
        <v>0</v>
      </c>
      <c r="M883" s="69">
        <f ca="1">SUMIF('CAP19-22'!$B:$H,Insumo[[#This Row],[DESCRIPCION]],'CAP19-22'!$H:$H)</f>
        <v>0</v>
      </c>
      <c r="N883" s="69">
        <f ca="1">SUMIF('CAP23-24'!$B:$H,Insumo[[#This Row],[DESCRIPCION]],'CAP23-24'!$H:$H)</f>
        <v>0</v>
      </c>
      <c r="O883" s="69">
        <f ca="1">SUMIF('CAP25'!$B:$H,Insumo[[#This Row],[DESCRIPCION]],'CAP25'!$H:$H)</f>
        <v>0</v>
      </c>
      <c r="P883" s="69">
        <f ca="1">SUMIF('CAP26-28'!$B:$H,Insumo[[#This Row],[DESCRIPCION]],'CAP26-28'!$H:$H)</f>
        <v>0</v>
      </c>
      <c r="Q883" s="69">
        <f ca="1">SUMIF('CAP29'!$B:$H,Insumo[[#This Row],[DESCRIPCION]],'CAP29'!$H:$H)</f>
        <v>0</v>
      </c>
      <c r="R883" s="136" t="s">
        <v>2622</v>
      </c>
      <c r="T883" s="136">
        <v>59795</v>
      </c>
    </row>
    <row r="884" spans="1:20" ht="12" customHeight="1">
      <c r="A884" s="301" t="s">
        <v>3499</v>
      </c>
      <c r="B884" s="303" t="s">
        <v>30</v>
      </c>
      <c r="C884" s="304">
        <f t="shared" si="13"/>
        <v>8596.35</v>
      </c>
      <c r="D884" s="281" cm="1">
        <f t="array" aca="1" ref="D884" ca="1">IF(Insumo[[#This Row],[VALOR]]=0,Insumo[TOTAL],E884/C884)</f>
        <v>0</v>
      </c>
      <c r="E884" s="69">
        <f ca="1">SUM(Insumo[[#This Row],[CAP1-3]:[CAP29]])</f>
        <v>0</v>
      </c>
      <c r="F884" s="69">
        <f ca="1">SUMIF('CAP1-3'!$B:$H,Insumo[[#This Row],[DESCRIPCION]],'CAP1-3'!$H:$H)</f>
        <v>0</v>
      </c>
      <c r="G884" s="69">
        <f ca="1">SUMIF('CAP4-5'!$B:$H,Insumo[[#This Row],[DESCRIPCION]],'CAP4-5'!$H:$H)</f>
        <v>0</v>
      </c>
      <c r="H884" s="69">
        <f ca="1">SUMIF('CAP6-7'!$B:$H,Insumo[[#This Row],[DESCRIPCION]],'CAP6-7'!$H:$H)</f>
        <v>0</v>
      </c>
      <c r="I884" s="69">
        <f ca="1">SUMIF('CAP8'!$B:$H,Insumo[[#This Row],[DESCRIPCION]],'CAP8'!$H:$H)</f>
        <v>0</v>
      </c>
      <c r="J884" s="69">
        <f ca="1">SUMIF('CAP9-13'!$B:$H,Insumo[[#This Row],[DESCRIPCION]],'CAP9-13'!$H:$H)</f>
        <v>0</v>
      </c>
      <c r="K884" s="69">
        <f ca="1">SUMIF('CAP14-15'!$B:$H,Insumo[[#This Row],[DESCRIPCION]],'CAP14-15'!$H:$H)</f>
        <v>0</v>
      </c>
      <c r="L884" s="69">
        <f ca="1">SUMIF('CAP16-18'!$B:$H,Insumo[[#This Row],[DESCRIPCION]],'CAP16-18'!$H:$H)</f>
        <v>0</v>
      </c>
      <c r="M884" s="69">
        <f ca="1">SUMIF('CAP19-22'!$B:$H,Insumo[[#This Row],[DESCRIPCION]],'CAP19-22'!$H:$H)</f>
        <v>0</v>
      </c>
      <c r="N884" s="69">
        <f ca="1">SUMIF('CAP23-24'!$B:$H,Insumo[[#This Row],[DESCRIPCION]],'CAP23-24'!$H:$H)</f>
        <v>0</v>
      </c>
      <c r="O884" s="69">
        <f ca="1">SUMIF('CAP25'!$B:$H,Insumo[[#This Row],[DESCRIPCION]],'CAP25'!$H:$H)</f>
        <v>0</v>
      </c>
      <c r="P884" s="69">
        <f ca="1">SUMIF('CAP26-28'!$B:$H,Insumo[[#This Row],[DESCRIPCION]],'CAP26-28'!$H:$H)</f>
        <v>0</v>
      </c>
      <c r="Q884" s="69">
        <f ca="1">SUMIF('CAP29'!$B:$H,Insumo[[#This Row],[DESCRIPCION]],'CAP29'!$H:$H)</f>
        <v>0</v>
      </c>
      <c r="R884" s="136" t="s">
        <v>2622</v>
      </c>
      <c r="T884" s="136">
        <v>8187</v>
      </c>
    </row>
    <row r="885" spans="1:20" ht="12" customHeight="1">
      <c r="A885" s="301" t="s">
        <v>3500</v>
      </c>
      <c r="B885" s="303" t="s">
        <v>30</v>
      </c>
      <c r="C885" s="304">
        <f t="shared" si="13"/>
        <v>84706.650000000009</v>
      </c>
      <c r="D885" s="281" cm="1">
        <f t="array" aca="1" ref="D885" ca="1">IF(Insumo[[#This Row],[VALOR]]=0,Insumo[TOTAL],E885/C885)</f>
        <v>0</v>
      </c>
      <c r="E885" s="69">
        <f ca="1">SUM(Insumo[[#This Row],[CAP1-3]:[CAP29]])</f>
        <v>0</v>
      </c>
      <c r="F885" s="69">
        <f ca="1">SUMIF('CAP1-3'!$B:$H,Insumo[[#This Row],[DESCRIPCION]],'CAP1-3'!$H:$H)</f>
        <v>0</v>
      </c>
      <c r="G885" s="69">
        <f ca="1">SUMIF('CAP4-5'!$B:$H,Insumo[[#This Row],[DESCRIPCION]],'CAP4-5'!$H:$H)</f>
        <v>0</v>
      </c>
      <c r="H885" s="69">
        <f ca="1">SUMIF('CAP6-7'!$B:$H,Insumo[[#This Row],[DESCRIPCION]],'CAP6-7'!$H:$H)</f>
        <v>0</v>
      </c>
      <c r="I885" s="69">
        <f ca="1">SUMIF('CAP8'!$B:$H,Insumo[[#This Row],[DESCRIPCION]],'CAP8'!$H:$H)</f>
        <v>0</v>
      </c>
      <c r="J885" s="69">
        <f ca="1">SUMIF('CAP9-13'!$B:$H,Insumo[[#This Row],[DESCRIPCION]],'CAP9-13'!$H:$H)</f>
        <v>0</v>
      </c>
      <c r="K885" s="69">
        <f ca="1">SUMIF('CAP14-15'!$B:$H,Insumo[[#This Row],[DESCRIPCION]],'CAP14-15'!$H:$H)</f>
        <v>0</v>
      </c>
      <c r="L885" s="69">
        <f ca="1">SUMIF('CAP16-18'!$B:$H,Insumo[[#This Row],[DESCRIPCION]],'CAP16-18'!$H:$H)</f>
        <v>0</v>
      </c>
      <c r="M885" s="69">
        <f ca="1">SUMIF('CAP19-22'!$B:$H,Insumo[[#This Row],[DESCRIPCION]],'CAP19-22'!$H:$H)</f>
        <v>0</v>
      </c>
      <c r="N885" s="69">
        <f ca="1">SUMIF('CAP23-24'!$B:$H,Insumo[[#This Row],[DESCRIPCION]],'CAP23-24'!$H:$H)</f>
        <v>0</v>
      </c>
      <c r="O885" s="69">
        <f ca="1">SUMIF('CAP25'!$B:$H,Insumo[[#This Row],[DESCRIPCION]],'CAP25'!$H:$H)</f>
        <v>0</v>
      </c>
      <c r="P885" s="69">
        <f ca="1">SUMIF('CAP26-28'!$B:$H,Insumo[[#This Row],[DESCRIPCION]],'CAP26-28'!$H:$H)</f>
        <v>0</v>
      </c>
      <c r="Q885" s="69">
        <f ca="1">SUMIF('CAP29'!$B:$H,Insumo[[#This Row],[DESCRIPCION]],'CAP29'!$H:$H)</f>
        <v>0</v>
      </c>
      <c r="R885" s="136" t="s">
        <v>2622</v>
      </c>
      <c r="T885" s="136">
        <v>80673</v>
      </c>
    </row>
    <row r="886" spans="1:20" ht="12" customHeight="1">
      <c r="A886" s="301" t="s">
        <v>3501</v>
      </c>
      <c r="B886" s="303" t="s">
        <v>30</v>
      </c>
      <c r="C886" s="304">
        <f t="shared" si="13"/>
        <v>145402.95000000001</v>
      </c>
      <c r="D886" s="281" cm="1">
        <f t="array" aca="1" ref="D886" ca="1">IF(Insumo[[#This Row],[VALOR]]=0,Insumo[TOTAL],E886/C886)</f>
        <v>0</v>
      </c>
      <c r="E886" s="69">
        <f ca="1">SUM(Insumo[[#This Row],[CAP1-3]:[CAP29]])</f>
        <v>0</v>
      </c>
      <c r="F886" s="69">
        <f ca="1">SUMIF('CAP1-3'!$B:$H,Insumo[[#This Row],[DESCRIPCION]],'CAP1-3'!$H:$H)</f>
        <v>0</v>
      </c>
      <c r="G886" s="69">
        <f ca="1">SUMIF('CAP4-5'!$B:$H,Insumo[[#This Row],[DESCRIPCION]],'CAP4-5'!$H:$H)</f>
        <v>0</v>
      </c>
      <c r="H886" s="69">
        <f ca="1">SUMIF('CAP6-7'!$B:$H,Insumo[[#This Row],[DESCRIPCION]],'CAP6-7'!$H:$H)</f>
        <v>0</v>
      </c>
      <c r="I886" s="69">
        <f ca="1">SUMIF('CAP8'!$B:$H,Insumo[[#This Row],[DESCRIPCION]],'CAP8'!$H:$H)</f>
        <v>0</v>
      </c>
      <c r="J886" s="69">
        <f ca="1">SUMIF('CAP9-13'!$B:$H,Insumo[[#This Row],[DESCRIPCION]],'CAP9-13'!$H:$H)</f>
        <v>0</v>
      </c>
      <c r="K886" s="69">
        <f ca="1">SUMIF('CAP14-15'!$B:$H,Insumo[[#This Row],[DESCRIPCION]],'CAP14-15'!$H:$H)</f>
        <v>0</v>
      </c>
      <c r="L886" s="69">
        <f ca="1">SUMIF('CAP16-18'!$B:$H,Insumo[[#This Row],[DESCRIPCION]],'CAP16-18'!$H:$H)</f>
        <v>0</v>
      </c>
      <c r="M886" s="69">
        <f ca="1">SUMIF('CAP19-22'!$B:$H,Insumo[[#This Row],[DESCRIPCION]],'CAP19-22'!$H:$H)</f>
        <v>0</v>
      </c>
      <c r="N886" s="69">
        <f ca="1">SUMIF('CAP23-24'!$B:$H,Insumo[[#This Row],[DESCRIPCION]],'CAP23-24'!$H:$H)</f>
        <v>0</v>
      </c>
      <c r="O886" s="69">
        <f ca="1">SUMIF('CAP25'!$B:$H,Insumo[[#This Row],[DESCRIPCION]],'CAP25'!$H:$H)</f>
        <v>0</v>
      </c>
      <c r="P886" s="69">
        <f ca="1">SUMIF('CAP26-28'!$B:$H,Insumo[[#This Row],[DESCRIPCION]],'CAP26-28'!$H:$H)</f>
        <v>0</v>
      </c>
      <c r="Q886" s="69">
        <f ca="1">SUMIF('CAP29'!$B:$H,Insumo[[#This Row],[DESCRIPCION]],'CAP29'!$H:$H)</f>
        <v>0</v>
      </c>
      <c r="T886" s="136">
        <v>138479</v>
      </c>
    </row>
    <row r="887" spans="1:20" ht="12" customHeight="1">
      <c r="A887" s="301" t="s">
        <v>3502</v>
      </c>
      <c r="B887" s="303" t="s">
        <v>30</v>
      </c>
      <c r="C887" s="304">
        <f t="shared" si="13"/>
        <v>16774.8</v>
      </c>
      <c r="D887" s="281" cm="1">
        <f t="array" aca="1" ref="D887" ca="1">IF(Insumo[[#This Row],[VALOR]]=0,Insumo[TOTAL],E887/C887)</f>
        <v>0</v>
      </c>
      <c r="E887" s="69">
        <f ca="1">SUM(Insumo[[#This Row],[CAP1-3]:[CAP29]])</f>
        <v>0</v>
      </c>
      <c r="F887" s="69">
        <f ca="1">SUMIF('CAP1-3'!$B:$H,Insumo[[#This Row],[DESCRIPCION]],'CAP1-3'!$H:$H)</f>
        <v>0</v>
      </c>
      <c r="G887" s="69">
        <f ca="1">SUMIF('CAP4-5'!$B:$H,Insumo[[#This Row],[DESCRIPCION]],'CAP4-5'!$H:$H)</f>
        <v>0</v>
      </c>
      <c r="H887" s="69">
        <f ca="1">SUMIF('CAP6-7'!$B:$H,Insumo[[#This Row],[DESCRIPCION]],'CAP6-7'!$H:$H)</f>
        <v>0</v>
      </c>
      <c r="I887" s="69">
        <f ca="1">SUMIF('CAP8'!$B:$H,Insumo[[#This Row],[DESCRIPCION]],'CAP8'!$H:$H)</f>
        <v>0</v>
      </c>
      <c r="J887" s="69">
        <f ca="1">SUMIF('CAP9-13'!$B:$H,Insumo[[#This Row],[DESCRIPCION]],'CAP9-13'!$H:$H)</f>
        <v>0</v>
      </c>
      <c r="K887" s="69">
        <f ca="1">SUMIF('CAP14-15'!$B:$H,Insumo[[#This Row],[DESCRIPCION]],'CAP14-15'!$H:$H)</f>
        <v>0</v>
      </c>
      <c r="L887" s="69">
        <f ca="1">SUMIF('CAP16-18'!$B:$H,Insumo[[#This Row],[DESCRIPCION]],'CAP16-18'!$H:$H)</f>
        <v>0</v>
      </c>
      <c r="M887" s="69">
        <f ca="1">SUMIF('CAP19-22'!$B:$H,Insumo[[#This Row],[DESCRIPCION]],'CAP19-22'!$H:$H)</f>
        <v>0</v>
      </c>
      <c r="N887" s="69">
        <f ca="1">SUMIF('CAP23-24'!$B:$H,Insumo[[#This Row],[DESCRIPCION]],'CAP23-24'!$H:$H)</f>
        <v>0</v>
      </c>
      <c r="O887" s="69">
        <f ca="1">SUMIF('CAP25'!$B:$H,Insumo[[#This Row],[DESCRIPCION]],'CAP25'!$H:$H)</f>
        <v>0</v>
      </c>
      <c r="P887" s="69">
        <f ca="1">SUMIF('CAP26-28'!$B:$H,Insumo[[#This Row],[DESCRIPCION]],'CAP26-28'!$H:$H)</f>
        <v>0</v>
      </c>
      <c r="Q887" s="69">
        <f ca="1">SUMIF('CAP29'!$B:$H,Insumo[[#This Row],[DESCRIPCION]],'CAP29'!$H:$H)</f>
        <v>0</v>
      </c>
      <c r="R887" s="136" t="s">
        <v>2622</v>
      </c>
      <c r="T887" s="136">
        <v>15976</v>
      </c>
    </row>
    <row r="888" spans="1:20" ht="12" customHeight="1">
      <c r="A888" s="301" t="s">
        <v>3503</v>
      </c>
      <c r="B888" s="303" t="s">
        <v>30</v>
      </c>
      <c r="C888" s="304">
        <f t="shared" si="13"/>
        <v>20817.3</v>
      </c>
      <c r="D888" s="281" cm="1">
        <f t="array" aca="1" ref="D888" ca="1">IF(Insumo[[#This Row],[VALOR]]=0,Insumo[TOTAL],E888/C888)</f>
        <v>0</v>
      </c>
      <c r="E888" s="69">
        <f ca="1">SUM(Insumo[[#This Row],[CAP1-3]:[CAP29]])</f>
        <v>0</v>
      </c>
      <c r="F888" s="69">
        <f ca="1">SUMIF('CAP1-3'!$B:$H,Insumo[[#This Row],[DESCRIPCION]],'CAP1-3'!$H:$H)</f>
        <v>0</v>
      </c>
      <c r="G888" s="69">
        <f ca="1">SUMIF('CAP4-5'!$B:$H,Insumo[[#This Row],[DESCRIPCION]],'CAP4-5'!$H:$H)</f>
        <v>0</v>
      </c>
      <c r="H888" s="69">
        <f ca="1">SUMIF('CAP6-7'!$B:$H,Insumo[[#This Row],[DESCRIPCION]],'CAP6-7'!$H:$H)</f>
        <v>0</v>
      </c>
      <c r="I888" s="69">
        <f ca="1">SUMIF('CAP8'!$B:$H,Insumo[[#This Row],[DESCRIPCION]],'CAP8'!$H:$H)</f>
        <v>0</v>
      </c>
      <c r="J888" s="69">
        <f ca="1">SUMIF('CAP9-13'!$B:$H,Insumo[[#This Row],[DESCRIPCION]],'CAP9-13'!$H:$H)</f>
        <v>0</v>
      </c>
      <c r="K888" s="69">
        <f ca="1">SUMIF('CAP14-15'!$B:$H,Insumo[[#This Row],[DESCRIPCION]],'CAP14-15'!$H:$H)</f>
        <v>0</v>
      </c>
      <c r="L888" s="69">
        <f ca="1">SUMIF('CAP16-18'!$B:$H,Insumo[[#This Row],[DESCRIPCION]],'CAP16-18'!$H:$H)</f>
        <v>0</v>
      </c>
      <c r="M888" s="69">
        <f ca="1">SUMIF('CAP19-22'!$B:$H,Insumo[[#This Row],[DESCRIPCION]],'CAP19-22'!$H:$H)</f>
        <v>0</v>
      </c>
      <c r="N888" s="69">
        <f ca="1">SUMIF('CAP23-24'!$B:$H,Insumo[[#This Row],[DESCRIPCION]],'CAP23-24'!$H:$H)</f>
        <v>0</v>
      </c>
      <c r="O888" s="69">
        <f ca="1">SUMIF('CAP25'!$B:$H,Insumo[[#This Row],[DESCRIPCION]],'CAP25'!$H:$H)</f>
        <v>0</v>
      </c>
      <c r="P888" s="69">
        <f ca="1">SUMIF('CAP26-28'!$B:$H,Insumo[[#This Row],[DESCRIPCION]],'CAP26-28'!$H:$H)</f>
        <v>0</v>
      </c>
      <c r="Q888" s="69">
        <f ca="1">SUMIF('CAP29'!$B:$H,Insumo[[#This Row],[DESCRIPCION]],'CAP29'!$H:$H)</f>
        <v>0</v>
      </c>
      <c r="R888" s="136" t="s">
        <v>2622</v>
      </c>
      <c r="T888" s="136">
        <v>19826</v>
      </c>
    </row>
    <row r="889" spans="1:20" ht="12" customHeight="1">
      <c r="A889" s="301" t="s">
        <v>3504</v>
      </c>
      <c r="B889" s="303" t="s">
        <v>30</v>
      </c>
      <c r="C889" s="304">
        <f t="shared" si="13"/>
        <v>31049.550000000003</v>
      </c>
      <c r="D889" s="281" cm="1">
        <f t="array" aca="1" ref="D889" ca="1">IF(Insumo[[#This Row],[VALOR]]=0,Insumo[TOTAL],E889/C889)</f>
        <v>0</v>
      </c>
      <c r="E889" s="69">
        <f ca="1">SUM(Insumo[[#This Row],[CAP1-3]:[CAP29]])</f>
        <v>0</v>
      </c>
      <c r="F889" s="69">
        <f ca="1">SUMIF('CAP1-3'!$B:$H,Insumo[[#This Row],[DESCRIPCION]],'CAP1-3'!$H:$H)</f>
        <v>0</v>
      </c>
      <c r="G889" s="69">
        <f ca="1">SUMIF('CAP4-5'!$B:$H,Insumo[[#This Row],[DESCRIPCION]],'CAP4-5'!$H:$H)</f>
        <v>0</v>
      </c>
      <c r="H889" s="69">
        <f ca="1">SUMIF('CAP6-7'!$B:$H,Insumo[[#This Row],[DESCRIPCION]],'CAP6-7'!$H:$H)</f>
        <v>0</v>
      </c>
      <c r="I889" s="69">
        <f ca="1">SUMIF('CAP8'!$B:$H,Insumo[[#This Row],[DESCRIPCION]],'CAP8'!$H:$H)</f>
        <v>0</v>
      </c>
      <c r="J889" s="69">
        <f ca="1">SUMIF('CAP9-13'!$B:$H,Insumo[[#This Row],[DESCRIPCION]],'CAP9-13'!$H:$H)</f>
        <v>0</v>
      </c>
      <c r="K889" s="69">
        <f ca="1">SUMIF('CAP14-15'!$B:$H,Insumo[[#This Row],[DESCRIPCION]],'CAP14-15'!$H:$H)</f>
        <v>0</v>
      </c>
      <c r="L889" s="69">
        <f ca="1">SUMIF('CAP16-18'!$B:$H,Insumo[[#This Row],[DESCRIPCION]],'CAP16-18'!$H:$H)</f>
        <v>0</v>
      </c>
      <c r="M889" s="69">
        <f ca="1">SUMIF('CAP19-22'!$B:$H,Insumo[[#This Row],[DESCRIPCION]],'CAP19-22'!$H:$H)</f>
        <v>0</v>
      </c>
      <c r="N889" s="69">
        <f ca="1">SUMIF('CAP23-24'!$B:$H,Insumo[[#This Row],[DESCRIPCION]],'CAP23-24'!$H:$H)</f>
        <v>0</v>
      </c>
      <c r="O889" s="69">
        <f ca="1">SUMIF('CAP25'!$B:$H,Insumo[[#This Row],[DESCRIPCION]],'CAP25'!$H:$H)</f>
        <v>0</v>
      </c>
      <c r="P889" s="69">
        <f ca="1">SUMIF('CAP26-28'!$B:$H,Insumo[[#This Row],[DESCRIPCION]],'CAP26-28'!$H:$H)</f>
        <v>0</v>
      </c>
      <c r="Q889" s="69">
        <f ca="1">SUMIF('CAP29'!$B:$H,Insumo[[#This Row],[DESCRIPCION]],'CAP29'!$H:$H)</f>
        <v>0</v>
      </c>
      <c r="R889" s="136" t="s">
        <v>2622</v>
      </c>
      <c r="T889" s="136">
        <v>29571</v>
      </c>
    </row>
    <row r="890" spans="1:20" ht="12" customHeight="1">
      <c r="A890" s="301" t="s">
        <v>3505</v>
      </c>
      <c r="B890" s="303" t="s">
        <v>30</v>
      </c>
      <c r="C890" s="304">
        <f t="shared" si="13"/>
        <v>43738.8</v>
      </c>
      <c r="D890" s="281" cm="1">
        <f t="array" aca="1" ref="D890" ca="1">IF(Insumo[[#This Row],[VALOR]]=0,Insumo[TOTAL],E890/C890)</f>
        <v>0</v>
      </c>
      <c r="E890" s="69">
        <f ca="1">SUM(Insumo[[#This Row],[CAP1-3]:[CAP29]])</f>
        <v>0</v>
      </c>
      <c r="F890" s="69">
        <f ca="1">SUMIF('CAP1-3'!$B:$H,Insumo[[#This Row],[DESCRIPCION]],'CAP1-3'!$H:$H)</f>
        <v>0</v>
      </c>
      <c r="G890" s="69">
        <f ca="1">SUMIF('CAP4-5'!$B:$H,Insumo[[#This Row],[DESCRIPCION]],'CAP4-5'!$H:$H)</f>
        <v>0</v>
      </c>
      <c r="H890" s="69">
        <f ca="1">SUMIF('CAP6-7'!$B:$H,Insumo[[#This Row],[DESCRIPCION]],'CAP6-7'!$H:$H)</f>
        <v>0</v>
      </c>
      <c r="I890" s="69">
        <f ca="1">SUMIF('CAP8'!$B:$H,Insumo[[#This Row],[DESCRIPCION]],'CAP8'!$H:$H)</f>
        <v>0</v>
      </c>
      <c r="J890" s="69">
        <f ca="1">SUMIF('CAP9-13'!$B:$H,Insumo[[#This Row],[DESCRIPCION]],'CAP9-13'!$H:$H)</f>
        <v>0</v>
      </c>
      <c r="K890" s="69">
        <f ca="1">SUMIF('CAP14-15'!$B:$H,Insumo[[#This Row],[DESCRIPCION]],'CAP14-15'!$H:$H)</f>
        <v>0</v>
      </c>
      <c r="L890" s="69">
        <f ca="1">SUMIF('CAP16-18'!$B:$H,Insumo[[#This Row],[DESCRIPCION]],'CAP16-18'!$H:$H)</f>
        <v>0</v>
      </c>
      <c r="M890" s="69">
        <f ca="1">SUMIF('CAP19-22'!$B:$H,Insumo[[#This Row],[DESCRIPCION]],'CAP19-22'!$H:$H)</f>
        <v>0</v>
      </c>
      <c r="N890" s="69">
        <f ca="1">SUMIF('CAP23-24'!$B:$H,Insumo[[#This Row],[DESCRIPCION]],'CAP23-24'!$H:$H)</f>
        <v>0</v>
      </c>
      <c r="O890" s="69">
        <f ca="1">SUMIF('CAP25'!$B:$H,Insumo[[#This Row],[DESCRIPCION]],'CAP25'!$H:$H)</f>
        <v>0</v>
      </c>
      <c r="P890" s="69">
        <f ca="1">SUMIF('CAP26-28'!$B:$H,Insumo[[#This Row],[DESCRIPCION]],'CAP26-28'!$H:$H)</f>
        <v>0</v>
      </c>
      <c r="Q890" s="69">
        <f ca="1">SUMIF('CAP29'!$B:$H,Insumo[[#This Row],[DESCRIPCION]],'CAP29'!$H:$H)</f>
        <v>0</v>
      </c>
      <c r="R890" s="136" t="s">
        <v>2622</v>
      </c>
      <c r="T890" s="136">
        <v>41656</v>
      </c>
    </row>
    <row r="891" spans="1:20" ht="12" customHeight="1">
      <c r="A891" s="301" t="s">
        <v>3506</v>
      </c>
      <c r="B891" s="303" t="s">
        <v>30</v>
      </c>
      <c r="C891" s="304">
        <f t="shared" si="13"/>
        <v>91667.1</v>
      </c>
      <c r="D891" s="281" cm="1">
        <f t="array" aca="1" ref="D891" ca="1">IF(Insumo[[#This Row],[VALOR]]=0,Insumo[TOTAL],E891/C891)</f>
        <v>0</v>
      </c>
      <c r="E891" s="69">
        <f ca="1">SUM(Insumo[[#This Row],[CAP1-3]:[CAP29]])</f>
        <v>0</v>
      </c>
      <c r="F891" s="69">
        <f ca="1">SUMIF('CAP1-3'!$B:$H,Insumo[[#This Row],[DESCRIPCION]],'CAP1-3'!$H:$H)</f>
        <v>0</v>
      </c>
      <c r="G891" s="69">
        <f ca="1">SUMIF('CAP4-5'!$B:$H,Insumo[[#This Row],[DESCRIPCION]],'CAP4-5'!$H:$H)</f>
        <v>0</v>
      </c>
      <c r="H891" s="69">
        <f ca="1">SUMIF('CAP6-7'!$B:$H,Insumo[[#This Row],[DESCRIPCION]],'CAP6-7'!$H:$H)</f>
        <v>0</v>
      </c>
      <c r="I891" s="69">
        <f ca="1">SUMIF('CAP8'!$B:$H,Insumo[[#This Row],[DESCRIPCION]],'CAP8'!$H:$H)</f>
        <v>0</v>
      </c>
      <c r="J891" s="69">
        <f ca="1">SUMIF('CAP9-13'!$B:$H,Insumo[[#This Row],[DESCRIPCION]],'CAP9-13'!$H:$H)</f>
        <v>0</v>
      </c>
      <c r="K891" s="69">
        <f ca="1">SUMIF('CAP14-15'!$B:$H,Insumo[[#This Row],[DESCRIPCION]],'CAP14-15'!$H:$H)</f>
        <v>0</v>
      </c>
      <c r="L891" s="69">
        <f ca="1">SUMIF('CAP16-18'!$B:$H,Insumo[[#This Row],[DESCRIPCION]],'CAP16-18'!$H:$H)</f>
        <v>0</v>
      </c>
      <c r="M891" s="69">
        <f ca="1">SUMIF('CAP19-22'!$B:$H,Insumo[[#This Row],[DESCRIPCION]],'CAP19-22'!$H:$H)</f>
        <v>0</v>
      </c>
      <c r="N891" s="69">
        <f ca="1">SUMIF('CAP23-24'!$B:$H,Insumo[[#This Row],[DESCRIPCION]],'CAP23-24'!$H:$H)</f>
        <v>0</v>
      </c>
      <c r="O891" s="69">
        <f ca="1">SUMIF('CAP25'!$B:$H,Insumo[[#This Row],[DESCRIPCION]],'CAP25'!$H:$H)</f>
        <v>0</v>
      </c>
      <c r="P891" s="69">
        <f ca="1">SUMIF('CAP26-28'!$B:$H,Insumo[[#This Row],[DESCRIPCION]],'CAP26-28'!$H:$H)</f>
        <v>0</v>
      </c>
      <c r="Q891" s="69">
        <f ca="1">SUMIF('CAP29'!$B:$H,Insumo[[#This Row],[DESCRIPCION]],'CAP29'!$H:$H)</f>
        <v>0</v>
      </c>
      <c r="R891" s="136" t="s">
        <v>2622</v>
      </c>
      <c r="T891" s="136">
        <v>87302</v>
      </c>
    </row>
    <row r="892" spans="1:20" ht="12" customHeight="1">
      <c r="A892" s="301" t="s">
        <v>3507</v>
      </c>
      <c r="B892" s="303" t="s">
        <v>30</v>
      </c>
      <c r="C892" s="304">
        <f t="shared" si="13"/>
        <v>10189.200000000001</v>
      </c>
      <c r="D892" s="281" cm="1">
        <f t="array" aca="1" ref="D892" ca="1">IF(Insumo[[#This Row],[VALOR]]=0,Insumo[TOTAL],E892/C892)</f>
        <v>0</v>
      </c>
      <c r="E892" s="69">
        <f ca="1">SUM(Insumo[[#This Row],[CAP1-3]:[CAP29]])</f>
        <v>0</v>
      </c>
      <c r="F892" s="69">
        <f ca="1">SUMIF('CAP1-3'!$B:$H,Insumo[[#This Row],[DESCRIPCION]],'CAP1-3'!$H:$H)</f>
        <v>0</v>
      </c>
      <c r="G892" s="69">
        <f ca="1">SUMIF('CAP4-5'!$B:$H,Insumo[[#This Row],[DESCRIPCION]],'CAP4-5'!$H:$H)</f>
        <v>0</v>
      </c>
      <c r="H892" s="69">
        <f ca="1">SUMIF('CAP6-7'!$B:$H,Insumo[[#This Row],[DESCRIPCION]],'CAP6-7'!$H:$H)</f>
        <v>0</v>
      </c>
      <c r="I892" s="69">
        <f ca="1">SUMIF('CAP8'!$B:$H,Insumo[[#This Row],[DESCRIPCION]],'CAP8'!$H:$H)</f>
        <v>0</v>
      </c>
      <c r="J892" s="69">
        <f ca="1">SUMIF('CAP9-13'!$B:$H,Insumo[[#This Row],[DESCRIPCION]],'CAP9-13'!$H:$H)</f>
        <v>0</v>
      </c>
      <c r="K892" s="69">
        <f ca="1">SUMIF('CAP14-15'!$B:$H,Insumo[[#This Row],[DESCRIPCION]],'CAP14-15'!$H:$H)</f>
        <v>0</v>
      </c>
      <c r="L892" s="69">
        <f ca="1">SUMIF('CAP16-18'!$B:$H,Insumo[[#This Row],[DESCRIPCION]],'CAP16-18'!$H:$H)</f>
        <v>0</v>
      </c>
      <c r="M892" s="69">
        <f ca="1">SUMIF('CAP19-22'!$B:$H,Insumo[[#This Row],[DESCRIPCION]],'CAP19-22'!$H:$H)</f>
        <v>0</v>
      </c>
      <c r="N892" s="69">
        <f ca="1">SUMIF('CAP23-24'!$B:$H,Insumo[[#This Row],[DESCRIPCION]],'CAP23-24'!$H:$H)</f>
        <v>0</v>
      </c>
      <c r="O892" s="69">
        <f ca="1">SUMIF('CAP25'!$B:$H,Insumo[[#This Row],[DESCRIPCION]],'CAP25'!$H:$H)</f>
        <v>0</v>
      </c>
      <c r="P892" s="69">
        <f ca="1">SUMIF('CAP26-28'!$B:$H,Insumo[[#This Row],[DESCRIPCION]],'CAP26-28'!$H:$H)</f>
        <v>0</v>
      </c>
      <c r="Q892" s="69">
        <f ca="1">SUMIF('CAP29'!$B:$H,Insumo[[#This Row],[DESCRIPCION]],'CAP29'!$H:$H)</f>
        <v>0</v>
      </c>
      <c r="R892" s="136" t="s">
        <v>2622</v>
      </c>
      <c r="T892" s="136">
        <v>9704</v>
      </c>
    </row>
    <row r="893" spans="1:20" ht="12" customHeight="1">
      <c r="A893" s="301" t="s">
        <v>3508</v>
      </c>
      <c r="B893" s="303" t="s">
        <v>30</v>
      </c>
      <c r="C893" s="304">
        <f t="shared" si="13"/>
        <v>14482.650000000001</v>
      </c>
      <c r="D893" s="281" cm="1">
        <f t="array" aca="1" ref="D893" ca="1">IF(Insumo[[#This Row],[VALOR]]=0,Insumo[TOTAL],E893/C893)</f>
        <v>0</v>
      </c>
      <c r="E893" s="69">
        <f ca="1">SUM(Insumo[[#This Row],[CAP1-3]:[CAP29]])</f>
        <v>0</v>
      </c>
      <c r="F893" s="69">
        <f ca="1">SUMIF('CAP1-3'!$B:$H,Insumo[[#This Row],[DESCRIPCION]],'CAP1-3'!$H:$H)</f>
        <v>0</v>
      </c>
      <c r="G893" s="69">
        <f ca="1">SUMIF('CAP4-5'!$B:$H,Insumo[[#This Row],[DESCRIPCION]],'CAP4-5'!$H:$H)</f>
        <v>0</v>
      </c>
      <c r="H893" s="69">
        <f ca="1">SUMIF('CAP6-7'!$B:$H,Insumo[[#This Row],[DESCRIPCION]],'CAP6-7'!$H:$H)</f>
        <v>0</v>
      </c>
      <c r="I893" s="69">
        <f ca="1">SUMIF('CAP8'!$B:$H,Insumo[[#This Row],[DESCRIPCION]],'CAP8'!$H:$H)</f>
        <v>0</v>
      </c>
      <c r="J893" s="69">
        <f ca="1">SUMIF('CAP9-13'!$B:$H,Insumo[[#This Row],[DESCRIPCION]],'CAP9-13'!$H:$H)</f>
        <v>0</v>
      </c>
      <c r="K893" s="69">
        <f ca="1">SUMIF('CAP14-15'!$B:$H,Insumo[[#This Row],[DESCRIPCION]],'CAP14-15'!$H:$H)</f>
        <v>0</v>
      </c>
      <c r="L893" s="69">
        <f ca="1">SUMIF('CAP16-18'!$B:$H,Insumo[[#This Row],[DESCRIPCION]],'CAP16-18'!$H:$H)</f>
        <v>0</v>
      </c>
      <c r="M893" s="69">
        <f ca="1">SUMIF('CAP19-22'!$B:$H,Insumo[[#This Row],[DESCRIPCION]],'CAP19-22'!$H:$H)</f>
        <v>0</v>
      </c>
      <c r="N893" s="69">
        <f ca="1">SUMIF('CAP23-24'!$B:$H,Insumo[[#This Row],[DESCRIPCION]],'CAP23-24'!$H:$H)</f>
        <v>0</v>
      </c>
      <c r="O893" s="69">
        <f ca="1">SUMIF('CAP25'!$B:$H,Insumo[[#This Row],[DESCRIPCION]],'CAP25'!$H:$H)</f>
        <v>0</v>
      </c>
      <c r="P893" s="69">
        <f ca="1">SUMIF('CAP26-28'!$B:$H,Insumo[[#This Row],[DESCRIPCION]],'CAP26-28'!$H:$H)</f>
        <v>0</v>
      </c>
      <c r="Q893" s="69">
        <f ca="1">SUMIF('CAP29'!$B:$H,Insumo[[#This Row],[DESCRIPCION]],'CAP29'!$H:$H)</f>
        <v>0</v>
      </c>
      <c r="R893" s="136" t="s">
        <v>2622</v>
      </c>
      <c r="T893" s="136">
        <v>13793</v>
      </c>
    </row>
    <row r="894" spans="1:20" ht="12" customHeight="1">
      <c r="A894" s="301" t="s">
        <v>3509</v>
      </c>
      <c r="B894" s="303" t="s">
        <v>30</v>
      </c>
      <c r="C894" s="304">
        <f t="shared" si="13"/>
        <v>19358.850000000002</v>
      </c>
      <c r="D894" s="281" cm="1">
        <f t="array" aca="1" ref="D894" ca="1">IF(Insumo[[#This Row],[VALOR]]=0,Insumo[TOTAL],E894/C894)</f>
        <v>0</v>
      </c>
      <c r="E894" s="69">
        <f ca="1">SUM(Insumo[[#This Row],[CAP1-3]:[CAP29]])</f>
        <v>0</v>
      </c>
      <c r="F894" s="69">
        <f ca="1">SUMIF('CAP1-3'!$B:$H,Insumo[[#This Row],[DESCRIPCION]],'CAP1-3'!$H:$H)</f>
        <v>0</v>
      </c>
      <c r="G894" s="69">
        <f ca="1">SUMIF('CAP4-5'!$B:$H,Insumo[[#This Row],[DESCRIPCION]],'CAP4-5'!$H:$H)</f>
        <v>0</v>
      </c>
      <c r="H894" s="69">
        <f ca="1">SUMIF('CAP6-7'!$B:$H,Insumo[[#This Row],[DESCRIPCION]],'CAP6-7'!$H:$H)</f>
        <v>0</v>
      </c>
      <c r="I894" s="69">
        <f ca="1">SUMIF('CAP8'!$B:$H,Insumo[[#This Row],[DESCRIPCION]],'CAP8'!$H:$H)</f>
        <v>0</v>
      </c>
      <c r="J894" s="69">
        <f ca="1">SUMIF('CAP9-13'!$B:$H,Insumo[[#This Row],[DESCRIPCION]],'CAP9-13'!$H:$H)</f>
        <v>0</v>
      </c>
      <c r="K894" s="69">
        <f ca="1">SUMIF('CAP14-15'!$B:$H,Insumo[[#This Row],[DESCRIPCION]],'CAP14-15'!$H:$H)</f>
        <v>0</v>
      </c>
      <c r="L894" s="69">
        <f ca="1">SUMIF('CAP16-18'!$B:$H,Insumo[[#This Row],[DESCRIPCION]],'CAP16-18'!$H:$H)</f>
        <v>0</v>
      </c>
      <c r="M894" s="69">
        <f ca="1">SUMIF('CAP19-22'!$B:$H,Insumo[[#This Row],[DESCRIPCION]],'CAP19-22'!$H:$H)</f>
        <v>0</v>
      </c>
      <c r="N894" s="69">
        <f ca="1">SUMIF('CAP23-24'!$B:$H,Insumo[[#This Row],[DESCRIPCION]],'CAP23-24'!$H:$H)</f>
        <v>0</v>
      </c>
      <c r="O894" s="69">
        <f ca="1">SUMIF('CAP25'!$B:$H,Insumo[[#This Row],[DESCRIPCION]],'CAP25'!$H:$H)</f>
        <v>0</v>
      </c>
      <c r="P894" s="69">
        <f ca="1">SUMIF('CAP26-28'!$B:$H,Insumo[[#This Row],[DESCRIPCION]],'CAP26-28'!$H:$H)</f>
        <v>0</v>
      </c>
      <c r="Q894" s="69">
        <f ca="1">SUMIF('CAP29'!$B:$H,Insumo[[#This Row],[DESCRIPCION]],'CAP29'!$H:$H)</f>
        <v>0</v>
      </c>
      <c r="R894" s="136" t="s">
        <v>2622</v>
      </c>
      <c r="T894" s="136">
        <v>18437</v>
      </c>
    </row>
    <row r="895" spans="1:20" ht="12" customHeight="1">
      <c r="A895" s="301" t="s">
        <v>3510</v>
      </c>
      <c r="B895" s="303" t="s">
        <v>30</v>
      </c>
      <c r="C895" s="304">
        <f t="shared" si="13"/>
        <v>32902.800000000003</v>
      </c>
      <c r="D895" s="281" cm="1">
        <f t="array" aca="1" ref="D895" ca="1">IF(Insumo[[#This Row],[VALOR]]=0,Insumo[TOTAL],E895/C895)</f>
        <v>0</v>
      </c>
      <c r="E895" s="69">
        <f ca="1">SUM(Insumo[[#This Row],[CAP1-3]:[CAP29]])</f>
        <v>0</v>
      </c>
      <c r="F895" s="69">
        <f ca="1">SUMIF('CAP1-3'!$B:$H,Insumo[[#This Row],[DESCRIPCION]],'CAP1-3'!$H:$H)</f>
        <v>0</v>
      </c>
      <c r="G895" s="69">
        <f ca="1">SUMIF('CAP4-5'!$B:$H,Insumo[[#This Row],[DESCRIPCION]],'CAP4-5'!$H:$H)</f>
        <v>0</v>
      </c>
      <c r="H895" s="69">
        <f ca="1">SUMIF('CAP6-7'!$B:$H,Insumo[[#This Row],[DESCRIPCION]],'CAP6-7'!$H:$H)</f>
        <v>0</v>
      </c>
      <c r="I895" s="69">
        <f ca="1">SUMIF('CAP8'!$B:$H,Insumo[[#This Row],[DESCRIPCION]],'CAP8'!$H:$H)</f>
        <v>0</v>
      </c>
      <c r="J895" s="69">
        <f ca="1">SUMIF('CAP9-13'!$B:$H,Insumo[[#This Row],[DESCRIPCION]],'CAP9-13'!$H:$H)</f>
        <v>0</v>
      </c>
      <c r="K895" s="69">
        <f ca="1">SUMIF('CAP14-15'!$B:$H,Insumo[[#This Row],[DESCRIPCION]],'CAP14-15'!$H:$H)</f>
        <v>0</v>
      </c>
      <c r="L895" s="69">
        <f ca="1">SUMIF('CAP16-18'!$B:$H,Insumo[[#This Row],[DESCRIPCION]],'CAP16-18'!$H:$H)</f>
        <v>0</v>
      </c>
      <c r="M895" s="69">
        <f ca="1">SUMIF('CAP19-22'!$B:$H,Insumo[[#This Row],[DESCRIPCION]],'CAP19-22'!$H:$H)</f>
        <v>0</v>
      </c>
      <c r="N895" s="69">
        <f ca="1">SUMIF('CAP23-24'!$B:$H,Insumo[[#This Row],[DESCRIPCION]],'CAP23-24'!$H:$H)</f>
        <v>0</v>
      </c>
      <c r="O895" s="69">
        <f ca="1">SUMIF('CAP25'!$B:$H,Insumo[[#This Row],[DESCRIPCION]],'CAP25'!$H:$H)</f>
        <v>0</v>
      </c>
      <c r="P895" s="69">
        <f ca="1">SUMIF('CAP26-28'!$B:$H,Insumo[[#This Row],[DESCRIPCION]],'CAP26-28'!$H:$H)</f>
        <v>0</v>
      </c>
      <c r="Q895" s="69">
        <f ca="1">SUMIF('CAP29'!$B:$H,Insumo[[#This Row],[DESCRIPCION]],'CAP29'!$H:$H)</f>
        <v>0</v>
      </c>
      <c r="R895" s="136" t="s">
        <v>2622</v>
      </c>
      <c r="T895" s="136">
        <v>31336</v>
      </c>
    </row>
    <row r="896" spans="1:20" ht="12" customHeight="1">
      <c r="A896" s="301" t="s">
        <v>3511</v>
      </c>
      <c r="B896" s="303" t="s">
        <v>30</v>
      </c>
      <c r="C896" s="304">
        <f t="shared" si="13"/>
        <v>2801.4</v>
      </c>
      <c r="D896" s="281" cm="1">
        <f t="array" aca="1" ref="D896" ca="1">IF(Insumo[[#This Row],[VALOR]]=0,Insumo[TOTAL],E896/C896)</f>
        <v>0</v>
      </c>
      <c r="E896" s="69">
        <f ca="1">SUM(Insumo[[#This Row],[CAP1-3]:[CAP29]])</f>
        <v>0</v>
      </c>
      <c r="F896" s="69">
        <f ca="1">SUMIF('CAP1-3'!$B:$H,Insumo[[#This Row],[DESCRIPCION]],'CAP1-3'!$H:$H)</f>
        <v>0</v>
      </c>
      <c r="G896" s="69">
        <f ca="1">SUMIF('CAP4-5'!$B:$H,Insumo[[#This Row],[DESCRIPCION]],'CAP4-5'!$H:$H)</f>
        <v>0</v>
      </c>
      <c r="H896" s="69">
        <f ca="1">SUMIF('CAP6-7'!$B:$H,Insumo[[#This Row],[DESCRIPCION]],'CAP6-7'!$H:$H)</f>
        <v>0</v>
      </c>
      <c r="I896" s="69">
        <f ca="1">SUMIF('CAP8'!$B:$H,Insumo[[#This Row],[DESCRIPCION]],'CAP8'!$H:$H)</f>
        <v>0</v>
      </c>
      <c r="J896" s="69">
        <f ca="1">SUMIF('CAP9-13'!$B:$H,Insumo[[#This Row],[DESCRIPCION]],'CAP9-13'!$H:$H)</f>
        <v>0</v>
      </c>
      <c r="K896" s="69">
        <f ca="1">SUMIF('CAP14-15'!$B:$H,Insumo[[#This Row],[DESCRIPCION]],'CAP14-15'!$H:$H)</f>
        <v>0</v>
      </c>
      <c r="L896" s="69">
        <f ca="1">SUMIF('CAP16-18'!$B:$H,Insumo[[#This Row],[DESCRIPCION]],'CAP16-18'!$H:$H)</f>
        <v>0</v>
      </c>
      <c r="M896" s="69">
        <f ca="1">SUMIF('CAP19-22'!$B:$H,Insumo[[#This Row],[DESCRIPCION]],'CAP19-22'!$H:$H)</f>
        <v>0</v>
      </c>
      <c r="N896" s="69">
        <f ca="1">SUMIF('CAP23-24'!$B:$H,Insumo[[#This Row],[DESCRIPCION]],'CAP23-24'!$H:$H)</f>
        <v>0</v>
      </c>
      <c r="O896" s="69">
        <f ca="1">SUMIF('CAP25'!$B:$H,Insumo[[#This Row],[DESCRIPCION]],'CAP25'!$H:$H)</f>
        <v>0</v>
      </c>
      <c r="P896" s="69">
        <f ca="1">SUMIF('CAP26-28'!$B:$H,Insumo[[#This Row],[DESCRIPCION]],'CAP26-28'!$H:$H)</f>
        <v>0</v>
      </c>
      <c r="Q896" s="69">
        <f ca="1">SUMIF('CAP29'!$B:$H,Insumo[[#This Row],[DESCRIPCION]],'CAP29'!$H:$H)</f>
        <v>0</v>
      </c>
      <c r="R896" s="136" t="s">
        <v>3444</v>
      </c>
      <c r="T896" s="136">
        <v>2668</v>
      </c>
    </row>
    <row r="897" spans="1:20" ht="12" customHeight="1">
      <c r="A897" s="301" t="s">
        <v>3512</v>
      </c>
      <c r="B897" s="303" t="s">
        <v>30</v>
      </c>
      <c r="C897" s="304">
        <f t="shared" si="13"/>
        <v>24259.200000000001</v>
      </c>
      <c r="D897" s="281" cm="1">
        <f t="array" aca="1" ref="D897" ca="1">IF(Insumo[[#This Row],[VALOR]]=0,Insumo[TOTAL],E897/C897)</f>
        <v>0</v>
      </c>
      <c r="E897" s="69">
        <f ca="1">SUM(Insumo[[#This Row],[CAP1-3]:[CAP29]])</f>
        <v>0</v>
      </c>
      <c r="F897" s="69">
        <f ca="1">SUMIF('CAP1-3'!$B:$H,Insumo[[#This Row],[DESCRIPCION]],'CAP1-3'!$H:$H)</f>
        <v>0</v>
      </c>
      <c r="G897" s="69">
        <f ca="1">SUMIF('CAP4-5'!$B:$H,Insumo[[#This Row],[DESCRIPCION]],'CAP4-5'!$H:$H)</f>
        <v>0</v>
      </c>
      <c r="H897" s="69">
        <f ca="1">SUMIF('CAP6-7'!$B:$H,Insumo[[#This Row],[DESCRIPCION]],'CAP6-7'!$H:$H)</f>
        <v>0</v>
      </c>
      <c r="I897" s="69">
        <f ca="1">SUMIF('CAP8'!$B:$H,Insumo[[#This Row],[DESCRIPCION]],'CAP8'!$H:$H)</f>
        <v>0</v>
      </c>
      <c r="J897" s="69">
        <f ca="1">SUMIF('CAP9-13'!$B:$H,Insumo[[#This Row],[DESCRIPCION]],'CAP9-13'!$H:$H)</f>
        <v>0</v>
      </c>
      <c r="K897" s="69">
        <f ca="1">SUMIF('CAP14-15'!$B:$H,Insumo[[#This Row],[DESCRIPCION]],'CAP14-15'!$H:$H)</f>
        <v>0</v>
      </c>
      <c r="L897" s="69">
        <f ca="1">SUMIF('CAP16-18'!$B:$H,Insumo[[#This Row],[DESCRIPCION]],'CAP16-18'!$H:$H)</f>
        <v>0</v>
      </c>
      <c r="M897" s="69">
        <f ca="1">SUMIF('CAP19-22'!$B:$H,Insumo[[#This Row],[DESCRIPCION]],'CAP19-22'!$H:$H)</f>
        <v>0</v>
      </c>
      <c r="N897" s="69">
        <f ca="1">SUMIF('CAP23-24'!$B:$H,Insumo[[#This Row],[DESCRIPCION]],'CAP23-24'!$H:$H)</f>
        <v>0</v>
      </c>
      <c r="O897" s="69">
        <f ca="1">SUMIF('CAP25'!$B:$H,Insumo[[#This Row],[DESCRIPCION]],'CAP25'!$H:$H)</f>
        <v>0</v>
      </c>
      <c r="P897" s="69">
        <f ca="1">SUMIF('CAP26-28'!$B:$H,Insumo[[#This Row],[DESCRIPCION]],'CAP26-28'!$H:$H)</f>
        <v>0</v>
      </c>
      <c r="Q897" s="69">
        <f ca="1">SUMIF('CAP29'!$B:$H,Insumo[[#This Row],[DESCRIPCION]],'CAP29'!$H:$H)</f>
        <v>0</v>
      </c>
      <c r="R897" s="136" t="s">
        <v>3444</v>
      </c>
      <c r="T897" s="136">
        <v>23104</v>
      </c>
    </row>
    <row r="898" spans="1:20" ht="12" customHeight="1">
      <c r="A898" s="301" t="s">
        <v>3513</v>
      </c>
      <c r="B898" s="303" t="s">
        <v>30</v>
      </c>
      <c r="C898" s="304">
        <f t="shared" si="13"/>
        <v>18863.25</v>
      </c>
      <c r="D898" s="281" cm="1">
        <f t="array" aca="1" ref="D898" ca="1">IF(Insumo[[#This Row],[VALOR]]=0,Insumo[TOTAL],E898/C898)</f>
        <v>0</v>
      </c>
      <c r="E898" s="69">
        <f ca="1">SUM(Insumo[[#This Row],[CAP1-3]:[CAP29]])</f>
        <v>0</v>
      </c>
      <c r="F898" s="69">
        <f ca="1">SUMIF('CAP1-3'!$B:$H,Insumo[[#This Row],[DESCRIPCION]],'CAP1-3'!$H:$H)</f>
        <v>0</v>
      </c>
      <c r="G898" s="69">
        <f ca="1">SUMIF('CAP4-5'!$B:$H,Insumo[[#This Row],[DESCRIPCION]],'CAP4-5'!$H:$H)</f>
        <v>0</v>
      </c>
      <c r="H898" s="69">
        <f ca="1">SUMIF('CAP6-7'!$B:$H,Insumo[[#This Row],[DESCRIPCION]],'CAP6-7'!$H:$H)</f>
        <v>0</v>
      </c>
      <c r="I898" s="69">
        <f ca="1">SUMIF('CAP8'!$B:$H,Insumo[[#This Row],[DESCRIPCION]],'CAP8'!$H:$H)</f>
        <v>0</v>
      </c>
      <c r="J898" s="69">
        <f ca="1">SUMIF('CAP9-13'!$B:$H,Insumo[[#This Row],[DESCRIPCION]],'CAP9-13'!$H:$H)</f>
        <v>0</v>
      </c>
      <c r="K898" s="69">
        <f ca="1">SUMIF('CAP14-15'!$B:$H,Insumo[[#This Row],[DESCRIPCION]],'CAP14-15'!$H:$H)</f>
        <v>0</v>
      </c>
      <c r="L898" s="69">
        <f ca="1">SUMIF('CAP16-18'!$B:$H,Insumo[[#This Row],[DESCRIPCION]],'CAP16-18'!$H:$H)</f>
        <v>0</v>
      </c>
      <c r="M898" s="69">
        <f ca="1">SUMIF('CAP19-22'!$B:$H,Insumo[[#This Row],[DESCRIPCION]],'CAP19-22'!$H:$H)</f>
        <v>0</v>
      </c>
      <c r="N898" s="69">
        <f ca="1">SUMIF('CAP23-24'!$B:$H,Insumo[[#This Row],[DESCRIPCION]],'CAP23-24'!$H:$H)</f>
        <v>0</v>
      </c>
      <c r="O898" s="69">
        <f ca="1">SUMIF('CAP25'!$B:$H,Insumo[[#This Row],[DESCRIPCION]],'CAP25'!$H:$H)</f>
        <v>0</v>
      </c>
      <c r="P898" s="69">
        <f ca="1">SUMIF('CAP26-28'!$B:$H,Insumo[[#This Row],[DESCRIPCION]],'CAP26-28'!$H:$H)</f>
        <v>0</v>
      </c>
      <c r="Q898" s="69">
        <f ca="1">SUMIF('CAP29'!$B:$H,Insumo[[#This Row],[DESCRIPCION]],'CAP29'!$H:$H)</f>
        <v>0</v>
      </c>
      <c r="R898" s="136" t="s">
        <v>3444</v>
      </c>
      <c r="T898" s="136">
        <v>17965</v>
      </c>
    </row>
    <row r="899" spans="1:20" ht="12" customHeight="1">
      <c r="A899" s="301" t="s">
        <v>3514</v>
      </c>
      <c r="B899" s="303" t="s">
        <v>30</v>
      </c>
      <c r="C899" s="304">
        <f t="shared" si="13"/>
        <v>47439</v>
      </c>
      <c r="D899" s="281" cm="1">
        <f t="array" aca="1" ref="D899" ca="1">IF(Insumo[[#This Row],[VALOR]]=0,Insumo[TOTAL],E899/C899)</f>
        <v>0</v>
      </c>
      <c r="E899" s="69">
        <f ca="1">SUM(Insumo[[#This Row],[CAP1-3]:[CAP29]])</f>
        <v>0</v>
      </c>
      <c r="F899" s="69">
        <f ca="1">SUMIF('CAP1-3'!$B:$H,Insumo[[#This Row],[DESCRIPCION]],'CAP1-3'!$H:$H)</f>
        <v>0</v>
      </c>
      <c r="G899" s="69">
        <f ca="1">SUMIF('CAP4-5'!$B:$H,Insumo[[#This Row],[DESCRIPCION]],'CAP4-5'!$H:$H)</f>
        <v>0</v>
      </c>
      <c r="H899" s="69">
        <f ca="1">SUMIF('CAP6-7'!$B:$H,Insumo[[#This Row],[DESCRIPCION]],'CAP6-7'!$H:$H)</f>
        <v>0</v>
      </c>
      <c r="I899" s="69">
        <f ca="1">SUMIF('CAP8'!$B:$H,Insumo[[#This Row],[DESCRIPCION]],'CAP8'!$H:$H)</f>
        <v>0</v>
      </c>
      <c r="J899" s="69">
        <f ca="1">SUMIF('CAP9-13'!$B:$H,Insumo[[#This Row],[DESCRIPCION]],'CAP9-13'!$H:$H)</f>
        <v>0</v>
      </c>
      <c r="K899" s="69">
        <f ca="1">SUMIF('CAP14-15'!$B:$H,Insumo[[#This Row],[DESCRIPCION]],'CAP14-15'!$H:$H)</f>
        <v>0</v>
      </c>
      <c r="L899" s="69">
        <f ca="1">SUMIF('CAP16-18'!$B:$H,Insumo[[#This Row],[DESCRIPCION]],'CAP16-18'!$H:$H)</f>
        <v>0</v>
      </c>
      <c r="M899" s="69">
        <f ca="1">SUMIF('CAP19-22'!$B:$H,Insumo[[#This Row],[DESCRIPCION]],'CAP19-22'!$H:$H)</f>
        <v>0</v>
      </c>
      <c r="N899" s="69">
        <f ca="1">SUMIF('CAP23-24'!$B:$H,Insumo[[#This Row],[DESCRIPCION]],'CAP23-24'!$H:$H)</f>
        <v>0</v>
      </c>
      <c r="O899" s="69">
        <f ca="1">SUMIF('CAP25'!$B:$H,Insumo[[#This Row],[DESCRIPCION]],'CAP25'!$H:$H)</f>
        <v>0</v>
      </c>
      <c r="P899" s="69">
        <f ca="1">SUMIF('CAP26-28'!$B:$H,Insumo[[#This Row],[DESCRIPCION]],'CAP26-28'!$H:$H)</f>
        <v>0</v>
      </c>
      <c r="Q899" s="69">
        <f ca="1">SUMIF('CAP29'!$B:$H,Insumo[[#This Row],[DESCRIPCION]],'CAP29'!$H:$H)</f>
        <v>0</v>
      </c>
      <c r="R899" s="136" t="s">
        <v>3444</v>
      </c>
      <c r="T899" s="136">
        <v>45180</v>
      </c>
    </row>
    <row r="900" spans="1:20" ht="12" customHeight="1">
      <c r="A900" s="301" t="s">
        <v>3515</v>
      </c>
      <c r="B900" s="303" t="s">
        <v>30</v>
      </c>
      <c r="C900" s="304">
        <f t="shared" si="13"/>
        <v>35441.700000000004</v>
      </c>
      <c r="D900" s="281" cm="1">
        <f t="array" aca="1" ref="D900" ca="1">IF(Insumo[[#This Row],[VALOR]]=0,Insumo[TOTAL],E900/C900)</f>
        <v>0</v>
      </c>
      <c r="E900" s="69">
        <f ca="1">SUM(Insumo[[#This Row],[CAP1-3]:[CAP29]])</f>
        <v>0</v>
      </c>
      <c r="F900" s="69">
        <f ca="1">SUMIF('CAP1-3'!$B:$H,Insumo[[#This Row],[DESCRIPCION]],'CAP1-3'!$H:$H)</f>
        <v>0</v>
      </c>
      <c r="G900" s="69">
        <f ca="1">SUMIF('CAP4-5'!$B:$H,Insumo[[#This Row],[DESCRIPCION]],'CAP4-5'!$H:$H)</f>
        <v>0</v>
      </c>
      <c r="H900" s="69">
        <f ca="1">SUMIF('CAP6-7'!$B:$H,Insumo[[#This Row],[DESCRIPCION]],'CAP6-7'!$H:$H)</f>
        <v>0</v>
      </c>
      <c r="I900" s="69">
        <f ca="1">SUMIF('CAP8'!$B:$H,Insumo[[#This Row],[DESCRIPCION]],'CAP8'!$H:$H)</f>
        <v>0</v>
      </c>
      <c r="J900" s="69">
        <f ca="1">SUMIF('CAP9-13'!$B:$H,Insumo[[#This Row],[DESCRIPCION]],'CAP9-13'!$H:$H)</f>
        <v>0</v>
      </c>
      <c r="K900" s="69">
        <f ca="1">SUMIF('CAP14-15'!$B:$H,Insumo[[#This Row],[DESCRIPCION]],'CAP14-15'!$H:$H)</f>
        <v>0</v>
      </c>
      <c r="L900" s="69">
        <f ca="1">SUMIF('CAP16-18'!$B:$H,Insumo[[#This Row],[DESCRIPCION]],'CAP16-18'!$H:$H)</f>
        <v>0</v>
      </c>
      <c r="M900" s="69">
        <f ca="1">SUMIF('CAP19-22'!$B:$H,Insumo[[#This Row],[DESCRIPCION]],'CAP19-22'!$H:$H)</f>
        <v>0</v>
      </c>
      <c r="N900" s="69">
        <f ca="1">SUMIF('CAP23-24'!$B:$H,Insumo[[#This Row],[DESCRIPCION]],'CAP23-24'!$H:$H)</f>
        <v>0</v>
      </c>
      <c r="O900" s="69">
        <f ca="1">SUMIF('CAP25'!$B:$H,Insumo[[#This Row],[DESCRIPCION]],'CAP25'!$H:$H)</f>
        <v>0</v>
      </c>
      <c r="P900" s="69">
        <f ca="1">SUMIF('CAP26-28'!$B:$H,Insumo[[#This Row],[DESCRIPCION]],'CAP26-28'!$H:$H)</f>
        <v>0</v>
      </c>
      <c r="Q900" s="69">
        <f ca="1">SUMIF('CAP29'!$B:$H,Insumo[[#This Row],[DESCRIPCION]],'CAP29'!$H:$H)</f>
        <v>0</v>
      </c>
      <c r="R900" s="136" t="s">
        <v>3444</v>
      </c>
      <c r="T900" s="136">
        <v>33754</v>
      </c>
    </row>
    <row r="901" spans="1:20" ht="12" customHeight="1">
      <c r="A901" s="301" t="s">
        <v>3516</v>
      </c>
      <c r="B901" s="303" t="s">
        <v>30</v>
      </c>
      <c r="C901" s="304">
        <f t="shared" si="13"/>
        <v>75420.45</v>
      </c>
      <c r="D901" s="281" cm="1">
        <f t="array" aca="1" ref="D901" ca="1">IF(Insumo[[#This Row],[VALOR]]=0,Insumo[TOTAL],E901/C901)</f>
        <v>0</v>
      </c>
      <c r="E901" s="69">
        <f ca="1">SUM(Insumo[[#This Row],[CAP1-3]:[CAP29]])</f>
        <v>0</v>
      </c>
      <c r="F901" s="69">
        <f ca="1">SUMIF('CAP1-3'!$B:$H,Insumo[[#This Row],[DESCRIPCION]],'CAP1-3'!$H:$H)</f>
        <v>0</v>
      </c>
      <c r="G901" s="69">
        <f ca="1">SUMIF('CAP4-5'!$B:$H,Insumo[[#This Row],[DESCRIPCION]],'CAP4-5'!$H:$H)</f>
        <v>0</v>
      </c>
      <c r="H901" s="69">
        <f ca="1">SUMIF('CAP6-7'!$B:$H,Insumo[[#This Row],[DESCRIPCION]],'CAP6-7'!$H:$H)</f>
        <v>0</v>
      </c>
      <c r="I901" s="69">
        <f ca="1">SUMIF('CAP8'!$B:$H,Insumo[[#This Row],[DESCRIPCION]],'CAP8'!$H:$H)</f>
        <v>0</v>
      </c>
      <c r="J901" s="69">
        <f ca="1">SUMIF('CAP9-13'!$B:$H,Insumo[[#This Row],[DESCRIPCION]],'CAP9-13'!$H:$H)</f>
        <v>0</v>
      </c>
      <c r="K901" s="69">
        <f ca="1">SUMIF('CAP14-15'!$B:$H,Insumo[[#This Row],[DESCRIPCION]],'CAP14-15'!$H:$H)</f>
        <v>0</v>
      </c>
      <c r="L901" s="69">
        <f ca="1">SUMIF('CAP16-18'!$B:$H,Insumo[[#This Row],[DESCRIPCION]],'CAP16-18'!$H:$H)</f>
        <v>0</v>
      </c>
      <c r="M901" s="69">
        <f ca="1">SUMIF('CAP19-22'!$B:$H,Insumo[[#This Row],[DESCRIPCION]],'CAP19-22'!$H:$H)</f>
        <v>0</v>
      </c>
      <c r="N901" s="69">
        <f ca="1">SUMIF('CAP23-24'!$B:$H,Insumo[[#This Row],[DESCRIPCION]],'CAP23-24'!$H:$H)</f>
        <v>0</v>
      </c>
      <c r="O901" s="69">
        <f ca="1">SUMIF('CAP25'!$B:$H,Insumo[[#This Row],[DESCRIPCION]],'CAP25'!$H:$H)</f>
        <v>0</v>
      </c>
      <c r="P901" s="69">
        <f ca="1">SUMIF('CAP26-28'!$B:$H,Insumo[[#This Row],[DESCRIPCION]],'CAP26-28'!$H:$H)</f>
        <v>0</v>
      </c>
      <c r="Q901" s="69">
        <f ca="1">SUMIF('CAP29'!$B:$H,Insumo[[#This Row],[DESCRIPCION]],'CAP29'!$H:$H)</f>
        <v>0</v>
      </c>
      <c r="R901" s="136" t="s">
        <v>3444</v>
      </c>
      <c r="T901" s="136">
        <v>71829</v>
      </c>
    </row>
    <row r="902" spans="1:20" ht="12" customHeight="1">
      <c r="A902" s="301" t="s">
        <v>3517</v>
      </c>
      <c r="B902" s="303" t="s">
        <v>23</v>
      </c>
      <c r="C902" s="304">
        <f t="shared" ref="C902:C944" si="14">T902*$T$3</f>
        <v>761.25</v>
      </c>
      <c r="D902" s="281" cm="1">
        <f t="array" aca="1" ref="D902" ca="1">IF(Insumo[[#This Row],[VALOR]]=0,Insumo[TOTAL],E902/C902)</f>
        <v>0</v>
      </c>
      <c r="E902" s="69">
        <f ca="1">SUM(Insumo[[#This Row],[CAP1-3]:[CAP29]])</f>
        <v>0</v>
      </c>
      <c r="F902" s="69">
        <f ca="1">SUMIF('CAP1-3'!$B:$H,Insumo[[#This Row],[DESCRIPCION]],'CAP1-3'!$H:$H)</f>
        <v>0</v>
      </c>
      <c r="G902" s="69">
        <f ca="1">SUMIF('CAP4-5'!$B:$H,Insumo[[#This Row],[DESCRIPCION]],'CAP4-5'!$H:$H)</f>
        <v>0</v>
      </c>
      <c r="H902" s="69">
        <f ca="1">SUMIF('CAP6-7'!$B:$H,Insumo[[#This Row],[DESCRIPCION]],'CAP6-7'!$H:$H)</f>
        <v>0</v>
      </c>
      <c r="I902" s="69">
        <f ca="1">SUMIF('CAP8'!$B:$H,Insumo[[#This Row],[DESCRIPCION]],'CAP8'!$H:$H)</f>
        <v>0</v>
      </c>
      <c r="J902" s="69">
        <f ca="1">SUMIF('CAP9-13'!$B:$H,Insumo[[#This Row],[DESCRIPCION]],'CAP9-13'!$H:$H)</f>
        <v>0</v>
      </c>
      <c r="K902" s="69">
        <f ca="1">SUMIF('CAP14-15'!$B:$H,Insumo[[#This Row],[DESCRIPCION]],'CAP14-15'!$H:$H)</f>
        <v>0</v>
      </c>
      <c r="L902" s="69">
        <f ca="1">SUMIF('CAP16-18'!$B:$H,Insumo[[#This Row],[DESCRIPCION]],'CAP16-18'!$H:$H)</f>
        <v>0</v>
      </c>
      <c r="M902" s="69">
        <f ca="1">SUMIF('CAP19-22'!$B:$H,Insumo[[#This Row],[DESCRIPCION]],'CAP19-22'!$H:$H)</f>
        <v>0</v>
      </c>
      <c r="N902" s="69">
        <f ca="1">SUMIF('CAP23-24'!$B:$H,Insumo[[#This Row],[DESCRIPCION]],'CAP23-24'!$H:$H)</f>
        <v>0</v>
      </c>
      <c r="O902" s="69">
        <f ca="1">SUMIF('CAP25'!$B:$H,Insumo[[#This Row],[DESCRIPCION]],'CAP25'!$H:$H)</f>
        <v>0</v>
      </c>
      <c r="P902" s="69">
        <f ca="1">SUMIF('CAP26-28'!$B:$H,Insumo[[#This Row],[DESCRIPCION]],'CAP26-28'!$H:$H)</f>
        <v>0</v>
      </c>
      <c r="Q902" s="69">
        <f ca="1">SUMIF('CAP29'!$B:$H,Insumo[[#This Row],[DESCRIPCION]],'CAP29'!$H:$H)</f>
        <v>0</v>
      </c>
      <c r="T902" s="136">
        <v>725</v>
      </c>
    </row>
    <row r="903" spans="1:20" ht="12" customHeight="1">
      <c r="A903" s="301" t="s">
        <v>3518</v>
      </c>
      <c r="B903" s="303" t="s">
        <v>23</v>
      </c>
      <c r="C903" s="304">
        <f t="shared" si="14"/>
        <v>1050</v>
      </c>
      <c r="D903" s="281" cm="1">
        <f t="array" aca="1" ref="D903" ca="1">IF(Insumo[[#This Row],[VALOR]]=0,Insumo[TOTAL],E903/C903)</f>
        <v>0</v>
      </c>
      <c r="E903" s="69">
        <f ca="1">SUM(Insumo[[#This Row],[CAP1-3]:[CAP29]])</f>
        <v>0</v>
      </c>
      <c r="F903" s="69">
        <f ca="1">SUMIF('CAP1-3'!$B:$H,Insumo[[#This Row],[DESCRIPCION]],'CAP1-3'!$H:$H)</f>
        <v>0</v>
      </c>
      <c r="G903" s="69">
        <f ca="1">SUMIF('CAP4-5'!$B:$H,Insumo[[#This Row],[DESCRIPCION]],'CAP4-5'!$H:$H)</f>
        <v>0</v>
      </c>
      <c r="H903" s="69">
        <f ca="1">SUMIF('CAP6-7'!$B:$H,Insumo[[#This Row],[DESCRIPCION]],'CAP6-7'!$H:$H)</f>
        <v>0</v>
      </c>
      <c r="I903" s="69">
        <f ca="1">SUMIF('CAP8'!$B:$H,Insumo[[#This Row],[DESCRIPCION]],'CAP8'!$H:$H)</f>
        <v>0</v>
      </c>
      <c r="J903" s="69">
        <f ca="1">SUMIF('CAP9-13'!$B:$H,Insumo[[#This Row],[DESCRIPCION]],'CAP9-13'!$H:$H)</f>
        <v>0</v>
      </c>
      <c r="K903" s="69">
        <f ca="1">SUMIF('CAP14-15'!$B:$H,Insumo[[#This Row],[DESCRIPCION]],'CAP14-15'!$H:$H)</f>
        <v>0</v>
      </c>
      <c r="L903" s="69">
        <f ca="1">SUMIF('CAP16-18'!$B:$H,Insumo[[#This Row],[DESCRIPCION]],'CAP16-18'!$H:$H)</f>
        <v>0</v>
      </c>
      <c r="M903" s="69">
        <f ca="1">SUMIF('CAP19-22'!$B:$H,Insumo[[#This Row],[DESCRIPCION]],'CAP19-22'!$H:$H)</f>
        <v>0</v>
      </c>
      <c r="N903" s="69">
        <f ca="1">SUMIF('CAP23-24'!$B:$H,Insumo[[#This Row],[DESCRIPCION]],'CAP23-24'!$H:$H)</f>
        <v>0</v>
      </c>
      <c r="O903" s="69">
        <f ca="1">SUMIF('CAP25'!$B:$H,Insumo[[#This Row],[DESCRIPCION]],'CAP25'!$H:$H)</f>
        <v>0</v>
      </c>
      <c r="P903" s="69">
        <f ca="1">SUMIF('CAP26-28'!$B:$H,Insumo[[#This Row],[DESCRIPCION]],'CAP26-28'!$H:$H)</f>
        <v>0</v>
      </c>
      <c r="Q903" s="69">
        <f ca="1">SUMIF('CAP29'!$B:$H,Insumo[[#This Row],[DESCRIPCION]],'CAP29'!$H:$H)</f>
        <v>0</v>
      </c>
      <c r="R903" s="290"/>
      <c r="T903" s="136">
        <v>1000</v>
      </c>
    </row>
    <row r="904" spans="1:20" ht="12" customHeight="1">
      <c r="A904" s="301" t="s">
        <v>3519</v>
      </c>
      <c r="B904" s="303" t="s">
        <v>23</v>
      </c>
      <c r="C904" s="304">
        <f t="shared" si="14"/>
        <v>1363.95</v>
      </c>
      <c r="D904" s="281" cm="1">
        <f t="array" aca="1" ref="D904" ca="1">IF(Insumo[[#This Row],[VALOR]]=0,Insumo[TOTAL],E904/C904)</f>
        <v>0</v>
      </c>
      <c r="E904" s="69">
        <f ca="1">SUM(Insumo[[#This Row],[CAP1-3]:[CAP29]])</f>
        <v>0</v>
      </c>
      <c r="F904" s="69">
        <f ca="1">SUMIF('CAP1-3'!$B:$H,Insumo[[#This Row],[DESCRIPCION]],'CAP1-3'!$H:$H)</f>
        <v>0</v>
      </c>
      <c r="G904" s="69">
        <f ca="1">SUMIF('CAP4-5'!$B:$H,Insumo[[#This Row],[DESCRIPCION]],'CAP4-5'!$H:$H)</f>
        <v>0</v>
      </c>
      <c r="H904" s="69">
        <f ca="1">SUMIF('CAP6-7'!$B:$H,Insumo[[#This Row],[DESCRIPCION]],'CAP6-7'!$H:$H)</f>
        <v>0</v>
      </c>
      <c r="I904" s="69">
        <f ca="1">SUMIF('CAP8'!$B:$H,Insumo[[#This Row],[DESCRIPCION]],'CAP8'!$H:$H)</f>
        <v>0</v>
      </c>
      <c r="J904" s="69">
        <f ca="1">SUMIF('CAP9-13'!$B:$H,Insumo[[#This Row],[DESCRIPCION]],'CAP9-13'!$H:$H)</f>
        <v>0</v>
      </c>
      <c r="K904" s="69">
        <f ca="1">SUMIF('CAP14-15'!$B:$H,Insumo[[#This Row],[DESCRIPCION]],'CAP14-15'!$H:$H)</f>
        <v>0</v>
      </c>
      <c r="L904" s="69">
        <f ca="1">SUMIF('CAP16-18'!$B:$H,Insumo[[#This Row],[DESCRIPCION]],'CAP16-18'!$H:$H)</f>
        <v>0</v>
      </c>
      <c r="M904" s="69">
        <f ca="1">SUMIF('CAP19-22'!$B:$H,Insumo[[#This Row],[DESCRIPCION]],'CAP19-22'!$H:$H)</f>
        <v>0</v>
      </c>
      <c r="N904" s="69">
        <f ca="1">SUMIF('CAP23-24'!$B:$H,Insumo[[#This Row],[DESCRIPCION]],'CAP23-24'!$H:$H)</f>
        <v>0</v>
      </c>
      <c r="O904" s="69">
        <f ca="1">SUMIF('CAP25'!$B:$H,Insumo[[#This Row],[DESCRIPCION]],'CAP25'!$H:$H)</f>
        <v>0</v>
      </c>
      <c r="P904" s="69">
        <f ca="1">SUMIF('CAP26-28'!$B:$H,Insumo[[#This Row],[DESCRIPCION]],'CAP26-28'!$H:$H)</f>
        <v>0</v>
      </c>
      <c r="Q904" s="69">
        <f ca="1">SUMIF('CAP29'!$B:$H,Insumo[[#This Row],[DESCRIPCION]],'CAP29'!$H:$H)</f>
        <v>0</v>
      </c>
      <c r="T904" s="136">
        <v>1299</v>
      </c>
    </row>
    <row r="905" spans="1:20" ht="12" customHeight="1">
      <c r="A905" s="301" t="s">
        <v>3520</v>
      </c>
      <c r="B905" s="303" t="s">
        <v>23</v>
      </c>
      <c r="C905" s="304">
        <f t="shared" si="14"/>
        <v>2415</v>
      </c>
      <c r="D905" s="281" cm="1">
        <f t="array" aca="1" ref="D905" ca="1">IF(Insumo[[#This Row],[VALOR]]=0,Insumo[TOTAL],E905/C905)</f>
        <v>0</v>
      </c>
      <c r="E905" s="69">
        <f ca="1">SUM(Insumo[[#This Row],[CAP1-3]:[CAP29]])</f>
        <v>0</v>
      </c>
      <c r="F905" s="69">
        <f ca="1">SUMIF('CAP1-3'!$B:$H,Insumo[[#This Row],[DESCRIPCION]],'CAP1-3'!$H:$H)</f>
        <v>0</v>
      </c>
      <c r="G905" s="69">
        <f ca="1">SUMIF('CAP4-5'!$B:$H,Insumo[[#This Row],[DESCRIPCION]],'CAP4-5'!$H:$H)</f>
        <v>0</v>
      </c>
      <c r="H905" s="69">
        <f ca="1">SUMIF('CAP6-7'!$B:$H,Insumo[[#This Row],[DESCRIPCION]],'CAP6-7'!$H:$H)</f>
        <v>0</v>
      </c>
      <c r="I905" s="69">
        <f ca="1">SUMIF('CAP8'!$B:$H,Insumo[[#This Row],[DESCRIPCION]],'CAP8'!$H:$H)</f>
        <v>0</v>
      </c>
      <c r="J905" s="69">
        <f ca="1">SUMIF('CAP9-13'!$B:$H,Insumo[[#This Row],[DESCRIPCION]],'CAP9-13'!$H:$H)</f>
        <v>0</v>
      </c>
      <c r="K905" s="69">
        <f ca="1">SUMIF('CAP14-15'!$B:$H,Insumo[[#This Row],[DESCRIPCION]],'CAP14-15'!$H:$H)</f>
        <v>0</v>
      </c>
      <c r="L905" s="69">
        <f ca="1">SUMIF('CAP16-18'!$B:$H,Insumo[[#This Row],[DESCRIPCION]],'CAP16-18'!$H:$H)</f>
        <v>0</v>
      </c>
      <c r="M905" s="69">
        <f ca="1">SUMIF('CAP19-22'!$B:$H,Insumo[[#This Row],[DESCRIPCION]],'CAP19-22'!$H:$H)</f>
        <v>0</v>
      </c>
      <c r="N905" s="69">
        <f ca="1">SUMIF('CAP23-24'!$B:$H,Insumo[[#This Row],[DESCRIPCION]],'CAP23-24'!$H:$H)</f>
        <v>0</v>
      </c>
      <c r="O905" s="69">
        <f ca="1">SUMIF('CAP25'!$B:$H,Insumo[[#This Row],[DESCRIPCION]],'CAP25'!$H:$H)</f>
        <v>0</v>
      </c>
      <c r="P905" s="69">
        <f ca="1">SUMIF('CAP26-28'!$B:$H,Insumo[[#This Row],[DESCRIPCION]],'CAP26-28'!$H:$H)</f>
        <v>0</v>
      </c>
      <c r="Q905" s="69">
        <f ca="1">SUMIF('CAP29'!$B:$H,Insumo[[#This Row],[DESCRIPCION]],'CAP29'!$H:$H)</f>
        <v>0</v>
      </c>
      <c r="T905" s="136">
        <v>2300</v>
      </c>
    </row>
    <row r="906" spans="1:20" ht="12" customHeight="1">
      <c r="A906" s="301" t="s">
        <v>3521</v>
      </c>
      <c r="B906" s="303" t="s">
        <v>23</v>
      </c>
      <c r="C906" s="304">
        <f t="shared" si="14"/>
        <v>3885</v>
      </c>
      <c r="D906" s="281" cm="1">
        <f t="array" aca="1" ref="D906" ca="1">IF(Insumo[[#This Row],[VALOR]]=0,Insumo[TOTAL],E906/C906)</f>
        <v>0</v>
      </c>
      <c r="E906" s="69">
        <f ca="1">SUM(Insumo[[#This Row],[CAP1-3]:[CAP29]])</f>
        <v>0</v>
      </c>
      <c r="F906" s="69">
        <f ca="1">SUMIF('CAP1-3'!$B:$H,Insumo[[#This Row],[DESCRIPCION]],'CAP1-3'!$H:$H)</f>
        <v>0</v>
      </c>
      <c r="G906" s="69">
        <f ca="1">SUMIF('CAP4-5'!$B:$H,Insumo[[#This Row],[DESCRIPCION]],'CAP4-5'!$H:$H)</f>
        <v>0</v>
      </c>
      <c r="H906" s="69">
        <f ca="1">SUMIF('CAP6-7'!$B:$H,Insumo[[#This Row],[DESCRIPCION]],'CAP6-7'!$H:$H)</f>
        <v>0</v>
      </c>
      <c r="I906" s="69">
        <f ca="1">SUMIF('CAP8'!$B:$H,Insumo[[#This Row],[DESCRIPCION]],'CAP8'!$H:$H)</f>
        <v>0</v>
      </c>
      <c r="J906" s="69">
        <f ca="1">SUMIF('CAP9-13'!$B:$H,Insumo[[#This Row],[DESCRIPCION]],'CAP9-13'!$H:$H)</f>
        <v>0</v>
      </c>
      <c r="K906" s="69">
        <f ca="1">SUMIF('CAP14-15'!$B:$H,Insumo[[#This Row],[DESCRIPCION]],'CAP14-15'!$H:$H)</f>
        <v>0</v>
      </c>
      <c r="L906" s="69">
        <f ca="1">SUMIF('CAP16-18'!$B:$H,Insumo[[#This Row],[DESCRIPCION]],'CAP16-18'!$H:$H)</f>
        <v>0</v>
      </c>
      <c r="M906" s="69">
        <f ca="1">SUMIF('CAP19-22'!$B:$H,Insumo[[#This Row],[DESCRIPCION]],'CAP19-22'!$H:$H)</f>
        <v>0</v>
      </c>
      <c r="N906" s="69">
        <f ca="1">SUMIF('CAP23-24'!$B:$H,Insumo[[#This Row],[DESCRIPCION]],'CAP23-24'!$H:$H)</f>
        <v>0</v>
      </c>
      <c r="O906" s="69">
        <f ca="1">SUMIF('CAP25'!$B:$H,Insumo[[#This Row],[DESCRIPCION]],'CAP25'!$H:$H)</f>
        <v>0</v>
      </c>
      <c r="P906" s="69">
        <f ca="1">SUMIF('CAP26-28'!$B:$H,Insumo[[#This Row],[DESCRIPCION]],'CAP26-28'!$H:$H)</f>
        <v>0</v>
      </c>
      <c r="Q906" s="69">
        <f ca="1">SUMIF('CAP29'!$B:$H,Insumo[[#This Row],[DESCRIPCION]],'CAP29'!$H:$H)</f>
        <v>0</v>
      </c>
      <c r="T906" s="136">
        <v>3700</v>
      </c>
    </row>
    <row r="907" spans="1:20" ht="12" customHeight="1">
      <c r="A907" s="301" t="s">
        <v>3522</v>
      </c>
      <c r="B907" s="303" t="s">
        <v>23</v>
      </c>
      <c r="C907" s="304">
        <f t="shared" si="14"/>
        <v>12022.5</v>
      </c>
      <c r="D907" s="281" cm="1">
        <f t="array" aca="1" ref="D907" ca="1">IF(Insumo[[#This Row],[VALOR]]=0,Insumo[TOTAL],E907/C907)</f>
        <v>0</v>
      </c>
      <c r="E907" s="69">
        <f ca="1">SUM(Insumo[[#This Row],[CAP1-3]:[CAP29]])</f>
        <v>0</v>
      </c>
      <c r="F907" s="69">
        <f ca="1">SUMIF('CAP1-3'!$B:$H,Insumo[[#This Row],[DESCRIPCION]],'CAP1-3'!$H:$H)</f>
        <v>0</v>
      </c>
      <c r="G907" s="69">
        <f ca="1">SUMIF('CAP4-5'!$B:$H,Insumo[[#This Row],[DESCRIPCION]],'CAP4-5'!$H:$H)</f>
        <v>0</v>
      </c>
      <c r="H907" s="69">
        <f ca="1">SUMIF('CAP6-7'!$B:$H,Insumo[[#This Row],[DESCRIPCION]],'CAP6-7'!$H:$H)</f>
        <v>0</v>
      </c>
      <c r="I907" s="69">
        <f ca="1">SUMIF('CAP8'!$B:$H,Insumo[[#This Row],[DESCRIPCION]],'CAP8'!$H:$H)</f>
        <v>0</v>
      </c>
      <c r="J907" s="69">
        <f ca="1">SUMIF('CAP9-13'!$B:$H,Insumo[[#This Row],[DESCRIPCION]],'CAP9-13'!$H:$H)</f>
        <v>0</v>
      </c>
      <c r="K907" s="69">
        <f ca="1">SUMIF('CAP14-15'!$B:$H,Insumo[[#This Row],[DESCRIPCION]],'CAP14-15'!$H:$H)</f>
        <v>0</v>
      </c>
      <c r="L907" s="69">
        <f ca="1">SUMIF('CAP16-18'!$B:$H,Insumo[[#This Row],[DESCRIPCION]],'CAP16-18'!$H:$H)</f>
        <v>0</v>
      </c>
      <c r="M907" s="69">
        <f ca="1">SUMIF('CAP19-22'!$B:$H,Insumo[[#This Row],[DESCRIPCION]],'CAP19-22'!$H:$H)</f>
        <v>0</v>
      </c>
      <c r="N907" s="69">
        <f ca="1">SUMIF('CAP23-24'!$B:$H,Insumo[[#This Row],[DESCRIPCION]],'CAP23-24'!$H:$H)</f>
        <v>0</v>
      </c>
      <c r="O907" s="69">
        <f ca="1">SUMIF('CAP25'!$B:$H,Insumo[[#This Row],[DESCRIPCION]],'CAP25'!$H:$H)</f>
        <v>0</v>
      </c>
      <c r="P907" s="69">
        <f ca="1">SUMIF('CAP26-28'!$B:$H,Insumo[[#This Row],[DESCRIPCION]],'CAP26-28'!$H:$H)</f>
        <v>0</v>
      </c>
      <c r="Q907" s="69">
        <f ca="1">SUMIF('CAP29'!$B:$H,Insumo[[#This Row],[DESCRIPCION]],'CAP29'!$H:$H)</f>
        <v>0</v>
      </c>
      <c r="T907" s="136">
        <v>11450</v>
      </c>
    </row>
    <row r="908" spans="1:20" ht="12" customHeight="1">
      <c r="A908" s="302" t="s">
        <v>3813</v>
      </c>
      <c r="B908" s="305" t="s">
        <v>23</v>
      </c>
      <c r="C908" s="304">
        <f t="shared" si="14"/>
        <v>15975750</v>
      </c>
      <c r="D908" s="293" cm="1">
        <f t="array" aca="1" ref="D908" ca="1">IF(Insumo[[#This Row],[VALOR]]=0,Insumo[TOTAL],E908/C908)</f>
        <v>0</v>
      </c>
      <c r="E908" s="292">
        <f ca="1">SUM(Insumo[[#This Row],[CAP1-3]:[CAP29]])</f>
        <v>0</v>
      </c>
      <c r="F908" s="292">
        <f ca="1">SUMIF('CAP1-3'!$B:$H,Insumo[[#This Row],[DESCRIPCION]],'CAP1-3'!$H:$H)</f>
        <v>0</v>
      </c>
      <c r="G908" s="292">
        <f ca="1">SUMIF('CAP4-5'!$B:$H,Insumo[[#This Row],[DESCRIPCION]],'CAP4-5'!$H:$H)</f>
        <v>0</v>
      </c>
      <c r="H908" s="292">
        <f ca="1">SUMIF('CAP6-7'!$B:$H,Insumo[[#This Row],[DESCRIPCION]],'CAP6-7'!$H:$H)</f>
        <v>0</v>
      </c>
      <c r="I908" s="292">
        <f ca="1">SUMIF('CAP8'!$B:$H,Insumo[[#This Row],[DESCRIPCION]],'CAP8'!$H:$H)</f>
        <v>0</v>
      </c>
      <c r="J908" s="292">
        <f ca="1">SUMIF('CAP9-13'!$B:$H,Insumo[[#This Row],[DESCRIPCION]],'CAP9-13'!$H:$H)</f>
        <v>0</v>
      </c>
      <c r="K908" s="292">
        <f ca="1">SUMIF('CAP14-15'!$B:$H,Insumo[[#This Row],[DESCRIPCION]],'CAP14-15'!$H:$H)</f>
        <v>0</v>
      </c>
      <c r="L908" s="292">
        <f ca="1">SUMIF('CAP16-18'!$B:$H,Insumo[[#This Row],[DESCRIPCION]],'CAP16-18'!$H:$H)</f>
        <v>0</v>
      </c>
      <c r="M908" s="292">
        <f ca="1">SUMIF('CAP19-22'!$B:$H,Insumo[[#This Row],[DESCRIPCION]],'CAP19-22'!$H:$H)</f>
        <v>0</v>
      </c>
      <c r="N908" s="292">
        <f ca="1">SUMIF('CAP23-24'!$B:$H,Insumo[[#This Row],[DESCRIPCION]],'CAP23-24'!$H:$H)</f>
        <v>0</v>
      </c>
      <c r="O908" s="292">
        <f ca="1">SUMIF('CAP25'!$B:$H,Insumo[[#This Row],[DESCRIPCION]],'CAP25'!$H:$H)</f>
        <v>0</v>
      </c>
      <c r="P908" s="292">
        <f ca="1">SUMIF('CAP26-28'!$B:$H,Insumo[[#This Row],[DESCRIPCION]],'CAP26-28'!$H:$H)</f>
        <v>0</v>
      </c>
      <c r="Q908" s="292">
        <f ca="1">SUMIF('CAP29'!$B:$H,Insumo[[#This Row],[DESCRIPCION]],'CAP29'!$H:$H)</f>
        <v>0</v>
      </c>
      <c r="R908" s="294"/>
      <c r="T908" s="136">
        <v>15215000</v>
      </c>
    </row>
    <row r="909" spans="1:20" ht="12" customHeight="1">
      <c r="A909" s="301" t="s">
        <v>3523</v>
      </c>
      <c r="B909" s="303" t="s">
        <v>20</v>
      </c>
      <c r="C909" s="304">
        <f t="shared" si="14"/>
        <v>39782.400000000001</v>
      </c>
      <c r="D909" s="281" cm="1">
        <f t="array" aca="1" ref="D909" ca="1">IF(Insumo[[#This Row],[VALOR]]=0,Insumo[TOTAL],E909/C909)</f>
        <v>0</v>
      </c>
      <c r="E909" s="69">
        <f ca="1">SUM(Insumo[[#This Row],[CAP1-3]:[CAP29]])</f>
        <v>0</v>
      </c>
      <c r="F909" s="69">
        <f ca="1">SUMIF('CAP1-3'!$B:$H,Insumo[[#This Row],[DESCRIPCION]],'CAP1-3'!$H:$H)</f>
        <v>0</v>
      </c>
      <c r="G909" s="69">
        <f ca="1">SUMIF('CAP4-5'!$B:$H,Insumo[[#This Row],[DESCRIPCION]],'CAP4-5'!$H:$H)</f>
        <v>0</v>
      </c>
      <c r="H909" s="69">
        <f ca="1">SUMIF('CAP6-7'!$B:$H,Insumo[[#This Row],[DESCRIPCION]],'CAP6-7'!$H:$H)</f>
        <v>0</v>
      </c>
      <c r="I909" s="69">
        <f ca="1">SUMIF('CAP8'!$B:$H,Insumo[[#This Row],[DESCRIPCION]],'CAP8'!$H:$H)</f>
        <v>0</v>
      </c>
      <c r="J909" s="69">
        <f ca="1">SUMIF('CAP9-13'!$B:$H,Insumo[[#This Row],[DESCRIPCION]],'CAP9-13'!$H:$H)</f>
        <v>0</v>
      </c>
      <c r="K909" s="69">
        <f ca="1">SUMIF('CAP14-15'!$B:$H,Insumo[[#This Row],[DESCRIPCION]],'CAP14-15'!$H:$H)</f>
        <v>0</v>
      </c>
      <c r="L909" s="69">
        <f ca="1">SUMIF('CAP16-18'!$B:$H,Insumo[[#This Row],[DESCRIPCION]],'CAP16-18'!$H:$H)</f>
        <v>0</v>
      </c>
      <c r="M909" s="69">
        <f ca="1">SUMIF('CAP19-22'!$B:$H,Insumo[[#This Row],[DESCRIPCION]],'CAP19-22'!$H:$H)</f>
        <v>0</v>
      </c>
      <c r="N909" s="69">
        <f ca="1">SUMIF('CAP23-24'!$B:$H,Insumo[[#This Row],[DESCRIPCION]],'CAP23-24'!$H:$H)</f>
        <v>0</v>
      </c>
      <c r="O909" s="69">
        <f ca="1">SUMIF('CAP25'!$B:$H,Insumo[[#This Row],[DESCRIPCION]],'CAP25'!$H:$H)</f>
        <v>0</v>
      </c>
      <c r="P909" s="69">
        <f ca="1">SUMIF('CAP26-28'!$B:$H,Insumo[[#This Row],[DESCRIPCION]],'CAP26-28'!$H:$H)</f>
        <v>0</v>
      </c>
      <c r="Q909" s="69">
        <f ca="1">SUMIF('CAP29'!$B:$H,Insumo[[#This Row],[DESCRIPCION]],'CAP29'!$H:$H)</f>
        <v>0</v>
      </c>
      <c r="T909" s="136">
        <v>37888</v>
      </c>
    </row>
    <row r="910" spans="1:20" ht="12" customHeight="1">
      <c r="A910" s="301" t="s">
        <v>3524</v>
      </c>
      <c r="B910" s="303" t="s">
        <v>23</v>
      </c>
      <c r="C910" s="304">
        <f t="shared" si="14"/>
        <v>75585.3</v>
      </c>
      <c r="D910" s="281" cm="1">
        <f t="array" aca="1" ref="D910" ca="1">IF(Insumo[[#This Row],[VALOR]]=0,Insumo[TOTAL],E910/C910)</f>
        <v>0</v>
      </c>
      <c r="E910" s="69">
        <f ca="1">SUM(Insumo[[#This Row],[CAP1-3]:[CAP29]])</f>
        <v>0</v>
      </c>
      <c r="F910" s="69">
        <f ca="1">SUMIF('CAP1-3'!$B:$H,Insumo[[#This Row],[DESCRIPCION]],'CAP1-3'!$H:$H)</f>
        <v>0</v>
      </c>
      <c r="G910" s="69">
        <f ca="1">SUMIF('CAP4-5'!$B:$H,Insumo[[#This Row],[DESCRIPCION]],'CAP4-5'!$H:$H)</f>
        <v>0</v>
      </c>
      <c r="H910" s="69">
        <f ca="1">SUMIF('CAP6-7'!$B:$H,Insumo[[#This Row],[DESCRIPCION]],'CAP6-7'!$H:$H)</f>
        <v>0</v>
      </c>
      <c r="I910" s="69">
        <f ca="1">SUMIF('CAP8'!$B:$H,Insumo[[#This Row],[DESCRIPCION]],'CAP8'!$H:$H)</f>
        <v>0</v>
      </c>
      <c r="J910" s="69">
        <f ca="1">SUMIF('CAP9-13'!$B:$H,Insumo[[#This Row],[DESCRIPCION]],'CAP9-13'!$H:$H)</f>
        <v>0</v>
      </c>
      <c r="K910" s="69">
        <f ca="1">SUMIF('CAP14-15'!$B:$H,Insumo[[#This Row],[DESCRIPCION]],'CAP14-15'!$H:$H)</f>
        <v>0</v>
      </c>
      <c r="L910" s="69">
        <f ca="1">SUMIF('CAP16-18'!$B:$H,Insumo[[#This Row],[DESCRIPCION]],'CAP16-18'!$H:$H)</f>
        <v>0</v>
      </c>
      <c r="M910" s="69">
        <f ca="1">SUMIF('CAP19-22'!$B:$H,Insumo[[#This Row],[DESCRIPCION]],'CAP19-22'!$H:$H)</f>
        <v>0</v>
      </c>
      <c r="N910" s="69">
        <f ca="1">SUMIF('CAP23-24'!$B:$H,Insumo[[#This Row],[DESCRIPCION]],'CAP23-24'!$H:$H)</f>
        <v>0</v>
      </c>
      <c r="O910" s="69">
        <f ca="1">SUMIF('CAP25'!$B:$H,Insumo[[#This Row],[DESCRIPCION]],'CAP25'!$H:$H)</f>
        <v>0</v>
      </c>
      <c r="P910" s="69">
        <f ca="1">SUMIF('CAP26-28'!$B:$H,Insumo[[#This Row],[DESCRIPCION]],'CAP26-28'!$H:$H)</f>
        <v>0</v>
      </c>
      <c r="Q910" s="69">
        <f ca="1">SUMIF('CAP29'!$B:$H,Insumo[[#This Row],[DESCRIPCION]],'CAP29'!$H:$H)</f>
        <v>0</v>
      </c>
      <c r="T910" s="136">
        <v>71986</v>
      </c>
    </row>
    <row r="911" spans="1:20" ht="12" customHeight="1">
      <c r="A911" s="301" t="s">
        <v>3525</v>
      </c>
      <c r="B911" s="303" t="s">
        <v>23</v>
      </c>
      <c r="C911" s="304">
        <f t="shared" si="14"/>
        <v>378496.65</v>
      </c>
      <c r="D911" s="281" cm="1">
        <f t="array" aca="1" ref="D911" ca="1">IF(Insumo[[#This Row],[VALOR]]=0,Insumo[TOTAL],E911/C911)</f>
        <v>0</v>
      </c>
      <c r="E911" s="69">
        <f ca="1">SUM(Insumo[[#This Row],[CAP1-3]:[CAP29]])</f>
        <v>0</v>
      </c>
      <c r="F911" s="69">
        <f ca="1">SUMIF('CAP1-3'!$B:$H,Insumo[[#This Row],[DESCRIPCION]],'CAP1-3'!$H:$H)</f>
        <v>0</v>
      </c>
      <c r="G911" s="69">
        <f ca="1">SUMIF('CAP4-5'!$B:$H,Insumo[[#This Row],[DESCRIPCION]],'CAP4-5'!$H:$H)</f>
        <v>0</v>
      </c>
      <c r="H911" s="69">
        <f ca="1">SUMIF('CAP6-7'!$B:$H,Insumo[[#This Row],[DESCRIPCION]],'CAP6-7'!$H:$H)</f>
        <v>0</v>
      </c>
      <c r="I911" s="69">
        <f ca="1">SUMIF('CAP8'!$B:$H,Insumo[[#This Row],[DESCRIPCION]],'CAP8'!$H:$H)</f>
        <v>0</v>
      </c>
      <c r="J911" s="69">
        <f ca="1">SUMIF('CAP9-13'!$B:$H,Insumo[[#This Row],[DESCRIPCION]],'CAP9-13'!$H:$H)</f>
        <v>0</v>
      </c>
      <c r="K911" s="69">
        <f ca="1">SUMIF('CAP14-15'!$B:$H,Insumo[[#This Row],[DESCRIPCION]],'CAP14-15'!$H:$H)</f>
        <v>0</v>
      </c>
      <c r="L911" s="69">
        <f ca="1">SUMIF('CAP16-18'!$B:$H,Insumo[[#This Row],[DESCRIPCION]],'CAP16-18'!$H:$H)</f>
        <v>0</v>
      </c>
      <c r="M911" s="69">
        <f ca="1">SUMIF('CAP19-22'!$B:$H,Insumo[[#This Row],[DESCRIPCION]],'CAP19-22'!$H:$H)</f>
        <v>0</v>
      </c>
      <c r="N911" s="69">
        <f ca="1">SUMIF('CAP23-24'!$B:$H,Insumo[[#This Row],[DESCRIPCION]],'CAP23-24'!$H:$H)</f>
        <v>0</v>
      </c>
      <c r="O911" s="69">
        <f ca="1">SUMIF('CAP25'!$B:$H,Insumo[[#This Row],[DESCRIPCION]],'CAP25'!$H:$H)</f>
        <v>0</v>
      </c>
      <c r="P911" s="69">
        <f ca="1">SUMIF('CAP26-28'!$B:$H,Insumo[[#This Row],[DESCRIPCION]],'CAP26-28'!$H:$H)</f>
        <v>0</v>
      </c>
      <c r="Q911" s="69">
        <f ca="1">SUMIF('CAP29'!$B:$H,Insumo[[#This Row],[DESCRIPCION]],'CAP29'!$H:$H)</f>
        <v>0</v>
      </c>
      <c r="T911" s="136">
        <v>360473</v>
      </c>
    </row>
    <row r="912" spans="1:20" ht="12" customHeight="1">
      <c r="A912" s="301" t="s">
        <v>3526</v>
      </c>
      <c r="B912" s="303" t="s">
        <v>23</v>
      </c>
      <c r="C912" s="304">
        <f t="shared" si="14"/>
        <v>604684.5</v>
      </c>
      <c r="D912" s="281" cm="1">
        <f t="array" aca="1" ref="D912" ca="1">IF(Insumo[[#This Row],[VALOR]]=0,Insumo[TOTAL],E912/C912)</f>
        <v>0</v>
      </c>
      <c r="E912" s="69">
        <f ca="1">SUM(Insumo[[#This Row],[CAP1-3]:[CAP29]])</f>
        <v>0</v>
      </c>
      <c r="F912" s="69">
        <f ca="1">SUMIF('CAP1-3'!$B:$H,Insumo[[#This Row],[DESCRIPCION]],'CAP1-3'!$H:$H)</f>
        <v>0</v>
      </c>
      <c r="G912" s="69">
        <f ca="1">SUMIF('CAP4-5'!$B:$H,Insumo[[#This Row],[DESCRIPCION]],'CAP4-5'!$H:$H)</f>
        <v>0</v>
      </c>
      <c r="H912" s="69">
        <f ca="1">SUMIF('CAP6-7'!$B:$H,Insumo[[#This Row],[DESCRIPCION]],'CAP6-7'!$H:$H)</f>
        <v>0</v>
      </c>
      <c r="I912" s="69">
        <f ca="1">SUMIF('CAP8'!$B:$H,Insumo[[#This Row],[DESCRIPCION]],'CAP8'!$H:$H)</f>
        <v>0</v>
      </c>
      <c r="J912" s="69">
        <f ca="1">SUMIF('CAP9-13'!$B:$H,Insumo[[#This Row],[DESCRIPCION]],'CAP9-13'!$H:$H)</f>
        <v>0</v>
      </c>
      <c r="K912" s="69">
        <f ca="1">SUMIF('CAP14-15'!$B:$H,Insumo[[#This Row],[DESCRIPCION]],'CAP14-15'!$H:$H)</f>
        <v>0</v>
      </c>
      <c r="L912" s="69">
        <f ca="1">SUMIF('CAP16-18'!$B:$H,Insumo[[#This Row],[DESCRIPCION]],'CAP16-18'!$H:$H)</f>
        <v>0</v>
      </c>
      <c r="M912" s="69">
        <f ca="1">SUMIF('CAP19-22'!$B:$H,Insumo[[#This Row],[DESCRIPCION]],'CAP19-22'!$H:$H)</f>
        <v>0</v>
      </c>
      <c r="N912" s="69">
        <f ca="1">SUMIF('CAP23-24'!$B:$H,Insumo[[#This Row],[DESCRIPCION]],'CAP23-24'!$H:$H)</f>
        <v>0</v>
      </c>
      <c r="O912" s="69">
        <f ca="1">SUMIF('CAP25'!$B:$H,Insumo[[#This Row],[DESCRIPCION]],'CAP25'!$H:$H)</f>
        <v>0</v>
      </c>
      <c r="P912" s="69">
        <f ca="1">SUMIF('CAP26-28'!$B:$H,Insumo[[#This Row],[DESCRIPCION]],'CAP26-28'!$H:$H)</f>
        <v>0</v>
      </c>
      <c r="Q912" s="69">
        <f ca="1">SUMIF('CAP29'!$B:$H,Insumo[[#This Row],[DESCRIPCION]],'CAP29'!$H:$H)</f>
        <v>0</v>
      </c>
      <c r="T912" s="136">
        <v>575890</v>
      </c>
    </row>
    <row r="913" spans="1:20" ht="12" customHeight="1">
      <c r="A913" s="301" t="s">
        <v>3527</v>
      </c>
      <c r="B913" s="303" t="s">
        <v>23</v>
      </c>
      <c r="C913" s="304">
        <f t="shared" si="14"/>
        <v>454650</v>
      </c>
      <c r="D913" s="281" cm="1">
        <f t="array" aca="1" ref="D913" ca="1">IF(Insumo[[#This Row],[VALOR]]=0,Insumo[TOTAL],E913/C913)</f>
        <v>0</v>
      </c>
      <c r="E913" s="69">
        <f ca="1">SUM(Insumo[[#This Row],[CAP1-3]:[CAP29]])</f>
        <v>0</v>
      </c>
      <c r="F913" s="69">
        <f ca="1">SUMIF('CAP1-3'!$B:$H,Insumo[[#This Row],[DESCRIPCION]],'CAP1-3'!$H:$H)</f>
        <v>0</v>
      </c>
      <c r="G913" s="69">
        <f ca="1">SUMIF('CAP4-5'!$B:$H,Insumo[[#This Row],[DESCRIPCION]],'CAP4-5'!$H:$H)</f>
        <v>0</v>
      </c>
      <c r="H913" s="69">
        <f ca="1">SUMIF('CAP6-7'!$B:$H,Insumo[[#This Row],[DESCRIPCION]],'CAP6-7'!$H:$H)</f>
        <v>0</v>
      </c>
      <c r="I913" s="69">
        <f ca="1">SUMIF('CAP8'!$B:$H,Insumo[[#This Row],[DESCRIPCION]],'CAP8'!$H:$H)</f>
        <v>0</v>
      </c>
      <c r="J913" s="69">
        <f ca="1">SUMIF('CAP9-13'!$B:$H,Insumo[[#This Row],[DESCRIPCION]],'CAP9-13'!$H:$H)</f>
        <v>0</v>
      </c>
      <c r="K913" s="69">
        <f ca="1">SUMIF('CAP14-15'!$B:$H,Insumo[[#This Row],[DESCRIPCION]],'CAP14-15'!$H:$H)</f>
        <v>0</v>
      </c>
      <c r="L913" s="69">
        <f ca="1">SUMIF('CAP16-18'!$B:$H,Insumo[[#This Row],[DESCRIPCION]],'CAP16-18'!$H:$H)</f>
        <v>0</v>
      </c>
      <c r="M913" s="69">
        <f ca="1">SUMIF('CAP19-22'!$B:$H,Insumo[[#This Row],[DESCRIPCION]],'CAP19-22'!$H:$H)</f>
        <v>0</v>
      </c>
      <c r="N913" s="69">
        <f ca="1">SUMIF('CAP23-24'!$B:$H,Insumo[[#This Row],[DESCRIPCION]],'CAP23-24'!$H:$H)</f>
        <v>0</v>
      </c>
      <c r="O913" s="69">
        <f ca="1">SUMIF('CAP25'!$B:$H,Insumo[[#This Row],[DESCRIPCION]],'CAP25'!$H:$H)</f>
        <v>0</v>
      </c>
      <c r="P913" s="69">
        <f ca="1">SUMIF('CAP26-28'!$B:$H,Insumo[[#This Row],[DESCRIPCION]],'CAP26-28'!$H:$H)</f>
        <v>0</v>
      </c>
      <c r="Q913" s="69">
        <f ca="1">SUMIF('CAP29'!$B:$H,Insumo[[#This Row],[DESCRIPCION]],'CAP29'!$H:$H)</f>
        <v>0</v>
      </c>
      <c r="T913" s="136">
        <v>433000</v>
      </c>
    </row>
    <row r="914" spans="1:20" ht="12" customHeight="1">
      <c r="A914" s="301" t="s">
        <v>3528</v>
      </c>
      <c r="B914" s="303" t="s">
        <v>23</v>
      </c>
      <c r="C914" s="304">
        <f t="shared" si="14"/>
        <v>23064.3</v>
      </c>
      <c r="D914" s="281" cm="1">
        <f t="array" aca="1" ref="D914" ca="1">IF(Insumo[[#This Row],[VALOR]]=0,Insumo[TOTAL],E914/C914)</f>
        <v>0</v>
      </c>
      <c r="E914" s="69">
        <f ca="1">SUM(Insumo[[#This Row],[CAP1-3]:[CAP29]])</f>
        <v>0</v>
      </c>
      <c r="F914" s="69">
        <f ca="1">SUMIF('CAP1-3'!$B:$H,Insumo[[#This Row],[DESCRIPCION]],'CAP1-3'!$H:$H)</f>
        <v>0</v>
      </c>
      <c r="G914" s="69">
        <f ca="1">SUMIF('CAP4-5'!$B:$H,Insumo[[#This Row],[DESCRIPCION]],'CAP4-5'!$H:$H)</f>
        <v>0</v>
      </c>
      <c r="H914" s="69">
        <f ca="1">SUMIF('CAP6-7'!$B:$H,Insumo[[#This Row],[DESCRIPCION]],'CAP6-7'!$H:$H)</f>
        <v>0</v>
      </c>
      <c r="I914" s="69">
        <f ca="1">SUMIF('CAP8'!$B:$H,Insumo[[#This Row],[DESCRIPCION]],'CAP8'!$H:$H)</f>
        <v>0</v>
      </c>
      <c r="J914" s="69">
        <f ca="1">SUMIF('CAP9-13'!$B:$H,Insumo[[#This Row],[DESCRIPCION]],'CAP9-13'!$H:$H)</f>
        <v>0</v>
      </c>
      <c r="K914" s="69">
        <f ca="1">SUMIF('CAP14-15'!$B:$H,Insumo[[#This Row],[DESCRIPCION]],'CAP14-15'!$H:$H)</f>
        <v>0</v>
      </c>
      <c r="L914" s="69">
        <f ca="1">SUMIF('CAP16-18'!$B:$H,Insumo[[#This Row],[DESCRIPCION]],'CAP16-18'!$H:$H)</f>
        <v>0</v>
      </c>
      <c r="M914" s="69">
        <f ca="1">SUMIF('CAP19-22'!$B:$H,Insumo[[#This Row],[DESCRIPCION]],'CAP19-22'!$H:$H)</f>
        <v>0</v>
      </c>
      <c r="N914" s="69">
        <f ca="1">SUMIF('CAP23-24'!$B:$H,Insumo[[#This Row],[DESCRIPCION]],'CAP23-24'!$H:$H)</f>
        <v>0</v>
      </c>
      <c r="O914" s="69">
        <f ca="1">SUMIF('CAP25'!$B:$H,Insumo[[#This Row],[DESCRIPCION]],'CAP25'!$H:$H)</f>
        <v>0</v>
      </c>
      <c r="P914" s="69">
        <f ca="1">SUMIF('CAP26-28'!$B:$H,Insumo[[#This Row],[DESCRIPCION]],'CAP26-28'!$H:$H)</f>
        <v>0</v>
      </c>
      <c r="Q914" s="69">
        <f ca="1">SUMIF('CAP29'!$B:$H,Insumo[[#This Row],[DESCRIPCION]],'CAP29'!$H:$H)</f>
        <v>0</v>
      </c>
      <c r="T914" s="136">
        <v>21966</v>
      </c>
    </row>
    <row r="915" spans="1:20" ht="12" customHeight="1">
      <c r="A915" s="301" t="s">
        <v>3529</v>
      </c>
      <c r="B915" s="303" t="s">
        <v>23</v>
      </c>
      <c r="C915" s="304">
        <f t="shared" si="14"/>
        <v>198909.9</v>
      </c>
      <c r="D915" s="281" cm="1">
        <f t="array" aca="1" ref="D915" ca="1">IF(Insumo[[#This Row],[VALOR]]=0,Insumo[TOTAL],E915/C915)</f>
        <v>0</v>
      </c>
      <c r="E915" s="69">
        <f ca="1">SUM(Insumo[[#This Row],[CAP1-3]:[CAP29]])</f>
        <v>0</v>
      </c>
      <c r="F915" s="69">
        <f ca="1">SUMIF('CAP1-3'!$B:$H,Insumo[[#This Row],[DESCRIPCION]],'CAP1-3'!$H:$H)</f>
        <v>0</v>
      </c>
      <c r="G915" s="69">
        <f ca="1">SUMIF('CAP4-5'!$B:$H,Insumo[[#This Row],[DESCRIPCION]],'CAP4-5'!$H:$H)</f>
        <v>0</v>
      </c>
      <c r="H915" s="69">
        <f ca="1">SUMIF('CAP6-7'!$B:$H,Insumo[[#This Row],[DESCRIPCION]],'CAP6-7'!$H:$H)</f>
        <v>0</v>
      </c>
      <c r="I915" s="69">
        <f ca="1">SUMIF('CAP8'!$B:$H,Insumo[[#This Row],[DESCRIPCION]],'CAP8'!$H:$H)</f>
        <v>0</v>
      </c>
      <c r="J915" s="69">
        <f ca="1">SUMIF('CAP9-13'!$B:$H,Insumo[[#This Row],[DESCRIPCION]],'CAP9-13'!$H:$H)</f>
        <v>0</v>
      </c>
      <c r="K915" s="69">
        <f ca="1">SUMIF('CAP14-15'!$B:$H,Insumo[[#This Row],[DESCRIPCION]],'CAP14-15'!$H:$H)</f>
        <v>0</v>
      </c>
      <c r="L915" s="69">
        <f ca="1">SUMIF('CAP16-18'!$B:$H,Insumo[[#This Row],[DESCRIPCION]],'CAP16-18'!$H:$H)</f>
        <v>0</v>
      </c>
      <c r="M915" s="69">
        <f ca="1">SUMIF('CAP19-22'!$B:$H,Insumo[[#This Row],[DESCRIPCION]],'CAP19-22'!$H:$H)</f>
        <v>0</v>
      </c>
      <c r="N915" s="69">
        <f ca="1">SUMIF('CAP23-24'!$B:$H,Insumo[[#This Row],[DESCRIPCION]],'CAP23-24'!$H:$H)</f>
        <v>0</v>
      </c>
      <c r="O915" s="69">
        <f ca="1">SUMIF('CAP25'!$B:$H,Insumo[[#This Row],[DESCRIPCION]],'CAP25'!$H:$H)</f>
        <v>0</v>
      </c>
      <c r="P915" s="69">
        <f ca="1">SUMIF('CAP26-28'!$B:$H,Insumo[[#This Row],[DESCRIPCION]],'CAP26-28'!$H:$H)</f>
        <v>0</v>
      </c>
      <c r="Q915" s="69">
        <f ca="1">SUMIF('CAP29'!$B:$H,Insumo[[#This Row],[DESCRIPCION]],'CAP29'!$H:$H)</f>
        <v>0</v>
      </c>
      <c r="T915" s="136">
        <v>189438</v>
      </c>
    </row>
    <row r="916" spans="1:20" ht="12" customHeight="1">
      <c r="A916" s="301" t="s">
        <v>3530</v>
      </c>
      <c r="B916" s="303" t="s">
        <v>23</v>
      </c>
      <c r="C916" s="304">
        <f t="shared" si="14"/>
        <v>176177.4</v>
      </c>
      <c r="D916" s="281" cm="1">
        <f t="array" aca="1" ref="D916" ca="1">IF(Insumo[[#This Row],[VALOR]]=0,Insumo[TOTAL],E916/C916)</f>
        <v>0</v>
      </c>
      <c r="E916" s="69">
        <f ca="1">SUM(Insumo[[#This Row],[CAP1-3]:[CAP29]])</f>
        <v>0</v>
      </c>
      <c r="F916" s="69">
        <f ca="1">SUMIF('CAP1-3'!$B:$H,Insumo[[#This Row],[DESCRIPCION]],'CAP1-3'!$H:$H)</f>
        <v>0</v>
      </c>
      <c r="G916" s="69">
        <f ca="1">SUMIF('CAP4-5'!$B:$H,Insumo[[#This Row],[DESCRIPCION]],'CAP4-5'!$H:$H)</f>
        <v>0</v>
      </c>
      <c r="H916" s="69">
        <f ca="1">SUMIF('CAP6-7'!$B:$H,Insumo[[#This Row],[DESCRIPCION]],'CAP6-7'!$H:$H)</f>
        <v>0</v>
      </c>
      <c r="I916" s="69">
        <f ca="1">SUMIF('CAP8'!$B:$H,Insumo[[#This Row],[DESCRIPCION]],'CAP8'!$H:$H)</f>
        <v>0</v>
      </c>
      <c r="J916" s="69">
        <f ca="1">SUMIF('CAP9-13'!$B:$H,Insumo[[#This Row],[DESCRIPCION]],'CAP9-13'!$H:$H)</f>
        <v>0</v>
      </c>
      <c r="K916" s="69">
        <f ca="1">SUMIF('CAP14-15'!$B:$H,Insumo[[#This Row],[DESCRIPCION]],'CAP14-15'!$H:$H)</f>
        <v>0</v>
      </c>
      <c r="L916" s="69">
        <f ca="1">SUMIF('CAP16-18'!$B:$H,Insumo[[#This Row],[DESCRIPCION]],'CAP16-18'!$H:$H)</f>
        <v>0</v>
      </c>
      <c r="M916" s="69">
        <f ca="1">SUMIF('CAP19-22'!$B:$H,Insumo[[#This Row],[DESCRIPCION]],'CAP19-22'!$H:$H)</f>
        <v>0</v>
      </c>
      <c r="N916" s="69">
        <f ca="1">SUMIF('CAP23-24'!$B:$H,Insumo[[#This Row],[DESCRIPCION]],'CAP23-24'!$H:$H)</f>
        <v>0</v>
      </c>
      <c r="O916" s="69">
        <f ca="1">SUMIF('CAP25'!$B:$H,Insumo[[#This Row],[DESCRIPCION]],'CAP25'!$H:$H)</f>
        <v>0</v>
      </c>
      <c r="P916" s="69">
        <f ca="1">SUMIF('CAP26-28'!$B:$H,Insumo[[#This Row],[DESCRIPCION]],'CAP26-28'!$H:$H)</f>
        <v>0</v>
      </c>
      <c r="Q916" s="69">
        <f ca="1">SUMIF('CAP29'!$B:$H,Insumo[[#This Row],[DESCRIPCION]],'CAP29'!$H:$H)</f>
        <v>0</v>
      </c>
      <c r="T916" s="136">
        <v>167788</v>
      </c>
    </row>
    <row r="917" spans="1:20" ht="12" customHeight="1">
      <c r="A917" s="301" t="s">
        <v>3531</v>
      </c>
      <c r="B917" s="303" t="s">
        <v>23</v>
      </c>
      <c r="C917" s="304">
        <f t="shared" si="14"/>
        <v>165947.25</v>
      </c>
      <c r="D917" s="281" cm="1">
        <f t="array" aca="1" ref="D917" ca="1">IF(Insumo[[#This Row],[VALOR]]=0,Insumo[TOTAL],E917/C917)</f>
        <v>0</v>
      </c>
      <c r="E917" s="69">
        <f ca="1">SUM(Insumo[[#This Row],[CAP1-3]:[CAP29]])</f>
        <v>0</v>
      </c>
      <c r="F917" s="69">
        <f ca="1">SUMIF('CAP1-3'!$B:$H,Insumo[[#This Row],[DESCRIPCION]],'CAP1-3'!$H:$H)</f>
        <v>0</v>
      </c>
      <c r="G917" s="69">
        <f ca="1">SUMIF('CAP4-5'!$B:$H,Insumo[[#This Row],[DESCRIPCION]],'CAP4-5'!$H:$H)</f>
        <v>0</v>
      </c>
      <c r="H917" s="69">
        <f ca="1">SUMIF('CAP6-7'!$B:$H,Insumo[[#This Row],[DESCRIPCION]],'CAP6-7'!$H:$H)</f>
        <v>0</v>
      </c>
      <c r="I917" s="69">
        <f ca="1">SUMIF('CAP8'!$B:$H,Insumo[[#This Row],[DESCRIPCION]],'CAP8'!$H:$H)</f>
        <v>0</v>
      </c>
      <c r="J917" s="69">
        <f ca="1">SUMIF('CAP9-13'!$B:$H,Insumo[[#This Row],[DESCRIPCION]],'CAP9-13'!$H:$H)</f>
        <v>0</v>
      </c>
      <c r="K917" s="69">
        <f ca="1">SUMIF('CAP14-15'!$B:$H,Insumo[[#This Row],[DESCRIPCION]],'CAP14-15'!$H:$H)</f>
        <v>0</v>
      </c>
      <c r="L917" s="69">
        <f ca="1">SUMIF('CAP16-18'!$B:$H,Insumo[[#This Row],[DESCRIPCION]],'CAP16-18'!$H:$H)</f>
        <v>0</v>
      </c>
      <c r="M917" s="69">
        <f ca="1">SUMIF('CAP19-22'!$B:$H,Insumo[[#This Row],[DESCRIPCION]],'CAP19-22'!$H:$H)</f>
        <v>0</v>
      </c>
      <c r="N917" s="69">
        <f ca="1">SUMIF('CAP23-24'!$B:$H,Insumo[[#This Row],[DESCRIPCION]],'CAP23-24'!$H:$H)</f>
        <v>0</v>
      </c>
      <c r="O917" s="69">
        <f ca="1">SUMIF('CAP25'!$B:$H,Insumo[[#This Row],[DESCRIPCION]],'CAP25'!$H:$H)</f>
        <v>0</v>
      </c>
      <c r="P917" s="69">
        <f ca="1">SUMIF('CAP26-28'!$B:$H,Insumo[[#This Row],[DESCRIPCION]],'CAP26-28'!$H:$H)</f>
        <v>0</v>
      </c>
      <c r="Q917" s="69">
        <f ca="1">SUMIF('CAP29'!$B:$H,Insumo[[#This Row],[DESCRIPCION]],'CAP29'!$H:$H)</f>
        <v>0</v>
      </c>
      <c r="T917" s="136">
        <v>158045</v>
      </c>
    </row>
    <row r="918" spans="1:20" ht="12" customHeight="1">
      <c r="A918" s="301" t="s">
        <v>3532</v>
      </c>
      <c r="B918" s="303" t="s">
        <v>23</v>
      </c>
      <c r="C918" s="304">
        <f t="shared" si="14"/>
        <v>129575.25</v>
      </c>
      <c r="D918" s="281" cm="1">
        <f t="array" aca="1" ref="D918" ca="1">IF(Insumo[[#This Row],[VALOR]]=0,Insumo[TOTAL],E918/C918)</f>
        <v>0</v>
      </c>
      <c r="E918" s="69">
        <f ca="1">SUM(Insumo[[#This Row],[CAP1-3]:[CAP29]])</f>
        <v>0</v>
      </c>
      <c r="F918" s="69">
        <f ca="1">SUMIF('CAP1-3'!$B:$H,Insumo[[#This Row],[DESCRIPCION]],'CAP1-3'!$H:$H)</f>
        <v>0</v>
      </c>
      <c r="G918" s="69">
        <f ca="1">SUMIF('CAP4-5'!$B:$H,Insumo[[#This Row],[DESCRIPCION]],'CAP4-5'!$H:$H)</f>
        <v>0</v>
      </c>
      <c r="H918" s="69">
        <f ca="1">SUMIF('CAP6-7'!$B:$H,Insumo[[#This Row],[DESCRIPCION]],'CAP6-7'!$H:$H)</f>
        <v>0</v>
      </c>
      <c r="I918" s="69">
        <f ca="1">SUMIF('CAP8'!$B:$H,Insumo[[#This Row],[DESCRIPCION]],'CAP8'!$H:$H)</f>
        <v>0</v>
      </c>
      <c r="J918" s="69">
        <f ca="1">SUMIF('CAP9-13'!$B:$H,Insumo[[#This Row],[DESCRIPCION]],'CAP9-13'!$H:$H)</f>
        <v>0</v>
      </c>
      <c r="K918" s="69">
        <f ca="1">SUMIF('CAP14-15'!$B:$H,Insumo[[#This Row],[DESCRIPCION]],'CAP14-15'!$H:$H)</f>
        <v>0</v>
      </c>
      <c r="L918" s="69">
        <f ca="1">SUMIF('CAP16-18'!$B:$H,Insumo[[#This Row],[DESCRIPCION]],'CAP16-18'!$H:$H)</f>
        <v>0</v>
      </c>
      <c r="M918" s="69">
        <f ca="1">SUMIF('CAP19-22'!$B:$H,Insumo[[#This Row],[DESCRIPCION]],'CAP19-22'!$H:$H)</f>
        <v>0</v>
      </c>
      <c r="N918" s="69">
        <f ca="1">SUMIF('CAP23-24'!$B:$H,Insumo[[#This Row],[DESCRIPCION]],'CAP23-24'!$H:$H)</f>
        <v>0</v>
      </c>
      <c r="O918" s="69">
        <f ca="1">SUMIF('CAP25'!$B:$H,Insumo[[#This Row],[DESCRIPCION]],'CAP25'!$H:$H)</f>
        <v>0</v>
      </c>
      <c r="P918" s="69">
        <f ca="1">SUMIF('CAP26-28'!$B:$H,Insumo[[#This Row],[DESCRIPCION]],'CAP26-28'!$H:$H)</f>
        <v>0</v>
      </c>
      <c r="Q918" s="69">
        <f ca="1">SUMIF('CAP29'!$B:$H,Insumo[[#This Row],[DESCRIPCION]],'CAP29'!$H:$H)</f>
        <v>0</v>
      </c>
      <c r="T918" s="136">
        <v>123405</v>
      </c>
    </row>
    <row r="919" spans="1:20" ht="12" customHeight="1">
      <c r="A919" s="301" t="s">
        <v>3533</v>
      </c>
      <c r="B919" s="303" t="s">
        <v>23</v>
      </c>
      <c r="C919" s="304">
        <f t="shared" si="14"/>
        <v>312572.40000000002</v>
      </c>
      <c r="D919" s="281" cm="1">
        <f t="array" aca="1" ref="D919" ca="1">IF(Insumo[[#This Row],[VALOR]]=0,Insumo[TOTAL],E919/C919)</f>
        <v>0</v>
      </c>
      <c r="E919" s="69">
        <f ca="1">SUM(Insumo[[#This Row],[CAP1-3]:[CAP29]])</f>
        <v>0</v>
      </c>
      <c r="F919" s="69">
        <f ca="1">SUMIF('CAP1-3'!$B:$H,Insumo[[#This Row],[DESCRIPCION]],'CAP1-3'!$H:$H)</f>
        <v>0</v>
      </c>
      <c r="G919" s="69">
        <f ca="1">SUMIF('CAP4-5'!$B:$H,Insumo[[#This Row],[DESCRIPCION]],'CAP4-5'!$H:$H)</f>
        <v>0</v>
      </c>
      <c r="H919" s="69">
        <f ca="1">SUMIF('CAP6-7'!$B:$H,Insumo[[#This Row],[DESCRIPCION]],'CAP6-7'!$H:$H)</f>
        <v>0</v>
      </c>
      <c r="I919" s="69">
        <f ca="1">SUMIF('CAP8'!$B:$H,Insumo[[#This Row],[DESCRIPCION]],'CAP8'!$H:$H)</f>
        <v>0</v>
      </c>
      <c r="J919" s="69">
        <f ca="1">SUMIF('CAP9-13'!$B:$H,Insumo[[#This Row],[DESCRIPCION]],'CAP9-13'!$H:$H)</f>
        <v>0</v>
      </c>
      <c r="K919" s="69">
        <f ca="1">SUMIF('CAP14-15'!$B:$H,Insumo[[#This Row],[DESCRIPCION]],'CAP14-15'!$H:$H)</f>
        <v>0</v>
      </c>
      <c r="L919" s="69">
        <f ca="1">SUMIF('CAP16-18'!$B:$H,Insumo[[#This Row],[DESCRIPCION]],'CAP16-18'!$H:$H)</f>
        <v>0</v>
      </c>
      <c r="M919" s="69">
        <f ca="1">SUMIF('CAP19-22'!$B:$H,Insumo[[#This Row],[DESCRIPCION]],'CAP19-22'!$H:$H)</f>
        <v>0</v>
      </c>
      <c r="N919" s="69">
        <f ca="1">SUMIF('CAP23-24'!$B:$H,Insumo[[#This Row],[DESCRIPCION]],'CAP23-24'!$H:$H)</f>
        <v>0</v>
      </c>
      <c r="O919" s="69">
        <f ca="1">SUMIF('CAP25'!$B:$H,Insumo[[#This Row],[DESCRIPCION]],'CAP25'!$H:$H)</f>
        <v>0</v>
      </c>
      <c r="P919" s="69">
        <f ca="1">SUMIF('CAP26-28'!$B:$H,Insumo[[#This Row],[DESCRIPCION]],'CAP26-28'!$H:$H)</f>
        <v>0</v>
      </c>
      <c r="Q919" s="69">
        <f ca="1">SUMIF('CAP29'!$B:$H,Insumo[[#This Row],[DESCRIPCION]],'CAP29'!$H:$H)</f>
        <v>0</v>
      </c>
      <c r="T919" s="136">
        <v>297688</v>
      </c>
    </row>
    <row r="920" spans="1:20" ht="12" customHeight="1">
      <c r="A920" s="301" t="s">
        <v>3534</v>
      </c>
      <c r="B920" s="303" t="s">
        <v>23</v>
      </c>
      <c r="C920" s="304">
        <f t="shared" si="14"/>
        <v>136395</v>
      </c>
      <c r="D920" s="281" cm="1">
        <f t="array" aca="1" ref="D920" ca="1">IF(Insumo[[#This Row],[VALOR]]=0,Insumo[TOTAL],E920/C920)</f>
        <v>0</v>
      </c>
      <c r="E920" s="69">
        <f ca="1">SUM(Insumo[[#This Row],[CAP1-3]:[CAP29]])</f>
        <v>0</v>
      </c>
      <c r="F920" s="69">
        <f ca="1">SUMIF('CAP1-3'!$B:$H,Insumo[[#This Row],[DESCRIPCION]],'CAP1-3'!$H:$H)</f>
        <v>0</v>
      </c>
      <c r="G920" s="69">
        <f ca="1">SUMIF('CAP4-5'!$B:$H,Insumo[[#This Row],[DESCRIPCION]],'CAP4-5'!$H:$H)</f>
        <v>0</v>
      </c>
      <c r="H920" s="69">
        <f ca="1">SUMIF('CAP6-7'!$B:$H,Insumo[[#This Row],[DESCRIPCION]],'CAP6-7'!$H:$H)</f>
        <v>0</v>
      </c>
      <c r="I920" s="69">
        <f ca="1">SUMIF('CAP8'!$B:$H,Insumo[[#This Row],[DESCRIPCION]],'CAP8'!$H:$H)</f>
        <v>0</v>
      </c>
      <c r="J920" s="69">
        <f ca="1">SUMIF('CAP9-13'!$B:$H,Insumo[[#This Row],[DESCRIPCION]],'CAP9-13'!$H:$H)</f>
        <v>0</v>
      </c>
      <c r="K920" s="69">
        <f ca="1">SUMIF('CAP14-15'!$B:$H,Insumo[[#This Row],[DESCRIPCION]],'CAP14-15'!$H:$H)</f>
        <v>0</v>
      </c>
      <c r="L920" s="69">
        <f ca="1">SUMIF('CAP16-18'!$B:$H,Insumo[[#This Row],[DESCRIPCION]],'CAP16-18'!$H:$H)</f>
        <v>0</v>
      </c>
      <c r="M920" s="69">
        <f ca="1">SUMIF('CAP19-22'!$B:$H,Insumo[[#This Row],[DESCRIPCION]],'CAP19-22'!$H:$H)</f>
        <v>0</v>
      </c>
      <c r="N920" s="69">
        <f ca="1">SUMIF('CAP23-24'!$B:$H,Insumo[[#This Row],[DESCRIPCION]],'CAP23-24'!$H:$H)</f>
        <v>0</v>
      </c>
      <c r="O920" s="69">
        <f ca="1">SUMIF('CAP25'!$B:$H,Insumo[[#This Row],[DESCRIPCION]],'CAP25'!$H:$H)</f>
        <v>0</v>
      </c>
      <c r="P920" s="69">
        <f ca="1">SUMIF('CAP26-28'!$B:$H,Insumo[[#This Row],[DESCRIPCION]],'CAP26-28'!$H:$H)</f>
        <v>0</v>
      </c>
      <c r="Q920" s="69">
        <f ca="1">SUMIF('CAP29'!$B:$H,Insumo[[#This Row],[DESCRIPCION]],'CAP29'!$H:$H)</f>
        <v>0</v>
      </c>
      <c r="T920" s="136">
        <v>129900</v>
      </c>
    </row>
    <row r="921" spans="1:20" ht="12" customHeight="1">
      <c r="A921" s="301" t="s">
        <v>3535</v>
      </c>
      <c r="B921" s="303" t="s">
        <v>23</v>
      </c>
      <c r="C921" s="304">
        <f t="shared" si="14"/>
        <v>51148.65</v>
      </c>
      <c r="D921" s="281" cm="1">
        <f t="array" aca="1" ref="D921" ca="1">IF(Insumo[[#This Row],[VALOR]]=0,Insumo[TOTAL],E921/C921)</f>
        <v>0</v>
      </c>
      <c r="E921" s="69">
        <f ca="1">SUM(Insumo[[#This Row],[CAP1-3]:[CAP29]])</f>
        <v>0</v>
      </c>
      <c r="F921" s="69">
        <f ca="1">SUMIF('CAP1-3'!$B:$H,Insumo[[#This Row],[DESCRIPCION]],'CAP1-3'!$H:$H)</f>
        <v>0</v>
      </c>
      <c r="G921" s="69">
        <f ca="1">SUMIF('CAP4-5'!$B:$H,Insumo[[#This Row],[DESCRIPCION]],'CAP4-5'!$H:$H)</f>
        <v>0</v>
      </c>
      <c r="H921" s="69">
        <f ca="1">SUMIF('CAP6-7'!$B:$H,Insumo[[#This Row],[DESCRIPCION]],'CAP6-7'!$H:$H)</f>
        <v>0</v>
      </c>
      <c r="I921" s="69">
        <f ca="1">SUMIF('CAP8'!$B:$H,Insumo[[#This Row],[DESCRIPCION]],'CAP8'!$H:$H)</f>
        <v>0</v>
      </c>
      <c r="J921" s="69">
        <f ca="1">SUMIF('CAP9-13'!$B:$H,Insumo[[#This Row],[DESCRIPCION]],'CAP9-13'!$H:$H)</f>
        <v>0</v>
      </c>
      <c r="K921" s="69">
        <f ca="1">SUMIF('CAP14-15'!$B:$H,Insumo[[#This Row],[DESCRIPCION]],'CAP14-15'!$H:$H)</f>
        <v>0</v>
      </c>
      <c r="L921" s="69">
        <f ca="1">SUMIF('CAP16-18'!$B:$H,Insumo[[#This Row],[DESCRIPCION]],'CAP16-18'!$H:$H)</f>
        <v>0</v>
      </c>
      <c r="M921" s="69">
        <f ca="1">SUMIF('CAP19-22'!$B:$H,Insumo[[#This Row],[DESCRIPCION]],'CAP19-22'!$H:$H)</f>
        <v>0</v>
      </c>
      <c r="N921" s="69">
        <f ca="1">SUMIF('CAP23-24'!$B:$H,Insumo[[#This Row],[DESCRIPCION]],'CAP23-24'!$H:$H)</f>
        <v>0</v>
      </c>
      <c r="O921" s="69">
        <f ca="1">SUMIF('CAP25'!$B:$H,Insumo[[#This Row],[DESCRIPCION]],'CAP25'!$H:$H)</f>
        <v>0</v>
      </c>
      <c r="P921" s="69">
        <f ca="1">SUMIF('CAP26-28'!$B:$H,Insumo[[#This Row],[DESCRIPCION]],'CAP26-28'!$H:$H)</f>
        <v>0</v>
      </c>
      <c r="Q921" s="69">
        <f ca="1">SUMIF('CAP29'!$B:$H,Insumo[[#This Row],[DESCRIPCION]],'CAP29'!$H:$H)</f>
        <v>0</v>
      </c>
      <c r="T921" s="136">
        <v>48713</v>
      </c>
    </row>
    <row r="922" spans="1:20" ht="12" customHeight="1">
      <c r="A922" s="301" t="s">
        <v>3536</v>
      </c>
      <c r="B922" s="303" t="s">
        <v>23</v>
      </c>
      <c r="C922" s="304">
        <f t="shared" si="14"/>
        <v>73881.150000000009</v>
      </c>
      <c r="D922" s="281" cm="1">
        <f t="array" aca="1" ref="D922" ca="1">IF(Insumo[[#This Row],[VALOR]]=0,Insumo[TOTAL],E922/C922)</f>
        <v>0</v>
      </c>
      <c r="E922" s="69">
        <f ca="1">SUM(Insumo[[#This Row],[CAP1-3]:[CAP29]])</f>
        <v>0</v>
      </c>
      <c r="F922" s="69">
        <f ca="1">SUMIF('CAP1-3'!$B:$H,Insumo[[#This Row],[DESCRIPCION]],'CAP1-3'!$H:$H)</f>
        <v>0</v>
      </c>
      <c r="G922" s="69">
        <f ca="1">SUMIF('CAP4-5'!$B:$H,Insumo[[#This Row],[DESCRIPCION]],'CAP4-5'!$H:$H)</f>
        <v>0</v>
      </c>
      <c r="H922" s="69">
        <f ca="1">SUMIF('CAP6-7'!$B:$H,Insumo[[#This Row],[DESCRIPCION]],'CAP6-7'!$H:$H)</f>
        <v>0</v>
      </c>
      <c r="I922" s="69">
        <f ca="1">SUMIF('CAP8'!$B:$H,Insumo[[#This Row],[DESCRIPCION]],'CAP8'!$H:$H)</f>
        <v>0</v>
      </c>
      <c r="J922" s="69">
        <f ca="1">SUMIF('CAP9-13'!$B:$H,Insumo[[#This Row],[DESCRIPCION]],'CAP9-13'!$H:$H)</f>
        <v>0</v>
      </c>
      <c r="K922" s="69">
        <f ca="1">SUMIF('CAP14-15'!$B:$H,Insumo[[#This Row],[DESCRIPCION]],'CAP14-15'!$H:$H)</f>
        <v>0</v>
      </c>
      <c r="L922" s="69">
        <f ca="1">SUMIF('CAP16-18'!$B:$H,Insumo[[#This Row],[DESCRIPCION]],'CAP16-18'!$H:$H)</f>
        <v>0</v>
      </c>
      <c r="M922" s="69">
        <f ca="1">SUMIF('CAP19-22'!$B:$H,Insumo[[#This Row],[DESCRIPCION]],'CAP19-22'!$H:$H)</f>
        <v>0</v>
      </c>
      <c r="N922" s="69">
        <f ca="1">SUMIF('CAP23-24'!$B:$H,Insumo[[#This Row],[DESCRIPCION]],'CAP23-24'!$H:$H)</f>
        <v>0</v>
      </c>
      <c r="O922" s="69">
        <f ca="1">SUMIF('CAP25'!$B:$H,Insumo[[#This Row],[DESCRIPCION]],'CAP25'!$H:$H)</f>
        <v>0</v>
      </c>
      <c r="P922" s="69">
        <f ca="1">SUMIF('CAP26-28'!$B:$H,Insumo[[#This Row],[DESCRIPCION]],'CAP26-28'!$H:$H)</f>
        <v>0</v>
      </c>
      <c r="Q922" s="69">
        <f ca="1">SUMIF('CAP29'!$B:$H,Insumo[[#This Row],[DESCRIPCION]],'CAP29'!$H:$H)</f>
        <v>0</v>
      </c>
      <c r="T922" s="136">
        <v>70363</v>
      </c>
    </row>
    <row r="923" spans="1:20" ht="12" customHeight="1">
      <c r="A923" s="301" t="s">
        <v>3537</v>
      </c>
      <c r="B923" s="303" t="s">
        <v>23</v>
      </c>
      <c r="C923" s="304">
        <f t="shared" si="14"/>
        <v>591045</v>
      </c>
      <c r="D923" s="281" cm="1">
        <f t="array" aca="1" ref="D923" ca="1">IF(Insumo[[#This Row],[VALOR]]=0,Insumo[TOTAL],E923/C923)</f>
        <v>0</v>
      </c>
      <c r="E923" s="69">
        <f ca="1">SUM(Insumo[[#This Row],[CAP1-3]:[CAP29]])</f>
        <v>0</v>
      </c>
      <c r="F923" s="69">
        <f ca="1">SUMIF('CAP1-3'!$B:$H,Insumo[[#This Row],[DESCRIPCION]],'CAP1-3'!$H:$H)</f>
        <v>0</v>
      </c>
      <c r="G923" s="69">
        <f ca="1">SUMIF('CAP4-5'!$B:$H,Insumo[[#This Row],[DESCRIPCION]],'CAP4-5'!$H:$H)</f>
        <v>0</v>
      </c>
      <c r="H923" s="69">
        <f ca="1">SUMIF('CAP6-7'!$B:$H,Insumo[[#This Row],[DESCRIPCION]],'CAP6-7'!$H:$H)</f>
        <v>0</v>
      </c>
      <c r="I923" s="69">
        <f ca="1">SUMIF('CAP8'!$B:$H,Insumo[[#This Row],[DESCRIPCION]],'CAP8'!$H:$H)</f>
        <v>0</v>
      </c>
      <c r="J923" s="69">
        <f ca="1">SUMIF('CAP9-13'!$B:$H,Insumo[[#This Row],[DESCRIPCION]],'CAP9-13'!$H:$H)</f>
        <v>0</v>
      </c>
      <c r="K923" s="69">
        <f ca="1">SUMIF('CAP14-15'!$B:$H,Insumo[[#This Row],[DESCRIPCION]],'CAP14-15'!$H:$H)</f>
        <v>0</v>
      </c>
      <c r="L923" s="69">
        <f ca="1">SUMIF('CAP16-18'!$B:$H,Insumo[[#This Row],[DESCRIPCION]],'CAP16-18'!$H:$H)</f>
        <v>0</v>
      </c>
      <c r="M923" s="69">
        <f ca="1">SUMIF('CAP19-22'!$B:$H,Insumo[[#This Row],[DESCRIPCION]],'CAP19-22'!$H:$H)</f>
        <v>0</v>
      </c>
      <c r="N923" s="69">
        <f ca="1">SUMIF('CAP23-24'!$B:$H,Insumo[[#This Row],[DESCRIPCION]],'CAP23-24'!$H:$H)</f>
        <v>0</v>
      </c>
      <c r="O923" s="69">
        <f ca="1">SUMIF('CAP25'!$B:$H,Insumo[[#This Row],[DESCRIPCION]],'CAP25'!$H:$H)</f>
        <v>0</v>
      </c>
      <c r="P923" s="69">
        <f ca="1">SUMIF('CAP26-28'!$B:$H,Insumo[[#This Row],[DESCRIPCION]],'CAP26-28'!$H:$H)</f>
        <v>0</v>
      </c>
      <c r="Q923" s="69">
        <f ca="1">SUMIF('CAP29'!$B:$H,Insumo[[#This Row],[DESCRIPCION]],'CAP29'!$H:$H)</f>
        <v>0</v>
      </c>
      <c r="T923" s="136">
        <v>562900</v>
      </c>
    </row>
    <row r="924" spans="1:20" ht="12" customHeight="1">
      <c r="A924" s="301" t="s">
        <v>3538</v>
      </c>
      <c r="B924" s="303" t="s">
        <v>23</v>
      </c>
      <c r="C924" s="304">
        <f t="shared" si="14"/>
        <v>511481.25</v>
      </c>
      <c r="D924" s="281" cm="1">
        <f t="array" aca="1" ref="D924" ca="1">IF(Insumo[[#This Row],[VALOR]]=0,Insumo[TOTAL],E924/C924)</f>
        <v>0</v>
      </c>
      <c r="E924" s="69">
        <f ca="1">SUM(Insumo[[#This Row],[CAP1-3]:[CAP29]])</f>
        <v>0</v>
      </c>
      <c r="F924" s="69">
        <f ca="1">SUMIF('CAP1-3'!$B:$H,Insumo[[#This Row],[DESCRIPCION]],'CAP1-3'!$H:$H)</f>
        <v>0</v>
      </c>
      <c r="G924" s="69">
        <f ca="1">SUMIF('CAP4-5'!$B:$H,Insumo[[#This Row],[DESCRIPCION]],'CAP4-5'!$H:$H)</f>
        <v>0</v>
      </c>
      <c r="H924" s="69">
        <f ca="1">SUMIF('CAP6-7'!$B:$H,Insumo[[#This Row],[DESCRIPCION]],'CAP6-7'!$H:$H)</f>
        <v>0</v>
      </c>
      <c r="I924" s="69">
        <f ca="1">SUMIF('CAP8'!$B:$H,Insumo[[#This Row],[DESCRIPCION]],'CAP8'!$H:$H)</f>
        <v>0</v>
      </c>
      <c r="J924" s="69">
        <f ca="1">SUMIF('CAP9-13'!$B:$H,Insumo[[#This Row],[DESCRIPCION]],'CAP9-13'!$H:$H)</f>
        <v>0</v>
      </c>
      <c r="K924" s="69">
        <f ca="1">SUMIF('CAP14-15'!$B:$H,Insumo[[#This Row],[DESCRIPCION]],'CAP14-15'!$H:$H)</f>
        <v>0</v>
      </c>
      <c r="L924" s="69">
        <f ca="1">SUMIF('CAP16-18'!$B:$H,Insumo[[#This Row],[DESCRIPCION]],'CAP16-18'!$H:$H)</f>
        <v>0</v>
      </c>
      <c r="M924" s="69">
        <f ca="1">SUMIF('CAP19-22'!$B:$H,Insumo[[#This Row],[DESCRIPCION]],'CAP19-22'!$H:$H)</f>
        <v>0</v>
      </c>
      <c r="N924" s="69">
        <f ca="1">SUMIF('CAP23-24'!$B:$H,Insumo[[#This Row],[DESCRIPCION]],'CAP23-24'!$H:$H)</f>
        <v>0</v>
      </c>
      <c r="O924" s="69">
        <f ca="1">SUMIF('CAP25'!$B:$H,Insumo[[#This Row],[DESCRIPCION]],'CAP25'!$H:$H)</f>
        <v>0</v>
      </c>
      <c r="P924" s="69">
        <f ca="1">SUMIF('CAP26-28'!$B:$H,Insumo[[#This Row],[DESCRIPCION]],'CAP26-28'!$H:$H)</f>
        <v>0</v>
      </c>
      <c r="Q924" s="69">
        <f ca="1">SUMIF('CAP29'!$B:$H,Insumo[[#This Row],[DESCRIPCION]],'CAP29'!$H:$H)</f>
        <v>0</v>
      </c>
      <c r="T924" s="136">
        <v>487125</v>
      </c>
    </row>
    <row r="925" spans="1:20" ht="12" customHeight="1">
      <c r="A925" s="301" t="s">
        <v>3539</v>
      </c>
      <c r="B925" s="303" t="s">
        <v>23</v>
      </c>
      <c r="C925" s="304">
        <f t="shared" si="14"/>
        <v>693341.25</v>
      </c>
      <c r="D925" s="281" cm="1">
        <f t="array" aca="1" ref="D925" ca="1">IF(Insumo[[#This Row],[VALOR]]=0,Insumo[TOTAL],E925/C925)</f>
        <v>0</v>
      </c>
      <c r="E925" s="69">
        <f ca="1">SUM(Insumo[[#This Row],[CAP1-3]:[CAP29]])</f>
        <v>0</v>
      </c>
      <c r="F925" s="69">
        <f ca="1">SUMIF('CAP1-3'!$B:$H,Insumo[[#This Row],[DESCRIPCION]],'CAP1-3'!$H:$H)</f>
        <v>0</v>
      </c>
      <c r="G925" s="69">
        <f ca="1">SUMIF('CAP4-5'!$B:$H,Insumo[[#This Row],[DESCRIPCION]],'CAP4-5'!$H:$H)</f>
        <v>0</v>
      </c>
      <c r="H925" s="69">
        <f ca="1">SUMIF('CAP6-7'!$B:$H,Insumo[[#This Row],[DESCRIPCION]],'CAP6-7'!$H:$H)</f>
        <v>0</v>
      </c>
      <c r="I925" s="69">
        <f ca="1">SUMIF('CAP8'!$B:$H,Insumo[[#This Row],[DESCRIPCION]],'CAP8'!$H:$H)</f>
        <v>0</v>
      </c>
      <c r="J925" s="69">
        <f ca="1">SUMIF('CAP9-13'!$B:$H,Insumo[[#This Row],[DESCRIPCION]],'CAP9-13'!$H:$H)</f>
        <v>0</v>
      </c>
      <c r="K925" s="69">
        <f ca="1">SUMIF('CAP14-15'!$B:$H,Insumo[[#This Row],[DESCRIPCION]],'CAP14-15'!$H:$H)</f>
        <v>0</v>
      </c>
      <c r="L925" s="69">
        <f ca="1">SUMIF('CAP16-18'!$B:$H,Insumo[[#This Row],[DESCRIPCION]],'CAP16-18'!$H:$H)</f>
        <v>0</v>
      </c>
      <c r="M925" s="69">
        <f ca="1">SUMIF('CAP19-22'!$B:$H,Insumo[[#This Row],[DESCRIPCION]],'CAP19-22'!$H:$H)</f>
        <v>0</v>
      </c>
      <c r="N925" s="69">
        <f ca="1">SUMIF('CAP23-24'!$B:$H,Insumo[[#This Row],[DESCRIPCION]],'CAP23-24'!$H:$H)</f>
        <v>0</v>
      </c>
      <c r="O925" s="69">
        <f ca="1">SUMIF('CAP25'!$B:$H,Insumo[[#This Row],[DESCRIPCION]],'CAP25'!$H:$H)</f>
        <v>0</v>
      </c>
      <c r="P925" s="69">
        <f ca="1">SUMIF('CAP26-28'!$B:$H,Insumo[[#This Row],[DESCRIPCION]],'CAP26-28'!$H:$H)</f>
        <v>0</v>
      </c>
      <c r="Q925" s="69">
        <f ca="1">SUMIF('CAP29'!$B:$H,Insumo[[#This Row],[DESCRIPCION]],'CAP29'!$H:$H)</f>
        <v>0</v>
      </c>
      <c r="T925" s="136">
        <v>660325</v>
      </c>
    </row>
    <row r="926" spans="1:20" ht="12" customHeight="1">
      <c r="A926" s="301" t="s">
        <v>3540</v>
      </c>
      <c r="B926" s="303" t="s">
        <v>23</v>
      </c>
      <c r="C926" s="304">
        <f t="shared" si="14"/>
        <v>852468.75</v>
      </c>
      <c r="D926" s="281" cm="1">
        <f t="array" aca="1" ref="D926" ca="1">IF(Insumo[[#This Row],[VALOR]]=0,Insumo[TOTAL],E926/C926)</f>
        <v>0</v>
      </c>
      <c r="E926" s="69">
        <f ca="1">SUM(Insumo[[#This Row],[CAP1-3]:[CAP29]])</f>
        <v>0</v>
      </c>
      <c r="F926" s="69">
        <f ca="1">SUMIF('CAP1-3'!$B:$H,Insumo[[#This Row],[DESCRIPCION]],'CAP1-3'!$H:$H)</f>
        <v>0</v>
      </c>
      <c r="G926" s="69">
        <f ca="1">SUMIF('CAP4-5'!$B:$H,Insumo[[#This Row],[DESCRIPCION]],'CAP4-5'!$H:$H)</f>
        <v>0</v>
      </c>
      <c r="H926" s="69">
        <f ca="1">SUMIF('CAP6-7'!$B:$H,Insumo[[#This Row],[DESCRIPCION]],'CAP6-7'!$H:$H)</f>
        <v>0</v>
      </c>
      <c r="I926" s="69">
        <f ca="1">SUMIF('CAP8'!$B:$H,Insumo[[#This Row],[DESCRIPCION]],'CAP8'!$H:$H)</f>
        <v>0</v>
      </c>
      <c r="J926" s="69">
        <f ca="1">SUMIF('CAP9-13'!$B:$H,Insumo[[#This Row],[DESCRIPCION]],'CAP9-13'!$H:$H)</f>
        <v>0</v>
      </c>
      <c r="K926" s="69">
        <f ca="1">SUMIF('CAP14-15'!$B:$H,Insumo[[#This Row],[DESCRIPCION]],'CAP14-15'!$H:$H)</f>
        <v>0</v>
      </c>
      <c r="L926" s="69">
        <f ca="1">SUMIF('CAP16-18'!$B:$H,Insumo[[#This Row],[DESCRIPCION]],'CAP16-18'!$H:$H)</f>
        <v>0</v>
      </c>
      <c r="M926" s="69">
        <f ca="1">SUMIF('CAP19-22'!$B:$H,Insumo[[#This Row],[DESCRIPCION]],'CAP19-22'!$H:$H)</f>
        <v>0</v>
      </c>
      <c r="N926" s="69">
        <f ca="1">SUMIF('CAP23-24'!$B:$H,Insumo[[#This Row],[DESCRIPCION]],'CAP23-24'!$H:$H)</f>
        <v>0</v>
      </c>
      <c r="O926" s="69">
        <f ca="1">SUMIF('CAP25'!$B:$H,Insumo[[#This Row],[DESCRIPCION]],'CAP25'!$H:$H)</f>
        <v>0</v>
      </c>
      <c r="P926" s="69">
        <f ca="1">SUMIF('CAP26-28'!$B:$H,Insumo[[#This Row],[DESCRIPCION]],'CAP26-28'!$H:$H)</f>
        <v>0</v>
      </c>
      <c r="Q926" s="69">
        <f ca="1">SUMIF('CAP29'!$B:$H,Insumo[[#This Row],[DESCRIPCION]],'CAP29'!$H:$H)</f>
        <v>0</v>
      </c>
      <c r="T926" s="136">
        <v>811875</v>
      </c>
    </row>
    <row r="927" spans="1:20" ht="12" customHeight="1">
      <c r="A927" s="301" t="s">
        <v>3541</v>
      </c>
      <c r="B927" s="303" t="s">
        <v>30</v>
      </c>
      <c r="C927" s="304">
        <f t="shared" si="14"/>
        <v>6065.85</v>
      </c>
      <c r="D927" s="281" cm="1">
        <f t="array" aca="1" ref="D927" ca="1">IF(Insumo[[#This Row],[VALOR]]=0,Insumo[TOTAL],E927/C927)</f>
        <v>0</v>
      </c>
      <c r="E927" s="69">
        <f ca="1">SUM(Insumo[[#This Row],[CAP1-3]:[CAP29]])</f>
        <v>0</v>
      </c>
      <c r="F927" s="69">
        <f ca="1">SUMIF('CAP1-3'!$B:$H,Insumo[[#This Row],[DESCRIPCION]],'CAP1-3'!$H:$H)</f>
        <v>0</v>
      </c>
      <c r="G927" s="69">
        <f ca="1">SUMIF('CAP4-5'!$B:$H,Insumo[[#This Row],[DESCRIPCION]],'CAP4-5'!$H:$H)</f>
        <v>0</v>
      </c>
      <c r="H927" s="69">
        <f ca="1">SUMIF('CAP6-7'!$B:$H,Insumo[[#This Row],[DESCRIPCION]],'CAP6-7'!$H:$H)</f>
        <v>0</v>
      </c>
      <c r="I927" s="69">
        <f ca="1">SUMIF('CAP8'!$B:$H,Insumo[[#This Row],[DESCRIPCION]],'CAP8'!$H:$H)</f>
        <v>0</v>
      </c>
      <c r="J927" s="69">
        <f ca="1">SUMIF('CAP9-13'!$B:$H,Insumo[[#This Row],[DESCRIPCION]],'CAP9-13'!$H:$H)</f>
        <v>0</v>
      </c>
      <c r="K927" s="69">
        <f ca="1">SUMIF('CAP14-15'!$B:$H,Insumo[[#This Row],[DESCRIPCION]],'CAP14-15'!$H:$H)</f>
        <v>0</v>
      </c>
      <c r="L927" s="69">
        <f ca="1">SUMIF('CAP16-18'!$B:$H,Insumo[[#This Row],[DESCRIPCION]],'CAP16-18'!$H:$H)</f>
        <v>0</v>
      </c>
      <c r="M927" s="69">
        <f ca="1">SUMIF('CAP19-22'!$B:$H,Insumo[[#This Row],[DESCRIPCION]],'CAP19-22'!$H:$H)</f>
        <v>0</v>
      </c>
      <c r="N927" s="69">
        <f ca="1">SUMIF('CAP23-24'!$B:$H,Insumo[[#This Row],[DESCRIPCION]],'CAP23-24'!$H:$H)</f>
        <v>0</v>
      </c>
      <c r="O927" s="69">
        <f ca="1">SUMIF('CAP25'!$B:$H,Insumo[[#This Row],[DESCRIPCION]],'CAP25'!$H:$H)</f>
        <v>0</v>
      </c>
      <c r="P927" s="69">
        <f ca="1">SUMIF('CAP26-28'!$B:$H,Insumo[[#This Row],[DESCRIPCION]],'CAP26-28'!$H:$H)</f>
        <v>0</v>
      </c>
      <c r="Q927" s="69">
        <f ca="1">SUMIF('CAP29'!$B:$H,Insumo[[#This Row],[DESCRIPCION]],'CAP29'!$H:$H)</f>
        <v>0</v>
      </c>
      <c r="R927" s="136" t="s">
        <v>2704</v>
      </c>
      <c r="T927" s="136">
        <v>5777</v>
      </c>
    </row>
    <row r="928" spans="1:20" ht="12" customHeight="1">
      <c r="A928" s="301" t="s">
        <v>3542</v>
      </c>
      <c r="B928" s="303" t="s">
        <v>30</v>
      </c>
      <c r="C928" s="304">
        <f t="shared" si="14"/>
        <v>9484.65</v>
      </c>
      <c r="D928" s="281" cm="1">
        <f t="array" aca="1" ref="D928" ca="1">IF(Insumo[[#This Row],[VALOR]]=0,Insumo[TOTAL],E928/C928)</f>
        <v>0</v>
      </c>
      <c r="E928" s="69">
        <f ca="1">SUM(Insumo[[#This Row],[CAP1-3]:[CAP29]])</f>
        <v>0</v>
      </c>
      <c r="F928" s="69">
        <f ca="1">SUMIF('CAP1-3'!$B:$H,Insumo[[#This Row],[DESCRIPCION]],'CAP1-3'!$H:$H)</f>
        <v>0</v>
      </c>
      <c r="G928" s="69">
        <f ca="1">SUMIF('CAP4-5'!$B:$H,Insumo[[#This Row],[DESCRIPCION]],'CAP4-5'!$H:$H)</f>
        <v>0</v>
      </c>
      <c r="H928" s="69">
        <f ca="1">SUMIF('CAP6-7'!$B:$H,Insumo[[#This Row],[DESCRIPCION]],'CAP6-7'!$H:$H)</f>
        <v>0</v>
      </c>
      <c r="I928" s="69">
        <f ca="1">SUMIF('CAP8'!$B:$H,Insumo[[#This Row],[DESCRIPCION]],'CAP8'!$H:$H)</f>
        <v>0</v>
      </c>
      <c r="J928" s="69">
        <f ca="1">SUMIF('CAP9-13'!$B:$H,Insumo[[#This Row],[DESCRIPCION]],'CAP9-13'!$H:$H)</f>
        <v>0</v>
      </c>
      <c r="K928" s="69">
        <f ca="1">SUMIF('CAP14-15'!$B:$H,Insumo[[#This Row],[DESCRIPCION]],'CAP14-15'!$H:$H)</f>
        <v>0</v>
      </c>
      <c r="L928" s="69">
        <f ca="1">SUMIF('CAP16-18'!$B:$H,Insumo[[#This Row],[DESCRIPCION]],'CAP16-18'!$H:$H)</f>
        <v>0</v>
      </c>
      <c r="M928" s="69">
        <f ca="1">SUMIF('CAP19-22'!$B:$H,Insumo[[#This Row],[DESCRIPCION]],'CAP19-22'!$H:$H)</f>
        <v>0</v>
      </c>
      <c r="N928" s="69">
        <f ca="1">SUMIF('CAP23-24'!$B:$H,Insumo[[#This Row],[DESCRIPCION]],'CAP23-24'!$H:$H)</f>
        <v>0</v>
      </c>
      <c r="O928" s="69">
        <f ca="1">SUMIF('CAP25'!$B:$H,Insumo[[#This Row],[DESCRIPCION]],'CAP25'!$H:$H)</f>
        <v>0</v>
      </c>
      <c r="P928" s="69">
        <f ca="1">SUMIF('CAP26-28'!$B:$H,Insumo[[#This Row],[DESCRIPCION]],'CAP26-28'!$H:$H)</f>
        <v>0</v>
      </c>
      <c r="Q928" s="69">
        <f ca="1">SUMIF('CAP29'!$B:$H,Insumo[[#This Row],[DESCRIPCION]],'CAP29'!$H:$H)</f>
        <v>0</v>
      </c>
      <c r="R928" s="136" t="s">
        <v>2704</v>
      </c>
      <c r="T928" s="136">
        <v>9033</v>
      </c>
    </row>
    <row r="929" spans="1:20" ht="12" customHeight="1">
      <c r="A929" s="301" t="s">
        <v>3543</v>
      </c>
      <c r="B929" s="303" t="s">
        <v>23</v>
      </c>
      <c r="C929" s="304">
        <f t="shared" si="14"/>
        <v>476662.2</v>
      </c>
      <c r="D929" s="281" cm="1">
        <f t="array" aca="1" ref="D929" ca="1">IF(Insumo[[#This Row],[VALOR]]=0,Insumo[TOTAL],E929/C929)</f>
        <v>0</v>
      </c>
      <c r="E929" s="69">
        <f ca="1">SUM(Insumo[[#This Row],[CAP1-3]:[CAP29]])</f>
        <v>0</v>
      </c>
      <c r="F929" s="69">
        <f ca="1">SUMIF('CAP1-3'!$B:$H,Insumo[[#This Row],[DESCRIPCION]],'CAP1-3'!$H:$H)</f>
        <v>0</v>
      </c>
      <c r="G929" s="69">
        <f ca="1">SUMIF('CAP4-5'!$B:$H,Insumo[[#This Row],[DESCRIPCION]],'CAP4-5'!$H:$H)</f>
        <v>0</v>
      </c>
      <c r="H929" s="69">
        <f ca="1">SUMIF('CAP6-7'!$B:$H,Insumo[[#This Row],[DESCRIPCION]],'CAP6-7'!$H:$H)</f>
        <v>0</v>
      </c>
      <c r="I929" s="69">
        <f ca="1">SUMIF('CAP8'!$B:$H,Insumo[[#This Row],[DESCRIPCION]],'CAP8'!$H:$H)</f>
        <v>0</v>
      </c>
      <c r="J929" s="69">
        <f ca="1">SUMIF('CAP9-13'!$B:$H,Insumo[[#This Row],[DESCRIPCION]],'CAP9-13'!$H:$H)</f>
        <v>0</v>
      </c>
      <c r="K929" s="69">
        <f ca="1">SUMIF('CAP14-15'!$B:$H,Insumo[[#This Row],[DESCRIPCION]],'CAP14-15'!$H:$H)</f>
        <v>0</v>
      </c>
      <c r="L929" s="69">
        <f ca="1">SUMIF('CAP16-18'!$B:$H,Insumo[[#This Row],[DESCRIPCION]],'CAP16-18'!$H:$H)</f>
        <v>0</v>
      </c>
      <c r="M929" s="69">
        <f ca="1">SUMIF('CAP19-22'!$B:$H,Insumo[[#This Row],[DESCRIPCION]],'CAP19-22'!$H:$H)</f>
        <v>0</v>
      </c>
      <c r="N929" s="69">
        <f ca="1">SUMIF('CAP23-24'!$B:$H,Insumo[[#This Row],[DESCRIPCION]],'CAP23-24'!$H:$H)</f>
        <v>0</v>
      </c>
      <c r="O929" s="69">
        <f ca="1">SUMIF('CAP25'!$B:$H,Insumo[[#This Row],[DESCRIPCION]],'CAP25'!$H:$H)</f>
        <v>0</v>
      </c>
      <c r="P929" s="69">
        <f ca="1">SUMIF('CAP26-28'!$B:$H,Insumo[[#This Row],[DESCRIPCION]],'CAP26-28'!$H:$H)</f>
        <v>0</v>
      </c>
      <c r="Q929" s="69">
        <f ca="1">SUMIF('CAP29'!$B:$H,Insumo[[#This Row],[DESCRIPCION]],'CAP29'!$H:$H)</f>
        <v>0</v>
      </c>
      <c r="T929" s="136">
        <v>453964</v>
      </c>
    </row>
    <row r="930" spans="1:20" ht="12" customHeight="1">
      <c r="A930" s="301" t="s">
        <v>3544</v>
      </c>
      <c r="B930" s="303" t="s">
        <v>23</v>
      </c>
      <c r="C930" s="304">
        <f t="shared" si="14"/>
        <v>3410.4</v>
      </c>
      <c r="D930" s="281" cm="1">
        <f t="array" aca="1" ref="D930" ca="1">IF(Insumo[[#This Row],[VALOR]]=0,Insumo[TOTAL],E930/C930)</f>
        <v>0</v>
      </c>
      <c r="E930" s="69">
        <f ca="1">SUM(Insumo[[#This Row],[CAP1-3]:[CAP29]])</f>
        <v>0</v>
      </c>
      <c r="F930" s="69">
        <f ca="1">SUMIF('CAP1-3'!$B:$H,Insumo[[#This Row],[DESCRIPCION]],'CAP1-3'!$H:$H)</f>
        <v>0</v>
      </c>
      <c r="G930" s="69">
        <f ca="1">SUMIF('CAP4-5'!$B:$H,Insumo[[#This Row],[DESCRIPCION]],'CAP4-5'!$H:$H)</f>
        <v>0</v>
      </c>
      <c r="H930" s="69">
        <f ca="1">SUMIF('CAP6-7'!$B:$H,Insumo[[#This Row],[DESCRIPCION]],'CAP6-7'!$H:$H)</f>
        <v>0</v>
      </c>
      <c r="I930" s="69">
        <f ca="1">SUMIF('CAP8'!$B:$H,Insumo[[#This Row],[DESCRIPCION]],'CAP8'!$H:$H)</f>
        <v>0</v>
      </c>
      <c r="J930" s="69">
        <f ca="1">SUMIF('CAP9-13'!$B:$H,Insumo[[#This Row],[DESCRIPCION]],'CAP9-13'!$H:$H)</f>
        <v>0</v>
      </c>
      <c r="K930" s="69">
        <f ca="1">SUMIF('CAP14-15'!$B:$H,Insumo[[#This Row],[DESCRIPCION]],'CAP14-15'!$H:$H)</f>
        <v>0</v>
      </c>
      <c r="L930" s="69">
        <f ca="1">SUMIF('CAP16-18'!$B:$H,Insumo[[#This Row],[DESCRIPCION]],'CAP16-18'!$H:$H)</f>
        <v>0</v>
      </c>
      <c r="M930" s="69">
        <f ca="1">SUMIF('CAP19-22'!$B:$H,Insumo[[#This Row],[DESCRIPCION]],'CAP19-22'!$H:$H)</f>
        <v>0</v>
      </c>
      <c r="N930" s="69">
        <f ca="1">SUMIF('CAP23-24'!$B:$H,Insumo[[#This Row],[DESCRIPCION]],'CAP23-24'!$H:$H)</f>
        <v>0</v>
      </c>
      <c r="O930" s="69">
        <f ca="1">SUMIF('CAP25'!$B:$H,Insumo[[#This Row],[DESCRIPCION]],'CAP25'!$H:$H)</f>
        <v>0</v>
      </c>
      <c r="P930" s="69">
        <f ca="1">SUMIF('CAP26-28'!$B:$H,Insumo[[#This Row],[DESCRIPCION]],'CAP26-28'!$H:$H)</f>
        <v>0</v>
      </c>
      <c r="Q930" s="69">
        <f ca="1">SUMIF('CAP29'!$B:$H,Insumo[[#This Row],[DESCRIPCION]],'CAP29'!$H:$H)</f>
        <v>0</v>
      </c>
      <c r="T930" s="136">
        <v>3248</v>
      </c>
    </row>
    <row r="931" spans="1:20" ht="12" customHeight="1">
      <c r="A931" s="301" t="s">
        <v>3545</v>
      </c>
      <c r="B931" s="303" t="s">
        <v>30</v>
      </c>
      <c r="C931" s="304">
        <f t="shared" si="14"/>
        <v>11707.5</v>
      </c>
      <c r="D931" s="281" cm="1">
        <f t="array" aca="1" ref="D931" ca="1">IF(Insumo[[#This Row],[VALOR]]=0,Insumo[TOTAL],E931/C931)</f>
        <v>0</v>
      </c>
      <c r="E931" s="69">
        <f ca="1">SUM(Insumo[[#This Row],[CAP1-3]:[CAP29]])</f>
        <v>0</v>
      </c>
      <c r="F931" s="69">
        <f ca="1">SUMIF('CAP1-3'!$B:$H,Insumo[[#This Row],[DESCRIPCION]],'CAP1-3'!$H:$H)</f>
        <v>0</v>
      </c>
      <c r="G931" s="69">
        <f ca="1">SUMIF('CAP4-5'!$B:$H,Insumo[[#This Row],[DESCRIPCION]],'CAP4-5'!$H:$H)</f>
        <v>0</v>
      </c>
      <c r="H931" s="69">
        <f ca="1">SUMIF('CAP6-7'!$B:$H,Insumo[[#This Row],[DESCRIPCION]],'CAP6-7'!$H:$H)</f>
        <v>0</v>
      </c>
      <c r="I931" s="69">
        <f ca="1">SUMIF('CAP8'!$B:$H,Insumo[[#This Row],[DESCRIPCION]],'CAP8'!$H:$H)</f>
        <v>0</v>
      </c>
      <c r="J931" s="69">
        <f ca="1">SUMIF('CAP9-13'!$B:$H,Insumo[[#This Row],[DESCRIPCION]],'CAP9-13'!$H:$H)</f>
        <v>0</v>
      </c>
      <c r="K931" s="69">
        <f ca="1">SUMIF('CAP14-15'!$B:$H,Insumo[[#This Row],[DESCRIPCION]],'CAP14-15'!$H:$H)</f>
        <v>0</v>
      </c>
      <c r="L931" s="69">
        <f ca="1">SUMIF('CAP16-18'!$B:$H,Insumo[[#This Row],[DESCRIPCION]],'CAP16-18'!$H:$H)</f>
        <v>0</v>
      </c>
      <c r="M931" s="69">
        <f ca="1">SUMIF('CAP19-22'!$B:$H,Insumo[[#This Row],[DESCRIPCION]],'CAP19-22'!$H:$H)</f>
        <v>0</v>
      </c>
      <c r="N931" s="69">
        <f ca="1">SUMIF('CAP23-24'!$B:$H,Insumo[[#This Row],[DESCRIPCION]],'CAP23-24'!$H:$H)</f>
        <v>0</v>
      </c>
      <c r="O931" s="69">
        <f ca="1">SUMIF('CAP25'!$B:$H,Insumo[[#This Row],[DESCRIPCION]],'CAP25'!$H:$H)</f>
        <v>0</v>
      </c>
      <c r="P931" s="69">
        <f ca="1">SUMIF('CAP26-28'!$B:$H,Insumo[[#This Row],[DESCRIPCION]],'CAP26-28'!$H:$H)</f>
        <v>0</v>
      </c>
      <c r="Q931" s="69">
        <f ca="1">SUMIF('CAP29'!$B:$H,Insumo[[#This Row],[DESCRIPCION]],'CAP29'!$H:$H)</f>
        <v>0</v>
      </c>
      <c r="T931" s="136">
        <v>11150</v>
      </c>
    </row>
    <row r="932" spans="1:20" ht="12" customHeight="1">
      <c r="A932" s="301" t="s">
        <v>3546</v>
      </c>
      <c r="B932" s="303" t="s">
        <v>30</v>
      </c>
      <c r="C932" s="304">
        <f t="shared" si="14"/>
        <v>1705.2</v>
      </c>
      <c r="D932" s="281" cm="1">
        <f t="array" aca="1" ref="D932" ca="1">IF(Insumo[[#This Row],[VALOR]]=0,Insumo[TOTAL],E932/C932)</f>
        <v>0</v>
      </c>
      <c r="E932" s="69">
        <f ca="1">SUM(Insumo[[#This Row],[CAP1-3]:[CAP29]])</f>
        <v>0</v>
      </c>
      <c r="F932" s="69">
        <f ca="1">SUMIF('CAP1-3'!$B:$H,Insumo[[#This Row],[DESCRIPCION]],'CAP1-3'!$H:$H)</f>
        <v>0</v>
      </c>
      <c r="G932" s="69">
        <f ca="1">SUMIF('CAP4-5'!$B:$H,Insumo[[#This Row],[DESCRIPCION]],'CAP4-5'!$H:$H)</f>
        <v>0</v>
      </c>
      <c r="H932" s="69">
        <f ca="1">SUMIF('CAP6-7'!$B:$H,Insumo[[#This Row],[DESCRIPCION]],'CAP6-7'!$H:$H)</f>
        <v>0</v>
      </c>
      <c r="I932" s="69">
        <f ca="1">SUMIF('CAP8'!$B:$H,Insumo[[#This Row],[DESCRIPCION]],'CAP8'!$H:$H)</f>
        <v>0</v>
      </c>
      <c r="J932" s="69">
        <f ca="1">SUMIF('CAP9-13'!$B:$H,Insumo[[#This Row],[DESCRIPCION]],'CAP9-13'!$H:$H)</f>
        <v>0</v>
      </c>
      <c r="K932" s="69">
        <f ca="1">SUMIF('CAP14-15'!$B:$H,Insumo[[#This Row],[DESCRIPCION]],'CAP14-15'!$H:$H)</f>
        <v>0</v>
      </c>
      <c r="L932" s="69">
        <f ca="1">SUMIF('CAP16-18'!$B:$H,Insumo[[#This Row],[DESCRIPCION]],'CAP16-18'!$H:$H)</f>
        <v>0</v>
      </c>
      <c r="M932" s="69">
        <f ca="1">SUMIF('CAP19-22'!$B:$H,Insumo[[#This Row],[DESCRIPCION]],'CAP19-22'!$H:$H)</f>
        <v>0</v>
      </c>
      <c r="N932" s="69">
        <f ca="1">SUMIF('CAP23-24'!$B:$H,Insumo[[#This Row],[DESCRIPCION]],'CAP23-24'!$H:$H)</f>
        <v>0</v>
      </c>
      <c r="O932" s="69">
        <f ca="1">SUMIF('CAP25'!$B:$H,Insumo[[#This Row],[DESCRIPCION]],'CAP25'!$H:$H)</f>
        <v>0</v>
      </c>
      <c r="P932" s="69">
        <f ca="1">SUMIF('CAP26-28'!$B:$H,Insumo[[#This Row],[DESCRIPCION]],'CAP26-28'!$H:$H)</f>
        <v>0</v>
      </c>
      <c r="Q932" s="69">
        <f ca="1">SUMIF('CAP29'!$B:$H,Insumo[[#This Row],[DESCRIPCION]],'CAP29'!$H:$H)</f>
        <v>0</v>
      </c>
      <c r="T932" s="136">
        <v>1624</v>
      </c>
    </row>
    <row r="933" spans="1:20" ht="12" customHeight="1">
      <c r="A933" s="301" t="s">
        <v>3547</v>
      </c>
      <c r="B933" s="303" t="s">
        <v>20</v>
      </c>
      <c r="C933" s="304">
        <f t="shared" si="14"/>
        <v>278473.65000000002</v>
      </c>
      <c r="D933" s="281" cm="1">
        <f t="array" aca="1" ref="D933" ca="1">IF(Insumo[[#This Row],[VALOR]]=0,Insumo[TOTAL],E933/C933)</f>
        <v>0</v>
      </c>
      <c r="E933" s="69">
        <f ca="1">SUM(Insumo[[#This Row],[CAP1-3]:[CAP29]])</f>
        <v>0</v>
      </c>
      <c r="F933" s="69">
        <f ca="1">SUMIF('CAP1-3'!$B:$H,Insumo[[#This Row],[DESCRIPCION]],'CAP1-3'!$H:$H)</f>
        <v>0</v>
      </c>
      <c r="G933" s="69">
        <f ca="1">SUMIF('CAP4-5'!$B:$H,Insumo[[#This Row],[DESCRIPCION]],'CAP4-5'!$H:$H)</f>
        <v>0</v>
      </c>
      <c r="H933" s="69">
        <f ca="1">SUMIF('CAP6-7'!$B:$H,Insumo[[#This Row],[DESCRIPCION]],'CAP6-7'!$H:$H)</f>
        <v>0</v>
      </c>
      <c r="I933" s="69">
        <f ca="1">SUMIF('CAP8'!$B:$H,Insumo[[#This Row],[DESCRIPCION]],'CAP8'!$H:$H)</f>
        <v>0</v>
      </c>
      <c r="J933" s="69">
        <f ca="1">SUMIF('CAP9-13'!$B:$H,Insumo[[#This Row],[DESCRIPCION]],'CAP9-13'!$H:$H)</f>
        <v>0</v>
      </c>
      <c r="K933" s="69">
        <f ca="1">SUMIF('CAP14-15'!$B:$H,Insumo[[#This Row],[DESCRIPCION]],'CAP14-15'!$H:$H)</f>
        <v>0</v>
      </c>
      <c r="L933" s="69">
        <f ca="1">SUMIF('CAP16-18'!$B:$H,Insumo[[#This Row],[DESCRIPCION]],'CAP16-18'!$H:$H)</f>
        <v>0</v>
      </c>
      <c r="M933" s="69">
        <f ca="1">SUMIF('CAP19-22'!$B:$H,Insumo[[#This Row],[DESCRIPCION]],'CAP19-22'!$H:$H)</f>
        <v>0</v>
      </c>
      <c r="N933" s="69">
        <f ca="1">SUMIF('CAP23-24'!$B:$H,Insumo[[#This Row],[DESCRIPCION]],'CAP23-24'!$H:$H)</f>
        <v>0</v>
      </c>
      <c r="O933" s="69">
        <f ca="1">SUMIF('CAP25'!$B:$H,Insumo[[#This Row],[DESCRIPCION]],'CAP25'!$H:$H)</f>
        <v>0</v>
      </c>
      <c r="P933" s="69">
        <f ca="1">SUMIF('CAP26-28'!$B:$H,Insumo[[#This Row],[DESCRIPCION]],'CAP26-28'!$H:$H)</f>
        <v>0</v>
      </c>
      <c r="Q933" s="69">
        <f ca="1">SUMIF('CAP29'!$B:$H,Insumo[[#This Row],[DESCRIPCION]],'CAP29'!$H:$H)</f>
        <v>0</v>
      </c>
      <c r="T933" s="136">
        <v>265213</v>
      </c>
    </row>
    <row r="934" spans="1:20" ht="12" customHeight="1">
      <c r="A934" s="301" t="s">
        <v>3548</v>
      </c>
      <c r="B934" s="303" t="s">
        <v>20</v>
      </c>
      <c r="C934" s="304">
        <f t="shared" si="14"/>
        <v>213748.5</v>
      </c>
      <c r="D934" s="281" cm="1">
        <f t="array" aca="1" ref="D934" ca="1">IF(Insumo[[#This Row],[VALOR]]=0,Insumo[TOTAL],E934/C934)</f>
        <v>0</v>
      </c>
      <c r="E934" s="69">
        <f ca="1">SUM(Insumo[[#This Row],[CAP1-3]:[CAP29]])</f>
        <v>0</v>
      </c>
      <c r="F934" s="69">
        <f ca="1">SUMIF('CAP1-3'!$B:$H,Insumo[[#This Row],[DESCRIPCION]],'CAP1-3'!$H:$H)</f>
        <v>0</v>
      </c>
      <c r="G934" s="69">
        <f ca="1">SUMIF('CAP4-5'!$B:$H,Insumo[[#This Row],[DESCRIPCION]],'CAP4-5'!$H:$H)</f>
        <v>0</v>
      </c>
      <c r="H934" s="69">
        <f ca="1">SUMIF('CAP6-7'!$B:$H,Insumo[[#This Row],[DESCRIPCION]],'CAP6-7'!$H:$H)</f>
        <v>0</v>
      </c>
      <c r="I934" s="69">
        <f ca="1">SUMIF('CAP8'!$B:$H,Insumo[[#This Row],[DESCRIPCION]],'CAP8'!$H:$H)</f>
        <v>0</v>
      </c>
      <c r="J934" s="69">
        <f ca="1">SUMIF('CAP9-13'!$B:$H,Insumo[[#This Row],[DESCRIPCION]],'CAP9-13'!$H:$H)</f>
        <v>0</v>
      </c>
      <c r="K934" s="69">
        <f ca="1">SUMIF('CAP14-15'!$B:$H,Insumo[[#This Row],[DESCRIPCION]],'CAP14-15'!$H:$H)</f>
        <v>0</v>
      </c>
      <c r="L934" s="69">
        <f ca="1">SUMIF('CAP16-18'!$B:$H,Insumo[[#This Row],[DESCRIPCION]],'CAP16-18'!$H:$H)</f>
        <v>0</v>
      </c>
      <c r="M934" s="69">
        <f ca="1">SUMIF('CAP19-22'!$B:$H,Insumo[[#This Row],[DESCRIPCION]],'CAP19-22'!$H:$H)</f>
        <v>0</v>
      </c>
      <c r="N934" s="69">
        <f ca="1">SUMIF('CAP23-24'!$B:$H,Insumo[[#This Row],[DESCRIPCION]],'CAP23-24'!$H:$H)</f>
        <v>0</v>
      </c>
      <c r="O934" s="69">
        <f ca="1">SUMIF('CAP25'!$B:$H,Insumo[[#This Row],[DESCRIPCION]],'CAP25'!$H:$H)</f>
        <v>0</v>
      </c>
      <c r="P934" s="69">
        <f ca="1">SUMIF('CAP26-28'!$B:$H,Insumo[[#This Row],[DESCRIPCION]],'CAP26-28'!$H:$H)</f>
        <v>0</v>
      </c>
      <c r="Q934" s="69">
        <f ca="1">SUMIF('CAP29'!$B:$H,Insumo[[#This Row],[DESCRIPCION]],'CAP29'!$H:$H)</f>
        <v>0</v>
      </c>
      <c r="T934" s="136">
        <v>203570</v>
      </c>
    </row>
    <row r="935" spans="1:20" ht="12" customHeight="1">
      <c r="A935" s="301" t="s">
        <v>3549</v>
      </c>
      <c r="B935" s="303" t="s">
        <v>20</v>
      </c>
      <c r="C935" s="304">
        <f t="shared" si="14"/>
        <v>40374.6</v>
      </c>
      <c r="D935" s="281" cm="1">
        <f t="array" aca="1" ref="D935" ca="1">IF(Insumo[[#This Row],[VALOR]]=0,Insumo[TOTAL],E935/C935)</f>
        <v>0</v>
      </c>
      <c r="E935" s="69">
        <f ca="1">SUM(Insumo[[#This Row],[CAP1-3]:[CAP29]])</f>
        <v>0</v>
      </c>
      <c r="F935" s="69">
        <f ca="1">SUMIF('CAP1-3'!$B:$H,Insumo[[#This Row],[DESCRIPCION]],'CAP1-3'!$H:$H)</f>
        <v>0</v>
      </c>
      <c r="G935" s="69">
        <f ca="1">SUMIF('CAP4-5'!$B:$H,Insumo[[#This Row],[DESCRIPCION]],'CAP4-5'!$H:$H)</f>
        <v>0</v>
      </c>
      <c r="H935" s="69">
        <f ca="1">SUMIF('CAP6-7'!$B:$H,Insumo[[#This Row],[DESCRIPCION]],'CAP6-7'!$H:$H)</f>
        <v>0</v>
      </c>
      <c r="I935" s="69">
        <f ca="1">SUMIF('CAP8'!$B:$H,Insumo[[#This Row],[DESCRIPCION]],'CAP8'!$H:$H)</f>
        <v>0</v>
      </c>
      <c r="J935" s="69">
        <f ca="1">SUMIF('CAP9-13'!$B:$H,Insumo[[#This Row],[DESCRIPCION]],'CAP9-13'!$H:$H)</f>
        <v>0</v>
      </c>
      <c r="K935" s="69">
        <f ca="1">SUMIF('CAP14-15'!$B:$H,Insumo[[#This Row],[DESCRIPCION]],'CAP14-15'!$H:$H)</f>
        <v>0</v>
      </c>
      <c r="L935" s="69">
        <f ca="1">SUMIF('CAP16-18'!$B:$H,Insumo[[#This Row],[DESCRIPCION]],'CAP16-18'!$H:$H)</f>
        <v>0</v>
      </c>
      <c r="M935" s="69">
        <f ca="1">SUMIF('CAP19-22'!$B:$H,Insumo[[#This Row],[DESCRIPCION]],'CAP19-22'!$H:$H)</f>
        <v>0</v>
      </c>
      <c r="N935" s="69">
        <f ca="1">SUMIF('CAP23-24'!$B:$H,Insumo[[#This Row],[DESCRIPCION]],'CAP23-24'!$H:$H)</f>
        <v>0</v>
      </c>
      <c r="O935" s="69">
        <f ca="1">SUMIF('CAP25'!$B:$H,Insumo[[#This Row],[DESCRIPCION]],'CAP25'!$H:$H)</f>
        <v>0</v>
      </c>
      <c r="P935" s="69">
        <f ca="1">SUMIF('CAP26-28'!$B:$H,Insumo[[#This Row],[DESCRIPCION]],'CAP26-28'!$H:$H)</f>
        <v>0</v>
      </c>
      <c r="Q935" s="69">
        <f ca="1">SUMIF('CAP29'!$B:$H,Insumo[[#This Row],[DESCRIPCION]],'CAP29'!$H:$H)</f>
        <v>0</v>
      </c>
      <c r="T935" s="136">
        <v>38452</v>
      </c>
    </row>
    <row r="936" spans="1:20" ht="12" customHeight="1">
      <c r="A936" s="301" t="s">
        <v>3550</v>
      </c>
      <c r="B936" s="303" t="s">
        <v>20</v>
      </c>
      <c r="C936" s="304">
        <f t="shared" si="14"/>
        <v>51148.65</v>
      </c>
      <c r="D936" s="281" cm="1">
        <f t="array" aca="1" ref="D936" ca="1">IF(Insumo[[#This Row],[VALOR]]=0,Insumo[TOTAL],E936/C936)</f>
        <v>0</v>
      </c>
      <c r="E936" s="69">
        <f ca="1">SUM(Insumo[[#This Row],[CAP1-3]:[CAP29]])</f>
        <v>0</v>
      </c>
      <c r="F936" s="69">
        <f ca="1">SUMIF('CAP1-3'!$B:$H,Insumo[[#This Row],[DESCRIPCION]],'CAP1-3'!$H:$H)</f>
        <v>0</v>
      </c>
      <c r="G936" s="69">
        <f ca="1">SUMIF('CAP4-5'!$B:$H,Insumo[[#This Row],[DESCRIPCION]],'CAP4-5'!$H:$H)</f>
        <v>0</v>
      </c>
      <c r="H936" s="69">
        <f ca="1">SUMIF('CAP6-7'!$B:$H,Insumo[[#This Row],[DESCRIPCION]],'CAP6-7'!$H:$H)</f>
        <v>0</v>
      </c>
      <c r="I936" s="69">
        <f ca="1">SUMIF('CAP8'!$B:$H,Insumo[[#This Row],[DESCRIPCION]],'CAP8'!$H:$H)</f>
        <v>0</v>
      </c>
      <c r="J936" s="69">
        <f ca="1">SUMIF('CAP9-13'!$B:$H,Insumo[[#This Row],[DESCRIPCION]],'CAP9-13'!$H:$H)</f>
        <v>0</v>
      </c>
      <c r="K936" s="69">
        <f ca="1">SUMIF('CAP14-15'!$B:$H,Insumo[[#This Row],[DESCRIPCION]],'CAP14-15'!$H:$H)</f>
        <v>0</v>
      </c>
      <c r="L936" s="69">
        <f ca="1">SUMIF('CAP16-18'!$B:$H,Insumo[[#This Row],[DESCRIPCION]],'CAP16-18'!$H:$H)</f>
        <v>0</v>
      </c>
      <c r="M936" s="69">
        <f ca="1">SUMIF('CAP19-22'!$B:$H,Insumo[[#This Row],[DESCRIPCION]],'CAP19-22'!$H:$H)</f>
        <v>0</v>
      </c>
      <c r="N936" s="69">
        <f ca="1">SUMIF('CAP23-24'!$B:$H,Insumo[[#This Row],[DESCRIPCION]],'CAP23-24'!$H:$H)</f>
        <v>0</v>
      </c>
      <c r="O936" s="69">
        <f ca="1">SUMIF('CAP25'!$B:$H,Insumo[[#This Row],[DESCRIPCION]],'CAP25'!$H:$H)</f>
        <v>0</v>
      </c>
      <c r="P936" s="69">
        <f ca="1">SUMIF('CAP26-28'!$B:$H,Insumo[[#This Row],[DESCRIPCION]],'CAP26-28'!$H:$H)</f>
        <v>0</v>
      </c>
      <c r="Q936" s="69">
        <f ca="1">SUMIF('CAP29'!$B:$H,Insumo[[#This Row],[DESCRIPCION]],'CAP29'!$H:$H)</f>
        <v>0</v>
      </c>
      <c r="T936" s="136">
        <v>48713</v>
      </c>
    </row>
    <row r="937" spans="1:20" ht="12" customHeight="1">
      <c r="A937" s="301" t="s">
        <v>3551</v>
      </c>
      <c r="B937" s="303" t="s">
        <v>30</v>
      </c>
      <c r="C937" s="304">
        <f t="shared" si="14"/>
        <v>9927.75</v>
      </c>
      <c r="D937" s="281" cm="1">
        <f t="array" aca="1" ref="D937" ca="1">IF(Insumo[[#This Row],[VALOR]]=0,Insumo[TOTAL],E937/C937)</f>
        <v>0</v>
      </c>
      <c r="E937" s="69">
        <f ca="1">SUM(Insumo[[#This Row],[CAP1-3]:[CAP29]])</f>
        <v>0</v>
      </c>
      <c r="F937" s="69">
        <f ca="1">SUMIF('CAP1-3'!$B:$H,Insumo[[#This Row],[DESCRIPCION]],'CAP1-3'!$H:$H)</f>
        <v>0</v>
      </c>
      <c r="G937" s="69">
        <f ca="1">SUMIF('CAP4-5'!$B:$H,Insumo[[#This Row],[DESCRIPCION]],'CAP4-5'!$H:$H)</f>
        <v>0</v>
      </c>
      <c r="H937" s="69">
        <f ca="1">SUMIF('CAP6-7'!$B:$H,Insumo[[#This Row],[DESCRIPCION]],'CAP6-7'!$H:$H)</f>
        <v>0</v>
      </c>
      <c r="I937" s="69">
        <f ca="1">SUMIF('CAP8'!$B:$H,Insumo[[#This Row],[DESCRIPCION]],'CAP8'!$H:$H)</f>
        <v>0</v>
      </c>
      <c r="J937" s="69">
        <f ca="1">SUMIF('CAP9-13'!$B:$H,Insumo[[#This Row],[DESCRIPCION]],'CAP9-13'!$H:$H)</f>
        <v>0</v>
      </c>
      <c r="K937" s="69">
        <f ca="1">SUMIF('CAP14-15'!$B:$H,Insumo[[#This Row],[DESCRIPCION]],'CAP14-15'!$H:$H)</f>
        <v>0</v>
      </c>
      <c r="L937" s="69">
        <f ca="1">SUMIF('CAP16-18'!$B:$H,Insumo[[#This Row],[DESCRIPCION]],'CAP16-18'!$H:$H)</f>
        <v>0</v>
      </c>
      <c r="M937" s="69">
        <f ca="1">SUMIF('CAP19-22'!$B:$H,Insumo[[#This Row],[DESCRIPCION]],'CAP19-22'!$H:$H)</f>
        <v>0</v>
      </c>
      <c r="N937" s="69">
        <f ca="1">SUMIF('CAP23-24'!$B:$H,Insumo[[#This Row],[DESCRIPCION]],'CAP23-24'!$H:$H)</f>
        <v>0</v>
      </c>
      <c r="O937" s="69">
        <f ca="1">SUMIF('CAP25'!$B:$H,Insumo[[#This Row],[DESCRIPCION]],'CAP25'!$H:$H)</f>
        <v>0</v>
      </c>
      <c r="P937" s="69">
        <f ca="1">SUMIF('CAP26-28'!$B:$H,Insumo[[#This Row],[DESCRIPCION]],'CAP26-28'!$H:$H)</f>
        <v>0</v>
      </c>
      <c r="Q937" s="69">
        <f ca="1">SUMIF('CAP29'!$B:$H,Insumo[[#This Row],[DESCRIPCION]],'CAP29'!$H:$H)</f>
        <v>0</v>
      </c>
      <c r="T937" s="136">
        <v>9455</v>
      </c>
    </row>
    <row r="938" spans="1:20" ht="12" customHeight="1">
      <c r="A938" s="301" t="s">
        <v>3552</v>
      </c>
      <c r="B938" s="303" t="s">
        <v>23</v>
      </c>
      <c r="C938" s="304">
        <f t="shared" si="14"/>
        <v>90930</v>
      </c>
      <c r="D938" s="281" cm="1">
        <f t="array" aca="1" ref="D938" ca="1">IF(Insumo[[#This Row],[VALOR]]=0,Insumo[TOTAL],E938/C938)</f>
        <v>0</v>
      </c>
      <c r="E938" s="69">
        <f ca="1">SUM(Insumo[[#This Row],[CAP1-3]:[CAP29]])</f>
        <v>0</v>
      </c>
      <c r="F938" s="69">
        <f ca="1">SUMIF('CAP1-3'!$B:$H,Insumo[[#This Row],[DESCRIPCION]],'CAP1-3'!$H:$H)</f>
        <v>0</v>
      </c>
      <c r="G938" s="69">
        <f ca="1">SUMIF('CAP4-5'!$B:$H,Insumo[[#This Row],[DESCRIPCION]],'CAP4-5'!$H:$H)</f>
        <v>0</v>
      </c>
      <c r="H938" s="69">
        <f ca="1">SUMIF('CAP6-7'!$B:$H,Insumo[[#This Row],[DESCRIPCION]],'CAP6-7'!$H:$H)</f>
        <v>0</v>
      </c>
      <c r="I938" s="69">
        <f ca="1">SUMIF('CAP8'!$B:$H,Insumo[[#This Row],[DESCRIPCION]],'CAP8'!$H:$H)</f>
        <v>0</v>
      </c>
      <c r="J938" s="69">
        <f ca="1">SUMIF('CAP9-13'!$B:$H,Insumo[[#This Row],[DESCRIPCION]],'CAP9-13'!$H:$H)</f>
        <v>0</v>
      </c>
      <c r="K938" s="69">
        <f ca="1">SUMIF('CAP14-15'!$B:$H,Insumo[[#This Row],[DESCRIPCION]],'CAP14-15'!$H:$H)</f>
        <v>0</v>
      </c>
      <c r="L938" s="69">
        <f ca="1">SUMIF('CAP16-18'!$B:$H,Insumo[[#This Row],[DESCRIPCION]],'CAP16-18'!$H:$H)</f>
        <v>0</v>
      </c>
      <c r="M938" s="69">
        <f ca="1">SUMIF('CAP19-22'!$B:$H,Insumo[[#This Row],[DESCRIPCION]],'CAP19-22'!$H:$H)</f>
        <v>0</v>
      </c>
      <c r="N938" s="69">
        <f ca="1">SUMIF('CAP23-24'!$B:$H,Insumo[[#This Row],[DESCRIPCION]],'CAP23-24'!$H:$H)</f>
        <v>0</v>
      </c>
      <c r="O938" s="69">
        <f ca="1">SUMIF('CAP25'!$B:$H,Insumo[[#This Row],[DESCRIPCION]],'CAP25'!$H:$H)</f>
        <v>0</v>
      </c>
      <c r="P938" s="69">
        <f ca="1">SUMIF('CAP26-28'!$B:$H,Insumo[[#This Row],[DESCRIPCION]],'CAP26-28'!$H:$H)</f>
        <v>0</v>
      </c>
      <c r="Q938" s="69">
        <f ca="1">SUMIF('CAP29'!$B:$H,Insumo[[#This Row],[DESCRIPCION]],'CAP29'!$H:$H)</f>
        <v>0</v>
      </c>
      <c r="T938" s="136">
        <v>86600</v>
      </c>
    </row>
    <row r="939" spans="1:20" ht="12" customHeight="1">
      <c r="A939" s="301" t="s">
        <v>3553</v>
      </c>
      <c r="B939" s="303" t="s">
        <v>23</v>
      </c>
      <c r="C939" s="304">
        <f t="shared" si="14"/>
        <v>4117.05</v>
      </c>
      <c r="D939" s="281" cm="1">
        <f t="array" aca="1" ref="D939" ca="1">IF(Insumo[[#This Row],[VALOR]]=0,Insumo[TOTAL],E939/C939)</f>
        <v>0</v>
      </c>
      <c r="E939" s="69">
        <f ca="1">SUM(Insumo[[#This Row],[CAP1-3]:[CAP29]])</f>
        <v>0</v>
      </c>
      <c r="F939" s="69">
        <f ca="1">SUMIF('CAP1-3'!$B:$H,Insumo[[#This Row],[DESCRIPCION]],'CAP1-3'!$H:$H)</f>
        <v>0</v>
      </c>
      <c r="G939" s="69">
        <f ca="1">SUMIF('CAP4-5'!$B:$H,Insumo[[#This Row],[DESCRIPCION]],'CAP4-5'!$H:$H)</f>
        <v>0</v>
      </c>
      <c r="H939" s="69">
        <f ca="1">SUMIF('CAP6-7'!$B:$H,Insumo[[#This Row],[DESCRIPCION]],'CAP6-7'!$H:$H)</f>
        <v>0</v>
      </c>
      <c r="I939" s="69">
        <f ca="1">SUMIF('CAP8'!$B:$H,Insumo[[#This Row],[DESCRIPCION]],'CAP8'!$H:$H)</f>
        <v>0</v>
      </c>
      <c r="J939" s="69">
        <f ca="1">SUMIF('CAP9-13'!$B:$H,Insumo[[#This Row],[DESCRIPCION]],'CAP9-13'!$H:$H)</f>
        <v>0</v>
      </c>
      <c r="K939" s="69">
        <f ca="1">SUMIF('CAP14-15'!$B:$H,Insumo[[#This Row],[DESCRIPCION]],'CAP14-15'!$H:$H)</f>
        <v>0</v>
      </c>
      <c r="L939" s="69">
        <f ca="1">SUMIF('CAP16-18'!$B:$H,Insumo[[#This Row],[DESCRIPCION]],'CAP16-18'!$H:$H)</f>
        <v>0</v>
      </c>
      <c r="M939" s="69">
        <f ca="1">SUMIF('CAP19-22'!$B:$H,Insumo[[#This Row],[DESCRIPCION]],'CAP19-22'!$H:$H)</f>
        <v>0</v>
      </c>
      <c r="N939" s="69">
        <f ca="1">SUMIF('CAP23-24'!$B:$H,Insumo[[#This Row],[DESCRIPCION]],'CAP23-24'!$H:$H)</f>
        <v>0</v>
      </c>
      <c r="O939" s="69">
        <f ca="1">SUMIF('CAP25'!$B:$H,Insumo[[#This Row],[DESCRIPCION]],'CAP25'!$H:$H)</f>
        <v>0</v>
      </c>
      <c r="P939" s="69">
        <f ca="1">SUMIF('CAP26-28'!$B:$H,Insumo[[#This Row],[DESCRIPCION]],'CAP26-28'!$H:$H)</f>
        <v>0</v>
      </c>
      <c r="Q939" s="69">
        <f ca="1">SUMIF('CAP29'!$B:$H,Insumo[[#This Row],[DESCRIPCION]],'CAP29'!$H:$H)</f>
        <v>0</v>
      </c>
      <c r="T939" s="136">
        <v>3921</v>
      </c>
    </row>
    <row r="940" spans="1:20" ht="12" customHeight="1">
      <c r="A940" s="301" t="s">
        <v>3554</v>
      </c>
      <c r="B940" s="303" t="s">
        <v>2662</v>
      </c>
      <c r="C940" s="304">
        <f t="shared" si="14"/>
        <v>157876.95000000001</v>
      </c>
      <c r="D940" s="281" cm="1">
        <f t="array" aca="1" ref="D940" ca="1">IF(Insumo[[#This Row],[VALOR]]=0,Insumo[TOTAL],E940/C940)</f>
        <v>0</v>
      </c>
      <c r="E940" s="69">
        <f ca="1">SUM(Insumo[[#This Row],[CAP1-3]:[CAP29]])</f>
        <v>0</v>
      </c>
      <c r="F940" s="69">
        <f ca="1">SUMIF('CAP1-3'!$B:$H,Insumo[[#This Row],[DESCRIPCION]],'CAP1-3'!$H:$H)</f>
        <v>0</v>
      </c>
      <c r="G940" s="69">
        <f ca="1">SUMIF('CAP4-5'!$B:$H,Insumo[[#This Row],[DESCRIPCION]],'CAP4-5'!$H:$H)</f>
        <v>0</v>
      </c>
      <c r="H940" s="69">
        <f ca="1">SUMIF('CAP6-7'!$B:$H,Insumo[[#This Row],[DESCRIPCION]],'CAP6-7'!$H:$H)</f>
        <v>0</v>
      </c>
      <c r="I940" s="69">
        <f ca="1">SUMIF('CAP8'!$B:$H,Insumo[[#This Row],[DESCRIPCION]],'CAP8'!$H:$H)</f>
        <v>0</v>
      </c>
      <c r="J940" s="69">
        <f ca="1">SUMIF('CAP9-13'!$B:$H,Insumo[[#This Row],[DESCRIPCION]],'CAP9-13'!$H:$H)</f>
        <v>0</v>
      </c>
      <c r="K940" s="69">
        <f ca="1">SUMIF('CAP14-15'!$B:$H,Insumo[[#This Row],[DESCRIPCION]],'CAP14-15'!$H:$H)</f>
        <v>0</v>
      </c>
      <c r="L940" s="69">
        <f ca="1">SUMIF('CAP16-18'!$B:$H,Insumo[[#This Row],[DESCRIPCION]],'CAP16-18'!$H:$H)</f>
        <v>0</v>
      </c>
      <c r="M940" s="69">
        <f ca="1">SUMIF('CAP19-22'!$B:$H,Insumo[[#This Row],[DESCRIPCION]],'CAP19-22'!$H:$H)</f>
        <v>0</v>
      </c>
      <c r="N940" s="69">
        <f ca="1">SUMIF('CAP23-24'!$B:$H,Insumo[[#This Row],[DESCRIPCION]],'CAP23-24'!$H:$H)</f>
        <v>0</v>
      </c>
      <c r="O940" s="69">
        <f ca="1">SUMIF('CAP25'!$B:$H,Insumo[[#This Row],[DESCRIPCION]],'CAP25'!$H:$H)</f>
        <v>0</v>
      </c>
      <c r="P940" s="69">
        <f ca="1">SUMIF('CAP26-28'!$B:$H,Insumo[[#This Row],[DESCRIPCION]],'CAP26-28'!$H:$H)</f>
        <v>0</v>
      </c>
      <c r="Q940" s="69">
        <f ca="1">SUMIF('CAP29'!$B:$H,Insumo[[#This Row],[DESCRIPCION]],'CAP29'!$H:$H)</f>
        <v>0</v>
      </c>
      <c r="R940" s="136" t="s">
        <v>3303</v>
      </c>
      <c r="T940" s="136">
        <v>150359</v>
      </c>
    </row>
    <row r="941" spans="1:20" ht="12" customHeight="1">
      <c r="A941" s="301" t="s">
        <v>3555</v>
      </c>
      <c r="B941" s="303" t="s">
        <v>23</v>
      </c>
      <c r="C941" s="304">
        <f t="shared" si="14"/>
        <v>14207.550000000001</v>
      </c>
      <c r="D941" s="281" cm="1">
        <f t="array" aca="1" ref="D941" ca="1">IF(Insumo[[#This Row],[VALOR]]=0,Insumo[TOTAL],E941/C941)</f>
        <v>0</v>
      </c>
      <c r="E941" s="69">
        <f ca="1">SUM(Insumo[[#This Row],[CAP1-3]:[CAP29]])</f>
        <v>0</v>
      </c>
      <c r="F941" s="69">
        <f ca="1">SUMIF('CAP1-3'!$B:$H,Insumo[[#This Row],[DESCRIPCION]],'CAP1-3'!$H:$H)</f>
        <v>0</v>
      </c>
      <c r="G941" s="69">
        <f ca="1">SUMIF('CAP4-5'!$B:$H,Insumo[[#This Row],[DESCRIPCION]],'CAP4-5'!$H:$H)</f>
        <v>0</v>
      </c>
      <c r="H941" s="69">
        <f ca="1">SUMIF('CAP6-7'!$B:$H,Insumo[[#This Row],[DESCRIPCION]],'CAP6-7'!$H:$H)</f>
        <v>0</v>
      </c>
      <c r="I941" s="69">
        <f ca="1">SUMIF('CAP8'!$B:$H,Insumo[[#This Row],[DESCRIPCION]],'CAP8'!$H:$H)</f>
        <v>0</v>
      </c>
      <c r="J941" s="69">
        <f ca="1">SUMIF('CAP9-13'!$B:$H,Insumo[[#This Row],[DESCRIPCION]],'CAP9-13'!$H:$H)</f>
        <v>0</v>
      </c>
      <c r="K941" s="69">
        <f ca="1">SUMIF('CAP14-15'!$B:$H,Insumo[[#This Row],[DESCRIPCION]],'CAP14-15'!$H:$H)</f>
        <v>0</v>
      </c>
      <c r="L941" s="69">
        <f ca="1">SUMIF('CAP16-18'!$B:$H,Insumo[[#This Row],[DESCRIPCION]],'CAP16-18'!$H:$H)</f>
        <v>0</v>
      </c>
      <c r="M941" s="69">
        <f ca="1">SUMIF('CAP19-22'!$B:$H,Insumo[[#This Row],[DESCRIPCION]],'CAP19-22'!$H:$H)</f>
        <v>0</v>
      </c>
      <c r="N941" s="69">
        <f ca="1">SUMIF('CAP23-24'!$B:$H,Insumo[[#This Row],[DESCRIPCION]],'CAP23-24'!$H:$H)</f>
        <v>0</v>
      </c>
      <c r="O941" s="69">
        <f ca="1">SUMIF('CAP25'!$B:$H,Insumo[[#This Row],[DESCRIPCION]],'CAP25'!$H:$H)</f>
        <v>0</v>
      </c>
      <c r="P941" s="69">
        <f ca="1">SUMIF('CAP26-28'!$B:$H,Insumo[[#This Row],[DESCRIPCION]],'CAP26-28'!$H:$H)</f>
        <v>0</v>
      </c>
      <c r="Q941" s="69">
        <f ca="1">SUMIF('CAP29'!$B:$H,Insumo[[#This Row],[DESCRIPCION]],'CAP29'!$H:$H)</f>
        <v>0</v>
      </c>
      <c r="R941" s="136" t="s">
        <v>3303</v>
      </c>
      <c r="T941" s="136">
        <v>13531</v>
      </c>
    </row>
    <row r="942" spans="1:20" ht="12" customHeight="1">
      <c r="A942" s="301" t="s">
        <v>3556</v>
      </c>
      <c r="B942" s="303" t="s">
        <v>23</v>
      </c>
      <c r="C942" s="304">
        <f t="shared" si="14"/>
        <v>3750.6000000000004</v>
      </c>
      <c r="D942" s="281" cm="1">
        <f t="array" aca="1" ref="D942" ca="1">IF(Insumo[[#This Row],[VALOR]]=0,Insumo[TOTAL],E942/C942)</f>
        <v>0</v>
      </c>
      <c r="E942" s="69">
        <f ca="1">SUM(Insumo[[#This Row],[CAP1-3]:[CAP29]])</f>
        <v>0</v>
      </c>
      <c r="F942" s="69">
        <f ca="1">SUMIF('CAP1-3'!$B:$H,Insumo[[#This Row],[DESCRIPCION]],'CAP1-3'!$H:$H)</f>
        <v>0</v>
      </c>
      <c r="G942" s="69">
        <f ca="1">SUMIF('CAP4-5'!$B:$H,Insumo[[#This Row],[DESCRIPCION]],'CAP4-5'!$H:$H)</f>
        <v>0</v>
      </c>
      <c r="H942" s="69">
        <f ca="1">SUMIF('CAP6-7'!$B:$H,Insumo[[#This Row],[DESCRIPCION]],'CAP6-7'!$H:$H)</f>
        <v>0</v>
      </c>
      <c r="I942" s="69">
        <f ca="1">SUMIF('CAP8'!$B:$H,Insumo[[#This Row],[DESCRIPCION]],'CAP8'!$H:$H)</f>
        <v>0</v>
      </c>
      <c r="J942" s="69">
        <f ca="1">SUMIF('CAP9-13'!$B:$H,Insumo[[#This Row],[DESCRIPCION]],'CAP9-13'!$H:$H)</f>
        <v>0</v>
      </c>
      <c r="K942" s="69">
        <f ca="1">SUMIF('CAP14-15'!$B:$H,Insumo[[#This Row],[DESCRIPCION]],'CAP14-15'!$H:$H)</f>
        <v>0</v>
      </c>
      <c r="L942" s="69">
        <f ca="1">SUMIF('CAP16-18'!$B:$H,Insumo[[#This Row],[DESCRIPCION]],'CAP16-18'!$H:$H)</f>
        <v>0</v>
      </c>
      <c r="M942" s="69">
        <f ca="1">SUMIF('CAP19-22'!$B:$H,Insumo[[#This Row],[DESCRIPCION]],'CAP19-22'!$H:$H)</f>
        <v>0</v>
      </c>
      <c r="N942" s="69">
        <f ca="1">SUMIF('CAP23-24'!$B:$H,Insumo[[#This Row],[DESCRIPCION]],'CAP23-24'!$H:$H)</f>
        <v>0</v>
      </c>
      <c r="O942" s="69">
        <f ca="1">SUMIF('CAP25'!$B:$H,Insumo[[#This Row],[DESCRIPCION]],'CAP25'!$H:$H)</f>
        <v>0</v>
      </c>
      <c r="P942" s="69">
        <f ca="1">SUMIF('CAP26-28'!$B:$H,Insumo[[#This Row],[DESCRIPCION]],'CAP26-28'!$H:$H)</f>
        <v>0</v>
      </c>
      <c r="Q942" s="69">
        <f ca="1">SUMIF('CAP29'!$B:$H,Insumo[[#This Row],[DESCRIPCION]],'CAP29'!$H:$H)</f>
        <v>0</v>
      </c>
      <c r="T942" s="136">
        <v>3572</v>
      </c>
    </row>
    <row r="943" spans="1:20" ht="12" customHeight="1">
      <c r="A943" s="301" t="s">
        <v>3557</v>
      </c>
      <c r="B943" s="303" t="s">
        <v>2662</v>
      </c>
      <c r="C943" s="304">
        <f t="shared" si="14"/>
        <v>206752.35</v>
      </c>
      <c r="D943" s="281" cm="1">
        <f t="array" aca="1" ref="D943" ca="1">IF(Insumo[[#This Row],[VALOR]]=0,Insumo[TOTAL],E943/C943)</f>
        <v>0</v>
      </c>
      <c r="E943" s="69">
        <f ca="1">SUM(Insumo[[#This Row],[CAP1-3]:[CAP29]])</f>
        <v>0</v>
      </c>
      <c r="F943" s="69">
        <f ca="1">SUMIF('CAP1-3'!$B:$H,Insumo[[#This Row],[DESCRIPCION]],'CAP1-3'!$H:$H)</f>
        <v>0</v>
      </c>
      <c r="G943" s="69">
        <f ca="1">SUMIF('CAP4-5'!$B:$H,Insumo[[#This Row],[DESCRIPCION]],'CAP4-5'!$H:$H)</f>
        <v>0</v>
      </c>
      <c r="H943" s="69">
        <f ca="1">SUMIF('CAP6-7'!$B:$H,Insumo[[#This Row],[DESCRIPCION]],'CAP6-7'!$H:$H)</f>
        <v>0</v>
      </c>
      <c r="I943" s="69">
        <f ca="1">SUMIF('CAP8'!$B:$H,Insumo[[#This Row],[DESCRIPCION]],'CAP8'!$H:$H)</f>
        <v>0</v>
      </c>
      <c r="J943" s="69">
        <f ca="1">SUMIF('CAP9-13'!$B:$H,Insumo[[#This Row],[DESCRIPCION]],'CAP9-13'!$H:$H)</f>
        <v>0</v>
      </c>
      <c r="K943" s="69">
        <f ca="1">SUMIF('CAP14-15'!$B:$H,Insumo[[#This Row],[DESCRIPCION]],'CAP14-15'!$H:$H)</f>
        <v>0</v>
      </c>
      <c r="L943" s="69">
        <f ca="1">SUMIF('CAP16-18'!$B:$H,Insumo[[#This Row],[DESCRIPCION]],'CAP16-18'!$H:$H)</f>
        <v>0</v>
      </c>
      <c r="M943" s="69">
        <f ca="1">SUMIF('CAP19-22'!$B:$H,Insumo[[#This Row],[DESCRIPCION]],'CAP19-22'!$H:$H)</f>
        <v>0</v>
      </c>
      <c r="N943" s="69">
        <f ca="1">SUMIF('CAP23-24'!$B:$H,Insumo[[#This Row],[DESCRIPCION]],'CAP23-24'!$H:$H)</f>
        <v>0</v>
      </c>
      <c r="O943" s="69">
        <f ca="1">SUMIF('CAP25'!$B:$H,Insumo[[#This Row],[DESCRIPCION]],'CAP25'!$H:$H)</f>
        <v>0</v>
      </c>
      <c r="P943" s="69">
        <f ca="1">SUMIF('CAP26-28'!$B:$H,Insumo[[#This Row],[DESCRIPCION]],'CAP26-28'!$H:$H)</f>
        <v>0</v>
      </c>
      <c r="Q943" s="69">
        <f ca="1">SUMIF('CAP29'!$B:$H,Insumo[[#This Row],[DESCRIPCION]],'CAP29'!$H:$H)</f>
        <v>0</v>
      </c>
      <c r="R943" s="136" t="s">
        <v>3303</v>
      </c>
      <c r="T943" s="136">
        <v>196907</v>
      </c>
    </row>
    <row r="944" spans="1:20" ht="12" customHeight="1">
      <c r="A944" s="301" t="s">
        <v>3558</v>
      </c>
      <c r="B944" s="303" t="s">
        <v>338</v>
      </c>
      <c r="C944" s="304">
        <f t="shared" si="14"/>
        <v>3978.4500000000003</v>
      </c>
      <c r="D944" s="281" cm="1">
        <f t="array" aca="1" ref="D944" ca="1">IF(Insumo[[#This Row],[VALOR]]=0,Insumo[TOTAL],E944/C944)</f>
        <v>0</v>
      </c>
      <c r="E944" s="69">
        <f ca="1">SUM(Insumo[[#This Row],[CAP1-3]:[CAP29]])</f>
        <v>0</v>
      </c>
      <c r="F944" s="69">
        <f ca="1">SUMIF('CAP1-3'!$B:$H,Insumo[[#This Row],[DESCRIPCION]],'CAP1-3'!$H:$H)</f>
        <v>0</v>
      </c>
      <c r="G944" s="69">
        <f ca="1">SUMIF('CAP4-5'!$B:$H,Insumo[[#This Row],[DESCRIPCION]],'CAP4-5'!$H:$H)</f>
        <v>0</v>
      </c>
      <c r="H944" s="69">
        <f ca="1">SUMIF('CAP6-7'!$B:$H,Insumo[[#This Row],[DESCRIPCION]],'CAP6-7'!$H:$H)</f>
        <v>0</v>
      </c>
      <c r="I944" s="69">
        <f ca="1">SUMIF('CAP8'!$B:$H,Insumo[[#This Row],[DESCRIPCION]],'CAP8'!$H:$H)</f>
        <v>0</v>
      </c>
      <c r="J944" s="69">
        <f ca="1">SUMIF('CAP9-13'!$B:$H,Insumo[[#This Row],[DESCRIPCION]],'CAP9-13'!$H:$H)</f>
        <v>0</v>
      </c>
      <c r="K944" s="69">
        <f ca="1">SUMIF('CAP14-15'!$B:$H,Insumo[[#This Row],[DESCRIPCION]],'CAP14-15'!$H:$H)</f>
        <v>0</v>
      </c>
      <c r="L944" s="69">
        <f ca="1">SUMIF('CAP16-18'!$B:$H,Insumo[[#This Row],[DESCRIPCION]],'CAP16-18'!$H:$H)</f>
        <v>0</v>
      </c>
      <c r="M944" s="69">
        <f ca="1">SUMIF('CAP19-22'!$B:$H,Insumo[[#This Row],[DESCRIPCION]],'CAP19-22'!$H:$H)</f>
        <v>0</v>
      </c>
      <c r="N944" s="69">
        <f ca="1">SUMIF('CAP23-24'!$B:$H,Insumo[[#This Row],[DESCRIPCION]],'CAP23-24'!$H:$H)</f>
        <v>0</v>
      </c>
      <c r="O944" s="69">
        <f ca="1">SUMIF('CAP25'!$B:$H,Insumo[[#This Row],[DESCRIPCION]],'CAP25'!$H:$H)</f>
        <v>0</v>
      </c>
      <c r="P944" s="69">
        <f ca="1">SUMIF('CAP26-28'!$B:$H,Insumo[[#This Row],[DESCRIPCION]],'CAP26-28'!$H:$H)</f>
        <v>0</v>
      </c>
      <c r="Q944" s="69">
        <f ca="1">SUMIF('CAP29'!$B:$H,Insumo[[#This Row],[DESCRIPCION]],'CAP29'!$H:$H)</f>
        <v>0</v>
      </c>
      <c r="T944" s="136">
        <v>3789</v>
      </c>
    </row>
    <row r="945" spans="1:18" ht="12" customHeight="1">
      <c r="A945" s="307" t="s">
        <v>3559</v>
      </c>
      <c r="B945" s="308"/>
      <c r="C945" s="307"/>
      <c r="D945" s="309"/>
      <c r="E945" s="307">
        <f ca="1">SUBTOTAL(109,Insumo[TOTAL])</f>
        <v>0</v>
      </c>
      <c r="F945" s="307">
        <f ca="1">SUBTOTAL(109,Insumo[CAP1-3])</f>
        <v>0</v>
      </c>
      <c r="G945" s="307">
        <f ca="1">SUBTOTAL(109,Insumo[CAP4-5])</f>
        <v>0</v>
      </c>
      <c r="H945" s="307">
        <f ca="1">SUBTOTAL(109,Insumo[CAP6-7])</f>
        <v>0</v>
      </c>
      <c r="I945" s="307">
        <f ca="1">SUBTOTAL(109,Insumo[CAP8])</f>
        <v>0</v>
      </c>
      <c r="J945" s="307">
        <f ca="1">SUBTOTAL(109,Insumo[CAP9-13])</f>
        <v>0</v>
      </c>
      <c r="K945" s="307">
        <f ca="1">SUBTOTAL(109,Insumo[CAP14-15])</f>
        <v>0</v>
      </c>
      <c r="L945" s="307">
        <f ca="1">SUBTOTAL(109,Insumo[CAP16-18])</f>
        <v>0</v>
      </c>
      <c r="M945" s="307">
        <f ca="1">SUBTOTAL(109,Insumo[CAP19-22])</f>
        <v>0</v>
      </c>
      <c r="N945" s="307">
        <f ca="1">SUBTOTAL(109,Insumo[CAP23-24])</f>
        <v>0</v>
      </c>
      <c r="O945" s="307">
        <f ca="1">SUBTOTAL(109,Insumo[CAP25])</f>
        <v>0</v>
      </c>
      <c r="P945" s="307">
        <f ca="1">SUBTOTAL(109,Insumo[CAP26-28])</f>
        <v>0</v>
      </c>
      <c r="Q945" s="307">
        <f ca="1">SUBTOTAL(109,Insumo[CAP29])</f>
        <v>0</v>
      </c>
      <c r="R945" s="310"/>
    </row>
    <row r="946" spans="1:18" ht="12" customHeight="1"/>
    <row r="947" spans="1:18" ht="12" customHeight="1"/>
    <row r="948" spans="1:18" ht="12" customHeight="1"/>
    <row r="949" spans="1:18" ht="12" customHeight="1"/>
    <row r="950" spans="1:18" ht="12" customHeight="1"/>
    <row r="951" spans="1:18" ht="12" customHeight="1"/>
    <row r="1245" spans="2:2" ht="12.75" customHeight="1">
      <c r="B1245" s="54"/>
    </row>
  </sheetData>
  <mergeCells count="9">
    <mergeCell ref="A3:D3"/>
    <mergeCell ref="E3:H3"/>
    <mergeCell ref="I3:L3"/>
    <mergeCell ref="M3:P3"/>
    <mergeCell ref="A1:D1"/>
    <mergeCell ref="A2:D2"/>
    <mergeCell ref="E2:H2"/>
    <mergeCell ref="I2:L2"/>
    <mergeCell ref="M2:P2"/>
  </mergeCells>
  <phoneticPr fontId="16" type="noConversion"/>
  <conditionalFormatting sqref="B5:B114 B132:B626 B636:B944">
    <cfRule type="cellIs" dxfId="1" priority="2" operator="equal">
      <formula>"pesos"</formula>
    </cfRule>
  </conditionalFormatting>
  <dataValidations count="1">
    <dataValidation type="list" allowBlank="1" showInputMessage="1" showErrorMessage="1" sqref="A35:A77" xr:uid="{00000000-0002-0000-0100-000000000000}">
      <formula1>Desinsum</formula1>
      <formula2>0</formula2>
    </dataValidation>
  </dataValidations>
  <printOptions horizontalCentered="1"/>
  <pageMargins left="0.59055118110236227" right="0.59055118110236227" top="0.59055118110236227" bottom="0.59055118110236227" header="0.51181102362204722" footer="0.51181102362204722"/>
  <pageSetup scale="70" orientation="portrait" horizontalDpi="300" verticalDpi="300" r:id="rId1"/>
  <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1271"/>
  <sheetViews>
    <sheetView view="pageBreakPreview" topLeftCell="A78" zoomScaleNormal="130" workbookViewId="0">
      <selection activeCell="C5" sqref="C5:C90"/>
    </sheetView>
  </sheetViews>
  <sheetFormatPr baseColWidth="10" defaultColWidth="10.73046875" defaultRowHeight="12.75" customHeight="1"/>
  <cols>
    <col min="1" max="1" width="70.73046875" style="136" customWidth="1"/>
    <col min="2" max="2" width="9.73046875" style="284" customWidth="1"/>
    <col min="3" max="3" width="13.73046875" style="136" customWidth="1"/>
    <col min="4" max="5" width="15.73046875" style="136" customWidth="1"/>
    <col min="6" max="6" width="16.73046875" style="136" bestFit="1" customWidth="1"/>
    <col min="7" max="19" width="15.73046875" style="136" customWidth="1"/>
    <col min="20" max="20" width="11.33203125" style="136" bestFit="1" customWidth="1"/>
    <col min="21" max="16384" width="10.73046875" style="136"/>
  </cols>
  <sheetData>
    <row r="1" spans="1:20" ht="12.75" customHeight="1">
      <c r="A1" s="318" t="str">
        <f>Presupuesto!A1</f>
        <v>ALCALDIA DE PEREIRA</v>
      </c>
      <c r="B1" s="318"/>
      <c r="C1" s="318"/>
      <c r="D1" s="318"/>
    </row>
    <row r="2" spans="1:20" ht="12.75" customHeight="1">
      <c r="A2" s="318" t="str">
        <f>Presupuesto!A2</f>
        <v>VERSION O BASE DE DATOS ALCALDIA DE PEREIRA 2026</v>
      </c>
      <c r="B2" s="318"/>
      <c r="C2" s="318"/>
      <c r="D2" s="318"/>
    </row>
    <row r="3" spans="1:20" ht="12.75" customHeight="1">
      <c r="A3" s="318" t="s">
        <v>3560</v>
      </c>
      <c r="B3" s="318"/>
      <c r="C3" s="318"/>
      <c r="D3" s="318"/>
    </row>
    <row r="4" spans="1:20" s="284" customFormat="1" ht="14.25">
      <c r="A4" s="285" t="s">
        <v>2586</v>
      </c>
      <c r="B4" s="285" t="s">
        <v>2587</v>
      </c>
      <c r="C4" s="285" t="s">
        <v>2588</v>
      </c>
      <c r="D4" s="285" t="s">
        <v>6</v>
      </c>
      <c r="E4" s="285" t="s">
        <v>2589</v>
      </c>
      <c r="F4" s="285" t="s">
        <v>3561</v>
      </c>
      <c r="G4" s="285" t="s">
        <v>3562</v>
      </c>
      <c r="H4" s="285" t="s">
        <v>3563</v>
      </c>
      <c r="I4" s="285" t="s">
        <v>2593</v>
      </c>
      <c r="J4" s="285" t="s">
        <v>3564</v>
      </c>
      <c r="K4" s="285" t="s">
        <v>3565</v>
      </c>
      <c r="L4" s="285" t="s">
        <v>3566</v>
      </c>
      <c r="M4" s="285" t="s">
        <v>3567</v>
      </c>
      <c r="N4" s="285" t="s">
        <v>3568</v>
      </c>
      <c r="O4" s="285" t="s">
        <v>2599</v>
      </c>
      <c r="P4" s="285" t="s">
        <v>3569</v>
      </c>
      <c r="Q4" s="285" t="s">
        <v>2601</v>
      </c>
      <c r="R4" s="277" t="s">
        <v>2602</v>
      </c>
      <c r="T4" s="298">
        <v>1.05</v>
      </c>
    </row>
    <row r="5" spans="1:20" ht="12.75" customHeight="1">
      <c r="A5" s="286" t="s">
        <v>3570</v>
      </c>
      <c r="B5" s="280" t="s">
        <v>3571</v>
      </c>
      <c r="C5" s="304">
        <f>T5*$T$4</f>
        <v>0</v>
      </c>
      <c r="D5" s="281">
        <f ca="1">IF(Equipo[[#This Row],[VALOR]]=0,Equipo[[#This Row],[TOTAL]],E5/C5)</f>
        <v>0</v>
      </c>
      <c r="E5" s="69">
        <f ca="1">SUM(Equipo[[#This Row],[CAP1]:[CAP29]])</f>
        <v>0</v>
      </c>
      <c r="F5" s="69">
        <f ca="1">SUMIF('CAP1-3'!$B:$H,Equipo[[#This Row],[DESCRIPCION]],'CAP1-3'!$H:$H)</f>
        <v>0</v>
      </c>
      <c r="G5" s="69">
        <f ca="1">SUMIF('CAP4-5'!$B:$H,Equipo[[#This Row],[DESCRIPCION]],'CAP4-5'!$H:$H)</f>
        <v>0</v>
      </c>
      <c r="H5" s="69">
        <f ca="1">SUMIF('CAP6-7'!$B:$H,Equipo[[#This Row],[DESCRIPCION]],'CAP6-7'!$H:$H)</f>
        <v>0</v>
      </c>
      <c r="I5" s="69">
        <f ca="1">SUMIF('CAP8'!$B:$H,Equipo[[#This Row],[DESCRIPCION]],'CAP8'!$H:$H)</f>
        <v>0</v>
      </c>
      <c r="J5" s="69">
        <f ca="1">SUMIF('CAP9-13'!$B:$H,Equipo[[#This Row],[DESCRIPCION]],'CAP9-13'!$H:$H)</f>
        <v>0</v>
      </c>
      <c r="K5" s="69">
        <f ca="1">SUMIF('CAP14-15'!$B:$H,Equipo[[#This Row],[DESCRIPCION]],'CAP14-15'!$H:$H)</f>
        <v>0</v>
      </c>
      <c r="L5" s="69">
        <f ca="1">SUMIF('CAP16-18'!$B:$H,Equipo[[#This Row],[DESCRIPCION]],'CAP16-18'!$H:$H)</f>
        <v>0</v>
      </c>
      <c r="M5" s="69">
        <f ca="1">SUMIF('CAP19-22'!$B:$H,Equipo[[#This Row],[DESCRIPCION]],'CAP19-22'!$H:$H)</f>
        <v>0</v>
      </c>
      <c r="N5" s="69">
        <f ca="1">SUMIF('CAP23-24'!$B:$H,Equipo[[#This Row],[DESCRIPCION]],'CAP23-24'!$H:$H)</f>
        <v>0</v>
      </c>
      <c r="O5" s="69">
        <f ca="1">SUMIF('CAP25'!$B:$H,Equipo[[#This Row],[DESCRIPCION]],'CAP25'!$H:$H)</f>
        <v>0</v>
      </c>
      <c r="P5" s="69">
        <f ca="1">SUMIF('CAP26-28'!$B:$H,Equipo[[#This Row],[DESCRIPCION]],'CAP26-28'!$H:$H)</f>
        <v>0</v>
      </c>
      <c r="Q5" s="69">
        <f ca="1">SUMIF('CAP29'!$B:$H,Equipo[[#This Row],[DESCRIPCION]],'CAP29'!$H:$H)</f>
        <v>0</v>
      </c>
      <c r="R5" s="287"/>
      <c r="T5" s="304">
        <v>0</v>
      </c>
    </row>
    <row r="6" spans="1:20" ht="12.75" customHeight="1">
      <c r="A6" s="286" t="s">
        <v>3572</v>
      </c>
      <c r="B6" s="280" t="s">
        <v>3571</v>
      </c>
      <c r="C6" s="304">
        <f t="shared" ref="C6:C69" si="0">T6*$T$4</f>
        <v>0</v>
      </c>
      <c r="D6" s="281">
        <f ca="1">IF(Equipo[[#This Row],[VALOR]]=0,Equipo[[#This Row],[TOTAL]],E6/C6)</f>
        <v>0</v>
      </c>
      <c r="E6" s="69">
        <f ca="1">SUM(Equipo[[#This Row],[CAP1]:[CAP29]])</f>
        <v>0</v>
      </c>
      <c r="F6" s="69">
        <f ca="1">SUMIF('CAP1-3'!$B:$H,Equipo[[#This Row],[DESCRIPCION]],'CAP1-3'!$H:$H)</f>
        <v>0</v>
      </c>
      <c r="G6" s="69">
        <f ca="1">SUMIF('CAP4-5'!$B:$H,Equipo[[#This Row],[DESCRIPCION]],'CAP4-5'!$H:$H)</f>
        <v>0</v>
      </c>
      <c r="H6" s="69">
        <f ca="1">SUMIF('CAP6-7'!$B:$H,Equipo[[#This Row],[DESCRIPCION]],'CAP6-7'!$H:$H)</f>
        <v>0</v>
      </c>
      <c r="I6" s="69">
        <f ca="1">SUMIF('CAP8'!$B:$H,Equipo[[#This Row],[DESCRIPCION]],'CAP8'!$H:$H)</f>
        <v>0</v>
      </c>
      <c r="J6" s="69">
        <f ca="1">SUMIF('CAP9-13'!$B:$H,Equipo[[#This Row],[DESCRIPCION]],'CAP9-13'!$H:$H)</f>
        <v>0</v>
      </c>
      <c r="K6" s="69">
        <f ca="1">SUMIF('CAP14-15'!$B:$H,Equipo[[#This Row],[DESCRIPCION]],'CAP14-15'!$H:$H)</f>
        <v>0</v>
      </c>
      <c r="L6" s="69">
        <f ca="1">SUMIF('CAP16-18'!$B:$H,Equipo[[#This Row],[DESCRIPCION]],'CAP16-18'!$H:$H)</f>
        <v>0</v>
      </c>
      <c r="M6" s="69">
        <f ca="1">SUMIF('CAP19-22'!$B:$H,Equipo[[#This Row],[DESCRIPCION]],'CAP19-22'!$H:$H)</f>
        <v>0</v>
      </c>
      <c r="N6" s="69">
        <f ca="1">SUMIF('CAP23-24'!$B:$H,Equipo[[#This Row],[DESCRIPCION]],'CAP23-24'!$H:$H)</f>
        <v>0</v>
      </c>
      <c r="O6" s="69">
        <f ca="1">SUMIF('CAP25'!$B:$H,Equipo[[#This Row],[DESCRIPCION]],'CAP25'!$H:$H)</f>
        <v>0</v>
      </c>
      <c r="P6" s="69">
        <f ca="1">SUMIF('CAP26-28'!$B:$H,Equipo[[#This Row],[DESCRIPCION]],'CAP26-28'!$H:$H)</f>
        <v>0</v>
      </c>
      <c r="Q6" s="69">
        <f ca="1">SUMIF('CAP29'!$B:$H,Equipo[[#This Row],[DESCRIPCION]],'CAP29'!$H:$H)</f>
        <v>0</v>
      </c>
      <c r="R6" s="287"/>
      <c r="T6" s="304">
        <v>0</v>
      </c>
    </row>
    <row r="7" spans="1:20" ht="12.75" customHeight="1">
      <c r="A7" s="286" t="s">
        <v>3573</v>
      </c>
      <c r="B7" s="280" t="s">
        <v>3571</v>
      </c>
      <c r="C7" s="304">
        <f t="shared" si="0"/>
        <v>2109.4500000000003</v>
      </c>
      <c r="D7" s="281">
        <f ca="1">IF(Equipo[[#This Row],[VALOR]]=0,Equipo[[#This Row],[TOTAL]],E7/C7)</f>
        <v>0</v>
      </c>
      <c r="E7" s="69">
        <f ca="1">SUM(Equipo[[#This Row],[CAP1]:[CAP29]])</f>
        <v>0</v>
      </c>
      <c r="F7" s="69">
        <f ca="1">SUMIF('CAP1-3'!$B:$H,Equipo[[#This Row],[DESCRIPCION]],'CAP1-3'!$H:$H)</f>
        <v>0</v>
      </c>
      <c r="G7" s="69">
        <f ca="1">SUMIF('CAP4-5'!$B:$H,Equipo[[#This Row],[DESCRIPCION]],'CAP4-5'!$H:$H)</f>
        <v>0</v>
      </c>
      <c r="H7" s="69">
        <f ca="1">SUMIF('CAP6-7'!$B:$H,Equipo[[#This Row],[DESCRIPCION]],'CAP6-7'!$H:$H)</f>
        <v>0</v>
      </c>
      <c r="I7" s="69">
        <f ca="1">SUMIF('CAP8'!$B:$H,Equipo[[#This Row],[DESCRIPCION]],'CAP8'!$H:$H)</f>
        <v>0</v>
      </c>
      <c r="J7" s="69">
        <f ca="1">SUMIF('CAP9-13'!$B:$H,Equipo[[#This Row],[DESCRIPCION]],'CAP9-13'!$H:$H)</f>
        <v>0</v>
      </c>
      <c r="K7" s="69">
        <f ca="1">SUMIF('CAP14-15'!$B:$H,Equipo[[#This Row],[DESCRIPCION]],'CAP14-15'!$H:$H)</f>
        <v>0</v>
      </c>
      <c r="L7" s="69">
        <f ca="1">SUMIF('CAP16-18'!$B:$H,Equipo[[#This Row],[DESCRIPCION]],'CAP16-18'!$H:$H)</f>
        <v>0</v>
      </c>
      <c r="M7" s="69">
        <f ca="1">SUMIF('CAP19-22'!$B:$H,Equipo[[#This Row],[DESCRIPCION]],'CAP19-22'!$H:$H)</f>
        <v>0</v>
      </c>
      <c r="N7" s="69">
        <f ca="1">SUMIF('CAP23-24'!$B:$H,Equipo[[#This Row],[DESCRIPCION]],'CAP23-24'!$H:$H)</f>
        <v>0</v>
      </c>
      <c r="O7" s="69">
        <f ca="1">SUMIF('CAP25'!$B:$H,Equipo[[#This Row],[DESCRIPCION]],'CAP25'!$H:$H)</f>
        <v>0</v>
      </c>
      <c r="P7" s="69">
        <f ca="1">SUMIF('CAP26-28'!$B:$H,Equipo[[#This Row],[DESCRIPCION]],'CAP26-28'!$H:$H)</f>
        <v>0</v>
      </c>
      <c r="Q7" s="69">
        <f ca="1">SUMIF('CAP29'!$B:$H,Equipo[[#This Row],[DESCRIPCION]],'CAP29'!$H:$H)</f>
        <v>0</v>
      </c>
      <c r="R7" s="287" t="s">
        <v>3574</v>
      </c>
      <c r="T7" s="304">
        <v>2009</v>
      </c>
    </row>
    <row r="8" spans="1:20" ht="12.75" customHeight="1">
      <c r="A8" s="286" t="s">
        <v>3575</v>
      </c>
      <c r="B8" s="280" t="s">
        <v>47</v>
      </c>
      <c r="C8" s="304">
        <f t="shared" si="0"/>
        <v>142078.65</v>
      </c>
      <c r="D8" s="281">
        <f ca="1">IF(Equipo[[#This Row],[VALOR]]=0,Equipo[[#This Row],[TOTAL]],E8/C8)</f>
        <v>0</v>
      </c>
      <c r="E8" s="69">
        <f ca="1">SUM(Equipo[[#This Row],[CAP1]:[CAP29]])</f>
        <v>0</v>
      </c>
      <c r="F8" s="69">
        <f ca="1">SUMIF('CAP1-3'!$B:$H,Equipo[[#This Row],[DESCRIPCION]],'CAP1-3'!$H:$H)</f>
        <v>0</v>
      </c>
      <c r="G8" s="69">
        <f ca="1">SUMIF('CAP4-5'!$B:$H,Equipo[[#This Row],[DESCRIPCION]],'CAP4-5'!$H:$H)</f>
        <v>0</v>
      </c>
      <c r="H8" s="69">
        <f ca="1">SUMIF('CAP6-7'!$B:$H,Equipo[[#This Row],[DESCRIPCION]],'CAP6-7'!$H:$H)</f>
        <v>0</v>
      </c>
      <c r="I8" s="69">
        <f ca="1">SUMIF('CAP8'!$B:$H,Equipo[[#This Row],[DESCRIPCION]],'CAP8'!$H:$H)</f>
        <v>0</v>
      </c>
      <c r="J8" s="69">
        <f ca="1">SUMIF('CAP9-13'!$B:$H,Equipo[[#This Row],[DESCRIPCION]],'CAP9-13'!$H:$H)</f>
        <v>0</v>
      </c>
      <c r="K8" s="69">
        <f ca="1">SUMIF('CAP14-15'!$B:$H,Equipo[[#This Row],[DESCRIPCION]],'CAP14-15'!$H:$H)</f>
        <v>0</v>
      </c>
      <c r="L8" s="69">
        <f ca="1">SUMIF('CAP16-18'!$B:$H,Equipo[[#This Row],[DESCRIPCION]],'CAP16-18'!$H:$H)</f>
        <v>0</v>
      </c>
      <c r="M8" s="69">
        <f ca="1">SUMIF('CAP19-22'!$B:$H,Equipo[[#This Row],[DESCRIPCION]],'CAP19-22'!$H:$H)</f>
        <v>0</v>
      </c>
      <c r="N8" s="69">
        <f ca="1">SUMIF('CAP23-24'!$B:$H,Equipo[[#This Row],[DESCRIPCION]],'CAP23-24'!$H:$H)</f>
        <v>0</v>
      </c>
      <c r="O8" s="69">
        <f ca="1">SUMIF('CAP25'!$B:$H,Equipo[[#This Row],[DESCRIPCION]],'CAP25'!$H:$H)</f>
        <v>0</v>
      </c>
      <c r="P8" s="69">
        <f ca="1">SUMIF('CAP26-28'!$B:$H,Equipo[[#This Row],[DESCRIPCION]],'CAP26-28'!$H:$H)</f>
        <v>0</v>
      </c>
      <c r="Q8" s="69">
        <f ca="1">SUMIF('CAP29'!$B:$H,Equipo[[#This Row],[DESCRIPCION]],'CAP29'!$H:$H)</f>
        <v>0</v>
      </c>
      <c r="R8" s="287"/>
      <c r="T8" s="304">
        <v>135313</v>
      </c>
    </row>
    <row r="9" spans="1:20" ht="12.75" customHeight="1">
      <c r="A9" s="286" t="s">
        <v>3576</v>
      </c>
      <c r="B9" s="280" t="s">
        <v>17</v>
      </c>
      <c r="C9" s="304">
        <f t="shared" si="0"/>
        <v>1022962.5</v>
      </c>
      <c r="D9" s="281">
        <f ca="1">IF(Equipo[[#This Row],[VALOR]]=0,Equipo[[#This Row],[TOTAL]],E9/C9)</f>
        <v>5</v>
      </c>
      <c r="E9" s="69">
        <f ca="1">SUM(Equipo[[#This Row],[CAP1]:[CAP29]])</f>
        <v>5114812.5</v>
      </c>
      <c r="F9" s="69">
        <f ca="1">SUMIF('CAP1-3'!$B:$H,Equipo[[#This Row],[DESCRIPCION]],'CAP1-3'!$H:$H)</f>
        <v>5114812.5</v>
      </c>
      <c r="G9" s="69">
        <f ca="1">SUMIF('CAP4-5'!$B:$H,Equipo[[#This Row],[DESCRIPCION]],'CAP4-5'!$H:$H)</f>
        <v>0</v>
      </c>
      <c r="H9" s="69">
        <f ca="1">SUMIF('CAP6-7'!$B:$H,Equipo[[#This Row],[DESCRIPCION]],'CAP6-7'!$H:$H)</f>
        <v>0</v>
      </c>
      <c r="I9" s="69">
        <f ca="1">SUMIF('CAP8'!$B:$H,Equipo[[#This Row],[DESCRIPCION]],'CAP8'!$H:$H)</f>
        <v>0</v>
      </c>
      <c r="J9" s="69">
        <f ca="1">SUMIF('CAP9-13'!$B:$H,Equipo[[#This Row],[DESCRIPCION]],'CAP9-13'!$H:$H)</f>
        <v>0</v>
      </c>
      <c r="K9" s="69">
        <f ca="1">SUMIF('CAP14-15'!$B:$H,Equipo[[#This Row],[DESCRIPCION]],'CAP14-15'!$H:$H)</f>
        <v>0</v>
      </c>
      <c r="L9" s="69">
        <f ca="1">SUMIF('CAP16-18'!$B:$H,Equipo[[#This Row],[DESCRIPCION]],'CAP16-18'!$H:$H)</f>
        <v>0</v>
      </c>
      <c r="M9" s="69">
        <f ca="1">SUMIF('CAP19-22'!$B:$H,Equipo[[#This Row],[DESCRIPCION]],'CAP19-22'!$H:$H)</f>
        <v>0</v>
      </c>
      <c r="N9" s="69">
        <f ca="1">SUMIF('CAP23-24'!$B:$H,Equipo[[#This Row],[DESCRIPCION]],'CAP23-24'!$H:$H)</f>
        <v>0</v>
      </c>
      <c r="O9" s="69">
        <f ca="1">SUMIF('CAP25'!$B:$H,Equipo[[#This Row],[DESCRIPCION]],'CAP25'!$H:$H)</f>
        <v>0</v>
      </c>
      <c r="P9" s="69">
        <f ca="1">SUMIF('CAP26-28'!$B:$H,Equipo[[#This Row],[DESCRIPCION]],'CAP26-28'!$H:$H)</f>
        <v>0</v>
      </c>
      <c r="Q9" s="69">
        <f ca="1">SUMIF('CAP29'!$B:$H,Equipo[[#This Row],[DESCRIPCION]],'CAP29'!$H:$H)</f>
        <v>0</v>
      </c>
      <c r="R9" s="287" t="s">
        <v>3577</v>
      </c>
      <c r="T9" s="304">
        <v>974250</v>
      </c>
    </row>
    <row r="10" spans="1:20" ht="12.75" customHeight="1">
      <c r="A10" s="286" t="s">
        <v>3578</v>
      </c>
      <c r="B10" s="280" t="s">
        <v>47</v>
      </c>
      <c r="C10" s="304">
        <f t="shared" si="0"/>
        <v>107979.90000000001</v>
      </c>
      <c r="D10" s="281">
        <f ca="1">IF(Equipo[[#This Row],[VALOR]]=0,Equipo[[#This Row],[TOTAL]],E10/C10)</f>
        <v>0</v>
      </c>
      <c r="E10" s="69">
        <f ca="1">SUM(Equipo[[#This Row],[CAP1]:[CAP29]])</f>
        <v>0</v>
      </c>
      <c r="F10" s="69">
        <f ca="1">SUMIF('CAP1-3'!$B:$H,Equipo[[#This Row],[DESCRIPCION]],'CAP1-3'!$H:$H)</f>
        <v>0</v>
      </c>
      <c r="G10" s="69">
        <f ca="1">SUMIF('CAP4-5'!$B:$H,Equipo[[#This Row],[DESCRIPCION]],'CAP4-5'!$H:$H)</f>
        <v>0</v>
      </c>
      <c r="H10" s="69">
        <f ca="1">SUMIF('CAP6-7'!$B:$H,Equipo[[#This Row],[DESCRIPCION]],'CAP6-7'!$H:$H)</f>
        <v>0</v>
      </c>
      <c r="I10" s="69">
        <f ca="1">SUMIF('CAP8'!$B:$H,Equipo[[#This Row],[DESCRIPCION]],'CAP8'!$H:$H)</f>
        <v>0</v>
      </c>
      <c r="J10" s="69">
        <f ca="1">SUMIF('CAP9-13'!$B:$H,Equipo[[#This Row],[DESCRIPCION]],'CAP9-13'!$H:$H)</f>
        <v>0</v>
      </c>
      <c r="K10" s="69">
        <f ca="1">SUMIF('CAP14-15'!$B:$H,Equipo[[#This Row],[DESCRIPCION]],'CAP14-15'!$H:$H)</f>
        <v>0</v>
      </c>
      <c r="L10" s="69">
        <f ca="1">SUMIF('CAP16-18'!$B:$H,Equipo[[#This Row],[DESCRIPCION]],'CAP16-18'!$H:$H)</f>
        <v>0</v>
      </c>
      <c r="M10" s="69">
        <f ca="1">SUMIF('CAP19-22'!$B:$H,Equipo[[#This Row],[DESCRIPCION]],'CAP19-22'!$H:$H)</f>
        <v>0</v>
      </c>
      <c r="N10" s="69">
        <f ca="1">SUMIF('CAP23-24'!$B:$H,Equipo[[#This Row],[DESCRIPCION]],'CAP23-24'!$H:$H)</f>
        <v>0</v>
      </c>
      <c r="O10" s="69">
        <f ca="1">SUMIF('CAP25'!$B:$H,Equipo[[#This Row],[DESCRIPCION]],'CAP25'!$H:$H)</f>
        <v>0</v>
      </c>
      <c r="P10" s="69">
        <f ca="1">SUMIF('CAP26-28'!$B:$H,Equipo[[#This Row],[DESCRIPCION]],'CAP26-28'!$H:$H)</f>
        <v>0</v>
      </c>
      <c r="Q10" s="69">
        <f ca="1">SUMIF('CAP29'!$B:$H,Equipo[[#This Row],[DESCRIPCION]],'CAP29'!$H:$H)</f>
        <v>0</v>
      </c>
      <c r="R10" s="287"/>
      <c r="T10" s="304">
        <v>102838</v>
      </c>
    </row>
    <row r="11" spans="1:20" ht="12.75" customHeight="1">
      <c r="A11" s="286" t="s">
        <v>3579</v>
      </c>
      <c r="B11" s="280" t="s">
        <v>47</v>
      </c>
      <c r="C11" s="304">
        <f t="shared" si="0"/>
        <v>210276.15000000002</v>
      </c>
      <c r="D11" s="281">
        <f ca="1">IF(Equipo[[#This Row],[VALOR]]=0,Equipo[[#This Row],[TOTAL]],E11/C11)</f>
        <v>0</v>
      </c>
      <c r="E11" s="69">
        <f ca="1">SUM(Equipo[[#This Row],[CAP1]:[CAP29]])</f>
        <v>0</v>
      </c>
      <c r="F11" s="69">
        <f ca="1">SUMIF('CAP1-3'!$B:$H,Equipo[[#This Row],[DESCRIPCION]],'CAP1-3'!$H:$H)</f>
        <v>0</v>
      </c>
      <c r="G11" s="69">
        <f ca="1">SUMIF('CAP4-5'!$B:$H,Equipo[[#This Row],[DESCRIPCION]],'CAP4-5'!$H:$H)</f>
        <v>0</v>
      </c>
      <c r="H11" s="69">
        <f ca="1">SUMIF('CAP6-7'!$B:$H,Equipo[[#This Row],[DESCRIPCION]],'CAP6-7'!$H:$H)</f>
        <v>0</v>
      </c>
      <c r="I11" s="69">
        <f ca="1">SUMIF('CAP8'!$B:$H,Equipo[[#This Row],[DESCRIPCION]],'CAP8'!$H:$H)</f>
        <v>0</v>
      </c>
      <c r="J11" s="69">
        <f ca="1">SUMIF('CAP9-13'!$B:$H,Equipo[[#This Row],[DESCRIPCION]],'CAP9-13'!$H:$H)</f>
        <v>0</v>
      </c>
      <c r="K11" s="69">
        <f ca="1">SUMIF('CAP14-15'!$B:$H,Equipo[[#This Row],[DESCRIPCION]],'CAP14-15'!$H:$H)</f>
        <v>0</v>
      </c>
      <c r="L11" s="69">
        <f ca="1">SUMIF('CAP16-18'!$B:$H,Equipo[[#This Row],[DESCRIPCION]],'CAP16-18'!$H:$H)</f>
        <v>0</v>
      </c>
      <c r="M11" s="69">
        <f ca="1">SUMIF('CAP19-22'!$B:$H,Equipo[[#This Row],[DESCRIPCION]],'CAP19-22'!$H:$H)</f>
        <v>0</v>
      </c>
      <c r="N11" s="69">
        <f ca="1">SUMIF('CAP23-24'!$B:$H,Equipo[[#This Row],[DESCRIPCION]],'CAP23-24'!$H:$H)</f>
        <v>0</v>
      </c>
      <c r="O11" s="69">
        <f ca="1">SUMIF('CAP25'!$B:$H,Equipo[[#This Row],[DESCRIPCION]],'CAP25'!$H:$H)</f>
        <v>0</v>
      </c>
      <c r="P11" s="69">
        <f ca="1">SUMIF('CAP26-28'!$B:$H,Equipo[[#This Row],[DESCRIPCION]],'CAP26-28'!$H:$H)</f>
        <v>0</v>
      </c>
      <c r="Q11" s="69">
        <f ca="1">SUMIF('CAP29'!$B:$H,Equipo[[#This Row],[DESCRIPCION]],'CAP29'!$H:$H)</f>
        <v>0</v>
      </c>
      <c r="R11" s="287"/>
      <c r="T11" s="304">
        <v>200263</v>
      </c>
    </row>
    <row r="12" spans="1:20" ht="12.75" customHeight="1">
      <c r="A12" s="286" t="s">
        <v>3580</v>
      </c>
      <c r="B12" s="280" t="s">
        <v>52</v>
      </c>
      <c r="C12" s="304">
        <f t="shared" si="0"/>
        <v>82902.75</v>
      </c>
      <c r="D12" s="281">
        <f ca="1">IF(Equipo[[#This Row],[VALOR]]=0,Equipo[[#This Row],[TOTAL]],E12/C12)</f>
        <v>0</v>
      </c>
      <c r="E12" s="69">
        <f ca="1">SUM(Equipo[[#This Row],[CAP1]:[CAP29]])</f>
        <v>0</v>
      </c>
      <c r="F12" s="69">
        <f ca="1">SUMIF('CAP1-3'!$B:$H,Equipo[[#This Row],[DESCRIPCION]],'CAP1-3'!$H:$H)</f>
        <v>0</v>
      </c>
      <c r="G12" s="69">
        <f ca="1">SUMIF('CAP4-5'!$B:$H,Equipo[[#This Row],[DESCRIPCION]],'CAP4-5'!$H:$H)</f>
        <v>0</v>
      </c>
      <c r="H12" s="69">
        <f ca="1">SUMIF('CAP6-7'!$B:$H,Equipo[[#This Row],[DESCRIPCION]],'CAP6-7'!$H:$H)</f>
        <v>0</v>
      </c>
      <c r="I12" s="69">
        <f ca="1">SUMIF('CAP8'!$B:$H,Equipo[[#This Row],[DESCRIPCION]],'CAP8'!$H:$H)</f>
        <v>0</v>
      </c>
      <c r="J12" s="69">
        <f ca="1">SUMIF('CAP9-13'!$B:$H,Equipo[[#This Row],[DESCRIPCION]],'CAP9-13'!$H:$H)</f>
        <v>0</v>
      </c>
      <c r="K12" s="69">
        <f ca="1">SUMIF('CAP14-15'!$B:$H,Equipo[[#This Row],[DESCRIPCION]],'CAP14-15'!$H:$H)</f>
        <v>0</v>
      </c>
      <c r="L12" s="69">
        <f ca="1">SUMIF('CAP16-18'!$B:$H,Equipo[[#This Row],[DESCRIPCION]],'CAP16-18'!$H:$H)</f>
        <v>0</v>
      </c>
      <c r="M12" s="69">
        <f ca="1">SUMIF('CAP19-22'!$B:$H,Equipo[[#This Row],[DESCRIPCION]],'CAP19-22'!$H:$H)</f>
        <v>0</v>
      </c>
      <c r="N12" s="69">
        <f ca="1">SUMIF('CAP23-24'!$B:$H,Equipo[[#This Row],[DESCRIPCION]],'CAP23-24'!$H:$H)</f>
        <v>0</v>
      </c>
      <c r="O12" s="69">
        <f ca="1">SUMIF('CAP25'!$B:$H,Equipo[[#This Row],[DESCRIPCION]],'CAP25'!$H:$H)</f>
        <v>0</v>
      </c>
      <c r="P12" s="69">
        <f ca="1">SUMIF('CAP26-28'!$B:$H,Equipo[[#This Row],[DESCRIPCION]],'CAP26-28'!$H:$H)</f>
        <v>0</v>
      </c>
      <c r="Q12" s="69">
        <f ca="1">SUMIF('CAP29'!$B:$H,Equipo[[#This Row],[DESCRIPCION]],'CAP29'!$H:$H)</f>
        <v>0</v>
      </c>
      <c r="R12" s="287"/>
      <c r="T12" s="304">
        <v>78955</v>
      </c>
    </row>
    <row r="13" spans="1:20" ht="12.75" customHeight="1">
      <c r="A13" s="286" t="s">
        <v>3581</v>
      </c>
      <c r="B13" s="280" t="s">
        <v>3582</v>
      </c>
      <c r="C13" s="304">
        <f t="shared" si="0"/>
        <v>90174</v>
      </c>
      <c r="D13" s="281">
        <f ca="1">IF(Equipo[[#This Row],[VALOR]]=0,Equipo[[#This Row],[TOTAL]],E13/C13)</f>
        <v>0</v>
      </c>
      <c r="E13" s="69">
        <f ca="1">SUM(Equipo[[#This Row],[CAP1]:[CAP29]])</f>
        <v>0</v>
      </c>
      <c r="F13" s="69">
        <f ca="1">SUMIF('CAP1-3'!$B:$H,Equipo[[#This Row],[DESCRIPCION]],'CAP1-3'!$H:$H)</f>
        <v>0</v>
      </c>
      <c r="G13" s="69">
        <f ca="1">SUMIF('CAP4-5'!$B:$H,Equipo[[#This Row],[DESCRIPCION]],'CAP4-5'!$H:$H)</f>
        <v>0</v>
      </c>
      <c r="H13" s="69">
        <f ca="1">SUMIF('CAP6-7'!$B:$H,Equipo[[#This Row],[DESCRIPCION]],'CAP6-7'!$H:$H)</f>
        <v>0</v>
      </c>
      <c r="I13" s="69">
        <f ca="1">SUMIF('CAP8'!$B:$H,Equipo[[#This Row],[DESCRIPCION]],'CAP8'!$H:$H)</f>
        <v>0</v>
      </c>
      <c r="J13" s="69">
        <f ca="1">SUMIF('CAP9-13'!$B:$H,Equipo[[#This Row],[DESCRIPCION]],'CAP9-13'!$H:$H)</f>
        <v>0</v>
      </c>
      <c r="K13" s="69">
        <f ca="1">SUMIF('CAP14-15'!$B:$H,Equipo[[#This Row],[DESCRIPCION]],'CAP14-15'!$H:$H)</f>
        <v>0</v>
      </c>
      <c r="L13" s="69">
        <f ca="1">SUMIF('CAP16-18'!$B:$H,Equipo[[#This Row],[DESCRIPCION]],'CAP16-18'!$H:$H)</f>
        <v>0</v>
      </c>
      <c r="M13" s="69">
        <f ca="1">SUMIF('CAP19-22'!$B:$H,Equipo[[#This Row],[DESCRIPCION]],'CAP19-22'!$H:$H)</f>
        <v>0</v>
      </c>
      <c r="N13" s="69">
        <f ca="1">SUMIF('CAP23-24'!$B:$H,Equipo[[#This Row],[DESCRIPCION]],'CAP23-24'!$H:$H)</f>
        <v>0</v>
      </c>
      <c r="O13" s="69">
        <f ca="1">SUMIF('CAP25'!$B:$H,Equipo[[#This Row],[DESCRIPCION]],'CAP25'!$H:$H)</f>
        <v>0</v>
      </c>
      <c r="P13" s="69">
        <f ca="1">SUMIF('CAP26-28'!$B:$H,Equipo[[#This Row],[DESCRIPCION]],'CAP26-28'!$H:$H)</f>
        <v>0</v>
      </c>
      <c r="Q13" s="69">
        <f ca="1">SUMIF('CAP29'!$B:$H,Equipo[[#This Row],[DESCRIPCION]],'CAP29'!$H:$H)</f>
        <v>0</v>
      </c>
      <c r="R13" s="287"/>
      <c r="T13" s="304">
        <v>85880</v>
      </c>
    </row>
    <row r="14" spans="1:20" ht="12.75" customHeight="1">
      <c r="A14" s="286" t="s">
        <v>3583</v>
      </c>
      <c r="B14" s="280" t="s">
        <v>3582</v>
      </c>
      <c r="C14" s="304">
        <f t="shared" si="0"/>
        <v>62514.9</v>
      </c>
      <c r="D14" s="281">
        <f ca="1">IF(Equipo[[#This Row],[VALOR]]=0,Equipo[[#This Row],[TOTAL]],E14/C14)</f>
        <v>0</v>
      </c>
      <c r="E14" s="69">
        <f ca="1">SUM(Equipo[[#This Row],[CAP1]:[CAP29]])</f>
        <v>0</v>
      </c>
      <c r="F14" s="69">
        <f ca="1">SUMIF('CAP1-3'!$B:$H,Equipo[[#This Row],[DESCRIPCION]],'CAP1-3'!$H:$H)</f>
        <v>0</v>
      </c>
      <c r="G14" s="69">
        <f ca="1">SUMIF('CAP4-5'!$B:$H,Equipo[[#This Row],[DESCRIPCION]],'CAP4-5'!$H:$H)</f>
        <v>0</v>
      </c>
      <c r="H14" s="69">
        <f ca="1">SUMIF('CAP6-7'!$B:$H,Equipo[[#This Row],[DESCRIPCION]],'CAP6-7'!$H:$H)</f>
        <v>0</v>
      </c>
      <c r="I14" s="69">
        <f ca="1">SUMIF('CAP8'!$B:$H,Equipo[[#This Row],[DESCRIPCION]],'CAP8'!$H:$H)</f>
        <v>0</v>
      </c>
      <c r="J14" s="69">
        <f ca="1">SUMIF('CAP9-13'!$B:$H,Equipo[[#This Row],[DESCRIPCION]],'CAP9-13'!$H:$H)</f>
        <v>0</v>
      </c>
      <c r="K14" s="69">
        <f ca="1">SUMIF('CAP14-15'!$B:$H,Equipo[[#This Row],[DESCRIPCION]],'CAP14-15'!$H:$H)</f>
        <v>0</v>
      </c>
      <c r="L14" s="69">
        <f ca="1">SUMIF('CAP16-18'!$B:$H,Equipo[[#This Row],[DESCRIPCION]],'CAP16-18'!$H:$H)</f>
        <v>0</v>
      </c>
      <c r="M14" s="69">
        <f ca="1">SUMIF('CAP19-22'!$B:$H,Equipo[[#This Row],[DESCRIPCION]],'CAP19-22'!$H:$H)</f>
        <v>0</v>
      </c>
      <c r="N14" s="69">
        <f ca="1">SUMIF('CAP23-24'!$B:$H,Equipo[[#This Row],[DESCRIPCION]],'CAP23-24'!$H:$H)</f>
        <v>0</v>
      </c>
      <c r="O14" s="69">
        <f ca="1">SUMIF('CAP25'!$B:$H,Equipo[[#This Row],[DESCRIPCION]],'CAP25'!$H:$H)</f>
        <v>0</v>
      </c>
      <c r="P14" s="69">
        <f ca="1">SUMIF('CAP26-28'!$B:$H,Equipo[[#This Row],[DESCRIPCION]],'CAP26-28'!$H:$H)</f>
        <v>0</v>
      </c>
      <c r="Q14" s="69">
        <f ca="1">SUMIF('CAP29'!$B:$H,Equipo[[#This Row],[DESCRIPCION]],'CAP29'!$H:$H)</f>
        <v>0</v>
      </c>
      <c r="R14" s="288"/>
      <c r="T14" s="304">
        <v>59538</v>
      </c>
    </row>
    <row r="15" spans="1:20" ht="12.75" customHeight="1">
      <c r="A15" s="286" t="s">
        <v>3584</v>
      </c>
      <c r="B15" s="280" t="s">
        <v>3582</v>
      </c>
      <c r="C15" s="304">
        <f t="shared" si="0"/>
        <v>56831.25</v>
      </c>
      <c r="D15" s="281">
        <f ca="1">IF(Equipo[[#This Row],[VALOR]]=0,Equipo[[#This Row],[TOTAL]],E15/C15)</f>
        <v>0</v>
      </c>
      <c r="E15" s="69">
        <f ca="1">SUM(Equipo[[#This Row],[CAP1]:[CAP29]])</f>
        <v>0</v>
      </c>
      <c r="F15" s="69">
        <f ca="1">SUMIF('CAP1-3'!$B:$H,Equipo[[#This Row],[DESCRIPCION]],'CAP1-3'!$H:$H)</f>
        <v>0</v>
      </c>
      <c r="G15" s="69">
        <f ca="1">SUMIF('CAP4-5'!$B:$H,Equipo[[#This Row],[DESCRIPCION]],'CAP4-5'!$H:$H)</f>
        <v>0</v>
      </c>
      <c r="H15" s="69">
        <f ca="1">SUMIF('CAP6-7'!$B:$H,Equipo[[#This Row],[DESCRIPCION]],'CAP6-7'!$H:$H)</f>
        <v>0</v>
      </c>
      <c r="I15" s="69">
        <f ca="1">SUMIF('CAP8'!$B:$H,Equipo[[#This Row],[DESCRIPCION]],'CAP8'!$H:$H)</f>
        <v>0</v>
      </c>
      <c r="J15" s="69">
        <f ca="1">SUMIF('CAP9-13'!$B:$H,Equipo[[#This Row],[DESCRIPCION]],'CAP9-13'!$H:$H)</f>
        <v>0</v>
      </c>
      <c r="K15" s="69">
        <f ca="1">SUMIF('CAP14-15'!$B:$H,Equipo[[#This Row],[DESCRIPCION]],'CAP14-15'!$H:$H)</f>
        <v>0</v>
      </c>
      <c r="L15" s="69">
        <f ca="1">SUMIF('CAP16-18'!$B:$H,Equipo[[#This Row],[DESCRIPCION]],'CAP16-18'!$H:$H)</f>
        <v>0</v>
      </c>
      <c r="M15" s="69">
        <f ca="1">SUMIF('CAP19-22'!$B:$H,Equipo[[#This Row],[DESCRIPCION]],'CAP19-22'!$H:$H)</f>
        <v>0</v>
      </c>
      <c r="N15" s="69">
        <f ca="1">SUMIF('CAP23-24'!$B:$H,Equipo[[#This Row],[DESCRIPCION]],'CAP23-24'!$H:$H)</f>
        <v>0</v>
      </c>
      <c r="O15" s="69">
        <f ca="1">SUMIF('CAP25'!$B:$H,Equipo[[#This Row],[DESCRIPCION]],'CAP25'!$H:$H)</f>
        <v>0</v>
      </c>
      <c r="P15" s="69">
        <f ca="1">SUMIF('CAP26-28'!$B:$H,Equipo[[#This Row],[DESCRIPCION]],'CAP26-28'!$H:$H)</f>
        <v>0</v>
      </c>
      <c r="Q15" s="69">
        <f ca="1">SUMIF('CAP29'!$B:$H,Equipo[[#This Row],[DESCRIPCION]],'CAP29'!$H:$H)</f>
        <v>0</v>
      </c>
      <c r="R15" s="288"/>
      <c r="T15" s="304">
        <v>54125</v>
      </c>
    </row>
    <row r="16" spans="1:20" ht="12.75" customHeight="1">
      <c r="A16" s="286" t="s">
        <v>3585</v>
      </c>
      <c r="B16" s="280" t="s">
        <v>47</v>
      </c>
      <c r="C16" s="304">
        <f t="shared" si="0"/>
        <v>56831.25</v>
      </c>
      <c r="D16" s="281">
        <f ca="1">IF(Equipo[[#This Row],[VALOR]]=0,Equipo[[#This Row],[TOTAL]],E16/C16)</f>
        <v>0</v>
      </c>
      <c r="E16" s="69">
        <f ca="1">SUM(Equipo[[#This Row],[CAP1]:[CAP29]])</f>
        <v>0</v>
      </c>
      <c r="F16" s="69">
        <f ca="1">SUMIF('CAP1-3'!$B:$H,Equipo[[#This Row],[DESCRIPCION]],'CAP1-3'!$H:$H)</f>
        <v>0</v>
      </c>
      <c r="G16" s="69">
        <f ca="1">SUMIF('CAP4-5'!$B:$H,Equipo[[#This Row],[DESCRIPCION]],'CAP4-5'!$H:$H)</f>
        <v>0</v>
      </c>
      <c r="H16" s="69">
        <f ca="1">SUMIF('CAP6-7'!$B:$H,Equipo[[#This Row],[DESCRIPCION]],'CAP6-7'!$H:$H)</f>
        <v>0</v>
      </c>
      <c r="I16" s="69">
        <f ca="1">SUMIF('CAP8'!$B:$H,Equipo[[#This Row],[DESCRIPCION]],'CAP8'!$H:$H)</f>
        <v>0</v>
      </c>
      <c r="J16" s="69">
        <f ca="1">SUMIF('CAP9-13'!$B:$H,Equipo[[#This Row],[DESCRIPCION]],'CAP9-13'!$H:$H)</f>
        <v>0</v>
      </c>
      <c r="K16" s="69">
        <f ca="1">SUMIF('CAP14-15'!$B:$H,Equipo[[#This Row],[DESCRIPCION]],'CAP14-15'!$H:$H)</f>
        <v>0</v>
      </c>
      <c r="L16" s="69">
        <f ca="1">SUMIF('CAP16-18'!$B:$H,Equipo[[#This Row],[DESCRIPCION]],'CAP16-18'!$H:$H)</f>
        <v>0</v>
      </c>
      <c r="M16" s="69">
        <f ca="1">SUMIF('CAP19-22'!$B:$H,Equipo[[#This Row],[DESCRIPCION]],'CAP19-22'!$H:$H)</f>
        <v>0</v>
      </c>
      <c r="N16" s="69">
        <f ca="1">SUMIF('CAP23-24'!$B:$H,Equipo[[#This Row],[DESCRIPCION]],'CAP23-24'!$H:$H)</f>
        <v>0</v>
      </c>
      <c r="O16" s="69">
        <f ca="1">SUMIF('CAP25'!$B:$H,Equipo[[#This Row],[DESCRIPCION]],'CAP25'!$H:$H)</f>
        <v>0</v>
      </c>
      <c r="P16" s="69">
        <f ca="1">SUMIF('CAP26-28'!$B:$H,Equipo[[#This Row],[DESCRIPCION]],'CAP26-28'!$H:$H)</f>
        <v>0</v>
      </c>
      <c r="Q16" s="69">
        <f ca="1">SUMIF('CAP29'!$B:$H,Equipo[[#This Row],[DESCRIPCION]],'CAP29'!$H:$H)</f>
        <v>0</v>
      </c>
      <c r="R16" s="288"/>
      <c r="T16" s="304">
        <v>54125</v>
      </c>
    </row>
    <row r="17" spans="1:20" ht="12.75" customHeight="1">
      <c r="A17" s="286" t="s">
        <v>3586</v>
      </c>
      <c r="B17" s="280" t="s">
        <v>3582</v>
      </c>
      <c r="C17" s="304">
        <f t="shared" si="0"/>
        <v>244939.80000000002</v>
      </c>
      <c r="D17" s="281">
        <f ca="1">IF(Equipo[[#This Row],[VALOR]]=0,Equipo[[#This Row],[TOTAL]],E17/C17)</f>
        <v>0</v>
      </c>
      <c r="E17" s="69">
        <f ca="1">SUM(Equipo[[#This Row],[CAP1]:[CAP29]])</f>
        <v>0</v>
      </c>
      <c r="F17" s="69">
        <f ca="1">SUMIF('CAP1-3'!$B:$H,Equipo[[#This Row],[DESCRIPCION]],'CAP1-3'!$H:$H)</f>
        <v>0</v>
      </c>
      <c r="G17" s="69">
        <f ca="1">SUMIF('CAP4-5'!$B:$H,Equipo[[#This Row],[DESCRIPCION]],'CAP4-5'!$H:$H)</f>
        <v>0</v>
      </c>
      <c r="H17" s="69">
        <f ca="1">SUMIF('CAP6-7'!$B:$H,Equipo[[#This Row],[DESCRIPCION]],'CAP6-7'!$H:$H)</f>
        <v>0</v>
      </c>
      <c r="I17" s="69">
        <f ca="1">SUMIF('CAP8'!$B:$H,Equipo[[#This Row],[DESCRIPCION]],'CAP8'!$H:$H)</f>
        <v>0</v>
      </c>
      <c r="J17" s="69">
        <f ca="1">SUMIF('CAP9-13'!$B:$H,Equipo[[#This Row],[DESCRIPCION]],'CAP9-13'!$H:$H)</f>
        <v>0</v>
      </c>
      <c r="K17" s="69">
        <f ca="1">SUMIF('CAP14-15'!$B:$H,Equipo[[#This Row],[DESCRIPCION]],'CAP14-15'!$H:$H)</f>
        <v>0</v>
      </c>
      <c r="L17" s="69">
        <f ca="1">SUMIF('CAP16-18'!$B:$H,Equipo[[#This Row],[DESCRIPCION]],'CAP16-18'!$H:$H)</f>
        <v>0</v>
      </c>
      <c r="M17" s="69">
        <f ca="1">SUMIF('CAP19-22'!$B:$H,Equipo[[#This Row],[DESCRIPCION]],'CAP19-22'!$H:$H)</f>
        <v>0</v>
      </c>
      <c r="N17" s="69">
        <f ca="1">SUMIF('CAP23-24'!$B:$H,Equipo[[#This Row],[DESCRIPCION]],'CAP23-24'!$H:$H)</f>
        <v>0</v>
      </c>
      <c r="O17" s="69">
        <f ca="1">SUMIF('CAP25'!$B:$H,Equipo[[#This Row],[DESCRIPCION]],'CAP25'!$H:$H)</f>
        <v>0</v>
      </c>
      <c r="P17" s="69">
        <f ca="1">SUMIF('CAP26-28'!$B:$H,Equipo[[#This Row],[DESCRIPCION]],'CAP26-28'!$H:$H)</f>
        <v>0</v>
      </c>
      <c r="Q17" s="69">
        <f ca="1">SUMIF('CAP29'!$B:$H,Equipo[[#This Row],[DESCRIPCION]],'CAP29'!$H:$H)</f>
        <v>0</v>
      </c>
      <c r="R17" s="287"/>
      <c r="T17" s="304">
        <v>233276</v>
      </c>
    </row>
    <row r="18" spans="1:20" ht="12.75" customHeight="1">
      <c r="A18" s="286" t="s">
        <v>3587</v>
      </c>
      <c r="B18" s="280" t="s">
        <v>3582</v>
      </c>
      <c r="C18" s="304">
        <f t="shared" si="0"/>
        <v>237181.35</v>
      </c>
      <c r="D18" s="281">
        <f ca="1">IF(Equipo[[#This Row],[VALOR]]=0,Equipo[[#This Row],[TOTAL]],E18/C18)</f>
        <v>0</v>
      </c>
      <c r="E18" s="69">
        <f ca="1">SUM(Equipo[[#This Row],[CAP1]:[CAP29]])</f>
        <v>0</v>
      </c>
      <c r="F18" s="69">
        <f ca="1">SUMIF('CAP1-3'!$B:$H,Equipo[[#This Row],[DESCRIPCION]],'CAP1-3'!$H:$H)</f>
        <v>0</v>
      </c>
      <c r="G18" s="69">
        <f ca="1">SUMIF('CAP4-5'!$B:$H,Equipo[[#This Row],[DESCRIPCION]],'CAP4-5'!$H:$H)</f>
        <v>0</v>
      </c>
      <c r="H18" s="69">
        <f ca="1">SUMIF('CAP6-7'!$B:$H,Equipo[[#This Row],[DESCRIPCION]],'CAP6-7'!$H:$H)</f>
        <v>0</v>
      </c>
      <c r="I18" s="69">
        <f ca="1">SUMIF('CAP8'!$B:$H,Equipo[[#This Row],[DESCRIPCION]],'CAP8'!$H:$H)</f>
        <v>0</v>
      </c>
      <c r="J18" s="69">
        <f ca="1">SUMIF('CAP9-13'!$B:$H,Equipo[[#This Row],[DESCRIPCION]],'CAP9-13'!$H:$H)</f>
        <v>0</v>
      </c>
      <c r="K18" s="69">
        <f ca="1">SUMIF('CAP14-15'!$B:$H,Equipo[[#This Row],[DESCRIPCION]],'CAP14-15'!$H:$H)</f>
        <v>0</v>
      </c>
      <c r="L18" s="69">
        <f ca="1">SUMIF('CAP16-18'!$B:$H,Equipo[[#This Row],[DESCRIPCION]],'CAP16-18'!$H:$H)</f>
        <v>0</v>
      </c>
      <c r="M18" s="69">
        <f ca="1">SUMIF('CAP19-22'!$B:$H,Equipo[[#This Row],[DESCRIPCION]],'CAP19-22'!$H:$H)</f>
        <v>0</v>
      </c>
      <c r="N18" s="69">
        <f ca="1">SUMIF('CAP23-24'!$B:$H,Equipo[[#This Row],[DESCRIPCION]],'CAP23-24'!$H:$H)</f>
        <v>0</v>
      </c>
      <c r="O18" s="69">
        <f ca="1">SUMIF('CAP25'!$B:$H,Equipo[[#This Row],[DESCRIPCION]],'CAP25'!$H:$H)</f>
        <v>0</v>
      </c>
      <c r="P18" s="69">
        <f ca="1">SUMIF('CAP26-28'!$B:$H,Equipo[[#This Row],[DESCRIPCION]],'CAP26-28'!$H:$H)</f>
        <v>0</v>
      </c>
      <c r="Q18" s="69">
        <f ca="1">SUMIF('CAP29'!$B:$H,Equipo[[#This Row],[DESCRIPCION]],'CAP29'!$H:$H)</f>
        <v>0</v>
      </c>
      <c r="R18" s="287"/>
      <c r="T18" s="304">
        <v>225887</v>
      </c>
    </row>
    <row r="19" spans="1:20" ht="12.75" customHeight="1">
      <c r="A19" s="286" t="s">
        <v>3588</v>
      </c>
      <c r="B19" s="280" t="s">
        <v>3582</v>
      </c>
      <c r="C19" s="304">
        <f t="shared" si="0"/>
        <v>170493.75</v>
      </c>
      <c r="D19" s="281">
        <f ca="1">IF(Equipo[[#This Row],[VALOR]]=0,Equipo[[#This Row],[TOTAL]],E19/C19)</f>
        <v>0</v>
      </c>
      <c r="E19" s="69">
        <f ca="1">SUM(Equipo[[#This Row],[CAP1]:[CAP29]])</f>
        <v>0</v>
      </c>
      <c r="F19" s="69">
        <f ca="1">SUMIF('CAP1-3'!$B:$H,Equipo[[#This Row],[DESCRIPCION]],'CAP1-3'!$H:$H)</f>
        <v>0</v>
      </c>
      <c r="G19" s="69">
        <f ca="1">SUMIF('CAP4-5'!$B:$H,Equipo[[#This Row],[DESCRIPCION]],'CAP4-5'!$H:$H)</f>
        <v>0</v>
      </c>
      <c r="H19" s="69">
        <f ca="1">SUMIF('CAP6-7'!$B:$H,Equipo[[#This Row],[DESCRIPCION]],'CAP6-7'!$H:$H)</f>
        <v>0</v>
      </c>
      <c r="I19" s="69">
        <f ca="1">SUMIF('CAP8'!$B:$H,Equipo[[#This Row],[DESCRIPCION]],'CAP8'!$H:$H)</f>
        <v>0</v>
      </c>
      <c r="J19" s="69">
        <f ca="1">SUMIF('CAP9-13'!$B:$H,Equipo[[#This Row],[DESCRIPCION]],'CAP9-13'!$H:$H)</f>
        <v>0</v>
      </c>
      <c r="K19" s="69">
        <f ca="1">SUMIF('CAP14-15'!$B:$H,Equipo[[#This Row],[DESCRIPCION]],'CAP14-15'!$H:$H)</f>
        <v>0</v>
      </c>
      <c r="L19" s="69">
        <f ca="1">SUMIF('CAP16-18'!$B:$H,Equipo[[#This Row],[DESCRIPCION]],'CAP16-18'!$H:$H)</f>
        <v>0</v>
      </c>
      <c r="M19" s="69">
        <f ca="1">SUMIF('CAP19-22'!$B:$H,Equipo[[#This Row],[DESCRIPCION]],'CAP19-22'!$H:$H)</f>
        <v>0</v>
      </c>
      <c r="N19" s="69">
        <f ca="1">SUMIF('CAP23-24'!$B:$H,Equipo[[#This Row],[DESCRIPCION]],'CAP23-24'!$H:$H)</f>
        <v>0</v>
      </c>
      <c r="O19" s="69">
        <f ca="1">SUMIF('CAP25'!$B:$H,Equipo[[#This Row],[DESCRIPCION]],'CAP25'!$H:$H)</f>
        <v>0</v>
      </c>
      <c r="P19" s="69">
        <f ca="1">SUMIF('CAP26-28'!$B:$H,Equipo[[#This Row],[DESCRIPCION]],'CAP26-28'!$H:$H)</f>
        <v>0</v>
      </c>
      <c r="Q19" s="69">
        <f ca="1">SUMIF('CAP29'!$B:$H,Equipo[[#This Row],[DESCRIPCION]],'CAP29'!$H:$H)</f>
        <v>0</v>
      </c>
      <c r="R19" s="287"/>
      <c r="T19" s="304">
        <v>162375</v>
      </c>
    </row>
    <row r="20" spans="1:20" ht="12.75" customHeight="1">
      <c r="A20" s="286" t="s">
        <v>3589</v>
      </c>
      <c r="B20" s="280" t="s">
        <v>3582</v>
      </c>
      <c r="C20" s="304">
        <f t="shared" si="0"/>
        <v>170493.75</v>
      </c>
      <c r="D20" s="281">
        <f ca="1">IF(Equipo[[#This Row],[VALOR]]=0,Equipo[[#This Row],[TOTAL]],E20/C20)</f>
        <v>0</v>
      </c>
      <c r="E20" s="69">
        <f ca="1">SUM(Equipo[[#This Row],[CAP1]:[CAP29]])</f>
        <v>0</v>
      </c>
      <c r="F20" s="69">
        <f ca="1">SUMIF('CAP1-3'!$B:$H,Equipo[[#This Row],[DESCRIPCION]],'CAP1-3'!$H:$H)</f>
        <v>0</v>
      </c>
      <c r="G20" s="69">
        <f ca="1">SUMIF('CAP4-5'!$B:$H,Equipo[[#This Row],[DESCRIPCION]],'CAP4-5'!$H:$H)</f>
        <v>0</v>
      </c>
      <c r="H20" s="69">
        <f ca="1">SUMIF('CAP6-7'!$B:$H,Equipo[[#This Row],[DESCRIPCION]],'CAP6-7'!$H:$H)</f>
        <v>0</v>
      </c>
      <c r="I20" s="69">
        <f ca="1">SUMIF('CAP8'!$B:$H,Equipo[[#This Row],[DESCRIPCION]],'CAP8'!$H:$H)</f>
        <v>0</v>
      </c>
      <c r="J20" s="69">
        <f ca="1">SUMIF('CAP9-13'!$B:$H,Equipo[[#This Row],[DESCRIPCION]],'CAP9-13'!$H:$H)</f>
        <v>0</v>
      </c>
      <c r="K20" s="69">
        <f ca="1">SUMIF('CAP14-15'!$B:$H,Equipo[[#This Row],[DESCRIPCION]],'CAP14-15'!$H:$H)</f>
        <v>0</v>
      </c>
      <c r="L20" s="69">
        <f ca="1">SUMIF('CAP16-18'!$B:$H,Equipo[[#This Row],[DESCRIPCION]],'CAP16-18'!$H:$H)</f>
        <v>0</v>
      </c>
      <c r="M20" s="69">
        <f ca="1">SUMIF('CAP19-22'!$B:$H,Equipo[[#This Row],[DESCRIPCION]],'CAP19-22'!$H:$H)</f>
        <v>0</v>
      </c>
      <c r="N20" s="69">
        <f ca="1">SUMIF('CAP23-24'!$B:$H,Equipo[[#This Row],[DESCRIPCION]],'CAP23-24'!$H:$H)</f>
        <v>0</v>
      </c>
      <c r="O20" s="69">
        <f ca="1">SUMIF('CAP25'!$B:$H,Equipo[[#This Row],[DESCRIPCION]],'CAP25'!$H:$H)</f>
        <v>0</v>
      </c>
      <c r="P20" s="69">
        <f ca="1">SUMIF('CAP26-28'!$B:$H,Equipo[[#This Row],[DESCRIPCION]],'CAP26-28'!$H:$H)</f>
        <v>0</v>
      </c>
      <c r="Q20" s="69">
        <f ca="1">SUMIF('CAP29'!$B:$H,Equipo[[#This Row],[DESCRIPCION]],'CAP29'!$H:$H)</f>
        <v>0</v>
      </c>
      <c r="R20" s="287"/>
      <c r="T20" s="304">
        <v>162375</v>
      </c>
    </row>
    <row r="21" spans="1:20" ht="12.75" customHeight="1">
      <c r="A21" s="286" t="s">
        <v>3590</v>
      </c>
      <c r="B21" s="280" t="s">
        <v>23</v>
      </c>
      <c r="C21" s="304">
        <f t="shared" si="0"/>
        <v>185270.39999999999</v>
      </c>
      <c r="D21" s="281">
        <f ca="1">IF(Equipo[[#This Row],[VALOR]]=0,Equipo[[#This Row],[TOTAL]],E21/C21)</f>
        <v>0</v>
      </c>
      <c r="E21" s="69">
        <f ca="1">SUM(Equipo[[#This Row],[CAP1]:[CAP29]])</f>
        <v>0</v>
      </c>
      <c r="F21" s="69">
        <f ca="1">SUMIF('CAP1-3'!$B:$H,Equipo[[#This Row],[DESCRIPCION]],'CAP1-3'!$H:$H)</f>
        <v>0</v>
      </c>
      <c r="G21" s="69">
        <f ca="1">SUMIF('CAP4-5'!$B:$H,Equipo[[#This Row],[DESCRIPCION]],'CAP4-5'!$H:$H)</f>
        <v>0</v>
      </c>
      <c r="H21" s="69">
        <f ca="1">SUMIF('CAP6-7'!$B:$H,Equipo[[#This Row],[DESCRIPCION]],'CAP6-7'!$H:$H)</f>
        <v>0</v>
      </c>
      <c r="I21" s="69">
        <f ca="1">SUMIF('CAP8'!$B:$H,Equipo[[#This Row],[DESCRIPCION]],'CAP8'!$H:$H)</f>
        <v>0</v>
      </c>
      <c r="J21" s="69">
        <f ca="1">SUMIF('CAP9-13'!$B:$H,Equipo[[#This Row],[DESCRIPCION]],'CAP9-13'!$H:$H)</f>
        <v>0</v>
      </c>
      <c r="K21" s="69">
        <f ca="1">SUMIF('CAP14-15'!$B:$H,Equipo[[#This Row],[DESCRIPCION]],'CAP14-15'!$H:$H)</f>
        <v>0</v>
      </c>
      <c r="L21" s="69">
        <f ca="1">SUMIF('CAP16-18'!$B:$H,Equipo[[#This Row],[DESCRIPCION]],'CAP16-18'!$H:$H)</f>
        <v>0</v>
      </c>
      <c r="M21" s="69">
        <f ca="1">SUMIF('CAP19-22'!$B:$H,Equipo[[#This Row],[DESCRIPCION]],'CAP19-22'!$H:$H)</f>
        <v>0</v>
      </c>
      <c r="N21" s="69">
        <f ca="1">SUMIF('CAP23-24'!$B:$H,Equipo[[#This Row],[DESCRIPCION]],'CAP23-24'!$H:$H)</f>
        <v>0</v>
      </c>
      <c r="O21" s="69">
        <f ca="1">SUMIF('CAP25'!$B:$H,Equipo[[#This Row],[DESCRIPCION]],'CAP25'!$H:$H)</f>
        <v>0</v>
      </c>
      <c r="P21" s="69">
        <f ca="1">SUMIF('CAP26-28'!$B:$H,Equipo[[#This Row],[DESCRIPCION]],'CAP26-28'!$H:$H)</f>
        <v>0</v>
      </c>
      <c r="Q21" s="69">
        <f ca="1">SUMIF('CAP29'!$B:$H,Equipo[[#This Row],[DESCRIPCION]],'CAP29'!$H:$H)</f>
        <v>0</v>
      </c>
      <c r="R21" s="288"/>
      <c r="T21" s="304">
        <v>176448</v>
      </c>
    </row>
    <row r="22" spans="1:20" ht="12.75" customHeight="1">
      <c r="A22" s="286" t="s">
        <v>3591</v>
      </c>
      <c r="B22" s="280" t="s">
        <v>47</v>
      </c>
      <c r="C22" s="304">
        <f t="shared" si="0"/>
        <v>635.25</v>
      </c>
      <c r="D22" s="281">
        <f ca="1">IF(Equipo[[#This Row],[VALOR]]=0,Equipo[[#This Row],[TOTAL]],E22/C22)</f>
        <v>0</v>
      </c>
      <c r="E22" s="69">
        <f ca="1">SUM(Equipo[[#This Row],[CAP1]:[CAP29]])</f>
        <v>0</v>
      </c>
      <c r="F22" s="69">
        <f ca="1">SUMIF('CAP1-3'!$B:$H,Equipo[[#This Row],[DESCRIPCION]],'CAP1-3'!$H:$H)</f>
        <v>0</v>
      </c>
      <c r="G22" s="69">
        <f ca="1">SUMIF('CAP4-5'!$B:$H,Equipo[[#This Row],[DESCRIPCION]],'CAP4-5'!$H:$H)</f>
        <v>0</v>
      </c>
      <c r="H22" s="69">
        <f ca="1">SUMIF('CAP6-7'!$B:$H,Equipo[[#This Row],[DESCRIPCION]],'CAP6-7'!$H:$H)</f>
        <v>0</v>
      </c>
      <c r="I22" s="69">
        <f ca="1">SUMIF('CAP8'!$B:$H,Equipo[[#This Row],[DESCRIPCION]],'CAP8'!$H:$H)</f>
        <v>0</v>
      </c>
      <c r="J22" s="69">
        <f ca="1">SUMIF('CAP9-13'!$B:$H,Equipo[[#This Row],[DESCRIPCION]],'CAP9-13'!$H:$H)</f>
        <v>0</v>
      </c>
      <c r="K22" s="69">
        <f ca="1">SUMIF('CAP14-15'!$B:$H,Equipo[[#This Row],[DESCRIPCION]],'CAP14-15'!$H:$H)</f>
        <v>0</v>
      </c>
      <c r="L22" s="69">
        <f ca="1">SUMIF('CAP16-18'!$B:$H,Equipo[[#This Row],[DESCRIPCION]],'CAP16-18'!$H:$H)</f>
        <v>0</v>
      </c>
      <c r="M22" s="69">
        <f ca="1">SUMIF('CAP19-22'!$B:$H,Equipo[[#This Row],[DESCRIPCION]],'CAP19-22'!$H:$H)</f>
        <v>0</v>
      </c>
      <c r="N22" s="69">
        <f ca="1">SUMIF('CAP23-24'!$B:$H,Equipo[[#This Row],[DESCRIPCION]],'CAP23-24'!$H:$H)</f>
        <v>0</v>
      </c>
      <c r="O22" s="69">
        <f ca="1">SUMIF('CAP25'!$B:$H,Equipo[[#This Row],[DESCRIPCION]],'CAP25'!$H:$H)</f>
        <v>0</v>
      </c>
      <c r="P22" s="69">
        <f ca="1">SUMIF('CAP26-28'!$B:$H,Equipo[[#This Row],[DESCRIPCION]],'CAP26-28'!$H:$H)</f>
        <v>0</v>
      </c>
      <c r="Q22" s="69">
        <f ca="1">SUMIF('CAP29'!$B:$H,Equipo[[#This Row],[DESCRIPCION]],'CAP29'!$H:$H)</f>
        <v>0</v>
      </c>
      <c r="R22" s="287"/>
      <c r="T22" s="304">
        <v>605</v>
      </c>
    </row>
    <row r="23" spans="1:20" ht="12.75" customHeight="1">
      <c r="A23" s="286" t="s">
        <v>3592</v>
      </c>
      <c r="B23" s="280" t="s">
        <v>3582</v>
      </c>
      <c r="C23" s="304">
        <f t="shared" si="0"/>
        <v>115500</v>
      </c>
      <c r="D23" s="281">
        <f ca="1">IF(Equipo[[#This Row],[VALOR]]=0,Equipo[[#This Row],[TOTAL]],E23/C23)</f>
        <v>0</v>
      </c>
      <c r="E23" s="69">
        <f ca="1">SUM(Equipo[[#This Row],[CAP1]:[CAP29]])</f>
        <v>0</v>
      </c>
      <c r="F23" s="69">
        <f ca="1">SUMIF('CAP1-3'!$B:$H,Equipo[[#This Row],[DESCRIPCION]],'CAP1-3'!$H:$H)</f>
        <v>0</v>
      </c>
      <c r="G23" s="69">
        <f ca="1">SUMIF('CAP4-5'!$B:$H,Equipo[[#This Row],[DESCRIPCION]],'CAP4-5'!$H:$H)</f>
        <v>0</v>
      </c>
      <c r="H23" s="69">
        <f ca="1">SUMIF('CAP6-7'!$B:$H,Equipo[[#This Row],[DESCRIPCION]],'CAP6-7'!$H:$H)</f>
        <v>0</v>
      </c>
      <c r="I23" s="69">
        <f ca="1">SUMIF('CAP8'!$B:$H,Equipo[[#This Row],[DESCRIPCION]],'CAP8'!$H:$H)</f>
        <v>0</v>
      </c>
      <c r="J23" s="69">
        <f ca="1">SUMIF('CAP9-13'!$B:$H,Equipo[[#This Row],[DESCRIPCION]],'CAP9-13'!$H:$H)</f>
        <v>0</v>
      </c>
      <c r="K23" s="69">
        <f ca="1">SUMIF('CAP14-15'!$B:$H,Equipo[[#This Row],[DESCRIPCION]],'CAP14-15'!$H:$H)</f>
        <v>0</v>
      </c>
      <c r="L23" s="69">
        <f ca="1">SUMIF('CAP16-18'!$B:$H,Equipo[[#This Row],[DESCRIPCION]],'CAP16-18'!$H:$H)</f>
        <v>0</v>
      </c>
      <c r="M23" s="69">
        <f ca="1">SUMIF('CAP19-22'!$B:$H,Equipo[[#This Row],[DESCRIPCION]],'CAP19-22'!$H:$H)</f>
        <v>0</v>
      </c>
      <c r="N23" s="69">
        <f ca="1">SUMIF('CAP23-24'!$B:$H,Equipo[[#This Row],[DESCRIPCION]],'CAP23-24'!$H:$H)</f>
        <v>0</v>
      </c>
      <c r="O23" s="69">
        <f ca="1">SUMIF('CAP25'!$B:$H,Equipo[[#This Row],[DESCRIPCION]],'CAP25'!$H:$H)</f>
        <v>0</v>
      </c>
      <c r="P23" s="69">
        <f ca="1">SUMIF('CAP26-28'!$B:$H,Equipo[[#This Row],[DESCRIPCION]],'CAP26-28'!$H:$H)</f>
        <v>0</v>
      </c>
      <c r="Q23" s="69">
        <f ca="1">SUMIF('CAP29'!$B:$H,Equipo[[#This Row],[DESCRIPCION]],'CAP29'!$H:$H)</f>
        <v>0</v>
      </c>
      <c r="R23" s="287"/>
      <c r="T23" s="304">
        <v>110000</v>
      </c>
    </row>
    <row r="24" spans="1:20" ht="12.75" customHeight="1">
      <c r="A24" s="286" t="s">
        <v>3593</v>
      </c>
      <c r="B24" s="280" t="s">
        <v>3582</v>
      </c>
      <c r="C24" s="304">
        <f t="shared" si="0"/>
        <v>187543.65</v>
      </c>
      <c r="D24" s="281">
        <f ca="1">IF(Equipo[[#This Row],[VALOR]]=0,Equipo[[#This Row],[TOTAL]],E24/C24)</f>
        <v>0</v>
      </c>
      <c r="E24" s="69">
        <f ca="1">SUM(Equipo[[#This Row],[CAP1]:[CAP29]])</f>
        <v>0</v>
      </c>
      <c r="F24" s="69">
        <f ca="1">SUMIF('CAP1-3'!$B:$H,Equipo[[#This Row],[DESCRIPCION]],'CAP1-3'!$H:$H)</f>
        <v>0</v>
      </c>
      <c r="G24" s="69">
        <f ca="1">SUMIF('CAP4-5'!$B:$H,Equipo[[#This Row],[DESCRIPCION]],'CAP4-5'!$H:$H)</f>
        <v>0</v>
      </c>
      <c r="H24" s="69">
        <f ca="1">SUMIF('CAP6-7'!$B:$H,Equipo[[#This Row],[DESCRIPCION]],'CAP6-7'!$H:$H)</f>
        <v>0</v>
      </c>
      <c r="I24" s="69">
        <f ca="1">SUMIF('CAP8'!$B:$H,Equipo[[#This Row],[DESCRIPCION]],'CAP8'!$H:$H)</f>
        <v>0</v>
      </c>
      <c r="J24" s="69">
        <f ca="1">SUMIF('CAP9-13'!$B:$H,Equipo[[#This Row],[DESCRIPCION]],'CAP9-13'!$H:$H)</f>
        <v>0</v>
      </c>
      <c r="K24" s="69">
        <f ca="1">SUMIF('CAP14-15'!$B:$H,Equipo[[#This Row],[DESCRIPCION]],'CAP14-15'!$H:$H)</f>
        <v>0</v>
      </c>
      <c r="L24" s="69">
        <f ca="1">SUMIF('CAP16-18'!$B:$H,Equipo[[#This Row],[DESCRIPCION]],'CAP16-18'!$H:$H)</f>
        <v>0</v>
      </c>
      <c r="M24" s="69">
        <f ca="1">SUMIF('CAP19-22'!$B:$H,Equipo[[#This Row],[DESCRIPCION]],'CAP19-22'!$H:$H)</f>
        <v>0</v>
      </c>
      <c r="N24" s="69">
        <f ca="1">SUMIF('CAP23-24'!$B:$H,Equipo[[#This Row],[DESCRIPCION]],'CAP23-24'!$H:$H)</f>
        <v>0</v>
      </c>
      <c r="O24" s="69">
        <f ca="1">SUMIF('CAP25'!$B:$H,Equipo[[#This Row],[DESCRIPCION]],'CAP25'!$H:$H)</f>
        <v>0</v>
      </c>
      <c r="P24" s="69">
        <f ca="1">SUMIF('CAP26-28'!$B:$H,Equipo[[#This Row],[DESCRIPCION]],'CAP26-28'!$H:$H)</f>
        <v>0</v>
      </c>
      <c r="Q24" s="69">
        <f ca="1">SUMIF('CAP29'!$B:$H,Equipo[[#This Row],[DESCRIPCION]],'CAP29'!$H:$H)</f>
        <v>0</v>
      </c>
      <c r="R24" s="287"/>
      <c r="T24" s="304">
        <v>178613</v>
      </c>
    </row>
    <row r="25" spans="1:20" ht="12.75" customHeight="1">
      <c r="A25" s="286" t="s">
        <v>3594</v>
      </c>
      <c r="B25" s="280" t="s">
        <v>47</v>
      </c>
      <c r="C25" s="304">
        <f t="shared" si="0"/>
        <v>96211.5</v>
      </c>
      <c r="D25" s="281">
        <f ca="1">IF(Equipo[[#This Row],[VALOR]]=0,Equipo[[#This Row],[TOTAL]],E25/C25)</f>
        <v>0</v>
      </c>
      <c r="E25" s="69">
        <f ca="1">SUM(Equipo[[#This Row],[CAP1]:[CAP29]])</f>
        <v>0</v>
      </c>
      <c r="F25" s="69">
        <f ca="1">SUMIF('CAP1-3'!$B:$H,Equipo[[#This Row],[DESCRIPCION]],'CAP1-3'!$H:$H)</f>
        <v>0</v>
      </c>
      <c r="G25" s="69">
        <f ca="1">SUMIF('CAP4-5'!$B:$H,Equipo[[#This Row],[DESCRIPCION]],'CAP4-5'!$H:$H)</f>
        <v>0</v>
      </c>
      <c r="H25" s="69">
        <f ca="1">SUMIF('CAP6-7'!$B:$H,Equipo[[#This Row],[DESCRIPCION]],'CAP6-7'!$H:$H)</f>
        <v>0</v>
      </c>
      <c r="I25" s="69">
        <f ca="1">SUMIF('CAP8'!$B:$H,Equipo[[#This Row],[DESCRIPCION]],'CAP8'!$H:$H)</f>
        <v>0</v>
      </c>
      <c r="J25" s="69">
        <f ca="1">SUMIF('CAP9-13'!$B:$H,Equipo[[#This Row],[DESCRIPCION]],'CAP9-13'!$H:$H)</f>
        <v>0</v>
      </c>
      <c r="K25" s="69">
        <f ca="1">SUMIF('CAP14-15'!$B:$H,Equipo[[#This Row],[DESCRIPCION]],'CAP14-15'!$H:$H)</f>
        <v>0</v>
      </c>
      <c r="L25" s="69">
        <f ca="1">SUMIF('CAP16-18'!$B:$H,Equipo[[#This Row],[DESCRIPCION]],'CAP16-18'!$H:$H)</f>
        <v>0</v>
      </c>
      <c r="M25" s="69">
        <f ca="1">SUMIF('CAP19-22'!$B:$H,Equipo[[#This Row],[DESCRIPCION]],'CAP19-22'!$H:$H)</f>
        <v>0</v>
      </c>
      <c r="N25" s="69">
        <f ca="1">SUMIF('CAP23-24'!$B:$H,Equipo[[#This Row],[DESCRIPCION]],'CAP23-24'!$H:$H)</f>
        <v>0</v>
      </c>
      <c r="O25" s="69">
        <f ca="1">SUMIF('CAP25'!$B:$H,Equipo[[#This Row],[DESCRIPCION]],'CAP25'!$H:$H)</f>
        <v>0</v>
      </c>
      <c r="P25" s="69">
        <f ca="1">SUMIF('CAP26-28'!$B:$H,Equipo[[#This Row],[DESCRIPCION]],'CAP26-28'!$H:$H)</f>
        <v>0</v>
      </c>
      <c r="Q25" s="69">
        <f ca="1">SUMIF('CAP29'!$B:$H,Equipo[[#This Row],[DESCRIPCION]],'CAP29'!$H:$H)</f>
        <v>0</v>
      </c>
      <c r="R25" s="287"/>
      <c r="T25" s="304">
        <v>91630</v>
      </c>
    </row>
    <row r="26" spans="1:20" ht="12.75" customHeight="1">
      <c r="A26" s="286" t="s">
        <v>3595</v>
      </c>
      <c r="B26" s="280" t="s">
        <v>3582</v>
      </c>
      <c r="C26" s="304">
        <f t="shared" si="0"/>
        <v>187543.65</v>
      </c>
      <c r="D26" s="281">
        <f ca="1">IF(Equipo[[#This Row],[VALOR]]=0,Equipo[[#This Row],[TOTAL]],E26/C26)</f>
        <v>0</v>
      </c>
      <c r="E26" s="69">
        <f ca="1">SUM(Equipo[[#This Row],[CAP1]:[CAP29]])</f>
        <v>0</v>
      </c>
      <c r="F26" s="69">
        <f ca="1">SUMIF('CAP1-3'!$B:$H,Equipo[[#This Row],[DESCRIPCION]],'CAP1-3'!$H:$H)</f>
        <v>0</v>
      </c>
      <c r="G26" s="69">
        <f ca="1">SUMIF('CAP4-5'!$B:$H,Equipo[[#This Row],[DESCRIPCION]],'CAP4-5'!$H:$H)</f>
        <v>0</v>
      </c>
      <c r="H26" s="69">
        <f ca="1">SUMIF('CAP6-7'!$B:$H,Equipo[[#This Row],[DESCRIPCION]],'CAP6-7'!$H:$H)</f>
        <v>0</v>
      </c>
      <c r="I26" s="69">
        <f ca="1">SUMIF('CAP8'!$B:$H,Equipo[[#This Row],[DESCRIPCION]],'CAP8'!$H:$H)</f>
        <v>0</v>
      </c>
      <c r="J26" s="69">
        <f ca="1">SUMIF('CAP9-13'!$B:$H,Equipo[[#This Row],[DESCRIPCION]],'CAP9-13'!$H:$H)</f>
        <v>0</v>
      </c>
      <c r="K26" s="69">
        <f ca="1">SUMIF('CAP14-15'!$B:$H,Equipo[[#This Row],[DESCRIPCION]],'CAP14-15'!$H:$H)</f>
        <v>0</v>
      </c>
      <c r="L26" s="69">
        <f ca="1">SUMIF('CAP16-18'!$B:$H,Equipo[[#This Row],[DESCRIPCION]],'CAP16-18'!$H:$H)</f>
        <v>0</v>
      </c>
      <c r="M26" s="69">
        <f ca="1">SUMIF('CAP19-22'!$B:$H,Equipo[[#This Row],[DESCRIPCION]],'CAP19-22'!$H:$H)</f>
        <v>0</v>
      </c>
      <c r="N26" s="69">
        <f ca="1">SUMIF('CAP23-24'!$B:$H,Equipo[[#This Row],[DESCRIPCION]],'CAP23-24'!$H:$H)</f>
        <v>0</v>
      </c>
      <c r="O26" s="69">
        <f ca="1">SUMIF('CAP25'!$B:$H,Equipo[[#This Row],[DESCRIPCION]],'CAP25'!$H:$H)</f>
        <v>0</v>
      </c>
      <c r="P26" s="69">
        <f ca="1">SUMIF('CAP26-28'!$B:$H,Equipo[[#This Row],[DESCRIPCION]],'CAP26-28'!$H:$H)</f>
        <v>0</v>
      </c>
      <c r="Q26" s="69">
        <f ca="1">SUMIF('CAP29'!$B:$H,Equipo[[#This Row],[DESCRIPCION]],'CAP29'!$H:$H)</f>
        <v>0</v>
      </c>
      <c r="R26" s="287"/>
      <c r="T26" s="304">
        <v>178613</v>
      </c>
    </row>
    <row r="27" spans="1:20" ht="12.75" customHeight="1">
      <c r="A27" s="286" t="s">
        <v>3596</v>
      </c>
      <c r="B27" s="280" t="s">
        <v>3582</v>
      </c>
      <c r="C27" s="304">
        <f t="shared" si="0"/>
        <v>134581.65</v>
      </c>
      <c r="D27" s="281">
        <f ca="1">IF(Equipo[[#This Row],[VALOR]]=0,Equipo[[#This Row],[TOTAL]],E27/C27)</f>
        <v>0</v>
      </c>
      <c r="E27" s="69">
        <f ca="1">SUM(Equipo[[#This Row],[CAP1]:[CAP29]])</f>
        <v>0</v>
      </c>
      <c r="F27" s="69">
        <f ca="1">SUMIF('CAP1-3'!$B:$H,Equipo[[#This Row],[DESCRIPCION]],'CAP1-3'!$H:$H)</f>
        <v>0</v>
      </c>
      <c r="G27" s="69">
        <f ca="1">SUMIF('CAP4-5'!$B:$H,Equipo[[#This Row],[DESCRIPCION]],'CAP4-5'!$H:$H)</f>
        <v>0</v>
      </c>
      <c r="H27" s="69">
        <f ca="1">SUMIF('CAP6-7'!$B:$H,Equipo[[#This Row],[DESCRIPCION]],'CAP6-7'!$H:$H)</f>
        <v>0</v>
      </c>
      <c r="I27" s="69">
        <f ca="1">SUMIF('CAP8'!$B:$H,Equipo[[#This Row],[DESCRIPCION]],'CAP8'!$H:$H)</f>
        <v>0</v>
      </c>
      <c r="J27" s="69">
        <f ca="1">SUMIF('CAP9-13'!$B:$H,Equipo[[#This Row],[DESCRIPCION]],'CAP9-13'!$H:$H)</f>
        <v>0</v>
      </c>
      <c r="K27" s="69">
        <f ca="1">SUMIF('CAP14-15'!$B:$H,Equipo[[#This Row],[DESCRIPCION]],'CAP14-15'!$H:$H)</f>
        <v>0</v>
      </c>
      <c r="L27" s="69">
        <f ca="1">SUMIF('CAP16-18'!$B:$H,Equipo[[#This Row],[DESCRIPCION]],'CAP16-18'!$H:$H)</f>
        <v>0</v>
      </c>
      <c r="M27" s="69">
        <f ca="1">SUMIF('CAP19-22'!$B:$H,Equipo[[#This Row],[DESCRIPCION]],'CAP19-22'!$H:$H)</f>
        <v>0</v>
      </c>
      <c r="N27" s="69">
        <f ca="1">SUMIF('CAP23-24'!$B:$H,Equipo[[#This Row],[DESCRIPCION]],'CAP23-24'!$H:$H)</f>
        <v>0</v>
      </c>
      <c r="O27" s="69">
        <f ca="1">SUMIF('CAP25'!$B:$H,Equipo[[#This Row],[DESCRIPCION]],'CAP25'!$H:$H)</f>
        <v>0</v>
      </c>
      <c r="P27" s="69">
        <f ca="1">SUMIF('CAP26-28'!$B:$H,Equipo[[#This Row],[DESCRIPCION]],'CAP26-28'!$H:$H)</f>
        <v>0</v>
      </c>
      <c r="Q27" s="69">
        <f ca="1">SUMIF('CAP29'!$B:$H,Equipo[[#This Row],[DESCRIPCION]],'CAP29'!$H:$H)</f>
        <v>0</v>
      </c>
      <c r="R27" s="287"/>
      <c r="T27" s="304">
        <v>128173</v>
      </c>
    </row>
    <row r="28" spans="1:20" ht="12.75" customHeight="1">
      <c r="A28" s="286" t="s">
        <v>3597</v>
      </c>
      <c r="B28" s="280" t="s">
        <v>3582</v>
      </c>
      <c r="C28" s="304">
        <f t="shared" si="0"/>
        <v>140649.60000000001</v>
      </c>
      <c r="D28" s="281">
        <f ca="1">IF(Equipo[[#This Row],[VALOR]]=0,Equipo[[#This Row],[TOTAL]],E28/C28)</f>
        <v>0</v>
      </c>
      <c r="E28" s="69">
        <f ca="1">SUM(Equipo[[#This Row],[CAP1]:[CAP29]])</f>
        <v>0</v>
      </c>
      <c r="F28" s="69">
        <f ca="1">SUMIF('CAP1-3'!$B:$H,Equipo[[#This Row],[DESCRIPCION]],'CAP1-3'!$H:$H)</f>
        <v>0</v>
      </c>
      <c r="G28" s="69">
        <f ca="1">SUMIF('CAP4-5'!$B:$H,Equipo[[#This Row],[DESCRIPCION]],'CAP4-5'!$H:$H)</f>
        <v>0</v>
      </c>
      <c r="H28" s="69">
        <f ca="1">SUMIF('CAP6-7'!$B:$H,Equipo[[#This Row],[DESCRIPCION]],'CAP6-7'!$H:$H)</f>
        <v>0</v>
      </c>
      <c r="I28" s="69">
        <f ca="1">SUMIF('CAP8'!$B:$H,Equipo[[#This Row],[DESCRIPCION]],'CAP8'!$H:$H)</f>
        <v>0</v>
      </c>
      <c r="J28" s="69">
        <f ca="1">SUMIF('CAP9-13'!$B:$H,Equipo[[#This Row],[DESCRIPCION]],'CAP9-13'!$H:$H)</f>
        <v>0</v>
      </c>
      <c r="K28" s="69">
        <f ca="1">SUMIF('CAP14-15'!$B:$H,Equipo[[#This Row],[DESCRIPCION]],'CAP14-15'!$H:$H)</f>
        <v>0</v>
      </c>
      <c r="L28" s="69">
        <f ca="1">SUMIF('CAP16-18'!$B:$H,Equipo[[#This Row],[DESCRIPCION]],'CAP16-18'!$H:$H)</f>
        <v>0</v>
      </c>
      <c r="M28" s="69">
        <f ca="1">SUMIF('CAP19-22'!$B:$H,Equipo[[#This Row],[DESCRIPCION]],'CAP19-22'!$H:$H)</f>
        <v>0</v>
      </c>
      <c r="N28" s="69">
        <f ca="1">SUMIF('CAP23-24'!$B:$H,Equipo[[#This Row],[DESCRIPCION]],'CAP23-24'!$H:$H)</f>
        <v>0</v>
      </c>
      <c r="O28" s="69">
        <f ca="1">SUMIF('CAP25'!$B:$H,Equipo[[#This Row],[DESCRIPCION]],'CAP25'!$H:$H)</f>
        <v>0</v>
      </c>
      <c r="P28" s="69">
        <f ca="1">SUMIF('CAP26-28'!$B:$H,Equipo[[#This Row],[DESCRIPCION]],'CAP26-28'!$H:$H)</f>
        <v>0</v>
      </c>
      <c r="Q28" s="69">
        <f ca="1">SUMIF('CAP29'!$B:$H,Equipo[[#This Row],[DESCRIPCION]],'CAP29'!$H:$H)</f>
        <v>0</v>
      </c>
      <c r="R28" s="287"/>
      <c r="T28" s="304">
        <v>133952</v>
      </c>
    </row>
    <row r="29" spans="1:20" ht="12.75" customHeight="1">
      <c r="A29" s="286" t="s">
        <v>3598</v>
      </c>
      <c r="B29" s="280" t="s">
        <v>47</v>
      </c>
      <c r="C29" s="304">
        <f t="shared" si="0"/>
        <v>82467</v>
      </c>
      <c r="D29" s="281">
        <f ca="1">IF(Equipo[[#This Row],[VALOR]]=0,Equipo[[#This Row],[TOTAL]],E29/C29)</f>
        <v>0</v>
      </c>
      <c r="E29" s="69">
        <f ca="1">SUM(Equipo[[#This Row],[CAP1]:[CAP29]])</f>
        <v>0</v>
      </c>
      <c r="F29" s="69">
        <f ca="1">SUMIF('CAP1-3'!$B:$H,Equipo[[#This Row],[DESCRIPCION]],'CAP1-3'!$H:$H)</f>
        <v>0</v>
      </c>
      <c r="G29" s="69">
        <f ca="1">SUMIF('CAP4-5'!$B:$H,Equipo[[#This Row],[DESCRIPCION]],'CAP4-5'!$H:$H)</f>
        <v>0</v>
      </c>
      <c r="H29" s="69">
        <f ca="1">SUMIF('CAP6-7'!$B:$H,Equipo[[#This Row],[DESCRIPCION]],'CAP6-7'!$H:$H)</f>
        <v>0</v>
      </c>
      <c r="I29" s="69">
        <f ca="1">SUMIF('CAP8'!$B:$H,Equipo[[#This Row],[DESCRIPCION]],'CAP8'!$H:$H)</f>
        <v>0</v>
      </c>
      <c r="J29" s="69">
        <f ca="1">SUMIF('CAP9-13'!$B:$H,Equipo[[#This Row],[DESCRIPCION]],'CAP9-13'!$H:$H)</f>
        <v>0</v>
      </c>
      <c r="K29" s="69">
        <f ca="1">SUMIF('CAP14-15'!$B:$H,Equipo[[#This Row],[DESCRIPCION]],'CAP14-15'!$H:$H)</f>
        <v>0</v>
      </c>
      <c r="L29" s="69">
        <f ca="1">SUMIF('CAP16-18'!$B:$H,Equipo[[#This Row],[DESCRIPCION]],'CAP16-18'!$H:$H)</f>
        <v>0</v>
      </c>
      <c r="M29" s="69">
        <f ca="1">SUMIF('CAP19-22'!$B:$H,Equipo[[#This Row],[DESCRIPCION]],'CAP19-22'!$H:$H)</f>
        <v>0</v>
      </c>
      <c r="N29" s="69">
        <f ca="1">SUMIF('CAP23-24'!$B:$H,Equipo[[#This Row],[DESCRIPCION]],'CAP23-24'!$H:$H)</f>
        <v>0</v>
      </c>
      <c r="O29" s="69">
        <f ca="1">SUMIF('CAP25'!$B:$H,Equipo[[#This Row],[DESCRIPCION]],'CAP25'!$H:$H)</f>
        <v>0</v>
      </c>
      <c r="P29" s="69">
        <f ca="1">SUMIF('CAP26-28'!$B:$H,Equipo[[#This Row],[DESCRIPCION]],'CAP26-28'!$H:$H)</f>
        <v>0</v>
      </c>
      <c r="Q29" s="69">
        <f ca="1">SUMIF('CAP29'!$B:$H,Equipo[[#This Row],[DESCRIPCION]],'CAP29'!$H:$H)</f>
        <v>0</v>
      </c>
      <c r="R29" s="287"/>
      <c r="T29" s="304">
        <v>78540</v>
      </c>
    </row>
    <row r="30" spans="1:20" ht="12.75" customHeight="1">
      <c r="A30" s="286" t="s">
        <v>3599</v>
      </c>
      <c r="B30" s="280" t="s">
        <v>3571</v>
      </c>
      <c r="C30" s="304">
        <f t="shared" si="0"/>
        <v>0</v>
      </c>
      <c r="D30" s="281">
        <f ca="1">IF(Equipo[[#This Row],[VALOR]]=0,Equipo[[#This Row],[TOTAL]],E30/C30)</f>
        <v>0</v>
      </c>
      <c r="E30" s="69">
        <f ca="1">SUM(Equipo[[#This Row],[CAP1]:[CAP29]])</f>
        <v>0</v>
      </c>
      <c r="F30" s="69">
        <f ca="1">SUMIF('CAP1-3'!$B:$H,Equipo[[#This Row],[DESCRIPCION]],'CAP1-3'!$H:$H)</f>
        <v>0</v>
      </c>
      <c r="G30" s="69">
        <f ca="1">SUMIF('CAP4-5'!$B:$H,Equipo[[#This Row],[DESCRIPCION]],'CAP4-5'!$H:$H)</f>
        <v>0</v>
      </c>
      <c r="H30" s="69">
        <f ca="1">SUMIF('CAP6-7'!$B:$H,Equipo[[#This Row],[DESCRIPCION]],'CAP6-7'!$H:$H)</f>
        <v>0</v>
      </c>
      <c r="I30" s="69">
        <f ca="1">SUMIF('CAP8'!$B:$H,Equipo[[#This Row],[DESCRIPCION]],'CAP8'!$H:$H)</f>
        <v>0</v>
      </c>
      <c r="J30" s="69">
        <f ca="1">SUMIF('CAP9-13'!$B:$H,Equipo[[#This Row],[DESCRIPCION]],'CAP9-13'!$H:$H)</f>
        <v>0</v>
      </c>
      <c r="K30" s="69">
        <f ca="1">SUMIF('CAP14-15'!$B:$H,Equipo[[#This Row],[DESCRIPCION]],'CAP14-15'!$H:$H)</f>
        <v>0</v>
      </c>
      <c r="L30" s="69">
        <f ca="1">SUMIF('CAP16-18'!$B:$H,Equipo[[#This Row],[DESCRIPCION]],'CAP16-18'!$H:$H)</f>
        <v>0</v>
      </c>
      <c r="M30" s="69">
        <f ca="1">SUMIF('CAP19-22'!$B:$H,Equipo[[#This Row],[DESCRIPCION]],'CAP19-22'!$H:$H)</f>
        <v>0</v>
      </c>
      <c r="N30" s="69">
        <f ca="1">SUMIF('CAP23-24'!$B:$H,Equipo[[#This Row],[DESCRIPCION]],'CAP23-24'!$H:$H)</f>
        <v>0</v>
      </c>
      <c r="O30" s="69">
        <f ca="1">SUMIF('CAP25'!$B:$H,Equipo[[#This Row],[DESCRIPCION]],'CAP25'!$H:$H)</f>
        <v>0</v>
      </c>
      <c r="P30" s="69">
        <f ca="1">SUMIF('CAP26-28'!$B:$H,Equipo[[#This Row],[DESCRIPCION]],'CAP26-28'!$H:$H)</f>
        <v>0</v>
      </c>
      <c r="Q30" s="69">
        <f ca="1">SUMIF('CAP29'!$B:$H,Equipo[[#This Row],[DESCRIPCION]],'CAP29'!$H:$H)</f>
        <v>0</v>
      </c>
      <c r="R30" s="287"/>
      <c r="T30" s="304">
        <v>0</v>
      </c>
    </row>
    <row r="31" spans="1:20" ht="12.75" customHeight="1">
      <c r="A31" s="286" t="s">
        <v>3600</v>
      </c>
      <c r="B31" s="280" t="s">
        <v>47</v>
      </c>
      <c r="C31" s="304">
        <f t="shared" si="0"/>
        <v>82467</v>
      </c>
      <c r="D31" s="281">
        <f ca="1">IF(Equipo[[#This Row],[VALOR]]=0,Equipo[[#This Row],[TOTAL]],E31/C31)</f>
        <v>0</v>
      </c>
      <c r="E31" s="69">
        <f ca="1">SUM(Equipo[[#This Row],[CAP1]:[CAP29]])</f>
        <v>0</v>
      </c>
      <c r="F31" s="69">
        <f ca="1">SUMIF('CAP1-3'!$B:$H,Equipo[[#This Row],[DESCRIPCION]],'CAP1-3'!$H:$H)</f>
        <v>0</v>
      </c>
      <c r="G31" s="69">
        <f ca="1">SUMIF('CAP4-5'!$B:$H,Equipo[[#This Row],[DESCRIPCION]],'CAP4-5'!$H:$H)</f>
        <v>0</v>
      </c>
      <c r="H31" s="69">
        <f ca="1">SUMIF('CAP6-7'!$B:$H,Equipo[[#This Row],[DESCRIPCION]],'CAP6-7'!$H:$H)</f>
        <v>0</v>
      </c>
      <c r="I31" s="69">
        <f ca="1">SUMIF('CAP8'!$B:$H,Equipo[[#This Row],[DESCRIPCION]],'CAP8'!$H:$H)</f>
        <v>0</v>
      </c>
      <c r="J31" s="69">
        <f ca="1">SUMIF('CAP9-13'!$B:$H,Equipo[[#This Row],[DESCRIPCION]],'CAP9-13'!$H:$H)</f>
        <v>0</v>
      </c>
      <c r="K31" s="69">
        <f ca="1">SUMIF('CAP14-15'!$B:$H,Equipo[[#This Row],[DESCRIPCION]],'CAP14-15'!$H:$H)</f>
        <v>0</v>
      </c>
      <c r="L31" s="69">
        <f ca="1">SUMIF('CAP16-18'!$B:$H,Equipo[[#This Row],[DESCRIPCION]],'CAP16-18'!$H:$H)</f>
        <v>0</v>
      </c>
      <c r="M31" s="69">
        <f ca="1">SUMIF('CAP19-22'!$B:$H,Equipo[[#This Row],[DESCRIPCION]],'CAP19-22'!$H:$H)</f>
        <v>0</v>
      </c>
      <c r="N31" s="69">
        <f ca="1">SUMIF('CAP23-24'!$B:$H,Equipo[[#This Row],[DESCRIPCION]],'CAP23-24'!$H:$H)</f>
        <v>0</v>
      </c>
      <c r="O31" s="69">
        <f ca="1">SUMIF('CAP25'!$B:$H,Equipo[[#This Row],[DESCRIPCION]],'CAP25'!$H:$H)</f>
        <v>0</v>
      </c>
      <c r="P31" s="69">
        <f ca="1">SUMIF('CAP26-28'!$B:$H,Equipo[[#This Row],[DESCRIPCION]],'CAP26-28'!$H:$H)</f>
        <v>0</v>
      </c>
      <c r="Q31" s="69">
        <f ca="1">SUMIF('CAP29'!$B:$H,Equipo[[#This Row],[DESCRIPCION]],'CAP29'!$H:$H)</f>
        <v>0</v>
      </c>
      <c r="R31" s="287"/>
      <c r="T31" s="304">
        <v>78540</v>
      </c>
    </row>
    <row r="32" spans="1:20" ht="12.75" customHeight="1">
      <c r="A32" s="286" t="s">
        <v>3601</v>
      </c>
      <c r="B32" s="280" t="s">
        <v>47</v>
      </c>
      <c r="C32" s="304">
        <f t="shared" si="0"/>
        <v>82467</v>
      </c>
      <c r="D32" s="281">
        <f ca="1">IF(Equipo[[#This Row],[VALOR]]=0,Equipo[[#This Row],[TOTAL]],E32/C32)</f>
        <v>0</v>
      </c>
      <c r="E32" s="69">
        <f ca="1">SUM(Equipo[[#This Row],[CAP1]:[CAP29]])</f>
        <v>0</v>
      </c>
      <c r="F32" s="69">
        <f ca="1">SUMIF('CAP1-3'!$B:$H,Equipo[[#This Row],[DESCRIPCION]],'CAP1-3'!$H:$H)</f>
        <v>0</v>
      </c>
      <c r="G32" s="69">
        <f ca="1">SUMIF('CAP4-5'!$B:$H,Equipo[[#This Row],[DESCRIPCION]],'CAP4-5'!$H:$H)</f>
        <v>0</v>
      </c>
      <c r="H32" s="69">
        <f ca="1">SUMIF('CAP6-7'!$B:$H,Equipo[[#This Row],[DESCRIPCION]],'CAP6-7'!$H:$H)</f>
        <v>0</v>
      </c>
      <c r="I32" s="69">
        <f ca="1">SUMIF('CAP8'!$B:$H,Equipo[[#This Row],[DESCRIPCION]],'CAP8'!$H:$H)</f>
        <v>0</v>
      </c>
      <c r="J32" s="69">
        <f ca="1">SUMIF('CAP9-13'!$B:$H,Equipo[[#This Row],[DESCRIPCION]],'CAP9-13'!$H:$H)</f>
        <v>0</v>
      </c>
      <c r="K32" s="69">
        <f ca="1">SUMIF('CAP14-15'!$B:$H,Equipo[[#This Row],[DESCRIPCION]],'CAP14-15'!$H:$H)</f>
        <v>0</v>
      </c>
      <c r="L32" s="69">
        <f ca="1">SUMIF('CAP16-18'!$B:$H,Equipo[[#This Row],[DESCRIPCION]],'CAP16-18'!$H:$H)</f>
        <v>0</v>
      </c>
      <c r="M32" s="69">
        <f ca="1">SUMIF('CAP19-22'!$B:$H,Equipo[[#This Row],[DESCRIPCION]],'CAP19-22'!$H:$H)</f>
        <v>0</v>
      </c>
      <c r="N32" s="69">
        <f ca="1">SUMIF('CAP23-24'!$B:$H,Equipo[[#This Row],[DESCRIPCION]],'CAP23-24'!$H:$H)</f>
        <v>0</v>
      </c>
      <c r="O32" s="69">
        <f ca="1">SUMIF('CAP25'!$B:$H,Equipo[[#This Row],[DESCRIPCION]],'CAP25'!$H:$H)</f>
        <v>0</v>
      </c>
      <c r="P32" s="69">
        <f ca="1">SUMIF('CAP26-28'!$B:$H,Equipo[[#This Row],[DESCRIPCION]],'CAP26-28'!$H:$H)</f>
        <v>0</v>
      </c>
      <c r="Q32" s="69">
        <f ca="1">SUMIF('CAP29'!$B:$H,Equipo[[#This Row],[DESCRIPCION]],'CAP29'!$H:$H)</f>
        <v>0</v>
      </c>
      <c r="R32" s="287"/>
      <c r="T32" s="304">
        <v>78540</v>
      </c>
    </row>
    <row r="33" spans="1:20" ht="12.75" customHeight="1">
      <c r="A33" s="286" t="s">
        <v>3602</v>
      </c>
      <c r="B33" s="280" t="s">
        <v>3582</v>
      </c>
      <c r="C33" s="304">
        <f t="shared" si="0"/>
        <v>82467</v>
      </c>
      <c r="D33" s="281">
        <f ca="1">IF(Equipo[[#This Row],[VALOR]]=0,Equipo[[#This Row],[TOTAL]],E33/C33)</f>
        <v>0</v>
      </c>
      <c r="E33" s="69">
        <f ca="1">SUM(Equipo[[#This Row],[CAP1]:[CAP29]])</f>
        <v>0</v>
      </c>
      <c r="F33" s="69">
        <f ca="1">SUMIF('CAP1-3'!$B:$H,Equipo[[#This Row],[DESCRIPCION]],'CAP1-3'!$H:$H)</f>
        <v>0</v>
      </c>
      <c r="G33" s="69">
        <f ca="1">SUMIF('CAP4-5'!$B:$H,Equipo[[#This Row],[DESCRIPCION]],'CAP4-5'!$H:$H)</f>
        <v>0</v>
      </c>
      <c r="H33" s="69">
        <f ca="1">SUMIF('CAP6-7'!$B:$H,Equipo[[#This Row],[DESCRIPCION]],'CAP6-7'!$H:$H)</f>
        <v>0</v>
      </c>
      <c r="I33" s="69">
        <f ca="1">SUMIF('CAP8'!$B:$H,Equipo[[#This Row],[DESCRIPCION]],'CAP8'!$H:$H)</f>
        <v>0</v>
      </c>
      <c r="J33" s="69">
        <f ca="1">SUMIF('CAP9-13'!$B:$H,Equipo[[#This Row],[DESCRIPCION]],'CAP9-13'!$H:$H)</f>
        <v>0</v>
      </c>
      <c r="K33" s="69">
        <f ca="1">SUMIF('CAP14-15'!$B:$H,Equipo[[#This Row],[DESCRIPCION]],'CAP14-15'!$H:$H)</f>
        <v>0</v>
      </c>
      <c r="L33" s="69">
        <f ca="1">SUMIF('CAP16-18'!$B:$H,Equipo[[#This Row],[DESCRIPCION]],'CAP16-18'!$H:$H)</f>
        <v>0</v>
      </c>
      <c r="M33" s="69">
        <f ca="1">SUMIF('CAP19-22'!$B:$H,Equipo[[#This Row],[DESCRIPCION]],'CAP19-22'!$H:$H)</f>
        <v>0</v>
      </c>
      <c r="N33" s="69">
        <f ca="1">SUMIF('CAP23-24'!$B:$H,Equipo[[#This Row],[DESCRIPCION]],'CAP23-24'!$H:$H)</f>
        <v>0</v>
      </c>
      <c r="O33" s="69">
        <f ca="1">SUMIF('CAP25'!$B:$H,Equipo[[#This Row],[DESCRIPCION]],'CAP25'!$H:$H)</f>
        <v>0</v>
      </c>
      <c r="P33" s="69">
        <f ca="1">SUMIF('CAP26-28'!$B:$H,Equipo[[#This Row],[DESCRIPCION]],'CAP26-28'!$H:$H)</f>
        <v>0</v>
      </c>
      <c r="Q33" s="69">
        <f ca="1">SUMIF('CAP29'!$B:$H,Equipo[[#This Row],[DESCRIPCION]],'CAP29'!$H:$H)</f>
        <v>0</v>
      </c>
      <c r="R33" s="287"/>
      <c r="T33" s="304">
        <v>78540</v>
      </c>
    </row>
    <row r="34" spans="1:20" ht="12.75" customHeight="1">
      <c r="A34" s="286" t="s">
        <v>3603</v>
      </c>
      <c r="B34" s="280" t="s">
        <v>47</v>
      </c>
      <c r="C34" s="304">
        <f t="shared" si="0"/>
        <v>80116.05</v>
      </c>
      <c r="D34" s="281">
        <f ca="1">IF(Equipo[[#This Row],[VALOR]]=0,Equipo[[#This Row],[TOTAL]],E34/C34)</f>
        <v>0</v>
      </c>
      <c r="E34" s="69">
        <f ca="1">SUM(Equipo[[#This Row],[CAP1]:[CAP29]])</f>
        <v>0</v>
      </c>
      <c r="F34" s="69">
        <f ca="1">SUMIF('CAP1-3'!$B:$H,Equipo[[#This Row],[DESCRIPCION]],'CAP1-3'!$H:$H)</f>
        <v>0</v>
      </c>
      <c r="G34" s="69">
        <f ca="1">SUMIF('CAP4-5'!$B:$H,Equipo[[#This Row],[DESCRIPCION]],'CAP4-5'!$H:$H)</f>
        <v>0</v>
      </c>
      <c r="H34" s="69">
        <f ca="1">SUMIF('CAP6-7'!$B:$H,Equipo[[#This Row],[DESCRIPCION]],'CAP6-7'!$H:$H)</f>
        <v>0</v>
      </c>
      <c r="I34" s="69">
        <f ca="1">SUMIF('CAP8'!$B:$H,Equipo[[#This Row],[DESCRIPCION]],'CAP8'!$H:$H)</f>
        <v>0</v>
      </c>
      <c r="J34" s="69">
        <f ca="1">SUMIF('CAP9-13'!$B:$H,Equipo[[#This Row],[DESCRIPCION]],'CAP9-13'!$H:$H)</f>
        <v>0</v>
      </c>
      <c r="K34" s="69">
        <f ca="1">SUMIF('CAP14-15'!$B:$H,Equipo[[#This Row],[DESCRIPCION]],'CAP14-15'!$H:$H)</f>
        <v>0</v>
      </c>
      <c r="L34" s="69">
        <f ca="1">SUMIF('CAP16-18'!$B:$H,Equipo[[#This Row],[DESCRIPCION]],'CAP16-18'!$H:$H)</f>
        <v>0</v>
      </c>
      <c r="M34" s="69">
        <f ca="1">SUMIF('CAP19-22'!$B:$H,Equipo[[#This Row],[DESCRIPCION]],'CAP19-22'!$H:$H)</f>
        <v>0</v>
      </c>
      <c r="N34" s="69">
        <f ca="1">SUMIF('CAP23-24'!$B:$H,Equipo[[#This Row],[DESCRIPCION]],'CAP23-24'!$H:$H)</f>
        <v>0</v>
      </c>
      <c r="O34" s="69">
        <f ca="1">SUMIF('CAP25'!$B:$H,Equipo[[#This Row],[DESCRIPCION]],'CAP25'!$H:$H)</f>
        <v>0</v>
      </c>
      <c r="P34" s="69">
        <f ca="1">SUMIF('CAP26-28'!$B:$H,Equipo[[#This Row],[DESCRIPCION]],'CAP26-28'!$H:$H)</f>
        <v>0</v>
      </c>
      <c r="Q34" s="69">
        <f ca="1">SUMIF('CAP29'!$B:$H,Equipo[[#This Row],[DESCRIPCION]],'CAP29'!$H:$H)</f>
        <v>0</v>
      </c>
      <c r="R34" s="287"/>
      <c r="T34" s="304">
        <v>76301</v>
      </c>
    </row>
    <row r="35" spans="1:20" ht="12.75" customHeight="1">
      <c r="A35" s="286" t="s">
        <v>3604</v>
      </c>
      <c r="B35" s="280" t="s">
        <v>47</v>
      </c>
      <c r="C35" s="304">
        <f t="shared" si="0"/>
        <v>54978</v>
      </c>
      <c r="D35" s="281">
        <f ca="1">IF(Equipo[[#This Row],[VALOR]]=0,Equipo[[#This Row],[TOTAL]],E35/C35)</f>
        <v>0</v>
      </c>
      <c r="E35" s="69">
        <f ca="1">SUM(Equipo[[#This Row],[CAP1]:[CAP29]])</f>
        <v>0</v>
      </c>
      <c r="F35" s="69">
        <f ca="1">SUMIF('CAP1-3'!$B:$H,Equipo[[#This Row],[DESCRIPCION]],'CAP1-3'!$H:$H)</f>
        <v>0</v>
      </c>
      <c r="G35" s="69">
        <f ca="1">SUMIF('CAP4-5'!$B:$H,Equipo[[#This Row],[DESCRIPCION]],'CAP4-5'!$H:$H)</f>
        <v>0</v>
      </c>
      <c r="H35" s="69">
        <f ca="1">SUMIF('CAP6-7'!$B:$H,Equipo[[#This Row],[DESCRIPCION]],'CAP6-7'!$H:$H)</f>
        <v>0</v>
      </c>
      <c r="I35" s="69">
        <f ca="1">SUMIF('CAP8'!$B:$H,Equipo[[#This Row],[DESCRIPCION]],'CAP8'!$H:$H)</f>
        <v>0</v>
      </c>
      <c r="J35" s="69">
        <f ca="1">SUMIF('CAP9-13'!$B:$H,Equipo[[#This Row],[DESCRIPCION]],'CAP9-13'!$H:$H)</f>
        <v>0</v>
      </c>
      <c r="K35" s="69">
        <f ca="1">SUMIF('CAP14-15'!$B:$H,Equipo[[#This Row],[DESCRIPCION]],'CAP14-15'!$H:$H)</f>
        <v>0</v>
      </c>
      <c r="L35" s="69">
        <f ca="1">SUMIF('CAP16-18'!$B:$H,Equipo[[#This Row],[DESCRIPCION]],'CAP16-18'!$H:$H)</f>
        <v>0</v>
      </c>
      <c r="M35" s="69">
        <f ca="1">SUMIF('CAP19-22'!$B:$H,Equipo[[#This Row],[DESCRIPCION]],'CAP19-22'!$H:$H)</f>
        <v>0</v>
      </c>
      <c r="N35" s="69">
        <f ca="1">SUMIF('CAP23-24'!$B:$H,Equipo[[#This Row],[DESCRIPCION]],'CAP23-24'!$H:$H)</f>
        <v>0</v>
      </c>
      <c r="O35" s="69">
        <f ca="1">SUMIF('CAP25'!$B:$H,Equipo[[#This Row],[DESCRIPCION]],'CAP25'!$H:$H)</f>
        <v>0</v>
      </c>
      <c r="P35" s="69">
        <f ca="1">SUMIF('CAP26-28'!$B:$H,Equipo[[#This Row],[DESCRIPCION]],'CAP26-28'!$H:$H)</f>
        <v>0</v>
      </c>
      <c r="Q35" s="69">
        <f ca="1">SUMIF('CAP29'!$B:$H,Equipo[[#This Row],[DESCRIPCION]],'CAP29'!$H:$H)</f>
        <v>0</v>
      </c>
      <c r="R35" s="287"/>
      <c r="T35" s="304">
        <v>52360</v>
      </c>
    </row>
    <row r="36" spans="1:20" ht="12.75" customHeight="1">
      <c r="A36" s="286" t="s">
        <v>3605</v>
      </c>
      <c r="B36" s="280" t="s">
        <v>47</v>
      </c>
      <c r="C36" s="304">
        <f t="shared" si="0"/>
        <v>85247.400000000009</v>
      </c>
      <c r="D36" s="281">
        <f ca="1">IF(Equipo[[#This Row],[VALOR]]=0,Equipo[[#This Row],[TOTAL]],E36/C36)</f>
        <v>0</v>
      </c>
      <c r="E36" s="69">
        <f ca="1">SUM(Equipo[[#This Row],[CAP1]:[CAP29]])</f>
        <v>0</v>
      </c>
      <c r="F36" s="69">
        <f ca="1">SUMIF('CAP1-3'!$B:$H,Equipo[[#This Row],[DESCRIPCION]],'CAP1-3'!$H:$H)</f>
        <v>0</v>
      </c>
      <c r="G36" s="69">
        <f ca="1">SUMIF('CAP4-5'!$B:$H,Equipo[[#This Row],[DESCRIPCION]],'CAP4-5'!$H:$H)</f>
        <v>0</v>
      </c>
      <c r="H36" s="69">
        <f ca="1">SUMIF('CAP6-7'!$B:$H,Equipo[[#This Row],[DESCRIPCION]],'CAP6-7'!$H:$H)</f>
        <v>0</v>
      </c>
      <c r="I36" s="69">
        <f ca="1">SUMIF('CAP8'!$B:$H,Equipo[[#This Row],[DESCRIPCION]],'CAP8'!$H:$H)</f>
        <v>0</v>
      </c>
      <c r="J36" s="69">
        <f ca="1">SUMIF('CAP9-13'!$B:$H,Equipo[[#This Row],[DESCRIPCION]],'CAP9-13'!$H:$H)</f>
        <v>0</v>
      </c>
      <c r="K36" s="69">
        <f ca="1">SUMIF('CAP14-15'!$B:$H,Equipo[[#This Row],[DESCRIPCION]],'CAP14-15'!$H:$H)</f>
        <v>0</v>
      </c>
      <c r="L36" s="69">
        <f ca="1">SUMIF('CAP16-18'!$B:$H,Equipo[[#This Row],[DESCRIPCION]],'CAP16-18'!$H:$H)</f>
        <v>0</v>
      </c>
      <c r="M36" s="69">
        <f ca="1">SUMIF('CAP19-22'!$B:$H,Equipo[[#This Row],[DESCRIPCION]],'CAP19-22'!$H:$H)</f>
        <v>0</v>
      </c>
      <c r="N36" s="69">
        <f ca="1">SUMIF('CAP23-24'!$B:$H,Equipo[[#This Row],[DESCRIPCION]],'CAP23-24'!$H:$H)</f>
        <v>0</v>
      </c>
      <c r="O36" s="69">
        <f ca="1">SUMIF('CAP25'!$B:$H,Equipo[[#This Row],[DESCRIPCION]],'CAP25'!$H:$H)</f>
        <v>0</v>
      </c>
      <c r="P36" s="69">
        <f ca="1">SUMIF('CAP26-28'!$B:$H,Equipo[[#This Row],[DESCRIPCION]],'CAP26-28'!$H:$H)</f>
        <v>0</v>
      </c>
      <c r="Q36" s="69">
        <f ca="1">SUMIF('CAP29'!$B:$H,Equipo[[#This Row],[DESCRIPCION]],'CAP29'!$H:$H)</f>
        <v>0</v>
      </c>
      <c r="R36" s="287"/>
      <c r="T36" s="304">
        <v>81188</v>
      </c>
    </row>
    <row r="37" spans="1:20" ht="12.75" customHeight="1">
      <c r="A37" s="286" t="s">
        <v>3606</v>
      </c>
      <c r="B37" s="280" t="s">
        <v>47</v>
      </c>
      <c r="C37" s="304">
        <f t="shared" si="0"/>
        <v>145665.45000000001</v>
      </c>
      <c r="D37" s="281">
        <f ca="1">IF(Equipo[[#This Row],[VALOR]]=0,Equipo[[#This Row],[TOTAL]],E37/C37)</f>
        <v>0</v>
      </c>
      <c r="E37" s="69">
        <f ca="1">SUM(Equipo[[#This Row],[CAP1]:[CAP29]])</f>
        <v>0</v>
      </c>
      <c r="F37" s="69">
        <f ca="1">SUMIF('CAP1-3'!$B:$H,Equipo[[#This Row],[DESCRIPCION]],'CAP1-3'!$H:$H)</f>
        <v>0</v>
      </c>
      <c r="G37" s="69">
        <f ca="1">SUMIF('CAP4-5'!$B:$H,Equipo[[#This Row],[DESCRIPCION]],'CAP4-5'!$H:$H)</f>
        <v>0</v>
      </c>
      <c r="H37" s="69">
        <f ca="1">SUMIF('CAP6-7'!$B:$H,Equipo[[#This Row],[DESCRIPCION]],'CAP6-7'!$H:$H)</f>
        <v>0</v>
      </c>
      <c r="I37" s="69">
        <f ca="1">SUMIF('CAP8'!$B:$H,Equipo[[#This Row],[DESCRIPCION]],'CAP8'!$H:$H)</f>
        <v>0</v>
      </c>
      <c r="J37" s="69">
        <f ca="1">SUMIF('CAP9-13'!$B:$H,Equipo[[#This Row],[DESCRIPCION]],'CAP9-13'!$H:$H)</f>
        <v>0</v>
      </c>
      <c r="K37" s="69">
        <f ca="1">SUMIF('CAP14-15'!$B:$H,Equipo[[#This Row],[DESCRIPCION]],'CAP14-15'!$H:$H)</f>
        <v>0</v>
      </c>
      <c r="L37" s="69">
        <f ca="1">SUMIF('CAP16-18'!$B:$H,Equipo[[#This Row],[DESCRIPCION]],'CAP16-18'!$H:$H)</f>
        <v>0</v>
      </c>
      <c r="M37" s="69">
        <f ca="1">SUMIF('CAP19-22'!$B:$H,Equipo[[#This Row],[DESCRIPCION]],'CAP19-22'!$H:$H)</f>
        <v>0</v>
      </c>
      <c r="N37" s="69">
        <f ca="1">SUMIF('CAP23-24'!$B:$H,Equipo[[#This Row],[DESCRIPCION]],'CAP23-24'!$H:$H)</f>
        <v>0</v>
      </c>
      <c r="O37" s="69">
        <f ca="1">SUMIF('CAP25'!$B:$H,Equipo[[#This Row],[DESCRIPCION]],'CAP25'!$H:$H)</f>
        <v>0</v>
      </c>
      <c r="P37" s="69">
        <f ca="1">SUMIF('CAP26-28'!$B:$H,Equipo[[#This Row],[DESCRIPCION]],'CAP26-28'!$H:$H)</f>
        <v>0</v>
      </c>
      <c r="Q37" s="69">
        <f ca="1">SUMIF('CAP29'!$B:$H,Equipo[[#This Row],[DESCRIPCION]],'CAP29'!$H:$H)</f>
        <v>0</v>
      </c>
      <c r="R37" s="287"/>
      <c r="T37" s="304">
        <v>138729</v>
      </c>
    </row>
    <row r="38" spans="1:20" ht="12.75" customHeight="1">
      <c r="A38" s="286" t="s">
        <v>3607</v>
      </c>
      <c r="B38" s="280" t="s">
        <v>47</v>
      </c>
      <c r="C38" s="304">
        <f t="shared" si="0"/>
        <v>284156.25</v>
      </c>
      <c r="D38" s="281">
        <f ca="1">IF(Equipo[[#This Row],[VALOR]]=0,Equipo[[#This Row],[TOTAL]],E38/C38)</f>
        <v>0</v>
      </c>
      <c r="E38" s="69">
        <f ca="1">SUM(Equipo[[#This Row],[CAP1]:[CAP29]])</f>
        <v>0</v>
      </c>
      <c r="F38" s="69">
        <f ca="1">SUMIF('CAP1-3'!$B:$H,Equipo[[#This Row],[DESCRIPCION]],'CAP1-3'!$H:$H)</f>
        <v>0</v>
      </c>
      <c r="G38" s="69">
        <f ca="1">SUMIF('CAP4-5'!$B:$H,Equipo[[#This Row],[DESCRIPCION]],'CAP4-5'!$H:$H)</f>
        <v>0</v>
      </c>
      <c r="H38" s="69">
        <f ca="1">SUMIF('CAP6-7'!$B:$H,Equipo[[#This Row],[DESCRIPCION]],'CAP6-7'!$H:$H)</f>
        <v>0</v>
      </c>
      <c r="I38" s="69">
        <f ca="1">SUMIF('CAP8'!$B:$H,Equipo[[#This Row],[DESCRIPCION]],'CAP8'!$H:$H)</f>
        <v>0</v>
      </c>
      <c r="J38" s="69">
        <f ca="1">SUMIF('CAP9-13'!$B:$H,Equipo[[#This Row],[DESCRIPCION]],'CAP9-13'!$H:$H)</f>
        <v>0</v>
      </c>
      <c r="K38" s="69">
        <f ca="1">SUMIF('CAP14-15'!$B:$H,Equipo[[#This Row],[DESCRIPCION]],'CAP14-15'!$H:$H)</f>
        <v>0</v>
      </c>
      <c r="L38" s="69">
        <f ca="1">SUMIF('CAP16-18'!$B:$H,Equipo[[#This Row],[DESCRIPCION]],'CAP16-18'!$H:$H)</f>
        <v>0</v>
      </c>
      <c r="M38" s="69">
        <f ca="1">SUMIF('CAP19-22'!$B:$H,Equipo[[#This Row],[DESCRIPCION]],'CAP19-22'!$H:$H)</f>
        <v>0</v>
      </c>
      <c r="N38" s="69">
        <f ca="1">SUMIF('CAP23-24'!$B:$H,Equipo[[#This Row],[DESCRIPCION]],'CAP23-24'!$H:$H)</f>
        <v>0</v>
      </c>
      <c r="O38" s="69">
        <f ca="1">SUMIF('CAP25'!$B:$H,Equipo[[#This Row],[DESCRIPCION]],'CAP25'!$H:$H)</f>
        <v>0</v>
      </c>
      <c r="P38" s="69">
        <f ca="1">SUMIF('CAP26-28'!$B:$H,Equipo[[#This Row],[DESCRIPCION]],'CAP26-28'!$H:$H)</f>
        <v>0</v>
      </c>
      <c r="Q38" s="69">
        <f ca="1">SUMIF('CAP29'!$B:$H,Equipo[[#This Row],[DESCRIPCION]],'CAP29'!$H:$H)</f>
        <v>0</v>
      </c>
      <c r="R38" s="287"/>
      <c r="T38" s="304">
        <v>270625</v>
      </c>
    </row>
    <row r="39" spans="1:20" ht="12.75" customHeight="1">
      <c r="A39" s="286" t="s">
        <v>3608</v>
      </c>
      <c r="B39" s="280" t="s">
        <v>3582</v>
      </c>
      <c r="C39" s="304">
        <f t="shared" si="0"/>
        <v>721591.5</v>
      </c>
      <c r="D39" s="281">
        <f ca="1">IF(Equipo[[#This Row],[VALOR]]=0,Equipo[[#This Row],[TOTAL]],E39/C39)</f>
        <v>0</v>
      </c>
      <c r="E39" s="69">
        <f ca="1">SUM(Equipo[[#This Row],[CAP1]:[CAP29]])</f>
        <v>0</v>
      </c>
      <c r="F39" s="69">
        <f ca="1">SUMIF('CAP1-3'!$B:$H,Equipo[[#This Row],[DESCRIPCION]],'CAP1-3'!$H:$H)</f>
        <v>0</v>
      </c>
      <c r="G39" s="69">
        <f ca="1">SUMIF('CAP4-5'!$B:$H,Equipo[[#This Row],[DESCRIPCION]],'CAP4-5'!$H:$H)</f>
        <v>0</v>
      </c>
      <c r="H39" s="69">
        <f ca="1">SUMIF('CAP6-7'!$B:$H,Equipo[[#This Row],[DESCRIPCION]],'CAP6-7'!$H:$H)</f>
        <v>0</v>
      </c>
      <c r="I39" s="69">
        <f ca="1">SUMIF('CAP8'!$B:$H,Equipo[[#This Row],[DESCRIPCION]],'CAP8'!$H:$H)</f>
        <v>0</v>
      </c>
      <c r="J39" s="69">
        <f ca="1">SUMIF('CAP9-13'!$B:$H,Equipo[[#This Row],[DESCRIPCION]],'CAP9-13'!$H:$H)</f>
        <v>0</v>
      </c>
      <c r="K39" s="69">
        <f ca="1">SUMIF('CAP14-15'!$B:$H,Equipo[[#This Row],[DESCRIPCION]],'CAP14-15'!$H:$H)</f>
        <v>0</v>
      </c>
      <c r="L39" s="69">
        <f ca="1">SUMIF('CAP16-18'!$B:$H,Equipo[[#This Row],[DESCRIPCION]],'CAP16-18'!$H:$H)</f>
        <v>0</v>
      </c>
      <c r="M39" s="69">
        <f ca="1">SUMIF('CAP19-22'!$B:$H,Equipo[[#This Row],[DESCRIPCION]],'CAP19-22'!$H:$H)</f>
        <v>0</v>
      </c>
      <c r="N39" s="69">
        <f ca="1">SUMIF('CAP23-24'!$B:$H,Equipo[[#This Row],[DESCRIPCION]],'CAP23-24'!$H:$H)</f>
        <v>0</v>
      </c>
      <c r="O39" s="69">
        <f ca="1">SUMIF('CAP25'!$B:$H,Equipo[[#This Row],[DESCRIPCION]],'CAP25'!$H:$H)</f>
        <v>0</v>
      </c>
      <c r="P39" s="69">
        <f ca="1">SUMIF('CAP26-28'!$B:$H,Equipo[[#This Row],[DESCRIPCION]],'CAP26-28'!$H:$H)</f>
        <v>0</v>
      </c>
      <c r="Q39" s="69">
        <f ca="1">SUMIF('CAP29'!$B:$H,Equipo[[#This Row],[DESCRIPCION]],'CAP29'!$H:$H)</f>
        <v>0</v>
      </c>
      <c r="R39" s="287"/>
      <c r="T39" s="304">
        <v>687230</v>
      </c>
    </row>
    <row r="40" spans="1:20" ht="12.75" customHeight="1">
      <c r="A40" s="286" t="s">
        <v>3609</v>
      </c>
      <c r="B40" s="280" t="s">
        <v>3582</v>
      </c>
      <c r="C40" s="304">
        <f t="shared" si="0"/>
        <v>111996.15000000001</v>
      </c>
      <c r="D40" s="281">
        <f ca="1">IF(Equipo[[#This Row],[VALOR]]=0,Equipo[[#This Row],[TOTAL]],E40/C40)</f>
        <v>0</v>
      </c>
      <c r="E40" s="69">
        <f ca="1">SUM(Equipo[[#This Row],[CAP1]:[CAP29]])</f>
        <v>0</v>
      </c>
      <c r="F40" s="69">
        <f ca="1">SUMIF('CAP1-3'!$B:$H,Equipo[[#This Row],[DESCRIPCION]],'CAP1-3'!$H:$H)</f>
        <v>0</v>
      </c>
      <c r="G40" s="69">
        <f ca="1">SUMIF('CAP4-5'!$B:$H,Equipo[[#This Row],[DESCRIPCION]],'CAP4-5'!$H:$H)</f>
        <v>0</v>
      </c>
      <c r="H40" s="69">
        <f ca="1">SUMIF('CAP6-7'!$B:$H,Equipo[[#This Row],[DESCRIPCION]],'CAP6-7'!$H:$H)</f>
        <v>0</v>
      </c>
      <c r="I40" s="69">
        <f ca="1">SUMIF('CAP8'!$B:$H,Equipo[[#This Row],[DESCRIPCION]],'CAP8'!$H:$H)</f>
        <v>0</v>
      </c>
      <c r="J40" s="69">
        <f ca="1">SUMIF('CAP9-13'!$B:$H,Equipo[[#This Row],[DESCRIPCION]],'CAP9-13'!$H:$H)</f>
        <v>0</v>
      </c>
      <c r="K40" s="69">
        <f ca="1">SUMIF('CAP14-15'!$B:$H,Equipo[[#This Row],[DESCRIPCION]],'CAP14-15'!$H:$H)</f>
        <v>0</v>
      </c>
      <c r="L40" s="69">
        <f ca="1">SUMIF('CAP16-18'!$B:$H,Equipo[[#This Row],[DESCRIPCION]],'CAP16-18'!$H:$H)</f>
        <v>0</v>
      </c>
      <c r="M40" s="69">
        <f ca="1">SUMIF('CAP19-22'!$B:$H,Equipo[[#This Row],[DESCRIPCION]],'CAP19-22'!$H:$H)</f>
        <v>0</v>
      </c>
      <c r="N40" s="69">
        <f ca="1">SUMIF('CAP23-24'!$B:$H,Equipo[[#This Row],[DESCRIPCION]],'CAP23-24'!$H:$H)</f>
        <v>0</v>
      </c>
      <c r="O40" s="69">
        <f ca="1">SUMIF('CAP25'!$B:$H,Equipo[[#This Row],[DESCRIPCION]],'CAP25'!$H:$H)</f>
        <v>0</v>
      </c>
      <c r="P40" s="69">
        <f ca="1">SUMIF('CAP26-28'!$B:$H,Equipo[[#This Row],[DESCRIPCION]],'CAP26-28'!$H:$H)</f>
        <v>0</v>
      </c>
      <c r="Q40" s="69">
        <f ca="1">SUMIF('CAP29'!$B:$H,Equipo[[#This Row],[DESCRIPCION]],'CAP29'!$H:$H)</f>
        <v>0</v>
      </c>
      <c r="R40" s="287"/>
      <c r="T40" s="304">
        <v>106663</v>
      </c>
    </row>
    <row r="41" spans="1:20" ht="12.75" customHeight="1">
      <c r="A41" s="286" t="s">
        <v>3610</v>
      </c>
      <c r="B41" s="280" t="s">
        <v>3582</v>
      </c>
      <c r="C41" s="304">
        <f t="shared" si="0"/>
        <v>192056.55000000002</v>
      </c>
      <c r="D41" s="281">
        <f ca="1">IF(Equipo[[#This Row],[VALOR]]=0,Equipo[[#This Row],[TOTAL]],E41/C41)</f>
        <v>0</v>
      </c>
      <c r="E41" s="69">
        <f ca="1">SUM(Equipo[[#This Row],[CAP1]:[CAP29]])</f>
        <v>0</v>
      </c>
      <c r="F41" s="69">
        <f ca="1">SUMIF('CAP1-3'!$B:$H,Equipo[[#This Row],[DESCRIPCION]],'CAP1-3'!$H:$H)</f>
        <v>0</v>
      </c>
      <c r="G41" s="69">
        <f ca="1">SUMIF('CAP4-5'!$B:$H,Equipo[[#This Row],[DESCRIPCION]],'CAP4-5'!$H:$H)</f>
        <v>0</v>
      </c>
      <c r="H41" s="69">
        <f ca="1">SUMIF('CAP6-7'!$B:$H,Equipo[[#This Row],[DESCRIPCION]],'CAP6-7'!$H:$H)</f>
        <v>0</v>
      </c>
      <c r="I41" s="69">
        <f ca="1">SUMIF('CAP8'!$B:$H,Equipo[[#This Row],[DESCRIPCION]],'CAP8'!$H:$H)</f>
        <v>0</v>
      </c>
      <c r="J41" s="69">
        <f ca="1">SUMIF('CAP9-13'!$B:$H,Equipo[[#This Row],[DESCRIPCION]],'CAP9-13'!$H:$H)</f>
        <v>0</v>
      </c>
      <c r="K41" s="69">
        <f ca="1">SUMIF('CAP14-15'!$B:$H,Equipo[[#This Row],[DESCRIPCION]],'CAP14-15'!$H:$H)</f>
        <v>0</v>
      </c>
      <c r="L41" s="69">
        <f ca="1">SUMIF('CAP16-18'!$B:$H,Equipo[[#This Row],[DESCRIPCION]],'CAP16-18'!$H:$H)</f>
        <v>0</v>
      </c>
      <c r="M41" s="69">
        <f ca="1">SUMIF('CAP19-22'!$B:$H,Equipo[[#This Row],[DESCRIPCION]],'CAP19-22'!$H:$H)</f>
        <v>0</v>
      </c>
      <c r="N41" s="69">
        <f ca="1">SUMIF('CAP23-24'!$B:$H,Equipo[[#This Row],[DESCRIPCION]],'CAP23-24'!$H:$H)</f>
        <v>0</v>
      </c>
      <c r="O41" s="69">
        <f ca="1">SUMIF('CAP25'!$B:$H,Equipo[[#This Row],[DESCRIPCION]],'CAP25'!$H:$H)</f>
        <v>0</v>
      </c>
      <c r="P41" s="69">
        <f ca="1">SUMIF('CAP26-28'!$B:$H,Equipo[[#This Row],[DESCRIPCION]],'CAP26-28'!$H:$H)</f>
        <v>0</v>
      </c>
      <c r="Q41" s="69">
        <f ca="1">SUMIF('CAP29'!$B:$H,Equipo[[#This Row],[DESCRIPCION]],'CAP29'!$H:$H)</f>
        <v>0</v>
      </c>
      <c r="R41" s="287"/>
      <c r="T41" s="304">
        <v>182911</v>
      </c>
    </row>
    <row r="42" spans="1:20" ht="12.75" customHeight="1">
      <c r="A42" s="286" t="s">
        <v>3611</v>
      </c>
      <c r="B42" s="280" t="s">
        <v>47</v>
      </c>
      <c r="C42" s="304">
        <f t="shared" si="0"/>
        <v>8183700</v>
      </c>
      <c r="D42" s="281">
        <f ca="1">IF(Equipo[[#This Row],[VALOR]]=0,Equipo[[#This Row],[TOTAL]],E42/C42)</f>
        <v>0</v>
      </c>
      <c r="E42" s="69">
        <f ca="1">SUM(Equipo[[#This Row],[CAP1]:[CAP29]])</f>
        <v>0</v>
      </c>
      <c r="F42" s="69">
        <f ca="1">SUMIF('CAP1-3'!$B:$H,Equipo[[#This Row],[DESCRIPCION]],'CAP1-3'!$H:$H)</f>
        <v>0</v>
      </c>
      <c r="G42" s="69">
        <f ca="1">SUMIF('CAP4-5'!$B:$H,Equipo[[#This Row],[DESCRIPCION]],'CAP4-5'!$H:$H)</f>
        <v>0</v>
      </c>
      <c r="H42" s="69">
        <f ca="1">SUMIF('CAP6-7'!$B:$H,Equipo[[#This Row],[DESCRIPCION]],'CAP6-7'!$H:$H)</f>
        <v>0</v>
      </c>
      <c r="I42" s="69">
        <f ca="1">SUMIF('CAP8'!$B:$H,Equipo[[#This Row],[DESCRIPCION]],'CAP8'!$H:$H)</f>
        <v>0</v>
      </c>
      <c r="J42" s="69">
        <f ca="1">SUMIF('CAP9-13'!$B:$H,Equipo[[#This Row],[DESCRIPCION]],'CAP9-13'!$H:$H)</f>
        <v>0</v>
      </c>
      <c r="K42" s="69">
        <f ca="1">SUMIF('CAP14-15'!$B:$H,Equipo[[#This Row],[DESCRIPCION]],'CAP14-15'!$H:$H)</f>
        <v>0</v>
      </c>
      <c r="L42" s="69">
        <f ca="1">SUMIF('CAP16-18'!$B:$H,Equipo[[#This Row],[DESCRIPCION]],'CAP16-18'!$H:$H)</f>
        <v>0</v>
      </c>
      <c r="M42" s="69">
        <f ca="1">SUMIF('CAP19-22'!$B:$H,Equipo[[#This Row],[DESCRIPCION]],'CAP19-22'!$H:$H)</f>
        <v>0</v>
      </c>
      <c r="N42" s="69">
        <f ca="1">SUMIF('CAP23-24'!$B:$H,Equipo[[#This Row],[DESCRIPCION]],'CAP23-24'!$H:$H)</f>
        <v>0</v>
      </c>
      <c r="O42" s="69">
        <f ca="1">SUMIF('CAP25'!$B:$H,Equipo[[#This Row],[DESCRIPCION]],'CAP25'!$H:$H)</f>
        <v>0</v>
      </c>
      <c r="P42" s="69">
        <f ca="1">SUMIF('CAP26-28'!$B:$H,Equipo[[#This Row],[DESCRIPCION]],'CAP26-28'!$H:$H)</f>
        <v>0</v>
      </c>
      <c r="Q42" s="69">
        <f ca="1">SUMIF('CAP29'!$B:$H,Equipo[[#This Row],[DESCRIPCION]],'CAP29'!$H:$H)</f>
        <v>0</v>
      </c>
      <c r="R42" s="288"/>
      <c r="T42" s="304">
        <v>7794000</v>
      </c>
    </row>
    <row r="43" spans="1:20" ht="12.75" customHeight="1">
      <c r="A43" s="286" t="s">
        <v>3612</v>
      </c>
      <c r="B43" s="280" t="s">
        <v>47</v>
      </c>
      <c r="C43" s="304">
        <f t="shared" si="0"/>
        <v>180723.9</v>
      </c>
      <c r="D43" s="281">
        <f ca="1">IF(Equipo[[#This Row],[VALOR]]=0,Equipo[[#This Row],[TOTAL]],E43/C43)</f>
        <v>0</v>
      </c>
      <c r="E43" s="69">
        <f ca="1">SUM(Equipo[[#This Row],[CAP1]:[CAP29]])</f>
        <v>0</v>
      </c>
      <c r="F43" s="69">
        <f ca="1">SUMIF('CAP1-3'!$B:$H,Equipo[[#This Row],[DESCRIPCION]],'CAP1-3'!$H:$H)</f>
        <v>0</v>
      </c>
      <c r="G43" s="69">
        <f ca="1">SUMIF('CAP4-5'!$B:$H,Equipo[[#This Row],[DESCRIPCION]],'CAP4-5'!$H:$H)</f>
        <v>0</v>
      </c>
      <c r="H43" s="69">
        <f ca="1">SUMIF('CAP6-7'!$B:$H,Equipo[[#This Row],[DESCRIPCION]],'CAP6-7'!$H:$H)</f>
        <v>0</v>
      </c>
      <c r="I43" s="69">
        <f ca="1">SUMIF('CAP8'!$B:$H,Equipo[[#This Row],[DESCRIPCION]],'CAP8'!$H:$H)</f>
        <v>0</v>
      </c>
      <c r="J43" s="69">
        <f ca="1">SUMIF('CAP9-13'!$B:$H,Equipo[[#This Row],[DESCRIPCION]],'CAP9-13'!$H:$H)</f>
        <v>0</v>
      </c>
      <c r="K43" s="69">
        <f ca="1">SUMIF('CAP14-15'!$B:$H,Equipo[[#This Row],[DESCRIPCION]],'CAP14-15'!$H:$H)</f>
        <v>0</v>
      </c>
      <c r="L43" s="69">
        <f ca="1">SUMIF('CAP16-18'!$B:$H,Equipo[[#This Row],[DESCRIPCION]],'CAP16-18'!$H:$H)</f>
        <v>0</v>
      </c>
      <c r="M43" s="69">
        <f ca="1">SUMIF('CAP19-22'!$B:$H,Equipo[[#This Row],[DESCRIPCION]],'CAP19-22'!$H:$H)</f>
        <v>0</v>
      </c>
      <c r="N43" s="69">
        <f ca="1">SUMIF('CAP23-24'!$B:$H,Equipo[[#This Row],[DESCRIPCION]],'CAP23-24'!$H:$H)</f>
        <v>0</v>
      </c>
      <c r="O43" s="69">
        <f ca="1">SUMIF('CAP25'!$B:$H,Equipo[[#This Row],[DESCRIPCION]],'CAP25'!$H:$H)</f>
        <v>0</v>
      </c>
      <c r="P43" s="69">
        <f ca="1">SUMIF('CAP26-28'!$B:$H,Equipo[[#This Row],[DESCRIPCION]],'CAP26-28'!$H:$H)</f>
        <v>0</v>
      </c>
      <c r="Q43" s="69">
        <f ca="1">SUMIF('CAP29'!$B:$H,Equipo[[#This Row],[DESCRIPCION]],'CAP29'!$H:$H)</f>
        <v>0</v>
      </c>
      <c r="R43" s="288"/>
      <c r="T43" s="304">
        <v>172118</v>
      </c>
    </row>
    <row r="44" spans="1:20">
      <c r="A44" s="286" t="s">
        <v>3613</v>
      </c>
      <c r="B44" s="280" t="s">
        <v>47</v>
      </c>
      <c r="C44" s="304">
        <f t="shared" si="0"/>
        <v>48133.05</v>
      </c>
      <c r="D44" s="281">
        <f ca="1">IF(Equipo[[#This Row],[VALOR]]=0,Equipo[[#This Row],[TOTAL]],E44/C44)</f>
        <v>0</v>
      </c>
      <c r="E44" s="69">
        <f ca="1">SUM(Equipo[[#This Row],[CAP1]:[CAP29]])</f>
        <v>0</v>
      </c>
      <c r="F44" s="69">
        <f ca="1">SUMIF('CAP1-3'!$B:$H,Equipo[[#This Row],[DESCRIPCION]],'CAP1-3'!$H:$H)</f>
        <v>0</v>
      </c>
      <c r="G44" s="69">
        <f ca="1">SUMIF('CAP4-5'!$B:$H,Equipo[[#This Row],[DESCRIPCION]],'CAP4-5'!$H:$H)</f>
        <v>0</v>
      </c>
      <c r="H44" s="69">
        <f ca="1">SUMIF('CAP6-7'!$B:$H,Equipo[[#This Row],[DESCRIPCION]],'CAP6-7'!$H:$H)</f>
        <v>0</v>
      </c>
      <c r="I44" s="69">
        <f ca="1">SUMIF('CAP8'!$B:$H,Equipo[[#This Row],[DESCRIPCION]],'CAP8'!$H:$H)</f>
        <v>0</v>
      </c>
      <c r="J44" s="69">
        <f ca="1">SUMIF('CAP9-13'!$B:$H,Equipo[[#This Row],[DESCRIPCION]],'CAP9-13'!$H:$H)</f>
        <v>0</v>
      </c>
      <c r="K44" s="69">
        <f ca="1">SUMIF('CAP14-15'!$B:$H,Equipo[[#This Row],[DESCRIPCION]],'CAP14-15'!$H:$H)</f>
        <v>0</v>
      </c>
      <c r="L44" s="69">
        <f ca="1">SUMIF('CAP16-18'!$B:$H,Equipo[[#This Row],[DESCRIPCION]],'CAP16-18'!$H:$H)</f>
        <v>0</v>
      </c>
      <c r="M44" s="69">
        <f ca="1">SUMIF('CAP19-22'!$B:$H,Equipo[[#This Row],[DESCRIPCION]],'CAP19-22'!$H:$H)</f>
        <v>0</v>
      </c>
      <c r="N44" s="69">
        <f ca="1">SUMIF('CAP23-24'!$B:$H,Equipo[[#This Row],[DESCRIPCION]],'CAP23-24'!$H:$H)</f>
        <v>0</v>
      </c>
      <c r="O44" s="69">
        <f ca="1">SUMIF('CAP25'!$B:$H,Equipo[[#This Row],[DESCRIPCION]],'CAP25'!$H:$H)</f>
        <v>0</v>
      </c>
      <c r="P44" s="69">
        <f ca="1">SUMIF('CAP26-28'!$B:$H,Equipo[[#This Row],[DESCRIPCION]],'CAP26-28'!$H:$H)</f>
        <v>0</v>
      </c>
      <c r="Q44" s="69">
        <f ca="1">SUMIF('CAP29'!$B:$H,Equipo[[#This Row],[DESCRIPCION]],'CAP29'!$H:$H)</f>
        <v>0</v>
      </c>
      <c r="R44" s="287"/>
      <c r="T44" s="304">
        <v>45841</v>
      </c>
    </row>
    <row r="45" spans="1:20">
      <c r="A45" s="286" t="s">
        <v>3614</v>
      </c>
      <c r="B45" s="280" t="s">
        <v>3582</v>
      </c>
      <c r="C45" s="304">
        <f t="shared" si="0"/>
        <v>395545.5</v>
      </c>
      <c r="D45" s="281">
        <f ca="1">IF(Equipo[[#This Row],[VALOR]]=0,Equipo[[#This Row],[TOTAL]],E45/C45)</f>
        <v>0</v>
      </c>
      <c r="E45" s="69">
        <f ca="1">SUM(Equipo[[#This Row],[CAP1]:[CAP29]])</f>
        <v>0</v>
      </c>
      <c r="F45" s="69">
        <f ca="1">SUMIF('CAP1-3'!$B:$H,Equipo[[#This Row],[DESCRIPCION]],'CAP1-3'!$H:$H)</f>
        <v>0</v>
      </c>
      <c r="G45" s="69">
        <f ca="1">SUMIF('CAP4-5'!$B:$H,Equipo[[#This Row],[DESCRIPCION]],'CAP4-5'!$H:$H)</f>
        <v>0</v>
      </c>
      <c r="H45" s="69">
        <f ca="1">SUMIF('CAP6-7'!$B:$H,Equipo[[#This Row],[DESCRIPCION]],'CAP6-7'!$H:$H)</f>
        <v>0</v>
      </c>
      <c r="I45" s="69">
        <f ca="1">SUMIF('CAP8'!$B:$H,Equipo[[#This Row],[DESCRIPCION]],'CAP8'!$H:$H)</f>
        <v>0</v>
      </c>
      <c r="J45" s="69">
        <f ca="1">SUMIF('CAP9-13'!$B:$H,Equipo[[#This Row],[DESCRIPCION]],'CAP9-13'!$H:$H)</f>
        <v>0</v>
      </c>
      <c r="K45" s="69">
        <f ca="1">SUMIF('CAP14-15'!$B:$H,Equipo[[#This Row],[DESCRIPCION]],'CAP14-15'!$H:$H)</f>
        <v>0</v>
      </c>
      <c r="L45" s="69">
        <f ca="1">SUMIF('CAP16-18'!$B:$H,Equipo[[#This Row],[DESCRIPCION]],'CAP16-18'!$H:$H)</f>
        <v>0</v>
      </c>
      <c r="M45" s="69">
        <f ca="1">SUMIF('CAP19-22'!$B:$H,Equipo[[#This Row],[DESCRIPCION]],'CAP19-22'!$H:$H)</f>
        <v>0</v>
      </c>
      <c r="N45" s="69">
        <f ca="1">SUMIF('CAP23-24'!$B:$H,Equipo[[#This Row],[DESCRIPCION]],'CAP23-24'!$H:$H)</f>
        <v>0</v>
      </c>
      <c r="O45" s="69">
        <f ca="1">SUMIF('CAP25'!$B:$H,Equipo[[#This Row],[DESCRIPCION]],'CAP25'!$H:$H)</f>
        <v>0</v>
      </c>
      <c r="P45" s="69">
        <f ca="1">SUMIF('CAP26-28'!$B:$H,Equipo[[#This Row],[DESCRIPCION]],'CAP26-28'!$H:$H)</f>
        <v>0</v>
      </c>
      <c r="Q45" s="69">
        <f ca="1">SUMIF('CAP29'!$B:$H,Equipo[[#This Row],[DESCRIPCION]],'CAP29'!$H:$H)</f>
        <v>0</v>
      </c>
      <c r="R45" s="287"/>
      <c r="T45" s="304">
        <v>376710</v>
      </c>
    </row>
    <row r="46" spans="1:20">
      <c r="A46" s="286" t="s">
        <v>3615</v>
      </c>
      <c r="B46" s="280" t="s">
        <v>47</v>
      </c>
      <c r="C46" s="304">
        <f t="shared" si="0"/>
        <v>54978</v>
      </c>
      <c r="D46" s="281">
        <f ca="1">IF(Equipo[[#This Row],[VALOR]]=0,Equipo[[#This Row],[TOTAL]],E46/C46)</f>
        <v>0</v>
      </c>
      <c r="E46" s="69">
        <f ca="1">SUM(Equipo[[#This Row],[CAP1]:[CAP29]])</f>
        <v>0</v>
      </c>
      <c r="F46" s="69">
        <f ca="1">SUMIF('CAP1-3'!$B:$H,Equipo[[#This Row],[DESCRIPCION]],'CAP1-3'!$H:$H)</f>
        <v>0</v>
      </c>
      <c r="G46" s="69">
        <f ca="1">SUMIF('CAP4-5'!$B:$H,Equipo[[#This Row],[DESCRIPCION]],'CAP4-5'!$H:$H)</f>
        <v>0</v>
      </c>
      <c r="H46" s="69">
        <f ca="1">SUMIF('CAP6-7'!$B:$H,Equipo[[#This Row],[DESCRIPCION]],'CAP6-7'!$H:$H)</f>
        <v>0</v>
      </c>
      <c r="I46" s="69">
        <f ca="1">SUMIF('CAP8'!$B:$H,Equipo[[#This Row],[DESCRIPCION]],'CAP8'!$H:$H)</f>
        <v>0</v>
      </c>
      <c r="J46" s="69">
        <f ca="1">SUMIF('CAP9-13'!$B:$H,Equipo[[#This Row],[DESCRIPCION]],'CAP9-13'!$H:$H)</f>
        <v>0</v>
      </c>
      <c r="K46" s="69">
        <f ca="1">SUMIF('CAP14-15'!$B:$H,Equipo[[#This Row],[DESCRIPCION]],'CAP14-15'!$H:$H)</f>
        <v>0</v>
      </c>
      <c r="L46" s="69">
        <f ca="1">SUMIF('CAP16-18'!$B:$H,Equipo[[#This Row],[DESCRIPCION]],'CAP16-18'!$H:$H)</f>
        <v>0</v>
      </c>
      <c r="M46" s="69">
        <f ca="1">SUMIF('CAP19-22'!$B:$H,Equipo[[#This Row],[DESCRIPCION]],'CAP19-22'!$H:$H)</f>
        <v>0</v>
      </c>
      <c r="N46" s="69">
        <f ca="1">SUMIF('CAP23-24'!$B:$H,Equipo[[#This Row],[DESCRIPCION]],'CAP23-24'!$H:$H)</f>
        <v>0</v>
      </c>
      <c r="O46" s="69">
        <f ca="1">SUMIF('CAP25'!$B:$H,Equipo[[#This Row],[DESCRIPCION]],'CAP25'!$H:$H)</f>
        <v>0</v>
      </c>
      <c r="P46" s="69">
        <f ca="1">SUMIF('CAP26-28'!$B:$H,Equipo[[#This Row],[DESCRIPCION]],'CAP26-28'!$H:$H)</f>
        <v>0</v>
      </c>
      <c r="Q46" s="69">
        <f ca="1">SUMIF('CAP29'!$B:$H,Equipo[[#This Row],[DESCRIPCION]],'CAP29'!$H:$H)</f>
        <v>0</v>
      </c>
      <c r="R46" s="287"/>
      <c r="T46" s="304">
        <v>52360</v>
      </c>
    </row>
    <row r="47" spans="1:20">
      <c r="A47" s="286" t="s">
        <v>3616</v>
      </c>
      <c r="B47" s="280" t="s">
        <v>47</v>
      </c>
      <c r="C47" s="304">
        <f t="shared" si="0"/>
        <v>54978</v>
      </c>
      <c r="D47" s="281">
        <f ca="1">IF(Equipo[[#This Row],[VALOR]]=0,Equipo[[#This Row],[TOTAL]],E47/C47)</f>
        <v>0</v>
      </c>
      <c r="E47" s="69">
        <f ca="1">SUM(Equipo[[#This Row],[CAP1]:[CAP29]])</f>
        <v>0</v>
      </c>
      <c r="F47" s="69">
        <f ca="1">SUMIF('CAP1-3'!$B:$H,Equipo[[#This Row],[DESCRIPCION]],'CAP1-3'!$H:$H)</f>
        <v>0</v>
      </c>
      <c r="G47" s="69">
        <f ca="1">SUMIF('CAP4-5'!$B:$H,Equipo[[#This Row],[DESCRIPCION]],'CAP4-5'!$H:$H)</f>
        <v>0</v>
      </c>
      <c r="H47" s="69">
        <f ca="1">SUMIF('CAP6-7'!$B:$H,Equipo[[#This Row],[DESCRIPCION]],'CAP6-7'!$H:$H)</f>
        <v>0</v>
      </c>
      <c r="I47" s="69">
        <f ca="1">SUMIF('CAP8'!$B:$H,Equipo[[#This Row],[DESCRIPCION]],'CAP8'!$H:$H)</f>
        <v>0</v>
      </c>
      <c r="J47" s="69">
        <f ca="1">SUMIF('CAP9-13'!$B:$H,Equipo[[#This Row],[DESCRIPCION]],'CAP9-13'!$H:$H)</f>
        <v>0</v>
      </c>
      <c r="K47" s="69">
        <f ca="1">SUMIF('CAP14-15'!$B:$H,Equipo[[#This Row],[DESCRIPCION]],'CAP14-15'!$H:$H)</f>
        <v>0</v>
      </c>
      <c r="L47" s="69">
        <f ca="1">SUMIF('CAP16-18'!$B:$H,Equipo[[#This Row],[DESCRIPCION]],'CAP16-18'!$H:$H)</f>
        <v>0</v>
      </c>
      <c r="M47" s="69">
        <f ca="1">SUMIF('CAP19-22'!$B:$H,Equipo[[#This Row],[DESCRIPCION]],'CAP19-22'!$H:$H)</f>
        <v>0</v>
      </c>
      <c r="N47" s="69">
        <f ca="1">SUMIF('CAP23-24'!$B:$H,Equipo[[#This Row],[DESCRIPCION]],'CAP23-24'!$H:$H)</f>
        <v>0</v>
      </c>
      <c r="O47" s="69">
        <f ca="1">SUMIF('CAP25'!$B:$H,Equipo[[#This Row],[DESCRIPCION]],'CAP25'!$H:$H)</f>
        <v>0</v>
      </c>
      <c r="P47" s="69">
        <f ca="1">SUMIF('CAP26-28'!$B:$H,Equipo[[#This Row],[DESCRIPCION]],'CAP26-28'!$H:$H)</f>
        <v>0</v>
      </c>
      <c r="Q47" s="69">
        <f ca="1">SUMIF('CAP29'!$B:$H,Equipo[[#This Row],[DESCRIPCION]],'CAP29'!$H:$H)</f>
        <v>0</v>
      </c>
      <c r="R47" s="287"/>
      <c r="T47" s="304">
        <v>52360</v>
      </c>
    </row>
    <row r="48" spans="1:20">
      <c r="A48" s="286" t="s">
        <v>3617</v>
      </c>
      <c r="B48" s="280" t="s">
        <v>47</v>
      </c>
      <c r="C48" s="304">
        <f t="shared" si="0"/>
        <v>28416.15</v>
      </c>
      <c r="D48" s="281">
        <f ca="1">IF(Equipo[[#This Row],[VALOR]]=0,Equipo[[#This Row],[TOTAL]],E48/C48)</f>
        <v>0</v>
      </c>
      <c r="E48" s="69">
        <f ca="1">SUM(Equipo[[#This Row],[CAP1]:[CAP29]])</f>
        <v>0</v>
      </c>
      <c r="F48" s="69">
        <f ca="1">SUMIF('CAP1-3'!$B:$H,Equipo[[#This Row],[DESCRIPCION]],'CAP1-3'!$H:$H)</f>
        <v>0</v>
      </c>
      <c r="G48" s="69">
        <f ca="1">SUMIF('CAP4-5'!$B:$H,Equipo[[#This Row],[DESCRIPCION]],'CAP4-5'!$H:$H)</f>
        <v>0</v>
      </c>
      <c r="H48" s="69">
        <f ca="1">SUMIF('CAP6-7'!$B:$H,Equipo[[#This Row],[DESCRIPCION]],'CAP6-7'!$H:$H)</f>
        <v>0</v>
      </c>
      <c r="I48" s="69">
        <f ca="1">SUMIF('CAP8'!$B:$H,Equipo[[#This Row],[DESCRIPCION]],'CAP8'!$H:$H)</f>
        <v>0</v>
      </c>
      <c r="J48" s="69">
        <f ca="1">SUMIF('CAP9-13'!$B:$H,Equipo[[#This Row],[DESCRIPCION]],'CAP9-13'!$H:$H)</f>
        <v>0</v>
      </c>
      <c r="K48" s="69">
        <f ca="1">SUMIF('CAP14-15'!$B:$H,Equipo[[#This Row],[DESCRIPCION]],'CAP14-15'!$H:$H)</f>
        <v>0</v>
      </c>
      <c r="L48" s="69">
        <f ca="1">SUMIF('CAP16-18'!$B:$H,Equipo[[#This Row],[DESCRIPCION]],'CAP16-18'!$H:$H)</f>
        <v>0</v>
      </c>
      <c r="M48" s="69">
        <f ca="1">SUMIF('CAP19-22'!$B:$H,Equipo[[#This Row],[DESCRIPCION]],'CAP19-22'!$H:$H)</f>
        <v>0</v>
      </c>
      <c r="N48" s="69">
        <f ca="1">SUMIF('CAP23-24'!$B:$H,Equipo[[#This Row],[DESCRIPCION]],'CAP23-24'!$H:$H)</f>
        <v>0</v>
      </c>
      <c r="O48" s="69">
        <f ca="1">SUMIF('CAP25'!$B:$H,Equipo[[#This Row],[DESCRIPCION]],'CAP25'!$H:$H)</f>
        <v>0</v>
      </c>
      <c r="P48" s="69">
        <f ca="1">SUMIF('CAP26-28'!$B:$H,Equipo[[#This Row],[DESCRIPCION]],'CAP26-28'!$H:$H)</f>
        <v>0</v>
      </c>
      <c r="Q48" s="69">
        <f ca="1">SUMIF('CAP29'!$B:$H,Equipo[[#This Row],[DESCRIPCION]],'CAP29'!$H:$H)</f>
        <v>0</v>
      </c>
      <c r="R48" s="287"/>
      <c r="T48" s="304">
        <v>27063</v>
      </c>
    </row>
    <row r="49" spans="1:20">
      <c r="A49" s="286" t="s">
        <v>3618</v>
      </c>
      <c r="B49" s="280" t="s">
        <v>47</v>
      </c>
      <c r="C49" s="304">
        <f t="shared" si="0"/>
        <v>3150</v>
      </c>
      <c r="D49" s="281">
        <f ca="1">IF(Equipo[[#This Row],[VALOR]]=0,Equipo[[#This Row],[TOTAL]],E49/C49)</f>
        <v>0</v>
      </c>
      <c r="E49" s="69">
        <f ca="1">SUM(Equipo[[#This Row],[CAP1]:[CAP29]])</f>
        <v>0</v>
      </c>
      <c r="F49" s="69">
        <f ca="1">SUMIF('CAP1-3'!$B:$H,Equipo[[#This Row],[DESCRIPCION]],'CAP1-3'!$H:$H)</f>
        <v>0</v>
      </c>
      <c r="G49" s="69">
        <f ca="1">SUMIF('CAP4-5'!$B:$H,Equipo[[#This Row],[DESCRIPCION]],'CAP4-5'!$H:$H)</f>
        <v>0</v>
      </c>
      <c r="H49" s="69">
        <f ca="1">SUMIF('CAP6-7'!$B:$H,Equipo[[#This Row],[DESCRIPCION]],'CAP6-7'!$H:$H)</f>
        <v>0</v>
      </c>
      <c r="I49" s="69">
        <f ca="1">SUMIF('CAP8'!$B:$H,Equipo[[#This Row],[DESCRIPCION]],'CAP8'!$H:$H)</f>
        <v>0</v>
      </c>
      <c r="J49" s="69">
        <f ca="1">SUMIF('CAP9-13'!$B:$H,Equipo[[#This Row],[DESCRIPCION]],'CAP9-13'!$H:$H)</f>
        <v>0</v>
      </c>
      <c r="K49" s="69">
        <f ca="1">SUMIF('CAP14-15'!$B:$H,Equipo[[#This Row],[DESCRIPCION]],'CAP14-15'!$H:$H)</f>
        <v>0</v>
      </c>
      <c r="L49" s="69">
        <f ca="1">SUMIF('CAP16-18'!$B:$H,Equipo[[#This Row],[DESCRIPCION]],'CAP16-18'!$H:$H)</f>
        <v>0</v>
      </c>
      <c r="M49" s="69">
        <f ca="1">SUMIF('CAP19-22'!$B:$H,Equipo[[#This Row],[DESCRIPCION]],'CAP19-22'!$H:$H)</f>
        <v>0</v>
      </c>
      <c r="N49" s="69">
        <f ca="1">SUMIF('CAP23-24'!$B:$H,Equipo[[#This Row],[DESCRIPCION]],'CAP23-24'!$H:$H)</f>
        <v>0</v>
      </c>
      <c r="O49" s="69">
        <f ca="1">SUMIF('CAP25'!$B:$H,Equipo[[#This Row],[DESCRIPCION]],'CAP25'!$H:$H)</f>
        <v>0</v>
      </c>
      <c r="P49" s="69">
        <f ca="1">SUMIF('CAP26-28'!$B:$H,Equipo[[#This Row],[DESCRIPCION]],'CAP26-28'!$H:$H)</f>
        <v>0</v>
      </c>
      <c r="Q49" s="69">
        <f ca="1">SUMIF('CAP29'!$B:$H,Equipo[[#This Row],[DESCRIPCION]],'CAP29'!$H:$H)</f>
        <v>0</v>
      </c>
      <c r="R49" s="287"/>
      <c r="T49" s="304">
        <v>3000</v>
      </c>
    </row>
    <row r="50" spans="1:20">
      <c r="A50" s="286" t="s">
        <v>3619</v>
      </c>
      <c r="B50" s="280" t="s">
        <v>47</v>
      </c>
      <c r="C50" s="304">
        <f t="shared" si="0"/>
        <v>5775</v>
      </c>
      <c r="D50" s="281">
        <f ca="1">IF(Equipo[[#This Row],[VALOR]]=0,Equipo[[#This Row],[TOTAL]],E50/C50)</f>
        <v>0</v>
      </c>
      <c r="E50" s="69">
        <f ca="1">SUM(Equipo[[#This Row],[CAP1]:[CAP29]])</f>
        <v>0</v>
      </c>
      <c r="F50" s="69">
        <f ca="1">SUMIF('CAP1-3'!$B:$H,Equipo[[#This Row],[DESCRIPCION]],'CAP1-3'!$H:$H)</f>
        <v>0</v>
      </c>
      <c r="G50" s="69">
        <f ca="1">SUMIF('CAP4-5'!$B:$H,Equipo[[#This Row],[DESCRIPCION]],'CAP4-5'!$H:$H)</f>
        <v>0</v>
      </c>
      <c r="H50" s="69">
        <f ca="1">SUMIF('CAP6-7'!$B:$H,Equipo[[#This Row],[DESCRIPCION]],'CAP6-7'!$H:$H)</f>
        <v>0</v>
      </c>
      <c r="I50" s="69">
        <f ca="1">SUMIF('CAP8'!$B:$H,Equipo[[#This Row],[DESCRIPCION]],'CAP8'!$H:$H)</f>
        <v>0</v>
      </c>
      <c r="J50" s="69">
        <f ca="1">SUMIF('CAP9-13'!$B:$H,Equipo[[#This Row],[DESCRIPCION]],'CAP9-13'!$H:$H)</f>
        <v>0</v>
      </c>
      <c r="K50" s="69">
        <f ca="1">SUMIF('CAP14-15'!$B:$H,Equipo[[#This Row],[DESCRIPCION]],'CAP14-15'!$H:$H)</f>
        <v>0</v>
      </c>
      <c r="L50" s="69">
        <f ca="1">SUMIF('CAP16-18'!$B:$H,Equipo[[#This Row],[DESCRIPCION]],'CAP16-18'!$H:$H)</f>
        <v>0</v>
      </c>
      <c r="M50" s="69">
        <f ca="1">SUMIF('CAP19-22'!$B:$H,Equipo[[#This Row],[DESCRIPCION]],'CAP19-22'!$H:$H)</f>
        <v>0</v>
      </c>
      <c r="N50" s="69">
        <f ca="1">SUMIF('CAP23-24'!$B:$H,Equipo[[#This Row],[DESCRIPCION]],'CAP23-24'!$H:$H)</f>
        <v>0</v>
      </c>
      <c r="O50" s="69">
        <f ca="1">SUMIF('CAP25'!$B:$H,Equipo[[#This Row],[DESCRIPCION]],'CAP25'!$H:$H)</f>
        <v>0</v>
      </c>
      <c r="P50" s="69">
        <f ca="1">SUMIF('CAP26-28'!$B:$H,Equipo[[#This Row],[DESCRIPCION]],'CAP26-28'!$H:$H)</f>
        <v>0</v>
      </c>
      <c r="Q50" s="69">
        <f ca="1">SUMIF('CAP29'!$B:$H,Equipo[[#This Row],[DESCRIPCION]],'CAP29'!$H:$H)</f>
        <v>0</v>
      </c>
      <c r="R50" s="287"/>
      <c r="T50" s="304">
        <v>5500</v>
      </c>
    </row>
    <row r="51" spans="1:20">
      <c r="A51" s="286" t="s">
        <v>3620</v>
      </c>
      <c r="B51" s="280" t="s">
        <v>3582</v>
      </c>
      <c r="C51" s="304">
        <f t="shared" si="0"/>
        <v>215965.05000000002</v>
      </c>
      <c r="D51" s="281">
        <f ca="1">IF(Equipo[[#This Row],[VALOR]]=0,Equipo[[#This Row],[TOTAL]],E51/C51)</f>
        <v>0</v>
      </c>
      <c r="E51" s="69">
        <f ca="1">SUM(Equipo[[#This Row],[CAP1]:[CAP29]])</f>
        <v>0</v>
      </c>
      <c r="F51" s="69">
        <f ca="1">SUMIF('CAP1-3'!$B:$H,Equipo[[#This Row],[DESCRIPCION]],'CAP1-3'!$H:$H)</f>
        <v>0</v>
      </c>
      <c r="G51" s="69">
        <f ca="1">SUMIF('CAP4-5'!$B:$H,Equipo[[#This Row],[DESCRIPCION]],'CAP4-5'!$H:$H)</f>
        <v>0</v>
      </c>
      <c r="H51" s="69">
        <f ca="1">SUMIF('CAP6-7'!$B:$H,Equipo[[#This Row],[DESCRIPCION]],'CAP6-7'!$H:$H)</f>
        <v>0</v>
      </c>
      <c r="I51" s="69">
        <f ca="1">SUMIF('CAP8'!$B:$H,Equipo[[#This Row],[DESCRIPCION]],'CAP8'!$H:$H)</f>
        <v>0</v>
      </c>
      <c r="J51" s="69">
        <f ca="1">SUMIF('CAP9-13'!$B:$H,Equipo[[#This Row],[DESCRIPCION]],'CAP9-13'!$H:$H)</f>
        <v>0</v>
      </c>
      <c r="K51" s="69">
        <f ca="1">SUMIF('CAP14-15'!$B:$H,Equipo[[#This Row],[DESCRIPCION]],'CAP14-15'!$H:$H)</f>
        <v>0</v>
      </c>
      <c r="L51" s="69">
        <f ca="1">SUMIF('CAP16-18'!$B:$H,Equipo[[#This Row],[DESCRIPCION]],'CAP16-18'!$H:$H)</f>
        <v>0</v>
      </c>
      <c r="M51" s="69">
        <f ca="1">SUMIF('CAP19-22'!$B:$H,Equipo[[#This Row],[DESCRIPCION]],'CAP19-22'!$H:$H)</f>
        <v>0</v>
      </c>
      <c r="N51" s="69">
        <f ca="1">SUMIF('CAP23-24'!$B:$H,Equipo[[#This Row],[DESCRIPCION]],'CAP23-24'!$H:$H)</f>
        <v>0</v>
      </c>
      <c r="O51" s="69">
        <f ca="1">SUMIF('CAP25'!$B:$H,Equipo[[#This Row],[DESCRIPCION]],'CAP25'!$H:$H)</f>
        <v>0</v>
      </c>
      <c r="P51" s="69">
        <f ca="1">SUMIF('CAP26-28'!$B:$H,Equipo[[#This Row],[DESCRIPCION]],'CAP26-28'!$H:$H)</f>
        <v>0</v>
      </c>
      <c r="Q51" s="69">
        <f ca="1">SUMIF('CAP29'!$B:$H,Equipo[[#This Row],[DESCRIPCION]],'CAP29'!$H:$H)</f>
        <v>0</v>
      </c>
      <c r="R51" s="287"/>
      <c r="T51" s="304">
        <v>205681</v>
      </c>
    </row>
    <row r="52" spans="1:20">
      <c r="A52" s="286" t="s">
        <v>3621</v>
      </c>
      <c r="B52" s="280" t="s">
        <v>3582</v>
      </c>
      <c r="C52" s="304">
        <f t="shared" si="0"/>
        <v>195790.35</v>
      </c>
      <c r="D52" s="281">
        <f ca="1">IF(Equipo[[#This Row],[VALOR]]=0,Equipo[[#This Row],[TOTAL]],E52/C52)</f>
        <v>0</v>
      </c>
      <c r="E52" s="69">
        <f ca="1">SUM(Equipo[[#This Row],[CAP1]:[CAP29]])</f>
        <v>0</v>
      </c>
      <c r="F52" s="69">
        <f ca="1">SUMIF('CAP1-3'!$B:$H,Equipo[[#This Row],[DESCRIPCION]],'CAP1-3'!$H:$H)</f>
        <v>0</v>
      </c>
      <c r="G52" s="69">
        <f ca="1">SUMIF('CAP4-5'!$B:$H,Equipo[[#This Row],[DESCRIPCION]],'CAP4-5'!$H:$H)</f>
        <v>0</v>
      </c>
      <c r="H52" s="69">
        <f ca="1">SUMIF('CAP6-7'!$B:$H,Equipo[[#This Row],[DESCRIPCION]],'CAP6-7'!$H:$H)</f>
        <v>0</v>
      </c>
      <c r="I52" s="69">
        <f ca="1">SUMIF('CAP8'!$B:$H,Equipo[[#This Row],[DESCRIPCION]],'CAP8'!$H:$H)</f>
        <v>0</v>
      </c>
      <c r="J52" s="69">
        <f ca="1">SUMIF('CAP9-13'!$B:$H,Equipo[[#This Row],[DESCRIPCION]],'CAP9-13'!$H:$H)</f>
        <v>0</v>
      </c>
      <c r="K52" s="69">
        <f ca="1">SUMIF('CAP14-15'!$B:$H,Equipo[[#This Row],[DESCRIPCION]],'CAP14-15'!$H:$H)</f>
        <v>0</v>
      </c>
      <c r="L52" s="69">
        <f ca="1">SUMIF('CAP16-18'!$B:$H,Equipo[[#This Row],[DESCRIPCION]],'CAP16-18'!$H:$H)</f>
        <v>0</v>
      </c>
      <c r="M52" s="69">
        <f ca="1">SUMIF('CAP19-22'!$B:$H,Equipo[[#This Row],[DESCRIPCION]],'CAP19-22'!$H:$H)</f>
        <v>0</v>
      </c>
      <c r="N52" s="69">
        <f ca="1">SUMIF('CAP23-24'!$B:$H,Equipo[[#This Row],[DESCRIPCION]],'CAP23-24'!$H:$H)</f>
        <v>0</v>
      </c>
      <c r="O52" s="69">
        <f ca="1">SUMIF('CAP25'!$B:$H,Equipo[[#This Row],[DESCRIPCION]],'CAP25'!$H:$H)</f>
        <v>0</v>
      </c>
      <c r="P52" s="69">
        <f ca="1">SUMIF('CAP26-28'!$B:$H,Equipo[[#This Row],[DESCRIPCION]],'CAP26-28'!$H:$H)</f>
        <v>0</v>
      </c>
      <c r="Q52" s="69">
        <f ca="1">SUMIF('CAP29'!$B:$H,Equipo[[#This Row],[DESCRIPCION]],'CAP29'!$H:$H)</f>
        <v>0</v>
      </c>
      <c r="R52" s="287"/>
      <c r="T52" s="304">
        <v>186467</v>
      </c>
    </row>
    <row r="53" spans="1:20">
      <c r="A53" s="286" t="s">
        <v>3622</v>
      </c>
      <c r="B53" s="280" t="s">
        <v>3582</v>
      </c>
      <c r="C53" s="304">
        <f t="shared" si="0"/>
        <v>87082.8</v>
      </c>
      <c r="D53" s="281">
        <f ca="1">IF(Equipo[[#This Row],[VALOR]]=0,Equipo[[#This Row],[TOTAL]],E53/C53)</f>
        <v>0</v>
      </c>
      <c r="E53" s="69">
        <f ca="1">SUM(Equipo[[#This Row],[CAP1]:[CAP29]])</f>
        <v>0</v>
      </c>
      <c r="F53" s="69">
        <f ca="1">SUMIF('CAP1-3'!$B:$H,Equipo[[#This Row],[DESCRIPCION]],'CAP1-3'!$H:$H)</f>
        <v>0</v>
      </c>
      <c r="G53" s="69">
        <f ca="1">SUMIF('CAP4-5'!$B:$H,Equipo[[#This Row],[DESCRIPCION]],'CAP4-5'!$H:$H)</f>
        <v>0</v>
      </c>
      <c r="H53" s="69">
        <f ca="1">SUMIF('CAP6-7'!$B:$H,Equipo[[#This Row],[DESCRIPCION]],'CAP6-7'!$H:$H)</f>
        <v>0</v>
      </c>
      <c r="I53" s="69">
        <f ca="1">SUMIF('CAP8'!$B:$H,Equipo[[#This Row],[DESCRIPCION]],'CAP8'!$H:$H)</f>
        <v>0</v>
      </c>
      <c r="J53" s="69">
        <f ca="1">SUMIF('CAP9-13'!$B:$H,Equipo[[#This Row],[DESCRIPCION]],'CAP9-13'!$H:$H)</f>
        <v>0</v>
      </c>
      <c r="K53" s="69">
        <f ca="1">SUMIF('CAP14-15'!$B:$H,Equipo[[#This Row],[DESCRIPCION]],'CAP14-15'!$H:$H)</f>
        <v>0</v>
      </c>
      <c r="L53" s="69">
        <f ca="1">SUMIF('CAP16-18'!$B:$H,Equipo[[#This Row],[DESCRIPCION]],'CAP16-18'!$H:$H)</f>
        <v>0</v>
      </c>
      <c r="M53" s="69">
        <f ca="1">SUMIF('CAP19-22'!$B:$H,Equipo[[#This Row],[DESCRIPCION]],'CAP19-22'!$H:$H)</f>
        <v>0</v>
      </c>
      <c r="N53" s="69">
        <f ca="1">SUMIF('CAP23-24'!$B:$H,Equipo[[#This Row],[DESCRIPCION]],'CAP23-24'!$H:$H)</f>
        <v>0</v>
      </c>
      <c r="O53" s="69">
        <f ca="1">SUMIF('CAP25'!$B:$H,Equipo[[#This Row],[DESCRIPCION]],'CAP25'!$H:$H)</f>
        <v>0</v>
      </c>
      <c r="P53" s="69">
        <f ca="1">SUMIF('CAP26-28'!$B:$H,Equipo[[#This Row],[DESCRIPCION]],'CAP26-28'!$H:$H)</f>
        <v>0</v>
      </c>
      <c r="Q53" s="69">
        <f ca="1">SUMIF('CAP29'!$B:$H,Equipo[[#This Row],[DESCRIPCION]],'CAP29'!$H:$H)</f>
        <v>0</v>
      </c>
      <c r="R53" s="287"/>
      <c r="T53" s="304">
        <v>82936</v>
      </c>
    </row>
    <row r="54" spans="1:20">
      <c r="A54" s="286" t="s">
        <v>3623</v>
      </c>
      <c r="B54" s="280" t="s">
        <v>3582</v>
      </c>
      <c r="C54" s="304">
        <f t="shared" si="0"/>
        <v>395830.05</v>
      </c>
      <c r="D54" s="281">
        <f ca="1">IF(Equipo[[#This Row],[VALOR]]=0,Equipo[[#This Row],[TOTAL]],E54/C54)</f>
        <v>0</v>
      </c>
      <c r="E54" s="69">
        <f ca="1">SUM(Equipo[[#This Row],[CAP1]:[CAP29]])</f>
        <v>0</v>
      </c>
      <c r="F54" s="69">
        <f ca="1">SUMIF('CAP1-3'!$B:$H,Equipo[[#This Row],[DESCRIPCION]],'CAP1-3'!$H:$H)</f>
        <v>0</v>
      </c>
      <c r="G54" s="69">
        <f ca="1">SUMIF('CAP4-5'!$B:$H,Equipo[[#This Row],[DESCRIPCION]],'CAP4-5'!$H:$H)</f>
        <v>0</v>
      </c>
      <c r="H54" s="69">
        <f ca="1">SUMIF('CAP6-7'!$B:$H,Equipo[[#This Row],[DESCRIPCION]],'CAP6-7'!$H:$H)</f>
        <v>0</v>
      </c>
      <c r="I54" s="69">
        <f ca="1">SUMIF('CAP8'!$B:$H,Equipo[[#This Row],[DESCRIPCION]],'CAP8'!$H:$H)</f>
        <v>0</v>
      </c>
      <c r="J54" s="69">
        <f ca="1">SUMIF('CAP9-13'!$B:$H,Equipo[[#This Row],[DESCRIPCION]],'CAP9-13'!$H:$H)</f>
        <v>0</v>
      </c>
      <c r="K54" s="69">
        <f ca="1">SUMIF('CAP14-15'!$B:$H,Equipo[[#This Row],[DESCRIPCION]],'CAP14-15'!$H:$H)</f>
        <v>0</v>
      </c>
      <c r="L54" s="69">
        <f ca="1">SUMIF('CAP16-18'!$B:$H,Equipo[[#This Row],[DESCRIPCION]],'CAP16-18'!$H:$H)</f>
        <v>0</v>
      </c>
      <c r="M54" s="69">
        <f ca="1">SUMIF('CAP19-22'!$B:$H,Equipo[[#This Row],[DESCRIPCION]],'CAP19-22'!$H:$H)</f>
        <v>0</v>
      </c>
      <c r="N54" s="69">
        <f ca="1">SUMIF('CAP23-24'!$B:$H,Equipo[[#This Row],[DESCRIPCION]],'CAP23-24'!$H:$H)</f>
        <v>0</v>
      </c>
      <c r="O54" s="69">
        <f ca="1">SUMIF('CAP25'!$B:$H,Equipo[[#This Row],[DESCRIPCION]],'CAP25'!$H:$H)</f>
        <v>0</v>
      </c>
      <c r="P54" s="69">
        <f ca="1">SUMIF('CAP26-28'!$B:$H,Equipo[[#This Row],[DESCRIPCION]],'CAP26-28'!$H:$H)</f>
        <v>0</v>
      </c>
      <c r="Q54" s="69">
        <f ca="1">SUMIF('CAP29'!$B:$H,Equipo[[#This Row],[DESCRIPCION]],'CAP29'!$H:$H)</f>
        <v>0</v>
      </c>
      <c r="R54" s="287"/>
      <c r="T54" s="304">
        <v>376981</v>
      </c>
    </row>
    <row r="55" spans="1:20">
      <c r="A55" s="286" t="s">
        <v>3624</v>
      </c>
      <c r="B55" s="280" t="s">
        <v>47</v>
      </c>
      <c r="C55" s="304">
        <f t="shared" si="0"/>
        <v>47499.9</v>
      </c>
      <c r="D55" s="281">
        <f ca="1">IF(Equipo[[#This Row],[VALOR]]=0,Equipo[[#This Row],[TOTAL]],E55/C55)</f>
        <v>0</v>
      </c>
      <c r="E55" s="69">
        <f ca="1">SUM(Equipo[[#This Row],[CAP1]:[CAP29]])</f>
        <v>0</v>
      </c>
      <c r="F55" s="69">
        <f ca="1">SUMIF('CAP1-3'!$B:$H,Equipo[[#This Row],[DESCRIPCION]],'CAP1-3'!$H:$H)</f>
        <v>0</v>
      </c>
      <c r="G55" s="69">
        <f ca="1">SUMIF('CAP4-5'!$B:$H,Equipo[[#This Row],[DESCRIPCION]],'CAP4-5'!$H:$H)</f>
        <v>0</v>
      </c>
      <c r="H55" s="69">
        <f ca="1">SUMIF('CAP6-7'!$B:$H,Equipo[[#This Row],[DESCRIPCION]],'CAP6-7'!$H:$H)</f>
        <v>0</v>
      </c>
      <c r="I55" s="69">
        <f ca="1">SUMIF('CAP8'!$B:$H,Equipo[[#This Row],[DESCRIPCION]],'CAP8'!$H:$H)</f>
        <v>0</v>
      </c>
      <c r="J55" s="69">
        <f ca="1">SUMIF('CAP9-13'!$B:$H,Equipo[[#This Row],[DESCRIPCION]],'CAP9-13'!$H:$H)</f>
        <v>0</v>
      </c>
      <c r="K55" s="69">
        <f ca="1">SUMIF('CAP14-15'!$B:$H,Equipo[[#This Row],[DESCRIPCION]],'CAP14-15'!$H:$H)</f>
        <v>0</v>
      </c>
      <c r="L55" s="69">
        <f ca="1">SUMIF('CAP16-18'!$B:$H,Equipo[[#This Row],[DESCRIPCION]],'CAP16-18'!$H:$H)</f>
        <v>0</v>
      </c>
      <c r="M55" s="69">
        <f ca="1">SUMIF('CAP19-22'!$B:$H,Equipo[[#This Row],[DESCRIPCION]],'CAP19-22'!$H:$H)</f>
        <v>0</v>
      </c>
      <c r="N55" s="69">
        <f ca="1">SUMIF('CAP23-24'!$B:$H,Equipo[[#This Row],[DESCRIPCION]],'CAP23-24'!$H:$H)</f>
        <v>0</v>
      </c>
      <c r="O55" s="69">
        <f ca="1">SUMIF('CAP25'!$B:$H,Equipo[[#This Row],[DESCRIPCION]],'CAP25'!$H:$H)</f>
        <v>0</v>
      </c>
      <c r="P55" s="69">
        <f ca="1">SUMIF('CAP26-28'!$B:$H,Equipo[[#This Row],[DESCRIPCION]],'CAP26-28'!$H:$H)</f>
        <v>0</v>
      </c>
      <c r="Q55" s="69">
        <f ca="1">SUMIF('CAP29'!$B:$H,Equipo[[#This Row],[DESCRIPCION]],'CAP29'!$H:$H)</f>
        <v>0</v>
      </c>
      <c r="R55" s="287"/>
      <c r="T55" s="304">
        <v>45238</v>
      </c>
    </row>
    <row r="56" spans="1:20">
      <c r="A56" s="286" t="s">
        <v>3625</v>
      </c>
      <c r="B56" s="280" t="s">
        <v>47</v>
      </c>
      <c r="C56" s="304">
        <f t="shared" si="0"/>
        <v>178450.65</v>
      </c>
      <c r="D56" s="281">
        <f ca="1">IF(Equipo[[#This Row],[VALOR]]=0,Equipo[[#This Row],[TOTAL]],E56/C56)</f>
        <v>0</v>
      </c>
      <c r="E56" s="69">
        <f ca="1">SUM(Equipo[[#This Row],[CAP1]:[CAP29]])</f>
        <v>0</v>
      </c>
      <c r="F56" s="69">
        <f ca="1">SUMIF('CAP1-3'!$B:$H,Equipo[[#This Row],[DESCRIPCION]],'CAP1-3'!$H:$H)</f>
        <v>0</v>
      </c>
      <c r="G56" s="69">
        <f ca="1">SUMIF('CAP4-5'!$B:$H,Equipo[[#This Row],[DESCRIPCION]],'CAP4-5'!$H:$H)</f>
        <v>0</v>
      </c>
      <c r="H56" s="69">
        <f ca="1">SUMIF('CAP6-7'!$B:$H,Equipo[[#This Row],[DESCRIPCION]],'CAP6-7'!$H:$H)</f>
        <v>0</v>
      </c>
      <c r="I56" s="69">
        <f ca="1">SUMIF('CAP8'!$B:$H,Equipo[[#This Row],[DESCRIPCION]],'CAP8'!$H:$H)</f>
        <v>0</v>
      </c>
      <c r="J56" s="69">
        <f ca="1">SUMIF('CAP9-13'!$B:$H,Equipo[[#This Row],[DESCRIPCION]],'CAP9-13'!$H:$H)</f>
        <v>0</v>
      </c>
      <c r="K56" s="69">
        <f ca="1">SUMIF('CAP14-15'!$B:$H,Equipo[[#This Row],[DESCRIPCION]],'CAP14-15'!$H:$H)</f>
        <v>0</v>
      </c>
      <c r="L56" s="69">
        <f ca="1">SUMIF('CAP16-18'!$B:$H,Equipo[[#This Row],[DESCRIPCION]],'CAP16-18'!$H:$H)</f>
        <v>0</v>
      </c>
      <c r="M56" s="69">
        <f ca="1">SUMIF('CAP19-22'!$B:$H,Equipo[[#This Row],[DESCRIPCION]],'CAP19-22'!$H:$H)</f>
        <v>0</v>
      </c>
      <c r="N56" s="69">
        <f ca="1">SUMIF('CAP23-24'!$B:$H,Equipo[[#This Row],[DESCRIPCION]],'CAP23-24'!$H:$H)</f>
        <v>0</v>
      </c>
      <c r="O56" s="69">
        <f ca="1">SUMIF('CAP25'!$B:$H,Equipo[[#This Row],[DESCRIPCION]],'CAP25'!$H:$H)</f>
        <v>0</v>
      </c>
      <c r="P56" s="69">
        <f ca="1">SUMIF('CAP26-28'!$B:$H,Equipo[[#This Row],[DESCRIPCION]],'CAP26-28'!$H:$H)</f>
        <v>0</v>
      </c>
      <c r="Q56" s="69">
        <f ca="1">SUMIF('CAP29'!$B:$H,Equipo[[#This Row],[DESCRIPCION]],'CAP29'!$H:$H)</f>
        <v>0</v>
      </c>
      <c r="R56" s="288"/>
      <c r="T56" s="304">
        <v>169953</v>
      </c>
    </row>
    <row r="57" spans="1:20" ht="12.75" customHeight="1">
      <c r="A57" s="286" t="s">
        <v>3626</v>
      </c>
      <c r="B57" s="280" t="s">
        <v>3571</v>
      </c>
      <c r="C57" s="304">
        <f t="shared" si="0"/>
        <v>0</v>
      </c>
      <c r="D57" s="281">
        <f ca="1">IF(Equipo[[#This Row],[VALOR]]=0,Equipo[[#This Row],[TOTAL]],E57/C57)</f>
        <v>0</v>
      </c>
      <c r="E57" s="69">
        <f ca="1">SUM(Equipo[[#This Row],[CAP1]:[CAP29]])</f>
        <v>0</v>
      </c>
      <c r="F57" s="69">
        <f ca="1">SUMIF('CAP1-3'!$B:$H,Equipo[[#This Row],[DESCRIPCION]],'CAP1-3'!$H:$H)</f>
        <v>0</v>
      </c>
      <c r="G57" s="69">
        <f ca="1">SUMIF('CAP4-5'!$B:$H,Equipo[[#This Row],[DESCRIPCION]],'CAP4-5'!$H:$H)</f>
        <v>0</v>
      </c>
      <c r="H57" s="69">
        <f ca="1">SUMIF('CAP6-7'!$B:$H,Equipo[[#This Row],[DESCRIPCION]],'CAP6-7'!$H:$H)</f>
        <v>0</v>
      </c>
      <c r="I57" s="69">
        <f ca="1">SUMIF('CAP8'!$B:$H,Equipo[[#This Row],[DESCRIPCION]],'CAP8'!$H:$H)</f>
        <v>0</v>
      </c>
      <c r="J57" s="69">
        <f ca="1">SUMIF('CAP9-13'!$B:$H,Equipo[[#This Row],[DESCRIPCION]],'CAP9-13'!$H:$H)</f>
        <v>0</v>
      </c>
      <c r="K57" s="69">
        <f ca="1">SUMIF('CAP14-15'!$B:$H,Equipo[[#This Row],[DESCRIPCION]],'CAP14-15'!$H:$H)</f>
        <v>0</v>
      </c>
      <c r="L57" s="69">
        <f ca="1">SUMIF('CAP16-18'!$B:$H,Equipo[[#This Row],[DESCRIPCION]],'CAP16-18'!$H:$H)</f>
        <v>0</v>
      </c>
      <c r="M57" s="69">
        <f ca="1">SUMIF('CAP19-22'!$B:$H,Equipo[[#This Row],[DESCRIPCION]],'CAP19-22'!$H:$H)</f>
        <v>0</v>
      </c>
      <c r="N57" s="69">
        <f ca="1">SUMIF('CAP23-24'!$B:$H,Equipo[[#This Row],[DESCRIPCION]],'CAP23-24'!$H:$H)</f>
        <v>0</v>
      </c>
      <c r="O57" s="69">
        <f ca="1">SUMIF('CAP25'!$B:$H,Equipo[[#This Row],[DESCRIPCION]],'CAP25'!$H:$H)</f>
        <v>0</v>
      </c>
      <c r="P57" s="69">
        <f ca="1">SUMIF('CAP26-28'!$B:$H,Equipo[[#This Row],[DESCRIPCION]],'CAP26-28'!$H:$H)</f>
        <v>0</v>
      </c>
      <c r="Q57" s="69">
        <f ca="1">SUMIF('CAP29'!$B:$H,Equipo[[#This Row],[DESCRIPCION]],'CAP29'!$H:$H)</f>
        <v>0</v>
      </c>
      <c r="R57" s="287"/>
      <c r="T57" s="304">
        <v>0</v>
      </c>
    </row>
    <row r="58" spans="1:20">
      <c r="A58" s="286" t="s">
        <v>3627</v>
      </c>
      <c r="B58" s="280" t="s">
        <v>47</v>
      </c>
      <c r="C58" s="304">
        <f t="shared" si="0"/>
        <v>109956</v>
      </c>
      <c r="D58" s="281">
        <f ca="1">IF(Equipo[[#This Row],[VALOR]]=0,Equipo[[#This Row],[TOTAL]],E58/C58)</f>
        <v>0</v>
      </c>
      <c r="E58" s="69">
        <f ca="1">SUM(Equipo[[#This Row],[CAP1]:[CAP29]])</f>
        <v>0</v>
      </c>
      <c r="F58" s="69">
        <f ca="1">SUMIF('CAP1-3'!$B:$H,Equipo[[#This Row],[DESCRIPCION]],'CAP1-3'!$H:$H)</f>
        <v>0</v>
      </c>
      <c r="G58" s="69">
        <f ca="1">SUMIF('CAP4-5'!$B:$H,Equipo[[#This Row],[DESCRIPCION]],'CAP4-5'!$H:$H)</f>
        <v>0</v>
      </c>
      <c r="H58" s="69">
        <f ca="1">SUMIF('CAP6-7'!$B:$H,Equipo[[#This Row],[DESCRIPCION]],'CAP6-7'!$H:$H)</f>
        <v>0</v>
      </c>
      <c r="I58" s="69">
        <f ca="1">SUMIF('CAP8'!$B:$H,Equipo[[#This Row],[DESCRIPCION]],'CAP8'!$H:$H)</f>
        <v>0</v>
      </c>
      <c r="J58" s="69">
        <f ca="1">SUMIF('CAP9-13'!$B:$H,Equipo[[#This Row],[DESCRIPCION]],'CAP9-13'!$H:$H)</f>
        <v>0</v>
      </c>
      <c r="K58" s="69">
        <f ca="1">SUMIF('CAP14-15'!$B:$H,Equipo[[#This Row],[DESCRIPCION]],'CAP14-15'!$H:$H)</f>
        <v>0</v>
      </c>
      <c r="L58" s="69">
        <f ca="1">SUMIF('CAP16-18'!$B:$H,Equipo[[#This Row],[DESCRIPCION]],'CAP16-18'!$H:$H)</f>
        <v>0</v>
      </c>
      <c r="M58" s="69">
        <f ca="1">SUMIF('CAP19-22'!$B:$H,Equipo[[#This Row],[DESCRIPCION]],'CAP19-22'!$H:$H)</f>
        <v>0</v>
      </c>
      <c r="N58" s="69">
        <f ca="1">SUMIF('CAP23-24'!$B:$H,Equipo[[#This Row],[DESCRIPCION]],'CAP23-24'!$H:$H)</f>
        <v>0</v>
      </c>
      <c r="O58" s="69">
        <f ca="1">SUMIF('CAP25'!$B:$H,Equipo[[#This Row],[DESCRIPCION]],'CAP25'!$H:$H)</f>
        <v>0</v>
      </c>
      <c r="P58" s="69">
        <f ca="1">SUMIF('CAP26-28'!$B:$H,Equipo[[#This Row],[DESCRIPCION]],'CAP26-28'!$H:$H)</f>
        <v>0</v>
      </c>
      <c r="Q58" s="69">
        <f ca="1">SUMIF('CAP29'!$B:$H,Equipo[[#This Row],[DESCRIPCION]],'CAP29'!$H:$H)</f>
        <v>0</v>
      </c>
      <c r="R58" s="288"/>
      <c r="T58" s="304">
        <v>104720</v>
      </c>
    </row>
    <row r="59" spans="1:20">
      <c r="A59" s="286" t="s">
        <v>3628</v>
      </c>
      <c r="B59" s="280" t="s">
        <v>47</v>
      </c>
      <c r="C59" s="304">
        <f t="shared" si="0"/>
        <v>262493.7</v>
      </c>
      <c r="D59" s="281">
        <f ca="1">IF(Equipo[[#This Row],[VALOR]]=0,Equipo[[#This Row],[TOTAL]],E59/C59)</f>
        <v>0</v>
      </c>
      <c r="E59" s="69">
        <f ca="1">SUM(Equipo[[#This Row],[CAP1]:[CAP29]])</f>
        <v>0</v>
      </c>
      <c r="F59" s="69">
        <f ca="1">SUMIF('CAP1-3'!$B:$H,Equipo[[#This Row],[DESCRIPCION]],'CAP1-3'!$H:$H)</f>
        <v>0</v>
      </c>
      <c r="G59" s="69">
        <f ca="1">SUMIF('CAP4-5'!$B:$H,Equipo[[#This Row],[DESCRIPCION]],'CAP4-5'!$H:$H)</f>
        <v>0</v>
      </c>
      <c r="H59" s="69">
        <f ca="1">SUMIF('CAP6-7'!$B:$H,Equipo[[#This Row],[DESCRIPCION]],'CAP6-7'!$H:$H)</f>
        <v>0</v>
      </c>
      <c r="I59" s="69">
        <f ca="1">SUMIF('CAP8'!$B:$H,Equipo[[#This Row],[DESCRIPCION]],'CAP8'!$H:$H)</f>
        <v>0</v>
      </c>
      <c r="J59" s="69">
        <f ca="1">SUMIF('CAP9-13'!$B:$H,Equipo[[#This Row],[DESCRIPCION]],'CAP9-13'!$H:$H)</f>
        <v>0</v>
      </c>
      <c r="K59" s="69">
        <f ca="1">SUMIF('CAP14-15'!$B:$H,Equipo[[#This Row],[DESCRIPCION]],'CAP14-15'!$H:$H)</f>
        <v>0</v>
      </c>
      <c r="L59" s="69">
        <f ca="1">SUMIF('CAP16-18'!$B:$H,Equipo[[#This Row],[DESCRIPCION]],'CAP16-18'!$H:$H)</f>
        <v>0</v>
      </c>
      <c r="M59" s="69">
        <f ca="1">SUMIF('CAP19-22'!$B:$H,Equipo[[#This Row],[DESCRIPCION]],'CAP19-22'!$H:$H)</f>
        <v>0</v>
      </c>
      <c r="N59" s="69">
        <f ca="1">SUMIF('CAP23-24'!$B:$H,Equipo[[#This Row],[DESCRIPCION]],'CAP23-24'!$H:$H)</f>
        <v>0</v>
      </c>
      <c r="O59" s="69">
        <f ca="1">SUMIF('CAP25'!$B:$H,Equipo[[#This Row],[DESCRIPCION]],'CAP25'!$H:$H)</f>
        <v>0</v>
      </c>
      <c r="P59" s="69">
        <f ca="1">SUMIF('CAP26-28'!$B:$H,Equipo[[#This Row],[DESCRIPCION]],'CAP26-28'!$H:$H)</f>
        <v>0</v>
      </c>
      <c r="Q59" s="69">
        <f ca="1">SUMIF('CAP29'!$B:$H,Equipo[[#This Row],[DESCRIPCION]],'CAP29'!$H:$H)</f>
        <v>0</v>
      </c>
      <c r="R59" s="287"/>
      <c r="T59" s="304">
        <v>249994</v>
      </c>
    </row>
    <row r="60" spans="1:20">
      <c r="A60" s="286" t="s">
        <v>3629</v>
      </c>
      <c r="B60" s="280" t="s">
        <v>3571</v>
      </c>
      <c r="C60" s="304">
        <f t="shared" si="0"/>
        <v>0</v>
      </c>
      <c r="D60" s="281">
        <f ca="1">IF(Equipo[[#This Row],[VALOR]]=0,Equipo[[#This Row],[TOTAL]],E60/C60)</f>
        <v>0</v>
      </c>
      <c r="E60" s="69">
        <f ca="1">SUM(Equipo[[#This Row],[CAP1]:[CAP29]])</f>
        <v>0</v>
      </c>
      <c r="F60" s="69">
        <f ca="1">SUMIF('CAP1-3'!$B:$H,Equipo[[#This Row],[DESCRIPCION]],'CAP1-3'!$H:$H)</f>
        <v>0</v>
      </c>
      <c r="G60" s="69">
        <f ca="1">SUMIF('CAP4-5'!$B:$H,Equipo[[#This Row],[DESCRIPCION]],'CAP4-5'!$H:$H)</f>
        <v>0</v>
      </c>
      <c r="H60" s="69">
        <f ca="1">SUMIF('CAP6-7'!$B:$H,Equipo[[#This Row],[DESCRIPCION]],'CAP6-7'!$H:$H)</f>
        <v>0</v>
      </c>
      <c r="I60" s="69">
        <f ca="1">SUMIF('CAP8'!$B:$H,Equipo[[#This Row],[DESCRIPCION]],'CAP8'!$H:$H)</f>
        <v>0</v>
      </c>
      <c r="J60" s="69">
        <f ca="1">SUMIF('CAP9-13'!$B:$H,Equipo[[#This Row],[DESCRIPCION]],'CAP9-13'!$H:$H)</f>
        <v>0</v>
      </c>
      <c r="K60" s="69">
        <f ca="1">SUMIF('CAP14-15'!$B:$H,Equipo[[#This Row],[DESCRIPCION]],'CAP14-15'!$H:$H)</f>
        <v>0</v>
      </c>
      <c r="L60" s="69">
        <f ca="1">SUMIF('CAP16-18'!$B:$H,Equipo[[#This Row],[DESCRIPCION]],'CAP16-18'!$H:$H)</f>
        <v>0</v>
      </c>
      <c r="M60" s="69">
        <f ca="1">SUMIF('CAP19-22'!$B:$H,Equipo[[#This Row],[DESCRIPCION]],'CAP19-22'!$H:$H)</f>
        <v>0</v>
      </c>
      <c r="N60" s="69">
        <f ca="1">SUMIF('CAP23-24'!$B:$H,Equipo[[#This Row],[DESCRIPCION]],'CAP23-24'!$H:$H)</f>
        <v>0</v>
      </c>
      <c r="O60" s="69">
        <f ca="1">SUMIF('CAP25'!$B:$H,Equipo[[#This Row],[DESCRIPCION]],'CAP25'!$H:$H)</f>
        <v>0</v>
      </c>
      <c r="P60" s="69">
        <f ca="1">SUMIF('CAP26-28'!$B:$H,Equipo[[#This Row],[DESCRIPCION]],'CAP26-28'!$H:$H)</f>
        <v>0</v>
      </c>
      <c r="Q60" s="69">
        <f ca="1">SUMIF('CAP29'!$B:$H,Equipo[[#This Row],[DESCRIPCION]],'CAP29'!$H:$H)</f>
        <v>0</v>
      </c>
      <c r="R60" s="287"/>
      <c r="T60" s="304">
        <v>0</v>
      </c>
    </row>
    <row r="61" spans="1:20">
      <c r="A61" s="286" t="s">
        <v>3630</v>
      </c>
      <c r="B61" s="280" t="s">
        <v>47</v>
      </c>
      <c r="C61" s="304">
        <f t="shared" si="0"/>
        <v>187425</v>
      </c>
      <c r="D61" s="281">
        <f ca="1">IF(Equipo[[#This Row],[VALOR]]=0,Equipo[[#This Row],[TOTAL]],E61/C61)</f>
        <v>0</v>
      </c>
      <c r="E61" s="69">
        <f ca="1">SUM(Equipo[[#This Row],[CAP1]:[CAP29]])</f>
        <v>0</v>
      </c>
      <c r="F61" s="69">
        <f ca="1">SUMIF('CAP1-3'!$B:$H,Equipo[[#This Row],[DESCRIPCION]],'CAP1-3'!$H:$H)</f>
        <v>0</v>
      </c>
      <c r="G61" s="69">
        <f ca="1">SUMIF('CAP4-5'!$B:$H,Equipo[[#This Row],[DESCRIPCION]],'CAP4-5'!$H:$H)</f>
        <v>0</v>
      </c>
      <c r="H61" s="69">
        <f ca="1">SUMIF('CAP6-7'!$B:$H,Equipo[[#This Row],[DESCRIPCION]],'CAP6-7'!$H:$H)</f>
        <v>0</v>
      </c>
      <c r="I61" s="69">
        <f ca="1">SUMIF('CAP8'!$B:$H,Equipo[[#This Row],[DESCRIPCION]],'CAP8'!$H:$H)</f>
        <v>0</v>
      </c>
      <c r="J61" s="69">
        <f ca="1">SUMIF('CAP9-13'!$B:$H,Equipo[[#This Row],[DESCRIPCION]],'CAP9-13'!$H:$H)</f>
        <v>0</v>
      </c>
      <c r="K61" s="69">
        <f ca="1">SUMIF('CAP14-15'!$B:$H,Equipo[[#This Row],[DESCRIPCION]],'CAP14-15'!$H:$H)</f>
        <v>0</v>
      </c>
      <c r="L61" s="69">
        <f ca="1">SUMIF('CAP16-18'!$B:$H,Equipo[[#This Row],[DESCRIPCION]],'CAP16-18'!$H:$H)</f>
        <v>0</v>
      </c>
      <c r="M61" s="69">
        <f ca="1">SUMIF('CAP19-22'!$B:$H,Equipo[[#This Row],[DESCRIPCION]],'CAP19-22'!$H:$H)</f>
        <v>0</v>
      </c>
      <c r="N61" s="69">
        <f ca="1">SUMIF('CAP23-24'!$B:$H,Equipo[[#This Row],[DESCRIPCION]],'CAP23-24'!$H:$H)</f>
        <v>0</v>
      </c>
      <c r="O61" s="69">
        <f ca="1">SUMIF('CAP25'!$B:$H,Equipo[[#This Row],[DESCRIPCION]],'CAP25'!$H:$H)</f>
        <v>0</v>
      </c>
      <c r="P61" s="69">
        <f ca="1">SUMIF('CAP26-28'!$B:$H,Equipo[[#This Row],[DESCRIPCION]],'CAP26-28'!$H:$H)</f>
        <v>0</v>
      </c>
      <c r="Q61" s="69">
        <f ca="1">SUMIF('CAP29'!$B:$H,Equipo[[#This Row],[DESCRIPCION]],'CAP29'!$H:$H)</f>
        <v>0</v>
      </c>
      <c r="R61" s="287"/>
      <c r="T61" s="304">
        <v>178500</v>
      </c>
    </row>
    <row r="62" spans="1:20">
      <c r="A62" s="286" t="s">
        <v>3631</v>
      </c>
      <c r="B62" s="280" t="s">
        <v>47</v>
      </c>
      <c r="C62" s="304">
        <f t="shared" si="0"/>
        <v>22732.5</v>
      </c>
      <c r="D62" s="281">
        <f ca="1">IF(Equipo[[#This Row],[VALOR]]=0,Equipo[[#This Row],[TOTAL]],E62/C62)</f>
        <v>0</v>
      </c>
      <c r="E62" s="69">
        <f ca="1">SUM(Equipo[[#This Row],[CAP1]:[CAP29]])</f>
        <v>0</v>
      </c>
      <c r="F62" s="69">
        <f ca="1">SUMIF('CAP1-3'!$B:$H,Equipo[[#This Row],[DESCRIPCION]],'CAP1-3'!$H:$H)</f>
        <v>0</v>
      </c>
      <c r="G62" s="69">
        <f ca="1">SUMIF('CAP4-5'!$B:$H,Equipo[[#This Row],[DESCRIPCION]],'CAP4-5'!$H:$H)</f>
        <v>0</v>
      </c>
      <c r="H62" s="69">
        <f ca="1">SUMIF('CAP6-7'!$B:$H,Equipo[[#This Row],[DESCRIPCION]],'CAP6-7'!$H:$H)</f>
        <v>0</v>
      </c>
      <c r="I62" s="69">
        <f ca="1">SUMIF('CAP8'!$B:$H,Equipo[[#This Row],[DESCRIPCION]],'CAP8'!$H:$H)</f>
        <v>0</v>
      </c>
      <c r="J62" s="69">
        <f ca="1">SUMIF('CAP9-13'!$B:$H,Equipo[[#This Row],[DESCRIPCION]],'CAP9-13'!$H:$H)</f>
        <v>0</v>
      </c>
      <c r="K62" s="69">
        <f ca="1">SUMIF('CAP14-15'!$B:$H,Equipo[[#This Row],[DESCRIPCION]],'CAP14-15'!$H:$H)</f>
        <v>0</v>
      </c>
      <c r="L62" s="69">
        <f ca="1">SUMIF('CAP16-18'!$B:$H,Equipo[[#This Row],[DESCRIPCION]],'CAP16-18'!$H:$H)</f>
        <v>0</v>
      </c>
      <c r="M62" s="69">
        <f ca="1">SUMIF('CAP19-22'!$B:$H,Equipo[[#This Row],[DESCRIPCION]],'CAP19-22'!$H:$H)</f>
        <v>0</v>
      </c>
      <c r="N62" s="69">
        <f ca="1">SUMIF('CAP23-24'!$B:$H,Equipo[[#This Row],[DESCRIPCION]],'CAP23-24'!$H:$H)</f>
        <v>0</v>
      </c>
      <c r="O62" s="69">
        <f ca="1">SUMIF('CAP25'!$B:$H,Equipo[[#This Row],[DESCRIPCION]],'CAP25'!$H:$H)</f>
        <v>0</v>
      </c>
      <c r="P62" s="69">
        <f ca="1">SUMIF('CAP26-28'!$B:$H,Equipo[[#This Row],[DESCRIPCION]],'CAP26-28'!$H:$H)</f>
        <v>0</v>
      </c>
      <c r="Q62" s="69">
        <f ca="1">SUMIF('CAP29'!$B:$H,Equipo[[#This Row],[DESCRIPCION]],'CAP29'!$H:$H)</f>
        <v>0</v>
      </c>
      <c r="R62" s="287"/>
      <c r="T62" s="304">
        <v>21650</v>
      </c>
    </row>
    <row r="63" spans="1:20">
      <c r="A63" s="286" t="s">
        <v>3632</v>
      </c>
      <c r="B63" s="280" t="s">
        <v>47</v>
      </c>
      <c r="C63" s="304">
        <f t="shared" si="0"/>
        <v>109956</v>
      </c>
      <c r="D63" s="281">
        <f ca="1">IF(Equipo[[#This Row],[VALOR]]=0,Equipo[[#This Row],[TOTAL]],E63/C63)</f>
        <v>0</v>
      </c>
      <c r="E63" s="69">
        <f ca="1">SUM(Equipo[[#This Row],[CAP1]:[CAP29]])</f>
        <v>0</v>
      </c>
      <c r="F63" s="69">
        <f ca="1">SUMIF('CAP1-3'!$B:$H,Equipo[[#This Row],[DESCRIPCION]],'CAP1-3'!$H:$H)</f>
        <v>0</v>
      </c>
      <c r="G63" s="69">
        <f ca="1">SUMIF('CAP4-5'!$B:$H,Equipo[[#This Row],[DESCRIPCION]],'CAP4-5'!$H:$H)</f>
        <v>0</v>
      </c>
      <c r="H63" s="69">
        <f ca="1">SUMIF('CAP6-7'!$B:$H,Equipo[[#This Row],[DESCRIPCION]],'CAP6-7'!$H:$H)</f>
        <v>0</v>
      </c>
      <c r="I63" s="69">
        <f ca="1">SUMIF('CAP8'!$B:$H,Equipo[[#This Row],[DESCRIPCION]],'CAP8'!$H:$H)</f>
        <v>0</v>
      </c>
      <c r="J63" s="69">
        <f ca="1">SUMIF('CAP9-13'!$B:$H,Equipo[[#This Row],[DESCRIPCION]],'CAP9-13'!$H:$H)</f>
        <v>0</v>
      </c>
      <c r="K63" s="69">
        <f ca="1">SUMIF('CAP14-15'!$B:$H,Equipo[[#This Row],[DESCRIPCION]],'CAP14-15'!$H:$H)</f>
        <v>0</v>
      </c>
      <c r="L63" s="69">
        <f ca="1">SUMIF('CAP16-18'!$B:$H,Equipo[[#This Row],[DESCRIPCION]],'CAP16-18'!$H:$H)</f>
        <v>0</v>
      </c>
      <c r="M63" s="69">
        <f ca="1">SUMIF('CAP19-22'!$B:$H,Equipo[[#This Row],[DESCRIPCION]],'CAP19-22'!$H:$H)</f>
        <v>0</v>
      </c>
      <c r="N63" s="69">
        <f ca="1">SUMIF('CAP23-24'!$B:$H,Equipo[[#This Row],[DESCRIPCION]],'CAP23-24'!$H:$H)</f>
        <v>0</v>
      </c>
      <c r="O63" s="69">
        <f ca="1">SUMIF('CAP25'!$B:$H,Equipo[[#This Row],[DESCRIPCION]],'CAP25'!$H:$H)</f>
        <v>0</v>
      </c>
      <c r="P63" s="69">
        <f ca="1">SUMIF('CAP26-28'!$B:$H,Equipo[[#This Row],[DESCRIPCION]],'CAP26-28'!$H:$H)</f>
        <v>0</v>
      </c>
      <c r="Q63" s="69">
        <f ca="1">SUMIF('CAP29'!$B:$H,Equipo[[#This Row],[DESCRIPCION]],'CAP29'!$H:$H)</f>
        <v>0</v>
      </c>
      <c r="R63" s="287"/>
      <c r="T63" s="304">
        <v>104720</v>
      </c>
    </row>
    <row r="64" spans="1:20">
      <c r="A64" s="286" t="s">
        <v>3633</v>
      </c>
      <c r="B64" s="280" t="s">
        <v>3582</v>
      </c>
      <c r="C64" s="304">
        <f t="shared" si="0"/>
        <v>316537.2</v>
      </c>
      <c r="D64" s="281">
        <f ca="1">IF(Equipo[[#This Row],[VALOR]]=0,Equipo[[#This Row],[TOTAL]],E64/C64)</f>
        <v>0</v>
      </c>
      <c r="E64" s="69">
        <f ca="1">SUM(Equipo[[#This Row],[CAP1]:[CAP29]])</f>
        <v>0</v>
      </c>
      <c r="F64" s="69">
        <f ca="1">SUMIF('CAP1-3'!$B:$H,Equipo[[#This Row],[DESCRIPCION]],'CAP1-3'!$H:$H)</f>
        <v>0</v>
      </c>
      <c r="G64" s="69">
        <f ca="1">SUMIF('CAP4-5'!$B:$H,Equipo[[#This Row],[DESCRIPCION]],'CAP4-5'!$H:$H)</f>
        <v>0</v>
      </c>
      <c r="H64" s="69">
        <f ca="1">SUMIF('CAP6-7'!$B:$H,Equipo[[#This Row],[DESCRIPCION]],'CAP6-7'!$H:$H)</f>
        <v>0</v>
      </c>
      <c r="I64" s="69">
        <f ca="1">SUMIF('CAP8'!$B:$H,Equipo[[#This Row],[DESCRIPCION]],'CAP8'!$H:$H)</f>
        <v>0</v>
      </c>
      <c r="J64" s="69">
        <f ca="1">SUMIF('CAP9-13'!$B:$H,Equipo[[#This Row],[DESCRIPCION]],'CAP9-13'!$H:$H)</f>
        <v>0</v>
      </c>
      <c r="K64" s="69">
        <f ca="1">SUMIF('CAP14-15'!$B:$H,Equipo[[#This Row],[DESCRIPCION]],'CAP14-15'!$H:$H)</f>
        <v>0</v>
      </c>
      <c r="L64" s="69">
        <f ca="1">SUMIF('CAP16-18'!$B:$H,Equipo[[#This Row],[DESCRIPCION]],'CAP16-18'!$H:$H)</f>
        <v>0</v>
      </c>
      <c r="M64" s="69">
        <f ca="1">SUMIF('CAP19-22'!$B:$H,Equipo[[#This Row],[DESCRIPCION]],'CAP19-22'!$H:$H)</f>
        <v>0</v>
      </c>
      <c r="N64" s="69">
        <f ca="1">SUMIF('CAP23-24'!$B:$H,Equipo[[#This Row],[DESCRIPCION]],'CAP23-24'!$H:$H)</f>
        <v>0</v>
      </c>
      <c r="O64" s="69">
        <f ca="1">SUMIF('CAP25'!$B:$H,Equipo[[#This Row],[DESCRIPCION]],'CAP25'!$H:$H)</f>
        <v>0</v>
      </c>
      <c r="P64" s="69">
        <f ca="1">SUMIF('CAP26-28'!$B:$H,Equipo[[#This Row],[DESCRIPCION]],'CAP26-28'!$H:$H)</f>
        <v>0</v>
      </c>
      <c r="Q64" s="69">
        <f ca="1">SUMIF('CAP29'!$B:$H,Equipo[[#This Row],[DESCRIPCION]],'CAP29'!$H:$H)</f>
        <v>0</v>
      </c>
      <c r="R64" s="287"/>
      <c r="T64" s="304">
        <v>301464</v>
      </c>
    </row>
    <row r="65" spans="1:20">
      <c r="A65" s="286" t="s">
        <v>3634</v>
      </c>
      <c r="B65" s="280" t="s">
        <v>47</v>
      </c>
      <c r="C65" s="304">
        <f t="shared" si="0"/>
        <v>89224.8</v>
      </c>
      <c r="D65" s="281">
        <f ca="1">IF(Equipo[[#This Row],[VALOR]]=0,Equipo[[#This Row],[TOTAL]],E65/C65)</f>
        <v>0</v>
      </c>
      <c r="E65" s="69">
        <f ca="1">SUM(Equipo[[#This Row],[CAP1]:[CAP29]])</f>
        <v>0</v>
      </c>
      <c r="F65" s="69">
        <f ca="1">SUMIF('CAP1-3'!$B:$H,Equipo[[#This Row],[DESCRIPCION]],'CAP1-3'!$H:$H)</f>
        <v>0</v>
      </c>
      <c r="G65" s="69">
        <f ca="1">SUMIF('CAP4-5'!$B:$H,Equipo[[#This Row],[DESCRIPCION]],'CAP4-5'!$H:$H)</f>
        <v>0</v>
      </c>
      <c r="H65" s="69">
        <f ca="1">SUMIF('CAP6-7'!$B:$H,Equipo[[#This Row],[DESCRIPCION]],'CAP6-7'!$H:$H)</f>
        <v>0</v>
      </c>
      <c r="I65" s="69">
        <f ca="1">SUMIF('CAP8'!$B:$H,Equipo[[#This Row],[DESCRIPCION]],'CAP8'!$H:$H)</f>
        <v>0</v>
      </c>
      <c r="J65" s="69">
        <f ca="1">SUMIF('CAP9-13'!$B:$H,Equipo[[#This Row],[DESCRIPCION]],'CAP9-13'!$H:$H)</f>
        <v>0</v>
      </c>
      <c r="K65" s="69">
        <f ca="1">SUMIF('CAP14-15'!$B:$H,Equipo[[#This Row],[DESCRIPCION]],'CAP14-15'!$H:$H)</f>
        <v>0</v>
      </c>
      <c r="L65" s="69">
        <f ca="1">SUMIF('CAP16-18'!$B:$H,Equipo[[#This Row],[DESCRIPCION]],'CAP16-18'!$H:$H)</f>
        <v>0</v>
      </c>
      <c r="M65" s="69">
        <f ca="1">SUMIF('CAP19-22'!$B:$H,Equipo[[#This Row],[DESCRIPCION]],'CAP19-22'!$H:$H)</f>
        <v>0</v>
      </c>
      <c r="N65" s="69">
        <f ca="1">SUMIF('CAP23-24'!$B:$H,Equipo[[#This Row],[DESCRIPCION]],'CAP23-24'!$H:$H)</f>
        <v>0</v>
      </c>
      <c r="O65" s="69">
        <f ca="1">SUMIF('CAP25'!$B:$H,Equipo[[#This Row],[DESCRIPCION]],'CAP25'!$H:$H)</f>
        <v>0</v>
      </c>
      <c r="P65" s="69">
        <f ca="1">SUMIF('CAP26-28'!$B:$H,Equipo[[#This Row],[DESCRIPCION]],'CAP26-28'!$H:$H)</f>
        <v>0</v>
      </c>
      <c r="Q65" s="69">
        <f ca="1">SUMIF('CAP29'!$B:$H,Equipo[[#This Row],[DESCRIPCION]],'CAP29'!$H:$H)</f>
        <v>0</v>
      </c>
      <c r="R65" s="287"/>
      <c r="T65" s="304">
        <v>84976</v>
      </c>
    </row>
    <row r="66" spans="1:20">
      <c r="A66" s="286" t="s">
        <v>3635</v>
      </c>
      <c r="B66" s="280" t="s">
        <v>47</v>
      </c>
      <c r="C66" s="304">
        <f t="shared" si="0"/>
        <v>187543.65</v>
      </c>
      <c r="D66" s="281">
        <f ca="1">IF(Equipo[[#This Row],[VALOR]]=0,Equipo[[#This Row],[TOTAL]],E66/C66)</f>
        <v>0</v>
      </c>
      <c r="E66" s="69">
        <f ca="1">SUM(Equipo[[#This Row],[CAP1]:[CAP29]])</f>
        <v>0</v>
      </c>
      <c r="F66" s="69">
        <f ca="1">SUMIF('CAP1-3'!$B:$H,Equipo[[#This Row],[DESCRIPCION]],'CAP1-3'!$H:$H)</f>
        <v>0</v>
      </c>
      <c r="G66" s="69">
        <f ca="1">SUMIF('CAP4-5'!$B:$H,Equipo[[#This Row],[DESCRIPCION]],'CAP4-5'!$H:$H)</f>
        <v>0</v>
      </c>
      <c r="H66" s="69">
        <f ca="1">SUMIF('CAP6-7'!$B:$H,Equipo[[#This Row],[DESCRIPCION]],'CAP6-7'!$H:$H)</f>
        <v>0</v>
      </c>
      <c r="I66" s="69">
        <f ca="1">SUMIF('CAP8'!$B:$H,Equipo[[#This Row],[DESCRIPCION]],'CAP8'!$H:$H)</f>
        <v>0</v>
      </c>
      <c r="J66" s="69">
        <f ca="1">SUMIF('CAP9-13'!$B:$H,Equipo[[#This Row],[DESCRIPCION]],'CAP9-13'!$H:$H)</f>
        <v>0</v>
      </c>
      <c r="K66" s="69">
        <f ca="1">SUMIF('CAP14-15'!$B:$H,Equipo[[#This Row],[DESCRIPCION]],'CAP14-15'!$H:$H)</f>
        <v>0</v>
      </c>
      <c r="L66" s="69">
        <f ca="1">SUMIF('CAP16-18'!$B:$H,Equipo[[#This Row],[DESCRIPCION]],'CAP16-18'!$H:$H)</f>
        <v>0</v>
      </c>
      <c r="M66" s="69">
        <f ca="1">SUMIF('CAP19-22'!$B:$H,Equipo[[#This Row],[DESCRIPCION]],'CAP19-22'!$H:$H)</f>
        <v>0</v>
      </c>
      <c r="N66" s="69">
        <f ca="1">SUMIF('CAP23-24'!$B:$H,Equipo[[#This Row],[DESCRIPCION]],'CAP23-24'!$H:$H)</f>
        <v>0</v>
      </c>
      <c r="O66" s="69">
        <f ca="1">SUMIF('CAP25'!$B:$H,Equipo[[#This Row],[DESCRIPCION]],'CAP25'!$H:$H)</f>
        <v>0</v>
      </c>
      <c r="P66" s="69">
        <f ca="1">SUMIF('CAP26-28'!$B:$H,Equipo[[#This Row],[DESCRIPCION]],'CAP26-28'!$H:$H)</f>
        <v>0</v>
      </c>
      <c r="Q66" s="69">
        <f ca="1">SUMIF('CAP29'!$B:$H,Equipo[[#This Row],[DESCRIPCION]],'CAP29'!$H:$H)</f>
        <v>0</v>
      </c>
      <c r="R66" s="288"/>
      <c r="T66" s="304">
        <v>178613</v>
      </c>
    </row>
    <row r="67" spans="1:20">
      <c r="A67" s="286" t="s">
        <v>3636</v>
      </c>
      <c r="B67" s="280" t="s">
        <v>47</v>
      </c>
      <c r="C67" s="304">
        <f t="shared" si="0"/>
        <v>187543.65</v>
      </c>
      <c r="D67" s="281">
        <f ca="1">IF(Equipo[[#This Row],[VALOR]]=0,Equipo[[#This Row],[TOTAL]],E67/C67)</f>
        <v>0</v>
      </c>
      <c r="E67" s="69">
        <f ca="1">SUM(Equipo[[#This Row],[CAP1]:[CAP29]])</f>
        <v>0</v>
      </c>
      <c r="F67" s="69">
        <f ca="1">SUMIF('CAP1-3'!$B:$H,Equipo[[#This Row],[DESCRIPCION]],'CAP1-3'!$H:$H)</f>
        <v>0</v>
      </c>
      <c r="G67" s="69">
        <f ca="1">SUMIF('CAP4-5'!$B:$H,Equipo[[#This Row],[DESCRIPCION]],'CAP4-5'!$H:$H)</f>
        <v>0</v>
      </c>
      <c r="H67" s="69">
        <f ca="1">SUMIF('CAP6-7'!$B:$H,Equipo[[#This Row],[DESCRIPCION]],'CAP6-7'!$H:$H)</f>
        <v>0</v>
      </c>
      <c r="I67" s="69">
        <f ca="1">SUMIF('CAP8'!$B:$H,Equipo[[#This Row],[DESCRIPCION]],'CAP8'!$H:$H)</f>
        <v>0</v>
      </c>
      <c r="J67" s="69">
        <f ca="1">SUMIF('CAP9-13'!$B:$H,Equipo[[#This Row],[DESCRIPCION]],'CAP9-13'!$H:$H)</f>
        <v>0</v>
      </c>
      <c r="K67" s="69">
        <f ca="1">SUMIF('CAP14-15'!$B:$H,Equipo[[#This Row],[DESCRIPCION]],'CAP14-15'!$H:$H)</f>
        <v>0</v>
      </c>
      <c r="L67" s="69">
        <f ca="1">SUMIF('CAP16-18'!$B:$H,Equipo[[#This Row],[DESCRIPCION]],'CAP16-18'!$H:$H)</f>
        <v>0</v>
      </c>
      <c r="M67" s="69">
        <f ca="1">SUMIF('CAP19-22'!$B:$H,Equipo[[#This Row],[DESCRIPCION]],'CAP19-22'!$H:$H)</f>
        <v>0</v>
      </c>
      <c r="N67" s="69">
        <f ca="1">SUMIF('CAP23-24'!$B:$H,Equipo[[#This Row],[DESCRIPCION]],'CAP23-24'!$H:$H)</f>
        <v>0</v>
      </c>
      <c r="O67" s="69">
        <f ca="1">SUMIF('CAP25'!$B:$H,Equipo[[#This Row],[DESCRIPCION]],'CAP25'!$H:$H)</f>
        <v>0</v>
      </c>
      <c r="P67" s="69">
        <f ca="1">SUMIF('CAP26-28'!$B:$H,Equipo[[#This Row],[DESCRIPCION]],'CAP26-28'!$H:$H)</f>
        <v>0</v>
      </c>
      <c r="Q67" s="69">
        <f ca="1">SUMIF('CAP29'!$B:$H,Equipo[[#This Row],[DESCRIPCION]],'CAP29'!$H:$H)</f>
        <v>0</v>
      </c>
      <c r="R67" s="288"/>
      <c r="T67" s="304">
        <v>178613</v>
      </c>
    </row>
    <row r="68" spans="1:20">
      <c r="A68" s="286" t="s">
        <v>3637</v>
      </c>
      <c r="B68" s="280" t="s">
        <v>47</v>
      </c>
      <c r="C68" s="304">
        <f t="shared" si="0"/>
        <v>119198.1</v>
      </c>
      <c r="D68" s="281">
        <f ca="1">IF(Equipo[[#This Row],[VALOR]]=0,Equipo[[#This Row],[TOTAL]],E68/C68)</f>
        <v>0</v>
      </c>
      <c r="E68" s="69">
        <f ca="1">SUM(Equipo[[#This Row],[CAP1]:[CAP29]])</f>
        <v>0</v>
      </c>
      <c r="F68" s="69">
        <f ca="1">SUMIF('CAP1-3'!$B:$H,Equipo[[#This Row],[DESCRIPCION]],'CAP1-3'!$H:$H)</f>
        <v>0</v>
      </c>
      <c r="G68" s="69">
        <f ca="1">SUMIF('CAP4-5'!$B:$H,Equipo[[#This Row],[DESCRIPCION]],'CAP4-5'!$H:$H)</f>
        <v>0</v>
      </c>
      <c r="H68" s="69">
        <f ca="1">SUMIF('CAP6-7'!$B:$H,Equipo[[#This Row],[DESCRIPCION]],'CAP6-7'!$H:$H)</f>
        <v>0</v>
      </c>
      <c r="I68" s="69">
        <f ca="1">SUMIF('CAP8'!$B:$H,Equipo[[#This Row],[DESCRIPCION]],'CAP8'!$H:$H)</f>
        <v>0</v>
      </c>
      <c r="J68" s="69">
        <f ca="1">SUMIF('CAP9-13'!$B:$H,Equipo[[#This Row],[DESCRIPCION]],'CAP9-13'!$H:$H)</f>
        <v>0</v>
      </c>
      <c r="K68" s="69">
        <f ca="1">SUMIF('CAP14-15'!$B:$H,Equipo[[#This Row],[DESCRIPCION]],'CAP14-15'!$H:$H)</f>
        <v>0</v>
      </c>
      <c r="L68" s="69">
        <f ca="1">SUMIF('CAP16-18'!$B:$H,Equipo[[#This Row],[DESCRIPCION]],'CAP16-18'!$H:$H)</f>
        <v>0</v>
      </c>
      <c r="M68" s="69">
        <f ca="1">SUMIF('CAP19-22'!$B:$H,Equipo[[#This Row],[DESCRIPCION]],'CAP19-22'!$H:$H)</f>
        <v>0</v>
      </c>
      <c r="N68" s="69">
        <f ca="1">SUMIF('CAP23-24'!$B:$H,Equipo[[#This Row],[DESCRIPCION]],'CAP23-24'!$H:$H)</f>
        <v>0</v>
      </c>
      <c r="O68" s="69">
        <f ca="1">SUMIF('CAP25'!$B:$H,Equipo[[#This Row],[DESCRIPCION]],'CAP25'!$H:$H)</f>
        <v>0</v>
      </c>
      <c r="P68" s="69">
        <f ca="1">SUMIF('CAP26-28'!$B:$H,Equipo[[#This Row],[DESCRIPCION]],'CAP26-28'!$H:$H)</f>
        <v>0</v>
      </c>
      <c r="Q68" s="69">
        <f ca="1">SUMIF('CAP29'!$B:$H,Equipo[[#This Row],[DESCRIPCION]],'CAP29'!$H:$H)</f>
        <v>0</v>
      </c>
      <c r="R68" s="287"/>
      <c r="T68" s="304">
        <v>113522</v>
      </c>
    </row>
    <row r="69" spans="1:20">
      <c r="A69" s="286" t="s">
        <v>3638</v>
      </c>
      <c r="B69" s="280" t="s">
        <v>47</v>
      </c>
      <c r="C69" s="304">
        <f t="shared" si="0"/>
        <v>56831.25</v>
      </c>
      <c r="D69" s="281">
        <f ca="1">IF(Equipo[[#This Row],[VALOR]]=0,Equipo[[#This Row],[TOTAL]],E69/C69)</f>
        <v>0</v>
      </c>
      <c r="E69" s="69">
        <f ca="1">SUM(Equipo[[#This Row],[CAP1]:[CAP29]])</f>
        <v>0</v>
      </c>
      <c r="F69" s="69">
        <f ca="1">SUMIF('CAP1-3'!$B:$H,Equipo[[#This Row],[DESCRIPCION]],'CAP1-3'!$H:$H)</f>
        <v>0</v>
      </c>
      <c r="G69" s="69">
        <f ca="1">SUMIF('CAP4-5'!$B:$H,Equipo[[#This Row],[DESCRIPCION]],'CAP4-5'!$H:$H)</f>
        <v>0</v>
      </c>
      <c r="H69" s="69">
        <f ca="1">SUMIF('CAP6-7'!$B:$H,Equipo[[#This Row],[DESCRIPCION]],'CAP6-7'!$H:$H)</f>
        <v>0</v>
      </c>
      <c r="I69" s="69">
        <f ca="1">SUMIF('CAP8'!$B:$H,Equipo[[#This Row],[DESCRIPCION]],'CAP8'!$H:$H)</f>
        <v>0</v>
      </c>
      <c r="J69" s="69">
        <f ca="1">SUMIF('CAP9-13'!$B:$H,Equipo[[#This Row],[DESCRIPCION]],'CAP9-13'!$H:$H)</f>
        <v>0</v>
      </c>
      <c r="K69" s="69">
        <f ca="1">SUMIF('CAP14-15'!$B:$H,Equipo[[#This Row],[DESCRIPCION]],'CAP14-15'!$H:$H)</f>
        <v>0</v>
      </c>
      <c r="L69" s="69">
        <f ca="1">SUMIF('CAP16-18'!$B:$H,Equipo[[#This Row],[DESCRIPCION]],'CAP16-18'!$H:$H)</f>
        <v>0</v>
      </c>
      <c r="M69" s="69">
        <f ca="1">SUMIF('CAP19-22'!$B:$H,Equipo[[#This Row],[DESCRIPCION]],'CAP19-22'!$H:$H)</f>
        <v>0</v>
      </c>
      <c r="N69" s="69">
        <f ca="1">SUMIF('CAP23-24'!$B:$H,Equipo[[#This Row],[DESCRIPCION]],'CAP23-24'!$H:$H)</f>
        <v>0</v>
      </c>
      <c r="O69" s="69">
        <f ca="1">SUMIF('CAP25'!$B:$H,Equipo[[#This Row],[DESCRIPCION]],'CAP25'!$H:$H)</f>
        <v>0</v>
      </c>
      <c r="P69" s="69">
        <f ca="1">SUMIF('CAP26-28'!$B:$H,Equipo[[#This Row],[DESCRIPCION]],'CAP26-28'!$H:$H)</f>
        <v>0</v>
      </c>
      <c r="Q69" s="69">
        <f ca="1">SUMIF('CAP29'!$B:$H,Equipo[[#This Row],[DESCRIPCION]],'CAP29'!$H:$H)</f>
        <v>0</v>
      </c>
      <c r="R69" s="287"/>
      <c r="T69" s="304">
        <v>54125</v>
      </c>
    </row>
    <row r="70" spans="1:20">
      <c r="A70" s="286" t="s">
        <v>3639</v>
      </c>
      <c r="B70" s="280" t="s">
        <v>47</v>
      </c>
      <c r="C70" s="304">
        <f t="shared" ref="C70:C90" si="1">T70*$T$4</f>
        <v>31825.5</v>
      </c>
      <c r="D70" s="281">
        <f ca="1">IF(Equipo[[#This Row],[VALOR]]=0,Equipo[[#This Row],[TOTAL]],E70/C70)</f>
        <v>0</v>
      </c>
      <c r="E70" s="69">
        <f ca="1">SUM(Equipo[[#This Row],[CAP1]:[CAP29]])</f>
        <v>0</v>
      </c>
      <c r="F70" s="69">
        <f ca="1">SUMIF('CAP1-3'!$B:$H,Equipo[[#This Row],[DESCRIPCION]],'CAP1-3'!$H:$H)</f>
        <v>0</v>
      </c>
      <c r="G70" s="69">
        <f ca="1">SUMIF('CAP4-5'!$B:$H,Equipo[[#This Row],[DESCRIPCION]],'CAP4-5'!$H:$H)</f>
        <v>0</v>
      </c>
      <c r="H70" s="69">
        <f ca="1">SUMIF('CAP6-7'!$B:$H,Equipo[[#This Row],[DESCRIPCION]],'CAP6-7'!$H:$H)</f>
        <v>0</v>
      </c>
      <c r="I70" s="69">
        <f ca="1">SUMIF('CAP8'!$B:$H,Equipo[[#This Row],[DESCRIPCION]],'CAP8'!$H:$H)</f>
        <v>0</v>
      </c>
      <c r="J70" s="69">
        <f ca="1">SUMIF('CAP9-13'!$B:$H,Equipo[[#This Row],[DESCRIPCION]],'CAP9-13'!$H:$H)</f>
        <v>0</v>
      </c>
      <c r="K70" s="69">
        <f ca="1">SUMIF('CAP14-15'!$B:$H,Equipo[[#This Row],[DESCRIPCION]],'CAP14-15'!$H:$H)</f>
        <v>0</v>
      </c>
      <c r="L70" s="69">
        <f ca="1">SUMIF('CAP16-18'!$B:$H,Equipo[[#This Row],[DESCRIPCION]],'CAP16-18'!$H:$H)</f>
        <v>0</v>
      </c>
      <c r="M70" s="69">
        <f ca="1">SUMIF('CAP19-22'!$B:$H,Equipo[[#This Row],[DESCRIPCION]],'CAP19-22'!$H:$H)</f>
        <v>0</v>
      </c>
      <c r="N70" s="69">
        <f ca="1">SUMIF('CAP23-24'!$B:$H,Equipo[[#This Row],[DESCRIPCION]],'CAP23-24'!$H:$H)</f>
        <v>0</v>
      </c>
      <c r="O70" s="69">
        <f ca="1">SUMIF('CAP25'!$B:$H,Equipo[[#This Row],[DESCRIPCION]],'CAP25'!$H:$H)</f>
        <v>0</v>
      </c>
      <c r="P70" s="69">
        <f ca="1">SUMIF('CAP26-28'!$B:$H,Equipo[[#This Row],[DESCRIPCION]],'CAP26-28'!$H:$H)</f>
        <v>0</v>
      </c>
      <c r="Q70" s="69">
        <f ca="1">SUMIF('CAP29'!$B:$H,Equipo[[#This Row],[DESCRIPCION]],'CAP29'!$H:$H)</f>
        <v>0</v>
      </c>
      <c r="R70" s="287"/>
      <c r="T70" s="304">
        <v>30310</v>
      </c>
    </row>
    <row r="71" spans="1:20">
      <c r="A71" s="286" t="s">
        <v>3640</v>
      </c>
      <c r="B71" s="280" t="s">
        <v>47</v>
      </c>
      <c r="C71" s="304">
        <f t="shared" si="1"/>
        <v>73881.150000000009</v>
      </c>
      <c r="D71" s="281">
        <f ca="1">IF(Equipo[[#This Row],[VALOR]]=0,Equipo[[#This Row],[TOTAL]],E71/C71)</f>
        <v>0</v>
      </c>
      <c r="E71" s="69">
        <f ca="1">SUM(Equipo[[#This Row],[CAP1]:[CAP29]])</f>
        <v>0</v>
      </c>
      <c r="F71" s="69">
        <f ca="1">SUMIF('CAP1-3'!$B:$H,Equipo[[#This Row],[DESCRIPCION]],'CAP1-3'!$H:$H)</f>
        <v>0</v>
      </c>
      <c r="G71" s="69">
        <f ca="1">SUMIF('CAP4-5'!$B:$H,Equipo[[#This Row],[DESCRIPCION]],'CAP4-5'!$H:$H)</f>
        <v>0</v>
      </c>
      <c r="H71" s="69">
        <f ca="1">SUMIF('CAP6-7'!$B:$H,Equipo[[#This Row],[DESCRIPCION]],'CAP6-7'!$H:$H)</f>
        <v>0</v>
      </c>
      <c r="I71" s="69">
        <f ca="1">SUMIF('CAP8'!$B:$H,Equipo[[#This Row],[DESCRIPCION]],'CAP8'!$H:$H)</f>
        <v>0</v>
      </c>
      <c r="J71" s="69">
        <f ca="1">SUMIF('CAP9-13'!$B:$H,Equipo[[#This Row],[DESCRIPCION]],'CAP9-13'!$H:$H)</f>
        <v>0</v>
      </c>
      <c r="K71" s="69">
        <f ca="1">SUMIF('CAP14-15'!$B:$H,Equipo[[#This Row],[DESCRIPCION]],'CAP14-15'!$H:$H)</f>
        <v>0</v>
      </c>
      <c r="L71" s="69">
        <f ca="1">SUMIF('CAP16-18'!$B:$H,Equipo[[#This Row],[DESCRIPCION]],'CAP16-18'!$H:$H)</f>
        <v>0</v>
      </c>
      <c r="M71" s="69">
        <f ca="1">SUMIF('CAP19-22'!$B:$H,Equipo[[#This Row],[DESCRIPCION]],'CAP19-22'!$H:$H)</f>
        <v>0</v>
      </c>
      <c r="N71" s="69">
        <f ca="1">SUMIF('CAP23-24'!$B:$H,Equipo[[#This Row],[DESCRIPCION]],'CAP23-24'!$H:$H)</f>
        <v>0</v>
      </c>
      <c r="O71" s="69">
        <f ca="1">SUMIF('CAP25'!$B:$H,Equipo[[#This Row],[DESCRIPCION]],'CAP25'!$H:$H)</f>
        <v>0</v>
      </c>
      <c r="P71" s="69">
        <f ca="1">SUMIF('CAP26-28'!$B:$H,Equipo[[#This Row],[DESCRIPCION]],'CAP26-28'!$H:$H)</f>
        <v>0</v>
      </c>
      <c r="Q71" s="69">
        <f ca="1">SUMIF('CAP29'!$B:$H,Equipo[[#This Row],[DESCRIPCION]],'CAP29'!$H:$H)</f>
        <v>0</v>
      </c>
      <c r="R71" s="287"/>
      <c r="T71" s="304">
        <v>70363</v>
      </c>
    </row>
    <row r="72" spans="1:20">
      <c r="A72" s="286" t="s">
        <v>3641</v>
      </c>
      <c r="B72" s="280" t="s">
        <v>23</v>
      </c>
      <c r="C72" s="304">
        <f t="shared" si="1"/>
        <v>123892.65000000001</v>
      </c>
      <c r="D72" s="281">
        <f ca="1">IF(Equipo[[#This Row],[VALOR]]=0,Equipo[[#This Row],[TOTAL]],E72/C72)</f>
        <v>0</v>
      </c>
      <c r="E72" s="69">
        <f ca="1">SUM(Equipo[[#This Row],[CAP1]:[CAP29]])</f>
        <v>0</v>
      </c>
      <c r="F72" s="69">
        <f ca="1">SUMIF('CAP1-3'!$B:$H,Equipo[[#This Row],[DESCRIPCION]],'CAP1-3'!$H:$H)</f>
        <v>0</v>
      </c>
      <c r="G72" s="69">
        <f ca="1">SUMIF('CAP4-5'!$B:$H,Equipo[[#This Row],[DESCRIPCION]],'CAP4-5'!$H:$H)</f>
        <v>0</v>
      </c>
      <c r="H72" s="69">
        <f ca="1">SUMIF('CAP6-7'!$B:$H,Equipo[[#This Row],[DESCRIPCION]],'CAP6-7'!$H:$H)</f>
        <v>0</v>
      </c>
      <c r="I72" s="69">
        <f ca="1">SUMIF('CAP8'!$B:$H,Equipo[[#This Row],[DESCRIPCION]],'CAP8'!$H:$H)</f>
        <v>0</v>
      </c>
      <c r="J72" s="69">
        <f ca="1">SUMIF('CAP9-13'!$B:$H,Equipo[[#This Row],[DESCRIPCION]],'CAP9-13'!$H:$H)</f>
        <v>0</v>
      </c>
      <c r="K72" s="69">
        <f ca="1">SUMIF('CAP14-15'!$B:$H,Equipo[[#This Row],[DESCRIPCION]],'CAP14-15'!$H:$H)</f>
        <v>0</v>
      </c>
      <c r="L72" s="69">
        <f ca="1">SUMIF('CAP16-18'!$B:$H,Equipo[[#This Row],[DESCRIPCION]],'CAP16-18'!$H:$H)</f>
        <v>0</v>
      </c>
      <c r="M72" s="69">
        <f ca="1">SUMIF('CAP19-22'!$B:$H,Equipo[[#This Row],[DESCRIPCION]],'CAP19-22'!$H:$H)</f>
        <v>0</v>
      </c>
      <c r="N72" s="69">
        <f ca="1">SUMIF('CAP23-24'!$B:$H,Equipo[[#This Row],[DESCRIPCION]],'CAP23-24'!$H:$H)</f>
        <v>0</v>
      </c>
      <c r="O72" s="69">
        <f ca="1">SUMIF('CAP25'!$B:$H,Equipo[[#This Row],[DESCRIPCION]],'CAP25'!$H:$H)</f>
        <v>0</v>
      </c>
      <c r="P72" s="69">
        <f ca="1">SUMIF('CAP26-28'!$B:$H,Equipo[[#This Row],[DESCRIPCION]],'CAP26-28'!$H:$H)</f>
        <v>0</v>
      </c>
      <c r="Q72" s="69">
        <f ca="1">SUMIF('CAP29'!$B:$H,Equipo[[#This Row],[DESCRIPCION]],'CAP29'!$H:$H)</f>
        <v>0</v>
      </c>
      <c r="R72" s="288"/>
      <c r="T72" s="304">
        <v>117993</v>
      </c>
    </row>
    <row r="73" spans="1:20">
      <c r="A73" s="286" t="s">
        <v>3642</v>
      </c>
      <c r="B73" s="280" t="s">
        <v>47</v>
      </c>
      <c r="C73" s="304">
        <f t="shared" si="1"/>
        <v>54978</v>
      </c>
      <c r="D73" s="281">
        <f ca="1">IF(Equipo[[#This Row],[VALOR]]=0,Equipo[[#This Row],[TOTAL]],E73/C73)</f>
        <v>0</v>
      </c>
      <c r="E73" s="69">
        <f ca="1">SUM(Equipo[[#This Row],[CAP1]:[CAP29]])</f>
        <v>0</v>
      </c>
      <c r="F73" s="69">
        <f ca="1">SUMIF('CAP1-3'!$B:$H,Equipo[[#This Row],[DESCRIPCION]],'CAP1-3'!$H:$H)</f>
        <v>0</v>
      </c>
      <c r="G73" s="69">
        <f ca="1">SUMIF('CAP4-5'!$B:$H,Equipo[[#This Row],[DESCRIPCION]],'CAP4-5'!$H:$H)</f>
        <v>0</v>
      </c>
      <c r="H73" s="69">
        <f ca="1">SUMIF('CAP6-7'!$B:$H,Equipo[[#This Row],[DESCRIPCION]],'CAP6-7'!$H:$H)</f>
        <v>0</v>
      </c>
      <c r="I73" s="69">
        <f ca="1">SUMIF('CAP8'!$B:$H,Equipo[[#This Row],[DESCRIPCION]],'CAP8'!$H:$H)</f>
        <v>0</v>
      </c>
      <c r="J73" s="69">
        <f ca="1">SUMIF('CAP9-13'!$B:$H,Equipo[[#This Row],[DESCRIPCION]],'CAP9-13'!$H:$H)</f>
        <v>0</v>
      </c>
      <c r="K73" s="69">
        <f ca="1">SUMIF('CAP14-15'!$B:$H,Equipo[[#This Row],[DESCRIPCION]],'CAP14-15'!$H:$H)</f>
        <v>0</v>
      </c>
      <c r="L73" s="69">
        <f ca="1">SUMIF('CAP16-18'!$B:$H,Equipo[[#This Row],[DESCRIPCION]],'CAP16-18'!$H:$H)</f>
        <v>0</v>
      </c>
      <c r="M73" s="69">
        <f ca="1">SUMIF('CAP19-22'!$B:$H,Equipo[[#This Row],[DESCRIPCION]],'CAP19-22'!$H:$H)</f>
        <v>0</v>
      </c>
      <c r="N73" s="69">
        <f ca="1">SUMIF('CAP23-24'!$B:$H,Equipo[[#This Row],[DESCRIPCION]],'CAP23-24'!$H:$H)</f>
        <v>0</v>
      </c>
      <c r="O73" s="69">
        <f ca="1">SUMIF('CAP25'!$B:$H,Equipo[[#This Row],[DESCRIPCION]],'CAP25'!$H:$H)</f>
        <v>0</v>
      </c>
      <c r="P73" s="69">
        <f ca="1">SUMIF('CAP26-28'!$B:$H,Equipo[[#This Row],[DESCRIPCION]],'CAP26-28'!$H:$H)</f>
        <v>0</v>
      </c>
      <c r="Q73" s="69">
        <f ca="1">SUMIF('CAP29'!$B:$H,Equipo[[#This Row],[DESCRIPCION]],'CAP29'!$H:$H)</f>
        <v>0</v>
      </c>
      <c r="R73" s="287"/>
      <c r="T73" s="304">
        <v>52360</v>
      </c>
    </row>
    <row r="74" spans="1:20">
      <c r="A74" s="286" t="s">
        <v>3643</v>
      </c>
      <c r="B74" s="280" t="s">
        <v>47</v>
      </c>
      <c r="C74" s="304">
        <f t="shared" si="1"/>
        <v>31825.5</v>
      </c>
      <c r="D74" s="281">
        <f ca="1">IF(Equipo[[#This Row],[VALOR]]=0,Equipo[[#This Row],[TOTAL]],E74/C74)</f>
        <v>0</v>
      </c>
      <c r="E74" s="69">
        <f ca="1">SUM(Equipo[[#This Row],[CAP1]:[CAP29]])</f>
        <v>0</v>
      </c>
      <c r="F74" s="69">
        <f ca="1">SUMIF('CAP1-3'!$B:$H,Equipo[[#This Row],[DESCRIPCION]],'CAP1-3'!$H:$H)</f>
        <v>0</v>
      </c>
      <c r="G74" s="69">
        <f ca="1">SUMIF('CAP4-5'!$B:$H,Equipo[[#This Row],[DESCRIPCION]],'CAP4-5'!$H:$H)</f>
        <v>0</v>
      </c>
      <c r="H74" s="69">
        <f ca="1">SUMIF('CAP6-7'!$B:$H,Equipo[[#This Row],[DESCRIPCION]],'CAP6-7'!$H:$H)</f>
        <v>0</v>
      </c>
      <c r="I74" s="69">
        <f ca="1">SUMIF('CAP8'!$B:$H,Equipo[[#This Row],[DESCRIPCION]],'CAP8'!$H:$H)</f>
        <v>0</v>
      </c>
      <c r="J74" s="69">
        <f ca="1">SUMIF('CAP9-13'!$B:$H,Equipo[[#This Row],[DESCRIPCION]],'CAP9-13'!$H:$H)</f>
        <v>0</v>
      </c>
      <c r="K74" s="69">
        <f ca="1">SUMIF('CAP14-15'!$B:$H,Equipo[[#This Row],[DESCRIPCION]],'CAP14-15'!$H:$H)</f>
        <v>0</v>
      </c>
      <c r="L74" s="69">
        <f ca="1">SUMIF('CAP16-18'!$B:$H,Equipo[[#This Row],[DESCRIPCION]],'CAP16-18'!$H:$H)</f>
        <v>0</v>
      </c>
      <c r="M74" s="69">
        <f ca="1">SUMIF('CAP19-22'!$B:$H,Equipo[[#This Row],[DESCRIPCION]],'CAP19-22'!$H:$H)</f>
        <v>0</v>
      </c>
      <c r="N74" s="69">
        <f ca="1">SUMIF('CAP23-24'!$B:$H,Equipo[[#This Row],[DESCRIPCION]],'CAP23-24'!$H:$H)</f>
        <v>0</v>
      </c>
      <c r="O74" s="69">
        <f ca="1">SUMIF('CAP25'!$B:$H,Equipo[[#This Row],[DESCRIPCION]],'CAP25'!$H:$H)</f>
        <v>0</v>
      </c>
      <c r="P74" s="69">
        <f ca="1">SUMIF('CAP26-28'!$B:$H,Equipo[[#This Row],[DESCRIPCION]],'CAP26-28'!$H:$H)</f>
        <v>0</v>
      </c>
      <c r="Q74" s="69">
        <f ca="1">SUMIF('CAP29'!$B:$H,Equipo[[#This Row],[DESCRIPCION]],'CAP29'!$H:$H)</f>
        <v>0</v>
      </c>
      <c r="R74" s="287"/>
      <c r="T74" s="304">
        <v>30310</v>
      </c>
    </row>
    <row r="75" spans="1:20">
      <c r="A75" s="286" t="s">
        <v>3644</v>
      </c>
      <c r="B75" s="280" t="s">
        <v>3582</v>
      </c>
      <c r="C75" s="304">
        <f t="shared" si="1"/>
        <v>7501.2000000000007</v>
      </c>
      <c r="D75" s="281">
        <f ca="1">IF(Equipo[[#This Row],[VALOR]]=0,Equipo[[#This Row],[TOTAL]],E75/C75)</f>
        <v>0</v>
      </c>
      <c r="E75" s="69">
        <f ca="1">SUM(Equipo[[#This Row],[CAP1]:[CAP29]])</f>
        <v>0</v>
      </c>
      <c r="F75" s="69">
        <f ca="1">SUMIF('CAP1-3'!$B:$H,Equipo[[#This Row],[DESCRIPCION]],'CAP1-3'!$H:$H)</f>
        <v>0</v>
      </c>
      <c r="G75" s="69">
        <f ca="1">SUMIF('CAP4-5'!$B:$H,Equipo[[#This Row],[DESCRIPCION]],'CAP4-5'!$H:$H)</f>
        <v>0</v>
      </c>
      <c r="H75" s="69">
        <f ca="1">SUMIF('CAP6-7'!$B:$H,Equipo[[#This Row],[DESCRIPCION]],'CAP6-7'!$H:$H)</f>
        <v>0</v>
      </c>
      <c r="I75" s="69">
        <f ca="1">SUMIF('CAP8'!$B:$H,Equipo[[#This Row],[DESCRIPCION]],'CAP8'!$H:$H)</f>
        <v>0</v>
      </c>
      <c r="J75" s="69">
        <f ca="1">SUMIF('CAP9-13'!$B:$H,Equipo[[#This Row],[DESCRIPCION]],'CAP9-13'!$H:$H)</f>
        <v>0</v>
      </c>
      <c r="K75" s="69">
        <f ca="1">SUMIF('CAP14-15'!$B:$H,Equipo[[#This Row],[DESCRIPCION]],'CAP14-15'!$H:$H)</f>
        <v>0</v>
      </c>
      <c r="L75" s="69">
        <f ca="1">SUMIF('CAP16-18'!$B:$H,Equipo[[#This Row],[DESCRIPCION]],'CAP16-18'!$H:$H)</f>
        <v>0</v>
      </c>
      <c r="M75" s="69">
        <f ca="1">SUMIF('CAP19-22'!$B:$H,Equipo[[#This Row],[DESCRIPCION]],'CAP19-22'!$H:$H)</f>
        <v>0</v>
      </c>
      <c r="N75" s="69">
        <f ca="1">SUMIF('CAP23-24'!$B:$H,Equipo[[#This Row],[DESCRIPCION]],'CAP23-24'!$H:$H)</f>
        <v>0</v>
      </c>
      <c r="O75" s="69">
        <f ca="1">SUMIF('CAP25'!$B:$H,Equipo[[#This Row],[DESCRIPCION]],'CAP25'!$H:$H)</f>
        <v>0</v>
      </c>
      <c r="P75" s="69">
        <f ca="1">SUMIF('CAP26-28'!$B:$H,Equipo[[#This Row],[DESCRIPCION]],'CAP26-28'!$H:$H)</f>
        <v>0</v>
      </c>
      <c r="Q75" s="69">
        <f ca="1">SUMIF('CAP29'!$B:$H,Equipo[[#This Row],[DESCRIPCION]],'CAP29'!$H:$H)</f>
        <v>0</v>
      </c>
      <c r="R75" s="287"/>
      <c r="T75" s="304">
        <v>7144</v>
      </c>
    </row>
    <row r="76" spans="1:20">
      <c r="A76" s="286" t="s">
        <v>3645</v>
      </c>
      <c r="B76" s="280" t="s">
        <v>47</v>
      </c>
      <c r="C76" s="304">
        <f t="shared" si="1"/>
        <v>101038.35</v>
      </c>
      <c r="D76" s="281">
        <f ca="1">IF(Equipo[[#This Row],[VALOR]]=0,Equipo[[#This Row],[TOTAL]],E76/C76)</f>
        <v>0</v>
      </c>
      <c r="E76" s="69">
        <f ca="1">SUM(Equipo[[#This Row],[CAP1]:[CAP29]])</f>
        <v>0</v>
      </c>
      <c r="F76" s="69">
        <f ca="1">SUMIF('CAP1-3'!$B:$H,Equipo[[#This Row],[DESCRIPCION]],'CAP1-3'!$H:$H)</f>
        <v>0</v>
      </c>
      <c r="G76" s="69">
        <f ca="1">SUMIF('CAP4-5'!$B:$H,Equipo[[#This Row],[DESCRIPCION]],'CAP4-5'!$H:$H)</f>
        <v>0</v>
      </c>
      <c r="H76" s="69">
        <f ca="1">SUMIF('CAP6-7'!$B:$H,Equipo[[#This Row],[DESCRIPCION]],'CAP6-7'!$H:$H)</f>
        <v>0</v>
      </c>
      <c r="I76" s="69">
        <f ca="1">SUMIF('CAP8'!$B:$H,Equipo[[#This Row],[DESCRIPCION]],'CAP8'!$H:$H)</f>
        <v>0</v>
      </c>
      <c r="J76" s="69">
        <f ca="1">SUMIF('CAP9-13'!$B:$H,Equipo[[#This Row],[DESCRIPCION]],'CAP9-13'!$H:$H)</f>
        <v>0</v>
      </c>
      <c r="K76" s="69">
        <f ca="1">SUMIF('CAP14-15'!$B:$H,Equipo[[#This Row],[DESCRIPCION]],'CAP14-15'!$H:$H)</f>
        <v>0</v>
      </c>
      <c r="L76" s="69">
        <f ca="1">SUMIF('CAP16-18'!$B:$H,Equipo[[#This Row],[DESCRIPCION]],'CAP16-18'!$H:$H)</f>
        <v>0</v>
      </c>
      <c r="M76" s="69">
        <f ca="1">SUMIF('CAP19-22'!$B:$H,Equipo[[#This Row],[DESCRIPCION]],'CAP19-22'!$H:$H)</f>
        <v>0</v>
      </c>
      <c r="N76" s="69">
        <f ca="1">SUMIF('CAP23-24'!$B:$H,Equipo[[#This Row],[DESCRIPCION]],'CAP23-24'!$H:$H)</f>
        <v>0</v>
      </c>
      <c r="O76" s="69">
        <f ca="1">SUMIF('CAP25'!$B:$H,Equipo[[#This Row],[DESCRIPCION]],'CAP25'!$H:$H)</f>
        <v>0</v>
      </c>
      <c r="P76" s="69">
        <f ca="1">SUMIF('CAP26-28'!$B:$H,Equipo[[#This Row],[DESCRIPCION]],'CAP26-28'!$H:$H)</f>
        <v>0</v>
      </c>
      <c r="Q76" s="69">
        <f ca="1">SUMIF('CAP29'!$B:$H,Equipo[[#This Row],[DESCRIPCION]],'CAP29'!$H:$H)</f>
        <v>0</v>
      </c>
      <c r="R76" s="287"/>
      <c r="T76" s="304">
        <v>96227</v>
      </c>
    </row>
    <row r="77" spans="1:20">
      <c r="A77" s="286" t="s">
        <v>3646</v>
      </c>
      <c r="B77" s="280" t="s">
        <v>3582</v>
      </c>
      <c r="C77" s="304">
        <f t="shared" si="1"/>
        <v>288750</v>
      </c>
      <c r="D77" s="281">
        <f ca="1">IF(Equipo[[#This Row],[VALOR]]=0,Equipo[[#This Row],[TOTAL]],E77/C77)</f>
        <v>0</v>
      </c>
      <c r="E77" s="69">
        <f ca="1">SUM(Equipo[[#This Row],[CAP1]:[CAP29]])</f>
        <v>0</v>
      </c>
      <c r="F77" s="69">
        <f ca="1">SUMIF('CAP1-3'!$B:$H,Equipo[[#This Row],[DESCRIPCION]],'CAP1-3'!$H:$H)</f>
        <v>0</v>
      </c>
      <c r="G77" s="69">
        <f ca="1">SUMIF('CAP4-5'!$B:$H,Equipo[[#This Row],[DESCRIPCION]],'CAP4-5'!$H:$H)</f>
        <v>0</v>
      </c>
      <c r="H77" s="69">
        <f ca="1">SUMIF('CAP6-7'!$B:$H,Equipo[[#This Row],[DESCRIPCION]],'CAP6-7'!$H:$H)</f>
        <v>0</v>
      </c>
      <c r="I77" s="69">
        <f ca="1">SUMIF('CAP8'!$B:$H,Equipo[[#This Row],[DESCRIPCION]],'CAP8'!$H:$H)</f>
        <v>0</v>
      </c>
      <c r="J77" s="69">
        <f ca="1">SUMIF('CAP9-13'!$B:$H,Equipo[[#This Row],[DESCRIPCION]],'CAP9-13'!$H:$H)</f>
        <v>0</v>
      </c>
      <c r="K77" s="69">
        <f ca="1">SUMIF('CAP14-15'!$B:$H,Equipo[[#This Row],[DESCRIPCION]],'CAP14-15'!$H:$H)</f>
        <v>0</v>
      </c>
      <c r="L77" s="69">
        <f ca="1">SUMIF('CAP16-18'!$B:$H,Equipo[[#This Row],[DESCRIPCION]],'CAP16-18'!$H:$H)</f>
        <v>0</v>
      </c>
      <c r="M77" s="69">
        <f ca="1">SUMIF('CAP19-22'!$B:$H,Equipo[[#This Row],[DESCRIPCION]],'CAP19-22'!$H:$H)</f>
        <v>0</v>
      </c>
      <c r="N77" s="69">
        <f ca="1">SUMIF('CAP23-24'!$B:$H,Equipo[[#This Row],[DESCRIPCION]],'CAP23-24'!$H:$H)</f>
        <v>0</v>
      </c>
      <c r="O77" s="69">
        <f ca="1">SUMIF('CAP25'!$B:$H,Equipo[[#This Row],[DESCRIPCION]],'CAP25'!$H:$H)</f>
        <v>0</v>
      </c>
      <c r="P77" s="69">
        <f ca="1">SUMIF('CAP26-28'!$B:$H,Equipo[[#This Row],[DESCRIPCION]],'CAP26-28'!$H:$H)</f>
        <v>0</v>
      </c>
      <c r="Q77" s="69">
        <f ca="1">SUMIF('CAP29'!$B:$H,Equipo[[#This Row],[DESCRIPCION]],'CAP29'!$H:$H)</f>
        <v>0</v>
      </c>
      <c r="R77" s="287"/>
      <c r="T77" s="304">
        <v>275000</v>
      </c>
    </row>
    <row r="78" spans="1:20">
      <c r="A78" s="286" t="s">
        <v>3647</v>
      </c>
      <c r="B78" s="280" t="s">
        <v>47</v>
      </c>
      <c r="C78" s="304">
        <f t="shared" si="1"/>
        <v>100800</v>
      </c>
      <c r="D78" s="281">
        <f ca="1">IF(Equipo[[#This Row],[VALOR]]=0,Equipo[[#This Row],[TOTAL]],E78/C78)</f>
        <v>0</v>
      </c>
      <c r="E78" s="69">
        <f ca="1">SUM(Equipo[[#This Row],[CAP1]:[CAP29]])</f>
        <v>0</v>
      </c>
      <c r="F78" s="69">
        <f ca="1">SUMIF('CAP1-3'!$B:$H,Equipo[[#This Row],[DESCRIPCION]],'CAP1-3'!$H:$H)</f>
        <v>0</v>
      </c>
      <c r="G78" s="69">
        <f ca="1">SUMIF('CAP4-5'!$B:$H,Equipo[[#This Row],[DESCRIPCION]],'CAP4-5'!$H:$H)</f>
        <v>0</v>
      </c>
      <c r="H78" s="69">
        <f ca="1">SUMIF('CAP6-7'!$B:$H,Equipo[[#This Row],[DESCRIPCION]],'CAP6-7'!$H:$H)</f>
        <v>0</v>
      </c>
      <c r="I78" s="69">
        <f ca="1">SUMIF('CAP8'!$B:$H,Equipo[[#This Row],[DESCRIPCION]],'CAP8'!$H:$H)</f>
        <v>0</v>
      </c>
      <c r="J78" s="69">
        <f ca="1">SUMIF('CAP9-13'!$B:$H,Equipo[[#This Row],[DESCRIPCION]],'CAP9-13'!$H:$H)</f>
        <v>0</v>
      </c>
      <c r="K78" s="69">
        <f ca="1">SUMIF('CAP14-15'!$B:$H,Equipo[[#This Row],[DESCRIPCION]],'CAP14-15'!$H:$H)</f>
        <v>0</v>
      </c>
      <c r="L78" s="69">
        <f ca="1">SUMIF('CAP16-18'!$B:$H,Equipo[[#This Row],[DESCRIPCION]],'CAP16-18'!$H:$H)</f>
        <v>0</v>
      </c>
      <c r="M78" s="69">
        <f ca="1">SUMIF('CAP19-22'!$B:$H,Equipo[[#This Row],[DESCRIPCION]],'CAP19-22'!$H:$H)</f>
        <v>0</v>
      </c>
      <c r="N78" s="69">
        <f ca="1">SUMIF('CAP23-24'!$B:$H,Equipo[[#This Row],[DESCRIPCION]],'CAP23-24'!$H:$H)</f>
        <v>0</v>
      </c>
      <c r="O78" s="69">
        <f ca="1">SUMIF('CAP25'!$B:$H,Equipo[[#This Row],[DESCRIPCION]],'CAP25'!$H:$H)</f>
        <v>0</v>
      </c>
      <c r="P78" s="69">
        <f ca="1">SUMIF('CAP26-28'!$B:$H,Equipo[[#This Row],[DESCRIPCION]],'CAP26-28'!$H:$H)</f>
        <v>0</v>
      </c>
      <c r="Q78" s="69">
        <f ca="1">SUMIF('CAP29'!$B:$H,Equipo[[#This Row],[DESCRIPCION]],'CAP29'!$H:$H)</f>
        <v>0</v>
      </c>
      <c r="R78" s="288"/>
      <c r="T78" s="304">
        <v>96000</v>
      </c>
    </row>
    <row r="79" spans="1:20" ht="12.75" customHeight="1">
      <c r="A79" s="286" t="s">
        <v>3648</v>
      </c>
      <c r="B79" s="280" t="s">
        <v>47</v>
      </c>
      <c r="C79" s="304">
        <f t="shared" si="1"/>
        <v>62514.9</v>
      </c>
      <c r="D79" s="281">
        <f ca="1">IF(Equipo[[#This Row],[VALOR]]=0,Equipo[[#This Row],[TOTAL]],E79/C79)</f>
        <v>0</v>
      </c>
      <c r="E79" s="286">
        <f ca="1">SUM(Equipo[[#This Row],[CAP1]:[CAP29]])</f>
        <v>0</v>
      </c>
      <c r="F79" s="69">
        <f ca="1">SUMIF('CAP1-3'!$B:$H,Equipo[[#This Row],[DESCRIPCION]],'CAP1-3'!$H:$H)</f>
        <v>0</v>
      </c>
      <c r="G79" s="69">
        <f ca="1">SUMIF('CAP4-5'!$B:$H,Equipo[[#This Row],[DESCRIPCION]],'CAP4-5'!$H:$H)</f>
        <v>0</v>
      </c>
      <c r="H79" s="69">
        <f ca="1">SUMIF('CAP6-7'!$B:$H,Equipo[[#This Row],[DESCRIPCION]],'CAP6-7'!$H:$H)</f>
        <v>0</v>
      </c>
      <c r="I79" s="286">
        <f ca="1">SUMIF('CAP8'!$B:$H,Equipo[[#This Row],[DESCRIPCION]],'CAP8'!$H:$H)</f>
        <v>0</v>
      </c>
      <c r="J79" s="286">
        <f ca="1">SUMIF('CAP9-13'!$B:$H,Equipo[[#This Row],[DESCRIPCION]],'CAP9-13'!$H:$H)</f>
        <v>0</v>
      </c>
      <c r="K79" s="286">
        <f ca="1">SUMIF('CAP14-15'!$B:$H,Equipo[[#This Row],[DESCRIPCION]],'CAP14-15'!$H:$H)</f>
        <v>0</v>
      </c>
      <c r="L79" s="286">
        <f ca="1">SUMIF('CAP16-18'!$B:$H,Equipo[[#This Row],[DESCRIPCION]],'CAP16-18'!$H:$H)</f>
        <v>0</v>
      </c>
      <c r="M79" s="286">
        <f ca="1">SUMIF('CAP19-22'!$B:$H,Equipo[[#This Row],[DESCRIPCION]],'CAP19-22'!$H:$H)</f>
        <v>0</v>
      </c>
      <c r="N79" s="286">
        <f ca="1">SUMIF('CAP23-24'!$B:$H,Equipo[[#This Row],[DESCRIPCION]],'CAP23-24'!$H:$H)</f>
        <v>0</v>
      </c>
      <c r="O79" s="286">
        <f ca="1">SUMIF('CAP25'!$B:$H,Equipo[[#This Row],[DESCRIPCION]],'CAP25'!$H:$H)</f>
        <v>0</v>
      </c>
      <c r="P79" s="286">
        <f ca="1">SUMIF('CAP26-28'!$B:$H,Equipo[[#This Row],[DESCRIPCION]],'CAP26-28'!$H:$H)</f>
        <v>0</v>
      </c>
      <c r="Q79" s="286">
        <f ca="1">SUMIF('CAP29'!$B:$H,Equipo[[#This Row],[DESCRIPCION]],'CAP29'!$H:$H)</f>
        <v>0</v>
      </c>
      <c r="R79" s="287"/>
      <c r="T79" s="304">
        <v>59538</v>
      </c>
    </row>
    <row r="80" spans="1:20">
      <c r="A80" s="286" t="s">
        <v>3649</v>
      </c>
      <c r="B80" s="280" t="s">
        <v>47</v>
      </c>
      <c r="C80" s="304">
        <f t="shared" si="1"/>
        <v>56831.25</v>
      </c>
      <c r="D80" s="281">
        <f ca="1">IF(Equipo[[#This Row],[VALOR]]=0,Equipo[[#This Row],[TOTAL]],E80/C80)</f>
        <v>0</v>
      </c>
      <c r="E80" s="69">
        <f ca="1">SUM(Equipo[[#This Row],[CAP1]:[CAP29]])</f>
        <v>0</v>
      </c>
      <c r="F80" s="69">
        <f ca="1">SUMIF('CAP1-3'!$B:$H,Equipo[[#This Row],[DESCRIPCION]],'CAP1-3'!$H:$H)</f>
        <v>0</v>
      </c>
      <c r="G80" s="69">
        <f ca="1">SUMIF('CAP4-5'!$B:$H,Equipo[[#This Row],[DESCRIPCION]],'CAP4-5'!$H:$H)</f>
        <v>0</v>
      </c>
      <c r="H80" s="69">
        <f ca="1">SUMIF('CAP6-7'!$B:$H,Equipo[[#This Row],[DESCRIPCION]],'CAP6-7'!$H:$H)</f>
        <v>0</v>
      </c>
      <c r="I80" s="69">
        <f ca="1">SUMIF('CAP8'!$B:$H,Equipo[[#This Row],[DESCRIPCION]],'CAP8'!$H:$H)</f>
        <v>0</v>
      </c>
      <c r="J80" s="69">
        <f ca="1">SUMIF('CAP9-13'!$B:$H,Equipo[[#This Row],[DESCRIPCION]],'CAP9-13'!$H:$H)</f>
        <v>0</v>
      </c>
      <c r="K80" s="69">
        <f ca="1">SUMIF('CAP14-15'!$B:$H,Equipo[[#This Row],[DESCRIPCION]],'CAP14-15'!$H:$H)</f>
        <v>0</v>
      </c>
      <c r="L80" s="69">
        <f ca="1">SUMIF('CAP16-18'!$B:$H,Equipo[[#This Row],[DESCRIPCION]],'CAP16-18'!$H:$H)</f>
        <v>0</v>
      </c>
      <c r="M80" s="69">
        <f ca="1">SUMIF('CAP19-22'!$B:$H,Equipo[[#This Row],[DESCRIPCION]],'CAP19-22'!$H:$H)</f>
        <v>0</v>
      </c>
      <c r="N80" s="69">
        <f ca="1">SUMIF('CAP23-24'!$B:$H,Equipo[[#This Row],[DESCRIPCION]],'CAP23-24'!$H:$H)</f>
        <v>0</v>
      </c>
      <c r="O80" s="69">
        <f ca="1">SUMIF('CAP25'!$B:$H,Equipo[[#This Row],[DESCRIPCION]],'CAP25'!$H:$H)</f>
        <v>0</v>
      </c>
      <c r="P80" s="69">
        <f ca="1">SUMIF('CAP26-28'!$B:$H,Equipo[[#This Row],[DESCRIPCION]],'CAP26-28'!$H:$H)</f>
        <v>0</v>
      </c>
      <c r="Q80" s="69">
        <f ca="1">SUMIF('CAP29'!$B:$H,Equipo[[#This Row],[DESCRIPCION]],'CAP29'!$H:$H)</f>
        <v>0</v>
      </c>
      <c r="R80" s="288"/>
      <c r="T80" s="304">
        <v>54125</v>
      </c>
    </row>
    <row r="81" spans="1:20">
      <c r="A81" s="286" t="s">
        <v>3650</v>
      </c>
      <c r="B81" s="280" t="s">
        <v>47</v>
      </c>
      <c r="C81" s="304">
        <f t="shared" si="1"/>
        <v>1363.95</v>
      </c>
      <c r="D81" s="281">
        <f ca="1">IF(Equipo[[#This Row],[VALOR]]=0,Equipo[[#This Row],[TOTAL]],E81/C81)</f>
        <v>0</v>
      </c>
      <c r="E81" s="69">
        <f ca="1">SUM(Equipo[[#This Row],[CAP1]:[CAP29]])</f>
        <v>0</v>
      </c>
      <c r="F81" s="69">
        <f ca="1">SUMIF('CAP1-3'!$B:$H,Equipo[[#This Row],[DESCRIPCION]],'CAP1-3'!$H:$H)</f>
        <v>0</v>
      </c>
      <c r="G81" s="69">
        <f ca="1">SUMIF('CAP4-5'!$B:$H,Equipo[[#This Row],[DESCRIPCION]],'CAP4-5'!$H:$H)</f>
        <v>0</v>
      </c>
      <c r="H81" s="69">
        <f ca="1">SUMIF('CAP6-7'!$B:$H,Equipo[[#This Row],[DESCRIPCION]],'CAP6-7'!$H:$H)</f>
        <v>0</v>
      </c>
      <c r="I81" s="69">
        <f ca="1">SUMIF('CAP8'!$B:$H,Equipo[[#This Row],[DESCRIPCION]],'CAP8'!$H:$H)</f>
        <v>0</v>
      </c>
      <c r="J81" s="69">
        <f ca="1">SUMIF('CAP9-13'!$B:$H,Equipo[[#This Row],[DESCRIPCION]],'CAP9-13'!$H:$H)</f>
        <v>0</v>
      </c>
      <c r="K81" s="69">
        <f ca="1">SUMIF('CAP14-15'!$B:$H,Equipo[[#This Row],[DESCRIPCION]],'CAP14-15'!$H:$H)</f>
        <v>0</v>
      </c>
      <c r="L81" s="69">
        <f ca="1">SUMIF('CAP16-18'!$B:$H,Equipo[[#This Row],[DESCRIPCION]],'CAP16-18'!$H:$H)</f>
        <v>0</v>
      </c>
      <c r="M81" s="69">
        <f ca="1">SUMIF('CAP19-22'!$B:$H,Equipo[[#This Row],[DESCRIPCION]],'CAP19-22'!$H:$H)</f>
        <v>0</v>
      </c>
      <c r="N81" s="69">
        <f ca="1">SUMIF('CAP23-24'!$B:$H,Equipo[[#This Row],[DESCRIPCION]],'CAP23-24'!$H:$H)</f>
        <v>0</v>
      </c>
      <c r="O81" s="69">
        <f ca="1">SUMIF('CAP25'!$B:$H,Equipo[[#This Row],[DESCRIPCION]],'CAP25'!$H:$H)</f>
        <v>0</v>
      </c>
      <c r="P81" s="69">
        <f ca="1">SUMIF('CAP26-28'!$B:$H,Equipo[[#This Row],[DESCRIPCION]],'CAP26-28'!$H:$H)</f>
        <v>0</v>
      </c>
      <c r="Q81" s="69">
        <f ca="1">SUMIF('CAP29'!$B:$H,Equipo[[#This Row],[DESCRIPCION]],'CAP29'!$H:$H)</f>
        <v>0</v>
      </c>
      <c r="R81" s="287"/>
      <c r="T81" s="304">
        <v>1299</v>
      </c>
    </row>
    <row r="82" spans="1:20">
      <c r="A82" s="286" t="s">
        <v>3651</v>
      </c>
      <c r="B82" s="280" t="s">
        <v>47</v>
      </c>
      <c r="C82" s="304">
        <f t="shared" si="1"/>
        <v>981.75</v>
      </c>
      <c r="D82" s="281">
        <f ca="1">IF(Equipo[[#This Row],[VALOR]]=0,Equipo[[#This Row],[TOTAL]],E82/C82)</f>
        <v>0</v>
      </c>
      <c r="E82" s="69">
        <f ca="1">SUM(Equipo[[#This Row],[CAP1]:[CAP29]])</f>
        <v>0</v>
      </c>
      <c r="F82" s="69">
        <f ca="1">SUMIF('CAP1-3'!$B:$H,Equipo[[#This Row],[DESCRIPCION]],'CAP1-3'!$H:$H)</f>
        <v>0</v>
      </c>
      <c r="G82" s="69">
        <f ca="1">SUMIF('CAP4-5'!$B:$H,Equipo[[#This Row],[DESCRIPCION]],'CAP4-5'!$H:$H)</f>
        <v>0</v>
      </c>
      <c r="H82" s="69">
        <f ca="1">SUMIF('CAP6-7'!$B:$H,Equipo[[#This Row],[DESCRIPCION]],'CAP6-7'!$H:$H)</f>
        <v>0</v>
      </c>
      <c r="I82" s="69">
        <f ca="1">SUMIF('CAP8'!$B:$H,Equipo[[#This Row],[DESCRIPCION]],'CAP8'!$H:$H)</f>
        <v>0</v>
      </c>
      <c r="J82" s="69">
        <f ca="1">SUMIF('CAP9-13'!$B:$H,Equipo[[#This Row],[DESCRIPCION]],'CAP9-13'!$H:$H)</f>
        <v>0</v>
      </c>
      <c r="K82" s="69">
        <f ca="1">SUMIF('CAP14-15'!$B:$H,Equipo[[#This Row],[DESCRIPCION]],'CAP14-15'!$H:$H)</f>
        <v>0</v>
      </c>
      <c r="L82" s="69">
        <f ca="1">SUMIF('CAP16-18'!$B:$H,Equipo[[#This Row],[DESCRIPCION]],'CAP16-18'!$H:$H)</f>
        <v>0</v>
      </c>
      <c r="M82" s="69">
        <f ca="1">SUMIF('CAP19-22'!$B:$H,Equipo[[#This Row],[DESCRIPCION]],'CAP19-22'!$H:$H)</f>
        <v>0</v>
      </c>
      <c r="N82" s="69">
        <f ca="1">SUMIF('CAP23-24'!$B:$H,Equipo[[#This Row],[DESCRIPCION]],'CAP23-24'!$H:$H)</f>
        <v>0</v>
      </c>
      <c r="O82" s="69">
        <f ca="1">SUMIF('CAP25'!$B:$H,Equipo[[#This Row],[DESCRIPCION]],'CAP25'!$H:$H)</f>
        <v>0</v>
      </c>
      <c r="P82" s="69">
        <f ca="1">SUMIF('CAP26-28'!$B:$H,Equipo[[#This Row],[DESCRIPCION]],'CAP26-28'!$H:$H)</f>
        <v>0</v>
      </c>
      <c r="Q82" s="69">
        <f ca="1">SUMIF('CAP29'!$B:$H,Equipo[[#This Row],[DESCRIPCION]],'CAP29'!$H:$H)</f>
        <v>0</v>
      </c>
      <c r="R82" s="287"/>
      <c r="T82" s="304">
        <v>935</v>
      </c>
    </row>
    <row r="83" spans="1:20">
      <c r="A83" s="286" t="s">
        <v>3652</v>
      </c>
      <c r="B83" s="280" t="s">
        <v>47</v>
      </c>
      <c r="C83" s="304">
        <f t="shared" si="1"/>
        <v>635.25</v>
      </c>
      <c r="D83" s="281">
        <f ca="1">IF(Equipo[[#This Row],[VALOR]]=0,Equipo[[#This Row],[TOTAL]],E83/C83)</f>
        <v>0</v>
      </c>
      <c r="E83" s="69">
        <f ca="1">SUM(Equipo[[#This Row],[CAP1]:[CAP29]])</f>
        <v>0</v>
      </c>
      <c r="F83" s="69">
        <f ca="1">SUMIF('CAP1-3'!$B:$H,Equipo[[#This Row],[DESCRIPCION]],'CAP1-3'!$H:$H)</f>
        <v>0</v>
      </c>
      <c r="G83" s="69">
        <f ca="1">SUMIF('CAP4-5'!$B:$H,Equipo[[#This Row],[DESCRIPCION]],'CAP4-5'!$H:$H)</f>
        <v>0</v>
      </c>
      <c r="H83" s="69">
        <f ca="1">SUMIF('CAP6-7'!$B:$H,Equipo[[#This Row],[DESCRIPCION]],'CAP6-7'!$H:$H)</f>
        <v>0</v>
      </c>
      <c r="I83" s="69">
        <f ca="1">SUMIF('CAP8'!$B:$H,Equipo[[#This Row],[DESCRIPCION]],'CAP8'!$H:$H)</f>
        <v>0</v>
      </c>
      <c r="J83" s="69">
        <f ca="1">SUMIF('CAP9-13'!$B:$H,Equipo[[#This Row],[DESCRIPCION]],'CAP9-13'!$H:$H)</f>
        <v>0</v>
      </c>
      <c r="K83" s="69">
        <f ca="1">SUMIF('CAP14-15'!$B:$H,Equipo[[#This Row],[DESCRIPCION]],'CAP14-15'!$H:$H)</f>
        <v>0</v>
      </c>
      <c r="L83" s="69">
        <f ca="1">SUMIF('CAP16-18'!$B:$H,Equipo[[#This Row],[DESCRIPCION]],'CAP16-18'!$H:$H)</f>
        <v>0</v>
      </c>
      <c r="M83" s="69">
        <f ca="1">SUMIF('CAP19-22'!$B:$H,Equipo[[#This Row],[DESCRIPCION]],'CAP19-22'!$H:$H)</f>
        <v>0</v>
      </c>
      <c r="N83" s="69">
        <f ca="1">SUMIF('CAP23-24'!$B:$H,Equipo[[#This Row],[DESCRIPCION]],'CAP23-24'!$H:$H)</f>
        <v>0</v>
      </c>
      <c r="O83" s="69">
        <f ca="1">SUMIF('CAP25'!$B:$H,Equipo[[#This Row],[DESCRIPCION]],'CAP25'!$H:$H)</f>
        <v>0</v>
      </c>
      <c r="P83" s="69">
        <f ca="1">SUMIF('CAP26-28'!$B:$H,Equipo[[#This Row],[DESCRIPCION]],'CAP26-28'!$H:$H)</f>
        <v>0</v>
      </c>
      <c r="Q83" s="69">
        <f ca="1">SUMIF('CAP29'!$B:$H,Equipo[[#This Row],[DESCRIPCION]],'CAP29'!$H:$H)</f>
        <v>0</v>
      </c>
      <c r="R83" s="287" t="s">
        <v>3574</v>
      </c>
      <c r="T83" s="304">
        <v>605</v>
      </c>
    </row>
    <row r="84" spans="1:20">
      <c r="A84" s="286" t="s">
        <v>3653</v>
      </c>
      <c r="B84" s="280" t="s">
        <v>47</v>
      </c>
      <c r="C84" s="304">
        <f t="shared" si="1"/>
        <v>750.75</v>
      </c>
      <c r="D84" s="281">
        <f ca="1">IF(Equipo[[#This Row],[VALOR]]=0,Equipo[[#This Row],[TOTAL]],E84/C84)</f>
        <v>0</v>
      </c>
      <c r="E84" s="69">
        <f ca="1">SUM(Equipo[[#This Row],[CAP1]:[CAP29]])</f>
        <v>0</v>
      </c>
      <c r="F84" s="69">
        <f ca="1">SUMIF('CAP1-3'!$B:$H,Equipo[[#This Row],[DESCRIPCION]],'CAP1-3'!$H:$H)</f>
        <v>0</v>
      </c>
      <c r="G84" s="69">
        <f ca="1">SUMIF('CAP4-5'!$B:$H,Equipo[[#This Row],[DESCRIPCION]],'CAP4-5'!$H:$H)</f>
        <v>0</v>
      </c>
      <c r="H84" s="69">
        <f ca="1">SUMIF('CAP6-7'!$B:$H,Equipo[[#This Row],[DESCRIPCION]],'CAP6-7'!$H:$H)</f>
        <v>0</v>
      </c>
      <c r="I84" s="69">
        <f ca="1">SUMIF('CAP8'!$B:$H,Equipo[[#This Row],[DESCRIPCION]],'CAP8'!$H:$H)</f>
        <v>0</v>
      </c>
      <c r="J84" s="69">
        <f ca="1">SUMIF('CAP9-13'!$B:$H,Equipo[[#This Row],[DESCRIPCION]],'CAP9-13'!$H:$H)</f>
        <v>0</v>
      </c>
      <c r="K84" s="69">
        <f ca="1">SUMIF('CAP14-15'!$B:$H,Equipo[[#This Row],[DESCRIPCION]],'CAP14-15'!$H:$H)</f>
        <v>0</v>
      </c>
      <c r="L84" s="69">
        <f ca="1">SUMIF('CAP16-18'!$B:$H,Equipo[[#This Row],[DESCRIPCION]],'CAP16-18'!$H:$H)</f>
        <v>0</v>
      </c>
      <c r="M84" s="69">
        <f ca="1">SUMIF('CAP19-22'!$B:$H,Equipo[[#This Row],[DESCRIPCION]],'CAP19-22'!$H:$H)</f>
        <v>0</v>
      </c>
      <c r="N84" s="69">
        <f ca="1">SUMIF('CAP23-24'!$B:$H,Equipo[[#This Row],[DESCRIPCION]],'CAP23-24'!$H:$H)</f>
        <v>0</v>
      </c>
      <c r="O84" s="69">
        <f ca="1">SUMIF('CAP25'!$B:$H,Equipo[[#This Row],[DESCRIPCION]],'CAP25'!$H:$H)</f>
        <v>0</v>
      </c>
      <c r="P84" s="69">
        <f ca="1">SUMIF('CAP26-28'!$B:$H,Equipo[[#This Row],[DESCRIPCION]],'CAP26-28'!$H:$H)</f>
        <v>0</v>
      </c>
      <c r="Q84" s="69">
        <f ca="1">SUMIF('CAP29'!$B:$H,Equipo[[#This Row],[DESCRIPCION]],'CAP29'!$H:$H)</f>
        <v>0</v>
      </c>
      <c r="R84" s="287" t="s">
        <v>3574</v>
      </c>
      <c r="T84" s="304">
        <v>715</v>
      </c>
    </row>
    <row r="85" spans="1:20">
      <c r="A85" s="286" t="s">
        <v>3654</v>
      </c>
      <c r="B85" s="280" t="s">
        <v>47</v>
      </c>
      <c r="C85" s="304">
        <f t="shared" si="1"/>
        <v>101640</v>
      </c>
      <c r="D85" s="281">
        <f ca="1">IF(Equipo[[#This Row],[VALOR]]=0,Equipo[[#This Row],[TOTAL]],E85/C85)</f>
        <v>0</v>
      </c>
      <c r="E85" s="69">
        <f ca="1">SUM(Equipo[[#This Row],[CAP1]:[CAP29]])</f>
        <v>0</v>
      </c>
      <c r="F85" s="69">
        <f ca="1">SUMIF('CAP1-3'!$B:$H,Equipo[[#This Row],[DESCRIPCION]],'CAP1-3'!$H:$H)</f>
        <v>0</v>
      </c>
      <c r="G85" s="69">
        <f ca="1">SUMIF('CAP4-5'!$B:$H,Equipo[[#This Row],[DESCRIPCION]],'CAP4-5'!$H:$H)</f>
        <v>0</v>
      </c>
      <c r="H85" s="69">
        <f ca="1">SUMIF('CAP6-7'!$B:$H,Equipo[[#This Row],[DESCRIPCION]],'CAP6-7'!$H:$H)</f>
        <v>0</v>
      </c>
      <c r="I85" s="69">
        <f ca="1">SUMIF('CAP8'!$B:$H,Equipo[[#This Row],[DESCRIPCION]],'CAP8'!$H:$H)</f>
        <v>0</v>
      </c>
      <c r="J85" s="69">
        <f ca="1">SUMIF('CAP9-13'!$B:$H,Equipo[[#This Row],[DESCRIPCION]],'CAP9-13'!$H:$H)</f>
        <v>0</v>
      </c>
      <c r="K85" s="69">
        <f ca="1">SUMIF('CAP14-15'!$B:$H,Equipo[[#This Row],[DESCRIPCION]],'CAP14-15'!$H:$H)</f>
        <v>0</v>
      </c>
      <c r="L85" s="69">
        <f ca="1">SUMIF('CAP16-18'!$B:$H,Equipo[[#This Row],[DESCRIPCION]],'CAP16-18'!$H:$H)</f>
        <v>0</v>
      </c>
      <c r="M85" s="69">
        <f ca="1">SUMIF('CAP19-22'!$B:$H,Equipo[[#This Row],[DESCRIPCION]],'CAP19-22'!$H:$H)</f>
        <v>0</v>
      </c>
      <c r="N85" s="69">
        <f ca="1">SUMIF('CAP23-24'!$B:$H,Equipo[[#This Row],[DESCRIPCION]],'CAP23-24'!$H:$H)</f>
        <v>0</v>
      </c>
      <c r="O85" s="69">
        <f ca="1">SUMIF('CAP25'!$B:$H,Equipo[[#This Row],[DESCRIPCION]],'CAP25'!$H:$H)</f>
        <v>0</v>
      </c>
      <c r="P85" s="69">
        <f ca="1">SUMIF('CAP26-28'!$B:$H,Equipo[[#This Row],[DESCRIPCION]],'CAP26-28'!$H:$H)</f>
        <v>0</v>
      </c>
      <c r="Q85" s="69">
        <f ca="1">SUMIF('CAP29'!$B:$H,Equipo[[#This Row],[DESCRIPCION]],'CAP29'!$H:$H)</f>
        <v>0</v>
      </c>
      <c r="R85" s="287"/>
      <c r="T85" s="304">
        <v>96800</v>
      </c>
    </row>
    <row r="86" spans="1:20">
      <c r="A86" s="286" t="s">
        <v>3655</v>
      </c>
      <c r="B86" s="280" t="s">
        <v>47</v>
      </c>
      <c r="C86" s="304">
        <f t="shared" si="1"/>
        <v>112455</v>
      </c>
      <c r="D86" s="281">
        <f ca="1">IF(Equipo[[#This Row],[VALOR]]=0,Equipo[[#This Row],[TOTAL]],E86/C86)</f>
        <v>0</v>
      </c>
      <c r="E86" s="69">
        <f ca="1">SUM(Equipo[[#This Row],[CAP1]:[CAP29]])</f>
        <v>0</v>
      </c>
      <c r="F86" s="69">
        <f ca="1">SUMIF('CAP1-3'!$B:$H,Equipo[[#This Row],[DESCRIPCION]],'CAP1-3'!$H:$H)</f>
        <v>0</v>
      </c>
      <c r="G86" s="69">
        <f ca="1">SUMIF('CAP4-5'!$B:$H,Equipo[[#This Row],[DESCRIPCION]],'CAP4-5'!$H:$H)</f>
        <v>0</v>
      </c>
      <c r="H86" s="69">
        <f ca="1">SUMIF('CAP6-7'!$B:$H,Equipo[[#This Row],[DESCRIPCION]],'CAP6-7'!$H:$H)</f>
        <v>0</v>
      </c>
      <c r="I86" s="69">
        <f ca="1">SUMIF('CAP8'!$B:$H,Equipo[[#This Row],[DESCRIPCION]],'CAP8'!$H:$H)</f>
        <v>0</v>
      </c>
      <c r="J86" s="69">
        <f ca="1">SUMIF('CAP9-13'!$B:$H,Equipo[[#This Row],[DESCRIPCION]],'CAP9-13'!$H:$H)</f>
        <v>0</v>
      </c>
      <c r="K86" s="69">
        <f ca="1">SUMIF('CAP14-15'!$B:$H,Equipo[[#This Row],[DESCRIPCION]],'CAP14-15'!$H:$H)</f>
        <v>0</v>
      </c>
      <c r="L86" s="69">
        <f ca="1">SUMIF('CAP16-18'!$B:$H,Equipo[[#This Row],[DESCRIPCION]],'CAP16-18'!$H:$H)</f>
        <v>0</v>
      </c>
      <c r="M86" s="69">
        <f ca="1">SUMIF('CAP19-22'!$B:$H,Equipo[[#This Row],[DESCRIPCION]],'CAP19-22'!$H:$H)</f>
        <v>0</v>
      </c>
      <c r="N86" s="69">
        <f ca="1">SUMIF('CAP23-24'!$B:$H,Equipo[[#This Row],[DESCRIPCION]],'CAP23-24'!$H:$H)</f>
        <v>0</v>
      </c>
      <c r="O86" s="69">
        <f ca="1">SUMIF('CAP25'!$B:$H,Equipo[[#This Row],[DESCRIPCION]],'CAP25'!$H:$H)</f>
        <v>0</v>
      </c>
      <c r="P86" s="69">
        <f ca="1">SUMIF('CAP26-28'!$B:$H,Equipo[[#This Row],[DESCRIPCION]],'CAP26-28'!$H:$H)</f>
        <v>0</v>
      </c>
      <c r="Q86" s="69">
        <f ca="1">SUMIF('CAP29'!$B:$H,Equipo[[#This Row],[DESCRIPCION]],'CAP29'!$H:$H)</f>
        <v>0</v>
      </c>
      <c r="R86" s="287"/>
      <c r="T86" s="304">
        <v>107100</v>
      </c>
    </row>
    <row r="87" spans="1:20">
      <c r="A87" s="286" t="s">
        <v>3656</v>
      </c>
      <c r="B87" s="280" t="s">
        <v>23</v>
      </c>
      <c r="C87" s="304">
        <f t="shared" si="1"/>
        <v>41203.050000000003</v>
      </c>
      <c r="D87" s="281">
        <f ca="1">IF(Equipo[[#This Row],[VALOR]]=0,Equipo[[#This Row],[TOTAL]],E87/C87)</f>
        <v>0</v>
      </c>
      <c r="E87" s="69">
        <f ca="1">SUM(Equipo[[#This Row],[CAP1]:[CAP29]])</f>
        <v>0</v>
      </c>
      <c r="F87" s="69">
        <f ca="1">SUMIF('CAP1-3'!$B:$H,Equipo[[#This Row],[DESCRIPCION]],'CAP1-3'!$H:$H)</f>
        <v>0</v>
      </c>
      <c r="G87" s="69">
        <f ca="1">SUMIF('CAP4-5'!$B:$H,Equipo[[#This Row],[DESCRIPCION]],'CAP4-5'!$H:$H)</f>
        <v>0</v>
      </c>
      <c r="H87" s="69">
        <f ca="1">SUMIF('CAP6-7'!$B:$H,Equipo[[#This Row],[DESCRIPCION]],'CAP6-7'!$H:$H)</f>
        <v>0</v>
      </c>
      <c r="I87" s="69">
        <f ca="1">SUMIF('CAP8'!$B:$H,Equipo[[#This Row],[DESCRIPCION]],'CAP8'!$H:$H)</f>
        <v>0</v>
      </c>
      <c r="J87" s="69">
        <f ca="1">SUMIF('CAP9-13'!$B:$H,Equipo[[#This Row],[DESCRIPCION]],'CAP9-13'!$H:$H)</f>
        <v>0</v>
      </c>
      <c r="K87" s="69">
        <f ca="1">SUMIF('CAP14-15'!$B:$H,Equipo[[#This Row],[DESCRIPCION]],'CAP14-15'!$H:$H)</f>
        <v>0</v>
      </c>
      <c r="L87" s="69">
        <f ca="1">SUMIF('CAP16-18'!$B:$H,Equipo[[#This Row],[DESCRIPCION]],'CAP16-18'!$H:$H)</f>
        <v>0</v>
      </c>
      <c r="M87" s="69">
        <f ca="1">SUMIF('CAP19-22'!$B:$H,Equipo[[#This Row],[DESCRIPCION]],'CAP19-22'!$H:$H)</f>
        <v>0</v>
      </c>
      <c r="N87" s="69">
        <f ca="1">SUMIF('CAP23-24'!$B:$H,Equipo[[#This Row],[DESCRIPCION]],'CAP23-24'!$H:$H)</f>
        <v>0</v>
      </c>
      <c r="O87" s="69">
        <f ca="1">SUMIF('CAP25'!$B:$H,Equipo[[#This Row],[DESCRIPCION]],'CAP25'!$H:$H)</f>
        <v>0</v>
      </c>
      <c r="P87" s="69">
        <f ca="1">SUMIF('CAP26-28'!$B:$H,Equipo[[#This Row],[DESCRIPCION]],'CAP26-28'!$H:$H)</f>
        <v>0</v>
      </c>
      <c r="Q87" s="69">
        <f ca="1">SUMIF('CAP29'!$B:$H,Equipo[[#This Row],[DESCRIPCION]],'CAP29'!$H:$H)</f>
        <v>0</v>
      </c>
      <c r="R87" s="287"/>
      <c r="T87" s="304">
        <v>39241</v>
      </c>
    </row>
    <row r="88" spans="1:20">
      <c r="A88" s="286" t="s">
        <v>3657</v>
      </c>
      <c r="B88" s="280" t="s">
        <v>47</v>
      </c>
      <c r="C88" s="304">
        <f t="shared" si="1"/>
        <v>56524.65</v>
      </c>
      <c r="D88" s="281">
        <f ca="1">IF(Equipo[[#This Row],[VALOR]]=0,Equipo[[#This Row],[TOTAL]],E88/C88)</f>
        <v>0</v>
      </c>
      <c r="E88" s="69">
        <f ca="1">SUM(Equipo[[#This Row],[CAP1]:[CAP29]])</f>
        <v>0</v>
      </c>
      <c r="F88" s="69">
        <f ca="1">SUMIF('CAP1-3'!$B:$H,Equipo[[#This Row],[DESCRIPCION]],'CAP1-3'!$H:$H)</f>
        <v>0</v>
      </c>
      <c r="G88" s="69">
        <f ca="1">SUMIF('CAP4-5'!$B:$H,Equipo[[#This Row],[DESCRIPCION]],'CAP4-5'!$H:$H)</f>
        <v>0</v>
      </c>
      <c r="H88" s="69">
        <f ca="1">SUMIF('CAP6-7'!$B:$H,Equipo[[#This Row],[DESCRIPCION]],'CAP6-7'!$H:$H)</f>
        <v>0</v>
      </c>
      <c r="I88" s="69">
        <f ca="1">SUMIF('CAP8'!$B:$H,Equipo[[#This Row],[DESCRIPCION]],'CAP8'!$H:$H)</f>
        <v>0</v>
      </c>
      <c r="J88" s="69">
        <f ca="1">SUMIF('CAP9-13'!$B:$H,Equipo[[#This Row],[DESCRIPCION]],'CAP9-13'!$H:$H)</f>
        <v>0</v>
      </c>
      <c r="K88" s="69">
        <f ca="1">SUMIF('CAP14-15'!$B:$H,Equipo[[#This Row],[DESCRIPCION]],'CAP14-15'!$H:$H)</f>
        <v>0</v>
      </c>
      <c r="L88" s="69">
        <f ca="1">SUMIF('CAP16-18'!$B:$H,Equipo[[#This Row],[DESCRIPCION]],'CAP16-18'!$H:$H)</f>
        <v>0</v>
      </c>
      <c r="M88" s="69">
        <f ca="1">SUMIF('CAP19-22'!$B:$H,Equipo[[#This Row],[DESCRIPCION]],'CAP19-22'!$H:$H)</f>
        <v>0</v>
      </c>
      <c r="N88" s="69">
        <f ca="1">SUMIF('CAP23-24'!$B:$H,Equipo[[#This Row],[DESCRIPCION]],'CAP23-24'!$H:$H)</f>
        <v>0</v>
      </c>
      <c r="O88" s="69">
        <f ca="1">SUMIF('CAP25'!$B:$H,Equipo[[#This Row],[DESCRIPCION]],'CAP25'!$H:$H)</f>
        <v>0</v>
      </c>
      <c r="P88" s="69">
        <f ca="1">SUMIF('CAP26-28'!$B:$H,Equipo[[#This Row],[DESCRIPCION]],'CAP26-28'!$H:$H)</f>
        <v>0</v>
      </c>
      <c r="Q88" s="69">
        <f ca="1">SUMIF('CAP29'!$B:$H,Equipo[[#This Row],[DESCRIPCION]],'CAP29'!$H:$H)</f>
        <v>0</v>
      </c>
      <c r="R88" s="287"/>
      <c r="T88" s="304">
        <v>53833</v>
      </c>
    </row>
    <row r="89" spans="1:20">
      <c r="A89" s="286" t="s">
        <v>3658</v>
      </c>
      <c r="B89" s="280" t="s">
        <v>47</v>
      </c>
      <c r="C89" s="304">
        <f t="shared" si="1"/>
        <v>82467</v>
      </c>
      <c r="D89" s="281">
        <f ca="1">IF(Equipo[[#This Row],[VALOR]]=0,Equipo[[#This Row],[TOTAL]],E89/C89)</f>
        <v>0</v>
      </c>
      <c r="E89" s="69">
        <f ca="1">SUM(Equipo[[#This Row],[CAP1]:[CAP29]])</f>
        <v>0</v>
      </c>
      <c r="F89" s="69">
        <f ca="1">SUMIF('CAP1-3'!$B:$H,Equipo[[#This Row],[DESCRIPCION]],'CAP1-3'!$H:$H)</f>
        <v>0</v>
      </c>
      <c r="G89" s="69">
        <f ca="1">SUMIF('CAP4-5'!$B:$H,Equipo[[#This Row],[DESCRIPCION]],'CAP4-5'!$H:$H)</f>
        <v>0</v>
      </c>
      <c r="H89" s="69">
        <f ca="1">SUMIF('CAP6-7'!$B:$H,Equipo[[#This Row],[DESCRIPCION]],'CAP6-7'!$H:$H)</f>
        <v>0</v>
      </c>
      <c r="I89" s="69">
        <f ca="1">SUMIF('CAP8'!$B:$H,Equipo[[#This Row],[DESCRIPCION]],'CAP8'!$H:$H)</f>
        <v>0</v>
      </c>
      <c r="J89" s="69">
        <f ca="1">SUMIF('CAP9-13'!$B:$H,Equipo[[#This Row],[DESCRIPCION]],'CAP9-13'!$H:$H)</f>
        <v>0</v>
      </c>
      <c r="K89" s="69">
        <f ca="1">SUMIF('CAP14-15'!$B:$H,Equipo[[#This Row],[DESCRIPCION]],'CAP14-15'!$H:$H)</f>
        <v>0</v>
      </c>
      <c r="L89" s="69">
        <f ca="1">SUMIF('CAP16-18'!$B:$H,Equipo[[#This Row],[DESCRIPCION]],'CAP16-18'!$H:$H)</f>
        <v>0</v>
      </c>
      <c r="M89" s="69">
        <f ca="1">SUMIF('CAP19-22'!$B:$H,Equipo[[#This Row],[DESCRIPCION]],'CAP19-22'!$H:$H)</f>
        <v>0</v>
      </c>
      <c r="N89" s="69">
        <f ca="1">SUMIF('CAP23-24'!$B:$H,Equipo[[#This Row],[DESCRIPCION]],'CAP23-24'!$H:$H)</f>
        <v>0</v>
      </c>
      <c r="O89" s="69">
        <f ca="1">SUMIF('CAP25'!$B:$H,Equipo[[#This Row],[DESCRIPCION]],'CAP25'!$H:$H)</f>
        <v>0</v>
      </c>
      <c r="P89" s="69">
        <f ca="1">SUMIF('CAP26-28'!$B:$H,Equipo[[#This Row],[DESCRIPCION]],'CAP26-28'!$H:$H)</f>
        <v>0</v>
      </c>
      <c r="Q89" s="69">
        <f ca="1">SUMIF('CAP29'!$B:$H,Equipo[[#This Row],[DESCRIPCION]],'CAP29'!$H:$H)</f>
        <v>0</v>
      </c>
      <c r="R89" s="287"/>
      <c r="T89" s="304">
        <v>78540</v>
      </c>
    </row>
    <row r="90" spans="1:20">
      <c r="A90" s="286" t="s">
        <v>3659</v>
      </c>
      <c r="B90" s="280" t="s">
        <v>3582</v>
      </c>
      <c r="C90" s="304">
        <f t="shared" si="1"/>
        <v>89250</v>
      </c>
      <c r="D90" s="281">
        <f ca="1">IF(Equipo[[#This Row],[VALOR]]=0,Equipo[[#This Row],[TOTAL]],E90/C90)</f>
        <v>0</v>
      </c>
      <c r="E90" s="69">
        <f ca="1">SUM(Equipo[[#This Row],[CAP1]:[CAP29]])</f>
        <v>0</v>
      </c>
      <c r="F90" s="69">
        <f ca="1">SUMIF('CAP1-3'!$B:$H,Equipo[[#This Row],[DESCRIPCION]],'CAP1-3'!$H:$H)</f>
        <v>0</v>
      </c>
      <c r="G90" s="69">
        <f ca="1">SUMIF('CAP4-5'!$B:$H,Equipo[[#This Row],[DESCRIPCION]],'CAP4-5'!$H:$H)</f>
        <v>0</v>
      </c>
      <c r="H90" s="69">
        <f ca="1">SUMIF('CAP6-7'!$B:$H,Equipo[[#This Row],[DESCRIPCION]],'CAP6-7'!$H:$H)</f>
        <v>0</v>
      </c>
      <c r="I90" s="69">
        <f ca="1">SUMIF('CAP8'!$B:$H,Equipo[[#This Row],[DESCRIPCION]],'CAP8'!$H:$H)</f>
        <v>0</v>
      </c>
      <c r="J90" s="69">
        <f ca="1">SUMIF('CAP9-13'!$B:$H,Equipo[[#This Row],[DESCRIPCION]],'CAP9-13'!$H:$H)</f>
        <v>0</v>
      </c>
      <c r="K90" s="69">
        <f ca="1">SUMIF('CAP14-15'!$B:$H,Equipo[[#This Row],[DESCRIPCION]],'CAP14-15'!$H:$H)</f>
        <v>0</v>
      </c>
      <c r="L90" s="69">
        <f ca="1">SUMIF('CAP16-18'!$B:$H,Equipo[[#This Row],[DESCRIPCION]],'CAP16-18'!$H:$H)</f>
        <v>0</v>
      </c>
      <c r="M90" s="69">
        <f ca="1">SUMIF('CAP19-22'!$B:$H,Equipo[[#This Row],[DESCRIPCION]],'CAP19-22'!$H:$H)</f>
        <v>0</v>
      </c>
      <c r="N90" s="69">
        <f ca="1">SUMIF('CAP23-24'!$B:$H,Equipo[[#This Row],[DESCRIPCION]],'CAP23-24'!$H:$H)</f>
        <v>0</v>
      </c>
      <c r="O90" s="69">
        <f ca="1">SUMIF('CAP25'!$B:$H,Equipo[[#This Row],[DESCRIPCION]],'CAP25'!$H:$H)</f>
        <v>0</v>
      </c>
      <c r="P90" s="69">
        <f ca="1">SUMIF('CAP26-28'!$B:$H,Equipo[[#This Row],[DESCRIPCION]],'CAP26-28'!$H:$H)</f>
        <v>0</v>
      </c>
      <c r="Q90" s="69">
        <f ca="1">SUMIF('CAP29'!$B:$H,Equipo[[#This Row],[DESCRIPCION]],'CAP29'!$H:$H)</f>
        <v>0</v>
      </c>
      <c r="R90" s="287"/>
      <c r="T90" s="304">
        <v>85000</v>
      </c>
    </row>
    <row r="91" spans="1:20">
      <c r="A91" s="324" t="s">
        <v>3559</v>
      </c>
      <c r="B91" s="325"/>
      <c r="C91" s="324"/>
      <c r="D91" s="324"/>
      <c r="E91" s="324">
        <f ca="1">SUBTOTAL(109,Equipo[TOTAL])</f>
        <v>5114812.5</v>
      </c>
      <c r="F91" s="324">
        <f ca="1">SUBTOTAL(109,Equipo[CAP1])</f>
        <v>5114812.5</v>
      </c>
      <c r="G91" s="324">
        <f ca="1">SUBTOTAL(109,Equipo[CAP4])</f>
        <v>0</v>
      </c>
      <c r="H91" s="324">
        <f ca="1">SUBTOTAL(109,Equipo[CAP6])</f>
        <v>0</v>
      </c>
      <c r="I91" s="324">
        <f ca="1">SUBTOTAL(109,Equipo[CAP8])</f>
        <v>0</v>
      </c>
      <c r="J91" s="324">
        <f ca="1">SUBTOTAL(109,Equipo[CAP9])</f>
        <v>0</v>
      </c>
      <c r="K91" s="324">
        <f ca="1">SUBTOTAL(109,Equipo[CAP14])</f>
        <v>0</v>
      </c>
      <c r="L91" s="324">
        <f ca="1">SUBTOTAL(109,Equipo[CAP17])</f>
        <v>0</v>
      </c>
      <c r="M91" s="324">
        <f ca="1">SUBTOTAL(109,Equipo[CAP19])</f>
        <v>0</v>
      </c>
      <c r="N91" s="324">
        <f ca="1">SUBTOTAL(109,Equipo[CAP23])</f>
        <v>0</v>
      </c>
      <c r="O91" s="324">
        <f ca="1">SUBTOTAL(109,Equipo[CAP25])</f>
        <v>0</v>
      </c>
      <c r="P91" s="324">
        <f ca="1">SUBTOTAL(109,Equipo[CAP26])</f>
        <v>0</v>
      </c>
      <c r="Q91" s="324">
        <f ca="1">SUBTOTAL(109,Equipo[CAP29])</f>
        <v>0</v>
      </c>
      <c r="R91" s="326"/>
    </row>
    <row r="1271" spans="2:2" ht="12.75" customHeight="1">
      <c r="B1271" s="54"/>
    </row>
  </sheetData>
  <mergeCells count="3">
    <mergeCell ref="A1:D1"/>
    <mergeCell ref="A2:D2"/>
    <mergeCell ref="A3:D3"/>
  </mergeCells>
  <conditionalFormatting sqref="B5:B90">
    <cfRule type="cellIs" dxfId="0" priority="2" operator="equal">
      <formula>"pesos"</formula>
    </cfRule>
  </conditionalFormatting>
  <printOptions horizontalCentered="1"/>
  <pageMargins left="0.59055118110236227" right="0.59055118110236227" top="0.59055118110236227" bottom="0.59055118110236227" header="0.51181102362204722" footer="0.51181102362204722"/>
  <pageSetup scale="70" orientation="portrait" horizontalDpi="300" verticalDpi="300" r:id="rId1"/>
  <colBreaks count="1" manualBreakCount="1">
    <brk id="5" max="93" man="1"/>
  </colBreaks>
  <drawing r:id="rId2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271"/>
  <sheetViews>
    <sheetView view="pageBreakPreview" zoomScaleNormal="100" workbookViewId="0">
      <selection activeCell="C5" sqref="C5:C9"/>
    </sheetView>
  </sheetViews>
  <sheetFormatPr baseColWidth="10" defaultColWidth="10.73046875" defaultRowHeight="12.75" customHeight="1"/>
  <cols>
    <col min="1" max="1" width="70.73046875" style="136" customWidth="1"/>
    <col min="2" max="2" width="9.73046875" style="284" customWidth="1"/>
    <col min="3" max="3" width="13.73046875" style="136" customWidth="1"/>
    <col min="4" max="4" width="15.73046875" style="283" customWidth="1"/>
    <col min="5" max="5" width="15.73046875" style="136" customWidth="1"/>
    <col min="6" max="7" width="13" style="136" bestFit="1" customWidth="1"/>
    <col min="8" max="12" width="12.265625" style="136" customWidth="1"/>
    <col min="13" max="13" width="13" style="136" bestFit="1" customWidth="1"/>
    <col min="14" max="14" width="12.265625" style="136" customWidth="1"/>
    <col min="15" max="15" width="14.3984375" style="136" bestFit="1" customWidth="1"/>
    <col min="16" max="16" width="13" style="136" bestFit="1" customWidth="1"/>
    <col min="17" max="17" width="12.265625" style="136" customWidth="1"/>
    <col min="18" max="16384" width="10.73046875" style="136"/>
  </cols>
  <sheetData>
    <row r="1" spans="1:20" ht="12.75" customHeight="1">
      <c r="A1" s="318" t="str">
        <f>Presupuesto!A1</f>
        <v>ALCALDIA DE PEREIRA</v>
      </c>
      <c r="B1" s="318"/>
      <c r="C1" s="318"/>
      <c r="D1" s="318"/>
    </row>
    <row r="2" spans="1:20" ht="12.75" customHeight="1">
      <c r="A2" s="318" t="str">
        <f>Presupuesto!A2</f>
        <v>VERSION O BASE DE DATOS ALCALDIA DE PEREIRA 2026</v>
      </c>
      <c r="B2" s="318"/>
      <c r="C2" s="318"/>
      <c r="D2" s="318"/>
    </row>
    <row r="3" spans="1:20" ht="12.75" customHeight="1">
      <c r="A3" s="318" t="s">
        <v>3660</v>
      </c>
      <c r="B3" s="318"/>
      <c r="C3" s="318"/>
      <c r="D3" s="318"/>
    </row>
    <row r="4" spans="1:20" s="275" customFormat="1" ht="14.25">
      <c r="A4" s="276" t="s">
        <v>2586</v>
      </c>
      <c r="B4" s="277" t="s">
        <v>2587</v>
      </c>
      <c r="C4" s="277" t="s">
        <v>2588</v>
      </c>
      <c r="D4" s="278" t="s">
        <v>6</v>
      </c>
      <c r="E4" s="277" t="s">
        <v>2589</v>
      </c>
      <c r="F4" s="277" t="s">
        <v>3561</v>
      </c>
      <c r="G4" s="277" t="s">
        <v>3562</v>
      </c>
      <c r="H4" s="277" t="s">
        <v>3563</v>
      </c>
      <c r="I4" s="277" t="s">
        <v>2593</v>
      </c>
      <c r="J4" s="277" t="s">
        <v>3564</v>
      </c>
      <c r="K4" s="277" t="s">
        <v>3565</v>
      </c>
      <c r="L4" s="277" t="s">
        <v>3566</v>
      </c>
      <c r="M4" s="277" t="s">
        <v>3567</v>
      </c>
      <c r="N4" s="277" t="s">
        <v>3568</v>
      </c>
      <c r="O4" s="277" t="s">
        <v>2599</v>
      </c>
      <c r="P4" s="277" t="s">
        <v>3569</v>
      </c>
      <c r="Q4" s="277" t="s">
        <v>2601</v>
      </c>
      <c r="T4" s="298">
        <v>1.05</v>
      </c>
    </row>
    <row r="5" spans="1:20" ht="12.75" customHeight="1">
      <c r="A5" s="279" t="s">
        <v>3661</v>
      </c>
      <c r="B5" s="280" t="s">
        <v>3582</v>
      </c>
      <c r="C5" s="69">
        <f>T5*$T$4</f>
        <v>266826</v>
      </c>
      <c r="D5" s="281">
        <f ca="1">IF(Transporte[[#This Row],[VALOR]]=0,0,E5/C5)</f>
        <v>0</v>
      </c>
      <c r="E5" s="282">
        <f ca="1">SUM(Transporte[[#This Row],[CAP1]:[CAP29]])</f>
        <v>0</v>
      </c>
      <c r="F5" s="69">
        <f ca="1">SUMIF('CAP1-3'!$B:$H,Transporte[[#This Row],[DESCRIPCION]],'CAP1-3'!$H:$H)</f>
        <v>0</v>
      </c>
      <c r="G5" s="69">
        <f ca="1">SUMIF('CAP4-5'!$B:$H,Transporte[[#This Row],[DESCRIPCION]],'CAP4-5'!$H:$H)</f>
        <v>0</v>
      </c>
      <c r="H5" s="69">
        <f ca="1">SUMIF('CAP6-7'!$B:$H,Transporte[[#This Row],[DESCRIPCION]],'CAP6-7'!$H:$H)</f>
        <v>0</v>
      </c>
      <c r="I5" s="69">
        <f ca="1">SUMIF('CAP8'!$B:$H,Transporte[[#This Row],[DESCRIPCION]],'CAP8'!$H:$H)</f>
        <v>0</v>
      </c>
      <c r="J5" s="69">
        <f ca="1">SUMIF('CAP9-13'!$B:$H,Transporte[[#This Row],[DESCRIPCION]],'CAP9-13'!$H:$H)</f>
        <v>0</v>
      </c>
      <c r="K5" s="69">
        <f ca="1">SUMIF('CAP14-15'!$B:$H,Transporte[[#This Row],[DESCRIPCION]],'CAP14-15'!$H:$H)</f>
        <v>0</v>
      </c>
      <c r="L5" s="69">
        <f ca="1">SUMIF('CAP16-18'!$B:$H,Transporte[[#This Row],[DESCRIPCION]],'CAP16-18'!$H:$H)</f>
        <v>0</v>
      </c>
      <c r="M5" s="69">
        <f ca="1">SUMIF('CAP19-22'!$B:$H,Transporte[[#This Row],[DESCRIPCION]],'CAP19-22'!$H:$H)</f>
        <v>0</v>
      </c>
      <c r="N5" s="69">
        <f ca="1">SUMIF('CAP23-24'!$B:$H,Transporte[[#This Row],[DESCRIPCION]],'CAP23-24'!$H:$H)</f>
        <v>0</v>
      </c>
      <c r="O5" s="69">
        <f ca="1">SUMIF('CAP25'!$B:$H,Transporte[[#This Row],[DESCRIPCION]],'CAP25'!$H:$H)</f>
        <v>0</v>
      </c>
      <c r="P5" s="69">
        <f ca="1">SUMIF('CAP26-28'!$B:$H,Transporte[[#This Row],[DESCRIPCION]],'CAP26-28'!$H:$H)</f>
        <v>0</v>
      </c>
      <c r="Q5" s="69">
        <f ca="1">SUMIF('CAP29'!$B:$H,Transporte[[#This Row],[DESCRIPCION]],'CAP29'!$H:$H)</f>
        <v>0</v>
      </c>
      <c r="T5" s="136">
        <v>254120</v>
      </c>
    </row>
    <row r="6" spans="1:20" ht="12.75" customHeight="1">
      <c r="A6" s="279" t="s">
        <v>3662</v>
      </c>
      <c r="B6" s="280" t="s">
        <v>3582</v>
      </c>
      <c r="C6" s="69">
        <f t="shared" ref="C6:C9" si="0">T6*$T$4</f>
        <v>79109.100000000006</v>
      </c>
      <c r="D6" s="281">
        <f ca="1">IF(Transporte[[#This Row],[VALOR]]=0,0,E6/C6)</f>
        <v>0</v>
      </c>
      <c r="E6" s="282">
        <f ca="1">SUM(Transporte[[#This Row],[CAP1]:[CAP29]])</f>
        <v>0</v>
      </c>
      <c r="F6" s="69">
        <f ca="1">SUMIF('CAP1-3'!$B:$H,Transporte[[#This Row],[DESCRIPCION]],'CAP1-3'!$H:$H)</f>
        <v>0</v>
      </c>
      <c r="G6" s="69">
        <f ca="1">SUMIF('CAP4-5'!$B:$H,Transporte[[#This Row],[DESCRIPCION]],'CAP4-5'!$H:$H)</f>
        <v>0</v>
      </c>
      <c r="H6" s="69">
        <f ca="1">SUMIF('CAP6-7'!$B:$H,Transporte[[#This Row],[DESCRIPCION]],'CAP6-7'!$H:$H)</f>
        <v>0</v>
      </c>
      <c r="I6" s="69">
        <f ca="1">SUMIF('CAP8'!$B:$H,Transporte[[#This Row],[DESCRIPCION]],'CAP8'!$H:$H)</f>
        <v>0</v>
      </c>
      <c r="J6" s="69">
        <f ca="1">SUMIF('CAP9-13'!$B:$H,Transporte[[#This Row],[DESCRIPCION]],'CAP9-13'!$H:$H)</f>
        <v>0</v>
      </c>
      <c r="K6" s="69">
        <f ca="1">SUMIF('CAP14-15'!$B:$H,Transporte[[#This Row],[DESCRIPCION]],'CAP14-15'!$H:$H)</f>
        <v>0</v>
      </c>
      <c r="L6" s="69">
        <f ca="1">SUMIF('CAP16-18'!$B:$H,Transporte[[#This Row],[DESCRIPCION]],'CAP16-18'!$H:$H)</f>
        <v>0</v>
      </c>
      <c r="M6" s="69">
        <f ca="1">SUMIF('CAP19-22'!$B:$H,Transporte[[#This Row],[DESCRIPCION]],'CAP19-22'!$H:$H)</f>
        <v>0</v>
      </c>
      <c r="N6" s="69">
        <f ca="1">SUMIF('CAP23-24'!$B:$H,Transporte[[#This Row],[DESCRIPCION]],'CAP23-24'!$H:$H)</f>
        <v>0</v>
      </c>
      <c r="O6" s="69">
        <f ca="1">SUMIF('CAP25'!$B:$H,Transporte[[#This Row],[DESCRIPCION]],'CAP25'!$H:$H)</f>
        <v>0</v>
      </c>
      <c r="P6" s="69">
        <f ca="1">SUMIF('CAP26-28'!$B:$H,Transporte[[#This Row],[DESCRIPCION]],'CAP26-28'!$H:$H)</f>
        <v>0</v>
      </c>
      <c r="Q6" s="69">
        <f ca="1">SUMIF('CAP29'!$B:$H,Transporte[[#This Row],[DESCRIPCION]],'CAP29'!$H:$H)</f>
        <v>0</v>
      </c>
      <c r="T6" s="136">
        <v>75342</v>
      </c>
    </row>
    <row r="7" spans="1:20" ht="12.75" customHeight="1">
      <c r="A7" s="279" t="s">
        <v>3663</v>
      </c>
      <c r="B7" s="280" t="s">
        <v>3582</v>
      </c>
      <c r="C7" s="69">
        <f t="shared" si="0"/>
        <v>36118.950000000004</v>
      </c>
      <c r="D7" s="281">
        <f ca="1">IF(Transporte[[#This Row],[VALOR]]=0,0,E7/C7)</f>
        <v>0</v>
      </c>
      <c r="E7" s="282">
        <f ca="1">SUM(Transporte[[#This Row],[CAP1]:[CAP29]])</f>
        <v>0</v>
      </c>
      <c r="F7" s="69">
        <f ca="1">SUMIF('CAP1-3'!$B:$H,Transporte[[#This Row],[DESCRIPCION]],'CAP1-3'!$H:$H)</f>
        <v>0</v>
      </c>
      <c r="G7" s="69">
        <f ca="1">SUMIF('CAP4-5'!$B:$H,Transporte[[#This Row],[DESCRIPCION]],'CAP4-5'!$H:$H)</f>
        <v>0</v>
      </c>
      <c r="H7" s="69">
        <f ca="1">SUMIF('CAP6-7'!$B:$H,Transporte[[#This Row],[DESCRIPCION]],'CAP6-7'!$H:$H)</f>
        <v>0</v>
      </c>
      <c r="I7" s="69">
        <f ca="1">SUMIF('CAP8'!$B:$H,Transporte[[#This Row],[DESCRIPCION]],'CAP8'!$H:$H)</f>
        <v>0</v>
      </c>
      <c r="J7" s="69">
        <f ca="1">SUMIF('CAP9-13'!$B:$H,Transporte[[#This Row],[DESCRIPCION]],'CAP9-13'!$H:$H)</f>
        <v>0</v>
      </c>
      <c r="K7" s="69">
        <f ca="1">SUMIF('CAP14-15'!$B:$H,Transporte[[#This Row],[DESCRIPCION]],'CAP14-15'!$H:$H)</f>
        <v>0</v>
      </c>
      <c r="L7" s="69">
        <f ca="1">SUMIF('CAP16-18'!$B:$H,Transporte[[#This Row],[DESCRIPCION]],'CAP16-18'!$H:$H)</f>
        <v>0</v>
      </c>
      <c r="M7" s="69">
        <f ca="1">SUMIF('CAP19-22'!$B:$H,Transporte[[#This Row],[DESCRIPCION]],'CAP19-22'!$H:$H)</f>
        <v>0</v>
      </c>
      <c r="N7" s="69">
        <f ca="1">SUMIF('CAP23-24'!$B:$H,Transporte[[#This Row],[DESCRIPCION]],'CAP23-24'!$H:$H)</f>
        <v>0</v>
      </c>
      <c r="O7" s="69">
        <f ca="1">SUMIF('CAP25'!$B:$H,Transporte[[#This Row],[DESCRIPCION]],'CAP25'!$H:$H)</f>
        <v>0</v>
      </c>
      <c r="P7" s="69">
        <f ca="1">SUMIF('CAP26-28'!$B:$H,Transporte[[#This Row],[DESCRIPCION]],'CAP26-28'!$H:$H)</f>
        <v>0</v>
      </c>
      <c r="Q7" s="69">
        <f ca="1">SUMIF('CAP29'!$B:$H,Transporte[[#This Row],[DESCRIPCION]],'CAP29'!$H:$H)</f>
        <v>0</v>
      </c>
      <c r="T7" s="136">
        <v>34399</v>
      </c>
    </row>
    <row r="8" spans="1:20" ht="12.75" customHeight="1">
      <c r="A8" s="279" t="s">
        <v>3664</v>
      </c>
      <c r="B8" s="280" t="s">
        <v>3665</v>
      </c>
      <c r="C8" s="69">
        <f t="shared" si="0"/>
        <v>1534.05</v>
      </c>
      <c r="D8" s="281">
        <f ca="1">IF(Transporte[[#This Row],[VALOR]]=0,0,E8/C8)</f>
        <v>0</v>
      </c>
      <c r="E8" s="282">
        <f ca="1">SUM(Transporte[[#This Row],[CAP1]:[CAP29]])</f>
        <v>0</v>
      </c>
      <c r="F8" s="69">
        <f ca="1">SUMIF('CAP1-3'!$B:$H,Transporte[[#This Row],[DESCRIPCION]],'CAP1-3'!$H:$H)</f>
        <v>0</v>
      </c>
      <c r="G8" s="69">
        <f ca="1">SUMIF('CAP4-5'!$B:$H,Transporte[[#This Row],[DESCRIPCION]],'CAP4-5'!$H:$H)</f>
        <v>0</v>
      </c>
      <c r="H8" s="69">
        <f ca="1">SUMIF('CAP6-7'!$B:$H,Transporte[[#This Row],[DESCRIPCION]],'CAP6-7'!$H:$H)</f>
        <v>0</v>
      </c>
      <c r="I8" s="69">
        <f ca="1">SUMIF('CAP8'!$B:$H,Transporte[[#This Row],[DESCRIPCION]],'CAP8'!$H:$H)</f>
        <v>0</v>
      </c>
      <c r="J8" s="69">
        <f ca="1">SUMIF('CAP9-13'!$B:$H,Transporte[[#This Row],[DESCRIPCION]],'CAP9-13'!$H:$H)</f>
        <v>0</v>
      </c>
      <c r="K8" s="69">
        <f ca="1">SUMIF('CAP14-15'!$B:$H,Transporte[[#This Row],[DESCRIPCION]],'CAP14-15'!$H:$H)</f>
        <v>0</v>
      </c>
      <c r="L8" s="69">
        <f ca="1">SUMIF('CAP16-18'!$B:$H,Transporte[[#This Row],[DESCRIPCION]],'CAP16-18'!$H:$H)</f>
        <v>0</v>
      </c>
      <c r="M8" s="69">
        <f ca="1">SUMIF('CAP19-22'!$B:$H,Transporte[[#This Row],[DESCRIPCION]],'CAP19-22'!$H:$H)</f>
        <v>0</v>
      </c>
      <c r="N8" s="69">
        <f ca="1">SUMIF('CAP23-24'!$B:$H,Transporte[[#This Row],[DESCRIPCION]],'CAP23-24'!$H:$H)</f>
        <v>0</v>
      </c>
      <c r="O8" s="69">
        <f ca="1">SUMIF('CAP25'!$B:$H,Transporte[[#This Row],[DESCRIPCION]],'CAP25'!$H:$H)</f>
        <v>0</v>
      </c>
      <c r="P8" s="69">
        <f ca="1">SUMIF('CAP26-28'!$B:$H,Transporte[[#This Row],[DESCRIPCION]],'CAP26-28'!$H:$H)</f>
        <v>0</v>
      </c>
      <c r="Q8" s="69">
        <f ca="1">SUMIF('CAP29'!$B:$H,Transporte[[#This Row],[DESCRIPCION]],'CAP29'!$H:$H)</f>
        <v>0</v>
      </c>
      <c r="T8" s="136">
        <v>1461</v>
      </c>
    </row>
    <row r="9" spans="1:20" ht="12.75" customHeight="1">
      <c r="A9" s="279" t="s">
        <v>3666</v>
      </c>
      <c r="B9" s="280" t="s">
        <v>3667</v>
      </c>
      <c r="C9" s="69">
        <f t="shared" si="0"/>
        <v>34010.550000000003</v>
      </c>
      <c r="D9" s="281">
        <f ca="1">IF(Transporte[[#This Row],[VALOR]]=0,0,E9/C9)</f>
        <v>0</v>
      </c>
      <c r="E9" s="282">
        <f ca="1">SUM(Transporte[[#This Row],[CAP1]:[CAP29]])</f>
        <v>0</v>
      </c>
      <c r="F9" s="69">
        <f ca="1">SUMIF('CAP1-3'!$B:$H,Transporte[[#This Row],[DESCRIPCION]],'CAP1-3'!$H:$H)</f>
        <v>0</v>
      </c>
      <c r="G9" s="69">
        <f ca="1">SUMIF('CAP4-5'!$B:$H,Transporte[[#This Row],[DESCRIPCION]],'CAP4-5'!$H:$H)</f>
        <v>0</v>
      </c>
      <c r="H9" s="69">
        <f ca="1">SUMIF('CAP6-7'!$B:$H,Transporte[[#This Row],[DESCRIPCION]],'CAP6-7'!$H:$H)</f>
        <v>0</v>
      </c>
      <c r="I9" s="69">
        <f ca="1">SUMIF('CAP8'!$B:$H,Transporte[[#This Row],[DESCRIPCION]],'CAP8'!$H:$H)</f>
        <v>0</v>
      </c>
      <c r="J9" s="69">
        <f ca="1">SUMIF('CAP9-13'!$B:$H,Transporte[[#This Row],[DESCRIPCION]],'CAP9-13'!$H:$H)</f>
        <v>0</v>
      </c>
      <c r="K9" s="69">
        <f ca="1">SUMIF('CAP14-15'!$B:$H,Transporte[[#This Row],[DESCRIPCION]],'CAP14-15'!$H:$H)</f>
        <v>0</v>
      </c>
      <c r="L9" s="69">
        <f ca="1">SUMIF('CAP16-18'!$B:$H,Transporte[[#This Row],[DESCRIPCION]],'CAP16-18'!$H:$H)</f>
        <v>0</v>
      </c>
      <c r="M9" s="69">
        <f ca="1">SUMIF('CAP19-22'!$B:$H,Transporte[[#This Row],[DESCRIPCION]],'CAP19-22'!$H:$H)</f>
        <v>0</v>
      </c>
      <c r="N9" s="69">
        <f ca="1">SUMIF('CAP23-24'!$B:$H,Transporte[[#This Row],[DESCRIPCION]],'CAP23-24'!$H:$H)</f>
        <v>0</v>
      </c>
      <c r="O9" s="69">
        <f ca="1">SUMIF('CAP25'!$B:$H,Transporte[[#This Row],[DESCRIPCION]],'CAP25'!$H:$H)</f>
        <v>0</v>
      </c>
      <c r="P9" s="69">
        <f ca="1">SUMIF('CAP26-28'!$B:$H,Transporte[[#This Row],[DESCRIPCION]],'CAP26-28'!$H:$H)</f>
        <v>0</v>
      </c>
      <c r="Q9" s="69">
        <f ca="1">SUMIF('CAP29'!$B:$H,Transporte[[#This Row],[DESCRIPCION]],'CAP29'!$H:$H)</f>
        <v>0</v>
      </c>
      <c r="T9" s="136">
        <v>32391</v>
      </c>
    </row>
    <row r="10" spans="1:20" ht="12.75" customHeight="1">
      <c r="A10" s="327" t="s">
        <v>3559</v>
      </c>
      <c r="B10" s="328"/>
      <c r="C10" s="329"/>
      <c r="D10" s="330"/>
      <c r="E10" s="329">
        <f ca="1">SUBTOTAL(109,Transporte[TOTAL])</f>
        <v>0</v>
      </c>
      <c r="F10" s="329">
        <f ca="1">SUBTOTAL(109,Transporte[CAP1])</f>
        <v>0</v>
      </c>
      <c r="G10" s="329">
        <f ca="1">SUBTOTAL(109,Transporte[CAP4])</f>
        <v>0</v>
      </c>
      <c r="H10" s="329">
        <f ca="1">SUBTOTAL(109,Transporte[CAP6])</f>
        <v>0</v>
      </c>
      <c r="I10" s="329">
        <f ca="1">SUBTOTAL(109,Transporte[CAP8])</f>
        <v>0</v>
      </c>
      <c r="J10" s="329">
        <f ca="1">SUBTOTAL(109,Transporte[CAP9])</f>
        <v>0</v>
      </c>
      <c r="K10" s="329">
        <f ca="1">SUBTOTAL(109,Transporte[CAP14])</f>
        <v>0</v>
      </c>
      <c r="L10" s="329">
        <f ca="1">SUBTOTAL(109,Transporte[CAP17])</f>
        <v>0</v>
      </c>
      <c r="M10" s="329">
        <f ca="1">SUBTOTAL(109,Transporte[CAP19])</f>
        <v>0</v>
      </c>
      <c r="N10" s="329">
        <f ca="1">SUBTOTAL(109,Transporte[CAP23])</f>
        <v>0</v>
      </c>
      <c r="O10" s="329">
        <f ca="1">SUBTOTAL(109,Transporte[CAP25])</f>
        <v>0</v>
      </c>
      <c r="P10" s="329">
        <f ca="1">SUBTOTAL(109,Transporte[CAP26])</f>
        <v>0</v>
      </c>
      <c r="Q10" s="329">
        <f ca="1">SUBTOTAL(109,Transporte[CAP29])</f>
        <v>0</v>
      </c>
    </row>
    <row r="1271" spans="2:2" ht="12.75" customHeight="1">
      <c r="B1271" s="54"/>
    </row>
  </sheetData>
  <mergeCells count="3">
    <mergeCell ref="A1:D1"/>
    <mergeCell ref="A2:D2"/>
    <mergeCell ref="A3:D3"/>
  </mergeCells>
  <printOptions horizontalCentered="1"/>
  <pageMargins left="0.59055118110236227" right="0.59055118110236227" top="0.59055118110236227" bottom="0.59055118110236227" header="0.51181102362204722" footer="0.51181102362204722"/>
  <pageSetup scale="70" orientation="portrait" horizontalDpi="300" verticalDpi="300" r:id="rId1"/>
  <drawing r:id="rId2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R1272"/>
  <sheetViews>
    <sheetView view="pageBreakPreview" topLeftCell="A26" zoomScale="90" zoomScaleNormal="100" zoomScaleSheetLayoutView="90" workbookViewId="0">
      <selection activeCell="E25" sqref="E25"/>
    </sheetView>
  </sheetViews>
  <sheetFormatPr baseColWidth="10" defaultColWidth="11.3984375" defaultRowHeight="12.75"/>
  <cols>
    <col min="1" max="1" width="3.3984375" style="123" customWidth="1"/>
    <col min="2" max="2" width="65.73046875" style="123" customWidth="1"/>
    <col min="3" max="3" width="12.73046875" style="274" customWidth="1"/>
    <col min="4" max="4" width="15.73046875" style="274" customWidth="1"/>
    <col min="5" max="5" width="15.73046875" style="136" customWidth="1"/>
    <col min="6" max="6" width="15.73046875" style="136" bestFit="1" customWidth="1"/>
    <col min="7" max="7" width="16.3984375" style="136" bestFit="1" customWidth="1"/>
    <col min="8" max="12" width="14.73046875" style="136" bestFit="1" customWidth="1"/>
    <col min="13" max="13" width="16.3984375" style="136" bestFit="1" customWidth="1"/>
    <col min="14" max="14" width="15.73046875" style="136" bestFit="1" customWidth="1"/>
    <col min="15" max="15" width="14.73046875" style="136" bestFit="1" customWidth="1"/>
    <col min="16" max="16" width="15.3984375" style="136" bestFit="1" customWidth="1"/>
    <col min="17" max="17" width="7.1328125" style="136" bestFit="1" customWidth="1"/>
    <col min="18" max="18" width="17.73046875" style="123" customWidth="1"/>
    <col min="19" max="16384" width="11.3984375" style="123"/>
  </cols>
  <sheetData>
    <row r="1" spans="2:18">
      <c r="B1" s="312" t="str">
        <f>Presupuesto!A1</f>
        <v>ALCALDIA DE PEREIRA</v>
      </c>
      <c r="C1" s="312"/>
      <c r="D1" s="312"/>
      <c r="E1" s="74"/>
      <c r="F1" s="74"/>
      <c r="G1" s="74"/>
      <c r="H1" s="74"/>
      <c r="I1" s="74"/>
      <c r="J1" s="74"/>
      <c r="K1" s="74"/>
      <c r="L1" s="74"/>
      <c r="M1" s="74"/>
      <c r="N1" s="74"/>
      <c r="O1" s="74"/>
      <c r="P1" s="74"/>
      <c r="Q1" s="74"/>
      <c r="R1" s="74"/>
    </row>
    <row r="2" spans="2:18">
      <c r="B2" s="312" t="str">
        <f>Presupuesto!A2</f>
        <v>VERSION O BASE DE DATOS ALCALDIA DE PEREIRA 2026</v>
      </c>
      <c r="C2" s="312"/>
      <c r="D2" s="312"/>
      <c r="E2" s="312"/>
      <c r="F2" s="312"/>
      <c r="G2" s="312"/>
      <c r="H2" s="312"/>
      <c r="I2" s="312"/>
      <c r="J2" s="312"/>
      <c r="K2" s="312"/>
      <c r="L2" s="312"/>
      <c r="M2" s="312"/>
      <c r="N2" s="312"/>
      <c r="O2" s="312"/>
      <c r="P2" s="312"/>
      <c r="Q2" s="312"/>
      <c r="R2" s="312"/>
    </row>
    <row r="3" spans="2:18">
      <c r="B3" s="312" t="s">
        <v>3668</v>
      </c>
      <c r="C3" s="312"/>
      <c r="D3" s="312"/>
      <c r="E3" s="312"/>
      <c r="F3" s="312"/>
      <c r="G3" s="312"/>
      <c r="H3" s="312"/>
      <c r="I3" s="312"/>
      <c r="J3" s="312"/>
      <c r="K3" s="312"/>
      <c r="L3" s="312"/>
      <c r="M3" s="312"/>
      <c r="N3" s="312"/>
      <c r="O3" s="312"/>
      <c r="P3" s="312"/>
      <c r="Q3" s="312"/>
      <c r="R3" s="312"/>
    </row>
    <row r="4" spans="2:18">
      <c r="B4" s="245" t="s">
        <v>3669</v>
      </c>
      <c r="C4" s="246"/>
      <c r="D4" s="247">
        <v>2026</v>
      </c>
      <c r="E4" s="95"/>
    </row>
    <row r="5" spans="2:18">
      <c r="B5" s="245" t="s">
        <v>3670</v>
      </c>
      <c r="C5" s="246"/>
      <c r="D5" s="248">
        <v>1750905</v>
      </c>
      <c r="E5" s="95"/>
    </row>
    <row r="6" spans="2:18">
      <c r="B6" s="245" t="s">
        <v>3671</v>
      </c>
      <c r="C6" s="246"/>
      <c r="D6" s="248">
        <v>249095</v>
      </c>
      <c r="E6" s="95"/>
    </row>
    <row r="7" spans="2:18">
      <c r="B7" s="245" t="s">
        <v>3672</v>
      </c>
      <c r="C7" s="246"/>
      <c r="D7" s="249">
        <v>25</v>
      </c>
      <c r="E7" s="95"/>
    </row>
    <row r="8" spans="2:18">
      <c r="B8" s="245" t="s">
        <v>3673</v>
      </c>
      <c r="C8" s="246"/>
      <c r="D8" s="250">
        <v>7</v>
      </c>
      <c r="E8" s="95"/>
    </row>
    <row r="9" spans="2:18">
      <c r="B9" s="50"/>
      <c r="C9" s="251"/>
      <c r="D9" s="251"/>
      <c r="E9" s="95"/>
    </row>
    <row r="10" spans="2:18" ht="25.5">
      <c r="B10" s="252" t="s">
        <v>3674</v>
      </c>
      <c r="C10" s="253" t="s">
        <v>3675</v>
      </c>
      <c r="D10" s="253" t="s">
        <v>3676</v>
      </c>
    </row>
    <row r="11" spans="2:18">
      <c r="B11" s="254" t="s">
        <v>3677</v>
      </c>
      <c r="C11" s="255">
        <v>1</v>
      </c>
      <c r="D11" s="255">
        <v>1</v>
      </c>
      <c r="E11" s="95"/>
    </row>
    <row r="12" spans="2:18">
      <c r="B12" s="295" t="s">
        <v>3678</v>
      </c>
      <c r="C12" s="296">
        <v>8.3299999999999999E-2</v>
      </c>
      <c r="D12" s="255">
        <v>8.3299999999999999E-2</v>
      </c>
      <c r="E12" s="95"/>
    </row>
    <row r="13" spans="2:18">
      <c r="B13" s="295" t="s">
        <v>3679</v>
      </c>
      <c r="C13" s="296">
        <v>4.1700000000000001E-2</v>
      </c>
      <c r="D13" s="255">
        <v>4.1700000000000001E-2</v>
      </c>
      <c r="E13" s="95"/>
    </row>
    <row r="14" spans="2:18">
      <c r="B14" s="295" t="s">
        <v>3680</v>
      </c>
      <c r="C14" s="296">
        <v>8.3299999999999999E-2</v>
      </c>
      <c r="D14" s="255">
        <v>8.3299999999999999E-2</v>
      </c>
      <c r="E14" s="95"/>
    </row>
    <row r="15" spans="2:18">
      <c r="B15" s="295" t="s">
        <v>3681</v>
      </c>
      <c r="C15" s="296">
        <v>0.01</v>
      </c>
      <c r="D15" s="255">
        <v>0.01</v>
      </c>
      <c r="E15" s="95"/>
    </row>
    <row r="16" spans="2:18">
      <c r="B16" s="295" t="s">
        <v>3682</v>
      </c>
      <c r="C16" s="296">
        <f>ROUND(D6/D5,4)</f>
        <v>0.14230000000000001</v>
      </c>
      <c r="D16" s="255"/>
      <c r="E16" s="95"/>
    </row>
    <row r="17" spans="2:17">
      <c r="B17" s="295" t="s">
        <v>3683</v>
      </c>
      <c r="C17" s="296">
        <v>8.5000000000000006E-2</v>
      </c>
      <c r="D17" s="255">
        <v>8.5000000000000006E-2</v>
      </c>
      <c r="E17" s="95"/>
    </row>
    <row r="18" spans="2:17">
      <c r="B18" s="295" t="s">
        <v>3684</v>
      </c>
      <c r="C18" s="296">
        <v>6.9599999999999995E-2</v>
      </c>
      <c r="D18" s="255">
        <v>6.9599999999999995E-2</v>
      </c>
      <c r="E18" s="95"/>
    </row>
    <row r="19" spans="2:17">
      <c r="B19" s="295" t="s">
        <v>3685</v>
      </c>
      <c r="C19" s="296">
        <v>0.12</v>
      </c>
      <c r="D19" s="255">
        <v>0.12</v>
      </c>
      <c r="E19" s="95"/>
    </row>
    <row r="20" spans="2:17">
      <c r="B20" s="295" t="s">
        <v>3686</v>
      </c>
      <c r="C20" s="296">
        <v>0</v>
      </c>
      <c r="D20" s="255">
        <v>0</v>
      </c>
      <c r="E20" s="95"/>
    </row>
    <row r="21" spans="2:17">
      <c r="B21" s="295" t="s">
        <v>3687</v>
      </c>
      <c r="C21" s="296">
        <v>0</v>
      </c>
      <c r="D21" s="255">
        <v>0</v>
      </c>
      <c r="E21" s="95"/>
    </row>
    <row r="22" spans="2:17">
      <c r="B22" s="295" t="s">
        <v>3688</v>
      </c>
      <c r="C22" s="296">
        <v>0.04</v>
      </c>
      <c r="D22" s="255">
        <v>0.04</v>
      </c>
      <c r="E22" s="95"/>
    </row>
    <row r="23" spans="2:17">
      <c r="B23" s="295" t="s">
        <v>3689</v>
      </c>
      <c r="C23" s="296">
        <v>2.5000000000000001E-2</v>
      </c>
      <c r="D23" s="255">
        <v>2.5000000000000001E-2</v>
      </c>
      <c r="E23" s="95"/>
    </row>
    <row r="24" spans="2:17" ht="14.25">
      <c r="B24" s="295" t="s">
        <v>3690</v>
      </c>
      <c r="C24" s="296">
        <v>5.5899999999999998E-2</v>
      </c>
      <c r="D24" s="255"/>
      <c r="E24" s="95"/>
      <c r="G24" s="300"/>
    </row>
    <row r="25" spans="2:17" ht="14.25">
      <c r="B25" s="295" t="s">
        <v>3815</v>
      </c>
      <c r="C25" s="296">
        <v>0.1</v>
      </c>
      <c r="D25" s="255">
        <v>0.1</v>
      </c>
      <c r="E25" s="95"/>
      <c r="G25" s="300"/>
    </row>
    <row r="26" spans="2:17" ht="14.25">
      <c r="B26" s="295" t="s">
        <v>3691</v>
      </c>
      <c r="C26" s="296">
        <v>0.1163</v>
      </c>
      <c r="D26" s="296">
        <v>0.1163</v>
      </c>
      <c r="E26" s="95"/>
      <c r="F26" s="298"/>
      <c r="G26" s="299"/>
    </row>
    <row r="27" spans="2:17">
      <c r="B27" s="295" t="s">
        <v>3692</v>
      </c>
      <c r="C27" s="296">
        <v>1.6999999999999999E-3</v>
      </c>
      <c r="D27" s="255">
        <v>1.6999999999999999E-3</v>
      </c>
      <c r="E27" s="95"/>
    </row>
    <row r="28" spans="2:17">
      <c r="B28" s="295" t="s">
        <v>3693</v>
      </c>
      <c r="C28" s="296">
        <v>2.1000000000000001E-2</v>
      </c>
      <c r="D28" s="255">
        <v>2.1000000000000001E-2</v>
      </c>
      <c r="E28" s="95"/>
    </row>
    <row r="29" spans="2:17">
      <c r="B29" s="256" t="s">
        <v>3694</v>
      </c>
      <c r="C29" s="253">
        <f>SUM(C11:C28)</f>
        <v>1.9951000000000003</v>
      </c>
      <c r="D29" s="253">
        <f>SUM(D11:D28)</f>
        <v>1.7969000000000002</v>
      </c>
    </row>
    <row r="31" spans="2:17" s="260" customFormat="1">
      <c r="B31" s="257" t="s">
        <v>2586</v>
      </c>
      <c r="C31" s="258" t="s">
        <v>3695</v>
      </c>
      <c r="D31" s="258" t="s">
        <v>3696</v>
      </c>
      <c r="E31" s="259" t="s">
        <v>2589</v>
      </c>
      <c r="F31" s="259" t="s">
        <v>3561</v>
      </c>
      <c r="G31" s="259" t="s">
        <v>3562</v>
      </c>
      <c r="H31" s="259" t="s">
        <v>3563</v>
      </c>
      <c r="I31" s="259" t="s">
        <v>2593</v>
      </c>
      <c r="J31" s="259" t="s">
        <v>3564</v>
      </c>
      <c r="K31" s="259" t="s">
        <v>3565</v>
      </c>
      <c r="L31" s="259" t="s">
        <v>3566</v>
      </c>
      <c r="M31" s="259" t="s">
        <v>3567</v>
      </c>
      <c r="N31" s="259" t="s">
        <v>3568</v>
      </c>
      <c r="O31" s="259" t="s">
        <v>2599</v>
      </c>
      <c r="P31" s="259" t="s">
        <v>3569</v>
      </c>
      <c r="Q31" s="259" t="s">
        <v>2601</v>
      </c>
    </row>
    <row r="32" spans="2:17">
      <c r="B32" s="261" t="s">
        <v>3697</v>
      </c>
      <c r="C32" s="262"/>
      <c r="D32" s="263"/>
      <c r="E32" s="264">
        <f>SUM(MObra[[#This Row],[CAP1]:[CAP29]])</f>
        <v>0</v>
      </c>
      <c r="F32" s="264"/>
      <c r="G32" s="264"/>
      <c r="H32" s="264"/>
      <c r="I32" s="264"/>
      <c r="J32" s="264"/>
      <c r="K32" s="264"/>
      <c r="L32" s="264"/>
      <c r="M32" s="265"/>
      <c r="N32" s="265"/>
      <c r="O32" s="265"/>
      <c r="P32" s="265"/>
      <c r="Q32" s="265"/>
    </row>
    <row r="33" spans="2:17">
      <c r="B33" s="306" t="s">
        <v>3698</v>
      </c>
      <c r="C33" s="267" t="s">
        <v>3699</v>
      </c>
      <c r="D33" s="268">
        <f>$D$5*$C$29/30</f>
        <v>116441.01885000002</v>
      </c>
      <c r="E33" s="269">
        <f ca="1">SUM(MObra[[#This Row],[CAP1]:[CAP29]])</f>
        <v>0</v>
      </c>
      <c r="F33" s="268">
        <f ca="1">SUMIF('CAP1-3'!$B:$H,MObra[[#This Row],[DESCRIPCION]],'CAP1-3'!$H:$H)</f>
        <v>0</v>
      </c>
      <c r="G33" s="268">
        <f ca="1">SUMIF('CAP4-5'!$B:$H,MObra[[#This Row],[DESCRIPCION]],'CAP4-5'!$H:$H)</f>
        <v>0</v>
      </c>
      <c r="H33" s="268">
        <f ca="1">SUMIF('CAP6-7'!$B:$H,MObra[[#This Row],[DESCRIPCION]],'CAP6-7'!$H:$H)</f>
        <v>0</v>
      </c>
      <c r="I33" s="268">
        <f ca="1">SUMIF('CAP8'!$B:$H,MObra[[#This Row],[DESCRIPCION]],'CAP8'!$H:$H)</f>
        <v>0</v>
      </c>
      <c r="J33" s="268">
        <f ca="1">SUMIF('CAP9-13'!$B:$H,MObra[[#This Row],[DESCRIPCION]],'CAP9-13'!$H:$H)</f>
        <v>0</v>
      </c>
      <c r="K33" s="268">
        <f ca="1">SUMIF('CAP14-15'!$B:$H,MObra[[#This Row],[DESCRIPCION]],'CAP14-15'!$H:$H)</f>
        <v>0</v>
      </c>
      <c r="L33" s="268">
        <f ca="1">SUMIF('CAP16-18'!$B:$H,MObra[[#This Row],[DESCRIPCION]],'CAP16-18'!$H:$H)</f>
        <v>0</v>
      </c>
      <c r="M33" s="268">
        <f ca="1">SUMIF('CAP19-22'!$B:$H,MObra[[#This Row],[DESCRIPCION]],'CAP19-22'!$H:$H)</f>
        <v>0</v>
      </c>
      <c r="N33" s="268">
        <f ca="1">SUMIF('CAP23-24'!$B:$H,MObra[[#This Row],[DESCRIPCION]],'CAP23-24'!$H:$H)</f>
        <v>0</v>
      </c>
      <c r="O33" s="268">
        <f ca="1">SUMIF('CAP25'!$B:$H,MObra[[#This Row],[DESCRIPCION]],'CAP25'!$H:$H)</f>
        <v>0</v>
      </c>
      <c r="P33" s="268">
        <f ca="1">SUMIF('CAP26-28'!$B:$H,MObra[[#This Row],[DESCRIPCION]],'CAP26-28'!$H:$H)</f>
        <v>0</v>
      </c>
      <c r="Q33" s="268">
        <f ca="1">SUMIF('CAP29'!$B:$H,MObra[[#This Row],[DESCRIPCION]],'CAP29'!$H:$H)</f>
        <v>0</v>
      </c>
    </row>
    <row r="34" spans="2:17">
      <c r="B34" s="306" t="s">
        <v>3700</v>
      </c>
      <c r="C34" s="32" t="s">
        <v>3699</v>
      </c>
      <c r="D34" s="69">
        <f>$D$5*$C$29/30*1.1</f>
        <v>128085.12073500003</v>
      </c>
      <c r="E34" s="69">
        <f ca="1">SUM(MObra[[#This Row],[CAP1]:[CAP29]])</f>
        <v>0</v>
      </c>
      <c r="F34" s="69">
        <f ca="1">SUMIF('CAP1-3'!$B:$H,MObra[[#This Row],[DESCRIPCION]],'CAP1-3'!$H:$H)</f>
        <v>0</v>
      </c>
      <c r="G34" s="69">
        <f ca="1">SUMIF('CAP4-5'!$B:$H,MObra[[#This Row],[DESCRIPCION]],'CAP4-5'!$H:$H)</f>
        <v>0</v>
      </c>
      <c r="H34" s="69">
        <f ca="1">SUMIF('CAP6-7'!$B:$H,MObra[[#This Row],[DESCRIPCION]],'CAP6-7'!$H:$H)</f>
        <v>0</v>
      </c>
      <c r="I34" s="69">
        <f ca="1">SUMIF('CAP8'!$B:$H,MObra[[#This Row],[DESCRIPCION]],'CAP8'!$H:$H)</f>
        <v>0</v>
      </c>
      <c r="J34" s="69">
        <f ca="1">SUMIF('CAP9-13'!$B:$H,MObra[[#This Row],[DESCRIPCION]],'CAP9-13'!$H:$H)</f>
        <v>0</v>
      </c>
      <c r="K34" s="69">
        <f ca="1">SUMIF('CAP14-15'!$B:$H,MObra[[#This Row],[DESCRIPCION]],'CAP14-15'!$H:$H)</f>
        <v>0</v>
      </c>
      <c r="L34" s="69">
        <f ca="1">SUMIF('CAP16-18'!$B:$H,MObra[[#This Row],[DESCRIPCION]],'CAP16-18'!$H:$H)</f>
        <v>0</v>
      </c>
      <c r="M34" s="69">
        <f ca="1">SUMIF('CAP19-22'!$B:$H,MObra[[#This Row],[DESCRIPCION]],'CAP19-22'!$H:$H)</f>
        <v>0</v>
      </c>
      <c r="N34" s="69">
        <f ca="1">SUMIF('CAP23-24'!$B:$H,MObra[[#This Row],[DESCRIPCION]],'CAP23-24'!$H:$H)</f>
        <v>0</v>
      </c>
      <c r="O34" s="69">
        <f ca="1">SUMIF('CAP25'!$B:$H,MObra[[#This Row],[DESCRIPCION]],'CAP25'!$H:$H)</f>
        <v>0</v>
      </c>
      <c r="P34" s="69">
        <f ca="1">SUMIF('CAP26-28'!$B:$H,MObra[[#This Row],[DESCRIPCION]],'CAP26-28'!$H:$H)</f>
        <v>0</v>
      </c>
      <c r="Q34" s="69">
        <f ca="1">SUMIF('CAP29'!$B:$H,MObra[[#This Row],[DESCRIPCION]],'CAP29'!$H:$H)</f>
        <v>0</v>
      </c>
    </row>
    <row r="35" spans="2:17">
      <c r="B35" s="306" t="s">
        <v>3701</v>
      </c>
      <c r="C35" s="32" t="s">
        <v>3699</v>
      </c>
      <c r="D35" s="69">
        <f>$D$5*$C$29/30*1.1</f>
        <v>128085.12073500003</v>
      </c>
      <c r="E35" s="69">
        <f ca="1">SUM(MObra[[#This Row],[CAP1]:[CAP29]])</f>
        <v>0</v>
      </c>
      <c r="F35" s="69">
        <f ca="1">SUMIF('CAP1-3'!$B:$H,MObra[[#This Row],[DESCRIPCION]],'CAP1-3'!$H:$H)</f>
        <v>0</v>
      </c>
      <c r="G35" s="69">
        <f ca="1">SUMIF('CAP4-5'!$B:$H,MObra[[#This Row],[DESCRIPCION]],'CAP4-5'!$H:$H)</f>
        <v>0</v>
      </c>
      <c r="H35" s="69">
        <f ca="1">SUMIF('CAP6-7'!$B:$H,MObra[[#This Row],[DESCRIPCION]],'CAP6-7'!$H:$H)</f>
        <v>0</v>
      </c>
      <c r="I35" s="69">
        <f ca="1">SUMIF('CAP8'!$B:$H,MObra[[#This Row],[DESCRIPCION]],'CAP8'!$H:$H)</f>
        <v>0</v>
      </c>
      <c r="J35" s="69">
        <f ca="1">SUMIF('CAP9-13'!$B:$H,MObra[[#This Row],[DESCRIPCION]],'CAP9-13'!$H:$H)</f>
        <v>0</v>
      </c>
      <c r="K35" s="69">
        <f ca="1">SUMIF('CAP14-15'!$B:$H,MObra[[#This Row],[DESCRIPCION]],'CAP14-15'!$H:$H)</f>
        <v>0</v>
      </c>
      <c r="L35" s="69">
        <f ca="1">SUMIF('CAP16-18'!$B:$H,MObra[[#This Row],[DESCRIPCION]],'CAP16-18'!$H:$H)</f>
        <v>0</v>
      </c>
      <c r="M35" s="69">
        <f ca="1">SUMIF('CAP19-22'!$B:$H,MObra[[#This Row],[DESCRIPCION]],'CAP19-22'!$H:$H)</f>
        <v>0</v>
      </c>
      <c r="N35" s="69">
        <f ca="1">SUMIF('CAP23-24'!$B:$H,MObra[[#This Row],[DESCRIPCION]],'CAP23-24'!$H:$H)</f>
        <v>0</v>
      </c>
      <c r="O35" s="69">
        <f ca="1">SUMIF('CAP25'!$B:$H,MObra[[#This Row],[DESCRIPCION]],'CAP25'!$H:$H)</f>
        <v>0</v>
      </c>
      <c r="P35" s="69">
        <f ca="1">SUMIF('CAP26-28'!$B:$H,MObra[[#This Row],[DESCRIPCION]],'CAP26-28'!$H:$H)</f>
        <v>0</v>
      </c>
      <c r="Q35" s="69">
        <f ca="1">SUMIF('CAP29'!$B:$H,MObra[[#This Row],[DESCRIPCION]],'CAP29'!$H:$H)</f>
        <v>0</v>
      </c>
    </row>
    <row r="36" spans="2:17">
      <c r="B36" s="306" t="s">
        <v>3702</v>
      </c>
      <c r="C36" s="32" t="s">
        <v>3699</v>
      </c>
      <c r="D36" s="69">
        <f>$D$5*$C$29/30*1.1</f>
        <v>128085.12073500003</v>
      </c>
      <c r="E36" s="69">
        <f ca="1">SUM(MObra[[#This Row],[CAP1]:[CAP29]])</f>
        <v>0</v>
      </c>
      <c r="F36" s="69">
        <f ca="1">SUMIF('CAP1-3'!$B:$H,MObra[[#This Row],[DESCRIPCION]],'CAP1-3'!$H:$H)</f>
        <v>0</v>
      </c>
      <c r="G36" s="69">
        <f ca="1">SUMIF('CAP4-5'!$B:$H,MObra[[#This Row],[DESCRIPCION]],'CAP4-5'!$H:$H)</f>
        <v>0</v>
      </c>
      <c r="H36" s="69">
        <f ca="1">SUMIF('CAP6-7'!$B:$H,MObra[[#This Row],[DESCRIPCION]],'CAP6-7'!$H:$H)</f>
        <v>0</v>
      </c>
      <c r="I36" s="69">
        <f ca="1">SUMIF('CAP8'!$B:$H,MObra[[#This Row],[DESCRIPCION]],'CAP8'!$H:$H)</f>
        <v>0</v>
      </c>
      <c r="J36" s="69">
        <f ca="1">SUMIF('CAP9-13'!$B:$H,MObra[[#This Row],[DESCRIPCION]],'CAP9-13'!$H:$H)</f>
        <v>0</v>
      </c>
      <c r="K36" s="69">
        <f ca="1">SUMIF('CAP14-15'!$B:$H,MObra[[#This Row],[DESCRIPCION]],'CAP14-15'!$H:$H)</f>
        <v>0</v>
      </c>
      <c r="L36" s="69">
        <f ca="1">SUMIF('CAP16-18'!$B:$H,MObra[[#This Row],[DESCRIPCION]],'CAP16-18'!$H:$H)</f>
        <v>0</v>
      </c>
      <c r="M36" s="69">
        <f ca="1">SUMIF('CAP19-22'!$B:$H,MObra[[#This Row],[DESCRIPCION]],'CAP19-22'!$H:$H)</f>
        <v>0</v>
      </c>
      <c r="N36" s="69">
        <f ca="1">SUMIF('CAP23-24'!$B:$H,MObra[[#This Row],[DESCRIPCION]],'CAP23-24'!$H:$H)</f>
        <v>0</v>
      </c>
      <c r="O36" s="69">
        <f ca="1">SUMIF('CAP25'!$B:$H,MObra[[#This Row],[DESCRIPCION]],'CAP25'!$H:$H)</f>
        <v>0</v>
      </c>
      <c r="P36" s="69">
        <f ca="1">SUMIF('CAP26-28'!$B:$H,MObra[[#This Row],[DESCRIPCION]],'CAP26-28'!$H:$H)</f>
        <v>0</v>
      </c>
      <c r="Q36" s="69">
        <f ca="1">SUMIF('CAP29'!$B:$H,MObra[[#This Row],[DESCRIPCION]],'CAP29'!$H:$H)</f>
        <v>0</v>
      </c>
    </row>
    <row r="37" spans="2:17">
      <c r="B37" s="306" t="s">
        <v>3703</v>
      </c>
      <c r="C37" s="32" t="s">
        <v>3699</v>
      </c>
      <c r="D37" s="69">
        <f>$D$5*$C$29/30*1</f>
        <v>116441.01885000002</v>
      </c>
      <c r="E37" s="69">
        <f ca="1">SUM(MObra[[#This Row],[CAP1]:[CAP29]])</f>
        <v>0</v>
      </c>
      <c r="F37" s="69">
        <f ca="1">SUMIF('CAP1-3'!$B:$H,MObra[[#This Row],[DESCRIPCION]],'CAP1-3'!$H:$H)</f>
        <v>0</v>
      </c>
      <c r="G37" s="69">
        <f ca="1">SUMIF('CAP4-5'!$B:$H,MObra[[#This Row],[DESCRIPCION]],'CAP4-5'!$H:$H)</f>
        <v>0</v>
      </c>
      <c r="H37" s="69">
        <f ca="1">SUMIF('CAP6-7'!$B:$H,MObra[[#This Row],[DESCRIPCION]],'CAP6-7'!$H:$H)</f>
        <v>0</v>
      </c>
      <c r="I37" s="69">
        <f ca="1">SUMIF('CAP8'!$B:$H,MObra[[#This Row],[DESCRIPCION]],'CAP8'!$H:$H)</f>
        <v>0</v>
      </c>
      <c r="J37" s="69">
        <f ca="1">SUMIF('CAP9-13'!$B:$H,MObra[[#This Row],[DESCRIPCION]],'CAP9-13'!$H:$H)</f>
        <v>0</v>
      </c>
      <c r="K37" s="69">
        <f ca="1">SUMIF('CAP14-15'!$B:$H,MObra[[#This Row],[DESCRIPCION]],'CAP14-15'!$H:$H)</f>
        <v>0</v>
      </c>
      <c r="L37" s="69">
        <f ca="1">SUMIF('CAP16-18'!$B:$H,MObra[[#This Row],[DESCRIPCION]],'CAP16-18'!$H:$H)</f>
        <v>0</v>
      </c>
      <c r="M37" s="69">
        <f ca="1">SUMIF('CAP19-22'!$B:$H,MObra[[#This Row],[DESCRIPCION]],'CAP19-22'!$H:$H)</f>
        <v>0</v>
      </c>
      <c r="N37" s="69">
        <f ca="1">SUMIF('CAP23-24'!$B:$H,MObra[[#This Row],[DESCRIPCION]],'CAP23-24'!$H:$H)</f>
        <v>0</v>
      </c>
      <c r="O37" s="69">
        <f ca="1">SUMIF('CAP25'!$B:$H,MObra[[#This Row],[DESCRIPCION]],'CAP25'!$H:$H)</f>
        <v>0</v>
      </c>
      <c r="P37" s="69">
        <f ca="1">SUMIF('CAP26-28'!$B:$H,MObra[[#This Row],[DESCRIPCION]],'CAP26-28'!$H:$H)</f>
        <v>0</v>
      </c>
      <c r="Q37" s="69">
        <f ca="1">SUMIF('CAP29'!$B:$H,MObra[[#This Row],[DESCRIPCION]],'CAP29'!$H:$H)</f>
        <v>0</v>
      </c>
    </row>
    <row r="38" spans="2:17">
      <c r="B38" s="306" t="s">
        <v>3704</v>
      </c>
      <c r="C38" s="32" t="s">
        <v>3699</v>
      </c>
      <c r="D38" s="69">
        <f>$D$5*$C$29/30*1.13</f>
        <v>131578.35130050001</v>
      </c>
      <c r="E38" s="69">
        <f ca="1">SUM(MObra[[#This Row],[CAP1]:[CAP29]])</f>
        <v>0</v>
      </c>
      <c r="F38" s="69">
        <f ca="1">SUMIF('CAP1-3'!$B:$H,MObra[[#This Row],[DESCRIPCION]],'CAP1-3'!$H:$H)</f>
        <v>0</v>
      </c>
      <c r="G38" s="69">
        <f ca="1">SUMIF('CAP4-5'!$B:$H,MObra[[#This Row],[DESCRIPCION]],'CAP4-5'!$H:$H)</f>
        <v>0</v>
      </c>
      <c r="H38" s="69">
        <f ca="1">SUMIF('CAP6-7'!$B:$H,MObra[[#This Row],[DESCRIPCION]],'CAP6-7'!$H:$H)</f>
        <v>0</v>
      </c>
      <c r="I38" s="69">
        <f ca="1">SUMIF('CAP8'!$B:$H,MObra[[#This Row],[DESCRIPCION]],'CAP8'!$H:$H)</f>
        <v>0</v>
      </c>
      <c r="J38" s="69">
        <f ca="1">SUMIF('CAP9-13'!$B:$H,MObra[[#This Row],[DESCRIPCION]],'CAP9-13'!$H:$H)</f>
        <v>0</v>
      </c>
      <c r="K38" s="69">
        <f ca="1">SUMIF('CAP14-15'!$B:$H,MObra[[#This Row],[DESCRIPCION]],'CAP14-15'!$H:$H)</f>
        <v>0</v>
      </c>
      <c r="L38" s="69">
        <f ca="1">SUMIF('CAP16-18'!$B:$H,MObra[[#This Row],[DESCRIPCION]],'CAP16-18'!$H:$H)</f>
        <v>0</v>
      </c>
      <c r="M38" s="69">
        <f ca="1">SUMIF('CAP19-22'!$B:$H,MObra[[#This Row],[DESCRIPCION]],'CAP19-22'!$H:$H)</f>
        <v>0</v>
      </c>
      <c r="N38" s="69">
        <f ca="1">SUMIF('CAP23-24'!$B:$H,MObra[[#This Row],[DESCRIPCION]],'CAP23-24'!$H:$H)</f>
        <v>0</v>
      </c>
      <c r="O38" s="69">
        <f ca="1">SUMIF('CAP25'!$B:$H,MObra[[#This Row],[DESCRIPCION]],'CAP25'!$H:$H)</f>
        <v>0</v>
      </c>
      <c r="P38" s="69">
        <f ca="1">SUMIF('CAP26-28'!$B:$H,MObra[[#This Row],[DESCRIPCION]],'CAP26-28'!$H:$H)</f>
        <v>0</v>
      </c>
      <c r="Q38" s="69">
        <f ca="1">SUMIF('CAP29'!$B:$H,MObra[[#This Row],[DESCRIPCION]],'CAP29'!$H:$H)</f>
        <v>0</v>
      </c>
    </row>
    <row r="39" spans="2:17">
      <c r="B39" s="306" t="s">
        <v>3705</v>
      </c>
      <c r="C39" s="32" t="s">
        <v>3699</v>
      </c>
      <c r="D39" s="69">
        <f>$D$5*$C$29/30*1.7</f>
        <v>197949.73204500004</v>
      </c>
      <c r="E39" s="69">
        <f ca="1">SUM(MObra[[#This Row],[CAP1]:[CAP29]])</f>
        <v>0</v>
      </c>
      <c r="F39" s="69">
        <f ca="1">SUMIF('CAP1-3'!$B:$H,MObra[[#This Row],[DESCRIPCION]],'CAP1-3'!$H:$H)</f>
        <v>0</v>
      </c>
      <c r="G39" s="69">
        <f ca="1">SUMIF('CAP4-5'!$B:$H,MObra[[#This Row],[DESCRIPCION]],'CAP4-5'!$H:$H)</f>
        <v>0</v>
      </c>
      <c r="H39" s="69">
        <f ca="1">SUMIF('CAP6-7'!$B:$H,MObra[[#This Row],[DESCRIPCION]],'CAP6-7'!$H:$H)</f>
        <v>0</v>
      </c>
      <c r="I39" s="69">
        <f ca="1">SUMIF('CAP8'!$B:$H,MObra[[#This Row],[DESCRIPCION]],'CAP8'!$H:$H)</f>
        <v>0</v>
      </c>
      <c r="J39" s="69">
        <f ca="1">SUMIF('CAP9-13'!$B:$H,MObra[[#This Row],[DESCRIPCION]],'CAP9-13'!$H:$H)</f>
        <v>0</v>
      </c>
      <c r="K39" s="69">
        <f ca="1">SUMIF('CAP14-15'!$B:$H,MObra[[#This Row],[DESCRIPCION]],'CAP14-15'!$H:$H)</f>
        <v>0</v>
      </c>
      <c r="L39" s="69">
        <f ca="1">SUMIF('CAP16-18'!$B:$H,MObra[[#This Row],[DESCRIPCION]],'CAP16-18'!$H:$H)</f>
        <v>0</v>
      </c>
      <c r="M39" s="69">
        <f ca="1">SUMIF('CAP19-22'!$B:$H,MObra[[#This Row],[DESCRIPCION]],'CAP19-22'!$H:$H)</f>
        <v>0</v>
      </c>
      <c r="N39" s="69">
        <f ca="1">SUMIF('CAP23-24'!$B:$H,MObra[[#This Row],[DESCRIPCION]],'CAP23-24'!$H:$H)</f>
        <v>0</v>
      </c>
      <c r="O39" s="69">
        <f ca="1">SUMIF('CAP25'!$B:$H,MObra[[#This Row],[DESCRIPCION]],'CAP25'!$H:$H)</f>
        <v>0</v>
      </c>
      <c r="P39" s="69">
        <f ca="1">SUMIF('CAP26-28'!$B:$H,MObra[[#This Row],[DESCRIPCION]],'CAP26-28'!$H:$H)</f>
        <v>0</v>
      </c>
      <c r="Q39" s="69">
        <f ca="1">SUMIF('CAP29'!$B:$H,MObra[[#This Row],[DESCRIPCION]],'CAP29'!$H:$H)</f>
        <v>0</v>
      </c>
    </row>
    <row r="40" spans="2:17">
      <c r="B40" s="306" t="s">
        <v>3706</v>
      </c>
      <c r="C40" s="32" t="s">
        <v>3699</v>
      </c>
      <c r="D40" s="69">
        <f>$D$5*$C$29/30*1.8</f>
        <v>209593.83393000005</v>
      </c>
      <c r="E40" s="69">
        <f ca="1">SUM(MObra[[#This Row],[CAP1]:[CAP29]])</f>
        <v>0</v>
      </c>
      <c r="F40" s="69">
        <f ca="1">SUMIF('CAP1-3'!$B:$H,MObra[[#This Row],[DESCRIPCION]],'CAP1-3'!$H:$H)</f>
        <v>0</v>
      </c>
      <c r="G40" s="69">
        <f ca="1">SUMIF('CAP4-5'!$B:$H,MObra[[#This Row],[DESCRIPCION]],'CAP4-5'!$H:$H)</f>
        <v>0</v>
      </c>
      <c r="H40" s="69">
        <f ca="1">SUMIF('CAP6-7'!$B:$H,MObra[[#This Row],[DESCRIPCION]],'CAP6-7'!$H:$H)</f>
        <v>0</v>
      </c>
      <c r="I40" s="69">
        <f ca="1">SUMIF('CAP8'!$B:$H,MObra[[#This Row],[DESCRIPCION]],'CAP8'!$H:$H)</f>
        <v>0</v>
      </c>
      <c r="J40" s="69">
        <f ca="1">SUMIF('CAP9-13'!$B:$H,MObra[[#This Row],[DESCRIPCION]],'CAP9-13'!$H:$H)</f>
        <v>0</v>
      </c>
      <c r="K40" s="69">
        <f ca="1">SUMIF('CAP14-15'!$B:$H,MObra[[#This Row],[DESCRIPCION]],'CAP14-15'!$H:$H)</f>
        <v>0</v>
      </c>
      <c r="L40" s="69">
        <f ca="1">SUMIF('CAP16-18'!$B:$H,MObra[[#This Row],[DESCRIPCION]],'CAP16-18'!$H:$H)</f>
        <v>0</v>
      </c>
      <c r="M40" s="69">
        <f ca="1">SUMIF('CAP19-22'!$B:$H,MObra[[#This Row],[DESCRIPCION]],'CAP19-22'!$H:$H)</f>
        <v>0</v>
      </c>
      <c r="N40" s="69">
        <f ca="1">SUMIF('CAP23-24'!$B:$H,MObra[[#This Row],[DESCRIPCION]],'CAP23-24'!$H:$H)</f>
        <v>0</v>
      </c>
      <c r="O40" s="69">
        <f ca="1">SUMIF('CAP25'!$B:$H,MObra[[#This Row],[DESCRIPCION]],'CAP25'!$H:$H)</f>
        <v>0</v>
      </c>
      <c r="P40" s="69">
        <f ca="1">SUMIF('CAP26-28'!$B:$H,MObra[[#This Row],[DESCRIPCION]],'CAP26-28'!$H:$H)</f>
        <v>0</v>
      </c>
      <c r="Q40" s="69">
        <f ca="1">SUMIF('CAP29'!$B:$H,MObra[[#This Row],[DESCRIPCION]],'CAP29'!$H:$H)</f>
        <v>0</v>
      </c>
    </row>
    <row r="41" spans="2:17">
      <c r="B41" s="306" t="s">
        <v>3707</v>
      </c>
      <c r="C41" s="32" t="s">
        <v>3699</v>
      </c>
      <c r="D41" s="69">
        <f>$D$5*$C$29/30*2.5</f>
        <v>291102.54712500004</v>
      </c>
      <c r="E41" s="69">
        <f ca="1">SUM(MObra[[#This Row],[CAP1]:[CAP29]])</f>
        <v>0</v>
      </c>
      <c r="F41" s="69">
        <f ca="1">SUMIF('CAP1-3'!$B:$H,MObra[[#This Row],[DESCRIPCION]],'CAP1-3'!$H:$H)</f>
        <v>0</v>
      </c>
      <c r="G41" s="69">
        <f ca="1">SUMIF('CAP4-5'!$B:$H,MObra[[#This Row],[DESCRIPCION]],'CAP4-5'!$H:$H)</f>
        <v>0</v>
      </c>
      <c r="H41" s="69">
        <f ca="1">SUMIF('CAP6-7'!$B:$H,MObra[[#This Row],[DESCRIPCION]],'CAP6-7'!$H:$H)</f>
        <v>0</v>
      </c>
      <c r="I41" s="69">
        <f ca="1">SUMIF('CAP8'!$B:$H,MObra[[#This Row],[DESCRIPCION]],'CAP8'!$H:$H)</f>
        <v>0</v>
      </c>
      <c r="J41" s="69">
        <f ca="1">SUMIF('CAP9-13'!$B:$H,MObra[[#This Row],[DESCRIPCION]],'CAP9-13'!$H:$H)</f>
        <v>0</v>
      </c>
      <c r="K41" s="69">
        <f ca="1">SUMIF('CAP14-15'!$B:$H,MObra[[#This Row],[DESCRIPCION]],'CAP14-15'!$H:$H)</f>
        <v>0</v>
      </c>
      <c r="L41" s="69">
        <f ca="1">SUMIF('CAP16-18'!$B:$H,MObra[[#This Row],[DESCRIPCION]],'CAP16-18'!$H:$H)</f>
        <v>0</v>
      </c>
      <c r="M41" s="69">
        <f ca="1">SUMIF('CAP19-22'!$B:$H,MObra[[#This Row],[DESCRIPCION]],'CAP19-22'!$H:$H)</f>
        <v>0</v>
      </c>
      <c r="N41" s="69">
        <f ca="1">SUMIF('CAP23-24'!$B:$H,MObra[[#This Row],[DESCRIPCION]],'CAP23-24'!$H:$H)</f>
        <v>0</v>
      </c>
      <c r="O41" s="69">
        <f ca="1">SUMIF('CAP25'!$B:$H,MObra[[#This Row],[DESCRIPCION]],'CAP25'!$H:$H)</f>
        <v>0</v>
      </c>
      <c r="P41" s="69">
        <f ca="1">SUMIF('CAP26-28'!$B:$H,MObra[[#This Row],[DESCRIPCION]],'CAP26-28'!$H:$H)</f>
        <v>0</v>
      </c>
      <c r="Q41" s="69">
        <f ca="1">SUMIF('CAP29'!$B:$H,MObra[[#This Row],[DESCRIPCION]],'CAP29'!$H:$H)</f>
        <v>0</v>
      </c>
    </row>
    <row r="42" spans="2:17">
      <c r="B42" s="306" t="s">
        <v>3708</v>
      </c>
      <c r="C42" s="32" t="s">
        <v>3699</v>
      </c>
      <c r="D42" s="69">
        <f>$D$5*$C$29/30*2</f>
        <v>232882.03770000004</v>
      </c>
      <c r="E42" s="69">
        <f ca="1">SUM(MObra[[#This Row],[CAP1]:[CAP29]])</f>
        <v>0</v>
      </c>
      <c r="F42" s="69">
        <f ca="1">SUMIF('CAP1-3'!$B:$H,MObra[[#This Row],[DESCRIPCION]],'CAP1-3'!$H:$H)</f>
        <v>0</v>
      </c>
      <c r="G42" s="69">
        <f ca="1">SUMIF('CAP4-5'!$B:$H,MObra[[#This Row],[DESCRIPCION]],'CAP4-5'!$H:$H)</f>
        <v>0</v>
      </c>
      <c r="H42" s="69">
        <f ca="1">SUMIF('CAP6-7'!$B:$H,MObra[[#This Row],[DESCRIPCION]],'CAP6-7'!$H:$H)</f>
        <v>0</v>
      </c>
      <c r="I42" s="69">
        <f ca="1">SUMIF('CAP8'!$B:$H,MObra[[#This Row],[DESCRIPCION]],'CAP8'!$H:$H)</f>
        <v>0</v>
      </c>
      <c r="J42" s="69">
        <f ca="1">SUMIF('CAP9-13'!$B:$H,MObra[[#This Row],[DESCRIPCION]],'CAP9-13'!$H:$H)</f>
        <v>0</v>
      </c>
      <c r="K42" s="69">
        <f ca="1">SUMIF('CAP14-15'!$B:$H,MObra[[#This Row],[DESCRIPCION]],'CAP14-15'!$H:$H)</f>
        <v>0</v>
      </c>
      <c r="L42" s="69">
        <f ca="1">SUMIF('CAP16-18'!$B:$H,MObra[[#This Row],[DESCRIPCION]],'CAP16-18'!$H:$H)</f>
        <v>0</v>
      </c>
      <c r="M42" s="69">
        <f ca="1">SUMIF('CAP19-22'!$B:$H,MObra[[#This Row],[DESCRIPCION]],'CAP19-22'!$H:$H)</f>
        <v>0</v>
      </c>
      <c r="N42" s="69">
        <f ca="1">SUMIF('CAP23-24'!$B:$H,MObra[[#This Row],[DESCRIPCION]],'CAP23-24'!$H:$H)</f>
        <v>0</v>
      </c>
      <c r="O42" s="69">
        <f ca="1">SUMIF('CAP25'!$B:$H,MObra[[#This Row],[DESCRIPCION]],'CAP25'!$H:$H)</f>
        <v>0</v>
      </c>
      <c r="P42" s="69">
        <f ca="1">SUMIF('CAP26-28'!$B:$H,MObra[[#This Row],[DESCRIPCION]],'CAP26-28'!$H:$H)</f>
        <v>0</v>
      </c>
      <c r="Q42" s="69">
        <f ca="1">SUMIF('CAP29'!$B:$H,MObra[[#This Row],[DESCRIPCION]],'CAP29'!$H:$H)</f>
        <v>0</v>
      </c>
    </row>
    <row r="43" spans="2:17">
      <c r="B43" s="266" t="s">
        <v>3709</v>
      </c>
      <c r="C43" s="32" t="s">
        <v>3699</v>
      </c>
      <c r="D43" s="69">
        <f>D42+D36+D37*2</f>
        <v>593849.19613500009</v>
      </c>
      <c r="E43" s="69">
        <f ca="1">SUM(MObra[[#This Row],[CAP1]:[CAP29]])</f>
        <v>0</v>
      </c>
      <c r="F43" s="69">
        <f ca="1">SUMIF('CAP1-3'!$B:$H,MObra[[#This Row],[DESCRIPCION]],'CAP1-3'!$H:$H)</f>
        <v>0</v>
      </c>
      <c r="G43" s="69">
        <f ca="1">SUMIF('CAP4-5'!$B:$H,MObra[[#This Row],[DESCRIPCION]],'CAP4-5'!$H:$H)</f>
        <v>0</v>
      </c>
      <c r="H43" s="69">
        <f ca="1">SUMIF('CAP6-7'!$B:$H,MObra[[#This Row],[DESCRIPCION]],'CAP6-7'!$H:$H)</f>
        <v>0</v>
      </c>
      <c r="I43" s="69">
        <f ca="1">SUMIF('CAP8'!$B:$H,MObra[[#This Row],[DESCRIPCION]],'CAP8'!$H:$H)</f>
        <v>0</v>
      </c>
      <c r="J43" s="69">
        <f ca="1">SUMIF('CAP9-13'!$B:$H,MObra[[#This Row],[DESCRIPCION]],'CAP9-13'!$H:$H)</f>
        <v>0</v>
      </c>
      <c r="K43" s="69">
        <f ca="1">SUMIF('CAP14-15'!$B:$H,MObra[[#This Row],[DESCRIPCION]],'CAP14-15'!$H:$H)</f>
        <v>0</v>
      </c>
      <c r="L43" s="69">
        <f ca="1">SUMIF('CAP16-18'!$B:$H,MObra[[#This Row],[DESCRIPCION]],'CAP16-18'!$H:$H)</f>
        <v>0</v>
      </c>
      <c r="M43" s="69">
        <f ca="1">SUMIF('CAP19-22'!$B:$H,MObra[[#This Row],[DESCRIPCION]],'CAP19-22'!$H:$H)</f>
        <v>0</v>
      </c>
      <c r="N43" s="69">
        <f ca="1">SUMIF('CAP23-24'!$B:$H,MObra[[#This Row],[DESCRIPCION]],'CAP23-24'!$H:$H)</f>
        <v>0</v>
      </c>
      <c r="O43" s="69">
        <f ca="1">SUMIF('CAP25'!$B:$H,MObra[[#This Row],[DESCRIPCION]],'CAP25'!$H:$H)</f>
        <v>0</v>
      </c>
      <c r="P43" s="69">
        <f ca="1">SUMIF('CAP26-28'!$B:$H,MObra[[#This Row],[DESCRIPCION]],'CAP26-28'!$H:$H)</f>
        <v>0</v>
      </c>
      <c r="Q43" s="69">
        <f ca="1">SUMIF('CAP29'!$B:$H,MObra[[#This Row],[DESCRIPCION]],'CAP29'!$H:$H)</f>
        <v>0</v>
      </c>
    </row>
    <row r="44" spans="2:17">
      <c r="B44" s="266" t="s">
        <v>3710</v>
      </c>
      <c r="C44" s="32" t="s">
        <v>3699</v>
      </c>
      <c r="D44" s="69">
        <f>$D$33*1+$D$39*1</f>
        <v>314390.75089500006</v>
      </c>
      <c r="E44" s="69">
        <f ca="1">SUM(MObra[[#This Row],[CAP1]:[CAP29]])</f>
        <v>0</v>
      </c>
      <c r="F44" s="69">
        <f ca="1">SUMIF('CAP1-3'!$B:$H,MObra[[#This Row],[DESCRIPCION]],'CAP1-3'!$H:$H)</f>
        <v>0</v>
      </c>
      <c r="G44" s="69">
        <f ca="1">SUMIF('CAP4-5'!$B:$H,MObra[[#This Row],[DESCRIPCION]],'CAP4-5'!$H:$H)</f>
        <v>0</v>
      </c>
      <c r="H44" s="69">
        <f ca="1">SUMIF('CAP6-7'!$B:$H,MObra[[#This Row],[DESCRIPCION]],'CAP6-7'!$H:$H)</f>
        <v>0</v>
      </c>
      <c r="I44" s="69">
        <f ca="1">SUMIF('CAP8'!$B:$H,MObra[[#This Row],[DESCRIPCION]],'CAP8'!$H:$H)</f>
        <v>0</v>
      </c>
      <c r="J44" s="69">
        <f ca="1">SUMIF('CAP9-13'!$B:$H,MObra[[#This Row],[DESCRIPCION]],'CAP9-13'!$H:$H)</f>
        <v>0</v>
      </c>
      <c r="K44" s="69">
        <f ca="1">SUMIF('CAP14-15'!$B:$H,MObra[[#This Row],[DESCRIPCION]],'CAP14-15'!$H:$H)</f>
        <v>0</v>
      </c>
      <c r="L44" s="69">
        <f ca="1">SUMIF('CAP16-18'!$B:$H,MObra[[#This Row],[DESCRIPCION]],'CAP16-18'!$H:$H)</f>
        <v>0</v>
      </c>
      <c r="M44" s="69">
        <f ca="1">SUMIF('CAP19-22'!$B:$H,MObra[[#This Row],[DESCRIPCION]],'CAP19-22'!$H:$H)</f>
        <v>0</v>
      </c>
      <c r="N44" s="69">
        <f ca="1">SUMIF('CAP23-24'!$B:$H,MObra[[#This Row],[DESCRIPCION]],'CAP23-24'!$H:$H)</f>
        <v>0</v>
      </c>
      <c r="O44" s="69">
        <f ca="1">SUMIF('CAP25'!$B:$H,MObra[[#This Row],[DESCRIPCION]],'CAP25'!$H:$H)</f>
        <v>0</v>
      </c>
      <c r="P44" s="69">
        <f ca="1">SUMIF('CAP26-28'!$B:$H,MObra[[#This Row],[DESCRIPCION]],'CAP26-28'!$H:$H)</f>
        <v>0</v>
      </c>
      <c r="Q44" s="69">
        <f ca="1">SUMIF('CAP29'!$B:$H,MObra[[#This Row],[DESCRIPCION]],'CAP29'!$H:$H)</f>
        <v>0</v>
      </c>
    </row>
    <row r="45" spans="2:17">
      <c r="B45" s="266" t="s">
        <v>3711</v>
      </c>
      <c r="C45" s="32" t="s">
        <v>3699</v>
      </c>
      <c r="D45" s="69">
        <f>$D$33*2+$D$39*1</f>
        <v>430831.76974500006</v>
      </c>
      <c r="E45" s="69">
        <f ca="1">SUM(MObra[[#This Row],[CAP1]:[CAP29]])</f>
        <v>0</v>
      </c>
      <c r="F45" s="69">
        <f ca="1">SUMIF('CAP1-3'!$B:$H,MObra[[#This Row],[DESCRIPCION]],'CAP1-3'!$H:$H)</f>
        <v>0</v>
      </c>
      <c r="G45" s="69">
        <f ca="1">SUMIF('CAP4-5'!$B:$H,MObra[[#This Row],[DESCRIPCION]],'CAP4-5'!$H:$H)</f>
        <v>0</v>
      </c>
      <c r="H45" s="69">
        <f ca="1">SUMIF('CAP6-7'!$B:$H,MObra[[#This Row],[DESCRIPCION]],'CAP6-7'!$H:$H)</f>
        <v>0</v>
      </c>
      <c r="I45" s="69">
        <f ca="1">SUMIF('CAP8'!$B:$H,MObra[[#This Row],[DESCRIPCION]],'CAP8'!$H:$H)</f>
        <v>0</v>
      </c>
      <c r="J45" s="69">
        <f ca="1">SUMIF('CAP9-13'!$B:$H,MObra[[#This Row],[DESCRIPCION]],'CAP9-13'!$H:$H)</f>
        <v>0</v>
      </c>
      <c r="K45" s="69">
        <f ca="1">SUMIF('CAP14-15'!$B:$H,MObra[[#This Row],[DESCRIPCION]],'CAP14-15'!$H:$H)</f>
        <v>0</v>
      </c>
      <c r="L45" s="69">
        <f ca="1">SUMIF('CAP16-18'!$B:$H,MObra[[#This Row],[DESCRIPCION]],'CAP16-18'!$H:$H)</f>
        <v>0</v>
      </c>
      <c r="M45" s="69">
        <f ca="1">SUMIF('CAP19-22'!$B:$H,MObra[[#This Row],[DESCRIPCION]],'CAP19-22'!$H:$H)</f>
        <v>0</v>
      </c>
      <c r="N45" s="69">
        <f ca="1">SUMIF('CAP23-24'!$B:$H,MObra[[#This Row],[DESCRIPCION]],'CAP23-24'!$H:$H)</f>
        <v>0</v>
      </c>
      <c r="O45" s="69">
        <f ca="1">SUMIF('CAP25'!$B:$H,MObra[[#This Row],[DESCRIPCION]],'CAP25'!$H:$H)</f>
        <v>0</v>
      </c>
      <c r="P45" s="69">
        <f ca="1">SUMIF('CAP26-28'!$B:$H,MObra[[#This Row],[DESCRIPCION]],'CAP26-28'!$H:$H)</f>
        <v>0</v>
      </c>
      <c r="Q45" s="69">
        <f ca="1">SUMIF('CAP29'!$B:$H,MObra[[#This Row],[DESCRIPCION]],'CAP29'!$H:$H)</f>
        <v>0</v>
      </c>
    </row>
    <row r="46" spans="2:17">
      <c r="B46" s="266" t="s">
        <v>3712</v>
      </c>
      <c r="C46" s="32" t="s">
        <v>3699</v>
      </c>
      <c r="D46" s="69">
        <f>$D$33*3+$D$39*1</f>
        <v>547272.78859500017</v>
      </c>
      <c r="E46" s="69">
        <f ca="1">SUM(MObra[[#This Row],[CAP1]:[CAP29]])</f>
        <v>0</v>
      </c>
      <c r="F46" s="69">
        <f ca="1">SUMIF('CAP1-3'!$B:$H,MObra[[#This Row],[DESCRIPCION]],'CAP1-3'!$H:$H)</f>
        <v>0</v>
      </c>
      <c r="G46" s="69">
        <f ca="1">SUMIF('CAP4-5'!$B:$H,MObra[[#This Row],[DESCRIPCION]],'CAP4-5'!$H:$H)</f>
        <v>0</v>
      </c>
      <c r="H46" s="69">
        <f ca="1">SUMIF('CAP6-7'!$B:$H,MObra[[#This Row],[DESCRIPCION]],'CAP6-7'!$H:$H)</f>
        <v>0</v>
      </c>
      <c r="I46" s="69">
        <f ca="1">SUMIF('CAP8'!$B:$H,MObra[[#This Row],[DESCRIPCION]],'CAP8'!$H:$H)</f>
        <v>0</v>
      </c>
      <c r="J46" s="69">
        <f ca="1">SUMIF('CAP9-13'!$B:$H,MObra[[#This Row],[DESCRIPCION]],'CAP9-13'!$H:$H)</f>
        <v>0</v>
      </c>
      <c r="K46" s="69">
        <f ca="1">SUMIF('CAP14-15'!$B:$H,MObra[[#This Row],[DESCRIPCION]],'CAP14-15'!$H:$H)</f>
        <v>0</v>
      </c>
      <c r="L46" s="69">
        <f ca="1">SUMIF('CAP16-18'!$B:$H,MObra[[#This Row],[DESCRIPCION]],'CAP16-18'!$H:$H)</f>
        <v>0</v>
      </c>
      <c r="M46" s="69">
        <f ca="1">SUMIF('CAP19-22'!$B:$H,MObra[[#This Row],[DESCRIPCION]],'CAP19-22'!$H:$H)</f>
        <v>0</v>
      </c>
      <c r="N46" s="69">
        <f ca="1">SUMIF('CAP23-24'!$B:$H,MObra[[#This Row],[DESCRIPCION]],'CAP23-24'!$H:$H)</f>
        <v>0</v>
      </c>
      <c r="O46" s="69">
        <f ca="1">SUMIF('CAP25'!$B:$H,MObra[[#This Row],[DESCRIPCION]],'CAP25'!$H:$H)</f>
        <v>0</v>
      </c>
      <c r="P46" s="69">
        <f ca="1">SUMIF('CAP26-28'!$B:$H,MObra[[#This Row],[DESCRIPCION]],'CAP26-28'!$H:$H)</f>
        <v>0</v>
      </c>
      <c r="Q46" s="69">
        <f ca="1">SUMIF('CAP29'!$B:$H,MObra[[#This Row],[DESCRIPCION]],'CAP29'!$H:$H)</f>
        <v>0</v>
      </c>
    </row>
    <row r="47" spans="2:17">
      <c r="B47" s="266" t="s">
        <v>3713</v>
      </c>
      <c r="C47" s="32" t="s">
        <v>3699</v>
      </c>
      <c r="D47" s="69">
        <f>$D$33*4+$D$39*1</f>
        <v>663713.80744500016</v>
      </c>
      <c r="E47" s="69">
        <f ca="1">SUM(MObra[[#This Row],[CAP1]:[CAP29]])</f>
        <v>0</v>
      </c>
      <c r="F47" s="69">
        <f ca="1">SUMIF('CAP1-3'!$B:$H,MObra[[#This Row],[DESCRIPCION]],'CAP1-3'!$H:$H)</f>
        <v>0</v>
      </c>
      <c r="G47" s="69">
        <f ca="1">SUMIF('CAP4-5'!$B:$H,MObra[[#This Row],[DESCRIPCION]],'CAP4-5'!$H:$H)</f>
        <v>0</v>
      </c>
      <c r="H47" s="69">
        <f ca="1">SUMIF('CAP6-7'!$B:$H,MObra[[#This Row],[DESCRIPCION]],'CAP6-7'!$H:$H)</f>
        <v>0</v>
      </c>
      <c r="I47" s="69">
        <f ca="1">SUMIF('CAP8'!$B:$H,MObra[[#This Row],[DESCRIPCION]],'CAP8'!$H:$H)</f>
        <v>0</v>
      </c>
      <c r="J47" s="69">
        <f ca="1">SUMIF('CAP9-13'!$B:$H,MObra[[#This Row],[DESCRIPCION]],'CAP9-13'!$H:$H)</f>
        <v>0</v>
      </c>
      <c r="K47" s="69">
        <f ca="1">SUMIF('CAP14-15'!$B:$H,MObra[[#This Row],[DESCRIPCION]],'CAP14-15'!$H:$H)</f>
        <v>0</v>
      </c>
      <c r="L47" s="69">
        <f ca="1">SUMIF('CAP16-18'!$B:$H,MObra[[#This Row],[DESCRIPCION]],'CAP16-18'!$H:$H)</f>
        <v>0</v>
      </c>
      <c r="M47" s="69">
        <f ca="1">SUMIF('CAP19-22'!$B:$H,MObra[[#This Row],[DESCRIPCION]],'CAP19-22'!$H:$H)</f>
        <v>0</v>
      </c>
      <c r="N47" s="69">
        <f ca="1">SUMIF('CAP23-24'!$B:$H,MObra[[#This Row],[DESCRIPCION]],'CAP23-24'!$H:$H)</f>
        <v>0</v>
      </c>
      <c r="O47" s="69">
        <f ca="1">SUMIF('CAP25'!$B:$H,MObra[[#This Row],[DESCRIPCION]],'CAP25'!$H:$H)</f>
        <v>0</v>
      </c>
      <c r="P47" s="69">
        <f ca="1">SUMIF('CAP26-28'!$B:$H,MObra[[#This Row],[DESCRIPCION]],'CAP26-28'!$H:$H)</f>
        <v>0</v>
      </c>
      <c r="Q47" s="69">
        <f ca="1">SUMIF('CAP29'!$B:$H,MObra[[#This Row],[DESCRIPCION]],'CAP29'!$H:$H)</f>
        <v>0</v>
      </c>
    </row>
    <row r="48" spans="2:17">
      <c r="B48" s="266" t="s">
        <v>3714</v>
      </c>
      <c r="C48" s="32" t="s">
        <v>3699</v>
      </c>
      <c r="D48" s="69">
        <f>$D$33*7+$D$39*1</f>
        <v>1013036.8639950003</v>
      </c>
      <c r="E48" s="69">
        <f ca="1">SUM(MObra[[#This Row],[CAP1]:[CAP29]])</f>
        <v>0</v>
      </c>
      <c r="F48" s="69">
        <f ca="1">SUMIF('CAP1-3'!$B:$H,MObra[[#This Row],[DESCRIPCION]],'CAP1-3'!$H:$H)</f>
        <v>0</v>
      </c>
      <c r="G48" s="69">
        <f ca="1">SUMIF('CAP4-5'!$B:$H,MObra[[#This Row],[DESCRIPCION]],'CAP4-5'!$H:$H)</f>
        <v>0</v>
      </c>
      <c r="H48" s="69">
        <f ca="1">SUMIF('CAP6-7'!$B:$H,MObra[[#This Row],[DESCRIPCION]],'CAP6-7'!$H:$H)</f>
        <v>0</v>
      </c>
      <c r="I48" s="69">
        <f ca="1">SUMIF('CAP8'!$B:$H,MObra[[#This Row],[DESCRIPCION]],'CAP8'!$H:$H)</f>
        <v>0</v>
      </c>
      <c r="J48" s="69">
        <f ca="1">SUMIF('CAP9-13'!$B:$H,MObra[[#This Row],[DESCRIPCION]],'CAP9-13'!$H:$H)</f>
        <v>0</v>
      </c>
      <c r="K48" s="69">
        <f ca="1">SUMIF('CAP14-15'!$B:$H,MObra[[#This Row],[DESCRIPCION]],'CAP14-15'!$H:$H)</f>
        <v>0</v>
      </c>
      <c r="L48" s="69">
        <f ca="1">SUMIF('CAP16-18'!$B:$H,MObra[[#This Row],[DESCRIPCION]],'CAP16-18'!$H:$H)</f>
        <v>0</v>
      </c>
      <c r="M48" s="69">
        <f ca="1">SUMIF('CAP19-22'!$B:$H,MObra[[#This Row],[DESCRIPCION]],'CAP19-22'!$H:$H)</f>
        <v>0</v>
      </c>
      <c r="N48" s="69">
        <f ca="1">SUMIF('CAP23-24'!$B:$H,MObra[[#This Row],[DESCRIPCION]],'CAP23-24'!$H:$H)</f>
        <v>0</v>
      </c>
      <c r="O48" s="69">
        <f ca="1">SUMIF('CAP25'!$B:$H,MObra[[#This Row],[DESCRIPCION]],'CAP25'!$H:$H)</f>
        <v>0</v>
      </c>
      <c r="P48" s="69">
        <f ca="1">SUMIF('CAP26-28'!$B:$H,MObra[[#This Row],[DESCRIPCION]],'CAP26-28'!$H:$H)</f>
        <v>0</v>
      </c>
      <c r="Q48" s="69">
        <f ca="1">SUMIF('CAP29'!$B:$H,MObra[[#This Row],[DESCRIPCION]],'CAP29'!$H:$H)</f>
        <v>0</v>
      </c>
    </row>
    <row r="49" spans="2:17">
      <c r="B49" s="266" t="s">
        <v>3715</v>
      </c>
      <c r="C49" s="32" t="s">
        <v>3699</v>
      </c>
      <c r="D49" s="69">
        <f>$D$34*1+$D$40*1</f>
        <v>337678.95466500008</v>
      </c>
      <c r="E49" s="69">
        <f ca="1">SUM(MObra[[#This Row],[CAP1]:[CAP29]])</f>
        <v>0</v>
      </c>
      <c r="F49" s="69">
        <f ca="1">SUMIF('CAP1-3'!$B:$H,MObra[[#This Row],[DESCRIPCION]],'CAP1-3'!$H:$H)</f>
        <v>0</v>
      </c>
      <c r="G49" s="69">
        <f ca="1">SUMIF('CAP4-5'!$B:$H,MObra[[#This Row],[DESCRIPCION]],'CAP4-5'!$H:$H)</f>
        <v>0</v>
      </c>
      <c r="H49" s="69">
        <f ca="1">SUMIF('CAP6-7'!$B:$H,MObra[[#This Row],[DESCRIPCION]],'CAP6-7'!$H:$H)</f>
        <v>0</v>
      </c>
      <c r="I49" s="69">
        <f ca="1">SUMIF('CAP8'!$B:$H,MObra[[#This Row],[DESCRIPCION]],'CAP8'!$H:$H)</f>
        <v>0</v>
      </c>
      <c r="J49" s="69">
        <f ca="1">SUMIF('CAP9-13'!$B:$H,MObra[[#This Row],[DESCRIPCION]],'CAP9-13'!$H:$H)</f>
        <v>0</v>
      </c>
      <c r="K49" s="69">
        <f ca="1">SUMIF('CAP14-15'!$B:$H,MObra[[#This Row],[DESCRIPCION]],'CAP14-15'!$H:$H)</f>
        <v>0</v>
      </c>
      <c r="L49" s="69">
        <f ca="1">SUMIF('CAP16-18'!$B:$H,MObra[[#This Row],[DESCRIPCION]],'CAP16-18'!$H:$H)</f>
        <v>0</v>
      </c>
      <c r="M49" s="69">
        <f ca="1">SUMIF('CAP19-22'!$B:$H,MObra[[#This Row],[DESCRIPCION]],'CAP19-22'!$H:$H)</f>
        <v>0</v>
      </c>
      <c r="N49" s="69">
        <f ca="1">SUMIF('CAP23-24'!$B:$H,MObra[[#This Row],[DESCRIPCION]],'CAP23-24'!$H:$H)</f>
        <v>0</v>
      </c>
      <c r="O49" s="69">
        <f ca="1">SUMIF('CAP25'!$B:$H,MObra[[#This Row],[DESCRIPCION]],'CAP25'!$H:$H)</f>
        <v>0</v>
      </c>
      <c r="P49" s="69">
        <f ca="1">SUMIF('CAP26-28'!$B:$H,MObra[[#This Row],[DESCRIPCION]],'CAP26-28'!$H:$H)</f>
        <v>0</v>
      </c>
      <c r="Q49" s="69">
        <f ca="1">SUMIF('CAP29'!$B:$H,MObra[[#This Row],[DESCRIPCION]],'CAP29'!$H:$H)</f>
        <v>0</v>
      </c>
    </row>
    <row r="50" spans="2:17">
      <c r="B50" s="266" t="s">
        <v>3716</v>
      </c>
      <c r="C50" s="32" t="s">
        <v>3699</v>
      </c>
      <c r="D50" s="69">
        <f>$D$34*2+$D$40*1</f>
        <v>465764.07540000009</v>
      </c>
      <c r="E50" s="69">
        <f ca="1">SUM(MObra[[#This Row],[CAP1]:[CAP29]])</f>
        <v>0</v>
      </c>
      <c r="F50" s="69">
        <f ca="1">SUMIF('CAP1-3'!$B:$H,MObra[[#This Row],[DESCRIPCION]],'CAP1-3'!$H:$H)</f>
        <v>0</v>
      </c>
      <c r="G50" s="69">
        <f ca="1">SUMIF('CAP4-5'!$B:$H,MObra[[#This Row],[DESCRIPCION]],'CAP4-5'!$H:$H)</f>
        <v>0</v>
      </c>
      <c r="H50" s="69">
        <f ca="1">SUMIF('CAP6-7'!$B:$H,MObra[[#This Row],[DESCRIPCION]],'CAP6-7'!$H:$H)</f>
        <v>0</v>
      </c>
      <c r="I50" s="69">
        <f ca="1">SUMIF('CAP8'!$B:$H,MObra[[#This Row],[DESCRIPCION]],'CAP8'!$H:$H)</f>
        <v>0</v>
      </c>
      <c r="J50" s="69">
        <f ca="1">SUMIF('CAP9-13'!$B:$H,MObra[[#This Row],[DESCRIPCION]],'CAP9-13'!$H:$H)</f>
        <v>0</v>
      </c>
      <c r="K50" s="69">
        <f ca="1">SUMIF('CAP14-15'!$B:$H,MObra[[#This Row],[DESCRIPCION]],'CAP14-15'!$H:$H)</f>
        <v>0</v>
      </c>
      <c r="L50" s="69">
        <f ca="1">SUMIF('CAP16-18'!$B:$H,MObra[[#This Row],[DESCRIPCION]],'CAP16-18'!$H:$H)</f>
        <v>0</v>
      </c>
      <c r="M50" s="69">
        <f ca="1">SUMIF('CAP19-22'!$B:$H,MObra[[#This Row],[DESCRIPCION]],'CAP19-22'!$H:$H)</f>
        <v>0</v>
      </c>
      <c r="N50" s="69">
        <f ca="1">SUMIF('CAP23-24'!$B:$H,MObra[[#This Row],[DESCRIPCION]],'CAP23-24'!$H:$H)</f>
        <v>0</v>
      </c>
      <c r="O50" s="69">
        <f ca="1">SUMIF('CAP25'!$B:$H,MObra[[#This Row],[DESCRIPCION]],'CAP25'!$H:$H)</f>
        <v>0</v>
      </c>
      <c r="P50" s="69">
        <f ca="1">SUMIF('CAP26-28'!$B:$H,MObra[[#This Row],[DESCRIPCION]],'CAP26-28'!$H:$H)</f>
        <v>0</v>
      </c>
      <c r="Q50" s="69">
        <f ca="1">SUMIF('CAP29'!$B:$H,MObra[[#This Row],[DESCRIPCION]],'CAP29'!$H:$H)</f>
        <v>0</v>
      </c>
    </row>
    <row r="51" spans="2:17">
      <c r="B51" s="266" t="s">
        <v>3717</v>
      </c>
      <c r="C51" s="32" t="s">
        <v>3699</v>
      </c>
      <c r="D51" s="69">
        <f>$D$34*4+$D$40*1</f>
        <v>721934.31687000021</v>
      </c>
      <c r="E51" s="69">
        <f ca="1">SUM(MObra[[#This Row],[CAP1]:[CAP29]])</f>
        <v>0</v>
      </c>
      <c r="F51" s="69">
        <f ca="1">SUMIF('CAP1-3'!$B:$H,MObra[[#This Row],[DESCRIPCION]],'CAP1-3'!$H:$H)</f>
        <v>0</v>
      </c>
      <c r="G51" s="69">
        <f ca="1">SUMIF('CAP4-5'!$B:$H,MObra[[#This Row],[DESCRIPCION]],'CAP4-5'!$H:$H)</f>
        <v>0</v>
      </c>
      <c r="H51" s="69">
        <f ca="1">SUMIF('CAP6-7'!$B:$H,MObra[[#This Row],[DESCRIPCION]],'CAP6-7'!$H:$H)</f>
        <v>0</v>
      </c>
      <c r="I51" s="69">
        <f ca="1">SUMIF('CAP8'!$B:$H,MObra[[#This Row],[DESCRIPCION]],'CAP8'!$H:$H)</f>
        <v>0</v>
      </c>
      <c r="J51" s="69">
        <f ca="1">SUMIF('CAP9-13'!$B:$H,MObra[[#This Row],[DESCRIPCION]],'CAP9-13'!$H:$H)</f>
        <v>0</v>
      </c>
      <c r="K51" s="69">
        <f ca="1">SUMIF('CAP14-15'!$B:$H,MObra[[#This Row],[DESCRIPCION]],'CAP14-15'!$H:$H)</f>
        <v>0</v>
      </c>
      <c r="L51" s="69">
        <f ca="1">SUMIF('CAP16-18'!$B:$H,MObra[[#This Row],[DESCRIPCION]],'CAP16-18'!$H:$H)</f>
        <v>0</v>
      </c>
      <c r="M51" s="69">
        <f ca="1">SUMIF('CAP19-22'!$B:$H,MObra[[#This Row],[DESCRIPCION]],'CAP19-22'!$H:$H)</f>
        <v>0</v>
      </c>
      <c r="N51" s="69">
        <f ca="1">SUMIF('CAP23-24'!$B:$H,MObra[[#This Row],[DESCRIPCION]],'CAP23-24'!$H:$H)</f>
        <v>0</v>
      </c>
      <c r="O51" s="69">
        <f ca="1">SUMIF('CAP25'!$B:$H,MObra[[#This Row],[DESCRIPCION]],'CAP25'!$H:$H)</f>
        <v>0</v>
      </c>
      <c r="P51" s="69">
        <f ca="1">SUMIF('CAP26-28'!$B:$H,MObra[[#This Row],[DESCRIPCION]],'CAP26-28'!$H:$H)</f>
        <v>0</v>
      </c>
      <c r="Q51" s="69">
        <f ca="1">SUMIF('CAP29'!$B:$H,MObra[[#This Row],[DESCRIPCION]],'CAP29'!$H:$H)</f>
        <v>0</v>
      </c>
    </row>
    <row r="52" spans="2:17">
      <c r="B52" s="266" t="s">
        <v>3718</v>
      </c>
      <c r="C52" s="32" t="s">
        <v>3699</v>
      </c>
      <c r="D52" s="69">
        <f>$D$34*2+$D$40*4</f>
        <v>1094545.5771900003</v>
      </c>
      <c r="E52" s="69">
        <f ca="1">SUM(MObra[[#This Row],[CAP1]:[CAP29]])</f>
        <v>0</v>
      </c>
      <c r="F52" s="69">
        <f ca="1">SUMIF('CAP1-3'!$B:$H,MObra[[#This Row],[DESCRIPCION]],'CAP1-3'!$H:$H)</f>
        <v>0</v>
      </c>
      <c r="G52" s="69">
        <f ca="1">SUMIF('CAP4-5'!$B:$H,MObra[[#This Row],[DESCRIPCION]],'CAP4-5'!$H:$H)</f>
        <v>0</v>
      </c>
      <c r="H52" s="69">
        <f ca="1">SUMIF('CAP6-7'!$B:$H,MObra[[#This Row],[DESCRIPCION]],'CAP6-7'!$H:$H)</f>
        <v>0</v>
      </c>
      <c r="I52" s="69">
        <f ca="1">SUMIF('CAP8'!$B:$H,MObra[[#This Row],[DESCRIPCION]],'CAP8'!$H:$H)</f>
        <v>0</v>
      </c>
      <c r="J52" s="69">
        <f ca="1">SUMIF('CAP9-13'!$B:$H,MObra[[#This Row],[DESCRIPCION]],'CAP9-13'!$H:$H)</f>
        <v>0</v>
      </c>
      <c r="K52" s="69">
        <f ca="1">SUMIF('CAP14-15'!$B:$H,MObra[[#This Row],[DESCRIPCION]],'CAP14-15'!$H:$H)</f>
        <v>0</v>
      </c>
      <c r="L52" s="69">
        <f ca="1">SUMIF('CAP16-18'!$B:$H,MObra[[#This Row],[DESCRIPCION]],'CAP16-18'!$H:$H)</f>
        <v>0</v>
      </c>
      <c r="M52" s="69">
        <f ca="1">SUMIF('CAP19-22'!$B:$H,MObra[[#This Row],[DESCRIPCION]],'CAP19-22'!$H:$H)</f>
        <v>0</v>
      </c>
      <c r="N52" s="69">
        <f ca="1">SUMIF('CAP23-24'!$B:$H,MObra[[#This Row],[DESCRIPCION]],'CAP23-24'!$H:$H)</f>
        <v>0</v>
      </c>
      <c r="O52" s="69">
        <f ca="1">SUMIF('CAP25'!$B:$H,MObra[[#This Row],[DESCRIPCION]],'CAP25'!$H:$H)</f>
        <v>0</v>
      </c>
      <c r="P52" s="69">
        <f ca="1">SUMIF('CAP26-28'!$B:$H,MObra[[#This Row],[DESCRIPCION]],'CAP26-28'!$H:$H)</f>
        <v>0</v>
      </c>
      <c r="Q52" s="69">
        <f ca="1">SUMIF('CAP29'!$B:$H,MObra[[#This Row],[DESCRIPCION]],'CAP29'!$H:$H)</f>
        <v>0</v>
      </c>
    </row>
    <row r="53" spans="2:17">
      <c r="B53" s="266" t="s">
        <v>3719</v>
      </c>
      <c r="C53" s="32" t="s">
        <v>3699</v>
      </c>
      <c r="D53" s="69">
        <f>$D$33*2+$D$39*0</f>
        <v>232882.03770000004</v>
      </c>
      <c r="E53" s="69">
        <f ca="1">SUM(MObra[[#This Row],[CAP1]:[CAP29]])</f>
        <v>0</v>
      </c>
      <c r="F53" s="69">
        <f ca="1">SUMIF('CAP1-3'!$B:$H,MObra[[#This Row],[DESCRIPCION]],'CAP1-3'!$H:$H)</f>
        <v>0</v>
      </c>
      <c r="G53" s="69">
        <f ca="1">SUMIF('CAP4-5'!$B:$H,MObra[[#This Row],[DESCRIPCION]],'CAP4-5'!$H:$H)</f>
        <v>0</v>
      </c>
      <c r="H53" s="69">
        <f ca="1">SUMIF('CAP6-7'!$B:$H,MObra[[#This Row],[DESCRIPCION]],'CAP6-7'!$H:$H)</f>
        <v>0</v>
      </c>
      <c r="I53" s="69">
        <f ca="1">SUMIF('CAP8'!$B:$H,MObra[[#This Row],[DESCRIPCION]],'CAP8'!$H:$H)</f>
        <v>0</v>
      </c>
      <c r="J53" s="69">
        <f ca="1">SUMIF('CAP9-13'!$B:$H,MObra[[#This Row],[DESCRIPCION]],'CAP9-13'!$H:$H)</f>
        <v>0</v>
      </c>
      <c r="K53" s="69">
        <f ca="1">SUMIF('CAP14-15'!$B:$H,MObra[[#This Row],[DESCRIPCION]],'CAP14-15'!$H:$H)</f>
        <v>0</v>
      </c>
      <c r="L53" s="69">
        <f ca="1">SUMIF('CAP16-18'!$B:$H,MObra[[#This Row],[DESCRIPCION]],'CAP16-18'!$H:$H)</f>
        <v>0</v>
      </c>
      <c r="M53" s="69">
        <f ca="1">SUMIF('CAP19-22'!$B:$H,MObra[[#This Row],[DESCRIPCION]],'CAP19-22'!$H:$H)</f>
        <v>0</v>
      </c>
      <c r="N53" s="69">
        <f ca="1">SUMIF('CAP23-24'!$B:$H,MObra[[#This Row],[DESCRIPCION]],'CAP23-24'!$H:$H)</f>
        <v>0</v>
      </c>
      <c r="O53" s="69">
        <f ca="1">SUMIF('CAP25'!$B:$H,MObra[[#This Row],[DESCRIPCION]],'CAP25'!$H:$H)</f>
        <v>0</v>
      </c>
      <c r="P53" s="69">
        <f ca="1">SUMIF('CAP26-28'!$B:$H,MObra[[#This Row],[DESCRIPCION]],'CAP26-28'!$H:$H)</f>
        <v>0</v>
      </c>
      <c r="Q53" s="69">
        <f ca="1">SUMIF('CAP29'!$B:$H,MObra[[#This Row],[DESCRIPCION]],'CAP29'!$H:$H)</f>
        <v>0</v>
      </c>
    </row>
    <row r="54" spans="2:17">
      <c r="B54" s="266" t="s">
        <v>3720</v>
      </c>
      <c r="C54" s="32" t="s">
        <v>3699</v>
      </c>
      <c r="D54" s="69">
        <f>$D$33*1+$D$39*2+$D$35</f>
        <v>640425.60367500014</v>
      </c>
      <c r="E54" s="69">
        <f ca="1">SUM(MObra[[#This Row],[CAP1]:[CAP29]])</f>
        <v>0</v>
      </c>
      <c r="F54" s="69">
        <f ca="1">SUMIF('CAP1-3'!$B:$H,MObra[[#This Row],[DESCRIPCION]],'CAP1-3'!$H:$H)</f>
        <v>0</v>
      </c>
      <c r="G54" s="69">
        <f ca="1">SUMIF('CAP4-5'!$B:$H,MObra[[#This Row],[DESCRIPCION]],'CAP4-5'!$H:$H)</f>
        <v>0</v>
      </c>
      <c r="H54" s="69">
        <f ca="1">SUMIF('CAP6-7'!$B:$H,MObra[[#This Row],[DESCRIPCION]],'CAP6-7'!$H:$H)</f>
        <v>0</v>
      </c>
      <c r="I54" s="69">
        <f ca="1">SUMIF('CAP8'!$B:$H,MObra[[#This Row],[DESCRIPCION]],'CAP8'!$H:$H)</f>
        <v>0</v>
      </c>
      <c r="J54" s="69">
        <f ca="1">SUMIF('CAP9-13'!$B:$H,MObra[[#This Row],[DESCRIPCION]],'CAP9-13'!$H:$H)</f>
        <v>0</v>
      </c>
      <c r="K54" s="69">
        <f ca="1">SUMIF('CAP14-15'!$B:$H,MObra[[#This Row],[DESCRIPCION]],'CAP14-15'!$H:$H)</f>
        <v>0</v>
      </c>
      <c r="L54" s="69">
        <f ca="1">SUMIF('CAP16-18'!$B:$H,MObra[[#This Row],[DESCRIPCION]],'CAP16-18'!$H:$H)</f>
        <v>0</v>
      </c>
      <c r="M54" s="69">
        <f ca="1">SUMIF('CAP19-22'!$B:$H,MObra[[#This Row],[DESCRIPCION]],'CAP19-22'!$H:$H)</f>
        <v>0</v>
      </c>
      <c r="N54" s="69">
        <f ca="1">SUMIF('CAP23-24'!$B:$H,MObra[[#This Row],[DESCRIPCION]],'CAP23-24'!$H:$H)</f>
        <v>0</v>
      </c>
      <c r="O54" s="69">
        <f ca="1">SUMIF('CAP25'!$B:$H,MObra[[#This Row],[DESCRIPCION]],'CAP25'!$H:$H)</f>
        <v>0</v>
      </c>
      <c r="P54" s="69">
        <f ca="1">SUMIF('CAP26-28'!$B:$H,MObra[[#This Row],[DESCRIPCION]],'CAP26-28'!$H:$H)</f>
        <v>0</v>
      </c>
      <c r="Q54" s="69">
        <f ca="1">SUMIF('CAP29'!$B:$H,MObra[[#This Row],[DESCRIPCION]],'CAP29'!$H:$H)</f>
        <v>0</v>
      </c>
    </row>
    <row r="55" spans="2:17">
      <c r="B55" s="266" t="s">
        <v>3721</v>
      </c>
      <c r="C55" s="32" t="s">
        <v>3699</v>
      </c>
      <c r="D55" s="69">
        <f>$D$33*4+$D$39*2</f>
        <v>861663.53949000011</v>
      </c>
      <c r="E55" s="69">
        <f ca="1">SUM(MObra[[#This Row],[CAP1]:[CAP29]])</f>
        <v>0</v>
      </c>
      <c r="F55" s="69">
        <f ca="1">SUMIF('CAP1-3'!$B:$H,MObra[[#This Row],[DESCRIPCION]],'CAP1-3'!$H:$H)</f>
        <v>0</v>
      </c>
      <c r="G55" s="69">
        <f ca="1">SUMIF('CAP4-5'!$B:$H,MObra[[#This Row],[DESCRIPCION]],'CAP4-5'!$H:$H)</f>
        <v>0</v>
      </c>
      <c r="H55" s="69">
        <f ca="1">SUMIF('CAP6-7'!$B:$H,MObra[[#This Row],[DESCRIPCION]],'CAP6-7'!$H:$H)</f>
        <v>0</v>
      </c>
      <c r="I55" s="69">
        <f ca="1">SUMIF('CAP8'!$B:$H,MObra[[#This Row],[DESCRIPCION]],'CAP8'!$H:$H)</f>
        <v>0</v>
      </c>
      <c r="J55" s="69">
        <f ca="1">SUMIF('CAP9-13'!$B:$H,MObra[[#This Row],[DESCRIPCION]],'CAP9-13'!$H:$H)</f>
        <v>0</v>
      </c>
      <c r="K55" s="69">
        <f ca="1">SUMIF('CAP14-15'!$B:$H,MObra[[#This Row],[DESCRIPCION]],'CAP14-15'!$H:$H)</f>
        <v>0</v>
      </c>
      <c r="L55" s="69">
        <f ca="1">SUMIF('CAP16-18'!$B:$H,MObra[[#This Row],[DESCRIPCION]],'CAP16-18'!$H:$H)</f>
        <v>0</v>
      </c>
      <c r="M55" s="69">
        <f ca="1">SUMIF('CAP19-22'!$B:$H,MObra[[#This Row],[DESCRIPCION]],'CAP19-22'!$H:$H)</f>
        <v>0</v>
      </c>
      <c r="N55" s="69">
        <f ca="1">SUMIF('CAP23-24'!$B:$H,MObra[[#This Row],[DESCRIPCION]],'CAP23-24'!$H:$H)</f>
        <v>0</v>
      </c>
      <c r="O55" s="69">
        <f ca="1">SUMIF('CAP25'!$B:$H,MObra[[#This Row],[DESCRIPCION]],'CAP25'!$H:$H)</f>
        <v>0</v>
      </c>
      <c r="P55" s="69">
        <f ca="1">SUMIF('CAP26-28'!$B:$H,MObra[[#This Row],[DESCRIPCION]],'CAP26-28'!$H:$H)</f>
        <v>0</v>
      </c>
      <c r="Q55" s="69">
        <f ca="1">SUMIF('CAP29'!$B:$H,MObra[[#This Row],[DESCRIPCION]],'CAP29'!$H:$H)</f>
        <v>0</v>
      </c>
    </row>
    <row r="56" spans="2:17">
      <c r="B56" s="266" t="s">
        <v>3722</v>
      </c>
      <c r="C56" s="32" t="s">
        <v>3699</v>
      </c>
      <c r="D56" s="69">
        <f>$D$33*3+$D$39*0</f>
        <v>349323.0565500001</v>
      </c>
      <c r="E56" s="69">
        <f ca="1">SUM(MObra[[#This Row],[CAP1]:[CAP29]])</f>
        <v>0</v>
      </c>
      <c r="F56" s="69">
        <f ca="1">SUMIF('CAP1-3'!$B:$H,MObra[[#This Row],[DESCRIPCION]],'CAP1-3'!$H:$H)</f>
        <v>0</v>
      </c>
      <c r="G56" s="69">
        <f ca="1">SUMIF('CAP4-5'!$B:$H,MObra[[#This Row],[DESCRIPCION]],'CAP4-5'!$H:$H)</f>
        <v>0</v>
      </c>
      <c r="H56" s="69">
        <f ca="1">SUMIF('CAP6-7'!$B:$H,MObra[[#This Row],[DESCRIPCION]],'CAP6-7'!$H:$H)</f>
        <v>0</v>
      </c>
      <c r="I56" s="69">
        <f ca="1">SUMIF('CAP8'!$B:$H,MObra[[#This Row],[DESCRIPCION]],'CAP8'!$H:$H)</f>
        <v>0</v>
      </c>
      <c r="J56" s="69">
        <f ca="1">SUMIF('CAP9-13'!$B:$H,MObra[[#This Row],[DESCRIPCION]],'CAP9-13'!$H:$H)</f>
        <v>0</v>
      </c>
      <c r="K56" s="69">
        <f ca="1">SUMIF('CAP14-15'!$B:$H,MObra[[#This Row],[DESCRIPCION]],'CAP14-15'!$H:$H)</f>
        <v>0</v>
      </c>
      <c r="L56" s="69">
        <f ca="1">SUMIF('CAP16-18'!$B:$H,MObra[[#This Row],[DESCRIPCION]],'CAP16-18'!$H:$H)</f>
        <v>0</v>
      </c>
      <c r="M56" s="69">
        <f ca="1">SUMIF('CAP19-22'!$B:$H,MObra[[#This Row],[DESCRIPCION]],'CAP19-22'!$H:$H)</f>
        <v>0</v>
      </c>
      <c r="N56" s="69">
        <f ca="1">SUMIF('CAP23-24'!$B:$H,MObra[[#This Row],[DESCRIPCION]],'CAP23-24'!$H:$H)</f>
        <v>0</v>
      </c>
      <c r="O56" s="69">
        <f ca="1">SUMIF('CAP25'!$B:$H,MObra[[#This Row],[DESCRIPCION]],'CAP25'!$H:$H)</f>
        <v>0</v>
      </c>
      <c r="P56" s="69">
        <f ca="1">SUMIF('CAP26-28'!$B:$H,MObra[[#This Row],[DESCRIPCION]],'CAP26-28'!$H:$H)</f>
        <v>0</v>
      </c>
      <c r="Q56" s="69">
        <f ca="1">SUMIF('CAP29'!$B:$H,MObra[[#This Row],[DESCRIPCION]],'CAP29'!$H:$H)</f>
        <v>0</v>
      </c>
    </row>
    <row r="57" spans="2:17">
      <c r="B57" s="266" t="s">
        <v>3723</v>
      </c>
      <c r="C57" s="32" t="s">
        <v>3699</v>
      </c>
      <c r="D57" s="69">
        <f>$D$33*4+$D$39*0</f>
        <v>465764.07540000009</v>
      </c>
      <c r="E57" s="69">
        <f ca="1">SUM(MObra[[#This Row],[CAP1]:[CAP29]])</f>
        <v>0</v>
      </c>
      <c r="F57" s="69">
        <f ca="1">SUMIF('CAP1-3'!$B:$H,MObra[[#This Row],[DESCRIPCION]],'CAP1-3'!$H:$H)</f>
        <v>0</v>
      </c>
      <c r="G57" s="69">
        <f ca="1">SUMIF('CAP4-5'!$B:$H,MObra[[#This Row],[DESCRIPCION]],'CAP4-5'!$H:$H)</f>
        <v>0</v>
      </c>
      <c r="H57" s="69">
        <f ca="1">SUMIF('CAP6-7'!$B:$H,MObra[[#This Row],[DESCRIPCION]],'CAP6-7'!$H:$H)</f>
        <v>0</v>
      </c>
      <c r="I57" s="69">
        <f ca="1">SUMIF('CAP8'!$B:$H,MObra[[#This Row],[DESCRIPCION]],'CAP8'!$H:$H)</f>
        <v>0</v>
      </c>
      <c r="J57" s="69">
        <f ca="1">SUMIF('CAP9-13'!$B:$H,MObra[[#This Row],[DESCRIPCION]],'CAP9-13'!$H:$H)</f>
        <v>0</v>
      </c>
      <c r="K57" s="69">
        <f ca="1">SUMIF('CAP14-15'!$B:$H,MObra[[#This Row],[DESCRIPCION]],'CAP14-15'!$H:$H)</f>
        <v>0</v>
      </c>
      <c r="L57" s="69">
        <f ca="1">SUMIF('CAP16-18'!$B:$H,MObra[[#This Row],[DESCRIPCION]],'CAP16-18'!$H:$H)</f>
        <v>0</v>
      </c>
      <c r="M57" s="69">
        <f ca="1">SUMIF('CAP19-22'!$B:$H,MObra[[#This Row],[DESCRIPCION]],'CAP19-22'!$H:$H)</f>
        <v>0</v>
      </c>
      <c r="N57" s="69">
        <f ca="1">SUMIF('CAP23-24'!$B:$H,MObra[[#This Row],[DESCRIPCION]],'CAP23-24'!$H:$H)</f>
        <v>0</v>
      </c>
      <c r="O57" s="69">
        <f ca="1">SUMIF('CAP25'!$B:$H,MObra[[#This Row],[DESCRIPCION]],'CAP25'!$H:$H)</f>
        <v>0</v>
      </c>
      <c r="P57" s="69">
        <f ca="1">SUMIF('CAP26-28'!$B:$H,MObra[[#This Row],[DESCRIPCION]],'CAP26-28'!$H:$H)</f>
        <v>0</v>
      </c>
      <c r="Q57" s="69">
        <f ca="1">SUMIF('CAP29'!$B:$H,MObra[[#This Row],[DESCRIPCION]],'CAP29'!$H:$H)</f>
        <v>0</v>
      </c>
    </row>
    <row r="58" spans="2:17">
      <c r="B58" s="266" t="s">
        <v>3724</v>
      </c>
      <c r="C58" s="32" t="s">
        <v>3699</v>
      </c>
      <c r="D58" s="69">
        <f>$D$35*1+$D$41*1</f>
        <v>419187.66786000005</v>
      </c>
      <c r="E58" s="69">
        <f ca="1">SUM(MObra[[#This Row],[CAP1]:[CAP29]])</f>
        <v>0</v>
      </c>
      <c r="F58" s="69">
        <f ca="1">SUMIF('CAP1-3'!$B:$H,MObra[[#This Row],[DESCRIPCION]],'CAP1-3'!$H:$H)</f>
        <v>0</v>
      </c>
      <c r="G58" s="69">
        <f ca="1">SUMIF('CAP4-5'!$B:$H,MObra[[#This Row],[DESCRIPCION]],'CAP4-5'!$H:$H)</f>
        <v>0</v>
      </c>
      <c r="H58" s="69">
        <f ca="1">SUMIF('CAP6-7'!$B:$H,MObra[[#This Row],[DESCRIPCION]],'CAP6-7'!$H:$H)</f>
        <v>0</v>
      </c>
      <c r="I58" s="69">
        <f ca="1">SUMIF('CAP8'!$B:$H,MObra[[#This Row],[DESCRIPCION]],'CAP8'!$H:$H)</f>
        <v>0</v>
      </c>
      <c r="J58" s="69">
        <f ca="1">SUMIF('CAP9-13'!$B:$H,MObra[[#This Row],[DESCRIPCION]],'CAP9-13'!$H:$H)</f>
        <v>0</v>
      </c>
      <c r="K58" s="69">
        <f ca="1">SUMIF('CAP14-15'!$B:$H,MObra[[#This Row],[DESCRIPCION]],'CAP14-15'!$H:$H)</f>
        <v>0</v>
      </c>
      <c r="L58" s="69">
        <f ca="1">SUMIF('CAP16-18'!$B:$H,MObra[[#This Row],[DESCRIPCION]],'CAP16-18'!$H:$H)</f>
        <v>0</v>
      </c>
      <c r="M58" s="69">
        <f ca="1">SUMIF('CAP19-22'!$B:$H,MObra[[#This Row],[DESCRIPCION]],'CAP19-22'!$H:$H)</f>
        <v>0</v>
      </c>
      <c r="N58" s="69">
        <f ca="1">SUMIF('CAP23-24'!$B:$H,MObra[[#This Row],[DESCRIPCION]],'CAP23-24'!$H:$H)</f>
        <v>0</v>
      </c>
      <c r="O58" s="69">
        <f ca="1">SUMIF('CAP25'!$B:$H,MObra[[#This Row],[DESCRIPCION]],'CAP25'!$H:$H)</f>
        <v>0</v>
      </c>
      <c r="P58" s="69">
        <f ca="1">SUMIF('CAP26-28'!$B:$H,MObra[[#This Row],[DESCRIPCION]],'CAP26-28'!$H:$H)</f>
        <v>0</v>
      </c>
      <c r="Q58" s="69">
        <f ca="1">SUMIF('CAP29'!$B:$H,MObra[[#This Row],[DESCRIPCION]],'CAP29'!$H:$H)</f>
        <v>0</v>
      </c>
    </row>
    <row r="59" spans="2:17" s="273" customFormat="1">
      <c r="B59" s="270" t="s">
        <v>3559</v>
      </c>
      <c r="C59" s="271"/>
      <c r="D59" s="271"/>
      <c r="E59" s="272">
        <f ca="1">SUBTOTAL(109,MObra[TOTAL])</f>
        <v>0</v>
      </c>
      <c r="F59" s="272">
        <f ca="1">SUBTOTAL(109,MObra[CAP1])</f>
        <v>0</v>
      </c>
      <c r="G59" s="272">
        <f ca="1">SUBTOTAL(109,MObra[CAP4])</f>
        <v>0</v>
      </c>
      <c r="H59" s="272">
        <f ca="1">SUBTOTAL(109,MObra[CAP6])</f>
        <v>0</v>
      </c>
      <c r="I59" s="272">
        <f ca="1">SUBTOTAL(109,MObra[CAP8])</f>
        <v>0</v>
      </c>
      <c r="J59" s="272">
        <f ca="1">SUBTOTAL(109,MObra[CAP9])</f>
        <v>0</v>
      </c>
      <c r="K59" s="272">
        <f ca="1">SUBTOTAL(109,MObra[CAP14])</f>
        <v>0</v>
      </c>
      <c r="L59" s="272">
        <f ca="1">SUBTOTAL(109,MObra[CAP17])</f>
        <v>0</v>
      </c>
      <c r="M59" s="272">
        <f ca="1">SUBTOTAL(109,MObra[CAP19])</f>
        <v>0</v>
      </c>
      <c r="N59" s="272">
        <f ca="1">SUBTOTAL(109,MObra[CAP23])</f>
        <v>0</v>
      </c>
      <c r="O59" s="272">
        <f ca="1">SUBTOTAL(109,MObra[CAP25])</f>
        <v>0</v>
      </c>
      <c r="P59" s="272">
        <f ca="1">SUBTOTAL(109,MObra[CAP26])</f>
        <v>0</v>
      </c>
      <c r="Q59" s="272">
        <f ca="1">SUBTOTAL(109,MObra[CAP29])</f>
        <v>0</v>
      </c>
    </row>
    <row r="1272" spans="2:2">
      <c r="B1272" s="51"/>
    </row>
  </sheetData>
  <mergeCells count="13">
    <mergeCell ref="N2:P2"/>
    <mergeCell ref="Q2:R2"/>
    <mergeCell ref="B3:D3"/>
    <mergeCell ref="E3:G3"/>
    <mergeCell ref="H3:J3"/>
    <mergeCell ref="K3:M3"/>
    <mergeCell ref="N3:P3"/>
    <mergeCell ref="Q3:R3"/>
    <mergeCell ref="B1:D1"/>
    <mergeCell ref="B2:D2"/>
    <mergeCell ref="E2:G2"/>
    <mergeCell ref="H2:J2"/>
    <mergeCell ref="K2:M2"/>
  </mergeCells>
  <printOptions horizontalCentered="1"/>
  <pageMargins left="0.59055118110236227" right="0.59055118110236227" top="0.59055118110236227" bottom="0.59055118110236227" header="0.51181102362204722" footer="0.51181102362204722"/>
  <pageSetup scale="70" orientation="portrait" horizontalDpi="300" verticalDpi="300" r:id="rId1"/>
  <drawing r:id="rId2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EBF1DE"/>
  </sheetPr>
  <dimension ref="A1:G1271"/>
  <sheetViews>
    <sheetView view="pageBreakPreview" topLeftCell="B181" zoomScale="90" zoomScaleNormal="100" zoomScaleSheetLayoutView="90" workbookViewId="0">
      <selection activeCell="B197" sqref="B197"/>
    </sheetView>
  </sheetViews>
  <sheetFormatPr baseColWidth="10" defaultColWidth="10.73046875" defaultRowHeight="12.75" customHeight="1"/>
  <cols>
    <col min="1" max="1" width="8.73046875" style="123" customWidth="1"/>
    <col min="2" max="2" width="65.73046875" style="123" customWidth="1"/>
    <col min="3" max="3" width="10.73046875" style="123" customWidth="1"/>
    <col min="4" max="4" width="11.73046875" style="123" customWidth="1"/>
    <col min="5" max="5" width="14.73046875" style="123" customWidth="1"/>
    <col min="6" max="6" width="11.73046875" style="123" customWidth="1"/>
    <col min="7" max="7" width="14.73046875" style="123" customWidth="1"/>
    <col min="8" max="16384" width="10.73046875" style="123"/>
  </cols>
  <sheetData>
    <row r="1" spans="1:7">
      <c r="B1" s="312" t="str">
        <f>+Presupuesto!A1</f>
        <v>ALCALDIA DE PEREIRA</v>
      </c>
      <c r="C1" s="312"/>
      <c r="D1" s="312"/>
      <c r="E1" s="312"/>
      <c r="F1" s="312"/>
      <c r="G1" s="312"/>
    </row>
    <row r="2" spans="1:7">
      <c r="B2" s="312" t="str">
        <f>+Presupuesto!A2</f>
        <v>VERSION O BASE DE DATOS ALCALDIA DE PEREIRA 2026</v>
      </c>
      <c r="C2" s="312"/>
      <c r="D2" s="312"/>
      <c r="E2" s="312"/>
      <c r="F2" s="312"/>
      <c r="G2" s="312"/>
    </row>
    <row r="3" spans="1:7">
      <c r="B3" s="313" t="s">
        <v>3725</v>
      </c>
      <c r="C3" s="313"/>
      <c r="D3" s="313"/>
      <c r="E3" s="313"/>
      <c r="F3" s="313"/>
      <c r="G3" s="313"/>
    </row>
    <row r="4" spans="1:7" ht="12.75" customHeight="1">
      <c r="A4" s="228" t="s">
        <v>3726</v>
      </c>
      <c r="B4" s="7" t="s">
        <v>3727</v>
      </c>
      <c r="C4" s="8" t="s">
        <v>52</v>
      </c>
      <c r="D4" s="9"/>
      <c r="E4" s="229"/>
      <c r="F4" s="11" t="s">
        <v>2589</v>
      </c>
      <c r="G4" s="12">
        <f>SUM(G6:G22)/2</f>
        <v>460935.11006637511</v>
      </c>
    </row>
    <row r="5" spans="1:7">
      <c r="A5" s="230"/>
      <c r="B5" s="231" t="s">
        <v>2586</v>
      </c>
      <c r="C5" s="231" t="s">
        <v>5</v>
      </c>
      <c r="D5" s="232" t="s">
        <v>6</v>
      </c>
      <c r="E5" s="233" t="s">
        <v>7</v>
      </c>
      <c r="F5" s="234" t="s">
        <v>3728</v>
      </c>
      <c r="G5" s="235" t="s">
        <v>3729</v>
      </c>
    </row>
    <row r="6" spans="1:7">
      <c r="A6" s="236"/>
      <c r="B6" s="22" t="s">
        <v>3730</v>
      </c>
      <c r="C6" s="23"/>
      <c r="D6" s="24"/>
      <c r="E6" s="237"/>
      <c r="F6" s="26"/>
      <c r="G6" s="27">
        <f>SUM(G7:G11)</f>
        <v>318332.92050000001</v>
      </c>
    </row>
    <row r="7" spans="1:7">
      <c r="A7" s="238"/>
      <c r="B7" s="29" t="s">
        <v>2824</v>
      </c>
      <c r="C7" s="30" t="str">
        <f>IFERROR(VLOOKUP($B7,Insumo[],2,0),"")</f>
        <v>Un</v>
      </c>
      <c r="D7" s="31">
        <v>5.2</v>
      </c>
      <c r="E7" s="239">
        <f>IFERROR(VLOOKUP($B7,Insumo[],3,0),"")</f>
        <v>34230</v>
      </c>
      <c r="F7" s="33"/>
      <c r="G7" s="34">
        <f>IFERROR(IF(F7&gt;=0,D7*E7*(1+F7/100),ABS(D7*E7/F7)),"")</f>
        <v>177996</v>
      </c>
    </row>
    <row r="8" spans="1:7">
      <c r="A8" s="238"/>
      <c r="B8" s="29" t="s">
        <v>2713</v>
      </c>
      <c r="C8" s="30" t="str">
        <f>IFERROR(VLOOKUP($B8,Insumo[],2,0),"")</f>
        <v>M3</v>
      </c>
      <c r="D8" s="31">
        <v>0.63</v>
      </c>
      <c r="E8" s="239">
        <f>IFERROR(VLOOKUP($B8,Insumo[],3,0),"")</f>
        <v>81268.95</v>
      </c>
      <c r="F8" s="33"/>
      <c r="G8" s="34">
        <f>IFERROR(IF(F8&gt;=0,D8*E8*(1+F8/100),ABS(D8*E8/F8)),"")</f>
        <v>51199.438499999997</v>
      </c>
    </row>
    <row r="9" spans="1:7">
      <c r="A9" s="238"/>
      <c r="B9" s="29" t="s">
        <v>3409</v>
      </c>
      <c r="C9" s="30" t="str">
        <f>IFERROR(VLOOKUP($B9,Insumo[],2,0),"")</f>
        <v>M3</v>
      </c>
      <c r="D9" s="31">
        <v>0.84</v>
      </c>
      <c r="E9" s="239">
        <f>IFERROR(VLOOKUP($B9,Insumo[],3,0),"")</f>
        <v>100591.05</v>
      </c>
      <c r="F9" s="33"/>
      <c r="G9" s="34">
        <f>IFERROR(IF(F9&gt;=0,D9*E9*(1+F9/100),ABS(D9*E9/F9)),"")</f>
        <v>84496.482000000004</v>
      </c>
    </row>
    <row r="10" spans="1:7">
      <c r="A10" s="238"/>
      <c r="B10" s="29" t="s">
        <v>2685</v>
      </c>
      <c r="C10" s="30" t="str">
        <f>IFERROR(VLOOKUP($B10,Insumo[],2,0),"")</f>
        <v>Lt</v>
      </c>
      <c r="D10" s="31">
        <v>170</v>
      </c>
      <c r="E10" s="239">
        <f>IFERROR(VLOOKUP($B10,Insumo[],3,0),"")</f>
        <v>27.3</v>
      </c>
      <c r="F10" s="33"/>
      <c r="G10" s="34">
        <f>IFERROR(IF(F10&gt;=0,D10*E10*(1+F10/100),ABS(D10*E10/F10)),"")</f>
        <v>4641</v>
      </c>
    </row>
    <row r="11" spans="1:7">
      <c r="A11" s="238"/>
      <c r="B11" s="29"/>
      <c r="C11" s="30" t="str">
        <f>IFERROR(VLOOKUP($B11,Insumo[],2,0),"")</f>
        <v/>
      </c>
      <c r="D11" s="31"/>
      <c r="E11" s="239" t="str">
        <f>IFERROR(VLOOKUP($B11,Insumo[],3,0),"")</f>
        <v/>
      </c>
      <c r="F11" s="33"/>
      <c r="G11" s="34" t="str">
        <f>IFERROR(IF(F11&gt;=0,D11*E11*(1+F11/100),ABS(D11*E11/F11)),"")</f>
        <v/>
      </c>
    </row>
    <row r="12" spans="1:7">
      <c r="A12" s="236"/>
      <c r="B12" s="22" t="s">
        <v>3731</v>
      </c>
      <c r="C12" s="23"/>
      <c r="D12" s="24"/>
      <c r="E12" s="237"/>
      <c r="F12" s="26"/>
      <c r="G12" s="27">
        <f>SUM(G13:G15)</f>
        <v>7395.4912888750005</v>
      </c>
    </row>
    <row r="13" spans="1:7">
      <c r="A13" s="238"/>
      <c r="B13" s="29" t="s">
        <v>3598</v>
      </c>
      <c r="C13" s="30" t="str">
        <f>IFERROR(VLOOKUP($B13,Equipo[],2,0),"")</f>
        <v>Día</v>
      </c>
      <c r="D13" s="31">
        <v>1</v>
      </c>
      <c r="E13" s="239">
        <f>IF($C13="%MO",G19,IFERROR(VLOOKUP($B13,Equipo[],3,0),""))</f>
        <v>82467</v>
      </c>
      <c r="F13" s="33">
        <v>-18</v>
      </c>
      <c r="G13" s="34">
        <f>IFERROR(IF(F13&gt;=0,D13*E13*(1+F13/100),ABS(D13*E13/F13)),"")</f>
        <v>4581.5</v>
      </c>
    </row>
    <row r="14" spans="1:7">
      <c r="A14" s="238"/>
      <c r="B14" s="29" t="s">
        <v>3626</v>
      </c>
      <c r="C14" s="30" t="str">
        <f>IFERROR(VLOOKUP($B14,Equipo[],2,0),"")</f>
        <v>%MO</v>
      </c>
      <c r="D14" s="31">
        <v>0.05</v>
      </c>
      <c r="E14" s="239">
        <f>IF($C14="%MO",G20,IFERROR(VLOOKUP($B14,Equipo[],3,0),""))</f>
        <v>56279.825777500017</v>
      </c>
      <c r="F14" s="33"/>
      <c r="G14" s="34">
        <f>IFERROR(IF(F14&gt;=0,D14*E14*(1+F14/100),ABS(D14*E14/F14)),"")</f>
        <v>2813.9912888750009</v>
      </c>
    </row>
    <row r="15" spans="1:7">
      <c r="A15" s="238"/>
      <c r="B15" s="29"/>
      <c r="C15" s="30" t="str">
        <f>IFERROR(VLOOKUP($B15,Equipo[],2,0),"")</f>
        <v/>
      </c>
      <c r="D15" s="31"/>
      <c r="E15" s="239" t="str">
        <f>IF($C15="%MO",G21,IFERROR(VLOOKUP($B15,Equipo[],3,0),""))</f>
        <v/>
      </c>
      <c r="F15" s="33"/>
      <c r="G15" s="34" t="str">
        <f>IFERROR(IF(F15&gt;=0,D15*E15*(1+F15/100),ABS(D15*E15/F15)),"")</f>
        <v/>
      </c>
    </row>
    <row r="16" spans="1:7">
      <c r="A16" s="236"/>
      <c r="B16" s="22" t="s">
        <v>2533</v>
      </c>
      <c r="C16" s="23"/>
      <c r="D16" s="24"/>
      <c r="E16" s="237"/>
      <c r="F16" s="26"/>
      <c r="G16" s="27">
        <f>SUM(G17:G18)</f>
        <v>78926.872499999998</v>
      </c>
    </row>
    <row r="17" spans="1:7">
      <c r="A17" s="238"/>
      <c r="B17" s="29" t="s">
        <v>3664</v>
      </c>
      <c r="C17" s="30" t="str">
        <f>IFERROR(VLOOKUP($B17,Transporte[],2,0),"")</f>
        <v>M3-km</v>
      </c>
      <c r="D17" s="31">
        <f>35*1.47</f>
        <v>51.449999999999996</v>
      </c>
      <c r="E17" s="239">
        <f>IFERROR(VLOOKUP($B17,Transporte[],3,0),"")</f>
        <v>1534.05</v>
      </c>
      <c r="F17" s="33"/>
      <c r="G17" s="34">
        <f>IFERROR(IF(F17&gt;=0,D17*E17*(1+F17/100),ABS(D17*E17/F17)),"")</f>
        <v>78926.872499999998</v>
      </c>
    </row>
    <row r="18" spans="1:7">
      <c r="A18" s="238"/>
      <c r="B18" s="29"/>
      <c r="C18" s="30" t="str">
        <f>IFERROR(VLOOKUP($B18,Transporte[],2,0),"")</f>
        <v/>
      </c>
      <c r="D18" s="31"/>
      <c r="E18" s="239" t="str">
        <f>IFERROR(VLOOKUP($B18,Transporte[],3,0),"")</f>
        <v/>
      </c>
      <c r="F18" s="33"/>
      <c r="G18" s="34" t="str">
        <f>IFERROR(IF(F18&gt;=0,D18*E18*(1+F18/100),ABS(D18*E18/F18)),"")</f>
        <v/>
      </c>
    </row>
    <row r="19" spans="1:7">
      <c r="A19" s="236"/>
      <c r="B19" s="22" t="s">
        <v>3732</v>
      </c>
      <c r="C19" s="23"/>
      <c r="D19" s="24"/>
      <c r="E19" s="237"/>
      <c r="F19" s="26"/>
      <c r="G19" s="27">
        <f>SUM(G20:G22)</f>
        <v>56279.825777500017</v>
      </c>
    </row>
    <row r="20" spans="1:7">
      <c r="A20" s="238"/>
      <c r="B20" s="29" t="s">
        <v>3714</v>
      </c>
      <c r="C20" s="30" t="str">
        <f>IFERROR(VLOOKUP($B20,MObra[],2,0),"")</f>
        <v>día</v>
      </c>
      <c r="D20" s="31">
        <v>1</v>
      </c>
      <c r="E20" s="239">
        <f>IFERROR(VLOOKUP($B20,MObra[],3,0),"")</f>
        <v>1013036.8639950003</v>
      </c>
      <c r="F20" s="33">
        <v>-18</v>
      </c>
      <c r="G20" s="34">
        <f>IFERROR(IF(F20&gt;=0,D20*E20*(1+F20/100),ABS(D20*E20/F20)),"")</f>
        <v>56279.825777500017</v>
      </c>
    </row>
    <row r="21" spans="1:7">
      <c r="A21" s="238"/>
      <c r="B21" s="29"/>
      <c r="C21" s="30" t="str">
        <f>IFERROR(VLOOKUP($B21,MObra[],2,0),"")</f>
        <v/>
      </c>
      <c r="D21" s="31"/>
      <c r="E21" s="239" t="str">
        <f>IFERROR(VLOOKUP($B21,MObra[],3,0),"")</f>
        <v/>
      </c>
      <c r="F21" s="33"/>
      <c r="G21" s="34" t="str">
        <f>IFERROR(IF(F21&gt;=0,D21*E21*(1+F21/100),ABS(D21*E21/F21)),"")</f>
        <v/>
      </c>
    </row>
    <row r="22" spans="1:7">
      <c r="A22" s="240"/>
      <c r="B22" s="36"/>
      <c r="C22" s="37" t="str">
        <f>IFERROR(VLOOKUP($B22,MObra[],2,0),"")</f>
        <v/>
      </c>
      <c r="D22" s="38"/>
      <c r="E22" s="241" t="str">
        <f>IFERROR(VLOOKUP($B22,MObra[],3,0),"")</f>
        <v/>
      </c>
      <c r="F22" s="40"/>
      <c r="G22" s="41" t="str">
        <f>IFERROR(IF(F22&gt;=0,D22*E22*(1+F22/100),ABS(D22*E22/F22)),"")</f>
        <v/>
      </c>
    </row>
    <row r="24" spans="1:7">
      <c r="A24" s="228" t="s">
        <v>3733</v>
      </c>
      <c r="B24" s="7" t="s">
        <v>3734</v>
      </c>
      <c r="C24" s="8" t="s">
        <v>52</v>
      </c>
      <c r="D24" s="9"/>
      <c r="E24" s="229"/>
      <c r="F24" s="11" t="s">
        <v>2589</v>
      </c>
      <c r="G24" s="12">
        <f>SUM(G26:G42)/2</f>
        <v>489064.71995263232</v>
      </c>
    </row>
    <row r="25" spans="1:7">
      <c r="A25" s="230"/>
      <c r="B25" s="231" t="s">
        <v>2586</v>
      </c>
      <c r="C25" s="231" t="s">
        <v>5</v>
      </c>
      <c r="D25" s="232" t="s">
        <v>6</v>
      </c>
      <c r="E25" s="233" t="s">
        <v>7</v>
      </c>
      <c r="F25" s="234" t="s">
        <v>3728</v>
      </c>
      <c r="G25" s="235" t="s">
        <v>3729</v>
      </c>
    </row>
    <row r="26" spans="1:7">
      <c r="A26" s="236"/>
      <c r="B26" s="22" t="s">
        <v>3730</v>
      </c>
      <c r="C26" s="23"/>
      <c r="D26" s="24"/>
      <c r="E26" s="237"/>
      <c r="F26" s="26"/>
      <c r="G26" s="27">
        <f>SUM(G27:G31)</f>
        <v>344864.59349999996</v>
      </c>
    </row>
    <row r="27" spans="1:7">
      <c r="A27" s="238" t="str">
        <f>IFERROR(_xlfn.XLOOKUP($B27,Insumo[DESCRIPCION],#REF!,,0),"")</f>
        <v/>
      </c>
      <c r="B27" s="29" t="s">
        <v>2824</v>
      </c>
      <c r="C27" s="30" t="str">
        <f>IFERROR(VLOOKUP($B27,Insumo[],2,0),"")</f>
        <v>Un</v>
      </c>
      <c r="D27" s="31">
        <v>6</v>
      </c>
      <c r="E27" s="239">
        <f>IFERROR(VLOOKUP($B27,Insumo[],3,0),"")</f>
        <v>34230</v>
      </c>
      <c r="F27" s="33"/>
      <c r="G27" s="34">
        <f>IFERROR(IF(F27&gt;=0,D27*E27*(1+F27/100),ABS(D27*E27/F27)),"")</f>
        <v>205380</v>
      </c>
    </row>
    <row r="28" spans="1:7">
      <c r="A28" s="238" t="str">
        <f>IFERROR(_xlfn.XLOOKUP($B28,Insumo[DESCRIPCION],#REF!,,0),"")</f>
        <v/>
      </c>
      <c r="B28" s="29" t="s">
        <v>2713</v>
      </c>
      <c r="C28" s="30" t="str">
        <f>IFERROR(VLOOKUP($B28,Insumo[],2,0),"")</f>
        <v>M3</v>
      </c>
      <c r="D28" s="31">
        <v>0.48</v>
      </c>
      <c r="E28" s="239">
        <f>IFERROR(VLOOKUP($B28,Insumo[],3,0),"")</f>
        <v>81268.95</v>
      </c>
      <c r="F28" s="33"/>
      <c r="G28" s="34">
        <f>IFERROR(IF(F28&gt;=0,D28*E28*(1+F28/100),ABS(D28*E28/F28)),"")</f>
        <v>39009.095999999998</v>
      </c>
    </row>
    <row r="29" spans="1:7">
      <c r="A29" s="238" t="str">
        <f>IFERROR(_xlfn.XLOOKUP($B29,Insumo[DESCRIPCION],#REF!,,0),"")</f>
        <v/>
      </c>
      <c r="B29" s="29" t="s">
        <v>3409</v>
      </c>
      <c r="C29" s="30" t="str">
        <f>IFERROR(VLOOKUP($B29,Insumo[],2,0),"")</f>
        <v>M3</v>
      </c>
      <c r="D29" s="31">
        <v>0.95</v>
      </c>
      <c r="E29" s="239">
        <f>IFERROR(VLOOKUP($B29,Insumo[],3,0),"")</f>
        <v>100591.05</v>
      </c>
      <c r="F29" s="33"/>
      <c r="G29" s="34">
        <f>IFERROR(IF(F29&gt;=0,D29*E29*(1+F29/100),ABS(D29*E29/F29)),"")</f>
        <v>95561.497499999998</v>
      </c>
    </row>
    <row r="30" spans="1:7">
      <c r="A30" s="238" t="str">
        <f>IFERROR(_xlfn.XLOOKUP($B30,Insumo[DESCRIPCION],#REF!,,0),"")</f>
        <v/>
      </c>
      <c r="B30" s="29" t="s">
        <v>2685</v>
      </c>
      <c r="C30" s="30" t="str">
        <f>IFERROR(VLOOKUP($B30,Insumo[],2,0),"")</f>
        <v>Lt</v>
      </c>
      <c r="D30" s="31">
        <v>180</v>
      </c>
      <c r="E30" s="239">
        <f>IFERROR(VLOOKUP($B30,Insumo[],3,0),"")</f>
        <v>27.3</v>
      </c>
      <c r="F30" s="33"/>
      <c r="G30" s="34">
        <f>IFERROR(IF(F30&gt;=0,D30*E30*(1+F30/100),ABS(D30*E30/F30)),"")</f>
        <v>4914</v>
      </c>
    </row>
    <row r="31" spans="1:7">
      <c r="A31" s="238" t="str">
        <f>IFERROR(_xlfn.XLOOKUP($B31,Insumo[DESCRIPCION],#REF!,,0),"")</f>
        <v/>
      </c>
      <c r="B31" s="29"/>
      <c r="C31" s="30" t="str">
        <f>IFERROR(VLOOKUP($B31,Insumo[],2,0),"")</f>
        <v/>
      </c>
      <c r="D31" s="31"/>
      <c r="E31" s="239" t="str">
        <f>IFERROR(VLOOKUP($B31,Insumo[],3,0),"")</f>
        <v/>
      </c>
      <c r="F31" s="33"/>
      <c r="G31" s="34" t="str">
        <f>IFERROR(IF(F31&gt;=0,D31*E31*(1+F31/100),ABS(D31*E31/F31)),"")</f>
        <v/>
      </c>
    </row>
    <row r="32" spans="1:7">
      <c r="A32" s="236"/>
      <c r="B32" s="22" t="s">
        <v>3731</v>
      </c>
      <c r="C32" s="23"/>
      <c r="D32" s="24"/>
      <c r="E32" s="237"/>
      <c r="F32" s="26"/>
      <c r="G32" s="27">
        <f>SUM(G33:G35)</f>
        <v>7830.5201882205893</v>
      </c>
    </row>
    <row r="33" spans="1:7">
      <c r="A33" s="238" t="str">
        <f>IFERROR(_xlfn.XLOOKUP($B33,Insumo[DESCRIPCION],#REF!,,0),"")</f>
        <v/>
      </c>
      <c r="B33" s="29" t="s">
        <v>3598</v>
      </c>
      <c r="C33" s="30" t="str">
        <f>IFERROR(VLOOKUP($B33,Equipo[],2,0),"")</f>
        <v>Día</v>
      </c>
      <c r="D33" s="31">
        <v>1</v>
      </c>
      <c r="E33" s="239">
        <f>IF($C33="%MO",G39,IFERROR(VLOOKUP($B33,Equipo[],3,0),""))</f>
        <v>82467</v>
      </c>
      <c r="F33" s="33">
        <v>-17</v>
      </c>
      <c r="G33" s="34">
        <f>IFERROR(IF(F33&gt;=0,D33*E33*(1+F33/100),ABS(D33*E33/F33)),"")</f>
        <v>4851</v>
      </c>
    </row>
    <row r="34" spans="1:7">
      <c r="A34" s="238" t="str">
        <f>IFERROR(_xlfn.XLOOKUP($B34,Insumo[DESCRIPCION],#REF!,,0),"")</f>
        <v/>
      </c>
      <c r="B34" s="29" t="s">
        <v>3626</v>
      </c>
      <c r="C34" s="30" t="str">
        <f>IFERROR(VLOOKUP($B34,Equipo[],2,0),"")</f>
        <v>%MO</v>
      </c>
      <c r="D34" s="242">
        <v>0.05</v>
      </c>
      <c r="E34" s="239">
        <f>IF($C34="%MO",G40,IFERROR(VLOOKUP($B34,Equipo[],3,0),""))</f>
        <v>59590.403764411778</v>
      </c>
      <c r="F34" s="33"/>
      <c r="G34" s="34">
        <f>IFERROR(IF(F34&gt;=0,D34*E34*(1+F34/100),ABS(D34*E34/F34)),"")</f>
        <v>2979.5201882205893</v>
      </c>
    </row>
    <row r="35" spans="1:7">
      <c r="A35" s="238" t="str">
        <f>IFERROR(_xlfn.XLOOKUP($B35,Insumo[DESCRIPCION],#REF!,,0),"")</f>
        <v/>
      </c>
      <c r="B35" s="29"/>
      <c r="C35" s="30" t="str">
        <f>IFERROR(VLOOKUP($B35,Equipo[],2,0),"")</f>
        <v/>
      </c>
      <c r="D35" s="31"/>
      <c r="E35" s="239" t="str">
        <f>IF($C35="%MO",G41,IFERROR(VLOOKUP($B35,Equipo[],3,0),""))</f>
        <v/>
      </c>
      <c r="F35" s="33"/>
      <c r="G35" s="34" t="str">
        <f>IFERROR(IF(F35&gt;=0,D35*E35*(1+F35/100),ABS(D35*E35/F35)),"")</f>
        <v/>
      </c>
    </row>
    <row r="36" spans="1:7">
      <c r="A36" s="236"/>
      <c r="B36" s="22" t="s">
        <v>2533</v>
      </c>
      <c r="C36" s="23"/>
      <c r="D36" s="24"/>
      <c r="E36" s="237"/>
      <c r="F36" s="26"/>
      <c r="G36" s="27">
        <f>SUM(G37:G38)</f>
        <v>76779.202499999999</v>
      </c>
    </row>
    <row r="37" spans="1:7">
      <c r="A37" s="238" t="str">
        <f>IFERROR(_xlfn.XLOOKUP($B37,Insumo[DESCRIPCION],#REF!,,0),"")</f>
        <v/>
      </c>
      <c r="B37" s="29" t="s">
        <v>3664</v>
      </c>
      <c r="C37" s="30" t="str">
        <f>IFERROR(VLOOKUP($B37,Transporte[],2,0),"")</f>
        <v>M3-km</v>
      </c>
      <c r="D37" s="31">
        <f>35*1.43</f>
        <v>50.05</v>
      </c>
      <c r="E37" s="239">
        <f>IFERROR(VLOOKUP($B37,Transporte[],3,0),"")</f>
        <v>1534.05</v>
      </c>
      <c r="F37" s="33"/>
      <c r="G37" s="34">
        <f>IFERROR(IF(F37&gt;=0,D37*E37*(1+F37/100),ABS(D37*E37/F37)),"")</f>
        <v>76779.202499999999</v>
      </c>
    </row>
    <row r="38" spans="1:7">
      <c r="A38" s="238" t="str">
        <f>IFERROR(_xlfn.XLOOKUP($B38,Insumo[DESCRIPCION],#REF!,,0),"")</f>
        <v/>
      </c>
      <c r="B38" s="29"/>
      <c r="C38" s="30" t="str">
        <f>IFERROR(VLOOKUP($B38,Transporte[],2,0),"")</f>
        <v/>
      </c>
      <c r="D38" s="31"/>
      <c r="E38" s="239" t="str">
        <f>IFERROR(VLOOKUP($B38,Transporte[],3,0),"")</f>
        <v/>
      </c>
      <c r="F38" s="33"/>
      <c r="G38" s="34" t="str">
        <f>IFERROR(IF(F38&gt;=0,D38*E38*(1+F38/100),ABS(D38*E38/F38)),"")</f>
        <v/>
      </c>
    </row>
    <row r="39" spans="1:7">
      <c r="A39" s="236"/>
      <c r="B39" s="22" t="s">
        <v>3732</v>
      </c>
      <c r="C39" s="23"/>
      <c r="D39" s="24"/>
      <c r="E39" s="237"/>
      <c r="F39" s="26"/>
      <c r="G39" s="27">
        <f>SUM(G40:G42)</f>
        <v>59590.403764411778</v>
      </c>
    </row>
    <row r="40" spans="1:7">
      <c r="A40" s="238" t="str">
        <f>IFERROR(_xlfn.XLOOKUP($B40,Insumo[DESCRIPCION],#REF!,,0),"")</f>
        <v/>
      </c>
      <c r="B40" s="29" t="s">
        <v>3714</v>
      </c>
      <c r="C40" s="30" t="str">
        <f>IFERROR(VLOOKUP($B40,MObra[],2,0),"")</f>
        <v>día</v>
      </c>
      <c r="D40" s="31">
        <v>1</v>
      </c>
      <c r="E40" s="239">
        <f>IFERROR(VLOOKUP($B40,MObra[],3,0),"")</f>
        <v>1013036.8639950003</v>
      </c>
      <c r="F40" s="33">
        <v>-17</v>
      </c>
      <c r="G40" s="34">
        <f>IFERROR(IF(F40&gt;=0,D40*E40*(1+F40/100),ABS(D40*E40/F40)),"")</f>
        <v>59590.403764411778</v>
      </c>
    </row>
    <row r="41" spans="1:7">
      <c r="A41" s="238" t="str">
        <f>IFERROR(_xlfn.XLOOKUP($B41,Insumo[DESCRIPCION],#REF!,,0),"")</f>
        <v/>
      </c>
      <c r="B41" s="29"/>
      <c r="C41" s="30" t="str">
        <f>IFERROR(VLOOKUP($B41,MObra[],2,0),"")</f>
        <v/>
      </c>
      <c r="D41" s="31"/>
      <c r="E41" s="239" t="str">
        <f>IFERROR(VLOOKUP($B41,MObra[],3,0),"")</f>
        <v/>
      </c>
      <c r="F41" s="33"/>
      <c r="G41" s="34" t="str">
        <f>IFERROR(IF(F41&gt;=0,D41*E41*(1+F41/100),ABS(D41*E41/F41)),"")</f>
        <v/>
      </c>
    </row>
    <row r="42" spans="1:7">
      <c r="A42" s="240" t="str">
        <f>IFERROR(_xlfn.XLOOKUP($B42,Insumo[DESCRIPCION],#REF!,,0),"")</f>
        <v/>
      </c>
      <c r="B42" s="36"/>
      <c r="C42" s="37" t="str">
        <f>IFERROR(VLOOKUP($B42,MObra[],2,0),"")</f>
        <v/>
      </c>
      <c r="D42" s="243"/>
      <c r="E42" s="241" t="str">
        <f>IFERROR(VLOOKUP($B42,MObra[],3,0),"")</f>
        <v/>
      </c>
      <c r="F42" s="244"/>
      <c r="G42" s="41" t="str">
        <f>IFERROR(IF(F42&gt;=0,D42*E42*(1+F42/100),ABS(D42*E42/F42)),"")</f>
        <v/>
      </c>
    </row>
    <row r="44" spans="1:7">
      <c r="A44" s="228" t="s">
        <v>3735</v>
      </c>
      <c r="B44" s="7" t="s">
        <v>3736</v>
      </c>
      <c r="C44" s="8" t="s">
        <v>52</v>
      </c>
      <c r="D44" s="9"/>
      <c r="E44" s="229"/>
      <c r="F44" s="11" t="s">
        <v>2589</v>
      </c>
      <c r="G44" s="12">
        <f>SUM(G46:G62)/2</f>
        <v>521334.27569967188</v>
      </c>
    </row>
    <row r="45" spans="1:7">
      <c r="A45" s="230"/>
      <c r="B45" s="231" t="s">
        <v>2586</v>
      </c>
      <c r="C45" s="231" t="s">
        <v>5</v>
      </c>
      <c r="D45" s="232" t="s">
        <v>6</v>
      </c>
      <c r="E45" s="233" t="s">
        <v>7</v>
      </c>
      <c r="F45" s="234" t="s">
        <v>3728</v>
      </c>
      <c r="G45" s="235" t="s">
        <v>3729</v>
      </c>
    </row>
    <row r="46" spans="1:7">
      <c r="A46" s="236"/>
      <c r="B46" s="22" t="s">
        <v>3730</v>
      </c>
      <c r="C46" s="23"/>
      <c r="D46" s="24"/>
      <c r="E46" s="237"/>
      <c r="F46" s="26"/>
      <c r="G46" s="27">
        <f>SUM(G47:G51)</f>
        <v>374531.09400000004</v>
      </c>
    </row>
    <row r="47" spans="1:7">
      <c r="A47" s="238" t="str">
        <f>IFERROR(_xlfn.XLOOKUP($B47,Insumo[DESCRIPCION],#REF!,,0),"")</f>
        <v/>
      </c>
      <c r="B47" s="29" t="s">
        <v>2824</v>
      </c>
      <c r="C47" s="30" t="str">
        <f>IFERROR(VLOOKUP($B47,Insumo[],2,0),"")</f>
        <v>Un</v>
      </c>
      <c r="D47" s="31">
        <v>7</v>
      </c>
      <c r="E47" s="239">
        <f>IFERROR(VLOOKUP($B47,Insumo[],3,0),"")</f>
        <v>34230</v>
      </c>
      <c r="F47" s="33"/>
      <c r="G47" s="34">
        <f>IFERROR(IF(F47&gt;=0,D47*E47*(1+F47/100),ABS(D47*E47/F47)),"")</f>
        <v>239610</v>
      </c>
    </row>
    <row r="48" spans="1:7">
      <c r="A48" s="238" t="str">
        <f>IFERROR(_xlfn.XLOOKUP($B48,Insumo[DESCRIPCION],#REF!,,0),"")</f>
        <v/>
      </c>
      <c r="B48" s="29" t="s">
        <v>2713</v>
      </c>
      <c r="C48" s="30" t="str">
        <f>IFERROR(VLOOKUP($B48,Insumo[],2,0),"")</f>
        <v>M3</v>
      </c>
      <c r="D48" s="31">
        <v>0.56000000000000005</v>
      </c>
      <c r="E48" s="239">
        <f>IFERROR(VLOOKUP($B48,Insumo[],3,0),"")</f>
        <v>81268.95</v>
      </c>
      <c r="F48" s="33"/>
      <c r="G48" s="34">
        <f>IFERROR(IF(F48&gt;=0,D48*E48*(1+F48/100),ABS(D48*E48/F48)),"")</f>
        <v>45510.612000000001</v>
      </c>
    </row>
    <row r="49" spans="1:7">
      <c r="A49" s="238" t="str">
        <f>IFERROR(_xlfn.XLOOKUP($B49,Insumo[DESCRIPCION],#REF!,,0),"")</f>
        <v/>
      </c>
      <c r="B49" s="29" t="s">
        <v>3409</v>
      </c>
      <c r="C49" s="30" t="str">
        <f>IFERROR(VLOOKUP($B49,Insumo[],2,0),"")</f>
        <v>M3</v>
      </c>
      <c r="D49" s="31">
        <v>0.84</v>
      </c>
      <c r="E49" s="239">
        <f>IFERROR(VLOOKUP($B49,Insumo[],3,0),"")</f>
        <v>100591.05</v>
      </c>
      <c r="F49" s="33"/>
      <c r="G49" s="34">
        <f>IFERROR(IF(F49&gt;=0,D49*E49*(1+F49/100),ABS(D49*E49/F49)),"")</f>
        <v>84496.482000000004</v>
      </c>
    </row>
    <row r="50" spans="1:7">
      <c r="A50" s="238" t="str">
        <f>IFERROR(_xlfn.XLOOKUP($B50,Insumo[DESCRIPCION],#REF!,,0),"")</f>
        <v/>
      </c>
      <c r="B50" s="29" t="s">
        <v>2685</v>
      </c>
      <c r="C50" s="30" t="str">
        <f>IFERROR(VLOOKUP($B50,Insumo[],2,0),"")</f>
        <v>Lt</v>
      </c>
      <c r="D50" s="31">
        <v>180</v>
      </c>
      <c r="E50" s="239">
        <f>IFERROR(VLOOKUP($B50,Insumo[],3,0),"")</f>
        <v>27.3</v>
      </c>
      <c r="F50" s="33"/>
      <c r="G50" s="34">
        <f>IFERROR(IF(F50&gt;=0,D50*E50*(1+F50/100),ABS(D50*E50/F50)),"")</f>
        <v>4914</v>
      </c>
    </row>
    <row r="51" spans="1:7">
      <c r="A51" s="238" t="str">
        <f>IFERROR(_xlfn.XLOOKUP($B51,Insumo[DESCRIPCION],#REF!,,0),"")</f>
        <v/>
      </c>
      <c r="B51" s="29"/>
      <c r="C51" s="30" t="str">
        <f>IFERROR(VLOOKUP($B51,Insumo[],2,0),"")</f>
        <v/>
      </c>
      <c r="D51" s="31"/>
      <c r="E51" s="239" t="str">
        <f>IFERROR(VLOOKUP($B51,Insumo[],3,0),"")</f>
        <v/>
      </c>
      <c r="F51" s="33"/>
      <c r="G51" s="34" t="str">
        <f>IFERROR(IF(F51&gt;=0,D51*E51*(1+F51/100),ABS(D51*E51/F51)),"")</f>
        <v/>
      </c>
    </row>
    <row r="52" spans="1:7">
      <c r="A52" s="236"/>
      <c r="B52" s="22" t="s">
        <v>3731</v>
      </c>
      <c r="C52" s="23"/>
      <c r="D52" s="24"/>
      <c r="E52" s="237"/>
      <c r="F52" s="26"/>
      <c r="G52" s="27">
        <f>SUM(G53:G55)</f>
        <v>8319.9276999843751</v>
      </c>
    </row>
    <row r="53" spans="1:7">
      <c r="A53" s="238" t="str">
        <f>IFERROR(_xlfn.XLOOKUP($B53,Insumo[DESCRIPCION],#REF!,,0),"")</f>
        <v/>
      </c>
      <c r="B53" s="29" t="s">
        <v>3598</v>
      </c>
      <c r="C53" s="30" t="str">
        <f>IFERROR(VLOOKUP($B53,Equipo[],2,0),"")</f>
        <v>Día</v>
      </c>
      <c r="D53" s="31">
        <v>1</v>
      </c>
      <c r="E53" s="239">
        <f>IF($C53="%MO",G59,IFERROR(VLOOKUP($B53,Equipo[],3,0),""))</f>
        <v>82467</v>
      </c>
      <c r="F53" s="33">
        <v>-16</v>
      </c>
      <c r="G53" s="34">
        <f>IFERROR(IF(F53&gt;=0,D53*E53*(1+F53/100),ABS(D53*E53/F53)),"")</f>
        <v>5154.1875</v>
      </c>
    </row>
    <row r="54" spans="1:7">
      <c r="A54" s="238" t="str">
        <f>IFERROR(_xlfn.XLOOKUP($B54,Insumo[DESCRIPCION],#REF!,,0),"")</f>
        <v/>
      </c>
      <c r="B54" s="29" t="s">
        <v>3626</v>
      </c>
      <c r="C54" s="30" t="str">
        <f>IFERROR(VLOOKUP($B54,Equipo[],2,0),"")</f>
        <v>%MO</v>
      </c>
      <c r="D54" s="31">
        <v>0.05</v>
      </c>
      <c r="E54" s="239">
        <f>IF($C54="%MO",G60,IFERROR(VLOOKUP($B54,Equipo[],3,0),""))</f>
        <v>63314.803999687516</v>
      </c>
      <c r="F54" s="33"/>
      <c r="G54" s="34">
        <f>IFERROR(IF(F54&gt;=0,D54*E54*(1+F54/100),ABS(D54*E54/F54)),"")</f>
        <v>3165.740199984376</v>
      </c>
    </row>
    <row r="55" spans="1:7">
      <c r="A55" s="238" t="str">
        <f>IFERROR(_xlfn.XLOOKUP($B55,Insumo[DESCRIPCION],#REF!,,0),"")</f>
        <v/>
      </c>
      <c r="B55" s="29"/>
      <c r="C55" s="30" t="str">
        <f>IFERROR(VLOOKUP($B55,Equipo[],2,0),"")</f>
        <v/>
      </c>
      <c r="D55" s="31"/>
      <c r="E55" s="239" t="str">
        <f>IF($C55="%MO",G61,IFERROR(VLOOKUP($B55,Equipo[],3,0),""))</f>
        <v/>
      </c>
      <c r="F55" s="33"/>
      <c r="G55" s="34" t="str">
        <f>IFERROR(IF(F55&gt;=0,D55*E55*(1+F55/100),ABS(D55*E55/F55)),"")</f>
        <v/>
      </c>
    </row>
    <row r="56" spans="1:7">
      <c r="A56" s="236"/>
      <c r="B56" s="22" t="s">
        <v>2533</v>
      </c>
      <c r="C56" s="23"/>
      <c r="D56" s="24"/>
      <c r="E56" s="237"/>
      <c r="F56" s="26"/>
      <c r="G56" s="27">
        <f>SUM(G57:G58)</f>
        <v>75168.45</v>
      </c>
    </row>
    <row r="57" spans="1:7">
      <c r="A57" s="238" t="str">
        <f>IFERROR(_xlfn.XLOOKUP($B57,Insumo[DESCRIPCION],#REF!,,0),"")</f>
        <v/>
      </c>
      <c r="B57" s="29" t="s">
        <v>3664</v>
      </c>
      <c r="C57" s="30" t="str">
        <f>IFERROR(VLOOKUP($B57,Transporte[],2,0),"")</f>
        <v>M3-km</v>
      </c>
      <c r="D57" s="31">
        <f>35*1.4</f>
        <v>49</v>
      </c>
      <c r="E57" s="239">
        <f>IFERROR(VLOOKUP($B57,Transporte[],3,0),"")</f>
        <v>1534.05</v>
      </c>
      <c r="F57" s="33"/>
      <c r="G57" s="34">
        <f>IFERROR(IF(F57&gt;=0,D57*E57*(1+F57/100),ABS(D57*E57/F57)),"")</f>
        <v>75168.45</v>
      </c>
    </row>
    <row r="58" spans="1:7">
      <c r="A58" s="238" t="str">
        <f>IFERROR(_xlfn.XLOOKUP($B58,Insumo[DESCRIPCION],#REF!,,0),"")</f>
        <v/>
      </c>
      <c r="B58" s="29"/>
      <c r="C58" s="30" t="str">
        <f>IFERROR(VLOOKUP($B58,Transporte[],2,0),"")</f>
        <v/>
      </c>
      <c r="D58" s="31"/>
      <c r="E58" s="239" t="str">
        <f>IFERROR(VLOOKUP($B58,Transporte[],3,0),"")</f>
        <v/>
      </c>
      <c r="F58" s="33"/>
      <c r="G58" s="34" t="str">
        <f>IFERROR(IF(F58&gt;=0,D58*E58*(1+F58/100),ABS(D58*E58/F58)),"")</f>
        <v/>
      </c>
    </row>
    <row r="59" spans="1:7">
      <c r="A59" s="236"/>
      <c r="B59" s="22" t="s">
        <v>3732</v>
      </c>
      <c r="C59" s="23"/>
      <c r="D59" s="24"/>
      <c r="E59" s="237"/>
      <c r="F59" s="26"/>
      <c r="G59" s="27">
        <f>SUM(G60:G62)</f>
        <v>63314.803999687516</v>
      </c>
    </row>
    <row r="60" spans="1:7">
      <c r="A60" s="238" t="str">
        <f>IFERROR(_xlfn.XLOOKUP($B60,Insumo[DESCRIPCION],#REF!,,0),"")</f>
        <v/>
      </c>
      <c r="B60" s="29" t="s">
        <v>3714</v>
      </c>
      <c r="C60" s="30" t="str">
        <f>IFERROR(VLOOKUP($B60,MObra[],2,0),"")</f>
        <v>día</v>
      </c>
      <c r="D60" s="31">
        <v>1</v>
      </c>
      <c r="E60" s="239">
        <f>IFERROR(VLOOKUP($B60,MObra[],3,0),"")</f>
        <v>1013036.8639950003</v>
      </c>
      <c r="F60" s="33">
        <v>-16</v>
      </c>
      <c r="G60" s="34">
        <f>IFERROR(IF(F60&gt;=0,D60*E60*(1+F60/100),ABS(D60*E60/F60)),"")</f>
        <v>63314.803999687516</v>
      </c>
    </row>
    <row r="61" spans="1:7">
      <c r="A61" s="238" t="str">
        <f>IFERROR(_xlfn.XLOOKUP($B61,Insumo[DESCRIPCION],#REF!,,0),"")</f>
        <v/>
      </c>
      <c r="B61" s="29"/>
      <c r="C61" s="30" t="str">
        <f>IFERROR(VLOOKUP($B61,MObra[],2,0),"")</f>
        <v/>
      </c>
      <c r="D61" s="31"/>
      <c r="E61" s="239" t="str">
        <f>IFERROR(VLOOKUP($B61,MObra[],3,0),"")</f>
        <v/>
      </c>
      <c r="F61" s="33"/>
      <c r="G61" s="34" t="str">
        <f>IFERROR(IF(F61&gt;=0,D61*E61*(1+F61/100),ABS(D61*E61/F61)),"")</f>
        <v/>
      </c>
    </row>
    <row r="62" spans="1:7">
      <c r="A62" s="240" t="str">
        <f>IFERROR(_xlfn.XLOOKUP($B62,Insumo[DESCRIPCION],#REF!,,0),"")</f>
        <v/>
      </c>
      <c r="B62" s="36"/>
      <c r="C62" s="37" t="str">
        <f>IFERROR(VLOOKUP($B62,MObra[],2,0),"")</f>
        <v/>
      </c>
      <c r="D62" s="243"/>
      <c r="E62" s="241" t="str">
        <f>IFERROR(VLOOKUP($B62,MObra[],3,0),"")</f>
        <v/>
      </c>
      <c r="F62" s="244"/>
      <c r="G62" s="41" t="str">
        <f>IFERROR(IF(F62&gt;=0,D62*E62*(1+F62/100),ABS(D62*E62/F62)),"")</f>
        <v/>
      </c>
    </row>
    <row r="64" spans="1:7">
      <c r="A64" s="228" t="s">
        <v>3737</v>
      </c>
      <c r="B64" s="7" t="s">
        <v>3738</v>
      </c>
      <c r="C64" s="8" t="s">
        <v>52</v>
      </c>
      <c r="D64" s="9"/>
      <c r="E64" s="229"/>
      <c r="F64" s="11" t="s">
        <v>2589</v>
      </c>
      <c r="G64" s="12">
        <f>SUM(G66:G82)/2</f>
        <v>539976.72847964999</v>
      </c>
    </row>
    <row r="65" spans="1:7">
      <c r="A65" s="230"/>
      <c r="B65" s="231" t="s">
        <v>2586</v>
      </c>
      <c r="C65" s="231" t="s">
        <v>5</v>
      </c>
      <c r="D65" s="232" t="s">
        <v>6</v>
      </c>
      <c r="E65" s="233" t="s">
        <v>7</v>
      </c>
      <c r="F65" s="234" t="s">
        <v>3728</v>
      </c>
      <c r="G65" s="235" t="s">
        <v>3729</v>
      </c>
    </row>
    <row r="66" spans="1:7">
      <c r="A66" s="236"/>
      <c r="B66" s="22" t="s">
        <v>3730</v>
      </c>
      <c r="C66" s="23"/>
      <c r="D66" s="24"/>
      <c r="E66" s="237"/>
      <c r="F66" s="26"/>
      <c r="G66" s="27">
        <f>SUM(G67:G71)</f>
        <v>390545.56799999997</v>
      </c>
    </row>
    <row r="67" spans="1:7">
      <c r="A67" s="238" t="str">
        <f>IFERROR(_xlfn.XLOOKUP($B67,Insumo[DESCRIPCION],#REF!,,0),"")</f>
        <v/>
      </c>
      <c r="B67" s="29" t="s">
        <v>2824</v>
      </c>
      <c r="C67" s="30" t="str">
        <f>IFERROR(VLOOKUP($B67,Insumo[],2,0),"")</f>
        <v>Un</v>
      </c>
      <c r="D67" s="31">
        <v>7.6</v>
      </c>
      <c r="E67" s="239">
        <f>IFERROR(VLOOKUP($B67,Insumo[],3,0),"")</f>
        <v>34230</v>
      </c>
      <c r="F67" s="33"/>
      <c r="G67" s="34">
        <f>IFERROR(IF(F67&gt;=0,D67*E67*(1+F67/100),ABS(D67*E67/F67)),"")</f>
        <v>260148</v>
      </c>
    </row>
    <row r="68" spans="1:7">
      <c r="A68" s="238" t="str">
        <f>IFERROR(_xlfn.XLOOKUP($B68,Insumo[DESCRIPCION],#REF!,,0),"")</f>
        <v/>
      </c>
      <c r="B68" s="29" t="s">
        <v>2713</v>
      </c>
      <c r="C68" s="30" t="str">
        <f>IFERROR(VLOOKUP($B68,Insumo[],2,0),"")</f>
        <v>M3</v>
      </c>
      <c r="D68" s="31">
        <v>0.6</v>
      </c>
      <c r="E68" s="239">
        <f>IFERROR(VLOOKUP($B68,Insumo[],3,0),"")</f>
        <v>81268.95</v>
      </c>
      <c r="F68" s="33"/>
      <c r="G68" s="34">
        <f>IFERROR(IF(F68&gt;=0,D68*E68*(1+F68/100),ABS(D68*E68/F68)),"")</f>
        <v>48761.369999999995</v>
      </c>
    </row>
    <row r="69" spans="1:7">
      <c r="A69" s="238" t="str">
        <f>IFERROR(_xlfn.XLOOKUP($B69,Insumo[DESCRIPCION],#REF!,,0),"")</f>
        <v/>
      </c>
      <c r="B69" s="29" t="s">
        <v>3409</v>
      </c>
      <c r="C69" s="30" t="str">
        <f>IFERROR(VLOOKUP($B69,Insumo[],2,0),"")</f>
        <v>M3</v>
      </c>
      <c r="D69" s="31">
        <v>0.76</v>
      </c>
      <c r="E69" s="239">
        <f>IFERROR(VLOOKUP($B69,Insumo[],3,0),"")</f>
        <v>100591.05</v>
      </c>
      <c r="F69" s="33"/>
      <c r="G69" s="34">
        <f>IFERROR(IF(F69&gt;=0,D69*E69*(1+F69/100),ABS(D69*E69/F69)),"")</f>
        <v>76449.198000000004</v>
      </c>
    </row>
    <row r="70" spans="1:7">
      <c r="A70" s="238" t="str">
        <f>IFERROR(_xlfn.XLOOKUP($B70,Insumo[DESCRIPCION],#REF!,,0),"")</f>
        <v/>
      </c>
      <c r="B70" s="29" t="s">
        <v>2685</v>
      </c>
      <c r="C70" s="30" t="str">
        <f>IFERROR(VLOOKUP($B70,Insumo[],2,0),"")</f>
        <v>Lt</v>
      </c>
      <c r="D70" s="31">
        <v>190</v>
      </c>
      <c r="E70" s="239">
        <f>IFERROR(VLOOKUP($B70,Insumo[],3,0),"")</f>
        <v>27.3</v>
      </c>
      <c r="F70" s="33"/>
      <c r="G70" s="34">
        <f>IFERROR(IF(F70&gt;=0,D70*E70*(1+F70/100),ABS(D70*E70/F70)),"")</f>
        <v>5187</v>
      </c>
    </row>
    <row r="71" spans="1:7">
      <c r="A71" s="238" t="str">
        <f>IFERROR(_xlfn.XLOOKUP($B71,Insumo[DESCRIPCION],#REF!,,0),"")</f>
        <v/>
      </c>
      <c r="B71" s="29"/>
      <c r="C71" s="30" t="str">
        <f>IFERROR(VLOOKUP($B71,Insumo[],2,0),"")</f>
        <v/>
      </c>
      <c r="D71" s="31"/>
      <c r="E71" s="239" t="str">
        <f>IFERROR(VLOOKUP($B71,Insumo[],3,0),"")</f>
        <v/>
      </c>
      <c r="F71" s="33"/>
      <c r="G71" s="34" t="str">
        <f>IFERROR(IF(F71&gt;=0,D71*E71*(1+F71/100),ABS(D71*E71/F71)),"")</f>
        <v/>
      </c>
    </row>
    <row r="72" spans="1:7">
      <c r="A72" s="236"/>
      <c r="B72" s="22" t="s">
        <v>3731</v>
      </c>
      <c r="C72" s="23"/>
      <c r="D72" s="24"/>
      <c r="E72" s="237"/>
      <c r="F72" s="26"/>
      <c r="G72" s="27">
        <f>SUM(G73:G75)</f>
        <v>8874.5895466500006</v>
      </c>
    </row>
    <row r="73" spans="1:7">
      <c r="A73" s="238" t="str">
        <f>IFERROR(_xlfn.XLOOKUP($B73,Insumo[DESCRIPCION],#REF!,,0),"")</f>
        <v/>
      </c>
      <c r="B73" s="29" t="s">
        <v>3598</v>
      </c>
      <c r="C73" s="30" t="str">
        <f>IFERROR(VLOOKUP($B73,Equipo[],2,0),"")</f>
        <v>Día</v>
      </c>
      <c r="D73" s="31">
        <v>1</v>
      </c>
      <c r="E73" s="239">
        <f>IF($C73="%MO",G79,IFERROR(VLOOKUP($B73,Equipo[],3,0),""))</f>
        <v>82467</v>
      </c>
      <c r="F73" s="33">
        <v>-15</v>
      </c>
      <c r="G73" s="34">
        <f>IFERROR(IF(F73&gt;=0,D73*E73*(1+F73/100),ABS(D73*E73/F73)),"")</f>
        <v>5497.8</v>
      </c>
    </row>
    <row r="74" spans="1:7">
      <c r="A74" s="238" t="str">
        <f>IFERROR(_xlfn.XLOOKUP($B74,Insumo[DESCRIPCION],#REF!,,0),"")</f>
        <v/>
      </c>
      <c r="B74" s="29" t="s">
        <v>3626</v>
      </c>
      <c r="C74" s="30" t="str">
        <f>IFERROR(VLOOKUP($B74,Equipo[],2,0),"")</f>
        <v>%MO</v>
      </c>
      <c r="D74" s="242">
        <v>0.05</v>
      </c>
      <c r="E74" s="239">
        <f>IF($C74="%MO",G80,IFERROR(VLOOKUP($B74,Equipo[],3,0),""))</f>
        <v>67535.790933000011</v>
      </c>
      <c r="F74" s="33"/>
      <c r="G74" s="34">
        <f>IFERROR(IF(F74&gt;=0,D74*E74*(1+F74/100),ABS(D74*E74/F74)),"")</f>
        <v>3376.7895466500008</v>
      </c>
    </row>
    <row r="75" spans="1:7">
      <c r="A75" s="238" t="str">
        <f>IFERROR(_xlfn.XLOOKUP($B75,Insumo[DESCRIPCION],#REF!,,0),"")</f>
        <v/>
      </c>
      <c r="B75" s="29"/>
      <c r="C75" s="30" t="str">
        <f>IFERROR(VLOOKUP($B75,Equipo[],2,0),"")</f>
        <v/>
      </c>
      <c r="D75" s="31"/>
      <c r="E75" s="239" t="str">
        <f>IF($C75="%MO",G81,IFERROR(VLOOKUP($B75,Equipo[],3,0),""))</f>
        <v/>
      </c>
      <c r="F75" s="33"/>
      <c r="G75" s="34" t="str">
        <f>IFERROR(IF(F75&gt;=0,D75*E75*(1+F75/100),ABS(D75*E75/F75)),"")</f>
        <v/>
      </c>
    </row>
    <row r="76" spans="1:7">
      <c r="A76" s="236"/>
      <c r="B76" s="22" t="s">
        <v>2533</v>
      </c>
      <c r="C76" s="23"/>
      <c r="D76" s="24"/>
      <c r="E76" s="237"/>
      <c r="F76" s="26"/>
      <c r="G76" s="27">
        <f>SUM(G77:G78)</f>
        <v>73020.78</v>
      </c>
    </row>
    <row r="77" spans="1:7">
      <c r="A77" s="238" t="str">
        <f>IFERROR(_xlfn.XLOOKUP($B77,Insumo[DESCRIPCION],#REF!,,0),"")</f>
        <v/>
      </c>
      <c r="B77" s="29" t="s">
        <v>3664</v>
      </c>
      <c r="C77" s="30" t="str">
        <f>IFERROR(VLOOKUP($B77,Transporte[],2,0),"")</f>
        <v>M3-km</v>
      </c>
      <c r="D77" s="31">
        <f>35*1.36</f>
        <v>47.6</v>
      </c>
      <c r="E77" s="239">
        <f>IFERROR(VLOOKUP($B77,Transporte[],3,0),"")</f>
        <v>1534.05</v>
      </c>
      <c r="F77" s="33"/>
      <c r="G77" s="34">
        <f>IFERROR(IF(F77&gt;=0,D77*E77*(1+F77/100),ABS(D77*E77/F77)),"")</f>
        <v>73020.78</v>
      </c>
    </row>
    <row r="78" spans="1:7">
      <c r="A78" s="238" t="str">
        <f>IFERROR(_xlfn.XLOOKUP($B78,Insumo[DESCRIPCION],#REF!,,0),"")</f>
        <v/>
      </c>
      <c r="B78" s="29"/>
      <c r="C78" s="30" t="str">
        <f>IFERROR(VLOOKUP($B78,Transporte[],2,0),"")</f>
        <v/>
      </c>
      <c r="D78" s="31"/>
      <c r="E78" s="239" t="str">
        <f>IFERROR(VLOOKUP($B78,Transporte[],3,0),"")</f>
        <v/>
      </c>
      <c r="F78" s="33"/>
      <c r="G78" s="34" t="str">
        <f>IFERROR(IF(F78&gt;=0,D78*E78*(1+F78/100),ABS(D78*E78/F78)),"")</f>
        <v/>
      </c>
    </row>
    <row r="79" spans="1:7">
      <c r="A79" s="236"/>
      <c r="B79" s="22" t="s">
        <v>3732</v>
      </c>
      <c r="C79" s="23"/>
      <c r="D79" s="24"/>
      <c r="E79" s="237"/>
      <c r="F79" s="26"/>
      <c r="G79" s="27">
        <f>SUM(G80:G82)</f>
        <v>67535.790933000011</v>
      </c>
    </row>
    <row r="80" spans="1:7">
      <c r="A80" s="238" t="str">
        <f>IFERROR(_xlfn.XLOOKUP($B80,Insumo[DESCRIPCION],#REF!,,0),"")</f>
        <v/>
      </c>
      <c r="B80" s="29" t="s">
        <v>3714</v>
      </c>
      <c r="C80" s="30" t="str">
        <f>IFERROR(VLOOKUP($B80,MObra[],2,0),"")</f>
        <v>día</v>
      </c>
      <c r="D80" s="31">
        <v>1</v>
      </c>
      <c r="E80" s="239">
        <f>IFERROR(VLOOKUP($B80,MObra[],3,0),"")</f>
        <v>1013036.8639950003</v>
      </c>
      <c r="F80" s="33">
        <v>-15</v>
      </c>
      <c r="G80" s="34">
        <f>IFERROR(IF(F80&gt;=0,D80*E80*(1+F80/100),ABS(D80*E80/F80)),"")</f>
        <v>67535.790933000011</v>
      </c>
    </row>
    <row r="81" spans="1:7">
      <c r="A81" s="238" t="str">
        <f>IFERROR(_xlfn.XLOOKUP($B81,Insumo[DESCRIPCION],#REF!,,0),"")</f>
        <v/>
      </c>
      <c r="B81" s="29"/>
      <c r="C81" s="30" t="str">
        <f>IFERROR(VLOOKUP($B81,MObra[],2,0),"")</f>
        <v/>
      </c>
      <c r="D81" s="31"/>
      <c r="E81" s="239" t="str">
        <f>IFERROR(VLOOKUP($B81,MObra[],3,0),"")</f>
        <v/>
      </c>
      <c r="F81" s="33"/>
      <c r="G81" s="34" t="str">
        <f>IFERROR(IF(F81&gt;=0,D81*E81*(1+F81/100),ABS(D81*E81/F81)),"")</f>
        <v/>
      </c>
    </row>
    <row r="82" spans="1:7">
      <c r="A82" s="240" t="str">
        <f>IFERROR(_xlfn.XLOOKUP($B82,Insumo[DESCRIPCION],#REF!,,0),"")</f>
        <v/>
      </c>
      <c r="B82" s="36"/>
      <c r="C82" s="37" t="str">
        <f>IFERROR(VLOOKUP($B82,MObra[],2,0),"")</f>
        <v/>
      </c>
      <c r="D82" s="243"/>
      <c r="E82" s="241" t="str">
        <f>IFERROR(VLOOKUP($B82,MObra[],3,0),"")</f>
        <v/>
      </c>
      <c r="F82" s="244"/>
      <c r="G82" s="41" t="str">
        <f>IFERROR(IF(F82&gt;=0,D82*E82*(1+F82/100),ABS(D82*E82/F82)),"")</f>
        <v/>
      </c>
    </row>
    <row r="84" spans="1:7">
      <c r="A84" s="228" t="s">
        <v>3739</v>
      </c>
      <c r="B84" s="7" t="s">
        <v>3740</v>
      </c>
      <c r="C84" s="8" t="s">
        <v>52</v>
      </c>
      <c r="D84" s="9"/>
      <c r="E84" s="229"/>
      <c r="F84" s="11" t="s">
        <v>2589</v>
      </c>
      <c r="G84" s="12">
        <f>SUM(G86:G102)/2</f>
        <v>568653.40979962505</v>
      </c>
    </row>
    <row r="85" spans="1:7">
      <c r="A85" s="230"/>
      <c r="B85" s="231" t="s">
        <v>2586</v>
      </c>
      <c r="C85" s="231" t="s">
        <v>5</v>
      </c>
      <c r="D85" s="232" t="s">
        <v>6</v>
      </c>
      <c r="E85" s="233" t="s">
        <v>7</v>
      </c>
      <c r="F85" s="234" t="s">
        <v>3728</v>
      </c>
      <c r="G85" s="235" t="s">
        <v>3729</v>
      </c>
    </row>
    <row r="86" spans="1:7">
      <c r="A86" s="236"/>
      <c r="B86" s="22" t="s">
        <v>3730</v>
      </c>
      <c r="C86" s="23"/>
      <c r="D86" s="24"/>
      <c r="E86" s="237"/>
      <c r="F86" s="26"/>
      <c r="G86" s="27">
        <f>SUM(G87:G91)</f>
        <v>414838.2</v>
      </c>
    </row>
    <row r="87" spans="1:7">
      <c r="A87" s="238" t="str">
        <f>IFERROR(_xlfn.XLOOKUP($B87,Insumo[DESCRIPCION],#REF!,,0),"")</f>
        <v/>
      </c>
      <c r="B87" s="29" t="s">
        <v>2824</v>
      </c>
      <c r="C87" s="30" t="str">
        <f>IFERROR(VLOOKUP($B87,Insumo[],2,0),"")</f>
        <v>Un</v>
      </c>
      <c r="D87" s="31">
        <v>8.4</v>
      </c>
      <c r="E87" s="239">
        <f>IFERROR(VLOOKUP($B87,Insumo[],3,0),"")</f>
        <v>34230</v>
      </c>
      <c r="F87" s="33"/>
      <c r="G87" s="34">
        <f>IFERROR(IF(F87&gt;=0,D87*E87*(1+F87/100),ABS(D87*E87/F87)),"")</f>
        <v>287532</v>
      </c>
    </row>
    <row r="88" spans="1:7">
      <c r="A88" s="238" t="str">
        <f>IFERROR(_xlfn.XLOOKUP($B88,Insumo[DESCRIPCION],#REF!,,0),"")</f>
        <v/>
      </c>
      <c r="B88" s="29" t="s">
        <v>2713</v>
      </c>
      <c r="C88" s="30" t="str">
        <f>IFERROR(VLOOKUP($B88,Insumo[],2,0),"")</f>
        <v>M3</v>
      </c>
      <c r="D88" s="31">
        <v>0.67</v>
      </c>
      <c r="E88" s="239">
        <f>IFERROR(VLOOKUP($B88,Insumo[],3,0),"")</f>
        <v>81268.95</v>
      </c>
      <c r="F88" s="33"/>
      <c r="G88" s="34">
        <f>IFERROR(IF(F88&gt;=0,D88*E88*(1+F88/100),ABS(D88*E88/F88)),"")</f>
        <v>54450.196499999998</v>
      </c>
    </row>
    <row r="89" spans="1:7">
      <c r="A89" s="238" t="str">
        <f>IFERROR(_xlfn.XLOOKUP($B89,Insumo[DESCRIPCION],#REF!,,0),"")</f>
        <v/>
      </c>
      <c r="B89" s="29" t="s">
        <v>3409</v>
      </c>
      <c r="C89" s="30" t="str">
        <f>IFERROR(VLOOKUP($B89,Insumo[],2,0),"")</f>
        <v>M3</v>
      </c>
      <c r="D89" s="31">
        <v>0.67</v>
      </c>
      <c r="E89" s="239">
        <f>IFERROR(VLOOKUP($B89,Insumo[],3,0),"")</f>
        <v>100591.05</v>
      </c>
      <c r="F89" s="33"/>
      <c r="G89" s="34">
        <f>IFERROR(IF(F89&gt;=0,D89*E89*(1+F89/100),ABS(D89*E89/F89)),"")</f>
        <v>67396.003500000006</v>
      </c>
    </row>
    <row r="90" spans="1:7">
      <c r="A90" s="238" t="str">
        <f>IFERROR(_xlfn.XLOOKUP($B90,Insumo[DESCRIPCION],#REF!,,0),"")</f>
        <v/>
      </c>
      <c r="B90" s="29" t="s">
        <v>2685</v>
      </c>
      <c r="C90" s="30" t="str">
        <f>IFERROR(VLOOKUP($B90,Insumo[],2,0),"")</f>
        <v>Lt</v>
      </c>
      <c r="D90" s="31">
        <v>200</v>
      </c>
      <c r="E90" s="239">
        <f>IFERROR(VLOOKUP($B90,Insumo[],3,0),"")</f>
        <v>27.3</v>
      </c>
      <c r="F90" s="33"/>
      <c r="G90" s="34">
        <f>IFERROR(IF(F90&gt;=0,D90*E90*(1+F90/100),ABS(D90*E90/F90)),"")</f>
        <v>5460</v>
      </c>
    </row>
    <row r="91" spans="1:7">
      <c r="A91" s="238" t="str">
        <f>IFERROR(_xlfn.XLOOKUP($B91,Insumo[DESCRIPCION],#REF!,,0),"")</f>
        <v/>
      </c>
      <c r="B91" s="29"/>
      <c r="C91" s="30" t="str">
        <f>IFERROR(VLOOKUP($B91,Insumo[],2,0),"")</f>
        <v/>
      </c>
      <c r="D91" s="31"/>
      <c r="E91" s="239" t="str">
        <f>IFERROR(VLOOKUP($B91,Insumo[],3,0),"")</f>
        <v/>
      </c>
      <c r="F91" s="33"/>
      <c r="G91" s="34" t="str">
        <f>IFERROR(IF(F91&gt;=0,D91*E91*(1+F91/100),ABS(D91*E91/F91)),"")</f>
        <v/>
      </c>
    </row>
    <row r="92" spans="1:7">
      <c r="A92" s="236"/>
      <c r="B92" s="22" t="s">
        <v>3731</v>
      </c>
      <c r="C92" s="23"/>
      <c r="D92" s="24"/>
      <c r="E92" s="237"/>
      <c r="F92" s="26"/>
      <c r="G92" s="27">
        <f>SUM(G93:G95)</f>
        <v>9508.488799982144</v>
      </c>
    </row>
    <row r="93" spans="1:7">
      <c r="A93" s="238" t="str">
        <f>IFERROR(_xlfn.XLOOKUP($B93,Insumo[DESCRIPCION],#REF!,,0),"")</f>
        <v/>
      </c>
      <c r="B93" s="29" t="s">
        <v>3598</v>
      </c>
      <c r="C93" s="30" t="str">
        <f>IFERROR(VLOOKUP($B93,Equipo[],2,0),"")</f>
        <v>Día</v>
      </c>
      <c r="D93" s="31">
        <v>1</v>
      </c>
      <c r="E93" s="239">
        <f>IF($C93="%MO",G99,IFERROR(VLOOKUP($B93,Equipo[],3,0),""))</f>
        <v>82467</v>
      </c>
      <c r="F93" s="33">
        <v>-14</v>
      </c>
      <c r="G93" s="34">
        <f>IFERROR(IF(F93&gt;=0,D93*E93*(1+F93/100),ABS(D93*E93/F93)),"")</f>
        <v>5890.5</v>
      </c>
    </row>
    <row r="94" spans="1:7">
      <c r="A94" s="238" t="str">
        <f>IFERROR(_xlfn.XLOOKUP($B94,Insumo[DESCRIPCION],#REF!,,0),"")</f>
        <v/>
      </c>
      <c r="B94" s="29" t="s">
        <v>3626</v>
      </c>
      <c r="C94" s="30" t="str">
        <f>IFERROR(VLOOKUP($B94,Equipo[],2,0),"")</f>
        <v>%MO</v>
      </c>
      <c r="D94" s="242">
        <v>0.05</v>
      </c>
      <c r="E94" s="239">
        <f>IF($C94="%MO",G100,IFERROR(VLOOKUP($B94,Equipo[],3,0),""))</f>
        <v>72359.775999642879</v>
      </c>
      <c r="F94" s="33"/>
      <c r="G94" s="34">
        <f>IFERROR(IF(F94&gt;=0,D94*E94*(1+F94/100),ABS(D94*E94/F94)),"")</f>
        <v>3617.988799982144</v>
      </c>
    </row>
    <row r="95" spans="1:7">
      <c r="A95" s="238" t="str">
        <f>IFERROR(_xlfn.XLOOKUP($B95,Insumo[DESCRIPCION],#REF!,,0),"")</f>
        <v/>
      </c>
      <c r="B95" s="29"/>
      <c r="C95" s="30" t="str">
        <f>IFERROR(VLOOKUP($B95,Equipo[],2,0),"")</f>
        <v/>
      </c>
      <c r="D95" s="31"/>
      <c r="E95" s="239" t="str">
        <f>IF($C95="%MO",G101,IFERROR(VLOOKUP($B95,Equipo[],3,0),""))</f>
        <v/>
      </c>
      <c r="F95" s="33"/>
      <c r="G95" s="34" t="str">
        <f>IFERROR(IF(F95&gt;=0,D95*E95*(1+F95/100),ABS(D95*E95/F95)),"")</f>
        <v/>
      </c>
    </row>
    <row r="96" spans="1:7">
      <c r="A96" s="236"/>
      <c r="B96" s="22" t="s">
        <v>2533</v>
      </c>
      <c r="C96" s="23"/>
      <c r="D96" s="24"/>
      <c r="E96" s="237"/>
      <c r="F96" s="26"/>
      <c r="G96" s="27">
        <f>SUM(G97:G98)</f>
        <v>71946.945000000007</v>
      </c>
    </row>
    <row r="97" spans="1:7">
      <c r="A97" s="238" t="str">
        <f>IFERROR(_xlfn.XLOOKUP($B97,Insumo[DESCRIPCION],#REF!,,0),"")</f>
        <v/>
      </c>
      <c r="B97" s="29" t="s">
        <v>3664</v>
      </c>
      <c r="C97" s="30" t="str">
        <f>IFERROR(VLOOKUP($B97,Transporte[],2,0),"")</f>
        <v>M3-km</v>
      </c>
      <c r="D97" s="31">
        <f>35*1.34</f>
        <v>46.900000000000006</v>
      </c>
      <c r="E97" s="239">
        <f>IFERROR(VLOOKUP($B97,Transporte[],3,0),"")</f>
        <v>1534.05</v>
      </c>
      <c r="F97" s="33"/>
      <c r="G97" s="34">
        <f>IFERROR(IF(F97&gt;=0,D97*E97*(1+F97/100),ABS(D97*E97/F97)),"")</f>
        <v>71946.945000000007</v>
      </c>
    </row>
    <row r="98" spans="1:7">
      <c r="A98" s="238" t="str">
        <f>IFERROR(_xlfn.XLOOKUP($B98,Insumo[DESCRIPCION],#REF!,,0),"")</f>
        <v/>
      </c>
      <c r="B98" s="29"/>
      <c r="C98" s="30" t="str">
        <f>IFERROR(VLOOKUP($B98,Transporte[],2,0),"")</f>
        <v/>
      </c>
      <c r="D98" s="31"/>
      <c r="E98" s="239" t="str">
        <f>IFERROR(VLOOKUP($B98,Transporte[],3,0),"")</f>
        <v/>
      </c>
      <c r="F98" s="33"/>
      <c r="G98" s="34" t="str">
        <f>IFERROR(IF(F98&gt;=0,D98*E98*(1+F98/100),ABS(D98*E98/F98)),"")</f>
        <v/>
      </c>
    </row>
    <row r="99" spans="1:7">
      <c r="A99" s="236"/>
      <c r="B99" s="22" t="s">
        <v>3732</v>
      </c>
      <c r="C99" s="23"/>
      <c r="D99" s="24"/>
      <c r="E99" s="237"/>
      <c r="F99" s="26"/>
      <c r="G99" s="27">
        <f>SUM(G100:G102)</f>
        <v>72359.775999642879</v>
      </c>
    </row>
    <row r="100" spans="1:7">
      <c r="A100" s="238" t="str">
        <f>IFERROR(_xlfn.XLOOKUP($B100,Insumo[DESCRIPCION],#REF!,,0),"")</f>
        <v/>
      </c>
      <c r="B100" s="29" t="s">
        <v>3714</v>
      </c>
      <c r="C100" s="30" t="str">
        <f>IFERROR(VLOOKUP($B100,MObra[],2,0),"")</f>
        <v>día</v>
      </c>
      <c r="D100" s="31">
        <v>1</v>
      </c>
      <c r="E100" s="239">
        <f>IFERROR(VLOOKUP($B100,MObra[],3,0),"")</f>
        <v>1013036.8639950003</v>
      </c>
      <c r="F100" s="33">
        <v>-14</v>
      </c>
      <c r="G100" s="34">
        <f>IFERROR(IF(F100&gt;=0,D100*E100*(1+F100/100),ABS(D100*E100/F100)),"")</f>
        <v>72359.775999642879</v>
      </c>
    </row>
    <row r="101" spans="1:7">
      <c r="A101" s="238" t="str">
        <f>IFERROR(_xlfn.XLOOKUP($B101,Insumo[DESCRIPCION],#REF!,,0),"")</f>
        <v/>
      </c>
      <c r="B101" s="29"/>
      <c r="C101" s="30" t="str">
        <f>IFERROR(VLOOKUP($B101,MObra[],2,0),"")</f>
        <v/>
      </c>
      <c r="D101" s="31"/>
      <c r="E101" s="239" t="str">
        <f>IFERROR(VLOOKUP($B101,MObra[],3,0),"")</f>
        <v/>
      </c>
      <c r="F101" s="33"/>
      <c r="G101" s="34" t="str">
        <f>IFERROR(IF(F101&gt;=0,D101*E101*(1+F101/100),ABS(D101*E101/F101)),"")</f>
        <v/>
      </c>
    </row>
    <row r="102" spans="1:7">
      <c r="A102" s="240" t="str">
        <f>IFERROR(_xlfn.XLOOKUP($B102,Insumo[DESCRIPCION],#REF!,,0),"")</f>
        <v/>
      </c>
      <c r="B102" s="36"/>
      <c r="C102" s="37" t="str">
        <f>IFERROR(VLOOKUP($B102,MObra[],2,0),"")</f>
        <v/>
      </c>
      <c r="D102" s="243"/>
      <c r="E102" s="241" t="str">
        <f>IFERROR(VLOOKUP($B102,MObra[],3,0),"")</f>
        <v/>
      </c>
      <c r="F102" s="244"/>
      <c r="G102" s="41" t="str">
        <f>IFERROR(IF(F102&gt;=0,D102*E102*(1+F102/100),ABS(D102*E102/F102)),"")</f>
        <v/>
      </c>
    </row>
    <row r="104" spans="1:7">
      <c r="A104" s="228" t="s">
        <v>3739</v>
      </c>
      <c r="B104" s="7" t="s">
        <v>3741</v>
      </c>
      <c r="C104" s="8" t="s">
        <v>52</v>
      </c>
      <c r="D104" s="9">
        <v>30</v>
      </c>
      <c r="E104" s="229"/>
      <c r="F104" s="11" t="s">
        <v>2589</v>
      </c>
      <c r="G104" s="12">
        <f>SUM(G106:G122)/2</f>
        <v>448803.47291697015</v>
      </c>
    </row>
    <row r="105" spans="1:7">
      <c r="A105" s="230"/>
      <c r="B105" s="231" t="s">
        <v>2586</v>
      </c>
      <c r="C105" s="231" t="s">
        <v>5</v>
      </c>
      <c r="D105" s="232" t="s">
        <v>6</v>
      </c>
      <c r="E105" s="233" t="s">
        <v>7</v>
      </c>
      <c r="F105" s="234" t="s">
        <v>3728</v>
      </c>
      <c r="G105" s="235" t="s">
        <v>3729</v>
      </c>
    </row>
    <row r="106" spans="1:7">
      <c r="A106" s="236"/>
      <c r="B106" s="22" t="s">
        <v>3730</v>
      </c>
      <c r="C106" s="23"/>
      <c r="D106" s="24"/>
      <c r="E106" s="237"/>
      <c r="F106" s="26"/>
      <c r="G106" s="27">
        <f>SUM(G107:G111)</f>
        <v>297744.71580000001</v>
      </c>
    </row>
    <row r="107" spans="1:7">
      <c r="A107" s="238" t="str">
        <f>IFERROR(_xlfn.XLOOKUP($B107,Insumo[DESCRIPCION],#REF!,,0),"")</f>
        <v/>
      </c>
      <c r="B107" s="29" t="s">
        <v>2824</v>
      </c>
      <c r="C107" s="30" t="str">
        <f>IFERROR(VLOOKUP($B107,Insumo[],2,0),"")</f>
        <v>Un</v>
      </c>
      <c r="D107" s="31">
        <v>4.8999999999999995</v>
      </c>
      <c r="E107" s="239">
        <f>IFERROR(VLOOKUP($B107,Insumo[],3,0),"")</f>
        <v>34230</v>
      </c>
      <c r="F107" s="33"/>
      <c r="G107" s="34">
        <f>IFERROR(IF(F107&gt;=0,D107*E107*(1+F107/100),ABS(D107*E107/F107)),"")</f>
        <v>167726.99999999997</v>
      </c>
    </row>
    <row r="108" spans="1:7">
      <c r="A108" s="238" t="str">
        <f>IFERROR(_xlfn.XLOOKUP($B108,Insumo[DESCRIPCION],#REF!,,0),"")</f>
        <v/>
      </c>
      <c r="B108" s="29" t="s">
        <v>2713</v>
      </c>
      <c r="C108" s="30" t="str">
        <f>IFERROR(VLOOKUP($B108,Insumo[],2,0),"")</f>
        <v>M3</v>
      </c>
      <c r="D108" s="31">
        <v>0.39200000000000002</v>
      </c>
      <c r="E108" s="239">
        <f>IFERROR(VLOOKUP($B108,Insumo[],3,0),"")</f>
        <v>81268.95</v>
      </c>
      <c r="F108" s="33"/>
      <c r="G108" s="34">
        <f>IFERROR(IF(F108&gt;=0,D108*E108*(1+F108/100),ABS(D108*E108/F108)),"")</f>
        <v>31857.428400000001</v>
      </c>
    </row>
    <row r="109" spans="1:7">
      <c r="A109" s="238" t="str">
        <f>IFERROR(_xlfn.XLOOKUP($B109,Insumo[DESCRIPCION],#REF!,,0),"")</f>
        <v/>
      </c>
      <c r="B109" s="29" t="s">
        <v>3409</v>
      </c>
      <c r="C109" s="30" t="str">
        <f>IFERROR(VLOOKUP($B109,Insumo[],2,0),"")</f>
        <v>M3</v>
      </c>
      <c r="D109" s="31">
        <v>0.58799999999999997</v>
      </c>
      <c r="E109" s="239">
        <f>IFERROR(VLOOKUP($B109,Insumo[],3,0),"")</f>
        <v>100591.05</v>
      </c>
      <c r="F109" s="33"/>
      <c r="G109" s="34">
        <f>IFERROR(IF(F109&gt;=0,D109*E109*(1+F109/100),ABS(D109*E109/F109)),"")</f>
        <v>59147.537400000001</v>
      </c>
    </row>
    <row r="110" spans="1:7">
      <c r="A110" s="238" t="str">
        <f>IFERROR(_xlfn.XLOOKUP($B110,Insumo[DESCRIPCION],#REF!,,0),"")</f>
        <v/>
      </c>
      <c r="B110" s="29" t="s">
        <v>2685</v>
      </c>
      <c r="C110" s="30" t="str">
        <f>IFERROR(VLOOKUP($B110,Insumo[],2,0),"")</f>
        <v>Lt</v>
      </c>
      <c r="D110" s="31">
        <v>180</v>
      </c>
      <c r="E110" s="239">
        <f>IFERROR(VLOOKUP($B110,Insumo[],3,0),"")</f>
        <v>27.3</v>
      </c>
      <c r="F110" s="33"/>
      <c r="G110" s="34">
        <f>IFERROR(IF(F110&gt;=0,D110*E110*(1+F110/100),ABS(D110*E110/F110)),"")</f>
        <v>4914</v>
      </c>
    </row>
    <row r="111" spans="1:7">
      <c r="A111" s="238" t="str">
        <f>IFERROR(_xlfn.XLOOKUP($B111,Insumo[DESCRIPCION],#REF!,,0),"")</f>
        <v/>
      </c>
      <c r="B111" s="29" t="s">
        <v>3201</v>
      </c>
      <c r="C111" s="30" t="str">
        <f>IFERROR(VLOOKUP($B111,Insumo[],2,0),"")</f>
        <v>M3</v>
      </c>
      <c r="D111" s="31">
        <v>0.3</v>
      </c>
      <c r="E111" s="239">
        <f>IFERROR(VLOOKUP($B111,Insumo[],3,0),"")</f>
        <v>113662.5</v>
      </c>
      <c r="F111" s="33"/>
      <c r="G111" s="34">
        <f>IFERROR(IF(F111&gt;=0,D111*E111*(1+F111/100),ABS(D111*E111/F111)),"")</f>
        <v>34098.75</v>
      </c>
    </row>
    <row r="112" spans="1:7">
      <c r="A112" s="236"/>
      <c r="B112" s="22" t="s">
        <v>3731</v>
      </c>
      <c r="C112" s="23"/>
      <c r="D112" s="24"/>
      <c r="E112" s="237"/>
      <c r="F112" s="26"/>
      <c r="G112" s="27">
        <f>SUM(G113:G115)</f>
        <v>11576.02118397</v>
      </c>
    </row>
    <row r="113" spans="1:7">
      <c r="A113" s="238" t="str">
        <f>IFERROR(_xlfn.XLOOKUP($B113,Insumo[DESCRIPCION],#REF!,,0),"")</f>
        <v/>
      </c>
      <c r="B113" s="29" t="s">
        <v>3598</v>
      </c>
      <c r="C113" s="30" t="str">
        <f>IFERROR(VLOOKUP($B113,Equipo[],2,0),"")</f>
        <v>Día</v>
      </c>
      <c r="D113" s="31">
        <v>1</v>
      </c>
      <c r="E113" s="239">
        <f>IF($C113="%MO",G119,IFERROR(VLOOKUP($B113,Equipo[],3,0),""))</f>
        <v>82467</v>
      </c>
      <c r="F113" s="33">
        <v>-15</v>
      </c>
      <c r="G113" s="34">
        <f>IFERROR(IF(F113&gt;=0,D113*E113*(1+F113/100),ABS(D113*E113/F113)),"")</f>
        <v>5497.8</v>
      </c>
    </row>
    <row r="114" spans="1:7">
      <c r="A114" s="238" t="str">
        <f>IFERROR(_xlfn.XLOOKUP($B114,Insumo[DESCRIPCION],#REF!,,0),"")</f>
        <v/>
      </c>
      <c r="B114" s="29" t="s">
        <v>3626</v>
      </c>
      <c r="C114" s="30" t="str">
        <f>IFERROR(VLOOKUP($B114,Equipo[],2,0),"")</f>
        <v>%MO</v>
      </c>
      <c r="D114" s="242">
        <v>0.05</v>
      </c>
      <c r="E114" s="239">
        <f>IF($C114="%MO",G120,IFERROR(VLOOKUP($B114,Equipo[],3,0),""))</f>
        <v>67535.790933000011</v>
      </c>
      <c r="F114" s="33"/>
      <c r="G114" s="34">
        <f>IFERROR(IF(F114&gt;=0,D114*E114*(1+F114/100),ABS(D114*E114/F114)),"")</f>
        <v>3376.7895466500008</v>
      </c>
    </row>
    <row r="115" spans="1:7">
      <c r="A115" s="238" t="str">
        <f>IFERROR(_xlfn.XLOOKUP($B115,Insumo[DESCRIPCION],#REF!,,0),"")</f>
        <v/>
      </c>
      <c r="B115" s="29" t="s">
        <v>3570</v>
      </c>
      <c r="C115" s="30" t="str">
        <f>IFERROR(VLOOKUP($B115,Equipo[],2,0),"")</f>
        <v>%MO</v>
      </c>
      <c r="D115" s="31">
        <v>0.04</v>
      </c>
      <c r="E115" s="239">
        <f>IF($C115="%MO",G119,IFERROR(VLOOKUP($B115,Equipo[],3,0),""))</f>
        <v>67535.790933000011</v>
      </c>
      <c r="F115" s="33"/>
      <c r="G115" s="34">
        <f>IFERROR(IF(F115&gt;=0,D115*E115*(1+F115/100),ABS(D115*E115/F115)),"")</f>
        <v>2701.4316373200004</v>
      </c>
    </row>
    <row r="116" spans="1:7">
      <c r="A116" s="236"/>
      <c r="B116" s="22" t="s">
        <v>2533</v>
      </c>
      <c r="C116" s="23"/>
      <c r="D116" s="24"/>
      <c r="E116" s="237"/>
      <c r="F116" s="26"/>
      <c r="G116" s="27">
        <f>SUM(G117:G118)</f>
        <v>71946.945000000007</v>
      </c>
    </row>
    <row r="117" spans="1:7">
      <c r="A117" s="238" t="str">
        <f>IFERROR(_xlfn.XLOOKUP($B117,Insumo[DESCRIPCION],#REF!,,0),"")</f>
        <v/>
      </c>
      <c r="B117" s="29" t="s">
        <v>3664</v>
      </c>
      <c r="C117" s="30" t="str">
        <f>IFERROR(VLOOKUP($B117,Transporte[],2,0),"")</f>
        <v>M3-km</v>
      </c>
      <c r="D117" s="31">
        <f>35*1.34</f>
        <v>46.900000000000006</v>
      </c>
      <c r="E117" s="239">
        <f>IFERROR(VLOOKUP($B117,Transporte[],3,0),"")</f>
        <v>1534.05</v>
      </c>
      <c r="F117" s="33"/>
      <c r="G117" s="34">
        <f>IFERROR(IF(F117&gt;=0,D117*E117*(1+F117/100),ABS(D117*E117/F117)),"")</f>
        <v>71946.945000000007</v>
      </c>
    </row>
    <row r="118" spans="1:7">
      <c r="A118" s="238" t="str">
        <f>IFERROR(_xlfn.XLOOKUP($B118,Insumo[DESCRIPCION],#REF!,,0),"")</f>
        <v/>
      </c>
      <c r="B118" s="29"/>
      <c r="C118" s="30" t="str">
        <f>IFERROR(VLOOKUP($B118,Transporte[],2,0),"")</f>
        <v/>
      </c>
      <c r="D118" s="31"/>
      <c r="E118" s="239" t="str">
        <f>IFERROR(VLOOKUP($B118,Transporte[],3,0),"")</f>
        <v/>
      </c>
      <c r="F118" s="33"/>
      <c r="G118" s="34" t="str">
        <f>IFERROR(IF(F118&gt;=0,D118*E118*(1+F118/100),ABS(D118*E118/F118)),"")</f>
        <v/>
      </c>
    </row>
    <row r="119" spans="1:7">
      <c r="A119" s="236"/>
      <c r="B119" s="22" t="s">
        <v>3732</v>
      </c>
      <c r="C119" s="23"/>
      <c r="D119" s="24"/>
      <c r="E119" s="237"/>
      <c r="F119" s="26"/>
      <c r="G119" s="27">
        <f>SUM(G120:G122)</f>
        <v>67535.790933000011</v>
      </c>
    </row>
    <row r="120" spans="1:7">
      <c r="A120" s="238" t="str">
        <f>IFERROR(_xlfn.XLOOKUP($B120,Insumo[DESCRIPCION],#REF!,,0),"")</f>
        <v/>
      </c>
      <c r="B120" s="29" t="s">
        <v>3714</v>
      </c>
      <c r="C120" s="30" t="str">
        <f>IFERROR(VLOOKUP($B120,MObra[],2,0),"")</f>
        <v>día</v>
      </c>
      <c r="D120" s="31">
        <v>1</v>
      </c>
      <c r="E120" s="239">
        <f>IFERROR(VLOOKUP($B120,MObra[],3,0),"")</f>
        <v>1013036.8639950003</v>
      </c>
      <c r="F120" s="33">
        <v>-15</v>
      </c>
      <c r="G120" s="34">
        <f>IFERROR(IF(F120&gt;=0,D120*E120*(1+F120/100),ABS(D120*E120/F120)),"")</f>
        <v>67535.790933000011</v>
      </c>
    </row>
    <row r="121" spans="1:7">
      <c r="A121" s="238" t="str">
        <f>IFERROR(_xlfn.XLOOKUP($B121,Insumo[DESCRIPCION],#REF!,,0),"")</f>
        <v/>
      </c>
      <c r="B121" s="29"/>
      <c r="C121" s="30" t="str">
        <f>IFERROR(VLOOKUP($B121,MObra[],2,0),"")</f>
        <v/>
      </c>
      <c r="D121" s="31"/>
      <c r="E121" s="239" t="str">
        <f>IFERROR(VLOOKUP($B121,MObra[],3,0),"")</f>
        <v/>
      </c>
      <c r="F121" s="33"/>
      <c r="G121" s="34" t="str">
        <f>IFERROR(IF(F121&gt;=0,D121*E121*(1+F121/100),ABS(D121*E121/F121)),"")</f>
        <v/>
      </c>
    </row>
    <row r="122" spans="1:7">
      <c r="A122" s="240" t="str">
        <f>IFERROR(_xlfn.XLOOKUP($B122,Insumo[DESCRIPCION],#REF!,,0),"")</f>
        <v/>
      </c>
      <c r="B122" s="36"/>
      <c r="C122" s="37" t="str">
        <f>IFERROR(VLOOKUP($B122,MObra[],2,0),"")</f>
        <v/>
      </c>
      <c r="D122" s="243"/>
      <c r="E122" s="241" t="str">
        <f>IFERROR(VLOOKUP($B122,MObra[],3,0),"")</f>
        <v/>
      </c>
      <c r="F122" s="244"/>
      <c r="G122" s="41" t="str">
        <f>IFERROR(IF(F122&gt;=0,D122*E122*(1+F122/100),ABS(D122*E122/F122)),"")</f>
        <v/>
      </c>
    </row>
    <row r="124" spans="1:7">
      <c r="A124" s="228" t="s">
        <v>3742</v>
      </c>
      <c r="B124" s="7" t="s">
        <v>3743</v>
      </c>
      <c r="C124" s="8" t="s">
        <v>52</v>
      </c>
      <c r="D124" s="9"/>
      <c r="E124" s="229"/>
      <c r="F124" s="11" t="s">
        <v>2589</v>
      </c>
      <c r="G124" s="12">
        <f>SUM(G126:G142)/2</f>
        <v>566595.08393775008</v>
      </c>
    </row>
    <row r="125" spans="1:7">
      <c r="A125" s="230"/>
      <c r="B125" s="231" t="s">
        <v>2586</v>
      </c>
      <c r="C125" s="231" t="s">
        <v>5</v>
      </c>
      <c r="D125" s="232" t="s">
        <v>6</v>
      </c>
      <c r="E125" s="233" t="s">
        <v>7</v>
      </c>
      <c r="F125" s="234" t="s">
        <v>3728</v>
      </c>
      <c r="G125" s="235" t="s">
        <v>3729</v>
      </c>
    </row>
    <row r="126" spans="1:7">
      <c r="A126" s="236"/>
      <c r="B126" s="22" t="s">
        <v>3730</v>
      </c>
      <c r="C126" s="23"/>
      <c r="D126" s="24"/>
      <c r="E126" s="237"/>
      <c r="F126" s="26"/>
      <c r="G126" s="27">
        <f>SUM(G127:G131)</f>
        <v>471392.15549999999</v>
      </c>
    </row>
    <row r="127" spans="1:7">
      <c r="A127" s="238" t="str">
        <f>IFERROR(_xlfn.XLOOKUP($B127,Insumo[DESCRIPCION],#REF!,,0),"")</f>
        <v/>
      </c>
      <c r="B127" s="29" t="s">
        <v>2824</v>
      </c>
      <c r="C127" s="30" t="str">
        <f>IFERROR(VLOOKUP($B127,Insumo[],2,0),"")</f>
        <v>Un</v>
      </c>
      <c r="D127" s="31">
        <v>11</v>
      </c>
      <c r="E127" s="239">
        <f>IFERROR(VLOOKUP($B127,Insumo[],3,0),"")</f>
        <v>34230</v>
      </c>
      <c r="F127" s="33"/>
      <c r="G127" s="34">
        <f>IFERROR(IF(F127&gt;=0,D127*E127*(1+F127/100),ABS(D127*E127/F127)),"")</f>
        <v>376530</v>
      </c>
    </row>
    <row r="128" spans="1:7">
      <c r="A128" s="238" t="str">
        <f>IFERROR(_xlfn.XLOOKUP($B128,Insumo[DESCRIPCION],#REF!,,0),"")</f>
        <v/>
      </c>
      <c r="B128" s="29" t="s">
        <v>2713</v>
      </c>
      <c r="C128" s="30" t="str">
        <f>IFERROR(VLOOKUP($B128,Insumo[],2,0),"")</f>
        <v>M3</v>
      </c>
      <c r="D128" s="31">
        <v>1.0900000000000001</v>
      </c>
      <c r="E128" s="239">
        <f>IFERROR(VLOOKUP($B128,Insumo[],3,0),"")</f>
        <v>81268.95</v>
      </c>
      <c r="F128" s="33"/>
      <c r="G128" s="34">
        <f>IFERROR(IF(F128&gt;=0,D128*E128*(1+F128/100),ABS(D128*E128/F128)),"")</f>
        <v>88583.155500000008</v>
      </c>
    </row>
    <row r="129" spans="1:7">
      <c r="A129" s="238" t="str">
        <f>IFERROR(_xlfn.XLOOKUP($B129,Insumo[DESCRIPCION],#REF!,,0),"")</f>
        <v/>
      </c>
      <c r="B129" s="29" t="s">
        <v>2685</v>
      </c>
      <c r="C129" s="30" t="str">
        <f>IFERROR(VLOOKUP($B129,Insumo[],2,0),"")</f>
        <v>Lt</v>
      </c>
      <c r="D129" s="31">
        <v>230</v>
      </c>
      <c r="E129" s="239">
        <f>IFERROR(VLOOKUP($B129,Insumo[],3,0),"")</f>
        <v>27.3</v>
      </c>
      <c r="F129" s="33"/>
      <c r="G129" s="34">
        <f>IFERROR(IF(F129&gt;=0,D129*E129*(1+F129/100),ABS(D129*E129/F129)),"")</f>
        <v>6279</v>
      </c>
    </row>
    <row r="130" spans="1:7">
      <c r="A130" s="238" t="str">
        <f>IFERROR(_xlfn.XLOOKUP($B130,Insumo[DESCRIPCION],#REF!,,0),"")</f>
        <v/>
      </c>
      <c r="B130" s="29"/>
      <c r="C130" s="30" t="str">
        <f>IFERROR(VLOOKUP($B130,Insumo[],2,0),"")</f>
        <v/>
      </c>
      <c r="D130" s="31"/>
      <c r="E130" s="239" t="str">
        <f>IFERROR(VLOOKUP($B130,Insumo[],3,0),"")</f>
        <v/>
      </c>
      <c r="F130" s="33"/>
      <c r="G130" s="34" t="str">
        <f>IFERROR(IF(F130&gt;=0,D130*E130*(1+F130/100),ABS(D130*E130/F130)),"")</f>
        <v/>
      </c>
    </row>
    <row r="131" spans="1:7">
      <c r="A131" s="238" t="str">
        <f>IFERROR(_xlfn.XLOOKUP($B131,Insumo[DESCRIPCION],#REF!,,0),"")</f>
        <v/>
      </c>
      <c r="B131" s="29"/>
      <c r="C131" s="30" t="str">
        <f>IFERROR(VLOOKUP($B131,Insumo[],2,0),"")</f>
        <v/>
      </c>
      <c r="D131" s="31"/>
      <c r="E131" s="239" t="str">
        <f>IFERROR(VLOOKUP($B131,Insumo[],3,0),"")</f>
        <v/>
      </c>
      <c r="F131" s="33"/>
      <c r="G131" s="34" t="str">
        <f>IFERROR(IF(F131&gt;=0,D131*E131*(1+F131/100),ABS(D131*E131/F131)),"")</f>
        <v/>
      </c>
    </row>
    <row r="132" spans="1:7">
      <c r="A132" s="236"/>
      <c r="B132" s="22" t="s">
        <v>3731</v>
      </c>
      <c r="C132" s="23"/>
      <c r="D132" s="24"/>
      <c r="E132" s="237"/>
      <c r="F132" s="26"/>
      <c r="G132" s="27">
        <f>SUM(G133:G135)</f>
        <v>1746.6152827500007</v>
      </c>
    </row>
    <row r="133" spans="1:7">
      <c r="A133" s="238" t="str">
        <f>IFERROR(_xlfn.XLOOKUP($B133,Insumo[DESCRIPCION],#REF!,,0),"")</f>
        <v/>
      </c>
      <c r="B133" s="29" t="s">
        <v>3626</v>
      </c>
      <c r="C133" s="30" t="str">
        <f>IFERROR(VLOOKUP($B133,Equipo[],2,0),"")</f>
        <v>%MO</v>
      </c>
      <c r="D133" s="31">
        <v>0.05</v>
      </c>
      <c r="E133" s="239">
        <f>IF($C133="%MO",G139,IFERROR(VLOOKUP($B133,Equipo[],3,0),""))</f>
        <v>34932.305655000011</v>
      </c>
      <c r="F133" s="33"/>
      <c r="G133" s="34">
        <f>IFERROR(IF(F133&gt;=0,D133*E133*(1+F133/100),ABS(D133*E133/F133)),"")</f>
        <v>1746.6152827500007</v>
      </c>
    </row>
    <row r="134" spans="1:7">
      <c r="A134" s="238" t="str">
        <f>IFERROR(_xlfn.XLOOKUP($B134,Insumo[DESCRIPCION],#REF!,,0),"")</f>
        <v/>
      </c>
      <c r="B134" s="29"/>
      <c r="C134" s="30" t="str">
        <f>IFERROR(VLOOKUP($B134,Equipo[],2,0),"")</f>
        <v/>
      </c>
      <c r="D134" s="242"/>
      <c r="E134" s="239" t="str">
        <f>IF($C134="%MO",G140,IFERROR(VLOOKUP($B134,Equipo[],3,0),""))</f>
        <v/>
      </c>
      <c r="F134" s="33"/>
      <c r="G134" s="34" t="str">
        <f>IFERROR(IF(F134&gt;=0,D134*E134*(1+F134/100),ABS(D134*E134/F134)),"")</f>
        <v/>
      </c>
    </row>
    <row r="135" spans="1:7">
      <c r="A135" s="238" t="str">
        <f>IFERROR(_xlfn.XLOOKUP($B135,Insumo[DESCRIPCION],#REF!,,0),"")</f>
        <v/>
      </c>
      <c r="B135" s="29"/>
      <c r="C135" s="30" t="str">
        <f>IFERROR(VLOOKUP($B135,Equipo[],2,0),"")</f>
        <v/>
      </c>
      <c r="D135" s="31"/>
      <c r="E135" s="239" t="str">
        <f>IF($C135="%MO",G141,IFERROR(VLOOKUP($B135,Equipo[],3,0),""))</f>
        <v/>
      </c>
      <c r="F135" s="33"/>
      <c r="G135" s="34" t="str">
        <f>IFERROR(IF(F135&gt;=0,D135*E135*(1+F135/100),ABS(D135*E135/F135)),"")</f>
        <v/>
      </c>
    </row>
    <row r="136" spans="1:7">
      <c r="A136" s="236"/>
      <c r="B136" s="22" t="s">
        <v>2533</v>
      </c>
      <c r="C136" s="23"/>
      <c r="D136" s="24"/>
      <c r="E136" s="237"/>
      <c r="F136" s="26"/>
      <c r="G136" s="27">
        <f>SUM(G137:G138)</f>
        <v>58524.007500000007</v>
      </c>
    </row>
    <row r="137" spans="1:7">
      <c r="A137" s="238" t="str">
        <f>IFERROR(_xlfn.XLOOKUP($B137,Insumo[DESCRIPCION],#REF!,,0),"")</f>
        <v/>
      </c>
      <c r="B137" s="29" t="s">
        <v>3664</v>
      </c>
      <c r="C137" s="30" t="str">
        <f>IFERROR(VLOOKUP($B137,Transporte[],2,0),"")</f>
        <v>M3-km</v>
      </c>
      <c r="D137" s="31">
        <f>35*1.09</f>
        <v>38.150000000000006</v>
      </c>
      <c r="E137" s="239">
        <f>IFERROR(VLOOKUP($B137,Transporte[],3,0),"")</f>
        <v>1534.05</v>
      </c>
      <c r="F137" s="33"/>
      <c r="G137" s="34">
        <f>IFERROR(IF(F137&gt;=0,D137*E137*(1+F137/100),ABS(D137*E137/F137)),"")</f>
        <v>58524.007500000007</v>
      </c>
    </row>
    <row r="138" spans="1:7">
      <c r="A138" s="238" t="str">
        <f>IFERROR(_xlfn.XLOOKUP($B138,Insumo[DESCRIPCION],#REF!,,0),"")</f>
        <v/>
      </c>
      <c r="B138" s="29"/>
      <c r="C138" s="30" t="str">
        <f>IFERROR(VLOOKUP($B138,Transporte[],2,0),"")</f>
        <v/>
      </c>
      <c r="D138" s="31"/>
      <c r="E138" s="239" t="str">
        <f>IFERROR(VLOOKUP($B138,Transporte[],3,0),"")</f>
        <v/>
      </c>
      <c r="F138" s="33"/>
      <c r="G138" s="34" t="str">
        <f>IFERROR(IF(F138&gt;=0,D138*E138*(1+F138/100),ABS(D138*E138/F138)),"")</f>
        <v/>
      </c>
    </row>
    <row r="139" spans="1:7">
      <c r="A139" s="236"/>
      <c r="B139" s="22" t="s">
        <v>3732</v>
      </c>
      <c r="C139" s="23"/>
      <c r="D139" s="24"/>
      <c r="E139" s="237"/>
      <c r="F139" s="26"/>
      <c r="G139" s="27">
        <f>SUM(G140:G142)</f>
        <v>34932.305655000011</v>
      </c>
    </row>
    <row r="140" spans="1:7">
      <c r="A140" s="238" t="str">
        <f>IFERROR(_xlfn.XLOOKUP($B140,Insumo[DESCRIPCION],#REF!,,0),"")</f>
        <v/>
      </c>
      <c r="B140" s="29" t="s">
        <v>3722</v>
      </c>
      <c r="C140" s="30" t="str">
        <f>IFERROR(VLOOKUP($B140,MObra[],2,0),"")</f>
        <v>día</v>
      </c>
      <c r="D140" s="31">
        <v>1</v>
      </c>
      <c r="E140" s="239">
        <f>IFERROR(VLOOKUP($B140,MObra[],3,0),"")</f>
        <v>349323.0565500001</v>
      </c>
      <c r="F140" s="33">
        <v>-10</v>
      </c>
      <c r="G140" s="34">
        <f>IFERROR(IF(F140&gt;=0,D140*E140*(1+F140/100),ABS(D140*E140/F140)),"")</f>
        <v>34932.305655000011</v>
      </c>
    </row>
    <row r="141" spans="1:7">
      <c r="A141" s="238" t="str">
        <f>IFERROR(_xlfn.XLOOKUP($B141,Insumo[DESCRIPCION],#REF!,,0),"")</f>
        <v/>
      </c>
      <c r="B141" s="29"/>
      <c r="C141" s="30" t="str">
        <f>IFERROR(VLOOKUP($B141,MObra[],2,0),"")</f>
        <v/>
      </c>
      <c r="D141" s="31"/>
      <c r="E141" s="239" t="str">
        <f>IFERROR(VLOOKUP($B141,MObra[],3,0),"")</f>
        <v/>
      </c>
      <c r="F141" s="33"/>
      <c r="G141" s="34" t="str">
        <f>IFERROR(IF(F141&gt;=0,D141*E141*(1+F141/100),ABS(D141*E141/F141)),"")</f>
        <v/>
      </c>
    </row>
    <row r="142" spans="1:7">
      <c r="A142" s="240" t="str">
        <f>IFERROR(_xlfn.XLOOKUP($B142,Insumo[DESCRIPCION],#REF!,,0),"")</f>
        <v/>
      </c>
      <c r="B142" s="36"/>
      <c r="C142" s="37" t="str">
        <f>IFERROR(VLOOKUP($B142,MObra[],2,0),"")</f>
        <v/>
      </c>
      <c r="D142" s="243"/>
      <c r="E142" s="241" t="str">
        <f>IFERROR(VLOOKUP($B142,MObra[],3,0),"")</f>
        <v/>
      </c>
      <c r="F142" s="244"/>
      <c r="G142" s="41" t="str">
        <f>IFERROR(IF(F142&gt;=0,D142*E142*(1+F142/100),ABS(D142*E142/F142)),"")</f>
        <v/>
      </c>
    </row>
    <row r="144" spans="1:7">
      <c r="A144" s="228" t="s">
        <v>3744</v>
      </c>
      <c r="B144" s="7" t="s">
        <v>3745</v>
      </c>
      <c r="C144" s="8" t="s">
        <v>52</v>
      </c>
      <c r="D144" s="9"/>
      <c r="E144" s="229"/>
      <c r="F144" s="11" t="s">
        <v>2589</v>
      </c>
      <c r="G144" s="12">
        <f>SUM(G146:G162)/2</f>
        <v>497862.08393775008</v>
      </c>
    </row>
    <row r="145" spans="1:7">
      <c r="A145" s="230"/>
      <c r="B145" s="231" t="s">
        <v>2586</v>
      </c>
      <c r="C145" s="231" t="s">
        <v>5</v>
      </c>
      <c r="D145" s="232" t="s">
        <v>6</v>
      </c>
      <c r="E145" s="233" t="s">
        <v>7</v>
      </c>
      <c r="F145" s="234" t="s">
        <v>3728</v>
      </c>
      <c r="G145" s="235" t="s">
        <v>3729</v>
      </c>
    </row>
    <row r="146" spans="1:7">
      <c r="A146" s="236"/>
      <c r="B146" s="22" t="s">
        <v>3730</v>
      </c>
      <c r="C146" s="23"/>
      <c r="D146" s="24"/>
      <c r="E146" s="237"/>
      <c r="F146" s="26"/>
      <c r="G146" s="27">
        <f>SUM(G147:G151)</f>
        <v>402659.15549999999</v>
      </c>
    </row>
    <row r="147" spans="1:7">
      <c r="A147" s="238" t="str">
        <f>IFERROR(_xlfn.XLOOKUP($B147,Insumo[DESCRIPCION],#REF!,,0),"")</f>
        <v/>
      </c>
      <c r="B147" s="29" t="s">
        <v>2824</v>
      </c>
      <c r="C147" s="30" t="str">
        <f>IFERROR(VLOOKUP($B147,Insumo[],2,0),"")</f>
        <v>Un</v>
      </c>
      <c r="D147" s="31">
        <v>9</v>
      </c>
      <c r="E147" s="239">
        <f>IFERROR(VLOOKUP($B147,Insumo[],3,0),"")</f>
        <v>34230</v>
      </c>
      <c r="F147" s="33"/>
      <c r="G147" s="34">
        <f>IFERROR(IF(F147&gt;=0,D147*E147*(1+F147/100),ABS(D147*E147/F147)),"")</f>
        <v>308070</v>
      </c>
    </row>
    <row r="148" spans="1:7">
      <c r="A148" s="238" t="str">
        <f>IFERROR(_xlfn.XLOOKUP($B148,Insumo[DESCRIPCION],#REF!,,0),"")</f>
        <v/>
      </c>
      <c r="B148" s="29" t="s">
        <v>2713</v>
      </c>
      <c r="C148" s="30" t="str">
        <f>IFERROR(VLOOKUP($B148,Insumo[],2,0),"")</f>
        <v>M3</v>
      </c>
      <c r="D148" s="31">
        <v>1.0900000000000001</v>
      </c>
      <c r="E148" s="239">
        <f>IFERROR(VLOOKUP($B148,Insumo[],3,0),"")</f>
        <v>81268.95</v>
      </c>
      <c r="F148" s="33"/>
      <c r="G148" s="34">
        <f>IFERROR(IF(F148&gt;=0,D148*E148*(1+F148/100),ABS(D148*E148/F148)),"")</f>
        <v>88583.155500000008</v>
      </c>
    </row>
    <row r="149" spans="1:7">
      <c r="A149" s="238" t="str">
        <f>IFERROR(_xlfn.XLOOKUP($B149,Insumo[DESCRIPCION],#REF!,,0),"")</f>
        <v/>
      </c>
      <c r="B149" s="29" t="s">
        <v>2685</v>
      </c>
      <c r="C149" s="30" t="str">
        <f>IFERROR(VLOOKUP($B149,Insumo[],2,0),"")</f>
        <v>Lt</v>
      </c>
      <c r="D149" s="31">
        <v>220</v>
      </c>
      <c r="E149" s="239">
        <f>IFERROR(VLOOKUP($B149,Insumo[],3,0),"")</f>
        <v>27.3</v>
      </c>
      <c r="F149" s="33"/>
      <c r="G149" s="34">
        <f>IFERROR(IF(F149&gt;=0,D149*E149*(1+F149/100),ABS(D149*E149/F149)),"")</f>
        <v>6006</v>
      </c>
    </row>
    <row r="150" spans="1:7">
      <c r="A150" s="238" t="str">
        <f>IFERROR(_xlfn.XLOOKUP($B150,Insumo[DESCRIPCION],#REF!,,0),"")</f>
        <v/>
      </c>
      <c r="B150" s="29"/>
      <c r="C150" s="30" t="str">
        <f>IFERROR(VLOOKUP($B150,Insumo[],2,0),"")</f>
        <v/>
      </c>
      <c r="D150" s="31"/>
      <c r="E150" s="239" t="str">
        <f>IFERROR(VLOOKUP($B150,Insumo[],3,0),"")</f>
        <v/>
      </c>
      <c r="F150" s="33"/>
      <c r="G150" s="34" t="str">
        <f>IFERROR(IF(F150&gt;=0,D150*E150*(1+F150/100),ABS(D150*E150/F150)),"")</f>
        <v/>
      </c>
    </row>
    <row r="151" spans="1:7">
      <c r="A151" s="238" t="str">
        <f>IFERROR(_xlfn.XLOOKUP($B151,Insumo[DESCRIPCION],#REF!,,0),"")</f>
        <v/>
      </c>
      <c r="B151" s="29"/>
      <c r="C151" s="30" t="str">
        <f>IFERROR(VLOOKUP($B151,Insumo[],2,0),"")</f>
        <v/>
      </c>
      <c r="D151" s="31"/>
      <c r="E151" s="239" t="str">
        <f>IFERROR(VLOOKUP($B151,Insumo[],3,0),"")</f>
        <v/>
      </c>
      <c r="F151" s="33"/>
      <c r="G151" s="34" t="str">
        <f>IFERROR(IF(F151&gt;=0,D151*E151*(1+F151/100),ABS(D151*E151/F151)),"")</f>
        <v/>
      </c>
    </row>
    <row r="152" spans="1:7">
      <c r="A152" s="236"/>
      <c r="B152" s="22" t="s">
        <v>3731</v>
      </c>
      <c r="C152" s="23"/>
      <c r="D152" s="24"/>
      <c r="E152" s="237"/>
      <c r="F152" s="26"/>
      <c r="G152" s="27">
        <f>SUM(G153:G155)</f>
        <v>1746.6152827500007</v>
      </c>
    </row>
    <row r="153" spans="1:7">
      <c r="A153" s="238" t="str">
        <f>IFERROR(_xlfn.XLOOKUP($B153,Insumo[DESCRIPCION],#REF!,,0),"")</f>
        <v/>
      </c>
      <c r="B153" s="29" t="s">
        <v>3626</v>
      </c>
      <c r="C153" s="30" t="str">
        <f>IFERROR(VLOOKUP($B153,Equipo[],2,0),"")</f>
        <v>%MO</v>
      </c>
      <c r="D153" s="31">
        <v>0.05</v>
      </c>
      <c r="E153" s="239">
        <f>IF($C153="%MO",G159,IFERROR(VLOOKUP($B153,Equipo[],3,0),""))</f>
        <v>34932.305655000011</v>
      </c>
      <c r="F153" s="33"/>
      <c r="G153" s="34">
        <f>IFERROR(IF(F153&gt;=0,D153*E153*(1+F153/100),ABS(D153*E153/F153)),"")</f>
        <v>1746.6152827500007</v>
      </c>
    </row>
    <row r="154" spans="1:7">
      <c r="A154" s="238" t="str">
        <f>IFERROR(_xlfn.XLOOKUP($B154,Insumo[DESCRIPCION],#REF!,,0),"")</f>
        <v/>
      </c>
      <c r="B154" s="29"/>
      <c r="C154" s="30" t="str">
        <f>IFERROR(VLOOKUP($B154,Equipo[],2,0),"")</f>
        <v/>
      </c>
      <c r="D154" s="242"/>
      <c r="E154" s="239" t="str">
        <f>IF($C154="%MO",G160,IFERROR(VLOOKUP($B154,Equipo[],3,0),""))</f>
        <v/>
      </c>
      <c r="F154" s="33"/>
      <c r="G154" s="34" t="str">
        <f>IFERROR(IF(F154&gt;=0,D154*E154*(1+F154/100),ABS(D154*E154/F154)),"")</f>
        <v/>
      </c>
    </row>
    <row r="155" spans="1:7">
      <c r="A155" s="238" t="str">
        <f>IFERROR(_xlfn.XLOOKUP($B155,Insumo[DESCRIPCION],#REF!,,0),"")</f>
        <v/>
      </c>
      <c r="B155" s="29"/>
      <c r="C155" s="30" t="str">
        <f>IFERROR(VLOOKUP($B155,Equipo[],2,0),"")</f>
        <v/>
      </c>
      <c r="D155" s="31"/>
      <c r="E155" s="239" t="str">
        <f>IF($C155="%MO",G161,IFERROR(VLOOKUP($B155,Equipo[],3,0),""))</f>
        <v/>
      </c>
      <c r="F155" s="33"/>
      <c r="G155" s="34" t="str">
        <f>IFERROR(IF(F155&gt;=0,D155*E155*(1+F155/100),ABS(D155*E155/F155)),"")</f>
        <v/>
      </c>
    </row>
    <row r="156" spans="1:7">
      <c r="A156" s="236"/>
      <c r="B156" s="22" t="s">
        <v>2533</v>
      </c>
      <c r="C156" s="23"/>
      <c r="D156" s="24"/>
      <c r="E156" s="237"/>
      <c r="F156" s="26"/>
      <c r="G156" s="27">
        <f>SUM(G157:G158)</f>
        <v>58524.007500000007</v>
      </c>
    </row>
    <row r="157" spans="1:7">
      <c r="A157" s="238" t="str">
        <f>IFERROR(_xlfn.XLOOKUP($B157,Insumo[DESCRIPCION],#REF!,,0),"")</f>
        <v/>
      </c>
      <c r="B157" s="29" t="s">
        <v>3664</v>
      </c>
      <c r="C157" s="30" t="str">
        <f>IFERROR(VLOOKUP($B157,Transporte[],2,0),"")</f>
        <v>M3-km</v>
      </c>
      <c r="D157" s="31">
        <f>35*1.09</f>
        <v>38.150000000000006</v>
      </c>
      <c r="E157" s="239">
        <f>IFERROR(VLOOKUP($B157,Transporte[],3,0),"")</f>
        <v>1534.05</v>
      </c>
      <c r="F157" s="33"/>
      <c r="G157" s="34">
        <f>IFERROR(IF(F157&gt;=0,D157*E157*(1+F157/100),ABS(D157*E157/F157)),"")</f>
        <v>58524.007500000007</v>
      </c>
    </row>
    <row r="158" spans="1:7">
      <c r="A158" s="238" t="str">
        <f>IFERROR(_xlfn.XLOOKUP($B158,Insumo[DESCRIPCION],#REF!,,0),"")</f>
        <v/>
      </c>
      <c r="B158" s="29"/>
      <c r="C158" s="30" t="str">
        <f>IFERROR(VLOOKUP($B158,Transporte[],2,0),"")</f>
        <v/>
      </c>
      <c r="D158" s="31"/>
      <c r="E158" s="239" t="str">
        <f>IFERROR(VLOOKUP($B158,Transporte[],3,0),"")</f>
        <v/>
      </c>
      <c r="F158" s="33"/>
      <c r="G158" s="34" t="str">
        <f>IFERROR(IF(F158&gt;=0,D158*E158*(1+F158/100),ABS(D158*E158/F158)),"")</f>
        <v/>
      </c>
    </row>
    <row r="159" spans="1:7">
      <c r="A159" s="236"/>
      <c r="B159" s="22" t="s">
        <v>3732</v>
      </c>
      <c r="C159" s="23"/>
      <c r="D159" s="24"/>
      <c r="E159" s="237"/>
      <c r="F159" s="26"/>
      <c r="G159" s="27">
        <f>SUM(G160:G162)</f>
        <v>34932.305655000011</v>
      </c>
    </row>
    <row r="160" spans="1:7">
      <c r="A160" s="238" t="str">
        <f>IFERROR(_xlfn.XLOOKUP($B160,Insumo[DESCRIPCION],#REF!,,0),"")</f>
        <v/>
      </c>
      <c r="B160" s="29" t="s">
        <v>3722</v>
      </c>
      <c r="C160" s="30" t="str">
        <f>IFERROR(VLOOKUP($B160,MObra[],2,0),"")</f>
        <v>día</v>
      </c>
      <c r="D160" s="31">
        <v>1</v>
      </c>
      <c r="E160" s="239">
        <f>IFERROR(VLOOKUP($B160,MObra[],3,0),"")</f>
        <v>349323.0565500001</v>
      </c>
      <c r="F160" s="33">
        <v>-10</v>
      </c>
      <c r="G160" s="34">
        <f>IFERROR(IF(F160&gt;=0,D160*E160*(1+F160/100),ABS(D160*E160/F160)),"")</f>
        <v>34932.305655000011</v>
      </c>
    </row>
    <row r="161" spans="1:7">
      <c r="A161" s="238" t="str">
        <f>IFERROR(_xlfn.XLOOKUP($B161,Insumo[DESCRIPCION],#REF!,,0),"")</f>
        <v/>
      </c>
      <c r="B161" s="29"/>
      <c r="C161" s="30" t="str">
        <f>IFERROR(VLOOKUP($B161,MObra[],2,0),"")</f>
        <v/>
      </c>
      <c r="D161" s="31"/>
      <c r="E161" s="239" t="str">
        <f>IFERROR(VLOOKUP($B161,MObra[],3,0),"")</f>
        <v/>
      </c>
      <c r="F161" s="33"/>
      <c r="G161" s="34" t="str">
        <f>IFERROR(IF(F161&gt;=0,D161*E161*(1+F161/100),ABS(D161*E161/F161)),"")</f>
        <v/>
      </c>
    </row>
    <row r="162" spans="1:7">
      <c r="A162" s="240" t="str">
        <f>IFERROR(_xlfn.XLOOKUP($B162,Insumo[DESCRIPCION],#REF!,,0),"")</f>
        <v/>
      </c>
      <c r="B162" s="36"/>
      <c r="C162" s="37" t="str">
        <f>IFERROR(VLOOKUP($B162,MObra[],2,0),"")</f>
        <v/>
      </c>
      <c r="D162" s="243"/>
      <c r="E162" s="241" t="str">
        <f>IFERROR(VLOOKUP($B162,MObra[],3,0),"")</f>
        <v/>
      </c>
      <c r="F162" s="244"/>
      <c r="G162" s="41" t="str">
        <f>IFERROR(IF(F162&gt;=0,D162*E162*(1+F162/100),ABS(D162*E162/F162)),"")</f>
        <v/>
      </c>
    </row>
    <row r="164" spans="1:7">
      <c r="A164" s="228" t="s">
        <v>3744</v>
      </c>
      <c r="B164" s="7" t="s">
        <v>3746</v>
      </c>
      <c r="C164" s="8" t="s">
        <v>52</v>
      </c>
      <c r="D164" s="9"/>
      <c r="E164" s="229"/>
      <c r="F164" s="11" t="s">
        <v>2589</v>
      </c>
      <c r="G164" s="12">
        <f>SUM(G166:G182)/2</f>
        <v>483627.05259750003</v>
      </c>
    </row>
    <row r="165" spans="1:7">
      <c r="A165" s="230"/>
      <c r="B165" s="231" t="s">
        <v>2586</v>
      </c>
      <c r="C165" s="231" t="s">
        <v>5</v>
      </c>
      <c r="D165" s="232" t="s">
        <v>6</v>
      </c>
      <c r="E165" s="233" t="s">
        <v>7</v>
      </c>
      <c r="F165" s="234" t="s">
        <v>3728</v>
      </c>
      <c r="G165" s="235" t="s">
        <v>3729</v>
      </c>
    </row>
    <row r="166" spans="1:7">
      <c r="A166" s="236"/>
      <c r="B166" s="22" t="s">
        <v>3730</v>
      </c>
      <c r="C166" s="23"/>
      <c r="D166" s="24"/>
      <c r="E166" s="237"/>
      <c r="F166" s="26"/>
      <c r="G166" s="27">
        <f>SUM(G167:G171)</f>
        <v>374147.25599999999</v>
      </c>
    </row>
    <row r="167" spans="1:7">
      <c r="A167" s="238" t="str">
        <f>IFERROR(_xlfn.XLOOKUP($B167,Insumo[DESCRIPCION],#REF!,,0),"")</f>
        <v/>
      </c>
      <c r="B167" s="29" t="s">
        <v>2824</v>
      </c>
      <c r="C167" s="30" t="str">
        <f>IFERROR(VLOOKUP($B167,Insumo[],2,0),"")</f>
        <v>Un</v>
      </c>
      <c r="D167" s="31">
        <v>7.7</v>
      </c>
      <c r="E167" s="239">
        <f>IFERROR(VLOOKUP($B167,Insumo[],3,0),"")</f>
        <v>34230</v>
      </c>
      <c r="F167" s="33"/>
      <c r="G167" s="34">
        <f>IFERROR(IF(F167&gt;=0,D167*E167*(1+F167/100),ABS(D167*E167/F167)),"")</f>
        <v>263571</v>
      </c>
    </row>
    <row r="168" spans="1:7">
      <c r="A168" s="238" t="str">
        <f>IFERROR(_xlfn.XLOOKUP($B168,Insumo[DESCRIPCION],#REF!,,0),"")</f>
        <v/>
      </c>
      <c r="B168" s="29" t="s">
        <v>2713</v>
      </c>
      <c r="C168" s="30" t="str">
        <f>IFERROR(VLOOKUP($B168,Insumo[],2,0),"")</f>
        <v>M3</v>
      </c>
      <c r="D168" s="31">
        <v>1.28</v>
      </c>
      <c r="E168" s="239">
        <f>IFERROR(VLOOKUP($B168,Insumo[],3,0),"")</f>
        <v>81268.95</v>
      </c>
      <c r="F168" s="33"/>
      <c r="G168" s="34">
        <f>IFERROR(IF(F168&gt;=0,D168*E168*(1+F168/100),ABS(D168*E168/F168)),"")</f>
        <v>104024.25599999999</v>
      </c>
    </row>
    <row r="169" spans="1:7">
      <c r="A169" s="238" t="str">
        <f>IFERROR(_xlfn.XLOOKUP($B169,Insumo[DESCRIPCION],#REF!,,0),"")</f>
        <v/>
      </c>
      <c r="B169" s="29" t="s">
        <v>2685</v>
      </c>
      <c r="C169" s="30" t="str">
        <f>IFERROR(VLOOKUP($B169,Insumo[],2,0),"")</f>
        <v>Lt</v>
      </c>
      <c r="D169" s="31">
        <v>240</v>
      </c>
      <c r="E169" s="239">
        <f>IFERROR(VLOOKUP($B169,Insumo[],3,0),"")</f>
        <v>27.3</v>
      </c>
      <c r="F169" s="33"/>
      <c r="G169" s="34">
        <f>IFERROR(IF(F169&gt;=0,D169*E169*(1+F169/100),ABS(D169*E169/F169)),"")</f>
        <v>6552</v>
      </c>
    </row>
    <row r="170" spans="1:7">
      <c r="A170" s="238" t="str">
        <f>IFERROR(_xlfn.XLOOKUP($B170,Insumo[DESCRIPCION],#REF!,,0),"")</f>
        <v/>
      </c>
      <c r="B170" s="29"/>
      <c r="C170" s="30" t="str">
        <f>IFERROR(VLOOKUP($B170,Insumo[],2,0),"")</f>
        <v/>
      </c>
      <c r="D170" s="31"/>
      <c r="E170" s="239" t="str">
        <f>IFERROR(VLOOKUP($B170,Insumo[],3,0),"")</f>
        <v/>
      </c>
      <c r="F170" s="33"/>
      <c r="G170" s="34" t="str">
        <f>IFERROR(IF(F170&gt;=0,D170*E170*(1+F170/100),ABS(D170*E170/F170)),"")</f>
        <v/>
      </c>
    </row>
    <row r="171" spans="1:7">
      <c r="A171" s="238" t="str">
        <f>IFERROR(_xlfn.XLOOKUP($B171,Insumo[DESCRIPCION],#REF!,,0),"")</f>
        <v/>
      </c>
      <c r="B171" s="29"/>
      <c r="C171" s="30" t="str">
        <f>IFERROR(VLOOKUP($B171,Insumo[],2,0),"")</f>
        <v/>
      </c>
      <c r="D171" s="31"/>
      <c r="E171" s="239" t="str">
        <f>IFERROR(VLOOKUP($B171,Insumo[],3,0),"")</f>
        <v/>
      </c>
      <c r="F171" s="33"/>
      <c r="G171" s="34" t="str">
        <f>IFERROR(IF(F171&gt;=0,D171*E171*(1+F171/100),ABS(D171*E171/F171)),"")</f>
        <v/>
      </c>
    </row>
    <row r="172" spans="1:7">
      <c r="A172" s="236"/>
      <c r="B172" s="22" t="s">
        <v>3731</v>
      </c>
      <c r="C172" s="23"/>
      <c r="D172" s="24"/>
      <c r="E172" s="237"/>
      <c r="F172" s="26"/>
      <c r="G172" s="27">
        <f>SUM(G173:G175)</f>
        <v>1940.6836475000005</v>
      </c>
    </row>
    <row r="173" spans="1:7">
      <c r="A173" s="238" t="str">
        <f>IFERROR(_xlfn.XLOOKUP($B173,Insumo[DESCRIPCION],#REF!,,0),"")</f>
        <v/>
      </c>
      <c r="B173" s="29" t="s">
        <v>3626</v>
      </c>
      <c r="C173" s="30" t="str">
        <f>IFERROR(VLOOKUP($B173,Equipo[],2,0),"")</f>
        <v>%MO</v>
      </c>
      <c r="D173" s="31">
        <v>0.05</v>
      </c>
      <c r="E173" s="239">
        <f>IF($C173="%MO",G179,IFERROR(VLOOKUP($B173,Equipo[],3,0),""))</f>
        <v>38813.672950000007</v>
      </c>
      <c r="F173" s="33"/>
      <c r="G173" s="34">
        <f>IFERROR(IF(F173&gt;=0,D173*E173*(1+F173/100),ABS(D173*E173/F173)),"")</f>
        <v>1940.6836475000005</v>
      </c>
    </row>
    <row r="174" spans="1:7">
      <c r="A174" s="238" t="str">
        <f>IFERROR(_xlfn.XLOOKUP($B174,Insumo[DESCRIPCION],#REF!,,0),"")</f>
        <v/>
      </c>
      <c r="B174" s="29"/>
      <c r="C174" s="30" t="str">
        <f>IFERROR(VLOOKUP($B174,Equipo[],2,0),"")</f>
        <v/>
      </c>
      <c r="D174" s="242"/>
      <c r="E174" s="239" t="str">
        <f>IF($C174="%MO",G180,IFERROR(VLOOKUP($B174,Equipo[],3,0),""))</f>
        <v/>
      </c>
      <c r="F174" s="33"/>
      <c r="G174" s="34" t="str">
        <f>IFERROR(IF(F174&gt;=0,D174*E174*(1+F174/100),ABS(D174*E174/F174)),"")</f>
        <v/>
      </c>
    </row>
    <row r="175" spans="1:7">
      <c r="A175" s="238" t="str">
        <f>IFERROR(_xlfn.XLOOKUP($B175,Insumo[DESCRIPCION],#REF!,,0),"")</f>
        <v/>
      </c>
      <c r="B175" s="29"/>
      <c r="C175" s="30" t="str">
        <f>IFERROR(VLOOKUP($B175,Equipo[],2,0),"")</f>
        <v/>
      </c>
      <c r="D175" s="31"/>
      <c r="E175" s="239" t="str">
        <f>IF($C175="%MO",G181,IFERROR(VLOOKUP($B175,Equipo[],3,0),""))</f>
        <v/>
      </c>
      <c r="F175" s="33"/>
      <c r="G175" s="34" t="str">
        <f>IFERROR(IF(F175&gt;=0,D175*E175*(1+F175/100),ABS(D175*E175/F175)),"")</f>
        <v/>
      </c>
    </row>
    <row r="176" spans="1:7">
      <c r="A176" s="236"/>
      <c r="B176" s="22" t="s">
        <v>2533</v>
      </c>
      <c r="C176" s="23"/>
      <c r="D176" s="24"/>
      <c r="E176" s="237"/>
      <c r="F176" s="26"/>
      <c r="G176" s="27">
        <f>SUM(G177:G178)</f>
        <v>68725.440000000002</v>
      </c>
    </row>
    <row r="177" spans="1:7">
      <c r="A177" s="238" t="str">
        <f>IFERROR(_xlfn.XLOOKUP($B177,Insumo[DESCRIPCION],#REF!,,0),"")</f>
        <v/>
      </c>
      <c r="B177" s="29" t="s">
        <v>3664</v>
      </c>
      <c r="C177" s="30" t="str">
        <f>IFERROR(VLOOKUP($B177,Transporte[],2,0),"")</f>
        <v>M3-km</v>
      </c>
      <c r="D177" s="31">
        <f>35*1.28</f>
        <v>44.800000000000004</v>
      </c>
      <c r="E177" s="239">
        <f>IFERROR(VLOOKUP($B177,Transporte[],3,0),"")</f>
        <v>1534.05</v>
      </c>
      <c r="F177" s="33"/>
      <c r="G177" s="34">
        <f>IFERROR(IF(F177&gt;=0,D177*E177*(1+F177/100),ABS(D177*E177/F177)),"")</f>
        <v>68725.440000000002</v>
      </c>
    </row>
    <row r="178" spans="1:7">
      <c r="A178" s="238" t="str">
        <f>IFERROR(_xlfn.XLOOKUP($B178,Insumo[DESCRIPCION],#REF!,,0),"")</f>
        <v/>
      </c>
      <c r="B178" s="29"/>
      <c r="C178" s="30" t="str">
        <f>IFERROR(VLOOKUP($B178,Transporte[],2,0),"")</f>
        <v/>
      </c>
      <c r="D178" s="31"/>
      <c r="E178" s="239" t="str">
        <f>IFERROR(VLOOKUP($B178,Transporte[],3,0),"")</f>
        <v/>
      </c>
      <c r="F178" s="33"/>
      <c r="G178" s="34" t="str">
        <f>IFERROR(IF(F178&gt;=0,D178*E178*(1+F178/100),ABS(D178*E178/F178)),"")</f>
        <v/>
      </c>
    </row>
    <row r="179" spans="1:7">
      <c r="A179" s="236"/>
      <c r="B179" s="22" t="s">
        <v>3732</v>
      </c>
      <c r="C179" s="23"/>
      <c r="D179" s="24"/>
      <c r="E179" s="237"/>
      <c r="F179" s="26"/>
      <c r="G179" s="27">
        <f>SUM(G180:G182)</f>
        <v>38813.672950000007</v>
      </c>
    </row>
    <row r="180" spans="1:7">
      <c r="A180" s="238" t="str">
        <f>IFERROR(_xlfn.XLOOKUP($B180,Insumo[DESCRIPCION],#REF!,,0),"")</f>
        <v/>
      </c>
      <c r="B180" s="29" t="s">
        <v>3722</v>
      </c>
      <c r="C180" s="30" t="str">
        <f>IFERROR(VLOOKUP($B180,MObra[],2,0),"")</f>
        <v>día</v>
      </c>
      <c r="D180" s="31">
        <v>1</v>
      </c>
      <c r="E180" s="239">
        <f>IFERROR(VLOOKUP($B180,MObra[],3,0),"")</f>
        <v>349323.0565500001</v>
      </c>
      <c r="F180" s="33">
        <v>-9</v>
      </c>
      <c r="G180" s="34">
        <f>IFERROR(IF(F180&gt;=0,D180*E180*(1+F180/100),ABS(D180*E180/F180)),"")</f>
        <v>38813.672950000007</v>
      </c>
    </row>
    <row r="181" spans="1:7">
      <c r="A181" s="238" t="str">
        <f>IFERROR(_xlfn.XLOOKUP($B181,Insumo[DESCRIPCION],#REF!,,0),"")</f>
        <v/>
      </c>
      <c r="B181" s="29"/>
      <c r="C181" s="30" t="str">
        <f>IFERROR(VLOOKUP($B181,MObra[],2,0),"")</f>
        <v/>
      </c>
      <c r="D181" s="31"/>
      <c r="E181" s="239" t="str">
        <f>IFERROR(VLOOKUP($B181,MObra[],3,0),"")</f>
        <v/>
      </c>
      <c r="F181" s="33"/>
      <c r="G181" s="34" t="str">
        <f>IFERROR(IF(F181&gt;=0,D181*E181*(1+F181/100),ABS(D181*E181/F181)),"")</f>
        <v/>
      </c>
    </row>
    <row r="182" spans="1:7">
      <c r="A182" s="240" t="str">
        <f>IFERROR(_xlfn.XLOOKUP($B182,Insumo[DESCRIPCION],#REF!,,0),"")</f>
        <v/>
      </c>
      <c r="B182" s="36"/>
      <c r="C182" s="37" t="str">
        <f>IFERROR(VLOOKUP($B182,MObra[],2,0),"")</f>
        <v/>
      </c>
      <c r="D182" s="243"/>
      <c r="E182" s="241" t="str">
        <f>IFERROR(VLOOKUP($B182,MObra[],3,0),"")</f>
        <v/>
      </c>
      <c r="F182" s="244"/>
      <c r="G182" s="41" t="str">
        <f>IFERROR(IF(F182&gt;=0,D182*E182*(1+F182/100),ABS(D182*E182/F182)),"")</f>
        <v/>
      </c>
    </row>
    <row r="184" spans="1:7">
      <c r="A184" s="228" t="s">
        <v>3747</v>
      </c>
      <c r="B184" s="7" t="s">
        <v>2957</v>
      </c>
      <c r="C184" s="8" t="s">
        <v>20</v>
      </c>
      <c r="D184" s="9"/>
      <c r="E184" s="229"/>
      <c r="F184" s="11" t="s">
        <v>2589</v>
      </c>
      <c r="G184" s="12">
        <f>SUM(G186:G202)/2</f>
        <v>149624.04238215002</v>
      </c>
    </row>
    <row r="185" spans="1:7">
      <c r="A185" s="230"/>
      <c r="B185" s="231" t="s">
        <v>2586</v>
      </c>
      <c r="C185" s="231" t="s">
        <v>5</v>
      </c>
      <c r="D185" s="232" t="s">
        <v>6</v>
      </c>
      <c r="E185" s="233" t="s">
        <v>7</v>
      </c>
      <c r="F185" s="234" t="s">
        <v>3728</v>
      </c>
      <c r="G185" s="235" t="s">
        <v>3729</v>
      </c>
    </row>
    <row r="186" spans="1:7">
      <c r="A186" s="236"/>
      <c r="B186" s="22" t="s">
        <v>3730</v>
      </c>
      <c r="C186" s="23"/>
      <c r="D186" s="24"/>
      <c r="E186" s="237"/>
      <c r="F186" s="26"/>
      <c r="G186" s="27">
        <f>SUM(G187:G191)</f>
        <v>117381.98850000002</v>
      </c>
    </row>
    <row r="187" spans="1:7">
      <c r="A187" s="238" t="str">
        <f>IFERROR(_xlfn.XLOOKUP($B187,Insumo[DESCRIPCION],#REF!,,0),"")</f>
        <v/>
      </c>
      <c r="B187" s="29" t="s">
        <v>2958</v>
      </c>
      <c r="C187" s="30" t="str">
        <f>IFERROR(VLOOKUP($B187,Insumo[],2,0),"")</f>
        <v>M2</v>
      </c>
      <c r="D187" s="31">
        <v>1</v>
      </c>
      <c r="E187" s="239">
        <f>IFERROR(VLOOKUP($B187,Insumo[],3,0),"")</f>
        <v>68174.400000000009</v>
      </c>
      <c r="F187" s="33"/>
      <c r="G187" s="34">
        <f>IFERROR(IF(F187&gt;=0,D187*E187*(1+F187/100),ABS(D187*E187/F187)),"")</f>
        <v>68174.400000000009</v>
      </c>
    </row>
    <row r="188" spans="1:7">
      <c r="A188" s="238" t="str">
        <f>IFERROR(_xlfn.XLOOKUP($B188,Insumo[DESCRIPCION],#REF!,,0),"")</f>
        <v/>
      </c>
      <c r="B188" s="29" t="s">
        <v>3048</v>
      </c>
      <c r="C188" s="30" t="str">
        <f>IFERROR(VLOOKUP($B188,Insumo[],2,0),"")</f>
        <v>M</v>
      </c>
      <c r="D188" s="31">
        <v>8</v>
      </c>
      <c r="E188" s="239">
        <f>IFERROR(VLOOKUP($B188,Insumo[],3,0),"")</f>
        <v>4091.8500000000004</v>
      </c>
      <c r="F188" s="33"/>
      <c r="G188" s="34">
        <f>IFERROR(IF(F188&gt;=0,D188*E188*(1+F188/100),ABS(D188*E188/F188)),"")</f>
        <v>32734.800000000003</v>
      </c>
    </row>
    <row r="189" spans="1:7">
      <c r="A189" s="238" t="str">
        <f>IFERROR(_xlfn.XLOOKUP($B189,Insumo[DESCRIPCION],#REF!,,0),"")</f>
        <v/>
      </c>
      <c r="B189" s="29" t="s">
        <v>2901</v>
      </c>
      <c r="C189" s="30" t="str">
        <f>IFERROR(VLOOKUP($B189,Insumo[],2,0),"")</f>
        <v>M</v>
      </c>
      <c r="D189" s="31">
        <v>2.75</v>
      </c>
      <c r="E189" s="239">
        <f>IFERROR(VLOOKUP($B189,Insumo[],3,0),"")</f>
        <v>5683.6500000000005</v>
      </c>
      <c r="F189" s="33"/>
      <c r="G189" s="34">
        <f>IFERROR(IF(F189&gt;=0,D189*E189*(1+F189/100),ABS(D189*E189/F189)),"")</f>
        <v>15630.037500000002</v>
      </c>
    </row>
    <row r="190" spans="1:7">
      <c r="A190" s="238" t="str">
        <f>IFERROR(_xlfn.XLOOKUP($B190,Insumo[DESCRIPCION],#REF!,,0),"")</f>
        <v/>
      </c>
      <c r="B190" s="29" t="s">
        <v>3253</v>
      </c>
      <c r="C190" s="30" t="str">
        <f>IFERROR(VLOOKUP($B190,Insumo[],2,0),"")</f>
        <v>Lb</v>
      </c>
      <c r="D190" s="31">
        <v>0.13</v>
      </c>
      <c r="E190" s="239">
        <f>IFERROR(VLOOKUP($B190,Insumo[],3,0),"")</f>
        <v>6482.7000000000007</v>
      </c>
      <c r="F190" s="33"/>
      <c r="G190" s="34">
        <f>IFERROR(IF(F190&gt;=0,D190*E190*(1+F190/100),ABS(D190*E190/F190)),"")</f>
        <v>842.75100000000009</v>
      </c>
    </row>
    <row r="191" spans="1:7">
      <c r="A191" s="238" t="str">
        <f>IFERROR(_xlfn.XLOOKUP($B191,Insumo[DESCRIPCION],#REF!,,0),"")</f>
        <v/>
      </c>
      <c r="B191" s="29"/>
      <c r="C191" s="30" t="str">
        <f>IFERROR(VLOOKUP($B191,Insumo[],2,0),"")</f>
        <v/>
      </c>
      <c r="D191" s="31"/>
      <c r="E191" s="239" t="str">
        <f>IFERROR(VLOOKUP($B191,Insumo[],3,0),"")</f>
        <v/>
      </c>
      <c r="F191" s="33"/>
      <c r="G191" s="34" t="str">
        <f>IFERROR(IF(F191&gt;=0,D191*E191*(1+F191/100),ABS(D191*E191/F191)),"")</f>
        <v/>
      </c>
    </row>
    <row r="192" spans="1:7">
      <c r="A192" s="236"/>
      <c r="B192" s="22" t="s">
        <v>3731</v>
      </c>
      <c r="C192" s="23"/>
      <c r="D192" s="24"/>
      <c r="E192" s="237"/>
      <c r="F192" s="26"/>
      <c r="G192" s="27">
        <f>SUM(G193:G195)</f>
        <v>3519.9358991500003</v>
      </c>
    </row>
    <row r="193" spans="1:7">
      <c r="A193" s="238" t="str">
        <f>IFERROR(_xlfn.XLOOKUP($B193,Insumo[DESCRIPCION],#REF!,,0),"")</f>
        <v/>
      </c>
      <c r="B193" s="29" t="s">
        <v>3648</v>
      </c>
      <c r="C193" s="30" t="str">
        <f>IFERROR(VLOOKUP($B193,Equipo[],2,0),"")</f>
        <v>Día</v>
      </c>
      <c r="D193" s="31">
        <v>1</v>
      </c>
      <c r="E193" s="239">
        <f>IF($C193="%MO",G199,IFERROR(VLOOKUP($B193,Equipo[],3,0),""))</f>
        <v>62514.9</v>
      </c>
      <c r="F193" s="33">
        <v>-30</v>
      </c>
      <c r="G193" s="34">
        <f>IFERROR(IF(F193&gt;=0,D193*E193*(1+F193/100),ABS(D193*E193/F193)),"")</f>
        <v>2083.83</v>
      </c>
    </row>
    <row r="194" spans="1:7">
      <c r="A194" s="238" t="str">
        <f>IFERROR(_xlfn.XLOOKUP($B194,Insumo[DESCRIPCION],#REF!,,0),"")</f>
        <v/>
      </c>
      <c r="B194" s="29" t="s">
        <v>3626</v>
      </c>
      <c r="C194" s="30" t="str">
        <f>IFERROR(VLOOKUP($B194,Equipo[],2,0),"")</f>
        <v>%MO</v>
      </c>
      <c r="D194" s="242">
        <v>0.05</v>
      </c>
      <c r="E194" s="239">
        <f>IF($C194="%MO",G200,IFERROR(VLOOKUP($B194,Equipo[],3,0),""))</f>
        <v>28722.117983000004</v>
      </c>
      <c r="F194" s="33"/>
      <c r="G194" s="34">
        <f>IFERROR(IF(F194&gt;=0,D194*E194*(1+F194/100),ABS(D194*E194/F194)),"")</f>
        <v>1436.1058991500004</v>
      </c>
    </row>
    <row r="195" spans="1:7">
      <c r="A195" s="238" t="str">
        <f>IFERROR(_xlfn.XLOOKUP($B195,Insumo[DESCRIPCION],#REF!,,0),"")</f>
        <v/>
      </c>
      <c r="B195" s="29"/>
      <c r="C195" s="30" t="str">
        <f>IFERROR(VLOOKUP($B195,Equipo[],2,0),"")</f>
        <v/>
      </c>
      <c r="D195" s="31"/>
      <c r="E195" s="239" t="str">
        <f>IF($C195="%MO",G201,IFERROR(VLOOKUP($B195,Equipo[],3,0),""))</f>
        <v/>
      </c>
      <c r="F195" s="33"/>
      <c r="G195" s="34" t="str">
        <f>IFERROR(IF(F195&gt;=0,D195*E195*(1+F195/100),ABS(D195*E195/F195)),"")</f>
        <v/>
      </c>
    </row>
    <row r="196" spans="1:7">
      <c r="A196" s="236"/>
      <c r="B196" s="22" t="s">
        <v>2533</v>
      </c>
      <c r="C196" s="23"/>
      <c r="D196" s="24"/>
      <c r="E196" s="237"/>
      <c r="F196" s="26"/>
      <c r="G196" s="27">
        <f>SUM(G197:G198)</f>
        <v>0</v>
      </c>
    </row>
    <row r="197" spans="1:7">
      <c r="A197" s="238" t="str">
        <f>IFERROR(_xlfn.XLOOKUP($B197,Insumo[DESCRIPCION],#REF!,,0),"")</f>
        <v/>
      </c>
      <c r="B197" s="29"/>
      <c r="C197" s="30" t="str">
        <f>IFERROR(VLOOKUP($B197,Transporte[],2,0),"")</f>
        <v/>
      </c>
      <c r="D197" s="31"/>
      <c r="E197" s="239" t="str">
        <f>IFERROR(VLOOKUP($B197,Transporte[],3,0),"")</f>
        <v/>
      </c>
      <c r="F197" s="33"/>
      <c r="G197" s="34" t="str">
        <f>IFERROR(IF(F197&gt;=0,D197*E197*(1+F197/100),ABS(D197*E197/F197)),"")</f>
        <v/>
      </c>
    </row>
    <row r="198" spans="1:7">
      <c r="A198" s="238" t="str">
        <f>IFERROR(_xlfn.XLOOKUP($B198,Insumo[DESCRIPCION],#REF!,,0),"")</f>
        <v/>
      </c>
      <c r="B198" s="29"/>
      <c r="C198" s="30" t="str">
        <f>IFERROR(VLOOKUP($B198,Transporte[],2,0),"")</f>
        <v/>
      </c>
      <c r="D198" s="31"/>
      <c r="E198" s="239" t="str">
        <f>IFERROR(VLOOKUP($B198,Transporte[],3,0),"")</f>
        <v/>
      </c>
      <c r="F198" s="33"/>
      <c r="G198" s="34" t="str">
        <f>IFERROR(IF(F198&gt;=0,D198*E198*(1+F198/100),ABS(D198*E198/F198)),"")</f>
        <v/>
      </c>
    </row>
    <row r="199" spans="1:7">
      <c r="A199" s="236"/>
      <c r="B199" s="22" t="s">
        <v>3732</v>
      </c>
      <c r="C199" s="23"/>
      <c r="D199" s="24"/>
      <c r="E199" s="237"/>
      <c r="F199" s="26"/>
      <c r="G199" s="27">
        <f>SUM(G200:G202)</f>
        <v>28722.117983000004</v>
      </c>
    </row>
    <row r="200" spans="1:7">
      <c r="A200" s="238" t="str">
        <f>IFERROR(_xlfn.XLOOKUP($B200,Insumo[DESCRIPCION],#REF!,,0),"")</f>
        <v/>
      </c>
      <c r="B200" s="29" t="s">
        <v>3711</v>
      </c>
      <c r="C200" s="30" t="str">
        <f>IFERROR(VLOOKUP($B200,MObra[],2,0),"")</f>
        <v>día</v>
      </c>
      <c r="D200" s="31">
        <v>1</v>
      </c>
      <c r="E200" s="239">
        <f>IFERROR(VLOOKUP($B200,MObra[],3,0),"")</f>
        <v>430831.76974500006</v>
      </c>
      <c r="F200" s="33">
        <v>-15</v>
      </c>
      <c r="G200" s="34">
        <f>IFERROR(IF(F200&gt;=0,D200*E200*(1+F200/100),ABS(D200*E200/F200)),"")</f>
        <v>28722.117983000004</v>
      </c>
    </row>
    <row r="201" spans="1:7">
      <c r="A201" s="238" t="str">
        <f>IFERROR(_xlfn.XLOOKUP($B201,Insumo[DESCRIPCION],#REF!,,0),"")</f>
        <v/>
      </c>
      <c r="B201" s="29"/>
      <c r="C201" s="30" t="str">
        <f>IFERROR(VLOOKUP($B201,MObra[],2,0),"")</f>
        <v/>
      </c>
      <c r="D201" s="31"/>
      <c r="E201" s="239" t="str">
        <f>IFERROR(VLOOKUP($B201,MObra[],3,0),"")</f>
        <v/>
      </c>
      <c r="F201" s="33"/>
      <c r="G201" s="34" t="str">
        <f>IFERROR(IF(F201&gt;=0,D201*E201*(1+F201/100),ABS(D201*E201/F201)),"")</f>
        <v/>
      </c>
    </row>
    <row r="202" spans="1:7">
      <c r="A202" s="240" t="str">
        <f>IFERROR(_xlfn.XLOOKUP($B202,Insumo[DESCRIPCION],#REF!,,0),"")</f>
        <v/>
      </c>
      <c r="B202" s="36"/>
      <c r="C202" s="37" t="str">
        <f>IFERROR(VLOOKUP($B202,MObra[],2,0),"")</f>
        <v/>
      </c>
      <c r="D202" s="243"/>
      <c r="E202" s="241" t="str">
        <f>IFERROR(VLOOKUP($B202,MObra[],3,0),"")</f>
        <v/>
      </c>
      <c r="F202" s="244"/>
      <c r="G202" s="41" t="str">
        <f>IFERROR(IF(F202&gt;=0,D202*E202*(1+F202/100),ABS(D202*E202/F202)),"")</f>
        <v/>
      </c>
    </row>
    <row r="204" spans="1:7">
      <c r="A204" s="228" t="s">
        <v>3748</v>
      </c>
      <c r="B204" s="7" t="s">
        <v>3749</v>
      </c>
      <c r="C204" s="8" t="s">
        <v>20</v>
      </c>
      <c r="D204" s="9"/>
      <c r="E204" s="229"/>
      <c r="F204" s="11" t="s">
        <v>2589</v>
      </c>
      <c r="G204" s="12">
        <f>SUM(G206:G222)/2</f>
        <v>102202.49632929002</v>
      </c>
    </row>
    <row r="205" spans="1:7">
      <c r="A205" s="230"/>
      <c r="B205" s="231" t="s">
        <v>2586</v>
      </c>
      <c r="C205" s="231" t="s">
        <v>5</v>
      </c>
      <c r="D205" s="232" t="s">
        <v>6</v>
      </c>
      <c r="E205" s="233" t="s">
        <v>7</v>
      </c>
      <c r="F205" s="234" t="s">
        <v>3728</v>
      </c>
      <c r="G205" s="235" t="s">
        <v>3729</v>
      </c>
    </row>
    <row r="206" spans="1:7">
      <c r="A206" s="236"/>
      <c r="B206" s="22" t="s">
        <v>3730</v>
      </c>
      <c r="C206" s="23"/>
      <c r="D206" s="24"/>
      <c r="E206" s="237"/>
      <c r="F206" s="26"/>
      <c r="G206" s="27">
        <f>SUM(G207:G211)</f>
        <v>83794.987500000017</v>
      </c>
    </row>
    <row r="207" spans="1:7">
      <c r="A207" s="238" t="str">
        <f>IFERROR(_xlfn.XLOOKUP($B207,Insumo[DESCRIPCION],#REF!,,0),"")</f>
        <v/>
      </c>
      <c r="B207" s="29" t="s">
        <v>3338</v>
      </c>
      <c r="C207" s="30" t="str">
        <f>IFERROR(VLOOKUP($B207,Insumo[],2,0),"")</f>
        <v>M</v>
      </c>
      <c r="D207" s="31">
        <v>4</v>
      </c>
      <c r="E207" s="239">
        <f>IFERROR(VLOOKUP($B207,Insumo[],3,0),"")</f>
        <v>8047.2000000000007</v>
      </c>
      <c r="F207" s="33"/>
      <c r="G207" s="34">
        <f>IFERROR(IF(F207&gt;=0,D207*E207*(1+F207/100),ABS(D207*E207/F207)),"")</f>
        <v>32188.800000000003</v>
      </c>
    </row>
    <row r="208" spans="1:7">
      <c r="A208" s="238" t="str">
        <f>IFERROR(_xlfn.XLOOKUP($B208,Insumo[DESCRIPCION],#REF!,,0),"")</f>
        <v/>
      </c>
      <c r="B208" s="29" t="s">
        <v>3048</v>
      </c>
      <c r="C208" s="30" t="str">
        <f>IFERROR(VLOOKUP($B208,Insumo[],2,0),"")</f>
        <v>M</v>
      </c>
      <c r="D208" s="31">
        <v>8</v>
      </c>
      <c r="E208" s="239">
        <f>IFERROR(VLOOKUP($B208,Insumo[],3,0),"")</f>
        <v>4091.8500000000004</v>
      </c>
      <c r="F208" s="33"/>
      <c r="G208" s="34">
        <f>IFERROR(IF(F208&gt;=0,D208*E208*(1+F208/100),ABS(D208*E208/F208)),"")</f>
        <v>32734.800000000003</v>
      </c>
    </row>
    <row r="209" spans="1:7">
      <c r="A209" s="238" t="str">
        <f>IFERROR(_xlfn.XLOOKUP($B209,Insumo[DESCRIPCION],#REF!,,0),"")</f>
        <v/>
      </c>
      <c r="B209" s="29" t="s">
        <v>2901</v>
      </c>
      <c r="C209" s="30" t="str">
        <f>IFERROR(VLOOKUP($B209,Insumo[],2,0),"")</f>
        <v>M</v>
      </c>
      <c r="D209" s="31">
        <v>2.75</v>
      </c>
      <c r="E209" s="239">
        <f>IFERROR(VLOOKUP($B209,Insumo[],3,0),"")</f>
        <v>5683.6500000000005</v>
      </c>
      <c r="F209" s="33"/>
      <c r="G209" s="34">
        <f>IFERROR(IF(F209&gt;=0,D209*E209*(1+F209/100),ABS(D209*E209/F209)),"")</f>
        <v>15630.037500000002</v>
      </c>
    </row>
    <row r="210" spans="1:7">
      <c r="A210" s="238" t="str">
        <f>IFERROR(_xlfn.XLOOKUP($B210,Insumo[DESCRIPCION],#REF!,,0),"")</f>
        <v/>
      </c>
      <c r="B210" s="29" t="s">
        <v>3253</v>
      </c>
      <c r="C210" s="30" t="str">
        <f>IFERROR(VLOOKUP($B210,Insumo[],2,0),"")</f>
        <v>Lb</v>
      </c>
      <c r="D210" s="31">
        <v>0.5</v>
      </c>
      <c r="E210" s="239">
        <f>IFERROR(VLOOKUP($B210,Insumo[],3,0),"")</f>
        <v>6482.7000000000007</v>
      </c>
      <c r="F210" s="33"/>
      <c r="G210" s="34">
        <f>IFERROR(IF(F210&gt;=0,D210*E210*(1+F210/100),ABS(D210*E210/F210)),"")</f>
        <v>3241.3500000000004</v>
      </c>
    </row>
    <row r="211" spans="1:7">
      <c r="A211" s="238" t="str">
        <f>IFERROR(_xlfn.XLOOKUP($B211,Insumo[DESCRIPCION],#REF!,,0),"")</f>
        <v/>
      </c>
      <c r="B211" s="29"/>
      <c r="C211" s="30" t="str">
        <f>IFERROR(VLOOKUP($B211,Insumo[],2,0),"")</f>
        <v/>
      </c>
      <c r="D211" s="31"/>
      <c r="E211" s="239" t="str">
        <f>IFERROR(VLOOKUP($B211,Insumo[],3,0),"")</f>
        <v/>
      </c>
      <c r="F211" s="33"/>
      <c r="G211" s="34" t="str">
        <f>IFERROR(IF(F211&gt;=0,D211*E211*(1+F211/100),ABS(D211*E211/F211)),"")</f>
        <v/>
      </c>
    </row>
    <row r="212" spans="1:7">
      <c r="A212" s="236"/>
      <c r="B212" s="22" t="s">
        <v>3731</v>
      </c>
      <c r="C212" s="23"/>
      <c r="D212" s="24"/>
      <c r="E212" s="237"/>
      <c r="F212" s="26"/>
      <c r="G212" s="27">
        <f>SUM(G213:G215)</f>
        <v>1174.2380394900001</v>
      </c>
    </row>
    <row r="213" spans="1:7">
      <c r="A213" s="238" t="str">
        <f>IFERROR(_xlfn.XLOOKUP($B213,Insumo[DESCRIPCION],#REF!,,0),"")</f>
        <v/>
      </c>
      <c r="B213" s="29" t="s">
        <v>3648</v>
      </c>
      <c r="C213" s="30" t="str">
        <f>IFERROR(VLOOKUP($B213,Equipo[],2,0),"")</f>
        <v>Día</v>
      </c>
      <c r="D213" s="31">
        <v>1</v>
      </c>
      <c r="E213" s="239">
        <f>IF($C213="%MO",G219,IFERROR(VLOOKUP($B213,Equipo[],3,0),""))</f>
        <v>62514.9</v>
      </c>
      <c r="F213" s="33">
        <v>-200</v>
      </c>
      <c r="G213" s="34">
        <f>IFERROR(IF(F213&gt;=0,D213*E213*(1+F213/100),ABS(D213*E213/F213)),"")</f>
        <v>312.5745</v>
      </c>
    </row>
    <row r="214" spans="1:7">
      <c r="A214" s="238" t="str">
        <f>IFERROR(_xlfn.XLOOKUP($B214,Insumo[DESCRIPCION],#REF!,,0),"")</f>
        <v/>
      </c>
      <c r="B214" s="29" t="s">
        <v>3626</v>
      </c>
      <c r="C214" s="30" t="str">
        <f>IFERROR(VLOOKUP($B214,Equipo[],2,0),"")</f>
        <v>%MO</v>
      </c>
      <c r="D214" s="242">
        <v>0.05</v>
      </c>
      <c r="E214" s="239">
        <f>IF($C214="%MO",G220,IFERROR(VLOOKUP($B214,Equipo[],3,0),""))</f>
        <v>17233.270789800001</v>
      </c>
      <c r="F214" s="33"/>
      <c r="G214" s="34">
        <f>IFERROR(IF(F214&gt;=0,D214*E214*(1+F214/100),ABS(D214*E214/F214)),"")</f>
        <v>861.66353949000006</v>
      </c>
    </row>
    <row r="215" spans="1:7">
      <c r="A215" s="238" t="str">
        <f>IFERROR(_xlfn.XLOOKUP($B215,Insumo[DESCRIPCION],#REF!,,0),"")</f>
        <v/>
      </c>
      <c r="B215" s="29"/>
      <c r="C215" s="30" t="str">
        <f>IFERROR(VLOOKUP($B215,Equipo[],2,0),"")</f>
        <v/>
      </c>
      <c r="D215" s="31"/>
      <c r="E215" s="239" t="str">
        <f>IF($C215="%MO",G221,IFERROR(VLOOKUP($B215,Equipo[],3,0),""))</f>
        <v/>
      </c>
      <c r="F215" s="33"/>
      <c r="G215" s="34" t="str">
        <f>IFERROR(IF(F215&gt;=0,D215*E215*(1+F215/100),ABS(D215*E215/F215)),"")</f>
        <v/>
      </c>
    </row>
    <row r="216" spans="1:7">
      <c r="A216" s="236"/>
      <c r="B216" s="22" t="s">
        <v>2533</v>
      </c>
      <c r="C216" s="23"/>
      <c r="D216" s="24"/>
      <c r="E216" s="237"/>
      <c r="F216" s="26"/>
      <c r="G216" s="27">
        <f>SUM(G217:G218)</f>
        <v>0</v>
      </c>
    </row>
    <row r="217" spans="1:7">
      <c r="A217" s="238" t="str">
        <f>IFERROR(_xlfn.XLOOKUP($B217,Insumo[DESCRIPCION],#REF!,,0),"")</f>
        <v/>
      </c>
      <c r="B217" s="29"/>
      <c r="C217" s="30" t="str">
        <f>IFERROR(VLOOKUP($B217,Transporte[],2,0),"")</f>
        <v/>
      </c>
      <c r="D217" s="31"/>
      <c r="E217" s="239" t="str">
        <f>IFERROR(VLOOKUP($B217,Transporte[],3,0),"")</f>
        <v/>
      </c>
      <c r="F217" s="33"/>
      <c r="G217" s="34" t="str">
        <f>IFERROR(IF(F217&gt;=0,D217*E217*(1+F217/100),ABS(D217*E217/F217)),"")</f>
        <v/>
      </c>
    </row>
    <row r="218" spans="1:7">
      <c r="A218" s="238" t="str">
        <f>IFERROR(_xlfn.XLOOKUP($B218,Insumo[DESCRIPCION],#REF!,,0),"")</f>
        <v/>
      </c>
      <c r="B218" s="29"/>
      <c r="C218" s="30" t="str">
        <f>IFERROR(VLOOKUP($B218,Transporte[],2,0),"")</f>
        <v/>
      </c>
      <c r="D218" s="31"/>
      <c r="E218" s="239" t="str">
        <f>IFERROR(VLOOKUP($B218,Transporte[],3,0),"")</f>
        <v/>
      </c>
      <c r="F218" s="33"/>
      <c r="G218" s="34" t="str">
        <f>IFERROR(IF(F218&gt;=0,D218*E218*(1+F218/100),ABS(D218*E218/F218)),"")</f>
        <v/>
      </c>
    </row>
    <row r="219" spans="1:7">
      <c r="A219" s="236"/>
      <c r="B219" s="22" t="s">
        <v>3732</v>
      </c>
      <c r="C219" s="23"/>
      <c r="D219" s="24"/>
      <c r="E219" s="237"/>
      <c r="F219" s="26"/>
      <c r="G219" s="27">
        <f>SUM(G220:G222)</f>
        <v>17233.270789800001</v>
      </c>
    </row>
    <row r="220" spans="1:7">
      <c r="A220" s="238" t="str">
        <f>IFERROR(_xlfn.XLOOKUP($B220,Insumo[DESCRIPCION],#REF!,,0),"")</f>
        <v/>
      </c>
      <c r="B220" s="29" t="s">
        <v>3711</v>
      </c>
      <c r="C220" s="30" t="str">
        <f>IFERROR(VLOOKUP($B220,MObra[],2,0),"")</f>
        <v>día</v>
      </c>
      <c r="D220" s="31">
        <v>1</v>
      </c>
      <c r="E220" s="239">
        <f>IFERROR(VLOOKUP($B220,MObra[],3,0),"")</f>
        <v>430831.76974500006</v>
      </c>
      <c r="F220" s="33">
        <v>-25</v>
      </c>
      <c r="G220" s="34">
        <f>IFERROR(IF(F220&gt;=0,D220*E220*(1+F220/100),ABS(D220*E220/F220)),"")</f>
        <v>17233.270789800001</v>
      </c>
    </row>
    <row r="221" spans="1:7">
      <c r="A221" s="238" t="str">
        <f>IFERROR(_xlfn.XLOOKUP($B221,Insumo[DESCRIPCION],#REF!,,0),"")</f>
        <v/>
      </c>
      <c r="B221" s="29"/>
      <c r="C221" s="30" t="str">
        <f>IFERROR(VLOOKUP($B221,MObra[],2,0),"")</f>
        <v/>
      </c>
      <c r="D221" s="31"/>
      <c r="E221" s="239" t="str">
        <f>IFERROR(VLOOKUP($B221,MObra[],3,0),"")</f>
        <v/>
      </c>
      <c r="F221" s="33"/>
      <c r="G221" s="34" t="str">
        <f>IFERROR(IF(F221&gt;=0,D221*E221*(1+F221/100),ABS(D221*E221/F221)),"")</f>
        <v/>
      </c>
    </row>
    <row r="222" spans="1:7">
      <c r="A222" s="240" t="str">
        <f>IFERROR(_xlfn.XLOOKUP($B222,Insumo[DESCRIPCION],#REF!,,0),"")</f>
        <v/>
      </c>
      <c r="B222" s="36"/>
      <c r="C222" s="37" t="str">
        <f>IFERROR(VLOOKUP($B222,MObra[],2,0),"")</f>
        <v/>
      </c>
      <c r="D222" s="243"/>
      <c r="E222" s="241" t="str">
        <f>IFERROR(VLOOKUP($B222,MObra[],3,0),"")</f>
        <v/>
      </c>
      <c r="F222" s="244"/>
      <c r="G222" s="41" t="str">
        <f>IFERROR(IF(F222&gt;=0,D222*E222*(1+F222/100),ABS(D222*E222/F222)),"")</f>
        <v/>
      </c>
    </row>
    <row r="1271" spans="2:2" ht="12.75" customHeight="1">
      <c r="B1271" s="51"/>
    </row>
  </sheetData>
  <mergeCells count="3">
    <mergeCell ref="B1:G1"/>
    <mergeCell ref="B2:G2"/>
    <mergeCell ref="B3:G3"/>
  </mergeCells>
  <dataValidations count="1">
    <dataValidation type="list" allowBlank="1" showInputMessage="1" showErrorMessage="1" sqref="B7:B11 B27:B31 B47:B51 B67:B71 B87:B91 B107:B111 B127:B131 B147:B151 B167:B171 B187:B191 B207:B211" xr:uid="{00000000-0002-0000-0500-000000000000}">
      <formula1>Desinsum</formula1>
      <formula2>0</formula2>
    </dataValidation>
  </dataValidations>
  <printOptions horizontalCentered="1"/>
  <pageMargins left="0.59055118110236227" right="0.59055118110236227" top="0.59055118110236227" bottom="0.59055118110236227" header="0.51181102362204722" footer="0.51181102362204722"/>
  <pageSetup scale="65" orientation="portrait" horizontalDpi="300" verticalDpi="300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500-000001000000}">
          <x14:formula1>
            <xm:f>Transporte!$A$4:$A$9</xm:f>
          </x14:formula1>
          <x14:formula2>
            <xm:f>0</xm:f>
          </x14:formula2>
          <xm:sqref>B17:B18 B37:B38 B57:B58 B77:B78 B97:B98 B117:B118 B137:B138 B157:B158 B177:B178 B197:B198 B217:B218</xm:sqref>
        </x14:dataValidation>
        <x14:dataValidation type="list" allowBlank="1" showInputMessage="1" showErrorMessage="1" xr:uid="{00000000-0002-0000-0500-000002000000}">
          <x14:formula1>
            <xm:f>'Mano de obra'!$B$31:$B$58</xm:f>
          </x14:formula1>
          <x14:formula2>
            <xm:f>0</xm:f>
          </x14:formula2>
          <xm:sqref>B20:B22 B40:B42 B60:B62 B80:B82 B100:B102 B120:B122 B140:B142 B160:B162 B180:B182 B200:B202 B220:B222</xm:sqref>
        </x14:dataValidation>
        <x14:dataValidation type="list" allowBlank="1" showInputMessage="1" showErrorMessage="1" xr:uid="{00000000-0002-0000-0500-000003000000}">
          <x14:formula1>
            <xm:f>Equipo!$A$4:$A$90</xm:f>
          </x14:formula1>
          <x14:formula2>
            <xm:f>0</xm:f>
          </x14:formula2>
          <xm:sqref>B13:B15 B213:B215 B193:B195 B173:B175 B153:B155 B133:B135 B113:B115 B93:B95 B73:B75 B53:B55 B33:B35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2DCDB"/>
  </sheetPr>
  <dimension ref="A1:G1271"/>
  <sheetViews>
    <sheetView view="pageBreakPreview" zoomScaleNormal="100" workbookViewId="0">
      <pane xSplit="1" ySplit="10" topLeftCell="B35" activePane="bottomRight" state="frozen"/>
      <selection activeCell="A103" sqref="A103:XFD103"/>
      <selection pane="topRight" activeCell="A103" sqref="A103:XFD103"/>
      <selection pane="bottomLeft" activeCell="A103" sqref="A103:XFD103"/>
      <selection pane="bottomRight" activeCell="C6" sqref="C6"/>
    </sheetView>
  </sheetViews>
  <sheetFormatPr baseColWidth="10" defaultColWidth="9.1328125" defaultRowHeight="12.75" customHeight="1"/>
  <cols>
    <col min="1" max="1" width="46.1328125" style="160" customWidth="1"/>
    <col min="2" max="2" width="17.3984375" style="162" customWidth="1"/>
    <col min="3" max="3" width="17.3984375" style="163" customWidth="1"/>
    <col min="4" max="4" width="14.86328125" style="221" bestFit="1" customWidth="1"/>
    <col min="5" max="5" width="21" style="159" customWidth="1"/>
    <col min="6" max="6" width="5" style="159" customWidth="1"/>
    <col min="7" max="7" width="14.265625" style="160" customWidth="1"/>
    <col min="8" max="198" width="11.3984375" style="160" customWidth="1"/>
    <col min="199" max="16384" width="9.1328125" style="160"/>
  </cols>
  <sheetData>
    <row r="1" spans="1:6">
      <c r="A1" s="154" t="str">
        <f>Presupuesto!A1</f>
        <v>ALCALDIA DE PEREIRA</v>
      </c>
      <c r="B1" s="155"/>
      <c r="C1" s="156"/>
      <c r="D1" s="157"/>
      <c r="E1" s="158"/>
    </row>
    <row r="2" spans="1:6">
      <c r="A2" s="161" t="s">
        <v>3750</v>
      </c>
      <c r="D2" s="164"/>
      <c r="E2" s="165"/>
    </row>
    <row r="3" spans="1:6">
      <c r="A3" s="166" t="s">
        <v>3751</v>
      </c>
      <c r="D3" s="167"/>
      <c r="E3" s="165"/>
    </row>
    <row r="4" spans="1:6" ht="15" customHeight="1">
      <c r="A4" s="168" t="s">
        <v>3752</v>
      </c>
      <c r="D4" s="167"/>
      <c r="E4" s="165"/>
    </row>
    <row r="5" spans="1:6" ht="15" customHeight="1">
      <c r="A5" s="319"/>
      <c r="B5" s="169" t="s">
        <v>3753</v>
      </c>
      <c r="C5" s="170">
        <f>D51</f>
        <v>15.5922</v>
      </c>
      <c r="D5" s="164" t="s">
        <v>3754</v>
      </c>
      <c r="E5" s="171">
        <v>3</v>
      </c>
      <c r="F5" s="172"/>
    </row>
    <row r="6" spans="1:6" ht="15" customHeight="1">
      <c r="A6" s="320"/>
      <c r="B6" s="169" t="s">
        <v>3755</v>
      </c>
      <c r="C6" s="173">
        <f>+Presupuesto!F1279</f>
        <v>5114815</v>
      </c>
      <c r="D6" s="164" t="s">
        <v>3756</v>
      </c>
      <c r="E6" s="174">
        <v>0</v>
      </c>
      <c r="F6" s="175"/>
    </row>
    <row r="7" spans="1:6" ht="15" customHeight="1">
      <c r="A7" s="320"/>
      <c r="B7" s="169" t="s">
        <v>3757</v>
      </c>
      <c r="C7" s="176">
        <f>C6+(C6*G51)</f>
        <v>6649259.5</v>
      </c>
      <c r="D7" s="164" t="s">
        <v>3758</v>
      </c>
      <c r="E7" s="177">
        <v>1750095</v>
      </c>
      <c r="F7" s="178"/>
    </row>
    <row r="8" spans="1:6" ht="12.75" customHeight="1">
      <c r="A8" s="321"/>
      <c r="D8" s="179"/>
      <c r="E8" s="180"/>
      <c r="F8" s="181"/>
    </row>
    <row r="9" spans="1:6">
      <c r="A9" s="168"/>
      <c r="C9" s="160"/>
      <c r="D9" s="167"/>
      <c r="E9" s="180"/>
      <c r="F9" s="181"/>
    </row>
    <row r="10" spans="1:6" ht="15" customHeight="1">
      <c r="A10" s="182" t="s">
        <v>3759</v>
      </c>
      <c r="B10" s="183" t="s">
        <v>3760</v>
      </c>
      <c r="C10" s="184" t="s">
        <v>3761</v>
      </c>
      <c r="D10" s="185" t="s">
        <v>3762</v>
      </c>
      <c r="E10" s="186" t="s">
        <v>3763</v>
      </c>
      <c r="F10" s="187"/>
    </row>
    <row r="11" spans="1:6">
      <c r="A11" s="188" t="s">
        <v>3764</v>
      </c>
      <c r="B11" s="189">
        <v>6660000</v>
      </c>
      <c r="C11" s="190">
        <v>0.6</v>
      </c>
      <c r="D11" s="191">
        <v>3.5</v>
      </c>
      <c r="E11" s="192">
        <f>B11*C11*D11</f>
        <v>13986000</v>
      </c>
      <c r="F11" s="193"/>
    </row>
    <row r="12" spans="1:6">
      <c r="A12" s="188" t="s">
        <v>3765</v>
      </c>
      <c r="B12" s="189">
        <v>4380000</v>
      </c>
      <c r="C12" s="190">
        <v>0.8</v>
      </c>
      <c r="D12" s="191">
        <v>3.5</v>
      </c>
      <c r="E12" s="192">
        <f>B12*C12*D12</f>
        <v>12264000</v>
      </c>
      <c r="F12" s="193"/>
    </row>
    <row r="13" spans="1:6">
      <c r="A13" s="188" t="s">
        <v>3766</v>
      </c>
      <c r="B13" s="189">
        <v>3330000</v>
      </c>
      <c r="C13" s="190">
        <v>0.5</v>
      </c>
      <c r="D13" s="191">
        <f>$E$5</f>
        <v>3</v>
      </c>
      <c r="E13" s="192">
        <f>B13*C13*D13</f>
        <v>4995000</v>
      </c>
      <c r="F13" s="193"/>
    </row>
    <row r="14" spans="1:6">
      <c r="A14" s="188" t="s">
        <v>3767</v>
      </c>
      <c r="B14" s="189">
        <v>3160000</v>
      </c>
      <c r="C14" s="190">
        <v>1</v>
      </c>
      <c r="D14" s="191">
        <f>$E$5</f>
        <v>3</v>
      </c>
      <c r="E14" s="192">
        <f>B14*C14*D14</f>
        <v>9480000</v>
      </c>
      <c r="F14" s="193"/>
    </row>
    <row r="15" spans="1:6">
      <c r="A15" s="188"/>
      <c r="B15" s="189"/>
      <c r="C15" s="190"/>
      <c r="D15" s="191">
        <f>$E$5</f>
        <v>3</v>
      </c>
      <c r="E15" s="192">
        <f>B15*C15*D15</f>
        <v>0</v>
      </c>
      <c r="F15" s="193"/>
    </row>
    <row r="16" spans="1:6">
      <c r="A16" s="188" t="s">
        <v>3768</v>
      </c>
      <c r="B16" s="194"/>
      <c r="C16" s="195"/>
      <c r="D16" s="196"/>
      <c r="E16" s="197">
        <f>SUM(E11:E15)</f>
        <v>40725000</v>
      </c>
      <c r="F16" s="198"/>
    </row>
    <row r="17" spans="1:6">
      <c r="A17" s="188" t="s">
        <v>3769</v>
      </c>
      <c r="B17" s="194"/>
      <c r="C17" s="195"/>
      <c r="D17" s="199">
        <f>'Mano de obra'!D29-1</f>
        <v>0.79690000000000016</v>
      </c>
      <c r="E17" s="197">
        <f>E16*D17</f>
        <v>32453752.500000007</v>
      </c>
      <c r="F17" s="198"/>
    </row>
    <row r="18" spans="1:6">
      <c r="A18" s="200" t="s">
        <v>3770</v>
      </c>
      <c r="B18" s="201"/>
      <c r="C18" s="202"/>
      <c r="D18" s="203"/>
      <c r="E18" s="197">
        <f>E16+E17</f>
        <v>73178752.5</v>
      </c>
      <c r="F18" s="198"/>
    </row>
    <row r="19" spans="1:6">
      <c r="A19" s="168"/>
      <c r="D19" s="167"/>
      <c r="E19" s="165"/>
    </row>
    <row r="20" spans="1:6" ht="25.5">
      <c r="A20" s="182" t="s">
        <v>3771</v>
      </c>
      <c r="B20" s="183" t="s">
        <v>3760</v>
      </c>
      <c r="C20" s="184" t="s">
        <v>3761</v>
      </c>
      <c r="D20" s="185" t="s">
        <v>3762</v>
      </c>
      <c r="E20" s="186" t="s">
        <v>3763</v>
      </c>
      <c r="F20" s="187"/>
    </row>
    <row r="21" spans="1:6">
      <c r="A21" s="204" t="s">
        <v>3772</v>
      </c>
      <c r="B21" s="189">
        <v>2110000</v>
      </c>
      <c r="C21" s="190">
        <v>0</v>
      </c>
      <c r="D21" s="191">
        <f>$E$5</f>
        <v>3</v>
      </c>
      <c r="E21" s="192">
        <f>B21*C21*D21</f>
        <v>0</v>
      </c>
      <c r="F21" s="193"/>
    </row>
    <row r="22" spans="1:6">
      <c r="A22" s="188" t="s">
        <v>3773</v>
      </c>
      <c r="B22" s="189">
        <v>1760000</v>
      </c>
      <c r="C22" s="190">
        <v>0.51</v>
      </c>
      <c r="D22" s="191">
        <f>$E$5</f>
        <v>3</v>
      </c>
      <c r="E22" s="192">
        <f>B22*C22*D22</f>
        <v>2692800</v>
      </c>
      <c r="F22" s="193"/>
    </row>
    <row r="23" spans="1:6">
      <c r="A23" s="188" t="s">
        <v>3774</v>
      </c>
      <c r="B23" s="189">
        <v>1840000</v>
      </c>
      <c r="C23" s="190">
        <v>0</v>
      </c>
      <c r="D23" s="191">
        <f>$E$5</f>
        <v>3</v>
      </c>
      <c r="E23" s="192">
        <f>B23*C23*D23</f>
        <v>0</v>
      </c>
      <c r="F23" s="193"/>
    </row>
    <row r="24" spans="1:6">
      <c r="A24" s="188" t="s">
        <v>3768</v>
      </c>
      <c r="B24" s="194"/>
      <c r="C24" s="195"/>
      <c r="D24" s="196"/>
      <c r="E24" s="197">
        <f>SUM(E21:E23)</f>
        <v>2692800</v>
      </c>
      <c r="F24" s="198"/>
    </row>
    <row r="25" spans="1:6">
      <c r="A25" s="188" t="s">
        <v>3769</v>
      </c>
      <c r="B25" s="194"/>
      <c r="C25" s="195"/>
      <c r="D25" s="199">
        <f>'Mano de obra'!C29-1</f>
        <v>0.99510000000000032</v>
      </c>
      <c r="E25" s="197">
        <f>E24*D25</f>
        <v>2679605.2800000007</v>
      </c>
      <c r="F25" s="198"/>
    </row>
    <row r="26" spans="1:6">
      <c r="A26" s="200" t="s">
        <v>3770</v>
      </c>
      <c r="B26" s="201"/>
      <c r="C26" s="202"/>
      <c r="D26" s="203"/>
      <c r="E26" s="197">
        <f>E24+E25</f>
        <v>5372405.2800000012</v>
      </c>
      <c r="F26" s="198"/>
    </row>
    <row r="27" spans="1:6">
      <c r="A27" s="168"/>
      <c r="D27" s="167"/>
      <c r="E27" s="205"/>
      <c r="F27" s="206"/>
    </row>
    <row r="28" spans="1:6">
      <c r="A28" s="182" t="s">
        <v>3775</v>
      </c>
      <c r="B28" s="183" t="s">
        <v>2588</v>
      </c>
      <c r="C28" s="184" t="s">
        <v>3761</v>
      </c>
      <c r="D28" s="185" t="s">
        <v>3762</v>
      </c>
      <c r="E28" s="186" t="s">
        <v>3763</v>
      </c>
      <c r="F28" s="187"/>
    </row>
    <row r="29" spans="1:6">
      <c r="A29" s="188" t="s">
        <v>3776</v>
      </c>
      <c r="B29" s="189">
        <v>6100000</v>
      </c>
      <c r="C29" s="190"/>
      <c r="D29" s="191">
        <f t="shared" ref="D29:D34" si="0">$E$5</f>
        <v>3</v>
      </c>
      <c r="E29" s="192">
        <f t="shared" ref="E29:E34" si="1">B29*C29*D29</f>
        <v>0</v>
      </c>
      <c r="F29" s="193"/>
    </row>
    <row r="30" spans="1:6">
      <c r="A30" s="188" t="s">
        <v>3777</v>
      </c>
      <c r="B30" s="189">
        <v>6100000</v>
      </c>
      <c r="C30" s="190"/>
      <c r="D30" s="191">
        <f t="shared" si="0"/>
        <v>3</v>
      </c>
      <c r="E30" s="192">
        <f t="shared" si="1"/>
        <v>0</v>
      </c>
      <c r="F30" s="193"/>
    </row>
    <row r="31" spans="1:6">
      <c r="A31" s="188" t="s">
        <v>3809</v>
      </c>
      <c r="B31" s="189">
        <v>6100000</v>
      </c>
      <c r="C31" s="190"/>
      <c r="D31" s="191">
        <v>3.5</v>
      </c>
      <c r="E31" s="192">
        <f t="shared" si="1"/>
        <v>0</v>
      </c>
      <c r="F31" s="193"/>
    </row>
    <row r="32" spans="1:6">
      <c r="A32" s="188" t="s">
        <v>3778</v>
      </c>
      <c r="B32" s="189">
        <v>6100000</v>
      </c>
      <c r="C32" s="190"/>
      <c r="D32" s="191">
        <f t="shared" si="0"/>
        <v>3</v>
      </c>
      <c r="E32" s="192">
        <f t="shared" si="1"/>
        <v>0</v>
      </c>
      <c r="F32" s="193"/>
    </row>
    <row r="33" spans="1:6">
      <c r="A33" s="188" t="s">
        <v>3779</v>
      </c>
      <c r="B33" s="189">
        <v>4640000</v>
      </c>
      <c r="C33" s="190"/>
      <c r="D33" s="191">
        <f t="shared" si="0"/>
        <v>3</v>
      </c>
      <c r="E33" s="192">
        <f t="shared" si="1"/>
        <v>0</v>
      </c>
      <c r="F33" s="193"/>
    </row>
    <row r="34" spans="1:6">
      <c r="A34" s="188" t="s">
        <v>3780</v>
      </c>
      <c r="B34" s="189">
        <v>4640000</v>
      </c>
      <c r="C34" s="190"/>
      <c r="D34" s="191">
        <f t="shared" si="0"/>
        <v>3</v>
      </c>
      <c r="E34" s="192">
        <f t="shared" si="1"/>
        <v>0</v>
      </c>
      <c r="F34" s="193"/>
    </row>
    <row r="35" spans="1:6">
      <c r="A35" s="200" t="s">
        <v>3781</v>
      </c>
      <c r="B35" s="194"/>
      <c r="C35" s="195"/>
      <c r="D35" s="196"/>
      <c r="E35" s="197">
        <f>SUM(E29:E34)</f>
        <v>0</v>
      </c>
      <c r="F35" s="198"/>
    </row>
    <row r="36" spans="1:6">
      <c r="A36" s="168"/>
      <c r="D36" s="167"/>
      <c r="E36" s="205"/>
      <c r="F36" s="206"/>
    </row>
    <row r="37" spans="1:6">
      <c r="A37" s="182" t="s">
        <v>3782</v>
      </c>
      <c r="B37" s="183" t="s">
        <v>2588</v>
      </c>
      <c r="C37" s="184" t="s">
        <v>6</v>
      </c>
      <c r="D37" s="185"/>
      <c r="E37" s="186" t="s">
        <v>3763</v>
      </c>
      <c r="F37" s="187"/>
    </row>
    <row r="38" spans="1:6">
      <c r="A38" s="188" t="s">
        <v>3783</v>
      </c>
      <c r="B38" s="189">
        <f t="shared" ref="B38:B44" si="2">$C$7</f>
        <v>6649259.5</v>
      </c>
      <c r="C38" s="207">
        <v>1.4999999999999999E-2</v>
      </c>
      <c r="D38" s="191"/>
      <c r="E38" s="192">
        <f t="shared" ref="E38:E44" si="3">ROUND((B38*C38),2)</f>
        <v>99738.89</v>
      </c>
      <c r="F38" s="193"/>
    </row>
    <row r="39" spans="1:6">
      <c r="A39" s="188" t="s">
        <v>3784</v>
      </c>
      <c r="B39" s="189">
        <f t="shared" si="2"/>
        <v>6649259.5</v>
      </c>
      <c r="C39" s="207">
        <v>0.02</v>
      </c>
      <c r="D39" s="191"/>
      <c r="E39" s="192">
        <f t="shared" si="3"/>
        <v>132985.19</v>
      </c>
      <c r="F39" s="193"/>
    </row>
    <row r="40" spans="1:6">
      <c r="A40" s="188" t="s">
        <v>3785</v>
      </c>
      <c r="B40" s="189">
        <f t="shared" si="2"/>
        <v>6649259.5</v>
      </c>
      <c r="C40" s="207">
        <v>0.02</v>
      </c>
      <c r="D40" s="191"/>
      <c r="E40" s="192">
        <f t="shared" si="3"/>
        <v>132985.19</v>
      </c>
      <c r="F40" s="193"/>
    </row>
    <row r="41" spans="1:6">
      <c r="A41" s="188" t="s">
        <v>3786</v>
      </c>
      <c r="B41" s="189">
        <f t="shared" si="2"/>
        <v>6649259.5</v>
      </c>
      <c r="C41" s="207">
        <v>7.0000000000000001E-3</v>
      </c>
      <c r="D41" s="191"/>
      <c r="E41" s="192">
        <f t="shared" si="3"/>
        <v>46544.82</v>
      </c>
      <c r="F41" s="193"/>
    </row>
    <row r="42" spans="1:6">
      <c r="A42" s="188" t="s">
        <v>3787</v>
      </c>
      <c r="B42" s="189">
        <f t="shared" si="2"/>
        <v>6649259.5</v>
      </c>
      <c r="C42" s="207">
        <v>0.05</v>
      </c>
      <c r="D42" s="191"/>
      <c r="E42" s="192">
        <f t="shared" si="3"/>
        <v>332462.98</v>
      </c>
      <c r="F42" s="193"/>
    </row>
    <row r="43" spans="1:6">
      <c r="A43" s="188" t="s">
        <v>3788</v>
      </c>
      <c r="B43" s="189">
        <f t="shared" si="2"/>
        <v>6649259.5</v>
      </c>
      <c r="C43" s="207">
        <v>0.02</v>
      </c>
      <c r="D43" s="191"/>
      <c r="E43" s="192">
        <f t="shared" si="3"/>
        <v>132985.19</v>
      </c>
      <c r="F43" s="193"/>
    </row>
    <row r="44" spans="1:6">
      <c r="A44" s="188" t="s">
        <v>3789</v>
      </c>
      <c r="B44" s="189">
        <f t="shared" si="2"/>
        <v>6649259.5</v>
      </c>
      <c r="C44" s="207">
        <v>0.01</v>
      </c>
      <c r="D44" s="191"/>
      <c r="E44" s="192">
        <f t="shared" si="3"/>
        <v>66492.600000000006</v>
      </c>
      <c r="F44" s="193"/>
    </row>
    <row r="45" spans="1:6">
      <c r="A45" s="200" t="s">
        <v>3790</v>
      </c>
      <c r="B45" s="201"/>
      <c r="C45" s="202"/>
      <c r="D45" s="203"/>
      <c r="E45" s="208">
        <f>SUM(E38:E44)</f>
        <v>944194.86</v>
      </c>
      <c r="F45" s="206"/>
    </row>
    <row r="46" spans="1:6">
      <c r="A46" s="168"/>
      <c r="D46" s="167"/>
      <c r="E46" s="180"/>
      <c r="F46" s="181"/>
    </row>
    <row r="47" spans="1:6">
      <c r="A47" s="200" t="s">
        <v>3791</v>
      </c>
      <c r="B47" s="194"/>
      <c r="C47" s="195"/>
      <c r="D47" s="209">
        <f>ROUND(E47/$C$6,4)</f>
        <v>15.542199999999999</v>
      </c>
      <c r="E47" s="210">
        <f>E18+E35+E45+E26</f>
        <v>79495352.640000001</v>
      </c>
      <c r="F47" s="211"/>
    </row>
    <row r="48" spans="1:6">
      <c r="A48" s="168"/>
      <c r="D48" s="212"/>
      <c r="E48" s="205"/>
      <c r="F48" s="206"/>
    </row>
    <row r="49" spans="1:7">
      <c r="A49" s="200" t="s">
        <v>3792</v>
      </c>
      <c r="B49" s="194"/>
      <c r="C49" s="195"/>
      <c r="D49" s="209">
        <v>0.05</v>
      </c>
      <c r="E49" s="213"/>
      <c r="F49" s="211"/>
    </row>
    <row r="50" spans="1:7">
      <c r="A50" s="168"/>
      <c r="D50" s="212"/>
      <c r="E50" s="205"/>
      <c r="F50" s="211"/>
      <c r="G50" s="163" t="s">
        <v>3793</v>
      </c>
    </row>
    <row r="51" spans="1:7" ht="13.15" thickBot="1">
      <c r="A51" s="214" t="s">
        <v>3794</v>
      </c>
      <c r="B51" s="215"/>
      <c r="C51" s="216"/>
      <c r="D51" s="217">
        <f>ROUND(D47+D49,4)</f>
        <v>15.5922</v>
      </c>
      <c r="E51" s="218"/>
      <c r="F51" s="211"/>
      <c r="G51" s="219">
        <v>0.3</v>
      </c>
    </row>
    <row r="52" spans="1:7">
      <c r="A52" s="220"/>
      <c r="D52" s="167"/>
      <c r="E52" s="206"/>
      <c r="F52" s="206"/>
    </row>
    <row r="53" spans="1:7">
      <c r="A53" s="220"/>
      <c r="D53" s="167"/>
      <c r="E53" s="206"/>
      <c r="F53" s="206"/>
    </row>
    <row r="54" spans="1:7">
      <c r="A54" s="220"/>
      <c r="D54" s="167"/>
      <c r="E54" s="206"/>
      <c r="F54" s="206"/>
    </row>
    <row r="55" spans="1:7">
      <c r="A55" s="220"/>
      <c r="D55" s="167"/>
      <c r="E55" s="206"/>
      <c r="F55" s="206"/>
    </row>
    <row r="56" spans="1:7">
      <c r="A56" s="220"/>
      <c r="D56" s="167"/>
      <c r="E56" s="206"/>
      <c r="F56" s="206"/>
    </row>
    <row r="57" spans="1:7">
      <c r="A57" s="220"/>
      <c r="D57" s="167"/>
      <c r="E57" s="206"/>
      <c r="F57" s="206"/>
    </row>
    <row r="58" spans="1:7">
      <c r="A58" s="220"/>
      <c r="D58" s="167"/>
      <c r="E58" s="206"/>
      <c r="F58" s="206"/>
    </row>
    <row r="59" spans="1:7">
      <c r="A59" s="220"/>
      <c r="D59" s="167"/>
      <c r="E59" s="206"/>
      <c r="F59" s="206"/>
    </row>
    <row r="60" spans="1:7">
      <c r="A60" s="220"/>
      <c r="D60" s="167"/>
      <c r="E60" s="206"/>
      <c r="F60" s="206"/>
    </row>
    <row r="61" spans="1:7">
      <c r="A61" s="220"/>
      <c r="D61" s="167"/>
      <c r="E61" s="160"/>
      <c r="F61" s="160"/>
    </row>
    <row r="62" spans="1:7">
      <c r="A62" s="220"/>
      <c r="D62" s="167"/>
      <c r="E62" s="160"/>
      <c r="F62" s="160"/>
    </row>
    <row r="64" spans="1:7" ht="12.75" customHeight="1" thickBot="1"/>
    <row r="65" spans="1:6" ht="12.75" customHeight="1">
      <c r="A65" s="154" t="str">
        <f>Presupuesto!A1</f>
        <v>ALCALDIA DE PEREIRA</v>
      </c>
      <c r="B65" s="155"/>
      <c r="C65" s="156"/>
      <c r="D65" s="157"/>
      <c r="E65" s="158"/>
    </row>
    <row r="66" spans="1:6" ht="12.75" customHeight="1">
      <c r="A66" s="161" t="s">
        <v>3795</v>
      </c>
      <c r="D66" s="164"/>
      <c r="E66" s="165"/>
    </row>
    <row r="67" spans="1:6" ht="12.75" customHeight="1">
      <c r="A67" s="166" t="s">
        <v>3751</v>
      </c>
      <c r="D67" s="167"/>
      <c r="E67" s="165"/>
    </row>
    <row r="68" spans="1:6" ht="12.75" customHeight="1">
      <c r="A68" s="168" t="s">
        <v>3752</v>
      </c>
      <c r="D68" s="167"/>
      <c r="E68" s="165"/>
    </row>
    <row r="69" spans="1:6" ht="12.75" customHeight="1">
      <c r="A69" s="322"/>
      <c r="B69" s="169" t="s">
        <v>3753</v>
      </c>
      <c r="C69" s="170">
        <f>D86</f>
        <v>0.16550000000000001</v>
      </c>
      <c r="D69" s="164" t="s">
        <v>3754</v>
      </c>
      <c r="E69" s="171">
        <v>4</v>
      </c>
      <c r="F69" s="172"/>
    </row>
    <row r="70" spans="1:6">
      <c r="A70" s="322"/>
      <c r="B70" s="169" t="s">
        <v>3755</v>
      </c>
      <c r="C70" s="173">
        <f>Presupuesto!F1288</f>
        <v>46544.816499999994</v>
      </c>
      <c r="D70" s="164" t="s">
        <v>3756</v>
      </c>
      <c r="E70" s="174">
        <v>0</v>
      </c>
      <c r="F70" s="175"/>
    </row>
    <row r="71" spans="1:6">
      <c r="A71" s="322"/>
      <c r="B71" s="169" t="s">
        <v>3757</v>
      </c>
      <c r="C71" s="176">
        <f>C70+(C70*G86)</f>
        <v>54247.983630749994</v>
      </c>
      <c r="D71" s="164" t="s">
        <v>3758</v>
      </c>
      <c r="E71" s="177">
        <v>1423500</v>
      </c>
      <c r="F71" s="178"/>
    </row>
    <row r="72" spans="1:6">
      <c r="A72" s="322"/>
      <c r="D72" s="179"/>
      <c r="E72" s="180"/>
      <c r="F72" s="181"/>
    </row>
    <row r="73" spans="1:6">
      <c r="A73" s="168"/>
      <c r="C73" s="160"/>
      <c r="D73" s="167"/>
      <c r="E73" s="180"/>
      <c r="F73" s="181"/>
    </row>
    <row r="74" spans="1:6">
      <c r="A74" s="168"/>
      <c r="B74" s="160"/>
      <c r="C74" s="160"/>
      <c r="D74" s="160"/>
      <c r="E74" s="222"/>
      <c r="F74" s="160"/>
    </row>
    <row r="75" spans="1:6">
      <c r="A75" s="168"/>
      <c r="B75" s="160"/>
      <c r="C75" s="160"/>
      <c r="D75" s="160"/>
      <c r="E75" s="222"/>
      <c r="F75" s="160"/>
    </row>
    <row r="76" spans="1:6">
      <c r="A76" s="182" t="s">
        <v>3782</v>
      </c>
      <c r="B76" s="183" t="s">
        <v>2588</v>
      </c>
      <c r="C76" s="184" t="s">
        <v>6</v>
      </c>
      <c r="D76" s="185"/>
      <c r="E76" s="186" t="s">
        <v>3763</v>
      </c>
      <c r="F76" s="187"/>
    </row>
    <row r="77" spans="1:6" ht="12.75" customHeight="1">
      <c r="A77" s="204" t="s">
        <v>3783</v>
      </c>
      <c r="B77" s="223">
        <f>$C$71</f>
        <v>54247.983630749994</v>
      </c>
      <c r="C77" s="207">
        <f>IF(B77&lt;15*E46,0,1.5%)</f>
        <v>1.4999999999999999E-2</v>
      </c>
      <c r="D77" s="224"/>
      <c r="E77" s="192">
        <f t="shared" ref="E77:E83" si="4">ROUND((B77*C77),2)</f>
        <v>813.72</v>
      </c>
      <c r="F77" s="193"/>
    </row>
    <row r="78" spans="1:6" ht="12.75" customHeight="1">
      <c r="A78" s="204" t="s">
        <v>3784</v>
      </c>
      <c r="B78" s="223">
        <f>$C$71</f>
        <v>54247.983630749994</v>
      </c>
      <c r="C78" s="207">
        <f>IF(B78&lt;30*E46,0,2%)</f>
        <v>0.02</v>
      </c>
      <c r="D78" s="224"/>
      <c r="E78" s="192">
        <f t="shared" si="4"/>
        <v>1084.96</v>
      </c>
      <c r="F78" s="193"/>
    </row>
    <row r="79" spans="1:6" ht="12.75" customHeight="1">
      <c r="A79" s="204" t="s">
        <v>3785</v>
      </c>
      <c r="B79" s="223">
        <f t="shared" ref="B79:B82" si="5">$C$71</f>
        <v>54247.983630749994</v>
      </c>
      <c r="C79" s="207">
        <v>0.02</v>
      </c>
      <c r="D79" s="224"/>
      <c r="E79" s="192">
        <f t="shared" si="4"/>
        <v>1084.96</v>
      </c>
      <c r="F79" s="193"/>
    </row>
    <row r="80" spans="1:6" ht="12.75" customHeight="1">
      <c r="A80" s="204" t="s">
        <v>3786</v>
      </c>
      <c r="B80" s="223">
        <f t="shared" si="5"/>
        <v>54247.983630749994</v>
      </c>
      <c r="C80" s="207">
        <v>7.0000000000000001E-3</v>
      </c>
      <c r="D80" s="224"/>
      <c r="E80" s="192">
        <f t="shared" si="4"/>
        <v>379.74</v>
      </c>
      <c r="F80" s="193"/>
    </row>
    <row r="81" spans="1:7" ht="12.75" customHeight="1">
      <c r="A81" s="204" t="s">
        <v>3787</v>
      </c>
      <c r="B81" s="223">
        <f t="shared" si="5"/>
        <v>54247.983630749994</v>
      </c>
      <c r="C81" s="207">
        <v>0.05</v>
      </c>
      <c r="D81" s="224"/>
      <c r="E81" s="192">
        <f t="shared" si="4"/>
        <v>2712.4</v>
      </c>
      <c r="F81" s="193"/>
    </row>
    <row r="82" spans="1:7" ht="12.75" customHeight="1">
      <c r="A82" s="204" t="s">
        <v>3788</v>
      </c>
      <c r="B82" s="223">
        <f t="shared" si="5"/>
        <v>54247.983630749994</v>
      </c>
      <c r="C82" s="207">
        <v>0.02</v>
      </c>
      <c r="D82" s="224"/>
      <c r="E82" s="192">
        <f t="shared" si="4"/>
        <v>1084.96</v>
      </c>
      <c r="F82" s="193"/>
    </row>
    <row r="83" spans="1:7" ht="12.75" customHeight="1">
      <c r="A83" s="204" t="s">
        <v>3789</v>
      </c>
      <c r="B83" s="223">
        <f>$C$71</f>
        <v>54247.983630749994</v>
      </c>
      <c r="C83" s="207">
        <v>0.01</v>
      </c>
      <c r="D83" s="224"/>
      <c r="E83" s="192">
        <f t="shared" si="4"/>
        <v>542.48</v>
      </c>
      <c r="F83" s="193"/>
    </row>
    <row r="84" spans="1:7" ht="12.75" customHeight="1">
      <c r="A84" s="200" t="s">
        <v>3790</v>
      </c>
      <c r="B84" s="201"/>
      <c r="C84" s="202"/>
      <c r="D84" s="203"/>
      <c r="E84" s="208">
        <f>SUM(E77:E83)</f>
        <v>7703.2200000000012</v>
      </c>
      <c r="F84" s="206"/>
    </row>
    <row r="85" spans="1:7" ht="12.75" customHeight="1">
      <c r="A85" s="168"/>
      <c r="D85" s="167"/>
      <c r="E85" s="180"/>
      <c r="F85" s="181"/>
      <c r="G85" s="163" t="s">
        <v>3793</v>
      </c>
    </row>
    <row r="86" spans="1:7" ht="12.75" customHeight="1" thickBot="1">
      <c r="A86" s="214" t="s">
        <v>3791</v>
      </c>
      <c r="B86" s="215"/>
      <c r="C86" s="216"/>
      <c r="D86" s="225">
        <f>ROUND(E86/$C$70,4)</f>
        <v>0.16550000000000001</v>
      </c>
      <c r="E86" s="226">
        <f>E84</f>
        <v>7703.2200000000012</v>
      </c>
      <c r="F86" s="211"/>
      <c r="G86" s="219">
        <v>0.16550000000000001</v>
      </c>
    </row>
    <row r="87" spans="1:7" ht="12.75" customHeight="1">
      <c r="A87" s="220"/>
      <c r="D87" s="212"/>
      <c r="E87" s="211"/>
      <c r="F87" s="211"/>
    </row>
    <row r="88" spans="1:7" ht="12.75" customHeight="1">
      <c r="A88" s="220"/>
      <c r="D88" s="212"/>
      <c r="E88" s="211"/>
      <c r="F88" s="211"/>
    </row>
    <row r="89" spans="1:7" ht="12.75" customHeight="1">
      <c r="A89" s="220"/>
      <c r="D89" s="167"/>
      <c r="F89" s="163"/>
    </row>
    <row r="90" spans="1:7" ht="12.75" customHeight="1">
      <c r="A90" s="220"/>
      <c r="D90" s="167"/>
      <c r="F90" s="227"/>
    </row>
    <row r="1271" spans="2:2" ht="12.75" customHeight="1">
      <c r="B1271" s="53"/>
    </row>
  </sheetData>
  <mergeCells count="2">
    <mergeCell ref="A5:A8"/>
    <mergeCell ref="A69:A72"/>
  </mergeCells>
  <printOptions horizontalCentered="1"/>
  <pageMargins left="0.19685039370078741" right="0.19685039370078741" top="0.59055118110236227" bottom="0.39370078740157483" header="0.51181102362204722" footer="0.51181102362204722"/>
  <pageSetup scale="70" orientation="portrait" horizontalDpi="300" verticalDpi="300" r:id="rId1"/>
  <rowBreaks count="1" manualBreakCount="1">
    <brk id="64" max="4" man="1"/>
  </row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92D050"/>
  </sheetPr>
  <dimension ref="A1:K2832"/>
  <sheetViews>
    <sheetView view="pageBreakPreview" zoomScale="90" zoomScaleNormal="90" zoomScaleSheetLayoutView="90" zoomScalePageLayoutView="80" workbookViewId="0">
      <pane xSplit="2" ySplit="3" topLeftCell="C2681" activePane="bottomRight" state="frozen"/>
      <selection activeCell="B1266" sqref="B1266"/>
      <selection pane="topRight" activeCell="B1266" sqref="B1266"/>
      <selection pane="bottomLeft" activeCell="B1266" sqref="B1266"/>
      <selection pane="bottomRight" activeCell="B2799" sqref="B2799"/>
    </sheetView>
  </sheetViews>
  <sheetFormatPr baseColWidth="10" defaultColWidth="10.73046875" defaultRowHeight="12.75" customHeight="1"/>
  <cols>
    <col min="1" max="1" width="8.73046875" style="48" customWidth="1"/>
    <col min="2" max="2" width="65.73046875" style="3" customWidth="1"/>
    <col min="3" max="3" width="10.73046875" style="3" customWidth="1"/>
    <col min="4" max="4" width="11.73046875" style="3" customWidth="1"/>
    <col min="5" max="5" width="13.73046875" style="149" customWidth="1"/>
    <col min="6" max="6" width="12.73046875" style="3" customWidth="1"/>
    <col min="7" max="7" width="14.73046875" style="47" customWidth="1"/>
    <col min="8" max="10" width="14.73046875" style="3" customWidth="1"/>
    <col min="11" max="11" width="10.73046875" style="3" customWidth="1"/>
    <col min="12" max="16384" width="10.73046875" style="3"/>
  </cols>
  <sheetData>
    <row r="1" spans="1:11">
      <c r="A1" s="1"/>
      <c r="B1" s="316" t="str">
        <f>Presupuesto!A1</f>
        <v>ALCALDIA DE PEREIRA</v>
      </c>
      <c r="C1" s="316"/>
      <c r="D1" s="316"/>
      <c r="E1" s="316"/>
      <c r="F1" s="316"/>
      <c r="G1" s="316"/>
      <c r="H1" s="2"/>
    </row>
    <row r="2" spans="1:11">
      <c r="A2" s="1"/>
      <c r="B2" s="316" t="str">
        <f>Presupuesto!A2</f>
        <v>VERSION O BASE DE DATOS ALCALDIA DE PEREIRA 2026</v>
      </c>
      <c r="C2" s="316"/>
      <c r="D2" s="316"/>
      <c r="E2" s="316"/>
      <c r="F2" s="316"/>
      <c r="G2" s="316"/>
      <c r="H2" s="2"/>
    </row>
    <row r="3" spans="1:11" ht="12.75" customHeight="1">
      <c r="A3" s="4"/>
      <c r="B3" s="323" t="s">
        <v>3796</v>
      </c>
      <c r="C3" s="323"/>
      <c r="D3" s="323"/>
      <c r="E3" s="323"/>
      <c r="F3" s="323"/>
      <c r="G3" s="323"/>
      <c r="H3" s="5"/>
    </row>
    <row r="4" spans="1:11">
      <c r="A4" s="6" t="s">
        <v>12</v>
      </c>
      <c r="B4" s="7" t="str">
        <f>VLOOKUP($A4,Presupuesto!$A:$D,2,FALSE())</f>
        <v>Arrendamiento inmueble - campamento</v>
      </c>
      <c r="C4" s="8" t="str">
        <f>VLOOKUP($A4,Presupuesto!$A:$D,3,FALSE())</f>
        <v>M2-Mes</v>
      </c>
      <c r="D4" s="9"/>
      <c r="E4" s="147">
        <f>VLOOKUP($A4,Presupuesto!$A:$D,4,FALSE())</f>
        <v>0</v>
      </c>
      <c r="F4" s="11" t="s">
        <v>2589</v>
      </c>
      <c r="G4" s="12">
        <f>SUM(G6:G22)/2</f>
        <v>26387.550000000003</v>
      </c>
      <c r="H4" s="13">
        <f>ROUND(SUM(H6:H22),0)/2</f>
        <v>0</v>
      </c>
      <c r="I4" s="10">
        <f>VLOOKUP(A4,Presupuesto!$A:$F,6,0)</f>
        <v>0</v>
      </c>
      <c r="J4" s="10">
        <f>+H4-I4</f>
        <v>0</v>
      </c>
      <c r="K4" s="46">
        <f>+H4-G4*E4</f>
        <v>0</v>
      </c>
    </row>
    <row r="5" spans="1:11">
      <c r="A5" s="14"/>
      <c r="B5" s="15" t="s">
        <v>2586</v>
      </c>
      <c r="C5" s="15" t="s">
        <v>5</v>
      </c>
      <c r="D5" s="16" t="s">
        <v>6</v>
      </c>
      <c r="E5" s="17" t="s">
        <v>7</v>
      </c>
      <c r="F5" s="18" t="s">
        <v>3728</v>
      </c>
      <c r="G5" s="19" t="s">
        <v>3729</v>
      </c>
      <c r="H5" s="20" t="s">
        <v>3797</v>
      </c>
    </row>
    <row r="6" spans="1:11">
      <c r="A6" s="21"/>
      <c r="B6" s="22" t="s">
        <v>3730</v>
      </c>
      <c r="C6" s="23"/>
      <c r="D6" s="24"/>
      <c r="E6" s="25"/>
      <c r="F6" s="26"/>
      <c r="G6" s="27">
        <f>SUM(G7:G11)</f>
        <v>26387.550000000003</v>
      </c>
      <c r="H6" s="27">
        <f>IFERROR(G6*E4,"")</f>
        <v>0</v>
      </c>
    </row>
    <row r="7" spans="1:11">
      <c r="A7" s="28"/>
      <c r="B7" s="29" t="s">
        <v>2720</v>
      </c>
      <c r="C7" s="30" t="str">
        <f>IFERROR(VLOOKUP($B7,Insumo[],2,0),"")</f>
        <v>M2 Mes</v>
      </c>
      <c r="D7" s="31">
        <v>1</v>
      </c>
      <c r="E7" s="32">
        <f>IFERROR(VLOOKUP($B7,Insumo[],3,0),"")</f>
        <v>26387.550000000003</v>
      </c>
      <c r="F7" s="33"/>
      <c r="G7" s="34">
        <f>IFERROR(IF(F7&gt;=0,D7*E7*(1+F7/100),ABS(D7*E7/F7)),"")</f>
        <v>26387.550000000003</v>
      </c>
      <c r="H7" s="43">
        <f>IFERROR(G7*E4,"")</f>
        <v>0</v>
      </c>
    </row>
    <row r="8" spans="1:11">
      <c r="A8" s="28"/>
      <c r="B8" s="29"/>
      <c r="C8" s="30" t="str">
        <f>IFERROR(VLOOKUP($B8,Insumo[],2,0),"")</f>
        <v/>
      </c>
      <c r="D8" s="31"/>
      <c r="E8" s="32" t="str">
        <f>IFERROR(VLOOKUP($B8,Insumo[],3,0),"")</f>
        <v/>
      </c>
      <c r="F8" s="33"/>
      <c r="G8" s="34" t="str">
        <f>IFERROR(IF(F8&gt;=0,D8*E8*(1+F8/100),ABS(D8*E8/F8)),"")</f>
        <v/>
      </c>
      <c r="H8" s="43" t="str">
        <f>IFERROR(G8*E4,"")</f>
        <v/>
      </c>
    </row>
    <row r="9" spans="1:11">
      <c r="A9" s="28"/>
      <c r="B9" s="29"/>
      <c r="C9" s="30" t="str">
        <f>IFERROR(VLOOKUP($B9,Insumo[],2,0),"")</f>
        <v/>
      </c>
      <c r="D9" s="31"/>
      <c r="E9" s="32" t="str">
        <f>IFERROR(VLOOKUP($B9,Insumo[],3,0),"")</f>
        <v/>
      </c>
      <c r="F9" s="33"/>
      <c r="G9" s="34" t="str">
        <f>IFERROR(IF(F9&gt;=0,D9*E9*(1+F9/100),ABS(D9*E9/F9)),"")</f>
        <v/>
      </c>
      <c r="H9" s="43" t="str">
        <f>IFERROR(G9*E4,"")</f>
        <v/>
      </c>
    </row>
    <row r="10" spans="1:11">
      <c r="A10" s="28"/>
      <c r="B10" s="29"/>
      <c r="C10" s="30" t="str">
        <f>IFERROR(VLOOKUP($B10,Insumo[],2,0),"")</f>
        <v/>
      </c>
      <c r="D10" s="31"/>
      <c r="E10" s="32" t="str">
        <f>IFERROR(VLOOKUP($B10,Insumo[],3,0),"")</f>
        <v/>
      </c>
      <c r="F10" s="33"/>
      <c r="G10" s="34" t="str">
        <f>IFERROR(IF(F10&gt;=0,D10*E10*(1+F10/100),ABS(D10*E10/F10)),"")</f>
        <v/>
      </c>
      <c r="H10" s="43" t="str">
        <f>IFERROR(G10*E4,"")</f>
        <v/>
      </c>
    </row>
    <row r="11" spans="1:11">
      <c r="A11" s="28"/>
      <c r="B11" s="29"/>
      <c r="C11" s="30" t="str">
        <f>IFERROR(VLOOKUP($B11,Insumo[],2,0),"")</f>
        <v/>
      </c>
      <c r="D11" s="31"/>
      <c r="E11" s="32" t="str">
        <f>IFERROR(VLOOKUP($B11,Insumo[],3,0),"")</f>
        <v/>
      </c>
      <c r="F11" s="33"/>
      <c r="G11" s="34" t="str">
        <f>IFERROR(IF(F11&gt;=0,D11*E11*(1+F11/100),ABS(D11*E11/F11)),"")</f>
        <v/>
      </c>
      <c r="H11" s="43" t="str">
        <f>IFERROR(G11*E4,"")</f>
        <v/>
      </c>
    </row>
    <row r="12" spans="1:11">
      <c r="A12" s="21"/>
      <c r="B12" s="22" t="s">
        <v>3731</v>
      </c>
      <c r="C12" s="23"/>
      <c r="D12" s="24"/>
      <c r="E12" s="25"/>
      <c r="F12" s="26"/>
      <c r="G12" s="27">
        <f>SUM(G13:G15)</f>
        <v>0</v>
      </c>
      <c r="H12" s="44">
        <f>G12*E4</f>
        <v>0</v>
      </c>
    </row>
    <row r="13" spans="1:11">
      <c r="A13" s="28"/>
      <c r="B13" s="29"/>
      <c r="C13" s="30" t="str">
        <f>IFERROR(VLOOKUP($B13,Equipo[],2,0),"")</f>
        <v/>
      </c>
      <c r="D13" s="31"/>
      <c r="E13" s="32" t="str">
        <f>IF(C13="%MO",G19,IFERROR(VLOOKUP($B13,Equipo[],3,0),""))</f>
        <v/>
      </c>
      <c r="F13" s="33"/>
      <c r="G13" s="34" t="str">
        <f>IFERROR(IF(F13&gt;=0,D13*E13*(1+F13/100),ABS(D13*E13/F13)),"")</f>
        <v/>
      </c>
      <c r="H13" s="43" t="str">
        <f>IFERROR(G13*E4,"")</f>
        <v/>
      </c>
    </row>
    <row r="14" spans="1:11">
      <c r="A14" s="28"/>
      <c r="B14" s="29"/>
      <c r="C14" s="30" t="str">
        <f>IFERROR(VLOOKUP($B14,Equipo[],2,0),"")</f>
        <v/>
      </c>
      <c r="D14" s="31"/>
      <c r="E14" s="32" t="str">
        <f>IF(C14="%MO",G19,IFERROR(VLOOKUP($B14,Equipo[],3,0),""))</f>
        <v/>
      </c>
      <c r="F14" s="33"/>
      <c r="G14" s="34" t="str">
        <f>IFERROR(IF(F14&gt;=0,D14*E14*(1+F14/100),ABS(D14*E14/F14)),"")</f>
        <v/>
      </c>
      <c r="H14" s="43" t="str">
        <f>IFERROR(G14*E4,"")</f>
        <v/>
      </c>
    </row>
    <row r="15" spans="1:11">
      <c r="A15" s="28"/>
      <c r="B15" s="29"/>
      <c r="C15" s="30" t="str">
        <f>IFERROR(VLOOKUP($B15,Equipo[],2,0),"")</f>
        <v/>
      </c>
      <c r="D15" s="31"/>
      <c r="E15" s="32" t="str">
        <f>IF(C15="%MO",G19,IFERROR(VLOOKUP($B15,Equipo[],3,0),""))</f>
        <v/>
      </c>
      <c r="F15" s="33"/>
      <c r="G15" s="34" t="str">
        <f>IFERROR(IF(F15&gt;=0,D15*E15*(1+F15/100),ABS(D15*E15/F15)),"")</f>
        <v/>
      </c>
      <c r="H15" s="43" t="str">
        <f>IFERROR(G15*E4,"")</f>
        <v/>
      </c>
    </row>
    <row r="16" spans="1:11">
      <c r="A16" s="21"/>
      <c r="B16" s="22" t="s">
        <v>2533</v>
      </c>
      <c r="C16" s="23"/>
      <c r="D16" s="24"/>
      <c r="E16" s="25"/>
      <c r="F16" s="26"/>
      <c r="G16" s="27">
        <f>SUM(G17:G18)</f>
        <v>0</v>
      </c>
      <c r="H16" s="44">
        <f>G16*E4</f>
        <v>0</v>
      </c>
    </row>
    <row r="17" spans="1:11">
      <c r="A17" s="28"/>
      <c r="B17" s="29"/>
      <c r="C17" s="30" t="str">
        <f>IFERROR(VLOOKUP($B17,Transporte[],2,0),"")</f>
        <v/>
      </c>
      <c r="D17" s="31"/>
      <c r="E17" s="32" t="str">
        <f>IFERROR(VLOOKUP($B17,Transporte[],3,0),"")</f>
        <v/>
      </c>
      <c r="F17" s="33"/>
      <c r="G17" s="34" t="str">
        <f>IFERROR(IF(F17&gt;=0,D17*E17*(1+F17/100),ABS(D17*E17/F17)),"")</f>
        <v/>
      </c>
      <c r="H17" s="43" t="str">
        <f>IFERROR(G17*E4,"")</f>
        <v/>
      </c>
    </row>
    <row r="18" spans="1:11">
      <c r="A18" s="28"/>
      <c r="B18" s="29"/>
      <c r="C18" s="30" t="str">
        <f>IFERROR(VLOOKUP($B18,Transporte[],2,0),"")</f>
        <v/>
      </c>
      <c r="D18" s="31"/>
      <c r="E18" s="32" t="str">
        <f>IFERROR(VLOOKUP($B18,Transporte[],3,0),"")</f>
        <v/>
      </c>
      <c r="F18" s="33"/>
      <c r="G18" s="34" t="str">
        <f>IFERROR(IF(F18&gt;=0,D18*E18*(1+F18/100),ABS(D18*E18/F18)),"")</f>
        <v/>
      </c>
      <c r="H18" s="43" t="str">
        <f>IFERROR(G18*E4,"")</f>
        <v/>
      </c>
    </row>
    <row r="19" spans="1:11">
      <c r="A19" s="21"/>
      <c r="B19" s="22" t="s">
        <v>3732</v>
      </c>
      <c r="C19" s="23"/>
      <c r="D19" s="24"/>
      <c r="E19" s="25"/>
      <c r="F19" s="26"/>
      <c r="G19" s="27">
        <f>SUM(G20:G22)</f>
        <v>0</v>
      </c>
      <c r="H19" s="44">
        <f>G19*E4</f>
        <v>0</v>
      </c>
    </row>
    <row r="20" spans="1:11">
      <c r="A20" s="28"/>
      <c r="B20" s="29"/>
      <c r="C20" s="30" t="str">
        <f>IFERROR(VLOOKUP($B20,MObra[],2,0),"")</f>
        <v/>
      </c>
      <c r="D20" s="31"/>
      <c r="E20" s="32" t="str">
        <f>IFERROR(VLOOKUP($B20,MObra[],3,0),"")</f>
        <v/>
      </c>
      <c r="F20" s="33"/>
      <c r="G20" s="34" t="str">
        <f>IFERROR(IF(F20&gt;=0,D20*E20*(1+F20/100),ABS(D20*E20/F20)),"")</f>
        <v/>
      </c>
      <c r="H20" s="43" t="str">
        <f>IFERROR(G20*E4,"")</f>
        <v/>
      </c>
    </row>
    <row r="21" spans="1:11">
      <c r="A21" s="28"/>
      <c r="B21" s="29"/>
      <c r="C21" s="30" t="str">
        <f>IFERROR(VLOOKUP($B21,MObra[],2,0),"")</f>
        <v/>
      </c>
      <c r="D21" s="31"/>
      <c r="E21" s="32" t="str">
        <f>IFERROR(VLOOKUP($B21,MObra[],3,0),"")</f>
        <v/>
      </c>
      <c r="F21" s="33"/>
      <c r="G21" s="34" t="str">
        <f>IFERROR(IF(F21&gt;=0,D21*E21*(1+F21/100),ABS(D21*E21/F21)),"")</f>
        <v/>
      </c>
      <c r="H21" s="43" t="str">
        <f>IFERROR(G21*E4,"")</f>
        <v/>
      </c>
    </row>
    <row r="22" spans="1:11" ht="13.15" thickBot="1">
      <c r="A22" s="35"/>
      <c r="B22" s="36"/>
      <c r="C22" s="37" t="str">
        <f>IFERROR(VLOOKUP($B22,MObra[],2,0),"")</f>
        <v/>
      </c>
      <c r="D22" s="148"/>
      <c r="E22" s="39" t="str">
        <f>IFERROR(VLOOKUP($B22,MObra[],3,0),"")</f>
        <v/>
      </c>
      <c r="F22" s="40"/>
      <c r="G22" s="41" t="str">
        <f>IFERROR(IF(F22&gt;=0,D22*E22*(1+F22/100),ABS(D22*E22/F22)),"")</f>
        <v/>
      </c>
      <c r="H22" s="42" t="str">
        <f>IFERROR(G22*E4,"")</f>
        <v/>
      </c>
    </row>
    <row r="23" spans="1:11" ht="12.75" customHeight="1" thickTop="1" thickBot="1"/>
    <row r="24" spans="1:11">
      <c r="A24" s="6" t="s">
        <v>15</v>
      </c>
      <c r="B24" s="7" t="str">
        <f>VLOOKUP($A24,Presupuesto!$A:$D,2,FALSE())</f>
        <v>Alquiler de baño portátil (2 aseos semanales)</v>
      </c>
      <c r="C24" s="8" t="str">
        <f>VLOOKUP($A24,Presupuesto!$A:$D,3,FALSE())</f>
        <v>Mes</v>
      </c>
      <c r="D24" s="9"/>
      <c r="E24" s="147">
        <f>VLOOKUP($A24,Presupuesto!$A:$D,4,FALSE())</f>
        <v>5</v>
      </c>
      <c r="F24" s="11" t="s">
        <v>2589</v>
      </c>
      <c r="G24" s="12">
        <f>SUM(G26:G42)/2</f>
        <v>1022962.5</v>
      </c>
      <c r="H24" s="13">
        <f>ROUND(SUM(H26:H42),0)/2</f>
        <v>5114812.5</v>
      </c>
      <c r="I24" s="10">
        <f>VLOOKUP(A24,Presupuesto!$A:$F,6,0)</f>
        <v>5114815</v>
      </c>
      <c r="J24" s="10">
        <f>+H24-I24</f>
        <v>-2.5</v>
      </c>
      <c r="K24" s="46">
        <f>+H24-G24*E24</f>
        <v>0</v>
      </c>
    </row>
    <row r="25" spans="1:11">
      <c r="A25" s="14"/>
      <c r="B25" s="15" t="s">
        <v>2586</v>
      </c>
      <c r="C25" s="15" t="s">
        <v>5</v>
      </c>
      <c r="D25" s="16" t="s">
        <v>6</v>
      </c>
      <c r="E25" s="17" t="s">
        <v>7</v>
      </c>
      <c r="F25" s="18" t="s">
        <v>3728</v>
      </c>
      <c r="G25" s="19" t="s">
        <v>3729</v>
      </c>
      <c r="H25" s="20" t="s">
        <v>3797</v>
      </c>
    </row>
    <row r="26" spans="1:11">
      <c r="A26" s="21"/>
      <c r="B26" s="22" t="s">
        <v>3730</v>
      </c>
      <c r="C26" s="23"/>
      <c r="D26" s="24"/>
      <c r="E26" s="25"/>
      <c r="F26" s="26"/>
      <c r="G26" s="27">
        <f>SUM(G27:G31)</f>
        <v>0</v>
      </c>
      <c r="H26" s="27">
        <f>IFERROR(G26*E24,"")</f>
        <v>0</v>
      </c>
    </row>
    <row r="27" spans="1:11">
      <c r="A27" s="28"/>
      <c r="B27" s="29"/>
      <c r="C27" s="30" t="str">
        <f>IFERROR(VLOOKUP($B27,Insumo[],2,0),"")</f>
        <v/>
      </c>
      <c r="D27" s="31"/>
      <c r="E27" s="32" t="str">
        <f>IFERROR(VLOOKUP($B27,Insumo[],3,0),"")</f>
        <v/>
      </c>
      <c r="F27" s="33"/>
      <c r="G27" s="34" t="str">
        <f>IFERROR(IF(F27&gt;=0,D27*E27*(1+F27/100),ABS(D27*E27/F27)),"")</f>
        <v/>
      </c>
      <c r="H27" s="43" t="str">
        <f>IFERROR(G27*E24,"")</f>
        <v/>
      </c>
    </row>
    <row r="28" spans="1:11">
      <c r="A28" s="28"/>
      <c r="B28" s="29"/>
      <c r="C28" s="30" t="str">
        <f>IFERROR(VLOOKUP($B28,Insumo[],2,0),"")</f>
        <v/>
      </c>
      <c r="D28" s="31"/>
      <c r="E28" s="32" t="str">
        <f>IFERROR(VLOOKUP($B28,Insumo[],3,0),"")</f>
        <v/>
      </c>
      <c r="F28" s="33"/>
      <c r="G28" s="34" t="str">
        <f>IFERROR(IF(F28&gt;=0,D28*E28*(1+F28/100),ABS(D28*E28/F28)),"")</f>
        <v/>
      </c>
      <c r="H28" s="43" t="str">
        <f>IFERROR(G28*E24,"")</f>
        <v/>
      </c>
    </row>
    <row r="29" spans="1:11">
      <c r="A29" s="28"/>
      <c r="B29" s="29"/>
      <c r="C29" s="30" t="str">
        <f>IFERROR(VLOOKUP($B29,Insumo[],2,0),"")</f>
        <v/>
      </c>
      <c r="D29" s="31"/>
      <c r="E29" s="32" t="str">
        <f>IFERROR(VLOOKUP($B29,Insumo[],3,0),"")</f>
        <v/>
      </c>
      <c r="F29" s="33"/>
      <c r="G29" s="34" t="str">
        <f>IFERROR(IF(F29&gt;=0,D29*E29*(1+F29/100),ABS(D29*E29/F29)),"")</f>
        <v/>
      </c>
      <c r="H29" s="43" t="str">
        <f>IFERROR(G29*E24,"")</f>
        <v/>
      </c>
    </row>
    <row r="30" spans="1:11">
      <c r="A30" s="28"/>
      <c r="B30" s="29"/>
      <c r="C30" s="30" t="str">
        <f>IFERROR(VLOOKUP($B30,Insumo[],2,0),"")</f>
        <v/>
      </c>
      <c r="D30" s="31"/>
      <c r="E30" s="32" t="str">
        <f>IFERROR(VLOOKUP($B30,Insumo[],3,0),"")</f>
        <v/>
      </c>
      <c r="F30" s="33"/>
      <c r="G30" s="34" t="str">
        <f>IFERROR(IF(F30&gt;=0,D30*E30*(1+F30/100),ABS(D30*E30/F30)),"")</f>
        <v/>
      </c>
      <c r="H30" s="43" t="str">
        <f>IFERROR(G30*E24,"")</f>
        <v/>
      </c>
    </row>
    <row r="31" spans="1:11">
      <c r="A31" s="28"/>
      <c r="B31" s="29"/>
      <c r="C31" s="30" t="str">
        <f>IFERROR(VLOOKUP($B31,Insumo[],2,0),"")</f>
        <v/>
      </c>
      <c r="D31" s="31"/>
      <c r="E31" s="32" t="str">
        <f>IFERROR(VLOOKUP($B31,Insumo[],3,0),"")</f>
        <v/>
      </c>
      <c r="F31" s="33"/>
      <c r="G31" s="34" t="str">
        <f>IFERROR(IF(F31&gt;=0,D31*E31*(1+F31/100),ABS(D31*E31/F31)),"")</f>
        <v/>
      </c>
      <c r="H31" s="43" t="str">
        <f>IFERROR(G31*E24,"")</f>
        <v/>
      </c>
    </row>
    <row r="32" spans="1:11">
      <c r="A32" s="21"/>
      <c r="B32" s="22" t="s">
        <v>3731</v>
      </c>
      <c r="C32" s="23"/>
      <c r="D32" s="24"/>
      <c r="E32" s="25"/>
      <c r="F32" s="26"/>
      <c r="G32" s="27">
        <f>SUM(G33:G35)</f>
        <v>1022962.5</v>
      </c>
      <c r="H32" s="44">
        <f>G32*E24</f>
        <v>5114812.5</v>
      </c>
    </row>
    <row r="33" spans="1:11">
      <c r="A33" s="28"/>
      <c r="B33" s="29" t="s">
        <v>3576</v>
      </c>
      <c r="C33" s="30" t="str">
        <f>IFERROR(VLOOKUP($B33,Equipo[],2,0),"")</f>
        <v>Mes</v>
      </c>
      <c r="D33" s="31">
        <v>1</v>
      </c>
      <c r="E33" s="32">
        <f>IF(C33="%MO",G39,IFERROR(VLOOKUP($B33,Equipo[],3,0),""))</f>
        <v>1022962.5</v>
      </c>
      <c r="F33" s="33"/>
      <c r="G33" s="34">
        <f>IFERROR(IF(F33&gt;=0,D33*E33*(1+F33/100),ABS(D33*E33/F33)),"")</f>
        <v>1022962.5</v>
      </c>
      <c r="H33" s="43">
        <f>IFERROR(G33*E24,"")</f>
        <v>5114812.5</v>
      </c>
    </row>
    <row r="34" spans="1:11">
      <c r="A34" s="28"/>
      <c r="B34" s="29"/>
      <c r="C34" s="30" t="str">
        <f>IFERROR(VLOOKUP($B34,Equipo[],2,0),"")</f>
        <v/>
      </c>
      <c r="D34" s="31"/>
      <c r="E34" s="32" t="str">
        <f>IF(C34="%MO",G39,IFERROR(VLOOKUP($B34,Equipo[],3,0),""))</f>
        <v/>
      </c>
      <c r="F34" s="33"/>
      <c r="G34" s="34" t="str">
        <f>IFERROR(IF(F34&gt;=0,D34*E34*(1+F34/100),ABS(D34*E34/F34)),"")</f>
        <v/>
      </c>
      <c r="H34" s="43" t="str">
        <f>IFERROR(G34*E24,"")</f>
        <v/>
      </c>
    </row>
    <row r="35" spans="1:11">
      <c r="A35" s="28"/>
      <c r="B35" s="29"/>
      <c r="C35" s="30" t="str">
        <f>IFERROR(VLOOKUP($B35,Equipo[],2,0),"")</f>
        <v/>
      </c>
      <c r="D35" s="31"/>
      <c r="E35" s="32" t="str">
        <f>IF(C35="%MO",G39,IFERROR(VLOOKUP($B35,Equipo[],3,0),""))</f>
        <v/>
      </c>
      <c r="F35" s="33"/>
      <c r="G35" s="34" t="str">
        <f>IFERROR(IF(F35&gt;=0,D35*E35*(1+F35/100),ABS(D35*E35/F35)),"")</f>
        <v/>
      </c>
      <c r="H35" s="43" t="str">
        <f>IFERROR(G35*E24,"")</f>
        <v/>
      </c>
    </row>
    <row r="36" spans="1:11">
      <c r="A36" s="21"/>
      <c r="B36" s="22" t="s">
        <v>2533</v>
      </c>
      <c r="C36" s="23"/>
      <c r="D36" s="24"/>
      <c r="E36" s="25"/>
      <c r="F36" s="26"/>
      <c r="G36" s="27">
        <f>SUM(G37:G38)</f>
        <v>0</v>
      </c>
      <c r="H36" s="44">
        <f>G36*E24</f>
        <v>0</v>
      </c>
    </row>
    <row r="37" spans="1:11">
      <c r="A37" s="28"/>
      <c r="B37" s="29"/>
      <c r="C37" s="30" t="str">
        <f>IFERROR(VLOOKUP($B37,Transporte[],2,0),"")</f>
        <v/>
      </c>
      <c r="D37" s="31"/>
      <c r="E37" s="32" t="str">
        <f>IFERROR(VLOOKUP($B37,Transporte[],3,0),"")</f>
        <v/>
      </c>
      <c r="F37" s="33"/>
      <c r="G37" s="34" t="str">
        <f>IFERROR(IF(F37&gt;=0,D37*E37*(1+F37/100),ABS(D37*E37/F37)),"")</f>
        <v/>
      </c>
      <c r="H37" s="43" t="str">
        <f>IFERROR(G37*E24,"")</f>
        <v/>
      </c>
    </row>
    <row r="38" spans="1:11">
      <c r="A38" s="28"/>
      <c r="B38" s="29"/>
      <c r="C38" s="30" t="str">
        <f>IFERROR(VLOOKUP($B38,Transporte[],2,0),"")</f>
        <v/>
      </c>
      <c r="D38" s="31"/>
      <c r="E38" s="32" t="str">
        <f>IFERROR(VLOOKUP($B38,Transporte[],3,0),"")</f>
        <v/>
      </c>
      <c r="F38" s="33"/>
      <c r="G38" s="34" t="str">
        <f>IFERROR(IF(F38&gt;=0,D38*E38*(1+F38/100),ABS(D38*E38/F38)),"")</f>
        <v/>
      </c>
      <c r="H38" s="43" t="str">
        <f>IFERROR(G38*E24,"")</f>
        <v/>
      </c>
    </row>
    <row r="39" spans="1:11">
      <c r="A39" s="21"/>
      <c r="B39" s="22" t="s">
        <v>3732</v>
      </c>
      <c r="C39" s="23"/>
      <c r="D39" s="24"/>
      <c r="E39" s="25"/>
      <c r="F39" s="26"/>
      <c r="G39" s="27">
        <f>SUM(G40:G42)</f>
        <v>0</v>
      </c>
      <c r="H39" s="44">
        <f>G39*E24</f>
        <v>0</v>
      </c>
    </row>
    <row r="40" spans="1:11">
      <c r="A40" s="28"/>
      <c r="B40" s="29"/>
      <c r="C40" s="30" t="str">
        <f>IFERROR(VLOOKUP($B40,MObra[],2,0),"")</f>
        <v/>
      </c>
      <c r="D40" s="31"/>
      <c r="E40" s="32" t="str">
        <f>IFERROR(VLOOKUP($B40,MObra[],3,0),"")</f>
        <v/>
      </c>
      <c r="F40" s="33"/>
      <c r="G40" s="34" t="str">
        <f>IFERROR(IF(F40&gt;=0,D40*E40*(1+F40/100),ABS(D40*E40/F40)),"")</f>
        <v/>
      </c>
      <c r="H40" s="43" t="str">
        <f>IFERROR(G40*E24,"")</f>
        <v/>
      </c>
    </row>
    <row r="41" spans="1:11">
      <c r="A41" s="28"/>
      <c r="B41" s="29"/>
      <c r="C41" s="30" t="str">
        <f>IFERROR(VLOOKUP($B41,MObra[],2,0),"")</f>
        <v/>
      </c>
      <c r="D41" s="31"/>
      <c r="E41" s="32" t="str">
        <f>IFERROR(VLOOKUP($B41,MObra[],3,0),"")</f>
        <v/>
      </c>
      <c r="F41" s="33"/>
      <c r="G41" s="34" t="str">
        <f>IFERROR(IF(F41&gt;=0,D41*E41*(1+F41/100),ABS(D41*E41/F41)),"")</f>
        <v/>
      </c>
      <c r="H41" s="43" t="str">
        <f>IFERROR(G41*E24,"")</f>
        <v/>
      </c>
    </row>
    <row r="42" spans="1:11">
      <c r="A42" s="35"/>
      <c r="B42" s="36"/>
      <c r="C42" s="37" t="str">
        <f>IFERROR(VLOOKUP($B42,MObra[],2,0),"")</f>
        <v/>
      </c>
      <c r="D42" s="148"/>
      <c r="E42" s="39" t="str">
        <f>IFERROR(VLOOKUP($B42,MObra[],3,0),"")</f>
        <v/>
      </c>
      <c r="F42" s="40"/>
      <c r="G42" s="41" t="str">
        <f>IFERROR(IF(F42&gt;=0,D42*E42*(1+F42/100),ABS(D42*E42/F42)),"")</f>
        <v/>
      </c>
      <c r="H42" s="42" t="str">
        <f>IFERROR(G42*E24,"")</f>
        <v/>
      </c>
    </row>
    <row r="44" spans="1:11">
      <c r="A44" s="6" t="s">
        <v>18</v>
      </c>
      <c r="B44" s="7" t="str">
        <f>VLOOKUP($A44,Presupuesto!$A:$D,2,FALSE())</f>
        <v>Apuntalado provisional de estructuras</v>
      </c>
      <c r="C44" s="8" t="str">
        <f>VLOOKUP($A44,Presupuesto!$A:$D,3,FALSE())</f>
        <v>M2</v>
      </c>
      <c r="D44" s="9"/>
      <c r="E44" s="147">
        <f>VLOOKUP($A44,Presupuesto!$A:$D,4,FALSE())</f>
        <v>0</v>
      </c>
      <c r="F44" s="11" t="s">
        <v>2589</v>
      </c>
      <c r="G44" s="12">
        <f>SUM(G46:G62)/2</f>
        <v>42813.956800735003</v>
      </c>
      <c r="H44" s="13">
        <f>ROUND(SUM(H46:H62),0)/2</f>
        <v>0</v>
      </c>
      <c r="I44" s="10">
        <f>VLOOKUP(A44,Presupuesto!$A:$F,6,0)</f>
        <v>0</v>
      </c>
      <c r="J44" s="10">
        <f>+H44-I44</f>
        <v>0</v>
      </c>
      <c r="K44" s="46">
        <f>+H44-G44*E44</f>
        <v>0</v>
      </c>
    </row>
    <row r="45" spans="1:11">
      <c r="A45" s="14"/>
      <c r="B45" s="15" t="s">
        <v>2586</v>
      </c>
      <c r="C45" s="15" t="s">
        <v>5</v>
      </c>
      <c r="D45" s="16" t="s">
        <v>6</v>
      </c>
      <c r="E45" s="17" t="s">
        <v>7</v>
      </c>
      <c r="F45" s="18" t="s">
        <v>3728</v>
      </c>
      <c r="G45" s="19" t="s">
        <v>3729</v>
      </c>
      <c r="H45" s="20" t="s">
        <v>3797</v>
      </c>
    </row>
    <row r="46" spans="1:11">
      <c r="A46" s="21"/>
      <c r="B46" s="22" t="s">
        <v>3730</v>
      </c>
      <c r="C46" s="23"/>
      <c r="D46" s="24"/>
      <c r="E46" s="25"/>
      <c r="F46" s="26"/>
      <c r="G46" s="27">
        <f>SUM(G47:G51)</f>
        <v>27160.402500000004</v>
      </c>
      <c r="H46" s="27">
        <f>IFERROR(G46*E44,"")</f>
        <v>0</v>
      </c>
    </row>
    <row r="47" spans="1:11">
      <c r="A47" s="28"/>
      <c r="B47" s="29" t="s">
        <v>2991</v>
      </c>
      <c r="C47" s="30" t="str">
        <f>IFERROR(VLOOKUP($B47,Insumo[],2,0),"")</f>
        <v>Un</v>
      </c>
      <c r="D47" s="31">
        <v>1</v>
      </c>
      <c r="E47" s="32">
        <f>IFERROR(VLOOKUP($B47,Insumo[],3,0),"")</f>
        <v>10798.2</v>
      </c>
      <c r="F47" s="33"/>
      <c r="G47" s="34">
        <f>IFERROR(IF(F47&gt;=0,D47*E47*(1+F47/100),ABS(D47*E47/F47)),"")</f>
        <v>10798.2</v>
      </c>
      <c r="H47" s="43">
        <f>IFERROR(G47*E44,"")</f>
        <v>0</v>
      </c>
    </row>
    <row r="48" spans="1:11">
      <c r="A48" s="28"/>
      <c r="B48" s="29" t="s">
        <v>3338</v>
      </c>
      <c r="C48" s="30" t="str">
        <f>IFERROR(VLOOKUP($B48,Insumo[],2,0),"")</f>
        <v>M</v>
      </c>
      <c r="D48" s="31">
        <v>1</v>
      </c>
      <c r="E48" s="32">
        <f>IFERROR(VLOOKUP($B48,Insumo[],3,0),"")</f>
        <v>8047.2000000000007</v>
      </c>
      <c r="F48" s="33">
        <v>5</v>
      </c>
      <c r="G48" s="34">
        <f>IFERROR(IF(F48&gt;=0,D48*E48*(1+F48/100),ABS(D48*E48/F48)),"")</f>
        <v>8449.5600000000013</v>
      </c>
      <c r="H48" s="43">
        <f>IFERROR(G48*E44,"")</f>
        <v>0</v>
      </c>
    </row>
    <row r="49" spans="1:11">
      <c r="A49" s="28"/>
      <c r="B49" s="29" t="s">
        <v>2901</v>
      </c>
      <c r="C49" s="30" t="str">
        <f>IFERROR(VLOOKUP($B49,Insumo[],2,0),"")</f>
        <v>M</v>
      </c>
      <c r="D49" s="31">
        <v>1</v>
      </c>
      <c r="E49" s="32">
        <f>IFERROR(VLOOKUP($B49,Insumo[],3,0),"")</f>
        <v>5683.6500000000005</v>
      </c>
      <c r="F49" s="33">
        <v>5</v>
      </c>
      <c r="G49" s="34">
        <f>IFERROR(IF(F49&gt;=0,D49*E49*(1+F49/100),ABS(D49*E49/F49)),"")</f>
        <v>5967.8325000000004</v>
      </c>
      <c r="H49" s="43">
        <f>IFERROR(G49*E44,"")</f>
        <v>0</v>
      </c>
    </row>
    <row r="50" spans="1:11">
      <c r="A50" s="28"/>
      <c r="B50" s="29" t="s">
        <v>3253</v>
      </c>
      <c r="C50" s="30" t="str">
        <f>IFERROR(VLOOKUP($B50,Insumo[],2,0),"")</f>
        <v>Lb</v>
      </c>
      <c r="D50" s="146">
        <v>0.3</v>
      </c>
      <c r="E50" s="32">
        <f>IFERROR(VLOOKUP($B50,Insumo[],3,0),"")</f>
        <v>6482.7000000000007</v>
      </c>
      <c r="F50" s="33"/>
      <c r="G50" s="34">
        <f>IFERROR(IF(F50&gt;=0,D50*E50*(1+F50/100),ABS(D50*E50/F50)),"")</f>
        <v>1944.8100000000002</v>
      </c>
      <c r="H50" s="43">
        <f>IFERROR(G50*E44,"")</f>
        <v>0</v>
      </c>
    </row>
    <row r="51" spans="1:11">
      <c r="A51" s="28"/>
      <c r="B51" s="29"/>
      <c r="C51" s="30" t="str">
        <f>IFERROR(VLOOKUP($B51,Insumo[],2,0),"")</f>
        <v/>
      </c>
      <c r="D51" s="31"/>
      <c r="E51" s="32" t="str">
        <f>IFERROR(VLOOKUP($B51,Insumo[],3,0),"")</f>
        <v/>
      </c>
      <c r="F51" s="33"/>
      <c r="G51" s="34" t="str">
        <f>IFERROR(IF(F51&gt;=0,D51*E51*(1+F51/100),ABS(D51*E51/F51)),"")</f>
        <v/>
      </c>
      <c r="H51" s="43" t="str">
        <f>IFERROR(G51*E44,"")</f>
        <v/>
      </c>
    </row>
    <row r="52" spans="1:11">
      <c r="A52" s="21"/>
      <c r="B52" s="22" t="s">
        <v>3731</v>
      </c>
      <c r="C52" s="23"/>
      <c r="D52" s="24"/>
      <c r="E52" s="25"/>
      <c r="F52" s="26"/>
      <c r="G52" s="27">
        <f>SUM(G53:G55)</f>
        <v>1292.4953092350001</v>
      </c>
      <c r="H52" s="44">
        <f>G52*E44</f>
        <v>0</v>
      </c>
    </row>
    <row r="53" spans="1:11">
      <c r="A53" s="28"/>
      <c r="B53" s="29" t="s">
        <v>3570</v>
      </c>
      <c r="C53" s="30" t="str">
        <f>IFERROR(VLOOKUP($B53,Equipo[],2,0),"")</f>
        <v>%MO</v>
      </c>
      <c r="D53" s="146">
        <v>0.04</v>
      </c>
      <c r="E53" s="32">
        <f>IF(C53="%MO",G59,IFERROR(VLOOKUP($B53,Equipo[],3,0),""))</f>
        <v>14361.058991500002</v>
      </c>
      <c r="F53" s="33"/>
      <c r="G53" s="34">
        <f>IFERROR(IF(F53&gt;=0,D53*E53*(1+F53/100),ABS(D53*E53/F53)),"")</f>
        <v>574.44235966000008</v>
      </c>
      <c r="H53" s="43">
        <f>IFERROR(G53*E44,"")</f>
        <v>0</v>
      </c>
    </row>
    <row r="54" spans="1:11">
      <c r="A54" s="28"/>
      <c r="B54" s="29" t="s">
        <v>3626</v>
      </c>
      <c r="C54" s="30" t="str">
        <f>IFERROR(VLOOKUP($B54,Equipo[],2,0),"")</f>
        <v>%MO</v>
      </c>
      <c r="D54" s="146">
        <v>0.05</v>
      </c>
      <c r="E54" s="32">
        <f>IF(C54="%MO",G59,IFERROR(VLOOKUP($B54,Equipo[],3,0),""))</f>
        <v>14361.058991500002</v>
      </c>
      <c r="F54" s="33"/>
      <c r="G54" s="34">
        <f>IFERROR(IF(F54&gt;=0,D54*E54*(1+F54/100),ABS(D54*E54/F54)),"")</f>
        <v>718.05294957500018</v>
      </c>
      <c r="H54" s="43">
        <f>IFERROR(G54*E44,"")</f>
        <v>0</v>
      </c>
    </row>
    <row r="55" spans="1:11">
      <c r="A55" s="28"/>
      <c r="B55" s="29"/>
      <c r="C55" s="30" t="str">
        <f>IFERROR(VLOOKUP($B55,Equipo[],2,0),"")</f>
        <v/>
      </c>
      <c r="D55" s="31"/>
      <c r="E55" s="32" t="str">
        <f>IF(C55="%MO",G59,IFERROR(VLOOKUP($B55,Equipo[],3,0),""))</f>
        <v/>
      </c>
      <c r="F55" s="33"/>
      <c r="G55" s="34" t="str">
        <f>IFERROR(IF(F55&gt;=0,D55*E55*(1+F55/100),ABS(D55*E55/F55)),"")</f>
        <v/>
      </c>
      <c r="H55" s="43" t="str">
        <f>IFERROR(G55*E44,"")</f>
        <v/>
      </c>
    </row>
    <row r="56" spans="1:11">
      <c r="A56" s="21"/>
      <c r="B56" s="22" t="s">
        <v>2533</v>
      </c>
      <c r="C56" s="23"/>
      <c r="D56" s="24"/>
      <c r="E56" s="25"/>
      <c r="F56" s="26"/>
      <c r="G56" s="27">
        <f>SUM(G57:G58)</f>
        <v>0</v>
      </c>
      <c r="H56" s="44">
        <f>G56*E44</f>
        <v>0</v>
      </c>
    </row>
    <row r="57" spans="1:11">
      <c r="A57" s="28"/>
      <c r="B57" s="29"/>
      <c r="C57" s="30" t="str">
        <f>IFERROR(VLOOKUP($B57,Transporte[],2,0),"")</f>
        <v/>
      </c>
      <c r="D57" s="31"/>
      <c r="E57" s="32" t="str">
        <f>IFERROR(VLOOKUP($B57,Transporte[],3,0),"")</f>
        <v/>
      </c>
      <c r="F57" s="33"/>
      <c r="G57" s="34" t="str">
        <f>IFERROR(IF(F57&gt;=0,D57*E57*(1+F57/100),ABS(D57*E57/F57)),"")</f>
        <v/>
      </c>
      <c r="H57" s="43" t="str">
        <f>IFERROR(G57*E44,"")</f>
        <v/>
      </c>
    </row>
    <row r="58" spans="1:11">
      <c r="A58" s="28"/>
      <c r="B58" s="29"/>
      <c r="C58" s="30" t="str">
        <f>IFERROR(VLOOKUP($B58,Transporte[],2,0),"")</f>
        <v/>
      </c>
      <c r="D58" s="31"/>
      <c r="E58" s="32" t="str">
        <f>IFERROR(VLOOKUP($B58,Transporte[],3,0),"")</f>
        <v/>
      </c>
      <c r="F58" s="33"/>
      <c r="G58" s="34" t="str">
        <f>IFERROR(IF(F58&gt;=0,D58*E58*(1+F58/100),ABS(D58*E58/F58)),"")</f>
        <v/>
      </c>
      <c r="H58" s="43" t="str">
        <f>IFERROR(G58*E44,"")</f>
        <v/>
      </c>
    </row>
    <row r="59" spans="1:11">
      <c r="A59" s="21"/>
      <c r="B59" s="22" t="s">
        <v>3732</v>
      </c>
      <c r="C59" s="23"/>
      <c r="D59" s="24"/>
      <c r="E59" s="25"/>
      <c r="F59" s="26"/>
      <c r="G59" s="27">
        <f>SUM(G60:G62)</f>
        <v>14361.058991500002</v>
      </c>
      <c r="H59" s="44">
        <f>G59*E44</f>
        <v>0</v>
      </c>
    </row>
    <row r="60" spans="1:11">
      <c r="A60" s="28"/>
      <c r="B60" s="29" t="s">
        <v>3711</v>
      </c>
      <c r="C60" s="30" t="str">
        <f>IFERROR(VLOOKUP($B60,MObra[],2,0),"")</f>
        <v>día</v>
      </c>
      <c r="D60" s="31">
        <v>1</v>
      </c>
      <c r="E60" s="32">
        <f>IFERROR(VLOOKUP($B60,MObra[],3,0),"")</f>
        <v>430831.76974500006</v>
      </c>
      <c r="F60" s="33">
        <v>-30</v>
      </c>
      <c r="G60" s="34">
        <f>IFERROR(IF(F60&gt;=0,D60*E60*(1+F60/100),ABS(D60*E60/F60)),"")</f>
        <v>14361.058991500002</v>
      </c>
      <c r="H60" s="43">
        <f>IFERROR(G60*E44,"")</f>
        <v>0</v>
      </c>
    </row>
    <row r="61" spans="1:11">
      <c r="A61" s="28"/>
      <c r="B61" s="29"/>
      <c r="C61" s="30" t="str">
        <f>IFERROR(VLOOKUP($B61,MObra[],2,0),"")</f>
        <v/>
      </c>
      <c r="D61" s="31"/>
      <c r="E61" s="32" t="str">
        <f>IFERROR(VLOOKUP($B61,MObra[],3,0),"")</f>
        <v/>
      </c>
      <c r="F61" s="33"/>
      <c r="G61" s="34" t="str">
        <f>IFERROR(IF(F61&gt;=0,D61*E61*(1+F61/100),ABS(D61*E61/F61)),"")</f>
        <v/>
      </c>
      <c r="H61" s="43" t="str">
        <f>IFERROR(G61*E44,"")</f>
        <v/>
      </c>
    </row>
    <row r="62" spans="1:11">
      <c r="A62" s="35"/>
      <c r="B62" s="36"/>
      <c r="C62" s="37" t="str">
        <f>IFERROR(VLOOKUP($B62,MObra[],2,0),"")</f>
        <v/>
      </c>
      <c r="D62" s="148"/>
      <c r="E62" s="39" t="str">
        <f>IFERROR(VLOOKUP($B62,MObra[],3,0),"")</f>
        <v/>
      </c>
      <c r="F62" s="40"/>
      <c r="G62" s="41" t="str">
        <f>IFERROR(IF(F62&gt;=0,D62*E62*(1+F62/100),ABS(D62*E62/F62)),"")</f>
        <v/>
      </c>
      <c r="H62" s="42" t="str">
        <f>IFERROR(G62*E44,"")</f>
        <v/>
      </c>
    </row>
    <row r="64" spans="1:11">
      <c r="A64" s="6" t="s">
        <v>21</v>
      </c>
      <c r="B64" s="7" t="str">
        <f>VLOOKUP($A64,Presupuesto!$A:$D,2,FALSE())</f>
        <v>Barricada seguridad desmontable L=3m</v>
      </c>
      <c r="C64" s="8" t="str">
        <f>VLOOKUP($A64,Presupuesto!$A:$D,3,FALSE())</f>
        <v>Un</v>
      </c>
      <c r="D64" s="9"/>
      <c r="E64" s="147">
        <f>VLOOKUP($A64,Presupuesto!$A:$D,4,FALSE())</f>
        <v>0</v>
      </c>
      <c r="F64" s="11" t="s">
        <v>2589</v>
      </c>
      <c r="G64" s="12">
        <f>SUM(G66:G82)/2</f>
        <v>637636.75697925</v>
      </c>
      <c r="H64" s="13">
        <f>ROUND(SUM(H66:H82),0)/2</f>
        <v>0</v>
      </c>
      <c r="I64" s="10">
        <f>VLOOKUP(A64,Presupuesto!$A:$F,6,0)</f>
        <v>0</v>
      </c>
      <c r="J64" s="10">
        <f>+H64-I64</f>
        <v>0</v>
      </c>
      <c r="K64" s="46">
        <f>+H64-G64*E64</f>
        <v>0</v>
      </c>
    </row>
    <row r="65" spans="1:8">
      <c r="A65" s="14"/>
      <c r="B65" s="15" t="s">
        <v>2586</v>
      </c>
      <c r="C65" s="15" t="s">
        <v>5</v>
      </c>
      <c r="D65" s="16" t="s">
        <v>6</v>
      </c>
      <c r="E65" s="17" t="s">
        <v>7</v>
      </c>
      <c r="F65" s="18" t="s">
        <v>3728</v>
      </c>
      <c r="G65" s="19" t="s">
        <v>3729</v>
      </c>
      <c r="H65" s="20" t="s">
        <v>3797</v>
      </c>
    </row>
    <row r="66" spans="1:8">
      <c r="A66" s="21"/>
      <c r="B66" s="22" t="s">
        <v>3730</v>
      </c>
      <c r="C66" s="23"/>
      <c r="D66" s="24"/>
      <c r="E66" s="25"/>
      <c r="F66" s="26"/>
      <c r="G66" s="27">
        <f>SUM(G67:G71)</f>
        <v>625410.45000000007</v>
      </c>
      <c r="H66" s="27">
        <f>IFERROR(G66*E64,"")</f>
        <v>0</v>
      </c>
    </row>
    <row r="67" spans="1:8">
      <c r="A67" s="28"/>
      <c r="B67" s="29" t="s">
        <v>2747</v>
      </c>
      <c r="C67" s="30" t="str">
        <f>IFERROR(VLOOKUP($B67,Insumo[],2,0),"")</f>
        <v>Un</v>
      </c>
      <c r="D67" s="31">
        <v>1</v>
      </c>
      <c r="E67" s="32">
        <f>IFERROR(VLOOKUP($B67,Insumo[],3,0),"")</f>
        <v>625410.45000000007</v>
      </c>
      <c r="F67" s="33"/>
      <c r="G67" s="34">
        <f>IFERROR(IF(F67&gt;=0,D67*E67*(1+F67/100),ABS(D67*E67/F67)),"")</f>
        <v>625410.45000000007</v>
      </c>
      <c r="H67" s="43">
        <f>IFERROR(G67*E64,"")</f>
        <v>0</v>
      </c>
    </row>
    <row r="68" spans="1:8">
      <c r="A68" s="28"/>
      <c r="B68" s="29"/>
      <c r="C68" s="30" t="str">
        <f>IFERROR(VLOOKUP($B68,Insumo[],2,0),"")</f>
        <v/>
      </c>
      <c r="D68" s="31"/>
      <c r="E68" s="32" t="str">
        <f>IFERROR(VLOOKUP($B68,Insumo[],3,0),"")</f>
        <v/>
      </c>
      <c r="F68" s="33"/>
      <c r="G68" s="34" t="str">
        <f>IFERROR(IF(F68&gt;=0,D68*E68*(1+F68/100),ABS(D68*E68/F68)),"")</f>
        <v/>
      </c>
      <c r="H68" s="43" t="str">
        <f>IFERROR(G68*E64,"")</f>
        <v/>
      </c>
    </row>
    <row r="69" spans="1:8">
      <c r="A69" s="28"/>
      <c r="B69" s="29"/>
      <c r="C69" s="30" t="str">
        <f>IFERROR(VLOOKUP($B69,Insumo[],2,0),"")</f>
        <v/>
      </c>
      <c r="D69" s="31"/>
      <c r="E69" s="32" t="str">
        <f>IFERROR(VLOOKUP($B69,Insumo[],3,0),"")</f>
        <v/>
      </c>
      <c r="F69" s="33"/>
      <c r="G69" s="34" t="str">
        <f>IFERROR(IF(F69&gt;=0,D69*E69*(1+F69/100),ABS(D69*E69/F69)),"")</f>
        <v/>
      </c>
      <c r="H69" s="43" t="str">
        <f>IFERROR(G69*E64,"")</f>
        <v/>
      </c>
    </row>
    <row r="70" spans="1:8">
      <c r="A70" s="28"/>
      <c r="B70" s="29"/>
      <c r="C70" s="30" t="str">
        <f>IFERROR(VLOOKUP($B70,Insumo[],2,0),"")</f>
        <v/>
      </c>
      <c r="D70" s="146"/>
      <c r="E70" s="32" t="str">
        <f>IFERROR(VLOOKUP($B70,Insumo[],3,0),"")</f>
        <v/>
      </c>
      <c r="F70" s="33"/>
      <c r="G70" s="34" t="str">
        <f>IFERROR(IF(F70&gt;=0,D70*E70*(1+F70/100),ABS(D70*E70/F70)),"")</f>
        <v/>
      </c>
      <c r="H70" s="43" t="str">
        <f>IFERROR(G70*E64,"")</f>
        <v/>
      </c>
    </row>
    <row r="71" spans="1:8">
      <c r="A71" s="28"/>
      <c r="B71" s="29"/>
      <c r="C71" s="30" t="str">
        <f>IFERROR(VLOOKUP($B71,Insumo[],2,0),"")</f>
        <v/>
      </c>
      <c r="D71" s="31"/>
      <c r="E71" s="32" t="str">
        <f>IFERROR(VLOOKUP($B71,Insumo[],3,0),"")</f>
        <v/>
      </c>
      <c r="F71" s="33"/>
      <c r="G71" s="34" t="str">
        <f>IFERROR(IF(F71&gt;=0,D71*E71*(1+F71/100),ABS(D71*E71/F71)),"")</f>
        <v/>
      </c>
      <c r="H71" s="43" t="str">
        <f>IFERROR(G71*E64,"")</f>
        <v/>
      </c>
    </row>
    <row r="72" spans="1:8">
      <c r="A72" s="21"/>
      <c r="B72" s="22" t="s">
        <v>3731</v>
      </c>
      <c r="C72" s="23"/>
      <c r="D72" s="24"/>
      <c r="E72" s="25"/>
      <c r="F72" s="26"/>
      <c r="G72" s="27">
        <f>SUM(G73:G75)</f>
        <v>582.20509425000012</v>
      </c>
      <c r="H72" s="44">
        <f>G72*E64</f>
        <v>0</v>
      </c>
    </row>
    <row r="73" spans="1:8">
      <c r="A73" s="28"/>
      <c r="B73" s="29" t="s">
        <v>3626</v>
      </c>
      <c r="C73" s="30" t="str">
        <f>IFERROR(VLOOKUP($B73,Equipo[],2,0),"")</f>
        <v>%MO</v>
      </c>
      <c r="D73" s="146">
        <v>0.05</v>
      </c>
      <c r="E73" s="32">
        <f>IF(C73="%MO",G79,IFERROR(VLOOKUP($B73,Equipo[],3,0),""))</f>
        <v>11644.101885000002</v>
      </c>
      <c r="F73" s="33"/>
      <c r="G73" s="34">
        <f>IFERROR(IF(F73&gt;=0,D73*E73*(1+F73/100),ABS(D73*E73/F73)),"")</f>
        <v>582.20509425000012</v>
      </c>
      <c r="H73" s="43">
        <f>IFERROR(G73*E64,"")</f>
        <v>0</v>
      </c>
    </row>
    <row r="74" spans="1:8">
      <c r="A74" s="28"/>
      <c r="B74" s="29"/>
      <c r="C74" s="30" t="str">
        <f>IFERROR(VLOOKUP($B74,Equipo[],2,0),"")</f>
        <v/>
      </c>
      <c r="D74" s="146"/>
      <c r="E74" s="32" t="str">
        <f>IF(C74="%MO",G79,IFERROR(VLOOKUP($B74,Equipo[],3,0),""))</f>
        <v/>
      </c>
      <c r="F74" s="33"/>
      <c r="G74" s="34" t="str">
        <f>IFERROR(IF(F74&gt;=0,D74*E74*(1+F74/100),ABS(D74*E74/F74)),"")</f>
        <v/>
      </c>
      <c r="H74" s="43" t="str">
        <f>IFERROR(G74*E64,"")</f>
        <v/>
      </c>
    </row>
    <row r="75" spans="1:8">
      <c r="A75" s="28"/>
      <c r="B75" s="29"/>
      <c r="C75" s="30" t="str">
        <f>IFERROR(VLOOKUP($B75,Equipo[],2,0),"")</f>
        <v/>
      </c>
      <c r="D75" s="31"/>
      <c r="E75" s="32" t="str">
        <f>IF(C75="%MO",G79,IFERROR(VLOOKUP($B75,Equipo[],3,0),""))</f>
        <v/>
      </c>
      <c r="F75" s="33"/>
      <c r="G75" s="34" t="str">
        <f>IFERROR(IF(F75&gt;=0,D75*E75*(1+F75/100),ABS(D75*E75/F75)),"")</f>
        <v/>
      </c>
      <c r="H75" s="43" t="str">
        <f>IFERROR(G75*E64,"")</f>
        <v/>
      </c>
    </row>
    <row r="76" spans="1:8">
      <c r="A76" s="21"/>
      <c r="B76" s="22" t="s">
        <v>2533</v>
      </c>
      <c r="C76" s="23"/>
      <c r="D76" s="24"/>
      <c r="E76" s="25"/>
      <c r="F76" s="26"/>
      <c r="G76" s="27">
        <f>SUM(G77:G78)</f>
        <v>0</v>
      </c>
      <c r="H76" s="44">
        <f>G76*E64</f>
        <v>0</v>
      </c>
    </row>
    <row r="77" spans="1:8">
      <c r="A77" s="28"/>
      <c r="B77" s="29"/>
      <c r="C77" s="30" t="str">
        <f>IFERROR(VLOOKUP($B77,Transporte[],2,0),"")</f>
        <v/>
      </c>
      <c r="D77" s="31"/>
      <c r="E77" s="32" t="str">
        <f>IFERROR(VLOOKUP($B77,Transporte[],3,0),"")</f>
        <v/>
      </c>
      <c r="F77" s="33"/>
      <c r="G77" s="34" t="str">
        <f>IFERROR(IF(F77&gt;=0,D77*E77*(1+F77/100),ABS(D77*E77/F77)),"")</f>
        <v/>
      </c>
      <c r="H77" s="43" t="str">
        <f>IFERROR(G77*E64,"")</f>
        <v/>
      </c>
    </row>
    <row r="78" spans="1:8">
      <c r="A78" s="28"/>
      <c r="B78" s="29"/>
      <c r="C78" s="30" t="str">
        <f>IFERROR(VLOOKUP($B78,Transporte[],2,0),"")</f>
        <v/>
      </c>
      <c r="D78" s="31"/>
      <c r="E78" s="32" t="str">
        <f>IFERROR(VLOOKUP($B78,Transporte[],3,0),"")</f>
        <v/>
      </c>
      <c r="F78" s="33"/>
      <c r="G78" s="34" t="str">
        <f>IFERROR(IF(F78&gt;=0,D78*E78*(1+F78/100),ABS(D78*E78/F78)),"")</f>
        <v/>
      </c>
      <c r="H78" s="43" t="str">
        <f>IFERROR(G78*E64,"")</f>
        <v/>
      </c>
    </row>
    <row r="79" spans="1:8">
      <c r="A79" s="21"/>
      <c r="B79" s="22" t="s">
        <v>3732</v>
      </c>
      <c r="C79" s="23"/>
      <c r="D79" s="24"/>
      <c r="E79" s="25"/>
      <c r="F79" s="26"/>
      <c r="G79" s="27">
        <f>SUM(G80:G82)</f>
        <v>11644.101885000002</v>
      </c>
      <c r="H79" s="44">
        <f>G79*E64</f>
        <v>0</v>
      </c>
    </row>
    <row r="80" spans="1:8">
      <c r="A80" s="28"/>
      <c r="B80" s="29" t="s">
        <v>3698</v>
      </c>
      <c r="C80" s="30" t="str">
        <f>IFERROR(VLOOKUP($B80,MObra[],2,0),"")</f>
        <v>día</v>
      </c>
      <c r="D80" s="31">
        <v>1</v>
      </c>
      <c r="E80" s="32">
        <f>IFERROR(VLOOKUP($B80,MObra[],3,0),"")</f>
        <v>116441.01885000002</v>
      </c>
      <c r="F80" s="33">
        <v>-10</v>
      </c>
      <c r="G80" s="34">
        <f>IFERROR(IF(F80&gt;=0,D80*E80*(1+F80/100),ABS(D80*E80/F80)),"")</f>
        <v>11644.101885000002</v>
      </c>
      <c r="H80" s="43">
        <f>IFERROR(G80*E64,"")</f>
        <v>0</v>
      </c>
    </row>
    <row r="81" spans="1:11">
      <c r="A81" s="28"/>
      <c r="B81" s="29"/>
      <c r="C81" s="30" t="str">
        <f>IFERROR(VLOOKUP($B81,MObra[],2,0),"")</f>
        <v/>
      </c>
      <c r="D81" s="31"/>
      <c r="E81" s="32" t="str">
        <f>IFERROR(VLOOKUP($B81,MObra[],3,0),"")</f>
        <v/>
      </c>
      <c r="F81" s="33"/>
      <c r="G81" s="34" t="str">
        <f>IFERROR(IF(F81&gt;=0,D81*E81*(1+F81/100),ABS(D81*E81/F81)),"")</f>
        <v/>
      </c>
      <c r="H81" s="43" t="str">
        <f>IFERROR(G81*E64,"")</f>
        <v/>
      </c>
    </row>
    <row r="82" spans="1:11">
      <c r="A82" s="35"/>
      <c r="B82" s="36"/>
      <c r="C82" s="37" t="str">
        <f>IFERROR(VLOOKUP($B82,MObra[],2,0),"")</f>
        <v/>
      </c>
      <c r="D82" s="148"/>
      <c r="E82" s="39" t="str">
        <f>IFERROR(VLOOKUP($B82,MObra[],3,0),"")</f>
        <v/>
      </c>
      <c r="F82" s="40"/>
      <c r="G82" s="41" t="str">
        <f>IFERROR(IF(F82&gt;=0,D82*E82*(1+F82/100),ABS(D82*E82/F82)),"")</f>
        <v/>
      </c>
      <c r="H82" s="42" t="str">
        <f>IFERROR(G82*E64,"")</f>
        <v/>
      </c>
    </row>
    <row r="84" spans="1:11">
      <c r="A84" s="6" t="s">
        <v>24</v>
      </c>
      <c r="B84" s="7" t="str">
        <f>VLOOKUP($A84,Presupuesto!$A:$D,2,FALSE())</f>
        <v>Campamento (esterilla + teja zinc + piso)</v>
      </c>
      <c r="C84" s="8" t="str">
        <f>VLOOKUP($A84,Presupuesto!$A:$D,3,FALSE())</f>
        <v>M2</v>
      </c>
      <c r="D84" s="9"/>
      <c r="E84" s="147">
        <f>VLOOKUP($A84,Presupuesto!$A:$D,4,FALSE())</f>
        <v>0</v>
      </c>
      <c r="F84" s="11" t="s">
        <v>2589</v>
      </c>
      <c r="G84" s="12">
        <f>SUM(G86:G111)/2</f>
        <v>217769.46248871615</v>
      </c>
      <c r="H84" s="13">
        <f>ROUND(SUM(H86:H111),0)/2</f>
        <v>0</v>
      </c>
      <c r="I84" s="10">
        <f>VLOOKUP(A84,Presupuesto!$A:$F,6,0)</f>
        <v>0</v>
      </c>
      <c r="J84" s="10">
        <f>+H84-I84</f>
        <v>0</v>
      </c>
      <c r="K84" s="46">
        <f>+H84-G84*E84</f>
        <v>0</v>
      </c>
    </row>
    <row r="85" spans="1:11">
      <c r="A85" s="14"/>
      <c r="B85" s="15" t="s">
        <v>2586</v>
      </c>
      <c r="C85" s="15" t="s">
        <v>5</v>
      </c>
      <c r="D85" s="16" t="s">
        <v>6</v>
      </c>
      <c r="E85" s="17" t="s">
        <v>7</v>
      </c>
      <c r="F85" s="18" t="s">
        <v>3728</v>
      </c>
      <c r="G85" s="19" t="s">
        <v>3729</v>
      </c>
      <c r="H85" s="20" t="s">
        <v>3797</v>
      </c>
    </row>
    <row r="86" spans="1:11">
      <c r="A86" s="21"/>
      <c r="B86" s="22" t="s">
        <v>3730</v>
      </c>
      <c r="C86" s="23"/>
      <c r="D86" s="24"/>
      <c r="E86" s="25"/>
      <c r="F86" s="26"/>
      <c r="G86" s="27">
        <f>SUM(G87:G100)</f>
        <v>120933.44168430612</v>
      </c>
      <c r="H86" s="27">
        <f>IFERROR(G86*E84,"")</f>
        <v>0</v>
      </c>
    </row>
    <row r="87" spans="1:11">
      <c r="A87" s="28"/>
      <c r="B87" s="29" t="s">
        <v>2945</v>
      </c>
      <c r="C87" s="30" t="str">
        <f>IFERROR(VLOOKUP($B87,Insumo[],2,0),"")</f>
        <v>Un</v>
      </c>
      <c r="D87" s="146">
        <v>1.5</v>
      </c>
      <c r="E87" s="32">
        <f>IFERROR(VLOOKUP($B87,Insumo[],3,0),"")</f>
        <v>11594.1</v>
      </c>
      <c r="F87" s="33"/>
      <c r="G87" s="34">
        <f t="shared" ref="G87:G100" si="0">IFERROR(IF(F87&gt;=0,D87*E87*(1+F87/100),ABS(D87*E87/F87)),"")</f>
        <v>17391.150000000001</v>
      </c>
      <c r="H87" s="43">
        <f>IFERROR(G87*E84,"")</f>
        <v>0</v>
      </c>
      <c r="I87" s="47"/>
    </row>
    <row r="88" spans="1:11">
      <c r="A88" s="28"/>
      <c r="B88" s="29" t="s">
        <v>3375</v>
      </c>
      <c r="C88" s="30" t="str">
        <f>IFERROR(VLOOKUP($B88,Insumo[],2,0),"")</f>
        <v>Un</v>
      </c>
      <c r="D88" s="146">
        <v>0.42</v>
      </c>
      <c r="E88" s="32">
        <f>IFERROR(VLOOKUP($B88,Insumo[],3,0),"")</f>
        <v>41259.75</v>
      </c>
      <c r="F88" s="33">
        <v>5</v>
      </c>
      <c r="G88" s="34">
        <f t="shared" si="0"/>
        <v>18195.549750000002</v>
      </c>
      <c r="H88" s="43">
        <f>IFERROR(G88*E84,"")</f>
        <v>0</v>
      </c>
      <c r="I88" s="47"/>
    </row>
    <row r="89" spans="1:11">
      <c r="A89" s="28"/>
      <c r="B89" s="29" t="s">
        <v>2990</v>
      </c>
      <c r="C89" s="30" t="str">
        <f>IFERROR(VLOOKUP($B89,Insumo[],2,0),"")</f>
        <v>Un</v>
      </c>
      <c r="D89" s="150">
        <v>1</v>
      </c>
      <c r="E89" s="32">
        <f>IFERROR(VLOOKUP($B89,Insumo[],3,0),"")</f>
        <v>5114.55</v>
      </c>
      <c r="F89" s="33"/>
      <c r="G89" s="34">
        <f t="shared" si="0"/>
        <v>5114.55</v>
      </c>
      <c r="H89" s="43">
        <f>IFERROR(G89*E84,"")</f>
        <v>0</v>
      </c>
      <c r="I89" s="47"/>
    </row>
    <row r="90" spans="1:11">
      <c r="A90" s="28"/>
      <c r="B90" s="29" t="s">
        <v>3253</v>
      </c>
      <c r="C90" s="30" t="str">
        <f>IFERROR(VLOOKUP($B90,Insumo[],2,0),"")</f>
        <v>Lb</v>
      </c>
      <c r="D90" s="146">
        <v>0.5</v>
      </c>
      <c r="E90" s="32">
        <f>IFERROR(VLOOKUP($B90,Insumo[],3,0),"")</f>
        <v>6482.7000000000007</v>
      </c>
      <c r="F90" s="33"/>
      <c r="G90" s="34">
        <f t="shared" si="0"/>
        <v>3241.3500000000004</v>
      </c>
      <c r="H90" s="43">
        <f>IFERROR(G90*E84,"")</f>
        <v>0</v>
      </c>
      <c r="I90" s="47"/>
    </row>
    <row r="91" spans="1:11">
      <c r="A91" s="28"/>
      <c r="B91" s="29" t="s">
        <v>2683</v>
      </c>
      <c r="C91" s="30" t="str">
        <f>IFERROR(VLOOKUP($B91,Insumo[],2,0),"")</f>
        <v>M3</v>
      </c>
      <c r="D91" s="146">
        <v>0.05</v>
      </c>
      <c r="E91" s="32">
        <f>IFERROR(VLOOKUP($B91,Insumo[],3,0),"")</f>
        <v>53583.600000000006</v>
      </c>
      <c r="F91" s="33">
        <v>10</v>
      </c>
      <c r="G91" s="34">
        <f t="shared" si="0"/>
        <v>2947.0980000000004</v>
      </c>
      <c r="H91" s="43">
        <f>IFERROR(G91*E84,"")</f>
        <v>0</v>
      </c>
      <c r="I91" s="47"/>
    </row>
    <row r="92" spans="1:11">
      <c r="A92" s="28"/>
      <c r="B92" s="29" t="s">
        <v>3338</v>
      </c>
      <c r="C92" s="30" t="str">
        <f>IFERROR(VLOOKUP($B92,Insumo[],2,0),"")</f>
        <v>M</v>
      </c>
      <c r="D92" s="150">
        <v>2</v>
      </c>
      <c r="E92" s="32">
        <f>IFERROR(VLOOKUP($B92,Insumo[],3,0),"")</f>
        <v>8047.2000000000007</v>
      </c>
      <c r="F92" s="33">
        <v>5</v>
      </c>
      <c r="G92" s="34">
        <f t="shared" si="0"/>
        <v>16899.120000000003</v>
      </c>
      <c r="H92" s="43">
        <f>IFERROR(G92*E84,"")</f>
        <v>0</v>
      </c>
      <c r="I92" s="47"/>
    </row>
    <row r="93" spans="1:11">
      <c r="A93" s="28"/>
      <c r="B93" s="29" t="s">
        <v>3238</v>
      </c>
      <c r="C93" s="30" t="str">
        <f>IFERROR(VLOOKUP($B93,Insumo[],2,0),"")</f>
        <v>M3</v>
      </c>
      <c r="D93" s="146">
        <v>0.05</v>
      </c>
      <c r="E93" s="32">
        <f>IFERROR(VLOOKUP($B93,Insumo[],3,0),"")</f>
        <v>488900.227320117</v>
      </c>
      <c r="F93" s="33">
        <v>5</v>
      </c>
      <c r="G93" s="34">
        <f t="shared" si="0"/>
        <v>25667.261934306145</v>
      </c>
      <c r="H93" s="43">
        <f>IFERROR(G93*E84,"")</f>
        <v>0</v>
      </c>
      <c r="I93" s="47"/>
    </row>
    <row r="94" spans="1:11">
      <c r="A94" s="28"/>
      <c r="B94" s="29" t="s">
        <v>3437</v>
      </c>
      <c r="C94" s="30" t="str">
        <f>IFERROR(VLOOKUP($B94,Insumo[],2,0),"")</f>
        <v>M</v>
      </c>
      <c r="D94" s="150">
        <v>2</v>
      </c>
      <c r="E94" s="32">
        <f>IFERROR(VLOOKUP($B94,Insumo[],3,0),"")</f>
        <v>3496.5</v>
      </c>
      <c r="F94" s="33">
        <v>5</v>
      </c>
      <c r="G94" s="34">
        <f t="shared" si="0"/>
        <v>7342.6500000000005</v>
      </c>
      <c r="H94" s="43">
        <f>IFERROR(G94*E84,"")</f>
        <v>0</v>
      </c>
      <c r="I94" s="47"/>
    </row>
    <row r="95" spans="1:11">
      <c r="A95" s="28"/>
      <c r="B95" s="29" t="s">
        <v>2693</v>
      </c>
      <c r="C95" s="30" t="str">
        <f>IFERROR(VLOOKUP($B95,Insumo[],2,0),"")</f>
        <v>M</v>
      </c>
      <c r="D95" s="150">
        <v>6</v>
      </c>
      <c r="E95" s="32">
        <f>IFERROR(VLOOKUP($B95,Insumo[],3,0),"")</f>
        <v>2573.5500000000002</v>
      </c>
      <c r="F95" s="33">
        <v>5</v>
      </c>
      <c r="G95" s="34">
        <f t="shared" si="0"/>
        <v>16213.365000000002</v>
      </c>
      <c r="H95" s="43">
        <f>IFERROR(G95*E84,"")</f>
        <v>0</v>
      </c>
      <c r="I95" s="47"/>
    </row>
    <row r="96" spans="1:11">
      <c r="A96" s="28"/>
      <c r="B96" s="29" t="s">
        <v>3011</v>
      </c>
      <c r="C96" s="30" t="str">
        <f>IFERROR(VLOOKUP($B96,Insumo[],2,0),"")</f>
        <v>Un</v>
      </c>
      <c r="D96" s="146">
        <v>0.3</v>
      </c>
      <c r="E96" s="32">
        <f>IFERROR(VLOOKUP($B96,Insumo[],3,0),"")</f>
        <v>8325.4500000000007</v>
      </c>
      <c r="F96" s="33"/>
      <c r="G96" s="34">
        <f t="shared" si="0"/>
        <v>2497.6350000000002</v>
      </c>
      <c r="H96" s="43">
        <f>IFERROR(G96*E84,"")</f>
        <v>0</v>
      </c>
      <c r="I96" s="47"/>
    </row>
    <row r="97" spans="1:9">
      <c r="A97" s="28"/>
      <c r="B97" s="29" t="s">
        <v>3396</v>
      </c>
      <c r="C97" s="30" t="str">
        <f>IFERROR(VLOOKUP($B97,Insumo[],2,0),"")</f>
        <v>Un</v>
      </c>
      <c r="D97" s="146">
        <v>0.3</v>
      </c>
      <c r="E97" s="32">
        <f>IFERROR(VLOOKUP($B97,Insumo[],3,0),"")</f>
        <v>6016.5</v>
      </c>
      <c r="F97" s="33"/>
      <c r="G97" s="34">
        <f t="shared" si="0"/>
        <v>1804.95</v>
      </c>
      <c r="H97" s="43">
        <f>IFERROR(G97*E84,"")</f>
        <v>0</v>
      </c>
      <c r="I97" s="47"/>
    </row>
    <row r="98" spans="1:9">
      <c r="A98" s="28"/>
      <c r="B98" s="29" t="s">
        <v>2807</v>
      </c>
      <c r="C98" s="30" t="str">
        <f>IFERROR(VLOOKUP($B98,Insumo[],2,0),"")</f>
        <v xml:space="preserve"> Un </v>
      </c>
      <c r="D98" s="146">
        <v>0.5</v>
      </c>
      <c r="E98" s="32">
        <f>IFERROR(VLOOKUP($B98,Insumo[],3,0),"")</f>
        <v>2841.3</v>
      </c>
      <c r="F98" s="33"/>
      <c r="G98" s="34">
        <f t="shared" si="0"/>
        <v>1420.65</v>
      </c>
      <c r="H98" s="43">
        <f>IFERROR(G98*E84,"")</f>
        <v>0</v>
      </c>
      <c r="I98" s="47"/>
    </row>
    <row r="99" spans="1:9">
      <c r="A99" s="28"/>
      <c r="B99" s="29" t="s">
        <v>2750</v>
      </c>
      <c r="C99" s="30" t="str">
        <f>IFERROR(VLOOKUP($B99,Insumo[],2,0),"")</f>
        <v>Un</v>
      </c>
      <c r="D99" s="146">
        <f>6/60</f>
        <v>0.1</v>
      </c>
      <c r="E99" s="32">
        <f>IFERROR(VLOOKUP($B99,Insumo[],3,0),"")</f>
        <v>13526.1</v>
      </c>
      <c r="F99" s="33"/>
      <c r="G99" s="34">
        <f t="shared" si="0"/>
        <v>1352.6100000000001</v>
      </c>
      <c r="H99" s="43">
        <f>IFERROR(G99*E84,"")</f>
        <v>0</v>
      </c>
      <c r="I99" s="47"/>
    </row>
    <row r="100" spans="1:9">
      <c r="A100" s="28"/>
      <c r="B100" s="29" t="s">
        <v>2820</v>
      </c>
      <c r="C100" s="30" t="str">
        <f>IFERROR(VLOOKUP($B100,Insumo[],2,0),"")</f>
        <v>Un</v>
      </c>
      <c r="D100" s="146">
        <v>0.02</v>
      </c>
      <c r="E100" s="32">
        <f>IFERROR(VLOOKUP($B100,Insumo[],3,0),"")</f>
        <v>42275.1</v>
      </c>
      <c r="F100" s="33"/>
      <c r="G100" s="34">
        <f t="shared" si="0"/>
        <v>845.50199999999995</v>
      </c>
      <c r="H100" s="43">
        <f>IFERROR(G100*E84,"")</f>
        <v>0</v>
      </c>
    </row>
    <row r="101" spans="1:9">
      <c r="A101" s="21"/>
      <c r="B101" s="22" t="s">
        <v>3731</v>
      </c>
      <c r="C101" s="23"/>
      <c r="D101" s="151"/>
      <c r="E101" s="25"/>
      <c r="F101" s="26"/>
      <c r="G101" s="27">
        <f>SUM(G102:G104)</f>
        <v>7754.9718554100018</v>
      </c>
      <c r="H101" s="44">
        <f>G101*E84</f>
        <v>0</v>
      </c>
    </row>
    <row r="102" spans="1:9">
      <c r="A102" s="28"/>
      <c r="B102" s="29" t="s">
        <v>3570</v>
      </c>
      <c r="C102" s="30" t="str">
        <f>IFERROR(VLOOKUP($B102,Equipo[],2,0),"")</f>
        <v>%MO</v>
      </c>
      <c r="D102" s="146">
        <v>0.04</v>
      </c>
      <c r="E102" s="32">
        <f>IF(C102="%MO",G108,IFERROR(VLOOKUP($B102,Equipo[],3,0),""))</f>
        <v>86166.353949000011</v>
      </c>
      <c r="F102" s="33"/>
      <c r="G102" s="34">
        <f>IFERROR(IF(F102&gt;=0,D102*E102*(1+F102/100),ABS(D102*E102/F102)),"")</f>
        <v>3446.6541579600007</v>
      </c>
      <c r="H102" s="43">
        <f>IFERROR(G102*E84,"")</f>
        <v>0</v>
      </c>
    </row>
    <row r="103" spans="1:9">
      <c r="A103" s="28"/>
      <c r="B103" s="29" t="s">
        <v>3626</v>
      </c>
      <c r="C103" s="30" t="str">
        <f>IFERROR(VLOOKUP($B103,Equipo[],2,0),"")</f>
        <v>%MO</v>
      </c>
      <c r="D103" s="146">
        <v>0.05</v>
      </c>
      <c r="E103" s="32">
        <f>IF(C103="%MO",G108,IFERROR(VLOOKUP($B103,Equipo[],3,0),""))</f>
        <v>86166.353949000011</v>
      </c>
      <c r="F103" s="33"/>
      <c r="G103" s="34">
        <f>IFERROR(IF(F103&gt;=0,D103*E103*(1+F103/100),ABS(D103*E103/F103)),"")</f>
        <v>4308.3176974500011</v>
      </c>
      <c r="H103" s="43">
        <f>IFERROR(G103*E84,"")</f>
        <v>0</v>
      </c>
    </row>
    <row r="104" spans="1:9">
      <c r="A104" s="28"/>
      <c r="B104" s="29"/>
      <c r="C104" s="30" t="str">
        <f>IFERROR(VLOOKUP($B104,Equipo[],2,0),"")</f>
        <v/>
      </c>
      <c r="D104" s="146"/>
      <c r="E104" s="32" t="str">
        <f>IF(C104="%MO",G108,IFERROR(VLOOKUP($B104,Equipo[],3,0),""))</f>
        <v/>
      </c>
      <c r="F104" s="33"/>
      <c r="G104" s="34" t="str">
        <f>IFERROR(IF(F104&gt;=0,D104*E104*(1+F104/100),ABS(D104*E104/F104)),"")</f>
        <v/>
      </c>
      <c r="H104" s="43" t="str">
        <f>IFERROR(G104*E84,"")</f>
        <v/>
      </c>
    </row>
    <row r="105" spans="1:9">
      <c r="A105" s="21"/>
      <c r="B105" s="22" t="s">
        <v>2533</v>
      </c>
      <c r="C105" s="23"/>
      <c r="D105" s="151"/>
      <c r="E105" s="25"/>
      <c r="F105" s="26"/>
      <c r="G105" s="27">
        <f>SUM(G106:G107)</f>
        <v>2914.6950000000002</v>
      </c>
      <c r="H105" s="44">
        <f>G105*E84</f>
        <v>0</v>
      </c>
    </row>
    <row r="106" spans="1:9">
      <c r="A106" s="28"/>
      <c r="B106" s="29" t="s">
        <v>3664</v>
      </c>
      <c r="C106" s="30" t="str">
        <f>IFERROR(VLOOKUP($B106,Transporte[],2,0),"")</f>
        <v>M3-km</v>
      </c>
      <c r="D106" s="146">
        <f>0.05*38</f>
        <v>1.9000000000000001</v>
      </c>
      <c r="E106" s="32">
        <f>IFERROR(VLOOKUP($B106,Transporte[],3,0),"")</f>
        <v>1534.05</v>
      </c>
      <c r="F106" s="33"/>
      <c r="G106" s="34">
        <f>IFERROR(IF(F106&gt;=0,D106*E106*(1+F106/100),ABS(D106*E106/F106)),"")</f>
        <v>2914.6950000000002</v>
      </c>
      <c r="H106" s="43">
        <f>IFERROR(G106*E84,"")</f>
        <v>0</v>
      </c>
    </row>
    <row r="107" spans="1:9">
      <c r="A107" s="28"/>
      <c r="B107" s="29"/>
      <c r="C107" s="30" t="str">
        <f>IFERROR(VLOOKUP($B107,Transporte[],2,0),"")</f>
        <v/>
      </c>
      <c r="D107" s="146"/>
      <c r="E107" s="32" t="str">
        <f>IFERROR(VLOOKUP($B107,Transporte[],3,0),"")</f>
        <v/>
      </c>
      <c r="F107" s="33"/>
      <c r="G107" s="34" t="str">
        <f>IFERROR(IF(F107&gt;=0,D107*E107*(1+F107/100),ABS(D107*E107/F107)),"")</f>
        <v/>
      </c>
      <c r="H107" s="43" t="str">
        <f>IFERROR(G107*E84,"")</f>
        <v/>
      </c>
    </row>
    <row r="108" spans="1:9">
      <c r="A108" s="21"/>
      <c r="B108" s="22" t="s">
        <v>3732</v>
      </c>
      <c r="C108" s="23"/>
      <c r="D108" s="151"/>
      <c r="E108" s="25"/>
      <c r="F108" s="26"/>
      <c r="G108" s="27">
        <f>SUM(G109:G111)</f>
        <v>86166.353949000011</v>
      </c>
      <c r="H108" s="44">
        <f>G108*E84</f>
        <v>0</v>
      </c>
    </row>
    <row r="109" spans="1:9">
      <c r="A109" s="28"/>
      <c r="B109" s="29" t="s">
        <v>3711</v>
      </c>
      <c r="C109" s="30" t="str">
        <f>IFERROR(VLOOKUP($B109,MObra[],2,0),"")</f>
        <v>día</v>
      </c>
      <c r="D109" s="150">
        <v>1</v>
      </c>
      <c r="E109" s="32">
        <f>IFERROR(VLOOKUP($B109,MObra[],3,0),"")</f>
        <v>430831.76974500006</v>
      </c>
      <c r="F109" s="33">
        <v>-5</v>
      </c>
      <c r="G109" s="34">
        <f>IFERROR(IF(F109&gt;=0,D109*E109*(1+F109/100),ABS(D109*E109/F109)),"")</f>
        <v>86166.353949000011</v>
      </c>
      <c r="H109" s="43">
        <f>IFERROR(G109*E84,"")</f>
        <v>0</v>
      </c>
    </row>
    <row r="110" spans="1:9">
      <c r="A110" s="28"/>
      <c r="B110" s="29"/>
      <c r="C110" s="30" t="str">
        <f>IFERROR(VLOOKUP($B110,MObra[],2,0),"")</f>
        <v/>
      </c>
      <c r="D110" s="150"/>
      <c r="E110" s="32" t="str">
        <f>IFERROR(VLOOKUP($B110,MObra[],3,0),"")</f>
        <v/>
      </c>
      <c r="F110" s="33"/>
      <c r="G110" s="34" t="str">
        <f>IFERROR(IF(F110&gt;=0,D110*E110*(1+F110/100),ABS(D110*E110/F110)),"")</f>
        <v/>
      </c>
      <c r="H110" s="43" t="str">
        <f>IFERROR(G110*E84,"")</f>
        <v/>
      </c>
    </row>
    <row r="111" spans="1:9">
      <c r="A111" s="35"/>
      <c r="B111" s="36"/>
      <c r="C111" s="37" t="str">
        <f>IFERROR(VLOOKUP($B111,MObra[],2,0),"")</f>
        <v/>
      </c>
      <c r="D111" s="148"/>
      <c r="E111" s="39" t="str">
        <f>IFERROR(VLOOKUP($B111,MObra[],3,0),"")</f>
        <v/>
      </c>
      <c r="F111" s="40"/>
      <c r="G111" s="41" t="str">
        <f>IFERROR(IF(F111&gt;=0,D111*E111*(1+F111/100),ABS(D111*E111/F111)),"")</f>
        <v/>
      </c>
      <c r="H111" s="42" t="str">
        <f>IFERROR(G111*E84,"")</f>
        <v/>
      </c>
    </row>
    <row r="113" spans="1:11">
      <c r="A113" s="6" t="s">
        <v>26</v>
      </c>
      <c r="B113" s="7" t="str">
        <f>VLOOKUP($A113,Presupuesto!$A:$D,2,FALSE())</f>
        <v>Campamento (tabla + teja FC + piso)</v>
      </c>
      <c r="C113" s="8" t="str">
        <f>VLOOKUP($A113,Presupuesto!$A:$D,3,FALSE())</f>
        <v>M2</v>
      </c>
      <c r="D113" s="9"/>
      <c r="E113" s="147">
        <f>VLOOKUP($A113,Presupuesto!$A:$D,4,FALSE())</f>
        <v>0</v>
      </c>
      <c r="F113" s="11" t="s">
        <v>2589</v>
      </c>
      <c r="G113" s="12">
        <f>SUM(G115:G139)/2</f>
        <v>210969.62573871616</v>
      </c>
      <c r="H113" s="13">
        <f>ROUND(SUM(H115:H139),0)/2</f>
        <v>0</v>
      </c>
      <c r="I113" s="10">
        <f>VLOOKUP(A113,Presupuesto!$A:$F,6,0)</f>
        <v>0</v>
      </c>
      <c r="J113" s="10">
        <f>+H113-I113</f>
        <v>0</v>
      </c>
      <c r="K113" s="46">
        <f>+H113-G113*E113</f>
        <v>0</v>
      </c>
    </row>
    <row r="114" spans="1:11">
      <c r="A114" s="14"/>
      <c r="B114" s="15" t="s">
        <v>2586</v>
      </c>
      <c r="C114" s="15" t="s">
        <v>5</v>
      </c>
      <c r="D114" s="16" t="s">
        <v>6</v>
      </c>
      <c r="E114" s="17" t="s">
        <v>7</v>
      </c>
      <c r="F114" s="18" t="s">
        <v>3728</v>
      </c>
      <c r="G114" s="19" t="s">
        <v>3729</v>
      </c>
      <c r="H114" s="20" t="s">
        <v>3797</v>
      </c>
    </row>
    <row r="115" spans="1:11">
      <c r="A115" s="21"/>
      <c r="B115" s="22" t="s">
        <v>3730</v>
      </c>
      <c r="C115" s="23"/>
      <c r="D115" s="24"/>
      <c r="E115" s="25"/>
      <c r="F115" s="26"/>
      <c r="G115" s="27">
        <f>SUM(G116:G128)</f>
        <v>114133.60493430612</v>
      </c>
      <c r="H115" s="27">
        <f>IFERROR(G115*E113,"")</f>
        <v>0</v>
      </c>
    </row>
    <row r="116" spans="1:11">
      <c r="A116" s="28"/>
      <c r="B116" s="29" t="s">
        <v>3337</v>
      </c>
      <c r="C116" s="30" t="str">
        <f>IFERROR(VLOOKUP($B116,Insumo[],2,0),"")</f>
        <v>Un</v>
      </c>
      <c r="D116" s="146">
        <v>2.5</v>
      </c>
      <c r="E116" s="32">
        <f>IFERROR(VLOOKUP($B116,Insumo[],3,0),"")</f>
        <v>12350.1</v>
      </c>
      <c r="F116" s="33"/>
      <c r="G116" s="34">
        <f t="shared" ref="G116:G128" si="1">IFERROR(IF(F116&gt;=0,D116*E116*(1+F116/100),ABS(D116*E116/F116)),"")</f>
        <v>30875.25</v>
      </c>
      <c r="H116" s="43">
        <f>IFERROR(G116*E113,"")</f>
        <v>0</v>
      </c>
      <c r="I116" s="47"/>
    </row>
    <row r="117" spans="1:11">
      <c r="A117" s="28"/>
      <c r="B117" s="29" t="s">
        <v>3238</v>
      </c>
      <c r="C117" s="30" t="str">
        <f>IFERROR(VLOOKUP($B117,Insumo[],2,0),"")</f>
        <v>M3</v>
      </c>
      <c r="D117" s="146">
        <v>0.05</v>
      </c>
      <c r="E117" s="32">
        <f>IFERROR(VLOOKUP($B117,Insumo[],3,0),"")</f>
        <v>488900.227320117</v>
      </c>
      <c r="F117" s="33">
        <v>5</v>
      </c>
      <c r="G117" s="34">
        <f t="shared" si="1"/>
        <v>25667.261934306145</v>
      </c>
      <c r="H117" s="43">
        <f>IFERROR(G117*E113,"")</f>
        <v>0</v>
      </c>
      <c r="I117" s="47"/>
    </row>
    <row r="118" spans="1:11">
      <c r="A118" s="28"/>
      <c r="B118" s="29" t="s">
        <v>3378</v>
      </c>
      <c r="C118" s="30" t="str">
        <f>IFERROR(VLOOKUP($B118,Insumo[],2,0),"")</f>
        <v>M2</v>
      </c>
      <c r="D118" s="150">
        <v>1</v>
      </c>
      <c r="E118" s="32">
        <f>IFERROR(VLOOKUP($B118,Insumo[],3,0),"")</f>
        <v>22164.45</v>
      </c>
      <c r="F118" s="33">
        <v>5</v>
      </c>
      <c r="G118" s="34">
        <f t="shared" si="1"/>
        <v>23272.672500000001</v>
      </c>
      <c r="H118" s="43">
        <f>IFERROR(G118*E113,"")</f>
        <v>0</v>
      </c>
      <c r="I118" s="47"/>
    </row>
    <row r="119" spans="1:11">
      <c r="A119" s="28"/>
      <c r="B119" s="29" t="s">
        <v>2990</v>
      </c>
      <c r="C119" s="30" t="str">
        <f>IFERROR(VLOOKUP($B119,Insumo[],2,0),"")</f>
        <v>Un</v>
      </c>
      <c r="D119" s="150">
        <v>3</v>
      </c>
      <c r="E119" s="32">
        <f>IFERROR(VLOOKUP($B119,Insumo[],3,0),"")</f>
        <v>5114.55</v>
      </c>
      <c r="F119" s="33"/>
      <c r="G119" s="34">
        <f t="shared" si="1"/>
        <v>15343.650000000001</v>
      </c>
      <c r="H119" s="43">
        <f>IFERROR(G119*E113,"")</f>
        <v>0</v>
      </c>
      <c r="I119" s="47"/>
    </row>
    <row r="120" spans="1:11">
      <c r="A120" s="28"/>
      <c r="B120" s="29" t="s">
        <v>3253</v>
      </c>
      <c r="C120" s="30" t="str">
        <f>IFERROR(VLOOKUP($B120,Insumo[],2,0),"")</f>
        <v>Lb</v>
      </c>
      <c r="D120" s="146">
        <v>0.25</v>
      </c>
      <c r="E120" s="32">
        <f>IFERROR(VLOOKUP($B120,Insumo[],3,0),"")</f>
        <v>6482.7000000000007</v>
      </c>
      <c r="F120" s="33"/>
      <c r="G120" s="34">
        <f t="shared" si="1"/>
        <v>1620.6750000000002</v>
      </c>
      <c r="H120" s="43">
        <f>IFERROR(G120*E113,"")</f>
        <v>0</v>
      </c>
      <c r="I120" s="47"/>
    </row>
    <row r="121" spans="1:11">
      <c r="A121" s="28"/>
      <c r="B121" s="29" t="s">
        <v>2683</v>
      </c>
      <c r="C121" s="30" t="str">
        <f>IFERROR(VLOOKUP($B121,Insumo[],2,0),"")</f>
        <v>M3</v>
      </c>
      <c r="D121" s="146">
        <v>0.1</v>
      </c>
      <c r="E121" s="32">
        <f>IFERROR(VLOOKUP($B121,Insumo[],3,0),"")</f>
        <v>53583.600000000006</v>
      </c>
      <c r="F121" s="33">
        <v>10</v>
      </c>
      <c r="G121" s="34">
        <f t="shared" si="1"/>
        <v>5894.1960000000008</v>
      </c>
      <c r="H121" s="43">
        <f>IFERROR(G121*E113,"")</f>
        <v>0</v>
      </c>
      <c r="I121" s="47"/>
    </row>
    <row r="122" spans="1:11">
      <c r="A122" s="28"/>
      <c r="B122" s="29" t="s">
        <v>3437</v>
      </c>
      <c r="C122" s="30" t="str">
        <f>IFERROR(VLOOKUP($B122,Insumo[],2,0),"")</f>
        <v>M</v>
      </c>
      <c r="D122" s="150">
        <v>1</v>
      </c>
      <c r="E122" s="32">
        <f>IFERROR(VLOOKUP($B122,Insumo[],3,0),"")</f>
        <v>3496.5</v>
      </c>
      <c r="F122" s="33">
        <v>5</v>
      </c>
      <c r="G122" s="34">
        <f t="shared" si="1"/>
        <v>3671.3250000000003</v>
      </c>
      <c r="H122" s="43">
        <f>IFERROR(G122*E113,"")</f>
        <v>0</v>
      </c>
      <c r="I122" s="47"/>
    </row>
    <row r="123" spans="1:11">
      <c r="A123" s="28"/>
      <c r="B123" s="29" t="s">
        <v>2693</v>
      </c>
      <c r="C123" s="30" t="str">
        <f>IFERROR(VLOOKUP($B123,Insumo[],2,0),"")</f>
        <v>M</v>
      </c>
      <c r="D123" s="150">
        <v>1</v>
      </c>
      <c r="E123" s="32">
        <f>IFERROR(VLOOKUP($B123,Insumo[],3,0),"")</f>
        <v>2573.5500000000002</v>
      </c>
      <c r="F123" s="33">
        <v>5</v>
      </c>
      <c r="G123" s="34">
        <f t="shared" si="1"/>
        <v>2702.2275000000004</v>
      </c>
      <c r="H123" s="43">
        <f>IFERROR(G123*E113,"")</f>
        <v>0</v>
      </c>
      <c r="I123" s="47"/>
    </row>
    <row r="124" spans="1:11">
      <c r="A124" s="28"/>
      <c r="B124" s="29" t="s">
        <v>3011</v>
      </c>
      <c r="C124" s="30" t="str">
        <f>IFERROR(VLOOKUP($B124,Insumo[],2,0),"")</f>
        <v>Un</v>
      </c>
      <c r="D124" s="146">
        <v>0.1</v>
      </c>
      <c r="E124" s="32">
        <f>IFERROR(VLOOKUP($B124,Insumo[],3,0),"")</f>
        <v>8325.4500000000007</v>
      </c>
      <c r="F124" s="33"/>
      <c r="G124" s="34">
        <f t="shared" si="1"/>
        <v>832.54500000000007</v>
      </c>
      <c r="H124" s="43">
        <f>IFERROR(G124*E113,"")</f>
        <v>0</v>
      </c>
      <c r="I124" s="47"/>
    </row>
    <row r="125" spans="1:11">
      <c r="A125" s="28"/>
      <c r="B125" s="29" t="s">
        <v>3396</v>
      </c>
      <c r="C125" s="30" t="str">
        <f>IFERROR(VLOOKUP($B125,Insumo[],2,0),"")</f>
        <v>Un</v>
      </c>
      <c r="D125" s="146">
        <v>0.2</v>
      </c>
      <c r="E125" s="32">
        <f>IFERROR(VLOOKUP($B125,Insumo[],3,0),"")</f>
        <v>6016.5</v>
      </c>
      <c r="F125" s="33"/>
      <c r="G125" s="34">
        <f t="shared" si="1"/>
        <v>1203.3</v>
      </c>
      <c r="H125" s="43">
        <f>IFERROR(G125*E113,"")</f>
        <v>0</v>
      </c>
      <c r="I125" s="47"/>
    </row>
    <row r="126" spans="1:11">
      <c r="A126" s="28"/>
      <c r="B126" s="29" t="s">
        <v>2807</v>
      </c>
      <c r="C126" s="30" t="str">
        <f>IFERROR(VLOOKUP($B126,Insumo[],2,0),"")</f>
        <v xml:space="preserve"> Un </v>
      </c>
      <c r="D126" s="146">
        <v>0.3</v>
      </c>
      <c r="E126" s="32">
        <f>IFERROR(VLOOKUP($B126,Insumo[],3,0),"")</f>
        <v>2841.3</v>
      </c>
      <c r="F126" s="33"/>
      <c r="G126" s="34">
        <f t="shared" si="1"/>
        <v>852.39</v>
      </c>
      <c r="H126" s="43">
        <f>IFERROR(G126*E113,"")</f>
        <v>0</v>
      </c>
      <c r="I126" s="47"/>
    </row>
    <row r="127" spans="1:11">
      <c r="A127" s="28"/>
      <c r="B127" s="29" t="s">
        <v>2750</v>
      </c>
      <c r="C127" s="30" t="str">
        <f>IFERROR(VLOOKUP($B127,Insumo[],2,0),"")</f>
        <v>Un</v>
      </c>
      <c r="D127" s="146">
        <v>0.1</v>
      </c>
      <c r="E127" s="32">
        <f>IFERROR(VLOOKUP($B127,Insumo[],3,0),"")</f>
        <v>13526.1</v>
      </c>
      <c r="F127" s="33"/>
      <c r="G127" s="34">
        <f t="shared" si="1"/>
        <v>1352.6100000000001</v>
      </c>
      <c r="H127" s="43">
        <f>IFERROR(G127*E113,"")</f>
        <v>0</v>
      </c>
      <c r="I127" s="47"/>
    </row>
    <row r="128" spans="1:11">
      <c r="A128" s="28"/>
      <c r="B128" s="29" t="s">
        <v>2820</v>
      </c>
      <c r="C128" s="30" t="str">
        <f>IFERROR(VLOOKUP($B128,Insumo[],2,0),"")</f>
        <v>Un</v>
      </c>
      <c r="D128" s="146">
        <v>0.02</v>
      </c>
      <c r="E128" s="32">
        <f>IFERROR(VLOOKUP($B128,Insumo[],3,0),"")</f>
        <v>42275.1</v>
      </c>
      <c r="F128" s="33"/>
      <c r="G128" s="34">
        <f t="shared" si="1"/>
        <v>845.50199999999995</v>
      </c>
      <c r="H128" s="43">
        <f>IFERROR(G128*E113,"")</f>
        <v>0</v>
      </c>
      <c r="I128" s="47"/>
    </row>
    <row r="129" spans="1:11">
      <c r="A129" s="21"/>
      <c r="B129" s="22" t="s">
        <v>3731</v>
      </c>
      <c r="C129" s="23"/>
      <c r="D129" s="151"/>
      <c r="E129" s="25"/>
      <c r="F129" s="26"/>
      <c r="G129" s="27">
        <f>SUM(G130:G132)</f>
        <v>7754.9718554100018</v>
      </c>
      <c r="H129" s="44">
        <f>G129*E113</f>
        <v>0</v>
      </c>
    </row>
    <row r="130" spans="1:11">
      <c r="A130" s="28"/>
      <c r="B130" s="29" t="s">
        <v>3570</v>
      </c>
      <c r="C130" s="30" t="str">
        <f>IFERROR(VLOOKUP($B130,Equipo[],2,0),"")</f>
        <v>%MO</v>
      </c>
      <c r="D130" s="146">
        <v>0.04</v>
      </c>
      <c r="E130" s="32">
        <f>IF(C130="%MO",G136,IFERROR(VLOOKUP($B130,Equipo[],3,0),""))</f>
        <v>86166.353949000011</v>
      </c>
      <c r="F130" s="33"/>
      <c r="G130" s="34">
        <f>IFERROR(IF(F130&gt;=0,D130*E130*(1+F130/100),ABS(D130*E130/F130)),"")</f>
        <v>3446.6541579600007</v>
      </c>
      <c r="H130" s="43">
        <f>IFERROR(G130*E113,"")</f>
        <v>0</v>
      </c>
    </row>
    <row r="131" spans="1:11">
      <c r="A131" s="28"/>
      <c r="B131" s="29" t="s">
        <v>3626</v>
      </c>
      <c r="C131" s="30" t="str">
        <f>IFERROR(VLOOKUP($B131,Equipo[],2,0),"")</f>
        <v>%MO</v>
      </c>
      <c r="D131" s="146">
        <v>0.05</v>
      </c>
      <c r="E131" s="32">
        <f>IF(C131="%MO",G136,IFERROR(VLOOKUP($B131,Equipo[],3,0),""))</f>
        <v>86166.353949000011</v>
      </c>
      <c r="F131" s="33"/>
      <c r="G131" s="34">
        <f>IFERROR(IF(F131&gt;=0,D131*E131*(1+F131/100),ABS(D131*E131/F131)),"")</f>
        <v>4308.3176974500011</v>
      </c>
      <c r="H131" s="43">
        <f>IFERROR(G131*E113,"")</f>
        <v>0</v>
      </c>
    </row>
    <row r="132" spans="1:11">
      <c r="A132" s="28"/>
      <c r="B132" s="29"/>
      <c r="C132" s="30" t="str">
        <f>IFERROR(VLOOKUP($B132,Equipo[],2,0),"")</f>
        <v/>
      </c>
      <c r="D132" s="146"/>
      <c r="E132" s="32" t="str">
        <f>IF(C132="%MO",G136,IFERROR(VLOOKUP($B132,Equipo[],3,0),""))</f>
        <v/>
      </c>
      <c r="F132" s="33"/>
      <c r="G132" s="34" t="str">
        <f>IFERROR(IF(F132&gt;=0,D132*E132*(1+F132/100),ABS(D132*E132/F132)),"")</f>
        <v/>
      </c>
      <c r="H132" s="43" t="str">
        <f>IFERROR(G132*E113,"")</f>
        <v/>
      </c>
    </row>
    <row r="133" spans="1:11">
      <c r="A133" s="21"/>
      <c r="B133" s="22" t="s">
        <v>2533</v>
      </c>
      <c r="C133" s="23"/>
      <c r="D133" s="151"/>
      <c r="E133" s="25"/>
      <c r="F133" s="26"/>
      <c r="G133" s="27">
        <f>SUM(G134:G135)</f>
        <v>2914.6950000000002</v>
      </c>
      <c r="H133" s="44">
        <f>G133*E113</f>
        <v>0</v>
      </c>
    </row>
    <row r="134" spans="1:11">
      <c r="A134" s="28"/>
      <c r="B134" s="29" t="s">
        <v>3664</v>
      </c>
      <c r="C134" s="30" t="str">
        <f>IFERROR(VLOOKUP($B134,Transporte[],2,0),"")</f>
        <v>M3-km</v>
      </c>
      <c r="D134" s="146">
        <f>0.05*38</f>
        <v>1.9000000000000001</v>
      </c>
      <c r="E134" s="32">
        <f>IFERROR(VLOOKUP($B134,Transporte[],3,0),"")</f>
        <v>1534.05</v>
      </c>
      <c r="F134" s="33"/>
      <c r="G134" s="34">
        <f>IFERROR(IF(F134&gt;=0,D134*E134*(1+F134/100),ABS(D134*E134/F134)),"")</f>
        <v>2914.6950000000002</v>
      </c>
      <c r="H134" s="43">
        <f>IFERROR(G134*E113,"")</f>
        <v>0</v>
      </c>
    </row>
    <row r="135" spans="1:11">
      <c r="A135" s="28"/>
      <c r="B135" s="29"/>
      <c r="C135" s="30" t="str">
        <f>IFERROR(VLOOKUP($B135,Transporte[],2,0),"")</f>
        <v/>
      </c>
      <c r="D135" s="146"/>
      <c r="E135" s="32" t="str">
        <f>IFERROR(VLOOKUP($B135,Transporte[],3,0),"")</f>
        <v/>
      </c>
      <c r="F135" s="33"/>
      <c r="G135" s="34" t="str">
        <f>IFERROR(IF(F135&gt;=0,D135*E135*(1+F135/100),ABS(D135*E135/F135)),"")</f>
        <v/>
      </c>
      <c r="H135" s="43" t="str">
        <f>IFERROR(G135*E113,"")</f>
        <v/>
      </c>
    </row>
    <row r="136" spans="1:11">
      <c r="A136" s="21"/>
      <c r="B136" s="22" t="s">
        <v>3732</v>
      </c>
      <c r="C136" s="23"/>
      <c r="D136" s="151"/>
      <c r="E136" s="25"/>
      <c r="F136" s="26"/>
      <c r="G136" s="27">
        <f>SUM(G137:G139)</f>
        <v>86166.353949000011</v>
      </c>
      <c r="H136" s="44">
        <f>G136*E113</f>
        <v>0</v>
      </c>
    </row>
    <row r="137" spans="1:11">
      <c r="A137" s="28"/>
      <c r="B137" s="29" t="s">
        <v>3711</v>
      </c>
      <c r="C137" s="30" t="str">
        <f>IFERROR(VLOOKUP($B137,MObra[],2,0),"")</f>
        <v>día</v>
      </c>
      <c r="D137" s="150">
        <v>1</v>
      </c>
      <c r="E137" s="32">
        <f>IFERROR(VLOOKUP($B137,MObra[],3,0),"")</f>
        <v>430831.76974500006</v>
      </c>
      <c r="F137" s="33">
        <v>-5</v>
      </c>
      <c r="G137" s="34">
        <f>IFERROR(IF(F137&gt;=0,D137*E137*(1+F137/100),ABS(D137*E137/F137)),"")</f>
        <v>86166.353949000011</v>
      </c>
      <c r="H137" s="43">
        <f>IFERROR(G137*E113,"")</f>
        <v>0</v>
      </c>
    </row>
    <row r="138" spans="1:11">
      <c r="A138" s="28"/>
      <c r="B138" s="29"/>
      <c r="C138" s="30" t="str">
        <f>IFERROR(VLOOKUP($B138,MObra[],2,0),"")</f>
        <v/>
      </c>
      <c r="D138" s="150"/>
      <c r="E138" s="32" t="str">
        <f>IFERROR(VLOOKUP($B138,MObra[],3,0),"")</f>
        <v/>
      </c>
      <c r="F138" s="33"/>
      <c r="G138" s="34" t="str">
        <f>IFERROR(IF(F138&gt;=0,D138*E138*(1+F138/100),ABS(D138*E138/F138)),"")</f>
        <v/>
      </c>
      <c r="H138" s="43" t="str">
        <f>IFERROR(G138*E113,"")</f>
        <v/>
      </c>
    </row>
    <row r="139" spans="1:11">
      <c r="A139" s="35"/>
      <c r="B139" s="36"/>
      <c r="C139" s="37" t="str">
        <f>IFERROR(VLOOKUP($B139,MObra[],2,0),"")</f>
        <v/>
      </c>
      <c r="D139" s="148"/>
      <c r="E139" s="39" t="str">
        <f>IFERROR(VLOOKUP($B139,MObra[],3,0),"")</f>
        <v/>
      </c>
      <c r="F139" s="40"/>
      <c r="G139" s="41" t="str">
        <f>IFERROR(IF(F139&gt;=0,D139*E139*(1+F139/100),ABS(D139*E139/F139)),"")</f>
        <v/>
      </c>
      <c r="H139" s="42" t="str">
        <f>IFERROR(G139*E113,"")</f>
        <v/>
      </c>
    </row>
    <row r="141" spans="1:11">
      <c r="A141" s="6" t="s">
        <v>28</v>
      </c>
      <c r="B141" s="7" t="str">
        <f>VLOOKUP($A141,Presupuesto!$A:$D,2,FALSE())</f>
        <v>Cerramiento guadua + alambre Púa 7 H=1.8 m</v>
      </c>
      <c r="C141" s="8" t="str">
        <f>VLOOKUP($A141,Presupuesto!$A:$D,3,FALSE())</f>
        <v>M</v>
      </c>
      <c r="D141" s="9"/>
      <c r="E141" s="147">
        <f>VLOOKUP($A141,Presupuesto!$A:$D,4,FALSE())</f>
        <v>0</v>
      </c>
      <c r="F141" s="11" t="s">
        <v>2589</v>
      </c>
      <c r="G141" s="12">
        <f>SUM(G143:G159)/2</f>
        <v>28485.567257772862</v>
      </c>
      <c r="H141" s="13">
        <f>ROUND(SUM(H143:H159),0)/2</f>
        <v>0</v>
      </c>
      <c r="I141" s="10">
        <f>VLOOKUP(A141,Presupuesto!$A:$F,6,0)</f>
        <v>0</v>
      </c>
      <c r="J141" s="10">
        <f>+H141-I141</f>
        <v>0</v>
      </c>
      <c r="K141" s="46">
        <f>+H141-G141*E141</f>
        <v>0</v>
      </c>
    </row>
    <row r="142" spans="1:11">
      <c r="A142" s="14"/>
      <c r="B142" s="15" t="s">
        <v>2586</v>
      </c>
      <c r="C142" s="15" t="s">
        <v>5</v>
      </c>
      <c r="D142" s="16" t="s">
        <v>6</v>
      </c>
      <c r="E142" s="17" t="s">
        <v>7</v>
      </c>
      <c r="F142" s="18" t="s">
        <v>3728</v>
      </c>
      <c r="G142" s="19" t="s">
        <v>3729</v>
      </c>
      <c r="H142" s="20" t="s">
        <v>3797</v>
      </c>
    </row>
    <row r="143" spans="1:11">
      <c r="A143" s="21"/>
      <c r="B143" s="22" t="s">
        <v>3730</v>
      </c>
      <c r="C143" s="23"/>
      <c r="D143" s="24"/>
      <c r="E143" s="25"/>
      <c r="F143" s="26"/>
      <c r="G143" s="27">
        <f>SUM(G144:G148)</f>
        <v>15068.235000000001</v>
      </c>
      <c r="H143" s="27">
        <f>IFERROR(G143*E141,"")</f>
        <v>0</v>
      </c>
    </row>
    <row r="144" spans="1:11">
      <c r="A144" s="28"/>
      <c r="B144" s="29" t="s">
        <v>2991</v>
      </c>
      <c r="C144" s="30" t="str">
        <f>IFERROR(VLOOKUP($B144,Insumo[],2,0),"")</f>
        <v>Un</v>
      </c>
      <c r="D144" s="146">
        <v>0.5</v>
      </c>
      <c r="E144" s="32">
        <f>IFERROR(VLOOKUP($B144,Insumo[],3,0),"")</f>
        <v>10798.2</v>
      </c>
      <c r="F144" s="33"/>
      <c r="G144" s="34">
        <f>IFERROR(IF(F144&gt;=0,D144*E144*(1+F144/100),ABS(D144*E144/F144)),"")</f>
        <v>5399.1</v>
      </c>
      <c r="H144" s="43">
        <f>IFERROR(G144*E141,"")</f>
        <v>0</v>
      </c>
    </row>
    <row r="145" spans="1:8">
      <c r="A145" s="28"/>
      <c r="B145" s="29" t="s">
        <v>2982</v>
      </c>
      <c r="C145" s="30" t="str">
        <f>IFERROR(VLOOKUP($B145,Insumo[],2,0),"")</f>
        <v>Kg</v>
      </c>
      <c r="D145" s="146">
        <v>0.3</v>
      </c>
      <c r="E145" s="32">
        <f>IFERROR(VLOOKUP($B145,Insumo[],3,0),"")</f>
        <v>12042.45</v>
      </c>
      <c r="F145" s="33"/>
      <c r="G145" s="34">
        <f>IFERROR(IF(F145&gt;=0,D145*E145*(1+F145/100),ABS(D145*E145/F145)),"")</f>
        <v>3612.7350000000001</v>
      </c>
      <c r="H145" s="43">
        <f>IFERROR(G145*E141,"")</f>
        <v>0</v>
      </c>
    </row>
    <row r="146" spans="1:8">
      <c r="A146" s="28"/>
      <c r="B146" s="29" t="s">
        <v>2694</v>
      </c>
      <c r="C146" s="30" t="str">
        <f>IFERROR(VLOOKUP($B146,Insumo[],2,0),"")</f>
        <v>M</v>
      </c>
      <c r="D146" s="150">
        <v>7</v>
      </c>
      <c r="E146" s="32">
        <f>IFERROR(VLOOKUP($B146,Insumo[],3,0),"")</f>
        <v>865.2</v>
      </c>
      <c r="F146" s="33"/>
      <c r="G146" s="34">
        <f>IFERROR(IF(F146&gt;=0,D146*E146*(1+F146/100),ABS(D146*E146/F146)),"")</f>
        <v>6056.4000000000005</v>
      </c>
      <c r="H146" s="43">
        <f>IFERROR(G146*E141,"")</f>
        <v>0</v>
      </c>
    </row>
    <row r="147" spans="1:8">
      <c r="A147" s="28"/>
      <c r="B147" s="29"/>
      <c r="C147" s="30" t="str">
        <f>IFERROR(VLOOKUP($B147,Insumo[],2,0),"")</f>
        <v/>
      </c>
      <c r="D147" s="150"/>
      <c r="E147" s="32" t="str">
        <f>IFERROR(VLOOKUP($B147,Insumo[],3,0),"")</f>
        <v/>
      </c>
      <c r="F147" s="33"/>
      <c r="G147" s="34" t="str">
        <f>IFERROR(IF(F147&gt;=0,D147*E147*(1+F147/100),ABS(D147*E147/F147)),"")</f>
        <v/>
      </c>
      <c r="H147" s="43" t="str">
        <f>IFERROR(G147*E141,"")</f>
        <v/>
      </c>
    </row>
    <row r="148" spans="1:8">
      <c r="A148" s="28"/>
      <c r="B148" s="29"/>
      <c r="C148" s="30" t="str">
        <f>IFERROR(VLOOKUP($B148,Insumo[],2,0),"")</f>
        <v/>
      </c>
      <c r="D148" s="146"/>
      <c r="E148" s="32" t="str">
        <f>IFERROR(VLOOKUP($B148,Insumo[],3,0),"")</f>
        <v/>
      </c>
      <c r="F148" s="33"/>
      <c r="G148" s="34" t="str">
        <f>IFERROR(IF(F148&gt;=0,D148*E148*(1+F148/100),ABS(D148*E148/F148)),"")</f>
        <v/>
      </c>
      <c r="H148" s="43" t="str">
        <f>IFERROR(G148*E141,"")</f>
        <v/>
      </c>
    </row>
    <row r="149" spans="1:8">
      <c r="A149" s="21"/>
      <c r="B149" s="22" t="s">
        <v>3731</v>
      </c>
      <c r="C149" s="23"/>
      <c r="D149" s="151"/>
      <c r="E149" s="25"/>
      <c r="F149" s="26"/>
      <c r="G149" s="27">
        <f>SUM(G150:G152)</f>
        <v>1107.8531222014287</v>
      </c>
      <c r="H149" s="44">
        <f>G149*E141</f>
        <v>0</v>
      </c>
    </row>
    <row r="150" spans="1:8">
      <c r="A150" s="28"/>
      <c r="B150" s="29" t="s">
        <v>3570</v>
      </c>
      <c r="C150" s="30" t="str">
        <f>IFERROR(VLOOKUP($B150,Equipo[],2,0),"")</f>
        <v>%MO</v>
      </c>
      <c r="D150" s="146">
        <v>0.04</v>
      </c>
      <c r="E150" s="32">
        <f>IF(C150="%MO",G156,IFERROR(VLOOKUP($B150,Equipo[],3,0),""))</f>
        <v>12309.47913557143</v>
      </c>
      <c r="F150" s="33"/>
      <c r="G150" s="34">
        <f>IFERROR(IF(F150&gt;=0,D150*E150*(1+F150/100),ABS(D150*E150/F150)),"")</f>
        <v>492.37916542285717</v>
      </c>
      <c r="H150" s="43">
        <f>IFERROR(G150*E141,"")</f>
        <v>0</v>
      </c>
    </row>
    <row r="151" spans="1:8">
      <c r="A151" s="28"/>
      <c r="B151" s="29" t="s">
        <v>3626</v>
      </c>
      <c r="C151" s="30" t="str">
        <f>IFERROR(VLOOKUP($B151,Equipo[],2,0),"")</f>
        <v>%MO</v>
      </c>
      <c r="D151" s="146">
        <v>0.05</v>
      </c>
      <c r="E151" s="32">
        <f>IF(C151="%MO",G156,IFERROR(VLOOKUP($B151,Equipo[],3,0),""))</f>
        <v>12309.47913557143</v>
      </c>
      <c r="F151" s="33"/>
      <c r="G151" s="34">
        <f>IFERROR(IF(F151&gt;=0,D151*E151*(1+F151/100),ABS(D151*E151/F151)),"")</f>
        <v>615.47395677857151</v>
      </c>
      <c r="H151" s="43">
        <f>IFERROR(G151*E141,"")</f>
        <v>0</v>
      </c>
    </row>
    <row r="152" spans="1:8">
      <c r="A152" s="28"/>
      <c r="B152" s="29"/>
      <c r="C152" s="30" t="str">
        <f>IFERROR(VLOOKUP($B152,Equipo[],2,0),"")</f>
        <v/>
      </c>
      <c r="D152" s="146"/>
      <c r="E152" s="32" t="str">
        <f>IF(C152="%MO",G156,IFERROR(VLOOKUP($B152,Equipo[],3,0),""))</f>
        <v/>
      </c>
      <c r="F152" s="33"/>
      <c r="G152" s="34" t="str">
        <f>IFERROR(IF(F152&gt;=0,D152*E152*(1+F152/100),ABS(D152*E152/F152)),"")</f>
        <v/>
      </c>
      <c r="H152" s="43" t="str">
        <f>IFERROR(G152*E141,"")</f>
        <v/>
      </c>
    </row>
    <row r="153" spans="1:8">
      <c r="A153" s="21"/>
      <c r="B153" s="22" t="s">
        <v>2533</v>
      </c>
      <c r="C153" s="23"/>
      <c r="D153" s="151"/>
      <c r="E153" s="25"/>
      <c r="F153" s="26"/>
      <c r="G153" s="27">
        <f>SUM(G154:G155)</f>
        <v>0</v>
      </c>
      <c r="H153" s="44">
        <f>G153*E141</f>
        <v>0</v>
      </c>
    </row>
    <row r="154" spans="1:8">
      <c r="A154" s="28"/>
      <c r="B154" s="29"/>
      <c r="C154" s="30" t="str">
        <f>IFERROR(VLOOKUP($B154,Transporte[],2,0),"")</f>
        <v/>
      </c>
      <c r="D154" s="146"/>
      <c r="E154" s="32" t="str">
        <f>IFERROR(VLOOKUP($B154,Transporte[],3,0),"")</f>
        <v/>
      </c>
      <c r="F154" s="33"/>
      <c r="G154" s="34" t="str">
        <f>IFERROR(IF(F154&gt;=0,D154*E154*(1+F154/100),ABS(D154*E154/F154)),"")</f>
        <v/>
      </c>
      <c r="H154" s="43" t="str">
        <f>IFERROR(G154*E141,"")</f>
        <v/>
      </c>
    </row>
    <row r="155" spans="1:8">
      <c r="A155" s="28"/>
      <c r="B155" s="29"/>
      <c r="C155" s="30" t="str">
        <f>IFERROR(VLOOKUP($B155,Transporte[],2,0),"")</f>
        <v/>
      </c>
      <c r="D155" s="146"/>
      <c r="E155" s="32" t="str">
        <f>IFERROR(VLOOKUP($B155,Transporte[],3,0),"")</f>
        <v/>
      </c>
      <c r="F155" s="33"/>
      <c r="G155" s="34" t="str">
        <f>IFERROR(IF(F155&gt;=0,D155*E155*(1+F155/100),ABS(D155*E155/F155)),"")</f>
        <v/>
      </c>
      <c r="H155" s="43" t="str">
        <f>IFERROR(G155*E141,"")</f>
        <v/>
      </c>
    </row>
    <row r="156" spans="1:8">
      <c r="A156" s="21"/>
      <c r="B156" s="22" t="s">
        <v>3732</v>
      </c>
      <c r="C156" s="23"/>
      <c r="D156" s="151"/>
      <c r="E156" s="25"/>
      <c r="F156" s="26"/>
      <c r="G156" s="27">
        <f>SUM(G157:G159)</f>
        <v>12309.47913557143</v>
      </c>
      <c r="H156" s="44">
        <f>G156*E141</f>
        <v>0</v>
      </c>
    </row>
    <row r="157" spans="1:8">
      <c r="A157" s="28"/>
      <c r="B157" s="29" t="s">
        <v>3711</v>
      </c>
      <c r="C157" s="30" t="str">
        <f>IFERROR(VLOOKUP($B157,MObra[],2,0),"")</f>
        <v>día</v>
      </c>
      <c r="D157" s="150">
        <v>1</v>
      </c>
      <c r="E157" s="32">
        <f>IFERROR(VLOOKUP($B157,MObra[],3,0),"")</f>
        <v>430831.76974500006</v>
      </c>
      <c r="F157" s="33">
        <v>-35</v>
      </c>
      <c r="G157" s="34">
        <f>IFERROR(IF(F157&gt;=0,D157*E157*(1+F157/100),ABS(D157*E157/F157)),"")</f>
        <v>12309.47913557143</v>
      </c>
      <c r="H157" s="43">
        <f>IFERROR(G157*E141,"")</f>
        <v>0</v>
      </c>
    </row>
    <row r="158" spans="1:8">
      <c r="A158" s="28"/>
      <c r="B158" s="29"/>
      <c r="C158" s="30" t="str">
        <f>IFERROR(VLOOKUP($B158,MObra[],2,0),"")</f>
        <v/>
      </c>
      <c r="D158" s="150"/>
      <c r="E158" s="32" t="str">
        <f>IFERROR(VLOOKUP($B158,MObra[],3,0),"")</f>
        <v/>
      </c>
      <c r="F158" s="33"/>
      <c r="G158" s="34" t="str">
        <f>IFERROR(IF(F158&gt;=0,D158*E158*(1+F158/100),ABS(D158*E158/F158)),"")</f>
        <v/>
      </c>
      <c r="H158" s="43" t="str">
        <f>IFERROR(G158*E141,"")</f>
        <v/>
      </c>
    </row>
    <row r="159" spans="1:8">
      <c r="A159" s="35"/>
      <c r="B159" s="36"/>
      <c r="C159" s="37" t="str">
        <f>IFERROR(VLOOKUP($B159,MObra[],2,0),"")</f>
        <v/>
      </c>
      <c r="D159" s="148"/>
      <c r="E159" s="39" t="str">
        <f>IFERROR(VLOOKUP($B159,MObra[],3,0),"")</f>
        <v/>
      </c>
      <c r="F159" s="40"/>
      <c r="G159" s="41" t="str">
        <f>IFERROR(IF(F159&gt;=0,D159*E159*(1+F159/100),ABS(D159*E159/F159)),"")</f>
        <v/>
      </c>
      <c r="H159" s="42" t="str">
        <f>IFERROR(G159*E141,"")</f>
        <v/>
      </c>
    </row>
    <row r="161" spans="1:11">
      <c r="A161" s="6" t="s">
        <v>31</v>
      </c>
      <c r="B161" s="7" t="str">
        <f>VLOOKUP($A161,Presupuesto!$A:$D,2,FALSE())</f>
        <v>Cerramiento guadua + alambre Púa 7 H=2.2 m</v>
      </c>
      <c r="C161" s="8" t="str">
        <f>VLOOKUP($A161,Presupuesto!$A:$D,3,FALSE())</f>
        <v>M</v>
      </c>
      <c r="D161" s="9"/>
      <c r="E161" s="147">
        <f>VLOOKUP($A161,Presupuesto!$A:$D,4,FALSE())</f>
        <v>0</v>
      </c>
      <c r="F161" s="11" t="s">
        <v>2589</v>
      </c>
      <c r="G161" s="12">
        <f>SUM(G163:G179)/2</f>
        <v>30502.983909759092</v>
      </c>
      <c r="H161" s="13">
        <f>ROUND(SUM(H163:H179),0)/2</f>
        <v>0</v>
      </c>
      <c r="I161" s="10">
        <f>VLOOKUP(A161,Presupuesto!$A:$F,6,0)</f>
        <v>0</v>
      </c>
      <c r="J161" s="10">
        <f>+H161-I161</f>
        <v>0</v>
      </c>
      <c r="K161" s="46">
        <f>+H161-G161*E161</f>
        <v>0</v>
      </c>
    </row>
    <row r="162" spans="1:11">
      <c r="A162" s="14"/>
      <c r="B162" s="15" t="s">
        <v>2586</v>
      </c>
      <c r="C162" s="15" t="s">
        <v>5</v>
      </c>
      <c r="D162" s="16" t="s">
        <v>6</v>
      </c>
      <c r="E162" s="17" t="s">
        <v>7</v>
      </c>
      <c r="F162" s="18" t="s">
        <v>3728</v>
      </c>
      <c r="G162" s="19" t="s">
        <v>3729</v>
      </c>
      <c r="H162" s="20" t="s">
        <v>3797</v>
      </c>
    </row>
    <row r="163" spans="1:11">
      <c r="A163" s="21"/>
      <c r="B163" s="22" t="s">
        <v>3730</v>
      </c>
      <c r="C163" s="23"/>
      <c r="D163" s="24"/>
      <c r="E163" s="25"/>
      <c r="F163" s="26"/>
      <c r="G163" s="27">
        <f>SUM(G164:G168)</f>
        <v>16272.480000000003</v>
      </c>
      <c r="H163" s="27">
        <f>IFERROR(G163*E161,"")</f>
        <v>0</v>
      </c>
    </row>
    <row r="164" spans="1:11">
      <c r="A164" s="28"/>
      <c r="B164" s="29" t="s">
        <v>2991</v>
      </c>
      <c r="C164" s="30" t="str">
        <f>IFERROR(VLOOKUP($B164,Insumo[],2,0),"")</f>
        <v>Un</v>
      </c>
      <c r="D164" s="146">
        <v>0.5</v>
      </c>
      <c r="E164" s="32">
        <f>IFERROR(VLOOKUP($B164,Insumo[],3,0),"")</f>
        <v>10798.2</v>
      </c>
      <c r="F164" s="33"/>
      <c r="G164" s="34">
        <f>IFERROR(IF(F164&gt;=0,D164*E164*(1+F164/100),ABS(D164*E164/F164)),"")</f>
        <v>5399.1</v>
      </c>
      <c r="H164" s="43">
        <f>IFERROR(G164*E161,"")</f>
        <v>0</v>
      </c>
    </row>
    <row r="165" spans="1:11">
      <c r="A165" s="28"/>
      <c r="B165" s="29" t="s">
        <v>2982</v>
      </c>
      <c r="C165" s="30" t="str">
        <f>IFERROR(VLOOKUP($B165,Insumo[],2,0),"")</f>
        <v>Kg</v>
      </c>
      <c r="D165" s="146">
        <v>0.4</v>
      </c>
      <c r="E165" s="32">
        <f>IFERROR(VLOOKUP($B165,Insumo[],3,0),"")</f>
        <v>12042.45</v>
      </c>
      <c r="F165" s="33"/>
      <c r="G165" s="34">
        <f>IFERROR(IF(F165&gt;=0,D165*E165*(1+F165/100),ABS(D165*E165/F165)),"")</f>
        <v>4816.9800000000005</v>
      </c>
      <c r="H165" s="43">
        <f>IFERROR(G165*E161,"")</f>
        <v>0</v>
      </c>
    </row>
    <row r="166" spans="1:11">
      <c r="A166" s="28"/>
      <c r="B166" s="29" t="s">
        <v>2694</v>
      </c>
      <c r="C166" s="30" t="str">
        <f>IFERROR(VLOOKUP($B166,Insumo[],2,0),"")</f>
        <v>M</v>
      </c>
      <c r="D166" s="150">
        <v>7</v>
      </c>
      <c r="E166" s="32">
        <f>IFERROR(VLOOKUP($B166,Insumo[],3,0),"")</f>
        <v>865.2</v>
      </c>
      <c r="F166" s="33"/>
      <c r="G166" s="34">
        <f>IFERROR(IF(F166&gt;=0,D166*E166*(1+F166/100),ABS(D166*E166/F166)),"")</f>
        <v>6056.4000000000005</v>
      </c>
      <c r="H166" s="43">
        <f>IFERROR(G166*E161,"")</f>
        <v>0</v>
      </c>
    </row>
    <row r="167" spans="1:11">
      <c r="A167" s="28"/>
      <c r="B167" s="29"/>
      <c r="C167" s="30" t="str">
        <f>IFERROR(VLOOKUP($B167,Insumo[],2,0),"")</f>
        <v/>
      </c>
      <c r="D167" s="150"/>
      <c r="E167" s="32" t="str">
        <f>IFERROR(VLOOKUP($B167,Insumo[],3,0),"")</f>
        <v/>
      </c>
      <c r="F167" s="33"/>
      <c r="G167" s="34" t="str">
        <f>IFERROR(IF(F167&gt;=0,D167*E167*(1+F167/100),ABS(D167*E167/F167)),"")</f>
        <v/>
      </c>
      <c r="H167" s="43" t="str">
        <f>IFERROR(G167*E161,"")</f>
        <v/>
      </c>
    </row>
    <row r="168" spans="1:11">
      <c r="A168" s="28"/>
      <c r="B168" s="29"/>
      <c r="C168" s="30" t="str">
        <f>IFERROR(VLOOKUP($B168,Insumo[],2,0),"")</f>
        <v/>
      </c>
      <c r="D168" s="150"/>
      <c r="E168" s="32" t="str">
        <f>IFERROR(VLOOKUP($B168,Insumo[],3,0),"")</f>
        <v/>
      </c>
      <c r="F168" s="33"/>
      <c r="G168" s="34" t="str">
        <f>IFERROR(IF(F168&gt;=0,D168*E168*(1+F168/100),ABS(D168*E168/F168)),"")</f>
        <v/>
      </c>
      <c r="H168" s="43" t="str">
        <f>IFERROR(G168*E161,"")</f>
        <v/>
      </c>
    </row>
    <row r="169" spans="1:11">
      <c r="A169" s="21"/>
      <c r="B169" s="22" t="s">
        <v>3731</v>
      </c>
      <c r="C169" s="23"/>
      <c r="D169" s="151"/>
      <c r="E169" s="25"/>
      <c r="F169" s="26"/>
      <c r="G169" s="27">
        <f>SUM(G170:G172)</f>
        <v>1174.9957356681819</v>
      </c>
      <c r="H169" s="44">
        <f>G169*E161</f>
        <v>0</v>
      </c>
    </row>
    <row r="170" spans="1:11">
      <c r="A170" s="28"/>
      <c r="B170" s="29" t="s">
        <v>3570</v>
      </c>
      <c r="C170" s="30" t="str">
        <f>IFERROR(VLOOKUP($B170,Equipo[],2,0),"")</f>
        <v>%MO</v>
      </c>
      <c r="D170" s="146">
        <v>0.04</v>
      </c>
      <c r="E170" s="32">
        <f>IF(C170="%MO",G176,IFERROR(VLOOKUP($B170,Equipo[],3,0),""))</f>
        <v>13055.50817409091</v>
      </c>
      <c r="F170" s="33"/>
      <c r="G170" s="34">
        <f>IFERROR(IF(F170&gt;=0,D170*E170*(1+F170/100),ABS(D170*E170/F170)),"")</f>
        <v>522.22032696363635</v>
      </c>
      <c r="H170" s="43">
        <f>IFERROR(G170*E161,"")</f>
        <v>0</v>
      </c>
    </row>
    <row r="171" spans="1:11">
      <c r="A171" s="28"/>
      <c r="B171" s="29" t="s">
        <v>3626</v>
      </c>
      <c r="C171" s="30" t="str">
        <f>IFERROR(VLOOKUP($B171,Equipo[],2,0),"")</f>
        <v>%MO</v>
      </c>
      <c r="D171" s="146">
        <v>0.05</v>
      </c>
      <c r="E171" s="32">
        <f>IF(C171="%MO",G176,IFERROR(VLOOKUP($B171,Equipo[],3,0),""))</f>
        <v>13055.50817409091</v>
      </c>
      <c r="F171" s="33"/>
      <c r="G171" s="34">
        <f>IFERROR(IF(F171&gt;=0,D171*E171*(1+F171/100),ABS(D171*E171/F171)),"")</f>
        <v>652.7754087045455</v>
      </c>
      <c r="H171" s="43">
        <f>IFERROR(G171*E161,"")</f>
        <v>0</v>
      </c>
    </row>
    <row r="172" spans="1:11">
      <c r="A172" s="28"/>
      <c r="B172" s="29"/>
      <c r="C172" s="30" t="str">
        <f>IFERROR(VLOOKUP($B172,Equipo[],2,0),"")</f>
        <v/>
      </c>
      <c r="D172" s="146"/>
      <c r="E172" s="32" t="str">
        <f>IF(C172="%MO",G176,IFERROR(VLOOKUP($B172,Equipo[],3,0),""))</f>
        <v/>
      </c>
      <c r="F172" s="33"/>
      <c r="G172" s="34" t="str">
        <f>IFERROR(IF(F172&gt;=0,D172*E172*(1+F172/100),ABS(D172*E172/F172)),"")</f>
        <v/>
      </c>
      <c r="H172" s="43" t="str">
        <f>IFERROR(G172*E161,"")</f>
        <v/>
      </c>
    </row>
    <row r="173" spans="1:11">
      <c r="A173" s="21"/>
      <c r="B173" s="22" t="s">
        <v>2533</v>
      </c>
      <c r="C173" s="23"/>
      <c r="D173" s="151"/>
      <c r="E173" s="25"/>
      <c r="F173" s="26"/>
      <c r="G173" s="27">
        <f>SUM(G174:G175)</f>
        <v>0</v>
      </c>
      <c r="H173" s="44">
        <f>G173*E161</f>
        <v>0</v>
      </c>
    </row>
    <row r="174" spans="1:11">
      <c r="A174" s="28"/>
      <c r="B174" s="29"/>
      <c r="C174" s="30" t="str">
        <f>IFERROR(VLOOKUP($B174,Transporte[],2,0),"")</f>
        <v/>
      </c>
      <c r="D174" s="146"/>
      <c r="E174" s="32" t="str">
        <f>IFERROR(VLOOKUP($B174,Transporte[],3,0),"")</f>
        <v/>
      </c>
      <c r="F174" s="33"/>
      <c r="G174" s="34" t="str">
        <f>IFERROR(IF(F174&gt;=0,D174*E174*(1+F174/100),ABS(D174*E174/F174)),"")</f>
        <v/>
      </c>
      <c r="H174" s="43" t="str">
        <f>IFERROR(G174*E161,"")</f>
        <v/>
      </c>
    </row>
    <row r="175" spans="1:11">
      <c r="A175" s="28"/>
      <c r="B175" s="29"/>
      <c r="C175" s="30" t="str">
        <f>IFERROR(VLOOKUP($B175,Transporte[],2,0),"")</f>
        <v/>
      </c>
      <c r="D175" s="146"/>
      <c r="E175" s="32" t="str">
        <f>IFERROR(VLOOKUP($B175,Transporte[],3,0),"")</f>
        <v/>
      </c>
      <c r="F175" s="33"/>
      <c r="G175" s="34" t="str">
        <f>IFERROR(IF(F175&gt;=0,D175*E175*(1+F175/100),ABS(D175*E175/F175)),"")</f>
        <v/>
      </c>
      <c r="H175" s="43" t="str">
        <f>IFERROR(G175*E161,"")</f>
        <v/>
      </c>
    </row>
    <row r="176" spans="1:11">
      <c r="A176" s="21"/>
      <c r="B176" s="22" t="s">
        <v>3732</v>
      </c>
      <c r="C176" s="23"/>
      <c r="D176" s="151"/>
      <c r="E176" s="25"/>
      <c r="F176" s="26"/>
      <c r="G176" s="27">
        <f>SUM(G177:G179)</f>
        <v>13055.50817409091</v>
      </c>
      <c r="H176" s="44">
        <f>G176*E161</f>
        <v>0</v>
      </c>
    </row>
    <row r="177" spans="1:11">
      <c r="A177" s="28"/>
      <c r="B177" s="29" t="s">
        <v>3711</v>
      </c>
      <c r="C177" s="30" t="str">
        <f>IFERROR(VLOOKUP($B177,MObra[],2,0),"")</f>
        <v>día</v>
      </c>
      <c r="D177" s="150">
        <v>1</v>
      </c>
      <c r="E177" s="32">
        <f>IFERROR(VLOOKUP($B177,MObra[],3,0),"")</f>
        <v>430831.76974500006</v>
      </c>
      <c r="F177" s="33">
        <v>-33</v>
      </c>
      <c r="G177" s="34">
        <f>IFERROR(IF(F177&gt;=0,D177*E177*(1+F177/100),ABS(D177*E177/F177)),"")</f>
        <v>13055.50817409091</v>
      </c>
      <c r="H177" s="43">
        <f>IFERROR(G177*E161,"")</f>
        <v>0</v>
      </c>
    </row>
    <row r="178" spans="1:11">
      <c r="A178" s="28"/>
      <c r="B178" s="29"/>
      <c r="C178" s="30" t="str">
        <f>IFERROR(VLOOKUP($B178,MObra[],2,0),"")</f>
        <v/>
      </c>
      <c r="D178" s="150"/>
      <c r="E178" s="32" t="str">
        <f>IFERROR(VLOOKUP($B178,MObra[],3,0),"")</f>
        <v/>
      </c>
      <c r="F178" s="33"/>
      <c r="G178" s="34" t="str">
        <f>IFERROR(IF(F178&gt;=0,D178*E178*(1+F178/100),ABS(D178*E178/F178)),"")</f>
        <v/>
      </c>
      <c r="H178" s="43" t="str">
        <f>IFERROR(G178*E161,"")</f>
        <v/>
      </c>
    </row>
    <row r="179" spans="1:11">
      <c r="A179" s="35"/>
      <c r="B179" s="36"/>
      <c r="C179" s="37" t="str">
        <f>IFERROR(VLOOKUP($B179,MObra[],2,0),"")</f>
        <v/>
      </c>
      <c r="D179" s="148"/>
      <c r="E179" s="39" t="str">
        <f>IFERROR(VLOOKUP($B179,MObra[],3,0),"")</f>
        <v/>
      </c>
      <c r="F179" s="40"/>
      <c r="G179" s="41" t="str">
        <f>IFERROR(IF(F179&gt;=0,D179*E179*(1+F179/100),ABS(D179*E179/F179)),"")</f>
        <v/>
      </c>
      <c r="H179" s="42" t="str">
        <f>IFERROR(G179*E161,"")</f>
        <v/>
      </c>
    </row>
    <row r="181" spans="1:11">
      <c r="A181" s="6" t="s">
        <v>33</v>
      </c>
      <c r="B181" s="7" t="str">
        <f>VLOOKUP($A181,Presupuesto!$A:$D,2,FALSE())</f>
        <v>Cerramiento guadua + esterilla H=1.8 m</v>
      </c>
      <c r="C181" s="8" t="str">
        <f>VLOOKUP($A181,Presupuesto!$A:$D,3,FALSE())</f>
        <v>M</v>
      </c>
      <c r="D181" s="9"/>
      <c r="E181" s="147">
        <f>VLOOKUP($A181,Presupuesto!$A:$D,4,FALSE())</f>
        <v>0</v>
      </c>
      <c r="F181" s="11" t="s">
        <v>2589</v>
      </c>
      <c r="G181" s="12">
        <f>SUM(G183:G199)/2</f>
        <v>45434.441800735003</v>
      </c>
      <c r="H181" s="13">
        <f>ROUND(SUM(H183:H199),0)/2</f>
        <v>0</v>
      </c>
      <c r="I181" s="10">
        <f>VLOOKUP(A181,Presupuesto!$A:$F,6,0)</f>
        <v>0</v>
      </c>
      <c r="J181" s="10">
        <f>+H181-I181</f>
        <v>0</v>
      </c>
      <c r="K181" s="46">
        <f>+H181-G181*E181</f>
        <v>0</v>
      </c>
    </row>
    <row r="182" spans="1:11">
      <c r="A182" s="14"/>
      <c r="B182" s="15" t="s">
        <v>2586</v>
      </c>
      <c r="C182" s="15" t="s">
        <v>5</v>
      </c>
      <c r="D182" s="16" t="s">
        <v>6</v>
      </c>
      <c r="E182" s="17" t="s">
        <v>7</v>
      </c>
      <c r="F182" s="18" t="s">
        <v>3728</v>
      </c>
      <c r="G182" s="19" t="s">
        <v>3729</v>
      </c>
      <c r="H182" s="20" t="s">
        <v>3797</v>
      </c>
    </row>
    <row r="183" spans="1:11">
      <c r="A183" s="21"/>
      <c r="B183" s="22" t="s">
        <v>3730</v>
      </c>
      <c r="C183" s="23"/>
      <c r="D183" s="24"/>
      <c r="E183" s="25"/>
      <c r="F183" s="26"/>
      <c r="G183" s="27">
        <f>SUM(G184:G188)</f>
        <v>29780.887500000004</v>
      </c>
      <c r="H183" s="27">
        <f>IFERROR(G183*E181,"")</f>
        <v>0</v>
      </c>
    </row>
    <row r="184" spans="1:11">
      <c r="A184" s="28"/>
      <c r="B184" s="29" t="s">
        <v>2991</v>
      </c>
      <c r="C184" s="30" t="str">
        <f>IFERROR(VLOOKUP($B184,Insumo[],2,0),"")</f>
        <v>Un</v>
      </c>
      <c r="D184" s="146">
        <v>0.5</v>
      </c>
      <c r="E184" s="32">
        <f>IFERROR(VLOOKUP($B184,Insumo[],3,0),"")</f>
        <v>10798.2</v>
      </c>
      <c r="F184" s="33"/>
      <c r="G184" s="34">
        <f>IFERROR(IF(F184&gt;=0,D184*E184*(1+F184/100),ABS(D184*E184/F184)),"")</f>
        <v>5399.1</v>
      </c>
      <c r="H184" s="43">
        <f>IFERROR(G184*E181,"")</f>
        <v>0</v>
      </c>
    </row>
    <row r="185" spans="1:11">
      <c r="A185" s="28"/>
      <c r="B185" s="29" t="s">
        <v>2945</v>
      </c>
      <c r="C185" s="30" t="str">
        <f>IFERROR(VLOOKUP($B185,Insumo[],2,0),"")</f>
        <v>Un</v>
      </c>
      <c r="D185" s="150">
        <v>2</v>
      </c>
      <c r="E185" s="32">
        <f>IFERROR(VLOOKUP($B185,Insumo[],3,0),"")</f>
        <v>11594.1</v>
      </c>
      <c r="F185" s="33"/>
      <c r="G185" s="34">
        <f>IFERROR(IF(F185&gt;=0,D185*E185*(1+F185/100),ABS(D185*E185/F185)),"")</f>
        <v>23188.2</v>
      </c>
      <c r="H185" s="43">
        <f>IFERROR(G185*E181,"")</f>
        <v>0</v>
      </c>
    </row>
    <row r="186" spans="1:11">
      <c r="A186" s="28"/>
      <c r="B186" s="29" t="s">
        <v>3253</v>
      </c>
      <c r="C186" s="30" t="str">
        <f>IFERROR(VLOOKUP($B186,Insumo[],2,0),"")</f>
        <v>Lb</v>
      </c>
      <c r="D186" s="152">
        <v>0.125</v>
      </c>
      <c r="E186" s="32">
        <f>IFERROR(VLOOKUP($B186,Insumo[],3,0),"")</f>
        <v>6482.7000000000007</v>
      </c>
      <c r="F186" s="33"/>
      <c r="G186" s="34">
        <f>IFERROR(IF(F186&gt;=0,D186*E186*(1+F186/100),ABS(D186*E186/F186)),"")</f>
        <v>810.33750000000009</v>
      </c>
      <c r="H186" s="43">
        <f>IFERROR(G186*E181,"")</f>
        <v>0</v>
      </c>
    </row>
    <row r="187" spans="1:11">
      <c r="A187" s="28"/>
      <c r="B187" s="29" t="s">
        <v>2699</v>
      </c>
      <c r="C187" s="30" t="str">
        <f>IFERROR(VLOOKUP($B187,Insumo[],2,0),"")</f>
        <v>Kg</v>
      </c>
      <c r="D187" s="146">
        <v>0.05</v>
      </c>
      <c r="E187" s="32">
        <f>IFERROR(VLOOKUP($B187,Insumo[],3,0),"")</f>
        <v>7665</v>
      </c>
      <c r="F187" s="33"/>
      <c r="G187" s="34">
        <f>IFERROR(IF(F187&gt;=0,D187*E187*(1+F187/100),ABS(D187*E187/F187)),"")</f>
        <v>383.25</v>
      </c>
      <c r="H187" s="43">
        <f>IFERROR(G187*E181,"")</f>
        <v>0</v>
      </c>
    </row>
    <row r="188" spans="1:11">
      <c r="A188" s="28"/>
      <c r="B188" s="29"/>
      <c r="C188" s="30" t="str">
        <f>IFERROR(VLOOKUP($B188,Insumo[],2,0),"")</f>
        <v/>
      </c>
      <c r="D188" s="146"/>
      <c r="E188" s="32" t="str">
        <f>IFERROR(VLOOKUP($B188,Insumo[],3,0),"")</f>
        <v/>
      </c>
      <c r="F188" s="33"/>
      <c r="G188" s="34" t="str">
        <f>IFERROR(IF(F188&gt;=0,D188*E188*(1+F188/100),ABS(D188*E188/F188)),"")</f>
        <v/>
      </c>
      <c r="H188" s="43" t="str">
        <f>IFERROR(G188*E181,"")</f>
        <v/>
      </c>
    </row>
    <row r="189" spans="1:11">
      <c r="A189" s="21"/>
      <c r="B189" s="22" t="s">
        <v>3731</v>
      </c>
      <c r="C189" s="23"/>
      <c r="D189" s="151"/>
      <c r="E189" s="25"/>
      <c r="F189" s="26"/>
      <c r="G189" s="27">
        <f>SUM(G190:G192)</f>
        <v>1292.4953092350001</v>
      </c>
      <c r="H189" s="44">
        <f>G189*E181</f>
        <v>0</v>
      </c>
    </row>
    <row r="190" spans="1:11">
      <c r="A190" s="28"/>
      <c r="B190" s="29" t="s">
        <v>3570</v>
      </c>
      <c r="C190" s="30" t="str">
        <f>IFERROR(VLOOKUP($B190,Equipo[],2,0),"")</f>
        <v>%MO</v>
      </c>
      <c r="D190" s="146">
        <v>0.04</v>
      </c>
      <c r="E190" s="32">
        <f>IF(C190="%MO",G196,IFERROR(VLOOKUP($B190,Equipo[],3,0),""))</f>
        <v>14361.058991500002</v>
      </c>
      <c r="F190" s="33"/>
      <c r="G190" s="34">
        <f>IFERROR(IF(F190&gt;=0,D190*E190*(1+F190/100),ABS(D190*E190/F190)),"")</f>
        <v>574.44235966000008</v>
      </c>
      <c r="H190" s="43">
        <f>IFERROR(G190*E181,"")</f>
        <v>0</v>
      </c>
    </row>
    <row r="191" spans="1:11">
      <c r="A191" s="28"/>
      <c r="B191" s="29" t="s">
        <v>3626</v>
      </c>
      <c r="C191" s="30" t="str">
        <f>IFERROR(VLOOKUP($B191,Equipo[],2,0),"")</f>
        <v>%MO</v>
      </c>
      <c r="D191" s="146">
        <v>0.05</v>
      </c>
      <c r="E191" s="32">
        <f>IF(C191="%MO",G196,IFERROR(VLOOKUP($B191,Equipo[],3,0),""))</f>
        <v>14361.058991500002</v>
      </c>
      <c r="F191" s="33"/>
      <c r="G191" s="34">
        <f>IFERROR(IF(F191&gt;=0,D191*E191*(1+F191/100),ABS(D191*E191/F191)),"")</f>
        <v>718.05294957500018</v>
      </c>
      <c r="H191" s="43">
        <f>IFERROR(G191*E181,"")</f>
        <v>0</v>
      </c>
    </row>
    <row r="192" spans="1:11">
      <c r="A192" s="28"/>
      <c r="B192" s="29"/>
      <c r="C192" s="30" t="str">
        <f>IFERROR(VLOOKUP($B192,Equipo[],2,0),"")</f>
        <v/>
      </c>
      <c r="D192" s="146"/>
      <c r="E192" s="32" t="str">
        <f>IF(C192="%MO",G196,IFERROR(VLOOKUP($B192,Equipo[],3,0),""))</f>
        <v/>
      </c>
      <c r="F192" s="33"/>
      <c r="G192" s="34" t="str">
        <f>IFERROR(IF(F192&gt;=0,D192*E192*(1+F192/100),ABS(D192*E192/F192)),"")</f>
        <v/>
      </c>
      <c r="H192" s="43" t="str">
        <f>IFERROR(G192*E181,"")</f>
        <v/>
      </c>
    </row>
    <row r="193" spans="1:11">
      <c r="A193" s="21"/>
      <c r="B193" s="22" t="s">
        <v>2533</v>
      </c>
      <c r="C193" s="23"/>
      <c r="D193" s="151"/>
      <c r="E193" s="25"/>
      <c r="F193" s="26"/>
      <c r="G193" s="27">
        <f>SUM(G194:G195)</f>
        <v>0</v>
      </c>
      <c r="H193" s="44">
        <f>G193*E181</f>
        <v>0</v>
      </c>
    </row>
    <row r="194" spans="1:11">
      <c r="A194" s="28"/>
      <c r="B194" s="29"/>
      <c r="C194" s="30" t="str">
        <f>IFERROR(VLOOKUP($B194,Transporte[],2,0),"")</f>
        <v/>
      </c>
      <c r="D194" s="146"/>
      <c r="E194" s="32" t="str">
        <f>IFERROR(VLOOKUP($B194,Transporte[],3,0),"")</f>
        <v/>
      </c>
      <c r="F194" s="33"/>
      <c r="G194" s="34" t="str">
        <f>IFERROR(IF(F194&gt;=0,D194*E194*(1+F194/100),ABS(D194*E194/F194)),"")</f>
        <v/>
      </c>
      <c r="H194" s="43" t="str">
        <f>IFERROR(G194*E181,"")</f>
        <v/>
      </c>
    </row>
    <row r="195" spans="1:11">
      <c r="A195" s="28"/>
      <c r="B195" s="29"/>
      <c r="C195" s="30" t="str">
        <f>IFERROR(VLOOKUP($B195,Transporte[],2,0),"")</f>
        <v/>
      </c>
      <c r="D195" s="146"/>
      <c r="E195" s="32" t="str">
        <f>IFERROR(VLOOKUP($B195,Transporte[],3,0),"")</f>
        <v/>
      </c>
      <c r="F195" s="33"/>
      <c r="G195" s="34" t="str">
        <f>IFERROR(IF(F195&gt;=0,D195*E195*(1+F195/100),ABS(D195*E195/F195)),"")</f>
        <v/>
      </c>
      <c r="H195" s="43" t="str">
        <f>IFERROR(G195*E181,"")</f>
        <v/>
      </c>
    </row>
    <row r="196" spans="1:11">
      <c r="A196" s="21"/>
      <c r="B196" s="22" t="s">
        <v>3732</v>
      </c>
      <c r="C196" s="23"/>
      <c r="D196" s="151"/>
      <c r="E196" s="25"/>
      <c r="F196" s="26"/>
      <c r="G196" s="27">
        <f>SUM(G197:G199)</f>
        <v>14361.058991500002</v>
      </c>
      <c r="H196" s="44">
        <f>G196*E181</f>
        <v>0</v>
      </c>
    </row>
    <row r="197" spans="1:11">
      <c r="A197" s="28"/>
      <c r="B197" s="29" t="s">
        <v>3711</v>
      </c>
      <c r="C197" s="30" t="str">
        <f>IFERROR(VLOOKUP($B197,MObra[],2,0),"")</f>
        <v>día</v>
      </c>
      <c r="D197" s="150">
        <v>1</v>
      </c>
      <c r="E197" s="32">
        <f>IFERROR(VLOOKUP($B197,MObra[],3,0),"")</f>
        <v>430831.76974500006</v>
      </c>
      <c r="F197" s="33">
        <v>-30</v>
      </c>
      <c r="G197" s="34">
        <f>IFERROR(IF(F197&gt;=0,D197*E197*(1+F197/100),ABS(D197*E197/F197)),"")</f>
        <v>14361.058991500002</v>
      </c>
      <c r="H197" s="43">
        <f>IFERROR(G197*E181,"")</f>
        <v>0</v>
      </c>
    </row>
    <row r="198" spans="1:11">
      <c r="A198" s="28"/>
      <c r="B198" s="29"/>
      <c r="C198" s="30" t="str">
        <f>IFERROR(VLOOKUP($B198,MObra[],2,0),"")</f>
        <v/>
      </c>
      <c r="D198" s="150"/>
      <c r="E198" s="32" t="str">
        <f>IFERROR(VLOOKUP($B198,MObra[],3,0),"")</f>
        <v/>
      </c>
      <c r="F198" s="33"/>
      <c r="G198" s="34" t="str">
        <f>IFERROR(IF(F198&gt;=0,D198*E198*(1+F198/100),ABS(D198*E198/F198)),"")</f>
        <v/>
      </c>
      <c r="H198" s="43" t="str">
        <f>IFERROR(G198*E181,"")</f>
        <v/>
      </c>
    </row>
    <row r="199" spans="1:11">
      <c r="A199" s="35"/>
      <c r="B199" s="36"/>
      <c r="C199" s="37" t="str">
        <f>IFERROR(VLOOKUP($B199,MObra[],2,0),"")</f>
        <v/>
      </c>
      <c r="D199" s="148"/>
      <c r="E199" s="39" t="str">
        <f>IFERROR(VLOOKUP($B199,MObra[],3,0),"")</f>
        <v/>
      </c>
      <c r="F199" s="40"/>
      <c r="G199" s="41" t="str">
        <f>IFERROR(IF(F199&gt;=0,D199*E199*(1+F199/100),ABS(D199*E199/F199)),"")</f>
        <v/>
      </c>
      <c r="H199" s="42" t="str">
        <f>IFERROR(G199*E181,"")</f>
        <v/>
      </c>
    </row>
    <row r="201" spans="1:11">
      <c r="A201" s="6" t="s">
        <v>35</v>
      </c>
      <c r="B201" s="7" t="str">
        <f>VLOOKUP($A201,Presupuesto!$A:$D,2,FALSE())</f>
        <v>Cerramiento guadua + tabla</v>
      </c>
      <c r="C201" s="8" t="str">
        <f>VLOOKUP($A201,Presupuesto!$A:$D,3,FALSE())</f>
        <v>M</v>
      </c>
      <c r="D201" s="9"/>
      <c r="E201" s="147">
        <f>VLOOKUP($A201,Presupuesto!$A:$D,4,FALSE())</f>
        <v>0</v>
      </c>
      <c r="F201" s="11" t="s">
        <v>2589</v>
      </c>
      <c r="G201" s="12">
        <f>SUM(G203:G219)/2</f>
        <v>51503.23180073499</v>
      </c>
      <c r="H201" s="13">
        <f>ROUND(SUM(H203:H219),0)/2</f>
        <v>0</v>
      </c>
      <c r="I201" s="10">
        <f>VLOOKUP(A201,Presupuesto!$A:$F,6,0)</f>
        <v>0</v>
      </c>
      <c r="J201" s="10">
        <f>+H201-I201</f>
        <v>0</v>
      </c>
      <c r="K201" s="46">
        <f>+H201-G201*E201</f>
        <v>0</v>
      </c>
    </row>
    <row r="202" spans="1:11">
      <c r="A202" s="14"/>
      <c r="B202" s="15" t="s">
        <v>2586</v>
      </c>
      <c r="C202" s="15" t="s">
        <v>5</v>
      </c>
      <c r="D202" s="16" t="s">
        <v>6</v>
      </c>
      <c r="E202" s="17" t="s">
        <v>7</v>
      </c>
      <c r="F202" s="18" t="s">
        <v>3728</v>
      </c>
      <c r="G202" s="19" t="s">
        <v>3729</v>
      </c>
      <c r="H202" s="20" t="s">
        <v>3797</v>
      </c>
    </row>
    <row r="203" spans="1:11">
      <c r="A203" s="21"/>
      <c r="B203" s="22" t="s">
        <v>3730</v>
      </c>
      <c r="C203" s="23"/>
      <c r="D203" s="24"/>
      <c r="E203" s="25"/>
      <c r="F203" s="26"/>
      <c r="G203" s="27">
        <f>SUM(G204:G208)</f>
        <v>35849.677499999998</v>
      </c>
      <c r="H203" s="27">
        <f>IFERROR(G203*E201,"")</f>
        <v>0</v>
      </c>
    </row>
    <row r="204" spans="1:11">
      <c r="A204" s="28"/>
      <c r="B204" s="29" t="s">
        <v>2991</v>
      </c>
      <c r="C204" s="30" t="str">
        <f>IFERROR(VLOOKUP($B204,Insumo[],2,0),"")</f>
        <v>Un</v>
      </c>
      <c r="D204" s="146">
        <v>0.5</v>
      </c>
      <c r="E204" s="32">
        <f>IFERROR(VLOOKUP($B204,Insumo[],3,0),"")</f>
        <v>10798.2</v>
      </c>
      <c r="F204" s="33"/>
      <c r="G204" s="34">
        <f>IFERROR(IF(F204&gt;=0,D204*E204*(1+F204/100),ABS(D204*E204/F204)),"")</f>
        <v>5399.1</v>
      </c>
      <c r="H204" s="43">
        <f>IFERROR(G204*E201,"")</f>
        <v>0</v>
      </c>
    </row>
    <row r="205" spans="1:11">
      <c r="A205" s="28"/>
      <c r="B205" s="29" t="s">
        <v>3337</v>
      </c>
      <c r="C205" s="30" t="str">
        <f>IFERROR(VLOOKUP($B205,Insumo[],2,0),"")</f>
        <v>Un</v>
      </c>
      <c r="D205" s="146">
        <f>7.2/3</f>
        <v>2.4</v>
      </c>
      <c r="E205" s="32">
        <f>IFERROR(VLOOKUP($B205,Insumo[],3,0),"")</f>
        <v>12350.1</v>
      </c>
      <c r="F205" s="33"/>
      <c r="G205" s="34">
        <f>IFERROR(IF(F205&gt;=0,D205*E205*(1+F205/100),ABS(D205*E205/F205)),"")</f>
        <v>29640.239999999998</v>
      </c>
      <c r="H205" s="43">
        <f>IFERROR(G205*E201,"")</f>
        <v>0</v>
      </c>
    </row>
    <row r="206" spans="1:11">
      <c r="A206" s="28"/>
      <c r="B206" s="29" t="s">
        <v>3253</v>
      </c>
      <c r="C206" s="30" t="str">
        <f>IFERROR(VLOOKUP($B206,Insumo[],2,0),"")</f>
        <v>Lb</v>
      </c>
      <c r="D206" s="152">
        <v>0.125</v>
      </c>
      <c r="E206" s="32">
        <f>IFERROR(VLOOKUP($B206,Insumo[],3,0),"")</f>
        <v>6482.7000000000007</v>
      </c>
      <c r="F206" s="33"/>
      <c r="G206" s="34">
        <f>IFERROR(IF(F206&gt;=0,D206*E206*(1+F206/100),ABS(D206*E206/F206)),"")</f>
        <v>810.33750000000009</v>
      </c>
      <c r="H206" s="43">
        <f>IFERROR(G206*E201,"")</f>
        <v>0</v>
      </c>
    </row>
    <row r="207" spans="1:11">
      <c r="A207" s="28"/>
      <c r="B207" s="29"/>
      <c r="C207" s="30" t="str">
        <f>IFERROR(VLOOKUP($B207,Insumo[],2,0),"")</f>
        <v/>
      </c>
      <c r="D207" s="146"/>
      <c r="E207" s="32" t="str">
        <f>IFERROR(VLOOKUP($B207,Insumo[],3,0),"")</f>
        <v/>
      </c>
      <c r="F207" s="33"/>
      <c r="G207" s="34" t="str">
        <f>IFERROR(IF(F207&gt;=0,D207*E207*(1+F207/100),ABS(D207*E207/F207)),"")</f>
        <v/>
      </c>
      <c r="H207" s="43" t="str">
        <f>IFERROR(G207*E201,"")</f>
        <v/>
      </c>
    </row>
    <row r="208" spans="1:11">
      <c r="A208" s="28"/>
      <c r="B208" s="29"/>
      <c r="C208" s="30" t="str">
        <f>IFERROR(VLOOKUP($B208,Insumo[],2,0),"")</f>
        <v/>
      </c>
      <c r="D208" s="146"/>
      <c r="E208" s="32" t="str">
        <f>IFERROR(VLOOKUP($B208,Insumo[],3,0),"")</f>
        <v/>
      </c>
      <c r="F208" s="33"/>
      <c r="G208" s="34" t="str">
        <f>IFERROR(IF(F208&gt;=0,D208*E208*(1+F208/100),ABS(D208*E208/F208)),"")</f>
        <v/>
      </c>
      <c r="H208" s="43" t="str">
        <f>IFERROR(G208*E201,"")</f>
        <v/>
      </c>
    </row>
    <row r="209" spans="1:11">
      <c r="A209" s="21"/>
      <c r="B209" s="22" t="s">
        <v>3731</v>
      </c>
      <c r="C209" s="23"/>
      <c r="D209" s="151"/>
      <c r="E209" s="25"/>
      <c r="F209" s="26"/>
      <c r="G209" s="27">
        <f>SUM(G210:G212)</f>
        <v>1292.4953092350001</v>
      </c>
      <c r="H209" s="44">
        <f>G209*E201</f>
        <v>0</v>
      </c>
    </row>
    <row r="210" spans="1:11">
      <c r="A210" s="28"/>
      <c r="B210" s="29" t="s">
        <v>3570</v>
      </c>
      <c r="C210" s="30" t="str">
        <f>IFERROR(VLOOKUP($B210,Equipo[],2,0),"")</f>
        <v>%MO</v>
      </c>
      <c r="D210" s="146">
        <v>0.04</v>
      </c>
      <c r="E210" s="32">
        <f>IF(C210="%MO",G216,IFERROR(VLOOKUP($B210,Equipo[],3,0),""))</f>
        <v>14361.058991500002</v>
      </c>
      <c r="F210" s="33"/>
      <c r="G210" s="34">
        <f>IFERROR(IF(F210&gt;=0,D210*E210*(1+F210/100),ABS(D210*E210/F210)),"")</f>
        <v>574.44235966000008</v>
      </c>
      <c r="H210" s="43">
        <f>IFERROR(G210*E201,"")</f>
        <v>0</v>
      </c>
    </row>
    <row r="211" spans="1:11">
      <c r="A211" s="28"/>
      <c r="B211" s="29" t="s">
        <v>3626</v>
      </c>
      <c r="C211" s="30" t="str">
        <f>IFERROR(VLOOKUP($B211,Equipo[],2,0),"")</f>
        <v>%MO</v>
      </c>
      <c r="D211" s="146">
        <v>0.05</v>
      </c>
      <c r="E211" s="32">
        <f>IF(C211="%MO",G216,IFERROR(VLOOKUP($B211,Equipo[],3,0),""))</f>
        <v>14361.058991500002</v>
      </c>
      <c r="F211" s="33"/>
      <c r="G211" s="34">
        <f>IFERROR(IF(F211&gt;=0,D211*E211*(1+F211/100),ABS(D211*E211/F211)),"")</f>
        <v>718.05294957500018</v>
      </c>
      <c r="H211" s="43">
        <f>IFERROR(G211*E201,"")</f>
        <v>0</v>
      </c>
    </row>
    <row r="212" spans="1:11">
      <c r="A212" s="28"/>
      <c r="B212" s="29"/>
      <c r="C212" s="30" t="str">
        <f>IFERROR(VLOOKUP($B212,Equipo[],2,0),"")</f>
        <v/>
      </c>
      <c r="D212" s="146"/>
      <c r="E212" s="32" t="str">
        <f>IF(C212="%MO",G216,IFERROR(VLOOKUP($B212,Equipo[],3,0),""))</f>
        <v/>
      </c>
      <c r="F212" s="33"/>
      <c r="G212" s="34" t="str">
        <f>IFERROR(IF(F212&gt;=0,D212*E212*(1+F212/100),ABS(D212*E212/F212)),"")</f>
        <v/>
      </c>
      <c r="H212" s="43" t="str">
        <f>IFERROR(G212*E201,"")</f>
        <v/>
      </c>
    </row>
    <row r="213" spans="1:11">
      <c r="A213" s="21"/>
      <c r="B213" s="22" t="s">
        <v>2533</v>
      </c>
      <c r="C213" s="23"/>
      <c r="D213" s="151"/>
      <c r="E213" s="25"/>
      <c r="F213" s="26"/>
      <c r="G213" s="27">
        <f>SUM(G214:G215)</f>
        <v>0</v>
      </c>
      <c r="H213" s="44">
        <f>G213*E201</f>
        <v>0</v>
      </c>
    </row>
    <row r="214" spans="1:11">
      <c r="A214" s="28"/>
      <c r="B214" s="29"/>
      <c r="C214" s="30" t="str">
        <f>IFERROR(VLOOKUP($B214,Transporte[],2,0),"")</f>
        <v/>
      </c>
      <c r="D214" s="146"/>
      <c r="E214" s="32" t="str">
        <f>IFERROR(VLOOKUP($B214,Transporte[],3,0),"")</f>
        <v/>
      </c>
      <c r="F214" s="33"/>
      <c r="G214" s="34" t="str">
        <f>IFERROR(IF(F214&gt;=0,D214*E214*(1+F214/100),ABS(D214*E214/F214)),"")</f>
        <v/>
      </c>
      <c r="H214" s="43" t="str">
        <f>IFERROR(G214*E201,"")</f>
        <v/>
      </c>
    </row>
    <row r="215" spans="1:11">
      <c r="A215" s="28"/>
      <c r="B215" s="29"/>
      <c r="C215" s="30" t="str">
        <f>IFERROR(VLOOKUP($B215,Transporte[],2,0),"")</f>
        <v/>
      </c>
      <c r="D215" s="146"/>
      <c r="E215" s="32" t="str">
        <f>IFERROR(VLOOKUP($B215,Transporte[],3,0),"")</f>
        <v/>
      </c>
      <c r="F215" s="33"/>
      <c r="G215" s="34" t="str">
        <f>IFERROR(IF(F215&gt;=0,D215*E215*(1+F215/100),ABS(D215*E215/F215)),"")</f>
        <v/>
      </c>
      <c r="H215" s="43" t="str">
        <f>IFERROR(G215*E201,"")</f>
        <v/>
      </c>
    </row>
    <row r="216" spans="1:11">
      <c r="A216" s="21"/>
      <c r="B216" s="22" t="s">
        <v>3732</v>
      </c>
      <c r="C216" s="23"/>
      <c r="D216" s="151"/>
      <c r="E216" s="25"/>
      <c r="F216" s="26"/>
      <c r="G216" s="27">
        <f>SUM(G217:G219)</f>
        <v>14361.058991500002</v>
      </c>
      <c r="H216" s="44">
        <f>G216*E201</f>
        <v>0</v>
      </c>
    </row>
    <row r="217" spans="1:11">
      <c r="A217" s="28"/>
      <c r="B217" s="29" t="s">
        <v>3711</v>
      </c>
      <c r="C217" s="30" t="str">
        <f>IFERROR(VLOOKUP($B217,MObra[],2,0),"")</f>
        <v>día</v>
      </c>
      <c r="D217" s="150">
        <v>1</v>
      </c>
      <c r="E217" s="32">
        <f>IFERROR(VLOOKUP($B217,MObra[],3,0),"")</f>
        <v>430831.76974500006</v>
      </c>
      <c r="F217" s="33">
        <v>-30</v>
      </c>
      <c r="G217" s="34">
        <f>IFERROR(IF(F217&gt;=0,D217*E217*(1+F217/100),ABS(D217*E217/F217)),"")</f>
        <v>14361.058991500002</v>
      </c>
      <c r="H217" s="43">
        <f>IFERROR(G217*E201,"")</f>
        <v>0</v>
      </c>
    </row>
    <row r="218" spans="1:11">
      <c r="A218" s="28"/>
      <c r="B218" s="29"/>
      <c r="C218" s="30" t="str">
        <f>IFERROR(VLOOKUP($B218,MObra[],2,0),"")</f>
        <v/>
      </c>
      <c r="D218" s="150"/>
      <c r="E218" s="32" t="str">
        <f>IFERROR(VLOOKUP($B218,MObra[],3,0),"")</f>
        <v/>
      </c>
      <c r="F218" s="33"/>
      <c r="G218" s="34" t="str">
        <f>IFERROR(IF(F218&gt;=0,D218*E218*(1+F218/100),ABS(D218*E218/F218)),"")</f>
        <v/>
      </c>
      <c r="H218" s="43" t="str">
        <f>IFERROR(G218*E201,"")</f>
        <v/>
      </c>
    </row>
    <row r="219" spans="1:11">
      <c r="A219" s="35"/>
      <c r="B219" s="36"/>
      <c r="C219" s="37" t="str">
        <f>IFERROR(VLOOKUP($B219,MObra[],2,0),"")</f>
        <v/>
      </c>
      <c r="D219" s="148"/>
      <c r="E219" s="39" t="str">
        <f>IFERROR(VLOOKUP($B219,MObra[],3,0),"")</f>
        <v/>
      </c>
      <c r="F219" s="40"/>
      <c r="G219" s="41" t="str">
        <f>IFERROR(IF(F219&gt;=0,D219*E219*(1+F219/100),ABS(D219*E219/F219)),"")</f>
        <v/>
      </c>
      <c r="H219" s="42" t="str">
        <f>IFERROR(G219*E201,"")</f>
        <v/>
      </c>
    </row>
    <row r="221" spans="1:11">
      <c r="A221" s="6" t="s">
        <v>37</v>
      </c>
      <c r="B221" s="7" t="str">
        <f>VLOOKUP($A221,Presupuesto!$A:$D,2,FALSE())</f>
        <v>Cerramiento guadua + tela verde</v>
      </c>
      <c r="C221" s="8" t="str">
        <f>VLOOKUP($A221,Presupuesto!$A:$D,3,FALSE())</f>
        <v>M</v>
      </c>
      <c r="D221" s="9"/>
      <c r="E221" s="147">
        <f>VLOOKUP($A221,Presupuesto!$A:$D,4,FALSE())</f>
        <v>0</v>
      </c>
      <c r="F221" s="11" t="s">
        <v>2589</v>
      </c>
      <c r="G221" s="12">
        <f>SUM(G223:G239)/2</f>
        <v>20581.501537590004</v>
      </c>
      <c r="H221" s="13">
        <f>ROUND(SUM(H223:H239),0)/2</f>
        <v>0</v>
      </c>
      <c r="I221" s="10">
        <f>VLOOKUP(A221,Presupuesto!$A:$F,6,0)</f>
        <v>0</v>
      </c>
      <c r="J221" s="10">
        <f>+H221-I221</f>
        <v>0</v>
      </c>
      <c r="K221" s="46">
        <f>+H221-G221*E221</f>
        <v>0</v>
      </c>
    </row>
    <row r="222" spans="1:11">
      <c r="A222" s="14"/>
      <c r="B222" s="15" t="s">
        <v>2586</v>
      </c>
      <c r="C222" s="15" t="s">
        <v>5</v>
      </c>
      <c r="D222" s="16" t="s">
        <v>6</v>
      </c>
      <c r="E222" s="17" t="s">
        <v>7</v>
      </c>
      <c r="F222" s="18" t="s">
        <v>3728</v>
      </c>
      <c r="G222" s="19" t="s">
        <v>3729</v>
      </c>
      <c r="H222" s="20" t="s">
        <v>3797</v>
      </c>
    </row>
    <row r="223" spans="1:11">
      <c r="A223" s="21"/>
      <c r="B223" s="22" t="s">
        <v>3730</v>
      </c>
      <c r="C223" s="23"/>
      <c r="D223" s="24"/>
      <c r="E223" s="25"/>
      <c r="F223" s="26"/>
      <c r="G223" s="27">
        <f>SUM(G224:G228)</f>
        <v>7377.0900000000011</v>
      </c>
      <c r="H223" s="27">
        <f>IFERROR(G223*E221,"")</f>
        <v>0</v>
      </c>
    </row>
    <row r="224" spans="1:11">
      <c r="A224" s="28"/>
      <c r="B224" s="29" t="s">
        <v>2992</v>
      </c>
      <c r="C224" s="30" t="str">
        <f>IFERROR(VLOOKUP($B224,Insumo[],2,0),"")</f>
        <v>Un</v>
      </c>
      <c r="D224" s="146">
        <v>0.5</v>
      </c>
      <c r="E224" s="32">
        <f>IFERROR(VLOOKUP($B224,Insumo[],3,0),"")</f>
        <v>4546.5</v>
      </c>
      <c r="F224" s="33"/>
      <c r="G224" s="34">
        <f>IFERROR(IF(F224&gt;=0,D224*E224*(1+F224/100),ABS(D224*E224/F224)),"")</f>
        <v>2273.25</v>
      </c>
      <c r="H224" s="43">
        <f>IFERROR(G224*E221,"")</f>
        <v>0</v>
      </c>
    </row>
    <row r="225" spans="1:8">
      <c r="A225" s="28"/>
      <c r="B225" s="29" t="s">
        <v>3544</v>
      </c>
      <c r="C225" s="30" t="str">
        <f>IFERROR(VLOOKUP($B225,Insumo[],2,0),"")</f>
        <v>Un</v>
      </c>
      <c r="D225" s="146">
        <v>0.1</v>
      </c>
      <c r="E225" s="32">
        <f>IFERROR(VLOOKUP($B225,Insumo[],3,0),"")</f>
        <v>3410.4</v>
      </c>
      <c r="F225" s="33"/>
      <c r="G225" s="34">
        <f>IFERROR(IF(F225&gt;=0,D225*E225*(1+F225/100),ABS(D225*E225/F225)),"")</f>
        <v>341.04</v>
      </c>
      <c r="H225" s="43">
        <f>IFERROR(G225*E221,"")</f>
        <v>0</v>
      </c>
    </row>
    <row r="226" spans="1:8">
      <c r="A226" s="28"/>
      <c r="B226" s="29" t="s">
        <v>3383</v>
      </c>
      <c r="C226" s="30" t="str">
        <f>IFERROR(VLOOKUP($B226,Insumo[],2,0),"")</f>
        <v>M2</v>
      </c>
      <c r="D226" s="150">
        <v>2</v>
      </c>
      <c r="E226" s="32">
        <f>IFERROR(VLOOKUP($B226,Insumo[],3,0),"")</f>
        <v>1959.3000000000002</v>
      </c>
      <c r="F226" s="33">
        <v>5</v>
      </c>
      <c r="G226" s="34">
        <f>IFERROR(IF(F226&gt;=0,D226*E226*(1+F226/100),ABS(D226*E226/F226)),"")</f>
        <v>4114.5300000000007</v>
      </c>
      <c r="H226" s="43">
        <f>IFERROR(G226*E221,"")</f>
        <v>0</v>
      </c>
    </row>
    <row r="227" spans="1:8">
      <c r="A227" s="28"/>
      <c r="B227" s="29" t="s">
        <v>3253</v>
      </c>
      <c r="C227" s="30" t="str">
        <f>IFERROR(VLOOKUP($B227,Insumo[],2,0),"")</f>
        <v>Lb</v>
      </c>
      <c r="D227" s="146">
        <v>0.1</v>
      </c>
      <c r="E227" s="32">
        <f>IFERROR(VLOOKUP($B227,Insumo[],3,0),"")</f>
        <v>6482.7000000000007</v>
      </c>
      <c r="F227" s="33"/>
      <c r="G227" s="34">
        <f>IFERROR(IF(F227&gt;=0,D227*E227*(1+F227/100),ABS(D227*E227/F227)),"")</f>
        <v>648.2700000000001</v>
      </c>
      <c r="H227" s="43">
        <f>IFERROR(G227*E221,"")</f>
        <v>0</v>
      </c>
    </row>
    <row r="228" spans="1:8">
      <c r="A228" s="28"/>
      <c r="B228" s="29"/>
      <c r="C228" s="30" t="str">
        <f>IFERROR(VLOOKUP($B228,Insumo[],2,0),"")</f>
        <v/>
      </c>
      <c r="D228" s="146"/>
      <c r="E228" s="32" t="str">
        <f>IFERROR(VLOOKUP($B228,Insumo[],3,0),"")</f>
        <v/>
      </c>
      <c r="F228" s="33"/>
      <c r="G228" s="34" t="str">
        <f>IFERROR(IF(F228&gt;=0,D228*E228*(1+F228/100),ABS(D228*E228/F228)),"")</f>
        <v/>
      </c>
      <c r="H228" s="43" t="str">
        <f>IFERROR(G228*E221,"")</f>
        <v/>
      </c>
    </row>
    <row r="229" spans="1:8">
      <c r="A229" s="21"/>
      <c r="B229" s="22" t="s">
        <v>3731</v>
      </c>
      <c r="C229" s="23"/>
      <c r="D229" s="151"/>
      <c r="E229" s="25"/>
      <c r="F229" s="26"/>
      <c r="G229" s="27">
        <f>SUM(G230:G232)</f>
        <v>628.78150179000022</v>
      </c>
      <c r="H229" s="44">
        <f>G229*E221</f>
        <v>0</v>
      </c>
    </row>
    <row r="230" spans="1:8">
      <c r="A230" s="28"/>
      <c r="B230" s="29" t="s">
        <v>3626</v>
      </c>
      <c r="C230" s="30" t="str">
        <f>IFERROR(VLOOKUP($B230,Equipo[],2,0),"")</f>
        <v>%MO</v>
      </c>
      <c r="D230" s="146">
        <v>0.05</v>
      </c>
      <c r="E230" s="32">
        <f>IF(C230="%MO",G236,IFERROR(VLOOKUP($B230,Equipo[],3,0),""))</f>
        <v>12575.630035800003</v>
      </c>
      <c r="F230" s="33"/>
      <c r="G230" s="34">
        <f>IFERROR(IF(F230&gt;=0,D230*E230*(1+F230/100),ABS(D230*E230/F230)),"")</f>
        <v>628.78150179000022</v>
      </c>
      <c r="H230" s="43">
        <f>IFERROR(G230*E221,"")</f>
        <v>0</v>
      </c>
    </row>
    <row r="231" spans="1:8">
      <c r="A231" s="28"/>
      <c r="B231" s="29"/>
      <c r="C231" s="30" t="str">
        <f>IFERROR(VLOOKUP($B231,Equipo[],2,0),"")</f>
        <v/>
      </c>
      <c r="D231" s="146"/>
      <c r="E231" s="32" t="str">
        <f>IF(C231="%MO",G236,IFERROR(VLOOKUP($B231,Equipo[],3,0),""))</f>
        <v/>
      </c>
      <c r="F231" s="33"/>
      <c r="G231" s="34" t="str">
        <f>IFERROR(IF(F231&gt;=0,D231*E231*(1+F231/100),ABS(D231*E231/F231)),"")</f>
        <v/>
      </c>
      <c r="H231" s="43" t="str">
        <f>IFERROR(G231*E221,"")</f>
        <v/>
      </c>
    </row>
    <row r="232" spans="1:8">
      <c r="A232" s="28"/>
      <c r="B232" s="29"/>
      <c r="C232" s="30" t="str">
        <f>IFERROR(VLOOKUP($B232,Equipo[],2,0),"")</f>
        <v/>
      </c>
      <c r="D232" s="146"/>
      <c r="E232" s="32" t="str">
        <f>IF(C232="%MO",G236,IFERROR(VLOOKUP($B232,Equipo[],3,0),""))</f>
        <v/>
      </c>
      <c r="F232" s="33"/>
      <c r="G232" s="34" t="str">
        <f>IFERROR(IF(F232&gt;=0,D232*E232*(1+F232/100),ABS(D232*E232/F232)),"")</f>
        <v/>
      </c>
      <c r="H232" s="43" t="str">
        <f>IFERROR(G232*E221,"")</f>
        <v/>
      </c>
    </row>
    <row r="233" spans="1:8">
      <c r="A233" s="21"/>
      <c r="B233" s="22" t="s">
        <v>2533</v>
      </c>
      <c r="C233" s="23"/>
      <c r="D233" s="151"/>
      <c r="E233" s="25"/>
      <c r="F233" s="26"/>
      <c r="G233" s="27">
        <f>SUM(G234:G235)</f>
        <v>0</v>
      </c>
      <c r="H233" s="44">
        <f>G233*E221</f>
        <v>0</v>
      </c>
    </row>
    <row r="234" spans="1:8">
      <c r="A234" s="28"/>
      <c r="B234" s="29"/>
      <c r="C234" s="30" t="str">
        <f>IFERROR(VLOOKUP($B234,Transporte[],2,0),"")</f>
        <v/>
      </c>
      <c r="D234" s="146"/>
      <c r="E234" s="32" t="str">
        <f>IFERROR(VLOOKUP($B234,Transporte[],3,0),"")</f>
        <v/>
      </c>
      <c r="F234" s="33"/>
      <c r="G234" s="34" t="str">
        <f>IFERROR(IF(F234&gt;=0,D234*E234*(1+F234/100),ABS(D234*E234/F234)),"")</f>
        <v/>
      </c>
      <c r="H234" s="43" t="str">
        <f>IFERROR(G234*E221,"")</f>
        <v/>
      </c>
    </row>
    <row r="235" spans="1:8">
      <c r="A235" s="28"/>
      <c r="B235" s="29"/>
      <c r="C235" s="30" t="str">
        <f>IFERROR(VLOOKUP($B235,Transporte[],2,0),"")</f>
        <v/>
      </c>
      <c r="D235" s="146"/>
      <c r="E235" s="32" t="str">
        <f>IFERROR(VLOOKUP($B235,Transporte[],3,0),"")</f>
        <v/>
      </c>
      <c r="F235" s="33"/>
      <c r="G235" s="34" t="str">
        <f>IFERROR(IF(F235&gt;=0,D235*E235*(1+F235/100),ABS(D235*E235/F235)),"")</f>
        <v/>
      </c>
      <c r="H235" s="43" t="str">
        <f>IFERROR(G235*E221,"")</f>
        <v/>
      </c>
    </row>
    <row r="236" spans="1:8">
      <c r="A236" s="21"/>
      <c r="B236" s="22" t="s">
        <v>3732</v>
      </c>
      <c r="C236" s="23"/>
      <c r="D236" s="151"/>
      <c r="E236" s="25"/>
      <c r="F236" s="26"/>
      <c r="G236" s="27">
        <f>SUM(G237:G239)</f>
        <v>12575.630035800003</v>
      </c>
      <c r="H236" s="44">
        <f>G236*E221</f>
        <v>0</v>
      </c>
    </row>
    <row r="237" spans="1:8">
      <c r="A237" s="28"/>
      <c r="B237" s="29" t="s">
        <v>3710</v>
      </c>
      <c r="C237" s="30" t="str">
        <f>IFERROR(VLOOKUP($B237,MObra[],2,0),"")</f>
        <v>día</v>
      </c>
      <c r="D237" s="150">
        <v>1</v>
      </c>
      <c r="E237" s="32">
        <f>IFERROR(VLOOKUP($B237,MObra[],3,0),"")</f>
        <v>314390.75089500006</v>
      </c>
      <c r="F237" s="33">
        <f>-1/0.04</f>
        <v>-25</v>
      </c>
      <c r="G237" s="34">
        <f>IFERROR(IF(F237&gt;=0,D237*E237*(1+F237/100),ABS(D237*E237/F237)),"")</f>
        <v>12575.630035800003</v>
      </c>
      <c r="H237" s="43">
        <f>IFERROR(G237*E221,"")</f>
        <v>0</v>
      </c>
    </row>
    <row r="238" spans="1:8">
      <c r="A238" s="28"/>
      <c r="B238" s="29"/>
      <c r="C238" s="30" t="str">
        <f>IFERROR(VLOOKUP($B238,MObra[],2,0),"")</f>
        <v/>
      </c>
      <c r="D238" s="150"/>
      <c r="E238" s="32" t="str">
        <f>IFERROR(VLOOKUP($B238,MObra[],3,0),"")</f>
        <v/>
      </c>
      <c r="F238" s="33"/>
      <c r="G238" s="34" t="str">
        <f>IFERROR(IF(F238&gt;=0,D238*E238*(1+F238/100),ABS(D238*E238/F238)),"")</f>
        <v/>
      </c>
      <c r="H238" s="43" t="str">
        <f>IFERROR(G238*E221,"")</f>
        <v/>
      </c>
    </row>
    <row r="239" spans="1:8">
      <c r="A239" s="35"/>
      <c r="B239" s="36"/>
      <c r="C239" s="37" t="str">
        <f>IFERROR(VLOOKUP($B239,MObra[],2,0),"")</f>
        <v/>
      </c>
      <c r="D239" s="148"/>
      <c r="E239" s="39" t="str">
        <f>IFERROR(VLOOKUP($B239,MObra[],3,0),"")</f>
        <v/>
      </c>
      <c r="F239" s="40"/>
      <c r="G239" s="41" t="str">
        <f>IFERROR(IF(F239&gt;=0,D239*E239*(1+F239/100),ABS(D239*E239/F239)),"")</f>
        <v/>
      </c>
      <c r="H239" s="42" t="str">
        <f>IFERROR(G239*E221,"")</f>
        <v/>
      </c>
    </row>
    <row r="241" spans="1:11">
      <c r="A241" s="6" t="s">
        <v>39</v>
      </c>
      <c r="B241" s="7" t="str">
        <f>VLOOKUP($A241,Presupuesto!$A:$D,2,FALSE())</f>
        <v>Cerramiento guadua + zinc</v>
      </c>
      <c r="C241" s="8" t="str">
        <f>VLOOKUP($A241,Presupuesto!$A:$D,3,FALSE())</f>
        <v>M</v>
      </c>
      <c r="D241" s="9"/>
      <c r="E241" s="147">
        <f>VLOOKUP($A241,Presupuesto!$A:$D,4,FALSE())</f>
        <v>0</v>
      </c>
      <c r="F241" s="11" t="s">
        <v>2589</v>
      </c>
      <c r="G241" s="12">
        <f>SUM(G243:G259)/2</f>
        <v>150948.90390975913</v>
      </c>
      <c r="H241" s="13">
        <f>ROUND(SUM(H243:H259),0)/2</f>
        <v>0</v>
      </c>
      <c r="I241" s="10">
        <f>VLOOKUP(A241,Presupuesto!$A:$F,6,0)</f>
        <v>0</v>
      </c>
      <c r="J241" s="10">
        <f>+H241-I241</f>
        <v>0</v>
      </c>
      <c r="K241" s="46">
        <f>+H241-G241*E241</f>
        <v>0</v>
      </c>
    </row>
    <row r="242" spans="1:11">
      <c r="A242" s="14"/>
      <c r="B242" s="15" t="s">
        <v>2586</v>
      </c>
      <c r="C242" s="15" t="s">
        <v>5</v>
      </c>
      <c r="D242" s="16" t="s">
        <v>6</v>
      </c>
      <c r="E242" s="17" t="s">
        <v>7</v>
      </c>
      <c r="F242" s="18" t="s">
        <v>3728</v>
      </c>
      <c r="G242" s="19" t="s">
        <v>3729</v>
      </c>
      <c r="H242" s="20" t="s">
        <v>3797</v>
      </c>
    </row>
    <row r="243" spans="1:11">
      <c r="A243" s="21"/>
      <c r="B243" s="22" t="s">
        <v>3730</v>
      </c>
      <c r="C243" s="23"/>
      <c r="D243" s="24"/>
      <c r="E243" s="25"/>
      <c r="F243" s="26"/>
      <c r="G243" s="27">
        <f>SUM(G244:G248)</f>
        <v>136718.39999999999</v>
      </c>
      <c r="H243" s="27">
        <f>IFERROR(G243*E241,"")</f>
        <v>0</v>
      </c>
    </row>
    <row r="244" spans="1:11">
      <c r="A244" s="28"/>
      <c r="B244" s="29" t="s">
        <v>2991</v>
      </c>
      <c r="C244" s="30" t="str">
        <f>IFERROR(VLOOKUP($B244,Insumo[],2,0),"")</f>
        <v>Un</v>
      </c>
      <c r="D244" s="146">
        <v>0.5</v>
      </c>
      <c r="E244" s="32">
        <f>IFERROR(VLOOKUP($B244,Insumo[],3,0),"")</f>
        <v>10798.2</v>
      </c>
      <c r="F244" s="33"/>
      <c r="G244" s="34">
        <f>IFERROR(IF(F244&gt;=0,D244*E244*(1+F244/100),ABS(D244*E244/F244)),"")</f>
        <v>5399.1</v>
      </c>
      <c r="H244" s="43">
        <f>IFERROR(G244*E241,"")</f>
        <v>0</v>
      </c>
    </row>
    <row r="245" spans="1:11">
      <c r="A245" s="28"/>
      <c r="B245" s="29" t="s">
        <v>2900</v>
      </c>
      <c r="C245" s="30" t="str">
        <f>IFERROR(VLOOKUP($B245,Insumo[],2,0),"")</f>
        <v>Un</v>
      </c>
      <c r="D245" s="150">
        <v>3</v>
      </c>
      <c r="E245" s="32">
        <f>IFERROR(VLOOKUP($B245,Insumo[],3,0),"")</f>
        <v>13933.5</v>
      </c>
      <c r="F245" s="33"/>
      <c r="G245" s="34">
        <f>IFERROR(IF(F245&gt;=0,D245*E245*(1+F245/100),ABS(D245*E245/F245)),"")</f>
        <v>41800.5</v>
      </c>
      <c r="H245" s="43">
        <f>IFERROR(G245*E241,"")</f>
        <v>0</v>
      </c>
    </row>
    <row r="246" spans="1:11">
      <c r="A246" s="28"/>
      <c r="B246" s="29" t="s">
        <v>3375</v>
      </c>
      <c r="C246" s="30" t="str">
        <f>IFERROR(VLOOKUP($B246,Insumo[],2,0),"")</f>
        <v>Un</v>
      </c>
      <c r="D246" s="146">
        <v>2.15</v>
      </c>
      <c r="E246" s="32">
        <f>IFERROR(VLOOKUP($B246,Insumo[],3,0),"")</f>
        <v>41259.75</v>
      </c>
      <c r="F246" s="33"/>
      <c r="G246" s="34">
        <f>IFERROR(IF(F246&gt;=0,D246*E246*(1+F246/100),ABS(D246*E246/F246)),"")</f>
        <v>88708.462499999994</v>
      </c>
      <c r="H246" s="43">
        <f>IFERROR(G246*E241,"")</f>
        <v>0</v>
      </c>
    </row>
    <row r="247" spans="1:11">
      <c r="A247" s="28"/>
      <c r="B247" s="29" t="s">
        <v>3253</v>
      </c>
      <c r="C247" s="30" t="str">
        <f>IFERROR(VLOOKUP($B247,Insumo[],2,0),"")</f>
        <v>Lb</v>
      </c>
      <c r="D247" s="152">
        <v>0.125</v>
      </c>
      <c r="E247" s="32">
        <f>IFERROR(VLOOKUP($B247,Insumo[],3,0),"")</f>
        <v>6482.7000000000007</v>
      </c>
      <c r="F247" s="33"/>
      <c r="G247" s="34">
        <f>IFERROR(IF(F247&gt;=0,D247*E247*(1+F247/100),ABS(D247*E247/F247)),"")</f>
        <v>810.33750000000009</v>
      </c>
      <c r="H247" s="43">
        <f>IFERROR(G247*E241,"")</f>
        <v>0</v>
      </c>
    </row>
    <row r="248" spans="1:11">
      <c r="A248" s="28"/>
      <c r="B248" s="29"/>
      <c r="C248" s="30" t="str">
        <f>IFERROR(VLOOKUP($B248,Insumo[],2,0),"")</f>
        <v/>
      </c>
      <c r="D248" s="146"/>
      <c r="E248" s="32" t="str">
        <f>IFERROR(VLOOKUP($B248,Insumo[],3,0),"")</f>
        <v/>
      </c>
      <c r="F248" s="33"/>
      <c r="G248" s="34" t="str">
        <f>IFERROR(IF(F248&gt;=0,D248*E248*(1+F248/100),ABS(D248*E248/F248)),"")</f>
        <v/>
      </c>
      <c r="H248" s="43" t="str">
        <f>IFERROR(G248*E241,"")</f>
        <v/>
      </c>
    </row>
    <row r="249" spans="1:11">
      <c r="A249" s="21"/>
      <c r="B249" s="22" t="s">
        <v>3731</v>
      </c>
      <c r="C249" s="23"/>
      <c r="D249" s="151"/>
      <c r="E249" s="25"/>
      <c r="F249" s="26"/>
      <c r="G249" s="27">
        <f>SUM(G250:G252)</f>
        <v>1174.9957356681819</v>
      </c>
      <c r="H249" s="44">
        <f>G249*E241</f>
        <v>0</v>
      </c>
    </row>
    <row r="250" spans="1:11">
      <c r="A250" s="28"/>
      <c r="B250" s="29" t="s">
        <v>3570</v>
      </c>
      <c r="C250" s="30" t="str">
        <f>IFERROR(VLOOKUP($B250,Equipo[],2,0),"")</f>
        <v>%MO</v>
      </c>
      <c r="D250" s="146">
        <v>0.04</v>
      </c>
      <c r="E250" s="32">
        <f>IF(C250="%MO",G256,IFERROR(VLOOKUP($B250,Equipo[],3,0),""))</f>
        <v>13055.50817409091</v>
      </c>
      <c r="F250" s="33"/>
      <c r="G250" s="34">
        <f>IFERROR(IF(F250&gt;=0,D250*E250*(1+F250/100),ABS(D250*E250/F250)),"")</f>
        <v>522.22032696363635</v>
      </c>
      <c r="H250" s="43">
        <f>IFERROR(G250*E241,"")</f>
        <v>0</v>
      </c>
    </row>
    <row r="251" spans="1:11">
      <c r="A251" s="28"/>
      <c r="B251" s="29" t="s">
        <v>3626</v>
      </c>
      <c r="C251" s="30" t="str">
        <f>IFERROR(VLOOKUP($B251,Equipo[],2,0),"")</f>
        <v>%MO</v>
      </c>
      <c r="D251" s="146">
        <v>0.05</v>
      </c>
      <c r="E251" s="32">
        <f>IF(C251="%MO",G256,IFERROR(VLOOKUP($B251,Equipo[],3,0),""))</f>
        <v>13055.50817409091</v>
      </c>
      <c r="F251" s="33"/>
      <c r="G251" s="34">
        <f>IFERROR(IF(F251&gt;=0,D251*E251*(1+F251/100),ABS(D251*E251/F251)),"")</f>
        <v>652.7754087045455</v>
      </c>
      <c r="H251" s="43">
        <f>IFERROR(G251*E241,"")</f>
        <v>0</v>
      </c>
    </row>
    <row r="252" spans="1:11">
      <c r="A252" s="28"/>
      <c r="B252" s="29"/>
      <c r="C252" s="30" t="str">
        <f>IFERROR(VLOOKUP($B252,Equipo[],2,0),"")</f>
        <v/>
      </c>
      <c r="D252" s="150"/>
      <c r="E252" s="32" t="str">
        <f>IF(C252="%MO",G256,IFERROR(VLOOKUP($B252,Equipo[],3,0),""))</f>
        <v/>
      </c>
      <c r="F252" s="33"/>
      <c r="G252" s="34" t="str">
        <f>IFERROR(IF(F252&gt;=0,D252*E252*(1+F252/100),ABS(D252*E252/F252)),"")</f>
        <v/>
      </c>
      <c r="H252" s="43" t="str">
        <f>IFERROR(G252*E241,"")</f>
        <v/>
      </c>
    </row>
    <row r="253" spans="1:11">
      <c r="A253" s="21"/>
      <c r="B253" s="22" t="s">
        <v>2533</v>
      </c>
      <c r="C253" s="23"/>
      <c r="D253" s="153"/>
      <c r="E253" s="25"/>
      <c r="F253" s="26"/>
      <c r="G253" s="27">
        <f>SUM(G254:G255)</f>
        <v>0</v>
      </c>
      <c r="H253" s="44">
        <f>G253*E241</f>
        <v>0</v>
      </c>
    </row>
    <row r="254" spans="1:11">
      <c r="A254" s="28"/>
      <c r="B254" s="29"/>
      <c r="C254" s="30" t="str">
        <f>IFERROR(VLOOKUP($B254,Transporte[],2,0),"")</f>
        <v/>
      </c>
      <c r="D254" s="150"/>
      <c r="E254" s="32" t="str">
        <f>IFERROR(VLOOKUP($B254,Transporte[],3,0),"")</f>
        <v/>
      </c>
      <c r="F254" s="33"/>
      <c r="G254" s="34" t="str">
        <f>IFERROR(IF(F254&gt;=0,D254*E254*(1+F254/100),ABS(D254*E254/F254)),"")</f>
        <v/>
      </c>
      <c r="H254" s="43" t="str">
        <f>IFERROR(G254*E241,"")</f>
        <v/>
      </c>
    </row>
    <row r="255" spans="1:11">
      <c r="A255" s="28"/>
      <c r="B255" s="29"/>
      <c r="C255" s="30" t="str">
        <f>IFERROR(VLOOKUP($B255,Transporte[],2,0),"")</f>
        <v/>
      </c>
      <c r="D255" s="150"/>
      <c r="E255" s="32" t="str">
        <f>IFERROR(VLOOKUP($B255,Transporte[],3,0),"")</f>
        <v/>
      </c>
      <c r="F255" s="33"/>
      <c r="G255" s="34" t="str">
        <f>IFERROR(IF(F255&gt;=0,D255*E255*(1+F255/100),ABS(D255*E255/F255)),"")</f>
        <v/>
      </c>
      <c r="H255" s="43" t="str">
        <f>IFERROR(G255*E241,"")</f>
        <v/>
      </c>
    </row>
    <row r="256" spans="1:11">
      <c r="A256" s="21"/>
      <c r="B256" s="22" t="s">
        <v>3732</v>
      </c>
      <c r="C256" s="23"/>
      <c r="D256" s="153"/>
      <c r="E256" s="25"/>
      <c r="F256" s="26"/>
      <c r="G256" s="27">
        <f>SUM(G257:G259)</f>
        <v>13055.50817409091</v>
      </c>
      <c r="H256" s="44">
        <f>G256*E241</f>
        <v>0</v>
      </c>
    </row>
    <row r="257" spans="1:11">
      <c r="A257" s="28"/>
      <c r="B257" s="29" t="s">
        <v>3711</v>
      </c>
      <c r="C257" s="30" t="str">
        <f>IFERROR(VLOOKUP($B257,MObra[],2,0),"")</f>
        <v>día</v>
      </c>
      <c r="D257" s="150">
        <v>1</v>
      </c>
      <c r="E257" s="32">
        <f>IFERROR(VLOOKUP($B257,MObra[],3,0),"")</f>
        <v>430831.76974500006</v>
      </c>
      <c r="F257" s="33">
        <v>-33</v>
      </c>
      <c r="G257" s="34">
        <f>IFERROR(IF(F257&gt;=0,D257*E257*(1+F257/100),ABS(D257*E257/F257)),"")</f>
        <v>13055.50817409091</v>
      </c>
      <c r="H257" s="43">
        <f>IFERROR(G257*E241,"")</f>
        <v>0</v>
      </c>
    </row>
    <row r="258" spans="1:11">
      <c r="A258" s="28"/>
      <c r="B258" s="29"/>
      <c r="C258" s="30" t="str">
        <f>IFERROR(VLOOKUP($B258,MObra[],2,0),"")</f>
        <v/>
      </c>
      <c r="D258" s="150"/>
      <c r="E258" s="32" t="str">
        <f>IFERROR(VLOOKUP($B258,MObra[],3,0),"")</f>
        <v/>
      </c>
      <c r="F258" s="33"/>
      <c r="G258" s="34" t="str">
        <f>IFERROR(IF(F258&gt;=0,D258*E258*(1+F258/100),ABS(D258*E258/F258)),"")</f>
        <v/>
      </c>
      <c r="H258" s="43" t="str">
        <f>IFERROR(G258*E241,"")</f>
        <v/>
      </c>
    </row>
    <row r="259" spans="1:11">
      <c r="A259" s="35"/>
      <c r="B259" s="36"/>
      <c r="C259" s="37" t="str">
        <f>IFERROR(VLOOKUP($B259,MObra[],2,0),"")</f>
        <v/>
      </c>
      <c r="D259" s="148"/>
      <c r="E259" s="39" t="str">
        <f>IFERROR(VLOOKUP($B259,MObra[],3,0),"")</f>
        <v/>
      </c>
      <c r="F259" s="40"/>
      <c r="G259" s="41" t="str">
        <f>IFERROR(IF(F259&gt;=0,D259*E259*(1+F259/100),ABS(D259*E259/F259)),"")</f>
        <v/>
      </c>
      <c r="H259" s="42" t="str">
        <f>IFERROR(G259*E241,"")</f>
        <v/>
      </c>
    </row>
    <row r="261" spans="1:11">
      <c r="A261" s="6" t="s">
        <v>41</v>
      </c>
      <c r="B261" s="7" t="str">
        <f>VLOOKUP($A261,Presupuesto!$A:$D,2,FALSE())</f>
        <v>Cerramiento malla electrosoldada U89 H=1.8 m</v>
      </c>
      <c r="C261" s="8" t="str">
        <f>VLOOKUP($A261,Presupuesto!$A:$D,3,FALSE())</f>
        <v>M</v>
      </c>
      <c r="D261" s="9"/>
      <c r="E261" s="147">
        <f>VLOOKUP($A261,Presupuesto!$A:$D,4,FALSE())</f>
        <v>0</v>
      </c>
      <c r="F261" s="11" t="s">
        <v>2589</v>
      </c>
      <c r="G261" s="12">
        <f>SUM(G263:G279)/2</f>
        <v>42810.317409759096</v>
      </c>
      <c r="H261" s="13">
        <f>ROUND(SUM(H263:H279),0)/2</f>
        <v>0</v>
      </c>
      <c r="I261" s="10">
        <f>VLOOKUP(A261,Presupuesto!$A:$F,6,0)</f>
        <v>0</v>
      </c>
      <c r="J261" s="10">
        <f>+H261-I261</f>
        <v>0</v>
      </c>
      <c r="K261" s="46">
        <f>+H261-G261*E261</f>
        <v>0</v>
      </c>
    </row>
    <row r="262" spans="1:11">
      <c r="A262" s="14"/>
      <c r="B262" s="15" t="s">
        <v>2586</v>
      </c>
      <c r="C262" s="15" t="s">
        <v>5</v>
      </c>
      <c r="D262" s="16" t="s">
        <v>6</v>
      </c>
      <c r="E262" s="17" t="s">
        <v>7</v>
      </c>
      <c r="F262" s="18" t="s">
        <v>3728</v>
      </c>
      <c r="G262" s="19" t="s">
        <v>3729</v>
      </c>
      <c r="H262" s="20" t="s">
        <v>3797</v>
      </c>
    </row>
    <row r="263" spans="1:11">
      <c r="A263" s="21"/>
      <c r="B263" s="22" t="s">
        <v>3730</v>
      </c>
      <c r="C263" s="23"/>
      <c r="D263" s="24"/>
      <c r="E263" s="25"/>
      <c r="F263" s="26"/>
      <c r="G263" s="27">
        <f>SUM(G264:G268)</f>
        <v>28579.813500000004</v>
      </c>
      <c r="H263" s="27">
        <f>IFERROR(G263*E261,"")</f>
        <v>0</v>
      </c>
    </row>
    <row r="264" spans="1:11">
      <c r="A264" s="28"/>
      <c r="B264" s="29" t="s">
        <v>2991</v>
      </c>
      <c r="C264" s="30" t="str">
        <f>IFERROR(VLOOKUP($B264,Insumo[],2,0),"")</f>
        <v>Un</v>
      </c>
      <c r="D264" s="146">
        <v>0.5</v>
      </c>
      <c r="E264" s="32">
        <f>IFERROR(VLOOKUP($B264,Insumo[],3,0),"")</f>
        <v>10798.2</v>
      </c>
      <c r="F264" s="33"/>
      <c r="G264" s="34">
        <f>IFERROR(IF(F264&gt;=0,D264*E264*(1+F264/100),ABS(D264*E264/F264)),"")</f>
        <v>5399.1</v>
      </c>
      <c r="H264" s="43">
        <f>IFERROR(G264*E261,"")</f>
        <v>0</v>
      </c>
    </row>
    <row r="265" spans="1:11">
      <c r="A265" s="28"/>
      <c r="B265" s="29" t="s">
        <v>3132</v>
      </c>
      <c r="C265" s="30" t="str">
        <f>IFERROR(VLOOKUP($B265,Insumo[],2,0),"")</f>
        <v>Un</v>
      </c>
      <c r="D265" s="146">
        <v>0.18</v>
      </c>
      <c r="E265" s="32">
        <f>IFERROR(VLOOKUP($B265,Insumo[],3,0),"")</f>
        <v>122150.70000000001</v>
      </c>
      <c r="F265" s="33"/>
      <c r="G265" s="34">
        <f>IFERROR(IF(F265&gt;=0,D265*E265*(1+F265/100),ABS(D265*E265/F265)),"")</f>
        <v>21987.126</v>
      </c>
      <c r="H265" s="43">
        <f>IFERROR(G265*E261,"")</f>
        <v>0</v>
      </c>
    </row>
    <row r="266" spans="1:11">
      <c r="A266" s="28"/>
      <c r="B266" s="29" t="s">
        <v>3253</v>
      </c>
      <c r="C266" s="30" t="str">
        <f>IFERROR(VLOOKUP($B266,Insumo[],2,0),"")</f>
        <v>Lb</v>
      </c>
      <c r="D266" s="152">
        <v>0.125</v>
      </c>
      <c r="E266" s="32">
        <f>IFERROR(VLOOKUP($B266,Insumo[],3,0),"")</f>
        <v>6482.7000000000007</v>
      </c>
      <c r="F266" s="33"/>
      <c r="G266" s="34">
        <f>IFERROR(IF(F266&gt;=0,D266*E266*(1+F266/100),ABS(D266*E266/F266)),"")</f>
        <v>810.33750000000009</v>
      </c>
      <c r="H266" s="43">
        <f>IFERROR(G266*E261,"")</f>
        <v>0</v>
      </c>
    </row>
    <row r="267" spans="1:11">
      <c r="A267" s="28"/>
      <c r="B267" s="29" t="s">
        <v>2699</v>
      </c>
      <c r="C267" s="30" t="str">
        <f>IFERROR(VLOOKUP($B267,Insumo[],2,0),"")</f>
        <v>Kg</v>
      </c>
      <c r="D267" s="146">
        <v>0.05</v>
      </c>
      <c r="E267" s="32">
        <f>IFERROR(VLOOKUP($B267,Insumo[],3,0),"")</f>
        <v>7665</v>
      </c>
      <c r="F267" s="33"/>
      <c r="G267" s="34">
        <f>IFERROR(IF(F267&gt;=0,D267*E267*(1+F267/100),ABS(D267*E267/F267)),"")</f>
        <v>383.25</v>
      </c>
      <c r="H267" s="43">
        <f>IFERROR(G267*E261,"")</f>
        <v>0</v>
      </c>
    </row>
    <row r="268" spans="1:11">
      <c r="A268" s="28"/>
      <c r="B268" s="29"/>
      <c r="C268" s="30" t="str">
        <f>IFERROR(VLOOKUP($B268,Insumo[],2,0),"")</f>
        <v/>
      </c>
      <c r="D268" s="146"/>
      <c r="E268" s="32" t="str">
        <f>IFERROR(VLOOKUP($B268,Insumo[],3,0),"")</f>
        <v/>
      </c>
      <c r="F268" s="33"/>
      <c r="G268" s="34" t="str">
        <f>IFERROR(IF(F268&gt;=0,D268*E268*(1+F268/100),ABS(D268*E268/F268)),"")</f>
        <v/>
      </c>
      <c r="H268" s="43" t="str">
        <f>IFERROR(G268*E261,"")</f>
        <v/>
      </c>
    </row>
    <row r="269" spans="1:11">
      <c r="A269" s="21"/>
      <c r="B269" s="22" t="s">
        <v>3731</v>
      </c>
      <c r="C269" s="23"/>
      <c r="D269" s="151"/>
      <c r="E269" s="25"/>
      <c r="F269" s="26"/>
      <c r="G269" s="27">
        <f>SUM(G270:G272)</f>
        <v>1174.9957356681819</v>
      </c>
      <c r="H269" s="44">
        <f>G269*E261</f>
        <v>0</v>
      </c>
    </row>
    <row r="270" spans="1:11">
      <c r="A270" s="28"/>
      <c r="B270" s="29" t="s">
        <v>3570</v>
      </c>
      <c r="C270" s="30" t="str">
        <f>IFERROR(VLOOKUP($B270,Equipo[],2,0),"")</f>
        <v>%MO</v>
      </c>
      <c r="D270" s="146">
        <v>0.04</v>
      </c>
      <c r="E270" s="32">
        <f>IF(C270="%MO",G276,IFERROR(VLOOKUP($B270,Equipo[],3,0),""))</f>
        <v>13055.50817409091</v>
      </c>
      <c r="F270" s="33"/>
      <c r="G270" s="34">
        <f>IFERROR(IF(F270&gt;=0,D270*E270*(1+F270/100),ABS(D270*E270/F270)),"")</f>
        <v>522.22032696363635</v>
      </c>
      <c r="H270" s="43">
        <f>IFERROR(G270*E261,"")</f>
        <v>0</v>
      </c>
    </row>
    <row r="271" spans="1:11">
      <c r="A271" s="28"/>
      <c r="B271" s="29" t="s">
        <v>3626</v>
      </c>
      <c r="C271" s="30" t="str">
        <f>IFERROR(VLOOKUP($B271,Equipo[],2,0),"")</f>
        <v>%MO</v>
      </c>
      <c r="D271" s="146">
        <v>0.05</v>
      </c>
      <c r="E271" s="32">
        <f>IF(C271="%MO",G276,IFERROR(VLOOKUP($B271,Equipo[],3,0),""))</f>
        <v>13055.50817409091</v>
      </c>
      <c r="F271" s="33"/>
      <c r="G271" s="34">
        <f>IFERROR(IF(F271&gt;=0,D271*E271*(1+F271/100),ABS(D271*E271/F271)),"")</f>
        <v>652.7754087045455</v>
      </c>
      <c r="H271" s="43">
        <f>IFERROR(G271*E261,"")</f>
        <v>0</v>
      </c>
    </row>
    <row r="272" spans="1:11">
      <c r="A272" s="28"/>
      <c r="B272" s="29"/>
      <c r="C272" s="30" t="str">
        <f>IFERROR(VLOOKUP($B272,Equipo[],2,0),"")</f>
        <v/>
      </c>
      <c r="D272" s="146"/>
      <c r="E272" s="32" t="str">
        <f>IF(C272="%MO",G276,IFERROR(VLOOKUP($B272,Equipo[],3,0),""))</f>
        <v/>
      </c>
      <c r="F272" s="33"/>
      <c r="G272" s="34" t="str">
        <f>IFERROR(IF(F272&gt;=0,D272*E272*(1+F272/100),ABS(D272*E272/F272)),"")</f>
        <v/>
      </c>
      <c r="H272" s="43" t="str">
        <f>IFERROR(G272*E261,"")</f>
        <v/>
      </c>
    </row>
    <row r="273" spans="1:11">
      <c r="A273" s="21"/>
      <c r="B273" s="22" t="s">
        <v>2533</v>
      </c>
      <c r="C273" s="23"/>
      <c r="D273" s="151"/>
      <c r="E273" s="25"/>
      <c r="F273" s="26"/>
      <c r="G273" s="27">
        <f>SUM(G274:G275)</f>
        <v>0</v>
      </c>
      <c r="H273" s="44">
        <f>G273*E261</f>
        <v>0</v>
      </c>
    </row>
    <row r="274" spans="1:11">
      <c r="A274" s="28"/>
      <c r="B274" s="29"/>
      <c r="C274" s="30" t="str">
        <f>IFERROR(VLOOKUP($B274,Transporte[],2,0),"")</f>
        <v/>
      </c>
      <c r="D274" s="150"/>
      <c r="E274" s="32" t="str">
        <f>IFERROR(VLOOKUP($B274,Transporte[],3,0),"")</f>
        <v/>
      </c>
      <c r="F274" s="33"/>
      <c r="G274" s="34" t="str">
        <f>IFERROR(IF(F274&gt;=0,D274*E274*(1+F274/100),ABS(D274*E274/F274)),"")</f>
        <v/>
      </c>
      <c r="H274" s="43" t="str">
        <f>IFERROR(G274*E261,"")</f>
        <v/>
      </c>
    </row>
    <row r="275" spans="1:11">
      <c r="A275" s="28"/>
      <c r="B275" s="29"/>
      <c r="C275" s="30" t="str">
        <f>IFERROR(VLOOKUP($B275,Transporte[],2,0),"")</f>
        <v/>
      </c>
      <c r="D275" s="150"/>
      <c r="E275" s="32" t="str">
        <f>IFERROR(VLOOKUP($B275,Transporte[],3,0),"")</f>
        <v/>
      </c>
      <c r="F275" s="33"/>
      <c r="G275" s="34" t="str">
        <f>IFERROR(IF(F275&gt;=0,D275*E275*(1+F275/100),ABS(D275*E275/F275)),"")</f>
        <v/>
      </c>
      <c r="H275" s="43" t="str">
        <f>IFERROR(G275*E261,"")</f>
        <v/>
      </c>
    </row>
    <row r="276" spans="1:11">
      <c r="A276" s="21"/>
      <c r="B276" s="22" t="s">
        <v>3732</v>
      </c>
      <c r="C276" s="23"/>
      <c r="D276" s="153"/>
      <c r="E276" s="25"/>
      <c r="F276" s="26"/>
      <c r="G276" s="27">
        <f>SUM(G277:G279)</f>
        <v>13055.50817409091</v>
      </c>
      <c r="H276" s="44">
        <f>G276*E261</f>
        <v>0</v>
      </c>
    </row>
    <row r="277" spans="1:11">
      <c r="A277" s="28"/>
      <c r="B277" s="29" t="s">
        <v>3711</v>
      </c>
      <c r="C277" s="30" t="str">
        <f>IFERROR(VLOOKUP($B277,MObra[],2,0),"")</f>
        <v>día</v>
      </c>
      <c r="D277" s="150">
        <v>1</v>
      </c>
      <c r="E277" s="32">
        <f>IFERROR(VLOOKUP($B277,MObra[],3,0),"")</f>
        <v>430831.76974500006</v>
      </c>
      <c r="F277" s="33">
        <v>-33</v>
      </c>
      <c r="G277" s="34">
        <f>IFERROR(IF(F277&gt;=0,D277*E277*(1+F277/100),ABS(D277*E277/F277)),"")</f>
        <v>13055.50817409091</v>
      </c>
      <c r="H277" s="43">
        <f>IFERROR(G277*E261,"")</f>
        <v>0</v>
      </c>
    </row>
    <row r="278" spans="1:11">
      <c r="A278" s="28"/>
      <c r="B278" s="29"/>
      <c r="C278" s="30" t="str">
        <f>IFERROR(VLOOKUP($B278,MObra[],2,0),"")</f>
        <v/>
      </c>
      <c r="D278" s="150"/>
      <c r="E278" s="32" t="str">
        <f>IFERROR(VLOOKUP($B278,MObra[],3,0),"")</f>
        <v/>
      </c>
      <c r="F278" s="33"/>
      <c r="G278" s="34" t="str">
        <f>IFERROR(IF(F278&gt;=0,D278*E278*(1+F278/100),ABS(D278*E278/F278)),"")</f>
        <v/>
      </c>
      <c r="H278" s="43" t="str">
        <f>IFERROR(G278*E261,"")</f>
        <v/>
      </c>
    </row>
    <row r="279" spans="1:11">
      <c r="A279" s="35"/>
      <c r="B279" s="36"/>
      <c r="C279" s="37" t="str">
        <f>IFERROR(VLOOKUP($B279,MObra[],2,0),"")</f>
        <v/>
      </c>
      <c r="D279" s="148"/>
      <c r="E279" s="39" t="str">
        <f>IFERROR(VLOOKUP($B279,MObra[],3,0),"")</f>
        <v/>
      </c>
      <c r="F279" s="40"/>
      <c r="G279" s="41" t="str">
        <f>IFERROR(IF(F279&gt;=0,D279*E279*(1+F279/100),ABS(D279*E279/F279)),"")</f>
        <v/>
      </c>
      <c r="H279" s="42" t="str">
        <f>IFERROR(G279*E261,"")</f>
        <v/>
      </c>
    </row>
    <row r="281" spans="1:11">
      <c r="A281" s="6" t="s">
        <v>43</v>
      </c>
      <c r="B281" s="7" t="str">
        <f>VLOOKUP($A281,Presupuesto!$A:$D,2,FALSE())</f>
        <v>Cinta plástica seguridad C 6</v>
      </c>
      <c r="C281" s="8" t="str">
        <f>VLOOKUP($A281,Presupuesto!$A:$D,3,FALSE())</f>
        <v>M</v>
      </c>
      <c r="D281" s="9"/>
      <c r="E281" s="147">
        <f>VLOOKUP($A281,Presupuesto!$A:$D,4,FALSE())</f>
        <v>0</v>
      </c>
      <c r="F281" s="11" t="s">
        <v>2589</v>
      </c>
      <c r="G281" s="12">
        <f>SUM(G283:G299)/2</f>
        <v>426.94481920800007</v>
      </c>
      <c r="H281" s="13">
        <f>ROUND(SUM(H283:H299),0)/2</f>
        <v>0</v>
      </c>
      <c r="I281" s="10">
        <f>VLOOKUP(A281,Presupuesto!$A:$F,6,0)</f>
        <v>0</v>
      </c>
      <c r="J281" s="10">
        <f>+H281-I281</f>
        <v>0</v>
      </c>
      <c r="K281" s="46">
        <f>+H281-G281*E281</f>
        <v>0</v>
      </c>
    </row>
    <row r="282" spans="1:11">
      <c r="A282" s="14"/>
      <c r="B282" s="15" t="s">
        <v>2586</v>
      </c>
      <c r="C282" s="15" t="s">
        <v>5</v>
      </c>
      <c r="D282" s="16" t="s">
        <v>6</v>
      </c>
      <c r="E282" s="17" t="s">
        <v>7</v>
      </c>
      <c r="F282" s="18" t="s">
        <v>3728</v>
      </c>
      <c r="G282" s="19" t="s">
        <v>3729</v>
      </c>
      <c r="H282" s="20" t="s">
        <v>3797</v>
      </c>
    </row>
    <row r="283" spans="1:11">
      <c r="A283" s="21"/>
      <c r="B283" s="22" t="s">
        <v>3730</v>
      </c>
      <c r="C283" s="23"/>
      <c r="D283" s="24"/>
      <c r="E283" s="25"/>
      <c r="F283" s="26"/>
      <c r="G283" s="27">
        <f>SUM(G284:G288)</f>
        <v>184.7475</v>
      </c>
      <c r="H283" s="27">
        <f>IFERROR(G283*E281,"")</f>
        <v>0</v>
      </c>
    </row>
    <row r="284" spans="1:11">
      <c r="A284" s="28"/>
      <c r="B284" s="29" t="s">
        <v>2846</v>
      </c>
      <c r="C284" s="30" t="str">
        <f>IFERROR(VLOOKUP($B284,Insumo[],2,0),"")</f>
        <v>M</v>
      </c>
      <c r="D284" s="150">
        <v>1</v>
      </c>
      <c r="E284" s="32">
        <f>IFERROR(VLOOKUP($B284,Insumo[],3,0),"")</f>
        <v>160.65</v>
      </c>
      <c r="F284" s="33">
        <v>15</v>
      </c>
      <c r="G284" s="34">
        <f>IFERROR(IF(F284&gt;=0,D284*E284*(1+F284/100),ABS(D284*E284/F284)),"")</f>
        <v>184.7475</v>
      </c>
      <c r="H284" s="43">
        <f>IFERROR(G284*E281,"")</f>
        <v>0</v>
      </c>
    </row>
    <row r="285" spans="1:11">
      <c r="A285" s="28"/>
      <c r="B285" s="29"/>
      <c r="C285" s="30" t="str">
        <f>IFERROR(VLOOKUP($B285,Insumo[],2,0),"")</f>
        <v/>
      </c>
      <c r="D285" s="150"/>
      <c r="E285" s="32" t="str">
        <f>IFERROR(VLOOKUP($B285,Insumo[],3,0),"")</f>
        <v/>
      </c>
      <c r="F285" s="33"/>
      <c r="G285" s="34" t="str">
        <f>IFERROR(IF(F285&gt;=0,D285*E285*(1+F285/100),ABS(D285*E285/F285)),"")</f>
        <v/>
      </c>
      <c r="H285" s="43" t="str">
        <f>IFERROR(G285*E281,"")</f>
        <v/>
      </c>
    </row>
    <row r="286" spans="1:11">
      <c r="A286" s="28"/>
      <c r="B286" s="29"/>
      <c r="C286" s="30" t="str">
        <f>IFERROR(VLOOKUP($B286,Insumo[],2,0),"")</f>
        <v/>
      </c>
      <c r="D286" s="150"/>
      <c r="E286" s="32" t="str">
        <f>IFERROR(VLOOKUP($B286,Insumo[],3,0),"")</f>
        <v/>
      </c>
      <c r="F286" s="33"/>
      <c r="G286" s="34" t="str">
        <f>IFERROR(IF(F286&gt;=0,D286*E286*(1+F286/100),ABS(D286*E286/F286)),"")</f>
        <v/>
      </c>
      <c r="H286" s="43" t="str">
        <f>IFERROR(G286*E281,"")</f>
        <v/>
      </c>
    </row>
    <row r="287" spans="1:11">
      <c r="A287" s="28"/>
      <c r="B287" s="29"/>
      <c r="C287" s="30" t="str">
        <f>IFERROR(VLOOKUP($B287,Insumo[],2,0),"")</f>
        <v/>
      </c>
      <c r="D287" s="150"/>
      <c r="E287" s="32" t="str">
        <f>IFERROR(VLOOKUP($B287,Insumo[],3,0),"")</f>
        <v/>
      </c>
      <c r="F287" s="33"/>
      <c r="G287" s="34" t="str">
        <f>IFERROR(IF(F287&gt;=0,D287*E287*(1+F287/100),ABS(D287*E287/F287)),"")</f>
        <v/>
      </c>
      <c r="H287" s="43" t="str">
        <f>IFERROR(G287*E281,"")</f>
        <v/>
      </c>
    </row>
    <row r="288" spans="1:11">
      <c r="A288" s="28"/>
      <c r="B288" s="29"/>
      <c r="C288" s="30" t="str">
        <f>IFERROR(VLOOKUP($B288,Insumo[],2,0),"")</f>
        <v/>
      </c>
      <c r="D288" s="146"/>
      <c r="E288" s="32" t="str">
        <f>IFERROR(VLOOKUP($B288,Insumo[],3,0),"")</f>
        <v/>
      </c>
      <c r="F288" s="33"/>
      <c r="G288" s="34" t="str">
        <f>IFERROR(IF(F288&gt;=0,D288*E288*(1+F288/100),ABS(D288*E288/F288)),"")</f>
        <v/>
      </c>
      <c r="H288" s="43" t="str">
        <f>IFERROR(G288*E281,"")</f>
        <v/>
      </c>
    </row>
    <row r="289" spans="1:11">
      <c r="A289" s="21"/>
      <c r="B289" s="22" t="s">
        <v>3731</v>
      </c>
      <c r="C289" s="23"/>
      <c r="D289" s="151"/>
      <c r="E289" s="25"/>
      <c r="F289" s="26"/>
      <c r="G289" s="27">
        <f>SUM(G290:G292)</f>
        <v>9.3152815080000018</v>
      </c>
      <c r="H289" s="44">
        <f>G289*E281</f>
        <v>0</v>
      </c>
    </row>
    <row r="290" spans="1:11">
      <c r="A290" s="28"/>
      <c r="B290" s="29" t="s">
        <v>3570</v>
      </c>
      <c r="C290" s="30" t="str">
        <f>IFERROR(VLOOKUP($B290,Equipo[],2,0),"")</f>
        <v>%MO</v>
      </c>
      <c r="D290" s="146">
        <v>0.04</v>
      </c>
      <c r="E290" s="32">
        <f>IF(C290="%MO",G296,IFERROR(VLOOKUP($B290,Equipo[],3,0),""))</f>
        <v>232.88203770000004</v>
      </c>
      <c r="F290" s="33"/>
      <c r="G290" s="34">
        <f>IFERROR(IF(F290&gt;=0,D290*E290*(1+F290/100),ABS(D290*E290/F290)),"")</f>
        <v>9.3152815080000018</v>
      </c>
      <c r="H290" s="43">
        <f>IFERROR(G290*E281,"")</f>
        <v>0</v>
      </c>
    </row>
    <row r="291" spans="1:11">
      <c r="A291" s="28"/>
      <c r="B291" s="29"/>
      <c r="C291" s="30" t="str">
        <f>IFERROR(VLOOKUP($B291,Equipo[],2,0),"")</f>
        <v/>
      </c>
      <c r="D291" s="146"/>
      <c r="E291" s="32" t="str">
        <f>IF(C291="%MO",G296,IFERROR(VLOOKUP($B291,Equipo[],3,0),""))</f>
        <v/>
      </c>
      <c r="F291" s="33"/>
      <c r="G291" s="34" t="str">
        <f>IFERROR(IF(F291&gt;=0,D291*E291*(1+F291/100),ABS(D291*E291/F291)),"")</f>
        <v/>
      </c>
      <c r="H291" s="43" t="str">
        <f>IFERROR(G291*E281,"")</f>
        <v/>
      </c>
    </row>
    <row r="292" spans="1:11">
      <c r="A292" s="28"/>
      <c r="B292" s="29"/>
      <c r="C292" s="30" t="str">
        <f>IFERROR(VLOOKUP($B292,Equipo[],2,0),"")</f>
        <v/>
      </c>
      <c r="D292" s="146"/>
      <c r="E292" s="32" t="str">
        <f>IF(C292="%MO",G296,IFERROR(VLOOKUP($B292,Equipo[],3,0),""))</f>
        <v/>
      </c>
      <c r="F292" s="33"/>
      <c r="G292" s="34" t="str">
        <f>IFERROR(IF(F292&gt;=0,D292*E292*(1+F292/100),ABS(D292*E292/F292)),"")</f>
        <v/>
      </c>
      <c r="H292" s="43" t="str">
        <f>IFERROR(G292*E281,"")</f>
        <v/>
      </c>
    </row>
    <row r="293" spans="1:11">
      <c r="A293" s="21"/>
      <c r="B293" s="22" t="s">
        <v>2533</v>
      </c>
      <c r="C293" s="23"/>
      <c r="D293" s="151"/>
      <c r="E293" s="25"/>
      <c r="F293" s="26"/>
      <c r="G293" s="27">
        <f>SUM(G294:G295)</f>
        <v>0</v>
      </c>
      <c r="H293" s="44">
        <f>G293*E281</f>
        <v>0</v>
      </c>
    </row>
    <row r="294" spans="1:11">
      <c r="A294" s="28"/>
      <c r="B294" s="29"/>
      <c r="C294" s="30" t="str">
        <f>IFERROR(VLOOKUP($B294,Transporte[],2,0),"")</f>
        <v/>
      </c>
      <c r="D294" s="150"/>
      <c r="E294" s="32" t="str">
        <f>IFERROR(VLOOKUP($B294,Transporte[],3,0),"")</f>
        <v/>
      </c>
      <c r="F294" s="33"/>
      <c r="G294" s="34" t="str">
        <f>IFERROR(IF(F294&gt;=0,D294*E294*(1+F294/100),ABS(D294*E294/F294)),"")</f>
        <v/>
      </c>
      <c r="H294" s="43" t="str">
        <f>IFERROR(G294*E281,"")</f>
        <v/>
      </c>
    </row>
    <row r="295" spans="1:11">
      <c r="A295" s="28"/>
      <c r="B295" s="29"/>
      <c r="C295" s="30" t="str">
        <f>IFERROR(VLOOKUP($B295,Transporte[],2,0),"")</f>
        <v/>
      </c>
      <c r="D295" s="150"/>
      <c r="E295" s="32" t="str">
        <f>IFERROR(VLOOKUP($B295,Transporte[],3,0),"")</f>
        <v/>
      </c>
      <c r="F295" s="33"/>
      <c r="G295" s="34" t="str">
        <f>IFERROR(IF(F295&gt;=0,D295*E295*(1+F295/100),ABS(D295*E295/F295)),"")</f>
        <v/>
      </c>
      <c r="H295" s="43" t="str">
        <f>IFERROR(G295*E281,"")</f>
        <v/>
      </c>
    </row>
    <row r="296" spans="1:11">
      <c r="A296" s="21"/>
      <c r="B296" s="22" t="s">
        <v>3732</v>
      </c>
      <c r="C296" s="23"/>
      <c r="D296" s="153"/>
      <c r="E296" s="25"/>
      <c r="F296" s="26"/>
      <c r="G296" s="27">
        <f>SUM(G297:G299)</f>
        <v>232.88203770000004</v>
      </c>
      <c r="H296" s="44">
        <f>G296*E281</f>
        <v>0</v>
      </c>
    </row>
    <row r="297" spans="1:11">
      <c r="A297" s="28"/>
      <c r="B297" s="29" t="s">
        <v>3698</v>
      </c>
      <c r="C297" s="30" t="str">
        <f>IFERROR(VLOOKUP($B297,MObra[],2,0),"")</f>
        <v>día</v>
      </c>
      <c r="D297" s="150">
        <v>1</v>
      </c>
      <c r="E297" s="32">
        <f>IFERROR(VLOOKUP($B297,MObra[],3,0),"")</f>
        <v>116441.01885000002</v>
      </c>
      <c r="F297" s="33">
        <v>-500</v>
      </c>
      <c r="G297" s="34">
        <f>IFERROR(IF(F297&gt;=0,D297*E297*(1+F297/100),ABS(D297*E297/F297)),"")</f>
        <v>232.88203770000004</v>
      </c>
      <c r="H297" s="43">
        <f>IFERROR(G297*E281,"")</f>
        <v>0</v>
      </c>
    </row>
    <row r="298" spans="1:11">
      <c r="A298" s="28"/>
      <c r="B298" s="29"/>
      <c r="C298" s="30" t="str">
        <f>IFERROR(VLOOKUP($B298,MObra[],2,0),"")</f>
        <v/>
      </c>
      <c r="D298" s="150"/>
      <c r="E298" s="32" t="str">
        <f>IFERROR(VLOOKUP($B298,MObra[],3,0),"")</f>
        <v/>
      </c>
      <c r="F298" s="33"/>
      <c r="G298" s="34" t="str">
        <f>IFERROR(IF(F298&gt;=0,D298*E298*(1+F298/100),ABS(D298*E298/F298)),"")</f>
        <v/>
      </c>
      <c r="H298" s="43" t="str">
        <f>IFERROR(G298*E281,"")</f>
        <v/>
      </c>
    </row>
    <row r="299" spans="1:11">
      <c r="A299" s="35"/>
      <c r="B299" s="36"/>
      <c r="C299" s="37" t="str">
        <f>IFERROR(VLOOKUP($B299,MObra[],2,0),"")</f>
        <v/>
      </c>
      <c r="D299" s="148"/>
      <c r="E299" s="39" t="str">
        <f>IFERROR(VLOOKUP($B299,MObra[],3,0),"")</f>
        <v/>
      </c>
      <c r="F299" s="40"/>
      <c r="G299" s="41" t="str">
        <f>IFERROR(IF(F299&gt;=0,D299*E299*(1+F299/100),ABS(D299*E299/F299)),"")</f>
        <v/>
      </c>
      <c r="H299" s="42" t="str">
        <f>IFERROR(G299*E281,"")</f>
        <v/>
      </c>
    </row>
    <row r="301" spans="1:11">
      <c r="A301" s="6" t="s">
        <v>45</v>
      </c>
      <c r="B301" s="7" t="str">
        <f>VLOOKUP($A301,Presupuesto!$A:$D,2,FALSE())</f>
        <v>Comisión de topografía con servicio de escolta</v>
      </c>
      <c r="C301" s="8" t="str">
        <f>VLOOKUP($A301,Presupuesto!$A:$D,3,FALSE())</f>
        <v>Día</v>
      </c>
      <c r="D301" s="9"/>
      <c r="E301" s="147">
        <f>VLOOKUP($A301,Presupuesto!$A:$D,4,FALSE())</f>
        <v>0</v>
      </c>
      <c r="F301" s="11" t="s">
        <v>2589</v>
      </c>
      <c r="G301" s="12">
        <f>SUM(G303:G319)/2</f>
        <v>1122053.2861492501</v>
      </c>
      <c r="H301" s="13">
        <f>ROUND(SUM(H303:H319),0)/2</f>
        <v>0</v>
      </c>
      <c r="I301" s="10">
        <f>VLOOKUP(A301,Presupuesto!$A:$F,6,0)</f>
        <v>0</v>
      </c>
      <c r="J301" s="10">
        <f>+H301-I301</f>
        <v>0</v>
      </c>
      <c r="K301" s="46">
        <f>+H301-G301*E301</f>
        <v>0</v>
      </c>
    </row>
    <row r="302" spans="1:11">
      <c r="A302" s="14"/>
      <c r="B302" s="15" t="s">
        <v>2586</v>
      </c>
      <c r="C302" s="15" t="s">
        <v>5</v>
      </c>
      <c r="D302" s="16" t="s">
        <v>6</v>
      </c>
      <c r="E302" s="17" t="s">
        <v>7</v>
      </c>
      <c r="F302" s="18" t="s">
        <v>3728</v>
      </c>
      <c r="G302" s="19" t="s">
        <v>3729</v>
      </c>
      <c r="H302" s="20" t="s">
        <v>3797</v>
      </c>
    </row>
    <row r="303" spans="1:11">
      <c r="A303" s="21"/>
      <c r="B303" s="22" t="s">
        <v>3730</v>
      </c>
      <c r="C303" s="23"/>
      <c r="D303" s="24"/>
      <c r="E303" s="25"/>
      <c r="F303" s="26"/>
      <c r="G303" s="27">
        <f>SUM(G304:G308)</f>
        <v>475109.25</v>
      </c>
      <c r="H303" s="27">
        <f>IFERROR(G303*E301,"")</f>
        <v>0</v>
      </c>
    </row>
    <row r="304" spans="1:11">
      <c r="A304" s="28"/>
      <c r="B304" s="29" t="s">
        <v>3296</v>
      </c>
      <c r="C304" s="30" t="str">
        <f>IFERROR(VLOOKUP($B304,Insumo[],2,0),"")</f>
        <v>dia</v>
      </c>
      <c r="D304" s="150">
        <v>1</v>
      </c>
      <c r="E304" s="32">
        <f>IFERROR(VLOOKUP($B304,Insumo[],3,0),"")</f>
        <v>475109.25</v>
      </c>
      <c r="F304" s="33"/>
      <c r="G304" s="34">
        <f>IFERROR(IF(F304&gt;=0,D304*E304*(1+F304/100),ABS(D304*E304/F304)),"")</f>
        <v>475109.25</v>
      </c>
      <c r="H304" s="43">
        <f>IFERROR(G304*E301,"")</f>
        <v>0</v>
      </c>
    </row>
    <row r="305" spans="1:8">
      <c r="A305" s="28"/>
      <c r="B305" s="29"/>
      <c r="C305" s="30" t="str">
        <f>IFERROR(VLOOKUP($B305,Insumo[],2,0),"")</f>
        <v/>
      </c>
      <c r="D305" s="150"/>
      <c r="E305" s="32" t="str">
        <f>IFERROR(VLOOKUP($B305,Insumo[],3,0),"")</f>
        <v/>
      </c>
      <c r="F305" s="33"/>
      <c r="G305" s="34" t="str">
        <f>IFERROR(IF(F305&gt;=0,D305*E305*(1+F305/100),ABS(D305*E305/F305)),"")</f>
        <v/>
      </c>
      <c r="H305" s="43" t="str">
        <f>IFERROR(G305*E301,"")</f>
        <v/>
      </c>
    </row>
    <row r="306" spans="1:8">
      <c r="A306" s="28"/>
      <c r="B306" s="29"/>
      <c r="C306" s="30" t="str">
        <f>IFERROR(VLOOKUP($B306,Insumo[],2,0),"")</f>
        <v/>
      </c>
      <c r="D306" s="150"/>
      <c r="E306" s="32" t="str">
        <f>IFERROR(VLOOKUP($B306,Insumo[],3,0),"")</f>
        <v/>
      </c>
      <c r="F306" s="33"/>
      <c r="G306" s="34" t="str">
        <f>IFERROR(IF(F306&gt;=0,D306*E306*(1+F306/100),ABS(D306*E306/F306)),"")</f>
        <v/>
      </c>
      <c r="H306" s="43" t="str">
        <f>IFERROR(G306*E301,"")</f>
        <v/>
      </c>
    </row>
    <row r="307" spans="1:8">
      <c r="A307" s="28"/>
      <c r="B307" s="29"/>
      <c r="C307" s="30" t="str">
        <f>IFERROR(VLOOKUP($B307,Insumo[],2,0),"")</f>
        <v/>
      </c>
      <c r="D307" s="150"/>
      <c r="E307" s="32" t="str">
        <f>IFERROR(VLOOKUP($B307,Insumo[],3,0),"")</f>
        <v/>
      </c>
      <c r="F307" s="33"/>
      <c r="G307" s="34" t="str">
        <f>IFERROR(IF(F307&gt;=0,D307*E307*(1+F307/100),ABS(D307*E307/F307)),"")</f>
        <v/>
      </c>
      <c r="H307" s="43" t="str">
        <f>IFERROR(G307*E301,"")</f>
        <v/>
      </c>
    </row>
    <row r="308" spans="1:8">
      <c r="A308" s="28"/>
      <c r="B308" s="29"/>
      <c r="C308" s="30" t="str">
        <f>IFERROR(VLOOKUP($B308,Insumo[],2,0),"")</f>
        <v/>
      </c>
      <c r="D308" s="150"/>
      <c r="E308" s="32" t="str">
        <f>IFERROR(VLOOKUP($B308,Insumo[],3,0),"")</f>
        <v/>
      </c>
      <c r="F308" s="33"/>
      <c r="G308" s="34" t="str">
        <f>IFERROR(IF(F308&gt;=0,D308*E308*(1+F308/100),ABS(D308*E308/F308)),"")</f>
        <v/>
      </c>
      <c r="H308" s="43" t="str">
        <f>IFERROR(G308*E301,"")</f>
        <v/>
      </c>
    </row>
    <row r="309" spans="1:8">
      <c r="A309" s="21"/>
      <c r="B309" s="22" t="s">
        <v>3731</v>
      </c>
      <c r="C309" s="23"/>
      <c r="D309" s="151"/>
      <c r="E309" s="25"/>
      <c r="F309" s="26"/>
      <c r="G309" s="27">
        <f>SUM(G310:G312)</f>
        <v>169535.85886425001</v>
      </c>
      <c r="H309" s="44">
        <f>G309*E301</f>
        <v>0</v>
      </c>
    </row>
    <row r="310" spans="1:8">
      <c r="A310" s="28"/>
      <c r="B310" s="29" t="s">
        <v>3626</v>
      </c>
      <c r="C310" s="30" t="str">
        <f>IFERROR(VLOOKUP($B310,Equipo[],2,0),"")</f>
        <v>%MO</v>
      </c>
      <c r="D310" s="146">
        <v>0.05</v>
      </c>
      <c r="E310" s="32">
        <f>IF(C310="%MO",G316,IFERROR(VLOOKUP($B310,Equipo[],3,0),""))</f>
        <v>477408.1772850001</v>
      </c>
      <c r="F310" s="33"/>
      <c r="G310" s="34">
        <f>IFERROR(IF(F310&gt;=0,D310*E310*(1+F310/100),ABS(D310*E310/F310)),"")</f>
        <v>23870.408864250006</v>
      </c>
      <c r="H310" s="43">
        <f>IFERROR(G310*E301,"")</f>
        <v>0</v>
      </c>
    </row>
    <row r="311" spans="1:8">
      <c r="A311" s="28"/>
      <c r="B311" s="29" t="s">
        <v>3606</v>
      </c>
      <c r="C311" s="30" t="str">
        <f>IFERROR(VLOOKUP($B311,Equipo[],2,0),"")</f>
        <v>Día</v>
      </c>
      <c r="D311" s="150">
        <v>1</v>
      </c>
      <c r="E311" s="32">
        <f>IF(C311="%MO",G316,IFERROR(VLOOKUP($B311,Equipo[],3,0),""))</f>
        <v>145665.45000000001</v>
      </c>
      <c r="F311" s="33">
        <v>-1</v>
      </c>
      <c r="G311" s="34">
        <f>IFERROR(IF(F311&gt;=0,D311*E311*(1+F311/100),ABS(D311*E311/F311)),"")</f>
        <v>145665.45000000001</v>
      </c>
      <c r="H311" s="43">
        <f>IFERROR(G311*E301,"")</f>
        <v>0</v>
      </c>
    </row>
    <row r="312" spans="1:8">
      <c r="A312" s="28"/>
      <c r="B312" s="29"/>
      <c r="C312" s="30" t="str">
        <f>IFERROR(VLOOKUP($B312,Equipo[],2,0),"")</f>
        <v/>
      </c>
      <c r="D312" s="150"/>
      <c r="E312" s="32" t="str">
        <f>IF(C312="%MO",G316,IFERROR(VLOOKUP($B312,Equipo[],3,0),""))</f>
        <v/>
      </c>
      <c r="F312" s="33"/>
      <c r="G312" s="34" t="str">
        <f>IFERROR(IF(F312&gt;=0,D312*E312*(1+F312/100),ABS(D312*E312/F312)),"")</f>
        <v/>
      </c>
      <c r="H312" s="43" t="str">
        <f>IFERROR(G312*E301,"")</f>
        <v/>
      </c>
    </row>
    <row r="313" spans="1:8">
      <c r="A313" s="21"/>
      <c r="B313" s="22" t="s">
        <v>2533</v>
      </c>
      <c r="C313" s="23"/>
      <c r="D313" s="151"/>
      <c r="E313" s="25"/>
      <c r="F313" s="26"/>
      <c r="G313" s="27">
        <f>SUM(G314:G315)</f>
        <v>0</v>
      </c>
      <c r="H313" s="44">
        <f>G313*E301</f>
        <v>0</v>
      </c>
    </row>
    <row r="314" spans="1:8">
      <c r="A314" s="28"/>
      <c r="B314" s="29"/>
      <c r="C314" s="30" t="str">
        <f>IFERROR(VLOOKUP($B314,Transporte[],2,0),"")</f>
        <v/>
      </c>
      <c r="D314" s="146"/>
      <c r="E314" s="32" t="str">
        <f>IFERROR(VLOOKUP($B314,Transporte[],3,0),"")</f>
        <v/>
      </c>
      <c r="F314" s="33"/>
      <c r="G314" s="34" t="str">
        <f>IFERROR(IF(F314&gt;=0,D314*E314*(1+F314/100),ABS(D314*E314/F314)),"")</f>
        <v/>
      </c>
      <c r="H314" s="43" t="str">
        <f>IFERROR(G314*E301,"")</f>
        <v/>
      </c>
    </row>
    <row r="315" spans="1:8">
      <c r="A315" s="28"/>
      <c r="B315" s="29"/>
      <c r="C315" s="30" t="str">
        <f>IFERROR(VLOOKUP($B315,Transporte[],2,0),"")</f>
        <v/>
      </c>
      <c r="D315" s="146"/>
      <c r="E315" s="32" t="str">
        <f>IFERROR(VLOOKUP($B315,Transporte[],3,0),"")</f>
        <v/>
      </c>
      <c r="F315" s="33"/>
      <c r="G315" s="34" t="str">
        <f>IFERROR(IF(F315&gt;=0,D315*E315*(1+F315/100),ABS(D315*E315/F315)),"")</f>
        <v/>
      </c>
      <c r="H315" s="43" t="str">
        <f>IFERROR(G315*E301,"")</f>
        <v/>
      </c>
    </row>
    <row r="316" spans="1:8">
      <c r="A316" s="21"/>
      <c r="B316" s="22" t="s">
        <v>3732</v>
      </c>
      <c r="C316" s="23"/>
      <c r="D316" s="151"/>
      <c r="E316" s="25"/>
      <c r="F316" s="26"/>
      <c r="G316" s="27">
        <f>SUM(G317:G319)</f>
        <v>477408.1772850001</v>
      </c>
      <c r="H316" s="44">
        <f>G316*E301</f>
        <v>0</v>
      </c>
    </row>
    <row r="317" spans="1:8">
      <c r="A317" s="28"/>
      <c r="B317" s="29" t="s">
        <v>3702</v>
      </c>
      <c r="C317" s="30" t="str">
        <f>IFERROR(VLOOKUP($B317,MObra[],2,0),"")</f>
        <v>día</v>
      </c>
      <c r="D317" s="150">
        <v>1</v>
      </c>
      <c r="E317" s="32">
        <f>IFERROR(VLOOKUP($B317,MObra[],3,0),"")</f>
        <v>128085.12073500003</v>
      </c>
      <c r="F317" s="33">
        <v>-1</v>
      </c>
      <c r="G317" s="34">
        <f>IFERROR(IF(F317&gt;=0,D317*E317*(1+F317/100),ABS(D317*E317/F317)),"")</f>
        <v>128085.12073500003</v>
      </c>
      <c r="H317" s="43">
        <f>IFERROR(G317*E301,"")</f>
        <v>0</v>
      </c>
    </row>
    <row r="318" spans="1:8">
      <c r="A318" s="28"/>
      <c r="B318" s="29" t="s">
        <v>3703</v>
      </c>
      <c r="C318" s="30" t="str">
        <f>IFERROR(VLOOKUP($B318,MObra[],2,0),"")</f>
        <v>día</v>
      </c>
      <c r="D318" s="150">
        <v>1</v>
      </c>
      <c r="E318" s="32">
        <f>IFERROR(VLOOKUP($B318,MObra[],3,0),"")</f>
        <v>116441.01885000002</v>
      </c>
      <c r="F318" s="33">
        <f>-1/1</f>
        <v>-1</v>
      </c>
      <c r="G318" s="34">
        <f>IFERROR(IF(F318&gt;=0,D318*E318*(1+F318/100),ABS(D318*E318/F318)),"")</f>
        <v>116441.01885000002</v>
      </c>
      <c r="H318" s="43">
        <f>IFERROR(G318*E301,"")</f>
        <v>0</v>
      </c>
    </row>
    <row r="319" spans="1:8">
      <c r="A319" s="35"/>
      <c r="B319" s="36" t="s">
        <v>3708</v>
      </c>
      <c r="C319" s="37" t="str">
        <f>IFERROR(VLOOKUP($B319,MObra[],2,0),"")</f>
        <v>día</v>
      </c>
      <c r="D319" s="148">
        <v>1</v>
      </c>
      <c r="E319" s="39">
        <f>IFERROR(VLOOKUP($B319,MObra[],3,0),"")</f>
        <v>232882.03770000004</v>
      </c>
      <c r="F319" s="40">
        <v>-1</v>
      </c>
      <c r="G319" s="41">
        <f>IFERROR(IF(F319&gt;=0,D319*E319*(1+F319/100),ABS(D319*E319/F319)),"")</f>
        <v>232882.03770000004</v>
      </c>
      <c r="H319" s="42">
        <f>IFERROR(G319*E301,"")</f>
        <v>0</v>
      </c>
    </row>
    <row r="321" spans="1:11">
      <c r="A321" s="6" t="s">
        <v>48</v>
      </c>
      <c r="B321" s="7" t="str">
        <f>VLOOKUP($A321,Presupuesto!$A:$D,2,FALSE())</f>
        <v>Cono vial tipo invias</v>
      </c>
      <c r="C321" s="8" t="str">
        <f>VLOOKUP($A321,Presupuesto!$A:$D,3,FALSE())</f>
        <v>Un</v>
      </c>
      <c r="D321" s="9"/>
      <c r="E321" s="147">
        <f>VLOOKUP($A321,Presupuesto!$A:$D,4,FALSE())</f>
        <v>0</v>
      </c>
      <c r="F321" s="11" t="s">
        <v>2589</v>
      </c>
      <c r="G321" s="12">
        <f>SUM(G323:G339)/2</f>
        <v>54979.74329802001</v>
      </c>
      <c r="H321" s="13">
        <f>ROUND(SUM(H323:H339),0)/2</f>
        <v>0</v>
      </c>
      <c r="I321" s="10">
        <f>VLOOKUP(A321,Presupuesto!$A:$F,6,0)</f>
        <v>0</v>
      </c>
      <c r="J321" s="10">
        <f>+H321-I321</f>
        <v>0</v>
      </c>
      <c r="K321" s="46">
        <f>+H321-G321*E321</f>
        <v>0</v>
      </c>
    </row>
    <row r="322" spans="1:11">
      <c r="A322" s="14"/>
      <c r="B322" s="15" t="s">
        <v>2586</v>
      </c>
      <c r="C322" s="15" t="s">
        <v>5</v>
      </c>
      <c r="D322" s="16" t="s">
        <v>6</v>
      </c>
      <c r="E322" s="17" t="s">
        <v>7</v>
      </c>
      <c r="F322" s="18" t="s">
        <v>3728</v>
      </c>
      <c r="G322" s="19" t="s">
        <v>3729</v>
      </c>
      <c r="H322" s="20" t="s">
        <v>3797</v>
      </c>
    </row>
    <row r="323" spans="1:11">
      <c r="A323" s="21"/>
      <c r="B323" s="22" t="s">
        <v>3730</v>
      </c>
      <c r="C323" s="23"/>
      <c r="D323" s="24"/>
      <c r="E323" s="25"/>
      <c r="F323" s="26"/>
      <c r="G323" s="27">
        <f>SUM(G324:G328)</f>
        <v>54374.25</v>
      </c>
      <c r="H323" s="27">
        <f>IFERROR(G323*E321,"")</f>
        <v>0</v>
      </c>
    </row>
    <row r="324" spans="1:11">
      <c r="A324" s="28"/>
      <c r="B324" s="29" t="s">
        <v>2893</v>
      </c>
      <c r="C324" s="30" t="str">
        <f>IFERROR(_xlfn.XLOOKUP(B324,Insumo[DESCRIPCION],Insumo[UND],,0),"")</f>
        <v>Un</v>
      </c>
      <c r="D324" s="150">
        <v>1</v>
      </c>
      <c r="E324" s="32">
        <f>IFERROR(_xlfn.XLOOKUP($B324,Insumo[DESCRIPCION],Insumo[VALOR],,0),"")</f>
        <v>54374.25</v>
      </c>
      <c r="F324" s="33"/>
      <c r="G324" s="34">
        <f>IFERROR(IF(F324&gt;=0,D324*E324*(1+F324/100),ABS(D324*E324/F324)),"")</f>
        <v>54374.25</v>
      </c>
      <c r="H324" s="43">
        <f>IFERROR(G324*E321,"")</f>
        <v>0</v>
      </c>
    </row>
    <row r="325" spans="1:11">
      <c r="A325" s="28"/>
      <c r="B325" s="29"/>
      <c r="C325" s="30" t="str">
        <f>IFERROR(_xlfn.XLOOKUP(B325,Insumo[DESCRIPCION],Insumo[UND],,0),"")</f>
        <v/>
      </c>
      <c r="D325" s="150"/>
      <c r="E325" s="32" t="str">
        <f>IFERROR(_xlfn.XLOOKUP($B325,Insumo[DESCRIPCION],Insumo[VALOR],,0),"")</f>
        <v/>
      </c>
      <c r="F325" s="33"/>
      <c r="G325" s="34" t="str">
        <f>IFERROR(IF(F325&gt;=0,D325*E325*(1+F325/100),ABS(D325*E325/F325)),"")</f>
        <v/>
      </c>
      <c r="H325" s="43" t="str">
        <f>IFERROR(G325*E321,"")</f>
        <v/>
      </c>
    </row>
    <row r="326" spans="1:11">
      <c r="A326" s="28"/>
      <c r="B326" s="29"/>
      <c r="C326" s="30" t="str">
        <f>IFERROR(_xlfn.XLOOKUP(B326,Insumo[DESCRIPCION],Insumo[UND],,0),"")</f>
        <v/>
      </c>
      <c r="D326" s="150"/>
      <c r="E326" s="32" t="str">
        <f>IFERROR(_xlfn.XLOOKUP($B326,Insumo[DESCRIPCION],Insumo[VALOR],,0),"")</f>
        <v/>
      </c>
      <c r="F326" s="33"/>
      <c r="G326" s="34" t="str">
        <f>IFERROR(IF(F326&gt;=0,D326*E326*(1+F326/100),ABS(D326*E326/F326)),"")</f>
        <v/>
      </c>
      <c r="H326" s="43" t="str">
        <f>IFERROR(G326*E321,"")</f>
        <v/>
      </c>
    </row>
    <row r="327" spans="1:11">
      <c r="A327" s="28"/>
      <c r="B327" s="29"/>
      <c r="C327" s="30" t="str">
        <f>IFERROR(_xlfn.XLOOKUP(B327,Insumo[DESCRIPCION],Insumo[UND],,0),"")</f>
        <v/>
      </c>
      <c r="D327" s="150"/>
      <c r="E327" s="32" t="str">
        <f>IFERROR(_xlfn.XLOOKUP($B327,Insumo[DESCRIPCION],Insumo[VALOR],,0),"")</f>
        <v/>
      </c>
      <c r="F327" s="33"/>
      <c r="G327" s="34" t="str">
        <f>IFERROR(IF(F327&gt;=0,D327*E327*(1+F327/100),ABS(D327*E327/F327)),"")</f>
        <v/>
      </c>
      <c r="H327" s="43" t="str">
        <f>IFERROR(G327*E321,"")</f>
        <v/>
      </c>
    </row>
    <row r="328" spans="1:11">
      <c r="A328" s="28"/>
      <c r="B328" s="29"/>
      <c r="C328" s="30" t="str">
        <f>IFERROR(_xlfn.XLOOKUP(B328,Insumo[DESCRIPCION],Insumo[UND],,0),"")</f>
        <v/>
      </c>
      <c r="D328" s="150"/>
      <c r="E328" s="32" t="str">
        <f>IFERROR(_xlfn.XLOOKUP($B328,Insumo[DESCRIPCION],Insumo[VALOR],,0),"")</f>
        <v/>
      </c>
      <c r="F328" s="33"/>
      <c r="G328" s="34" t="str">
        <f>IFERROR(IF(F328&gt;=0,D328*E328*(1+F328/100),ABS(D328*E328/F328)),"")</f>
        <v/>
      </c>
      <c r="H328" s="43" t="str">
        <f>IFERROR(G328*E321,"")</f>
        <v/>
      </c>
    </row>
    <row r="329" spans="1:11">
      <c r="A329" s="21"/>
      <c r="B329" s="22" t="s">
        <v>3731</v>
      </c>
      <c r="C329" s="23"/>
      <c r="D329" s="151"/>
      <c r="E329" s="25"/>
      <c r="F329" s="26"/>
      <c r="G329" s="27">
        <f>SUM(G330:G332)</f>
        <v>23.288203770000006</v>
      </c>
      <c r="H329" s="44">
        <f>G329*E321</f>
        <v>0</v>
      </c>
    </row>
    <row r="330" spans="1:11">
      <c r="A330" s="28"/>
      <c r="B330" s="29" t="s">
        <v>3570</v>
      </c>
      <c r="C330" s="30" t="str">
        <f>IFERROR(_xlfn.XLOOKUP(B330,Equipo[DESCRIPCION],Equipo[UND],,0),"")</f>
        <v>%MO</v>
      </c>
      <c r="D330" s="146">
        <v>0.04</v>
      </c>
      <c r="E330" s="32">
        <f>IF(C330="%MO",G336,IFERROR(VLOOKUP($B330,Equipo[],3,0),""))</f>
        <v>582.20509425000012</v>
      </c>
      <c r="F330" s="33"/>
      <c r="G330" s="34">
        <f>IFERROR(IF(F330&gt;=0,D330*E330*(1+F330/100),ABS(D330*E330/F330)),"")</f>
        <v>23.288203770000006</v>
      </c>
      <c r="H330" s="43">
        <f>IFERROR(G330*E321,"")</f>
        <v>0</v>
      </c>
    </row>
    <row r="331" spans="1:11">
      <c r="A331" s="28"/>
      <c r="B331" s="29"/>
      <c r="C331" s="30" t="str">
        <f>IFERROR(_xlfn.XLOOKUP(B331,Equipo[DESCRIPCION],Equipo[UND],,0),"")</f>
        <v/>
      </c>
      <c r="D331" s="146"/>
      <c r="E331" s="32" t="str">
        <f>IF(C331="%MO",G336,IFERROR(VLOOKUP($B331,Equipo[],3,0),""))</f>
        <v/>
      </c>
      <c r="F331" s="33"/>
      <c r="G331" s="34" t="str">
        <f>IFERROR(IF(F331&gt;=0,D331*E331*(1+F331/100),ABS(D331*E331/F331)),"")</f>
        <v/>
      </c>
      <c r="H331" s="43" t="str">
        <f>IFERROR(G331*E321,"")</f>
        <v/>
      </c>
    </row>
    <row r="332" spans="1:11">
      <c r="A332" s="28"/>
      <c r="B332" s="29"/>
      <c r="C332" s="30" t="str">
        <f>IFERROR(_xlfn.XLOOKUP(B332,Equipo[DESCRIPCION],Equipo[UND],,0),"")</f>
        <v/>
      </c>
      <c r="D332" s="146"/>
      <c r="E332" s="32" t="str">
        <f>IF(C332="%MO",G336,IFERROR(VLOOKUP($B332,Equipo[],3,0),""))</f>
        <v/>
      </c>
      <c r="F332" s="33"/>
      <c r="G332" s="34" t="str">
        <f>IFERROR(IF(F332&gt;=0,D332*E332*(1+F332/100),ABS(D332*E332/F332)),"")</f>
        <v/>
      </c>
      <c r="H332" s="43" t="str">
        <f>IFERROR(G332*E321,"")</f>
        <v/>
      </c>
    </row>
    <row r="333" spans="1:11">
      <c r="A333" s="21"/>
      <c r="B333" s="22" t="s">
        <v>2533</v>
      </c>
      <c r="C333" s="23"/>
      <c r="D333" s="151"/>
      <c r="E333" s="25"/>
      <c r="F333" s="26"/>
      <c r="G333" s="27">
        <f>SUM(G334:G335)</f>
        <v>0</v>
      </c>
      <c r="H333" s="44">
        <f>G333*E321</f>
        <v>0</v>
      </c>
    </row>
    <row r="334" spans="1:11">
      <c r="A334" s="28"/>
      <c r="B334" s="29"/>
      <c r="C334" s="30" t="str">
        <f>IFERROR(_xlfn.XLOOKUP(B334,Transporte[DESCRIPCION],Transporte[UND],,0),"")</f>
        <v/>
      </c>
      <c r="D334" s="150"/>
      <c r="E334" s="32" t="str">
        <f>IFERROR(_xlfn.XLOOKUP($B334,Transporte[DESCRIPCION],Transporte[VALOR],,0),"")</f>
        <v/>
      </c>
      <c r="F334" s="33"/>
      <c r="G334" s="34" t="str">
        <f>IFERROR(IF(F334&gt;=0,D334*E334*(1+F334/100),ABS(D334*E334/F334)),"")</f>
        <v/>
      </c>
      <c r="H334" s="43" t="str">
        <f>IFERROR(G334*E321,"")</f>
        <v/>
      </c>
    </row>
    <row r="335" spans="1:11">
      <c r="A335" s="28"/>
      <c r="B335" s="29"/>
      <c r="C335" s="30" t="str">
        <f>IFERROR(_xlfn.XLOOKUP(B335,Transporte[DESCRIPCION],Transporte[UND],,0),"")</f>
        <v/>
      </c>
      <c r="D335" s="150"/>
      <c r="E335" s="32" t="str">
        <f>IFERROR(_xlfn.XLOOKUP($B335,Transporte[DESCRIPCION],Transporte[VALOR],,0),"")</f>
        <v/>
      </c>
      <c r="F335" s="33"/>
      <c r="G335" s="34" t="str">
        <f>IFERROR(IF(F335&gt;=0,D335*E335*(1+F335/100),ABS(D335*E335/F335)),"")</f>
        <v/>
      </c>
      <c r="H335" s="43" t="str">
        <f>IFERROR(G335*E321,"")</f>
        <v/>
      </c>
    </row>
    <row r="336" spans="1:11">
      <c r="A336" s="21"/>
      <c r="B336" s="22" t="s">
        <v>3732</v>
      </c>
      <c r="C336" s="23"/>
      <c r="D336" s="153"/>
      <c r="E336" s="25"/>
      <c r="F336" s="26"/>
      <c r="G336" s="27">
        <f>SUM(G337:G339)</f>
        <v>582.20509425000012</v>
      </c>
      <c r="H336" s="44">
        <f>G336*E321</f>
        <v>0</v>
      </c>
    </row>
    <row r="337" spans="1:11">
      <c r="A337" s="28"/>
      <c r="B337" s="29" t="s">
        <v>3698</v>
      </c>
      <c r="C337" s="30" t="str">
        <f>IFERROR(_xlfn.XLOOKUP(B337,MObra[DESCRIPCION],MObra[UN],,0),"")</f>
        <v>día</v>
      </c>
      <c r="D337" s="150">
        <v>1</v>
      </c>
      <c r="E337" s="32">
        <f>IFERROR(_xlfn.XLOOKUP($B337,MObra[DESCRIPCION],MObra[VALOR UNIT],,0),"")</f>
        <v>116441.01885000002</v>
      </c>
      <c r="F337" s="33">
        <v>-200</v>
      </c>
      <c r="G337" s="34">
        <f>IFERROR(IF(F337&gt;=0,D337*E337*(1+F337/100),ABS(D337*E337/F337)),"")</f>
        <v>582.20509425000012</v>
      </c>
      <c r="H337" s="43">
        <f>IFERROR(G337*E321,"")</f>
        <v>0</v>
      </c>
    </row>
    <row r="338" spans="1:11">
      <c r="A338" s="28"/>
      <c r="B338" s="29"/>
      <c r="C338" s="30" t="str">
        <f t="array" ref="C338">IFERROR(_xlfn.XLOOKUP(B338,MObra[[#All],[DESCRIPCION]],MObra[[#All],[UN]],,0),"")</f>
        <v/>
      </c>
      <c r="D338" s="150"/>
      <c r="E338" s="32" t="str">
        <f>IFERROR(_xlfn.XLOOKUP($B338,MObra[DESCRIPCION],MObra[VALOR UNIT],,0),"")</f>
        <v/>
      </c>
      <c r="F338" s="33"/>
      <c r="G338" s="34" t="str">
        <f>IFERROR(IF(F338&gt;=0,D338*E338*(1+F338/100),ABS(D338*E338/F338)),"")</f>
        <v/>
      </c>
      <c r="H338" s="43" t="str">
        <f>IFERROR(G338*E321,"")</f>
        <v/>
      </c>
    </row>
    <row r="339" spans="1:11">
      <c r="A339" s="35"/>
      <c r="B339" s="36"/>
      <c r="C339" s="37" t="str">
        <f t="array" ref="C339">IFERROR(_xlfn.XLOOKUP(B339,MObra[[#All],[DESCRIPCION]],MObra[[#All],[UN]],,0),"")</f>
        <v/>
      </c>
      <c r="D339" s="148"/>
      <c r="E339" s="39" t="str">
        <f>IFERROR(_xlfn.XLOOKUP($B339,MObra[DESCRIPCION],MObra[VALOR UNIT],,0),"")</f>
        <v/>
      </c>
      <c r="F339" s="40"/>
      <c r="G339" s="41" t="str">
        <f>IFERROR(IF(F339&gt;=0,D339*E339*(1+F339/100),ABS(D339*E339/F339)),"")</f>
        <v/>
      </c>
      <c r="H339" s="42" t="str">
        <f>IFERROR(G339*E321,"")</f>
        <v/>
      </c>
    </row>
    <row r="341" spans="1:11">
      <c r="A341" s="6" t="s">
        <v>50</v>
      </c>
      <c r="B341" s="7" t="str">
        <f>VLOOKUP($A341,Presupuesto!$A:$D,2,FALSE())</f>
        <v>Control/manejo de aguas quebrada con saco de arena</v>
      </c>
      <c r="C341" s="8" t="str">
        <f>VLOOKUP($A341,Presupuesto!$A:$D,3,FALSE())</f>
        <v>M3</v>
      </c>
      <c r="D341" s="9"/>
      <c r="E341" s="147">
        <f>VLOOKUP($A341,Presupuesto!$A:$D,4,FALSE())</f>
        <v>0</v>
      </c>
      <c r="F341" s="11" t="s">
        <v>2589</v>
      </c>
      <c r="G341" s="12">
        <f>SUM(G343:G359)/2</f>
        <v>385345.60804650007</v>
      </c>
      <c r="H341" s="13">
        <f>ROUND(SUM(H343:H359),0)/2</f>
        <v>0</v>
      </c>
      <c r="I341" s="10">
        <f>VLOOKUP(A341,Presupuesto!$A:$F,6,0)</f>
        <v>0</v>
      </c>
      <c r="J341" s="10">
        <f>+H341-I341</f>
        <v>0</v>
      </c>
      <c r="K341" s="46">
        <f>+H341-G341*E341</f>
        <v>0</v>
      </c>
    </row>
    <row r="342" spans="1:11">
      <c r="A342" s="14"/>
      <c r="B342" s="15" t="s">
        <v>2586</v>
      </c>
      <c r="C342" s="15" t="s">
        <v>5</v>
      </c>
      <c r="D342" s="16" t="s">
        <v>6</v>
      </c>
      <c r="E342" s="17" t="s">
        <v>7</v>
      </c>
      <c r="F342" s="18" t="s">
        <v>3728</v>
      </c>
      <c r="G342" s="19" t="s">
        <v>3729</v>
      </c>
      <c r="H342" s="20" t="s">
        <v>3797</v>
      </c>
    </row>
    <row r="343" spans="1:11">
      <c r="A343" s="21"/>
      <c r="B343" s="22" t="s">
        <v>3730</v>
      </c>
      <c r="C343" s="23"/>
      <c r="D343" s="24"/>
      <c r="E343" s="25"/>
      <c r="F343" s="26"/>
      <c r="G343" s="27">
        <f>SUM(G344:G348)</f>
        <v>258424.89750000002</v>
      </c>
      <c r="H343" s="27">
        <f>IFERROR(G343*E341,"")</f>
        <v>0</v>
      </c>
    </row>
    <row r="344" spans="1:11">
      <c r="A344" s="28"/>
      <c r="B344" s="29" t="s">
        <v>2946</v>
      </c>
      <c r="C344" s="30" t="str">
        <f>IFERROR(_xlfn.XLOOKUP(B344,Insumo[DESCRIPCION],Insumo[UND],,0),"")</f>
        <v>Un</v>
      </c>
      <c r="D344" s="150">
        <v>100</v>
      </c>
      <c r="E344" s="32">
        <f>IFERROR(_xlfn.XLOOKUP($B344,Insumo[DESCRIPCION],Insumo[VALOR],,0),"")</f>
        <v>1648.5</v>
      </c>
      <c r="F344" s="33">
        <v>5</v>
      </c>
      <c r="G344" s="34">
        <f>IFERROR(IF(F344&gt;=0,D344*E344*(1+F344/100),ABS(D344*E344/F344)),"")</f>
        <v>173092.5</v>
      </c>
      <c r="H344" s="43">
        <f>IFERROR(G344*E341,"")</f>
        <v>0</v>
      </c>
    </row>
    <row r="345" spans="1:11">
      <c r="A345" s="28"/>
      <c r="B345" s="29" t="s">
        <v>2713</v>
      </c>
      <c r="C345" s="30" t="str">
        <f>IFERROR(_xlfn.XLOOKUP(B345,Insumo[DESCRIPCION],Insumo[UND],,0),"")</f>
        <v>M3</v>
      </c>
      <c r="D345" s="150">
        <v>1</v>
      </c>
      <c r="E345" s="32">
        <f>IFERROR(_xlfn.XLOOKUP($B345,Insumo[DESCRIPCION],Insumo[VALOR],,0),"")</f>
        <v>81268.95</v>
      </c>
      <c r="F345" s="33">
        <v>5</v>
      </c>
      <c r="G345" s="34">
        <f>IFERROR(IF(F345&gt;=0,D345*E345*(1+F345/100),ABS(D345*E345/F345)),"")</f>
        <v>85332.397500000006</v>
      </c>
      <c r="H345" s="43">
        <f>IFERROR(G345*E341,"")</f>
        <v>0</v>
      </c>
    </row>
    <row r="346" spans="1:11">
      <c r="A346" s="28"/>
      <c r="B346" s="29"/>
      <c r="C346" s="30" t="str">
        <f>IFERROR(_xlfn.XLOOKUP(B346,Insumo[DESCRIPCION],Insumo[UND],,0),"")</f>
        <v/>
      </c>
      <c r="D346" s="150"/>
      <c r="E346" s="32" t="str">
        <f>IFERROR(_xlfn.XLOOKUP($B346,Insumo[DESCRIPCION],Insumo[VALOR],,0),"")</f>
        <v/>
      </c>
      <c r="F346" s="33"/>
      <c r="G346" s="34" t="str">
        <f>IFERROR(IF(F346&gt;=0,D346*E346*(1+F346/100),ABS(D346*E346/F346)),"")</f>
        <v/>
      </c>
      <c r="H346" s="43" t="str">
        <f>IFERROR(G346*E341,"")</f>
        <v/>
      </c>
    </row>
    <row r="347" spans="1:11">
      <c r="A347" s="28"/>
      <c r="B347" s="29"/>
      <c r="C347" s="30" t="str">
        <f>IFERROR(_xlfn.XLOOKUP(B347,Insumo[DESCRIPCION],Insumo[UND],,0),"")</f>
        <v/>
      </c>
      <c r="D347" s="150"/>
      <c r="E347" s="32" t="str">
        <f>IFERROR(_xlfn.XLOOKUP($B347,Insumo[DESCRIPCION],Insumo[VALOR],,0),"")</f>
        <v/>
      </c>
      <c r="F347" s="33"/>
      <c r="G347" s="34" t="str">
        <f>IFERROR(IF(F347&gt;=0,D347*E347*(1+F347/100),ABS(D347*E347/F347)),"")</f>
        <v/>
      </c>
      <c r="H347" s="43" t="str">
        <f>IFERROR(G347*E341,"")</f>
        <v/>
      </c>
    </row>
    <row r="348" spans="1:11">
      <c r="A348" s="28"/>
      <c r="B348" s="29"/>
      <c r="C348" s="30" t="str">
        <f>IFERROR(_xlfn.XLOOKUP(B348,Insumo[DESCRIPCION],Insumo[UND],,0),"")</f>
        <v/>
      </c>
      <c r="D348" s="150"/>
      <c r="E348" s="32" t="str">
        <f>IFERROR(_xlfn.XLOOKUP($B348,Insumo[DESCRIPCION],Insumo[VALOR],,0),"")</f>
        <v/>
      </c>
      <c r="F348" s="33"/>
      <c r="G348" s="34" t="str">
        <f>IFERROR(IF(F348&gt;=0,D348*E348*(1+F348/100),ABS(D348*E348/F348)),"")</f>
        <v/>
      </c>
      <c r="H348" s="43" t="str">
        <f>IFERROR(G348*E341,"")</f>
        <v/>
      </c>
    </row>
    <row r="349" spans="1:11">
      <c r="A349" s="21"/>
      <c r="B349" s="22" t="s">
        <v>3731</v>
      </c>
      <c r="C349" s="23"/>
      <c r="D349" s="151"/>
      <c r="E349" s="25"/>
      <c r="F349" s="26"/>
      <c r="G349" s="27">
        <f>SUM(G350:G352)</f>
        <v>10479.691696500002</v>
      </c>
      <c r="H349" s="44">
        <f>G349*E341</f>
        <v>0</v>
      </c>
    </row>
    <row r="350" spans="1:11">
      <c r="A350" s="28"/>
      <c r="B350" s="29" t="s">
        <v>3570</v>
      </c>
      <c r="C350" s="30" t="str">
        <f>IFERROR(_xlfn.XLOOKUP(B350,Equipo[DESCRIPCION],Equipo[UND],,0),"")</f>
        <v>%MO</v>
      </c>
      <c r="D350" s="146">
        <v>0.04</v>
      </c>
      <c r="E350" s="32">
        <f>IF(C350="%MO",G356,IFERROR(VLOOKUP($B350,Equipo[],3,0),""))</f>
        <v>116441.01885000002</v>
      </c>
      <c r="F350" s="33"/>
      <c r="G350" s="34">
        <f>IFERROR(IF(F350&gt;=0,D350*E350*(1+F350/100),ABS(D350*E350/F350)),"")</f>
        <v>4657.6407540000009</v>
      </c>
      <c r="H350" s="43">
        <f>IFERROR(G350*E341,"")</f>
        <v>0</v>
      </c>
    </row>
    <row r="351" spans="1:11">
      <c r="A351" s="28"/>
      <c r="B351" s="29" t="s">
        <v>3626</v>
      </c>
      <c r="C351" s="30" t="str">
        <f>IFERROR(_xlfn.XLOOKUP(B351,Equipo[DESCRIPCION],Equipo[UND],,0),"")</f>
        <v>%MO</v>
      </c>
      <c r="D351" s="146">
        <v>0.05</v>
      </c>
      <c r="E351" s="32">
        <f>IF(C351="%MO",G356,IFERROR(VLOOKUP($B351,Equipo[],3,0),""))</f>
        <v>116441.01885000002</v>
      </c>
      <c r="F351" s="33"/>
      <c r="G351" s="34">
        <f>IFERROR(IF(F351&gt;=0,D351*E351*(1+F351/100),ABS(D351*E351/F351)),"")</f>
        <v>5822.0509425000018</v>
      </c>
      <c r="H351" s="43">
        <f>IFERROR(G351*E341,"")</f>
        <v>0</v>
      </c>
    </row>
    <row r="352" spans="1:11">
      <c r="A352" s="28"/>
      <c r="B352" s="29"/>
      <c r="C352" s="30" t="str">
        <f>IFERROR(_xlfn.XLOOKUP(B352,Equipo[DESCRIPCION],Equipo[UND],,0),"")</f>
        <v/>
      </c>
      <c r="D352" s="146"/>
      <c r="E352" s="32" t="str">
        <f>IF(C352="%MO",G356,IFERROR(VLOOKUP($B352,Equipo[],3,0),""))</f>
        <v/>
      </c>
      <c r="F352" s="33"/>
      <c r="G352" s="34" t="str">
        <f>IFERROR(IF(F352&gt;=0,D352*E352*(1+F352/100),ABS(D352*E352/F352)),"")</f>
        <v/>
      </c>
      <c r="H352" s="43" t="str">
        <f>IFERROR(G352*E341,"")</f>
        <v/>
      </c>
    </row>
    <row r="353" spans="1:11">
      <c r="A353" s="21"/>
      <c r="B353" s="22" t="s">
        <v>2533</v>
      </c>
      <c r="C353" s="23"/>
      <c r="D353" s="151"/>
      <c r="E353" s="25"/>
      <c r="F353" s="26"/>
      <c r="G353" s="27">
        <f>SUM(G354:G355)</f>
        <v>0</v>
      </c>
      <c r="H353" s="44">
        <f>G353*E341</f>
        <v>0</v>
      </c>
    </row>
    <row r="354" spans="1:11">
      <c r="A354" s="28"/>
      <c r="B354" s="29"/>
      <c r="C354" s="30" t="str">
        <f>IFERROR(_xlfn.XLOOKUP(B354,Transporte[DESCRIPCION],Transporte[UND],,0),"")</f>
        <v/>
      </c>
      <c r="D354" s="150"/>
      <c r="E354" s="32" t="str">
        <f>IFERROR(_xlfn.XLOOKUP($B354,Transporte[DESCRIPCION],Transporte[VALOR],,0),"")</f>
        <v/>
      </c>
      <c r="F354" s="33"/>
      <c r="G354" s="34" t="str">
        <f>IFERROR(IF(F354&gt;=0,D354*E354*(1+F354/100),ABS(D354*E354/F354)),"")</f>
        <v/>
      </c>
      <c r="H354" s="43" t="str">
        <f>IFERROR(G354*E341,"")</f>
        <v/>
      </c>
    </row>
    <row r="355" spans="1:11">
      <c r="A355" s="28"/>
      <c r="B355" s="29"/>
      <c r="C355" s="30" t="str">
        <f>IFERROR(_xlfn.XLOOKUP(B355,Transporte[DESCRIPCION],Transporte[UND],,0),"")</f>
        <v/>
      </c>
      <c r="D355" s="150"/>
      <c r="E355" s="32" t="str">
        <f>IFERROR(_xlfn.XLOOKUP($B355,Transporte[DESCRIPCION],Transporte[VALOR],,0),"")</f>
        <v/>
      </c>
      <c r="F355" s="33"/>
      <c r="G355" s="34" t="str">
        <f>IFERROR(IF(F355&gt;=0,D355*E355*(1+F355/100),ABS(D355*E355/F355)),"")</f>
        <v/>
      </c>
      <c r="H355" s="43" t="str">
        <f>IFERROR(G355*E341,"")</f>
        <v/>
      </c>
    </row>
    <row r="356" spans="1:11">
      <c r="A356" s="21"/>
      <c r="B356" s="22" t="s">
        <v>3732</v>
      </c>
      <c r="C356" s="23"/>
      <c r="D356" s="153"/>
      <c r="E356" s="25"/>
      <c r="F356" s="26"/>
      <c r="G356" s="27">
        <f>SUM(G357:G359)</f>
        <v>116441.01885000002</v>
      </c>
      <c r="H356" s="44">
        <f>G356*E341</f>
        <v>0</v>
      </c>
    </row>
    <row r="357" spans="1:11">
      <c r="A357" s="28"/>
      <c r="B357" s="29" t="s">
        <v>3719</v>
      </c>
      <c r="C357" s="30" t="str">
        <f>IFERROR(_xlfn.XLOOKUP(B357,MObra[DESCRIPCION],MObra[UN],,0),"")</f>
        <v>día</v>
      </c>
      <c r="D357" s="150">
        <v>1</v>
      </c>
      <c r="E357" s="32">
        <f>IFERROR(_xlfn.XLOOKUP($B357,MObra[DESCRIPCION],MObra[VALOR UNIT],,0),"")</f>
        <v>232882.03770000004</v>
      </c>
      <c r="F357" s="33">
        <v>-2</v>
      </c>
      <c r="G357" s="34">
        <f>IFERROR(IF(F357&gt;=0,D357*E357*(1+F357/100),ABS(D357*E357/F357)),"")</f>
        <v>116441.01885000002</v>
      </c>
      <c r="H357" s="43">
        <f>IFERROR(G357*E341,"")</f>
        <v>0</v>
      </c>
    </row>
    <row r="358" spans="1:11">
      <c r="A358" s="28"/>
      <c r="B358" s="29"/>
      <c r="C358" s="30" t="str">
        <f t="array" ref="C358">IFERROR(_xlfn.XLOOKUP(B358,MObra[[#All],[DESCRIPCION]],MObra[[#All],[UN]],,0),"")</f>
        <v/>
      </c>
      <c r="D358" s="150"/>
      <c r="E358" s="32" t="str">
        <f>IFERROR(_xlfn.XLOOKUP($B358,MObra[DESCRIPCION],MObra[VALOR UNIT],,0),"")</f>
        <v/>
      </c>
      <c r="F358" s="33"/>
      <c r="G358" s="34" t="str">
        <f>IFERROR(IF(F358&gt;=0,D358*E358*(1+F358/100),ABS(D358*E358/F358)),"")</f>
        <v/>
      </c>
      <c r="H358" s="43" t="str">
        <f>IFERROR(G358*E341,"")</f>
        <v/>
      </c>
    </row>
    <row r="359" spans="1:11">
      <c r="A359" s="35"/>
      <c r="B359" s="36"/>
      <c r="C359" s="37" t="str">
        <f t="array" ref="C359">IFERROR(_xlfn.XLOOKUP(B359,MObra[[#All],[DESCRIPCION]],MObra[[#All],[UN]],,0),"")</f>
        <v/>
      </c>
      <c r="D359" s="148"/>
      <c r="E359" s="39" t="str">
        <f>IFERROR(_xlfn.XLOOKUP($B359,MObra[DESCRIPCION],MObra[VALOR UNIT],,0),"")</f>
        <v/>
      </c>
      <c r="F359" s="40"/>
      <c r="G359" s="41" t="str">
        <f>IFERROR(IF(F359&gt;=0,D359*E359*(1+F359/100),ABS(D359*E359/F359)),"")</f>
        <v/>
      </c>
      <c r="H359" s="42" t="str">
        <f>IFERROR(G359*E341,"")</f>
        <v/>
      </c>
    </row>
    <row r="361" spans="1:11">
      <c r="A361" s="6" t="s">
        <v>53</v>
      </c>
      <c r="B361" s="7" t="str">
        <f>VLOOKUP($A361,Presupuesto!$A:$D,2,FALSE())</f>
        <v>Control/manejo de aguas quebrada con tablestacado madera</v>
      </c>
      <c r="C361" s="8" t="str">
        <f>VLOOKUP($A361,Presupuesto!$A:$D,3,FALSE())</f>
        <v>M2</v>
      </c>
      <c r="D361" s="9"/>
      <c r="E361" s="147">
        <f>VLOOKUP($A361,Presupuesto!$A:$D,4,FALSE())</f>
        <v>0</v>
      </c>
      <c r="F361" s="11" t="s">
        <v>2589</v>
      </c>
      <c r="G361" s="12">
        <f>SUM(G363:G379)/2</f>
        <v>135334.80843720003</v>
      </c>
      <c r="H361" s="13">
        <f>ROUND(SUM(H363:H379),0)/2</f>
        <v>0</v>
      </c>
      <c r="I361" s="10">
        <f>VLOOKUP(A361,Presupuesto!$A:$F,6,0)</f>
        <v>0</v>
      </c>
      <c r="J361" s="10">
        <f>+H361-I361</f>
        <v>0</v>
      </c>
      <c r="K361" s="46">
        <f>+H361-G361*E361</f>
        <v>0</v>
      </c>
    </row>
    <row r="362" spans="1:11">
      <c r="A362" s="14"/>
      <c r="B362" s="15" t="s">
        <v>2586</v>
      </c>
      <c r="C362" s="15" t="s">
        <v>5</v>
      </c>
      <c r="D362" s="16" t="s">
        <v>6</v>
      </c>
      <c r="E362" s="17" t="s">
        <v>7</v>
      </c>
      <c r="F362" s="18" t="s">
        <v>3728</v>
      </c>
      <c r="G362" s="19" t="s">
        <v>3729</v>
      </c>
      <c r="H362" s="20" t="s">
        <v>3797</v>
      </c>
    </row>
    <row r="363" spans="1:11">
      <c r="A363" s="21"/>
      <c r="B363" s="22" t="s">
        <v>3730</v>
      </c>
      <c r="C363" s="23"/>
      <c r="D363" s="24"/>
      <c r="E363" s="25"/>
      <c r="F363" s="26"/>
      <c r="G363" s="27">
        <f>SUM(G364:G368)</f>
        <v>33798.240000000005</v>
      </c>
      <c r="H363" s="27">
        <f>IFERROR(G363*E361,"")</f>
        <v>0</v>
      </c>
    </row>
    <row r="364" spans="1:11">
      <c r="A364" s="28"/>
      <c r="B364" s="29" t="s">
        <v>3338</v>
      </c>
      <c r="C364" s="30" t="str">
        <f>IFERROR(_xlfn.XLOOKUP(B364,Insumo[DESCRIPCION],Insumo[UND],,0),"")</f>
        <v>M</v>
      </c>
      <c r="D364" s="150">
        <v>4</v>
      </c>
      <c r="E364" s="32">
        <f>IFERROR(_xlfn.XLOOKUP($B364,Insumo[DESCRIPCION],Insumo[VALOR],,0),"")</f>
        <v>8047.2000000000007</v>
      </c>
      <c r="F364" s="33">
        <v>5</v>
      </c>
      <c r="G364" s="34">
        <f>IFERROR(IF(F364&gt;=0,D364*E364*(1+F364/100),ABS(D364*E364/F364)),"")</f>
        <v>33798.240000000005</v>
      </c>
      <c r="H364" s="43">
        <f>IFERROR(G364*E361,"")</f>
        <v>0</v>
      </c>
    </row>
    <row r="365" spans="1:11">
      <c r="A365" s="28"/>
      <c r="B365" s="29"/>
      <c r="C365" s="30" t="str">
        <f>IFERROR(_xlfn.XLOOKUP(B365,Insumo[DESCRIPCION],Insumo[UND],,0),"")</f>
        <v/>
      </c>
      <c r="D365" s="150"/>
      <c r="E365" s="32" t="str">
        <f>IFERROR(_xlfn.XLOOKUP($B365,Insumo[DESCRIPCION],Insumo[VALOR],,0),"")</f>
        <v/>
      </c>
      <c r="F365" s="33"/>
      <c r="G365" s="34" t="str">
        <f>IFERROR(IF(F365&gt;=0,D365*E365*(1+F365/100),ABS(D365*E365/F365)),"")</f>
        <v/>
      </c>
      <c r="H365" s="43" t="str">
        <f>IFERROR(G365*E361,"")</f>
        <v/>
      </c>
    </row>
    <row r="366" spans="1:11">
      <c r="A366" s="28"/>
      <c r="B366" s="29"/>
      <c r="C366" s="30" t="str">
        <f>IFERROR(_xlfn.XLOOKUP(B366,Insumo[DESCRIPCION],Insumo[UND],,0),"")</f>
        <v/>
      </c>
      <c r="D366" s="150"/>
      <c r="E366" s="32" t="str">
        <f>IFERROR(_xlfn.XLOOKUP($B366,Insumo[DESCRIPCION],Insumo[VALOR],,0),"")</f>
        <v/>
      </c>
      <c r="F366" s="33"/>
      <c r="G366" s="34" t="str">
        <f>IFERROR(IF(F366&gt;=0,D366*E366*(1+F366/100),ABS(D366*E366/F366)),"")</f>
        <v/>
      </c>
      <c r="H366" s="43" t="str">
        <f>IFERROR(G366*E361,"")</f>
        <v/>
      </c>
    </row>
    <row r="367" spans="1:11">
      <c r="A367" s="28"/>
      <c r="B367" s="29"/>
      <c r="C367" s="30" t="str">
        <f>IFERROR(_xlfn.XLOOKUP(B367,Insumo[DESCRIPCION],Insumo[UND],,0),"")</f>
        <v/>
      </c>
      <c r="D367" s="150"/>
      <c r="E367" s="32" t="str">
        <f>IFERROR(_xlfn.XLOOKUP($B367,Insumo[DESCRIPCION],Insumo[VALOR],,0),"")</f>
        <v/>
      </c>
      <c r="F367" s="33"/>
      <c r="G367" s="34" t="str">
        <f>IFERROR(IF(F367&gt;=0,D367*E367*(1+F367/100),ABS(D367*E367/F367)),"")</f>
        <v/>
      </c>
      <c r="H367" s="43" t="str">
        <f>IFERROR(G367*E361,"")</f>
        <v/>
      </c>
    </row>
    <row r="368" spans="1:11">
      <c r="A368" s="28"/>
      <c r="B368" s="29"/>
      <c r="C368" s="30" t="str">
        <f>IFERROR(_xlfn.XLOOKUP(B368,Insumo[DESCRIPCION],Insumo[UND],,0),"")</f>
        <v/>
      </c>
      <c r="D368" s="150"/>
      <c r="E368" s="32" t="str">
        <f>IFERROR(_xlfn.XLOOKUP($B368,Insumo[DESCRIPCION],Insumo[VALOR],,0),"")</f>
        <v/>
      </c>
      <c r="F368" s="33"/>
      <c r="G368" s="34" t="str">
        <f>IFERROR(IF(F368&gt;=0,D368*E368*(1+F368/100),ABS(D368*E368/F368)),"")</f>
        <v/>
      </c>
      <c r="H368" s="43" t="str">
        <f>IFERROR(G368*E361,"")</f>
        <v/>
      </c>
    </row>
    <row r="369" spans="1:11">
      <c r="A369" s="21"/>
      <c r="B369" s="22" t="s">
        <v>3731</v>
      </c>
      <c r="C369" s="23"/>
      <c r="D369" s="151"/>
      <c r="E369" s="25"/>
      <c r="F369" s="26"/>
      <c r="G369" s="27">
        <f>SUM(G370:G372)</f>
        <v>8383.7533572000011</v>
      </c>
      <c r="H369" s="44">
        <f>G369*E361</f>
        <v>0</v>
      </c>
    </row>
    <row r="370" spans="1:11">
      <c r="A370" s="28"/>
      <c r="B370" s="29" t="s">
        <v>3570</v>
      </c>
      <c r="C370" s="30" t="str">
        <f>IFERROR(_xlfn.XLOOKUP(B370,Equipo[DESCRIPCION],Equipo[UND],,0),"")</f>
        <v>%MO</v>
      </c>
      <c r="D370" s="146">
        <v>0.04</v>
      </c>
      <c r="E370" s="32">
        <f>IF(C370="%MO",G376,IFERROR(VLOOKUP($B370,Equipo[],3,0),""))</f>
        <v>93152.815080000015</v>
      </c>
      <c r="F370" s="33"/>
      <c r="G370" s="34">
        <f>IFERROR(IF(F370&gt;=0,D370*E370*(1+F370/100),ABS(D370*E370/F370)),"")</f>
        <v>3726.1126032000006</v>
      </c>
      <c r="H370" s="43">
        <f>IFERROR(G370*E361,"")</f>
        <v>0</v>
      </c>
    </row>
    <row r="371" spans="1:11">
      <c r="A371" s="28"/>
      <c r="B371" s="29" t="s">
        <v>3626</v>
      </c>
      <c r="C371" s="30" t="str">
        <f>IFERROR(_xlfn.XLOOKUP(B371,Equipo[DESCRIPCION],Equipo[UND],,0),"")</f>
        <v>%MO</v>
      </c>
      <c r="D371" s="146">
        <v>0.05</v>
      </c>
      <c r="E371" s="32">
        <f>IF(C371="%MO",G376,IFERROR(VLOOKUP($B371,Equipo[],3,0),""))</f>
        <v>93152.815080000015</v>
      </c>
      <c r="F371" s="33"/>
      <c r="G371" s="34">
        <f>IFERROR(IF(F371&gt;=0,D371*E371*(1+F371/100),ABS(D371*E371/F371)),"")</f>
        <v>4657.6407540000009</v>
      </c>
      <c r="H371" s="43">
        <f>IFERROR(G371*E361,"")</f>
        <v>0</v>
      </c>
    </row>
    <row r="372" spans="1:11">
      <c r="A372" s="28"/>
      <c r="B372" s="29"/>
      <c r="C372" s="30" t="str">
        <f>IFERROR(_xlfn.XLOOKUP(B372,Equipo[DESCRIPCION],Equipo[UND],,0),"")</f>
        <v/>
      </c>
      <c r="D372" s="146"/>
      <c r="E372" s="32" t="str">
        <f>IF(C372="%MO",G376,IFERROR(VLOOKUP($B372,Equipo[],3,0),""))</f>
        <v/>
      </c>
      <c r="F372" s="33"/>
      <c r="G372" s="34" t="str">
        <f>IFERROR(IF(F372&gt;=0,D372*E372*(1+F372/100),ABS(D372*E372/F372)),"")</f>
        <v/>
      </c>
      <c r="H372" s="43" t="str">
        <f>IFERROR(G372*E361,"")</f>
        <v/>
      </c>
    </row>
    <row r="373" spans="1:11">
      <c r="A373" s="21"/>
      <c r="B373" s="22" t="s">
        <v>2533</v>
      </c>
      <c r="C373" s="23"/>
      <c r="D373" s="151"/>
      <c r="E373" s="25"/>
      <c r="F373" s="26"/>
      <c r="G373" s="27">
        <f>SUM(G374:G375)</f>
        <v>0</v>
      </c>
      <c r="H373" s="44">
        <f>G373*E361</f>
        <v>0</v>
      </c>
    </row>
    <row r="374" spans="1:11">
      <c r="A374" s="28"/>
      <c r="B374" s="29"/>
      <c r="C374" s="30" t="str">
        <f>IFERROR(_xlfn.XLOOKUP(B374,Transporte[DESCRIPCION],Transporte[UND],,0),"")</f>
        <v/>
      </c>
      <c r="D374" s="150"/>
      <c r="E374" s="32" t="str">
        <f>IFERROR(_xlfn.XLOOKUP($B374,Transporte[DESCRIPCION],Transporte[VALOR],,0),"")</f>
        <v/>
      </c>
      <c r="F374" s="33"/>
      <c r="G374" s="34" t="str">
        <f>IFERROR(IF(F374&gt;=0,D374*E374*(1+F374/100),ABS(D374*E374/F374)),"")</f>
        <v/>
      </c>
      <c r="H374" s="43" t="str">
        <f>IFERROR(G374*E361,"")</f>
        <v/>
      </c>
    </row>
    <row r="375" spans="1:11">
      <c r="A375" s="28"/>
      <c r="B375" s="29"/>
      <c r="C375" s="30" t="str">
        <f>IFERROR(_xlfn.XLOOKUP(B375,Transporte[DESCRIPCION],Transporte[UND],,0),"")</f>
        <v/>
      </c>
      <c r="D375" s="150"/>
      <c r="E375" s="32" t="str">
        <f>IFERROR(_xlfn.XLOOKUP($B375,Transporte[DESCRIPCION],Transporte[VALOR],,0),"")</f>
        <v/>
      </c>
      <c r="F375" s="33"/>
      <c r="G375" s="34" t="str">
        <f>IFERROR(IF(F375&gt;=0,D375*E375*(1+F375/100),ABS(D375*E375/F375)),"")</f>
        <v/>
      </c>
      <c r="H375" s="43" t="str">
        <f>IFERROR(G375*E361,"")</f>
        <v/>
      </c>
    </row>
    <row r="376" spans="1:11">
      <c r="A376" s="21"/>
      <c r="B376" s="22" t="s">
        <v>3732</v>
      </c>
      <c r="C376" s="23"/>
      <c r="D376" s="153"/>
      <c r="E376" s="25"/>
      <c r="F376" s="26"/>
      <c r="G376" s="27">
        <f>SUM(G377:G379)</f>
        <v>93152.815080000015</v>
      </c>
      <c r="H376" s="44">
        <f>G376*E361</f>
        <v>0</v>
      </c>
    </row>
    <row r="377" spans="1:11">
      <c r="A377" s="28"/>
      <c r="B377" s="29" t="s">
        <v>3719</v>
      </c>
      <c r="C377" s="30" t="str">
        <f>IFERROR(_xlfn.XLOOKUP(B377,MObra[DESCRIPCION],MObra[UN],,0),"")</f>
        <v>día</v>
      </c>
      <c r="D377" s="150">
        <v>1</v>
      </c>
      <c r="E377" s="32">
        <f>IFERROR(_xlfn.XLOOKUP($B377,MObra[DESCRIPCION],MObra[VALOR UNIT],,0),"")</f>
        <v>232882.03770000004</v>
      </c>
      <c r="F377" s="33">
        <v>-2.5</v>
      </c>
      <c r="G377" s="34">
        <f>IFERROR(IF(F377&gt;=0,D377*E377*(1+F377/100),ABS(D377*E377/F377)),"")</f>
        <v>93152.815080000015</v>
      </c>
      <c r="H377" s="43">
        <f>IFERROR(G377*E361,"")</f>
        <v>0</v>
      </c>
    </row>
    <row r="378" spans="1:11">
      <c r="A378" s="28"/>
      <c r="B378" s="29"/>
      <c r="C378" s="30" t="str">
        <f t="array" ref="C378">IFERROR(_xlfn.XLOOKUP(B378,MObra[[#All],[DESCRIPCION]],MObra[[#All],[UN]],,0),"")</f>
        <v/>
      </c>
      <c r="D378" s="150"/>
      <c r="E378" s="32" t="str">
        <f>IFERROR(_xlfn.XLOOKUP($B378,MObra[DESCRIPCION],MObra[VALOR UNIT],,0),"")</f>
        <v/>
      </c>
      <c r="F378" s="33"/>
      <c r="G378" s="34" t="str">
        <f>IFERROR(IF(F378&gt;=0,D378*E378*(1+F378/100),ABS(D378*E378/F378)),"")</f>
        <v/>
      </c>
      <c r="H378" s="43" t="str">
        <f>IFERROR(G378*E361,"")</f>
        <v/>
      </c>
    </row>
    <row r="379" spans="1:11">
      <c r="A379" s="35"/>
      <c r="B379" s="36"/>
      <c r="C379" s="37" t="str">
        <f t="array" ref="C379">IFERROR(_xlfn.XLOOKUP(B379,MObra[[#All],[DESCRIPCION]],MObra[[#All],[UN]],,0),"")</f>
        <v/>
      </c>
      <c r="D379" s="148"/>
      <c r="E379" s="39" t="str">
        <f>IFERROR(_xlfn.XLOOKUP($B379,MObra[DESCRIPCION],MObra[VALOR UNIT],,0),"")</f>
        <v/>
      </c>
      <c r="F379" s="40"/>
      <c r="G379" s="41" t="str">
        <f>IFERROR(IF(F379&gt;=0,D379*E379*(1+F379/100),ABS(D379*E379/F379)),"")</f>
        <v/>
      </c>
      <c r="H379" s="42" t="str">
        <f>IFERROR(G379*E361,"")</f>
        <v/>
      </c>
    </row>
    <row r="381" spans="1:11">
      <c r="A381" s="6" t="s">
        <v>55</v>
      </c>
      <c r="B381" s="7" t="str">
        <f>VLOOKUP($A381,Presupuesto!$A:$D,2,FALSE())</f>
        <v>Corte pulidora abertura muro mampostería</v>
      </c>
      <c r="C381" s="8" t="str">
        <f>VLOOKUP($A381,Presupuesto!$A:$D,3,FALSE())</f>
        <v>M</v>
      </c>
      <c r="D381" s="9"/>
      <c r="E381" s="147">
        <f>VLOOKUP($A381,Presupuesto!$A:$D,4,FALSE())</f>
        <v>0</v>
      </c>
      <c r="F381" s="11" t="s">
        <v>2589</v>
      </c>
      <c r="G381" s="12">
        <f>SUM(G383:G399)/2</f>
        <v>3302.9743539083338</v>
      </c>
      <c r="H381" s="13">
        <f>ROUND(SUM(H383:H399),0)/2</f>
        <v>0</v>
      </c>
      <c r="I381" s="10">
        <f>VLOOKUP(A381,Presupuesto!$A:$F,6,0)</f>
        <v>0</v>
      </c>
      <c r="J381" s="10">
        <f>+H381-I381</f>
        <v>0</v>
      </c>
      <c r="K381" s="46">
        <f>+H381-G381*E381</f>
        <v>0</v>
      </c>
    </row>
    <row r="382" spans="1:11">
      <c r="A382" s="14"/>
      <c r="B382" s="15" t="s">
        <v>2586</v>
      </c>
      <c r="C382" s="15" t="s">
        <v>5</v>
      </c>
      <c r="D382" s="16" t="s">
        <v>6</v>
      </c>
      <c r="E382" s="17" t="s">
        <v>7</v>
      </c>
      <c r="F382" s="18" t="s">
        <v>3728</v>
      </c>
      <c r="G382" s="19" t="s">
        <v>3729</v>
      </c>
      <c r="H382" s="20" t="s">
        <v>3797</v>
      </c>
    </row>
    <row r="383" spans="1:11">
      <c r="A383" s="21"/>
      <c r="B383" s="22" t="s">
        <v>3730</v>
      </c>
      <c r="C383" s="23"/>
      <c r="D383" s="24"/>
      <c r="E383" s="25"/>
      <c r="F383" s="26"/>
      <c r="G383" s="27">
        <f>SUM(G384:G388)</f>
        <v>162.75</v>
      </c>
      <c r="H383" s="27">
        <f>IFERROR(G383*E381,"")</f>
        <v>0</v>
      </c>
    </row>
    <row r="384" spans="1:11">
      <c r="A384" s="28"/>
      <c r="B384" s="29" t="s">
        <v>3810</v>
      </c>
      <c r="C384" s="30" t="str">
        <f>IFERROR(_xlfn.XLOOKUP(B384,Insumo[DESCRIPCION],Insumo[UND],,0),"")</f>
        <v>Un</v>
      </c>
      <c r="D384" s="146">
        <v>0.01</v>
      </c>
      <c r="E384" s="32">
        <f>IFERROR(_xlfn.XLOOKUP($B384,Insumo[DESCRIPCION],Insumo[VALOR],,0),"")</f>
        <v>16275</v>
      </c>
      <c r="F384" s="33"/>
      <c r="G384" s="34">
        <f>IFERROR(IF(F384&gt;=0,D384*E384*(1+F384/100),ABS(D384*E384/F384)),"")</f>
        <v>162.75</v>
      </c>
      <c r="H384" s="43">
        <f>IFERROR(G384*E381,"")</f>
        <v>0</v>
      </c>
    </row>
    <row r="385" spans="1:8">
      <c r="A385" s="28"/>
      <c r="B385" s="29"/>
      <c r="C385" s="30" t="str">
        <f>IFERROR(_xlfn.XLOOKUP(B385,Insumo[DESCRIPCION],Insumo[UND],,0),"")</f>
        <v/>
      </c>
      <c r="D385" s="150"/>
      <c r="E385" s="32" t="str">
        <f>IFERROR(_xlfn.XLOOKUP($B385,Insumo[DESCRIPCION],Insumo[VALOR],,0),"")</f>
        <v/>
      </c>
      <c r="F385" s="33"/>
      <c r="G385" s="34" t="str">
        <f>IFERROR(IF(F385&gt;=0,D385*E385*(1+F385/100),ABS(D385*E385/F385)),"")</f>
        <v/>
      </c>
      <c r="H385" s="43" t="str">
        <f>IFERROR(G385*E381,"")</f>
        <v/>
      </c>
    </row>
    <row r="386" spans="1:8">
      <c r="A386" s="28"/>
      <c r="B386" s="29"/>
      <c r="C386" s="30" t="str">
        <f>IFERROR(_xlfn.XLOOKUP(B386,Insumo[DESCRIPCION],Insumo[UND],,0),"")</f>
        <v/>
      </c>
      <c r="D386" s="150"/>
      <c r="E386" s="32" t="str">
        <f>IFERROR(_xlfn.XLOOKUP($B386,Insumo[DESCRIPCION],Insumo[VALOR],,0),"")</f>
        <v/>
      </c>
      <c r="F386" s="33"/>
      <c r="G386" s="34" t="str">
        <f>IFERROR(IF(F386&gt;=0,D386*E386*(1+F386/100),ABS(D386*E386/F386)),"")</f>
        <v/>
      </c>
      <c r="H386" s="43" t="str">
        <f>IFERROR(G386*E381,"")</f>
        <v/>
      </c>
    </row>
    <row r="387" spans="1:8">
      <c r="A387" s="28"/>
      <c r="B387" s="29"/>
      <c r="C387" s="30" t="str">
        <f>IFERROR(_xlfn.XLOOKUP(B387,Insumo[DESCRIPCION],Insumo[UND],,0),"")</f>
        <v/>
      </c>
      <c r="D387" s="150"/>
      <c r="E387" s="32" t="str">
        <f>IFERROR(_xlfn.XLOOKUP($B387,Insumo[DESCRIPCION],Insumo[VALOR],,0),"")</f>
        <v/>
      </c>
      <c r="F387" s="33"/>
      <c r="G387" s="34" t="str">
        <f>IFERROR(IF(F387&gt;=0,D387*E387*(1+F387/100),ABS(D387*E387/F387)),"")</f>
        <v/>
      </c>
      <c r="H387" s="43" t="str">
        <f>IFERROR(G387*E381,"")</f>
        <v/>
      </c>
    </row>
    <row r="388" spans="1:8">
      <c r="A388" s="28"/>
      <c r="B388" s="29"/>
      <c r="C388" s="30" t="str">
        <f>IFERROR(_xlfn.XLOOKUP(B388,Insumo[DESCRIPCION],Insumo[UND],,0),"")</f>
        <v/>
      </c>
      <c r="D388" s="150"/>
      <c r="E388" s="32" t="str">
        <f>IFERROR(_xlfn.XLOOKUP($B388,Insumo[DESCRIPCION],Insumo[VALOR],,0),"")</f>
        <v/>
      </c>
      <c r="F388" s="33"/>
      <c r="G388" s="34" t="str">
        <f>IFERROR(IF(F388&gt;=0,D388*E388*(1+F388/100),ABS(D388*E388/F388)),"")</f>
        <v/>
      </c>
      <c r="H388" s="43" t="str">
        <f>IFERROR(G388*E381,"")</f>
        <v/>
      </c>
    </row>
    <row r="389" spans="1:8">
      <c r="A389" s="21"/>
      <c r="B389" s="22" t="s">
        <v>3731</v>
      </c>
      <c r="C389" s="23"/>
      <c r="D389" s="151"/>
      <c r="E389" s="25"/>
      <c r="F389" s="26"/>
      <c r="G389" s="27">
        <f>SUM(G390:G392)</f>
        <v>940.78288674166674</v>
      </c>
      <c r="H389" s="44">
        <f>G389*E381</f>
        <v>0</v>
      </c>
    </row>
    <row r="390" spans="1:8">
      <c r="A390" s="28"/>
      <c r="B390" s="29" t="s">
        <v>3642</v>
      </c>
      <c r="C390" s="30" t="str">
        <f>IFERROR(_xlfn.XLOOKUP(B390,Equipo[DESCRIPCION],Equipo[UND],,0),"")</f>
        <v>Día</v>
      </c>
      <c r="D390" s="150">
        <v>1</v>
      </c>
      <c r="E390" s="32">
        <f>IF(C390="%MO",G396,IFERROR(VLOOKUP($B390,Equipo[],3,0),""))</f>
        <v>54978</v>
      </c>
      <c r="F390" s="33">
        <v>-90</v>
      </c>
      <c r="G390" s="34">
        <f>IFERROR(IF(F390&gt;=0,D390*E390*(1+F390/100),ABS(D390*E390/F390)),"")</f>
        <v>610.86666666666667</v>
      </c>
      <c r="H390" s="43">
        <f>IFERROR(G390*E381,"")</f>
        <v>0</v>
      </c>
    </row>
    <row r="391" spans="1:8">
      <c r="A391" s="28"/>
      <c r="B391" s="29" t="s">
        <v>3573</v>
      </c>
      <c r="C391" s="30" t="str">
        <f>IFERROR(_xlfn.XLOOKUP(B391,Equipo[DESCRIPCION],Equipo[UND],,0),"")</f>
        <v>%MO</v>
      </c>
      <c r="D391" s="142">
        <v>0.1</v>
      </c>
      <c r="E391" s="32">
        <f>IF(C391="%MO",G396,IFERROR(VLOOKUP($B391,Equipo[],3,0),""))</f>
        <v>2199.4414671666673</v>
      </c>
      <c r="F391" s="33"/>
      <c r="G391" s="34">
        <f>IFERROR(IF(F391&gt;=0,D391*E391*(1+F391/100),ABS(D391*E391/F391)),"")</f>
        <v>219.94414671666675</v>
      </c>
      <c r="H391" s="43">
        <f>IFERROR(G391*E381,"")</f>
        <v>0</v>
      </c>
    </row>
    <row r="392" spans="1:8">
      <c r="A392" s="28"/>
      <c r="B392" s="29" t="s">
        <v>3626</v>
      </c>
      <c r="C392" s="30" t="str">
        <f>IFERROR(_xlfn.XLOOKUP(B392,Equipo[DESCRIPCION],Equipo[UND],,0),"")</f>
        <v>%MO</v>
      </c>
      <c r="D392" s="146">
        <v>0.05</v>
      </c>
      <c r="E392" s="32">
        <f>IF(C392="%MO",G396,IFERROR(VLOOKUP($B392,Equipo[],3,0),""))</f>
        <v>2199.4414671666673</v>
      </c>
      <c r="F392" s="33"/>
      <c r="G392" s="34">
        <f>IFERROR(IF(F392&gt;=0,D392*E392*(1+F392/100),ABS(D392*E392/F392)),"")</f>
        <v>109.97207335833338</v>
      </c>
      <c r="H392" s="43">
        <f>IFERROR(G392*E381,"")</f>
        <v>0</v>
      </c>
    </row>
    <row r="393" spans="1:8">
      <c r="A393" s="21"/>
      <c r="B393" s="22" t="s">
        <v>2533</v>
      </c>
      <c r="C393" s="23"/>
      <c r="D393" s="151"/>
      <c r="E393" s="25"/>
      <c r="F393" s="26"/>
      <c r="G393" s="27">
        <f>SUM(G394:G395)</f>
        <v>0</v>
      </c>
      <c r="H393" s="44">
        <f>G393*E381</f>
        <v>0</v>
      </c>
    </row>
    <row r="394" spans="1:8">
      <c r="A394" s="28"/>
      <c r="B394" s="29"/>
      <c r="C394" s="30" t="str">
        <f>IFERROR(_xlfn.XLOOKUP(B394,Transporte[DESCRIPCION],Transporte[UND],,0),"")</f>
        <v/>
      </c>
      <c r="D394" s="150"/>
      <c r="E394" s="32" t="str">
        <f>IFERROR(_xlfn.XLOOKUP($B394,Transporte[DESCRIPCION],Transporte[VALOR],,0),"")</f>
        <v/>
      </c>
      <c r="F394" s="33"/>
      <c r="G394" s="34" t="str">
        <f>IFERROR(IF(F394&gt;=0,D394*E394*(1+F394/100),ABS(D394*E394/F394)),"")</f>
        <v/>
      </c>
      <c r="H394" s="43" t="str">
        <f>IFERROR(G394*E381,"")</f>
        <v/>
      </c>
    </row>
    <row r="395" spans="1:8">
      <c r="A395" s="28"/>
      <c r="B395" s="29"/>
      <c r="C395" s="30" t="str">
        <f>IFERROR(_xlfn.XLOOKUP(B395,Transporte[DESCRIPCION],Transporte[UND],,0),"")</f>
        <v/>
      </c>
      <c r="D395" s="150"/>
      <c r="E395" s="32" t="str">
        <f>IFERROR(_xlfn.XLOOKUP($B395,Transporte[DESCRIPCION],Transporte[VALOR],,0),"")</f>
        <v/>
      </c>
      <c r="F395" s="33"/>
      <c r="G395" s="34" t="str">
        <f>IFERROR(IF(F395&gt;=0,D395*E395*(1+F395/100),ABS(D395*E395/F395)),"")</f>
        <v/>
      </c>
      <c r="H395" s="43" t="str">
        <f>IFERROR(G395*E381,"")</f>
        <v/>
      </c>
    </row>
    <row r="396" spans="1:8">
      <c r="A396" s="21"/>
      <c r="B396" s="22" t="s">
        <v>3732</v>
      </c>
      <c r="C396" s="23"/>
      <c r="D396" s="153"/>
      <c r="E396" s="25"/>
      <c r="F396" s="26"/>
      <c r="G396" s="27">
        <f>SUM(G397:G399)</f>
        <v>2199.4414671666673</v>
      </c>
      <c r="H396" s="44">
        <f>G396*E381</f>
        <v>0</v>
      </c>
    </row>
    <row r="397" spans="1:8">
      <c r="A397" s="28"/>
      <c r="B397" s="29" t="s">
        <v>3705</v>
      </c>
      <c r="C397" s="30" t="str">
        <f>IFERROR(_xlfn.XLOOKUP(B397,MObra[DESCRIPCION],MObra[UN],,0),"")</f>
        <v>día</v>
      </c>
      <c r="D397" s="150">
        <v>1</v>
      </c>
      <c r="E397" s="32">
        <f>IFERROR(_xlfn.XLOOKUP($B397,MObra[DESCRIPCION],MObra[VALOR UNIT],,0),"")</f>
        <v>197949.73204500004</v>
      </c>
      <c r="F397" s="33">
        <v>-90</v>
      </c>
      <c r="G397" s="34">
        <f>IFERROR(IF(F397&gt;=0,D397*E397*(1+F397/100),ABS(D397*E397/F397)),"")</f>
        <v>2199.4414671666673</v>
      </c>
      <c r="H397" s="43">
        <f>IFERROR(G397*E381,"")</f>
        <v>0</v>
      </c>
    </row>
    <row r="398" spans="1:8">
      <c r="A398" s="28"/>
      <c r="B398" s="29"/>
      <c r="C398" s="30" t="str">
        <f t="array" ref="C398">IFERROR(_xlfn.XLOOKUP(B398,MObra[[#All],[DESCRIPCION]],MObra[[#All],[UN]],,0),"")</f>
        <v/>
      </c>
      <c r="D398" s="150"/>
      <c r="E398" s="32" t="str">
        <f>IFERROR(_xlfn.XLOOKUP($B398,MObra[DESCRIPCION],MObra[VALOR UNIT],,0),"")</f>
        <v/>
      </c>
      <c r="F398" s="33"/>
      <c r="G398" s="34" t="str">
        <f>IFERROR(IF(F398&gt;=0,D398*E398*(1+F398/100),ABS(D398*E398/F398)),"")</f>
        <v/>
      </c>
      <c r="H398" s="43" t="str">
        <f>IFERROR(G398*E381,"")</f>
        <v/>
      </c>
    </row>
    <row r="399" spans="1:8">
      <c r="A399" s="35"/>
      <c r="B399" s="36"/>
      <c r="C399" s="37" t="str">
        <f t="array" ref="C399">IFERROR(_xlfn.XLOOKUP(B399,MObra[[#All],[DESCRIPCION]],MObra[[#All],[UN]],,0),"")</f>
        <v/>
      </c>
      <c r="D399" s="148"/>
      <c r="E399" s="39" t="str">
        <f>IFERROR(_xlfn.XLOOKUP($B399,MObra[DESCRIPCION],MObra[VALOR UNIT],,0),"")</f>
        <v/>
      </c>
      <c r="F399" s="40"/>
      <c r="G399" s="41" t="str">
        <f>IFERROR(IF(F399&gt;=0,D399*E399*(1+F399/100),ABS(D399*E399/F399)),"")</f>
        <v/>
      </c>
      <c r="H399" s="42" t="str">
        <f>IFERROR(G399*E381,"")</f>
        <v/>
      </c>
    </row>
    <row r="401" spans="1:11">
      <c r="A401" s="6" t="s">
        <v>57</v>
      </c>
      <c r="B401" s="7" t="str">
        <f>VLOOKUP($A401,Presupuesto!$A:$D,2,FALSE())</f>
        <v>Cuadrilla de limpieza (4 personas)</v>
      </c>
      <c r="C401" s="8" t="str">
        <f>VLOOKUP($A401,Presupuesto!$A:$D,3,FALSE())</f>
        <v>Mes</v>
      </c>
      <c r="D401" s="9"/>
      <c r="E401" s="147">
        <f>VLOOKUP($A401,Presupuesto!$A:$D,4,FALSE())</f>
        <v>0</v>
      </c>
      <c r="F401" s="11" t="s">
        <v>2589</v>
      </c>
      <c r="G401" s="12">
        <f>SUM(G403:G419)/2</f>
        <v>14671568.375100002</v>
      </c>
      <c r="H401" s="13">
        <f>ROUND(SUM(H403:H419),0)/2</f>
        <v>0</v>
      </c>
      <c r="I401" s="10">
        <f>VLOOKUP(A401,Presupuesto!$A:$F,6,0)</f>
        <v>0</v>
      </c>
      <c r="J401" s="10">
        <f>+H401-I401</f>
        <v>0</v>
      </c>
      <c r="K401" s="46">
        <f>+H401-G401*E401</f>
        <v>0</v>
      </c>
    </row>
    <row r="402" spans="1:11">
      <c r="A402" s="14"/>
      <c r="B402" s="15" t="s">
        <v>2586</v>
      </c>
      <c r="C402" s="15" t="s">
        <v>5</v>
      </c>
      <c r="D402" s="16" t="s">
        <v>6</v>
      </c>
      <c r="E402" s="17" t="s">
        <v>7</v>
      </c>
      <c r="F402" s="18" t="s">
        <v>3728</v>
      </c>
      <c r="G402" s="19" t="s">
        <v>3729</v>
      </c>
      <c r="H402" s="20" t="s">
        <v>3797</v>
      </c>
    </row>
    <row r="403" spans="1:11">
      <c r="A403" s="21"/>
      <c r="B403" s="22" t="s">
        <v>3730</v>
      </c>
      <c r="C403" s="23"/>
      <c r="D403" s="24"/>
      <c r="E403" s="25"/>
      <c r="F403" s="26"/>
      <c r="G403" s="27">
        <f>SUM(G404:G408)</f>
        <v>0</v>
      </c>
      <c r="H403" s="27">
        <f>IFERROR(G403*E401,"")</f>
        <v>0</v>
      </c>
    </row>
    <row r="404" spans="1:11">
      <c r="A404" s="28"/>
      <c r="B404" s="29"/>
      <c r="C404" s="30" t="str">
        <f>IFERROR(_xlfn.XLOOKUP(B404,Insumo[DESCRIPCION],Insumo[UND],,0),"")</f>
        <v/>
      </c>
      <c r="D404" s="150"/>
      <c r="E404" s="32" t="str">
        <f>IFERROR(_xlfn.XLOOKUP($B404,Insumo[DESCRIPCION],Insumo[VALOR],,0),"")</f>
        <v/>
      </c>
      <c r="F404" s="33"/>
      <c r="G404" s="34" t="str">
        <f>IFERROR(IF(F404&gt;=0,D404*E404*(1+F404/100),ABS(D404*E404/F404)),"")</f>
        <v/>
      </c>
      <c r="H404" s="43" t="str">
        <f>IFERROR(G404*E401,"")</f>
        <v/>
      </c>
    </row>
    <row r="405" spans="1:11">
      <c r="A405" s="28"/>
      <c r="B405" s="29"/>
      <c r="C405" s="30" t="str">
        <f>IFERROR(_xlfn.XLOOKUP(B405,Insumo[DESCRIPCION],Insumo[UND],,0),"")</f>
        <v/>
      </c>
      <c r="D405" s="150"/>
      <c r="E405" s="32" t="str">
        <f>IFERROR(_xlfn.XLOOKUP($B405,Insumo[DESCRIPCION],Insumo[VALOR],,0),"")</f>
        <v/>
      </c>
      <c r="F405" s="33"/>
      <c r="G405" s="34" t="str">
        <f>IFERROR(IF(F405&gt;=0,D405*E405*(1+F405/100),ABS(D405*E405/F405)),"")</f>
        <v/>
      </c>
      <c r="H405" s="43" t="str">
        <f>IFERROR(G405*E401,"")</f>
        <v/>
      </c>
    </row>
    <row r="406" spans="1:11">
      <c r="A406" s="28"/>
      <c r="B406" s="29"/>
      <c r="C406" s="30" t="str">
        <f>IFERROR(_xlfn.XLOOKUP(B406,Insumo[DESCRIPCION],Insumo[UND],,0),"")</f>
        <v/>
      </c>
      <c r="D406" s="150"/>
      <c r="E406" s="32" t="str">
        <f>IFERROR(_xlfn.XLOOKUP($B406,Insumo[DESCRIPCION],Insumo[VALOR],,0),"")</f>
        <v/>
      </c>
      <c r="F406" s="33"/>
      <c r="G406" s="34" t="str">
        <f>IFERROR(IF(F406&gt;=0,D406*E406*(1+F406/100),ABS(D406*E406/F406)),"")</f>
        <v/>
      </c>
      <c r="H406" s="43" t="str">
        <f>IFERROR(G406*E401,"")</f>
        <v/>
      </c>
    </row>
    <row r="407" spans="1:11">
      <c r="A407" s="28"/>
      <c r="B407" s="29"/>
      <c r="C407" s="30" t="str">
        <f>IFERROR(_xlfn.XLOOKUP(B407,Insumo[DESCRIPCION],Insumo[UND],,0),"")</f>
        <v/>
      </c>
      <c r="D407" s="150"/>
      <c r="E407" s="32" t="str">
        <f>IFERROR(_xlfn.XLOOKUP($B407,Insumo[DESCRIPCION],Insumo[VALOR],,0),"")</f>
        <v/>
      </c>
      <c r="F407" s="33"/>
      <c r="G407" s="34" t="str">
        <f>IFERROR(IF(F407&gt;=0,D407*E407*(1+F407/100),ABS(D407*E407/F407)),"")</f>
        <v/>
      </c>
      <c r="H407" s="43" t="str">
        <f>IFERROR(G407*E401,"")</f>
        <v/>
      </c>
    </row>
    <row r="408" spans="1:11">
      <c r="A408" s="28"/>
      <c r="B408" s="29"/>
      <c r="C408" s="30" t="str">
        <f>IFERROR(_xlfn.XLOOKUP(B408,Insumo[DESCRIPCION],Insumo[UND],,0),"")</f>
        <v/>
      </c>
      <c r="D408" s="150"/>
      <c r="E408" s="32" t="str">
        <f>IFERROR(_xlfn.XLOOKUP($B408,Insumo[DESCRIPCION],Insumo[VALOR],,0),"")</f>
        <v/>
      </c>
      <c r="F408" s="33"/>
      <c r="G408" s="34" t="str">
        <f>IFERROR(IF(F408&gt;=0,D408*E408*(1+F408/100),ABS(D408*E408/F408)),"")</f>
        <v/>
      </c>
      <c r="H408" s="43" t="str">
        <f>IFERROR(G408*E401,"")</f>
        <v/>
      </c>
    </row>
    <row r="409" spans="1:11">
      <c r="A409" s="21"/>
      <c r="B409" s="22" t="s">
        <v>3731</v>
      </c>
      <c r="C409" s="23"/>
      <c r="D409" s="151"/>
      <c r="E409" s="25"/>
      <c r="F409" s="26"/>
      <c r="G409" s="27">
        <f>SUM(G410:G412)</f>
        <v>698646.11310000019</v>
      </c>
      <c r="H409" s="44">
        <f>G409*E401</f>
        <v>0</v>
      </c>
    </row>
    <row r="410" spans="1:11">
      <c r="A410" s="28"/>
      <c r="B410" s="29" t="s">
        <v>3626</v>
      </c>
      <c r="C410" s="30" t="str">
        <f>IFERROR(_xlfn.XLOOKUP(B410,Equipo[DESCRIPCION],Equipo[UND],,0),"")</f>
        <v>%MO</v>
      </c>
      <c r="D410" s="146">
        <v>0.05</v>
      </c>
      <c r="E410" s="32">
        <f>IF(C410="%MO",G416,IFERROR(VLOOKUP($B410,Equipo[],3,0),""))</f>
        <v>13972922.262000002</v>
      </c>
      <c r="F410" s="33"/>
      <c r="G410" s="34">
        <f>IFERROR(IF(F410&gt;=0,D410*E410*(1+F410/100),ABS(D410*E410/F410)),"")</f>
        <v>698646.11310000019</v>
      </c>
      <c r="H410" s="43">
        <f>IFERROR(G410*E401,"")</f>
        <v>0</v>
      </c>
    </row>
    <row r="411" spans="1:11">
      <c r="A411" s="28"/>
      <c r="B411" s="29"/>
      <c r="C411" s="30" t="str">
        <f>IFERROR(_xlfn.XLOOKUP(B411,Equipo[DESCRIPCION],Equipo[UND],,0),"")</f>
        <v/>
      </c>
      <c r="D411" s="146"/>
      <c r="E411" s="32" t="str">
        <f>IF(C411="%MO",G416,IFERROR(VLOOKUP($B411,Equipo[],3,0),""))</f>
        <v/>
      </c>
      <c r="F411" s="33"/>
      <c r="G411" s="34" t="str">
        <f>IFERROR(IF(F411&gt;=0,D411*E411*(1+F411/100),ABS(D411*E411/F411)),"")</f>
        <v/>
      </c>
      <c r="H411" s="43" t="str">
        <f>IFERROR(G411*E401,"")</f>
        <v/>
      </c>
    </row>
    <row r="412" spans="1:11">
      <c r="A412" s="28"/>
      <c r="B412" s="29"/>
      <c r="C412" s="30" t="str">
        <f>IFERROR(_xlfn.XLOOKUP(B412,Equipo[DESCRIPCION],Equipo[UND],,0),"")</f>
        <v/>
      </c>
      <c r="D412" s="146"/>
      <c r="E412" s="32" t="str">
        <f>IF(C412="%MO",G416,IFERROR(VLOOKUP($B412,Equipo[],3,0),""))</f>
        <v/>
      </c>
      <c r="F412" s="33"/>
      <c r="G412" s="34" t="str">
        <f>IFERROR(IF(F412&gt;=0,D412*E412*(1+F412/100),ABS(D412*E412/F412)),"")</f>
        <v/>
      </c>
      <c r="H412" s="43" t="str">
        <f>IFERROR(G412*E401,"")</f>
        <v/>
      </c>
    </row>
    <row r="413" spans="1:11">
      <c r="A413" s="21"/>
      <c r="B413" s="22" t="s">
        <v>2533</v>
      </c>
      <c r="C413" s="23"/>
      <c r="D413" s="151"/>
      <c r="E413" s="25"/>
      <c r="F413" s="26"/>
      <c r="G413" s="27">
        <f>SUM(G414:G415)</f>
        <v>0</v>
      </c>
      <c r="H413" s="44">
        <f>G413*E401</f>
        <v>0</v>
      </c>
    </row>
    <row r="414" spans="1:11">
      <c r="A414" s="28"/>
      <c r="B414" s="29"/>
      <c r="C414" s="30" t="str">
        <f>IFERROR(_xlfn.XLOOKUP(B414,Transporte[DESCRIPCION],Transporte[UND],,0),"")</f>
        <v/>
      </c>
      <c r="D414" s="150"/>
      <c r="E414" s="32" t="str">
        <f>IFERROR(_xlfn.XLOOKUP($B414,Transporte[DESCRIPCION],Transporte[VALOR],,0),"")</f>
        <v/>
      </c>
      <c r="F414" s="33"/>
      <c r="G414" s="34" t="str">
        <f>IFERROR(IF(F414&gt;=0,D414*E414*(1+F414/100),ABS(D414*E414/F414)),"")</f>
        <v/>
      </c>
      <c r="H414" s="43" t="str">
        <f>IFERROR(G414*E401,"")</f>
        <v/>
      </c>
    </row>
    <row r="415" spans="1:11">
      <c r="A415" s="28"/>
      <c r="B415" s="29"/>
      <c r="C415" s="30" t="str">
        <f>IFERROR(_xlfn.XLOOKUP(B415,Transporte[DESCRIPCION],Transporte[UND],,0),"")</f>
        <v/>
      </c>
      <c r="D415" s="150"/>
      <c r="E415" s="32" t="str">
        <f>IFERROR(_xlfn.XLOOKUP($B415,Transporte[DESCRIPCION],Transporte[VALOR],,0),"")</f>
        <v/>
      </c>
      <c r="F415" s="33"/>
      <c r="G415" s="34" t="str">
        <f>IFERROR(IF(F415&gt;=0,D415*E415*(1+F415/100),ABS(D415*E415/F415)),"")</f>
        <v/>
      </c>
      <c r="H415" s="43" t="str">
        <f>IFERROR(G415*E401,"")</f>
        <v/>
      </c>
    </row>
    <row r="416" spans="1:11">
      <c r="A416" s="21"/>
      <c r="B416" s="22" t="s">
        <v>3732</v>
      </c>
      <c r="C416" s="23"/>
      <c r="D416" s="153"/>
      <c r="E416" s="25"/>
      <c r="F416" s="26"/>
      <c r="G416" s="27">
        <f>SUM(G417:G419)</f>
        <v>13972922.262000002</v>
      </c>
      <c r="H416" s="44">
        <f>G416*E401</f>
        <v>0</v>
      </c>
    </row>
    <row r="417" spans="1:11">
      <c r="A417" s="28"/>
      <c r="B417" s="29" t="s">
        <v>3723</v>
      </c>
      <c r="C417" s="30" t="str">
        <f>IFERROR(_xlfn.XLOOKUP(B417,MObra[DESCRIPCION],MObra[UN],,0),"")</f>
        <v>día</v>
      </c>
      <c r="D417" s="150">
        <v>1</v>
      </c>
      <c r="E417" s="32">
        <f>IFERROR(_xlfn.XLOOKUP($B417,MObra[DESCRIPCION],MObra[VALOR UNIT],,0),"")</f>
        <v>465764.07540000009</v>
      </c>
      <c r="F417" s="33">
        <f>-1/30</f>
        <v>-3.3333333333333333E-2</v>
      </c>
      <c r="G417" s="34">
        <f>IFERROR(IF(F417&gt;=0,D417*E417*(1+F417/100),ABS(D417*E417/F417)),"")</f>
        <v>13972922.262000002</v>
      </c>
      <c r="H417" s="43">
        <f>IFERROR(G417*E401,"")</f>
        <v>0</v>
      </c>
    </row>
    <row r="418" spans="1:11">
      <c r="A418" s="28"/>
      <c r="B418" s="29"/>
      <c r="C418" s="30" t="str">
        <f t="array" ref="C418">IFERROR(_xlfn.XLOOKUP(B418,MObra[[#All],[DESCRIPCION]],MObra[[#All],[UN]],,0),"")</f>
        <v/>
      </c>
      <c r="D418" s="150"/>
      <c r="E418" s="32" t="str">
        <f>IFERROR(_xlfn.XLOOKUP($B418,MObra[DESCRIPCION],MObra[VALOR UNIT],,0),"")</f>
        <v/>
      </c>
      <c r="F418" s="33"/>
      <c r="G418" s="34" t="str">
        <f>IFERROR(IF(F418&gt;=0,D418*E418*(1+F418/100),ABS(D418*E418/F418)),"")</f>
        <v/>
      </c>
      <c r="H418" s="43" t="str">
        <f>IFERROR(G418*E401,"")</f>
        <v/>
      </c>
    </row>
    <row r="419" spans="1:11">
      <c r="A419" s="35"/>
      <c r="B419" s="36"/>
      <c r="C419" s="37" t="str">
        <f t="array" ref="C419">IFERROR(_xlfn.XLOOKUP(B419,MObra[[#All],[DESCRIPCION]],MObra[[#All],[UN]],,0),"")</f>
        <v/>
      </c>
      <c r="D419" s="148"/>
      <c r="E419" s="39" t="str">
        <f>IFERROR(_xlfn.XLOOKUP($B419,MObra[DESCRIPCION],MObra[VALOR UNIT],,0),"")</f>
        <v/>
      </c>
      <c r="F419" s="40"/>
      <c r="G419" s="41" t="str">
        <f>IFERROR(IF(F419&gt;=0,D419*E419*(1+F419/100),ABS(D419*E419/F419)),"")</f>
        <v/>
      </c>
      <c r="H419" s="42" t="str">
        <f>IFERROR(G419*E401,"")</f>
        <v/>
      </c>
    </row>
    <row r="421" spans="1:11">
      <c r="A421" s="6" t="s">
        <v>59</v>
      </c>
      <c r="B421" s="7" t="str">
        <f>VLOOKUP($A421,Presupuesto!$A:$D,2,FALSE())</f>
        <v>Cuadrilla de limpieza (6 personas)</v>
      </c>
      <c r="C421" s="8" t="str">
        <f>VLOOKUP($A421,Presupuesto!$A:$D,3,FALSE())</f>
        <v>Mes</v>
      </c>
      <c r="D421" s="9"/>
      <c r="E421" s="147">
        <f>VLOOKUP($A421,Presupuesto!$A:$D,4,FALSE())</f>
        <v>0</v>
      </c>
      <c r="F421" s="11" t="s">
        <v>2589</v>
      </c>
      <c r="G421" s="12">
        <f>SUM(G423:G439)/2</f>
        <v>22007352.562650003</v>
      </c>
      <c r="H421" s="13">
        <f>ROUND(SUM(H423:H439),0)/2</f>
        <v>0</v>
      </c>
      <c r="I421" s="10">
        <f>VLOOKUP(A421,Presupuesto!$A:$F,6,0)</f>
        <v>0</v>
      </c>
      <c r="J421" s="10">
        <f>+H421-I421</f>
        <v>0</v>
      </c>
      <c r="K421" s="46">
        <f>+H421-G421*E421</f>
        <v>0</v>
      </c>
    </row>
    <row r="422" spans="1:11">
      <c r="A422" s="14"/>
      <c r="B422" s="15" t="s">
        <v>2586</v>
      </c>
      <c r="C422" s="15" t="s">
        <v>5</v>
      </c>
      <c r="D422" s="16" t="s">
        <v>6</v>
      </c>
      <c r="E422" s="17" t="s">
        <v>7</v>
      </c>
      <c r="F422" s="18" t="s">
        <v>3728</v>
      </c>
      <c r="G422" s="19" t="s">
        <v>3729</v>
      </c>
      <c r="H422" s="20" t="s">
        <v>3797</v>
      </c>
    </row>
    <row r="423" spans="1:11">
      <c r="A423" s="21"/>
      <c r="B423" s="22" t="s">
        <v>3730</v>
      </c>
      <c r="C423" s="23"/>
      <c r="D423" s="24"/>
      <c r="E423" s="25"/>
      <c r="F423" s="26"/>
      <c r="G423" s="27">
        <f>SUM(G424:G428)</f>
        <v>0</v>
      </c>
      <c r="H423" s="27">
        <f>IFERROR(G423*E421,"")</f>
        <v>0</v>
      </c>
    </row>
    <row r="424" spans="1:11">
      <c r="A424" s="28"/>
      <c r="B424" s="29"/>
      <c r="C424" s="30" t="str">
        <f>IFERROR(_xlfn.XLOOKUP(B424,Insumo[DESCRIPCION],Insumo[UND],,0),"")</f>
        <v/>
      </c>
      <c r="D424" s="150"/>
      <c r="E424" s="32" t="str">
        <f>IFERROR(_xlfn.XLOOKUP($B424,Insumo[DESCRIPCION],Insumo[VALOR],,0),"")</f>
        <v/>
      </c>
      <c r="F424" s="33"/>
      <c r="G424" s="34" t="str">
        <f>IFERROR(IF(F424&gt;=0,D424*E424*(1+F424/100),ABS(D424*E424/F424)),"")</f>
        <v/>
      </c>
      <c r="H424" s="43" t="str">
        <f>IFERROR(G424*E421,"")</f>
        <v/>
      </c>
    </row>
    <row r="425" spans="1:11">
      <c r="A425" s="28"/>
      <c r="B425" s="29"/>
      <c r="C425" s="30" t="str">
        <f>IFERROR(_xlfn.XLOOKUP(B425,Insumo[DESCRIPCION],Insumo[UND],,0),"")</f>
        <v/>
      </c>
      <c r="D425" s="150"/>
      <c r="E425" s="32" t="str">
        <f>IFERROR(_xlfn.XLOOKUP($B425,Insumo[DESCRIPCION],Insumo[VALOR],,0),"")</f>
        <v/>
      </c>
      <c r="F425" s="33"/>
      <c r="G425" s="34" t="str">
        <f>IFERROR(IF(F425&gt;=0,D425*E425*(1+F425/100),ABS(D425*E425/F425)),"")</f>
        <v/>
      </c>
      <c r="H425" s="43" t="str">
        <f>IFERROR(G425*E421,"")</f>
        <v/>
      </c>
    </row>
    <row r="426" spans="1:11">
      <c r="A426" s="28"/>
      <c r="B426" s="29"/>
      <c r="C426" s="30" t="str">
        <f>IFERROR(_xlfn.XLOOKUP(B426,Insumo[DESCRIPCION],Insumo[UND],,0),"")</f>
        <v/>
      </c>
      <c r="D426" s="150"/>
      <c r="E426" s="32" t="str">
        <f>IFERROR(_xlfn.XLOOKUP($B426,Insumo[DESCRIPCION],Insumo[VALOR],,0),"")</f>
        <v/>
      </c>
      <c r="F426" s="33"/>
      <c r="G426" s="34" t="str">
        <f>IFERROR(IF(F426&gt;=0,D426*E426*(1+F426/100),ABS(D426*E426/F426)),"")</f>
        <v/>
      </c>
      <c r="H426" s="43" t="str">
        <f>IFERROR(G426*E421,"")</f>
        <v/>
      </c>
    </row>
    <row r="427" spans="1:11">
      <c r="A427" s="28"/>
      <c r="B427" s="29"/>
      <c r="C427" s="30" t="str">
        <f>IFERROR(_xlfn.XLOOKUP(B427,Insumo[DESCRIPCION],Insumo[UND],,0),"")</f>
        <v/>
      </c>
      <c r="D427" s="150"/>
      <c r="E427" s="32" t="str">
        <f>IFERROR(_xlfn.XLOOKUP($B427,Insumo[DESCRIPCION],Insumo[VALOR],,0),"")</f>
        <v/>
      </c>
      <c r="F427" s="33"/>
      <c r="G427" s="34" t="str">
        <f>IFERROR(IF(F427&gt;=0,D427*E427*(1+F427/100),ABS(D427*E427/F427)),"")</f>
        <v/>
      </c>
      <c r="H427" s="43" t="str">
        <f>IFERROR(G427*E421,"")</f>
        <v/>
      </c>
    </row>
    <row r="428" spans="1:11">
      <c r="A428" s="28"/>
      <c r="B428" s="29"/>
      <c r="C428" s="30" t="str">
        <f>IFERROR(_xlfn.XLOOKUP(B428,Insumo[DESCRIPCION],Insumo[UND],,0),"")</f>
        <v/>
      </c>
      <c r="D428" s="150"/>
      <c r="E428" s="32" t="str">
        <f>IFERROR(_xlfn.XLOOKUP($B428,Insumo[DESCRIPCION],Insumo[VALOR],,0),"")</f>
        <v/>
      </c>
      <c r="F428" s="33"/>
      <c r="G428" s="34" t="str">
        <f>IFERROR(IF(F428&gt;=0,D428*E428*(1+F428/100),ABS(D428*E428/F428)),"")</f>
        <v/>
      </c>
      <c r="H428" s="43" t="str">
        <f>IFERROR(G428*E421,"")</f>
        <v/>
      </c>
    </row>
    <row r="429" spans="1:11">
      <c r="A429" s="21"/>
      <c r="B429" s="22" t="s">
        <v>3731</v>
      </c>
      <c r="C429" s="23"/>
      <c r="D429" s="151"/>
      <c r="E429" s="25"/>
      <c r="F429" s="26"/>
      <c r="G429" s="27">
        <f>SUM(G430:G432)</f>
        <v>1047969.1696500002</v>
      </c>
      <c r="H429" s="44">
        <f>G429*E421</f>
        <v>0</v>
      </c>
    </row>
    <row r="430" spans="1:11">
      <c r="A430" s="28"/>
      <c r="B430" s="29" t="s">
        <v>3626</v>
      </c>
      <c r="C430" s="30" t="str">
        <f>IFERROR(_xlfn.XLOOKUP(B430,Equipo[DESCRIPCION],Equipo[UND],,0),"")</f>
        <v>%MO</v>
      </c>
      <c r="D430" s="146">
        <v>0.05</v>
      </c>
      <c r="E430" s="32">
        <f>IF(C430="%MO",G436,IFERROR(VLOOKUP($B430,Equipo[],3,0),""))</f>
        <v>20959383.393000003</v>
      </c>
      <c r="F430" s="33"/>
      <c r="G430" s="34">
        <f>IFERROR(IF(F430&gt;=0,D430*E430*(1+F430/100),ABS(D430*E430/F430)),"")</f>
        <v>1047969.1696500002</v>
      </c>
      <c r="H430" s="43">
        <f>IFERROR(G430*E421,"")</f>
        <v>0</v>
      </c>
    </row>
    <row r="431" spans="1:11">
      <c r="A431" s="28"/>
      <c r="B431" s="29"/>
      <c r="C431" s="30" t="str">
        <f>IFERROR(_xlfn.XLOOKUP(B431,Equipo[DESCRIPCION],Equipo[UND],,0),"")</f>
        <v/>
      </c>
      <c r="D431" s="146"/>
      <c r="E431" s="32" t="str">
        <f>IF(C431="%MO",G436,IFERROR(VLOOKUP($B431,Equipo[],3,0),""))</f>
        <v/>
      </c>
      <c r="F431" s="33"/>
      <c r="G431" s="34" t="str">
        <f>IFERROR(IF(F431&gt;=0,D431*E431*(1+F431/100),ABS(D431*E431/F431)),"")</f>
        <v/>
      </c>
      <c r="H431" s="43" t="str">
        <f>IFERROR(G431*E421,"")</f>
        <v/>
      </c>
    </row>
    <row r="432" spans="1:11">
      <c r="A432" s="28"/>
      <c r="B432" s="29"/>
      <c r="C432" s="30" t="str">
        <f>IFERROR(_xlfn.XLOOKUP(B432,Equipo[DESCRIPCION],Equipo[UND],,0),"")</f>
        <v/>
      </c>
      <c r="D432" s="146"/>
      <c r="E432" s="32" t="str">
        <f>IF(C432="%MO",G436,IFERROR(VLOOKUP($B432,Equipo[],3,0),""))</f>
        <v/>
      </c>
      <c r="F432" s="33"/>
      <c r="G432" s="34" t="str">
        <f>IFERROR(IF(F432&gt;=0,D432*E432*(1+F432/100),ABS(D432*E432/F432)),"")</f>
        <v/>
      </c>
      <c r="H432" s="43" t="str">
        <f>IFERROR(G432*E421,"")</f>
        <v/>
      </c>
    </row>
    <row r="433" spans="1:11">
      <c r="A433" s="21"/>
      <c r="B433" s="22" t="s">
        <v>2533</v>
      </c>
      <c r="C433" s="23"/>
      <c r="D433" s="151"/>
      <c r="E433" s="25"/>
      <c r="F433" s="26"/>
      <c r="G433" s="27">
        <f>SUM(G434:G435)</f>
        <v>0</v>
      </c>
      <c r="H433" s="44">
        <f>G433*E421</f>
        <v>0</v>
      </c>
    </row>
    <row r="434" spans="1:11">
      <c r="A434" s="28"/>
      <c r="B434" s="29"/>
      <c r="C434" s="30" t="str">
        <f>IFERROR(_xlfn.XLOOKUP(B434,Transporte[DESCRIPCION],Transporte[UND],,0),"")</f>
        <v/>
      </c>
      <c r="D434" s="150"/>
      <c r="E434" s="32" t="str">
        <f>IFERROR(_xlfn.XLOOKUP($B434,Transporte[DESCRIPCION],Transporte[VALOR],,0),"")</f>
        <v/>
      </c>
      <c r="F434" s="33"/>
      <c r="G434" s="34" t="str">
        <f>IFERROR(IF(F434&gt;=0,D434*E434*(1+F434/100),ABS(D434*E434/F434)),"")</f>
        <v/>
      </c>
      <c r="H434" s="43" t="str">
        <f>IFERROR(G434*E421,"")</f>
        <v/>
      </c>
    </row>
    <row r="435" spans="1:11">
      <c r="A435" s="28"/>
      <c r="B435" s="29"/>
      <c r="C435" s="30" t="str">
        <f>IFERROR(_xlfn.XLOOKUP(B435,Transporte[DESCRIPCION],Transporte[UND],,0),"")</f>
        <v/>
      </c>
      <c r="D435" s="150"/>
      <c r="E435" s="32" t="str">
        <f>IFERROR(_xlfn.XLOOKUP($B435,Transporte[DESCRIPCION],Transporte[VALOR],,0),"")</f>
        <v/>
      </c>
      <c r="F435" s="33"/>
      <c r="G435" s="34" t="str">
        <f>IFERROR(IF(F435&gt;=0,D435*E435*(1+F435/100),ABS(D435*E435/F435)),"")</f>
        <v/>
      </c>
      <c r="H435" s="43" t="str">
        <f>IFERROR(G435*E421,"")</f>
        <v/>
      </c>
    </row>
    <row r="436" spans="1:11">
      <c r="A436" s="21"/>
      <c r="B436" s="22" t="s">
        <v>3732</v>
      </c>
      <c r="C436" s="23"/>
      <c r="D436" s="153"/>
      <c r="E436" s="25"/>
      <c r="F436" s="26"/>
      <c r="G436" s="27">
        <f>SUM(G437:G439)</f>
        <v>20959383.393000003</v>
      </c>
      <c r="H436" s="44">
        <f>G436*E421</f>
        <v>0</v>
      </c>
    </row>
    <row r="437" spans="1:11">
      <c r="A437" s="28"/>
      <c r="B437" s="29" t="s">
        <v>3723</v>
      </c>
      <c r="C437" s="30" t="str">
        <f>IFERROR(_xlfn.XLOOKUP(B437,MObra[DESCRIPCION],MObra[UN],,0),"")</f>
        <v>día</v>
      </c>
      <c r="D437" s="150">
        <v>1</v>
      </c>
      <c r="E437" s="32">
        <f>IFERROR(_xlfn.XLOOKUP($B437,MObra[DESCRIPCION],MObra[VALOR UNIT],,0),"")</f>
        <v>465764.07540000009</v>
      </c>
      <c r="F437" s="33">
        <f>-1/30</f>
        <v>-3.3333333333333333E-2</v>
      </c>
      <c r="G437" s="34">
        <f>IFERROR(IF(F437&gt;=0,D437*E437*(1+F437/100),ABS(D437*E437/F437)),"")</f>
        <v>13972922.262000002</v>
      </c>
      <c r="H437" s="43">
        <f>IFERROR(G437*E421,"")</f>
        <v>0</v>
      </c>
    </row>
    <row r="438" spans="1:11">
      <c r="A438" s="28"/>
      <c r="B438" s="29" t="s">
        <v>3719</v>
      </c>
      <c r="C438" s="30" t="str">
        <f t="array" ref="C438">IFERROR(_xlfn.XLOOKUP(B438,MObra[[#All],[DESCRIPCION]],MObra[[#All],[UN]],,0),"")</f>
        <v>día</v>
      </c>
      <c r="D438" s="150">
        <v>1</v>
      </c>
      <c r="E438" s="32">
        <f>IFERROR(_xlfn.XLOOKUP($B438,MObra[DESCRIPCION],MObra[VALOR UNIT],,0),"")</f>
        <v>232882.03770000004</v>
      </c>
      <c r="F438" s="33">
        <f>-1/30</f>
        <v>-3.3333333333333333E-2</v>
      </c>
      <c r="G438" s="34">
        <f>IFERROR(IF(F438&gt;=0,D438*E438*(1+F438/100),ABS(D438*E438/F438)),"")</f>
        <v>6986461.131000001</v>
      </c>
      <c r="H438" s="43">
        <f>IFERROR(G438*E421,"")</f>
        <v>0</v>
      </c>
    </row>
    <row r="439" spans="1:11">
      <c r="A439" s="35"/>
      <c r="B439" s="36"/>
      <c r="C439" s="37" t="str">
        <f t="array" ref="C439">IFERROR(_xlfn.XLOOKUP(B439,MObra[[#All],[DESCRIPCION]],MObra[[#All],[UN]],,0),"")</f>
        <v/>
      </c>
      <c r="D439" s="148"/>
      <c r="E439" s="39" t="str">
        <f>IFERROR(_xlfn.XLOOKUP($B439,MObra[DESCRIPCION],MObra[VALOR UNIT],,0),"")</f>
        <v/>
      </c>
      <c r="F439" s="40"/>
      <c r="G439" s="41" t="str">
        <f>IFERROR(IF(F439&gt;=0,D439*E439*(1+F439/100),ABS(D439*E439/F439)),"")</f>
        <v/>
      </c>
      <c r="H439" s="42" t="str">
        <f>IFERROR(G439*E421,"")</f>
        <v/>
      </c>
    </row>
    <row r="441" spans="1:11">
      <c r="A441" s="6" t="s">
        <v>61</v>
      </c>
      <c r="B441" s="7" t="str">
        <f>VLOOKUP($A441,Presupuesto!$A:$D,2,FALSE())</f>
        <v>Delimitación guadua + cinta plástica de advertencia</v>
      </c>
      <c r="C441" s="8" t="str">
        <f>VLOOKUP($A441,Presupuesto!$A:$D,3,FALSE())</f>
        <v>M</v>
      </c>
      <c r="D441" s="9"/>
      <c r="E441" s="147">
        <f>VLOOKUP($A441,Presupuesto!$A:$D,4,FALSE())</f>
        <v>0</v>
      </c>
      <c r="F441" s="11" t="s">
        <v>2589</v>
      </c>
      <c r="G441" s="12">
        <f>SUM(G443:G459)/2</f>
        <v>17928.148423777504</v>
      </c>
      <c r="H441" s="13">
        <f>ROUND(SUM(H443:H459),0)/2</f>
        <v>0</v>
      </c>
      <c r="I441" s="10">
        <f>VLOOKUP(A441,Presupuesto!$A:$F,6,0)</f>
        <v>0</v>
      </c>
      <c r="J441" s="10">
        <f>+H441-I441</f>
        <v>0</v>
      </c>
      <c r="K441" s="46">
        <f>+H441-G441*E441</f>
        <v>0</v>
      </c>
    </row>
    <row r="442" spans="1:11">
      <c r="A442" s="14"/>
      <c r="B442" s="15" t="s">
        <v>2586</v>
      </c>
      <c r="C442" s="15" t="s">
        <v>5</v>
      </c>
      <c r="D442" s="16" t="s">
        <v>6</v>
      </c>
      <c r="E442" s="17" t="s">
        <v>7</v>
      </c>
      <c r="F442" s="18" t="s">
        <v>3728</v>
      </c>
      <c r="G442" s="19" t="s">
        <v>3729</v>
      </c>
      <c r="H442" s="20" t="s">
        <v>3797</v>
      </c>
    </row>
    <row r="443" spans="1:11">
      <c r="A443" s="21"/>
      <c r="B443" s="22" t="s">
        <v>3730</v>
      </c>
      <c r="C443" s="23"/>
      <c r="D443" s="24"/>
      <c r="E443" s="25"/>
      <c r="F443" s="26"/>
      <c r="G443" s="27">
        <f>SUM(G444:G448)</f>
        <v>793.85250000000008</v>
      </c>
      <c r="H443" s="27">
        <f>IFERROR(G443*E441,"")</f>
        <v>0</v>
      </c>
    </row>
    <row r="444" spans="1:11">
      <c r="A444" s="28"/>
      <c r="B444" s="29" t="s">
        <v>2992</v>
      </c>
      <c r="C444" s="30" t="str">
        <f>IFERROR(_xlfn.XLOOKUP(B444,Insumo[DESCRIPCION],Insumo[UND],,0),"")</f>
        <v>Un</v>
      </c>
      <c r="D444" s="146">
        <v>0.1</v>
      </c>
      <c r="E444" s="32">
        <f>IFERROR(_xlfn.XLOOKUP($B444,Insumo[DESCRIPCION],Insumo[VALOR],,0),"")</f>
        <v>4546.5</v>
      </c>
      <c r="F444" s="33"/>
      <c r="G444" s="34">
        <f>IFERROR(IF(F444&gt;=0,D444*E444*(1+F444/100),ABS(D444*E444/F444)),"")</f>
        <v>454.65000000000003</v>
      </c>
      <c r="H444" s="43">
        <f>IFERROR(G444*E441,"")</f>
        <v>0</v>
      </c>
    </row>
    <row r="445" spans="1:11">
      <c r="A445" s="28"/>
      <c r="B445" s="29" t="s">
        <v>3546</v>
      </c>
      <c r="C445" s="30" t="str">
        <f>IFERROR(_xlfn.XLOOKUP(B445,Insumo[DESCRIPCION],Insumo[UND],,0),"")</f>
        <v>M</v>
      </c>
      <c r="D445" s="146">
        <v>0.1</v>
      </c>
      <c r="E445" s="32">
        <f>IFERROR(_xlfn.XLOOKUP($B445,Insumo[DESCRIPCION],Insumo[VALOR],,0),"")</f>
        <v>1705.2</v>
      </c>
      <c r="F445" s="33"/>
      <c r="G445" s="34">
        <f>IFERROR(IF(F445&gt;=0,D445*E445*(1+F445/100),ABS(D445*E445/F445)),"")</f>
        <v>170.52</v>
      </c>
      <c r="H445" s="43">
        <f>IFERROR(G445*E441,"")</f>
        <v>0</v>
      </c>
    </row>
    <row r="446" spans="1:11">
      <c r="A446" s="28"/>
      <c r="B446" s="29" t="s">
        <v>2846</v>
      </c>
      <c r="C446" s="30" t="str">
        <f>IFERROR(_xlfn.XLOOKUP(B446,Insumo[DESCRIPCION],Insumo[UND],,0),"")</f>
        <v>M</v>
      </c>
      <c r="D446" s="150">
        <v>1</v>
      </c>
      <c r="E446" s="32">
        <f>IFERROR(_xlfn.XLOOKUP($B446,Insumo[DESCRIPCION],Insumo[VALOR],,0),"")</f>
        <v>160.65</v>
      </c>
      <c r="F446" s="33">
        <v>5</v>
      </c>
      <c r="G446" s="34">
        <f>IFERROR(IF(F446&gt;=0,D446*E446*(1+F446/100),ABS(D446*E446/F446)),"")</f>
        <v>168.6825</v>
      </c>
      <c r="H446" s="43">
        <f>IFERROR(G446*E441,"")</f>
        <v>0</v>
      </c>
    </row>
    <row r="447" spans="1:11">
      <c r="A447" s="28"/>
      <c r="B447" s="29"/>
      <c r="C447" s="30" t="str">
        <f>IFERROR(_xlfn.XLOOKUP(B447,Insumo[DESCRIPCION],Insumo[UND],,0),"")</f>
        <v/>
      </c>
      <c r="D447" s="150"/>
      <c r="E447" s="32" t="str">
        <f>IFERROR(_xlfn.XLOOKUP($B447,Insumo[DESCRIPCION],Insumo[VALOR],,0),"")</f>
        <v/>
      </c>
      <c r="F447" s="33"/>
      <c r="G447" s="34" t="str">
        <f>IFERROR(IF(F447&gt;=0,D447*E447*(1+F447/100),ABS(D447*E447/F447)),"")</f>
        <v/>
      </c>
      <c r="H447" s="43" t="str">
        <f>IFERROR(G447*E441,"")</f>
        <v/>
      </c>
    </row>
    <row r="448" spans="1:11">
      <c r="A448" s="28"/>
      <c r="B448" s="29"/>
      <c r="C448" s="30" t="str">
        <f>IFERROR(_xlfn.XLOOKUP(B448,Insumo[DESCRIPCION],Insumo[UND],,0),"")</f>
        <v/>
      </c>
      <c r="D448" s="150"/>
      <c r="E448" s="32" t="str">
        <f>IFERROR(_xlfn.XLOOKUP($B448,Insumo[DESCRIPCION],Insumo[VALOR],,0),"")</f>
        <v/>
      </c>
      <c r="F448" s="33"/>
      <c r="G448" s="34" t="str">
        <f>IFERROR(IF(F448&gt;=0,D448*E448*(1+F448/100),ABS(D448*E448/F448)),"")</f>
        <v/>
      </c>
      <c r="H448" s="43" t="str">
        <f>IFERROR(G448*E441,"")</f>
        <v/>
      </c>
    </row>
    <row r="449" spans="1:11">
      <c r="A449" s="21"/>
      <c r="B449" s="22" t="s">
        <v>3731</v>
      </c>
      <c r="C449" s="23"/>
      <c r="D449" s="151"/>
      <c r="E449" s="25"/>
      <c r="F449" s="26"/>
      <c r="G449" s="27">
        <f>SUM(G450:G452)</f>
        <v>1414.7583790275003</v>
      </c>
      <c r="H449" s="44">
        <f>G449*E441</f>
        <v>0</v>
      </c>
    </row>
    <row r="450" spans="1:11">
      <c r="A450" s="28"/>
      <c r="B450" s="29" t="s">
        <v>3570</v>
      </c>
      <c r="C450" s="30" t="str">
        <f>IFERROR(_xlfn.XLOOKUP(B450,Equipo[DESCRIPCION],Equipo[UND],,0),"")</f>
        <v>%MO</v>
      </c>
      <c r="D450" s="146">
        <v>0.04</v>
      </c>
      <c r="E450" s="32">
        <f>IF(C450="%MO",G456,IFERROR(VLOOKUP($B450,Equipo[],3,0),""))</f>
        <v>15719.537544750003</v>
      </c>
      <c r="F450" s="33"/>
      <c r="G450" s="34">
        <f>IFERROR(IF(F450&gt;=0,D450*E450*(1+F450/100),ABS(D450*E450/F450)),"")</f>
        <v>628.78150179000011</v>
      </c>
      <c r="H450" s="43">
        <f>IFERROR(G450*E441,"")</f>
        <v>0</v>
      </c>
    </row>
    <row r="451" spans="1:11">
      <c r="A451" s="28"/>
      <c r="B451" s="29" t="s">
        <v>3626</v>
      </c>
      <c r="C451" s="30" t="str">
        <f>IFERROR(_xlfn.XLOOKUP(B451,Equipo[DESCRIPCION],Equipo[UND],,0),"")</f>
        <v>%MO</v>
      </c>
      <c r="D451" s="146">
        <v>0.05</v>
      </c>
      <c r="E451" s="32">
        <f>IF(C451="%MO",G456,IFERROR(VLOOKUP($B451,Equipo[],3,0),""))</f>
        <v>15719.537544750003</v>
      </c>
      <c r="F451" s="33"/>
      <c r="G451" s="34">
        <f>IFERROR(IF(F451&gt;=0,D451*E451*(1+F451/100),ABS(D451*E451/F451)),"")</f>
        <v>785.97687723750016</v>
      </c>
      <c r="H451" s="43">
        <f>IFERROR(G451*E441,"")</f>
        <v>0</v>
      </c>
    </row>
    <row r="452" spans="1:11">
      <c r="A452" s="28"/>
      <c r="B452" s="29"/>
      <c r="C452" s="30" t="str">
        <f>IFERROR(_xlfn.XLOOKUP(B452,Equipo[DESCRIPCION],Equipo[UND],,0),"")</f>
        <v/>
      </c>
      <c r="D452" s="146"/>
      <c r="E452" s="32" t="str">
        <f>IF(C452="%MO",G456,IFERROR(VLOOKUP($B452,Equipo[],3,0),""))</f>
        <v/>
      </c>
      <c r="F452" s="33"/>
      <c r="G452" s="34" t="str">
        <f>IFERROR(IF(F452&gt;=0,D452*E452*(1+F452/100),ABS(D452*E452/F452)),"")</f>
        <v/>
      </c>
      <c r="H452" s="43" t="str">
        <f>IFERROR(G452*E441,"")</f>
        <v/>
      </c>
    </row>
    <row r="453" spans="1:11">
      <c r="A453" s="21"/>
      <c r="B453" s="22" t="s">
        <v>2533</v>
      </c>
      <c r="C453" s="23"/>
      <c r="D453" s="151"/>
      <c r="E453" s="25"/>
      <c r="F453" s="26"/>
      <c r="G453" s="27">
        <f>SUM(G454:G455)</f>
        <v>0</v>
      </c>
      <c r="H453" s="44">
        <f>G453*E441</f>
        <v>0</v>
      </c>
    </row>
    <row r="454" spans="1:11">
      <c r="A454" s="28"/>
      <c r="B454" s="29"/>
      <c r="C454" s="30" t="str">
        <f>IFERROR(_xlfn.XLOOKUP(B454,Transporte[DESCRIPCION],Transporte[UND],,0),"")</f>
        <v/>
      </c>
      <c r="D454" s="150"/>
      <c r="E454" s="32" t="str">
        <f>IFERROR(_xlfn.XLOOKUP($B454,Transporte[DESCRIPCION],Transporte[VALOR],,0),"")</f>
        <v/>
      </c>
      <c r="F454" s="33"/>
      <c r="G454" s="34" t="str">
        <f>IFERROR(IF(F454&gt;=0,D454*E454*(1+F454/100),ABS(D454*E454/F454)),"")</f>
        <v/>
      </c>
      <c r="H454" s="43" t="str">
        <f>IFERROR(G454*E441,"")</f>
        <v/>
      </c>
    </row>
    <row r="455" spans="1:11">
      <c r="A455" s="28"/>
      <c r="B455" s="29"/>
      <c r="C455" s="30" t="str">
        <f>IFERROR(_xlfn.XLOOKUP(B455,Transporte[DESCRIPCION],Transporte[UND],,0),"")</f>
        <v/>
      </c>
      <c r="D455" s="150"/>
      <c r="E455" s="32" t="str">
        <f>IFERROR(_xlfn.XLOOKUP($B455,Transporte[DESCRIPCION],Transporte[VALOR],,0),"")</f>
        <v/>
      </c>
      <c r="F455" s="33"/>
      <c r="G455" s="34" t="str">
        <f>IFERROR(IF(F455&gt;=0,D455*E455*(1+F455/100),ABS(D455*E455/F455)),"")</f>
        <v/>
      </c>
      <c r="H455" s="43" t="str">
        <f>IFERROR(G455*E441,"")</f>
        <v/>
      </c>
    </row>
    <row r="456" spans="1:11">
      <c r="A456" s="21"/>
      <c r="B456" s="22" t="s">
        <v>3732</v>
      </c>
      <c r="C456" s="23"/>
      <c r="D456" s="153"/>
      <c r="E456" s="25"/>
      <c r="F456" s="26"/>
      <c r="G456" s="27">
        <f>SUM(G457:G459)</f>
        <v>15719.537544750003</v>
      </c>
      <c r="H456" s="44">
        <f>G456*E441</f>
        <v>0</v>
      </c>
    </row>
    <row r="457" spans="1:11">
      <c r="A457" s="28"/>
      <c r="B457" s="29" t="s">
        <v>3710</v>
      </c>
      <c r="C457" s="30" t="str">
        <f>IFERROR(_xlfn.XLOOKUP(B457,MObra[DESCRIPCION],MObra[UN],,0),"")</f>
        <v>día</v>
      </c>
      <c r="D457" s="150">
        <v>1</v>
      </c>
      <c r="E457" s="32">
        <f>IFERROR(_xlfn.XLOOKUP($B457,MObra[DESCRIPCION],MObra[VALOR UNIT],,0),"")</f>
        <v>314390.75089500006</v>
      </c>
      <c r="F457" s="33">
        <v>-20</v>
      </c>
      <c r="G457" s="34">
        <f>IFERROR(IF(F457&gt;=0,D457*E457*(1+F457/100),ABS(D457*E457/F457)),"")</f>
        <v>15719.537544750003</v>
      </c>
      <c r="H457" s="43">
        <f>IFERROR(G457*E441,"")</f>
        <v>0</v>
      </c>
    </row>
    <row r="458" spans="1:11">
      <c r="A458" s="28"/>
      <c r="B458" s="29"/>
      <c r="C458" s="30" t="str">
        <f t="array" ref="C458">IFERROR(_xlfn.XLOOKUP(B458,MObra[[#All],[DESCRIPCION]],MObra[[#All],[UN]],,0),"")</f>
        <v/>
      </c>
      <c r="D458" s="150"/>
      <c r="E458" s="32" t="str">
        <f>IFERROR(_xlfn.XLOOKUP($B458,MObra[DESCRIPCION],MObra[VALOR UNIT],,0),"")</f>
        <v/>
      </c>
      <c r="F458" s="33"/>
      <c r="G458" s="34" t="str">
        <f>IFERROR(IF(F458&gt;=0,D458*E458*(1+F458/100),ABS(D458*E458/F458)),"")</f>
        <v/>
      </c>
      <c r="H458" s="43" t="str">
        <f>IFERROR(G458*E441,"")</f>
        <v/>
      </c>
    </row>
    <row r="459" spans="1:11">
      <c r="A459" s="35"/>
      <c r="B459" s="36"/>
      <c r="C459" s="37" t="str">
        <f t="array" ref="C459">IFERROR(_xlfn.XLOOKUP(B459,MObra[[#All],[DESCRIPCION]],MObra[[#All],[UN]],,0),"")</f>
        <v/>
      </c>
      <c r="D459" s="148"/>
      <c r="E459" s="39" t="str">
        <f>IFERROR(_xlfn.XLOOKUP($B459,MObra[DESCRIPCION],MObra[VALOR UNIT],,0),"")</f>
        <v/>
      </c>
      <c r="F459" s="40"/>
      <c r="G459" s="41" t="str">
        <f>IFERROR(IF(F459&gt;=0,D459*E459*(1+F459/100),ABS(D459*E459/F459)),"")</f>
        <v/>
      </c>
      <c r="H459" s="42" t="str">
        <f>IFERROR(G459*E441,"")</f>
        <v/>
      </c>
    </row>
    <row r="461" spans="1:11">
      <c r="A461" s="6" t="s">
        <v>63</v>
      </c>
      <c r="B461" s="7" t="str">
        <f>VLOOKUP($A461,Presupuesto!$A:$D,2,FALSE())</f>
        <v>Delineador tubular entre 1-1.4 m</v>
      </c>
      <c r="C461" s="8" t="str">
        <f>VLOOKUP($A461,Presupuesto!$A:$D,3,FALSE())</f>
        <v>Un</v>
      </c>
      <c r="D461" s="9"/>
      <c r="E461" s="147">
        <f>VLOOKUP($A461,Presupuesto!$A:$D,4,FALSE())</f>
        <v>0</v>
      </c>
      <c r="F461" s="11" t="s">
        <v>2589</v>
      </c>
      <c r="G461" s="12">
        <f>SUM(G463:G479)/2</f>
        <v>54885.936596039995</v>
      </c>
      <c r="H461" s="13">
        <f>ROUND(SUM(H463:H479),0)/2</f>
        <v>0</v>
      </c>
      <c r="I461" s="10">
        <f>VLOOKUP(A461,Presupuesto!$A:$F,6,0)</f>
        <v>0</v>
      </c>
      <c r="J461" s="10">
        <f>+H461-I461</f>
        <v>0</v>
      </c>
      <c r="K461" s="46">
        <f>+H461-G461*E461</f>
        <v>0</v>
      </c>
    </row>
    <row r="462" spans="1:11">
      <c r="A462" s="14"/>
      <c r="B462" s="15" t="s">
        <v>2586</v>
      </c>
      <c r="C462" s="15" t="s">
        <v>5</v>
      </c>
      <c r="D462" s="16" t="s">
        <v>6</v>
      </c>
      <c r="E462" s="17" t="s">
        <v>7</v>
      </c>
      <c r="F462" s="18" t="s">
        <v>3728</v>
      </c>
      <c r="G462" s="19" t="s">
        <v>3729</v>
      </c>
      <c r="H462" s="20" t="s">
        <v>3797</v>
      </c>
    </row>
    <row r="463" spans="1:11">
      <c r="A463" s="21"/>
      <c r="B463" s="22" t="s">
        <v>3730</v>
      </c>
      <c r="C463" s="23"/>
      <c r="D463" s="24"/>
      <c r="E463" s="25"/>
      <c r="F463" s="26"/>
      <c r="G463" s="27">
        <f>SUM(G464:G468)</f>
        <v>53674.950000000004</v>
      </c>
      <c r="H463" s="27">
        <f>IFERROR(G463*E461,"")</f>
        <v>0</v>
      </c>
    </row>
    <row r="464" spans="1:11">
      <c r="A464" s="28"/>
      <c r="B464" s="29" t="s">
        <v>2918</v>
      </c>
      <c r="C464" s="30" t="str">
        <f>IFERROR(_xlfn.XLOOKUP(B464,Insumo[DESCRIPCION],Insumo[UND],,0),"")</f>
        <v>Un</v>
      </c>
      <c r="D464" s="150">
        <v>1</v>
      </c>
      <c r="E464" s="32">
        <f>IFERROR(_xlfn.XLOOKUP($B464,Insumo[DESCRIPCION],Insumo[VALOR],,0),"")</f>
        <v>53674.950000000004</v>
      </c>
      <c r="F464" s="33"/>
      <c r="G464" s="34">
        <f>IFERROR(IF(F464&gt;=0,D464*E464*(1+F464/100),ABS(D464*E464/F464)),"")</f>
        <v>53674.950000000004</v>
      </c>
      <c r="H464" s="43">
        <f>IFERROR(G464*E461,"")</f>
        <v>0</v>
      </c>
    </row>
    <row r="465" spans="1:8">
      <c r="A465" s="28"/>
      <c r="B465" s="29"/>
      <c r="C465" s="30" t="str">
        <f>IFERROR(_xlfn.XLOOKUP(B465,Insumo[DESCRIPCION],Insumo[UND],,0),"")</f>
        <v/>
      </c>
      <c r="D465" s="150"/>
      <c r="E465" s="32" t="str">
        <f>IFERROR(_xlfn.XLOOKUP($B465,Insumo[DESCRIPCION],Insumo[VALOR],,0),"")</f>
        <v/>
      </c>
      <c r="F465" s="33"/>
      <c r="G465" s="34" t="str">
        <f>IFERROR(IF(F465&gt;=0,D465*E465*(1+F465/100),ABS(D465*E465/F465)),"")</f>
        <v/>
      </c>
      <c r="H465" s="43" t="str">
        <f>IFERROR(G465*E461,"")</f>
        <v/>
      </c>
    </row>
    <row r="466" spans="1:8">
      <c r="A466" s="28"/>
      <c r="B466" s="29"/>
      <c r="C466" s="30" t="str">
        <f>IFERROR(_xlfn.XLOOKUP(B466,Insumo[DESCRIPCION],Insumo[UND],,0),"")</f>
        <v/>
      </c>
      <c r="D466" s="150"/>
      <c r="E466" s="32" t="str">
        <f>IFERROR(_xlfn.XLOOKUP($B466,Insumo[DESCRIPCION],Insumo[VALOR],,0),"")</f>
        <v/>
      </c>
      <c r="F466" s="33"/>
      <c r="G466" s="34" t="str">
        <f>IFERROR(IF(F466&gt;=0,D466*E466*(1+F466/100),ABS(D466*E466/F466)),"")</f>
        <v/>
      </c>
      <c r="H466" s="43" t="str">
        <f>IFERROR(G466*E461,"")</f>
        <v/>
      </c>
    </row>
    <row r="467" spans="1:8">
      <c r="A467" s="28"/>
      <c r="B467" s="29"/>
      <c r="C467" s="30" t="str">
        <f>IFERROR(_xlfn.XLOOKUP(B467,Insumo[DESCRIPCION],Insumo[UND],,0),"")</f>
        <v/>
      </c>
      <c r="D467" s="150"/>
      <c r="E467" s="32" t="str">
        <f>IFERROR(_xlfn.XLOOKUP($B467,Insumo[DESCRIPCION],Insumo[VALOR],,0),"")</f>
        <v/>
      </c>
      <c r="F467" s="33"/>
      <c r="G467" s="34" t="str">
        <f>IFERROR(IF(F467&gt;=0,D467*E467*(1+F467/100),ABS(D467*E467/F467)),"")</f>
        <v/>
      </c>
      <c r="H467" s="43" t="str">
        <f>IFERROR(G467*E461,"")</f>
        <v/>
      </c>
    </row>
    <row r="468" spans="1:8">
      <c r="A468" s="28"/>
      <c r="B468" s="29"/>
      <c r="C468" s="30" t="str">
        <f>IFERROR(_xlfn.XLOOKUP(B468,Insumo[DESCRIPCION],Insumo[UND],,0),"")</f>
        <v/>
      </c>
      <c r="D468" s="150"/>
      <c r="E468" s="32" t="str">
        <f>IFERROR(_xlfn.XLOOKUP($B468,Insumo[DESCRIPCION],Insumo[VALOR],,0),"")</f>
        <v/>
      </c>
      <c r="F468" s="33"/>
      <c r="G468" s="34" t="str">
        <f>IFERROR(IF(F468&gt;=0,D468*E468*(1+F468/100),ABS(D468*E468/F468)),"")</f>
        <v/>
      </c>
      <c r="H468" s="43" t="str">
        <f>IFERROR(G468*E461,"")</f>
        <v/>
      </c>
    </row>
    <row r="469" spans="1:8">
      <c r="A469" s="21"/>
      <c r="B469" s="22" t="s">
        <v>3731</v>
      </c>
      <c r="C469" s="23"/>
      <c r="D469" s="151"/>
      <c r="E469" s="25"/>
      <c r="F469" s="26"/>
      <c r="G469" s="27">
        <f>SUM(G470:G472)</f>
        <v>46.576407540000012</v>
      </c>
      <c r="H469" s="44">
        <f>G469*E461</f>
        <v>0</v>
      </c>
    </row>
    <row r="470" spans="1:8">
      <c r="A470" s="28"/>
      <c r="B470" s="29" t="s">
        <v>3570</v>
      </c>
      <c r="C470" s="30" t="str">
        <f>IFERROR(_xlfn.XLOOKUP(B470,Equipo[DESCRIPCION],Equipo[UND],,0),"")</f>
        <v>%MO</v>
      </c>
      <c r="D470" s="146">
        <v>0.04</v>
      </c>
      <c r="E470" s="32">
        <f>IF(C470="%MO",G476,IFERROR(VLOOKUP($B470,Equipo[],3,0),""))</f>
        <v>1164.4101885000002</v>
      </c>
      <c r="F470" s="33"/>
      <c r="G470" s="34">
        <f>IFERROR(IF(F470&gt;=0,D470*E470*(1+F470/100),ABS(D470*E470/F470)),"")</f>
        <v>46.576407540000012</v>
      </c>
      <c r="H470" s="43">
        <f>IFERROR(G470*E461,"")</f>
        <v>0</v>
      </c>
    </row>
    <row r="471" spans="1:8">
      <c r="A471" s="28"/>
      <c r="B471" s="29"/>
      <c r="C471" s="30" t="str">
        <f>IFERROR(_xlfn.XLOOKUP(B471,Equipo[DESCRIPCION],Equipo[UND],,0),"")</f>
        <v/>
      </c>
      <c r="D471" s="146"/>
      <c r="E471" s="32" t="str">
        <f>IF(C471="%MO",G476,IFERROR(VLOOKUP($B471,Equipo[],3,0),""))</f>
        <v/>
      </c>
      <c r="F471" s="33"/>
      <c r="G471" s="34" t="str">
        <f>IFERROR(IF(F471&gt;=0,D471*E471*(1+F471/100),ABS(D471*E471/F471)),"")</f>
        <v/>
      </c>
      <c r="H471" s="43" t="str">
        <f>IFERROR(G471*E461,"")</f>
        <v/>
      </c>
    </row>
    <row r="472" spans="1:8">
      <c r="A472" s="28"/>
      <c r="B472" s="29"/>
      <c r="C472" s="30" t="str">
        <f>IFERROR(_xlfn.XLOOKUP(B472,Equipo[DESCRIPCION],Equipo[UND],,0),"")</f>
        <v/>
      </c>
      <c r="D472" s="146"/>
      <c r="E472" s="32" t="str">
        <f>IF(C472="%MO",G476,IFERROR(VLOOKUP($B472,Equipo[],3,0),""))</f>
        <v/>
      </c>
      <c r="F472" s="33"/>
      <c r="G472" s="34" t="str">
        <f>IFERROR(IF(F472&gt;=0,D472*E472*(1+F472/100),ABS(D472*E472/F472)),"")</f>
        <v/>
      </c>
      <c r="H472" s="43" t="str">
        <f>IFERROR(G472*E461,"")</f>
        <v/>
      </c>
    </row>
    <row r="473" spans="1:8">
      <c r="A473" s="21"/>
      <c r="B473" s="22" t="s">
        <v>2533</v>
      </c>
      <c r="C473" s="23"/>
      <c r="D473" s="151"/>
      <c r="E473" s="25"/>
      <c r="F473" s="26"/>
      <c r="G473" s="27">
        <f>SUM(G474:G475)</f>
        <v>0</v>
      </c>
      <c r="H473" s="44">
        <f>G473*E461</f>
        <v>0</v>
      </c>
    </row>
    <row r="474" spans="1:8">
      <c r="A474" s="28"/>
      <c r="B474" s="29"/>
      <c r="C474" s="30" t="str">
        <f>IFERROR(_xlfn.XLOOKUP(B474,Transporte[DESCRIPCION],Transporte[UND],,0),"")</f>
        <v/>
      </c>
      <c r="D474" s="150"/>
      <c r="E474" s="32" t="str">
        <f>IFERROR(_xlfn.XLOOKUP($B474,Transporte[DESCRIPCION],Transporte[VALOR],,0),"")</f>
        <v/>
      </c>
      <c r="F474" s="33"/>
      <c r="G474" s="34" t="str">
        <f>IFERROR(IF(F474&gt;=0,D474*E474*(1+F474/100),ABS(D474*E474/F474)),"")</f>
        <v/>
      </c>
      <c r="H474" s="43" t="str">
        <f>IFERROR(G474*E461,"")</f>
        <v/>
      </c>
    </row>
    <row r="475" spans="1:8">
      <c r="A475" s="28"/>
      <c r="B475" s="29"/>
      <c r="C475" s="30" t="str">
        <f>IFERROR(_xlfn.XLOOKUP(B475,Transporte[DESCRIPCION],Transporte[UND],,0),"")</f>
        <v/>
      </c>
      <c r="D475" s="150"/>
      <c r="E475" s="32" t="str">
        <f>IFERROR(_xlfn.XLOOKUP($B475,Transporte[DESCRIPCION],Transporte[VALOR],,0),"")</f>
        <v/>
      </c>
      <c r="F475" s="33"/>
      <c r="G475" s="34" t="str">
        <f>IFERROR(IF(F475&gt;=0,D475*E475*(1+F475/100),ABS(D475*E475/F475)),"")</f>
        <v/>
      </c>
      <c r="H475" s="43" t="str">
        <f>IFERROR(G475*E461,"")</f>
        <v/>
      </c>
    </row>
    <row r="476" spans="1:8">
      <c r="A476" s="21"/>
      <c r="B476" s="22" t="s">
        <v>3732</v>
      </c>
      <c r="C476" s="23"/>
      <c r="D476" s="153"/>
      <c r="E476" s="25"/>
      <c r="F476" s="26"/>
      <c r="G476" s="27">
        <f>SUM(G477:G479)</f>
        <v>1164.4101885000002</v>
      </c>
      <c r="H476" s="44">
        <f>G476*E461</f>
        <v>0</v>
      </c>
    </row>
    <row r="477" spans="1:8">
      <c r="A477" s="28"/>
      <c r="B477" s="29" t="s">
        <v>3698</v>
      </c>
      <c r="C477" s="30" t="str">
        <f>IFERROR(_xlfn.XLOOKUP(B477,MObra[DESCRIPCION],MObra[UN],,0),"")</f>
        <v>día</v>
      </c>
      <c r="D477" s="150">
        <v>1</v>
      </c>
      <c r="E477" s="32">
        <f>IFERROR(_xlfn.XLOOKUP($B477,MObra[DESCRIPCION],MObra[VALOR UNIT],,0),"")</f>
        <v>116441.01885000002</v>
      </c>
      <c r="F477" s="33">
        <v>-100</v>
      </c>
      <c r="G477" s="34">
        <f>IFERROR(IF(F477&gt;=0,D477*E477*(1+F477/100),ABS(D477*E477/F477)),"")</f>
        <v>1164.4101885000002</v>
      </c>
      <c r="H477" s="43">
        <f>IFERROR(G477*E461,"")</f>
        <v>0</v>
      </c>
    </row>
    <row r="478" spans="1:8">
      <c r="A478" s="28"/>
      <c r="B478" s="29"/>
      <c r="C478" s="30" t="str">
        <f t="array" ref="C478">IFERROR(_xlfn.XLOOKUP(B478,MObra[[#All],[DESCRIPCION]],MObra[[#All],[UN]],,0),"")</f>
        <v/>
      </c>
      <c r="D478" s="150"/>
      <c r="E478" s="32" t="str">
        <f>IFERROR(_xlfn.XLOOKUP($B478,MObra[DESCRIPCION],MObra[VALOR UNIT],,0),"")</f>
        <v/>
      </c>
      <c r="F478" s="33"/>
      <c r="G478" s="34" t="str">
        <f>IFERROR(IF(F478&gt;=0,D478*E478*(1+F478/100),ABS(D478*E478/F478)),"")</f>
        <v/>
      </c>
      <c r="H478" s="43" t="str">
        <f>IFERROR(G478*E461,"")</f>
        <v/>
      </c>
    </row>
    <row r="479" spans="1:8">
      <c r="A479" s="35"/>
      <c r="B479" s="36"/>
      <c r="C479" s="37" t="str">
        <f t="array" ref="C479">IFERROR(_xlfn.XLOOKUP(B479,MObra[[#All],[DESCRIPCION]],MObra[[#All],[UN]],,0),"")</f>
        <v/>
      </c>
      <c r="D479" s="148"/>
      <c r="E479" s="39" t="str">
        <f>IFERROR(_xlfn.XLOOKUP($B479,MObra[DESCRIPCION],MObra[VALOR UNIT],,0),"")</f>
        <v/>
      </c>
      <c r="F479" s="40"/>
      <c r="G479" s="41" t="str">
        <f>IFERROR(IF(F479&gt;=0,D479*E479*(1+F479/100),ABS(D479*E479/F479)),"")</f>
        <v/>
      </c>
      <c r="H479" s="42" t="str">
        <f>IFERROR(G479*E461,"")</f>
        <v/>
      </c>
    </row>
    <row r="481" spans="1:11">
      <c r="A481" s="6" t="s">
        <v>65</v>
      </c>
      <c r="B481" s="7" t="str">
        <f>VLOOKUP($A481,Presupuesto!$A:$D,2,FALSE())</f>
        <v>Estibaje grúa montacarga cargue y descargue</v>
      </c>
      <c r="C481" s="8" t="str">
        <f>VLOOKUP($A481,Presupuesto!$A:$D,3,FALSE())</f>
        <v>Ton</v>
      </c>
      <c r="D481" s="9"/>
      <c r="E481" s="147">
        <f>VLOOKUP($A481,Presupuesto!$A:$D,4,FALSE())</f>
        <v>0</v>
      </c>
      <c r="F481" s="11" t="s">
        <v>2589</v>
      </c>
      <c r="G481" s="12">
        <f>SUM(G483:G499)/2</f>
        <v>63190.821930937505</v>
      </c>
      <c r="H481" s="13">
        <f>ROUND(SUM(H483:H499),0)/2</f>
        <v>0</v>
      </c>
      <c r="I481" s="10">
        <f>VLOOKUP(A481,Presupuesto!$A:$F,6,0)</f>
        <v>0</v>
      </c>
      <c r="J481" s="10">
        <f>+H481-I481</f>
        <v>0</v>
      </c>
      <c r="K481" s="46">
        <f>+H481-G481*E481</f>
        <v>0</v>
      </c>
    </row>
    <row r="482" spans="1:11">
      <c r="A482" s="14"/>
      <c r="B482" s="15" t="s">
        <v>2586</v>
      </c>
      <c r="C482" s="15" t="s">
        <v>5</v>
      </c>
      <c r="D482" s="16" t="s">
        <v>6</v>
      </c>
      <c r="E482" s="17" t="s">
        <v>7</v>
      </c>
      <c r="F482" s="18" t="s">
        <v>3728</v>
      </c>
      <c r="G482" s="19" t="s">
        <v>3729</v>
      </c>
      <c r="H482" s="20" t="s">
        <v>3797</v>
      </c>
    </row>
    <row r="483" spans="1:11">
      <c r="A483" s="21"/>
      <c r="B483" s="22" t="s">
        <v>3730</v>
      </c>
      <c r="C483" s="23"/>
      <c r="D483" s="24"/>
      <c r="E483" s="25"/>
      <c r="F483" s="26"/>
      <c r="G483" s="27">
        <f>SUM(G484:G488)</f>
        <v>0</v>
      </c>
      <c r="H483" s="27">
        <f>IFERROR(G483*E481,"")</f>
        <v>0</v>
      </c>
    </row>
    <row r="484" spans="1:11">
      <c r="A484" s="28"/>
      <c r="B484" s="29"/>
      <c r="C484" s="30" t="str">
        <f>IFERROR(_xlfn.XLOOKUP(B484,Insumo[DESCRIPCION],Insumo[UND],,0),"")</f>
        <v/>
      </c>
      <c r="D484" s="31"/>
      <c r="E484" s="32" t="str">
        <f>IFERROR(_xlfn.XLOOKUP($B484,Insumo[DESCRIPCION],Insumo[VALOR],,0),"")</f>
        <v/>
      </c>
      <c r="F484" s="33"/>
      <c r="G484" s="34" t="str">
        <f>IFERROR(IF(F484&gt;=0,D484*E484*(1+F484/100),ABS(D484*E484/F484)),"")</f>
        <v/>
      </c>
      <c r="H484" s="43" t="str">
        <f>IFERROR(G484*E481,"")</f>
        <v/>
      </c>
    </row>
    <row r="485" spans="1:11">
      <c r="A485" s="28"/>
      <c r="B485" s="29"/>
      <c r="C485" s="30" t="str">
        <f>IFERROR(_xlfn.XLOOKUP(B485,Insumo[DESCRIPCION],Insumo[UND],,0),"")</f>
        <v/>
      </c>
      <c r="D485" s="31"/>
      <c r="E485" s="32" t="str">
        <f>IFERROR(_xlfn.XLOOKUP($B485,Insumo[DESCRIPCION],Insumo[VALOR],,0),"")</f>
        <v/>
      </c>
      <c r="F485" s="33"/>
      <c r="G485" s="34" t="str">
        <f>IFERROR(IF(F485&gt;=0,D485*E485*(1+F485/100),ABS(D485*E485/F485)),"")</f>
        <v/>
      </c>
      <c r="H485" s="43" t="str">
        <f>IFERROR(G485*E481,"")</f>
        <v/>
      </c>
    </row>
    <row r="486" spans="1:11">
      <c r="A486" s="28"/>
      <c r="B486" s="29"/>
      <c r="C486" s="30" t="str">
        <f>IFERROR(_xlfn.XLOOKUP(B486,Insumo[DESCRIPCION],Insumo[UND],,0),"")</f>
        <v/>
      </c>
      <c r="D486" s="31"/>
      <c r="E486" s="32" t="str">
        <f>IFERROR(_xlfn.XLOOKUP($B486,Insumo[DESCRIPCION],Insumo[VALOR],,0),"")</f>
        <v/>
      </c>
      <c r="F486" s="33"/>
      <c r="G486" s="34" t="str">
        <f>IFERROR(IF(F486&gt;=0,D486*E486*(1+F486/100),ABS(D486*E486/F486)),"")</f>
        <v/>
      </c>
      <c r="H486" s="43" t="str">
        <f>IFERROR(G486*E481,"")</f>
        <v/>
      </c>
    </row>
    <row r="487" spans="1:11">
      <c r="A487" s="28"/>
      <c r="B487" s="29"/>
      <c r="C487" s="30" t="str">
        <f>IFERROR(_xlfn.XLOOKUP(B487,Insumo[DESCRIPCION],Insumo[UND],,0),"")</f>
        <v/>
      </c>
      <c r="D487" s="31"/>
      <c r="E487" s="32" t="str">
        <f>IFERROR(_xlfn.XLOOKUP($B487,Insumo[DESCRIPCION],Insumo[VALOR],,0),"")</f>
        <v/>
      </c>
      <c r="F487" s="33"/>
      <c r="G487" s="34" t="str">
        <f>IFERROR(IF(F487&gt;=0,D487*E487*(1+F487/100),ABS(D487*E487/F487)),"")</f>
        <v/>
      </c>
      <c r="H487" s="43" t="str">
        <f>IFERROR(G487*E481,"")</f>
        <v/>
      </c>
    </row>
    <row r="488" spans="1:11">
      <c r="A488" s="28"/>
      <c r="B488" s="29"/>
      <c r="C488" s="30" t="str">
        <f>IFERROR(_xlfn.XLOOKUP(B488,Insumo[DESCRIPCION],Insumo[UND],,0),"")</f>
        <v/>
      </c>
      <c r="D488" s="31"/>
      <c r="E488" s="32" t="str">
        <f>IFERROR(_xlfn.XLOOKUP($B488,Insumo[DESCRIPCION],Insumo[VALOR],,0),"")</f>
        <v/>
      </c>
      <c r="F488" s="33"/>
      <c r="G488" s="34" t="str">
        <f>IFERROR(IF(F488&gt;=0,D488*E488*(1+F488/100),ABS(D488*E488/F488)),"")</f>
        <v/>
      </c>
      <c r="H488" s="43" t="str">
        <f>IFERROR(G488*E481,"")</f>
        <v/>
      </c>
    </row>
    <row r="489" spans="1:11">
      <c r="A489" s="21"/>
      <c r="B489" s="22" t="s">
        <v>3731</v>
      </c>
      <c r="C489" s="23"/>
      <c r="D489" s="24"/>
      <c r="E489" s="25"/>
      <c r="F489" s="26"/>
      <c r="G489" s="27">
        <f>SUM(G490:G492)</f>
        <v>43541.4</v>
      </c>
      <c r="H489" s="44">
        <f>G489*E481</f>
        <v>0</v>
      </c>
    </row>
    <row r="490" spans="1:11">
      <c r="A490" s="28"/>
      <c r="B490" s="29" t="s">
        <v>3622</v>
      </c>
      <c r="C490" s="30" t="str">
        <f>IFERROR(_xlfn.XLOOKUP(B490,Equipo[DESCRIPCION],Equipo[UND],,0),"")</f>
        <v>Hr</v>
      </c>
      <c r="D490" s="31">
        <v>1</v>
      </c>
      <c r="E490" s="32">
        <f>IF(C490="%MO",G496,IFERROR(VLOOKUP($B490,Equipo[],3,0),""))</f>
        <v>87082.8</v>
      </c>
      <c r="F490" s="33">
        <v>-2</v>
      </c>
      <c r="G490" s="34">
        <f>IFERROR(IF(F490&gt;=0,D490*E490*(1+F490/100),ABS(D490*E490/F490)),"")</f>
        <v>43541.4</v>
      </c>
      <c r="H490" s="43">
        <f>IFERROR(G490*E481,"")</f>
        <v>0</v>
      </c>
    </row>
    <row r="491" spans="1:11">
      <c r="A491" s="28"/>
      <c r="B491" s="29"/>
      <c r="C491" s="30" t="str">
        <f>IFERROR(_xlfn.XLOOKUP(B491,Equipo[DESCRIPCION],Equipo[UND],,0),"")</f>
        <v/>
      </c>
      <c r="D491" s="31"/>
      <c r="E491" s="32" t="str">
        <f>IF(C491="%MO",G496,IFERROR(VLOOKUP($B491,Equipo[],3,0),""))</f>
        <v/>
      </c>
      <c r="F491" s="33"/>
      <c r="G491" s="34" t="str">
        <f>IFERROR(IF(F491&gt;=0,D491*E491*(1+F491/100),ABS(D491*E491/F491)),"")</f>
        <v/>
      </c>
      <c r="H491" s="43" t="str">
        <f>IFERROR(G491*E481,"")</f>
        <v/>
      </c>
    </row>
    <row r="492" spans="1:11">
      <c r="A492" s="28"/>
      <c r="B492" s="29"/>
      <c r="C492" s="30" t="str">
        <f>IFERROR(_xlfn.XLOOKUP(B492,Equipo[DESCRIPCION],Equipo[UND],,0),"")</f>
        <v/>
      </c>
      <c r="D492" s="31"/>
      <c r="E492" s="32" t="str">
        <f>IF(C492="%MO",G496,IFERROR(VLOOKUP($B492,Equipo[],3,0),""))</f>
        <v/>
      </c>
      <c r="F492" s="33"/>
      <c r="G492" s="34" t="str">
        <f>IFERROR(IF(F492&gt;=0,D492*E492*(1+F492/100),ABS(D492*E492/F492)),"")</f>
        <v/>
      </c>
      <c r="H492" s="43" t="str">
        <f>IFERROR(G492*E481,"")</f>
        <v/>
      </c>
    </row>
    <row r="493" spans="1:11">
      <c r="A493" s="21"/>
      <c r="B493" s="22" t="s">
        <v>2533</v>
      </c>
      <c r="C493" s="23"/>
      <c r="D493" s="24"/>
      <c r="E493" s="25"/>
      <c r="F493" s="26"/>
      <c r="G493" s="27">
        <f>SUM(G494:G495)</f>
        <v>0</v>
      </c>
      <c r="H493" s="44">
        <f>G493*E481</f>
        <v>0</v>
      </c>
    </row>
    <row r="494" spans="1:11">
      <c r="A494" s="28"/>
      <c r="B494" s="29"/>
      <c r="C494" s="30" t="str">
        <f>IFERROR(_xlfn.XLOOKUP(B494,Transporte[DESCRIPCION],Transporte[UND],,0),"")</f>
        <v/>
      </c>
      <c r="D494" s="31"/>
      <c r="E494" s="32" t="str">
        <f>IFERROR(_xlfn.XLOOKUP($B494,Transporte[DESCRIPCION],Transporte[VALOR],,0),"")</f>
        <v/>
      </c>
      <c r="F494" s="33"/>
      <c r="G494" s="34" t="str">
        <f>IFERROR(IF(F494&gt;=0,D494*E494*(1+F494/100),ABS(D494*E494/F494)),"")</f>
        <v/>
      </c>
      <c r="H494" s="43" t="str">
        <f>IFERROR(G494*E481,"")</f>
        <v/>
      </c>
    </row>
    <row r="495" spans="1:11">
      <c r="A495" s="28"/>
      <c r="B495" s="29"/>
      <c r="C495" s="30" t="str">
        <f>IFERROR(_xlfn.XLOOKUP(B495,Transporte[DESCRIPCION],Transporte[UND],,0),"")</f>
        <v/>
      </c>
      <c r="D495" s="31"/>
      <c r="E495" s="32" t="str">
        <f>IFERROR(_xlfn.XLOOKUP($B495,Transporte[DESCRIPCION],Transporte[VALOR],,0),"")</f>
        <v/>
      </c>
      <c r="F495" s="33"/>
      <c r="G495" s="34" t="str">
        <f>IFERROR(IF(F495&gt;=0,D495*E495*(1+F495/100),ABS(D495*E495/F495)),"")</f>
        <v/>
      </c>
      <c r="H495" s="43" t="str">
        <f>IFERROR(G495*E481,"")</f>
        <v/>
      </c>
    </row>
    <row r="496" spans="1:11">
      <c r="A496" s="21"/>
      <c r="B496" s="22" t="s">
        <v>3732</v>
      </c>
      <c r="C496" s="23"/>
      <c r="D496" s="24"/>
      <c r="E496" s="25"/>
      <c r="F496" s="26"/>
      <c r="G496" s="27">
        <f>SUM(G497:G499)</f>
        <v>19649.421930937504</v>
      </c>
      <c r="H496" s="44">
        <f>G496*E481</f>
        <v>0</v>
      </c>
    </row>
    <row r="497" spans="1:11">
      <c r="A497" s="28"/>
      <c r="B497" s="29" t="s">
        <v>3710</v>
      </c>
      <c r="C497" s="30" t="str">
        <f>IFERROR(_xlfn.XLOOKUP(B497,MObra[DESCRIPCION],MObra[UN],,0),"")</f>
        <v>día</v>
      </c>
      <c r="D497" s="31">
        <v>1</v>
      </c>
      <c r="E497" s="32">
        <f>IFERROR(_xlfn.XLOOKUP($B497,MObra[DESCRIPCION],MObra[VALOR UNIT],,0),"")</f>
        <v>314390.75089500006</v>
      </c>
      <c r="F497" s="33">
        <v>-16</v>
      </c>
      <c r="G497" s="34">
        <f>IFERROR(IF(F497&gt;=0,D497*E497*(1+F497/100),ABS(D497*E497/F497)),"")</f>
        <v>19649.421930937504</v>
      </c>
      <c r="H497" s="43">
        <f>IFERROR(G497*E481,"")</f>
        <v>0</v>
      </c>
    </row>
    <row r="498" spans="1:11">
      <c r="A498" s="28"/>
      <c r="B498" s="29"/>
      <c r="C498" s="30" t="str">
        <f t="array" ref="C498">IFERROR(_xlfn.XLOOKUP(B498,MObra[[#All],[DESCRIPCION]],MObra[[#All],[UN]],,0),"")</f>
        <v/>
      </c>
      <c r="D498" s="31"/>
      <c r="E498" s="32" t="str">
        <f>IFERROR(_xlfn.XLOOKUP($B498,MObra[DESCRIPCION],MObra[VALOR UNIT],,0),"")</f>
        <v/>
      </c>
      <c r="F498" s="33"/>
      <c r="G498" s="34" t="str">
        <f>IFERROR(IF(F498&gt;=0,D498*E498*(1+F498/100),ABS(D498*E498/F498)),"")</f>
        <v/>
      </c>
      <c r="H498" s="43" t="str">
        <f>IFERROR(G498*E481,"")</f>
        <v/>
      </c>
    </row>
    <row r="499" spans="1:11">
      <c r="A499" s="35"/>
      <c r="B499" s="36"/>
      <c r="C499" s="37" t="str">
        <f t="array" ref="C499">IFERROR(_xlfn.XLOOKUP(B499,MObra[[#All],[DESCRIPCION]],MObra[[#All],[UN]],,0),"")</f>
        <v/>
      </c>
      <c r="D499" s="38"/>
      <c r="E499" s="39" t="str">
        <f>IFERROR(_xlfn.XLOOKUP($B499,MObra[DESCRIPCION],MObra[VALOR UNIT],,0),"")</f>
        <v/>
      </c>
      <c r="F499" s="40"/>
      <c r="G499" s="41" t="str">
        <f>IFERROR(IF(F499&gt;=0,D499*E499*(1+F499/100),ABS(D499*E499/F499)),"")</f>
        <v/>
      </c>
      <c r="H499" s="42" t="str">
        <f>IFERROR(G499*E481,"")</f>
        <v/>
      </c>
    </row>
    <row r="501" spans="1:11">
      <c r="A501" s="6" t="s">
        <v>68</v>
      </c>
      <c r="B501" s="7" t="str">
        <f>VLOOKUP($A501,Presupuesto!$A:$D,2,FALSE())</f>
        <v>Lavado estructura y barandas</v>
      </c>
      <c r="C501" s="8" t="str">
        <f>VLOOKUP($A501,Presupuesto!$A:$D,3,FALSE())</f>
        <v>M2</v>
      </c>
      <c r="D501" s="9"/>
      <c r="E501" s="147">
        <f>VLOOKUP($A501,Presupuesto!$A:$D,4,FALSE())</f>
        <v>0</v>
      </c>
      <c r="F501" s="11" t="s">
        <v>2589</v>
      </c>
      <c r="G501" s="12">
        <f>SUM(G503:G519)/2</f>
        <v>4774.8471319500004</v>
      </c>
      <c r="H501" s="13">
        <f>ROUND(SUM(H503:H519),0)/2</f>
        <v>0</v>
      </c>
      <c r="I501" s="10">
        <f>VLOOKUP(A501,Presupuesto!$A:$F,6,0)</f>
        <v>0</v>
      </c>
      <c r="J501" s="10">
        <f>+H501-I501</f>
        <v>0</v>
      </c>
      <c r="K501" s="46">
        <f>+H501-G501*E501</f>
        <v>0</v>
      </c>
    </row>
    <row r="502" spans="1:11">
      <c r="A502" s="14"/>
      <c r="B502" s="15" t="s">
        <v>2586</v>
      </c>
      <c r="C502" s="15" t="s">
        <v>5</v>
      </c>
      <c r="D502" s="16" t="s">
        <v>6</v>
      </c>
      <c r="E502" s="17" t="s">
        <v>7</v>
      </c>
      <c r="F502" s="18" t="s">
        <v>3728</v>
      </c>
      <c r="G502" s="19" t="s">
        <v>3729</v>
      </c>
      <c r="H502" s="20" t="s">
        <v>3797</v>
      </c>
    </row>
    <row r="503" spans="1:11">
      <c r="A503" s="21"/>
      <c r="B503" s="22" t="s">
        <v>3730</v>
      </c>
      <c r="C503" s="23"/>
      <c r="D503" s="24"/>
      <c r="E503" s="25"/>
      <c r="F503" s="26"/>
      <c r="G503" s="27">
        <f>SUM(G504:G508)</f>
        <v>3409.9800000000005</v>
      </c>
      <c r="H503" s="27">
        <f>IFERROR(G503*E501,"")</f>
        <v>0</v>
      </c>
    </row>
    <row r="504" spans="1:11">
      <c r="A504" s="28"/>
      <c r="B504" s="29" t="s">
        <v>2934</v>
      </c>
      <c r="C504" s="30" t="str">
        <f>IFERROR(_xlfn.XLOOKUP(B504,Insumo[DESCRIPCION],Insumo[UND],,0),"")</f>
        <v>Un</v>
      </c>
      <c r="D504" s="31">
        <v>0.2</v>
      </c>
      <c r="E504" s="32">
        <f>IFERROR(_xlfn.XLOOKUP($B504,Insumo[DESCRIPCION],Insumo[VALOR],,0),"")</f>
        <v>17049.900000000001</v>
      </c>
      <c r="F504" s="33"/>
      <c r="G504" s="34">
        <f>IFERROR(IF(F504&gt;=0,D504*E504*(1+F504/100),ABS(D504*E504/F504)),"")</f>
        <v>3409.9800000000005</v>
      </c>
      <c r="H504" s="43">
        <f>IFERROR(G504*E501,"")</f>
        <v>0</v>
      </c>
    </row>
    <row r="505" spans="1:11">
      <c r="A505" s="28"/>
      <c r="B505" s="29"/>
      <c r="C505" s="30" t="str">
        <f>IFERROR(_xlfn.XLOOKUP(B505,Insumo[DESCRIPCION],Insumo[UND],,0),"")</f>
        <v/>
      </c>
      <c r="D505" s="31"/>
      <c r="E505" s="32" t="str">
        <f>IFERROR(_xlfn.XLOOKUP($B505,Insumo[DESCRIPCION],Insumo[VALOR],,0),"")</f>
        <v/>
      </c>
      <c r="F505" s="33"/>
      <c r="G505" s="34" t="str">
        <f>IFERROR(IF(F505&gt;=0,D505*E505*(1+F505/100),ABS(D505*E505/F505)),"")</f>
        <v/>
      </c>
      <c r="H505" s="43" t="str">
        <f>IFERROR(G505*E501,"")</f>
        <v/>
      </c>
    </row>
    <row r="506" spans="1:11">
      <c r="A506" s="28"/>
      <c r="B506" s="29"/>
      <c r="C506" s="30" t="str">
        <f>IFERROR(_xlfn.XLOOKUP(B506,Insumo[DESCRIPCION],Insumo[UND],,0),"")</f>
        <v/>
      </c>
      <c r="D506" s="31"/>
      <c r="E506" s="32" t="str">
        <f>IFERROR(_xlfn.XLOOKUP($B506,Insumo[DESCRIPCION],Insumo[VALOR],,0),"")</f>
        <v/>
      </c>
      <c r="F506" s="33"/>
      <c r="G506" s="34" t="str">
        <f>IFERROR(IF(F506&gt;=0,D506*E506*(1+F506/100),ABS(D506*E506/F506)),"")</f>
        <v/>
      </c>
      <c r="H506" s="43" t="str">
        <f>IFERROR(G506*E501,"")</f>
        <v/>
      </c>
    </row>
    <row r="507" spans="1:11">
      <c r="A507" s="28"/>
      <c r="B507" s="29"/>
      <c r="C507" s="30" t="str">
        <f>IFERROR(_xlfn.XLOOKUP(B507,Insumo[DESCRIPCION],Insumo[UND],,0),"")</f>
        <v/>
      </c>
      <c r="D507" s="31"/>
      <c r="E507" s="32" t="str">
        <f>IFERROR(_xlfn.XLOOKUP($B507,Insumo[DESCRIPCION],Insumo[VALOR],,0),"")</f>
        <v/>
      </c>
      <c r="F507" s="33"/>
      <c r="G507" s="34" t="str">
        <f>IFERROR(IF(F507&gt;=0,D507*E507*(1+F507/100),ABS(D507*E507/F507)),"")</f>
        <v/>
      </c>
      <c r="H507" s="43" t="str">
        <f>IFERROR(G507*E501,"")</f>
        <v/>
      </c>
    </row>
    <row r="508" spans="1:11">
      <c r="A508" s="28"/>
      <c r="B508" s="29"/>
      <c r="C508" s="30" t="str">
        <f>IFERROR(_xlfn.XLOOKUP(B508,Insumo[DESCRIPCION],Insumo[UND],,0),"")</f>
        <v/>
      </c>
      <c r="D508" s="31"/>
      <c r="E508" s="32" t="str">
        <f>IFERROR(_xlfn.XLOOKUP($B508,Insumo[DESCRIPCION],Insumo[VALOR],,0),"")</f>
        <v/>
      </c>
      <c r="F508" s="33"/>
      <c r="G508" s="34" t="str">
        <f>IFERROR(IF(F508&gt;=0,D508*E508*(1+F508/100),ABS(D508*E508/F508)),"")</f>
        <v/>
      </c>
      <c r="H508" s="43" t="str">
        <f>IFERROR(G508*E501,"")</f>
        <v/>
      </c>
    </row>
    <row r="509" spans="1:11">
      <c r="A509" s="21"/>
      <c r="B509" s="22" t="s">
        <v>3731</v>
      </c>
      <c r="C509" s="23"/>
      <c r="D509" s="24"/>
      <c r="E509" s="25"/>
      <c r="F509" s="26"/>
      <c r="G509" s="27">
        <f>SUM(G510:G512)</f>
        <v>588.59367294999993</v>
      </c>
      <c r="H509" s="44">
        <f>G509*E501</f>
        <v>0</v>
      </c>
    </row>
    <row r="510" spans="1:11">
      <c r="A510" s="28"/>
      <c r="B510" s="29" t="s">
        <v>3627</v>
      </c>
      <c r="C510" s="30" t="str">
        <f>IFERROR(_xlfn.XLOOKUP(B510,Equipo[DESCRIPCION],Equipo[UND],,0),"")</f>
        <v>Día</v>
      </c>
      <c r="D510" s="31">
        <v>1</v>
      </c>
      <c r="E510" s="32">
        <f>IF(C510="%MO",G516,IFERROR(VLOOKUP($B510,Equipo[],3,0),""))</f>
        <v>109956</v>
      </c>
      <c r="F510" s="33">
        <v>-200</v>
      </c>
      <c r="G510" s="34">
        <f>IFERROR(IF(F510&gt;=0,D510*E510*(1+F510/100),ABS(D510*E510/F510)),"")</f>
        <v>549.78</v>
      </c>
      <c r="H510" s="43">
        <f>IFERROR(G510*E501,"")</f>
        <v>0</v>
      </c>
    </row>
    <row r="511" spans="1:11">
      <c r="A511" s="28"/>
      <c r="B511" s="29" t="s">
        <v>3626</v>
      </c>
      <c r="C511" s="30" t="str">
        <f>IFERROR(_xlfn.XLOOKUP(B511,Equipo[DESCRIPCION],Equipo[UND],,0),"")</f>
        <v>%MO</v>
      </c>
      <c r="D511" s="31">
        <v>0.05</v>
      </c>
      <c r="E511" s="32">
        <f>IF(C511="%MO",G516,IFERROR(VLOOKUP($B511,Equipo[],3,0),""))</f>
        <v>776.27345900000012</v>
      </c>
      <c r="F511" s="33"/>
      <c r="G511" s="34">
        <f>IFERROR(IF(F511&gt;=0,D511*E511*(1+F511/100),ABS(D511*E511/F511)),"")</f>
        <v>38.813672950000011</v>
      </c>
      <c r="H511" s="43">
        <f>IFERROR(G511*E501,"")</f>
        <v>0</v>
      </c>
    </row>
    <row r="512" spans="1:11">
      <c r="A512" s="28"/>
      <c r="B512" s="29"/>
      <c r="C512" s="30" t="str">
        <f>IFERROR(_xlfn.XLOOKUP(B512,Equipo[DESCRIPCION],Equipo[UND],,0),"")</f>
        <v/>
      </c>
      <c r="D512" s="31"/>
      <c r="E512" s="32" t="str">
        <f>IF(C512="%MO",G516,IFERROR(VLOOKUP($B512,Equipo[],3,0),""))</f>
        <v/>
      </c>
      <c r="F512" s="33"/>
      <c r="G512" s="34" t="str">
        <f>IFERROR(IF(F512&gt;=0,D512*E512*(1+F512/100),ABS(D512*E512/F512)),"")</f>
        <v/>
      </c>
      <c r="H512" s="43" t="str">
        <f>IFERROR(G512*E501,"")</f>
        <v/>
      </c>
    </row>
    <row r="513" spans="1:11">
      <c r="A513" s="21"/>
      <c r="B513" s="22" t="s">
        <v>2533</v>
      </c>
      <c r="C513" s="23"/>
      <c r="D513" s="24"/>
      <c r="E513" s="25"/>
      <c r="F513" s="26"/>
      <c r="G513" s="27">
        <f>SUM(G514:G515)</f>
        <v>0</v>
      </c>
      <c r="H513" s="44">
        <f>G513*E501</f>
        <v>0</v>
      </c>
    </row>
    <row r="514" spans="1:11">
      <c r="A514" s="28"/>
      <c r="B514" s="29"/>
      <c r="C514" s="30" t="str">
        <f>IFERROR(_xlfn.XLOOKUP(B514,Transporte[DESCRIPCION],Transporte[UND],,0),"")</f>
        <v/>
      </c>
      <c r="D514" s="31"/>
      <c r="E514" s="32" t="str">
        <f>IFERROR(_xlfn.XLOOKUP($B514,Transporte[DESCRIPCION],Transporte[VALOR],,0),"")</f>
        <v/>
      </c>
      <c r="F514" s="33"/>
      <c r="G514" s="34" t="str">
        <f>IFERROR(IF(F514&gt;=0,D514*E514*(1+F514/100),ABS(D514*E514/F514)),"")</f>
        <v/>
      </c>
      <c r="H514" s="43" t="str">
        <f>IFERROR(G514*E501,"")</f>
        <v/>
      </c>
    </row>
    <row r="515" spans="1:11">
      <c r="A515" s="28"/>
      <c r="B515" s="29"/>
      <c r="C515" s="30" t="str">
        <f>IFERROR(_xlfn.XLOOKUP(B515,Transporte[DESCRIPCION],Transporte[UND],,0),"")</f>
        <v/>
      </c>
      <c r="D515" s="31"/>
      <c r="E515" s="32" t="str">
        <f>IFERROR(_xlfn.XLOOKUP($B515,Transporte[DESCRIPCION],Transporte[VALOR],,0),"")</f>
        <v/>
      </c>
      <c r="F515" s="33"/>
      <c r="G515" s="34" t="str">
        <f>IFERROR(IF(F515&gt;=0,D515*E515*(1+F515/100),ABS(D515*E515/F515)),"")</f>
        <v/>
      </c>
      <c r="H515" s="43" t="str">
        <f>IFERROR(G515*E501,"")</f>
        <v/>
      </c>
    </row>
    <row r="516" spans="1:11">
      <c r="A516" s="21"/>
      <c r="B516" s="22" t="s">
        <v>3732</v>
      </c>
      <c r="C516" s="23"/>
      <c r="D516" s="24"/>
      <c r="E516" s="25"/>
      <c r="F516" s="26"/>
      <c r="G516" s="27">
        <f>SUM(G517:G519)</f>
        <v>776.27345900000012</v>
      </c>
      <c r="H516" s="44">
        <f>G516*E501</f>
        <v>0</v>
      </c>
    </row>
    <row r="517" spans="1:11">
      <c r="A517" s="28"/>
      <c r="B517" s="29" t="s">
        <v>3698</v>
      </c>
      <c r="C517" s="30" t="str">
        <f>IFERROR(_xlfn.XLOOKUP(B517,MObra[DESCRIPCION],MObra[UN],,0),"")</f>
        <v>día</v>
      </c>
      <c r="D517" s="31">
        <v>1</v>
      </c>
      <c r="E517" s="32">
        <f>IFERROR(_xlfn.XLOOKUP($B517,MObra[DESCRIPCION],MObra[VALOR UNIT],,0),"")</f>
        <v>116441.01885000002</v>
      </c>
      <c r="F517" s="33">
        <v>-150</v>
      </c>
      <c r="G517" s="34">
        <f>IFERROR(IF(F517&gt;=0,D517*E517*(1+F517/100),ABS(D517*E517/F517)),"")</f>
        <v>776.27345900000012</v>
      </c>
      <c r="H517" s="43">
        <f>IFERROR(G517*E501,"")</f>
        <v>0</v>
      </c>
    </row>
    <row r="518" spans="1:11">
      <c r="A518" s="28"/>
      <c r="B518" s="29"/>
      <c r="C518" s="30" t="str">
        <f t="array" ref="C518">IFERROR(_xlfn.XLOOKUP(B518,MObra[[#All],[DESCRIPCION]],MObra[[#All],[UN]],,0),"")</f>
        <v/>
      </c>
      <c r="D518" s="31"/>
      <c r="E518" s="32" t="str">
        <f>IFERROR(_xlfn.XLOOKUP($B518,MObra[DESCRIPCION],MObra[VALOR UNIT],,0),"")</f>
        <v/>
      </c>
      <c r="F518" s="33"/>
      <c r="G518" s="34" t="str">
        <f>IFERROR(IF(F518&gt;=0,D518*E518*(1+F518/100),ABS(D518*E518/F518)),"")</f>
        <v/>
      </c>
      <c r="H518" s="43" t="str">
        <f>IFERROR(G518*E501,"")</f>
        <v/>
      </c>
    </row>
    <row r="519" spans="1:11">
      <c r="A519" s="35"/>
      <c r="B519" s="36"/>
      <c r="C519" s="37" t="str">
        <f t="array" ref="C519">IFERROR(_xlfn.XLOOKUP(B519,MObra[[#All],[DESCRIPCION]],MObra[[#All],[UN]],,0),"")</f>
        <v/>
      </c>
      <c r="D519" s="38"/>
      <c r="E519" s="39" t="str">
        <f>IFERROR(_xlfn.XLOOKUP($B519,MObra[DESCRIPCION],MObra[VALOR UNIT],,0),"")</f>
        <v/>
      </c>
      <c r="F519" s="40"/>
      <c r="G519" s="41" t="str">
        <f>IFERROR(IF(F519&gt;=0,D519*E519*(1+F519/100),ABS(D519*E519/F519)),"")</f>
        <v/>
      </c>
      <c r="H519" s="42" t="str">
        <f>IFERROR(G519*E501,"")</f>
        <v/>
      </c>
    </row>
    <row r="521" spans="1:11">
      <c r="A521" s="6" t="s">
        <v>70</v>
      </c>
      <c r="B521" s="7" t="str">
        <f>VLOOKUP($A521,Presupuesto!$A:$D,2,FALSE())</f>
        <v>Lavado paredes</v>
      </c>
      <c r="C521" s="8" t="str">
        <f>VLOOKUP($A521,Presupuesto!$A:$D,3,FALSE())</f>
        <v>M2</v>
      </c>
      <c r="D521" s="9"/>
      <c r="E521" s="147">
        <f>VLOOKUP($A521,Presupuesto!$A:$D,4,FALSE())</f>
        <v>0</v>
      </c>
      <c r="F521" s="11" t="s">
        <v>2589</v>
      </c>
      <c r="G521" s="12">
        <f>SUM(G523:G539)/2</f>
        <v>2285.5376744812506</v>
      </c>
      <c r="H521" s="13">
        <f>ROUND(SUM(H523:H539),0)/2</f>
        <v>0</v>
      </c>
      <c r="I521" s="10">
        <f>VLOOKUP(A521,Presupuesto!$A:$F,6,0)</f>
        <v>0</v>
      </c>
      <c r="J521" s="10">
        <f>+H521-I521</f>
        <v>0</v>
      </c>
      <c r="K521" s="46">
        <f>+H521-G521*E521</f>
        <v>0</v>
      </c>
    </row>
    <row r="522" spans="1:11">
      <c r="A522" s="14"/>
      <c r="B522" s="15" t="s">
        <v>2586</v>
      </c>
      <c r="C522" s="15" t="s">
        <v>5</v>
      </c>
      <c r="D522" s="16" t="s">
        <v>6</v>
      </c>
      <c r="E522" s="17" t="s">
        <v>7</v>
      </c>
      <c r="F522" s="18" t="s">
        <v>3728</v>
      </c>
      <c r="G522" s="19" t="s">
        <v>3729</v>
      </c>
      <c r="H522" s="20" t="s">
        <v>3797</v>
      </c>
    </row>
    <row r="523" spans="1:11">
      <c r="A523" s="21"/>
      <c r="B523" s="22" t="s">
        <v>3730</v>
      </c>
      <c r="C523" s="23"/>
      <c r="D523" s="24"/>
      <c r="E523" s="25"/>
      <c r="F523" s="26"/>
      <c r="G523" s="27">
        <f>SUM(G524:G528)</f>
        <v>1704.9900000000002</v>
      </c>
      <c r="H523" s="27">
        <f>IFERROR(G523*E521,"")</f>
        <v>0</v>
      </c>
    </row>
    <row r="524" spans="1:11">
      <c r="A524" s="28"/>
      <c r="B524" s="29" t="s">
        <v>2934</v>
      </c>
      <c r="C524" s="30" t="str">
        <f>IFERROR(_xlfn.XLOOKUP(B524,Insumo[DESCRIPCION],Insumo[UND],,0),"")</f>
        <v>Un</v>
      </c>
      <c r="D524" s="31">
        <v>0.1</v>
      </c>
      <c r="E524" s="32">
        <f>IFERROR(_xlfn.XLOOKUP($B524,Insumo[DESCRIPCION],Insumo[VALOR],,0),"")</f>
        <v>17049.900000000001</v>
      </c>
      <c r="F524" s="33"/>
      <c r="G524" s="34">
        <f>IFERROR(IF(F524&gt;=0,D524*E524*(1+F524/100),ABS(D524*E524/F524)),"")</f>
        <v>1704.9900000000002</v>
      </c>
      <c r="H524" s="43">
        <f>IFERROR(G524*E521,"")</f>
        <v>0</v>
      </c>
    </row>
    <row r="525" spans="1:11">
      <c r="A525" s="28"/>
      <c r="B525" s="29"/>
      <c r="C525" s="30" t="str">
        <f>IFERROR(_xlfn.XLOOKUP(B525,Insumo[DESCRIPCION],Insumo[UND],,0),"")</f>
        <v/>
      </c>
      <c r="D525" s="31"/>
      <c r="E525" s="32" t="str">
        <f>IFERROR(_xlfn.XLOOKUP($B525,Insumo[DESCRIPCION],Insumo[VALOR],,0),"")</f>
        <v/>
      </c>
      <c r="F525" s="33"/>
      <c r="G525" s="34" t="str">
        <f>IFERROR(IF(F525&gt;=0,D525*E525*(1+F525/100),ABS(D525*E525/F525)),"")</f>
        <v/>
      </c>
      <c r="H525" s="43" t="str">
        <f>IFERROR(G525*E521,"")</f>
        <v/>
      </c>
    </row>
    <row r="526" spans="1:11">
      <c r="A526" s="28"/>
      <c r="B526" s="29"/>
      <c r="C526" s="30" t="str">
        <f>IFERROR(_xlfn.XLOOKUP(B526,Insumo[DESCRIPCION],Insumo[UND],,0),"")</f>
        <v/>
      </c>
      <c r="D526" s="31"/>
      <c r="E526" s="32" t="str">
        <f>IFERROR(_xlfn.XLOOKUP($B526,Insumo[DESCRIPCION],Insumo[VALOR],,0),"")</f>
        <v/>
      </c>
      <c r="F526" s="33"/>
      <c r="G526" s="34" t="str">
        <f>IFERROR(IF(F526&gt;=0,D526*E526*(1+F526/100),ABS(D526*E526/F526)),"")</f>
        <v/>
      </c>
      <c r="H526" s="43" t="str">
        <f>IFERROR(G526*E521,"")</f>
        <v/>
      </c>
    </row>
    <row r="527" spans="1:11">
      <c r="A527" s="28"/>
      <c r="B527" s="29"/>
      <c r="C527" s="30" t="str">
        <f>IFERROR(_xlfn.XLOOKUP(B527,Insumo[DESCRIPCION],Insumo[UND],,0),"")</f>
        <v/>
      </c>
      <c r="D527" s="31"/>
      <c r="E527" s="32" t="str">
        <f>IFERROR(_xlfn.XLOOKUP($B527,Insumo[DESCRIPCION],Insumo[VALOR],,0),"")</f>
        <v/>
      </c>
      <c r="F527" s="33"/>
      <c r="G527" s="34" t="str">
        <f>IFERROR(IF(F527&gt;=0,D527*E527*(1+F527/100),ABS(D527*E527/F527)),"")</f>
        <v/>
      </c>
      <c r="H527" s="43" t="str">
        <f>IFERROR(G527*E521,"")</f>
        <v/>
      </c>
    </row>
    <row r="528" spans="1:11">
      <c r="A528" s="28"/>
      <c r="B528" s="29"/>
      <c r="C528" s="30" t="str">
        <f>IFERROR(_xlfn.XLOOKUP(B528,Insumo[DESCRIPCION],Insumo[UND],,0),"")</f>
        <v/>
      </c>
      <c r="D528" s="31"/>
      <c r="E528" s="32" t="str">
        <f>IFERROR(_xlfn.XLOOKUP($B528,Insumo[DESCRIPCION],Insumo[VALOR],,0),"")</f>
        <v/>
      </c>
      <c r="F528" s="33"/>
      <c r="G528" s="34" t="str">
        <f>IFERROR(IF(F528&gt;=0,D528*E528*(1+F528/100),ABS(D528*E528/F528)),"")</f>
        <v/>
      </c>
      <c r="H528" s="43" t="str">
        <f>IFERROR(G528*E521,"")</f>
        <v/>
      </c>
    </row>
    <row r="529" spans="1:11">
      <c r="A529" s="21"/>
      <c r="B529" s="22" t="s">
        <v>3731</v>
      </c>
      <c r="C529" s="23"/>
      <c r="D529" s="24"/>
      <c r="E529" s="25"/>
      <c r="F529" s="26"/>
      <c r="G529" s="27">
        <f>SUM(G530:G532)</f>
        <v>289.44512735625</v>
      </c>
      <c r="H529" s="44">
        <f>G529*E521</f>
        <v>0</v>
      </c>
    </row>
    <row r="530" spans="1:11">
      <c r="A530" s="28"/>
      <c r="B530" s="29" t="s">
        <v>3627</v>
      </c>
      <c r="C530" s="30" t="str">
        <f>IFERROR(_xlfn.XLOOKUP(B530,Equipo[DESCRIPCION],Equipo[UND],,0),"")</f>
        <v>Día</v>
      </c>
      <c r="D530" s="31">
        <v>1</v>
      </c>
      <c r="E530" s="32">
        <f>IF(C530="%MO",G536,IFERROR(VLOOKUP($B530,Equipo[],3,0),""))</f>
        <v>109956</v>
      </c>
      <c r="F530" s="33">
        <v>-400</v>
      </c>
      <c r="G530" s="34">
        <f>IFERROR(IF(F530&gt;=0,D530*E530*(1+F530/100),ABS(D530*E530/F530)),"")</f>
        <v>274.89</v>
      </c>
      <c r="H530" s="43">
        <f>IFERROR(G530*E521,"")</f>
        <v>0</v>
      </c>
    </row>
    <row r="531" spans="1:11">
      <c r="A531" s="28"/>
      <c r="B531" s="29" t="s">
        <v>3626</v>
      </c>
      <c r="C531" s="30" t="str">
        <f>IFERROR(_xlfn.XLOOKUP(B531,Equipo[DESCRIPCION],Equipo[UND],,0),"")</f>
        <v>%MO</v>
      </c>
      <c r="D531" s="31">
        <v>0.05</v>
      </c>
      <c r="E531" s="32">
        <f>IF(C531="%MO",G536,IFERROR(VLOOKUP($B531,Equipo[],3,0),""))</f>
        <v>291.10254712500006</v>
      </c>
      <c r="F531" s="33"/>
      <c r="G531" s="34">
        <f>IFERROR(IF(F531&gt;=0,D531*E531*(1+F531/100),ABS(D531*E531/F531)),"")</f>
        <v>14.555127356250004</v>
      </c>
      <c r="H531" s="43">
        <f>IFERROR(G531*E521,"")</f>
        <v>0</v>
      </c>
    </row>
    <row r="532" spans="1:11">
      <c r="A532" s="28"/>
      <c r="B532" s="29"/>
      <c r="C532" s="30" t="str">
        <f>IFERROR(_xlfn.XLOOKUP(B532,Equipo[DESCRIPCION],Equipo[UND],,0),"")</f>
        <v/>
      </c>
      <c r="D532" s="31"/>
      <c r="E532" s="32" t="str">
        <f>IF(C532="%MO",G536,IFERROR(VLOOKUP($B532,Equipo[],3,0),""))</f>
        <v/>
      </c>
      <c r="F532" s="33"/>
      <c r="G532" s="34" t="str">
        <f>IFERROR(IF(F532&gt;=0,D532*E532*(1+F532/100),ABS(D532*E532/F532)),"")</f>
        <v/>
      </c>
      <c r="H532" s="43" t="str">
        <f>IFERROR(G532*E521,"")</f>
        <v/>
      </c>
    </row>
    <row r="533" spans="1:11">
      <c r="A533" s="21"/>
      <c r="B533" s="22" t="s">
        <v>2533</v>
      </c>
      <c r="C533" s="23"/>
      <c r="D533" s="24"/>
      <c r="E533" s="25"/>
      <c r="F533" s="26"/>
      <c r="G533" s="27">
        <f>SUM(G534:G535)</f>
        <v>0</v>
      </c>
      <c r="H533" s="44">
        <f>G533*E521</f>
        <v>0</v>
      </c>
    </row>
    <row r="534" spans="1:11">
      <c r="A534" s="28"/>
      <c r="B534" s="29"/>
      <c r="C534" s="30" t="str">
        <f>IFERROR(_xlfn.XLOOKUP(B534,Transporte[DESCRIPCION],Transporte[UND],,0),"")</f>
        <v/>
      </c>
      <c r="D534" s="31"/>
      <c r="E534" s="32" t="str">
        <f>IFERROR(_xlfn.XLOOKUP($B534,Transporte[DESCRIPCION],Transporte[VALOR],,0),"")</f>
        <v/>
      </c>
      <c r="F534" s="33"/>
      <c r="G534" s="34" t="str">
        <f>IFERROR(IF(F534&gt;=0,D534*E534*(1+F534/100),ABS(D534*E534/F534)),"")</f>
        <v/>
      </c>
      <c r="H534" s="43" t="str">
        <f>IFERROR(G534*E521,"")</f>
        <v/>
      </c>
    </row>
    <row r="535" spans="1:11">
      <c r="A535" s="28"/>
      <c r="B535" s="29"/>
      <c r="C535" s="30" t="str">
        <f>IFERROR(_xlfn.XLOOKUP(B535,Transporte[DESCRIPCION],Transporte[UND],,0),"")</f>
        <v/>
      </c>
      <c r="D535" s="31"/>
      <c r="E535" s="32" t="str">
        <f>IFERROR(_xlfn.XLOOKUP($B535,Transporte[DESCRIPCION],Transporte[VALOR],,0),"")</f>
        <v/>
      </c>
      <c r="F535" s="33"/>
      <c r="G535" s="34" t="str">
        <f>IFERROR(IF(F535&gt;=0,D535*E535*(1+F535/100),ABS(D535*E535/F535)),"")</f>
        <v/>
      </c>
      <c r="H535" s="43" t="str">
        <f>IFERROR(G535*E521,"")</f>
        <v/>
      </c>
    </row>
    <row r="536" spans="1:11">
      <c r="A536" s="21"/>
      <c r="B536" s="22" t="s">
        <v>3732</v>
      </c>
      <c r="C536" s="23"/>
      <c r="D536" s="24"/>
      <c r="E536" s="25"/>
      <c r="F536" s="26"/>
      <c r="G536" s="27">
        <f>SUM(G537:G539)</f>
        <v>291.10254712500006</v>
      </c>
      <c r="H536" s="44">
        <f>G536*E521</f>
        <v>0</v>
      </c>
    </row>
    <row r="537" spans="1:11">
      <c r="A537" s="28"/>
      <c r="B537" s="29" t="s">
        <v>3698</v>
      </c>
      <c r="C537" s="30" t="str">
        <f>IFERROR(_xlfn.XLOOKUP(B537,MObra[DESCRIPCION],MObra[UN],,0),"")</f>
        <v>día</v>
      </c>
      <c r="D537" s="31">
        <v>1</v>
      </c>
      <c r="E537" s="32">
        <f>IFERROR(_xlfn.XLOOKUP($B537,MObra[DESCRIPCION],MObra[VALOR UNIT],,0),"")</f>
        <v>116441.01885000002</v>
      </c>
      <c r="F537" s="33">
        <v>-400</v>
      </c>
      <c r="G537" s="34">
        <f>IFERROR(IF(F537&gt;=0,D537*E537*(1+F537/100),ABS(D537*E537/F537)),"")</f>
        <v>291.10254712500006</v>
      </c>
      <c r="H537" s="43">
        <f>IFERROR(G537*E521,"")</f>
        <v>0</v>
      </c>
    </row>
    <row r="538" spans="1:11">
      <c r="A538" s="28"/>
      <c r="B538" s="29"/>
      <c r="C538" s="30" t="str">
        <f t="array" ref="C538">IFERROR(_xlfn.XLOOKUP(B538,MObra[[#All],[DESCRIPCION]],MObra[[#All],[UN]],,0),"")</f>
        <v/>
      </c>
      <c r="D538" s="31"/>
      <c r="E538" s="32" t="str">
        <f>IFERROR(_xlfn.XLOOKUP($B538,MObra[DESCRIPCION],MObra[VALOR UNIT],,0),"")</f>
        <v/>
      </c>
      <c r="F538" s="33"/>
      <c r="G538" s="34" t="str">
        <f>IFERROR(IF(F538&gt;=0,D538*E538*(1+F538/100),ABS(D538*E538/F538)),"")</f>
        <v/>
      </c>
      <c r="H538" s="43" t="str">
        <f>IFERROR(G538*E521,"")</f>
        <v/>
      </c>
    </row>
    <row r="539" spans="1:11">
      <c r="A539" s="35"/>
      <c r="B539" s="36"/>
      <c r="C539" s="37" t="str">
        <f t="array" ref="C539">IFERROR(_xlfn.XLOOKUP(B539,MObra[[#All],[DESCRIPCION]],MObra[[#All],[UN]],,0),"")</f>
        <v/>
      </c>
      <c r="D539" s="38"/>
      <c r="E539" s="39" t="str">
        <f>IFERROR(_xlfn.XLOOKUP($B539,MObra[DESCRIPCION],MObra[VALOR UNIT],,0),"")</f>
        <v/>
      </c>
      <c r="F539" s="40"/>
      <c r="G539" s="41" t="str">
        <f>IFERROR(IF(F539&gt;=0,D539*E539*(1+F539/100),ABS(D539*E539/F539)),"")</f>
        <v/>
      </c>
      <c r="H539" s="42" t="str">
        <f>IFERROR(G539*E521,"")</f>
        <v/>
      </c>
    </row>
    <row r="541" spans="1:11">
      <c r="A541" s="6" t="s">
        <v>72</v>
      </c>
      <c r="B541" s="7" t="str">
        <f>VLOOKUP($A541,Presupuesto!$A:$D,2,FALSE())</f>
        <v>Limpieza moho vegetal superficies</v>
      </c>
      <c r="C541" s="8" t="str">
        <f>VLOOKUP($A541,Presupuesto!$A:$D,3,FALSE())</f>
        <v>M2</v>
      </c>
      <c r="D541" s="9"/>
      <c r="E541" s="147">
        <f>VLOOKUP($A541,Presupuesto!$A:$D,4,FALSE())</f>
        <v>0</v>
      </c>
      <c r="F541" s="11" t="s">
        <v>2589</v>
      </c>
      <c r="G541" s="12">
        <f>SUM(G543:G559)/2</f>
        <v>2538.4142109300005</v>
      </c>
      <c r="H541" s="13">
        <f>ROUND(SUM(H543:H559),0)/2</f>
        <v>0</v>
      </c>
      <c r="I541" s="10">
        <f>VLOOKUP(A541,Presupuesto!$A:$F,6,0)</f>
        <v>0</v>
      </c>
      <c r="J541" s="10">
        <f>+H541-I541</f>
        <v>0</v>
      </c>
      <c r="K541" s="46">
        <f>+H541-G541*E541</f>
        <v>0</v>
      </c>
    </row>
    <row r="542" spans="1:11">
      <c r="A542" s="14"/>
      <c r="B542" s="15" t="s">
        <v>2586</v>
      </c>
      <c r="C542" s="15" t="s">
        <v>5</v>
      </c>
      <c r="D542" s="16" t="s">
        <v>6</v>
      </c>
      <c r="E542" s="17" t="s">
        <v>7</v>
      </c>
      <c r="F542" s="18" t="s">
        <v>3728</v>
      </c>
      <c r="G542" s="19" t="s">
        <v>3729</v>
      </c>
      <c r="H542" s="20" t="s">
        <v>3797</v>
      </c>
    </row>
    <row r="543" spans="1:11">
      <c r="A543" s="21"/>
      <c r="B543" s="22" t="s">
        <v>3730</v>
      </c>
      <c r="C543" s="23"/>
      <c r="D543" s="24"/>
      <c r="E543" s="25"/>
      <c r="F543" s="26"/>
      <c r="G543" s="27">
        <f>SUM(G544:G548)</f>
        <v>0</v>
      </c>
      <c r="H543" s="27">
        <f>IFERROR(G543*E541,"")</f>
        <v>0</v>
      </c>
    </row>
    <row r="544" spans="1:11">
      <c r="A544" s="28"/>
      <c r="B544" s="29"/>
      <c r="C544" s="30" t="str">
        <f>IFERROR(_xlfn.XLOOKUP(B544,Insumo[DESCRIPCION],Insumo[UND],,0),"")</f>
        <v/>
      </c>
      <c r="D544" s="31"/>
      <c r="E544" s="32" t="str">
        <f>IFERROR(_xlfn.XLOOKUP($B544,Insumo[DESCRIPCION],Insumo[VALOR],,0),"")</f>
        <v/>
      </c>
      <c r="F544" s="33"/>
      <c r="G544" s="34" t="str">
        <f>IFERROR(IF(F544&gt;=0,D544*E544*(1+F544/100),ABS(D544*E544/F544)),"")</f>
        <v/>
      </c>
      <c r="H544" s="43" t="str">
        <f>IFERROR(G544*E541,"")</f>
        <v/>
      </c>
    </row>
    <row r="545" spans="1:8">
      <c r="A545" s="28"/>
      <c r="B545" s="29"/>
      <c r="C545" s="30" t="str">
        <f>IFERROR(_xlfn.XLOOKUP(B545,Insumo[DESCRIPCION],Insumo[UND],,0),"")</f>
        <v/>
      </c>
      <c r="D545" s="31"/>
      <c r="E545" s="32" t="str">
        <f>IFERROR(_xlfn.XLOOKUP($B545,Insumo[DESCRIPCION],Insumo[VALOR],,0),"")</f>
        <v/>
      </c>
      <c r="F545" s="33"/>
      <c r="G545" s="34" t="str">
        <f>IFERROR(IF(F545&gt;=0,D545*E545*(1+F545/100),ABS(D545*E545/F545)),"")</f>
        <v/>
      </c>
      <c r="H545" s="43" t="str">
        <f>IFERROR(G545*E541,"")</f>
        <v/>
      </c>
    </row>
    <row r="546" spans="1:8">
      <c r="A546" s="28"/>
      <c r="B546" s="29"/>
      <c r="C546" s="30" t="str">
        <f>IFERROR(_xlfn.XLOOKUP(B546,Insumo[DESCRIPCION],Insumo[UND],,0),"")</f>
        <v/>
      </c>
      <c r="D546" s="31"/>
      <c r="E546" s="32" t="str">
        <f>IFERROR(_xlfn.XLOOKUP($B546,Insumo[DESCRIPCION],Insumo[VALOR],,0),"")</f>
        <v/>
      </c>
      <c r="F546" s="33"/>
      <c r="G546" s="34" t="str">
        <f>IFERROR(IF(F546&gt;=0,D546*E546*(1+F546/100),ABS(D546*E546/F546)),"")</f>
        <v/>
      </c>
      <c r="H546" s="43" t="str">
        <f>IFERROR(G546*E541,"")</f>
        <v/>
      </c>
    </row>
    <row r="547" spans="1:8">
      <c r="A547" s="28"/>
      <c r="B547" s="29"/>
      <c r="C547" s="30" t="str">
        <f>IFERROR(_xlfn.XLOOKUP(B547,Insumo[DESCRIPCION],Insumo[UND],,0),"")</f>
        <v/>
      </c>
      <c r="D547" s="31"/>
      <c r="E547" s="32" t="str">
        <f>IFERROR(_xlfn.XLOOKUP($B547,Insumo[DESCRIPCION],Insumo[VALOR],,0),"")</f>
        <v/>
      </c>
      <c r="F547" s="33"/>
      <c r="G547" s="34" t="str">
        <f>IFERROR(IF(F547&gt;=0,D547*E547*(1+F547/100),ABS(D547*E547/F547)),"")</f>
        <v/>
      </c>
      <c r="H547" s="43" t="str">
        <f>IFERROR(G547*E541,"")</f>
        <v/>
      </c>
    </row>
    <row r="548" spans="1:8">
      <c r="A548" s="28"/>
      <c r="B548" s="29"/>
      <c r="C548" s="30" t="str">
        <f>IFERROR(_xlfn.XLOOKUP(B548,Insumo[DESCRIPCION],Insumo[UND],,0),"")</f>
        <v/>
      </c>
      <c r="D548" s="31"/>
      <c r="E548" s="32" t="str">
        <f>IFERROR(_xlfn.XLOOKUP($B548,Insumo[DESCRIPCION],Insumo[VALOR],,0),"")</f>
        <v/>
      </c>
      <c r="F548" s="33"/>
      <c r="G548" s="34" t="str">
        <f>IFERROR(IF(F548&gt;=0,D548*E548*(1+F548/100),ABS(D548*E548/F548)),"")</f>
        <v/>
      </c>
      <c r="H548" s="43" t="str">
        <f>IFERROR(G548*E541,"")</f>
        <v/>
      </c>
    </row>
    <row r="549" spans="1:8">
      <c r="A549" s="21"/>
      <c r="B549" s="22" t="s">
        <v>3731</v>
      </c>
      <c r="C549" s="23"/>
      <c r="D549" s="24"/>
      <c r="E549" s="25"/>
      <c r="F549" s="26"/>
      <c r="G549" s="27">
        <f>SUM(G550:G552)</f>
        <v>209.59383393000007</v>
      </c>
      <c r="H549" s="44">
        <f>G549*E541</f>
        <v>0</v>
      </c>
    </row>
    <row r="550" spans="1:8">
      <c r="A550" s="28"/>
      <c r="B550" s="29" t="s">
        <v>3626</v>
      </c>
      <c r="C550" s="30" t="str">
        <f>IFERROR(_xlfn.XLOOKUP(B550,Equipo[DESCRIPCION],Equipo[UND],,0),"")</f>
        <v>%MO</v>
      </c>
      <c r="D550" s="31">
        <v>0.05</v>
      </c>
      <c r="E550" s="32">
        <f>IF(C550="%MO",G556,IFERROR(VLOOKUP($B550,Equipo[],3,0),""))</f>
        <v>2328.8203770000005</v>
      </c>
      <c r="F550" s="33"/>
      <c r="G550" s="34">
        <f>IFERROR(IF(F550&gt;=0,D550*E550*(1+F550/100),ABS(D550*E550/F550)),"")</f>
        <v>116.44101885000003</v>
      </c>
      <c r="H550" s="43">
        <f>IFERROR(G550*E541,"")</f>
        <v>0</v>
      </c>
    </row>
    <row r="551" spans="1:8">
      <c r="A551" s="28"/>
      <c r="B551" s="29" t="s">
        <v>3570</v>
      </c>
      <c r="C551" s="30" t="str">
        <f>IFERROR(_xlfn.XLOOKUP(B551,Equipo[DESCRIPCION],Equipo[UND],,0),"")</f>
        <v>%MO</v>
      </c>
      <c r="D551" s="31">
        <v>0.04</v>
      </c>
      <c r="E551" s="32">
        <f>IF(C551="%MO",G556,IFERROR(VLOOKUP($B551,Equipo[],3,0),""))</f>
        <v>2328.8203770000005</v>
      </c>
      <c r="F551" s="33"/>
      <c r="G551" s="34">
        <f>IFERROR(IF(F551&gt;=0,D551*E551*(1+F551/100),ABS(D551*E551/F551)),"")</f>
        <v>93.152815080000025</v>
      </c>
      <c r="H551" s="43">
        <f>IFERROR(G551*E541,"")</f>
        <v>0</v>
      </c>
    </row>
    <row r="552" spans="1:8">
      <c r="A552" s="28"/>
      <c r="B552" s="29"/>
      <c r="C552" s="30" t="str">
        <f>IFERROR(_xlfn.XLOOKUP(B552,Equipo[DESCRIPCION],Equipo[UND],,0),"")</f>
        <v/>
      </c>
      <c r="D552" s="31"/>
      <c r="E552" s="32" t="str">
        <f>IF(C552="%MO",G556,IFERROR(VLOOKUP($B552,Equipo[],3,0),""))</f>
        <v/>
      </c>
      <c r="F552" s="33"/>
      <c r="G552" s="34" t="str">
        <f>IFERROR(IF(F552&gt;=0,D552*E552*(1+F552/100),ABS(D552*E552/F552)),"")</f>
        <v/>
      </c>
      <c r="H552" s="43" t="str">
        <f>IFERROR(G552*E541,"")</f>
        <v/>
      </c>
    </row>
    <row r="553" spans="1:8">
      <c r="A553" s="21"/>
      <c r="B553" s="22" t="s">
        <v>2533</v>
      </c>
      <c r="C553" s="23"/>
      <c r="D553" s="24"/>
      <c r="E553" s="25"/>
      <c r="F553" s="26"/>
      <c r="G553" s="27">
        <f>SUM(G554:G555)</f>
        <v>0</v>
      </c>
      <c r="H553" s="44">
        <f>G553*E541</f>
        <v>0</v>
      </c>
    </row>
    <row r="554" spans="1:8">
      <c r="A554" s="28"/>
      <c r="B554" s="29"/>
      <c r="C554" s="30" t="str">
        <f>IFERROR(_xlfn.XLOOKUP(B554,Transporte[DESCRIPCION],Transporte[UND],,0),"")</f>
        <v/>
      </c>
      <c r="D554" s="31"/>
      <c r="E554" s="32" t="str">
        <f>IFERROR(_xlfn.XLOOKUP($B554,Transporte[DESCRIPCION],Transporte[VALOR],,0),"")</f>
        <v/>
      </c>
      <c r="F554" s="33"/>
      <c r="G554" s="34" t="str">
        <f>IFERROR(IF(F554&gt;=0,D554*E554*(1+F554/100),ABS(D554*E554/F554)),"")</f>
        <v/>
      </c>
      <c r="H554" s="43" t="str">
        <f>IFERROR(G554*E541,"")</f>
        <v/>
      </c>
    </row>
    <row r="555" spans="1:8">
      <c r="A555" s="28"/>
      <c r="B555" s="29"/>
      <c r="C555" s="30" t="str">
        <f>IFERROR(_xlfn.XLOOKUP(B555,Transporte[DESCRIPCION],Transporte[UND],,0),"")</f>
        <v/>
      </c>
      <c r="D555" s="31"/>
      <c r="E555" s="32" t="str">
        <f>IFERROR(_xlfn.XLOOKUP($B555,Transporte[DESCRIPCION],Transporte[VALOR],,0),"")</f>
        <v/>
      </c>
      <c r="F555" s="33"/>
      <c r="G555" s="34" t="str">
        <f>IFERROR(IF(F555&gt;=0,D555*E555*(1+F555/100),ABS(D555*E555/F555)),"")</f>
        <v/>
      </c>
      <c r="H555" s="43" t="str">
        <f>IFERROR(G555*E541,"")</f>
        <v/>
      </c>
    </row>
    <row r="556" spans="1:8">
      <c r="A556" s="21"/>
      <c r="B556" s="22" t="s">
        <v>3732</v>
      </c>
      <c r="C556" s="23"/>
      <c r="D556" s="24"/>
      <c r="E556" s="25"/>
      <c r="F556" s="26"/>
      <c r="G556" s="27">
        <f>SUM(G557:G559)</f>
        <v>2328.8203770000005</v>
      </c>
      <c r="H556" s="44">
        <f>G556*E541</f>
        <v>0</v>
      </c>
    </row>
    <row r="557" spans="1:8">
      <c r="A557" s="28"/>
      <c r="B557" s="29" t="s">
        <v>3698</v>
      </c>
      <c r="C557" s="30" t="str">
        <f>IFERROR(_xlfn.XLOOKUP(B557,MObra[DESCRIPCION],MObra[UN],,0),"")</f>
        <v>día</v>
      </c>
      <c r="D557" s="31">
        <v>1</v>
      </c>
      <c r="E557" s="32">
        <f>IFERROR(_xlfn.XLOOKUP($B557,MObra[DESCRIPCION],MObra[VALOR UNIT],,0),"")</f>
        <v>116441.01885000002</v>
      </c>
      <c r="F557" s="33">
        <v>-50</v>
      </c>
      <c r="G557" s="34">
        <f>IFERROR(IF(F557&gt;=0,D557*E557*(1+F557/100),ABS(D557*E557/F557)),"")</f>
        <v>2328.8203770000005</v>
      </c>
      <c r="H557" s="43">
        <f>IFERROR(G557*E541,"")</f>
        <v>0</v>
      </c>
    </row>
    <row r="558" spans="1:8">
      <c r="A558" s="28"/>
      <c r="B558" s="29"/>
      <c r="C558" s="30" t="str">
        <f t="array" ref="C558">IFERROR(_xlfn.XLOOKUP(B558,MObra[[#All],[DESCRIPCION]],MObra[[#All],[UN]],,0),"")</f>
        <v/>
      </c>
      <c r="D558" s="31"/>
      <c r="E558" s="32" t="str">
        <f>IFERROR(_xlfn.XLOOKUP($B558,MObra[DESCRIPCION],MObra[VALOR UNIT],,0),"")</f>
        <v/>
      </c>
      <c r="F558" s="33"/>
      <c r="G558" s="34" t="str">
        <f>IFERROR(IF(F558&gt;=0,D558*E558*(1+F558/100),ABS(D558*E558/F558)),"")</f>
        <v/>
      </c>
      <c r="H558" s="43" t="str">
        <f>IFERROR(G558*E541,"")</f>
        <v/>
      </c>
    </row>
    <row r="559" spans="1:8">
      <c r="A559" s="35"/>
      <c r="B559" s="36"/>
      <c r="C559" s="37" t="str">
        <f t="array" ref="C559">IFERROR(_xlfn.XLOOKUP(B559,MObra[[#All],[DESCRIPCION]],MObra[[#All],[UN]],,0),"")</f>
        <v/>
      </c>
      <c r="D559" s="38"/>
      <c r="E559" s="39" t="str">
        <f>IFERROR(_xlfn.XLOOKUP($B559,MObra[DESCRIPCION],MObra[VALOR UNIT],,0),"")</f>
        <v/>
      </c>
      <c r="F559" s="40"/>
      <c r="G559" s="41" t="str">
        <f>IFERROR(IF(F559&gt;=0,D559*E559*(1+F559/100),ABS(D559*E559/F559)),"")</f>
        <v/>
      </c>
      <c r="H559" s="42" t="str">
        <f>IFERROR(G559*E541,"")</f>
        <v/>
      </c>
    </row>
    <row r="561" spans="1:11">
      <c r="A561" s="6" t="s">
        <v>74</v>
      </c>
      <c r="B561" s="7" t="str">
        <f>VLOOKUP($A561,Presupuesto!$A:$D,2,FALSE())</f>
        <v>Limpieza y rocería superficies</v>
      </c>
      <c r="C561" s="8" t="str">
        <f>VLOOKUP($A561,Presupuesto!$A:$D,3,FALSE())</f>
        <v>M2</v>
      </c>
      <c r="D561" s="9"/>
      <c r="E561" s="147">
        <f>VLOOKUP($A561,Presupuesto!$A:$D,4,FALSE())</f>
        <v>0</v>
      </c>
      <c r="F561" s="11" t="s">
        <v>2589</v>
      </c>
      <c r="G561" s="12">
        <f>SUM(G563:G579)/2</f>
        <v>2115.3451757750008</v>
      </c>
      <c r="H561" s="13">
        <f>ROUND(SUM(H563:H579),0)/2</f>
        <v>0</v>
      </c>
      <c r="I561" s="10">
        <f>VLOOKUP(A561,Presupuesto!$A:$F,6,0)</f>
        <v>0</v>
      </c>
      <c r="J561" s="10">
        <f>+H561-I561</f>
        <v>0</v>
      </c>
      <c r="K561" s="46">
        <f>+H561-G561*E561</f>
        <v>0</v>
      </c>
    </row>
    <row r="562" spans="1:11">
      <c r="A562" s="14"/>
      <c r="B562" s="15" t="s">
        <v>2586</v>
      </c>
      <c r="C562" s="15" t="s">
        <v>5</v>
      </c>
      <c r="D562" s="16" t="s">
        <v>6</v>
      </c>
      <c r="E562" s="17" t="s">
        <v>7</v>
      </c>
      <c r="F562" s="18" t="s">
        <v>3728</v>
      </c>
      <c r="G562" s="19" t="s">
        <v>3729</v>
      </c>
      <c r="H562" s="20" t="s">
        <v>3797</v>
      </c>
    </row>
    <row r="563" spans="1:11">
      <c r="A563" s="21"/>
      <c r="B563" s="22" t="s">
        <v>3730</v>
      </c>
      <c r="C563" s="23"/>
      <c r="D563" s="24"/>
      <c r="E563" s="25"/>
      <c r="F563" s="26"/>
      <c r="G563" s="27">
        <f>SUM(G564:G568)</f>
        <v>0</v>
      </c>
      <c r="H563" s="27">
        <f>IFERROR(G563*E561,"")</f>
        <v>0</v>
      </c>
    </row>
    <row r="564" spans="1:11">
      <c r="A564" s="28"/>
      <c r="B564" s="29"/>
      <c r="C564" s="30" t="str">
        <f>IFERROR(_xlfn.XLOOKUP(B564,Insumo[DESCRIPCION],Insumo[UND],,0),"")</f>
        <v/>
      </c>
      <c r="D564" s="31"/>
      <c r="E564" s="32" t="str">
        <f>IFERROR(_xlfn.XLOOKUP($B564,Insumo[DESCRIPCION],Insumo[VALOR],,0),"")</f>
        <v/>
      </c>
      <c r="F564" s="33"/>
      <c r="G564" s="34" t="str">
        <f>IFERROR(IF(F564&gt;=0,D564*E564*(1+F564/100),ABS(D564*E564/F564)),"")</f>
        <v/>
      </c>
      <c r="H564" s="43" t="str">
        <f>IFERROR(G564*E561,"")</f>
        <v/>
      </c>
    </row>
    <row r="565" spans="1:11">
      <c r="A565" s="28"/>
      <c r="B565" s="29"/>
      <c r="C565" s="30" t="str">
        <f>IFERROR(_xlfn.XLOOKUP(B565,Insumo[DESCRIPCION],Insumo[UND],,0),"")</f>
        <v/>
      </c>
      <c r="D565" s="31"/>
      <c r="E565" s="32" t="str">
        <f>IFERROR(_xlfn.XLOOKUP($B565,Insumo[DESCRIPCION],Insumo[VALOR],,0),"")</f>
        <v/>
      </c>
      <c r="F565" s="33"/>
      <c r="G565" s="34" t="str">
        <f>IFERROR(IF(F565&gt;=0,D565*E565*(1+F565/100),ABS(D565*E565/F565)),"")</f>
        <v/>
      </c>
      <c r="H565" s="43" t="str">
        <f>IFERROR(G565*E561,"")</f>
        <v/>
      </c>
    </row>
    <row r="566" spans="1:11">
      <c r="A566" s="28"/>
      <c r="B566" s="29"/>
      <c r="C566" s="30" t="str">
        <f>IFERROR(_xlfn.XLOOKUP(B566,Insumo[DESCRIPCION],Insumo[UND],,0),"")</f>
        <v/>
      </c>
      <c r="D566" s="31"/>
      <c r="E566" s="32" t="str">
        <f>IFERROR(_xlfn.XLOOKUP($B566,Insumo[DESCRIPCION],Insumo[VALOR],,0),"")</f>
        <v/>
      </c>
      <c r="F566" s="33"/>
      <c r="G566" s="34" t="str">
        <f>IFERROR(IF(F566&gt;=0,D566*E566*(1+F566/100),ABS(D566*E566/F566)),"")</f>
        <v/>
      </c>
      <c r="H566" s="43" t="str">
        <f>IFERROR(G566*E561,"")</f>
        <v/>
      </c>
    </row>
    <row r="567" spans="1:11">
      <c r="A567" s="28"/>
      <c r="B567" s="29"/>
      <c r="C567" s="30" t="str">
        <f>IFERROR(_xlfn.XLOOKUP(B567,Insumo[DESCRIPCION],Insumo[UND],,0),"")</f>
        <v/>
      </c>
      <c r="D567" s="31"/>
      <c r="E567" s="32" t="str">
        <f>IFERROR(_xlfn.XLOOKUP($B567,Insumo[DESCRIPCION],Insumo[VALOR],,0),"")</f>
        <v/>
      </c>
      <c r="F567" s="33"/>
      <c r="G567" s="34" t="str">
        <f>IFERROR(IF(F567&gt;=0,D567*E567*(1+F567/100),ABS(D567*E567/F567)),"")</f>
        <v/>
      </c>
      <c r="H567" s="43" t="str">
        <f>IFERROR(G567*E561,"")</f>
        <v/>
      </c>
    </row>
    <row r="568" spans="1:11">
      <c r="A568" s="28"/>
      <c r="B568" s="29"/>
      <c r="C568" s="30" t="str">
        <f>IFERROR(_xlfn.XLOOKUP(B568,Insumo[DESCRIPCION],Insumo[UND],,0),"")</f>
        <v/>
      </c>
      <c r="D568" s="31"/>
      <c r="E568" s="32" t="str">
        <f>IFERROR(_xlfn.XLOOKUP($B568,Insumo[DESCRIPCION],Insumo[VALOR],,0),"")</f>
        <v/>
      </c>
      <c r="F568" s="33"/>
      <c r="G568" s="34" t="str">
        <f>IFERROR(IF(F568&gt;=0,D568*E568*(1+F568/100),ABS(D568*E568/F568)),"")</f>
        <v/>
      </c>
      <c r="H568" s="43" t="str">
        <f>IFERROR(G568*E561,"")</f>
        <v/>
      </c>
    </row>
    <row r="569" spans="1:11">
      <c r="A569" s="21"/>
      <c r="B569" s="22" t="s">
        <v>3731</v>
      </c>
      <c r="C569" s="23"/>
      <c r="D569" s="24"/>
      <c r="E569" s="25"/>
      <c r="F569" s="26"/>
      <c r="G569" s="27">
        <f>SUM(G570:G572)</f>
        <v>174.66152827500005</v>
      </c>
      <c r="H569" s="44">
        <f>G569*E561</f>
        <v>0</v>
      </c>
    </row>
    <row r="570" spans="1:11">
      <c r="A570" s="28"/>
      <c r="B570" s="29" t="s">
        <v>3570</v>
      </c>
      <c r="C570" s="30" t="str">
        <f>IFERROR(_xlfn.XLOOKUP(B570,Equipo[DESCRIPCION],Equipo[UND],,0),"")</f>
        <v>%MO</v>
      </c>
      <c r="D570" s="31">
        <v>0.04</v>
      </c>
      <c r="E570" s="32">
        <f>IF(C570="%MO",G576,IFERROR(VLOOKUP($B570,Equipo[],3,0),""))</f>
        <v>1940.6836475000005</v>
      </c>
      <c r="F570" s="33"/>
      <c r="G570" s="34">
        <f>IFERROR(IF(F570&gt;=0,D570*E570*(1+F570/100),ABS(D570*E570/F570)),"")</f>
        <v>77.627345900000023</v>
      </c>
      <c r="H570" s="43">
        <f>IFERROR(G570*E561,"")</f>
        <v>0</v>
      </c>
    </row>
    <row r="571" spans="1:11">
      <c r="A571" s="28"/>
      <c r="B571" s="29" t="s">
        <v>3626</v>
      </c>
      <c r="C571" s="30" t="str">
        <f>IFERROR(_xlfn.XLOOKUP(B571,Equipo[DESCRIPCION],Equipo[UND],,0),"")</f>
        <v>%MO</v>
      </c>
      <c r="D571" s="31">
        <v>0.05</v>
      </c>
      <c r="E571" s="32">
        <f>IF(C571="%MO",G576,IFERROR(VLOOKUP($B571,Equipo[],3,0),""))</f>
        <v>1940.6836475000005</v>
      </c>
      <c r="F571" s="33"/>
      <c r="G571" s="34">
        <f>IFERROR(IF(F571&gt;=0,D571*E571*(1+F571/100),ABS(D571*E571/F571)),"")</f>
        <v>97.034182375000029</v>
      </c>
      <c r="H571" s="43">
        <f>IFERROR(G571*E561,"")</f>
        <v>0</v>
      </c>
    </row>
    <row r="572" spans="1:11">
      <c r="A572" s="28"/>
      <c r="B572" s="29"/>
      <c r="C572" s="30" t="str">
        <f>IFERROR(_xlfn.XLOOKUP(B572,Equipo[DESCRIPCION],Equipo[UND],,0),"")</f>
        <v/>
      </c>
      <c r="D572" s="31"/>
      <c r="E572" s="32" t="str">
        <f>IF(C572="%MO",G576,IFERROR(VLOOKUP($B572,Equipo[],3,0),""))</f>
        <v/>
      </c>
      <c r="F572" s="33"/>
      <c r="G572" s="34" t="str">
        <f>IFERROR(IF(F572&gt;=0,D572*E572*(1+F572/100),ABS(D572*E572/F572)),"")</f>
        <v/>
      </c>
      <c r="H572" s="43" t="str">
        <f>IFERROR(G572*E561,"")</f>
        <v/>
      </c>
    </row>
    <row r="573" spans="1:11">
      <c r="A573" s="21"/>
      <c r="B573" s="22" t="s">
        <v>2533</v>
      </c>
      <c r="C573" s="23"/>
      <c r="D573" s="24"/>
      <c r="E573" s="25"/>
      <c r="F573" s="26"/>
      <c r="G573" s="27">
        <f>SUM(G574:G575)</f>
        <v>0</v>
      </c>
      <c r="H573" s="44">
        <f>G573*E561</f>
        <v>0</v>
      </c>
    </row>
    <row r="574" spans="1:11">
      <c r="A574" s="28"/>
      <c r="B574" s="29"/>
      <c r="C574" s="30" t="str">
        <f>IFERROR(_xlfn.XLOOKUP(B574,Transporte[DESCRIPCION],Transporte[UND],,0),"")</f>
        <v/>
      </c>
      <c r="D574" s="31"/>
      <c r="E574" s="32" t="str">
        <f>IFERROR(_xlfn.XLOOKUP($B574,Transporte[DESCRIPCION],Transporte[VALOR],,0),"")</f>
        <v/>
      </c>
      <c r="F574" s="33"/>
      <c r="G574" s="34" t="str">
        <f>IFERROR(IF(F574&gt;=0,D574*E574*(1+F574/100),ABS(D574*E574/F574)),"")</f>
        <v/>
      </c>
      <c r="H574" s="43" t="str">
        <f>IFERROR(G574*E561,"")</f>
        <v/>
      </c>
    </row>
    <row r="575" spans="1:11">
      <c r="A575" s="28"/>
      <c r="B575" s="29"/>
      <c r="C575" s="30" t="str">
        <f>IFERROR(_xlfn.XLOOKUP(B575,Transporte[DESCRIPCION],Transporte[UND],,0),"")</f>
        <v/>
      </c>
      <c r="D575" s="31"/>
      <c r="E575" s="32" t="str">
        <f>IFERROR(_xlfn.XLOOKUP($B575,Transporte[DESCRIPCION],Transporte[VALOR],,0),"")</f>
        <v/>
      </c>
      <c r="F575" s="33"/>
      <c r="G575" s="34" t="str">
        <f>IFERROR(IF(F575&gt;=0,D575*E575*(1+F575/100),ABS(D575*E575/F575)),"")</f>
        <v/>
      </c>
      <c r="H575" s="43" t="str">
        <f>IFERROR(G575*E561,"")</f>
        <v/>
      </c>
    </row>
    <row r="576" spans="1:11">
      <c r="A576" s="21"/>
      <c r="B576" s="22" t="s">
        <v>3732</v>
      </c>
      <c r="C576" s="23"/>
      <c r="D576" s="24"/>
      <c r="E576" s="25"/>
      <c r="F576" s="26"/>
      <c r="G576" s="27">
        <f>SUM(G577:G579)</f>
        <v>1940.6836475000005</v>
      </c>
      <c r="H576" s="44">
        <f>G576*E561</f>
        <v>0</v>
      </c>
    </row>
    <row r="577" spans="1:11">
      <c r="A577" s="28"/>
      <c r="B577" s="29" t="s">
        <v>3698</v>
      </c>
      <c r="C577" s="30" t="str">
        <f>IFERROR(_xlfn.XLOOKUP(B577,MObra[DESCRIPCION],MObra[UN],,0),"")</f>
        <v>día</v>
      </c>
      <c r="D577" s="31">
        <v>1</v>
      </c>
      <c r="E577" s="32">
        <f>IFERROR(_xlfn.XLOOKUP($B577,MObra[DESCRIPCION],MObra[VALOR UNIT],,0),"")</f>
        <v>116441.01885000002</v>
      </c>
      <c r="F577" s="33">
        <v>-60</v>
      </c>
      <c r="G577" s="34">
        <f>IFERROR(IF(F577&gt;=0,D577*E577*(1+F577/100),ABS(D577*E577/F577)),"")</f>
        <v>1940.6836475000005</v>
      </c>
      <c r="H577" s="43">
        <f>IFERROR(G577*E561,"")</f>
        <v>0</v>
      </c>
    </row>
    <row r="578" spans="1:11">
      <c r="A578" s="28"/>
      <c r="B578" s="29"/>
      <c r="C578" s="30" t="str">
        <f t="array" ref="C578">IFERROR(_xlfn.XLOOKUP(B578,MObra[[#All],[DESCRIPCION]],MObra[[#All],[UN]],,0),"")</f>
        <v/>
      </c>
      <c r="D578" s="31"/>
      <c r="E578" s="32" t="str">
        <f>IFERROR(_xlfn.XLOOKUP($B578,MObra[DESCRIPCION],MObra[VALOR UNIT],,0),"")</f>
        <v/>
      </c>
      <c r="F578" s="33"/>
      <c r="G578" s="34" t="str">
        <f>IFERROR(IF(F578&gt;=0,D578*E578*(1+F578/100),ABS(D578*E578/F578)),"")</f>
        <v/>
      </c>
      <c r="H578" s="43" t="str">
        <f>IFERROR(G578*E561,"")</f>
        <v/>
      </c>
    </row>
    <row r="579" spans="1:11">
      <c r="A579" s="35"/>
      <c r="B579" s="36"/>
      <c r="C579" s="37" t="str">
        <f t="array" ref="C579">IFERROR(_xlfn.XLOOKUP(B579,MObra[[#All],[DESCRIPCION]],MObra[[#All],[UN]],,0),"")</f>
        <v/>
      </c>
      <c r="D579" s="38"/>
      <c r="E579" s="39" t="str">
        <f>IFERROR(_xlfn.XLOOKUP($B579,MObra[DESCRIPCION],MObra[VALOR UNIT],,0),"")</f>
        <v/>
      </c>
      <c r="F579" s="40"/>
      <c r="G579" s="41" t="str">
        <f>IFERROR(IF(F579&gt;=0,D579*E579*(1+F579/100),ABS(D579*E579/F579)),"")</f>
        <v/>
      </c>
      <c r="H579" s="42" t="str">
        <f>IFERROR(G579*E561,"")</f>
        <v/>
      </c>
    </row>
    <row r="581" spans="1:11">
      <c r="A581" s="6" t="s">
        <v>76</v>
      </c>
      <c r="B581" s="7" t="str">
        <f>VLOOKUP($A581,Presupuesto!$A:$D,2,FALSE())</f>
        <v>Localización y replanteo vias</v>
      </c>
      <c r="C581" s="8" t="str">
        <f>VLOOKUP($A581,Presupuesto!$A:$D,3,FALSE())</f>
        <v>M2</v>
      </c>
      <c r="D581" s="9"/>
      <c r="E581" s="147">
        <f>VLOOKUP($A581,Presupuesto!$A:$D,4,FALSE())</f>
        <v>0</v>
      </c>
      <c r="F581" s="11" t="s">
        <v>2589</v>
      </c>
      <c r="G581" s="12">
        <f>SUM(G583:G599)/2</f>
        <v>7293.2562161812511</v>
      </c>
      <c r="H581" s="13">
        <f>ROUND(SUM(H583:H599),0)/2</f>
        <v>0</v>
      </c>
      <c r="I581" s="10">
        <f>VLOOKUP(A581,Presupuesto!$A:$F,6,0)</f>
        <v>0</v>
      </c>
      <c r="J581" s="10">
        <f>+H581-I581</f>
        <v>0</v>
      </c>
      <c r="K581" s="46">
        <f>+H581-G581*E581</f>
        <v>0</v>
      </c>
    </row>
    <row r="582" spans="1:11">
      <c r="A582" s="14"/>
      <c r="B582" s="15" t="s">
        <v>2586</v>
      </c>
      <c r="C582" s="15" t="s">
        <v>5</v>
      </c>
      <c r="D582" s="16" t="s">
        <v>6</v>
      </c>
      <c r="E582" s="17" t="s">
        <v>7</v>
      </c>
      <c r="F582" s="18" t="s">
        <v>3728</v>
      </c>
      <c r="G582" s="19" t="s">
        <v>3729</v>
      </c>
      <c r="H582" s="20" t="s">
        <v>3797</v>
      </c>
    </row>
    <row r="583" spans="1:11">
      <c r="A583" s="21"/>
      <c r="B583" s="22" t="s">
        <v>3730</v>
      </c>
      <c r="C583" s="23"/>
      <c r="D583" s="24"/>
      <c r="E583" s="25"/>
      <c r="F583" s="26"/>
      <c r="G583" s="27">
        <f>SUM(G584:G588)</f>
        <v>883.19700000000012</v>
      </c>
      <c r="H583" s="27">
        <f>IFERROR(G583*E581,"")</f>
        <v>0</v>
      </c>
    </row>
    <row r="584" spans="1:11">
      <c r="A584" s="28"/>
      <c r="B584" s="29" t="s">
        <v>3048</v>
      </c>
      <c r="C584" s="30" t="str">
        <f>IFERROR(_xlfn.XLOOKUP(B584,Insumo[DESCRIPCION],Insumo[UND],,0),"")</f>
        <v>M</v>
      </c>
      <c r="D584" s="31">
        <v>0.2</v>
      </c>
      <c r="E584" s="32">
        <f>IFERROR(_xlfn.XLOOKUP($B584,Insumo[DESCRIPCION],Insumo[VALOR],,0),"")</f>
        <v>4091.8500000000004</v>
      </c>
      <c r="F584" s="33"/>
      <c r="G584" s="34">
        <f>IFERROR(IF(F584&gt;=0,D584*E584*(1+F584/100),ABS(D584*E584/F584)),"")</f>
        <v>818.37000000000012</v>
      </c>
      <c r="H584" s="43">
        <f>IFERROR(G584*E581,"")</f>
        <v>0</v>
      </c>
    </row>
    <row r="585" spans="1:11">
      <c r="A585" s="28"/>
      <c r="B585" s="29" t="s">
        <v>3253</v>
      </c>
      <c r="C585" s="30" t="str">
        <f>IFERROR(_xlfn.XLOOKUP(B585,Insumo[DESCRIPCION],Insumo[UND],,0),"")</f>
        <v>Lb</v>
      </c>
      <c r="D585" s="31">
        <v>0.01</v>
      </c>
      <c r="E585" s="32">
        <f>IFERROR(_xlfn.XLOOKUP($B585,Insumo[DESCRIPCION],Insumo[VALOR],,0),"")</f>
        <v>6482.7000000000007</v>
      </c>
      <c r="F585" s="33"/>
      <c r="G585" s="34">
        <f>IFERROR(IF(F585&gt;=0,D585*E585*(1+F585/100),ABS(D585*E585/F585)),"")</f>
        <v>64.827000000000012</v>
      </c>
      <c r="H585" s="43">
        <f>IFERROR(G585*E581,"")</f>
        <v>0</v>
      </c>
    </row>
    <row r="586" spans="1:11">
      <c r="A586" s="28"/>
      <c r="B586" s="29"/>
      <c r="C586" s="30" t="str">
        <f>IFERROR(_xlfn.XLOOKUP(B586,Insumo[DESCRIPCION],Insumo[UND],,0),"")</f>
        <v/>
      </c>
      <c r="D586" s="31"/>
      <c r="E586" s="32" t="str">
        <f>IFERROR(_xlfn.XLOOKUP($B586,Insumo[DESCRIPCION],Insumo[VALOR],,0),"")</f>
        <v/>
      </c>
      <c r="F586" s="33"/>
      <c r="G586" s="34" t="str">
        <f>IFERROR(IF(F586&gt;=0,D586*E586*(1+F586/100),ABS(D586*E586/F586)),"")</f>
        <v/>
      </c>
      <c r="H586" s="43" t="str">
        <f>IFERROR(G586*E581,"")</f>
        <v/>
      </c>
    </row>
    <row r="587" spans="1:11">
      <c r="A587" s="28"/>
      <c r="B587" s="29"/>
      <c r="C587" s="30" t="str">
        <f>IFERROR(_xlfn.XLOOKUP(B587,Insumo[DESCRIPCION],Insumo[UND],,0),"")</f>
        <v/>
      </c>
      <c r="D587" s="31"/>
      <c r="E587" s="32" t="str">
        <f>IFERROR(_xlfn.XLOOKUP($B587,Insumo[DESCRIPCION],Insumo[VALOR],,0),"")</f>
        <v/>
      </c>
      <c r="F587" s="33"/>
      <c r="G587" s="34" t="str">
        <f>IFERROR(IF(F587&gt;=0,D587*E587*(1+F587/100),ABS(D587*E587/F587)),"")</f>
        <v/>
      </c>
      <c r="H587" s="43" t="str">
        <f>IFERROR(G587*E581,"")</f>
        <v/>
      </c>
    </row>
    <row r="588" spans="1:11">
      <c r="A588" s="28"/>
      <c r="B588" s="29"/>
      <c r="C588" s="30" t="str">
        <f>IFERROR(_xlfn.XLOOKUP(B588,Insumo[DESCRIPCION],Insumo[UND],,0),"")</f>
        <v/>
      </c>
      <c r="D588" s="31"/>
      <c r="E588" s="32" t="str">
        <f>IFERROR(_xlfn.XLOOKUP($B588,Insumo[DESCRIPCION],Insumo[VALOR],,0),"")</f>
        <v/>
      </c>
      <c r="F588" s="33"/>
      <c r="G588" s="34" t="str">
        <f>IFERROR(IF(F588&gt;=0,D588*E588*(1+F588/100),ABS(D588*E588/F588)),"")</f>
        <v/>
      </c>
      <c r="H588" s="43" t="str">
        <f>IFERROR(G588*E581,"")</f>
        <v/>
      </c>
    </row>
    <row r="589" spans="1:11">
      <c r="A589" s="21"/>
      <c r="B589" s="22" t="s">
        <v>3731</v>
      </c>
      <c r="C589" s="23"/>
      <c r="D589" s="24"/>
      <c r="E589" s="25"/>
      <c r="F589" s="26"/>
      <c r="G589" s="27">
        <f>SUM(G590:G592)</f>
        <v>1461.3159150562501</v>
      </c>
      <c r="H589" s="44">
        <f>G589*E581</f>
        <v>0</v>
      </c>
    </row>
    <row r="590" spans="1:11">
      <c r="A590" s="28"/>
      <c r="B590" s="29" t="s">
        <v>3606</v>
      </c>
      <c r="C590" s="30" t="str">
        <f>IFERROR(_xlfn.XLOOKUP(B590,Equipo[DESCRIPCION],Equipo[UND],,0),"")</f>
        <v>Día</v>
      </c>
      <c r="D590" s="31">
        <v>1</v>
      </c>
      <c r="E590" s="32">
        <f>IF(C590="%MO",G596,IFERROR(VLOOKUP($B590,Equipo[],3,0),""))</f>
        <v>145665.45000000001</v>
      </c>
      <c r="F590" s="33">
        <v>-120</v>
      </c>
      <c r="G590" s="34">
        <f>IFERROR(IF(F590&gt;=0,D590*E590*(1+F590/100),ABS(D590*E590/F590)),"")</f>
        <v>1213.8787500000001</v>
      </c>
      <c r="H590" s="43">
        <f>IFERROR(G590*E581,"")</f>
        <v>0</v>
      </c>
    </row>
    <row r="591" spans="1:11">
      <c r="A591" s="28"/>
      <c r="B591" s="29" t="s">
        <v>3626</v>
      </c>
      <c r="C591" s="30" t="str">
        <f>IFERROR(_xlfn.XLOOKUP(B591,Equipo[DESCRIPCION],Equipo[UND],,0),"")</f>
        <v>%MO</v>
      </c>
      <c r="D591" s="31">
        <v>0.05</v>
      </c>
      <c r="E591" s="32">
        <f>IF(C591="%MO",G596,IFERROR(VLOOKUP($B591,Equipo[],3,0),""))</f>
        <v>4948.7433011250005</v>
      </c>
      <c r="F591" s="33"/>
      <c r="G591" s="34">
        <f>IFERROR(IF(F591&gt;=0,D591*E591*(1+F591/100),ABS(D591*E591/F591)),"")</f>
        <v>247.43716505625002</v>
      </c>
      <c r="H591" s="43">
        <f>IFERROR(G591*E581,"")</f>
        <v>0</v>
      </c>
    </row>
    <row r="592" spans="1:11">
      <c r="A592" s="28"/>
      <c r="B592" s="29"/>
      <c r="C592" s="30" t="str">
        <f>IFERROR(_xlfn.XLOOKUP(B592,Equipo[DESCRIPCION],Equipo[UND],,0),"")</f>
        <v/>
      </c>
      <c r="D592" s="31"/>
      <c r="E592" s="32" t="str">
        <f>IF(C592="%MO",G596,IFERROR(VLOOKUP($B592,Equipo[],3,0),""))</f>
        <v/>
      </c>
      <c r="F592" s="33"/>
      <c r="G592" s="34" t="str">
        <f>IFERROR(IF(F592&gt;=0,D592*E592*(1+F592/100),ABS(D592*E592/F592)),"")</f>
        <v/>
      </c>
      <c r="H592" s="43" t="str">
        <f>IFERROR(G592*E581,"")</f>
        <v/>
      </c>
    </row>
    <row r="593" spans="1:11">
      <c r="A593" s="21"/>
      <c r="B593" s="22" t="s">
        <v>2533</v>
      </c>
      <c r="C593" s="23"/>
      <c r="D593" s="24"/>
      <c r="E593" s="25"/>
      <c r="F593" s="26"/>
      <c r="G593" s="27">
        <f>SUM(G594:G595)</f>
        <v>0</v>
      </c>
      <c r="H593" s="44">
        <f>G593*E581</f>
        <v>0</v>
      </c>
    </row>
    <row r="594" spans="1:11">
      <c r="A594" s="28"/>
      <c r="B594" s="29"/>
      <c r="C594" s="30" t="str">
        <f>IFERROR(_xlfn.XLOOKUP(B594,Transporte[DESCRIPCION],Transporte[UND],,0),"")</f>
        <v/>
      </c>
      <c r="D594" s="31"/>
      <c r="E594" s="32" t="str">
        <f>IFERROR(_xlfn.XLOOKUP($B594,Transporte[DESCRIPCION],Transporte[VALOR],,0),"")</f>
        <v/>
      </c>
      <c r="F594" s="33"/>
      <c r="G594" s="34" t="str">
        <f>IFERROR(IF(F594&gt;=0,D594*E594*(1+F594/100),ABS(D594*E594/F594)),"")</f>
        <v/>
      </c>
      <c r="H594" s="43" t="str">
        <f>IFERROR(G594*E581,"")</f>
        <v/>
      </c>
    </row>
    <row r="595" spans="1:11">
      <c r="A595" s="28"/>
      <c r="B595" s="29"/>
      <c r="C595" s="30" t="str">
        <f>IFERROR(_xlfn.XLOOKUP(B595,Transporte[DESCRIPCION],Transporte[UND],,0),"")</f>
        <v/>
      </c>
      <c r="D595" s="31"/>
      <c r="E595" s="32" t="str">
        <f>IFERROR(_xlfn.XLOOKUP($B595,Transporte[DESCRIPCION],Transporte[VALOR],,0),"")</f>
        <v/>
      </c>
      <c r="F595" s="33"/>
      <c r="G595" s="34" t="str">
        <f>IFERROR(IF(F595&gt;=0,D595*E595*(1+F595/100),ABS(D595*E595/F595)),"")</f>
        <v/>
      </c>
      <c r="H595" s="43" t="str">
        <f>IFERROR(G595*E581,"")</f>
        <v/>
      </c>
    </row>
    <row r="596" spans="1:11">
      <c r="A596" s="21"/>
      <c r="B596" s="22" t="s">
        <v>3732</v>
      </c>
      <c r="C596" s="23"/>
      <c r="D596" s="24"/>
      <c r="E596" s="25"/>
      <c r="F596" s="26"/>
      <c r="G596" s="27">
        <f>SUM(G597:G599)</f>
        <v>4948.7433011250005</v>
      </c>
      <c r="H596" s="44">
        <f>G596*E581</f>
        <v>0</v>
      </c>
    </row>
    <row r="597" spans="1:11">
      <c r="A597" s="28"/>
      <c r="B597" s="29" t="s">
        <v>3709</v>
      </c>
      <c r="C597" s="30" t="str">
        <f>IFERROR(_xlfn.XLOOKUP(B597,MObra[DESCRIPCION],MObra[UN],,0),"")</f>
        <v>día</v>
      </c>
      <c r="D597" s="31">
        <v>1</v>
      </c>
      <c r="E597" s="32">
        <f>IFERROR(_xlfn.XLOOKUP($B597,MObra[DESCRIPCION],MObra[VALOR UNIT],,0),"")</f>
        <v>593849.19613500009</v>
      </c>
      <c r="F597" s="33">
        <v>-120</v>
      </c>
      <c r="G597" s="34">
        <f>IFERROR(IF(F597&gt;=0,D597*E597*(1+F597/100),ABS(D597*E597/F597)),"")</f>
        <v>4948.7433011250005</v>
      </c>
      <c r="H597" s="43">
        <f>IFERROR(G597*E581,"")</f>
        <v>0</v>
      </c>
    </row>
    <row r="598" spans="1:11">
      <c r="A598" s="28"/>
      <c r="B598" s="29"/>
      <c r="C598" s="30" t="str">
        <f t="array" ref="C598">IFERROR(_xlfn.XLOOKUP(B598,MObra[[#All],[DESCRIPCION]],MObra[[#All],[UN]],,0),"")</f>
        <v/>
      </c>
      <c r="D598" s="31"/>
      <c r="E598" s="32" t="str">
        <f>IFERROR(_xlfn.XLOOKUP($B598,MObra[DESCRIPCION],MObra[VALOR UNIT],,0),"")</f>
        <v/>
      </c>
      <c r="F598" s="33"/>
      <c r="G598" s="34" t="str">
        <f>IFERROR(IF(F598&gt;=0,D598*E598*(1+F598/100),ABS(D598*E598/F598)),"")</f>
        <v/>
      </c>
      <c r="H598" s="43" t="str">
        <f>IFERROR(G598*E581,"")</f>
        <v/>
      </c>
    </row>
    <row r="599" spans="1:11">
      <c r="A599" s="35"/>
      <c r="B599" s="36"/>
      <c r="C599" s="37" t="str">
        <f t="array" ref="C599">IFERROR(_xlfn.XLOOKUP(B599,MObra[[#All],[DESCRIPCION]],MObra[[#All],[UN]],,0),"")</f>
        <v/>
      </c>
      <c r="D599" s="38"/>
      <c r="E599" s="39" t="str">
        <f>IFERROR(_xlfn.XLOOKUP($B599,MObra[DESCRIPCION],MObra[VALOR UNIT],,0),"")</f>
        <v/>
      </c>
      <c r="F599" s="40"/>
      <c r="G599" s="41" t="str">
        <f>IFERROR(IF(F599&gt;=0,D599*E599*(1+F599/100),ABS(D599*E599/F599)),"")</f>
        <v/>
      </c>
      <c r="H599" s="42" t="str">
        <f>IFERROR(G599*E581,"")</f>
        <v/>
      </c>
    </row>
    <row r="601" spans="1:11">
      <c r="A601" s="6" t="s">
        <v>78</v>
      </c>
      <c r="B601" s="7" t="str">
        <f>VLOOKUP($A601,Presupuesto!$A:$D,2,FALSE())</f>
        <v>Localización y replanteo obra</v>
      </c>
      <c r="C601" s="8" t="str">
        <f>VLOOKUP($A601,Presupuesto!$A:$D,3,FALSE())</f>
        <v>M2</v>
      </c>
      <c r="D601" s="9"/>
      <c r="E601" s="147">
        <f>VLOOKUP($A601,Presupuesto!$A:$D,4,FALSE())</f>
        <v>0</v>
      </c>
      <c r="F601" s="11" t="s">
        <v>2589</v>
      </c>
      <c r="G601" s="12">
        <f>SUM(G603:G619)/2</f>
        <v>8575.2680594174999</v>
      </c>
      <c r="H601" s="13">
        <f>ROUND(SUM(H603:H619),0)/2</f>
        <v>0</v>
      </c>
      <c r="I601" s="10">
        <f>VLOOKUP(A601,Presupuesto!$A:$F,6,0)</f>
        <v>0</v>
      </c>
      <c r="J601" s="10">
        <f>+H601-I601</f>
        <v>0</v>
      </c>
      <c r="K601" s="46">
        <f>+H601-G601*E601</f>
        <v>0</v>
      </c>
    </row>
    <row r="602" spans="1:11">
      <c r="A602" s="14"/>
      <c r="B602" s="15" t="s">
        <v>2586</v>
      </c>
      <c r="C602" s="15" t="s">
        <v>5</v>
      </c>
      <c r="D602" s="16" t="s">
        <v>6</v>
      </c>
      <c r="E602" s="17" t="s">
        <v>7</v>
      </c>
      <c r="F602" s="18" t="s">
        <v>3728</v>
      </c>
      <c r="G602" s="19" t="s">
        <v>3729</v>
      </c>
      <c r="H602" s="20" t="s">
        <v>3797</v>
      </c>
    </row>
    <row r="603" spans="1:11">
      <c r="A603" s="21"/>
      <c r="B603" s="22" t="s">
        <v>3730</v>
      </c>
      <c r="C603" s="23"/>
      <c r="D603" s="24"/>
      <c r="E603" s="25"/>
      <c r="F603" s="26"/>
      <c r="G603" s="27">
        <f>SUM(G604:G608)</f>
        <v>883.19700000000012</v>
      </c>
      <c r="H603" s="27">
        <f>IFERROR(G603*E601,"")</f>
        <v>0</v>
      </c>
    </row>
    <row r="604" spans="1:11">
      <c r="A604" s="28"/>
      <c r="B604" s="29" t="s">
        <v>3048</v>
      </c>
      <c r="C604" s="30" t="str">
        <f>IFERROR(_xlfn.XLOOKUP(B604,Insumo[DESCRIPCION],Insumo[UND],,0),"")</f>
        <v>M</v>
      </c>
      <c r="D604" s="31">
        <v>0.2</v>
      </c>
      <c r="E604" s="32">
        <f>IFERROR(_xlfn.XLOOKUP($B604,Insumo[DESCRIPCION],Insumo[VALOR],,0),"")</f>
        <v>4091.8500000000004</v>
      </c>
      <c r="F604" s="33"/>
      <c r="G604" s="34">
        <f>IFERROR(IF(F604&gt;=0,D604*E604*(1+F604/100),ABS(D604*E604/F604)),"")</f>
        <v>818.37000000000012</v>
      </c>
      <c r="H604" s="43">
        <f>IFERROR(G604*E601,"")</f>
        <v>0</v>
      </c>
    </row>
    <row r="605" spans="1:11">
      <c r="A605" s="28"/>
      <c r="B605" s="29" t="s">
        <v>3253</v>
      </c>
      <c r="C605" s="30" t="str">
        <f>IFERROR(_xlfn.XLOOKUP(B605,Insumo[DESCRIPCION],Insumo[UND],,0),"")</f>
        <v>Lb</v>
      </c>
      <c r="D605" s="31">
        <v>0.01</v>
      </c>
      <c r="E605" s="32">
        <f>IFERROR(_xlfn.XLOOKUP($B605,Insumo[DESCRIPCION],Insumo[VALOR],,0),"")</f>
        <v>6482.7000000000007</v>
      </c>
      <c r="F605" s="33"/>
      <c r="G605" s="34">
        <f>IFERROR(IF(F605&gt;=0,D605*E605*(1+F605/100),ABS(D605*E605/F605)),"")</f>
        <v>64.827000000000012</v>
      </c>
      <c r="H605" s="43">
        <f>IFERROR(G605*E601,"")</f>
        <v>0</v>
      </c>
    </row>
    <row r="606" spans="1:11">
      <c r="A606" s="28"/>
      <c r="B606" s="29"/>
      <c r="C606" s="30" t="str">
        <f>IFERROR(_xlfn.XLOOKUP(B606,Insumo[DESCRIPCION],Insumo[UND],,0),"")</f>
        <v/>
      </c>
      <c r="D606" s="31"/>
      <c r="E606" s="32" t="str">
        <f>IFERROR(_xlfn.XLOOKUP($B606,Insumo[DESCRIPCION],Insumo[VALOR],,0),"")</f>
        <v/>
      </c>
      <c r="F606" s="33"/>
      <c r="G606" s="34" t="str">
        <f>IFERROR(IF(F606&gt;=0,D606*E606*(1+F606/100),ABS(D606*E606/F606)),"")</f>
        <v/>
      </c>
      <c r="H606" s="43" t="str">
        <f>IFERROR(G606*E601,"")</f>
        <v/>
      </c>
    </row>
    <row r="607" spans="1:11">
      <c r="A607" s="28"/>
      <c r="B607" s="29"/>
      <c r="C607" s="30" t="str">
        <f>IFERROR(_xlfn.XLOOKUP(B607,Insumo[DESCRIPCION],Insumo[UND],,0),"")</f>
        <v/>
      </c>
      <c r="D607" s="31"/>
      <c r="E607" s="32" t="str">
        <f>IFERROR(_xlfn.XLOOKUP($B607,Insumo[DESCRIPCION],Insumo[VALOR],,0),"")</f>
        <v/>
      </c>
      <c r="F607" s="33"/>
      <c r="G607" s="34" t="str">
        <f>IFERROR(IF(F607&gt;=0,D607*E607*(1+F607/100),ABS(D607*E607/F607)),"")</f>
        <v/>
      </c>
      <c r="H607" s="43" t="str">
        <f>IFERROR(G607*E601,"")</f>
        <v/>
      </c>
    </row>
    <row r="608" spans="1:11">
      <c r="A608" s="28"/>
      <c r="B608" s="29"/>
      <c r="C608" s="30" t="str">
        <f>IFERROR(_xlfn.XLOOKUP(B608,Insumo[DESCRIPCION],Insumo[UND],,0),"")</f>
        <v/>
      </c>
      <c r="D608" s="31"/>
      <c r="E608" s="32" t="str">
        <f>IFERROR(_xlfn.XLOOKUP($B608,Insumo[DESCRIPCION],Insumo[VALOR],,0),"")</f>
        <v/>
      </c>
      <c r="F608" s="33"/>
      <c r="G608" s="34" t="str">
        <f>IFERROR(IF(F608&gt;=0,D608*E608*(1+F608/100),ABS(D608*E608/F608)),"")</f>
        <v/>
      </c>
      <c r="H608" s="43" t="str">
        <f>IFERROR(G608*E601,"")</f>
        <v/>
      </c>
    </row>
    <row r="609" spans="1:11">
      <c r="A609" s="21"/>
      <c r="B609" s="22" t="s">
        <v>3731</v>
      </c>
      <c r="C609" s="23"/>
      <c r="D609" s="24"/>
      <c r="E609" s="25"/>
      <c r="F609" s="26"/>
      <c r="G609" s="27">
        <f>SUM(G610:G612)</f>
        <v>1753.5790980675001</v>
      </c>
      <c r="H609" s="44">
        <f>G609*E601</f>
        <v>0</v>
      </c>
    </row>
    <row r="610" spans="1:11">
      <c r="A610" s="28"/>
      <c r="B610" s="29" t="s">
        <v>3606</v>
      </c>
      <c r="C610" s="30" t="str">
        <f>IFERROR(_xlfn.XLOOKUP(B610,Equipo[DESCRIPCION],Equipo[UND],,0),"")</f>
        <v>Día</v>
      </c>
      <c r="D610" s="31">
        <v>1</v>
      </c>
      <c r="E610" s="32">
        <f>IF(C610="%MO",G616,IFERROR(VLOOKUP($B610,Equipo[],3,0),""))</f>
        <v>145665.45000000001</v>
      </c>
      <c r="F610" s="33">
        <v>-100</v>
      </c>
      <c r="G610" s="34">
        <f>IFERROR(IF(F610&gt;=0,D610*E610*(1+F610/100),ABS(D610*E610/F610)),"")</f>
        <v>1456.6545000000001</v>
      </c>
      <c r="H610" s="43">
        <f>IFERROR(G610*E601,"")</f>
        <v>0</v>
      </c>
    </row>
    <row r="611" spans="1:11">
      <c r="A611" s="28"/>
      <c r="B611" s="29" t="s">
        <v>3626</v>
      </c>
      <c r="C611" s="30" t="str">
        <f>IFERROR(_xlfn.XLOOKUP(B611,Equipo[DESCRIPCION],Equipo[UND],,0),"")</f>
        <v>%MO</v>
      </c>
      <c r="D611" s="31">
        <v>0.05</v>
      </c>
      <c r="E611" s="32">
        <f>IF(C611="%MO",G616,IFERROR(VLOOKUP($B611,Equipo[],3,0),""))</f>
        <v>5938.4919613500006</v>
      </c>
      <c r="F611" s="33"/>
      <c r="G611" s="34">
        <f>IFERROR(IF(F611&gt;=0,D611*E611*(1+F611/100),ABS(D611*E611/F611)),"")</f>
        <v>296.92459806750003</v>
      </c>
      <c r="H611" s="43">
        <f>IFERROR(G611*E601,"")</f>
        <v>0</v>
      </c>
    </row>
    <row r="612" spans="1:11">
      <c r="A612" s="28"/>
      <c r="B612" s="29"/>
      <c r="C612" s="30" t="str">
        <f>IFERROR(_xlfn.XLOOKUP(B612,Equipo[DESCRIPCION],Equipo[UND],,0),"")</f>
        <v/>
      </c>
      <c r="D612" s="31"/>
      <c r="E612" s="32" t="str">
        <f>IF(C612="%MO",G616,IFERROR(VLOOKUP($B612,Equipo[],3,0),""))</f>
        <v/>
      </c>
      <c r="F612" s="33"/>
      <c r="G612" s="34" t="str">
        <f>IFERROR(IF(F612&gt;=0,D612*E612*(1+F612/100),ABS(D612*E612/F612)),"")</f>
        <v/>
      </c>
      <c r="H612" s="43" t="str">
        <f>IFERROR(G612*E601,"")</f>
        <v/>
      </c>
    </row>
    <row r="613" spans="1:11">
      <c r="A613" s="21"/>
      <c r="B613" s="22" t="s">
        <v>2533</v>
      </c>
      <c r="C613" s="23"/>
      <c r="D613" s="24"/>
      <c r="E613" s="25"/>
      <c r="F613" s="26"/>
      <c r="G613" s="27">
        <f>SUM(G614:G615)</f>
        <v>0</v>
      </c>
      <c r="H613" s="44">
        <f>G613*E601</f>
        <v>0</v>
      </c>
    </row>
    <row r="614" spans="1:11">
      <c r="A614" s="28"/>
      <c r="B614" s="29"/>
      <c r="C614" s="30" t="str">
        <f>IFERROR(_xlfn.XLOOKUP(B614,Transporte[DESCRIPCION],Transporte[UND],,0),"")</f>
        <v/>
      </c>
      <c r="D614" s="31"/>
      <c r="E614" s="32" t="str">
        <f>IFERROR(_xlfn.XLOOKUP($B614,Transporte[DESCRIPCION],Transporte[VALOR],,0),"")</f>
        <v/>
      </c>
      <c r="F614" s="33"/>
      <c r="G614" s="34" t="str">
        <f>IFERROR(IF(F614&gt;=0,D614*E614*(1+F614/100),ABS(D614*E614/F614)),"")</f>
        <v/>
      </c>
      <c r="H614" s="43" t="str">
        <f>IFERROR(G614*E601,"")</f>
        <v/>
      </c>
    </row>
    <row r="615" spans="1:11">
      <c r="A615" s="28"/>
      <c r="B615" s="29"/>
      <c r="C615" s="30" t="str">
        <f>IFERROR(_xlfn.XLOOKUP(B615,Transporte[DESCRIPCION],Transporte[UND],,0),"")</f>
        <v/>
      </c>
      <c r="D615" s="31"/>
      <c r="E615" s="32" t="str">
        <f>IFERROR(_xlfn.XLOOKUP($B615,Transporte[DESCRIPCION],Transporte[VALOR],,0),"")</f>
        <v/>
      </c>
      <c r="F615" s="33"/>
      <c r="G615" s="34" t="str">
        <f>IFERROR(IF(F615&gt;=0,D615*E615*(1+F615/100),ABS(D615*E615/F615)),"")</f>
        <v/>
      </c>
      <c r="H615" s="43" t="str">
        <f>IFERROR(G615*E601,"")</f>
        <v/>
      </c>
    </row>
    <row r="616" spans="1:11">
      <c r="A616" s="21"/>
      <c r="B616" s="22" t="s">
        <v>3732</v>
      </c>
      <c r="C616" s="23"/>
      <c r="D616" s="24"/>
      <c r="E616" s="25"/>
      <c r="F616" s="26"/>
      <c r="G616" s="27">
        <f>SUM(G617:G619)</f>
        <v>5938.4919613500006</v>
      </c>
      <c r="H616" s="44">
        <f>G616*E601</f>
        <v>0</v>
      </c>
    </row>
    <row r="617" spans="1:11">
      <c r="A617" s="28"/>
      <c r="B617" s="29" t="s">
        <v>3709</v>
      </c>
      <c r="C617" s="30" t="str">
        <f>IFERROR(_xlfn.XLOOKUP(B617,MObra[DESCRIPCION],MObra[UN],,0),"")</f>
        <v>día</v>
      </c>
      <c r="D617" s="31">
        <v>1</v>
      </c>
      <c r="E617" s="32">
        <f>IFERROR(_xlfn.XLOOKUP($B617,MObra[DESCRIPCION],MObra[VALOR UNIT],,0),"")</f>
        <v>593849.19613500009</v>
      </c>
      <c r="F617" s="33">
        <v>-100</v>
      </c>
      <c r="G617" s="34">
        <f>IFERROR(IF(F617&gt;=0,D617*E617*(1+F617/100),ABS(D617*E617/F617)),"")</f>
        <v>5938.4919613500006</v>
      </c>
      <c r="H617" s="43">
        <f>IFERROR(G617*E601,"")</f>
        <v>0</v>
      </c>
    </row>
    <row r="618" spans="1:11">
      <c r="A618" s="28"/>
      <c r="B618" s="29"/>
      <c r="C618" s="30" t="str">
        <f t="array" ref="C618">IFERROR(_xlfn.XLOOKUP(B618,MObra[[#All],[DESCRIPCION]],MObra[[#All],[UN]],,0),"")</f>
        <v/>
      </c>
      <c r="D618" s="31"/>
      <c r="E618" s="32" t="str">
        <f>IFERROR(_xlfn.XLOOKUP($B618,MObra[DESCRIPCION],MObra[VALOR UNIT],,0),"")</f>
        <v/>
      </c>
      <c r="F618" s="33"/>
      <c r="G618" s="34" t="str">
        <f>IFERROR(IF(F618&gt;=0,D618*E618*(1+F618/100),ABS(D618*E618/F618)),"")</f>
        <v/>
      </c>
      <c r="H618" s="43" t="str">
        <f>IFERROR(G618*E601,"")</f>
        <v/>
      </c>
    </row>
    <row r="619" spans="1:11">
      <c r="A619" s="35"/>
      <c r="B619" s="36"/>
      <c r="C619" s="37" t="str">
        <f t="array" ref="C619">IFERROR(_xlfn.XLOOKUP(B619,MObra[[#All],[DESCRIPCION]],MObra[[#All],[UN]],,0),"")</f>
        <v/>
      </c>
      <c r="D619" s="38"/>
      <c r="E619" s="39" t="str">
        <f>IFERROR(_xlfn.XLOOKUP($B619,MObra[DESCRIPCION],MObra[VALOR UNIT],,0),"")</f>
        <v/>
      </c>
      <c r="F619" s="40"/>
      <c r="G619" s="41" t="str">
        <f>IFERROR(IF(F619&gt;=0,D619*E619*(1+F619/100),ABS(D619*E619/F619)),"")</f>
        <v/>
      </c>
      <c r="H619" s="42" t="str">
        <f>IFERROR(G619*E601,"")</f>
        <v/>
      </c>
    </row>
    <row r="621" spans="1:11">
      <c r="A621" s="6" t="s">
        <v>80</v>
      </c>
      <c r="B621" s="7" t="str">
        <f>VLOOKUP($A621,Presupuesto!$A:$D,2,FALSE())</f>
        <v>Localización y replanteo linea</v>
      </c>
      <c r="C621" s="8" t="str">
        <f>VLOOKUP($A621,Presupuesto!$A:$D,3,FALSE())</f>
        <v>M</v>
      </c>
      <c r="D621" s="9"/>
      <c r="E621" s="147">
        <f>VLOOKUP($A621,Presupuesto!$A:$D,4,FALSE())</f>
        <v>0</v>
      </c>
      <c r="F621" s="11" t="s">
        <v>2589</v>
      </c>
      <c r="G621" s="12">
        <f>SUM(G623:G639)/2</f>
        <v>4880.8764121359382</v>
      </c>
      <c r="H621" s="13">
        <f>ROUND(SUM(H623:H639),0)/2</f>
        <v>0</v>
      </c>
      <c r="I621" s="10">
        <f>VLOOKUP(A621,Presupuesto!$A:$F,6,0)</f>
        <v>0</v>
      </c>
      <c r="J621" s="10">
        <f>+H621-I621</f>
        <v>0</v>
      </c>
      <c r="K621" s="46">
        <f>+H621-G621*E621</f>
        <v>0</v>
      </c>
    </row>
    <row r="622" spans="1:11">
      <c r="A622" s="14"/>
      <c r="B622" s="15" t="s">
        <v>2586</v>
      </c>
      <c r="C622" s="15" t="s">
        <v>5</v>
      </c>
      <c r="D622" s="16" t="s">
        <v>6</v>
      </c>
      <c r="E622" s="17" t="s">
        <v>7</v>
      </c>
      <c r="F622" s="18" t="s">
        <v>3728</v>
      </c>
      <c r="G622" s="19" t="s">
        <v>3729</v>
      </c>
      <c r="H622" s="20" t="s">
        <v>3797</v>
      </c>
    </row>
    <row r="623" spans="1:11">
      <c r="A623" s="21"/>
      <c r="B623" s="22" t="s">
        <v>3730</v>
      </c>
      <c r="C623" s="23"/>
      <c r="D623" s="24"/>
      <c r="E623" s="25"/>
      <c r="F623" s="26"/>
      <c r="G623" s="27">
        <f>SUM(G624:G628)</f>
        <v>73.332000000000008</v>
      </c>
      <c r="H623" s="27">
        <f>IFERROR(G623*E621,"")</f>
        <v>0</v>
      </c>
    </row>
    <row r="624" spans="1:11">
      <c r="A624" s="28"/>
      <c r="B624" s="29" t="s">
        <v>3048</v>
      </c>
      <c r="C624" s="30" t="str">
        <f>IFERROR(_xlfn.XLOOKUP(B624,Insumo[DESCRIPCION],Insumo[UND],,0),"")</f>
        <v>M</v>
      </c>
      <c r="D624" s="31">
        <v>0.01</v>
      </c>
      <c r="E624" s="32">
        <f>IFERROR(_xlfn.XLOOKUP($B624,Insumo[DESCRIPCION],Insumo[VALOR],,0),"")</f>
        <v>4091.8500000000004</v>
      </c>
      <c r="F624" s="33"/>
      <c r="G624" s="34">
        <f>IFERROR(IF(F624&gt;=0,D624*E624*(1+F624/100),ABS(D624*E624/F624)),"")</f>
        <v>40.918500000000002</v>
      </c>
      <c r="H624" s="43">
        <f>IFERROR(G624*E621,"")</f>
        <v>0</v>
      </c>
    </row>
    <row r="625" spans="1:8">
      <c r="A625" s="28"/>
      <c r="B625" s="29" t="s">
        <v>3253</v>
      </c>
      <c r="C625" s="30" t="str">
        <f>IFERROR(_xlfn.XLOOKUP(B625,Insumo[DESCRIPCION],Insumo[UND],,0),"")</f>
        <v>Lb</v>
      </c>
      <c r="D625" s="31">
        <v>5.0000000000000001E-3</v>
      </c>
      <c r="E625" s="32">
        <f>IFERROR(_xlfn.XLOOKUP($B625,Insumo[DESCRIPCION],Insumo[VALOR],,0),"")</f>
        <v>6482.7000000000007</v>
      </c>
      <c r="F625" s="33"/>
      <c r="G625" s="34">
        <f>IFERROR(IF(F625&gt;=0,D625*E625*(1+F625/100),ABS(D625*E625/F625)),"")</f>
        <v>32.413500000000006</v>
      </c>
      <c r="H625" s="43">
        <f>IFERROR(G625*E621,"")</f>
        <v>0</v>
      </c>
    </row>
    <row r="626" spans="1:8">
      <c r="A626" s="28"/>
      <c r="B626" s="29"/>
      <c r="C626" s="30" t="str">
        <f>IFERROR(_xlfn.XLOOKUP(B626,Insumo[DESCRIPCION],Insumo[UND],,0),"")</f>
        <v/>
      </c>
      <c r="D626" s="31"/>
      <c r="E626" s="32" t="str">
        <f>IFERROR(_xlfn.XLOOKUP($B626,Insumo[DESCRIPCION],Insumo[VALOR],,0),"")</f>
        <v/>
      </c>
      <c r="F626" s="33"/>
      <c r="G626" s="34" t="str">
        <f>IFERROR(IF(F626&gt;=0,D626*E626*(1+F626/100),ABS(D626*E626/F626)),"")</f>
        <v/>
      </c>
      <c r="H626" s="43" t="str">
        <f>IFERROR(G626*E621,"")</f>
        <v/>
      </c>
    </row>
    <row r="627" spans="1:8">
      <c r="A627" s="28"/>
      <c r="B627" s="29"/>
      <c r="C627" s="30" t="str">
        <f>IFERROR(_xlfn.XLOOKUP(B627,Insumo[DESCRIPCION],Insumo[UND],,0),"")</f>
        <v/>
      </c>
      <c r="D627" s="31"/>
      <c r="E627" s="32" t="str">
        <f>IFERROR(_xlfn.XLOOKUP($B627,Insumo[DESCRIPCION],Insumo[VALOR],,0),"")</f>
        <v/>
      </c>
      <c r="F627" s="33"/>
      <c r="G627" s="34" t="str">
        <f>IFERROR(IF(F627&gt;=0,D627*E627*(1+F627/100),ABS(D627*E627/F627)),"")</f>
        <v/>
      </c>
      <c r="H627" s="43" t="str">
        <f>IFERROR(G627*E621,"")</f>
        <v/>
      </c>
    </row>
    <row r="628" spans="1:8">
      <c r="A628" s="28"/>
      <c r="B628" s="29"/>
      <c r="C628" s="30" t="str">
        <f>IFERROR(_xlfn.XLOOKUP(B628,Insumo[DESCRIPCION],Insumo[UND],,0),"")</f>
        <v/>
      </c>
      <c r="D628" s="31"/>
      <c r="E628" s="32" t="str">
        <f>IFERROR(_xlfn.XLOOKUP($B628,Insumo[DESCRIPCION],Insumo[VALOR],,0),"")</f>
        <v/>
      </c>
      <c r="F628" s="33"/>
      <c r="G628" s="34" t="str">
        <f>IFERROR(IF(F628&gt;=0,D628*E628*(1+F628/100),ABS(D628*E628/F628)),"")</f>
        <v/>
      </c>
      <c r="H628" s="43" t="str">
        <f>IFERROR(G628*E621,"")</f>
        <v/>
      </c>
    </row>
    <row r="629" spans="1:8">
      <c r="A629" s="21"/>
      <c r="B629" s="22" t="s">
        <v>3731</v>
      </c>
      <c r="C629" s="23"/>
      <c r="D629" s="24"/>
      <c r="E629" s="25"/>
      <c r="F629" s="26"/>
      <c r="G629" s="27">
        <f>SUM(G630:G632)</f>
        <v>1095.9869362921877</v>
      </c>
      <c r="H629" s="44">
        <f>G629*E621</f>
        <v>0</v>
      </c>
    </row>
    <row r="630" spans="1:8">
      <c r="A630" s="28"/>
      <c r="B630" s="29" t="s">
        <v>3606</v>
      </c>
      <c r="C630" s="30" t="str">
        <f>IFERROR(_xlfn.XLOOKUP(B630,Equipo[DESCRIPCION],Equipo[UND],,0),"")</f>
        <v>Día</v>
      </c>
      <c r="D630" s="31">
        <v>1</v>
      </c>
      <c r="E630" s="32">
        <f>IF(C630="%MO",G636,IFERROR(VLOOKUP($B630,Equipo[],3,0),""))</f>
        <v>145665.45000000001</v>
      </c>
      <c r="F630" s="33">
        <v>-160</v>
      </c>
      <c r="G630" s="34">
        <f>IFERROR(IF(F630&gt;=0,D630*E630*(1+F630/100),ABS(D630*E630/F630)),"")</f>
        <v>910.40906250000012</v>
      </c>
      <c r="H630" s="43">
        <f>IFERROR(G630*E621,"")</f>
        <v>0</v>
      </c>
    </row>
    <row r="631" spans="1:8">
      <c r="A631" s="28"/>
      <c r="B631" s="29" t="s">
        <v>3626</v>
      </c>
      <c r="C631" s="30" t="str">
        <f>IFERROR(_xlfn.XLOOKUP(B631,Equipo[DESCRIPCION],Equipo[UND],,0),"")</f>
        <v>%MO</v>
      </c>
      <c r="D631" s="31">
        <v>0.05</v>
      </c>
      <c r="E631" s="32">
        <f>IF(C631="%MO",G636,IFERROR(VLOOKUP($B631,Equipo[],3,0),""))</f>
        <v>3711.5574758437506</v>
      </c>
      <c r="F631" s="33"/>
      <c r="G631" s="34">
        <f>IFERROR(IF(F631&gt;=0,D631*E631*(1+F631/100),ABS(D631*E631/F631)),"")</f>
        <v>185.57787379218755</v>
      </c>
      <c r="H631" s="43">
        <f>IFERROR(G631*E621,"")</f>
        <v>0</v>
      </c>
    </row>
    <row r="632" spans="1:8">
      <c r="A632" s="28"/>
      <c r="B632" s="29"/>
      <c r="C632" s="30" t="str">
        <f>IFERROR(_xlfn.XLOOKUP(B632,Equipo[DESCRIPCION],Equipo[UND],,0),"")</f>
        <v/>
      </c>
      <c r="D632" s="31"/>
      <c r="E632" s="32" t="str">
        <f>IF(C632="%MO",G636,IFERROR(VLOOKUP($B632,Equipo[],3,0),""))</f>
        <v/>
      </c>
      <c r="F632" s="33"/>
      <c r="G632" s="34" t="str">
        <f>IFERROR(IF(F632&gt;=0,D632*E632*(1+F632/100),ABS(D632*E632/F632)),"")</f>
        <v/>
      </c>
      <c r="H632" s="43" t="str">
        <f>IFERROR(G632*E621,"")</f>
        <v/>
      </c>
    </row>
    <row r="633" spans="1:8">
      <c r="A633" s="21"/>
      <c r="B633" s="22" t="s">
        <v>2533</v>
      </c>
      <c r="C633" s="23"/>
      <c r="D633" s="24"/>
      <c r="E633" s="25"/>
      <c r="F633" s="26"/>
      <c r="G633" s="27">
        <f>SUM(G634:G635)</f>
        <v>0</v>
      </c>
      <c r="H633" s="44">
        <f>G633*E621</f>
        <v>0</v>
      </c>
    </row>
    <row r="634" spans="1:8">
      <c r="A634" s="28"/>
      <c r="B634" s="29"/>
      <c r="C634" s="30" t="str">
        <f>IFERROR(_xlfn.XLOOKUP(B634,Transporte[DESCRIPCION],Transporte[UND],,0),"")</f>
        <v/>
      </c>
      <c r="D634" s="31"/>
      <c r="E634" s="32" t="str">
        <f>IFERROR(_xlfn.XLOOKUP($B634,Transporte[DESCRIPCION],Transporte[VALOR],,0),"")</f>
        <v/>
      </c>
      <c r="F634" s="33"/>
      <c r="G634" s="34" t="str">
        <f>IFERROR(IF(F634&gt;=0,D634*E634*(1+F634/100),ABS(D634*E634/F634)),"")</f>
        <v/>
      </c>
      <c r="H634" s="43" t="str">
        <f>IFERROR(G634*E621,"")</f>
        <v/>
      </c>
    </row>
    <row r="635" spans="1:8">
      <c r="A635" s="28"/>
      <c r="B635" s="29"/>
      <c r="C635" s="30" t="str">
        <f>IFERROR(_xlfn.XLOOKUP(B635,Transporte[DESCRIPCION],Transporte[UND],,0),"")</f>
        <v/>
      </c>
      <c r="D635" s="31"/>
      <c r="E635" s="32" t="str">
        <f>IFERROR(_xlfn.XLOOKUP($B635,Transporte[DESCRIPCION],Transporte[VALOR],,0),"")</f>
        <v/>
      </c>
      <c r="F635" s="33"/>
      <c r="G635" s="34" t="str">
        <f>IFERROR(IF(F635&gt;=0,D635*E635*(1+F635/100),ABS(D635*E635/F635)),"")</f>
        <v/>
      </c>
      <c r="H635" s="43" t="str">
        <f>IFERROR(G635*E621,"")</f>
        <v/>
      </c>
    </row>
    <row r="636" spans="1:8">
      <c r="A636" s="21"/>
      <c r="B636" s="22" t="s">
        <v>3732</v>
      </c>
      <c r="C636" s="23"/>
      <c r="D636" s="24"/>
      <c r="E636" s="25"/>
      <c r="F636" s="26"/>
      <c r="G636" s="27">
        <f>SUM(G637:G639)</f>
        <v>3711.5574758437506</v>
      </c>
      <c r="H636" s="44">
        <f>G636*E621</f>
        <v>0</v>
      </c>
    </row>
    <row r="637" spans="1:8">
      <c r="A637" s="28"/>
      <c r="B637" s="29" t="s">
        <v>3709</v>
      </c>
      <c r="C637" s="30" t="str">
        <f>IFERROR(_xlfn.XLOOKUP(B637,MObra[DESCRIPCION],MObra[UN],,0),"")</f>
        <v>día</v>
      </c>
      <c r="D637" s="31">
        <v>1</v>
      </c>
      <c r="E637" s="32">
        <f>IFERROR(_xlfn.XLOOKUP($B637,MObra[DESCRIPCION],MObra[VALOR UNIT],,0),"")</f>
        <v>593849.19613500009</v>
      </c>
      <c r="F637" s="33">
        <v>-160</v>
      </c>
      <c r="G637" s="34">
        <f>IFERROR(IF(F637&gt;=0,D637*E637*(1+F637/100),ABS(D637*E637/F637)),"")</f>
        <v>3711.5574758437506</v>
      </c>
      <c r="H637" s="43">
        <f>IFERROR(G637*E621,"")</f>
        <v>0</v>
      </c>
    </row>
    <row r="638" spans="1:8">
      <c r="A638" s="28"/>
      <c r="B638" s="29"/>
      <c r="C638" s="30" t="str">
        <f t="array" ref="C638">IFERROR(_xlfn.XLOOKUP(B638,MObra[[#All],[DESCRIPCION]],MObra[[#All],[UN]],,0),"")</f>
        <v/>
      </c>
      <c r="D638" s="31"/>
      <c r="E638" s="32" t="str">
        <f>IFERROR(_xlfn.XLOOKUP($B638,MObra[DESCRIPCION],MObra[VALOR UNIT],,0),"")</f>
        <v/>
      </c>
      <c r="F638" s="33"/>
      <c r="G638" s="34" t="str">
        <f>IFERROR(IF(F638&gt;=0,D638*E638*(1+F638/100),ABS(D638*E638/F638)),"")</f>
        <v/>
      </c>
      <c r="H638" s="43" t="str">
        <f>IFERROR(G638*E621,"")</f>
        <v/>
      </c>
    </row>
    <row r="639" spans="1:8">
      <c r="A639" s="35"/>
      <c r="B639" s="36"/>
      <c r="C639" s="37" t="str">
        <f t="array" ref="C639">IFERROR(_xlfn.XLOOKUP(B639,MObra[[#All],[DESCRIPCION]],MObra[[#All],[UN]],,0),"")</f>
        <v/>
      </c>
      <c r="D639" s="38"/>
      <c r="E639" s="39" t="str">
        <f>IFERROR(_xlfn.XLOOKUP($B639,MObra[DESCRIPCION],MObra[VALOR UNIT],,0),"")</f>
        <v/>
      </c>
      <c r="F639" s="40"/>
      <c r="G639" s="41" t="str">
        <f>IFERROR(IF(F639&gt;=0,D639*E639*(1+F639/100),ABS(D639*E639/F639)),"")</f>
        <v/>
      </c>
      <c r="H639" s="42" t="str">
        <f>IFERROR(G639*E621,"")</f>
        <v/>
      </c>
    </row>
    <row r="641" spans="1:11">
      <c r="A641" s="6" t="s">
        <v>82</v>
      </c>
      <c r="B641" s="7" t="str">
        <f>VLOOKUP($A641,Presupuesto!$A:$D,2,FALSE())</f>
        <v>Malla reflectiva color naranja H=1.0m</v>
      </c>
      <c r="C641" s="8" t="str">
        <f>VLOOKUP($A641,Presupuesto!$A:$D,3,FALSE())</f>
        <v>M</v>
      </c>
      <c r="D641" s="9"/>
      <c r="E641" s="147">
        <f>VLOOKUP($A641,Presupuesto!$A:$D,4,FALSE())</f>
        <v>0</v>
      </c>
      <c r="F641" s="11" t="s">
        <v>2589</v>
      </c>
      <c r="G641" s="12">
        <f>SUM(G643:G659)/2</f>
        <v>9190.8815960400025</v>
      </c>
      <c r="H641" s="13">
        <f>ROUND(SUM(H643:H659),0)/2</f>
        <v>0</v>
      </c>
      <c r="I641" s="10">
        <f>VLOOKUP(A641,Presupuesto!$A:$F,6,0)</f>
        <v>0</v>
      </c>
      <c r="J641" s="10">
        <f>+H641-I641</f>
        <v>0</v>
      </c>
      <c r="K641" s="46">
        <f>+H641-G641*E641</f>
        <v>0</v>
      </c>
    </row>
    <row r="642" spans="1:11">
      <c r="A642" s="14"/>
      <c r="B642" s="15" t="s">
        <v>2586</v>
      </c>
      <c r="C642" s="15" t="s">
        <v>5</v>
      </c>
      <c r="D642" s="16" t="s">
        <v>6</v>
      </c>
      <c r="E642" s="17" t="s">
        <v>7</v>
      </c>
      <c r="F642" s="18" t="s">
        <v>3728</v>
      </c>
      <c r="G642" s="19" t="s">
        <v>3729</v>
      </c>
      <c r="H642" s="20" t="s">
        <v>3797</v>
      </c>
    </row>
    <row r="643" spans="1:11">
      <c r="A643" s="21"/>
      <c r="B643" s="22" t="s">
        <v>3730</v>
      </c>
      <c r="C643" s="23"/>
      <c r="D643" s="24"/>
      <c r="E643" s="25"/>
      <c r="F643" s="26"/>
      <c r="G643" s="27">
        <f>SUM(G644:G648)</f>
        <v>7979.8950000000013</v>
      </c>
      <c r="H643" s="27">
        <f>IFERROR(G643*E641,"")</f>
        <v>0</v>
      </c>
    </row>
    <row r="644" spans="1:11">
      <c r="A644" s="28"/>
      <c r="B644" s="29" t="s">
        <v>3141</v>
      </c>
      <c r="C644" s="30" t="str">
        <f>IFERROR(_xlfn.XLOOKUP(B644,Insumo[DESCRIPCION],Insumo[UND],,0),"")</f>
        <v>M</v>
      </c>
      <c r="D644" s="31">
        <v>1</v>
      </c>
      <c r="E644" s="32">
        <f>IFERROR(_xlfn.XLOOKUP($B644,Insumo[DESCRIPCION],Insumo[VALOR],,0),"")</f>
        <v>7599.9000000000005</v>
      </c>
      <c r="F644" s="33">
        <v>5</v>
      </c>
      <c r="G644" s="34">
        <f>IFERROR(IF(F644&gt;=0,D644*E644*(1+F644/100),ABS(D644*E644/F644)),"")</f>
        <v>7979.8950000000013</v>
      </c>
      <c r="H644" s="43">
        <f>IFERROR(G644*E641,"")</f>
        <v>0</v>
      </c>
    </row>
    <row r="645" spans="1:11">
      <c r="A645" s="28"/>
      <c r="B645" s="29"/>
      <c r="C645" s="30" t="str">
        <f>IFERROR(_xlfn.XLOOKUP(B645,Insumo[DESCRIPCION],Insumo[UND],,0),"")</f>
        <v/>
      </c>
      <c r="D645" s="31"/>
      <c r="E645" s="32" t="str">
        <f>IFERROR(_xlfn.XLOOKUP($B645,Insumo[DESCRIPCION],Insumo[VALOR],,0),"")</f>
        <v/>
      </c>
      <c r="F645" s="33"/>
      <c r="G645" s="34" t="str">
        <f>IFERROR(IF(F645&gt;=0,D645*E645*(1+F645/100),ABS(D645*E645/F645)),"")</f>
        <v/>
      </c>
      <c r="H645" s="43" t="str">
        <f>IFERROR(G645*E641,"")</f>
        <v/>
      </c>
    </row>
    <row r="646" spans="1:11">
      <c r="A646" s="28"/>
      <c r="B646" s="29"/>
      <c r="C646" s="30" t="str">
        <f>IFERROR(_xlfn.XLOOKUP(B646,Insumo[DESCRIPCION],Insumo[UND],,0),"")</f>
        <v/>
      </c>
      <c r="D646" s="31"/>
      <c r="E646" s="32" t="str">
        <f>IFERROR(_xlfn.XLOOKUP($B646,Insumo[DESCRIPCION],Insumo[VALOR],,0),"")</f>
        <v/>
      </c>
      <c r="F646" s="33"/>
      <c r="G646" s="34" t="str">
        <f>IFERROR(IF(F646&gt;=0,D646*E646*(1+F646/100),ABS(D646*E646/F646)),"")</f>
        <v/>
      </c>
      <c r="H646" s="43" t="str">
        <f>IFERROR(G646*E641,"")</f>
        <v/>
      </c>
    </row>
    <row r="647" spans="1:11">
      <c r="A647" s="28"/>
      <c r="B647" s="29"/>
      <c r="C647" s="30" t="str">
        <f>IFERROR(_xlfn.XLOOKUP(B647,Insumo[DESCRIPCION],Insumo[UND],,0),"")</f>
        <v/>
      </c>
      <c r="D647" s="31"/>
      <c r="E647" s="32" t="str">
        <f>IFERROR(_xlfn.XLOOKUP($B647,Insumo[DESCRIPCION],Insumo[VALOR],,0),"")</f>
        <v/>
      </c>
      <c r="F647" s="33"/>
      <c r="G647" s="34" t="str">
        <f>IFERROR(IF(F647&gt;=0,D647*E647*(1+F647/100),ABS(D647*E647/F647)),"")</f>
        <v/>
      </c>
      <c r="H647" s="43" t="str">
        <f>IFERROR(G647*E641,"")</f>
        <v/>
      </c>
    </row>
    <row r="648" spans="1:11">
      <c r="A648" s="28"/>
      <c r="B648" s="29"/>
      <c r="C648" s="30" t="str">
        <f>IFERROR(_xlfn.XLOOKUP(B648,Insumo[DESCRIPCION],Insumo[UND],,0),"")</f>
        <v/>
      </c>
      <c r="D648" s="31"/>
      <c r="E648" s="32" t="str">
        <f>IFERROR(_xlfn.XLOOKUP($B648,Insumo[DESCRIPCION],Insumo[VALOR],,0),"")</f>
        <v/>
      </c>
      <c r="F648" s="33"/>
      <c r="G648" s="34" t="str">
        <f>IFERROR(IF(F648&gt;=0,D648*E648*(1+F648/100),ABS(D648*E648/F648)),"")</f>
        <v/>
      </c>
      <c r="H648" s="43" t="str">
        <f>IFERROR(G648*E641,"")</f>
        <v/>
      </c>
    </row>
    <row r="649" spans="1:11">
      <c r="A649" s="21"/>
      <c r="B649" s="22" t="s">
        <v>3731</v>
      </c>
      <c r="C649" s="23"/>
      <c r="D649" s="24"/>
      <c r="E649" s="25"/>
      <c r="F649" s="26"/>
      <c r="G649" s="27">
        <f>SUM(G650:G652)</f>
        <v>46.576407540000012</v>
      </c>
      <c r="H649" s="44">
        <f>G649*E641</f>
        <v>0</v>
      </c>
    </row>
    <row r="650" spans="1:11">
      <c r="A650" s="28"/>
      <c r="B650" s="29" t="s">
        <v>3570</v>
      </c>
      <c r="C650" s="30" t="str">
        <f>IFERROR(_xlfn.XLOOKUP(B650,Equipo[DESCRIPCION],Equipo[UND],,0),"")</f>
        <v>%MO</v>
      </c>
      <c r="D650" s="31">
        <v>0.04</v>
      </c>
      <c r="E650" s="32">
        <f>IF(C650="%MO",G656,IFERROR(VLOOKUP($B650,Equipo[],3,0),""))</f>
        <v>1164.4101885000002</v>
      </c>
      <c r="F650" s="33"/>
      <c r="G650" s="34">
        <f>IFERROR(IF(F650&gt;=0,D650*E650*(1+F650/100),ABS(D650*E650/F650)),"")</f>
        <v>46.576407540000012</v>
      </c>
      <c r="H650" s="43">
        <f>IFERROR(G650*E641,"")</f>
        <v>0</v>
      </c>
    </row>
    <row r="651" spans="1:11">
      <c r="A651" s="28"/>
      <c r="B651" s="29"/>
      <c r="C651" s="30" t="str">
        <f>IFERROR(_xlfn.XLOOKUP(B651,Equipo[DESCRIPCION],Equipo[UND],,0),"")</f>
        <v/>
      </c>
      <c r="D651" s="31"/>
      <c r="E651" s="32" t="str">
        <f>IF(C651="%MO",G656,IFERROR(VLOOKUP($B651,Equipo[],3,0),""))</f>
        <v/>
      </c>
      <c r="F651" s="33"/>
      <c r="G651" s="34" t="str">
        <f>IFERROR(IF(F651&gt;=0,D651*E651*(1+F651/100),ABS(D651*E651/F651)),"")</f>
        <v/>
      </c>
      <c r="H651" s="43" t="str">
        <f>IFERROR(G651*E641,"")</f>
        <v/>
      </c>
    </row>
    <row r="652" spans="1:11">
      <c r="A652" s="28"/>
      <c r="B652" s="29"/>
      <c r="C652" s="30" t="str">
        <f>IFERROR(_xlfn.XLOOKUP(B652,Equipo[DESCRIPCION],Equipo[UND],,0),"")</f>
        <v/>
      </c>
      <c r="D652" s="31"/>
      <c r="E652" s="32" t="str">
        <f>IF(C652="%MO",G656,IFERROR(VLOOKUP($B652,Equipo[],3,0),""))</f>
        <v/>
      </c>
      <c r="F652" s="33"/>
      <c r="G652" s="34" t="str">
        <f>IFERROR(IF(F652&gt;=0,D652*E652*(1+F652/100),ABS(D652*E652/F652)),"")</f>
        <v/>
      </c>
      <c r="H652" s="43" t="str">
        <f>IFERROR(G652*E641,"")</f>
        <v/>
      </c>
    </row>
    <row r="653" spans="1:11">
      <c r="A653" s="21"/>
      <c r="B653" s="22" t="s">
        <v>2533</v>
      </c>
      <c r="C653" s="23"/>
      <c r="D653" s="24"/>
      <c r="E653" s="25"/>
      <c r="F653" s="26"/>
      <c r="G653" s="27">
        <f>SUM(G654:G655)</f>
        <v>0</v>
      </c>
      <c r="H653" s="44">
        <f>G653*E641</f>
        <v>0</v>
      </c>
    </row>
    <row r="654" spans="1:11">
      <c r="A654" s="28"/>
      <c r="B654" s="29"/>
      <c r="C654" s="30" t="str">
        <f>IFERROR(_xlfn.XLOOKUP(B654,Transporte[DESCRIPCION],Transporte[UND],,0),"")</f>
        <v/>
      </c>
      <c r="D654" s="31"/>
      <c r="E654" s="32" t="str">
        <f>IFERROR(_xlfn.XLOOKUP($B654,Transporte[DESCRIPCION],Transporte[VALOR],,0),"")</f>
        <v/>
      </c>
      <c r="F654" s="33"/>
      <c r="G654" s="34" t="str">
        <f>IFERROR(IF(F654&gt;=0,D654*E654*(1+F654/100),ABS(D654*E654/F654)),"")</f>
        <v/>
      </c>
      <c r="H654" s="43" t="str">
        <f>IFERROR(G654*E641,"")</f>
        <v/>
      </c>
    </row>
    <row r="655" spans="1:11">
      <c r="A655" s="28"/>
      <c r="B655" s="29"/>
      <c r="C655" s="30" t="str">
        <f>IFERROR(_xlfn.XLOOKUP(B655,Transporte[DESCRIPCION],Transporte[UND],,0),"")</f>
        <v/>
      </c>
      <c r="D655" s="31"/>
      <c r="E655" s="32" t="str">
        <f>IFERROR(_xlfn.XLOOKUP($B655,Transporte[DESCRIPCION],Transporte[VALOR],,0),"")</f>
        <v/>
      </c>
      <c r="F655" s="33"/>
      <c r="G655" s="34" t="str">
        <f>IFERROR(IF(F655&gt;=0,D655*E655*(1+F655/100),ABS(D655*E655/F655)),"")</f>
        <v/>
      </c>
      <c r="H655" s="43" t="str">
        <f>IFERROR(G655*E641,"")</f>
        <v/>
      </c>
    </row>
    <row r="656" spans="1:11">
      <c r="A656" s="21"/>
      <c r="B656" s="22" t="s">
        <v>3732</v>
      </c>
      <c r="C656" s="23"/>
      <c r="D656" s="24"/>
      <c r="E656" s="25"/>
      <c r="F656" s="26"/>
      <c r="G656" s="27">
        <f>SUM(G657:G659)</f>
        <v>1164.4101885000002</v>
      </c>
      <c r="H656" s="44">
        <f>G656*E641</f>
        <v>0</v>
      </c>
    </row>
    <row r="657" spans="1:11">
      <c r="A657" s="28"/>
      <c r="B657" s="29" t="s">
        <v>3698</v>
      </c>
      <c r="C657" s="30" t="str">
        <f>IFERROR(_xlfn.XLOOKUP(B657,MObra[DESCRIPCION],MObra[UN],,0),"")</f>
        <v>día</v>
      </c>
      <c r="D657" s="31">
        <v>1</v>
      </c>
      <c r="E657" s="32">
        <f>IFERROR(_xlfn.XLOOKUP($B657,MObra[DESCRIPCION],MObra[VALOR UNIT],,0),"")</f>
        <v>116441.01885000002</v>
      </c>
      <c r="F657" s="33">
        <v>-100</v>
      </c>
      <c r="G657" s="34">
        <f>IFERROR(IF(F657&gt;=0,D657*E657*(1+F657/100),ABS(D657*E657/F657)),"")</f>
        <v>1164.4101885000002</v>
      </c>
      <c r="H657" s="43">
        <f>IFERROR(G657*E641,"")</f>
        <v>0</v>
      </c>
    </row>
    <row r="658" spans="1:11">
      <c r="A658" s="28"/>
      <c r="B658" s="29"/>
      <c r="C658" s="30" t="str">
        <f t="array" ref="C658">IFERROR(_xlfn.XLOOKUP(B658,MObra[[#All],[DESCRIPCION]],MObra[[#All],[UN]],,0),"")</f>
        <v/>
      </c>
      <c r="D658" s="31"/>
      <c r="E658" s="32" t="str">
        <f>IFERROR(_xlfn.XLOOKUP($B658,MObra[DESCRIPCION],MObra[VALOR UNIT],,0),"")</f>
        <v/>
      </c>
      <c r="F658" s="33"/>
      <c r="G658" s="34" t="str">
        <f>IFERROR(IF(F658&gt;=0,D658*E658*(1+F658/100),ABS(D658*E658/F658)),"")</f>
        <v/>
      </c>
      <c r="H658" s="43" t="str">
        <f>IFERROR(G658*E641,"")</f>
        <v/>
      </c>
    </row>
    <row r="659" spans="1:11">
      <c r="A659" s="35"/>
      <c r="B659" s="36"/>
      <c r="C659" s="37" t="str">
        <f t="array" ref="C659">IFERROR(_xlfn.XLOOKUP(B659,MObra[[#All],[DESCRIPCION]],MObra[[#All],[UN]],,0),"")</f>
        <v/>
      </c>
      <c r="D659" s="38"/>
      <c r="E659" s="39" t="str">
        <f>IFERROR(_xlfn.XLOOKUP($B659,MObra[DESCRIPCION],MObra[VALOR UNIT],,0),"")</f>
        <v/>
      </c>
      <c r="F659" s="40"/>
      <c r="G659" s="41" t="str">
        <f>IFERROR(IF(F659&gt;=0,D659*E659*(1+F659/100),ABS(D659*E659/F659)),"")</f>
        <v/>
      </c>
      <c r="H659" s="42" t="str">
        <f>IFERROR(G659*E641,"")</f>
        <v/>
      </c>
    </row>
    <row r="661" spans="1:11">
      <c r="A661" s="6" t="s">
        <v>84</v>
      </c>
      <c r="B661" s="7" t="str">
        <f>VLOOKUP($A661,Presupuesto!$A:$D,2,FALSE())</f>
        <v>Pasacalles tela 6.00m x 0.90m</v>
      </c>
      <c r="C661" s="8" t="str">
        <f>VLOOKUP($A661,Presupuesto!$A:$D,3,FALSE())</f>
        <v>Un</v>
      </c>
      <c r="D661" s="9"/>
      <c r="E661" s="147">
        <f>VLOOKUP($A661,Presupuesto!$A:$D,4,FALSE())</f>
        <v>0</v>
      </c>
      <c r="F661" s="11" t="s">
        <v>2589</v>
      </c>
      <c r="G661" s="12">
        <f>SUM(G663:G679)/2</f>
        <v>374344.71784022509</v>
      </c>
      <c r="H661" s="13">
        <f>ROUND(SUM(H663:H679),0)/2</f>
        <v>0</v>
      </c>
      <c r="I661" s="10">
        <f>VLOOKUP(A661,Presupuesto!$A:$F,6,0)</f>
        <v>0</v>
      </c>
      <c r="J661" s="10">
        <f>+H661-I661</f>
        <v>0</v>
      </c>
      <c r="K661" s="46">
        <f>+H661-G661*E661</f>
        <v>0</v>
      </c>
    </row>
    <row r="662" spans="1:11">
      <c r="A662" s="14"/>
      <c r="B662" s="15" t="s">
        <v>2586</v>
      </c>
      <c r="C662" s="15" t="s">
        <v>5</v>
      </c>
      <c r="D662" s="16" t="s">
        <v>6</v>
      </c>
      <c r="E662" s="17" t="s">
        <v>7</v>
      </c>
      <c r="F662" s="18" t="s">
        <v>3728</v>
      </c>
      <c r="G662" s="19" t="s">
        <v>3729</v>
      </c>
      <c r="H662" s="20" t="s">
        <v>3797</v>
      </c>
    </row>
    <row r="663" spans="1:11">
      <c r="A663" s="21"/>
      <c r="B663" s="22" t="s">
        <v>3730</v>
      </c>
      <c r="C663" s="23"/>
      <c r="D663" s="24"/>
      <c r="E663" s="25"/>
      <c r="F663" s="26"/>
      <c r="G663" s="27">
        <f>SUM(G664:G668)</f>
        <v>357829.50000000006</v>
      </c>
      <c r="H663" s="27">
        <f>IFERROR(G663*E661,"")</f>
        <v>0</v>
      </c>
    </row>
    <row r="664" spans="1:11">
      <c r="A664" s="28"/>
      <c r="B664" s="29" t="s">
        <v>3188</v>
      </c>
      <c r="C664" s="30" t="str">
        <f>IFERROR(_xlfn.XLOOKUP(B664,Insumo[DESCRIPCION],Insumo[UND],,0),"")</f>
        <v>M2</v>
      </c>
      <c r="D664" s="31">
        <v>5</v>
      </c>
      <c r="E664" s="32">
        <f>IFERROR(_xlfn.XLOOKUP($B664,Insumo[DESCRIPCION],Insumo[VALOR],,0),"")</f>
        <v>71565.900000000009</v>
      </c>
      <c r="F664" s="33"/>
      <c r="G664" s="34">
        <f>IFERROR(IF(F664&gt;=0,D664*E664*(1+F664/100),ABS(D664*E664/F664)),"")</f>
        <v>357829.50000000006</v>
      </c>
      <c r="H664" s="43">
        <f>IFERROR(G664*E661,"")</f>
        <v>0</v>
      </c>
    </row>
    <row r="665" spans="1:11">
      <c r="A665" s="28"/>
      <c r="B665" s="29"/>
      <c r="C665" s="30" t="str">
        <f>IFERROR(_xlfn.XLOOKUP(B665,Insumo[DESCRIPCION],Insumo[UND],,0),"")</f>
        <v/>
      </c>
      <c r="D665" s="31"/>
      <c r="E665" s="32" t="str">
        <f>IFERROR(_xlfn.XLOOKUP($B665,Insumo[DESCRIPCION],Insumo[VALOR],,0),"")</f>
        <v/>
      </c>
      <c r="F665" s="33"/>
      <c r="G665" s="34" t="str">
        <f>IFERROR(IF(F665&gt;=0,D665*E665*(1+F665/100),ABS(D665*E665/F665)),"")</f>
        <v/>
      </c>
      <c r="H665" s="43" t="str">
        <f>IFERROR(G665*E661,"")</f>
        <v/>
      </c>
    </row>
    <row r="666" spans="1:11">
      <c r="A666" s="28"/>
      <c r="B666" s="29"/>
      <c r="C666" s="30" t="str">
        <f>IFERROR(_xlfn.XLOOKUP(B666,Insumo[DESCRIPCION],Insumo[UND],,0),"")</f>
        <v/>
      </c>
      <c r="D666" s="31"/>
      <c r="E666" s="32" t="str">
        <f>IFERROR(_xlfn.XLOOKUP($B666,Insumo[DESCRIPCION],Insumo[VALOR],,0),"")</f>
        <v/>
      </c>
      <c r="F666" s="33"/>
      <c r="G666" s="34" t="str">
        <f>IFERROR(IF(F666&gt;=0,D666*E666*(1+F666/100),ABS(D666*E666/F666)),"")</f>
        <v/>
      </c>
      <c r="H666" s="43" t="str">
        <f>IFERROR(G666*E661,"")</f>
        <v/>
      </c>
    </row>
    <row r="667" spans="1:11">
      <c r="A667" s="28"/>
      <c r="B667" s="29"/>
      <c r="C667" s="30" t="str">
        <f>IFERROR(_xlfn.XLOOKUP(B667,Insumo[DESCRIPCION],Insumo[UND],,0),"")</f>
        <v/>
      </c>
      <c r="D667" s="31"/>
      <c r="E667" s="32" t="str">
        <f>IFERROR(_xlfn.XLOOKUP($B667,Insumo[DESCRIPCION],Insumo[VALOR],,0),"")</f>
        <v/>
      </c>
      <c r="F667" s="33"/>
      <c r="G667" s="34" t="str">
        <f>IFERROR(IF(F667&gt;=0,D667*E667*(1+F667/100),ABS(D667*E667/F667)),"")</f>
        <v/>
      </c>
      <c r="H667" s="43" t="str">
        <f>IFERROR(G667*E661,"")</f>
        <v/>
      </c>
    </row>
    <row r="668" spans="1:11">
      <c r="A668" s="28"/>
      <c r="B668" s="29"/>
      <c r="C668" s="30" t="str">
        <f>IFERROR(_xlfn.XLOOKUP(B668,Insumo[DESCRIPCION],Insumo[UND],,0),"")</f>
        <v/>
      </c>
      <c r="D668" s="31"/>
      <c r="E668" s="32" t="str">
        <f>IFERROR(_xlfn.XLOOKUP($B668,Insumo[DESCRIPCION],Insumo[VALOR],,0),"")</f>
        <v/>
      </c>
      <c r="F668" s="33"/>
      <c r="G668" s="34" t="str">
        <f>IFERROR(IF(F668&gt;=0,D668*E668*(1+F668/100),ABS(D668*E668/F668)),"")</f>
        <v/>
      </c>
      <c r="H668" s="43" t="str">
        <f>IFERROR(G668*E661,"")</f>
        <v/>
      </c>
    </row>
    <row r="669" spans="1:11">
      <c r="A669" s="21"/>
      <c r="B669" s="22" t="s">
        <v>3731</v>
      </c>
      <c r="C669" s="23"/>
      <c r="D669" s="24"/>
      <c r="E669" s="25"/>
      <c r="F669" s="26"/>
      <c r="G669" s="27">
        <f>SUM(G670:G672)</f>
        <v>2154.1588487250006</v>
      </c>
      <c r="H669" s="44">
        <f>G669*E661</f>
        <v>0</v>
      </c>
    </row>
    <row r="670" spans="1:11">
      <c r="A670" s="28"/>
      <c r="B670" s="29" t="s">
        <v>3573</v>
      </c>
      <c r="C670" s="30" t="str">
        <f>IFERROR(_xlfn.XLOOKUP(B670,Equipo[DESCRIPCION],Equipo[UND],,0),"")</f>
        <v>%MO</v>
      </c>
      <c r="D670" s="31">
        <v>0.1</v>
      </c>
      <c r="E670" s="32">
        <f>IF(C670="%MO",G676,IFERROR(VLOOKUP($B670,Equipo[],3,0),""))</f>
        <v>14361.058991500002</v>
      </c>
      <c r="F670" s="33"/>
      <c r="G670" s="34">
        <f>IFERROR(IF(F670&gt;=0,D670*E670*(1+F670/100),ABS(D670*E670/F670)),"")</f>
        <v>1436.1058991500004</v>
      </c>
      <c r="H670" s="43">
        <f>IFERROR(G670*E661,"")</f>
        <v>0</v>
      </c>
    </row>
    <row r="671" spans="1:11">
      <c r="A671" s="28"/>
      <c r="B671" s="29" t="s">
        <v>3626</v>
      </c>
      <c r="C671" s="30" t="str">
        <f>IFERROR(_xlfn.XLOOKUP(B671,Equipo[DESCRIPCION],Equipo[UND],,0),"")</f>
        <v>%MO</v>
      </c>
      <c r="D671" s="31">
        <v>0.05</v>
      </c>
      <c r="E671" s="32">
        <f>IF(C671="%MO",G676,IFERROR(VLOOKUP($B671,Equipo[],3,0),""))</f>
        <v>14361.058991500002</v>
      </c>
      <c r="F671" s="33"/>
      <c r="G671" s="34">
        <f>IFERROR(IF(F671&gt;=0,D671*E671*(1+F671/100),ABS(D671*E671/F671)),"")</f>
        <v>718.05294957500018</v>
      </c>
      <c r="H671" s="43">
        <f>IFERROR(G671*E661,"")</f>
        <v>0</v>
      </c>
    </row>
    <row r="672" spans="1:11">
      <c r="A672" s="28"/>
      <c r="B672" s="29"/>
      <c r="C672" s="30" t="str">
        <f>IFERROR(_xlfn.XLOOKUP(B672,Equipo[DESCRIPCION],Equipo[UND],,0),"")</f>
        <v/>
      </c>
      <c r="D672" s="31"/>
      <c r="E672" s="32" t="str">
        <f>IF(C672="%MO",G676,IFERROR(VLOOKUP($B672,Equipo[],3,0),""))</f>
        <v/>
      </c>
      <c r="F672" s="33"/>
      <c r="G672" s="34" t="str">
        <f>IFERROR(IF(F672&gt;=0,D672*E672*(1+F672/100),ABS(D672*E672/F672)),"")</f>
        <v/>
      </c>
      <c r="H672" s="43" t="str">
        <f>IFERROR(G672*E661,"")</f>
        <v/>
      </c>
    </row>
    <row r="673" spans="1:11">
      <c r="A673" s="21"/>
      <c r="B673" s="22" t="s">
        <v>2533</v>
      </c>
      <c r="C673" s="23"/>
      <c r="D673" s="24"/>
      <c r="E673" s="25"/>
      <c r="F673" s="26"/>
      <c r="G673" s="27">
        <f>SUM(G674:G675)</f>
        <v>0</v>
      </c>
      <c r="H673" s="44">
        <f>G673*E661</f>
        <v>0</v>
      </c>
    </row>
    <row r="674" spans="1:11">
      <c r="A674" s="28"/>
      <c r="B674" s="29"/>
      <c r="C674" s="30" t="str">
        <f>IFERROR(_xlfn.XLOOKUP(B674,Transporte[DESCRIPCION],Transporte[UND],,0),"")</f>
        <v/>
      </c>
      <c r="D674" s="31"/>
      <c r="E674" s="32" t="str">
        <f>IFERROR(_xlfn.XLOOKUP($B674,Transporte[DESCRIPCION],Transporte[VALOR],,0),"")</f>
        <v/>
      </c>
      <c r="F674" s="33"/>
      <c r="G674" s="34" t="str">
        <f>IFERROR(IF(F674&gt;=0,D674*E674*(1+F674/100),ABS(D674*E674/F674)),"")</f>
        <v/>
      </c>
      <c r="H674" s="43" t="str">
        <f>IFERROR(G674*E661,"")</f>
        <v/>
      </c>
    </row>
    <row r="675" spans="1:11">
      <c r="A675" s="28"/>
      <c r="B675" s="29"/>
      <c r="C675" s="30" t="str">
        <f>IFERROR(_xlfn.XLOOKUP(B675,Transporte[DESCRIPCION],Transporte[UND],,0),"")</f>
        <v/>
      </c>
      <c r="D675" s="31"/>
      <c r="E675" s="32" t="str">
        <f>IFERROR(_xlfn.XLOOKUP($B675,Transporte[DESCRIPCION],Transporte[VALOR],,0),"")</f>
        <v/>
      </c>
      <c r="F675" s="33"/>
      <c r="G675" s="34" t="str">
        <f>IFERROR(IF(F675&gt;=0,D675*E675*(1+F675/100),ABS(D675*E675/F675)),"")</f>
        <v/>
      </c>
      <c r="H675" s="43" t="str">
        <f>IFERROR(G675*E661,"")</f>
        <v/>
      </c>
    </row>
    <row r="676" spans="1:11">
      <c r="A676" s="21"/>
      <c r="B676" s="22" t="s">
        <v>3732</v>
      </c>
      <c r="C676" s="23"/>
      <c r="D676" s="24"/>
      <c r="E676" s="25"/>
      <c r="F676" s="26"/>
      <c r="G676" s="27">
        <f>SUM(G677:G679)</f>
        <v>14361.058991500002</v>
      </c>
      <c r="H676" s="44">
        <f>G676*E661</f>
        <v>0</v>
      </c>
    </row>
    <row r="677" spans="1:11">
      <c r="A677" s="28"/>
      <c r="B677" s="29" t="s">
        <v>3711</v>
      </c>
      <c r="C677" s="30" t="str">
        <f>IFERROR(_xlfn.XLOOKUP(B677,MObra[DESCRIPCION],MObra[UN],,0),"")</f>
        <v>día</v>
      </c>
      <c r="D677" s="31">
        <v>1</v>
      </c>
      <c r="E677" s="32">
        <f>IFERROR(_xlfn.XLOOKUP($B677,MObra[DESCRIPCION],MObra[VALOR UNIT],,0),"")</f>
        <v>430831.76974500006</v>
      </c>
      <c r="F677" s="33">
        <v>-30</v>
      </c>
      <c r="G677" s="34">
        <f>IFERROR(IF(F677&gt;=0,D677*E677*(1+F677/100),ABS(D677*E677/F677)),"")</f>
        <v>14361.058991500002</v>
      </c>
      <c r="H677" s="43">
        <f>IFERROR(G677*E661,"")</f>
        <v>0</v>
      </c>
    </row>
    <row r="678" spans="1:11">
      <c r="A678" s="28"/>
      <c r="B678" s="29"/>
      <c r="C678" s="30" t="str">
        <f t="array" ref="C678">IFERROR(_xlfn.XLOOKUP(B678,MObra[[#All],[DESCRIPCION]],MObra[[#All],[UN]],,0),"")</f>
        <v/>
      </c>
      <c r="D678" s="31"/>
      <c r="E678" s="32" t="str">
        <f>IFERROR(_xlfn.XLOOKUP($B678,MObra[DESCRIPCION],MObra[VALOR UNIT],,0),"")</f>
        <v/>
      </c>
      <c r="F678" s="33"/>
      <c r="G678" s="34" t="str">
        <f>IFERROR(IF(F678&gt;=0,D678*E678*(1+F678/100),ABS(D678*E678/F678)),"")</f>
        <v/>
      </c>
      <c r="H678" s="43" t="str">
        <f>IFERROR(G678*E661,"")</f>
        <v/>
      </c>
    </row>
    <row r="679" spans="1:11">
      <c r="A679" s="35"/>
      <c r="B679" s="36"/>
      <c r="C679" s="37" t="str">
        <f t="array" ref="C679">IFERROR(_xlfn.XLOOKUP(B679,MObra[[#All],[DESCRIPCION]],MObra[[#All],[UN]],,0),"")</f>
        <v/>
      </c>
      <c r="D679" s="38"/>
      <c r="E679" s="39" t="str">
        <f>IFERROR(_xlfn.XLOOKUP($B679,MObra[DESCRIPCION],MObra[VALOR UNIT],,0),"")</f>
        <v/>
      </c>
      <c r="F679" s="40"/>
      <c r="G679" s="41" t="str">
        <f>IFERROR(IF(F679&gt;=0,D679*E679*(1+F679/100),ABS(D679*E679/F679)),"")</f>
        <v/>
      </c>
      <c r="H679" s="42" t="str">
        <f>IFERROR(G679*E661,"")</f>
        <v/>
      </c>
    </row>
    <row r="681" spans="1:11">
      <c r="A681" s="6" t="s">
        <v>86</v>
      </c>
      <c r="B681" s="7" t="str">
        <f>VLOOKUP($A681,Presupuesto!$A:$D,2,FALSE())</f>
        <v>Poda + tala árbol grande H=6-9 m</v>
      </c>
      <c r="C681" s="8" t="str">
        <f>VLOOKUP($A681,Presupuesto!$A:$D,3,FALSE())</f>
        <v>Un</v>
      </c>
      <c r="D681" s="9"/>
      <c r="E681" s="147">
        <f>VLOOKUP($A681,Presupuesto!$A:$D,4,FALSE())</f>
        <v>0</v>
      </c>
      <c r="F681" s="11" t="s">
        <v>2589</v>
      </c>
      <c r="G681" s="12">
        <f>SUM(G683:G699)/2</f>
        <v>541598.15823225002</v>
      </c>
      <c r="H681" s="13">
        <f>ROUND(SUM(H683:H699),0)/2</f>
        <v>0</v>
      </c>
      <c r="I681" s="10">
        <f>VLOOKUP(A681,Presupuesto!$A:$F,6,0)</f>
        <v>0</v>
      </c>
      <c r="J681" s="10">
        <f>+H681-I681</f>
        <v>0</v>
      </c>
      <c r="K681" s="46">
        <f>+H681-G681*E681</f>
        <v>0</v>
      </c>
    </row>
    <row r="682" spans="1:11">
      <c r="A682" s="14"/>
      <c r="B682" s="15" t="s">
        <v>2586</v>
      </c>
      <c r="C682" s="15" t="s">
        <v>5</v>
      </c>
      <c r="D682" s="16" t="s">
        <v>6</v>
      </c>
      <c r="E682" s="17" t="s">
        <v>7</v>
      </c>
      <c r="F682" s="18" t="s">
        <v>3728</v>
      </c>
      <c r="G682" s="19" t="s">
        <v>3729</v>
      </c>
      <c r="H682" s="20" t="s">
        <v>3797</v>
      </c>
    </row>
    <row r="683" spans="1:11">
      <c r="A683" s="21"/>
      <c r="B683" s="22" t="s">
        <v>3730</v>
      </c>
      <c r="C683" s="23"/>
      <c r="D683" s="24"/>
      <c r="E683" s="25"/>
      <c r="F683" s="26"/>
      <c r="G683" s="27">
        <f>SUM(G684:G688)</f>
        <v>0</v>
      </c>
      <c r="H683" s="27">
        <f>IFERROR(G683*E681,"")</f>
        <v>0</v>
      </c>
    </row>
    <row r="684" spans="1:11">
      <c r="A684" s="28"/>
      <c r="B684" s="29"/>
      <c r="C684" s="30" t="str">
        <f>IFERROR(_xlfn.XLOOKUP(B684,Insumo[DESCRIPCION],Insumo[UND],,0),"")</f>
        <v/>
      </c>
      <c r="D684" s="31"/>
      <c r="E684" s="32" t="str">
        <f>IFERROR(_xlfn.XLOOKUP($B684,Insumo[DESCRIPCION],Insumo[VALOR],,0),"")</f>
        <v/>
      </c>
      <c r="F684" s="33"/>
      <c r="G684" s="34" t="str">
        <f>IFERROR(IF(F684&gt;=0,D684*E684*(1+F684/100),ABS(D684*E684/F684)),"")</f>
        <v/>
      </c>
      <c r="H684" s="43" t="str">
        <f>IFERROR(G684*E681,"")</f>
        <v/>
      </c>
    </row>
    <row r="685" spans="1:11">
      <c r="A685" s="28"/>
      <c r="B685" s="29"/>
      <c r="C685" s="30" t="str">
        <f>IFERROR(_xlfn.XLOOKUP(B685,Insumo[DESCRIPCION],Insumo[UND],,0),"")</f>
        <v/>
      </c>
      <c r="D685" s="31"/>
      <c r="E685" s="32" t="str">
        <f>IFERROR(_xlfn.XLOOKUP($B685,Insumo[DESCRIPCION],Insumo[VALOR],,0),"")</f>
        <v/>
      </c>
      <c r="F685" s="33"/>
      <c r="G685" s="34" t="str">
        <f>IFERROR(IF(F685&gt;=0,D685*E685*(1+F685/100),ABS(D685*E685/F685)),"")</f>
        <v/>
      </c>
      <c r="H685" s="43" t="str">
        <f>IFERROR(G685*E681,"")</f>
        <v/>
      </c>
    </row>
    <row r="686" spans="1:11">
      <c r="A686" s="28"/>
      <c r="B686" s="29"/>
      <c r="C686" s="30" t="str">
        <f>IFERROR(_xlfn.XLOOKUP(B686,Insumo[DESCRIPCION],Insumo[UND],,0),"")</f>
        <v/>
      </c>
      <c r="D686" s="31"/>
      <c r="E686" s="32" t="str">
        <f>IFERROR(_xlfn.XLOOKUP($B686,Insumo[DESCRIPCION],Insumo[VALOR],,0),"")</f>
        <v/>
      </c>
      <c r="F686" s="33"/>
      <c r="G686" s="34" t="str">
        <f>IFERROR(IF(F686&gt;=0,D686*E686*(1+F686/100),ABS(D686*E686/F686)),"")</f>
        <v/>
      </c>
      <c r="H686" s="43" t="str">
        <f>IFERROR(G686*E681,"")</f>
        <v/>
      </c>
    </row>
    <row r="687" spans="1:11">
      <c r="A687" s="28"/>
      <c r="B687" s="29"/>
      <c r="C687" s="30" t="str">
        <f>IFERROR(_xlfn.XLOOKUP(B687,Insumo[DESCRIPCION],Insumo[UND],,0),"")</f>
        <v/>
      </c>
      <c r="D687" s="31"/>
      <c r="E687" s="32" t="str">
        <f>IFERROR(_xlfn.XLOOKUP($B687,Insumo[DESCRIPCION],Insumo[VALOR],,0),"")</f>
        <v/>
      </c>
      <c r="F687" s="33"/>
      <c r="G687" s="34" t="str">
        <f>IFERROR(IF(F687&gt;=0,D687*E687*(1+F687/100),ABS(D687*E687/F687)),"")</f>
        <v/>
      </c>
      <c r="H687" s="43" t="str">
        <f>IFERROR(G687*E681,"")</f>
        <v/>
      </c>
    </row>
    <row r="688" spans="1:11">
      <c r="A688" s="28"/>
      <c r="B688" s="29"/>
      <c r="C688" s="30" t="str">
        <f>IFERROR(_xlfn.XLOOKUP(B688,Insumo[DESCRIPCION],Insumo[UND],,0),"")</f>
        <v/>
      </c>
      <c r="D688" s="31"/>
      <c r="E688" s="32" t="str">
        <f>IFERROR(_xlfn.XLOOKUP($B688,Insumo[DESCRIPCION],Insumo[VALOR],,0),"")</f>
        <v/>
      </c>
      <c r="F688" s="33"/>
      <c r="G688" s="34" t="str">
        <f>IFERROR(IF(F688&gt;=0,D688*E688*(1+F688/100),ABS(D688*E688/F688)),"")</f>
        <v/>
      </c>
      <c r="H688" s="43" t="str">
        <f>IFERROR(G688*E681,"")</f>
        <v/>
      </c>
    </row>
    <row r="689" spans="1:11">
      <c r="A689" s="21"/>
      <c r="B689" s="22" t="s">
        <v>3731</v>
      </c>
      <c r="C689" s="23"/>
      <c r="D689" s="24"/>
      <c r="E689" s="25"/>
      <c r="F689" s="26"/>
      <c r="G689" s="27">
        <f>SUM(G690:G692)</f>
        <v>110766.38848725001</v>
      </c>
      <c r="H689" s="44">
        <f>G689*E681</f>
        <v>0</v>
      </c>
    </row>
    <row r="690" spans="1:11">
      <c r="A690" s="28"/>
      <c r="B690" s="29" t="s">
        <v>3634</v>
      </c>
      <c r="C690" s="30" t="str">
        <f>IFERROR(_xlfn.XLOOKUP(B690,Equipo[DESCRIPCION],Equipo[UND],,0),"")</f>
        <v>Día</v>
      </c>
      <c r="D690" s="31">
        <v>1</v>
      </c>
      <c r="E690" s="32">
        <f>IF(C690="%MO",G696,IFERROR(VLOOKUP($B690,Equipo[],3,0),""))</f>
        <v>89224.8</v>
      </c>
      <c r="F690" s="33">
        <v>-1</v>
      </c>
      <c r="G690" s="34">
        <f>IFERROR(IF(F690&gt;=0,D690*E690*(1+F690/100),ABS(D690*E690/F690)),"")</f>
        <v>89224.8</v>
      </c>
      <c r="H690" s="43">
        <f>IFERROR(G690*E681,"")</f>
        <v>0</v>
      </c>
    </row>
    <row r="691" spans="1:11">
      <c r="A691" s="28"/>
      <c r="B691" s="29" t="s">
        <v>3626</v>
      </c>
      <c r="C691" s="30" t="str">
        <f>IFERROR(_xlfn.XLOOKUP(B691,Equipo[DESCRIPCION],Equipo[UND],,0),"")</f>
        <v>%MO</v>
      </c>
      <c r="D691" s="31">
        <v>0.05</v>
      </c>
      <c r="E691" s="32">
        <f>IF(C691="%MO",G696,IFERROR(VLOOKUP($B691,Equipo[],3,0),""))</f>
        <v>430831.76974500006</v>
      </c>
      <c r="F691" s="33"/>
      <c r="G691" s="34">
        <f>IFERROR(IF(F691&gt;=0,D691*E691*(1+F691/100),ABS(D691*E691/F691)),"")</f>
        <v>21541.588487250003</v>
      </c>
      <c r="H691" s="43">
        <f>IFERROR(G691*E681,"")</f>
        <v>0</v>
      </c>
    </row>
    <row r="692" spans="1:11">
      <c r="A692" s="28"/>
      <c r="B692" s="29"/>
      <c r="C692" s="30" t="str">
        <f>IFERROR(_xlfn.XLOOKUP(B692,Equipo[DESCRIPCION],Equipo[UND],,0),"")</f>
        <v/>
      </c>
      <c r="D692" s="31"/>
      <c r="E692" s="32" t="str">
        <f>IF(C692="%MO",G696,IFERROR(VLOOKUP($B692,Equipo[],3,0),""))</f>
        <v/>
      </c>
      <c r="F692" s="33"/>
      <c r="G692" s="34" t="str">
        <f>IFERROR(IF(F692&gt;=0,D692*E692*(1+F692/100),ABS(D692*E692/F692)),"")</f>
        <v/>
      </c>
      <c r="H692" s="43" t="str">
        <f>IFERROR(G692*E681,"")</f>
        <v/>
      </c>
    </row>
    <row r="693" spans="1:11">
      <c r="A693" s="21"/>
      <c r="B693" s="22" t="s">
        <v>2533</v>
      </c>
      <c r="C693" s="23"/>
      <c r="D693" s="24"/>
      <c r="E693" s="25"/>
      <c r="F693" s="26"/>
      <c r="G693" s="27">
        <f>SUM(G694:G695)</f>
        <v>0</v>
      </c>
      <c r="H693" s="44">
        <f>G693*E681</f>
        <v>0</v>
      </c>
    </row>
    <row r="694" spans="1:11">
      <c r="A694" s="28"/>
      <c r="B694" s="29"/>
      <c r="C694" s="30" t="str">
        <f>IFERROR(_xlfn.XLOOKUP(B694,Transporte[DESCRIPCION],Transporte[UND],,0),"")</f>
        <v/>
      </c>
      <c r="D694" s="31"/>
      <c r="E694" s="32" t="str">
        <f>IFERROR(_xlfn.XLOOKUP($B694,Transporte[DESCRIPCION],Transporte[VALOR],,0),"")</f>
        <v/>
      </c>
      <c r="F694" s="33"/>
      <c r="G694" s="34" t="str">
        <f>IFERROR(IF(F694&gt;=0,D694*E694*(1+F694/100),ABS(D694*E694/F694)),"")</f>
        <v/>
      </c>
      <c r="H694" s="43" t="str">
        <f>IFERROR(G694*E681,"")</f>
        <v/>
      </c>
    </row>
    <row r="695" spans="1:11">
      <c r="A695" s="28"/>
      <c r="B695" s="29"/>
      <c r="C695" s="30" t="str">
        <f>IFERROR(_xlfn.XLOOKUP(B695,Transporte[DESCRIPCION],Transporte[UND],,0),"")</f>
        <v/>
      </c>
      <c r="D695" s="31"/>
      <c r="E695" s="32" t="str">
        <f>IFERROR(_xlfn.XLOOKUP($B695,Transporte[DESCRIPCION],Transporte[VALOR],,0),"")</f>
        <v/>
      </c>
      <c r="F695" s="33"/>
      <c r="G695" s="34" t="str">
        <f>IFERROR(IF(F695&gt;=0,D695*E695*(1+F695/100),ABS(D695*E695/F695)),"")</f>
        <v/>
      </c>
      <c r="H695" s="43" t="str">
        <f>IFERROR(G695*E681,"")</f>
        <v/>
      </c>
    </row>
    <row r="696" spans="1:11">
      <c r="A696" s="21"/>
      <c r="B696" s="22" t="s">
        <v>3732</v>
      </c>
      <c r="C696" s="23"/>
      <c r="D696" s="24"/>
      <c r="E696" s="25"/>
      <c r="F696" s="26"/>
      <c r="G696" s="27">
        <f>SUM(G697:G699)</f>
        <v>430831.76974500006</v>
      </c>
      <c r="H696" s="44">
        <f>G696*E681</f>
        <v>0</v>
      </c>
    </row>
    <row r="697" spans="1:11">
      <c r="A697" s="28"/>
      <c r="B697" s="29" t="s">
        <v>3711</v>
      </c>
      <c r="C697" s="30" t="str">
        <f>IFERROR(_xlfn.XLOOKUP(B697,MObra[DESCRIPCION],MObra[UN],,0),"")</f>
        <v>día</v>
      </c>
      <c r="D697" s="31">
        <v>1</v>
      </c>
      <c r="E697" s="32">
        <f>IFERROR(_xlfn.XLOOKUP($B697,MObra[DESCRIPCION],MObra[VALOR UNIT],,0),"")</f>
        <v>430831.76974500006</v>
      </c>
      <c r="F697" s="33">
        <v>-1</v>
      </c>
      <c r="G697" s="34">
        <f>IFERROR(IF(F697&gt;=0,D697*E697*(1+F697/100),ABS(D697*E697/F697)),"")</f>
        <v>430831.76974500006</v>
      </c>
      <c r="H697" s="43">
        <f>IFERROR(G697*E681,"")</f>
        <v>0</v>
      </c>
    </row>
    <row r="698" spans="1:11">
      <c r="A698" s="28"/>
      <c r="B698" s="29"/>
      <c r="C698" s="30" t="str">
        <f t="array" ref="C698">IFERROR(_xlfn.XLOOKUP(B698,MObra[[#All],[DESCRIPCION]],MObra[[#All],[UN]],,0),"")</f>
        <v/>
      </c>
      <c r="D698" s="31"/>
      <c r="E698" s="32" t="str">
        <f>IFERROR(_xlfn.XLOOKUP($B698,MObra[DESCRIPCION],MObra[VALOR UNIT],,0),"")</f>
        <v/>
      </c>
      <c r="F698" s="33"/>
      <c r="G698" s="34" t="str">
        <f>IFERROR(IF(F698&gt;=0,D698*E698*(1+F698/100),ABS(D698*E698/F698)),"")</f>
        <v/>
      </c>
      <c r="H698" s="43" t="str">
        <f>IFERROR(G698*E681,"")</f>
        <v/>
      </c>
    </row>
    <row r="699" spans="1:11">
      <c r="A699" s="35"/>
      <c r="B699" s="36"/>
      <c r="C699" s="37" t="str">
        <f t="array" ref="C699">IFERROR(_xlfn.XLOOKUP(B699,MObra[[#All],[DESCRIPCION]],MObra[[#All],[UN]],,0),"")</f>
        <v/>
      </c>
      <c r="D699" s="38"/>
      <c r="E699" s="39" t="str">
        <f>IFERROR(_xlfn.XLOOKUP($B699,MObra[DESCRIPCION],MObra[VALOR UNIT],,0),"")</f>
        <v/>
      </c>
      <c r="F699" s="40"/>
      <c r="G699" s="41" t="str">
        <f>IFERROR(IF(F699&gt;=0,D699*E699*(1+F699/100),ABS(D699*E699/F699)),"")</f>
        <v/>
      </c>
      <c r="H699" s="42" t="str">
        <f>IFERROR(G699*E681,"")</f>
        <v/>
      </c>
    </row>
    <row r="701" spans="1:11">
      <c r="A701" s="6" t="s">
        <v>88</v>
      </c>
      <c r="B701" s="7" t="str">
        <f>VLOOKUP($A701,Presupuesto!$A:$D,2,FALSE())</f>
        <v>Puente provisional en madera L=4 m</v>
      </c>
      <c r="C701" s="8" t="str">
        <f>VLOOKUP($A701,Presupuesto!$A:$D,3,FALSE())</f>
        <v>Un</v>
      </c>
      <c r="D701" s="9"/>
      <c r="E701" s="147">
        <f>VLOOKUP($A701,Presupuesto!$A:$D,4,FALSE())</f>
        <v>0</v>
      </c>
      <c r="F701" s="11" t="s">
        <v>2589</v>
      </c>
      <c r="G701" s="12">
        <f>SUM(G703:G719)/2</f>
        <v>134751.57789837001</v>
      </c>
      <c r="H701" s="13">
        <f>ROUND(SUM(H703:H719),0)/2</f>
        <v>0</v>
      </c>
      <c r="I701" s="10">
        <f>VLOOKUP(A701,Presupuesto!$A:$F,6,0)</f>
        <v>0</v>
      </c>
      <c r="J701" s="10">
        <f>+H701-I701</f>
        <v>0</v>
      </c>
      <c r="K701" s="46">
        <f>+H701-G701*E701</f>
        <v>0</v>
      </c>
    </row>
    <row r="702" spans="1:11">
      <c r="A702" s="14"/>
      <c r="B702" s="15" t="s">
        <v>2586</v>
      </c>
      <c r="C702" s="15" t="s">
        <v>5</v>
      </c>
      <c r="D702" s="16" t="s">
        <v>6</v>
      </c>
      <c r="E702" s="17" t="s">
        <v>7</v>
      </c>
      <c r="F702" s="18" t="s">
        <v>3728</v>
      </c>
      <c r="G702" s="19" t="s">
        <v>3729</v>
      </c>
      <c r="H702" s="20" t="s">
        <v>3797</v>
      </c>
    </row>
    <row r="703" spans="1:11">
      <c r="A703" s="21"/>
      <c r="B703" s="22" t="s">
        <v>3730</v>
      </c>
      <c r="C703" s="23"/>
      <c r="D703" s="24"/>
      <c r="E703" s="25"/>
      <c r="F703" s="26"/>
      <c r="G703" s="27">
        <f>SUM(G704:G708)</f>
        <v>111905.85</v>
      </c>
      <c r="H703" s="27">
        <f>IFERROR(G703*E701,"")</f>
        <v>0</v>
      </c>
    </row>
    <row r="704" spans="1:11">
      <c r="A704" s="28"/>
      <c r="B704" s="29" t="s">
        <v>3338</v>
      </c>
      <c r="C704" s="30" t="str">
        <f>IFERROR(_xlfn.XLOOKUP(B704,Insumo[DESCRIPCION],Insumo[UND],,0),"")</f>
        <v>M</v>
      </c>
      <c r="D704" s="31">
        <v>5</v>
      </c>
      <c r="E704" s="32">
        <f>IFERROR(_xlfn.XLOOKUP($B704,Insumo[DESCRIPCION],Insumo[VALOR],,0),"")</f>
        <v>8047.2000000000007</v>
      </c>
      <c r="F704" s="33"/>
      <c r="G704" s="34">
        <f>IFERROR(IF(F704&gt;=0,D704*E704*(1+F704/100),ABS(D704*E704/F704)),"")</f>
        <v>40236</v>
      </c>
      <c r="H704" s="43">
        <f>IFERROR(G704*E701,"")</f>
        <v>0</v>
      </c>
    </row>
    <row r="705" spans="1:8">
      <c r="A705" s="28"/>
      <c r="B705" s="29" t="s">
        <v>2901</v>
      </c>
      <c r="C705" s="30" t="str">
        <f>IFERROR(_xlfn.XLOOKUP(B705,Insumo[DESCRIPCION],Insumo[UND],,0),"")</f>
        <v>M</v>
      </c>
      <c r="D705" s="31">
        <v>7</v>
      </c>
      <c r="E705" s="32">
        <f>IFERROR(_xlfn.XLOOKUP($B705,Insumo[DESCRIPCION],Insumo[VALOR],,0),"")</f>
        <v>5683.6500000000005</v>
      </c>
      <c r="F705" s="33"/>
      <c r="G705" s="34">
        <f>IFERROR(IF(F705&gt;=0,D705*E705*(1+F705/100),ABS(D705*E705/F705)),"")</f>
        <v>39785.550000000003</v>
      </c>
      <c r="H705" s="43">
        <f>IFERROR(G705*E701,"")</f>
        <v>0</v>
      </c>
    </row>
    <row r="706" spans="1:8">
      <c r="A706" s="28"/>
      <c r="B706" s="29" t="s">
        <v>3048</v>
      </c>
      <c r="C706" s="30" t="str">
        <f>IFERROR(_xlfn.XLOOKUP(B706,Insumo[DESCRIPCION],Insumo[UND],,0),"")</f>
        <v>M</v>
      </c>
      <c r="D706" s="31">
        <v>7</v>
      </c>
      <c r="E706" s="32">
        <f>IFERROR(_xlfn.XLOOKUP($B706,Insumo[DESCRIPCION],Insumo[VALOR],,0),"")</f>
        <v>4091.8500000000004</v>
      </c>
      <c r="F706" s="33"/>
      <c r="G706" s="34">
        <f>IFERROR(IF(F706&gt;=0,D706*E706*(1+F706/100),ABS(D706*E706/F706)),"")</f>
        <v>28642.950000000004</v>
      </c>
      <c r="H706" s="43">
        <f>IFERROR(G706*E701,"")</f>
        <v>0</v>
      </c>
    </row>
    <row r="707" spans="1:8">
      <c r="A707" s="28"/>
      <c r="B707" s="29" t="s">
        <v>3253</v>
      </c>
      <c r="C707" s="30" t="str">
        <f>IFERROR(_xlfn.XLOOKUP(B707,Insumo[DESCRIPCION],Insumo[UND],,0),"")</f>
        <v>Lb</v>
      </c>
      <c r="D707" s="31">
        <v>0.5</v>
      </c>
      <c r="E707" s="32">
        <f>IFERROR(_xlfn.XLOOKUP($B707,Insumo[DESCRIPCION],Insumo[VALOR],,0),"")</f>
        <v>6482.7000000000007</v>
      </c>
      <c r="F707" s="33"/>
      <c r="G707" s="34">
        <f>IFERROR(IF(F707&gt;=0,D707*E707*(1+F707/100),ABS(D707*E707/F707)),"")</f>
        <v>3241.3500000000004</v>
      </c>
      <c r="H707" s="43">
        <f>IFERROR(G707*E701,"")</f>
        <v>0</v>
      </c>
    </row>
    <row r="708" spans="1:8">
      <c r="A708" s="28"/>
      <c r="B708" s="29"/>
      <c r="C708" s="30" t="str">
        <f>IFERROR(_xlfn.XLOOKUP(B708,Insumo[DESCRIPCION],Insumo[UND],,0),"")</f>
        <v/>
      </c>
      <c r="D708" s="31"/>
      <c r="E708" s="32" t="str">
        <f>IFERROR(_xlfn.XLOOKUP($B708,Insumo[DESCRIPCION],Insumo[VALOR],,0),"")</f>
        <v/>
      </c>
      <c r="F708" s="33"/>
      <c r="G708" s="34" t="str">
        <f>IFERROR(IF(F708&gt;=0,D708*E708*(1+F708/100),ABS(D708*E708/F708)),"")</f>
        <v/>
      </c>
      <c r="H708" s="43" t="str">
        <f>IFERROR(G708*E701,"")</f>
        <v/>
      </c>
    </row>
    <row r="709" spans="1:8">
      <c r="A709" s="21"/>
      <c r="B709" s="22" t="s">
        <v>3731</v>
      </c>
      <c r="C709" s="23"/>
      <c r="D709" s="24"/>
      <c r="E709" s="25"/>
      <c r="F709" s="26"/>
      <c r="G709" s="27">
        <f>SUM(G710:G712)</f>
        <v>1886.3445053700002</v>
      </c>
      <c r="H709" s="44">
        <f>G709*E701</f>
        <v>0</v>
      </c>
    </row>
    <row r="710" spans="1:8">
      <c r="A710" s="28"/>
      <c r="B710" s="29" t="s">
        <v>3570</v>
      </c>
      <c r="C710" s="30" t="str">
        <f>IFERROR(_xlfn.XLOOKUP(B710,Equipo[DESCRIPCION],Equipo[UND],,0),"")</f>
        <v>%MO</v>
      </c>
      <c r="D710" s="31">
        <v>0.04</v>
      </c>
      <c r="E710" s="32">
        <f>IF(C710="%MO",G716,IFERROR(VLOOKUP($B710,Equipo[],3,0),""))</f>
        <v>20959.383393000004</v>
      </c>
      <c r="F710" s="33"/>
      <c r="G710" s="34">
        <f>IFERROR(IF(F710&gt;=0,D710*E710*(1+F710/100),ABS(D710*E710/F710)),"")</f>
        <v>838.37533572000018</v>
      </c>
      <c r="H710" s="43">
        <f>IFERROR(G710*E701,"")</f>
        <v>0</v>
      </c>
    </row>
    <row r="711" spans="1:8">
      <c r="A711" s="28"/>
      <c r="B711" s="29" t="s">
        <v>3626</v>
      </c>
      <c r="C711" s="30" t="str">
        <f>IFERROR(_xlfn.XLOOKUP(B711,Equipo[DESCRIPCION],Equipo[UND],,0),"")</f>
        <v>%MO</v>
      </c>
      <c r="D711" s="31">
        <v>0.05</v>
      </c>
      <c r="E711" s="32">
        <f>IF(C711="%MO",G716,IFERROR(VLOOKUP($B711,Equipo[],3,0),""))</f>
        <v>20959.383393000004</v>
      </c>
      <c r="F711" s="33"/>
      <c r="G711" s="34">
        <f>IFERROR(IF(F711&gt;=0,D711*E711*(1+F711/100),ABS(D711*E711/F711)),"")</f>
        <v>1047.9691696500001</v>
      </c>
      <c r="H711" s="43">
        <f>IFERROR(G711*E701,"")</f>
        <v>0</v>
      </c>
    </row>
    <row r="712" spans="1:8">
      <c r="A712" s="28"/>
      <c r="B712" s="29"/>
      <c r="C712" s="30" t="str">
        <f>IFERROR(_xlfn.XLOOKUP(B712,Equipo[DESCRIPCION],Equipo[UND],,0),"")</f>
        <v/>
      </c>
      <c r="D712" s="31"/>
      <c r="E712" s="32" t="str">
        <f>IF(C712="%MO",G716,IFERROR(VLOOKUP($B712,Equipo[],3,0),""))</f>
        <v/>
      </c>
      <c r="F712" s="33"/>
      <c r="G712" s="34" t="str">
        <f>IFERROR(IF(F712&gt;=0,D712*E712*(1+F712/100),ABS(D712*E712/F712)),"")</f>
        <v/>
      </c>
      <c r="H712" s="43" t="str">
        <f>IFERROR(G712*E701,"")</f>
        <v/>
      </c>
    </row>
    <row r="713" spans="1:8">
      <c r="A713" s="21"/>
      <c r="B713" s="22" t="s">
        <v>2533</v>
      </c>
      <c r="C713" s="23"/>
      <c r="D713" s="24"/>
      <c r="E713" s="25"/>
      <c r="F713" s="26"/>
      <c r="G713" s="27">
        <f>SUM(G714:G715)</f>
        <v>0</v>
      </c>
      <c r="H713" s="44">
        <f>G713*E701</f>
        <v>0</v>
      </c>
    </row>
    <row r="714" spans="1:8">
      <c r="A714" s="28"/>
      <c r="B714" s="29"/>
      <c r="C714" s="30" t="str">
        <f>IFERROR(_xlfn.XLOOKUP(B714,Transporte[DESCRIPCION],Transporte[UND],,0),"")</f>
        <v/>
      </c>
      <c r="D714" s="31"/>
      <c r="E714" s="32" t="str">
        <f>IFERROR(_xlfn.XLOOKUP($B714,Transporte[DESCRIPCION],Transporte[VALOR],,0),"")</f>
        <v/>
      </c>
      <c r="F714" s="33"/>
      <c r="G714" s="34" t="str">
        <f>IFERROR(IF(F714&gt;=0,D714*E714*(1+F714/100),ABS(D714*E714/F714)),"")</f>
        <v/>
      </c>
      <c r="H714" s="43" t="str">
        <f>IFERROR(G714*E701,"")</f>
        <v/>
      </c>
    </row>
    <row r="715" spans="1:8">
      <c r="A715" s="28"/>
      <c r="B715" s="29"/>
      <c r="C715" s="30" t="str">
        <f>IFERROR(_xlfn.XLOOKUP(B715,Transporte[DESCRIPCION],Transporte[UND],,0),"")</f>
        <v/>
      </c>
      <c r="D715" s="31"/>
      <c r="E715" s="32" t="str">
        <f>IFERROR(_xlfn.XLOOKUP($B715,Transporte[DESCRIPCION],Transporte[VALOR],,0),"")</f>
        <v/>
      </c>
      <c r="F715" s="33"/>
      <c r="G715" s="34" t="str">
        <f>IFERROR(IF(F715&gt;=0,D715*E715*(1+F715/100),ABS(D715*E715/F715)),"")</f>
        <v/>
      </c>
      <c r="H715" s="43" t="str">
        <f>IFERROR(G715*E701,"")</f>
        <v/>
      </c>
    </row>
    <row r="716" spans="1:8">
      <c r="A716" s="21"/>
      <c r="B716" s="22" t="s">
        <v>3732</v>
      </c>
      <c r="C716" s="23"/>
      <c r="D716" s="24"/>
      <c r="E716" s="25"/>
      <c r="F716" s="26"/>
      <c r="G716" s="27">
        <f>SUM(G717:G719)</f>
        <v>20959.383393000004</v>
      </c>
      <c r="H716" s="44">
        <f>G716*E701</f>
        <v>0</v>
      </c>
    </row>
    <row r="717" spans="1:8">
      <c r="A717" s="28"/>
      <c r="B717" s="29" t="s">
        <v>3710</v>
      </c>
      <c r="C717" s="30" t="str">
        <f>IFERROR(_xlfn.XLOOKUP(B717,MObra[DESCRIPCION],MObra[UN],,0),"")</f>
        <v>día</v>
      </c>
      <c r="D717" s="31">
        <v>1</v>
      </c>
      <c r="E717" s="32">
        <f>IFERROR(_xlfn.XLOOKUP($B717,MObra[DESCRIPCION],MObra[VALOR UNIT],,0),"")</f>
        <v>314390.75089500006</v>
      </c>
      <c r="F717" s="33">
        <v>-15</v>
      </c>
      <c r="G717" s="34">
        <f>IFERROR(IF(F717&gt;=0,D717*E717*(1+F717/100),ABS(D717*E717/F717)),"")</f>
        <v>20959.383393000004</v>
      </c>
      <c r="H717" s="43">
        <f>IFERROR(G717*E701,"")</f>
        <v>0</v>
      </c>
    </row>
    <row r="718" spans="1:8">
      <c r="A718" s="28"/>
      <c r="B718" s="29"/>
      <c r="C718" s="30" t="str">
        <f t="array" ref="C718">IFERROR(_xlfn.XLOOKUP(B718,MObra[[#All],[DESCRIPCION]],MObra[[#All],[UN]],,0),"")</f>
        <v/>
      </c>
      <c r="D718" s="31"/>
      <c r="E718" s="32" t="str">
        <f>IFERROR(_xlfn.XLOOKUP($B718,MObra[DESCRIPCION],MObra[VALOR UNIT],,0),"")</f>
        <v/>
      </c>
      <c r="F718" s="33"/>
      <c r="G718" s="34" t="str">
        <f>IFERROR(IF(F718&gt;=0,D718*E718*(1+F718/100),ABS(D718*E718/F718)),"")</f>
        <v/>
      </c>
      <c r="H718" s="43" t="str">
        <f>IFERROR(G718*E701,"")</f>
        <v/>
      </c>
    </row>
    <row r="719" spans="1:8">
      <c r="A719" s="35"/>
      <c r="B719" s="36"/>
      <c r="C719" s="37" t="str">
        <f t="array" ref="C719">IFERROR(_xlfn.XLOOKUP(B719,MObra[[#All],[DESCRIPCION]],MObra[[#All],[UN]],,0),"")</f>
        <v/>
      </c>
      <c r="D719" s="38"/>
      <c r="E719" s="39" t="str">
        <f>IFERROR(_xlfn.XLOOKUP($B719,MObra[DESCRIPCION],MObra[VALOR UNIT],,0),"")</f>
        <v/>
      </c>
      <c r="F719" s="40"/>
      <c r="G719" s="41" t="str">
        <f>IFERROR(IF(F719&gt;=0,D719*E719*(1+F719/100),ABS(D719*E719/F719)),"")</f>
        <v/>
      </c>
      <c r="H719" s="42" t="str">
        <f>IFERROR(G719*E701,"")</f>
        <v/>
      </c>
    </row>
    <row r="721" spans="1:11">
      <c r="A721" s="6" t="s">
        <v>90</v>
      </c>
      <c r="B721" s="7" t="str">
        <f>VLOOKUP($A721,Presupuesto!$A:$D,2,FALSE())</f>
        <v>Red provisional agua</v>
      </c>
      <c r="C721" s="8" t="str">
        <f>VLOOKUP($A721,Presupuesto!$A:$D,3,FALSE())</f>
        <v>M</v>
      </c>
      <c r="D721" s="9"/>
      <c r="E721" s="147">
        <f>VLOOKUP($A721,Presupuesto!$A:$D,4,FALSE())</f>
        <v>0</v>
      </c>
      <c r="F721" s="11" t="s">
        <v>2589</v>
      </c>
      <c r="G721" s="12">
        <f>SUM(G723:G741)/2</f>
        <v>22995.144775391254</v>
      </c>
      <c r="H721" s="13">
        <f>ROUND(SUM(H723:H741),0)/2</f>
        <v>0</v>
      </c>
      <c r="I721" s="10">
        <f>VLOOKUP(A721,Presupuesto!$A:$F,6,0)</f>
        <v>0</v>
      </c>
      <c r="J721" s="10">
        <f>+H721-I721</f>
        <v>0</v>
      </c>
      <c r="K721" s="46">
        <f>+H721-G721*E721</f>
        <v>0</v>
      </c>
    </row>
    <row r="722" spans="1:11">
      <c r="A722" s="14"/>
      <c r="B722" s="15" t="s">
        <v>2586</v>
      </c>
      <c r="C722" s="15" t="s">
        <v>5</v>
      </c>
      <c r="D722" s="16" t="s">
        <v>6</v>
      </c>
      <c r="E722" s="17" t="s">
        <v>7</v>
      </c>
      <c r="F722" s="18" t="s">
        <v>3728</v>
      </c>
      <c r="G722" s="19" t="s">
        <v>3729</v>
      </c>
      <c r="H722" s="20" t="s">
        <v>3797</v>
      </c>
    </row>
    <row r="723" spans="1:11">
      <c r="A723" s="21"/>
      <c r="B723" s="22" t="s">
        <v>3730</v>
      </c>
      <c r="C723" s="23"/>
      <c r="D723" s="24"/>
      <c r="E723" s="25"/>
      <c r="F723" s="26"/>
      <c r="G723" s="27">
        <f>SUM(G724:G730)</f>
        <v>11441.284679999999</v>
      </c>
      <c r="H723" s="27">
        <f>IFERROR(G723*E721,"")</f>
        <v>0</v>
      </c>
    </row>
    <row r="724" spans="1:11">
      <c r="A724" s="28"/>
      <c r="B724" s="29" t="s">
        <v>3052</v>
      </c>
      <c r="C724" s="30" t="str">
        <f>IFERROR(_xlfn.XLOOKUP(B724,Insumo[DESCRIPCION],Insumo[UND],,0),"")</f>
        <v>Un</v>
      </c>
      <c r="D724" s="31">
        <v>0.03</v>
      </c>
      <c r="E724" s="32">
        <f>IFERROR(_xlfn.XLOOKUP($B724,Insumo[DESCRIPCION],Insumo[VALOR],,0),"")</f>
        <v>118834.8</v>
      </c>
      <c r="F724" s="33"/>
      <c r="G724" s="34">
        <f t="shared" ref="G724:G730" si="2">IFERROR(IF(F724&gt;=0,D724*E724*(1+F724/100),ABS(D724*E724/F724)),"")</f>
        <v>3565.0439999999999</v>
      </c>
      <c r="H724" s="43">
        <f>IFERROR(G724*E721,"")</f>
        <v>0</v>
      </c>
    </row>
    <row r="725" spans="1:11">
      <c r="A725" s="28"/>
      <c r="B725" s="29" t="s">
        <v>3495</v>
      </c>
      <c r="C725" s="30" t="str">
        <f>IFERROR(_xlfn.XLOOKUP(B725,Insumo[DESCRIPCION],Insumo[UND],,0),"")</f>
        <v>M</v>
      </c>
      <c r="D725" s="31">
        <v>1.03</v>
      </c>
      <c r="E725" s="32">
        <f>IFERROR(_xlfn.XLOOKUP($B725,Insumo[DESCRIPCION],Insumo[VALOR],,0),"")</f>
        <v>4645.2</v>
      </c>
      <c r="F725" s="33">
        <v>3</v>
      </c>
      <c r="G725" s="34">
        <f t="shared" si="2"/>
        <v>4928.0926799999997</v>
      </c>
      <c r="H725" s="43">
        <f>IFERROR(G725*E721,"")</f>
        <v>0</v>
      </c>
    </row>
    <row r="726" spans="1:11">
      <c r="A726" s="28"/>
      <c r="B726" s="29" t="s">
        <v>3257</v>
      </c>
      <c r="C726" s="30" t="str">
        <f>IFERROR(_xlfn.XLOOKUP(B726,Insumo[DESCRIPCION],Insumo[UND],,0),"")</f>
        <v>Un</v>
      </c>
      <c r="D726" s="31">
        <v>0.05</v>
      </c>
      <c r="E726" s="32">
        <f>IFERROR(_xlfn.XLOOKUP($B726,Insumo[DESCRIPCION],Insumo[VALOR],,0),"")</f>
        <v>28699.65</v>
      </c>
      <c r="F726" s="33"/>
      <c r="G726" s="34">
        <f t="shared" si="2"/>
        <v>1434.9825000000001</v>
      </c>
      <c r="H726" s="43">
        <f>IFERROR(G726*E721,"")</f>
        <v>0</v>
      </c>
    </row>
    <row r="727" spans="1:11">
      <c r="A727" s="28"/>
      <c r="B727" s="29" t="s">
        <v>3046</v>
      </c>
      <c r="C727" s="30" t="str">
        <f>IFERROR(_xlfn.XLOOKUP(B727,Insumo[DESCRIPCION],Insumo[UND],,0),"")</f>
        <v>Un</v>
      </c>
      <c r="D727" s="31">
        <v>0.01</v>
      </c>
      <c r="E727" s="32">
        <f>IFERROR(_xlfn.XLOOKUP($B727,Insumo[DESCRIPCION],Insumo[VALOR],,0),"")</f>
        <v>62413.05</v>
      </c>
      <c r="F727" s="33"/>
      <c r="G727" s="34">
        <f t="shared" si="2"/>
        <v>624.1305000000001</v>
      </c>
      <c r="H727" s="43">
        <f>IFERROR(G727*E721,"")</f>
        <v>0</v>
      </c>
    </row>
    <row r="728" spans="1:11">
      <c r="A728" s="28"/>
      <c r="B728" s="29" t="s">
        <v>3329</v>
      </c>
      <c r="C728" s="30" t="str">
        <f>IFERROR(_xlfn.XLOOKUP(B728,Insumo[DESCRIPCION],Insumo[UND],,0),"")</f>
        <v>Un</v>
      </c>
      <c r="D728" s="31">
        <v>0.01</v>
      </c>
      <c r="E728" s="32">
        <f>IFERROR(_xlfn.XLOOKUP($B728,Insumo[DESCRIPCION],Insumo[VALOR],,0),"")</f>
        <v>42424.200000000004</v>
      </c>
      <c r="F728" s="33"/>
      <c r="G728" s="34">
        <f t="shared" si="2"/>
        <v>424.24200000000008</v>
      </c>
      <c r="H728" s="43">
        <f>IFERROR(G728*E721,"")</f>
        <v>0</v>
      </c>
    </row>
    <row r="729" spans="1:11">
      <c r="A729" s="28"/>
      <c r="B729" s="29" t="s">
        <v>2847</v>
      </c>
      <c r="C729" s="30" t="str">
        <f>IFERROR(_xlfn.XLOOKUP(B729,Insumo[DESCRIPCION],Insumo[UND],,0),"")</f>
        <v>Un</v>
      </c>
      <c r="D729" s="31">
        <v>0.2</v>
      </c>
      <c r="E729" s="32">
        <f>IFERROR(_xlfn.XLOOKUP($B729,Insumo[DESCRIPCION],Insumo[VALOR],,0),"")</f>
        <v>1362.9</v>
      </c>
      <c r="F729" s="33"/>
      <c r="G729" s="34">
        <f t="shared" si="2"/>
        <v>272.58000000000004</v>
      </c>
      <c r="H729" s="43">
        <f>IFERROR(G729*E721,"")</f>
        <v>0</v>
      </c>
    </row>
    <row r="730" spans="1:11">
      <c r="A730" s="28"/>
      <c r="B730" s="29" t="s">
        <v>2640</v>
      </c>
      <c r="C730" s="30" t="str">
        <f>IFERROR(_xlfn.XLOOKUP(B730,Insumo[DESCRIPCION],Insumo[UND],,0),"")</f>
        <v>Un</v>
      </c>
      <c r="D730" s="31">
        <v>0.13500000000000001</v>
      </c>
      <c r="E730" s="32">
        <f>IFERROR(_xlfn.XLOOKUP($B730,Insumo[DESCRIPCION],Insumo[VALOR],,0),"")</f>
        <v>1423.8</v>
      </c>
      <c r="F730" s="33"/>
      <c r="G730" s="34">
        <f t="shared" si="2"/>
        <v>192.21299999999999</v>
      </c>
      <c r="H730" s="43">
        <f>IFERROR(G730*E721,"")</f>
        <v>0</v>
      </c>
    </row>
    <row r="731" spans="1:11">
      <c r="A731" s="21"/>
      <c r="B731" s="22" t="s">
        <v>3731</v>
      </c>
      <c r="C731" s="23"/>
      <c r="D731" s="24"/>
      <c r="E731" s="25"/>
      <c r="F731" s="26"/>
      <c r="G731" s="27">
        <f>SUM(G732:G734)</f>
        <v>550.18381406625019</v>
      </c>
      <c r="H731" s="44">
        <f>G731*E721</f>
        <v>0</v>
      </c>
    </row>
    <row r="732" spans="1:11">
      <c r="A732" s="28"/>
      <c r="B732" s="29" t="s">
        <v>3626</v>
      </c>
      <c r="C732" s="30" t="str">
        <f>IFERROR(_xlfn.XLOOKUP(B732,Equipo[DESCRIPCION],Equipo[UND],,0),"")</f>
        <v>%MO</v>
      </c>
      <c r="D732" s="31">
        <v>0.05</v>
      </c>
      <c r="E732" s="32">
        <f>IF(C732="%MO",G738,IFERROR(VLOOKUP($B732,Equipo[],3,0),""))</f>
        <v>11003.676281325002</v>
      </c>
      <c r="F732" s="33"/>
      <c r="G732" s="34">
        <f>IFERROR(IF(F732&gt;=0,D732*E732*(1+F732/100),ABS(D732*E732/F732)),"")</f>
        <v>550.18381406625019</v>
      </c>
      <c r="H732" s="43">
        <f>IFERROR(G732*E721,"")</f>
        <v>0</v>
      </c>
    </row>
    <row r="733" spans="1:11">
      <c r="A733" s="28"/>
      <c r="B733" s="29"/>
      <c r="C733" s="30" t="str">
        <f>IFERROR(_xlfn.XLOOKUP(B733,Equipo[DESCRIPCION],Equipo[UND],,0),"")</f>
        <v/>
      </c>
      <c r="D733" s="31"/>
      <c r="E733" s="32" t="str">
        <f>IF(C733="%MO",G738,IFERROR(VLOOKUP($B733,Equipo[],3,0),""))</f>
        <v/>
      </c>
      <c r="F733" s="33"/>
      <c r="G733" s="34" t="str">
        <f>IFERROR(IF(F733&gt;=0,D733*E733*(1+F733/100),ABS(D733*E733/F733)),"")</f>
        <v/>
      </c>
      <c r="H733" s="43" t="str">
        <f>IFERROR(G733*E721,"")</f>
        <v/>
      </c>
    </row>
    <row r="734" spans="1:11">
      <c r="A734" s="28"/>
      <c r="B734" s="29"/>
      <c r="C734" s="30" t="str">
        <f>IFERROR(_xlfn.XLOOKUP(B734,Equipo[DESCRIPCION],Equipo[UND],,0),"")</f>
        <v/>
      </c>
      <c r="D734" s="31"/>
      <c r="E734" s="32" t="str">
        <f>IF(C734="%MO",G738,IFERROR(VLOOKUP($B734,Equipo[],3,0),""))</f>
        <v/>
      </c>
      <c r="F734" s="33"/>
      <c r="G734" s="34" t="str">
        <f>IFERROR(IF(F734&gt;=0,D734*E734*(1+F734/100),ABS(D734*E734/F734)),"")</f>
        <v/>
      </c>
      <c r="H734" s="43" t="str">
        <f>IFERROR(G734*E721,"")</f>
        <v/>
      </c>
    </row>
    <row r="735" spans="1:11">
      <c r="A735" s="21"/>
      <c r="B735" s="22" t="s">
        <v>2533</v>
      </c>
      <c r="C735" s="23"/>
      <c r="D735" s="24"/>
      <c r="E735" s="25"/>
      <c r="F735" s="26"/>
      <c r="G735" s="27">
        <f>SUM(G736:G737)</f>
        <v>0</v>
      </c>
      <c r="H735" s="44">
        <f>G735*E721</f>
        <v>0</v>
      </c>
    </row>
    <row r="736" spans="1:11">
      <c r="A736" s="28"/>
      <c r="B736" s="29"/>
      <c r="C736" s="30" t="str">
        <f>IFERROR(_xlfn.XLOOKUP(B736,Transporte[DESCRIPCION],Transporte[UND],,0),"")</f>
        <v/>
      </c>
      <c r="D736" s="31"/>
      <c r="E736" s="32" t="str">
        <f>IFERROR(_xlfn.XLOOKUP($B736,Transporte[DESCRIPCION],Transporte[VALOR],,0),"")</f>
        <v/>
      </c>
      <c r="F736" s="33"/>
      <c r="G736" s="34" t="str">
        <f>IFERROR(IF(F736&gt;=0,D736*E736*(1+F736/100),ABS(D736*E736/F736)),"")</f>
        <v/>
      </c>
      <c r="H736" s="43" t="str">
        <f>IFERROR(G736*E721,"")</f>
        <v/>
      </c>
    </row>
    <row r="737" spans="1:11">
      <c r="A737" s="28"/>
      <c r="B737" s="29"/>
      <c r="C737" s="30" t="str">
        <f>IFERROR(_xlfn.XLOOKUP(B737,Transporte[DESCRIPCION],Transporte[UND],,0),"")</f>
        <v/>
      </c>
      <c r="D737" s="31"/>
      <c r="E737" s="32" t="str">
        <f>IFERROR(_xlfn.XLOOKUP($B737,Transporte[DESCRIPCION],Transporte[VALOR],,0),"")</f>
        <v/>
      </c>
      <c r="F737" s="33"/>
      <c r="G737" s="34" t="str">
        <f>IFERROR(IF(F737&gt;=0,D737*E737*(1+F737/100),ABS(D737*E737/F737)),"")</f>
        <v/>
      </c>
      <c r="H737" s="43" t="str">
        <f>IFERROR(G737*E721,"")</f>
        <v/>
      </c>
    </row>
    <row r="738" spans="1:11">
      <c r="A738" s="21"/>
      <c r="B738" s="22" t="s">
        <v>3732</v>
      </c>
      <c r="C738" s="23"/>
      <c r="D738" s="24"/>
      <c r="E738" s="25"/>
      <c r="F738" s="26"/>
      <c r="G738" s="27">
        <f>SUM(G739:G741)</f>
        <v>11003.676281325002</v>
      </c>
      <c r="H738" s="44">
        <f>G738*E721</f>
        <v>0</v>
      </c>
    </row>
    <row r="739" spans="1:11">
      <c r="A739" s="28"/>
      <c r="B739" s="29" t="s">
        <v>3710</v>
      </c>
      <c r="C739" s="30" t="str">
        <f>IFERROR(_xlfn.XLOOKUP(B739,MObra[DESCRIPCION],MObra[UN],,0),"")</f>
        <v>día</v>
      </c>
      <c r="D739" s="31">
        <v>1</v>
      </c>
      <c r="E739" s="32">
        <f>IFERROR(_xlfn.XLOOKUP($B739,MObra[DESCRIPCION],MObra[VALOR UNIT],,0),"")</f>
        <v>314390.75089500006</v>
      </c>
      <c r="F739" s="33">
        <f>-1/0.035</f>
        <v>-28.571428571428569</v>
      </c>
      <c r="G739" s="34">
        <f>IFERROR(IF(F739&gt;=0,D739*E739*(1+F739/100),ABS(D739*E739/F739)),"")</f>
        <v>11003.676281325002</v>
      </c>
      <c r="H739" s="43">
        <f>IFERROR(G739*E721,"")</f>
        <v>0</v>
      </c>
    </row>
    <row r="740" spans="1:11">
      <c r="A740" s="28"/>
      <c r="B740" s="29"/>
      <c r="C740" s="30" t="str">
        <f t="array" ref="C740">IFERROR(_xlfn.XLOOKUP(B740,MObra[[#All],[DESCRIPCION]],MObra[[#All],[UN]],,0),"")</f>
        <v/>
      </c>
      <c r="D740" s="31"/>
      <c r="E740" s="32" t="str">
        <f>IFERROR(_xlfn.XLOOKUP($B740,MObra[DESCRIPCION],MObra[VALOR UNIT],,0),"")</f>
        <v/>
      </c>
      <c r="F740" s="33"/>
      <c r="G740" s="34" t="str">
        <f>IFERROR(IF(F740&gt;=0,D740*E740*(1+F740/100),ABS(D740*E740/F740)),"")</f>
        <v/>
      </c>
      <c r="H740" s="43" t="str">
        <f>IFERROR(G740*E721,"")</f>
        <v/>
      </c>
    </row>
    <row r="741" spans="1:11">
      <c r="A741" s="35"/>
      <c r="B741" s="36"/>
      <c r="C741" s="37" t="str">
        <f t="array" ref="C741">IFERROR(_xlfn.XLOOKUP(B741,MObra[[#All],[DESCRIPCION]],MObra[[#All],[UN]],,0),"")</f>
        <v/>
      </c>
      <c r="D741" s="38"/>
      <c r="E741" s="39" t="str">
        <f>IFERROR(_xlfn.XLOOKUP($B741,MObra[DESCRIPCION],MObra[VALOR UNIT],,0),"")</f>
        <v/>
      </c>
      <c r="F741" s="40"/>
      <c r="G741" s="41" t="str">
        <f>IFERROR(IF(F741&gt;=0,D741*E741*(1+F741/100),ABS(D741*E741/F741)),"")</f>
        <v/>
      </c>
      <c r="H741" s="42" t="str">
        <f>IFERROR(G741*E721,"")</f>
        <v/>
      </c>
    </row>
    <row r="743" spans="1:11">
      <c r="A743" s="6" t="s">
        <v>92</v>
      </c>
      <c r="B743" s="7" t="str">
        <f>VLOOKUP($A743,Presupuesto!$A:$D,2,FALSE())</f>
        <v>Red provisional eléctrica</v>
      </c>
      <c r="C743" s="8" t="str">
        <f>VLOOKUP($A743,Presupuesto!$A:$D,3,FALSE())</f>
        <v>M</v>
      </c>
      <c r="D743" s="9"/>
      <c r="E743" s="147">
        <f>VLOOKUP($A743,Presupuesto!$A:$D,4,FALSE())</f>
        <v>0</v>
      </c>
      <c r="F743" s="11" t="s">
        <v>2589</v>
      </c>
      <c r="G743" s="12">
        <f>SUM(G745:G764)/2</f>
        <v>56216.736409091493</v>
      </c>
      <c r="H743" s="13">
        <f>ROUND(SUM(H745:H764),0)/2</f>
        <v>0</v>
      </c>
      <c r="I743" s="10">
        <f>VLOOKUP(A743,Presupuesto!$A:$F,6,0)</f>
        <v>0</v>
      </c>
      <c r="J743" s="10">
        <f>+H743-I743</f>
        <v>0</v>
      </c>
      <c r="K743" s="46">
        <f>+H743-G743*E743</f>
        <v>0</v>
      </c>
    </row>
    <row r="744" spans="1:11">
      <c r="A744" s="14"/>
      <c r="B744" s="15" t="s">
        <v>2586</v>
      </c>
      <c r="C744" s="15" t="s">
        <v>5</v>
      </c>
      <c r="D744" s="16" t="s">
        <v>6</v>
      </c>
      <c r="E744" s="17" t="s">
        <v>7</v>
      </c>
      <c r="F744" s="18" t="s">
        <v>3728</v>
      </c>
      <c r="G744" s="19" t="s">
        <v>3729</v>
      </c>
      <c r="H744" s="20" t="s">
        <v>3797</v>
      </c>
    </row>
    <row r="745" spans="1:11">
      <c r="A745" s="21"/>
      <c r="B745" s="22" t="s">
        <v>3730</v>
      </c>
      <c r="C745" s="23"/>
      <c r="D745" s="24"/>
      <c r="E745" s="25"/>
      <c r="F745" s="26"/>
      <c r="G745" s="27">
        <f>SUM(G746:G753)</f>
        <v>50437.361100000009</v>
      </c>
      <c r="H745" s="27">
        <f>IFERROR(G745*E743,"")</f>
        <v>0</v>
      </c>
    </row>
    <row r="746" spans="1:11">
      <c r="A746" s="28"/>
      <c r="B746" s="29" t="s">
        <v>3342</v>
      </c>
      <c r="C746" s="30" t="str">
        <f>IFERROR(_xlfn.XLOOKUP(B746,Insumo[DESCRIPCION],Insumo[UND],,0),"")</f>
        <v>Un</v>
      </c>
      <c r="D746" s="31">
        <v>0.2</v>
      </c>
      <c r="E746" s="32">
        <f>IFERROR(_xlfn.XLOOKUP($B746,Insumo[DESCRIPCION],Insumo[VALOR],,0),"")</f>
        <v>181311.63750000001</v>
      </c>
      <c r="F746" s="33"/>
      <c r="G746" s="34">
        <f t="shared" ref="G746:G753" si="3">IFERROR(IF(F746&gt;=0,D746*E746*(1+F746/100),ABS(D746*E746/F746)),"")</f>
        <v>36262.327500000007</v>
      </c>
      <c r="H746" s="43">
        <f>IFERROR(G746*E743,"")</f>
        <v>0</v>
      </c>
    </row>
    <row r="747" spans="1:11">
      <c r="A747" s="28"/>
      <c r="B747" s="29" t="s">
        <v>2691</v>
      </c>
      <c r="C747" s="30" t="str">
        <f>IFERROR(_xlfn.XLOOKUP(B747,Insumo[DESCRIPCION],Insumo[UND],,0),"")</f>
        <v>M</v>
      </c>
      <c r="D747" s="31">
        <v>0.68</v>
      </c>
      <c r="E747" s="32">
        <f>IFERROR(_xlfn.XLOOKUP($B747,Insumo[DESCRIPCION],Insumo[VALOR],,0),"")</f>
        <v>6961.5</v>
      </c>
      <c r="F747" s="33">
        <v>3</v>
      </c>
      <c r="G747" s="34">
        <f t="shared" si="3"/>
        <v>4875.834600000001</v>
      </c>
      <c r="H747" s="43">
        <f>IFERROR(G747*E743,"")</f>
        <v>0</v>
      </c>
    </row>
    <row r="748" spans="1:11">
      <c r="A748" s="28"/>
      <c r="B748" s="29" t="s">
        <v>2762</v>
      </c>
      <c r="C748" s="30" t="str">
        <f>IFERROR(_xlfn.XLOOKUP(B748,Insumo[DESCRIPCION],Insumo[UND],,0),"")</f>
        <v>Un</v>
      </c>
      <c r="D748" s="31">
        <v>0.02</v>
      </c>
      <c r="E748" s="32">
        <f>IFERROR(_xlfn.XLOOKUP($B748,Insumo[DESCRIPCION],Insumo[VALOR],,0),"")</f>
        <v>40816.65</v>
      </c>
      <c r="F748" s="33"/>
      <c r="G748" s="34">
        <f t="shared" si="3"/>
        <v>816.33300000000008</v>
      </c>
      <c r="H748" s="43">
        <f>IFERROR(G748*E743,"")</f>
        <v>0</v>
      </c>
    </row>
    <row r="749" spans="1:11">
      <c r="A749" s="28"/>
      <c r="B749" s="29" t="s">
        <v>2692</v>
      </c>
      <c r="C749" s="30" t="str">
        <f>IFERROR(_xlfn.XLOOKUP(B749,Insumo[DESCRIPCION],Insumo[UND],,0),"")</f>
        <v>M</v>
      </c>
      <c r="D749" s="31">
        <v>1.42</v>
      </c>
      <c r="E749" s="32">
        <f>IFERROR(_xlfn.XLOOKUP($B749,Insumo[DESCRIPCION],Insumo[VALOR],,0),"")</f>
        <v>3892.3500000000004</v>
      </c>
      <c r="F749" s="33"/>
      <c r="G749" s="34">
        <f t="shared" si="3"/>
        <v>5527.1370000000006</v>
      </c>
      <c r="H749" s="43">
        <f>IFERROR(G749*E743,"")</f>
        <v>0</v>
      </c>
    </row>
    <row r="750" spans="1:11">
      <c r="A750" s="28"/>
      <c r="B750" s="29" t="s">
        <v>3396</v>
      </c>
      <c r="C750" s="30" t="str">
        <f>IFERROR(_xlfn.XLOOKUP(B750,Insumo[DESCRIPCION],Insumo[UND],,0),"")</f>
        <v>Un</v>
      </c>
      <c r="D750" s="31">
        <v>7.0000000000000007E-2</v>
      </c>
      <c r="E750" s="32">
        <f>IFERROR(_xlfn.XLOOKUP($B750,Insumo[DESCRIPCION],Insumo[VALOR],,0),"")</f>
        <v>6016.5</v>
      </c>
      <c r="F750" s="33"/>
      <c r="G750" s="34">
        <f t="shared" si="3"/>
        <v>421.15500000000003</v>
      </c>
      <c r="H750" s="43">
        <f>IFERROR(G750*E743,"")</f>
        <v>0</v>
      </c>
    </row>
    <row r="751" spans="1:11">
      <c r="A751" s="28"/>
      <c r="B751" s="29" t="s">
        <v>3217</v>
      </c>
      <c r="C751" s="30" t="str">
        <f>IFERROR(_xlfn.XLOOKUP(B751,Insumo[DESCRIPCION],Insumo[UND],,0),"")</f>
        <v>Un</v>
      </c>
      <c r="D751" s="31">
        <v>7.0000000000000007E-2</v>
      </c>
      <c r="E751" s="32">
        <f>IFERROR(_xlfn.XLOOKUP($B751,Insumo[DESCRIPCION],Insumo[VALOR],,0),"")</f>
        <v>3182.55</v>
      </c>
      <c r="F751" s="33"/>
      <c r="G751" s="34">
        <f t="shared" si="3"/>
        <v>222.77850000000004</v>
      </c>
      <c r="H751" s="43">
        <f>IFERROR(G751*E743,"")</f>
        <v>0</v>
      </c>
    </row>
    <row r="752" spans="1:11">
      <c r="A752" s="28"/>
      <c r="B752" s="29" t="s">
        <v>3035</v>
      </c>
      <c r="C752" s="30" t="str">
        <f>IFERROR(_xlfn.XLOOKUP(B752,Insumo[DESCRIPCION],Insumo[UND],,0),"")</f>
        <v>Un</v>
      </c>
      <c r="D752" s="31">
        <v>7.0000000000000007E-2</v>
      </c>
      <c r="E752" s="32">
        <f>IFERROR(_xlfn.XLOOKUP($B752,Insumo[DESCRIPCION],Insumo[VALOR],,0),"")</f>
        <v>24700.2</v>
      </c>
      <c r="F752" s="33"/>
      <c r="G752" s="34">
        <f t="shared" si="3"/>
        <v>1729.0140000000001</v>
      </c>
      <c r="H752" s="43">
        <f>IFERROR(G752*E743,"")</f>
        <v>0</v>
      </c>
    </row>
    <row r="753" spans="1:11">
      <c r="A753" s="28"/>
      <c r="B753" s="29" t="s">
        <v>3011</v>
      </c>
      <c r="C753" s="30" t="str">
        <f>IFERROR(_xlfn.XLOOKUP(B753,Insumo[DESCRIPCION],Insumo[UND],,0),"")</f>
        <v>Un</v>
      </c>
      <c r="D753" s="31">
        <v>7.0000000000000007E-2</v>
      </c>
      <c r="E753" s="32">
        <f>IFERROR(_xlfn.XLOOKUP($B753,Insumo[DESCRIPCION],Insumo[VALOR],,0),"")</f>
        <v>8325.4500000000007</v>
      </c>
      <c r="F753" s="33"/>
      <c r="G753" s="34">
        <f t="shared" si="3"/>
        <v>582.78150000000005</v>
      </c>
      <c r="H753" s="43">
        <f>IFERROR(G753*E743,"")</f>
        <v>0</v>
      </c>
    </row>
    <row r="754" spans="1:11">
      <c r="A754" s="21"/>
      <c r="B754" s="22" t="s">
        <v>3731</v>
      </c>
      <c r="C754" s="23"/>
      <c r="D754" s="24"/>
      <c r="E754" s="25"/>
      <c r="F754" s="26"/>
      <c r="G754" s="27">
        <f>SUM(G755:G757)</f>
        <v>275.20834805197507</v>
      </c>
      <c r="H754" s="44">
        <f>G754*E743</f>
        <v>0</v>
      </c>
    </row>
    <row r="755" spans="1:11">
      <c r="A755" s="28"/>
      <c r="B755" s="29" t="s">
        <v>3626</v>
      </c>
      <c r="C755" s="30" t="str">
        <f>IFERROR(_xlfn.XLOOKUP(B755,Equipo[DESCRIPCION],Equipo[UND],,0),"")</f>
        <v>%MO</v>
      </c>
      <c r="D755" s="31">
        <v>0.05</v>
      </c>
      <c r="E755" s="32">
        <f>IF(C755="%MO",G761,IFERROR(VLOOKUP($B755,Equipo[],3,0),""))</f>
        <v>5504.1669610395011</v>
      </c>
      <c r="F755" s="33"/>
      <c r="G755" s="34">
        <f>IFERROR(IF(F755&gt;=0,D755*E755*(1+F755/100),ABS(D755*E755/F755)),"")</f>
        <v>275.20834805197507</v>
      </c>
      <c r="H755" s="43">
        <f>IFERROR(G755*E743,"")</f>
        <v>0</v>
      </c>
    </row>
    <row r="756" spans="1:11">
      <c r="A756" s="28"/>
      <c r="B756" s="29"/>
      <c r="C756" s="30" t="str">
        <f>IFERROR(_xlfn.XLOOKUP(B756,Equipo[DESCRIPCION],Equipo[UND],,0),"")</f>
        <v/>
      </c>
      <c r="D756" s="31"/>
      <c r="E756" s="32" t="str">
        <f>IF(C756="%MO",G761,IFERROR(VLOOKUP($B756,Equipo[],3,0),""))</f>
        <v/>
      </c>
      <c r="F756" s="33"/>
      <c r="G756" s="34" t="str">
        <f>IFERROR(IF(F756&gt;=0,D756*E756*(1+F756/100),ABS(D756*E756/F756)),"")</f>
        <v/>
      </c>
      <c r="H756" s="43" t="str">
        <f>IFERROR(G756*E743,"")</f>
        <v/>
      </c>
    </row>
    <row r="757" spans="1:11">
      <c r="A757" s="28"/>
      <c r="B757" s="29"/>
      <c r="C757" s="30" t="str">
        <f>IFERROR(_xlfn.XLOOKUP(B757,Equipo[DESCRIPCION],Equipo[UND],,0),"")</f>
        <v/>
      </c>
      <c r="D757" s="31"/>
      <c r="E757" s="32" t="str">
        <f>IF(C757="%MO",G761,IFERROR(VLOOKUP($B757,Equipo[],3,0),""))</f>
        <v/>
      </c>
      <c r="F757" s="33"/>
      <c r="G757" s="34" t="str">
        <f>IFERROR(IF(F757&gt;=0,D757*E757*(1+F757/100),ABS(D757*E757/F757)),"")</f>
        <v/>
      </c>
      <c r="H757" s="43" t="str">
        <f>IFERROR(G757*E743,"")</f>
        <v/>
      </c>
    </row>
    <row r="758" spans="1:11">
      <c r="A758" s="21"/>
      <c r="B758" s="22" t="s">
        <v>2533</v>
      </c>
      <c r="C758" s="23"/>
      <c r="D758" s="24"/>
      <c r="E758" s="25"/>
      <c r="F758" s="26"/>
      <c r="G758" s="27">
        <f>SUM(G759:G760)</f>
        <v>0</v>
      </c>
      <c r="H758" s="44">
        <f>G758*E743</f>
        <v>0</v>
      </c>
    </row>
    <row r="759" spans="1:11">
      <c r="A759" s="28"/>
      <c r="B759" s="29"/>
      <c r="C759" s="30" t="str">
        <f>IFERROR(_xlfn.XLOOKUP(B759,Transporte[DESCRIPCION],Transporte[UND],,0),"")</f>
        <v/>
      </c>
      <c r="D759" s="31"/>
      <c r="E759" s="32" t="str">
        <f>IFERROR(_xlfn.XLOOKUP($B759,Transporte[DESCRIPCION],Transporte[VALOR],,0),"")</f>
        <v/>
      </c>
      <c r="F759" s="33"/>
      <c r="G759" s="34" t="str">
        <f>IFERROR(IF(F759&gt;=0,D759*E759*(1+F759/100),ABS(D759*E759/F759)),"")</f>
        <v/>
      </c>
      <c r="H759" s="43" t="str">
        <f>IFERROR(G759*E743,"")</f>
        <v/>
      </c>
    </row>
    <row r="760" spans="1:11">
      <c r="A760" s="28"/>
      <c r="B760" s="29"/>
      <c r="C760" s="30" t="str">
        <f>IFERROR(_xlfn.XLOOKUP(B760,Transporte[DESCRIPCION],Transporte[UND],,0),"")</f>
        <v/>
      </c>
      <c r="D760" s="31"/>
      <c r="E760" s="32" t="str">
        <f>IFERROR(_xlfn.XLOOKUP($B760,Transporte[DESCRIPCION],Transporte[VALOR],,0),"")</f>
        <v/>
      </c>
      <c r="F760" s="33"/>
      <c r="G760" s="34" t="str">
        <f>IFERROR(IF(F760&gt;=0,D760*E760*(1+F760/100),ABS(D760*E760/F760)),"")</f>
        <v/>
      </c>
      <c r="H760" s="43" t="str">
        <f>IFERROR(G760*E743,"")</f>
        <v/>
      </c>
    </row>
    <row r="761" spans="1:11">
      <c r="A761" s="21"/>
      <c r="B761" s="22" t="s">
        <v>3732</v>
      </c>
      <c r="C761" s="23"/>
      <c r="D761" s="24"/>
      <c r="E761" s="25"/>
      <c r="F761" s="26"/>
      <c r="G761" s="27">
        <f>SUM(G762:G764)</f>
        <v>5504.1669610395011</v>
      </c>
      <c r="H761" s="44">
        <f>G761*E743</f>
        <v>0</v>
      </c>
    </row>
    <row r="762" spans="1:11">
      <c r="A762" s="28"/>
      <c r="B762" s="29" t="s">
        <v>3715</v>
      </c>
      <c r="C762" s="30" t="str">
        <f>IFERROR(_xlfn.XLOOKUP(B762,MObra[DESCRIPCION],MObra[UN],,0),"")</f>
        <v>día</v>
      </c>
      <c r="D762" s="31">
        <v>1</v>
      </c>
      <c r="E762" s="32">
        <f>IFERROR(_xlfn.XLOOKUP($B762,MObra[DESCRIPCION],MObra[VALOR UNIT],,0),"")</f>
        <v>337678.95466500008</v>
      </c>
      <c r="F762" s="33">
        <f>-1/0.0163</f>
        <v>-61.349693251533751</v>
      </c>
      <c r="G762" s="34">
        <f>IFERROR(IF(F762&gt;=0,D762*E762*(1+F762/100),ABS(D762*E762/F762)),"")</f>
        <v>5504.1669610395011</v>
      </c>
      <c r="H762" s="43">
        <f>IFERROR(G762*E743,"")</f>
        <v>0</v>
      </c>
    </row>
    <row r="763" spans="1:11">
      <c r="A763" s="28"/>
      <c r="B763" s="29"/>
      <c r="C763" s="30" t="str">
        <f t="array" ref="C763">IFERROR(_xlfn.XLOOKUP(B763,MObra[[#All],[DESCRIPCION]],MObra[[#All],[UN]],,0),"")</f>
        <v/>
      </c>
      <c r="D763" s="31"/>
      <c r="E763" s="32" t="str">
        <f>IFERROR(_xlfn.XLOOKUP($B763,MObra[DESCRIPCION],MObra[VALOR UNIT],,0),"")</f>
        <v/>
      </c>
      <c r="F763" s="33"/>
      <c r="G763" s="34" t="str">
        <f>IFERROR(IF(F763&gt;=0,D763*E763*(1+F763/100),ABS(D763*E763/F763)),"")</f>
        <v/>
      </c>
      <c r="H763" s="43" t="str">
        <f>IFERROR(G763*E743,"")</f>
        <v/>
      </c>
    </row>
    <row r="764" spans="1:11">
      <c r="A764" s="35"/>
      <c r="B764" s="36"/>
      <c r="C764" s="37" t="str">
        <f t="array" ref="C764">IFERROR(_xlfn.XLOOKUP(B764,MObra[[#All],[DESCRIPCION]],MObra[[#All],[UN]],,0),"")</f>
        <v/>
      </c>
      <c r="D764" s="38"/>
      <c r="E764" s="39" t="str">
        <f>IFERROR(_xlfn.XLOOKUP($B764,MObra[DESCRIPCION],MObra[VALOR UNIT],,0),"")</f>
        <v/>
      </c>
      <c r="F764" s="40"/>
      <c r="G764" s="41" t="str">
        <f>IFERROR(IF(F764&gt;=0,D764*E764*(1+F764/100),ABS(D764*E764/F764)),"")</f>
        <v/>
      </c>
      <c r="H764" s="42" t="str">
        <f>IFERROR(G764*E743,"")</f>
        <v/>
      </c>
    </row>
    <row r="766" spans="1:11">
      <c r="A766" s="6" t="s">
        <v>94</v>
      </c>
      <c r="B766" s="7" t="str">
        <f>VLOOKUP($A766,Presupuesto!$A:$D,2,FALSE())</f>
        <v>Rocería + limpieza cuneta vía W=6 m</v>
      </c>
      <c r="C766" s="8" t="str">
        <f>VLOOKUP($A766,Presupuesto!$A:$D,3,FALSE())</f>
        <v>M</v>
      </c>
      <c r="D766" s="9"/>
      <c r="E766" s="147">
        <f>VLOOKUP($A766,Presupuesto!$A:$D,4,FALSE())</f>
        <v>0</v>
      </c>
      <c r="F766" s="11" t="s">
        <v>2589</v>
      </c>
      <c r="G766" s="12">
        <f>SUM(G768:G784)/2</f>
        <v>6346.0355273250007</v>
      </c>
      <c r="H766" s="13">
        <f>ROUND(SUM(H768:H784),0)/2</f>
        <v>0</v>
      </c>
      <c r="I766" s="10">
        <f>VLOOKUP(A766,Presupuesto!$A:$F,6,0)</f>
        <v>0</v>
      </c>
      <c r="J766" s="10">
        <f>+H766-I766</f>
        <v>0</v>
      </c>
      <c r="K766" s="46">
        <f>+H766-G766*E766</f>
        <v>0</v>
      </c>
    </row>
    <row r="767" spans="1:11">
      <c r="A767" s="14"/>
      <c r="B767" s="15" t="s">
        <v>2586</v>
      </c>
      <c r="C767" s="15" t="s">
        <v>5</v>
      </c>
      <c r="D767" s="16" t="s">
        <v>6</v>
      </c>
      <c r="E767" s="17" t="s">
        <v>7</v>
      </c>
      <c r="F767" s="18" t="s">
        <v>3728</v>
      </c>
      <c r="G767" s="19" t="s">
        <v>3729</v>
      </c>
      <c r="H767" s="20" t="s">
        <v>3797</v>
      </c>
    </row>
    <row r="768" spans="1:11">
      <c r="A768" s="21"/>
      <c r="B768" s="22" t="s">
        <v>3730</v>
      </c>
      <c r="C768" s="23"/>
      <c r="D768" s="24"/>
      <c r="E768" s="25"/>
      <c r="F768" s="26"/>
      <c r="G768" s="27">
        <f>SUM(G769:G773)</f>
        <v>0</v>
      </c>
      <c r="H768" s="27">
        <f>IFERROR(G768*E766,"")</f>
        <v>0</v>
      </c>
    </row>
    <row r="769" spans="1:8">
      <c r="A769" s="28"/>
      <c r="B769" s="29"/>
      <c r="C769" s="30" t="str">
        <f>IFERROR(_xlfn.XLOOKUP(B769,Insumo[DESCRIPCION],Insumo[UND],,0),"")</f>
        <v/>
      </c>
      <c r="D769" s="31"/>
      <c r="E769" s="32" t="str">
        <f>IFERROR(_xlfn.XLOOKUP($B769,Insumo[DESCRIPCION],Insumo[VALOR],,0),"")</f>
        <v/>
      </c>
      <c r="F769" s="33"/>
      <c r="G769" s="34" t="str">
        <f>IFERROR(IF(F769&gt;=0,D769*E769*(1+F769/100),ABS(D769*E769/F769)),"")</f>
        <v/>
      </c>
      <c r="H769" s="43" t="str">
        <f>IFERROR(G769*E766,"")</f>
        <v/>
      </c>
    </row>
    <row r="770" spans="1:8">
      <c r="A770" s="28"/>
      <c r="B770" s="29"/>
      <c r="C770" s="30" t="str">
        <f>IFERROR(_xlfn.XLOOKUP(B770,Insumo[DESCRIPCION],Insumo[UND],,0),"")</f>
        <v/>
      </c>
      <c r="D770" s="31"/>
      <c r="E770" s="32" t="str">
        <f>IFERROR(_xlfn.XLOOKUP($B770,Insumo[DESCRIPCION],Insumo[VALOR],,0),"")</f>
        <v/>
      </c>
      <c r="F770" s="33"/>
      <c r="G770" s="34" t="str">
        <f>IFERROR(IF(F770&gt;=0,D770*E770*(1+F770/100),ABS(D770*E770/F770)),"")</f>
        <v/>
      </c>
      <c r="H770" s="43" t="str">
        <f>IFERROR(G770*E766,"")</f>
        <v/>
      </c>
    </row>
    <row r="771" spans="1:8">
      <c r="A771" s="28"/>
      <c r="B771" s="29"/>
      <c r="C771" s="30" t="str">
        <f>IFERROR(_xlfn.XLOOKUP(B771,Insumo[DESCRIPCION],Insumo[UND],,0),"")</f>
        <v/>
      </c>
      <c r="D771" s="31"/>
      <c r="E771" s="32" t="str">
        <f>IFERROR(_xlfn.XLOOKUP($B771,Insumo[DESCRIPCION],Insumo[VALOR],,0),"")</f>
        <v/>
      </c>
      <c r="F771" s="33"/>
      <c r="G771" s="34" t="str">
        <f>IFERROR(IF(F771&gt;=0,D771*E771*(1+F771/100),ABS(D771*E771/F771)),"")</f>
        <v/>
      </c>
      <c r="H771" s="43" t="str">
        <f>IFERROR(G771*E766,"")</f>
        <v/>
      </c>
    </row>
    <row r="772" spans="1:8">
      <c r="A772" s="28"/>
      <c r="B772" s="29"/>
      <c r="C772" s="30" t="str">
        <f>IFERROR(_xlfn.XLOOKUP(B772,Insumo[DESCRIPCION],Insumo[UND],,0),"")</f>
        <v/>
      </c>
      <c r="D772" s="31"/>
      <c r="E772" s="32" t="str">
        <f>IFERROR(_xlfn.XLOOKUP($B772,Insumo[DESCRIPCION],Insumo[VALOR],,0),"")</f>
        <v/>
      </c>
      <c r="F772" s="33"/>
      <c r="G772" s="34" t="str">
        <f>IFERROR(IF(F772&gt;=0,D772*E772*(1+F772/100),ABS(D772*E772/F772)),"")</f>
        <v/>
      </c>
      <c r="H772" s="43" t="str">
        <f>IFERROR(G772*E766,"")</f>
        <v/>
      </c>
    </row>
    <row r="773" spans="1:8">
      <c r="A773" s="28"/>
      <c r="B773" s="29"/>
      <c r="C773" s="30" t="str">
        <f>IFERROR(_xlfn.XLOOKUP(B773,Insumo[DESCRIPCION],Insumo[UND],,0),"")</f>
        <v/>
      </c>
      <c r="D773" s="31"/>
      <c r="E773" s="32" t="str">
        <f>IFERROR(_xlfn.XLOOKUP($B773,Insumo[DESCRIPCION],Insumo[VALOR],,0),"")</f>
        <v/>
      </c>
      <c r="F773" s="33"/>
      <c r="G773" s="34" t="str">
        <f>IFERROR(IF(F773&gt;=0,D773*E773*(1+F773/100),ABS(D773*E773/F773)),"")</f>
        <v/>
      </c>
      <c r="H773" s="43" t="str">
        <f>IFERROR(G773*E766,"")</f>
        <v/>
      </c>
    </row>
    <row r="774" spans="1:8">
      <c r="A774" s="21"/>
      <c r="B774" s="22" t="s">
        <v>3731</v>
      </c>
      <c r="C774" s="23"/>
      <c r="D774" s="24"/>
      <c r="E774" s="25"/>
      <c r="F774" s="26"/>
      <c r="G774" s="27">
        <f>SUM(G775:G777)</f>
        <v>523.98458482500007</v>
      </c>
      <c r="H774" s="44">
        <f>G774*E766</f>
        <v>0</v>
      </c>
    </row>
    <row r="775" spans="1:8">
      <c r="A775" s="28"/>
      <c r="B775" s="29" t="s">
        <v>3570</v>
      </c>
      <c r="C775" s="30" t="str">
        <f>IFERROR(_xlfn.XLOOKUP(B775,Equipo[DESCRIPCION],Equipo[UND],,0),"")</f>
        <v>%MO</v>
      </c>
      <c r="D775" s="31">
        <v>0.04</v>
      </c>
      <c r="E775" s="32">
        <f>IF(C775="%MO",G781,IFERROR(VLOOKUP($B775,Equipo[],3,0),""))</f>
        <v>5822.0509425000009</v>
      </c>
      <c r="F775" s="33"/>
      <c r="G775" s="34">
        <f>IFERROR(IF(F775&gt;=0,D775*E775*(1+F775/100),ABS(D775*E775/F775)),"")</f>
        <v>232.88203770000004</v>
      </c>
      <c r="H775" s="43">
        <f>IFERROR(G775*E766,"")</f>
        <v>0</v>
      </c>
    </row>
    <row r="776" spans="1:8">
      <c r="A776" s="28"/>
      <c r="B776" s="29" t="s">
        <v>3626</v>
      </c>
      <c r="C776" s="30" t="str">
        <f>IFERROR(_xlfn.XLOOKUP(B776,Equipo[DESCRIPCION],Equipo[UND],,0),"")</f>
        <v>%MO</v>
      </c>
      <c r="D776" s="31">
        <v>0.05</v>
      </c>
      <c r="E776" s="32">
        <f>IF(C776="%MO",G781,IFERROR(VLOOKUP($B776,Equipo[],3,0),""))</f>
        <v>5822.0509425000009</v>
      </c>
      <c r="F776" s="33"/>
      <c r="G776" s="34">
        <f>IFERROR(IF(F776&gt;=0,D776*E776*(1+F776/100),ABS(D776*E776/F776)),"")</f>
        <v>291.10254712500006</v>
      </c>
      <c r="H776" s="43">
        <f>IFERROR(G776*E766,"")</f>
        <v>0</v>
      </c>
    </row>
    <row r="777" spans="1:8">
      <c r="A777" s="28"/>
      <c r="B777" s="29"/>
      <c r="C777" s="30" t="str">
        <f>IFERROR(_xlfn.XLOOKUP(B777,Equipo[DESCRIPCION],Equipo[UND],,0),"")</f>
        <v/>
      </c>
      <c r="D777" s="31"/>
      <c r="E777" s="32" t="str">
        <f>IF(C777="%MO",G781,IFERROR(VLOOKUP($B777,Equipo[],3,0),""))</f>
        <v/>
      </c>
      <c r="F777" s="33"/>
      <c r="G777" s="34" t="str">
        <f>IFERROR(IF(F777&gt;=0,D777*E777*(1+F777/100),ABS(D777*E777/F777)),"")</f>
        <v/>
      </c>
      <c r="H777" s="43" t="str">
        <f>IFERROR(G777*E766,"")</f>
        <v/>
      </c>
    </row>
    <row r="778" spans="1:8">
      <c r="A778" s="21"/>
      <c r="B778" s="22" t="s">
        <v>2533</v>
      </c>
      <c r="C778" s="23"/>
      <c r="D778" s="24"/>
      <c r="E778" s="25"/>
      <c r="F778" s="26"/>
      <c r="G778" s="27">
        <f>SUM(G779:G780)</f>
        <v>0</v>
      </c>
      <c r="H778" s="44">
        <f>G778*E766</f>
        <v>0</v>
      </c>
    </row>
    <row r="779" spans="1:8">
      <c r="A779" s="28"/>
      <c r="B779" s="29"/>
      <c r="C779" s="30" t="str">
        <f>IFERROR(_xlfn.XLOOKUP(B779,Transporte[DESCRIPCION],Transporte[UND],,0),"")</f>
        <v/>
      </c>
      <c r="D779" s="31"/>
      <c r="E779" s="32" t="str">
        <f>IFERROR(_xlfn.XLOOKUP($B779,Transporte[DESCRIPCION],Transporte[VALOR],,0),"")</f>
        <v/>
      </c>
      <c r="F779" s="33"/>
      <c r="G779" s="34" t="str">
        <f>IFERROR(IF(F779&gt;=0,D779*E779*(1+F779/100),ABS(D779*E779/F779)),"")</f>
        <v/>
      </c>
      <c r="H779" s="43" t="str">
        <f>IFERROR(G779*E766,"")</f>
        <v/>
      </c>
    </row>
    <row r="780" spans="1:8">
      <c r="A780" s="28"/>
      <c r="B780" s="29"/>
      <c r="C780" s="30" t="str">
        <f>IFERROR(_xlfn.XLOOKUP(B780,Transporte[DESCRIPCION],Transporte[UND],,0),"")</f>
        <v/>
      </c>
      <c r="D780" s="31"/>
      <c r="E780" s="32" t="str">
        <f>IFERROR(_xlfn.XLOOKUP($B780,Transporte[DESCRIPCION],Transporte[VALOR],,0),"")</f>
        <v/>
      </c>
      <c r="F780" s="33"/>
      <c r="G780" s="34" t="str">
        <f>IFERROR(IF(F780&gt;=0,D780*E780*(1+F780/100),ABS(D780*E780/F780)),"")</f>
        <v/>
      </c>
      <c r="H780" s="43" t="str">
        <f>IFERROR(G780*E766,"")</f>
        <v/>
      </c>
    </row>
    <row r="781" spans="1:8">
      <c r="A781" s="21"/>
      <c r="B781" s="22" t="s">
        <v>3732</v>
      </c>
      <c r="C781" s="23"/>
      <c r="D781" s="24"/>
      <c r="E781" s="25"/>
      <c r="F781" s="26"/>
      <c r="G781" s="27">
        <f>SUM(G782:G784)</f>
        <v>5822.0509425000009</v>
      </c>
      <c r="H781" s="44">
        <f>G781*E766</f>
        <v>0</v>
      </c>
    </row>
    <row r="782" spans="1:8">
      <c r="A782" s="28"/>
      <c r="B782" s="29" t="s">
        <v>3698</v>
      </c>
      <c r="C782" s="30" t="str">
        <f>IFERROR(_xlfn.XLOOKUP(B782,MObra[DESCRIPCION],MObra[UN],,0),"")</f>
        <v>día</v>
      </c>
      <c r="D782" s="31">
        <v>1</v>
      </c>
      <c r="E782" s="32">
        <f>IFERROR(_xlfn.XLOOKUP($B782,MObra[DESCRIPCION],MObra[VALOR UNIT],,0),"")</f>
        <v>116441.01885000002</v>
      </c>
      <c r="F782" s="33">
        <v>-20</v>
      </c>
      <c r="G782" s="34">
        <f>IFERROR(IF(F782&gt;=0,D782*E782*(1+F782/100),ABS(D782*E782/F782)),"")</f>
        <v>5822.0509425000009</v>
      </c>
      <c r="H782" s="43">
        <f>IFERROR(G782*E766,"")</f>
        <v>0</v>
      </c>
    </row>
    <row r="783" spans="1:8">
      <c r="A783" s="28"/>
      <c r="B783" s="29"/>
      <c r="C783" s="30" t="str">
        <f t="array" ref="C783">IFERROR(_xlfn.XLOOKUP(B783,MObra[[#All],[DESCRIPCION]],MObra[[#All],[UN]],,0),"")</f>
        <v/>
      </c>
      <c r="D783" s="31"/>
      <c r="E783" s="32" t="str">
        <f>IFERROR(_xlfn.XLOOKUP($B783,MObra[DESCRIPCION],MObra[VALOR UNIT],,0),"")</f>
        <v/>
      </c>
      <c r="F783" s="33"/>
      <c r="G783" s="34" t="str">
        <f>IFERROR(IF(F783&gt;=0,D783*E783*(1+F783/100),ABS(D783*E783/F783)),"")</f>
        <v/>
      </c>
      <c r="H783" s="43" t="str">
        <f>IFERROR(G783*E766,"")</f>
        <v/>
      </c>
    </row>
    <row r="784" spans="1:8">
      <c r="A784" s="35"/>
      <c r="B784" s="36"/>
      <c r="C784" s="37" t="str">
        <f t="array" ref="C784">IFERROR(_xlfn.XLOOKUP(B784,MObra[[#All],[DESCRIPCION]],MObra[[#All],[UN]],,0),"")</f>
        <v/>
      </c>
      <c r="D784" s="38"/>
      <c r="E784" s="39" t="str">
        <f>IFERROR(_xlfn.XLOOKUP($B784,MObra[DESCRIPCION],MObra[VALOR UNIT],,0),"")</f>
        <v/>
      </c>
      <c r="F784" s="40"/>
      <c r="G784" s="41" t="str">
        <f>IFERROR(IF(F784&gt;=0,D784*E784*(1+F784/100),ABS(D784*E784/F784)),"")</f>
        <v/>
      </c>
      <c r="H784" s="42" t="str">
        <f>IFERROR(G784*E766,"")</f>
        <v/>
      </c>
    </row>
    <row r="786" spans="1:11">
      <c r="A786" s="6" t="s">
        <v>96</v>
      </c>
      <c r="B786" s="7" t="str">
        <f>VLOOKUP($A786,Presupuesto!$A:$D,2,FALSE())</f>
        <v>Señal luminosa intermitente</v>
      </c>
      <c r="C786" s="8" t="str">
        <f>VLOOKUP($A786,Presupuesto!$A:$D,3,FALSE())</f>
        <v>Un</v>
      </c>
      <c r="D786" s="9"/>
      <c r="E786" s="147">
        <f>VLOOKUP($A786,Presupuesto!$A:$D,4,FALSE())</f>
        <v>0</v>
      </c>
      <c r="F786" s="11" t="s">
        <v>2589</v>
      </c>
      <c r="G786" s="12">
        <f>SUM(G788:G804)/2</f>
        <v>745504.27884397516</v>
      </c>
      <c r="H786" s="13">
        <f>ROUND(SUM(H788:H804),0)/2</f>
        <v>0</v>
      </c>
      <c r="I786" s="10">
        <f>VLOOKUP(A786,Presupuesto!$A:$F,6,0)</f>
        <v>0</v>
      </c>
      <c r="J786" s="10">
        <f>+H786-I786</f>
        <v>0</v>
      </c>
      <c r="K786" s="46">
        <f>+H786-G786*E786</f>
        <v>0</v>
      </c>
    </row>
    <row r="787" spans="1:11">
      <c r="A787" s="14"/>
      <c r="B787" s="15" t="s">
        <v>2586</v>
      </c>
      <c r="C787" s="15" t="s">
        <v>5</v>
      </c>
      <c r="D787" s="16" t="s">
        <v>6</v>
      </c>
      <c r="E787" s="17" t="s">
        <v>7</v>
      </c>
      <c r="F787" s="18" t="s">
        <v>3728</v>
      </c>
      <c r="G787" s="19" t="s">
        <v>3729</v>
      </c>
      <c r="H787" s="20" t="s">
        <v>3797</v>
      </c>
    </row>
    <row r="788" spans="1:11">
      <c r="A788" s="21"/>
      <c r="B788" s="22" t="s">
        <v>3730</v>
      </c>
      <c r="C788" s="23"/>
      <c r="D788" s="24"/>
      <c r="E788" s="25"/>
      <c r="F788" s="26"/>
      <c r="G788" s="27">
        <f>SUM(G789:G793)</f>
        <v>712493.25</v>
      </c>
      <c r="H788" s="27">
        <f>IFERROR(G788*E786,"")</f>
        <v>0</v>
      </c>
    </row>
    <row r="789" spans="1:11">
      <c r="A789" s="28"/>
      <c r="B789" s="29" t="s">
        <v>3289</v>
      </c>
      <c r="C789" s="30" t="str">
        <f>IFERROR(_xlfn.XLOOKUP(B789,Insumo[DESCRIPCION],Insumo[UND],,0),"")</f>
        <v>Un</v>
      </c>
      <c r="D789" s="31">
        <v>1</v>
      </c>
      <c r="E789" s="32">
        <f>IFERROR(_xlfn.XLOOKUP($B789,Insumo[DESCRIPCION],Insumo[VALOR],,0),"")</f>
        <v>712493.25</v>
      </c>
      <c r="F789" s="33"/>
      <c r="G789" s="34">
        <f>IFERROR(IF(F789&gt;=0,D789*E789*(1+F789/100),ABS(D789*E789/F789)),"")</f>
        <v>712493.25</v>
      </c>
      <c r="H789" s="43">
        <f>IFERROR(G789*E786,"")</f>
        <v>0</v>
      </c>
    </row>
    <row r="790" spans="1:11">
      <c r="A790" s="28"/>
      <c r="B790" s="29"/>
      <c r="C790" s="30" t="str">
        <f>IFERROR(_xlfn.XLOOKUP(B790,Insumo[DESCRIPCION],Insumo[UND],,0),"")</f>
        <v/>
      </c>
      <c r="D790" s="31"/>
      <c r="E790" s="32" t="str">
        <f>IFERROR(_xlfn.XLOOKUP($B790,Insumo[DESCRIPCION],Insumo[VALOR],,0),"")</f>
        <v/>
      </c>
      <c r="F790" s="33"/>
      <c r="G790" s="34" t="str">
        <f>IFERROR(IF(F790&gt;=0,D790*E790*(1+F790/100),ABS(D790*E790/F790)),"")</f>
        <v/>
      </c>
      <c r="H790" s="43" t="str">
        <f>IFERROR(G790*E786,"")</f>
        <v/>
      </c>
    </row>
    <row r="791" spans="1:11">
      <c r="A791" s="28"/>
      <c r="B791" s="29"/>
      <c r="C791" s="30" t="str">
        <f>IFERROR(_xlfn.XLOOKUP(B791,Insumo[DESCRIPCION],Insumo[UND],,0),"")</f>
        <v/>
      </c>
      <c r="D791" s="31"/>
      <c r="E791" s="32" t="str">
        <f>IFERROR(_xlfn.XLOOKUP($B791,Insumo[DESCRIPCION],Insumo[VALOR],,0),"")</f>
        <v/>
      </c>
      <c r="F791" s="33"/>
      <c r="G791" s="34" t="str">
        <f>IFERROR(IF(F791&gt;=0,D791*E791*(1+F791/100),ABS(D791*E791/F791)),"")</f>
        <v/>
      </c>
      <c r="H791" s="43" t="str">
        <f>IFERROR(G791*E786,"")</f>
        <v/>
      </c>
    </row>
    <row r="792" spans="1:11">
      <c r="A792" s="28"/>
      <c r="B792" s="29"/>
      <c r="C792" s="30" t="str">
        <f>IFERROR(_xlfn.XLOOKUP(B792,Insumo[DESCRIPCION],Insumo[UND],,0),"")</f>
        <v/>
      </c>
      <c r="D792" s="31"/>
      <c r="E792" s="32" t="str">
        <f>IFERROR(_xlfn.XLOOKUP($B792,Insumo[DESCRIPCION],Insumo[VALOR],,0),"")</f>
        <v/>
      </c>
      <c r="F792" s="33"/>
      <c r="G792" s="34" t="str">
        <f>IFERROR(IF(F792&gt;=0,D792*E792*(1+F792/100),ABS(D792*E792/F792)),"")</f>
        <v/>
      </c>
      <c r="H792" s="43" t="str">
        <f>IFERROR(G792*E786,"")</f>
        <v/>
      </c>
    </row>
    <row r="793" spans="1:11">
      <c r="A793" s="28"/>
      <c r="B793" s="29"/>
      <c r="C793" s="30" t="str">
        <f>IFERROR(_xlfn.XLOOKUP(B793,Insumo[DESCRIPCION],Insumo[UND],,0),"")</f>
        <v/>
      </c>
      <c r="D793" s="31"/>
      <c r="E793" s="32" t="str">
        <f>IFERROR(_xlfn.XLOOKUP($B793,Insumo[DESCRIPCION],Insumo[VALOR],,0),"")</f>
        <v/>
      </c>
      <c r="F793" s="33"/>
      <c r="G793" s="34" t="str">
        <f>IFERROR(IF(F793&gt;=0,D793*E793*(1+F793/100),ABS(D793*E793/F793)),"")</f>
        <v/>
      </c>
      <c r="H793" s="43" t="str">
        <f>IFERROR(G793*E786,"")</f>
        <v/>
      </c>
    </row>
    <row r="794" spans="1:11">
      <c r="A794" s="21"/>
      <c r="B794" s="22" t="s">
        <v>3731</v>
      </c>
      <c r="C794" s="23"/>
      <c r="D794" s="24"/>
      <c r="E794" s="25"/>
      <c r="F794" s="26"/>
      <c r="G794" s="27">
        <f>SUM(G795:G797)</f>
        <v>1571.9537544750003</v>
      </c>
      <c r="H794" s="44">
        <f>G794*E786</f>
        <v>0</v>
      </c>
    </row>
    <row r="795" spans="1:11">
      <c r="A795" s="28"/>
      <c r="B795" s="29" t="s">
        <v>3626</v>
      </c>
      <c r="C795" s="30" t="str">
        <f>IFERROR(_xlfn.XLOOKUP(B795,Equipo[DESCRIPCION],Equipo[UND],,0),"")</f>
        <v>%MO</v>
      </c>
      <c r="D795" s="31">
        <v>0.05</v>
      </c>
      <c r="E795" s="32">
        <f>IF(C795="%MO",G801,IFERROR(VLOOKUP($B795,Equipo[],3,0),""))</f>
        <v>31439.075089500006</v>
      </c>
      <c r="F795" s="33"/>
      <c r="G795" s="34">
        <f>IFERROR(IF(F795&gt;=0,D795*E795*(1+F795/100),ABS(D795*E795/F795)),"")</f>
        <v>1571.9537544750003</v>
      </c>
      <c r="H795" s="43">
        <f>IFERROR(G795*E786,"")</f>
        <v>0</v>
      </c>
    </row>
    <row r="796" spans="1:11">
      <c r="A796" s="28"/>
      <c r="B796" s="29"/>
      <c r="C796" s="30" t="str">
        <f>IFERROR(_xlfn.XLOOKUP(B796,Equipo[DESCRIPCION],Equipo[UND],,0),"")</f>
        <v/>
      </c>
      <c r="D796" s="31"/>
      <c r="E796" s="32" t="str">
        <f>IF(C796="%MO",G801,IFERROR(VLOOKUP($B796,Equipo[],3,0),""))</f>
        <v/>
      </c>
      <c r="F796" s="33"/>
      <c r="G796" s="34" t="str">
        <f>IFERROR(IF(F796&gt;=0,D796*E796*(1+F796/100),ABS(D796*E796/F796)),"")</f>
        <v/>
      </c>
      <c r="H796" s="43" t="str">
        <f>IFERROR(G796*E786,"")</f>
        <v/>
      </c>
    </row>
    <row r="797" spans="1:11">
      <c r="A797" s="28"/>
      <c r="B797" s="29"/>
      <c r="C797" s="30" t="str">
        <f>IFERROR(_xlfn.XLOOKUP(B797,Equipo[DESCRIPCION],Equipo[UND],,0),"")</f>
        <v/>
      </c>
      <c r="D797" s="31"/>
      <c r="E797" s="32" t="str">
        <f>IF(C797="%MO",G801,IFERROR(VLOOKUP($B797,Equipo[],3,0),""))</f>
        <v/>
      </c>
      <c r="F797" s="33"/>
      <c r="G797" s="34" t="str">
        <f>IFERROR(IF(F797&gt;=0,D797*E797*(1+F797/100),ABS(D797*E797/F797)),"")</f>
        <v/>
      </c>
      <c r="H797" s="43" t="str">
        <f>IFERROR(G797*E786,"")</f>
        <v/>
      </c>
    </row>
    <row r="798" spans="1:11">
      <c r="A798" s="21"/>
      <c r="B798" s="22" t="s">
        <v>2533</v>
      </c>
      <c r="C798" s="23"/>
      <c r="D798" s="24"/>
      <c r="E798" s="25"/>
      <c r="F798" s="26"/>
      <c r="G798" s="27">
        <f>SUM(G799:G800)</f>
        <v>0</v>
      </c>
      <c r="H798" s="44">
        <f>G798*E786</f>
        <v>0</v>
      </c>
    </row>
    <row r="799" spans="1:11">
      <c r="A799" s="28"/>
      <c r="B799" s="29"/>
      <c r="C799" s="30" t="str">
        <f>IFERROR(_xlfn.XLOOKUP(B799,Transporte[DESCRIPCION],Transporte[UND],,0),"")</f>
        <v/>
      </c>
      <c r="D799" s="31"/>
      <c r="E799" s="32" t="str">
        <f>IFERROR(_xlfn.XLOOKUP($B799,Transporte[DESCRIPCION],Transporte[VALOR],,0),"")</f>
        <v/>
      </c>
      <c r="F799" s="33"/>
      <c r="G799" s="34" t="str">
        <f>IFERROR(IF(F799&gt;=0,D799*E799*(1+F799/100),ABS(D799*E799/F799)),"")</f>
        <v/>
      </c>
      <c r="H799" s="43" t="str">
        <f>IFERROR(G799*E786,"")</f>
        <v/>
      </c>
    </row>
    <row r="800" spans="1:11">
      <c r="A800" s="28"/>
      <c r="B800" s="29"/>
      <c r="C800" s="30" t="str">
        <f>IFERROR(_xlfn.XLOOKUP(B800,Transporte[DESCRIPCION],Transporte[UND],,0),"")</f>
        <v/>
      </c>
      <c r="D800" s="31"/>
      <c r="E800" s="32" t="str">
        <f>IFERROR(_xlfn.XLOOKUP($B800,Transporte[DESCRIPCION],Transporte[VALOR],,0),"")</f>
        <v/>
      </c>
      <c r="F800" s="33"/>
      <c r="G800" s="34" t="str">
        <f>IFERROR(IF(F800&gt;=0,D800*E800*(1+F800/100),ABS(D800*E800/F800)),"")</f>
        <v/>
      </c>
      <c r="H800" s="43" t="str">
        <f>IFERROR(G800*E786,"")</f>
        <v/>
      </c>
    </row>
    <row r="801" spans="1:11">
      <c r="A801" s="21"/>
      <c r="B801" s="22" t="s">
        <v>3732</v>
      </c>
      <c r="C801" s="23"/>
      <c r="D801" s="24"/>
      <c r="E801" s="25"/>
      <c r="F801" s="26"/>
      <c r="G801" s="27">
        <f>SUM(G802:G804)</f>
        <v>31439.075089500006</v>
      </c>
      <c r="H801" s="44">
        <f>G801*E786</f>
        <v>0</v>
      </c>
    </row>
    <row r="802" spans="1:11">
      <c r="A802" s="28"/>
      <c r="B802" s="29" t="s">
        <v>3710</v>
      </c>
      <c r="C802" s="30" t="str">
        <f>IFERROR(_xlfn.XLOOKUP(B802,MObra[DESCRIPCION],MObra[UN],,0),"")</f>
        <v>día</v>
      </c>
      <c r="D802" s="31">
        <v>1</v>
      </c>
      <c r="E802" s="32">
        <f>IFERROR(_xlfn.XLOOKUP($B802,MObra[DESCRIPCION],MObra[VALOR UNIT],,0),"")</f>
        <v>314390.75089500006</v>
      </c>
      <c r="F802" s="33">
        <v>-10</v>
      </c>
      <c r="G802" s="34">
        <f>IFERROR(IF(F802&gt;=0,D802*E802*(1+F802/100),ABS(D802*E802/F802)),"")</f>
        <v>31439.075089500006</v>
      </c>
      <c r="H802" s="43">
        <f>IFERROR(G802*E786,"")</f>
        <v>0</v>
      </c>
    </row>
    <row r="803" spans="1:11">
      <c r="A803" s="28"/>
      <c r="B803" s="29"/>
      <c r="C803" s="30" t="str">
        <f t="array" ref="C803">IFERROR(_xlfn.XLOOKUP(B803,MObra[[#All],[DESCRIPCION]],MObra[[#All],[UN]],,0),"")</f>
        <v/>
      </c>
      <c r="D803" s="31"/>
      <c r="E803" s="32" t="str">
        <f>IFERROR(_xlfn.XLOOKUP($B803,MObra[DESCRIPCION],MObra[VALOR UNIT],,0),"")</f>
        <v/>
      </c>
      <c r="F803" s="33"/>
      <c r="G803" s="34" t="str">
        <f>IFERROR(IF(F803&gt;=0,D803*E803*(1+F803/100),ABS(D803*E803/F803)),"")</f>
        <v/>
      </c>
      <c r="H803" s="43" t="str">
        <f>IFERROR(G803*E786,"")</f>
        <v/>
      </c>
    </row>
    <row r="804" spans="1:11">
      <c r="A804" s="35"/>
      <c r="B804" s="36"/>
      <c r="C804" s="37" t="str">
        <f t="array" ref="C804">IFERROR(_xlfn.XLOOKUP(B804,MObra[[#All],[DESCRIPCION]],MObra[[#All],[UN]],,0),"")</f>
        <v/>
      </c>
      <c r="D804" s="38"/>
      <c r="E804" s="39" t="str">
        <f>IFERROR(_xlfn.XLOOKUP($B804,MObra[DESCRIPCION],MObra[VALOR UNIT],,0),"")</f>
        <v/>
      </c>
      <c r="F804" s="40"/>
      <c r="G804" s="41" t="str">
        <f>IFERROR(IF(F804&gt;=0,D804*E804*(1+F804/100),ABS(D804*E804/F804)),"")</f>
        <v/>
      </c>
      <c r="H804" s="42" t="str">
        <f>IFERROR(G804*E786,"")</f>
        <v/>
      </c>
    </row>
    <row r="806" spans="1:11">
      <c r="A806" s="6" t="s">
        <v>98</v>
      </c>
      <c r="B806" s="7" t="str">
        <f>VLOOKUP($A806,Presupuesto!$A:$D,2,FALSE())</f>
        <v>Señal preventiva reflectiva L=0.9 m</v>
      </c>
      <c r="C806" s="8" t="str">
        <f>VLOOKUP($A806,Presupuesto!$A:$D,3,FALSE())</f>
        <v>Un</v>
      </c>
      <c r="D806" s="9"/>
      <c r="E806" s="147">
        <f>VLOOKUP($A806,Presupuesto!$A:$D,4,FALSE())</f>
        <v>0</v>
      </c>
      <c r="F806" s="11" t="s">
        <v>2589</v>
      </c>
      <c r="G806" s="12">
        <f>SUM(G808:G824)/2</f>
        <v>466360.10743667546</v>
      </c>
      <c r="H806" s="13">
        <f>ROUND(SUM(H808:H824),0)/2</f>
        <v>0</v>
      </c>
      <c r="I806" s="10">
        <f>VLOOKUP(A806,Presupuesto!$A:$F,6,0)</f>
        <v>0</v>
      </c>
      <c r="J806" s="10">
        <f>+H806-I806</f>
        <v>0</v>
      </c>
      <c r="K806" s="46">
        <f>+H806-G806*E806</f>
        <v>0</v>
      </c>
    </row>
    <row r="807" spans="1:11">
      <c r="A807" s="14"/>
      <c r="B807" s="15" t="s">
        <v>2586</v>
      </c>
      <c r="C807" s="15" t="s">
        <v>5</v>
      </c>
      <c r="D807" s="16" t="s">
        <v>6</v>
      </c>
      <c r="E807" s="17" t="s">
        <v>7</v>
      </c>
      <c r="F807" s="18" t="s">
        <v>3728</v>
      </c>
      <c r="G807" s="19" t="s">
        <v>3729</v>
      </c>
      <c r="H807" s="20" t="s">
        <v>3797</v>
      </c>
    </row>
    <row r="808" spans="1:11">
      <c r="A808" s="21"/>
      <c r="B808" s="22" t="s">
        <v>3730</v>
      </c>
      <c r="C808" s="23"/>
      <c r="D808" s="24"/>
      <c r="E808" s="25"/>
      <c r="F808" s="26"/>
      <c r="G808" s="27">
        <f>SUM(G809:G813)</f>
        <v>433349.07859270042</v>
      </c>
      <c r="H808" s="27">
        <f>IFERROR(G808*E806,"")</f>
        <v>0</v>
      </c>
    </row>
    <row r="809" spans="1:11">
      <c r="A809" s="28"/>
      <c r="B809" s="29" t="s">
        <v>3238</v>
      </c>
      <c r="C809" s="30" t="str">
        <f>IFERROR(_xlfn.XLOOKUP(B809,Insumo[DESCRIPCION],Insumo[UND],,0),"")</f>
        <v>M3</v>
      </c>
      <c r="D809" s="31">
        <v>3.5999999999999997E-2</v>
      </c>
      <c r="E809" s="32">
        <f>IFERROR(_xlfn.XLOOKUP($B809,Insumo[DESCRIPCION],Insumo[VALOR],,0),"")</f>
        <v>488900.227320117</v>
      </c>
      <c r="F809" s="33">
        <v>5</v>
      </c>
      <c r="G809" s="34">
        <f>IFERROR(IF(F809&gt;=0,D809*E809*(1+F809/100),ABS(D809*E809/F809)),"")</f>
        <v>18480.42859270042</v>
      </c>
      <c r="H809" s="43">
        <f>IFERROR(G809*E806,"")</f>
        <v>0</v>
      </c>
    </row>
    <row r="810" spans="1:11">
      <c r="A810" s="28"/>
      <c r="B810" s="29" t="s">
        <v>3291</v>
      </c>
      <c r="C810" s="30" t="str">
        <f>IFERROR(_xlfn.XLOOKUP(B810,Insumo[DESCRIPCION],Insumo[UND],,0),"")</f>
        <v>Un</v>
      </c>
      <c r="D810" s="31">
        <v>1</v>
      </c>
      <c r="E810" s="32">
        <f>IFERROR(_xlfn.XLOOKUP($B810,Insumo[DESCRIPCION],Insumo[VALOR],,0),"")</f>
        <v>414868.65</v>
      </c>
      <c r="F810" s="33"/>
      <c r="G810" s="34">
        <f>IFERROR(IF(F810&gt;=0,D810*E810*(1+F810/100),ABS(D810*E810/F810)),"")</f>
        <v>414868.65</v>
      </c>
      <c r="H810" s="43">
        <f>IFERROR(G810*E806,"")</f>
        <v>0</v>
      </c>
    </row>
    <row r="811" spans="1:11">
      <c r="A811" s="28"/>
      <c r="B811" s="29"/>
      <c r="C811" s="30" t="str">
        <f>IFERROR(_xlfn.XLOOKUP(B811,Insumo[DESCRIPCION],Insumo[UND],,0),"")</f>
        <v/>
      </c>
      <c r="D811" s="31"/>
      <c r="E811" s="32" t="str">
        <f>IFERROR(_xlfn.XLOOKUP($B811,Insumo[DESCRIPCION],Insumo[VALOR],,0),"")</f>
        <v/>
      </c>
      <c r="F811" s="33"/>
      <c r="G811" s="34" t="str">
        <f>IFERROR(IF(F811&gt;=0,D811*E811*(1+F811/100),ABS(D811*E811/F811)),"")</f>
        <v/>
      </c>
      <c r="H811" s="43" t="str">
        <f>IFERROR(G811*E806,"")</f>
        <v/>
      </c>
    </row>
    <row r="812" spans="1:11">
      <c r="A812" s="28"/>
      <c r="B812" s="29"/>
      <c r="C812" s="30" t="str">
        <f>IFERROR(_xlfn.XLOOKUP(B812,Insumo[DESCRIPCION],Insumo[UND],,0),"")</f>
        <v/>
      </c>
      <c r="D812" s="31"/>
      <c r="E812" s="32" t="str">
        <f>IFERROR(_xlfn.XLOOKUP($B812,Insumo[DESCRIPCION],Insumo[VALOR],,0),"")</f>
        <v/>
      </c>
      <c r="F812" s="33"/>
      <c r="G812" s="34" t="str">
        <f>IFERROR(IF(F812&gt;=0,D812*E812*(1+F812/100),ABS(D812*E812/F812)),"")</f>
        <v/>
      </c>
      <c r="H812" s="43" t="str">
        <f>IFERROR(G812*E806,"")</f>
        <v/>
      </c>
    </row>
    <row r="813" spans="1:11">
      <c r="A813" s="28"/>
      <c r="B813" s="29"/>
      <c r="C813" s="30" t="str">
        <f>IFERROR(_xlfn.XLOOKUP(B813,Insumo[DESCRIPCION],Insumo[UND],,0),"")</f>
        <v/>
      </c>
      <c r="D813" s="31"/>
      <c r="E813" s="32" t="str">
        <f>IFERROR(_xlfn.XLOOKUP($B813,Insumo[DESCRIPCION],Insumo[VALOR],,0),"")</f>
        <v/>
      </c>
      <c r="F813" s="33"/>
      <c r="G813" s="34" t="str">
        <f>IFERROR(IF(F813&gt;=0,D813*E813*(1+F813/100),ABS(D813*E813/F813)),"")</f>
        <v/>
      </c>
      <c r="H813" s="43" t="str">
        <f>IFERROR(G813*E806,"")</f>
        <v/>
      </c>
    </row>
    <row r="814" spans="1:11">
      <c r="A814" s="21"/>
      <c r="B814" s="22" t="s">
        <v>3731</v>
      </c>
      <c r="C814" s="23"/>
      <c r="D814" s="24"/>
      <c r="E814" s="25"/>
      <c r="F814" s="26"/>
      <c r="G814" s="27">
        <f>SUM(G815:G817)</f>
        <v>1571.9537544750003</v>
      </c>
      <c r="H814" s="44">
        <f>G814*E806</f>
        <v>0</v>
      </c>
    </row>
    <row r="815" spans="1:11">
      <c r="A815" s="28"/>
      <c r="B815" s="29" t="s">
        <v>3626</v>
      </c>
      <c r="C815" s="30" t="str">
        <f>IFERROR(_xlfn.XLOOKUP(B815,Equipo[DESCRIPCION],Equipo[UND],,0),"")</f>
        <v>%MO</v>
      </c>
      <c r="D815" s="31">
        <v>0.05</v>
      </c>
      <c r="E815" s="32">
        <f>IF(C815="%MO",G821,IFERROR(VLOOKUP($B815,Equipo[],3,0),""))</f>
        <v>31439.075089500006</v>
      </c>
      <c r="F815" s="33"/>
      <c r="G815" s="34">
        <f>IFERROR(IF(F815&gt;=0,D815*E815*(1+F815/100),ABS(D815*E815/F815)),"")</f>
        <v>1571.9537544750003</v>
      </c>
      <c r="H815" s="43">
        <f>IFERROR(G815*E806,"")</f>
        <v>0</v>
      </c>
    </row>
    <row r="816" spans="1:11">
      <c r="A816" s="28"/>
      <c r="B816" s="29"/>
      <c r="C816" s="30" t="str">
        <f>IFERROR(_xlfn.XLOOKUP(B816,Equipo[DESCRIPCION],Equipo[UND],,0),"")</f>
        <v/>
      </c>
      <c r="D816" s="31"/>
      <c r="E816" s="32" t="str">
        <f>IF(C816="%MO",G821,IFERROR(VLOOKUP($B816,Equipo[],3,0),""))</f>
        <v/>
      </c>
      <c r="F816" s="33"/>
      <c r="G816" s="34" t="str">
        <f>IFERROR(IF(F816&gt;=0,D816*E816*(1+F816/100),ABS(D816*E816/F816)),"")</f>
        <v/>
      </c>
      <c r="H816" s="43" t="str">
        <f>IFERROR(G816*E806,"")</f>
        <v/>
      </c>
    </row>
    <row r="817" spans="1:11">
      <c r="A817" s="28"/>
      <c r="B817" s="29"/>
      <c r="C817" s="30" t="str">
        <f>IFERROR(_xlfn.XLOOKUP(B817,Equipo[DESCRIPCION],Equipo[UND],,0),"")</f>
        <v/>
      </c>
      <c r="D817" s="31"/>
      <c r="E817" s="32" t="str">
        <f>IF(C817="%MO",G821,IFERROR(VLOOKUP($B817,Equipo[],3,0),""))</f>
        <v/>
      </c>
      <c r="F817" s="33"/>
      <c r="G817" s="34" t="str">
        <f>IFERROR(IF(F817&gt;=0,D817*E817*(1+F817/100),ABS(D817*E817/F817)),"")</f>
        <v/>
      </c>
      <c r="H817" s="43" t="str">
        <f>IFERROR(G817*E806,"")</f>
        <v/>
      </c>
    </row>
    <row r="818" spans="1:11">
      <c r="A818" s="21"/>
      <c r="B818" s="22" t="s">
        <v>2533</v>
      </c>
      <c r="C818" s="23"/>
      <c r="D818" s="24"/>
      <c r="E818" s="25"/>
      <c r="F818" s="26"/>
      <c r="G818" s="27">
        <f>SUM(G819:G820)</f>
        <v>0</v>
      </c>
      <c r="H818" s="44">
        <f>G818*E806</f>
        <v>0</v>
      </c>
    </row>
    <row r="819" spans="1:11">
      <c r="A819" s="28"/>
      <c r="B819" s="29"/>
      <c r="C819" s="30" t="str">
        <f>IFERROR(_xlfn.XLOOKUP(B819,Transporte[DESCRIPCION],Transporte[UND],,0),"")</f>
        <v/>
      </c>
      <c r="D819" s="31"/>
      <c r="E819" s="32" t="str">
        <f>IFERROR(_xlfn.XLOOKUP($B819,Transporte[DESCRIPCION],Transporte[VALOR],,0),"")</f>
        <v/>
      </c>
      <c r="F819" s="33"/>
      <c r="G819" s="34" t="str">
        <f>IFERROR(IF(F819&gt;=0,D819*E819*(1+F819/100),ABS(D819*E819/F819)),"")</f>
        <v/>
      </c>
      <c r="H819" s="43" t="str">
        <f>IFERROR(G819*E806,"")</f>
        <v/>
      </c>
    </row>
    <row r="820" spans="1:11">
      <c r="A820" s="28"/>
      <c r="B820" s="29"/>
      <c r="C820" s="30" t="str">
        <f>IFERROR(_xlfn.XLOOKUP(B820,Transporte[DESCRIPCION],Transporte[UND],,0),"")</f>
        <v/>
      </c>
      <c r="D820" s="31"/>
      <c r="E820" s="32" t="str">
        <f>IFERROR(_xlfn.XLOOKUP($B820,Transporte[DESCRIPCION],Transporte[VALOR],,0),"")</f>
        <v/>
      </c>
      <c r="F820" s="33"/>
      <c r="G820" s="34" t="str">
        <f>IFERROR(IF(F820&gt;=0,D820*E820*(1+F820/100),ABS(D820*E820/F820)),"")</f>
        <v/>
      </c>
      <c r="H820" s="43" t="str">
        <f>IFERROR(G820*E806,"")</f>
        <v/>
      </c>
    </row>
    <row r="821" spans="1:11">
      <c r="A821" s="21"/>
      <c r="B821" s="22" t="s">
        <v>3732</v>
      </c>
      <c r="C821" s="23"/>
      <c r="D821" s="24"/>
      <c r="E821" s="25"/>
      <c r="F821" s="26"/>
      <c r="G821" s="27">
        <f>SUM(G822:G824)</f>
        <v>31439.075089500006</v>
      </c>
      <c r="H821" s="44">
        <f>G821*E806</f>
        <v>0</v>
      </c>
    </row>
    <row r="822" spans="1:11">
      <c r="A822" s="28"/>
      <c r="B822" s="29" t="s">
        <v>3710</v>
      </c>
      <c r="C822" s="30" t="str">
        <f>IFERROR(_xlfn.XLOOKUP(B822,MObra[DESCRIPCION],MObra[UN],,0),"")</f>
        <v>día</v>
      </c>
      <c r="D822" s="31">
        <v>1</v>
      </c>
      <c r="E822" s="32">
        <f>IFERROR(_xlfn.XLOOKUP($B822,MObra[DESCRIPCION],MObra[VALOR UNIT],,0),"")</f>
        <v>314390.75089500006</v>
      </c>
      <c r="F822" s="33">
        <v>-10</v>
      </c>
      <c r="G822" s="34">
        <f>IFERROR(IF(F822&gt;=0,D822*E822*(1+F822/100),ABS(D822*E822/F822)),"")</f>
        <v>31439.075089500006</v>
      </c>
      <c r="H822" s="43">
        <f>IFERROR(G822*E806,"")</f>
        <v>0</v>
      </c>
    </row>
    <row r="823" spans="1:11">
      <c r="A823" s="28"/>
      <c r="B823" s="29"/>
      <c r="C823" s="30" t="str">
        <f t="array" ref="C823">IFERROR(_xlfn.XLOOKUP(B823,MObra[[#All],[DESCRIPCION]],MObra[[#All],[UN]],,0),"")</f>
        <v/>
      </c>
      <c r="D823" s="31"/>
      <c r="E823" s="32" t="str">
        <f>IFERROR(_xlfn.XLOOKUP($B823,MObra[DESCRIPCION],MObra[VALOR UNIT],,0),"")</f>
        <v/>
      </c>
      <c r="F823" s="33"/>
      <c r="G823" s="34" t="str">
        <f>IFERROR(IF(F823&gt;=0,D823*E823*(1+F823/100),ABS(D823*E823/F823)),"")</f>
        <v/>
      </c>
      <c r="H823" s="43" t="str">
        <f>IFERROR(G823*E806,"")</f>
        <v/>
      </c>
    </row>
    <row r="824" spans="1:11">
      <c r="A824" s="35"/>
      <c r="B824" s="36"/>
      <c r="C824" s="37" t="str">
        <f t="array" ref="C824">IFERROR(_xlfn.XLOOKUP(B824,MObra[[#All],[DESCRIPCION]],MObra[[#All],[UN]],,0),"")</f>
        <v/>
      </c>
      <c r="D824" s="38"/>
      <c r="E824" s="39" t="str">
        <f>IFERROR(_xlfn.XLOOKUP($B824,MObra[DESCRIPCION],MObra[VALOR UNIT],,0),"")</f>
        <v/>
      </c>
      <c r="F824" s="40"/>
      <c r="G824" s="41" t="str">
        <f>IFERROR(IF(F824&gt;=0,D824*E824*(1+F824/100),ABS(D824*E824/F824)),"")</f>
        <v/>
      </c>
      <c r="H824" s="42" t="str">
        <f>IFERROR(G824*E806,"")</f>
        <v/>
      </c>
    </row>
    <row r="826" spans="1:11">
      <c r="A826" s="6" t="s">
        <v>100</v>
      </c>
      <c r="B826" s="7" t="str">
        <f>VLOOKUP($A826,Presupuesto!$A:$D,2,FALSE())</f>
        <v>Señal preventiva reflectiva D=0.6 m</v>
      </c>
      <c r="C826" s="8" t="str">
        <f>VLOOKUP($A826,Presupuesto!$A:$D,3,FALSE())</f>
        <v>Un</v>
      </c>
      <c r="D826" s="9"/>
      <c r="E826" s="147">
        <f>VLOOKUP($A826,Presupuesto!$A:$D,4,FALSE())</f>
        <v>0</v>
      </c>
      <c r="F826" s="11" t="s">
        <v>2589</v>
      </c>
      <c r="G826" s="12">
        <f>SUM(G828:G844)/2</f>
        <v>373156.85743667546</v>
      </c>
      <c r="H826" s="13">
        <f>ROUND(SUM(H828:H844),0)/2</f>
        <v>0</v>
      </c>
      <c r="I826" s="10">
        <f>VLOOKUP(A826,Presupuesto!$A:$F,6,0)</f>
        <v>0</v>
      </c>
      <c r="J826" s="10">
        <f>+H826-I826</f>
        <v>0</v>
      </c>
      <c r="K826" s="46">
        <f>+H826-G826*E826</f>
        <v>0</v>
      </c>
    </row>
    <row r="827" spans="1:11">
      <c r="A827" s="14"/>
      <c r="B827" s="15" t="s">
        <v>2586</v>
      </c>
      <c r="C827" s="15" t="s">
        <v>5</v>
      </c>
      <c r="D827" s="16" t="s">
        <v>6</v>
      </c>
      <c r="E827" s="17" t="s">
        <v>7</v>
      </c>
      <c r="F827" s="18" t="s">
        <v>3728</v>
      </c>
      <c r="G827" s="19" t="s">
        <v>3729</v>
      </c>
      <c r="H827" s="20" t="s">
        <v>3797</v>
      </c>
    </row>
    <row r="828" spans="1:11">
      <c r="A828" s="21"/>
      <c r="B828" s="22" t="s">
        <v>3730</v>
      </c>
      <c r="C828" s="23"/>
      <c r="D828" s="24"/>
      <c r="E828" s="25"/>
      <c r="F828" s="26"/>
      <c r="G828" s="27">
        <f>SUM(G829:G833)</f>
        <v>340145.82859270042</v>
      </c>
      <c r="H828" s="27">
        <f>IFERROR(G828*E826,"")</f>
        <v>0</v>
      </c>
    </row>
    <row r="829" spans="1:11">
      <c r="A829" s="28"/>
      <c r="B829" s="29" t="s">
        <v>3238</v>
      </c>
      <c r="C829" s="30" t="str">
        <f>IFERROR(_xlfn.XLOOKUP(B829,Insumo[DESCRIPCION],Insumo[UND],,0),"")</f>
        <v>M3</v>
      </c>
      <c r="D829" s="31">
        <v>3.5999999999999997E-2</v>
      </c>
      <c r="E829" s="32">
        <f>IFERROR(_xlfn.XLOOKUP($B829,Insumo[DESCRIPCION],Insumo[VALOR],,0),"")</f>
        <v>488900.227320117</v>
      </c>
      <c r="F829" s="33">
        <v>5</v>
      </c>
      <c r="G829" s="34">
        <f>IFERROR(IF(F829&gt;=0,D829*E829*(1+F829/100),ABS(D829*E829/F829)),"")</f>
        <v>18480.42859270042</v>
      </c>
      <c r="H829" s="43">
        <f>IFERROR(G829*E826,"")</f>
        <v>0</v>
      </c>
    </row>
    <row r="830" spans="1:11">
      <c r="A830" s="28"/>
      <c r="B830" s="29" t="s">
        <v>3290</v>
      </c>
      <c r="C830" s="30" t="str">
        <f>IFERROR(_xlfn.XLOOKUP(B830,Insumo[DESCRIPCION],Insumo[UND],,0),"")</f>
        <v>Un</v>
      </c>
      <c r="D830" s="31">
        <v>1</v>
      </c>
      <c r="E830" s="32">
        <f>IFERROR(_xlfn.XLOOKUP($B830,Insumo[DESCRIPCION],Insumo[VALOR],,0),"")</f>
        <v>321665.40000000002</v>
      </c>
      <c r="F830" s="33"/>
      <c r="G830" s="34">
        <f>IFERROR(IF(F830&gt;=0,D830*E830*(1+F830/100),ABS(D830*E830/F830)),"")</f>
        <v>321665.40000000002</v>
      </c>
      <c r="H830" s="43">
        <f>IFERROR(G830*E826,"")</f>
        <v>0</v>
      </c>
    </row>
    <row r="831" spans="1:11">
      <c r="A831" s="28"/>
      <c r="B831" s="29"/>
      <c r="C831" s="30" t="str">
        <f>IFERROR(_xlfn.XLOOKUP(B831,Insumo[DESCRIPCION],Insumo[UND],,0),"")</f>
        <v/>
      </c>
      <c r="D831" s="31"/>
      <c r="E831" s="32" t="str">
        <f>IFERROR(_xlfn.XLOOKUP($B831,Insumo[DESCRIPCION],Insumo[VALOR],,0),"")</f>
        <v/>
      </c>
      <c r="F831" s="33"/>
      <c r="G831" s="34" t="str">
        <f>IFERROR(IF(F831&gt;=0,D831*E831*(1+F831/100),ABS(D831*E831/F831)),"")</f>
        <v/>
      </c>
      <c r="H831" s="43" t="str">
        <f>IFERROR(G831*E826,"")</f>
        <v/>
      </c>
    </row>
    <row r="832" spans="1:11">
      <c r="A832" s="28"/>
      <c r="B832" s="29"/>
      <c r="C832" s="30" t="str">
        <f>IFERROR(_xlfn.XLOOKUP(B832,Insumo[DESCRIPCION],Insumo[UND],,0),"")</f>
        <v/>
      </c>
      <c r="D832" s="31"/>
      <c r="E832" s="32" t="str">
        <f>IFERROR(_xlfn.XLOOKUP($B832,Insumo[DESCRIPCION],Insumo[VALOR],,0),"")</f>
        <v/>
      </c>
      <c r="F832" s="33"/>
      <c r="G832" s="34" t="str">
        <f>IFERROR(IF(F832&gt;=0,D832*E832*(1+F832/100),ABS(D832*E832/F832)),"")</f>
        <v/>
      </c>
      <c r="H832" s="43" t="str">
        <f>IFERROR(G832*E826,"")</f>
        <v/>
      </c>
    </row>
    <row r="833" spans="1:11">
      <c r="A833" s="28"/>
      <c r="B833" s="29"/>
      <c r="C833" s="30" t="str">
        <f>IFERROR(_xlfn.XLOOKUP(B833,Insumo[DESCRIPCION],Insumo[UND],,0),"")</f>
        <v/>
      </c>
      <c r="D833" s="31"/>
      <c r="E833" s="32" t="str">
        <f>IFERROR(_xlfn.XLOOKUP($B833,Insumo[DESCRIPCION],Insumo[VALOR],,0),"")</f>
        <v/>
      </c>
      <c r="F833" s="33"/>
      <c r="G833" s="34" t="str">
        <f>IFERROR(IF(F833&gt;=0,D833*E833*(1+F833/100),ABS(D833*E833/F833)),"")</f>
        <v/>
      </c>
      <c r="H833" s="43" t="str">
        <f>IFERROR(G833*E826,"")</f>
        <v/>
      </c>
    </row>
    <row r="834" spans="1:11">
      <c r="A834" s="21"/>
      <c r="B834" s="22" t="s">
        <v>3731</v>
      </c>
      <c r="C834" s="23"/>
      <c r="D834" s="24"/>
      <c r="E834" s="25"/>
      <c r="F834" s="26"/>
      <c r="G834" s="27">
        <f>SUM(G835:G837)</f>
        <v>1571.9537544750003</v>
      </c>
      <c r="H834" s="44">
        <f>G834*E826</f>
        <v>0</v>
      </c>
    </row>
    <row r="835" spans="1:11">
      <c r="A835" s="28"/>
      <c r="B835" s="29" t="s">
        <v>3626</v>
      </c>
      <c r="C835" s="30" t="str">
        <f>IFERROR(_xlfn.XLOOKUP(B835,Equipo[DESCRIPCION],Equipo[UND],,0),"")</f>
        <v>%MO</v>
      </c>
      <c r="D835" s="31">
        <v>0.05</v>
      </c>
      <c r="E835" s="32">
        <f>IF(C835="%MO",G841,IFERROR(VLOOKUP($B835,Equipo[],3,0),""))</f>
        <v>31439.075089500006</v>
      </c>
      <c r="F835" s="33"/>
      <c r="G835" s="34">
        <f>IFERROR(IF(F835&gt;=0,D835*E835*(1+F835/100),ABS(D835*E835/F835)),"")</f>
        <v>1571.9537544750003</v>
      </c>
      <c r="H835" s="43">
        <f>IFERROR(G835*E826,"")</f>
        <v>0</v>
      </c>
    </row>
    <row r="836" spans="1:11">
      <c r="A836" s="28"/>
      <c r="B836" s="29"/>
      <c r="C836" s="30" t="str">
        <f>IFERROR(_xlfn.XLOOKUP(B836,Equipo[DESCRIPCION],Equipo[UND],,0),"")</f>
        <v/>
      </c>
      <c r="D836" s="31"/>
      <c r="E836" s="32" t="str">
        <f>IF(C836="%MO",G841,IFERROR(VLOOKUP($B836,Equipo[],3,0),""))</f>
        <v/>
      </c>
      <c r="F836" s="33"/>
      <c r="G836" s="34" t="str">
        <f>IFERROR(IF(F836&gt;=0,D836*E836*(1+F836/100),ABS(D836*E836/F836)),"")</f>
        <v/>
      </c>
      <c r="H836" s="43" t="str">
        <f>IFERROR(G836*E826,"")</f>
        <v/>
      </c>
    </row>
    <row r="837" spans="1:11">
      <c r="A837" s="28"/>
      <c r="B837" s="29"/>
      <c r="C837" s="30" t="str">
        <f>IFERROR(_xlfn.XLOOKUP(B837,Equipo[DESCRIPCION],Equipo[UND],,0),"")</f>
        <v/>
      </c>
      <c r="D837" s="31"/>
      <c r="E837" s="32" t="str">
        <f>IF(C837="%MO",G841,IFERROR(VLOOKUP($B837,Equipo[],3,0),""))</f>
        <v/>
      </c>
      <c r="F837" s="33"/>
      <c r="G837" s="34" t="str">
        <f>IFERROR(IF(F837&gt;=0,D837*E837*(1+F837/100),ABS(D837*E837/F837)),"")</f>
        <v/>
      </c>
      <c r="H837" s="43" t="str">
        <f>IFERROR(G837*E826,"")</f>
        <v/>
      </c>
    </row>
    <row r="838" spans="1:11">
      <c r="A838" s="21"/>
      <c r="B838" s="22" t="s">
        <v>2533</v>
      </c>
      <c r="C838" s="23"/>
      <c r="D838" s="24"/>
      <c r="E838" s="25"/>
      <c r="F838" s="26"/>
      <c r="G838" s="27">
        <f>SUM(G839:G840)</f>
        <v>0</v>
      </c>
      <c r="H838" s="44">
        <f>G838*E826</f>
        <v>0</v>
      </c>
    </row>
    <row r="839" spans="1:11">
      <c r="A839" s="28"/>
      <c r="B839" s="29"/>
      <c r="C839" s="30" t="str">
        <f>IFERROR(_xlfn.XLOOKUP(B839,Transporte[DESCRIPCION],Transporte[UND],,0),"")</f>
        <v/>
      </c>
      <c r="D839" s="31"/>
      <c r="E839" s="32" t="str">
        <f>IFERROR(_xlfn.XLOOKUP($B839,Transporte[DESCRIPCION],Transporte[VALOR],,0),"")</f>
        <v/>
      </c>
      <c r="F839" s="33"/>
      <c r="G839" s="34" t="str">
        <f>IFERROR(IF(F839&gt;=0,D839*E839*(1+F839/100),ABS(D839*E839/F839)),"")</f>
        <v/>
      </c>
      <c r="H839" s="43" t="str">
        <f>IFERROR(G839*E826,"")</f>
        <v/>
      </c>
    </row>
    <row r="840" spans="1:11">
      <c r="A840" s="28"/>
      <c r="B840" s="29"/>
      <c r="C840" s="30" t="str">
        <f>IFERROR(_xlfn.XLOOKUP(B840,Transporte[DESCRIPCION],Transporte[UND],,0),"")</f>
        <v/>
      </c>
      <c r="D840" s="31"/>
      <c r="E840" s="32" t="str">
        <f>IFERROR(_xlfn.XLOOKUP($B840,Transporte[DESCRIPCION],Transporte[VALOR],,0),"")</f>
        <v/>
      </c>
      <c r="F840" s="33"/>
      <c r="G840" s="34" t="str">
        <f>IFERROR(IF(F840&gt;=0,D840*E840*(1+F840/100),ABS(D840*E840/F840)),"")</f>
        <v/>
      </c>
      <c r="H840" s="43" t="str">
        <f>IFERROR(G840*E826,"")</f>
        <v/>
      </c>
    </row>
    <row r="841" spans="1:11">
      <c r="A841" s="21"/>
      <c r="B841" s="22" t="s">
        <v>3732</v>
      </c>
      <c r="C841" s="23"/>
      <c r="D841" s="24"/>
      <c r="E841" s="25"/>
      <c r="F841" s="26"/>
      <c r="G841" s="27">
        <f>SUM(G842:G844)</f>
        <v>31439.075089500006</v>
      </c>
      <c r="H841" s="44">
        <f>G841*E826</f>
        <v>0</v>
      </c>
    </row>
    <row r="842" spans="1:11">
      <c r="A842" s="28"/>
      <c r="B842" s="29" t="s">
        <v>3710</v>
      </c>
      <c r="C842" s="30" t="str">
        <f>IFERROR(_xlfn.XLOOKUP(B842,MObra[DESCRIPCION],MObra[UN],,0),"")</f>
        <v>día</v>
      </c>
      <c r="D842" s="31">
        <v>1</v>
      </c>
      <c r="E842" s="32">
        <f>IFERROR(_xlfn.XLOOKUP($B842,MObra[DESCRIPCION],MObra[VALOR UNIT],,0),"")</f>
        <v>314390.75089500006</v>
      </c>
      <c r="F842" s="33">
        <v>-10</v>
      </c>
      <c r="G842" s="34">
        <f>IFERROR(IF(F842&gt;=0,D842*E842*(1+F842/100),ABS(D842*E842/F842)),"")</f>
        <v>31439.075089500006</v>
      </c>
      <c r="H842" s="43">
        <f>IFERROR(G842*E826,"")</f>
        <v>0</v>
      </c>
    </row>
    <row r="843" spans="1:11">
      <c r="A843" s="28"/>
      <c r="B843" s="29"/>
      <c r="C843" s="30" t="str">
        <f t="array" ref="C843">IFERROR(_xlfn.XLOOKUP(B843,MObra[[#All],[DESCRIPCION]],MObra[[#All],[UN]],,0),"")</f>
        <v/>
      </c>
      <c r="D843" s="31"/>
      <c r="E843" s="32" t="str">
        <f>IFERROR(_xlfn.XLOOKUP($B843,MObra[DESCRIPCION],MObra[VALOR UNIT],,0),"")</f>
        <v/>
      </c>
      <c r="F843" s="33"/>
      <c r="G843" s="34" t="str">
        <f>IFERROR(IF(F843&gt;=0,D843*E843*(1+F843/100),ABS(D843*E843/F843)),"")</f>
        <v/>
      </c>
      <c r="H843" s="43" t="str">
        <f>IFERROR(G843*E826,"")</f>
        <v/>
      </c>
    </row>
    <row r="844" spans="1:11">
      <c r="A844" s="35"/>
      <c r="B844" s="36"/>
      <c r="C844" s="37" t="str">
        <f t="array" ref="C844">IFERROR(_xlfn.XLOOKUP(B844,MObra[[#All],[DESCRIPCION]],MObra[[#All],[UN]],,0),"")</f>
        <v/>
      </c>
      <c r="D844" s="38"/>
      <c r="E844" s="39" t="str">
        <f>IFERROR(_xlfn.XLOOKUP($B844,MObra[DESCRIPCION],MObra[VALOR UNIT],,0),"")</f>
        <v/>
      </c>
      <c r="F844" s="40"/>
      <c r="G844" s="41" t="str">
        <f>IFERROR(IF(F844&gt;=0,D844*E844*(1+F844/100),ABS(D844*E844/F844)),"")</f>
        <v/>
      </c>
      <c r="H844" s="42" t="str">
        <f>IFERROR(G844*E826,"")</f>
        <v/>
      </c>
    </row>
    <row r="846" spans="1:11">
      <c r="A846" s="6" t="s">
        <v>102</v>
      </c>
      <c r="B846" s="7" t="str">
        <f>VLOOKUP($A846,Presupuesto!$A:$D,2,FALSE())</f>
        <v>Señal preventiva guadua + muerto concreto</v>
      </c>
      <c r="C846" s="8" t="str">
        <f>VLOOKUP($A846,Presupuesto!$A:$D,3,FALSE())</f>
        <v>Un</v>
      </c>
      <c r="D846" s="9"/>
      <c r="E846" s="147">
        <f>VLOOKUP($A846,Presupuesto!$A:$D,4,FALSE())</f>
        <v>0</v>
      </c>
      <c r="F846" s="11" t="s">
        <v>2589</v>
      </c>
      <c r="G846" s="12">
        <f>SUM(G848:G864)/2</f>
        <v>15994.250941594659</v>
      </c>
      <c r="H846" s="13">
        <f>ROUND(SUM(H848:H864),0)/2</f>
        <v>0</v>
      </c>
      <c r="I846" s="10">
        <f>VLOOKUP(A846,Presupuesto!$A:$F,6,0)</f>
        <v>0</v>
      </c>
      <c r="J846" s="10">
        <f>+H846-I846</f>
        <v>0</v>
      </c>
      <c r="K846" s="46">
        <f>+H846-G846*E846</f>
        <v>0</v>
      </c>
    </row>
    <row r="847" spans="1:11">
      <c r="A847" s="14"/>
      <c r="B847" s="15" t="s">
        <v>2586</v>
      </c>
      <c r="C847" s="15" t="s">
        <v>5</v>
      </c>
      <c r="D847" s="16" t="s">
        <v>6</v>
      </c>
      <c r="E847" s="17" t="s">
        <v>7</v>
      </c>
      <c r="F847" s="18" t="s">
        <v>3728</v>
      </c>
      <c r="G847" s="19" t="s">
        <v>3729</v>
      </c>
      <c r="H847" s="20" t="s">
        <v>3797</v>
      </c>
    </row>
    <row r="848" spans="1:11">
      <c r="A848" s="21"/>
      <c r="B848" s="22" t="s">
        <v>3730</v>
      </c>
      <c r="C848" s="23"/>
      <c r="D848" s="24"/>
      <c r="E848" s="25"/>
      <c r="F848" s="26"/>
      <c r="G848" s="27">
        <f>SUM(G849:G853)</f>
        <v>9203.410722262659</v>
      </c>
      <c r="H848" s="27">
        <f>IFERROR(G848*E846,"")</f>
        <v>0</v>
      </c>
    </row>
    <row r="849" spans="1:8">
      <c r="A849" s="28"/>
      <c r="B849" s="29" t="s">
        <v>2992</v>
      </c>
      <c r="C849" s="30" t="str">
        <f>IFERROR(_xlfn.XLOOKUP(B849,Insumo[DESCRIPCION],Insumo[UND],,0),"")</f>
        <v>Un</v>
      </c>
      <c r="D849" s="31">
        <v>0.5</v>
      </c>
      <c r="E849" s="32">
        <f>IFERROR(_xlfn.XLOOKUP($B849,Insumo[DESCRIPCION],Insumo[VALOR],,0),"")</f>
        <v>4546.5</v>
      </c>
      <c r="F849" s="33"/>
      <c r="G849" s="34">
        <f>IFERROR(IF(F849&gt;=0,D849*E849*(1+F849/100),ABS(D849*E849/F849)),"")</f>
        <v>2273.25</v>
      </c>
      <c r="H849" s="43">
        <f>IFERROR(G849*E846,"")</f>
        <v>0</v>
      </c>
    </row>
    <row r="850" spans="1:8">
      <c r="A850" s="28"/>
      <c r="B850" s="29" t="s">
        <v>3238</v>
      </c>
      <c r="C850" s="30" t="str">
        <f>IFERROR(_xlfn.XLOOKUP(B850,Insumo[DESCRIPCION],Insumo[UND],,0),"")</f>
        <v>M3</v>
      </c>
      <c r="D850" s="31">
        <v>1.35E-2</v>
      </c>
      <c r="E850" s="32">
        <f>IFERROR(_xlfn.XLOOKUP($B850,Insumo[DESCRIPCION],Insumo[VALOR],,0),"")</f>
        <v>488900.227320117</v>
      </c>
      <c r="F850" s="33">
        <v>5</v>
      </c>
      <c r="G850" s="34">
        <f>IFERROR(IF(F850&gt;=0,D850*E850*(1+F850/100),ABS(D850*E850/F850)),"")</f>
        <v>6930.160722262659</v>
      </c>
      <c r="H850" s="43">
        <f>IFERROR(G850*E846,"")</f>
        <v>0</v>
      </c>
    </row>
    <row r="851" spans="1:8">
      <c r="A851" s="28"/>
      <c r="B851" s="29"/>
      <c r="C851" s="30" t="str">
        <f>IFERROR(_xlfn.XLOOKUP(B851,Insumo[DESCRIPCION],Insumo[UND],,0),"")</f>
        <v/>
      </c>
      <c r="D851" s="31"/>
      <c r="E851" s="32" t="str">
        <f>IFERROR(_xlfn.XLOOKUP($B851,Insumo[DESCRIPCION],Insumo[VALOR],,0),"")</f>
        <v/>
      </c>
      <c r="F851" s="33"/>
      <c r="G851" s="34" t="str">
        <f>IFERROR(IF(F851&gt;=0,D851*E851*(1+F851/100),ABS(D851*E851/F851)),"")</f>
        <v/>
      </c>
      <c r="H851" s="43" t="str">
        <f>IFERROR(G851*E846,"")</f>
        <v/>
      </c>
    </row>
    <row r="852" spans="1:8">
      <c r="A852" s="28"/>
      <c r="B852" s="29"/>
      <c r="C852" s="30" t="str">
        <f>IFERROR(_xlfn.XLOOKUP(B852,Insumo[DESCRIPCION],Insumo[UND],,0),"")</f>
        <v/>
      </c>
      <c r="D852" s="31"/>
      <c r="E852" s="32" t="str">
        <f>IFERROR(_xlfn.XLOOKUP($B852,Insumo[DESCRIPCION],Insumo[VALOR],,0),"")</f>
        <v/>
      </c>
      <c r="F852" s="33"/>
      <c r="G852" s="34" t="str">
        <f>IFERROR(IF(F852&gt;=0,D852*E852*(1+F852/100),ABS(D852*E852/F852)),"")</f>
        <v/>
      </c>
      <c r="H852" s="43" t="str">
        <f>IFERROR(G852*E846,"")</f>
        <v/>
      </c>
    </row>
    <row r="853" spans="1:8">
      <c r="A853" s="28"/>
      <c r="B853" s="29"/>
      <c r="C853" s="30" t="str">
        <f>IFERROR(_xlfn.XLOOKUP(B853,Insumo[DESCRIPCION],Insumo[UND],,0),"")</f>
        <v/>
      </c>
      <c r="D853" s="31"/>
      <c r="E853" s="32" t="str">
        <f>IFERROR(_xlfn.XLOOKUP($B853,Insumo[DESCRIPCION],Insumo[VALOR],,0),"")</f>
        <v/>
      </c>
      <c r="F853" s="33"/>
      <c r="G853" s="34" t="str">
        <f>IFERROR(IF(F853&gt;=0,D853*E853*(1+F853/100),ABS(D853*E853/F853)),"")</f>
        <v/>
      </c>
      <c r="H853" s="43" t="str">
        <f>IFERROR(G853*E846,"")</f>
        <v/>
      </c>
    </row>
    <row r="854" spans="1:8">
      <c r="A854" s="21"/>
      <c r="B854" s="22" t="s">
        <v>3731</v>
      </c>
      <c r="C854" s="23"/>
      <c r="D854" s="24"/>
      <c r="E854" s="25"/>
      <c r="F854" s="26"/>
      <c r="G854" s="27">
        <f>SUM(G855:G857)</f>
        <v>503.02520143200013</v>
      </c>
      <c r="H854" s="44">
        <f>G854*E846</f>
        <v>0</v>
      </c>
    </row>
    <row r="855" spans="1:8">
      <c r="A855" s="28"/>
      <c r="B855" s="29" t="s">
        <v>3626</v>
      </c>
      <c r="C855" s="30" t="str">
        <f>IFERROR(_xlfn.XLOOKUP(B855,Equipo[DESCRIPCION],Equipo[UND],,0),"")</f>
        <v>%MO</v>
      </c>
      <c r="D855" s="31">
        <v>0.05</v>
      </c>
      <c r="E855" s="32">
        <f>IF(C855="%MO",G861,IFERROR(VLOOKUP($B855,Equipo[],3,0),""))</f>
        <v>6287.8150179000013</v>
      </c>
      <c r="F855" s="33"/>
      <c r="G855" s="34">
        <f>IFERROR(IF(F855&gt;=0,D855*E855*(1+F855/100),ABS(D855*E855/F855)),"")</f>
        <v>314.39075089500011</v>
      </c>
      <c r="H855" s="43">
        <f>IFERROR(G855*E846,"")</f>
        <v>0</v>
      </c>
    </row>
    <row r="856" spans="1:8">
      <c r="A856" s="28"/>
      <c r="B856" s="29" t="s">
        <v>3570</v>
      </c>
      <c r="C856" s="30" t="str">
        <f>IFERROR(_xlfn.XLOOKUP(B856,Equipo[DESCRIPCION],Equipo[UND],,0),"")</f>
        <v>%MO</v>
      </c>
      <c r="D856" s="31">
        <v>0.03</v>
      </c>
      <c r="E856" s="32">
        <f>IF(C856="%MO",G861,IFERROR(VLOOKUP($B856,Equipo[],3,0),""))</f>
        <v>6287.8150179000013</v>
      </c>
      <c r="F856" s="33"/>
      <c r="G856" s="34">
        <f>IFERROR(IF(F856&gt;=0,D856*E856*(1+F856/100),ABS(D856*E856/F856)),"")</f>
        <v>188.63445053700002</v>
      </c>
      <c r="H856" s="43">
        <f>IFERROR(G856*E846,"")</f>
        <v>0</v>
      </c>
    </row>
    <row r="857" spans="1:8">
      <c r="A857" s="28"/>
      <c r="B857" s="29"/>
      <c r="C857" s="30" t="str">
        <f>IFERROR(_xlfn.XLOOKUP(B857,Equipo[DESCRIPCION],Equipo[UND],,0),"")</f>
        <v/>
      </c>
      <c r="D857" s="31"/>
      <c r="E857" s="32" t="str">
        <f>IF(C857="%MO",G861,IFERROR(VLOOKUP($B857,Equipo[],3,0),""))</f>
        <v/>
      </c>
      <c r="F857" s="33"/>
      <c r="G857" s="34" t="str">
        <f>IFERROR(IF(F857&gt;=0,D857*E857*(1+F857/100),ABS(D857*E857/F857)),"")</f>
        <v/>
      </c>
      <c r="H857" s="43" t="str">
        <f>IFERROR(G857*E846,"")</f>
        <v/>
      </c>
    </row>
    <row r="858" spans="1:8">
      <c r="A858" s="21"/>
      <c r="B858" s="22" t="s">
        <v>2533</v>
      </c>
      <c r="C858" s="23"/>
      <c r="D858" s="24"/>
      <c r="E858" s="25"/>
      <c r="F858" s="26"/>
      <c r="G858" s="27">
        <f>SUM(G859:G860)</f>
        <v>0</v>
      </c>
      <c r="H858" s="44">
        <f>G858*E846</f>
        <v>0</v>
      </c>
    </row>
    <row r="859" spans="1:8">
      <c r="A859" s="28"/>
      <c r="B859" s="29"/>
      <c r="C859" s="30" t="str">
        <f>IFERROR(_xlfn.XLOOKUP(B859,Transporte[DESCRIPCION],Transporte[UND],,0),"")</f>
        <v/>
      </c>
      <c r="D859" s="31"/>
      <c r="E859" s="32" t="str">
        <f>IFERROR(_xlfn.XLOOKUP($B859,Transporte[DESCRIPCION],Transporte[VALOR],,0),"")</f>
        <v/>
      </c>
      <c r="F859" s="33"/>
      <c r="G859" s="34" t="str">
        <f>IFERROR(IF(F859&gt;=0,D859*E859*(1+F859/100),ABS(D859*E859/F859)),"")</f>
        <v/>
      </c>
      <c r="H859" s="43" t="str">
        <f>IFERROR(G859*E846,"")</f>
        <v/>
      </c>
    </row>
    <row r="860" spans="1:8">
      <c r="A860" s="28"/>
      <c r="B860" s="29"/>
      <c r="C860" s="30" t="str">
        <f>IFERROR(_xlfn.XLOOKUP(B860,Transporte[DESCRIPCION],Transporte[UND],,0),"")</f>
        <v/>
      </c>
      <c r="D860" s="31"/>
      <c r="E860" s="32" t="str">
        <f>IFERROR(_xlfn.XLOOKUP($B860,Transporte[DESCRIPCION],Transporte[VALOR],,0),"")</f>
        <v/>
      </c>
      <c r="F860" s="33"/>
      <c r="G860" s="34" t="str">
        <f>IFERROR(IF(F860&gt;=0,D860*E860*(1+F860/100),ABS(D860*E860/F860)),"")</f>
        <v/>
      </c>
      <c r="H860" s="43" t="str">
        <f>IFERROR(G860*E846,"")</f>
        <v/>
      </c>
    </row>
    <row r="861" spans="1:8">
      <c r="A861" s="21"/>
      <c r="B861" s="22" t="s">
        <v>3732</v>
      </c>
      <c r="C861" s="23"/>
      <c r="D861" s="24"/>
      <c r="E861" s="25"/>
      <c r="F861" s="26"/>
      <c r="G861" s="27">
        <f>SUM(G862:G864)</f>
        <v>6287.8150179000013</v>
      </c>
      <c r="H861" s="44">
        <f>G861*E846</f>
        <v>0</v>
      </c>
    </row>
    <row r="862" spans="1:8">
      <c r="A862" s="28"/>
      <c r="B862" s="29" t="s">
        <v>3710</v>
      </c>
      <c r="C862" s="30" t="str">
        <f>IFERROR(_xlfn.XLOOKUP(B862,MObra[DESCRIPCION],MObra[UN],,0),"")</f>
        <v>día</v>
      </c>
      <c r="D862" s="31">
        <v>1</v>
      </c>
      <c r="E862" s="32">
        <f>IFERROR(_xlfn.XLOOKUP($B862,MObra[DESCRIPCION],MObra[VALOR UNIT],,0),"")</f>
        <v>314390.75089500006</v>
      </c>
      <c r="F862" s="33">
        <f>-1/0.02</f>
        <v>-50</v>
      </c>
      <c r="G862" s="34">
        <f>IFERROR(IF(F862&gt;=0,D862*E862*(1+F862/100),ABS(D862*E862/F862)),"")</f>
        <v>6287.8150179000013</v>
      </c>
      <c r="H862" s="43">
        <f>IFERROR(G862*E846,"")</f>
        <v>0</v>
      </c>
    </row>
    <row r="863" spans="1:8">
      <c r="A863" s="28"/>
      <c r="B863" s="29"/>
      <c r="C863" s="30" t="str">
        <f t="array" ref="C863">IFERROR(_xlfn.XLOOKUP(B863,MObra[[#All],[DESCRIPCION]],MObra[[#All],[UN]],,0),"")</f>
        <v/>
      </c>
      <c r="D863" s="31"/>
      <c r="E863" s="32" t="str">
        <f>IFERROR(_xlfn.XLOOKUP($B863,MObra[DESCRIPCION],MObra[VALOR UNIT],,0),"")</f>
        <v/>
      </c>
      <c r="F863" s="33"/>
      <c r="G863" s="34" t="str">
        <f>IFERROR(IF(F863&gt;=0,D863*E863*(1+F863/100),ABS(D863*E863/F863)),"")</f>
        <v/>
      </c>
      <c r="H863" s="43" t="str">
        <f>IFERROR(G863*E846,"")</f>
        <v/>
      </c>
    </row>
    <row r="864" spans="1:8">
      <c r="A864" s="35"/>
      <c r="B864" s="36"/>
      <c r="C864" s="37" t="str">
        <f t="array" ref="C864">IFERROR(_xlfn.XLOOKUP(B864,MObra[[#All],[DESCRIPCION]],MObra[[#All],[UN]],,0),"")</f>
        <v/>
      </c>
      <c r="D864" s="38"/>
      <c r="E864" s="39" t="str">
        <f>IFERROR(_xlfn.XLOOKUP($B864,MObra[DESCRIPCION],MObra[VALOR UNIT],,0),"")</f>
        <v/>
      </c>
      <c r="F864" s="40"/>
      <c r="G864" s="41" t="str">
        <f>IFERROR(IF(F864&gt;=0,D864*E864*(1+F864/100),ABS(D864*E864/F864)),"")</f>
        <v/>
      </c>
      <c r="H864" s="42" t="str">
        <f>IFERROR(G864*E846,"")</f>
        <v/>
      </c>
    </row>
    <row r="866" spans="1:11">
      <c r="A866" s="6" t="s">
        <v>104</v>
      </c>
      <c r="B866" s="7" t="str">
        <f>VLOOKUP($A866,Presupuesto!$A:$D,2,FALSE())</f>
        <v>Valla informativa instalada</v>
      </c>
      <c r="C866" s="8" t="str">
        <f>VLOOKUP($A866,Presupuesto!$A:$D,3,FALSE())</f>
        <v>M2</v>
      </c>
      <c r="D866" s="9"/>
      <c r="E866" s="147">
        <f>VLOOKUP($A866,Presupuesto!$A:$D,4,FALSE())</f>
        <v>0</v>
      </c>
      <c r="F866" s="11" t="s">
        <v>2589</v>
      </c>
      <c r="G866" s="12">
        <f>SUM(G868:G884)/2</f>
        <v>205568.60120128843</v>
      </c>
      <c r="H866" s="13">
        <f>ROUND(SUM(H868:H884),0)/2</f>
        <v>0</v>
      </c>
      <c r="I866" s="10">
        <f>VLOOKUP(A866,Presupuesto!$A:$F,6,0)</f>
        <v>0</v>
      </c>
      <c r="J866" s="10">
        <f>+H866-I866</f>
        <v>0</v>
      </c>
      <c r="K866" s="46">
        <f>+H866-G866*E866</f>
        <v>0</v>
      </c>
    </row>
    <row r="867" spans="1:11">
      <c r="A867" s="14"/>
      <c r="B867" s="15" t="s">
        <v>2586</v>
      </c>
      <c r="C867" s="15" t="s">
        <v>5</v>
      </c>
      <c r="D867" s="16" t="s">
        <v>6</v>
      </c>
      <c r="E867" s="17" t="s">
        <v>7</v>
      </c>
      <c r="F867" s="18" t="s">
        <v>3728</v>
      </c>
      <c r="G867" s="19" t="s">
        <v>3729</v>
      </c>
      <c r="H867" s="20" t="s">
        <v>3797</v>
      </c>
    </row>
    <row r="868" spans="1:11">
      <c r="A868" s="21"/>
      <c r="B868" s="22" t="s">
        <v>3730</v>
      </c>
      <c r="C868" s="23"/>
      <c r="D868" s="24"/>
      <c r="E868" s="25"/>
      <c r="F868" s="26"/>
      <c r="G868" s="27">
        <f>SUM(G869:G873)</f>
        <v>182722.87330291842</v>
      </c>
      <c r="H868" s="27">
        <f>IFERROR(G868*E866,"")</f>
        <v>0</v>
      </c>
    </row>
    <row r="869" spans="1:11">
      <c r="A869" s="28"/>
      <c r="B869" s="29" t="s">
        <v>3523</v>
      </c>
      <c r="C869" s="30" t="str">
        <f>IFERROR(_xlfn.XLOOKUP(B869,Insumo[DESCRIPCION],Insumo[UND],,0),"")</f>
        <v>M2</v>
      </c>
      <c r="D869" s="31">
        <v>1</v>
      </c>
      <c r="E869" s="32">
        <f>IFERROR(_xlfn.XLOOKUP($B869,Insumo[DESCRIPCION],Insumo[VALOR],,0),"")</f>
        <v>39782.400000000001</v>
      </c>
      <c r="F869" s="33"/>
      <c r="G869" s="34">
        <f>IFERROR(IF(F869&gt;=0,D869*E869*(1+F869/100),ABS(D869*E869/F869)),"")</f>
        <v>39782.400000000001</v>
      </c>
      <c r="H869" s="43">
        <f>IFERROR(G869*E866,"")</f>
        <v>0</v>
      </c>
    </row>
    <row r="870" spans="1:11">
      <c r="A870" s="28"/>
      <c r="B870" s="29" t="s">
        <v>3464</v>
      </c>
      <c r="C870" s="30" t="str">
        <f>IFERROR(_xlfn.XLOOKUP(B870,Insumo[DESCRIPCION],Insumo[UND],,0),"")</f>
        <v>M</v>
      </c>
      <c r="D870" s="31">
        <v>1.75</v>
      </c>
      <c r="E870" s="32">
        <f>IFERROR(_xlfn.XLOOKUP($B870,Insumo[DESCRIPCION],Insumo[VALOR],,0),"")</f>
        <v>37679.25</v>
      </c>
      <c r="F870" s="33"/>
      <c r="G870" s="34">
        <f>IFERROR(IF(F870&gt;=0,D870*E870*(1+F870/100),ABS(D870*E870/F870)),"")</f>
        <v>65938.6875</v>
      </c>
      <c r="H870" s="43">
        <f>IFERROR(G870*E866,"")</f>
        <v>0</v>
      </c>
    </row>
    <row r="871" spans="1:11">
      <c r="A871" s="28"/>
      <c r="B871" s="29" t="s">
        <v>3238</v>
      </c>
      <c r="C871" s="30" t="str">
        <f>IFERROR(_xlfn.XLOOKUP(B871,Insumo[DESCRIPCION],Insumo[UND],,0),"")</f>
        <v>M3</v>
      </c>
      <c r="D871" s="31">
        <v>0.15</v>
      </c>
      <c r="E871" s="32">
        <f>IFERROR(_xlfn.XLOOKUP($B871,Insumo[DESCRIPCION],Insumo[VALOR],,0),"")</f>
        <v>488900.227320117</v>
      </c>
      <c r="F871" s="33">
        <v>5</v>
      </c>
      <c r="G871" s="34">
        <f>IFERROR(IF(F871&gt;=0,D871*E871*(1+F871/100),ABS(D871*E871/F871)),"")</f>
        <v>77001.785802918428</v>
      </c>
      <c r="H871" s="43">
        <f>IFERROR(G871*E866,"")</f>
        <v>0</v>
      </c>
    </row>
    <row r="872" spans="1:11">
      <c r="A872" s="28"/>
      <c r="B872" s="29"/>
      <c r="C872" s="30" t="str">
        <f>IFERROR(_xlfn.XLOOKUP(B872,Insumo[DESCRIPCION],Insumo[UND],,0),"")</f>
        <v/>
      </c>
      <c r="D872" s="31"/>
      <c r="E872" s="32" t="str">
        <f>IFERROR(_xlfn.XLOOKUP($B872,Insumo[DESCRIPCION],Insumo[VALOR],,0),"")</f>
        <v/>
      </c>
      <c r="F872" s="33"/>
      <c r="G872" s="34" t="str">
        <f>IFERROR(IF(F872&gt;=0,D872*E872*(1+F872/100),ABS(D872*E872/F872)),"")</f>
        <v/>
      </c>
      <c r="H872" s="43" t="str">
        <f>IFERROR(G872*E866,"")</f>
        <v/>
      </c>
    </row>
    <row r="873" spans="1:11">
      <c r="A873" s="28"/>
      <c r="B873" s="29"/>
      <c r="C873" s="30" t="str">
        <f>IFERROR(_xlfn.XLOOKUP(B873,Insumo[DESCRIPCION],Insumo[UND],,0),"")</f>
        <v/>
      </c>
      <c r="D873" s="31"/>
      <c r="E873" s="32" t="str">
        <f>IFERROR(_xlfn.XLOOKUP($B873,Insumo[DESCRIPCION],Insumo[VALOR],,0),"")</f>
        <v/>
      </c>
      <c r="F873" s="33"/>
      <c r="G873" s="34" t="str">
        <f>IFERROR(IF(F873&gt;=0,D873*E873*(1+F873/100),ABS(D873*E873/F873)),"")</f>
        <v/>
      </c>
      <c r="H873" s="43" t="str">
        <f>IFERROR(G873*E866,"")</f>
        <v/>
      </c>
    </row>
    <row r="874" spans="1:11">
      <c r="A874" s="21"/>
      <c r="B874" s="22" t="s">
        <v>3731</v>
      </c>
      <c r="C874" s="23"/>
      <c r="D874" s="24"/>
      <c r="E874" s="25"/>
      <c r="F874" s="26"/>
      <c r="G874" s="27">
        <f>SUM(G875:G877)</f>
        <v>1886.3445053700002</v>
      </c>
      <c r="H874" s="44">
        <f>G874*E866</f>
        <v>0</v>
      </c>
    </row>
    <row r="875" spans="1:11">
      <c r="A875" s="28"/>
      <c r="B875" s="29" t="s">
        <v>3570</v>
      </c>
      <c r="C875" s="30" t="str">
        <f>IFERROR(_xlfn.XLOOKUP(B875,Equipo[DESCRIPCION],Equipo[UND],,0),"")</f>
        <v>%MO</v>
      </c>
      <c r="D875" s="31">
        <v>0.04</v>
      </c>
      <c r="E875" s="32">
        <f>IF(C875="%MO",G881,IFERROR(VLOOKUP($B875,Equipo[],3,0),""))</f>
        <v>20959.383393000004</v>
      </c>
      <c r="F875" s="33"/>
      <c r="G875" s="34">
        <f>IFERROR(IF(F875&gt;=0,D875*E875*(1+F875/100),ABS(D875*E875/F875)),"")</f>
        <v>838.37533572000018</v>
      </c>
      <c r="H875" s="43">
        <f>IFERROR(G875*E866,"")</f>
        <v>0</v>
      </c>
    </row>
    <row r="876" spans="1:11">
      <c r="A876" s="28"/>
      <c r="B876" s="29" t="s">
        <v>3626</v>
      </c>
      <c r="C876" s="30" t="str">
        <f>IFERROR(_xlfn.XLOOKUP(B876,Equipo[DESCRIPCION],Equipo[UND],,0),"")</f>
        <v>%MO</v>
      </c>
      <c r="D876" s="31">
        <v>0.05</v>
      </c>
      <c r="E876" s="32">
        <f>IF(C876="%MO",G881,IFERROR(VLOOKUP($B876,Equipo[],3,0),""))</f>
        <v>20959.383393000004</v>
      </c>
      <c r="F876" s="33"/>
      <c r="G876" s="34">
        <f>IFERROR(IF(F876&gt;=0,D876*E876*(1+F876/100),ABS(D876*E876/F876)),"")</f>
        <v>1047.9691696500001</v>
      </c>
      <c r="H876" s="43">
        <f>IFERROR(G876*E866,"")</f>
        <v>0</v>
      </c>
    </row>
    <row r="877" spans="1:11">
      <c r="A877" s="28"/>
      <c r="B877" s="29"/>
      <c r="C877" s="30" t="str">
        <f>IFERROR(_xlfn.XLOOKUP(B877,Equipo[DESCRIPCION],Equipo[UND],,0),"")</f>
        <v/>
      </c>
      <c r="D877" s="31"/>
      <c r="E877" s="32" t="str">
        <f>IF(C877="%MO",G881,IFERROR(VLOOKUP($B877,Equipo[],3,0),""))</f>
        <v/>
      </c>
      <c r="F877" s="33"/>
      <c r="G877" s="34" t="str">
        <f>IFERROR(IF(F877&gt;=0,D877*E877*(1+F877/100),ABS(D877*E877/F877)),"")</f>
        <v/>
      </c>
      <c r="H877" s="43" t="str">
        <f>IFERROR(G877*E866,"")</f>
        <v/>
      </c>
    </row>
    <row r="878" spans="1:11">
      <c r="A878" s="21"/>
      <c r="B878" s="22" t="s">
        <v>2533</v>
      </c>
      <c r="C878" s="23"/>
      <c r="D878" s="24"/>
      <c r="E878" s="25"/>
      <c r="F878" s="26"/>
      <c r="G878" s="27">
        <f>SUM(G879:G880)</f>
        <v>0</v>
      </c>
      <c r="H878" s="44">
        <f>G878*E866</f>
        <v>0</v>
      </c>
    </row>
    <row r="879" spans="1:11">
      <c r="A879" s="28"/>
      <c r="B879" s="29"/>
      <c r="C879" s="30" t="str">
        <f>IFERROR(_xlfn.XLOOKUP(B879,Transporte[DESCRIPCION],Transporte[UND],,0),"")</f>
        <v/>
      </c>
      <c r="D879" s="31"/>
      <c r="E879" s="32" t="str">
        <f>IFERROR(_xlfn.XLOOKUP($B879,Transporte[DESCRIPCION],Transporte[VALOR],,0),"")</f>
        <v/>
      </c>
      <c r="F879" s="33"/>
      <c r="G879" s="34" t="str">
        <f>IFERROR(IF(F879&gt;=0,D879*E879*(1+F879/100),ABS(D879*E879/F879)),"")</f>
        <v/>
      </c>
      <c r="H879" s="43" t="str">
        <f>IFERROR(G879*E866,"")</f>
        <v/>
      </c>
    </row>
    <row r="880" spans="1:11">
      <c r="A880" s="28"/>
      <c r="B880" s="29"/>
      <c r="C880" s="30" t="str">
        <f>IFERROR(_xlfn.XLOOKUP(B880,Transporte[DESCRIPCION],Transporte[UND],,0),"")</f>
        <v/>
      </c>
      <c r="D880" s="31"/>
      <c r="E880" s="32" t="str">
        <f>IFERROR(_xlfn.XLOOKUP($B880,Transporte[DESCRIPCION],Transporte[VALOR],,0),"")</f>
        <v/>
      </c>
      <c r="F880" s="33"/>
      <c r="G880" s="34" t="str">
        <f>IFERROR(IF(F880&gt;=0,D880*E880*(1+F880/100),ABS(D880*E880/F880)),"")</f>
        <v/>
      </c>
      <c r="H880" s="43" t="str">
        <f>IFERROR(G880*E866,"")</f>
        <v/>
      </c>
    </row>
    <row r="881" spans="1:11">
      <c r="A881" s="21"/>
      <c r="B881" s="22" t="s">
        <v>3732</v>
      </c>
      <c r="C881" s="23"/>
      <c r="D881" s="24"/>
      <c r="E881" s="25"/>
      <c r="F881" s="26"/>
      <c r="G881" s="27">
        <f>SUM(G882:G884)</f>
        <v>20959.383393000004</v>
      </c>
      <c r="H881" s="44">
        <f>G881*E866</f>
        <v>0</v>
      </c>
    </row>
    <row r="882" spans="1:11">
      <c r="A882" s="28"/>
      <c r="B882" s="29" t="s">
        <v>3710</v>
      </c>
      <c r="C882" s="30" t="str">
        <f>IFERROR(_xlfn.XLOOKUP(B882,MObra[DESCRIPCION],MObra[UN],,0),"")</f>
        <v>día</v>
      </c>
      <c r="D882" s="31">
        <v>1</v>
      </c>
      <c r="E882" s="32">
        <f>IFERROR(_xlfn.XLOOKUP($B882,MObra[DESCRIPCION],MObra[VALOR UNIT],,0),"")</f>
        <v>314390.75089500006</v>
      </c>
      <c r="F882" s="33">
        <v>-15</v>
      </c>
      <c r="G882" s="34">
        <f>IFERROR(IF(F882&gt;=0,D882*E882*(1+F882/100),ABS(D882*E882/F882)),"")</f>
        <v>20959.383393000004</v>
      </c>
      <c r="H882" s="43">
        <f>IFERROR(G882*E866,"")</f>
        <v>0</v>
      </c>
    </row>
    <row r="883" spans="1:11">
      <c r="A883" s="28"/>
      <c r="B883" s="29"/>
      <c r="C883" s="30" t="str">
        <f t="array" ref="C883">IFERROR(_xlfn.XLOOKUP(B883,MObra[[#All],[DESCRIPCION]],MObra[[#All],[UN]],,0),"")</f>
        <v/>
      </c>
      <c r="D883" s="31"/>
      <c r="E883" s="32" t="str">
        <f>IFERROR(_xlfn.XLOOKUP($B883,MObra[DESCRIPCION],MObra[VALOR UNIT],,0),"")</f>
        <v/>
      </c>
      <c r="F883" s="33"/>
      <c r="G883" s="34" t="str">
        <f>IFERROR(IF(F883&gt;=0,D883*E883*(1+F883/100),ABS(D883*E883/F883)),"")</f>
        <v/>
      </c>
      <c r="H883" s="43" t="str">
        <f>IFERROR(G883*E866,"")</f>
        <v/>
      </c>
    </row>
    <row r="884" spans="1:11">
      <c r="A884" s="35"/>
      <c r="B884" s="36"/>
      <c r="C884" s="37" t="str">
        <f t="array" ref="C884">IFERROR(_xlfn.XLOOKUP(B884,MObra[[#All],[DESCRIPCION]],MObra[[#All],[UN]],,0),"")</f>
        <v/>
      </c>
      <c r="D884" s="38"/>
      <c r="E884" s="39" t="str">
        <f>IFERROR(_xlfn.XLOOKUP($B884,MObra[DESCRIPCION],MObra[VALOR UNIT],,0),"")</f>
        <v/>
      </c>
      <c r="F884" s="40"/>
      <c r="G884" s="41" t="str">
        <f>IFERROR(IF(F884&gt;=0,D884*E884*(1+F884/100),ABS(D884*E884/F884)),"")</f>
        <v/>
      </c>
      <c r="H884" s="42" t="str">
        <f>IFERROR(G884*E866,"")</f>
        <v/>
      </c>
    </row>
    <row r="886" spans="1:11">
      <c r="A886" s="6" t="s">
        <v>106</v>
      </c>
      <c r="B886" s="7" t="str">
        <f>VLOOKUP($A886,Presupuesto!$A:$D,2,FALSE())</f>
        <v>Volantes monocromáticos</v>
      </c>
      <c r="C886" s="8" t="str">
        <f>VLOOKUP($A886,Presupuesto!$A:$D,3,FALSE())</f>
        <v>Un</v>
      </c>
      <c r="D886" s="9"/>
      <c r="E886" s="147">
        <f>VLOOKUP($A886,Presupuesto!$A:$D,4,FALSE())</f>
        <v>0</v>
      </c>
      <c r="F886" s="11" t="s">
        <v>2589</v>
      </c>
      <c r="G886" s="12">
        <f>SUM(G888:G904)/2</f>
        <v>3983.4820377000005</v>
      </c>
      <c r="H886" s="13">
        <f>ROUND(SUM(H888:H904),0)/2</f>
        <v>0</v>
      </c>
      <c r="I886" s="10">
        <f>VLOOKUP(A886,Presupuesto!$A:$F,6,0)</f>
        <v>0</v>
      </c>
      <c r="J886" s="10">
        <f>+H886-I886</f>
        <v>0</v>
      </c>
      <c r="K886" s="46">
        <f>+H886-G886*E886</f>
        <v>0</v>
      </c>
    </row>
    <row r="887" spans="1:11">
      <c r="A887" s="14"/>
      <c r="B887" s="15" t="s">
        <v>2586</v>
      </c>
      <c r="C887" s="15" t="s">
        <v>5</v>
      </c>
      <c r="D887" s="16" t="s">
        <v>6</v>
      </c>
      <c r="E887" s="17" t="s">
        <v>7</v>
      </c>
      <c r="F887" s="18" t="s">
        <v>3728</v>
      </c>
      <c r="G887" s="19" t="s">
        <v>3729</v>
      </c>
      <c r="H887" s="20" t="s">
        <v>3797</v>
      </c>
    </row>
    <row r="888" spans="1:11">
      <c r="A888" s="21"/>
      <c r="B888" s="22" t="s">
        <v>3730</v>
      </c>
      <c r="C888" s="23"/>
      <c r="D888" s="24"/>
      <c r="E888" s="25"/>
      <c r="F888" s="26"/>
      <c r="G888" s="27">
        <f>SUM(G889:G893)</f>
        <v>3750.6000000000004</v>
      </c>
      <c r="H888" s="27">
        <f>IFERROR(G888*E886,"")</f>
        <v>0</v>
      </c>
    </row>
    <row r="889" spans="1:11">
      <c r="A889" s="28"/>
      <c r="B889" s="29" t="s">
        <v>3556</v>
      </c>
      <c r="C889" s="30" t="str">
        <f>IFERROR(_xlfn.XLOOKUP(B889,Insumo[DESCRIPCION],Insumo[UND],,0),"")</f>
        <v>Un</v>
      </c>
      <c r="D889" s="31">
        <v>1</v>
      </c>
      <c r="E889" s="32">
        <f>IFERROR(_xlfn.XLOOKUP($B889,Insumo[DESCRIPCION],Insumo[VALOR],,0),"")</f>
        <v>3750.6000000000004</v>
      </c>
      <c r="F889" s="33"/>
      <c r="G889" s="34">
        <f>IFERROR(IF(F889&gt;=0,D889*E889*(1+F889/100),ABS(D889*E889/F889)),"")</f>
        <v>3750.6000000000004</v>
      </c>
      <c r="H889" s="43">
        <f>IFERROR(G889*E886,"")</f>
        <v>0</v>
      </c>
    </row>
    <row r="890" spans="1:11">
      <c r="A890" s="28"/>
      <c r="B890" s="29"/>
      <c r="C890" s="30" t="str">
        <f>IFERROR(_xlfn.XLOOKUP(B890,Insumo[DESCRIPCION],Insumo[UND],,0),"")</f>
        <v/>
      </c>
      <c r="D890" s="31"/>
      <c r="E890" s="32" t="str">
        <f>IFERROR(_xlfn.XLOOKUP($B890,Insumo[DESCRIPCION],Insumo[VALOR],,0),"")</f>
        <v/>
      </c>
      <c r="F890" s="33"/>
      <c r="G890" s="34" t="str">
        <f>IFERROR(IF(F890&gt;=0,D890*E890*(1+F890/100),ABS(D890*E890/F890)),"")</f>
        <v/>
      </c>
      <c r="H890" s="43" t="str">
        <f>IFERROR(G890*E886,"")</f>
        <v/>
      </c>
    </row>
    <row r="891" spans="1:11">
      <c r="A891" s="28"/>
      <c r="B891" s="29"/>
      <c r="C891" s="30" t="str">
        <f>IFERROR(_xlfn.XLOOKUP(B891,Insumo[DESCRIPCION],Insumo[UND],,0),"")</f>
        <v/>
      </c>
      <c r="D891" s="31"/>
      <c r="E891" s="32" t="str">
        <f>IFERROR(_xlfn.XLOOKUP($B891,Insumo[DESCRIPCION],Insumo[VALOR],,0),"")</f>
        <v/>
      </c>
      <c r="F891" s="33"/>
      <c r="G891" s="34" t="str">
        <f>IFERROR(IF(F891&gt;=0,D891*E891*(1+F891/100),ABS(D891*E891/F891)),"")</f>
        <v/>
      </c>
      <c r="H891" s="43" t="str">
        <f>IFERROR(G891*E886,"")</f>
        <v/>
      </c>
    </row>
    <row r="892" spans="1:11">
      <c r="A892" s="28"/>
      <c r="B892" s="29"/>
      <c r="C892" s="30" t="str">
        <f>IFERROR(_xlfn.XLOOKUP(B892,Insumo[DESCRIPCION],Insumo[UND],,0),"")</f>
        <v/>
      </c>
      <c r="D892" s="31"/>
      <c r="E892" s="32" t="str">
        <f>IFERROR(_xlfn.XLOOKUP($B892,Insumo[DESCRIPCION],Insumo[VALOR],,0),"")</f>
        <v/>
      </c>
      <c r="F892" s="33"/>
      <c r="G892" s="34" t="str">
        <f>IFERROR(IF(F892&gt;=0,D892*E892*(1+F892/100),ABS(D892*E892/F892)),"")</f>
        <v/>
      </c>
      <c r="H892" s="43" t="str">
        <f>IFERROR(G892*E886,"")</f>
        <v/>
      </c>
    </row>
    <row r="893" spans="1:11">
      <c r="A893" s="28"/>
      <c r="B893" s="29"/>
      <c r="C893" s="30" t="str">
        <f>IFERROR(_xlfn.XLOOKUP(B893,Insumo[DESCRIPCION],Insumo[UND],,0),"")</f>
        <v/>
      </c>
      <c r="D893" s="31"/>
      <c r="E893" s="32" t="str">
        <f>IFERROR(_xlfn.XLOOKUP($B893,Insumo[DESCRIPCION],Insumo[VALOR],,0),"")</f>
        <v/>
      </c>
      <c r="F893" s="33"/>
      <c r="G893" s="34" t="str">
        <f>IFERROR(IF(F893&gt;=0,D893*E893*(1+F893/100),ABS(D893*E893/F893)),"")</f>
        <v/>
      </c>
      <c r="H893" s="43" t="str">
        <f>IFERROR(G893*E886,"")</f>
        <v/>
      </c>
    </row>
    <row r="894" spans="1:11">
      <c r="A894" s="21"/>
      <c r="B894" s="22" t="s">
        <v>3731</v>
      </c>
      <c r="C894" s="23"/>
      <c r="D894" s="24"/>
      <c r="E894" s="25"/>
      <c r="F894" s="26"/>
      <c r="G894" s="27">
        <f>SUM(G895:G897)</f>
        <v>0</v>
      </c>
      <c r="H894" s="44">
        <f>G894*E886</f>
        <v>0</v>
      </c>
    </row>
    <row r="895" spans="1:11">
      <c r="A895" s="28"/>
      <c r="B895" s="29"/>
      <c r="C895" s="30" t="str">
        <f>IFERROR(_xlfn.XLOOKUP(B895,Equipo[DESCRIPCION],Equipo[UND],,0),"")</f>
        <v/>
      </c>
      <c r="D895" s="31"/>
      <c r="E895" s="32" t="str">
        <f>IF(C895="%MO",G901,IFERROR(VLOOKUP($B895,Equipo[],3,0),""))</f>
        <v/>
      </c>
      <c r="F895" s="33"/>
      <c r="G895" s="34" t="str">
        <f>IFERROR(IF(F895&gt;=0,D895*E895*(1+F895/100),ABS(D895*E895/F895)),"")</f>
        <v/>
      </c>
      <c r="H895" s="43" t="str">
        <f>IFERROR(G895*E886,"")</f>
        <v/>
      </c>
    </row>
    <row r="896" spans="1:11">
      <c r="A896" s="28"/>
      <c r="B896" s="29"/>
      <c r="C896" s="30" t="str">
        <f>IFERROR(_xlfn.XLOOKUP(B896,Equipo[DESCRIPCION],Equipo[UND],,0),"")</f>
        <v/>
      </c>
      <c r="D896" s="31"/>
      <c r="E896" s="32" t="str">
        <f>IF(C896="%MO",G901,IFERROR(VLOOKUP($B896,Equipo[],3,0),""))</f>
        <v/>
      </c>
      <c r="F896" s="33"/>
      <c r="G896" s="34" t="str">
        <f>IFERROR(IF(F896&gt;=0,D896*E896*(1+F896/100),ABS(D896*E896/F896)),"")</f>
        <v/>
      </c>
      <c r="H896" s="43" t="str">
        <f>IFERROR(G896*E886,"")</f>
        <v/>
      </c>
    </row>
    <row r="897" spans="1:10">
      <c r="A897" s="28"/>
      <c r="B897" s="29"/>
      <c r="C897" s="30" t="str">
        <f>IFERROR(_xlfn.XLOOKUP(B897,Equipo[DESCRIPCION],Equipo[UND],,0),"")</f>
        <v/>
      </c>
      <c r="D897" s="31"/>
      <c r="E897" s="32" t="str">
        <f>IF(C897="%MO",G901,IFERROR(VLOOKUP($B897,Equipo[],3,0),""))</f>
        <v/>
      </c>
      <c r="F897" s="33"/>
      <c r="G897" s="34" t="str">
        <f>IFERROR(IF(F897&gt;=0,D897*E897*(1+F897/100),ABS(D897*E897/F897)),"")</f>
        <v/>
      </c>
      <c r="H897" s="43" t="str">
        <f>IFERROR(G897*E886,"")</f>
        <v/>
      </c>
    </row>
    <row r="898" spans="1:10">
      <c r="A898" s="21"/>
      <c r="B898" s="22" t="s">
        <v>2533</v>
      </c>
      <c r="C898" s="23"/>
      <c r="D898" s="24"/>
      <c r="E898" s="25"/>
      <c r="F898" s="26"/>
      <c r="G898" s="27">
        <f>SUM(G899:G900)</f>
        <v>0</v>
      </c>
      <c r="H898" s="44">
        <f>G898*E886</f>
        <v>0</v>
      </c>
    </row>
    <row r="899" spans="1:10">
      <c r="A899" s="28"/>
      <c r="B899" s="29"/>
      <c r="C899" s="30" t="str">
        <f>IFERROR(_xlfn.XLOOKUP(B899,Transporte[DESCRIPCION],Transporte[UND],,0),"")</f>
        <v/>
      </c>
      <c r="D899" s="31"/>
      <c r="E899" s="32" t="str">
        <f>IFERROR(_xlfn.XLOOKUP($B899,Transporte[DESCRIPCION],Transporte[VALOR],,0),"")</f>
        <v/>
      </c>
      <c r="F899" s="33"/>
      <c r="G899" s="34" t="str">
        <f>IFERROR(IF(F899&gt;=0,D899*E899*(1+F899/100),ABS(D899*E899/F899)),"")</f>
        <v/>
      </c>
      <c r="H899" s="43" t="str">
        <f>IFERROR(G899*E886,"")</f>
        <v/>
      </c>
    </row>
    <row r="900" spans="1:10">
      <c r="A900" s="28"/>
      <c r="B900" s="29"/>
      <c r="C900" s="30" t="str">
        <f>IFERROR(_xlfn.XLOOKUP(B900,Transporte[DESCRIPCION],Transporte[UND],,0),"")</f>
        <v/>
      </c>
      <c r="D900" s="31"/>
      <c r="E900" s="32" t="str">
        <f>IFERROR(_xlfn.XLOOKUP($B900,Transporte[DESCRIPCION],Transporte[VALOR],,0),"")</f>
        <v/>
      </c>
      <c r="F900" s="33"/>
      <c r="G900" s="34" t="str">
        <f>IFERROR(IF(F900&gt;=0,D900*E900*(1+F900/100),ABS(D900*E900/F900)),"")</f>
        <v/>
      </c>
      <c r="H900" s="43" t="str">
        <f>IFERROR(G900*E886,"")</f>
        <v/>
      </c>
    </row>
    <row r="901" spans="1:10">
      <c r="A901" s="21"/>
      <c r="B901" s="22" t="s">
        <v>3732</v>
      </c>
      <c r="C901" s="23"/>
      <c r="D901" s="24"/>
      <c r="E901" s="25"/>
      <c r="F901" s="26"/>
      <c r="G901" s="27">
        <f>SUM(G902:G904)</f>
        <v>232.88203770000004</v>
      </c>
      <c r="H901" s="44">
        <f>G901*E886</f>
        <v>0</v>
      </c>
    </row>
    <row r="902" spans="1:10">
      <c r="A902" s="28"/>
      <c r="B902" s="29" t="s">
        <v>3698</v>
      </c>
      <c r="C902" s="30" t="str">
        <f>IFERROR(_xlfn.XLOOKUP(B902,MObra[DESCRIPCION],MObra[UN],,0),"")</f>
        <v>día</v>
      </c>
      <c r="D902" s="31">
        <v>1</v>
      </c>
      <c r="E902" s="32">
        <f>IFERROR(_xlfn.XLOOKUP($B902,MObra[DESCRIPCION],MObra[VALOR UNIT],,0),"")</f>
        <v>116441.01885000002</v>
      </c>
      <c r="F902" s="33">
        <v>-500</v>
      </c>
      <c r="G902" s="34">
        <f>IFERROR(IF(F902&gt;=0,D902*E902*(1+F902/100),ABS(D902*E902/F902)),"")</f>
        <v>232.88203770000004</v>
      </c>
      <c r="H902" s="43">
        <f>IFERROR(G902*E886,"")</f>
        <v>0</v>
      </c>
    </row>
    <row r="903" spans="1:10">
      <c r="A903" s="28"/>
      <c r="B903" s="29"/>
      <c r="C903" s="30" t="str">
        <f t="array" ref="C903">IFERROR(_xlfn.XLOOKUP(B903,MObra[[#All],[DESCRIPCION]],MObra[[#All],[UN]],,0),"")</f>
        <v/>
      </c>
      <c r="D903" s="31"/>
      <c r="E903" s="32" t="str">
        <f>IFERROR(_xlfn.XLOOKUP($B903,MObra[DESCRIPCION],MObra[VALOR UNIT],,0),"")</f>
        <v/>
      </c>
      <c r="F903" s="33"/>
      <c r="G903" s="34" t="str">
        <f>IFERROR(IF(F903&gt;=0,D903*E903*(1+F903/100),ABS(D903*E903/F903)),"")</f>
        <v/>
      </c>
      <c r="H903" s="43" t="str">
        <f>IFERROR(G903*E886,"")</f>
        <v/>
      </c>
    </row>
    <row r="904" spans="1:10">
      <c r="A904" s="35"/>
      <c r="B904" s="36"/>
      <c r="C904" s="37" t="str">
        <f t="array" ref="C904">IFERROR(_xlfn.XLOOKUP(B904,MObra[[#All],[DESCRIPCION]],MObra[[#All],[UN]],,0),"")</f>
        <v/>
      </c>
      <c r="D904" s="38"/>
      <c r="E904" s="39" t="str">
        <f>IFERROR(_xlfn.XLOOKUP($B904,MObra[DESCRIPCION],MObra[VALOR UNIT],,0),"")</f>
        <v/>
      </c>
      <c r="F904" s="40"/>
      <c r="G904" s="41" t="str">
        <f>IFERROR(IF(F904&gt;=0,D904*E904*(1+F904/100),ABS(D904*E904/F904)),"")</f>
        <v/>
      </c>
      <c r="H904" s="42" t="str">
        <f>IFERROR(G904*E886,"")</f>
        <v/>
      </c>
    </row>
    <row r="905" spans="1:10" ht="13.5" thickTop="1" thickBot="1"/>
    <row r="906" spans="1:10" ht="12.75" customHeight="1" thickTop="1" thickBot="1">
      <c r="A906" s="6" t="s">
        <v>110</v>
      </c>
      <c r="B906" s="7" t="str">
        <f>VLOOKUP($A906,Presupuesto!$A:$D,2,FALSE())</f>
        <v>Demolición andenes</v>
      </c>
      <c r="C906" s="8" t="str">
        <f>VLOOKUP($A906,Presupuesto!$A:$D,3,FALSE())</f>
        <v>M2</v>
      </c>
      <c r="D906" s="9"/>
      <c r="E906" s="10">
        <f>VLOOKUP($A906,Presupuesto!$A:$D,4,FALSE())</f>
        <v>0</v>
      </c>
      <c r="F906" s="11" t="s">
        <v>2589</v>
      </c>
      <c r="G906" s="12">
        <f>SUM(G908:G924)/2</f>
        <v>16301.742639000004</v>
      </c>
      <c r="H906" s="13">
        <f>ROUND(SUM(H908:H924),0)/2</f>
        <v>0</v>
      </c>
      <c r="I906" s="10">
        <f>VLOOKUP(A906,Presupuesto!$A:$F,6,0)</f>
        <v>0</v>
      </c>
      <c r="J906" s="10">
        <f>+H906-I906</f>
        <v>0</v>
      </c>
    </row>
    <row r="907" spans="1:10" ht="12.75" customHeight="1" thickTop="1">
      <c r="A907" s="14"/>
      <c r="B907" s="15" t="s">
        <v>2586</v>
      </c>
      <c r="C907" s="15" t="s">
        <v>5</v>
      </c>
      <c r="D907" s="16" t="s">
        <v>6</v>
      </c>
      <c r="E907" s="17" t="s">
        <v>7</v>
      </c>
      <c r="F907" s="18" t="s">
        <v>3728</v>
      </c>
      <c r="G907" s="19" t="s">
        <v>3729</v>
      </c>
      <c r="H907" s="20" t="s">
        <v>3797</v>
      </c>
    </row>
    <row r="908" spans="1:10" ht="12.75" customHeight="1">
      <c r="A908" s="21"/>
      <c r="B908" s="22" t="s">
        <v>3730</v>
      </c>
      <c r="C908" s="23"/>
      <c r="D908" s="24"/>
      <c r="E908" s="25"/>
      <c r="F908" s="26"/>
      <c r="G908" s="27">
        <f>SUM(G909:G913)</f>
        <v>0</v>
      </c>
      <c r="H908" s="27">
        <f>IFERROR(G908*E906,"")</f>
        <v>0</v>
      </c>
    </row>
    <row r="909" spans="1:10" ht="12.75" customHeight="1">
      <c r="A909" s="28"/>
      <c r="B909" s="29"/>
      <c r="C909" s="30" t="str">
        <f>IFERROR(_xlfn.XLOOKUP(B909,Insumo[DESCRIPCION],Insumo[UND],,0),"")</f>
        <v/>
      </c>
      <c r="D909" s="31"/>
      <c r="E909" s="32" t="str">
        <f>IFERROR(_xlfn.XLOOKUP($B909,Insumo[DESCRIPCION],Insumo[VALOR],,0),"")</f>
        <v/>
      </c>
      <c r="F909" s="33"/>
      <c r="G909" s="34" t="str">
        <f>IFERROR(IF(F909&gt;=0,D909*E909*(1+F909/100),ABS(D909*E909/F909)),"")</f>
        <v/>
      </c>
      <c r="H909" s="43" t="str">
        <f>IFERROR(G909*E906,"")</f>
        <v/>
      </c>
    </row>
    <row r="910" spans="1:10" ht="12.75" customHeight="1">
      <c r="A910" s="28"/>
      <c r="B910" s="29"/>
      <c r="C910" s="30" t="str">
        <f>IFERROR(_xlfn.XLOOKUP(B910,Insumo[DESCRIPCION],Insumo[UND],,0),"")</f>
        <v/>
      </c>
      <c r="D910" s="31"/>
      <c r="E910" s="32" t="str">
        <f>IFERROR(_xlfn.XLOOKUP($B910,Insumo[DESCRIPCION],Insumo[VALOR],,0),"")</f>
        <v/>
      </c>
      <c r="F910" s="33"/>
      <c r="G910" s="34" t="str">
        <f>IFERROR(IF(F910&gt;=0,D910*E910*(1+F910/100),ABS(D910*E910/F910)),"")</f>
        <v/>
      </c>
      <c r="H910" s="43" t="str">
        <f>IFERROR(G910*E906,"")</f>
        <v/>
      </c>
    </row>
    <row r="911" spans="1:10" ht="12.75" customHeight="1">
      <c r="A911" s="28"/>
      <c r="B911" s="29"/>
      <c r="C911" s="30" t="str">
        <f>IFERROR(_xlfn.XLOOKUP(B911,Insumo[DESCRIPCION],Insumo[UND],,0),"")</f>
        <v/>
      </c>
      <c r="D911" s="31"/>
      <c r="E911" s="32" t="str">
        <f>IFERROR(_xlfn.XLOOKUP($B911,Insumo[DESCRIPCION],Insumo[VALOR],,0),"")</f>
        <v/>
      </c>
      <c r="F911" s="33"/>
      <c r="G911" s="34" t="str">
        <f>IFERROR(IF(F911&gt;=0,D911*E911*(1+F911/100),ABS(D911*E911/F911)),"")</f>
        <v/>
      </c>
      <c r="H911" s="43" t="str">
        <f>IFERROR(G911*E906,"")</f>
        <v/>
      </c>
    </row>
    <row r="912" spans="1:10" ht="12.75" customHeight="1">
      <c r="A912" s="28"/>
      <c r="B912" s="29"/>
      <c r="C912" s="30" t="str">
        <f>IFERROR(_xlfn.XLOOKUP(B912,Insumo[DESCRIPCION],Insumo[UND],,0),"")</f>
        <v/>
      </c>
      <c r="D912" s="31"/>
      <c r="E912" s="32" t="str">
        <f>IFERROR(_xlfn.XLOOKUP($B912,Insumo[DESCRIPCION],Insumo[VALOR],,0),"")</f>
        <v/>
      </c>
      <c r="F912" s="33"/>
      <c r="G912" s="34" t="str">
        <f>IFERROR(IF(F912&gt;=0,D912*E912*(1+F912/100),ABS(D912*E912/F912)),"")</f>
        <v/>
      </c>
      <c r="H912" s="43" t="str">
        <f>IFERROR(G912*E906,"")</f>
        <v/>
      </c>
    </row>
    <row r="913" spans="1:10" ht="12.75" customHeight="1">
      <c r="A913" s="28"/>
      <c r="B913" s="29"/>
      <c r="C913" s="30" t="str">
        <f>IFERROR(_xlfn.XLOOKUP(B913,Insumo[DESCRIPCION],Insumo[UND],,0),"")</f>
        <v/>
      </c>
      <c r="D913" s="31"/>
      <c r="E913" s="32" t="str">
        <f>IFERROR(_xlfn.XLOOKUP($B913,Insumo[DESCRIPCION],Insumo[VALOR],,0),"")</f>
        <v/>
      </c>
      <c r="F913" s="33"/>
      <c r="G913" s="34" t="str">
        <f>IFERROR(IF(F913&gt;=0,D913*E913*(1+F913/100),ABS(D913*E913/F913)),"")</f>
        <v/>
      </c>
      <c r="H913" s="43" t="str">
        <f>IFERROR(G913*E906,"")</f>
        <v/>
      </c>
    </row>
    <row r="914" spans="1:10" ht="12.75" customHeight="1">
      <c r="A914" s="21"/>
      <c r="B914" s="22" t="s">
        <v>3731</v>
      </c>
      <c r="C914" s="23"/>
      <c r="D914" s="24"/>
      <c r="E914" s="25"/>
      <c r="F914" s="26"/>
      <c r="G914" s="27">
        <f>SUM(G915:G917)</f>
        <v>776.27345900000023</v>
      </c>
      <c r="H914" s="44">
        <f>G914*E906</f>
        <v>0</v>
      </c>
    </row>
    <row r="915" spans="1:10" ht="12.75" customHeight="1">
      <c r="A915" s="28"/>
      <c r="B915" s="29" t="s">
        <v>3626</v>
      </c>
      <c r="C915" s="30" t="str">
        <f>IFERROR(_xlfn.XLOOKUP(B915,Equipo[DESCRIPCION],Equipo[UND],,0),"")</f>
        <v>%MO</v>
      </c>
      <c r="D915" s="31">
        <v>0.05</v>
      </c>
      <c r="E915" s="32">
        <f>IF(C915="%MO",G921,IFERROR(_xlfn.XLOOKUP($B915,Equipo[DESCRIPCION],Equipo[VALOR],,0),""))</f>
        <v>15525.469180000004</v>
      </c>
      <c r="F915" s="33"/>
      <c r="G915" s="34">
        <f>IFERROR(IF(F915&gt;=0,D915*E915*(1+F915/100),ABS(D915*E915/F915)),"")</f>
        <v>776.27345900000023</v>
      </c>
      <c r="H915" s="43">
        <f>IFERROR(G915*E906,"")</f>
        <v>0</v>
      </c>
    </row>
    <row r="916" spans="1:10" ht="12.75" customHeight="1">
      <c r="A916" s="28"/>
      <c r="B916" s="29"/>
      <c r="C916" s="30" t="str">
        <f>IFERROR(_xlfn.XLOOKUP(B916,Equipo[DESCRIPCION],Equipo[UND],,0),"")</f>
        <v/>
      </c>
      <c r="D916" s="31"/>
      <c r="E916" s="32" t="str">
        <f>IF(C916="%MO",G921,IFERROR(_xlfn.XLOOKUP($B916,Equipo[DESCRIPCION],Equipo[VALOR],,0),""))</f>
        <v/>
      </c>
      <c r="F916" s="33"/>
      <c r="G916" s="34" t="str">
        <f>IFERROR(IF(F916&gt;=0,D916*E916*(1+F916/100),ABS(D916*E916/F916)),"")</f>
        <v/>
      </c>
      <c r="H916" s="43" t="str">
        <f>IFERROR(G916*E906,"")</f>
        <v/>
      </c>
    </row>
    <row r="917" spans="1:10" ht="12.75" customHeight="1">
      <c r="A917" s="28"/>
      <c r="B917" s="29"/>
      <c r="C917" s="30" t="str">
        <f>IFERROR(_xlfn.XLOOKUP(B917,Equipo[DESCRIPCION],Equipo[UND],,0),"")</f>
        <v/>
      </c>
      <c r="D917" s="31"/>
      <c r="E917" s="32" t="str">
        <f>IF(C917="%MO",G921,IFERROR(_xlfn.XLOOKUP($B917,Equipo[DESCRIPCION],Equipo[VALOR],,0),""))</f>
        <v/>
      </c>
      <c r="F917" s="33"/>
      <c r="G917" s="34" t="str">
        <f>IFERROR(IF(F917&gt;=0,D917*E917*(1+F917/100),ABS(D917*E917/F917)),"")</f>
        <v/>
      </c>
      <c r="H917" s="43" t="str">
        <f>IFERROR(G917*E906,"")</f>
        <v/>
      </c>
    </row>
    <row r="918" spans="1:10" ht="12.75" customHeight="1">
      <c r="A918" s="21"/>
      <c r="B918" s="22" t="s">
        <v>2533</v>
      </c>
      <c r="C918" s="23"/>
      <c r="D918" s="24"/>
      <c r="E918" s="25"/>
      <c r="F918" s="26"/>
      <c r="G918" s="27">
        <f>SUM(G919:G920)</f>
        <v>0</v>
      </c>
      <c r="H918" s="44">
        <f>G918*E906</f>
        <v>0</v>
      </c>
    </row>
    <row r="919" spans="1:10" ht="12.75" customHeight="1">
      <c r="A919" s="28"/>
      <c r="B919" s="29"/>
      <c r="C919" s="30" t="str">
        <f>IFERROR(_xlfn.XLOOKUP(B919,Transporte[DESCRIPCION],Transporte[UND],,0),"")</f>
        <v/>
      </c>
      <c r="D919" s="31"/>
      <c r="E919" s="32" t="str">
        <f>IFERROR(_xlfn.XLOOKUP($B919,Transporte[DESCRIPCION],Transporte[VALOR],,0),"")</f>
        <v/>
      </c>
      <c r="F919" s="33"/>
      <c r="G919" s="34" t="str">
        <f>IFERROR(IF(F919&gt;=0,D919*E919*(1+F919/100),ABS(D919*E919/F919)),"")</f>
        <v/>
      </c>
      <c r="H919" s="43" t="str">
        <f>IFERROR(G919*E906,"")</f>
        <v/>
      </c>
    </row>
    <row r="920" spans="1:10" ht="12.75" customHeight="1">
      <c r="A920" s="28"/>
      <c r="B920" s="29"/>
      <c r="C920" s="30" t="str">
        <f>IFERROR(_xlfn.XLOOKUP(B920,Transporte[DESCRIPCION],Transporte[UND],,0),"")</f>
        <v/>
      </c>
      <c r="D920" s="31"/>
      <c r="E920" s="32" t="str">
        <f>IFERROR(_xlfn.XLOOKUP($B920,Transporte[DESCRIPCION],Transporte[VALOR],,0),"")</f>
        <v/>
      </c>
      <c r="F920" s="33"/>
      <c r="G920" s="34" t="str">
        <f>IFERROR(IF(F920&gt;=0,D920*E920*(1+F920/100),ABS(D920*E920/F920)),"")</f>
        <v/>
      </c>
      <c r="H920" s="43" t="str">
        <f>IFERROR(G920*E906,"")</f>
        <v/>
      </c>
    </row>
    <row r="921" spans="1:10" ht="12.75" customHeight="1">
      <c r="A921" s="21"/>
      <c r="B921" s="22" t="s">
        <v>3732</v>
      </c>
      <c r="C921" s="23"/>
      <c r="D921" s="24"/>
      <c r="E921" s="25"/>
      <c r="F921" s="26"/>
      <c r="G921" s="27">
        <f>SUM(G922:G924)</f>
        <v>15525.469180000004</v>
      </c>
      <c r="H921" s="44">
        <f>G921*E906</f>
        <v>0</v>
      </c>
    </row>
    <row r="922" spans="1:10" ht="12.75" customHeight="1">
      <c r="A922" s="28"/>
      <c r="B922" s="29" t="s">
        <v>3723</v>
      </c>
      <c r="C922" s="30" t="str">
        <f>IFERROR(_xlfn.XLOOKUP(B922,MObra[DESCRIPCION],MObra[UN],,0),"")</f>
        <v>día</v>
      </c>
      <c r="D922" s="31">
        <v>1</v>
      </c>
      <c r="E922" s="32">
        <f>IFERROR(_xlfn.XLOOKUP($B922,MObra[DESCRIPCION],MObra[VALOR UNIT],,0),"")</f>
        <v>465764.07540000009</v>
      </c>
      <c r="F922" s="33">
        <v>-30</v>
      </c>
      <c r="G922" s="34">
        <f>IFERROR(IF(F922&gt;=0,D922*E922*(1+F922/100),ABS(D922*E922/F922)),"")</f>
        <v>15525.469180000004</v>
      </c>
      <c r="H922" s="43">
        <f>IFERROR(G922*E906,"")</f>
        <v>0</v>
      </c>
    </row>
    <row r="923" spans="1:10" ht="12.75" customHeight="1">
      <c r="A923" s="28"/>
      <c r="B923" s="29"/>
      <c r="C923" s="30" t="str">
        <f t="array" ref="C923">IFERROR(_xlfn.XLOOKUP(B923,MObra[[#All],[DESCRIPCION]],MObra[[#All],[UN]],,0),"")</f>
        <v/>
      </c>
      <c r="D923" s="31"/>
      <c r="E923" s="32" t="str">
        <f>IFERROR(_xlfn.XLOOKUP($B923,MObra[DESCRIPCION],MObra[VALOR UNIT],,0),"")</f>
        <v/>
      </c>
      <c r="F923" s="33"/>
      <c r="G923" s="34" t="str">
        <f>IFERROR(IF(F923&gt;=0,D923*E923*(1+F923/100),ABS(D923*E923/F923)),"")</f>
        <v/>
      </c>
      <c r="H923" s="43" t="str">
        <f>IFERROR(G923*E906,"")</f>
        <v/>
      </c>
    </row>
    <row r="924" spans="1:10" ht="12.75" customHeight="1" thickBot="1">
      <c r="A924" s="35"/>
      <c r="B924" s="36"/>
      <c r="C924" s="37" t="str">
        <f t="array" ref="C924">IFERROR(_xlfn.XLOOKUP(B924,MObra[[#All],[DESCRIPCION]],MObra[[#All],[UN]],,0),"")</f>
        <v/>
      </c>
      <c r="D924" s="38"/>
      <c r="E924" s="39" t="str">
        <f>IFERROR(_xlfn.XLOOKUP($B924,MObra[DESCRIPCION],MObra[VALOR UNIT],,0),"")</f>
        <v/>
      </c>
      <c r="F924" s="40"/>
      <c r="G924" s="41" t="str">
        <f>IFERROR(IF(F924&gt;=0,D924*E924*(1+F924/100),ABS(D924*E924/F924)),"")</f>
        <v/>
      </c>
      <c r="H924" s="42" t="str">
        <f>IFERROR(G924*E906,"")</f>
        <v/>
      </c>
    </row>
    <row r="925" spans="1:10" ht="12.75" customHeight="1" thickTop="1" thickBot="1">
      <c r="E925" s="49"/>
      <c r="G925" s="3"/>
    </row>
    <row r="926" spans="1:10" ht="12.75" customHeight="1" thickTop="1" thickBot="1">
      <c r="A926" s="6" t="s">
        <v>112</v>
      </c>
      <c r="B926" s="7" t="str">
        <f>VLOOKUP($A926,Presupuesto!$A:$D,2,FALSE())</f>
        <v>Demolición calados 0.25 x 0.25</v>
      </c>
      <c r="C926" s="8" t="str">
        <f>VLOOKUP($A926,Presupuesto!$A:$D,3,FALSE())</f>
        <v>M2</v>
      </c>
      <c r="D926" s="9"/>
      <c r="E926" s="10">
        <f>VLOOKUP($A926,Presupuesto!$A:$D,4,FALSE())</f>
        <v>0</v>
      </c>
      <c r="F926" s="11" t="s">
        <v>2589</v>
      </c>
      <c r="G926" s="12">
        <f>SUM(G928:G944)/2</f>
        <v>7236.1624269783351</v>
      </c>
      <c r="H926" s="13">
        <f>ROUND(SUM(H928:H944),0)/2</f>
        <v>0</v>
      </c>
      <c r="I926" s="10">
        <f>VLOOKUP(A926,Presupuesto!$A:$F,6,0)</f>
        <v>0</v>
      </c>
      <c r="J926" s="10">
        <f>+H926-I926</f>
        <v>0</v>
      </c>
    </row>
    <row r="927" spans="1:10" ht="12.75" customHeight="1" thickTop="1">
      <c r="A927" s="14"/>
      <c r="B927" s="15" t="s">
        <v>2586</v>
      </c>
      <c r="C927" s="15" t="s">
        <v>5</v>
      </c>
      <c r="D927" s="16" t="s">
        <v>6</v>
      </c>
      <c r="E927" s="17" t="s">
        <v>7</v>
      </c>
      <c r="F927" s="18" t="s">
        <v>3728</v>
      </c>
      <c r="G927" s="19" t="s">
        <v>3729</v>
      </c>
      <c r="H927" s="20" t="s">
        <v>3797</v>
      </c>
    </row>
    <row r="928" spans="1:10" ht="12.75" customHeight="1">
      <c r="A928" s="21"/>
      <c r="B928" s="22" t="s">
        <v>3730</v>
      </c>
      <c r="C928" s="23"/>
      <c r="D928" s="24"/>
      <c r="E928" s="25"/>
      <c r="F928" s="26"/>
      <c r="G928" s="27">
        <f>SUM(G929:G933)</f>
        <v>0</v>
      </c>
      <c r="H928" s="27">
        <f>IFERROR(G928*E926,"")</f>
        <v>0</v>
      </c>
    </row>
    <row r="929" spans="1:8" ht="12.75" customHeight="1">
      <c r="A929" s="28"/>
      <c r="B929" s="29"/>
      <c r="C929" s="30" t="str">
        <f>IFERROR(_xlfn.XLOOKUP(B929,Insumo[DESCRIPCION],Insumo[UND],,0),"")</f>
        <v/>
      </c>
      <c r="D929" s="31"/>
      <c r="E929" s="32" t="str">
        <f>IFERROR(_xlfn.XLOOKUP($B929,Insumo[DESCRIPCION],Insumo[VALOR],,0),"")</f>
        <v/>
      </c>
      <c r="F929" s="33"/>
      <c r="G929" s="34" t="str">
        <f>IFERROR(IF(F929&gt;=0,D929*E929*(1+F929/100),ABS(D929*E929/F929)),"")</f>
        <v/>
      </c>
      <c r="H929" s="43" t="str">
        <f>IFERROR(G929*E926,"")</f>
        <v/>
      </c>
    </row>
    <row r="930" spans="1:8" ht="12.75" customHeight="1">
      <c r="A930" s="28"/>
      <c r="B930" s="29"/>
      <c r="C930" s="30" t="str">
        <f>IFERROR(_xlfn.XLOOKUP(B930,Insumo[DESCRIPCION],Insumo[UND],,0),"")</f>
        <v/>
      </c>
      <c r="D930" s="31"/>
      <c r="E930" s="32" t="str">
        <f>IFERROR(_xlfn.XLOOKUP($B930,Insumo[DESCRIPCION],Insumo[VALOR],,0),"")</f>
        <v/>
      </c>
      <c r="F930" s="33"/>
      <c r="G930" s="34" t="str">
        <f>IFERROR(IF(F930&gt;=0,D930*E930*(1+F930/100),ABS(D930*E930/F930)),"")</f>
        <v/>
      </c>
      <c r="H930" s="43" t="str">
        <f>IFERROR(G930*E926,"")</f>
        <v/>
      </c>
    </row>
    <row r="931" spans="1:8" ht="12.75" customHeight="1">
      <c r="A931" s="28"/>
      <c r="B931" s="29"/>
      <c r="C931" s="30" t="str">
        <f>IFERROR(_xlfn.XLOOKUP(B931,Insumo[DESCRIPCION],Insumo[UND],,0),"")</f>
        <v/>
      </c>
      <c r="D931" s="31"/>
      <c r="E931" s="32" t="str">
        <f>IFERROR(_xlfn.XLOOKUP($B931,Insumo[DESCRIPCION],Insumo[VALOR],,0),"")</f>
        <v/>
      </c>
      <c r="F931" s="33"/>
      <c r="G931" s="34" t="str">
        <f>IFERROR(IF(F931&gt;=0,D931*E931*(1+F931/100),ABS(D931*E931/F931)),"")</f>
        <v/>
      </c>
      <c r="H931" s="43" t="str">
        <f>IFERROR(G931*E926,"")</f>
        <v/>
      </c>
    </row>
    <row r="932" spans="1:8" ht="12.75" customHeight="1">
      <c r="A932" s="28"/>
      <c r="B932" s="29"/>
      <c r="C932" s="30" t="str">
        <f>IFERROR(_xlfn.XLOOKUP(B932,Insumo[DESCRIPCION],Insumo[UND],,0),"")</f>
        <v/>
      </c>
      <c r="D932" s="31"/>
      <c r="E932" s="32" t="str">
        <f>IFERROR(_xlfn.XLOOKUP($B932,Insumo[DESCRIPCION],Insumo[VALOR],,0),"")</f>
        <v/>
      </c>
      <c r="F932" s="33"/>
      <c r="G932" s="34" t="str">
        <f>IFERROR(IF(F932&gt;=0,D932*E932*(1+F932/100),ABS(D932*E932/F932)),"")</f>
        <v/>
      </c>
      <c r="H932" s="43" t="str">
        <f>IFERROR(G932*E926,"")</f>
        <v/>
      </c>
    </row>
    <row r="933" spans="1:8" ht="12.75" customHeight="1">
      <c r="A933" s="28"/>
      <c r="B933" s="29"/>
      <c r="C933" s="30" t="str">
        <f>IFERROR(_xlfn.XLOOKUP(B933,Insumo[DESCRIPCION],Insumo[UND],,0),"")</f>
        <v/>
      </c>
      <c r="D933" s="31"/>
      <c r="E933" s="32" t="str">
        <f>IFERROR(_xlfn.XLOOKUP($B933,Insumo[DESCRIPCION],Insumo[VALOR],,0),"")</f>
        <v/>
      </c>
      <c r="F933" s="33"/>
      <c r="G933" s="34" t="str">
        <f>IFERROR(IF(F933&gt;=0,D933*E933*(1+F933/100),ABS(D933*E933/F933)),"")</f>
        <v/>
      </c>
      <c r="H933" s="43" t="str">
        <f>IFERROR(G933*E926,"")</f>
        <v/>
      </c>
    </row>
    <row r="934" spans="1:8" ht="12.75" customHeight="1">
      <c r="A934" s="21"/>
      <c r="B934" s="22" t="s">
        <v>3731</v>
      </c>
      <c r="C934" s="23"/>
      <c r="D934" s="24"/>
      <c r="E934" s="25"/>
      <c r="F934" s="26"/>
      <c r="G934" s="27">
        <f>SUM(G935:G937)</f>
        <v>1155.3536648116669</v>
      </c>
      <c r="H934" s="44">
        <f>G934*E926</f>
        <v>0</v>
      </c>
    </row>
    <row r="935" spans="1:8" ht="12.75" customHeight="1">
      <c r="A935" s="28"/>
      <c r="B935" s="29" t="s">
        <v>3573</v>
      </c>
      <c r="C935" s="30" t="str">
        <f>IFERROR(_xlfn.XLOOKUP(B935,Equipo[DESCRIPCION],Equipo[UND],,0),"")</f>
        <v>%MO</v>
      </c>
      <c r="D935" s="31">
        <v>0.1</v>
      </c>
      <c r="E935" s="32">
        <f>IF(C935="%MO",G941,IFERROR(_xlfn.XLOOKUP($B935,Equipo[DESCRIPCION],Equipo[VALOR],,0),""))</f>
        <v>6080.8087621666682</v>
      </c>
      <c r="F935" s="33"/>
      <c r="G935" s="34">
        <f>IFERROR(IF(F935&gt;=0,D935*E935*(1+F935/100),ABS(D935*E935/F935)),"")</f>
        <v>608.08087621666687</v>
      </c>
      <c r="H935" s="43">
        <f>IFERROR(G935*E926,"")</f>
        <v>0</v>
      </c>
    </row>
    <row r="936" spans="1:8" ht="12.75" customHeight="1">
      <c r="A936" s="28"/>
      <c r="B936" s="29" t="s">
        <v>3570</v>
      </c>
      <c r="C936" s="30" t="str">
        <f>IFERROR(_xlfn.XLOOKUP(B936,Equipo[DESCRIPCION],Equipo[UND],,0),"")</f>
        <v>%MO</v>
      </c>
      <c r="D936" s="31">
        <v>0.04</v>
      </c>
      <c r="E936" s="32">
        <f>IF(C936="%MO",G941,IFERROR(_xlfn.XLOOKUP($B936,Equipo[DESCRIPCION],Equipo[VALOR],,0),""))</f>
        <v>6080.8087621666682</v>
      </c>
      <c r="F936" s="33"/>
      <c r="G936" s="34">
        <f>IFERROR(IF(F936&gt;=0,D936*E936*(1+F936/100),ABS(D936*E936/F936)),"")</f>
        <v>243.23235048666675</v>
      </c>
      <c r="H936" s="43">
        <f>IFERROR(G936*E926,"")</f>
        <v>0</v>
      </c>
    </row>
    <row r="937" spans="1:8" ht="12.75" customHeight="1">
      <c r="A937" s="28"/>
      <c r="B937" s="29" t="s">
        <v>3626</v>
      </c>
      <c r="C937" s="30" t="str">
        <f>IFERROR(_xlfn.XLOOKUP(B937,Equipo[DESCRIPCION],Equipo[UND],,0),"")</f>
        <v>%MO</v>
      </c>
      <c r="D937" s="31">
        <v>0.05</v>
      </c>
      <c r="E937" s="32">
        <f>IF(C937="%MO",G941,IFERROR(_xlfn.XLOOKUP($B937,Equipo[DESCRIPCION],Equipo[VALOR],,0),""))</f>
        <v>6080.8087621666682</v>
      </c>
      <c r="F937" s="33"/>
      <c r="G937" s="34">
        <f>IFERROR(IF(F937&gt;=0,D937*E937*(1+F937/100),ABS(D937*E937/F937)),"")</f>
        <v>304.04043810833343</v>
      </c>
      <c r="H937" s="43">
        <f>IFERROR(G937*E926,"")</f>
        <v>0</v>
      </c>
    </row>
    <row r="938" spans="1:8" ht="12.75" customHeight="1">
      <c r="A938" s="21"/>
      <c r="B938" s="22" t="s">
        <v>2533</v>
      </c>
      <c r="C938" s="23"/>
      <c r="D938" s="24"/>
      <c r="E938" s="25"/>
      <c r="F938" s="26"/>
      <c r="G938" s="27">
        <f>SUM(G939:G940)</f>
        <v>0</v>
      </c>
      <c r="H938" s="44">
        <f>G938*E926</f>
        <v>0</v>
      </c>
    </row>
    <row r="939" spans="1:8" ht="12.75" customHeight="1">
      <c r="A939" s="28"/>
      <c r="B939" s="29"/>
      <c r="C939" s="30" t="str">
        <f>IFERROR(_xlfn.XLOOKUP(B939,Transporte[DESCRIPCION],Transporte[UND],,0),"")</f>
        <v/>
      </c>
      <c r="D939" s="31"/>
      <c r="E939" s="32" t="str">
        <f>IFERROR(_xlfn.XLOOKUP($B939,Transporte[DESCRIPCION],Transporte[VALOR],,0),"")</f>
        <v/>
      </c>
      <c r="F939" s="33"/>
      <c r="G939" s="34" t="str">
        <f>IFERROR(IF(F939&gt;=0,D939*E939*(1+F939/100),ABS(D939*E939/F939)),"")</f>
        <v/>
      </c>
      <c r="H939" s="43" t="str">
        <f>IFERROR(G939*E926,"")</f>
        <v/>
      </c>
    </row>
    <row r="940" spans="1:8" ht="12.75" customHeight="1">
      <c r="A940" s="28"/>
      <c r="B940" s="29"/>
      <c r="C940" s="30" t="str">
        <f>IFERROR(_xlfn.XLOOKUP(B940,Transporte[DESCRIPCION],Transporte[UND],,0),"")</f>
        <v/>
      </c>
      <c r="D940" s="31"/>
      <c r="E940" s="32" t="str">
        <f>IFERROR(_xlfn.XLOOKUP($B940,Transporte[DESCRIPCION],Transporte[VALOR],,0),"")</f>
        <v/>
      </c>
      <c r="F940" s="33"/>
      <c r="G940" s="34" t="str">
        <f>IFERROR(IF(F940&gt;=0,D940*E940*(1+F940/100),ABS(D940*E940/F940)),"")</f>
        <v/>
      </c>
      <c r="H940" s="43" t="str">
        <f>IFERROR(G940*E926,"")</f>
        <v/>
      </c>
    </row>
    <row r="941" spans="1:8" ht="12.75" customHeight="1">
      <c r="A941" s="21"/>
      <c r="B941" s="22" t="s">
        <v>3732</v>
      </c>
      <c r="C941" s="23"/>
      <c r="D941" s="24"/>
      <c r="E941" s="25"/>
      <c r="F941" s="26"/>
      <c r="G941" s="27">
        <f>SUM(G942:G944)</f>
        <v>6080.8087621666682</v>
      </c>
      <c r="H941" s="44">
        <f>G941*E926</f>
        <v>0</v>
      </c>
    </row>
    <row r="942" spans="1:8" ht="12.75" customHeight="1">
      <c r="A942" s="28"/>
      <c r="B942" s="29" t="s">
        <v>3712</v>
      </c>
      <c r="C942" s="30" t="str">
        <f>IFERROR(_xlfn.XLOOKUP(B942,MObra[DESCRIPCION],MObra[UN],,0),"")</f>
        <v>día</v>
      </c>
      <c r="D942" s="31">
        <v>1</v>
      </c>
      <c r="E942" s="32">
        <f>IFERROR(_xlfn.XLOOKUP($B942,MObra[DESCRIPCION],MObra[VALOR UNIT],,0),"")</f>
        <v>547272.78859500017</v>
      </c>
      <c r="F942" s="33">
        <v>-90</v>
      </c>
      <c r="G942" s="34">
        <f>IFERROR(IF(F942&gt;=0,D942*E942*(1+F942/100),ABS(D942*E942/F942)),"")</f>
        <v>6080.8087621666682</v>
      </c>
      <c r="H942" s="43">
        <f>IFERROR(G942*E926,"")</f>
        <v>0</v>
      </c>
    </row>
    <row r="943" spans="1:8" ht="12.75" customHeight="1">
      <c r="A943" s="28"/>
      <c r="B943" s="29"/>
      <c r="C943" s="30" t="str">
        <f t="array" ref="C943">IFERROR(_xlfn.XLOOKUP(B943,MObra[[#All],[DESCRIPCION]],MObra[[#All],[UN]],,0),"")</f>
        <v/>
      </c>
      <c r="D943" s="31"/>
      <c r="E943" s="32" t="str">
        <f>IFERROR(_xlfn.XLOOKUP($B943,MObra[DESCRIPCION],MObra[VALOR UNIT],,0),"")</f>
        <v/>
      </c>
      <c r="F943" s="33"/>
      <c r="G943" s="34" t="str">
        <f>IFERROR(IF(F943&gt;=0,D943*E943*(1+F943/100),ABS(D943*E943/F943)),"")</f>
        <v/>
      </c>
      <c r="H943" s="43" t="str">
        <f>IFERROR(G943*E926,"")</f>
        <v/>
      </c>
    </row>
    <row r="944" spans="1:8" ht="12.75" customHeight="1" thickBot="1">
      <c r="A944" s="35"/>
      <c r="B944" s="36"/>
      <c r="C944" s="37" t="str">
        <f t="array" ref="C944">IFERROR(_xlfn.XLOOKUP(B944,MObra[[#All],[DESCRIPCION]],MObra[[#All],[UN]],,0),"")</f>
        <v/>
      </c>
      <c r="D944" s="38"/>
      <c r="E944" s="39" t="str">
        <f>IFERROR(_xlfn.XLOOKUP($B944,MObra[DESCRIPCION],MObra[VALOR UNIT],,0),"")</f>
        <v/>
      </c>
      <c r="F944" s="40"/>
      <c r="G944" s="41" t="str">
        <f>IFERROR(IF(F944&gt;=0,D944*E944*(1+F944/100),ABS(D944*E944/F944)),"")</f>
        <v/>
      </c>
      <c r="H944" s="42" t="str">
        <f>IFERROR(G944*E926,"")</f>
        <v/>
      </c>
    </row>
    <row r="945" spans="1:10" ht="12.75" customHeight="1" thickTop="1" thickBot="1">
      <c r="E945" s="49"/>
      <c r="G945" s="3"/>
    </row>
    <row r="946" spans="1:10" ht="12.75" customHeight="1" thickTop="1" thickBot="1">
      <c r="A946" s="6" t="s">
        <v>114</v>
      </c>
      <c r="B946" s="7" t="str">
        <f>VLOOKUP($A946,Presupuesto!$A:$D,2,FALSE())</f>
        <v>Demolición cerramiento malla y muro</v>
      </c>
      <c r="C946" s="8" t="str">
        <f>VLOOKUP($A946,Presupuesto!$A:$D,3,FALSE())</f>
        <v>M</v>
      </c>
      <c r="D946" s="9"/>
      <c r="E946" s="10">
        <f>VLOOKUP($A946,Presupuesto!$A:$D,4,FALSE())</f>
        <v>0</v>
      </c>
      <c r="F946" s="11" t="s">
        <v>2589</v>
      </c>
      <c r="G946" s="12">
        <f>SUM(G948:G964)/2</f>
        <v>39768.489304570016</v>
      </c>
      <c r="H946" s="13">
        <f>ROUND(SUM(H948:H964),0)/2</f>
        <v>0</v>
      </c>
      <c r="I946" s="10">
        <f>VLOOKUP(A946,Presupuesto!$A:$F,6,0)</f>
        <v>0</v>
      </c>
      <c r="J946" s="10">
        <f>+H946-I946</f>
        <v>0</v>
      </c>
    </row>
    <row r="947" spans="1:10" ht="12.75" customHeight="1" thickTop="1">
      <c r="A947" s="14"/>
      <c r="B947" s="15" t="s">
        <v>2586</v>
      </c>
      <c r="C947" s="15" t="s">
        <v>5</v>
      </c>
      <c r="D947" s="16" t="s">
        <v>6</v>
      </c>
      <c r="E947" s="17" t="s">
        <v>7</v>
      </c>
      <c r="F947" s="18" t="s">
        <v>3728</v>
      </c>
      <c r="G947" s="19" t="s">
        <v>3729</v>
      </c>
      <c r="H947" s="20" t="s">
        <v>3797</v>
      </c>
    </row>
    <row r="948" spans="1:10" ht="12.75" customHeight="1">
      <c r="A948" s="21"/>
      <c r="B948" s="22" t="s">
        <v>3730</v>
      </c>
      <c r="C948" s="23"/>
      <c r="D948" s="24"/>
      <c r="E948" s="25"/>
      <c r="F948" s="26"/>
      <c r="G948" s="27">
        <f>SUM(G949:G953)</f>
        <v>0</v>
      </c>
      <c r="H948" s="27">
        <f>IFERROR(G948*E946,"")</f>
        <v>0</v>
      </c>
    </row>
    <row r="949" spans="1:10" ht="12.75" customHeight="1">
      <c r="A949" s="28"/>
      <c r="B949" s="29"/>
      <c r="C949" s="30" t="str">
        <f>IFERROR(_xlfn.XLOOKUP(B949,Insumo[DESCRIPCION],Insumo[UND],,0),"")</f>
        <v/>
      </c>
      <c r="D949" s="31"/>
      <c r="E949" s="32" t="str">
        <f>IFERROR(_xlfn.XLOOKUP($B949,Insumo[DESCRIPCION],Insumo[VALOR],,0),"")</f>
        <v/>
      </c>
      <c r="F949" s="33"/>
      <c r="G949" s="34" t="str">
        <f>IFERROR(IF(F949&gt;=0,D949*E949*(1+F949/100),ABS(D949*E949/F949)),"")</f>
        <v/>
      </c>
      <c r="H949" s="43" t="str">
        <f>IFERROR(G949*E946,"")</f>
        <v/>
      </c>
    </row>
    <row r="950" spans="1:10" ht="12.75" customHeight="1">
      <c r="A950" s="28"/>
      <c r="B950" s="29"/>
      <c r="C950" s="30" t="str">
        <f>IFERROR(_xlfn.XLOOKUP(B950,Insumo[DESCRIPCION],Insumo[UND],,0),"")</f>
        <v/>
      </c>
      <c r="D950" s="31"/>
      <c r="E950" s="32" t="str">
        <f>IFERROR(_xlfn.XLOOKUP($B950,Insumo[DESCRIPCION],Insumo[VALOR],,0),"")</f>
        <v/>
      </c>
      <c r="F950" s="33"/>
      <c r="G950" s="34" t="str">
        <f>IFERROR(IF(F950&gt;=0,D950*E950*(1+F950/100),ABS(D950*E950/F950)),"")</f>
        <v/>
      </c>
      <c r="H950" s="43" t="str">
        <f>IFERROR(G950*E946,"")</f>
        <v/>
      </c>
    </row>
    <row r="951" spans="1:10" ht="12.75" customHeight="1">
      <c r="A951" s="28"/>
      <c r="B951" s="29"/>
      <c r="C951" s="30" t="str">
        <f>IFERROR(_xlfn.XLOOKUP(B951,Insumo[DESCRIPCION],Insumo[UND],,0),"")</f>
        <v/>
      </c>
      <c r="D951" s="31"/>
      <c r="E951" s="32" t="str">
        <f>IFERROR(_xlfn.XLOOKUP($B951,Insumo[DESCRIPCION],Insumo[VALOR],,0),"")</f>
        <v/>
      </c>
      <c r="F951" s="33"/>
      <c r="G951" s="34" t="str">
        <f>IFERROR(IF(F951&gt;=0,D951*E951*(1+F951/100),ABS(D951*E951/F951)),"")</f>
        <v/>
      </c>
      <c r="H951" s="43" t="str">
        <f>IFERROR(G951*E946,"")</f>
        <v/>
      </c>
    </row>
    <row r="952" spans="1:10" ht="12.75" customHeight="1">
      <c r="A952" s="28"/>
      <c r="B952" s="29"/>
      <c r="C952" s="30" t="str">
        <f>IFERROR(_xlfn.XLOOKUP(B952,Insumo[DESCRIPCION],Insumo[UND],,0),"")</f>
        <v/>
      </c>
      <c r="D952" s="31"/>
      <c r="E952" s="32" t="str">
        <f>IFERROR(_xlfn.XLOOKUP($B952,Insumo[DESCRIPCION],Insumo[VALOR],,0),"")</f>
        <v/>
      </c>
      <c r="F952" s="33"/>
      <c r="G952" s="34" t="str">
        <f>IFERROR(IF(F952&gt;=0,D952*E952*(1+F952/100),ABS(D952*E952/F952)),"")</f>
        <v/>
      </c>
      <c r="H952" s="43" t="str">
        <f>IFERROR(G952*E946,"")</f>
        <v/>
      </c>
    </row>
    <row r="953" spans="1:10" ht="12.75" customHeight="1">
      <c r="A953" s="28"/>
      <c r="B953" s="29"/>
      <c r="C953" s="30" t="str">
        <f>IFERROR(_xlfn.XLOOKUP(B953,Insumo[DESCRIPCION],Insumo[UND],,0),"")</f>
        <v/>
      </c>
      <c r="D953" s="31"/>
      <c r="E953" s="32" t="str">
        <f>IFERROR(_xlfn.XLOOKUP($B953,Insumo[DESCRIPCION],Insumo[VALOR],,0),"")</f>
        <v/>
      </c>
      <c r="F953" s="33"/>
      <c r="G953" s="34" t="str">
        <f>IFERROR(IF(F953&gt;=0,D953*E953*(1+F953/100),ABS(D953*E953/F953)),"")</f>
        <v/>
      </c>
      <c r="H953" s="43" t="str">
        <f>IFERROR(G953*E946,"")</f>
        <v/>
      </c>
    </row>
    <row r="954" spans="1:10" ht="12.75" customHeight="1">
      <c r="A954" s="21"/>
      <c r="B954" s="22" t="s">
        <v>3731</v>
      </c>
      <c r="C954" s="23"/>
      <c r="D954" s="24"/>
      <c r="E954" s="25"/>
      <c r="F954" s="26"/>
      <c r="G954" s="27">
        <f>SUM(G955:G957)</f>
        <v>3283.6367315700008</v>
      </c>
      <c r="H954" s="44">
        <f>G954*E946</f>
        <v>0</v>
      </c>
    </row>
    <row r="955" spans="1:10" ht="12.75" customHeight="1">
      <c r="A955" s="28"/>
      <c r="B955" s="29" t="s">
        <v>3570</v>
      </c>
      <c r="C955" s="30" t="str">
        <f>IFERROR(_xlfn.XLOOKUP(B955,Equipo[DESCRIPCION],Equipo[UND],,0),"")</f>
        <v>%MO</v>
      </c>
      <c r="D955" s="31">
        <v>0.04</v>
      </c>
      <c r="E955" s="32">
        <f>IF(C955="%MO",G961,IFERROR(_xlfn.XLOOKUP($B955,Equipo[DESCRIPCION],Equipo[VALOR],,0),""))</f>
        <v>36484.852573000011</v>
      </c>
      <c r="F955" s="33"/>
      <c r="G955" s="34">
        <f>IFERROR(IF(F955&gt;=0,D955*E955*(1+F955/100),ABS(D955*E955/F955)),"")</f>
        <v>1459.3941029200005</v>
      </c>
      <c r="H955" s="43">
        <f>IFERROR(G955*E946,"")</f>
        <v>0</v>
      </c>
    </row>
    <row r="956" spans="1:10" ht="12.75" customHeight="1">
      <c r="A956" s="28"/>
      <c r="B956" s="29" t="s">
        <v>3626</v>
      </c>
      <c r="C956" s="30" t="str">
        <f>IFERROR(_xlfn.XLOOKUP(B956,Equipo[DESCRIPCION],Equipo[UND],,0),"")</f>
        <v>%MO</v>
      </c>
      <c r="D956" s="31">
        <v>0.05</v>
      </c>
      <c r="E956" s="32">
        <f>IF(C956="%MO",G961,IFERROR(_xlfn.XLOOKUP($B956,Equipo[DESCRIPCION],Equipo[VALOR],,0),""))</f>
        <v>36484.852573000011</v>
      </c>
      <c r="F956" s="33"/>
      <c r="G956" s="34">
        <f>IFERROR(IF(F956&gt;=0,D956*E956*(1+F956/100),ABS(D956*E956/F956)),"")</f>
        <v>1824.2426286500006</v>
      </c>
      <c r="H956" s="43">
        <f>IFERROR(G956*E946,"")</f>
        <v>0</v>
      </c>
    </row>
    <row r="957" spans="1:10" ht="12.75" customHeight="1">
      <c r="A957" s="28"/>
      <c r="B957" s="29"/>
      <c r="C957" s="30" t="str">
        <f>IFERROR(_xlfn.XLOOKUP(B957,Equipo[DESCRIPCION],Equipo[UND],,0),"")</f>
        <v/>
      </c>
      <c r="D957" s="31"/>
      <c r="E957" s="32" t="str">
        <f>IF(C957="%MO",G961,IFERROR(_xlfn.XLOOKUP($B957,Equipo[DESCRIPCION],Equipo[VALOR],,0),""))</f>
        <v/>
      </c>
      <c r="F957" s="33"/>
      <c r="G957" s="34" t="str">
        <f>IFERROR(IF(F957&gt;=0,D957*E957*(1+F957/100),ABS(D957*E957/F957)),"")</f>
        <v/>
      </c>
      <c r="H957" s="43" t="str">
        <f>IFERROR(G957*E946,"")</f>
        <v/>
      </c>
    </row>
    <row r="958" spans="1:10" ht="12.75" customHeight="1">
      <c r="A958" s="21"/>
      <c r="B958" s="22" t="s">
        <v>2533</v>
      </c>
      <c r="C958" s="23"/>
      <c r="D958" s="24"/>
      <c r="E958" s="25"/>
      <c r="F958" s="26"/>
      <c r="G958" s="27">
        <f>SUM(G959:G960)</f>
        <v>0</v>
      </c>
      <c r="H958" s="44">
        <f>G958*E946</f>
        <v>0</v>
      </c>
    </row>
    <row r="959" spans="1:10" ht="12.75" customHeight="1">
      <c r="A959" s="28"/>
      <c r="B959" s="29"/>
      <c r="C959" s="30" t="str">
        <f>IFERROR(_xlfn.XLOOKUP(B959,Transporte[DESCRIPCION],Transporte[UND],,0),"")</f>
        <v/>
      </c>
      <c r="D959" s="31"/>
      <c r="E959" s="32" t="str">
        <f>IFERROR(_xlfn.XLOOKUP($B959,Transporte[DESCRIPCION],Transporte[VALOR],,0),"")</f>
        <v/>
      </c>
      <c r="F959" s="33"/>
      <c r="G959" s="34" t="str">
        <f>IFERROR(IF(F959&gt;=0,D959*E959*(1+F959/100),ABS(D959*E959/F959)),"")</f>
        <v/>
      </c>
      <c r="H959" s="43" t="str">
        <f>IFERROR(G959*E946,"")</f>
        <v/>
      </c>
    </row>
    <row r="960" spans="1:10" ht="12.75" customHeight="1">
      <c r="A960" s="28"/>
      <c r="B960" s="29"/>
      <c r="C960" s="30" t="str">
        <f>IFERROR(_xlfn.XLOOKUP(B960,Transporte[DESCRIPCION],Transporte[UND],,0),"")</f>
        <v/>
      </c>
      <c r="D960" s="31"/>
      <c r="E960" s="32" t="str">
        <f>IFERROR(_xlfn.XLOOKUP($B960,Transporte[DESCRIPCION],Transporte[VALOR],,0),"")</f>
        <v/>
      </c>
      <c r="F960" s="33"/>
      <c r="G960" s="34" t="str">
        <f>IFERROR(IF(F960&gt;=0,D960*E960*(1+F960/100),ABS(D960*E960/F960)),"")</f>
        <v/>
      </c>
      <c r="H960" s="43" t="str">
        <f>IFERROR(G960*E946,"")</f>
        <v/>
      </c>
    </row>
    <row r="961" spans="1:10" ht="12.75" customHeight="1">
      <c r="A961" s="21"/>
      <c r="B961" s="22" t="s">
        <v>3732</v>
      </c>
      <c r="C961" s="23"/>
      <c r="D961" s="24"/>
      <c r="E961" s="25"/>
      <c r="F961" s="26"/>
      <c r="G961" s="27">
        <f>SUM(G962:G964)</f>
        <v>36484.852573000011</v>
      </c>
      <c r="H961" s="44">
        <f>G961*E946</f>
        <v>0</v>
      </c>
    </row>
    <row r="962" spans="1:10" ht="12.75" customHeight="1">
      <c r="A962" s="28"/>
      <c r="B962" s="29" t="s">
        <v>3712</v>
      </c>
      <c r="C962" s="30" t="str">
        <f>IFERROR(_xlfn.XLOOKUP(B962,MObra[DESCRIPCION],MObra[UN],,0),"")</f>
        <v>día</v>
      </c>
      <c r="D962" s="31">
        <v>1</v>
      </c>
      <c r="E962" s="32">
        <f>IFERROR(_xlfn.XLOOKUP($B962,MObra[DESCRIPCION],MObra[VALOR UNIT],,0),"")</f>
        <v>547272.78859500017</v>
      </c>
      <c r="F962" s="33">
        <v>-15</v>
      </c>
      <c r="G962" s="34">
        <f>IFERROR(IF(F962&gt;=0,D962*E962*(1+F962/100),ABS(D962*E962/F962)),"")</f>
        <v>36484.852573000011</v>
      </c>
      <c r="H962" s="43">
        <f>IFERROR(G962*E946,"")</f>
        <v>0</v>
      </c>
    </row>
    <row r="963" spans="1:10" ht="12.75" customHeight="1">
      <c r="A963" s="28"/>
      <c r="B963" s="29"/>
      <c r="C963" s="30" t="str">
        <f t="array" ref="C963">IFERROR(_xlfn.XLOOKUP(B963,MObra[[#All],[DESCRIPCION]],MObra[[#All],[UN]],,0),"")</f>
        <v/>
      </c>
      <c r="D963" s="31"/>
      <c r="E963" s="32" t="str">
        <f>IFERROR(_xlfn.XLOOKUP($B963,MObra[DESCRIPCION],MObra[VALOR UNIT],,0),"")</f>
        <v/>
      </c>
      <c r="F963" s="33"/>
      <c r="G963" s="34" t="str">
        <f>IFERROR(IF(F963&gt;=0,D963*E963*(1+F963/100),ABS(D963*E963/F963)),"")</f>
        <v/>
      </c>
      <c r="H963" s="43" t="str">
        <f>IFERROR(G963*E946,"")</f>
        <v/>
      </c>
    </row>
    <row r="964" spans="1:10" ht="12.75" customHeight="1" thickBot="1">
      <c r="A964" s="35"/>
      <c r="B964" s="36"/>
      <c r="C964" s="37" t="str">
        <f t="array" ref="C964">IFERROR(_xlfn.XLOOKUP(B964,MObra[[#All],[DESCRIPCION]],MObra[[#All],[UN]],,0),"")</f>
        <v/>
      </c>
      <c r="D964" s="38"/>
      <c r="E964" s="39" t="str">
        <f>IFERROR(_xlfn.XLOOKUP($B964,MObra[DESCRIPCION],MObra[VALOR UNIT],,0),"")</f>
        <v/>
      </c>
      <c r="F964" s="40"/>
      <c r="G964" s="41" t="str">
        <f>IFERROR(IF(F964&gt;=0,D964*E964*(1+F964/100),ABS(D964*E964/F964)),"")</f>
        <v/>
      </c>
      <c r="H964" s="42" t="str">
        <f>IFERROR(G964*E946,"")</f>
        <v/>
      </c>
    </row>
    <row r="965" spans="1:10" ht="12.75" customHeight="1" thickTop="1" thickBot="1">
      <c r="E965" s="49"/>
      <c r="G965" s="3"/>
    </row>
    <row r="966" spans="1:10" ht="12.75" customHeight="1" thickTop="1" thickBot="1">
      <c r="A966" s="6" t="s">
        <v>116</v>
      </c>
      <c r="B966" s="7" t="str">
        <f>VLOOKUP($A966,Presupuesto!$A:$D,2,FALSE())</f>
        <v>Demolición de viviendas - incluye cargue + retiro + material sobrante mecánica</v>
      </c>
      <c r="C966" s="8" t="str">
        <f>VLOOKUP($A966,Presupuesto!$A:$D,3,FALSE())</f>
        <v>M2</v>
      </c>
      <c r="D966" s="9"/>
      <c r="E966" s="10">
        <f>VLOOKUP($A966,Presupuesto!$A:$D,4,FALSE())</f>
        <v>0</v>
      </c>
      <c r="F966" s="11" t="s">
        <v>2589</v>
      </c>
      <c r="G966" s="12">
        <f>SUM(G968:G984)/2</f>
        <v>86249.958151437517</v>
      </c>
      <c r="H966" s="13">
        <f>ROUND(SUM(H968:H984),0)/2</f>
        <v>0</v>
      </c>
      <c r="I966" s="10">
        <f>VLOOKUP(A966,Presupuesto!$A:$F,6,0)</f>
        <v>0</v>
      </c>
      <c r="J966" s="10">
        <f>+H966-I966</f>
        <v>0</v>
      </c>
    </row>
    <row r="967" spans="1:10" ht="12.75" customHeight="1" thickTop="1">
      <c r="A967" s="14"/>
      <c r="B967" s="15" t="s">
        <v>2586</v>
      </c>
      <c r="C967" s="15" t="s">
        <v>5</v>
      </c>
      <c r="D967" s="16" t="s">
        <v>6</v>
      </c>
      <c r="E967" s="17" t="s">
        <v>7</v>
      </c>
      <c r="F967" s="18" t="s">
        <v>3728</v>
      </c>
      <c r="G967" s="19" t="s">
        <v>3729</v>
      </c>
      <c r="H967" s="20" t="s">
        <v>3797</v>
      </c>
    </row>
    <row r="968" spans="1:10" ht="12.75" customHeight="1">
      <c r="A968" s="21"/>
      <c r="B968" s="22" t="s">
        <v>3730</v>
      </c>
      <c r="C968" s="23"/>
      <c r="D968" s="24"/>
      <c r="E968" s="25"/>
      <c r="F968" s="26"/>
      <c r="G968" s="27">
        <f>SUM(G969:G973)</f>
        <v>0</v>
      </c>
      <c r="H968" s="27">
        <f>IFERROR(G968*E966,"")</f>
        <v>0</v>
      </c>
    </row>
    <row r="969" spans="1:10" ht="12.75" customHeight="1">
      <c r="A969" s="28"/>
      <c r="B969" s="29"/>
      <c r="C969" s="30" t="str">
        <f>IFERROR(_xlfn.XLOOKUP(B969,Insumo[DESCRIPCION],Insumo[UND],,0),"")</f>
        <v/>
      </c>
      <c r="D969" s="31"/>
      <c r="E969" s="32" t="str">
        <f>IFERROR(_xlfn.XLOOKUP($B969,Insumo[DESCRIPCION],Insumo[VALOR],,0),"")</f>
        <v/>
      </c>
      <c r="F969" s="33"/>
      <c r="G969" s="34" t="str">
        <f>IFERROR(IF(F969&gt;=0,D969*E969*(1+F969/100),ABS(D969*E969/F969)),"")</f>
        <v/>
      </c>
      <c r="H969" s="43" t="str">
        <f>IFERROR(G969*E966,"")</f>
        <v/>
      </c>
    </row>
    <row r="970" spans="1:10" ht="12.75" customHeight="1">
      <c r="A970" s="28"/>
      <c r="B970" s="29"/>
      <c r="C970" s="30" t="str">
        <f>IFERROR(_xlfn.XLOOKUP(B970,Insumo[DESCRIPCION],Insumo[UND],,0),"")</f>
        <v/>
      </c>
      <c r="D970" s="31"/>
      <c r="E970" s="32" t="str">
        <f>IFERROR(_xlfn.XLOOKUP($B970,Insumo[DESCRIPCION],Insumo[VALOR],,0),"")</f>
        <v/>
      </c>
      <c r="F970" s="33"/>
      <c r="G970" s="34" t="str">
        <f>IFERROR(IF(F970&gt;=0,D970*E970*(1+F970/100),ABS(D970*E970/F970)),"")</f>
        <v/>
      </c>
      <c r="H970" s="43" t="str">
        <f>IFERROR(G970*E966,"")</f>
        <v/>
      </c>
    </row>
    <row r="971" spans="1:10" ht="12.75" customHeight="1">
      <c r="A971" s="28"/>
      <c r="B971" s="29"/>
      <c r="C971" s="30" t="str">
        <f>IFERROR(_xlfn.XLOOKUP(B971,Insumo[DESCRIPCION],Insumo[UND],,0),"")</f>
        <v/>
      </c>
      <c r="D971" s="31"/>
      <c r="E971" s="32" t="str">
        <f>IFERROR(_xlfn.XLOOKUP($B971,Insumo[DESCRIPCION],Insumo[VALOR],,0),"")</f>
        <v/>
      </c>
      <c r="F971" s="33"/>
      <c r="G971" s="34" t="str">
        <f>IFERROR(IF(F971&gt;=0,D971*E971*(1+F971/100),ABS(D971*E971/F971)),"")</f>
        <v/>
      </c>
      <c r="H971" s="43" t="str">
        <f>IFERROR(G971*E966,"")</f>
        <v/>
      </c>
    </row>
    <row r="972" spans="1:10" ht="12.75" customHeight="1">
      <c r="A972" s="28"/>
      <c r="B972" s="29"/>
      <c r="C972" s="30" t="str">
        <f>IFERROR(_xlfn.XLOOKUP(B972,Insumo[DESCRIPCION],Insumo[UND],,0),"")</f>
        <v/>
      </c>
      <c r="D972" s="31"/>
      <c r="E972" s="32" t="str">
        <f>IFERROR(_xlfn.XLOOKUP($B972,Insumo[DESCRIPCION],Insumo[VALOR],,0),"")</f>
        <v/>
      </c>
      <c r="F972" s="33"/>
      <c r="G972" s="34" t="str">
        <f>IFERROR(IF(F972&gt;=0,D972*E972*(1+F972/100),ABS(D972*E972/F972)),"")</f>
        <v/>
      </c>
      <c r="H972" s="43" t="str">
        <f>IFERROR(G972*E966,"")</f>
        <v/>
      </c>
    </row>
    <row r="973" spans="1:10" ht="12.75" customHeight="1">
      <c r="A973" s="28"/>
      <c r="B973" s="29"/>
      <c r="C973" s="30" t="str">
        <f>IFERROR(_xlfn.XLOOKUP(B973,Insumo[DESCRIPCION],Insumo[UND],,0),"")</f>
        <v/>
      </c>
      <c r="D973" s="31"/>
      <c r="E973" s="32" t="str">
        <f>IFERROR(_xlfn.XLOOKUP($B973,Insumo[DESCRIPCION],Insumo[VALOR],,0),"")</f>
        <v/>
      </c>
      <c r="F973" s="33"/>
      <c r="G973" s="34" t="str">
        <f>IFERROR(IF(F973&gt;=0,D973*E973*(1+F973/100),ABS(D973*E973/F973)),"")</f>
        <v/>
      </c>
      <c r="H973" s="43" t="str">
        <f>IFERROR(G973*E966,"")</f>
        <v/>
      </c>
    </row>
    <row r="974" spans="1:10" ht="12.75" customHeight="1">
      <c r="A974" s="21"/>
      <c r="B974" s="22" t="s">
        <v>3731</v>
      </c>
      <c r="C974" s="23"/>
      <c r="D974" s="24"/>
      <c r="E974" s="25"/>
      <c r="F974" s="26"/>
      <c r="G974" s="27">
        <f>SUM(G975:G977)</f>
        <v>30940.474197687501</v>
      </c>
      <c r="H974" s="44">
        <f>G974*E966</f>
        <v>0</v>
      </c>
    </row>
    <row r="975" spans="1:10" ht="12.75" customHeight="1">
      <c r="A975" s="28"/>
      <c r="B975" s="29" t="s">
        <v>3646</v>
      </c>
      <c r="C975" s="30" t="str">
        <f>IFERROR(_xlfn.XLOOKUP(B975,Equipo[DESCRIPCION],Equipo[UND],,0),"")</f>
        <v>Hr</v>
      </c>
      <c r="D975" s="31">
        <v>1</v>
      </c>
      <c r="E975" s="32">
        <f>IF(C975="%MO",G981,IFERROR(_xlfn.XLOOKUP($B975,Equipo[DESCRIPCION],Equipo[VALOR],,0),""))</f>
        <v>288750</v>
      </c>
      <c r="F975" s="33">
        <v>-15</v>
      </c>
      <c r="G975" s="34">
        <f>IFERROR(IF(F975&gt;=0,D975*E975*(1+F975/100),ABS(D975*E975/F975)),"")</f>
        <v>19250</v>
      </c>
      <c r="H975" s="43">
        <f>IFERROR(G975*E966,"")</f>
        <v>0</v>
      </c>
    </row>
    <row r="976" spans="1:10" ht="12.75" customHeight="1">
      <c r="A976" s="28"/>
      <c r="B976" s="29" t="s">
        <v>3659</v>
      </c>
      <c r="C976" s="30" t="str">
        <f>IFERROR(_xlfn.XLOOKUP(B976,Equipo[DESCRIPCION],Equipo[UND],,0),"")</f>
        <v>Hr</v>
      </c>
      <c r="D976" s="31">
        <v>1</v>
      </c>
      <c r="E976" s="32">
        <f>IF(C976="%MO",G981,IFERROR(_xlfn.XLOOKUP($B976,Equipo[DESCRIPCION],Equipo[VALOR],,0),""))</f>
        <v>89250</v>
      </c>
      <c r="F976" s="33">
        <v>-10</v>
      </c>
      <c r="G976" s="34">
        <f>IFERROR(IF(F976&gt;=0,D976*E976*(1+F976/100),ABS(D976*E976/F976)),"")</f>
        <v>8925</v>
      </c>
      <c r="H976" s="43">
        <f>IFERROR(G976*E966,"")</f>
        <v>0</v>
      </c>
    </row>
    <row r="977" spans="1:10" ht="12.75" customHeight="1">
      <c r="A977" s="28"/>
      <c r="B977" s="29" t="s">
        <v>3626</v>
      </c>
      <c r="C977" s="30" t="str">
        <f>IFERROR(_xlfn.XLOOKUP(B977,Equipo[DESCRIPCION],Equipo[UND],,0),"")</f>
        <v>%MO</v>
      </c>
      <c r="D977" s="31">
        <v>0.05</v>
      </c>
      <c r="E977" s="32">
        <f>IF(C977="%MO",G981,IFERROR(_xlfn.XLOOKUP($B977,Equipo[DESCRIPCION],Equipo[VALOR],,0),""))</f>
        <v>55309.483953750016</v>
      </c>
      <c r="F977" s="33"/>
      <c r="G977" s="34">
        <f>IFERROR(IF(F977&gt;=0,D977*E977*(1+F977/100),ABS(D977*E977/F977)),"")</f>
        <v>2765.4741976875011</v>
      </c>
      <c r="H977" s="43">
        <f>IFERROR(G977*E966,"")</f>
        <v>0</v>
      </c>
    </row>
    <row r="978" spans="1:10" ht="12.75" customHeight="1">
      <c r="A978" s="21"/>
      <c r="B978" s="22" t="s">
        <v>2533</v>
      </c>
      <c r="C978" s="23"/>
      <c r="D978" s="24"/>
      <c r="E978" s="25"/>
      <c r="F978" s="26"/>
      <c r="G978" s="27">
        <f>SUM(G979:G980)</f>
        <v>0</v>
      </c>
      <c r="H978" s="44">
        <f>G978*E966</f>
        <v>0</v>
      </c>
    </row>
    <row r="979" spans="1:10" ht="12.75" customHeight="1">
      <c r="A979" s="28"/>
      <c r="B979" s="29"/>
      <c r="C979" s="30" t="str">
        <f>IFERROR(_xlfn.XLOOKUP(B979,Transporte[DESCRIPCION],Transporte[UND],,0),"")</f>
        <v/>
      </c>
      <c r="D979" s="31"/>
      <c r="E979" s="32" t="str">
        <f>IFERROR(_xlfn.XLOOKUP($B979,Transporte[DESCRIPCION],Transporte[VALOR],,0),"")</f>
        <v/>
      </c>
      <c r="F979" s="33"/>
      <c r="G979" s="34" t="str">
        <f>IFERROR(IF(F979&gt;=0,D979*E979*(1+F979/100),ABS(D979*E979/F979)),"")</f>
        <v/>
      </c>
      <c r="H979" s="43" t="str">
        <f>IFERROR(G979*E966,"")</f>
        <v/>
      </c>
    </row>
    <row r="980" spans="1:10" ht="12.75" customHeight="1">
      <c r="A980" s="28"/>
      <c r="B980" s="29"/>
      <c r="C980" s="30" t="str">
        <f>IFERROR(_xlfn.XLOOKUP(B980,Transporte[DESCRIPCION],Transporte[UND],,0),"")</f>
        <v/>
      </c>
      <c r="D980" s="31"/>
      <c r="E980" s="32" t="str">
        <f>IFERROR(_xlfn.XLOOKUP($B980,Transporte[DESCRIPCION],Transporte[VALOR],,0),"")</f>
        <v/>
      </c>
      <c r="F980" s="33"/>
      <c r="G980" s="34" t="str">
        <f>IFERROR(IF(F980&gt;=0,D980*E980*(1+F980/100),ABS(D980*E980/F980)),"")</f>
        <v/>
      </c>
      <c r="H980" s="43" t="str">
        <f>IFERROR(G980*E966,"")</f>
        <v/>
      </c>
    </row>
    <row r="981" spans="1:10" ht="12.75" customHeight="1">
      <c r="A981" s="21"/>
      <c r="B981" s="22" t="s">
        <v>3732</v>
      </c>
      <c r="C981" s="23"/>
      <c r="D981" s="24"/>
      <c r="E981" s="25"/>
      <c r="F981" s="26"/>
      <c r="G981" s="27">
        <f>SUM(G982:G984)</f>
        <v>55309.483953750016</v>
      </c>
      <c r="H981" s="44">
        <f>G981*E966</f>
        <v>0</v>
      </c>
    </row>
    <row r="982" spans="1:10" ht="12.75" customHeight="1">
      <c r="A982" s="28"/>
      <c r="B982" s="29" t="s">
        <v>3713</v>
      </c>
      <c r="C982" s="30" t="str">
        <f>IFERROR(_xlfn.XLOOKUP(B982,MObra[DESCRIPCION],MObra[UN],,0),"")</f>
        <v>día</v>
      </c>
      <c r="D982" s="31">
        <v>1</v>
      </c>
      <c r="E982" s="32">
        <f>IFERROR(_xlfn.XLOOKUP($B982,MObra[DESCRIPCION],MObra[VALOR UNIT],,0),"")</f>
        <v>663713.80744500016</v>
      </c>
      <c r="F982" s="33">
        <v>-12</v>
      </c>
      <c r="G982" s="34">
        <f>IFERROR(IF(F982&gt;=0,D982*E982*(1+F982/100),ABS(D982*E982/F982)),"")</f>
        <v>55309.483953750016</v>
      </c>
      <c r="H982" s="43">
        <f>IFERROR(G982*E966,"")</f>
        <v>0</v>
      </c>
    </row>
    <row r="983" spans="1:10" ht="12.75" customHeight="1">
      <c r="A983" s="28"/>
      <c r="B983" s="29"/>
      <c r="C983" s="30" t="str">
        <f t="array" ref="C983">IFERROR(_xlfn.XLOOKUP(B983,MObra[[#All],[DESCRIPCION]],MObra[[#All],[UN]],,0),"")</f>
        <v/>
      </c>
      <c r="D983" s="31"/>
      <c r="E983" s="32" t="str">
        <f>IFERROR(_xlfn.XLOOKUP($B983,MObra[DESCRIPCION],MObra[VALOR UNIT],,0),"")</f>
        <v/>
      </c>
      <c r="F983" s="33"/>
      <c r="G983" s="34" t="str">
        <f>IFERROR(IF(F983&gt;=0,D983*E983*(1+F983/100),ABS(D983*E983/F983)),"")</f>
        <v/>
      </c>
      <c r="H983" s="43" t="str">
        <f>IFERROR(G983*E966,"")</f>
        <v/>
      </c>
    </row>
    <row r="984" spans="1:10" ht="12.75" customHeight="1" thickBot="1">
      <c r="A984" s="35"/>
      <c r="B984" s="36"/>
      <c r="C984" s="37" t="str">
        <f t="array" ref="C984">IFERROR(_xlfn.XLOOKUP(B984,MObra[[#All],[DESCRIPCION]],MObra[[#All],[UN]],,0),"")</f>
        <v/>
      </c>
      <c r="D984" s="38"/>
      <c r="E984" s="39" t="str">
        <f>IFERROR(_xlfn.XLOOKUP($B984,MObra[DESCRIPCION],MObra[VALOR UNIT],,0),"")</f>
        <v/>
      </c>
      <c r="F984" s="40"/>
      <c r="G984" s="41" t="str">
        <f>IFERROR(IF(F984&gt;=0,D984*E984*(1+F984/100),ABS(D984*E984/F984)),"")</f>
        <v/>
      </c>
      <c r="H984" s="42" t="str">
        <f>IFERROR(G984*E966,"")</f>
        <v/>
      </c>
    </row>
    <row r="985" spans="1:10" ht="12.75" customHeight="1" thickTop="1" thickBot="1">
      <c r="E985" s="49"/>
      <c r="G985" s="3"/>
    </row>
    <row r="986" spans="1:10" ht="12.75" customHeight="1" thickTop="1" thickBot="1">
      <c r="A986" s="6" t="s">
        <v>118</v>
      </c>
      <c r="B986" s="7" t="str">
        <f>VLOOKUP($A986,Presupuesto!$A:$D,2,FALSE())</f>
        <v>Demolición estructuras en concreto reforzados</v>
      </c>
      <c r="C986" s="8" t="str">
        <f>VLOOKUP($A986,Presupuesto!$A:$D,3,FALSE())</f>
        <v>M3</v>
      </c>
      <c r="D986" s="9"/>
      <c r="E986" s="10">
        <f>VLOOKUP($A986,Presupuesto!$A:$D,4,FALSE())</f>
        <v>0</v>
      </c>
      <c r="F986" s="11" t="s">
        <v>2589</v>
      </c>
      <c r="G986" s="12">
        <f>SUM(G988:G1004)/2</f>
        <v>285383.0219916667</v>
      </c>
      <c r="H986" s="13">
        <f>ROUND(SUM(H988:H1004),0)/2</f>
        <v>0</v>
      </c>
      <c r="I986" s="10">
        <f>VLOOKUP(A986,Presupuesto!$A:$F,6,0)</f>
        <v>0</v>
      </c>
      <c r="J986" s="10">
        <f>+H986-I986</f>
        <v>0</v>
      </c>
    </row>
    <row r="987" spans="1:10" ht="12.75" customHeight="1" thickTop="1">
      <c r="A987" s="14"/>
      <c r="B987" s="15" t="s">
        <v>2586</v>
      </c>
      <c r="C987" s="15" t="s">
        <v>5</v>
      </c>
      <c r="D987" s="16" t="s">
        <v>6</v>
      </c>
      <c r="E987" s="17" t="s">
        <v>7</v>
      </c>
      <c r="F987" s="18" t="s">
        <v>3728</v>
      </c>
      <c r="G987" s="19" t="s">
        <v>3729</v>
      </c>
      <c r="H987" s="20" t="s">
        <v>3797</v>
      </c>
    </row>
    <row r="988" spans="1:10" ht="12.75" customHeight="1">
      <c r="A988" s="21"/>
      <c r="B988" s="22" t="s">
        <v>3730</v>
      </c>
      <c r="C988" s="23"/>
      <c r="D988" s="24"/>
      <c r="E988" s="25"/>
      <c r="F988" s="26"/>
      <c r="G988" s="27">
        <f>SUM(G989:G993)</f>
        <v>0</v>
      </c>
      <c r="H988" s="27">
        <f>IFERROR(G988*E986,"")</f>
        <v>0</v>
      </c>
    </row>
    <row r="989" spans="1:10" ht="12.75" customHeight="1">
      <c r="A989" s="28"/>
      <c r="B989" s="29"/>
      <c r="C989" s="30" t="str">
        <f>IFERROR(_xlfn.XLOOKUP(B989,Insumo[DESCRIPCION],Insumo[UND],,0),"")</f>
        <v/>
      </c>
      <c r="D989" s="31"/>
      <c r="E989" s="32" t="str">
        <f>IFERROR(_xlfn.XLOOKUP($B989,Insumo[DESCRIPCION],Insumo[VALOR],,0),"")</f>
        <v/>
      </c>
      <c r="F989" s="33"/>
      <c r="G989" s="34" t="str">
        <f>IFERROR(IF(F989&gt;=0,D989*E989*(1+F989/100),ABS(D989*E989/F989)),"")</f>
        <v/>
      </c>
      <c r="H989" s="43" t="str">
        <f>IFERROR(G989*E986,"")</f>
        <v/>
      </c>
    </row>
    <row r="990" spans="1:10" ht="12.75" customHeight="1">
      <c r="A990" s="28"/>
      <c r="B990" s="29"/>
      <c r="C990" s="30" t="str">
        <f>IFERROR(_xlfn.XLOOKUP(B990,Insumo[DESCRIPCION],Insumo[UND],,0),"")</f>
        <v/>
      </c>
      <c r="D990" s="31"/>
      <c r="E990" s="32" t="str">
        <f>IFERROR(_xlfn.XLOOKUP($B990,Insumo[DESCRIPCION],Insumo[VALOR],,0),"")</f>
        <v/>
      </c>
      <c r="F990" s="33"/>
      <c r="G990" s="34" t="str">
        <f>IFERROR(IF(F990&gt;=0,D990*E990*(1+F990/100),ABS(D990*E990/F990)),"")</f>
        <v/>
      </c>
      <c r="H990" s="43" t="str">
        <f>IFERROR(G990*E986,"")</f>
        <v/>
      </c>
    </row>
    <row r="991" spans="1:10" ht="12.75" customHeight="1">
      <c r="A991" s="28"/>
      <c r="B991" s="29"/>
      <c r="C991" s="30" t="str">
        <f>IFERROR(_xlfn.XLOOKUP(B991,Insumo[DESCRIPCION],Insumo[UND],,0),"")</f>
        <v/>
      </c>
      <c r="D991" s="31"/>
      <c r="E991" s="32" t="str">
        <f>IFERROR(_xlfn.XLOOKUP($B991,Insumo[DESCRIPCION],Insumo[VALOR],,0),"")</f>
        <v/>
      </c>
      <c r="F991" s="33"/>
      <c r="G991" s="34" t="str">
        <f>IFERROR(IF(F991&gt;=0,D991*E991*(1+F991/100),ABS(D991*E991/F991)),"")</f>
        <v/>
      </c>
      <c r="H991" s="43" t="str">
        <f>IFERROR(G991*E986,"")</f>
        <v/>
      </c>
    </row>
    <row r="992" spans="1:10" ht="12.75" customHeight="1">
      <c r="A992" s="28"/>
      <c r="B992" s="29"/>
      <c r="C992" s="30" t="str">
        <f>IFERROR(_xlfn.XLOOKUP(B992,Insumo[DESCRIPCION],Insumo[UND],,0),"")</f>
        <v/>
      </c>
      <c r="D992" s="31"/>
      <c r="E992" s="32" t="str">
        <f>IFERROR(_xlfn.XLOOKUP($B992,Insumo[DESCRIPCION],Insumo[VALOR],,0),"")</f>
        <v/>
      </c>
      <c r="F992" s="33"/>
      <c r="G992" s="34" t="str">
        <f>IFERROR(IF(F992&gt;=0,D992*E992*(1+F992/100),ABS(D992*E992/F992)),"")</f>
        <v/>
      </c>
      <c r="H992" s="43" t="str">
        <f>IFERROR(G992*E986,"")</f>
        <v/>
      </c>
    </row>
    <row r="993" spans="1:10" ht="12.75" customHeight="1">
      <c r="A993" s="28"/>
      <c r="B993" s="29"/>
      <c r="C993" s="30" t="str">
        <f>IFERROR(_xlfn.XLOOKUP(B993,Insumo[DESCRIPCION],Insumo[UND],,0),"")</f>
        <v/>
      </c>
      <c r="D993" s="31"/>
      <c r="E993" s="32" t="str">
        <f>IFERROR(_xlfn.XLOOKUP($B993,Insumo[DESCRIPCION],Insumo[VALOR],,0),"")</f>
        <v/>
      </c>
      <c r="F993" s="33"/>
      <c r="G993" s="34" t="str">
        <f>IFERROR(IF(F993&gt;=0,D993*E993*(1+F993/100),ABS(D993*E993/F993)),"")</f>
        <v/>
      </c>
      <c r="H993" s="43" t="str">
        <f>IFERROR(G993*E986,"")</f>
        <v/>
      </c>
    </row>
    <row r="994" spans="1:10" ht="12.75" customHeight="1">
      <c r="A994" s="21"/>
      <c r="B994" s="22" t="s">
        <v>3731</v>
      </c>
      <c r="C994" s="23"/>
      <c r="D994" s="24"/>
      <c r="E994" s="25"/>
      <c r="F994" s="26"/>
      <c r="G994" s="27">
        <f>SUM(G995:G997)</f>
        <v>156004.11215833333</v>
      </c>
      <c r="H994" s="44">
        <f>G994*E986</f>
        <v>0</v>
      </c>
    </row>
    <row r="995" spans="1:10" ht="12.75" customHeight="1">
      <c r="A995" s="28"/>
      <c r="B995" s="29" t="s">
        <v>3596</v>
      </c>
      <c r="C995" s="30" t="str">
        <f>IFERROR(_xlfn.XLOOKUP(B995,Equipo[DESCRIPCION],Equipo[UND],,0),"")</f>
        <v>Hr</v>
      </c>
      <c r="D995" s="31">
        <v>1</v>
      </c>
      <c r="E995" s="32">
        <f>IF(C995="%MO",G1001,IFERROR(_xlfn.XLOOKUP($B995,Equipo[DESCRIPCION],Equipo[VALOR],,0),""))</f>
        <v>134581.65</v>
      </c>
      <c r="F995" s="33">
        <v>-0.9</v>
      </c>
      <c r="G995" s="34">
        <f>IFERROR(IF(F995&gt;=0,D995*E995*(1+F995/100),ABS(D995*E995/F995)),"")</f>
        <v>149535.16666666666</v>
      </c>
      <c r="H995" s="43">
        <f>IFERROR(G995*E986,"")</f>
        <v>0</v>
      </c>
    </row>
    <row r="996" spans="1:10" ht="12.75" customHeight="1">
      <c r="A996" s="28"/>
      <c r="B996" s="29" t="s">
        <v>3626</v>
      </c>
      <c r="C996" s="30" t="str">
        <f>IFERROR(_xlfn.XLOOKUP(B996,Equipo[DESCRIPCION],Equipo[UND],,0),"")</f>
        <v>%MO</v>
      </c>
      <c r="D996" s="31">
        <v>0.05</v>
      </c>
      <c r="E996" s="32">
        <f>IF(C996="%MO",G1001,IFERROR(_xlfn.XLOOKUP($B996,Equipo[DESCRIPCION],Equipo[VALOR],,0),""))</f>
        <v>129378.90983333335</v>
      </c>
      <c r="F996" s="33"/>
      <c r="G996" s="34">
        <f>IFERROR(IF(F996&gt;=0,D996*E996*(1+F996/100),ABS(D996*E996/F996)),"")</f>
        <v>6468.9454916666682</v>
      </c>
      <c r="H996" s="43">
        <f>IFERROR(G996*E986,"")</f>
        <v>0</v>
      </c>
    </row>
    <row r="997" spans="1:10" ht="12.75" customHeight="1">
      <c r="A997" s="28"/>
      <c r="B997" s="29"/>
      <c r="C997" s="30" t="str">
        <f>IFERROR(_xlfn.XLOOKUP(B997,Equipo[DESCRIPCION],Equipo[UND],,0),"")</f>
        <v/>
      </c>
      <c r="D997" s="31"/>
      <c r="E997" s="32" t="str">
        <f>IF(C997="%MO",G1001,IFERROR(_xlfn.XLOOKUP($B997,Equipo[DESCRIPCION],Equipo[VALOR],,0),""))</f>
        <v/>
      </c>
      <c r="F997" s="33"/>
      <c r="G997" s="34" t="str">
        <f>IFERROR(IF(F997&gt;=0,D997*E997*(1+F997/100),ABS(D997*E997/F997)),"")</f>
        <v/>
      </c>
      <c r="H997" s="43" t="str">
        <f>IFERROR(G997*E986,"")</f>
        <v/>
      </c>
    </row>
    <row r="998" spans="1:10" ht="12.75" customHeight="1">
      <c r="A998" s="21"/>
      <c r="B998" s="22" t="s">
        <v>2533</v>
      </c>
      <c r="C998" s="23"/>
      <c r="D998" s="24"/>
      <c r="E998" s="25"/>
      <c r="F998" s="26"/>
      <c r="G998" s="27">
        <f>SUM(G999:G1000)</f>
        <v>0</v>
      </c>
      <c r="H998" s="44">
        <f>G998*E986</f>
        <v>0</v>
      </c>
    </row>
    <row r="999" spans="1:10" ht="12.75" customHeight="1">
      <c r="A999" s="28"/>
      <c r="B999" s="29"/>
      <c r="C999" s="30" t="str">
        <f>IFERROR(_xlfn.XLOOKUP(B999,Transporte[DESCRIPCION],Transporte[UND],,0),"")</f>
        <v/>
      </c>
      <c r="D999" s="31"/>
      <c r="E999" s="32" t="str">
        <f>IFERROR(_xlfn.XLOOKUP($B999,Transporte[DESCRIPCION],Transporte[VALOR],,0),"")</f>
        <v/>
      </c>
      <c r="F999" s="33"/>
      <c r="G999" s="34" t="str">
        <f>IFERROR(IF(F999&gt;=0,D999*E999*(1+F999/100),ABS(D999*E999/F999)),"")</f>
        <v/>
      </c>
      <c r="H999" s="43" t="str">
        <f>IFERROR(G999*E986,"")</f>
        <v/>
      </c>
    </row>
    <row r="1000" spans="1:10" ht="12.75" customHeight="1">
      <c r="A1000" s="28"/>
      <c r="B1000" s="29"/>
      <c r="C1000" s="30" t="str">
        <f>IFERROR(_xlfn.XLOOKUP(B1000,Transporte[DESCRIPCION],Transporte[UND],,0),"")</f>
        <v/>
      </c>
      <c r="D1000" s="31"/>
      <c r="E1000" s="32" t="str">
        <f>IFERROR(_xlfn.XLOOKUP($B1000,Transporte[DESCRIPCION],Transporte[VALOR],,0),"")</f>
        <v/>
      </c>
      <c r="F1000" s="33"/>
      <c r="G1000" s="34" t="str">
        <f>IFERROR(IF(F1000&gt;=0,D1000*E1000*(1+F1000/100),ABS(D1000*E1000/F1000)),"")</f>
        <v/>
      </c>
      <c r="H1000" s="43" t="str">
        <f>IFERROR(G1000*E986,"")</f>
        <v/>
      </c>
    </row>
    <row r="1001" spans="1:10" ht="12.75" customHeight="1">
      <c r="A1001" s="21"/>
      <c r="B1001" s="22" t="s">
        <v>3732</v>
      </c>
      <c r="C1001" s="23"/>
      <c r="D1001" s="24"/>
      <c r="E1001" s="25"/>
      <c r="F1001" s="26"/>
      <c r="G1001" s="27">
        <f>SUM(G1002:G1004)</f>
        <v>129378.90983333335</v>
      </c>
      <c r="H1001" s="44">
        <f>G1001*E986</f>
        <v>0</v>
      </c>
    </row>
    <row r="1002" spans="1:10" ht="12.75" customHeight="1">
      <c r="A1002" s="28"/>
      <c r="B1002" s="29" t="s">
        <v>3698</v>
      </c>
      <c r="C1002" s="30" t="str">
        <f>IFERROR(_xlfn.XLOOKUP(B1002,MObra[DESCRIPCION],MObra[UN],,0),"")</f>
        <v>día</v>
      </c>
      <c r="D1002" s="31">
        <v>1</v>
      </c>
      <c r="E1002" s="32">
        <f>IFERROR(_xlfn.XLOOKUP($B1002,MObra[DESCRIPCION],MObra[VALOR UNIT],,0),"")</f>
        <v>116441.01885000002</v>
      </c>
      <c r="F1002" s="33">
        <v>-0.9</v>
      </c>
      <c r="G1002" s="34">
        <f>IFERROR(IF(F1002&gt;=0,D1002*E1002*(1+F1002/100),ABS(D1002*E1002/F1002)),"")</f>
        <v>129378.90983333335</v>
      </c>
      <c r="H1002" s="43">
        <f>IFERROR(G1002*E986,"")</f>
        <v>0</v>
      </c>
    </row>
    <row r="1003" spans="1:10" ht="12.75" customHeight="1">
      <c r="A1003" s="28"/>
      <c r="B1003" s="29"/>
      <c r="C1003" s="30" t="str">
        <f t="array" ref="C1003">IFERROR(_xlfn.XLOOKUP(B1003,MObra[[#All],[DESCRIPCION]],MObra[[#All],[UN]],,0),"")</f>
        <v/>
      </c>
      <c r="D1003" s="31"/>
      <c r="E1003" s="32" t="str">
        <f>IFERROR(_xlfn.XLOOKUP($B1003,MObra[DESCRIPCION],MObra[VALOR UNIT],,0),"")</f>
        <v/>
      </c>
      <c r="F1003" s="33"/>
      <c r="G1003" s="34" t="str">
        <f>IFERROR(IF(F1003&gt;=0,D1003*E1003*(1+F1003/100),ABS(D1003*E1003/F1003)),"")</f>
        <v/>
      </c>
      <c r="H1003" s="43" t="str">
        <f>IFERROR(G1003*E986,"")</f>
        <v/>
      </c>
    </row>
    <row r="1004" spans="1:10" ht="12.75" customHeight="1" thickBot="1">
      <c r="A1004" s="35"/>
      <c r="B1004" s="36"/>
      <c r="C1004" s="37" t="str">
        <f t="array" ref="C1004">IFERROR(_xlfn.XLOOKUP(B1004,MObra[[#All],[DESCRIPCION]],MObra[[#All],[UN]],,0),"")</f>
        <v/>
      </c>
      <c r="D1004" s="38"/>
      <c r="E1004" s="39" t="str">
        <f>IFERROR(_xlfn.XLOOKUP($B1004,MObra[DESCRIPCION],MObra[VALOR UNIT],,0),"")</f>
        <v/>
      </c>
      <c r="F1004" s="40"/>
      <c r="G1004" s="41" t="str">
        <f>IFERROR(IF(F1004&gt;=0,D1004*E1004*(1+F1004/100),ABS(D1004*E1004/F1004)),"")</f>
        <v/>
      </c>
      <c r="H1004" s="42" t="str">
        <f>IFERROR(G1004*E986,"")</f>
        <v/>
      </c>
    </row>
    <row r="1005" spans="1:10" ht="12.75" customHeight="1" thickTop="1" thickBot="1">
      <c r="E1005" s="49"/>
      <c r="G1005" s="3"/>
    </row>
    <row r="1006" spans="1:10" ht="12.75" customHeight="1" thickTop="1" thickBot="1">
      <c r="A1006" s="6" t="s">
        <v>120</v>
      </c>
      <c r="B1006" s="7" t="str">
        <f>VLOOKUP($A1006,Presupuesto!$A:$D,2,FALSE())</f>
        <v>Demolición cámara inspección</v>
      </c>
      <c r="C1006" s="8" t="str">
        <f>VLOOKUP($A1006,Presupuesto!$A:$D,3,FALSE())</f>
        <v>M</v>
      </c>
      <c r="D1006" s="9"/>
      <c r="E1006" s="10">
        <f>VLOOKUP($A1006,Presupuesto!$A:$D,4,FALSE())</f>
        <v>0</v>
      </c>
      <c r="F1006" s="11" t="s">
        <v>2589</v>
      </c>
      <c r="G1006" s="12">
        <f>SUM(G1008:G1024)/2</f>
        <v>171229.81319500002</v>
      </c>
      <c r="H1006" s="13">
        <f>ROUND(SUM(H1008:H1024),0)/2</f>
        <v>0</v>
      </c>
      <c r="I1006" s="10">
        <f>VLOOKUP(A1006,Presupuesto!$A:$F,6,0)</f>
        <v>0</v>
      </c>
      <c r="J1006" s="10">
        <f>+H1006-I1006</f>
        <v>0</v>
      </c>
    </row>
    <row r="1007" spans="1:10" ht="12.75" customHeight="1" thickTop="1">
      <c r="A1007" s="14"/>
      <c r="B1007" s="15" t="s">
        <v>2586</v>
      </c>
      <c r="C1007" s="15" t="s">
        <v>5</v>
      </c>
      <c r="D1007" s="16" t="s">
        <v>6</v>
      </c>
      <c r="E1007" s="17" t="s">
        <v>7</v>
      </c>
      <c r="F1007" s="18" t="s">
        <v>3728</v>
      </c>
      <c r="G1007" s="19" t="s">
        <v>3729</v>
      </c>
      <c r="H1007" s="20" t="s">
        <v>3797</v>
      </c>
    </row>
    <row r="1008" spans="1:10" ht="12.75" customHeight="1">
      <c r="A1008" s="21"/>
      <c r="B1008" s="22" t="s">
        <v>3730</v>
      </c>
      <c r="C1008" s="23"/>
      <c r="D1008" s="24"/>
      <c r="E1008" s="25"/>
      <c r="F1008" s="26"/>
      <c r="G1008" s="27">
        <f>SUM(G1009:G1013)</f>
        <v>0</v>
      </c>
      <c r="H1008" s="27">
        <f>IFERROR(G1008*E1006,"")</f>
        <v>0</v>
      </c>
    </row>
    <row r="1009" spans="1:8" ht="12.75" customHeight="1">
      <c r="A1009" s="28"/>
      <c r="B1009" s="29"/>
      <c r="C1009" s="30" t="str">
        <f>IFERROR(_xlfn.XLOOKUP(B1009,Insumo[DESCRIPCION],Insumo[UND],,0),"")</f>
        <v/>
      </c>
      <c r="D1009" s="31"/>
      <c r="E1009" s="32" t="str">
        <f>IFERROR(_xlfn.XLOOKUP($B1009,Insumo[DESCRIPCION],Insumo[VALOR],,0),"")</f>
        <v/>
      </c>
      <c r="F1009" s="33"/>
      <c r="G1009" s="34" t="str">
        <f>IFERROR(IF(F1009&gt;=0,D1009*E1009*(1+F1009/100),ABS(D1009*E1009/F1009)),"")</f>
        <v/>
      </c>
      <c r="H1009" s="43" t="str">
        <f>IFERROR(G1009*E1006,"")</f>
        <v/>
      </c>
    </row>
    <row r="1010" spans="1:8" ht="12.75" customHeight="1">
      <c r="A1010" s="28"/>
      <c r="B1010" s="29"/>
      <c r="C1010" s="30" t="str">
        <f>IFERROR(_xlfn.XLOOKUP(B1010,Insumo[DESCRIPCION],Insumo[UND],,0),"")</f>
        <v/>
      </c>
      <c r="D1010" s="31"/>
      <c r="E1010" s="32" t="str">
        <f>IFERROR(_xlfn.XLOOKUP($B1010,Insumo[DESCRIPCION],Insumo[VALOR],,0),"")</f>
        <v/>
      </c>
      <c r="F1010" s="33"/>
      <c r="G1010" s="34" t="str">
        <f>IFERROR(IF(F1010&gt;=0,D1010*E1010*(1+F1010/100),ABS(D1010*E1010/F1010)),"")</f>
        <v/>
      </c>
      <c r="H1010" s="43" t="str">
        <f>IFERROR(G1010*E1006,"")</f>
        <v/>
      </c>
    </row>
    <row r="1011" spans="1:8" ht="12.75" customHeight="1">
      <c r="A1011" s="28"/>
      <c r="B1011" s="29"/>
      <c r="C1011" s="30" t="str">
        <f>IFERROR(_xlfn.XLOOKUP(B1011,Insumo[DESCRIPCION],Insumo[UND],,0),"")</f>
        <v/>
      </c>
      <c r="D1011" s="31"/>
      <c r="E1011" s="32" t="str">
        <f>IFERROR(_xlfn.XLOOKUP($B1011,Insumo[DESCRIPCION],Insumo[VALOR],,0),"")</f>
        <v/>
      </c>
      <c r="F1011" s="33"/>
      <c r="G1011" s="34" t="str">
        <f>IFERROR(IF(F1011&gt;=0,D1011*E1011*(1+F1011/100),ABS(D1011*E1011/F1011)),"")</f>
        <v/>
      </c>
      <c r="H1011" s="43" t="str">
        <f>IFERROR(G1011*E1006,"")</f>
        <v/>
      </c>
    </row>
    <row r="1012" spans="1:8" ht="12.75" customHeight="1">
      <c r="A1012" s="28"/>
      <c r="B1012" s="29"/>
      <c r="C1012" s="30" t="str">
        <f>IFERROR(_xlfn.XLOOKUP(B1012,Insumo[DESCRIPCION],Insumo[UND],,0),"")</f>
        <v/>
      </c>
      <c r="D1012" s="31"/>
      <c r="E1012" s="32" t="str">
        <f>IFERROR(_xlfn.XLOOKUP($B1012,Insumo[DESCRIPCION],Insumo[VALOR],,0),"")</f>
        <v/>
      </c>
      <c r="F1012" s="33"/>
      <c r="G1012" s="34" t="str">
        <f>IFERROR(IF(F1012&gt;=0,D1012*E1012*(1+F1012/100),ABS(D1012*E1012/F1012)),"")</f>
        <v/>
      </c>
      <c r="H1012" s="43" t="str">
        <f>IFERROR(G1012*E1006,"")</f>
        <v/>
      </c>
    </row>
    <row r="1013" spans="1:8" ht="12.75" customHeight="1">
      <c r="A1013" s="28"/>
      <c r="B1013" s="29"/>
      <c r="C1013" s="30" t="str">
        <f>IFERROR(_xlfn.XLOOKUP(B1013,Insumo[DESCRIPCION],Insumo[UND],,0),"")</f>
        <v/>
      </c>
      <c r="D1013" s="31"/>
      <c r="E1013" s="32" t="str">
        <f>IFERROR(_xlfn.XLOOKUP($B1013,Insumo[DESCRIPCION],Insumo[VALOR],,0),"")</f>
        <v/>
      </c>
      <c r="F1013" s="33"/>
      <c r="G1013" s="34" t="str">
        <f>IFERROR(IF(F1013&gt;=0,D1013*E1013*(1+F1013/100),ABS(D1013*E1013/F1013)),"")</f>
        <v/>
      </c>
      <c r="H1013" s="43" t="str">
        <f>IFERROR(G1013*E1006,"")</f>
        <v/>
      </c>
    </row>
    <row r="1014" spans="1:8" ht="12.75" customHeight="1">
      <c r="A1014" s="21"/>
      <c r="B1014" s="22" t="s">
        <v>3731</v>
      </c>
      <c r="C1014" s="23"/>
      <c r="D1014" s="24"/>
      <c r="E1014" s="25"/>
      <c r="F1014" s="26"/>
      <c r="G1014" s="27">
        <f>SUM(G1015:G1017)</f>
        <v>93602.467294999995</v>
      </c>
      <c r="H1014" s="44">
        <f>G1014*E1006</f>
        <v>0</v>
      </c>
    </row>
    <row r="1015" spans="1:8" ht="12.75" customHeight="1">
      <c r="A1015" s="28"/>
      <c r="B1015" s="29" t="s">
        <v>3596</v>
      </c>
      <c r="C1015" s="30" t="str">
        <f>IFERROR(_xlfn.XLOOKUP(B1015,Equipo[DESCRIPCION],Equipo[UND],,0),"")</f>
        <v>Hr</v>
      </c>
      <c r="D1015" s="31">
        <v>1</v>
      </c>
      <c r="E1015" s="32">
        <f>IF(C1015="%MO",G1021,IFERROR(_xlfn.XLOOKUP($B1015,Equipo[DESCRIPCION],Equipo[VALOR],,0),""))</f>
        <v>134581.65</v>
      </c>
      <c r="F1015" s="33">
        <v>-1.5</v>
      </c>
      <c r="G1015" s="34">
        <f>IFERROR(IF(F1015&gt;=0,D1015*E1015*(1+F1015/100),ABS(D1015*E1015/F1015)),"")</f>
        <v>89721.099999999991</v>
      </c>
      <c r="H1015" s="43">
        <f>IFERROR(G1015*E1006,"")</f>
        <v>0</v>
      </c>
    </row>
    <row r="1016" spans="1:8" ht="12.75" customHeight="1">
      <c r="A1016" s="28"/>
      <c r="B1016" s="29" t="s">
        <v>3626</v>
      </c>
      <c r="C1016" s="30" t="str">
        <f>IFERROR(_xlfn.XLOOKUP(B1016,Equipo[DESCRIPCION],Equipo[UND],,0),"")</f>
        <v>%MO</v>
      </c>
      <c r="D1016" s="31">
        <v>0.05</v>
      </c>
      <c r="E1016" s="32">
        <f>IF(C1016="%MO",G1021,IFERROR(_xlfn.XLOOKUP($B1016,Equipo[DESCRIPCION],Equipo[VALOR],,0),""))</f>
        <v>77627.345900000015</v>
      </c>
      <c r="F1016" s="33"/>
      <c r="G1016" s="34">
        <f>IFERROR(IF(F1016&gt;=0,D1016*E1016*(1+F1016/100),ABS(D1016*E1016/F1016)),"")</f>
        <v>3881.3672950000009</v>
      </c>
      <c r="H1016" s="43">
        <f>IFERROR(G1016*E1006,"")</f>
        <v>0</v>
      </c>
    </row>
    <row r="1017" spans="1:8" ht="12.75" customHeight="1">
      <c r="A1017" s="28"/>
      <c r="B1017" s="29"/>
      <c r="C1017" s="30" t="str">
        <f>IFERROR(_xlfn.XLOOKUP(B1017,Equipo[DESCRIPCION],Equipo[UND],,0),"")</f>
        <v/>
      </c>
      <c r="D1017" s="31"/>
      <c r="E1017" s="32" t="str">
        <f>IF(C1017="%MO",G1021,IFERROR(_xlfn.XLOOKUP($B1017,Equipo[DESCRIPCION],Equipo[VALOR],,0),""))</f>
        <v/>
      </c>
      <c r="F1017" s="33"/>
      <c r="G1017" s="34" t="str">
        <f>IFERROR(IF(F1017&gt;=0,D1017*E1017*(1+F1017/100),ABS(D1017*E1017/F1017)),"")</f>
        <v/>
      </c>
      <c r="H1017" s="43" t="str">
        <f>IFERROR(G1017*E1006,"")</f>
        <v/>
      </c>
    </row>
    <row r="1018" spans="1:8" ht="12.75" customHeight="1">
      <c r="A1018" s="21"/>
      <c r="B1018" s="22" t="s">
        <v>2533</v>
      </c>
      <c r="C1018" s="23"/>
      <c r="D1018" s="24"/>
      <c r="E1018" s="25"/>
      <c r="F1018" s="26"/>
      <c r="G1018" s="27">
        <f>SUM(G1019:G1020)</f>
        <v>0</v>
      </c>
      <c r="H1018" s="44">
        <f>G1018*E1006</f>
        <v>0</v>
      </c>
    </row>
    <row r="1019" spans="1:8" ht="12.75" customHeight="1">
      <c r="A1019" s="28"/>
      <c r="B1019" s="29"/>
      <c r="C1019" s="30" t="str">
        <f>IFERROR(_xlfn.XLOOKUP(B1019,Transporte[DESCRIPCION],Transporte[UND],,0),"")</f>
        <v/>
      </c>
      <c r="D1019" s="31"/>
      <c r="E1019" s="32" t="str">
        <f>IFERROR(_xlfn.XLOOKUP($B1019,Transporte[DESCRIPCION],Transporte[VALOR],,0),"")</f>
        <v/>
      </c>
      <c r="F1019" s="33"/>
      <c r="G1019" s="34" t="str">
        <f>IFERROR(IF(F1019&gt;=0,D1019*E1019*(1+F1019/100),ABS(D1019*E1019/F1019)),"")</f>
        <v/>
      </c>
      <c r="H1019" s="43" t="str">
        <f>IFERROR(G1019*E1006,"")</f>
        <v/>
      </c>
    </row>
    <row r="1020" spans="1:8" ht="12.75" customHeight="1">
      <c r="A1020" s="28"/>
      <c r="B1020" s="29"/>
      <c r="C1020" s="30" t="str">
        <f>IFERROR(_xlfn.XLOOKUP(B1020,Transporte[DESCRIPCION],Transporte[UND],,0),"")</f>
        <v/>
      </c>
      <c r="D1020" s="31"/>
      <c r="E1020" s="32" t="str">
        <f>IFERROR(_xlfn.XLOOKUP($B1020,Transporte[DESCRIPCION],Transporte[VALOR],,0),"")</f>
        <v/>
      </c>
      <c r="F1020" s="33"/>
      <c r="G1020" s="34" t="str">
        <f>IFERROR(IF(F1020&gt;=0,D1020*E1020*(1+F1020/100),ABS(D1020*E1020/F1020)),"")</f>
        <v/>
      </c>
      <c r="H1020" s="43" t="str">
        <f>IFERROR(G1020*E1006,"")</f>
        <v/>
      </c>
    </row>
    <row r="1021" spans="1:8" ht="12.75" customHeight="1">
      <c r="A1021" s="21"/>
      <c r="B1021" s="22" t="s">
        <v>3732</v>
      </c>
      <c r="C1021" s="23"/>
      <c r="D1021" s="24"/>
      <c r="E1021" s="25"/>
      <c r="F1021" s="26"/>
      <c r="G1021" s="27">
        <f>SUM(G1022:G1024)</f>
        <v>77627.345900000015</v>
      </c>
      <c r="H1021" s="44">
        <f>G1021*E1006</f>
        <v>0</v>
      </c>
    </row>
    <row r="1022" spans="1:8" ht="12.75" customHeight="1">
      <c r="A1022" s="28"/>
      <c r="B1022" s="29" t="s">
        <v>3698</v>
      </c>
      <c r="C1022" s="30" t="str">
        <f>IFERROR(_xlfn.XLOOKUP(B1022,MObra[DESCRIPCION],MObra[UN],,0),"")</f>
        <v>día</v>
      </c>
      <c r="D1022" s="31">
        <v>1</v>
      </c>
      <c r="E1022" s="32">
        <f>IFERROR(_xlfn.XLOOKUP($B1022,MObra[DESCRIPCION],MObra[VALOR UNIT],,0),"")</f>
        <v>116441.01885000002</v>
      </c>
      <c r="F1022" s="33">
        <v>-1.5</v>
      </c>
      <c r="G1022" s="34">
        <f>IFERROR(IF(F1022&gt;=0,D1022*E1022*(1+F1022/100),ABS(D1022*E1022/F1022)),"")</f>
        <v>77627.345900000015</v>
      </c>
      <c r="H1022" s="43">
        <f>IFERROR(G1022*E1006,"")</f>
        <v>0</v>
      </c>
    </row>
    <row r="1023" spans="1:8" ht="12.75" customHeight="1">
      <c r="A1023" s="28"/>
      <c r="B1023" s="29"/>
      <c r="C1023" s="30" t="str">
        <f t="array" ref="C1023">IFERROR(_xlfn.XLOOKUP(B1023,MObra[[#All],[DESCRIPCION]],MObra[[#All],[UN]],,0),"")</f>
        <v/>
      </c>
      <c r="D1023" s="31"/>
      <c r="E1023" s="32" t="str">
        <f>IFERROR(_xlfn.XLOOKUP($B1023,MObra[DESCRIPCION],MObra[VALOR UNIT],,0),"")</f>
        <v/>
      </c>
      <c r="F1023" s="33"/>
      <c r="G1023" s="34" t="str">
        <f>IFERROR(IF(F1023&gt;=0,D1023*E1023*(1+F1023/100),ABS(D1023*E1023/F1023)),"")</f>
        <v/>
      </c>
      <c r="H1023" s="43" t="str">
        <f>IFERROR(G1023*E1006,"")</f>
        <v/>
      </c>
    </row>
    <row r="1024" spans="1:8" ht="12.75" customHeight="1" thickBot="1">
      <c r="A1024" s="35"/>
      <c r="B1024" s="36"/>
      <c r="C1024" s="37" t="str">
        <f t="array" ref="C1024">IFERROR(_xlfn.XLOOKUP(B1024,MObra[[#All],[DESCRIPCION]],MObra[[#All],[UN]],,0),"")</f>
        <v/>
      </c>
      <c r="D1024" s="38"/>
      <c r="E1024" s="39" t="str">
        <f>IFERROR(_xlfn.XLOOKUP($B1024,MObra[DESCRIPCION],MObra[VALOR UNIT],,0),"")</f>
        <v/>
      </c>
      <c r="F1024" s="40"/>
      <c r="G1024" s="41" t="str">
        <f>IFERROR(IF(F1024&gt;=0,D1024*E1024*(1+F1024/100),ABS(D1024*E1024/F1024)),"")</f>
        <v/>
      </c>
      <c r="H1024" s="42" t="str">
        <f>IFERROR(G1024*E1006,"")</f>
        <v/>
      </c>
    </row>
    <row r="1025" spans="1:10" ht="12.75" customHeight="1" thickTop="1" thickBot="1">
      <c r="E1025" s="49"/>
      <c r="G1025" s="3"/>
    </row>
    <row r="1026" spans="1:10" ht="12.75" customHeight="1" thickTop="1" thickBot="1">
      <c r="A1026" s="6" t="s">
        <v>122</v>
      </c>
      <c r="B1026" s="7" t="str">
        <f>VLOOKUP($A1026,Presupuesto!$A:$D,2,FALSE())</f>
        <v>Demolición cono cámara concreto manual</v>
      </c>
      <c r="C1026" s="8" t="str">
        <f>VLOOKUP($A1026,Presupuesto!$A:$D,3,FALSE())</f>
        <v>Un</v>
      </c>
      <c r="D1026" s="9"/>
      <c r="E1026" s="10">
        <f>VLOOKUP($A1026,Presupuesto!$A:$D,4,FALSE())</f>
        <v>0</v>
      </c>
      <c r="F1026" s="11" t="s">
        <v>2589</v>
      </c>
      <c r="G1026" s="12">
        <f>SUM(G1028:G1044)/2</f>
        <v>211534.51757750002</v>
      </c>
      <c r="H1026" s="13">
        <f>ROUND(SUM(H1028:H1044),0)/2</f>
        <v>0</v>
      </c>
      <c r="I1026" s="10">
        <f>VLOOKUP(A1026,Presupuesto!$A:$F,6,0)</f>
        <v>0</v>
      </c>
      <c r="J1026" s="10">
        <f>+H1026-I1026</f>
        <v>0</v>
      </c>
    </row>
    <row r="1027" spans="1:10" ht="12.75" customHeight="1" thickTop="1">
      <c r="A1027" s="14"/>
      <c r="B1027" s="15" t="s">
        <v>2586</v>
      </c>
      <c r="C1027" s="15" t="s">
        <v>5</v>
      </c>
      <c r="D1027" s="16" t="s">
        <v>6</v>
      </c>
      <c r="E1027" s="17" t="s">
        <v>7</v>
      </c>
      <c r="F1027" s="18" t="s">
        <v>3728</v>
      </c>
      <c r="G1027" s="19" t="s">
        <v>3729</v>
      </c>
      <c r="H1027" s="20" t="s">
        <v>3797</v>
      </c>
    </row>
    <row r="1028" spans="1:10" ht="12.75" customHeight="1">
      <c r="A1028" s="21"/>
      <c r="B1028" s="22" t="s">
        <v>3730</v>
      </c>
      <c r="C1028" s="23"/>
      <c r="D1028" s="24"/>
      <c r="E1028" s="25"/>
      <c r="F1028" s="26"/>
      <c r="G1028" s="27">
        <f>SUM(G1029:G1033)</f>
        <v>0</v>
      </c>
      <c r="H1028" s="27">
        <f>IFERROR(G1028*E1026,"")</f>
        <v>0</v>
      </c>
    </row>
    <row r="1029" spans="1:10" ht="12.75" customHeight="1">
      <c r="A1029" s="28"/>
      <c r="B1029" s="29"/>
      <c r="C1029" s="30" t="str">
        <f>IFERROR(_xlfn.XLOOKUP(B1029,Insumo[DESCRIPCION],Insumo[UND],,0),"")</f>
        <v/>
      </c>
      <c r="D1029" s="31"/>
      <c r="E1029" s="32" t="str">
        <f>IFERROR(_xlfn.XLOOKUP($B1029,Insumo[DESCRIPCION],Insumo[VALOR],,0),"")</f>
        <v/>
      </c>
      <c r="F1029" s="33"/>
      <c r="G1029" s="34" t="str">
        <f>IFERROR(IF(F1029&gt;=0,D1029*E1029*(1+F1029/100),ABS(D1029*E1029/F1029)),"")</f>
        <v/>
      </c>
      <c r="H1029" s="43" t="str">
        <f>IFERROR(G1029*E1026,"")</f>
        <v/>
      </c>
    </row>
    <row r="1030" spans="1:10" ht="12.75" customHeight="1">
      <c r="A1030" s="28"/>
      <c r="B1030" s="29"/>
      <c r="C1030" s="30" t="str">
        <f>IFERROR(_xlfn.XLOOKUP(B1030,Insumo[DESCRIPCION],Insumo[UND],,0),"")</f>
        <v/>
      </c>
      <c r="D1030" s="31"/>
      <c r="E1030" s="32" t="str">
        <f>IFERROR(_xlfn.XLOOKUP($B1030,Insumo[DESCRIPCION],Insumo[VALOR],,0),"")</f>
        <v/>
      </c>
      <c r="F1030" s="33"/>
      <c r="G1030" s="34" t="str">
        <f>IFERROR(IF(F1030&gt;=0,D1030*E1030*(1+F1030/100),ABS(D1030*E1030/F1030)),"")</f>
        <v/>
      </c>
      <c r="H1030" s="43" t="str">
        <f>IFERROR(G1030*E1026,"")</f>
        <v/>
      </c>
    </row>
    <row r="1031" spans="1:10" ht="12.75" customHeight="1">
      <c r="A1031" s="28"/>
      <c r="B1031" s="29"/>
      <c r="C1031" s="30" t="str">
        <f>IFERROR(_xlfn.XLOOKUP(B1031,Insumo[DESCRIPCION],Insumo[UND],,0),"")</f>
        <v/>
      </c>
      <c r="D1031" s="31"/>
      <c r="E1031" s="32" t="str">
        <f>IFERROR(_xlfn.XLOOKUP($B1031,Insumo[DESCRIPCION],Insumo[VALOR],,0),"")</f>
        <v/>
      </c>
      <c r="F1031" s="33"/>
      <c r="G1031" s="34" t="str">
        <f>IFERROR(IF(F1031&gt;=0,D1031*E1031*(1+F1031/100),ABS(D1031*E1031/F1031)),"")</f>
        <v/>
      </c>
      <c r="H1031" s="43" t="str">
        <f>IFERROR(G1031*E1026,"")</f>
        <v/>
      </c>
    </row>
    <row r="1032" spans="1:10" ht="12.75" customHeight="1">
      <c r="A1032" s="28"/>
      <c r="B1032" s="29"/>
      <c r="C1032" s="30" t="str">
        <f>IFERROR(_xlfn.XLOOKUP(B1032,Insumo[DESCRIPCION],Insumo[UND],,0),"")</f>
        <v/>
      </c>
      <c r="D1032" s="31"/>
      <c r="E1032" s="32" t="str">
        <f>IFERROR(_xlfn.XLOOKUP($B1032,Insumo[DESCRIPCION],Insumo[VALOR],,0),"")</f>
        <v/>
      </c>
      <c r="F1032" s="33"/>
      <c r="G1032" s="34" t="str">
        <f>IFERROR(IF(F1032&gt;=0,D1032*E1032*(1+F1032/100),ABS(D1032*E1032/F1032)),"")</f>
        <v/>
      </c>
      <c r="H1032" s="43" t="str">
        <f>IFERROR(G1032*E1026,"")</f>
        <v/>
      </c>
    </row>
    <row r="1033" spans="1:10" ht="12.75" customHeight="1">
      <c r="A1033" s="28"/>
      <c r="B1033" s="29"/>
      <c r="C1033" s="30" t="str">
        <f>IFERROR(_xlfn.XLOOKUP(B1033,Insumo[DESCRIPCION],Insumo[UND],,0),"")</f>
        <v/>
      </c>
      <c r="D1033" s="31"/>
      <c r="E1033" s="32" t="str">
        <f>IFERROR(_xlfn.XLOOKUP($B1033,Insumo[DESCRIPCION],Insumo[VALOR],,0),"")</f>
        <v/>
      </c>
      <c r="F1033" s="33"/>
      <c r="G1033" s="34" t="str">
        <f>IFERROR(IF(F1033&gt;=0,D1033*E1033*(1+F1033/100),ABS(D1033*E1033/F1033)),"")</f>
        <v/>
      </c>
      <c r="H1033" s="43" t="str">
        <f>IFERROR(G1033*E1026,"")</f>
        <v/>
      </c>
    </row>
    <row r="1034" spans="1:10" ht="12.75" customHeight="1">
      <c r="A1034" s="21"/>
      <c r="B1034" s="22" t="s">
        <v>3731</v>
      </c>
      <c r="C1034" s="23"/>
      <c r="D1034" s="24"/>
      <c r="E1034" s="25"/>
      <c r="F1034" s="26"/>
      <c r="G1034" s="27">
        <f>SUM(G1035:G1037)</f>
        <v>17466.152827500002</v>
      </c>
      <c r="H1034" s="44">
        <f>G1034*E1026</f>
        <v>0</v>
      </c>
    </row>
    <row r="1035" spans="1:10" ht="12.75" customHeight="1">
      <c r="A1035" s="28"/>
      <c r="B1035" s="29" t="s">
        <v>3570</v>
      </c>
      <c r="C1035" s="30" t="str">
        <f>IFERROR(_xlfn.XLOOKUP(B1035,Equipo[DESCRIPCION],Equipo[UND],,0),"")</f>
        <v>%MO</v>
      </c>
      <c r="D1035" s="31">
        <v>0.04</v>
      </c>
      <c r="E1035" s="32">
        <f>IF(C1035="%MO",G1041,IFERROR(_xlfn.XLOOKUP($B1035,Equipo[DESCRIPCION],Equipo[VALOR],,0),""))</f>
        <v>194068.36475000004</v>
      </c>
      <c r="F1035" s="33"/>
      <c r="G1035" s="34">
        <f>IFERROR(IF(F1035&gt;=0,D1035*E1035*(1+F1035/100),ABS(D1035*E1035/F1035)),"")</f>
        <v>7762.7345900000018</v>
      </c>
      <c r="H1035" s="43">
        <f>IFERROR(G1035*E1026,"")</f>
        <v>0</v>
      </c>
    </row>
    <row r="1036" spans="1:10" ht="12.75" customHeight="1">
      <c r="A1036" s="28"/>
      <c r="B1036" s="29" t="s">
        <v>3626</v>
      </c>
      <c r="C1036" s="30" t="str">
        <f>IFERROR(_xlfn.XLOOKUP(B1036,Equipo[DESCRIPCION],Equipo[UND],,0),"")</f>
        <v>%MO</v>
      </c>
      <c r="D1036" s="31">
        <v>0.05</v>
      </c>
      <c r="E1036" s="32">
        <f>IF(C1036="%MO",G1041,IFERROR(_xlfn.XLOOKUP($B1036,Equipo[DESCRIPCION],Equipo[VALOR],,0),""))</f>
        <v>194068.36475000004</v>
      </c>
      <c r="F1036" s="33"/>
      <c r="G1036" s="34">
        <f>IFERROR(IF(F1036&gt;=0,D1036*E1036*(1+F1036/100),ABS(D1036*E1036/F1036)),"")</f>
        <v>9703.4182375000019</v>
      </c>
      <c r="H1036" s="43">
        <f>IFERROR(G1036*E1026,"")</f>
        <v>0</v>
      </c>
    </row>
    <row r="1037" spans="1:10" ht="12.75" customHeight="1">
      <c r="A1037" s="28"/>
      <c r="B1037" s="29"/>
      <c r="C1037" s="30" t="str">
        <f>IFERROR(_xlfn.XLOOKUP(B1037,Equipo[DESCRIPCION],Equipo[UND],,0),"")</f>
        <v/>
      </c>
      <c r="D1037" s="31"/>
      <c r="E1037" s="32" t="str">
        <f>IF(C1037="%MO",G1041,IFERROR(_xlfn.XLOOKUP($B1037,Equipo[DESCRIPCION],Equipo[VALOR],,0),""))</f>
        <v/>
      </c>
      <c r="F1037" s="33"/>
      <c r="G1037" s="34" t="str">
        <f>IFERROR(IF(F1037&gt;=0,D1037*E1037*(1+F1037/100),ABS(D1037*E1037/F1037)),"")</f>
        <v/>
      </c>
      <c r="H1037" s="43" t="str">
        <f>IFERROR(G1037*E1026,"")</f>
        <v/>
      </c>
    </row>
    <row r="1038" spans="1:10" ht="12.75" customHeight="1">
      <c r="A1038" s="21"/>
      <c r="B1038" s="22" t="s">
        <v>2533</v>
      </c>
      <c r="C1038" s="23"/>
      <c r="D1038" s="24"/>
      <c r="E1038" s="25"/>
      <c r="F1038" s="26"/>
      <c r="G1038" s="27">
        <f>SUM(G1039:G1040)</f>
        <v>0</v>
      </c>
      <c r="H1038" s="44">
        <f>G1038*E1026</f>
        <v>0</v>
      </c>
    </row>
    <row r="1039" spans="1:10" ht="12.75" customHeight="1">
      <c r="A1039" s="28"/>
      <c r="B1039" s="29"/>
      <c r="C1039" s="30" t="str">
        <f>IFERROR(_xlfn.XLOOKUP(B1039,Transporte[DESCRIPCION],Transporte[UND],,0),"")</f>
        <v/>
      </c>
      <c r="D1039" s="31"/>
      <c r="E1039" s="32" t="str">
        <f>IFERROR(_xlfn.XLOOKUP($B1039,Transporte[DESCRIPCION],Transporte[VALOR],,0),"")</f>
        <v/>
      </c>
      <c r="F1039" s="33"/>
      <c r="G1039" s="34" t="str">
        <f>IFERROR(IF(F1039&gt;=0,D1039*E1039*(1+F1039/100),ABS(D1039*E1039/F1039)),"")</f>
        <v/>
      </c>
      <c r="H1039" s="43" t="str">
        <f>IFERROR(G1039*E1026,"")</f>
        <v/>
      </c>
    </row>
    <row r="1040" spans="1:10" ht="12.75" customHeight="1">
      <c r="A1040" s="28"/>
      <c r="B1040" s="29"/>
      <c r="C1040" s="30" t="str">
        <f>IFERROR(_xlfn.XLOOKUP(B1040,Transporte[DESCRIPCION],Transporte[UND],,0),"")</f>
        <v/>
      </c>
      <c r="D1040" s="31"/>
      <c r="E1040" s="32" t="str">
        <f>IFERROR(_xlfn.XLOOKUP($B1040,Transporte[DESCRIPCION],Transporte[VALOR],,0),"")</f>
        <v/>
      </c>
      <c r="F1040" s="33"/>
      <c r="G1040" s="34" t="str">
        <f>IFERROR(IF(F1040&gt;=0,D1040*E1040*(1+F1040/100),ABS(D1040*E1040/F1040)),"")</f>
        <v/>
      </c>
      <c r="H1040" s="43" t="str">
        <f>IFERROR(G1040*E1026,"")</f>
        <v/>
      </c>
    </row>
    <row r="1041" spans="1:10" ht="12.75" customHeight="1">
      <c r="A1041" s="21"/>
      <c r="B1041" s="22" t="s">
        <v>3732</v>
      </c>
      <c r="C1041" s="23"/>
      <c r="D1041" s="24"/>
      <c r="E1041" s="25"/>
      <c r="F1041" s="26"/>
      <c r="G1041" s="27">
        <f>SUM(G1042:G1044)</f>
        <v>194068.36475000004</v>
      </c>
      <c r="H1041" s="44">
        <f>G1041*E1026</f>
        <v>0</v>
      </c>
    </row>
    <row r="1042" spans="1:10" ht="12.75" customHeight="1">
      <c r="A1042" s="28"/>
      <c r="B1042" s="29" t="s">
        <v>3698</v>
      </c>
      <c r="C1042" s="30" t="str">
        <f>IFERROR(_xlfn.XLOOKUP(B1042,MObra[DESCRIPCION],MObra[UN],,0),"")</f>
        <v>día</v>
      </c>
      <c r="D1042" s="31">
        <v>1</v>
      </c>
      <c r="E1042" s="32">
        <f>IFERROR(_xlfn.XLOOKUP($B1042,MObra[DESCRIPCION],MObra[VALOR UNIT],,0),"")</f>
        <v>116441.01885000002</v>
      </c>
      <c r="F1042" s="33">
        <v>-0.6</v>
      </c>
      <c r="G1042" s="34">
        <f>IFERROR(IF(F1042&gt;=0,D1042*E1042*(1+F1042/100),ABS(D1042*E1042/F1042)),"")</f>
        <v>194068.36475000004</v>
      </c>
      <c r="H1042" s="43">
        <f>IFERROR(G1042*E1026,"")</f>
        <v>0</v>
      </c>
    </row>
    <row r="1043" spans="1:10" ht="12.75" customHeight="1">
      <c r="A1043" s="28"/>
      <c r="B1043" s="29"/>
      <c r="C1043" s="30" t="str">
        <f t="array" ref="C1043">IFERROR(_xlfn.XLOOKUP(B1043,MObra[[#All],[DESCRIPCION]],MObra[[#All],[UN]],,0),"")</f>
        <v/>
      </c>
      <c r="D1043" s="31"/>
      <c r="E1043" s="32" t="str">
        <f>IFERROR(_xlfn.XLOOKUP($B1043,MObra[DESCRIPCION],MObra[VALOR UNIT],,0),"")</f>
        <v/>
      </c>
      <c r="F1043" s="33"/>
      <c r="G1043" s="34" t="str">
        <f>IFERROR(IF(F1043&gt;=0,D1043*E1043*(1+F1043/100),ABS(D1043*E1043/F1043)),"")</f>
        <v/>
      </c>
      <c r="H1043" s="43" t="str">
        <f>IFERROR(G1043*E1026,"")</f>
        <v/>
      </c>
    </row>
    <row r="1044" spans="1:10" ht="12.75" customHeight="1" thickBot="1">
      <c r="A1044" s="35"/>
      <c r="B1044" s="36"/>
      <c r="C1044" s="37" t="str">
        <f t="array" ref="C1044">IFERROR(_xlfn.XLOOKUP(B1044,MObra[[#All],[DESCRIPCION]],MObra[[#All],[UN]],,0),"")</f>
        <v/>
      </c>
      <c r="D1044" s="38"/>
      <c r="E1044" s="39" t="str">
        <f>IFERROR(_xlfn.XLOOKUP($B1044,MObra[DESCRIPCION],MObra[VALOR UNIT],,0),"")</f>
        <v/>
      </c>
      <c r="F1044" s="40"/>
      <c r="G1044" s="41" t="str">
        <f>IFERROR(IF(F1044&gt;=0,D1044*E1044*(1+F1044/100),ABS(D1044*E1044/F1044)),"")</f>
        <v/>
      </c>
      <c r="H1044" s="42" t="str">
        <f>IFERROR(G1044*E1026,"")</f>
        <v/>
      </c>
    </row>
    <row r="1045" spans="1:10" ht="12.75" customHeight="1" thickTop="1" thickBot="1">
      <c r="E1045" s="49"/>
      <c r="G1045" s="3"/>
    </row>
    <row r="1046" spans="1:10" ht="12.75" customHeight="1" thickTop="1" thickBot="1">
      <c r="A1046" s="6" t="s">
        <v>124</v>
      </c>
      <c r="B1046" s="7" t="str">
        <f>VLOOKUP($A1046,Presupuesto!$A:$D,2,FALSE())</f>
        <v>Demolición concreto ciclópeo manual</v>
      </c>
      <c r="C1046" s="8" t="str">
        <f>VLOOKUP($A1046,Presupuesto!$A:$D,3,FALSE())</f>
        <v>M3</v>
      </c>
      <c r="D1046" s="9"/>
      <c r="E1046" s="10">
        <f>VLOOKUP($A1046,Presupuesto!$A:$D,4,FALSE())</f>
        <v>0</v>
      </c>
      <c r="F1046" s="11" t="s">
        <v>2589</v>
      </c>
      <c r="G1046" s="12">
        <f>SUM(G1048:G1064)/2</f>
        <v>253841.42109300004</v>
      </c>
      <c r="H1046" s="13">
        <f>ROUND(SUM(H1048:H1064),0)/2</f>
        <v>0</v>
      </c>
      <c r="I1046" s="10">
        <f>VLOOKUP(A1046,Presupuesto!$A:$F,6,0)</f>
        <v>0</v>
      </c>
      <c r="J1046" s="10">
        <f>+H1046-I1046</f>
        <v>0</v>
      </c>
    </row>
    <row r="1047" spans="1:10" ht="12.75" customHeight="1" thickTop="1">
      <c r="A1047" s="14"/>
      <c r="B1047" s="15" t="s">
        <v>2586</v>
      </c>
      <c r="C1047" s="15" t="s">
        <v>5</v>
      </c>
      <c r="D1047" s="16" t="s">
        <v>6</v>
      </c>
      <c r="E1047" s="17" t="s">
        <v>7</v>
      </c>
      <c r="F1047" s="18" t="s">
        <v>3728</v>
      </c>
      <c r="G1047" s="19" t="s">
        <v>3729</v>
      </c>
      <c r="H1047" s="20" t="s">
        <v>3797</v>
      </c>
    </row>
    <row r="1048" spans="1:10" ht="12.75" customHeight="1">
      <c r="A1048" s="21"/>
      <c r="B1048" s="22" t="s">
        <v>3730</v>
      </c>
      <c r="C1048" s="23"/>
      <c r="D1048" s="24"/>
      <c r="E1048" s="25"/>
      <c r="F1048" s="26"/>
      <c r="G1048" s="27">
        <f>SUM(G1049:G1053)</f>
        <v>0</v>
      </c>
      <c r="H1048" s="27">
        <f>IFERROR(G1048*E1046,"")</f>
        <v>0</v>
      </c>
    </row>
    <row r="1049" spans="1:10" ht="12.75" customHeight="1">
      <c r="A1049" s="28"/>
      <c r="B1049" s="29"/>
      <c r="C1049" s="30" t="str">
        <f>IFERROR(_xlfn.XLOOKUP(B1049,Insumo[DESCRIPCION],Insumo[UND],,0),"")</f>
        <v/>
      </c>
      <c r="D1049" s="31"/>
      <c r="E1049" s="32" t="str">
        <f>IFERROR(_xlfn.XLOOKUP($B1049,Insumo[DESCRIPCION],Insumo[VALOR],,0),"")</f>
        <v/>
      </c>
      <c r="F1049" s="33"/>
      <c r="G1049" s="34" t="str">
        <f>IFERROR(IF(F1049&gt;=0,D1049*E1049*(1+F1049/100),ABS(D1049*E1049/F1049)),"")</f>
        <v/>
      </c>
      <c r="H1049" s="43" t="str">
        <f>IFERROR(G1049*E1046,"")</f>
        <v/>
      </c>
    </row>
    <row r="1050" spans="1:10" ht="12.75" customHeight="1">
      <c r="A1050" s="28"/>
      <c r="B1050" s="29"/>
      <c r="C1050" s="30" t="str">
        <f>IFERROR(_xlfn.XLOOKUP(B1050,Insumo[DESCRIPCION],Insumo[UND],,0),"")</f>
        <v/>
      </c>
      <c r="D1050" s="31"/>
      <c r="E1050" s="32" t="str">
        <f>IFERROR(_xlfn.XLOOKUP($B1050,Insumo[DESCRIPCION],Insumo[VALOR],,0),"")</f>
        <v/>
      </c>
      <c r="F1050" s="33"/>
      <c r="G1050" s="34" t="str">
        <f>IFERROR(IF(F1050&gt;=0,D1050*E1050*(1+F1050/100),ABS(D1050*E1050/F1050)),"")</f>
        <v/>
      </c>
      <c r="H1050" s="43" t="str">
        <f>IFERROR(G1050*E1046,"")</f>
        <v/>
      </c>
    </row>
    <row r="1051" spans="1:10" ht="12.75" customHeight="1">
      <c r="A1051" s="28"/>
      <c r="B1051" s="29"/>
      <c r="C1051" s="30" t="str">
        <f>IFERROR(_xlfn.XLOOKUP(B1051,Insumo[DESCRIPCION],Insumo[UND],,0),"")</f>
        <v/>
      </c>
      <c r="D1051" s="31"/>
      <c r="E1051" s="32" t="str">
        <f>IFERROR(_xlfn.XLOOKUP($B1051,Insumo[DESCRIPCION],Insumo[VALOR],,0),"")</f>
        <v/>
      </c>
      <c r="F1051" s="33"/>
      <c r="G1051" s="34" t="str">
        <f>IFERROR(IF(F1051&gt;=0,D1051*E1051*(1+F1051/100),ABS(D1051*E1051/F1051)),"")</f>
        <v/>
      </c>
      <c r="H1051" s="43" t="str">
        <f>IFERROR(G1051*E1046,"")</f>
        <v/>
      </c>
    </row>
    <row r="1052" spans="1:10" ht="12.75" customHeight="1">
      <c r="A1052" s="28"/>
      <c r="B1052" s="29"/>
      <c r="C1052" s="30" t="str">
        <f>IFERROR(_xlfn.XLOOKUP(B1052,Insumo[DESCRIPCION],Insumo[UND],,0),"")</f>
        <v/>
      </c>
      <c r="D1052" s="31"/>
      <c r="E1052" s="32" t="str">
        <f>IFERROR(_xlfn.XLOOKUP($B1052,Insumo[DESCRIPCION],Insumo[VALOR],,0),"")</f>
        <v/>
      </c>
      <c r="F1052" s="33"/>
      <c r="G1052" s="34" t="str">
        <f>IFERROR(IF(F1052&gt;=0,D1052*E1052*(1+F1052/100),ABS(D1052*E1052/F1052)),"")</f>
        <v/>
      </c>
      <c r="H1052" s="43" t="str">
        <f>IFERROR(G1052*E1046,"")</f>
        <v/>
      </c>
    </row>
    <row r="1053" spans="1:10" ht="12.75" customHeight="1">
      <c r="A1053" s="28"/>
      <c r="B1053" s="29"/>
      <c r="C1053" s="30" t="str">
        <f>IFERROR(_xlfn.XLOOKUP(B1053,Insumo[DESCRIPCION],Insumo[UND],,0),"")</f>
        <v/>
      </c>
      <c r="D1053" s="31"/>
      <c r="E1053" s="32" t="str">
        <f>IFERROR(_xlfn.XLOOKUP($B1053,Insumo[DESCRIPCION],Insumo[VALOR],,0),"")</f>
        <v/>
      </c>
      <c r="F1053" s="33"/>
      <c r="G1053" s="34" t="str">
        <f>IFERROR(IF(F1053&gt;=0,D1053*E1053*(1+F1053/100),ABS(D1053*E1053/F1053)),"")</f>
        <v/>
      </c>
      <c r="H1053" s="43" t="str">
        <f>IFERROR(G1053*E1046,"")</f>
        <v/>
      </c>
    </row>
    <row r="1054" spans="1:10" ht="12.75" customHeight="1">
      <c r="A1054" s="21"/>
      <c r="B1054" s="22" t="s">
        <v>3731</v>
      </c>
      <c r="C1054" s="23"/>
      <c r="D1054" s="24"/>
      <c r="E1054" s="25"/>
      <c r="F1054" s="26"/>
      <c r="G1054" s="27">
        <f>SUM(G1055:G1057)</f>
        <v>20959.383393000004</v>
      </c>
      <c r="H1054" s="44">
        <f>G1054*E1046</f>
        <v>0</v>
      </c>
    </row>
    <row r="1055" spans="1:10" ht="12.75" customHeight="1">
      <c r="A1055" s="28"/>
      <c r="B1055" s="29" t="s">
        <v>3570</v>
      </c>
      <c r="C1055" s="30" t="str">
        <f>IFERROR(_xlfn.XLOOKUP(B1055,Equipo[DESCRIPCION],Equipo[UND],,0),"")</f>
        <v>%MO</v>
      </c>
      <c r="D1055" s="31">
        <v>0.04</v>
      </c>
      <c r="E1055" s="32">
        <f>IF(C1055="%MO",G1061,IFERROR(_xlfn.XLOOKUP($B1055,Equipo[DESCRIPCION],Equipo[VALOR],,0),""))</f>
        <v>232882.03770000004</v>
      </c>
      <c r="F1055" s="33"/>
      <c r="G1055" s="34">
        <f>IFERROR(IF(F1055&gt;=0,D1055*E1055*(1+F1055/100),ABS(D1055*E1055/F1055)),"")</f>
        <v>9315.2815080000018</v>
      </c>
      <c r="H1055" s="43">
        <f>IFERROR(G1055*E1046,"")</f>
        <v>0</v>
      </c>
    </row>
    <row r="1056" spans="1:10" ht="12.75" customHeight="1">
      <c r="A1056" s="28"/>
      <c r="B1056" s="29" t="s">
        <v>3626</v>
      </c>
      <c r="C1056" s="30" t="str">
        <f>IFERROR(_xlfn.XLOOKUP(B1056,Equipo[DESCRIPCION],Equipo[UND],,0),"")</f>
        <v>%MO</v>
      </c>
      <c r="D1056" s="31">
        <v>0.05</v>
      </c>
      <c r="E1056" s="32">
        <f>IF(C1056="%MO",G1061,IFERROR(_xlfn.XLOOKUP($B1056,Equipo[DESCRIPCION],Equipo[VALOR],,0),""))</f>
        <v>232882.03770000004</v>
      </c>
      <c r="F1056" s="33"/>
      <c r="G1056" s="34">
        <f>IFERROR(IF(F1056&gt;=0,D1056*E1056*(1+F1056/100),ABS(D1056*E1056/F1056)),"")</f>
        <v>11644.101885000004</v>
      </c>
      <c r="H1056" s="43">
        <f>IFERROR(G1056*E1046,"")</f>
        <v>0</v>
      </c>
    </row>
    <row r="1057" spans="1:10" ht="12.75" customHeight="1">
      <c r="A1057" s="28"/>
      <c r="B1057" s="29"/>
      <c r="C1057" s="30" t="str">
        <f>IFERROR(_xlfn.XLOOKUP(B1057,Equipo[DESCRIPCION],Equipo[UND],,0),"")</f>
        <v/>
      </c>
      <c r="D1057" s="31"/>
      <c r="E1057" s="32" t="str">
        <f>IF(C1057="%MO",G1061,IFERROR(_xlfn.XLOOKUP($B1057,Equipo[DESCRIPCION],Equipo[VALOR],,0),""))</f>
        <v/>
      </c>
      <c r="F1057" s="33"/>
      <c r="G1057" s="34" t="str">
        <f>IFERROR(IF(F1057&gt;=0,D1057*E1057*(1+F1057/100),ABS(D1057*E1057/F1057)),"")</f>
        <v/>
      </c>
      <c r="H1057" s="43" t="str">
        <f>IFERROR(G1057*E1046,"")</f>
        <v/>
      </c>
    </row>
    <row r="1058" spans="1:10" ht="12.75" customHeight="1">
      <c r="A1058" s="21"/>
      <c r="B1058" s="22" t="s">
        <v>2533</v>
      </c>
      <c r="C1058" s="23"/>
      <c r="D1058" s="24"/>
      <c r="E1058" s="25"/>
      <c r="F1058" s="26"/>
      <c r="G1058" s="27">
        <f>SUM(G1059:G1060)</f>
        <v>0</v>
      </c>
      <c r="H1058" s="44">
        <f>G1058*E1046</f>
        <v>0</v>
      </c>
    </row>
    <row r="1059" spans="1:10" ht="12.75" customHeight="1">
      <c r="A1059" s="28"/>
      <c r="B1059" s="29"/>
      <c r="C1059" s="30" t="str">
        <f>IFERROR(_xlfn.XLOOKUP(B1059,Transporte[DESCRIPCION],Transporte[UND],,0),"")</f>
        <v/>
      </c>
      <c r="D1059" s="31"/>
      <c r="E1059" s="32" t="str">
        <f>IFERROR(_xlfn.XLOOKUP($B1059,Transporte[DESCRIPCION],Transporte[VALOR],,0),"")</f>
        <v/>
      </c>
      <c r="F1059" s="33"/>
      <c r="G1059" s="34" t="str">
        <f>IFERROR(IF(F1059&gt;=0,D1059*E1059*(1+F1059/100),ABS(D1059*E1059/F1059)),"")</f>
        <v/>
      </c>
      <c r="H1059" s="43" t="str">
        <f>IFERROR(G1059*E1046,"")</f>
        <v/>
      </c>
    </row>
    <row r="1060" spans="1:10" ht="12.75" customHeight="1">
      <c r="A1060" s="28"/>
      <c r="B1060" s="29"/>
      <c r="C1060" s="30" t="str">
        <f>IFERROR(_xlfn.XLOOKUP(B1060,Transporte[DESCRIPCION],Transporte[UND],,0),"")</f>
        <v/>
      </c>
      <c r="D1060" s="31"/>
      <c r="E1060" s="32" t="str">
        <f>IFERROR(_xlfn.XLOOKUP($B1060,Transporte[DESCRIPCION],Transporte[VALOR],,0),"")</f>
        <v/>
      </c>
      <c r="F1060" s="33"/>
      <c r="G1060" s="34" t="str">
        <f>IFERROR(IF(F1060&gt;=0,D1060*E1060*(1+F1060/100),ABS(D1060*E1060/F1060)),"")</f>
        <v/>
      </c>
      <c r="H1060" s="43" t="str">
        <f>IFERROR(G1060*E1046,"")</f>
        <v/>
      </c>
    </row>
    <row r="1061" spans="1:10" ht="12.75" customHeight="1">
      <c r="A1061" s="21"/>
      <c r="B1061" s="22" t="s">
        <v>3732</v>
      </c>
      <c r="C1061" s="23"/>
      <c r="D1061" s="24"/>
      <c r="E1061" s="25"/>
      <c r="F1061" s="26"/>
      <c r="G1061" s="27">
        <f>SUM(G1062:G1064)</f>
        <v>232882.03770000004</v>
      </c>
      <c r="H1061" s="44">
        <f>G1061*E1046</f>
        <v>0</v>
      </c>
    </row>
    <row r="1062" spans="1:10" ht="12.75" customHeight="1">
      <c r="A1062" s="28"/>
      <c r="B1062" s="29" t="s">
        <v>3698</v>
      </c>
      <c r="C1062" s="30" t="str">
        <f>IFERROR(_xlfn.XLOOKUP(B1062,MObra[DESCRIPCION],MObra[UN],,0),"")</f>
        <v>día</v>
      </c>
      <c r="D1062" s="31">
        <v>1</v>
      </c>
      <c r="E1062" s="32">
        <f>IFERROR(_xlfn.XLOOKUP($B1062,MObra[DESCRIPCION],MObra[VALOR UNIT],,0),"")</f>
        <v>116441.01885000002</v>
      </c>
      <c r="F1062" s="33">
        <v>-0.5</v>
      </c>
      <c r="G1062" s="34">
        <f>IFERROR(IF(F1062&gt;=0,D1062*E1062*(1+F1062/100),ABS(D1062*E1062/F1062)),"")</f>
        <v>232882.03770000004</v>
      </c>
      <c r="H1062" s="43">
        <f>IFERROR(G1062*E1046,"")</f>
        <v>0</v>
      </c>
    </row>
    <row r="1063" spans="1:10" ht="12.75" customHeight="1">
      <c r="A1063" s="28"/>
      <c r="B1063" s="29"/>
      <c r="C1063" s="30" t="str">
        <f t="array" ref="C1063">IFERROR(_xlfn.XLOOKUP(B1063,MObra[[#All],[DESCRIPCION]],MObra[[#All],[UN]],,0),"")</f>
        <v/>
      </c>
      <c r="D1063" s="31"/>
      <c r="E1063" s="32" t="str">
        <f>IFERROR(_xlfn.XLOOKUP($B1063,MObra[DESCRIPCION],MObra[VALOR UNIT],,0),"")</f>
        <v/>
      </c>
      <c r="F1063" s="33"/>
      <c r="G1063" s="34" t="str">
        <f>IFERROR(IF(F1063&gt;=0,D1063*E1063*(1+F1063/100),ABS(D1063*E1063/F1063)),"")</f>
        <v/>
      </c>
      <c r="H1063" s="43" t="str">
        <f>IFERROR(G1063*E1046,"")</f>
        <v/>
      </c>
    </row>
    <row r="1064" spans="1:10" ht="12.75" customHeight="1" thickBot="1">
      <c r="A1064" s="35"/>
      <c r="B1064" s="36"/>
      <c r="C1064" s="37" t="str">
        <f t="array" ref="C1064">IFERROR(_xlfn.XLOOKUP(B1064,MObra[[#All],[DESCRIPCION]],MObra[[#All],[UN]],,0),"")</f>
        <v/>
      </c>
      <c r="D1064" s="38"/>
      <c r="E1064" s="39" t="str">
        <f>IFERROR(_xlfn.XLOOKUP($B1064,MObra[DESCRIPCION],MObra[VALOR UNIT],,0),"")</f>
        <v/>
      </c>
      <c r="F1064" s="40"/>
      <c r="G1064" s="41" t="str">
        <f>IFERROR(IF(F1064&gt;=0,D1064*E1064*(1+F1064/100),ABS(D1064*E1064/F1064)),"")</f>
        <v/>
      </c>
      <c r="H1064" s="42" t="str">
        <f>IFERROR(G1064*E1046,"")</f>
        <v/>
      </c>
    </row>
    <row r="1065" spans="1:10" ht="12.75" customHeight="1" thickTop="1" thickBot="1">
      <c r="E1065" s="49"/>
      <c r="G1065" s="3"/>
    </row>
    <row r="1066" spans="1:10" ht="12.75" customHeight="1" thickTop="1" thickBot="1">
      <c r="A1066" s="6" t="s">
        <v>126</v>
      </c>
      <c r="B1066" s="7" t="str">
        <f>VLOOKUP($A1066,Presupuesto!$A:$D,2,FALSE())</f>
        <v>Demolición concreto mecánico</v>
      </c>
      <c r="C1066" s="8" t="str">
        <f>VLOOKUP($A1066,Presupuesto!$A:$D,3,FALSE())</f>
        <v>M3</v>
      </c>
      <c r="D1066" s="9"/>
      <c r="E1066" s="10">
        <f>VLOOKUP($A1066,Presupuesto!$A:$D,4,FALSE())</f>
        <v>0</v>
      </c>
      <c r="F1066" s="11" t="s">
        <v>2589</v>
      </c>
      <c r="G1066" s="12">
        <f>SUM(G1068:G1084)/2</f>
        <v>302170.25857941178</v>
      </c>
      <c r="H1066" s="13">
        <f>ROUND(SUM(H1068:H1084),0)/2</f>
        <v>0</v>
      </c>
      <c r="I1066" s="10">
        <f>VLOOKUP(A1066,Presupuesto!$A:$F,6,0)</f>
        <v>0</v>
      </c>
      <c r="J1066" s="10">
        <f>+H1066-I1066</f>
        <v>0</v>
      </c>
    </row>
    <row r="1067" spans="1:10" ht="12.75" customHeight="1" thickTop="1">
      <c r="A1067" s="14"/>
      <c r="B1067" s="15" t="s">
        <v>2586</v>
      </c>
      <c r="C1067" s="15" t="s">
        <v>5</v>
      </c>
      <c r="D1067" s="16" t="s">
        <v>6</v>
      </c>
      <c r="E1067" s="17" t="s">
        <v>7</v>
      </c>
      <c r="F1067" s="18" t="s">
        <v>3728</v>
      </c>
      <c r="G1067" s="19" t="s">
        <v>3729</v>
      </c>
      <c r="H1067" s="20" t="s">
        <v>3797</v>
      </c>
    </row>
    <row r="1068" spans="1:10" ht="12.75" customHeight="1">
      <c r="A1068" s="21"/>
      <c r="B1068" s="22" t="s">
        <v>3730</v>
      </c>
      <c r="C1068" s="23"/>
      <c r="D1068" s="24"/>
      <c r="E1068" s="25"/>
      <c r="F1068" s="26"/>
      <c r="G1068" s="27">
        <f>SUM(G1069:G1073)</f>
        <v>0</v>
      </c>
      <c r="H1068" s="27">
        <f>IFERROR(G1068*E1066,"")</f>
        <v>0</v>
      </c>
    </row>
    <row r="1069" spans="1:10" ht="12.75" customHeight="1">
      <c r="A1069" s="28"/>
      <c r="B1069" s="29"/>
      <c r="C1069" s="30" t="str">
        <f>IFERROR(_xlfn.XLOOKUP(B1069,Insumo[DESCRIPCION],Insumo[UND],,0),"")</f>
        <v/>
      </c>
      <c r="D1069" s="31"/>
      <c r="E1069" s="32" t="str">
        <f>IFERROR(_xlfn.XLOOKUP($B1069,Insumo[DESCRIPCION],Insumo[VALOR],,0),"")</f>
        <v/>
      </c>
      <c r="F1069" s="33"/>
      <c r="G1069" s="34" t="str">
        <f>IFERROR(IF(F1069&gt;=0,D1069*E1069*(1+F1069/100),ABS(D1069*E1069/F1069)),"")</f>
        <v/>
      </c>
      <c r="H1069" s="43" t="str">
        <f>IFERROR(G1069*E1066,"")</f>
        <v/>
      </c>
    </row>
    <row r="1070" spans="1:10" ht="12.75" customHeight="1">
      <c r="A1070" s="28"/>
      <c r="B1070" s="29"/>
      <c r="C1070" s="30" t="str">
        <f>IFERROR(_xlfn.XLOOKUP(B1070,Insumo[DESCRIPCION],Insumo[UND],,0),"")</f>
        <v/>
      </c>
      <c r="D1070" s="31"/>
      <c r="E1070" s="32" t="str">
        <f>IFERROR(_xlfn.XLOOKUP($B1070,Insumo[DESCRIPCION],Insumo[VALOR],,0),"")</f>
        <v/>
      </c>
      <c r="F1070" s="33"/>
      <c r="G1070" s="34" t="str">
        <f>IFERROR(IF(F1070&gt;=0,D1070*E1070*(1+F1070/100),ABS(D1070*E1070/F1070)),"")</f>
        <v/>
      </c>
      <c r="H1070" s="43" t="str">
        <f>IFERROR(G1070*E1066,"")</f>
        <v/>
      </c>
    </row>
    <row r="1071" spans="1:10" ht="12.75" customHeight="1">
      <c r="A1071" s="28"/>
      <c r="B1071" s="29"/>
      <c r="C1071" s="30" t="str">
        <f>IFERROR(_xlfn.XLOOKUP(B1071,Insumo[DESCRIPCION],Insumo[UND],,0),"")</f>
        <v/>
      </c>
      <c r="D1071" s="31"/>
      <c r="E1071" s="32" t="str">
        <f>IFERROR(_xlfn.XLOOKUP($B1071,Insumo[DESCRIPCION],Insumo[VALOR],,0),"")</f>
        <v/>
      </c>
      <c r="F1071" s="33"/>
      <c r="G1071" s="34" t="str">
        <f>IFERROR(IF(F1071&gt;=0,D1071*E1071*(1+F1071/100),ABS(D1071*E1071/F1071)),"")</f>
        <v/>
      </c>
      <c r="H1071" s="43" t="str">
        <f>IFERROR(G1071*E1066,"")</f>
        <v/>
      </c>
    </row>
    <row r="1072" spans="1:10" ht="12.75" customHeight="1">
      <c r="A1072" s="28"/>
      <c r="B1072" s="29"/>
      <c r="C1072" s="30" t="str">
        <f>IFERROR(_xlfn.XLOOKUP(B1072,Insumo[DESCRIPCION],Insumo[UND],,0),"")</f>
        <v/>
      </c>
      <c r="D1072" s="31"/>
      <c r="E1072" s="32" t="str">
        <f>IFERROR(_xlfn.XLOOKUP($B1072,Insumo[DESCRIPCION],Insumo[VALOR],,0),"")</f>
        <v/>
      </c>
      <c r="F1072" s="33"/>
      <c r="G1072" s="34" t="str">
        <f>IFERROR(IF(F1072&gt;=0,D1072*E1072*(1+F1072/100),ABS(D1072*E1072/F1072)),"")</f>
        <v/>
      </c>
      <c r="H1072" s="43" t="str">
        <f>IFERROR(G1072*E1066,"")</f>
        <v/>
      </c>
    </row>
    <row r="1073" spans="1:10" ht="12.75" customHeight="1">
      <c r="A1073" s="28"/>
      <c r="B1073" s="29"/>
      <c r="C1073" s="30" t="str">
        <f>IFERROR(_xlfn.XLOOKUP(B1073,Insumo[DESCRIPCION],Insumo[UND],,0),"")</f>
        <v/>
      </c>
      <c r="D1073" s="31"/>
      <c r="E1073" s="32" t="str">
        <f>IFERROR(_xlfn.XLOOKUP($B1073,Insumo[DESCRIPCION],Insumo[VALOR],,0),"")</f>
        <v/>
      </c>
      <c r="F1073" s="33"/>
      <c r="G1073" s="34" t="str">
        <f>IFERROR(IF(F1073&gt;=0,D1073*E1073*(1+F1073/100),ABS(D1073*E1073/F1073)),"")</f>
        <v/>
      </c>
      <c r="H1073" s="43" t="str">
        <f>IFERROR(G1073*E1066,"")</f>
        <v/>
      </c>
    </row>
    <row r="1074" spans="1:10" ht="12.75" customHeight="1">
      <c r="A1074" s="21"/>
      <c r="B1074" s="22" t="s">
        <v>3731</v>
      </c>
      <c r="C1074" s="23"/>
      <c r="D1074" s="24"/>
      <c r="E1074" s="25"/>
      <c r="F1074" s="26"/>
      <c r="G1074" s="27">
        <f>SUM(G1075:G1077)</f>
        <v>165180.8246382353</v>
      </c>
      <c r="H1074" s="44">
        <f>G1074*E1066</f>
        <v>0</v>
      </c>
    </row>
    <row r="1075" spans="1:10" ht="12.75" customHeight="1">
      <c r="A1075" s="28"/>
      <c r="B1075" s="29" t="s">
        <v>3596</v>
      </c>
      <c r="C1075" s="30" t="str">
        <f>IFERROR(_xlfn.XLOOKUP(B1075,Equipo[DESCRIPCION],Equipo[UND],,0),"")</f>
        <v>Hr</v>
      </c>
      <c r="D1075" s="31">
        <v>1</v>
      </c>
      <c r="E1075" s="32">
        <f>IF(C1075="%MO",G1081,IFERROR(_xlfn.XLOOKUP($B1075,Equipo[DESCRIPCION],Equipo[VALOR],,0),""))</f>
        <v>134581.65</v>
      </c>
      <c r="F1075" s="33">
        <v>-0.85</v>
      </c>
      <c r="G1075" s="34">
        <f>IFERROR(IF(F1075&gt;=0,D1075*E1075*(1+F1075/100),ABS(D1075*E1075/F1075)),"")</f>
        <v>158331.35294117648</v>
      </c>
      <c r="H1075" s="43">
        <f>IFERROR(G1075*E1066,"")</f>
        <v>0</v>
      </c>
    </row>
    <row r="1076" spans="1:10" ht="12.75" customHeight="1">
      <c r="A1076" s="28"/>
      <c r="B1076" s="29" t="s">
        <v>3626</v>
      </c>
      <c r="C1076" s="30" t="str">
        <f>IFERROR(_xlfn.XLOOKUP(B1076,Equipo[DESCRIPCION],Equipo[UND],,0),"")</f>
        <v>%MO</v>
      </c>
      <c r="D1076" s="31">
        <v>0.05</v>
      </c>
      <c r="E1076" s="32">
        <f>IF(C1076="%MO",G1081,IFERROR(_xlfn.XLOOKUP($B1076,Equipo[DESCRIPCION],Equipo[VALOR],,0),""))</f>
        <v>136989.43394117651</v>
      </c>
      <c r="F1076" s="33"/>
      <c r="G1076" s="34">
        <f>IFERROR(IF(F1076&gt;=0,D1076*E1076*(1+F1076/100),ABS(D1076*E1076/F1076)),"")</f>
        <v>6849.4716970588261</v>
      </c>
      <c r="H1076" s="43">
        <f>IFERROR(G1076*E1066,"")</f>
        <v>0</v>
      </c>
    </row>
    <row r="1077" spans="1:10" ht="12.75" customHeight="1">
      <c r="A1077" s="28"/>
      <c r="B1077" s="29"/>
      <c r="C1077" s="30" t="str">
        <f>IFERROR(_xlfn.XLOOKUP(B1077,Equipo[DESCRIPCION],Equipo[UND],,0),"")</f>
        <v/>
      </c>
      <c r="D1077" s="31"/>
      <c r="E1077" s="32" t="str">
        <f>IF(C1077="%MO",G1081,IFERROR(_xlfn.XLOOKUP($B1077,Equipo[DESCRIPCION],Equipo[VALOR],,0),""))</f>
        <v/>
      </c>
      <c r="F1077" s="33"/>
      <c r="G1077" s="34" t="str">
        <f>IFERROR(IF(F1077&gt;=0,D1077*E1077*(1+F1077/100),ABS(D1077*E1077/F1077)),"")</f>
        <v/>
      </c>
      <c r="H1077" s="43" t="str">
        <f>IFERROR(G1077*E1066,"")</f>
        <v/>
      </c>
    </row>
    <row r="1078" spans="1:10" ht="12.75" customHeight="1">
      <c r="A1078" s="21"/>
      <c r="B1078" s="22" t="s">
        <v>2533</v>
      </c>
      <c r="C1078" s="23"/>
      <c r="D1078" s="24"/>
      <c r="E1078" s="25"/>
      <c r="F1078" s="26"/>
      <c r="G1078" s="27">
        <f>SUM(G1079:G1080)</f>
        <v>0</v>
      </c>
      <c r="H1078" s="44">
        <f>G1078*E1066</f>
        <v>0</v>
      </c>
    </row>
    <row r="1079" spans="1:10" ht="12.75" customHeight="1">
      <c r="A1079" s="28"/>
      <c r="B1079" s="29"/>
      <c r="C1079" s="30" t="str">
        <f>IFERROR(_xlfn.XLOOKUP(B1079,Transporte[DESCRIPCION],Transporte[UND],,0),"")</f>
        <v/>
      </c>
      <c r="D1079" s="31"/>
      <c r="E1079" s="32" t="str">
        <f>IFERROR(_xlfn.XLOOKUP($B1079,Transporte[DESCRIPCION],Transporte[VALOR],,0),"")</f>
        <v/>
      </c>
      <c r="F1079" s="33"/>
      <c r="G1079" s="34" t="str">
        <f>IFERROR(IF(F1079&gt;=0,D1079*E1079*(1+F1079/100),ABS(D1079*E1079/F1079)),"")</f>
        <v/>
      </c>
      <c r="H1079" s="43" t="str">
        <f>IFERROR(G1079*E1066,"")</f>
        <v/>
      </c>
    </row>
    <row r="1080" spans="1:10" ht="12.75" customHeight="1">
      <c r="A1080" s="28"/>
      <c r="B1080" s="29"/>
      <c r="C1080" s="30" t="str">
        <f>IFERROR(_xlfn.XLOOKUP(B1080,Transporte[DESCRIPCION],Transporte[UND],,0),"")</f>
        <v/>
      </c>
      <c r="D1080" s="31"/>
      <c r="E1080" s="32" t="str">
        <f>IFERROR(_xlfn.XLOOKUP($B1080,Transporte[DESCRIPCION],Transporte[VALOR],,0),"")</f>
        <v/>
      </c>
      <c r="F1080" s="33"/>
      <c r="G1080" s="34" t="str">
        <f>IFERROR(IF(F1080&gt;=0,D1080*E1080*(1+F1080/100),ABS(D1080*E1080/F1080)),"")</f>
        <v/>
      </c>
      <c r="H1080" s="43" t="str">
        <f>IFERROR(G1080*E1066,"")</f>
        <v/>
      </c>
    </row>
    <row r="1081" spans="1:10" ht="12.75" customHeight="1">
      <c r="A1081" s="21"/>
      <c r="B1081" s="22" t="s">
        <v>3732</v>
      </c>
      <c r="C1081" s="23"/>
      <c r="D1081" s="24"/>
      <c r="E1081" s="25"/>
      <c r="F1081" s="26"/>
      <c r="G1081" s="27">
        <f>SUM(G1082:G1084)</f>
        <v>136989.43394117651</v>
      </c>
      <c r="H1081" s="44">
        <f>G1081*E1066</f>
        <v>0</v>
      </c>
    </row>
    <row r="1082" spans="1:10" ht="12.75" customHeight="1">
      <c r="A1082" s="28"/>
      <c r="B1082" s="29" t="s">
        <v>3698</v>
      </c>
      <c r="C1082" s="30" t="str">
        <f>IFERROR(_xlfn.XLOOKUP(B1082,MObra[DESCRIPCION],MObra[UN],,0),"")</f>
        <v>día</v>
      </c>
      <c r="D1082" s="31">
        <v>1</v>
      </c>
      <c r="E1082" s="32">
        <f>IFERROR(_xlfn.XLOOKUP($B1082,MObra[DESCRIPCION],MObra[VALOR UNIT],,0),"")</f>
        <v>116441.01885000002</v>
      </c>
      <c r="F1082" s="33">
        <v>-0.85</v>
      </c>
      <c r="G1082" s="34">
        <f>IFERROR(IF(F1082&gt;=0,D1082*E1082*(1+F1082/100),ABS(D1082*E1082/F1082)),"")</f>
        <v>136989.43394117651</v>
      </c>
      <c r="H1082" s="43">
        <f>IFERROR(G1082*E1066,"")</f>
        <v>0</v>
      </c>
    </row>
    <row r="1083" spans="1:10" ht="12.75" customHeight="1">
      <c r="A1083" s="28"/>
      <c r="B1083" s="29"/>
      <c r="C1083" s="30" t="str">
        <f t="array" ref="C1083">IFERROR(_xlfn.XLOOKUP(B1083,MObra[[#All],[DESCRIPCION]],MObra[[#All],[UN]],,0),"")</f>
        <v/>
      </c>
      <c r="D1083" s="31"/>
      <c r="E1083" s="32" t="str">
        <f>IFERROR(_xlfn.XLOOKUP($B1083,MObra[DESCRIPCION],MObra[VALOR UNIT],,0),"")</f>
        <v/>
      </c>
      <c r="F1083" s="33"/>
      <c r="G1083" s="34" t="str">
        <f>IFERROR(IF(F1083&gt;=0,D1083*E1083*(1+F1083/100),ABS(D1083*E1083/F1083)),"")</f>
        <v/>
      </c>
      <c r="H1083" s="43" t="str">
        <f>IFERROR(G1083*E1066,"")</f>
        <v/>
      </c>
    </row>
    <row r="1084" spans="1:10" ht="12.75" customHeight="1" thickBot="1">
      <c r="A1084" s="35"/>
      <c r="B1084" s="36"/>
      <c r="C1084" s="37" t="str">
        <f t="array" ref="C1084">IFERROR(_xlfn.XLOOKUP(B1084,MObra[[#All],[DESCRIPCION]],MObra[[#All],[UN]],,0),"")</f>
        <v/>
      </c>
      <c r="D1084" s="38"/>
      <c r="E1084" s="39" t="str">
        <f>IFERROR(_xlfn.XLOOKUP($B1084,MObra[DESCRIPCION],MObra[VALOR UNIT],,0),"")</f>
        <v/>
      </c>
      <c r="F1084" s="40"/>
      <c r="G1084" s="41" t="str">
        <f>IFERROR(IF(F1084&gt;=0,D1084*E1084*(1+F1084/100),ABS(D1084*E1084/F1084)),"")</f>
        <v/>
      </c>
      <c r="H1084" s="42" t="str">
        <f>IFERROR(G1084*E1066,"")</f>
        <v/>
      </c>
    </row>
    <row r="1085" spans="1:10" ht="12.75" customHeight="1" thickTop="1" thickBot="1">
      <c r="E1085" s="49"/>
      <c r="G1085" s="3"/>
    </row>
    <row r="1086" spans="1:10" ht="12.75" customHeight="1" thickTop="1" thickBot="1">
      <c r="A1086" s="6" t="s">
        <v>128</v>
      </c>
      <c r="B1086" s="7" t="str">
        <f>VLOOKUP($A1086,Presupuesto!$A:$D,2,FALSE())</f>
        <v>Demolición de portadas</v>
      </c>
      <c r="C1086" s="8" t="str">
        <f>VLOOKUP($A1086,Presupuesto!$A:$D,3,FALSE())</f>
        <v>Un</v>
      </c>
      <c r="D1086" s="9"/>
      <c r="E1086" s="10">
        <f>VLOOKUP($A1086,Presupuesto!$A:$D,4,FALSE())</f>
        <v>0</v>
      </c>
      <c r="F1086" s="11" t="s">
        <v>2589</v>
      </c>
      <c r="G1086" s="12">
        <f>SUM(G1088:G1104)/2</f>
        <v>142691.51099583335</v>
      </c>
      <c r="H1086" s="13">
        <f>ROUND(SUM(H1088:H1104),0)/2</f>
        <v>0</v>
      </c>
      <c r="I1086" s="10">
        <f>VLOOKUP(A1086,Presupuesto!$A:$F,6,0)</f>
        <v>0</v>
      </c>
      <c r="J1086" s="10">
        <f>+H1086-I1086</f>
        <v>0</v>
      </c>
    </row>
    <row r="1087" spans="1:10" ht="12.75" customHeight="1" thickTop="1">
      <c r="A1087" s="14"/>
      <c r="B1087" s="15" t="s">
        <v>2586</v>
      </c>
      <c r="C1087" s="15" t="s">
        <v>5</v>
      </c>
      <c r="D1087" s="16" t="s">
        <v>6</v>
      </c>
      <c r="E1087" s="17" t="s">
        <v>7</v>
      </c>
      <c r="F1087" s="18" t="s">
        <v>3728</v>
      </c>
      <c r="G1087" s="19" t="s">
        <v>3729</v>
      </c>
      <c r="H1087" s="20" t="s">
        <v>3797</v>
      </c>
    </row>
    <row r="1088" spans="1:10" ht="12.75" customHeight="1">
      <c r="A1088" s="21"/>
      <c r="B1088" s="22" t="s">
        <v>3730</v>
      </c>
      <c r="C1088" s="23"/>
      <c r="D1088" s="24"/>
      <c r="E1088" s="25"/>
      <c r="F1088" s="26"/>
      <c r="G1088" s="27">
        <f>SUM(G1089:G1093)</f>
        <v>0</v>
      </c>
      <c r="H1088" s="27">
        <f>IFERROR(G1088*E1086,"")</f>
        <v>0</v>
      </c>
    </row>
    <row r="1089" spans="1:8" ht="12.75" customHeight="1">
      <c r="A1089" s="28"/>
      <c r="B1089" s="29"/>
      <c r="C1089" s="30" t="str">
        <f>IFERROR(_xlfn.XLOOKUP(B1089,Insumo[DESCRIPCION],Insumo[UND],,0),"")</f>
        <v/>
      </c>
      <c r="D1089" s="31"/>
      <c r="E1089" s="32" t="str">
        <f>IFERROR(_xlfn.XLOOKUP($B1089,Insumo[DESCRIPCION],Insumo[VALOR],,0),"")</f>
        <v/>
      </c>
      <c r="F1089" s="33"/>
      <c r="G1089" s="34" t="str">
        <f>IFERROR(IF(F1089&gt;=0,D1089*E1089*(1+F1089/100),ABS(D1089*E1089/F1089)),"")</f>
        <v/>
      </c>
      <c r="H1089" s="43" t="str">
        <f>IFERROR(G1089*E1086,"")</f>
        <v/>
      </c>
    </row>
    <row r="1090" spans="1:8" ht="12.75" customHeight="1">
      <c r="A1090" s="28"/>
      <c r="B1090" s="29"/>
      <c r="C1090" s="30" t="str">
        <f>IFERROR(_xlfn.XLOOKUP(B1090,Insumo[DESCRIPCION],Insumo[UND],,0),"")</f>
        <v/>
      </c>
      <c r="D1090" s="31"/>
      <c r="E1090" s="32" t="str">
        <f>IFERROR(_xlfn.XLOOKUP($B1090,Insumo[DESCRIPCION],Insumo[VALOR],,0),"")</f>
        <v/>
      </c>
      <c r="F1090" s="33"/>
      <c r="G1090" s="34" t="str">
        <f>IFERROR(IF(F1090&gt;=0,D1090*E1090*(1+F1090/100),ABS(D1090*E1090/F1090)),"")</f>
        <v/>
      </c>
      <c r="H1090" s="43" t="str">
        <f>IFERROR(G1090*E1086,"")</f>
        <v/>
      </c>
    </row>
    <row r="1091" spans="1:8" ht="12.75" customHeight="1">
      <c r="A1091" s="28"/>
      <c r="B1091" s="29"/>
      <c r="C1091" s="30" t="str">
        <f>IFERROR(_xlfn.XLOOKUP(B1091,Insumo[DESCRIPCION],Insumo[UND],,0),"")</f>
        <v/>
      </c>
      <c r="D1091" s="31"/>
      <c r="E1091" s="32" t="str">
        <f>IFERROR(_xlfn.XLOOKUP($B1091,Insumo[DESCRIPCION],Insumo[VALOR],,0),"")</f>
        <v/>
      </c>
      <c r="F1091" s="33"/>
      <c r="G1091" s="34" t="str">
        <f>IFERROR(IF(F1091&gt;=0,D1091*E1091*(1+F1091/100),ABS(D1091*E1091/F1091)),"")</f>
        <v/>
      </c>
      <c r="H1091" s="43" t="str">
        <f>IFERROR(G1091*E1086,"")</f>
        <v/>
      </c>
    </row>
    <row r="1092" spans="1:8" ht="12.75" customHeight="1">
      <c r="A1092" s="28"/>
      <c r="B1092" s="29"/>
      <c r="C1092" s="30" t="str">
        <f>IFERROR(_xlfn.XLOOKUP(B1092,Insumo[DESCRIPCION],Insumo[UND],,0),"")</f>
        <v/>
      </c>
      <c r="D1092" s="31"/>
      <c r="E1092" s="32" t="str">
        <f>IFERROR(_xlfn.XLOOKUP($B1092,Insumo[DESCRIPCION],Insumo[VALOR],,0),"")</f>
        <v/>
      </c>
      <c r="F1092" s="33"/>
      <c r="G1092" s="34" t="str">
        <f>IFERROR(IF(F1092&gt;=0,D1092*E1092*(1+F1092/100),ABS(D1092*E1092/F1092)),"")</f>
        <v/>
      </c>
      <c r="H1092" s="43" t="str">
        <f>IFERROR(G1092*E1086,"")</f>
        <v/>
      </c>
    </row>
    <row r="1093" spans="1:8" ht="12.75" customHeight="1">
      <c r="A1093" s="28"/>
      <c r="B1093" s="29"/>
      <c r="C1093" s="30" t="str">
        <f>IFERROR(_xlfn.XLOOKUP(B1093,Insumo[DESCRIPCION],Insumo[UND],,0),"")</f>
        <v/>
      </c>
      <c r="D1093" s="31"/>
      <c r="E1093" s="32" t="str">
        <f>IFERROR(_xlfn.XLOOKUP($B1093,Insumo[DESCRIPCION],Insumo[VALOR],,0),"")</f>
        <v/>
      </c>
      <c r="F1093" s="33"/>
      <c r="G1093" s="34" t="str">
        <f>IFERROR(IF(F1093&gt;=0,D1093*E1093*(1+F1093/100),ABS(D1093*E1093/F1093)),"")</f>
        <v/>
      </c>
      <c r="H1093" s="43" t="str">
        <f>IFERROR(G1093*E1086,"")</f>
        <v/>
      </c>
    </row>
    <row r="1094" spans="1:8" ht="12.75" customHeight="1">
      <c r="A1094" s="21"/>
      <c r="B1094" s="22" t="s">
        <v>3731</v>
      </c>
      <c r="C1094" s="23"/>
      <c r="D1094" s="24"/>
      <c r="E1094" s="25"/>
      <c r="F1094" s="26"/>
      <c r="G1094" s="27">
        <f>SUM(G1095:G1097)</f>
        <v>78002.056079166665</v>
      </c>
      <c r="H1094" s="44">
        <f>G1094*E1086</f>
        <v>0</v>
      </c>
    </row>
    <row r="1095" spans="1:8" ht="12.75" customHeight="1">
      <c r="A1095" s="28"/>
      <c r="B1095" s="29" t="s">
        <v>3596</v>
      </c>
      <c r="C1095" s="30" t="str">
        <f>IFERROR(_xlfn.XLOOKUP(B1095,Equipo[DESCRIPCION],Equipo[UND],,0),"")</f>
        <v>Hr</v>
      </c>
      <c r="D1095" s="31">
        <v>1</v>
      </c>
      <c r="E1095" s="32">
        <f>IF(C1095="%MO",G1101,IFERROR(_xlfn.XLOOKUP($B1095,Equipo[DESCRIPCION],Equipo[VALOR],,0),""))</f>
        <v>134581.65</v>
      </c>
      <c r="F1095" s="33">
        <v>-1.8</v>
      </c>
      <c r="G1095" s="34">
        <f>IFERROR(IF(F1095&gt;=0,D1095*E1095*(1+F1095/100),ABS(D1095*E1095/F1095)),"")</f>
        <v>74767.583333333328</v>
      </c>
      <c r="H1095" s="43">
        <f>IFERROR(G1095*E1086,"")</f>
        <v>0</v>
      </c>
    </row>
    <row r="1096" spans="1:8" ht="12.75" customHeight="1">
      <c r="A1096" s="28"/>
      <c r="B1096" s="29" t="s">
        <v>3626</v>
      </c>
      <c r="C1096" s="30" t="str">
        <f>IFERROR(_xlfn.XLOOKUP(B1096,Equipo[DESCRIPCION],Equipo[UND],,0),"")</f>
        <v>%MO</v>
      </c>
      <c r="D1096" s="31">
        <v>0.05</v>
      </c>
      <c r="E1096" s="32">
        <f>IF(C1096="%MO",G1101,IFERROR(_xlfn.XLOOKUP($B1096,Equipo[DESCRIPCION],Equipo[VALOR],,0),""))</f>
        <v>64689.454916666677</v>
      </c>
      <c r="F1096" s="33"/>
      <c r="G1096" s="34">
        <f>IFERROR(IF(F1096&gt;=0,D1096*E1096*(1+F1096/100),ABS(D1096*E1096/F1096)),"")</f>
        <v>3234.4727458333341</v>
      </c>
      <c r="H1096" s="43">
        <f>IFERROR(G1096*E1086,"")</f>
        <v>0</v>
      </c>
    </row>
    <row r="1097" spans="1:8" ht="12.75" customHeight="1">
      <c r="A1097" s="28"/>
      <c r="B1097" s="29"/>
      <c r="C1097" s="30" t="str">
        <f>IFERROR(_xlfn.XLOOKUP(B1097,Equipo[DESCRIPCION],Equipo[UND],,0),"")</f>
        <v/>
      </c>
      <c r="D1097" s="31"/>
      <c r="E1097" s="32" t="str">
        <f>IF(C1097="%MO",G1101,IFERROR(_xlfn.XLOOKUP($B1097,Equipo[DESCRIPCION],Equipo[VALOR],,0),""))</f>
        <v/>
      </c>
      <c r="F1097" s="33"/>
      <c r="G1097" s="34" t="str">
        <f>IFERROR(IF(F1097&gt;=0,D1097*E1097*(1+F1097/100),ABS(D1097*E1097/F1097)),"")</f>
        <v/>
      </c>
      <c r="H1097" s="43" t="str">
        <f>IFERROR(G1097*E1086,"")</f>
        <v/>
      </c>
    </row>
    <row r="1098" spans="1:8" ht="12.75" customHeight="1">
      <c r="A1098" s="21"/>
      <c r="B1098" s="22" t="s">
        <v>2533</v>
      </c>
      <c r="C1098" s="23"/>
      <c r="D1098" s="24"/>
      <c r="E1098" s="25"/>
      <c r="F1098" s="26"/>
      <c r="G1098" s="27">
        <f>SUM(G1099:G1100)</f>
        <v>0</v>
      </c>
      <c r="H1098" s="44">
        <f>G1098*E1086</f>
        <v>0</v>
      </c>
    </row>
    <row r="1099" spans="1:8" ht="12.75" customHeight="1">
      <c r="A1099" s="28"/>
      <c r="B1099" s="29"/>
      <c r="C1099" s="30" t="str">
        <f>IFERROR(_xlfn.XLOOKUP(B1099,Transporte[DESCRIPCION],Transporte[UND],,0),"")</f>
        <v/>
      </c>
      <c r="D1099" s="31"/>
      <c r="E1099" s="32" t="str">
        <f>IFERROR(_xlfn.XLOOKUP($B1099,Transporte[DESCRIPCION],Transporte[VALOR],,0),"")</f>
        <v/>
      </c>
      <c r="F1099" s="33"/>
      <c r="G1099" s="34" t="str">
        <f>IFERROR(IF(F1099&gt;=0,D1099*E1099*(1+F1099/100),ABS(D1099*E1099/F1099)),"")</f>
        <v/>
      </c>
      <c r="H1099" s="43" t="str">
        <f>IFERROR(G1099*E1086,"")</f>
        <v/>
      </c>
    </row>
    <row r="1100" spans="1:8" ht="12.75" customHeight="1">
      <c r="A1100" s="28"/>
      <c r="B1100" s="29"/>
      <c r="C1100" s="30" t="str">
        <f>IFERROR(_xlfn.XLOOKUP(B1100,Transporte[DESCRIPCION],Transporte[UND],,0),"")</f>
        <v/>
      </c>
      <c r="D1100" s="31"/>
      <c r="E1100" s="32" t="str">
        <f>IFERROR(_xlfn.XLOOKUP($B1100,Transporte[DESCRIPCION],Transporte[VALOR],,0),"")</f>
        <v/>
      </c>
      <c r="F1100" s="33"/>
      <c r="G1100" s="34" t="str">
        <f>IFERROR(IF(F1100&gt;=0,D1100*E1100*(1+F1100/100),ABS(D1100*E1100/F1100)),"")</f>
        <v/>
      </c>
      <c r="H1100" s="43" t="str">
        <f>IFERROR(G1100*E1086,"")</f>
        <v/>
      </c>
    </row>
    <row r="1101" spans="1:8" ht="12.75" customHeight="1">
      <c r="A1101" s="21"/>
      <c r="B1101" s="22" t="s">
        <v>3732</v>
      </c>
      <c r="C1101" s="23"/>
      <c r="D1101" s="24"/>
      <c r="E1101" s="25"/>
      <c r="F1101" s="26"/>
      <c r="G1101" s="27">
        <f>SUM(G1102:G1104)</f>
        <v>64689.454916666677</v>
      </c>
      <c r="H1101" s="44">
        <f>G1101*E1086</f>
        <v>0</v>
      </c>
    </row>
    <row r="1102" spans="1:8" ht="12.75" customHeight="1">
      <c r="A1102" s="28"/>
      <c r="B1102" s="29" t="s">
        <v>3698</v>
      </c>
      <c r="C1102" s="30" t="str">
        <f>IFERROR(_xlfn.XLOOKUP(B1102,MObra[DESCRIPCION],MObra[UN],,0),"")</f>
        <v>día</v>
      </c>
      <c r="D1102" s="31">
        <v>1</v>
      </c>
      <c r="E1102" s="32">
        <f>IFERROR(_xlfn.XLOOKUP($B1102,MObra[DESCRIPCION],MObra[VALOR UNIT],,0),"")</f>
        <v>116441.01885000002</v>
      </c>
      <c r="F1102" s="33">
        <v>-1.8</v>
      </c>
      <c r="G1102" s="34">
        <f>IFERROR(IF(F1102&gt;=0,D1102*E1102*(1+F1102/100),ABS(D1102*E1102/F1102)),"")</f>
        <v>64689.454916666677</v>
      </c>
      <c r="H1102" s="43">
        <f>IFERROR(G1102*E1086,"")</f>
        <v>0</v>
      </c>
    </row>
    <row r="1103" spans="1:8" ht="12.75" customHeight="1">
      <c r="A1103" s="28"/>
      <c r="B1103" s="29"/>
      <c r="C1103" s="30" t="str">
        <f t="array" ref="C1103">IFERROR(_xlfn.XLOOKUP(B1103,MObra[[#All],[DESCRIPCION]],MObra[[#All],[UN]],,0),"")</f>
        <v/>
      </c>
      <c r="D1103" s="31"/>
      <c r="E1103" s="32" t="str">
        <f>IFERROR(_xlfn.XLOOKUP($B1103,MObra[DESCRIPCION],MObra[VALOR UNIT],,0),"")</f>
        <v/>
      </c>
      <c r="F1103" s="33"/>
      <c r="G1103" s="34" t="str">
        <f>IFERROR(IF(F1103&gt;=0,D1103*E1103*(1+F1103/100),ABS(D1103*E1103/F1103)),"")</f>
        <v/>
      </c>
      <c r="H1103" s="43" t="str">
        <f>IFERROR(G1103*E1086,"")</f>
        <v/>
      </c>
    </row>
    <row r="1104" spans="1:8" ht="12.75" customHeight="1" thickBot="1">
      <c r="A1104" s="35"/>
      <c r="B1104" s="36"/>
      <c r="C1104" s="37" t="str">
        <f t="array" ref="C1104">IFERROR(_xlfn.XLOOKUP(B1104,MObra[[#All],[DESCRIPCION]],MObra[[#All],[UN]],,0),"")</f>
        <v/>
      </c>
      <c r="D1104" s="38"/>
      <c r="E1104" s="39" t="str">
        <f>IFERROR(_xlfn.XLOOKUP($B1104,MObra[DESCRIPCION],MObra[VALOR UNIT],,0),"")</f>
        <v/>
      </c>
      <c r="F1104" s="40"/>
      <c r="G1104" s="41" t="str">
        <f>IFERROR(IF(F1104&gt;=0,D1104*E1104*(1+F1104/100),ABS(D1104*E1104/F1104)),"")</f>
        <v/>
      </c>
      <c r="H1104" s="42" t="str">
        <f>IFERROR(G1104*E1086,"")</f>
        <v/>
      </c>
    </row>
    <row r="1105" spans="1:10" ht="12.75" customHeight="1" thickTop="1" thickBot="1">
      <c r="E1105" s="49"/>
      <c r="G1105" s="3"/>
    </row>
    <row r="1106" spans="1:10" ht="12.75" customHeight="1" thickTop="1" thickBot="1">
      <c r="A1106" s="6" t="s">
        <v>130</v>
      </c>
      <c r="B1106" s="7" t="str">
        <f>VLOOKUP($A1106,Presupuesto!$A:$D,2,FALSE())</f>
        <v>Demolición meson en concreto</v>
      </c>
      <c r="C1106" s="8" t="str">
        <f>VLOOKUP($A1106,Presupuesto!$A:$D,3,FALSE())</f>
        <v>M2</v>
      </c>
      <c r="D1106" s="9"/>
      <c r="E1106" s="10">
        <f>VLOOKUP($A1106,Presupuesto!$A:$D,4,FALSE())</f>
        <v>0</v>
      </c>
      <c r="F1106" s="11" t="s">
        <v>2589</v>
      </c>
      <c r="G1106" s="12">
        <f>SUM(G1108:G1124)/2</f>
        <v>12226.306979250003</v>
      </c>
      <c r="H1106" s="13">
        <f>ROUND(SUM(H1108:H1124),0)/2</f>
        <v>0</v>
      </c>
      <c r="I1106" s="10">
        <f>VLOOKUP(A1106,Presupuesto!$A:$F,6,0)</f>
        <v>0</v>
      </c>
      <c r="J1106" s="10">
        <f>+H1106-I1106</f>
        <v>0</v>
      </c>
    </row>
    <row r="1107" spans="1:10" ht="12.75" customHeight="1" thickTop="1">
      <c r="A1107" s="14"/>
      <c r="B1107" s="15" t="s">
        <v>2586</v>
      </c>
      <c r="C1107" s="15" t="s">
        <v>5</v>
      </c>
      <c r="D1107" s="16" t="s">
        <v>6</v>
      </c>
      <c r="E1107" s="17" t="s">
        <v>7</v>
      </c>
      <c r="F1107" s="18" t="s">
        <v>3728</v>
      </c>
      <c r="G1107" s="19" t="s">
        <v>3729</v>
      </c>
      <c r="H1107" s="20" t="s">
        <v>3797</v>
      </c>
    </row>
    <row r="1108" spans="1:10" ht="12.75" customHeight="1">
      <c r="A1108" s="21"/>
      <c r="B1108" s="22" t="s">
        <v>3730</v>
      </c>
      <c r="C1108" s="23"/>
      <c r="D1108" s="24"/>
      <c r="E1108" s="25"/>
      <c r="F1108" s="26"/>
      <c r="G1108" s="27">
        <f>SUM(G1109:G1113)</f>
        <v>0</v>
      </c>
      <c r="H1108" s="27">
        <f>IFERROR(G1108*E1106,"")</f>
        <v>0</v>
      </c>
    </row>
    <row r="1109" spans="1:10" ht="12.75" customHeight="1">
      <c r="A1109" s="28"/>
      <c r="B1109" s="29"/>
      <c r="C1109" s="30" t="str">
        <f>IFERROR(_xlfn.XLOOKUP(B1109,Insumo[DESCRIPCION],Insumo[UND],,0),"")</f>
        <v/>
      </c>
      <c r="D1109" s="31"/>
      <c r="E1109" s="32" t="str">
        <f>IFERROR(_xlfn.XLOOKUP($B1109,Insumo[DESCRIPCION],Insumo[VALOR],,0),"")</f>
        <v/>
      </c>
      <c r="F1109" s="33"/>
      <c r="G1109" s="34" t="str">
        <f>IFERROR(IF(F1109&gt;=0,D1109*E1109*(1+F1109/100),ABS(D1109*E1109/F1109)),"")</f>
        <v/>
      </c>
      <c r="H1109" s="43" t="str">
        <f>IFERROR(G1109*E1106,"")</f>
        <v/>
      </c>
    </row>
    <row r="1110" spans="1:10" ht="12.75" customHeight="1">
      <c r="A1110" s="28"/>
      <c r="B1110" s="29"/>
      <c r="C1110" s="30" t="str">
        <f>IFERROR(_xlfn.XLOOKUP(B1110,Insumo[DESCRIPCION],Insumo[UND],,0),"")</f>
        <v/>
      </c>
      <c r="D1110" s="31"/>
      <c r="E1110" s="32" t="str">
        <f>IFERROR(_xlfn.XLOOKUP($B1110,Insumo[DESCRIPCION],Insumo[VALOR],,0),"")</f>
        <v/>
      </c>
      <c r="F1110" s="33"/>
      <c r="G1110" s="34" t="str">
        <f>IFERROR(IF(F1110&gt;=0,D1110*E1110*(1+F1110/100),ABS(D1110*E1110/F1110)),"")</f>
        <v/>
      </c>
      <c r="H1110" s="43" t="str">
        <f>IFERROR(G1110*E1106,"")</f>
        <v/>
      </c>
    </row>
    <row r="1111" spans="1:10" ht="12.75" customHeight="1">
      <c r="A1111" s="28"/>
      <c r="B1111" s="29"/>
      <c r="C1111" s="30" t="str">
        <f>IFERROR(_xlfn.XLOOKUP(B1111,Insumo[DESCRIPCION],Insumo[UND],,0),"")</f>
        <v/>
      </c>
      <c r="D1111" s="31"/>
      <c r="E1111" s="32" t="str">
        <f>IFERROR(_xlfn.XLOOKUP($B1111,Insumo[DESCRIPCION],Insumo[VALOR],,0),"")</f>
        <v/>
      </c>
      <c r="F1111" s="33"/>
      <c r="G1111" s="34" t="str">
        <f>IFERROR(IF(F1111&gt;=0,D1111*E1111*(1+F1111/100),ABS(D1111*E1111/F1111)),"")</f>
        <v/>
      </c>
      <c r="H1111" s="43" t="str">
        <f>IFERROR(G1111*E1106,"")</f>
        <v/>
      </c>
    </row>
    <row r="1112" spans="1:10" ht="12.75" customHeight="1">
      <c r="A1112" s="28"/>
      <c r="B1112" s="29"/>
      <c r="C1112" s="30" t="str">
        <f>IFERROR(_xlfn.XLOOKUP(B1112,Insumo[DESCRIPCION],Insumo[UND],,0),"")</f>
        <v/>
      </c>
      <c r="D1112" s="31"/>
      <c r="E1112" s="32" t="str">
        <f>IFERROR(_xlfn.XLOOKUP($B1112,Insumo[DESCRIPCION],Insumo[VALOR],,0),"")</f>
        <v/>
      </c>
      <c r="F1112" s="33"/>
      <c r="G1112" s="34" t="str">
        <f>IFERROR(IF(F1112&gt;=0,D1112*E1112*(1+F1112/100),ABS(D1112*E1112/F1112)),"")</f>
        <v/>
      </c>
      <c r="H1112" s="43" t="str">
        <f>IFERROR(G1112*E1106,"")</f>
        <v/>
      </c>
    </row>
    <row r="1113" spans="1:10" ht="12.75" customHeight="1">
      <c r="A1113" s="28"/>
      <c r="B1113" s="29"/>
      <c r="C1113" s="30" t="str">
        <f>IFERROR(_xlfn.XLOOKUP(B1113,Insumo[DESCRIPCION],Insumo[UND],,0),"")</f>
        <v/>
      </c>
      <c r="D1113" s="31"/>
      <c r="E1113" s="32" t="str">
        <f>IFERROR(_xlfn.XLOOKUP($B1113,Insumo[DESCRIPCION],Insumo[VALOR],,0),"")</f>
        <v/>
      </c>
      <c r="F1113" s="33"/>
      <c r="G1113" s="34" t="str">
        <f>IFERROR(IF(F1113&gt;=0,D1113*E1113*(1+F1113/100),ABS(D1113*E1113/F1113)),"")</f>
        <v/>
      </c>
      <c r="H1113" s="43" t="str">
        <f>IFERROR(G1113*E1106,"")</f>
        <v/>
      </c>
    </row>
    <row r="1114" spans="1:10" ht="12.75" customHeight="1">
      <c r="A1114" s="21"/>
      <c r="B1114" s="22" t="s">
        <v>3731</v>
      </c>
      <c r="C1114" s="23"/>
      <c r="D1114" s="24"/>
      <c r="E1114" s="25"/>
      <c r="F1114" s="26"/>
      <c r="G1114" s="27">
        <f>SUM(G1115:G1117)</f>
        <v>582.20509425000012</v>
      </c>
      <c r="H1114" s="44">
        <f>G1114*E1106</f>
        <v>0</v>
      </c>
    </row>
    <row r="1115" spans="1:10" ht="12.75" customHeight="1">
      <c r="A1115" s="28"/>
      <c r="B1115" s="29" t="s">
        <v>3626</v>
      </c>
      <c r="C1115" s="30" t="str">
        <f>IFERROR(_xlfn.XLOOKUP(B1115,Equipo[DESCRIPCION],Equipo[UND],,0),"")</f>
        <v>%MO</v>
      </c>
      <c r="D1115" s="31">
        <v>0.05</v>
      </c>
      <c r="E1115" s="32">
        <f>IF(C1115="%MO",G1121,IFERROR(_xlfn.XLOOKUP($B1115,Equipo[DESCRIPCION],Equipo[VALOR],,0),""))</f>
        <v>11644.101885000002</v>
      </c>
      <c r="F1115" s="33"/>
      <c r="G1115" s="34">
        <f>IFERROR(IF(F1115&gt;=0,D1115*E1115*(1+F1115/100),ABS(D1115*E1115/F1115)),"")</f>
        <v>582.20509425000012</v>
      </c>
      <c r="H1115" s="43">
        <f>IFERROR(G1115*E1106,"")</f>
        <v>0</v>
      </c>
    </row>
    <row r="1116" spans="1:10" ht="12.75" customHeight="1">
      <c r="A1116" s="28"/>
      <c r="B1116" s="29"/>
      <c r="C1116" s="30" t="str">
        <f>IFERROR(_xlfn.XLOOKUP(B1116,Equipo[DESCRIPCION],Equipo[UND],,0),"")</f>
        <v/>
      </c>
      <c r="D1116" s="31"/>
      <c r="E1116" s="32" t="str">
        <f>IF(C1116="%MO",G1121,IFERROR(_xlfn.XLOOKUP($B1116,Equipo[DESCRIPCION],Equipo[VALOR],,0),""))</f>
        <v/>
      </c>
      <c r="F1116" s="33"/>
      <c r="G1116" s="34" t="str">
        <f>IFERROR(IF(F1116&gt;=0,D1116*E1116*(1+F1116/100),ABS(D1116*E1116/F1116)),"")</f>
        <v/>
      </c>
      <c r="H1116" s="43" t="str">
        <f>IFERROR(G1116*E1106,"")</f>
        <v/>
      </c>
    </row>
    <row r="1117" spans="1:10" ht="12.75" customHeight="1">
      <c r="A1117" s="28"/>
      <c r="B1117" s="29"/>
      <c r="C1117" s="30" t="str">
        <f>IFERROR(_xlfn.XLOOKUP(B1117,Equipo[DESCRIPCION],Equipo[UND],,0),"")</f>
        <v/>
      </c>
      <c r="D1117" s="31"/>
      <c r="E1117" s="32" t="str">
        <f>IF(C1117="%MO",G1121,IFERROR(_xlfn.XLOOKUP($B1117,Equipo[DESCRIPCION],Equipo[VALOR],,0),""))</f>
        <v/>
      </c>
      <c r="F1117" s="33"/>
      <c r="G1117" s="34" t="str">
        <f>IFERROR(IF(F1117&gt;=0,D1117*E1117*(1+F1117/100),ABS(D1117*E1117/F1117)),"")</f>
        <v/>
      </c>
      <c r="H1117" s="43" t="str">
        <f>IFERROR(G1117*E1106,"")</f>
        <v/>
      </c>
    </row>
    <row r="1118" spans="1:10" ht="12.75" customHeight="1">
      <c r="A1118" s="21"/>
      <c r="B1118" s="22" t="s">
        <v>2533</v>
      </c>
      <c r="C1118" s="23"/>
      <c r="D1118" s="24"/>
      <c r="E1118" s="25"/>
      <c r="F1118" s="26"/>
      <c r="G1118" s="27">
        <f>SUM(G1119:G1120)</f>
        <v>0</v>
      </c>
      <c r="H1118" s="44">
        <f>G1118*E1106</f>
        <v>0</v>
      </c>
    </row>
    <row r="1119" spans="1:10" ht="12.75" customHeight="1">
      <c r="A1119" s="28"/>
      <c r="B1119" s="29"/>
      <c r="C1119" s="30" t="str">
        <f>IFERROR(_xlfn.XLOOKUP(B1119,Transporte[DESCRIPCION],Transporte[UND],,0),"")</f>
        <v/>
      </c>
      <c r="D1119" s="31"/>
      <c r="E1119" s="32" t="str">
        <f>IFERROR(_xlfn.XLOOKUP($B1119,Transporte[DESCRIPCION],Transporte[VALOR],,0),"")</f>
        <v/>
      </c>
      <c r="F1119" s="33"/>
      <c r="G1119" s="34" t="str">
        <f>IFERROR(IF(F1119&gt;=0,D1119*E1119*(1+F1119/100),ABS(D1119*E1119/F1119)),"")</f>
        <v/>
      </c>
      <c r="H1119" s="43" t="str">
        <f>IFERROR(G1119*E1106,"")</f>
        <v/>
      </c>
    </row>
    <row r="1120" spans="1:10" ht="12.75" customHeight="1">
      <c r="A1120" s="28"/>
      <c r="B1120" s="29"/>
      <c r="C1120" s="30" t="str">
        <f>IFERROR(_xlfn.XLOOKUP(B1120,Transporte[DESCRIPCION],Transporte[UND],,0),"")</f>
        <v/>
      </c>
      <c r="D1120" s="31"/>
      <c r="E1120" s="32" t="str">
        <f>IFERROR(_xlfn.XLOOKUP($B1120,Transporte[DESCRIPCION],Transporte[VALOR],,0),"")</f>
        <v/>
      </c>
      <c r="F1120" s="33"/>
      <c r="G1120" s="34" t="str">
        <f>IFERROR(IF(F1120&gt;=0,D1120*E1120*(1+F1120/100),ABS(D1120*E1120/F1120)),"")</f>
        <v/>
      </c>
      <c r="H1120" s="43" t="str">
        <f>IFERROR(G1120*E1106,"")</f>
        <v/>
      </c>
    </row>
    <row r="1121" spans="1:10" ht="12.75" customHeight="1">
      <c r="A1121" s="21"/>
      <c r="B1121" s="22" t="s">
        <v>3732</v>
      </c>
      <c r="C1121" s="23"/>
      <c r="D1121" s="24"/>
      <c r="E1121" s="25"/>
      <c r="F1121" s="26"/>
      <c r="G1121" s="27">
        <f>SUM(G1122:G1124)</f>
        <v>11644.101885000002</v>
      </c>
      <c r="H1121" s="44">
        <f>G1121*E1106</f>
        <v>0</v>
      </c>
    </row>
    <row r="1122" spans="1:10" ht="12.75" customHeight="1">
      <c r="A1122" s="28"/>
      <c r="B1122" s="29" t="s">
        <v>3698</v>
      </c>
      <c r="C1122" s="30" t="str">
        <f>IFERROR(_xlfn.XLOOKUP(B1122,MObra[DESCRIPCION],MObra[UN],,0),"")</f>
        <v>día</v>
      </c>
      <c r="D1122" s="31">
        <v>1</v>
      </c>
      <c r="E1122" s="32">
        <f>IFERROR(_xlfn.XLOOKUP($B1122,MObra[DESCRIPCION],MObra[VALOR UNIT],,0),"")</f>
        <v>116441.01885000002</v>
      </c>
      <c r="F1122" s="33">
        <v>-10</v>
      </c>
      <c r="G1122" s="34">
        <f>IFERROR(IF(F1122&gt;=0,D1122*E1122*(1+F1122/100),ABS(D1122*E1122/F1122)),"")</f>
        <v>11644.101885000002</v>
      </c>
      <c r="H1122" s="43">
        <f>IFERROR(G1122*E1106,"")</f>
        <v>0</v>
      </c>
    </row>
    <row r="1123" spans="1:10" ht="12.75" customHeight="1">
      <c r="A1123" s="28"/>
      <c r="B1123" s="29"/>
      <c r="C1123" s="30" t="str">
        <f t="array" ref="C1123">IFERROR(_xlfn.XLOOKUP(B1123,MObra[[#All],[DESCRIPCION]],MObra[[#All],[UN]],,0),"")</f>
        <v/>
      </c>
      <c r="D1123" s="31"/>
      <c r="E1123" s="32" t="str">
        <f>IFERROR(_xlfn.XLOOKUP($B1123,MObra[DESCRIPCION],MObra[VALOR UNIT],,0),"")</f>
        <v/>
      </c>
      <c r="F1123" s="33"/>
      <c r="G1123" s="34" t="str">
        <f>IFERROR(IF(F1123&gt;=0,D1123*E1123*(1+F1123/100),ABS(D1123*E1123/F1123)),"")</f>
        <v/>
      </c>
      <c r="H1123" s="43" t="str">
        <f>IFERROR(G1123*E1106,"")</f>
        <v/>
      </c>
    </row>
    <row r="1124" spans="1:10" ht="12.75" customHeight="1" thickBot="1">
      <c r="A1124" s="35"/>
      <c r="B1124" s="36"/>
      <c r="C1124" s="37" t="str">
        <f t="array" ref="C1124">IFERROR(_xlfn.XLOOKUP(B1124,MObra[[#All],[DESCRIPCION]],MObra[[#All],[UN]],,0),"")</f>
        <v/>
      </c>
      <c r="D1124" s="38"/>
      <c r="E1124" s="39" t="str">
        <f>IFERROR(_xlfn.XLOOKUP($B1124,MObra[DESCRIPCION],MObra[VALOR UNIT],,0),"")</f>
        <v/>
      </c>
      <c r="F1124" s="40"/>
      <c r="G1124" s="41" t="str">
        <f>IFERROR(IF(F1124&gt;=0,D1124*E1124*(1+F1124/100),ABS(D1124*E1124/F1124)),"")</f>
        <v/>
      </c>
      <c r="H1124" s="42" t="str">
        <f>IFERROR(G1124*E1106,"")</f>
        <v/>
      </c>
    </row>
    <row r="1125" spans="1:10" ht="12.75" customHeight="1" thickTop="1" thickBot="1">
      <c r="E1125" s="49"/>
      <c r="G1125" s="3"/>
    </row>
    <row r="1126" spans="1:10" ht="12.75" customHeight="1" thickTop="1" thickBot="1">
      <c r="A1126" s="6" t="s">
        <v>132</v>
      </c>
      <c r="B1126" s="7" t="str">
        <f>VLOOKUP($A1126,Presupuesto!$A:$D,2,FALSE())</f>
        <v>Demolición mortero manual</v>
      </c>
      <c r="C1126" s="8" t="str">
        <f>VLOOKUP($A1126,Presupuesto!$A:$D,3,FALSE())</f>
        <v>M2</v>
      </c>
      <c r="D1126" s="9"/>
      <c r="E1126" s="10">
        <f>VLOOKUP($A1126,Presupuesto!$A:$D,4,FALSE())</f>
        <v>0</v>
      </c>
      <c r="F1126" s="11" t="s">
        <v>2589</v>
      </c>
      <c r="G1126" s="12">
        <f>SUM(G1128:G1144)/2</f>
        <v>7191.9452819117669</v>
      </c>
      <c r="H1126" s="13">
        <f>ROUND(SUM(H1128:H1144),0)/2</f>
        <v>0</v>
      </c>
      <c r="I1126" s="10">
        <f>VLOOKUP(A1126,Presupuesto!$A:$F,6,0)</f>
        <v>0</v>
      </c>
      <c r="J1126" s="10">
        <f>+H1126-I1126</f>
        <v>0</v>
      </c>
    </row>
    <row r="1127" spans="1:10" ht="12.75" customHeight="1" thickTop="1">
      <c r="A1127" s="14"/>
      <c r="B1127" s="15" t="s">
        <v>2586</v>
      </c>
      <c r="C1127" s="15" t="s">
        <v>5</v>
      </c>
      <c r="D1127" s="16" t="s">
        <v>6</v>
      </c>
      <c r="E1127" s="17" t="s">
        <v>7</v>
      </c>
      <c r="F1127" s="18" t="s">
        <v>3728</v>
      </c>
      <c r="G1127" s="19" t="s">
        <v>3729</v>
      </c>
      <c r="H1127" s="20" t="s">
        <v>3797</v>
      </c>
    </row>
    <row r="1128" spans="1:10" ht="12.75" customHeight="1">
      <c r="A1128" s="21"/>
      <c r="B1128" s="22" t="s">
        <v>3730</v>
      </c>
      <c r="C1128" s="23"/>
      <c r="D1128" s="24"/>
      <c r="E1128" s="25"/>
      <c r="F1128" s="26"/>
      <c r="G1128" s="27">
        <f>SUM(G1129:G1133)</f>
        <v>0</v>
      </c>
      <c r="H1128" s="27">
        <f>IFERROR(G1128*E1126,"")</f>
        <v>0</v>
      </c>
    </row>
    <row r="1129" spans="1:10" ht="12.75" customHeight="1">
      <c r="A1129" s="28"/>
      <c r="B1129" s="29"/>
      <c r="C1129" s="30" t="str">
        <f>IFERROR(_xlfn.XLOOKUP(B1129,Insumo[DESCRIPCION],Insumo[UND],,0),"")</f>
        <v/>
      </c>
      <c r="D1129" s="31"/>
      <c r="E1129" s="32" t="str">
        <f>IFERROR(_xlfn.XLOOKUP($B1129,Insumo[DESCRIPCION],Insumo[VALOR],,0),"")</f>
        <v/>
      </c>
      <c r="F1129" s="33"/>
      <c r="G1129" s="34" t="str">
        <f>IFERROR(IF(F1129&gt;=0,D1129*E1129*(1+F1129/100),ABS(D1129*E1129/F1129)),"")</f>
        <v/>
      </c>
      <c r="H1129" s="43" t="str">
        <f>IFERROR(G1129*E1126,"")</f>
        <v/>
      </c>
    </row>
    <row r="1130" spans="1:10" ht="12.75" customHeight="1">
      <c r="A1130" s="28"/>
      <c r="B1130" s="29"/>
      <c r="C1130" s="30" t="str">
        <f>IFERROR(_xlfn.XLOOKUP(B1130,Insumo[DESCRIPCION],Insumo[UND],,0),"")</f>
        <v/>
      </c>
      <c r="D1130" s="31"/>
      <c r="E1130" s="32" t="str">
        <f>IFERROR(_xlfn.XLOOKUP($B1130,Insumo[DESCRIPCION],Insumo[VALOR],,0),"")</f>
        <v/>
      </c>
      <c r="F1130" s="33"/>
      <c r="G1130" s="34" t="str">
        <f>IFERROR(IF(F1130&gt;=0,D1130*E1130*(1+F1130/100),ABS(D1130*E1130/F1130)),"")</f>
        <v/>
      </c>
      <c r="H1130" s="43" t="str">
        <f>IFERROR(G1130*E1126,"")</f>
        <v/>
      </c>
    </row>
    <row r="1131" spans="1:10" ht="12.75" customHeight="1">
      <c r="A1131" s="28"/>
      <c r="B1131" s="29"/>
      <c r="C1131" s="30" t="str">
        <f>IFERROR(_xlfn.XLOOKUP(B1131,Insumo[DESCRIPCION],Insumo[UND],,0),"")</f>
        <v/>
      </c>
      <c r="D1131" s="31"/>
      <c r="E1131" s="32" t="str">
        <f>IFERROR(_xlfn.XLOOKUP($B1131,Insumo[DESCRIPCION],Insumo[VALOR],,0),"")</f>
        <v/>
      </c>
      <c r="F1131" s="33"/>
      <c r="G1131" s="34" t="str">
        <f>IFERROR(IF(F1131&gt;=0,D1131*E1131*(1+F1131/100),ABS(D1131*E1131/F1131)),"")</f>
        <v/>
      </c>
      <c r="H1131" s="43" t="str">
        <f>IFERROR(G1131*E1126,"")</f>
        <v/>
      </c>
    </row>
    <row r="1132" spans="1:10" ht="12.75" customHeight="1">
      <c r="A1132" s="28"/>
      <c r="B1132" s="29"/>
      <c r="C1132" s="30" t="str">
        <f>IFERROR(_xlfn.XLOOKUP(B1132,Insumo[DESCRIPCION],Insumo[UND],,0),"")</f>
        <v/>
      </c>
      <c r="D1132" s="31"/>
      <c r="E1132" s="32" t="str">
        <f>IFERROR(_xlfn.XLOOKUP($B1132,Insumo[DESCRIPCION],Insumo[VALOR],,0),"")</f>
        <v/>
      </c>
      <c r="F1132" s="33"/>
      <c r="G1132" s="34" t="str">
        <f>IFERROR(IF(F1132&gt;=0,D1132*E1132*(1+F1132/100),ABS(D1132*E1132/F1132)),"")</f>
        <v/>
      </c>
      <c r="H1132" s="43" t="str">
        <f>IFERROR(G1132*E1126,"")</f>
        <v/>
      </c>
    </row>
    <row r="1133" spans="1:10" ht="12.75" customHeight="1">
      <c r="A1133" s="28"/>
      <c r="B1133" s="29"/>
      <c r="C1133" s="30" t="str">
        <f>IFERROR(_xlfn.XLOOKUP(B1133,Insumo[DESCRIPCION],Insumo[UND],,0),"")</f>
        <v/>
      </c>
      <c r="D1133" s="31"/>
      <c r="E1133" s="32" t="str">
        <f>IFERROR(_xlfn.XLOOKUP($B1133,Insumo[DESCRIPCION],Insumo[VALOR],,0),"")</f>
        <v/>
      </c>
      <c r="F1133" s="33"/>
      <c r="G1133" s="34" t="str">
        <f>IFERROR(IF(F1133&gt;=0,D1133*E1133*(1+F1133/100),ABS(D1133*E1133/F1133)),"")</f>
        <v/>
      </c>
      <c r="H1133" s="43" t="str">
        <f>IFERROR(G1133*E1126,"")</f>
        <v/>
      </c>
    </row>
    <row r="1134" spans="1:10" ht="12.75" customHeight="1">
      <c r="A1134" s="21"/>
      <c r="B1134" s="22" t="s">
        <v>3731</v>
      </c>
      <c r="C1134" s="23"/>
      <c r="D1134" s="24"/>
      <c r="E1134" s="25"/>
      <c r="F1134" s="26"/>
      <c r="G1134" s="27">
        <f>SUM(G1135:G1137)</f>
        <v>342.47358485294126</v>
      </c>
      <c r="H1134" s="44">
        <f>G1134*E1126</f>
        <v>0</v>
      </c>
    </row>
    <row r="1135" spans="1:10" ht="12.75" customHeight="1">
      <c r="A1135" s="28"/>
      <c r="B1135" s="29" t="s">
        <v>3626</v>
      </c>
      <c r="C1135" s="30" t="str">
        <f>IFERROR(_xlfn.XLOOKUP(B1135,Equipo[DESCRIPCION],Equipo[UND],,0),"")</f>
        <v>%MO</v>
      </c>
      <c r="D1135" s="31">
        <v>0.05</v>
      </c>
      <c r="E1135" s="32">
        <f>IF(C1135="%MO",G1141,IFERROR(_xlfn.XLOOKUP($B1135,Equipo[DESCRIPCION],Equipo[VALOR],,0),""))</f>
        <v>6849.4716970588252</v>
      </c>
      <c r="F1135" s="33"/>
      <c r="G1135" s="34">
        <f>IFERROR(IF(F1135&gt;=0,D1135*E1135*(1+F1135/100),ABS(D1135*E1135/F1135)),"")</f>
        <v>342.47358485294126</v>
      </c>
      <c r="H1135" s="43">
        <f>IFERROR(G1135*E1126,"")</f>
        <v>0</v>
      </c>
    </row>
    <row r="1136" spans="1:10" ht="12.75" customHeight="1">
      <c r="A1136" s="28"/>
      <c r="B1136" s="29"/>
      <c r="C1136" s="30" t="str">
        <f>IFERROR(_xlfn.XLOOKUP(B1136,Equipo[DESCRIPCION],Equipo[UND],,0),"")</f>
        <v/>
      </c>
      <c r="D1136" s="31"/>
      <c r="E1136" s="32" t="str">
        <f>IF(C1136="%MO",G1141,IFERROR(_xlfn.XLOOKUP($B1136,Equipo[DESCRIPCION],Equipo[VALOR],,0),""))</f>
        <v/>
      </c>
      <c r="F1136" s="33"/>
      <c r="G1136" s="34" t="str">
        <f>IFERROR(IF(F1136&gt;=0,D1136*E1136*(1+F1136/100),ABS(D1136*E1136/F1136)),"")</f>
        <v/>
      </c>
      <c r="H1136" s="43" t="str">
        <f>IFERROR(G1136*E1126,"")</f>
        <v/>
      </c>
    </row>
    <row r="1137" spans="1:10" ht="12.75" customHeight="1">
      <c r="A1137" s="28"/>
      <c r="B1137" s="29"/>
      <c r="C1137" s="30" t="str">
        <f>IFERROR(_xlfn.XLOOKUP(B1137,Equipo[DESCRIPCION],Equipo[UND],,0),"")</f>
        <v/>
      </c>
      <c r="D1137" s="31"/>
      <c r="E1137" s="32" t="str">
        <f>IF(C1137="%MO",G1141,IFERROR(_xlfn.XLOOKUP($B1137,Equipo[DESCRIPCION],Equipo[VALOR],,0),""))</f>
        <v/>
      </c>
      <c r="F1137" s="33"/>
      <c r="G1137" s="34" t="str">
        <f>IFERROR(IF(F1137&gt;=0,D1137*E1137*(1+F1137/100),ABS(D1137*E1137/F1137)),"")</f>
        <v/>
      </c>
      <c r="H1137" s="43" t="str">
        <f>IFERROR(G1137*E1126,"")</f>
        <v/>
      </c>
    </row>
    <row r="1138" spans="1:10" ht="12.75" customHeight="1">
      <c r="A1138" s="21"/>
      <c r="B1138" s="22" t="s">
        <v>2533</v>
      </c>
      <c r="C1138" s="23"/>
      <c r="D1138" s="24"/>
      <c r="E1138" s="25"/>
      <c r="F1138" s="26"/>
      <c r="G1138" s="27">
        <f>SUM(G1139:G1140)</f>
        <v>0</v>
      </c>
      <c r="H1138" s="44">
        <f>G1138*E1126</f>
        <v>0</v>
      </c>
    </row>
    <row r="1139" spans="1:10" ht="12.75" customHeight="1">
      <c r="A1139" s="28"/>
      <c r="B1139" s="29"/>
      <c r="C1139" s="30" t="str">
        <f>IFERROR(_xlfn.XLOOKUP(B1139,Transporte[DESCRIPCION],Transporte[UND],,0),"")</f>
        <v/>
      </c>
      <c r="D1139" s="31"/>
      <c r="E1139" s="32" t="str">
        <f>IFERROR(_xlfn.XLOOKUP($B1139,Transporte[DESCRIPCION],Transporte[VALOR],,0),"")</f>
        <v/>
      </c>
      <c r="F1139" s="33"/>
      <c r="G1139" s="34" t="str">
        <f>IFERROR(IF(F1139&gt;=0,D1139*E1139*(1+F1139/100),ABS(D1139*E1139/F1139)),"")</f>
        <v/>
      </c>
      <c r="H1139" s="43" t="str">
        <f>IFERROR(G1139*E1126,"")</f>
        <v/>
      </c>
    </row>
    <row r="1140" spans="1:10" ht="12.75" customHeight="1">
      <c r="A1140" s="28"/>
      <c r="B1140" s="29"/>
      <c r="C1140" s="30" t="str">
        <f>IFERROR(_xlfn.XLOOKUP(B1140,Transporte[DESCRIPCION],Transporte[UND],,0),"")</f>
        <v/>
      </c>
      <c r="D1140" s="31"/>
      <c r="E1140" s="32" t="str">
        <f>IFERROR(_xlfn.XLOOKUP($B1140,Transporte[DESCRIPCION],Transporte[VALOR],,0),"")</f>
        <v/>
      </c>
      <c r="F1140" s="33"/>
      <c r="G1140" s="34" t="str">
        <f>IFERROR(IF(F1140&gt;=0,D1140*E1140*(1+F1140/100),ABS(D1140*E1140/F1140)),"")</f>
        <v/>
      </c>
      <c r="H1140" s="43" t="str">
        <f>IFERROR(G1140*E1126,"")</f>
        <v/>
      </c>
    </row>
    <row r="1141" spans="1:10" ht="12.75" customHeight="1">
      <c r="A1141" s="21"/>
      <c r="B1141" s="22" t="s">
        <v>3732</v>
      </c>
      <c r="C1141" s="23"/>
      <c r="D1141" s="24"/>
      <c r="E1141" s="25"/>
      <c r="F1141" s="26"/>
      <c r="G1141" s="27">
        <f>SUM(G1142:G1144)</f>
        <v>6849.4716970588252</v>
      </c>
      <c r="H1141" s="44">
        <f>G1141*E1126</f>
        <v>0</v>
      </c>
    </row>
    <row r="1142" spans="1:10" ht="12.75" customHeight="1">
      <c r="A1142" s="28"/>
      <c r="B1142" s="29" t="s">
        <v>3698</v>
      </c>
      <c r="C1142" s="30" t="str">
        <f>IFERROR(_xlfn.XLOOKUP(B1142,MObra[DESCRIPCION],MObra[UN],,0),"")</f>
        <v>día</v>
      </c>
      <c r="D1142" s="31">
        <v>1</v>
      </c>
      <c r="E1142" s="32">
        <f>IFERROR(_xlfn.XLOOKUP($B1142,MObra[DESCRIPCION],MObra[VALOR UNIT],,0),"")</f>
        <v>116441.01885000002</v>
      </c>
      <c r="F1142" s="33">
        <v>-17</v>
      </c>
      <c r="G1142" s="34">
        <f>IFERROR(IF(F1142&gt;=0,D1142*E1142*(1+F1142/100),ABS(D1142*E1142/F1142)),"")</f>
        <v>6849.4716970588252</v>
      </c>
      <c r="H1142" s="43">
        <f>IFERROR(G1142*E1126,"")</f>
        <v>0</v>
      </c>
    </row>
    <row r="1143" spans="1:10" ht="12.75" customHeight="1">
      <c r="A1143" s="28"/>
      <c r="B1143" s="29"/>
      <c r="C1143" s="30" t="str">
        <f t="array" ref="C1143">IFERROR(_xlfn.XLOOKUP(B1143,MObra[[#All],[DESCRIPCION]],MObra[[#All],[UN]],,0),"")</f>
        <v/>
      </c>
      <c r="D1143" s="31"/>
      <c r="E1143" s="32" t="str">
        <f>IFERROR(_xlfn.XLOOKUP($B1143,MObra[DESCRIPCION],MObra[VALOR UNIT],,0),"")</f>
        <v/>
      </c>
      <c r="F1143" s="33"/>
      <c r="G1143" s="34" t="str">
        <f>IFERROR(IF(F1143&gt;=0,D1143*E1143*(1+F1143/100),ABS(D1143*E1143/F1143)),"")</f>
        <v/>
      </c>
      <c r="H1143" s="43" t="str">
        <f>IFERROR(G1143*E1126,"")</f>
        <v/>
      </c>
    </row>
    <row r="1144" spans="1:10" ht="12.75" customHeight="1" thickBot="1">
      <c r="A1144" s="35"/>
      <c r="B1144" s="36"/>
      <c r="C1144" s="37" t="str">
        <f t="array" ref="C1144">IFERROR(_xlfn.XLOOKUP(B1144,MObra[[#All],[DESCRIPCION]],MObra[[#All],[UN]],,0),"")</f>
        <v/>
      </c>
      <c r="D1144" s="38"/>
      <c r="E1144" s="39" t="str">
        <f>IFERROR(_xlfn.XLOOKUP($B1144,MObra[DESCRIPCION],MObra[VALOR UNIT],,0),"")</f>
        <v/>
      </c>
      <c r="F1144" s="40"/>
      <c r="G1144" s="41" t="str">
        <f>IFERROR(IF(F1144&gt;=0,D1144*E1144*(1+F1144/100),ABS(D1144*E1144/F1144)),"")</f>
        <v/>
      </c>
      <c r="H1144" s="42" t="str">
        <f>IFERROR(G1144*E1126,"")</f>
        <v/>
      </c>
    </row>
    <row r="1145" spans="1:10" ht="12.75" customHeight="1" thickTop="1" thickBot="1">
      <c r="E1145" s="49"/>
      <c r="G1145" s="3"/>
    </row>
    <row r="1146" spans="1:10" ht="12.75" customHeight="1" thickTop="1" thickBot="1">
      <c r="A1146" s="6" t="s">
        <v>134</v>
      </c>
      <c r="B1146" s="7" t="str">
        <f>VLOOKUP($A1146,Presupuesto!$A:$D,2,FALSE())</f>
        <v>Demolición muros Dry Wall</v>
      </c>
      <c r="C1146" s="8" t="str">
        <f>VLOOKUP($A1146,Presupuesto!$A:$D,3,FALSE())</f>
        <v>M2</v>
      </c>
      <c r="D1146" s="9"/>
      <c r="E1146" s="10">
        <f>VLOOKUP($A1146,Presupuesto!$A:$D,4,FALSE())</f>
        <v>0</v>
      </c>
      <c r="F1146" s="11" t="s">
        <v>2589</v>
      </c>
      <c r="G1146" s="12">
        <f>SUM(G1148:G1164)/2</f>
        <v>9431.7225268500006</v>
      </c>
      <c r="H1146" s="13">
        <f>ROUND(SUM(H1148:H1164),0)/2</f>
        <v>0</v>
      </c>
      <c r="I1146" s="10">
        <f>VLOOKUP(A1146,Presupuesto!$A:$F,6,0)</f>
        <v>0</v>
      </c>
      <c r="J1146" s="10">
        <f>+H1146-I1146</f>
        <v>0</v>
      </c>
    </row>
    <row r="1147" spans="1:10" ht="12.75" customHeight="1" thickTop="1">
      <c r="A1147" s="14"/>
      <c r="B1147" s="15" t="s">
        <v>2586</v>
      </c>
      <c r="C1147" s="15" t="s">
        <v>5</v>
      </c>
      <c r="D1147" s="16" t="s">
        <v>6</v>
      </c>
      <c r="E1147" s="17" t="s">
        <v>7</v>
      </c>
      <c r="F1147" s="18" t="s">
        <v>3728</v>
      </c>
      <c r="G1147" s="19" t="s">
        <v>3729</v>
      </c>
      <c r="H1147" s="20" t="s">
        <v>3797</v>
      </c>
    </row>
    <row r="1148" spans="1:10" ht="12.75" customHeight="1">
      <c r="A1148" s="21"/>
      <c r="B1148" s="22" t="s">
        <v>3730</v>
      </c>
      <c r="C1148" s="23"/>
      <c r="D1148" s="24"/>
      <c r="E1148" s="25"/>
      <c r="F1148" s="26"/>
      <c r="G1148" s="27">
        <f>SUM(G1149:G1153)</f>
        <v>0</v>
      </c>
      <c r="H1148" s="27">
        <f>IFERROR(G1148*E1146,"")</f>
        <v>0</v>
      </c>
    </row>
    <row r="1149" spans="1:10" ht="12.75" customHeight="1">
      <c r="A1149" s="28"/>
      <c r="B1149" s="29"/>
      <c r="C1149" s="30" t="str">
        <f>IFERROR(_xlfn.XLOOKUP(B1149,Insumo[DESCRIPCION],Insumo[UND],,0),"")</f>
        <v/>
      </c>
      <c r="D1149" s="31"/>
      <c r="E1149" s="32" t="str">
        <f>IFERROR(_xlfn.XLOOKUP($B1149,Insumo[DESCRIPCION],Insumo[VALOR],,0),"")</f>
        <v/>
      </c>
      <c r="F1149" s="33"/>
      <c r="G1149" s="34" t="str">
        <f>IFERROR(IF(F1149&gt;=0,D1149*E1149*(1+F1149/100),ABS(D1149*E1149/F1149)),"")</f>
        <v/>
      </c>
      <c r="H1149" s="43" t="str">
        <f>IFERROR(G1149*E1146,"")</f>
        <v/>
      </c>
    </row>
    <row r="1150" spans="1:10" ht="12.75" customHeight="1">
      <c r="A1150" s="28"/>
      <c r="B1150" s="29"/>
      <c r="C1150" s="30" t="str">
        <f>IFERROR(_xlfn.XLOOKUP(B1150,Insumo[DESCRIPCION],Insumo[UND],,0),"")</f>
        <v/>
      </c>
      <c r="D1150" s="31"/>
      <c r="E1150" s="32" t="str">
        <f>IFERROR(_xlfn.XLOOKUP($B1150,Insumo[DESCRIPCION],Insumo[VALOR],,0),"")</f>
        <v/>
      </c>
      <c r="F1150" s="33"/>
      <c r="G1150" s="34" t="str">
        <f>IFERROR(IF(F1150&gt;=0,D1150*E1150*(1+F1150/100),ABS(D1150*E1150/F1150)),"")</f>
        <v/>
      </c>
      <c r="H1150" s="43" t="str">
        <f>IFERROR(G1150*E1146,"")</f>
        <v/>
      </c>
    </row>
    <row r="1151" spans="1:10" ht="12.75" customHeight="1">
      <c r="A1151" s="28"/>
      <c r="B1151" s="29"/>
      <c r="C1151" s="30" t="str">
        <f>IFERROR(_xlfn.XLOOKUP(B1151,Insumo[DESCRIPCION],Insumo[UND],,0),"")</f>
        <v/>
      </c>
      <c r="D1151" s="31"/>
      <c r="E1151" s="32" t="str">
        <f>IFERROR(_xlfn.XLOOKUP($B1151,Insumo[DESCRIPCION],Insumo[VALOR],,0),"")</f>
        <v/>
      </c>
      <c r="F1151" s="33"/>
      <c r="G1151" s="34" t="str">
        <f>IFERROR(IF(F1151&gt;=0,D1151*E1151*(1+F1151/100),ABS(D1151*E1151/F1151)),"")</f>
        <v/>
      </c>
      <c r="H1151" s="43" t="str">
        <f>IFERROR(G1151*E1146,"")</f>
        <v/>
      </c>
    </row>
    <row r="1152" spans="1:10" ht="12.75" customHeight="1">
      <c r="A1152" s="28"/>
      <c r="B1152" s="29"/>
      <c r="C1152" s="30" t="str">
        <f>IFERROR(_xlfn.XLOOKUP(B1152,Insumo[DESCRIPCION],Insumo[UND],,0),"")</f>
        <v/>
      </c>
      <c r="D1152" s="31"/>
      <c r="E1152" s="32" t="str">
        <f>IFERROR(_xlfn.XLOOKUP($B1152,Insumo[DESCRIPCION],Insumo[VALOR],,0),"")</f>
        <v/>
      </c>
      <c r="F1152" s="33"/>
      <c r="G1152" s="34" t="str">
        <f>IFERROR(IF(F1152&gt;=0,D1152*E1152*(1+F1152/100),ABS(D1152*E1152/F1152)),"")</f>
        <v/>
      </c>
      <c r="H1152" s="43" t="str">
        <f>IFERROR(G1152*E1146,"")</f>
        <v/>
      </c>
    </row>
    <row r="1153" spans="1:10" ht="12.75" customHeight="1">
      <c r="A1153" s="28"/>
      <c r="B1153" s="29"/>
      <c r="C1153" s="30" t="str">
        <f>IFERROR(_xlfn.XLOOKUP(B1153,Insumo[DESCRIPCION],Insumo[UND],,0),"")</f>
        <v/>
      </c>
      <c r="D1153" s="31"/>
      <c r="E1153" s="32" t="str">
        <f>IFERROR(_xlfn.XLOOKUP($B1153,Insumo[DESCRIPCION],Insumo[VALOR],,0),"")</f>
        <v/>
      </c>
      <c r="F1153" s="33"/>
      <c r="G1153" s="34" t="str">
        <f>IFERROR(IF(F1153&gt;=0,D1153*E1153*(1+F1153/100),ABS(D1153*E1153/F1153)),"")</f>
        <v/>
      </c>
      <c r="H1153" s="43" t="str">
        <f>IFERROR(G1153*E1146,"")</f>
        <v/>
      </c>
    </row>
    <row r="1154" spans="1:10" ht="12.75" customHeight="1">
      <c r="A1154" s="21"/>
      <c r="B1154" s="22" t="s">
        <v>3731</v>
      </c>
      <c r="C1154" s="23"/>
      <c r="D1154" s="24"/>
      <c r="E1154" s="25"/>
      <c r="F1154" s="26"/>
      <c r="G1154" s="27">
        <f>SUM(G1155:G1157)</f>
        <v>449.12964413571439</v>
      </c>
      <c r="H1154" s="44">
        <f>G1154*E1146</f>
        <v>0</v>
      </c>
    </row>
    <row r="1155" spans="1:10" ht="12.75" customHeight="1">
      <c r="A1155" s="28"/>
      <c r="B1155" s="29" t="s">
        <v>3626</v>
      </c>
      <c r="C1155" s="30" t="str">
        <f>IFERROR(_xlfn.XLOOKUP(B1155,Equipo[DESCRIPCION],Equipo[UND],,0),"")</f>
        <v>%MO</v>
      </c>
      <c r="D1155" s="31">
        <v>0.05</v>
      </c>
      <c r="E1155" s="32">
        <f>IF(C1155="%MO",G1161,IFERROR(_xlfn.XLOOKUP($B1155,Equipo[DESCRIPCION],Equipo[VALOR],,0),""))</f>
        <v>8982.592882714287</v>
      </c>
      <c r="F1155" s="33"/>
      <c r="G1155" s="34">
        <f>IFERROR(IF(F1155&gt;=0,D1155*E1155*(1+F1155/100),ABS(D1155*E1155/F1155)),"")</f>
        <v>449.12964413571439</v>
      </c>
      <c r="H1155" s="43">
        <f>IFERROR(G1155*E1146,"")</f>
        <v>0</v>
      </c>
    </row>
    <row r="1156" spans="1:10" ht="12.75" customHeight="1">
      <c r="A1156" s="28"/>
      <c r="B1156" s="29"/>
      <c r="C1156" s="30" t="str">
        <f>IFERROR(_xlfn.XLOOKUP(B1156,Equipo[DESCRIPCION],Equipo[UND],,0),"")</f>
        <v/>
      </c>
      <c r="D1156" s="31"/>
      <c r="E1156" s="32" t="str">
        <f>IF(C1156="%MO",G1161,IFERROR(_xlfn.XLOOKUP($B1156,Equipo[DESCRIPCION],Equipo[VALOR],,0),""))</f>
        <v/>
      </c>
      <c r="F1156" s="33"/>
      <c r="G1156" s="34" t="str">
        <f>IFERROR(IF(F1156&gt;=0,D1156*E1156*(1+F1156/100),ABS(D1156*E1156/F1156)),"")</f>
        <v/>
      </c>
      <c r="H1156" s="43" t="str">
        <f>IFERROR(G1156*E1146,"")</f>
        <v/>
      </c>
    </row>
    <row r="1157" spans="1:10" ht="12.75" customHeight="1">
      <c r="A1157" s="28"/>
      <c r="B1157" s="29"/>
      <c r="C1157" s="30" t="str">
        <f>IFERROR(_xlfn.XLOOKUP(B1157,Equipo[DESCRIPCION],Equipo[UND],,0),"")</f>
        <v/>
      </c>
      <c r="D1157" s="31"/>
      <c r="E1157" s="32" t="str">
        <f>IF(C1157="%MO",G1161,IFERROR(_xlfn.XLOOKUP($B1157,Equipo[DESCRIPCION],Equipo[VALOR],,0),""))</f>
        <v/>
      </c>
      <c r="F1157" s="33"/>
      <c r="G1157" s="34" t="str">
        <f>IFERROR(IF(F1157&gt;=0,D1157*E1157*(1+F1157/100),ABS(D1157*E1157/F1157)),"")</f>
        <v/>
      </c>
      <c r="H1157" s="43" t="str">
        <f>IFERROR(G1157*E1146,"")</f>
        <v/>
      </c>
    </row>
    <row r="1158" spans="1:10" ht="12.75" customHeight="1">
      <c r="A1158" s="21"/>
      <c r="B1158" s="22" t="s">
        <v>2533</v>
      </c>
      <c r="C1158" s="23"/>
      <c r="D1158" s="24"/>
      <c r="E1158" s="25"/>
      <c r="F1158" s="26"/>
      <c r="G1158" s="27">
        <f>SUM(G1159:G1160)</f>
        <v>0</v>
      </c>
      <c r="H1158" s="44">
        <f>G1158*E1146</f>
        <v>0</v>
      </c>
    </row>
    <row r="1159" spans="1:10" ht="12.75" customHeight="1">
      <c r="A1159" s="28"/>
      <c r="B1159" s="29"/>
      <c r="C1159" s="30" t="str">
        <f>IFERROR(_xlfn.XLOOKUP(B1159,Transporte[DESCRIPCION],Transporte[UND],,0),"")</f>
        <v/>
      </c>
      <c r="D1159" s="31"/>
      <c r="E1159" s="32" t="str">
        <f>IFERROR(_xlfn.XLOOKUP($B1159,Transporte[DESCRIPCION],Transporte[VALOR],,0),"")</f>
        <v/>
      </c>
      <c r="F1159" s="33"/>
      <c r="G1159" s="34" t="str">
        <f>IFERROR(IF(F1159&gt;=0,D1159*E1159*(1+F1159/100),ABS(D1159*E1159/F1159)),"")</f>
        <v/>
      </c>
      <c r="H1159" s="43" t="str">
        <f>IFERROR(G1159*E1146,"")</f>
        <v/>
      </c>
    </row>
    <row r="1160" spans="1:10" ht="12.75" customHeight="1">
      <c r="A1160" s="28"/>
      <c r="B1160" s="29"/>
      <c r="C1160" s="30" t="str">
        <f>IFERROR(_xlfn.XLOOKUP(B1160,Transporte[DESCRIPCION],Transporte[UND],,0),"")</f>
        <v/>
      </c>
      <c r="D1160" s="31"/>
      <c r="E1160" s="32" t="str">
        <f>IFERROR(_xlfn.XLOOKUP($B1160,Transporte[DESCRIPCION],Transporte[VALOR],,0),"")</f>
        <v/>
      </c>
      <c r="F1160" s="33"/>
      <c r="G1160" s="34" t="str">
        <f>IFERROR(IF(F1160&gt;=0,D1160*E1160*(1+F1160/100),ABS(D1160*E1160/F1160)),"")</f>
        <v/>
      </c>
      <c r="H1160" s="43" t="str">
        <f>IFERROR(G1160*E1146,"")</f>
        <v/>
      </c>
    </row>
    <row r="1161" spans="1:10" ht="12.75" customHeight="1">
      <c r="A1161" s="21"/>
      <c r="B1161" s="22" t="s">
        <v>3732</v>
      </c>
      <c r="C1161" s="23"/>
      <c r="D1161" s="24"/>
      <c r="E1161" s="25"/>
      <c r="F1161" s="26"/>
      <c r="G1161" s="27">
        <f>SUM(G1162:G1164)</f>
        <v>8982.592882714287</v>
      </c>
      <c r="H1161" s="44">
        <f>G1161*E1146</f>
        <v>0</v>
      </c>
    </row>
    <row r="1162" spans="1:10" ht="12.75" customHeight="1">
      <c r="A1162" s="28"/>
      <c r="B1162" s="29" t="s">
        <v>3710</v>
      </c>
      <c r="C1162" s="30" t="str">
        <f>IFERROR(_xlfn.XLOOKUP(B1162,MObra[DESCRIPCION],MObra[UN],,0),"")</f>
        <v>día</v>
      </c>
      <c r="D1162" s="31">
        <v>1</v>
      </c>
      <c r="E1162" s="32">
        <f>IFERROR(_xlfn.XLOOKUP($B1162,MObra[DESCRIPCION],MObra[VALOR UNIT],,0),"")</f>
        <v>314390.75089500006</v>
      </c>
      <c r="F1162" s="33">
        <v>-35</v>
      </c>
      <c r="G1162" s="34">
        <f>IFERROR(IF(F1162&gt;=0,D1162*E1162*(1+F1162/100),ABS(D1162*E1162/F1162)),"")</f>
        <v>8982.592882714287</v>
      </c>
      <c r="H1162" s="43">
        <f>IFERROR(G1162*E1146,"")</f>
        <v>0</v>
      </c>
    </row>
    <row r="1163" spans="1:10" ht="12.75" customHeight="1">
      <c r="A1163" s="28"/>
      <c r="B1163" s="29"/>
      <c r="C1163" s="30" t="str">
        <f t="array" ref="C1163">IFERROR(_xlfn.XLOOKUP(B1163,MObra[[#All],[DESCRIPCION]],MObra[[#All],[UN]],,0),"")</f>
        <v/>
      </c>
      <c r="D1163" s="31"/>
      <c r="E1163" s="32" t="str">
        <f>IFERROR(_xlfn.XLOOKUP($B1163,MObra[DESCRIPCION],MObra[VALOR UNIT],,0),"")</f>
        <v/>
      </c>
      <c r="F1163" s="33"/>
      <c r="G1163" s="34" t="str">
        <f>IFERROR(IF(F1163&gt;=0,D1163*E1163*(1+F1163/100),ABS(D1163*E1163/F1163)),"")</f>
        <v/>
      </c>
      <c r="H1163" s="43" t="str">
        <f>IFERROR(G1163*E1146,"")</f>
        <v/>
      </c>
    </row>
    <row r="1164" spans="1:10" ht="12.75" customHeight="1" thickBot="1">
      <c r="A1164" s="35"/>
      <c r="B1164" s="36"/>
      <c r="C1164" s="37" t="str">
        <f t="array" ref="C1164">IFERROR(_xlfn.XLOOKUP(B1164,MObra[[#All],[DESCRIPCION]],MObra[[#All],[UN]],,0),"")</f>
        <v/>
      </c>
      <c r="D1164" s="38"/>
      <c r="E1164" s="39" t="str">
        <f>IFERROR(_xlfn.XLOOKUP($B1164,MObra[DESCRIPCION],MObra[VALOR UNIT],,0),"")</f>
        <v/>
      </c>
      <c r="F1164" s="40"/>
      <c r="G1164" s="41" t="str">
        <f>IFERROR(IF(F1164&gt;=0,D1164*E1164*(1+F1164/100),ABS(D1164*E1164/F1164)),"")</f>
        <v/>
      </c>
      <c r="H1164" s="42" t="str">
        <f>IFERROR(G1164*E1146,"")</f>
        <v/>
      </c>
    </row>
    <row r="1165" spans="1:10" ht="12.75" customHeight="1" thickTop="1" thickBot="1">
      <c r="E1165" s="49"/>
      <c r="G1165" s="3"/>
    </row>
    <row r="1166" spans="1:10" ht="12.75" customHeight="1" thickTop="1" thickBot="1">
      <c r="A1166" s="6" t="s">
        <v>136</v>
      </c>
      <c r="B1166" s="7" t="str">
        <f>VLOOKUP($A1166,Presupuesto!$A:$D,2,FALSE())</f>
        <v>Demolición muros pandereta manual</v>
      </c>
      <c r="C1166" s="8" t="str">
        <f>VLOOKUP($A1166,Presupuesto!$A:$D,3,FALSE())</f>
        <v>M2</v>
      </c>
      <c r="D1166" s="9"/>
      <c r="E1166" s="10">
        <f>VLOOKUP($A1166,Presupuesto!$A:$D,4,FALSE())</f>
        <v>0</v>
      </c>
      <c r="F1166" s="11" t="s">
        <v>2589</v>
      </c>
      <c r="G1166" s="12">
        <f>SUM(G1168:G1184)/2</f>
        <v>9237.6541621000033</v>
      </c>
      <c r="H1166" s="13">
        <f>ROUND(SUM(H1168:H1184),0)/2</f>
        <v>0</v>
      </c>
      <c r="I1166" s="10">
        <f>VLOOKUP(A1166,Presupuesto!$A:$F,6,0)</f>
        <v>0</v>
      </c>
      <c r="J1166" s="10">
        <f>+H1166-I1166</f>
        <v>0</v>
      </c>
    </row>
    <row r="1167" spans="1:10" ht="12.75" customHeight="1" thickTop="1">
      <c r="A1167" s="14"/>
      <c r="B1167" s="15" t="s">
        <v>2586</v>
      </c>
      <c r="C1167" s="15" t="s">
        <v>5</v>
      </c>
      <c r="D1167" s="16" t="s">
        <v>6</v>
      </c>
      <c r="E1167" s="17" t="s">
        <v>7</v>
      </c>
      <c r="F1167" s="18" t="s">
        <v>3728</v>
      </c>
      <c r="G1167" s="19" t="s">
        <v>3729</v>
      </c>
      <c r="H1167" s="20" t="s">
        <v>3797</v>
      </c>
    </row>
    <row r="1168" spans="1:10" ht="12.75" customHeight="1">
      <c r="A1168" s="21"/>
      <c r="B1168" s="22" t="s">
        <v>3730</v>
      </c>
      <c r="C1168" s="23"/>
      <c r="D1168" s="24"/>
      <c r="E1168" s="25"/>
      <c r="F1168" s="26"/>
      <c r="G1168" s="27">
        <f>SUM(G1169:G1173)</f>
        <v>0</v>
      </c>
      <c r="H1168" s="27">
        <f>IFERROR(G1168*E1166,"")</f>
        <v>0</v>
      </c>
    </row>
    <row r="1169" spans="1:8" ht="12.75" customHeight="1">
      <c r="A1169" s="28"/>
      <c r="B1169" s="29"/>
      <c r="C1169" s="30" t="str">
        <f>IFERROR(_xlfn.XLOOKUP(B1169,Insumo[DESCRIPCION],Insumo[UND],,0),"")</f>
        <v/>
      </c>
      <c r="D1169" s="31"/>
      <c r="E1169" s="32" t="str">
        <f>IFERROR(_xlfn.XLOOKUP($B1169,Insumo[DESCRIPCION],Insumo[VALOR],,0),"")</f>
        <v/>
      </c>
      <c r="F1169" s="33"/>
      <c r="G1169" s="34" t="str">
        <f>IFERROR(IF(F1169&gt;=0,D1169*E1169*(1+F1169/100),ABS(D1169*E1169/F1169)),"")</f>
        <v/>
      </c>
      <c r="H1169" s="43" t="str">
        <f>IFERROR(G1169*E1166,"")</f>
        <v/>
      </c>
    </row>
    <row r="1170" spans="1:8" ht="12.75" customHeight="1">
      <c r="A1170" s="28"/>
      <c r="B1170" s="29"/>
      <c r="C1170" s="30" t="str">
        <f>IFERROR(_xlfn.XLOOKUP(B1170,Insumo[DESCRIPCION],Insumo[UND],,0),"")</f>
        <v/>
      </c>
      <c r="D1170" s="31"/>
      <c r="E1170" s="32" t="str">
        <f>IFERROR(_xlfn.XLOOKUP($B1170,Insumo[DESCRIPCION],Insumo[VALOR],,0),"")</f>
        <v/>
      </c>
      <c r="F1170" s="33"/>
      <c r="G1170" s="34" t="str">
        <f>IFERROR(IF(F1170&gt;=0,D1170*E1170*(1+F1170/100),ABS(D1170*E1170/F1170)),"")</f>
        <v/>
      </c>
      <c r="H1170" s="43" t="str">
        <f>IFERROR(G1170*E1166,"")</f>
        <v/>
      </c>
    </row>
    <row r="1171" spans="1:8" ht="12.75" customHeight="1">
      <c r="A1171" s="28"/>
      <c r="B1171" s="29"/>
      <c r="C1171" s="30" t="str">
        <f>IFERROR(_xlfn.XLOOKUP(B1171,Insumo[DESCRIPCION],Insumo[UND],,0),"")</f>
        <v/>
      </c>
      <c r="D1171" s="31"/>
      <c r="E1171" s="32" t="str">
        <f>IFERROR(_xlfn.XLOOKUP($B1171,Insumo[DESCRIPCION],Insumo[VALOR],,0),"")</f>
        <v/>
      </c>
      <c r="F1171" s="33"/>
      <c r="G1171" s="34" t="str">
        <f>IFERROR(IF(F1171&gt;=0,D1171*E1171*(1+F1171/100),ABS(D1171*E1171/F1171)),"")</f>
        <v/>
      </c>
      <c r="H1171" s="43" t="str">
        <f>IFERROR(G1171*E1166,"")</f>
        <v/>
      </c>
    </row>
    <row r="1172" spans="1:8" ht="12.75" customHeight="1">
      <c r="A1172" s="28"/>
      <c r="B1172" s="29"/>
      <c r="C1172" s="30" t="str">
        <f>IFERROR(_xlfn.XLOOKUP(B1172,Insumo[DESCRIPCION],Insumo[UND],,0),"")</f>
        <v/>
      </c>
      <c r="D1172" s="31"/>
      <c r="E1172" s="32" t="str">
        <f>IFERROR(_xlfn.XLOOKUP($B1172,Insumo[DESCRIPCION],Insumo[VALOR],,0),"")</f>
        <v/>
      </c>
      <c r="F1172" s="33"/>
      <c r="G1172" s="34" t="str">
        <f>IFERROR(IF(F1172&gt;=0,D1172*E1172*(1+F1172/100),ABS(D1172*E1172/F1172)),"")</f>
        <v/>
      </c>
      <c r="H1172" s="43" t="str">
        <f>IFERROR(G1172*E1166,"")</f>
        <v/>
      </c>
    </row>
    <row r="1173" spans="1:8" ht="12.75" customHeight="1">
      <c r="A1173" s="28"/>
      <c r="B1173" s="29"/>
      <c r="C1173" s="30" t="str">
        <f>IFERROR(_xlfn.XLOOKUP(B1173,Insumo[DESCRIPCION],Insumo[UND],,0),"")</f>
        <v/>
      </c>
      <c r="D1173" s="31"/>
      <c r="E1173" s="32" t="str">
        <f>IFERROR(_xlfn.XLOOKUP($B1173,Insumo[DESCRIPCION],Insumo[VALOR],,0),"")</f>
        <v/>
      </c>
      <c r="F1173" s="33"/>
      <c r="G1173" s="34" t="str">
        <f>IFERROR(IF(F1173&gt;=0,D1173*E1173*(1+F1173/100),ABS(D1173*E1173/F1173)),"")</f>
        <v/>
      </c>
      <c r="H1173" s="43" t="str">
        <f>IFERROR(G1173*E1166,"")</f>
        <v/>
      </c>
    </row>
    <row r="1174" spans="1:8" ht="12.75" customHeight="1">
      <c r="A1174" s="21"/>
      <c r="B1174" s="22" t="s">
        <v>3731</v>
      </c>
      <c r="C1174" s="23"/>
      <c r="D1174" s="24"/>
      <c r="E1174" s="25"/>
      <c r="F1174" s="26"/>
      <c r="G1174" s="27">
        <f>SUM(G1175:G1177)</f>
        <v>1474.9195721000006</v>
      </c>
      <c r="H1174" s="44">
        <f>G1174*E1166</f>
        <v>0</v>
      </c>
    </row>
    <row r="1175" spans="1:8" ht="12.75" customHeight="1">
      <c r="A1175" s="28"/>
      <c r="B1175" s="29" t="s">
        <v>3573</v>
      </c>
      <c r="C1175" s="30" t="str">
        <f>IFERROR(_xlfn.XLOOKUP(B1175,Equipo[DESCRIPCION],Equipo[UND],,0),"")</f>
        <v>%MO</v>
      </c>
      <c r="D1175" s="31">
        <v>0.1</v>
      </c>
      <c r="E1175" s="32">
        <f>IF(C1175="%MO",G1181,IFERROR(_xlfn.XLOOKUP($B1175,Equipo[DESCRIPCION],Equipo[VALOR],,0),""))</f>
        <v>7762.7345900000018</v>
      </c>
      <c r="F1175" s="33"/>
      <c r="G1175" s="34">
        <f>IFERROR(IF(F1175&gt;=0,D1175*E1175*(1+F1175/100),ABS(D1175*E1175/F1175)),"")</f>
        <v>776.27345900000023</v>
      </c>
      <c r="H1175" s="43">
        <f>IFERROR(G1175*E1166,"")</f>
        <v>0</v>
      </c>
    </row>
    <row r="1176" spans="1:8" ht="12.75" customHeight="1">
      <c r="A1176" s="28"/>
      <c r="B1176" s="29" t="s">
        <v>3570</v>
      </c>
      <c r="C1176" s="30" t="str">
        <f>IFERROR(_xlfn.XLOOKUP(B1176,Equipo[DESCRIPCION],Equipo[UND],,0),"")</f>
        <v>%MO</v>
      </c>
      <c r="D1176" s="31">
        <v>0.04</v>
      </c>
      <c r="E1176" s="32">
        <f>IF(C1176="%MO",G1181,IFERROR(_xlfn.XLOOKUP($B1176,Equipo[DESCRIPCION],Equipo[VALOR],,0),""))</f>
        <v>7762.7345900000018</v>
      </c>
      <c r="F1176" s="33"/>
      <c r="G1176" s="34">
        <f>IFERROR(IF(F1176&gt;=0,D1176*E1176*(1+F1176/100),ABS(D1176*E1176/F1176)),"")</f>
        <v>310.50938360000009</v>
      </c>
      <c r="H1176" s="43">
        <f>IFERROR(G1176*E1166,"")</f>
        <v>0</v>
      </c>
    </row>
    <row r="1177" spans="1:8" ht="12.75" customHeight="1">
      <c r="A1177" s="28"/>
      <c r="B1177" s="29" t="s">
        <v>3626</v>
      </c>
      <c r="C1177" s="30" t="str">
        <f>IFERROR(_xlfn.XLOOKUP(B1177,Equipo[DESCRIPCION],Equipo[UND],,0),"")</f>
        <v>%MO</v>
      </c>
      <c r="D1177" s="31">
        <v>0.05</v>
      </c>
      <c r="E1177" s="32">
        <f>IF(C1177="%MO",G1181,IFERROR(_xlfn.XLOOKUP($B1177,Equipo[DESCRIPCION],Equipo[VALOR],,0),""))</f>
        <v>7762.7345900000018</v>
      </c>
      <c r="F1177" s="33"/>
      <c r="G1177" s="34">
        <f>IFERROR(IF(F1177&gt;=0,D1177*E1177*(1+F1177/100),ABS(D1177*E1177/F1177)),"")</f>
        <v>388.13672950000011</v>
      </c>
      <c r="H1177" s="43">
        <f>IFERROR(G1177*E1166,"")</f>
        <v>0</v>
      </c>
    </row>
    <row r="1178" spans="1:8" ht="12.75" customHeight="1">
      <c r="A1178" s="21"/>
      <c r="B1178" s="22" t="s">
        <v>2533</v>
      </c>
      <c r="C1178" s="23"/>
      <c r="D1178" s="24"/>
      <c r="E1178" s="25"/>
      <c r="F1178" s="26"/>
      <c r="G1178" s="27">
        <f>SUM(G1179:G1180)</f>
        <v>0</v>
      </c>
      <c r="H1178" s="44">
        <f>G1178*E1166</f>
        <v>0</v>
      </c>
    </row>
    <row r="1179" spans="1:8" ht="12.75" customHeight="1">
      <c r="A1179" s="28"/>
      <c r="B1179" s="29"/>
      <c r="C1179" s="30" t="str">
        <f>IFERROR(_xlfn.XLOOKUP(B1179,Transporte[DESCRIPCION],Transporte[UND],,0),"")</f>
        <v/>
      </c>
      <c r="D1179" s="31"/>
      <c r="E1179" s="32" t="str">
        <f>IFERROR(_xlfn.XLOOKUP($B1179,Transporte[DESCRIPCION],Transporte[VALOR],,0),"")</f>
        <v/>
      </c>
      <c r="F1179" s="33"/>
      <c r="G1179" s="34" t="str">
        <f>IFERROR(IF(F1179&gt;=0,D1179*E1179*(1+F1179/100),ABS(D1179*E1179/F1179)),"")</f>
        <v/>
      </c>
      <c r="H1179" s="43" t="str">
        <f>IFERROR(G1179*E1166,"")</f>
        <v/>
      </c>
    </row>
    <row r="1180" spans="1:8" ht="12.75" customHeight="1">
      <c r="A1180" s="28"/>
      <c r="B1180" s="29"/>
      <c r="C1180" s="30" t="str">
        <f>IFERROR(_xlfn.XLOOKUP(B1180,Transporte[DESCRIPCION],Transporte[UND],,0),"")</f>
        <v/>
      </c>
      <c r="D1180" s="31"/>
      <c r="E1180" s="32" t="str">
        <f>IFERROR(_xlfn.XLOOKUP($B1180,Transporte[DESCRIPCION],Transporte[VALOR],,0),"")</f>
        <v/>
      </c>
      <c r="F1180" s="33"/>
      <c r="G1180" s="34" t="str">
        <f>IFERROR(IF(F1180&gt;=0,D1180*E1180*(1+F1180/100),ABS(D1180*E1180/F1180)),"")</f>
        <v/>
      </c>
      <c r="H1180" s="43" t="str">
        <f>IFERROR(G1180*E1166,"")</f>
        <v/>
      </c>
    </row>
    <row r="1181" spans="1:8" ht="12.75" customHeight="1">
      <c r="A1181" s="21"/>
      <c r="B1181" s="22" t="s">
        <v>3732</v>
      </c>
      <c r="C1181" s="23"/>
      <c r="D1181" s="24"/>
      <c r="E1181" s="25"/>
      <c r="F1181" s="26"/>
      <c r="G1181" s="27">
        <f>SUM(G1182:G1184)</f>
        <v>7762.7345900000018</v>
      </c>
      <c r="H1181" s="44">
        <f>G1181*E1166</f>
        <v>0</v>
      </c>
    </row>
    <row r="1182" spans="1:8" ht="12.75" customHeight="1">
      <c r="A1182" s="28"/>
      <c r="B1182" s="29" t="s">
        <v>3723</v>
      </c>
      <c r="C1182" s="30" t="str">
        <f>IFERROR(_xlfn.XLOOKUP(B1182,MObra[DESCRIPCION],MObra[UN],,0),"")</f>
        <v>día</v>
      </c>
      <c r="D1182" s="31">
        <v>1</v>
      </c>
      <c r="E1182" s="32">
        <f>IFERROR(_xlfn.XLOOKUP($B1182,MObra[DESCRIPCION],MObra[VALOR UNIT],,0),"")</f>
        <v>465764.07540000009</v>
      </c>
      <c r="F1182" s="33">
        <v>-60</v>
      </c>
      <c r="G1182" s="34">
        <f>IFERROR(IF(F1182&gt;=0,D1182*E1182*(1+F1182/100),ABS(D1182*E1182/F1182)),"")</f>
        <v>7762.7345900000018</v>
      </c>
      <c r="H1182" s="43">
        <f>IFERROR(G1182*E1166,"")</f>
        <v>0</v>
      </c>
    </row>
    <row r="1183" spans="1:8" ht="12.75" customHeight="1">
      <c r="A1183" s="28"/>
      <c r="B1183" s="29"/>
      <c r="C1183" s="30" t="str">
        <f t="array" ref="C1183">IFERROR(_xlfn.XLOOKUP(B1183,MObra[[#All],[DESCRIPCION]],MObra[[#All],[UN]],,0),"")</f>
        <v/>
      </c>
      <c r="D1183" s="31"/>
      <c r="E1183" s="32" t="str">
        <f>IFERROR(_xlfn.XLOOKUP($B1183,MObra[DESCRIPCION],MObra[VALOR UNIT],,0),"")</f>
        <v/>
      </c>
      <c r="F1183" s="33"/>
      <c r="G1183" s="34" t="str">
        <f>IFERROR(IF(F1183&gt;=0,D1183*E1183*(1+F1183/100),ABS(D1183*E1183/F1183)),"")</f>
        <v/>
      </c>
      <c r="H1183" s="43" t="str">
        <f>IFERROR(G1183*E1166,"")</f>
        <v/>
      </c>
    </row>
    <row r="1184" spans="1:8" ht="12.75" customHeight="1" thickBot="1">
      <c r="A1184" s="35"/>
      <c r="B1184" s="36"/>
      <c r="C1184" s="37" t="str">
        <f t="array" ref="C1184">IFERROR(_xlfn.XLOOKUP(B1184,MObra[[#All],[DESCRIPCION]],MObra[[#All],[UN]],,0),"")</f>
        <v/>
      </c>
      <c r="D1184" s="38"/>
      <c r="E1184" s="39" t="str">
        <f>IFERROR(_xlfn.XLOOKUP($B1184,MObra[DESCRIPCION],MObra[VALOR UNIT],,0),"")</f>
        <v/>
      </c>
      <c r="F1184" s="40"/>
      <c r="G1184" s="41" t="str">
        <f>IFERROR(IF(F1184&gt;=0,D1184*E1184*(1+F1184/100),ABS(D1184*E1184/F1184)),"")</f>
        <v/>
      </c>
      <c r="H1184" s="42" t="str">
        <f>IFERROR(G1184*E1166,"")</f>
        <v/>
      </c>
    </row>
    <row r="1185" spans="1:10" ht="12.75" customHeight="1" thickTop="1" thickBot="1">
      <c r="E1185" s="49"/>
      <c r="G1185" s="3"/>
    </row>
    <row r="1186" spans="1:10" ht="12.75" customHeight="1" thickTop="1" thickBot="1">
      <c r="A1186" s="6" t="s">
        <v>138</v>
      </c>
      <c r="B1186" s="7" t="str">
        <f>VLOOKUP($A1186,Presupuesto!$A:$D,2,FALSE())</f>
        <v>Demolición muros soga manual</v>
      </c>
      <c r="C1186" s="8" t="str">
        <f>VLOOKUP($A1186,Presupuesto!$A:$D,3,FALSE())</f>
        <v>M2</v>
      </c>
      <c r="D1186" s="9"/>
      <c r="E1186" s="10">
        <f>VLOOKUP($A1186,Presupuesto!$A:$D,4,FALSE())</f>
        <v>0</v>
      </c>
      <c r="F1186" s="11" t="s">
        <v>2589</v>
      </c>
      <c r="G1186" s="12">
        <f>SUM(G1188:G1204)/2</f>
        <v>11085.184994520001</v>
      </c>
      <c r="H1186" s="13">
        <f>ROUND(SUM(H1188:H1204),0)/2</f>
        <v>0</v>
      </c>
      <c r="I1186" s="10">
        <f>VLOOKUP(A1186,Presupuesto!$A:$F,6,0)</f>
        <v>0</v>
      </c>
      <c r="J1186" s="10">
        <f>+H1186-I1186</f>
        <v>0</v>
      </c>
    </row>
    <row r="1187" spans="1:10" ht="12.75" customHeight="1" thickTop="1">
      <c r="A1187" s="14"/>
      <c r="B1187" s="15" t="s">
        <v>2586</v>
      </c>
      <c r="C1187" s="15" t="s">
        <v>5</v>
      </c>
      <c r="D1187" s="16" t="s">
        <v>6</v>
      </c>
      <c r="E1187" s="17" t="s">
        <v>7</v>
      </c>
      <c r="F1187" s="18" t="s">
        <v>3728</v>
      </c>
      <c r="G1187" s="19" t="s">
        <v>3729</v>
      </c>
      <c r="H1187" s="20" t="s">
        <v>3797</v>
      </c>
    </row>
    <row r="1188" spans="1:10" ht="12.75" customHeight="1">
      <c r="A1188" s="21"/>
      <c r="B1188" s="22" t="s">
        <v>3730</v>
      </c>
      <c r="C1188" s="23"/>
      <c r="D1188" s="24"/>
      <c r="E1188" s="25"/>
      <c r="F1188" s="26"/>
      <c r="G1188" s="27">
        <f>SUM(G1189:G1193)</f>
        <v>0</v>
      </c>
      <c r="H1188" s="27">
        <f>IFERROR(G1188*E1186,"")</f>
        <v>0</v>
      </c>
    </row>
    <row r="1189" spans="1:10" ht="12.75" customHeight="1">
      <c r="A1189" s="28"/>
      <c r="B1189" s="29"/>
      <c r="C1189" s="30" t="str">
        <f>IFERROR(_xlfn.XLOOKUP(B1189,Insumo[DESCRIPCION],Insumo[UND],,0),"")</f>
        <v/>
      </c>
      <c r="D1189" s="31"/>
      <c r="E1189" s="32" t="str">
        <f>IFERROR(_xlfn.XLOOKUP($B1189,Insumo[DESCRIPCION],Insumo[VALOR],,0),"")</f>
        <v/>
      </c>
      <c r="F1189" s="33"/>
      <c r="G1189" s="34" t="str">
        <f>IFERROR(IF(F1189&gt;=0,D1189*E1189*(1+F1189/100),ABS(D1189*E1189/F1189)),"")</f>
        <v/>
      </c>
      <c r="H1189" s="43" t="str">
        <f>IFERROR(G1189*E1186,"")</f>
        <v/>
      </c>
    </row>
    <row r="1190" spans="1:10" ht="12.75" customHeight="1">
      <c r="A1190" s="28"/>
      <c r="B1190" s="29"/>
      <c r="C1190" s="30" t="str">
        <f>IFERROR(_xlfn.XLOOKUP(B1190,Insumo[DESCRIPCION],Insumo[UND],,0),"")</f>
        <v/>
      </c>
      <c r="D1190" s="31"/>
      <c r="E1190" s="32" t="str">
        <f>IFERROR(_xlfn.XLOOKUP($B1190,Insumo[DESCRIPCION],Insumo[VALOR],,0),"")</f>
        <v/>
      </c>
      <c r="F1190" s="33"/>
      <c r="G1190" s="34" t="str">
        <f>IFERROR(IF(F1190&gt;=0,D1190*E1190*(1+F1190/100),ABS(D1190*E1190/F1190)),"")</f>
        <v/>
      </c>
      <c r="H1190" s="43" t="str">
        <f>IFERROR(G1190*E1186,"")</f>
        <v/>
      </c>
    </row>
    <row r="1191" spans="1:10" ht="12.75" customHeight="1">
      <c r="A1191" s="28"/>
      <c r="B1191" s="29"/>
      <c r="C1191" s="30" t="str">
        <f>IFERROR(_xlfn.XLOOKUP(B1191,Insumo[DESCRIPCION],Insumo[UND],,0),"")</f>
        <v/>
      </c>
      <c r="D1191" s="31"/>
      <c r="E1191" s="32" t="str">
        <f>IFERROR(_xlfn.XLOOKUP($B1191,Insumo[DESCRIPCION],Insumo[VALOR],,0),"")</f>
        <v/>
      </c>
      <c r="F1191" s="33"/>
      <c r="G1191" s="34" t="str">
        <f>IFERROR(IF(F1191&gt;=0,D1191*E1191*(1+F1191/100),ABS(D1191*E1191/F1191)),"")</f>
        <v/>
      </c>
      <c r="H1191" s="43" t="str">
        <f>IFERROR(G1191*E1186,"")</f>
        <v/>
      </c>
    </row>
    <row r="1192" spans="1:10" ht="12.75" customHeight="1">
      <c r="A1192" s="28"/>
      <c r="B1192" s="29"/>
      <c r="C1192" s="30" t="str">
        <f>IFERROR(_xlfn.XLOOKUP(B1192,Insumo[DESCRIPCION],Insumo[UND],,0),"")</f>
        <v/>
      </c>
      <c r="D1192" s="31"/>
      <c r="E1192" s="32" t="str">
        <f>IFERROR(_xlfn.XLOOKUP($B1192,Insumo[DESCRIPCION],Insumo[VALOR],,0),"")</f>
        <v/>
      </c>
      <c r="F1192" s="33"/>
      <c r="G1192" s="34" t="str">
        <f>IFERROR(IF(F1192&gt;=0,D1192*E1192*(1+F1192/100),ABS(D1192*E1192/F1192)),"")</f>
        <v/>
      </c>
      <c r="H1192" s="43" t="str">
        <f>IFERROR(G1192*E1186,"")</f>
        <v/>
      </c>
    </row>
    <row r="1193" spans="1:10" ht="12.75" customHeight="1">
      <c r="A1193" s="28"/>
      <c r="B1193" s="29"/>
      <c r="C1193" s="30" t="str">
        <f>IFERROR(_xlfn.XLOOKUP(B1193,Insumo[DESCRIPCION],Insumo[UND],,0),"")</f>
        <v/>
      </c>
      <c r="D1193" s="31"/>
      <c r="E1193" s="32" t="str">
        <f>IFERROR(_xlfn.XLOOKUP($B1193,Insumo[DESCRIPCION],Insumo[VALOR],,0),"")</f>
        <v/>
      </c>
      <c r="F1193" s="33"/>
      <c r="G1193" s="34" t="str">
        <f>IFERROR(IF(F1193&gt;=0,D1193*E1193*(1+F1193/100),ABS(D1193*E1193/F1193)),"")</f>
        <v/>
      </c>
      <c r="H1193" s="43" t="str">
        <f>IFERROR(G1193*E1186,"")</f>
        <v/>
      </c>
    </row>
    <row r="1194" spans="1:10" ht="12.75" customHeight="1">
      <c r="A1194" s="21"/>
      <c r="B1194" s="22" t="s">
        <v>3731</v>
      </c>
      <c r="C1194" s="23"/>
      <c r="D1194" s="24"/>
      <c r="E1194" s="25"/>
      <c r="F1194" s="26"/>
      <c r="G1194" s="27">
        <f>SUM(G1195:G1197)</f>
        <v>1769.9034865200006</v>
      </c>
      <c r="H1194" s="44">
        <f>G1194*E1186</f>
        <v>0</v>
      </c>
    </row>
    <row r="1195" spans="1:10" ht="12.75" customHeight="1">
      <c r="A1195" s="28"/>
      <c r="B1195" s="29" t="s">
        <v>3573</v>
      </c>
      <c r="C1195" s="30" t="str">
        <f>IFERROR(_xlfn.XLOOKUP(B1195,Equipo[DESCRIPCION],Equipo[UND],,0),"")</f>
        <v>%MO</v>
      </c>
      <c r="D1195" s="31">
        <v>0.1</v>
      </c>
      <c r="E1195" s="32">
        <f>IF(C1195="%MO",G1201,IFERROR(_xlfn.XLOOKUP($B1195,Equipo[DESCRIPCION],Equipo[VALOR],,0),""))</f>
        <v>9315.2815080000018</v>
      </c>
      <c r="F1195" s="33"/>
      <c r="G1195" s="34">
        <f>IFERROR(IF(F1195&gt;=0,D1195*E1195*(1+F1195/100),ABS(D1195*E1195/F1195)),"")</f>
        <v>931.52815080000028</v>
      </c>
      <c r="H1195" s="43">
        <f>IFERROR(G1195*E1186,"")</f>
        <v>0</v>
      </c>
    </row>
    <row r="1196" spans="1:10" ht="12.75" customHeight="1">
      <c r="A1196" s="28"/>
      <c r="B1196" s="29" t="s">
        <v>3570</v>
      </c>
      <c r="C1196" s="30" t="str">
        <f>IFERROR(_xlfn.XLOOKUP(B1196,Equipo[DESCRIPCION],Equipo[UND],,0),"")</f>
        <v>%MO</v>
      </c>
      <c r="D1196" s="31">
        <v>0.04</v>
      </c>
      <c r="E1196" s="32">
        <f>IF(C1196="%MO",G1201,IFERROR(_xlfn.XLOOKUP($B1196,Equipo[DESCRIPCION],Equipo[VALOR],,0),""))</f>
        <v>9315.2815080000018</v>
      </c>
      <c r="F1196" s="33"/>
      <c r="G1196" s="34">
        <f>IFERROR(IF(F1196&gt;=0,D1196*E1196*(1+F1196/100),ABS(D1196*E1196/F1196)),"")</f>
        <v>372.6112603200001</v>
      </c>
      <c r="H1196" s="43">
        <f>IFERROR(G1196*E1186,"")</f>
        <v>0</v>
      </c>
    </row>
    <row r="1197" spans="1:10" ht="12.75" customHeight="1">
      <c r="A1197" s="28"/>
      <c r="B1197" s="29" t="s">
        <v>3626</v>
      </c>
      <c r="C1197" s="30" t="str">
        <f>IFERROR(_xlfn.XLOOKUP(B1197,Equipo[DESCRIPCION],Equipo[UND],,0),"")</f>
        <v>%MO</v>
      </c>
      <c r="D1197" s="31">
        <v>0.05</v>
      </c>
      <c r="E1197" s="32">
        <f>IF(C1197="%MO",G1201,IFERROR(_xlfn.XLOOKUP($B1197,Equipo[DESCRIPCION],Equipo[VALOR],,0),""))</f>
        <v>9315.2815080000018</v>
      </c>
      <c r="F1197" s="33"/>
      <c r="G1197" s="34">
        <f>IFERROR(IF(F1197&gt;=0,D1197*E1197*(1+F1197/100),ABS(D1197*E1197/F1197)),"")</f>
        <v>465.76407540000014</v>
      </c>
      <c r="H1197" s="43">
        <f>IFERROR(G1197*E1186,"")</f>
        <v>0</v>
      </c>
    </row>
    <row r="1198" spans="1:10" ht="12.75" customHeight="1">
      <c r="A1198" s="21"/>
      <c r="B1198" s="22" t="s">
        <v>2533</v>
      </c>
      <c r="C1198" s="23"/>
      <c r="D1198" s="24"/>
      <c r="E1198" s="25"/>
      <c r="F1198" s="26"/>
      <c r="G1198" s="27">
        <f>SUM(G1199:G1200)</f>
        <v>0</v>
      </c>
      <c r="H1198" s="44">
        <f>G1198*E1186</f>
        <v>0</v>
      </c>
    </row>
    <row r="1199" spans="1:10" ht="12.75" customHeight="1">
      <c r="A1199" s="28"/>
      <c r="B1199" s="29"/>
      <c r="C1199" s="30" t="str">
        <f>IFERROR(_xlfn.XLOOKUP(B1199,Transporte[DESCRIPCION],Transporte[UND],,0),"")</f>
        <v/>
      </c>
      <c r="D1199" s="31"/>
      <c r="E1199" s="32" t="str">
        <f>IFERROR(_xlfn.XLOOKUP($B1199,Transporte[DESCRIPCION],Transporte[VALOR],,0),"")</f>
        <v/>
      </c>
      <c r="F1199" s="33"/>
      <c r="G1199" s="34" t="str">
        <f>IFERROR(IF(F1199&gt;=0,D1199*E1199*(1+F1199/100),ABS(D1199*E1199/F1199)),"")</f>
        <v/>
      </c>
      <c r="H1199" s="43" t="str">
        <f>IFERROR(G1199*E1186,"")</f>
        <v/>
      </c>
    </row>
    <row r="1200" spans="1:10" ht="12.75" customHeight="1">
      <c r="A1200" s="28"/>
      <c r="B1200" s="29"/>
      <c r="C1200" s="30" t="str">
        <f>IFERROR(_xlfn.XLOOKUP(B1200,Transporte[DESCRIPCION],Transporte[UND],,0),"")</f>
        <v/>
      </c>
      <c r="D1200" s="31"/>
      <c r="E1200" s="32" t="str">
        <f>IFERROR(_xlfn.XLOOKUP($B1200,Transporte[DESCRIPCION],Transporte[VALOR],,0),"")</f>
        <v/>
      </c>
      <c r="F1200" s="33"/>
      <c r="G1200" s="34" t="str">
        <f>IFERROR(IF(F1200&gt;=0,D1200*E1200*(1+F1200/100),ABS(D1200*E1200/F1200)),"")</f>
        <v/>
      </c>
      <c r="H1200" s="43" t="str">
        <f>IFERROR(G1200*E1186,"")</f>
        <v/>
      </c>
    </row>
    <row r="1201" spans="1:10" ht="12.75" customHeight="1">
      <c r="A1201" s="21"/>
      <c r="B1201" s="22" t="s">
        <v>3732</v>
      </c>
      <c r="C1201" s="23"/>
      <c r="D1201" s="24"/>
      <c r="E1201" s="25"/>
      <c r="F1201" s="26"/>
      <c r="G1201" s="27">
        <f>SUM(G1202:G1204)</f>
        <v>9315.2815080000018</v>
      </c>
      <c r="H1201" s="44">
        <f>G1201*E1186</f>
        <v>0</v>
      </c>
    </row>
    <row r="1202" spans="1:10" ht="12.75" customHeight="1">
      <c r="A1202" s="28"/>
      <c r="B1202" s="29" t="s">
        <v>3723</v>
      </c>
      <c r="C1202" s="30" t="str">
        <f>IFERROR(_xlfn.XLOOKUP(B1202,MObra[DESCRIPCION],MObra[UN],,0),"")</f>
        <v>día</v>
      </c>
      <c r="D1202" s="31">
        <v>1</v>
      </c>
      <c r="E1202" s="32">
        <f>IFERROR(_xlfn.XLOOKUP($B1202,MObra[DESCRIPCION],MObra[VALOR UNIT],,0),"")</f>
        <v>465764.07540000009</v>
      </c>
      <c r="F1202" s="33">
        <v>-50</v>
      </c>
      <c r="G1202" s="34">
        <f>IFERROR(IF(F1202&gt;=0,D1202*E1202*(1+F1202/100),ABS(D1202*E1202/F1202)),"")</f>
        <v>9315.2815080000018</v>
      </c>
      <c r="H1202" s="43">
        <f>IFERROR(G1202*E1186,"")</f>
        <v>0</v>
      </c>
    </row>
    <row r="1203" spans="1:10" ht="12.75" customHeight="1">
      <c r="A1203" s="28"/>
      <c r="B1203" s="29"/>
      <c r="C1203" s="30" t="str">
        <f t="array" ref="C1203">IFERROR(_xlfn.XLOOKUP(B1203,MObra[[#All],[DESCRIPCION]],MObra[[#All],[UN]],,0),"")</f>
        <v/>
      </c>
      <c r="D1203" s="31"/>
      <c r="E1203" s="32" t="str">
        <f>IFERROR(_xlfn.XLOOKUP($B1203,MObra[DESCRIPCION],MObra[VALOR UNIT],,0),"")</f>
        <v/>
      </c>
      <c r="F1203" s="33"/>
      <c r="G1203" s="34" t="str">
        <f>IFERROR(IF(F1203&gt;=0,D1203*E1203*(1+F1203/100),ABS(D1203*E1203/F1203)),"")</f>
        <v/>
      </c>
      <c r="H1203" s="43" t="str">
        <f>IFERROR(G1203*E1186,"")</f>
        <v/>
      </c>
    </row>
    <row r="1204" spans="1:10" ht="12.75" customHeight="1" thickBot="1">
      <c r="A1204" s="35"/>
      <c r="B1204" s="36"/>
      <c r="C1204" s="37" t="str">
        <f t="array" ref="C1204">IFERROR(_xlfn.XLOOKUP(B1204,MObra[[#All],[DESCRIPCION]],MObra[[#All],[UN]],,0),"")</f>
        <v/>
      </c>
      <c r="D1204" s="38"/>
      <c r="E1204" s="39" t="str">
        <f>IFERROR(_xlfn.XLOOKUP($B1204,MObra[DESCRIPCION],MObra[VALOR UNIT],,0),"")</f>
        <v/>
      </c>
      <c r="F1204" s="40"/>
      <c r="G1204" s="41" t="str">
        <f>IFERROR(IF(F1204&gt;=0,D1204*E1204*(1+F1204/100),ABS(D1204*E1204/F1204)),"")</f>
        <v/>
      </c>
      <c r="H1204" s="42" t="str">
        <f>IFERROR(G1204*E1186,"")</f>
        <v/>
      </c>
    </row>
    <row r="1205" spans="1:10" ht="12.75" customHeight="1" thickTop="1" thickBot="1">
      <c r="E1205" s="49"/>
      <c r="G1205" s="3"/>
    </row>
    <row r="1206" spans="1:10" ht="12.75" customHeight="1" thickTop="1" thickBot="1">
      <c r="A1206" s="6" t="s">
        <v>140</v>
      </c>
      <c r="B1206" s="7" t="str">
        <f>VLOOKUP($A1206,Presupuesto!$A:$D,2,FALSE())</f>
        <v>Demolición pantallas reforzadas</v>
      </c>
      <c r="C1206" s="8" t="str">
        <f>VLOOKUP($A1206,Presupuesto!$A:$D,3,FALSE())</f>
        <v>M3</v>
      </c>
      <c r="D1206" s="9"/>
      <c r="E1206" s="10">
        <f>VLOOKUP($A1206,Presupuesto!$A:$D,4,FALSE())</f>
        <v>0</v>
      </c>
      <c r="F1206" s="11" t="s">
        <v>2589</v>
      </c>
      <c r="G1206" s="12">
        <f>SUM(G1208:G1224)/2</f>
        <v>273317.82898370008</v>
      </c>
      <c r="H1206" s="13">
        <f>ROUND(SUM(H1208:H1224),0)/2</f>
        <v>0</v>
      </c>
      <c r="I1206" s="10">
        <f>VLOOKUP(A1206,Presupuesto!$A:$F,6,0)</f>
        <v>0</v>
      </c>
      <c r="J1206" s="10">
        <f>+H1206-I1206</f>
        <v>0</v>
      </c>
    </row>
    <row r="1207" spans="1:10" ht="12.75" customHeight="1" thickTop="1">
      <c r="A1207" s="14"/>
      <c r="B1207" s="15" t="s">
        <v>2586</v>
      </c>
      <c r="C1207" s="15" t="s">
        <v>5</v>
      </c>
      <c r="D1207" s="16" t="s">
        <v>6</v>
      </c>
      <c r="E1207" s="17" t="s">
        <v>7</v>
      </c>
      <c r="F1207" s="18" t="s">
        <v>3728</v>
      </c>
      <c r="G1207" s="19" t="s">
        <v>3729</v>
      </c>
      <c r="H1207" s="20" t="s">
        <v>3797</v>
      </c>
    </row>
    <row r="1208" spans="1:10" ht="12.75" customHeight="1">
      <c r="A1208" s="21"/>
      <c r="B1208" s="22" t="s">
        <v>3730</v>
      </c>
      <c r="C1208" s="23"/>
      <c r="D1208" s="24"/>
      <c r="E1208" s="25"/>
      <c r="F1208" s="26"/>
      <c r="G1208" s="27">
        <f>SUM(G1209:G1213)</f>
        <v>0</v>
      </c>
      <c r="H1208" s="27">
        <f>IFERROR(G1208*E1206,"")</f>
        <v>0</v>
      </c>
    </row>
    <row r="1209" spans="1:10" ht="12.75" customHeight="1">
      <c r="A1209" s="28"/>
      <c r="B1209" s="29"/>
      <c r="C1209" s="30" t="str">
        <f>IFERROR(_xlfn.XLOOKUP(B1209,Insumo[DESCRIPCION],Insumo[UND],,0),"")</f>
        <v/>
      </c>
      <c r="D1209" s="31"/>
      <c r="E1209" s="32" t="str">
        <f>IFERROR(_xlfn.XLOOKUP($B1209,Insumo[DESCRIPCION],Insumo[VALOR],,0),"")</f>
        <v/>
      </c>
      <c r="F1209" s="33"/>
      <c r="G1209" s="34" t="str">
        <f>IFERROR(IF(F1209&gt;=0,D1209*E1209*(1+F1209/100),ABS(D1209*E1209/F1209)),"")</f>
        <v/>
      </c>
      <c r="H1209" s="43" t="str">
        <f>IFERROR(G1209*E1206,"")</f>
        <v/>
      </c>
    </row>
    <row r="1210" spans="1:10" ht="12.75" customHeight="1">
      <c r="A1210" s="28"/>
      <c r="B1210" s="29"/>
      <c r="C1210" s="30" t="str">
        <f>IFERROR(_xlfn.XLOOKUP(B1210,Insumo[DESCRIPCION],Insumo[UND],,0),"")</f>
        <v/>
      </c>
      <c r="D1210" s="31"/>
      <c r="E1210" s="32" t="str">
        <f>IFERROR(_xlfn.XLOOKUP($B1210,Insumo[DESCRIPCION],Insumo[VALOR],,0),"")</f>
        <v/>
      </c>
      <c r="F1210" s="33"/>
      <c r="G1210" s="34" t="str">
        <f>IFERROR(IF(F1210&gt;=0,D1210*E1210*(1+F1210/100),ABS(D1210*E1210/F1210)),"")</f>
        <v/>
      </c>
      <c r="H1210" s="43" t="str">
        <f>IFERROR(G1210*E1206,"")</f>
        <v/>
      </c>
    </row>
    <row r="1211" spans="1:10" ht="12.75" customHeight="1">
      <c r="A1211" s="28"/>
      <c r="B1211" s="29"/>
      <c r="C1211" s="30" t="str">
        <f>IFERROR(_xlfn.XLOOKUP(B1211,Insumo[DESCRIPCION],Insumo[UND],,0),"")</f>
        <v/>
      </c>
      <c r="D1211" s="31"/>
      <c r="E1211" s="32" t="str">
        <f>IFERROR(_xlfn.XLOOKUP($B1211,Insumo[DESCRIPCION],Insumo[VALOR],,0),"")</f>
        <v/>
      </c>
      <c r="F1211" s="33"/>
      <c r="G1211" s="34" t="str">
        <f>IFERROR(IF(F1211&gt;=0,D1211*E1211*(1+F1211/100),ABS(D1211*E1211/F1211)),"")</f>
        <v/>
      </c>
      <c r="H1211" s="43" t="str">
        <f>IFERROR(G1211*E1206,"")</f>
        <v/>
      </c>
    </row>
    <row r="1212" spans="1:10" ht="12.75" customHeight="1">
      <c r="A1212" s="28"/>
      <c r="B1212" s="29"/>
      <c r="C1212" s="30" t="str">
        <f>IFERROR(_xlfn.XLOOKUP(B1212,Insumo[DESCRIPCION],Insumo[UND],,0),"")</f>
        <v/>
      </c>
      <c r="D1212" s="31"/>
      <c r="E1212" s="32" t="str">
        <f>IFERROR(_xlfn.XLOOKUP($B1212,Insumo[DESCRIPCION],Insumo[VALOR],,0),"")</f>
        <v/>
      </c>
      <c r="F1212" s="33"/>
      <c r="G1212" s="34" t="str">
        <f>IFERROR(IF(F1212&gt;=0,D1212*E1212*(1+F1212/100),ABS(D1212*E1212/F1212)),"")</f>
        <v/>
      </c>
      <c r="H1212" s="43" t="str">
        <f>IFERROR(G1212*E1206,"")</f>
        <v/>
      </c>
    </row>
    <row r="1213" spans="1:10" ht="12.75" customHeight="1">
      <c r="A1213" s="28"/>
      <c r="B1213" s="29"/>
      <c r="C1213" s="30" t="str">
        <f>IFERROR(_xlfn.XLOOKUP(B1213,Insumo[DESCRIPCION],Insumo[UND],,0),"")</f>
        <v/>
      </c>
      <c r="D1213" s="31"/>
      <c r="E1213" s="32" t="str">
        <f>IFERROR(_xlfn.XLOOKUP($B1213,Insumo[DESCRIPCION],Insumo[VALOR],,0),"")</f>
        <v/>
      </c>
      <c r="F1213" s="33"/>
      <c r="G1213" s="34" t="str">
        <f>IFERROR(IF(F1213&gt;=0,D1213*E1213*(1+F1213/100),ABS(D1213*E1213/F1213)),"")</f>
        <v/>
      </c>
      <c r="H1213" s="43" t="str">
        <f>IFERROR(G1213*E1206,"")</f>
        <v/>
      </c>
    </row>
    <row r="1214" spans="1:10" ht="12.75" customHeight="1">
      <c r="A1214" s="21"/>
      <c r="B1214" s="22" t="s">
        <v>3731</v>
      </c>
      <c r="C1214" s="23"/>
      <c r="D1214" s="24"/>
      <c r="E1214" s="25"/>
      <c r="F1214" s="26"/>
      <c r="G1214" s="27">
        <f>SUM(G1215:G1217)</f>
        <v>63723.995053700004</v>
      </c>
      <c r="H1214" s="44">
        <f>G1214*E1206</f>
        <v>0</v>
      </c>
    </row>
    <row r="1215" spans="1:10" ht="12.75" customHeight="1">
      <c r="A1215" s="28"/>
      <c r="B1215" s="29" t="s">
        <v>3596</v>
      </c>
      <c r="C1215" s="30" t="str">
        <f>IFERROR(_xlfn.XLOOKUP(B1215,Equipo[DESCRIPCION],Equipo[UND],,0),"")</f>
        <v>Hr</v>
      </c>
      <c r="D1215" s="31">
        <v>1</v>
      </c>
      <c r="E1215" s="32">
        <f>IF(C1215="%MO",G1221,IFERROR(_xlfn.XLOOKUP($B1215,Equipo[DESCRIPCION],Equipo[VALOR],,0),""))</f>
        <v>134581.65</v>
      </c>
      <c r="F1215" s="33">
        <v>-3</v>
      </c>
      <c r="G1215" s="34">
        <f>IFERROR(IF(F1215&gt;=0,D1215*E1215*(1+F1215/100),ABS(D1215*E1215/F1215)),"")</f>
        <v>44860.549999999996</v>
      </c>
      <c r="H1215" s="43">
        <f>IFERROR(G1215*E1206,"")</f>
        <v>0</v>
      </c>
    </row>
    <row r="1216" spans="1:10" ht="12.75" customHeight="1">
      <c r="A1216" s="28"/>
      <c r="B1216" s="29" t="s">
        <v>3570</v>
      </c>
      <c r="C1216" s="30" t="str">
        <f>IFERROR(_xlfn.XLOOKUP(B1216,Equipo[DESCRIPCION],Equipo[UND],,0),"")</f>
        <v>%MO</v>
      </c>
      <c r="D1216" s="31">
        <v>0.04</v>
      </c>
      <c r="E1216" s="32">
        <f>IF(C1216="%MO",G1221,IFERROR(_xlfn.XLOOKUP($B1216,Equipo[DESCRIPCION],Equipo[VALOR],,0),""))</f>
        <v>209593.83393000005</v>
      </c>
      <c r="F1216" s="33"/>
      <c r="G1216" s="34">
        <f>IFERROR(IF(F1216&gt;=0,D1216*E1216*(1+F1216/100),ABS(D1216*E1216/F1216)),"")</f>
        <v>8383.7533572000029</v>
      </c>
      <c r="H1216" s="43">
        <f>IFERROR(G1216*E1206,"")</f>
        <v>0</v>
      </c>
    </row>
    <row r="1217" spans="1:10" ht="12.75" customHeight="1">
      <c r="A1217" s="28"/>
      <c r="B1217" s="29" t="s">
        <v>3626</v>
      </c>
      <c r="C1217" s="30" t="str">
        <f>IFERROR(_xlfn.XLOOKUP(B1217,Equipo[DESCRIPCION],Equipo[UND],,0),"")</f>
        <v>%MO</v>
      </c>
      <c r="D1217" s="31">
        <v>0.05</v>
      </c>
      <c r="E1217" s="32">
        <f>IF(C1217="%MO",G1221,IFERROR(_xlfn.XLOOKUP($B1217,Equipo[DESCRIPCION],Equipo[VALOR],,0),""))</f>
        <v>209593.83393000005</v>
      </c>
      <c r="F1217" s="33"/>
      <c r="G1217" s="34">
        <f>IFERROR(IF(F1217&gt;=0,D1217*E1217*(1+F1217/100),ABS(D1217*E1217/F1217)),"")</f>
        <v>10479.691696500004</v>
      </c>
      <c r="H1217" s="43">
        <f>IFERROR(G1217*E1206,"")</f>
        <v>0</v>
      </c>
    </row>
    <row r="1218" spans="1:10" ht="12.75" customHeight="1">
      <c r="A1218" s="21"/>
      <c r="B1218" s="22" t="s">
        <v>2533</v>
      </c>
      <c r="C1218" s="23"/>
      <c r="D1218" s="24"/>
      <c r="E1218" s="25"/>
      <c r="F1218" s="26"/>
      <c r="G1218" s="27">
        <f>SUM(G1219:G1220)</f>
        <v>0</v>
      </c>
      <c r="H1218" s="44">
        <f>G1218*E1206</f>
        <v>0</v>
      </c>
    </row>
    <row r="1219" spans="1:10" ht="12.75" customHeight="1">
      <c r="A1219" s="28"/>
      <c r="B1219" s="29"/>
      <c r="C1219" s="30" t="str">
        <f>IFERROR(_xlfn.XLOOKUP(B1219,Transporte[DESCRIPCION],Transporte[UND],,0),"")</f>
        <v/>
      </c>
      <c r="D1219" s="31"/>
      <c r="E1219" s="32" t="str">
        <f>IFERROR(_xlfn.XLOOKUP($B1219,Transporte[DESCRIPCION],Transporte[VALOR],,0),"")</f>
        <v/>
      </c>
      <c r="F1219" s="33"/>
      <c r="G1219" s="34" t="str">
        <f>IFERROR(IF(F1219&gt;=0,D1219*E1219*(1+F1219/100),ABS(D1219*E1219/F1219)),"")</f>
        <v/>
      </c>
      <c r="H1219" s="43" t="str">
        <f>IFERROR(G1219*E1206,"")</f>
        <v/>
      </c>
    </row>
    <row r="1220" spans="1:10" ht="12.75" customHeight="1">
      <c r="A1220" s="28"/>
      <c r="B1220" s="29"/>
      <c r="C1220" s="30" t="str">
        <f>IFERROR(_xlfn.XLOOKUP(B1220,Transporte[DESCRIPCION],Transporte[UND],,0),"")</f>
        <v/>
      </c>
      <c r="D1220" s="31"/>
      <c r="E1220" s="32" t="str">
        <f>IFERROR(_xlfn.XLOOKUP($B1220,Transporte[DESCRIPCION],Transporte[VALOR],,0),"")</f>
        <v/>
      </c>
      <c r="F1220" s="33"/>
      <c r="G1220" s="34" t="str">
        <f>IFERROR(IF(F1220&gt;=0,D1220*E1220*(1+F1220/100),ABS(D1220*E1220/F1220)),"")</f>
        <v/>
      </c>
      <c r="H1220" s="43" t="str">
        <f>IFERROR(G1220*E1206,"")</f>
        <v/>
      </c>
    </row>
    <row r="1221" spans="1:10" ht="12.75" customHeight="1">
      <c r="A1221" s="21"/>
      <c r="B1221" s="22" t="s">
        <v>3732</v>
      </c>
      <c r="C1221" s="23"/>
      <c r="D1221" s="24"/>
      <c r="E1221" s="25"/>
      <c r="F1221" s="26"/>
      <c r="G1221" s="27">
        <f>SUM(G1222:G1224)</f>
        <v>209593.83393000005</v>
      </c>
      <c r="H1221" s="44">
        <f>G1221*E1206</f>
        <v>0</v>
      </c>
    </row>
    <row r="1222" spans="1:10" ht="12.75" customHeight="1">
      <c r="A1222" s="28"/>
      <c r="B1222" s="29" t="s">
        <v>3710</v>
      </c>
      <c r="C1222" s="30" t="str">
        <f>IFERROR(_xlfn.XLOOKUP(B1222,MObra[DESCRIPCION],MObra[UN],,0),"")</f>
        <v>día</v>
      </c>
      <c r="D1222" s="31">
        <v>1</v>
      </c>
      <c r="E1222" s="32">
        <f>IFERROR(_xlfn.XLOOKUP($B1222,MObra[DESCRIPCION],MObra[VALOR UNIT],,0),"")</f>
        <v>314390.75089500006</v>
      </c>
      <c r="F1222" s="33">
        <v>-1.5</v>
      </c>
      <c r="G1222" s="34">
        <f>IFERROR(IF(F1222&gt;=0,D1222*E1222*(1+F1222/100),ABS(D1222*E1222/F1222)),"")</f>
        <v>209593.83393000005</v>
      </c>
      <c r="H1222" s="43">
        <f>IFERROR(G1222*E1206,"")</f>
        <v>0</v>
      </c>
    </row>
    <row r="1223" spans="1:10" ht="12.75" customHeight="1">
      <c r="A1223" s="28"/>
      <c r="B1223" s="29"/>
      <c r="C1223" s="30" t="str">
        <f t="array" ref="C1223">IFERROR(_xlfn.XLOOKUP(B1223,MObra[[#All],[DESCRIPCION]],MObra[[#All],[UN]],,0),"")</f>
        <v/>
      </c>
      <c r="D1223" s="31"/>
      <c r="E1223" s="32" t="str">
        <f>IFERROR(_xlfn.XLOOKUP($B1223,MObra[DESCRIPCION],MObra[VALOR UNIT],,0),"")</f>
        <v/>
      </c>
      <c r="F1223" s="33"/>
      <c r="G1223" s="34" t="str">
        <f>IFERROR(IF(F1223&gt;=0,D1223*E1223*(1+F1223/100),ABS(D1223*E1223/F1223)),"")</f>
        <v/>
      </c>
      <c r="H1223" s="43" t="str">
        <f>IFERROR(G1223*E1206,"")</f>
        <v/>
      </c>
    </row>
    <row r="1224" spans="1:10" ht="12.75" customHeight="1" thickBot="1">
      <c r="A1224" s="35"/>
      <c r="B1224" s="36"/>
      <c r="C1224" s="37" t="str">
        <f t="array" ref="C1224">IFERROR(_xlfn.XLOOKUP(B1224,MObra[[#All],[DESCRIPCION]],MObra[[#All],[UN]],,0),"")</f>
        <v/>
      </c>
      <c r="D1224" s="38"/>
      <c r="E1224" s="39" t="str">
        <f>IFERROR(_xlfn.XLOOKUP($B1224,MObra[DESCRIPCION],MObra[VALOR UNIT],,0),"")</f>
        <v/>
      </c>
      <c r="F1224" s="40"/>
      <c r="G1224" s="41" t="str">
        <f>IFERROR(IF(F1224&gt;=0,D1224*E1224*(1+F1224/100),ABS(D1224*E1224/F1224)),"")</f>
        <v/>
      </c>
      <c r="H1224" s="42" t="str">
        <f>IFERROR(G1224*E1206,"")</f>
        <v/>
      </c>
    </row>
    <row r="1225" spans="1:10" ht="12.75" customHeight="1" thickTop="1" thickBot="1">
      <c r="E1225" s="49"/>
      <c r="G1225" s="3"/>
    </row>
    <row r="1226" spans="1:10" ht="12.75" customHeight="1" thickTop="1" thickBot="1">
      <c r="A1226" s="6" t="s">
        <v>142</v>
      </c>
      <c r="B1226" s="7" t="str">
        <f>VLOOKUP($A1226,Presupuesto!$A:$D,2,FALSE())</f>
        <v>Demolición pavimento flexible E&lt;.21m</v>
      </c>
      <c r="C1226" s="8" t="str">
        <f>VLOOKUP($A1226,Presupuesto!$A:$D,3,FALSE())</f>
        <v>M2</v>
      </c>
      <c r="D1226" s="9"/>
      <c r="E1226" s="10">
        <f>VLOOKUP($A1226,Presupuesto!$A:$D,4,FALSE())</f>
        <v>0</v>
      </c>
      <c r="F1226" s="11" t="s">
        <v>2589</v>
      </c>
      <c r="G1226" s="12">
        <f>SUM(G1228:G1244)/2</f>
        <v>20787.797639000004</v>
      </c>
      <c r="H1226" s="13">
        <f>ROUND(SUM(H1228:H1244),0)/2</f>
        <v>0</v>
      </c>
      <c r="I1226" s="10">
        <f>VLOOKUP(A1226,Presupuesto!$A:$F,6,0)</f>
        <v>0</v>
      </c>
      <c r="J1226" s="10">
        <f>+H1226-I1226</f>
        <v>0</v>
      </c>
    </row>
    <row r="1227" spans="1:10" ht="12.75" customHeight="1" thickTop="1">
      <c r="A1227" s="14"/>
      <c r="B1227" s="15" t="s">
        <v>2586</v>
      </c>
      <c r="C1227" s="15" t="s">
        <v>5</v>
      </c>
      <c r="D1227" s="16" t="s">
        <v>6</v>
      </c>
      <c r="E1227" s="17" t="s">
        <v>7</v>
      </c>
      <c r="F1227" s="18" t="s">
        <v>3728</v>
      </c>
      <c r="G1227" s="19" t="s">
        <v>3729</v>
      </c>
      <c r="H1227" s="20" t="s">
        <v>3797</v>
      </c>
    </row>
    <row r="1228" spans="1:10" ht="12.75" customHeight="1">
      <c r="A1228" s="21"/>
      <c r="B1228" s="22" t="s">
        <v>3730</v>
      </c>
      <c r="C1228" s="23"/>
      <c r="D1228" s="24"/>
      <c r="E1228" s="25"/>
      <c r="F1228" s="26"/>
      <c r="G1228" s="27">
        <f>SUM(G1229:G1233)</f>
        <v>0</v>
      </c>
      <c r="H1228" s="27">
        <f>IFERROR(G1228*E1226,"")</f>
        <v>0</v>
      </c>
    </row>
    <row r="1229" spans="1:10" ht="12.75" customHeight="1">
      <c r="A1229" s="28"/>
      <c r="B1229" s="29"/>
      <c r="C1229" s="30" t="str">
        <f>IFERROR(_xlfn.XLOOKUP(B1229,Insumo[DESCRIPCION],Insumo[UND],,0),"")</f>
        <v/>
      </c>
      <c r="D1229" s="31"/>
      <c r="E1229" s="32" t="str">
        <f>IFERROR(_xlfn.XLOOKUP($B1229,Insumo[DESCRIPCION],Insumo[VALOR],,0),"")</f>
        <v/>
      </c>
      <c r="F1229" s="33"/>
      <c r="G1229" s="34" t="str">
        <f>IFERROR(IF(F1229&gt;=0,D1229*E1229*(1+F1229/100),ABS(D1229*E1229/F1229)),"")</f>
        <v/>
      </c>
      <c r="H1229" s="43" t="str">
        <f>IFERROR(G1229*E1226,"")</f>
        <v/>
      </c>
    </row>
    <row r="1230" spans="1:10" ht="12.75" customHeight="1">
      <c r="A1230" s="28"/>
      <c r="B1230" s="29"/>
      <c r="C1230" s="30" t="str">
        <f>IFERROR(_xlfn.XLOOKUP(B1230,Insumo[DESCRIPCION],Insumo[UND],,0),"")</f>
        <v/>
      </c>
      <c r="D1230" s="31"/>
      <c r="E1230" s="32" t="str">
        <f>IFERROR(_xlfn.XLOOKUP($B1230,Insumo[DESCRIPCION],Insumo[VALOR],,0),"")</f>
        <v/>
      </c>
      <c r="F1230" s="33"/>
      <c r="G1230" s="34" t="str">
        <f>IFERROR(IF(F1230&gt;=0,D1230*E1230*(1+F1230/100),ABS(D1230*E1230/F1230)),"")</f>
        <v/>
      </c>
      <c r="H1230" s="43" t="str">
        <f>IFERROR(G1230*E1226,"")</f>
        <v/>
      </c>
    </row>
    <row r="1231" spans="1:10" ht="12.75" customHeight="1">
      <c r="A1231" s="28"/>
      <c r="B1231" s="29"/>
      <c r="C1231" s="30" t="str">
        <f>IFERROR(_xlfn.XLOOKUP(B1231,Insumo[DESCRIPCION],Insumo[UND],,0),"")</f>
        <v/>
      </c>
      <c r="D1231" s="31"/>
      <c r="E1231" s="32" t="str">
        <f>IFERROR(_xlfn.XLOOKUP($B1231,Insumo[DESCRIPCION],Insumo[VALOR],,0),"")</f>
        <v/>
      </c>
      <c r="F1231" s="33"/>
      <c r="G1231" s="34" t="str">
        <f>IFERROR(IF(F1231&gt;=0,D1231*E1231*(1+F1231/100),ABS(D1231*E1231/F1231)),"")</f>
        <v/>
      </c>
      <c r="H1231" s="43" t="str">
        <f>IFERROR(G1231*E1226,"")</f>
        <v/>
      </c>
    </row>
    <row r="1232" spans="1:10" ht="12.75" customHeight="1">
      <c r="A1232" s="28"/>
      <c r="B1232" s="29"/>
      <c r="C1232" s="30" t="str">
        <f>IFERROR(_xlfn.XLOOKUP(B1232,Insumo[DESCRIPCION],Insumo[UND],,0),"")</f>
        <v/>
      </c>
      <c r="D1232" s="31"/>
      <c r="E1232" s="32" t="str">
        <f>IFERROR(_xlfn.XLOOKUP($B1232,Insumo[DESCRIPCION],Insumo[VALOR],,0),"")</f>
        <v/>
      </c>
      <c r="F1232" s="33"/>
      <c r="G1232" s="34" t="str">
        <f>IFERROR(IF(F1232&gt;=0,D1232*E1232*(1+F1232/100),ABS(D1232*E1232/F1232)),"")</f>
        <v/>
      </c>
      <c r="H1232" s="43" t="str">
        <f>IFERROR(G1232*E1226,"")</f>
        <v/>
      </c>
    </row>
    <row r="1233" spans="1:10" ht="12.75" customHeight="1">
      <c r="A1233" s="28"/>
      <c r="B1233" s="29"/>
      <c r="C1233" s="30" t="str">
        <f>IFERROR(_xlfn.XLOOKUP(B1233,Insumo[DESCRIPCION],Insumo[UND],,0),"")</f>
        <v/>
      </c>
      <c r="D1233" s="31"/>
      <c r="E1233" s="32" t="str">
        <f>IFERROR(_xlfn.XLOOKUP($B1233,Insumo[DESCRIPCION],Insumo[VALOR],,0),"")</f>
        <v/>
      </c>
      <c r="F1233" s="33"/>
      <c r="G1233" s="34" t="str">
        <f>IFERROR(IF(F1233&gt;=0,D1233*E1233*(1+F1233/100),ABS(D1233*E1233/F1233)),"")</f>
        <v/>
      </c>
      <c r="H1233" s="43" t="str">
        <f>IFERROR(G1233*E1226,"")</f>
        <v/>
      </c>
    </row>
    <row r="1234" spans="1:10" ht="12.75" customHeight="1">
      <c r="A1234" s="21"/>
      <c r="B1234" s="22" t="s">
        <v>3731</v>
      </c>
      <c r="C1234" s="23"/>
      <c r="D1234" s="24"/>
      <c r="E1234" s="25"/>
      <c r="F1234" s="26"/>
      <c r="G1234" s="27">
        <f>SUM(G1235:G1237)</f>
        <v>5262.3284589999994</v>
      </c>
      <c r="H1234" s="44">
        <f>G1234*E1226</f>
        <v>0</v>
      </c>
    </row>
    <row r="1235" spans="1:10" ht="12.75" customHeight="1">
      <c r="A1235" s="28"/>
      <c r="B1235" s="29" t="s">
        <v>3596</v>
      </c>
      <c r="C1235" s="30" t="str">
        <f>IFERROR(_xlfn.XLOOKUP(B1235,Equipo[DESCRIPCION],Equipo[UND],,0),"")</f>
        <v>Hr</v>
      </c>
      <c r="D1235" s="31">
        <v>1</v>
      </c>
      <c r="E1235" s="32">
        <f>IF(C1235="%MO",G1241,IFERROR(_xlfn.XLOOKUP($B1235,Equipo[DESCRIPCION],Equipo[VALOR],,0),""))</f>
        <v>134581.65</v>
      </c>
      <c r="F1235" s="33">
        <v>-30</v>
      </c>
      <c r="G1235" s="34">
        <f>IFERROR(IF(F1235&gt;=0,D1235*E1235*(1+F1235/100),ABS(D1235*E1235/F1235)),"")</f>
        <v>4486.0549999999994</v>
      </c>
      <c r="H1235" s="43">
        <f>IFERROR(G1235*E1226,"")</f>
        <v>0</v>
      </c>
    </row>
    <row r="1236" spans="1:10" ht="12.75" customHeight="1">
      <c r="A1236" s="28"/>
      <c r="B1236" s="29" t="s">
        <v>3626</v>
      </c>
      <c r="C1236" s="30" t="str">
        <f>IFERROR(_xlfn.XLOOKUP(B1236,Equipo[DESCRIPCION],Equipo[UND],,0),"")</f>
        <v>%MO</v>
      </c>
      <c r="D1236" s="31">
        <v>0.05</v>
      </c>
      <c r="E1236" s="32">
        <f>IF(C1236="%MO",G1241,IFERROR(_xlfn.XLOOKUP($B1236,Equipo[DESCRIPCION],Equipo[VALOR],,0),""))</f>
        <v>15525.469180000004</v>
      </c>
      <c r="F1236" s="33"/>
      <c r="G1236" s="34">
        <f>IFERROR(IF(F1236&gt;=0,D1236*E1236*(1+F1236/100),ABS(D1236*E1236/F1236)),"")</f>
        <v>776.27345900000023</v>
      </c>
      <c r="H1236" s="43">
        <f>IFERROR(G1236*E1226,"")</f>
        <v>0</v>
      </c>
    </row>
    <row r="1237" spans="1:10" ht="12.75" customHeight="1">
      <c r="A1237" s="28"/>
      <c r="B1237" s="29"/>
      <c r="C1237" s="30" t="str">
        <f>IFERROR(_xlfn.XLOOKUP(B1237,Equipo[DESCRIPCION],Equipo[UND],,0),"")</f>
        <v/>
      </c>
      <c r="D1237" s="31"/>
      <c r="E1237" s="32" t="str">
        <f>IF(C1237="%MO",G1241,IFERROR(_xlfn.XLOOKUP($B1237,Equipo[DESCRIPCION],Equipo[VALOR],,0),""))</f>
        <v/>
      </c>
      <c r="F1237" s="33"/>
      <c r="G1237" s="34" t="str">
        <f>IFERROR(IF(F1237&gt;=0,D1237*E1237*(1+F1237/100),ABS(D1237*E1237/F1237)),"")</f>
        <v/>
      </c>
      <c r="H1237" s="43" t="str">
        <f>IFERROR(G1237*E1226,"")</f>
        <v/>
      </c>
    </row>
    <row r="1238" spans="1:10" ht="12.75" customHeight="1">
      <c r="A1238" s="21"/>
      <c r="B1238" s="22" t="s">
        <v>2533</v>
      </c>
      <c r="C1238" s="23"/>
      <c r="D1238" s="24"/>
      <c r="E1238" s="25"/>
      <c r="F1238" s="26"/>
      <c r="G1238" s="27">
        <f>SUM(G1239:G1240)</f>
        <v>0</v>
      </c>
      <c r="H1238" s="44">
        <f>G1238*E1226</f>
        <v>0</v>
      </c>
    </row>
    <row r="1239" spans="1:10" ht="12.75" customHeight="1">
      <c r="A1239" s="28"/>
      <c r="B1239" s="29"/>
      <c r="C1239" s="30" t="str">
        <f>IFERROR(_xlfn.XLOOKUP(B1239,Transporte[DESCRIPCION],Transporte[UND],,0),"")</f>
        <v/>
      </c>
      <c r="D1239" s="31"/>
      <c r="E1239" s="32" t="str">
        <f>IFERROR(_xlfn.XLOOKUP($B1239,Transporte[DESCRIPCION],Transporte[VALOR],,0),"")</f>
        <v/>
      </c>
      <c r="F1239" s="33"/>
      <c r="G1239" s="34" t="str">
        <f>IFERROR(IF(F1239&gt;=0,D1239*E1239*(1+F1239/100),ABS(D1239*E1239/F1239)),"")</f>
        <v/>
      </c>
      <c r="H1239" s="43" t="str">
        <f>IFERROR(G1239*E1226,"")</f>
        <v/>
      </c>
    </row>
    <row r="1240" spans="1:10" ht="12.75" customHeight="1">
      <c r="A1240" s="28"/>
      <c r="B1240" s="29"/>
      <c r="C1240" s="30" t="str">
        <f>IFERROR(_xlfn.XLOOKUP(B1240,Transporte[DESCRIPCION],Transporte[UND],,0),"")</f>
        <v/>
      </c>
      <c r="D1240" s="31"/>
      <c r="E1240" s="32" t="str">
        <f>IFERROR(_xlfn.XLOOKUP($B1240,Transporte[DESCRIPCION],Transporte[VALOR],,0),"")</f>
        <v/>
      </c>
      <c r="F1240" s="33"/>
      <c r="G1240" s="34" t="str">
        <f>IFERROR(IF(F1240&gt;=0,D1240*E1240*(1+F1240/100),ABS(D1240*E1240/F1240)),"")</f>
        <v/>
      </c>
      <c r="H1240" s="43" t="str">
        <f>IFERROR(G1240*E1226,"")</f>
        <v/>
      </c>
    </row>
    <row r="1241" spans="1:10" ht="12.75" customHeight="1">
      <c r="A1241" s="21"/>
      <c r="B1241" s="22" t="s">
        <v>3732</v>
      </c>
      <c r="C1241" s="23"/>
      <c r="D1241" s="24"/>
      <c r="E1241" s="25"/>
      <c r="F1241" s="26"/>
      <c r="G1241" s="27">
        <f>SUM(G1242:G1244)</f>
        <v>15525.469180000004</v>
      </c>
      <c r="H1241" s="44">
        <f>G1241*E1226</f>
        <v>0</v>
      </c>
    </row>
    <row r="1242" spans="1:10" ht="12.75" customHeight="1">
      <c r="A1242" s="28"/>
      <c r="B1242" s="29" t="s">
        <v>3723</v>
      </c>
      <c r="C1242" s="30" t="str">
        <f>IFERROR(_xlfn.XLOOKUP(B1242,MObra[DESCRIPCION],MObra[UN],,0),"")</f>
        <v>día</v>
      </c>
      <c r="D1242" s="31">
        <v>1</v>
      </c>
      <c r="E1242" s="32">
        <f>IFERROR(_xlfn.XLOOKUP($B1242,MObra[DESCRIPCION],MObra[VALOR UNIT],,0),"")</f>
        <v>465764.07540000009</v>
      </c>
      <c r="F1242" s="33">
        <v>-30</v>
      </c>
      <c r="G1242" s="34">
        <f>IFERROR(IF(F1242&gt;=0,D1242*E1242*(1+F1242/100),ABS(D1242*E1242/F1242)),"")</f>
        <v>15525.469180000004</v>
      </c>
      <c r="H1242" s="43">
        <f>IFERROR(G1242*E1226,"")</f>
        <v>0</v>
      </c>
    </row>
    <row r="1243" spans="1:10" ht="12.75" customHeight="1">
      <c r="A1243" s="28"/>
      <c r="B1243" s="29"/>
      <c r="C1243" s="30" t="str">
        <f t="array" ref="C1243">IFERROR(_xlfn.XLOOKUP(B1243,MObra[[#All],[DESCRIPCION]],MObra[[#All],[UN]],,0),"")</f>
        <v/>
      </c>
      <c r="D1243" s="31"/>
      <c r="E1243" s="32" t="str">
        <f>IFERROR(_xlfn.XLOOKUP($B1243,MObra[DESCRIPCION],MObra[VALOR UNIT],,0),"")</f>
        <v/>
      </c>
      <c r="F1243" s="33"/>
      <c r="G1243" s="34" t="str">
        <f>IFERROR(IF(F1243&gt;=0,D1243*E1243*(1+F1243/100),ABS(D1243*E1243/F1243)),"")</f>
        <v/>
      </c>
      <c r="H1243" s="43" t="str">
        <f>IFERROR(G1243*E1226,"")</f>
        <v/>
      </c>
    </row>
    <row r="1244" spans="1:10" ht="12.75" customHeight="1" thickBot="1">
      <c r="A1244" s="35"/>
      <c r="B1244" s="36"/>
      <c r="C1244" s="37" t="str">
        <f t="array" ref="C1244">IFERROR(_xlfn.XLOOKUP(B1244,MObra[[#All],[DESCRIPCION]],MObra[[#All],[UN]],,0),"")</f>
        <v/>
      </c>
      <c r="D1244" s="38"/>
      <c r="E1244" s="39" t="str">
        <f>IFERROR(_xlfn.XLOOKUP($B1244,MObra[DESCRIPCION],MObra[VALOR UNIT],,0),"")</f>
        <v/>
      </c>
      <c r="F1244" s="40"/>
      <c r="G1244" s="41" t="str">
        <f>IFERROR(IF(F1244&gt;=0,D1244*E1244*(1+F1244/100),ABS(D1244*E1244/F1244)),"")</f>
        <v/>
      </c>
      <c r="H1244" s="42" t="str">
        <f>IFERROR(G1244*E1226,"")</f>
        <v/>
      </c>
    </row>
    <row r="1245" spans="1:10" ht="12.75" customHeight="1" thickTop="1" thickBot="1">
      <c r="E1245" s="49"/>
      <c r="G1245" s="3"/>
    </row>
    <row r="1246" spans="1:10" ht="12.75" customHeight="1" thickTop="1" thickBot="1">
      <c r="A1246" s="6" t="s">
        <v>144</v>
      </c>
      <c r="B1246" s="7" t="str">
        <f>VLOOKUP($A1246,Presupuesto!$A:$D,2,FALSE())</f>
        <v>Demolición pavimento rígido E&lt;0.21m</v>
      </c>
      <c r="C1246" s="8" t="str">
        <f>VLOOKUP($A1246,Presupuesto!$A:$D,3,FALSE())</f>
        <v>M2</v>
      </c>
      <c r="D1246" s="9"/>
      <c r="E1246" s="10">
        <f>VLOOKUP($A1246,Presupuesto!$A:$D,4,FALSE())</f>
        <v>0</v>
      </c>
      <c r="F1246" s="11" t="s">
        <v>2589</v>
      </c>
      <c r="G1246" s="12">
        <f>SUM(G1248:G1264)/2</f>
        <v>24945.357166800004</v>
      </c>
      <c r="H1246" s="13">
        <f>ROUND(SUM(H1248:H1264),0)/2</f>
        <v>0</v>
      </c>
      <c r="I1246" s="10">
        <f>VLOOKUP(A1246,Presupuesto!$A:$F,6,0)</f>
        <v>0</v>
      </c>
      <c r="J1246" s="10">
        <f>+H1246-I1246</f>
        <v>0</v>
      </c>
    </row>
    <row r="1247" spans="1:10" ht="12.75" customHeight="1" thickTop="1">
      <c r="A1247" s="14"/>
      <c r="B1247" s="15" t="s">
        <v>2586</v>
      </c>
      <c r="C1247" s="15" t="s">
        <v>5</v>
      </c>
      <c r="D1247" s="16" t="s">
        <v>6</v>
      </c>
      <c r="E1247" s="17" t="s">
        <v>7</v>
      </c>
      <c r="F1247" s="18" t="s">
        <v>3728</v>
      </c>
      <c r="G1247" s="19" t="s">
        <v>3729</v>
      </c>
      <c r="H1247" s="20" t="s">
        <v>3797</v>
      </c>
    </row>
    <row r="1248" spans="1:10" ht="12.75" customHeight="1">
      <c r="A1248" s="21"/>
      <c r="B1248" s="22" t="s">
        <v>3730</v>
      </c>
      <c r="C1248" s="23"/>
      <c r="D1248" s="24"/>
      <c r="E1248" s="25"/>
      <c r="F1248" s="26"/>
      <c r="G1248" s="27">
        <f>SUM(G1249:G1253)</f>
        <v>0</v>
      </c>
      <c r="H1248" s="27">
        <f>IFERROR(G1248*E1246,"")</f>
        <v>0</v>
      </c>
    </row>
    <row r="1249" spans="1:8" ht="12.75" customHeight="1">
      <c r="A1249" s="28"/>
      <c r="B1249" s="29"/>
      <c r="C1249" s="30" t="str">
        <f>IFERROR(_xlfn.XLOOKUP(B1249,Insumo[DESCRIPCION],Insumo[UND],,0),"")</f>
        <v/>
      </c>
      <c r="D1249" s="31"/>
      <c r="E1249" s="32" t="str">
        <f>IFERROR(_xlfn.XLOOKUP($B1249,Insumo[DESCRIPCION],Insumo[VALOR],,0),"")</f>
        <v/>
      </c>
      <c r="F1249" s="33"/>
      <c r="G1249" s="34" t="str">
        <f>IFERROR(IF(F1249&gt;=0,D1249*E1249*(1+F1249/100),ABS(D1249*E1249/F1249)),"")</f>
        <v/>
      </c>
      <c r="H1249" s="43" t="str">
        <f>IFERROR(G1249*E1246,"")</f>
        <v/>
      </c>
    </row>
    <row r="1250" spans="1:8" ht="12.75" customHeight="1">
      <c r="A1250" s="28"/>
      <c r="B1250" s="29"/>
      <c r="C1250" s="30" t="str">
        <f>IFERROR(_xlfn.XLOOKUP(B1250,Insumo[DESCRIPCION],Insumo[UND],,0),"")</f>
        <v/>
      </c>
      <c r="D1250" s="31"/>
      <c r="E1250" s="32" t="str">
        <f>IFERROR(_xlfn.XLOOKUP($B1250,Insumo[DESCRIPCION],Insumo[VALOR],,0),"")</f>
        <v/>
      </c>
      <c r="F1250" s="33"/>
      <c r="G1250" s="34" t="str">
        <f>IFERROR(IF(F1250&gt;=0,D1250*E1250*(1+F1250/100),ABS(D1250*E1250/F1250)),"")</f>
        <v/>
      </c>
      <c r="H1250" s="43" t="str">
        <f>IFERROR(G1250*E1246,"")</f>
        <v/>
      </c>
    </row>
    <row r="1251" spans="1:8" ht="12.75" customHeight="1">
      <c r="A1251" s="28"/>
      <c r="B1251" s="29"/>
      <c r="C1251" s="30" t="str">
        <f>IFERROR(_xlfn.XLOOKUP(B1251,Insumo[DESCRIPCION],Insumo[UND],,0),"")</f>
        <v/>
      </c>
      <c r="D1251" s="31"/>
      <c r="E1251" s="32" t="str">
        <f>IFERROR(_xlfn.XLOOKUP($B1251,Insumo[DESCRIPCION],Insumo[VALOR],,0),"")</f>
        <v/>
      </c>
      <c r="F1251" s="33"/>
      <c r="G1251" s="34" t="str">
        <f>IFERROR(IF(F1251&gt;=0,D1251*E1251*(1+F1251/100),ABS(D1251*E1251/F1251)),"")</f>
        <v/>
      </c>
      <c r="H1251" s="43" t="str">
        <f>IFERROR(G1251*E1246,"")</f>
        <v/>
      </c>
    </row>
    <row r="1252" spans="1:8" ht="12.75" customHeight="1">
      <c r="A1252" s="28"/>
      <c r="B1252" s="29"/>
      <c r="C1252" s="30" t="str">
        <f>IFERROR(_xlfn.XLOOKUP(B1252,Insumo[DESCRIPCION],Insumo[UND],,0),"")</f>
        <v/>
      </c>
      <c r="D1252" s="31"/>
      <c r="E1252" s="32" t="str">
        <f>IFERROR(_xlfn.XLOOKUP($B1252,Insumo[DESCRIPCION],Insumo[VALOR],,0),"")</f>
        <v/>
      </c>
      <c r="F1252" s="33"/>
      <c r="G1252" s="34" t="str">
        <f>IFERROR(IF(F1252&gt;=0,D1252*E1252*(1+F1252/100),ABS(D1252*E1252/F1252)),"")</f>
        <v/>
      </c>
      <c r="H1252" s="43" t="str">
        <f>IFERROR(G1252*E1246,"")</f>
        <v/>
      </c>
    </row>
    <row r="1253" spans="1:8" ht="12.75" customHeight="1">
      <c r="A1253" s="28"/>
      <c r="B1253" s="29"/>
      <c r="C1253" s="30" t="str">
        <f>IFERROR(_xlfn.XLOOKUP(B1253,Insumo[DESCRIPCION],Insumo[UND],,0),"")</f>
        <v/>
      </c>
      <c r="D1253" s="31"/>
      <c r="E1253" s="32" t="str">
        <f>IFERROR(_xlfn.XLOOKUP($B1253,Insumo[DESCRIPCION],Insumo[VALOR],,0),"")</f>
        <v/>
      </c>
      <c r="F1253" s="33"/>
      <c r="G1253" s="34" t="str">
        <f>IFERROR(IF(F1253&gt;=0,D1253*E1253*(1+F1253/100),ABS(D1253*E1253/F1253)),"")</f>
        <v/>
      </c>
      <c r="H1253" s="43" t="str">
        <f>IFERROR(G1253*E1246,"")</f>
        <v/>
      </c>
    </row>
    <row r="1254" spans="1:8" ht="12.75" customHeight="1">
      <c r="A1254" s="21"/>
      <c r="B1254" s="22" t="s">
        <v>3731</v>
      </c>
      <c r="C1254" s="23"/>
      <c r="D1254" s="24"/>
      <c r="E1254" s="25"/>
      <c r="F1254" s="26"/>
      <c r="G1254" s="27">
        <f>SUM(G1255:G1257)</f>
        <v>6314.7941508000004</v>
      </c>
      <c r="H1254" s="44">
        <f>G1254*E1246</f>
        <v>0</v>
      </c>
    </row>
    <row r="1255" spans="1:8" ht="12.75" customHeight="1">
      <c r="A1255" s="28"/>
      <c r="B1255" s="29" t="s">
        <v>3596</v>
      </c>
      <c r="C1255" s="30" t="str">
        <f>IFERROR(_xlfn.XLOOKUP(B1255,Equipo[DESCRIPCION],Equipo[UND],,0),"")</f>
        <v>Hr</v>
      </c>
      <c r="D1255" s="31">
        <v>1</v>
      </c>
      <c r="E1255" s="32">
        <f>IF(C1255="%MO",G1261,IFERROR(_xlfn.XLOOKUP($B1255,Equipo[DESCRIPCION],Equipo[VALOR],,0),""))</f>
        <v>134581.65</v>
      </c>
      <c r="F1255" s="33">
        <v>-25</v>
      </c>
      <c r="G1255" s="34">
        <f>IFERROR(IF(F1255&gt;=0,D1255*E1255*(1+F1255/100),ABS(D1255*E1255/F1255)),"")</f>
        <v>5383.2659999999996</v>
      </c>
      <c r="H1255" s="43">
        <f>IFERROR(G1255*E1246,"")</f>
        <v>0</v>
      </c>
    </row>
    <row r="1256" spans="1:8" ht="12.75" customHeight="1">
      <c r="A1256" s="28"/>
      <c r="B1256" s="29" t="s">
        <v>3626</v>
      </c>
      <c r="C1256" s="30" t="str">
        <f>IFERROR(_xlfn.XLOOKUP(B1256,Equipo[DESCRIPCION],Equipo[UND],,0),"")</f>
        <v>%MO</v>
      </c>
      <c r="D1256" s="31">
        <v>0.05</v>
      </c>
      <c r="E1256" s="32">
        <f>IF(C1256="%MO",G1261,IFERROR(_xlfn.XLOOKUP($B1256,Equipo[DESCRIPCION],Equipo[VALOR],,0),""))</f>
        <v>18630.563016000004</v>
      </c>
      <c r="F1256" s="33"/>
      <c r="G1256" s="34">
        <f>IFERROR(IF(F1256&gt;=0,D1256*E1256*(1+F1256/100),ABS(D1256*E1256/F1256)),"")</f>
        <v>931.52815080000028</v>
      </c>
      <c r="H1256" s="43">
        <f>IFERROR(G1256*E1246,"")</f>
        <v>0</v>
      </c>
    </row>
    <row r="1257" spans="1:8" ht="12.75" customHeight="1">
      <c r="A1257" s="28"/>
      <c r="B1257" s="29"/>
      <c r="C1257" s="30" t="str">
        <f>IFERROR(_xlfn.XLOOKUP(B1257,Equipo[DESCRIPCION],Equipo[UND],,0),"")</f>
        <v/>
      </c>
      <c r="D1257" s="31"/>
      <c r="E1257" s="32" t="str">
        <f>IF(C1257="%MO",G1261,IFERROR(_xlfn.XLOOKUP($B1257,Equipo[DESCRIPCION],Equipo[VALOR],,0),""))</f>
        <v/>
      </c>
      <c r="F1257" s="33"/>
      <c r="G1257" s="34" t="str">
        <f>IFERROR(IF(F1257&gt;=0,D1257*E1257*(1+F1257/100),ABS(D1257*E1257/F1257)),"")</f>
        <v/>
      </c>
      <c r="H1257" s="43" t="str">
        <f>IFERROR(G1257*E1246,"")</f>
        <v/>
      </c>
    </row>
    <row r="1258" spans="1:8" ht="12.75" customHeight="1">
      <c r="A1258" s="21"/>
      <c r="B1258" s="22" t="s">
        <v>2533</v>
      </c>
      <c r="C1258" s="23"/>
      <c r="D1258" s="24"/>
      <c r="E1258" s="25"/>
      <c r="F1258" s="26"/>
      <c r="G1258" s="27">
        <f>SUM(G1259:G1260)</f>
        <v>0</v>
      </c>
      <c r="H1258" s="44">
        <f>G1258*E1246</f>
        <v>0</v>
      </c>
    </row>
    <row r="1259" spans="1:8" ht="12.75" customHeight="1">
      <c r="A1259" s="28"/>
      <c r="B1259" s="29"/>
      <c r="C1259" s="30" t="str">
        <f>IFERROR(_xlfn.XLOOKUP(B1259,Transporte[DESCRIPCION],Transporte[UND],,0),"")</f>
        <v/>
      </c>
      <c r="D1259" s="31"/>
      <c r="E1259" s="32" t="str">
        <f>IFERROR(_xlfn.XLOOKUP($B1259,Transporte[DESCRIPCION],Transporte[VALOR],,0),"")</f>
        <v/>
      </c>
      <c r="F1259" s="33"/>
      <c r="G1259" s="34" t="str">
        <f>IFERROR(IF(F1259&gt;=0,D1259*E1259*(1+F1259/100),ABS(D1259*E1259/F1259)),"")</f>
        <v/>
      </c>
      <c r="H1259" s="43" t="str">
        <f>IFERROR(G1259*E1246,"")</f>
        <v/>
      </c>
    </row>
    <row r="1260" spans="1:8" ht="12.75" customHeight="1">
      <c r="A1260" s="28"/>
      <c r="B1260" s="29"/>
      <c r="C1260" s="30" t="str">
        <f>IFERROR(_xlfn.XLOOKUP(B1260,Transporte[DESCRIPCION],Transporte[UND],,0),"")</f>
        <v/>
      </c>
      <c r="D1260" s="31"/>
      <c r="E1260" s="32" t="str">
        <f>IFERROR(_xlfn.XLOOKUP($B1260,Transporte[DESCRIPCION],Transporte[VALOR],,0),"")</f>
        <v/>
      </c>
      <c r="F1260" s="33"/>
      <c r="G1260" s="34" t="str">
        <f>IFERROR(IF(F1260&gt;=0,D1260*E1260*(1+F1260/100),ABS(D1260*E1260/F1260)),"")</f>
        <v/>
      </c>
      <c r="H1260" s="43" t="str">
        <f>IFERROR(G1260*E1246,"")</f>
        <v/>
      </c>
    </row>
    <row r="1261" spans="1:8" ht="12.75" customHeight="1">
      <c r="A1261" s="21"/>
      <c r="B1261" s="22" t="s">
        <v>3732</v>
      </c>
      <c r="C1261" s="23"/>
      <c r="D1261" s="24"/>
      <c r="E1261" s="25"/>
      <c r="F1261" s="26"/>
      <c r="G1261" s="27">
        <f>SUM(G1262:G1264)</f>
        <v>18630.563016000004</v>
      </c>
      <c r="H1261" s="44">
        <f>G1261*E1246</f>
        <v>0</v>
      </c>
    </row>
    <row r="1262" spans="1:8" ht="12.75" customHeight="1">
      <c r="A1262" s="28"/>
      <c r="B1262" s="29" t="s">
        <v>3723</v>
      </c>
      <c r="C1262" s="30" t="str">
        <f>IFERROR(_xlfn.XLOOKUP(B1262,MObra[DESCRIPCION],MObra[UN],,0),"")</f>
        <v>día</v>
      </c>
      <c r="D1262" s="31">
        <v>1</v>
      </c>
      <c r="E1262" s="32">
        <f>IFERROR(_xlfn.XLOOKUP($B1262,MObra[DESCRIPCION],MObra[VALOR UNIT],,0),"")</f>
        <v>465764.07540000009</v>
      </c>
      <c r="F1262" s="33">
        <v>-25</v>
      </c>
      <c r="G1262" s="34">
        <f>IFERROR(IF(F1262&gt;=0,D1262*E1262*(1+F1262/100),ABS(D1262*E1262/F1262)),"")</f>
        <v>18630.563016000004</v>
      </c>
      <c r="H1262" s="43">
        <f>IFERROR(G1262*E1246,"")</f>
        <v>0</v>
      </c>
    </row>
    <row r="1263" spans="1:8" ht="12.75" customHeight="1">
      <c r="A1263" s="28"/>
      <c r="B1263" s="29"/>
      <c r="C1263" s="30" t="str">
        <f t="array" ref="C1263">IFERROR(_xlfn.XLOOKUP(B1263,MObra[[#All],[DESCRIPCION]],MObra[[#All],[UN]],,0),"")</f>
        <v/>
      </c>
      <c r="D1263" s="31"/>
      <c r="E1263" s="32" t="str">
        <f>IFERROR(_xlfn.XLOOKUP($B1263,MObra[DESCRIPCION],MObra[VALOR UNIT],,0),"")</f>
        <v/>
      </c>
      <c r="F1263" s="33"/>
      <c r="G1263" s="34" t="str">
        <f>IFERROR(IF(F1263&gt;=0,D1263*E1263*(1+F1263/100),ABS(D1263*E1263/F1263)),"")</f>
        <v/>
      </c>
      <c r="H1263" s="43" t="str">
        <f>IFERROR(G1263*E1246,"")</f>
        <v/>
      </c>
    </row>
    <row r="1264" spans="1:8" ht="12.75" customHeight="1" thickBot="1">
      <c r="A1264" s="35"/>
      <c r="B1264" s="36"/>
      <c r="C1264" s="37" t="str">
        <f t="array" ref="C1264">IFERROR(_xlfn.XLOOKUP(B1264,MObra[[#All],[DESCRIPCION]],MObra[[#All],[UN]],,0),"")</f>
        <v/>
      </c>
      <c r="D1264" s="38"/>
      <c r="E1264" s="39" t="str">
        <f>IFERROR(_xlfn.XLOOKUP($B1264,MObra[DESCRIPCION],MObra[VALOR UNIT],,0),"")</f>
        <v/>
      </c>
      <c r="F1264" s="40"/>
      <c r="G1264" s="41" t="str">
        <f>IFERROR(IF(F1264&gt;=0,D1264*E1264*(1+F1264/100),ABS(D1264*E1264/F1264)),"")</f>
        <v/>
      </c>
      <c r="H1264" s="42" t="str">
        <f>IFERROR(G1264*E1246,"")</f>
        <v/>
      </c>
    </row>
    <row r="1265" spans="1:10" ht="12.75" customHeight="1" thickTop="1" thickBot="1">
      <c r="E1265" s="49"/>
      <c r="G1265" s="3"/>
    </row>
    <row r="1266" spans="1:10" ht="12.75" customHeight="1" thickTop="1" thickBot="1">
      <c r="A1266" s="6" t="s">
        <v>146</v>
      </c>
      <c r="B1266" s="7" t="str">
        <f>VLOOKUP($A1266,Presupuesto!$A:$D,2,FALSE())</f>
        <v>Demolición piso baldosa manual</v>
      </c>
      <c r="C1266" s="8" t="str">
        <f>VLOOKUP($A1266,Presupuesto!$A:$D,3,FALSE())</f>
        <v>M2</v>
      </c>
      <c r="D1266" s="9"/>
      <c r="E1266" s="10">
        <f>VLOOKUP($A1266,Presupuesto!$A:$D,4,FALSE())</f>
        <v>0</v>
      </c>
      <c r="F1266" s="11" t="s">
        <v>2589</v>
      </c>
      <c r="G1266" s="12">
        <f>SUM(G1268:G1284)/2</f>
        <v>6346.0355273250007</v>
      </c>
      <c r="H1266" s="13">
        <f>ROUND(SUM(H1268:H1284),0)/2</f>
        <v>0</v>
      </c>
      <c r="I1266" s="10">
        <f>VLOOKUP(A1266,Presupuesto!$A:$F,6,0)</f>
        <v>0</v>
      </c>
      <c r="J1266" s="10">
        <f>+H1266-I1266</f>
        <v>0</v>
      </c>
    </row>
    <row r="1267" spans="1:10" ht="12.75" customHeight="1" thickTop="1">
      <c r="A1267" s="14"/>
      <c r="B1267" s="15" t="s">
        <v>2586</v>
      </c>
      <c r="C1267" s="15" t="s">
        <v>5</v>
      </c>
      <c r="D1267" s="16" t="s">
        <v>6</v>
      </c>
      <c r="E1267" s="17" t="s">
        <v>7</v>
      </c>
      <c r="F1267" s="18" t="s">
        <v>3728</v>
      </c>
      <c r="G1267" s="19" t="s">
        <v>3729</v>
      </c>
      <c r="H1267" s="20" t="s">
        <v>3797</v>
      </c>
    </row>
    <row r="1268" spans="1:10" ht="12.75" customHeight="1">
      <c r="A1268" s="21"/>
      <c r="B1268" s="22" t="s">
        <v>3730</v>
      </c>
      <c r="C1268" s="23"/>
      <c r="D1268" s="24"/>
      <c r="E1268" s="25"/>
      <c r="F1268" s="26"/>
      <c r="G1268" s="27">
        <f>SUM(G1269:G1273)</f>
        <v>0</v>
      </c>
      <c r="H1268" s="27">
        <f>IFERROR(G1268*E1266,"")</f>
        <v>0</v>
      </c>
    </row>
    <row r="1269" spans="1:10" ht="12.75" customHeight="1">
      <c r="A1269" s="28"/>
      <c r="B1269" s="29"/>
      <c r="C1269" s="30" t="str">
        <f>IFERROR(_xlfn.XLOOKUP(B1269,Insumo[DESCRIPCION],Insumo[UND],,0),"")</f>
        <v/>
      </c>
      <c r="D1269" s="31"/>
      <c r="E1269" s="32" t="str">
        <f>IFERROR(_xlfn.XLOOKUP($B1269,Insumo[DESCRIPCION],Insumo[VALOR],,0),"")</f>
        <v/>
      </c>
      <c r="F1269" s="33"/>
      <c r="G1269" s="34" t="str">
        <f>IFERROR(IF(F1269&gt;=0,D1269*E1269*(1+F1269/100),ABS(D1269*E1269/F1269)),"")</f>
        <v/>
      </c>
      <c r="H1269" s="43" t="str">
        <f>IFERROR(G1269*E1266,"")</f>
        <v/>
      </c>
    </row>
    <row r="1270" spans="1:10" ht="12.75" customHeight="1">
      <c r="A1270" s="28"/>
      <c r="B1270" s="29"/>
      <c r="C1270" s="30" t="str">
        <f>IFERROR(_xlfn.XLOOKUP(B1270,Insumo[DESCRIPCION],Insumo[UND],,0),"")</f>
        <v/>
      </c>
      <c r="D1270" s="31"/>
      <c r="E1270" s="32" t="str">
        <f>IFERROR(_xlfn.XLOOKUP($B1270,Insumo[DESCRIPCION],Insumo[VALOR],,0),"")</f>
        <v/>
      </c>
      <c r="F1270" s="33"/>
      <c r="G1270" s="34" t="str">
        <f>IFERROR(IF(F1270&gt;=0,D1270*E1270*(1+F1270/100),ABS(D1270*E1270/F1270)),"")</f>
        <v/>
      </c>
      <c r="H1270" s="43" t="str">
        <f>IFERROR(G1270*E1266,"")</f>
        <v/>
      </c>
    </row>
    <row r="1271" spans="1:10" ht="12.75" customHeight="1">
      <c r="A1271" s="28"/>
      <c r="B1271" s="29"/>
      <c r="C1271" s="30" t="str">
        <f>IFERROR(_xlfn.XLOOKUP(B1271,Insumo[DESCRIPCION],Insumo[UND],,0),"")</f>
        <v/>
      </c>
      <c r="D1271" s="31"/>
      <c r="E1271" s="32" t="str">
        <f>IFERROR(_xlfn.XLOOKUP($B1271,Insumo[DESCRIPCION],Insumo[VALOR],,0),"")</f>
        <v/>
      </c>
      <c r="F1271" s="33"/>
      <c r="G1271" s="34" t="str">
        <f>IFERROR(IF(F1271&gt;=0,D1271*E1271*(1+F1271/100),ABS(D1271*E1271/F1271)),"")</f>
        <v/>
      </c>
      <c r="H1271" s="43" t="str">
        <f>IFERROR(G1271*E1266,"")</f>
        <v/>
      </c>
    </row>
    <row r="1272" spans="1:10" ht="12.75" customHeight="1">
      <c r="A1272" s="28"/>
      <c r="B1272" s="29"/>
      <c r="C1272" s="30" t="str">
        <f>IFERROR(_xlfn.XLOOKUP(B1272,Insumo[DESCRIPCION],Insumo[UND],,0),"")</f>
        <v/>
      </c>
      <c r="D1272" s="31"/>
      <c r="E1272" s="32" t="str">
        <f>IFERROR(_xlfn.XLOOKUP($B1272,Insumo[DESCRIPCION],Insumo[VALOR],,0),"")</f>
        <v/>
      </c>
      <c r="F1272" s="33"/>
      <c r="G1272" s="34" t="str">
        <f>IFERROR(IF(F1272&gt;=0,D1272*E1272*(1+F1272/100),ABS(D1272*E1272/F1272)),"")</f>
        <v/>
      </c>
      <c r="H1272" s="43" t="str">
        <f>IFERROR(G1272*E1266,"")</f>
        <v/>
      </c>
    </row>
    <row r="1273" spans="1:10" ht="12.75" customHeight="1">
      <c r="A1273" s="28"/>
      <c r="B1273" s="29"/>
      <c r="C1273" s="30" t="str">
        <f>IFERROR(_xlfn.XLOOKUP(B1273,Insumo[DESCRIPCION],Insumo[UND],,0),"")</f>
        <v/>
      </c>
      <c r="D1273" s="31"/>
      <c r="E1273" s="32" t="str">
        <f>IFERROR(_xlfn.XLOOKUP($B1273,Insumo[DESCRIPCION],Insumo[VALOR],,0),"")</f>
        <v/>
      </c>
      <c r="F1273" s="33"/>
      <c r="G1273" s="34" t="str">
        <f>IFERROR(IF(F1273&gt;=0,D1273*E1273*(1+F1273/100),ABS(D1273*E1273/F1273)),"")</f>
        <v/>
      </c>
      <c r="H1273" s="43" t="str">
        <f>IFERROR(G1273*E1266,"")</f>
        <v/>
      </c>
    </row>
    <row r="1274" spans="1:10" ht="12.75" customHeight="1">
      <c r="A1274" s="21"/>
      <c r="B1274" s="22" t="s">
        <v>3731</v>
      </c>
      <c r="C1274" s="23"/>
      <c r="D1274" s="24"/>
      <c r="E1274" s="25"/>
      <c r="F1274" s="26"/>
      <c r="G1274" s="27">
        <f>SUM(G1275:G1277)</f>
        <v>523.98458482500007</v>
      </c>
      <c r="H1274" s="44">
        <f>G1274*E1266</f>
        <v>0</v>
      </c>
    </row>
    <row r="1275" spans="1:10" ht="12.75" customHeight="1">
      <c r="A1275" s="28"/>
      <c r="B1275" s="29" t="s">
        <v>3570</v>
      </c>
      <c r="C1275" s="30" t="str">
        <f>IFERROR(_xlfn.XLOOKUP(B1275,Equipo[DESCRIPCION],Equipo[UND],,0),"")</f>
        <v>%MO</v>
      </c>
      <c r="D1275" s="31">
        <v>0.04</v>
      </c>
      <c r="E1275" s="32">
        <f>IF(C1275="%MO",G1281,IFERROR(_xlfn.XLOOKUP($B1275,Equipo[DESCRIPCION],Equipo[VALOR],,0),""))</f>
        <v>5822.0509425000009</v>
      </c>
      <c r="F1275" s="33"/>
      <c r="G1275" s="34">
        <f>IFERROR(IF(F1275&gt;=0,D1275*E1275*(1+F1275/100),ABS(D1275*E1275/F1275)),"")</f>
        <v>232.88203770000004</v>
      </c>
      <c r="H1275" s="43">
        <f>IFERROR(G1275*E1266,"")</f>
        <v>0</v>
      </c>
    </row>
    <row r="1276" spans="1:10" ht="12.75" customHeight="1">
      <c r="A1276" s="28"/>
      <c r="B1276" s="29" t="s">
        <v>3626</v>
      </c>
      <c r="C1276" s="30" t="str">
        <f>IFERROR(_xlfn.XLOOKUP(B1276,Equipo[DESCRIPCION],Equipo[UND],,0),"")</f>
        <v>%MO</v>
      </c>
      <c r="D1276" s="31">
        <v>0.05</v>
      </c>
      <c r="E1276" s="32">
        <f>IF(C1276="%MO",G1281,IFERROR(_xlfn.XLOOKUP($B1276,Equipo[DESCRIPCION],Equipo[VALOR],,0),""))</f>
        <v>5822.0509425000009</v>
      </c>
      <c r="F1276" s="33"/>
      <c r="G1276" s="34">
        <f>IFERROR(IF(F1276&gt;=0,D1276*E1276*(1+F1276/100),ABS(D1276*E1276/F1276)),"")</f>
        <v>291.10254712500006</v>
      </c>
      <c r="H1276" s="43">
        <f>IFERROR(G1276*E1266,"")</f>
        <v>0</v>
      </c>
    </row>
    <row r="1277" spans="1:10" ht="12.75" customHeight="1">
      <c r="A1277" s="28"/>
      <c r="B1277" s="29"/>
      <c r="C1277" s="30" t="str">
        <f>IFERROR(_xlfn.XLOOKUP(B1277,Equipo[DESCRIPCION],Equipo[UND],,0),"")</f>
        <v/>
      </c>
      <c r="D1277" s="31"/>
      <c r="E1277" s="32" t="str">
        <f>IF(C1277="%MO",G1281,IFERROR(_xlfn.XLOOKUP($B1277,Equipo[DESCRIPCION],Equipo[VALOR],,0),""))</f>
        <v/>
      </c>
      <c r="F1277" s="33"/>
      <c r="G1277" s="34" t="str">
        <f>IFERROR(IF(F1277&gt;=0,D1277*E1277*(1+F1277/100),ABS(D1277*E1277/F1277)),"")</f>
        <v/>
      </c>
      <c r="H1277" s="43" t="str">
        <f>IFERROR(G1277*E1266,"")</f>
        <v/>
      </c>
    </row>
    <row r="1278" spans="1:10" ht="12.75" customHeight="1">
      <c r="A1278" s="21"/>
      <c r="B1278" s="22" t="s">
        <v>2533</v>
      </c>
      <c r="C1278" s="23"/>
      <c r="D1278" s="24"/>
      <c r="E1278" s="25"/>
      <c r="F1278" s="26"/>
      <c r="G1278" s="27">
        <f>SUM(G1279:G1280)</f>
        <v>0</v>
      </c>
      <c r="H1278" s="44">
        <f>G1278*E1266</f>
        <v>0</v>
      </c>
    </row>
    <row r="1279" spans="1:10" ht="12.75" customHeight="1">
      <c r="A1279" s="28"/>
      <c r="B1279" s="29"/>
      <c r="C1279" s="30" t="str">
        <f>IFERROR(_xlfn.XLOOKUP(B1279,Transporte[DESCRIPCION],Transporte[UND],,0),"")</f>
        <v/>
      </c>
      <c r="D1279" s="31"/>
      <c r="E1279" s="32" t="str">
        <f>IFERROR(_xlfn.XLOOKUP($B1279,Transporte[DESCRIPCION],Transporte[VALOR],,0),"")</f>
        <v/>
      </c>
      <c r="F1279" s="33"/>
      <c r="G1279" s="34" t="str">
        <f>IFERROR(IF(F1279&gt;=0,D1279*E1279*(1+F1279/100),ABS(D1279*E1279/F1279)),"")</f>
        <v/>
      </c>
      <c r="H1279" s="43" t="str">
        <f>IFERROR(G1279*E1266,"")</f>
        <v/>
      </c>
    </row>
    <row r="1280" spans="1:10" ht="12.75" customHeight="1">
      <c r="A1280" s="28"/>
      <c r="B1280" s="29"/>
      <c r="C1280" s="30" t="str">
        <f>IFERROR(_xlfn.XLOOKUP(B1280,Transporte[DESCRIPCION],Transporte[UND],,0),"")</f>
        <v/>
      </c>
      <c r="D1280" s="31"/>
      <c r="E1280" s="32" t="str">
        <f>IFERROR(_xlfn.XLOOKUP($B1280,Transporte[DESCRIPCION],Transporte[VALOR],,0),"")</f>
        <v/>
      </c>
      <c r="F1280" s="33"/>
      <c r="G1280" s="34" t="str">
        <f>IFERROR(IF(F1280&gt;=0,D1280*E1280*(1+F1280/100),ABS(D1280*E1280/F1280)),"")</f>
        <v/>
      </c>
      <c r="H1280" s="43" t="str">
        <f>IFERROR(G1280*E1266,"")</f>
        <v/>
      </c>
    </row>
    <row r="1281" spans="1:10" ht="12.75" customHeight="1">
      <c r="A1281" s="21"/>
      <c r="B1281" s="22" t="s">
        <v>3732</v>
      </c>
      <c r="C1281" s="23"/>
      <c r="D1281" s="24"/>
      <c r="E1281" s="25"/>
      <c r="F1281" s="26"/>
      <c r="G1281" s="27">
        <f>SUM(G1282:G1284)</f>
        <v>5822.0509425000009</v>
      </c>
      <c r="H1281" s="44">
        <f>G1281*E1266</f>
        <v>0</v>
      </c>
    </row>
    <row r="1282" spans="1:10" ht="12.75" customHeight="1">
      <c r="A1282" s="28"/>
      <c r="B1282" s="29" t="s">
        <v>3698</v>
      </c>
      <c r="C1282" s="30" t="str">
        <f>IFERROR(_xlfn.XLOOKUP(B1282,MObra[DESCRIPCION],MObra[UN],,0),"")</f>
        <v>día</v>
      </c>
      <c r="D1282" s="31">
        <v>1</v>
      </c>
      <c r="E1282" s="32">
        <f>IFERROR(_xlfn.XLOOKUP($B1282,MObra[DESCRIPCION],MObra[VALOR UNIT],,0),"")</f>
        <v>116441.01885000002</v>
      </c>
      <c r="F1282" s="33">
        <v>-20</v>
      </c>
      <c r="G1282" s="34">
        <f>IFERROR(IF(F1282&gt;=0,D1282*E1282*(1+F1282/100),ABS(D1282*E1282/F1282)),"")</f>
        <v>5822.0509425000009</v>
      </c>
      <c r="H1282" s="43">
        <f>IFERROR(G1282*E1266,"")</f>
        <v>0</v>
      </c>
    </row>
    <row r="1283" spans="1:10" ht="12.75" customHeight="1">
      <c r="A1283" s="28"/>
      <c r="B1283" s="29"/>
      <c r="C1283" s="30" t="str">
        <f t="array" ref="C1283">IFERROR(_xlfn.XLOOKUP(B1283,MObra[[#All],[DESCRIPCION]],MObra[[#All],[UN]],,0),"")</f>
        <v/>
      </c>
      <c r="D1283" s="31"/>
      <c r="E1283" s="32" t="str">
        <f>IFERROR(_xlfn.XLOOKUP($B1283,MObra[DESCRIPCION],MObra[VALOR UNIT],,0),"")</f>
        <v/>
      </c>
      <c r="F1283" s="33"/>
      <c r="G1283" s="34" t="str">
        <f>IFERROR(IF(F1283&gt;=0,D1283*E1283*(1+F1283/100),ABS(D1283*E1283/F1283)),"")</f>
        <v/>
      </c>
      <c r="H1283" s="43" t="str">
        <f>IFERROR(G1283*E1266,"")</f>
        <v/>
      </c>
    </row>
    <row r="1284" spans="1:10" ht="12.75" customHeight="1" thickBot="1">
      <c r="A1284" s="35"/>
      <c r="B1284" s="36"/>
      <c r="C1284" s="37" t="str">
        <f t="array" ref="C1284">IFERROR(_xlfn.XLOOKUP(B1284,MObra[[#All],[DESCRIPCION]],MObra[[#All],[UN]],,0),"")</f>
        <v/>
      </c>
      <c r="D1284" s="38"/>
      <c r="E1284" s="39" t="str">
        <f>IFERROR(_xlfn.XLOOKUP($B1284,MObra[DESCRIPCION],MObra[VALOR UNIT],,0),"")</f>
        <v/>
      </c>
      <c r="F1284" s="40"/>
      <c r="G1284" s="41" t="str">
        <f>IFERROR(IF(F1284&gt;=0,D1284*E1284*(1+F1284/100),ABS(D1284*E1284/F1284)),"")</f>
        <v/>
      </c>
      <c r="H1284" s="42" t="str">
        <f>IFERROR(G1284*E1266,"")</f>
        <v/>
      </c>
    </row>
    <row r="1285" spans="1:10" ht="12.75" customHeight="1" thickTop="1" thickBot="1">
      <c r="E1285" s="49"/>
      <c r="G1285" s="3"/>
    </row>
    <row r="1286" spans="1:10" ht="12.75" customHeight="1" thickTop="1" thickBot="1">
      <c r="A1286" s="6" t="s">
        <v>148</v>
      </c>
      <c r="B1286" s="7" t="str">
        <f>VLOOKUP($A1286,Presupuesto!$A:$D,2,FALSE())</f>
        <v>Demolición piso concreto manual</v>
      </c>
      <c r="C1286" s="8" t="str">
        <f>VLOOKUP($A1286,Presupuesto!$A:$D,3,FALSE())</f>
        <v>M2</v>
      </c>
      <c r="D1286" s="9"/>
      <c r="E1286" s="10">
        <f>VLOOKUP($A1286,Presupuesto!$A:$D,4,FALSE())</f>
        <v>0</v>
      </c>
      <c r="F1286" s="11" t="s">
        <v>2589</v>
      </c>
      <c r="G1286" s="12">
        <f>SUM(G1288:G1304)/2</f>
        <v>21153.451757750005</v>
      </c>
      <c r="H1286" s="13">
        <f>ROUND(SUM(H1288:H1304),0)/2</f>
        <v>0</v>
      </c>
      <c r="I1286" s="10">
        <f>VLOOKUP(A1286,Presupuesto!$A:$F,6,0)</f>
        <v>0</v>
      </c>
      <c r="J1286" s="10">
        <f>+H1286-I1286</f>
        <v>0</v>
      </c>
    </row>
    <row r="1287" spans="1:10" ht="12.75" customHeight="1" thickTop="1">
      <c r="A1287" s="14"/>
      <c r="B1287" s="15" t="s">
        <v>2586</v>
      </c>
      <c r="C1287" s="15" t="s">
        <v>5</v>
      </c>
      <c r="D1287" s="16" t="s">
        <v>6</v>
      </c>
      <c r="E1287" s="17" t="s">
        <v>7</v>
      </c>
      <c r="F1287" s="18" t="s">
        <v>3728</v>
      </c>
      <c r="G1287" s="19" t="s">
        <v>3729</v>
      </c>
      <c r="H1287" s="20" t="s">
        <v>3797</v>
      </c>
    </row>
    <row r="1288" spans="1:10" ht="12.75" customHeight="1">
      <c r="A1288" s="21"/>
      <c r="B1288" s="22" t="s">
        <v>3730</v>
      </c>
      <c r="C1288" s="23"/>
      <c r="D1288" s="24"/>
      <c r="E1288" s="25"/>
      <c r="F1288" s="26"/>
      <c r="G1288" s="27">
        <f>SUM(G1289:G1293)</f>
        <v>0</v>
      </c>
      <c r="H1288" s="27">
        <f>IFERROR(G1288*E1286,"")</f>
        <v>0</v>
      </c>
    </row>
    <row r="1289" spans="1:10" ht="12.75" customHeight="1">
      <c r="A1289" s="28"/>
      <c r="B1289" s="29"/>
      <c r="C1289" s="30" t="str">
        <f>IFERROR(_xlfn.XLOOKUP(B1289,Insumo[DESCRIPCION],Insumo[UND],,0),"")</f>
        <v/>
      </c>
      <c r="D1289" s="31"/>
      <c r="E1289" s="32" t="str">
        <f>IFERROR(_xlfn.XLOOKUP($B1289,Insumo[DESCRIPCION],Insumo[VALOR],,0),"")</f>
        <v/>
      </c>
      <c r="F1289" s="33"/>
      <c r="G1289" s="34" t="str">
        <f>IFERROR(IF(F1289&gt;=0,D1289*E1289*(1+F1289/100),ABS(D1289*E1289/F1289)),"")</f>
        <v/>
      </c>
      <c r="H1289" s="43" t="str">
        <f>IFERROR(G1289*E1286,"")</f>
        <v/>
      </c>
    </row>
    <row r="1290" spans="1:10" ht="12.75" customHeight="1">
      <c r="A1290" s="28"/>
      <c r="B1290" s="29"/>
      <c r="C1290" s="30" t="str">
        <f>IFERROR(_xlfn.XLOOKUP(B1290,Insumo[DESCRIPCION],Insumo[UND],,0),"")</f>
        <v/>
      </c>
      <c r="D1290" s="31"/>
      <c r="E1290" s="32" t="str">
        <f>IFERROR(_xlfn.XLOOKUP($B1290,Insumo[DESCRIPCION],Insumo[VALOR],,0),"")</f>
        <v/>
      </c>
      <c r="F1290" s="33"/>
      <c r="G1290" s="34" t="str">
        <f>IFERROR(IF(F1290&gt;=0,D1290*E1290*(1+F1290/100),ABS(D1290*E1290/F1290)),"")</f>
        <v/>
      </c>
      <c r="H1290" s="43" t="str">
        <f>IFERROR(G1290*E1286,"")</f>
        <v/>
      </c>
    </row>
    <row r="1291" spans="1:10" ht="12.75" customHeight="1">
      <c r="A1291" s="28"/>
      <c r="B1291" s="29"/>
      <c r="C1291" s="30" t="str">
        <f>IFERROR(_xlfn.XLOOKUP(B1291,Insumo[DESCRIPCION],Insumo[UND],,0),"")</f>
        <v/>
      </c>
      <c r="D1291" s="31"/>
      <c r="E1291" s="32" t="str">
        <f>IFERROR(_xlfn.XLOOKUP($B1291,Insumo[DESCRIPCION],Insumo[VALOR],,0),"")</f>
        <v/>
      </c>
      <c r="F1291" s="33"/>
      <c r="G1291" s="34" t="str">
        <f>IFERROR(IF(F1291&gt;=0,D1291*E1291*(1+F1291/100),ABS(D1291*E1291/F1291)),"")</f>
        <v/>
      </c>
      <c r="H1291" s="43" t="str">
        <f>IFERROR(G1291*E1286,"")</f>
        <v/>
      </c>
    </row>
    <row r="1292" spans="1:10" ht="12.75" customHeight="1">
      <c r="A1292" s="28"/>
      <c r="B1292" s="29"/>
      <c r="C1292" s="30" t="str">
        <f>IFERROR(_xlfn.XLOOKUP(B1292,Insumo[DESCRIPCION],Insumo[UND],,0),"")</f>
        <v/>
      </c>
      <c r="D1292" s="31"/>
      <c r="E1292" s="32" t="str">
        <f>IFERROR(_xlfn.XLOOKUP($B1292,Insumo[DESCRIPCION],Insumo[VALOR],,0),"")</f>
        <v/>
      </c>
      <c r="F1292" s="33"/>
      <c r="G1292" s="34" t="str">
        <f>IFERROR(IF(F1292&gt;=0,D1292*E1292*(1+F1292/100),ABS(D1292*E1292/F1292)),"")</f>
        <v/>
      </c>
      <c r="H1292" s="43" t="str">
        <f>IFERROR(G1292*E1286,"")</f>
        <v/>
      </c>
    </row>
    <row r="1293" spans="1:10" ht="12.75" customHeight="1">
      <c r="A1293" s="28"/>
      <c r="B1293" s="29"/>
      <c r="C1293" s="30" t="str">
        <f>IFERROR(_xlfn.XLOOKUP(B1293,Insumo[DESCRIPCION],Insumo[UND],,0),"")</f>
        <v/>
      </c>
      <c r="D1293" s="31"/>
      <c r="E1293" s="32" t="str">
        <f>IFERROR(_xlfn.XLOOKUP($B1293,Insumo[DESCRIPCION],Insumo[VALOR],,0),"")</f>
        <v/>
      </c>
      <c r="F1293" s="33"/>
      <c r="G1293" s="34" t="str">
        <f>IFERROR(IF(F1293&gt;=0,D1293*E1293*(1+F1293/100),ABS(D1293*E1293/F1293)),"")</f>
        <v/>
      </c>
      <c r="H1293" s="43" t="str">
        <f>IFERROR(G1293*E1286,"")</f>
        <v/>
      </c>
    </row>
    <row r="1294" spans="1:10" ht="12.75" customHeight="1">
      <c r="A1294" s="21"/>
      <c r="B1294" s="22" t="s">
        <v>3731</v>
      </c>
      <c r="C1294" s="23"/>
      <c r="D1294" s="24"/>
      <c r="E1294" s="25"/>
      <c r="F1294" s="26"/>
      <c r="G1294" s="27">
        <f>SUM(G1295:G1297)</f>
        <v>1746.6152827500005</v>
      </c>
      <c r="H1294" s="44">
        <f>G1294*E1286</f>
        <v>0</v>
      </c>
    </row>
    <row r="1295" spans="1:10" ht="12.75" customHeight="1">
      <c r="A1295" s="28"/>
      <c r="B1295" s="29" t="s">
        <v>3570</v>
      </c>
      <c r="C1295" s="30" t="str">
        <f>IFERROR(_xlfn.XLOOKUP(B1295,Equipo[DESCRIPCION],Equipo[UND],,0),"")</f>
        <v>%MO</v>
      </c>
      <c r="D1295" s="31">
        <v>0.04</v>
      </c>
      <c r="E1295" s="32">
        <f>IF(C1295="%MO",G1301,IFERROR(_xlfn.XLOOKUP($B1295,Equipo[DESCRIPCION],Equipo[VALOR],,0),""))</f>
        <v>19406.836475000004</v>
      </c>
      <c r="F1295" s="33"/>
      <c r="G1295" s="34">
        <f>IFERROR(IF(F1295&gt;=0,D1295*E1295*(1+F1295/100),ABS(D1295*E1295/F1295)),"")</f>
        <v>776.27345900000012</v>
      </c>
      <c r="H1295" s="43">
        <f>IFERROR(G1295*E1286,"")</f>
        <v>0</v>
      </c>
    </row>
    <row r="1296" spans="1:10" ht="12.75" customHeight="1">
      <c r="A1296" s="28"/>
      <c r="B1296" s="29" t="s">
        <v>3626</v>
      </c>
      <c r="C1296" s="30" t="str">
        <f>IFERROR(_xlfn.XLOOKUP(B1296,Equipo[DESCRIPCION],Equipo[UND],,0),"")</f>
        <v>%MO</v>
      </c>
      <c r="D1296" s="31">
        <v>0.05</v>
      </c>
      <c r="E1296" s="32">
        <f>IF(C1296="%MO",G1301,IFERROR(_xlfn.XLOOKUP($B1296,Equipo[DESCRIPCION],Equipo[VALOR],,0),""))</f>
        <v>19406.836475000004</v>
      </c>
      <c r="F1296" s="33"/>
      <c r="G1296" s="34">
        <f>IFERROR(IF(F1296&gt;=0,D1296*E1296*(1+F1296/100),ABS(D1296*E1296/F1296)),"")</f>
        <v>970.34182375000023</v>
      </c>
      <c r="H1296" s="43">
        <f>IFERROR(G1296*E1286,"")</f>
        <v>0</v>
      </c>
    </row>
    <row r="1297" spans="1:10" ht="12.75" customHeight="1">
      <c r="A1297" s="28"/>
      <c r="B1297" s="29"/>
      <c r="C1297" s="30" t="str">
        <f>IFERROR(_xlfn.XLOOKUP(B1297,Equipo[DESCRIPCION],Equipo[UND],,0),"")</f>
        <v/>
      </c>
      <c r="D1297" s="31"/>
      <c r="E1297" s="32" t="str">
        <f>IF(C1297="%MO",G1301,IFERROR(_xlfn.XLOOKUP($B1297,Equipo[DESCRIPCION],Equipo[VALOR],,0),""))</f>
        <v/>
      </c>
      <c r="F1297" s="33"/>
      <c r="G1297" s="34" t="str">
        <f>IFERROR(IF(F1297&gt;=0,D1297*E1297*(1+F1297/100),ABS(D1297*E1297/F1297)),"")</f>
        <v/>
      </c>
      <c r="H1297" s="43" t="str">
        <f>IFERROR(G1297*E1286,"")</f>
        <v/>
      </c>
    </row>
    <row r="1298" spans="1:10" ht="12.75" customHeight="1">
      <c r="A1298" s="21"/>
      <c r="B1298" s="22" t="s">
        <v>2533</v>
      </c>
      <c r="C1298" s="23"/>
      <c r="D1298" s="24"/>
      <c r="E1298" s="25"/>
      <c r="F1298" s="26"/>
      <c r="G1298" s="27">
        <f>SUM(G1299:G1300)</f>
        <v>0</v>
      </c>
      <c r="H1298" s="44">
        <f>G1298*E1286</f>
        <v>0</v>
      </c>
    </row>
    <row r="1299" spans="1:10" ht="12.75" customHeight="1">
      <c r="A1299" s="28"/>
      <c r="B1299" s="29"/>
      <c r="C1299" s="30" t="str">
        <f>IFERROR(_xlfn.XLOOKUP(B1299,Transporte[DESCRIPCION],Transporte[UND],,0),"")</f>
        <v/>
      </c>
      <c r="D1299" s="31"/>
      <c r="E1299" s="32" t="str">
        <f>IFERROR(_xlfn.XLOOKUP($B1299,Transporte[DESCRIPCION],Transporte[VALOR],,0),"")</f>
        <v/>
      </c>
      <c r="F1299" s="33"/>
      <c r="G1299" s="34" t="str">
        <f>IFERROR(IF(F1299&gt;=0,D1299*E1299*(1+F1299/100),ABS(D1299*E1299/F1299)),"")</f>
        <v/>
      </c>
      <c r="H1299" s="43" t="str">
        <f>IFERROR(G1299*E1286,"")</f>
        <v/>
      </c>
    </row>
    <row r="1300" spans="1:10" ht="12.75" customHeight="1">
      <c r="A1300" s="28"/>
      <c r="B1300" s="29"/>
      <c r="C1300" s="30" t="str">
        <f>IFERROR(_xlfn.XLOOKUP(B1300,Transporte[DESCRIPCION],Transporte[UND],,0),"")</f>
        <v/>
      </c>
      <c r="D1300" s="31"/>
      <c r="E1300" s="32" t="str">
        <f>IFERROR(_xlfn.XLOOKUP($B1300,Transporte[DESCRIPCION],Transporte[VALOR],,0),"")</f>
        <v/>
      </c>
      <c r="F1300" s="33"/>
      <c r="G1300" s="34" t="str">
        <f>IFERROR(IF(F1300&gt;=0,D1300*E1300*(1+F1300/100),ABS(D1300*E1300/F1300)),"")</f>
        <v/>
      </c>
      <c r="H1300" s="43" t="str">
        <f>IFERROR(G1300*E1286,"")</f>
        <v/>
      </c>
    </row>
    <row r="1301" spans="1:10" ht="12.75" customHeight="1">
      <c r="A1301" s="21"/>
      <c r="B1301" s="22" t="s">
        <v>3732</v>
      </c>
      <c r="C1301" s="23"/>
      <c r="D1301" s="24"/>
      <c r="E1301" s="25"/>
      <c r="F1301" s="26"/>
      <c r="G1301" s="27">
        <f>SUM(G1302:G1304)</f>
        <v>19406.836475000004</v>
      </c>
      <c r="H1301" s="44">
        <f>G1301*E1286</f>
        <v>0</v>
      </c>
    </row>
    <row r="1302" spans="1:10" ht="12.75" customHeight="1">
      <c r="A1302" s="28"/>
      <c r="B1302" s="29" t="s">
        <v>3698</v>
      </c>
      <c r="C1302" s="30" t="str">
        <f>IFERROR(_xlfn.XLOOKUP(B1302,MObra[DESCRIPCION],MObra[UN],,0),"")</f>
        <v>día</v>
      </c>
      <c r="D1302" s="31">
        <v>1</v>
      </c>
      <c r="E1302" s="32">
        <f>IFERROR(_xlfn.XLOOKUP($B1302,MObra[DESCRIPCION],MObra[VALOR UNIT],,0),"")</f>
        <v>116441.01885000002</v>
      </c>
      <c r="F1302" s="33">
        <v>-6</v>
      </c>
      <c r="G1302" s="34">
        <f>IFERROR(IF(F1302&gt;=0,D1302*E1302*(1+F1302/100),ABS(D1302*E1302/F1302)),"")</f>
        <v>19406.836475000004</v>
      </c>
      <c r="H1302" s="43">
        <f>IFERROR(G1302*E1286,"")</f>
        <v>0</v>
      </c>
    </row>
    <row r="1303" spans="1:10" ht="12.75" customHeight="1">
      <c r="A1303" s="28"/>
      <c r="B1303" s="29"/>
      <c r="C1303" s="30" t="str">
        <f t="array" ref="C1303">IFERROR(_xlfn.XLOOKUP(B1303,MObra[[#All],[DESCRIPCION]],MObra[[#All],[UN]],,0),"")</f>
        <v/>
      </c>
      <c r="D1303" s="31"/>
      <c r="E1303" s="32" t="str">
        <f>IFERROR(_xlfn.XLOOKUP($B1303,MObra[DESCRIPCION],MObra[VALOR UNIT],,0),"")</f>
        <v/>
      </c>
      <c r="F1303" s="33"/>
      <c r="G1303" s="34" t="str">
        <f>IFERROR(IF(F1303&gt;=0,D1303*E1303*(1+F1303/100),ABS(D1303*E1303/F1303)),"")</f>
        <v/>
      </c>
      <c r="H1303" s="43" t="str">
        <f>IFERROR(G1303*E1286,"")</f>
        <v/>
      </c>
    </row>
    <row r="1304" spans="1:10" ht="12.75" customHeight="1" thickBot="1">
      <c r="A1304" s="35"/>
      <c r="B1304" s="36"/>
      <c r="C1304" s="37" t="str">
        <f t="array" ref="C1304">IFERROR(_xlfn.XLOOKUP(B1304,MObra[[#All],[DESCRIPCION]],MObra[[#All],[UN]],,0),"")</f>
        <v/>
      </c>
      <c r="D1304" s="38"/>
      <c r="E1304" s="39" t="str">
        <f>IFERROR(_xlfn.XLOOKUP($B1304,MObra[DESCRIPCION],MObra[VALOR UNIT],,0),"")</f>
        <v/>
      </c>
      <c r="F1304" s="40"/>
      <c r="G1304" s="41" t="str">
        <f>IFERROR(IF(F1304&gt;=0,D1304*E1304*(1+F1304/100),ABS(D1304*E1304/F1304)),"")</f>
        <v/>
      </c>
      <c r="H1304" s="42" t="str">
        <f>IFERROR(G1304*E1286,"")</f>
        <v/>
      </c>
    </row>
    <row r="1305" spans="1:10" ht="12.75" customHeight="1" thickTop="1" thickBot="1">
      <c r="E1305" s="49"/>
      <c r="G1305" s="3"/>
    </row>
    <row r="1306" spans="1:10" ht="12.75" customHeight="1" thickTop="1" thickBot="1">
      <c r="A1306" s="6" t="s">
        <v>150</v>
      </c>
      <c r="B1306" s="7" t="str">
        <f>VLOOKUP($A1306,Presupuesto!$A:$D,2,FALSE())</f>
        <v>Demolición piso concreto mecánico</v>
      </c>
      <c r="C1306" s="8" t="str">
        <f>VLOOKUP($A1306,Presupuesto!$A:$D,3,FALSE())</f>
        <v>M3</v>
      </c>
      <c r="D1306" s="9"/>
      <c r="E1306" s="10">
        <f>VLOOKUP($A1306,Presupuesto!$A:$D,4,FALSE())</f>
        <v>0</v>
      </c>
      <c r="F1306" s="11" t="s">
        <v>2589</v>
      </c>
      <c r="G1306" s="12">
        <f>SUM(G1308:G1324)/2</f>
        <v>168908.07882005148</v>
      </c>
      <c r="H1306" s="13">
        <f>ROUND(SUM(H1308:H1324),0)/2</f>
        <v>0</v>
      </c>
      <c r="I1306" s="10">
        <f>VLOOKUP(A1306,Presupuesto!$A:$F,6,0)</f>
        <v>0</v>
      </c>
      <c r="J1306" s="10">
        <f>+H1306-I1306</f>
        <v>0</v>
      </c>
    </row>
    <row r="1307" spans="1:10" ht="12.75" customHeight="1" thickTop="1">
      <c r="A1307" s="14"/>
      <c r="B1307" s="15" t="s">
        <v>2586</v>
      </c>
      <c r="C1307" s="15" t="s">
        <v>5</v>
      </c>
      <c r="D1307" s="16" t="s">
        <v>6</v>
      </c>
      <c r="E1307" s="17" t="s">
        <v>7</v>
      </c>
      <c r="F1307" s="18" t="s">
        <v>3728</v>
      </c>
      <c r="G1307" s="19" t="s">
        <v>3729</v>
      </c>
      <c r="H1307" s="20" t="s">
        <v>3797</v>
      </c>
    </row>
    <row r="1308" spans="1:10" ht="12.75" customHeight="1">
      <c r="A1308" s="21"/>
      <c r="B1308" s="22" t="s">
        <v>3730</v>
      </c>
      <c r="C1308" s="23"/>
      <c r="D1308" s="24"/>
      <c r="E1308" s="25"/>
      <c r="F1308" s="26"/>
      <c r="G1308" s="27">
        <f>SUM(G1309:G1313)</f>
        <v>0</v>
      </c>
      <c r="H1308" s="27">
        <f>IFERROR(G1308*E1306,"")</f>
        <v>0</v>
      </c>
    </row>
    <row r="1309" spans="1:10" ht="12.75" customHeight="1">
      <c r="A1309" s="28"/>
      <c r="B1309" s="29"/>
      <c r="C1309" s="30" t="str">
        <f>IFERROR(_xlfn.XLOOKUP(B1309,Insumo[DESCRIPCION],Insumo[UND],,0),"")</f>
        <v/>
      </c>
      <c r="D1309" s="31"/>
      <c r="E1309" s="32" t="str">
        <f>IFERROR(_xlfn.XLOOKUP($B1309,Insumo[DESCRIPCION],Insumo[VALOR],,0),"")</f>
        <v/>
      </c>
      <c r="F1309" s="33"/>
      <c r="G1309" s="34" t="str">
        <f>IFERROR(IF(F1309&gt;=0,D1309*E1309*(1+F1309/100),ABS(D1309*E1309/F1309)),"")</f>
        <v/>
      </c>
      <c r="H1309" s="43" t="str">
        <f>IFERROR(G1309*E1306,"")</f>
        <v/>
      </c>
    </row>
    <row r="1310" spans="1:10" ht="12.75" customHeight="1">
      <c r="A1310" s="28"/>
      <c r="B1310" s="29"/>
      <c r="C1310" s="30" t="str">
        <f>IFERROR(_xlfn.XLOOKUP(B1310,Insumo[DESCRIPCION],Insumo[UND],,0),"")</f>
        <v/>
      </c>
      <c r="D1310" s="31"/>
      <c r="E1310" s="32" t="str">
        <f>IFERROR(_xlfn.XLOOKUP($B1310,Insumo[DESCRIPCION],Insumo[VALOR],,0),"")</f>
        <v/>
      </c>
      <c r="F1310" s="33"/>
      <c r="G1310" s="34" t="str">
        <f>IFERROR(IF(F1310&gt;=0,D1310*E1310*(1+F1310/100),ABS(D1310*E1310/F1310)),"")</f>
        <v/>
      </c>
      <c r="H1310" s="43" t="str">
        <f>IFERROR(G1310*E1306,"")</f>
        <v/>
      </c>
    </row>
    <row r="1311" spans="1:10" ht="12.75" customHeight="1">
      <c r="A1311" s="28"/>
      <c r="B1311" s="29"/>
      <c r="C1311" s="30" t="str">
        <f>IFERROR(_xlfn.XLOOKUP(B1311,Insumo[DESCRIPCION],Insumo[UND],,0),"")</f>
        <v/>
      </c>
      <c r="D1311" s="31"/>
      <c r="E1311" s="32" t="str">
        <f>IFERROR(_xlfn.XLOOKUP($B1311,Insumo[DESCRIPCION],Insumo[VALOR],,0),"")</f>
        <v/>
      </c>
      <c r="F1311" s="33"/>
      <c r="G1311" s="34" t="str">
        <f>IFERROR(IF(F1311&gt;=0,D1311*E1311*(1+F1311/100),ABS(D1311*E1311/F1311)),"")</f>
        <v/>
      </c>
      <c r="H1311" s="43" t="str">
        <f>IFERROR(G1311*E1306,"")</f>
        <v/>
      </c>
    </row>
    <row r="1312" spans="1:10" ht="12.75" customHeight="1">
      <c r="A1312" s="28"/>
      <c r="B1312" s="29"/>
      <c r="C1312" s="30" t="str">
        <f>IFERROR(_xlfn.XLOOKUP(B1312,Insumo[DESCRIPCION],Insumo[UND],,0),"")</f>
        <v/>
      </c>
      <c r="D1312" s="31"/>
      <c r="E1312" s="32" t="str">
        <f>IFERROR(_xlfn.XLOOKUP($B1312,Insumo[DESCRIPCION],Insumo[VALOR],,0),"")</f>
        <v/>
      </c>
      <c r="F1312" s="33"/>
      <c r="G1312" s="34" t="str">
        <f>IFERROR(IF(F1312&gt;=0,D1312*E1312*(1+F1312/100),ABS(D1312*E1312/F1312)),"")</f>
        <v/>
      </c>
      <c r="H1312" s="43" t="str">
        <f>IFERROR(G1312*E1306,"")</f>
        <v/>
      </c>
    </row>
    <row r="1313" spans="1:10" ht="12.75" customHeight="1">
      <c r="A1313" s="28"/>
      <c r="B1313" s="29"/>
      <c r="C1313" s="30" t="str">
        <f>IFERROR(_xlfn.XLOOKUP(B1313,Insumo[DESCRIPCION],Insumo[UND],,0),"")</f>
        <v/>
      </c>
      <c r="D1313" s="31"/>
      <c r="E1313" s="32" t="str">
        <f>IFERROR(_xlfn.XLOOKUP($B1313,Insumo[DESCRIPCION],Insumo[VALOR],,0),"")</f>
        <v/>
      </c>
      <c r="F1313" s="33"/>
      <c r="G1313" s="34" t="str">
        <f>IFERROR(IF(F1313&gt;=0,D1313*E1313*(1+F1313/100),ABS(D1313*E1313/F1313)),"")</f>
        <v/>
      </c>
      <c r="H1313" s="43" t="str">
        <f>IFERROR(G1313*E1306,"")</f>
        <v/>
      </c>
    </row>
    <row r="1314" spans="1:10" ht="12.75" customHeight="1">
      <c r="A1314" s="21"/>
      <c r="B1314" s="22" t="s">
        <v>3731</v>
      </c>
      <c r="C1314" s="23"/>
      <c r="D1314" s="24"/>
      <c r="E1314" s="25"/>
      <c r="F1314" s="26"/>
      <c r="G1314" s="27">
        <f>SUM(G1315:G1317)</f>
        <v>159204.66058255147</v>
      </c>
      <c r="H1314" s="44">
        <f>G1314*E1306</f>
        <v>0</v>
      </c>
    </row>
    <row r="1315" spans="1:10" ht="12.75" customHeight="1">
      <c r="A1315" s="28"/>
      <c r="B1315" s="29" t="s">
        <v>3596</v>
      </c>
      <c r="C1315" s="30" t="str">
        <f>IFERROR(_xlfn.XLOOKUP(B1315,Equipo[DESCRIPCION],Equipo[UND],,0),"")</f>
        <v>Hr</v>
      </c>
      <c r="D1315" s="31">
        <v>1</v>
      </c>
      <c r="E1315" s="32">
        <f>IF(C1315="%MO",G1321,IFERROR(_xlfn.XLOOKUP($B1315,Equipo[DESCRIPCION],Equipo[VALOR],,0),""))</f>
        <v>134581.65</v>
      </c>
      <c r="F1315" s="33">
        <v>-0.85</v>
      </c>
      <c r="G1315" s="34">
        <f>IFERROR(IF(F1315&gt;=0,D1315*E1315*(1+F1315/100),ABS(D1315*E1315/F1315)),"")</f>
        <v>158331.35294117648</v>
      </c>
      <c r="H1315" s="43">
        <f>IFERROR(G1315*E1306,"")</f>
        <v>0</v>
      </c>
    </row>
    <row r="1316" spans="1:10" ht="12.75" customHeight="1">
      <c r="A1316" s="28"/>
      <c r="B1316" s="29" t="s">
        <v>3570</v>
      </c>
      <c r="C1316" s="30" t="str">
        <f>IFERROR(_xlfn.XLOOKUP(B1316,Equipo[DESCRIPCION],Equipo[UND],,0),"")</f>
        <v>%MO</v>
      </c>
      <c r="D1316" s="31">
        <v>0.04</v>
      </c>
      <c r="E1316" s="32">
        <f>IF(C1316="%MO",G1321,IFERROR(_xlfn.XLOOKUP($B1316,Equipo[DESCRIPCION],Equipo[VALOR],,0),""))</f>
        <v>9703.4182375000019</v>
      </c>
      <c r="F1316" s="33"/>
      <c r="G1316" s="34">
        <f>IFERROR(IF(F1316&gt;=0,D1316*E1316*(1+F1316/100),ABS(D1316*E1316/F1316)),"")</f>
        <v>388.13672950000006</v>
      </c>
      <c r="H1316" s="43">
        <f>IFERROR(G1316*E1306,"")</f>
        <v>0</v>
      </c>
    </row>
    <row r="1317" spans="1:10" ht="12.75" customHeight="1">
      <c r="A1317" s="28"/>
      <c r="B1317" s="29" t="s">
        <v>3626</v>
      </c>
      <c r="C1317" s="30" t="str">
        <f>IFERROR(_xlfn.XLOOKUP(B1317,Equipo[DESCRIPCION],Equipo[UND],,0),"")</f>
        <v>%MO</v>
      </c>
      <c r="D1317" s="31">
        <v>0.05</v>
      </c>
      <c r="E1317" s="32">
        <f>IF(C1317="%MO",G1321,IFERROR(_xlfn.XLOOKUP($B1317,Equipo[DESCRIPCION],Equipo[VALOR],,0),""))</f>
        <v>9703.4182375000019</v>
      </c>
      <c r="F1317" s="33"/>
      <c r="G1317" s="34">
        <f>IFERROR(IF(F1317&gt;=0,D1317*E1317*(1+F1317/100),ABS(D1317*E1317/F1317)),"")</f>
        <v>485.17091187500012</v>
      </c>
      <c r="H1317" s="43">
        <f>IFERROR(G1317*E1306,"")</f>
        <v>0</v>
      </c>
    </row>
    <row r="1318" spans="1:10" ht="12.75" customHeight="1">
      <c r="A1318" s="21"/>
      <c r="B1318" s="22" t="s">
        <v>2533</v>
      </c>
      <c r="C1318" s="23"/>
      <c r="D1318" s="24"/>
      <c r="E1318" s="25"/>
      <c r="F1318" s="26"/>
      <c r="G1318" s="27">
        <f>SUM(G1319:G1320)</f>
        <v>0</v>
      </c>
      <c r="H1318" s="44">
        <f>G1318*E1306</f>
        <v>0</v>
      </c>
    </row>
    <row r="1319" spans="1:10" ht="12.75" customHeight="1">
      <c r="A1319" s="28"/>
      <c r="B1319" s="29"/>
      <c r="C1319" s="30" t="str">
        <f>IFERROR(_xlfn.XLOOKUP(B1319,Transporte[DESCRIPCION],Transporte[UND],,0),"")</f>
        <v/>
      </c>
      <c r="D1319" s="31"/>
      <c r="E1319" s="32" t="str">
        <f>IFERROR(_xlfn.XLOOKUP($B1319,Transporte[DESCRIPCION],Transporte[VALOR],,0),"")</f>
        <v/>
      </c>
      <c r="F1319" s="33"/>
      <c r="G1319" s="34" t="str">
        <f>IFERROR(IF(F1319&gt;=0,D1319*E1319*(1+F1319/100),ABS(D1319*E1319/F1319)),"")</f>
        <v/>
      </c>
      <c r="H1319" s="43" t="str">
        <f>IFERROR(G1319*E1306,"")</f>
        <v/>
      </c>
    </row>
    <row r="1320" spans="1:10" ht="12.75" customHeight="1">
      <c r="A1320" s="28"/>
      <c r="B1320" s="29"/>
      <c r="C1320" s="30" t="str">
        <f>IFERROR(_xlfn.XLOOKUP(B1320,Transporte[DESCRIPCION],Transporte[UND],,0),"")</f>
        <v/>
      </c>
      <c r="D1320" s="31"/>
      <c r="E1320" s="32" t="str">
        <f>IFERROR(_xlfn.XLOOKUP($B1320,Transporte[DESCRIPCION],Transporte[VALOR],,0),"")</f>
        <v/>
      </c>
      <c r="F1320" s="33"/>
      <c r="G1320" s="34" t="str">
        <f>IFERROR(IF(F1320&gt;=0,D1320*E1320*(1+F1320/100),ABS(D1320*E1320/F1320)),"")</f>
        <v/>
      </c>
      <c r="H1320" s="43" t="str">
        <f>IFERROR(G1320*E1306,"")</f>
        <v/>
      </c>
    </row>
    <row r="1321" spans="1:10" ht="12.75" customHeight="1">
      <c r="A1321" s="21"/>
      <c r="B1321" s="22" t="s">
        <v>3732</v>
      </c>
      <c r="C1321" s="23"/>
      <c r="D1321" s="24"/>
      <c r="E1321" s="25"/>
      <c r="F1321" s="26"/>
      <c r="G1321" s="27">
        <f>SUM(G1322:G1324)</f>
        <v>9703.4182375000019</v>
      </c>
      <c r="H1321" s="44">
        <f>G1321*E1306</f>
        <v>0</v>
      </c>
    </row>
    <row r="1322" spans="1:10" ht="12.75" customHeight="1">
      <c r="A1322" s="28"/>
      <c r="B1322" s="29" t="s">
        <v>3698</v>
      </c>
      <c r="C1322" s="30" t="str">
        <f>IFERROR(_xlfn.XLOOKUP(B1322,MObra[DESCRIPCION],MObra[UN],,0),"")</f>
        <v>día</v>
      </c>
      <c r="D1322" s="31">
        <v>1</v>
      </c>
      <c r="E1322" s="32">
        <f>IFERROR(_xlfn.XLOOKUP($B1322,MObra[DESCRIPCION],MObra[VALOR UNIT],,0),"")</f>
        <v>116441.01885000002</v>
      </c>
      <c r="F1322" s="33">
        <v>-12</v>
      </c>
      <c r="G1322" s="34">
        <f>IFERROR(IF(F1322&gt;=0,D1322*E1322*(1+F1322/100),ABS(D1322*E1322/F1322)),"")</f>
        <v>9703.4182375000019</v>
      </c>
      <c r="H1322" s="43">
        <f>IFERROR(G1322*E1306,"")</f>
        <v>0</v>
      </c>
    </row>
    <row r="1323" spans="1:10" ht="12.75" customHeight="1">
      <c r="A1323" s="28"/>
      <c r="B1323" s="29"/>
      <c r="C1323" s="30" t="str">
        <f t="array" ref="C1323">IFERROR(_xlfn.XLOOKUP(B1323,MObra[[#All],[DESCRIPCION]],MObra[[#All],[UN]],,0),"")</f>
        <v/>
      </c>
      <c r="D1323" s="31"/>
      <c r="E1323" s="32" t="str">
        <f>IFERROR(_xlfn.XLOOKUP($B1323,MObra[DESCRIPCION],MObra[VALOR UNIT],,0),"")</f>
        <v/>
      </c>
      <c r="F1323" s="33"/>
      <c r="G1323" s="34" t="str">
        <f>IFERROR(IF(F1323&gt;=0,D1323*E1323*(1+F1323/100),ABS(D1323*E1323/F1323)),"")</f>
        <v/>
      </c>
      <c r="H1323" s="43" t="str">
        <f>IFERROR(G1323*E1306,"")</f>
        <v/>
      </c>
    </row>
    <row r="1324" spans="1:10" ht="12.75" customHeight="1" thickBot="1">
      <c r="A1324" s="35"/>
      <c r="B1324" s="36"/>
      <c r="C1324" s="37" t="str">
        <f t="array" ref="C1324">IFERROR(_xlfn.XLOOKUP(B1324,MObra[[#All],[DESCRIPCION]],MObra[[#All],[UN]],,0),"")</f>
        <v/>
      </c>
      <c r="D1324" s="38"/>
      <c r="E1324" s="39" t="str">
        <f>IFERROR(_xlfn.XLOOKUP($B1324,MObra[DESCRIPCION],MObra[VALOR UNIT],,0),"")</f>
        <v/>
      </c>
      <c r="F1324" s="40"/>
      <c r="G1324" s="41" t="str">
        <f>IFERROR(IF(F1324&gt;=0,D1324*E1324*(1+F1324/100),ABS(D1324*E1324/F1324)),"")</f>
        <v/>
      </c>
      <c r="H1324" s="42" t="str">
        <f>IFERROR(G1324*E1306,"")</f>
        <v/>
      </c>
    </row>
    <row r="1325" spans="1:10" ht="12.75" customHeight="1" thickTop="1" thickBot="1">
      <c r="E1325" s="49"/>
      <c r="G1325" s="3"/>
    </row>
    <row r="1326" spans="1:10" ht="12.75" customHeight="1" thickTop="1" thickBot="1">
      <c r="A1326" s="6" t="s">
        <v>152</v>
      </c>
      <c r="B1326" s="7" t="str">
        <f>VLOOKUP($A1326,Presupuesto!$A:$D,2,FALSE())</f>
        <v>Demolición placa aligerada</v>
      </c>
      <c r="C1326" s="8" t="str">
        <f>VLOOKUP($A1326,Presupuesto!$A:$D,3,FALSE())</f>
        <v>M2</v>
      </c>
      <c r="D1326" s="9"/>
      <c r="E1326" s="10">
        <f>VLOOKUP($A1326,Presupuesto!$A:$D,4,FALSE())</f>
        <v>0</v>
      </c>
      <c r="F1326" s="11" t="s">
        <v>2589</v>
      </c>
      <c r="G1326" s="12">
        <f>SUM(G1328:G1344)/2</f>
        <v>20507.592239862002</v>
      </c>
      <c r="H1326" s="13">
        <f>ROUND(SUM(H1328:H1344),0)/2</f>
        <v>0</v>
      </c>
      <c r="I1326" s="10">
        <f>VLOOKUP(A1326,Presupuesto!$A:$F,6,0)</f>
        <v>0</v>
      </c>
      <c r="J1326" s="10">
        <f>+H1326-I1326</f>
        <v>0</v>
      </c>
    </row>
    <row r="1327" spans="1:10" ht="12.75" customHeight="1" thickTop="1">
      <c r="A1327" s="14"/>
      <c r="B1327" s="15" t="s">
        <v>2586</v>
      </c>
      <c r="C1327" s="15" t="s">
        <v>5</v>
      </c>
      <c r="D1327" s="16" t="s">
        <v>6</v>
      </c>
      <c r="E1327" s="17" t="s">
        <v>7</v>
      </c>
      <c r="F1327" s="18" t="s">
        <v>3728</v>
      </c>
      <c r="G1327" s="19" t="s">
        <v>3729</v>
      </c>
      <c r="H1327" s="20" t="s">
        <v>3797</v>
      </c>
    </row>
    <row r="1328" spans="1:10" ht="12.75" customHeight="1">
      <c r="A1328" s="21"/>
      <c r="B1328" s="22" t="s">
        <v>3730</v>
      </c>
      <c r="C1328" s="23"/>
      <c r="D1328" s="24"/>
      <c r="E1328" s="25"/>
      <c r="F1328" s="26"/>
      <c r="G1328" s="27">
        <f>SUM(G1329:G1333)</f>
        <v>0</v>
      </c>
      <c r="H1328" s="27">
        <f>IFERROR(G1328*E1326,"")</f>
        <v>0</v>
      </c>
    </row>
    <row r="1329" spans="1:8" ht="12.75" customHeight="1">
      <c r="A1329" s="28"/>
      <c r="B1329" s="29"/>
      <c r="C1329" s="30" t="str">
        <f>IFERROR(_xlfn.XLOOKUP(B1329,Insumo[DESCRIPCION],Insumo[UND],,0),"")</f>
        <v/>
      </c>
      <c r="D1329" s="31"/>
      <c r="E1329" s="32" t="str">
        <f>IFERROR(_xlfn.XLOOKUP($B1329,Insumo[DESCRIPCION],Insumo[VALOR],,0),"")</f>
        <v/>
      </c>
      <c r="F1329" s="33"/>
      <c r="G1329" s="34" t="str">
        <f>IFERROR(IF(F1329&gt;=0,D1329*E1329*(1+F1329/100),ABS(D1329*E1329/F1329)),"")</f>
        <v/>
      </c>
      <c r="H1329" s="43" t="str">
        <f>IFERROR(G1329*E1326,"")</f>
        <v/>
      </c>
    </row>
    <row r="1330" spans="1:8" ht="12.75" customHeight="1">
      <c r="A1330" s="28"/>
      <c r="B1330" s="29"/>
      <c r="C1330" s="30" t="str">
        <f>IFERROR(_xlfn.XLOOKUP(B1330,Insumo[DESCRIPCION],Insumo[UND],,0),"")</f>
        <v/>
      </c>
      <c r="D1330" s="31"/>
      <c r="E1330" s="32" t="str">
        <f>IFERROR(_xlfn.XLOOKUP($B1330,Insumo[DESCRIPCION],Insumo[VALOR],,0),"")</f>
        <v/>
      </c>
      <c r="F1330" s="33"/>
      <c r="G1330" s="34" t="str">
        <f>IFERROR(IF(F1330&gt;=0,D1330*E1330*(1+F1330/100),ABS(D1330*E1330/F1330)),"")</f>
        <v/>
      </c>
      <c r="H1330" s="43" t="str">
        <f>IFERROR(G1330*E1326,"")</f>
        <v/>
      </c>
    </row>
    <row r="1331" spans="1:8" ht="12.75" customHeight="1">
      <c r="A1331" s="28"/>
      <c r="B1331" s="29"/>
      <c r="C1331" s="30" t="str">
        <f>IFERROR(_xlfn.XLOOKUP(B1331,Insumo[DESCRIPCION],Insumo[UND],,0),"")</f>
        <v/>
      </c>
      <c r="D1331" s="31"/>
      <c r="E1331" s="32" t="str">
        <f>IFERROR(_xlfn.XLOOKUP($B1331,Insumo[DESCRIPCION],Insumo[VALOR],,0),"")</f>
        <v/>
      </c>
      <c r="F1331" s="33"/>
      <c r="G1331" s="34" t="str">
        <f>IFERROR(IF(F1331&gt;=0,D1331*E1331*(1+F1331/100),ABS(D1331*E1331/F1331)),"")</f>
        <v/>
      </c>
      <c r="H1331" s="43" t="str">
        <f>IFERROR(G1331*E1326,"")</f>
        <v/>
      </c>
    </row>
    <row r="1332" spans="1:8" ht="12.75" customHeight="1">
      <c r="A1332" s="28"/>
      <c r="B1332" s="29"/>
      <c r="C1332" s="30" t="str">
        <f>IFERROR(_xlfn.XLOOKUP(B1332,Insumo[DESCRIPCION],Insumo[UND],,0),"")</f>
        <v/>
      </c>
      <c r="D1332" s="31"/>
      <c r="E1332" s="32" t="str">
        <f>IFERROR(_xlfn.XLOOKUP($B1332,Insumo[DESCRIPCION],Insumo[VALOR],,0),"")</f>
        <v/>
      </c>
      <c r="F1332" s="33"/>
      <c r="G1332" s="34" t="str">
        <f>IFERROR(IF(F1332&gt;=0,D1332*E1332*(1+F1332/100),ABS(D1332*E1332/F1332)),"")</f>
        <v/>
      </c>
      <c r="H1332" s="43" t="str">
        <f>IFERROR(G1332*E1326,"")</f>
        <v/>
      </c>
    </row>
    <row r="1333" spans="1:8" ht="12.75" customHeight="1">
      <c r="A1333" s="28"/>
      <c r="B1333" s="29"/>
      <c r="C1333" s="30" t="str">
        <f>IFERROR(_xlfn.XLOOKUP(B1333,Insumo[DESCRIPCION],Insumo[UND],,0),"")</f>
        <v/>
      </c>
      <c r="D1333" s="31"/>
      <c r="E1333" s="32" t="str">
        <f>IFERROR(_xlfn.XLOOKUP($B1333,Insumo[DESCRIPCION],Insumo[VALOR],,0),"")</f>
        <v/>
      </c>
      <c r="F1333" s="33"/>
      <c r="G1333" s="34" t="str">
        <f>IFERROR(IF(F1333&gt;=0,D1333*E1333*(1+F1333/100),ABS(D1333*E1333/F1333)),"")</f>
        <v/>
      </c>
      <c r="H1333" s="43" t="str">
        <f>IFERROR(G1333*E1326,"")</f>
        <v/>
      </c>
    </row>
    <row r="1334" spans="1:8" ht="12.75" customHeight="1">
      <c r="A1334" s="21"/>
      <c r="B1334" s="22" t="s">
        <v>3731</v>
      </c>
      <c r="C1334" s="23"/>
      <c r="D1334" s="24"/>
      <c r="E1334" s="25"/>
      <c r="F1334" s="26"/>
      <c r="G1334" s="27">
        <f>SUM(G1335:G1337)</f>
        <v>3274.3214500620002</v>
      </c>
      <c r="H1334" s="44">
        <f>G1334*E1326</f>
        <v>0</v>
      </c>
    </row>
    <row r="1335" spans="1:8" ht="12.75" customHeight="1">
      <c r="A1335" s="28"/>
      <c r="B1335" s="29" t="s">
        <v>3573</v>
      </c>
      <c r="C1335" s="30" t="str">
        <f>IFERROR(_xlfn.XLOOKUP(B1335,Equipo[DESCRIPCION],Equipo[UND],,0),"")</f>
        <v>%MO</v>
      </c>
      <c r="D1335" s="142">
        <v>0.1</v>
      </c>
      <c r="E1335" s="32">
        <f>IF(C1335="%MO",G1341,IFERROR(_xlfn.XLOOKUP($B1335,Equipo[DESCRIPCION],Equipo[VALOR],,0),""))</f>
        <v>17233.270789800001</v>
      </c>
      <c r="F1335" s="33"/>
      <c r="G1335" s="34">
        <f>IFERROR(IF(F1335&gt;=0,D1335*E1335*(1+F1335/100),ABS(D1335*E1335/F1335)),"")</f>
        <v>1723.3270789800001</v>
      </c>
      <c r="H1335" s="43">
        <f>IFERROR(G1335*E1326,"")</f>
        <v>0</v>
      </c>
    </row>
    <row r="1336" spans="1:8" ht="12.75" customHeight="1">
      <c r="A1336" s="28"/>
      <c r="B1336" s="29" t="s">
        <v>3570</v>
      </c>
      <c r="C1336" s="30" t="str">
        <f>IFERROR(_xlfn.XLOOKUP(B1336,Equipo[DESCRIPCION],Equipo[UND],,0),"")</f>
        <v>%MO</v>
      </c>
      <c r="D1336" s="31">
        <v>0.04</v>
      </c>
      <c r="E1336" s="32">
        <f>IF(C1336="%MO",G1341,IFERROR(_xlfn.XLOOKUP($B1336,Equipo[DESCRIPCION],Equipo[VALOR],,0),""))</f>
        <v>17233.270789800001</v>
      </c>
      <c r="F1336" s="33"/>
      <c r="G1336" s="34">
        <f>IFERROR(IF(F1336&gt;=0,D1336*E1336*(1+F1336/100),ABS(D1336*E1336/F1336)),"")</f>
        <v>689.3308315920001</v>
      </c>
      <c r="H1336" s="43">
        <f>IFERROR(G1336*E1326,"")</f>
        <v>0</v>
      </c>
    </row>
    <row r="1337" spans="1:8" ht="12.75" customHeight="1">
      <c r="A1337" s="28"/>
      <c r="B1337" s="29" t="s">
        <v>3626</v>
      </c>
      <c r="C1337" s="30" t="str">
        <f>IFERROR(_xlfn.XLOOKUP(B1337,Equipo[DESCRIPCION],Equipo[UND],,0),"")</f>
        <v>%MO</v>
      </c>
      <c r="D1337" s="31">
        <v>0.05</v>
      </c>
      <c r="E1337" s="32">
        <f>IF(C1337="%MO",G1341,IFERROR(_xlfn.XLOOKUP($B1337,Equipo[DESCRIPCION],Equipo[VALOR],,0),""))</f>
        <v>17233.270789800001</v>
      </c>
      <c r="F1337" s="33"/>
      <c r="G1337" s="34">
        <f>IFERROR(IF(F1337&gt;=0,D1337*E1337*(1+F1337/100),ABS(D1337*E1337/F1337)),"")</f>
        <v>861.66353949000006</v>
      </c>
      <c r="H1337" s="43">
        <f>IFERROR(G1337*E1326,"")</f>
        <v>0</v>
      </c>
    </row>
    <row r="1338" spans="1:8" ht="12.75" customHeight="1">
      <c r="A1338" s="21"/>
      <c r="B1338" s="22" t="s">
        <v>2533</v>
      </c>
      <c r="C1338" s="23"/>
      <c r="D1338" s="24"/>
      <c r="E1338" s="25"/>
      <c r="F1338" s="26"/>
      <c r="G1338" s="27">
        <f>SUM(G1339:G1340)</f>
        <v>0</v>
      </c>
      <c r="H1338" s="44">
        <f>G1338*E1326</f>
        <v>0</v>
      </c>
    </row>
    <row r="1339" spans="1:8" ht="12.75" customHeight="1">
      <c r="A1339" s="28"/>
      <c r="B1339" s="29"/>
      <c r="C1339" s="30" t="str">
        <f>IFERROR(_xlfn.XLOOKUP(B1339,Transporte[DESCRIPCION],Transporte[UND],,0),"")</f>
        <v/>
      </c>
      <c r="D1339" s="31"/>
      <c r="E1339" s="32" t="str">
        <f>IFERROR(_xlfn.XLOOKUP($B1339,Transporte[DESCRIPCION],Transporte[VALOR],,0),"")</f>
        <v/>
      </c>
      <c r="F1339" s="33"/>
      <c r="G1339" s="34" t="str">
        <f>IFERROR(IF(F1339&gt;=0,D1339*E1339*(1+F1339/100),ABS(D1339*E1339/F1339)),"")</f>
        <v/>
      </c>
      <c r="H1339" s="43" t="str">
        <f>IFERROR(G1339*E1326,"")</f>
        <v/>
      </c>
    </row>
    <row r="1340" spans="1:8" ht="12.75" customHeight="1">
      <c r="A1340" s="28"/>
      <c r="B1340" s="29"/>
      <c r="C1340" s="30" t="str">
        <f>IFERROR(_xlfn.XLOOKUP(B1340,Transporte[DESCRIPCION],Transporte[UND],,0),"")</f>
        <v/>
      </c>
      <c r="D1340" s="31"/>
      <c r="E1340" s="32" t="str">
        <f>IFERROR(_xlfn.XLOOKUP($B1340,Transporte[DESCRIPCION],Transporte[VALOR],,0),"")</f>
        <v/>
      </c>
      <c r="F1340" s="33"/>
      <c r="G1340" s="34" t="str">
        <f>IFERROR(IF(F1340&gt;=0,D1340*E1340*(1+F1340/100),ABS(D1340*E1340/F1340)),"")</f>
        <v/>
      </c>
      <c r="H1340" s="43" t="str">
        <f>IFERROR(G1340*E1326,"")</f>
        <v/>
      </c>
    </row>
    <row r="1341" spans="1:8" ht="12.75" customHeight="1">
      <c r="A1341" s="21"/>
      <c r="B1341" s="22" t="s">
        <v>3732</v>
      </c>
      <c r="C1341" s="23"/>
      <c r="D1341" s="24"/>
      <c r="E1341" s="25"/>
      <c r="F1341" s="26"/>
      <c r="G1341" s="27">
        <f>SUM(G1342:G1344)</f>
        <v>17233.270789800001</v>
      </c>
      <c r="H1341" s="44">
        <f>G1341*E1326</f>
        <v>0</v>
      </c>
    </row>
    <row r="1342" spans="1:8" ht="12.75" customHeight="1">
      <c r="A1342" s="28"/>
      <c r="B1342" s="29" t="s">
        <v>3711</v>
      </c>
      <c r="C1342" s="30" t="str">
        <f>IFERROR(_xlfn.XLOOKUP(B1342,MObra[DESCRIPCION],MObra[UN],,0),"")</f>
        <v>día</v>
      </c>
      <c r="D1342" s="31">
        <v>1</v>
      </c>
      <c r="E1342" s="32">
        <f>IFERROR(_xlfn.XLOOKUP($B1342,MObra[DESCRIPCION],MObra[VALOR UNIT],,0),"")</f>
        <v>430831.76974500006</v>
      </c>
      <c r="F1342" s="33">
        <v>-25</v>
      </c>
      <c r="G1342" s="34">
        <f>IFERROR(IF(F1342&gt;=0,D1342*E1342*(1+F1342/100),ABS(D1342*E1342/F1342)),"")</f>
        <v>17233.270789800001</v>
      </c>
      <c r="H1342" s="43">
        <f>IFERROR(G1342*E1326,"")</f>
        <v>0</v>
      </c>
    </row>
    <row r="1343" spans="1:8" ht="12.75" customHeight="1">
      <c r="A1343" s="28"/>
      <c r="B1343" s="29"/>
      <c r="C1343" s="30" t="str">
        <f t="array" ref="C1343">IFERROR(_xlfn.XLOOKUP(B1343,MObra[[#All],[DESCRIPCION]],MObra[[#All],[UN]],,0),"")</f>
        <v/>
      </c>
      <c r="D1343" s="31"/>
      <c r="E1343" s="32" t="str">
        <f>IFERROR(_xlfn.XLOOKUP($B1343,MObra[DESCRIPCION],MObra[VALOR UNIT],,0),"")</f>
        <v/>
      </c>
      <c r="F1343" s="33"/>
      <c r="G1343" s="34" t="str">
        <f>IFERROR(IF(F1343&gt;=0,D1343*E1343*(1+F1343/100),ABS(D1343*E1343/F1343)),"")</f>
        <v/>
      </c>
      <c r="H1343" s="43" t="str">
        <f>IFERROR(G1343*E1326,"")</f>
        <v/>
      </c>
    </row>
    <row r="1344" spans="1:8" ht="12.75" customHeight="1" thickBot="1">
      <c r="A1344" s="35"/>
      <c r="B1344" s="36"/>
      <c r="C1344" s="37" t="str">
        <f t="array" ref="C1344">IFERROR(_xlfn.XLOOKUP(B1344,MObra[[#All],[DESCRIPCION]],MObra[[#All],[UN]],,0),"")</f>
        <v/>
      </c>
      <c r="D1344" s="38"/>
      <c r="E1344" s="39" t="str">
        <f>IFERROR(_xlfn.XLOOKUP($B1344,MObra[DESCRIPCION],MObra[VALOR UNIT],,0),"")</f>
        <v/>
      </c>
      <c r="F1344" s="40"/>
      <c r="G1344" s="41" t="str">
        <f>IFERROR(IF(F1344&gt;=0,D1344*E1344*(1+F1344/100),ABS(D1344*E1344/F1344)),"")</f>
        <v/>
      </c>
      <c r="H1344" s="42" t="str">
        <f>IFERROR(G1344*E1326,"")</f>
        <v/>
      </c>
    </row>
    <row r="1345" spans="1:10" ht="12.75" customHeight="1" thickTop="1" thickBot="1">
      <c r="E1345" s="49"/>
      <c r="G1345" s="3"/>
    </row>
    <row r="1346" spans="1:10" ht="12.75" customHeight="1" thickTop="1" thickBot="1">
      <c r="A1346" s="6" t="s">
        <v>154</v>
      </c>
      <c r="B1346" s="7" t="str">
        <f>VLOOKUP($A1346,Presupuesto!$A:$D,2,FALSE())</f>
        <v>Demolición revoque/enchape manual</v>
      </c>
      <c r="C1346" s="8" t="str">
        <f>VLOOKUP($A1346,Presupuesto!$A:$D,3,FALSE())</f>
        <v>M2</v>
      </c>
      <c r="D1346" s="9"/>
      <c r="E1346" s="10">
        <f>VLOOKUP($A1346,Presupuesto!$A:$D,4,FALSE())</f>
        <v>0</v>
      </c>
      <c r="F1346" s="11" t="s">
        <v>2589</v>
      </c>
      <c r="G1346" s="12">
        <f>SUM(G1348:G1364)/2</f>
        <v>6346.0355273250007</v>
      </c>
      <c r="H1346" s="13">
        <f>ROUND(SUM(H1348:H1364),0)/2</f>
        <v>0</v>
      </c>
      <c r="I1346" s="10">
        <f>VLOOKUP(A1346,Presupuesto!$A:$F,6,0)</f>
        <v>0</v>
      </c>
      <c r="J1346" s="10">
        <f>+H1346-I1346</f>
        <v>0</v>
      </c>
    </row>
    <row r="1347" spans="1:10" ht="12.75" customHeight="1" thickTop="1">
      <c r="A1347" s="14"/>
      <c r="B1347" s="15" t="s">
        <v>2586</v>
      </c>
      <c r="C1347" s="15" t="s">
        <v>5</v>
      </c>
      <c r="D1347" s="16" t="s">
        <v>6</v>
      </c>
      <c r="E1347" s="17" t="s">
        <v>7</v>
      </c>
      <c r="F1347" s="18" t="s">
        <v>3728</v>
      </c>
      <c r="G1347" s="19" t="s">
        <v>3729</v>
      </c>
      <c r="H1347" s="20" t="s">
        <v>3797</v>
      </c>
    </row>
    <row r="1348" spans="1:10" ht="12.75" customHeight="1">
      <c r="A1348" s="21"/>
      <c r="B1348" s="22" t="s">
        <v>3730</v>
      </c>
      <c r="C1348" s="23"/>
      <c r="D1348" s="24"/>
      <c r="E1348" s="25"/>
      <c r="F1348" s="26"/>
      <c r="G1348" s="27">
        <f>SUM(G1349:G1353)</f>
        <v>0</v>
      </c>
      <c r="H1348" s="27">
        <f>IFERROR(G1348*E1346,"")</f>
        <v>0</v>
      </c>
    </row>
    <row r="1349" spans="1:10" ht="12.75" customHeight="1">
      <c r="A1349" s="28"/>
      <c r="B1349" s="29"/>
      <c r="C1349" s="30" t="str">
        <f>IFERROR(_xlfn.XLOOKUP(B1349,Insumo[DESCRIPCION],Insumo[UND],,0),"")</f>
        <v/>
      </c>
      <c r="D1349" s="31"/>
      <c r="E1349" s="32" t="str">
        <f>IFERROR(_xlfn.XLOOKUP($B1349,Insumo[DESCRIPCION],Insumo[VALOR],,0),"")</f>
        <v/>
      </c>
      <c r="F1349" s="33"/>
      <c r="G1349" s="34" t="str">
        <f>IFERROR(IF(F1349&gt;=0,D1349*E1349*(1+F1349/100),ABS(D1349*E1349/F1349)),"")</f>
        <v/>
      </c>
      <c r="H1349" s="43" t="str">
        <f>IFERROR(G1349*E1346,"")</f>
        <v/>
      </c>
    </row>
    <row r="1350" spans="1:10" ht="12.75" customHeight="1">
      <c r="A1350" s="28"/>
      <c r="B1350" s="29"/>
      <c r="C1350" s="30" t="str">
        <f>IFERROR(_xlfn.XLOOKUP(B1350,Insumo[DESCRIPCION],Insumo[UND],,0),"")</f>
        <v/>
      </c>
      <c r="D1350" s="31"/>
      <c r="E1350" s="32" t="str">
        <f>IFERROR(_xlfn.XLOOKUP($B1350,Insumo[DESCRIPCION],Insumo[VALOR],,0),"")</f>
        <v/>
      </c>
      <c r="F1350" s="33"/>
      <c r="G1350" s="34" t="str">
        <f>IFERROR(IF(F1350&gt;=0,D1350*E1350*(1+F1350/100),ABS(D1350*E1350/F1350)),"")</f>
        <v/>
      </c>
      <c r="H1350" s="43" t="str">
        <f>IFERROR(G1350*E1346,"")</f>
        <v/>
      </c>
    </row>
    <row r="1351" spans="1:10" ht="12.75" customHeight="1">
      <c r="A1351" s="28"/>
      <c r="B1351" s="29"/>
      <c r="C1351" s="30" t="str">
        <f>IFERROR(_xlfn.XLOOKUP(B1351,Insumo[DESCRIPCION],Insumo[UND],,0),"")</f>
        <v/>
      </c>
      <c r="D1351" s="31"/>
      <c r="E1351" s="32" t="str">
        <f>IFERROR(_xlfn.XLOOKUP($B1351,Insumo[DESCRIPCION],Insumo[VALOR],,0),"")</f>
        <v/>
      </c>
      <c r="F1351" s="33"/>
      <c r="G1351" s="34" t="str">
        <f>IFERROR(IF(F1351&gt;=0,D1351*E1351*(1+F1351/100),ABS(D1351*E1351/F1351)),"")</f>
        <v/>
      </c>
      <c r="H1351" s="43" t="str">
        <f>IFERROR(G1351*E1346,"")</f>
        <v/>
      </c>
    </row>
    <row r="1352" spans="1:10" ht="12.75" customHeight="1">
      <c r="A1352" s="28"/>
      <c r="B1352" s="29"/>
      <c r="C1352" s="30" t="str">
        <f>IFERROR(_xlfn.XLOOKUP(B1352,Insumo[DESCRIPCION],Insumo[UND],,0),"")</f>
        <v/>
      </c>
      <c r="D1352" s="31"/>
      <c r="E1352" s="32" t="str">
        <f>IFERROR(_xlfn.XLOOKUP($B1352,Insumo[DESCRIPCION],Insumo[VALOR],,0),"")</f>
        <v/>
      </c>
      <c r="F1352" s="33"/>
      <c r="G1352" s="34" t="str">
        <f>IFERROR(IF(F1352&gt;=0,D1352*E1352*(1+F1352/100),ABS(D1352*E1352/F1352)),"")</f>
        <v/>
      </c>
      <c r="H1352" s="43" t="str">
        <f>IFERROR(G1352*E1346,"")</f>
        <v/>
      </c>
    </row>
    <row r="1353" spans="1:10" ht="12.75" customHeight="1">
      <c r="A1353" s="28"/>
      <c r="B1353" s="29"/>
      <c r="C1353" s="30" t="str">
        <f>IFERROR(_xlfn.XLOOKUP(B1353,Insumo[DESCRIPCION],Insumo[UND],,0),"")</f>
        <v/>
      </c>
      <c r="D1353" s="31"/>
      <c r="E1353" s="32" t="str">
        <f>IFERROR(_xlfn.XLOOKUP($B1353,Insumo[DESCRIPCION],Insumo[VALOR],,0),"")</f>
        <v/>
      </c>
      <c r="F1353" s="33"/>
      <c r="G1353" s="34" t="str">
        <f>IFERROR(IF(F1353&gt;=0,D1353*E1353*(1+F1353/100),ABS(D1353*E1353/F1353)),"")</f>
        <v/>
      </c>
      <c r="H1353" s="43" t="str">
        <f>IFERROR(G1353*E1346,"")</f>
        <v/>
      </c>
    </row>
    <row r="1354" spans="1:10" ht="12.75" customHeight="1">
      <c r="A1354" s="21"/>
      <c r="B1354" s="22" t="s">
        <v>3731</v>
      </c>
      <c r="C1354" s="23"/>
      <c r="D1354" s="24"/>
      <c r="E1354" s="25"/>
      <c r="F1354" s="26"/>
      <c r="G1354" s="27">
        <f>SUM(G1355:G1357)</f>
        <v>523.98458482500007</v>
      </c>
      <c r="H1354" s="44">
        <f>G1354*E1346</f>
        <v>0</v>
      </c>
    </row>
    <row r="1355" spans="1:10" ht="12.75" customHeight="1">
      <c r="A1355" s="28"/>
      <c r="B1355" s="29" t="s">
        <v>3570</v>
      </c>
      <c r="C1355" s="30" t="str">
        <f>IFERROR(_xlfn.XLOOKUP(B1355,Equipo[DESCRIPCION],Equipo[UND],,0),"")</f>
        <v>%MO</v>
      </c>
      <c r="D1355" s="31">
        <v>0.04</v>
      </c>
      <c r="E1355" s="32">
        <f>IF(C1355="%MO",G1361,IFERROR(_xlfn.XLOOKUP($B1355,Equipo[DESCRIPCION],Equipo[VALOR],,0),""))</f>
        <v>5822.0509425000009</v>
      </c>
      <c r="F1355" s="33"/>
      <c r="G1355" s="34">
        <f>IFERROR(IF(F1355&gt;=0,D1355*E1355*(1+F1355/100),ABS(D1355*E1355/F1355)),"")</f>
        <v>232.88203770000004</v>
      </c>
      <c r="H1355" s="43">
        <f>IFERROR(G1355*E1346,"")</f>
        <v>0</v>
      </c>
    </row>
    <row r="1356" spans="1:10" ht="12.75" customHeight="1">
      <c r="A1356" s="28"/>
      <c r="B1356" s="29" t="s">
        <v>3626</v>
      </c>
      <c r="C1356" s="30" t="str">
        <f>IFERROR(_xlfn.XLOOKUP(B1356,Equipo[DESCRIPCION],Equipo[UND],,0),"")</f>
        <v>%MO</v>
      </c>
      <c r="D1356" s="31">
        <v>0.05</v>
      </c>
      <c r="E1356" s="32">
        <f>IF(C1356="%MO",G1361,IFERROR(_xlfn.XLOOKUP($B1356,Equipo[DESCRIPCION],Equipo[VALOR],,0),""))</f>
        <v>5822.0509425000009</v>
      </c>
      <c r="F1356" s="33"/>
      <c r="G1356" s="34">
        <f>IFERROR(IF(F1356&gt;=0,D1356*E1356*(1+F1356/100),ABS(D1356*E1356/F1356)),"")</f>
        <v>291.10254712500006</v>
      </c>
      <c r="H1356" s="43">
        <f>IFERROR(G1356*E1346,"")</f>
        <v>0</v>
      </c>
    </row>
    <row r="1357" spans="1:10" ht="12.75" customHeight="1">
      <c r="A1357" s="28"/>
      <c r="B1357" s="29"/>
      <c r="C1357" s="30" t="str">
        <f>IFERROR(_xlfn.XLOOKUP(B1357,Equipo[DESCRIPCION],Equipo[UND],,0),"")</f>
        <v/>
      </c>
      <c r="D1357" s="31"/>
      <c r="E1357" s="32" t="str">
        <f>IF(C1357="%MO",G1361,IFERROR(_xlfn.XLOOKUP($B1357,Equipo[DESCRIPCION],Equipo[VALOR],,0),""))</f>
        <v/>
      </c>
      <c r="F1357" s="33"/>
      <c r="G1357" s="34" t="str">
        <f>IFERROR(IF(F1357&gt;=0,D1357*E1357*(1+F1357/100),ABS(D1357*E1357/F1357)),"")</f>
        <v/>
      </c>
      <c r="H1357" s="43" t="str">
        <f>IFERROR(G1357*E1346,"")</f>
        <v/>
      </c>
    </row>
    <row r="1358" spans="1:10" ht="12.75" customHeight="1">
      <c r="A1358" s="21"/>
      <c r="B1358" s="22" t="s">
        <v>2533</v>
      </c>
      <c r="C1358" s="23"/>
      <c r="D1358" s="24"/>
      <c r="E1358" s="25"/>
      <c r="F1358" s="26"/>
      <c r="G1358" s="27">
        <f>SUM(G1359:G1360)</f>
        <v>0</v>
      </c>
      <c r="H1358" s="44">
        <f>G1358*E1346</f>
        <v>0</v>
      </c>
    </row>
    <row r="1359" spans="1:10" ht="12.75" customHeight="1">
      <c r="A1359" s="28"/>
      <c r="B1359" s="29"/>
      <c r="C1359" s="30" t="str">
        <f>IFERROR(_xlfn.XLOOKUP(B1359,Transporte[DESCRIPCION],Transporte[UND],,0),"")</f>
        <v/>
      </c>
      <c r="D1359" s="31"/>
      <c r="E1359" s="32" t="str">
        <f>IFERROR(_xlfn.XLOOKUP($B1359,Transporte[DESCRIPCION],Transporte[VALOR],,0),"")</f>
        <v/>
      </c>
      <c r="F1359" s="33"/>
      <c r="G1359" s="34" t="str">
        <f>IFERROR(IF(F1359&gt;=0,D1359*E1359*(1+F1359/100),ABS(D1359*E1359/F1359)),"")</f>
        <v/>
      </c>
      <c r="H1359" s="43" t="str">
        <f>IFERROR(G1359*E1346,"")</f>
        <v/>
      </c>
    </row>
    <row r="1360" spans="1:10" ht="12.75" customHeight="1">
      <c r="A1360" s="28"/>
      <c r="B1360" s="29"/>
      <c r="C1360" s="30" t="str">
        <f>IFERROR(_xlfn.XLOOKUP(B1360,Transporte[DESCRIPCION],Transporte[UND],,0),"")</f>
        <v/>
      </c>
      <c r="D1360" s="31"/>
      <c r="E1360" s="32" t="str">
        <f>IFERROR(_xlfn.XLOOKUP($B1360,Transporte[DESCRIPCION],Transporte[VALOR],,0),"")</f>
        <v/>
      </c>
      <c r="F1360" s="33"/>
      <c r="G1360" s="34" t="str">
        <f>IFERROR(IF(F1360&gt;=0,D1360*E1360*(1+F1360/100),ABS(D1360*E1360/F1360)),"")</f>
        <v/>
      </c>
      <c r="H1360" s="43" t="str">
        <f>IFERROR(G1360*E1346,"")</f>
        <v/>
      </c>
    </row>
    <row r="1361" spans="1:10" ht="12.75" customHeight="1">
      <c r="A1361" s="21"/>
      <c r="B1361" s="22" t="s">
        <v>3732</v>
      </c>
      <c r="C1361" s="23"/>
      <c r="D1361" s="24"/>
      <c r="E1361" s="25"/>
      <c r="F1361" s="26"/>
      <c r="G1361" s="27">
        <f>SUM(G1362:G1364)</f>
        <v>5822.0509425000009</v>
      </c>
      <c r="H1361" s="44">
        <f>G1361*E1346</f>
        <v>0</v>
      </c>
    </row>
    <row r="1362" spans="1:10" ht="12.75" customHeight="1">
      <c r="A1362" s="28"/>
      <c r="B1362" s="29" t="s">
        <v>3698</v>
      </c>
      <c r="C1362" s="30" t="str">
        <f>IFERROR(_xlfn.XLOOKUP(B1362,MObra[DESCRIPCION],MObra[UN],,0),"")</f>
        <v>día</v>
      </c>
      <c r="D1362" s="31">
        <v>1</v>
      </c>
      <c r="E1362" s="32">
        <f>IFERROR(_xlfn.XLOOKUP($B1362,MObra[DESCRIPCION],MObra[VALOR UNIT],,0),"")</f>
        <v>116441.01885000002</v>
      </c>
      <c r="F1362" s="33">
        <v>-20</v>
      </c>
      <c r="G1362" s="34">
        <f>IFERROR(IF(F1362&gt;=0,D1362*E1362*(1+F1362/100),ABS(D1362*E1362/F1362)),"")</f>
        <v>5822.0509425000009</v>
      </c>
      <c r="H1362" s="43">
        <f>IFERROR(G1362*E1346,"")</f>
        <v>0</v>
      </c>
    </row>
    <row r="1363" spans="1:10" ht="12.75" customHeight="1">
      <c r="A1363" s="28"/>
      <c r="B1363" s="29"/>
      <c r="C1363" s="30" t="str">
        <f t="array" ref="C1363">IFERROR(_xlfn.XLOOKUP(B1363,MObra[[#All],[DESCRIPCION]],MObra[[#All],[UN]],,0),"")</f>
        <v/>
      </c>
      <c r="D1363" s="31"/>
      <c r="E1363" s="32" t="str">
        <f>IFERROR(_xlfn.XLOOKUP($B1363,MObra[DESCRIPCION],MObra[VALOR UNIT],,0),"")</f>
        <v/>
      </c>
      <c r="F1363" s="33"/>
      <c r="G1363" s="34" t="str">
        <f>IFERROR(IF(F1363&gt;=0,D1363*E1363*(1+F1363/100),ABS(D1363*E1363/F1363)),"")</f>
        <v/>
      </c>
      <c r="H1363" s="43" t="str">
        <f>IFERROR(G1363*E1346,"")</f>
        <v/>
      </c>
    </row>
    <row r="1364" spans="1:10" ht="12.75" customHeight="1" thickBot="1">
      <c r="A1364" s="35"/>
      <c r="B1364" s="36"/>
      <c r="C1364" s="37" t="str">
        <f t="array" ref="C1364">IFERROR(_xlfn.XLOOKUP(B1364,MObra[[#All],[DESCRIPCION]],MObra[[#All],[UN]],,0),"")</f>
        <v/>
      </c>
      <c r="D1364" s="38"/>
      <c r="E1364" s="39" t="str">
        <f>IFERROR(_xlfn.XLOOKUP($B1364,MObra[DESCRIPCION],MObra[VALOR UNIT],,0),"")</f>
        <v/>
      </c>
      <c r="F1364" s="40"/>
      <c r="G1364" s="41" t="str">
        <f>IFERROR(IF(F1364&gt;=0,D1364*E1364*(1+F1364/100),ABS(D1364*E1364/F1364)),"")</f>
        <v/>
      </c>
      <c r="H1364" s="42" t="str">
        <f>IFERROR(G1364*E1346,"")</f>
        <v/>
      </c>
    </row>
    <row r="1365" spans="1:10" ht="12.75" customHeight="1" thickTop="1" thickBot="1">
      <c r="E1365" s="49"/>
      <c r="G1365" s="3"/>
    </row>
    <row r="1366" spans="1:10" ht="12.75" customHeight="1" thickTop="1" thickBot="1">
      <c r="A1366" s="6" t="s">
        <v>156</v>
      </c>
      <c r="B1366" s="7" t="str">
        <f>VLOOKUP($A1366,Presupuesto!$A:$D,2,FALSE())</f>
        <v>Demolición sardineles</v>
      </c>
      <c r="C1366" s="8" t="str">
        <f>VLOOKUP($A1366,Presupuesto!$A:$D,3,FALSE())</f>
        <v>M</v>
      </c>
      <c r="D1366" s="9"/>
      <c r="E1366" s="10">
        <f>VLOOKUP($A1366,Presupuesto!$A:$D,4,FALSE())</f>
        <v>0</v>
      </c>
      <c r="F1366" s="11" t="s">
        <v>2589</v>
      </c>
      <c r="G1366" s="12">
        <f>SUM(G1368:G1384)/2</f>
        <v>7051.1505859166682</v>
      </c>
      <c r="H1366" s="13">
        <f>ROUND(SUM(H1368:H1384),0)/2</f>
        <v>0</v>
      </c>
      <c r="I1366" s="10">
        <f>VLOOKUP(A1366,Presupuesto!$A:$F,6,0)</f>
        <v>0</v>
      </c>
      <c r="J1366" s="10">
        <f>+H1366-I1366</f>
        <v>0</v>
      </c>
    </row>
    <row r="1367" spans="1:10" ht="12.75" customHeight="1" thickTop="1">
      <c r="A1367" s="14"/>
      <c r="B1367" s="15" t="s">
        <v>2586</v>
      </c>
      <c r="C1367" s="15" t="s">
        <v>5</v>
      </c>
      <c r="D1367" s="16" t="s">
        <v>6</v>
      </c>
      <c r="E1367" s="17" t="s">
        <v>7</v>
      </c>
      <c r="F1367" s="18" t="s">
        <v>3728</v>
      </c>
      <c r="G1367" s="19" t="s">
        <v>3729</v>
      </c>
      <c r="H1367" s="20" t="s">
        <v>3797</v>
      </c>
    </row>
    <row r="1368" spans="1:10" ht="12.75" customHeight="1">
      <c r="A1368" s="21"/>
      <c r="B1368" s="22" t="s">
        <v>3730</v>
      </c>
      <c r="C1368" s="23"/>
      <c r="D1368" s="24"/>
      <c r="E1368" s="25"/>
      <c r="F1368" s="26"/>
      <c r="G1368" s="27">
        <f>SUM(G1369:G1373)</f>
        <v>0</v>
      </c>
      <c r="H1368" s="27">
        <f>IFERROR(G1368*E1366,"")</f>
        <v>0</v>
      </c>
    </row>
    <row r="1369" spans="1:10" ht="12.75" customHeight="1">
      <c r="A1369" s="28"/>
      <c r="B1369" s="29"/>
      <c r="C1369" s="30" t="str">
        <f>IFERROR(_xlfn.XLOOKUP(B1369,Insumo[DESCRIPCION],Insumo[UND],,0),"")</f>
        <v/>
      </c>
      <c r="D1369" s="31"/>
      <c r="E1369" s="32" t="str">
        <f>IFERROR(_xlfn.XLOOKUP($B1369,Insumo[DESCRIPCION],Insumo[VALOR],,0),"")</f>
        <v/>
      </c>
      <c r="F1369" s="33"/>
      <c r="G1369" s="34" t="str">
        <f>IFERROR(IF(F1369&gt;=0,D1369*E1369*(1+F1369/100),ABS(D1369*E1369/F1369)),"")</f>
        <v/>
      </c>
      <c r="H1369" s="43" t="str">
        <f>IFERROR(G1369*E1366,"")</f>
        <v/>
      </c>
    </row>
    <row r="1370" spans="1:10" ht="12.75" customHeight="1">
      <c r="A1370" s="28"/>
      <c r="B1370" s="29"/>
      <c r="C1370" s="30" t="str">
        <f>IFERROR(_xlfn.XLOOKUP(B1370,Insumo[DESCRIPCION],Insumo[UND],,0),"")</f>
        <v/>
      </c>
      <c r="D1370" s="31"/>
      <c r="E1370" s="32" t="str">
        <f>IFERROR(_xlfn.XLOOKUP($B1370,Insumo[DESCRIPCION],Insumo[VALOR],,0),"")</f>
        <v/>
      </c>
      <c r="F1370" s="33"/>
      <c r="G1370" s="34" t="str">
        <f>IFERROR(IF(F1370&gt;=0,D1370*E1370*(1+F1370/100),ABS(D1370*E1370/F1370)),"")</f>
        <v/>
      </c>
      <c r="H1370" s="43" t="str">
        <f>IFERROR(G1370*E1366,"")</f>
        <v/>
      </c>
    </row>
    <row r="1371" spans="1:10" ht="12.75" customHeight="1">
      <c r="A1371" s="28"/>
      <c r="B1371" s="29"/>
      <c r="C1371" s="30" t="str">
        <f>IFERROR(_xlfn.XLOOKUP(B1371,Insumo[DESCRIPCION],Insumo[UND],,0),"")</f>
        <v/>
      </c>
      <c r="D1371" s="31"/>
      <c r="E1371" s="32" t="str">
        <f>IFERROR(_xlfn.XLOOKUP($B1371,Insumo[DESCRIPCION],Insumo[VALOR],,0),"")</f>
        <v/>
      </c>
      <c r="F1371" s="33"/>
      <c r="G1371" s="34" t="str">
        <f>IFERROR(IF(F1371&gt;=0,D1371*E1371*(1+F1371/100),ABS(D1371*E1371/F1371)),"")</f>
        <v/>
      </c>
      <c r="H1371" s="43" t="str">
        <f>IFERROR(G1371*E1366,"")</f>
        <v/>
      </c>
    </row>
    <row r="1372" spans="1:10" ht="12.75" customHeight="1">
      <c r="A1372" s="28"/>
      <c r="B1372" s="29"/>
      <c r="C1372" s="30" t="str">
        <f>IFERROR(_xlfn.XLOOKUP(B1372,Insumo[DESCRIPCION],Insumo[UND],,0),"")</f>
        <v/>
      </c>
      <c r="D1372" s="31"/>
      <c r="E1372" s="32" t="str">
        <f>IFERROR(_xlfn.XLOOKUP($B1372,Insumo[DESCRIPCION],Insumo[VALOR],,0),"")</f>
        <v/>
      </c>
      <c r="F1372" s="33"/>
      <c r="G1372" s="34" t="str">
        <f>IFERROR(IF(F1372&gt;=0,D1372*E1372*(1+F1372/100),ABS(D1372*E1372/F1372)),"")</f>
        <v/>
      </c>
      <c r="H1372" s="43" t="str">
        <f>IFERROR(G1372*E1366,"")</f>
        <v/>
      </c>
    </row>
    <row r="1373" spans="1:10" ht="12.75" customHeight="1">
      <c r="A1373" s="28"/>
      <c r="B1373" s="29"/>
      <c r="C1373" s="30" t="str">
        <f>IFERROR(_xlfn.XLOOKUP(B1373,Insumo[DESCRIPCION],Insumo[UND],,0),"")</f>
        <v/>
      </c>
      <c r="D1373" s="31"/>
      <c r="E1373" s="32" t="str">
        <f>IFERROR(_xlfn.XLOOKUP($B1373,Insumo[DESCRIPCION],Insumo[VALOR],,0),"")</f>
        <v/>
      </c>
      <c r="F1373" s="33"/>
      <c r="G1373" s="34" t="str">
        <f>IFERROR(IF(F1373&gt;=0,D1373*E1373*(1+F1373/100),ABS(D1373*E1373/F1373)),"")</f>
        <v/>
      </c>
      <c r="H1373" s="43" t="str">
        <f>IFERROR(G1373*E1366,"")</f>
        <v/>
      </c>
    </row>
    <row r="1374" spans="1:10" ht="12.75" customHeight="1">
      <c r="A1374" s="21"/>
      <c r="B1374" s="22" t="s">
        <v>3731</v>
      </c>
      <c r="C1374" s="23"/>
      <c r="D1374" s="24"/>
      <c r="E1374" s="25"/>
      <c r="F1374" s="26"/>
      <c r="G1374" s="27">
        <f>SUM(G1375:G1377)</f>
        <v>582.20509425000012</v>
      </c>
      <c r="H1374" s="44">
        <f>G1374*E1366</f>
        <v>0</v>
      </c>
    </row>
    <row r="1375" spans="1:10" ht="12.75" customHeight="1">
      <c r="A1375" s="28"/>
      <c r="B1375" s="29" t="s">
        <v>3570</v>
      </c>
      <c r="C1375" s="30" t="str">
        <f>IFERROR(_xlfn.XLOOKUP(B1375,Equipo[DESCRIPCION],Equipo[UND],,0),"")</f>
        <v>%MO</v>
      </c>
      <c r="D1375" s="31">
        <v>0.04</v>
      </c>
      <c r="E1375" s="32">
        <f>IF(C1375="%MO",G1381,IFERROR(_xlfn.XLOOKUP($B1375,Equipo[DESCRIPCION],Equipo[VALOR],,0),""))</f>
        <v>6468.9454916666682</v>
      </c>
      <c r="F1375" s="33"/>
      <c r="G1375" s="34">
        <f>IFERROR(IF(F1375&gt;=0,D1375*E1375*(1+F1375/100),ABS(D1375*E1375/F1375)),"")</f>
        <v>258.75781966666671</v>
      </c>
      <c r="H1375" s="43">
        <f>IFERROR(G1375*E1366,"")</f>
        <v>0</v>
      </c>
    </row>
    <row r="1376" spans="1:10" ht="12.75" customHeight="1">
      <c r="A1376" s="28"/>
      <c r="B1376" s="29" t="s">
        <v>3626</v>
      </c>
      <c r="C1376" s="30" t="str">
        <f>IFERROR(_xlfn.XLOOKUP(B1376,Equipo[DESCRIPCION],Equipo[UND],,0),"")</f>
        <v>%MO</v>
      </c>
      <c r="D1376" s="31">
        <v>0.05</v>
      </c>
      <c r="E1376" s="32">
        <f>IF(C1376="%MO",G1381,IFERROR(_xlfn.XLOOKUP($B1376,Equipo[DESCRIPCION],Equipo[VALOR],,0),""))</f>
        <v>6468.9454916666682</v>
      </c>
      <c r="F1376" s="33"/>
      <c r="G1376" s="34">
        <f>IFERROR(IF(F1376&gt;=0,D1376*E1376*(1+F1376/100),ABS(D1376*E1376/F1376)),"")</f>
        <v>323.44727458333341</v>
      </c>
      <c r="H1376" s="43">
        <f>IFERROR(G1376*E1366,"")</f>
        <v>0</v>
      </c>
    </row>
    <row r="1377" spans="1:10" ht="12.75" customHeight="1">
      <c r="A1377" s="28"/>
      <c r="B1377" s="29"/>
      <c r="C1377" s="30" t="str">
        <f>IFERROR(_xlfn.XLOOKUP(B1377,Equipo[DESCRIPCION],Equipo[UND],,0),"")</f>
        <v/>
      </c>
      <c r="D1377" s="31"/>
      <c r="E1377" s="32" t="str">
        <f>IF(C1377="%MO",G1381,IFERROR(_xlfn.XLOOKUP($B1377,Equipo[DESCRIPCION],Equipo[VALOR],,0),""))</f>
        <v/>
      </c>
      <c r="F1377" s="33"/>
      <c r="G1377" s="34" t="str">
        <f>IFERROR(IF(F1377&gt;=0,D1377*E1377*(1+F1377/100),ABS(D1377*E1377/F1377)),"")</f>
        <v/>
      </c>
      <c r="H1377" s="43" t="str">
        <f>IFERROR(G1377*E1366,"")</f>
        <v/>
      </c>
    </row>
    <row r="1378" spans="1:10" ht="12.75" customHeight="1">
      <c r="A1378" s="21"/>
      <c r="B1378" s="22" t="s">
        <v>2533</v>
      </c>
      <c r="C1378" s="23"/>
      <c r="D1378" s="24"/>
      <c r="E1378" s="25"/>
      <c r="F1378" s="26"/>
      <c r="G1378" s="27">
        <f>SUM(G1379:G1380)</f>
        <v>0</v>
      </c>
      <c r="H1378" s="44">
        <f>G1378*E1366</f>
        <v>0</v>
      </c>
    </row>
    <row r="1379" spans="1:10" ht="12.75" customHeight="1">
      <c r="A1379" s="28"/>
      <c r="B1379" s="29"/>
      <c r="C1379" s="30" t="str">
        <f>IFERROR(_xlfn.XLOOKUP(B1379,Transporte[DESCRIPCION],Transporte[UND],,0),"")</f>
        <v/>
      </c>
      <c r="D1379" s="31"/>
      <c r="E1379" s="32" t="str">
        <f>IFERROR(_xlfn.XLOOKUP($B1379,Transporte[DESCRIPCION],Transporte[VALOR],,0),"")</f>
        <v/>
      </c>
      <c r="F1379" s="33"/>
      <c r="G1379" s="34" t="str">
        <f>IFERROR(IF(F1379&gt;=0,D1379*E1379*(1+F1379/100),ABS(D1379*E1379/F1379)),"")</f>
        <v/>
      </c>
      <c r="H1379" s="43" t="str">
        <f>IFERROR(G1379*E1366,"")</f>
        <v/>
      </c>
    </row>
    <row r="1380" spans="1:10" ht="12.75" customHeight="1">
      <c r="A1380" s="28"/>
      <c r="B1380" s="29"/>
      <c r="C1380" s="30" t="str">
        <f>IFERROR(_xlfn.XLOOKUP(B1380,Transporte[DESCRIPCION],Transporte[UND],,0),"")</f>
        <v/>
      </c>
      <c r="D1380" s="31"/>
      <c r="E1380" s="32" t="str">
        <f>IFERROR(_xlfn.XLOOKUP($B1380,Transporte[DESCRIPCION],Transporte[VALOR],,0),"")</f>
        <v/>
      </c>
      <c r="F1380" s="33"/>
      <c r="G1380" s="34" t="str">
        <f>IFERROR(IF(F1380&gt;=0,D1380*E1380*(1+F1380/100),ABS(D1380*E1380/F1380)),"")</f>
        <v/>
      </c>
      <c r="H1380" s="43" t="str">
        <f>IFERROR(G1380*E1366,"")</f>
        <v/>
      </c>
    </row>
    <row r="1381" spans="1:10" ht="12.75" customHeight="1">
      <c r="A1381" s="21"/>
      <c r="B1381" s="22" t="s">
        <v>3732</v>
      </c>
      <c r="C1381" s="23"/>
      <c r="D1381" s="24"/>
      <c r="E1381" s="25"/>
      <c r="F1381" s="26"/>
      <c r="G1381" s="27">
        <f>SUM(G1382:G1384)</f>
        <v>6468.9454916666682</v>
      </c>
      <c r="H1381" s="44">
        <f>G1381*E1366</f>
        <v>0</v>
      </c>
    </row>
    <row r="1382" spans="1:10" ht="12.75" customHeight="1">
      <c r="A1382" s="28"/>
      <c r="B1382" s="29" t="s">
        <v>3698</v>
      </c>
      <c r="C1382" s="30" t="str">
        <f>IFERROR(_xlfn.XLOOKUP(B1382,MObra[DESCRIPCION],MObra[UN],,0),"")</f>
        <v>día</v>
      </c>
      <c r="D1382" s="31">
        <v>1</v>
      </c>
      <c r="E1382" s="32">
        <f>IFERROR(_xlfn.XLOOKUP($B1382,MObra[DESCRIPCION],MObra[VALOR UNIT],,0),"")</f>
        <v>116441.01885000002</v>
      </c>
      <c r="F1382" s="33">
        <v>-18</v>
      </c>
      <c r="G1382" s="34">
        <f>IFERROR(IF(F1382&gt;=0,D1382*E1382*(1+F1382/100),ABS(D1382*E1382/F1382)),"")</f>
        <v>6468.9454916666682</v>
      </c>
      <c r="H1382" s="43">
        <f>IFERROR(G1382*E1366,"")</f>
        <v>0</v>
      </c>
    </row>
    <row r="1383" spans="1:10" ht="12.75" customHeight="1">
      <c r="A1383" s="28"/>
      <c r="B1383" s="29"/>
      <c r="C1383" s="30" t="str">
        <f t="array" ref="C1383">IFERROR(_xlfn.XLOOKUP(B1383,MObra[[#All],[DESCRIPCION]],MObra[[#All],[UN]],,0),"")</f>
        <v/>
      </c>
      <c r="D1383" s="31"/>
      <c r="E1383" s="32" t="str">
        <f>IFERROR(_xlfn.XLOOKUP($B1383,MObra[DESCRIPCION],MObra[VALOR UNIT],,0),"")</f>
        <v/>
      </c>
      <c r="F1383" s="33"/>
      <c r="G1383" s="34" t="str">
        <f>IFERROR(IF(F1383&gt;=0,D1383*E1383*(1+F1383/100),ABS(D1383*E1383/F1383)),"")</f>
        <v/>
      </c>
      <c r="H1383" s="43" t="str">
        <f>IFERROR(G1383*E1366,"")</f>
        <v/>
      </c>
    </row>
    <row r="1384" spans="1:10" ht="12.75" customHeight="1" thickBot="1">
      <c r="A1384" s="35"/>
      <c r="B1384" s="36"/>
      <c r="C1384" s="37" t="str">
        <f t="array" ref="C1384">IFERROR(_xlfn.XLOOKUP(B1384,MObra[[#All],[DESCRIPCION]],MObra[[#All],[UN]],,0),"")</f>
        <v/>
      </c>
      <c r="D1384" s="38"/>
      <c r="E1384" s="39" t="str">
        <f>IFERROR(_xlfn.XLOOKUP($B1384,MObra[DESCRIPCION],MObra[VALOR UNIT],,0),"")</f>
        <v/>
      </c>
      <c r="F1384" s="40"/>
      <c r="G1384" s="41" t="str">
        <f>IFERROR(IF(F1384&gt;=0,D1384*E1384*(1+F1384/100),ABS(D1384*E1384/F1384)),"")</f>
        <v/>
      </c>
      <c r="H1384" s="42" t="str">
        <f>IFERROR(G1384*E1366,"")</f>
        <v/>
      </c>
    </row>
    <row r="1385" spans="1:10" ht="12.75" customHeight="1" thickTop="1" thickBot="1">
      <c r="E1385" s="49"/>
      <c r="G1385" s="3"/>
    </row>
    <row r="1386" spans="1:10" ht="12.75" customHeight="1" thickTop="1" thickBot="1">
      <c r="A1386" s="6" t="s">
        <v>158</v>
      </c>
      <c r="B1386" s="7" t="str">
        <f>VLOOKUP($A1386,Presupuesto!$A:$D,2,FALSE())</f>
        <v>Demolición separador</v>
      </c>
      <c r="C1386" s="8" t="str">
        <f>VLOOKUP($A1386,Presupuesto!$A:$D,3,FALSE())</f>
        <v>M</v>
      </c>
      <c r="D1386" s="9"/>
      <c r="E1386" s="10">
        <f>VLOOKUP($A1386,Presupuesto!$A:$D,4,FALSE())</f>
        <v>0</v>
      </c>
      <c r="F1386" s="11" t="s">
        <v>2589</v>
      </c>
      <c r="G1386" s="12">
        <f>SUM(G1388:G1404)/2</f>
        <v>10576.725878875002</v>
      </c>
      <c r="H1386" s="13">
        <f>ROUND(SUM(H1388:H1404),0)/2</f>
        <v>0</v>
      </c>
      <c r="I1386" s="10">
        <f>VLOOKUP(A1386,Presupuesto!$A:$F,6,0)</f>
        <v>0</v>
      </c>
      <c r="J1386" s="10">
        <f>+H1386-I1386</f>
        <v>0</v>
      </c>
    </row>
    <row r="1387" spans="1:10" ht="12.75" customHeight="1" thickTop="1">
      <c r="A1387" s="14"/>
      <c r="B1387" s="15" t="s">
        <v>2586</v>
      </c>
      <c r="C1387" s="15" t="s">
        <v>5</v>
      </c>
      <c r="D1387" s="16" t="s">
        <v>6</v>
      </c>
      <c r="E1387" s="17" t="s">
        <v>7</v>
      </c>
      <c r="F1387" s="18" t="s">
        <v>3728</v>
      </c>
      <c r="G1387" s="19" t="s">
        <v>3729</v>
      </c>
      <c r="H1387" s="20" t="s">
        <v>3797</v>
      </c>
    </row>
    <row r="1388" spans="1:10" ht="12.75" customHeight="1">
      <c r="A1388" s="21"/>
      <c r="B1388" s="22" t="s">
        <v>3730</v>
      </c>
      <c r="C1388" s="23"/>
      <c r="D1388" s="24"/>
      <c r="E1388" s="25"/>
      <c r="F1388" s="26"/>
      <c r="G1388" s="27">
        <f>SUM(G1389:G1393)</f>
        <v>0</v>
      </c>
      <c r="H1388" s="27">
        <f>IFERROR(G1388*E1386,"")</f>
        <v>0</v>
      </c>
    </row>
    <row r="1389" spans="1:10" ht="12.75" customHeight="1">
      <c r="A1389" s="28"/>
      <c r="B1389" s="29"/>
      <c r="C1389" s="30" t="str">
        <f>IFERROR(_xlfn.XLOOKUP(B1389,Insumo[DESCRIPCION],Insumo[UND],,0),"")</f>
        <v/>
      </c>
      <c r="D1389" s="31"/>
      <c r="E1389" s="32" t="str">
        <f>IFERROR(_xlfn.XLOOKUP($B1389,Insumo[DESCRIPCION],Insumo[VALOR],,0),"")</f>
        <v/>
      </c>
      <c r="F1389" s="33"/>
      <c r="G1389" s="34" t="str">
        <f>IFERROR(IF(F1389&gt;=0,D1389*E1389*(1+F1389/100),ABS(D1389*E1389/F1389)),"")</f>
        <v/>
      </c>
      <c r="H1389" s="43" t="str">
        <f>IFERROR(G1389*E1386,"")</f>
        <v/>
      </c>
    </row>
    <row r="1390" spans="1:10" ht="12.75" customHeight="1">
      <c r="A1390" s="28"/>
      <c r="B1390" s="29"/>
      <c r="C1390" s="30" t="str">
        <f>IFERROR(_xlfn.XLOOKUP(B1390,Insumo[DESCRIPCION],Insumo[UND],,0),"")</f>
        <v/>
      </c>
      <c r="D1390" s="31"/>
      <c r="E1390" s="32" t="str">
        <f>IFERROR(_xlfn.XLOOKUP($B1390,Insumo[DESCRIPCION],Insumo[VALOR],,0),"")</f>
        <v/>
      </c>
      <c r="F1390" s="33"/>
      <c r="G1390" s="34" t="str">
        <f>IFERROR(IF(F1390&gt;=0,D1390*E1390*(1+F1390/100),ABS(D1390*E1390/F1390)),"")</f>
        <v/>
      </c>
      <c r="H1390" s="43" t="str">
        <f>IFERROR(G1390*E1386,"")</f>
        <v/>
      </c>
    </row>
    <row r="1391" spans="1:10" ht="12.75" customHeight="1">
      <c r="A1391" s="28"/>
      <c r="B1391" s="29"/>
      <c r="C1391" s="30" t="str">
        <f>IFERROR(_xlfn.XLOOKUP(B1391,Insumo[DESCRIPCION],Insumo[UND],,0),"")</f>
        <v/>
      </c>
      <c r="D1391" s="31"/>
      <c r="E1391" s="32" t="str">
        <f>IFERROR(_xlfn.XLOOKUP($B1391,Insumo[DESCRIPCION],Insumo[VALOR],,0),"")</f>
        <v/>
      </c>
      <c r="F1391" s="33"/>
      <c r="G1391" s="34" t="str">
        <f>IFERROR(IF(F1391&gt;=0,D1391*E1391*(1+F1391/100),ABS(D1391*E1391/F1391)),"")</f>
        <v/>
      </c>
      <c r="H1391" s="43" t="str">
        <f>IFERROR(G1391*E1386,"")</f>
        <v/>
      </c>
    </row>
    <row r="1392" spans="1:10" ht="12.75" customHeight="1">
      <c r="A1392" s="28"/>
      <c r="B1392" s="29"/>
      <c r="C1392" s="30" t="str">
        <f>IFERROR(_xlfn.XLOOKUP(B1392,Insumo[DESCRIPCION],Insumo[UND],,0),"")</f>
        <v/>
      </c>
      <c r="D1392" s="31"/>
      <c r="E1392" s="32" t="str">
        <f>IFERROR(_xlfn.XLOOKUP($B1392,Insumo[DESCRIPCION],Insumo[VALOR],,0),"")</f>
        <v/>
      </c>
      <c r="F1392" s="33"/>
      <c r="G1392" s="34" t="str">
        <f>IFERROR(IF(F1392&gt;=0,D1392*E1392*(1+F1392/100),ABS(D1392*E1392/F1392)),"")</f>
        <v/>
      </c>
      <c r="H1392" s="43" t="str">
        <f>IFERROR(G1392*E1386,"")</f>
        <v/>
      </c>
    </row>
    <row r="1393" spans="1:10" ht="12.75" customHeight="1">
      <c r="A1393" s="28"/>
      <c r="B1393" s="29"/>
      <c r="C1393" s="30" t="str">
        <f>IFERROR(_xlfn.XLOOKUP(B1393,Insumo[DESCRIPCION],Insumo[UND],,0),"")</f>
        <v/>
      </c>
      <c r="D1393" s="31"/>
      <c r="E1393" s="32" t="str">
        <f>IFERROR(_xlfn.XLOOKUP($B1393,Insumo[DESCRIPCION],Insumo[VALOR],,0),"")</f>
        <v/>
      </c>
      <c r="F1393" s="33"/>
      <c r="G1393" s="34" t="str">
        <f>IFERROR(IF(F1393&gt;=0,D1393*E1393*(1+F1393/100),ABS(D1393*E1393/F1393)),"")</f>
        <v/>
      </c>
      <c r="H1393" s="43" t="str">
        <f>IFERROR(G1393*E1386,"")</f>
        <v/>
      </c>
    </row>
    <row r="1394" spans="1:10" ht="12.75" customHeight="1">
      <c r="A1394" s="21"/>
      <c r="B1394" s="22" t="s">
        <v>3731</v>
      </c>
      <c r="C1394" s="23"/>
      <c r="D1394" s="24"/>
      <c r="E1394" s="25"/>
      <c r="F1394" s="26"/>
      <c r="G1394" s="27">
        <f>SUM(G1395:G1397)</f>
        <v>873.30764137500023</v>
      </c>
      <c r="H1394" s="44">
        <f>G1394*E1386</f>
        <v>0</v>
      </c>
    </row>
    <row r="1395" spans="1:10" ht="12.75" customHeight="1">
      <c r="A1395" s="28"/>
      <c r="B1395" s="29" t="s">
        <v>3570</v>
      </c>
      <c r="C1395" s="30" t="str">
        <f>IFERROR(_xlfn.XLOOKUP(B1395,Equipo[DESCRIPCION],Equipo[UND],,0),"")</f>
        <v>%MO</v>
      </c>
      <c r="D1395" s="31">
        <v>0.04</v>
      </c>
      <c r="E1395" s="32">
        <f>IF(C1395="%MO",G1401,IFERROR(_xlfn.XLOOKUP($B1395,Equipo[DESCRIPCION],Equipo[VALOR],,0),""))</f>
        <v>9703.4182375000019</v>
      </c>
      <c r="F1395" s="33"/>
      <c r="G1395" s="34">
        <f>IFERROR(IF(F1395&gt;=0,D1395*E1395*(1+F1395/100),ABS(D1395*E1395/F1395)),"")</f>
        <v>388.13672950000006</v>
      </c>
      <c r="H1395" s="43">
        <f>IFERROR(G1395*E1386,"")</f>
        <v>0</v>
      </c>
    </row>
    <row r="1396" spans="1:10" ht="12.75" customHeight="1">
      <c r="A1396" s="28"/>
      <c r="B1396" s="29" t="s">
        <v>3626</v>
      </c>
      <c r="C1396" s="30" t="str">
        <f>IFERROR(_xlfn.XLOOKUP(B1396,Equipo[DESCRIPCION],Equipo[UND],,0),"")</f>
        <v>%MO</v>
      </c>
      <c r="D1396" s="31">
        <v>0.05</v>
      </c>
      <c r="E1396" s="32">
        <f>IF(C1396="%MO",G1401,IFERROR(_xlfn.XLOOKUP($B1396,Equipo[DESCRIPCION],Equipo[VALOR],,0),""))</f>
        <v>9703.4182375000019</v>
      </c>
      <c r="F1396" s="33"/>
      <c r="G1396" s="34">
        <f>IFERROR(IF(F1396&gt;=0,D1396*E1396*(1+F1396/100),ABS(D1396*E1396/F1396)),"")</f>
        <v>485.17091187500012</v>
      </c>
      <c r="H1396" s="43">
        <f>IFERROR(G1396*E1386,"")</f>
        <v>0</v>
      </c>
    </row>
    <row r="1397" spans="1:10" ht="12.75" customHeight="1">
      <c r="A1397" s="28"/>
      <c r="B1397" s="29"/>
      <c r="C1397" s="30" t="str">
        <f>IFERROR(_xlfn.XLOOKUP(B1397,Equipo[DESCRIPCION],Equipo[UND],,0),"")</f>
        <v/>
      </c>
      <c r="D1397" s="31"/>
      <c r="E1397" s="32" t="str">
        <f>IF(C1397="%MO",G1401,IFERROR(_xlfn.XLOOKUP($B1397,Equipo[DESCRIPCION],Equipo[VALOR],,0),""))</f>
        <v/>
      </c>
      <c r="F1397" s="33"/>
      <c r="G1397" s="34" t="str">
        <f>IFERROR(IF(F1397&gt;=0,D1397*E1397*(1+F1397/100),ABS(D1397*E1397/F1397)),"")</f>
        <v/>
      </c>
      <c r="H1397" s="43" t="str">
        <f>IFERROR(G1397*E1386,"")</f>
        <v/>
      </c>
    </row>
    <row r="1398" spans="1:10" ht="12.75" customHeight="1">
      <c r="A1398" s="21"/>
      <c r="B1398" s="22" t="s">
        <v>2533</v>
      </c>
      <c r="C1398" s="23"/>
      <c r="D1398" s="24"/>
      <c r="E1398" s="25"/>
      <c r="F1398" s="26"/>
      <c r="G1398" s="27">
        <f>SUM(G1399:G1400)</f>
        <v>0</v>
      </c>
      <c r="H1398" s="44">
        <f>G1398*E1386</f>
        <v>0</v>
      </c>
    </row>
    <row r="1399" spans="1:10" ht="12.75" customHeight="1">
      <c r="A1399" s="28"/>
      <c r="B1399" s="29"/>
      <c r="C1399" s="30" t="str">
        <f>IFERROR(_xlfn.XLOOKUP(B1399,Transporte[DESCRIPCION],Transporte[UND],,0),"")</f>
        <v/>
      </c>
      <c r="D1399" s="31"/>
      <c r="E1399" s="32" t="str">
        <f>IFERROR(_xlfn.XLOOKUP($B1399,Transporte[DESCRIPCION],Transporte[VALOR],,0),"")</f>
        <v/>
      </c>
      <c r="F1399" s="33"/>
      <c r="G1399" s="34" t="str">
        <f>IFERROR(IF(F1399&gt;=0,D1399*E1399*(1+F1399/100),ABS(D1399*E1399/F1399)),"")</f>
        <v/>
      </c>
      <c r="H1399" s="43" t="str">
        <f>IFERROR(G1399*E1386,"")</f>
        <v/>
      </c>
    </row>
    <row r="1400" spans="1:10" ht="12.75" customHeight="1">
      <c r="A1400" s="28"/>
      <c r="B1400" s="29"/>
      <c r="C1400" s="30" t="str">
        <f>IFERROR(_xlfn.XLOOKUP(B1400,Transporte[DESCRIPCION],Transporte[UND],,0),"")</f>
        <v/>
      </c>
      <c r="D1400" s="31"/>
      <c r="E1400" s="32" t="str">
        <f>IFERROR(_xlfn.XLOOKUP($B1400,Transporte[DESCRIPCION],Transporte[VALOR],,0),"")</f>
        <v/>
      </c>
      <c r="F1400" s="33"/>
      <c r="G1400" s="34" t="str">
        <f>IFERROR(IF(F1400&gt;=0,D1400*E1400*(1+F1400/100),ABS(D1400*E1400/F1400)),"")</f>
        <v/>
      </c>
      <c r="H1400" s="43" t="str">
        <f>IFERROR(G1400*E1386,"")</f>
        <v/>
      </c>
    </row>
    <row r="1401" spans="1:10" ht="12.75" customHeight="1">
      <c r="A1401" s="21"/>
      <c r="B1401" s="22" t="s">
        <v>3732</v>
      </c>
      <c r="C1401" s="23"/>
      <c r="D1401" s="24"/>
      <c r="E1401" s="25"/>
      <c r="F1401" s="26"/>
      <c r="G1401" s="27">
        <f>SUM(G1402:G1404)</f>
        <v>9703.4182375000019</v>
      </c>
      <c r="H1401" s="44">
        <f>G1401*E1386</f>
        <v>0</v>
      </c>
    </row>
    <row r="1402" spans="1:10" ht="12.75" customHeight="1">
      <c r="A1402" s="28"/>
      <c r="B1402" s="29" t="s">
        <v>3698</v>
      </c>
      <c r="C1402" s="30" t="str">
        <f>IFERROR(_xlfn.XLOOKUP(B1402,MObra[DESCRIPCION],MObra[UN],,0),"")</f>
        <v>día</v>
      </c>
      <c r="D1402" s="31">
        <v>1</v>
      </c>
      <c r="E1402" s="32">
        <f>IFERROR(_xlfn.XLOOKUP($B1402,MObra[DESCRIPCION],MObra[VALOR UNIT],,0),"")</f>
        <v>116441.01885000002</v>
      </c>
      <c r="F1402" s="33">
        <v>-12</v>
      </c>
      <c r="G1402" s="34">
        <f>IFERROR(IF(F1402&gt;=0,D1402*E1402*(1+F1402/100),ABS(D1402*E1402/F1402)),"")</f>
        <v>9703.4182375000019</v>
      </c>
      <c r="H1402" s="43">
        <f>IFERROR(G1402*E1386,"")</f>
        <v>0</v>
      </c>
    </row>
    <row r="1403" spans="1:10" ht="12.75" customHeight="1">
      <c r="A1403" s="28"/>
      <c r="B1403" s="29"/>
      <c r="C1403" s="30" t="str">
        <f t="array" ref="C1403">IFERROR(_xlfn.XLOOKUP(B1403,MObra[[#All],[DESCRIPCION]],MObra[[#All],[UN]],,0),"")</f>
        <v/>
      </c>
      <c r="D1403" s="31"/>
      <c r="E1403" s="32" t="str">
        <f>IFERROR(_xlfn.XLOOKUP($B1403,MObra[DESCRIPCION],MObra[VALOR UNIT],,0),"")</f>
        <v/>
      </c>
      <c r="F1403" s="33"/>
      <c r="G1403" s="34" t="str">
        <f>IFERROR(IF(F1403&gt;=0,D1403*E1403*(1+F1403/100),ABS(D1403*E1403/F1403)),"")</f>
        <v/>
      </c>
      <c r="H1403" s="43" t="str">
        <f>IFERROR(G1403*E1386,"")</f>
        <v/>
      </c>
    </row>
    <row r="1404" spans="1:10" ht="12.75" customHeight="1" thickBot="1">
      <c r="A1404" s="35"/>
      <c r="B1404" s="36"/>
      <c r="C1404" s="37" t="str">
        <f t="array" ref="C1404">IFERROR(_xlfn.XLOOKUP(B1404,MObra[[#All],[DESCRIPCION]],MObra[[#All],[UN]],,0),"")</f>
        <v/>
      </c>
      <c r="D1404" s="38"/>
      <c r="E1404" s="39" t="str">
        <f>IFERROR(_xlfn.XLOOKUP($B1404,MObra[DESCRIPCION],MObra[VALOR UNIT],,0),"")</f>
        <v/>
      </c>
      <c r="F1404" s="40"/>
      <c r="G1404" s="41" t="str">
        <f>IFERROR(IF(F1404&gt;=0,D1404*E1404*(1+F1404/100),ABS(D1404*E1404/F1404)),"")</f>
        <v/>
      </c>
      <c r="H1404" s="42" t="str">
        <f>IFERROR(G1404*E1386,"")</f>
        <v/>
      </c>
    </row>
    <row r="1405" spans="1:10" ht="12.75" customHeight="1" thickTop="1" thickBot="1">
      <c r="E1405" s="49"/>
      <c r="G1405" s="3"/>
    </row>
    <row r="1406" spans="1:10" ht="12.75" customHeight="1" thickTop="1" thickBot="1">
      <c r="A1406" s="6" t="s">
        <v>160</v>
      </c>
      <c r="B1406" s="7" t="str">
        <f>VLOOKUP($A1406,Presupuesto!$A:$D,2,FALSE())</f>
        <v>Demolición sumidero sencillo</v>
      </c>
      <c r="C1406" s="8" t="str">
        <f>VLOOKUP($A1406,Presupuesto!$A:$D,3,FALSE())</f>
        <v>Un</v>
      </c>
      <c r="D1406" s="9"/>
      <c r="E1406" s="10">
        <f>VLOOKUP($A1406,Presupuesto!$A:$D,4,FALSE())</f>
        <v>0</v>
      </c>
      <c r="F1406" s="11" t="s">
        <v>2589</v>
      </c>
      <c r="G1406" s="12">
        <f>SUM(G1408:G1424)/2</f>
        <v>181315.30078071434</v>
      </c>
      <c r="H1406" s="13">
        <f>ROUND(SUM(H1408:H1424),0)/2</f>
        <v>0</v>
      </c>
      <c r="I1406" s="10">
        <f>VLOOKUP(A1406,Presupuesto!$A:$F,6,0)</f>
        <v>0</v>
      </c>
      <c r="J1406" s="10">
        <f>+H1406-I1406</f>
        <v>0</v>
      </c>
    </row>
    <row r="1407" spans="1:10" ht="12.75" customHeight="1" thickTop="1">
      <c r="A1407" s="14"/>
      <c r="B1407" s="15" t="s">
        <v>2586</v>
      </c>
      <c r="C1407" s="15" t="s">
        <v>5</v>
      </c>
      <c r="D1407" s="16" t="s">
        <v>6</v>
      </c>
      <c r="E1407" s="17" t="s">
        <v>7</v>
      </c>
      <c r="F1407" s="18" t="s">
        <v>3728</v>
      </c>
      <c r="G1407" s="19" t="s">
        <v>3729</v>
      </c>
      <c r="H1407" s="20" t="s">
        <v>3797</v>
      </c>
    </row>
    <row r="1408" spans="1:10" ht="12.75" customHeight="1">
      <c r="A1408" s="21"/>
      <c r="B1408" s="22" t="s">
        <v>3730</v>
      </c>
      <c r="C1408" s="23"/>
      <c r="D1408" s="24"/>
      <c r="E1408" s="25"/>
      <c r="F1408" s="26"/>
      <c r="G1408" s="27">
        <f>SUM(G1409:G1413)</f>
        <v>0</v>
      </c>
      <c r="H1408" s="27">
        <f>IFERROR(G1408*E1406,"")</f>
        <v>0</v>
      </c>
    </row>
    <row r="1409" spans="1:8" ht="12.75" customHeight="1">
      <c r="A1409" s="28"/>
      <c r="B1409" s="29"/>
      <c r="C1409" s="30" t="str">
        <f>IFERROR(_xlfn.XLOOKUP(B1409,Insumo[DESCRIPCION],Insumo[UND],,0),"")</f>
        <v/>
      </c>
      <c r="D1409" s="31"/>
      <c r="E1409" s="32" t="str">
        <f>IFERROR(_xlfn.XLOOKUP($B1409,Insumo[DESCRIPCION],Insumo[VALOR],,0),"")</f>
        <v/>
      </c>
      <c r="F1409" s="33"/>
      <c r="G1409" s="34" t="str">
        <f>IFERROR(IF(F1409&gt;=0,D1409*E1409*(1+F1409/100),ABS(D1409*E1409/F1409)),"")</f>
        <v/>
      </c>
      <c r="H1409" s="43" t="str">
        <f>IFERROR(G1409*E1406,"")</f>
        <v/>
      </c>
    </row>
    <row r="1410" spans="1:8" ht="12.75" customHeight="1">
      <c r="A1410" s="28"/>
      <c r="B1410" s="29"/>
      <c r="C1410" s="30" t="str">
        <f>IFERROR(_xlfn.XLOOKUP(B1410,Insumo[DESCRIPCION],Insumo[UND],,0),"")</f>
        <v/>
      </c>
      <c r="D1410" s="31"/>
      <c r="E1410" s="32" t="str">
        <f>IFERROR(_xlfn.XLOOKUP($B1410,Insumo[DESCRIPCION],Insumo[VALOR],,0),"")</f>
        <v/>
      </c>
      <c r="F1410" s="33"/>
      <c r="G1410" s="34" t="str">
        <f>IFERROR(IF(F1410&gt;=0,D1410*E1410*(1+F1410/100),ABS(D1410*E1410/F1410)),"")</f>
        <v/>
      </c>
      <c r="H1410" s="43" t="str">
        <f>IFERROR(G1410*E1406,"")</f>
        <v/>
      </c>
    </row>
    <row r="1411" spans="1:8" ht="12.75" customHeight="1">
      <c r="A1411" s="28"/>
      <c r="B1411" s="29"/>
      <c r="C1411" s="30" t="str">
        <f>IFERROR(_xlfn.XLOOKUP(B1411,Insumo[DESCRIPCION],Insumo[UND],,0),"")</f>
        <v/>
      </c>
      <c r="D1411" s="31"/>
      <c r="E1411" s="32" t="str">
        <f>IFERROR(_xlfn.XLOOKUP($B1411,Insumo[DESCRIPCION],Insumo[VALOR],,0),"")</f>
        <v/>
      </c>
      <c r="F1411" s="33"/>
      <c r="G1411" s="34" t="str">
        <f>IFERROR(IF(F1411&gt;=0,D1411*E1411*(1+F1411/100),ABS(D1411*E1411/F1411)),"")</f>
        <v/>
      </c>
      <c r="H1411" s="43" t="str">
        <f>IFERROR(G1411*E1406,"")</f>
        <v/>
      </c>
    </row>
    <row r="1412" spans="1:8" ht="12.75" customHeight="1">
      <c r="A1412" s="28"/>
      <c r="B1412" s="29"/>
      <c r="C1412" s="30" t="str">
        <f>IFERROR(_xlfn.XLOOKUP(B1412,Insumo[DESCRIPCION],Insumo[UND],,0),"")</f>
        <v/>
      </c>
      <c r="D1412" s="31"/>
      <c r="E1412" s="32" t="str">
        <f>IFERROR(_xlfn.XLOOKUP($B1412,Insumo[DESCRIPCION],Insumo[VALOR],,0),"")</f>
        <v/>
      </c>
      <c r="F1412" s="33"/>
      <c r="G1412" s="34" t="str">
        <f>IFERROR(IF(F1412&gt;=0,D1412*E1412*(1+F1412/100),ABS(D1412*E1412/F1412)),"")</f>
        <v/>
      </c>
      <c r="H1412" s="43" t="str">
        <f>IFERROR(G1412*E1406,"")</f>
        <v/>
      </c>
    </row>
    <row r="1413" spans="1:8" ht="12.75" customHeight="1">
      <c r="A1413" s="28"/>
      <c r="B1413" s="29"/>
      <c r="C1413" s="30" t="str">
        <f>IFERROR(_xlfn.XLOOKUP(B1413,Insumo[DESCRIPCION],Insumo[UND],,0),"")</f>
        <v/>
      </c>
      <c r="D1413" s="31"/>
      <c r="E1413" s="32" t="str">
        <f>IFERROR(_xlfn.XLOOKUP($B1413,Insumo[DESCRIPCION],Insumo[VALOR],,0),"")</f>
        <v/>
      </c>
      <c r="F1413" s="33"/>
      <c r="G1413" s="34" t="str">
        <f>IFERROR(IF(F1413&gt;=0,D1413*E1413*(1+F1413/100),ABS(D1413*E1413/F1413)),"")</f>
        <v/>
      </c>
      <c r="H1413" s="43" t="str">
        <f>IFERROR(G1413*E1406,"")</f>
        <v/>
      </c>
    </row>
    <row r="1414" spans="1:8" ht="12.75" customHeight="1">
      <c r="A1414" s="21"/>
      <c r="B1414" s="22" t="s">
        <v>3731</v>
      </c>
      <c r="C1414" s="23"/>
      <c r="D1414" s="24"/>
      <c r="E1414" s="25"/>
      <c r="F1414" s="26"/>
      <c r="G1414" s="27">
        <f>SUM(G1415:G1417)</f>
        <v>14970.988137857148</v>
      </c>
      <c r="H1414" s="44">
        <f>G1414*E1406</f>
        <v>0</v>
      </c>
    </row>
    <row r="1415" spans="1:8" ht="12.75" customHeight="1">
      <c r="A1415" s="28"/>
      <c r="B1415" s="29" t="s">
        <v>3570</v>
      </c>
      <c r="C1415" s="30" t="str">
        <f>IFERROR(_xlfn.XLOOKUP(B1415,Equipo[DESCRIPCION],Equipo[UND],,0),"")</f>
        <v>%MO</v>
      </c>
      <c r="D1415" s="31">
        <v>0.04</v>
      </c>
      <c r="E1415" s="32">
        <f>IF(C1415="%MO",G1421,IFERROR(_xlfn.XLOOKUP($B1415,Equipo[DESCRIPCION],Equipo[VALOR],,0),""))</f>
        <v>166344.3126428572</v>
      </c>
      <c r="F1415" s="33"/>
      <c r="G1415" s="34">
        <f>IFERROR(IF(F1415&gt;=0,D1415*E1415*(1+F1415/100),ABS(D1415*E1415/F1415)),"")</f>
        <v>6653.7725057142879</v>
      </c>
      <c r="H1415" s="43">
        <f>IFERROR(G1415*E1406,"")</f>
        <v>0</v>
      </c>
    </row>
    <row r="1416" spans="1:8" ht="12.75" customHeight="1">
      <c r="A1416" s="28"/>
      <c r="B1416" s="29" t="s">
        <v>3626</v>
      </c>
      <c r="C1416" s="30" t="str">
        <f>IFERROR(_xlfn.XLOOKUP(B1416,Equipo[DESCRIPCION],Equipo[UND],,0),"")</f>
        <v>%MO</v>
      </c>
      <c r="D1416" s="31">
        <v>0.05</v>
      </c>
      <c r="E1416" s="32">
        <f>IF(C1416="%MO",G1421,IFERROR(_xlfn.XLOOKUP($B1416,Equipo[DESCRIPCION],Equipo[VALOR],,0),""))</f>
        <v>166344.3126428572</v>
      </c>
      <c r="F1416" s="33"/>
      <c r="G1416" s="34">
        <f>IFERROR(IF(F1416&gt;=0,D1416*E1416*(1+F1416/100),ABS(D1416*E1416/F1416)),"")</f>
        <v>8317.2156321428611</v>
      </c>
      <c r="H1416" s="43">
        <f>IFERROR(G1416*E1406,"")</f>
        <v>0</v>
      </c>
    </row>
    <row r="1417" spans="1:8" ht="12.75" customHeight="1">
      <c r="A1417" s="28"/>
      <c r="B1417" s="29"/>
      <c r="C1417" s="30" t="str">
        <f>IFERROR(_xlfn.XLOOKUP(B1417,Equipo[DESCRIPCION],Equipo[UND],,0),"")</f>
        <v/>
      </c>
      <c r="D1417" s="31"/>
      <c r="E1417" s="32" t="str">
        <f>IF(C1417="%MO",G1421,IFERROR(_xlfn.XLOOKUP($B1417,Equipo[DESCRIPCION],Equipo[VALOR],,0),""))</f>
        <v/>
      </c>
      <c r="F1417" s="33"/>
      <c r="G1417" s="34" t="str">
        <f>IFERROR(IF(F1417&gt;=0,D1417*E1417*(1+F1417/100),ABS(D1417*E1417/F1417)),"")</f>
        <v/>
      </c>
      <c r="H1417" s="43" t="str">
        <f>IFERROR(G1417*E1406,"")</f>
        <v/>
      </c>
    </row>
    <row r="1418" spans="1:8" ht="12.75" customHeight="1">
      <c r="A1418" s="21"/>
      <c r="B1418" s="22" t="s">
        <v>2533</v>
      </c>
      <c r="C1418" s="23"/>
      <c r="D1418" s="24"/>
      <c r="E1418" s="25"/>
      <c r="F1418" s="26"/>
      <c r="G1418" s="27">
        <f>SUM(G1419:G1420)</f>
        <v>0</v>
      </c>
      <c r="H1418" s="44">
        <f>G1418*E1406</f>
        <v>0</v>
      </c>
    </row>
    <row r="1419" spans="1:8" ht="12.75" customHeight="1">
      <c r="A1419" s="28"/>
      <c r="B1419" s="29"/>
      <c r="C1419" s="30" t="str">
        <f>IFERROR(_xlfn.XLOOKUP(B1419,Transporte[DESCRIPCION],Transporte[UND],,0),"")</f>
        <v/>
      </c>
      <c r="D1419" s="31"/>
      <c r="E1419" s="32" t="str">
        <f>IFERROR(_xlfn.XLOOKUP($B1419,Transporte[DESCRIPCION],Transporte[VALOR],,0),"")</f>
        <v/>
      </c>
      <c r="F1419" s="33"/>
      <c r="G1419" s="34" t="str">
        <f>IFERROR(IF(F1419&gt;=0,D1419*E1419*(1+F1419/100),ABS(D1419*E1419/F1419)),"")</f>
        <v/>
      </c>
      <c r="H1419" s="43" t="str">
        <f>IFERROR(G1419*E1406,"")</f>
        <v/>
      </c>
    </row>
    <row r="1420" spans="1:8" ht="12.75" customHeight="1">
      <c r="A1420" s="28"/>
      <c r="B1420" s="29"/>
      <c r="C1420" s="30" t="str">
        <f>IFERROR(_xlfn.XLOOKUP(B1420,Transporte[DESCRIPCION],Transporte[UND],,0),"")</f>
        <v/>
      </c>
      <c r="D1420" s="31"/>
      <c r="E1420" s="32" t="str">
        <f>IFERROR(_xlfn.XLOOKUP($B1420,Transporte[DESCRIPCION],Transporte[VALOR],,0),"")</f>
        <v/>
      </c>
      <c r="F1420" s="33"/>
      <c r="G1420" s="34" t="str">
        <f>IFERROR(IF(F1420&gt;=0,D1420*E1420*(1+F1420/100),ABS(D1420*E1420/F1420)),"")</f>
        <v/>
      </c>
      <c r="H1420" s="43" t="str">
        <f>IFERROR(G1420*E1406,"")</f>
        <v/>
      </c>
    </row>
    <row r="1421" spans="1:8" ht="12.75" customHeight="1">
      <c r="A1421" s="21"/>
      <c r="B1421" s="22" t="s">
        <v>3732</v>
      </c>
      <c r="C1421" s="23"/>
      <c r="D1421" s="24"/>
      <c r="E1421" s="25"/>
      <c r="F1421" s="26"/>
      <c r="G1421" s="27">
        <f>SUM(G1422:G1424)</f>
        <v>166344.3126428572</v>
      </c>
      <c r="H1421" s="44">
        <f>G1421*E1406</f>
        <v>0</v>
      </c>
    </row>
    <row r="1422" spans="1:8" ht="12.75" customHeight="1">
      <c r="A1422" s="28"/>
      <c r="B1422" s="29" t="s">
        <v>3698</v>
      </c>
      <c r="C1422" s="30" t="str">
        <f>IFERROR(_xlfn.XLOOKUP(B1422,MObra[DESCRIPCION],MObra[UN],,0),"")</f>
        <v>día</v>
      </c>
      <c r="D1422" s="31">
        <v>1</v>
      </c>
      <c r="E1422" s="32">
        <f>IFERROR(_xlfn.XLOOKUP($B1422,MObra[DESCRIPCION],MObra[VALOR UNIT],,0),"")</f>
        <v>116441.01885000002</v>
      </c>
      <c r="F1422" s="33">
        <v>-0.7</v>
      </c>
      <c r="G1422" s="34">
        <f>IFERROR(IF(F1422&gt;=0,D1422*E1422*(1+F1422/100),ABS(D1422*E1422/F1422)),"")</f>
        <v>166344.3126428572</v>
      </c>
      <c r="H1422" s="43">
        <f>IFERROR(G1422*E1406,"")</f>
        <v>0</v>
      </c>
    </row>
    <row r="1423" spans="1:8" ht="12.75" customHeight="1">
      <c r="A1423" s="28"/>
      <c r="B1423" s="29"/>
      <c r="C1423" s="30" t="str">
        <f t="array" ref="C1423">IFERROR(_xlfn.XLOOKUP(B1423,MObra[[#All],[DESCRIPCION]],MObra[[#All],[UN]],,0),"")</f>
        <v/>
      </c>
      <c r="D1423" s="31"/>
      <c r="E1423" s="32" t="str">
        <f>IFERROR(_xlfn.XLOOKUP($B1423,MObra[DESCRIPCION],MObra[VALOR UNIT],,0),"")</f>
        <v/>
      </c>
      <c r="F1423" s="33"/>
      <c r="G1423" s="34" t="str">
        <f>IFERROR(IF(F1423&gt;=0,D1423*E1423*(1+F1423/100),ABS(D1423*E1423/F1423)),"")</f>
        <v/>
      </c>
      <c r="H1423" s="43" t="str">
        <f>IFERROR(G1423*E1406,"")</f>
        <v/>
      </c>
    </row>
    <row r="1424" spans="1:8" ht="12.75" customHeight="1" thickBot="1">
      <c r="A1424" s="35"/>
      <c r="B1424" s="36"/>
      <c r="C1424" s="37" t="str">
        <f t="array" ref="C1424">IFERROR(_xlfn.XLOOKUP(B1424,MObra[[#All],[DESCRIPCION]],MObra[[#All],[UN]],,0),"")</f>
        <v/>
      </c>
      <c r="D1424" s="38"/>
      <c r="E1424" s="39" t="str">
        <f>IFERROR(_xlfn.XLOOKUP($B1424,MObra[DESCRIPCION],MObra[VALOR UNIT],,0),"")</f>
        <v/>
      </c>
      <c r="F1424" s="40"/>
      <c r="G1424" s="41" t="str">
        <f>IFERROR(IF(F1424&gt;=0,D1424*E1424*(1+F1424/100),ABS(D1424*E1424/F1424)),"")</f>
        <v/>
      </c>
      <c r="H1424" s="42" t="str">
        <f>IFERROR(G1424*E1406,"")</f>
        <v/>
      </c>
    </row>
    <row r="1425" spans="1:10" ht="12.75" customHeight="1" thickTop="1" thickBot="1">
      <c r="E1425" s="49"/>
      <c r="G1425" s="3"/>
    </row>
    <row r="1426" spans="1:10" ht="12.75" customHeight="1" thickTop="1" thickBot="1">
      <c r="A1426" s="6" t="s">
        <v>162</v>
      </c>
      <c r="B1426" s="7" t="str">
        <f>VLOOKUP($A1426,Presupuesto!$A:$D,2,FALSE())</f>
        <v>Demolición viga concreto manual</v>
      </c>
      <c r="C1426" s="8" t="str">
        <f>VLOOKUP($A1426,Presupuesto!$A:$D,3,FALSE())</f>
        <v>M3</v>
      </c>
      <c r="D1426" s="9"/>
      <c r="E1426" s="10">
        <f>VLOOKUP($A1426,Presupuesto!$A:$D,4,FALSE())</f>
        <v>0</v>
      </c>
      <c r="F1426" s="11" t="s">
        <v>2589</v>
      </c>
      <c r="G1426" s="12">
        <f>SUM(G1428:G1444)/2</f>
        <v>311532.6531595909</v>
      </c>
      <c r="H1426" s="13">
        <f>ROUND(SUM(H1428:H1444),0)/2</f>
        <v>0</v>
      </c>
      <c r="I1426" s="10">
        <f>VLOOKUP(A1426,Presupuesto!$A:$F,6,0)</f>
        <v>0</v>
      </c>
      <c r="J1426" s="10">
        <f>+H1426-I1426</f>
        <v>0</v>
      </c>
    </row>
    <row r="1427" spans="1:10" ht="12.75" customHeight="1" thickTop="1">
      <c r="A1427" s="14"/>
      <c r="B1427" s="15" t="s">
        <v>2586</v>
      </c>
      <c r="C1427" s="15" t="s">
        <v>5</v>
      </c>
      <c r="D1427" s="16" t="s">
        <v>6</v>
      </c>
      <c r="E1427" s="17" t="s">
        <v>7</v>
      </c>
      <c r="F1427" s="18" t="s">
        <v>3728</v>
      </c>
      <c r="G1427" s="19" t="s">
        <v>3729</v>
      </c>
      <c r="H1427" s="20" t="s">
        <v>3797</v>
      </c>
    </row>
    <row r="1428" spans="1:10" ht="12.75" customHeight="1">
      <c r="A1428" s="21"/>
      <c r="B1428" s="22" t="s">
        <v>3730</v>
      </c>
      <c r="C1428" s="23"/>
      <c r="D1428" s="24"/>
      <c r="E1428" s="25"/>
      <c r="F1428" s="26"/>
      <c r="G1428" s="27">
        <f>SUM(G1429:G1433)</f>
        <v>0</v>
      </c>
      <c r="H1428" s="27">
        <f>IFERROR(G1428*E1426,"")</f>
        <v>0</v>
      </c>
    </row>
    <row r="1429" spans="1:10" ht="12.75" customHeight="1">
      <c r="A1429" s="28"/>
      <c r="B1429" s="29"/>
      <c r="C1429" s="30" t="str">
        <f>IFERROR(_xlfn.XLOOKUP(B1429,Insumo[DESCRIPCION],Insumo[UND],,0),"")</f>
        <v/>
      </c>
      <c r="D1429" s="31"/>
      <c r="E1429" s="32" t="str">
        <f>IFERROR(_xlfn.XLOOKUP($B1429,Insumo[DESCRIPCION],Insumo[VALOR],,0),"")</f>
        <v/>
      </c>
      <c r="F1429" s="33"/>
      <c r="G1429" s="34" t="str">
        <f>IFERROR(IF(F1429&gt;=0,D1429*E1429*(1+F1429/100),ABS(D1429*E1429/F1429)),"")</f>
        <v/>
      </c>
      <c r="H1429" s="43" t="str">
        <f>IFERROR(G1429*E1426,"")</f>
        <v/>
      </c>
    </row>
    <row r="1430" spans="1:10" ht="12.75" customHeight="1">
      <c r="A1430" s="28"/>
      <c r="B1430" s="29"/>
      <c r="C1430" s="30" t="str">
        <f>IFERROR(_xlfn.XLOOKUP(B1430,Insumo[DESCRIPCION],Insumo[UND],,0),"")</f>
        <v/>
      </c>
      <c r="D1430" s="31"/>
      <c r="E1430" s="32" t="str">
        <f>IFERROR(_xlfn.XLOOKUP($B1430,Insumo[DESCRIPCION],Insumo[VALOR],,0),"")</f>
        <v/>
      </c>
      <c r="F1430" s="33"/>
      <c r="G1430" s="34" t="str">
        <f>IFERROR(IF(F1430&gt;=0,D1430*E1430*(1+F1430/100),ABS(D1430*E1430/F1430)),"")</f>
        <v/>
      </c>
      <c r="H1430" s="43" t="str">
        <f>IFERROR(G1430*E1426,"")</f>
        <v/>
      </c>
    </row>
    <row r="1431" spans="1:10" ht="12.75" customHeight="1">
      <c r="A1431" s="28"/>
      <c r="B1431" s="29"/>
      <c r="C1431" s="30" t="str">
        <f>IFERROR(_xlfn.XLOOKUP(B1431,Insumo[DESCRIPCION],Insumo[UND],,0),"")</f>
        <v/>
      </c>
      <c r="D1431" s="31"/>
      <c r="E1431" s="32" t="str">
        <f>IFERROR(_xlfn.XLOOKUP($B1431,Insumo[DESCRIPCION],Insumo[VALOR],,0),"")</f>
        <v/>
      </c>
      <c r="F1431" s="33"/>
      <c r="G1431" s="34" t="str">
        <f>IFERROR(IF(F1431&gt;=0,D1431*E1431*(1+F1431/100),ABS(D1431*E1431/F1431)),"")</f>
        <v/>
      </c>
      <c r="H1431" s="43" t="str">
        <f>IFERROR(G1431*E1426,"")</f>
        <v/>
      </c>
    </row>
    <row r="1432" spans="1:10" ht="12.75" customHeight="1">
      <c r="A1432" s="28"/>
      <c r="B1432" s="29"/>
      <c r="C1432" s="30" t="str">
        <f>IFERROR(_xlfn.XLOOKUP(B1432,Insumo[DESCRIPCION],Insumo[UND],,0),"")</f>
        <v/>
      </c>
      <c r="D1432" s="31"/>
      <c r="E1432" s="32" t="str">
        <f>IFERROR(_xlfn.XLOOKUP($B1432,Insumo[DESCRIPCION],Insumo[VALOR],,0),"")</f>
        <v/>
      </c>
      <c r="F1432" s="33"/>
      <c r="G1432" s="34" t="str">
        <f>IFERROR(IF(F1432&gt;=0,D1432*E1432*(1+F1432/100),ABS(D1432*E1432/F1432)),"")</f>
        <v/>
      </c>
      <c r="H1432" s="43" t="str">
        <f>IFERROR(G1432*E1426,"")</f>
        <v/>
      </c>
    </row>
    <row r="1433" spans="1:10" ht="12.75" customHeight="1">
      <c r="A1433" s="28"/>
      <c r="B1433" s="29"/>
      <c r="C1433" s="30" t="str">
        <f>IFERROR(_xlfn.XLOOKUP(B1433,Insumo[DESCRIPCION],Insumo[UND],,0),"")</f>
        <v/>
      </c>
      <c r="D1433" s="31"/>
      <c r="E1433" s="32" t="str">
        <f>IFERROR(_xlfn.XLOOKUP($B1433,Insumo[DESCRIPCION],Insumo[VALOR],,0),"")</f>
        <v/>
      </c>
      <c r="F1433" s="33"/>
      <c r="G1433" s="34" t="str">
        <f>IFERROR(IF(F1433&gt;=0,D1433*E1433*(1+F1433/100),ABS(D1433*E1433/F1433)),"")</f>
        <v/>
      </c>
      <c r="H1433" s="43" t="str">
        <f>IFERROR(G1433*E1426,"")</f>
        <v/>
      </c>
    </row>
    <row r="1434" spans="1:10" ht="12.75" customHeight="1">
      <c r="A1434" s="21"/>
      <c r="B1434" s="22" t="s">
        <v>3731</v>
      </c>
      <c r="C1434" s="23"/>
      <c r="D1434" s="24"/>
      <c r="E1434" s="25"/>
      <c r="F1434" s="26"/>
      <c r="G1434" s="27">
        <f>SUM(G1435:G1437)</f>
        <v>25722.879618681822</v>
      </c>
      <c r="H1434" s="44">
        <f>G1434*E1426</f>
        <v>0</v>
      </c>
    </row>
    <row r="1435" spans="1:10" ht="12.75" customHeight="1">
      <c r="A1435" s="28"/>
      <c r="B1435" s="29" t="s">
        <v>3570</v>
      </c>
      <c r="C1435" s="30" t="str">
        <f>IFERROR(_xlfn.XLOOKUP(B1435,Equipo[DESCRIPCION],Equipo[UND],,0),"")</f>
        <v>%MO</v>
      </c>
      <c r="D1435" s="31">
        <v>0.04</v>
      </c>
      <c r="E1435" s="32">
        <f>IF(C1435="%MO",G1441,IFERROR(_xlfn.XLOOKUP($B1435,Equipo[DESCRIPCION],Equipo[VALOR],,0),""))</f>
        <v>285809.77354090911</v>
      </c>
      <c r="F1435" s="33"/>
      <c r="G1435" s="34">
        <f>IFERROR(IF(F1435&gt;=0,D1435*E1435*(1+F1435/100),ABS(D1435*E1435/F1435)),"")</f>
        <v>11432.390941636364</v>
      </c>
      <c r="H1435" s="43">
        <f>IFERROR(G1435*E1426,"")</f>
        <v>0</v>
      </c>
    </row>
    <row r="1436" spans="1:10" ht="12.75" customHeight="1">
      <c r="A1436" s="28"/>
      <c r="B1436" s="29" t="s">
        <v>3626</v>
      </c>
      <c r="C1436" s="30" t="str">
        <f>IFERROR(_xlfn.XLOOKUP(B1436,Equipo[DESCRIPCION],Equipo[UND],,0),"")</f>
        <v>%MO</v>
      </c>
      <c r="D1436" s="31">
        <v>0.05</v>
      </c>
      <c r="E1436" s="32">
        <f>IF(C1436="%MO",G1441,IFERROR(_xlfn.XLOOKUP($B1436,Equipo[DESCRIPCION],Equipo[VALOR],,0),""))</f>
        <v>285809.77354090911</v>
      </c>
      <c r="F1436" s="33"/>
      <c r="G1436" s="34">
        <f>IFERROR(IF(F1436&gt;=0,D1436*E1436*(1+F1436/100),ABS(D1436*E1436/F1436)),"")</f>
        <v>14290.488677045456</v>
      </c>
      <c r="H1436" s="43">
        <f>IFERROR(G1436*E1426,"")</f>
        <v>0</v>
      </c>
    </row>
    <row r="1437" spans="1:10" ht="12.75" customHeight="1">
      <c r="A1437" s="28"/>
      <c r="B1437" s="29"/>
      <c r="C1437" s="30" t="str">
        <f>IFERROR(_xlfn.XLOOKUP(B1437,Equipo[DESCRIPCION],Equipo[UND],,0),"")</f>
        <v/>
      </c>
      <c r="D1437" s="31"/>
      <c r="E1437" s="32" t="str">
        <f>IF(C1437="%MO",G1441,IFERROR(_xlfn.XLOOKUP($B1437,Equipo[DESCRIPCION],Equipo[VALOR],,0),""))</f>
        <v/>
      </c>
      <c r="F1437" s="33"/>
      <c r="G1437" s="34" t="str">
        <f>IFERROR(IF(F1437&gt;=0,D1437*E1437*(1+F1437/100),ABS(D1437*E1437/F1437)),"")</f>
        <v/>
      </c>
      <c r="H1437" s="43" t="str">
        <f>IFERROR(G1437*E1426,"")</f>
        <v/>
      </c>
    </row>
    <row r="1438" spans="1:10" ht="12.75" customHeight="1">
      <c r="A1438" s="21"/>
      <c r="B1438" s="22" t="s">
        <v>2533</v>
      </c>
      <c r="C1438" s="23"/>
      <c r="D1438" s="24"/>
      <c r="E1438" s="25"/>
      <c r="F1438" s="26"/>
      <c r="G1438" s="27">
        <f>SUM(G1439:G1440)</f>
        <v>0</v>
      </c>
      <c r="H1438" s="44">
        <f>G1438*E1426</f>
        <v>0</v>
      </c>
    </row>
    <row r="1439" spans="1:10" ht="12.75" customHeight="1">
      <c r="A1439" s="28"/>
      <c r="B1439" s="29"/>
      <c r="C1439" s="30" t="str">
        <f>IFERROR(_xlfn.XLOOKUP(B1439,Transporte[DESCRIPCION],Transporte[UND],,0),"")</f>
        <v/>
      </c>
      <c r="D1439" s="31"/>
      <c r="E1439" s="32" t="str">
        <f>IFERROR(_xlfn.XLOOKUP($B1439,Transporte[DESCRIPCION],Transporte[VALOR],,0),"")</f>
        <v/>
      </c>
      <c r="F1439" s="33"/>
      <c r="G1439" s="34" t="str">
        <f>IFERROR(IF(F1439&gt;=0,D1439*E1439*(1+F1439/100),ABS(D1439*E1439/F1439)),"")</f>
        <v/>
      </c>
      <c r="H1439" s="43" t="str">
        <f>IFERROR(G1439*E1426,"")</f>
        <v/>
      </c>
    </row>
    <row r="1440" spans="1:10" ht="12.75" customHeight="1">
      <c r="A1440" s="28"/>
      <c r="B1440" s="29"/>
      <c r="C1440" s="30" t="str">
        <f>IFERROR(_xlfn.XLOOKUP(B1440,Transporte[DESCRIPCION],Transporte[UND],,0),"")</f>
        <v/>
      </c>
      <c r="D1440" s="31"/>
      <c r="E1440" s="32" t="str">
        <f>IFERROR(_xlfn.XLOOKUP($B1440,Transporte[DESCRIPCION],Transporte[VALOR],,0),"")</f>
        <v/>
      </c>
      <c r="F1440" s="33"/>
      <c r="G1440" s="34" t="str">
        <f>IFERROR(IF(F1440&gt;=0,D1440*E1440*(1+F1440/100),ABS(D1440*E1440/F1440)),"")</f>
        <v/>
      </c>
      <c r="H1440" s="43" t="str">
        <f>IFERROR(G1440*E1426,"")</f>
        <v/>
      </c>
    </row>
    <row r="1441" spans="1:10" ht="12.75" customHeight="1">
      <c r="A1441" s="21"/>
      <c r="B1441" s="22" t="s">
        <v>3732</v>
      </c>
      <c r="C1441" s="23"/>
      <c r="D1441" s="24"/>
      <c r="E1441" s="25"/>
      <c r="F1441" s="26"/>
      <c r="G1441" s="27">
        <f>SUM(G1442:G1444)</f>
        <v>285809.77354090911</v>
      </c>
      <c r="H1441" s="44">
        <f>G1441*E1426</f>
        <v>0</v>
      </c>
    </row>
    <row r="1442" spans="1:10" ht="12.75" customHeight="1">
      <c r="A1442" s="28"/>
      <c r="B1442" s="29" t="s">
        <v>3710</v>
      </c>
      <c r="C1442" s="30" t="str">
        <f>IFERROR(_xlfn.XLOOKUP(B1442,MObra[DESCRIPCION],MObra[UN],,0),"")</f>
        <v>día</v>
      </c>
      <c r="D1442" s="31">
        <v>1</v>
      </c>
      <c r="E1442" s="32">
        <f>IFERROR(_xlfn.XLOOKUP($B1442,MObra[DESCRIPCION],MObra[VALOR UNIT],,0),"")</f>
        <v>314390.75089500006</v>
      </c>
      <c r="F1442" s="33">
        <v>-1.1000000000000001</v>
      </c>
      <c r="G1442" s="34">
        <f>IFERROR(IF(F1442&gt;=0,D1442*E1442*(1+F1442/100),ABS(D1442*E1442/F1442)),"")</f>
        <v>285809.77354090911</v>
      </c>
      <c r="H1442" s="43">
        <f>IFERROR(G1442*E1426,"")</f>
        <v>0</v>
      </c>
    </row>
    <row r="1443" spans="1:10" ht="12.75" customHeight="1">
      <c r="A1443" s="28"/>
      <c r="B1443" s="29"/>
      <c r="C1443" s="30" t="str">
        <f t="array" ref="C1443">IFERROR(_xlfn.XLOOKUP(B1443,MObra[[#All],[DESCRIPCION]],MObra[[#All],[UN]],,0),"")</f>
        <v/>
      </c>
      <c r="D1443" s="31"/>
      <c r="E1443" s="32" t="str">
        <f>IFERROR(_xlfn.XLOOKUP($B1443,MObra[DESCRIPCION],MObra[VALOR UNIT],,0),"")</f>
        <v/>
      </c>
      <c r="F1443" s="33"/>
      <c r="G1443" s="34" t="str">
        <f>IFERROR(IF(F1443&gt;=0,D1443*E1443*(1+F1443/100),ABS(D1443*E1443/F1443)),"")</f>
        <v/>
      </c>
      <c r="H1443" s="43" t="str">
        <f>IFERROR(G1443*E1426,"")</f>
        <v/>
      </c>
    </row>
    <row r="1444" spans="1:10" ht="12.75" customHeight="1" thickBot="1">
      <c r="A1444" s="35"/>
      <c r="B1444" s="36"/>
      <c r="C1444" s="37" t="str">
        <f t="array" ref="C1444">IFERROR(_xlfn.XLOOKUP(B1444,MObra[[#All],[DESCRIPCION]],MObra[[#All],[UN]],,0),"")</f>
        <v/>
      </c>
      <c r="D1444" s="38"/>
      <c r="E1444" s="39" t="str">
        <f>IFERROR(_xlfn.XLOOKUP($B1444,MObra[DESCRIPCION],MObra[VALOR UNIT],,0),"")</f>
        <v/>
      </c>
      <c r="F1444" s="40"/>
      <c r="G1444" s="41" t="str">
        <f>IFERROR(IF(F1444&gt;=0,D1444*E1444*(1+F1444/100),ABS(D1444*E1444/F1444)),"")</f>
        <v/>
      </c>
      <c r="H1444" s="42" t="str">
        <f>IFERROR(G1444*E1426,"")</f>
        <v/>
      </c>
    </row>
    <row r="1445" spans="1:10" ht="12.75" customHeight="1" thickTop="1" thickBot="1">
      <c r="E1445" s="49"/>
      <c r="G1445" s="3"/>
    </row>
    <row r="1446" spans="1:10" ht="12.75" customHeight="1" thickTop="1" thickBot="1">
      <c r="A1446" s="6" t="s">
        <v>164</v>
      </c>
      <c r="B1446" s="7" t="str">
        <f>VLOOKUP($A1446,Presupuesto!$A:$D,2,FALSE())</f>
        <v>Desarmado gaviones</v>
      </c>
      <c r="C1446" s="8" t="str">
        <f>VLOOKUP($A1446,Presupuesto!$A:$D,3,FALSE())</f>
        <v>M3</v>
      </c>
      <c r="D1446" s="9"/>
      <c r="E1446" s="10">
        <f>VLOOKUP($A1446,Presupuesto!$A:$D,4,FALSE())</f>
        <v>0</v>
      </c>
      <c r="F1446" s="11" t="s">
        <v>2589</v>
      </c>
      <c r="G1446" s="12">
        <f>SUM(G1448:G1464)/2</f>
        <v>12692.071054650001</v>
      </c>
      <c r="H1446" s="13">
        <f>ROUND(SUM(H1448:H1464),0)/2</f>
        <v>0</v>
      </c>
      <c r="I1446" s="10">
        <f>VLOOKUP(A1446,Presupuesto!$A:$F,6,0)</f>
        <v>0</v>
      </c>
      <c r="J1446" s="10">
        <f>+H1446-I1446</f>
        <v>0</v>
      </c>
    </row>
    <row r="1447" spans="1:10" ht="12.75" customHeight="1" thickTop="1">
      <c r="A1447" s="14"/>
      <c r="B1447" s="15" t="s">
        <v>2586</v>
      </c>
      <c r="C1447" s="15" t="s">
        <v>5</v>
      </c>
      <c r="D1447" s="16" t="s">
        <v>6</v>
      </c>
      <c r="E1447" s="17" t="s">
        <v>7</v>
      </c>
      <c r="F1447" s="18" t="s">
        <v>3728</v>
      </c>
      <c r="G1447" s="19" t="s">
        <v>3729</v>
      </c>
      <c r="H1447" s="20" t="s">
        <v>3797</v>
      </c>
    </row>
    <row r="1448" spans="1:10" ht="12.75" customHeight="1">
      <c r="A1448" s="21"/>
      <c r="B1448" s="22" t="s">
        <v>3730</v>
      </c>
      <c r="C1448" s="23"/>
      <c r="D1448" s="24"/>
      <c r="E1448" s="25"/>
      <c r="F1448" s="26"/>
      <c r="G1448" s="27">
        <f>SUM(G1449:G1453)</f>
        <v>0</v>
      </c>
      <c r="H1448" s="27">
        <f>IFERROR(G1448*E1446,"")</f>
        <v>0</v>
      </c>
    </row>
    <row r="1449" spans="1:10" ht="12.75" customHeight="1">
      <c r="A1449" s="28"/>
      <c r="B1449" s="29"/>
      <c r="C1449" s="30" t="str">
        <f>IFERROR(_xlfn.XLOOKUP(B1449,Insumo[DESCRIPCION],Insumo[UND],,0),"")</f>
        <v/>
      </c>
      <c r="D1449" s="31"/>
      <c r="E1449" s="32" t="str">
        <f>IFERROR(_xlfn.XLOOKUP($B1449,Insumo[DESCRIPCION],Insumo[VALOR],,0),"")</f>
        <v/>
      </c>
      <c r="F1449" s="33"/>
      <c r="G1449" s="34" t="str">
        <f>IFERROR(IF(F1449&gt;=0,D1449*E1449*(1+F1449/100),ABS(D1449*E1449/F1449)),"")</f>
        <v/>
      </c>
      <c r="H1449" s="43" t="str">
        <f>IFERROR(G1449*E1446,"")</f>
        <v/>
      </c>
    </row>
    <row r="1450" spans="1:10" ht="12.75" customHeight="1">
      <c r="A1450" s="28"/>
      <c r="B1450" s="29"/>
      <c r="C1450" s="30" t="str">
        <f>IFERROR(_xlfn.XLOOKUP(B1450,Insumo[DESCRIPCION],Insumo[UND],,0),"")</f>
        <v/>
      </c>
      <c r="D1450" s="31"/>
      <c r="E1450" s="32" t="str">
        <f>IFERROR(_xlfn.XLOOKUP($B1450,Insumo[DESCRIPCION],Insumo[VALOR],,0),"")</f>
        <v/>
      </c>
      <c r="F1450" s="33"/>
      <c r="G1450" s="34" t="str">
        <f>IFERROR(IF(F1450&gt;=0,D1450*E1450*(1+F1450/100),ABS(D1450*E1450/F1450)),"")</f>
        <v/>
      </c>
      <c r="H1450" s="43" t="str">
        <f>IFERROR(G1450*E1446,"")</f>
        <v/>
      </c>
    </row>
    <row r="1451" spans="1:10" ht="12.75" customHeight="1">
      <c r="A1451" s="28"/>
      <c r="B1451" s="29"/>
      <c r="C1451" s="30" t="str">
        <f>IFERROR(_xlfn.XLOOKUP(B1451,Insumo[DESCRIPCION],Insumo[UND],,0),"")</f>
        <v/>
      </c>
      <c r="D1451" s="31"/>
      <c r="E1451" s="32" t="str">
        <f>IFERROR(_xlfn.XLOOKUP($B1451,Insumo[DESCRIPCION],Insumo[VALOR],,0),"")</f>
        <v/>
      </c>
      <c r="F1451" s="33"/>
      <c r="G1451" s="34" t="str">
        <f>IFERROR(IF(F1451&gt;=0,D1451*E1451*(1+F1451/100),ABS(D1451*E1451/F1451)),"")</f>
        <v/>
      </c>
      <c r="H1451" s="43" t="str">
        <f>IFERROR(G1451*E1446,"")</f>
        <v/>
      </c>
    </row>
    <row r="1452" spans="1:10" ht="12.75" customHeight="1">
      <c r="A1452" s="28"/>
      <c r="B1452" s="29"/>
      <c r="C1452" s="30" t="str">
        <f>IFERROR(_xlfn.XLOOKUP(B1452,Insumo[DESCRIPCION],Insumo[UND],,0),"")</f>
        <v/>
      </c>
      <c r="D1452" s="31"/>
      <c r="E1452" s="32" t="str">
        <f>IFERROR(_xlfn.XLOOKUP($B1452,Insumo[DESCRIPCION],Insumo[VALOR],,0),"")</f>
        <v/>
      </c>
      <c r="F1452" s="33"/>
      <c r="G1452" s="34" t="str">
        <f>IFERROR(IF(F1452&gt;=0,D1452*E1452*(1+F1452/100),ABS(D1452*E1452/F1452)),"")</f>
        <v/>
      </c>
      <c r="H1452" s="43" t="str">
        <f>IFERROR(G1452*E1446,"")</f>
        <v/>
      </c>
    </row>
    <row r="1453" spans="1:10" ht="12.75" customHeight="1">
      <c r="A1453" s="28"/>
      <c r="B1453" s="29"/>
      <c r="C1453" s="30" t="str">
        <f>IFERROR(_xlfn.XLOOKUP(B1453,Insumo[DESCRIPCION],Insumo[UND],,0),"")</f>
        <v/>
      </c>
      <c r="D1453" s="31"/>
      <c r="E1453" s="32" t="str">
        <f>IFERROR(_xlfn.XLOOKUP($B1453,Insumo[DESCRIPCION],Insumo[VALOR],,0),"")</f>
        <v/>
      </c>
      <c r="F1453" s="33"/>
      <c r="G1453" s="34" t="str">
        <f>IFERROR(IF(F1453&gt;=0,D1453*E1453*(1+F1453/100),ABS(D1453*E1453/F1453)),"")</f>
        <v/>
      </c>
      <c r="H1453" s="43" t="str">
        <f>IFERROR(G1453*E1446,"")</f>
        <v/>
      </c>
    </row>
    <row r="1454" spans="1:10" ht="12.75" customHeight="1">
      <c r="A1454" s="21"/>
      <c r="B1454" s="22" t="s">
        <v>3731</v>
      </c>
      <c r="C1454" s="23"/>
      <c r="D1454" s="24"/>
      <c r="E1454" s="25"/>
      <c r="F1454" s="26"/>
      <c r="G1454" s="27">
        <f>SUM(G1455:G1457)</f>
        <v>1047.9691696500001</v>
      </c>
      <c r="H1454" s="44">
        <f>G1454*E1446</f>
        <v>0</v>
      </c>
    </row>
    <row r="1455" spans="1:10" ht="12.75" customHeight="1">
      <c r="A1455" s="28"/>
      <c r="B1455" s="29" t="s">
        <v>3570</v>
      </c>
      <c r="C1455" s="30" t="str">
        <f>IFERROR(_xlfn.XLOOKUP(B1455,Equipo[DESCRIPCION],Equipo[UND],,0),"")</f>
        <v>%MO</v>
      </c>
      <c r="D1455" s="31">
        <v>0.04</v>
      </c>
      <c r="E1455" s="32">
        <f>IF(C1455="%MO",G1461,IFERROR(_xlfn.XLOOKUP($B1455,Equipo[DESCRIPCION],Equipo[VALOR],,0),""))</f>
        <v>11644.101885000002</v>
      </c>
      <c r="F1455" s="33"/>
      <c r="G1455" s="34">
        <f>IFERROR(IF(F1455&gt;=0,D1455*E1455*(1+F1455/100),ABS(D1455*E1455/F1455)),"")</f>
        <v>465.76407540000008</v>
      </c>
      <c r="H1455" s="43">
        <f>IFERROR(G1455*E1446,"")</f>
        <v>0</v>
      </c>
    </row>
    <row r="1456" spans="1:10" ht="12.75" customHeight="1">
      <c r="A1456" s="28"/>
      <c r="B1456" s="29" t="s">
        <v>3626</v>
      </c>
      <c r="C1456" s="30" t="str">
        <f>IFERROR(_xlfn.XLOOKUP(B1456,Equipo[DESCRIPCION],Equipo[UND],,0),"")</f>
        <v>%MO</v>
      </c>
      <c r="D1456" s="31">
        <v>0.05</v>
      </c>
      <c r="E1456" s="32">
        <f>IF(C1456="%MO",G1461,IFERROR(_xlfn.XLOOKUP($B1456,Equipo[DESCRIPCION],Equipo[VALOR],,0),""))</f>
        <v>11644.101885000002</v>
      </c>
      <c r="F1456" s="33"/>
      <c r="G1456" s="34">
        <f>IFERROR(IF(F1456&gt;=0,D1456*E1456*(1+F1456/100),ABS(D1456*E1456/F1456)),"")</f>
        <v>582.20509425000012</v>
      </c>
      <c r="H1456" s="43">
        <f>IFERROR(G1456*E1446,"")</f>
        <v>0</v>
      </c>
    </row>
    <row r="1457" spans="1:10" ht="12.75" customHeight="1">
      <c r="A1457" s="28"/>
      <c r="B1457" s="29"/>
      <c r="C1457" s="30" t="str">
        <f>IFERROR(_xlfn.XLOOKUP(B1457,Equipo[DESCRIPCION],Equipo[UND],,0),"")</f>
        <v/>
      </c>
      <c r="D1457" s="31"/>
      <c r="E1457" s="32" t="str">
        <f>IF(C1457="%MO",G1461,IFERROR(_xlfn.XLOOKUP($B1457,Equipo[DESCRIPCION],Equipo[VALOR],,0),""))</f>
        <v/>
      </c>
      <c r="F1457" s="33"/>
      <c r="G1457" s="34" t="str">
        <f>IFERROR(IF(F1457&gt;=0,D1457*E1457*(1+F1457/100),ABS(D1457*E1457/F1457)),"")</f>
        <v/>
      </c>
      <c r="H1457" s="43" t="str">
        <f>IFERROR(G1457*E1446,"")</f>
        <v/>
      </c>
    </row>
    <row r="1458" spans="1:10" ht="12.75" customHeight="1">
      <c r="A1458" s="21"/>
      <c r="B1458" s="22" t="s">
        <v>2533</v>
      </c>
      <c r="C1458" s="23"/>
      <c r="D1458" s="24"/>
      <c r="E1458" s="25"/>
      <c r="F1458" s="26"/>
      <c r="G1458" s="27">
        <f>SUM(G1459:G1460)</f>
        <v>0</v>
      </c>
      <c r="H1458" s="44">
        <f>G1458*E1446</f>
        <v>0</v>
      </c>
    </row>
    <row r="1459" spans="1:10" ht="12.75" customHeight="1">
      <c r="A1459" s="28"/>
      <c r="B1459" s="29"/>
      <c r="C1459" s="30" t="str">
        <f>IFERROR(_xlfn.XLOOKUP(B1459,Transporte[DESCRIPCION],Transporte[UND],,0),"")</f>
        <v/>
      </c>
      <c r="D1459" s="31"/>
      <c r="E1459" s="32" t="str">
        <f>IFERROR(_xlfn.XLOOKUP($B1459,Transporte[DESCRIPCION],Transporte[VALOR],,0),"")</f>
        <v/>
      </c>
      <c r="F1459" s="33"/>
      <c r="G1459" s="34" t="str">
        <f>IFERROR(IF(F1459&gt;=0,D1459*E1459*(1+F1459/100),ABS(D1459*E1459/F1459)),"")</f>
        <v/>
      </c>
      <c r="H1459" s="43" t="str">
        <f>IFERROR(G1459*E1446,"")</f>
        <v/>
      </c>
    </row>
    <row r="1460" spans="1:10" ht="12.75" customHeight="1">
      <c r="A1460" s="28"/>
      <c r="B1460" s="29"/>
      <c r="C1460" s="30" t="str">
        <f>IFERROR(_xlfn.XLOOKUP(B1460,Transporte[DESCRIPCION],Transporte[UND],,0),"")</f>
        <v/>
      </c>
      <c r="D1460" s="31"/>
      <c r="E1460" s="32" t="str">
        <f>IFERROR(_xlfn.XLOOKUP($B1460,Transporte[DESCRIPCION],Transporte[VALOR],,0),"")</f>
        <v/>
      </c>
      <c r="F1460" s="33"/>
      <c r="G1460" s="34" t="str">
        <f>IFERROR(IF(F1460&gt;=0,D1460*E1460*(1+F1460/100),ABS(D1460*E1460/F1460)),"")</f>
        <v/>
      </c>
      <c r="H1460" s="43" t="str">
        <f>IFERROR(G1460*E1446,"")</f>
        <v/>
      </c>
    </row>
    <row r="1461" spans="1:10" ht="12.75" customHeight="1">
      <c r="A1461" s="21"/>
      <c r="B1461" s="22" t="s">
        <v>3732</v>
      </c>
      <c r="C1461" s="23"/>
      <c r="D1461" s="24"/>
      <c r="E1461" s="25"/>
      <c r="F1461" s="26"/>
      <c r="G1461" s="27">
        <f>SUM(G1462:G1464)</f>
        <v>11644.101885000002</v>
      </c>
      <c r="H1461" s="44">
        <f>G1461*E1446</f>
        <v>0</v>
      </c>
    </row>
    <row r="1462" spans="1:10" ht="12.75" customHeight="1">
      <c r="A1462" s="28"/>
      <c r="B1462" s="29" t="s">
        <v>3698</v>
      </c>
      <c r="C1462" s="30" t="str">
        <f>IFERROR(_xlfn.XLOOKUP(B1462,MObra[DESCRIPCION],MObra[UN],,0),"")</f>
        <v>día</v>
      </c>
      <c r="D1462" s="31">
        <v>1</v>
      </c>
      <c r="E1462" s="32">
        <f>IFERROR(_xlfn.XLOOKUP($B1462,MObra[DESCRIPCION],MObra[VALOR UNIT],,0),"")</f>
        <v>116441.01885000002</v>
      </c>
      <c r="F1462" s="33">
        <v>-10</v>
      </c>
      <c r="G1462" s="34">
        <f>IFERROR(IF(F1462&gt;=0,D1462*E1462*(1+F1462/100),ABS(D1462*E1462/F1462)),"")</f>
        <v>11644.101885000002</v>
      </c>
      <c r="H1462" s="43">
        <f>IFERROR(G1462*E1446,"")</f>
        <v>0</v>
      </c>
    </row>
    <row r="1463" spans="1:10" ht="12.75" customHeight="1">
      <c r="A1463" s="28"/>
      <c r="B1463" s="29"/>
      <c r="C1463" s="30" t="str">
        <f t="array" ref="C1463">IFERROR(_xlfn.XLOOKUP(B1463,MObra[[#All],[DESCRIPCION]],MObra[[#All],[UN]],,0),"")</f>
        <v/>
      </c>
      <c r="D1463" s="31"/>
      <c r="E1463" s="32" t="str">
        <f>IFERROR(_xlfn.XLOOKUP($B1463,MObra[DESCRIPCION],MObra[VALOR UNIT],,0),"")</f>
        <v/>
      </c>
      <c r="F1463" s="33"/>
      <c r="G1463" s="34" t="str">
        <f>IFERROR(IF(F1463&gt;=0,D1463*E1463*(1+F1463/100),ABS(D1463*E1463/F1463)),"")</f>
        <v/>
      </c>
      <c r="H1463" s="43" t="str">
        <f>IFERROR(G1463*E1446,"")</f>
        <v/>
      </c>
    </row>
    <row r="1464" spans="1:10" ht="12.75" customHeight="1" thickBot="1">
      <c r="A1464" s="35"/>
      <c r="B1464" s="36"/>
      <c r="C1464" s="37" t="str">
        <f t="array" ref="C1464">IFERROR(_xlfn.XLOOKUP(B1464,MObra[[#All],[DESCRIPCION]],MObra[[#All],[UN]],,0),"")</f>
        <v/>
      </c>
      <c r="D1464" s="38"/>
      <c r="E1464" s="39" t="str">
        <f>IFERROR(_xlfn.XLOOKUP($B1464,MObra[DESCRIPCION],MObra[VALOR UNIT],,0),"")</f>
        <v/>
      </c>
      <c r="F1464" s="40"/>
      <c r="G1464" s="41" t="str">
        <f>IFERROR(IF(F1464&gt;=0,D1464*E1464*(1+F1464/100),ABS(D1464*E1464/F1464)),"")</f>
        <v/>
      </c>
      <c r="H1464" s="42" t="str">
        <f>IFERROR(G1464*E1446,"")</f>
        <v/>
      </c>
    </row>
    <row r="1465" spans="1:10" ht="12.75" customHeight="1" thickTop="1" thickBot="1">
      <c r="E1465" s="49"/>
      <c r="G1465" s="3"/>
    </row>
    <row r="1466" spans="1:10" ht="12.75" customHeight="1" thickTop="1" thickBot="1">
      <c r="A1466" s="6" t="s">
        <v>166</v>
      </c>
      <c r="B1466" s="7" t="str">
        <f>VLOOKUP($A1466,Presupuesto!$A:$D,2,FALSE())</f>
        <v>Desmonte adoquín E&lt;=100 mm</v>
      </c>
      <c r="C1466" s="8" t="str">
        <f>VLOOKUP($A1466,Presupuesto!$A:$D,3,FALSE())</f>
        <v>M2</v>
      </c>
      <c r="D1466" s="9"/>
      <c r="E1466" s="10">
        <f>VLOOKUP($A1466,Presupuesto!$A:$D,4,FALSE())</f>
        <v>0</v>
      </c>
      <c r="F1466" s="11" t="s">
        <v>2589</v>
      </c>
      <c r="G1466" s="12">
        <f>SUM(G1468:G1484)/2</f>
        <v>4759.5266454937519</v>
      </c>
      <c r="H1466" s="13">
        <f>ROUND(SUM(H1468:H1484),0)/2</f>
        <v>0</v>
      </c>
      <c r="I1466" s="10">
        <f>VLOOKUP(A1466,Presupuesto!$A:$F,6,0)</f>
        <v>0</v>
      </c>
      <c r="J1466" s="10">
        <f>+H1466-I1466</f>
        <v>0</v>
      </c>
    </row>
    <row r="1467" spans="1:10" ht="12.75" customHeight="1" thickTop="1">
      <c r="A1467" s="14"/>
      <c r="B1467" s="15" t="s">
        <v>2586</v>
      </c>
      <c r="C1467" s="15" t="s">
        <v>5</v>
      </c>
      <c r="D1467" s="16" t="s">
        <v>6</v>
      </c>
      <c r="E1467" s="17" t="s">
        <v>7</v>
      </c>
      <c r="F1467" s="18" t="s">
        <v>3728</v>
      </c>
      <c r="G1467" s="19" t="s">
        <v>3729</v>
      </c>
      <c r="H1467" s="20" t="s">
        <v>3797</v>
      </c>
    </row>
    <row r="1468" spans="1:10" ht="12.75" customHeight="1">
      <c r="A1468" s="21"/>
      <c r="B1468" s="22" t="s">
        <v>3730</v>
      </c>
      <c r="C1468" s="23"/>
      <c r="D1468" s="24"/>
      <c r="E1468" s="25"/>
      <c r="F1468" s="26"/>
      <c r="G1468" s="27">
        <f>SUM(G1469:G1473)</f>
        <v>0</v>
      </c>
      <c r="H1468" s="27">
        <f>IFERROR(G1468*E1466,"")</f>
        <v>0</v>
      </c>
    </row>
    <row r="1469" spans="1:10" ht="12.75" customHeight="1">
      <c r="A1469" s="28"/>
      <c r="B1469" s="29"/>
      <c r="C1469" s="30" t="str">
        <f>IFERROR(_xlfn.XLOOKUP(B1469,Insumo[DESCRIPCION],Insumo[UND],,0),"")</f>
        <v/>
      </c>
      <c r="D1469" s="31"/>
      <c r="E1469" s="32" t="str">
        <f>IFERROR(_xlfn.XLOOKUP($B1469,Insumo[DESCRIPCION],Insumo[VALOR],,0),"")</f>
        <v/>
      </c>
      <c r="F1469" s="33"/>
      <c r="G1469" s="34" t="str">
        <f>IFERROR(IF(F1469&gt;=0,D1469*E1469*(1+F1469/100),ABS(D1469*E1469/F1469)),"")</f>
        <v/>
      </c>
      <c r="H1469" s="43" t="str">
        <f>IFERROR(G1469*E1466,"")</f>
        <v/>
      </c>
    </row>
    <row r="1470" spans="1:10" ht="12.75" customHeight="1">
      <c r="A1470" s="28"/>
      <c r="B1470" s="29"/>
      <c r="C1470" s="30" t="str">
        <f>IFERROR(_xlfn.XLOOKUP(B1470,Insumo[DESCRIPCION],Insumo[UND],,0),"")</f>
        <v/>
      </c>
      <c r="D1470" s="31"/>
      <c r="E1470" s="32" t="str">
        <f>IFERROR(_xlfn.XLOOKUP($B1470,Insumo[DESCRIPCION],Insumo[VALOR],,0),"")</f>
        <v/>
      </c>
      <c r="F1470" s="33"/>
      <c r="G1470" s="34" t="str">
        <f>IFERROR(IF(F1470&gt;=0,D1470*E1470*(1+F1470/100),ABS(D1470*E1470/F1470)),"")</f>
        <v/>
      </c>
      <c r="H1470" s="43" t="str">
        <f>IFERROR(G1470*E1466,"")</f>
        <v/>
      </c>
    </row>
    <row r="1471" spans="1:10" ht="12.75" customHeight="1">
      <c r="A1471" s="28"/>
      <c r="B1471" s="29"/>
      <c r="C1471" s="30" t="str">
        <f>IFERROR(_xlfn.XLOOKUP(B1471,Insumo[DESCRIPCION],Insumo[UND],,0),"")</f>
        <v/>
      </c>
      <c r="D1471" s="31"/>
      <c r="E1471" s="32" t="str">
        <f>IFERROR(_xlfn.XLOOKUP($B1471,Insumo[DESCRIPCION],Insumo[VALOR],,0),"")</f>
        <v/>
      </c>
      <c r="F1471" s="33"/>
      <c r="G1471" s="34" t="str">
        <f>IFERROR(IF(F1471&gt;=0,D1471*E1471*(1+F1471/100),ABS(D1471*E1471/F1471)),"")</f>
        <v/>
      </c>
      <c r="H1471" s="43" t="str">
        <f>IFERROR(G1471*E1466,"")</f>
        <v/>
      </c>
    </row>
    <row r="1472" spans="1:10" ht="12.75" customHeight="1">
      <c r="A1472" s="28"/>
      <c r="B1472" s="29"/>
      <c r="C1472" s="30" t="str">
        <f>IFERROR(_xlfn.XLOOKUP(B1472,Insumo[DESCRIPCION],Insumo[UND],,0),"")</f>
        <v/>
      </c>
      <c r="D1472" s="31"/>
      <c r="E1472" s="32" t="str">
        <f>IFERROR(_xlfn.XLOOKUP($B1472,Insumo[DESCRIPCION],Insumo[VALOR],,0),"")</f>
        <v/>
      </c>
      <c r="F1472" s="33"/>
      <c r="G1472" s="34" t="str">
        <f>IFERROR(IF(F1472&gt;=0,D1472*E1472*(1+F1472/100),ABS(D1472*E1472/F1472)),"")</f>
        <v/>
      </c>
      <c r="H1472" s="43" t="str">
        <f>IFERROR(G1472*E1466,"")</f>
        <v/>
      </c>
    </row>
    <row r="1473" spans="1:10" ht="12.75" customHeight="1">
      <c r="A1473" s="28"/>
      <c r="B1473" s="29"/>
      <c r="C1473" s="30" t="str">
        <f>IFERROR(_xlfn.XLOOKUP(B1473,Insumo[DESCRIPCION],Insumo[UND],,0),"")</f>
        <v/>
      </c>
      <c r="D1473" s="31"/>
      <c r="E1473" s="32" t="str">
        <f>IFERROR(_xlfn.XLOOKUP($B1473,Insumo[DESCRIPCION],Insumo[VALOR],,0),"")</f>
        <v/>
      </c>
      <c r="F1473" s="33"/>
      <c r="G1473" s="34" t="str">
        <f>IFERROR(IF(F1473&gt;=0,D1473*E1473*(1+F1473/100),ABS(D1473*E1473/F1473)),"")</f>
        <v/>
      </c>
      <c r="H1473" s="43" t="str">
        <f>IFERROR(G1473*E1466,"")</f>
        <v/>
      </c>
    </row>
    <row r="1474" spans="1:10" ht="12.75" customHeight="1">
      <c r="A1474" s="21"/>
      <c r="B1474" s="22" t="s">
        <v>3731</v>
      </c>
      <c r="C1474" s="23"/>
      <c r="D1474" s="24"/>
      <c r="E1474" s="25"/>
      <c r="F1474" s="26"/>
      <c r="G1474" s="27">
        <f>SUM(G1475:G1477)</f>
        <v>392.98843861875014</v>
      </c>
      <c r="H1474" s="44">
        <f>G1474*E1466</f>
        <v>0</v>
      </c>
    </row>
    <row r="1475" spans="1:10" ht="12.75" customHeight="1">
      <c r="A1475" s="28"/>
      <c r="B1475" s="29" t="s">
        <v>3570</v>
      </c>
      <c r="C1475" s="30" t="str">
        <f>IFERROR(_xlfn.XLOOKUP(B1475,Equipo[DESCRIPCION],Equipo[UND],,0),"")</f>
        <v>%MO</v>
      </c>
      <c r="D1475" s="31">
        <v>0.04</v>
      </c>
      <c r="E1475" s="32">
        <f>IF(C1475="%MO",G1481,IFERROR(_xlfn.XLOOKUP($B1475,Equipo[DESCRIPCION],Equipo[VALOR],,0),""))</f>
        <v>4366.5382068750014</v>
      </c>
      <c r="F1475" s="33"/>
      <c r="G1475" s="34">
        <f>IFERROR(IF(F1475&gt;=0,D1475*E1475*(1+F1475/100),ABS(D1475*E1475/F1475)),"")</f>
        <v>174.66152827500005</v>
      </c>
      <c r="H1475" s="43">
        <f>IFERROR(G1475*E1466,"")</f>
        <v>0</v>
      </c>
    </row>
    <row r="1476" spans="1:10" ht="12.75" customHeight="1">
      <c r="A1476" s="28"/>
      <c r="B1476" s="29" t="s">
        <v>3626</v>
      </c>
      <c r="C1476" s="30" t="str">
        <f>IFERROR(_xlfn.XLOOKUP(B1476,Equipo[DESCRIPCION],Equipo[UND],,0),"")</f>
        <v>%MO</v>
      </c>
      <c r="D1476" s="31">
        <v>0.05</v>
      </c>
      <c r="E1476" s="32">
        <f>IF(C1476="%MO",G1481,IFERROR(_xlfn.XLOOKUP($B1476,Equipo[DESCRIPCION],Equipo[VALOR],,0),""))</f>
        <v>4366.5382068750014</v>
      </c>
      <c r="F1476" s="33"/>
      <c r="G1476" s="34">
        <f>IFERROR(IF(F1476&gt;=0,D1476*E1476*(1+F1476/100),ABS(D1476*E1476/F1476)),"")</f>
        <v>218.32691034375009</v>
      </c>
      <c r="H1476" s="43">
        <f>IFERROR(G1476*E1466,"")</f>
        <v>0</v>
      </c>
    </row>
    <row r="1477" spans="1:10" ht="12.75" customHeight="1">
      <c r="A1477" s="28"/>
      <c r="B1477" s="29"/>
      <c r="C1477" s="30" t="str">
        <f>IFERROR(_xlfn.XLOOKUP(B1477,Equipo[DESCRIPCION],Equipo[UND],,0),"")</f>
        <v/>
      </c>
      <c r="D1477" s="31"/>
      <c r="E1477" s="32" t="str">
        <f>IF(C1477="%MO",G1481,IFERROR(_xlfn.XLOOKUP($B1477,Equipo[DESCRIPCION],Equipo[VALOR],,0),""))</f>
        <v/>
      </c>
      <c r="F1477" s="33"/>
      <c r="G1477" s="34" t="str">
        <f>IFERROR(IF(F1477&gt;=0,D1477*E1477*(1+F1477/100),ABS(D1477*E1477/F1477)),"")</f>
        <v/>
      </c>
      <c r="H1477" s="43" t="str">
        <f>IFERROR(G1477*E1466,"")</f>
        <v/>
      </c>
    </row>
    <row r="1478" spans="1:10" ht="12.75" customHeight="1">
      <c r="A1478" s="21"/>
      <c r="B1478" s="22" t="s">
        <v>2533</v>
      </c>
      <c r="C1478" s="23"/>
      <c r="D1478" s="24"/>
      <c r="E1478" s="25"/>
      <c r="F1478" s="26"/>
      <c r="G1478" s="27">
        <f>SUM(G1479:G1480)</f>
        <v>0</v>
      </c>
      <c r="H1478" s="44">
        <f>G1478*E1466</f>
        <v>0</v>
      </c>
    </row>
    <row r="1479" spans="1:10" ht="12.75" customHeight="1">
      <c r="A1479" s="28"/>
      <c r="B1479" s="29"/>
      <c r="C1479" s="30" t="str">
        <f>IFERROR(_xlfn.XLOOKUP(B1479,Transporte[DESCRIPCION],Transporte[UND],,0),"")</f>
        <v/>
      </c>
      <c r="D1479" s="31"/>
      <c r="E1479" s="32" t="str">
        <f>IFERROR(_xlfn.XLOOKUP($B1479,Transporte[DESCRIPCION],Transporte[VALOR],,0),"")</f>
        <v/>
      </c>
      <c r="F1479" s="33"/>
      <c r="G1479" s="34" t="str">
        <f>IFERROR(IF(F1479&gt;=0,D1479*E1479*(1+F1479/100),ABS(D1479*E1479/F1479)),"")</f>
        <v/>
      </c>
      <c r="H1479" s="43" t="str">
        <f>IFERROR(G1479*E1466,"")</f>
        <v/>
      </c>
    </row>
    <row r="1480" spans="1:10" ht="12.75" customHeight="1">
      <c r="A1480" s="28"/>
      <c r="B1480" s="29"/>
      <c r="C1480" s="30" t="str">
        <f>IFERROR(_xlfn.XLOOKUP(B1480,Transporte[DESCRIPCION],Transporte[UND],,0),"")</f>
        <v/>
      </c>
      <c r="D1480" s="31"/>
      <c r="E1480" s="32" t="str">
        <f>IFERROR(_xlfn.XLOOKUP($B1480,Transporte[DESCRIPCION],Transporte[VALOR],,0),"")</f>
        <v/>
      </c>
      <c r="F1480" s="33"/>
      <c r="G1480" s="34" t="str">
        <f>IFERROR(IF(F1480&gt;=0,D1480*E1480*(1+F1480/100),ABS(D1480*E1480/F1480)),"")</f>
        <v/>
      </c>
      <c r="H1480" s="43" t="str">
        <f>IFERROR(G1480*E1466,"")</f>
        <v/>
      </c>
    </row>
    <row r="1481" spans="1:10" ht="12.75" customHeight="1">
      <c r="A1481" s="21"/>
      <c r="B1481" s="22" t="s">
        <v>3732</v>
      </c>
      <c r="C1481" s="23"/>
      <c r="D1481" s="24"/>
      <c r="E1481" s="25"/>
      <c r="F1481" s="26"/>
      <c r="G1481" s="27">
        <f>SUM(G1482:G1484)</f>
        <v>4366.5382068750014</v>
      </c>
      <c r="H1481" s="44">
        <f>G1481*E1466</f>
        <v>0</v>
      </c>
    </row>
    <row r="1482" spans="1:10" ht="12.75" customHeight="1">
      <c r="A1482" s="28"/>
      <c r="B1482" s="29" t="s">
        <v>3722</v>
      </c>
      <c r="C1482" s="30" t="str">
        <f>IFERROR(_xlfn.XLOOKUP(B1482,MObra[DESCRIPCION],MObra[UN],,0),"")</f>
        <v>día</v>
      </c>
      <c r="D1482" s="31">
        <v>1</v>
      </c>
      <c r="E1482" s="32">
        <f>IFERROR(_xlfn.XLOOKUP($B1482,MObra[DESCRIPCION],MObra[VALOR UNIT],,0),"")</f>
        <v>349323.0565500001</v>
      </c>
      <c r="F1482" s="33">
        <v>-80</v>
      </c>
      <c r="G1482" s="34">
        <f>IFERROR(IF(F1482&gt;=0,D1482*E1482*(1+F1482/100),ABS(D1482*E1482/F1482)),"")</f>
        <v>4366.5382068750014</v>
      </c>
      <c r="H1482" s="43">
        <f>IFERROR(G1482*E1466,"")</f>
        <v>0</v>
      </c>
    </row>
    <row r="1483" spans="1:10" ht="12.75" customHeight="1">
      <c r="A1483" s="28"/>
      <c r="B1483" s="29"/>
      <c r="C1483" s="30" t="str">
        <f t="array" ref="C1483">IFERROR(_xlfn.XLOOKUP(B1483,MObra[[#All],[DESCRIPCION]],MObra[[#All],[UN]],,0),"")</f>
        <v/>
      </c>
      <c r="D1483" s="31"/>
      <c r="E1483" s="32" t="str">
        <f>IFERROR(_xlfn.XLOOKUP($B1483,MObra[DESCRIPCION],MObra[VALOR UNIT],,0),"")</f>
        <v/>
      </c>
      <c r="F1483" s="33"/>
      <c r="G1483" s="34" t="str">
        <f>IFERROR(IF(F1483&gt;=0,D1483*E1483*(1+F1483/100),ABS(D1483*E1483/F1483)),"")</f>
        <v/>
      </c>
      <c r="H1483" s="43" t="str">
        <f>IFERROR(G1483*E1466,"")</f>
        <v/>
      </c>
    </row>
    <row r="1484" spans="1:10" ht="12.75" customHeight="1" thickBot="1">
      <c r="A1484" s="35"/>
      <c r="B1484" s="36"/>
      <c r="C1484" s="37" t="str">
        <f t="array" ref="C1484">IFERROR(_xlfn.XLOOKUP(B1484,MObra[[#All],[DESCRIPCION]],MObra[[#All],[UN]],,0),"")</f>
        <v/>
      </c>
      <c r="D1484" s="38"/>
      <c r="E1484" s="39" t="str">
        <f>IFERROR(_xlfn.XLOOKUP($B1484,MObra[DESCRIPCION],MObra[VALOR UNIT],,0),"")</f>
        <v/>
      </c>
      <c r="F1484" s="40"/>
      <c r="G1484" s="41" t="str">
        <f>IFERROR(IF(F1484&gt;=0,D1484*E1484*(1+F1484/100),ABS(D1484*E1484/F1484)),"")</f>
        <v/>
      </c>
      <c r="H1484" s="42" t="str">
        <f>IFERROR(G1484*E1466,"")</f>
        <v/>
      </c>
    </row>
    <row r="1485" spans="1:10" ht="12.75" customHeight="1" thickTop="1" thickBot="1">
      <c r="E1485" s="49"/>
      <c r="G1485" s="3"/>
    </row>
    <row r="1486" spans="1:10" ht="12.75" customHeight="1" thickTop="1" thickBot="1">
      <c r="A1486" s="6" t="s">
        <v>168</v>
      </c>
      <c r="B1486" s="7" t="str">
        <f>VLOOKUP($A1486,Presupuesto!$A:$D,2,FALSE())</f>
        <v>Desmonte aparato sanitario</v>
      </c>
      <c r="C1486" s="8" t="str">
        <f>VLOOKUP($A1486,Presupuesto!$A:$D,3,FALSE())</f>
        <v>Un</v>
      </c>
      <c r="D1486" s="9"/>
      <c r="E1486" s="10">
        <f>VLOOKUP($A1486,Presupuesto!$A:$D,4,FALSE())</f>
        <v>0</v>
      </c>
      <c r="F1486" s="11" t="s">
        <v>2589</v>
      </c>
      <c r="G1486" s="12">
        <f>SUM(G1488:G1504)/2</f>
        <v>23973.911992116671</v>
      </c>
      <c r="H1486" s="13">
        <f>ROUND(SUM(H1488:H1504),0)/2</f>
        <v>0</v>
      </c>
      <c r="I1486" s="10">
        <f>VLOOKUP(A1486,Presupuesto!$A:$F,6,0)</f>
        <v>0</v>
      </c>
      <c r="J1486" s="10">
        <f>+H1486-I1486</f>
        <v>0</v>
      </c>
    </row>
    <row r="1487" spans="1:10" ht="12.75" customHeight="1" thickTop="1">
      <c r="A1487" s="14"/>
      <c r="B1487" s="15" t="s">
        <v>2586</v>
      </c>
      <c r="C1487" s="15" t="s">
        <v>5</v>
      </c>
      <c r="D1487" s="16" t="s">
        <v>6</v>
      </c>
      <c r="E1487" s="17" t="s">
        <v>7</v>
      </c>
      <c r="F1487" s="18" t="s">
        <v>3728</v>
      </c>
      <c r="G1487" s="19" t="s">
        <v>3729</v>
      </c>
      <c r="H1487" s="20" t="s">
        <v>3797</v>
      </c>
    </row>
    <row r="1488" spans="1:10" ht="12.75" customHeight="1">
      <c r="A1488" s="21"/>
      <c r="B1488" s="22" t="s">
        <v>3730</v>
      </c>
      <c r="C1488" s="23"/>
      <c r="D1488" s="24"/>
      <c r="E1488" s="25"/>
      <c r="F1488" s="26"/>
      <c r="G1488" s="27">
        <f>SUM(G1489:G1493)</f>
        <v>0</v>
      </c>
      <c r="H1488" s="27">
        <f>IFERROR(G1488*E1486,"")</f>
        <v>0</v>
      </c>
    </row>
    <row r="1489" spans="1:8" ht="12.75" customHeight="1">
      <c r="A1489" s="28"/>
      <c r="B1489" s="29"/>
      <c r="C1489" s="30" t="str">
        <f>IFERROR(_xlfn.XLOOKUP(B1489,Insumo[DESCRIPCION],Insumo[UND],,0),"")</f>
        <v/>
      </c>
      <c r="D1489" s="31"/>
      <c r="E1489" s="32" t="str">
        <f>IFERROR(_xlfn.XLOOKUP($B1489,Insumo[DESCRIPCION],Insumo[VALOR],,0),"")</f>
        <v/>
      </c>
      <c r="F1489" s="33"/>
      <c r="G1489" s="34" t="str">
        <f>IFERROR(IF(F1489&gt;=0,D1489*E1489*(1+F1489/100),ABS(D1489*E1489/F1489)),"")</f>
        <v/>
      </c>
      <c r="H1489" s="43" t="str">
        <f>IFERROR(G1489*E1486,"")</f>
        <v/>
      </c>
    </row>
    <row r="1490" spans="1:8" ht="12.75" customHeight="1">
      <c r="A1490" s="28"/>
      <c r="B1490" s="29"/>
      <c r="C1490" s="30" t="str">
        <f>IFERROR(_xlfn.XLOOKUP(B1490,Insumo[DESCRIPCION],Insumo[UND],,0),"")</f>
        <v/>
      </c>
      <c r="D1490" s="31"/>
      <c r="E1490" s="32" t="str">
        <f>IFERROR(_xlfn.XLOOKUP($B1490,Insumo[DESCRIPCION],Insumo[VALOR],,0),"")</f>
        <v/>
      </c>
      <c r="F1490" s="33"/>
      <c r="G1490" s="34" t="str">
        <f>IFERROR(IF(F1490&gt;=0,D1490*E1490*(1+F1490/100),ABS(D1490*E1490/F1490)),"")</f>
        <v/>
      </c>
      <c r="H1490" s="43" t="str">
        <f>IFERROR(G1490*E1486,"")</f>
        <v/>
      </c>
    </row>
    <row r="1491" spans="1:8" ht="12.75" customHeight="1">
      <c r="A1491" s="28"/>
      <c r="B1491" s="29"/>
      <c r="C1491" s="30" t="str">
        <f>IFERROR(_xlfn.XLOOKUP(B1491,Insumo[DESCRIPCION],Insumo[UND],,0),"")</f>
        <v/>
      </c>
      <c r="D1491" s="31"/>
      <c r="E1491" s="32" t="str">
        <f>IFERROR(_xlfn.XLOOKUP($B1491,Insumo[DESCRIPCION],Insumo[VALOR],,0),"")</f>
        <v/>
      </c>
      <c r="F1491" s="33"/>
      <c r="G1491" s="34" t="str">
        <f>IFERROR(IF(F1491&gt;=0,D1491*E1491*(1+F1491/100),ABS(D1491*E1491/F1491)),"")</f>
        <v/>
      </c>
      <c r="H1491" s="43" t="str">
        <f>IFERROR(G1491*E1486,"")</f>
        <v/>
      </c>
    </row>
    <row r="1492" spans="1:8" ht="12.75" customHeight="1">
      <c r="A1492" s="28"/>
      <c r="B1492" s="29"/>
      <c r="C1492" s="30" t="str">
        <f>IFERROR(_xlfn.XLOOKUP(B1492,Insumo[DESCRIPCION],Insumo[UND],,0),"")</f>
        <v/>
      </c>
      <c r="D1492" s="31"/>
      <c r="E1492" s="32" t="str">
        <f>IFERROR(_xlfn.XLOOKUP($B1492,Insumo[DESCRIPCION],Insumo[VALOR],,0),"")</f>
        <v/>
      </c>
      <c r="F1492" s="33"/>
      <c r="G1492" s="34" t="str">
        <f>IFERROR(IF(F1492&gt;=0,D1492*E1492*(1+F1492/100),ABS(D1492*E1492/F1492)),"")</f>
        <v/>
      </c>
      <c r="H1492" s="43" t="str">
        <f>IFERROR(G1492*E1486,"")</f>
        <v/>
      </c>
    </row>
    <row r="1493" spans="1:8" ht="12.75" customHeight="1">
      <c r="A1493" s="28"/>
      <c r="B1493" s="29"/>
      <c r="C1493" s="30" t="str">
        <f>IFERROR(_xlfn.XLOOKUP(B1493,Insumo[DESCRIPCION],Insumo[UND],,0),"")</f>
        <v/>
      </c>
      <c r="D1493" s="31"/>
      <c r="E1493" s="32" t="str">
        <f>IFERROR(_xlfn.XLOOKUP($B1493,Insumo[DESCRIPCION],Insumo[VALOR],,0),"")</f>
        <v/>
      </c>
      <c r="F1493" s="33"/>
      <c r="G1493" s="34" t="str">
        <f>IFERROR(IF(F1493&gt;=0,D1493*E1493*(1+F1493/100),ABS(D1493*E1493/F1493)),"")</f>
        <v/>
      </c>
      <c r="H1493" s="43" t="str">
        <f>IFERROR(G1493*E1486,"")</f>
        <v/>
      </c>
    </row>
    <row r="1494" spans="1:8" ht="12.75" customHeight="1">
      <c r="A1494" s="21"/>
      <c r="B1494" s="22" t="s">
        <v>3731</v>
      </c>
      <c r="C1494" s="23"/>
      <c r="D1494" s="24"/>
      <c r="E1494" s="25"/>
      <c r="F1494" s="26"/>
      <c r="G1494" s="27">
        <f>SUM(G1495:G1497)</f>
        <v>1979.4973204500006</v>
      </c>
      <c r="H1494" s="44">
        <f>G1494*E1486</f>
        <v>0</v>
      </c>
    </row>
    <row r="1495" spans="1:8" ht="12.75" customHeight="1">
      <c r="A1495" s="28"/>
      <c r="B1495" s="29" t="s">
        <v>3570</v>
      </c>
      <c r="C1495" s="30" t="str">
        <f>IFERROR(_xlfn.XLOOKUP(B1495,Equipo[DESCRIPCION],Equipo[UND],,0),"")</f>
        <v>%MO</v>
      </c>
      <c r="D1495" s="31">
        <v>0.04</v>
      </c>
      <c r="E1495" s="32">
        <f>IF(C1495="%MO",G1501,IFERROR(_xlfn.XLOOKUP($B1495,Equipo[DESCRIPCION],Equipo[VALOR],,0),""))</f>
        <v>21994.414671666673</v>
      </c>
      <c r="F1495" s="33"/>
      <c r="G1495" s="34">
        <f>IFERROR(IF(F1495&gt;=0,D1495*E1495*(1+F1495/100),ABS(D1495*E1495/F1495)),"")</f>
        <v>879.77658686666689</v>
      </c>
      <c r="H1495" s="43">
        <f>IFERROR(G1495*E1486,"")</f>
        <v>0</v>
      </c>
    </row>
    <row r="1496" spans="1:8" ht="12.75" customHeight="1">
      <c r="A1496" s="28"/>
      <c r="B1496" s="29" t="s">
        <v>3626</v>
      </c>
      <c r="C1496" s="30" t="str">
        <f>IFERROR(_xlfn.XLOOKUP(B1496,Equipo[DESCRIPCION],Equipo[UND],,0),"")</f>
        <v>%MO</v>
      </c>
      <c r="D1496" s="31">
        <v>0.05</v>
      </c>
      <c r="E1496" s="32">
        <f>IF(C1496="%MO",G1501,IFERROR(_xlfn.XLOOKUP($B1496,Equipo[DESCRIPCION],Equipo[VALOR],,0),""))</f>
        <v>21994.414671666673</v>
      </c>
      <c r="F1496" s="33"/>
      <c r="G1496" s="34">
        <f>IFERROR(IF(F1496&gt;=0,D1496*E1496*(1+F1496/100),ABS(D1496*E1496/F1496)),"")</f>
        <v>1099.7207335833336</v>
      </c>
      <c r="H1496" s="43">
        <f>IFERROR(G1496*E1486,"")</f>
        <v>0</v>
      </c>
    </row>
    <row r="1497" spans="1:8" ht="12.75" customHeight="1">
      <c r="A1497" s="28"/>
      <c r="B1497" s="29"/>
      <c r="C1497" s="30" t="str">
        <f>IFERROR(_xlfn.XLOOKUP(B1497,Equipo[DESCRIPCION],Equipo[UND],,0),"")</f>
        <v/>
      </c>
      <c r="D1497" s="31"/>
      <c r="E1497" s="32" t="str">
        <f>IF(C1497="%MO",G1501,IFERROR(_xlfn.XLOOKUP($B1497,Equipo[DESCRIPCION],Equipo[VALOR],,0),""))</f>
        <v/>
      </c>
      <c r="F1497" s="33"/>
      <c r="G1497" s="34" t="str">
        <f>IFERROR(IF(F1497&gt;=0,D1497*E1497*(1+F1497/100),ABS(D1497*E1497/F1497)),"")</f>
        <v/>
      </c>
      <c r="H1497" s="43" t="str">
        <f>IFERROR(G1497*E1486,"")</f>
        <v/>
      </c>
    </row>
    <row r="1498" spans="1:8" ht="12.75" customHeight="1">
      <c r="A1498" s="21"/>
      <c r="B1498" s="22" t="s">
        <v>2533</v>
      </c>
      <c r="C1498" s="23"/>
      <c r="D1498" s="24"/>
      <c r="E1498" s="25"/>
      <c r="F1498" s="26"/>
      <c r="G1498" s="27">
        <f>SUM(G1499:G1500)</f>
        <v>0</v>
      </c>
      <c r="H1498" s="44">
        <f>G1498*E1486</f>
        <v>0</v>
      </c>
    </row>
    <row r="1499" spans="1:8" ht="12.75" customHeight="1">
      <c r="A1499" s="28"/>
      <c r="B1499" s="29"/>
      <c r="C1499" s="30" t="str">
        <f>IFERROR(_xlfn.XLOOKUP(B1499,Transporte[DESCRIPCION],Transporte[UND],,0),"")</f>
        <v/>
      </c>
      <c r="D1499" s="31"/>
      <c r="E1499" s="32" t="str">
        <f>IFERROR(_xlfn.XLOOKUP($B1499,Transporte[DESCRIPCION],Transporte[VALOR],,0),"")</f>
        <v/>
      </c>
      <c r="F1499" s="33"/>
      <c r="G1499" s="34" t="str">
        <f>IFERROR(IF(F1499&gt;=0,D1499*E1499*(1+F1499/100),ABS(D1499*E1499/F1499)),"")</f>
        <v/>
      </c>
      <c r="H1499" s="43" t="str">
        <f>IFERROR(G1499*E1486,"")</f>
        <v/>
      </c>
    </row>
    <row r="1500" spans="1:8" ht="12.75" customHeight="1">
      <c r="A1500" s="28"/>
      <c r="B1500" s="29"/>
      <c r="C1500" s="30" t="str">
        <f>IFERROR(_xlfn.XLOOKUP(B1500,Transporte[DESCRIPCION],Transporte[UND],,0),"")</f>
        <v/>
      </c>
      <c r="D1500" s="31"/>
      <c r="E1500" s="32" t="str">
        <f>IFERROR(_xlfn.XLOOKUP($B1500,Transporte[DESCRIPCION],Transporte[VALOR],,0),"")</f>
        <v/>
      </c>
      <c r="F1500" s="33"/>
      <c r="G1500" s="34" t="str">
        <f>IFERROR(IF(F1500&gt;=0,D1500*E1500*(1+F1500/100),ABS(D1500*E1500/F1500)),"")</f>
        <v/>
      </c>
      <c r="H1500" s="43" t="str">
        <f>IFERROR(G1500*E1486,"")</f>
        <v/>
      </c>
    </row>
    <row r="1501" spans="1:8" ht="12.75" customHeight="1">
      <c r="A1501" s="21"/>
      <c r="B1501" s="22" t="s">
        <v>3732</v>
      </c>
      <c r="C1501" s="23"/>
      <c r="D1501" s="24"/>
      <c r="E1501" s="25"/>
      <c r="F1501" s="26"/>
      <c r="G1501" s="27">
        <f>SUM(G1502:G1504)</f>
        <v>21994.414671666673</v>
      </c>
      <c r="H1501" s="44">
        <f>G1501*E1486</f>
        <v>0</v>
      </c>
    </row>
    <row r="1502" spans="1:8" ht="12.75" customHeight="1">
      <c r="A1502" s="28"/>
      <c r="B1502" s="29" t="s">
        <v>3705</v>
      </c>
      <c r="C1502" s="30" t="str">
        <f>IFERROR(_xlfn.XLOOKUP(B1502,MObra[DESCRIPCION],MObra[UN],,0),"")</f>
        <v>día</v>
      </c>
      <c r="D1502" s="31">
        <v>1</v>
      </c>
      <c r="E1502" s="32">
        <f>IFERROR(_xlfn.XLOOKUP($B1502,MObra[DESCRIPCION],MObra[VALOR UNIT],,0),"")</f>
        <v>197949.73204500004</v>
      </c>
      <c r="F1502" s="33">
        <v>-9</v>
      </c>
      <c r="G1502" s="34">
        <f>IFERROR(IF(F1502&gt;=0,D1502*E1502*(1+F1502/100),ABS(D1502*E1502/F1502)),"")</f>
        <v>21994.414671666673</v>
      </c>
      <c r="H1502" s="43">
        <f>IFERROR(G1502*E1486,"")</f>
        <v>0</v>
      </c>
    </row>
    <row r="1503" spans="1:8" ht="12.75" customHeight="1">
      <c r="A1503" s="28"/>
      <c r="B1503" s="29"/>
      <c r="C1503" s="30" t="str">
        <f t="array" ref="C1503">IFERROR(_xlfn.XLOOKUP(B1503,MObra[[#All],[DESCRIPCION]],MObra[[#All],[UN]],,0),"")</f>
        <v/>
      </c>
      <c r="D1503" s="31"/>
      <c r="E1503" s="32" t="str">
        <f>IFERROR(_xlfn.XLOOKUP($B1503,MObra[DESCRIPCION],MObra[VALOR UNIT],,0),"")</f>
        <v/>
      </c>
      <c r="F1503" s="33"/>
      <c r="G1503" s="34" t="str">
        <f>IFERROR(IF(F1503&gt;=0,D1503*E1503*(1+F1503/100),ABS(D1503*E1503/F1503)),"")</f>
        <v/>
      </c>
      <c r="H1503" s="43" t="str">
        <f>IFERROR(G1503*E1486,"")</f>
        <v/>
      </c>
    </row>
    <row r="1504" spans="1:8" ht="12.75" customHeight="1" thickBot="1">
      <c r="A1504" s="35"/>
      <c r="B1504" s="36"/>
      <c r="C1504" s="37" t="str">
        <f t="array" ref="C1504">IFERROR(_xlfn.XLOOKUP(B1504,MObra[[#All],[DESCRIPCION]],MObra[[#All],[UN]],,0),"")</f>
        <v/>
      </c>
      <c r="D1504" s="38"/>
      <c r="E1504" s="39" t="str">
        <f>IFERROR(_xlfn.XLOOKUP($B1504,MObra[DESCRIPCION],MObra[VALOR UNIT],,0),"")</f>
        <v/>
      </c>
      <c r="F1504" s="40"/>
      <c r="G1504" s="41" t="str">
        <f>IFERROR(IF(F1504&gt;=0,D1504*E1504*(1+F1504/100),ABS(D1504*E1504/F1504)),"")</f>
        <v/>
      </c>
      <c r="H1504" s="42" t="str">
        <f>IFERROR(G1504*E1486,"")</f>
        <v/>
      </c>
    </row>
    <row r="1505" spans="1:10" ht="12.75" customHeight="1" thickTop="1" thickBot="1">
      <c r="E1505" s="49"/>
      <c r="G1505" s="3"/>
    </row>
    <row r="1506" spans="1:10" ht="12.75" customHeight="1" thickTop="1" thickBot="1">
      <c r="A1506" s="6" t="s">
        <v>170</v>
      </c>
      <c r="B1506" s="7" t="str">
        <f>VLOOKUP($A1506,Presupuesto!$A:$D,2,FALSE())</f>
        <v>Desmonte canal</v>
      </c>
      <c r="C1506" s="8" t="str">
        <f>VLOOKUP($A1506,Presupuesto!$A:$D,3,FALSE())</f>
        <v>M</v>
      </c>
      <c r="D1506" s="9"/>
      <c r="E1506" s="10">
        <f>VLOOKUP($A1506,Presupuesto!$A:$D,4,FALSE())</f>
        <v>0</v>
      </c>
      <c r="F1506" s="11" t="s">
        <v>2589</v>
      </c>
      <c r="G1506" s="12">
        <f>SUM(G1508:G1524)/2</f>
        <v>5775.4745349600016</v>
      </c>
      <c r="H1506" s="13">
        <f>ROUND(SUM(H1508:H1524),0)/2</f>
        <v>0</v>
      </c>
      <c r="I1506" s="10">
        <f>VLOOKUP(A1506,Presupuesto!$A:$F,6,0)</f>
        <v>0</v>
      </c>
      <c r="J1506" s="10">
        <f>+H1506-I1506</f>
        <v>0</v>
      </c>
    </row>
    <row r="1507" spans="1:10" ht="12.75" customHeight="1" thickTop="1">
      <c r="A1507" s="14"/>
      <c r="B1507" s="15" t="s">
        <v>2586</v>
      </c>
      <c r="C1507" s="15" t="s">
        <v>5</v>
      </c>
      <c r="D1507" s="16" t="s">
        <v>6</v>
      </c>
      <c r="E1507" s="17" t="s">
        <v>7</v>
      </c>
      <c r="F1507" s="18" t="s">
        <v>3728</v>
      </c>
      <c r="G1507" s="19" t="s">
        <v>3729</v>
      </c>
      <c r="H1507" s="20" t="s">
        <v>3797</v>
      </c>
    </row>
    <row r="1508" spans="1:10" ht="12.75" customHeight="1">
      <c r="A1508" s="21"/>
      <c r="B1508" s="22" t="s">
        <v>3730</v>
      </c>
      <c r="C1508" s="23"/>
      <c r="D1508" s="24"/>
      <c r="E1508" s="25"/>
      <c r="F1508" s="26"/>
      <c r="G1508" s="27">
        <f>SUM(G1509:G1513)</f>
        <v>0</v>
      </c>
      <c r="H1508" s="27">
        <f>IFERROR(G1508*E1506,"")</f>
        <v>0</v>
      </c>
    </row>
    <row r="1509" spans="1:10" ht="12.75" customHeight="1">
      <c r="A1509" s="28"/>
      <c r="B1509" s="29"/>
      <c r="C1509" s="30" t="str">
        <f>IFERROR(_xlfn.XLOOKUP(B1509,Insumo[DESCRIPCION],Insumo[UND],,0),"")</f>
        <v/>
      </c>
      <c r="D1509" s="31"/>
      <c r="E1509" s="32" t="str">
        <f>IFERROR(_xlfn.XLOOKUP($B1509,Insumo[DESCRIPCION],Insumo[VALOR],,0),"")</f>
        <v/>
      </c>
      <c r="F1509" s="33"/>
      <c r="G1509" s="34" t="str">
        <f>IFERROR(IF(F1509&gt;=0,D1509*E1509*(1+F1509/100),ABS(D1509*E1509/F1509)),"")</f>
        <v/>
      </c>
      <c r="H1509" s="43" t="str">
        <f>IFERROR(G1509*E1506,"")</f>
        <v/>
      </c>
    </row>
    <row r="1510" spans="1:10" ht="12.75" customHeight="1">
      <c r="A1510" s="28"/>
      <c r="B1510" s="29"/>
      <c r="C1510" s="30" t="str">
        <f>IFERROR(_xlfn.XLOOKUP(B1510,Insumo[DESCRIPCION],Insumo[UND],,0),"")</f>
        <v/>
      </c>
      <c r="D1510" s="31"/>
      <c r="E1510" s="32" t="str">
        <f>IFERROR(_xlfn.XLOOKUP($B1510,Insumo[DESCRIPCION],Insumo[VALOR],,0),"")</f>
        <v/>
      </c>
      <c r="F1510" s="33"/>
      <c r="G1510" s="34" t="str">
        <f>IFERROR(IF(F1510&gt;=0,D1510*E1510*(1+F1510/100),ABS(D1510*E1510/F1510)),"")</f>
        <v/>
      </c>
      <c r="H1510" s="43" t="str">
        <f>IFERROR(G1510*E1506,"")</f>
        <v/>
      </c>
    </row>
    <row r="1511" spans="1:10" ht="12.75" customHeight="1">
      <c r="A1511" s="28"/>
      <c r="B1511" s="29"/>
      <c r="C1511" s="30" t="str">
        <f>IFERROR(_xlfn.XLOOKUP(B1511,Insumo[DESCRIPCION],Insumo[UND],,0),"")</f>
        <v/>
      </c>
      <c r="D1511" s="31"/>
      <c r="E1511" s="32" t="str">
        <f>IFERROR(_xlfn.XLOOKUP($B1511,Insumo[DESCRIPCION],Insumo[VALOR],,0),"")</f>
        <v/>
      </c>
      <c r="F1511" s="33"/>
      <c r="G1511" s="34" t="str">
        <f>IFERROR(IF(F1511&gt;=0,D1511*E1511*(1+F1511/100),ABS(D1511*E1511/F1511)),"")</f>
        <v/>
      </c>
      <c r="H1511" s="43" t="str">
        <f>IFERROR(G1511*E1506,"")</f>
        <v/>
      </c>
    </row>
    <row r="1512" spans="1:10" ht="12.75" customHeight="1">
      <c r="A1512" s="28"/>
      <c r="B1512" s="29"/>
      <c r="C1512" s="30" t="str">
        <f>IFERROR(_xlfn.XLOOKUP(B1512,Insumo[DESCRIPCION],Insumo[UND],,0),"")</f>
        <v/>
      </c>
      <c r="D1512" s="31"/>
      <c r="E1512" s="32" t="str">
        <f>IFERROR(_xlfn.XLOOKUP($B1512,Insumo[DESCRIPCION],Insumo[VALOR],,0),"")</f>
        <v/>
      </c>
      <c r="F1512" s="33"/>
      <c r="G1512" s="34" t="str">
        <f>IFERROR(IF(F1512&gt;=0,D1512*E1512*(1+F1512/100),ABS(D1512*E1512/F1512)),"")</f>
        <v/>
      </c>
      <c r="H1512" s="43" t="str">
        <f>IFERROR(G1512*E1506,"")</f>
        <v/>
      </c>
    </row>
    <row r="1513" spans="1:10" ht="12.75" customHeight="1">
      <c r="A1513" s="28"/>
      <c r="B1513" s="29"/>
      <c r="C1513" s="30" t="str">
        <f>IFERROR(_xlfn.XLOOKUP(B1513,Insumo[DESCRIPCION],Insumo[UND],,0),"")</f>
        <v/>
      </c>
      <c r="D1513" s="31"/>
      <c r="E1513" s="32" t="str">
        <f>IFERROR(_xlfn.XLOOKUP($B1513,Insumo[DESCRIPCION],Insumo[VALOR],,0),"")</f>
        <v/>
      </c>
      <c r="F1513" s="33"/>
      <c r="G1513" s="34" t="str">
        <f>IFERROR(IF(F1513&gt;=0,D1513*E1513*(1+F1513/100),ABS(D1513*E1513/F1513)),"")</f>
        <v/>
      </c>
      <c r="H1513" s="43" t="str">
        <f>IFERROR(G1513*E1506,"")</f>
        <v/>
      </c>
    </row>
    <row r="1514" spans="1:10" ht="12.75" customHeight="1">
      <c r="A1514" s="21"/>
      <c r="B1514" s="22" t="s">
        <v>3731</v>
      </c>
      <c r="C1514" s="23"/>
      <c r="D1514" s="24"/>
      <c r="E1514" s="25"/>
      <c r="F1514" s="26"/>
      <c r="G1514" s="27">
        <f>SUM(G1515:G1517)</f>
        <v>1117.8337809600002</v>
      </c>
      <c r="H1514" s="44">
        <f>G1514*E1506</f>
        <v>0</v>
      </c>
    </row>
    <row r="1515" spans="1:10" ht="12.75" customHeight="1">
      <c r="A1515" s="28"/>
      <c r="B1515" s="29" t="s">
        <v>3573</v>
      </c>
      <c r="C1515" s="30" t="str">
        <f>IFERROR(_xlfn.XLOOKUP(B1515,Equipo[DESCRIPCION],Equipo[UND],,0),"")</f>
        <v>%MO</v>
      </c>
      <c r="D1515" s="146">
        <v>0.15</v>
      </c>
      <c r="E1515" s="32">
        <f>IF(C1515="%MO",G1521,IFERROR(_xlfn.XLOOKUP($B1515,Equipo[DESCRIPCION],Equipo[VALOR],,0),""))</f>
        <v>4657.6407540000009</v>
      </c>
      <c r="F1515" s="33"/>
      <c r="G1515" s="34">
        <f>IFERROR(IF(F1515&gt;=0,D1515*E1515*(1+F1515/100),ABS(D1515*E1515/F1515)),"")</f>
        <v>698.64611310000009</v>
      </c>
      <c r="H1515" s="43">
        <f>IFERROR(G1515*E1506,"")</f>
        <v>0</v>
      </c>
    </row>
    <row r="1516" spans="1:10" ht="12.75" customHeight="1">
      <c r="A1516" s="28"/>
      <c r="B1516" s="29" t="s">
        <v>3570</v>
      </c>
      <c r="C1516" s="30" t="str">
        <f>IFERROR(_xlfn.XLOOKUP(B1516,Equipo[DESCRIPCION],Equipo[UND],,0),"")</f>
        <v>%MO</v>
      </c>
      <c r="D1516" s="31">
        <v>0.04</v>
      </c>
      <c r="E1516" s="32">
        <f>IF(C1516="%MO",G1521,IFERROR(_xlfn.XLOOKUP($B1516,Equipo[DESCRIPCION],Equipo[VALOR],,0),""))</f>
        <v>4657.6407540000009</v>
      </c>
      <c r="F1516" s="33"/>
      <c r="G1516" s="34">
        <f>IFERROR(IF(F1516&gt;=0,D1516*E1516*(1+F1516/100),ABS(D1516*E1516/F1516)),"")</f>
        <v>186.30563016000005</v>
      </c>
      <c r="H1516" s="43">
        <f>IFERROR(G1516*E1506,"")</f>
        <v>0</v>
      </c>
    </row>
    <row r="1517" spans="1:10" ht="12.75" customHeight="1">
      <c r="A1517" s="28"/>
      <c r="B1517" s="29" t="s">
        <v>3626</v>
      </c>
      <c r="C1517" s="30" t="str">
        <f>IFERROR(_xlfn.XLOOKUP(B1517,Equipo[DESCRIPCION],Equipo[UND],,0),"")</f>
        <v>%MO</v>
      </c>
      <c r="D1517" s="31">
        <v>0.05</v>
      </c>
      <c r="E1517" s="32">
        <f>IF(C1517="%MO",G1521,IFERROR(_xlfn.XLOOKUP($B1517,Equipo[DESCRIPCION],Equipo[VALOR],,0),""))</f>
        <v>4657.6407540000009</v>
      </c>
      <c r="F1517" s="33"/>
      <c r="G1517" s="34">
        <f>IFERROR(IF(F1517&gt;=0,D1517*E1517*(1+F1517/100),ABS(D1517*E1517/F1517)),"")</f>
        <v>232.88203770000007</v>
      </c>
      <c r="H1517" s="43">
        <f>IFERROR(G1517*E1506,"")</f>
        <v>0</v>
      </c>
    </row>
    <row r="1518" spans="1:10" ht="12.75" customHeight="1">
      <c r="A1518" s="21"/>
      <c r="B1518" s="22" t="s">
        <v>2533</v>
      </c>
      <c r="C1518" s="23"/>
      <c r="D1518" s="24"/>
      <c r="E1518" s="25"/>
      <c r="F1518" s="26"/>
      <c r="G1518" s="27">
        <f>SUM(G1519:G1520)</f>
        <v>0</v>
      </c>
      <c r="H1518" s="44">
        <f>G1518*E1506</f>
        <v>0</v>
      </c>
    </row>
    <row r="1519" spans="1:10" ht="12.75" customHeight="1">
      <c r="A1519" s="28"/>
      <c r="B1519" s="29"/>
      <c r="C1519" s="30" t="str">
        <f>IFERROR(_xlfn.XLOOKUP(B1519,Transporte[DESCRIPCION],Transporte[UND],,0),"")</f>
        <v/>
      </c>
      <c r="D1519" s="31"/>
      <c r="E1519" s="32" t="str">
        <f>IFERROR(_xlfn.XLOOKUP($B1519,Transporte[DESCRIPCION],Transporte[VALOR],,0),"")</f>
        <v/>
      </c>
      <c r="F1519" s="33"/>
      <c r="G1519" s="34" t="str">
        <f>IFERROR(IF(F1519&gt;=0,D1519*E1519*(1+F1519/100),ABS(D1519*E1519/F1519)),"")</f>
        <v/>
      </c>
      <c r="H1519" s="43" t="str">
        <f>IFERROR(G1519*E1506,"")</f>
        <v/>
      </c>
    </row>
    <row r="1520" spans="1:10" ht="12.75" customHeight="1">
      <c r="A1520" s="28"/>
      <c r="B1520" s="29"/>
      <c r="C1520" s="30" t="str">
        <f>IFERROR(_xlfn.XLOOKUP(B1520,Transporte[DESCRIPCION],Transporte[UND],,0),"")</f>
        <v/>
      </c>
      <c r="D1520" s="31"/>
      <c r="E1520" s="32" t="str">
        <f>IFERROR(_xlfn.XLOOKUP($B1520,Transporte[DESCRIPCION],Transporte[VALOR],,0),"")</f>
        <v/>
      </c>
      <c r="F1520" s="33"/>
      <c r="G1520" s="34" t="str">
        <f>IFERROR(IF(F1520&gt;=0,D1520*E1520*(1+F1520/100),ABS(D1520*E1520/F1520)),"")</f>
        <v/>
      </c>
      <c r="H1520" s="43" t="str">
        <f>IFERROR(G1520*E1506,"")</f>
        <v/>
      </c>
    </row>
    <row r="1521" spans="1:10" ht="12.75" customHeight="1">
      <c r="A1521" s="21"/>
      <c r="B1521" s="22" t="s">
        <v>3732</v>
      </c>
      <c r="C1521" s="23"/>
      <c r="D1521" s="24"/>
      <c r="E1521" s="25"/>
      <c r="F1521" s="26"/>
      <c r="G1521" s="27">
        <f>SUM(G1522:G1524)</f>
        <v>4657.6407540000009</v>
      </c>
      <c r="H1521" s="44">
        <f>G1521*E1506</f>
        <v>0</v>
      </c>
    </row>
    <row r="1522" spans="1:10" ht="12.75" customHeight="1">
      <c r="A1522" s="28"/>
      <c r="B1522" s="29" t="s">
        <v>3698</v>
      </c>
      <c r="C1522" s="30" t="str">
        <f>IFERROR(_xlfn.XLOOKUP(B1522,MObra[DESCRIPCION],MObra[UN],,0),"")</f>
        <v>día</v>
      </c>
      <c r="D1522" s="31">
        <v>1</v>
      </c>
      <c r="E1522" s="32">
        <f>IFERROR(_xlfn.XLOOKUP($B1522,MObra[DESCRIPCION],MObra[VALOR UNIT],,0),"")</f>
        <v>116441.01885000002</v>
      </c>
      <c r="F1522" s="33">
        <v>-25</v>
      </c>
      <c r="G1522" s="34">
        <f>IFERROR(IF(F1522&gt;=0,D1522*E1522*(1+F1522/100),ABS(D1522*E1522/F1522)),"")</f>
        <v>4657.6407540000009</v>
      </c>
      <c r="H1522" s="43">
        <f>IFERROR(G1522*E1506,"")</f>
        <v>0</v>
      </c>
    </row>
    <row r="1523" spans="1:10" ht="12.75" customHeight="1">
      <c r="A1523" s="28"/>
      <c r="B1523" s="29"/>
      <c r="C1523" s="30" t="str">
        <f t="array" ref="C1523">IFERROR(_xlfn.XLOOKUP(B1523,MObra[[#All],[DESCRIPCION]],MObra[[#All],[UN]],,0),"")</f>
        <v/>
      </c>
      <c r="D1523" s="31"/>
      <c r="E1523" s="32" t="str">
        <f>IFERROR(_xlfn.XLOOKUP($B1523,MObra[DESCRIPCION],MObra[VALOR UNIT],,0),"")</f>
        <v/>
      </c>
      <c r="F1523" s="33"/>
      <c r="G1523" s="34" t="str">
        <f>IFERROR(IF(F1523&gt;=0,D1523*E1523*(1+F1523/100),ABS(D1523*E1523/F1523)),"")</f>
        <v/>
      </c>
      <c r="H1523" s="43" t="str">
        <f>IFERROR(G1523*E1506,"")</f>
        <v/>
      </c>
    </row>
    <row r="1524" spans="1:10" ht="12.75" customHeight="1" thickBot="1">
      <c r="A1524" s="35"/>
      <c r="B1524" s="36"/>
      <c r="C1524" s="37" t="str">
        <f t="array" ref="C1524">IFERROR(_xlfn.XLOOKUP(B1524,MObra[[#All],[DESCRIPCION]],MObra[[#All],[UN]],,0),"")</f>
        <v/>
      </c>
      <c r="D1524" s="38"/>
      <c r="E1524" s="39" t="str">
        <f>IFERROR(_xlfn.XLOOKUP($B1524,MObra[DESCRIPCION],MObra[VALOR UNIT],,0),"")</f>
        <v/>
      </c>
      <c r="F1524" s="40"/>
      <c r="G1524" s="41" t="str">
        <f>IFERROR(IF(F1524&gt;=0,D1524*E1524*(1+F1524/100),ABS(D1524*E1524/F1524)),"")</f>
        <v/>
      </c>
      <c r="H1524" s="42" t="str">
        <f>IFERROR(G1524*E1506,"")</f>
        <v/>
      </c>
    </row>
    <row r="1525" spans="1:10" ht="12.75" customHeight="1" thickTop="1" thickBot="1">
      <c r="E1525" s="49"/>
      <c r="G1525" s="3"/>
    </row>
    <row r="1526" spans="1:10" ht="12.75" customHeight="1" thickTop="1" thickBot="1">
      <c r="A1526" s="6" t="s">
        <v>172</v>
      </c>
      <c r="B1526" s="7" t="str">
        <f>VLOOKUP($A1526,Presupuesto!$A:$D,2,FALSE())</f>
        <v>Desmonte cerramiento existente (malla eslabonada, muros en soga, vigas y/o concreto ciclópeo H&lt;3.0m)</v>
      </c>
      <c r="C1526" s="8" t="str">
        <f>VLOOKUP($A1526,Presupuesto!$A:$D,3,FALSE())</f>
        <v>M</v>
      </c>
      <c r="D1526" s="9"/>
      <c r="E1526" s="10">
        <f>VLOOKUP($A1526,Presupuesto!$A:$D,4,FALSE())</f>
        <v>0</v>
      </c>
      <c r="F1526" s="11" t="s">
        <v>2589</v>
      </c>
      <c r="G1526" s="12">
        <f>SUM(G1528:G1544)/2</f>
        <v>76152.426327900001</v>
      </c>
      <c r="H1526" s="13">
        <f>ROUND(SUM(H1528:H1544),0)/2</f>
        <v>0</v>
      </c>
      <c r="I1526" s="10">
        <f>VLOOKUP(A1526,Presupuesto!$A:$F,6,0)</f>
        <v>0</v>
      </c>
      <c r="J1526" s="10">
        <f>+H1526-I1526</f>
        <v>0</v>
      </c>
    </row>
    <row r="1527" spans="1:10" ht="12.75" customHeight="1" thickTop="1">
      <c r="A1527" s="14"/>
      <c r="B1527" s="15" t="s">
        <v>2586</v>
      </c>
      <c r="C1527" s="15" t="s">
        <v>5</v>
      </c>
      <c r="D1527" s="16" t="s">
        <v>6</v>
      </c>
      <c r="E1527" s="17" t="s">
        <v>7</v>
      </c>
      <c r="F1527" s="18" t="s">
        <v>3728</v>
      </c>
      <c r="G1527" s="19" t="s">
        <v>3729</v>
      </c>
      <c r="H1527" s="20" t="s">
        <v>3797</v>
      </c>
    </row>
    <row r="1528" spans="1:10" ht="12.75" customHeight="1">
      <c r="A1528" s="21"/>
      <c r="B1528" s="22" t="s">
        <v>3730</v>
      </c>
      <c r="C1528" s="23"/>
      <c r="D1528" s="24"/>
      <c r="E1528" s="25"/>
      <c r="F1528" s="26"/>
      <c r="G1528" s="27">
        <f>SUM(G1529:G1533)</f>
        <v>0</v>
      </c>
      <c r="H1528" s="27">
        <f>IFERROR(G1528*E1526,"")</f>
        <v>0</v>
      </c>
    </row>
    <row r="1529" spans="1:10" ht="12.75" customHeight="1">
      <c r="A1529" s="28"/>
      <c r="B1529" s="29"/>
      <c r="C1529" s="30" t="str">
        <f>IFERROR(_xlfn.XLOOKUP(B1529,Insumo[DESCRIPCION],Insumo[UND],,0),"")</f>
        <v/>
      </c>
      <c r="D1529" s="31"/>
      <c r="E1529" s="32" t="str">
        <f>IFERROR(_xlfn.XLOOKUP($B1529,Insumo[DESCRIPCION],Insumo[VALOR],,0),"")</f>
        <v/>
      </c>
      <c r="F1529" s="33"/>
      <c r="G1529" s="34" t="str">
        <f>IFERROR(IF(F1529&gt;=0,D1529*E1529*(1+F1529/100),ABS(D1529*E1529/F1529)),"")</f>
        <v/>
      </c>
      <c r="H1529" s="43" t="str">
        <f>IFERROR(G1529*E1526,"")</f>
        <v/>
      </c>
    </row>
    <row r="1530" spans="1:10" ht="12.75" customHeight="1">
      <c r="A1530" s="28"/>
      <c r="B1530" s="29"/>
      <c r="C1530" s="30" t="str">
        <f>IFERROR(_xlfn.XLOOKUP(B1530,Insumo[DESCRIPCION],Insumo[UND],,0),"")</f>
        <v/>
      </c>
      <c r="D1530" s="31"/>
      <c r="E1530" s="32" t="str">
        <f>IFERROR(_xlfn.XLOOKUP($B1530,Insumo[DESCRIPCION],Insumo[VALOR],,0),"")</f>
        <v/>
      </c>
      <c r="F1530" s="33"/>
      <c r="G1530" s="34" t="str">
        <f>IFERROR(IF(F1530&gt;=0,D1530*E1530*(1+F1530/100),ABS(D1530*E1530/F1530)),"")</f>
        <v/>
      </c>
      <c r="H1530" s="43" t="str">
        <f>IFERROR(G1530*E1526,"")</f>
        <v/>
      </c>
    </row>
    <row r="1531" spans="1:10" ht="12.75" customHeight="1">
      <c r="A1531" s="28"/>
      <c r="B1531" s="29"/>
      <c r="C1531" s="30" t="str">
        <f>IFERROR(_xlfn.XLOOKUP(B1531,Insumo[DESCRIPCION],Insumo[UND],,0),"")</f>
        <v/>
      </c>
      <c r="D1531" s="31"/>
      <c r="E1531" s="32" t="str">
        <f>IFERROR(_xlfn.XLOOKUP($B1531,Insumo[DESCRIPCION],Insumo[VALOR],,0),"")</f>
        <v/>
      </c>
      <c r="F1531" s="33"/>
      <c r="G1531" s="34" t="str">
        <f>IFERROR(IF(F1531&gt;=0,D1531*E1531*(1+F1531/100),ABS(D1531*E1531/F1531)),"")</f>
        <v/>
      </c>
      <c r="H1531" s="43" t="str">
        <f>IFERROR(G1531*E1526,"")</f>
        <v/>
      </c>
    </row>
    <row r="1532" spans="1:10" ht="12.75" customHeight="1">
      <c r="A1532" s="28"/>
      <c r="B1532" s="29"/>
      <c r="C1532" s="30" t="str">
        <f>IFERROR(_xlfn.XLOOKUP(B1532,Insumo[DESCRIPCION],Insumo[UND],,0),"")</f>
        <v/>
      </c>
      <c r="D1532" s="31"/>
      <c r="E1532" s="32" t="str">
        <f>IFERROR(_xlfn.XLOOKUP($B1532,Insumo[DESCRIPCION],Insumo[VALOR],,0),"")</f>
        <v/>
      </c>
      <c r="F1532" s="33"/>
      <c r="G1532" s="34" t="str">
        <f>IFERROR(IF(F1532&gt;=0,D1532*E1532*(1+F1532/100),ABS(D1532*E1532/F1532)),"")</f>
        <v/>
      </c>
      <c r="H1532" s="43" t="str">
        <f>IFERROR(G1532*E1526,"")</f>
        <v/>
      </c>
    </row>
    <row r="1533" spans="1:10" ht="12.75" customHeight="1">
      <c r="A1533" s="28"/>
      <c r="B1533" s="29"/>
      <c r="C1533" s="30" t="str">
        <f>IFERROR(_xlfn.XLOOKUP(B1533,Insumo[DESCRIPCION],Insumo[UND],,0),"")</f>
        <v/>
      </c>
      <c r="D1533" s="31"/>
      <c r="E1533" s="32" t="str">
        <f>IFERROR(_xlfn.XLOOKUP($B1533,Insumo[DESCRIPCION],Insumo[VALOR],,0),"")</f>
        <v/>
      </c>
      <c r="F1533" s="33"/>
      <c r="G1533" s="34" t="str">
        <f>IFERROR(IF(F1533&gt;=0,D1533*E1533*(1+F1533/100),ABS(D1533*E1533/F1533)),"")</f>
        <v/>
      </c>
      <c r="H1533" s="43" t="str">
        <f>IFERROR(G1533*E1526,"")</f>
        <v/>
      </c>
    </row>
    <row r="1534" spans="1:10" ht="12.75" customHeight="1">
      <c r="A1534" s="21"/>
      <c r="B1534" s="22" t="s">
        <v>3731</v>
      </c>
      <c r="C1534" s="23"/>
      <c r="D1534" s="24"/>
      <c r="E1534" s="25"/>
      <c r="F1534" s="26"/>
      <c r="G1534" s="27">
        <f>SUM(G1535:G1537)</f>
        <v>6287.8150179000004</v>
      </c>
      <c r="H1534" s="44">
        <f>G1534*E1526</f>
        <v>0</v>
      </c>
    </row>
    <row r="1535" spans="1:10" ht="12.75" customHeight="1">
      <c r="A1535" s="28"/>
      <c r="B1535" s="29" t="s">
        <v>3570</v>
      </c>
      <c r="C1535" s="30" t="str">
        <f>IFERROR(_xlfn.XLOOKUP(B1535,Equipo[DESCRIPCION],Equipo[UND],,0),"")</f>
        <v>%MO</v>
      </c>
      <c r="D1535" s="31">
        <v>0.04</v>
      </c>
      <c r="E1535" s="32">
        <f>IF(C1535="%MO",G1541,IFERROR(_xlfn.XLOOKUP($B1535,Equipo[DESCRIPCION],Equipo[VALOR],,0),""))</f>
        <v>69864.611310000008</v>
      </c>
      <c r="F1535" s="33"/>
      <c r="G1535" s="34">
        <f>IFERROR(IF(F1535&gt;=0,D1535*E1535*(1+F1535/100),ABS(D1535*E1535/F1535)),"")</f>
        <v>2794.5844524000004</v>
      </c>
      <c r="H1535" s="43">
        <f>IFERROR(G1535*E1526,"")</f>
        <v>0</v>
      </c>
    </row>
    <row r="1536" spans="1:10" ht="12.75" customHeight="1">
      <c r="A1536" s="28"/>
      <c r="B1536" s="29" t="s">
        <v>3626</v>
      </c>
      <c r="C1536" s="30" t="str">
        <f>IFERROR(_xlfn.XLOOKUP(B1536,Equipo[DESCRIPCION],Equipo[UND],,0),"")</f>
        <v>%MO</v>
      </c>
      <c r="D1536" s="31">
        <v>0.05</v>
      </c>
      <c r="E1536" s="32">
        <f>IF(C1536="%MO",G1541,IFERROR(_xlfn.XLOOKUP($B1536,Equipo[DESCRIPCION],Equipo[VALOR],,0),""))</f>
        <v>69864.611310000008</v>
      </c>
      <c r="F1536" s="33"/>
      <c r="G1536" s="34">
        <f>IFERROR(IF(F1536&gt;=0,D1536*E1536*(1+F1536/100),ABS(D1536*E1536/F1536)),"")</f>
        <v>3493.2305655000005</v>
      </c>
      <c r="H1536" s="43">
        <f>IFERROR(G1536*E1526,"")</f>
        <v>0</v>
      </c>
    </row>
    <row r="1537" spans="1:10" ht="12.75" customHeight="1">
      <c r="A1537" s="28"/>
      <c r="B1537" s="29"/>
      <c r="C1537" s="30" t="str">
        <f>IFERROR(_xlfn.XLOOKUP(B1537,Equipo[DESCRIPCION],Equipo[UND],,0),"")</f>
        <v/>
      </c>
      <c r="D1537" s="31"/>
      <c r="E1537" s="32" t="str">
        <f>IF(C1537="%MO",G1541,IFERROR(_xlfn.XLOOKUP($B1537,Equipo[DESCRIPCION],Equipo[VALOR],,0),""))</f>
        <v/>
      </c>
      <c r="F1537" s="33"/>
      <c r="G1537" s="34" t="str">
        <f>IFERROR(IF(F1537&gt;=0,D1537*E1537*(1+F1537/100),ABS(D1537*E1537/F1537)),"")</f>
        <v/>
      </c>
      <c r="H1537" s="43" t="str">
        <f>IFERROR(G1537*E1526,"")</f>
        <v/>
      </c>
    </row>
    <row r="1538" spans="1:10" ht="12.75" customHeight="1">
      <c r="A1538" s="21"/>
      <c r="B1538" s="22" t="s">
        <v>2533</v>
      </c>
      <c r="C1538" s="23"/>
      <c r="D1538" s="24"/>
      <c r="E1538" s="25"/>
      <c r="F1538" s="26"/>
      <c r="G1538" s="27">
        <f>SUM(G1539:G1540)</f>
        <v>0</v>
      </c>
      <c r="H1538" s="44">
        <f>G1538*E1526</f>
        <v>0</v>
      </c>
    </row>
    <row r="1539" spans="1:10" ht="12.75" customHeight="1">
      <c r="A1539" s="28"/>
      <c r="B1539" s="29"/>
      <c r="C1539" s="30" t="str">
        <f>IFERROR(_xlfn.XLOOKUP(B1539,Transporte[DESCRIPCION],Transporte[UND],,0),"")</f>
        <v/>
      </c>
      <c r="D1539" s="31"/>
      <c r="E1539" s="32" t="str">
        <f>IFERROR(_xlfn.XLOOKUP($B1539,Transporte[DESCRIPCION],Transporte[VALOR],,0),"")</f>
        <v/>
      </c>
      <c r="F1539" s="33"/>
      <c r="G1539" s="34" t="str">
        <f>IFERROR(IF(F1539&gt;=0,D1539*E1539*(1+F1539/100),ABS(D1539*E1539/F1539)),"")</f>
        <v/>
      </c>
      <c r="H1539" s="43" t="str">
        <f>IFERROR(G1539*E1526,"")</f>
        <v/>
      </c>
    </row>
    <row r="1540" spans="1:10" ht="12.75" customHeight="1">
      <c r="A1540" s="28"/>
      <c r="B1540" s="29"/>
      <c r="C1540" s="30" t="str">
        <f>IFERROR(_xlfn.XLOOKUP(B1540,Transporte[DESCRIPCION],Transporte[UND],,0),"")</f>
        <v/>
      </c>
      <c r="D1540" s="31"/>
      <c r="E1540" s="32" t="str">
        <f>IFERROR(_xlfn.XLOOKUP($B1540,Transporte[DESCRIPCION],Transporte[VALOR],,0),"")</f>
        <v/>
      </c>
      <c r="F1540" s="33"/>
      <c r="G1540" s="34" t="str">
        <f>IFERROR(IF(F1540&gt;=0,D1540*E1540*(1+F1540/100),ABS(D1540*E1540/F1540)),"")</f>
        <v/>
      </c>
      <c r="H1540" s="43" t="str">
        <f>IFERROR(G1540*E1526,"")</f>
        <v/>
      </c>
    </row>
    <row r="1541" spans="1:10" ht="12.75" customHeight="1">
      <c r="A1541" s="21"/>
      <c r="B1541" s="22" t="s">
        <v>3732</v>
      </c>
      <c r="C1541" s="23"/>
      <c r="D1541" s="24"/>
      <c r="E1541" s="25"/>
      <c r="F1541" s="26"/>
      <c r="G1541" s="27">
        <f>SUM(G1542:G1544)</f>
        <v>69864.611310000008</v>
      </c>
      <c r="H1541" s="44">
        <f>G1541*E1526</f>
        <v>0</v>
      </c>
    </row>
    <row r="1542" spans="1:10" ht="12.75" customHeight="1">
      <c r="A1542" s="28"/>
      <c r="B1542" s="29" t="s">
        <v>3710</v>
      </c>
      <c r="C1542" s="30" t="str">
        <f>IFERROR(_xlfn.XLOOKUP(B1542,MObra[DESCRIPCION],MObra[UN],,0),"")</f>
        <v>día</v>
      </c>
      <c r="D1542" s="31">
        <v>1</v>
      </c>
      <c r="E1542" s="32">
        <f>IFERROR(_xlfn.XLOOKUP($B1542,MObra[DESCRIPCION],MObra[VALOR UNIT],,0),"")</f>
        <v>314390.75089500006</v>
      </c>
      <c r="F1542" s="33">
        <v>-4.5</v>
      </c>
      <c r="G1542" s="34">
        <f>IFERROR(IF(F1542&gt;=0,D1542*E1542*(1+F1542/100),ABS(D1542*E1542/F1542)),"")</f>
        <v>69864.611310000008</v>
      </c>
      <c r="H1542" s="43">
        <f>IFERROR(G1542*E1526,"")</f>
        <v>0</v>
      </c>
    </row>
    <row r="1543" spans="1:10" ht="12.75" customHeight="1">
      <c r="A1543" s="28"/>
      <c r="B1543" s="29"/>
      <c r="C1543" s="30" t="str">
        <f t="array" ref="C1543">IFERROR(_xlfn.XLOOKUP(B1543,MObra[[#All],[DESCRIPCION]],MObra[[#All],[UN]],,0),"")</f>
        <v/>
      </c>
      <c r="D1543" s="31"/>
      <c r="E1543" s="32" t="str">
        <f>IFERROR(_xlfn.XLOOKUP($B1543,MObra[DESCRIPCION],MObra[VALOR UNIT],,0),"")</f>
        <v/>
      </c>
      <c r="F1543" s="33"/>
      <c r="G1543" s="34" t="str">
        <f>IFERROR(IF(F1543&gt;=0,D1543*E1543*(1+F1543/100),ABS(D1543*E1543/F1543)),"")</f>
        <v/>
      </c>
      <c r="H1543" s="43" t="str">
        <f>IFERROR(G1543*E1526,"")</f>
        <v/>
      </c>
    </row>
    <row r="1544" spans="1:10" ht="12.75" customHeight="1" thickBot="1">
      <c r="A1544" s="35"/>
      <c r="B1544" s="36"/>
      <c r="C1544" s="37" t="str">
        <f t="array" ref="C1544">IFERROR(_xlfn.XLOOKUP(B1544,MObra[[#All],[DESCRIPCION]],MObra[[#All],[UN]],,0),"")</f>
        <v/>
      </c>
      <c r="D1544" s="38"/>
      <c r="E1544" s="39" t="str">
        <f>IFERROR(_xlfn.XLOOKUP($B1544,MObra[DESCRIPCION],MObra[VALOR UNIT],,0),"")</f>
        <v/>
      </c>
      <c r="F1544" s="40"/>
      <c r="G1544" s="41" t="str">
        <f>IFERROR(IF(F1544&gt;=0,D1544*E1544*(1+F1544/100),ABS(D1544*E1544/F1544)),"")</f>
        <v/>
      </c>
      <c r="H1544" s="42" t="str">
        <f>IFERROR(G1544*E1526,"")</f>
        <v/>
      </c>
    </row>
    <row r="1545" spans="1:10" ht="12.75" customHeight="1" thickTop="1" thickBot="1">
      <c r="E1545" s="49"/>
      <c r="G1545" s="3"/>
    </row>
    <row r="1546" spans="1:10" ht="12.75" customHeight="1" thickTop="1" thickBot="1">
      <c r="A1546" s="6" t="s">
        <v>174</v>
      </c>
      <c r="B1546" s="7" t="str">
        <f>VLOOKUP($A1546,Presupuesto!$A:$D,2,FALSE())</f>
        <v>Desmonte cerramiento Swinglea y cerco</v>
      </c>
      <c r="C1546" s="8" t="str">
        <f>VLOOKUP($A1546,Presupuesto!$A:$D,3,FALSE())</f>
        <v>M</v>
      </c>
      <c r="D1546" s="9"/>
      <c r="E1546" s="10">
        <f>VLOOKUP($A1546,Presupuesto!$A:$D,4,FALSE())</f>
        <v>0</v>
      </c>
      <c r="F1546" s="11" t="s">
        <v>2589</v>
      </c>
      <c r="G1546" s="12">
        <f>SUM(G1548:G1564)/2</f>
        <v>8038.3116679450022</v>
      </c>
      <c r="H1546" s="13">
        <f>ROUND(SUM(H1548:H1564),0)/2</f>
        <v>0</v>
      </c>
      <c r="I1546" s="10">
        <f>VLOOKUP(A1546,Presupuesto!$A:$F,6,0)</f>
        <v>0</v>
      </c>
      <c r="J1546" s="10">
        <f>+H1546-I1546</f>
        <v>0</v>
      </c>
    </row>
    <row r="1547" spans="1:10" ht="12.75" customHeight="1" thickTop="1">
      <c r="A1547" s="14"/>
      <c r="B1547" s="15" t="s">
        <v>2586</v>
      </c>
      <c r="C1547" s="15" t="s">
        <v>5</v>
      </c>
      <c r="D1547" s="16" t="s">
        <v>6</v>
      </c>
      <c r="E1547" s="17" t="s">
        <v>7</v>
      </c>
      <c r="F1547" s="18" t="s">
        <v>3728</v>
      </c>
      <c r="G1547" s="19" t="s">
        <v>3729</v>
      </c>
      <c r="H1547" s="20" t="s">
        <v>3797</v>
      </c>
    </row>
    <row r="1548" spans="1:10" ht="12.75" customHeight="1">
      <c r="A1548" s="21"/>
      <c r="B1548" s="22" t="s">
        <v>3730</v>
      </c>
      <c r="C1548" s="23"/>
      <c r="D1548" s="24"/>
      <c r="E1548" s="25"/>
      <c r="F1548" s="26"/>
      <c r="G1548" s="27">
        <f>SUM(G1549:G1553)</f>
        <v>0</v>
      </c>
      <c r="H1548" s="27">
        <f>IFERROR(G1548*E1546,"")</f>
        <v>0</v>
      </c>
    </row>
    <row r="1549" spans="1:10" ht="12.75" customHeight="1">
      <c r="A1549" s="28"/>
      <c r="B1549" s="29"/>
      <c r="C1549" s="30" t="str">
        <f>IFERROR(_xlfn.XLOOKUP(B1549,Insumo[DESCRIPCION],Insumo[UND],,0),"")</f>
        <v/>
      </c>
      <c r="D1549" s="31"/>
      <c r="E1549" s="32" t="str">
        <f>IFERROR(_xlfn.XLOOKUP($B1549,Insumo[DESCRIPCION],Insumo[VALOR],,0),"")</f>
        <v/>
      </c>
      <c r="F1549" s="33"/>
      <c r="G1549" s="34" t="str">
        <f>IFERROR(IF(F1549&gt;=0,D1549*E1549*(1+F1549/100),ABS(D1549*E1549/F1549)),"")</f>
        <v/>
      </c>
      <c r="H1549" s="43" t="str">
        <f>IFERROR(G1549*E1546,"")</f>
        <v/>
      </c>
    </row>
    <row r="1550" spans="1:10" ht="12.75" customHeight="1">
      <c r="A1550" s="28"/>
      <c r="B1550" s="29"/>
      <c r="C1550" s="30" t="str">
        <f>IFERROR(_xlfn.XLOOKUP(B1550,Insumo[DESCRIPCION],Insumo[UND],,0),"")</f>
        <v/>
      </c>
      <c r="D1550" s="31"/>
      <c r="E1550" s="32" t="str">
        <f>IFERROR(_xlfn.XLOOKUP($B1550,Insumo[DESCRIPCION],Insumo[VALOR],,0),"")</f>
        <v/>
      </c>
      <c r="F1550" s="33"/>
      <c r="G1550" s="34" t="str">
        <f>IFERROR(IF(F1550&gt;=0,D1550*E1550*(1+F1550/100),ABS(D1550*E1550/F1550)),"")</f>
        <v/>
      </c>
      <c r="H1550" s="43" t="str">
        <f>IFERROR(G1550*E1546,"")</f>
        <v/>
      </c>
    </row>
    <row r="1551" spans="1:10" ht="12.75" customHeight="1">
      <c r="A1551" s="28"/>
      <c r="B1551" s="29"/>
      <c r="C1551" s="30" t="str">
        <f>IFERROR(_xlfn.XLOOKUP(B1551,Insumo[DESCRIPCION],Insumo[UND],,0),"")</f>
        <v/>
      </c>
      <c r="D1551" s="31"/>
      <c r="E1551" s="32" t="str">
        <f>IFERROR(_xlfn.XLOOKUP($B1551,Insumo[DESCRIPCION],Insumo[VALOR],,0),"")</f>
        <v/>
      </c>
      <c r="F1551" s="33"/>
      <c r="G1551" s="34" t="str">
        <f>IFERROR(IF(F1551&gt;=0,D1551*E1551*(1+F1551/100),ABS(D1551*E1551/F1551)),"")</f>
        <v/>
      </c>
      <c r="H1551" s="43" t="str">
        <f>IFERROR(G1551*E1546,"")</f>
        <v/>
      </c>
    </row>
    <row r="1552" spans="1:10" ht="12.75" customHeight="1">
      <c r="A1552" s="28"/>
      <c r="B1552" s="29"/>
      <c r="C1552" s="30" t="str">
        <f>IFERROR(_xlfn.XLOOKUP(B1552,Insumo[DESCRIPCION],Insumo[UND],,0),"")</f>
        <v/>
      </c>
      <c r="D1552" s="31"/>
      <c r="E1552" s="32" t="str">
        <f>IFERROR(_xlfn.XLOOKUP($B1552,Insumo[DESCRIPCION],Insumo[VALOR],,0),"")</f>
        <v/>
      </c>
      <c r="F1552" s="33"/>
      <c r="G1552" s="34" t="str">
        <f>IFERROR(IF(F1552&gt;=0,D1552*E1552*(1+F1552/100),ABS(D1552*E1552/F1552)),"")</f>
        <v/>
      </c>
      <c r="H1552" s="43" t="str">
        <f>IFERROR(G1552*E1546,"")</f>
        <v/>
      </c>
    </row>
    <row r="1553" spans="1:10" ht="12.75" customHeight="1">
      <c r="A1553" s="28"/>
      <c r="B1553" s="29"/>
      <c r="C1553" s="30" t="str">
        <f>IFERROR(_xlfn.XLOOKUP(B1553,Insumo[DESCRIPCION],Insumo[UND],,0),"")</f>
        <v/>
      </c>
      <c r="D1553" s="31"/>
      <c r="E1553" s="32" t="str">
        <f>IFERROR(_xlfn.XLOOKUP($B1553,Insumo[DESCRIPCION],Insumo[VALOR],,0),"")</f>
        <v/>
      </c>
      <c r="F1553" s="33"/>
      <c r="G1553" s="34" t="str">
        <f>IFERROR(IF(F1553&gt;=0,D1553*E1553*(1+F1553/100),ABS(D1553*E1553/F1553)),"")</f>
        <v/>
      </c>
      <c r="H1553" s="43" t="str">
        <f>IFERROR(G1553*E1546,"")</f>
        <v/>
      </c>
    </row>
    <row r="1554" spans="1:10" ht="12.75" customHeight="1">
      <c r="A1554" s="21"/>
      <c r="B1554" s="22" t="s">
        <v>3731</v>
      </c>
      <c r="C1554" s="23"/>
      <c r="D1554" s="24"/>
      <c r="E1554" s="25"/>
      <c r="F1554" s="26"/>
      <c r="G1554" s="27">
        <f>SUM(G1555:G1557)</f>
        <v>663.71380744500016</v>
      </c>
      <c r="H1554" s="44">
        <f>G1554*E1546</f>
        <v>0</v>
      </c>
    </row>
    <row r="1555" spans="1:10" ht="12.75" customHeight="1">
      <c r="A1555" s="28"/>
      <c r="B1555" s="29" t="s">
        <v>3570</v>
      </c>
      <c r="C1555" s="30" t="str">
        <f>IFERROR(_xlfn.XLOOKUP(B1555,Equipo[DESCRIPCION],Equipo[UND],,0),"")</f>
        <v>%MO</v>
      </c>
      <c r="D1555" s="31">
        <v>0.04</v>
      </c>
      <c r="E1555" s="32">
        <f>IF(C1555="%MO",G1561,IFERROR(_xlfn.XLOOKUP($B1555,Equipo[DESCRIPCION],Equipo[VALOR],,0),""))</f>
        <v>7374.5978605000018</v>
      </c>
      <c r="F1555" s="33"/>
      <c r="G1555" s="34">
        <f>IFERROR(IF(F1555&gt;=0,D1555*E1555*(1+F1555/100),ABS(D1555*E1555/F1555)),"")</f>
        <v>294.98391442000008</v>
      </c>
      <c r="H1555" s="43">
        <f>IFERROR(G1555*E1546,"")</f>
        <v>0</v>
      </c>
    </row>
    <row r="1556" spans="1:10" ht="12.75" customHeight="1">
      <c r="A1556" s="28"/>
      <c r="B1556" s="29" t="s">
        <v>3626</v>
      </c>
      <c r="C1556" s="30" t="str">
        <f>IFERROR(_xlfn.XLOOKUP(B1556,Equipo[DESCRIPCION],Equipo[UND],,0),"")</f>
        <v>%MO</v>
      </c>
      <c r="D1556" s="31">
        <v>0.05</v>
      </c>
      <c r="E1556" s="32">
        <f>IF(C1556="%MO",G1561,IFERROR(_xlfn.XLOOKUP($B1556,Equipo[DESCRIPCION],Equipo[VALOR],,0),""))</f>
        <v>7374.5978605000018</v>
      </c>
      <c r="F1556" s="33"/>
      <c r="G1556" s="34">
        <f>IFERROR(IF(F1556&gt;=0,D1556*E1556*(1+F1556/100),ABS(D1556*E1556/F1556)),"")</f>
        <v>368.72989302500014</v>
      </c>
      <c r="H1556" s="43">
        <f>IFERROR(G1556*E1546,"")</f>
        <v>0</v>
      </c>
    </row>
    <row r="1557" spans="1:10" ht="12.75" customHeight="1">
      <c r="A1557" s="28"/>
      <c r="B1557" s="29"/>
      <c r="C1557" s="30" t="str">
        <f>IFERROR(_xlfn.XLOOKUP(B1557,Equipo[DESCRIPCION],Equipo[UND],,0),"")</f>
        <v/>
      </c>
      <c r="D1557" s="31"/>
      <c r="E1557" s="32" t="str">
        <f>IF(C1557="%MO",G1561,IFERROR(_xlfn.XLOOKUP($B1557,Equipo[DESCRIPCION],Equipo[VALOR],,0),""))</f>
        <v/>
      </c>
      <c r="F1557" s="33"/>
      <c r="G1557" s="34" t="str">
        <f>IFERROR(IF(F1557&gt;=0,D1557*E1557*(1+F1557/100),ABS(D1557*E1557/F1557)),"")</f>
        <v/>
      </c>
      <c r="H1557" s="43" t="str">
        <f>IFERROR(G1557*E1546,"")</f>
        <v/>
      </c>
    </row>
    <row r="1558" spans="1:10" ht="12.75" customHeight="1">
      <c r="A1558" s="21"/>
      <c r="B1558" s="22" t="s">
        <v>2533</v>
      </c>
      <c r="C1558" s="23"/>
      <c r="D1558" s="24"/>
      <c r="E1558" s="25"/>
      <c r="F1558" s="26"/>
      <c r="G1558" s="27">
        <f>SUM(G1559:G1560)</f>
        <v>0</v>
      </c>
      <c r="H1558" s="44">
        <f>G1558*E1546</f>
        <v>0</v>
      </c>
    </row>
    <row r="1559" spans="1:10" ht="12.75" customHeight="1">
      <c r="A1559" s="28"/>
      <c r="B1559" s="29"/>
      <c r="C1559" s="30" t="str">
        <f>IFERROR(_xlfn.XLOOKUP(B1559,Transporte[DESCRIPCION],Transporte[UND],,0),"")</f>
        <v/>
      </c>
      <c r="D1559" s="31"/>
      <c r="E1559" s="32" t="str">
        <f>IFERROR(_xlfn.XLOOKUP($B1559,Transporte[DESCRIPCION],Transporte[VALOR],,0),"")</f>
        <v/>
      </c>
      <c r="F1559" s="33"/>
      <c r="G1559" s="34" t="str">
        <f>IFERROR(IF(F1559&gt;=0,D1559*E1559*(1+F1559/100),ABS(D1559*E1559/F1559)),"")</f>
        <v/>
      </c>
      <c r="H1559" s="43" t="str">
        <f>IFERROR(G1559*E1546,"")</f>
        <v/>
      </c>
    </row>
    <row r="1560" spans="1:10" ht="12.75" customHeight="1">
      <c r="A1560" s="28"/>
      <c r="B1560" s="29"/>
      <c r="C1560" s="30" t="str">
        <f>IFERROR(_xlfn.XLOOKUP(B1560,Transporte[DESCRIPCION],Transporte[UND],,0),"")</f>
        <v/>
      </c>
      <c r="D1560" s="31"/>
      <c r="E1560" s="32" t="str">
        <f>IFERROR(_xlfn.XLOOKUP($B1560,Transporte[DESCRIPCION],Transporte[VALOR],,0),"")</f>
        <v/>
      </c>
      <c r="F1560" s="33"/>
      <c r="G1560" s="34" t="str">
        <f>IFERROR(IF(F1560&gt;=0,D1560*E1560*(1+F1560/100),ABS(D1560*E1560/F1560)),"")</f>
        <v/>
      </c>
      <c r="H1560" s="43" t="str">
        <f>IFERROR(G1560*E1546,"")</f>
        <v/>
      </c>
    </row>
    <row r="1561" spans="1:10" ht="12.75" customHeight="1">
      <c r="A1561" s="21"/>
      <c r="B1561" s="22" t="s">
        <v>3732</v>
      </c>
      <c r="C1561" s="23"/>
      <c r="D1561" s="24"/>
      <c r="E1561" s="25"/>
      <c r="F1561" s="26"/>
      <c r="G1561" s="27">
        <f>SUM(G1562:G1564)</f>
        <v>7374.5978605000018</v>
      </c>
      <c r="H1561" s="44">
        <f>G1561*E1546</f>
        <v>0</v>
      </c>
    </row>
    <row r="1562" spans="1:10" ht="12.75" customHeight="1">
      <c r="A1562" s="28"/>
      <c r="B1562" s="29" t="s">
        <v>3713</v>
      </c>
      <c r="C1562" s="30" t="str">
        <f>IFERROR(_xlfn.XLOOKUP(B1562,MObra[DESCRIPCION],MObra[UN],,0),"")</f>
        <v>día</v>
      </c>
      <c r="D1562" s="31">
        <v>1</v>
      </c>
      <c r="E1562" s="32">
        <f>IFERROR(_xlfn.XLOOKUP($B1562,MObra[DESCRIPCION],MObra[VALOR UNIT],,0),"")</f>
        <v>663713.80744500016</v>
      </c>
      <c r="F1562" s="33">
        <v>-90</v>
      </c>
      <c r="G1562" s="34">
        <f>IFERROR(IF(F1562&gt;=0,D1562*E1562*(1+F1562/100),ABS(D1562*E1562/F1562)),"")</f>
        <v>7374.5978605000018</v>
      </c>
      <c r="H1562" s="43">
        <f>IFERROR(G1562*E1546,"")</f>
        <v>0</v>
      </c>
    </row>
    <row r="1563" spans="1:10" ht="12.75" customHeight="1">
      <c r="A1563" s="28"/>
      <c r="B1563" s="29"/>
      <c r="C1563" s="30" t="str">
        <f t="array" ref="C1563">IFERROR(_xlfn.XLOOKUP(B1563,MObra[[#All],[DESCRIPCION]],MObra[[#All],[UN]],,0),"")</f>
        <v/>
      </c>
      <c r="D1563" s="31"/>
      <c r="E1563" s="32" t="str">
        <f>IFERROR(_xlfn.XLOOKUP($B1563,MObra[DESCRIPCION],MObra[VALOR UNIT],,0),"")</f>
        <v/>
      </c>
      <c r="F1563" s="33"/>
      <c r="G1563" s="34" t="str">
        <f>IFERROR(IF(F1563&gt;=0,D1563*E1563*(1+F1563/100),ABS(D1563*E1563/F1563)),"")</f>
        <v/>
      </c>
      <c r="H1563" s="43" t="str">
        <f>IFERROR(G1563*E1546,"")</f>
        <v/>
      </c>
    </row>
    <row r="1564" spans="1:10" ht="12.75" customHeight="1" thickBot="1">
      <c r="A1564" s="35"/>
      <c r="B1564" s="36"/>
      <c r="C1564" s="37" t="str">
        <f t="array" ref="C1564">IFERROR(_xlfn.XLOOKUP(B1564,MObra[[#All],[DESCRIPCION]],MObra[[#All],[UN]],,0),"")</f>
        <v/>
      </c>
      <c r="D1564" s="38"/>
      <c r="E1564" s="39" t="str">
        <f>IFERROR(_xlfn.XLOOKUP($B1564,MObra[DESCRIPCION],MObra[VALOR UNIT],,0),"")</f>
        <v/>
      </c>
      <c r="F1564" s="40"/>
      <c r="G1564" s="41" t="str">
        <f>IFERROR(IF(F1564&gt;=0,D1564*E1564*(1+F1564/100),ABS(D1564*E1564/F1564)),"")</f>
        <v/>
      </c>
      <c r="H1564" s="42" t="str">
        <f>IFERROR(G1564*E1546,"")</f>
        <v/>
      </c>
    </row>
    <row r="1565" spans="1:10" ht="12.75" customHeight="1" thickTop="1" thickBot="1">
      <c r="E1565" s="49"/>
      <c r="G1565" s="3"/>
    </row>
    <row r="1566" spans="1:10" ht="12.75" customHeight="1" thickTop="1" thickBot="1">
      <c r="A1566" s="6" t="s">
        <v>176</v>
      </c>
      <c r="B1566" s="7" t="str">
        <f>VLOOKUP($A1566,Presupuesto!$A:$D,2,FALSE())</f>
        <v>Desmonte cielo raso</v>
      </c>
      <c r="C1566" s="8" t="str">
        <f>VLOOKUP($A1566,Presupuesto!$A:$D,3,FALSE())</f>
        <v>M2</v>
      </c>
      <c r="D1566" s="9"/>
      <c r="E1566" s="10">
        <f>VLOOKUP($A1566,Presupuesto!$A:$D,4,FALSE())</f>
        <v>0</v>
      </c>
      <c r="F1566" s="11" t="s">
        <v>2589</v>
      </c>
      <c r="G1566" s="12">
        <f>SUM(G1568:G1584)/2</f>
        <v>12596.801130136366</v>
      </c>
      <c r="H1566" s="13">
        <f>ROUND(SUM(H1568:H1584),0)/2</f>
        <v>0</v>
      </c>
      <c r="I1566" s="10">
        <f>VLOOKUP(A1566,Presupuesto!$A:$F,6,0)</f>
        <v>0</v>
      </c>
      <c r="J1566" s="10">
        <f>+H1566-I1566</f>
        <v>0</v>
      </c>
    </row>
    <row r="1567" spans="1:10" ht="12.75" customHeight="1" thickTop="1">
      <c r="A1567" s="14"/>
      <c r="B1567" s="15" t="s">
        <v>2586</v>
      </c>
      <c r="C1567" s="15" t="s">
        <v>5</v>
      </c>
      <c r="D1567" s="16" t="s">
        <v>6</v>
      </c>
      <c r="E1567" s="17" t="s">
        <v>7</v>
      </c>
      <c r="F1567" s="18" t="s">
        <v>3728</v>
      </c>
      <c r="G1567" s="19" t="s">
        <v>3729</v>
      </c>
      <c r="H1567" s="20" t="s">
        <v>3797</v>
      </c>
    </row>
    <row r="1568" spans="1:10" ht="12.75" customHeight="1">
      <c r="A1568" s="21"/>
      <c r="B1568" s="22" t="s">
        <v>3730</v>
      </c>
      <c r="C1568" s="23"/>
      <c r="D1568" s="24"/>
      <c r="E1568" s="25"/>
      <c r="F1568" s="26"/>
      <c r="G1568" s="27">
        <f>SUM(G1569:G1573)</f>
        <v>0</v>
      </c>
      <c r="H1568" s="27">
        <f>IFERROR(G1568*E1566,"")</f>
        <v>0</v>
      </c>
    </row>
    <row r="1569" spans="1:8" ht="12.75" customHeight="1">
      <c r="A1569" s="28"/>
      <c r="B1569" s="29"/>
      <c r="C1569" s="30" t="str">
        <f>IFERROR(_xlfn.XLOOKUP(B1569,Insumo[DESCRIPCION],Insumo[UND],,0),"")</f>
        <v/>
      </c>
      <c r="D1569" s="31"/>
      <c r="E1569" s="32" t="str">
        <f>IFERROR(_xlfn.XLOOKUP($B1569,Insumo[DESCRIPCION],Insumo[VALOR],,0),"")</f>
        <v/>
      </c>
      <c r="F1569" s="33"/>
      <c r="G1569" s="34" t="str">
        <f>IFERROR(IF(F1569&gt;=0,D1569*E1569*(1+F1569/100),ABS(D1569*E1569/F1569)),"")</f>
        <v/>
      </c>
      <c r="H1569" s="43" t="str">
        <f>IFERROR(G1569*E1566,"")</f>
        <v/>
      </c>
    </row>
    <row r="1570" spans="1:8" ht="12.75" customHeight="1">
      <c r="A1570" s="28"/>
      <c r="B1570" s="29"/>
      <c r="C1570" s="30" t="str">
        <f>IFERROR(_xlfn.XLOOKUP(B1570,Insumo[DESCRIPCION],Insumo[UND],,0),"")</f>
        <v/>
      </c>
      <c r="D1570" s="31"/>
      <c r="E1570" s="32" t="str">
        <f>IFERROR(_xlfn.XLOOKUP($B1570,Insumo[DESCRIPCION],Insumo[VALOR],,0),"")</f>
        <v/>
      </c>
      <c r="F1570" s="33"/>
      <c r="G1570" s="34" t="str">
        <f>IFERROR(IF(F1570&gt;=0,D1570*E1570*(1+F1570/100),ABS(D1570*E1570/F1570)),"")</f>
        <v/>
      </c>
      <c r="H1570" s="43" t="str">
        <f>IFERROR(G1570*E1566,"")</f>
        <v/>
      </c>
    </row>
    <row r="1571" spans="1:8" ht="12.75" customHeight="1">
      <c r="A1571" s="28"/>
      <c r="B1571" s="29"/>
      <c r="C1571" s="30" t="str">
        <f>IFERROR(_xlfn.XLOOKUP(B1571,Insumo[DESCRIPCION],Insumo[UND],,0),"")</f>
        <v/>
      </c>
      <c r="D1571" s="31"/>
      <c r="E1571" s="32" t="str">
        <f>IFERROR(_xlfn.XLOOKUP($B1571,Insumo[DESCRIPCION],Insumo[VALOR],,0),"")</f>
        <v/>
      </c>
      <c r="F1571" s="33"/>
      <c r="G1571" s="34" t="str">
        <f>IFERROR(IF(F1571&gt;=0,D1571*E1571*(1+F1571/100),ABS(D1571*E1571/F1571)),"")</f>
        <v/>
      </c>
      <c r="H1571" s="43" t="str">
        <f>IFERROR(G1571*E1566,"")</f>
        <v/>
      </c>
    </row>
    <row r="1572" spans="1:8" ht="12.75" customHeight="1">
      <c r="A1572" s="28"/>
      <c r="B1572" s="29"/>
      <c r="C1572" s="30" t="str">
        <f>IFERROR(_xlfn.XLOOKUP(B1572,Insumo[DESCRIPCION],Insumo[UND],,0),"")</f>
        <v/>
      </c>
      <c r="D1572" s="31"/>
      <c r="E1572" s="32" t="str">
        <f>IFERROR(_xlfn.XLOOKUP($B1572,Insumo[DESCRIPCION],Insumo[VALOR],,0),"")</f>
        <v/>
      </c>
      <c r="F1572" s="33"/>
      <c r="G1572" s="34" t="str">
        <f>IFERROR(IF(F1572&gt;=0,D1572*E1572*(1+F1572/100),ABS(D1572*E1572/F1572)),"")</f>
        <v/>
      </c>
      <c r="H1572" s="43" t="str">
        <f>IFERROR(G1572*E1566,"")</f>
        <v/>
      </c>
    </row>
    <row r="1573" spans="1:8" ht="12.75" customHeight="1">
      <c r="A1573" s="28"/>
      <c r="B1573" s="29"/>
      <c r="C1573" s="30" t="str">
        <f>IFERROR(_xlfn.XLOOKUP(B1573,Insumo[DESCRIPCION],Insumo[UND],,0),"")</f>
        <v/>
      </c>
      <c r="D1573" s="31"/>
      <c r="E1573" s="32" t="str">
        <f>IFERROR(_xlfn.XLOOKUP($B1573,Insumo[DESCRIPCION],Insumo[VALOR],,0),"")</f>
        <v/>
      </c>
      <c r="F1573" s="33"/>
      <c r="G1573" s="34" t="str">
        <f>IFERROR(IF(F1573&gt;=0,D1573*E1573*(1+F1573/100),ABS(D1573*E1573/F1573)),"")</f>
        <v/>
      </c>
      <c r="H1573" s="43" t="str">
        <f>IFERROR(G1573*E1566,"")</f>
        <v/>
      </c>
    </row>
    <row r="1574" spans="1:8" ht="12.75" customHeight="1">
      <c r="A1574" s="21"/>
      <c r="B1574" s="22" t="s">
        <v>3731</v>
      </c>
      <c r="C1574" s="23"/>
      <c r="D1574" s="24"/>
      <c r="E1574" s="25"/>
      <c r="F1574" s="26"/>
      <c r="G1574" s="27">
        <f>SUM(G1575:G1577)</f>
        <v>2011.2539619545457</v>
      </c>
      <c r="H1574" s="44">
        <f>G1574*E1566</f>
        <v>0</v>
      </c>
    </row>
    <row r="1575" spans="1:8" ht="12.75" customHeight="1">
      <c r="A1575" s="28"/>
      <c r="B1575" s="29" t="s">
        <v>3573</v>
      </c>
      <c r="C1575" s="30" t="str">
        <f>IFERROR(_xlfn.XLOOKUP(B1575,Equipo[DESCRIPCION],Equipo[UND],,0),"")</f>
        <v>%MO</v>
      </c>
      <c r="D1575" s="142">
        <v>0.1</v>
      </c>
      <c r="E1575" s="32">
        <f>IF(C1575="%MO",G1581,IFERROR(_xlfn.XLOOKUP($B1575,Equipo[DESCRIPCION],Equipo[VALOR],,0),""))</f>
        <v>10585.54716818182</v>
      </c>
      <c r="F1575" s="33"/>
      <c r="G1575" s="34">
        <f>IFERROR(IF(F1575&gt;=0,D1575*E1575*(1+F1575/100),ABS(D1575*E1575/F1575)),"")</f>
        <v>1058.554716818182</v>
      </c>
      <c r="H1575" s="43">
        <f>IFERROR(G1575*E1566,"")</f>
        <v>0</v>
      </c>
    </row>
    <row r="1576" spans="1:8" ht="12.75" customHeight="1">
      <c r="A1576" s="28"/>
      <c r="B1576" s="29" t="s">
        <v>3570</v>
      </c>
      <c r="C1576" s="30" t="str">
        <f>IFERROR(_xlfn.XLOOKUP(B1576,Equipo[DESCRIPCION],Equipo[UND],,0),"")</f>
        <v>%MO</v>
      </c>
      <c r="D1576" s="31">
        <v>0.04</v>
      </c>
      <c r="E1576" s="32">
        <f>IF(C1576="%MO",G1581,IFERROR(_xlfn.XLOOKUP($B1576,Equipo[DESCRIPCION],Equipo[VALOR],,0),""))</f>
        <v>10585.54716818182</v>
      </c>
      <c r="F1576" s="33"/>
      <c r="G1576" s="34">
        <f>IFERROR(IF(F1576&gt;=0,D1576*E1576*(1+F1576/100),ABS(D1576*E1576/F1576)),"")</f>
        <v>423.42188672727281</v>
      </c>
      <c r="H1576" s="43">
        <f>IFERROR(G1576*E1566,"")</f>
        <v>0</v>
      </c>
    </row>
    <row r="1577" spans="1:8" ht="12.75" customHeight="1">
      <c r="A1577" s="28"/>
      <c r="B1577" s="29" t="s">
        <v>3626</v>
      </c>
      <c r="C1577" s="30" t="str">
        <f>IFERROR(_xlfn.XLOOKUP(B1577,Equipo[DESCRIPCION],Equipo[UND],,0),"")</f>
        <v>%MO</v>
      </c>
      <c r="D1577" s="31">
        <v>0.05</v>
      </c>
      <c r="E1577" s="32">
        <f>IF(C1577="%MO",G1581,IFERROR(_xlfn.XLOOKUP($B1577,Equipo[DESCRIPCION],Equipo[VALOR],,0),""))</f>
        <v>10585.54716818182</v>
      </c>
      <c r="F1577" s="33"/>
      <c r="G1577" s="34">
        <f>IFERROR(IF(F1577&gt;=0,D1577*E1577*(1+F1577/100),ABS(D1577*E1577/F1577)),"")</f>
        <v>529.27735840909099</v>
      </c>
      <c r="H1577" s="43">
        <f>IFERROR(G1577*E1566,"")</f>
        <v>0</v>
      </c>
    </row>
    <row r="1578" spans="1:8" ht="12.75" customHeight="1">
      <c r="A1578" s="21"/>
      <c r="B1578" s="22" t="s">
        <v>2533</v>
      </c>
      <c r="C1578" s="23"/>
      <c r="D1578" s="24"/>
      <c r="E1578" s="25"/>
      <c r="F1578" s="26"/>
      <c r="G1578" s="27">
        <f>SUM(G1579:G1580)</f>
        <v>0</v>
      </c>
      <c r="H1578" s="44">
        <f>G1578*E1566</f>
        <v>0</v>
      </c>
    </row>
    <row r="1579" spans="1:8" ht="12.75" customHeight="1">
      <c r="A1579" s="28"/>
      <c r="B1579" s="29"/>
      <c r="C1579" s="30" t="str">
        <f>IFERROR(_xlfn.XLOOKUP(B1579,Transporte[DESCRIPCION],Transporte[UND],,0),"")</f>
        <v/>
      </c>
      <c r="D1579" s="31"/>
      <c r="E1579" s="32" t="str">
        <f>IFERROR(_xlfn.XLOOKUP($B1579,Transporte[DESCRIPCION],Transporte[VALOR],,0),"")</f>
        <v/>
      </c>
      <c r="F1579" s="33"/>
      <c r="G1579" s="34" t="str">
        <f>IFERROR(IF(F1579&gt;=0,D1579*E1579*(1+F1579/100),ABS(D1579*E1579/F1579)),"")</f>
        <v/>
      </c>
      <c r="H1579" s="43" t="str">
        <f>IFERROR(G1579*E1566,"")</f>
        <v/>
      </c>
    </row>
    <row r="1580" spans="1:8" ht="12.75" customHeight="1">
      <c r="A1580" s="28"/>
      <c r="B1580" s="29"/>
      <c r="C1580" s="30" t="str">
        <f>IFERROR(_xlfn.XLOOKUP(B1580,Transporte[DESCRIPCION],Transporte[UND],,0),"")</f>
        <v/>
      </c>
      <c r="D1580" s="31"/>
      <c r="E1580" s="32" t="str">
        <f>IFERROR(_xlfn.XLOOKUP($B1580,Transporte[DESCRIPCION],Transporte[VALOR],,0),"")</f>
        <v/>
      </c>
      <c r="F1580" s="33"/>
      <c r="G1580" s="34" t="str">
        <f>IFERROR(IF(F1580&gt;=0,D1580*E1580*(1+F1580/100),ABS(D1580*E1580/F1580)),"")</f>
        <v/>
      </c>
      <c r="H1580" s="43" t="str">
        <f>IFERROR(G1580*E1566,"")</f>
        <v/>
      </c>
    </row>
    <row r="1581" spans="1:8" ht="12.75" customHeight="1">
      <c r="A1581" s="21"/>
      <c r="B1581" s="22" t="s">
        <v>3732</v>
      </c>
      <c r="C1581" s="23"/>
      <c r="D1581" s="24"/>
      <c r="E1581" s="25"/>
      <c r="F1581" s="26"/>
      <c r="G1581" s="27">
        <f>SUM(G1582:G1584)</f>
        <v>10585.54716818182</v>
      </c>
      <c r="H1581" s="44">
        <f>G1581*E1566</f>
        <v>0</v>
      </c>
    </row>
    <row r="1582" spans="1:8" ht="12.75" customHeight="1">
      <c r="A1582" s="28"/>
      <c r="B1582" s="29" t="s">
        <v>3698</v>
      </c>
      <c r="C1582" s="30" t="str">
        <f>IFERROR(_xlfn.XLOOKUP(B1582,MObra[DESCRIPCION],MObra[UN],,0),"")</f>
        <v>día</v>
      </c>
      <c r="D1582" s="31">
        <v>1</v>
      </c>
      <c r="E1582" s="32">
        <f>IFERROR(_xlfn.XLOOKUP($B1582,MObra[DESCRIPCION],MObra[VALOR UNIT],,0),"")</f>
        <v>116441.01885000002</v>
      </c>
      <c r="F1582" s="33">
        <v>-11</v>
      </c>
      <c r="G1582" s="34">
        <f>IFERROR(IF(F1582&gt;=0,D1582*E1582*(1+F1582/100),ABS(D1582*E1582/F1582)),"")</f>
        <v>10585.54716818182</v>
      </c>
      <c r="H1582" s="43">
        <f>IFERROR(G1582*E1566,"")</f>
        <v>0</v>
      </c>
    </row>
    <row r="1583" spans="1:8" ht="12.75" customHeight="1">
      <c r="A1583" s="28"/>
      <c r="B1583" s="29"/>
      <c r="C1583" s="30" t="str">
        <f t="array" ref="C1583">IFERROR(_xlfn.XLOOKUP(B1583,MObra[[#All],[DESCRIPCION]],MObra[[#All],[UN]],,0),"")</f>
        <v/>
      </c>
      <c r="D1583" s="31"/>
      <c r="E1583" s="32" t="str">
        <f>IFERROR(_xlfn.XLOOKUP($B1583,MObra[DESCRIPCION],MObra[VALOR UNIT],,0),"")</f>
        <v/>
      </c>
      <c r="F1583" s="33"/>
      <c r="G1583" s="34" t="str">
        <f>IFERROR(IF(F1583&gt;=0,D1583*E1583*(1+F1583/100),ABS(D1583*E1583/F1583)),"")</f>
        <v/>
      </c>
      <c r="H1583" s="43" t="str">
        <f>IFERROR(G1583*E1566,"")</f>
        <v/>
      </c>
    </row>
    <row r="1584" spans="1:8" ht="12.75" customHeight="1" thickBot="1">
      <c r="A1584" s="35"/>
      <c r="B1584" s="36"/>
      <c r="C1584" s="37" t="str">
        <f t="array" ref="C1584">IFERROR(_xlfn.XLOOKUP(B1584,MObra[[#All],[DESCRIPCION]],MObra[[#All],[UN]],,0),"")</f>
        <v/>
      </c>
      <c r="D1584" s="38"/>
      <c r="E1584" s="39" t="str">
        <f>IFERROR(_xlfn.XLOOKUP($B1584,MObra[DESCRIPCION],MObra[VALOR UNIT],,0),"")</f>
        <v/>
      </c>
      <c r="F1584" s="40"/>
      <c r="G1584" s="41" t="str">
        <f>IFERROR(IF(F1584&gt;=0,D1584*E1584*(1+F1584/100),ABS(D1584*E1584/F1584)),"")</f>
        <v/>
      </c>
      <c r="H1584" s="42" t="str">
        <f>IFERROR(G1584*E1566,"")</f>
        <v/>
      </c>
    </row>
    <row r="1585" spans="1:10" ht="12.75" customHeight="1" thickTop="1" thickBot="1">
      <c r="E1585" s="49"/>
      <c r="G1585" s="3"/>
    </row>
    <row r="1586" spans="1:10" ht="12.75" customHeight="1" thickTop="1" thickBot="1">
      <c r="A1586" s="6" t="s">
        <v>178</v>
      </c>
      <c r="B1586" s="7" t="str">
        <f>VLOOKUP($A1586,Presupuesto!$A:$D,2,FALSE())</f>
        <v>Desmonte división metálica</v>
      </c>
      <c r="C1586" s="8" t="str">
        <f>VLOOKUP($A1586,Presupuesto!$A:$D,3,FALSE())</f>
        <v>M2</v>
      </c>
      <c r="D1586" s="9"/>
      <c r="E1586" s="10">
        <f>VLOOKUP($A1586,Presupuesto!$A:$D,4,FALSE())</f>
        <v>0</v>
      </c>
      <c r="F1586" s="11" t="s">
        <v>2589</v>
      </c>
      <c r="G1586" s="12">
        <f>SUM(G1588:G1604)/2</f>
        <v>4543.170310787501</v>
      </c>
      <c r="H1586" s="13">
        <f>ROUND(SUM(H1588:H1604),0)/2</f>
        <v>0</v>
      </c>
      <c r="I1586" s="10">
        <f>VLOOKUP(A1586,Presupuesto!$A:$F,6,0)</f>
        <v>0</v>
      </c>
      <c r="J1586" s="10">
        <f>+H1586-I1586</f>
        <v>0</v>
      </c>
    </row>
    <row r="1587" spans="1:10" ht="12.75" customHeight="1" thickTop="1">
      <c r="A1587" s="14"/>
      <c r="B1587" s="15" t="s">
        <v>2586</v>
      </c>
      <c r="C1587" s="15" t="s">
        <v>5</v>
      </c>
      <c r="D1587" s="16" t="s">
        <v>6</v>
      </c>
      <c r="E1587" s="17" t="s">
        <v>7</v>
      </c>
      <c r="F1587" s="18" t="s">
        <v>3728</v>
      </c>
      <c r="G1587" s="19" t="s">
        <v>3729</v>
      </c>
      <c r="H1587" s="20" t="s">
        <v>3797</v>
      </c>
    </row>
    <row r="1588" spans="1:10" ht="12.75" customHeight="1">
      <c r="A1588" s="21"/>
      <c r="B1588" s="22" t="s">
        <v>3730</v>
      </c>
      <c r="C1588" s="23"/>
      <c r="D1588" s="24"/>
      <c r="E1588" s="25"/>
      <c r="F1588" s="26"/>
      <c r="G1588" s="27">
        <f>SUM(G1589:G1593)</f>
        <v>162.75</v>
      </c>
      <c r="H1588" s="27">
        <f>IFERROR(G1588*E1586,"")</f>
        <v>0</v>
      </c>
    </row>
    <row r="1589" spans="1:10" ht="12.75" customHeight="1">
      <c r="A1589" s="28"/>
      <c r="B1589" s="29" t="s">
        <v>3810</v>
      </c>
      <c r="C1589" s="30" t="str">
        <f>IFERROR(_xlfn.XLOOKUP(B1589,Insumo[DESCRIPCION],Insumo[UND],,0),"")</f>
        <v>Un</v>
      </c>
      <c r="D1589" s="31">
        <v>0.01</v>
      </c>
      <c r="E1589" s="32">
        <f>IFERROR(_xlfn.XLOOKUP($B1589,Insumo[DESCRIPCION],Insumo[VALOR],,0),"")</f>
        <v>16275</v>
      </c>
      <c r="F1589" s="33"/>
      <c r="G1589" s="34">
        <f>IFERROR(IF(F1589&gt;=0,D1589*E1589*(1+F1589/100),ABS(D1589*E1589/F1589)),"")</f>
        <v>162.75</v>
      </c>
      <c r="H1589" s="43">
        <f>IFERROR(G1589*E1586,"")</f>
        <v>0</v>
      </c>
    </row>
    <row r="1590" spans="1:10" ht="12.75" customHeight="1">
      <c r="A1590" s="28"/>
      <c r="B1590" s="29"/>
      <c r="C1590" s="30" t="str">
        <f>IFERROR(_xlfn.XLOOKUP(B1590,Insumo[DESCRIPCION],Insumo[UND],,0),"")</f>
        <v/>
      </c>
      <c r="D1590" s="31"/>
      <c r="E1590" s="32" t="str">
        <f>IFERROR(_xlfn.XLOOKUP($B1590,Insumo[DESCRIPCION],Insumo[VALOR],,0),"")</f>
        <v/>
      </c>
      <c r="F1590" s="33"/>
      <c r="G1590" s="34" t="str">
        <f>IFERROR(IF(F1590&gt;=0,D1590*E1590*(1+F1590/100),ABS(D1590*E1590/F1590)),"")</f>
        <v/>
      </c>
      <c r="H1590" s="43" t="str">
        <f>IFERROR(G1590*E1586,"")</f>
        <v/>
      </c>
    </row>
    <row r="1591" spans="1:10" ht="12.75" customHeight="1">
      <c r="A1591" s="28"/>
      <c r="B1591" s="29"/>
      <c r="C1591" s="30" t="str">
        <f>IFERROR(_xlfn.XLOOKUP(B1591,Insumo[DESCRIPCION],Insumo[UND],,0),"")</f>
        <v/>
      </c>
      <c r="D1591" s="31"/>
      <c r="E1591" s="32" t="str">
        <f>IFERROR(_xlfn.XLOOKUP($B1591,Insumo[DESCRIPCION],Insumo[VALOR],,0),"")</f>
        <v/>
      </c>
      <c r="F1591" s="33"/>
      <c r="G1591" s="34" t="str">
        <f>IFERROR(IF(F1591&gt;=0,D1591*E1591*(1+F1591/100),ABS(D1591*E1591/F1591)),"")</f>
        <v/>
      </c>
      <c r="H1591" s="43" t="str">
        <f>IFERROR(G1591*E1586,"")</f>
        <v/>
      </c>
    </row>
    <row r="1592" spans="1:10" ht="12.75" customHeight="1">
      <c r="A1592" s="28"/>
      <c r="B1592" s="29"/>
      <c r="C1592" s="30" t="str">
        <f>IFERROR(_xlfn.XLOOKUP(B1592,Insumo[DESCRIPCION],Insumo[UND],,0),"")</f>
        <v/>
      </c>
      <c r="D1592" s="31"/>
      <c r="E1592" s="32" t="str">
        <f>IFERROR(_xlfn.XLOOKUP($B1592,Insumo[DESCRIPCION],Insumo[VALOR],,0),"")</f>
        <v/>
      </c>
      <c r="F1592" s="33"/>
      <c r="G1592" s="34" t="str">
        <f>IFERROR(IF(F1592&gt;=0,D1592*E1592*(1+F1592/100),ABS(D1592*E1592/F1592)),"")</f>
        <v/>
      </c>
      <c r="H1592" s="43" t="str">
        <f>IFERROR(G1592*E1586,"")</f>
        <v/>
      </c>
    </row>
    <row r="1593" spans="1:10" ht="12.75" customHeight="1">
      <c r="A1593" s="28"/>
      <c r="B1593" s="29"/>
      <c r="C1593" s="30" t="str">
        <f>IFERROR(_xlfn.XLOOKUP(B1593,Insumo[DESCRIPCION],Insumo[UND],,0),"")</f>
        <v/>
      </c>
      <c r="D1593" s="31"/>
      <c r="E1593" s="32" t="str">
        <f>IFERROR(_xlfn.XLOOKUP($B1593,Insumo[DESCRIPCION],Insumo[VALOR],,0),"")</f>
        <v/>
      </c>
      <c r="F1593" s="33"/>
      <c r="G1593" s="34" t="str">
        <f>IFERROR(IF(F1593&gt;=0,D1593*E1593*(1+F1593/100),ABS(D1593*E1593/F1593)),"")</f>
        <v/>
      </c>
      <c r="H1593" s="43" t="str">
        <f>IFERROR(G1593*E1586,"")</f>
        <v/>
      </c>
    </row>
    <row r="1594" spans="1:10" ht="12.75" customHeight="1">
      <c r="A1594" s="21"/>
      <c r="B1594" s="22" t="s">
        <v>3731</v>
      </c>
      <c r="C1594" s="23"/>
      <c r="D1594" s="24"/>
      <c r="E1594" s="25"/>
      <c r="F1594" s="26"/>
      <c r="G1594" s="27">
        <f>SUM(G1595:G1597)</f>
        <v>1081.2581100375</v>
      </c>
      <c r="H1594" s="44">
        <f>G1594*E1586</f>
        <v>0</v>
      </c>
    </row>
    <row r="1595" spans="1:10" ht="12.75" customHeight="1">
      <c r="A1595" s="28"/>
      <c r="B1595" s="29" t="s">
        <v>3642</v>
      </c>
      <c r="C1595" s="30" t="str">
        <f>IFERROR(_xlfn.XLOOKUP(B1595,Equipo[DESCRIPCION],Equipo[UND],,0),"")</f>
        <v>Día</v>
      </c>
      <c r="D1595" s="31">
        <v>1</v>
      </c>
      <c r="E1595" s="32">
        <f>IF(C1595="%MO",G1601,IFERROR(_xlfn.XLOOKUP($B1595,Equipo[DESCRIPCION],Equipo[VALOR],,0),""))</f>
        <v>54978</v>
      </c>
      <c r="F1595" s="33">
        <v>-60</v>
      </c>
      <c r="G1595" s="34">
        <f>IFERROR(IF(F1595&gt;=0,D1595*E1595*(1+F1595/100),ABS(D1595*E1595/F1595)),"")</f>
        <v>916.3</v>
      </c>
      <c r="H1595" s="43">
        <f>IFERROR(G1595*E1586,"")</f>
        <v>0</v>
      </c>
    </row>
    <row r="1596" spans="1:10" ht="12.75" customHeight="1">
      <c r="A1596" s="28"/>
      <c r="B1596" s="29" t="s">
        <v>3626</v>
      </c>
      <c r="C1596" s="30" t="str">
        <f>IFERROR(_xlfn.XLOOKUP(B1596,Equipo[DESCRIPCION],Equipo[UND],,0),"")</f>
        <v>%MO</v>
      </c>
      <c r="D1596" s="31">
        <v>0.05</v>
      </c>
      <c r="E1596" s="32">
        <f>IF(C1596="%MO",G1601,IFERROR(_xlfn.XLOOKUP($B1596,Equipo[DESCRIPCION],Equipo[VALOR],,0),""))</f>
        <v>3299.1622007500005</v>
      </c>
      <c r="F1596" s="33"/>
      <c r="G1596" s="34">
        <f>IFERROR(IF(F1596&gt;=0,D1596*E1596*(1+F1596/100),ABS(D1596*E1596/F1596)),"")</f>
        <v>164.95811003750003</v>
      </c>
      <c r="H1596" s="43">
        <f>IFERROR(G1596*E1586,"")</f>
        <v>0</v>
      </c>
    </row>
    <row r="1597" spans="1:10" ht="12.75" customHeight="1">
      <c r="A1597" s="28"/>
      <c r="B1597" s="29"/>
      <c r="C1597" s="30" t="str">
        <f>IFERROR(_xlfn.XLOOKUP(B1597,Equipo[DESCRIPCION],Equipo[UND],,0),"")</f>
        <v/>
      </c>
      <c r="D1597" s="31"/>
      <c r="E1597" s="32" t="str">
        <f>IF(C1597="%MO",G1601,IFERROR(_xlfn.XLOOKUP($B1597,Equipo[DESCRIPCION],Equipo[VALOR],,0),""))</f>
        <v/>
      </c>
      <c r="F1597" s="33"/>
      <c r="G1597" s="34" t="str">
        <f>IFERROR(IF(F1597&gt;=0,D1597*E1597*(1+F1597/100),ABS(D1597*E1597/F1597)),"")</f>
        <v/>
      </c>
      <c r="H1597" s="43" t="str">
        <f>IFERROR(G1597*E1586,"")</f>
        <v/>
      </c>
    </row>
    <row r="1598" spans="1:10" ht="12.75" customHeight="1">
      <c r="A1598" s="21"/>
      <c r="B1598" s="22" t="s">
        <v>2533</v>
      </c>
      <c r="C1598" s="23"/>
      <c r="D1598" s="24"/>
      <c r="E1598" s="25"/>
      <c r="F1598" s="26"/>
      <c r="G1598" s="27">
        <f>SUM(G1599:G1600)</f>
        <v>0</v>
      </c>
      <c r="H1598" s="44">
        <f>G1598*E1586</f>
        <v>0</v>
      </c>
    </row>
    <row r="1599" spans="1:10" ht="12.75" customHeight="1">
      <c r="A1599" s="28"/>
      <c r="B1599" s="29"/>
      <c r="C1599" s="30" t="str">
        <f>IFERROR(_xlfn.XLOOKUP(B1599,Transporte[DESCRIPCION],Transporte[UND],,0),"")</f>
        <v/>
      </c>
      <c r="D1599" s="31"/>
      <c r="E1599" s="32" t="str">
        <f>IFERROR(_xlfn.XLOOKUP($B1599,Transporte[DESCRIPCION],Transporte[VALOR],,0),"")</f>
        <v/>
      </c>
      <c r="F1599" s="33"/>
      <c r="G1599" s="34" t="str">
        <f>IFERROR(IF(F1599&gt;=0,D1599*E1599*(1+F1599/100),ABS(D1599*E1599/F1599)),"")</f>
        <v/>
      </c>
      <c r="H1599" s="43" t="str">
        <f>IFERROR(G1599*E1586,"")</f>
        <v/>
      </c>
    </row>
    <row r="1600" spans="1:10" ht="12.75" customHeight="1">
      <c r="A1600" s="28"/>
      <c r="B1600" s="29"/>
      <c r="C1600" s="30" t="str">
        <f>IFERROR(_xlfn.XLOOKUP(B1600,Transporte[DESCRIPCION],Transporte[UND],,0),"")</f>
        <v/>
      </c>
      <c r="D1600" s="31"/>
      <c r="E1600" s="32" t="str">
        <f>IFERROR(_xlfn.XLOOKUP($B1600,Transporte[DESCRIPCION],Transporte[VALOR],,0),"")</f>
        <v/>
      </c>
      <c r="F1600" s="33"/>
      <c r="G1600" s="34" t="str">
        <f>IFERROR(IF(F1600&gt;=0,D1600*E1600*(1+F1600/100),ABS(D1600*E1600/F1600)),"")</f>
        <v/>
      </c>
      <c r="H1600" s="43" t="str">
        <f>IFERROR(G1600*E1586,"")</f>
        <v/>
      </c>
    </row>
    <row r="1601" spans="1:10" ht="12.75" customHeight="1">
      <c r="A1601" s="21"/>
      <c r="B1601" s="22" t="s">
        <v>3732</v>
      </c>
      <c r="C1601" s="23"/>
      <c r="D1601" s="24"/>
      <c r="E1601" s="25"/>
      <c r="F1601" s="26"/>
      <c r="G1601" s="27">
        <f>SUM(G1602:G1604)</f>
        <v>3299.1622007500005</v>
      </c>
      <c r="H1601" s="44">
        <f>G1601*E1586</f>
        <v>0</v>
      </c>
    </row>
    <row r="1602" spans="1:10" ht="12.75" customHeight="1">
      <c r="A1602" s="28"/>
      <c r="B1602" s="29" t="s">
        <v>3705</v>
      </c>
      <c r="C1602" s="30" t="str">
        <f>IFERROR(_xlfn.XLOOKUP(B1602,MObra[DESCRIPCION],MObra[UN],,0),"")</f>
        <v>día</v>
      </c>
      <c r="D1602" s="31">
        <v>1</v>
      </c>
      <c r="E1602" s="32">
        <f>IFERROR(_xlfn.XLOOKUP($B1602,MObra[DESCRIPCION],MObra[VALOR UNIT],,0),"")</f>
        <v>197949.73204500004</v>
      </c>
      <c r="F1602" s="33">
        <v>-60</v>
      </c>
      <c r="G1602" s="34">
        <f>IFERROR(IF(F1602&gt;=0,D1602*E1602*(1+F1602/100),ABS(D1602*E1602/F1602)),"")</f>
        <v>3299.1622007500005</v>
      </c>
      <c r="H1602" s="43">
        <f>IFERROR(G1602*E1586,"")</f>
        <v>0</v>
      </c>
    </row>
    <row r="1603" spans="1:10" ht="12.75" customHeight="1">
      <c r="A1603" s="28"/>
      <c r="B1603" s="29"/>
      <c r="C1603" s="30" t="str">
        <f t="array" ref="C1603">IFERROR(_xlfn.XLOOKUP(B1603,MObra[[#All],[DESCRIPCION]],MObra[[#All],[UN]],,0),"")</f>
        <v/>
      </c>
      <c r="D1603" s="31"/>
      <c r="E1603" s="32" t="str">
        <f>IFERROR(_xlfn.XLOOKUP($B1603,MObra[DESCRIPCION],MObra[VALOR UNIT],,0),"")</f>
        <v/>
      </c>
      <c r="F1603" s="33"/>
      <c r="G1603" s="34" t="str">
        <f>IFERROR(IF(F1603&gt;=0,D1603*E1603*(1+F1603/100),ABS(D1603*E1603/F1603)),"")</f>
        <v/>
      </c>
      <c r="H1603" s="43" t="str">
        <f>IFERROR(G1603*E1586,"")</f>
        <v/>
      </c>
    </row>
    <row r="1604" spans="1:10" ht="12.75" customHeight="1" thickBot="1">
      <c r="A1604" s="35"/>
      <c r="B1604" s="36"/>
      <c r="C1604" s="37" t="str">
        <f t="array" ref="C1604">IFERROR(_xlfn.XLOOKUP(B1604,MObra[[#All],[DESCRIPCION]],MObra[[#All],[UN]],,0),"")</f>
        <v/>
      </c>
      <c r="D1604" s="38"/>
      <c r="E1604" s="39" t="str">
        <f>IFERROR(_xlfn.XLOOKUP($B1604,MObra[DESCRIPCION],MObra[VALOR UNIT],,0),"")</f>
        <v/>
      </c>
      <c r="F1604" s="40"/>
      <c r="G1604" s="41" t="str">
        <f>IFERROR(IF(F1604&gt;=0,D1604*E1604*(1+F1604/100),ABS(D1604*E1604/F1604)),"")</f>
        <v/>
      </c>
      <c r="H1604" s="42" t="str">
        <f>IFERROR(G1604*E1586,"")</f>
        <v/>
      </c>
    </row>
    <row r="1605" spans="1:10" ht="12.75" customHeight="1" thickTop="1" thickBot="1">
      <c r="E1605" s="49"/>
      <c r="G1605" s="3"/>
    </row>
    <row r="1606" spans="1:10" ht="12.75" customHeight="1" thickTop="1" thickBot="1">
      <c r="A1606" s="6" t="s">
        <v>180</v>
      </c>
      <c r="B1606" s="7" t="str">
        <f>VLOOKUP($A1606,Presupuesto!$A:$D,2,FALSE())</f>
        <v>Desmonte estructura metálica liviana manual</v>
      </c>
      <c r="C1606" s="8" t="str">
        <f>VLOOKUP($A1606,Presupuesto!$A:$D,3,FALSE())</f>
        <v>M</v>
      </c>
      <c r="D1606" s="9"/>
      <c r="E1606" s="10">
        <f>VLOOKUP($A1606,Presupuesto!$A:$D,4,FALSE())</f>
        <v>0</v>
      </c>
      <c r="F1606" s="11" t="s">
        <v>2589</v>
      </c>
      <c r="G1606" s="12">
        <f>SUM(G1608:G1624)/2</f>
        <v>6733.3804661812519</v>
      </c>
      <c r="H1606" s="13">
        <f>ROUND(SUM(H1608:H1624),0)/2</f>
        <v>0</v>
      </c>
      <c r="I1606" s="10">
        <f>VLOOKUP(A1606,Presupuesto!$A:$F,6,0)</f>
        <v>0</v>
      </c>
      <c r="J1606" s="10">
        <f>+H1606-I1606</f>
        <v>0</v>
      </c>
    </row>
    <row r="1607" spans="1:10" ht="12.75" customHeight="1" thickTop="1">
      <c r="A1607" s="14"/>
      <c r="B1607" s="15" t="s">
        <v>2586</v>
      </c>
      <c r="C1607" s="15" t="s">
        <v>5</v>
      </c>
      <c r="D1607" s="16" t="s">
        <v>6</v>
      </c>
      <c r="E1607" s="17" t="s">
        <v>7</v>
      </c>
      <c r="F1607" s="18" t="s">
        <v>3728</v>
      </c>
      <c r="G1607" s="19" t="s">
        <v>3729</v>
      </c>
      <c r="H1607" s="20" t="s">
        <v>3797</v>
      </c>
    </row>
    <row r="1608" spans="1:10" ht="12.75" customHeight="1">
      <c r="A1608" s="21"/>
      <c r="B1608" s="22" t="s">
        <v>3730</v>
      </c>
      <c r="C1608" s="23"/>
      <c r="D1608" s="24"/>
      <c r="E1608" s="25"/>
      <c r="F1608" s="26"/>
      <c r="G1608" s="27">
        <f>SUM(G1609:G1613)</f>
        <v>162.75</v>
      </c>
      <c r="H1608" s="27">
        <f>IFERROR(G1608*E1606,"")</f>
        <v>0</v>
      </c>
    </row>
    <row r="1609" spans="1:10" ht="12.75" customHeight="1">
      <c r="A1609" s="28"/>
      <c r="B1609" s="29" t="s">
        <v>3810</v>
      </c>
      <c r="C1609" s="30" t="str">
        <f>IFERROR(_xlfn.XLOOKUP(B1609,Insumo[DESCRIPCION],Insumo[UND],,0),"")</f>
        <v>Un</v>
      </c>
      <c r="D1609" s="31">
        <v>0.01</v>
      </c>
      <c r="E1609" s="32">
        <f>IFERROR(_xlfn.XLOOKUP($B1609,Insumo[DESCRIPCION],Insumo[VALOR],,0),"")</f>
        <v>16275</v>
      </c>
      <c r="F1609" s="33"/>
      <c r="G1609" s="34">
        <f>IFERROR(IF(F1609&gt;=0,D1609*E1609*(1+F1609/100),ABS(D1609*E1609/F1609)),"")</f>
        <v>162.75</v>
      </c>
      <c r="H1609" s="43">
        <f>IFERROR(G1609*E1606,"")</f>
        <v>0</v>
      </c>
    </row>
    <row r="1610" spans="1:10" ht="12.75" customHeight="1">
      <c r="A1610" s="28"/>
      <c r="B1610" s="29"/>
      <c r="C1610" s="30" t="str">
        <f>IFERROR(_xlfn.XLOOKUP(B1610,Insumo[DESCRIPCION],Insumo[UND],,0),"")</f>
        <v/>
      </c>
      <c r="D1610" s="31"/>
      <c r="E1610" s="32" t="str">
        <f>IFERROR(_xlfn.XLOOKUP($B1610,Insumo[DESCRIPCION],Insumo[VALOR],,0),"")</f>
        <v/>
      </c>
      <c r="F1610" s="33"/>
      <c r="G1610" s="34" t="str">
        <f>IFERROR(IF(F1610&gt;=0,D1610*E1610*(1+F1610/100),ABS(D1610*E1610/F1610)),"")</f>
        <v/>
      </c>
      <c r="H1610" s="43" t="str">
        <f>IFERROR(G1610*E1606,"")</f>
        <v/>
      </c>
    </row>
    <row r="1611" spans="1:10" ht="12.75" customHeight="1">
      <c r="A1611" s="28"/>
      <c r="B1611" s="29"/>
      <c r="C1611" s="30" t="str">
        <f>IFERROR(_xlfn.XLOOKUP(B1611,Insumo[DESCRIPCION],Insumo[UND],,0),"")</f>
        <v/>
      </c>
      <c r="D1611" s="31"/>
      <c r="E1611" s="32" t="str">
        <f>IFERROR(_xlfn.XLOOKUP($B1611,Insumo[DESCRIPCION],Insumo[VALOR],,0),"")</f>
        <v/>
      </c>
      <c r="F1611" s="33"/>
      <c r="G1611" s="34" t="str">
        <f>IFERROR(IF(F1611&gt;=0,D1611*E1611*(1+F1611/100),ABS(D1611*E1611/F1611)),"")</f>
        <v/>
      </c>
      <c r="H1611" s="43" t="str">
        <f>IFERROR(G1611*E1606,"")</f>
        <v/>
      </c>
    </row>
    <row r="1612" spans="1:10" ht="12.75" customHeight="1">
      <c r="A1612" s="28"/>
      <c r="B1612" s="29"/>
      <c r="C1612" s="30" t="str">
        <f>IFERROR(_xlfn.XLOOKUP(B1612,Insumo[DESCRIPCION],Insumo[UND],,0),"")</f>
        <v/>
      </c>
      <c r="D1612" s="31"/>
      <c r="E1612" s="32" t="str">
        <f>IFERROR(_xlfn.XLOOKUP($B1612,Insumo[DESCRIPCION],Insumo[VALOR],,0),"")</f>
        <v/>
      </c>
      <c r="F1612" s="33"/>
      <c r="G1612" s="34" t="str">
        <f>IFERROR(IF(F1612&gt;=0,D1612*E1612*(1+F1612/100),ABS(D1612*E1612/F1612)),"")</f>
        <v/>
      </c>
      <c r="H1612" s="43" t="str">
        <f>IFERROR(G1612*E1606,"")</f>
        <v/>
      </c>
    </row>
    <row r="1613" spans="1:10" ht="12.75" customHeight="1">
      <c r="A1613" s="28"/>
      <c r="B1613" s="29"/>
      <c r="C1613" s="30" t="str">
        <f>IFERROR(_xlfn.XLOOKUP(B1613,Insumo[DESCRIPCION],Insumo[UND],,0),"")</f>
        <v/>
      </c>
      <c r="D1613" s="31"/>
      <c r="E1613" s="32" t="str">
        <f>IFERROR(_xlfn.XLOOKUP($B1613,Insumo[DESCRIPCION],Insumo[VALOR],,0),"")</f>
        <v/>
      </c>
      <c r="F1613" s="33"/>
      <c r="G1613" s="34" t="str">
        <f>IFERROR(IF(F1613&gt;=0,D1613*E1613*(1+F1613/100),ABS(D1613*E1613/F1613)),"")</f>
        <v/>
      </c>
      <c r="H1613" s="43" t="str">
        <f>IFERROR(G1613*E1606,"")</f>
        <v/>
      </c>
    </row>
    <row r="1614" spans="1:10" ht="12.75" customHeight="1">
      <c r="A1614" s="21"/>
      <c r="B1614" s="22" t="s">
        <v>3731</v>
      </c>
      <c r="C1614" s="23"/>
      <c r="D1614" s="24"/>
      <c r="E1614" s="25"/>
      <c r="F1614" s="26"/>
      <c r="G1614" s="27">
        <f>SUM(G1615:G1617)</f>
        <v>1621.8871650562501</v>
      </c>
      <c r="H1614" s="44">
        <f>G1614*E1606</f>
        <v>0</v>
      </c>
    </row>
    <row r="1615" spans="1:10" ht="12.75" customHeight="1">
      <c r="A1615" s="28"/>
      <c r="B1615" s="29" t="s">
        <v>3642</v>
      </c>
      <c r="C1615" s="30" t="str">
        <f>IFERROR(_xlfn.XLOOKUP(B1615,Equipo[DESCRIPCION],Equipo[UND],,0),"")</f>
        <v>Día</v>
      </c>
      <c r="D1615" s="31">
        <v>1</v>
      </c>
      <c r="E1615" s="32">
        <f>IF(C1615="%MO",G1621,IFERROR(_xlfn.XLOOKUP($B1615,Equipo[DESCRIPCION],Equipo[VALOR],,0),""))</f>
        <v>54978</v>
      </c>
      <c r="F1615" s="33">
        <v>-40</v>
      </c>
      <c r="G1615" s="34">
        <f>IFERROR(IF(F1615&gt;=0,D1615*E1615*(1+F1615/100),ABS(D1615*E1615/F1615)),"")</f>
        <v>1374.45</v>
      </c>
      <c r="H1615" s="43">
        <f>IFERROR(G1615*E1606,"")</f>
        <v>0</v>
      </c>
    </row>
    <row r="1616" spans="1:10" ht="12.75" customHeight="1">
      <c r="A1616" s="28"/>
      <c r="B1616" s="29" t="s">
        <v>3626</v>
      </c>
      <c r="C1616" s="30" t="str">
        <f>IFERROR(_xlfn.XLOOKUP(B1616,Equipo[DESCRIPCION],Equipo[UND],,0),"")</f>
        <v>%MO</v>
      </c>
      <c r="D1616" s="31">
        <v>0.05</v>
      </c>
      <c r="E1616" s="32">
        <f>IF(C1616="%MO",G1621,IFERROR(_xlfn.XLOOKUP($B1616,Equipo[DESCRIPCION],Equipo[VALOR],,0),""))</f>
        <v>4948.7433011250014</v>
      </c>
      <c r="F1616" s="33"/>
      <c r="G1616" s="34">
        <f>IFERROR(IF(F1616&gt;=0,D1616*E1616*(1+F1616/100),ABS(D1616*E1616/F1616)),"")</f>
        <v>247.43716505625008</v>
      </c>
      <c r="H1616" s="43">
        <f>IFERROR(G1616*E1606,"")</f>
        <v>0</v>
      </c>
    </row>
    <row r="1617" spans="1:10" ht="12.75" customHeight="1">
      <c r="A1617" s="28"/>
      <c r="B1617" s="29"/>
      <c r="C1617" s="30" t="str">
        <f>IFERROR(_xlfn.XLOOKUP(B1617,Equipo[DESCRIPCION],Equipo[UND],,0),"")</f>
        <v/>
      </c>
      <c r="D1617" s="31"/>
      <c r="E1617" s="32" t="str">
        <f>IF(C1617="%MO",G1621,IFERROR(_xlfn.XLOOKUP($B1617,Equipo[DESCRIPCION],Equipo[VALOR],,0),""))</f>
        <v/>
      </c>
      <c r="F1617" s="33"/>
      <c r="G1617" s="34" t="str">
        <f>IFERROR(IF(F1617&gt;=0,D1617*E1617*(1+F1617/100),ABS(D1617*E1617/F1617)),"")</f>
        <v/>
      </c>
      <c r="H1617" s="43" t="str">
        <f>IFERROR(G1617*E1606,"")</f>
        <v/>
      </c>
    </row>
    <row r="1618" spans="1:10" ht="12.75" customHeight="1">
      <c r="A1618" s="21"/>
      <c r="B1618" s="22" t="s">
        <v>2533</v>
      </c>
      <c r="C1618" s="23"/>
      <c r="D1618" s="24"/>
      <c r="E1618" s="25"/>
      <c r="F1618" s="26"/>
      <c r="G1618" s="27">
        <f>SUM(G1619:G1620)</f>
        <v>0</v>
      </c>
      <c r="H1618" s="44">
        <f>G1618*E1606</f>
        <v>0</v>
      </c>
    </row>
    <row r="1619" spans="1:10" ht="12.75" customHeight="1">
      <c r="A1619" s="28"/>
      <c r="B1619" s="29"/>
      <c r="C1619" s="30" t="str">
        <f>IFERROR(_xlfn.XLOOKUP(B1619,Transporte[DESCRIPCION],Transporte[UND],,0),"")</f>
        <v/>
      </c>
      <c r="D1619" s="31"/>
      <c r="E1619" s="32" t="str">
        <f>IFERROR(_xlfn.XLOOKUP($B1619,Transporte[DESCRIPCION],Transporte[VALOR],,0),"")</f>
        <v/>
      </c>
      <c r="F1619" s="33"/>
      <c r="G1619" s="34" t="str">
        <f>IFERROR(IF(F1619&gt;=0,D1619*E1619*(1+F1619/100),ABS(D1619*E1619/F1619)),"")</f>
        <v/>
      </c>
      <c r="H1619" s="43" t="str">
        <f>IFERROR(G1619*E1606,"")</f>
        <v/>
      </c>
    </row>
    <row r="1620" spans="1:10" ht="12.75" customHeight="1">
      <c r="A1620" s="28"/>
      <c r="B1620" s="29"/>
      <c r="C1620" s="30" t="str">
        <f>IFERROR(_xlfn.XLOOKUP(B1620,Transporte[DESCRIPCION],Transporte[UND],,0),"")</f>
        <v/>
      </c>
      <c r="D1620" s="31"/>
      <c r="E1620" s="32" t="str">
        <f>IFERROR(_xlfn.XLOOKUP($B1620,Transporte[DESCRIPCION],Transporte[VALOR],,0),"")</f>
        <v/>
      </c>
      <c r="F1620" s="33"/>
      <c r="G1620" s="34" t="str">
        <f>IFERROR(IF(F1620&gt;=0,D1620*E1620*(1+F1620/100),ABS(D1620*E1620/F1620)),"")</f>
        <v/>
      </c>
      <c r="H1620" s="43" t="str">
        <f>IFERROR(G1620*E1606,"")</f>
        <v/>
      </c>
    </row>
    <row r="1621" spans="1:10" ht="12.75" customHeight="1">
      <c r="A1621" s="21"/>
      <c r="B1621" s="22" t="s">
        <v>3732</v>
      </c>
      <c r="C1621" s="23"/>
      <c r="D1621" s="24"/>
      <c r="E1621" s="25"/>
      <c r="F1621" s="26"/>
      <c r="G1621" s="27">
        <f>SUM(G1622:G1624)</f>
        <v>4948.7433011250014</v>
      </c>
      <c r="H1621" s="44">
        <f>G1621*E1606</f>
        <v>0</v>
      </c>
    </row>
    <row r="1622" spans="1:10" ht="12.75" customHeight="1">
      <c r="A1622" s="28"/>
      <c r="B1622" s="29" t="s">
        <v>3705</v>
      </c>
      <c r="C1622" s="30" t="str">
        <f>IFERROR(_xlfn.XLOOKUP(B1622,MObra[DESCRIPCION],MObra[UN],,0),"")</f>
        <v>día</v>
      </c>
      <c r="D1622" s="31">
        <v>1</v>
      </c>
      <c r="E1622" s="32">
        <f>IFERROR(_xlfn.XLOOKUP($B1622,MObra[DESCRIPCION],MObra[VALOR UNIT],,0),"")</f>
        <v>197949.73204500004</v>
      </c>
      <c r="F1622" s="33">
        <v>-40</v>
      </c>
      <c r="G1622" s="34">
        <f>IFERROR(IF(F1622&gt;=0,D1622*E1622*(1+F1622/100),ABS(D1622*E1622/F1622)),"")</f>
        <v>4948.7433011250014</v>
      </c>
      <c r="H1622" s="43">
        <f>IFERROR(G1622*E1606,"")</f>
        <v>0</v>
      </c>
    </row>
    <row r="1623" spans="1:10" ht="12.75" customHeight="1">
      <c r="A1623" s="28"/>
      <c r="B1623" s="29"/>
      <c r="C1623" s="30" t="str">
        <f t="array" ref="C1623">IFERROR(_xlfn.XLOOKUP(B1623,MObra[[#All],[DESCRIPCION]],MObra[[#All],[UN]],,0),"")</f>
        <v/>
      </c>
      <c r="D1623" s="31"/>
      <c r="E1623" s="32" t="str">
        <f>IFERROR(_xlfn.XLOOKUP($B1623,MObra[DESCRIPCION],MObra[VALOR UNIT],,0),"")</f>
        <v/>
      </c>
      <c r="F1623" s="33"/>
      <c r="G1623" s="34" t="str">
        <f>IFERROR(IF(F1623&gt;=0,D1623*E1623*(1+F1623/100),ABS(D1623*E1623/F1623)),"")</f>
        <v/>
      </c>
      <c r="H1623" s="43" t="str">
        <f>IFERROR(G1623*E1606,"")</f>
        <v/>
      </c>
    </row>
    <row r="1624" spans="1:10" ht="12.75" customHeight="1" thickBot="1">
      <c r="A1624" s="35"/>
      <c r="B1624" s="36"/>
      <c r="C1624" s="37" t="str">
        <f t="array" ref="C1624">IFERROR(_xlfn.XLOOKUP(B1624,MObra[[#All],[DESCRIPCION]],MObra[[#All],[UN]],,0),"")</f>
        <v/>
      </c>
      <c r="D1624" s="38"/>
      <c r="E1624" s="39" t="str">
        <f>IFERROR(_xlfn.XLOOKUP($B1624,MObra[DESCRIPCION],MObra[VALOR UNIT],,0),"")</f>
        <v/>
      </c>
      <c r="F1624" s="40"/>
      <c r="G1624" s="41" t="str">
        <f>IFERROR(IF(F1624&gt;=0,D1624*E1624*(1+F1624/100),ABS(D1624*E1624/F1624)),"")</f>
        <v/>
      </c>
      <c r="H1624" s="42" t="str">
        <f>IFERROR(G1624*E1606,"")</f>
        <v/>
      </c>
    </row>
    <row r="1625" spans="1:10" ht="12.75" customHeight="1" thickTop="1" thickBot="1">
      <c r="E1625" s="49"/>
      <c r="G1625" s="3"/>
    </row>
    <row r="1626" spans="1:10" ht="12.75" customHeight="1" thickTop="1" thickBot="1">
      <c r="A1626" s="6" t="s">
        <v>182</v>
      </c>
      <c r="B1626" s="7" t="str">
        <f>VLOOKUP($A1626,Presupuesto!$A:$D,2,FALSE())</f>
        <v>Desmonte fluxómetros (sanitario o lavamanos)</v>
      </c>
      <c r="C1626" s="8" t="str">
        <f>VLOOKUP($A1626,Presupuesto!$A:$D,3,FALSE())</f>
        <v>Un</v>
      </c>
      <c r="D1626" s="9"/>
      <c r="E1626" s="10">
        <f>VLOOKUP($A1626,Presupuesto!$A:$D,4,FALSE())</f>
        <v>0</v>
      </c>
      <c r="F1626" s="11" t="s">
        <v>2589</v>
      </c>
      <c r="G1626" s="12">
        <f>SUM(G1628:G1644)/2</f>
        <v>41569.443729450009</v>
      </c>
      <c r="H1626" s="13">
        <f>ROUND(SUM(H1628:H1644),0)/2</f>
        <v>0</v>
      </c>
      <c r="I1626" s="10">
        <f>VLOOKUP(A1626,Presupuesto!$A:$F,6,0)</f>
        <v>0</v>
      </c>
      <c r="J1626" s="10">
        <f>+H1626-I1626</f>
        <v>0</v>
      </c>
    </row>
    <row r="1627" spans="1:10" ht="12.75" customHeight="1" thickTop="1">
      <c r="A1627" s="14"/>
      <c r="B1627" s="15" t="s">
        <v>2586</v>
      </c>
      <c r="C1627" s="15" t="s">
        <v>5</v>
      </c>
      <c r="D1627" s="16" t="s">
        <v>6</v>
      </c>
      <c r="E1627" s="17" t="s">
        <v>7</v>
      </c>
      <c r="F1627" s="18" t="s">
        <v>3728</v>
      </c>
      <c r="G1627" s="19" t="s">
        <v>3729</v>
      </c>
      <c r="H1627" s="20" t="s">
        <v>3797</v>
      </c>
    </row>
    <row r="1628" spans="1:10" ht="12.75" customHeight="1">
      <c r="A1628" s="21"/>
      <c r="B1628" s="22" t="s">
        <v>3730</v>
      </c>
      <c r="C1628" s="23"/>
      <c r="D1628" s="24"/>
      <c r="E1628" s="25"/>
      <c r="F1628" s="26"/>
      <c r="G1628" s="27">
        <f>SUM(G1629:G1633)</f>
        <v>0</v>
      </c>
      <c r="H1628" s="27">
        <f>IFERROR(G1628*E1626,"")</f>
        <v>0</v>
      </c>
    </row>
    <row r="1629" spans="1:10" ht="12.75" customHeight="1">
      <c r="A1629" s="28"/>
      <c r="B1629" s="29"/>
      <c r="C1629" s="30" t="str">
        <f>IFERROR(_xlfn.XLOOKUP(B1629,Insumo[DESCRIPCION],Insumo[UND],,0),"")</f>
        <v/>
      </c>
      <c r="D1629" s="31"/>
      <c r="E1629" s="32" t="str">
        <f>IFERROR(_xlfn.XLOOKUP($B1629,Insumo[DESCRIPCION],Insumo[VALOR],,0),"")</f>
        <v/>
      </c>
      <c r="F1629" s="33"/>
      <c r="G1629" s="34" t="str">
        <f>IFERROR(IF(F1629&gt;=0,D1629*E1629*(1+F1629/100),ABS(D1629*E1629/F1629)),"")</f>
        <v/>
      </c>
      <c r="H1629" s="43" t="str">
        <f>IFERROR(G1629*E1626,"")</f>
        <v/>
      </c>
    </row>
    <row r="1630" spans="1:10" ht="12.75" customHeight="1">
      <c r="A1630" s="28"/>
      <c r="B1630" s="29"/>
      <c r="C1630" s="30" t="str">
        <f>IFERROR(_xlfn.XLOOKUP(B1630,Insumo[DESCRIPCION],Insumo[UND],,0),"")</f>
        <v/>
      </c>
      <c r="D1630" s="31"/>
      <c r="E1630" s="32" t="str">
        <f>IFERROR(_xlfn.XLOOKUP($B1630,Insumo[DESCRIPCION],Insumo[VALOR],,0),"")</f>
        <v/>
      </c>
      <c r="F1630" s="33"/>
      <c r="G1630" s="34" t="str">
        <f>IFERROR(IF(F1630&gt;=0,D1630*E1630*(1+F1630/100),ABS(D1630*E1630/F1630)),"")</f>
        <v/>
      </c>
      <c r="H1630" s="43" t="str">
        <f>IFERROR(G1630*E1626,"")</f>
        <v/>
      </c>
    </row>
    <row r="1631" spans="1:10" ht="12.75" customHeight="1">
      <c r="A1631" s="28"/>
      <c r="B1631" s="29"/>
      <c r="C1631" s="30" t="str">
        <f>IFERROR(_xlfn.XLOOKUP(B1631,Insumo[DESCRIPCION],Insumo[UND],,0),"")</f>
        <v/>
      </c>
      <c r="D1631" s="31"/>
      <c r="E1631" s="32" t="str">
        <f>IFERROR(_xlfn.XLOOKUP($B1631,Insumo[DESCRIPCION],Insumo[VALOR],,0),"")</f>
        <v/>
      </c>
      <c r="F1631" s="33"/>
      <c r="G1631" s="34" t="str">
        <f>IFERROR(IF(F1631&gt;=0,D1631*E1631*(1+F1631/100),ABS(D1631*E1631/F1631)),"")</f>
        <v/>
      </c>
      <c r="H1631" s="43" t="str">
        <f>IFERROR(G1631*E1626,"")</f>
        <v/>
      </c>
    </row>
    <row r="1632" spans="1:10" ht="12.75" customHeight="1">
      <c r="A1632" s="28"/>
      <c r="B1632" s="29"/>
      <c r="C1632" s="30" t="str">
        <f>IFERROR(_xlfn.XLOOKUP(B1632,Insumo[DESCRIPCION],Insumo[UND],,0),"")</f>
        <v/>
      </c>
      <c r="D1632" s="31"/>
      <c r="E1632" s="32" t="str">
        <f>IFERROR(_xlfn.XLOOKUP($B1632,Insumo[DESCRIPCION],Insumo[VALOR],,0),"")</f>
        <v/>
      </c>
      <c r="F1632" s="33"/>
      <c r="G1632" s="34" t="str">
        <f>IFERROR(IF(F1632&gt;=0,D1632*E1632*(1+F1632/100),ABS(D1632*E1632/F1632)),"")</f>
        <v/>
      </c>
      <c r="H1632" s="43" t="str">
        <f>IFERROR(G1632*E1626,"")</f>
        <v/>
      </c>
    </row>
    <row r="1633" spans="1:10" ht="12.75" customHeight="1">
      <c r="A1633" s="28"/>
      <c r="B1633" s="29"/>
      <c r="C1633" s="30" t="str">
        <f>IFERROR(_xlfn.XLOOKUP(B1633,Insumo[DESCRIPCION],Insumo[UND],,0),"")</f>
        <v/>
      </c>
      <c r="D1633" s="31"/>
      <c r="E1633" s="32" t="str">
        <f>IFERROR(_xlfn.XLOOKUP($B1633,Insumo[DESCRIPCION],Insumo[VALOR],,0),"")</f>
        <v/>
      </c>
      <c r="F1633" s="33"/>
      <c r="G1633" s="34" t="str">
        <f>IFERROR(IF(F1633&gt;=0,D1633*E1633*(1+F1633/100),ABS(D1633*E1633/F1633)),"")</f>
        <v/>
      </c>
      <c r="H1633" s="43" t="str">
        <f>IFERROR(G1633*E1626,"")</f>
        <v/>
      </c>
    </row>
    <row r="1634" spans="1:10" ht="12.75" customHeight="1">
      <c r="A1634" s="21"/>
      <c r="B1634" s="22" t="s">
        <v>3731</v>
      </c>
      <c r="C1634" s="23"/>
      <c r="D1634" s="24"/>
      <c r="E1634" s="25"/>
      <c r="F1634" s="26"/>
      <c r="G1634" s="27">
        <f>SUM(G1635:G1637)</f>
        <v>1979.4973204500006</v>
      </c>
      <c r="H1634" s="44">
        <f>G1634*E1626</f>
        <v>0</v>
      </c>
    </row>
    <row r="1635" spans="1:10" ht="12.75" customHeight="1">
      <c r="A1635" s="28"/>
      <c r="B1635" s="29" t="s">
        <v>3626</v>
      </c>
      <c r="C1635" s="30" t="str">
        <f>IFERROR(_xlfn.XLOOKUP(B1635,Equipo[DESCRIPCION],Equipo[UND],,0),"")</f>
        <v>%MO</v>
      </c>
      <c r="D1635" s="31">
        <v>0.05</v>
      </c>
      <c r="E1635" s="32">
        <f>IF(C1635="%MO",G1641,IFERROR(_xlfn.XLOOKUP($B1635,Equipo[DESCRIPCION],Equipo[VALOR],,0),""))</f>
        <v>39589.946409000011</v>
      </c>
      <c r="F1635" s="33"/>
      <c r="G1635" s="34">
        <f>IFERROR(IF(F1635&gt;=0,D1635*E1635*(1+F1635/100),ABS(D1635*E1635/F1635)),"")</f>
        <v>1979.4973204500006</v>
      </c>
      <c r="H1635" s="43">
        <f>IFERROR(G1635*E1626,"")</f>
        <v>0</v>
      </c>
    </row>
    <row r="1636" spans="1:10" ht="12.75" customHeight="1">
      <c r="A1636" s="28"/>
      <c r="B1636" s="29"/>
      <c r="C1636" s="30" t="str">
        <f>IFERROR(_xlfn.XLOOKUP(B1636,Equipo[DESCRIPCION],Equipo[UND],,0),"")</f>
        <v/>
      </c>
      <c r="D1636" s="31"/>
      <c r="E1636" s="32" t="str">
        <f>IF(C1636="%MO",G1641,IFERROR(_xlfn.XLOOKUP($B1636,Equipo[DESCRIPCION],Equipo[VALOR],,0),""))</f>
        <v/>
      </c>
      <c r="F1636" s="33"/>
      <c r="G1636" s="34" t="str">
        <f>IFERROR(IF(F1636&gt;=0,D1636*E1636*(1+F1636/100),ABS(D1636*E1636/F1636)),"")</f>
        <v/>
      </c>
      <c r="H1636" s="43" t="str">
        <f>IFERROR(G1636*E1626,"")</f>
        <v/>
      </c>
    </row>
    <row r="1637" spans="1:10" ht="12.75" customHeight="1">
      <c r="A1637" s="28"/>
      <c r="B1637" s="29"/>
      <c r="C1637" s="30" t="str">
        <f>IFERROR(_xlfn.XLOOKUP(B1637,Equipo[DESCRIPCION],Equipo[UND],,0),"")</f>
        <v/>
      </c>
      <c r="D1637" s="31"/>
      <c r="E1637" s="32" t="str">
        <f>IF(C1637="%MO",G1641,IFERROR(_xlfn.XLOOKUP($B1637,Equipo[DESCRIPCION],Equipo[VALOR],,0),""))</f>
        <v/>
      </c>
      <c r="F1637" s="33"/>
      <c r="G1637" s="34" t="str">
        <f>IFERROR(IF(F1637&gt;=0,D1637*E1637*(1+F1637/100),ABS(D1637*E1637/F1637)),"")</f>
        <v/>
      </c>
      <c r="H1637" s="43" t="str">
        <f>IFERROR(G1637*E1626,"")</f>
        <v/>
      </c>
    </row>
    <row r="1638" spans="1:10" ht="12.75" customHeight="1">
      <c r="A1638" s="21"/>
      <c r="B1638" s="22" t="s">
        <v>2533</v>
      </c>
      <c r="C1638" s="23"/>
      <c r="D1638" s="24"/>
      <c r="E1638" s="25"/>
      <c r="F1638" s="26"/>
      <c r="G1638" s="27">
        <f>SUM(G1639:G1640)</f>
        <v>0</v>
      </c>
      <c r="H1638" s="44">
        <f>G1638*E1626</f>
        <v>0</v>
      </c>
    </row>
    <row r="1639" spans="1:10" ht="12.75" customHeight="1">
      <c r="A1639" s="28"/>
      <c r="B1639" s="29"/>
      <c r="C1639" s="30" t="str">
        <f>IFERROR(_xlfn.XLOOKUP(B1639,Transporte[DESCRIPCION],Transporte[UND],,0),"")</f>
        <v/>
      </c>
      <c r="D1639" s="31"/>
      <c r="E1639" s="32" t="str">
        <f>IFERROR(_xlfn.XLOOKUP($B1639,Transporte[DESCRIPCION],Transporte[VALOR],,0),"")</f>
        <v/>
      </c>
      <c r="F1639" s="33"/>
      <c r="G1639" s="34" t="str">
        <f>IFERROR(IF(F1639&gt;=0,D1639*E1639*(1+F1639/100),ABS(D1639*E1639/F1639)),"")</f>
        <v/>
      </c>
      <c r="H1639" s="43" t="str">
        <f>IFERROR(G1639*E1626,"")</f>
        <v/>
      </c>
    </row>
    <row r="1640" spans="1:10" ht="12.75" customHeight="1">
      <c r="A1640" s="28"/>
      <c r="B1640" s="29"/>
      <c r="C1640" s="30" t="str">
        <f>IFERROR(_xlfn.XLOOKUP(B1640,Transporte[DESCRIPCION],Transporte[UND],,0),"")</f>
        <v/>
      </c>
      <c r="D1640" s="31"/>
      <c r="E1640" s="32" t="str">
        <f>IFERROR(_xlfn.XLOOKUP($B1640,Transporte[DESCRIPCION],Transporte[VALOR],,0),"")</f>
        <v/>
      </c>
      <c r="F1640" s="33"/>
      <c r="G1640" s="34" t="str">
        <f>IFERROR(IF(F1640&gt;=0,D1640*E1640*(1+F1640/100),ABS(D1640*E1640/F1640)),"")</f>
        <v/>
      </c>
      <c r="H1640" s="43" t="str">
        <f>IFERROR(G1640*E1626,"")</f>
        <v/>
      </c>
    </row>
    <row r="1641" spans="1:10" ht="12.75" customHeight="1">
      <c r="A1641" s="21"/>
      <c r="B1641" s="22" t="s">
        <v>3732</v>
      </c>
      <c r="C1641" s="23"/>
      <c r="D1641" s="24"/>
      <c r="E1641" s="25"/>
      <c r="F1641" s="26"/>
      <c r="G1641" s="27">
        <f>SUM(G1642:G1644)</f>
        <v>39589.946409000011</v>
      </c>
      <c r="H1641" s="44">
        <f>G1641*E1626</f>
        <v>0</v>
      </c>
    </row>
    <row r="1642" spans="1:10" ht="12.75" customHeight="1">
      <c r="A1642" s="28"/>
      <c r="B1642" s="29" t="s">
        <v>3705</v>
      </c>
      <c r="C1642" s="30" t="str">
        <f>IFERROR(_xlfn.XLOOKUP(B1642,MObra[DESCRIPCION],MObra[UN],,0),"")</f>
        <v>día</v>
      </c>
      <c r="D1642" s="31">
        <v>1</v>
      </c>
      <c r="E1642" s="32">
        <f>IFERROR(_xlfn.XLOOKUP($B1642,MObra[DESCRIPCION],MObra[VALOR UNIT],,0),"")</f>
        <v>197949.73204500004</v>
      </c>
      <c r="F1642" s="33">
        <v>-5</v>
      </c>
      <c r="G1642" s="34">
        <f>IFERROR(IF(F1642&gt;=0,D1642*E1642*(1+F1642/100),ABS(D1642*E1642/F1642)),"")</f>
        <v>39589.946409000011</v>
      </c>
      <c r="H1642" s="43">
        <f>IFERROR(G1642*E1626,"")</f>
        <v>0</v>
      </c>
    </row>
    <row r="1643" spans="1:10" ht="12.75" customHeight="1">
      <c r="A1643" s="28"/>
      <c r="B1643" s="29"/>
      <c r="C1643" s="30" t="str">
        <f t="array" ref="C1643">IFERROR(_xlfn.XLOOKUP(B1643,MObra[[#All],[DESCRIPCION]],MObra[[#All],[UN]],,0),"")</f>
        <v/>
      </c>
      <c r="D1643" s="31"/>
      <c r="E1643" s="32" t="str">
        <f>IFERROR(_xlfn.XLOOKUP($B1643,MObra[DESCRIPCION],MObra[VALOR UNIT],,0),"")</f>
        <v/>
      </c>
      <c r="F1643" s="33"/>
      <c r="G1643" s="34" t="str">
        <f>IFERROR(IF(F1643&gt;=0,D1643*E1643*(1+F1643/100),ABS(D1643*E1643/F1643)),"")</f>
        <v/>
      </c>
      <c r="H1643" s="43" t="str">
        <f>IFERROR(G1643*E1626,"")</f>
        <v/>
      </c>
    </row>
    <row r="1644" spans="1:10" ht="12.75" customHeight="1" thickBot="1">
      <c r="A1644" s="35"/>
      <c r="B1644" s="36"/>
      <c r="C1644" s="37" t="str">
        <f t="array" ref="C1644">IFERROR(_xlfn.XLOOKUP(B1644,MObra[[#All],[DESCRIPCION]],MObra[[#All],[UN]],,0),"")</f>
        <v/>
      </c>
      <c r="D1644" s="38"/>
      <c r="E1644" s="39" t="str">
        <f>IFERROR(_xlfn.XLOOKUP($B1644,MObra[DESCRIPCION],MObra[VALOR UNIT],,0),"")</f>
        <v/>
      </c>
      <c r="F1644" s="40"/>
      <c r="G1644" s="41" t="str">
        <f>IFERROR(IF(F1644&gt;=0,D1644*E1644*(1+F1644/100),ABS(D1644*E1644/F1644)),"")</f>
        <v/>
      </c>
      <c r="H1644" s="42" t="str">
        <f>IFERROR(G1644*E1626,"")</f>
        <v/>
      </c>
    </row>
    <row r="1645" spans="1:10" ht="12.75" customHeight="1" thickTop="1" thickBot="1">
      <c r="E1645" s="49"/>
      <c r="G1645" s="3"/>
    </row>
    <row r="1646" spans="1:10" ht="12.75" customHeight="1" thickTop="1" thickBot="1">
      <c r="A1646" s="6" t="s">
        <v>184</v>
      </c>
      <c r="B1646" s="7" t="str">
        <f>VLOOKUP($A1646,Presupuesto!$A:$D,2,FALSE())</f>
        <v>Desmonte kioscos y enramadas</v>
      </c>
      <c r="C1646" s="8" t="str">
        <f>VLOOKUP($A1646,Presupuesto!$A:$D,3,FALSE())</f>
        <v>M2</v>
      </c>
      <c r="D1646" s="9"/>
      <c r="E1646" s="10">
        <f>VLOOKUP($A1646,Presupuesto!$A:$D,4,FALSE())</f>
        <v>0</v>
      </c>
      <c r="F1646" s="11" t="s">
        <v>2589</v>
      </c>
      <c r="G1646" s="12">
        <f>SUM(G1648:G1664)/2</f>
        <v>29826.366978427508</v>
      </c>
      <c r="H1646" s="13">
        <f>ROUND(SUM(H1648:H1664),0)/2</f>
        <v>0</v>
      </c>
      <c r="I1646" s="10">
        <f>VLOOKUP(A1646,Presupuesto!$A:$F,6,0)</f>
        <v>0</v>
      </c>
      <c r="J1646" s="10">
        <f>+H1646-I1646</f>
        <v>0</v>
      </c>
    </row>
    <row r="1647" spans="1:10" ht="12.75" customHeight="1" thickTop="1">
      <c r="A1647" s="14"/>
      <c r="B1647" s="15" t="s">
        <v>2586</v>
      </c>
      <c r="C1647" s="15" t="s">
        <v>5</v>
      </c>
      <c r="D1647" s="16" t="s">
        <v>6</v>
      </c>
      <c r="E1647" s="17" t="s">
        <v>7</v>
      </c>
      <c r="F1647" s="18" t="s">
        <v>3728</v>
      </c>
      <c r="G1647" s="19" t="s">
        <v>3729</v>
      </c>
      <c r="H1647" s="20" t="s">
        <v>3797</v>
      </c>
    </row>
    <row r="1648" spans="1:10" ht="12.75" customHeight="1">
      <c r="A1648" s="21"/>
      <c r="B1648" s="22" t="s">
        <v>3730</v>
      </c>
      <c r="C1648" s="23"/>
      <c r="D1648" s="24"/>
      <c r="E1648" s="25"/>
      <c r="F1648" s="26"/>
      <c r="G1648" s="27">
        <f>SUM(G1649:G1653)</f>
        <v>0</v>
      </c>
      <c r="H1648" s="27">
        <f>IFERROR(G1648*E1646,"")</f>
        <v>0</v>
      </c>
    </row>
    <row r="1649" spans="1:8" ht="12.75" customHeight="1">
      <c r="A1649" s="28"/>
      <c r="B1649" s="29"/>
      <c r="C1649" s="30" t="str">
        <f>IFERROR(_xlfn.XLOOKUP(B1649,Insumo[DESCRIPCION],Insumo[UND],,0),"")</f>
        <v/>
      </c>
      <c r="D1649" s="31"/>
      <c r="E1649" s="32" t="str">
        <f>IFERROR(_xlfn.XLOOKUP($B1649,Insumo[DESCRIPCION],Insumo[VALOR],,0),"")</f>
        <v/>
      </c>
      <c r="F1649" s="33"/>
      <c r="G1649" s="34" t="str">
        <f>IFERROR(IF(F1649&gt;=0,D1649*E1649*(1+F1649/100),ABS(D1649*E1649/F1649)),"")</f>
        <v/>
      </c>
      <c r="H1649" s="43" t="str">
        <f>IFERROR(G1649*E1646,"")</f>
        <v/>
      </c>
    </row>
    <row r="1650" spans="1:8" ht="12.75" customHeight="1">
      <c r="A1650" s="28"/>
      <c r="B1650" s="29"/>
      <c r="C1650" s="30" t="str">
        <f>IFERROR(_xlfn.XLOOKUP(B1650,Insumo[DESCRIPCION],Insumo[UND],,0),"")</f>
        <v/>
      </c>
      <c r="D1650" s="31"/>
      <c r="E1650" s="32" t="str">
        <f>IFERROR(_xlfn.XLOOKUP($B1650,Insumo[DESCRIPCION],Insumo[VALOR],,0),"")</f>
        <v/>
      </c>
      <c r="F1650" s="33"/>
      <c r="G1650" s="34" t="str">
        <f>IFERROR(IF(F1650&gt;=0,D1650*E1650*(1+F1650/100),ABS(D1650*E1650/F1650)),"")</f>
        <v/>
      </c>
      <c r="H1650" s="43" t="str">
        <f>IFERROR(G1650*E1646,"")</f>
        <v/>
      </c>
    </row>
    <row r="1651" spans="1:8" ht="12.75" customHeight="1">
      <c r="A1651" s="28"/>
      <c r="B1651" s="29"/>
      <c r="C1651" s="30" t="str">
        <f>IFERROR(_xlfn.XLOOKUP(B1651,Insumo[DESCRIPCION],Insumo[UND],,0),"")</f>
        <v/>
      </c>
      <c r="D1651" s="31"/>
      <c r="E1651" s="32" t="str">
        <f>IFERROR(_xlfn.XLOOKUP($B1651,Insumo[DESCRIPCION],Insumo[VALOR],,0),"")</f>
        <v/>
      </c>
      <c r="F1651" s="33"/>
      <c r="G1651" s="34" t="str">
        <f>IFERROR(IF(F1651&gt;=0,D1651*E1651*(1+F1651/100),ABS(D1651*E1651/F1651)),"")</f>
        <v/>
      </c>
      <c r="H1651" s="43" t="str">
        <f>IFERROR(G1651*E1646,"")</f>
        <v/>
      </c>
    </row>
    <row r="1652" spans="1:8" ht="12.75" customHeight="1">
      <c r="A1652" s="28"/>
      <c r="B1652" s="29"/>
      <c r="C1652" s="30" t="str">
        <f>IFERROR(_xlfn.XLOOKUP(B1652,Insumo[DESCRIPCION],Insumo[UND],,0),"")</f>
        <v/>
      </c>
      <c r="D1652" s="31"/>
      <c r="E1652" s="32" t="str">
        <f>IFERROR(_xlfn.XLOOKUP($B1652,Insumo[DESCRIPCION],Insumo[VALOR],,0),"")</f>
        <v/>
      </c>
      <c r="F1652" s="33"/>
      <c r="G1652" s="34" t="str">
        <f>IFERROR(IF(F1652&gt;=0,D1652*E1652*(1+F1652/100),ABS(D1652*E1652/F1652)),"")</f>
        <v/>
      </c>
      <c r="H1652" s="43" t="str">
        <f>IFERROR(G1652*E1646,"")</f>
        <v/>
      </c>
    </row>
    <row r="1653" spans="1:8" ht="12.75" customHeight="1">
      <c r="A1653" s="28"/>
      <c r="B1653" s="29"/>
      <c r="C1653" s="30" t="str">
        <f>IFERROR(_xlfn.XLOOKUP(B1653,Insumo[DESCRIPCION],Insumo[UND],,0),"")</f>
        <v/>
      </c>
      <c r="D1653" s="31"/>
      <c r="E1653" s="32" t="str">
        <f>IFERROR(_xlfn.XLOOKUP($B1653,Insumo[DESCRIPCION],Insumo[VALOR],,0),"")</f>
        <v/>
      </c>
      <c r="F1653" s="33"/>
      <c r="G1653" s="34" t="str">
        <f>IFERROR(IF(F1653&gt;=0,D1653*E1653*(1+F1653/100),ABS(D1653*E1653/F1653)),"")</f>
        <v/>
      </c>
      <c r="H1653" s="43" t="str">
        <f>IFERROR(G1653*E1646,"")</f>
        <v/>
      </c>
    </row>
    <row r="1654" spans="1:8" ht="12.75" customHeight="1">
      <c r="A1654" s="21"/>
      <c r="B1654" s="22" t="s">
        <v>3731</v>
      </c>
      <c r="C1654" s="23"/>
      <c r="D1654" s="24"/>
      <c r="E1654" s="25"/>
      <c r="F1654" s="26"/>
      <c r="G1654" s="27">
        <f>SUM(G1655:G1657)</f>
        <v>2462.7275486775006</v>
      </c>
      <c r="H1654" s="44">
        <f>G1654*E1646</f>
        <v>0</v>
      </c>
    </row>
    <row r="1655" spans="1:8" ht="12.75" customHeight="1">
      <c r="A1655" s="28"/>
      <c r="B1655" s="29" t="s">
        <v>3570</v>
      </c>
      <c r="C1655" s="30" t="str">
        <f>IFERROR(_xlfn.XLOOKUP(B1655,Equipo[DESCRIPCION],Equipo[UND],,0),"")</f>
        <v>%MO</v>
      </c>
      <c r="D1655" s="31">
        <v>0.04</v>
      </c>
      <c r="E1655" s="32">
        <f>IF(C1655="%MO",G1661,IFERROR(_xlfn.XLOOKUP($B1655,Equipo[DESCRIPCION],Equipo[VALOR],,0),""))</f>
        <v>27363.639429750008</v>
      </c>
      <c r="F1655" s="33"/>
      <c r="G1655" s="34">
        <f>IFERROR(IF(F1655&gt;=0,D1655*E1655*(1+F1655/100),ABS(D1655*E1655/F1655)),"")</f>
        <v>1094.5455771900004</v>
      </c>
      <c r="H1655" s="43">
        <f>IFERROR(G1655*E1646,"")</f>
        <v>0</v>
      </c>
    </row>
    <row r="1656" spans="1:8" ht="12.75" customHeight="1">
      <c r="A1656" s="28"/>
      <c r="B1656" s="29" t="s">
        <v>3626</v>
      </c>
      <c r="C1656" s="30" t="str">
        <f>IFERROR(_xlfn.XLOOKUP(B1656,Equipo[DESCRIPCION],Equipo[UND],,0),"")</f>
        <v>%MO</v>
      </c>
      <c r="D1656" s="31">
        <v>0.05</v>
      </c>
      <c r="E1656" s="32">
        <f>IF(C1656="%MO",G1661,IFERROR(_xlfn.XLOOKUP($B1656,Equipo[DESCRIPCION],Equipo[VALOR],,0),""))</f>
        <v>27363.639429750008</v>
      </c>
      <c r="F1656" s="33"/>
      <c r="G1656" s="34">
        <f>IFERROR(IF(F1656&gt;=0,D1656*E1656*(1+F1656/100),ABS(D1656*E1656/F1656)),"")</f>
        <v>1368.1819714875005</v>
      </c>
      <c r="H1656" s="43">
        <f>IFERROR(G1656*E1646,"")</f>
        <v>0</v>
      </c>
    </row>
    <row r="1657" spans="1:8" ht="12.75" customHeight="1">
      <c r="A1657" s="28"/>
      <c r="B1657" s="29"/>
      <c r="C1657" s="30" t="str">
        <f>IFERROR(_xlfn.XLOOKUP(B1657,Equipo[DESCRIPCION],Equipo[UND],,0),"")</f>
        <v/>
      </c>
      <c r="D1657" s="31"/>
      <c r="E1657" s="32" t="str">
        <f>IF(C1657="%MO",G1661,IFERROR(_xlfn.XLOOKUP($B1657,Equipo[DESCRIPCION],Equipo[VALOR],,0),""))</f>
        <v/>
      </c>
      <c r="F1657" s="33"/>
      <c r="G1657" s="34" t="str">
        <f>IFERROR(IF(F1657&gt;=0,D1657*E1657*(1+F1657/100),ABS(D1657*E1657/F1657)),"")</f>
        <v/>
      </c>
      <c r="H1657" s="43" t="str">
        <f>IFERROR(G1657*E1646,"")</f>
        <v/>
      </c>
    </row>
    <row r="1658" spans="1:8" ht="12.75" customHeight="1">
      <c r="A1658" s="21"/>
      <c r="B1658" s="22" t="s">
        <v>2533</v>
      </c>
      <c r="C1658" s="23"/>
      <c r="D1658" s="24"/>
      <c r="E1658" s="25"/>
      <c r="F1658" s="26"/>
      <c r="G1658" s="27">
        <f>SUM(G1659:G1660)</f>
        <v>0</v>
      </c>
      <c r="H1658" s="44">
        <f>G1658*E1646</f>
        <v>0</v>
      </c>
    </row>
    <row r="1659" spans="1:8" ht="12.75" customHeight="1">
      <c r="A1659" s="28"/>
      <c r="B1659" s="29"/>
      <c r="C1659" s="30" t="str">
        <f>IFERROR(_xlfn.XLOOKUP(B1659,Transporte[DESCRIPCION],Transporte[UND],,0),"")</f>
        <v/>
      </c>
      <c r="D1659" s="31"/>
      <c r="E1659" s="32" t="str">
        <f>IFERROR(_xlfn.XLOOKUP($B1659,Transporte[DESCRIPCION],Transporte[VALOR],,0),"")</f>
        <v/>
      </c>
      <c r="F1659" s="33"/>
      <c r="G1659" s="34" t="str">
        <f>IFERROR(IF(F1659&gt;=0,D1659*E1659*(1+F1659/100),ABS(D1659*E1659/F1659)),"")</f>
        <v/>
      </c>
      <c r="H1659" s="43" t="str">
        <f>IFERROR(G1659*E1646,"")</f>
        <v/>
      </c>
    </row>
    <row r="1660" spans="1:8" ht="12.75" customHeight="1">
      <c r="A1660" s="28"/>
      <c r="B1660" s="29"/>
      <c r="C1660" s="30" t="str">
        <f>IFERROR(_xlfn.XLOOKUP(B1660,Transporte[DESCRIPCION],Transporte[UND],,0),"")</f>
        <v/>
      </c>
      <c r="D1660" s="31"/>
      <c r="E1660" s="32" t="str">
        <f>IFERROR(_xlfn.XLOOKUP($B1660,Transporte[DESCRIPCION],Transporte[VALOR],,0),"")</f>
        <v/>
      </c>
      <c r="F1660" s="33"/>
      <c r="G1660" s="34" t="str">
        <f>IFERROR(IF(F1660&gt;=0,D1660*E1660*(1+F1660/100),ABS(D1660*E1660/F1660)),"")</f>
        <v/>
      </c>
      <c r="H1660" s="43" t="str">
        <f>IFERROR(G1660*E1646,"")</f>
        <v/>
      </c>
    </row>
    <row r="1661" spans="1:8" ht="12.75" customHeight="1">
      <c r="A1661" s="21"/>
      <c r="B1661" s="22" t="s">
        <v>3732</v>
      </c>
      <c r="C1661" s="23"/>
      <c r="D1661" s="24"/>
      <c r="E1661" s="25"/>
      <c r="F1661" s="26"/>
      <c r="G1661" s="27">
        <f>SUM(G1662:G1664)</f>
        <v>27363.639429750008</v>
      </c>
      <c r="H1661" s="44">
        <f>G1661*E1646</f>
        <v>0</v>
      </c>
    </row>
    <row r="1662" spans="1:8" ht="12.75" customHeight="1">
      <c r="A1662" s="28"/>
      <c r="B1662" s="29" t="s">
        <v>3712</v>
      </c>
      <c r="C1662" s="30" t="str">
        <f>IFERROR(_xlfn.XLOOKUP(B1662,MObra[DESCRIPCION],MObra[UN],,0),"")</f>
        <v>día</v>
      </c>
      <c r="D1662" s="31">
        <v>1</v>
      </c>
      <c r="E1662" s="32">
        <f>IFERROR(_xlfn.XLOOKUP($B1662,MObra[DESCRIPCION],MObra[VALOR UNIT],,0),"")</f>
        <v>547272.78859500017</v>
      </c>
      <c r="F1662" s="33">
        <v>-20</v>
      </c>
      <c r="G1662" s="34">
        <f>IFERROR(IF(F1662&gt;=0,D1662*E1662*(1+F1662/100),ABS(D1662*E1662/F1662)),"")</f>
        <v>27363.639429750008</v>
      </c>
      <c r="H1662" s="43">
        <f>IFERROR(G1662*E1646,"")</f>
        <v>0</v>
      </c>
    </row>
    <row r="1663" spans="1:8" ht="12.75" customHeight="1">
      <c r="A1663" s="28"/>
      <c r="B1663" s="29"/>
      <c r="C1663" s="30" t="str">
        <f t="array" ref="C1663">IFERROR(_xlfn.XLOOKUP(B1663,MObra[[#All],[DESCRIPCION]],MObra[[#All],[UN]],,0),"")</f>
        <v/>
      </c>
      <c r="D1663" s="31"/>
      <c r="E1663" s="32" t="str">
        <f>IFERROR(_xlfn.XLOOKUP($B1663,MObra[DESCRIPCION],MObra[VALOR UNIT],,0),"")</f>
        <v/>
      </c>
      <c r="F1663" s="33"/>
      <c r="G1663" s="34" t="str">
        <f>IFERROR(IF(F1663&gt;=0,D1663*E1663*(1+F1663/100),ABS(D1663*E1663/F1663)),"")</f>
        <v/>
      </c>
      <c r="H1663" s="43" t="str">
        <f>IFERROR(G1663*E1646,"")</f>
        <v/>
      </c>
    </row>
    <row r="1664" spans="1:8" ht="12.75" customHeight="1" thickBot="1">
      <c r="A1664" s="35"/>
      <c r="B1664" s="36"/>
      <c r="C1664" s="37" t="str">
        <f t="array" ref="C1664">IFERROR(_xlfn.XLOOKUP(B1664,MObra[[#All],[DESCRIPCION]],MObra[[#All],[UN]],,0),"")</f>
        <v/>
      </c>
      <c r="D1664" s="38"/>
      <c r="E1664" s="39" t="str">
        <f>IFERROR(_xlfn.XLOOKUP($B1664,MObra[DESCRIPCION],MObra[VALOR UNIT],,0),"")</f>
        <v/>
      </c>
      <c r="F1664" s="40"/>
      <c r="G1664" s="41" t="str">
        <f>IFERROR(IF(F1664&gt;=0,D1664*E1664*(1+F1664/100),ABS(D1664*E1664/F1664)),"")</f>
        <v/>
      </c>
      <c r="H1664" s="42" t="str">
        <f>IFERROR(G1664*E1646,"")</f>
        <v/>
      </c>
    </row>
    <row r="1665" spans="1:10" ht="12.75" customHeight="1" thickTop="1" thickBot="1">
      <c r="E1665" s="49"/>
      <c r="G1665" s="3"/>
    </row>
    <row r="1666" spans="1:10" ht="12.75" customHeight="1" thickTop="1" thickBot="1">
      <c r="A1666" s="6" t="s">
        <v>186</v>
      </c>
      <c r="B1666" s="7" t="str">
        <f>VLOOKUP($A1666,Presupuesto!$A:$D,2,FALSE())</f>
        <v>Desmonte luminaria ornamental exterior</v>
      </c>
      <c r="C1666" s="8" t="str">
        <f>VLOOKUP($A1666,Presupuesto!$A:$D,3,FALSE())</f>
        <v>Un</v>
      </c>
      <c r="D1666" s="9"/>
      <c r="E1666" s="10">
        <f>VLOOKUP($A1666,Presupuesto!$A:$D,4,FALSE())</f>
        <v>0</v>
      </c>
      <c r="F1666" s="11" t="s">
        <v>2589</v>
      </c>
      <c r="G1666" s="12">
        <f>SUM(G1668:G1684)/2</f>
        <v>24941.666237670004</v>
      </c>
      <c r="H1666" s="13">
        <f>ROUND(SUM(H1668:H1684),0)/2</f>
        <v>0</v>
      </c>
      <c r="I1666" s="10">
        <f>VLOOKUP(A1666,Presupuesto!$A:$F,6,0)</f>
        <v>0</v>
      </c>
      <c r="J1666" s="10">
        <f>+H1666-I1666</f>
        <v>0</v>
      </c>
    </row>
    <row r="1667" spans="1:10" ht="12.75" customHeight="1" thickTop="1">
      <c r="A1667" s="14"/>
      <c r="B1667" s="15" t="s">
        <v>2586</v>
      </c>
      <c r="C1667" s="15" t="s">
        <v>5</v>
      </c>
      <c r="D1667" s="16" t="s">
        <v>6</v>
      </c>
      <c r="E1667" s="17" t="s">
        <v>7</v>
      </c>
      <c r="F1667" s="18" t="s">
        <v>3728</v>
      </c>
      <c r="G1667" s="19" t="s">
        <v>3729</v>
      </c>
      <c r="H1667" s="20" t="s">
        <v>3797</v>
      </c>
    </row>
    <row r="1668" spans="1:10" ht="12.75" customHeight="1">
      <c r="A1668" s="21"/>
      <c r="B1668" s="22" t="s">
        <v>3730</v>
      </c>
      <c r="C1668" s="23"/>
      <c r="D1668" s="24"/>
      <c r="E1668" s="25"/>
      <c r="F1668" s="26"/>
      <c r="G1668" s="27">
        <f>SUM(G1669:G1673)</f>
        <v>0</v>
      </c>
      <c r="H1668" s="27">
        <f>IFERROR(G1668*E1666,"")</f>
        <v>0</v>
      </c>
    </row>
    <row r="1669" spans="1:10" ht="12.75" customHeight="1">
      <c r="A1669" s="28"/>
      <c r="B1669" s="29"/>
      <c r="C1669" s="30" t="str">
        <f>IFERROR(_xlfn.XLOOKUP(B1669,Insumo[DESCRIPCION],Insumo[UND],,0),"")</f>
        <v/>
      </c>
      <c r="D1669" s="31"/>
      <c r="E1669" s="32" t="str">
        <f>IFERROR(_xlfn.XLOOKUP($B1669,Insumo[DESCRIPCION],Insumo[VALOR],,0),"")</f>
        <v/>
      </c>
      <c r="F1669" s="33"/>
      <c r="G1669" s="34" t="str">
        <f>IFERROR(IF(F1669&gt;=0,D1669*E1669*(1+F1669/100),ABS(D1669*E1669/F1669)),"")</f>
        <v/>
      </c>
      <c r="H1669" s="43" t="str">
        <f>IFERROR(G1669*E1666,"")</f>
        <v/>
      </c>
    </row>
    <row r="1670" spans="1:10" ht="12.75" customHeight="1">
      <c r="A1670" s="28"/>
      <c r="B1670" s="29"/>
      <c r="C1670" s="30" t="str">
        <f>IFERROR(_xlfn.XLOOKUP(B1670,Insumo[DESCRIPCION],Insumo[UND],,0),"")</f>
        <v/>
      </c>
      <c r="D1670" s="31"/>
      <c r="E1670" s="32" t="str">
        <f>IFERROR(_xlfn.XLOOKUP($B1670,Insumo[DESCRIPCION],Insumo[VALOR],,0),"")</f>
        <v/>
      </c>
      <c r="F1670" s="33"/>
      <c r="G1670" s="34" t="str">
        <f>IFERROR(IF(F1670&gt;=0,D1670*E1670*(1+F1670/100),ABS(D1670*E1670/F1670)),"")</f>
        <v/>
      </c>
      <c r="H1670" s="43" t="str">
        <f>IFERROR(G1670*E1666,"")</f>
        <v/>
      </c>
    </row>
    <row r="1671" spans="1:10" ht="12.75" customHeight="1">
      <c r="A1671" s="28"/>
      <c r="B1671" s="29"/>
      <c r="C1671" s="30" t="str">
        <f>IFERROR(_xlfn.XLOOKUP(B1671,Insumo[DESCRIPCION],Insumo[UND],,0),"")</f>
        <v/>
      </c>
      <c r="D1671" s="31"/>
      <c r="E1671" s="32" t="str">
        <f>IFERROR(_xlfn.XLOOKUP($B1671,Insumo[DESCRIPCION],Insumo[VALOR],,0),"")</f>
        <v/>
      </c>
      <c r="F1671" s="33"/>
      <c r="G1671" s="34" t="str">
        <f>IFERROR(IF(F1671&gt;=0,D1671*E1671*(1+F1671/100),ABS(D1671*E1671/F1671)),"")</f>
        <v/>
      </c>
      <c r="H1671" s="43" t="str">
        <f>IFERROR(G1671*E1666,"")</f>
        <v/>
      </c>
    </row>
    <row r="1672" spans="1:10" ht="12.75" customHeight="1">
      <c r="A1672" s="28"/>
      <c r="B1672" s="29"/>
      <c r="C1672" s="30" t="str">
        <f>IFERROR(_xlfn.XLOOKUP(B1672,Insumo[DESCRIPCION],Insumo[UND],,0),"")</f>
        <v/>
      </c>
      <c r="D1672" s="31"/>
      <c r="E1672" s="32" t="str">
        <f>IFERROR(_xlfn.XLOOKUP($B1672,Insumo[DESCRIPCION],Insumo[VALOR],,0),"")</f>
        <v/>
      </c>
      <c r="F1672" s="33"/>
      <c r="G1672" s="34" t="str">
        <f>IFERROR(IF(F1672&gt;=0,D1672*E1672*(1+F1672/100),ABS(D1672*E1672/F1672)),"")</f>
        <v/>
      </c>
      <c r="H1672" s="43" t="str">
        <f>IFERROR(G1672*E1666,"")</f>
        <v/>
      </c>
    </row>
    <row r="1673" spans="1:10" ht="12.75" customHeight="1">
      <c r="A1673" s="28"/>
      <c r="B1673" s="29"/>
      <c r="C1673" s="30" t="str">
        <f>IFERROR(_xlfn.XLOOKUP(B1673,Insumo[DESCRIPCION],Insumo[UND],,0),"")</f>
        <v/>
      </c>
      <c r="D1673" s="31"/>
      <c r="E1673" s="32" t="str">
        <f>IFERROR(_xlfn.XLOOKUP($B1673,Insumo[DESCRIPCION],Insumo[VALOR],,0),"")</f>
        <v/>
      </c>
      <c r="F1673" s="33"/>
      <c r="G1673" s="34" t="str">
        <f>IFERROR(IF(F1673&gt;=0,D1673*E1673*(1+F1673/100),ABS(D1673*E1673/F1673)),"")</f>
        <v/>
      </c>
      <c r="H1673" s="43" t="str">
        <f>IFERROR(G1673*E1666,"")</f>
        <v/>
      </c>
    </row>
    <row r="1674" spans="1:10" ht="12.75" customHeight="1">
      <c r="A1674" s="21"/>
      <c r="B1674" s="22" t="s">
        <v>3731</v>
      </c>
      <c r="C1674" s="23"/>
      <c r="D1674" s="24"/>
      <c r="E1674" s="25"/>
      <c r="F1674" s="26"/>
      <c r="G1674" s="27">
        <f>SUM(G1675:G1677)</f>
        <v>3982.2828446700005</v>
      </c>
      <c r="H1674" s="44">
        <f>G1674*E1666</f>
        <v>0</v>
      </c>
    </row>
    <row r="1675" spans="1:10" ht="12.75" customHeight="1">
      <c r="A1675" s="28"/>
      <c r="B1675" s="29" t="s">
        <v>3573</v>
      </c>
      <c r="C1675" s="30" t="str">
        <f>IFERROR(_xlfn.XLOOKUP(B1675,Equipo[DESCRIPCION],Equipo[UND],,0),"")</f>
        <v>%MO</v>
      </c>
      <c r="D1675" s="142">
        <v>0.1</v>
      </c>
      <c r="E1675" s="32">
        <f>IF(C1675="%MO",G1681,IFERROR(_xlfn.XLOOKUP($B1675,Equipo[DESCRIPCION],Equipo[VALOR],,0),""))</f>
        <v>20959.383393000004</v>
      </c>
      <c r="F1675" s="33"/>
      <c r="G1675" s="34">
        <f>IFERROR(IF(F1675&gt;=0,D1675*E1675*(1+F1675/100),ABS(D1675*E1675/F1675)),"")</f>
        <v>2095.9383393000003</v>
      </c>
      <c r="H1675" s="43">
        <f>IFERROR(G1675*E1666,"")</f>
        <v>0</v>
      </c>
    </row>
    <row r="1676" spans="1:10" ht="12.75" customHeight="1">
      <c r="A1676" s="28"/>
      <c r="B1676" s="29" t="s">
        <v>3570</v>
      </c>
      <c r="C1676" s="30" t="str">
        <f>IFERROR(_xlfn.XLOOKUP(B1676,Equipo[DESCRIPCION],Equipo[UND],,0),"")</f>
        <v>%MO</v>
      </c>
      <c r="D1676" s="31">
        <v>0.04</v>
      </c>
      <c r="E1676" s="32">
        <f>IF(C1676="%MO",G1681,IFERROR(_xlfn.XLOOKUP($B1676,Equipo[DESCRIPCION],Equipo[VALOR],,0),""))</f>
        <v>20959.383393000004</v>
      </c>
      <c r="F1676" s="33"/>
      <c r="G1676" s="34">
        <f>IFERROR(IF(F1676&gt;=0,D1676*E1676*(1+F1676/100),ABS(D1676*E1676/F1676)),"")</f>
        <v>838.37533572000018</v>
      </c>
      <c r="H1676" s="43">
        <f>IFERROR(G1676*E1666,"")</f>
        <v>0</v>
      </c>
    </row>
    <row r="1677" spans="1:10" ht="12.75" customHeight="1">
      <c r="A1677" s="28"/>
      <c r="B1677" s="29" t="s">
        <v>3626</v>
      </c>
      <c r="C1677" s="30" t="str">
        <f>IFERROR(_xlfn.XLOOKUP(B1677,Equipo[DESCRIPCION],Equipo[UND],,0),"")</f>
        <v>%MO</v>
      </c>
      <c r="D1677" s="31">
        <v>0.05</v>
      </c>
      <c r="E1677" s="32">
        <f>IF(C1677="%MO",G1681,IFERROR(_xlfn.XLOOKUP($B1677,Equipo[DESCRIPCION],Equipo[VALOR],,0),""))</f>
        <v>20959.383393000004</v>
      </c>
      <c r="F1677" s="33"/>
      <c r="G1677" s="34">
        <f>IFERROR(IF(F1677&gt;=0,D1677*E1677*(1+F1677/100),ABS(D1677*E1677/F1677)),"")</f>
        <v>1047.9691696500001</v>
      </c>
      <c r="H1677" s="43">
        <f>IFERROR(G1677*E1666,"")</f>
        <v>0</v>
      </c>
    </row>
    <row r="1678" spans="1:10" ht="12.75" customHeight="1">
      <c r="A1678" s="21"/>
      <c r="B1678" s="22" t="s">
        <v>2533</v>
      </c>
      <c r="C1678" s="23"/>
      <c r="D1678" s="24"/>
      <c r="E1678" s="25"/>
      <c r="F1678" s="26"/>
      <c r="G1678" s="27">
        <f>SUM(G1679:G1680)</f>
        <v>0</v>
      </c>
      <c r="H1678" s="44">
        <f>G1678*E1666</f>
        <v>0</v>
      </c>
    </row>
    <row r="1679" spans="1:10" ht="12.75" customHeight="1">
      <c r="A1679" s="28"/>
      <c r="B1679" s="29"/>
      <c r="C1679" s="30" t="str">
        <f>IFERROR(_xlfn.XLOOKUP(B1679,Transporte[DESCRIPCION],Transporte[UND],,0),"")</f>
        <v/>
      </c>
      <c r="D1679" s="31"/>
      <c r="E1679" s="32" t="str">
        <f>IFERROR(_xlfn.XLOOKUP($B1679,Transporte[DESCRIPCION],Transporte[VALOR],,0),"")</f>
        <v/>
      </c>
      <c r="F1679" s="33"/>
      <c r="G1679" s="34" t="str">
        <f>IFERROR(IF(F1679&gt;=0,D1679*E1679*(1+F1679/100),ABS(D1679*E1679/F1679)),"")</f>
        <v/>
      </c>
      <c r="H1679" s="43" t="str">
        <f>IFERROR(G1679*E1666,"")</f>
        <v/>
      </c>
    </row>
    <row r="1680" spans="1:10" ht="12.75" customHeight="1">
      <c r="A1680" s="28"/>
      <c r="B1680" s="29"/>
      <c r="C1680" s="30" t="str">
        <f>IFERROR(_xlfn.XLOOKUP(B1680,Transporte[DESCRIPCION],Transporte[UND],,0),"")</f>
        <v/>
      </c>
      <c r="D1680" s="31"/>
      <c r="E1680" s="32" t="str">
        <f>IFERROR(_xlfn.XLOOKUP($B1680,Transporte[DESCRIPCION],Transporte[VALOR],,0),"")</f>
        <v/>
      </c>
      <c r="F1680" s="33"/>
      <c r="G1680" s="34" t="str">
        <f>IFERROR(IF(F1680&gt;=0,D1680*E1680*(1+F1680/100),ABS(D1680*E1680/F1680)),"")</f>
        <v/>
      </c>
      <c r="H1680" s="43" t="str">
        <f>IFERROR(G1680*E1666,"")</f>
        <v/>
      </c>
    </row>
    <row r="1681" spans="1:10" ht="12.75" customHeight="1">
      <c r="A1681" s="21"/>
      <c r="B1681" s="22" t="s">
        <v>3732</v>
      </c>
      <c r="C1681" s="23"/>
      <c r="D1681" s="24"/>
      <c r="E1681" s="25"/>
      <c r="F1681" s="26"/>
      <c r="G1681" s="27">
        <f>SUM(G1682:G1684)</f>
        <v>20959.383393000004</v>
      </c>
      <c r="H1681" s="44">
        <f>G1681*E1666</f>
        <v>0</v>
      </c>
    </row>
    <row r="1682" spans="1:10" ht="12.75" customHeight="1">
      <c r="A1682" s="28"/>
      <c r="B1682" s="29" t="s">
        <v>3706</v>
      </c>
      <c r="C1682" s="30" t="str">
        <f>IFERROR(_xlfn.XLOOKUP(B1682,MObra[DESCRIPCION],MObra[UN],,0),"")</f>
        <v>día</v>
      </c>
      <c r="D1682" s="31">
        <v>1</v>
      </c>
      <c r="E1682" s="32">
        <f>IFERROR(_xlfn.XLOOKUP($B1682,MObra[DESCRIPCION],MObra[VALOR UNIT],,0),"")</f>
        <v>209593.83393000005</v>
      </c>
      <c r="F1682" s="33">
        <v>-10</v>
      </c>
      <c r="G1682" s="34">
        <f>IFERROR(IF(F1682&gt;=0,D1682*E1682*(1+F1682/100),ABS(D1682*E1682/F1682)),"")</f>
        <v>20959.383393000004</v>
      </c>
      <c r="H1682" s="43">
        <f>IFERROR(G1682*E1666,"")</f>
        <v>0</v>
      </c>
    </row>
    <row r="1683" spans="1:10" ht="12.75" customHeight="1">
      <c r="A1683" s="28"/>
      <c r="B1683" s="29"/>
      <c r="C1683" s="30" t="str">
        <f t="array" ref="C1683">IFERROR(_xlfn.XLOOKUP(B1683,MObra[[#All],[DESCRIPCION]],MObra[[#All],[UN]],,0),"")</f>
        <v/>
      </c>
      <c r="D1683" s="31"/>
      <c r="E1683" s="32" t="str">
        <f>IFERROR(_xlfn.XLOOKUP($B1683,MObra[DESCRIPCION],MObra[VALOR UNIT],,0),"")</f>
        <v/>
      </c>
      <c r="F1683" s="33"/>
      <c r="G1683" s="34" t="str">
        <f>IFERROR(IF(F1683&gt;=0,D1683*E1683*(1+F1683/100),ABS(D1683*E1683/F1683)),"")</f>
        <v/>
      </c>
      <c r="H1683" s="43" t="str">
        <f>IFERROR(G1683*E1666,"")</f>
        <v/>
      </c>
    </row>
    <row r="1684" spans="1:10" ht="12.75" customHeight="1" thickBot="1">
      <c r="A1684" s="35"/>
      <c r="B1684" s="36"/>
      <c r="C1684" s="37" t="str">
        <f t="array" ref="C1684">IFERROR(_xlfn.XLOOKUP(B1684,MObra[[#All],[DESCRIPCION]],MObra[[#All],[UN]],,0),"")</f>
        <v/>
      </c>
      <c r="D1684" s="38"/>
      <c r="E1684" s="39" t="str">
        <f>IFERROR(_xlfn.XLOOKUP($B1684,MObra[DESCRIPCION],MObra[VALOR UNIT],,0),"")</f>
        <v/>
      </c>
      <c r="F1684" s="40"/>
      <c r="G1684" s="41" t="str">
        <f>IFERROR(IF(F1684&gt;=0,D1684*E1684*(1+F1684/100),ABS(D1684*E1684/F1684)),"")</f>
        <v/>
      </c>
      <c r="H1684" s="42" t="str">
        <f>IFERROR(G1684*E1666,"")</f>
        <v/>
      </c>
    </row>
    <row r="1685" spans="1:10" ht="12.75" customHeight="1" thickTop="1" thickBot="1">
      <c r="E1685" s="49"/>
      <c r="G1685" s="3"/>
    </row>
    <row r="1686" spans="1:10" ht="12.75" customHeight="1" thickTop="1" thickBot="1">
      <c r="A1686" s="6" t="s">
        <v>188</v>
      </c>
      <c r="B1686" s="7" t="str">
        <f>VLOOKUP($A1686,Presupuesto!$A:$D,2,FALSE())</f>
        <v>Desmonte malla eslabonada</v>
      </c>
      <c r="C1686" s="8" t="str">
        <f>VLOOKUP($A1686,Presupuesto!$A:$D,3,FALSE())</f>
        <v>M2</v>
      </c>
      <c r="D1686" s="9"/>
      <c r="E1686" s="10">
        <f>VLOOKUP($A1686,Presupuesto!$A:$D,4,FALSE())</f>
        <v>0</v>
      </c>
      <c r="F1686" s="11" t="s">
        <v>2589</v>
      </c>
      <c r="G1686" s="12">
        <f>SUM(G1688:G1704)/2</f>
        <v>8521.8191366935735</v>
      </c>
      <c r="H1686" s="13">
        <f>ROUND(SUM(H1688:H1704),0)/2</f>
        <v>0</v>
      </c>
      <c r="I1686" s="10">
        <f>VLOOKUP(A1686,Presupuesto!$A:$F,6,0)</f>
        <v>0</v>
      </c>
      <c r="J1686" s="10">
        <f>+H1686-I1686</f>
        <v>0</v>
      </c>
    </row>
    <row r="1687" spans="1:10" ht="12.75" customHeight="1" thickTop="1">
      <c r="A1687" s="14"/>
      <c r="B1687" s="15" t="s">
        <v>2586</v>
      </c>
      <c r="C1687" s="15" t="s">
        <v>5</v>
      </c>
      <c r="D1687" s="16" t="s">
        <v>6</v>
      </c>
      <c r="E1687" s="17" t="s">
        <v>7</v>
      </c>
      <c r="F1687" s="18" t="s">
        <v>3728</v>
      </c>
      <c r="G1687" s="19" t="s">
        <v>3729</v>
      </c>
      <c r="H1687" s="20" t="s">
        <v>3797</v>
      </c>
    </row>
    <row r="1688" spans="1:10" ht="12.75" customHeight="1">
      <c r="A1688" s="21"/>
      <c r="B1688" s="22" t="s">
        <v>3730</v>
      </c>
      <c r="C1688" s="23"/>
      <c r="D1688" s="24"/>
      <c r="E1688" s="25"/>
      <c r="F1688" s="26"/>
      <c r="G1688" s="27">
        <f>SUM(G1689:G1693)</f>
        <v>0</v>
      </c>
      <c r="H1688" s="27">
        <f>IFERROR(G1688*E1686,"")</f>
        <v>0</v>
      </c>
    </row>
    <row r="1689" spans="1:10" ht="12.75" customHeight="1">
      <c r="A1689" s="28"/>
      <c r="B1689" s="29"/>
      <c r="C1689" s="30" t="str">
        <f>IFERROR(_xlfn.XLOOKUP(B1689,Insumo[DESCRIPCION],Insumo[UND],,0),"")</f>
        <v/>
      </c>
      <c r="D1689" s="31"/>
      <c r="E1689" s="32" t="str">
        <f>IFERROR(_xlfn.XLOOKUP($B1689,Insumo[DESCRIPCION],Insumo[VALOR],,0),"")</f>
        <v/>
      </c>
      <c r="F1689" s="33"/>
      <c r="G1689" s="34" t="str">
        <f>IFERROR(IF(F1689&gt;=0,D1689*E1689*(1+F1689/100),ABS(D1689*E1689/F1689)),"")</f>
        <v/>
      </c>
      <c r="H1689" s="43" t="str">
        <f>IFERROR(G1689*E1686,"")</f>
        <v/>
      </c>
    </row>
    <row r="1690" spans="1:10" ht="12.75" customHeight="1">
      <c r="A1690" s="28"/>
      <c r="B1690" s="29"/>
      <c r="C1690" s="30" t="str">
        <f>IFERROR(_xlfn.XLOOKUP(B1690,Insumo[DESCRIPCION],Insumo[UND],,0),"")</f>
        <v/>
      </c>
      <c r="D1690" s="31"/>
      <c r="E1690" s="32" t="str">
        <f>IFERROR(_xlfn.XLOOKUP($B1690,Insumo[DESCRIPCION],Insumo[VALOR],,0),"")</f>
        <v/>
      </c>
      <c r="F1690" s="33"/>
      <c r="G1690" s="34" t="str">
        <f>IFERROR(IF(F1690&gt;=0,D1690*E1690*(1+F1690/100),ABS(D1690*E1690/F1690)),"")</f>
        <v/>
      </c>
      <c r="H1690" s="43" t="str">
        <f>IFERROR(G1690*E1686,"")</f>
        <v/>
      </c>
    </row>
    <row r="1691" spans="1:10" ht="12.75" customHeight="1">
      <c r="A1691" s="28"/>
      <c r="B1691" s="29"/>
      <c r="C1691" s="30" t="str">
        <f>IFERROR(_xlfn.XLOOKUP(B1691,Insumo[DESCRIPCION],Insumo[UND],,0),"")</f>
        <v/>
      </c>
      <c r="D1691" s="31"/>
      <c r="E1691" s="32" t="str">
        <f>IFERROR(_xlfn.XLOOKUP($B1691,Insumo[DESCRIPCION],Insumo[VALOR],,0),"")</f>
        <v/>
      </c>
      <c r="F1691" s="33"/>
      <c r="G1691" s="34" t="str">
        <f>IFERROR(IF(F1691&gt;=0,D1691*E1691*(1+F1691/100),ABS(D1691*E1691/F1691)),"")</f>
        <v/>
      </c>
      <c r="H1691" s="43" t="str">
        <f>IFERROR(G1691*E1686,"")</f>
        <v/>
      </c>
    </row>
    <row r="1692" spans="1:10" ht="12.75" customHeight="1">
      <c r="A1692" s="28"/>
      <c r="B1692" s="29"/>
      <c r="C1692" s="30" t="str">
        <f>IFERROR(_xlfn.XLOOKUP(B1692,Insumo[DESCRIPCION],Insumo[UND],,0),"")</f>
        <v/>
      </c>
      <c r="D1692" s="31"/>
      <c r="E1692" s="32" t="str">
        <f>IFERROR(_xlfn.XLOOKUP($B1692,Insumo[DESCRIPCION],Insumo[VALOR],,0),"")</f>
        <v/>
      </c>
      <c r="F1692" s="33"/>
      <c r="G1692" s="34" t="str">
        <f>IFERROR(IF(F1692&gt;=0,D1692*E1692*(1+F1692/100),ABS(D1692*E1692/F1692)),"")</f>
        <v/>
      </c>
      <c r="H1692" s="43" t="str">
        <f>IFERROR(G1692*E1686,"")</f>
        <v/>
      </c>
    </row>
    <row r="1693" spans="1:10" ht="12.75" customHeight="1">
      <c r="A1693" s="28"/>
      <c r="B1693" s="29"/>
      <c r="C1693" s="30" t="str">
        <f>IFERROR(_xlfn.XLOOKUP(B1693,Insumo[DESCRIPCION],Insumo[UND],,0),"")</f>
        <v/>
      </c>
      <c r="D1693" s="31"/>
      <c r="E1693" s="32" t="str">
        <f>IFERROR(_xlfn.XLOOKUP($B1693,Insumo[DESCRIPCION],Insumo[VALOR],,0),"")</f>
        <v/>
      </c>
      <c r="F1693" s="33"/>
      <c r="G1693" s="34" t="str">
        <f>IFERROR(IF(F1693&gt;=0,D1693*E1693*(1+F1693/100),ABS(D1693*E1693/F1693)),"")</f>
        <v/>
      </c>
      <c r="H1693" s="43" t="str">
        <f>IFERROR(G1693*E1686,"")</f>
        <v/>
      </c>
    </row>
    <row r="1694" spans="1:10" ht="12.75" customHeight="1">
      <c r="A1694" s="21"/>
      <c r="B1694" s="22" t="s">
        <v>3731</v>
      </c>
      <c r="C1694" s="23"/>
      <c r="D1694" s="24"/>
      <c r="E1694" s="25"/>
      <c r="F1694" s="26"/>
      <c r="G1694" s="27">
        <f>SUM(G1695:G1697)</f>
        <v>703.63644247928596</v>
      </c>
      <c r="H1694" s="44">
        <f>G1694*E1686</f>
        <v>0</v>
      </c>
    </row>
    <row r="1695" spans="1:10" ht="12.75" customHeight="1">
      <c r="A1695" s="28"/>
      <c r="B1695" s="29" t="s">
        <v>3570</v>
      </c>
      <c r="C1695" s="30" t="str">
        <f>IFERROR(_xlfn.XLOOKUP(B1695,Equipo[DESCRIPCION],Equipo[UND],,0),"")</f>
        <v>%MO</v>
      </c>
      <c r="D1695" s="31">
        <v>0.04</v>
      </c>
      <c r="E1695" s="32">
        <f>IF(C1695="%MO",G1701,IFERROR(_xlfn.XLOOKUP($B1695,Equipo[DESCRIPCION],Equipo[VALOR],,0),""))</f>
        <v>7818.1826942142879</v>
      </c>
      <c r="F1695" s="33"/>
      <c r="G1695" s="34">
        <f>IFERROR(IF(F1695&gt;=0,D1695*E1695*(1+F1695/100),ABS(D1695*E1695/F1695)),"")</f>
        <v>312.72730776857151</v>
      </c>
      <c r="H1695" s="43">
        <f>IFERROR(G1695*E1686,"")</f>
        <v>0</v>
      </c>
    </row>
    <row r="1696" spans="1:10" ht="12.75" customHeight="1">
      <c r="A1696" s="28"/>
      <c r="B1696" s="29" t="s">
        <v>3626</v>
      </c>
      <c r="C1696" s="30" t="str">
        <f>IFERROR(_xlfn.XLOOKUP(B1696,Equipo[DESCRIPCION],Equipo[UND],,0),"")</f>
        <v>%MO</v>
      </c>
      <c r="D1696" s="31">
        <v>0.05</v>
      </c>
      <c r="E1696" s="32">
        <f>IF(C1696="%MO",G1701,IFERROR(_xlfn.XLOOKUP($B1696,Equipo[DESCRIPCION],Equipo[VALOR],,0),""))</f>
        <v>7818.1826942142879</v>
      </c>
      <c r="F1696" s="33"/>
      <c r="G1696" s="34">
        <f>IFERROR(IF(F1696&gt;=0,D1696*E1696*(1+F1696/100),ABS(D1696*E1696/F1696)),"")</f>
        <v>390.9091347107144</v>
      </c>
      <c r="H1696" s="43">
        <f>IFERROR(G1696*E1686,"")</f>
        <v>0</v>
      </c>
    </row>
    <row r="1697" spans="1:10" ht="12.75" customHeight="1">
      <c r="A1697" s="28"/>
      <c r="B1697" s="29"/>
      <c r="C1697" s="30" t="str">
        <f>IFERROR(_xlfn.XLOOKUP(B1697,Equipo[DESCRIPCION],Equipo[UND],,0),"")</f>
        <v/>
      </c>
      <c r="D1697" s="31"/>
      <c r="E1697" s="32" t="str">
        <f>IF(C1697="%MO",G1701,IFERROR(_xlfn.XLOOKUP($B1697,Equipo[DESCRIPCION],Equipo[VALOR],,0),""))</f>
        <v/>
      </c>
      <c r="F1697" s="33"/>
      <c r="G1697" s="34" t="str">
        <f>IFERROR(IF(F1697&gt;=0,D1697*E1697*(1+F1697/100),ABS(D1697*E1697/F1697)),"")</f>
        <v/>
      </c>
      <c r="H1697" s="43" t="str">
        <f>IFERROR(G1697*E1686,"")</f>
        <v/>
      </c>
    </row>
    <row r="1698" spans="1:10" ht="12.75" customHeight="1">
      <c r="A1698" s="21"/>
      <c r="B1698" s="22" t="s">
        <v>2533</v>
      </c>
      <c r="C1698" s="23"/>
      <c r="D1698" s="24"/>
      <c r="E1698" s="25"/>
      <c r="F1698" s="26"/>
      <c r="G1698" s="27">
        <f>SUM(G1699:G1700)</f>
        <v>0</v>
      </c>
      <c r="H1698" s="44">
        <f>G1698*E1686</f>
        <v>0</v>
      </c>
    </row>
    <row r="1699" spans="1:10" ht="12.75" customHeight="1">
      <c r="A1699" s="28"/>
      <c r="B1699" s="29"/>
      <c r="C1699" s="30" t="str">
        <f>IFERROR(_xlfn.XLOOKUP(B1699,Transporte[DESCRIPCION],Transporte[UND],,0),"")</f>
        <v/>
      </c>
      <c r="D1699" s="31"/>
      <c r="E1699" s="32" t="str">
        <f>IFERROR(_xlfn.XLOOKUP($B1699,Transporte[DESCRIPCION],Transporte[VALOR],,0),"")</f>
        <v/>
      </c>
      <c r="F1699" s="33"/>
      <c r="G1699" s="34" t="str">
        <f>IFERROR(IF(F1699&gt;=0,D1699*E1699*(1+F1699/100),ABS(D1699*E1699/F1699)),"")</f>
        <v/>
      </c>
      <c r="H1699" s="43" t="str">
        <f>IFERROR(G1699*E1686,"")</f>
        <v/>
      </c>
    </row>
    <row r="1700" spans="1:10" ht="12.75" customHeight="1">
      <c r="A1700" s="28"/>
      <c r="B1700" s="29"/>
      <c r="C1700" s="30" t="str">
        <f>IFERROR(_xlfn.XLOOKUP(B1700,Transporte[DESCRIPCION],Transporte[UND],,0),"")</f>
        <v/>
      </c>
      <c r="D1700" s="31"/>
      <c r="E1700" s="32" t="str">
        <f>IFERROR(_xlfn.XLOOKUP($B1700,Transporte[DESCRIPCION],Transporte[VALOR],,0),"")</f>
        <v/>
      </c>
      <c r="F1700" s="33"/>
      <c r="G1700" s="34" t="str">
        <f>IFERROR(IF(F1700&gt;=0,D1700*E1700*(1+F1700/100),ABS(D1700*E1700/F1700)),"")</f>
        <v/>
      </c>
      <c r="H1700" s="43" t="str">
        <f>IFERROR(G1700*E1686,"")</f>
        <v/>
      </c>
    </row>
    <row r="1701" spans="1:10" ht="12.75" customHeight="1">
      <c r="A1701" s="21"/>
      <c r="B1701" s="22" t="s">
        <v>3732</v>
      </c>
      <c r="C1701" s="23"/>
      <c r="D1701" s="24"/>
      <c r="E1701" s="25"/>
      <c r="F1701" s="26"/>
      <c r="G1701" s="27">
        <f>SUM(G1702:G1704)</f>
        <v>7818.1826942142879</v>
      </c>
      <c r="H1701" s="44">
        <f>G1701*E1686</f>
        <v>0</v>
      </c>
    </row>
    <row r="1702" spans="1:10" ht="12.75" customHeight="1">
      <c r="A1702" s="28"/>
      <c r="B1702" s="29" t="s">
        <v>3712</v>
      </c>
      <c r="C1702" s="30" t="str">
        <f>IFERROR(_xlfn.XLOOKUP(B1702,MObra[DESCRIPCION],MObra[UN],,0),"")</f>
        <v>día</v>
      </c>
      <c r="D1702" s="31">
        <v>1</v>
      </c>
      <c r="E1702" s="32">
        <f>IFERROR(_xlfn.XLOOKUP($B1702,MObra[DESCRIPCION],MObra[VALOR UNIT],,0),"")</f>
        <v>547272.78859500017</v>
      </c>
      <c r="F1702" s="33">
        <v>-70</v>
      </c>
      <c r="G1702" s="34">
        <f>IFERROR(IF(F1702&gt;=0,D1702*E1702*(1+F1702/100),ABS(D1702*E1702/F1702)),"")</f>
        <v>7818.1826942142879</v>
      </c>
      <c r="H1702" s="43">
        <f>IFERROR(G1702*E1686,"")</f>
        <v>0</v>
      </c>
    </row>
    <row r="1703" spans="1:10" ht="12.75" customHeight="1">
      <c r="A1703" s="28"/>
      <c r="B1703" s="29"/>
      <c r="C1703" s="30" t="str">
        <f t="array" ref="C1703">IFERROR(_xlfn.XLOOKUP(B1703,MObra[[#All],[DESCRIPCION]],MObra[[#All],[UN]],,0),"")</f>
        <v/>
      </c>
      <c r="D1703" s="31"/>
      <c r="E1703" s="32" t="str">
        <f>IFERROR(_xlfn.XLOOKUP($B1703,MObra[DESCRIPCION],MObra[VALOR UNIT],,0),"")</f>
        <v/>
      </c>
      <c r="F1703" s="33"/>
      <c r="G1703" s="34" t="str">
        <f>IFERROR(IF(F1703&gt;=0,D1703*E1703*(1+F1703/100),ABS(D1703*E1703/F1703)),"")</f>
        <v/>
      </c>
      <c r="H1703" s="43" t="str">
        <f>IFERROR(G1703*E1686,"")</f>
        <v/>
      </c>
    </row>
    <row r="1704" spans="1:10" ht="12.75" customHeight="1" thickBot="1">
      <c r="A1704" s="35"/>
      <c r="B1704" s="36"/>
      <c r="C1704" s="37" t="str">
        <f t="array" ref="C1704">IFERROR(_xlfn.XLOOKUP(B1704,MObra[[#All],[DESCRIPCION]],MObra[[#All],[UN]],,0),"")</f>
        <v/>
      </c>
      <c r="D1704" s="38"/>
      <c r="E1704" s="39" t="str">
        <f>IFERROR(_xlfn.XLOOKUP($B1704,MObra[DESCRIPCION],MObra[VALOR UNIT],,0),"")</f>
        <v/>
      </c>
      <c r="F1704" s="40"/>
      <c r="G1704" s="41" t="str">
        <f>IFERROR(IF(F1704&gt;=0,D1704*E1704*(1+F1704/100),ABS(D1704*E1704/F1704)),"")</f>
        <v/>
      </c>
      <c r="H1704" s="42" t="str">
        <f>IFERROR(G1704*E1686,"")</f>
        <v/>
      </c>
    </row>
    <row r="1705" spans="1:10" ht="12.75" customHeight="1" thickTop="1" thickBot="1">
      <c r="E1705" s="49"/>
      <c r="G1705" s="3"/>
    </row>
    <row r="1706" spans="1:10" ht="12.75" customHeight="1" thickTop="1" thickBot="1">
      <c r="A1706" s="6" t="s">
        <v>190</v>
      </c>
      <c r="B1706" s="7" t="str">
        <f>VLOOKUP($A1706,Presupuesto!$A:$D,2,FALSE())</f>
        <v>Desmonte puerta</v>
      </c>
      <c r="C1706" s="8" t="str">
        <f>VLOOKUP($A1706,Presupuesto!$A:$D,3,FALSE())</f>
        <v>M2</v>
      </c>
      <c r="D1706" s="9"/>
      <c r="E1706" s="10">
        <f>VLOOKUP($A1706,Presupuesto!$A:$D,4,FALSE())</f>
        <v>0</v>
      </c>
      <c r="F1706" s="11" t="s">
        <v>2589</v>
      </c>
      <c r="G1706" s="12">
        <f>SUM(G1708:G1724)/2</f>
        <v>12692.071054650001</v>
      </c>
      <c r="H1706" s="13">
        <f>ROUND(SUM(H1708:H1724),0)/2</f>
        <v>0</v>
      </c>
      <c r="I1706" s="10">
        <f>VLOOKUP(A1706,Presupuesto!$A:$F,6,0)</f>
        <v>0</v>
      </c>
      <c r="J1706" s="10">
        <f>+H1706-I1706</f>
        <v>0</v>
      </c>
    </row>
    <row r="1707" spans="1:10" ht="12.75" customHeight="1" thickTop="1">
      <c r="A1707" s="14"/>
      <c r="B1707" s="15" t="s">
        <v>2586</v>
      </c>
      <c r="C1707" s="15" t="s">
        <v>5</v>
      </c>
      <c r="D1707" s="16" t="s">
        <v>6</v>
      </c>
      <c r="E1707" s="17" t="s">
        <v>7</v>
      </c>
      <c r="F1707" s="18" t="s">
        <v>3728</v>
      </c>
      <c r="G1707" s="19" t="s">
        <v>3729</v>
      </c>
      <c r="H1707" s="20" t="s">
        <v>3797</v>
      </c>
    </row>
    <row r="1708" spans="1:10" ht="12.75" customHeight="1">
      <c r="A1708" s="21"/>
      <c r="B1708" s="22" t="s">
        <v>3730</v>
      </c>
      <c r="C1708" s="23"/>
      <c r="D1708" s="24"/>
      <c r="E1708" s="25"/>
      <c r="F1708" s="26"/>
      <c r="G1708" s="27">
        <f>SUM(G1709:G1713)</f>
        <v>0</v>
      </c>
      <c r="H1708" s="27">
        <f>IFERROR(G1708*E1706,"")</f>
        <v>0</v>
      </c>
    </row>
    <row r="1709" spans="1:10" ht="12.75" customHeight="1">
      <c r="A1709" s="28"/>
      <c r="B1709" s="29"/>
      <c r="C1709" s="30" t="str">
        <f>IFERROR(_xlfn.XLOOKUP(B1709,Insumo[DESCRIPCION],Insumo[UND],,0),"")</f>
        <v/>
      </c>
      <c r="D1709" s="31"/>
      <c r="E1709" s="32" t="str">
        <f>IFERROR(_xlfn.XLOOKUP($B1709,Insumo[DESCRIPCION],Insumo[VALOR],,0),"")</f>
        <v/>
      </c>
      <c r="F1709" s="33"/>
      <c r="G1709" s="34" t="str">
        <f>IFERROR(IF(F1709&gt;=0,D1709*E1709*(1+F1709/100),ABS(D1709*E1709/F1709)),"")</f>
        <v/>
      </c>
      <c r="H1709" s="43" t="str">
        <f>IFERROR(G1709*E1706,"")</f>
        <v/>
      </c>
    </row>
    <row r="1710" spans="1:10" ht="12.75" customHeight="1">
      <c r="A1710" s="28"/>
      <c r="B1710" s="29"/>
      <c r="C1710" s="30" t="str">
        <f>IFERROR(_xlfn.XLOOKUP(B1710,Insumo[DESCRIPCION],Insumo[UND],,0),"")</f>
        <v/>
      </c>
      <c r="D1710" s="31"/>
      <c r="E1710" s="32" t="str">
        <f>IFERROR(_xlfn.XLOOKUP($B1710,Insumo[DESCRIPCION],Insumo[VALOR],,0),"")</f>
        <v/>
      </c>
      <c r="F1710" s="33"/>
      <c r="G1710" s="34" t="str">
        <f>IFERROR(IF(F1710&gt;=0,D1710*E1710*(1+F1710/100),ABS(D1710*E1710/F1710)),"")</f>
        <v/>
      </c>
      <c r="H1710" s="43" t="str">
        <f>IFERROR(G1710*E1706,"")</f>
        <v/>
      </c>
    </row>
    <row r="1711" spans="1:10" ht="12.75" customHeight="1">
      <c r="A1711" s="28"/>
      <c r="B1711" s="29"/>
      <c r="C1711" s="30" t="str">
        <f>IFERROR(_xlfn.XLOOKUP(B1711,Insumo[DESCRIPCION],Insumo[UND],,0),"")</f>
        <v/>
      </c>
      <c r="D1711" s="31"/>
      <c r="E1711" s="32" t="str">
        <f>IFERROR(_xlfn.XLOOKUP($B1711,Insumo[DESCRIPCION],Insumo[VALOR],,0),"")</f>
        <v/>
      </c>
      <c r="F1711" s="33"/>
      <c r="G1711" s="34" t="str">
        <f>IFERROR(IF(F1711&gt;=0,D1711*E1711*(1+F1711/100),ABS(D1711*E1711/F1711)),"")</f>
        <v/>
      </c>
      <c r="H1711" s="43" t="str">
        <f>IFERROR(G1711*E1706,"")</f>
        <v/>
      </c>
    </row>
    <row r="1712" spans="1:10" ht="12.75" customHeight="1">
      <c r="A1712" s="28"/>
      <c r="B1712" s="29"/>
      <c r="C1712" s="30" t="str">
        <f>IFERROR(_xlfn.XLOOKUP(B1712,Insumo[DESCRIPCION],Insumo[UND],,0),"")</f>
        <v/>
      </c>
      <c r="D1712" s="31"/>
      <c r="E1712" s="32" t="str">
        <f>IFERROR(_xlfn.XLOOKUP($B1712,Insumo[DESCRIPCION],Insumo[VALOR],,0),"")</f>
        <v/>
      </c>
      <c r="F1712" s="33"/>
      <c r="G1712" s="34" t="str">
        <f>IFERROR(IF(F1712&gt;=0,D1712*E1712*(1+F1712/100),ABS(D1712*E1712/F1712)),"")</f>
        <v/>
      </c>
      <c r="H1712" s="43" t="str">
        <f>IFERROR(G1712*E1706,"")</f>
        <v/>
      </c>
    </row>
    <row r="1713" spans="1:10" ht="12.75" customHeight="1">
      <c r="A1713" s="28"/>
      <c r="B1713" s="29"/>
      <c r="C1713" s="30" t="str">
        <f>IFERROR(_xlfn.XLOOKUP(B1713,Insumo[DESCRIPCION],Insumo[UND],,0),"")</f>
        <v/>
      </c>
      <c r="D1713" s="31"/>
      <c r="E1713" s="32" t="str">
        <f>IFERROR(_xlfn.XLOOKUP($B1713,Insumo[DESCRIPCION],Insumo[VALOR],,0),"")</f>
        <v/>
      </c>
      <c r="F1713" s="33"/>
      <c r="G1713" s="34" t="str">
        <f>IFERROR(IF(F1713&gt;=0,D1713*E1713*(1+F1713/100),ABS(D1713*E1713/F1713)),"")</f>
        <v/>
      </c>
      <c r="H1713" s="43" t="str">
        <f>IFERROR(G1713*E1706,"")</f>
        <v/>
      </c>
    </row>
    <row r="1714" spans="1:10" ht="12.75" customHeight="1">
      <c r="A1714" s="21"/>
      <c r="B1714" s="22" t="s">
        <v>3731</v>
      </c>
      <c r="C1714" s="23"/>
      <c r="D1714" s="24"/>
      <c r="E1714" s="25"/>
      <c r="F1714" s="26"/>
      <c r="G1714" s="27">
        <f>SUM(G1715:G1717)</f>
        <v>1047.9691696500001</v>
      </c>
      <c r="H1714" s="44">
        <f>G1714*E1706</f>
        <v>0</v>
      </c>
    </row>
    <row r="1715" spans="1:10" ht="12.75" customHeight="1">
      <c r="A1715" s="28"/>
      <c r="B1715" s="29" t="s">
        <v>3570</v>
      </c>
      <c r="C1715" s="30" t="str">
        <f>IFERROR(_xlfn.XLOOKUP(B1715,Equipo[DESCRIPCION],Equipo[UND],,0),"")</f>
        <v>%MO</v>
      </c>
      <c r="D1715" s="31">
        <v>0.04</v>
      </c>
      <c r="E1715" s="32">
        <f>IF(C1715="%MO",G1721,IFERROR(_xlfn.XLOOKUP($B1715,Equipo[DESCRIPCION],Equipo[VALOR],,0),""))</f>
        <v>11644.101885000002</v>
      </c>
      <c r="F1715" s="33"/>
      <c r="G1715" s="34">
        <f>IFERROR(IF(F1715&gt;=0,D1715*E1715*(1+F1715/100),ABS(D1715*E1715/F1715)),"")</f>
        <v>465.76407540000008</v>
      </c>
      <c r="H1715" s="43">
        <f>IFERROR(G1715*E1706,"")</f>
        <v>0</v>
      </c>
    </row>
    <row r="1716" spans="1:10" ht="12.75" customHeight="1">
      <c r="A1716" s="28"/>
      <c r="B1716" s="29" t="s">
        <v>3626</v>
      </c>
      <c r="C1716" s="30" t="str">
        <f>IFERROR(_xlfn.XLOOKUP(B1716,Equipo[DESCRIPCION],Equipo[UND],,0),"")</f>
        <v>%MO</v>
      </c>
      <c r="D1716" s="31">
        <v>0.05</v>
      </c>
      <c r="E1716" s="32">
        <f>IF(C1716="%MO",G1721,IFERROR(_xlfn.XLOOKUP($B1716,Equipo[DESCRIPCION],Equipo[VALOR],,0),""))</f>
        <v>11644.101885000002</v>
      </c>
      <c r="F1716" s="33"/>
      <c r="G1716" s="34">
        <f>IFERROR(IF(F1716&gt;=0,D1716*E1716*(1+F1716/100),ABS(D1716*E1716/F1716)),"")</f>
        <v>582.20509425000012</v>
      </c>
      <c r="H1716" s="43">
        <f>IFERROR(G1716*E1706,"")</f>
        <v>0</v>
      </c>
    </row>
    <row r="1717" spans="1:10" ht="12.75" customHeight="1">
      <c r="A1717" s="28"/>
      <c r="B1717" s="29"/>
      <c r="C1717" s="30" t="str">
        <f>IFERROR(_xlfn.XLOOKUP(B1717,Equipo[DESCRIPCION],Equipo[UND],,0),"")</f>
        <v/>
      </c>
      <c r="D1717" s="31"/>
      <c r="E1717" s="32" t="str">
        <f>IF(C1717="%MO",G1721,IFERROR(_xlfn.XLOOKUP($B1717,Equipo[DESCRIPCION],Equipo[VALOR],,0),""))</f>
        <v/>
      </c>
      <c r="F1717" s="33"/>
      <c r="G1717" s="34" t="str">
        <f>IFERROR(IF(F1717&gt;=0,D1717*E1717*(1+F1717/100),ABS(D1717*E1717/F1717)),"")</f>
        <v/>
      </c>
      <c r="H1717" s="43" t="str">
        <f>IFERROR(G1717*E1706,"")</f>
        <v/>
      </c>
    </row>
    <row r="1718" spans="1:10" ht="12.75" customHeight="1">
      <c r="A1718" s="21"/>
      <c r="B1718" s="22" t="s">
        <v>2533</v>
      </c>
      <c r="C1718" s="23"/>
      <c r="D1718" s="24"/>
      <c r="E1718" s="25"/>
      <c r="F1718" s="26"/>
      <c r="G1718" s="27">
        <f>SUM(G1719:G1720)</f>
        <v>0</v>
      </c>
      <c r="H1718" s="44">
        <f>G1718*E1706</f>
        <v>0</v>
      </c>
    </row>
    <row r="1719" spans="1:10" ht="12.75" customHeight="1">
      <c r="A1719" s="28"/>
      <c r="B1719" s="29"/>
      <c r="C1719" s="30" t="str">
        <f>IFERROR(_xlfn.XLOOKUP(B1719,Transporte[DESCRIPCION],Transporte[UND],,0),"")</f>
        <v/>
      </c>
      <c r="D1719" s="31"/>
      <c r="E1719" s="32" t="str">
        <f>IFERROR(_xlfn.XLOOKUP($B1719,Transporte[DESCRIPCION],Transporte[VALOR],,0),"")</f>
        <v/>
      </c>
      <c r="F1719" s="33"/>
      <c r="G1719" s="34" t="str">
        <f>IFERROR(IF(F1719&gt;=0,D1719*E1719*(1+F1719/100),ABS(D1719*E1719/F1719)),"")</f>
        <v/>
      </c>
      <c r="H1719" s="43" t="str">
        <f>IFERROR(G1719*E1706,"")</f>
        <v/>
      </c>
    </row>
    <row r="1720" spans="1:10" ht="12.75" customHeight="1">
      <c r="A1720" s="28"/>
      <c r="B1720" s="29"/>
      <c r="C1720" s="30" t="str">
        <f>IFERROR(_xlfn.XLOOKUP(B1720,Transporte[DESCRIPCION],Transporte[UND],,0),"")</f>
        <v/>
      </c>
      <c r="D1720" s="31"/>
      <c r="E1720" s="32" t="str">
        <f>IFERROR(_xlfn.XLOOKUP($B1720,Transporte[DESCRIPCION],Transporte[VALOR],,0),"")</f>
        <v/>
      </c>
      <c r="F1720" s="33"/>
      <c r="G1720" s="34" t="str">
        <f>IFERROR(IF(F1720&gt;=0,D1720*E1720*(1+F1720/100),ABS(D1720*E1720/F1720)),"")</f>
        <v/>
      </c>
      <c r="H1720" s="43" t="str">
        <f>IFERROR(G1720*E1706,"")</f>
        <v/>
      </c>
    </row>
    <row r="1721" spans="1:10" ht="12.75" customHeight="1">
      <c r="A1721" s="21"/>
      <c r="B1721" s="22" t="s">
        <v>3732</v>
      </c>
      <c r="C1721" s="23"/>
      <c r="D1721" s="24"/>
      <c r="E1721" s="25"/>
      <c r="F1721" s="26"/>
      <c r="G1721" s="27">
        <f>SUM(G1722:G1724)</f>
        <v>11644.101885000002</v>
      </c>
      <c r="H1721" s="44">
        <f>G1721*E1706</f>
        <v>0</v>
      </c>
    </row>
    <row r="1722" spans="1:10" ht="12.75" customHeight="1">
      <c r="A1722" s="28"/>
      <c r="B1722" s="29" t="s">
        <v>3698</v>
      </c>
      <c r="C1722" s="30" t="str">
        <f>IFERROR(_xlfn.XLOOKUP(B1722,MObra[DESCRIPCION],MObra[UN],,0),"")</f>
        <v>día</v>
      </c>
      <c r="D1722" s="31">
        <v>1</v>
      </c>
      <c r="E1722" s="32">
        <f>IFERROR(_xlfn.XLOOKUP($B1722,MObra[DESCRIPCION],MObra[VALOR UNIT],,0),"")</f>
        <v>116441.01885000002</v>
      </c>
      <c r="F1722" s="33">
        <v>-10</v>
      </c>
      <c r="G1722" s="34">
        <f>IFERROR(IF(F1722&gt;=0,D1722*E1722*(1+F1722/100),ABS(D1722*E1722/F1722)),"")</f>
        <v>11644.101885000002</v>
      </c>
      <c r="H1722" s="43">
        <f>IFERROR(G1722*E1706,"")</f>
        <v>0</v>
      </c>
    </row>
    <row r="1723" spans="1:10" ht="12.75" customHeight="1">
      <c r="A1723" s="28"/>
      <c r="B1723" s="29"/>
      <c r="C1723" s="30" t="str">
        <f t="array" ref="C1723">IFERROR(_xlfn.XLOOKUP(B1723,MObra[[#All],[DESCRIPCION]],MObra[[#All],[UN]],,0),"")</f>
        <v/>
      </c>
      <c r="D1723" s="31"/>
      <c r="E1723" s="32" t="str">
        <f>IFERROR(_xlfn.XLOOKUP($B1723,MObra[DESCRIPCION],MObra[VALOR UNIT],,0),"")</f>
        <v/>
      </c>
      <c r="F1723" s="33"/>
      <c r="G1723" s="34" t="str">
        <f>IFERROR(IF(F1723&gt;=0,D1723*E1723*(1+F1723/100),ABS(D1723*E1723/F1723)),"")</f>
        <v/>
      </c>
      <c r="H1723" s="43" t="str">
        <f>IFERROR(G1723*E1706,"")</f>
        <v/>
      </c>
    </row>
    <row r="1724" spans="1:10" ht="12.75" customHeight="1" thickBot="1">
      <c r="A1724" s="35"/>
      <c r="B1724" s="36"/>
      <c r="C1724" s="37" t="str">
        <f t="array" ref="C1724">IFERROR(_xlfn.XLOOKUP(B1724,MObra[[#All],[DESCRIPCION]],MObra[[#All],[UN]],,0),"")</f>
        <v/>
      </c>
      <c r="D1724" s="38"/>
      <c r="E1724" s="39" t="str">
        <f>IFERROR(_xlfn.XLOOKUP($B1724,MObra[DESCRIPCION],MObra[VALOR UNIT],,0),"")</f>
        <v/>
      </c>
      <c r="F1724" s="40"/>
      <c r="G1724" s="41" t="str">
        <f>IFERROR(IF(F1724&gt;=0,D1724*E1724*(1+F1724/100),ABS(D1724*E1724/F1724)),"")</f>
        <v/>
      </c>
      <c r="H1724" s="42" t="str">
        <f>IFERROR(G1724*E1706,"")</f>
        <v/>
      </c>
    </row>
    <row r="1725" spans="1:10" ht="12.75" customHeight="1" thickTop="1" thickBot="1">
      <c r="E1725" s="49"/>
      <c r="G1725" s="3"/>
    </row>
    <row r="1726" spans="1:10" ht="12.75" customHeight="1" thickTop="1" thickBot="1">
      <c r="A1726" s="6" t="s">
        <v>192</v>
      </c>
      <c r="B1726" s="7" t="str">
        <f>VLOOKUP($A1726,Presupuesto!$A:$D,2,FALSE())</f>
        <v>Desmonte red interior eléctrica</v>
      </c>
      <c r="C1726" s="8" t="str">
        <f>VLOOKUP($A1726,Presupuesto!$A:$D,3,FALSE())</f>
        <v>M</v>
      </c>
      <c r="D1726" s="9"/>
      <c r="E1726" s="10">
        <f>VLOOKUP($A1726,Presupuesto!$A:$D,4,FALSE())</f>
        <v>0</v>
      </c>
      <c r="F1726" s="11" t="s">
        <v>2589</v>
      </c>
      <c r="G1726" s="12">
        <f>SUM(G1728:G1744)/2</f>
        <v>3274.3214500620006</v>
      </c>
      <c r="H1726" s="13">
        <f>ROUND(SUM(H1728:H1744),0)/2</f>
        <v>0</v>
      </c>
      <c r="I1726" s="10">
        <f>VLOOKUP(A1726,Presupuesto!$A:$F,6,0)</f>
        <v>0</v>
      </c>
      <c r="J1726" s="10">
        <f>+H1726-I1726</f>
        <v>0</v>
      </c>
    </row>
    <row r="1727" spans="1:10" ht="12.75" customHeight="1" thickTop="1">
      <c r="A1727" s="14"/>
      <c r="B1727" s="15" t="s">
        <v>2586</v>
      </c>
      <c r="C1727" s="15" t="s">
        <v>5</v>
      </c>
      <c r="D1727" s="16" t="s">
        <v>6</v>
      </c>
      <c r="E1727" s="17" t="s">
        <v>7</v>
      </c>
      <c r="F1727" s="18" t="s">
        <v>3728</v>
      </c>
      <c r="G1727" s="19" t="s">
        <v>3729</v>
      </c>
      <c r="H1727" s="20" t="s">
        <v>3797</v>
      </c>
    </row>
    <row r="1728" spans="1:10" ht="12.75" customHeight="1">
      <c r="A1728" s="21"/>
      <c r="B1728" s="22" t="s">
        <v>3730</v>
      </c>
      <c r="C1728" s="23"/>
      <c r="D1728" s="24"/>
      <c r="E1728" s="25"/>
      <c r="F1728" s="26"/>
      <c r="G1728" s="27">
        <f>SUM(G1729:G1733)</f>
        <v>0</v>
      </c>
      <c r="H1728" s="27">
        <f>IFERROR(G1728*E1726,"")</f>
        <v>0</v>
      </c>
    </row>
    <row r="1729" spans="1:8" ht="12.75" customHeight="1">
      <c r="A1729" s="28"/>
      <c r="B1729" s="29"/>
      <c r="C1729" s="30" t="str">
        <f>IFERROR(_xlfn.XLOOKUP(B1729,Insumo[DESCRIPCION],Insumo[UND],,0),"")</f>
        <v/>
      </c>
      <c r="D1729" s="31"/>
      <c r="E1729" s="32" t="str">
        <f>IFERROR(_xlfn.XLOOKUP($B1729,Insumo[DESCRIPCION],Insumo[VALOR],,0),"")</f>
        <v/>
      </c>
      <c r="F1729" s="33"/>
      <c r="G1729" s="34" t="str">
        <f>IFERROR(IF(F1729&gt;=0,D1729*E1729*(1+F1729/100),ABS(D1729*E1729/F1729)),"")</f>
        <v/>
      </c>
      <c r="H1729" s="43" t="str">
        <f>IFERROR(G1729*E1726,"")</f>
        <v/>
      </c>
    </row>
    <row r="1730" spans="1:8" ht="12.75" customHeight="1">
      <c r="A1730" s="28"/>
      <c r="B1730" s="29"/>
      <c r="C1730" s="30" t="str">
        <f>IFERROR(_xlfn.XLOOKUP(B1730,Insumo[DESCRIPCION],Insumo[UND],,0),"")</f>
        <v/>
      </c>
      <c r="D1730" s="31"/>
      <c r="E1730" s="32" t="str">
        <f>IFERROR(_xlfn.XLOOKUP($B1730,Insumo[DESCRIPCION],Insumo[VALOR],,0),"")</f>
        <v/>
      </c>
      <c r="F1730" s="33"/>
      <c r="G1730" s="34" t="str">
        <f>IFERROR(IF(F1730&gt;=0,D1730*E1730*(1+F1730/100),ABS(D1730*E1730/F1730)),"")</f>
        <v/>
      </c>
      <c r="H1730" s="43" t="str">
        <f>IFERROR(G1730*E1726,"")</f>
        <v/>
      </c>
    </row>
    <row r="1731" spans="1:8" ht="12.75" customHeight="1">
      <c r="A1731" s="28"/>
      <c r="B1731" s="29"/>
      <c r="C1731" s="30" t="str">
        <f>IFERROR(_xlfn.XLOOKUP(B1731,Insumo[DESCRIPCION],Insumo[UND],,0),"")</f>
        <v/>
      </c>
      <c r="D1731" s="31"/>
      <c r="E1731" s="32" t="str">
        <f>IFERROR(_xlfn.XLOOKUP($B1731,Insumo[DESCRIPCION],Insumo[VALOR],,0),"")</f>
        <v/>
      </c>
      <c r="F1731" s="33"/>
      <c r="G1731" s="34" t="str">
        <f>IFERROR(IF(F1731&gt;=0,D1731*E1731*(1+F1731/100),ABS(D1731*E1731/F1731)),"")</f>
        <v/>
      </c>
      <c r="H1731" s="43" t="str">
        <f>IFERROR(G1731*E1726,"")</f>
        <v/>
      </c>
    </row>
    <row r="1732" spans="1:8" ht="12.75" customHeight="1">
      <c r="A1732" s="28"/>
      <c r="B1732" s="29"/>
      <c r="C1732" s="30" t="str">
        <f>IFERROR(_xlfn.XLOOKUP(B1732,Insumo[DESCRIPCION],Insumo[UND],,0),"")</f>
        <v/>
      </c>
      <c r="D1732" s="31"/>
      <c r="E1732" s="32" t="str">
        <f>IFERROR(_xlfn.XLOOKUP($B1732,Insumo[DESCRIPCION],Insumo[VALOR],,0),"")</f>
        <v/>
      </c>
      <c r="F1732" s="33"/>
      <c r="G1732" s="34" t="str">
        <f>IFERROR(IF(F1732&gt;=0,D1732*E1732*(1+F1732/100),ABS(D1732*E1732/F1732)),"")</f>
        <v/>
      </c>
      <c r="H1732" s="43" t="str">
        <f>IFERROR(G1732*E1726,"")</f>
        <v/>
      </c>
    </row>
    <row r="1733" spans="1:8" ht="12.75" customHeight="1">
      <c r="A1733" s="28"/>
      <c r="B1733" s="29"/>
      <c r="C1733" s="30" t="str">
        <f>IFERROR(_xlfn.XLOOKUP(B1733,Insumo[DESCRIPCION],Insumo[UND],,0),"")</f>
        <v/>
      </c>
      <c r="D1733" s="31"/>
      <c r="E1733" s="32" t="str">
        <f>IFERROR(_xlfn.XLOOKUP($B1733,Insumo[DESCRIPCION],Insumo[VALOR],,0),"")</f>
        <v/>
      </c>
      <c r="F1733" s="33"/>
      <c r="G1733" s="34" t="str">
        <f>IFERROR(IF(F1733&gt;=0,D1733*E1733*(1+F1733/100),ABS(D1733*E1733/F1733)),"")</f>
        <v/>
      </c>
      <c r="H1733" s="43" t="str">
        <f>IFERROR(G1733*E1726,"")</f>
        <v/>
      </c>
    </row>
    <row r="1734" spans="1:8" ht="12.75" customHeight="1">
      <c r="A1734" s="21"/>
      <c r="B1734" s="22" t="s">
        <v>3731</v>
      </c>
      <c r="C1734" s="23"/>
      <c r="D1734" s="24"/>
      <c r="E1734" s="25"/>
      <c r="F1734" s="26"/>
      <c r="G1734" s="27">
        <f>SUM(G1735:G1737)</f>
        <v>402.109651762</v>
      </c>
      <c r="H1734" s="44">
        <f>G1734*E1726</f>
        <v>0</v>
      </c>
    </row>
    <row r="1735" spans="1:8" ht="12.75" customHeight="1">
      <c r="A1735" s="28"/>
      <c r="B1735" s="29" t="s">
        <v>3573</v>
      </c>
      <c r="C1735" s="30" t="str">
        <f>IFERROR(_xlfn.XLOOKUP(B1735,Equipo[DESCRIPCION],Equipo[UND],,0),"")</f>
        <v>%MO</v>
      </c>
      <c r="D1735" s="146">
        <v>0.05</v>
      </c>
      <c r="E1735" s="32">
        <f>IF(C1735="%MO",G1741,IFERROR(_xlfn.XLOOKUP($B1735,Equipo[DESCRIPCION],Equipo[VALOR],,0),""))</f>
        <v>2872.2117983000003</v>
      </c>
      <c r="F1735" s="33"/>
      <c r="G1735" s="34">
        <f>IFERROR(IF(F1735&gt;=0,D1735*E1735*(1+F1735/100),ABS(D1735*E1735/F1735)),"")</f>
        <v>143.61058991500002</v>
      </c>
      <c r="H1735" s="43">
        <f>IFERROR(G1735*E1726,"")</f>
        <v>0</v>
      </c>
    </row>
    <row r="1736" spans="1:8" ht="12.75" customHeight="1">
      <c r="A1736" s="28"/>
      <c r="B1736" s="29" t="s">
        <v>3570</v>
      </c>
      <c r="C1736" s="30" t="str">
        <f>IFERROR(_xlfn.XLOOKUP(B1736,Equipo[DESCRIPCION],Equipo[UND],,0),"")</f>
        <v>%MO</v>
      </c>
      <c r="D1736" s="31">
        <v>0.04</v>
      </c>
      <c r="E1736" s="32">
        <f>IF(C1736="%MO",G1741,IFERROR(_xlfn.XLOOKUP($B1736,Equipo[DESCRIPCION],Equipo[VALOR],,0),""))</f>
        <v>2872.2117983000003</v>
      </c>
      <c r="F1736" s="33"/>
      <c r="G1736" s="34">
        <f>IFERROR(IF(F1736&gt;=0,D1736*E1736*(1+F1736/100),ABS(D1736*E1736/F1736)),"")</f>
        <v>114.88847193200002</v>
      </c>
      <c r="H1736" s="43">
        <f>IFERROR(G1736*E1726,"")</f>
        <v>0</v>
      </c>
    </row>
    <row r="1737" spans="1:8" ht="12.75" customHeight="1">
      <c r="A1737" s="28"/>
      <c r="B1737" s="29" t="s">
        <v>3626</v>
      </c>
      <c r="C1737" s="30" t="str">
        <f>IFERROR(_xlfn.XLOOKUP(B1737,Equipo[DESCRIPCION],Equipo[UND],,0),"")</f>
        <v>%MO</v>
      </c>
      <c r="D1737" s="31">
        <v>0.05</v>
      </c>
      <c r="E1737" s="32">
        <f>IF(C1737="%MO",G1741,IFERROR(_xlfn.XLOOKUP($B1737,Equipo[DESCRIPCION],Equipo[VALOR],,0),""))</f>
        <v>2872.2117983000003</v>
      </c>
      <c r="F1737" s="33"/>
      <c r="G1737" s="34">
        <f>IFERROR(IF(F1737&gt;=0,D1737*E1737*(1+F1737/100),ABS(D1737*E1737/F1737)),"")</f>
        <v>143.61058991500002</v>
      </c>
      <c r="H1737" s="43">
        <f>IFERROR(G1737*E1726,"")</f>
        <v>0</v>
      </c>
    </row>
    <row r="1738" spans="1:8" ht="12.75" customHeight="1">
      <c r="A1738" s="21"/>
      <c r="B1738" s="22" t="s">
        <v>2533</v>
      </c>
      <c r="C1738" s="23"/>
      <c r="D1738" s="24"/>
      <c r="E1738" s="25"/>
      <c r="F1738" s="26"/>
      <c r="G1738" s="27">
        <f>SUM(G1739:G1740)</f>
        <v>0</v>
      </c>
      <c r="H1738" s="44">
        <f>G1738*E1726</f>
        <v>0</v>
      </c>
    </row>
    <row r="1739" spans="1:8" ht="12.75" customHeight="1">
      <c r="A1739" s="28"/>
      <c r="B1739" s="29"/>
      <c r="C1739" s="30" t="str">
        <f>IFERROR(_xlfn.XLOOKUP(B1739,Transporte[DESCRIPCION],Transporte[UND],,0),"")</f>
        <v/>
      </c>
      <c r="D1739" s="31"/>
      <c r="E1739" s="32" t="str">
        <f>IFERROR(_xlfn.XLOOKUP($B1739,Transporte[DESCRIPCION],Transporte[VALOR],,0),"")</f>
        <v/>
      </c>
      <c r="F1739" s="33"/>
      <c r="G1739" s="34" t="str">
        <f>IFERROR(IF(F1739&gt;=0,D1739*E1739*(1+F1739/100),ABS(D1739*E1739/F1739)),"")</f>
        <v/>
      </c>
      <c r="H1739" s="43" t="str">
        <f>IFERROR(G1739*E1726,"")</f>
        <v/>
      </c>
    </row>
    <row r="1740" spans="1:8" ht="12.75" customHeight="1">
      <c r="A1740" s="28"/>
      <c r="B1740" s="29"/>
      <c r="C1740" s="30" t="str">
        <f>IFERROR(_xlfn.XLOOKUP(B1740,Transporte[DESCRIPCION],Transporte[UND],,0),"")</f>
        <v/>
      </c>
      <c r="D1740" s="31"/>
      <c r="E1740" s="32" t="str">
        <f>IFERROR(_xlfn.XLOOKUP($B1740,Transporte[DESCRIPCION],Transporte[VALOR],,0),"")</f>
        <v/>
      </c>
      <c r="F1740" s="33"/>
      <c r="G1740" s="34" t="str">
        <f>IFERROR(IF(F1740&gt;=0,D1740*E1740*(1+F1740/100),ABS(D1740*E1740/F1740)),"")</f>
        <v/>
      </c>
      <c r="H1740" s="43" t="str">
        <f>IFERROR(G1740*E1726,"")</f>
        <v/>
      </c>
    </row>
    <row r="1741" spans="1:8" ht="12.75" customHeight="1">
      <c r="A1741" s="21"/>
      <c r="B1741" s="22" t="s">
        <v>3732</v>
      </c>
      <c r="C1741" s="23"/>
      <c r="D1741" s="24"/>
      <c r="E1741" s="25"/>
      <c r="F1741" s="26"/>
      <c r="G1741" s="27">
        <f>SUM(G1742:G1744)</f>
        <v>2872.2117983000003</v>
      </c>
      <c r="H1741" s="44">
        <f>G1741*E1726</f>
        <v>0</v>
      </c>
    </row>
    <row r="1742" spans="1:8" ht="12.75" customHeight="1">
      <c r="A1742" s="28"/>
      <c r="B1742" s="29" t="s">
        <v>3711</v>
      </c>
      <c r="C1742" s="30" t="str">
        <f>IFERROR(_xlfn.XLOOKUP(B1742,MObra[DESCRIPCION],MObra[UN],,0),"")</f>
        <v>día</v>
      </c>
      <c r="D1742" s="31">
        <v>1</v>
      </c>
      <c r="E1742" s="32">
        <f>IFERROR(_xlfn.XLOOKUP($B1742,MObra[DESCRIPCION],MObra[VALOR UNIT],,0),"")</f>
        <v>430831.76974500006</v>
      </c>
      <c r="F1742" s="33">
        <v>-150</v>
      </c>
      <c r="G1742" s="34">
        <f>IFERROR(IF(F1742&gt;=0,D1742*E1742*(1+F1742/100),ABS(D1742*E1742/F1742)),"")</f>
        <v>2872.2117983000003</v>
      </c>
      <c r="H1742" s="43">
        <f>IFERROR(G1742*E1726,"")</f>
        <v>0</v>
      </c>
    </row>
    <row r="1743" spans="1:8" ht="12.75" customHeight="1">
      <c r="A1743" s="28"/>
      <c r="B1743" s="29"/>
      <c r="C1743" s="30" t="str">
        <f t="array" ref="C1743">IFERROR(_xlfn.XLOOKUP(B1743,MObra[[#All],[DESCRIPCION]],MObra[[#All],[UN]],,0),"")</f>
        <v/>
      </c>
      <c r="D1743" s="31"/>
      <c r="E1743" s="32" t="str">
        <f>IFERROR(_xlfn.XLOOKUP($B1743,MObra[DESCRIPCION],MObra[VALOR UNIT],,0),"")</f>
        <v/>
      </c>
      <c r="F1743" s="33"/>
      <c r="G1743" s="34" t="str">
        <f>IFERROR(IF(F1743&gt;=0,D1743*E1743*(1+F1743/100),ABS(D1743*E1743/F1743)),"")</f>
        <v/>
      </c>
      <c r="H1743" s="43" t="str">
        <f>IFERROR(G1743*E1726,"")</f>
        <v/>
      </c>
    </row>
    <row r="1744" spans="1:8" ht="12.75" customHeight="1" thickBot="1">
      <c r="A1744" s="35"/>
      <c r="B1744" s="36"/>
      <c r="C1744" s="37" t="str">
        <f t="array" ref="C1744">IFERROR(_xlfn.XLOOKUP(B1744,MObra[[#All],[DESCRIPCION]],MObra[[#All],[UN]],,0),"")</f>
        <v/>
      </c>
      <c r="D1744" s="38"/>
      <c r="E1744" s="39" t="str">
        <f>IFERROR(_xlfn.XLOOKUP($B1744,MObra[DESCRIPCION],MObra[VALOR UNIT],,0),"")</f>
        <v/>
      </c>
      <c r="F1744" s="40"/>
      <c r="G1744" s="41" t="str">
        <f>IFERROR(IF(F1744&gt;=0,D1744*E1744*(1+F1744/100),ABS(D1744*E1744/F1744)),"")</f>
        <v/>
      </c>
      <c r="H1744" s="42" t="str">
        <f>IFERROR(G1744*E1726,"")</f>
        <v/>
      </c>
    </row>
    <row r="1745" spans="1:10" ht="12.75" customHeight="1" thickTop="1" thickBot="1">
      <c r="E1745" s="49"/>
      <c r="G1745" s="3"/>
    </row>
    <row r="1746" spans="1:10" ht="12.75" customHeight="1" thickTop="1" thickBot="1">
      <c r="A1746" s="6" t="s">
        <v>194</v>
      </c>
      <c r="B1746" s="7" t="str">
        <f>VLOOKUP($A1746,Presupuesto!$A:$D,2,FALSE())</f>
        <v>Desmonte reja metálica</v>
      </c>
      <c r="C1746" s="8" t="str">
        <f>VLOOKUP($A1746,Presupuesto!$A:$D,3,FALSE())</f>
        <v>M2</v>
      </c>
      <c r="D1746" s="9"/>
      <c r="E1746" s="10">
        <f>VLOOKUP($A1746,Presupuesto!$A:$D,4,FALSE())</f>
        <v>0</v>
      </c>
      <c r="F1746" s="11" t="s">
        <v>2589</v>
      </c>
      <c r="G1746" s="12">
        <f>SUM(G1748:G1764)/2</f>
        <v>12063.531815121431</v>
      </c>
      <c r="H1746" s="13">
        <f>ROUND(SUM(H1748:H1764),0)/2</f>
        <v>0</v>
      </c>
      <c r="I1746" s="10">
        <f>VLOOKUP(A1746,Presupuesto!$A:$F,6,0)</f>
        <v>0</v>
      </c>
      <c r="J1746" s="10">
        <f>+H1746-I1746</f>
        <v>0</v>
      </c>
    </row>
    <row r="1747" spans="1:10" ht="12.75" customHeight="1" thickTop="1">
      <c r="A1747" s="14"/>
      <c r="B1747" s="15" t="s">
        <v>2586</v>
      </c>
      <c r="C1747" s="15" t="s">
        <v>5</v>
      </c>
      <c r="D1747" s="16" t="s">
        <v>6</v>
      </c>
      <c r="E1747" s="17" t="s">
        <v>7</v>
      </c>
      <c r="F1747" s="18" t="s">
        <v>3728</v>
      </c>
      <c r="G1747" s="19" t="s">
        <v>3729</v>
      </c>
      <c r="H1747" s="20" t="s">
        <v>3797</v>
      </c>
    </row>
    <row r="1748" spans="1:10" ht="12.75" customHeight="1">
      <c r="A1748" s="21"/>
      <c r="B1748" s="22" t="s">
        <v>3730</v>
      </c>
      <c r="C1748" s="23"/>
      <c r="D1748" s="24"/>
      <c r="E1748" s="25"/>
      <c r="F1748" s="26"/>
      <c r="G1748" s="27">
        <f>SUM(G1749:G1753)</f>
        <v>162.75</v>
      </c>
      <c r="H1748" s="27">
        <f>IFERROR(G1748*E1746,"")</f>
        <v>0</v>
      </c>
    </row>
    <row r="1749" spans="1:10" ht="12.75" customHeight="1">
      <c r="A1749" s="28"/>
      <c r="B1749" s="29" t="s">
        <v>3810</v>
      </c>
      <c r="C1749" s="30" t="str">
        <f>IFERROR(_xlfn.XLOOKUP(B1749,Insumo[DESCRIPCION],Insumo[UND],,0),"")</f>
        <v>Un</v>
      </c>
      <c r="D1749" s="31">
        <v>0.01</v>
      </c>
      <c r="E1749" s="32">
        <f>IFERROR(_xlfn.XLOOKUP($B1749,Insumo[DESCRIPCION],Insumo[VALOR],,0),"")</f>
        <v>16275</v>
      </c>
      <c r="F1749" s="33"/>
      <c r="G1749" s="34">
        <f>IFERROR(IF(F1749&gt;=0,D1749*E1749*(1+F1749/100),ABS(D1749*E1749/F1749)),"")</f>
        <v>162.75</v>
      </c>
      <c r="H1749" s="43">
        <f>IFERROR(G1749*E1746,"")</f>
        <v>0</v>
      </c>
    </row>
    <row r="1750" spans="1:10" ht="12.75" customHeight="1">
      <c r="A1750" s="28"/>
      <c r="B1750" s="29"/>
      <c r="C1750" s="30" t="str">
        <f>IFERROR(_xlfn.XLOOKUP(B1750,Insumo[DESCRIPCION],Insumo[UND],,0),"")</f>
        <v/>
      </c>
      <c r="D1750" s="31"/>
      <c r="E1750" s="32" t="str">
        <f>IFERROR(_xlfn.XLOOKUP($B1750,Insumo[DESCRIPCION],Insumo[VALOR],,0),"")</f>
        <v/>
      </c>
      <c r="F1750" s="33"/>
      <c r="G1750" s="34" t="str">
        <f>IFERROR(IF(F1750&gt;=0,D1750*E1750*(1+F1750/100),ABS(D1750*E1750/F1750)),"")</f>
        <v/>
      </c>
      <c r="H1750" s="43" t="str">
        <f>IFERROR(G1750*E1746,"")</f>
        <v/>
      </c>
    </row>
    <row r="1751" spans="1:10" ht="12.75" customHeight="1">
      <c r="A1751" s="28"/>
      <c r="B1751" s="29"/>
      <c r="C1751" s="30" t="str">
        <f>IFERROR(_xlfn.XLOOKUP(B1751,Insumo[DESCRIPCION],Insumo[UND],,0),"")</f>
        <v/>
      </c>
      <c r="D1751" s="31"/>
      <c r="E1751" s="32" t="str">
        <f>IFERROR(_xlfn.XLOOKUP($B1751,Insumo[DESCRIPCION],Insumo[VALOR],,0),"")</f>
        <v/>
      </c>
      <c r="F1751" s="33"/>
      <c r="G1751" s="34" t="str">
        <f>IFERROR(IF(F1751&gt;=0,D1751*E1751*(1+F1751/100),ABS(D1751*E1751/F1751)),"")</f>
        <v/>
      </c>
      <c r="H1751" s="43" t="str">
        <f>IFERROR(G1751*E1746,"")</f>
        <v/>
      </c>
    </row>
    <row r="1752" spans="1:10" ht="12.75" customHeight="1">
      <c r="A1752" s="28"/>
      <c r="B1752" s="29"/>
      <c r="C1752" s="30" t="str">
        <f>IFERROR(_xlfn.XLOOKUP(B1752,Insumo[DESCRIPCION],Insumo[UND],,0),"")</f>
        <v/>
      </c>
      <c r="D1752" s="31"/>
      <c r="E1752" s="32" t="str">
        <f>IFERROR(_xlfn.XLOOKUP($B1752,Insumo[DESCRIPCION],Insumo[VALOR],,0),"")</f>
        <v/>
      </c>
      <c r="F1752" s="33"/>
      <c r="G1752" s="34" t="str">
        <f>IFERROR(IF(F1752&gt;=0,D1752*E1752*(1+F1752/100),ABS(D1752*E1752/F1752)),"")</f>
        <v/>
      </c>
      <c r="H1752" s="43" t="str">
        <f>IFERROR(G1752*E1746,"")</f>
        <v/>
      </c>
    </row>
    <row r="1753" spans="1:10" ht="12.75" customHeight="1">
      <c r="A1753" s="28"/>
      <c r="B1753" s="29"/>
      <c r="C1753" s="30" t="str">
        <f>IFERROR(_xlfn.XLOOKUP(B1753,Insumo[DESCRIPCION],Insumo[UND],,0),"")</f>
        <v/>
      </c>
      <c r="D1753" s="31"/>
      <c r="E1753" s="32" t="str">
        <f>IFERROR(_xlfn.XLOOKUP($B1753,Insumo[DESCRIPCION],Insumo[VALOR],,0),"")</f>
        <v/>
      </c>
      <c r="F1753" s="33"/>
      <c r="G1753" s="34" t="str">
        <f>IFERROR(IF(F1753&gt;=0,D1753*E1753*(1+F1753/100),ABS(D1753*E1753/F1753)),"")</f>
        <v/>
      </c>
      <c r="H1753" s="43" t="str">
        <f>IFERROR(G1753*E1746,"")</f>
        <v/>
      </c>
    </row>
    <row r="1754" spans="1:10" ht="12.75" customHeight="1">
      <c r="A1754" s="21"/>
      <c r="B1754" s="22" t="s">
        <v>3731</v>
      </c>
      <c r="C1754" s="23"/>
      <c r="D1754" s="24"/>
      <c r="E1754" s="25"/>
      <c r="F1754" s="26"/>
      <c r="G1754" s="27">
        <f>SUM(G1755:G1757)</f>
        <v>2918.1889324071431</v>
      </c>
      <c r="H1754" s="44">
        <f>G1754*E1746</f>
        <v>0</v>
      </c>
    </row>
    <row r="1755" spans="1:10" ht="12.75" customHeight="1">
      <c r="A1755" s="28"/>
      <c r="B1755" s="29" t="s">
        <v>3642</v>
      </c>
      <c r="C1755" s="30" t="str">
        <f>IFERROR(_xlfn.XLOOKUP(B1755,Equipo[DESCRIPCION],Equipo[UND],,0),"")</f>
        <v>Día</v>
      </c>
      <c r="D1755" s="31">
        <v>1</v>
      </c>
      <c r="E1755" s="32">
        <f>IF(C1755="%MO",G1761,IFERROR(_xlfn.XLOOKUP($B1755,Equipo[DESCRIPCION],Equipo[VALOR],,0),""))</f>
        <v>54978</v>
      </c>
      <c r="F1755" s="33">
        <v>-35</v>
      </c>
      <c r="G1755" s="34">
        <f>IFERROR(IF(F1755&gt;=0,D1755*E1755*(1+F1755/100),ABS(D1755*E1755/F1755)),"")</f>
        <v>1570.8</v>
      </c>
      <c r="H1755" s="43">
        <f>IFERROR(G1755*E1746,"")</f>
        <v>0</v>
      </c>
    </row>
    <row r="1756" spans="1:10" ht="12.75" customHeight="1">
      <c r="A1756" s="28"/>
      <c r="B1756" s="29" t="s">
        <v>3573</v>
      </c>
      <c r="C1756" s="30" t="str">
        <f>IFERROR(_xlfn.XLOOKUP(B1756,Equipo[DESCRIPCION],Equipo[UND],,0),"")</f>
        <v>%MO</v>
      </c>
      <c r="D1756" s="142">
        <v>0.1</v>
      </c>
      <c r="E1756" s="32">
        <f>IF(C1756="%MO",G1761,IFERROR(_xlfn.XLOOKUP($B1756,Equipo[DESCRIPCION],Equipo[VALOR],,0),""))</f>
        <v>8982.592882714287</v>
      </c>
      <c r="F1756" s="33"/>
      <c r="G1756" s="34">
        <f>IFERROR(IF(F1756&gt;=0,D1756*E1756*(1+F1756/100),ABS(D1756*E1756/F1756)),"")</f>
        <v>898.25928827142877</v>
      </c>
      <c r="H1756" s="43">
        <f>IFERROR(G1756*E1746,"")</f>
        <v>0</v>
      </c>
    </row>
    <row r="1757" spans="1:10" ht="12.75" customHeight="1">
      <c r="A1757" s="28"/>
      <c r="B1757" s="29" t="s">
        <v>3626</v>
      </c>
      <c r="C1757" s="30" t="str">
        <f>IFERROR(_xlfn.XLOOKUP(B1757,Equipo[DESCRIPCION],Equipo[UND],,0),"")</f>
        <v>%MO</v>
      </c>
      <c r="D1757" s="31">
        <v>0.05</v>
      </c>
      <c r="E1757" s="32">
        <f>IF(C1757="%MO",G1761,IFERROR(_xlfn.XLOOKUP($B1757,Equipo[DESCRIPCION],Equipo[VALOR],,0),""))</f>
        <v>8982.592882714287</v>
      </c>
      <c r="F1757" s="33"/>
      <c r="G1757" s="34">
        <f>IFERROR(IF(F1757&gt;=0,D1757*E1757*(1+F1757/100),ABS(D1757*E1757/F1757)),"")</f>
        <v>449.12964413571439</v>
      </c>
      <c r="H1757" s="43">
        <f>IFERROR(G1757*E1746,"")</f>
        <v>0</v>
      </c>
    </row>
    <row r="1758" spans="1:10" ht="12.75" customHeight="1">
      <c r="A1758" s="21"/>
      <c r="B1758" s="22" t="s">
        <v>2533</v>
      </c>
      <c r="C1758" s="23"/>
      <c r="D1758" s="24"/>
      <c r="E1758" s="25"/>
      <c r="F1758" s="26"/>
      <c r="G1758" s="27">
        <f>SUM(G1759:G1760)</f>
        <v>0</v>
      </c>
      <c r="H1758" s="44">
        <f>G1758*E1746</f>
        <v>0</v>
      </c>
    </row>
    <row r="1759" spans="1:10" ht="12.75" customHeight="1">
      <c r="A1759" s="28"/>
      <c r="B1759" s="29"/>
      <c r="C1759" s="30" t="str">
        <f>IFERROR(_xlfn.XLOOKUP(B1759,Transporte[DESCRIPCION],Transporte[UND],,0),"")</f>
        <v/>
      </c>
      <c r="D1759" s="31"/>
      <c r="E1759" s="32" t="str">
        <f>IFERROR(_xlfn.XLOOKUP($B1759,Transporte[DESCRIPCION],Transporte[VALOR],,0),"")</f>
        <v/>
      </c>
      <c r="F1759" s="33"/>
      <c r="G1759" s="34" t="str">
        <f>IFERROR(IF(F1759&gt;=0,D1759*E1759*(1+F1759/100),ABS(D1759*E1759/F1759)),"")</f>
        <v/>
      </c>
      <c r="H1759" s="43" t="str">
        <f>IFERROR(G1759*E1746,"")</f>
        <v/>
      </c>
    </row>
    <row r="1760" spans="1:10" ht="12.75" customHeight="1">
      <c r="A1760" s="28"/>
      <c r="B1760" s="29"/>
      <c r="C1760" s="30" t="str">
        <f>IFERROR(_xlfn.XLOOKUP(B1760,Transporte[DESCRIPCION],Transporte[UND],,0),"")</f>
        <v/>
      </c>
      <c r="D1760" s="31"/>
      <c r="E1760" s="32" t="str">
        <f>IFERROR(_xlfn.XLOOKUP($B1760,Transporte[DESCRIPCION],Transporte[VALOR],,0),"")</f>
        <v/>
      </c>
      <c r="F1760" s="33"/>
      <c r="G1760" s="34" t="str">
        <f>IFERROR(IF(F1760&gt;=0,D1760*E1760*(1+F1760/100),ABS(D1760*E1760/F1760)),"")</f>
        <v/>
      </c>
      <c r="H1760" s="43" t="str">
        <f>IFERROR(G1760*E1746,"")</f>
        <v/>
      </c>
    </row>
    <row r="1761" spans="1:10" ht="12.75" customHeight="1">
      <c r="A1761" s="21"/>
      <c r="B1761" s="22" t="s">
        <v>3732</v>
      </c>
      <c r="C1761" s="23"/>
      <c r="D1761" s="24"/>
      <c r="E1761" s="25"/>
      <c r="F1761" s="26"/>
      <c r="G1761" s="27">
        <f>SUM(G1762:G1764)</f>
        <v>8982.592882714287</v>
      </c>
      <c r="H1761" s="44">
        <f>G1761*E1746</f>
        <v>0</v>
      </c>
    </row>
    <row r="1762" spans="1:10" ht="12.75" customHeight="1">
      <c r="A1762" s="28"/>
      <c r="B1762" s="29" t="s">
        <v>3710</v>
      </c>
      <c r="C1762" s="30" t="str">
        <f>IFERROR(_xlfn.XLOOKUP(B1762,MObra[DESCRIPCION],MObra[UN],,0),"")</f>
        <v>día</v>
      </c>
      <c r="D1762" s="31">
        <v>1</v>
      </c>
      <c r="E1762" s="32">
        <f>IFERROR(_xlfn.XLOOKUP($B1762,MObra[DESCRIPCION],MObra[VALOR UNIT],,0),"")</f>
        <v>314390.75089500006</v>
      </c>
      <c r="F1762" s="33">
        <v>-35</v>
      </c>
      <c r="G1762" s="34">
        <f>IFERROR(IF(F1762&gt;=0,D1762*E1762*(1+F1762/100),ABS(D1762*E1762/F1762)),"")</f>
        <v>8982.592882714287</v>
      </c>
      <c r="H1762" s="43">
        <f>IFERROR(G1762*E1746,"")</f>
        <v>0</v>
      </c>
    </row>
    <row r="1763" spans="1:10" ht="12.75" customHeight="1">
      <c r="A1763" s="28"/>
      <c r="B1763" s="29"/>
      <c r="C1763" s="30" t="str">
        <f t="array" ref="C1763">IFERROR(_xlfn.XLOOKUP(B1763,MObra[[#All],[DESCRIPCION]],MObra[[#All],[UN]],,0),"")</f>
        <v/>
      </c>
      <c r="D1763" s="31"/>
      <c r="E1763" s="32" t="str">
        <f>IFERROR(_xlfn.XLOOKUP($B1763,MObra[DESCRIPCION],MObra[VALOR UNIT],,0),"")</f>
        <v/>
      </c>
      <c r="F1763" s="33"/>
      <c r="G1763" s="34" t="str">
        <f>IFERROR(IF(F1763&gt;=0,D1763*E1763*(1+F1763/100),ABS(D1763*E1763/F1763)),"")</f>
        <v/>
      </c>
      <c r="H1763" s="43" t="str">
        <f>IFERROR(G1763*E1746,"")</f>
        <v/>
      </c>
    </row>
    <row r="1764" spans="1:10" ht="12.75" customHeight="1" thickBot="1">
      <c r="A1764" s="35"/>
      <c r="B1764" s="36"/>
      <c r="C1764" s="37" t="str">
        <f t="array" ref="C1764">IFERROR(_xlfn.XLOOKUP(B1764,MObra[[#All],[DESCRIPCION]],MObra[[#All],[UN]],,0),"")</f>
        <v/>
      </c>
      <c r="D1764" s="38"/>
      <c r="E1764" s="39" t="str">
        <f>IFERROR(_xlfn.XLOOKUP($B1764,MObra[DESCRIPCION],MObra[VALOR UNIT],,0),"")</f>
        <v/>
      </c>
      <c r="F1764" s="40"/>
      <c r="G1764" s="41" t="str">
        <f>IFERROR(IF(F1764&gt;=0,D1764*E1764*(1+F1764/100),ABS(D1764*E1764/F1764)),"")</f>
        <v/>
      </c>
      <c r="H1764" s="42" t="str">
        <f>IFERROR(G1764*E1746,"")</f>
        <v/>
      </c>
    </row>
    <row r="1765" spans="1:10" ht="12.75" customHeight="1" thickTop="1" thickBot="1">
      <c r="E1765" s="49"/>
      <c r="G1765" s="3"/>
    </row>
    <row r="1766" spans="1:10" ht="12.75" customHeight="1" thickTop="1" thickBot="1">
      <c r="A1766" s="6" t="s">
        <v>196</v>
      </c>
      <c r="B1766" s="7" t="str">
        <f>VLOOKUP($A1766,Presupuesto!$A:$D,2,FALSE())</f>
        <v>Desmonte techo y estructura</v>
      </c>
      <c r="C1766" s="8" t="str">
        <f>VLOOKUP($A1766,Presupuesto!$A:$D,3,FALSE())</f>
        <v>M2</v>
      </c>
      <c r="D1766" s="9"/>
      <c r="E1766" s="10">
        <f>VLOOKUP($A1766,Presupuesto!$A:$D,4,FALSE())</f>
        <v>0</v>
      </c>
      <c r="F1766" s="11" t="s">
        <v>2589</v>
      </c>
      <c r="G1766" s="12">
        <f>SUM(G1768:G1784)/2</f>
        <v>20507.592239862002</v>
      </c>
      <c r="H1766" s="13">
        <f>ROUND(SUM(H1768:H1784),0)/2</f>
        <v>0</v>
      </c>
      <c r="I1766" s="10">
        <f>VLOOKUP(A1766,Presupuesto!$A:$F,6,0)</f>
        <v>0</v>
      </c>
      <c r="J1766" s="10">
        <f>+H1766-I1766</f>
        <v>0</v>
      </c>
    </row>
    <row r="1767" spans="1:10" ht="12.75" customHeight="1" thickTop="1">
      <c r="A1767" s="14"/>
      <c r="B1767" s="15" t="s">
        <v>2586</v>
      </c>
      <c r="C1767" s="15" t="s">
        <v>5</v>
      </c>
      <c r="D1767" s="16" t="s">
        <v>6</v>
      </c>
      <c r="E1767" s="17" t="s">
        <v>7</v>
      </c>
      <c r="F1767" s="18" t="s">
        <v>3728</v>
      </c>
      <c r="G1767" s="19" t="s">
        <v>3729</v>
      </c>
      <c r="H1767" s="20" t="s">
        <v>3797</v>
      </c>
    </row>
    <row r="1768" spans="1:10" ht="12.75" customHeight="1">
      <c r="A1768" s="21"/>
      <c r="B1768" s="22" t="s">
        <v>3730</v>
      </c>
      <c r="C1768" s="23"/>
      <c r="D1768" s="24"/>
      <c r="E1768" s="25"/>
      <c r="F1768" s="26"/>
      <c r="G1768" s="27">
        <f>SUM(G1769:G1773)</f>
        <v>0</v>
      </c>
      <c r="H1768" s="27">
        <f>IFERROR(G1768*E1766,"")</f>
        <v>0</v>
      </c>
    </row>
    <row r="1769" spans="1:10" ht="12.75" customHeight="1">
      <c r="A1769" s="28"/>
      <c r="B1769" s="29"/>
      <c r="C1769" s="30" t="str">
        <f>IFERROR(_xlfn.XLOOKUP(B1769,Insumo[DESCRIPCION],Insumo[UND],,0),"")</f>
        <v/>
      </c>
      <c r="D1769" s="31"/>
      <c r="E1769" s="32" t="str">
        <f>IFERROR(_xlfn.XLOOKUP($B1769,Insumo[DESCRIPCION],Insumo[VALOR],,0),"")</f>
        <v/>
      </c>
      <c r="F1769" s="33"/>
      <c r="G1769" s="34" t="str">
        <f>IFERROR(IF(F1769&gt;=0,D1769*E1769*(1+F1769/100),ABS(D1769*E1769/F1769)),"")</f>
        <v/>
      </c>
      <c r="H1769" s="43" t="str">
        <f>IFERROR(G1769*E1766,"")</f>
        <v/>
      </c>
    </row>
    <row r="1770" spans="1:10" ht="12.75" customHeight="1">
      <c r="A1770" s="28"/>
      <c r="B1770" s="29"/>
      <c r="C1770" s="30" t="str">
        <f>IFERROR(_xlfn.XLOOKUP(B1770,Insumo[DESCRIPCION],Insumo[UND],,0),"")</f>
        <v/>
      </c>
      <c r="D1770" s="31"/>
      <c r="E1770" s="32" t="str">
        <f>IFERROR(_xlfn.XLOOKUP($B1770,Insumo[DESCRIPCION],Insumo[VALOR],,0),"")</f>
        <v/>
      </c>
      <c r="F1770" s="33"/>
      <c r="G1770" s="34" t="str">
        <f>IFERROR(IF(F1770&gt;=0,D1770*E1770*(1+F1770/100),ABS(D1770*E1770/F1770)),"")</f>
        <v/>
      </c>
      <c r="H1770" s="43" t="str">
        <f>IFERROR(G1770*E1766,"")</f>
        <v/>
      </c>
    </row>
    <row r="1771" spans="1:10" ht="12.75" customHeight="1">
      <c r="A1771" s="28"/>
      <c r="B1771" s="29"/>
      <c r="C1771" s="30" t="str">
        <f>IFERROR(_xlfn.XLOOKUP(B1771,Insumo[DESCRIPCION],Insumo[UND],,0),"")</f>
        <v/>
      </c>
      <c r="D1771" s="31"/>
      <c r="E1771" s="32" t="str">
        <f>IFERROR(_xlfn.XLOOKUP($B1771,Insumo[DESCRIPCION],Insumo[VALOR],,0),"")</f>
        <v/>
      </c>
      <c r="F1771" s="33"/>
      <c r="G1771" s="34" t="str">
        <f>IFERROR(IF(F1771&gt;=0,D1771*E1771*(1+F1771/100),ABS(D1771*E1771/F1771)),"")</f>
        <v/>
      </c>
      <c r="H1771" s="43" t="str">
        <f>IFERROR(G1771*E1766,"")</f>
        <v/>
      </c>
    </row>
    <row r="1772" spans="1:10" ht="12.75" customHeight="1">
      <c r="A1772" s="28"/>
      <c r="B1772" s="29"/>
      <c r="C1772" s="30" t="str">
        <f>IFERROR(_xlfn.XLOOKUP(B1772,Insumo[DESCRIPCION],Insumo[UND],,0),"")</f>
        <v/>
      </c>
      <c r="D1772" s="31"/>
      <c r="E1772" s="32" t="str">
        <f>IFERROR(_xlfn.XLOOKUP($B1772,Insumo[DESCRIPCION],Insumo[VALOR],,0),"")</f>
        <v/>
      </c>
      <c r="F1772" s="33"/>
      <c r="G1772" s="34" t="str">
        <f>IFERROR(IF(F1772&gt;=0,D1772*E1772*(1+F1772/100),ABS(D1772*E1772/F1772)),"")</f>
        <v/>
      </c>
      <c r="H1772" s="43" t="str">
        <f>IFERROR(G1772*E1766,"")</f>
        <v/>
      </c>
    </row>
    <row r="1773" spans="1:10" ht="12.75" customHeight="1">
      <c r="A1773" s="28"/>
      <c r="B1773" s="29"/>
      <c r="C1773" s="30" t="str">
        <f>IFERROR(_xlfn.XLOOKUP(B1773,Insumo[DESCRIPCION],Insumo[UND],,0),"")</f>
        <v/>
      </c>
      <c r="D1773" s="31"/>
      <c r="E1773" s="32" t="str">
        <f>IFERROR(_xlfn.XLOOKUP($B1773,Insumo[DESCRIPCION],Insumo[VALOR],,0),"")</f>
        <v/>
      </c>
      <c r="F1773" s="33"/>
      <c r="G1773" s="34" t="str">
        <f>IFERROR(IF(F1773&gt;=0,D1773*E1773*(1+F1773/100),ABS(D1773*E1773/F1773)),"")</f>
        <v/>
      </c>
      <c r="H1773" s="43" t="str">
        <f>IFERROR(G1773*E1766,"")</f>
        <v/>
      </c>
    </row>
    <row r="1774" spans="1:10" ht="12.75" customHeight="1">
      <c r="A1774" s="21"/>
      <c r="B1774" s="22" t="s">
        <v>3731</v>
      </c>
      <c r="C1774" s="23"/>
      <c r="D1774" s="24"/>
      <c r="E1774" s="25"/>
      <c r="F1774" s="26"/>
      <c r="G1774" s="27">
        <f>SUM(G1775:G1777)</f>
        <v>3274.3214500620002</v>
      </c>
      <c r="H1774" s="44">
        <f>G1774*E1766</f>
        <v>0</v>
      </c>
    </row>
    <row r="1775" spans="1:10" ht="12.75" customHeight="1">
      <c r="A1775" s="28"/>
      <c r="B1775" s="29" t="s">
        <v>3573</v>
      </c>
      <c r="C1775" s="30" t="str">
        <f>IFERROR(_xlfn.XLOOKUP(B1775,Equipo[DESCRIPCION],Equipo[UND],,0),"")</f>
        <v>%MO</v>
      </c>
      <c r="D1775" s="142">
        <v>0.1</v>
      </c>
      <c r="E1775" s="32">
        <f>IF(C1775="%MO",G1781,IFERROR(_xlfn.XLOOKUP($B1775,Equipo[DESCRIPCION],Equipo[VALOR],,0),""))</f>
        <v>17233.270789800001</v>
      </c>
      <c r="F1775" s="33"/>
      <c r="G1775" s="34">
        <f>IFERROR(IF(F1775&gt;=0,D1775*E1775*(1+F1775/100),ABS(D1775*E1775/F1775)),"")</f>
        <v>1723.3270789800001</v>
      </c>
      <c r="H1775" s="43">
        <f>IFERROR(G1775*E1766,"")</f>
        <v>0</v>
      </c>
    </row>
    <row r="1776" spans="1:10" ht="12.75" customHeight="1">
      <c r="A1776" s="28"/>
      <c r="B1776" s="29" t="s">
        <v>3570</v>
      </c>
      <c r="C1776" s="30" t="str">
        <f>IFERROR(_xlfn.XLOOKUP(B1776,Equipo[DESCRIPCION],Equipo[UND],,0),"")</f>
        <v>%MO</v>
      </c>
      <c r="D1776" s="31">
        <v>0.04</v>
      </c>
      <c r="E1776" s="32">
        <f>IF(C1776="%MO",G1781,IFERROR(_xlfn.XLOOKUP($B1776,Equipo[DESCRIPCION],Equipo[VALOR],,0),""))</f>
        <v>17233.270789800001</v>
      </c>
      <c r="F1776" s="33"/>
      <c r="G1776" s="34">
        <f>IFERROR(IF(F1776&gt;=0,D1776*E1776*(1+F1776/100),ABS(D1776*E1776/F1776)),"")</f>
        <v>689.3308315920001</v>
      </c>
      <c r="H1776" s="43">
        <f>IFERROR(G1776*E1766,"")</f>
        <v>0</v>
      </c>
    </row>
    <row r="1777" spans="1:10" ht="12.75" customHeight="1">
      <c r="A1777" s="28"/>
      <c r="B1777" s="29" t="s">
        <v>3626</v>
      </c>
      <c r="C1777" s="30" t="str">
        <f>IFERROR(_xlfn.XLOOKUP(B1777,Equipo[DESCRIPCION],Equipo[UND],,0),"")</f>
        <v>%MO</v>
      </c>
      <c r="D1777" s="31">
        <v>0.05</v>
      </c>
      <c r="E1777" s="32">
        <f>IF(C1777="%MO",G1781,IFERROR(_xlfn.XLOOKUP($B1777,Equipo[DESCRIPCION],Equipo[VALOR],,0),""))</f>
        <v>17233.270789800001</v>
      </c>
      <c r="F1777" s="33"/>
      <c r="G1777" s="34">
        <f>IFERROR(IF(F1777&gt;=0,D1777*E1777*(1+F1777/100),ABS(D1777*E1777/F1777)),"")</f>
        <v>861.66353949000006</v>
      </c>
      <c r="H1777" s="43">
        <f>IFERROR(G1777*E1766,"")</f>
        <v>0</v>
      </c>
    </row>
    <row r="1778" spans="1:10" ht="12.75" customHeight="1">
      <c r="A1778" s="21"/>
      <c r="B1778" s="22" t="s">
        <v>2533</v>
      </c>
      <c r="C1778" s="23"/>
      <c r="D1778" s="24"/>
      <c r="E1778" s="25"/>
      <c r="F1778" s="26"/>
      <c r="G1778" s="27">
        <f>SUM(G1779:G1780)</f>
        <v>0</v>
      </c>
      <c r="H1778" s="44">
        <f>G1778*E1766</f>
        <v>0</v>
      </c>
    </row>
    <row r="1779" spans="1:10" ht="12.75" customHeight="1">
      <c r="A1779" s="28"/>
      <c r="B1779" s="29"/>
      <c r="C1779" s="30" t="str">
        <f>IFERROR(_xlfn.XLOOKUP(B1779,Transporte[DESCRIPCION],Transporte[UND],,0),"")</f>
        <v/>
      </c>
      <c r="D1779" s="31"/>
      <c r="E1779" s="32" t="str">
        <f>IFERROR(_xlfn.XLOOKUP($B1779,Transporte[DESCRIPCION],Transporte[VALOR],,0),"")</f>
        <v/>
      </c>
      <c r="F1779" s="33"/>
      <c r="G1779" s="34" t="str">
        <f>IFERROR(IF(F1779&gt;=0,D1779*E1779*(1+F1779/100),ABS(D1779*E1779/F1779)),"")</f>
        <v/>
      </c>
      <c r="H1779" s="43" t="str">
        <f>IFERROR(G1779*E1766,"")</f>
        <v/>
      </c>
    </row>
    <row r="1780" spans="1:10" ht="12.75" customHeight="1">
      <c r="A1780" s="28"/>
      <c r="B1780" s="29"/>
      <c r="C1780" s="30" t="str">
        <f>IFERROR(_xlfn.XLOOKUP(B1780,Transporte[DESCRIPCION],Transporte[UND],,0),"")</f>
        <v/>
      </c>
      <c r="D1780" s="31"/>
      <c r="E1780" s="32" t="str">
        <f>IFERROR(_xlfn.XLOOKUP($B1780,Transporte[DESCRIPCION],Transporte[VALOR],,0),"")</f>
        <v/>
      </c>
      <c r="F1780" s="33"/>
      <c r="G1780" s="34" t="str">
        <f>IFERROR(IF(F1780&gt;=0,D1780*E1780*(1+F1780/100),ABS(D1780*E1780/F1780)),"")</f>
        <v/>
      </c>
      <c r="H1780" s="43" t="str">
        <f>IFERROR(G1780*E1766,"")</f>
        <v/>
      </c>
    </row>
    <row r="1781" spans="1:10" ht="12.75" customHeight="1">
      <c r="A1781" s="21"/>
      <c r="B1781" s="22" t="s">
        <v>3732</v>
      </c>
      <c r="C1781" s="23"/>
      <c r="D1781" s="24"/>
      <c r="E1781" s="25"/>
      <c r="F1781" s="26"/>
      <c r="G1781" s="27">
        <f>SUM(G1782:G1784)</f>
        <v>17233.270789800001</v>
      </c>
      <c r="H1781" s="44">
        <f>G1781*E1766</f>
        <v>0</v>
      </c>
    </row>
    <row r="1782" spans="1:10" ht="12.75" customHeight="1">
      <c r="A1782" s="28"/>
      <c r="B1782" s="29" t="s">
        <v>3711</v>
      </c>
      <c r="C1782" s="30" t="str">
        <f>IFERROR(_xlfn.XLOOKUP(B1782,MObra[DESCRIPCION],MObra[UN],,0),"")</f>
        <v>día</v>
      </c>
      <c r="D1782" s="31">
        <v>1</v>
      </c>
      <c r="E1782" s="32">
        <f>IFERROR(_xlfn.XLOOKUP($B1782,MObra[DESCRIPCION],MObra[VALOR UNIT],,0),"")</f>
        <v>430831.76974500006</v>
      </c>
      <c r="F1782" s="33">
        <v>-25</v>
      </c>
      <c r="G1782" s="34">
        <f>IFERROR(IF(F1782&gt;=0,D1782*E1782*(1+F1782/100),ABS(D1782*E1782/F1782)),"")</f>
        <v>17233.270789800001</v>
      </c>
      <c r="H1782" s="43">
        <f>IFERROR(G1782*E1766,"")</f>
        <v>0</v>
      </c>
    </row>
    <row r="1783" spans="1:10" ht="12.75" customHeight="1">
      <c r="A1783" s="28"/>
      <c r="B1783" s="29"/>
      <c r="C1783" s="30" t="str">
        <f t="array" ref="C1783">IFERROR(_xlfn.XLOOKUP(B1783,MObra[[#All],[DESCRIPCION]],MObra[[#All],[UN]],,0),"")</f>
        <v/>
      </c>
      <c r="D1783" s="31"/>
      <c r="E1783" s="32" t="str">
        <f>IFERROR(_xlfn.XLOOKUP($B1783,MObra[DESCRIPCION],MObra[VALOR UNIT],,0),"")</f>
        <v/>
      </c>
      <c r="F1783" s="33"/>
      <c r="G1783" s="34" t="str">
        <f>IFERROR(IF(F1783&gt;=0,D1783*E1783*(1+F1783/100),ABS(D1783*E1783/F1783)),"")</f>
        <v/>
      </c>
      <c r="H1783" s="43" t="str">
        <f>IFERROR(G1783*E1766,"")</f>
        <v/>
      </c>
    </row>
    <row r="1784" spans="1:10" ht="12.75" customHeight="1" thickBot="1">
      <c r="A1784" s="35"/>
      <c r="B1784" s="36"/>
      <c r="C1784" s="37" t="str">
        <f t="array" ref="C1784">IFERROR(_xlfn.XLOOKUP(B1784,MObra[[#All],[DESCRIPCION]],MObra[[#All],[UN]],,0),"")</f>
        <v/>
      </c>
      <c r="D1784" s="38"/>
      <c r="E1784" s="39" t="str">
        <f>IFERROR(_xlfn.XLOOKUP($B1784,MObra[DESCRIPCION],MObra[VALOR UNIT],,0),"")</f>
        <v/>
      </c>
      <c r="F1784" s="40"/>
      <c r="G1784" s="41" t="str">
        <f>IFERROR(IF(F1784&gt;=0,D1784*E1784*(1+F1784/100),ABS(D1784*E1784/F1784)),"")</f>
        <v/>
      </c>
      <c r="H1784" s="42" t="str">
        <f>IFERROR(G1784*E1766,"")</f>
        <v/>
      </c>
    </row>
    <row r="1785" spans="1:10" ht="12.75" customHeight="1" thickTop="1" thickBot="1">
      <c r="E1785" s="49"/>
      <c r="G1785" s="3"/>
    </row>
    <row r="1786" spans="1:10" ht="12.75" customHeight="1" thickTop="1" thickBot="1">
      <c r="A1786" s="6" t="s">
        <v>198</v>
      </c>
      <c r="B1786" s="7" t="str">
        <f>VLOOKUP($A1786,Presupuesto!$A:$D,2,FALSE())</f>
        <v>Desmonte tubería alcantarillado 12"&lt;=Ø&lt;24"</v>
      </c>
      <c r="C1786" s="8" t="str">
        <f>VLOOKUP($A1786,Presupuesto!$A:$D,3,FALSE())</f>
        <v>M</v>
      </c>
      <c r="D1786" s="9"/>
      <c r="E1786" s="10">
        <f>VLOOKUP($A1786,Presupuesto!$A:$D,4,FALSE())</f>
        <v>0</v>
      </c>
      <c r="F1786" s="11" t="s">
        <v>2589</v>
      </c>
      <c r="G1786" s="12">
        <f>SUM(G1788:G1804)/2</f>
        <v>41882.785751837509</v>
      </c>
      <c r="H1786" s="13">
        <f>ROUND(SUM(H1788:H1804),0)/2</f>
        <v>0</v>
      </c>
      <c r="I1786" s="10">
        <f>VLOOKUP(A1786,Presupuesto!$A:$F,6,0)</f>
        <v>0</v>
      </c>
      <c r="J1786" s="10">
        <f>+H1786-I1786</f>
        <v>0</v>
      </c>
    </row>
    <row r="1787" spans="1:10" ht="12.75" customHeight="1" thickTop="1">
      <c r="A1787" s="14"/>
      <c r="B1787" s="15" t="s">
        <v>2586</v>
      </c>
      <c r="C1787" s="15" t="s">
        <v>5</v>
      </c>
      <c r="D1787" s="16" t="s">
        <v>6</v>
      </c>
      <c r="E1787" s="17" t="s">
        <v>7</v>
      </c>
      <c r="F1787" s="18" t="s">
        <v>3728</v>
      </c>
      <c r="G1787" s="19" t="s">
        <v>3729</v>
      </c>
      <c r="H1787" s="20" t="s">
        <v>3797</v>
      </c>
    </row>
    <row r="1788" spans="1:10" ht="12.75" customHeight="1">
      <c r="A1788" s="21"/>
      <c r="B1788" s="22" t="s">
        <v>3730</v>
      </c>
      <c r="C1788" s="23"/>
      <c r="D1788" s="24"/>
      <c r="E1788" s="25"/>
      <c r="F1788" s="26"/>
      <c r="G1788" s="27">
        <f>SUM(G1789:G1793)</f>
        <v>0</v>
      </c>
      <c r="H1788" s="27">
        <f>IFERROR(G1788*E1786,"")</f>
        <v>0</v>
      </c>
    </row>
    <row r="1789" spans="1:10" ht="12.75" customHeight="1">
      <c r="A1789" s="28"/>
      <c r="B1789" s="29"/>
      <c r="C1789" s="30" t="str">
        <f>IFERROR(_xlfn.XLOOKUP(B1789,Insumo[DESCRIPCION],Insumo[UND],,0),"")</f>
        <v/>
      </c>
      <c r="D1789" s="31"/>
      <c r="E1789" s="32" t="str">
        <f>IFERROR(_xlfn.XLOOKUP($B1789,Insumo[DESCRIPCION],Insumo[VALOR],,0),"")</f>
        <v/>
      </c>
      <c r="F1789" s="33"/>
      <c r="G1789" s="34" t="str">
        <f>IFERROR(IF(F1789&gt;=0,D1789*E1789*(1+F1789/100),ABS(D1789*E1789/F1789)),"")</f>
        <v/>
      </c>
      <c r="H1789" s="43" t="str">
        <f>IFERROR(G1789*E1786,"")</f>
        <v/>
      </c>
    </row>
    <row r="1790" spans="1:10" ht="12.75" customHeight="1">
      <c r="A1790" s="28"/>
      <c r="B1790" s="29"/>
      <c r="C1790" s="30" t="str">
        <f>IFERROR(_xlfn.XLOOKUP(B1790,Insumo[DESCRIPCION],Insumo[UND],,0),"")</f>
        <v/>
      </c>
      <c r="D1790" s="31"/>
      <c r="E1790" s="32" t="str">
        <f>IFERROR(_xlfn.XLOOKUP($B1790,Insumo[DESCRIPCION],Insumo[VALOR],,0),"")</f>
        <v/>
      </c>
      <c r="F1790" s="33"/>
      <c r="G1790" s="34" t="str">
        <f>IFERROR(IF(F1790&gt;=0,D1790*E1790*(1+F1790/100),ABS(D1790*E1790/F1790)),"")</f>
        <v/>
      </c>
      <c r="H1790" s="43" t="str">
        <f>IFERROR(G1790*E1786,"")</f>
        <v/>
      </c>
    </row>
    <row r="1791" spans="1:10" ht="12.75" customHeight="1">
      <c r="A1791" s="28"/>
      <c r="B1791" s="29"/>
      <c r="C1791" s="30" t="str">
        <f>IFERROR(_xlfn.XLOOKUP(B1791,Insumo[DESCRIPCION],Insumo[UND],,0),"")</f>
        <v/>
      </c>
      <c r="D1791" s="31"/>
      <c r="E1791" s="32" t="str">
        <f>IFERROR(_xlfn.XLOOKUP($B1791,Insumo[DESCRIPCION],Insumo[VALOR],,0),"")</f>
        <v/>
      </c>
      <c r="F1791" s="33"/>
      <c r="G1791" s="34" t="str">
        <f>IFERROR(IF(F1791&gt;=0,D1791*E1791*(1+F1791/100),ABS(D1791*E1791/F1791)),"")</f>
        <v/>
      </c>
      <c r="H1791" s="43" t="str">
        <f>IFERROR(G1791*E1786,"")</f>
        <v/>
      </c>
    </row>
    <row r="1792" spans="1:10" ht="12.75" customHeight="1">
      <c r="A1792" s="28"/>
      <c r="B1792" s="29"/>
      <c r="C1792" s="30" t="str">
        <f>IFERROR(_xlfn.XLOOKUP(B1792,Insumo[DESCRIPCION],Insumo[UND],,0),"")</f>
        <v/>
      </c>
      <c r="D1792" s="31"/>
      <c r="E1792" s="32" t="str">
        <f>IFERROR(_xlfn.XLOOKUP($B1792,Insumo[DESCRIPCION],Insumo[VALOR],,0),"")</f>
        <v/>
      </c>
      <c r="F1792" s="33"/>
      <c r="G1792" s="34" t="str">
        <f>IFERROR(IF(F1792&gt;=0,D1792*E1792*(1+F1792/100),ABS(D1792*E1792/F1792)),"")</f>
        <v/>
      </c>
      <c r="H1792" s="43" t="str">
        <f>IFERROR(G1792*E1786,"")</f>
        <v/>
      </c>
    </row>
    <row r="1793" spans="1:10" ht="12.75" customHeight="1">
      <c r="A1793" s="28"/>
      <c r="B1793" s="29"/>
      <c r="C1793" s="30" t="str">
        <f>IFERROR(_xlfn.XLOOKUP(B1793,Insumo[DESCRIPCION],Insumo[UND],,0),"")</f>
        <v/>
      </c>
      <c r="D1793" s="31"/>
      <c r="E1793" s="32" t="str">
        <f>IFERROR(_xlfn.XLOOKUP($B1793,Insumo[DESCRIPCION],Insumo[VALOR],,0),"")</f>
        <v/>
      </c>
      <c r="F1793" s="33"/>
      <c r="G1793" s="34" t="str">
        <f>IFERROR(IF(F1793&gt;=0,D1793*E1793*(1+F1793/100),ABS(D1793*E1793/F1793)),"")</f>
        <v/>
      </c>
      <c r="H1793" s="43" t="str">
        <f>IFERROR(G1793*E1786,"")</f>
        <v/>
      </c>
    </row>
    <row r="1794" spans="1:10" ht="12.75" customHeight="1">
      <c r="A1794" s="21"/>
      <c r="B1794" s="22" t="s">
        <v>3731</v>
      </c>
      <c r="C1794" s="23"/>
      <c r="D1794" s="24"/>
      <c r="E1794" s="25"/>
      <c r="F1794" s="26"/>
      <c r="G1794" s="27">
        <f>SUM(G1795:G1797)</f>
        <v>5980.1382730875002</v>
      </c>
      <c r="H1794" s="44">
        <f>G1794*E1786</f>
        <v>0</v>
      </c>
    </row>
    <row r="1795" spans="1:10" ht="12.75" customHeight="1">
      <c r="A1795" s="28"/>
      <c r="B1795" s="29" t="s">
        <v>3604</v>
      </c>
      <c r="C1795" s="30" t="str">
        <f>IFERROR(_xlfn.XLOOKUP(B1795,Equipo[DESCRIPCION],Equipo[UND],,0),"")</f>
        <v>Día</v>
      </c>
      <c r="D1795" s="31">
        <v>1</v>
      </c>
      <c r="E1795" s="32">
        <f>IF(C1795="%MO",G1801,IFERROR(_xlfn.XLOOKUP($B1795,Equipo[DESCRIPCION],Equipo[VALOR],,0),""))</f>
        <v>54978</v>
      </c>
      <c r="F1795" s="33">
        <v>-20</v>
      </c>
      <c r="G1795" s="34">
        <f>IFERROR(IF(F1795&gt;=0,D1795*E1795*(1+F1795/100),ABS(D1795*E1795/F1795)),"")</f>
        <v>2748.9</v>
      </c>
      <c r="H1795" s="43">
        <f>IFERROR(G1795*E1786,"")</f>
        <v>0</v>
      </c>
    </row>
    <row r="1796" spans="1:10" ht="12.75" customHeight="1">
      <c r="A1796" s="28"/>
      <c r="B1796" s="29" t="s">
        <v>3570</v>
      </c>
      <c r="C1796" s="30" t="str">
        <f>IFERROR(_xlfn.XLOOKUP(B1796,Equipo[DESCRIPCION],Equipo[UND],,0),"")</f>
        <v>%MO</v>
      </c>
      <c r="D1796" s="31">
        <v>0.04</v>
      </c>
      <c r="E1796" s="32">
        <f>IF(C1796="%MO",G1801,IFERROR(_xlfn.XLOOKUP($B1796,Equipo[DESCRIPCION],Equipo[VALOR],,0),""))</f>
        <v>35902.647478750005</v>
      </c>
      <c r="F1796" s="33"/>
      <c r="G1796" s="34">
        <f>IFERROR(IF(F1796&gt;=0,D1796*E1796*(1+F1796/100),ABS(D1796*E1796/F1796)),"")</f>
        <v>1436.1058991500001</v>
      </c>
      <c r="H1796" s="43">
        <f>IFERROR(G1796*E1786,"")</f>
        <v>0</v>
      </c>
    </row>
    <row r="1797" spans="1:10" ht="12.75" customHeight="1">
      <c r="A1797" s="28"/>
      <c r="B1797" s="29" t="s">
        <v>3626</v>
      </c>
      <c r="C1797" s="30" t="str">
        <f>IFERROR(_xlfn.XLOOKUP(B1797,Equipo[DESCRIPCION],Equipo[UND],,0),"")</f>
        <v>%MO</v>
      </c>
      <c r="D1797" s="31">
        <v>0.05</v>
      </c>
      <c r="E1797" s="32">
        <f>IF(C1797="%MO",G1801,IFERROR(_xlfn.XLOOKUP($B1797,Equipo[DESCRIPCION],Equipo[VALOR],,0),""))</f>
        <v>35902.647478750005</v>
      </c>
      <c r="F1797" s="33"/>
      <c r="G1797" s="34">
        <f>IFERROR(IF(F1797&gt;=0,D1797*E1797*(1+F1797/100),ABS(D1797*E1797/F1797)),"")</f>
        <v>1795.1323739375002</v>
      </c>
      <c r="H1797" s="43">
        <f>IFERROR(G1797*E1786,"")</f>
        <v>0</v>
      </c>
    </row>
    <row r="1798" spans="1:10" ht="12.75" customHeight="1">
      <c r="A1798" s="21"/>
      <c r="B1798" s="22" t="s">
        <v>2533</v>
      </c>
      <c r="C1798" s="23"/>
      <c r="D1798" s="24"/>
      <c r="E1798" s="25"/>
      <c r="F1798" s="26"/>
      <c r="G1798" s="27">
        <f>SUM(G1799:G1800)</f>
        <v>0</v>
      </c>
      <c r="H1798" s="44">
        <f>G1798*E1786</f>
        <v>0</v>
      </c>
    </row>
    <row r="1799" spans="1:10" ht="12.75" customHeight="1">
      <c r="A1799" s="28"/>
      <c r="B1799" s="29"/>
      <c r="C1799" s="30" t="str">
        <f>IFERROR(_xlfn.XLOOKUP(B1799,Transporte[DESCRIPCION],Transporte[UND],,0),"")</f>
        <v/>
      </c>
      <c r="D1799" s="31"/>
      <c r="E1799" s="32" t="str">
        <f>IFERROR(_xlfn.XLOOKUP($B1799,Transporte[DESCRIPCION],Transporte[VALOR],,0),"")</f>
        <v/>
      </c>
      <c r="F1799" s="33"/>
      <c r="G1799" s="34" t="str">
        <f>IFERROR(IF(F1799&gt;=0,D1799*E1799*(1+F1799/100),ABS(D1799*E1799/F1799)),"")</f>
        <v/>
      </c>
      <c r="H1799" s="43" t="str">
        <f>IFERROR(G1799*E1786,"")</f>
        <v/>
      </c>
    </row>
    <row r="1800" spans="1:10" ht="12.75" customHeight="1">
      <c r="A1800" s="28"/>
      <c r="B1800" s="29"/>
      <c r="C1800" s="30" t="str">
        <f>IFERROR(_xlfn.XLOOKUP(B1800,Transporte[DESCRIPCION],Transporte[UND],,0),"")</f>
        <v/>
      </c>
      <c r="D1800" s="31"/>
      <c r="E1800" s="32" t="str">
        <f>IFERROR(_xlfn.XLOOKUP($B1800,Transporte[DESCRIPCION],Transporte[VALOR],,0),"")</f>
        <v/>
      </c>
      <c r="F1800" s="33"/>
      <c r="G1800" s="34" t="str">
        <f>IFERROR(IF(F1800&gt;=0,D1800*E1800*(1+F1800/100),ABS(D1800*E1800/F1800)),"")</f>
        <v/>
      </c>
      <c r="H1800" s="43" t="str">
        <f>IFERROR(G1800*E1786,"")</f>
        <v/>
      </c>
    </row>
    <row r="1801" spans="1:10" ht="12.75" customHeight="1">
      <c r="A1801" s="21"/>
      <c r="B1801" s="22" t="s">
        <v>3732</v>
      </c>
      <c r="C1801" s="23"/>
      <c r="D1801" s="24"/>
      <c r="E1801" s="25"/>
      <c r="F1801" s="26"/>
      <c r="G1801" s="27">
        <f>SUM(G1802:G1804)</f>
        <v>35902.647478750005</v>
      </c>
      <c r="H1801" s="44">
        <f>G1801*E1786</f>
        <v>0</v>
      </c>
    </row>
    <row r="1802" spans="1:10" ht="12.75" customHeight="1">
      <c r="A1802" s="28"/>
      <c r="B1802" s="29" t="s">
        <v>3711</v>
      </c>
      <c r="C1802" s="30" t="str">
        <f>IFERROR(_xlfn.XLOOKUP(B1802,MObra[DESCRIPCION],MObra[UN],,0),"")</f>
        <v>día</v>
      </c>
      <c r="D1802" s="31">
        <v>1</v>
      </c>
      <c r="E1802" s="32">
        <f>IFERROR(_xlfn.XLOOKUP($B1802,MObra[DESCRIPCION],MObra[VALOR UNIT],,0),"")</f>
        <v>430831.76974500006</v>
      </c>
      <c r="F1802" s="33">
        <v>-12</v>
      </c>
      <c r="G1802" s="34">
        <f>IFERROR(IF(F1802&gt;=0,D1802*E1802*(1+F1802/100),ABS(D1802*E1802/F1802)),"")</f>
        <v>35902.647478750005</v>
      </c>
      <c r="H1802" s="43">
        <f>IFERROR(G1802*E1786,"")</f>
        <v>0</v>
      </c>
    </row>
    <row r="1803" spans="1:10" ht="12.75" customHeight="1">
      <c r="A1803" s="28"/>
      <c r="B1803" s="29"/>
      <c r="C1803" s="30" t="str">
        <f t="array" ref="C1803">IFERROR(_xlfn.XLOOKUP(B1803,MObra[[#All],[DESCRIPCION]],MObra[[#All],[UN]],,0),"")</f>
        <v/>
      </c>
      <c r="D1803" s="31"/>
      <c r="E1803" s="32" t="str">
        <f>IFERROR(_xlfn.XLOOKUP($B1803,MObra[DESCRIPCION],MObra[VALOR UNIT],,0),"")</f>
        <v/>
      </c>
      <c r="F1803" s="33"/>
      <c r="G1803" s="34" t="str">
        <f>IFERROR(IF(F1803&gt;=0,D1803*E1803*(1+F1803/100),ABS(D1803*E1803/F1803)),"")</f>
        <v/>
      </c>
      <c r="H1803" s="43" t="str">
        <f>IFERROR(G1803*E1786,"")</f>
        <v/>
      </c>
    </row>
    <row r="1804" spans="1:10" ht="12.75" customHeight="1" thickBot="1">
      <c r="A1804" s="35"/>
      <c r="B1804" s="36"/>
      <c r="C1804" s="37" t="str">
        <f t="array" ref="C1804">IFERROR(_xlfn.XLOOKUP(B1804,MObra[[#All],[DESCRIPCION]],MObra[[#All],[UN]],,0),"")</f>
        <v/>
      </c>
      <c r="D1804" s="38"/>
      <c r="E1804" s="39" t="str">
        <f>IFERROR(_xlfn.XLOOKUP($B1804,MObra[DESCRIPCION],MObra[VALOR UNIT],,0),"")</f>
        <v/>
      </c>
      <c r="F1804" s="40"/>
      <c r="G1804" s="41" t="str">
        <f>IFERROR(IF(F1804&gt;=0,D1804*E1804*(1+F1804/100),ABS(D1804*E1804/F1804)),"")</f>
        <v/>
      </c>
      <c r="H1804" s="42" t="str">
        <f>IFERROR(G1804*E1786,"")</f>
        <v/>
      </c>
    </row>
    <row r="1805" spans="1:10" ht="12.75" customHeight="1" thickTop="1" thickBot="1">
      <c r="E1805" s="49"/>
      <c r="G1805" s="3"/>
    </row>
    <row r="1806" spans="1:10" ht="12.75" customHeight="1" thickTop="1" thickBot="1">
      <c r="A1806" s="6" t="s">
        <v>200</v>
      </c>
      <c r="B1806" s="7" t="str">
        <f>VLOOKUP($A1806,Presupuesto!$A:$D,2,FALSE())</f>
        <v>Desmonte tubería alcantarillado Ø&lt;12"</v>
      </c>
      <c r="C1806" s="8" t="str">
        <f>VLOOKUP($A1806,Presupuesto!$A:$D,3,FALSE())</f>
        <v>M</v>
      </c>
      <c r="D1806" s="9"/>
      <c r="E1806" s="10">
        <f>VLOOKUP($A1806,Presupuesto!$A:$D,4,FALSE())</f>
        <v>0</v>
      </c>
      <c r="F1806" s="11" t="s">
        <v>2589</v>
      </c>
      <c r="G1806" s="12">
        <f>SUM(G1808:G1824)/2</f>
        <v>21153.451757750005</v>
      </c>
      <c r="H1806" s="13">
        <f>ROUND(SUM(H1808:H1824),0)/2</f>
        <v>0</v>
      </c>
      <c r="I1806" s="10">
        <f>VLOOKUP(A1806,Presupuesto!$A:$F,6,0)</f>
        <v>0</v>
      </c>
      <c r="J1806" s="10">
        <f>+H1806-I1806</f>
        <v>0</v>
      </c>
    </row>
    <row r="1807" spans="1:10" ht="12.75" customHeight="1" thickTop="1">
      <c r="A1807" s="14"/>
      <c r="B1807" s="15" t="s">
        <v>2586</v>
      </c>
      <c r="C1807" s="15" t="s">
        <v>5</v>
      </c>
      <c r="D1807" s="16" t="s">
        <v>6</v>
      </c>
      <c r="E1807" s="17" t="s">
        <v>7</v>
      </c>
      <c r="F1807" s="18" t="s">
        <v>3728</v>
      </c>
      <c r="G1807" s="19" t="s">
        <v>3729</v>
      </c>
      <c r="H1807" s="20" t="s">
        <v>3797</v>
      </c>
    </row>
    <row r="1808" spans="1:10" ht="12.75" customHeight="1">
      <c r="A1808" s="21"/>
      <c r="B1808" s="22" t="s">
        <v>3730</v>
      </c>
      <c r="C1808" s="23"/>
      <c r="D1808" s="24"/>
      <c r="E1808" s="25"/>
      <c r="F1808" s="26"/>
      <c r="G1808" s="27">
        <f>SUM(G1809:G1813)</f>
        <v>0</v>
      </c>
      <c r="H1808" s="27">
        <f>IFERROR(G1808*E1806,"")</f>
        <v>0</v>
      </c>
    </row>
    <row r="1809" spans="1:8" ht="12.75" customHeight="1">
      <c r="A1809" s="28"/>
      <c r="B1809" s="29"/>
      <c r="C1809" s="30" t="str">
        <f>IFERROR(_xlfn.XLOOKUP(B1809,Insumo[DESCRIPCION],Insumo[UND],,0),"")</f>
        <v/>
      </c>
      <c r="D1809" s="31"/>
      <c r="E1809" s="32" t="str">
        <f>IFERROR(_xlfn.XLOOKUP($B1809,Insumo[DESCRIPCION],Insumo[VALOR],,0),"")</f>
        <v/>
      </c>
      <c r="F1809" s="33"/>
      <c r="G1809" s="34" t="str">
        <f>IFERROR(IF(F1809&gt;=0,D1809*E1809*(1+F1809/100),ABS(D1809*E1809/F1809)),"")</f>
        <v/>
      </c>
      <c r="H1809" s="43" t="str">
        <f>IFERROR(G1809*E1806,"")</f>
        <v/>
      </c>
    </row>
    <row r="1810" spans="1:8" ht="12.75" customHeight="1">
      <c r="A1810" s="28"/>
      <c r="B1810" s="29"/>
      <c r="C1810" s="30" t="str">
        <f>IFERROR(_xlfn.XLOOKUP(B1810,Insumo[DESCRIPCION],Insumo[UND],,0),"")</f>
        <v/>
      </c>
      <c r="D1810" s="31"/>
      <c r="E1810" s="32" t="str">
        <f>IFERROR(_xlfn.XLOOKUP($B1810,Insumo[DESCRIPCION],Insumo[VALOR],,0),"")</f>
        <v/>
      </c>
      <c r="F1810" s="33"/>
      <c r="G1810" s="34" t="str">
        <f>IFERROR(IF(F1810&gt;=0,D1810*E1810*(1+F1810/100),ABS(D1810*E1810/F1810)),"")</f>
        <v/>
      </c>
      <c r="H1810" s="43" t="str">
        <f>IFERROR(G1810*E1806,"")</f>
        <v/>
      </c>
    </row>
    <row r="1811" spans="1:8" ht="12.75" customHeight="1">
      <c r="A1811" s="28"/>
      <c r="B1811" s="29"/>
      <c r="C1811" s="30" t="str">
        <f>IFERROR(_xlfn.XLOOKUP(B1811,Insumo[DESCRIPCION],Insumo[UND],,0),"")</f>
        <v/>
      </c>
      <c r="D1811" s="31"/>
      <c r="E1811" s="32" t="str">
        <f>IFERROR(_xlfn.XLOOKUP($B1811,Insumo[DESCRIPCION],Insumo[VALOR],,0),"")</f>
        <v/>
      </c>
      <c r="F1811" s="33"/>
      <c r="G1811" s="34" t="str">
        <f>IFERROR(IF(F1811&gt;=0,D1811*E1811*(1+F1811/100),ABS(D1811*E1811/F1811)),"")</f>
        <v/>
      </c>
      <c r="H1811" s="43" t="str">
        <f>IFERROR(G1811*E1806,"")</f>
        <v/>
      </c>
    </row>
    <row r="1812" spans="1:8" ht="12.75" customHeight="1">
      <c r="A1812" s="28"/>
      <c r="B1812" s="29"/>
      <c r="C1812" s="30" t="str">
        <f>IFERROR(_xlfn.XLOOKUP(B1812,Insumo[DESCRIPCION],Insumo[UND],,0),"")</f>
        <v/>
      </c>
      <c r="D1812" s="31"/>
      <c r="E1812" s="32" t="str">
        <f>IFERROR(_xlfn.XLOOKUP($B1812,Insumo[DESCRIPCION],Insumo[VALOR],,0),"")</f>
        <v/>
      </c>
      <c r="F1812" s="33"/>
      <c r="G1812" s="34" t="str">
        <f>IFERROR(IF(F1812&gt;=0,D1812*E1812*(1+F1812/100),ABS(D1812*E1812/F1812)),"")</f>
        <v/>
      </c>
      <c r="H1812" s="43" t="str">
        <f>IFERROR(G1812*E1806,"")</f>
        <v/>
      </c>
    </row>
    <row r="1813" spans="1:8" ht="12.75" customHeight="1">
      <c r="A1813" s="28"/>
      <c r="B1813" s="29"/>
      <c r="C1813" s="30" t="str">
        <f>IFERROR(_xlfn.XLOOKUP(B1813,Insumo[DESCRIPCION],Insumo[UND],,0),"")</f>
        <v/>
      </c>
      <c r="D1813" s="31"/>
      <c r="E1813" s="32" t="str">
        <f>IFERROR(_xlfn.XLOOKUP($B1813,Insumo[DESCRIPCION],Insumo[VALOR],,0),"")</f>
        <v/>
      </c>
      <c r="F1813" s="33"/>
      <c r="G1813" s="34" t="str">
        <f>IFERROR(IF(F1813&gt;=0,D1813*E1813*(1+F1813/100),ABS(D1813*E1813/F1813)),"")</f>
        <v/>
      </c>
      <c r="H1813" s="43" t="str">
        <f>IFERROR(G1813*E1806,"")</f>
        <v/>
      </c>
    </row>
    <row r="1814" spans="1:8" ht="12.75" customHeight="1">
      <c r="A1814" s="21"/>
      <c r="B1814" s="22" t="s">
        <v>3731</v>
      </c>
      <c r="C1814" s="23"/>
      <c r="D1814" s="24"/>
      <c r="E1814" s="25"/>
      <c r="F1814" s="26"/>
      <c r="G1814" s="27">
        <f>SUM(G1815:G1817)</f>
        <v>1746.6152827500005</v>
      </c>
      <c r="H1814" s="44">
        <f>G1814*E1806</f>
        <v>0</v>
      </c>
    </row>
    <row r="1815" spans="1:8" ht="12.75" customHeight="1">
      <c r="A1815" s="28"/>
      <c r="B1815" s="29" t="s">
        <v>3570</v>
      </c>
      <c r="C1815" s="30" t="str">
        <f>IFERROR(_xlfn.XLOOKUP(B1815,Equipo[DESCRIPCION],Equipo[UND],,0),"")</f>
        <v>%MO</v>
      </c>
      <c r="D1815" s="31">
        <v>0.04</v>
      </c>
      <c r="E1815" s="32">
        <f>IF(C1815="%MO",G1821,IFERROR(_xlfn.XLOOKUP($B1815,Equipo[DESCRIPCION],Equipo[VALOR],,0),""))</f>
        <v>19406.836475000004</v>
      </c>
      <c r="F1815" s="33"/>
      <c r="G1815" s="34">
        <f>IFERROR(IF(F1815&gt;=0,D1815*E1815*(1+F1815/100),ABS(D1815*E1815/F1815)),"")</f>
        <v>776.27345900000012</v>
      </c>
      <c r="H1815" s="43">
        <f>IFERROR(G1815*E1806,"")</f>
        <v>0</v>
      </c>
    </row>
    <row r="1816" spans="1:8" ht="12.75" customHeight="1">
      <c r="A1816" s="28"/>
      <c r="B1816" s="29" t="s">
        <v>3626</v>
      </c>
      <c r="C1816" s="30" t="str">
        <f>IFERROR(_xlfn.XLOOKUP(B1816,Equipo[DESCRIPCION],Equipo[UND],,0),"")</f>
        <v>%MO</v>
      </c>
      <c r="D1816" s="31">
        <v>0.05</v>
      </c>
      <c r="E1816" s="32">
        <f>IF(C1816="%MO",G1821,IFERROR(_xlfn.XLOOKUP($B1816,Equipo[DESCRIPCION],Equipo[VALOR],,0),""))</f>
        <v>19406.836475000004</v>
      </c>
      <c r="F1816" s="33"/>
      <c r="G1816" s="34">
        <f>IFERROR(IF(F1816&gt;=0,D1816*E1816*(1+F1816/100),ABS(D1816*E1816/F1816)),"")</f>
        <v>970.34182375000023</v>
      </c>
      <c r="H1816" s="43">
        <f>IFERROR(G1816*E1806,"")</f>
        <v>0</v>
      </c>
    </row>
    <row r="1817" spans="1:8" ht="12.75" customHeight="1">
      <c r="A1817" s="28"/>
      <c r="B1817" s="29"/>
      <c r="C1817" s="30" t="str">
        <f>IFERROR(_xlfn.XLOOKUP(B1817,Equipo[DESCRIPCION],Equipo[UND],,0),"")</f>
        <v/>
      </c>
      <c r="D1817" s="31"/>
      <c r="E1817" s="32" t="str">
        <f>IF(C1817="%MO",G1821,IFERROR(_xlfn.XLOOKUP($B1817,Equipo[DESCRIPCION],Equipo[VALOR],,0),""))</f>
        <v/>
      </c>
      <c r="F1817" s="33"/>
      <c r="G1817" s="34" t="str">
        <f>IFERROR(IF(F1817&gt;=0,D1817*E1817*(1+F1817/100),ABS(D1817*E1817/F1817)),"")</f>
        <v/>
      </c>
      <c r="H1817" s="43" t="str">
        <f>IFERROR(G1817*E1806,"")</f>
        <v/>
      </c>
    </row>
    <row r="1818" spans="1:8" ht="12.75" customHeight="1">
      <c r="A1818" s="21"/>
      <c r="B1818" s="22" t="s">
        <v>2533</v>
      </c>
      <c r="C1818" s="23"/>
      <c r="D1818" s="24"/>
      <c r="E1818" s="25"/>
      <c r="F1818" s="26"/>
      <c r="G1818" s="27">
        <f>SUM(G1819:G1820)</f>
        <v>0</v>
      </c>
      <c r="H1818" s="44">
        <f>G1818*E1806</f>
        <v>0</v>
      </c>
    </row>
    <row r="1819" spans="1:8" ht="12.75" customHeight="1">
      <c r="A1819" s="28"/>
      <c r="B1819" s="29"/>
      <c r="C1819" s="30" t="str">
        <f>IFERROR(_xlfn.XLOOKUP(B1819,Transporte[DESCRIPCION],Transporte[UND],,0),"")</f>
        <v/>
      </c>
      <c r="D1819" s="31"/>
      <c r="E1819" s="32" t="str">
        <f>IFERROR(_xlfn.XLOOKUP($B1819,Transporte[DESCRIPCION],Transporte[VALOR],,0),"")</f>
        <v/>
      </c>
      <c r="F1819" s="33"/>
      <c r="G1819" s="34" t="str">
        <f>IFERROR(IF(F1819&gt;=0,D1819*E1819*(1+F1819/100),ABS(D1819*E1819/F1819)),"")</f>
        <v/>
      </c>
      <c r="H1819" s="43" t="str">
        <f>IFERROR(G1819*E1806,"")</f>
        <v/>
      </c>
    </row>
    <row r="1820" spans="1:8" ht="12.75" customHeight="1">
      <c r="A1820" s="28"/>
      <c r="B1820" s="29"/>
      <c r="C1820" s="30" t="str">
        <f>IFERROR(_xlfn.XLOOKUP(B1820,Transporte[DESCRIPCION],Transporte[UND],,0),"")</f>
        <v/>
      </c>
      <c r="D1820" s="31"/>
      <c r="E1820" s="32" t="str">
        <f>IFERROR(_xlfn.XLOOKUP($B1820,Transporte[DESCRIPCION],Transporte[VALOR],,0),"")</f>
        <v/>
      </c>
      <c r="F1820" s="33"/>
      <c r="G1820" s="34" t="str">
        <f>IFERROR(IF(F1820&gt;=0,D1820*E1820*(1+F1820/100),ABS(D1820*E1820/F1820)),"")</f>
        <v/>
      </c>
      <c r="H1820" s="43" t="str">
        <f>IFERROR(G1820*E1806,"")</f>
        <v/>
      </c>
    </row>
    <row r="1821" spans="1:8" ht="12.75" customHeight="1">
      <c r="A1821" s="21"/>
      <c r="B1821" s="22" t="s">
        <v>3732</v>
      </c>
      <c r="C1821" s="23"/>
      <c r="D1821" s="24"/>
      <c r="E1821" s="25"/>
      <c r="F1821" s="26"/>
      <c r="G1821" s="27">
        <f>SUM(G1822:G1824)</f>
        <v>19406.836475000004</v>
      </c>
      <c r="H1821" s="44">
        <f>G1821*E1806</f>
        <v>0</v>
      </c>
    </row>
    <row r="1822" spans="1:8" ht="12.75" customHeight="1">
      <c r="A1822" s="28"/>
      <c r="B1822" s="29" t="s">
        <v>3698</v>
      </c>
      <c r="C1822" s="30" t="str">
        <f>IFERROR(_xlfn.XLOOKUP(B1822,MObra[DESCRIPCION],MObra[UN],,0),"")</f>
        <v>día</v>
      </c>
      <c r="D1822" s="31">
        <v>1</v>
      </c>
      <c r="E1822" s="32">
        <f>IFERROR(_xlfn.XLOOKUP($B1822,MObra[DESCRIPCION],MObra[VALOR UNIT],,0),"")</f>
        <v>116441.01885000002</v>
      </c>
      <c r="F1822" s="33">
        <v>-6</v>
      </c>
      <c r="G1822" s="34">
        <f>IFERROR(IF(F1822&gt;=0,D1822*E1822*(1+F1822/100),ABS(D1822*E1822/F1822)),"")</f>
        <v>19406.836475000004</v>
      </c>
      <c r="H1822" s="43">
        <f>IFERROR(G1822*E1806,"")</f>
        <v>0</v>
      </c>
    </row>
    <row r="1823" spans="1:8" ht="12.75" customHeight="1">
      <c r="A1823" s="28"/>
      <c r="B1823" s="29"/>
      <c r="C1823" s="30" t="str">
        <f t="array" ref="C1823">IFERROR(_xlfn.XLOOKUP(B1823,MObra[[#All],[DESCRIPCION]],MObra[[#All],[UN]],,0),"")</f>
        <v/>
      </c>
      <c r="D1823" s="31"/>
      <c r="E1823" s="32" t="str">
        <f>IFERROR(_xlfn.XLOOKUP($B1823,MObra[DESCRIPCION],MObra[VALOR UNIT],,0),"")</f>
        <v/>
      </c>
      <c r="F1823" s="33"/>
      <c r="G1823" s="34" t="str">
        <f>IFERROR(IF(F1823&gt;=0,D1823*E1823*(1+F1823/100),ABS(D1823*E1823/F1823)),"")</f>
        <v/>
      </c>
      <c r="H1823" s="43" t="str">
        <f>IFERROR(G1823*E1806,"")</f>
        <v/>
      </c>
    </row>
    <row r="1824" spans="1:8" ht="12.75" customHeight="1" thickBot="1">
      <c r="A1824" s="35"/>
      <c r="B1824" s="36"/>
      <c r="C1824" s="37" t="str">
        <f t="array" ref="C1824">IFERROR(_xlfn.XLOOKUP(B1824,MObra[[#All],[DESCRIPCION]],MObra[[#All],[UN]],,0),"")</f>
        <v/>
      </c>
      <c r="D1824" s="38"/>
      <c r="E1824" s="39" t="str">
        <f>IFERROR(_xlfn.XLOOKUP($B1824,MObra[DESCRIPCION],MObra[VALOR UNIT],,0),"")</f>
        <v/>
      </c>
      <c r="F1824" s="40"/>
      <c r="G1824" s="41" t="str">
        <f>IFERROR(IF(F1824&gt;=0,D1824*E1824*(1+F1824/100),ABS(D1824*E1824/F1824)),"")</f>
        <v/>
      </c>
      <c r="H1824" s="42" t="str">
        <f>IFERROR(G1824*E1806,"")</f>
        <v/>
      </c>
    </row>
    <row r="1825" spans="1:10" ht="12.75" customHeight="1" thickTop="1" thickBot="1">
      <c r="E1825" s="49"/>
      <c r="G1825" s="3"/>
    </row>
    <row r="1826" spans="1:10" ht="12.75" customHeight="1" thickTop="1" thickBot="1">
      <c r="A1826" s="6" t="s">
        <v>202</v>
      </c>
      <c r="B1826" s="7" t="str">
        <f>VLOOKUP($A1826,Presupuesto!$A:$D,2,FALSE())</f>
        <v>Desmonte tubería hidráulica galvanizada</v>
      </c>
      <c r="C1826" s="8" t="str">
        <f>VLOOKUP($A1826,Presupuesto!$A:$D,3,FALSE())</f>
        <v>M</v>
      </c>
      <c r="D1826" s="9"/>
      <c r="E1826" s="10">
        <f>VLOOKUP($A1826,Presupuesto!$A:$D,4,FALSE())</f>
        <v>0</v>
      </c>
      <c r="F1826" s="11" t="s">
        <v>2589</v>
      </c>
      <c r="G1826" s="12">
        <f>SUM(G1828:G1844)/2</f>
        <v>4230.6903515500017</v>
      </c>
      <c r="H1826" s="13">
        <f>ROUND(SUM(H1828:H1844),0)/2</f>
        <v>0</v>
      </c>
      <c r="I1826" s="10">
        <f>VLOOKUP(A1826,Presupuesto!$A:$F,6,0)</f>
        <v>0</v>
      </c>
      <c r="J1826" s="10">
        <f>+H1826-I1826</f>
        <v>0</v>
      </c>
    </row>
    <row r="1827" spans="1:10" ht="12.75" customHeight="1" thickTop="1">
      <c r="A1827" s="14"/>
      <c r="B1827" s="15" t="s">
        <v>2586</v>
      </c>
      <c r="C1827" s="15" t="s">
        <v>5</v>
      </c>
      <c r="D1827" s="16" t="s">
        <v>6</v>
      </c>
      <c r="E1827" s="17" t="s">
        <v>7</v>
      </c>
      <c r="F1827" s="18" t="s">
        <v>3728</v>
      </c>
      <c r="G1827" s="19" t="s">
        <v>3729</v>
      </c>
      <c r="H1827" s="20" t="s">
        <v>3797</v>
      </c>
    </row>
    <row r="1828" spans="1:10" ht="12.75" customHeight="1">
      <c r="A1828" s="21"/>
      <c r="B1828" s="22" t="s">
        <v>3730</v>
      </c>
      <c r="C1828" s="23"/>
      <c r="D1828" s="24"/>
      <c r="E1828" s="25"/>
      <c r="F1828" s="26"/>
      <c r="G1828" s="27">
        <f>SUM(G1829:G1833)</f>
        <v>0</v>
      </c>
      <c r="H1828" s="27">
        <f>IFERROR(G1828*E1826,"")</f>
        <v>0</v>
      </c>
    </row>
    <row r="1829" spans="1:10" ht="12.75" customHeight="1">
      <c r="A1829" s="28"/>
      <c r="B1829" s="29"/>
      <c r="C1829" s="30" t="str">
        <f>IFERROR(_xlfn.XLOOKUP(B1829,Insumo[DESCRIPCION],Insumo[UND],,0),"")</f>
        <v/>
      </c>
      <c r="D1829" s="31"/>
      <c r="E1829" s="32" t="str">
        <f>IFERROR(_xlfn.XLOOKUP($B1829,Insumo[DESCRIPCION],Insumo[VALOR],,0),"")</f>
        <v/>
      </c>
      <c r="F1829" s="33"/>
      <c r="G1829" s="34" t="str">
        <f>IFERROR(IF(F1829&gt;=0,D1829*E1829*(1+F1829/100),ABS(D1829*E1829/F1829)),"")</f>
        <v/>
      </c>
      <c r="H1829" s="43" t="str">
        <f>IFERROR(G1829*E1826,"")</f>
        <v/>
      </c>
    </row>
    <row r="1830" spans="1:10" ht="12.75" customHeight="1">
      <c r="A1830" s="28"/>
      <c r="B1830" s="29"/>
      <c r="C1830" s="30" t="str">
        <f>IFERROR(_xlfn.XLOOKUP(B1830,Insumo[DESCRIPCION],Insumo[UND],,0),"")</f>
        <v/>
      </c>
      <c r="D1830" s="31"/>
      <c r="E1830" s="32" t="str">
        <f>IFERROR(_xlfn.XLOOKUP($B1830,Insumo[DESCRIPCION],Insumo[VALOR],,0),"")</f>
        <v/>
      </c>
      <c r="F1830" s="33"/>
      <c r="G1830" s="34" t="str">
        <f>IFERROR(IF(F1830&gt;=0,D1830*E1830*(1+F1830/100),ABS(D1830*E1830/F1830)),"")</f>
        <v/>
      </c>
      <c r="H1830" s="43" t="str">
        <f>IFERROR(G1830*E1826,"")</f>
        <v/>
      </c>
    </row>
    <row r="1831" spans="1:10" ht="12.75" customHeight="1">
      <c r="A1831" s="28"/>
      <c r="B1831" s="29"/>
      <c r="C1831" s="30" t="str">
        <f>IFERROR(_xlfn.XLOOKUP(B1831,Insumo[DESCRIPCION],Insumo[UND],,0),"")</f>
        <v/>
      </c>
      <c r="D1831" s="31"/>
      <c r="E1831" s="32" t="str">
        <f>IFERROR(_xlfn.XLOOKUP($B1831,Insumo[DESCRIPCION],Insumo[VALOR],,0),"")</f>
        <v/>
      </c>
      <c r="F1831" s="33"/>
      <c r="G1831" s="34" t="str">
        <f>IFERROR(IF(F1831&gt;=0,D1831*E1831*(1+F1831/100),ABS(D1831*E1831/F1831)),"")</f>
        <v/>
      </c>
      <c r="H1831" s="43" t="str">
        <f>IFERROR(G1831*E1826,"")</f>
        <v/>
      </c>
    </row>
    <row r="1832" spans="1:10" ht="12.75" customHeight="1">
      <c r="A1832" s="28"/>
      <c r="B1832" s="29"/>
      <c r="C1832" s="30" t="str">
        <f>IFERROR(_xlfn.XLOOKUP(B1832,Insumo[DESCRIPCION],Insumo[UND],,0),"")</f>
        <v/>
      </c>
      <c r="D1832" s="31"/>
      <c r="E1832" s="32" t="str">
        <f>IFERROR(_xlfn.XLOOKUP($B1832,Insumo[DESCRIPCION],Insumo[VALOR],,0),"")</f>
        <v/>
      </c>
      <c r="F1832" s="33"/>
      <c r="G1832" s="34" t="str">
        <f>IFERROR(IF(F1832&gt;=0,D1832*E1832*(1+F1832/100),ABS(D1832*E1832/F1832)),"")</f>
        <v/>
      </c>
      <c r="H1832" s="43" t="str">
        <f>IFERROR(G1832*E1826,"")</f>
        <v/>
      </c>
    </row>
    <row r="1833" spans="1:10" ht="12.75" customHeight="1">
      <c r="A1833" s="28"/>
      <c r="B1833" s="29"/>
      <c r="C1833" s="30" t="str">
        <f>IFERROR(_xlfn.XLOOKUP(B1833,Insumo[DESCRIPCION],Insumo[UND],,0),"")</f>
        <v/>
      </c>
      <c r="D1833" s="31"/>
      <c r="E1833" s="32" t="str">
        <f>IFERROR(_xlfn.XLOOKUP($B1833,Insumo[DESCRIPCION],Insumo[VALOR],,0),"")</f>
        <v/>
      </c>
      <c r="F1833" s="33"/>
      <c r="G1833" s="34" t="str">
        <f>IFERROR(IF(F1833&gt;=0,D1833*E1833*(1+F1833/100),ABS(D1833*E1833/F1833)),"")</f>
        <v/>
      </c>
      <c r="H1833" s="43" t="str">
        <f>IFERROR(G1833*E1826,"")</f>
        <v/>
      </c>
    </row>
    <row r="1834" spans="1:10" ht="12.75" customHeight="1">
      <c r="A1834" s="21"/>
      <c r="B1834" s="22" t="s">
        <v>3731</v>
      </c>
      <c r="C1834" s="23"/>
      <c r="D1834" s="24"/>
      <c r="E1834" s="25"/>
      <c r="F1834" s="26"/>
      <c r="G1834" s="27">
        <f>SUM(G1835:G1837)</f>
        <v>349.3230565500001</v>
      </c>
      <c r="H1834" s="44">
        <f>G1834*E1826</f>
        <v>0</v>
      </c>
    </row>
    <row r="1835" spans="1:10" ht="12.75" customHeight="1">
      <c r="A1835" s="28"/>
      <c r="B1835" s="29" t="s">
        <v>3570</v>
      </c>
      <c r="C1835" s="30" t="str">
        <f>IFERROR(_xlfn.XLOOKUP(B1835,Equipo[DESCRIPCION],Equipo[UND],,0),"")</f>
        <v>%MO</v>
      </c>
      <c r="D1835" s="31">
        <v>0.04</v>
      </c>
      <c r="E1835" s="32">
        <f>IF(C1835="%MO",G1841,IFERROR(_xlfn.XLOOKUP($B1835,Equipo[DESCRIPCION],Equipo[VALOR],,0),""))</f>
        <v>3881.3672950000009</v>
      </c>
      <c r="F1835" s="33"/>
      <c r="G1835" s="34">
        <f>IFERROR(IF(F1835&gt;=0,D1835*E1835*(1+F1835/100),ABS(D1835*E1835/F1835)),"")</f>
        <v>155.25469180000005</v>
      </c>
      <c r="H1835" s="43">
        <f>IFERROR(G1835*E1826,"")</f>
        <v>0</v>
      </c>
    </row>
    <row r="1836" spans="1:10" ht="12.75" customHeight="1">
      <c r="A1836" s="28"/>
      <c r="B1836" s="29" t="s">
        <v>3626</v>
      </c>
      <c r="C1836" s="30" t="str">
        <f>IFERROR(_xlfn.XLOOKUP(B1836,Equipo[DESCRIPCION],Equipo[UND],,0),"")</f>
        <v>%MO</v>
      </c>
      <c r="D1836" s="31">
        <v>0.05</v>
      </c>
      <c r="E1836" s="32">
        <f>IF(C1836="%MO",G1841,IFERROR(_xlfn.XLOOKUP($B1836,Equipo[DESCRIPCION],Equipo[VALOR],,0),""))</f>
        <v>3881.3672950000009</v>
      </c>
      <c r="F1836" s="33"/>
      <c r="G1836" s="34">
        <f>IFERROR(IF(F1836&gt;=0,D1836*E1836*(1+F1836/100),ABS(D1836*E1836/F1836)),"")</f>
        <v>194.06836475000006</v>
      </c>
      <c r="H1836" s="43">
        <f>IFERROR(G1836*E1826,"")</f>
        <v>0</v>
      </c>
    </row>
    <row r="1837" spans="1:10" ht="12.75" customHeight="1">
      <c r="A1837" s="28"/>
      <c r="B1837" s="29"/>
      <c r="C1837" s="30" t="str">
        <f>IFERROR(_xlfn.XLOOKUP(B1837,Equipo[DESCRIPCION],Equipo[UND],,0),"")</f>
        <v/>
      </c>
      <c r="D1837" s="31"/>
      <c r="E1837" s="32" t="str">
        <f>IF(C1837="%MO",G1841,IFERROR(_xlfn.XLOOKUP($B1837,Equipo[DESCRIPCION],Equipo[VALOR],,0),""))</f>
        <v/>
      </c>
      <c r="F1837" s="33"/>
      <c r="G1837" s="34" t="str">
        <f>IFERROR(IF(F1837&gt;=0,D1837*E1837*(1+F1837/100),ABS(D1837*E1837/F1837)),"")</f>
        <v/>
      </c>
      <c r="H1837" s="43" t="str">
        <f>IFERROR(G1837*E1826,"")</f>
        <v/>
      </c>
    </row>
    <row r="1838" spans="1:10" ht="12.75" customHeight="1">
      <c r="A1838" s="21"/>
      <c r="B1838" s="22" t="s">
        <v>2533</v>
      </c>
      <c r="C1838" s="23"/>
      <c r="D1838" s="24"/>
      <c r="E1838" s="25"/>
      <c r="F1838" s="26"/>
      <c r="G1838" s="27">
        <f>SUM(G1839:G1840)</f>
        <v>0</v>
      </c>
      <c r="H1838" s="44">
        <f>G1838*E1826</f>
        <v>0</v>
      </c>
    </row>
    <row r="1839" spans="1:10" ht="12.75" customHeight="1">
      <c r="A1839" s="28"/>
      <c r="B1839" s="29"/>
      <c r="C1839" s="30" t="str">
        <f>IFERROR(_xlfn.XLOOKUP(B1839,Transporte[DESCRIPCION],Transporte[UND],,0),"")</f>
        <v/>
      </c>
      <c r="D1839" s="31"/>
      <c r="E1839" s="32" t="str">
        <f>IFERROR(_xlfn.XLOOKUP($B1839,Transporte[DESCRIPCION],Transporte[VALOR],,0),"")</f>
        <v/>
      </c>
      <c r="F1839" s="33"/>
      <c r="G1839" s="34" t="str">
        <f>IFERROR(IF(F1839&gt;=0,D1839*E1839*(1+F1839/100),ABS(D1839*E1839/F1839)),"")</f>
        <v/>
      </c>
      <c r="H1839" s="43" t="str">
        <f>IFERROR(G1839*E1826,"")</f>
        <v/>
      </c>
    </row>
    <row r="1840" spans="1:10" ht="12.75" customHeight="1">
      <c r="A1840" s="28"/>
      <c r="B1840" s="29"/>
      <c r="C1840" s="30" t="str">
        <f>IFERROR(_xlfn.XLOOKUP(B1840,Transporte[DESCRIPCION],Transporte[UND],,0),"")</f>
        <v/>
      </c>
      <c r="D1840" s="31"/>
      <c r="E1840" s="32" t="str">
        <f>IFERROR(_xlfn.XLOOKUP($B1840,Transporte[DESCRIPCION],Transporte[VALOR],,0),"")</f>
        <v/>
      </c>
      <c r="F1840" s="33"/>
      <c r="G1840" s="34" t="str">
        <f>IFERROR(IF(F1840&gt;=0,D1840*E1840*(1+F1840/100),ABS(D1840*E1840/F1840)),"")</f>
        <v/>
      </c>
      <c r="H1840" s="43" t="str">
        <f>IFERROR(G1840*E1826,"")</f>
        <v/>
      </c>
    </row>
    <row r="1841" spans="1:10" ht="12.75" customHeight="1">
      <c r="A1841" s="21"/>
      <c r="B1841" s="22" t="s">
        <v>3732</v>
      </c>
      <c r="C1841" s="23"/>
      <c r="D1841" s="24"/>
      <c r="E1841" s="25"/>
      <c r="F1841" s="26"/>
      <c r="G1841" s="27">
        <f>SUM(G1842:G1844)</f>
        <v>3881.3672950000009</v>
      </c>
      <c r="H1841" s="44">
        <f>G1841*E1826</f>
        <v>0</v>
      </c>
    </row>
    <row r="1842" spans="1:10" ht="12.75" customHeight="1">
      <c r="A1842" s="28"/>
      <c r="B1842" s="29" t="s">
        <v>3698</v>
      </c>
      <c r="C1842" s="30" t="str">
        <f>IFERROR(_xlfn.XLOOKUP(B1842,MObra[DESCRIPCION],MObra[UN],,0),"")</f>
        <v>día</v>
      </c>
      <c r="D1842" s="31">
        <v>1</v>
      </c>
      <c r="E1842" s="32">
        <f>IFERROR(_xlfn.XLOOKUP($B1842,MObra[DESCRIPCION],MObra[VALOR UNIT],,0),"")</f>
        <v>116441.01885000002</v>
      </c>
      <c r="F1842" s="33">
        <v>-30</v>
      </c>
      <c r="G1842" s="34">
        <f>IFERROR(IF(F1842&gt;=0,D1842*E1842*(1+F1842/100),ABS(D1842*E1842/F1842)),"")</f>
        <v>3881.3672950000009</v>
      </c>
      <c r="H1842" s="43">
        <f>IFERROR(G1842*E1826,"")</f>
        <v>0</v>
      </c>
    </row>
    <row r="1843" spans="1:10" ht="12.75" customHeight="1">
      <c r="A1843" s="28"/>
      <c r="B1843" s="29"/>
      <c r="C1843" s="30" t="str">
        <f t="array" ref="C1843">IFERROR(_xlfn.XLOOKUP(B1843,MObra[[#All],[DESCRIPCION]],MObra[[#All],[UN]],,0),"")</f>
        <v/>
      </c>
      <c r="D1843" s="31"/>
      <c r="E1843" s="32" t="str">
        <f>IFERROR(_xlfn.XLOOKUP($B1843,MObra[DESCRIPCION],MObra[VALOR UNIT],,0),"")</f>
        <v/>
      </c>
      <c r="F1843" s="33"/>
      <c r="G1843" s="34" t="str">
        <f>IFERROR(IF(F1843&gt;=0,D1843*E1843*(1+F1843/100),ABS(D1843*E1843/F1843)),"")</f>
        <v/>
      </c>
      <c r="H1843" s="43" t="str">
        <f>IFERROR(G1843*E1826,"")</f>
        <v/>
      </c>
    </row>
    <row r="1844" spans="1:10" ht="12.75" customHeight="1" thickBot="1">
      <c r="A1844" s="35"/>
      <c r="B1844" s="36"/>
      <c r="C1844" s="37" t="str">
        <f t="array" ref="C1844">IFERROR(_xlfn.XLOOKUP(B1844,MObra[[#All],[DESCRIPCION]],MObra[[#All],[UN]],,0),"")</f>
        <v/>
      </c>
      <c r="D1844" s="38"/>
      <c r="E1844" s="39" t="str">
        <f>IFERROR(_xlfn.XLOOKUP($B1844,MObra[DESCRIPCION],MObra[VALOR UNIT],,0),"")</f>
        <v/>
      </c>
      <c r="F1844" s="40"/>
      <c r="G1844" s="41" t="str">
        <f>IFERROR(IF(F1844&gt;=0,D1844*E1844*(1+F1844/100),ABS(D1844*E1844/F1844)),"")</f>
        <v/>
      </c>
      <c r="H1844" s="42" t="str">
        <f>IFERROR(G1844*E1826,"")</f>
        <v/>
      </c>
    </row>
    <row r="1845" spans="1:10" ht="12.75" customHeight="1" thickTop="1" thickBot="1">
      <c r="E1845" s="49"/>
      <c r="G1845" s="3"/>
    </row>
    <row r="1846" spans="1:10" ht="12.75" customHeight="1" thickTop="1" thickBot="1">
      <c r="A1846" s="6" t="s">
        <v>204</v>
      </c>
      <c r="B1846" s="7" t="str">
        <f>VLOOKUP($A1846,Presupuesto!$A:$D,2,FALSE())</f>
        <v>Desmonte ventana</v>
      </c>
      <c r="C1846" s="8" t="str">
        <f>VLOOKUP($A1846,Presupuesto!$A:$D,3,FALSE())</f>
        <v>M2</v>
      </c>
      <c r="D1846" s="9"/>
      <c r="E1846" s="10">
        <f>VLOOKUP($A1846,Presupuesto!$A:$D,4,FALSE())</f>
        <v>0</v>
      </c>
      <c r="F1846" s="11" t="s">
        <v>2589</v>
      </c>
      <c r="G1846" s="12">
        <f>SUM(G1848:G1864)/2</f>
        <v>13361.606913037504</v>
      </c>
      <c r="H1846" s="13">
        <f>ROUND(SUM(H1848:H1864),0)/2</f>
        <v>0</v>
      </c>
      <c r="I1846" s="10">
        <f>VLOOKUP(A1846,Presupuesto!$A:$F,6,0)</f>
        <v>0</v>
      </c>
      <c r="J1846" s="10">
        <f>+H1846-I1846</f>
        <v>0</v>
      </c>
    </row>
    <row r="1847" spans="1:10" ht="12.75" customHeight="1" thickTop="1">
      <c r="A1847" s="14"/>
      <c r="B1847" s="15" t="s">
        <v>2586</v>
      </c>
      <c r="C1847" s="15" t="s">
        <v>5</v>
      </c>
      <c r="D1847" s="16" t="s">
        <v>6</v>
      </c>
      <c r="E1847" s="17" t="s">
        <v>7</v>
      </c>
      <c r="F1847" s="18" t="s">
        <v>3728</v>
      </c>
      <c r="G1847" s="19" t="s">
        <v>3729</v>
      </c>
      <c r="H1847" s="20" t="s">
        <v>3797</v>
      </c>
    </row>
    <row r="1848" spans="1:10" ht="12.75" customHeight="1">
      <c r="A1848" s="21"/>
      <c r="B1848" s="22" t="s">
        <v>3730</v>
      </c>
      <c r="C1848" s="23"/>
      <c r="D1848" s="24"/>
      <c r="E1848" s="25"/>
      <c r="F1848" s="26"/>
      <c r="G1848" s="27">
        <f>SUM(G1849:G1853)</f>
        <v>0</v>
      </c>
      <c r="H1848" s="27">
        <f>IFERROR(G1848*E1846,"")</f>
        <v>0</v>
      </c>
    </row>
    <row r="1849" spans="1:10" ht="12.75" customHeight="1">
      <c r="A1849" s="28"/>
      <c r="B1849" s="29"/>
      <c r="C1849" s="30" t="str">
        <f>IFERROR(_xlfn.XLOOKUP(B1849,Insumo[DESCRIPCION],Insumo[UND],,0),"")</f>
        <v/>
      </c>
      <c r="D1849" s="31"/>
      <c r="E1849" s="32" t="str">
        <f>IFERROR(_xlfn.XLOOKUP($B1849,Insumo[DESCRIPCION],Insumo[VALOR],,0),"")</f>
        <v/>
      </c>
      <c r="F1849" s="33"/>
      <c r="G1849" s="34" t="str">
        <f>IFERROR(IF(F1849&gt;=0,D1849*E1849*(1+F1849/100),ABS(D1849*E1849/F1849)),"")</f>
        <v/>
      </c>
      <c r="H1849" s="43" t="str">
        <f>IFERROR(G1849*E1846,"")</f>
        <v/>
      </c>
    </row>
    <row r="1850" spans="1:10" ht="12.75" customHeight="1">
      <c r="A1850" s="28"/>
      <c r="B1850" s="29"/>
      <c r="C1850" s="30" t="str">
        <f>IFERROR(_xlfn.XLOOKUP(B1850,Insumo[DESCRIPCION],Insumo[UND],,0),"")</f>
        <v/>
      </c>
      <c r="D1850" s="31"/>
      <c r="E1850" s="32" t="str">
        <f>IFERROR(_xlfn.XLOOKUP($B1850,Insumo[DESCRIPCION],Insumo[VALOR],,0),"")</f>
        <v/>
      </c>
      <c r="F1850" s="33"/>
      <c r="G1850" s="34" t="str">
        <f>IFERROR(IF(F1850&gt;=0,D1850*E1850*(1+F1850/100),ABS(D1850*E1850/F1850)),"")</f>
        <v/>
      </c>
      <c r="H1850" s="43" t="str">
        <f>IFERROR(G1850*E1846,"")</f>
        <v/>
      </c>
    </row>
    <row r="1851" spans="1:10" ht="12.75" customHeight="1">
      <c r="A1851" s="28"/>
      <c r="B1851" s="29"/>
      <c r="C1851" s="30" t="str">
        <f>IFERROR(_xlfn.XLOOKUP(B1851,Insumo[DESCRIPCION],Insumo[UND],,0),"")</f>
        <v/>
      </c>
      <c r="D1851" s="31"/>
      <c r="E1851" s="32" t="str">
        <f>IFERROR(_xlfn.XLOOKUP($B1851,Insumo[DESCRIPCION],Insumo[VALOR],,0),"")</f>
        <v/>
      </c>
      <c r="F1851" s="33"/>
      <c r="G1851" s="34" t="str">
        <f>IFERROR(IF(F1851&gt;=0,D1851*E1851*(1+F1851/100),ABS(D1851*E1851/F1851)),"")</f>
        <v/>
      </c>
      <c r="H1851" s="43" t="str">
        <f>IFERROR(G1851*E1846,"")</f>
        <v/>
      </c>
    </row>
    <row r="1852" spans="1:10" ht="12.75" customHeight="1">
      <c r="A1852" s="28"/>
      <c r="B1852" s="29"/>
      <c r="C1852" s="30" t="str">
        <f>IFERROR(_xlfn.XLOOKUP(B1852,Insumo[DESCRIPCION],Insumo[UND],,0),"")</f>
        <v/>
      </c>
      <c r="D1852" s="31"/>
      <c r="E1852" s="32" t="str">
        <f>IFERROR(_xlfn.XLOOKUP($B1852,Insumo[DESCRIPCION],Insumo[VALOR],,0),"")</f>
        <v/>
      </c>
      <c r="F1852" s="33"/>
      <c r="G1852" s="34" t="str">
        <f>IFERROR(IF(F1852&gt;=0,D1852*E1852*(1+F1852/100),ABS(D1852*E1852/F1852)),"")</f>
        <v/>
      </c>
      <c r="H1852" s="43" t="str">
        <f>IFERROR(G1852*E1846,"")</f>
        <v/>
      </c>
    </row>
    <row r="1853" spans="1:10" ht="12.75" customHeight="1">
      <c r="A1853" s="28"/>
      <c r="B1853" s="29"/>
      <c r="C1853" s="30" t="str">
        <f>IFERROR(_xlfn.XLOOKUP(B1853,Insumo[DESCRIPCION],Insumo[UND],,0),"")</f>
        <v/>
      </c>
      <c r="D1853" s="31"/>
      <c r="E1853" s="32" t="str">
        <f>IFERROR(_xlfn.XLOOKUP($B1853,Insumo[DESCRIPCION],Insumo[VALOR],,0),"")</f>
        <v/>
      </c>
      <c r="F1853" s="33"/>
      <c r="G1853" s="34" t="str">
        <f>IFERROR(IF(F1853&gt;=0,D1853*E1853*(1+F1853/100),ABS(D1853*E1853/F1853)),"")</f>
        <v/>
      </c>
      <c r="H1853" s="43" t="str">
        <f>IFERROR(G1853*E1846,"")</f>
        <v/>
      </c>
    </row>
    <row r="1854" spans="1:10" ht="12.75" customHeight="1">
      <c r="A1854" s="21"/>
      <c r="B1854" s="22" t="s">
        <v>3731</v>
      </c>
      <c r="C1854" s="23"/>
      <c r="D1854" s="24"/>
      <c r="E1854" s="25"/>
      <c r="F1854" s="26"/>
      <c r="G1854" s="27">
        <f>SUM(G1855:G1857)</f>
        <v>2133.3658096446434</v>
      </c>
      <c r="H1854" s="44">
        <f>G1854*E1846</f>
        <v>0</v>
      </c>
    </row>
    <row r="1855" spans="1:10" ht="12.75" customHeight="1">
      <c r="A1855" s="28"/>
      <c r="B1855" s="29" t="s">
        <v>3573</v>
      </c>
      <c r="C1855" s="30" t="str">
        <f>IFERROR(_xlfn.XLOOKUP(B1855,Equipo[DESCRIPCION],Equipo[UND],,0),"")</f>
        <v>%MO</v>
      </c>
      <c r="D1855" s="142">
        <v>0.1</v>
      </c>
      <c r="E1855" s="32">
        <f>IF(C1855="%MO",G1861,IFERROR(_xlfn.XLOOKUP($B1855,Equipo[DESCRIPCION],Equipo[VALOR],,0),""))</f>
        <v>11228.24110339286</v>
      </c>
      <c r="F1855" s="33"/>
      <c r="G1855" s="34">
        <f>IFERROR(IF(F1855&gt;=0,D1855*E1855*(1+F1855/100),ABS(D1855*E1855/F1855)),"")</f>
        <v>1122.8241103392861</v>
      </c>
      <c r="H1855" s="43">
        <f>IFERROR(G1855*E1846,"")</f>
        <v>0</v>
      </c>
    </row>
    <row r="1856" spans="1:10" ht="12.75" customHeight="1">
      <c r="A1856" s="28"/>
      <c r="B1856" s="29" t="s">
        <v>3570</v>
      </c>
      <c r="C1856" s="30" t="str">
        <f>IFERROR(_xlfn.XLOOKUP(B1856,Equipo[DESCRIPCION],Equipo[UND],,0),"")</f>
        <v>%MO</v>
      </c>
      <c r="D1856" s="31">
        <v>0.04</v>
      </c>
      <c r="E1856" s="32">
        <f>IF(C1856="%MO",G1861,IFERROR(_xlfn.XLOOKUP($B1856,Equipo[DESCRIPCION],Equipo[VALOR],,0),""))</f>
        <v>11228.24110339286</v>
      </c>
      <c r="F1856" s="33"/>
      <c r="G1856" s="34">
        <f>IFERROR(IF(F1856&gt;=0,D1856*E1856*(1+F1856/100),ABS(D1856*E1856/F1856)),"")</f>
        <v>449.12964413571444</v>
      </c>
      <c r="H1856" s="43">
        <f>IFERROR(G1856*E1846,"")</f>
        <v>0</v>
      </c>
    </row>
    <row r="1857" spans="1:10" ht="12.75" customHeight="1">
      <c r="A1857" s="28"/>
      <c r="B1857" s="29" t="s">
        <v>3626</v>
      </c>
      <c r="C1857" s="30" t="str">
        <f>IFERROR(_xlfn.XLOOKUP(B1857,Equipo[DESCRIPCION],Equipo[UND],,0),"")</f>
        <v>%MO</v>
      </c>
      <c r="D1857" s="31">
        <v>0.05</v>
      </c>
      <c r="E1857" s="32">
        <f>IF(C1857="%MO",G1861,IFERROR(_xlfn.XLOOKUP($B1857,Equipo[DESCRIPCION],Equipo[VALOR],,0),""))</f>
        <v>11228.24110339286</v>
      </c>
      <c r="F1857" s="33"/>
      <c r="G1857" s="34">
        <f>IFERROR(IF(F1857&gt;=0,D1857*E1857*(1+F1857/100),ABS(D1857*E1857/F1857)),"")</f>
        <v>561.41205516964305</v>
      </c>
      <c r="H1857" s="43">
        <f>IFERROR(G1857*E1846,"")</f>
        <v>0</v>
      </c>
    </row>
    <row r="1858" spans="1:10" ht="12.75" customHeight="1">
      <c r="A1858" s="21"/>
      <c r="B1858" s="22" t="s">
        <v>2533</v>
      </c>
      <c r="C1858" s="23"/>
      <c r="D1858" s="24"/>
      <c r="E1858" s="25"/>
      <c r="F1858" s="26"/>
      <c r="G1858" s="27">
        <f>SUM(G1859:G1860)</f>
        <v>0</v>
      </c>
      <c r="H1858" s="44">
        <f>G1858*E1846</f>
        <v>0</v>
      </c>
    </row>
    <row r="1859" spans="1:10" ht="12.75" customHeight="1">
      <c r="A1859" s="28"/>
      <c r="B1859" s="29"/>
      <c r="C1859" s="30" t="str">
        <f>IFERROR(_xlfn.XLOOKUP(B1859,Transporte[DESCRIPCION],Transporte[UND],,0),"")</f>
        <v/>
      </c>
      <c r="D1859" s="31"/>
      <c r="E1859" s="32" t="str">
        <f>IFERROR(_xlfn.XLOOKUP($B1859,Transporte[DESCRIPCION],Transporte[VALOR],,0),"")</f>
        <v/>
      </c>
      <c r="F1859" s="33"/>
      <c r="G1859" s="34" t="str">
        <f>IFERROR(IF(F1859&gt;=0,D1859*E1859*(1+F1859/100),ABS(D1859*E1859/F1859)),"")</f>
        <v/>
      </c>
      <c r="H1859" s="43" t="str">
        <f>IFERROR(G1859*E1846,"")</f>
        <v/>
      </c>
    </row>
    <row r="1860" spans="1:10" ht="12.75" customHeight="1">
      <c r="A1860" s="28"/>
      <c r="B1860" s="29"/>
      <c r="C1860" s="30" t="str">
        <f>IFERROR(_xlfn.XLOOKUP(B1860,Transporte[DESCRIPCION],Transporte[UND],,0),"")</f>
        <v/>
      </c>
      <c r="D1860" s="31"/>
      <c r="E1860" s="32" t="str">
        <f>IFERROR(_xlfn.XLOOKUP($B1860,Transporte[DESCRIPCION],Transporte[VALOR],,0),"")</f>
        <v/>
      </c>
      <c r="F1860" s="33"/>
      <c r="G1860" s="34" t="str">
        <f>IFERROR(IF(F1860&gt;=0,D1860*E1860*(1+F1860/100),ABS(D1860*E1860/F1860)),"")</f>
        <v/>
      </c>
      <c r="H1860" s="43" t="str">
        <f>IFERROR(G1860*E1846,"")</f>
        <v/>
      </c>
    </row>
    <row r="1861" spans="1:10" ht="12.75" customHeight="1">
      <c r="A1861" s="21"/>
      <c r="B1861" s="22" t="s">
        <v>3732</v>
      </c>
      <c r="C1861" s="23"/>
      <c r="D1861" s="24"/>
      <c r="E1861" s="25"/>
      <c r="F1861" s="26"/>
      <c r="G1861" s="27">
        <f>SUM(G1862:G1864)</f>
        <v>11228.24110339286</v>
      </c>
      <c r="H1861" s="44">
        <f>G1861*E1846</f>
        <v>0</v>
      </c>
    </row>
    <row r="1862" spans="1:10" ht="12.75" customHeight="1">
      <c r="A1862" s="28"/>
      <c r="B1862" s="29" t="s">
        <v>3710</v>
      </c>
      <c r="C1862" s="30" t="str">
        <f>IFERROR(_xlfn.XLOOKUP(B1862,MObra[DESCRIPCION],MObra[UN],,0),"")</f>
        <v>día</v>
      </c>
      <c r="D1862" s="31">
        <v>1</v>
      </c>
      <c r="E1862" s="32">
        <f>IFERROR(_xlfn.XLOOKUP($B1862,MObra[DESCRIPCION],MObra[VALOR UNIT],,0),"")</f>
        <v>314390.75089500006</v>
      </c>
      <c r="F1862" s="33">
        <v>-28</v>
      </c>
      <c r="G1862" s="34">
        <f>IFERROR(IF(F1862&gt;=0,D1862*E1862*(1+F1862/100),ABS(D1862*E1862/F1862)),"")</f>
        <v>11228.24110339286</v>
      </c>
      <c r="H1862" s="43">
        <f>IFERROR(G1862*E1846,"")</f>
        <v>0</v>
      </c>
    </row>
    <row r="1863" spans="1:10" ht="12.75" customHeight="1">
      <c r="A1863" s="28"/>
      <c r="B1863" s="29"/>
      <c r="C1863" s="30" t="str">
        <f t="array" ref="C1863">IFERROR(_xlfn.XLOOKUP(B1863,MObra[[#All],[DESCRIPCION]],MObra[[#All],[UN]],,0),"")</f>
        <v/>
      </c>
      <c r="D1863" s="31"/>
      <c r="E1863" s="32" t="str">
        <f>IFERROR(_xlfn.XLOOKUP($B1863,MObra[DESCRIPCION],MObra[VALOR UNIT],,0),"")</f>
        <v/>
      </c>
      <c r="F1863" s="33"/>
      <c r="G1863" s="34" t="str">
        <f>IFERROR(IF(F1863&gt;=0,D1863*E1863*(1+F1863/100),ABS(D1863*E1863/F1863)),"")</f>
        <v/>
      </c>
      <c r="H1863" s="43" t="str">
        <f>IFERROR(G1863*E1846,"")</f>
        <v/>
      </c>
    </row>
    <row r="1864" spans="1:10" ht="12.75" customHeight="1" thickBot="1">
      <c r="A1864" s="35"/>
      <c r="B1864" s="36"/>
      <c r="C1864" s="37" t="str">
        <f t="array" ref="C1864">IFERROR(_xlfn.XLOOKUP(B1864,MObra[[#All],[DESCRIPCION]],MObra[[#All],[UN]],,0),"")</f>
        <v/>
      </c>
      <c r="D1864" s="38"/>
      <c r="E1864" s="39" t="str">
        <f>IFERROR(_xlfn.XLOOKUP($B1864,MObra[DESCRIPCION],MObra[VALOR UNIT],,0),"")</f>
        <v/>
      </c>
      <c r="F1864" s="40"/>
      <c r="G1864" s="41" t="str">
        <f>IFERROR(IF(F1864&gt;=0,D1864*E1864*(1+F1864/100),ABS(D1864*E1864/F1864)),"")</f>
        <v/>
      </c>
      <c r="H1864" s="42" t="str">
        <f>IFERROR(G1864*E1846,"")</f>
        <v/>
      </c>
    </row>
    <row r="1865" spans="1:10" ht="12.75" customHeight="1" thickTop="1" thickBot="1">
      <c r="E1865" s="49"/>
      <c r="G1865" s="3"/>
    </row>
    <row r="1866" spans="1:10" ht="12.75" customHeight="1" thickTop="1" thickBot="1">
      <c r="A1866" s="6" t="s">
        <v>206</v>
      </c>
      <c r="B1866" s="7" t="str">
        <f>VLOOKUP($A1866,Presupuesto!$A:$D,2,FALSE())</f>
        <v>Desmonte y ajuste puerta / ventana aluminio</v>
      </c>
      <c r="C1866" s="8" t="str">
        <f>VLOOKUP($A1866,Presupuesto!$A:$D,3,FALSE())</f>
        <v>M2</v>
      </c>
      <c r="D1866" s="9"/>
      <c r="E1866" s="10">
        <f>VLOOKUP($A1866,Presupuesto!$A:$D,4,FALSE())</f>
        <v>0</v>
      </c>
      <c r="F1866" s="11" t="s">
        <v>2589</v>
      </c>
      <c r="G1866" s="12">
        <f>SUM(G1868:G1884)/2</f>
        <v>68537.183695110012</v>
      </c>
      <c r="H1866" s="13">
        <f>ROUND(SUM(H1868:H1884),0)/2</f>
        <v>0</v>
      </c>
      <c r="I1866" s="10">
        <f>VLOOKUP(A1866,Presupuesto!$A:$F,6,0)</f>
        <v>0</v>
      </c>
      <c r="J1866" s="10">
        <f>+H1866-I1866</f>
        <v>0</v>
      </c>
    </row>
    <row r="1867" spans="1:10" ht="12.75" customHeight="1" thickTop="1">
      <c r="A1867" s="14"/>
      <c r="B1867" s="15" t="s">
        <v>2586</v>
      </c>
      <c r="C1867" s="15" t="s">
        <v>5</v>
      </c>
      <c r="D1867" s="16" t="s">
        <v>6</v>
      </c>
      <c r="E1867" s="17" t="s">
        <v>7</v>
      </c>
      <c r="F1867" s="18" t="s">
        <v>3728</v>
      </c>
      <c r="G1867" s="19" t="s">
        <v>3729</v>
      </c>
      <c r="H1867" s="20" t="s">
        <v>3797</v>
      </c>
    </row>
    <row r="1868" spans="1:10" ht="12.75" customHeight="1">
      <c r="A1868" s="21"/>
      <c r="B1868" s="22" t="s">
        <v>3730</v>
      </c>
      <c r="C1868" s="23"/>
      <c r="D1868" s="24"/>
      <c r="E1868" s="25"/>
      <c r="F1868" s="26"/>
      <c r="G1868" s="27">
        <f>SUM(G1869:G1873)</f>
        <v>0</v>
      </c>
      <c r="H1868" s="27">
        <f>IFERROR(G1868*E1866,"")</f>
        <v>0</v>
      </c>
    </row>
    <row r="1869" spans="1:10" ht="12.75" customHeight="1">
      <c r="A1869" s="28"/>
      <c r="B1869" s="29"/>
      <c r="C1869" s="30" t="str">
        <f>IFERROR(_xlfn.XLOOKUP(B1869,Insumo[DESCRIPCION],Insumo[UND],,0),"")</f>
        <v/>
      </c>
      <c r="D1869" s="31"/>
      <c r="E1869" s="32" t="str">
        <f>IFERROR(_xlfn.XLOOKUP($B1869,Insumo[DESCRIPCION],Insumo[VALOR],,0),"")</f>
        <v/>
      </c>
      <c r="F1869" s="33"/>
      <c r="G1869" s="34" t="str">
        <f>IFERROR(IF(F1869&gt;=0,D1869*E1869*(1+F1869/100),ABS(D1869*E1869/F1869)),"")</f>
        <v/>
      </c>
      <c r="H1869" s="43" t="str">
        <f>IFERROR(G1869*E1866,"")</f>
        <v/>
      </c>
    </row>
    <row r="1870" spans="1:10" ht="12.75" customHeight="1">
      <c r="A1870" s="28"/>
      <c r="B1870" s="29"/>
      <c r="C1870" s="30" t="str">
        <f>IFERROR(_xlfn.XLOOKUP(B1870,Insumo[DESCRIPCION],Insumo[UND],,0),"")</f>
        <v/>
      </c>
      <c r="D1870" s="31"/>
      <c r="E1870" s="32" t="str">
        <f>IFERROR(_xlfn.XLOOKUP($B1870,Insumo[DESCRIPCION],Insumo[VALOR],,0),"")</f>
        <v/>
      </c>
      <c r="F1870" s="33"/>
      <c r="G1870" s="34" t="str">
        <f>IFERROR(IF(F1870&gt;=0,D1870*E1870*(1+F1870/100),ABS(D1870*E1870/F1870)),"")</f>
        <v/>
      </c>
      <c r="H1870" s="43" t="str">
        <f>IFERROR(G1870*E1866,"")</f>
        <v/>
      </c>
    </row>
    <row r="1871" spans="1:10" ht="12.75" customHeight="1">
      <c r="A1871" s="28"/>
      <c r="B1871" s="29"/>
      <c r="C1871" s="30" t="str">
        <f>IFERROR(_xlfn.XLOOKUP(B1871,Insumo[DESCRIPCION],Insumo[UND],,0),"")</f>
        <v/>
      </c>
      <c r="D1871" s="31"/>
      <c r="E1871" s="32" t="str">
        <f>IFERROR(_xlfn.XLOOKUP($B1871,Insumo[DESCRIPCION],Insumo[VALOR],,0),"")</f>
        <v/>
      </c>
      <c r="F1871" s="33"/>
      <c r="G1871" s="34" t="str">
        <f>IFERROR(IF(F1871&gt;=0,D1871*E1871*(1+F1871/100),ABS(D1871*E1871/F1871)),"")</f>
        <v/>
      </c>
      <c r="H1871" s="43" t="str">
        <f>IFERROR(G1871*E1866,"")</f>
        <v/>
      </c>
    </row>
    <row r="1872" spans="1:10" ht="12.75" customHeight="1">
      <c r="A1872" s="28"/>
      <c r="B1872" s="29"/>
      <c r="C1872" s="30" t="str">
        <f>IFERROR(_xlfn.XLOOKUP(B1872,Insumo[DESCRIPCION],Insumo[UND],,0),"")</f>
        <v/>
      </c>
      <c r="D1872" s="31"/>
      <c r="E1872" s="32" t="str">
        <f>IFERROR(_xlfn.XLOOKUP($B1872,Insumo[DESCRIPCION],Insumo[VALOR],,0),"")</f>
        <v/>
      </c>
      <c r="F1872" s="33"/>
      <c r="G1872" s="34" t="str">
        <f>IFERROR(IF(F1872&gt;=0,D1872*E1872*(1+F1872/100),ABS(D1872*E1872/F1872)),"")</f>
        <v/>
      </c>
      <c r="H1872" s="43" t="str">
        <f>IFERROR(G1872*E1866,"")</f>
        <v/>
      </c>
    </row>
    <row r="1873" spans="1:10" ht="12.75" customHeight="1">
      <c r="A1873" s="28"/>
      <c r="B1873" s="29"/>
      <c r="C1873" s="30" t="str">
        <f>IFERROR(_xlfn.XLOOKUP(B1873,Insumo[DESCRIPCION],Insumo[UND],,0),"")</f>
        <v/>
      </c>
      <c r="D1873" s="31"/>
      <c r="E1873" s="32" t="str">
        <f>IFERROR(_xlfn.XLOOKUP($B1873,Insumo[DESCRIPCION],Insumo[VALOR],,0),"")</f>
        <v/>
      </c>
      <c r="F1873" s="33"/>
      <c r="G1873" s="34" t="str">
        <f>IFERROR(IF(F1873&gt;=0,D1873*E1873*(1+F1873/100),ABS(D1873*E1873/F1873)),"")</f>
        <v/>
      </c>
      <c r="H1873" s="43" t="str">
        <f>IFERROR(G1873*E1866,"")</f>
        <v/>
      </c>
    </row>
    <row r="1874" spans="1:10" ht="12.75" customHeight="1">
      <c r="A1874" s="21"/>
      <c r="B1874" s="22" t="s">
        <v>3731</v>
      </c>
      <c r="C1874" s="23"/>
      <c r="D1874" s="24"/>
      <c r="E1874" s="25"/>
      <c r="F1874" s="26"/>
      <c r="G1874" s="27">
        <f>SUM(G1875:G1877)</f>
        <v>5659.0335161100011</v>
      </c>
      <c r="H1874" s="44">
        <f>G1874*E1866</f>
        <v>0</v>
      </c>
    </row>
    <row r="1875" spans="1:10" ht="12.75" customHeight="1">
      <c r="A1875" s="28"/>
      <c r="B1875" s="29" t="s">
        <v>3570</v>
      </c>
      <c r="C1875" s="30" t="str">
        <f>IFERROR(_xlfn.XLOOKUP(B1875,Equipo[DESCRIPCION],Equipo[UND],,0),"")</f>
        <v>%MO</v>
      </c>
      <c r="D1875" s="31">
        <v>0.04</v>
      </c>
      <c r="E1875" s="32">
        <f>IF(C1875="%MO",G1881,IFERROR(_xlfn.XLOOKUP($B1875,Equipo[DESCRIPCION],Equipo[VALOR],,0),""))</f>
        <v>62878.150179000011</v>
      </c>
      <c r="F1875" s="33"/>
      <c r="G1875" s="34">
        <f>IFERROR(IF(F1875&gt;=0,D1875*E1875*(1+F1875/100),ABS(D1875*E1875/F1875)),"")</f>
        <v>2515.1260071600004</v>
      </c>
      <c r="H1875" s="43">
        <f>IFERROR(G1875*E1866,"")</f>
        <v>0</v>
      </c>
    </row>
    <row r="1876" spans="1:10" ht="12.75" customHeight="1">
      <c r="A1876" s="28"/>
      <c r="B1876" s="29" t="s">
        <v>3626</v>
      </c>
      <c r="C1876" s="30" t="str">
        <f>IFERROR(_xlfn.XLOOKUP(B1876,Equipo[DESCRIPCION],Equipo[UND],,0),"")</f>
        <v>%MO</v>
      </c>
      <c r="D1876" s="31">
        <v>0.05</v>
      </c>
      <c r="E1876" s="32">
        <f>IF(C1876="%MO",G1881,IFERROR(_xlfn.XLOOKUP($B1876,Equipo[DESCRIPCION],Equipo[VALOR],,0),""))</f>
        <v>62878.150179000011</v>
      </c>
      <c r="F1876" s="33"/>
      <c r="G1876" s="34">
        <f>IFERROR(IF(F1876&gt;=0,D1876*E1876*(1+F1876/100),ABS(D1876*E1876/F1876)),"")</f>
        <v>3143.9075089500006</v>
      </c>
      <c r="H1876" s="43">
        <f>IFERROR(G1876*E1866,"")</f>
        <v>0</v>
      </c>
    </row>
    <row r="1877" spans="1:10" ht="12.75" customHeight="1">
      <c r="A1877" s="28"/>
      <c r="B1877" s="29"/>
      <c r="C1877" s="30" t="str">
        <f>IFERROR(_xlfn.XLOOKUP(B1877,Equipo[DESCRIPCION],Equipo[UND],,0),"")</f>
        <v/>
      </c>
      <c r="D1877" s="31"/>
      <c r="E1877" s="32" t="str">
        <f>IF(C1877="%MO",G1881,IFERROR(_xlfn.XLOOKUP($B1877,Equipo[DESCRIPCION],Equipo[VALOR],,0),""))</f>
        <v/>
      </c>
      <c r="F1877" s="33"/>
      <c r="G1877" s="34" t="str">
        <f>IFERROR(IF(F1877&gt;=0,D1877*E1877*(1+F1877/100),ABS(D1877*E1877/F1877)),"")</f>
        <v/>
      </c>
      <c r="H1877" s="43" t="str">
        <f>IFERROR(G1877*E1866,"")</f>
        <v/>
      </c>
    </row>
    <row r="1878" spans="1:10" ht="12.75" customHeight="1">
      <c r="A1878" s="21"/>
      <c r="B1878" s="22" t="s">
        <v>2533</v>
      </c>
      <c r="C1878" s="23"/>
      <c r="D1878" s="24"/>
      <c r="E1878" s="25"/>
      <c r="F1878" s="26"/>
      <c r="G1878" s="27">
        <f>SUM(G1879:G1880)</f>
        <v>0</v>
      </c>
      <c r="H1878" s="44">
        <f>G1878*E1866</f>
        <v>0</v>
      </c>
    </row>
    <row r="1879" spans="1:10" ht="12.75" customHeight="1">
      <c r="A1879" s="28"/>
      <c r="B1879" s="29"/>
      <c r="C1879" s="30" t="str">
        <f>IFERROR(_xlfn.XLOOKUP(B1879,Transporte[DESCRIPCION],Transporte[UND],,0),"")</f>
        <v/>
      </c>
      <c r="D1879" s="31"/>
      <c r="E1879" s="32" t="str">
        <f>IFERROR(_xlfn.XLOOKUP($B1879,Transporte[DESCRIPCION],Transporte[VALOR],,0),"")</f>
        <v/>
      </c>
      <c r="F1879" s="33"/>
      <c r="G1879" s="34" t="str">
        <f>IFERROR(IF(F1879&gt;=0,D1879*E1879*(1+F1879/100),ABS(D1879*E1879/F1879)),"")</f>
        <v/>
      </c>
      <c r="H1879" s="43" t="str">
        <f>IFERROR(G1879*E1866,"")</f>
        <v/>
      </c>
    </row>
    <row r="1880" spans="1:10" ht="12.75" customHeight="1">
      <c r="A1880" s="28"/>
      <c r="B1880" s="29"/>
      <c r="C1880" s="30" t="str">
        <f>IFERROR(_xlfn.XLOOKUP(B1880,Transporte[DESCRIPCION],Transporte[UND],,0),"")</f>
        <v/>
      </c>
      <c r="D1880" s="31"/>
      <c r="E1880" s="32" t="str">
        <f>IFERROR(_xlfn.XLOOKUP($B1880,Transporte[DESCRIPCION],Transporte[VALOR],,0),"")</f>
        <v/>
      </c>
      <c r="F1880" s="33"/>
      <c r="G1880" s="34" t="str">
        <f>IFERROR(IF(F1880&gt;=0,D1880*E1880*(1+F1880/100),ABS(D1880*E1880/F1880)),"")</f>
        <v/>
      </c>
      <c r="H1880" s="43" t="str">
        <f>IFERROR(G1880*E1866,"")</f>
        <v/>
      </c>
    </row>
    <row r="1881" spans="1:10" ht="12.75" customHeight="1">
      <c r="A1881" s="21"/>
      <c r="B1881" s="22" t="s">
        <v>3732</v>
      </c>
      <c r="C1881" s="23"/>
      <c r="D1881" s="24"/>
      <c r="E1881" s="25"/>
      <c r="F1881" s="26"/>
      <c r="G1881" s="27">
        <f>SUM(G1882:G1884)</f>
        <v>62878.150179000011</v>
      </c>
      <c r="H1881" s="44">
        <f>G1881*E1866</f>
        <v>0</v>
      </c>
    </row>
    <row r="1882" spans="1:10" ht="12.75" customHeight="1">
      <c r="A1882" s="28"/>
      <c r="B1882" s="29" t="s">
        <v>3710</v>
      </c>
      <c r="C1882" s="30" t="str">
        <f>IFERROR(_xlfn.XLOOKUP(B1882,MObra[DESCRIPCION],MObra[UN],,0),"")</f>
        <v>día</v>
      </c>
      <c r="D1882" s="31">
        <v>1</v>
      </c>
      <c r="E1882" s="32">
        <f>IFERROR(_xlfn.XLOOKUP($B1882,MObra[DESCRIPCION],MObra[VALOR UNIT],,0),"")</f>
        <v>314390.75089500006</v>
      </c>
      <c r="F1882" s="33">
        <v>-5</v>
      </c>
      <c r="G1882" s="34">
        <f>IFERROR(IF(F1882&gt;=0,D1882*E1882*(1+F1882/100),ABS(D1882*E1882/F1882)),"")</f>
        <v>62878.150179000011</v>
      </c>
      <c r="H1882" s="43">
        <f>IFERROR(G1882*E1866,"")</f>
        <v>0</v>
      </c>
    </row>
    <row r="1883" spans="1:10" ht="12.75" customHeight="1">
      <c r="A1883" s="28"/>
      <c r="B1883" s="29"/>
      <c r="C1883" s="30" t="str">
        <f t="array" ref="C1883">IFERROR(_xlfn.XLOOKUP(B1883,MObra[[#All],[DESCRIPCION]],MObra[[#All],[UN]],,0),"")</f>
        <v/>
      </c>
      <c r="D1883" s="31"/>
      <c r="E1883" s="32" t="str">
        <f>IFERROR(_xlfn.XLOOKUP($B1883,MObra[DESCRIPCION],MObra[VALOR UNIT],,0),"")</f>
        <v/>
      </c>
      <c r="F1883" s="33"/>
      <c r="G1883" s="34" t="str">
        <f>IFERROR(IF(F1883&gt;=0,D1883*E1883*(1+F1883/100),ABS(D1883*E1883/F1883)),"")</f>
        <v/>
      </c>
      <c r="H1883" s="43" t="str">
        <f>IFERROR(G1883*E1866,"")</f>
        <v/>
      </c>
    </row>
    <row r="1884" spans="1:10" ht="12.75" customHeight="1" thickBot="1">
      <c r="A1884" s="35"/>
      <c r="B1884" s="36"/>
      <c r="C1884" s="37" t="str">
        <f t="array" ref="C1884">IFERROR(_xlfn.XLOOKUP(B1884,MObra[[#All],[DESCRIPCION]],MObra[[#All],[UN]],,0),"")</f>
        <v/>
      </c>
      <c r="D1884" s="38"/>
      <c r="E1884" s="39" t="str">
        <f>IFERROR(_xlfn.XLOOKUP($B1884,MObra[DESCRIPCION],MObra[VALOR UNIT],,0),"")</f>
        <v/>
      </c>
      <c r="F1884" s="40"/>
      <c r="G1884" s="41" t="str">
        <f>IFERROR(IF(F1884&gt;=0,D1884*E1884*(1+F1884/100),ABS(D1884*E1884/F1884)),"")</f>
        <v/>
      </c>
      <c r="H1884" s="42" t="str">
        <f>IFERROR(G1884*E1866,"")</f>
        <v/>
      </c>
    </row>
    <row r="1885" spans="1:10" ht="12.75" customHeight="1" thickTop="1" thickBot="1">
      <c r="E1885" s="49"/>
      <c r="G1885" s="3"/>
    </row>
    <row r="1886" spans="1:10" ht="12.75" customHeight="1" thickTop="1" thickBot="1">
      <c r="A1886" s="6" t="s">
        <v>210</v>
      </c>
      <c r="B1886" s="7" t="str">
        <f>VLOOKUP($A1886,Presupuesto!$A:$D,2,FALSE())</f>
        <v>Descapote y limpieza manual</v>
      </c>
      <c r="C1886" s="8" t="str">
        <f>VLOOKUP($A1886,Presupuesto!$A:$D,3,FALSE())</f>
        <v>M2</v>
      </c>
      <c r="D1886" s="9"/>
      <c r="E1886" s="10">
        <f>VLOOKUP($A1886,Presupuesto!$A:$D,4,FALSE())</f>
        <v>0</v>
      </c>
      <c r="F1886" s="11"/>
      <c r="G1886" s="12">
        <f>SUM(G1888:G1904)/2</f>
        <v>9177.3436856700027</v>
      </c>
      <c r="H1886" s="13">
        <f>ROUND(SUM(H1888:H1904),0)/2</f>
        <v>0</v>
      </c>
      <c r="I1886" s="10">
        <f>VLOOKUP(A1886,Presupuesto!$A:$F,6,0)</f>
        <v>0</v>
      </c>
      <c r="J1886" s="10">
        <f>+H1886-I1886</f>
        <v>0</v>
      </c>
    </row>
    <row r="1887" spans="1:10" ht="12.75" customHeight="1" thickTop="1">
      <c r="A1887" s="14"/>
      <c r="B1887" s="15" t="s">
        <v>2586</v>
      </c>
      <c r="C1887" s="15" t="s">
        <v>5</v>
      </c>
      <c r="D1887" s="16" t="s">
        <v>6</v>
      </c>
      <c r="E1887" s="17" t="s">
        <v>7</v>
      </c>
      <c r="F1887" s="18" t="s">
        <v>3728</v>
      </c>
      <c r="G1887" s="19" t="s">
        <v>3729</v>
      </c>
      <c r="H1887" s="20" t="s">
        <v>3797</v>
      </c>
    </row>
    <row r="1888" spans="1:10" ht="12.75" customHeight="1">
      <c r="A1888" s="21"/>
      <c r="B1888" s="22" t="s">
        <v>3730</v>
      </c>
      <c r="C1888" s="23"/>
      <c r="D1888" s="24"/>
      <c r="E1888" s="25"/>
      <c r="F1888" s="26"/>
      <c r="G1888" s="27">
        <f>SUM(G1889:G1893)</f>
        <v>0</v>
      </c>
      <c r="H1888" s="27">
        <f>IFERROR(G1888*E1886,"")</f>
        <v>0</v>
      </c>
    </row>
    <row r="1889" spans="1:8" ht="12.75" customHeight="1">
      <c r="A1889" s="28"/>
      <c r="B1889" s="29"/>
      <c r="C1889" s="30" t="str">
        <f>IFERROR(_xlfn.XLOOKUP(B1889,Insumo[DESCRIPCION],Insumo[UND],,0),"")</f>
        <v/>
      </c>
      <c r="D1889" s="31"/>
      <c r="E1889" s="32" t="str">
        <f>IFERROR(_xlfn.XLOOKUP($B1889,Insumo[DESCRIPCION],Insumo[VALOR],,0),"")</f>
        <v/>
      </c>
      <c r="F1889" s="33"/>
      <c r="G1889" s="34" t="str">
        <f>IFERROR(IF(F1889&gt;=0,D1889*E1889*(1+F1889/100),ABS(D1889*E1889/F1889)),"")</f>
        <v/>
      </c>
      <c r="H1889" s="43" t="str">
        <f>IFERROR(G1889*E1886,"")</f>
        <v/>
      </c>
    </row>
    <row r="1890" spans="1:8" ht="12.75" customHeight="1">
      <c r="A1890" s="28"/>
      <c r="B1890" s="29"/>
      <c r="C1890" s="30" t="str">
        <f>IFERROR(_xlfn.XLOOKUP(B1890,Insumo[DESCRIPCION],Insumo[UND],,0),"")</f>
        <v/>
      </c>
      <c r="D1890" s="31"/>
      <c r="E1890" s="32" t="str">
        <f>IFERROR(_xlfn.XLOOKUP($B1890,Insumo[DESCRIPCION],Insumo[VALOR],,0),"")</f>
        <v/>
      </c>
      <c r="F1890" s="33"/>
      <c r="G1890" s="34" t="str">
        <f>IFERROR(IF(F1890&gt;=0,D1890*E1890*(1+F1890/100),ABS(D1890*E1890/F1890)),"")</f>
        <v/>
      </c>
      <c r="H1890" s="43" t="str">
        <f>IFERROR(G1890*E1886,"")</f>
        <v/>
      </c>
    </row>
    <row r="1891" spans="1:8" ht="12.75" customHeight="1">
      <c r="A1891" s="28"/>
      <c r="B1891" s="29"/>
      <c r="C1891" s="30" t="str">
        <f>IFERROR(_xlfn.XLOOKUP(B1891,Insumo[DESCRIPCION],Insumo[UND],,0),"")</f>
        <v/>
      </c>
      <c r="D1891" s="31"/>
      <c r="E1891" s="32" t="str">
        <f>IFERROR(_xlfn.XLOOKUP($B1891,Insumo[DESCRIPCION],Insumo[VALOR],,0),"")</f>
        <v/>
      </c>
      <c r="F1891" s="33"/>
      <c r="G1891" s="34" t="str">
        <f>IFERROR(IF(F1891&gt;=0,D1891*E1891*(1+F1891/100),ABS(D1891*E1891/F1891)),"")</f>
        <v/>
      </c>
      <c r="H1891" s="43" t="str">
        <f>IFERROR(G1891*E1886,"")</f>
        <v/>
      </c>
    </row>
    <row r="1892" spans="1:8" ht="12.75" customHeight="1">
      <c r="A1892" s="28"/>
      <c r="B1892" s="29"/>
      <c r="C1892" s="30" t="str">
        <f>IFERROR(_xlfn.XLOOKUP(B1892,Insumo[DESCRIPCION],Insumo[UND],,0),"")</f>
        <v/>
      </c>
      <c r="D1892" s="31"/>
      <c r="E1892" s="32" t="str">
        <f>IFERROR(_xlfn.XLOOKUP($B1892,Insumo[DESCRIPCION],Insumo[VALOR],,0),"")</f>
        <v/>
      </c>
      <c r="F1892" s="33"/>
      <c r="G1892" s="34" t="str">
        <f>IFERROR(IF(F1892&gt;=0,D1892*E1892*(1+F1892/100),ABS(D1892*E1892/F1892)),"")</f>
        <v/>
      </c>
      <c r="H1892" s="43" t="str">
        <f>IFERROR(G1892*E1886,"")</f>
        <v/>
      </c>
    </row>
    <row r="1893" spans="1:8" ht="12.75" customHeight="1">
      <c r="A1893" s="28"/>
      <c r="B1893" s="29"/>
      <c r="C1893" s="30" t="str">
        <f>IFERROR(_xlfn.XLOOKUP(B1893,Insumo[DESCRIPCION],Insumo[UND],,0),"")</f>
        <v/>
      </c>
      <c r="D1893" s="31"/>
      <c r="E1893" s="32" t="str">
        <f>IFERROR(_xlfn.XLOOKUP($B1893,Insumo[DESCRIPCION],Insumo[VALOR],,0),"")</f>
        <v/>
      </c>
      <c r="F1893" s="33"/>
      <c r="G1893" s="34" t="str">
        <f>IFERROR(IF(F1893&gt;=0,D1893*E1893*(1+F1893/100),ABS(D1893*E1893/F1893)),"")</f>
        <v/>
      </c>
      <c r="H1893" s="43" t="str">
        <f>IFERROR(G1893*E1886,"")</f>
        <v/>
      </c>
    </row>
    <row r="1894" spans="1:8" ht="12.75" customHeight="1">
      <c r="A1894" s="21"/>
      <c r="B1894" s="22" t="s">
        <v>3731</v>
      </c>
      <c r="C1894" s="23"/>
      <c r="D1894" s="24"/>
      <c r="E1894" s="25"/>
      <c r="F1894" s="26"/>
      <c r="G1894" s="27">
        <f>SUM(G1895:G1897)</f>
        <v>757.76232267000023</v>
      </c>
      <c r="H1894" s="44">
        <f>G1894*E1886</f>
        <v>0</v>
      </c>
    </row>
    <row r="1895" spans="1:8" ht="12.75" customHeight="1">
      <c r="A1895" s="28"/>
      <c r="B1895" s="29" t="s">
        <v>3570</v>
      </c>
      <c r="C1895" s="30" t="str">
        <f>IFERROR(_xlfn.XLOOKUP(B1895,Equipo[DESCRIPCION],Equipo[UND],,0),"")</f>
        <v>%MO</v>
      </c>
      <c r="D1895" s="31">
        <v>0.04</v>
      </c>
      <c r="E1895" s="32">
        <f>IF(C1895="%MO",G1901,IFERROR(_xlfn.XLOOKUP($B1895,Equipo[DESCRIPCION],Equipo[VALOR],,0),""))</f>
        <v>8419.581363000003</v>
      </c>
      <c r="F1895" s="33"/>
      <c r="G1895" s="34">
        <f>IFERROR(IF(F1895&gt;=0,D1895*E1895*(1+F1895/100),ABS(D1895*E1895/F1895)),"")</f>
        <v>336.78325452000013</v>
      </c>
      <c r="H1895" s="43">
        <f>IFERROR(G1895*E1886,"")</f>
        <v>0</v>
      </c>
    </row>
    <row r="1896" spans="1:8" ht="12.75" customHeight="1">
      <c r="A1896" s="28"/>
      <c r="B1896" s="29" t="s">
        <v>3626</v>
      </c>
      <c r="C1896" s="30" t="str">
        <f>IFERROR(_xlfn.XLOOKUP(B1896,Equipo[DESCRIPCION],Equipo[UND],,0),"")</f>
        <v>%MO</v>
      </c>
      <c r="D1896" s="31">
        <v>0.05</v>
      </c>
      <c r="E1896" s="32">
        <f>IF(C1896="%MO",G1901,IFERROR(_xlfn.XLOOKUP($B1896,Equipo[DESCRIPCION],Equipo[VALOR],,0),""))</f>
        <v>8419.581363000003</v>
      </c>
      <c r="F1896" s="33"/>
      <c r="G1896" s="34">
        <f>IFERROR(IF(F1896&gt;=0,D1896*E1896*(1+F1896/100),ABS(D1896*E1896/F1896)),"")</f>
        <v>420.97906815000016</v>
      </c>
      <c r="H1896" s="43">
        <f>IFERROR(G1896*E1886,"")</f>
        <v>0</v>
      </c>
    </row>
    <row r="1897" spans="1:8" ht="12.75" customHeight="1">
      <c r="A1897" s="28"/>
      <c r="B1897" s="29"/>
      <c r="C1897" s="30" t="str">
        <f>IFERROR(_xlfn.XLOOKUP(B1897,Equipo[DESCRIPCION],Equipo[UND],,0),"")</f>
        <v/>
      </c>
      <c r="D1897" s="31"/>
      <c r="E1897" s="32" t="str">
        <f>IF(C1897="%MO",G1901,IFERROR(_xlfn.XLOOKUP($B1897,Equipo[DESCRIPCION],Equipo[VALOR],,0),""))</f>
        <v/>
      </c>
      <c r="F1897" s="33"/>
      <c r="G1897" s="34" t="str">
        <f>IFERROR(IF(F1897&gt;=0,D1897*E1897*(1+F1897/100),ABS(D1897*E1897/F1897)),"")</f>
        <v/>
      </c>
      <c r="H1897" s="43" t="str">
        <f>IFERROR(G1897*E1886,"")</f>
        <v/>
      </c>
    </row>
    <row r="1898" spans="1:8" ht="12.75" customHeight="1">
      <c r="A1898" s="21"/>
      <c r="B1898" s="22" t="s">
        <v>2533</v>
      </c>
      <c r="C1898" s="23"/>
      <c r="D1898" s="24"/>
      <c r="E1898" s="25"/>
      <c r="F1898" s="26"/>
      <c r="G1898" s="27">
        <f>SUM(G1899:G1900)</f>
        <v>0</v>
      </c>
      <c r="H1898" s="44">
        <f>G1898*E1886</f>
        <v>0</v>
      </c>
    </row>
    <row r="1899" spans="1:8" ht="12.75" customHeight="1">
      <c r="A1899" s="28"/>
      <c r="B1899" s="29"/>
      <c r="C1899" s="30" t="str">
        <f>IFERROR(_xlfn.XLOOKUP(B1899,Transporte[DESCRIPCION],Transporte[UND],,0),"")</f>
        <v/>
      </c>
      <c r="D1899" s="31"/>
      <c r="E1899" s="32" t="str">
        <f>IFERROR(_xlfn.XLOOKUP($B1899,Transporte[DESCRIPCION],Transporte[VALOR],,0),"")</f>
        <v/>
      </c>
      <c r="F1899" s="33"/>
      <c r="G1899" s="34" t="str">
        <f>IFERROR(IF(F1899&gt;=0,D1899*E1899*(1+F1899/100),ABS(D1899*E1899/F1899)),"")</f>
        <v/>
      </c>
      <c r="H1899" s="43" t="str">
        <f>IFERROR(G1899*E1886,"")</f>
        <v/>
      </c>
    </row>
    <row r="1900" spans="1:8" ht="12.75" customHeight="1">
      <c r="A1900" s="28"/>
      <c r="B1900" s="29"/>
      <c r="C1900" s="30" t="str">
        <f>IFERROR(_xlfn.XLOOKUP(B1900,Transporte[DESCRIPCION],Transporte[UND],,0),"")</f>
        <v/>
      </c>
      <c r="D1900" s="31"/>
      <c r="E1900" s="32" t="str">
        <f>IFERROR(_xlfn.XLOOKUP($B1900,Transporte[DESCRIPCION],Transporte[VALOR],,0),"")</f>
        <v/>
      </c>
      <c r="F1900" s="33"/>
      <c r="G1900" s="34" t="str">
        <f>IFERROR(IF(F1900&gt;=0,D1900*E1900*(1+F1900/100),ABS(D1900*E1900/F1900)),"")</f>
        <v/>
      </c>
      <c r="H1900" s="43" t="str">
        <f>IFERROR(G1900*E1886,"")</f>
        <v/>
      </c>
    </row>
    <row r="1901" spans="1:8" ht="12.75" customHeight="1">
      <c r="A1901" s="21"/>
      <c r="B1901" s="22" t="s">
        <v>3732</v>
      </c>
      <c r="C1901" s="23"/>
      <c r="D1901" s="24"/>
      <c r="E1901" s="25"/>
      <c r="F1901" s="26"/>
      <c r="G1901" s="27">
        <f>SUM(G1902:G1904)</f>
        <v>8419.581363000003</v>
      </c>
      <c r="H1901" s="44">
        <f>G1901*E1886</f>
        <v>0</v>
      </c>
    </row>
    <row r="1902" spans="1:8" ht="12.75" customHeight="1">
      <c r="A1902" s="28"/>
      <c r="B1902" s="29" t="s">
        <v>3712</v>
      </c>
      <c r="C1902" s="30" t="str">
        <f>IFERROR(_xlfn.XLOOKUP(B1902,MObra[DESCRIPCION],MObra[UN],,0),"")</f>
        <v>día</v>
      </c>
      <c r="D1902" s="31">
        <v>1</v>
      </c>
      <c r="E1902" s="32">
        <f>IFERROR(_xlfn.XLOOKUP($B1902,MObra[DESCRIPCION],MObra[VALOR UNIT],,0),"")</f>
        <v>547272.78859500017</v>
      </c>
      <c r="F1902" s="33">
        <v>-65</v>
      </c>
      <c r="G1902" s="34">
        <f>IFERROR(IF(F1902&gt;=0,D1902*E1902*(1+F1902/100),ABS(D1902*E1902/F1902)),"")</f>
        <v>8419.581363000003</v>
      </c>
      <c r="H1902" s="43">
        <f>IFERROR(G1902*E1886,"")</f>
        <v>0</v>
      </c>
    </row>
    <row r="1903" spans="1:8" ht="12.75" customHeight="1">
      <c r="A1903" s="28"/>
      <c r="B1903" s="29"/>
      <c r="C1903" s="30" t="str">
        <f t="array" ref="C1903">IFERROR(_xlfn.XLOOKUP(B1903,MObra[[#All],[DESCRIPCION]],MObra[[#All],[UN]],,0),"")</f>
        <v/>
      </c>
      <c r="D1903" s="31"/>
      <c r="E1903" s="32" t="str">
        <f>IFERROR(_xlfn.XLOOKUP($B1903,MObra[DESCRIPCION],MObra[VALOR UNIT],,0),"")</f>
        <v/>
      </c>
      <c r="F1903" s="33"/>
      <c r="G1903" s="34" t="str">
        <f>IFERROR(IF(F1903&gt;=0,D1903*E1903*(1+F1903/100),ABS(D1903*E1903/F1903)),"")</f>
        <v/>
      </c>
      <c r="H1903" s="43" t="str">
        <f>IFERROR(G1903*E1886,"")</f>
        <v/>
      </c>
    </row>
    <row r="1904" spans="1:8" ht="12.75" customHeight="1" thickBot="1">
      <c r="A1904" s="35"/>
      <c r="B1904" s="36"/>
      <c r="C1904" s="37" t="str">
        <f t="array" ref="C1904">IFERROR(_xlfn.XLOOKUP(B1904,MObra[[#All],[DESCRIPCION]],MObra[[#All],[UN]],,0),"")</f>
        <v/>
      </c>
      <c r="D1904" s="38"/>
      <c r="E1904" s="39" t="str">
        <f>IFERROR(_xlfn.XLOOKUP($B1904,MObra[DESCRIPCION],MObra[VALOR UNIT],,0),"")</f>
        <v/>
      </c>
      <c r="F1904" s="40"/>
      <c r="G1904" s="41" t="str">
        <f>IFERROR(IF(F1904&gt;=0,D1904*E1904*(1+F1904/100),ABS(D1904*E1904/F1904)),"")</f>
        <v/>
      </c>
      <c r="H1904" s="42" t="str">
        <f>IFERROR(G1904*E1886,"")</f>
        <v/>
      </c>
    </row>
    <row r="1905" spans="1:10" ht="12.75" customHeight="1" thickTop="1" thickBot="1">
      <c r="E1905" s="49"/>
      <c r="G1905" s="3"/>
    </row>
    <row r="1906" spans="1:10" ht="12.75" customHeight="1" thickTop="1" thickBot="1">
      <c r="A1906" s="6" t="s">
        <v>212</v>
      </c>
      <c r="B1906" s="7" t="str">
        <f>VLOOKUP($A1906,Presupuesto!$A:$D,2,FALSE())</f>
        <v>Descapote y limpieza manual (incluye retiro)</v>
      </c>
      <c r="C1906" s="8" t="str">
        <f>VLOOKUP($A1906,Presupuesto!$A:$D,3,FALSE())</f>
        <v>M2</v>
      </c>
      <c r="D1906" s="9"/>
      <c r="E1906" s="10">
        <f>VLOOKUP($A1906,Presupuesto!$A:$D,4,FALSE())</f>
        <v>0</v>
      </c>
      <c r="F1906" s="11" t="s">
        <v>2589</v>
      </c>
      <c r="G1906" s="12">
        <f>SUM(G1908:G1924)/2</f>
        <v>15215.560431150003</v>
      </c>
      <c r="H1906" s="13">
        <f>ROUND(SUM(H1908:H1924),0)/2</f>
        <v>0</v>
      </c>
      <c r="I1906" s="10">
        <f>VLOOKUP(A1906,Presupuesto!$A:$F,6,0)</f>
        <v>0</v>
      </c>
      <c r="J1906" s="10">
        <f>+H1906-I1906</f>
        <v>0</v>
      </c>
    </row>
    <row r="1907" spans="1:10" ht="12.75" customHeight="1" thickTop="1">
      <c r="A1907" s="14"/>
      <c r="B1907" s="15" t="s">
        <v>2586</v>
      </c>
      <c r="C1907" s="15" t="s">
        <v>5</v>
      </c>
      <c r="D1907" s="16" t="s">
        <v>6</v>
      </c>
      <c r="E1907" s="17" t="s">
        <v>7</v>
      </c>
      <c r="F1907" s="18" t="s">
        <v>3728</v>
      </c>
      <c r="G1907" s="19" t="s">
        <v>3729</v>
      </c>
      <c r="H1907" s="20" t="s">
        <v>3797</v>
      </c>
    </row>
    <row r="1908" spans="1:10" ht="12.75" customHeight="1">
      <c r="A1908" s="21"/>
      <c r="B1908" s="22" t="s">
        <v>3730</v>
      </c>
      <c r="C1908" s="23"/>
      <c r="D1908" s="24"/>
      <c r="E1908" s="25"/>
      <c r="F1908" s="26"/>
      <c r="G1908" s="27">
        <f>SUM(G1909:G1913)</f>
        <v>0</v>
      </c>
      <c r="H1908" s="27">
        <f>IFERROR(G1908*E1906,"")</f>
        <v>0</v>
      </c>
    </row>
    <row r="1909" spans="1:10" ht="12.75" customHeight="1">
      <c r="A1909" s="28"/>
      <c r="B1909" s="29"/>
      <c r="C1909" s="30" t="str">
        <f>IFERROR(_xlfn.XLOOKUP(B1909,Insumo[DESCRIPCION],Insumo[UND],,0),"")</f>
        <v/>
      </c>
      <c r="D1909" s="31"/>
      <c r="E1909" s="32" t="str">
        <f>IFERROR(_xlfn.XLOOKUP($B1909,Insumo[DESCRIPCION],Insumo[VALOR],,0),"")</f>
        <v/>
      </c>
      <c r="F1909" s="33"/>
      <c r="G1909" s="34" t="str">
        <f>IFERROR(IF(F1909&gt;=0,D1909*E1909*(1+F1909/100),ABS(D1909*E1909/F1909)),"")</f>
        <v/>
      </c>
      <c r="H1909" s="43" t="str">
        <f>IFERROR(G1909*E1906,"")</f>
        <v/>
      </c>
    </row>
    <row r="1910" spans="1:10" ht="12.75" customHeight="1">
      <c r="A1910" s="28"/>
      <c r="B1910" s="29"/>
      <c r="C1910" s="30" t="str">
        <f>IFERROR(_xlfn.XLOOKUP(B1910,Insumo[DESCRIPCION],Insumo[UND],,0),"")</f>
        <v/>
      </c>
      <c r="D1910" s="31"/>
      <c r="E1910" s="32" t="str">
        <f>IFERROR(_xlfn.XLOOKUP($B1910,Insumo[DESCRIPCION],Insumo[VALOR],,0),"")</f>
        <v/>
      </c>
      <c r="F1910" s="33"/>
      <c r="G1910" s="34" t="str">
        <f>IFERROR(IF(F1910&gt;=0,D1910*E1910*(1+F1910/100),ABS(D1910*E1910/F1910)),"")</f>
        <v/>
      </c>
      <c r="H1910" s="43" t="str">
        <f>IFERROR(G1910*E1906,"")</f>
        <v/>
      </c>
    </row>
    <row r="1911" spans="1:10" ht="12.75" customHeight="1">
      <c r="A1911" s="28"/>
      <c r="B1911" s="29"/>
      <c r="C1911" s="30" t="str">
        <f>IFERROR(_xlfn.XLOOKUP(B1911,Insumo[DESCRIPCION],Insumo[UND],,0),"")</f>
        <v/>
      </c>
      <c r="D1911" s="31"/>
      <c r="E1911" s="32" t="str">
        <f>IFERROR(_xlfn.XLOOKUP($B1911,Insumo[DESCRIPCION],Insumo[VALOR],,0),"")</f>
        <v/>
      </c>
      <c r="F1911" s="33"/>
      <c r="G1911" s="34" t="str">
        <f>IFERROR(IF(F1911&gt;=0,D1911*E1911*(1+F1911/100),ABS(D1911*E1911/F1911)),"")</f>
        <v/>
      </c>
      <c r="H1911" s="43" t="str">
        <f>IFERROR(G1911*E1906,"")</f>
        <v/>
      </c>
    </row>
    <row r="1912" spans="1:10" ht="12.75" customHeight="1">
      <c r="A1912" s="28"/>
      <c r="B1912" s="29"/>
      <c r="C1912" s="30" t="str">
        <f>IFERROR(_xlfn.XLOOKUP(B1912,Insumo[DESCRIPCION],Insumo[UND],,0),"")</f>
        <v/>
      </c>
      <c r="D1912" s="31"/>
      <c r="E1912" s="32" t="str">
        <f>IFERROR(_xlfn.XLOOKUP($B1912,Insumo[DESCRIPCION],Insumo[VALOR],,0),"")</f>
        <v/>
      </c>
      <c r="F1912" s="33"/>
      <c r="G1912" s="34" t="str">
        <f>IFERROR(IF(F1912&gt;=0,D1912*E1912*(1+F1912/100),ABS(D1912*E1912/F1912)),"")</f>
        <v/>
      </c>
      <c r="H1912" s="43" t="str">
        <f>IFERROR(G1912*E1906,"")</f>
        <v/>
      </c>
    </row>
    <row r="1913" spans="1:10" ht="12.75" customHeight="1">
      <c r="A1913" s="28"/>
      <c r="B1913" s="29"/>
      <c r="C1913" s="30" t="str">
        <f>IFERROR(_xlfn.XLOOKUP(B1913,Insumo[DESCRIPCION],Insumo[UND],,0),"")</f>
        <v/>
      </c>
      <c r="D1913" s="31"/>
      <c r="E1913" s="32" t="str">
        <f>IFERROR(_xlfn.XLOOKUP($B1913,Insumo[DESCRIPCION],Insumo[VALOR],,0),"")</f>
        <v/>
      </c>
      <c r="F1913" s="33"/>
      <c r="G1913" s="34" t="str">
        <f>IFERROR(IF(F1913&gt;=0,D1913*E1913*(1+F1913/100),ABS(D1913*E1913/F1913)),"")</f>
        <v/>
      </c>
      <c r="H1913" s="43" t="str">
        <f>IFERROR(G1913*E1906,"")</f>
        <v/>
      </c>
    </row>
    <row r="1914" spans="1:10" ht="12.75" customHeight="1">
      <c r="A1914" s="21"/>
      <c r="B1914" s="22" t="s">
        <v>3731</v>
      </c>
      <c r="C1914" s="23"/>
      <c r="D1914" s="24"/>
      <c r="E1914" s="25"/>
      <c r="F1914" s="26"/>
      <c r="G1914" s="27">
        <f>SUM(G1915:G1917)</f>
        <v>6795.9790681499999</v>
      </c>
      <c r="H1914" s="44">
        <f>G1914*E1906</f>
        <v>0</v>
      </c>
    </row>
    <row r="1915" spans="1:10" ht="12.75" customHeight="1">
      <c r="A1915" s="28"/>
      <c r="B1915" s="29" t="s">
        <v>3659</v>
      </c>
      <c r="C1915" s="30" t="str">
        <f>IFERROR(_xlfn.XLOOKUP(B1915,Equipo[DESCRIPCION],Equipo[UND],,0),"")</f>
        <v>Hr</v>
      </c>
      <c r="D1915" s="31">
        <v>1</v>
      </c>
      <c r="E1915" s="32">
        <f>IF(C1915="%MO",G1921,IFERROR(_xlfn.XLOOKUP($B1915,Equipo[DESCRIPCION],Equipo[VALOR],,0),""))</f>
        <v>89250</v>
      </c>
      <c r="F1915" s="33">
        <v>-14</v>
      </c>
      <c r="G1915" s="34">
        <f>IFERROR(IF(F1915&gt;=0,D1915*E1915*(1+F1915/100),ABS(D1915*E1915/F1915)),"")</f>
        <v>6375</v>
      </c>
      <c r="H1915" s="43">
        <f>IFERROR(G1915*E1906,"")</f>
        <v>0</v>
      </c>
    </row>
    <row r="1916" spans="1:10" ht="12.75" customHeight="1">
      <c r="A1916" s="28"/>
      <c r="B1916" s="29" t="s">
        <v>3626</v>
      </c>
      <c r="C1916" s="30" t="str">
        <f>IFERROR(_xlfn.XLOOKUP(B1916,Equipo[DESCRIPCION],Equipo[UND],,0),"")</f>
        <v>%MO</v>
      </c>
      <c r="D1916" s="31">
        <v>0.05</v>
      </c>
      <c r="E1916" s="32">
        <f>IF(C1916="%MO",G1921,IFERROR(_xlfn.XLOOKUP($B1916,Equipo[DESCRIPCION],Equipo[VALOR],,0),""))</f>
        <v>8419.581363000003</v>
      </c>
      <c r="F1916" s="33"/>
      <c r="G1916" s="34">
        <f>IFERROR(IF(F1916&gt;=0,D1916*E1916*(1+F1916/100),ABS(D1916*E1916/F1916)),"")</f>
        <v>420.97906815000016</v>
      </c>
      <c r="H1916" s="43">
        <f>IFERROR(G1916*E1906,"")</f>
        <v>0</v>
      </c>
    </row>
    <row r="1917" spans="1:10" ht="12.75" customHeight="1">
      <c r="A1917" s="28"/>
      <c r="B1917" s="29"/>
      <c r="C1917" s="30" t="str">
        <f>IFERROR(_xlfn.XLOOKUP(B1917,Equipo[DESCRIPCION],Equipo[UND],,0),"")</f>
        <v/>
      </c>
      <c r="D1917" s="31"/>
      <c r="E1917" s="32" t="str">
        <f>IF(C1917="%MO",G1921,IFERROR(_xlfn.XLOOKUP($B1917,Equipo[DESCRIPCION],Equipo[VALOR],,0),""))</f>
        <v/>
      </c>
      <c r="F1917" s="33"/>
      <c r="G1917" s="34" t="str">
        <f>IFERROR(IF(F1917&gt;=0,D1917*E1917*(1+F1917/100),ABS(D1917*E1917/F1917)),"")</f>
        <v/>
      </c>
      <c r="H1917" s="43" t="str">
        <f>IFERROR(G1917*E1906,"")</f>
        <v/>
      </c>
    </row>
    <row r="1918" spans="1:10" ht="12.75" customHeight="1">
      <c r="A1918" s="21"/>
      <c r="B1918" s="22" t="s">
        <v>2533</v>
      </c>
      <c r="C1918" s="23"/>
      <c r="D1918" s="24"/>
      <c r="E1918" s="25"/>
      <c r="F1918" s="26"/>
      <c r="G1918" s="27">
        <f>SUM(G1919:G1920)</f>
        <v>0</v>
      </c>
      <c r="H1918" s="44">
        <f>G1918*E1906</f>
        <v>0</v>
      </c>
    </row>
    <row r="1919" spans="1:10" ht="12.75" customHeight="1">
      <c r="A1919" s="28"/>
      <c r="B1919" s="29"/>
      <c r="C1919" s="30" t="str">
        <f>IFERROR(_xlfn.XLOOKUP(B1919,Transporte[DESCRIPCION],Transporte[UND],,0),"")</f>
        <v/>
      </c>
      <c r="D1919" s="31"/>
      <c r="E1919" s="32" t="str">
        <f>IFERROR(_xlfn.XLOOKUP($B1919,Transporte[DESCRIPCION],Transporte[VALOR],,0),"")</f>
        <v/>
      </c>
      <c r="F1919" s="33"/>
      <c r="G1919" s="34" t="str">
        <f>IFERROR(IF(F1919&gt;=0,D1919*E1919*(1+F1919/100),ABS(D1919*E1919/F1919)),"")</f>
        <v/>
      </c>
      <c r="H1919" s="43" t="str">
        <f>IFERROR(G1919*E1906,"")</f>
        <v/>
      </c>
    </row>
    <row r="1920" spans="1:10" ht="12.75" customHeight="1">
      <c r="A1920" s="28"/>
      <c r="B1920" s="29"/>
      <c r="C1920" s="30" t="str">
        <f>IFERROR(_xlfn.XLOOKUP(B1920,Transporte[DESCRIPCION],Transporte[UND],,0),"")</f>
        <v/>
      </c>
      <c r="D1920" s="31"/>
      <c r="E1920" s="32" t="str">
        <f>IFERROR(_xlfn.XLOOKUP($B1920,Transporte[DESCRIPCION],Transporte[VALOR],,0),"")</f>
        <v/>
      </c>
      <c r="F1920" s="33"/>
      <c r="G1920" s="34" t="str">
        <f>IFERROR(IF(F1920&gt;=0,D1920*E1920*(1+F1920/100),ABS(D1920*E1920/F1920)),"")</f>
        <v/>
      </c>
      <c r="H1920" s="43" t="str">
        <f>IFERROR(G1920*E1906,"")</f>
        <v/>
      </c>
    </row>
    <row r="1921" spans="1:10" ht="12.75" customHeight="1">
      <c r="A1921" s="21"/>
      <c r="B1921" s="22" t="s">
        <v>3732</v>
      </c>
      <c r="C1921" s="23"/>
      <c r="D1921" s="24"/>
      <c r="E1921" s="25"/>
      <c r="F1921" s="26"/>
      <c r="G1921" s="27">
        <f>SUM(G1922:G1924)</f>
        <v>8419.581363000003</v>
      </c>
      <c r="H1921" s="44">
        <f>G1921*E1906</f>
        <v>0</v>
      </c>
    </row>
    <row r="1922" spans="1:10" ht="12.75" customHeight="1">
      <c r="A1922" s="28"/>
      <c r="B1922" s="29" t="s">
        <v>3712</v>
      </c>
      <c r="C1922" s="30" t="str">
        <f>IFERROR(_xlfn.XLOOKUP(B1922,MObra[DESCRIPCION],MObra[UN],,0),"")</f>
        <v>día</v>
      </c>
      <c r="D1922" s="31">
        <v>1</v>
      </c>
      <c r="E1922" s="32">
        <f>IFERROR(_xlfn.XLOOKUP($B1922,MObra[DESCRIPCION],MObra[VALOR UNIT],,0),"")</f>
        <v>547272.78859500017</v>
      </c>
      <c r="F1922" s="33">
        <v>-65</v>
      </c>
      <c r="G1922" s="34">
        <f>IFERROR(IF(F1922&gt;=0,D1922*E1922*(1+F1922/100),ABS(D1922*E1922/F1922)),"")</f>
        <v>8419.581363000003</v>
      </c>
      <c r="H1922" s="43">
        <f>IFERROR(G1922*E1906,"")</f>
        <v>0</v>
      </c>
    </row>
    <row r="1923" spans="1:10" ht="12.75" customHeight="1">
      <c r="A1923" s="28"/>
      <c r="B1923" s="29"/>
      <c r="C1923" s="30" t="str">
        <f t="array" ref="C1923">IFERROR(_xlfn.XLOOKUP(B1923,MObra[[#All],[DESCRIPCION]],MObra[[#All],[UN]],,0),"")</f>
        <v/>
      </c>
      <c r="D1923" s="31"/>
      <c r="E1923" s="32" t="str">
        <f>IFERROR(_xlfn.XLOOKUP($B1923,MObra[DESCRIPCION],MObra[VALOR UNIT],,0),"")</f>
        <v/>
      </c>
      <c r="F1923" s="33"/>
      <c r="G1923" s="34" t="str">
        <f>IFERROR(IF(F1923&gt;=0,D1923*E1923*(1+F1923/100),ABS(D1923*E1923/F1923)),"")</f>
        <v/>
      </c>
      <c r="H1923" s="43" t="str">
        <f>IFERROR(G1923*E1906,"")</f>
        <v/>
      </c>
    </row>
    <row r="1924" spans="1:10" ht="12.75" customHeight="1" thickBot="1">
      <c r="A1924" s="35"/>
      <c r="B1924" s="36"/>
      <c r="C1924" s="37" t="str">
        <f t="array" ref="C1924">IFERROR(_xlfn.XLOOKUP(B1924,MObra[[#All],[DESCRIPCION]],MObra[[#All],[UN]],,0),"")</f>
        <v/>
      </c>
      <c r="D1924" s="38"/>
      <c r="E1924" s="39" t="str">
        <f>IFERROR(_xlfn.XLOOKUP($B1924,MObra[DESCRIPCION],MObra[VALOR UNIT],,0),"")</f>
        <v/>
      </c>
      <c r="F1924" s="40"/>
      <c r="G1924" s="41" t="str">
        <f>IFERROR(IF(F1924&gt;=0,D1924*E1924*(1+F1924/100),ABS(D1924*E1924/F1924)),"")</f>
        <v/>
      </c>
      <c r="H1924" s="42" t="str">
        <f>IFERROR(G1924*E1906,"")</f>
        <v/>
      </c>
    </row>
    <row r="1925" spans="1:10" ht="12.75" customHeight="1" thickTop="1" thickBot="1">
      <c r="E1925" s="49"/>
      <c r="G1925" s="3"/>
    </row>
    <row r="1926" spans="1:10" ht="12.75" customHeight="1" thickTop="1" thickBot="1">
      <c r="A1926" s="6" t="s">
        <v>214</v>
      </c>
      <c r="B1926" s="7" t="str">
        <f>VLOOKUP($A1926,Presupuesto!$A:$D,2,FALSE())</f>
        <v>Descapote y limpieza mecánica</v>
      </c>
      <c r="C1926" s="8" t="str">
        <f>VLOOKUP($A1926,Presupuesto!$A:$D,3,FALSE())</f>
        <v>M2</v>
      </c>
      <c r="D1926" s="9"/>
      <c r="E1926" s="10">
        <f>VLOOKUP($A1926,Presupuesto!$A:$D,4,FALSE())</f>
        <v>0</v>
      </c>
      <c r="F1926" s="11" t="s">
        <v>2589</v>
      </c>
      <c r="G1926" s="12">
        <f>SUM(G1928:G1944)/2</f>
        <v>2611.7379968076925</v>
      </c>
      <c r="H1926" s="13">
        <f>ROUND(SUM(H1928:H1944),0)/2</f>
        <v>0</v>
      </c>
      <c r="I1926" s="10">
        <f>VLOOKUP(A1926,Presupuesto!$A:$F,6,0)</f>
        <v>0</v>
      </c>
      <c r="J1926" s="10">
        <f>+H1926-I1926</f>
        <v>0</v>
      </c>
    </row>
    <row r="1927" spans="1:10" ht="12.75" customHeight="1" thickTop="1">
      <c r="A1927" s="14"/>
      <c r="B1927" s="15" t="s">
        <v>2586</v>
      </c>
      <c r="C1927" s="15" t="s">
        <v>5</v>
      </c>
      <c r="D1927" s="16" t="s">
        <v>6</v>
      </c>
      <c r="E1927" s="17" t="s">
        <v>7</v>
      </c>
      <c r="F1927" s="18" t="s">
        <v>3728</v>
      </c>
      <c r="G1927" s="19" t="s">
        <v>3729</v>
      </c>
      <c r="H1927" s="20" t="s">
        <v>3797</v>
      </c>
    </row>
    <row r="1928" spans="1:10" ht="12.75" customHeight="1">
      <c r="A1928" s="21"/>
      <c r="B1928" s="22" t="s">
        <v>3730</v>
      </c>
      <c r="C1928" s="23"/>
      <c r="D1928" s="24"/>
      <c r="E1928" s="25"/>
      <c r="F1928" s="26"/>
      <c r="G1928" s="27">
        <f>SUM(G1929:G1933)</f>
        <v>0</v>
      </c>
      <c r="H1928" s="27">
        <f>IFERROR(G1928*E1926,"")</f>
        <v>0</v>
      </c>
    </row>
    <row r="1929" spans="1:10" ht="12.75" customHeight="1">
      <c r="A1929" s="28"/>
      <c r="B1929" s="29"/>
      <c r="C1929" s="30" t="str">
        <f>IFERROR(_xlfn.XLOOKUP(B1929,Insumo[DESCRIPCION],Insumo[UND],,0),"")</f>
        <v/>
      </c>
      <c r="D1929" s="31"/>
      <c r="E1929" s="32" t="str">
        <f>IFERROR(_xlfn.XLOOKUP($B1929,Insumo[DESCRIPCION],Insumo[VALOR],,0),"")</f>
        <v/>
      </c>
      <c r="F1929" s="33"/>
      <c r="G1929" s="34" t="str">
        <f>IFERROR(IF(F1929&gt;=0,D1929*E1929*(1+F1929/100),ABS(D1929*E1929/F1929)),"")</f>
        <v/>
      </c>
      <c r="H1929" s="43" t="str">
        <f>IFERROR(G1929*E1926,"")</f>
        <v/>
      </c>
    </row>
    <row r="1930" spans="1:10" ht="12.75" customHeight="1">
      <c r="A1930" s="28"/>
      <c r="B1930" s="29"/>
      <c r="C1930" s="30" t="str">
        <f>IFERROR(_xlfn.XLOOKUP(B1930,Insumo[DESCRIPCION],Insumo[UND],,0),"")</f>
        <v/>
      </c>
      <c r="D1930" s="31"/>
      <c r="E1930" s="32" t="str">
        <f>IFERROR(_xlfn.XLOOKUP($B1930,Insumo[DESCRIPCION],Insumo[VALOR],,0),"")</f>
        <v/>
      </c>
      <c r="F1930" s="33"/>
      <c r="G1930" s="34" t="str">
        <f>IFERROR(IF(F1930&gt;=0,D1930*E1930*(1+F1930/100),ABS(D1930*E1930/F1930)),"")</f>
        <v/>
      </c>
      <c r="H1930" s="43" t="str">
        <f>IFERROR(G1930*E1926,"")</f>
        <v/>
      </c>
    </row>
    <row r="1931" spans="1:10" ht="12.75" customHeight="1">
      <c r="A1931" s="28"/>
      <c r="B1931" s="29"/>
      <c r="C1931" s="30" t="str">
        <f>IFERROR(_xlfn.XLOOKUP(B1931,Insumo[DESCRIPCION],Insumo[UND],,0),"")</f>
        <v/>
      </c>
      <c r="D1931" s="31"/>
      <c r="E1931" s="32" t="str">
        <f>IFERROR(_xlfn.XLOOKUP($B1931,Insumo[DESCRIPCION],Insumo[VALOR],,0),"")</f>
        <v/>
      </c>
      <c r="F1931" s="33"/>
      <c r="G1931" s="34" t="str">
        <f>IFERROR(IF(F1931&gt;=0,D1931*E1931*(1+F1931/100),ABS(D1931*E1931/F1931)),"")</f>
        <v/>
      </c>
      <c r="H1931" s="43" t="str">
        <f>IFERROR(G1931*E1926,"")</f>
        <v/>
      </c>
    </row>
    <row r="1932" spans="1:10" ht="12.75" customHeight="1">
      <c r="A1932" s="28"/>
      <c r="B1932" s="29"/>
      <c r="C1932" s="30" t="str">
        <f>IFERROR(_xlfn.XLOOKUP(B1932,Insumo[DESCRIPCION],Insumo[UND],,0),"")</f>
        <v/>
      </c>
      <c r="D1932" s="31"/>
      <c r="E1932" s="32" t="str">
        <f>IFERROR(_xlfn.XLOOKUP($B1932,Insumo[DESCRIPCION],Insumo[VALOR],,0),"")</f>
        <v/>
      </c>
      <c r="F1932" s="33"/>
      <c r="G1932" s="34" t="str">
        <f>IFERROR(IF(F1932&gt;=0,D1932*E1932*(1+F1932/100),ABS(D1932*E1932/F1932)),"")</f>
        <v/>
      </c>
      <c r="H1932" s="43" t="str">
        <f>IFERROR(G1932*E1926,"")</f>
        <v/>
      </c>
    </row>
    <row r="1933" spans="1:10" ht="12.75" customHeight="1">
      <c r="A1933" s="28"/>
      <c r="B1933" s="29"/>
      <c r="C1933" s="30" t="str">
        <f>IFERROR(_xlfn.XLOOKUP(B1933,Insumo[DESCRIPCION],Insumo[UND],,0),"")</f>
        <v/>
      </c>
      <c r="D1933" s="31"/>
      <c r="E1933" s="32" t="str">
        <f>IFERROR(_xlfn.XLOOKUP($B1933,Insumo[DESCRIPCION],Insumo[VALOR],,0),"")</f>
        <v/>
      </c>
      <c r="F1933" s="33"/>
      <c r="G1933" s="34" t="str">
        <f>IFERROR(IF(F1933&gt;=0,D1933*E1933*(1+F1933/100),ABS(D1933*E1933/F1933)),"")</f>
        <v/>
      </c>
      <c r="H1933" s="43" t="str">
        <f>IFERROR(G1933*E1926,"")</f>
        <v/>
      </c>
    </row>
    <row r="1934" spans="1:10" ht="12.75" customHeight="1">
      <c r="A1934" s="21"/>
      <c r="B1934" s="22" t="s">
        <v>3731</v>
      </c>
      <c r="C1934" s="23"/>
      <c r="D1934" s="24"/>
      <c r="E1934" s="25"/>
      <c r="F1934" s="26"/>
      <c r="G1934" s="27">
        <f>SUM(G1935:G1937)</f>
        <v>820.33770680769226</v>
      </c>
      <c r="H1934" s="44">
        <f>G1934*E1926</f>
        <v>0</v>
      </c>
    </row>
    <row r="1935" spans="1:10" ht="12.75" customHeight="1">
      <c r="A1935" s="28"/>
      <c r="B1935" s="29" t="s">
        <v>3624</v>
      </c>
      <c r="C1935" s="30" t="str">
        <f>IFERROR(_xlfn.XLOOKUP(B1935,Equipo[DESCRIPCION],Equipo[UND],,0),"")</f>
        <v>Día</v>
      </c>
      <c r="D1935" s="31">
        <v>1</v>
      </c>
      <c r="E1935" s="32">
        <f>IF(C1935="%MO",G1941,IFERROR(_xlfn.XLOOKUP($B1935,Equipo[DESCRIPCION],Equipo[VALOR],,0),""))</f>
        <v>47499.9</v>
      </c>
      <c r="F1935" s="33">
        <v>-65</v>
      </c>
      <c r="G1935" s="34">
        <f>IFERROR(IF(F1935&gt;=0,D1935*E1935*(1+F1935/100),ABS(D1935*E1935/F1935)),"")</f>
        <v>730.7676923076923</v>
      </c>
      <c r="H1935" s="43">
        <f>IFERROR(G1935*E1926,"")</f>
        <v>0</v>
      </c>
    </row>
    <row r="1936" spans="1:10" ht="12.75" customHeight="1">
      <c r="A1936" s="28"/>
      <c r="B1936" s="29" t="s">
        <v>3626</v>
      </c>
      <c r="C1936" s="30" t="str">
        <f>IFERROR(_xlfn.XLOOKUP(B1936,Equipo[DESCRIPCION],Equipo[UND],,0),"")</f>
        <v>%MO</v>
      </c>
      <c r="D1936" s="31">
        <v>0.05</v>
      </c>
      <c r="E1936" s="32">
        <f>IF(C1936="%MO",G1941,IFERROR(_xlfn.XLOOKUP($B1936,Equipo[DESCRIPCION],Equipo[VALOR],,0),""))</f>
        <v>1791.4002900000003</v>
      </c>
      <c r="F1936" s="33"/>
      <c r="G1936" s="34">
        <f>IFERROR(IF(F1936&gt;=0,D1936*E1936*(1+F1936/100),ABS(D1936*E1936/F1936)),"")</f>
        <v>89.570014500000013</v>
      </c>
      <c r="H1936" s="43">
        <f>IFERROR(G1936*E1926,"")</f>
        <v>0</v>
      </c>
    </row>
    <row r="1937" spans="1:10" ht="12.75" customHeight="1">
      <c r="A1937" s="28"/>
      <c r="B1937" s="29"/>
      <c r="C1937" s="30" t="str">
        <f>IFERROR(_xlfn.XLOOKUP(B1937,Equipo[DESCRIPCION],Equipo[UND],,0),"")</f>
        <v/>
      </c>
      <c r="D1937" s="31"/>
      <c r="E1937" s="32" t="str">
        <f>IF(C1937="%MO",G1941,IFERROR(_xlfn.XLOOKUP($B1937,Equipo[DESCRIPCION],Equipo[VALOR],,0),""))</f>
        <v/>
      </c>
      <c r="F1937" s="33"/>
      <c r="G1937" s="34" t="str">
        <f>IFERROR(IF(F1937&gt;=0,D1937*E1937*(1+F1937/100),ABS(D1937*E1937/F1937)),"")</f>
        <v/>
      </c>
      <c r="H1937" s="43" t="str">
        <f>IFERROR(G1937*E1926,"")</f>
        <v/>
      </c>
    </row>
    <row r="1938" spans="1:10" ht="12.75" customHeight="1">
      <c r="A1938" s="21"/>
      <c r="B1938" s="22" t="s">
        <v>2533</v>
      </c>
      <c r="C1938" s="23"/>
      <c r="D1938" s="24"/>
      <c r="E1938" s="25"/>
      <c r="F1938" s="26"/>
      <c r="G1938" s="27">
        <f>SUM(G1939:G1940)</f>
        <v>0</v>
      </c>
      <c r="H1938" s="44">
        <f>G1938*E1926</f>
        <v>0</v>
      </c>
    </row>
    <row r="1939" spans="1:10" ht="12.75" customHeight="1">
      <c r="A1939" s="28"/>
      <c r="B1939" s="29"/>
      <c r="C1939" s="30" t="str">
        <f>IFERROR(_xlfn.XLOOKUP(B1939,Transporte[DESCRIPCION],Transporte[UND],,0),"")</f>
        <v/>
      </c>
      <c r="D1939" s="31"/>
      <c r="E1939" s="32" t="str">
        <f>IFERROR(_xlfn.XLOOKUP($B1939,Transporte[DESCRIPCION],Transporte[VALOR],,0),"")</f>
        <v/>
      </c>
      <c r="F1939" s="33"/>
      <c r="G1939" s="34" t="str">
        <f>IFERROR(IF(F1939&gt;=0,D1939*E1939*(1+F1939/100),ABS(D1939*E1939/F1939)),"")</f>
        <v/>
      </c>
      <c r="H1939" s="43" t="str">
        <f>IFERROR(G1939*E1926,"")</f>
        <v/>
      </c>
    </row>
    <row r="1940" spans="1:10" ht="12.75" customHeight="1">
      <c r="A1940" s="28"/>
      <c r="B1940" s="29"/>
      <c r="C1940" s="30" t="str">
        <f>IFERROR(_xlfn.XLOOKUP(B1940,Transporte[DESCRIPCION],Transporte[UND],,0),"")</f>
        <v/>
      </c>
      <c r="D1940" s="31"/>
      <c r="E1940" s="32" t="str">
        <f>IFERROR(_xlfn.XLOOKUP($B1940,Transporte[DESCRIPCION],Transporte[VALOR],,0),"")</f>
        <v/>
      </c>
      <c r="F1940" s="33"/>
      <c r="G1940" s="34" t="str">
        <f>IFERROR(IF(F1940&gt;=0,D1940*E1940*(1+F1940/100),ABS(D1940*E1940/F1940)),"")</f>
        <v/>
      </c>
      <c r="H1940" s="43" t="str">
        <f>IFERROR(G1940*E1926,"")</f>
        <v/>
      </c>
    </row>
    <row r="1941" spans="1:10" ht="12.75" customHeight="1">
      <c r="A1941" s="21"/>
      <c r="B1941" s="22" t="s">
        <v>3732</v>
      </c>
      <c r="C1941" s="23"/>
      <c r="D1941" s="24"/>
      <c r="E1941" s="25"/>
      <c r="F1941" s="26"/>
      <c r="G1941" s="27">
        <f>SUM(G1942:G1944)</f>
        <v>1791.4002900000003</v>
      </c>
      <c r="H1941" s="44">
        <f>G1941*E1926</f>
        <v>0</v>
      </c>
    </row>
    <row r="1942" spans="1:10" ht="12.75" customHeight="1">
      <c r="A1942" s="28"/>
      <c r="B1942" s="29" t="s">
        <v>3698</v>
      </c>
      <c r="C1942" s="30" t="str">
        <f>IFERROR(_xlfn.XLOOKUP(B1942,MObra[DESCRIPCION],MObra[UN],,0),"")</f>
        <v>día</v>
      </c>
      <c r="D1942" s="31">
        <v>1</v>
      </c>
      <c r="E1942" s="32">
        <f>IFERROR(_xlfn.XLOOKUP($B1942,MObra[DESCRIPCION],MObra[VALOR UNIT],,0),"")</f>
        <v>116441.01885000002</v>
      </c>
      <c r="F1942" s="33">
        <v>-65</v>
      </c>
      <c r="G1942" s="34">
        <f>IFERROR(IF(F1942&gt;=0,D1942*E1942*(1+F1942/100),ABS(D1942*E1942/F1942)),"")</f>
        <v>1791.4002900000003</v>
      </c>
      <c r="H1942" s="43">
        <f>IFERROR(G1942*E1926,"")</f>
        <v>0</v>
      </c>
    </row>
    <row r="1943" spans="1:10" ht="12.75" customHeight="1">
      <c r="A1943" s="28"/>
      <c r="B1943" s="29"/>
      <c r="C1943" s="30" t="str">
        <f t="array" ref="C1943">IFERROR(_xlfn.XLOOKUP(B1943,MObra[[#All],[DESCRIPCION]],MObra[[#All],[UN]],,0),"")</f>
        <v/>
      </c>
      <c r="D1943" s="31"/>
      <c r="E1943" s="32" t="str">
        <f>IFERROR(_xlfn.XLOOKUP($B1943,MObra[DESCRIPCION],MObra[VALOR UNIT],,0),"")</f>
        <v/>
      </c>
      <c r="F1943" s="33"/>
      <c r="G1943" s="34" t="str">
        <f>IFERROR(IF(F1943&gt;=0,D1943*E1943*(1+F1943/100),ABS(D1943*E1943/F1943)),"")</f>
        <v/>
      </c>
      <c r="H1943" s="43" t="str">
        <f>IFERROR(G1943*E1926,"")</f>
        <v/>
      </c>
    </row>
    <row r="1944" spans="1:10" ht="12.75" customHeight="1" thickBot="1">
      <c r="A1944" s="35"/>
      <c r="B1944" s="36"/>
      <c r="C1944" s="37" t="str">
        <f t="array" ref="C1944">IFERROR(_xlfn.XLOOKUP(B1944,MObra[[#All],[DESCRIPCION]],MObra[[#All],[UN]],,0),"")</f>
        <v/>
      </c>
      <c r="D1944" s="38"/>
      <c r="E1944" s="39" t="str">
        <f>IFERROR(_xlfn.XLOOKUP($B1944,MObra[DESCRIPCION],MObra[VALOR UNIT],,0),"")</f>
        <v/>
      </c>
      <c r="F1944" s="40"/>
      <c r="G1944" s="41" t="str">
        <f>IFERROR(IF(F1944&gt;=0,D1944*E1944*(1+F1944/100),ABS(D1944*E1944/F1944)),"")</f>
        <v/>
      </c>
      <c r="H1944" s="42" t="str">
        <f>IFERROR(G1944*E1926,"")</f>
        <v/>
      </c>
    </row>
    <row r="1945" spans="1:10" ht="12.75" customHeight="1" thickTop="1" thickBot="1">
      <c r="E1945" s="49"/>
      <c r="G1945" s="3"/>
    </row>
    <row r="1946" spans="1:10" ht="12.75" customHeight="1" thickTop="1" thickBot="1">
      <c r="A1946" s="6" t="s">
        <v>216</v>
      </c>
      <c r="B1946" s="7" t="str">
        <f>VLOOKUP($A1946,Presupuesto!$A:$D,2,FALSE())</f>
        <v>Entibado para excavaciones profundidad mayor a 1.5 m</v>
      </c>
      <c r="C1946" s="8" t="str">
        <f>VLOOKUP($A1946,Presupuesto!$A:$D,3,FALSE())</f>
        <v>M2</v>
      </c>
      <c r="D1946" s="9"/>
      <c r="E1946" s="10">
        <f>VLOOKUP($A1946,Presupuesto!$A:$D,4,FALSE())</f>
        <v>0</v>
      </c>
      <c r="F1946" s="11" t="s">
        <v>2589</v>
      </c>
      <c r="G1946" s="12">
        <f>SUM(G1948:G1964)/2</f>
        <v>89352.326847554999</v>
      </c>
      <c r="H1946" s="13">
        <f>ROUND(SUM(H1948:H1964),0)/2</f>
        <v>0</v>
      </c>
      <c r="I1946" s="10">
        <f>VLOOKUP(A1946,Presupuesto!$A:$F,6,0)</f>
        <v>0</v>
      </c>
      <c r="J1946" s="10">
        <f>+H1946-I1946</f>
        <v>0</v>
      </c>
    </row>
    <row r="1947" spans="1:10" ht="12.75" customHeight="1" thickTop="1">
      <c r="A1947" s="14"/>
      <c r="B1947" s="15" t="s">
        <v>2586</v>
      </c>
      <c r="C1947" s="15" t="s">
        <v>5</v>
      </c>
      <c r="D1947" s="16" t="s">
        <v>6</v>
      </c>
      <c r="E1947" s="17" t="s">
        <v>7</v>
      </c>
      <c r="F1947" s="18" t="s">
        <v>3728</v>
      </c>
      <c r="G1947" s="19" t="s">
        <v>3729</v>
      </c>
      <c r="H1947" s="20" t="s">
        <v>3797</v>
      </c>
    </row>
    <row r="1948" spans="1:10" ht="12.75" customHeight="1">
      <c r="A1948" s="21"/>
      <c r="B1948" s="22" t="s">
        <v>3730</v>
      </c>
      <c r="C1948" s="23"/>
      <c r="D1948" s="24"/>
      <c r="E1948" s="25"/>
      <c r="F1948" s="26"/>
      <c r="G1948" s="27">
        <f>SUM(G1949:G1953)</f>
        <v>55083.735000000001</v>
      </c>
      <c r="H1948" s="27">
        <f>IFERROR(G1948*E1946,"")</f>
        <v>0</v>
      </c>
    </row>
    <row r="1949" spans="1:10" ht="12.75" customHeight="1">
      <c r="A1949" s="28"/>
      <c r="B1949" s="29" t="s">
        <v>3384</v>
      </c>
      <c r="C1949" s="30" t="str">
        <f>IFERROR(_xlfn.XLOOKUP(B1949,Insumo[DESCRIPCION],Insumo[UND],,0),"")</f>
        <v>Un</v>
      </c>
      <c r="D1949" s="31">
        <v>1.5</v>
      </c>
      <c r="E1949" s="32">
        <f>IFERROR(_xlfn.XLOOKUP($B1949,Insumo[DESCRIPCION],Insumo[VALOR],,0),"")</f>
        <v>28416.15</v>
      </c>
      <c r="F1949" s="33"/>
      <c r="G1949" s="34">
        <f>IFERROR(IF(F1949&gt;=0,D1949*E1949*(1+F1949/100),ABS(D1949*E1949/F1949)),"")</f>
        <v>42624.225000000006</v>
      </c>
      <c r="H1949" s="43">
        <f>IFERROR(G1949*E1946,"")</f>
        <v>0</v>
      </c>
    </row>
    <row r="1950" spans="1:10" ht="12.75" customHeight="1">
      <c r="A1950" s="28"/>
      <c r="B1950" s="29" t="s">
        <v>3546</v>
      </c>
      <c r="C1950" s="30" t="str">
        <f>IFERROR(_xlfn.XLOOKUP(B1950,Insumo[DESCRIPCION],Insumo[UND],,0),"")</f>
        <v>M</v>
      </c>
      <c r="D1950" s="31">
        <v>3.5</v>
      </c>
      <c r="E1950" s="32">
        <f>IFERROR(_xlfn.XLOOKUP($B1950,Insumo[DESCRIPCION],Insumo[VALOR],,0),"")</f>
        <v>1705.2</v>
      </c>
      <c r="F1950" s="33"/>
      <c r="G1950" s="34">
        <f>IFERROR(IF(F1950&gt;=0,D1950*E1950*(1+F1950/100),ABS(D1950*E1950/F1950)),"")</f>
        <v>5968.2</v>
      </c>
      <c r="H1950" s="43">
        <f>IFERROR(G1950*E1946,"")</f>
        <v>0</v>
      </c>
    </row>
    <row r="1951" spans="1:10" ht="12.75" customHeight="1">
      <c r="A1951" s="28"/>
      <c r="B1951" s="29" t="s">
        <v>2992</v>
      </c>
      <c r="C1951" s="30" t="str">
        <f>IFERROR(_xlfn.XLOOKUP(B1951,Insumo[DESCRIPCION],Insumo[UND],,0),"")</f>
        <v>Un</v>
      </c>
      <c r="D1951" s="31">
        <v>1</v>
      </c>
      <c r="E1951" s="32">
        <f>IFERROR(_xlfn.XLOOKUP($B1951,Insumo[DESCRIPCION],Insumo[VALOR],,0),"")</f>
        <v>4546.5</v>
      </c>
      <c r="F1951" s="33"/>
      <c r="G1951" s="34">
        <f>IFERROR(IF(F1951&gt;=0,D1951*E1951*(1+F1951/100),ABS(D1951*E1951/F1951)),"")</f>
        <v>4546.5</v>
      </c>
      <c r="H1951" s="43">
        <f>IFERROR(G1951*E1946,"")</f>
        <v>0</v>
      </c>
    </row>
    <row r="1952" spans="1:10" ht="12.75" customHeight="1">
      <c r="A1952" s="28"/>
      <c r="B1952" s="29" t="s">
        <v>3253</v>
      </c>
      <c r="C1952" s="30" t="str">
        <f>IFERROR(_xlfn.XLOOKUP(B1952,Insumo[DESCRIPCION],Insumo[UND],,0),"")</f>
        <v>Lb</v>
      </c>
      <c r="D1952" s="146">
        <v>0.3</v>
      </c>
      <c r="E1952" s="32">
        <f>IFERROR(_xlfn.XLOOKUP($B1952,Insumo[DESCRIPCION],Insumo[VALOR],,0),"")</f>
        <v>6482.7000000000007</v>
      </c>
      <c r="F1952" s="33"/>
      <c r="G1952" s="34">
        <f>IFERROR(IF(F1952&gt;=0,D1952*E1952*(1+F1952/100),ABS(D1952*E1952/F1952)),"")</f>
        <v>1944.8100000000002</v>
      </c>
      <c r="H1952" s="43">
        <f>IFERROR(G1952*E1946,"")</f>
        <v>0</v>
      </c>
    </row>
    <row r="1953" spans="1:10" ht="12.75" customHeight="1">
      <c r="A1953" s="28"/>
      <c r="B1953" s="29"/>
      <c r="C1953" s="30" t="str">
        <f>IFERROR(_xlfn.XLOOKUP(B1953,Insumo[DESCRIPCION],Insumo[UND],,0),"")</f>
        <v/>
      </c>
      <c r="D1953" s="31"/>
      <c r="E1953" s="32" t="str">
        <f>IFERROR(_xlfn.XLOOKUP($B1953,Insumo[DESCRIPCION],Insumo[VALOR],,0),"")</f>
        <v/>
      </c>
      <c r="F1953" s="33"/>
      <c r="G1953" s="34" t="str">
        <f>IFERROR(IF(F1953&gt;=0,D1953*E1953*(1+F1953/100),ABS(D1953*E1953/F1953)),"")</f>
        <v/>
      </c>
      <c r="H1953" s="43" t="str">
        <f>IFERROR(G1953*E1946,"")</f>
        <v/>
      </c>
    </row>
    <row r="1954" spans="1:10" ht="12.75" customHeight="1">
      <c r="A1954" s="21"/>
      <c r="B1954" s="22" t="s">
        <v>3731</v>
      </c>
      <c r="C1954" s="23"/>
      <c r="D1954" s="24"/>
      <c r="E1954" s="25"/>
      <c r="F1954" s="26"/>
      <c r="G1954" s="27">
        <f>SUM(G1955:G1957)</f>
        <v>2829.5167580550005</v>
      </c>
      <c r="H1954" s="44">
        <f>G1954*E1946</f>
        <v>0</v>
      </c>
    </row>
    <row r="1955" spans="1:10" ht="12.75" customHeight="1">
      <c r="A1955" s="28"/>
      <c r="B1955" s="29" t="s">
        <v>3570</v>
      </c>
      <c r="C1955" s="30" t="str">
        <f>IFERROR(_xlfn.XLOOKUP(B1955,Equipo[DESCRIPCION],Equipo[UND],,0),"")</f>
        <v>%MO</v>
      </c>
      <c r="D1955" s="31">
        <v>0.04</v>
      </c>
      <c r="E1955" s="32">
        <f>IF(C1955="%MO",G1961,IFERROR(_xlfn.XLOOKUP($B1955,Equipo[DESCRIPCION],Equipo[VALOR],,0),""))</f>
        <v>31439.075089500006</v>
      </c>
      <c r="F1955" s="33"/>
      <c r="G1955" s="34">
        <f>IFERROR(IF(F1955&gt;=0,D1955*E1955*(1+F1955/100),ABS(D1955*E1955/F1955)),"")</f>
        <v>1257.5630035800002</v>
      </c>
      <c r="H1955" s="43">
        <f>IFERROR(G1955*E1946,"")</f>
        <v>0</v>
      </c>
    </row>
    <row r="1956" spans="1:10" ht="12.75" customHeight="1">
      <c r="A1956" s="28"/>
      <c r="B1956" s="29" t="s">
        <v>3626</v>
      </c>
      <c r="C1956" s="30" t="str">
        <f>IFERROR(_xlfn.XLOOKUP(B1956,Equipo[DESCRIPCION],Equipo[UND],,0),"")</f>
        <v>%MO</v>
      </c>
      <c r="D1956" s="31">
        <v>0.05</v>
      </c>
      <c r="E1956" s="32">
        <f>IF(C1956="%MO",G1961,IFERROR(_xlfn.XLOOKUP($B1956,Equipo[DESCRIPCION],Equipo[VALOR],,0),""))</f>
        <v>31439.075089500006</v>
      </c>
      <c r="F1956" s="33"/>
      <c r="G1956" s="34">
        <f>IFERROR(IF(F1956&gt;=0,D1956*E1956*(1+F1956/100),ABS(D1956*E1956/F1956)),"")</f>
        <v>1571.9537544750003</v>
      </c>
      <c r="H1956" s="43">
        <f>IFERROR(G1956*E1946,"")</f>
        <v>0</v>
      </c>
    </row>
    <row r="1957" spans="1:10" ht="12.75" customHeight="1">
      <c r="A1957" s="28"/>
      <c r="B1957" s="29"/>
      <c r="C1957" s="30" t="str">
        <f>IFERROR(_xlfn.XLOOKUP(B1957,Equipo[DESCRIPCION],Equipo[UND],,0),"")</f>
        <v/>
      </c>
      <c r="D1957" s="31"/>
      <c r="E1957" s="32" t="str">
        <f>IF(C1957="%MO",G1961,IFERROR(_xlfn.XLOOKUP($B1957,Equipo[DESCRIPCION],Equipo[VALOR],,0),""))</f>
        <v/>
      </c>
      <c r="F1957" s="33"/>
      <c r="G1957" s="34" t="str">
        <f>IFERROR(IF(F1957&gt;=0,D1957*E1957*(1+F1957/100),ABS(D1957*E1957/F1957)),"")</f>
        <v/>
      </c>
      <c r="H1957" s="43" t="str">
        <f>IFERROR(G1957*E1946,"")</f>
        <v/>
      </c>
    </row>
    <row r="1958" spans="1:10" ht="12.75" customHeight="1">
      <c r="A1958" s="21"/>
      <c r="B1958" s="22" t="s">
        <v>2533</v>
      </c>
      <c r="C1958" s="23"/>
      <c r="D1958" s="24"/>
      <c r="E1958" s="25"/>
      <c r="F1958" s="26"/>
      <c r="G1958" s="27">
        <f>SUM(G1959:G1960)</f>
        <v>0</v>
      </c>
      <c r="H1958" s="44">
        <f>G1958*E1946</f>
        <v>0</v>
      </c>
    </row>
    <row r="1959" spans="1:10" ht="12.75" customHeight="1">
      <c r="A1959" s="28"/>
      <c r="B1959" s="29"/>
      <c r="C1959" s="30" t="str">
        <f>IFERROR(_xlfn.XLOOKUP(B1959,Transporte[DESCRIPCION],Transporte[UND],,0),"")</f>
        <v/>
      </c>
      <c r="D1959" s="31"/>
      <c r="E1959" s="32" t="str">
        <f>IFERROR(_xlfn.XLOOKUP($B1959,Transporte[DESCRIPCION],Transporte[VALOR],,0),"")</f>
        <v/>
      </c>
      <c r="F1959" s="33"/>
      <c r="G1959" s="34" t="str">
        <f>IFERROR(IF(F1959&gt;=0,D1959*E1959*(1+F1959/100),ABS(D1959*E1959/F1959)),"")</f>
        <v/>
      </c>
      <c r="H1959" s="43" t="str">
        <f>IFERROR(G1959*E1946,"")</f>
        <v/>
      </c>
    </row>
    <row r="1960" spans="1:10" ht="12.75" customHeight="1">
      <c r="A1960" s="28"/>
      <c r="B1960" s="29"/>
      <c r="C1960" s="30" t="str">
        <f>IFERROR(_xlfn.XLOOKUP(B1960,Transporte[DESCRIPCION],Transporte[UND],,0),"")</f>
        <v/>
      </c>
      <c r="D1960" s="31"/>
      <c r="E1960" s="32" t="str">
        <f>IFERROR(_xlfn.XLOOKUP($B1960,Transporte[DESCRIPCION],Transporte[VALOR],,0),"")</f>
        <v/>
      </c>
      <c r="F1960" s="33"/>
      <c r="G1960" s="34" t="str">
        <f>IFERROR(IF(F1960&gt;=0,D1960*E1960*(1+F1960/100),ABS(D1960*E1960/F1960)),"")</f>
        <v/>
      </c>
      <c r="H1960" s="43" t="str">
        <f>IFERROR(G1960*E1946,"")</f>
        <v/>
      </c>
    </row>
    <row r="1961" spans="1:10" ht="12.75" customHeight="1">
      <c r="A1961" s="21"/>
      <c r="B1961" s="22" t="s">
        <v>3732</v>
      </c>
      <c r="C1961" s="23"/>
      <c r="D1961" s="24"/>
      <c r="E1961" s="25"/>
      <c r="F1961" s="26"/>
      <c r="G1961" s="27">
        <f>SUM(G1962:G1964)</f>
        <v>31439.075089500006</v>
      </c>
      <c r="H1961" s="44">
        <f>G1961*E1946</f>
        <v>0</v>
      </c>
    </row>
    <row r="1962" spans="1:10" ht="12.75" customHeight="1">
      <c r="A1962" s="28"/>
      <c r="B1962" s="29" t="s">
        <v>3710</v>
      </c>
      <c r="C1962" s="30" t="str">
        <f>IFERROR(_xlfn.XLOOKUP(B1962,MObra[DESCRIPCION],MObra[UN],,0),"")</f>
        <v>día</v>
      </c>
      <c r="D1962" s="31">
        <v>1</v>
      </c>
      <c r="E1962" s="32">
        <f>IFERROR(_xlfn.XLOOKUP($B1962,MObra[DESCRIPCION],MObra[VALOR UNIT],,0),"")</f>
        <v>314390.75089500006</v>
      </c>
      <c r="F1962" s="33">
        <v>-10</v>
      </c>
      <c r="G1962" s="34">
        <f>IFERROR(IF(F1962&gt;=0,D1962*E1962*(1+F1962/100),ABS(D1962*E1962/F1962)),"")</f>
        <v>31439.075089500006</v>
      </c>
      <c r="H1962" s="43">
        <f>IFERROR(G1962*E1946,"")</f>
        <v>0</v>
      </c>
    </row>
    <row r="1963" spans="1:10" ht="12.75" customHeight="1">
      <c r="A1963" s="28"/>
      <c r="B1963" s="29"/>
      <c r="C1963" s="30" t="str">
        <f t="array" ref="C1963">IFERROR(_xlfn.XLOOKUP(B1963,MObra[[#All],[DESCRIPCION]],MObra[[#All],[UN]],,0),"")</f>
        <v/>
      </c>
      <c r="D1963" s="31"/>
      <c r="E1963" s="32" t="str">
        <f>IFERROR(_xlfn.XLOOKUP($B1963,MObra[DESCRIPCION],MObra[VALOR UNIT],,0),"")</f>
        <v/>
      </c>
      <c r="F1963" s="33"/>
      <c r="G1963" s="34" t="str">
        <f>IFERROR(IF(F1963&gt;=0,D1963*E1963*(1+F1963/100),ABS(D1963*E1963/F1963)),"")</f>
        <v/>
      </c>
      <c r="H1963" s="43" t="str">
        <f>IFERROR(G1963*E1946,"")</f>
        <v/>
      </c>
    </row>
    <row r="1964" spans="1:10" ht="12.75" customHeight="1" thickBot="1">
      <c r="A1964" s="35"/>
      <c r="B1964" s="36"/>
      <c r="C1964" s="37" t="str">
        <f t="array" ref="C1964">IFERROR(_xlfn.XLOOKUP(B1964,MObra[[#All],[DESCRIPCION]],MObra[[#All],[UN]],,0),"")</f>
        <v/>
      </c>
      <c r="D1964" s="38"/>
      <c r="E1964" s="39" t="str">
        <f>IFERROR(_xlfn.XLOOKUP($B1964,MObra[DESCRIPCION],MObra[VALOR UNIT],,0),"")</f>
        <v/>
      </c>
      <c r="F1964" s="40"/>
      <c r="G1964" s="41" t="str">
        <f>IFERROR(IF(F1964&gt;=0,D1964*E1964*(1+F1964/100),ABS(D1964*E1964/F1964)),"")</f>
        <v/>
      </c>
      <c r="H1964" s="42" t="str">
        <f>IFERROR(G1964*E1946,"")</f>
        <v/>
      </c>
    </row>
    <row r="1965" spans="1:10" ht="12.75" customHeight="1" thickTop="1" thickBot="1">
      <c r="E1965" s="49"/>
      <c r="G1965" s="3"/>
    </row>
    <row r="1966" spans="1:10" ht="12.75" customHeight="1" thickTop="1" thickBot="1">
      <c r="A1966" s="6" t="s">
        <v>218</v>
      </c>
      <c r="B1966" s="7" t="str">
        <f>VLOOKUP($A1966,Presupuesto!$A:$D,2,FALSE())</f>
        <v>Excavación caisson / pila en roca</v>
      </c>
      <c r="C1966" s="8" t="str">
        <f>VLOOKUP($A1966,Presupuesto!$A:$D,3,FALSE())</f>
        <v>M3</v>
      </c>
      <c r="D1966" s="9"/>
      <c r="E1966" s="10">
        <f>VLOOKUP($A1966,Presupuesto!$A:$D,4,FALSE())</f>
        <v>0</v>
      </c>
      <c r="F1966" s="11" t="s">
        <v>2589</v>
      </c>
      <c r="G1966" s="12">
        <f>SUM(G1968:G1986)/2</f>
        <v>598659.03729450004</v>
      </c>
      <c r="H1966" s="13">
        <f>ROUND(SUM(H1968:H1986),0)/2</f>
        <v>0</v>
      </c>
      <c r="I1966" s="10">
        <f>VLOOKUP(A1966,Presupuesto!$A:$F,6,0)</f>
        <v>0</v>
      </c>
      <c r="J1966" s="10">
        <f>+H1966-I1966</f>
        <v>0</v>
      </c>
    </row>
    <row r="1967" spans="1:10" ht="12.75" customHeight="1" thickTop="1">
      <c r="A1967" s="14"/>
      <c r="B1967" s="15" t="s">
        <v>2586</v>
      </c>
      <c r="C1967" s="15" t="s">
        <v>5</v>
      </c>
      <c r="D1967" s="16" t="s">
        <v>6</v>
      </c>
      <c r="E1967" s="17" t="s">
        <v>7</v>
      </c>
      <c r="F1967" s="18" t="s">
        <v>3728</v>
      </c>
      <c r="G1967" s="19" t="s">
        <v>3729</v>
      </c>
      <c r="H1967" s="20" t="s">
        <v>3797</v>
      </c>
    </row>
    <row r="1968" spans="1:10" ht="12.75" customHeight="1">
      <c r="A1968" s="21"/>
      <c r="B1968" s="22" t="s">
        <v>3730</v>
      </c>
      <c r="C1968" s="23"/>
      <c r="D1968" s="24"/>
      <c r="E1968" s="25"/>
      <c r="F1968" s="26"/>
      <c r="G1968" s="27">
        <f>SUM(G1969:G1973)</f>
        <v>0</v>
      </c>
      <c r="H1968" s="27">
        <f>IFERROR(G1968*E1966,"")</f>
        <v>0</v>
      </c>
    </row>
    <row r="1969" spans="1:8" ht="12.75" customHeight="1">
      <c r="A1969" s="28"/>
      <c r="B1969" s="29"/>
      <c r="C1969" s="30" t="str">
        <f>IFERROR(_xlfn.XLOOKUP(B1969,Insumo[DESCRIPCION],Insumo[UND],,0),"")</f>
        <v/>
      </c>
      <c r="D1969" s="31"/>
      <c r="E1969" s="32" t="str">
        <f>IFERROR(_xlfn.XLOOKUP($B1969,Insumo[DESCRIPCION],Insumo[VALOR],,0),"")</f>
        <v/>
      </c>
      <c r="F1969" s="33"/>
      <c r="G1969" s="34" t="str">
        <f>IFERROR(IF(F1969&gt;=0,D1969*E1969*(1+F1969/100),ABS(D1969*E1969/F1969)),"")</f>
        <v/>
      </c>
      <c r="H1969" s="43" t="str">
        <f>IFERROR(G1969*E1966,"")</f>
        <v/>
      </c>
    </row>
    <row r="1970" spans="1:8" ht="12.75" customHeight="1">
      <c r="A1970" s="28"/>
      <c r="B1970" s="29"/>
      <c r="C1970" s="30" t="str">
        <f>IFERROR(_xlfn.XLOOKUP(B1970,Insumo[DESCRIPCION],Insumo[UND],,0),"")</f>
        <v/>
      </c>
      <c r="D1970" s="31"/>
      <c r="E1970" s="32" t="str">
        <f>IFERROR(_xlfn.XLOOKUP($B1970,Insumo[DESCRIPCION],Insumo[VALOR],,0),"")</f>
        <v/>
      </c>
      <c r="F1970" s="33"/>
      <c r="G1970" s="34" t="str">
        <f>IFERROR(IF(F1970&gt;=0,D1970*E1970*(1+F1970/100),ABS(D1970*E1970/F1970)),"")</f>
        <v/>
      </c>
      <c r="H1970" s="43" t="str">
        <f>IFERROR(G1970*E1966,"")</f>
        <v/>
      </c>
    </row>
    <row r="1971" spans="1:8" ht="12.75" customHeight="1">
      <c r="A1971" s="28"/>
      <c r="B1971" s="29"/>
      <c r="C1971" s="30" t="str">
        <f>IFERROR(_xlfn.XLOOKUP(B1971,Insumo[DESCRIPCION],Insumo[UND],,0),"")</f>
        <v/>
      </c>
      <c r="D1971" s="31"/>
      <c r="E1971" s="32" t="str">
        <f>IFERROR(_xlfn.XLOOKUP($B1971,Insumo[DESCRIPCION],Insumo[VALOR],,0),"")</f>
        <v/>
      </c>
      <c r="F1971" s="33"/>
      <c r="G1971" s="34" t="str">
        <f>IFERROR(IF(F1971&gt;=0,D1971*E1971*(1+F1971/100),ABS(D1971*E1971/F1971)),"")</f>
        <v/>
      </c>
      <c r="H1971" s="43" t="str">
        <f>IFERROR(G1971*E1966,"")</f>
        <v/>
      </c>
    </row>
    <row r="1972" spans="1:8" ht="12.75" customHeight="1">
      <c r="A1972" s="28"/>
      <c r="B1972" s="29"/>
      <c r="C1972" s="30" t="str">
        <f>IFERROR(_xlfn.XLOOKUP(B1972,Insumo[DESCRIPCION],Insumo[UND],,0),"")</f>
        <v/>
      </c>
      <c r="D1972" s="31"/>
      <c r="E1972" s="32" t="str">
        <f>IFERROR(_xlfn.XLOOKUP($B1972,Insumo[DESCRIPCION],Insumo[VALOR],,0),"")</f>
        <v/>
      </c>
      <c r="F1972" s="33"/>
      <c r="G1972" s="34" t="str">
        <f>IFERROR(IF(F1972&gt;=0,D1972*E1972*(1+F1972/100),ABS(D1972*E1972/F1972)),"")</f>
        <v/>
      </c>
      <c r="H1972" s="43" t="str">
        <f>IFERROR(G1972*E1966,"")</f>
        <v/>
      </c>
    </row>
    <row r="1973" spans="1:8" ht="12.75" customHeight="1">
      <c r="A1973" s="28"/>
      <c r="B1973" s="29"/>
      <c r="C1973" s="30" t="str">
        <f>IFERROR(_xlfn.XLOOKUP(B1973,Insumo[DESCRIPCION],Insumo[UND],,0),"")</f>
        <v/>
      </c>
      <c r="D1973" s="31"/>
      <c r="E1973" s="32" t="str">
        <f>IFERROR(_xlfn.XLOOKUP($B1973,Insumo[DESCRIPCION],Insumo[VALOR],,0),"")</f>
        <v/>
      </c>
      <c r="F1973" s="33"/>
      <c r="G1973" s="34" t="str">
        <f>IFERROR(IF(F1973&gt;=0,D1973*E1973*(1+F1973/100),ABS(D1973*E1973/F1973)),"")</f>
        <v/>
      </c>
      <c r="H1973" s="43" t="str">
        <f>IFERROR(G1973*E1966,"")</f>
        <v/>
      </c>
    </row>
    <row r="1974" spans="1:8" ht="12.75" customHeight="1">
      <c r="A1974" s="21"/>
      <c r="B1974" s="22" t="s">
        <v>3731</v>
      </c>
      <c r="C1974" s="23"/>
      <c r="D1974" s="24"/>
      <c r="E1974" s="25"/>
      <c r="F1974" s="26"/>
      <c r="G1974" s="27">
        <f>SUM(G1975:G1979)</f>
        <v>249335.9807445</v>
      </c>
      <c r="H1974" s="44">
        <f>G1974*E1966</f>
        <v>0</v>
      </c>
    </row>
    <row r="1975" spans="1:8" ht="12.75" customHeight="1">
      <c r="A1975" s="28"/>
      <c r="B1975" s="29" t="s">
        <v>3631</v>
      </c>
      <c r="C1975" s="30" t="str">
        <f>IFERROR(_xlfn.XLOOKUP(B1975,Equipo[DESCRIPCION],Equipo[UND],,0),"")</f>
        <v>Día</v>
      </c>
      <c r="D1975" s="31">
        <v>1</v>
      </c>
      <c r="E1975" s="32">
        <f>IF(C1975="%MO",G1983,IFERROR(_xlfn.XLOOKUP($B1975,Equipo[DESCRIPCION],Equipo[VALOR],,0),""))</f>
        <v>22732.5</v>
      </c>
      <c r="F1975" s="33"/>
      <c r="G1975" s="34">
        <f>IFERROR(IF(F1975&gt;=0,D1975*E1975*(1+F1975/100),ABS(D1975*E1975/F1975)),"")</f>
        <v>22732.5</v>
      </c>
      <c r="H1975" s="43">
        <f>IFERROR(G1975*E1966,"")</f>
        <v>0</v>
      </c>
    </row>
    <row r="1976" spans="1:8" ht="12.75" customHeight="1">
      <c r="A1976" s="28"/>
      <c r="B1976" s="29" t="s">
        <v>3603</v>
      </c>
      <c r="C1976" s="30" t="str">
        <f>IFERROR(_xlfn.XLOOKUP(B1976,Equipo[DESCRIPCION],Equipo[UND],,0),"")</f>
        <v>Día</v>
      </c>
      <c r="D1976" s="31">
        <v>1</v>
      </c>
      <c r="E1976" s="32">
        <f>IF(C1976="%MO",G1984,IFERROR(_xlfn.XLOOKUP($B1976,Equipo[DESCRIPCION],Equipo[VALOR],,0),""))</f>
        <v>80116.05</v>
      </c>
      <c r="F1976" s="33">
        <v>-0.5</v>
      </c>
      <c r="G1976" s="34">
        <f>IFERROR(IF(F1976&gt;=0,D1976*E1976*(1+F1976/100),ABS(D1976*E1976/F1976)),"")</f>
        <v>160232.1</v>
      </c>
      <c r="H1976" s="43">
        <f>IFERROR(G1976*E1966,"")</f>
        <v>0</v>
      </c>
    </row>
    <row r="1977" spans="1:8" ht="12.75" customHeight="1">
      <c r="A1977" s="28"/>
      <c r="B1977" s="29" t="s">
        <v>3570</v>
      </c>
      <c r="C1977" s="30" t="str">
        <f>IFERROR(_xlfn.XLOOKUP(B1977,Equipo[DESCRIPCION],Equipo[UND],,0),"")</f>
        <v>%MO</v>
      </c>
      <c r="D1977" s="31">
        <v>0.04</v>
      </c>
      <c r="E1977" s="32">
        <f>IF(C1977="%MO",G1983,IFERROR(_xlfn.XLOOKUP($B1977,Equipo[DESCRIPCION],Equipo[VALOR],,0),""))</f>
        <v>349323.05655000004</v>
      </c>
      <c r="F1977" s="33"/>
      <c r="G1977" s="34">
        <f>IFERROR(IF(F1977&gt;=0,D1977*E1977*(1+F1977/100),ABS(D1977*E1977/F1977)),"")</f>
        <v>13972.922262000002</v>
      </c>
      <c r="H1977" s="43">
        <f>IFERROR(G1977*E1966,"")</f>
        <v>0</v>
      </c>
    </row>
    <row r="1978" spans="1:8" ht="12.75" customHeight="1">
      <c r="A1978" s="28"/>
      <c r="B1978" s="29" t="s">
        <v>3572</v>
      </c>
      <c r="C1978" s="30" t="str">
        <f>IFERROR(_xlfn.XLOOKUP(B1978,Equipo[DESCRIPCION],Equipo[UND],,0),"")</f>
        <v>%MO</v>
      </c>
      <c r="D1978" s="31">
        <v>0.1</v>
      </c>
      <c r="E1978" s="32">
        <f>IF(C1978="%MO",G1983,IFERROR(_xlfn.XLOOKUP($B1978,Equipo[DESCRIPCION],Equipo[VALOR],,0),""))</f>
        <v>349323.05655000004</v>
      </c>
      <c r="F1978" s="33"/>
      <c r="G1978" s="34">
        <f>IFERROR(IF(F1978&gt;=0,D1978*E1978*(1+F1978/100),ABS(D1978*E1978/F1978)),"")</f>
        <v>34932.305655000004</v>
      </c>
      <c r="H1978" s="43">
        <f>IFERROR(G1978*E1966,"")</f>
        <v>0</v>
      </c>
    </row>
    <row r="1979" spans="1:8" ht="12.75" customHeight="1">
      <c r="A1979" s="28"/>
      <c r="B1979" s="29" t="s">
        <v>3626</v>
      </c>
      <c r="C1979" s="30" t="str">
        <f>IFERROR(_xlfn.XLOOKUP(B1979,Equipo[DESCRIPCION],Equipo[UND],,0),"")</f>
        <v>%MO</v>
      </c>
      <c r="D1979" s="31">
        <v>0.05</v>
      </c>
      <c r="E1979" s="32">
        <f>IF(C1979="%MO",G1983,IFERROR(_xlfn.XLOOKUP($B1979,Equipo[DESCRIPCION],Equipo[VALOR],,0),""))</f>
        <v>349323.05655000004</v>
      </c>
      <c r="F1979" s="33"/>
      <c r="G1979" s="34">
        <f>IFERROR(IF(F1979&gt;=0,D1979*E1979*(1+F1979/100),ABS(D1979*E1979/F1979)),"")</f>
        <v>17466.152827500002</v>
      </c>
      <c r="H1979" s="43">
        <f>IFERROR(G1979*E1966,"")</f>
        <v>0</v>
      </c>
    </row>
    <row r="1980" spans="1:8" ht="12.75" customHeight="1">
      <c r="A1980" s="21"/>
      <c r="B1980" s="22" t="s">
        <v>2533</v>
      </c>
      <c r="C1980" s="23"/>
      <c r="D1980" s="24"/>
      <c r="E1980" s="25"/>
      <c r="F1980" s="26"/>
      <c r="G1980" s="27">
        <f>SUM(G1981:G1982)</f>
        <v>0</v>
      </c>
      <c r="H1980" s="44">
        <f>G1980*E1966</f>
        <v>0</v>
      </c>
    </row>
    <row r="1981" spans="1:8" ht="12.75" customHeight="1">
      <c r="A1981" s="28"/>
      <c r="B1981" s="29"/>
      <c r="C1981" s="30" t="str">
        <f>IFERROR(_xlfn.XLOOKUP(B1981,Transporte[DESCRIPCION],Transporte[UND],,0),"")</f>
        <v/>
      </c>
      <c r="D1981" s="31"/>
      <c r="E1981" s="32" t="str">
        <f>IFERROR(_xlfn.XLOOKUP($B1981,Transporte[DESCRIPCION],Transporte[VALOR],,0),"")</f>
        <v/>
      </c>
      <c r="F1981" s="33"/>
      <c r="G1981" s="34" t="str">
        <f>IFERROR(IF(F1981&gt;=0,D1981*E1981*(1+F1981/100),ABS(D1981*E1981/F1981)),"")</f>
        <v/>
      </c>
      <c r="H1981" s="43" t="str">
        <f>IFERROR(G1981*E1966,"")</f>
        <v/>
      </c>
    </row>
    <row r="1982" spans="1:8" ht="12.75" customHeight="1">
      <c r="A1982" s="28"/>
      <c r="B1982" s="29"/>
      <c r="C1982" s="30" t="str">
        <f>IFERROR(_xlfn.XLOOKUP(B1982,Transporte[DESCRIPCION],Transporte[UND],,0),"")</f>
        <v/>
      </c>
      <c r="D1982" s="31"/>
      <c r="E1982" s="32" t="str">
        <f>IFERROR(_xlfn.XLOOKUP($B1982,Transporte[DESCRIPCION],Transporte[VALOR],,0),"")</f>
        <v/>
      </c>
      <c r="F1982" s="33"/>
      <c r="G1982" s="34" t="str">
        <f>IFERROR(IF(F1982&gt;=0,D1982*E1982*(1+F1982/100),ABS(D1982*E1982/F1982)),"")</f>
        <v/>
      </c>
      <c r="H1982" s="43" t="str">
        <f>IFERROR(G1982*E1966,"")</f>
        <v/>
      </c>
    </row>
    <row r="1983" spans="1:8" ht="12.75" customHeight="1">
      <c r="A1983" s="21"/>
      <c r="B1983" s="22" t="s">
        <v>3732</v>
      </c>
      <c r="C1983" s="23"/>
      <c r="D1983" s="24"/>
      <c r="E1983" s="25"/>
      <c r="F1983" s="26"/>
      <c r="G1983" s="27">
        <f>SUM(G1984:G1986)</f>
        <v>349323.05655000004</v>
      </c>
      <c r="H1983" s="44">
        <f>G1983*E1966</f>
        <v>0</v>
      </c>
    </row>
    <row r="1984" spans="1:8" ht="12.75" customHeight="1">
      <c r="A1984" s="28"/>
      <c r="B1984" s="29" t="s">
        <v>3710</v>
      </c>
      <c r="C1984" s="30" t="str">
        <f>IFERROR(_xlfn.XLOOKUP(B1984,MObra[DESCRIPCION],MObra[UN],,0),"")</f>
        <v>día</v>
      </c>
      <c r="D1984" s="31">
        <v>1</v>
      </c>
      <c r="E1984" s="32">
        <f>IFERROR(_xlfn.XLOOKUP($B1984,MObra[DESCRIPCION],MObra[VALOR UNIT],,0),"")</f>
        <v>314390.75089500006</v>
      </c>
      <c r="F1984" s="33">
        <v>-0.9</v>
      </c>
      <c r="G1984" s="34">
        <f>IFERROR(IF(F1984&gt;=0,D1984*E1984*(1+F1984/100),ABS(D1984*E1984/F1984)),"")</f>
        <v>349323.05655000004</v>
      </c>
      <c r="H1984" s="43">
        <f>IFERROR(G1984*E1966,"")</f>
        <v>0</v>
      </c>
    </row>
    <row r="1985" spans="1:10" ht="12.75" customHeight="1">
      <c r="A1985" s="28"/>
      <c r="B1985" s="29"/>
      <c r="C1985" s="30" t="str">
        <f t="array" ref="C1985">IFERROR(_xlfn.XLOOKUP(B1985,MObra[[#All],[DESCRIPCION]],MObra[[#All],[UN]],,0),"")</f>
        <v/>
      </c>
      <c r="D1985" s="31"/>
      <c r="E1985" s="32" t="str">
        <f>IFERROR(_xlfn.XLOOKUP($B1985,MObra[DESCRIPCION],MObra[VALOR UNIT],,0),"")</f>
        <v/>
      </c>
      <c r="F1985" s="33"/>
      <c r="G1985" s="34" t="str">
        <f>IFERROR(IF(F1985&gt;=0,D1985*E1985*(1+F1985/100),ABS(D1985*E1985/F1985)),"")</f>
        <v/>
      </c>
      <c r="H1985" s="43" t="str">
        <f>IFERROR(G1985*E1966,"")</f>
        <v/>
      </c>
    </row>
    <row r="1986" spans="1:10" ht="12.75" customHeight="1" thickBot="1">
      <c r="A1986" s="35"/>
      <c r="B1986" s="36"/>
      <c r="C1986" s="37" t="str">
        <f t="array" ref="C1986">IFERROR(_xlfn.XLOOKUP(B1986,MObra[[#All],[DESCRIPCION]],MObra[[#All],[UN]],,0),"")</f>
        <v/>
      </c>
      <c r="D1986" s="38"/>
      <c r="E1986" s="39" t="str">
        <f>IFERROR(_xlfn.XLOOKUP($B1986,MObra[DESCRIPCION],MObra[VALOR UNIT],,0),"")</f>
        <v/>
      </c>
      <c r="F1986" s="40"/>
      <c r="G1986" s="41" t="str">
        <f>IFERROR(IF(F1986&gt;=0,D1986*E1986*(1+F1986/100),ABS(D1986*E1986/F1986)),"")</f>
        <v/>
      </c>
      <c r="H1986" s="42" t="str">
        <f>IFERROR(G1986*E1966,"")</f>
        <v/>
      </c>
    </row>
    <row r="1987" spans="1:10" ht="12.75" customHeight="1" thickTop="1" thickBot="1">
      <c r="E1987" s="49"/>
      <c r="G1987" s="3"/>
    </row>
    <row r="1988" spans="1:10" ht="12.75" customHeight="1" thickTop="1" thickBot="1">
      <c r="A1988" s="6" t="s">
        <v>220</v>
      </c>
      <c r="B1988" s="7" t="str">
        <f>VLOOKUP($A1988,Presupuesto!$A:$D,2,FALSE())</f>
        <v>Excavación caisson en conglomerado H= &gt; 10 m</v>
      </c>
      <c r="C1988" s="8" t="str">
        <f>VLOOKUP($A1988,Presupuesto!$A:$D,3,FALSE())</f>
        <v>M3</v>
      </c>
      <c r="D1988" s="9"/>
      <c r="E1988" s="10">
        <f>VLOOKUP($A1988,Presupuesto!$A:$D,4,FALSE())</f>
        <v>0</v>
      </c>
      <c r="F1988" s="11" t="s">
        <v>2589</v>
      </c>
      <c r="G1988" s="12">
        <f>SUM(G1990:G2007)/2</f>
        <v>334503.32797087508</v>
      </c>
      <c r="H1988" s="13">
        <f>ROUND(SUM(H1990:H2007),0)/2</f>
        <v>0</v>
      </c>
      <c r="I1988" s="10">
        <f>VLOOKUP(A1988,Presupuesto!$A:$F,6,0)</f>
        <v>0</v>
      </c>
      <c r="J1988" s="10">
        <f>+H1988-I1988</f>
        <v>0</v>
      </c>
    </row>
    <row r="1989" spans="1:10" ht="12.75" customHeight="1" thickTop="1">
      <c r="A1989" s="14"/>
      <c r="B1989" s="15" t="s">
        <v>2586</v>
      </c>
      <c r="C1989" s="15" t="s">
        <v>5</v>
      </c>
      <c r="D1989" s="16" t="s">
        <v>6</v>
      </c>
      <c r="E1989" s="17" t="s">
        <v>7</v>
      </c>
      <c r="F1989" s="18" t="s">
        <v>3728</v>
      </c>
      <c r="G1989" s="19" t="s">
        <v>3729</v>
      </c>
      <c r="H1989" s="20" t="s">
        <v>3797</v>
      </c>
    </row>
    <row r="1990" spans="1:10" ht="12.75" customHeight="1">
      <c r="A1990" s="21"/>
      <c r="B1990" s="22" t="s">
        <v>3730</v>
      </c>
      <c r="C1990" s="23"/>
      <c r="D1990" s="24"/>
      <c r="E1990" s="25"/>
      <c r="F1990" s="26"/>
      <c r="G1990" s="27">
        <f>SUM(G1991:G1995)</f>
        <v>0</v>
      </c>
      <c r="H1990" s="27">
        <f>IFERROR(G1990*E1988,"")</f>
        <v>0</v>
      </c>
    </row>
    <row r="1991" spans="1:10" ht="12.75" customHeight="1">
      <c r="A1991" s="28"/>
      <c r="B1991" s="29"/>
      <c r="C1991" s="30" t="str">
        <f>IFERROR(_xlfn.XLOOKUP(B1991,Insumo[DESCRIPCION],Insumo[UND],,0),"")</f>
        <v/>
      </c>
      <c r="D1991" s="31"/>
      <c r="E1991" s="32" t="str">
        <f>IFERROR(_xlfn.XLOOKUP($B1991,Insumo[DESCRIPCION],Insumo[VALOR],,0),"")</f>
        <v/>
      </c>
      <c r="F1991" s="33"/>
      <c r="G1991" s="34" t="str">
        <f>IFERROR(IF(F1991&gt;=0,D1991*E1991*(1+F1991/100),ABS(D1991*E1991/F1991)),"")</f>
        <v/>
      </c>
      <c r="H1991" s="43" t="str">
        <f>IFERROR(G1991*E1988,"")</f>
        <v/>
      </c>
    </row>
    <row r="1992" spans="1:10" ht="12.75" customHeight="1">
      <c r="A1992" s="28"/>
      <c r="B1992" s="29"/>
      <c r="C1992" s="30" t="str">
        <f>IFERROR(_xlfn.XLOOKUP(B1992,Insumo[DESCRIPCION],Insumo[UND],,0),"")</f>
        <v/>
      </c>
      <c r="D1992" s="31"/>
      <c r="E1992" s="32" t="str">
        <f>IFERROR(_xlfn.XLOOKUP($B1992,Insumo[DESCRIPCION],Insumo[VALOR],,0),"")</f>
        <v/>
      </c>
      <c r="F1992" s="33"/>
      <c r="G1992" s="34" t="str">
        <f>IFERROR(IF(F1992&gt;=0,D1992*E1992*(1+F1992/100),ABS(D1992*E1992/F1992)),"")</f>
        <v/>
      </c>
      <c r="H1992" s="43" t="str">
        <f>IFERROR(G1992*E1988,"")</f>
        <v/>
      </c>
    </row>
    <row r="1993" spans="1:10" ht="12.75" customHeight="1">
      <c r="A1993" s="28"/>
      <c r="B1993" s="29"/>
      <c r="C1993" s="30" t="str">
        <f>IFERROR(_xlfn.XLOOKUP(B1993,Insumo[DESCRIPCION],Insumo[UND],,0),"")</f>
        <v/>
      </c>
      <c r="D1993" s="31"/>
      <c r="E1993" s="32" t="str">
        <f>IFERROR(_xlfn.XLOOKUP($B1993,Insumo[DESCRIPCION],Insumo[VALOR],,0),"")</f>
        <v/>
      </c>
      <c r="F1993" s="33"/>
      <c r="G1993" s="34" t="str">
        <f>IFERROR(IF(F1993&gt;=0,D1993*E1993*(1+F1993/100),ABS(D1993*E1993/F1993)),"")</f>
        <v/>
      </c>
      <c r="H1993" s="43" t="str">
        <f>IFERROR(G1993*E1988,"")</f>
        <v/>
      </c>
    </row>
    <row r="1994" spans="1:10" ht="12.75" customHeight="1">
      <c r="A1994" s="28"/>
      <c r="B1994" s="29"/>
      <c r="C1994" s="30" t="str">
        <f>IFERROR(_xlfn.XLOOKUP(B1994,Insumo[DESCRIPCION],Insumo[UND],,0),"")</f>
        <v/>
      </c>
      <c r="D1994" s="31"/>
      <c r="E1994" s="32" t="str">
        <f>IFERROR(_xlfn.XLOOKUP($B1994,Insumo[DESCRIPCION],Insumo[VALOR],,0),"")</f>
        <v/>
      </c>
      <c r="F1994" s="33"/>
      <c r="G1994" s="34" t="str">
        <f>IFERROR(IF(F1994&gt;=0,D1994*E1994*(1+F1994/100),ABS(D1994*E1994/F1994)),"")</f>
        <v/>
      </c>
      <c r="H1994" s="43" t="str">
        <f>IFERROR(G1994*E1988,"")</f>
        <v/>
      </c>
    </row>
    <row r="1995" spans="1:10" ht="12.75" customHeight="1">
      <c r="A1995" s="28"/>
      <c r="B1995" s="29"/>
      <c r="C1995" s="30" t="str">
        <f>IFERROR(_xlfn.XLOOKUP(B1995,Insumo[DESCRIPCION],Insumo[UND],,0),"")</f>
        <v/>
      </c>
      <c r="D1995" s="31"/>
      <c r="E1995" s="32" t="str">
        <f>IFERROR(_xlfn.XLOOKUP($B1995,Insumo[DESCRIPCION],Insumo[VALOR],,0),"")</f>
        <v/>
      </c>
      <c r="F1995" s="33"/>
      <c r="G1995" s="34" t="str">
        <f>IFERROR(IF(F1995&gt;=0,D1995*E1995*(1+F1995/100),ABS(D1995*E1995/F1995)),"")</f>
        <v/>
      </c>
      <c r="H1995" s="43" t="str">
        <f>IFERROR(G1995*E1988,"")</f>
        <v/>
      </c>
    </row>
    <row r="1996" spans="1:10" ht="12.75" customHeight="1">
      <c r="A1996" s="21"/>
      <c r="B1996" s="22" t="s">
        <v>3731</v>
      </c>
      <c r="C1996" s="23"/>
      <c r="D1996" s="24"/>
      <c r="E1996" s="25"/>
      <c r="F1996" s="26"/>
      <c r="G1996" s="27">
        <f>SUM(G1997:G2000)</f>
        <v>72511.035558375021</v>
      </c>
      <c r="H1996" s="44">
        <f>G1996*E1988</f>
        <v>0</v>
      </c>
    </row>
    <row r="1997" spans="1:10" ht="12.75" customHeight="1">
      <c r="A1997" s="28"/>
      <c r="B1997" s="29" t="s">
        <v>3631</v>
      </c>
      <c r="C1997" s="30" t="str">
        <f>IFERROR(_xlfn.XLOOKUP(B1997,Equipo[DESCRIPCION],Equipo[UND],,0),"")</f>
        <v>Día</v>
      </c>
      <c r="D1997" s="31">
        <v>1</v>
      </c>
      <c r="E1997" s="32">
        <f>IF(C1997="%MO",G2003,IFERROR(_xlfn.XLOOKUP($B1997,Equipo[DESCRIPCION],Equipo[VALOR],,0),""))</f>
        <v>22732.5</v>
      </c>
      <c r="F1997" s="33"/>
      <c r="G1997" s="34">
        <f>IFERROR(IF(F1997&gt;=0,D1997*E1997*(1+F1997/100),ABS(D1997*E1997/F1997)),"")</f>
        <v>22732.5</v>
      </c>
      <c r="H1997" s="43">
        <f>IFERROR(G1997*E1988,"")</f>
        <v>0</v>
      </c>
    </row>
    <row r="1998" spans="1:10" ht="12.75" customHeight="1">
      <c r="A1998" s="28"/>
      <c r="B1998" s="29" t="s">
        <v>3570</v>
      </c>
      <c r="C1998" s="30" t="str">
        <f>IFERROR(_xlfn.XLOOKUP(B1998,Equipo[DESCRIPCION],Equipo[UND],,0),"")</f>
        <v>%MO</v>
      </c>
      <c r="D1998" s="31">
        <v>0.04</v>
      </c>
      <c r="E1998" s="32">
        <f>IF(C1998="%MO",G2004,IFERROR(_xlfn.XLOOKUP($B1998,Equipo[DESCRIPCION],Equipo[VALOR],,0),""))</f>
        <v>261992.29241250007</v>
      </c>
      <c r="F1998" s="33"/>
      <c r="G1998" s="34">
        <f>IFERROR(IF(F1998&gt;=0,D1998*E1998*(1+F1998/100),ABS(D1998*E1998/F1998)),"")</f>
        <v>10479.691696500004</v>
      </c>
      <c r="H1998" s="43">
        <f>IFERROR(G1998*E1988,"")</f>
        <v>0</v>
      </c>
    </row>
    <row r="1999" spans="1:10" ht="12.75" customHeight="1">
      <c r="A1999" s="28"/>
      <c r="B1999" s="29" t="s">
        <v>3572</v>
      </c>
      <c r="C1999" s="30" t="str">
        <f>IFERROR(_xlfn.XLOOKUP(B1999,Equipo[DESCRIPCION],Equipo[UND],,0),"")</f>
        <v>%MO</v>
      </c>
      <c r="D1999" s="31">
        <v>0.1</v>
      </c>
      <c r="E1999" s="32">
        <f>IF(C1999="%MO",G2004,IFERROR(_xlfn.XLOOKUP($B1999,Equipo[DESCRIPCION],Equipo[VALOR],,0),""))</f>
        <v>261992.29241250007</v>
      </c>
      <c r="F1999" s="33"/>
      <c r="G1999" s="34">
        <f>IFERROR(IF(F1999&gt;=0,D1999*E1999*(1+F1999/100),ABS(D1999*E1999/F1999)),"")</f>
        <v>26199.22924125001</v>
      </c>
      <c r="H1999" s="43">
        <f>IFERROR(G1999*E1988,"")</f>
        <v>0</v>
      </c>
    </row>
    <row r="2000" spans="1:10" ht="12.75" customHeight="1">
      <c r="A2000" s="28"/>
      <c r="B2000" s="29" t="s">
        <v>3626</v>
      </c>
      <c r="C2000" s="30" t="str">
        <f>IFERROR(_xlfn.XLOOKUP(B2000,Equipo[DESCRIPCION],Equipo[UND],,0),"")</f>
        <v>%MO</v>
      </c>
      <c r="D2000" s="31">
        <v>0.05</v>
      </c>
      <c r="E2000" s="32">
        <f>IF(C2000="%MO",G2004,IFERROR(_xlfn.XLOOKUP($B2000,Equipo[DESCRIPCION],Equipo[VALOR],,0),""))</f>
        <v>261992.29241250007</v>
      </c>
      <c r="F2000" s="33"/>
      <c r="G2000" s="34">
        <f>IFERROR(IF(F2000&gt;=0,D2000*E2000*(1+F2000/100),ABS(D2000*E2000/F2000)),"")</f>
        <v>13099.614620625005</v>
      </c>
      <c r="H2000" s="43">
        <f>IFERROR(G2000*E1988,"")</f>
        <v>0</v>
      </c>
    </row>
    <row r="2001" spans="1:10" ht="12.75" customHeight="1">
      <c r="A2001" s="21"/>
      <c r="B2001" s="22" t="s">
        <v>2533</v>
      </c>
      <c r="C2001" s="23"/>
      <c r="D2001" s="24"/>
      <c r="E2001" s="25"/>
      <c r="F2001" s="26"/>
      <c r="G2001" s="27">
        <f>SUM(G2002:G2003)</f>
        <v>0</v>
      </c>
      <c r="H2001" s="44">
        <f>G2001*E1988</f>
        <v>0</v>
      </c>
    </row>
    <row r="2002" spans="1:10" ht="12.75" customHeight="1">
      <c r="A2002" s="28"/>
      <c r="B2002" s="29"/>
      <c r="C2002" s="30" t="str">
        <f>IFERROR(_xlfn.XLOOKUP(B2002,Transporte[DESCRIPCION],Transporte[UND],,0),"")</f>
        <v/>
      </c>
      <c r="D2002" s="31"/>
      <c r="E2002" s="32" t="str">
        <f>IFERROR(_xlfn.XLOOKUP($B2002,Transporte[DESCRIPCION],Transporte[VALOR],,0),"")</f>
        <v/>
      </c>
      <c r="F2002" s="33"/>
      <c r="G2002" s="34" t="str">
        <f>IFERROR(IF(F2002&gt;=0,D2002*E2002*(1+F2002/100),ABS(D2002*E2002/F2002)),"")</f>
        <v/>
      </c>
      <c r="H2002" s="43" t="str">
        <f>IFERROR(G2002*E1988,"")</f>
        <v/>
      </c>
    </row>
    <row r="2003" spans="1:10" ht="12.75" customHeight="1">
      <c r="A2003" s="28"/>
      <c r="B2003" s="29"/>
      <c r="C2003" s="30" t="str">
        <f>IFERROR(_xlfn.XLOOKUP(B2003,Transporte[DESCRIPCION],Transporte[UND],,0),"")</f>
        <v/>
      </c>
      <c r="D2003" s="31"/>
      <c r="E2003" s="32" t="str">
        <f>IFERROR(_xlfn.XLOOKUP($B2003,Transporte[DESCRIPCION],Transporte[VALOR],,0),"")</f>
        <v/>
      </c>
      <c r="F2003" s="33"/>
      <c r="G2003" s="34" t="str">
        <f>IFERROR(IF(F2003&gt;=0,D2003*E2003*(1+F2003/100),ABS(D2003*E2003/F2003)),"")</f>
        <v/>
      </c>
      <c r="H2003" s="43" t="str">
        <f>IFERROR(G2003*E1988,"")</f>
        <v/>
      </c>
    </row>
    <row r="2004" spans="1:10" ht="12.75" customHeight="1">
      <c r="A2004" s="21"/>
      <c r="B2004" s="22" t="s">
        <v>3732</v>
      </c>
      <c r="C2004" s="23"/>
      <c r="D2004" s="24"/>
      <c r="E2004" s="25"/>
      <c r="F2004" s="26"/>
      <c r="G2004" s="27">
        <f>SUM(G2005:G2007)</f>
        <v>261992.29241250007</v>
      </c>
      <c r="H2004" s="44">
        <f>G2004*E1988</f>
        <v>0</v>
      </c>
    </row>
    <row r="2005" spans="1:10" ht="12.75" customHeight="1">
      <c r="A2005" s="28"/>
      <c r="B2005" s="29" t="s">
        <v>3710</v>
      </c>
      <c r="C2005" s="30" t="str">
        <f>IFERROR(_xlfn.XLOOKUP(B2005,MObra[DESCRIPCION],MObra[UN],,0),"")</f>
        <v>día</v>
      </c>
      <c r="D2005" s="31">
        <v>1</v>
      </c>
      <c r="E2005" s="32">
        <f>IFERROR(_xlfn.XLOOKUP($B2005,MObra[DESCRIPCION],MObra[VALOR UNIT],,0),"")</f>
        <v>314390.75089500006</v>
      </c>
      <c r="F2005" s="33">
        <v>-1.2</v>
      </c>
      <c r="G2005" s="34">
        <f>IFERROR(IF(F2005&gt;=0,D2005*E2005*(1+F2005/100),ABS(D2005*E2005/F2005)),"")</f>
        <v>261992.29241250007</v>
      </c>
      <c r="H2005" s="43">
        <f>IFERROR(G2005*E1988,"")</f>
        <v>0</v>
      </c>
    </row>
    <row r="2006" spans="1:10" ht="12.75" customHeight="1">
      <c r="A2006" s="28"/>
      <c r="B2006" s="29"/>
      <c r="C2006" s="30" t="str">
        <f t="array" ref="C2006">IFERROR(_xlfn.XLOOKUP(B2006,MObra[[#All],[DESCRIPCION]],MObra[[#All],[UN]],,0),"")</f>
        <v/>
      </c>
      <c r="D2006" s="31"/>
      <c r="E2006" s="32" t="str">
        <f>IFERROR(_xlfn.XLOOKUP($B2006,MObra[DESCRIPCION],MObra[VALOR UNIT],,0),"")</f>
        <v/>
      </c>
      <c r="F2006" s="33"/>
      <c r="G2006" s="34" t="str">
        <f>IFERROR(IF(F2006&gt;=0,D2006*E2006*(1+F2006/100),ABS(D2006*E2006/F2006)),"")</f>
        <v/>
      </c>
      <c r="H2006" s="43" t="str">
        <f>IFERROR(G2006*E1988,"")</f>
        <v/>
      </c>
    </row>
    <row r="2007" spans="1:10" ht="12.75" customHeight="1" thickBot="1">
      <c r="A2007" s="35"/>
      <c r="B2007" s="36"/>
      <c r="C2007" s="37" t="str">
        <f t="array" ref="C2007">IFERROR(_xlfn.XLOOKUP(B2007,MObra[[#All],[DESCRIPCION]],MObra[[#All],[UN]],,0),"")</f>
        <v/>
      </c>
      <c r="D2007" s="38"/>
      <c r="E2007" s="39" t="str">
        <f>IFERROR(_xlfn.XLOOKUP($B2007,MObra[DESCRIPCION],MObra[VALOR UNIT],,0),"")</f>
        <v/>
      </c>
      <c r="F2007" s="40"/>
      <c r="G2007" s="41" t="str">
        <f>IFERROR(IF(F2007&gt;=0,D2007*E2007*(1+F2007/100),ABS(D2007*E2007/F2007)),"")</f>
        <v/>
      </c>
      <c r="H2007" s="42" t="str">
        <f>IFERROR(G2007*E1988,"")</f>
        <v/>
      </c>
    </row>
    <row r="2008" spans="1:10" ht="12.75" customHeight="1" thickTop="1" thickBot="1">
      <c r="E2008" s="49"/>
      <c r="G2008" s="3"/>
    </row>
    <row r="2009" spans="1:10" ht="12.75" customHeight="1" thickTop="1" thickBot="1">
      <c r="A2009" s="6" t="s">
        <v>222</v>
      </c>
      <c r="B2009" s="7" t="str">
        <f>VLOOKUP($A2009,Presupuesto!$A:$D,2,FALSE())</f>
        <v>Excavación caisson en conglomerado H= 0 - 10 m</v>
      </c>
      <c r="C2009" s="8" t="str">
        <f>VLOOKUP($A2009,Presupuesto!$A:$D,3,FALSE())</f>
        <v>M3</v>
      </c>
      <c r="D2009" s="9"/>
      <c r="E2009" s="10">
        <f>VLOOKUP($A2009,Presupuesto!$A:$D,4,FALSE())</f>
        <v>0</v>
      </c>
      <c r="F2009" s="11" t="s">
        <v>2589</v>
      </c>
      <c r="G2009" s="12">
        <f>SUM(G2011:G2028)/2</f>
        <v>289964.6382607501</v>
      </c>
      <c r="H2009" s="13">
        <f>ROUND(SUM(H2011:H2028),0)/2</f>
        <v>0</v>
      </c>
      <c r="I2009" s="10">
        <f>VLOOKUP(A2009,Presupuesto!$A:$F,6,0)</f>
        <v>0</v>
      </c>
      <c r="J2009" s="10">
        <f>+H2009-I2009</f>
        <v>0</v>
      </c>
    </row>
    <row r="2010" spans="1:10" ht="12.75" customHeight="1" thickTop="1">
      <c r="A2010" s="14"/>
      <c r="B2010" s="15" t="s">
        <v>2586</v>
      </c>
      <c r="C2010" s="15" t="s">
        <v>5</v>
      </c>
      <c r="D2010" s="16" t="s">
        <v>6</v>
      </c>
      <c r="E2010" s="17" t="s">
        <v>7</v>
      </c>
      <c r="F2010" s="18" t="s">
        <v>3728</v>
      </c>
      <c r="G2010" s="19" t="s">
        <v>3729</v>
      </c>
      <c r="H2010" s="20" t="s">
        <v>3797</v>
      </c>
    </row>
    <row r="2011" spans="1:10" ht="12.75" customHeight="1">
      <c r="A2011" s="21"/>
      <c r="B2011" s="22" t="s">
        <v>3730</v>
      </c>
      <c r="C2011" s="23"/>
      <c r="D2011" s="24"/>
      <c r="E2011" s="25"/>
      <c r="F2011" s="26"/>
      <c r="G2011" s="27">
        <f>SUM(G2012:G2016)</f>
        <v>0</v>
      </c>
      <c r="H2011" s="27">
        <f>IFERROR(G2011*E2009,"")</f>
        <v>0</v>
      </c>
    </row>
    <row r="2012" spans="1:10" ht="12.75" customHeight="1">
      <c r="A2012" s="28"/>
      <c r="B2012" s="29"/>
      <c r="C2012" s="30" t="str">
        <f>IFERROR(_xlfn.XLOOKUP(B2012,Insumo[DESCRIPCION],Insumo[UND],,0),"")</f>
        <v/>
      </c>
      <c r="D2012" s="31"/>
      <c r="E2012" s="32" t="str">
        <f>IFERROR(_xlfn.XLOOKUP($B2012,Insumo[DESCRIPCION],Insumo[VALOR],,0),"")</f>
        <v/>
      </c>
      <c r="F2012" s="33"/>
      <c r="G2012" s="34" t="str">
        <f>IFERROR(IF(F2012&gt;=0,D2012*E2012*(1+F2012/100),ABS(D2012*E2012/F2012)),"")</f>
        <v/>
      </c>
      <c r="H2012" s="43" t="str">
        <f>IFERROR(G2012*E2009,"")</f>
        <v/>
      </c>
    </row>
    <row r="2013" spans="1:10" ht="12.75" customHeight="1">
      <c r="A2013" s="28"/>
      <c r="B2013" s="29"/>
      <c r="C2013" s="30" t="str">
        <f>IFERROR(_xlfn.XLOOKUP(B2013,Insumo[DESCRIPCION],Insumo[UND],,0),"")</f>
        <v/>
      </c>
      <c r="D2013" s="31"/>
      <c r="E2013" s="32" t="str">
        <f>IFERROR(_xlfn.XLOOKUP($B2013,Insumo[DESCRIPCION],Insumo[VALOR],,0),"")</f>
        <v/>
      </c>
      <c r="F2013" s="33"/>
      <c r="G2013" s="34" t="str">
        <f>IFERROR(IF(F2013&gt;=0,D2013*E2013*(1+F2013/100),ABS(D2013*E2013/F2013)),"")</f>
        <v/>
      </c>
      <c r="H2013" s="43" t="str">
        <f>IFERROR(G2013*E2009,"")</f>
        <v/>
      </c>
    </row>
    <row r="2014" spans="1:10" ht="12.75" customHeight="1">
      <c r="A2014" s="28"/>
      <c r="B2014" s="29"/>
      <c r="C2014" s="30" t="str">
        <f>IFERROR(_xlfn.XLOOKUP(B2014,Insumo[DESCRIPCION],Insumo[UND],,0),"")</f>
        <v/>
      </c>
      <c r="D2014" s="31"/>
      <c r="E2014" s="32" t="str">
        <f>IFERROR(_xlfn.XLOOKUP($B2014,Insumo[DESCRIPCION],Insumo[VALOR],,0),"")</f>
        <v/>
      </c>
      <c r="F2014" s="33"/>
      <c r="G2014" s="34" t="str">
        <f>IFERROR(IF(F2014&gt;=0,D2014*E2014*(1+F2014/100),ABS(D2014*E2014/F2014)),"")</f>
        <v/>
      </c>
      <c r="H2014" s="43" t="str">
        <f>IFERROR(G2014*E2009,"")</f>
        <v/>
      </c>
    </row>
    <row r="2015" spans="1:10" ht="12.75" customHeight="1">
      <c r="A2015" s="28"/>
      <c r="B2015" s="29"/>
      <c r="C2015" s="30" t="str">
        <f>IFERROR(_xlfn.XLOOKUP(B2015,Insumo[DESCRIPCION],Insumo[UND],,0),"")</f>
        <v/>
      </c>
      <c r="D2015" s="31"/>
      <c r="E2015" s="32" t="str">
        <f>IFERROR(_xlfn.XLOOKUP($B2015,Insumo[DESCRIPCION],Insumo[VALOR],,0),"")</f>
        <v/>
      </c>
      <c r="F2015" s="33"/>
      <c r="G2015" s="34" t="str">
        <f>IFERROR(IF(F2015&gt;=0,D2015*E2015*(1+F2015/100),ABS(D2015*E2015/F2015)),"")</f>
        <v/>
      </c>
      <c r="H2015" s="43" t="str">
        <f>IFERROR(G2015*E2009,"")</f>
        <v/>
      </c>
    </row>
    <row r="2016" spans="1:10" ht="12.75" customHeight="1">
      <c r="A2016" s="28"/>
      <c r="B2016" s="29"/>
      <c r="C2016" s="30" t="str">
        <f>IFERROR(_xlfn.XLOOKUP(B2016,Insumo[DESCRIPCION],Insumo[UND],,0),"")</f>
        <v/>
      </c>
      <c r="D2016" s="31"/>
      <c r="E2016" s="32" t="str">
        <f>IFERROR(_xlfn.XLOOKUP($B2016,Insumo[DESCRIPCION],Insumo[VALOR],,0),"")</f>
        <v/>
      </c>
      <c r="F2016" s="33"/>
      <c r="G2016" s="34" t="str">
        <f>IFERROR(IF(F2016&gt;=0,D2016*E2016*(1+F2016/100),ABS(D2016*E2016/F2016)),"")</f>
        <v/>
      </c>
      <c r="H2016" s="43" t="str">
        <f>IFERROR(G2016*E2009,"")</f>
        <v/>
      </c>
    </row>
    <row r="2017" spans="1:10" ht="12.75" customHeight="1">
      <c r="A2017" s="21"/>
      <c r="B2017" s="22" t="s">
        <v>3731</v>
      </c>
      <c r="C2017" s="23"/>
      <c r="D2017" s="24"/>
      <c r="E2017" s="25"/>
      <c r="F2017" s="26"/>
      <c r="G2017" s="27">
        <f>SUM(G2018:G2021)</f>
        <v>65399.816192892868</v>
      </c>
      <c r="H2017" s="44">
        <f>G2017*E2009</f>
        <v>0</v>
      </c>
    </row>
    <row r="2018" spans="1:10" ht="12.75" customHeight="1">
      <c r="A2018" s="28"/>
      <c r="B2018" s="29" t="s">
        <v>3631</v>
      </c>
      <c r="C2018" s="30" t="str">
        <f>IFERROR(_xlfn.XLOOKUP(B2018,Equipo[DESCRIPCION],Equipo[UND],,0),"")</f>
        <v>Día</v>
      </c>
      <c r="D2018" s="31">
        <v>1</v>
      </c>
      <c r="E2018" s="32">
        <f>IF(C2018="%MO",G2024,IFERROR(_xlfn.XLOOKUP($B2018,Equipo[DESCRIPCION],Equipo[VALOR],,0),""))</f>
        <v>22732.5</v>
      </c>
      <c r="F2018" s="33"/>
      <c r="G2018" s="34">
        <f>IFERROR(IF(F2018&gt;=0,D2018*E2018*(1+F2018/100),ABS(D2018*E2018/F2018)),"")</f>
        <v>22732.5</v>
      </c>
      <c r="H2018" s="43">
        <f>IFERROR(G2018*E2009,"")</f>
        <v>0</v>
      </c>
    </row>
    <row r="2019" spans="1:10" ht="12.75" customHeight="1">
      <c r="A2019" s="28"/>
      <c r="B2019" s="29" t="s">
        <v>3570</v>
      </c>
      <c r="C2019" s="30" t="str">
        <f>IFERROR(_xlfn.XLOOKUP(B2019,Equipo[DESCRIPCION],Equipo[UND],,0),"")</f>
        <v>%MO</v>
      </c>
      <c r="D2019" s="31">
        <v>0.04</v>
      </c>
      <c r="E2019" s="32">
        <f>IF(C2019="%MO",G2025,IFERROR(_xlfn.XLOOKUP($B2019,Equipo[DESCRIPCION],Equipo[VALOR],,0),""))</f>
        <v>224564.8220678572</v>
      </c>
      <c r="F2019" s="33"/>
      <c r="G2019" s="34">
        <f>IFERROR(IF(F2019&gt;=0,D2019*E2019*(1+F2019/100),ABS(D2019*E2019/F2019)),"")</f>
        <v>8982.5928827142889</v>
      </c>
      <c r="H2019" s="43">
        <f>IFERROR(G2019*E2009,"")</f>
        <v>0</v>
      </c>
    </row>
    <row r="2020" spans="1:10" ht="12.75" customHeight="1">
      <c r="A2020" s="28"/>
      <c r="B2020" s="29" t="s">
        <v>3572</v>
      </c>
      <c r="C2020" s="30" t="str">
        <f>IFERROR(_xlfn.XLOOKUP(B2020,Equipo[DESCRIPCION],Equipo[UND],,0),"")</f>
        <v>%MO</v>
      </c>
      <c r="D2020" s="31">
        <v>0.1</v>
      </c>
      <c r="E2020" s="32">
        <f>IF(C2020="%MO",G2025,IFERROR(_xlfn.XLOOKUP($B2020,Equipo[DESCRIPCION],Equipo[VALOR],,0),""))</f>
        <v>224564.8220678572</v>
      </c>
      <c r="F2020" s="33"/>
      <c r="G2020" s="34">
        <f>IFERROR(IF(F2020&gt;=0,D2020*E2020*(1+F2020/100),ABS(D2020*E2020/F2020)),"")</f>
        <v>22456.48220678572</v>
      </c>
      <c r="H2020" s="43">
        <f>IFERROR(G2020*E2009,"")</f>
        <v>0</v>
      </c>
    </row>
    <row r="2021" spans="1:10" ht="12.75" customHeight="1">
      <c r="A2021" s="28"/>
      <c r="B2021" s="29" t="s">
        <v>3626</v>
      </c>
      <c r="C2021" s="30" t="str">
        <f>IFERROR(_xlfn.XLOOKUP(B2021,Equipo[DESCRIPCION],Equipo[UND],,0),"")</f>
        <v>%MO</v>
      </c>
      <c r="D2021" s="31">
        <v>0.05</v>
      </c>
      <c r="E2021" s="32">
        <f>IF(C2021="%MO",G2025,IFERROR(_xlfn.XLOOKUP($B2021,Equipo[DESCRIPCION],Equipo[VALOR],,0),""))</f>
        <v>224564.8220678572</v>
      </c>
      <c r="F2021" s="33"/>
      <c r="G2021" s="34">
        <f>IFERROR(IF(F2021&gt;=0,D2021*E2021*(1+F2021/100),ABS(D2021*E2021/F2021)),"")</f>
        <v>11228.24110339286</v>
      </c>
      <c r="H2021" s="43">
        <f>IFERROR(G2021*E2009,"")</f>
        <v>0</v>
      </c>
    </row>
    <row r="2022" spans="1:10" ht="12.75" customHeight="1">
      <c r="A2022" s="21"/>
      <c r="B2022" s="22" t="s">
        <v>2533</v>
      </c>
      <c r="C2022" s="23"/>
      <c r="D2022" s="24"/>
      <c r="E2022" s="25"/>
      <c r="F2022" s="26"/>
      <c r="G2022" s="27">
        <f>SUM(G2023:G2024)</f>
        <v>0</v>
      </c>
      <c r="H2022" s="44">
        <f>G2022*E2009</f>
        <v>0</v>
      </c>
    </row>
    <row r="2023" spans="1:10" ht="12.75" customHeight="1">
      <c r="A2023" s="28"/>
      <c r="B2023" s="29"/>
      <c r="C2023" s="30" t="str">
        <f>IFERROR(_xlfn.XLOOKUP(B2023,Transporte[DESCRIPCION],Transporte[UND],,0),"")</f>
        <v/>
      </c>
      <c r="D2023" s="31"/>
      <c r="E2023" s="32" t="str">
        <f>IFERROR(_xlfn.XLOOKUP($B2023,Transporte[DESCRIPCION],Transporte[VALOR],,0),"")</f>
        <v/>
      </c>
      <c r="F2023" s="33"/>
      <c r="G2023" s="34" t="str">
        <f>IFERROR(IF(F2023&gt;=0,D2023*E2023*(1+F2023/100),ABS(D2023*E2023/F2023)),"")</f>
        <v/>
      </c>
      <c r="H2023" s="43" t="str">
        <f>IFERROR(G2023*E2009,"")</f>
        <v/>
      </c>
    </row>
    <row r="2024" spans="1:10" ht="12.75" customHeight="1">
      <c r="A2024" s="28"/>
      <c r="B2024" s="29"/>
      <c r="C2024" s="30" t="str">
        <f>IFERROR(_xlfn.XLOOKUP(B2024,Transporte[DESCRIPCION],Transporte[UND],,0),"")</f>
        <v/>
      </c>
      <c r="D2024" s="31"/>
      <c r="E2024" s="32" t="str">
        <f>IFERROR(_xlfn.XLOOKUP($B2024,Transporte[DESCRIPCION],Transporte[VALOR],,0),"")</f>
        <v/>
      </c>
      <c r="F2024" s="33"/>
      <c r="G2024" s="34" t="str">
        <f>IFERROR(IF(F2024&gt;=0,D2024*E2024*(1+F2024/100),ABS(D2024*E2024/F2024)),"")</f>
        <v/>
      </c>
      <c r="H2024" s="43" t="str">
        <f>IFERROR(G2024*E2009,"")</f>
        <v/>
      </c>
    </row>
    <row r="2025" spans="1:10" ht="12.75" customHeight="1">
      <c r="A2025" s="21"/>
      <c r="B2025" s="22" t="s">
        <v>3732</v>
      </c>
      <c r="C2025" s="23"/>
      <c r="D2025" s="24"/>
      <c r="E2025" s="25"/>
      <c r="F2025" s="26"/>
      <c r="G2025" s="27">
        <f>SUM(G2026:G2028)</f>
        <v>224564.8220678572</v>
      </c>
      <c r="H2025" s="44">
        <f>G2025*E2009</f>
        <v>0</v>
      </c>
    </row>
    <row r="2026" spans="1:10" ht="12.75" customHeight="1">
      <c r="A2026" s="28"/>
      <c r="B2026" s="29" t="s">
        <v>3710</v>
      </c>
      <c r="C2026" s="30" t="str">
        <f>IFERROR(_xlfn.XLOOKUP(B2026,MObra[DESCRIPCION],MObra[UN],,0),"")</f>
        <v>día</v>
      </c>
      <c r="D2026" s="31">
        <v>1</v>
      </c>
      <c r="E2026" s="32">
        <f>IFERROR(_xlfn.XLOOKUP($B2026,MObra[DESCRIPCION],MObra[VALOR UNIT],,0),"")</f>
        <v>314390.75089500006</v>
      </c>
      <c r="F2026" s="33">
        <v>-1.4</v>
      </c>
      <c r="G2026" s="34">
        <f>IFERROR(IF(F2026&gt;=0,D2026*E2026*(1+F2026/100),ABS(D2026*E2026/F2026)),"")</f>
        <v>224564.8220678572</v>
      </c>
      <c r="H2026" s="43">
        <f>IFERROR(G2026*E2009,"")</f>
        <v>0</v>
      </c>
    </row>
    <row r="2027" spans="1:10" ht="12.75" customHeight="1">
      <c r="A2027" s="28"/>
      <c r="B2027" s="29"/>
      <c r="C2027" s="30" t="str">
        <f t="array" ref="C2027">IFERROR(_xlfn.XLOOKUP(B2027,MObra[[#All],[DESCRIPCION]],MObra[[#All],[UN]],,0),"")</f>
        <v/>
      </c>
      <c r="D2027" s="31"/>
      <c r="E2027" s="32" t="str">
        <f>IFERROR(_xlfn.XLOOKUP($B2027,MObra[DESCRIPCION],MObra[VALOR UNIT],,0),"")</f>
        <v/>
      </c>
      <c r="F2027" s="33"/>
      <c r="G2027" s="34" t="str">
        <f>IFERROR(IF(F2027&gt;=0,D2027*E2027*(1+F2027/100),ABS(D2027*E2027/F2027)),"")</f>
        <v/>
      </c>
      <c r="H2027" s="43" t="str">
        <f>IFERROR(G2027*E2009,"")</f>
        <v/>
      </c>
    </row>
    <row r="2028" spans="1:10" ht="12.75" customHeight="1" thickBot="1">
      <c r="A2028" s="35"/>
      <c r="B2028" s="36"/>
      <c r="C2028" s="37" t="str">
        <f t="array" ref="C2028">IFERROR(_xlfn.XLOOKUP(B2028,MObra[[#All],[DESCRIPCION]],MObra[[#All],[UN]],,0),"")</f>
        <v/>
      </c>
      <c r="D2028" s="38"/>
      <c r="E2028" s="39" t="str">
        <f>IFERROR(_xlfn.XLOOKUP($B2028,MObra[DESCRIPCION],MObra[VALOR UNIT],,0),"")</f>
        <v/>
      </c>
      <c r="F2028" s="40"/>
      <c r="G2028" s="41" t="str">
        <f>IFERROR(IF(F2028&gt;=0,D2028*E2028*(1+F2028/100),ABS(D2028*E2028/F2028)),"")</f>
        <v/>
      </c>
      <c r="H2028" s="42" t="str">
        <f>IFERROR(G2028*E2009,"")</f>
        <v/>
      </c>
    </row>
    <row r="2029" spans="1:10" ht="12.75" customHeight="1" thickTop="1" thickBot="1">
      <c r="E2029" s="49"/>
      <c r="G2029" s="3"/>
    </row>
    <row r="2030" spans="1:10" ht="12.75" customHeight="1" thickTop="1" thickBot="1">
      <c r="A2030" s="6" t="s">
        <v>224</v>
      </c>
      <c r="B2030" s="7" t="str">
        <f>VLOOKUP($A2030,Presupuesto!$A:$D,2,FALSE())</f>
        <v>Excavación caisson en material común H= &gt; 10 m</v>
      </c>
      <c r="C2030" s="8" t="str">
        <f>VLOOKUP($A2030,Presupuesto!$A:$D,3,FALSE())</f>
        <v>M3</v>
      </c>
      <c r="D2030" s="9"/>
      <c r="E2030" s="10">
        <f>VLOOKUP($A2030,Presupuesto!$A:$D,4,FALSE())</f>
        <v>0</v>
      </c>
      <c r="F2030" s="11" t="s">
        <v>2589</v>
      </c>
      <c r="G2030" s="12">
        <f>SUM(G2032:G2049)/2</f>
        <v>310520.95658850006</v>
      </c>
      <c r="H2030" s="13">
        <f>ROUND(SUM(H2032:H2049),0)/2</f>
        <v>0</v>
      </c>
      <c r="I2030" s="10">
        <f>VLOOKUP(A2030,Presupuesto!$A:$F,6,0)</f>
        <v>0</v>
      </c>
      <c r="J2030" s="10">
        <f>+H2030-I2030</f>
        <v>0</v>
      </c>
    </row>
    <row r="2031" spans="1:10" ht="12.75" customHeight="1" thickTop="1">
      <c r="A2031" s="14"/>
      <c r="B2031" s="15" t="s">
        <v>2586</v>
      </c>
      <c r="C2031" s="15" t="s">
        <v>5</v>
      </c>
      <c r="D2031" s="16" t="s">
        <v>6</v>
      </c>
      <c r="E2031" s="17" t="s">
        <v>7</v>
      </c>
      <c r="F2031" s="18" t="s">
        <v>3728</v>
      </c>
      <c r="G2031" s="19" t="s">
        <v>3729</v>
      </c>
      <c r="H2031" s="20" t="s">
        <v>3797</v>
      </c>
    </row>
    <row r="2032" spans="1:10" ht="12.75" customHeight="1">
      <c r="A2032" s="21"/>
      <c r="B2032" s="22" t="s">
        <v>3730</v>
      </c>
      <c r="C2032" s="23"/>
      <c r="D2032" s="24"/>
      <c r="E2032" s="25"/>
      <c r="F2032" s="26"/>
      <c r="G2032" s="27">
        <f>SUM(G2033:G2037)</f>
        <v>0</v>
      </c>
      <c r="H2032" s="27">
        <f>IFERROR(G2032*E2030,"")</f>
        <v>0</v>
      </c>
    </row>
    <row r="2033" spans="1:8" ht="12.75" customHeight="1">
      <c r="A2033" s="28"/>
      <c r="B2033" s="29"/>
      <c r="C2033" s="30" t="str">
        <f>IFERROR(_xlfn.XLOOKUP(B2033,Insumo[DESCRIPCION],Insumo[UND],,0),"")</f>
        <v/>
      </c>
      <c r="D2033" s="31"/>
      <c r="E2033" s="32" t="str">
        <f>IFERROR(_xlfn.XLOOKUP($B2033,Insumo[DESCRIPCION],Insumo[VALOR],,0),"")</f>
        <v/>
      </c>
      <c r="F2033" s="33"/>
      <c r="G2033" s="34" t="str">
        <f>IFERROR(IF(F2033&gt;=0,D2033*E2033*(1+F2033/100),ABS(D2033*E2033/F2033)),"")</f>
        <v/>
      </c>
      <c r="H2033" s="43" t="str">
        <f>IFERROR(G2033*E2030,"")</f>
        <v/>
      </c>
    </row>
    <row r="2034" spans="1:8" ht="12.75" customHeight="1">
      <c r="A2034" s="28"/>
      <c r="B2034" s="29"/>
      <c r="C2034" s="30" t="str">
        <f>IFERROR(_xlfn.XLOOKUP(B2034,Insumo[DESCRIPCION],Insumo[UND],,0),"")</f>
        <v/>
      </c>
      <c r="D2034" s="31"/>
      <c r="E2034" s="32" t="str">
        <f>IFERROR(_xlfn.XLOOKUP($B2034,Insumo[DESCRIPCION],Insumo[VALOR],,0),"")</f>
        <v/>
      </c>
      <c r="F2034" s="33"/>
      <c r="G2034" s="34" t="str">
        <f>IFERROR(IF(F2034&gt;=0,D2034*E2034*(1+F2034/100),ABS(D2034*E2034/F2034)),"")</f>
        <v/>
      </c>
      <c r="H2034" s="43" t="str">
        <f>IFERROR(G2034*E2030,"")</f>
        <v/>
      </c>
    </row>
    <row r="2035" spans="1:8" ht="12.75" customHeight="1">
      <c r="A2035" s="28"/>
      <c r="B2035" s="29"/>
      <c r="C2035" s="30" t="str">
        <f>IFERROR(_xlfn.XLOOKUP(B2035,Insumo[DESCRIPCION],Insumo[UND],,0),"")</f>
        <v/>
      </c>
      <c r="D2035" s="31"/>
      <c r="E2035" s="32" t="str">
        <f>IFERROR(_xlfn.XLOOKUP($B2035,Insumo[DESCRIPCION],Insumo[VALOR],,0),"")</f>
        <v/>
      </c>
      <c r="F2035" s="33"/>
      <c r="G2035" s="34" t="str">
        <f>IFERROR(IF(F2035&gt;=0,D2035*E2035*(1+F2035/100),ABS(D2035*E2035/F2035)),"")</f>
        <v/>
      </c>
      <c r="H2035" s="43" t="str">
        <f>IFERROR(G2035*E2030,"")</f>
        <v/>
      </c>
    </row>
    <row r="2036" spans="1:8" ht="12.75" customHeight="1">
      <c r="A2036" s="28"/>
      <c r="B2036" s="29"/>
      <c r="C2036" s="30" t="str">
        <f>IFERROR(_xlfn.XLOOKUP(B2036,Insumo[DESCRIPCION],Insumo[UND],,0),"")</f>
        <v/>
      </c>
      <c r="D2036" s="31"/>
      <c r="E2036" s="32" t="str">
        <f>IFERROR(_xlfn.XLOOKUP($B2036,Insumo[DESCRIPCION],Insumo[VALOR],,0),"")</f>
        <v/>
      </c>
      <c r="F2036" s="33"/>
      <c r="G2036" s="34" t="str">
        <f>IFERROR(IF(F2036&gt;=0,D2036*E2036*(1+F2036/100),ABS(D2036*E2036/F2036)),"")</f>
        <v/>
      </c>
      <c r="H2036" s="43" t="str">
        <f>IFERROR(G2036*E2030,"")</f>
        <v/>
      </c>
    </row>
    <row r="2037" spans="1:8" ht="12.75" customHeight="1">
      <c r="A2037" s="28"/>
      <c r="B2037" s="29"/>
      <c r="C2037" s="30" t="str">
        <f>IFERROR(_xlfn.XLOOKUP(B2037,Insumo[DESCRIPCION],Insumo[UND],,0),"")</f>
        <v/>
      </c>
      <c r="D2037" s="31"/>
      <c r="E2037" s="32" t="str">
        <f>IFERROR(_xlfn.XLOOKUP($B2037,Insumo[DESCRIPCION],Insumo[VALOR],,0),"")</f>
        <v/>
      </c>
      <c r="F2037" s="33"/>
      <c r="G2037" s="34" t="str">
        <f>IFERROR(IF(F2037&gt;=0,D2037*E2037*(1+F2037/100),ABS(D2037*E2037/F2037)),"")</f>
        <v/>
      </c>
      <c r="H2037" s="43" t="str">
        <f>IFERROR(G2037*E2030,"")</f>
        <v/>
      </c>
    </row>
    <row r="2038" spans="1:8" ht="12.75" customHeight="1">
      <c r="A2038" s="21"/>
      <c r="B2038" s="22" t="s">
        <v>3731</v>
      </c>
      <c r="C2038" s="23"/>
      <c r="D2038" s="24"/>
      <c r="E2038" s="25"/>
      <c r="F2038" s="26"/>
      <c r="G2038" s="27">
        <f>SUM(G2039:G2042)</f>
        <v>68681.917438500008</v>
      </c>
      <c r="H2038" s="44">
        <f>G2038*E2030</f>
        <v>0</v>
      </c>
    </row>
    <row r="2039" spans="1:8" ht="12.75" customHeight="1">
      <c r="A2039" s="28"/>
      <c r="B2039" s="29" t="s">
        <v>3631</v>
      </c>
      <c r="C2039" s="30" t="str">
        <f>IFERROR(_xlfn.XLOOKUP(B2039,Equipo[DESCRIPCION],Equipo[UND],,0),"")</f>
        <v>Día</v>
      </c>
      <c r="D2039" s="31">
        <v>1</v>
      </c>
      <c r="E2039" s="32">
        <f>IF(C2039="%MO",G2045,IFERROR(_xlfn.XLOOKUP($B2039,Equipo[DESCRIPCION],Equipo[VALOR],,0),""))</f>
        <v>22732.5</v>
      </c>
      <c r="F2039" s="33"/>
      <c r="G2039" s="34">
        <f>IFERROR(IF(F2039&gt;=0,D2039*E2039*(1+F2039/100),ABS(D2039*E2039/F2039)),"")</f>
        <v>22732.5</v>
      </c>
      <c r="H2039" s="43">
        <f>IFERROR(G2039*E2030,"")</f>
        <v>0</v>
      </c>
    </row>
    <row r="2040" spans="1:8" ht="12.75" customHeight="1">
      <c r="A2040" s="28"/>
      <c r="B2040" s="29" t="s">
        <v>3570</v>
      </c>
      <c r="C2040" s="30" t="str">
        <f>IFERROR(_xlfn.XLOOKUP(B2040,Equipo[DESCRIPCION],Equipo[UND],,0),"")</f>
        <v>%MO</v>
      </c>
      <c r="D2040" s="31">
        <v>0.04</v>
      </c>
      <c r="E2040" s="32">
        <f>IF(C2040="%MO",G2046,IFERROR(_xlfn.XLOOKUP($B2040,Equipo[DESCRIPCION],Equipo[VALOR],,0),""))</f>
        <v>241839.03915000003</v>
      </c>
      <c r="F2040" s="33"/>
      <c r="G2040" s="34">
        <f>IFERROR(IF(F2040&gt;=0,D2040*E2040*(1+F2040/100),ABS(D2040*E2040/F2040)),"")</f>
        <v>9673.5615660000021</v>
      </c>
      <c r="H2040" s="43">
        <f>IFERROR(G2040*E2030,"")</f>
        <v>0</v>
      </c>
    </row>
    <row r="2041" spans="1:8" ht="12.75" customHeight="1">
      <c r="A2041" s="28"/>
      <c r="B2041" s="29" t="s">
        <v>3572</v>
      </c>
      <c r="C2041" s="30" t="str">
        <f>IFERROR(_xlfn.XLOOKUP(B2041,Equipo[DESCRIPCION],Equipo[UND],,0),"")</f>
        <v>%MO</v>
      </c>
      <c r="D2041" s="31">
        <v>0.1</v>
      </c>
      <c r="E2041" s="32">
        <f>IF(C2041="%MO",G2046,IFERROR(_xlfn.XLOOKUP($B2041,Equipo[DESCRIPCION],Equipo[VALOR],,0),""))</f>
        <v>241839.03915000003</v>
      </c>
      <c r="F2041" s="33"/>
      <c r="G2041" s="34">
        <f>IFERROR(IF(F2041&gt;=0,D2041*E2041*(1+F2041/100),ABS(D2041*E2041/F2041)),"")</f>
        <v>24183.903915000003</v>
      </c>
      <c r="H2041" s="43">
        <f>IFERROR(G2041*E2030,"")</f>
        <v>0</v>
      </c>
    </row>
    <row r="2042" spans="1:8" ht="12.75" customHeight="1">
      <c r="A2042" s="28"/>
      <c r="B2042" s="29" t="s">
        <v>3626</v>
      </c>
      <c r="C2042" s="30" t="str">
        <f>IFERROR(_xlfn.XLOOKUP(B2042,Equipo[DESCRIPCION],Equipo[UND],,0),"")</f>
        <v>%MO</v>
      </c>
      <c r="D2042" s="31">
        <v>0.05</v>
      </c>
      <c r="E2042" s="32">
        <f>IF(C2042="%MO",G2046,IFERROR(_xlfn.XLOOKUP($B2042,Equipo[DESCRIPCION],Equipo[VALOR],,0),""))</f>
        <v>241839.03915000003</v>
      </c>
      <c r="F2042" s="33"/>
      <c r="G2042" s="34">
        <f>IFERROR(IF(F2042&gt;=0,D2042*E2042*(1+F2042/100),ABS(D2042*E2042/F2042)),"")</f>
        <v>12091.951957500001</v>
      </c>
      <c r="H2042" s="43">
        <f>IFERROR(G2042*E2030,"")</f>
        <v>0</v>
      </c>
    </row>
    <row r="2043" spans="1:8" ht="12.75" customHeight="1">
      <c r="A2043" s="21"/>
      <c r="B2043" s="22" t="s">
        <v>2533</v>
      </c>
      <c r="C2043" s="23"/>
      <c r="D2043" s="24"/>
      <c r="E2043" s="25"/>
      <c r="F2043" s="26"/>
      <c r="G2043" s="27">
        <f>SUM(G2044:G2045)</f>
        <v>0</v>
      </c>
      <c r="H2043" s="44">
        <f>G2043*E2030</f>
        <v>0</v>
      </c>
    </row>
    <row r="2044" spans="1:8" ht="12.75" customHeight="1">
      <c r="A2044" s="28"/>
      <c r="B2044" s="29"/>
      <c r="C2044" s="30" t="str">
        <f>IFERROR(_xlfn.XLOOKUP(B2044,Transporte[DESCRIPCION],Transporte[UND],,0),"")</f>
        <v/>
      </c>
      <c r="D2044" s="31"/>
      <c r="E2044" s="32" t="str">
        <f>IFERROR(_xlfn.XLOOKUP($B2044,Transporte[DESCRIPCION],Transporte[VALOR],,0),"")</f>
        <v/>
      </c>
      <c r="F2044" s="33"/>
      <c r="G2044" s="34" t="str">
        <f>IFERROR(IF(F2044&gt;=0,D2044*E2044*(1+F2044/100),ABS(D2044*E2044/F2044)),"")</f>
        <v/>
      </c>
      <c r="H2044" s="43" t="str">
        <f>IFERROR(G2044*E2030,"")</f>
        <v/>
      </c>
    </row>
    <row r="2045" spans="1:8" ht="12.75" customHeight="1">
      <c r="A2045" s="28"/>
      <c r="B2045" s="29"/>
      <c r="C2045" s="30" t="str">
        <f>IFERROR(_xlfn.XLOOKUP(B2045,Transporte[DESCRIPCION],Transporte[UND],,0),"")</f>
        <v/>
      </c>
      <c r="D2045" s="31"/>
      <c r="E2045" s="32" t="str">
        <f>IFERROR(_xlfn.XLOOKUP($B2045,Transporte[DESCRIPCION],Transporte[VALOR],,0),"")</f>
        <v/>
      </c>
      <c r="F2045" s="33"/>
      <c r="G2045" s="34" t="str">
        <f>IFERROR(IF(F2045&gt;=0,D2045*E2045*(1+F2045/100),ABS(D2045*E2045/F2045)),"")</f>
        <v/>
      </c>
      <c r="H2045" s="43" t="str">
        <f>IFERROR(G2045*E2030,"")</f>
        <v/>
      </c>
    </row>
    <row r="2046" spans="1:8" ht="12.75" customHeight="1">
      <c r="A2046" s="21"/>
      <c r="B2046" s="22" t="s">
        <v>3732</v>
      </c>
      <c r="C2046" s="23"/>
      <c r="D2046" s="24"/>
      <c r="E2046" s="25"/>
      <c r="F2046" s="26"/>
      <c r="G2046" s="27">
        <f>SUM(G2047:G2049)</f>
        <v>241839.03915000003</v>
      </c>
      <c r="H2046" s="44">
        <f>G2046*E2030</f>
        <v>0</v>
      </c>
    </row>
    <row r="2047" spans="1:8" ht="12.75" customHeight="1">
      <c r="A2047" s="28"/>
      <c r="B2047" s="29" t="s">
        <v>3710</v>
      </c>
      <c r="C2047" s="30" t="str">
        <f>IFERROR(_xlfn.XLOOKUP(B2047,MObra[DESCRIPCION],MObra[UN],,0),"")</f>
        <v>día</v>
      </c>
      <c r="D2047" s="31">
        <v>1</v>
      </c>
      <c r="E2047" s="32">
        <f>IFERROR(_xlfn.XLOOKUP($B2047,MObra[DESCRIPCION],MObra[VALOR UNIT],,0),"")</f>
        <v>314390.75089500006</v>
      </c>
      <c r="F2047" s="33">
        <v>-1.3</v>
      </c>
      <c r="G2047" s="34">
        <f>IFERROR(IF(F2047&gt;=0,D2047*E2047*(1+F2047/100),ABS(D2047*E2047/F2047)),"")</f>
        <v>241839.03915000003</v>
      </c>
      <c r="H2047" s="43">
        <f>IFERROR(G2047*E2030,"")</f>
        <v>0</v>
      </c>
    </row>
    <row r="2048" spans="1:8" ht="12.75" customHeight="1">
      <c r="A2048" s="28"/>
      <c r="B2048" s="29"/>
      <c r="C2048" s="30" t="str">
        <f t="array" ref="C2048">IFERROR(_xlfn.XLOOKUP(B2048,MObra[[#All],[DESCRIPCION]],MObra[[#All],[UN]],,0),"")</f>
        <v/>
      </c>
      <c r="D2048" s="31"/>
      <c r="E2048" s="32" t="str">
        <f>IFERROR(_xlfn.XLOOKUP($B2048,MObra[DESCRIPCION],MObra[VALOR UNIT],,0),"")</f>
        <v/>
      </c>
      <c r="F2048" s="33"/>
      <c r="G2048" s="34" t="str">
        <f>IFERROR(IF(F2048&gt;=0,D2048*E2048*(1+F2048/100),ABS(D2048*E2048/F2048)),"")</f>
        <v/>
      </c>
      <c r="H2048" s="43" t="str">
        <f>IFERROR(G2048*E2030,"")</f>
        <v/>
      </c>
    </row>
    <row r="2049" spans="1:10" ht="12.75" customHeight="1" thickBot="1">
      <c r="A2049" s="35"/>
      <c r="B2049" s="36"/>
      <c r="C2049" s="37" t="str">
        <f t="array" ref="C2049">IFERROR(_xlfn.XLOOKUP(B2049,MObra[[#All],[DESCRIPCION]],MObra[[#All],[UN]],,0),"")</f>
        <v/>
      </c>
      <c r="D2049" s="38"/>
      <c r="E2049" s="39" t="str">
        <f>IFERROR(_xlfn.XLOOKUP($B2049,MObra[DESCRIPCION],MObra[VALOR UNIT],,0),"")</f>
        <v/>
      </c>
      <c r="F2049" s="40"/>
      <c r="G2049" s="41" t="str">
        <f>IFERROR(IF(F2049&gt;=0,D2049*E2049*(1+F2049/100),ABS(D2049*E2049/F2049)),"")</f>
        <v/>
      </c>
      <c r="H2049" s="42" t="str">
        <f>IFERROR(G2049*E2030,"")</f>
        <v/>
      </c>
    </row>
    <row r="2050" spans="1:10" ht="12.75" customHeight="1" thickTop="1" thickBot="1">
      <c r="E2050" s="49"/>
      <c r="G2050" s="3"/>
    </row>
    <row r="2051" spans="1:10" ht="12.75" customHeight="1" thickTop="1" thickBot="1">
      <c r="A2051" s="6" t="s">
        <v>226</v>
      </c>
      <c r="B2051" s="7" t="str">
        <f>VLOOKUP($A2051,Presupuesto!$A:$D,2,FALSE())</f>
        <v>Excavación caisson en material común H= 0 - 10 m</v>
      </c>
      <c r="C2051" s="8" t="str">
        <f>VLOOKUP($A2051,Presupuesto!$A:$D,3,FALSE())</f>
        <v>M3</v>
      </c>
      <c r="D2051" s="9"/>
      <c r="E2051" s="10">
        <f>VLOOKUP($A2051,Presupuesto!$A:$D,4,FALSE())</f>
        <v>0</v>
      </c>
      <c r="F2051" s="11" t="s">
        <v>2589</v>
      </c>
      <c r="G2051" s="12">
        <f>SUM(G2053:G2070)/2</f>
        <v>272149.16237670009</v>
      </c>
      <c r="H2051" s="13">
        <f>ROUND(SUM(H2053:H2070),0)/2</f>
        <v>0</v>
      </c>
      <c r="I2051" s="10">
        <f>VLOOKUP(A2051,Presupuesto!$A:$F,6,0)</f>
        <v>0</v>
      </c>
      <c r="J2051" s="10">
        <f>+H2051-I2051</f>
        <v>0</v>
      </c>
    </row>
    <row r="2052" spans="1:10" ht="12.75" customHeight="1" thickTop="1">
      <c r="A2052" s="14"/>
      <c r="B2052" s="15" t="s">
        <v>2586</v>
      </c>
      <c r="C2052" s="15" t="s">
        <v>5</v>
      </c>
      <c r="D2052" s="16" t="s">
        <v>6</v>
      </c>
      <c r="E2052" s="17" t="s">
        <v>7</v>
      </c>
      <c r="F2052" s="18" t="s">
        <v>3728</v>
      </c>
      <c r="G2052" s="19" t="s">
        <v>3729</v>
      </c>
      <c r="H2052" s="20" t="s">
        <v>3797</v>
      </c>
    </row>
    <row r="2053" spans="1:10" ht="12.75" customHeight="1">
      <c r="A2053" s="21"/>
      <c r="B2053" s="22" t="s">
        <v>3730</v>
      </c>
      <c r="C2053" s="23"/>
      <c r="D2053" s="24"/>
      <c r="E2053" s="25"/>
      <c r="F2053" s="26"/>
      <c r="G2053" s="27">
        <f>SUM(G2054:G2058)</f>
        <v>0</v>
      </c>
      <c r="H2053" s="27">
        <f>IFERROR(G2053*E2051,"")</f>
        <v>0</v>
      </c>
    </row>
    <row r="2054" spans="1:10" ht="12.75" customHeight="1">
      <c r="A2054" s="28"/>
      <c r="B2054" s="29"/>
      <c r="C2054" s="30" t="str">
        <f>IFERROR(_xlfn.XLOOKUP(B2054,Insumo[DESCRIPCION],Insumo[UND],,0),"")</f>
        <v/>
      </c>
      <c r="D2054" s="31"/>
      <c r="E2054" s="32" t="str">
        <f>IFERROR(_xlfn.XLOOKUP($B2054,Insumo[DESCRIPCION],Insumo[VALOR],,0),"")</f>
        <v/>
      </c>
      <c r="F2054" s="33"/>
      <c r="G2054" s="34" t="str">
        <f>IFERROR(IF(F2054&gt;=0,D2054*E2054*(1+F2054/100),ABS(D2054*E2054/F2054)),"")</f>
        <v/>
      </c>
      <c r="H2054" s="43" t="str">
        <f>IFERROR(G2054*E2051,"")</f>
        <v/>
      </c>
    </row>
    <row r="2055" spans="1:10" ht="12.75" customHeight="1">
      <c r="A2055" s="28"/>
      <c r="B2055" s="29"/>
      <c r="C2055" s="30" t="str">
        <f>IFERROR(_xlfn.XLOOKUP(B2055,Insumo[DESCRIPCION],Insumo[UND],,0),"")</f>
        <v/>
      </c>
      <c r="D2055" s="31"/>
      <c r="E2055" s="32" t="str">
        <f>IFERROR(_xlfn.XLOOKUP($B2055,Insumo[DESCRIPCION],Insumo[VALOR],,0),"")</f>
        <v/>
      </c>
      <c r="F2055" s="33"/>
      <c r="G2055" s="34" t="str">
        <f>IFERROR(IF(F2055&gt;=0,D2055*E2055*(1+F2055/100),ABS(D2055*E2055/F2055)),"")</f>
        <v/>
      </c>
      <c r="H2055" s="43" t="str">
        <f>IFERROR(G2055*E2051,"")</f>
        <v/>
      </c>
    </row>
    <row r="2056" spans="1:10" ht="12.75" customHeight="1">
      <c r="A2056" s="28"/>
      <c r="B2056" s="29"/>
      <c r="C2056" s="30" t="str">
        <f>IFERROR(_xlfn.XLOOKUP(B2056,Insumo[DESCRIPCION],Insumo[UND],,0),"")</f>
        <v/>
      </c>
      <c r="D2056" s="31"/>
      <c r="E2056" s="32" t="str">
        <f>IFERROR(_xlfn.XLOOKUP($B2056,Insumo[DESCRIPCION],Insumo[VALOR],,0),"")</f>
        <v/>
      </c>
      <c r="F2056" s="33"/>
      <c r="G2056" s="34" t="str">
        <f>IFERROR(IF(F2056&gt;=0,D2056*E2056*(1+F2056/100),ABS(D2056*E2056/F2056)),"")</f>
        <v/>
      </c>
      <c r="H2056" s="43" t="str">
        <f>IFERROR(G2056*E2051,"")</f>
        <v/>
      </c>
    </row>
    <row r="2057" spans="1:10" ht="12.75" customHeight="1">
      <c r="A2057" s="28"/>
      <c r="B2057" s="29"/>
      <c r="C2057" s="30" t="str">
        <f>IFERROR(_xlfn.XLOOKUP(B2057,Insumo[DESCRIPCION],Insumo[UND],,0),"")</f>
        <v/>
      </c>
      <c r="D2057" s="31"/>
      <c r="E2057" s="32" t="str">
        <f>IFERROR(_xlfn.XLOOKUP($B2057,Insumo[DESCRIPCION],Insumo[VALOR],,0),"")</f>
        <v/>
      </c>
      <c r="F2057" s="33"/>
      <c r="G2057" s="34" t="str">
        <f>IFERROR(IF(F2057&gt;=0,D2057*E2057*(1+F2057/100),ABS(D2057*E2057/F2057)),"")</f>
        <v/>
      </c>
      <c r="H2057" s="43" t="str">
        <f>IFERROR(G2057*E2051,"")</f>
        <v/>
      </c>
    </row>
    <row r="2058" spans="1:10" ht="12.75" customHeight="1">
      <c r="A2058" s="28"/>
      <c r="B2058" s="29"/>
      <c r="C2058" s="30" t="str">
        <f>IFERROR(_xlfn.XLOOKUP(B2058,Insumo[DESCRIPCION],Insumo[UND],,0),"")</f>
        <v/>
      </c>
      <c r="D2058" s="31"/>
      <c r="E2058" s="32" t="str">
        <f>IFERROR(_xlfn.XLOOKUP($B2058,Insumo[DESCRIPCION],Insumo[VALOR],,0),"")</f>
        <v/>
      </c>
      <c r="F2058" s="33"/>
      <c r="G2058" s="34" t="str">
        <f>IFERROR(IF(F2058&gt;=0,D2058*E2058*(1+F2058/100),ABS(D2058*E2058/F2058)),"")</f>
        <v/>
      </c>
      <c r="H2058" s="43" t="str">
        <f>IFERROR(G2058*E2051,"")</f>
        <v/>
      </c>
    </row>
    <row r="2059" spans="1:10" ht="12.75" customHeight="1">
      <c r="A2059" s="21"/>
      <c r="B2059" s="22" t="s">
        <v>3731</v>
      </c>
      <c r="C2059" s="23"/>
      <c r="D2059" s="24"/>
      <c r="E2059" s="25"/>
      <c r="F2059" s="26"/>
      <c r="G2059" s="27">
        <f>SUM(G2060:G2063)</f>
        <v>62555.328446700012</v>
      </c>
      <c r="H2059" s="44">
        <f>G2059*E2051</f>
        <v>0</v>
      </c>
    </row>
    <row r="2060" spans="1:10" ht="12.75" customHeight="1">
      <c r="A2060" s="28"/>
      <c r="B2060" s="29" t="s">
        <v>3631</v>
      </c>
      <c r="C2060" s="30" t="str">
        <f>IFERROR(_xlfn.XLOOKUP(B2060,Equipo[DESCRIPCION],Equipo[UND],,0),"")</f>
        <v>Día</v>
      </c>
      <c r="D2060" s="31">
        <v>1</v>
      </c>
      <c r="E2060" s="32">
        <f>IF(C2060="%MO",G2066,IFERROR(_xlfn.XLOOKUP($B2060,Equipo[DESCRIPCION],Equipo[VALOR],,0),""))</f>
        <v>22732.5</v>
      </c>
      <c r="F2060" s="33"/>
      <c r="G2060" s="34">
        <f>IFERROR(IF(F2060&gt;=0,D2060*E2060*(1+F2060/100),ABS(D2060*E2060/F2060)),"")</f>
        <v>22732.5</v>
      </c>
      <c r="H2060" s="43">
        <f>IFERROR(G2060*E2051,"")</f>
        <v>0</v>
      </c>
    </row>
    <row r="2061" spans="1:10" ht="12.75" customHeight="1">
      <c r="A2061" s="28"/>
      <c r="B2061" s="29" t="s">
        <v>3570</v>
      </c>
      <c r="C2061" s="30" t="str">
        <f>IFERROR(_xlfn.XLOOKUP(B2061,Equipo[DESCRIPCION],Equipo[UND],,0),"")</f>
        <v>%MO</v>
      </c>
      <c r="D2061" s="31">
        <v>0.04</v>
      </c>
      <c r="E2061" s="32">
        <f>IF(C2061="%MO",G2067,IFERROR(_xlfn.XLOOKUP($B2061,Equipo[DESCRIPCION],Equipo[VALOR],,0),""))</f>
        <v>209593.83393000005</v>
      </c>
      <c r="F2061" s="33"/>
      <c r="G2061" s="34">
        <f>IFERROR(IF(F2061&gt;=0,D2061*E2061*(1+F2061/100),ABS(D2061*E2061/F2061)),"")</f>
        <v>8383.7533572000029</v>
      </c>
      <c r="H2061" s="43">
        <f>IFERROR(G2061*E2051,"")</f>
        <v>0</v>
      </c>
    </row>
    <row r="2062" spans="1:10" ht="12.75" customHeight="1">
      <c r="A2062" s="28"/>
      <c r="B2062" s="29" t="s">
        <v>3572</v>
      </c>
      <c r="C2062" s="30" t="str">
        <f>IFERROR(_xlfn.XLOOKUP(B2062,Equipo[DESCRIPCION],Equipo[UND],,0),"")</f>
        <v>%MO</v>
      </c>
      <c r="D2062" s="31">
        <v>0.1</v>
      </c>
      <c r="E2062" s="32">
        <f>IF(C2062="%MO",G2067,IFERROR(_xlfn.XLOOKUP($B2062,Equipo[DESCRIPCION],Equipo[VALOR],,0),""))</f>
        <v>209593.83393000005</v>
      </c>
      <c r="F2062" s="33"/>
      <c r="G2062" s="34">
        <f>IFERROR(IF(F2062&gt;=0,D2062*E2062*(1+F2062/100),ABS(D2062*E2062/F2062)),"")</f>
        <v>20959.383393000007</v>
      </c>
      <c r="H2062" s="43">
        <f>IFERROR(G2062*E2051,"")</f>
        <v>0</v>
      </c>
    </row>
    <row r="2063" spans="1:10" ht="12.75" customHeight="1">
      <c r="A2063" s="28"/>
      <c r="B2063" s="29" t="s">
        <v>3626</v>
      </c>
      <c r="C2063" s="30" t="str">
        <f>IFERROR(_xlfn.XLOOKUP(B2063,Equipo[DESCRIPCION],Equipo[UND],,0),"")</f>
        <v>%MO</v>
      </c>
      <c r="D2063" s="31">
        <v>0.05</v>
      </c>
      <c r="E2063" s="32">
        <f>IF(C2063="%MO",G2067,IFERROR(_xlfn.XLOOKUP($B2063,Equipo[DESCRIPCION],Equipo[VALOR],,0),""))</f>
        <v>209593.83393000005</v>
      </c>
      <c r="F2063" s="33"/>
      <c r="G2063" s="34">
        <f>IFERROR(IF(F2063&gt;=0,D2063*E2063*(1+F2063/100),ABS(D2063*E2063/F2063)),"")</f>
        <v>10479.691696500004</v>
      </c>
      <c r="H2063" s="43">
        <f>IFERROR(G2063*E2051,"")</f>
        <v>0</v>
      </c>
    </row>
    <row r="2064" spans="1:10" ht="12.75" customHeight="1">
      <c r="A2064" s="21"/>
      <c r="B2064" s="22" t="s">
        <v>2533</v>
      </c>
      <c r="C2064" s="23"/>
      <c r="D2064" s="24"/>
      <c r="E2064" s="25"/>
      <c r="F2064" s="26"/>
      <c r="G2064" s="27">
        <f>SUM(G2065:G2066)</f>
        <v>0</v>
      </c>
      <c r="H2064" s="44">
        <f>G2064*E2051</f>
        <v>0</v>
      </c>
    </row>
    <row r="2065" spans="1:10" ht="12.75" customHeight="1">
      <c r="A2065" s="28"/>
      <c r="B2065" s="29"/>
      <c r="C2065" s="30" t="str">
        <f>IFERROR(_xlfn.XLOOKUP(B2065,Transporte[DESCRIPCION],Transporte[UND],,0),"")</f>
        <v/>
      </c>
      <c r="D2065" s="31"/>
      <c r="E2065" s="32" t="str">
        <f>IFERROR(_xlfn.XLOOKUP($B2065,Transporte[DESCRIPCION],Transporte[VALOR],,0),"")</f>
        <v/>
      </c>
      <c r="F2065" s="33"/>
      <c r="G2065" s="34" t="str">
        <f>IFERROR(IF(F2065&gt;=0,D2065*E2065*(1+F2065/100),ABS(D2065*E2065/F2065)),"")</f>
        <v/>
      </c>
      <c r="H2065" s="43" t="str">
        <f>IFERROR(G2065*E2051,"")</f>
        <v/>
      </c>
    </row>
    <row r="2066" spans="1:10" ht="12.75" customHeight="1">
      <c r="A2066" s="28"/>
      <c r="B2066" s="29"/>
      <c r="C2066" s="30" t="str">
        <f>IFERROR(_xlfn.XLOOKUP(B2066,Transporte[DESCRIPCION],Transporte[UND],,0),"")</f>
        <v/>
      </c>
      <c r="D2066" s="31"/>
      <c r="E2066" s="32" t="str">
        <f>IFERROR(_xlfn.XLOOKUP($B2066,Transporte[DESCRIPCION],Transporte[VALOR],,0),"")</f>
        <v/>
      </c>
      <c r="F2066" s="33"/>
      <c r="G2066" s="34" t="str">
        <f>IFERROR(IF(F2066&gt;=0,D2066*E2066*(1+F2066/100),ABS(D2066*E2066/F2066)),"")</f>
        <v/>
      </c>
      <c r="H2066" s="43" t="str">
        <f>IFERROR(G2066*E2051,"")</f>
        <v/>
      </c>
    </row>
    <row r="2067" spans="1:10" ht="12.75" customHeight="1">
      <c r="A2067" s="21"/>
      <c r="B2067" s="22" t="s">
        <v>3732</v>
      </c>
      <c r="C2067" s="23"/>
      <c r="D2067" s="24"/>
      <c r="E2067" s="25"/>
      <c r="F2067" s="26"/>
      <c r="G2067" s="27">
        <f>SUM(G2068:G2070)</f>
        <v>209593.83393000005</v>
      </c>
      <c r="H2067" s="44">
        <f>G2067*E2051</f>
        <v>0</v>
      </c>
    </row>
    <row r="2068" spans="1:10" ht="12.75" customHeight="1">
      <c r="A2068" s="28"/>
      <c r="B2068" s="29" t="s">
        <v>3710</v>
      </c>
      <c r="C2068" s="30" t="str">
        <f>IFERROR(_xlfn.XLOOKUP(B2068,MObra[DESCRIPCION],MObra[UN],,0),"")</f>
        <v>día</v>
      </c>
      <c r="D2068" s="31">
        <v>1</v>
      </c>
      <c r="E2068" s="32">
        <f>IFERROR(_xlfn.XLOOKUP($B2068,MObra[DESCRIPCION],MObra[VALOR UNIT],,0),"")</f>
        <v>314390.75089500006</v>
      </c>
      <c r="F2068" s="33">
        <v>-1.5</v>
      </c>
      <c r="G2068" s="34">
        <f>IFERROR(IF(F2068&gt;=0,D2068*E2068*(1+F2068/100),ABS(D2068*E2068/F2068)),"")</f>
        <v>209593.83393000005</v>
      </c>
      <c r="H2068" s="43">
        <f>IFERROR(G2068*E2051,"")</f>
        <v>0</v>
      </c>
    </row>
    <row r="2069" spans="1:10" ht="12.75" customHeight="1">
      <c r="A2069" s="28"/>
      <c r="B2069" s="29"/>
      <c r="C2069" s="30" t="str">
        <f t="array" ref="C2069">IFERROR(_xlfn.XLOOKUP(B2069,MObra[[#All],[DESCRIPCION]],MObra[[#All],[UN]],,0),"")</f>
        <v/>
      </c>
      <c r="D2069" s="31"/>
      <c r="E2069" s="32" t="str">
        <f>IFERROR(_xlfn.XLOOKUP($B2069,MObra[DESCRIPCION],MObra[VALOR UNIT],,0),"")</f>
        <v/>
      </c>
      <c r="F2069" s="33"/>
      <c r="G2069" s="34" t="str">
        <f>IFERROR(IF(F2069&gt;=0,D2069*E2069*(1+F2069/100),ABS(D2069*E2069/F2069)),"")</f>
        <v/>
      </c>
      <c r="H2069" s="43" t="str">
        <f>IFERROR(G2069*E2051,"")</f>
        <v/>
      </c>
    </row>
    <row r="2070" spans="1:10" ht="12.75" customHeight="1" thickBot="1">
      <c r="A2070" s="35"/>
      <c r="B2070" s="36"/>
      <c r="C2070" s="37" t="str">
        <f t="array" ref="C2070">IFERROR(_xlfn.XLOOKUP(B2070,MObra[[#All],[DESCRIPCION]],MObra[[#All],[UN]],,0),"")</f>
        <v/>
      </c>
      <c r="D2070" s="38"/>
      <c r="E2070" s="39" t="str">
        <f>IFERROR(_xlfn.XLOOKUP($B2070,MObra[DESCRIPCION],MObra[VALOR UNIT],,0),"")</f>
        <v/>
      </c>
      <c r="F2070" s="40"/>
      <c r="G2070" s="41" t="str">
        <f>IFERROR(IF(F2070&gt;=0,D2070*E2070*(1+F2070/100),ABS(D2070*E2070/F2070)),"")</f>
        <v/>
      </c>
      <c r="H2070" s="42" t="str">
        <f>IFERROR(G2070*E2051,"")</f>
        <v/>
      </c>
    </row>
    <row r="2071" spans="1:10" ht="12.75" customHeight="1" thickTop="1" thickBot="1">
      <c r="E2071" s="49"/>
      <c r="G2071" s="3"/>
    </row>
    <row r="2072" spans="1:10" ht="12.75" customHeight="1" thickTop="1" thickBot="1">
      <c r="A2072" s="6" t="s">
        <v>228</v>
      </c>
      <c r="B2072" s="7" t="str">
        <f>VLOOKUP($A2072,Presupuesto!$A:$D,2,FALSE())</f>
        <v>Excavación configuración subrasante manual</v>
      </c>
      <c r="C2072" s="8" t="str">
        <f>VLOOKUP($A2072,Presupuesto!$A:$D,3,FALSE())</f>
        <v>M2</v>
      </c>
      <c r="D2072" s="9"/>
      <c r="E2072" s="10">
        <f>VLOOKUP($A2072,Presupuesto!$A:$D,4,FALSE())</f>
        <v>0</v>
      </c>
      <c r="F2072" s="11" t="s">
        <v>2589</v>
      </c>
      <c r="G2072" s="12">
        <f>SUM(G2074:G2090)/2</f>
        <v>2893.7922004602005</v>
      </c>
      <c r="H2072" s="13">
        <f>ROUND(SUM(H2074:H2090),0)/2</f>
        <v>0</v>
      </c>
      <c r="I2072" s="10">
        <f>VLOOKUP(A2072,Presupuesto!$A:$F,6,0)</f>
        <v>0</v>
      </c>
      <c r="J2072" s="10">
        <f>+H2072-I2072</f>
        <v>0</v>
      </c>
    </row>
    <row r="2073" spans="1:10" ht="12.75" customHeight="1" thickTop="1">
      <c r="A2073" s="14"/>
      <c r="B2073" s="15" t="s">
        <v>2586</v>
      </c>
      <c r="C2073" s="15" t="s">
        <v>5</v>
      </c>
      <c r="D2073" s="16" t="s">
        <v>6</v>
      </c>
      <c r="E2073" s="17" t="s">
        <v>7</v>
      </c>
      <c r="F2073" s="18" t="s">
        <v>3728</v>
      </c>
      <c r="G2073" s="19" t="s">
        <v>3729</v>
      </c>
      <c r="H2073" s="20" t="s">
        <v>3797</v>
      </c>
    </row>
    <row r="2074" spans="1:10" ht="12.75" customHeight="1">
      <c r="A2074" s="21"/>
      <c r="B2074" s="22" t="s">
        <v>3730</v>
      </c>
      <c r="C2074" s="23"/>
      <c r="D2074" s="24"/>
      <c r="E2074" s="25"/>
      <c r="F2074" s="26"/>
      <c r="G2074" s="27">
        <f>SUM(G2075:G2079)</f>
        <v>0</v>
      </c>
      <c r="H2074" s="27">
        <f>IFERROR(G2074*E2072,"")</f>
        <v>0</v>
      </c>
    </row>
    <row r="2075" spans="1:10" ht="12.75" customHeight="1">
      <c r="A2075" s="28"/>
      <c r="B2075" s="29"/>
      <c r="C2075" s="30" t="str">
        <f>IFERROR(_xlfn.XLOOKUP(B2075,Insumo[DESCRIPCION],Insumo[UND],,0),"")</f>
        <v/>
      </c>
      <c r="D2075" s="31"/>
      <c r="E2075" s="32" t="str">
        <f>IFERROR(_xlfn.XLOOKUP($B2075,Insumo[DESCRIPCION],Insumo[VALOR],,0),"")</f>
        <v/>
      </c>
      <c r="F2075" s="33"/>
      <c r="G2075" s="34" t="str">
        <f>IFERROR(IF(F2075&gt;=0,D2075*E2075*(1+F2075/100),ABS(D2075*E2075/F2075)),"")</f>
        <v/>
      </c>
      <c r="H2075" s="43" t="str">
        <f>IFERROR(G2075*E2072,"")</f>
        <v/>
      </c>
    </row>
    <row r="2076" spans="1:10" ht="12.75" customHeight="1">
      <c r="A2076" s="28"/>
      <c r="B2076" s="29"/>
      <c r="C2076" s="30" t="str">
        <f>IFERROR(_xlfn.XLOOKUP(B2076,Insumo[DESCRIPCION],Insumo[UND],,0),"")</f>
        <v/>
      </c>
      <c r="D2076" s="31"/>
      <c r="E2076" s="32" t="str">
        <f>IFERROR(_xlfn.XLOOKUP($B2076,Insumo[DESCRIPCION],Insumo[VALOR],,0),"")</f>
        <v/>
      </c>
      <c r="F2076" s="33"/>
      <c r="G2076" s="34" t="str">
        <f>IFERROR(IF(F2076&gt;=0,D2076*E2076*(1+F2076/100),ABS(D2076*E2076/F2076)),"")</f>
        <v/>
      </c>
      <c r="H2076" s="43" t="str">
        <f>IFERROR(G2076*E2072,"")</f>
        <v/>
      </c>
    </row>
    <row r="2077" spans="1:10" ht="12.75" customHeight="1">
      <c r="A2077" s="28"/>
      <c r="B2077" s="29"/>
      <c r="C2077" s="30" t="str">
        <f>IFERROR(_xlfn.XLOOKUP(B2077,Insumo[DESCRIPCION],Insumo[UND],,0),"")</f>
        <v/>
      </c>
      <c r="D2077" s="31"/>
      <c r="E2077" s="32" t="str">
        <f>IFERROR(_xlfn.XLOOKUP($B2077,Insumo[DESCRIPCION],Insumo[VALOR],,0),"")</f>
        <v/>
      </c>
      <c r="F2077" s="33"/>
      <c r="G2077" s="34" t="str">
        <f>IFERROR(IF(F2077&gt;=0,D2077*E2077*(1+F2077/100),ABS(D2077*E2077/F2077)),"")</f>
        <v/>
      </c>
      <c r="H2077" s="43" t="str">
        <f>IFERROR(G2077*E2072,"")</f>
        <v/>
      </c>
    </row>
    <row r="2078" spans="1:10" ht="12.75" customHeight="1">
      <c r="A2078" s="28"/>
      <c r="B2078" s="29"/>
      <c r="C2078" s="30" t="str">
        <f>IFERROR(_xlfn.XLOOKUP(B2078,Insumo[DESCRIPCION],Insumo[UND],,0),"")</f>
        <v/>
      </c>
      <c r="D2078" s="31"/>
      <c r="E2078" s="32" t="str">
        <f>IFERROR(_xlfn.XLOOKUP($B2078,Insumo[DESCRIPCION],Insumo[VALOR],,0),"")</f>
        <v/>
      </c>
      <c r="F2078" s="33"/>
      <c r="G2078" s="34" t="str">
        <f>IFERROR(IF(F2078&gt;=0,D2078*E2078*(1+F2078/100),ABS(D2078*E2078/F2078)),"")</f>
        <v/>
      </c>
      <c r="H2078" s="43" t="str">
        <f>IFERROR(G2078*E2072,"")</f>
        <v/>
      </c>
    </row>
    <row r="2079" spans="1:10" ht="12.75" customHeight="1">
      <c r="A2079" s="28"/>
      <c r="B2079" s="29"/>
      <c r="C2079" s="30" t="str">
        <f>IFERROR(_xlfn.XLOOKUP(B2079,Insumo[DESCRIPCION],Insumo[UND],,0),"")</f>
        <v/>
      </c>
      <c r="D2079" s="31"/>
      <c r="E2079" s="32" t="str">
        <f>IFERROR(_xlfn.XLOOKUP($B2079,Insumo[DESCRIPCION],Insumo[VALOR],,0),"")</f>
        <v/>
      </c>
      <c r="F2079" s="33"/>
      <c r="G2079" s="34" t="str">
        <f>IFERROR(IF(F2079&gt;=0,D2079*E2079*(1+F2079/100),ABS(D2079*E2079/F2079)),"")</f>
        <v/>
      </c>
      <c r="H2079" s="43" t="str">
        <f>IFERROR(G2079*E2072,"")</f>
        <v/>
      </c>
    </row>
    <row r="2080" spans="1:10" ht="12.75" customHeight="1">
      <c r="A2080" s="21"/>
      <c r="B2080" s="22" t="s">
        <v>3731</v>
      </c>
      <c r="C2080" s="23"/>
      <c r="D2080" s="24"/>
      <c r="E2080" s="25"/>
      <c r="F2080" s="26"/>
      <c r="G2080" s="27">
        <f>SUM(G2081:G2083)</f>
        <v>238.93697068020006</v>
      </c>
      <c r="H2080" s="44">
        <f>G2080*E2072</f>
        <v>0</v>
      </c>
    </row>
    <row r="2081" spans="1:10" ht="12.75" customHeight="1">
      <c r="A2081" s="28"/>
      <c r="B2081" s="29" t="s">
        <v>3570</v>
      </c>
      <c r="C2081" s="30" t="str">
        <f>IFERROR(_xlfn.XLOOKUP(B2081,Equipo[DESCRIPCION],Equipo[UND],,0),"")</f>
        <v>%MO</v>
      </c>
      <c r="D2081" s="31">
        <v>0.04</v>
      </c>
      <c r="E2081" s="32">
        <f>IF(C2081="%MO",G2087,IFERROR(_xlfn.XLOOKUP($B2081,Equipo[DESCRIPCION],Equipo[VALOR],,0),""))</f>
        <v>2654.8552297800006</v>
      </c>
      <c r="F2081" s="33"/>
      <c r="G2081" s="34">
        <f>IFERROR(IF(F2081&gt;=0,D2081*E2081*(1+F2081/100),ABS(D2081*E2081/F2081)),"")</f>
        <v>106.19420919120003</v>
      </c>
      <c r="H2081" s="43">
        <f>IFERROR(G2081*E2072,"")</f>
        <v>0</v>
      </c>
    </row>
    <row r="2082" spans="1:10" ht="12.75" customHeight="1">
      <c r="A2082" s="28"/>
      <c r="B2082" s="29" t="s">
        <v>3626</v>
      </c>
      <c r="C2082" s="30" t="str">
        <f>IFERROR(_xlfn.XLOOKUP(B2082,Equipo[DESCRIPCION],Equipo[UND],,0),"")</f>
        <v>%MO</v>
      </c>
      <c r="D2082" s="31">
        <v>0.05</v>
      </c>
      <c r="E2082" s="32">
        <f>IF(C2082="%MO",G2087,IFERROR(_xlfn.XLOOKUP($B2082,Equipo[DESCRIPCION],Equipo[VALOR],,0),""))</f>
        <v>2654.8552297800006</v>
      </c>
      <c r="F2082" s="33"/>
      <c r="G2082" s="34">
        <f>IFERROR(IF(F2082&gt;=0,D2082*E2082*(1+F2082/100),ABS(D2082*E2082/F2082)),"")</f>
        <v>132.74276148900003</v>
      </c>
      <c r="H2082" s="43">
        <f>IFERROR(G2082*E2072,"")</f>
        <v>0</v>
      </c>
    </row>
    <row r="2083" spans="1:10" ht="12.75" customHeight="1">
      <c r="A2083" s="28"/>
      <c r="B2083" s="29"/>
      <c r="C2083" s="30" t="str">
        <f>IFERROR(_xlfn.XLOOKUP(B2083,Equipo[DESCRIPCION],Equipo[UND],,0),"")</f>
        <v/>
      </c>
      <c r="D2083" s="31"/>
      <c r="E2083" s="32" t="str">
        <f>IF(C2083="%MO",G2087,IFERROR(_xlfn.XLOOKUP($B2083,Equipo[DESCRIPCION],Equipo[VALOR],,0),""))</f>
        <v/>
      </c>
      <c r="F2083" s="33"/>
      <c r="G2083" s="34" t="str">
        <f>IFERROR(IF(F2083&gt;=0,D2083*E2083*(1+F2083/100),ABS(D2083*E2083/F2083)),"")</f>
        <v/>
      </c>
      <c r="H2083" s="43" t="str">
        <f>IFERROR(G2083*E2072,"")</f>
        <v/>
      </c>
    </row>
    <row r="2084" spans="1:10" ht="12.75" customHeight="1">
      <c r="A2084" s="21"/>
      <c r="B2084" s="22" t="s">
        <v>2533</v>
      </c>
      <c r="C2084" s="23"/>
      <c r="D2084" s="24"/>
      <c r="E2084" s="25"/>
      <c r="F2084" s="26"/>
      <c r="G2084" s="27">
        <f>SUM(G2085:G2086)</f>
        <v>0</v>
      </c>
      <c r="H2084" s="44">
        <f>G2084*E2072</f>
        <v>0</v>
      </c>
    </row>
    <row r="2085" spans="1:10" ht="12.75" customHeight="1">
      <c r="A2085" s="28"/>
      <c r="B2085" s="29"/>
      <c r="C2085" s="30" t="str">
        <f>IFERROR(_xlfn.XLOOKUP(B2085,Transporte[DESCRIPCION],Transporte[UND],,0),"")</f>
        <v/>
      </c>
      <c r="D2085" s="31"/>
      <c r="E2085" s="32" t="str">
        <f>IFERROR(_xlfn.XLOOKUP($B2085,Transporte[DESCRIPCION],Transporte[VALOR],,0),"")</f>
        <v/>
      </c>
      <c r="F2085" s="33"/>
      <c r="G2085" s="34" t="str">
        <f>IFERROR(IF(F2085&gt;=0,D2085*E2085*(1+F2085/100),ABS(D2085*E2085/F2085)),"")</f>
        <v/>
      </c>
      <c r="H2085" s="43" t="str">
        <f>IFERROR(G2085*E2072,"")</f>
        <v/>
      </c>
    </row>
    <row r="2086" spans="1:10" ht="12.75" customHeight="1">
      <c r="A2086" s="28"/>
      <c r="B2086" s="29"/>
      <c r="C2086" s="30" t="str">
        <f>IFERROR(_xlfn.XLOOKUP(B2086,Transporte[DESCRIPCION],Transporte[UND],,0),"")</f>
        <v/>
      </c>
      <c r="D2086" s="31"/>
      <c r="E2086" s="32" t="str">
        <f>IFERROR(_xlfn.XLOOKUP($B2086,Transporte[DESCRIPCION],Transporte[VALOR],,0),"")</f>
        <v/>
      </c>
      <c r="F2086" s="33"/>
      <c r="G2086" s="34" t="str">
        <f>IFERROR(IF(F2086&gt;=0,D2086*E2086*(1+F2086/100),ABS(D2086*E2086/F2086)),"")</f>
        <v/>
      </c>
      <c r="H2086" s="43" t="str">
        <f>IFERROR(G2086*E2072,"")</f>
        <v/>
      </c>
    </row>
    <row r="2087" spans="1:10" ht="12.75" customHeight="1">
      <c r="A2087" s="21"/>
      <c r="B2087" s="22" t="s">
        <v>3732</v>
      </c>
      <c r="C2087" s="23"/>
      <c r="D2087" s="24"/>
      <c r="E2087" s="25"/>
      <c r="F2087" s="26"/>
      <c r="G2087" s="27">
        <f>SUM(G2088:G2090)</f>
        <v>2654.8552297800006</v>
      </c>
      <c r="H2087" s="44">
        <f>G2087*E2072</f>
        <v>0</v>
      </c>
    </row>
    <row r="2088" spans="1:10" ht="12.75" customHeight="1">
      <c r="A2088" s="28"/>
      <c r="B2088" s="29" t="s">
        <v>3713</v>
      </c>
      <c r="C2088" s="30" t="str">
        <f>IFERROR(_xlfn.XLOOKUP(B2088,MObra[DESCRIPCION],MObra[UN],,0),"")</f>
        <v>día</v>
      </c>
      <c r="D2088" s="31">
        <v>1</v>
      </c>
      <c r="E2088" s="32">
        <f>IFERROR(_xlfn.XLOOKUP($B2088,MObra[DESCRIPCION],MObra[VALOR UNIT],,0),"")</f>
        <v>663713.80744500016</v>
      </c>
      <c r="F2088" s="33">
        <v>-250</v>
      </c>
      <c r="G2088" s="34">
        <f>IFERROR(IF(F2088&gt;=0,D2088*E2088*(1+F2088/100),ABS(D2088*E2088/F2088)),"")</f>
        <v>2654.8552297800006</v>
      </c>
      <c r="H2088" s="43">
        <f>IFERROR(G2088*E2072,"")</f>
        <v>0</v>
      </c>
    </row>
    <row r="2089" spans="1:10" ht="12.75" customHeight="1">
      <c r="A2089" s="28"/>
      <c r="B2089" s="29"/>
      <c r="C2089" s="30" t="str">
        <f t="array" ref="C2089">IFERROR(_xlfn.XLOOKUP(B2089,MObra[[#All],[DESCRIPCION]],MObra[[#All],[UN]],,0),"")</f>
        <v/>
      </c>
      <c r="D2089" s="31"/>
      <c r="E2089" s="32" t="str">
        <f>IFERROR(_xlfn.XLOOKUP($B2089,MObra[DESCRIPCION],MObra[VALOR UNIT],,0),"")</f>
        <v/>
      </c>
      <c r="F2089" s="33"/>
      <c r="G2089" s="34" t="str">
        <f>IFERROR(IF(F2089&gt;=0,D2089*E2089*(1+F2089/100),ABS(D2089*E2089/F2089)),"")</f>
        <v/>
      </c>
      <c r="H2089" s="43" t="str">
        <f>IFERROR(G2089*E2072,"")</f>
        <v/>
      </c>
    </row>
    <row r="2090" spans="1:10" ht="12.75" customHeight="1" thickBot="1">
      <c r="A2090" s="35"/>
      <c r="B2090" s="36"/>
      <c r="C2090" s="37" t="str">
        <f t="array" ref="C2090">IFERROR(_xlfn.XLOOKUP(B2090,MObra[[#All],[DESCRIPCION]],MObra[[#All],[UN]],,0),"")</f>
        <v/>
      </c>
      <c r="D2090" s="38"/>
      <c r="E2090" s="39" t="str">
        <f>IFERROR(_xlfn.XLOOKUP($B2090,MObra[DESCRIPCION],MObra[VALOR UNIT],,0),"")</f>
        <v/>
      </c>
      <c r="F2090" s="40"/>
      <c r="G2090" s="41" t="str">
        <f>IFERROR(IF(F2090&gt;=0,D2090*E2090*(1+F2090/100),ABS(D2090*E2090/F2090)),"")</f>
        <v/>
      </c>
      <c r="H2090" s="42" t="str">
        <f>IFERROR(G2090*E2072,"")</f>
        <v/>
      </c>
    </row>
    <row r="2091" spans="1:10" ht="12.75" customHeight="1" thickTop="1" thickBot="1">
      <c r="E2091" s="49"/>
      <c r="G2091" s="3"/>
    </row>
    <row r="2092" spans="1:10" ht="12.75" customHeight="1" thickTop="1" thickBot="1">
      <c r="A2092" s="6" t="s">
        <v>230</v>
      </c>
      <c r="B2092" s="7" t="str">
        <f>VLOOKUP($A2092,Presupuesto!$A:$D,2,FALSE())</f>
        <v>Excavación configuración subrasante mecánica</v>
      </c>
      <c r="C2092" s="8" t="str">
        <f>VLOOKUP($A2092,Presupuesto!$A:$D,3,FALSE())</f>
        <v>M2</v>
      </c>
      <c r="D2092" s="9"/>
      <c r="E2092" s="10">
        <f>VLOOKUP($A2092,Presupuesto!$A:$D,4,FALSE())</f>
        <v>0</v>
      </c>
      <c r="F2092" s="11" t="s">
        <v>2589</v>
      </c>
      <c r="G2092" s="12">
        <f>SUM(G2094:G2110)/2</f>
        <v>1755.20107917</v>
      </c>
      <c r="H2092" s="13">
        <f>ROUND(SUM(H2094:H2110),0)/2</f>
        <v>0</v>
      </c>
      <c r="I2092" s="10">
        <f>VLOOKUP(A2092,Presupuesto!$A:$F,6,0)</f>
        <v>0</v>
      </c>
      <c r="J2092" s="10">
        <f>+H2092-I2092</f>
        <v>0</v>
      </c>
    </row>
    <row r="2093" spans="1:10" ht="12.75" customHeight="1" thickTop="1">
      <c r="A2093" s="14"/>
      <c r="B2093" s="15" t="s">
        <v>2586</v>
      </c>
      <c r="C2093" s="15" t="s">
        <v>5</v>
      </c>
      <c r="D2093" s="16" t="s">
        <v>6</v>
      </c>
      <c r="E2093" s="17" t="s">
        <v>7</v>
      </c>
      <c r="F2093" s="18" t="s">
        <v>3728</v>
      </c>
      <c r="G2093" s="19" t="s">
        <v>3729</v>
      </c>
      <c r="H2093" s="20" t="s">
        <v>3797</v>
      </c>
    </row>
    <row r="2094" spans="1:10" ht="12.75" customHeight="1">
      <c r="A2094" s="21"/>
      <c r="B2094" s="22" t="s">
        <v>3730</v>
      </c>
      <c r="C2094" s="23"/>
      <c r="D2094" s="24"/>
      <c r="E2094" s="25"/>
      <c r="F2094" s="26"/>
      <c r="G2094" s="27">
        <f>SUM(G2095:G2099)</f>
        <v>0</v>
      </c>
      <c r="H2094" s="27">
        <f>IFERROR(G2094*E2092,"")</f>
        <v>0</v>
      </c>
    </row>
    <row r="2095" spans="1:10" ht="12.75" customHeight="1">
      <c r="A2095" s="28"/>
      <c r="B2095" s="29"/>
      <c r="C2095" s="30" t="str">
        <f>IFERROR(_xlfn.XLOOKUP(B2095,Insumo[DESCRIPCION],Insumo[UND],,0),"")</f>
        <v/>
      </c>
      <c r="D2095" s="31"/>
      <c r="E2095" s="32" t="str">
        <f>IFERROR(_xlfn.XLOOKUP($B2095,Insumo[DESCRIPCION],Insumo[VALOR],,0),"")</f>
        <v/>
      </c>
      <c r="F2095" s="33"/>
      <c r="G2095" s="34" t="str">
        <f>IFERROR(IF(F2095&gt;=0,D2095*E2095*(1+F2095/100),ABS(D2095*E2095/F2095)),"")</f>
        <v/>
      </c>
      <c r="H2095" s="43" t="str">
        <f>IFERROR(G2095*E2092,"")</f>
        <v/>
      </c>
    </row>
    <row r="2096" spans="1:10" ht="12.75" customHeight="1">
      <c r="A2096" s="28"/>
      <c r="B2096" s="29"/>
      <c r="C2096" s="30" t="str">
        <f>IFERROR(_xlfn.XLOOKUP(B2096,Insumo[DESCRIPCION],Insumo[UND],,0),"")</f>
        <v/>
      </c>
      <c r="D2096" s="31"/>
      <c r="E2096" s="32" t="str">
        <f>IFERROR(_xlfn.XLOOKUP($B2096,Insumo[DESCRIPCION],Insumo[VALOR],,0),"")</f>
        <v/>
      </c>
      <c r="F2096" s="33"/>
      <c r="G2096" s="34" t="str">
        <f>IFERROR(IF(F2096&gt;=0,D2096*E2096*(1+F2096/100),ABS(D2096*E2096/F2096)),"")</f>
        <v/>
      </c>
      <c r="H2096" s="43" t="str">
        <f>IFERROR(G2096*E2092,"")</f>
        <v/>
      </c>
    </row>
    <row r="2097" spans="1:10" ht="12.75" customHeight="1">
      <c r="A2097" s="28"/>
      <c r="B2097" s="29"/>
      <c r="C2097" s="30" t="str">
        <f>IFERROR(_xlfn.XLOOKUP(B2097,Insumo[DESCRIPCION],Insumo[UND],,0),"")</f>
        <v/>
      </c>
      <c r="D2097" s="31"/>
      <c r="E2097" s="32" t="str">
        <f>IFERROR(_xlfn.XLOOKUP($B2097,Insumo[DESCRIPCION],Insumo[VALOR],,0),"")</f>
        <v/>
      </c>
      <c r="F2097" s="33"/>
      <c r="G2097" s="34" t="str">
        <f>IFERROR(IF(F2097&gt;=0,D2097*E2097*(1+F2097/100),ABS(D2097*E2097/F2097)),"")</f>
        <v/>
      </c>
      <c r="H2097" s="43" t="str">
        <f>IFERROR(G2097*E2092,"")</f>
        <v/>
      </c>
    </row>
    <row r="2098" spans="1:10" ht="12.75" customHeight="1">
      <c r="A2098" s="28"/>
      <c r="B2098" s="29"/>
      <c r="C2098" s="30" t="str">
        <f>IFERROR(_xlfn.XLOOKUP(B2098,Insumo[DESCRIPCION],Insumo[UND],,0),"")</f>
        <v/>
      </c>
      <c r="D2098" s="31"/>
      <c r="E2098" s="32" t="str">
        <f>IFERROR(_xlfn.XLOOKUP($B2098,Insumo[DESCRIPCION],Insumo[VALOR],,0),"")</f>
        <v/>
      </c>
      <c r="F2098" s="33"/>
      <c r="G2098" s="34" t="str">
        <f>IFERROR(IF(F2098&gt;=0,D2098*E2098*(1+F2098/100),ABS(D2098*E2098/F2098)),"")</f>
        <v/>
      </c>
      <c r="H2098" s="43" t="str">
        <f>IFERROR(G2098*E2092,"")</f>
        <v/>
      </c>
    </row>
    <row r="2099" spans="1:10" ht="12.75" customHeight="1">
      <c r="A2099" s="28"/>
      <c r="B2099" s="29"/>
      <c r="C2099" s="30" t="str">
        <f>IFERROR(_xlfn.XLOOKUP(B2099,Insumo[DESCRIPCION],Insumo[UND],,0),"")</f>
        <v/>
      </c>
      <c r="D2099" s="31"/>
      <c r="E2099" s="32" t="str">
        <f>IFERROR(_xlfn.XLOOKUP($B2099,Insumo[DESCRIPCION],Insumo[VALOR],,0),"")</f>
        <v/>
      </c>
      <c r="F2099" s="33"/>
      <c r="G2099" s="34" t="str">
        <f>IFERROR(IF(F2099&gt;=0,D2099*E2099*(1+F2099/100),ABS(D2099*E2099/F2099)),"")</f>
        <v/>
      </c>
      <c r="H2099" s="43" t="str">
        <f>IFERROR(G2099*E2092,"")</f>
        <v/>
      </c>
    </row>
    <row r="2100" spans="1:10" ht="12.75" customHeight="1">
      <c r="A2100" s="21"/>
      <c r="B2100" s="22" t="s">
        <v>3731</v>
      </c>
      <c r="C2100" s="23"/>
      <c r="D2100" s="24"/>
      <c r="E2100" s="25"/>
      <c r="F2100" s="26"/>
      <c r="G2100" s="27">
        <f>SUM(G2101:G2103)</f>
        <v>1289.43700377</v>
      </c>
      <c r="H2100" s="44">
        <f>G2100*E2092</f>
        <v>0</v>
      </c>
    </row>
    <row r="2101" spans="1:10" ht="12.75" customHeight="1">
      <c r="A2101" s="28"/>
      <c r="B2101" s="29" t="s">
        <v>3633</v>
      </c>
      <c r="C2101" s="30" t="str">
        <f>IFERROR(_xlfn.XLOOKUP(B2101,Equipo[DESCRIPCION],Equipo[UND],,0),"")</f>
        <v>Hr</v>
      </c>
      <c r="D2101" s="31">
        <v>1</v>
      </c>
      <c r="E2101" s="32">
        <f>IF(C2101="%MO",G2107,IFERROR(_xlfn.XLOOKUP($B2101,Equipo[DESCRIPCION],Equipo[VALOR],,0),""))</f>
        <v>316537.2</v>
      </c>
      <c r="F2101" s="33">
        <v>-250</v>
      </c>
      <c r="G2101" s="34">
        <f>IFERROR(IF(F2101&gt;=0,D2101*E2101*(1+F2101/100),ABS(D2101*E2101/F2101)),"")</f>
        <v>1266.1487999999999</v>
      </c>
      <c r="H2101" s="43">
        <f>IFERROR(G2101*E2092,"")</f>
        <v>0</v>
      </c>
    </row>
    <row r="2102" spans="1:10" ht="12.75" customHeight="1">
      <c r="A2102" s="28"/>
      <c r="B2102" s="29" t="s">
        <v>3626</v>
      </c>
      <c r="C2102" s="30" t="str">
        <f>IFERROR(_xlfn.XLOOKUP(B2102,Equipo[DESCRIPCION],Equipo[UND],,0),"")</f>
        <v>%MO</v>
      </c>
      <c r="D2102" s="31">
        <v>0.05</v>
      </c>
      <c r="E2102" s="32">
        <f>IF(C2102="%MO",G2107,IFERROR(_xlfn.XLOOKUP($B2102,Equipo[DESCRIPCION],Equipo[VALOR],,0),""))</f>
        <v>465.76407540000008</v>
      </c>
      <c r="F2102" s="33"/>
      <c r="G2102" s="34">
        <f>IFERROR(IF(F2102&gt;=0,D2102*E2102*(1+F2102/100),ABS(D2102*E2102/F2102)),"")</f>
        <v>23.288203770000006</v>
      </c>
      <c r="H2102" s="43">
        <f>IFERROR(G2102*E2092,"")</f>
        <v>0</v>
      </c>
    </row>
    <row r="2103" spans="1:10" ht="12.75" customHeight="1">
      <c r="A2103" s="28"/>
      <c r="B2103" s="29"/>
      <c r="C2103" s="30" t="str">
        <f>IFERROR(_xlfn.XLOOKUP(B2103,Equipo[DESCRIPCION],Equipo[UND],,0),"")</f>
        <v/>
      </c>
      <c r="D2103" s="31"/>
      <c r="E2103" s="32" t="str">
        <f>IF(C2103="%MO",G2107,IFERROR(_xlfn.XLOOKUP($B2103,Equipo[DESCRIPCION],Equipo[VALOR],,0),""))</f>
        <v/>
      </c>
      <c r="F2103" s="33"/>
      <c r="G2103" s="34" t="str">
        <f>IFERROR(IF(F2103&gt;=0,D2103*E2103*(1+F2103/100),ABS(D2103*E2103/F2103)),"")</f>
        <v/>
      </c>
      <c r="H2103" s="43" t="str">
        <f>IFERROR(G2103*E2092,"")</f>
        <v/>
      </c>
    </row>
    <row r="2104" spans="1:10" ht="12.75" customHeight="1">
      <c r="A2104" s="21"/>
      <c r="B2104" s="22" t="s">
        <v>2533</v>
      </c>
      <c r="C2104" s="23"/>
      <c r="D2104" s="24"/>
      <c r="E2104" s="25"/>
      <c r="F2104" s="26"/>
      <c r="G2104" s="27">
        <f>SUM(G2105:G2106)</f>
        <v>0</v>
      </c>
      <c r="H2104" s="44">
        <f>G2104*E2092</f>
        <v>0</v>
      </c>
    </row>
    <row r="2105" spans="1:10" ht="12.75" customHeight="1">
      <c r="A2105" s="28"/>
      <c r="B2105" s="29"/>
      <c r="C2105" s="30" t="str">
        <f>IFERROR(_xlfn.XLOOKUP(B2105,Transporte[DESCRIPCION],Transporte[UND],,0),"")</f>
        <v/>
      </c>
      <c r="D2105" s="31"/>
      <c r="E2105" s="32" t="str">
        <f>IFERROR(_xlfn.XLOOKUP($B2105,Transporte[DESCRIPCION],Transporte[VALOR],,0),"")</f>
        <v/>
      </c>
      <c r="F2105" s="33"/>
      <c r="G2105" s="34" t="str">
        <f>IFERROR(IF(F2105&gt;=0,D2105*E2105*(1+F2105/100),ABS(D2105*E2105/F2105)),"")</f>
        <v/>
      </c>
      <c r="H2105" s="43" t="str">
        <f>IFERROR(G2105*E2092,"")</f>
        <v/>
      </c>
    </row>
    <row r="2106" spans="1:10" ht="12.75" customHeight="1">
      <c r="A2106" s="28"/>
      <c r="B2106" s="29"/>
      <c r="C2106" s="30" t="str">
        <f>IFERROR(_xlfn.XLOOKUP(B2106,Transporte[DESCRIPCION],Transporte[UND],,0),"")</f>
        <v/>
      </c>
      <c r="D2106" s="31"/>
      <c r="E2106" s="32" t="str">
        <f>IFERROR(_xlfn.XLOOKUP($B2106,Transporte[DESCRIPCION],Transporte[VALOR],,0),"")</f>
        <v/>
      </c>
      <c r="F2106" s="33"/>
      <c r="G2106" s="34" t="str">
        <f>IFERROR(IF(F2106&gt;=0,D2106*E2106*(1+F2106/100),ABS(D2106*E2106/F2106)),"")</f>
        <v/>
      </c>
      <c r="H2106" s="43" t="str">
        <f>IFERROR(G2106*E2092,"")</f>
        <v/>
      </c>
    </row>
    <row r="2107" spans="1:10" ht="12.75" customHeight="1">
      <c r="A2107" s="21"/>
      <c r="B2107" s="22" t="s">
        <v>3732</v>
      </c>
      <c r="C2107" s="23"/>
      <c r="D2107" s="24"/>
      <c r="E2107" s="25"/>
      <c r="F2107" s="26"/>
      <c r="G2107" s="27">
        <f>SUM(G2108:G2110)</f>
        <v>465.76407540000008</v>
      </c>
      <c r="H2107" s="44">
        <f>G2107*E2092</f>
        <v>0</v>
      </c>
    </row>
    <row r="2108" spans="1:10" ht="12.75" customHeight="1">
      <c r="A2108" s="28"/>
      <c r="B2108" s="29" t="s">
        <v>3698</v>
      </c>
      <c r="C2108" s="30" t="str">
        <f>IFERROR(_xlfn.XLOOKUP(B2108,MObra[DESCRIPCION],MObra[UN],,0),"")</f>
        <v>día</v>
      </c>
      <c r="D2108" s="31">
        <v>1</v>
      </c>
      <c r="E2108" s="32">
        <f>IFERROR(_xlfn.XLOOKUP($B2108,MObra[DESCRIPCION],MObra[VALOR UNIT],,0),"")</f>
        <v>116441.01885000002</v>
      </c>
      <c r="F2108" s="33">
        <v>-250</v>
      </c>
      <c r="G2108" s="34">
        <f>IFERROR(IF(F2108&gt;=0,D2108*E2108*(1+F2108/100),ABS(D2108*E2108/F2108)),"")</f>
        <v>465.76407540000008</v>
      </c>
      <c r="H2108" s="43">
        <f>IFERROR(G2108*E2092,"")</f>
        <v>0</v>
      </c>
    </row>
    <row r="2109" spans="1:10" ht="12.75" customHeight="1">
      <c r="A2109" s="28"/>
      <c r="B2109" s="29"/>
      <c r="C2109" s="30" t="str">
        <f t="array" ref="C2109">IFERROR(_xlfn.XLOOKUP(B2109,MObra[[#All],[DESCRIPCION]],MObra[[#All],[UN]],,0),"")</f>
        <v/>
      </c>
      <c r="D2109" s="31"/>
      <c r="E2109" s="32" t="str">
        <f>IFERROR(_xlfn.XLOOKUP($B2109,MObra[DESCRIPCION],MObra[VALOR UNIT],,0),"")</f>
        <v/>
      </c>
      <c r="F2109" s="33"/>
      <c r="G2109" s="34" t="str">
        <f>IFERROR(IF(F2109&gt;=0,D2109*E2109*(1+F2109/100),ABS(D2109*E2109/F2109)),"")</f>
        <v/>
      </c>
      <c r="H2109" s="43" t="str">
        <f>IFERROR(G2109*E2092,"")</f>
        <v/>
      </c>
    </row>
    <row r="2110" spans="1:10" ht="12.75" customHeight="1" thickBot="1">
      <c r="A2110" s="35"/>
      <c r="B2110" s="36"/>
      <c r="C2110" s="37" t="str">
        <f t="array" ref="C2110">IFERROR(_xlfn.XLOOKUP(B2110,MObra[[#All],[DESCRIPCION]],MObra[[#All],[UN]],,0),"")</f>
        <v/>
      </c>
      <c r="D2110" s="38"/>
      <c r="E2110" s="39" t="str">
        <f>IFERROR(_xlfn.XLOOKUP($B2110,MObra[DESCRIPCION],MObra[VALOR UNIT],,0),"")</f>
        <v/>
      </c>
      <c r="F2110" s="40"/>
      <c r="G2110" s="41" t="str">
        <f>IFERROR(IF(F2110&gt;=0,D2110*E2110*(1+F2110/100),ABS(D2110*E2110/F2110)),"")</f>
        <v/>
      </c>
      <c r="H2110" s="42" t="str">
        <f>IFERROR(G2110*E2092,"")</f>
        <v/>
      </c>
    </row>
    <row r="2111" spans="1:10" ht="12.75" customHeight="1" thickTop="1" thickBot="1">
      <c r="E2111" s="49"/>
      <c r="G2111" s="3"/>
    </row>
    <row r="2112" spans="1:10" ht="12.75" customHeight="1" thickTop="1" thickBot="1">
      <c r="A2112" s="6" t="s">
        <v>232</v>
      </c>
      <c r="B2112" s="7" t="str">
        <f>VLOOKUP($A2112,Presupuesto!$A:$D,2,FALSE())</f>
        <v>Excavación conglomerado seco H= 0-1.5 m manual</v>
      </c>
      <c r="C2112" s="8" t="str">
        <f>VLOOKUP($A2112,Presupuesto!$A:$D,3,FALSE())</f>
        <v>M3</v>
      </c>
      <c r="D2112" s="9"/>
      <c r="E2112" s="10">
        <f>VLOOKUP($A2112,Presupuesto!$A:$D,4,FALSE())</f>
        <v>0</v>
      </c>
      <c r="F2112" s="11" t="s">
        <v>2589</v>
      </c>
      <c r="G2112" s="12">
        <f>SUM(G2114:G2130)/2</f>
        <v>54394.590234214294</v>
      </c>
      <c r="H2112" s="13">
        <f>ROUND(SUM(H2114:H2130),0)/2</f>
        <v>0</v>
      </c>
      <c r="I2112" s="10">
        <f>VLOOKUP(A2112,Presupuesto!$A:$F,6,0)</f>
        <v>0</v>
      </c>
      <c r="J2112" s="10">
        <f>+H2112-I2112</f>
        <v>0</v>
      </c>
    </row>
    <row r="2113" spans="1:8" ht="12.75" customHeight="1" thickTop="1">
      <c r="A2113" s="14"/>
      <c r="B2113" s="15" t="s">
        <v>2586</v>
      </c>
      <c r="C2113" s="15" t="s">
        <v>5</v>
      </c>
      <c r="D2113" s="16" t="s">
        <v>6</v>
      </c>
      <c r="E2113" s="17" t="s">
        <v>7</v>
      </c>
      <c r="F2113" s="18" t="s">
        <v>3728</v>
      </c>
      <c r="G2113" s="19" t="s">
        <v>3729</v>
      </c>
      <c r="H2113" s="20" t="s">
        <v>3797</v>
      </c>
    </row>
    <row r="2114" spans="1:8" ht="12.75" customHeight="1">
      <c r="A2114" s="21"/>
      <c r="B2114" s="22" t="s">
        <v>3730</v>
      </c>
      <c r="C2114" s="23"/>
      <c r="D2114" s="24"/>
      <c r="E2114" s="25"/>
      <c r="F2114" s="26"/>
      <c r="G2114" s="27">
        <f>SUM(G2115:G2119)</f>
        <v>0</v>
      </c>
      <c r="H2114" s="27">
        <f>IFERROR(G2114*E2112,"")</f>
        <v>0</v>
      </c>
    </row>
    <row r="2115" spans="1:8" ht="12.75" customHeight="1">
      <c r="A2115" s="28"/>
      <c r="B2115" s="29"/>
      <c r="C2115" s="30" t="str">
        <f>IFERROR(_xlfn.XLOOKUP(B2115,Insumo[DESCRIPCION],Insumo[UND],,0),"")</f>
        <v/>
      </c>
      <c r="D2115" s="31"/>
      <c r="E2115" s="32" t="str">
        <f>IFERROR(_xlfn.XLOOKUP($B2115,Insumo[DESCRIPCION],Insumo[VALOR],,0),"")</f>
        <v/>
      </c>
      <c r="F2115" s="33"/>
      <c r="G2115" s="34" t="str">
        <f>IFERROR(IF(F2115&gt;=0,D2115*E2115*(1+F2115/100),ABS(D2115*E2115/F2115)),"")</f>
        <v/>
      </c>
      <c r="H2115" s="43" t="str">
        <f>IFERROR(G2115*E2112,"")</f>
        <v/>
      </c>
    </row>
    <row r="2116" spans="1:8" ht="12.75" customHeight="1">
      <c r="A2116" s="28"/>
      <c r="B2116" s="29"/>
      <c r="C2116" s="30" t="str">
        <f>IFERROR(_xlfn.XLOOKUP(B2116,Insumo[DESCRIPCION],Insumo[UND],,0),"")</f>
        <v/>
      </c>
      <c r="D2116" s="31"/>
      <c r="E2116" s="32" t="str">
        <f>IFERROR(_xlfn.XLOOKUP($B2116,Insumo[DESCRIPCION],Insumo[VALOR],,0),"")</f>
        <v/>
      </c>
      <c r="F2116" s="33"/>
      <c r="G2116" s="34" t="str">
        <f>IFERROR(IF(F2116&gt;=0,D2116*E2116*(1+F2116/100),ABS(D2116*E2116/F2116)),"")</f>
        <v/>
      </c>
      <c r="H2116" s="43" t="str">
        <f>IFERROR(G2116*E2112,"")</f>
        <v/>
      </c>
    </row>
    <row r="2117" spans="1:8" ht="12.75" customHeight="1">
      <c r="A2117" s="28"/>
      <c r="B2117" s="29"/>
      <c r="C2117" s="30" t="str">
        <f>IFERROR(_xlfn.XLOOKUP(B2117,Insumo[DESCRIPCION],Insumo[UND],,0),"")</f>
        <v/>
      </c>
      <c r="D2117" s="31"/>
      <c r="E2117" s="32" t="str">
        <f>IFERROR(_xlfn.XLOOKUP($B2117,Insumo[DESCRIPCION],Insumo[VALOR],,0),"")</f>
        <v/>
      </c>
      <c r="F2117" s="33"/>
      <c r="G2117" s="34" t="str">
        <f>IFERROR(IF(F2117&gt;=0,D2117*E2117*(1+F2117/100),ABS(D2117*E2117/F2117)),"")</f>
        <v/>
      </c>
      <c r="H2117" s="43" t="str">
        <f>IFERROR(G2117*E2112,"")</f>
        <v/>
      </c>
    </row>
    <row r="2118" spans="1:8" ht="12.75" customHeight="1">
      <c r="A2118" s="28"/>
      <c r="B2118" s="29"/>
      <c r="C2118" s="30" t="str">
        <f>IFERROR(_xlfn.XLOOKUP(B2118,Insumo[DESCRIPCION],Insumo[UND],,0),"")</f>
        <v/>
      </c>
      <c r="D2118" s="31"/>
      <c r="E2118" s="32" t="str">
        <f>IFERROR(_xlfn.XLOOKUP($B2118,Insumo[DESCRIPCION],Insumo[VALOR],,0),"")</f>
        <v/>
      </c>
      <c r="F2118" s="33"/>
      <c r="G2118" s="34" t="str">
        <f>IFERROR(IF(F2118&gt;=0,D2118*E2118*(1+F2118/100),ABS(D2118*E2118/F2118)),"")</f>
        <v/>
      </c>
      <c r="H2118" s="43" t="str">
        <f>IFERROR(G2118*E2112,"")</f>
        <v/>
      </c>
    </row>
    <row r="2119" spans="1:8" ht="12.75" customHeight="1">
      <c r="A2119" s="28"/>
      <c r="B2119" s="29"/>
      <c r="C2119" s="30" t="str">
        <f>IFERROR(_xlfn.XLOOKUP(B2119,Insumo[DESCRIPCION],Insumo[UND],,0),"")</f>
        <v/>
      </c>
      <c r="D2119" s="31"/>
      <c r="E2119" s="32" t="str">
        <f>IFERROR(_xlfn.XLOOKUP($B2119,Insumo[DESCRIPCION],Insumo[VALOR],,0),"")</f>
        <v/>
      </c>
      <c r="F2119" s="33"/>
      <c r="G2119" s="34" t="str">
        <f>IFERROR(IF(F2119&gt;=0,D2119*E2119*(1+F2119/100),ABS(D2119*E2119/F2119)),"")</f>
        <v/>
      </c>
      <c r="H2119" s="43" t="str">
        <f>IFERROR(G2119*E2112,"")</f>
        <v/>
      </c>
    </row>
    <row r="2120" spans="1:8" ht="12.75" customHeight="1">
      <c r="A2120" s="21"/>
      <c r="B2120" s="22" t="s">
        <v>3731</v>
      </c>
      <c r="C2120" s="23"/>
      <c r="D2120" s="24"/>
      <c r="E2120" s="25"/>
      <c r="F2120" s="26"/>
      <c r="G2120" s="27">
        <f>SUM(G2121:G2123)</f>
        <v>4491.2964413571444</v>
      </c>
      <c r="H2120" s="44">
        <f>G2120*E2112</f>
        <v>0</v>
      </c>
    </row>
    <row r="2121" spans="1:8" ht="12.75" customHeight="1">
      <c r="A2121" s="28"/>
      <c r="B2121" s="29" t="s">
        <v>3570</v>
      </c>
      <c r="C2121" s="30" t="str">
        <f>IFERROR(_xlfn.XLOOKUP(B2121,Equipo[DESCRIPCION],Equipo[UND],,0),"")</f>
        <v>%MO</v>
      </c>
      <c r="D2121" s="31">
        <v>0.04</v>
      </c>
      <c r="E2121" s="32">
        <f>IF(C2121="%MO",G2127,IFERROR(_xlfn.XLOOKUP($B2121,Equipo[DESCRIPCION],Equipo[VALOR],,0),""))</f>
        <v>49903.293792857155</v>
      </c>
      <c r="F2121" s="33"/>
      <c r="G2121" s="34">
        <f>IFERROR(IF(F2121&gt;=0,D2121*E2121*(1+F2121/100),ABS(D2121*E2121/F2121)),"")</f>
        <v>1996.1317517142863</v>
      </c>
      <c r="H2121" s="43">
        <f>IFERROR(G2121*E2112,"")</f>
        <v>0</v>
      </c>
    </row>
    <row r="2122" spans="1:8" ht="12.75" customHeight="1">
      <c r="A2122" s="28"/>
      <c r="B2122" s="29" t="s">
        <v>3626</v>
      </c>
      <c r="C2122" s="30" t="str">
        <f>IFERROR(_xlfn.XLOOKUP(B2122,Equipo[DESCRIPCION],Equipo[UND],,0),"")</f>
        <v>%MO</v>
      </c>
      <c r="D2122" s="31">
        <v>0.05</v>
      </c>
      <c r="E2122" s="32">
        <f>IF(C2122="%MO",G2127,IFERROR(_xlfn.XLOOKUP($B2122,Equipo[DESCRIPCION],Equipo[VALOR],,0),""))</f>
        <v>49903.293792857155</v>
      </c>
      <c r="F2122" s="33"/>
      <c r="G2122" s="34">
        <f>IFERROR(IF(F2122&gt;=0,D2122*E2122*(1+F2122/100),ABS(D2122*E2122/F2122)),"")</f>
        <v>2495.1646896428579</v>
      </c>
      <c r="H2122" s="43">
        <f>IFERROR(G2122*E2112,"")</f>
        <v>0</v>
      </c>
    </row>
    <row r="2123" spans="1:8" ht="12.75" customHeight="1">
      <c r="A2123" s="28"/>
      <c r="B2123" s="29"/>
      <c r="C2123" s="30" t="str">
        <f>IFERROR(_xlfn.XLOOKUP(B2123,Equipo[DESCRIPCION],Equipo[UND],,0),"")</f>
        <v/>
      </c>
      <c r="D2123" s="31"/>
      <c r="E2123" s="32" t="str">
        <f>IF(C2123="%MO",G2127,IFERROR(_xlfn.XLOOKUP($B2123,Equipo[DESCRIPCION],Equipo[VALOR],,0),""))</f>
        <v/>
      </c>
      <c r="F2123" s="33"/>
      <c r="G2123" s="34" t="str">
        <f>IFERROR(IF(F2123&gt;=0,D2123*E2123*(1+F2123/100),ABS(D2123*E2123/F2123)),"")</f>
        <v/>
      </c>
      <c r="H2123" s="43" t="str">
        <f>IFERROR(G2123*E2112,"")</f>
        <v/>
      </c>
    </row>
    <row r="2124" spans="1:8" ht="12.75" customHeight="1">
      <c r="A2124" s="21"/>
      <c r="B2124" s="22" t="s">
        <v>2533</v>
      </c>
      <c r="C2124" s="23"/>
      <c r="D2124" s="24"/>
      <c r="E2124" s="25"/>
      <c r="F2124" s="26"/>
      <c r="G2124" s="27">
        <f>SUM(G2125:G2126)</f>
        <v>0</v>
      </c>
      <c r="H2124" s="44">
        <f>G2124*E2112</f>
        <v>0</v>
      </c>
    </row>
    <row r="2125" spans="1:8" ht="12.75" customHeight="1">
      <c r="A2125" s="28"/>
      <c r="B2125" s="29"/>
      <c r="C2125" s="30" t="str">
        <f>IFERROR(_xlfn.XLOOKUP(B2125,Transporte[DESCRIPCION],Transporte[UND],,0),"")</f>
        <v/>
      </c>
      <c r="D2125" s="31"/>
      <c r="E2125" s="32" t="str">
        <f>IFERROR(_xlfn.XLOOKUP($B2125,Transporte[DESCRIPCION],Transporte[VALOR],,0),"")</f>
        <v/>
      </c>
      <c r="F2125" s="33"/>
      <c r="G2125" s="34" t="str">
        <f>IFERROR(IF(F2125&gt;=0,D2125*E2125*(1+F2125/100),ABS(D2125*E2125/F2125)),"")</f>
        <v/>
      </c>
      <c r="H2125" s="43" t="str">
        <f>IFERROR(G2125*E2112,"")</f>
        <v/>
      </c>
    </row>
    <row r="2126" spans="1:8" ht="12.75" customHeight="1">
      <c r="A2126" s="28"/>
      <c r="B2126" s="29"/>
      <c r="C2126" s="30" t="str">
        <f>IFERROR(_xlfn.XLOOKUP(B2126,Transporte[DESCRIPCION],Transporte[UND],,0),"")</f>
        <v/>
      </c>
      <c r="D2126" s="31"/>
      <c r="E2126" s="32" t="str">
        <f>IFERROR(_xlfn.XLOOKUP($B2126,Transporte[DESCRIPCION],Transporte[VALOR],,0),"")</f>
        <v/>
      </c>
      <c r="F2126" s="33"/>
      <c r="G2126" s="34" t="str">
        <f>IFERROR(IF(F2126&gt;=0,D2126*E2126*(1+F2126/100),ABS(D2126*E2126/F2126)),"")</f>
        <v/>
      </c>
      <c r="H2126" s="43" t="str">
        <f>IFERROR(G2126*E2112,"")</f>
        <v/>
      </c>
    </row>
    <row r="2127" spans="1:8" ht="12.75" customHeight="1">
      <c r="A2127" s="21"/>
      <c r="B2127" s="22" t="s">
        <v>3732</v>
      </c>
      <c r="C2127" s="23"/>
      <c r="D2127" s="24"/>
      <c r="E2127" s="25"/>
      <c r="F2127" s="26"/>
      <c r="G2127" s="27">
        <f>SUM(G2128:G2130)</f>
        <v>49903.293792857155</v>
      </c>
      <c r="H2127" s="44">
        <f>G2127*E2112</f>
        <v>0</v>
      </c>
    </row>
    <row r="2128" spans="1:8" ht="12.75" customHeight="1">
      <c r="A2128" s="28"/>
      <c r="B2128" s="29" t="s">
        <v>3722</v>
      </c>
      <c r="C2128" s="30" t="str">
        <f>IFERROR(_xlfn.XLOOKUP(B2128,MObra[DESCRIPCION],MObra[UN],,0),"")</f>
        <v>día</v>
      </c>
      <c r="D2128" s="31">
        <v>1</v>
      </c>
      <c r="E2128" s="32">
        <f>IFERROR(_xlfn.XLOOKUP($B2128,MObra[DESCRIPCION],MObra[VALOR UNIT],,0),"")</f>
        <v>349323.0565500001</v>
      </c>
      <c r="F2128" s="33">
        <v>-7</v>
      </c>
      <c r="G2128" s="34">
        <f>IFERROR(IF(F2128&gt;=0,D2128*E2128*(1+F2128/100),ABS(D2128*E2128/F2128)),"")</f>
        <v>49903.293792857155</v>
      </c>
      <c r="H2128" s="43">
        <f>IFERROR(G2128*E2112,"")</f>
        <v>0</v>
      </c>
    </row>
    <row r="2129" spans="1:10" ht="12.75" customHeight="1">
      <c r="A2129" s="28"/>
      <c r="B2129" s="29"/>
      <c r="C2129" s="30" t="str">
        <f t="array" ref="C2129">IFERROR(_xlfn.XLOOKUP(B2129,MObra[[#All],[DESCRIPCION]],MObra[[#All],[UN]],,0),"")</f>
        <v/>
      </c>
      <c r="D2129" s="31"/>
      <c r="E2129" s="32" t="str">
        <f>IFERROR(_xlfn.XLOOKUP($B2129,MObra[DESCRIPCION],MObra[VALOR UNIT],,0),"")</f>
        <v/>
      </c>
      <c r="F2129" s="33"/>
      <c r="G2129" s="34" t="str">
        <f>IFERROR(IF(F2129&gt;=0,D2129*E2129*(1+F2129/100),ABS(D2129*E2129/F2129)),"")</f>
        <v/>
      </c>
      <c r="H2129" s="43" t="str">
        <f>IFERROR(G2129*E2112,"")</f>
        <v/>
      </c>
    </row>
    <row r="2130" spans="1:10" ht="12.75" customHeight="1" thickBot="1">
      <c r="A2130" s="35"/>
      <c r="B2130" s="36"/>
      <c r="C2130" s="37" t="str">
        <f t="array" ref="C2130">IFERROR(_xlfn.XLOOKUP(B2130,MObra[[#All],[DESCRIPCION]],MObra[[#All],[UN]],,0),"")</f>
        <v/>
      </c>
      <c r="D2130" s="38"/>
      <c r="E2130" s="39" t="str">
        <f>IFERROR(_xlfn.XLOOKUP($B2130,MObra[DESCRIPCION],MObra[VALOR UNIT],,0),"")</f>
        <v/>
      </c>
      <c r="F2130" s="40"/>
      <c r="G2130" s="41" t="str">
        <f>IFERROR(IF(F2130&gt;=0,D2130*E2130*(1+F2130/100),ABS(D2130*E2130/F2130)),"")</f>
        <v/>
      </c>
      <c r="H2130" s="42" t="str">
        <f>IFERROR(G2130*E2112,"")</f>
        <v/>
      </c>
    </row>
    <row r="2131" spans="1:10" ht="12.75" customHeight="1" thickTop="1" thickBot="1">
      <c r="E2131" s="49"/>
      <c r="G2131" s="3"/>
    </row>
    <row r="2132" spans="1:10" ht="12.75" customHeight="1" thickTop="1" thickBot="1">
      <c r="A2132" s="6" t="s">
        <v>234</v>
      </c>
      <c r="B2132" s="7" t="str">
        <f>VLOOKUP($A2132,Presupuesto!$A:$D,2,FALSE())</f>
        <v>Excavación conglomerado seco H= 1,5-4 m manual</v>
      </c>
      <c r="C2132" s="8" t="str">
        <f>VLOOKUP($A2132,Presupuesto!$A:$D,3,FALSE())</f>
        <v>M3</v>
      </c>
      <c r="D2132" s="9"/>
      <c r="E2132" s="10">
        <f>VLOOKUP($A2132,Presupuesto!$A:$D,4,FALSE())</f>
        <v>0</v>
      </c>
      <c r="F2132" s="11" t="s">
        <v>2589</v>
      </c>
      <c r="G2132" s="12">
        <f>SUM(G2134:G2150)/2</f>
        <v>63460.355273250025</v>
      </c>
      <c r="H2132" s="13">
        <f>ROUND(SUM(H2134:H2150),0)/2</f>
        <v>0</v>
      </c>
      <c r="I2132" s="10">
        <f>VLOOKUP(A2132,Presupuesto!$A:$F,6,0)</f>
        <v>0</v>
      </c>
      <c r="J2132" s="10">
        <f>+H2132-I2132</f>
        <v>0</v>
      </c>
    </row>
    <row r="2133" spans="1:10" ht="12.75" customHeight="1" thickTop="1">
      <c r="A2133" s="14"/>
      <c r="B2133" s="15" t="s">
        <v>2586</v>
      </c>
      <c r="C2133" s="15" t="s">
        <v>5</v>
      </c>
      <c r="D2133" s="16" t="s">
        <v>6</v>
      </c>
      <c r="E2133" s="17" t="s">
        <v>7</v>
      </c>
      <c r="F2133" s="18" t="s">
        <v>3728</v>
      </c>
      <c r="G2133" s="19" t="s">
        <v>3729</v>
      </c>
      <c r="H2133" s="20" t="s">
        <v>3797</v>
      </c>
    </row>
    <row r="2134" spans="1:10" ht="12.75" customHeight="1">
      <c r="A2134" s="21"/>
      <c r="B2134" s="22" t="s">
        <v>3730</v>
      </c>
      <c r="C2134" s="23"/>
      <c r="D2134" s="24"/>
      <c r="E2134" s="25"/>
      <c r="F2134" s="26"/>
      <c r="G2134" s="27">
        <f>SUM(G2135:G2139)</f>
        <v>0</v>
      </c>
      <c r="H2134" s="27">
        <f>IFERROR(G2134*E2132,"")</f>
        <v>0</v>
      </c>
    </row>
    <row r="2135" spans="1:10" ht="12.75" customHeight="1">
      <c r="A2135" s="28"/>
      <c r="B2135" s="29"/>
      <c r="C2135" s="30" t="str">
        <f>IFERROR(_xlfn.XLOOKUP(B2135,Insumo[DESCRIPCION],Insumo[UND],,0),"")</f>
        <v/>
      </c>
      <c r="D2135" s="31"/>
      <c r="E2135" s="32" t="str">
        <f>IFERROR(_xlfn.XLOOKUP($B2135,Insumo[DESCRIPCION],Insumo[VALOR],,0),"")</f>
        <v/>
      </c>
      <c r="F2135" s="33"/>
      <c r="G2135" s="34" t="str">
        <f>IFERROR(IF(F2135&gt;=0,D2135*E2135*(1+F2135/100),ABS(D2135*E2135/F2135)),"")</f>
        <v/>
      </c>
      <c r="H2135" s="43" t="str">
        <f>IFERROR(G2135*E2132,"")</f>
        <v/>
      </c>
    </row>
    <row r="2136" spans="1:10" ht="12.75" customHeight="1">
      <c r="A2136" s="28"/>
      <c r="B2136" s="29"/>
      <c r="C2136" s="30" t="str">
        <f>IFERROR(_xlfn.XLOOKUP(B2136,Insumo[DESCRIPCION],Insumo[UND],,0),"")</f>
        <v/>
      </c>
      <c r="D2136" s="31"/>
      <c r="E2136" s="32" t="str">
        <f>IFERROR(_xlfn.XLOOKUP($B2136,Insumo[DESCRIPCION],Insumo[VALOR],,0),"")</f>
        <v/>
      </c>
      <c r="F2136" s="33"/>
      <c r="G2136" s="34" t="str">
        <f>IFERROR(IF(F2136&gt;=0,D2136*E2136*(1+F2136/100),ABS(D2136*E2136/F2136)),"")</f>
        <v/>
      </c>
      <c r="H2136" s="43" t="str">
        <f>IFERROR(G2136*E2132,"")</f>
        <v/>
      </c>
    </row>
    <row r="2137" spans="1:10" ht="12.75" customHeight="1">
      <c r="A2137" s="28"/>
      <c r="B2137" s="29"/>
      <c r="C2137" s="30" t="str">
        <f>IFERROR(_xlfn.XLOOKUP(B2137,Insumo[DESCRIPCION],Insumo[UND],,0),"")</f>
        <v/>
      </c>
      <c r="D2137" s="31"/>
      <c r="E2137" s="32" t="str">
        <f>IFERROR(_xlfn.XLOOKUP($B2137,Insumo[DESCRIPCION],Insumo[VALOR],,0),"")</f>
        <v/>
      </c>
      <c r="F2137" s="33"/>
      <c r="G2137" s="34" t="str">
        <f>IFERROR(IF(F2137&gt;=0,D2137*E2137*(1+F2137/100),ABS(D2137*E2137/F2137)),"")</f>
        <v/>
      </c>
      <c r="H2137" s="43" t="str">
        <f>IFERROR(G2137*E2132,"")</f>
        <v/>
      </c>
    </row>
    <row r="2138" spans="1:10" ht="12.75" customHeight="1">
      <c r="A2138" s="28"/>
      <c r="B2138" s="29"/>
      <c r="C2138" s="30" t="str">
        <f>IFERROR(_xlfn.XLOOKUP(B2138,Insumo[DESCRIPCION],Insumo[UND],,0),"")</f>
        <v/>
      </c>
      <c r="D2138" s="31"/>
      <c r="E2138" s="32" t="str">
        <f>IFERROR(_xlfn.XLOOKUP($B2138,Insumo[DESCRIPCION],Insumo[VALOR],,0),"")</f>
        <v/>
      </c>
      <c r="F2138" s="33"/>
      <c r="G2138" s="34" t="str">
        <f>IFERROR(IF(F2138&gt;=0,D2138*E2138*(1+F2138/100),ABS(D2138*E2138/F2138)),"")</f>
        <v/>
      </c>
      <c r="H2138" s="43" t="str">
        <f>IFERROR(G2138*E2132,"")</f>
        <v/>
      </c>
    </row>
    <row r="2139" spans="1:10" ht="12.75" customHeight="1">
      <c r="A2139" s="28"/>
      <c r="B2139" s="29"/>
      <c r="C2139" s="30" t="str">
        <f>IFERROR(_xlfn.XLOOKUP(B2139,Insumo[DESCRIPCION],Insumo[UND],,0),"")</f>
        <v/>
      </c>
      <c r="D2139" s="31"/>
      <c r="E2139" s="32" t="str">
        <f>IFERROR(_xlfn.XLOOKUP($B2139,Insumo[DESCRIPCION],Insumo[VALOR],,0),"")</f>
        <v/>
      </c>
      <c r="F2139" s="33"/>
      <c r="G2139" s="34" t="str">
        <f>IFERROR(IF(F2139&gt;=0,D2139*E2139*(1+F2139/100),ABS(D2139*E2139/F2139)),"")</f>
        <v/>
      </c>
      <c r="H2139" s="43" t="str">
        <f>IFERROR(G2139*E2132,"")</f>
        <v/>
      </c>
    </row>
    <row r="2140" spans="1:10" ht="12.75" customHeight="1">
      <c r="A2140" s="21"/>
      <c r="B2140" s="22" t="s">
        <v>3731</v>
      </c>
      <c r="C2140" s="23"/>
      <c r="D2140" s="24"/>
      <c r="E2140" s="25"/>
      <c r="F2140" s="26"/>
      <c r="G2140" s="27">
        <f>SUM(G2141:G2143)</f>
        <v>5239.8458482500018</v>
      </c>
      <c r="H2140" s="44">
        <f>G2140*E2132</f>
        <v>0</v>
      </c>
    </row>
    <row r="2141" spans="1:10" ht="12.75" customHeight="1">
      <c r="A2141" s="28"/>
      <c r="B2141" s="29" t="s">
        <v>3570</v>
      </c>
      <c r="C2141" s="30" t="str">
        <f>IFERROR(_xlfn.XLOOKUP(B2141,Equipo[DESCRIPCION],Equipo[UND],,0),"")</f>
        <v>%MO</v>
      </c>
      <c r="D2141" s="31">
        <v>0.04</v>
      </c>
      <c r="E2141" s="32">
        <f>IF(C2141="%MO",G2147,IFERROR(_xlfn.XLOOKUP($B2141,Equipo[DESCRIPCION],Equipo[VALOR],,0),""))</f>
        <v>58220.509425000018</v>
      </c>
      <c r="F2141" s="33"/>
      <c r="G2141" s="34">
        <f>IFERROR(IF(F2141&gt;=0,D2141*E2141*(1+F2141/100),ABS(D2141*E2141/F2141)),"")</f>
        <v>2328.8203770000009</v>
      </c>
      <c r="H2141" s="43">
        <f>IFERROR(G2141*E2132,"")</f>
        <v>0</v>
      </c>
    </row>
    <row r="2142" spans="1:10" ht="12.75" customHeight="1">
      <c r="A2142" s="28"/>
      <c r="B2142" s="29" t="s">
        <v>3626</v>
      </c>
      <c r="C2142" s="30" t="str">
        <f>IFERROR(_xlfn.XLOOKUP(B2142,Equipo[DESCRIPCION],Equipo[UND],,0),"")</f>
        <v>%MO</v>
      </c>
      <c r="D2142" s="31">
        <v>0.05</v>
      </c>
      <c r="E2142" s="32">
        <f>IF(C2142="%MO",G2147,IFERROR(_xlfn.XLOOKUP($B2142,Equipo[DESCRIPCION],Equipo[VALOR],,0),""))</f>
        <v>58220.509425000018</v>
      </c>
      <c r="F2142" s="33"/>
      <c r="G2142" s="34">
        <f>IFERROR(IF(F2142&gt;=0,D2142*E2142*(1+F2142/100),ABS(D2142*E2142/F2142)),"")</f>
        <v>2911.0254712500009</v>
      </c>
      <c r="H2142" s="43">
        <f>IFERROR(G2142*E2132,"")</f>
        <v>0</v>
      </c>
    </row>
    <row r="2143" spans="1:10" ht="12.75" customHeight="1">
      <c r="A2143" s="28"/>
      <c r="B2143" s="29"/>
      <c r="C2143" s="30" t="str">
        <f>IFERROR(_xlfn.XLOOKUP(B2143,Equipo[DESCRIPCION],Equipo[UND],,0),"")</f>
        <v/>
      </c>
      <c r="D2143" s="31"/>
      <c r="E2143" s="32" t="str">
        <f>IF(C2143="%MO",G2147,IFERROR(_xlfn.XLOOKUP($B2143,Equipo[DESCRIPCION],Equipo[VALOR],,0),""))</f>
        <v/>
      </c>
      <c r="F2143" s="33"/>
      <c r="G2143" s="34" t="str">
        <f>IFERROR(IF(F2143&gt;=0,D2143*E2143*(1+F2143/100),ABS(D2143*E2143/F2143)),"")</f>
        <v/>
      </c>
      <c r="H2143" s="43" t="str">
        <f>IFERROR(G2143*E2132,"")</f>
        <v/>
      </c>
    </row>
    <row r="2144" spans="1:10" ht="12.75" customHeight="1">
      <c r="A2144" s="21"/>
      <c r="B2144" s="22" t="s">
        <v>2533</v>
      </c>
      <c r="C2144" s="23"/>
      <c r="D2144" s="24"/>
      <c r="E2144" s="25"/>
      <c r="F2144" s="26"/>
      <c r="G2144" s="27">
        <f>SUM(G2145:G2146)</f>
        <v>0</v>
      </c>
      <c r="H2144" s="44">
        <f>G2144*E2132</f>
        <v>0</v>
      </c>
    </row>
    <row r="2145" spans="1:10" ht="12.75" customHeight="1">
      <c r="A2145" s="28"/>
      <c r="B2145" s="29"/>
      <c r="C2145" s="30" t="str">
        <f>IFERROR(_xlfn.XLOOKUP(B2145,Transporte[DESCRIPCION],Transporte[UND],,0),"")</f>
        <v/>
      </c>
      <c r="D2145" s="31"/>
      <c r="E2145" s="32" t="str">
        <f>IFERROR(_xlfn.XLOOKUP($B2145,Transporte[DESCRIPCION],Transporte[VALOR],,0),"")</f>
        <v/>
      </c>
      <c r="F2145" s="33"/>
      <c r="G2145" s="34" t="str">
        <f>IFERROR(IF(F2145&gt;=0,D2145*E2145*(1+F2145/100),ABS(D2145*E2145/F2145)),"")</f>
        <v/>
      </c>
      <c r="H2145" s="43" t="str">
        <f>IFERROR(G2145*E2132,"")</f>
        <v/>
      </c>
    </row>
    <row r="2146" spans="1:10" ht="12.75" customHeight="1">
      <c r="A2146" s="28"/>
      <c r="B2146" s="29"/>
      <c r="C2146" s="30" t="str">
        <f>IFERROR(_xlfn.XLOOKUP(B2146,Transporte[DESCRIPCION],Transporte[UND],,0),"")</f>
        <v/>
      </c>
      <c r="D2146" s="31"/>
      <c r="E2146" s="32" t="str">
        <f>IFERROR(_xlfn.XLOOKUP($B2146,Transporte[DESCRIPCION],Transporte[VALOR],,0),"")</f>
        <v/>
      </c>
      <c r="F2146" s="33"/>
      <c r="G2146" s="34" t="str">
        <f>IFERROR(IF(F2146&gt;=0,D2146*E2146*(1+F2146/100),ABS(D2146*E2146/F2146)),"")</f>
        <v/>
      </c>
      <c r="H2146" s="43" t="str">
        <f>IFERROR(G2146*E2132,"")</f>
        <v/>
      </c>
    </row>
    <row r="2147" spans="1:10" ht="12.75" customHeight="1">
      <c r="A2147" s="21"/>
      <c r="B2147" s="22" t="s">
        <v>3732</v>
      </c>
      <c r="C2147" s="23"/>
      <c r="D2147" s="24"/>
      <c r="E2147" s="25"/>
      <c r="F2147" s="26"/>
      <c r="G2147" s="27">
        <f>SUM(G2148:G2150)</f>
        <v>58220.509425000018</v>
      </c>
      <c r="H2147" s="44">
        <f>G2147*E2132</f>
        <v>0</v>
      </c>
    </row>
    <row r="2148" spans="1:10" ht="12.75" customHeight="1">
      <c r="A2148" s="28"/>
      <c r="B2148" s="29" t="s">
        <v>3722</v>
      </c>
      <c r="C2148" s="30" t="str">
        <f>IFERROR(_xlfn.XLOOKUP(B2148,MObra[DESCRIPCION],MObra[UN],,0),"")</f>
        <v>día</v>
      </c>
      <c r="D2148" s="31">
        <v>1</v>
      </c>
      <c r="E2148" s="32">
        <f>IFERROR(_xlfn.XLOOKUP($B2148,MObra[DESCRIPCION],MObra[VALOR UNIT],,0),"")</f>
        <v>349323.0565500001</v>
      </c>
      <c r="F2148" s="33">
        <v>-6</v>
      </c>
      <c r="G2148" s="34">
        <f>IFERROR(IF(F2148&gt;=0,D2148*E2148*(1+F2148/100),ABS(D2148*E2148/F2148)),"")</f>
        <v>58220.509425000018</v>
      </c>
      <c r="H2148" s="43">
        <f>IFERROR(G2148*E2132,"")</f>
        <v>0</v>
      </c>
    </row>
    <row r="2149" spans="1:10" ht="12.75" customHeight="1">
      <c r="A2149" s="28"/>
      <c r="B2149" s="29"/>
      <c r="C2149" s="30" t="str">
        <f t="array" ref="C2149">IFERROR(_xlfn.XLOOKUP(B2149,MObra[[#All],[DESCRIPCION]],MObra[[#All],[UN]],,0),"")</f>
        <v/>
      </c>
      <c r="D2149" s="31"/>
      <c r="E2149" s="32" t="str">
        <f>IFERROR(_xlfn.XLOOKUP($B2149,MObra[DESCRIPCION],MObra[VALOR UNIT],,0),"")</f>
        <v/>
      </c>
      <c r="F2149" s="33"/>
      <c r="G2149" s="34" t="str">
        <f>IFERROR(IF(F2149&gt;=0,D2149*E2149*(1+F2149/100),ABS(D2149*E2149/F2149)),"")</f>
        <v/>
      </c>
      <c r="H2149" s="43" t="str">
        <f>IFERROR(G2149*E2132,"")</f>
        <v/>
      </c>
    </row>
    <row r="2150" spans="1:10" ht="12.75" customHeight="1" thickBot="1">
      <c r="A2150" s="35"/>
      <c r="B2150" s="36"/>
      <c r="C2150" s="37" t="str">
        <f t="array" ref="C2150">IFERROR(_xlfn.XLOOKUP(B2150,MObra[[#All],[DESCRIPCION]],MObra[[#All],[UN]],,0),"")</f>
        <v/>
      </c>
      <c r="D2150" s="38"/>
      <c r="E2150" s="39" t="str">
        <f>IFERROR(_xlfn.XLOOKUP($B2150,MObra[DESCRIPCION],MObra[VALOR UNIT],,0),"")</f>
        <v/>
      </c>
      <c r="F2150" s="40"/>
      <c r="G2150" s="41" t="str">
        <f>IFERROR(IF(F2150&gt;=0,D2150*E2150*(1+F2150/100),ABS(D2150*E2150/F2150)),"")</f>
        <v/>
      </c>
      <c r="H2150" s="42" t="str">
        <f>IFERROR(G2150*E2132,"")</f>
        <v/>
      </c>
    </row>
    <row r="2151" spans="1:10" ht="12.75" customHeight="1" thickTop="1" thickBot="1">
      <c r="E2151" s="49"/>
      <c r="G2151" s="3"/>
    </row>
    <row r="2152" spans="1:10" ht="12.75" customHeight="1" thickTop="1" thickBot="1">
      <c r="A2152" s="6" t="s">
        <v>236</v>
      </c>
      <c r="B2152" s="7" t="str">
        <f>VLOOKUP($A2152,Presupuesto!$A:$D,2,FALSE())</f>
        <v>Excavación conglomerado seco H &gt;4 m manual</v>
      </c>
      <c r="C2152" s="8" t="str">
        <f>VLOOKUP($A2152,Presupuesto!$A:$D,3,FALSE())</f>
        <v>M3</v>
      </c>
      <c r="D2152" s="9"/>
      <c r="E2152" s="10">
        <f>VLOOKUP($A2152,Presupuesto!$A:$D,4,FALSE())</f>
        <v>0</v>
      </c>
      <c r="F2152" s="11" t="s">
        <v>2589</v>
      </c>
      <c r="G2152" s="12">
        <f>SUM(G2154:G2170)/2</f>
        <v>76152.42632790003</v>
      </c>
      <c r="H2152" s="13">
        <f>ROUND(SUM(H2154:H2170),0)/2</f>
        <v>0</v>
      </c>
      <c r="I2152" s="10">
        <f>VLOOKUP(A2152,Presupuesto!$A:$F,6,0)</f>
        <v>0</v>
      </c>
      <c r="J2152" s="10">
        <f>+H2152-I2152</f>
        <v>0</v>
      </c>
    </row>
    <row r="2153" spans="1:10" ht="12.75" customHeight="1" thickTop="1">
      <c r="A2153" s="14"/>
      <c r="B2153" s="15" t="s">
        <v>2586</v>
      </c>
      <c r="C2153" s="15" t="s">
        <v>5</v>
      </c>
      <c r="D2153" s="16" t="s">
        <v>6</v>
      </c>
      <c r="E2153" s="17" t="s">
        <v>7</v>
      </c>
      <c r="F2153" s="18" t="s">
        <v>3728</v>
      </c>
      <c r="G2153" s="19" t="s">
        <v>3729</v>
      </c>
      <c r="H2153" s="20" t="s">
        <v>3797</v>
      </c>
    </row>
    <row r="2154" spans="1:10" ht="12.75" customHeight="1">
      <c r="A2154" s="21"/>
      <c r="B2154" s="22" t="s">
        <v>3730</v>
      </c>
      <c r="C2154" s="23"/>
      <c r="D2154" s="24"/>
      <c r="E2154" s="25"/>
      <c r="F2154" s="26"/>
      <c r="G2154" s="27">
        <f>SUM(G2155:G2159)</f>
        <v>0</v>
      </c>
      <c r="H2154" s="27">
        <f>IFERROR(G2154*E2152,"")</f>
        <v>0</v>
      </c>
    </row>
    <row r="2155" spans="1:10" ht="12.75" customHeight="1">
      <c r="A2155" s="28"/>
      <c r="B2155" s="29"/>
      <c r="C2155" s="30" t="str">
        <f>IFERROR(_xlfn.XLOOKUP(B2155,Insumo[DESCRIPCION],Insumo[UND],,0),"")</f>
        <v/>
      </c>
      <c r="D2155" s="31"/>
      <c r="E2155" s="32" t="str">
        <f>IFERROR(_xlfn.XLOOKUP($B2155,Insumo[DESCRIPCION],Insumo[VALOR],,0),"")</f>
        <v/>
      </c>
      <c r="F2155" s="33"/>
      <c r="G2155" s="34" t="str">
        <f>IFERROR(IF(F2155&gt;=0,D2155*E2155*(1+F2155/100),ABS(D2155*E2155/F2155)),"")</f>
        <v/>
      </c>
      <c r="H2155" s="43" t="str">
        <f>IFERROR(G2155*E2152,"")</f>
        <v/>
      </c>
    </row>
    <row r="2156" spans="1:10" ht="12.75" customHeight="1">
      <c r="A2156" s="28"/>
      <c r="B2156" s="29"/>
      <c r="C2156" s="30" t="str">
        <f>IFERROR(_xlfn.XLOOKUP(B2156,Insumo[DESCRIPCION],Insumo[UND],,0),"")</f>
        <v/>
      </c>
      <c r="D2156" s="31"/>
      <c r="E2156" s="32" t="str">
        <f>IFERROR(_xlfn.XLOOKUP($B2156,Insumo[DESCRIPCION],Insumo[VALOR],,0),"")</f>
        <v/>
      </c>
      <c r="F2156" s="33"/>
      <c r="G2156" s="34" t="str">
        <f>IFERROR(IF(F2156&gt;=0,D2156*E2156*(1+F2156/100),ABS(D2156*E2156/F2156)),"")</f>
        <v/>
      </c>
      <c r="H2156" s="43" t="str">
        <f>IFERROR(G2156*E2152,"")</f>
        <v/>
      </c>
    </row>
    <row r="2157" spans="1:10" ht="12.75" customHeight="1">
      <c r="A2157" s="28"/>
      <c r="B2157" s="29"/>
      <c r="C2157" s="30" t="str">
        <f>IFERROR(_xlfn.XLOOKUP(B2157,Insumo[DESCRIPCION],Insumo[UND],,0),"")</f>
        <v/>
      </c>
      <c r="D2157" s="31"/>
      <c r="E2157" s="32" t="str">
        <f>IFERROR(_xlfn.XLOOKUP($B2157,Insumo[DESCRIPCION],Insumo[VALOR],,0),"")</f>
        <v/>
      </c>
      <c r="F2157" s="33"/>
      <c r="G2157" s="34" t="str">
        <f>IFERROR(IF(F2157&gt;=0,D2157*E2157*(1+F2157/100),ABS(D2157*E2157/F2157)),"")</f>
        <v/>
      </c>
      <c r="H2157" s="43" t="str">
        <f>IFERROR(G2157*E2152,"")</f>
        <v/>
      </c>
    </row>
    <row r="2158" spans="1:10" ht="12.75" customHeight="1">
      <c r="A2158" s="28"/>
      <c r="B2158" s="29"/>
      <c r="C2158" s="30" t="str">
        <f>IFERROR(_xlfn.XLOOKUP(B2158,Insumo[DESCRIPCION],Insumo[UND],,0),"")</f>
        <v/>
      </c>
      <c r="D2158" s="31"/>
      <c r="E2158" s="32" t="str">
        <f>IFERROR(_xlfn.XLOOKUP($B2158,Insumo[DESCRIPCION],Insumo[VALOR],,0),"")</f>
        <v/>
      </c>
      <c r="F2158" s="33"/>
      <c r="G2158" s="34" t="str">
        <f>IFERROR(IF(F2158&gt;=0,D2158*E2158*(1+F2158/100),ABS(D2158*E2158/F2158)),"")</f>
        <v/>
      </c>
      <c r="H2158" s="43" t="str">
        <f>IFERROR(G2158*E2152,"")</f>
        <v/>
      </c>
    </row>
    <row r="2159" spans="1:10" ht="12.75" customHeight="1">
      <c r="A2159" s="28"/>
      <c r="B2159" s="29"/>
      <c r="C2159" s="30" t="str">
        <f>IFERROR(_xlfn.XLOOKUP(B2159,Insumo[DESCRIPCION],Insumo[UND],,0),"")</f>
        <v/>
      </c>
      <c r="D2159" s="31"/>
      <c r="E2159" s="32" t="str">
        <f>IFERROR(_xlfn.XLOOKUP($B2159,Insumo[DESCRIPCION],Insumo[VALOR],,0),"")</f>
        <v/>
      </c>
      <c r="F2159" s="33"/>
      <c r="G2159" s="34" t="str">
        <f>IFERROR(IF(F2159&gt;=0,D2159*E2159*(1+F2159/100),ABS(D2159*E2159/F2159)),"")</f>
        <v/>
      </c>
      <c r="H2159" s="43" t="str">
        <f>IFERROR(G2159*E2152,"")</f>
        <v/>
      </c>
    </row>
    <row r="2160" spans="1:10" ht="12.75" customHeight="1">
      <c r="A2160" s="21"/>
      <c r="B2160" s="22" t="s">
        <v>3731</v>
      </c>
      <c r="C2160" s="23"/>
      <c r="D2160" s="24"/>
      <c r="E2160" s="25"/>
      <c r="F2160" s="26"/>
      <c r="G2160" s="27">
        <f>SUM(G2161:G2163)</f>
        <v>6287.8150179000022</v>
      </c>
      <c r="H2160" s="44">
        <f>G2160*E2152</f>
        <v>0</v>
      </c>
    </row>
    <row r="2161" spans="1:10" ht="12.75" customHeight="1">
      <c r="A2161" s="28"/>
      <c r="B2161" s="29" t="s">
        <v>3570</v>
      </c>
      <c r="C2161" s="30" t="str">
        <f>IFERROR(_xlfn.XLOOKUP(B2161,Equipo[DESCRIPCION],Equipo[UND],,0),"")</f>
        <v>%MO</v>
      </c>
      <c r="D2161" s="31">
        <v>0.04</v>
      </c>
      <c r="E2161" s="32">
        <f>IF(C2161="%MO",G2167,IFERROR(_xlfn.XLOOKUP($B2161,Equipo[DESCRIPCION],Equipo[VALOR],,0),""))</f>
        <v>69864.611310000022</v>
      </c>
      <c r="F2161" s="33"/>
      <c r="G2161" s="34">
        <f>IFERROR(IF(F2161&gt;=0,D2161*E2161*(1+F2161/100),ABS(D2161*E2161/F2161)),"")</f>
        <v>2794.5844524000008</v>
      </c>
      <c r="H2161" s="43">
        <f>IFERROR(G2161*E2152,"")</f>
        <v>0</v>
      </c>
    </row>
    <row r="2162" spans="1:10" ht="12.75" customHeight="1">
      <c r="A2162" s="28"/>
      <c r="B2162" s="29" t="s">
        <v>3626</v>
      </c>
      <c r="C2162" s="30" t="str">
        <f>IFERROR(_xlfn.XLOOKUP(B2162,Equipo[DESCRIPCION],Equipo[UND],,0),"")</f>
        <v>%MO</v>
      </c>
      <c r="D2162" s="31">
        <v>0.05</v>
      </c>
      <c r="E2162" s="32">
        <f>IF(C2162="%MO",G2167,IFERROR(_xlfn.XLOOKUP($B2162,Equipo[DESCRIPCION],Equipo[VALOR],,0),""))</f>
        <v>69864.611310000022</v>
      </c>
      <c r="F2162" s="33"/>
      <c r="G2162" s="34">
        <f>IFERROR(IF(F2162&gt;=0,D2162*E2162*(1+F2162/100),ABS(D2162*E2162/F2162)),"")</f>
        <v>3493.2305655000014</v>
      </c>
      <c r="H2162" s="43">
        <f>IFERROR(G2162*E2152,"")</f>
        <v>0</v>
      </c>
    </row>
    <row r="2163" spans="1:10" ht="12.75" customHeight="1">
      <c r="A2163" s="28"/>
      <c r="B2163" s="29"/>
      <c r="C2163" s="30" t="str">
        <f>IFERROR(_xlfn.XLOOKUP(B2163,Equipo[DESCRIPCION],Equipo[UND],,0),"")</f>
        <v/>
      </c>
      <c r="D2163" s="31"/>
      <c r="E2163" s="32" t="str">
        <f>IF(C2163="%MO",G2167,IFERROR(_xlfn.XLOOKUP($B2163,Equipo[DESCRIPCION],Equipo[VALOR],,0),""))</f>
        <v/>
      </c>
      <c r="F2163" s="33"/>
      <c r="G2163" s="34" t="str">
        <f>IFERROR(IF(F2163&gt;=0,D2163*E2163*(1+F2163/100),ABS(D2163*E2163/F2163)),"")</f>
        <v/>
      </c>
      <c r="H2163" s="43" t="str">
        <f>IFERROR(G2163*E2152,"")</f>
        <v/>
      </c>
    </row>
    <row r="2164" spans="1:10" ht="12.75" customHeight="1">
      <c r="A2164" s="21"/>
      <c r="B2164" s="22" t="s">
        <v>2533</v>
      </c>
      <c r="C2164" s="23"/>
      <c r="D2164" s="24"/>
      <c r="E2164" s="25"/>
      <c r="F2164" s="26"/>
      <c r="G2164" s="27">
        <f>SUM(G2165:G2166)</f>
        <v>0</v>
      </c>
      <c r="H2164" s="44">
        <f>G2164*E2152</f>
        <v>0</v>
      </c>
    </row>
    <row r="2165" spans="1:10" ht="12.75" customHeight="1">
      <c r="A2165" s="28"/>
      <c r="B2165" s="29"/>
      <c r="C2165" s="30" t="str">
        <f>IFERROR(_xlfn.XLOOKUP(B2165,Transporte[DESCRIPCION],Transporte[UND],,0),"")</f>
        <v/>
      </c>
      <c r="D2165" s="31"/>
      <c r="E2165" s="32" t="str">
        <f>IFERROR(_xlfn.XLOOKUP($B2165,Transporte[DESCRIPCION],Transporte[VALOR],,0),"")</f>
        <v/>
      </c>
      <c r="F2165" s="33"/>
      <c r="G2165" s="34" t="str">
        <f>IFERROR(IF(F2165&gt;=0,D2165*E2165*(1+F2165/100),ABS(D2165*E2165/F2165)),"")</f>
        <v/>
      </c>
      <c r="H2165" s="43" t="str">
        <f>IFERROR(G2165*E2152,"")</f>
        <v/>
      </c>
    </row>
    <row r="2166" spans="1:10" ht="12.75" customHeight="1">
      <c r="A2166" s="28"/>
      <c r="B2166" s="29"/>
      <c r="C2166" s="30" t="str">
        <f>IFERROR(_xlfn.XLOOKUP(B2166,Transporte[DESCRIPCION],Transporte[UND],,0),"")</f>
        <v/>
      </c>
      <c r="D2166" s="31"/>
      <c r="E2166" s="32" t="str">
        <f>IFERROR(_xlfn.XLOOKUP($B2166,Transporte[DESCRIPCION],Transporte[VALOR],,0),"")</f>
        <v/>
      </c>
      <c r="F2166" s="33"/>
      <c r="G2166" s="34" t="str">
        <f>IFERROR(IF(F2166&gt;=0,D2166*E2166*(1+F2166/100),ABS(D2166*E2166/F2166)),"")</f>
        <v/>
      </c>
      <c r="H2166" s="43" t="str">
        <f>IFERROR(G2166*E2152,"")</f>
        <v/>
      </c>
    </row>
    <row r="2167" spans="1:10" ht="12.75" customHeight="1">
      <c r="A2167" s="21"/>
      <c r="B2167" s="22" t="s">
        <v>3732</v>
      </c>
      <c r="C2167" s="23"/>
      <c r="D2167" s="24"/>
      <c r="E2167" s="25"/>
      <c r="F2167" s="26"/>
      <c r="G2167" s="27">
        <f>SUM(G2168:G2170)</f>
        <v>69864.611310000022</v>
      </c>
      <c r="H2167" s="44">
        <f>G2167*E2152</f>
        <v>0</v>
      </c>
    </row>
    <row r="2168" spans="1:10" ht="12.75" customHeight="1">
      <c r="A2168" s="28"/>
      <c r="B2168" s="29" t="s">
        <v>3722</v>
      </c>
      <c r="C2168" s="30" t="str">
        <f>IFERROR(_xlfn.XLOOKUP(B2168,MObra[DESCRIPCION],MObra[UN],,0),"")</f>
        <v>día</v>
      </c>
      <c r="D2168" s="31">
        <v>1</v>
      </c>
      <c r="E2168" s="32">
        <f>IFERROR(_xlfn.XLOOKUP($B2168,MObra[DESCRIPCION],MObra[VALOR UNIT],,0),"")</f>
        <v>349323.0565500001</v>
      </c>
      <c r="F2168" s="33">
        <v>-5</v>
      </c>
      <c r="G2168" s="34">
        <f>IFERROR(IF(F2168&gt;=0,D2168*E2168*(1+F2168/100),ABS(D2168*E2168/F2168)),"")</f>
        <v>69864.611310000022</v>
      </c>
      <c r="H2168" s="43">
        <f>IFERROR(G2168*E2152,"")</f>
        <v>0</v>
      </c>
    </row>
    <row r="2169" spans="1:10" ht="12.75" customHeight="1">
      <c r="A2169" s="28"/>
      <c r="B2169" s="29"/>
      <c r="C2169" s="30" t="str">
        <f t="array" ref="C2169">IFERROR(_xlfn.XLOOKUP(B2169,MObra[[#All],[DESCRIPCION]],MObra[[#All],[UN]],,0),"")</f>
        <v/>
      </c>
      <c r="D2169" s="31"/>
      <c r="E2169" s="32" t="str">
        <f>IFERROR(_xlfn.XLOOKUP($B2169,MObra[DESCRIPCION],MObra[VALOR UNIT],,0),"")</f>
        <v/>
      </c>
      <c r="F2169" s="33"/>
      <c r="G2169" s="34" t="str">
        <f>IFERROR(IF(F2169&gt;=0,D2169*E2169*(1+F2169/100),ABS(D2169*E2169/F2169)),"")</f>
        <v/>
      </c>
      <c r="H2169" s="43" t="str">
        <f>IFERROR(G2169*E2152,"")</f>
        <v/>
      </c>
    </row>
    <row r="2170" spans="1:10" ht="12.75" customHeight="1" thickBot="1">
      <c r="A2170" s="35"/>
      <c r="B2170" s="36"/>
      <c r="C2170" s="37" t="str">
        <f t="array" ref="C2170">IFERROR(_xlfn.XLOOKUP(B2170,MObra[[#All],[DESCRIPCION]],MObra[[#All],[UN]],,0),"")</f>
        <v/>
      </c>
      <c r="D2170" s="38"/>
      <c r="E2170" s="39" t="str">
        <f>IFERROR(_xlfn.XLOOKUP($B2170,MObra[DESCRIPCION],MObra[VALOR UNIT],,0),"")</f>
        <v/>
      </c>
      <c r="F2170" s="40"/>
      <c r="G2170" s="41" t="str">
        <f>IFERROR(IF(F2170&gt;=0,D2170*E2170*(1+F2170/100),ABS(D2170*E2170/F2170)),"")</f>
        <v/>
      </c>
      <c r="H2170" s="42" t="str">
        <f>IFERROR(G2170*E2152,"")</f>
        <v/>
      </c>
    </row>
    <row r="2171" spans="1:10" ht="12.75" customHeight="1" thickTop="1" thickBot="1">
      <c r="E2171" s="49"/>
      <c r="G2171" s="3"/>
    </row>
    <row r="2172" spans="1:10" ht="12.75" customHeight="1" thickTop="1" thickBot="1">
      <c r="A2172" s="6" t="s">
        <v>238</v>
      </c>
      <c r="B2172" s="7" t="str">
        <f>VLOOKUP($A2172,Presupuesto!$A:$D,2,FALSE())</f>
        <v>Excavación conglomerado bajo agua H=0-1,5 m manual</v>
      </c>
      <c r="C2172" s="8" t="str">
        <f>VLOOKUP($A2172,Presupuesto!$A:$D,3,FALSE())</f>
        <v>M3</v>
      </c>
      <c r="D2172" s="9"/>
      <c r="E2172" s="10">
        <f>VLOOKUP($A2172,Presupuesto!$A:$D,4,FALSE())</f>
        <v>0</v>
      </c>
      <c r="F2172" s="11" t="s">
        <v>2589</v>
      </c>
      <c r="G2172" s="12">
        <f>SUM(G2174:G2190)/2</f>
        <v>75495.097175307703</v>
      </c>
      <c r="H2172" s="13">
        <f>ROUND(SUM(H2174:H2190),0)/2</f>
        <v>0</v>
      </c>
      <c r="I2172" s="10">
        <f>VLOOKUP(A2172,Presupuesto!$A:$F,6,0)</f>
        <v>0</v>
      </c>
      <c r="J2172" s="10">
        <f>+H2172-I2172</f>
        <v>0</v>
      </c>
    </row>
    <row r="2173" spans="1:10" ht="12.75" customHeight="1" thickTop="1">
      <c r="A2173" s="14"/>
      <c r="B2173" s="15" t="s">
        <v>2586</v>
      </c>
      <c r="C2173" s="15" t="s">
        <v>5</v>
      </c>
      <c r="D2173" s="16" t="s">
        <v>6</v>
      </c>
      <c r="E2173" s="17" t="s">
        <v>7</v>
      </c>
      <c r="F2173" s="18" t="s">
        <v>3728</v>
      </c>
      <c r="G2173" s="19" t="s">
        <v>3729</v>
      </c>
      <c r="H2173" s="20" t="s">
        <v>3797</v>
      </c>
    </row>
    <row r="2174" spans="1:10" ht="12.75" customHeight="1">
      <c r="A2174" s="21"/>
      <c r="B2174" s="22" t="s">
        <v>3730</v>
      </c>
      <c r="C2174" s="23"/>
      <c r="D2174" s="24"/>
      <c r="E2174" s="25"/>
      <c r="F2174" s="26"/>
      <c r="G2174" s="27">
        <f>SUM(G2175:G2179)</f>
        <v>0</v>
      </c>
      <c r="H2174" s="27">
        <f>IFERROR(G2174*E2172,"")</f>
        <v>0</v>
      </c>
    </row>
    <row r="2175" spans="1:10" ht="12.75" customHeight="1">
      <c r="A2175" s="28"/>
      <c r="B2175" s="29"/>
      <c r="C2175" s="30" t="str">
        <f>IFERROR(_xlfn.XLOOKUP(B2175,Insumo[DESCRIPCION],Insumo[UND],,0),"")</f>
        <v/>
      </c>
      <c r="D2175" s="31"/>
      <c r="E2175" s="32" t="str">
        <f>IFERROR(_xlfn.XLOOKUP($B2175,Insumo[DESCRIPCION],Insumo[VALOR],,0),"")</f>
        <v/>
      </c>
      <c r="F2175" s="33"/>
      <c r="G2175" s="34" t="str">
        <f>IFERROR(IF(F2175&gt;=0,D2175*E2175*(1+F2175/100),ABS(D2175*E2175/F2175)),"")</f>
        <v/>
      </c>
      <c r="H2175" s="43" t="str">
        <f>IFERROR(G2175*E2172,"")</f>
        <v/>
      </c>
    </row>
    <row r="2176" spans="1:10" ht="12.75" customHeight="1">
      <c r="A2176" s="28"/>
      <c r="B2176" s="29"/>
      <c r="C2176" s="30" t="str">
        <f>IFERROR(_xlfn.XLOOKUP(B2176,Insumo[DESCRIPCION],Insumo[UND],,0),"")</f>
        <v/>
      </c>
      <c r="D2176" s="31"/>
      <c r="E2176" s="32" t="str">
        <f>IFERROR(_xlfn.XLOOKUP($B2176,Insumo[DESCRIPCION],Insumo[VALOR],,0),"")</f>
        <v/>
      </c>
      <c r="F2176" s="33"/>
      <c r="G2176" s="34" t="str">
        <f>IFERROR(IF(F2176&gt;=0,D2176*E2176*(1+F2176/100),ABS(D2176*E2176/F2176)),"")</f>
        <v/>
      </c>
      <c r="H2176" s="43" t="str">
        <f>IFERROR(G2176*E2172,"")</f>
        <v/>
      </c>
    </row>
    <row r="2177" spans="1:10" ht="12.75" customHeight="1">
      <c r="A2177" s="28"/>
      <c r="B2177" s="29"/>
      <c r="C2177" s="30" t="str">
        <f>IFERROR(_xlfn.XLOOKUP(B2177,Insumo[DESCRIPCION],Insumo[UND],,0),"")</f>
        <v/>
      </c>
      <c r="D2177" s="31"/>
      <c r="E2177" s="32" t="str">
        <f>IFERROR(_xlfn.XLOOKUP($B2177,Insumo[DESCRIPCION],Insumo[VALOR],,0),"")</f>
        <v/>
      </c>
      <c r="F2177" s="33"/>
      <c r="G2177" s="34" t="str">
        <f>IFERROR(IF(F2177&gt;=0,D2177*E2177*(1+F2177/100),ABS(D2177*E2177/F2177)),"")</f>
        <v/>
      </c>
      <c r="H2177" s="43" t="str">
        <f>IFERROR(G2177*E2172,"")</f>
        <v/>
      </c>
    </row>
    <row r="2178" spans="1:10" ht="12.75" customHeight="1">
      <c r="A2178" s="28"/>
      <c r="B2178" s="29"/>
      <c r="C2178" s="30" t="str">
        <f>IFERROR(_xlfn.XLOOKUP(B2178,Insumo[DESCRIPCION],Insumo[UND],,0),"")</f>
        <v/>
      </c>
      <c r="D2178" s="31"/>
      <c r="E2178" s="32" t="str">
        <f>IFERROR(_xlfn.XLOOKUP($B2178,Insumo[DESCRIPCION],Insumo[VALOR],,0),"")</f>
        <v/>
      </c>
      <c r="F2178" s="33"/>
      <c r="G2178" s="34" t="str">
        <f>IFERROR(IF(F2178&gt;=0,D2178*E2178*(1+F2178/100),ABS(D2178*E2178/F2178)),"")</f>
        <v/>
      </c>
      <c r="H2178" s="43" t="str">
        <f>IFERROR(G2178*E2172,"")</f>
        <v/>
      </c>
    </row>
    <row r="2179" spans="1:10" ht="12.75" customHeight="1">
      <c r="A2179" s="28"/>
      <c r="B2179" s="29"/>
      <c r="C2179" s="30" t="str">
        <f>IFERROR(_xlfn.XLOOKUP(B2179,Insumo[DESCRIPCION],Insumo[UND],,0),"")</f>
        <v/>
      </c>
      <c r="D2179" s="31"/>
      <c r="E2179" s="32" t="str">
        <f>IFERROR(_xlfn.XLOOKUP($B2179,Insumo[DESCRIPCION],Insumo[VALOR],,0),"")</f>
        <v/>
      </c>
      <c r="F2179" s="33"/>
      <c r="G2179" s="34" t="str">
        <f>IFERROR(IF(F2179&gt;=0,D2179*E2179*(1+F2179/100),ABS(D2179*E2179/F2179)),"")</f>
        <v/>
      </c>
      <c r="H2179" s="43" t="str">
        <f>IFERROR(G2179*E2172,"")</f>
        <v/>
      </c>
    </row>
    <row r="2180" spans="1:10" ht="12.75" customHeight="1">
      <c r="A2180" s="21"/>
      <c r="B2180" s="22" t="s">
        <v>3731</v>
      </c>
      <c r="C2180" s="23"/>
      <c r="D2180" s="24"/>
      <c r="E2180" s="25"/>
      <c r="F2180" s="26"/>
      <c r="G2180" s="27">
        <f>SUM(G2181:G2183)</f>
        <v>21753.088475307693</v>
      </c>
      <c r="H2180" s="44">
        <f>G2180*E2172</f>
        <v>0</v>
      </c>
    </row>
    <row r="2181" spans="1:10" ht="12.75" customHeight="1">
      <c r="A2181" s="28"/>
      <c r="B2181" s="29" t="s">
        <v>3632</v>
      </c>
      <c r="C2181" s="30" t="str">
        <f>IFERROR(_xlfn.XLOOKUP(B2181,Equipo[DESCRIPCION],Equipo[UND],,0),"")</f>
        <v>Día</v>
      </c>
      <c r="D2181" s="31">
        <v>1</v>
      </c>
      <c r="E2181" s="32">
        <f>IF(C2181="%MO",G2187,IFERROR(_xlfn.XLOOKUP($B2181,Equipo[DESCRIPCION],Equipo[VALOR],,0),""))</f>
        <v>109956</v>
      </c>
      <c r="F2181" s="33">
        <v>-6.5</v>
      </c>
      <c r="G2181" s="34">
        <f>IFERROR(IF(F2181&gt;=0,D2181*E2181*(1+F2181/100),ABS(D2181*E2181/F2181)),"")</f>
        <v>16916.307692307691</v>
      </c>
      <c r="H2181" s="43">
        <f>IFERROR(G2181*E2172,"")</f>
        <v>0</v>
      </c>
    </row>
    <row r="2182" spans="1:10" ht="12.75" customHeight="1">
      <c r="A2182" s="28"/>
      <c r="B2182" s="29" t="s">
        <v>3570</v>
      </c>
      <c r="C2182" s="30" t="str">
        <f>IFERROR(_xlfn.XLOOKUP(B2182,Equipo[DESCRIPCION],Equipo[UND],,0),"")</f>
        <v>%MO</v>
      </c>
      <c r="D2182" s="31">
        <v>0.04</v>
      </c>
      <c r="E2182" s="32">
        <f>IF(C2182="%MO",G2187,IFERROR(_xlfn.XLOOKUP($B2182,Equipo[DESCRIPCION],Equipo[VALOR],,0),""))</f>
        <v>53742.008700000013</v>
      </c>
      <c r="F2182" s="33"/>
      <c r="G2182" s="34">
        <f>IFERROR(IF(F2182&gt;=0,D2182*E2182*(1+F2182/100),ABS(D2182*E2182/F2182)),"")</f>
        <v>2149.6803480000008</v>
      </c>
      <c r="H2182" s="43">
        <f>IFERROR(G2182*E2172,"")</f>
        <v>0</v>
      </c>
    </row>
    <row r="2183" spans="1:10" ht="12.75" customHeight="1">
      <c r="A2183" s="28"/>
      <c r="B2183" s="29" t="s">
        <v>3626</v>
      </c>
      <c r="C2183" s="30" t="str">
        <f>IFERROR(_xlfn.XLOOKUP(B2183,Equipo[DESCRIPCION],Equipo[UND],,0),"")</f>
        <v>%MO</v>
      </c>
      <c r="D2183" s="31">
        <v>0.05</v>
      </c>
      <c r="E2183" s="32">
        <f>IF(C2183="%MO",G2187,IFERROR(_xlfn.XLOOKUP($B2183,Equipo[DESCRIPCION],Equipo[VALOR],,0),""))</f>
        <v>53742.008700000013</v>
      </c>
      <c r="F2183" s="33"/>
      <c r="G2183" s="34">
        <f>IFERROR(IF(F2183&gt;=0,D2183*E2183*(1+F2183/100),ABS(D2183*E2183/F2183)),"")</f>
        <v>2687.1004350000007</v>
      </c>
      <c r="H2183" s="43">
        <f>IFERROR(G2183*E2172,"")</f>
        <v>0</v>
      </c>
    </row>
    <row r="2184" spans="1:10" ht="12.75" customHeight="1">
      <c r="A2184" s="21"/>
      <c r="B2184" s="22" t="s">
        <v>2533</v>
      </c>
      <c r="C2184" s="23"/>
      <c r="D2184" s="24"/>
      <c r="E2184" s="25"/>
      <c r="F2184" s="26"/>
      <c r="G2184" s="27">
        <f>SUM(G2185:G2186)</f>
        <v>0</v>
      </c>
      <c r="H2184" s="44">
        <f>G2184*E2172</f>
        <v>0</v>
      </c>
    </row>
    <row r="2185" spans="1:10" ht="12.75" customHeight="1">
      <c r="A2185" s="28"/>
      <c r="B2185" s="29"/>
      <c r="C2185" s="30" t="str">
        <f>IFERROR(_xlfn.XLOOKUP(B2185,Transporte[DESCRIPCION],Transporte[UND],,0),"")</f>
        <v/>
      </c>
      <c r="D2185" s="31"/>
      <c r="E2185" s="32" t="str">
        <f>IFERROR(_xlfn.XLOOKUP($B2185,Transporte[DESCRIPCION],Transporte[VALOR],,0),"")</f>
        <v/>
      </c>
      <c r="F2185" s="33"/>
      <c r="G2185" s="34" t="str">
        <f>IFERROR(IF(F2185&gt;=0,D2185*E2185*(1+F2185/100),ABS(D2185*E2185/F2185)),"")</f>
        <v/>
      </c>
      <c r="H2185" s="43" t="str">
        <f>IFERROR(G2185*E2172,"")</f>
        <v/>
      </c>
    </row>
    <row r="2186" spans="1:10" ht="12.75" customHeight="1">
      <c r="A2186" s="28"/>
      <c r="B2186" s="29"/>
      <c r="C2186" s="30" t="str">
        <f>IFERROR(_xlfn.XLOOKUP(B2186,Transporte[DESCRIPCION],Transporte[UND],,0),"")</f>
        <v/>
      </c>
      <c r="D2186" s="31"/>
      <c r="E2186" s="32" t="str">
        <f>IFERROR(_xlfn.XLOOKUP($B2186,Transporte[DESCRIPCION],Transporte[VALOR],,0),"")</f>
        <v/>
      </c>
      <c r="F2186" s="33"/>
      <c r="G2186" s="34" t="str">
        <f>IFERROR(IF(F2186&gt;=0,D2186*E2186*(1+F2186/100),ABS(D2186*E2186/F2186)),"")</f>
        <v/>
      </c>
      <c r="H2186" s="43" t="str">
        <f>IFERROR(G2186*E2172,"")</f>
        <v/>
      </c>
    </row>
    <row r="2187" spans="1:10" ht="12.75" customHeight="1">
      <c r="A2187" s="21"/>
      <c r="B2187" s="22" t="s">
        <v>3732</v>
      </c>
      <c r="C2187" s="23"/>
      <c r="D2187" s="24"/>
      <c r="E2187" s="25"/>
      <c r="F2187" s="26"/>
      <c r="G2187" s="27">
        <f>SUM(G2188:G2190)</f>
        <v>53742.008700000013</v>
      </c>
      <c r="H2187" s="44">
        <f>G2187*E2172</f>
        <v>0</v>
      </c>
    </row>
    <row r="2188" spans="1:10" ht="12.75" customHeight="1">
      <c r="A2188" s="28"/>
      <c r="B2188" s="29" t="s">
        <v>3722</v>
      </c>
      <c r="C2188" s="30" t="str">
        <f>IFERROR(_xlfn.XLOOKUP(B2188,MObra[DESCRIPCION],MObra[UN],,0),"")</f>
        <v>día</v>
      </c>
      <c r="D2188" s="31">
        <v>1</v>
      </c>
      <c r="E2188" s="32">
        <f>IFERROR(_xlfn.XLOOKUP($B2188,MObra[DESCRIPCION],MObra[VALOR UNIT],,0),"")</f>
        <v>349323.0565500001</v>
      </c>
      <c r="F2188" s="33">
        <v>-6.5</v>
      </c>
      <c r="G2188" s="34">
        <f>IFERROR(IF(F2188&gt;=0,D2188*E2188*(1+F2188/100),ABS(D2188*E2188/F2188)),"")</f>
        <v>53742.008700000013</v>
      </c>
      <c r="H2188" s="43">
        <f>IFERROR(G2188*E2172,"")</f>
        <v>0</v>
      </c>
    </row>
    <row r="2189" spans="1:10" ht="12.75" customHeight="1">
      <c r="A2189" s="28"/>
      <c r="B2189" s="29"/>
      <c r="C2189" s="30" t="str">
        <f t="array" ref="C2189">IFERROR(_xlfn.XLOOKUP(B2189,MObra[[#All],[DESCRIPCION]],MObra[[#All],[UN]],,0),"")</f>
        <v/>
      </c>
      <c r="D2189" s="31"/>
      <c r="E2189" s="32" t="str">
        <f>IFERROR(_xlfn.XLOOKUP($B2189,MObra[DESCRIPCION],MObra[VALOR UNIT],,0),"")</f>
        <v/>
      </c>
      <c r="F2189" s="33"/>
      <c r="G2189" s="34" t="str">
        <f>IFERROR(IF(F2189&gt;=0,D2189*E2189*(1+F2189/100),ABS(D2189*E2189/F2189)),"")</f>
        <v/>
      </c>
      <c r="H2189" s="43" t="str">
        <f>IFERROR(G2189*E2172,"")</f>
        <v/>
      </c>
    </row>
    <row r="2190" spans="1:10" ht="12.75" customHeight="1" thickBot="1">
      <c r="A2190" s="35"/>
      <c r="B2190" s="36"/>
      <c r="C2190" s="37" t="str">
        <f t="array" ref="C2190">IFERROR(_xlfn.XLOOKUP(B2190,MObra[[#All],[DESCRIPCION]],MObra[[#All],[UN]],,0),"")</f>
        <v/>
      </c>
      <c r="D2190" s="38"/>
      <c r="E2190" s="39" t="str">
        <f>IFERROR(_xlfn.XLOOKUP($B2190,MObra[DESCRIPCION],MObra[VALOR UNIT],,0),"")</f>
        <v/>
      </c>
      <c r="F2190" s="40"/>
      <c r="G2190" s="41" t="str">
        <f>IFERROR(IF(F2190&gt;=0,D2190*E2190*(1+F2190/100),ABS(D2190*E2190/F2190)),"")</f>
        <v/>
      </c>
      <c r="H2190" s="42" t="str">
        <f>IFERROR(G2190*E2172,"")</f>
        <v/>
      </c>
    </row>
    <row r="2191" spans="1:10" ht="12.75" customHeight="1" thickTop="1" thickBot="1">
      <c r="E2191" s="49"/>
      <c r="G2191" s="3"/>
    </row>
    <row r="2192" spans="1:10" ht="12.75" customHeight="1" thickTop="1" thickBot="1">
      <c r="A2192" s="6" t="s">
        <v>240</v>
      </c>
      <c r="B2192" s="7" t="str">
        <f>VLOOKUP($A2192,Presupuesto!$A:$D,2,FALSE())</f>
        <v>Excavación conglomerado bajo agua H=1,5-4 m manual</v>
      </c>
      <c r="C2192" s="8" t="str">
        <f>VLOOKUP($A2192,Presupuesto!$A:$D,3,FALSE())</f>
        <v>M3</v>
      </c>
      <c r="D2192" s="9"/>
      <c r="E2192" s="10">
        <f>VLOOKUP($A2192,Presupuesto!$A:$D,4,FALSE())</f>
        <v>0</v>
      </c>
      <c r="F2192" s="11" t="s">
        <v>2589</v>
      </c>
      <c r="G2192" s="12">
        <f>SUM(G2194:G2210)/2</f>
        <v>89221.478479909114</v>
      </c>
      <c r="H2192" s="13">
        <f>ROUND(SUM(H2194:H2210),0)/2</f>
        <v>0</v>
      </c>
      <c r="I2192" s="10">
        <f>VLOOKUP(A2192,Presupuesto!$A:$F,6,0)</f>
        <v>0</v>
      </c>
      <c r="J2192" s="10">
        <f>+H2192-I2192</f>
        <v>0</v>
      </c>
    </row>
    <row r="2193" spans="1:8" ht="12.75" customHeight="1" thickTop="1">
      <c r="A2193" s="14"/>
      <c r="B2193" s="15" t="s">
        <v>2586</v>
      </c>
      <c r="C2193" s="15" t="s">
        <v>5</v>
      </c>
      <c r="D2193" s="16" t="s">
        <v>6</v>
      </c>
      <c r="E2193" s="17" t="s">
        <v>7</v>
      </c>
      <c r="F2193" s="18" t="s">
        <v>3728</v>
      </c>
      <c r="G2193" s="19" t="s">
        <v>3729</v>
      </c>
      <c r="H2193" s="20" t="s">
        <v>3797</v>
      </c>
    </row>
    <row r="2194" spans="1:8" ht="12.75" customHeight="1">
      <c r="A2194" s="21"/>
      <c r="B2194" s="22" t="s">
        <v>3730</v>
      </c>
      <c r="C2194" s="23"/>
      <c r="D2194" s="24"/>
      <c r="E2194" s="25"/>
      <c r="F2194" s="26"/>
      <c r="G2194" s="27">
        <f>SUM(G2195:G2199)</f>
        <v>0</v>
      </c>
      <c r="H2194" s="27">
        <f>IFERROR(G2194*E2192,"")</f>
        <v>0</v>
      </c>
    </row>
    <row r="2195" spans="1:8" ht="12.75" customHeight="1">
      <c r="A2195" s="28"/>
      <c r="B2195" s="29"/>
      <c r="C2195" s="30" t="str">
        <f>IFERROR(_xlfn.XLOOKUP(B2195,Insumo[DESCRIPCION],Insumo[UND],,0),"")</f>
        <v/>
      </c>
      <c r="D2195" s="31"/>
      <c r="E2195" s="32" t="str">
        <f>IFERROR(_xlfn.XLOOKUP($B2195,Insumo[DESCRIPCION],Insumo[VALOR],,0),"")</f>
        <v/>
      </c>
      <c r="F2195" s="33"/>
      <c r="G2195" s="34" t="str">
        <f>IFERROR(IF(F2195&gt;=0,D2195*E2195*(1+F2195/100),ABS(D2195*E2195/F2195)),"")</f>
        <v/>
      </c>
      <c r="H2195" s="43" t="str">
        <f>IFERROR(G2195*E2192,"")</f>
        <v/>
      </c>
    </row>
    <row r="2196" spans="1:8" ht="12.75" customHeight="1">
      <c r="A2196" s="28"/>
      <c r="B2196" s="29"/>
      <c r="C2196" s="30" t="str">
        <f>IFERROR(_xlfn.XLOOKUP(B2196,Insumo[DESCRIPCION],Insumo[UND],,0),"")</f>
        <v/>
      </c>
      <c r="D2196" s="31"/>
      <c r="E2196" s="32" t="str">
        <f>IFERROR(_xlfn.XLOOKUP($B2196,Insumo[DESCRIPCION],Insumo[VALOR],,0),"")</f>
        <v/>
      </c>
      <c r="F2196" s="33"/>
      <c r="G2196" s="34" t="str">
        <f>IFERROR(IF(F2196&gt;=0,D2196*E2196*(1+F2196/100),ABS(D2196*E2196/F2196)),"")</f>
        <v/>
      </c>
      <c r="H2196" s="43" t="str">
        <f>IFERROR(G2196*E2192,"")</f>
        <v/>
      </c>
    </row>
    <row r="2197" spans="1:8" ht="12.75" customHeight="1">
      <c r="A2197" s="28"/>
      <c r="B2197" s="29"/>
      <c r="C2197" s="30" t="str">
        <f>IFERROR(_xlfn.XLOOKUP(B2197,Insumo[DESCRIPCION],Insumo[UND],,0),"")</f>
        <v/>
      </c>
      <c r="D2197" s="31"/>
      <c r="E2197" s="32" t="str">
        <f>IFERROR(_xlfn.XLOOKUP($B2197,Insumo[DESCRIPCION],Insumo[VALOR],,0),"")</f>
        <v/>
      </c>
      <c r="F2197" s="33"/>
      <c r="G2197" s="34" t="str">
        <f>IFERROR(IF(F2197&gt;=0,D2197*E2197*(1+F2197/100),ABS(D2197*E2197/F2197)),"")</f>
        <v/>
      </c>
      <c r="H2197" s="43" t="str">
        <f>IFERROR(G2197*E2192,"")</f>
        <v/>
      </c>
    </row>
    <row r="2198" spans="1:8" ht="12.75" customHeight="1">
      <c r="A2198" s="28"/>
      <c r="B2198" s="29"/>
      <c r="C2198" s="30" t="str">
        <f>IFERROR(_xlfn.XLOOKUP(B2198,Insumo[DESCRIPCION],Insumo[UND],,0),"")</f>
        <v/>
      </c>
      <c r="D2198" s="31"/>
      <c r="E2198" s="32" t="str">
        <f>IFERROR(_xlfn.XLOOKUP($B2198,Insumo[DESCRIPCION],Insumo[VALOR],,0),"")</f>
        <v/>
      </c>
      <c r="F2198" s="33"/>
      <c r="G2198" s="34" t="str">
        <f>IFERROR(IF(F2198&gt;=0,D2198*E2198*(1+F2198/100),ABS(D2198*E2198/F2198)),"")</f>
        <v/>
      </c>
      <c r="H2198" s="43" t="str">
        <f>IFERROR(G2198*E2192,"")</f>
        <v/>
      </c>
    </row>
    <row r="2199" spans="1:8" ht="12.75" customHeight="1">
      <c r="A2199" s="28"/>
      <c r="B2199" s="29"/>
      <c r="C2199" s="30" t="str">
        <f>IFERROR(_xlfn.XLOOKUP(B2199,Insumo[DESCRIPCION],Insumo[UND],,0),"")</f>
        <v/>
      </c>
      <c r="D2199" s="31"/>
      <c r="E2199" s="32" t="str">
        <f>IFERROR(_xlfn.XLOOKUP($B2199,Insumo[DESCRIPCION],Insumo[VALOR],,0),"")</f>
        <v/>
      </c>
      <c r="F2199" s="33"/>
      <c r="G2199" s="34" t="str">
        <f>IFERROR(IF(F2199&gt;=0,D2199*E2199*(1+F2199/100),ABS(D2199*E2199/F2199)),"")</f>
        <v/>
      </c>
      <c r="H2199" s="43" t="str">
        <f>IFERROR(G2199*E2192,"")</f>
        <v/>
      </c>
    </row>
    <row r="2200" spans="1:8" ht="12.75" customHeight="1">
      <c r="A2200" s="21"/>
      <c r="B2200" s="22" t="s">
        <v>3731</v>
      </c>
      <c r="C2200" s="23"/>
      <c r="D2200" s="24"/>
      <c r="E2200" s="25"/>
      <c r="F2200" s="26"/>
      <c r="G2200" s="27">
        <f>SUM(G2201:G2203)</f>
        <v>25708.195470818184</v>
      </c>
      <c r="H2200" s="44">
        <f>G2200*E2192</f>
        <v>0</v>
      </c>
    </row>
    <row r="2201" spans="1:8" ht="12.75" customHeight="1">
      <c r="A2201" s="28"/>
      <c r="B2201" s="29" t="s">
        <v>3632</v>
      </c>
      <c r="C2201" s="30" t="str">
        <f>IFERROR(_xlfn.XLOOKUP(B2201,Equipo[DESCRIPCION],Equipo[UND],,0),"")</f>
        <v>Día</v>
      </c>
      <c r="D2201" s="31">
        <v>1</v>
      </c>
      <c r="E2201" s="32">
        <f>IF(C2201="%MO",G2207,IFERROR(_xlfn.XLOOKUP($B2201,Equipo[DESCRIPCION],Equipo[VALOR],,0),""))</f>
        <v>109956</v>
      </c>
      <c r="F2201" s="33">
        <v>-5.5</v>
      </c>
      <c r="G2201" s="34">
        <f>IFERROR(IF(F2201&gt;=0,D2201*E2201*(1+F2201/100),ABS(D2201*E2201/F2201)),"")</f>
        <v>19992</v>
      </c>
      <c r="H2201" s="43">
        <f>IFERROR(G2201*E2192,"")</f>
        <v>0</v>
      </c>
    </row>
    <row r="2202" spans="1:8" ht="12.75" customHeight="1">
      <c r="A2202" s="28"/>
      <c r="B2202" s="29" t="s">
        <v>3570</v>
      </c>
      <c r="C2202" s="30" t="str">
        <f>IFERROR(_xlfn.XLOOKUP(B2202,Equipo[DESCRIPCION],Equipo[UND],,0),"")</f>
        <v>%MO</v>
      </c>
      <c r="D2202" s="31">
        <v>0.04</v>
      </c>
      <c r="E2202" s="32">
        <f>IF(C2202="%MO",G2207,IFERROR(_xlfn.XLOOKUP($B2202,Equipo[DESCRIPCION],Equipo[VALOR],,0),""))</f>
        <v>63513.283009090926</v>
      </c>
      <c r="F2202" s="33"/>
      <c r="G2202" s="34">
        <f>IFERROR(IF(F2202&gt;=0,D2202*E2202*(1+F2202/100),ABS(D2202*E2202/F2202)),"")</f>
        <v>2540.531320363637</v>
      </c>
      <c r="H2202" s="43">
        <f>IFERROR(G2202*E2192,"")</f>
        <v>0</v>
      </c>
    </row>
    <row r="2203" spans="1:8" ht="12.75" customHeight="1">
      <c r="A2203" s="28"/>
      <c r="B2203" s="29" t="s">
        <v>3626</v>
      </c>
      <c r="C2203" s="30" t="str">
        <f>IFERROR(_xlfn.XLOOKUP(B2203,Equipo[DESCRIPCION],Equipo[UND],,0),"")</f>
        <v>%MO</v>
      </c>
      <c r="D2203" s="31">
        <v>0.05</v>
      </c>
      <c r="E2203" s="32">
        <f>IF(C2203="%MO",G2207,IFERROR(_xlfn.XLOOKUP($B2203,Equipo[DESCRIPCION],Equipo[VALOR],,0),""))</f>
        <v>63513.283009090926</v>
      </c>
      <c r="F2203" s="33"/>
      <c r="G2203" s="34">
        <f>IFERROR(IF(F2203&gt;=0,D2203*E2203*(1+F2203/100),ABS(D2203*E2203/F2203)),"")</f>
        <v>3175.6641504545464</v>
      </c>
      <c r="H2203" s="43">
        <f>IFERROR(G2203*E2192,"")</f>
        <v>0</v>
      </c>
    </row>
    <row r="2204" spans="1:8" ht="12.75" customHeight="1">
      <c r="A2204" s="21"/>
      <c r="B2204" s="22" t="s">
        <v>2533</v>
      </c>
      <c r="C2204" s="23"/>
      <c r="D2204" s="24"/>
      <c r="E2204" s="25"/>
      <c r="F2204" s="26"/>
      <c r="G2204" s="27">
        <f>SUM(G2205:G2206)</f>
        <v>0</v>
      </c>
      <c r="H2204" s="44">
        <f>G2204*E2192</f>
        <v>0</v>
      </c>
    </row>
    <row r="2205" spans="1:8" ht="12.75" customHeight="1">
      <c r="A2205" s="28"/>
      <c r="B2205" s="29"/>
      <c r="C2205" s="30" t="str">
        <f>IFERROR(_xlfn.XLOOKUP(B2205,Transporte[DESCRIPCION],Transporte[UND],,0),"")</f>
        <v/>
      </c>
      <c r="D2205" s="31"/>
      <c r="E2205" s="32" t="str">
        <f>IFERROR(_xlfn.XLOOKUP($B2205,Transporte[DESCRIPCION],Transporte[VALOR],,0),"")</f>
        <v/>
      </c>
      <c r="F2205" s="33"/>
      <c r="G2205" s="34" t="str">
        <f>IFERROR(IF(F2205&gt;=0,D2205*E2205*(1+F2205/100),ABS(D2205*E2205/F2205)),"")</f>
        <v/>
      </c>
      <c r="H2205" s="43" t="str">
        <f>IFERROR(G2205*E2192,"")</f>
        <v/>
      </c>
    </row>
    <row r="2206" spans="1:8" ht="12.75" customHeight="1">
      <c r="A2206" s="28"/>
      <c r="B2206" s="29"/>
      <c r="C2206" s="30" t="str">
        <f>IFERROR(_xlfn.XLOOKUP(B2206,Transporte[DESCRIPCION],Transporte[UND],,0),"")</f>
        <v/>
      </c>
      <c r="D2206" s="31"/>
      <c r="E2206" s="32" t="str">
        <f>IFERROR(_xlfn.XLOOKUP($B2206,Transporte[DESCRIPCION],Transporte[VALOR],,0),"")</f>
        <v/>
      </c>
      <c r="F2206" s="33"/>
      <c r="G2206" s="34" t="str">
        <f>IFERROR(IF(F2206&gt;=0,D2206*E2206*(1+F2206/100),ABS(D2206*E2206/F2206)),"")</f>
        <v/>
      </c>
      <c r="H2206" s="43" t="str">
        <f>IFERROR(G2206*E2192,"")</f>
        <v/>
      </c>
    </row>
    <row r="2207" spans="1:8" ht="12.75" customHeight="1">
      <c r="A2207" s="21"/>
      <c r="B2207" s="22" t="s">
        <v>3732</v>
      </c>
      <c r="C2207" s="23"/>
      <c r="D2207" s="24"/>
      <c r="E2207" s="25"/>
      <c r="F2207" s="26"/>
      <c r="G2207" s="27">
        <f>SUM(G2208:G2210)</f>
        <v>63513.283009090926</v>
      </c>
      <c r="H2207" s="44">
        <f>G2207*E2192</f>
        <v>0</v>
      </c>
    </row>
    <row r="2208" spans="1:8" ht="12.75" customHeight="1">
      <c r="A2208" s="28"/>
      <c r="B2208" s="29" t="s">
        <v>3722</v>
      </c>
      <c r="C2208" s="30" t="str">
        <f>IFERROR(_xlfn.XLOOKUP(B2208,MObra[DESCRIPCION],MObra[UN],,0),"")</f>
        <v>día</v>
      </c>
      <c r="D2208" s="31">
        <v>1</v>
      </c>
      <c r="E2208" s="32">
        <f>IFERROR(_xlfn.XLOOKUP($B2208,MObra[DESCRIPCION],MObra[VALOR UNIT],,0),"")</f>
        <v>349323.0565500001</v>
      </c>
      <c r="F2208" s="33">
        <v>-5.5</v>
      </c>
      <c r="G2208" s="34">
        <f>IFERROR(IF(F2208&gt;=0,D2208*E2208*(1+F2208/100),ABS(D2208*E2208/F2208)),"")</f>
        <v>63513.283009090926</v>
      </c>
      <c r="H2208" s="43">
        <f>IFERROR(G2208*E2192,"")</f>
        <v>0</v>
      </c>
    </row>
    <row r="2209" spans="1:10" ht="12.75" customHeight="1">
      <c r="A2209" s="28"/>
      <c r="B2209" s="29"/>
      <c r="C2209" s="30" t="str">
        <f t="array" ref="C2209">IFERROR(_xlfn.XLOOKUP(B2209,MObra[[#All],[DESCRIPCION]],MObra[[#All],[UN]],,0),"")</f>
        <v/>
      </c>
      <c r="D2209" s="31"/>
      <c r="E2209" s="32"/>
      <c r="F2209" s="33"/>
      <c r="G2209" s="34">
        <f>IFERROR(IF(F2209&gt;=0,D2209*E2209*(1+F2209/100),ABS(D2209*E2209/F2209)),"")</f>
        <v>0</v>
      </c>
      <c r="H2209" s="43">
        <f>IFERROR(G2209*E2192,"")</f>
        <v>0</v>
      </c>
    </row>
    <row r="2210" spans="1:10" ht="12.75" customHeight="1" thickBot="1">
      <c r="A2210" s="35"/>
      <c r="B2210" s="36"/>
      <c r="C2210" s="37" t="str">
        <f t="array" ref="C2210">IFERROR(_xlfn.XLOOKUP(B2210,MObra[[#All],[DESCRIPCION]],MObra[[#All],[UN]],,0),"")</f>
        <v/>
      </c>
      <c r="D2210" s="38"/>
      <c r="E2210" s="39" t="str">
        <f>IFERROR(_xlfn.XLOOKUP($B2210,MObra[DESCRIPCION],MObra[VALOR UNIT],,0),"")</f>
        <v/>
      </c>
      <c r="F2210" s="40"/>
      <c r="G2210" s="41" t="str">
        <f>IFERROR(IF(F2210&gt;=0,D2210*E2210*(1+F2210/100),ABS(D2210*E2210/F2210)),"")</f>
        <v/>
      </c>
      <c r="H2210" s="42" t="str">
        <f>IFERROR(G2210*E2192,"")</f>
        <v/>
      </c>
    </row>
    <row r="2211" spans="1:10" ht="12.75" customHeight="1" thickTop="1" thickBot="1">
      <c r="E2211" s="49"/>
      <c r="G2211" s="3"/>
    </row>
    <row r="2212" spans="1:10" ht="12.75" customHeight="1" thickTop="1" thickBot="1">
      <c r="A2212" s="6" t="s">
        <v>242</v>
      </c>
      <c r="B2212" s="7" t="str">
        <f>VLOOKUP($A2212,Presupuesto!$A:$D,2,FALSE())</f>
        <v>Excavación conglomerado bajo agua H&gt;4 m manual</v>
      </c>
      <c r="C2212" s="8" t="str">
        <f>VLOOKUP($A2212,Presupuesto!$A:$D,3,FALSE())</f>
        <v>M3</v>
      </c>
      <c r="D2212" s="9"/>
      <c r="E2212" s="10">
        <f>VLOOKUP($A2212,Presupuesto!$A:$D,4,FALSE())</f>
        <v>0</v>
      </c>
      <c r="F2212" s="11" t="s">
        <v>2589</v>
      </c>
      <c r="G2212" s="12">
        <f>SUM(G2214:G2230)/2</f>
        <v>109048.47369766669</v>
      </c>
      <c r="H2212" s="13">
        <f>ROUND(SUM(H2214:H2230),0)/2</f>
        <v>0</v>
      </c>
      <c r="I2212" s="10">
        <f>VLOOKUP(A2212,Presupuesto!$A:$F,6,0)</f>
        <v>0</v>
      </c>
      <c r="J2212" s="10">
        <f>+H2212-I2212</f>
        <v>0</v>
      </c>
    </row>
    <row r="2213" spans="1:10" ht="12.75" customHeight="1" thickTop="1">
      <c r="A2213" s="14"/>
      <c r="B2213" s="15" t="s">
        <v>2586</v>
      </c>
      <c r="C2213" s="15" t="s">
        <v>5</v>
      </c>
      <c r="D2213" s="16" t="s">
        <v>6</v>
      </c>
      <c r="E2213" s="17" t="s">
        <v>7</v>
      </c>
      <c r="F2213" s="18" t="s">
        <v>3728</v>
      </c>
      <c r="G2213" s="19" t="s">
        <v>3729</v>
      </c>
      <c r="H2213" s="20" t="s">
        <v>3797</v>
      </c>
    </row>
    <row r="2214" spans="1:10" ht="12.75" customHeight="1">
      <c r="A2214" s="21"/>
      <c r="B2214" s="22" t="s">
        <v>3730</v>
      </c>
      <c r="C2214" s="23"/>
      <c r="D2214" s="24"/>
      <c r="E2214" s="25"/>
      <c r="F2214" s="26"/>
      <c r="G2214" s="27">
        <f>SUM(G2215:G2219)</f>
        <v>0</v>
      </c>
      <c r="H2214" s="27">
        <f>IFERROR(G2214*E2212,"")</f>
        <v>0</v>
      </c>
    </row>
    <row r="2215" spans="1:10" ht="12.75" customHeight="1">
      <c r="A2215" s="28"/>
      <c r="B2215" s="29"/>
      <c r="C2215" s="30" t="str">
        <f>IFERROR(_xlfn.XLOOKUP(B2215,Insumo[DESCRIPCION],Insumo[UND],,0),"")</f>
        <v/>
      </c>
      <c r="D2215" s="31"/>
      <c r="E2215" s="32" t="str">
        <f>IFERROR(_xlfn.XLOOKUP($B2215,Insumo[DESCRIPCION],Insumo[VALOR],,0),"")</f>
        <v/>
      </c>
      <c r="F2215" s="33"/>
      <c r="G2215" s="34" t="str">
        <f>IFERROR(IF(F2215&gt;=0,D2215*E2215*(1+F2215/100),ABS(D2215*E2215/F2215)),"")</f>
        <v/>
      </c>
      <c r="H2215" s="43" t="str">
        <f>IFERROR(G2215*E2212,"")</f>
        <v/>
      </c>
    </row>
    <row r="2216" spans="1:10" ht="12.75" customHeight="1">
      <c r="A2216" s="28"/>
      <c r="B2216" s="29"/>
      <c r="C2216" s="30" t="str">
        <f>IFERROR(_xlfn.XLOOKUP(B2216,Insumo[DESCRIPCION],Insumo[UND],,0),"")</f>
        <v/>
      </c>
      <c r="D2216" s="31"/>
      <c r="E2216" s="32" t="str">
        <f>IFERROR(_xlfn.XLOOKUP($B2216,Insumo[DESCRIPCION],Insumo[VALOR],,0),"")</f>
        <v/>
      </c>
      <c r="F2216" s="33"/>
      <c r="G2216" s="34" t="str">
        <f>IFERROR(IF(F2216&gt;=0,D2216*E2216*(1+F2216/100),ABS(D2216*E2216/F2216)),"")</f>
        <v/>
      </c>
      <c r="H2216" s="43" t="str">
        <f>IFERROR(G2216*E2212,"")</f>
        <v/>
      </c>
    </row>
    <row r="2217" spans="1:10" ht="12.75" customHeight="1">
      <c r="A2217" s="28"/>
      <c r="B2217" s="29"/>
      <c r="C2217" s="30" t="str">
        <f>IFERROR(_xlfn.XLOOKUP(B2217,Insumo[DESCRIPCION],Insumo[UND],,0),"")</f>
        <v/>
      </c>
      <c r="D2217" s="31"/>
      <c r="E2217" s="32" t="str">
        <f>IFERROR(_xlfn.XLOOKUP($B2217,Insumo[DESCRIPCION],Insumo[VALOR],,0),"")</f>
        <v/>
      </c>
      <c r="F2217" s="33"/>
      <c r="G2217" s="34" t="str">
        <f>IFERROR(IF(F2217&gt;=0,D2217*E2217*(1+F2217/100),ABS(D2217*E2217/F2217)),"")</f>
        <v/>
      </c>
      <c r="H2217" s="43" t="str">
        <f>IFERROR(G2217*E2212,"")</f>
        <v/>
      </c>
    </row>
    <row r="2218" spans="1:10" ht="12.75" customHeight="1">
      <c r="A2218" s="28"/>
      <c r="B2218" s="29"/>
      <c r="C2218" s="30" t="str">
        <f>IFERROR(_xlfn.XLOOKUP(B2218,Insumo[DESCRIPCION],Insumo[UND],,0),"")</f>
        <v/>
      </c>
      <c r="D2218" s="31"/>
      <c r="E2218" s="32" t="str">
        <f>IFERROR(_xlfn.XLOOKUP($B2218,Insumo[DESCRIPCION],Insumo[VALOR],,0),"")</f>
        <v/>
      </c>
      <c r="F2218" s="33"/>
      <c r="G2218" s="34" t="str">
        <f>IFERROR(IF(F2218&gt;=0,D2218*E2218*(1+F2218/100),ABS(D2218*E2218/F2218)),"")</f>
        <v/>
      </c>
      <c r="H2218" s="43" t="str">
        <f>IFERROR(G2218*E2212,"")</f>
        <v/>
      </c>
    </row>
    <row r="2219" spans="1:10" ht="12.75" customHeight="1">
      <c r="A2219" s="28"/>
      <c r="B2219" s="29"/>
      <c r="C2219" s="30" t="str">
        <f>IFERROR(_xlfn.XLOOKUP(B2219,Insumo[DESCRIPCION],Insumo[UND],,0),"")</f>
        <v/>
      </c>
      <c r="D2219" s="31"/>
      <c r="E2219" s="32" t="str">
        <f>IFERROR(_xlfn.XLOOKUP($B2219,Insumo[DESCRIPCION],Insumo[VALOR],,0),"")</f>
        <v/>
      </c>
      <c r="F2219" s="33"/>
      <c r="G2219" s="34" t="str">
        <f>IFERROR(IF(F2219&gt;=0,D2219*E2219*(1+F2219/100),ABS(D2219*E2219/F2219)),"")</f>
        <v/>
      </c>
      <c r="H2219" s="43" t="str">
        <f>IFERROR(G2219*E2212,"")</f>
        <v/>
      </c>
    </row>
    <row r="2220" spans="1:10" ht="12.75" customHeight="1">
      <c r="A2220" s="21"/>
      <c r="B2220" s="22" t="s">
        <v>3731</v>
      </c>
      <c r="C2220" s="23"/>
      <c r="D2220" s="24"/>
      <c r="E2220" s="25"/>
      <c r="F2220" s="26"/>
      <c r="G2220" s="27">
        <f>SUM(G2221:G2223)</f>
        <v>31421.127797666668</v>
      </c>
      <c r="H2220" s="44">
        <f>G2220*E2212</f>
        <v>0</v>
      </c>
    </row>
    <row r="2221" spans="1:10" ht="12.75" customHeight="1">
      <c r="A2221" s="28"/>
      <c r="B2221" s="29" t="s">
        <v>3632</v>
      </c>
      <c r="C2221" s="30" t="str">
        <f>IFERROR(_xlfn.XLOOKUP(B2221,Equipo[DESCRIPCION],Equipo[UND],,0),"")</f>
        <v>Día</v>
      </c>
      <c r="D2221" s="31">
        <v>1</v>
      </c>
      <c r="E2221" s="32">
        <f>IF(C2221="%MO",G2227,IFERROR(_xlfn.XLOOKUP($B2221,Equipo[DESCRIPCION],Equipo[VALOR],,0),""))</f>
        <v>109956</v>
      </c>
      <c r="F2221" s="33">
        <v>-4.5</v>
      </c>
      <c r="G2221" s="34">
        <f>IFERROR(IF(F2221&gt;=0,D2221*E2221*(1+F2221/100),ABS(D2221*E2221/F2221)),"")</f>
        <v>24434.666666666668</v>
      </c>
      <c r="H2221" s="43">
        <f>IFERROR(G2221*E2212,"")</f>
        <v>0</v>
      </c>
    </row>
    <row r="2222" spans="1:10" ht="12.75" customHeight="1">
      <c r="A2222" s="28"/>
      <c r="B2222" s="29" t="s">
        <v>3570</v>
      </c>
      <c r="C2222" s="30" t="str">
        <f>IFERROR(_xlfn.XLOOKUP(B2222,Equipo[DESCRIPCION],Equipo[UND],,0),"")</f>
        <v>%MO</v>
      </c>
      <c r="D2222" s="31">
        <v>0.04</v>
      </c>
      <c r="E2222" s="32">
        <f>IF(C2222="%MO",G2227,IFERROR(_xlfn.XLOOKUP($B2222,Equipo[DESCRIPCION],Equipo[VALOR],,0),""))</f>
        <v>77627.345900000015</v>
      </c>
      <c r="F2222" s="33"/>
      <c r="G2222" s="34">
        <f>IFERROR(IF(F2222&gt;=0,D2222*E2222*(1+F2222/100),ABS(D2222*E2222/F2222)),"")</f>
        <v>3105.0938360000005</v>
      </c>
      <c r="H2222" s="43">
        <f>IFERROR(G2222*E2212,"")</f>
        <v>0</v>
      </c>
    </row>
    <row r="2223" spans="1:10" ht="12.75" customHeight="1">
      <c r="A2223" s="28"/>
      <c r="B2223" s="29" t="s">
        <v>3626</v>
      </c>
      <c r="C2223" s="30" t="str">
        <f>IFERROR(_xlfn.XLOOKUP(B2223,Equipo[DESCRIPCION],Equipo[UND],,0),"")</f>
        <v>%MO</v>
      </c>
      <c r="D2223" s="31">
        <v>0.05</v>
      </c>
      <c r="E2223" s="32">
        <f>IF(C2223="%MO",G2227,IFERROR(_xlfn.XLOOKUP($B2223,Equipo[DESCRIPCION],Equipo[VALOR],,0),""))</f>
        <v>77627.345900000015</v>
      </c>
      <c r="F2223" s="33"/>
      <c r="G2223" s="34">
        <f>IFERROR(IF(F2223&gt;=0,D2223*E2223*(1+F2223/100),ABS(D2223*E2223/F2223)),"")</f>
        <v>3881.3672950000009</v>
      </c>
      <c r="H2223" s="43">
        <f>IFERROR(G2223*E2212,"")</f>
        <v>0</v>
      </c>
    </row>
    <row r="2224" spans="1:10" ht="12.75" customHeight="1">
      <c r="A2224" s="21"/>
      <c r="B2224" s="22" t="s">
        <v>2533</v>
      </c>
      <c r="C2224" s="23"/>
      <c r="D2224" s="24"/>
      <c r="E2224" s="25"/>
      <c r="F2224" s="26"/>
      <c r="G2224" s="27">
        <f>SUM(G2225:G2226)</f>
        <v>0</v>
      </c>
      <c r="H2224" s="44">
        <f>G2224*E2212</f>
        <v>0</v>
      </c>
    </row>
    <row r="2225" spans="1:10" ht="12.75" customHeight="1">
      <c r="A2225" s="28"/>
      <c r="B2225" s="29"/>
      <c r="C2225" s="30" t="str">
        <f>IFERROR(_xlfn.XLOOKUP(B2225,Transporte[DESCRIPCION],Transporte[UND],,0),"")</f>
        <v/>
      </c>
      <c r="D2225" s="31"/>
      <c r="E2225" s="32" t="str">
        <f>IFERROR(_xlfn.XLOOKUP($B2225,Transporte[DESCRIPCION],Transporte[VALOR],,0),"")</f>
        <v/>
      </c>
      <c r="F2225" s="33"/>
      <c r="G2225" s="34" t="str">
        <f>IFERROR(IF(F2225&gt;=0,D2225*E2225*(1+F2225/100),ABS(D2225*E2225/F2225)),"")</f>
        <v/>
      </c>
      <c r="H2225" s="43" t="str">
        <f>IFERROR(G2225*E2212,"")</f>
        <v/>
      </c>
    </row>
    <row r="2226" spans="1:10" ht="12.75" customHeight="1">
      <c r="A2226" s="28"/>
      <c r="B2226" s="29"/>
      <c r="C2226" s="30" t="str">
        <f>IFERROR(_xlfn.XLOOKUP(B2226,Transporte[DESCRIPCION],Transporte[UND],,0),"")</f>
        <v/>
      </c>
      <c r="D2226" s="31"/>
      <c r="E2226" s="32" t="str">
        <f>IFERROR(_xlfn.XLOOKUP($B2226,Transporte[DESCRIPCION],Transporte[VALOR],,0),"")</f>
        <v/>
      </c>
      <c r="F2226" s="33"/>
      <c r="G2226" s="34" t="str">
        <f>IFERROR(IF(F2226&gt;=0,D2226*E2226*(1+F2226/100),ABS(D2226*E2226/F2226)),"")</f>
        <v/>
      </c>
      <c r="H2226" s="43" t="str">
        <f>IFERROR(G2226*E2212,"")</f>
        <v/>
      </c>
    </row>
    <row r="2227" spans="1:10" ht="12.75" customHeight="1">
      <c r="A2227" s="21"/>
      <c r="B2227" s="22" t="s">
        <v>3732</v>
      </c>
      <c r="C2227" s="23"/>
      <c r="D2227" s="24"/>
      <c r="E2227" s="25"/>
      <c r="F2227" s="26"/>
      <c r="G2227" s="27">
        <f>SUM(G2228:G2230)</f>
        <v>77627.345900000015</v>
      </c>
      <c r="H2227" s="44">
        <f>G2227*E2212</f>
        <v>0</v>
      </c>
    </row>
    <row r="2228" spans="1:10" ht="12.75" customHeight="1">
      <c r="A2228" s="28"/>
      <c r="B2228" s="29" t="s">
        <v>3722</v>
      </c>
      <c r="C2228" s="30" t="str">
        <f>IFERROR(_xlfn.XLOOKUP(B2228,MObra[DESCRIPCION],MObra[UN],,0),"")</f>
        <v>día</v>
      </c>
      <c r="D2228" s="31">
        <v>1</v>
      </c>
      <c r="E2228" s="32">
        <f>IFERROR(_xlfn.XLOOKUP($B2228,MObra[DESCRIPCION],MObra[VALOR UNIT],,0),"")</f>
        <v>349323.0565500001</v>
      </c>
      <c r="F2228" s="33">
        <v>-4.5</v>
      </c>
      <c r="G2228" s="34">
        <f>IFERROR(IF(F2228&gt;=0,D2228*E2228*(1+F2228/100),ABS(D2228*E2228/F2228)),"")</f>
        <v>77627.345900000015</v>
      </c>
      <c r="H2228" s="43">
        <f>IFERROR(G2228*E2212,"")</f>
        <v>0</v>
      </c>
    </row>
    <row r="2229" spans="1:10" ht="12.75" customHeight="1">
      <c r="A2229" s="28"/>
      <c r="B2229" s="29"/>
      <c r="C2229" s="30" t="str">
        <f t="array" ref="C2229">IFERROR(_xlfn.XLOOKUP(B2229,MObra[[#All],[DESCRIPCION]],MObra[[#All],[UN]],,0),"")</f>
        <v/>
      </c>
      <c r="D2229" s="31"/>
      <c r="E2229" s="32" t="str">
        <f>IFERROR(_xlfn.XLOOKUP($B2229,MObra[DESCRIPCION],MObra[VALOR UNIT],,0),"")</f>
        <v/>
      </c>
      <c r="F2229" s="33"/>
      <c r="G2229" s="34" t="str">
        <f>IFERROR(IF(F2229&gt;=0,D2229*E2229*(1+F2229/100),ABS(D2229*E2229/F2229)),"")</f>
        <v/>
      </c>
      <c r="H2229" s="43" t="str">
        <f>IFERROR(G2229*E2212,"")</f>
        <v/>
      </c>
    </row>
    <row r="2230" spans="1:10" ht="12.75" customHeight="1" thickBot="1">
      <c r="A2230" s="35"/>
      <c r="B2230" s="36"/>
      <c r="C2230" s="37" t="str">
        <f t="array" ref="C2230">IFERROR(_xlfn.XLOOKUP(B2230,MObra[[#All],[DESCRIPCION]],MObra[[#All],[UN]],,0),"")</f>
        <v/>
      </c>
      <c r="D2230" s="38"/>
      <c r="E2230" s="39" t="str">
        <f>IFERROR(_xlfn.XLOOKUP($B2230,MObra[DESCRIPCION],MObra[VALOR UNIT],,0),"")</f>
        <v/>
      </c>
      <c r="F2230" s="40"/>
      <c r="G2230" s="41" t="str">
        <f>IFERROR(IF(F2230&gt;=0,D2230*E2230*(1+F2230/100),ABS(D2230*E2230/F2230)),"")</f>
        <v/>
      </c>
      <c r="H2230" s="42" t="str">
        <f>IFERROR(G2230*E2212,"")</f>
        <v/>
      </c>
    </row>
    <row r="2231" spans="1:10" ht="12.75" customHeight="1" thickTop="1" thickBot="1">
      <c r="E2231" s="49"/>
      <c r="G2231" s="3"/>
    </row>
    <row r="2232" spans="1:10" ht="12.75" customHeight="1" thickTop="1" thickBot="1">
      <c r="A2232" s="6" t="s">
        <v>244</v>
      </c>
      <c r="B2232" s="7" t="str">
        <f>VLOOKUP($A2232,Presupuesto!$A:$D,2,FALSE())</f>
        <v>Excavación material común abierto manual</v>
      </c>
      <c r="C2232" s="8" t="str">
        <f>VLOOKUP($A2232,Presupuesto!$A:$D,3,FALSE())</f>
        <v>M3</v>
      </c>
      <c r="D2232" s="9"/>
      <c r="E2232" s="10">
        <f>VLOOKUP($A2232,Presupuesto!$A:$D,4,FALSE())</f>
        <v>0</v>
      </c>
      <c r="F2232" s="11" t="s">
        <v>2589</v>
      </c>
      <c r="G2232" s="12">
        <f>SUM(G2234:G2250)/2</f>
        <v>50768.28421860002</v>
      </c>
      <c r="H2232" s="13">
        <f>ROUND(SUM(H2234:H2250),0)/2</f>
        <v>0</v>
      </c>
      <c r="I2232" s="10">
        <f>VLOOKUP(A2232,Presupuesto!$A:$F,6,0)</f>
        <v>0</v>
      </c>
      <c r="J2232" s="10">
        <f>+H2232-I2232</f>
        <v>0</v>
      </c>
    </row>
    <row r="2233" spans="1:10" ht="12.75" customHeight="1" thickTop="1">
      <c r="A2233" s="14"/>
      <c r="B2233" s="15" t="s">
        <v>2586</v>
      </c>
      <c r="C2233" s="15" t="s">
        <v>5</v>
      </c>
      <c r="D2233" s="16" t="s">
        <v>6</v>
      </c>
      <c r="E2233" s="17" t="s">
        <v>7</v>
      </c>
      <c r="F2233" s="18" t="s">
        <v>3728</v>
      </c>
      <c r="G2233" s="19" t="s">
        <v>3729</v>
      </c>
      <c r="H2233" s="20" t="s">
        <v>3797</v>
      </c>
    </row>
    <row r="2234" spans="1:10" ht="12.75" customHeight="1">
      <c r="A2234" s="21"/>
      <c r="B2234" s="22" t="s">
        <v>3730</v>
      </c>
      <c r="C2234" s="23"/>
      <c r="D2234" s="24"/>
      <c r="E2234" s="25"/>
      <c r="F2234" s="26"/>
      <c r="G2234" s="27">
        <f>SUM(G2235:G2239)</f>
        <v>0</v>
      </c>
      <c r="H2234" s="27">
        <f>IFERROR(G2234*E2232,"")</f>
        <v>0</v>
      </c>
    </row>
    <row r="2235" spans="1:10" ht="12.75" customHeight="1">
      <c r="A2235" s="28"/>
      <c r="B2235" s="29"/>
      <c r="C2235" s="30" t="str">
        <f>IFERROR(_xlfn.XLOOKUP(B2235,Insumo[DESCRIPCION],Insumo[UND],,0),"")</f>
        <v/>
      </c>
      <c r="D2235" s="31"/>
      <c r="E2235" s="32" t="str">
        <f>IFERROR(_xlfn.XLOOKUP($B2235,Insumo[DESCRIPCION],Insumo[VALOR],,0),"")</f>
        <v/>
      </c>
      <c r="F2235" s="33"/>
      <c r="G2235" s="34" t="str">
        <f>IFERROR(IF(F2235&gt;=0,D2235*E2235*(1+F2235/100),ABS(D2235*E2235/F2235)),"")</f>
        <v/>
      </c>
      <c r="H2235" s="43" t="str">
        <f>IFERROR(G2235*E2232,"")</f>
        <v/>
      </c>
    </row>
    <row r="2236" spans="1:10" ht="12.75" customHeight="1">
      <c r="A2236" s="28"/>
      <c r="B2236" s="29"/>
      <c r="C2236" s="30" t="str">
        <f>IFERROR(_xlfn.XLOOKUP(B2236,Insumo[DESCRIPCION],Insumo[UND],,0),"")</f>
        <v/>
      </c>
      <c r="D2236" s="31"/>
      <c r="E2236" s="32" t="str">
        <f>IFERROR(_xlfn.XLOOKUP($B2236,Insumo[DESCRIPCION],Insumo[VALOR],,0),"")</f>
        <v/>
      </c>
      <c r="F2236" s="33"/>
      <c r="G2236" s="34" t="str">
        <f>IFERROR(IF(F2236&gt;=0,D2236*E2236*(1+F2236/100),ABS(D2236*E2236/F2236)),"")</f>
        <v/>
      </c>
      <c r="H2236" s="43" t="str">
        <f>IFERROR(G2236*E2232,"")</f>
        <v/>
      </c>
    </row>
    <row r="2237" spans="1:10" ht="12.75" customHeight="1">
      <c r="A2237" s="28"/>
      <c r="B2237" s="29"/>
      <c r="C2237" s="30" t="str">
        <f>IFERROR(_xlfn.XLOOKUP(B2237,Insumo[DESCRIPCION],Insumo[UND],,0),"")</f>
        <v/>
      </c>
      <c r="D2237" s="31"/>
      <c r="E2237" s="32" t="str">
        <f>IFERROR(_xlfn.XLOOKUP($B2237,Insumo[DESCRIPCION],Insumo[VALOR],,0),"")</f>
        <v/>
      </c>
      <c r="F2237" s="33"/>
      <c r="G2237" s="34" t="str">
        <f>IFERROR(IF(F2237&gt;=0,D2237*E2237*(1+F2237/100),ABS(D2237*E2237/F2237)),"")</f>
        <v/>
      </c>
      <c r="H2237" s="43" t="str">
        <f>IFERROR(G2237*E2232,"")</f>
        <v/>
      </c>
    </row>
    <row r="2238" spans="1:10" ht="12.75" customHeight="1">
      <c r="A2238" s="28"/>
      <c r="B2238" s="29"/>
      <c r="C2238" s="30" t="str">
        <f>IFERROR(_xlfn.XLOOKUP(B2238,Insumo[DESCRIPCION],Insumo[UND],,0),"")</f>
        <v/>
      </c>
      <c r="D2238" s="31"/>
      <c r="E2238" s="32" t="str">
        <f>IFERROR(_xlfn.XLOOKUP($B2238,Insumo[DESCRIPCION],Insumo[VALOR],,0),"")</f>
        <v/>
      </c>
      <c r="F2238" s="33"/>
      <c r="G2238" s="34" t="str">
        <f>IFERROR(IF(F2238&gt;=0,D2238*E2238*(1+F2238/100),ABS(D2238*E2238/F2238)),"")</f>
        <v/>
      </c>
      <c r="H2238" s="43" t="str">
        <f>IFERROR(G2238*E2232,"")</f>
        <v/>
      </c>
    </row>
    <row r="2239" spans="1:10" ht="12.75" customHeight="1">
      <c r="A2239" s="28"/>
      <c r="B2239" s="29"/>
      <c r="C2239" s="30" t="str">
        <f>IFERROR(_xlfn.XLOOKUP(B2239,Insumo[DESCRIPCION],Insumo[UND],,0),"")</f>
        <v/>
      </c>
      <c r="D2239" s="31"/>
      <c r="E2239" s="32" t="str">
        <f>IFERROR(_xlfn.XLOOKUP($B2239,Insumo[DESCRIPCION],Insumo[VALOR],,0),"")</f>
        <v/>
      </c>
      <c r="F2239" s="33"/>
      <c r="G2239" s="34" t="str">
        <f>IFERROR(IF(F2239&gt;=0,D2239*E2239*(1+F2239/100),ABS(D2239*E2239/F2239)),"")</f>
        <v/>
      </c>
      <c r="H2239" s="43" t="str">
        <f>IFERROR(G2239*E2232,"")</f>
        <v/>
      </c>
    </row>
    <row r="2240" spans="1:10" ht="12.75" customHeight="1">
      <c r="A2240" s="21"/>
      <c r="B2240" s="22" t="s">
        <v>3731</v>
      </c>
      <c r="C2240" s="23"/>
      <c r="D2240" s="24"/>
      <c r="E2240" s="25"/>
      <c r="F2240" s="26"/>
      <c r="G2240" s="27">
        <f>SUM(G2241:G2243)</f>
        <v>4191.8766786000015</v>
      </c>
      <c r="H2240" s="44">
        <f>G2240*E2232</f>
        <v>0</v>
      </c>
    </row>
    <row r="2241" spans="1:10" ht="12.75" customHeight="1">
      <c r="A2241" s="28"/>
      <c r="B2241" s="29" t="s">
        <v>3570</v>
      </c>
      <c r="C2241" s="30" t="str">
        <f>IFERROR(_xlfn.XLOOKUP(B2241,Equipo[DESCRIPCION],Equipo[UND],,0),"")</f>
        <v>%MO</v>
      </c>
      <c r="D2241" s="31">
        <v>0.04</v>
      </c>
      <c r="E2241" s="32">
        <f>IF(C2241="%MO",G2247,IFERROR(_xlfn.XLOOKUP($B2241,Equipo[DESCRIPCION],Equipo[VALOR],,0),""))</f>
        <v>46576.407540000015</v>
      </c>
      <c r="F2241" s="33"/>
      <c r="G2241" s="34">
        <f>IFERROR(IF(F2241&gt;=0,D2241*E2241*(1+F2241/100),ABS(D2241*E2241/F2241)),"")</f>
        <v>1863.0563016000006</v>
      </c>
      <c r="H2241" s="43">
        <f>IFERROR(G2241*E2232,"")</f>
        <v>0</v>
      </c>
    </row>
    <row r="2242" spans="1:10" ht="12.75" customHeight="1">
      <c r="A2242" s="28"/>
      <c r="B2242" s="29" t="s">
        <v>3626</v>
      </c>
      <c r="C2242" s="30" t="str">
        <f>IFERROR(_xlfn.XLOOKUP(B2242,Equipo[DESCRIPCION],Equipo[UND],,0),"")</f>
        <v>%MO</v>
      </c>
      <c r="D2242" s="31">
        <v>0.05</v>
      </c>
      <c r="E2242" s="32">
        <f>IF(C2242="%MO",G2247,IFERROR(_xlfn.XLOOKUP($B2242,Equipo[DESCRIPCION],Equipo[VALOR],,0),""))</f>
        <v>46576.407540000015</v>
      </c>
      <c r="F2242" s="33"/>
      <c r="G2242" s="34">
        <f>IFERROR(IF(F2242&gt;=0,D2242*E2242*(1+F2242/100),ABS(D2242*E2242/F2242)),"")</f>
        <v>2328.8203770000009</v>
      </c>
      <c r="H2242" s="43">
        <f>IFERROR(G2242*E2232,"")</f>
        <v>0</v>
      </c>
    </row>
    <row r="2243" spans="1:10" ht="12.75" customHeight="1">
      <c r="A2243" s="28"/>
      <c r="B2243" s="29"/>
      <c r="C2243" s="30" t="str">
        <f>IFERROR(_xlfn.XLOOKUP(B2243,Equipo[DESCRIPCION],Equipo[UND],,0),"")</f>
        <v/>
      </c>
      <c r="D2243" s="31"/>
      <c r="E2243" s="32" t="str">
        <f>IF(C2243="%MO",G2247,IFERROR(_xlfn.XLOOKUP($B2243,Equipo[DESCRIPCION],Equipo[VALOR],,0),""))</f>
        <v/>
      </c>
      <c r="F2243" s="33"/>
      <c r="G2243" s="34" t="str">
        <f>IFERROR(IF(F2243&gt;=0,D2243*E2243*(1+F2243/100),ABS(D2243*E2243/F2243)),"")</f>
        <v/>
      </c>
      <c r="H2243" s="43" t="str">
        <f>IFERROR(G2243*E2232,"")</f>
        <v/>
      </c>
    </row>
    <row r="2244" spans="1:10" ht="12.75" customHeight="1">
      <c r="A2244" s="21"/>
      <c r="B2244" s="22" t="s">
        <v>2533</v>
      </c>
      <c r="C2244" s="23"/>
      <c r="D2244" s="24"/>
      <c r="E2244" s="25"/>
      <c r="F2244" s="26"/>
      <c r="G2244" s="27">
        <f>SUM(G2245:G2246)</f>
        <v>0</v>
      </c>
      <c r="H2244" s="44">
        <f>G2244*E2232</f>
        <v>0</v>
      </c>
    </row>
    <row r="2245" spans="1:10" ht="12.75" customHeight="1">
      <c r="A2245" s="28"/>
      <c r="B2245" s="29"/>
      <c r="C2245" s="30" t="str">
        <f>IFERROR(_xlfn.XLOOKUP(B2245,Transporte[DESCRIPCION],Transporte[UND],,0),"")</f>
        <v/>
      </c>
      <c r="D2245" s="31"/>
      <c r="E2245" s="32" t="str">
        <f>IFERROR(_xlfn.XLOOKUP($B2245,Transporte[DESCRIPCION],Transporte[VALOR],,0),"")</f>
        <v/>
      </c>
      <c r="F2245" s="33"/>
      <c r="G2245" s="34" t="str">
        <f>IFERROR(IF(F2245&gt;=0,D2245*E2245*(1+F2245/100),ABS(D2245*E2245/F2245)),"")</f>
        <v/>
      </c>
      <c r="H2245" s="43" t="str">
        <f>IFERROR(G2245*E2232,"")</f>
        <v/>
      </c>
    </row>
    <row r="2246" spans="1:10" ht="12.75" customHeight="1">
      <c r="A2246" s="28"/>
      <c r="B2246" s="29"/>
      <c r="C2246" s="30" t="str">
        <f>IFERROR(_xlfn.XLOOKUP(B2246,Transporte[DESCRIPCION],Transporte[UND],,0),"")</f>
        <v/>
      </c>
      <c r="D2246" s="31"/>
      <c r="E2246" s="32" t="str">
        <f>IFERROR(_xlfn.XLOOKUP($B2246,Transporte[DESCRIPCION],Transporte[VALOR],,0),"")</f>
        <v/>
      </c>
      <c r="F2246" s="33"/>
      <c r="G2246" s="34" t="str">
        <f>IFERROR(IF(F2246&gt;=0,D2246*E2246*(1+F2246/100),ABS(D2246*E2246/F2246)),"")</f>
        <v/>
      </c>
      <c r="H2246" s="43" t="str">
        <f>IFERROR(G2246*E2232,"")</f>
        <v/>
      </c>
    </row>
    <row r="2247" spans="1:10" ht="12.75" customHeight="1">
      <c r="A2247" s="21"/>
      <c r="B2247" s="22" t="s">
        <v>3732</v>
      </c>
      <c r="C2247" s="23"/>
      <c r="D2247" s="24"/>
      <c r="E2247" s="25"/>
      <c r="F2247" s="26"/>
      <c r="G2247" s="27">
        <f>SUM(G2248:G2250)</f>
        <v>46576.407540000015</v>
      </c>
      <c r="H2247" s="44">
        <f>G2247*E2232</f>
        <v>0</v>
      </c>
    </row>
    <row r="2248" spans="1:10" ht="12.75" customHeight="1">
      <c r="A2248" s="28"/>
      <c r="B2248" s="29" t="s">
        <v>3722</v>
      </c>
      <c r="C2248" s="30" t="str">
        <f>IFERROR(_xlfn.XLOOKUP(B2248,MObra[DESCRIPCION],MObra[UN],,0),"")</f>
        <v>día</v>
      </c>
      <c r="D2248" s="31">
        <v>1</v>
      </c>
      <c r="E2248" s="32">
        <f>IFERROR(_xlfn.XLOOKUP($B2248,MObra[DESCRIPCION],MObra[VALOR UNIT],,0),"")</f>
        <v>349323.0565500001</v>
      </c>
      <c r="F2248" s="33">
        <v>-7.5</v>
      </c>
      <c r="G2248" s="34">
        <f>IFERROR(IF(F2248&gt;=0,D2248*E2248*(1+F2248/100),ABS(D2248*E2248/F2248)),"")</f>
        <v>46576.407540000015</v>
      </c>
      <c r="H2248" s="43">
        <f>IFERROR(G2248*E2232,"")</f>
        <v>0</v>
      </c>
    </row>
    <row r="2249" spans="1:10" ht="12.75" customHeight="1">
      <c r="A2249" s="28"/>
      <c r="B2249" s="29"/>
      <c r="C2249" s="30" t="str">
        <f t="array" ref="C2249">IFERROR(_xlfn.XLOOKUP(B2249,MObra[[#All],[DESCRIPCION]],MObra[[#All],[UN]],,0),"")</f>
        <v/>
      </c>
      <c r="D2249" s="31"/>
      <c r="E2249" s="32" t="str">
        <f>IFERROR(_xlfn.XLOOKUP($B2249,MObra[DESCRIPCION],MObra[VALOR UNIT],,0),"")</f>
        <v/>
      </c>
      <c r="F2249" s="33"/>
      <c r="G2249" s="34" t="str">
        <f>IFERROR(IF(F2249&gt;=0,D2249*E2249*(1+F2249/100),ABS(D2249*E2249/F2249)),"")</f>
        <v/>
      </c>
      <c r="H2249" s="43" t="str">
        <f>IFERROR(G2249*E2232,"")</f>
        <v/>
      </c>
    </row>
    <row r="2250" spans="1:10" ht="12.75" customHeight="1" thickBot="1">
      <c r="A2250" s="35"/>
      <c r="B2250" s="36"/>
      <c r="C2250" s="37" t="str">
        <f t="array" ref="C2250">IFERROR(_xlfn.XLOOKUP(B2250,MObra[[#All],[DESCRIPCION]],MObra[[#All],[UN]],,0),"")</f>
        <v/>
      </c>
      <c r="D2250" s="38"/>
      <c r="E2250" s="39" t="str">
        <f>IFERROR(_xlfn.XLOOKUP($B2250,MObra[DESCRIPCION],MObra[VALOR UNIT],,0),"")</f>
        <v/>
      </c>
      <c r="F2250" s="40"/>
      <c r="G2250" s="41" t="str">
        <f>IFERROR(IF(F2250&gt;=0,D2250*E2250*(1+F2250/100),ABS(D2250*E2250/F2250)),"")</f>
        <v/>
      </c>
      <c r="H2250" s="42" t="str">
        <f>IFERROR(G2250*E2232,"")</f>
        <v/>
      </c>
    </row>
    <row r="2251" spans="1:10" ht="12.75" customHeight="1" thickTop="1" thickBot="1">
      <c r="E2251" s="49"/>
      <c r="G2251" s="3"/>
    </row>
    <row r="2252" spans="1:10" ht="12.75" customHeight="1" thickTop="1" thickBot="1">
      <c r="A2252" s="6" t="s">
        <v>246</v>
      </c>
      <c r="B2252" s="7" t="str">
        <f>VLOOKUP($A2252,Presupuesto!$A:$D,2,FALSE())</f>
        <v>Excavación material común abierto mecánica</v>
      </c>
      <c r="C2252" s="8" t="str">
        <f>VLOOKUP($A2252,Presupuesto!$A:$D,3,FALSE())</f>
        <v>M3</v>
      </c>
      <c r="D2252" s="9"/>
      <c r="E2252" s="10">
        <f>VLOOKUP($A2252,Presupuesto!$A:$D,4,FALSE())</f>
        <v>0</v>
      </c>
      <c r="F2252" s="11" t="s">
        <v>2589</v>
      </c>
      <c r="G2252" s="12">
        <f>SUM(G2254:G2270)/2</f>
        <v>21695.261395850004</v>
      </c>
      <c r="H2252" s="13">
        <f>ROUND(SUM(H2254:H2270),0)/2</f>
        <v>0</v>
      </c>
      <c r="I2252" s="10">
        <f>VLOOKUP(A2252,Presupuesto!$A:$F,6,0)</f>
        <v>0</v>
      </c>
      <c r="J2252" s="10">
        <f>+H2252-I2252</f>
        <v>0</v>
      </c>
    </row>
    <row r="2253" spans="1:10" ht="12.75" customHeight="1" thickTop="1">
      <c r="A2253" s="14"/>
      <c r="B2253" s="15" t="s">
        <v>2586</v>
      </c>
      <c r="C2253" s="15" t="s">
        <v>5</v>
      </c>
      <c r="D2253" s="16" t="s">
        <v>6</v>
      </c>
      <c r="E2253" s="17" t="s">
        <v>7</v>
      </c>
      <c r="F2253" s="18" t="s">
        <v>3728</v>
      </c>
      <c r="G2253" s="19" t="s">
        <v>3729</v>
      </c>
      <c r="H2253" s="20" t="s">
        <v>3797</v>
      </c>
    </row>
    <row r="2254" spans="1:10" ht="12.75" customHeight="1">
      <c r="A2254" s="21"/>
      <c r="B2254" s="22" t="s">
        <v>3730</v>
      </c>
      <c r="C2254" s="23"/>
      <c r="D2254" s="24"/>
      <c r="E2254" s="25"/>
      <c r="F2254" s="26"/>
      <c r="G2254" s="27">
        <f>SUM(G2255:G2259)</f>
        <v>0</v>
      </c>
      <c r="H2254" s="27">
        <f>IFERROR(G2254*E2252,"")</f>
        <v>0</v>
      </c>
    </row>
    <row r="2255" spans="1:10" ht="12.75" customHeight="1">
      <c r="A2255" s="28"/>
      <c r="B2255" s="29"/>
      <c r="C2255" s="30" t="str">
        <f>IFERROR(_xlfn.XLOOKUP(B2255,Insumo[DESCRIPCION],Insumo[UND],,0),"")</f>
        <v/>
      </c>
      <c r="D2255" s="31"/>
      <c r="E2255" s="32" t="str">
        <f>IFERROR(_xlfn.XLOOKUP($B2255,Insumo[DESCRIPCION],Insumo[VALOR],,0),"")</f>
        <v/>
      </c>
      <c r="F2255" s="33"/>
      <c r="G2255" s="34" t="str">
        <f>IFERROR(IF(F2255&gt;=0,D2255*E2255*(1+F2255/100),ABS(D2255*E2255/F2255)),"")</f>
        <v/>
      </c>
      <c r="H2255" s="43" t="str">
        <f>IFERROR(G2255*E2252,"")</f>
        <v/>
      </c>
    </row>
    <row r="2256" spans="1:10" ht="12.75" customHeight="1">
      <c r="A2256" s="28"/>
      <c r="B2256" s="29"/>
      <c r="C2256" s="30" t="str">
        <f>IFERROR(_xlfn.XLOOKUP(B2256,Insumo[DESCRIPCION],Insumo[UND],,0),"")</f>
        <v/>
      </c>
      <c r="D2256" s="31"/>
      <c r="E2256" s="32" t="str">
        <f>IFERROR(_xlfn.XLOOKUP($B2256,Insumo[DESCRIPCION],Insumo[VALOR],,0),"")</f>
        <v/>
      </c>
      <c r="F2256" s="33"/>
      <c r="G2256" s="34" t="str">
        <f>IFERROR(IF(F2256&gt;=0,D2256*E2256*(1+F2256/100),ABS(D2256*E2256/F2256)),"")</f>
        <v/>
      </c>
      <c r="H2256" s="43" t="str">
        <f>IFERROR(G2256*E2252,"")</f>
        <v/>
      </c>
    </row>
    <row r="2257" spans="1:10" ht="12.75" customHeight="1">
      <c r="A2257" s="28"/>
      <c r="B2257" s="29"/>
      <c r="C2257" s="30" t="str">
        <f>IFERROR(_xlfn.XLOOKUP(B2257,Insumo[DESCRIPCION],Insumo[UND],,0),"")</f>
        <v/>
      </c>
      <c r="D2257" s="31"/>
      <c r="E2257" s="32" t="str">
        <f>IFERROR(_xlfn.XLOOKUP($B2257,Insumo[DESCRIPCION],Insumo[VALOR],,0),"")</f>
        <v/>
      </c>
      <c r="F2257" s="33"/>
      <c r="G2257" s="34" t="str">
        <f>IFERROR(IF(F2257&gt;=0,D2257*E2257*(1+F2257/100),ABS(D2257*E2257/F2257)),"")</f>
        <v/>
      </c>
      <c r="H2257" s="43" t="str">
        <f>IFERROR(G2257*E2252,"")</f>
        <v/>
      </c>
    </row>
    <row r="2258" spans="1:10" ht="12.75" customHeight="1">
      <c r="A2258" s="28"/>
      <c r="B2258" s="29"/>
      <c r="C2258" s="30" t="str">
        <f>IFERROR(_xlfn.XLOOKUP(B2258,Insumo[DESCRIPCION],Insumo[UND],,0),"")</f>
        <v/>
      </c>
      <c r="D2258" s="31"/>
      <c r="E2258" s="32" t="str">
        <f>IFERROR(_xlfn.XLOOKUP($B2258,Insumo[DESCRIPCION],Insumo[VALOR],,0),"")</f>
        <v/>
      </c>
      <c r="F2258" s="33"/>
      <c r="G2258" s="34" t="str">
        <f>IFERROR(IF(F2258&gt;=0,D2258*E2258*(1+F2258/100),ABS(D2258*E2258/F2258)),"")</f>
        <v/>
      </c>
      <c r="H2258" s="43" t="str">
        <f>IFERROR(G2258*E2252,"")</f>
        <v/>
      </c>
    </row>
    <row r="2259" spans="1:10" ht="12.75" customHeight="1">
      <c r="A2259" s="28"/>
      <c r="B2259" s="29"/>
      <c r="C2259" s="30" t="str">
        <f>IFERROR(_xlfn.XLOOKUP(B2259,Insumo[DESCRIPCION],Insumo[UND],,0),"")</f>
        <v/>
      </c>
      <c r="D2259" s="31"/>
      <c r="E2259" s="32" t="str">
        <f>IFERROR(_xlfn.XLOOKUP($B2259,Insumo[DESCRIPCION],Insumo[VALOR],,0),"")</f>
        <v/>
      </c>
      <c r="F2259" s="33"/>
      <c r="G2259" s="34" t="str">
        <f>IFERROR(IF(F2259&gt;=0,D2259*E2259*(1+F2259/100),ABS(D2259*E2259/F2259)),"")</f>
        <v/>
      </c>
      <c r="H2259" s="43" t="str">
        <f>IFERROR(G2259*E2252,"")</f>
        <v/>
      </c>
    </row>
    <row r="2260" spans="1:10" ht="12.75" customHeight="1">
      <c r="A2260" s="21"/>
      <c r="B2260" s="22" t="s">
        <v>3731</v>
      </c>
      <c r="C2260" s="23"/>
      <c r="D2260" s="24"/>
      <c r="E2260" s="25"/>
      <c r="F2260" s="26"/>
      <c r="G2260" s="27">
        <f>SUM(G2261:G2263)</f>
        <v>19366.441018850001</v>
      </c>
      <c r="H2260" s="44">
        <f>G2260*E2252</f>
        <v>0</v>
      </c>
    </row>
    <row r="2261" spans="1:10" ht="12.75" customHeight="1">
      <c r="A2261" s="28"/>
      <c r="B2261" s="29" t="s">
        <v>3646</v>
      </c>
      <c r="C2261" s="30" t="str">
        <f>IFERROR(_xlfn.XLOOKUP(B2261,Equipo[DESCRIPCION],Equipo[UND],,0),"")</f>
        <v>Hr</v>
      </c>
      <c r="D2261" s="31">
        <v>1</v>
      </c>
      <c r="E2261" s="32">
        <f>IF(C2261="%MO",G2267,IFERROR(_xlfn.XLOOKUP($B2261,Equipo[DESCRIPCION],Equipo[VALOR],,0),""))</f>
        <v>288750</v>
      </c>
      <c r="F2261" s="33">
        <v>-15</v>
      </c>
      <c r="G2261" s="34">
        <f>IFERROR(IF(F2261&gt;=0,D2261*E2261*(1+F2261/100),ABS(D2261*E2261/F2261)),"")</f>
        <v>19250</v>
      </c>
      <c r="H2261" s="43">
        <f>IFERROR(G2261*E2252,"")</f>
        <v>0</v>
      </c>
    </row>
    <row r="2262" spans="1:10" ht="12.75" customHeight="1">
      <c r="A2262" s="28"/>
      <c r="B2262" s="29" t="s">
        <v>3626</v>
      </c>
      <c r="C2262" s="30" t="str">
        <f>IFERROR(_xlfn.XLOOKUP(B2262,Equipo[DESCRIPCION],Equipo[UND],,0),"")</f>
        <v>%MO</v>
      </c>
      <c r="D2262" s="31">
        <v>0.05</v>
      </c>
      <c r="E2262" s="32">
        <f>IF(C2262="%MO",G2267,IFERROR(_xlfn.XLOOKUP($B2262,Equipo[DESCRIPCION],Equipo[VALOR],,0),""))</f>
        <v>2328.8203770000005</v>
      </c>
      <c r="F2262" s="33"/>
      <c r="G2262" s="34">
        <f>IFERROR(IF(F2262&gt;=0,D2262*E2262*(1+F2262/100),ABS(D2262*E2262/F2262)),"")</f>
        <v>116.44101885000003</v>
      </c>
      <c r="H2262" s="43">
        <f>IFERROR(G2262*E2252,"")</f>
        <v>0</v>
      </c>
    </row>
    <row r="2263" spans="1:10" ht="12.75" customHeight="1">
      <c r="A2263" s="28"/>
      <c r="B2263" s="29"/>
      <c r="C2263" s="30" t="str">
        <f>IFERROR(_xlfn.XLOOKUP(B2263,Equipo[DESCRIPCION],Equipo[UND],,0),"")</f>
        <v/>
      </c>
      <c r="D2263" s="31"/>
      <c r="E2263" s="32" t="str">
        <f>IF(C2263="%MO",G2267,IFERROR(_xlfn.XLOOKUP($B2263,Equipo[DESCRIPCION],Equipo[VALOR],,0),""))</f>
        <v/>
      </c>
      <c r="F2263" s="33"/>
      <c r="G2263" s="34" t="str">
        <f>IFERROR(IF(F2263&gt;=0,D2263*E2263*(1+F2263/100),ABS(D2263*E2263/F2263)),"")</f>
        <v/>
      </c>
      <c r="H2263" s="43" t="str">
        <f>IFERROR(G2263*E2252,"")</f>
        <v/>
      </c>
    </row>
    <row r="2264" spans="1:10" ht="12.75" customHeight="1">
      <c r="A2264" s="21"/>
      <c r="B2264" s="22" t="s">
        <v>2533</v>
      </c>
      <c r="C2264" s="23"/>
      <c r="D2264" s="24"/>
      <c r="E2264" s="25"/>
      <c r="F2264" s="26"/>
      <c r="G2264" s="27">
        <f>SUM(G2265:G2266)</f>
        <v>0</v>
      </c>
      <c r="H2264" s="44">
        <f>G2264*E2252</f>
        <v>0</v>
      </c>
    </row>
    <row r="2265" spans="1:10" ht="12.75" customHeight="1">
      <c r="A2265" s="28"/>
      <c r="B2265" s="29"/>
      <c r="C2265" s="30" t="str">
        <f>IFERROR(_xlfn.XLOOKUP(B2265,Transporte[DESCRIPCION],Transporte[UND],,0),"")</f>
        <v/>
      </c>
      <c r="D2265" s="31"/>
      <c r="E2265" s="32" t="str">
        <f>IFERROR(_xlfn.XLOOKUP($B2265,Transporte[DESCRIPCION],Transporte[VALOR],,0),"")</f>
        <v/>
      </c>
      <c r="F2265" s="33"/>
      <c r="G2265" s="34" t="str">
        <f>IFERROR(IF(F2265&gt;=0,D2265*E2265*(1+F2265/100),ABS(D2265*E2265/F2265)),"")</f>
        <v/>
      </c>
      <c r="H2265" s="43" t="str">
        <f>IFERROR(G2265*E2252,"")</f>
        <v/>
      </c>
    </row>
    <row r="2266" spans="1:10" ht="12.75" customHeight="1">
      <c r="A2266" s="28"/>
      <c r="B2266" s="29"/>
      <c r="C2266" s="30" t="str">
        <f>IFERROR(_xlfn.XLOOKUP(B2266,Transporte[DESCRIPCION],Transporte[UND],,0),"")</f>
        <v/>
      </c>
      <c r="D2266" s="31"/>
      <c r="E2266" s="32" t="str">
        <f>IFERROR(_xlfn.XLOOKUP($B2266,Transporte[DESCRIPCION],Transporte[VALOR],,0),"")</f>
        <v/>
      </c>
      <c r="F2266" s="33"/>
      <c r="G2266" s="34" t="str">
        <f>IFERROR(IF(F2266&gt;=0,D2266*E2266*(1+F2266/100),ABS(D2266*E2266/F2266)),"")</f>
        <v/>
      </c>
      <c r="H2266" s="43" t="str">
        <f>IFERROR(G2266*E2252,"")</f>
        <v/>
      </c>
    </row>
    <row r="2267" spans="1:10" ht="12.75" customHeight="1">
      <c r="A2267" s="21"/>
      <c r="B2267" s="22" t="s">
        <v>3732</v>
      </c>
      <c r="C2267" s="23"/>
      <c r="D2267" s="24"/>
      <c r="E2267" s="25"/>
      <c r="F2267" s="26"/>
      <c r="G2267" s="27">
        <f>SUM(G2268:G2270)</f>
        <v>2328.8203770000005</v>
      </c>
      <c r="H2267" s="44">
        <f>G2267*E2252</f>
        <v>0</v>
      </c>
    </row>
    <row r="2268" spans="1:10" ht="12.75" customHeight="1">
      <c r="A2268" s="28"/>
      <c r="B2268" s="29" t="s">
        <v>3698</v>
      </c>
      <c r="C2268" s="30" t="str">
        <f>IFERROR(_xlfn.XLOOKUP(B2268,MObra[DESCRIPCION],MObra[UN],,0),"")</f>
        <v>día</v>
      </c>
      <c r="D2268" s="31">
        <v>1</v>
      </c>
      <c r="E2268" s="32">
        <f>IFERROR(_xlfn.XLOOKUP($B2268,MObra[DESCRIPCION],MObra[VALOR UNIT],,0),"")</f>
        <v>116441.01885000002</v>
      </c>
      <c r="F2268" s="33">
        <v>-50</v>
      </c>
      <c r="G2268" s="34">
        <f>IFERROR(IF(F2268&gt;=0,D2268*E2268*(1+F2268/100),ABS(D2268*E2268/F2268)),"")</f>
        <v>2328.8203770000005</v>
      </c>
      <c r="H2268" s="43">
        <f>IFERROR(G2268*E2252,"")</f>
        <v>0</v>
      </c>
    </row>
    <row r="2269" spans="1:10" ht="12.75" customHeight="1">
      <c r="A2269" s="28"/>
      <c r="B2269" s="29"/>
      <c r="C2269" s="30" t="str">
        <f t="array" ref="C2269">IFERROR(_xlfn.XLOOKUP(B2269,MObra[[#All],[DESCRIPCION]],MObra[[#All],[UN]],,0),"")</f>
        <v/>
      </c>
      <c r="D2269" s="31"/>
      <c r="E2269" s="32" t="str">
        <f>IFERROR(_xlfn.XLOOKUP($B2269,MObra[DESCRIPCION],MObra[VALOR UNIT],,0),"")</f>
        <v/>
      </c>
      <c r="F2269" s="33"/>
      <c r="G2269" s="34" t="str">
        <f>IFERROR(IF(F2269&gt;=0,D2269*E2269*(1+F2269/100),ABS(D2269*E2269/F2269)),"")</f>
        <v/>
      </c>
      <c r="H2269" s="43" t="str">
        <f>IFERROR(G2269*E2252,"")</f>
        <v/>
      </c>
    </row>
    <row r="2270" spans="1:10" ht="12.75" customHeight="1" thickBot="1">
      <c r="A2270" s="35"/>
      <c r="B2270" s="36"/>
      <c r="C2270" s="37" t="str">
        <f t="array" ref="C2270">IFERROR(_xlfn.XLOOKUP(B2270,MObra[[#All],[DESCRIPCION]],MObra[[#All],[UN]],,0),"")</f>
        <v/>
      </c>
      <c r="D2270" s="38"/>
      <c r="E2270" s="39" t="str">
        <f>IFERROR(_xlfn.XLOOKUP($B2270,MObra[DESCRIPCION],MObra[VALOR UNIT],,0),"")</f>
        <v/>
      </c>
      <c r="F2270" s="40"/>
      <c r="G2270" s="41" t="str">
        <f>IFERROR(IF(F2270&gt;=0,D2270*E2270*(1+F2270/100),ABS(D2270*E2270/F2270)),"")</f>
        <v/>
      </c>
      <c r="H2270" s="42" t="str">
        <f>IFERROR(G2270*E2252,"")</f>
        <v/>
      </c>
    </row>
    <row r="2271" spans="1:10" ht="12.75" customHeight="1" thickTop="1" thickBot="1">
      <c r="E2271" s="49"/>
      <c r="G2271" s="3"/>
    </row>
    <row r="2272" spans="1:10" ht="12.75" customHeight="1" thickTop="1" thickBot="1">
      <c r="A2272" s="6" t="s">
        <v>248</v>
      </c>
      <c r="B2272" s="7" t="str">
        <f>VLOOKUP($A2272,Presupuesto!$A:$D,2,FALSE())</f>
        <v>Excavación material común seco H=0-1,5 m manual</v>
      </c>
      <c r="C2272" s="8" t="str">
        <f>VLOOKUP($A2272,Presupuesto!$A:$D,3,FALSE())</f>
        <v>M3</v>
      </c>
      <c r="D2272" s="9"/>
      <c r="E2272" s="10">
        <f>VLOOKUP($A2272,Presupuesto!$A:$D,4,FALSE())</f>
        <v>0</v>
      </c>
      <c r="F2272" s="11" t="s">
        <v>2589</v>
      </c>
      <c r="G2272" s="12">
        <f>SUM(G2274:G2290)/2</f>
        <v>52518.914708896569</v>
      </c>
      <c r="H2272" s="13">
        <f>ROUND(SUM(H2274:H2290),0)/2</f>
        <v>0</v>
      </c>
      <c r="I2272" s="10">
        <f>VLOOKUP(A2272,Presupuesto!$A:$F,6,0)</f>
        <v>0</v>
      </c>
      <c r="J2272" s="10">
        <f>+H2272-I2272</f>
        <v>0</v>
      </c>
    </row>
    <row r="2273" spans="1:8" ht="12.75" customHeight="1" thickTop="1">
      <c r="A2273" s="14"/>
      <c r="B2273" s="15" t="s">
        <v>2586</v>
      </c>
      <c r="C2273" s="15" t="s">
        <v>5</v>
      </c>
      <c r="D2273" s="16" t="s">
        <v>6</v>
      </c>
      <c r="E2273" s="17" t="s">
        <v>7</v>
      </c>
      <c r="F2273" s="18" t="s">
        <v>3728</v>
      </c>
      <c r="G2273" s="19" t="s">
        <v>3729</v>
      </c>
      <c r="H2273" s="20" t="s">
        <v>3797</v>
      </c>
    </row>
    <row r="2274" spans="1:8" ht="12.75" customHeight="1">
      <c r="A2274" s="21"/>
      <c r="B2274" s="22" t="s">
        <v>3730</v>
      </c>
      <c r="C2274" s="23"/>
      <c r="D2274" s="24"/>
      <c r="E2274" s="25"/>
      <c r="F2274" s="26"/>
      <c r="G2274" s="27">
        <f>SUM(G2275:G2279)</f>
        <v>0</v>
      </c>
      <c r="H2274" s="27">
        <f>IFERROR(G2274*E2272,"")</f>
        <v>0</v>
      </c>
    </row>
    <row r="2275" spans="1:8" ht="12.75" customHeight="1">
      <c r="A2275" s="28"/>
      <c r="B2275" s="29"/>
      <c r="C2275" s="30" t="str">
        <f>IFERROR(_xlfn.XLOOKUP(B2275,Insumo[DESCRIPCION],Insumo[UND],,0),"")</f>
        <v/>
      </c>
      <c r="D2275" s="31"/>
      <c r="E2275" s="32" t="str">
        <f>IFERROR(_xlfn.XLOOKUP($B2275,Insumo[DESCRIPCION],Insumo[VALOR],,0),"")</f>
        <v/>
      </c>
      <c r="F2275" s="33"/>
      <c r="G2275" s="34" t="str">
        <f>IFERROR(IF(F2275&gt;=0,D2275*E2275*(1+F2275/100),ABS(D2275*E2275/F2275)),"")</f>
        <v/>
      </c>
      <c r="H2275" s="43" t="str">
        <f>IFERROR(G2275*E2272,"")</f>
        <v/>
      </c>
    </row>
    <row r="2276" spans="1:8" ht="12.75" customHeight="1">
      <c r="A2276" s="28"/>
      <c r="B2276" s="29"/>
      <c r="C2276" s="30" t="str">
        <f>IFERROR(_xlfn.XLOOKUP(B2276,Insumo[DESCRIPCION],Insumo[UND],,0),"")</f>
        <v/>
      </c>
      <c r="D2276" s="31"/>
      <c r="E2276" s="32" t="str">
        <f>IFERROR(_xlfn.XLOOKUP($B2276,Insumo[DESCRIPCION],Insumo[VALOR],,0),"")</f>
        <v/>
      </c>
      <c r="F2276" s="33"/>
      <c r="G2276" s="34" t="str">
        <f>IFERROR(IF(F2276&gt;=0,D2276*E2276*(1+F2276/100),ABS(D2276*E2276/F2276)),"")</f>
        <v/>
      </c>
      <c r="H2276" s="43" t="str">
        <f>IFERROR(G2276*E2272,"")</f>
        <v/>
      </c>
    </row>
    <row r="2277" spans="1:8" ht="12.75" customHeight="1">
      <c r="A2277" s="28"/>
      <c r="B2277" s="29"/>
      <c r="C2277" s="30" t="str">
        <f>IFERROR(_xlfn.XLOOKUP(B2277,Insumo[DESCRIPCION],Insumo[UND],,0),"")</f>
        <v/>
      </c>
      <c r="D2277" s="31"/>
      <c r="E2277" s="32" t="str">
        <f>IFERROR(_xlfn.XLOOKUP($B2277,Insumo[DESCRIPCION],Insumo[VALOR],,0),"")</f>
        <v/>
      </c>
      <c r="F2277" s="33"/>
      <c r="G2277" s="34" t="str">
        <f>IFERROR(IF(F2277&gt;=0,D2277*E2277*(1+F2277/100),ABS(D2277*E2277/F2277)),"")</f>
        <v/>
      </c>
      <c r="H2277" s="43" t="str">
        <f>IFERROR(G2277*E2272,"")</f>
        <v/>
      </c>
    </row>
    <row r="2278" spans="1:8" ht="12.75" customHeight="1">
      <c r="A2278" s="28"/>
      <c r="B2278" s="29"/>
      <c r="C2278" s="30" t="str">
        <f>IFERROR(_xlfn.XLOOKUP(B2278,Insumo[DESCRIPCION],Insumo[UND],,0),"")</f>
        <v/>
      </c>
      <c r="D2278" s="31"/>
      <c r="E2278" s="32" t="str">
        <f>IFERROR(_xlfn.XLOOKUP($B2278,Insumo[DESCRIPCION],Insumo[VALOR],,0),"")</f>
        <v/>
      </c>
      <c r="F2278" s="33"/>
      <c r="G2278" s="34" t="str">
        <f>IFERROR(IF(F2278&gt;=0,D2278*E2278*(1+F2278/100),ABS(D2278*E2278/F2278)),"")</f>
        <v/>
      </c>
      <c r="H2278" s="43" t="str">
        <f>IFERROR(G2278*E2272,"")</f>
        <v/>
      </c>
    </row>
    <row r="2279" spans="1:8" ht="12.75" customHeight="1">
      <c r="A2279" s="28"/>
      <c r="B2279" s="29"/>
      <c r="C2279" s="30" t="str">
        <f>IFERROR(_xlfn.XLOOKUP(B2279,Insumo[DESCRIPCION],Insumo[UND],,0),"")</f>
        <v/>
      </c>
      <c r="D2279" s="31"/>
      <c r="E2279" s="32" t="str">
        <f>IFERROR(_xlfn.XLOOKUP($B2279,Insumo[DESCRIPCION],Insumo[VALOR],,0),"")</f>
        <v/>
      </c>
      <c r="F2279" s="33"/>
      <c r="G2279" s="34" t="str">
        <f>IFERROR(IF(F2279&gt;=0,D2279*E2279*(1+F2279/100),ABS(D2279*E2279/F2279)),"")</f>
        <v/>
      </c>
      <c r="H2279" s="43" t="str">
        <f>IFERROR(G2279*E2272,"")</f>
        <v/>
      </c>
    </row>
    <row r="2280" spans="1:8" ht="12.75" customHeight="1">
      <c r="A2280" s="21"/>
      <c r="B2280" s="22" t="s">
        <v>3731</v>
      </c>
      <c r="C2280" s="23"/>
      <c r="D2280" s="24"/>
      <c r="E2280" s="25"/>
      <c r="F2280" s="26"/>
      <c r="G2280" s="27">
        <f>SUM(G2281:G2283)</f>
        <v>4336.4241502758632</v>
      </c>
      <c r="H2280" s="44">
        <f>G2280*E2272</f>
        <v>0</v>
      </c>
    </row>
    <row r="2281" spans="1:8" ht="12.75" customHeight="1">
      <c r="A2281" s="28"/>
      <c r="B2281" s="29" t="s">
        <v>3570</v>
      </c>
      <c r="C2281" s="30" t="str">
        <f>IFERROR(_xlfn.XLOOKUP(B2281,Equipo[DESCRIPCION],Equipo[UND],,0),"")</f>
        <v>%MO</v>
      </c>
      <c r="D2281" s="31">
        <v>0.04</v>
      </c>
      <c r="E2281" s="32">
        <f>IF(C2281="%MO",G2287,IFERROR(_xlfn.XLOOKUP($B2281,Equipo[DESCRIPCION],Equipo[VALOR],,0),""))</f>
        <v>48182.490558620702</v>
      </c>
      <c r="F2281" s="33"/>
      <c r="G2281" s="34">
        <f>IFERROR(IF(F2281&gt;=0,D2281*E2281*(1+F2281/100),ABS(D2281*E2281/F2281)),"")</f>
        <v>1927.2996223448281</v>
      </c>
      <c r="H2281" s="43">
        <f>IFERROR(G2281*E2272,"")</f>
        <v>0</v>
      </c>
    </row>
    <row r="2282" spans="1:8" ht="12.75" customHeight="1">
      <c r="A2282" s="28"/>
      <c r="B2282" s="29" t="s">
        <v>3626</v>
      </c>
      <c r="C2282" s="30" t="str">
        <f>IFERROR(_xlfn.XLOOKUP(B2282,Equipo[DESCRIPCION],Equipo[UND],,0),"")</f>
        <v>%MO</v>
      </c>
      <c r="D2282" s="31">
        <v>0.05</v>
      </c>
      <c r="E2282" s="32">
        <f>IF(C2282="%MO",G2287,IFERROR(_xlfn.XLOOKUP($B2282,Equipo[DESCRIPCION],Equipo[VALOR],,0),""))</f>
        <v>48182.490558620702</v>
      </c>
      <c r="F2282" s="33"/>
      <c r="G2282" s="34">
        <f>IFERROR(IF(F2282&gt;=0,D2282*E2282*(1+F2282/100),ABS(D2282*E2282/F2282)),"")</f>
        <v>2409.1245279310351</v>
      </c>
      <c r="H2282" s="43">
        <f>IFERROR(G2282*E2272,"")</f>
        <v>0</v>
      </c>
    </row>
    <row r="2283" spans="1:8" ht="12.75" customHeight="1">
      <c r="A2283" s="28"/>
      <c r="B2283" s="29"/>
      <c r="C2283" s="30" t="str">
        <f>IFERROR(_xlfn.XLOOKUP(B2283,Equipo[DESCRIPCION],Equipo[UND],,0),"")</f>
        <v/>
      </c>
      <c r="D2283" s="31"/>
      <c r="E2283" s="32" t="str">
        <f>IF(C2283="%MO",G2287,IFERROR(_xlfn.XLOOKUP($B2283,Equipo[DESCRIPCION],Equipo[VALOR],,0),""))</f>
        <v/>
      </c>
      <c r="F2283" s="33"/>
      <c r="G2283" s="34" t="str">
        <f>IFERROR(IF(F2283&gt;=0,D2283*E2283*(1+F2283/100),ABS(D2283*E2283/F2283)),"")</f>
        <v/>
      </c>
      <c r="H2283" s="43" t="str">
        <f>IFERROR(G2283*E2272,"")</f>
        <v/>
      </c>
    </row>
    <row r="2284" spans="1:8" ht="12.75" customHeight="1">
      <c r="A2284" s="21"/>
      <c r="B2284" s="22" t="s">
        <v>2533</v>
      </c>
      <c r="C2284" s="23"/>
      <c r="D2284" s="24"/>
      <c r="E2284" s="25"/>
      <c r="F2284" s="26"/>
      <c r="G2284" s="27">
        <f>SUM(G2285:G2286)</f>
        <v>0</v>
      </c>
      <c r="H2284" s="44">
        <f>G2284*E2272</f>
        <v>0</v>
      </c>
    </row>
    <row r="2285" spans="1:8" ht="12.75" customHeight="1">
      <c r="A2285" s="28"/>
      <c r="B2285" s="29"/>
      <c r="C2285" s="30" t="str">
        <f>IFERROR(_xlfn.XLOOKUP(B2285,Transporte[DESCRIPCION],Transporte[UND],,0),"")</f>
        <v/>
      </c>
      <c r="D2285" s="31"/>
      <c r="E2285" s="32" t="str">
        <f>IFERROR(_xlfn.XLOOKUP($B2285,Transporte[DESCRIPCION],Transporte[VALOR],,0),"")</f>
        <v/>
      </c>
      <c r="F2285" s="33"/>
      <c r="G2285" s="34" t="str">
        <f>IFERROR(IF(F2285&gt;=0,D2285*E2285*(1+F2285/100),ABS(D2285*E2285/F2285)),"")</f>
        <v/>
      </c>
      <c r="H2285" s="43" t="str">
        <f>IFERROR(G2285*E2272,"")</f>
        <v/>
      </c>
    </row>
    <row r="2286" spans="1:8" ht="12.75" customHeight="1">
      <c r="A2286" s="28"/>
      <c r="B2286" s="29"/>
      <c r="C2286" s="30" t="str">
        <f>IFERROR(_xlfn.XLOOKUP(B2286,Transporte[DESCRIPCION],Transporte[UND],,0),"")</f>
        <v/>
      </c>
      <c r="D2286" s="31"/>
      <c r="E2286" s="32" t="str">
        <f>IFERROR(_xlfn.XLOOKUP($B2286,Transporte[DESCRIPCION],Transporte[VALOR],,0),"")</f>
        <v/>
      </c>
      <c r="F2286" s="33"/>
      <c r="G2286" s="34" t="str">
        <f>IFERROR(IF(F2286&gt;=0,D2286*E2286*(1+F2286/100),ABS(D2286*E2286/F2286)),"")</f>
        <v/>
      </c>
      <c r="H2286" s="43" t="str">
        <f>IFERROR(G2286*E2272,"")</f>
        <v/>
      </c>
    </row>
    <row r="2287" spans="1:8" ht="12.75" customHeight="1">
      <c r="A2287" s="21"/>
      <c r="B2287" s="22" t="s">
        <v>3732</v>
      </c>
      <c r="C2287" s="23"/>
      <c r="D2287" s="24"/>
      <c r="E2287" s="25"/>
      <c r="F2287" s="26"/>
      <c r="G2287" s="27">
        <f>SUM(G2288:G2290)</f>
        <v>48182.490558620702</v>
      </c>
      <c r="H2287" s="44">
        <f>G2287*E2272</f>
        <v>0</v>
      </c>
    </row>
    <row r="2288" spans="1:8" ht="12.75" customHeight="1">
      <c r="A2288" s="28"/>
      <c r="B2288" s="29" t="s">
        <v>3722</v>
      </c>
      <c r="C2288" s="30" t="str">
        <f>IFERROR(_xlfn.XLOOKUP(B2288,MObra[DESCRIPCION],MObra[UN],,0),"")</f>
        <v>día</v>
      </c>
      <c r="D2288" s="31">
        <v>1</v>
      </c>
      <c r="E2288" s="32">
        <f>IFERROR(_xlfn.XLOOKUP($B2288,MObra[DESCRIPCION],MObra[VALOR UNIT],,0),"")</f>
        <v>349323.0565500001</v>
      </c>
      <c r="F2288" s="33">
        <v>-7.25</v>
      </c>
      <c r="G2288" s="34">
        <f>IFERROR(IF(F2288&gt;=0,D2288*E2288*(1+F2288/100),ABS(D2288*E2288/F2288)),"")</f>
        <v>48182.490558620702</v>
      </c>
      <c r="H2288" s="43">
        <f>IFERROR(G2288*E2272,"")</f>
        <v>0</v>
      </c>
    </row>
    <row r="2289" spans="1:10" ht="12.75" customHeight="1">
      <c r="A2289" s="28"/>
      <c r="B2289" s="29"/>
      <c r="C2289" s="30" t="str">
        <f t="array" ref="C2289">IFERROR(_xlfn.XLOOKUP(B2289,MObra[[#All],[DESCRIPCION]],MObra[[#All],[UN]],,0),"")</f>
        <v/>
      </c>
      <c r="D2289" s="31"/>
      <c r="E2289" s="32" t="str">
        <f>IFERROR(_xlfn.XLOOKUP($B2289,MObra[DESCRIPCION],MObra[VALOR UNIT],,0),"")</f>
        <v/>
      </c>
      <c r="F2289" s="33"/>
      <c r="G2289" s="34" t="str">
        <f>IFERROR(IF(F2289&gt;=0,D2289*E2289*(1+F2289/100),ABS(D2289*E2289/F2289)),"")</f>
        <v/>
      </c>
      <c r="H2289" s="43" t="str">
        <f>IFERROR(G2289*E2272,"")</f>
        <v/>
      </c>
    </row>
    <row r="2290" spans="1:10" ht="12.75" customHeight="1" thickBot="1">
      <c r="A2290" s="35"/>
      <c r="B2290" s="36"/>
      <c r="C2290" s="37" t="str">
        <f t="array" ref="C2290">IFERROR(_xlfn.XLOOKUP(B2290,MObra[[#All],[DESCRIPCION]],MObra[[#All],[UN]],,0),"")</f>
        <v/>
      </c>
      <c r="D2290" s="38"/>
      <c r="E2290" s="39" t="str">
        <f>IFERROR(_xlfn.XLOOKUP($B2290,MObra[DESCRIPCION],MObra[VALOR UNIT],,0),"")</f>
        <v/>
      </c>
      <c r="F2290" s="40"/>
      <c r="G2290" s="41" t="str">
        <f>IFERROR(IF(F2290&gt;=0,D2290*E2290*(1+F2290/100),ABS(D2290*E2290/F2290)),"")</f>
        <v/>
      </c>
      <c r="H2290" s="42" t="str">
        <f>IFERROR(G2290*E2272,"")</f>
        <v/>
      </c>
    </row>
    <row r="2291" spans="1:10" ht="12.75" customHeight="1" thickTop="1" thickBot="1">
      <c r="E2291" s="49"/>
      <c r="G2291" s="3"/>
    </row>
    <row r="2292" spans="1:10" ht="12.75" customHeight="1" thickTop="1" thickBot="1">
      <c r="A2292" s="6" t="s">
        <v>250</v>
      </c>
      <c r="B2292" s="7" t="str">
        <f>VLOOKUP($A2292,Presupuesto!$A:$D,2,FALSE())</f>
        <v>Excavación material común seco H=1,5-4 m manual</v>
      </c>
      <c r="C2292" s="8" t="str">
        <f>VLOOKUP($A2292,Presupuesto!$A:$D,3,FALSE())</f>
        <v>M3</v>
      </c>
      <c r="D2292" s="9"/>
      <c r="E2292" s="10">
        <f>VLOOKUP($A2292,Presupuesto!$A:$D,4,FALSE())</f>
        <v>0</v>
      </c>
      <c r="F2292" s="11" t="s">
        <v>2589</v>
      </c>
      <c r="G2292" s="12">
        <f>SUM(G2294:G2310)/2</f>
        <v>60921.941062320016</v>
      </c>
      <c r="H2292" s="13">
        <f>ROUND(SUM(H2294:H2310),0)/2</f>
        <v>0</v>
      </c>
      <c r="I2292" s="10">
        <f>VLOOKUP(A2292,Presupuesto!$A:$F,6,0)</f>
        <v>0</v>
      </c>
      <c r="J2292" s="10">
        <f>+H2292-I2292</f>
        <v>0</v>
      </c>
    </row>
    <row r="2293" spans="1:10" ht="12.75" customHeight="1" thickTop="1">
      <c r="A2293" s="14"/>
      <c r="B2293" s="15" t="s">
        <v>2586</v>
      </c>
      <c r="C2293" s="15" t="s">
        <v>5</v>
      </c>
      <c r="D2293" s="16" t="s">
        <v>6</v>
      </c>
      <c r="E2293" s="17" t="s">
        <v>7</v>
      </c>
      <c r="F2293" s="18" t="s">
        <v>3728</v>
      </c>
      <c r="G2293" s="19" t="s">
        <v>3729</v>
      </c>
      <c r="H2293" s="20" t="s">
        <v>3797</v>
      </c>
    </row>
    <row r="2294" spans="1:10" ht="12.75" customHeight="1">
      <c r="A2294" s="21"/>
      <c r="B2294" s="22" t="s">
        <v>3730</v>
      </c>
      <c r="C2294" s="23"/>
      <c r="D2294" s="24"/>
      <c r="E2294" s="25"/>
      <c r="F2294" s="26"/>
      <c r="G2294" s="27">
        <f>SUM(G2295:G2299)</f>
        <v>0</v>
      </c>
      <c r="H2294" s="27">
        <f>IFERROR(G2294*E2292,"")</f>
        <v>0</v>
      </c>
    </row>
    <row r="2295" spans="1:10" ht="12.75" customHeight="1">
      <c r="A2295" s="28"/>
      <c r="B2295" s="29"/>
      <c r="C2295" s="30" t="str">
        <f>IFERROR(_xlfn.XLOOKUP(B2295,Insumo[DESCRIPCION],Insumo[UND],,0),"")</f>
        <v/>
      </c>
      <c r="D2295" s="31"/>
      <c r="E2295" s="32" t="str">
        <f>IFERROR(_xlfn.XLOOKUP($B2295,Insumo[DESCRIPCION],Insumo[VALOR],,0),"")</f>
        <v/>
      </c>
      <c r="F2295" s="33"/>
      <c r="G2295" s="34" t="str">
        <f>IFERROR(IF(F2295&gt;=0,D2295*E2295*(1+F2295/100),ABS(D2295*E2295/F2295)),"")</f>
        <v/>
      </c>
      <c r="H2295" s="43" t="str">
        <f>IFERROR(G2295*E2292,"")</f>
        <v/>
      </c>
    </row>
    <row r="2296" spans="1:10" ht="12.75" customHeight="1">
      <c r="A2296" s="28"/>
      <c r="B2296" s="29"/>
      <c r="C2296" s="30" t="str">
        <f>IFERROR(_xlfn.XLOOKUP(B2296,Insumo[DESCRIPCION],Insumo[UND],,0),"")</f>
        <v/>
      </c>
      <c r="D2296" s="31"/>
      <c r="E2296" s="32" t="str">
        <f>IFERROR(_xlfn.XLOOKUP($B2296,Insumo[DESCRIPCION],Insumo[VALOR],,0),"")</f>
        <v/>
      </c>
      <c r="F2296" s="33"/>
      <c r="G2296" s="34" t="str">
        <f>IFERROR(IF(F2296&gt;=0,D2296*E2296*(1+F2296/100),ABS(D2296*E2296/F2296)),"")</f>
        <v/>
      </c>
      <c r="H2296" s="43" t="str">
        <f>IFERROR(G2296*E2292,"")</f>
        <v/>
      </c>
    </row>
    <row r="2297" spans="1:10" ht="12.75" customHeight="1">
      <c r="A2297" s="28"/>
      <c r="B2297" s="29"/>
      <c r="C2297" s="30" t="str">
        <f>IFERROR(_xlfn.XLOOKUP(B2297,Insumo[DESCRIPCION],Insumo[UND],,0),"")</f>
        <v/>
      </c>
      <c r="D2297" s="31"/>
      <c r="E2297" s="32" t="str">
        <f>IFERROR(_xlfn.XLOOKUP($B2297,Insumo[DESCRIPCION],Insumo[VALOR],,0),"")</f>
        <v/>
      </c>
      <c r="F2297" s="33"/>
      <c r="G2297" s="34" t="str">
        <f>IFERROR(IF(F2297&gt;=0,D2297*E2297*(1+F2297/100),ABS(D2297*E2297/F2297)),"")</f>
        <v/>
      </c>
      <c r="H2297" s="43" t="str">
        <f>IFERROR(G2297*E2292,"")</f>
        <v/>
      </c>
    </row>
    <row r="2298" spans="1:10" ht="12.75" customHeight="1">
      <c r="A2298" s="28"/>
      <c r="B2298" s="29"/>
      <c r="C2298" s="30" t="str">
        <f>IFERROR(_xlfn.XLOOKUP(B2298,Insumo[DESCRIPCION],Insumo[UND],,0),"")</f>
        <v/>
      </c>
      <c r="D2298" s="31"/>
      <c r="E2298" s="32" t="str">
        <f>IFERROR(_xlfn.XLOOKUP($B2298,Insumo[DESCRIPCION],Insumo[VALOR],,0),"")</f>
        <v/>
      </c>
      <c r="F2298" s="33"/>
      <c r="G2298" s="34" t="str">
        <f>IFERROR(IF(F2298&gt;=0,D2298*E2298*(1+F2298/100),ABS(D2298*E2298/F2298)),"")</f>
        <v/>
      </c>
      <c r="H2298" s="43" t="str">
        <f>IFERROR(G2298*E2292,"")</f>
        <v/>
      </c>
    </row>
    <row r="2299" spans="1:10" ht="12.75" customHeight="1">
      <c r="A2299" s="28"/>
      <c r="B2299" s="29"/>
      <c r="C2299" s="30" t="str">
        <f>IFERROR(_xlfn.XLOOKUP(B2299,Insumo[DESCRIPCION],Insumo[UND],,0),"")</f>
        <v/>
      </c>
      <c r="D2299" s="31"/>
      <c r="E2299" s="32" t="str">
        <f>IFERROR(_xlfn.XLOOKUP($B2299,Insumo[DESCRIPCION],Insumo[VALOR],,0),"")</f>
        <v/>
      </c>
      <c r="F2299" s="33"/>
      <c r="G2299" s="34" t="str">
        <f>IFERROR(IF(F2299&gt;=0,D2299*E2299*(1+F2299/100),ABS(D2299*E2299/F2299)),"")</f>
        <v/>
      </c>
      <c r="H2299" s="43" t="str">
        <f>IFERROR(G2299*E2292,"")</f>
        <v/>
      </c>
    </row>
    <row r="2300" spans="1:10" ht="12.75" customHeight="1">
      <c r="A2300" s="21"/>
      <c r="B2300" s="22" t="s">
        <v>3731</v>
      </c>
      <c r="C2300" s="23"/>
      <c r="D2300" s="24"/>
      <c r="E2300" s="25"/>
      <c r="F2300" s="26"/>
      <c r="G2300" s="27">
        <f>SUM(G2301:G2303)</f>
        <v>5030.2520143200018</v>
      </c>
      <c r="H2300" s="44">
        <f>G2300*E2292</f>
        <v>0</v>
      </c>
    </row>
    <row r="2301" spans="1:10" ht="12.75" customHeight="1">
      <c r="A2301" s="28"/>
      <c r="B2301" s="29" t="s">
        <v>3570</v>
      </c>
      <c r="C2301" s="30" t="str">
        <f>IFERROR(_xlfn.XLOOKUP(B2301,Equipo[DESCRIPCION],Equipo[UND],,0),"")</f>
        <v>%MO</v>
      </c>
      <c r="D2301" s="31">
        <v>0.04</v>
      </c>
      <c r="E2301" s="32">
        <f>IF(C2301="%MO",G2307,IFERROR(_xlfn.XLOOKUP($B2301,Equipo[DESCRIPCION],Equipo[VALOR],,0),""))</f>
        <v>55891.689048000015</v>
      </c>
      <c r="F2301" s="33"/>
      <c r="G2301" s="34">
        <f>IFERROR(IF(F2301&gt;=0,D2301*E2301*(1+F2301/100),ABS(D2301*E2301/F2301)),"")</f>
        <v>2235.6675619200005</v>
      </c>
      <c r="H2301" s="43">
        <f>IFERROR(G2301*E2292,"")</f>
        <v>0</v>
      </c>
    </row>
    <row r="2302" spans="1:10" ht="12.75" customHeight="1">
      <c r="A2302" s="28"/>
      <c r="B2302" s="29" t="s">
        <v>3626</v>
      </c>
      <c r="C2302" s="30" t="str">
        <f>IFERROR(_xlfn.XLOOKUP(B2302,Equipo[DESCRIPCION],Equipo[UND],,0),"")</f>
        <v>%MO</v>
      </c>
      <c r="D2302" s="31">
        <v>0.05</v>
      </c>
      <c r="E2302" s="32">
        <f>IF(C2302="%MO",G2307,IFERROR(_xlfn.XLOOKUP($B2302,Equipo[DESCRIPCION],Equipo[VALOR],,0),""))</f>
        <v>55891.689048000015</v>
      </c>
      <c r="F2302" s="33"/>
      <c r="G2302" s="34">
        <f>IFERROR(IF(F2302&gt;=0,D2302*E2302*(1+F2302/100),ABS(D2302*E2302/F2302)),"")</f>
        <v>2794.5844524000008</v>
      </c>
      <c r="H2302" s="43">
        <f>IFERROR(G2302*E2292,"")</f>
        <v>0</v>
      </c>
    </row>
    <row r="2303" spans="1:10" ht="12.75" customHeight="1">
      <c r="A2303" s="28"/>
      <c r="B2303" s="29"/>
      <c r="C2303" s="30" t="str">
        <f>IFERROR(_xlfn.XLOOKUP(B2303,Equipo[DESCRIPCION],Equipo[UND],,0),"")</f>
        <v/>
      </c>
      <c r="D2303" s="31"/>
      <c r="E2303" s="32" t="str">
        <f>IF(C2303="%MO",G2307,IFERROR(_xlfn.XLOOKUP($B2303,Equipo[DESCRIPCION],Equipo[VALOR],,0),""))</f>
        <v/>
      </c>
      <c r="F2303" s="33"/>
      <c r="G2303" s="34" t="str">
        <f>IFERROR(IF(F2303&gt;=0,D2303*E2303*(1+F2303/100),ABS(D2303*E2303/F2303)),"")</f>
        <v/>
      </c>
      <c r="H2303" s="43" t="str">
        <f>IFERROR(G2303*E2292,"")</f>
        <v/>
      </c>
    </row>
    <row r="2304" spans="1:10" ht="12.75" customHeight="1">
      <c r="A2304" s="21"/>
      <c r="B2304" s="22" t="s">
        <v>2533</v>
      </c>
      <c r="C2304" s="23"/>
      <c r="D2304" s="24"/>
      <c r="E2304" s="25"/>
      <c r="F2304" s="26"/>
      <c r="G2304" s="27">
        <f>SUM(G2305:G2306)</f>
        <v>0</v>
      </c>
      <c r="H2304" s="44">
        <f>G2304*E2292</f>
        <v>0</v>
      </c>
    </row>
    <row r="2305" spans="1:10" ht="12.75" customHeight="1">
      <c r="A2305" s="28"/>
      <c r="B2305" s="29"/>
      <c r="C2305" s="30" t="str">
        <f>IFERROR(_xlfn.XLOOKUP(B2305,Transporte[DESCRIPCION],Transporte[UND],,0),"")</f>
        <v/>
      </c>
      <c r="D2305" s="31"/>
      <c r="E2305" s="32" t="str">
        <f>IFERROR(_xlfn.XLOOKUP($B2305,Transporte[DESCRIPCION],Transporte[VALOR],,0),"")</f>
        <v/>
      </c>
      <c r="F2305" s="33"/>
      <c r="G2305" s="34" t="str">
        <f>IFERROR(IF(F2305&gt;=0,D2305*E2305*(1+F2305/100),ABS(D2305*E2305/F2305)),"")</f>
        <v/>
      </c>
      <c r="H2305" s="43" t="str">
        <f>IFERROR(G2305*E2292,"")</f>
        <v/>
      </c>
    </row>
    <row r="2306" spans="1:10" ht="12.75" customHeight="1">
      <c r="A2306" s="28"/>
      <c r="B2306" s="29"/>
      <c r="C2306" s="30" t="str">
        <f>IFERROR(_xlfn.XLOOKUP(B2306,Transporte[DESCRIPCION],Transporte[UND],,0),"")</f>
        <v/>
      </c>
      <c r="D2306" s="31"/>
      <c r="E2306" s="32" t="str">
        <f>IFERROR(_xlfn.XLOOKUP($B2306,Transporte[DESCRIPCION],Transporte[VALOR],,0),"")</f>
        <v/>
      </c>
      <c r="F2306" s="33"/>
      <c r="G2306" s="34" t="str">
        <f>IFERROR(IF(F2306&gt;=0,D2306*E2306*(1+F2306/100),ABS(D2306*E2306/F2306)),"")</f>
        <v/>
      </c>
      <c r="H2306" s="43" t="str">
        <f>IFERROR(G2306*E2292,"")</f>
        <v/>
      </c>
    </row>
    <row r="2307" spans="1:10" ht="12.75" customHeight="1">
      <c r="A2307" s="21"/>
      <c r="B2307" s="22" t="s">
        <v>3732</v>
      </c>
      <c r="C2307" s="23"/>
      <c r="D2307" s="24"/>
      <c r="E2307" s="25"/>
      <c r="F2307" s="26"/>
      <c r="G2307" s="27">
        <f>SUM(G2308:G2310)</f>
        <v>55891.689048000015</v>
      </c>
      <c r="H2307" s="44">
        <f>G2307*E2292</f>
        <v>0</v>
      </c>
    </row>
    <row r="2308" spans="1:10" ht="12.75" customHeight="1">
      <c r="A2308" s="28"/>
      <c r="B2308" s="29" t="s">
        <v>3722</v>
      </c>
      <c r="C2308" s="30" t="str">
        <f>IFERROR(_xlfn.XLOOKUP(B2308,MObra[DESCRIPCION],MObra[UN],,0),"")</f>
        <v>día</v>
      </c>
      <c r="D2308" s="31">
        <v>1</v>
      </c>
      <c r="E2308" s="32">
        <f>IFERROR(_xlfn.XLOOKUP($B2308,MObra[DESCRIPCION],MObra[VALOR UNIT],,0),"")</f>
        <v>349323.0565500001</v>
      </c>
      <c r="F2308" s="33">
        <v>-6.25</v>
      </c>
      <c r="G2308" s="34">
        <f>IFERROR(IF(F2308&gt;=0,D2308*E2308*(1+F2308/100),ABS(D2308*E2308/F2308)),"")</f>
        <v>55891.689048000015</v>
      </c>
      <c r="H2308" s="43">
        <f>IFERROR(G2308*E2292,"")</f>
        <v>0</v>
      </c>
    </row>
    <row r="2309" spans="1:10" ht="12.75" customHeight="1">
      <c r="A2309" s="28"/>
      <c r="B2309" s="29"/>
      <c r="C2309" s="30" t="str">
        <f t="array" ref="C2309">IFERROR(_xlfn.XLOOKUP(B2309,MObra[[#All],[DESCRIPCION]],MObra[[#All],[UN]],,0),"")</f>
        <v/>
      </c>
      <c r="D2309" s="31"/>
      <c r="E2309" s="32" t="str">
        <f>IFERROR(_xlfn.XLOOKUP($B2309,MObra[DESCRIPCION],MObra[VALOR UNIT],,0),"")</f>
        <v/>
      </c>
      <c r="F2309" s="33"/>
      <c r="G2309" s="34" t="str">
        <f>IFERROR(IF(F2309&gt;=0,D2309*E2309*(1+F2309/100),ABS(D2309*E2309/F2309)),"")</f>
        <v/>
      </c>
      <c r="H2309" s="43" t="str">
        <f>IFERROR(G2309*E2292,"")</f>
        <v/>
      </c>
    </row>
    <row r="2310" spans="1:10" ht="12.75" customHeight="1" thickBot="1">
      <c r="A2310" s="35"/>
      <c r="B2310" s="36"/>
      <c r="C2310" s="37" t="str">
        <f t="array" ref="C2310">IFERROR(_xlfn.XLOOKUP(B2310,MObra[[#All],[DESCRIPCION]],MObra[[#All],[UN]],,0),"")</f>
        <v/>
      </c>
      <c r="D2310" s="38"/>
      <c r="E2310" s="39" t="str">
        <f>IFERROR(_xlfn.XLOOKUP($B2310,MObra[DESCRIPCION],MObra[VALOR UNIT],,0),"")</f>
        <v/>
      </c>
      <c r="F2310" s="40"/>
      <c r="G2310" s="41" t="str">
        <f>IFERROR(IF(F2310&gt;=0,D2310*E2310*(1+F2310/100),ABS(D2310*E2310/F2310)),"")</f>
        <v/>
      </c>
      <c r="H2310" s="42" t="str">
        <f>IFERROR(G2310*E2292,"")</f>
        <v/>
      </c>
    </row>
    <row r="2311" spans="1:10" ht="12.75" customHeight="1" thickTop="1" thickBot="1">
      <c r="E2311" s="49"/>
      <c r="G2311" s="3"/>
    </row>
    <row r="2312" spans="1:10" ht="12.75" customHeight="1" thickTop="1" thickBot="1">
      <c r="A2312" s="6" t="s">
        <v>252</v>
      </c>
      <c r="B2312" s="7" t="str">
        <f>VLOOKUP($A2312,Presupuesto!$A:$D,2,FALSE())</f>
        <v>Excavación material común seco H&gt;4 m manual</v>
      </c>
      <c r="C2312" s="8" t="str">
        <f>VLOOKUP($A2312,Presupuesto!$A:$D,3,FALSE())</f>
        <v>M3</v>
      </c>
      <c r="D2312" s="9"/>
      <c r="E2312" s="10">
        <f>VLOOKUP($A2312,Presupuesto!$A:$D,4,FALSE())</f>
        <v>0</v>
      </c>
      <c r="F2312" s="11" t="s">
        <v>2589</v>
      </c>
      <c r="G2312" s="12">
        <f>SUM(G2314:G2330)/2</f>
        <v>72526.120312285726</v>
      </c>
      <c r="H2312" s="13">
        <f>ROUND(SUM(H2314:H2330),0)/2</f>
        <v>0</v>
      </c>
      <c r="I2312" s="10">
        <f>VLOOKUP(A2312,Presupuesto!$A:$F,6,0)</f>
        <v>0</v>
      </c>
      <c r="J2312" s="10">
        <f>+H2312-I2312</f>
        <v>0</v>
      </c>
    </row>
    <row r="2313" spans="1:10" ht="12.75" customHeight="1" thickTop="1">
      <c r="A2313" s="14"/>
      <c r="B2313" s="15" t="s">
        <v>2586</v>
      </c>
      <c r="C2313" s="15" t="s">
        <v>5</v>
      </c>
      <c r="D2313" s="16" t="s">
        <v>6</v>
      </c>
      <c r="E2313" s="17" t="s">
        <v>7</v>
      </c>
      <c r="F2313" s="18" t="s">
        <v>3728</v>
      </c>
      <c r="G2313" s="19" t="s">
        <v>3729</v>
      </c>
      <c r="H2313" s="20" t="s">
        <v>3797</v>
      </c>
    </row>
    <row r="2314" spans="1:10" ht="12.75" customHeight="1">
      <c r="A2314" s="21"/>
      <c r="B2314" s="22" t="s">
        <v>3730</v>
      </c>
      <c r="C2314" s="23"/>
      <c r="D2314" s="24"/>
      <c r="E2314" s="25"/>
      <c r="F2314" s="26"/>
      <c r="G2314" s="27">
        <f>SUM(G2315:G2319)</f>
        <v>0</v>
      </c>
      <c r="H2314" s="27">
        <f>IFERROR(G2314*E2312,"")</f>
        <v>0</v>
      </c>
    </row>
    <row r="2315" spans="1:10" ht="12.75" customHeight="1">
      <c r="A2315" s="28"/>
      <c r="B2315" s="29"/>
      <c r="C2315" s="30" t="str">
        <f>IFERROR(_xlfn.XLOOKUP(B2315,Insumo[DESCRIPCION],Insumo[UND],,0),"")</f>
        <v/>
      </c>
      <c r="D2315" s="31"/>
      <c r="E2315" s="32" t="str">
        <f>IFERROR(_xlfn.XLOOKUP($B2315,Insumo[DESCRIPCION],Insumo[VALOR],,0),"")</f>
        <v/>
      </c>
      <c r="F2315" s="33"/>
      <c r="G2315" s="34" t="str">
        <f>IFERROR(IF(F2315&gt;=0,D2315*E2315*(1+F2315/100),ABS(D2315*E2315/F2315)),"")</f>
        <v/>
      </c>
      <c r="H2315" s="43" t="str">
        <f>IFERROR(G2315*E2312,"")</f>
        <v/>
      </c>
    </row>
    <row r="2316" spans="1:10" ht="12.75" customHeight="1">
      <c r="A2316" s="28"/>
      <c r="B2316" s="29"/>
      <c r="C2316" s="30" t="str">
        <f>IFERROR(_xlfn.XLOOKUP(B2316,Insumo[DESCRIPCION],Insumo[UND],,0),"")</f>
        <v/>
      </c>
      <c r="D2316" s="31"/>
      <c r="E2316" s="32" t="str">
        <f>IFERROR(_xlfn.XLOOKUP($B2316,Insumo[DESCRIPCION],Insumo[VALOR],,0),"")</f>
        <v/>
      </c>
      <c r="F2316" s="33"/>
      <c r="G2316" s="34" t="str">
        <f>IFERROR(IF(F2316&gt;=0,D2316*E2316*(1+F2316/100),ABS(D2316*E2316/F2316)),"")</f>
        <v/>
      </c>
      <c r="H2316" s="43" t="str">
        <f>IFERROR(G2316*E2312,"")</f>
        <v/>
      </c>
    </row>
    <row r="2317" spans="1:10" ht="12.75" customHeight="1">
      <c r="A2317" s="28"/>
      <c r="B2317" s="29"/>
      <c r="C2317" s="30" t="str">
        <f>IFERROR(_xlfn.XLOOKUP(B2317,Insumo[DESCRIPCION],Insumo[UND],,0),"")</f>
        <v/>
      </c>
      <c r="D2317" s="31"/>
      <c r="E2317" s="32" t="str">
        <f>IFERROR(_xlfn.XLOOKUP($B2317,Insumo[DESCRIPCION],Insumo[VALOR],,0),"")</f>
        <v/>
      </c>
      <c r="F2317" s="33"/>
      <c r="G2317" s="34" t="str">
        <f>IFERROR(IF(F2317&gt;=0,D2317*E2317*(1+F2317/100),ABS(D2317*E2317/F2317)),"")</f>
        <v/>
      </c>
      <c r="H2317" s="43" t="str">
        <f>IFERROR(G2317*E2312,"")</f>
        <v/>
      </c>
    </row>
    <row r="2318" spans="1:10" ht="12.75" customHeight="1">
      <c r="A2318" s="28"/>
      <c r="B2318" s="29"/>
      <c r="C2318" s="30" t="str">
        <f>IFERROR(_xlfn.XLOOKUP(B2318,Insumo[DESCRIPCION],Insumo[UND],,0),"")</f>
        <v/>
      </c>
      <c r="D2318" s="31"/>
      <c r="E2318" s="32" t="str">
        <f>IFERROR(_xlfn.XLOOKUP($B2318,Insumo[DESCRIPCION],Insumo[VALOR],,0),"")</f>
        <v/>
      </c>
      <c r="F2318" s="33"/>
      <c r="G2318" s="34" t="str">
        <f>IFERROR(IF(F2318&gt;=0,D2318*E2318*(1+F2318/100),ABS(D2318*E2318/F2318)),"")</f>
        <v/>
      </c>
      <c r="H2318" s="43" t="str">
        <f>IFERROR(G2318*E2312,"")</f>
        <v/>
      </c>
    </row>
    <row r="2319" spans="1:10" ht="12.75" customHeight="1">
      <c r="A2319" s="28"/>
      <c r="B2319" s="29"/>
      <c r="C2319" s="30" t="str">
        <f>IFERROR(_xlfn.XLOOKUP(B2319,Insumo[DESCRIPCION],Insumo[UND],,0),"")</f>
        <v/>
      </c>
      <c r="D2319" s="31"/>
      <c r="E2319" s="32" t="str">
        <f>IFERROR(_xlfn.XLOOKUP($B2319,Insumo[DESCRIPCION],Insumo[VALOR],,0),"")</f>
        <v/>
      </c>
      <c r="F2319" s="33"/>
      <c r="G2319" s="34" t="str">
        <f>IFERROR(IF(F2319&gt;=0,D2319*E2319*(1+F2319/100),ABS(D2319*E2319/F2319)),"")</f>
        <v/>
      </c>
      <c r="H2319" s="43" t="str">
        <f>IFERROR(G2319*E2312,"")</f>
        <v/>
      </c>
    </row>
    <row r="2320" spans="1:10" ht="12.75" customHeight="1">
      <c r="A2320" s="21"/>
      <c r="B2320" s="22" t="s">
        <v>3731</v>
      </c>
      <c r="C2320" s="23"/>
      <c r="D2320" s="24"/>
      <c r="E2320" s="25"/>
      <c r="F2320" s="26"/>
      <c r="G2320" s="27">
        <f>SUM(G2321:G2323)</f>
        <v>5988.3952551428592</v>
      </c>
      <c r="H2320" s="44">
        <f>G2320*E2312</f>
        <v>0</v>
      </c>
    </row>
    <row r="2321" spans="1:10" ht="12.75" customHeight="1">
      <c r="A2321" s="28"/>
      <c r="B2321" s="29" t="s">
        <v>3570</v>
      </c>
      <c r="C2321" s="30" t="str">
        <f>IFERROR(_xlfn.XLOOKUP(B2321,Equipo[DESCRIPCION],Equipo[UND],,0),"")</f>
        <v>%MO</v>
      </c>
      <c r="D2321" s="31">
        <v>0.04</v>
      </c>
      <c r="E2321" s="32">
        <f>IF(C2321="%MO",G2327,IFERROR(_xlfn.XLOOKUP($B2321,Equipo[DESCRIPCION],Equipo[VALOR],,0),""))</f>
        <v>66537.725057142874</v>
      </c>
      <c r="F2321" s="33"/>
      <c r="G2321" s="34">
        <f>IFERROR(IF(F2321&gt;=0,D2321*E2321*(1+F2321/100),ABS(D2321*E2321/F2321)),"")</f>
        <v>2661.5090022857148</v>
      </c>
      <c r="H2321" s="43">
        <f>IFERROR(G2321*E2312,"")</f>
        <v>0</v>
      </c>
    </row>
    <row r="2322" spans="1:10" ht="12.75" customHeight="1">
      <c r="A2322" s="28"/>
      <c r="B2322" s="29" t="s">
        <v>3626</v>
      </c>
      <c r="C2322" s="30" t="str">
        <f>IFERROR(_xlfn.XLOOKUP(B2322,Equipo[DESCRIPCION],Equipo[UND],,0),"")</f>
        <v>%MO</v>
      </c>
      <c r="D2322" s="31">
        <v>0.05</v>
      </c>
      <c r="E2322" s="32">
        <f>IF(C2322="%MO",G2327,IFERROR(_xlfn.XLOOKUP($B2322,Equipo[DESCRIPCION],Equipo[VALOR],,0),""))</f>
        <v>66537.725057142874</v>
      </c>
      <c r="F2322" s="33"/>
      <c r="G2322" s="34">
        <f>IFERROR(IF(F2322&gt;=0,D2322*E2322*(1+F2322/100),ABS(D2322*E2322/F2322)),"")</f>
        <v>3326.886252857144</v>
      </c>
      <c r="H2322" s="43">
        <f>IFERROR(G2322*E2312,"")</f>
        <v>0</v>
      </c>
    </row>
    <row r="2323" spans="1:10" ht="12.75" customHeight="1">
      <c r="A2323" s="28"/>
      <c r="B2323" s="29"/>
      <c r="C2323" s="30" t="str">
        <f>IFERROR(_xlfn.XLOOKUP(B2323,Equipo[DESCRIPCION],Equipo[UND],,0),"")</f>
        <v/>
      </c>
      <c r="D2323" s="31"/>
      <c r="E2323" s="32" t="str">
        <f>IF(C2323="%MO",G2327,IFERROR(_xlfn.XLOOKUP($B2323,Equipo[DESCRIPCION],Equipo[VALOR],,0),""))</f>
        <v/>
      </c>
      <c r="F2323" s="33"/>
      <c r="G2323" s="34" t="str">
        <f>IFERROR(IF(F2323&gt;=0,D2323*E2323*(1+F2323/100),ABS(D2323*E2323/F2323)),"")</f>
        <v/>
      </c>
      <c r="H2323" s="43" t="str">
        <f>IFERROR(G2323*E2312,"")</f>
        <v/>
      </c>
    </row>
    <row r="2324" spans="1:10" ht="12.75" customHeight="1">
      <c r="A2324" s="21"/>
      <c r="B2324" s="22" t="s">
        <v>2533</v>
      </c>
      <c r="C2324" s="23"/>
      <c r="D2324" s="24"/>
      <c r="E2324" s="25"/>
      <c r="F2324" s="26"/>
      <c r="G2324" s="27">
        <f>SUM(G2325:G2326)</f>
        <v>0</v>
      </c>
      <c r="H2324" s="44">
        <f>G2324*E2312</f>
        <v>0</v>
      </c>
    </row>
    <row r="2325" spans="1:10" ht="12.75" customHeight="1">
      <c r="A2325" s="28"/>
      <c r="B2325" s="29"/>
      <c r="C2325" s="30" t="str">
        <f>IFERROR(_xlfn.XLOOKUP(B2325,Transporte[DESCRIPCION],Transporte[UND],,0),"")</f>
        <v/>
      </c>
      <c r="D2325" s="31"/>
      <c r="E2325" s="32" t="str">
        <f>IFERROR(_xlfn.XLOOKUP($B2325,Transporte[DESCRIPCION],Transporte[VALOR],,0),"")</f>
        <v/>
      </c>
      <c r="F2325" s="33"/>
      <c r="G2325" s="34" t="str">
        <f>IFERROR(IF(F2325&gt;=0,D2325*E2325*(1+F2325/100),ABS(D2325*E2325/F2325)),"")</f>
        <v/>
      </c>
      <c r="H2325" s="43" t="str">
        <f>IFERROR(G2325*E2312,"")</f>
        <v/>
      </c>
    </row>
    <row r="2326" spans="1:10" ht="12.75" customHeight="1">
      <c r="A2326" s="28"/>
      <c r="B2326" s="29"/>
      <c r="C2326" s="30" t="str">
        <f>IFERROR(_xlfn.XLOOKUP(B2326,Transporte[DESCRIPCION],Transporte[UND],,0),"")</f>
        <v/>
      </c>
      <c r="D2326" s="31"/>
      <c r="E2326" s="32" t="str">
        <f>IFERROR(_xlfn.XLOOKUP($B2326,Transporte[DESCRIPCION],Transporte[VALOR],,0),"")</f>
        <v/>
      </c>
      <c r="F2326" s="33"/>
      <c r="G2326" s="34" t="str">
        <f>IFERROR(IF(F2326&gt;=0,D2326*E2326*(1+F2326/100),ABS(D2326*E2326/F2326)),"")</f>
        <v/>
      </c>
      <c r="H2326" s="43" t="str">
        <f>IFERROR(G2326*E2312,"")</f>
        <v/>
      </c>
    </row>
    <row r="2327" spans="1:10" ht="12.75" customHeight="1">
      <c r="A2327" s="21"/>
      <c r="B2327" s="22" t="s">
        <v>3732</v>
      </c>
      <c r="C2327" s="23"/>
      <c r="D2327" s="24"/>
      <c r="E2327" s="25"/>
      <c r="F2327" s="26"/>
      <c r="G2327" s="27">
        <f>SUM(G2328:G2330)</f>
        <v>66537.725057142874</v>
      </c>
      <c r="H2327" s="44">
        <f>G2327*E2312</f>
        <v>0</v>
      </c>
    </row>
    <row r="2328" spans="1:10" ht="12.75" customHeight="1">
      <c r="A2328" s="28"/>
      <c r="B2328" s="29" t="s">
        <v>3722</v>
      </c>
      <c r="C2328" s="30" t="str">
        <f>IFERROR(_xlfn.XLOOKUP(B2328,MObra[DESCRIPCION],MObra[UN],,0),"")</f>
        <v>día</v>
      </c>
      <c r="D2328" s="31">
        <v>1</v>
      </c>
      <c r="E2328" s="32">
        <f>IFERROR(_xlfn.XLOOKUP($B2328,MObra[DESCRIPCION],MObra[VALOR UNIT],,0),"")</f>
        <v>349323.0565500001</v>
      </c>
      <c r="F2328" s="33">
        <v>-5.25</v>
      </c>
      <c r="G2328" s="34">
        <f>IFERROR(IF(F2328&gt;=0,D2328*E2328*(1+F2328/100),ABS(D2328*E2328/F2328)),"")</f>
        <v>66537.725057142874</v>
      </c>
      <c r="H2328" s="43">
        <f>IFERROR(G2328*E2312,"")</f>
        <v>0</v>
      </c>
    </row>
    <row r="2329" spans="1:10" ht="12.75" customHeight="1">
      <c r="A2329" s="28"/>
      <c r="B2329" s="29"/>
      <c r="C2329" s="30" t="str">
        <f t="array" ref="C2329">IFERROR(_xlfn.XLOOKUP(B2329,MObra[[#All],[DESCRIPCION]],MObra[[#All],[UN]],,0),"")</f>
        <v/>
      </c>
      <c r="D2329" s="31"/>
      <c r="E2329" s="32" t="str">
        <f>IFERROR(_xlfn.XLOOKUP($B2329,MObra[DESCRIPCION],MObra[VALOR UNIT],,0),"")</f>
        <v/>
      </c>
      <c r="F2329" s="33"/>
      <c r="G2329" s="34" t="str">
        <f>IFERROR(IF(F2329&gt;=0,D2329*E2329*(1+F2329/100),ABS(D2329*E2329/F2329)),"")</f>
        <v/>
      </c>
      <c r="H2329" s="43" t="str">
        <f>IFERROR(G2329*E2312,"")</f>
        <v/>
      </c>
    </row>
    <row r="2330" spans="1:10" ht="12.75" customHeight="1" thickBot="1">
      <c r="A2330" s="35"/>
      <c r="B2330" s="36"/>
      <c r="C2330" s="37" t="str">
        <f t="array" ref="C2330">IFERROR(_xlfn.XLOOKUP(B2330,MObra[[#All],[DESCRIPCION]],MObra[[#All],[UN]],,0),"")</f>
        <v/>
      </c>
      <c r="D2330" s="38"/>
      <c r="E2330" s="39" t="str">
        <f>IFERROR(_xlfn.XLOOKUP($B2330,MObra[DESCRIPCION],MObra[VALOR UNIT],,0),"")</f>
        <v/>
      </c>
      <c r="F2330" s="40"/>
      <c r="G2330" s="41" t="str">
        <f>IFERROR(IF(F2330&gt;=0,D2330*E2330*(1+F2330/100),ABS(D2330*E2330/F2330)),"")</f>
        <v/>
      </c>
      <c r="H2330" s="42" t="str">
        <f>IFERROR(G2330*E2312,"")</f>
        <v/>
      </c>
    </row>
    <row r="2331" spans="1:10" ht="12.75" customHeight="1" thickTop="1" thickBot="1">
      <c r="E2331" s="49"/>
      <c r="G2331" s="3"/>
    </row>
    <row r="2332" spans="1:10" ht="12.75" customHeight="1" thickTop="1" thickBot="1">
      <c r="A2332" s="6" t="s">
        <v>254</v>
      </c>
      <c r="B2332" s="7" t="str">
        <f>VLOOKUP($A2332,Presupuesto!$A:$D,2,FALSE())</f>
        <v>Excavación material común bajo agua H=0-1,5 m manual</v>
      </c>
      <c r="C2332" s="8" t="str">
        <f>VLOOKUP($A2332,Presupuesto!$A:$D,3,FALSE())</f>
        <v>M3</v>
      </c>
      <c r="D2332" s="9"/>
      <c r="E2332" s="10">
        <f>VLOOKUP($A2332,Presupuesto!$A:$D,4,FALSE())</f>
        <v>0</v>
      </c>
      <c r="F2332" s="11" t="s">
        <v>2589</v>
      </c>
      <c r="G2332" s="12">
        <f>SUM(G2334:G2350)/2</f>
        <v>72164.431123455899</v>
      </c>
      <c r="H2332" s="13">
        <f>ROUND(SUM(H2334:H2350),0)/2</f>
        <v>0</v>
      </c>
      <c r="I2332" s="10">
        <f>VLOOKUP(A2332,Presupuesto!$A:$F,6,0)</f>
        <v>0</v>
      </c>
      <c r="J2332" s="10">
        <f>+H2332-I2332</f>
        <v>0</v>
      </c>
    </row>
    <row r="2333" spans="1:10" ht="12.75" customHeight="1" thickTop="1">
      <c r="A2333" s="14"/>
      <c r="B2333" s="15" t="s">
        <v>2586</v>
      </c>
      <c r="C2333" s="15" t="s">
        <v>5</v>
      </c>
      <c r="D2333" s="16" t="s">
        <v>6</v>
      </c>
      <c r="E2333" s="17" t="s">
        <v>7</v>
      </c>
      <c r="F2333" s="18" t="s">
        <v>3728</v>
      </c>
      <c r="G2333" s="19" t="s">
        <v>3729</v>
      </c>
      <c r="H2333" s="20" t="s">
        <v>3797</v>
      </c>
    </row>
    <row r="2334" spans="1:10" ht="12.75" customHeight="1">
      <c r="A2334" s="21"/>
      <c r="B2334" s="22" t="s">
        <v>3730</v>
      </c>
      <c r="C2334" s="23"/>
      <c r="D2334" s="24"/>
      <c r="E2334" s="25"/>
      <c r="F2334" s="26"/>
      <c r="G2334" s="27">
        <f>SUM(G2335:G2339)</f>
        <v>0</v>
      </c>
      <c r="H2334" s="27">
        <f>IFERROR(G2334*E2332,"")</f>
        <v>0</v>
      </c>
    </row>
    <row r="2335" spans="1:10" ht="12.75" customHeight="1">
      <c r="A2335" s="28"/>
      <c r="B2335" s="29"/>
      <c r="C2335" s="30" t="str">
        <f>IFERROR(_xlfn.XLOOKUP(B2335,Insumo[DESCRIPCION],Insumo[UND],,0),"")</f>
        <v/>
      </c>
      <c r="D2335" s="31"/>
      <c r="E2335" s="32" t="str">
        <f>IFERROR(_xlfn.XLOOKUP($B2335,Insumo[DESCRIPCION],Insumo[VALOR],,0),"")</f>
        <v/>
      </c>
      <c r="F2335" s="33"/>
      <c r="G2335" s="34" t="str">
        <f>IFERROR(IF(F2335&gt;=0,D2335*E2335*(1+F2335/100),ABS(D2335*E2335/F2335)),"")</f>
        <v/>
      </c>
      <c r="H2335" s="43" t="str">
        <f>IFERROR(G2335*E2332,"")</f>
        <v/>
      </c>
    </row>
    <row r="2336" spans="1:10" ht="12.75" customHeight="1">
      <c r="A2336" s="28"/>
      <c r="B2336" s="29"/>
      <c r="C2336" s="30" t="str">
        <f>IFERROR(_xlfn.XLOOKUP(B2336,Insumo[DESCRIPCION],Insumo[UND],,0),"")</f>
        <v/>
      </c>
      <c r="D2336" s="31"/>
      <c r="E2336" s="32" t="str">
        <f>IFERROR(_xlfn.XLOOKUP($B2336,Insumo[DESCRIPCION],Insumo[VALOR],,0),"")</f>
        <v/>
      </c>
      <c r="F2336" s="33"/>
      <c r="G2336" s="34" t="str">
        <f>IFERROR(IF(F2336&gt;=0,D2336*E2336*(1+F2336/100),ABS(D2336*E2336/F2336)),"")</f>
        <v/>
      </c>
      <c r="H2336" s="43" t="str">
        <f>IFERROR(G2336*E2332,"")</f>
        <v/>
      </c>
    </row>
    <row r="2337" spans="1:10" ht="12.75" customHeight="1">
      <c r="A2337" s="28"/>
      <c r="B2337" s="29"/>
      <c r="C2337" s="30" t="str">
        <f>IFERROR(_xlfn.XLOOKUP(B2337,Insumo[DESCRIPCION],Insumo[UND],,0),"")</f>
        <v/>
      </c>
      <c r="D2337" s="31"/>
      <c r="E2337" s="32" t="str">
        <f>IFERROR(_xlfn.XLOOKUP($B2337,Insumo[DESCRIPCION],Insumo[VALOR],,0),"")</f>
        <v/>
      </c>
      <c r="F2337" s="33"/>
      <c r="G2337" s="34" t="str">
        <f>IFERROR(IF(F2337&gt;=0,D2337*E2337*(1+F2337/100),ABS(D2337*E2337/F2337)),"")</f>
        <v/>
      </c>
      <c r="H2337" s="43" t="str">
        <f>IFERROR(G2337*E2332,"")</f>
        <v/>
      </c>
    </row>
    <row r="2338" spans="1:10" ht="12.75" customHeight="1">
      <c r="A2338" s="28"/>
      <c r="B2338" s="29"/>
      <c r="C2338" s="30" t="str">
        <f>IFERROR(_xlfn.XLOOKUP(B2338,Insumo[DESCRIPCION],Insumo[UND],,0),"")</f>
        <v/>
      </c>
      <c r="D2338" s="31"/>
      <c r="E2338" s="32" t="str">
        <f>IFERROR(_xlfn.XLOOKUP($B2338,Insumo[DESCRIPCION],Insumo[VALOR],,0),"")</f>
        <v/>
      </c>
      <c r="F2338" s="33"/>
      <c r="G2338" s="34" t="str">
        <f>IFERROR(IF(F2338&gt;=0,D2338*E2338*(1+F2338/100),ABS(D2338*E2338/F2338)),"")</f>
        <v/>
      </c>
      <c r="H2338" s="43" t="str">
        <f>IFERROR(G2338*E2332,"")</f>
        <v/>
      </c>
    </row>
    <row r="2339" spans="1:10" ht="12.75" customHeight="1">
      <c r="A2339" s="28"/>
      <c r="B2339" s="29"/>
      <c r="C2339" s="30" t="str">
        <f>IFERROR(_xlfn.XLOOKUP(B2339,Insumo[DESCRIPCION],Insumo[UND],,0),"")</f>
        <v/>
      </c>
      <c r="D2339" s="31"/>
      <c r="E2339" s="32" t="str">
        <f>IFERROR(_xlfn.XLOOKUP($B2339,Insumo[DESCRIPCION],Insumo[VALOR],,0),"")</f>
        <v/>
      </c>
      <c r="F2339" s="33"/>
      <c r="G2339" s="34" t="str">
        <f>IFERROR(IF(F2339&gt;=0,D2339*E2339*(1+F2339/100),ABS(D2339*E2339/F2339)),"")</f>
        <v/>
      </c>
      <c r="H2339" s="43" t="str">
        <f>IFERROR(G2339*E2332,"")</f>
        <v/>
      </c>
    </row>
    <row r="2340" spans="1:10" ht="12.75" customHeight="1">
      <c r="A2340" s="21"/>
      <c r="B2340" s="22" t="s">
        <v>3731</v>
      </c>
      <c r="C2340" s="23"/>
      <c r="D2340" s="24"/>
      <c r="E2340" s="25"/>
      <c r="F2340" s="26"/>
      <c r="G2340" s="27">
        <f>SUM(G2341:G2343)</f>
        <v>20793.393395514708</v>
      </c>
      <c r="H2340" s="44">
        <f>G2340*E2332</f>
        <v>0</v>
      </c>
    </row>
    <row r="2341" spans="1:10" ht="12.75" customHeight="1">
      <c r="A2341" s="28"/>
      <c r="B2341" s="29" t="s">
        <v>3632</v>
      </c>
      <c r="C2341" s="30" t="str">
        <f>IFERROR(_xlfn.XLOOKUP(B2341,Equipo[DESCRIPCION],Equipo[UND],,0),"")</f>
        <v>Día</v>
      </c>
      <c r="D2341" s="31">
        <v>1</v>
      </c>
      <c r="E2341" s="32">
        <f>IF(C2341="%MO",G2347,IFERROR(_xlfn.XLOOKUP($B2341,Equipo[DESCRIPCION],Equipo[VALOR],,0),""))</f>
        <v>109956</v>
      </c>
      <c r="F2341" s="33">
        <v>-6.8</v>
      </c>
      <c r="G2341" s="34">
        <f>IFERROR(IF(F2341&gt;=0,D2341*E2341*(1+F2341/100),ABS(D2341*E2341/F2341)),"")</f>
        <v>16170</v>
      </c>
      <c r="H2341" s="43">
        <f>IFERROR(G2341*E2332,"")</f>
        <v>0</v>
      </c>
    </row>
    <row r="2342" spans="1:10" ht="12.75" customHeight="1">
      <c r="A2342" s="28"/>
      <c r="B2342" s="29" t="s">
        <v>3570</v>
      </c>
      <c r="C2342" s="30" t="str">
        <f>IFERROR(_xlfn.XLOOKUP(B2342,Equipo[DESCRIPCION],Equipo[UND],,0),"")</f>
        <v>%MO</v>
      </c>
      <c r="D2342" s="31">
        <v>0.04</v>
      </c>
      <c r="E2342" s="32">
        <f>IF(C2342="%MO",G2347,IFERROR(_xlfn.XLOOKUP($B2342,Equipo[DESCRIPCION],Equipo[VALOR],,0),""))</f>
        <v>51371.037727941191</v>
      </c>
      <c r="F2342" s="33"/>
      <c r="G2342" s="34">
        <f>IFERROR(IF(F2342&gt;=0,D2342*E2342*(1+F2342/100),ABS(D2342*E2342/F2342)),"")</f>
        <v>2054.8415091176475</v>
      </c>
      <c r="H2342" s="43">
        <f>IFERROR(G2342*E2332,"")</f>
        <v>0</v>
      </c>
    </row>
    <row r="2343" spans="1:10" ht="12.75" customHeight="1">
      <c r="A2343" s="28"/>
      <c r="B2343" s="29" t="s">
        <v>3626</v>
      </c>
      <c r="C2343" s="30" t="str">
        <f>IFERROR(_xlfn.XLOOKUP(B2343,Equipo[DESCRIPCION],Equipo[UND],,0),"")</f>
        <v>%MO</v>
      </c>
      <c r="D2343" s="31">
        <v>0.05</v>
      </c>
      <c r="E2343" s="32">
        <f>IF(C2343="%MO",G2347,IFERROR(_xlfn.XLOOKUP($B2343,Equipo[DESCRIPCION],Equipo[VALOR],,0),""))</f>
        <v>51371.037727941191</v>
      </c>
      <c r="F2343" s="33"/>
      <c r="G2343" s="34">
        <f>IFERROR(IF(F2343&gt;=0,D2343*E2343*(1+F2343/100),ABS(D2343*E2343/F2343)),"")</f>
        <v>2568.5518863970597</v>
      </c>
      <c r="H2343" s="43">
        <f>IFERROR(G2343*E2332,"")</f>
        <v>0</v>
      </c>
    </row>
    <row r="2344" spans="1:10" ht="12.75" customHeight="1">
      <c r="A2344" s="21"/>
      <c r="B2344" s="22" t="s">
        <v>2533</v>
      </c>
      <c r="C2344" s="23"/>
      <c r="D2344" s="24"/>
      <c r="E2344" s="25"/>
      <c r="F2344" s="26"/>
      <c r="G2344" s="27">
        <f>SUM(G2345:G2346)</f>
        <v>0</v>
      </c>
      <c r="H2344" s="44">
        <f>G2344*E2332</f>
        <v>0</v>
      </c>
    </row>
    <row r="2345" spans="1:10" ht="12.75" customHeight="1">
      <c r="A2345" s="28"/>
      <c r="B2345" s="29"/>
      <c r="C2345" s="30" t="str">
        <f>IFERROR(_xlfn.XLOOKUP(B2345,Transporte[DESCRIPCION],Transporte[UND],,0),"")</f>
        <v/>
      </c>
      <c r="D2345" s="31"/>
      <c r="E2345" s="32" t="str">
        <f>IFERROR(_xlfn.XLOOKUP($B2345,Transporte[DESCRIPCION],Transporte[VALOR],,0),"")</f>
        <v/>
      </c>
      <c r="F2345" s="33"/>
      <c r="G2345" s="34" t="str">
        <f>IFERROR(IF(F2345&gt;=0,D2345*E2345*(1+F2345/100),ABS(D2345*E2345/F2345)),"")</f>
        <v/>
      </c>
      <c r="H2345" s="43" t="str">
        <f>IFERROR(G2345*E2332,"")</f>
        <v/>
      </c>
    </row>
    <row r="2346" spans="1:10" ht="12.75" customHeight="1">
      <c r="A2346" s="28"/>
      <c r="B2346" s="29"/>
      <c r="C2346" s="30" t="str">
        <f>IFERROR(_xlfn.XLOOKUP(B2346,Transporte[DESCRIPCION],Transporte[UND],,0),"")</f>
        <v/>
      </c>
      <c r="D2346" s="31"/>
      <c r="E2346" s="32" t="str">
        <f>IFERROR(_xlfn.XLOOKUP($B2346,Transporte[DESCRIPCION],Transporte[VALOR],,0),"")</f>
        <v/>
      </c>
      <c r="F2346" s="33"/>
      <c r="G2346" s="34" t="str">
        <f>IFERROR(IF(F2346&gt;=0,D2346*E2346*(1+F2346/100),ABS(D2346*E2346/F2346)),"")</f>
        <v/>
      </c>
      <c r="H2346" s="43" t="str">
        <f>IFERROR(G2346*E2332,"")</f>
        <v/>
      </c>
    </row>
    <row r="2347" spans="1:10" ht="12.75" customHeight="1">
      <c r="A2347" s="21"/>
      <c r="B2347" s="22" t="s">
        <v>3732</v>
      </c>
      <c r="C2347" s="23"/>
      <c r="D2347" s="24"/>
      <c r="E2347" s="25"/>
      <c r="F2347" s="26"/>
      <c r="G2347" s="27">
        <f>SUM(G2348:G2350)</f>
        <v>51371.037727941191</v>
      </c>
      <c r="H2347" s="44">
        <f>G2347*E2332</f>
        <v>0</v>
      </c>
    </row>
    <row r="2348" spans="1:10" ht="12.75" customHeight="1">
      <c r="A2348" s="28"/>
      <c r="B2348" s="29" t="s">
        <v>3722</v>
      </c>
      <c r="C2348" s="30" t="str">
        <f>IFERROR(_xlfn.XLOOKUP(B2348,MObra[DESCRIPCION],MObra[UN],,0),"")</f>
        <v>día</v>
      </c>
      <c r="D2348" s="31">
        <v>1</v>
      </c>
      <c r="E2348" s="32">
        <f>IFERROR(_xlfn.XLOOKUP($B2348,MObra[DESCRIPCION],MObra[VALOR UNIT],,0),"")</f>
        <v>349323.0565500001</v>
      </c>
      <c r="F2348" s="33">
        <v>-6.8</v>
      </c>
      <c r="G2348" s="34">
        <f>IFERROR(IF(F2348&gt;=0,D2348*E2348*(1+F2348/100),ABS(D2348*E2348/F2348)),"")</f>
        <v>51371.037727941191</v>
      </c>
      <c r="H2348" s="43">
        <f>IFERROR(G2348*E2332,"")</f>
        <v>0</v>
      </c>
    </row>
    <row r="2349" spans="1:10" ht="12.75" customHeight="1">
      <c r="A2349" s="28"/>
      <c r="B2349" s="29"/>
      <c r="C2349" s="30" t="str">
        <f t="array" ref="C2349">IFERROR(_xlfn.XLOOKUP(B2349,MObra[[#All],[DESCRIPCION]],MObra[[#All],[UN]],,0),"")</f>
        <v/>
      </c>
      <c r="D2349" s="31"/>
      <c r="E2349" s="32" t="str">
        <f>IFERROR(_xlfn.XLOOKUP($B2349,MObra[DESCRIPCION],MObra[VALOR UNIT],,0),"")</f>
        <v/>
      </c>
      <c r="F2349" s="33"/>
      <c r="G2349" s="34" t="str">
        <f>IFERROR(IF(F2349&gt;=0,D2349*E2349*(1+F2349/100),ABS(D2349*E2349/F2349)),"")</f>
        <v/>
      </c>
      <c r="H2349" s="43" t="str">
        <f>IFERROR(G2349*E2332,"")</f>
        <v/>
      </c>
    </row>
    <row r="2350" spans="1:10" ht="12.75" customHeight="1" thickBot="1">
      <c r="A2350" s="35"/>
      <c r="B2350" s="36"/>
      <c r="C2350" s="37" t="str">
        <f t="array" ref="C2350">IFERROR(_xlfn.XLOOKUP(B2350,MObra[[#All],[DESCRIPCION]],MObra[[#All],[UN]],,0),"")</f>
        <v/>
      </c>
      <c r="D2350" s="38"/>
      <c r="E2350" s="39" t="str">
        <f>IFERROR(_xlfn.XLOOKUP($B2350,MObra[DESCRIPCION],MObra[VALOR UNIT],,0),"")</f>
        <v/>
      </c>
      <c r="F2350" s="40"/>
      <c r="G2350" s="41" t="str">
        <f>IFERROR(IF(F2350&gt;=0,D2350*E2350*(1+F2350/100),ABS(D2350*E2350/F2350)),"")</f>
        <v/>
      </c>
      <c r="H2350" s="42" t="str">
        <f>IFERROR(G2350*E2332,"")</f>
        <v/>
      </c>
    </row>
    <row r="2351" spans="1:10" ht="12.75" customHeight="1" thickTop="1" thickBot="1">
      <c r="E2351" s="49"/>
      <c r="G2351" s="3"/>
    </row>
    <row r="2352" spans="1:10" ht="12.75" customHeight="1" thickTop="1" thickBot="1">
      <c r="A2352" s="6" t="s">
        <v>256</v>
      </c>
      <c r="B2352" s="7" t="str">
        <f>VLOOKUP($A2352,Presupuesto!$A:$D,2,FALSE())</f>
        <v>Excavación material común bajo agua H=1,5-4 m manual</v>
      </c>
      <c r="C2352" s="8" t="str">
        <f>VLOOKUP($A2352,Presupuesto!$A:$D,3,FALSE())</f>
        <v>M3</v>
      </c>
      <c r="D2352" s="9"/>
      <c r="E2352" s="10">
        <f>VLOOKUP($A2352,Presupuesto!$A:$D,4,FALSE())</f>
        <v>0</v>
      </c>
      <c r="F2352" s="11" t="s">
        <v>2589</v>
      </c>
      <c r="G2352" s="12">
        <f>SUM(G2354:G2370)/2</f>
        <v>80445.595350737727</v>
      </c>
      <c r="H2352" s="13">
        <f>ROUND(SUM(H2354:H2370),0)/2</f>
        <v>0</v>
      </c>
      <c r="I2352" s="10">
        <f>VLOOKUP(A2352,Presupuesto!$A:$F,6,0)</f>
        <v>0</v>
      </c>
      <c r="J2352" s="10">
        <f>+H2352-I2352</f>
        <v>0</v>
      </c>
    </row>
    <row r="2353" spans="1:8" ht="12.75" customHeight="1" thickTop="1">
      <c r="A2353" s="14"/>
      <c r="B2353" s="15" t="s">
        <v>2586</v>
      </c>
      <c r="C2353" s="15" t="s">
        <v>5</v>
      </c>
      <c r="D2353" s="16" t="s">
        <v>6</v>
      </c>
      <c r="E2353" s="17" t="s">
        <v>7</v>
      </c>
      <c r="F2353" s="18" t="s">
        <v>3728</v>
      </c>
      <c r="G2353" s="19" t="s">
        <v>3729</v>
      </c>
      <c r="H2353" s="20" t="s">
        <v>3797</v>
      </c>
    </row>
    <row r="2354" spans="1:8" ht="12.75" customHeight="1">
      <c r="A2354" s="21"/>
      <c r="B2354" s="22" t="s">
        <v>3730</v>
      </c>
      <c r="C2354" s="23"/>
      <c r="D2354" s="24"/>
      <c r="E2354" s="25"/>
      <c r="F2354" s="26"/>
      <c r="G2354" s="27">
        <f>SUM(G2355:G2359)</f>
        <v>0</v>
      </c>
      <c r="H2354" s="27">
        <f>IFERROR(G2354*E2352,"")</f>
        <v>0</v>
      </c>
    </row>
    <row r="2355" spans="1:8" ht="12.75" customHeight="1">
      <c r="A2355" s="28"/>
      <c r="B2355" s="29"/>
      <c r="C2355" s="30" t="str">
        <f>IFERROR(_xlfn.XLOOKUP(B2355,Insumo[DESCRIPCION],Insumo[UND],,0),"")</f>
        <v/>
      </c>
      <c r="D2355" s="31"/>
      <c r="E2355" s="32" t="str">
        <f>IFERROR(_xlfn.XLOOKUP($B2355,Insumo[DESCRIPCION],Insumo[VALOR],,0),"")</f>
        <v/>
      </c>
      <c r="F2355" s="33"/>
      <c r="G2355" s="34" t="str">
        <f>IFERROR(IF(F2355&gt;=0,D2355*E2355*(1+F2355/100),ABS(D2355*E2355/F2355)),"")</f>
        <v/>
      </c>
      <c r="H2355" s="43" t="str">
        <f>IFERROR(G2355*E2352,"")</f>
        <v/>
      </c>
    </row>
    <row r="2356" spans="1:8" ht="12.75" customHeight="1">
      <c r="A2356" s="28"/>
      <c r="B2356" s="29"/>
      <c r="C2356" s="30" t="str">
        <f>IFERROR(_xlfn.XLOOKUP(B2356,Insumo[DESCRIPCION],Insumo[UND],,0),"")</f>
        <v/>
      </c>
      <c r="D2356" s="31"/>
      <c r="E2356" s="32" t="str">
        <f>IFERROR(_xlfn.XLOOKUP($B2356,Insumo[DESCRIPCION],Insumo[VALOR],,0),"")</f>
        <v/>
      </c>
      <c r="F2356" s="33"/>
      <c r="G2356" s="34" t="str">
        <f>IFERROR(IF(F2356&gt;=0,D2356*E2356*(1+F2356/100),ABS(D2356*E2356/F2356)),"")</f>
        <v/>
      </c>
      <c r="H2356" s="43" t="str">
        <f>IFERROR(G2356*E2352,"")</f>
        <v/>
      </c>
    </row>
    <row r="2357" spans="1:8" ht="12.75" customHeight="1">
      <c r="A2357" s="28"/>
      <c r="B2357" s="29"/>
      <c r="C2357" s="30" t="str">
        <f>IFERROR(_xlfn.XLOOKUP(B2357,Insumo[DESCRIPCION],Insumo[UND],,0),"")</f>
        <v/>
      </c>
      <c r="D2357" s="31"/>
      <c r="E2357" s="32" t="str">
        <f>IFERROR(_xlfn.XLOOKUP($B2357,Insumo[DESCRIPCION],Insumo[VALOR],,0),"")</f>
        <v/>
      </c>
      <c r="F2357" s="33"/>
      <c r="G2357" s="34" t="str">
        <f>IFERROR(IF(F2357&gt;=0,D2357*E2357*(1+F2357/100),ABS(D2357*E2357/F2357)),"")</f>
        <v/>
      </c>
      <c r="H2357" s="43" t="str">
        <f>IFERROR(G2357*E2352,"")</f>
        <v/>
      </c>
    </row>
    <row r="2358" spans="1:8" ht="12.75" customHeight="1">
      <c r="A2358" s="28"/>
      <c r="B2358" s="29"/>
      <c r="C2358" s="30" t="str">
        <f>IFERROR(_xlfn.XLOOKUP(B2358,Insumo[DESCRIPCION],Insumo[UND],,0),"")</f>
        <v/>
      </c>
      <c r="D2358" s="31"/>
      <c r="E2358" s="32" t="str">
        <f>IFERROR(_xlfn.XLOOKUP($B2358,Insumo[DESCRIPCION],Insumo[VALOR],,0),"")</f>
        <v/>
      </c>
      <c r="F2358" s="33"/>
      <c r="G2358" s="34" t="str">
        <f>IFERROR(IF(F2358&gt;=0,D2358*E2358*(1+F2358/100),ABS(D2358*E2358/F2358)),"")</f>
        <v/>
      </c>
      <c r="H2358" s="43" t="str">
        <f>IFERROR(G2358*E2352,"")</f>
        <v/>
      </c>
    </row>
    <row r="2359" spans="1:8" ht="12.75" customHeight="1">
      <c r="A2359" s="28"/>
      <c r="B2359" s="29"/>
      <c r="C2359" s="30" t="str">
        <f>IFERROR(_xlfn.XLOOKUP(B2359,Insumo[DESCRIPCION],Insumo[UND],,0),"")</f>
        <v/>
      </c>
      <c r="D2359" s="31"/>
      <c r="E2359" s="32" t="str">
        <f>IFERROR(_xlfn.XLOOKUP($B2359,Insumo[DESCRIPCION],Insumo[VALOR],,0),"")</f>
        <v/>
      </c>
      <c r="F2359" s="33"/>
      <c r="G2359" s="34" t="str">
        <f>IFERROR(IF(F2359&gt;=0,D2359*E2359*(1+F2359/100),ABS(D2359*E2359/F2359)),"")</f>
        <v/>
      </c>
      <c r="H2359" s="43" t="str">
        <f>IFERROR(G2359*E2352,"")</f>
        <v/>
      </c>
    </row>
    <row r="2360" spans="1:8" ht="12.75" customHeight="1">
      <c r="A2360" s="21"/>
      <c r="B2360" s="22" t="s">
        <v>3731</v>
      </c>
      <c r="C2360" s="23"/>
      <c r="D2360" s="24"/>
      <c r="E2360" s="25"/>
      <c r="F2360" s="26"/>
      <c r="G2360" s="27">
        <f>SUM(G2361:G2363)</f>
        <v>23179.520506475412</v>
      </c>
      <c r="H2360" s="44">
        <f>G2360*E2352</f>
        <v>0</v>
      </c>
    </row>
    <row r="2361" spans="1:8" ht="12.75" customHeight="1">
      <c r="A2361" s="28"/>
      <c r="B2361" s="29" t="s">
        <v>3632</v>
      </c>
      <c r="C2361" s="30" t="str">
        <f>IFERROR(_xlfn.XLOOKUP(B2361,Equipo[DESCRIPCION],Equipo[UND],,0),"")</f>
        <v>Día</v>
      </c>
      <c r="D2361" s="31">
        <v>1</v>
      </c>
      <c r="E2361" s="32">
        <f>IF(C2361="%MO",G2367,IFERROR(_xlfn.XLOOKUP($B2361,Equipo[DESCRIPCION],Equipo[VALOR],,0),""))</f>
        <v>109956</v>
      </c>
      <c r="F2361" s="33">
        <v>-6.1</v>
      </c>
      <c r="G2361" s="34">
        <f>IFERROR(IF(F2361&gt;=0,D2361*E2361*(1+F2361/100),ABS(D2361*E2361/F2361)),"")</f>
        <v>18025.573770491803</v>
      </c>
      <c r="H2361" s="43">
        <f>IFERROR(G2361*E2352,"")</f>
        <v>0</v>
      </c>
    </row>
    <row r="2362" spans="1:8" ht="12.75" customHeight="1">
      <c r="A2362" s="28"/>
      <c r="B2362" s="29" t="s">
        <v>3570</v>
      </c>
      <c r="C2362" s="30" t="str">
        <f>IFERROR(_xlfn.XLOOKUP(B2362,Equipo[DESCRIPCION],Equipo[UND],,0),"")</f>
        <v>%MO</v>
      </c>
      <c r="D2362" s="31">
        <v>0.04</v>
      </c>
      <c r="E2362" s="32">
        <f>IF(C2362="%MO",G2367,IFERROR(_xlfn.XLOOKUP($B2362,Equipo[DESCRIPCION],Equipo[VALOR],,0),""))</f>
        <v>57266.074844262315</v>
      </c>
      <c r="F2362" s="33"/>
      <c r="G2362" s="34">
        <f>IFERROR(IF(F2362&gt;=0,D2362*E2362*(1+F2362/100),ABS(D2362*E2362/F2362)),"")</f>
        <v>2290.6429937704925</v>
      </c>
      <c r="H2362" s="43">
        <f>IFERROR(G2362*E2352,"")</f>
        <v>0</v>
      </c>
    </row>
    <row r="2363" spans="1:8" ht="12.75" customHeight="1">
      <c r="A2363" s="28"/>
      <c r="B2363" s="29" t="s">
        <v>3626</v>
      </c>
      <c r="C2363" s="30" t="str">
        <f>IFERROR(_xlfn.XLOOKUP(B2363,Equipo[DESCRIPCION],Equipo[UND],,0),"")</f>
        <v>%MO</v>
      </c>
      <c r="D2363" s="31">
        <v>0.05</v>
      </c>
      <c r="E2363" s="32">
        <f>IF(C2363="%MO",G2367,IFERROR(_xlfn.XLOOKUP($B2363,Equipo[DESCRIPCION],Equipo[VALOR],,0),""))</f>
        <v>57266.074844262315</v>
      </c>
      <c r="F2363" s="33"/>
      <c r="G2363" s="34">
        <f>IFERROR(IF(F2363&gt;=0,D2363*E2363*(1+F2363/100),ABS(D2363*E2363/F2363)),"")</f>
        <v>2863.303742213116</v>
      </c>
      <c r="H2363" s="43">
        <f>IFERROR(G2363*E2352,"")</f>
        <v>0</v>
      </c>
    </row>
    <row r="2364" spans="1:8" ht="12.75" customHeight="1">
      <c r="A2364" s="21"/>
      <c r="B2364" s="22" t="s">
        <v>2533</v>
      </c>
      <c r="C2364" s="23"/>
      <c r="D2364" s="24"/>
      <c r="E2364" s="25"/>
      <c r="F2364" s="26"/>
      <c r="G2364" s="27">
        <f>SUM(G2365:G2366)</f>
        <v>0</v>
      </c>
      <c r="H2364" s="44">
        <f>G2364*E2352</f>
        <v>0</v>
      </c>
    </row>
    <row r="2365" spans="1:8" ht="12.75" customHeight="1">
      <c r="A2365" s="28"/>
      <c r="B2365" s="29"/>
      <c r="C2365" s="30" t="str">
        <f>IFERROR(_xlfn.XLOOKUP(B2365,Transporte[DESCRIPCION],Transporte[UND],,0),"")</f>
        <v/>
      </c>
      <c r="D2365" s="31"/>
      <c r="E2365" s="32" t="str">
        <f>IFERROR(_xlfn.XLOOKUP($B2365,Transporte[DESCRIPCION],Transporte[VALOR],,0),"")</f>
        <v/>
      </c>
      <c r="F2365" s="33"/>
      <c r="G2365" s="34" t="str">
        <f>IFERROR(IF(F2365&gt;=0,D2365*E2365*(1+F2365/100),ABS(D2365*E2365/F2365)),"")</f>
        <v/>
      </c>
      <c r="H2365" s="43" t="str">
        <f>IFERROR(G2365*E2352,"")</f>
        <v/>
      </c>
    </row>
    <row r="2366" spans="1:8" ht="12.75" customHeight="1">
      <c r="A2366" s="28"/>
      <c r="B2366" s="29"/>
      <c r="C2366" s="30" t="str">
        <f>IFERROR(_xlfn.XLOOKUP(B2366,Transporte[DESCRIPCION],Transporte[UND],,0),"")</f>
        <v/>
      </c>
      <c r="D2366" s="31"/>
      <c r="E2366" s="32" t="str">
        <f>IFERROR(_xlfn.XLOOKUP($B2366,Transporte[DESCRIPCION],Transporte[VALOR],,0),"")</f>
        <v/>
      </c>
      <c r="F2366" s="33"/>
      <c r="G2366" s="34" t="str">
        <f>IFERROR(IF(F2366&gt;=0,D2366*E2366*(1+F2366/100),ABS(D2366*E2366/F2366)),"")</f>
        <v/>
      </c>
      <c r="H2366" s="43" t="str">
        <f>IFERROR(G2366*E2352,"")</f>
        <v/>
      </c>
    </row>
    <row r="2367" spans="1:8" ht="12.75" customHeight="1">
      <c r="A2367" s="21"/>
      <c r="B2367" s="22" t="s">
        <v>3732</v>
      </c>
      <c r="C2367" s="23"/>
      <c r="D2367" s="24"/>
      <c r="E2367" s="25"/>
      <c r="F2367" s="26"/>
      <c r="G2367" s="27">
        <f>SUM(G2368:G2370)</f>
        <v>57266.074844262315</v>
      </c>
      <c r="H2367" s="44">
        <f>G2367*E2352</f>
        <v>0</v>
      </c>
    </row>
    <row r="2368" spans="1:8" ht="12.75" customHeight="1">
      <c r="A2368" s="28"/>
      <c r="B2368" s="29" t="s">
        <v>3722</v>
      </c>
      <c r="C2368" s="30" t="str">
        <f>IFERROR(_xlfn.XLOOKUP(B2368,MObra[DESCRIPCION],MObra[UN],,0),"")</f>
        <v>día</v>
      </c>
      <c r="D2368" s="31">
        <v>1</v>
      </c>
      <c r="E2368" s="32">
        <f>IFERROR(_xlfn.XLOOKUP($B2368,MObra[DESCRIPCION],MObra[VALOR UNIT],,0),"")</f>
        <v>349323.0565500001</v>
      </c>
      <c r="F2368" s="33">
        <v>-6.1</v>
      </c>
      <c r="G2368" s="34">
        <f>IFERROR(IF(F2368&gt;=0,D2368*E2368*(1+F2368/100),ABS(D2368*E2368/F2368)),"")</f>
        <v>57266.074844262315</v>
      </c>
      <c r="H2368" s="43">
        <f>IFERROR(G2368*E2352,"")</f>
        <v>0</v>
      </c>
    </row>
    <row r="2369" spans="1:10" ht="12.75" customHeight="1">
      <c r="A2369" s="28"/>
      <c r="B2369" s="29"/>
      <c r="C2369" s="30" t="str">
        <f t="array" ref="C2369">IFERROR(_xlfn.XLOOKUP(B2369,MObra[[#All],[DESCRIPCION]],MObra[[#All],[UN]],,0),"")</f>
        <v/>
      </c>
      <c r="D2369" s="31"/>
      <c r="E2369" s="32" t="str">
        <f>IFERROR(_xlfn.XLOOKUP($B2369,MObra[DESCRIPCION],MObra[VALOR UNIT],,0),"")</f>
        <v/>
      </c>
      <c r="F2369" s="33"/>
      <c r="G2369" s="34" t="str">
        <f>IFERROR(IF(F2369&gt;=0,D2369*E2369*(1+F2369/100),ABS(D2369*E2369/F2369)),"")</f>
        <v/>
      </c>
      <c r="H2369" s="43" t="str">
        <f>IFERROR(G2369*E2352,"")</f>
        <v/>
      </c>
    </row>
    <row r="2370" spans="1:10" ht="12.75" customHeight="1" thickBot="1">
      <c r="A2370" s="35"/>
      <c r="B2370" s="36"/>
      <c r="C2370" s="37" t="str">
        <f t="array" ref="C2370">IFERROR(_xlfn.XLOOKUP(B2370,MObra[[#All],[DESCRIPCION]],MObra[[#All],[UN]],,0),"")</f>
        <v/>
      </c>
      <c r="D2370" s="38"/>
      <c r="E2370" s="39" t="str">
        <f>IFERROR(_xlfn.XLOOKUP($B2370,MObra[DESCRIPCION],MObra[VALOR UNIT],,0),"")</f>
        <v/>
      </c>
      <c r="F2370" s="40"/>
      <c r="G2370" s="41" t="str">
        <f>IFERROR(IF(F2370&gt;=0,D2370*E2370*(1+F2370/100),ABS(D2370*E2370/F2370)),"")</f>
        <v/>
      </c>
      <c r="H2370" s="42" t="str">
        <f>IFERROR(G2370*E2352,"")</f>
        <v/>
      </c>
    </row>
    <row r="2371" spans="1:10" ht="12.75" customHeight="1" thickTop="1" thickBot="1">
      <c r="E2371" s="49"/>
      <c r="G2371" s="3"/>
    </row>
    <row r="2372" spans="1:10" ht="12.75" customHeight="1" thickTop="1" thickBot="1">
      <c r="A2372" s="6" t="s">
        <v>258</v>
      </c>
      <c r="B2372" s="7" t="str">
        <f>VLOOKUP($A2372,Presupuesto!$A:$D,2,FALSE())</f>
        <v>Excavación material común bajo agua H&gt;4 m manual</v>
      </c>
      <c r="C2372" s="8" t="str">
        <f>VLOOKUP($A2372,Presupuesto!$A:$D,3,FALSE())</f>
        <v>M3</v>
      </c>
      <c r="D2372" s="9"/>
      <c r="E2372" s="10">
        <f>VLOOKUP($A2372,Presupuesto!$A:$D,4,FALSE())</f>
        <v>0</v>
      </c>
      <c r="F2372" s="11" t="s">
        <v>2589</v>
      </c>
      <c r="G2372" s="12">
        <f>SUM(G2374:G2390)/2</f>
        <v>89221.478479909114</v>
      </c>
      <c r="H2372" s="13">
        <f>ROUND(SUM(H2374:H2390),0)/2</f>
        <v>0</v>
      </c>
      <c r="I2372" s="10">
        <f>VLOOKUP(A2372,Presupuesto!$A:$F,6,0)</f>
        <v>0</v>
      </c>
      <c r="J2372" s="10">
        <f>+H2372-I2372</f>
        <v>0</v>
      </c>
    </row>
    <row r="2373" spans="1:10" ht="12.75" customHeight="1" thickTop="1">
      <c r="A2373" s="14"/>
      <c r="B2373" s="15" t="s">
        <v>2586</v>
      </c>
      <c r="C2373" s="15" t="s">
        <v>5</v>
      </c>
      <c r="D2373" s="16" t="s">
        <v>6</v>
      </c>
      <c r="E2373" s="17" t="s">
        <v>7</v>
      </c>
      <c r="F2373" s="18" t="s">
        <v>3728</v>
      </c>
      <c r="G2373" s="19" t="s">
        <v>3729</v>
      </c>
      <c r="H2373" s="20" t="s">
        <v>3797</v>
      </c>
    </row>
    <row r="2374" spans="1:10" ht="12.75" customHeight="1">
      <c r="A2374" s="21"/>
      <c r="B2374" s="22" t="s">
        <v>3730</v>
      </c>
      <c r="C2374" s="23"/>
      <c r="D2374" s="24"/>
      <c r="E2374" s="25"/>
      <c r="F2374" s="26"/>
      <c r="G2374" s="27">
        <f>SUM(G2375:G2379)</f>
        <v>0</v>
      </c>
      <c r="H2374" s="27">
        <f>IFERROR(G2374*E2372,"")</f>
        <v>0</v>
      </c>
    </row>
    <row r="2375" spans="1:10" ht="12.75" customHeight="1">
      <c r="A2375" s="28"/>
      <c r="B2375" s="29"/>
      <c r="C2375" s="30" t="str">
        <f>IFERROR(_xlfn.XLOOKUP(B2375,Insumo[DESCRIPCION],Insumo[UND],,0),"")</f>
        <v/>
      </c>
      <c r="D2375" s="31"/>
      <c r="E2375" s="32" t="str">
        <f>IFERROR(_xlfn.XLOOKUP($B2375,Insumo[DESCRIPCION],Insumo[VALOR],,0),"")</f>
        <v/>
      </c>
      <c r="F2375" s="33"/>
      <c r="G2375" s="34" t="str">
        <f>IFERROR(IF(F2375&gt;=0,D2375*E2375*(1+F2375/100),ABS(D2375*E2375/F2375)),"")</f>
        <v/>
      </c>
      <c r="H2375" s="43" t="str">
        <f>IFERROR(G2375*E2372,"")</f>
        <v/>
      </c>
    </row>
    <row r="2376" spans="1:10" ht="12.75" customHeight="1">
      <c r="A2376" s="28"/>
      <c r="B2376" s="29"/>
      <c r="C2376" s="30" t="str">
        <f>IFERROR(_xlfn.XLOOKUP(B2376,Insumo[DESCRIPCION],Insumo[UND],,0),"")</f>
        <v/>
      </c>
      <c r="D2376" s="31"/>
      <c r="E2376" s="32" t="str">
        <f>IFERROR(_xlfn.XLOOKUP($B2376,Insumo[DESCRIPCION],Insumo[VALOR],,0),"")</f>
        <v/>
      </c>
      <c r="F2376" s="33"/>
      <c r="G2376" s="34" t="str">
        <f>IFERROR(IF(F2376&gt;=0,D2376*E2376*(1+F2376/100),ABS(D2376*E2376/F2376)),"")</f>
        <v/>
      </c>
      <c r="H2376" s="43" t="str">
        <f>IFERROR(G2376*E2372,"")</f>
        <v/>
      </c>
    </row>
    <row r="2377" spans="1:10" ht="12.75" customHeight="1">
      <c r="A2377" s="28"/>
      <c r="B2377" s="29"/>
      <c r="C2377" s="30" t="str">
        <f>IFERROR(_xlfn.XLOOKUP(B2377,Insumo[DESCRIPCION],Insumo[UND],,0),"")</f>
        <v/>
      </c>
      <c r="D2377" s="31"/>
      <c r="E2377" s="32" t="str">
        <f>IFERROR(_xlfn.XLOOKUP($B2377,Insumo[DESCRIPCION],Insumo[VALOR],,0),"")</f>
        <v/>
      </c>
      <c r="F2377" s="33"/>
      <c r="G2377" s="34" t="str">
        <f>IFERROR(IF(F2377&gt;=0,D2377*E2377*(1+F2377/100),ABS(D2377*E2377/F2377)),"")</f>
        <v/>
      </c>
      <c r="H2377" s="43" t="str">
        <f>IFERROR(G2377*E2372,"")</f>
        <v/>
      </c>
    </row>
    <row r="2378" spans="1:10" ht="12.75" customHeight="1">
      <c r="A2378" s="28"/>
      <c r="B2378" s="29"/>
      <c r="C2378" s="30" t="str">
        <f>IFERROR(_xlfn.XLOOKUP(B2378,Insumo[DESCRIPCION],Insumo[UND],,0),"")</f>
        <v/>
      </c>
      <c r="D2378" s="31"/>
      <c r="E2378" s="32" t="str">
        <f>IFERROR(_xlfn.XLOOKUP($B2378,Insumo[DESCRIPCION],Insumo[VALOR],,0),"")</f>
        <v/>
      </c>
      <c r="F2378" s="33"/>
      <c r="G2378" s="34" t="str">
        <f>IFERROR(IF(F2378&gt;=0,D2378*E2378*(1+F2378/100),ABS(D2378*E2378/F2378)),"")</f>
        <v/>
      </c>
      <c r="H2378" s="43" t="str">
        <f>IFERROR(G2378*E2372,"")</f>
        <v/>
      </c>
    </row>
    <row r="2379" spans="1:10" ht="12.75" customHeight="1">
      <c r="A2379" s="28"/>
      <c r="B2379" s="29"/>
      <c r="C2379" s="30" t="str">
        <f>IFERROR(_xlfn.XLOOKUP(B2379,Insumo[DESCRIPCION],Insumo[UND],,0),"")</f>
        <v/>
      </c>
      <c r="D2379" s="31"/>
      <c r="E2379" s="32" t="str">
        <f>IFERROR(_xlfn.XLOOKUP($B2379,Insumo[DESCRIPCION],Insumo[VALOR],,0),"")</f>
        <v/>
      </c>
      <c r="F2379" s="33"/>
      <c r="G2379" s="34" t="str">
        <f>IFERROR(IF(F2379&gt;=0,D2379*E2379*(1+F2379/100),ABS(D2379*E2379/F2379)),"")</f>
        <v/>
      </c>
      <c r="H2379" s="43" t="str">
        <f>IFERROR(G2379*E2372,"")</f>
        <v/>
      </c>
    </row>
    <row r="2380" spans="1:10" ht="12.75" customHeight="1">
      <c r="A2380" s="21"/>
      <c r="B2380" s="22" t="s">
        <v>3731</v>
      </c>
      <c r="C2380" s="23"/>
      <c r="D2380" s="24"/>
      <c r="E2380" s="25"/>
      <c r="F2380" s="26"/>
      <c r="G2380" s="27">
        <f>SUM(G2381:G2383)</f>
        <v>25708.195470818184</v>
      </c>
      <c r="H2380" s="44">
        <f>G2380*E2372</f>
        <v>0</v>
      </c>
    </row>
    <row r="2381" spans="1:10" ht="12.75" customHeight="1">
      <c r="A2381" s="28"/>
      <c r="B2381" s="29" t="s">
        <v>3632</v>
      </c>
      <c r="C2381" s="30" t="str">
        <f>IFERROR(_xlfn.XLOOKUP(B2381,Equipo[DESCRIPCION],Equipo[UND],,0),"")</f>
        <v>Día</v>
      </c>
      <c r="D2381" s="31">
        <v>1</v>
      </c>
      <c r="E2381" s="32">
        <f>IF(C2381="%MO",G2387,IFERROR(_xlfn.XLOOKUP($B2381,Equipo[DESCRIPCION],Equipo[VALOR],,0),""))</f>
        <v>109956</v>
      </c>
      <c r="F2381" s="33">
        <v>-5.5</v>
      </c>
      <c r="G2381" s="34">
        <f>IFERROR(IF(F2381&gt;=0,D2381*E2381*(1+F2381/100),ABS(D2381*E2381/F2381)),"")</f>
        <v>19992</v>
      </c>
      <c r="H2381" s="43">
        <f>IFERROR(G2381*E2372,"")</f>
        <v>0</v>
      </c>
    </row>
    <row r="2382" spans="1:10" ht="12.75" customHeight="1">
      <c r="A2382" s="28"/>
      <c r="B2382" s="29" t="s">
        <v>3570</v>
      </c>
      <c r="C2382" s="30" t="str">
        <f>IFERROR(_xlfn.XLOOKUP(B2382,Equipo[DESCRIPCION],Equipo[UND],,0),"")</f>
        <v>%MO</v>
      </c>
      <c r="D2382" s="31">
        <v>0.04</v>
      </c>
      <c r="E2382" s="32">
        <f>IF(C2382="%MO",G2387,IFERROR(_xlfn.XLOOKUP($B2382,Equipo[DESCRIPCION],Equipo[VALOR],,0),""))</f>
        <v>63513.283009090926</v>
      </c>
      <c r="F2382" s="33"/>
      <c r="G2382" s="34">
        <f>IFERROR(IF(F2382&gt;=0,D2382*E2382*(1+F2382/100),ABS(D2382*E2382/F2382)),"")</f>
        <v>2540.531320363637</v>
      </c>
      <c r="H2382" s="43">
        <f>IFERROR(G2382*E2372,"")</f>
        <v>0</v>
      </c>
    </row>
    <row r="2383" spans="1:10" ht="12.75" customHeight="1">
      <c r="A2383" s="28"/>
      <c r="B2383" s="29" t="s">
        <v>3626</v>
      </c>
      <c r="C2383" s="30" t="str">
        <f>IFERROR(_xlfn.XLOOKUP(B2383,Equipo[DESCRIPCION],Equipo[UND],,0),"")</f>
        <v>%MO</v>
      </c>
      <c r="D2383" s="31">
        <v>0.05</v>
      </c>
      <c r="E2383" s="32">
        <f>IF(C2383="%MO",G2387,IFERROR(_xlfn.XLOOKUP($B2383,Equipo[DESCRIPCION],Equipo[VALOR],,0),""))</f>
        <v>63513.283009090926</v>
      </c>
      <c r="F2383" s="33"/>
      <c r="G2383" s="34">
        <f>IFERROR(IF(F2383&gt;=0,D2383*E2383*(1+F2383/100),ABS(D2383*E2383/F2383)),"")</f>
        <v>3175.6641504545464</v>
      </c>
      <c r="H2383" s="43">
        <f>IFERROR(G2383*E2372,"")</f>
        <v>0</v>
      </c>
    </row>
    <row r="2384" spans="1:10" ht="12.75" customHeight="1">
      <c r="A2384" s="21"/>
      <c r="B2384" s="22" t="s">
        <v>2533</v>
      </c>
      <c r="C2384" s="23"/>
      <c r="D2384" s="24"/>
      <c r="E2384" s="25"/>
      <c r="F2384" s="26"/>
      <c r="G2384" s="27">
        <f>SUM(G2385:G2386)</f>
        <v>0</v>
      </c>
      <c r="H2384" s="44">
        <f>G2384*E2372</f>
        <v>0</v>
      </c>
    </row>
    <row r="2385" spans="1:10" ht="12.75" customHeight="1">
      <c r="A2385" s="28"/>
      <c r="B2385" s="29"/>
      <c r="C2385" s="30" t="str">
        <f>IFERROR(_xlfn.XLOOKUP(B2385,Transporte[DESCRIPCION],Transporte[UND],,0),"")</f>
        <v/>
      </c>
      <c r="D2385" s="31"/>
      <c r="E2385" s="32" t="str">
        <f>IFERROR(_xlfn.XLOOKUP($B2385,Transporte[DESCRIPCION],Transporte[VALOR],,0),"")</f>
        <v/>
      </c>
      <c r="F2385" s="33"/>
      <c r="G2385" s="34" t="str">
        <f>IFERROR(IF(F2385&gt;=0,D2385*E2385*(1+F2385/100),ABS(D2385*E2385/F2385)),"")</f>
        <v/>
      </c>
      <c r="H2385" s="43" t="str">
        <f>IFERROR(G2385*E2372,"")</f>
        <v/>
      </c>
    </row>
    <row r="2386" spans="1:10" ht="12.75" customHeight="1">
      <c r="A2386" s="28"/>
      <c r="B2386" s="29"/>
      <c r="C2386" s="30" t="str">
        <f>IFERROR(_xlfn.XLOOKUP(B2386,Transporte[DESCRIPCION],Transporte[UND],,0),"")</f>
        <v/>
      </c>
      <c r="D2386" s="31"/>
      <c r="E2386" s="32" t="str">
        <f>IFERROR(_xlfn.XLOOKUP($B2386,Transporte[DESCRIPCION],Transporte[VALOR],,0),"")</f>
        <v/>
      </c>
      <c r="F2386" s="33"/>
      <c r="G2386" s="34" t="str">
        <f>IFERROR(IF(F2386&gt;=0,D2386*E2386*(1+F2386/100),ABS(D2386*E2386/F2386)),"")</f>
        <v/>
      </c>
      <c r="H2386" s="43" t="str">
        <f>IFERROR(G2386*E2372,"")</f>
        <v/>
      </c>
    </row>
    <row r="2387" spans="1:10" ht="12.75" customHeight="1">
      <c r="A2387" s="21"/>
      <c r="B2387" s="22" t="s">
        <v>3732</v>
      </c>
      <c r="C2387" s="23"/>
      <c r="D2387" s="24"/>
      <c r="E2387" s="25"/>
      <c r="F2387" s="26"/>
      <c r="G2387" s="27">
        <f>SUM(G2388:G2390)</f>
        <v>63513.283009090926</v>
      </c>
      <c r="H2387" s="44">
        <f>G2387*E2372</f>
        <v>0</v>
      </c>
    </row>
    <row r="2388" spans="1:10" ht="12.75" customHeight="1">
      <c r="A2388" s="28"/>
      <c r="B2388" s="29" t="s">
        <v>3722</v>
      </c>
      <c r="C2388" s="30" t="str">
        <f>IFERROR(_xlfn.XLOOKUP(B2388,MObra[DESCRIPCION],MObra[UN],,0),"")</f>
        <v>día</v>
      </c>
      <c r="D2388" s="31">
        <v>1</v>
      </c>
      <c r="E2388" s="32">
        <f>IFERROR(_xlfn.XLOOKUP($B2388,MObra[DESCRIPCION],MObra[VALOR UNIT],,0),"")</f>
        <v>349323.0565500001</v>
      </c>
      <c r="F2388" s="33">
        <v>-5.5</v>
      </c>
      <c r="G2388" s="34">
        <f>IFERROR(IF(F2388&gt;=0,D2388*E2388*(1+F2388/100),ABS(D2388*E2388/F2388)),"")</f>
        <v>63513.283009090926</v>
      </c>
      <c r="H2388" s="43">
        <f>IFERROR(G2388*E2372,"")</f>
        <v>0</v>
      </c>
    </row>
    <row r="2389" spans="1:10" ht="12.75" customHeight="1">
      <c r="A2389" s="28"/>
      <c r="B2389" s="29"/>
      <c r="C2389" s="30" t="str">
        <f t="array" ref="C2389">IFERROR(_xlfn.XLOOKUP(B2389,MObra[[#All],[DESCRIPCION]],MObra[[#All],[UN]],,0),"")</f>
        <v/>
      </c>
      <c r="D2389" s="31"/>
      <c r="E2389" s="32" t="str">
        <f>IFERROR(_xlfn.XLOOKUP($B2389,MObra[DESCRIPCION],MObra[VALOR UNIT],,0),"")</f>
        <v/>
      </c>
      <c r="F2389" s="33"/>
      <c r="G2389" s="34" t="str">
        <f>IFERROR(IF(F2389&gt;=0,D2389*E2389*(1+F2389/100),ABS(D2389*E2389/F2389)),"")</f>
        <v/>
      </c>
      <c r="H2389" s="43" t="str">
        <f>IFERROR(G2389*E2372,"")</f>
        <v/>
      </c>
    </row>
    <row r="2390" spans="1:10" ht="12.75" customHeight="1" thickBot="1">
      <c r="A2390" s="35"/>
      <c r="B2390" s="36"/>
      <c r="C2390" s="37" t="str">
        <f t="array" ref="C2390">IFERROR(_xlfn.XLOOKUP(B2390,MObra[[#All],[DESCRIPCION]],MObra[[#All],[UN]],,0),"")</f>
        <v/>
      </c>
      <c r="D2390" s="38"/>
      <c r="E2390" s="39" t="str">
        <f>IFERROR(_xlfn.XLOOKUP($B2390,MObra[DESCRIPCION],MObra[VALOR UNIT],,0),"")</f>
        <v/>
      </c>
      <c r="F2390" s="40"/>
      <c r="G2390" s="41" t="str">
        <f>IFERROR(IF(F2390&gt;=0,D2390*E2390*(1+F2390/100),ABS(D2390*E2390/F2390)),"")</f>
        <v/>
      </c>
      <c r="H2390" s="42" t="str">
        <f>IFERROR(G2390*E2372,"")</f>
        <v/>
      </c>
    </row>
    <row r="2391" spans="1:10" ht="12.75" customHeight="1" thickTop="1" thickBot="1">
      <c r="E2391" s="49"/>
      <c r="G2391" s="3"/>
    </row>
    <row r="2392" spans="1:10" ht="12.75" customHeight="1" thickTop="1" thickBot="1">
      <c r="A2392" s="6" t="s">
        <v>260</v>
      </c>
      <c r="B2392" s="7" t="str">
        <f>VLOOKUP($A2392,Presupuesto!$A:$D,2,FALSE())</f>
        <v>Excavación material común pilotes</v>
      </c>
      <c r="C2392" s="8" t="str">
        <f>VLOOKUP($A2392,Presupuesto!$A:$D,3,FALSE())</f>
        <v>M</v>
      </c>
      <c r="D2392" s="9"/>
      <c r="E2392" s="10">
        <f>VLOOKUP($A2392,Presupuesto!$A:$D,4,FALSE())</f>
        <v>0</v>
      </c>
      <c r="F2392" s="11" t="s">
        <v>2589</v>
      </c>
      <c r="G2392" s="12">
        <f>SUM(G2394:G2410)/2</f>
        <v>242694.16697925</v>
      </c>
      <c r="H2392" s="13">
        <f>ROUND(SUM(H2394:H2410),0)/2</f>
        <v>0</v>
      </c>
      <c r="I2392" s="10">
        <f>VLOOKUP(A2392,Presupuesto!$A:$F,6,0)</f>
        <v>0</v>
      </c>
      <c r="J2392" s="10">
        <f>+H2392-I2392</f>
        <v>0</v>
      </c>
    </row>
    <row r="2393" spans="1:10" ht="12.75" customHeight="1" thickTop="1">
      <c r="A2393" s="14"/>
      <c r="B2393" s="15" t="s">
        <v>2586</v>
      </c>
      <c r="C2393" s="15" t="s">
        <v>5</v>
      </c>
      <c r="D2393" s="16" t="s">
        <v>6</v>
      </c>
      <c r="E2393" s="17" t="s">
        <v>7</v>
      </c>
      <c r="F2393" s="18" t="s">
        <v>3728</v>
      </c>
      <c r="G2393" s="19" t="s">
        <v>3729</v>
      </c>
      <c r="H2393" s="20" t="s">
        <v>3797</v>
      </c>
    </row>
    <row r="2394" spans="1:10" ht="12.75" customHeight="1">
      <c r="A2394" s="21"/>
      <c r="B2394" s="22" t="s">
        <v>3730</v>
      </c>
      <c r="C2394" s="23"/>
      <c r="D2394" s="24"/>
      <c r="E2394" s="25"/>
      <c r="F2394" s="26"/>
      <c r="G2394" s="27">
        <f>SUM(G2395:G2399)</f>
        <v>0</v>
      </c>
      <c r="H2394" s="27">
        <f>IFERROR(G2394*E2392,"")</f>
        <v>0</v>
      </c>
    </row>
    <row r="2395" spans="1:10" ht="12.75" customHeight="1">
      <c r="A2395" s="28"/>
      <c r="B2395" s="29"/>
      <c r="C2395" s="30" t="str">
        <f>IFERROR(_xlfn.XLOOKUP(B2395,Insumo[DESCRIPCION],Insumo[UND],,0),"")</f>
        <v/>
      </c>
      <c r="D2395" s="31"/>
      <c r="E2395" s="32" t="str">
        <f>IFERROR(_xlfn.XLOOKUP($B2395,Insumo[DESCRIPCION],Insumo[VALOR],,0),"")</f>
        <v/>
      </c>
      <c r="F2395" s="33"/>
      <c r="G2395" s="34" t="str">
        <f>IFERROR(IF(F2395&gt;=0,D2395*E2395*(1+F2395/100),ABS(D2395*E2395/F2395)),"")</f>
        <v/>
      </c>
      <c r="H2395" s="43" t="str">
        <f>IFERROR(G2395*E2392,"")</f>
        <v/>
      </c>
    </row>
    <row r="2396" spans="1:10" ht="12.75" customHeight="1">
      <c r="A2396" s="28"/>
      <c r="B2396" s="29"/>
      <c r="C2396" s="30" t="str">
        <f>IFERROR(_xlfn.XLOOKUP(B2396,Insumo[DESCRIPCION],Insumo[UND],,0),"")</f>
        <v/>
      </c>
      <c r="D2396" s="31"/>
      <c r="E2396" s="32" t="str">
        <f>IFERROR(_xlfn.XLOOKUP($B2396,Insumo[DESCRIPCION],Insumo[VALOR],,0),"")</f>
        <v/>
      </c>
      <c r="F2396" s="33"/>
      <c r="G2396" s="34" t="str">
        <f>IFERROR(IF(F2396&gt;=0,D2396*E2396*(1+F2396/100),ABS(D2396*E2396/F2396)),"")</f>
        <v/>
      </c>
      <c r="H2396" s="43" t="str">
        <f>IFERROR(G2396*E2392,"")</f>
        <v/>
      </c>
    </row>
    <row r="2397" spans="1:10" ht="12.75" customHeight="1">
      <c r="A2397" s="28"/>
      <c r="B2397" s="29"/>
      <c r="C2397" s="30" t="str">
        <f>IFERROR(_xlfn.XLOOKUP(B2397,Insumo[DESCRIPCION],Insumo[UND],,0),"")</f>
        <v/>
      </c>
      <c r="D2397" s="31"/>
      <c r="E2397" s="32" t="str">
        <f>IFERROR(_xlfn.XLOOKUP($B2397,Insumo[DESCRIPCION],Insumo[VALOR],,0),"")</f>
        <v/>
      </c>
      <c r="F2397" s="33"/>
      <c r="G2397" s="34" t="str">
        <f>IFERROR(IF(F2397&gt;=0,D2397*E2397*(1+F2397/100),ABS(D2397*E2397/F2397)),"")</f>
        <v/>
      </c>
      <c r="H2397" s="43" t="str">
        <f>IFERROR(G2397*E2392,"")</f>
        <v/>
      </c>
    </row>
    <row r="2398" spans="1:10" ht="12.75" customHeight="1">
      <c r="A2398" s="28"/>
      <c r="B2398" s="29"/>
      <c r="C2398" s="30" t="str">
        <f>IFERROR(_xlfn.XLOOKUP(B2398,Insumo[DESCRIPCION],Insumo[UND],,0),"")</f>
        <v/>
      </c>
      <c r="D2398" s="31"/>
      <c r="E2398" s="32" t="str">
        <f>IFERROR(_xlfn.XLOOKUP($B2398,Insumo[DESCRIPCION],Insumo[VALOR],,0),"")</f>
        <v/>
      </c>
      <c r="F2398" s="33"/>
      <c r="G2398" s="34" t="str">
        <f>IFERROR(IF(F2398&gt;=0,D2398*E2398*(1+F2398/100),ABS(D2398*E2398/F2398)),"")</f>
        <v/>
      </c>
      <c r="H2398" s="43" t="str">
        <f>IFERROR(G2398*E2392,"")</f>
        <v/>
      </c>
    </row>
    <row r="2399" spans="1:10" ht="12.75" customHeight="1">
      <c r="A2399" s="28"/>
      <c r="B2399" s="29"/>
      <c r="C2399" s="30" t="str">
        <f>IFERROR(_xlfn.XLOOKUP(B2399,Insumo[DESCRIPCION],Insumo[UND],,0),"")</f>
        <v/>
      </c>
      <c r="D2399" s="31"/>
      <c r="E2399" s="32" t="str">
        <f>IFERROR(_xlfn.XLOOKUP($B2399,Insumo[DESCRIPCION],Insumo[VALOR],,0),"")</f>
        <v/>
      </c>
      <c r="F2399" s="33"/>
      <c r="G2399" s="34" t="str">
        <f>IFERROR(IF(F2399&gt;=0,D2399*E2399*(1+F2399/100),ABS(D2399*E2399/F2399)),"")</f>
        <v/>
      </c>
      <c r="H2399" s="43" t="str">
        <f>IFERROR(G2399*E2392,"")</f>
        <v/>
      </c>
    </row>
    <row r="2400" spans="1:10" ht="12.75" customHeight="1">
      <c r="A2400" s="21"/>
      <c r="B2400" s="22" t="s">
        <v>3731</v>
      </c>
      <c r="C2400" s="23"/>
      <c r="D2400" s="24"/>
      <c r="E2400" s="25"/>
      <c r="F2400" s="26"/>
      <c r="G2400" s="27">
        <f>SUM(G2401:G2403)</f>
        <v>231050.06509425002</v>
      </c>
      <c r="H2400" s="44">
        <f>G2400*E2392</f>
        <v>0</v>
      </c>
    </row>
    <row r="2401" spans="1:10" ht="12.75" customHeight="1">
      <c r="A2401" s="28"/>
      <c r="B2401" s="29" t="s">
        <v>3610</v>
      </c>
      <c r="C2401" s="30" t="str">
        <f>IFERROR(_xlfn.XLOOKUP(B2401,Equipo[DESCRIPCION],Equipo[UND],,0),"")</f>
        <v>Hr</v>
      </c>
      <c r="D2401" s="31">
        <v>1</v>
      </c>
      <c r="E2401" s="32">
        <f>IF(C2401="%MO",G2407,IFERROR(_xlfn.XLOOKUP($B2401,Equipo[DESCRIPCION],Equipo[VALOR],,0),""))</f>
        <v>192056.55000000002</v>
      </c>
      <c r="F2401" s="33">
        <f>-1/1.2</f>
        <v>-0.83333333333333337</v>
      </c>
      <c r="G2401" s="34">
        <f>IFERROR(IF(F2401&gt;=0,D2401*E2401*(1+F2401/100),ABS(D2401*E2401/F2401)),"")</f>
        <v>230467.86000000002</v>
      </c>
      <c r="H2401" s="43">
        <f>IFERROR(G2401*E2392,"")</f>
        <v>0</v>
      </c>
    </row>
    <row r="2402" spans="1:10" ht="12.75" customHeight="1">
      <c r="A2402" s="28"/>
      <c r="B2402" s="29" t="s">
        <v>3626</v>
      </c>
      <c r="C2402" s="30" t="str">
        <f>IFERROR(_xlfn.XLOOKUP(B2402,Equipo[DESCRIPCION],Equipo[UND],,0),"")</f>
        <v>%MO</v>
      </c>
      <c r="D2402" s="31">
        <v>0.05</v>
      </c>
      <c r="E2402" s="32">
        <f>IF(C2402="%MO",G2407,IFERROR(_xlfn.XLOOKUP($B2402,Equipo[DESCRIPCION],Equipo[VALOR],,0),""))</f>
        <v>11644.101885000002</v>
      </c>
      <c r="F2402" s="33"/>
      <c r="G2402" s="34">
        <f>IFERROR(IF(F2402&gt;=0,D2402*E2402*(1+F2402/100),ABS(D2402*E2402/F2402)),"")</f>
        <v>582.20509425000012</v>
      </c>
      <c r="H2402" s="43">
        <f>IFERROR(G2402*E2392,"")</f>
        <v>0</v>
      </c>
    </row>
    <row r="2403" spans="1:10" ht="12.75" customHeight="1">
      <c r="A2403" s="28"/>
      <c r="B2403" s="29"/>
      <c r="C2403" s="30" t="str">
        <f>IFERROR(_xlfn.XLOOKUP(B2403,Equipo[DESCRIPCION],Equipo[UND],,0),"")</f>
        <v/>
      </c>
      <c r="D2403" s="31"/>
      <c r="E2403" s="32" t="str">
        <f>IF(C2403="%MO",G2407,IFERROR(_xlfn.XLOOKUP($B2403,Equipo[DESCRIPCION],Equipo[VALOR],,0),""))</f>
        <v/>
      </c>
      <c r="F2403" s="33"/>
      <c r="G2403" s="34" t="str">
        <f>IFERROR(IF(F2403&gt;=0,D2403*E2403*(1+F2403/100),ABS(D2403*E2403/F2403)),"")</f>
        <v/>
      </c>
      <c r="H2403" s="43" t="str">
        <f>IFERROR(G2403*E2392,"")</f>
        <v/>
      </c>
    </row>
    <row r="2404" spans="1:10" ht="12.75" customHeight="1">
      <c r="A2404" s="21"/>
      <c r="B2404" s="22" t="s">
        <v>2533</v>
      </c>
      <c r="C2404" s="23"/>
      <c r="D2404" s="24"/>
      <c r="E2404" s="25"/>
      <c r="F2404" s="26"/>
      <c r="G2404" s="27">
        <f>SUM(G2405:G2406)</f>
        <v>0</v>
      </c>
      <c r="H2404" s="44">
        <f>G2404*E2392</f>
        <v>0</v>
      </c>
    </row>
    <row r="2405" spans="1:10" ht="12.75" customHeight="1">
      <c r="A2405" s="28"/>
      <c r="B2405" s="29"/>
      <c r="C2405" s="30" t="str">
        <f>IFERROR(_xlfn.XLOOKUP(B2405,Transporte[DESCRIPCION],Transporte[UND],,0),"")</f>
        <v/>
      </c>
      <c r="D2405" s="31"/>
      <c r="E2405" s="32" t="str">
        <f>IFERROR(_xlfn.XLOOKUP($B2405,Transporte[DESCRIPCION],Transporte[VALOR],,0),"")</f>
        <v/>
      </c>
      <c r="F2405" s="33"/>
      <c r="G2405" s="34" t="str">
        <f>IFERROR(IF(F2405&gt;=0,D2405*E2405*(1+F2405/100),ABS(D2405*E2405/F2405)),"")</f>
        <v/>
      </c>
      <c r="H2405" s="43" t="str">
        <f>IFERROR(G2405*E2392,"")</f>
        <v/>
      </c>
    </row>
    <row r="2406" spans="1:10" ht="12.75" customHeight="1">
      <c r="A2406" s="28"/>
      <c r="B2406" s="29"/>
      <c r="C2406" s="30" t="str">
        <f>IFERROR(_xlfn.XLOOKUP(B2406,Transporte[DESCRIPCION],Transporte[UND],,0),"")</f>
        <v/>
      </c>
      <c r="D2406" s="31"/>
      <c r="E2406" s="32" t="str">
        <f>IFERROR(_xlfn.XLOOKUP($B2406,Transporte[DESCRIPCION],Transporte[VALOR],,0),"")</f>
        <v/>
      </c>
      <c r="F2406" s="33"/>
      <c r="G2406" s="34" t="str">
        <f>IFERROR(IF(F2406&gt;=0,D2406*E2406*(1+F2406/100),ABS(D2406*E2406/F2406)),"")</f>
        <v/>
      </c>
      <c r="H2406" s="43" t="str">
        <f>IFERROR(G2406*E2392,"")</f>
        <v/>
      </c>
    </row>
    <row r="2407" spans="1:10" ht="12.75" customHeight="1">
      <c r="A2407" s="21"/>
      <c r="B2407" s="22" t="s">
        <v>3732</v>
      </c>
      <c r="C2407" s="23"/>
      <c r="D2407" s="24"/>
      <c r="E2407" s="25"/>
      <c r="F2407" s="26"/>
      <c r="G2407" s="27">
        <f>SUM(G2408:G2410)</f>
        <v>11644.101885000002</v>
      </c>
      <c r="H2407" s="44">
        <f>G2407*E2392</f>
        <v>0</v>
      </c>
    </row>
    <row r="2408" spans="1:10" ht="12.75" customHeight="1">
      <c r="A2408" s="28"/>
      <c r="B2408" s="29" t="s">
        <v>3698</v>
      </c>
      <c r="C2408" s="30" t="str">
        <f>IFERROR(_xlfn.XLOOKUP(B2408,MObra[DESCRIPCION],MObra[UN],,0),"")</f>
        <v>día</v>
      </c>
      <c r="D2408" s="31">
        <v>1</v>
      </c>
      <c r="E2408" s="32">
        <f>IFERROR(_xlfn.XLOOKUP($B2408,MObra[DESCRIPCION],MObra[VALOR UNIT],,0),"")</f>
        <v>116441.01885000002</v>
      </c>
      <c r="F2408" s="33">
        <v>-10</v>
      </c>
      <c r="G2408" s="34">
        <f>IFERROR(IF(F2408&gt;=0,D2408*E2408*(1+F2408/100),ABS(D2408*E2408/F2408)),"")</f>
        <v>11644.101885000002</v>
      </c>
      <c r="H2408" s="43">
        <f>IFERROR(G2408*E2392,"")</f>
        <v>0</v>
      </c>
    </row>
    <row r="2409" spans="1:10" ht="12.75" customHeight="1">
      <c r="A2409" s="28"/>
      <c r="B2409" s="29"/>
      <c r="C2409" s="30" t="str">
        <f t="array" ref="C2409">IFERROR(_xlfn.XLOOKUP(B2409,MObra[[#All],[DESCRIPCION]],MObra[[#All],[UN]],,0),"")</f>
        <v/>
      </c>
      <c r="D2409" s="31"/>
      <c r="E2409" s="32" t="str">
        <f>IFERROR(_xlfn.XLOOKUP($B2409,MObra[DESCRIPCION],MObra[VALOR UNIT],,0),"")</f>
        <v/>
      </c>
      <c r="F2409" s="33"/>
      <c r="G2409" s="34" t="str">
        <f>IFERROR(IF(F2409&gt;=0,D2409*E2409*(1+F2409/100),ABS(D2409*E2409/F2409)),"")</f>
        <v/>
      </c>
      <c r="H2409" s="43" t="str">
        <f>IFERROR(G2409*E2392,"")</f>
        <v/>
      </c>
    </row>
    <row r="2410" spans="1:10" ht="12.75" customHeight="1" thickBot="1">
      <c r="A2410" s="35"/>
      <c r="B2410" s="36"/>
      <c r="C2410" s="37" t="str">
        <f t="array" ref="C2410">IFERROR(_xlfn.XLOOKUP(B2410,MObra[[#All],[DESCRIPCION]],MObra[[#All],[UN]],,0),"")</f>
        <v/>
      </c>
      <c r="D2410" s="38"/>
      <c r="E2410" s="39" t="str">
        <f>IFERROR(_xlfn.XLOOKUP($B2410,MObra[DESCRIPCION],MObra[VALOR UNIT],,0),"")</f>
        <v/>
      </c>
      <c r="F2410" s="40"/>
      <c r="G2410" s="41" t="str">
        <f>IFERROR(IF(F2410&gt;=0,D2410*E2410*(1+F2410/100),ABS(D2410*E2410/F2410)),"")</f>
        <v/>
      </c>
      <c r="H2410" s="42" t="str">
        <f>IFERROR(G2410*E2392,"")</f>
        <v/>
      </c>
    </row>
    <row r="2411" spans="1:10" ht="12.75" customHeight="1" thickTop="1" thickBot="1">
      <c r="E2411" s="49"/>
      <c r="G2411" s="3"/>
    </row>
    <row r="2412" spans="1:10" ht="12.75" customHeight="1" thickTop="1" thickBot="1">
      <c r="A2412" s="6" t="s">
        <v>262</v>
      </c>
      <c r="B2412" s="7" t="str">
        <f>VLOOKUP($A2412,Presupuesto!$A:$D,2,FALSE())</f>
        <v>Excavación sin clasificar de la explanación y canales (descapote)</v>
      </c>
      <c r="C2412" s="8" t="str">
        <f>VLOOKUP($A2412,Presupuesto!$A:$D,3,FALSE())</f>
        <v>M3</v>
      </c>
      <c r="D2412" s="9"/>
      <c r="E2412" s="10">
        <f>VLOOKUP($A2412,Presupuesto!$A:$D,4,FALSE())</f>
        <v>0</v>
      </c>
      <c r="F2412" s="11" t="s">
        <v>2589</v>
      </c>
      <c r="G2412" s="12">
        <f>SUM(G2414:G2430)/2</f>
        <v>20065.08713195</v>
      </c>
      <c r="H2412" s="13">
        <f>ROUND(SUM(H2414:H2430),0)/2</f>
        <v>0</v>
      </c>
      <c r="I2412" s="10">
        <f>VLOOKUP(A2412,Presupuesto!$A:$F,6,0)</f>
        <v>0</v>
      </c>
      <c r="J2412" s="10">
        <f>+H2412-I2412</f>
        <v>0</v>
      </c>
    </row>
    <row r="2413" spans="1:10" ht="12.75" customHeight="1" thickTop="1">
      <c r="A2413" s="14"/>
      <c r="B2413" s="15" t="s">
        <v>2586</v>
      </c>
      <c r="C2413" s="15" t="s">
        <v>5</v>
      </c>
      <c r="D2413" s="16" t="s">
        <v>6</v>
      </c>
      <c r="E2413" s="17" t="s">
        <v>7</v>
      </c>
      <c r="F2413" s="18" t="s">
        <v>3728</v>
      </c>
      <c r="G2413" s="19" t="s">
        <v>3729</v>
      </c>
      <c r="H2413" s="20" t="s">
        <v>3797</v>
      </c>
    </row>
    <row r="2414" spans="1:10" ht="12.75" customHeight="1">
      <c r="A2414" s="21"/>
      <c r="B2414" s="22" t="s">
        <v>3730</v>
      </c>
      <c r="C2414" s="23"/>
      <c r="D2414" s="24"/>
      <c r="E2414" s="25"/>
      <c r="F2414" s="26"/>
      <c r="G2414" s="27">
        <f>SUM(G2415:G2419)</f>
        <v>0</v>
      </c>
      <c r="H2414" s="27">
        <f>IFERROR(G2414*E2412,"")</f>
        <v>0</v>
      </c>
    </row>
    <row r="2415" spans="1:10" ht="12.75" customHeight="1">
      <c r="A2415" s="28"/>
      <c r="B2415" s="29"/>
      <c r="C2415" s="30" t="str">
        <f>IFERROR(_xlfn.XLOOKUP(B2415,Insumo[DESCRIPCION],Insumo[UND],,0),"")</f>
        <v/>
      </c>
      <c r="D2415" s="31"/>
      <c r="E2415" s="32" t="str">
        <f>IFERROR(_xlfn.XLOOKUP($B2415,Insumo[DESCRIPCION],Insumo[VALOR],,0),"")</f>
        <v/>
      </c>
      <c r="F2415" s="33"/>
      <c r="G2415" s="34" t="str">
        <f>IFERROR(IF(F2415&gt;=0,D2415*E2415*(1+F2415/100),ABS(D2415*E2415/F2415)),"")</f>
        <v/>
      </c>
      <c r="H2415" s="43" t="str">
        <f>IFERROR(G2415*E2412,"")</f>
        <v/>
      </c>
    </row>
    <row r="2416" spans="1:10" ht="12.75" customHeight="1">
      <c r="A2416" s="28"/>
      <c r="B2416" s="29"/>
      <c r="C2416" s="30" t="str">
        <f>IFERROR(_xlfn.XLOOKUP(B2416,Insumo[DESCRIPCION],Insumo[UND],,0),"")</f>
        <v/>
      </c>
      <c r="D2416" s="31"/>
      <c r="E2416" s="32" t="str">
        <f>IFERROR(_xlfn.XLOOKUP($B2416,Insumo[DESCRIPCION],Insumo[VALOR],,0),"")</f>
        <v/>
      </c>
      <c r="F2416" s="33"/>
      <c r="G2416" s="34" t="str">
        <f>IFERROR(IF(F2416&gt;=0,D2416*E2416*(1+F2416/100),ABS(D2416*E2416/F2416)),"")</f>
        <v/>
      </c>
      <c r="H2416" s="43" t="str">
        <f>IFERROR(G2416*E2412,"")</f>
        <v/>
      </c>
    </row>
    <row r="2417" spans="1:10" ht="12.75" customHeight="1">
      <c r="A2417" s="28"/>
      <c r="B2417" s="29"/>
      <c r="C2417" s="30" t="str">
        <f>IFERROR(_xlfn.XLOOKUP(B2417,Insumo[DESCRIPCION],Insumo[UND],,0),"")</f>
        <v/>
      </c>
      <c r="D2417" s="31"/>
      <c r="E2417" s="32" t="str">
        <f>IFERROR(_xlfn.XLOOKUP($B2417,Insumo[DESCRIPCION],Insumo[VALOR],,0),"")</f>
        <v/>
      </c>
      <c r="F2417" s="33"/>
      <c r="G2417" s="34" t="str">
        <f>IFERROR(IF(F2417&gt;=0,D2417*E2417*(1+F2417/100),ABS(D2417*E2417/F2417)),"")</f>
        <v/>
      </c>
      <c r="H2417" s="43" t="str">
        <f>IFERROR(G2417*E2412,"")</f>
        <v/>
      </c>
    </row>
    <row r="2418" spans="1:10" ht="12.75" customHeight="1">
      <c r="A2418" s="28"/>
      <c r="B2418" s="29"/>
      <c r="C2418" s="30" t="str">
        <f>IFERROR(_xlfn.XLOOKUP(B2418,Insumo[DESCRIPCION],Insumo[UND],,0),"")</f>
        <v/>
      </c>
      <c r="D2418" s="31"/>
      <c r="E2418" s="32" t="str">
        <f>IFERROR(_xlfn.XLOOKUP($B2418,Insumo[DESCRIPCION],Insumo[VALOR],,0),"")</f>
        <v/>
      </c>
      <c r="F2418" s="33"/>
      <c r="G2418" s="34" t="str">
        <f>IFERROR(IF(F2418&gt;=0,D2418*E2418*(1+F2418/100),ABS(D2418*E2418/F2418)),"")</f>
        <v/>
      </c>
      <c r="H2418" s="43" t="str">
        <f>IFERROR(G2418*E2412,"")</f>
        <v/>
      </c>
    </row>
    <row r="2419" spans="1:10" ht="12.75" customHeight="1">
      <c r="A2419" s="28"/>
      <c r="B2419" s="29"/>
      <c r="C2419" s="30" t="str">
        <f>IFERROR(_xlfn.XLOOKUP(B2419,Insumo[DESCRIPCION],Insumo[UND],,0),"")</f>
        <v/>
      </c>
      <c r="D2419" s="31"/>
      <c r="E2419" s="32" t="str">
        <f>IFERROR(_xlfn.XLOOKUP($B2419,Insumo[DESCRIPCION],Insumo[VALOR],,0),"")</f>
        <v/>
      </c>
      <c r="F2419" s="33"/>
      <c r="G2419" s="34" t="str">
        <f>IFERROR(IF(F2419&gt;=0,D2419*E2419*(1+F2419/100),ABS(D2419*E2419/F2419)),"")</f>
        <v/>
      </c>
      <c r="H2419" s="43" t="str">
        <f>IFERROR(G2419*E2412,"")</f>
        <v/>
      </c>
    </row>
    <row r="2420" spans="1:10" ht="12.75" customHeight="1">
      <c r="A2420" s="21"/>
      <c r="B2420" s="22" t="s">
        <v>3731</v>
      </c>
      <c r="C2420" s="23"/>
      <c r="D2420" s="24"/>
      <c r="E2420" s="25"/>
      <c r="F2420" s="26"/>
      <c r="G2420" s="27">
        <f>SUM(G2421:G2423)</f>
        <v>19288.81367295</v>
      </c>
      <c r="H2420" s="44">
        <f>G2420*E2412</f>
        <v>0</v>
      </c>
    </row>
    <row r="2421" spans="1:10" ht="12.75" customHeight="1">
      <c r="A2421" s="28"/>
      <c r="B2421" s="29" t="s">
        <v>3646</v>
      </c>
      <c r="C2421" s="30" t="str">
        <f>IFERROR(_xlfn.XLOOKUP(B2421,Equipo[DESCRIPCION],Equipo[UND],,0),"")</f>
        <v>Hr</v>
      </c>
      <c r="D2421" s="31">
        <v>1</v>
      </c>
      <c r="E2421" s="32">
        <f>IF(C2421="%MO",G2427,IFERROR(_xlfn.XLOOKUP($B2421,Equipo[DESCRIPCION],Equipo[VALOR],,0),""))</f>
        <v>288750</v>
      </c>
      <c r="F2421" s="33">
        <v>-15</v>
      </c>
      <c r="G2421" s="34">
        <f>IFERROR(IF(F2421&gt;=0,D2421*E2421*(1+F2421/100),ABS(D2421*E2421/F2421)),"")</f>
        <v>19250</v>
      </c>
      <c r="H2421" s="43">
        <f>IFERROR(G2421*E2412,"")</f>
        <v>0</v>
      </c>
    </row>
    <row r="2422" spans="1:10" ht="12.75" customHeight="1">
      <c r="A2422" s="28"/>
      <c r="B2422" s="29" t="s">
        <v>3626</v>
      </c>
      <c r="C2422" s="30" t="str">
        <f>IFERROR(_xlfn.XLOOKUP(B2422,Equipo[DESCRIPCION],Equipo[UND],,0),"")</f>
        <v>%MO</v>
      </c>
      <c r="D2422" s="31">
        <v>0.05</v>
      </c>
      <c r="E2422" s="32">
        <f>IF(C2422="%MO",G2427,IFERROR(_xlfn.XLOOKUP($B2422,Equipo[DESCRIPCION],Equipo[VALOR],,0),""))</f>
        <v>776.27345900000012</v>
      </c>
      <c r="F2422" s="33"/>
      <c r="G2422" s="34">
        <f>IFERROR(IF(F2422&gt;=0,D2422*E2422*(1+F2422/100),ABS(D2422*E2422/F2422)),"")</f>
        <v>38.813672950000011</v>
      </c>
      <c r="H2422" s="43">
        <f>IFERROR(G2422*E2412,"")</f>
        <v>0</v>
      </c>
    </row>
    <row r="2423" spans="1:10" ht="12.75" customHeight="1">
      <c r="A2423" s="28"/>
      <c r="B2423" s="29"/>
      <c r="C2423" s="30" t="str">
        <f>IFERROR(_xlfn.XLOOKUP(B2423,Equipo[DESCRIPCION],Equipo[UND],,0),"")</f>
        <v/>
      </c>
      <c r="D2423" s="31"/>
      <c r="E2423" s="32" t="str">
        <f>IF(C2423="%MO",G2427,IFERROR(_xlfn.XLOOKUP($B2423,Equipo[DESCRIPCION],Equipo[VALOR],,0),""))</f>
        <v/>
      </c>
      <c r="F2423" s="33"/>
      <c r="G2423" s="34" t="str">
        <f>IFERROR(IF(F2423&gt;=0,D2423*E2423*(1+F2423/100),ABS(D2423*E2423/F2423)),"")</f>
        <v/>
      </c>
      <c r="H2423" s="43" t="str">
        <f>IFERROR(G2423*E2412,"")</f>
        <v/>
      </c>
    </row>
    <row r="2424" spans="1:10" ht="12.75" customHeight="1">
      <c r="A2424" s="21"/>
      <c r="B2424" s="22" t="s">
        <v>2533</v>
      </c>
      <c r="C2424" s="23"/>
      <c r="D2424" s="24"/>
      <c r="E2424" s="25"/>
      <c r="F2424" s="26"/>
      <c r="G2424" s="27">
        <f>SUM(G2425:G2426)</f>
        <v>0</v>
      </c>
      <c r="H2424" s="44">
        <f>G2424*E2412</f>
        <v>0</v>
      </c>
    </row>
    <row r="2425" spans="1:10" ht="12.75" customHeight="1">
      <c r="A2425" s="28"/>
      <c r="B2425" s="29"/>
      <c r="C2425" s="30" t="str">
        <f>IFERROR(_xlfn.XLOOKUP(B2425,Transporte[DESCRIPCION],Transporte[UND],,0),"")</f>
        <v/>
      </c>
      <c r="D2425" s="31"/>
      <c r="E2425" s="32" t="str">
        <f>IFERROR(_xlfn.XLOOKUP($B2425,Transporte[DESCRIPCION],Transporte[VALOR],,0),"")</f>
        <v/>
      </c>
      <c r="F2425" s="33"/>
      <c r="G2425" s="34" t="str">
        <f>IFERROR(IF(F2425&gt;=0,D2425*E2425*(1+F2425/100),ABS(D2425*E2425/F2425)),"")</f>
        <v/>
      </c>
      <c r="H2425" s="43" t="str">
        <f>IFERROR(G2425*E2412,"")</f>
        <v/>
      </c>
    </row>
    <row r="2426" spans="1:10" ht="12.75" customHeight="1">
      <c r="A2426" s="28"/>
      <c r="B2426" s="29"/>
      <c r="C2426" s="30" t="str">
        <f>IFERROR(_xlfn.XLOOKUP(B2426,Transporte[DESCRIPCION],Transporte[UND],,0),"")</f>
        <v/>
      </c>
      <c r="D2426" s="31"/>
      <c r="E2426" s="32" t="str">
        <f>IFERROR(_xlfn.XLOOKUP($B2426,Transporte[DESCRIPCION],Transporte[VALOR],,0),"")</f>
        <v/>
      </c>
      <c r="F2426" s="33"/>
      <c r="G2426" s="34" t="str">
        <f>IFERROR(IF(F2426&gt;=0,D2426*E2426*(1+F2426/100),ABS(D2426*E2426/F2426)),"")</f>
        <v/>
      </c>
      <c r="H2426" s="43" t="str">
        <f>IFERROR(G2426*E2412,"")</f>
        <v/>
      </c>
    </row>
    <row r="2427" spans="1:10" ht="12.75" customHeight="1">
      <c r="A2427" s="21"/>
      <c r="B2427" s="22" t="s">
        <v>3732</v>
      </c>
      <c r="C2427" s="23"/>
      <c r="D2427" s="24"/>
      <c r="E2427" s="25"/>
      <c r="F2427" s="26"/>
      <c r="G2427" s="27">
        <f>SUM(G2428:G2430)</f>
        <v>776.27345900000012</v>
      </c>
      <c r="H2427" s="44">
        <f>G2427*E2412</f>
        <v>0</v>
      </c>
    </row>
    <row r="2428" spans="1:10" ht="12.75" customHeight="1">
      <c r="A2428" s="28"/>
      <c r="B2428" s="29" t="s">
        <v>3698</v>
      </c>
      <c r="C2428" s="30" t="str">
        <f>IFERROR(_xlfn.XLOOKUP(B2428,MObra[DESCRIPCION],MObra[UN],,0),"")</f>
        <v>día</v>
      </c>
      <c r="D2428" s="31">
        <v>1</v>
      </c>
      <c r="E2428" s="32">
        <f>IFERROR(_xlfn.XLOOKUP($B2428,MObra[DESCRIPCION],MObra[VALOR UNIT],,0),"")</f>
        <v>116441.01885000002</v>
      </c>
      <c r="F2428" s="33">
        <v>-150</v>
      </c>
      <c r="G2428" s="34">
        <f>IFERROR(IF(F2428&gt;=0,D2428*E2428*(1+F2428/100),ABS(D2428*E2428/F2428)),"")</f>
        <v>776.27345900000012</v>
      </c>
      <c r="H2428" s="43">
        <f>IFERROR(G2428*E2412,"")</f>
        <v>0</v>
      </c>
    </row>
    <row r="2429" spans="1:10" ht="12.75" customHeight="1">
      <c r="A2429" s="28"/>
      <c r="B2429" s="29"/>
      <c r="C2429" s="30" t="str">
        <f t="array" ref="C2429">IFERROR(_xlfn.XLOOKUP(B2429,MObra[[#All],[DESCRIPCION]],MObra[[#All],[UN]],,0),"")</f>
        <v/>
      </c>
      <c r="D2429" s="31"/>
      <c r="E2429" s="32" t="str">
        <f>IFERROR(_xlfn.XLOOKUP($B2429,MObra[DESCRIPCION],MObra[VALOR UNIT],,0),"")</f>
        <v/>
      </c>
      <c r="F2429" s="33"/>
      <c r="G2429" s="34" t="str">
        <f>IFERROR(IF(F2429&gt;=0,D2429*E2429*(1+F2429/100),ABS(D2429*E2429/F2429)),"")</f>
        <v/>
      </c>
      <c r="H2429" s="43" t="str">
        <f>IFERROR(G2429*E2412,"")</f>
        <v/>
      </c>
    </row>
    <row r="2430" spans="1:10" ht="12.75" customHeight="1" thickBot="1">
      <c r="A2430" s="35"/>
      <c r="B2430" s="36"/>
      <c r="C2430" s="37" t="str">
        <f t="array" ref="C2430">IFERROR(_xlfn.XLOOKUP(B2430,MObra[[#All],[DESCRIPCION]],MObra[[#All],[UN]],,0),"")</f>
        <v/>
      </c>
      <c r="D2430" s="38"/>
      <c r="E2430" s="39" t="str">
        <f>IFERROR(_xlfn.XLOOKUP($B2430,MObra[DESCRIPCION],MObra[VALOR UNIT],,0),"")</f>
        <v/>
      </c>
      <c r="F2430" s="40"/>
      <c r="G2430" s="41" t="str">
        <f>IFERROR(IF(F2430&gt;=0,D2430*E2430*(1+F2430/100),ABS(D2430*E2430/F2430)),"")</f>
        <v/>
      </c>
      <c r="H2430" s="42" t="str">
        <f>IFERROR(G2430*E2412,"")</f>
        <v/>
      </c>
    </row>
    <row r="2431" spans="1:10" ht="12.75" customHeight="1" thickTop="1" thickBot="1">
      <c r="E2431" s="49"/>
      <c r="G2431" s="3"/>
    </row>
    <row r="2432" spans="1:10" ht="12.75" customHeight="1" thickTop="1" thickBot="1">
      <c r="A2432" s="6" t="s">
        <v>264</v>
      </c>
      <c r="B2432" s="7" t="str">
        <f>VLOOKUP($A2432,Presupuesto!$A:$D,2,FALSE())</f>
        <v>Excavación sin clasificar de la explanación y canales mecánica</v>
      </c>
      <c r="C2432" s="8" t="str">
        <f>VLOOKUP($A2432,Presupuesto!$A:$D,3,FALSE())</f>
        <v>M3</v>
      </c>
      <c r="D2432" s="9"/>
      <c r="E2432" s="10">
        <f>VLOOKUP($A2432,Presupuesto!$A:$D,4,FALSE())</f>
        <v>0</v>
      </c>
      <c r="F2432" s="11" t="s">
        <v>2589</v>
      </c>
      <c r="G2432" s="12">
        <f>SUM(G2434:G2450)/2</f>
        <v>21565.485152250003</v>
      </c>
      <c r="H2432" s="13">
        <f>ROUND(SUM(H2434:H2450),0)/2</f>
        <v>0</v>
      </c>
      <c r="I2432" s="10">
        <f>VLOOKUP(A2432,Presupuesto!$A:$F,6,0)</f>
        <v>0</v>
      </c>
      <c r="J2432" s="10">
        <f>+H2432-I2432</f>
        <v>0</v>
      </c>
    </row>
    <row r="2433" spans="1:8" ht="12.75" customHeight="1" thickTop="1">
      <c r="A2433" s="14"/>
      <c r="B2433" s="15" t="s">
        <v>2586</v>
      </c>
      <c r="C2433" s="15" t="s">
        <v>5</v>
      </c>
      <c r="D2433" s="16" t="s">
        <v>6</v>
      </c>
      <c r="E2433" s="17" t="s">
        <v>7</v>
      </c>
      <c r="F2433" s="18" t="s">
        <v>3728</v>
      </c>
      <c r="G2433" s="19" t="s">
        <v>3729</v>
      </c>
      <c r="H2433" s="20" t="s">
        <v>3797</v>
      </c>
    </row>
    <row r="2434" spans="1:8" ht="12.75" customHeight="1">
      <c r="A2434" s="21"/>
      <c r="B2434" s="22" t="s">
        <v>3730</v>
      </c>
      <c r="C2434" s="23"/>
      <c r="D2434" s="24"/>
      <c r="E2434" s="25"/>
      <c r="F2434" s="26"/>
      <c r="G2434" s="27">
        <f>SUM(G2435:G2439)</f>
        <v>0</v>
      </c>
      <c r="H2434" s="27">
        <f>IFERROR(G2434*E2432,"")</f>
        <v>0</v>
      </c>
    </row>
    <row r="2435" spans="1:8" ht="12.75" customHeight="1">
      <c r="A2435" s="28"/>
      <c r="B2435" s="29"/>
      <c r="C2435" s="30" t="str">
        <f>IFERROR(_xlfn.XLOOKUP(B2435,Insumo[DESCRIPCION],Insumo[UND],,0),"")</f>
        <v/>
      </c>
      <c r="D2435" s="31"/>
      <c r="E2435" s="32" t="str">
        <f>IFERROR(_xlfn.XLOOKUP($B2435,Insumo[DESCRIPCION],Insumo[VALOR],,0),"")</f>
        <v/>
      </c>
      <c r="F2435" s="33"/>
      <c r="G2435" s="34" t="str">
        <f>IFERROR(IF(F2435&gt;=0,D2435*E2435*(1+F2435/100),ABS(D2435*E2435/F2435)),"")</f>
        <v/>
      </c>
      <c r="H2435" s="43" t="str">
        <f>IFERROR(G2435*E2432,"")</f>
        <v/>
      </c>
    </row>
    <row r="2436" spans="1:8" ht="12.75" customHeight="1">
      <c r="A2436" s="28"/>
      <c r="B2436" s="29"/>
      <c r="C2436" s="30" t="str">
        <f>IFERROR(_xlfn.XLOOKUP(B2436,Insumo[DESCRIPCION],Insumo[UND],,0),"")</f>
        <v/>
      </c>
      <c r="D2436" s="31"/>
      <c r="E2436" s="32" t="str">
        <f>IFERROR(_xlfn.XLOOKUP($B2436,Insumo[DESCRIPCION],Insumo[VALOR],,0),"")</f>
        <v/>
      </c>
      <c r="F2436" s="33"/>
      <c r="G2436" s="34" t="str">
        <f>IFERROR(IF(F2436&gt;=0,D2436*E2436*(1+F2436/100),ABS(D2436*E2436/F2436)),"")</f>
        <v/>
      </c>
      <c r="H2436" s="43" t="str">
        <f>IFERROR(G2436*E2432,"")</f>
        <v/>
      </c>
    </row>
    <row r="2437" spans="1:8" ht="12.75" customHeight="1">
      <c r="A2437" s="28"/>
      <c r="B2437" s="29"/>
      <c r="C2437" s="30" t="str">
        <f>IFERROR(_xlfn.XLOOKUP(B2437,Insumo[DESCRIPCION],Insumo[UND],,0),"")</f>
        <v/>
      </c>
      <c r="D2437" s="31"/>
      <c r="E2437" s="32" t="str">
        <f>IFERROR(_xlfn.XLOOKUP($B2437,Insumo[DESCRIPCION],Insumo[VALOR],,0),"")</f>
        <v/>
      </c>
      <c r="F2437" s="33"/>
      <c r="G2437" s="34" t="str">
        <f>IFERROR(IF(F2437&gt;=0,D2437*E2437*(1+F2437/100),ABS(D2437*E2437/F2437)),"")</f>
        <v/>
      </c>
      <c r="H2437" s="43" t="str">
        <f>IFERROR(G2437*E2432,"")</f>
        <v/>
      </c>
    </row>
    <row r="2438" spans="1:8" ht="12.75" customHeight="1">
      <c r="A2438" s="28"/>
      <c r="B2438" s="29"/>
      <c r="C2438" s="30" t="str">
        <f>IFERROR(_xlfn.XLOOKUP(B2438,Insumo[DESCRIPCION],Insumo[UND],,0),"")</f>
        <v/>
      </c>
      <c r="D2438" s="31"/>
      <c r="E2438" s="32" t="str">
        <f>IFERROR(_xlfn.XLOOKUP($B2438,Insumo[DESCRIPCION],Insumo[VALOR],,0),"")</f>
        <v/>
      </c>
      <c r="F2438" s="33"/>
      <c r="G2438" s="34" t="str">
        <f>IFERROR(IF(F2438&gt;=0,D2438*E2438*(1+F2438/100),ABS(D2438*E2438/F2438)),"")</f>
        <v/>
      </c>
      <c r="H2438" s="43" t="str">
        <f>IFERROR(G2438*E2432,"")</f>
        <v/>
      </c>
    </row>
    <row r="2439" spans="1:8" ht="12.75" customHeight="1">
      <c r="A2439" s="28"/>
      <c r="B2439" s="29"/>
      <c r="C2439" s="30" t="str">
        <f>IFERROR(_xlfn.XLOOKUP(B2439,Insumo[DESCRIPCION],Insumo[UND],,0),"")</f>
        <v/>
      </c>
      <c r="D2439" s="31"/>
      <c r="E2439" s="32" t="str">
        <f>IFERROR(_xlfn.XLOOKUP($B2439,Insumo[DESCRIPCION],Insumo[VALOR],,0),"")</f>
        <v/>
      </c>
      <c r="F2439" s="33"/>
      <c r="G2439" s="34" t="str">
        <f>IFERROR(IF(F2439&gt;=0,D2439*E2439*(1+F2439/100),ABS(D2439*E2439/F2439)),"")</f>
        <v/>
      </c>
      <c r="H2439" s="43" t="str">
        <f>IFERROR(G2439*E2432,"")</f>
        <v/>
      </c>
    </row>
    <row r="2440" spans="1:8" ht="12.75" customHeight="1">
      <c r="A2440" s="21"/>
      <c r="B2440" s="22" t="s">
        <v>3731</v>
      </c>
      <c r="C2440" s="23"/>
      <c r="D2440" s="24"/>
      <c r="E2440" s="25"/>
      <c r="F2440" s="26"/>
      <c r="G2440" s="27">
        <f>SUM(G2441:G2443)</f>
        <v>20669.78500725</v>
      </c>
      <c r="H2440" s="44">
        <f>G2440*E2432</f>
        <v>0</v>
      </c>
    </row>
    <row r="2441" spans="1:8" ht="12.75" customHeight="1">
      <c r="A2441" s="28"/>
      <c r="B2441" s="29" t="s">
        <v>3646</v>
      </c>
      <c r="C2441" s="30" t="str">
        <f>IFERROR(_xlfn.XLOOKUP(B2441,Equipo[DESCRIPCION],Equipo[UND],,0),"")</f>
        <v>Hr</v>
      </c>
      <c r="D2441" s="31">
        <v>1</v>
      </c>
      <c r="E2441" s="32">
        <f>IF(C2441="%MO",G2447,IFERROR(_xlfn.XLOOKUP($B2441,Equipo[DESCRIPCION],Equipo[VALOR],,0),""))</f>
        <v>288750</v>
      </c>
      <c r="F2441" s="33">
        <v>-14</v>
      </c>
      <c r="G2441" s="34">
        <f>IFERROR(IF(F2441&gt;=0,D2441*E2441*(1+F2441/100),ABS(D2441*E2441/F2441)),"")</f>
        <v>20625</v>
      </c>
      <c r="H2441" s="43">
        <f>IFERROR(G2441*E2432,"")</f>
        <v>0</v>
      </c>
    </row>
    <row r="2442" spans="1:8" ht="12.75" customHeight="1">
      <c r="A2442" s="28"/>
      <c r="B2442" s="29" t="s">
        <v>3626</v>
      </c>
      <c r="C2442" s="30" t="str">
        <f>IFERROR(_xlfn.XLOOKUP(B2442,Equipo[DESCRIPCION],Equipo[UND],,0),"")</f>
        <v>%MO</v>
      </c>
      <c r="D2442" s="31">
        <v>0.05</v>
      </c>
      <c r="E2442" s="32">
        <f>IF(C2442="%MO",G2447,IFERROR(_xlfn.XLOOKUP($B2442,Equipo[DESCRIPCION],Equipo[VALOR],,0),""))</f>
        <v>895.70014500000013</v>
      </c>
      <c r="F2442" s="33"/>
      <c r="G2442" s="34">
        <f>IFERROR(IF(F2442&gt;=0,D2442*E2442*(1+F2442/100),ABS(D2442*E2442/F2442)),"")</f>
        <v>44.785007250000007</v>
      </c>
      <c r="H2442" s="43">
        <f>IFERROR(G2442*E2432,"")</f>
        <v>0</v>
      </c>
    </row>
    <row r="2443" spans="1:8" ht="12.75" customHeight="1">
      <c r="A2443" s="28"/>
      <c r="B2443" s="29"/>
      <c r="C2443" s="30" t="str">
        <f>IFERROR(_xlfn.XLOOKUP(B2443,Equipo[DESCRIPCION],Equipo[UND],,0),"")</f>
        <v/>
      </c>
      <c r="D2443" s="31"/>
      <c r="E2443" s="32" t="str">
        <f>IF(C2443="%MO",G2447,IFERROR(_xlfn.XLOOKUP($B2443,Equipo[DESCRIPCION],Equipo[VALOR],,0),""))</f>
        <v/>
      </c>
      <c r="F2443" s="33"/>
      <c r="G2443" s="34" t="str">
        <f>IFERROR(IF(F2443&gt;=0,D2443*E2443*(1+F2443/100),ABS(D2443*E2443/F2443)),"")</f>
        <v/>
      </c>
      <c r="H2443" s="43" t="str">
        <f>IFERROR(G2443*E2432,"")</f>
        <v/>
      </c>
    </row>
    <row r="2444" spans="1:8" ht="12.75" customHeight="1">
      <c r="A2444" s="21"/>
      <c r="B2444" s="22" t="s">
        <v>2533</v>
      </c>
      <c r="C2444" s="23"/>
      <c r="D2444" s="24"/>
      <c r="E2444" s="25"/>
      <c r="F2444" s="26"/>
      <c r="G2444" s="27">
        <f>SUM(G2445:G2446)</f>
        <v>0</v>
      </c>
      <c r="H2444" s="44">
        <f>G2444*E2432</f>
        <v>0</v>
      </c>
    </row>
    <row r="2445" spans="1:8" ht="12.75" customHeight="1">
      <c r="A2445" s="28"/>
      <c r="B2445" s="29"/>
      <c r="C2445" s="30" t="str">
        <f>IFERROR(_xlfn.XLOOKUP(B2445,Transporte[DESCRIPCION],Transporte[UND],,0),"")</f>
        <v/>
      </c>
      <c r="D2445" s="31"/>
      <c r="E2445" s="32" t="str">
        <f>IFERROR(_xlfn.XLOOKUP($B2445,Transporte[DESCRIPCION],Transporte[VALOR],,0),"")</f>
        <v/>
      </c>
      <c r="F2445" s="33"/>
      <c r="G2445" s="34" t="str">
        <f>IFERROR(IF(F2445&gt;=0,D2445*E2445*(1+F2445/100),ABS(D2445*E2445/F2445)),"")</f>
        <v/>
      </c>
      <c r="H2445" s="43" t="str">
        <f>IFERROR(G2445*E2432,"")</f>
        <v/>
      </c>
    </row>
    <row r="2446" spans="1:8" ht="12.75" customHeight="1">
      <c r="A2446" s="28"/>
      <c r="B2446" s="29"/>
      <c r="C2446" s="30" t="str">
        <f>IFERROR(_xlfn.XLOOKUP(B2446,Transporte[DESCRIPCION],Transporte[UND],,0),"")</f>
        <v/>
      </c>
      <c r="D2446" s="31"/>
      <c r="E2446" s="32" t="str">
        <f>IFERROR(_xlfn.XLOOKUP($B2446,Transporte[DESCRIPCION],Transporte[VALOR],,0),"")</f>
        <v/>
      </c>
      <c r="F2446" s="33"/>
      <c r="G2446" s="34" t="str">
        <f>IFERROR(IF(F2446&gt;=0,D2446*E2446*(1+F2446/100),ABS(D2446*E2446/F2446)),"")</f>
        <v/>
      </c>
      <c r="H2446" s="43" t="str">
        <f>IFERROR(G2446*E2432,"")</f>
        <v/>
      </c>
    </row>
    <row r="2447" spans="1:8" ht="12.75" customHeight="1">
      <c r="A2447" s="21"/>
      <c r="B2447" s="22" t="s">
        <v>3732</v>
      </c>
      <c r="C2447" s="23"/>
      <c r="D2447" s="24"/>
      <c r="E2447" s="25"/>
      <c r="F2447" s="26"/>
      <c r="G2447" s="27">
        <f>SUM(G2448:G2450)</f>
        <v>895.70014500000013</v>
      </c>
      <c r="H2447" s="44">
        <f>G2447*E2432</f>
        <v>0</v>
      </c>
    </row>
    <row r="2448" spans="1:8" ht="12.75" customHeight="1">
      <c r="A2448" s="28"/>
      <c r="B2448" s="29" t="s">
        <v>3698</v>
      </c>
      <c r="C2448" s="30" t="str">
        <f>IFERROR(_xlfn.XLOOKUP(B2448,MObra[DESCRIPCION],MObra[UN],,0),"")</f>
        <v>día</v>
      </c>
      <c r="D2448" s="31">
        <v>1</v>
      </c>
      <c r="E2448" s="32">
        <f>IFERROR(_xlfn.XLOOKUP($B2448,MObra[DESCRIPCION],MObra[VALOR UNIT],,0),"")</f>
        <v>116441.01885000002</v>
      </c>
      <c r="F2448" s="33">
        <v>-130</v>
      </c>
      <c r="G2448" s="34">
        <f>IFERROR(IF(F2448&gt;=0,D2448*E2448*(1+F2448/100),ABS(D2448*E2448/F2448)),"")</f>
        <v>895.70014500000013</v>
      </c>
      <c r="H2448" s="43">
        <f>IFERROR(G2448*E2432,"")</f>
        <v>0</v>
      </c>
    </row>
    <row r="2449" spans="1:10" ht="12.75" customHeight="1">
      <c r="A2449" s="28"/>
      <c r="B2449" s="29"/>
      <c r="C2449" s="30" t="str">
        <f t="array" ref="C2449">IFERROR(_xlfn.XLOOKUP(B2449,MObra[[#All],[DESCRIPCION]],MObra[[#All],[UN]],,0),"")</f>
        <v/>
      </c>
      <c r="D2449" s="31"/>
      <c r="E2449" s="32" t="str">
        <f>IFERROR(_xlfn.XLOOKUP($B2449,MObra[DESCRIPCION],MObra[VALOR UNIT],,0),"")</f>
        <v/>
      </c>
      <c r="F2449" s="33"/>
      <c r="G2449" s="34" t="str">
        <f>IFERROR(IF(F2449&gt;=0,D2449*E2449*(1+F2449/100),ABS(D2449*E2449/F2449)),"")</f>
        <v/>
      </c>
      <c r="H2449" s="43" t="str">
        <f>IFERROR(G2449*E2432,"")</f>
        <v/>
      </c>
    </row>
    <row r="2450" spans="1:10" ht="12.75" customHeight="1" thickBot="1">
      <c r="A2450" s="35"/>
      <c r="B2450" s="36"/>
      <c r="C2450" s="37" t="str">
        <f t="array" ref="C2450">IFERROR(_xlfn.XLOOKUP(B2450,MObra[[#All],[DESCRIPCION]],MObra[[#All],[UN]],,0),"")</f>
        <v/>
      </c>
      <c r="D2450" s="38"/>
      <c r="E2450" s="39" t="str">
        <f>IFERROR(_xlfn.XLOOKUP($B2450,MObra[DESCRIPCION],MObra[VALOR UNIT],,0),"")</f>
        <v/>
      </c>
      <c r="F2450" s="40"/>
      <c r="G2450" s="41" t="str">
        <f>IFERROR(IF(F2450&gt;=0,D2450*E2450*(1+F2450/100),ABS(D2450*E2450/F2450)),"")</f>
        <v/>
      </c>
      <c r="H2450" s="42" t="str">
        <f>IFERROR(G2450*E2432,"")</f>
        <v/>
      </c>
    </row>
    <row r="2451" spans="1:10" ht="12.75" customHeight="1" thickTop="1" thickBot="1">
      <c r="E2451" s="49"/>
      <c r="G2451" s="3"/>
    </row>
    <row r="2452" spans="1:10" ht="12.75" customHeight="1" thickTop="1" thickBot="1">
      <c r="A2452" s="6" t="s">
        <v>266</v>
      </c>
      <c r="B2452" s="7" t="str">
        <f>VLOOKUP($A2452,Presupuesto!$A:$D,2,FALSE())</f>
        <v>Excavación roca con cuña hidráulica &lt; 4m</v>
      </c>
      <c r="C2452" s="8" t="str">
        <f>VLOOKUP($A2452,Presupuesto!$A:$D,3,FALSE())</f>
        <v>M3</v>
      </c>
      <c r="D2452" s="9"/>
      <c r="E2452" s="10">
        <f>VLOOKUP($A2452,Presupuesto!$A:$D,4,FALSE())</f>
        <v>0</v>
      </c>
      <c r="F2452" s="11" t="s">
        <v>2589</v>
      </c>
      <c r="G2452" s="12">
        <f>SUM(G2454:G2470)/2</f>
        <v>281867.97898370004</v>
      </c>
      <c r="H2452" s="13">
        <f>ROUND(SUM(H2454:H2470),0)/2</f>
        <v>0</v>
      </c>
      <c r="I2452" s="10">
        <f>VLOOKUP(A2452,Presupuesto!$A:$F,6,0)</f>
        <v>0</v>
      </c>
      <c r="J2452" s="10">
        <f>+H2452-I2452</f>
        <v>0</v>
      </c>
    </row>
    <row r="2453" spans="1:10" ht="12.75" customHeight="1" thickTop="1">
      <c r="A2453" s="14"/>
      <c r="B2453" s="15" t="s">
        <v>2586</v>
      </c>
      <c r="C2453" s="15" t="s">
        <v>5</v>
      </c>
      <c r="D2453" s="16" t="s">
        <v>6</v>
      </c>
      <c r="E2453" s="17" t="s">
        <v>7</v>
      </c>
      <c r="F2453" s="18" t="s">
        <v>3728</v>
      </c>
      <c r="G2453" s="19" t="s">
        <v>3729</v>
      </c>
      <c r="H2453" s="20" t="s">
        <v>3797</v>
      </c>
    </row>
    <row r="2454" spans="1:10" ht="12.75" customHeight="1">
      <c r="A2454" s="21"/>
      <c r="B2454" s="22" t="s">
        <v>3730</v>
      </c>
      <c r="C2454" s="23"/>
      <c r="D2454" s="24"/>
      <c r="E2454" s="25"/>
      <c r="F2454" s="26"/>
      <c r="G2454" s="27">
        <f>SUM(G2455:G2459)</f>
        <v>0</v>
      </c>
      <c r="H2454" s="27">
        <f>IFERROR(G2454*E2452,"")</f>
        <v>0</v>
      </c>
    </row>
    <row r="2455" spans="1:10" ht="12.75" customHeight="1">
      <c r="A2455" s="28"/>
      <c r="B2455" s="29"/>
      <c r="C2455" s="30" t="str">
        <f>IFERROR(_xlfn.XLOOKUP(B2455,Insumo[DESCRIPCION],Insumo[UND],,0),"")</f>
        <v/>
      </c>
      <c r="D2455" s="31"/>
      <c r="E2455" s="32" t="str">
        <f>IFERROR(_xlfn.XLOOKUP($B2455,Insumo[DESCRIPCION],Insumo[VALOR],,0),"")</f>
        <v/>
      </c>
      <c r="F2455" s="33"/>
      <c r="G2455" s="34" t="str">
        <f>IFERROR(IF(F2455&gt;=0,D2455*E2455*(1+F2455/100),ABS(D2455*E2455/F2455)),"")</f>
        <v/>
      </c>
      <c r="H2455" s="43" t="str">
        <f>IFERROR(G2455*E2452,"")</f>
        <v/>
      </c>
    </row>
    <row r="2456" spans="1:10" ht="12.75" customHeight="1">
      <c r="A2456" s="28"/>
      <c r="B2456" s="29"/>
      <c r="C2456" s="30" t="str">
        <f>IFERROR(_xlfn.XLOOKUP(B2456,Insumo[DESCRIPCION],Insumo[UND],,0),"")</f>
        <v/>
      </c>
      <c r="D2456" s="31"/>
      <c r="E2456" s="32" t="str">
        <f>IFERROR(_xlfn.XLOOKUP($B2456,Insumo[DESCRIPCION],Insumo[VALOR],,0),"")</f>
        <v/>
      </c>
      <c r="F2456" s="33"/>
      <c r="G2456" s="34" t="str">
        <f>IFERROR(IF(F2456&gt;=0,D2456*E2456*(1+F2456/100),ABS(D2456*E2456/F2456)),"")</f>
        <v/>
      </c>
      <c r="H2456" s="43" t="str">
        <f>IFERROR(G2456*E2452,"")</f>
        <v/>
      </c>
    </row>
    <row r="2457" spans="1:10" ht="12.75" customHeight="1">
      <c r="A2457" s="28"/>
      <c r="B2457" s="29"/>
      <c r="C2457" s="30" t="str">
        <f>IFERROR(_xlfn.XLOOKUP(B2457,Insumo[DESCRIPCION],Insumo[UND],,0),"")</f>
        <v/>
      </c>
      <c r="D2457" s="31"/>
      <c r="E2457" s="32" t="str">
        <f>IFERROR(_xlfn.XLOOKUP($B2457,Insumo[DESCRIPCION],Insumo[VALOR],,0),"")</f>
        <v/>
      </c>
      <c r="F2457" s="33"/>
      <c r="G2457" s="34" t="str">
        <f>IFERROR(IF(F2457&gt;=0,D2457*E2457*(1+F2457/100),ABS(D2457*E2457/F2457)),"")</f>
        <v/>
      </c>
      <c r="H2457" s="43" t="str">
        <f>IFERROR(G2457*E2452,"")</f>
        <v/>
      </c>
    </row>
    <row r="2458" spans="1:10" ht="12.75" customHeight="1">
      <c r="A2458" s="28"/>
      <c r="B2458" s="29"/>
      <c r="C2458" s="30" t="str">
        <f>IFERROR(_xlfn.XLOOKUP(B2458,Insumo[DESCRIPCION],Insumo[UND],,0),"")</f>
        <v/>
      </c>
      <c r="D2458" s="31"/>
      <c r="E2458" s="32" t="str">
        <f>IFERROR(_xlfn.XLOOKUP($B2458,Insumo[DESCRIPCION],Insumo[VALOR],,0),"")</f>
        <v/>
      </c>
      <c r="F2458" s="33"/>
      <c r="G2458" s="34" t="str">
        <f>IFERROR(IF(F2458&gt;=0,D2458*E2458*(1+F2458/100),ABS(D2458*E2458/F2458)),"")</f>
        <v/>
      </c>
      <c r="H2458" s="43" t="str">
        <f>IFERROR(G2458*E2452,"")</f>
        <v/>
      </c>
    </row>
    <row r="2459" spans="1:10" ht="12.75" customHeight="1">
      <c r="A2459" s="28"/>
      <c r="B2459" s="29"/>
      <c r="C2459" s="30" t="str">
        <f>IFERROR(_xlfn.XLOOKUP(B2459,Insumo[DESCRIPCION],Insumo[UND],,0),"")</f>
        <v/>
      </c>
      <c r="D2459" s="31"/>
      <c r="E2459" s="32" t="str">
        <f>IFERROR(_xlfn.XLOOKUP($B2459,Insumo[DESCRIPCION],Insumo[VALOR],,0),"")</f>
        <v/>
      </c>
      <c r="F2459" s="33"/>
      <c r="G2459" s="34" t="str">
        <f>IFERROR(IF(F2459&gt;=0,D2459*E2459*(1+F2459/100),ABS(D2459*E2459/F2459)),"")</f>
        <v/>
      </c>
      <c r="H2459" s="43" t="str">
        <f>IFERROR(G2459*E2452,"")</f>
        <v/>
      </c>
    </row>
    <row r="2460" spans="1:10" ht="12.75" customHeight="1">
      <c r="A2460" s="21"/>
      <c r="B2460" s="22" t="s">
        <v>3731</v>
      </c>
      <c r="C2460" s="23"/>
      <c r="D2460" s="24"/>
      <c r="E2460" s="25"/>
      <c r="F2460" s="26"/>
      <c r="G2460" s="27">
        <f>SUM(G2461:G2463)</f>
        <v>72274.145053700006</v>
      </c>
      <c r="H2460" s="44">
        <f>G2460*E2452</f>
        <v>0</v>
      </c>
    </row>
    <row r="2461" spans="1:10" ht="12.75" customHeight="1">
      <c r="A2461" s="28"/>
      <c r="B2461" s="29" t="s">
        <v>3603</v>
      </c>
      <c r="C2461" s="30" t="str">
        <f>IFERROR(_xlfn.XLOOKUP(B2461,Equipo[DESCRIPCION],Equipo[UND],,0),"")</f>
        <v>Día</v>
      </c>
      <c r="D2461" s="31">
        <v>1</v>
      </c>
      <c r="E2461" s="32">
        <f>IF(C2461="%MO",G2467,IFERROR(_xlfn.XLOOKUP($B2461,Equipo[DESCRIPCION],Equipo[VALOR],,0),""))</f>
        <v>80116.05</v>
      </c>
      <c r="F2461" s="33">
        <v>-1.5</v>
      </c>
      <c r="G2461" s="34">
        <f>IFERROR(IF(F2461&gt;=0,D2461*E2461*(1+F2461/100),ABS(D2461*E2461/F2461)),"")</f>
        <v>53410.700000000004</v>
      </c>
      <c r="H2461" s="43">
        <f>IFERROR(G2461*E2452,"")</f>
        <v>0</v>
      </c>
    </row>
    <row r="2462" spans="1:10" ht="12.75" customHeight="1">
      <c r="A2462" s="28"/>
      <c r="B2462" s="29" t="s">
        <v>3570</v>
      </c>
      <c r="C2462" s="30" t="str">
        <f>IFERROR(_xlfn.XLOOKUP(B2462,Equipo[DESCRIPCION],Equipo[UND],,0),"")</f>
        <v>%MO</v>
      </c>
      <c r="D2462" s="31">
        <v>0.04</v>
      </c>
      <c r="E2462" s="32">
        <f>IF(C2462="%MO",G2467,IFERROR(_xlfn.XLOOKUP($B2462,Equipo[DESCRIPCION],Equipo[VALOR],,0),""))</f>
        <v>209593.83393000005</v>
      </c>
      <c r="F2462" s="33"/>
      <c r="G2462" s="34">
        <f>IFERROR(IF(F2462&gt;=0,D2462*E2462*(1+F2462/100),ABS(D2462*E2462/F2462)),"")</f>
        <v>8383.7533572000029</v>
      </c>
      <c r="H2462" s="43">
        <f>IFERROR(G2462*E2452,"")</f>
        <v>0</v>
      </c>
    </row>
    <row r="2463" spans="1:10" ht="12.75" customHeight="1">
      <c r="A2463" s="28"/>
      <c r="B2463" s="29" t="s">
        <v>3626</v>
      </c>
      <c r="C2463" s="30" t="str">
        <f>IFERROR(_xlfn.XLOOKUP(B2463,Equipo[DESCRIPCION],Equipo[UND],,0),"")</f>
        <v>%MO</v>
      </c>
      <c r="D2463" s="31">
        <v>0.05</v>
      </c>
      <c r="E2463" s="32">
        <f>IF(C2463="%MO",G2467,IFERROR(_xlfn.XLOOKUP($B2463,Equipo[DESCRIPCION],Equipo[VALOR],,0),""))</f>
        <v>209593.83393000005</v>
      </c>
      <c r="F2463" s="33"/>
      <c r="G2463" s="34">
        <f>IFERROR(IF(F2463&gt;=0,D2463*E2463*(1+F2463/100),ABS(D2463*E2463/F2463)),"")</f>
        <v>10479.691696500004</v>
      </c>
      <c r="H2463" s="43">
        <f>IFERROR(G2463*E2452,"")</f>
        <v>0</v>
      </c>
    </row>
    <row r="2464" spans="1:10" ht="12.75" customHeight="1">
      <c r="A2464" s="21"/>
      <c r="B2464" s="22" t="s">
        <v>2533</v>
      </c>
      <c r="C2464" s="23"/>
      <c r="D2464" s="24"/>
      <c r="E2464" s="25"/>
      <c r="F2464" s="26"/>
      <c r="G2464" s="27">
        <f>SUM(G2465:G2466)</f>
        <v>0</v>
      </c>
      <c r="H2464" s="44">
        <f>G2464*E2452</f>
        <v>0</v>
      </c>
    </row>
    <row r="2465" spans="1:10" ht="12.75" customHeight="1">
      <c r="A2465" s="28"/>
      <c r="B2465" s="29"/>
      <c r="C2465" s="30" t="str">
        <f>IFERROR(_xlfn.XLOOKUP(B2465,Transporte[DESCRIPCION],Transporte[UND],,0),"")</f>
        <v/>
      </c>
      <c r="D2465" s="31"/>
      <c r="E2465" s="32" t="str">
        <f>IFERROR(_xlfn.XLOOKUP($B2465,Transporte[DESCRIPCION],Transporte[VALOR],,0),"")</f>
        <v/>
      </c>
      <c r="F2465" s="33"/>
      <c r="G2465" s="34" t="str">
        <f>IFERROR(IF(F2465&gt;=0,D2465*E2465*(1+F2465/100),ABS(D2465*E2465/F2465)),"")</f>
        <v/>
      </c>
      <c r="H2465" s="43" t="str">
        <f>IFERROR(G2465*E2452,"")</f>
        <v/>
      </c>
    </row>
    <row r="2466" spans="1:10" ht="12.75" customHeight="1">
      <c r="A2466" s="28"/>
      <c r="B2466" s="29"/>
      <c r="C2466" s="30" t="str">
        <f>IFERROR(_xlfn.XLOOKUP(B2466,Transporte[DESCRIPCION],Transporte[UND],,0),"")</f>
        <v/>
      </c>
      <c r="D2466" s="31"/>
      <c r="E2466" s="32" t="str">
        <f>IFERROR(_xlfn.XLOOKUP($B2466,Transporte[DESCRIPCION],Transporte[VALOR],,0),"")</f>
        <v/>
      </c>
      <c r="F2466" s="33"/>
      <c r="G2466" s="34" t="str">
        <f>IFERROR(IF(F2466&gt;=0,D2466*E2466*(1+F2466/100),ABS(D2466*E2466/F2466)),"")</f>
        <v/>
      </c>
      <c r="H2466" s="43" t="str">
        <f>IFERROR(G2466*E2452,"")</f>
        <v/>
      </c>
    </row>
    <row r="2467" spans="1:10" ht="12.75" customHeight="1">
      <c r="A2467" s="21"/>
      <c r="B2467" s="22" t="s">
        <v>3732</v>
      </c>
      <c r="C2467" s="23"/>
      <c r="D2467" s="24"/>
      <c r="E2467" s="25"/>
      <c r="F2467" s="26"/>
      <c r="G2467" s="27">
        <f>SUM(G2468:G2470)</f>
        <v>209593.83393000005</v>
      </c>
      <c r="H2467" s="44">
        <f>G2467*E2452</f>
        <v>0</v>
      </c>
    </row>
    <row r="2468" spans="1:10" ht="12.75" customHeight="1">
      <c r="A2468" s="28"/>
      <c r="B2468" s="29" t="s">
        <v>3710</v>
      </c>
      <c r="C2468" s="30" t="str">
        <f>IFERROR(_xlfn.XLOOKUP(B2468,MObra[DESCRIPCION],MObra[UN],,0),"")</f>
        <v>día</v>
      </c>
      <c r="D2468" s="31">
        <v>1</v>
      </c>
      <c r="E2468" s="32">
        <f>IFERROR(_xlfn.XLOOKUP($B2468,MObra[DESCRIPCION],MObra[VALOR UNIT],,0),"")</f>
        <v>314390.75089500006</v>
      </c>
      <c r="F2468" s="33">
        <v>-1.5</v>
      </c>
      <c r="G2468" s="34">
        <f>IFERROR(IF(F2468&gt;=0,D2468*E2468*(1+F2468/100),ABS(D2468*E2468/F2468)),"")</f>
        <v>209593.83393000005</v>
      </c>
      <c r="H2468" s="43">
        <f>IFERROR(G2468*E2452,"")</f>
        <v>0</v>
      </c>
    </row>
    <row r="2469" spans="1:10" ht="12.75" customHeight="1">
      <c r="A2469" s="28"/>
      <c r="B2469" s="29"/>
      <c r="C2469" s="30" t="str">
        <f t="array" ref="C2469">IFERROR(_xlfn.XLOOKUP(B2469,MObra[[#All],[DESCRIPCION]],MObra[[#All],[UN]],,0),"")</f>
        <v/>
      </c>
      <c r="D2469" s="31"/>
      <c r="E2469" s="32" t="str">
        <f>IFERROR(_xlfn.XLOOKUP($B2469,MObra[DESCRIPCION],MObra[VALOR UNIT],,0),"")</f>
        <v/>
      </c>
      <c r="F2469" s="33"/>
      <c r="G2469" s="34" t="str">
        <f>IFERROR(IF(F2469&gt;=0,D2469*E2469*(1+F2469/100),ABS(D2469*E2469/F2469)),"")</f>
        <v/>
      </c>
      <c r="H2469" s="43" t="str">
        <f>IFERROR(G2469*E2452,"")</f>
        <v/>
      </c>
    </row>
    <row r="2470" spans="1:10" ht="12.75" customHeight="1" thickBot="1">
      <c r="A2470" s="35"/>
      <c r="B2470" s="36"/>
      <c r="C2470" s="37" t="str">
        <f t="array" ref="C2470">IFERROR(_xlfn.XLOOKUP(B2470,MObra[[#All],[DESCRIPCION]],MObra[[#All],[UN]],,0),"")</f>
        <v/>
      </c>
      <c r="D2470" s="38"/>
      <c r="E2470" s="39" t="str">
        <f>IFERROR(_xlfn.XLOOKUP($B2470,MObra[DESCRIPCION],MObra[VALOR UNIT],,0),"")</f>
        <v/>
      </c>
      <c r="F2470" s="40"/>
      <c r="G2470" s="41" t="str">
        <f>IFERROR(IF(F2470&gt;=0,D2470*E2470*(1+F2470/100),ABS(D2470*E2470/F2470)),"")</f>
        <v/>
      </c>
      <c r="H2470" s="42" t="str">
        <f>IFERROR(G2470*E2452,"")</f>
        <v/>
      </c>
    </row>
    <row r="2471" spans="1:10" ht="12.75" customHeight="1" thickTop="1" thickBot="1">
      <c r="E2471" s="49"/>
      <c r="G2471" s="3"/>
    </row>
    <row r="2472" spans="1:10" ht="12.75" customHeight="1" thickTop="1" thickBot="1">
      <c r="A2472" s="6" t="s">
        <v>268</v>
      </c>
      <c r="B2472" s="7" t="str">
        <f>VLOOKUP($A2472,Presupuesto!$A:$D,2,FALSE())</f>
        <v>Excavación roca con cuña hidráulica &gt; 4m ø &gt; 0,50 m3</v>
      </c>
      <c r="C2472" s="8" t="str">
        <f>VLOOKUP($A2472,Presupuesto!$A:$D,3,FALSE())</f>
        <v>M3</v>
      </c>
      <c r="D2472" s="9"/>
      <c r="E2472" s="10">
        <f>VLOOKUP($A2472,Presupuesto!$A:$D,4,FALSE())</f>
        <v>0</v>
      </c>
      <c r="F2472" s="11" t="s">
        <v>2589</v>
      </c>
      <c r="G2472" s="12">
        <f>SUM(G2474:G2490)/2</f>
        <v>325232.28344273078</v>
      </c>
      <c r="H2472" s="13">
        <f>ROUND(SUM(H2474:H2490),0)/2</f>
        <v>0</v>
      </c>
      <c r="I2472" s="10">
        <f>VLOOKUP(A2472,Presupuesto!$A:$F,6,0)</f>
        <v>0</v>
      </c>
      <c r="J2472" s="10">
        <f>+H2472-I2472</f>
        <v>0</v>
      </c>
    </row>
    <row r="2473" spans="1:10" ht="12.75" customHeight="1" thickTop="1">
      <c r="A2473" s="14"/>
      <c r="B2473" s="15" t="s">
        <v>2586</v>
      </c>
      <c r="C2473" s="15" t="s">
        <v>5</v>
      </c>
      <c r="D2473" s="16" t="s">
        <v>6</v>
      </c>
      <c r="E2473" s="17" t="s">
        <v>7</v>
      </c>
      <c r="F2473" s="18" t="s">
        <v>3728</v>
      </c>
      <c r="G2473" s="19" t="s">
        <v>3729</v>
      </c>
      <c r="H2473" s="20" t="s">
        <v>3797</v>
      </c>
    </row>
    <row r="2474" spans="1:10" ht="12.75" customHeight="1">
      <c r="A2474" s="21"/>
      <c r="B2474" s="22" t="s">
        <v>3730</v>
      </c>
      <c r="C2474" s="23"/>
      <c r="D2474" s="24"/>
      <c r="E2474" s="25"/>
      <c r="F2474" s="26"/>
      <c r="G2474" s="27">
        <f>SUM(G2475:G2479)</f>
        <v>0</v>
      </c>
      <c r="H2474" s="27">
        <f>IFERROR(G2474*E2472,"")</f>
        <v>0</v>
      </c>
    </row>
    <row r="2475" spans="1:10" ht="12.75" customHeight="1">
      <c r="A2475" s="28"/>
      <c r="B2475" s="29"/>
      <c r="C2475" s="30" t="str">
        <f>IFERROR(_xlfn.XLOOKUP(B2475,Insumo[DESCRIPCION],Insumo[UND],,0),"")</f>
        <v/>
      </c>
      <c r="D2475" s="31"/>
      <c r="E2475" s="32" t="str">
        <f>IFERROR(_xlfn.XLOOKUP($B2475,Insumo[DESCRIPCION],Insumo[VALOR],,0),"")</f>
        <v/>
      </c>
      <c r="F2475" s="33"/>
      <c r="G2475" s="34" t="str">
        <f>IFERROR(IF(F2475&gt;=0,D2475*E2475*(1+F2475/100),ABS(D2475*E2475/F2475)),"")</f>
        <v/>
      </c>
      <c r="H2475" s="43" t="str">
        <f>IFERROR(G2475*E2472,"")</f>
        <v/>
      </c>
    </row>
    <row r="2476" spans="1:10" ht="12.75" customHeight="1">
      <c r="A2476" s="28"/>
      <c r="B2476" s="29"/>
      <c r="C2476" s="30" t="str">
        <f>IFERROR(_xlfn.XLOOKUP(B2476,Insumo[DESCRIPCION],Insumo[UND],,0),"")</f>
        <v/>
      </c>
      <c r="D2476" s="31"/>
      <c r="E2476" s="32" t="str">
        <f>IFERROR(_xlfn.XLOOKUP($B2476,Insumo[DESCRIPCION],Insumo[VALOR],,0),"")</f>
        <v/>
      </c>
      <c r="F2476" s="33"/>
      <c r="G2476" s="34" t="str">
        <f>IFERROR(IF(F2476&gt;=0,D2476*E2476*(1+F2476/100),ABS(D2476*E2476/F2476)),"")</f>
        <v/>
      </c>
      <c r="H2476" s="43" t="str">
        <f>IFERROR(G2476*E2472,"")</f>
        <v/>
      </c>
    </row>
    <row r="2477" spans="1:10" ht="12.75" customHeight="1">
      <c r="A2477" s="28"/>
      <c r="B2477" s="29"/>
      <c r="C2477" s="30" t="str">
        <f>IFERROR(_xlfn.XLOOKUP(B2477,Insumo[DESCRIPCION],Insumo[UND],,0),"")</f>
        <v/>
      </c>
      <c r="D2477" s="31"/>
      <c r="E2477" s="32" t="str">
        <f>IFERROR(_xlfn.XLOOKUP($B2477,Insumo[DESCRIPCION],Insumo[VALOR],,0),"")</f>
        <v/>
      </c>
      <c r="F2477" s="33"/>
      <c r="G2477" s="34" t="str">
        <f>IFERROR(IF(F2477&gt;=0,D2477*E2477*(1+F2477/100),ABS(D2477*E2477/F2477)),"")</f>
        <v/>
      </c>
      <c r="H2477" s="43" t="str">
        <f>IFERROR(G2477*E2472,"")</f>
        <v/>
      </c>
    </row>
    <row r="2478" spans="1:10" ht="12.75" customHeight="1">
      <c r="A2478" s="28"/>
      <c r="B2478" s="29"/>
      <c r="C2478" s="30" t="str">
        <f>IFERROR(_xlfn.XLOOKUP(B2478,Insumo[DESCRIPCION],Insumo[UND],,0),"")</f>
        <v/>
      </c>
      <c r="D2478" s="31"/>
      <c r="E2478" s="32" t="str">
        <f>IFERROR(_xlfn.XLOOKUP($B2478,Insumo[DESCRIPCION],Insumo[VALOR],,0),"")</f>
        <v/>
      </c>
      <c r="F2478" s="33"/>
      <c r="G2478" s="34" t="str">
        <f>IFERROR(IF(F2478&gt;=0,D2478*E2478*(1+F2478/100),ABS(D2478*E2478/F2478)),"")</f>
        <v/>
      </c>
      <c r="H2478" s="43" t="str">
        <f>IFERROR(G2478*E2472,"")</f>
        <v/>
      </c>
    </row>
    <row r="2479" spans="1:10" ht="12.75" customHeight="1">
      <c r="A2479" s="28"/>
      <c r="B2479" s="29"/>
      <c r="C2479" s="30" t="str">
        <f>IFERROR(_xlfn.XLOOKUP(B2479,Insumo[DESCRIPCION],Insumo[UND],,0),"")</f>
        <v/>
      </c>
      <c r="D2479" s="31"/>
      <c r="E2479" s="32" t="str">
        <f>IFERROR(_xlfn.XLOOKUP($B2479,Insumo[DESCRIPCION],Insumo[VALOR],,0),"")</f>
        <v/>
      </c>
      <c r="F2479" s="33"/>
      <c r="G2479" s="34" t="str">
        <f>IFERROR(IF(F2479&gt;=0,D2479*E2479*(1+F2479/100),ABS(D2479*E2479/F2479)),"")</f>
        <v/>
      </c>
      <c r="H2479" s="43" t="str">
        <f>IFERROR(G2479*E2472,"")</f>
        <v/>
      </c>
    </row>
    <row r="2480" spans="1:10" ht="12.75" customHeight="1">
      <c r="A2480" s="21"/>
      <c r="B2480" s="22" t="s">
        <v>3731</v>
      </c>
      <c r="C2480" s="23"/>
      <c r="D2480" s="24"/>
      <c r="E2480" s="25"/>
      <c r="F2480" s="26"/>
      <c r="G2480" s="27">
        <f>SUM(G2481:G2483)</f>
        <v>83393.244292730771</v>
      </c>
      <c r="H2480" s="44">
        <f>G2480*E2472</f>
        <v>0</v>
      </c>
    </row>
    <row r="2481" spans="1:10" ht="12.75" customHeight="1">
      <c r="A2481" s="28"/>
      <c r="B2481" s="29" t="s">
        <v>3603</v>
      </c>
      <c r="C2481" s="30" t="str">
        <f>IFERROR(_xlfn.XLOOKUP(B2481,Equipo[DESCRIPCION],Equipo[UND],,0),"")</f>
        <v>Día</v>
      </c>
      <c r="D2481" s="31">
        <v>1</v>
      </c>
      <c r="E2481" s="32">
        <f>IF(C2481="%MO",G2487,IFERROR(_xlfn.XLOOKUP($B2481,Equipo[DESCRIPCION],Equipo[VALOR],,0),""))</f>
        <v>80116.05</v>
      </c>
      <c r="F2481" s="33">
        <v>-1.3</v>
      </c>
      <c r="G2481" s="34">
        <f>IFERROR(IF(F2481&gt;=0,D2481*E2481*(1+F2481/100),ABS(D2481*E2481/F2481)),"")</f>
        <v>61627.730769230766</v>
      </c>
      <c r="H2481" s="43">
        <f>IFERROR(G2481*E2472,"")</f>
        <v>0</v>
      </c>
    </row>
    <row r="2482" spans="1:10" ht="12.75" customHeight="1">
      <c r="A2482" s="28"/>
      <c r="B2482" s="29" t="s">
        <v>3570</v>
      </c>
      <c r="C2482" s="30" t="str">
        <f>IFERROR(_xlfn.XLOOKUP(B2482,Equipo[DESCRIPCION],Equipo[UND],,0),"")</f>
        <v>%MO</v>
      </c>
      <c r="D2482" s="31">
        <v>0.04</v>
      </c>
      <c r="E2482" s="32">
        <f>IF(C2482="%MO",G2487,IFERROR(_xlfn.XLOOKUP($B2482,Equipo[DESCRIPCION],Equipo[VALOR],,0),""))</f>
        <v>241839.03915000003</v>
      </c>
      <c r="F2482" s="33"/>
      <c r="G2482" s="34">
        <f>IFERROR(IF(F2482&gt;=0,D2482*E2482*(1+F2482/100),ABS(D2482*E2482/F2482)),"")</f>
        <v>9673.5615660000021</v>
      </c>
      <c r="H2482" s="43">
        <f>IFERROR(G2482*E2472,"")</f>
        <v>0</v>
      </c>
    </row>
    <row r="2483" spans="1:10" ht="12.75" customHeight="1">
      <c r="A2483" s="28"/>
      <c r="B2483" s="29" t="s">
        <v>3626</v>
      </c>
      <c r="C2483" s="30" t="str">
        <f>IFERROR(_xlfn.XLOOKUP(B2483,Equipo[DESCRIPCION],Equipo[UND],,0),"")</f>
        <v>%MO</v>
      </c>
      <c r="D2483" s="31">
        <v>0.05</v>
      </c>
      <c r="E2483" s="32">
        <f>IF(C2483="%MO",G2487,IFERROR(_xlfn.XLOOKUP($B2483,Equipo[DESCRIPCION],Equipo[VALOR],,0),""))</f>
        <v>241839.03915000003</v>
      </c>
      <c r="F2483" s="33"/>
      <c r="G2483" s="34">
        <f>IFERROR(IF(F2483&gt;=0,D2483*E2483*(1+F2483/100),ABS(D2483*E2483/F2483)),"")</f>
        <v>12091.951957500001</v>
      </c>
      <c r="H2483" s="43">
        <f>IFERROR(G2483*E2472,"")</f>
        <v>0</v>
      </c>
    </row>
    <row r="2484" spans="1:10" ht="12.75" customHeight="1">
      <c r="A2484" s="21"/>
      <c r="B2484" s="22" t="s">
        <v>2533</v>
      </c>
      <c r="C2484" s="23"/>
      <c r="D2484" s="24"/>
      <c r="E2484" s="25"/>
      <c r="F2484" s="26"/>
      <c r="G2484" s="27">
        <f>SUM(G2485:G2486)</f>
        <v>0</v>
      </c>
      <c r="H2484" s="44">
        <f>G2484*E2472</f>
        <v>0</v>
      </c>
    </row>
    <row r="2485" spans="1:10" ht="12.75" customHeight="1">
      <c r="A2485" s="28"/>
      <c r="B2485" s="29"/>
      <c r="C2485" s="30" t="str">
        <f>IFERROR(_xlfn.XLOOKUP(B2485,Transporte[DESCRIPCION],Transporte[UND],,0),"")</f>
        <v/>
      </c>
      <c r="D2485" s="31"/>
      <c r="E2485" s="32" t="str">
        <f>IFERROR(_xlfn.XLOOKUP($B2485,Transporte[DESCRIPCION],Transporte[VALOR],,0),"")</f>
        <v/>
      </c>
      <c r="F2485" s="33"/>
      <c r="G2485" s="34" t="str">
        <f>IFERROR(IF(F2485&gt;=0,D2485*E2485*(1+F2485/100),ABS(D2485*E2485/F2485)),"")</f>
        <v/>
      </c>
      <c r="H2485" s="43" t="str">
        <f>IFERROR(G2485*E2472,"")</f>
        <v/>
      </c>
    </row>
    <row r="2486" spans="1:10" ht="12.75" customHeight="1">
      <c r="A2486" s="28"/>
      <c r="B2486" s="29"/>
      <c r="C2486" s="30" t="str">
        <f>IFERROR(_xlfn.XLOOKUP(B2486,Transporte[DESCRIPCION],Transporte[UND],,0),"")</f>
        <v/>
      </c>
      <c r="D2486" s="31"/>
      <c r="E2486" s="32" t="str">
        <f>IFERROR(_xlfn.XLOOKUP($B2486,Transporte[DESCRIPCION],Transporte[VALOR],,0),"")</f>
        <v/>
      </c>
      <c r="F2486" s="33"/>
      <c r="G2486" s="34" t="str">
        <f>IFERROR(IF(F2486&gt;=0,D2486*E2486*(1+F2486/100),ABS(D2486*E2486/F2486)),"")</f>
        <v/>
      </c>
      <c r="H2486" s="43" t="str">
        <f>IFERROR(G2486*E2472,"")</f>
        <v/>
      </c>
    </row>
    <row r="2487" spans="1:10" ht="12.75" customHeight="1">
      <c r="A2487" s="21"/>
      <c r="B2487" s="22" t="s">
        <v>3732</v>
      </c>
      <c r="C2487" s="23"/>
      <c r="D2487" s="24"/>
      <c r="E2487" s="25"/>
      <c r="F2487" s="26"/>
      <c r="G2487" s="27">
        <f>SUM(G2488:G2490)</f>
        <v>241839.03915000003</v>
      </c>
      <c r="H2487" s="44">
        <f>G2487*E2472</f>
        <v>0</v>
      </c>
    </row>
    <row r="2488" spans="1:10" ht="12.75" customHeight="1">
      <c r="A2488" s="28"/>
      <c r="B2488" s="29" t="s">
        <v>3710</v>
      </c>
      <c r="C2488" s="30" t="str">
        <f>IFERROR(_xlfn.XLOOKUP(B2488,MObra[DESCRIPCION],MObra[UN],,0),"")</f>
        <v>día</v>
      </c>
      <c r="D2488" s="31">
        <v>1</v>
      </c>
      <c r="E2488" s="32">
        <f>IFERROR(_xlfn.XLOOKUP($B2488,MObra[DESCRIPCION],MObra[VALOR UNIT],,0),"")</f>
        <v>314390.75089500006</v>
      </c>
      <c r="F2488" s="33">
        <v>-1.3</v>
      </c>
      <c r="G2488" s="34">
        <f>IFERROR(IF(F2488&gt;=0,D2488*E2488*(1+F2488/100),ABS(D2488*E2488/F2488)),"")</f>
        <v>241839.03915000003</v>
      </c>
      <c r="H2488" s="43">
        <f>IFERROR(G2488*E2472,"")</f>
        <v>0</v>
      </c>
    </row>
    <row r="2489" spans="1:10" ht="12.75" customHeight="1">
      <c r="A2489" s="28"/>
      <c r="B2489" s="29"/>
      <c r="C2489" s="30" t="str">
        <f t="array" ref="C2489">IFERROR(_xlfn.XLOOKUP(B2489,MObra[[#All],[DESCRIPCION]],MObra[[#All],[UN]],,0),"")</f>
        <v/>
      </c>
      <c r="D2489" s="31"/>
      <c r="E2489" s="32" t="str">
        <f>IFERROR(_xlfn.XLOOKUP($B2489,MObra[DESCRIPCION],MObra[VALOR UNIT],,0),"")</f>
        <v/>
      </c>
      <c r="F2489" s="33"/>
      <c r="G2489" s="34" t="str">
        <f>IFERROR(IF(F2489&gt;=0,D2489*E2489*(1+F2489/100),ABS(D2489*E2489/F2489)),"")</f>
        <v/>
      </c>
      <c r="H2489" s="43" t="str">
        <f>IFERROR(G2489*E2472,"")</f>
        <v/>
      </c>
    </row>
    <row r="2490" spans="1:10" ht="12.75" customHeight="1" thickBot="1">
      <c r="A2490" s="35"/>
      <c r="B2490" s="36"/>
      <c r="C2490" s="37" t="str">
        <f t="array" ref="C2490">IFERROR(_xlfn.XLOOKUP(B2490,MObra[[#All],[DESCRIPCION]],MObra[[#All],[UN]],,0),"")</f>
        <v/>
      </c>
      <c r="D2490" s="38"/>
      <c r="E2490" s="39" t="str">
        <f>IFERROR(_xlfn.XLOOKUP($B2490,MObra[DESCRIPCION],MObra[VALOR UNIT],,0),"")</f>
        <v/>
      </c>
      <c r="F2490" s="40"/>
      <c r="G2490" s="41" t="str">
        <f>IFERROR(IF(F2490&gt;=0,D2490*E2490*(1+F2490/100),ABS(D2490*E2490/F2490)),"")</f>
        <v/>
      </c>
      <c r="H2490" s="42" t="str">
        <f>IFERROR(G2490*E2472,"")</f>
        <v/>
      </c>
    </row>
    <row r="2491" spans="1:10" ht="12.75" customHeight="1" thickTop="1" thickBot="1">
      <c r="E2491" s="49"/>
      <c r="G2491" s="3"/>
    </row>
    <row r="2492" spans="1:10" ht="12.75" customHeight="1" thickTop="1" thickBot="1">
      <c r="A2492" s="6" t="s">
        <v>270</v>
      </c>
      <c r="B2492" s="7" t="str">
        <f>VLOOKUP($A2492,Presupuesto!$A:$D,2,FALSE())</f>
        <v>Excavación roca con cuña hidráulica bajo agua</v>
      </c>
      <c r="C2492" s="8" t="str">
        <f>VLOOKUP($A2492,Presupuesto!$A:$D,3,FALSE())</f>
        <v>M3</v>
      </c>
      <c r="D2492" s="9"/>
      <c r="E2492" s="10">
        <f>VLOOKUP($A2492,Presupuesto!$A:$D,4,FALSE())</f>
        <v>0</v>
      </c>
      <c r="F2492" s="11" t="s">
        <v>2589</v>
      </c>
      <c r="G2492" s="12">
        <f>SUM(G2494:G2511)/2</f>
        <v>532757.96847555006</v>
      </c>
      <c r="H2492" s="13">
        <f>ROUND(SUM(H2494:H2511),0)/2</f>
        <v>0</v>
      </c>
      <c r="I2492" s="10">
        <f>VLOOKUP(A2492,Presupuesto!$A:$F,6,0)</f>
        <v>0</v>
      </c>
      <c r="J2492" s="10">
        <f>+H2492-I2492</f>
        <v>0</v>
      </c>
    </row>
    <row r="2493" spans="1:10" ht="12.75" customHeight="1" thickTop="1">
      <c r="A2493" s="14"/>
      <c r="B2493" s="15" t="s">
        <v>2586</v>
      </c>
      <c r="C2493" s="15" t="s">
        <v>5</v>
      </c>
      <c r="D2493" s="16" t="s">
        <v>6</v>
      </c>
      <c r="E2493" s="17" t="s">
        <v>7</v>
      </c>
      <c r="F2493" s="18" t="s">
        <v>3728</v>
      </c>
      <c r="G2493" s="19" t="s">
        <v>3729</v>
      </c>
      <c r="H2493" s="20" t="s">
        <v>3797</v>
      </c>
    </row>
    <row r="2494" spans="1:10" ht="12.75" customHeight="1">
      <c r="A2494" s="21"/>
      <c r="B2494" s="22" t="s">
        <v>3730</v>
      </c>
      <c r="C2494" s="23"/>
      <c r="D2494" s="24"/>
      <c r="E2494" s="25"/>
      <c r="F2494" s="26"/>
      <c r="G2494" s="27">
        <f>SUM(G2495:G2499)</f>
        <v>0</v>
      </c>
      <c r="H2494" s="27">
        <f>IFERROR(G2494*E2492,"")</f>
        <v>0</v>
      </c>
    </row>
    <row r="2495" spans="1:10" ht="12.75" customHeight="1">
      <c r="A2495" s="28"/>
      <c r="B2495" s="29"/>
      <c r="C2495" s="30" t="str">
        <f>IFERROR(_xlfn.XLOOKUP(B2495,Insumo[DESCRIPCION],Insumo[UND],,0),"")</f>
        <v/>
      </c>
      <c r="D2495" s="31"/>
      <c r="E2495" s="32" t="str">
        <f>IFERROR(_xlfn.XLOOKUP($B2495,Insumo[DESCRIPCION],Insumo[VALOR],,0),"")</f>
        <v/>
      </c>
      <c r="F2495" s="33"/>
      <c r="G2495" s="34" t="str">
        <f>IFERROR(IF(F2495&gt;=0,D2495*E2495*(1+F2495/100),ABS(D2495*E2495/F2495)),"")</f>
        <v/>
      </c>
      <c r="H2495" s="43" t="str">
        <f>IFERROR(G2495*E2492,"")</f>
        <v/>
      </c>
    </row>
    <row r="2496" spans="1:10" ht="12.75" customHeight="1">
      <c r="A2496" s="28"/>
      <c r="B2496" s="29"/>
      <c r="C2496" s="30" t="str">
        <f>IFERROR(_xlfn.XLOOKUP(B2496,Insumo[DESCRIPCION],Insumo[UND],,0),"")</f>
        <v/>
      </c>
      <c r="D2496" s="31"/>
      <c r="E2496" s="32" t="str">
        <f>IFERROR(_xlfn.XLOOKUP($B2496,Insumo[DESCRIPCION],Insumo[VALOR],,0),"")</f>
        <v/>
      </c>
      <c r="F2496" s="33"/>
      <c r="G2496" s="34" t="str">
        <f>IFERROR(IF(F2496&gt;=0,D2496*E2496*(1+F2496/100),ABS(D2496*E2496/F2496)),"")</f>
        <v/>
      </c>
      <c r="H2496" s="43" t="str">
        <f>IFERROR(G2496*E2492,"")</f>
        <v/>
      </c>
    </row>
    <row r="2497" spans="1:8" ht="12.75" customHeight="1">
      <c r="A2497" s="28"/>
      <c r="B2497" s="29"/>
      <c r="C2497" s="30" t="str">
        <f>IFERROR(_xlfn.XLOOKUP(B2497,Insumo[DESCRIPCION],Insumo[UND],,0),"")</f>
        <v/>
      </c>
      <c r="D2497" s="31"/>
      <c r="E2497" s="32" t="str">
        <f>IFERROR(_xlfn.XLOOKUP($B2497,Insumo[DESCRIPCION],Insumo[VALOR],,0),"")</f>
        <v/>
      </c>
      <c r="F2497" s="33"/>
      <c r="G2497" s="34" t="str">
        <f>IFERROR(IF(F2497&gt;=0,D2497*E2497*(1+F2497/100),ABS(D2497*E2497/F2497)),"")</f>
        <v/>
      </c>
      <c r="H2497" s="43" t="str">
        <f>IFERROR(G2497*E2492,"")</f>
        <v/>
      </c>
    </row>
    <row r="2498" spans="1:8" ht="12.75" customHeight="1">
      <c r="A2498" s="28"/>
      <c r="B2498" s="29"/>
      <c r="C2498" s="30" t="str">
        <f>IFERROR(_xlfn.XLOOKUP(B2498,Insumo[DESCRIPCION],Insumo[UND],,0),"")</f>
        <v/>
      </c>
      <c r="D2498" s="31"/>
      <c r="E2498" s="32" t="str">
        <f>IFERROR(_xlfn.XLOOKUP($B2498,Insumo[DESCRIPCION],Insumo[VALOR],,0),"")</f>
        <v/>
      </c>
      <c r="F2498" s="33"/>
      <c r="G2498" s="34" t="str">
        <f>IFERROR(IF(F2498&gt;=0,D2498*E2498*(1+F2498/100),ABS(D2498*E2498/F2498)),"")</f>
        <v/>
      </c>
      <c r="H2498" s="43" t="str">
        <f>IFERROR(G2498*E2492,"")</f>
        <v/>
      </c>
    </row>
    <row r="2499" spans="1:8" ht="12.75" customHeight="1">
      <c r="A2499" s="28"/>
      <c r="B2499" s="29"/>
      <c r="C2499" s="30" t="str">
        <f>IFERROR(_xlfn.XLOOKUP(B2499,Insumo[DESCRIPCION],Insumo[UND],,0),"")</f>
        <v/>
      </c>
      <c r="D2499" s="31"/>
      <c r="E2499" s="32" t="str">
        <f>IFERROR(_xlfn.XLOOKUP($B2499,Insumo[DESCRIPCION],Insumo[VALOR],,0),"")</f>
        <v/>
      </c>
      <c r="F2499" s="33"/>
      <c r="G2499" s="34" t="str">
        <f>IFERROR(IF(F2499&gt;=0,D2499*E2499*(1+F2499/100),ABS(D2499*E2499/F2499)),"")</f>
        <v/>
      </c>
      <c r="H2499" s="43" t="str">
        <f>IFERROR(G2499*E2492,"")</f>
        <v/>
      </c>
    </row>
    <row r="2500" spans="1:8" ht="12.75" customHeight="1">
      <c r="A2500" s="21"/>
      <c r="B2500" s="22" t="s">
        <v>3731</v>
      </c>
      <c r="C2500" s="23"/>
      <c r="D2500" s="24"/>
      <c r="E2500" s="25"/>
      <c r="F2500" s="26"/>
      <c r="G2500" s="27">
        <f>SUM(G2501:G2504)</f>
        <v>218367.21758055</v>
      </c>
      <c r="H2500" s="44">
        <f>G2500*E2492</f>
        <v>0</v>
      </c>
    </row>
    <row r="2501" spans="1:8" ht="12.75" customHeight="1">
      <c r="A2501" s="28"/>
      <c r="B2501" s="29" t="s">
        <v>3603</v>
      </c>
      <c r="C2501" s="30" t="str">
        <f>IFERROR(_xlfn.XLOOKUP(B2501,Equipo[DESCRIPCION],Equipo[UND],,0),"")</f>
        <v>Día</v>
      </c>
      <c r="D2501" s="31">
        <v>1</v>
      </c>
      <c r="E2501" s="32">
        <f>IF(C2501="%MO",G2508,IFERROR(_xlfn.XLOOKUP($B2501,Equipo[DESCRIPCION],Equipo[VALOR],,0),""))</f>
        <v>80116.05</v>
      </c>
      <c r="F2501" s="33">
        <v>-1</v>
      </c>
      <c r="G2501" s="34">
        <f>IFERROR(IF(F2501&gt;=0,D2501*E2501*(1+F2501/100),ABS(D2501*E2501/F2501)),"")</f>
        <v>80116.05</v>
      </c>
      <c r="H2501" s="43">
        <f>IFERROR(G2501*E2492,"")</f>
        <v>0</v>
      </c>
    </row>
    <row r="2502" spans="1:8" ht="12.75" customHeight="1">
      <c r="A2502" s="28"/>
      <c r="B2502" s="29" t="s">
        <v>3632</v>
      </c>
      <c r="C2502" s="30" t="str">
        <f>IFERROR(_xlfn.XLOOKUP(B2502,Equipo[DESCRIPCION],Equipo[UND],,0),"")</f>
        <v>Día</v>
      </c>
      <c r="D2502" s="31">
        <v>1</v>
      </c>
      <c r="E2502" s="32">
        <f>IF(C2502="%MO",G2509,IFERROR(_xlfn.XLOOKUP($B2502,Equipo[DESCRIPCION],Equipo[VALOR],,0),""))</f>
        <v>109956</v>
      </c>
      <c r="F2502" s="33">
        <v>-1</v>
      </c>
      <c r="G2502" s="34">
        <f>IFERROR(IF(F2502&gt;=0,D2502*E2502*(1+F2502/100),ABS(D2502*E2502/F2502)),"")</f>
        <v>109956</v>
      </c>
      <c r="H2502" s="43">
        <f>IFERROR(G2502*E2492,"")</f>
        <v>0</v>
      </c>
    </row>
    <row r="2503" spans="1:8" ht="12.75" customHeight="1">
      <c r="A2503" s="28"/>
      <c r="B2503" s="29" t="s">
        <v>3570</v>
      </c>
      <c r="C2503" s="30" t="str">
        <f>IFERROR(_xlfn.XLOOKUP(B2503,Equipo[DESCRIPCION],Equipo[UND],,0),"")</f>
        <v>%MO</v>
      </c>
      <c r="D2503" s="31">
        <v>0.04</v>
      </c>
      <c r="E2503" s="32">
        <f>IF(C2503="%MO",G2508,IFERROR(_xlfn.XLOOKUP($B2503,Equipo[DESCRIPCION],Equipo[VALOR],,0),""))</f>
        <v>314390.75089500006</v>
      </c>
      <c r="F2503" s="33"/>
      <c r="G2503" s="34">
        <f>IFERROR(IF(F2503&gt;=0,D2503*E2503*(1+F2503/100),ABS(D2503*E2503/F2503)),"")</f>
        <v>12575.630035800003</v>
      </c>
      <c r="H2503" s="43">
        <f>IFERROR(G2503*E2492,"")</f>
        <v>0</v>
      </c>
    </row>
    <row r="2504" spans="1:8" ht="12.75" customHeight="1">
      <c r="A2504" s="28"/>
      <c r="B2504" s="29" t="s">
        <v>3626</v>
      </c>
      <c r="C2504" s="30" t="str">
        <f>IFERROR(_xlfn.XLOOKUP(B2504,Equipo[DESCRIPCION],Equipo[UND],,0),"")</f>
        <v>%MO</v>
      </c>
      <c r="D2504" s="31">
        <v>0.05</v>
      </c>
      <c r="E2504" s="32">
        <f>IF(C2504="%MO",G2508,IFERROR(_xlfn.XLOOKUP($B2504,Equipo[DESCRIPCION],Equipo[VALOR],,0),""))</f>
        <v>314390.75089500006</v>
      </c>
      <c r="F2504" s="33"/>
      <c r="G2504" s="34">
        <f>IFERROR(IF(F2504&gt;=0,D2504*E2504*(1+F2504/100),ABS(D2504*E2504/F2504)),"")</f>
        <v>15719.537544750005</v>
      </c>
      <c r="H2504" s="43">
        <f>IFERROR(G2504*E2492,"")</f>
        <v>0</v>
      </c>
    </row>
    <row r="2505" spans="1:8" ht="12.75" customHeight="1">
      <c r="A2505" s="21"/>
      <c r="B2505" s="22" t="s">
        <v>2533</v>
      </c>
      <c r="C2505" s="23"/>
      <c r="D2505" s="24"/>
      <c r="E2505" s="25"/>
      <c r="F2505" s="26"/>
      <c r="G2505" s="27">
        <f>SUM(G2506:G2507)</f>
        <v>0</v>
      </c>
      <c r="H2505" s="44">
        <f>G2505*E2492</f>
        <v>0</v>
      </c>
    </row>
    <row r="2506" spans="1:8" ht="12.75" customHeight="1">
      <c r="A2506" s="28"/>
      <c r="B2506" s="29"/>
      <c r="C2506" s="30" t="str">
        <f>IFERROR(_xlfn.XLOOKUP(B2506,Transporte[DESCRIPCION],Transporte[UND],,0),"")</f>
        <v/>
      </c>
      <c r="D2506" s="31"/>
      <c r="E2506" s="32" t="str">
        <f>IFERROR(_xlfn.XLOOKUP($B2506,Transporte[DESCRIPCION],Transporte[VALOR],,0),"")</f>
        <v/>
      </c>
      <c r="F2506" s="33"/>
      <c r="G2506" s="34" t="str">
        <f>IFERROR(IF(F2506&gt;=0,D2506*E2506*(1+F2506/100),ABS(D2506*E2506/F2506)),"")</f>
        <v/>
      </c>
      <c r="H2506" s="43" t="str">
        <f>IFERROR(G2506*E2492,"")</f>
        <v/>
      </c>
    </row>
    <row r="2507" spans="1:8" ht="12.75" customHeight="1">
      <c r="A2507" s="28"/>
      <c r="B2507" s="29"/>
      <c r="C2507" s="30" t="str">
        <f>IFERROR(_xlfn.XLOOKUP(B2507,Transporte[DESCRIPCION],Transporte[UND],,0),"")</f>
        <v/>
      </c>
      <c r="D2507" s="31"/>
      <c r="E2507" s="32" t="str">
        <f>IFERROR(_xlfn.XLOOKUP($B2507,Transporte[DESCRIPCION],Transporte[VALOR],,0),"")</f>
        <v/>
      </c>
      <c r="F2507" s="33"/>
      <c r="G2507" s="34" t="str">
        <f>IFERROR(IF(F2507&gt;=0,D2507*E2507*(1+F2507/100),ABS(D2507*E2507/F2507)),"")</f>
        <v/>
      </c>
      <c r="H2507" s="43" t="str">
        <f>IFERROR(G2507*E2492,"")</f>
        <v/>
      </c>
    </row>
    <row r="2508" spans="1:8" ht="12.75" customHeight="1">
      <c r="A2508" s="21"/>
      <c r="B2508" s="22" t="s">
        <v>3732</v>
      </c>
      <c r="C2508" s="23"/>
      <c r="D2508" s="24"/>
      <c r="E2508" s="25"/>
      <c r="F2508" s="26"/>
      <c r="G2508" s="27">
        <f>SUM(G2509:G2511)</f>
        <v>314390.75089500006</v>
      </c>
      <c r="H2508" s="44">
        <f>G2508*E2492</f>
        <v>0</v>
      </c>
    </row>
    <row r="2509" spans="1:8" ht="12.75" customHeight="1">
      <c r="A2509" s="28"/>
      <c r="B2509" s="29" t="s">
        <v>3710</v>
      </c>
      <c r="C2509" s="30" t="str">
        <f>IFERROR(_xlfn.XLOOKUP(B2509,MObra[DESCRIPCION],MObra[UN],,0),"")</f>
        <v>día</v>
      </c>
      <c r="D2509" s="31">
        <v>1</v>
      </c>
      <c r="E2509" s="32">
        <f>IFERROR(_xlfn.XLOOKUP($B2509,MObra[DESCRIPCION],MObra[VALOR UNIT],,0),"")</f>
        <v>314390.75089500006</v>
      </c>
      <c r="F2509" s="33">
        <v>-1</v>
      </c>
      <c r="G2509" s="34">
        <f>IFERROR(IF(F2509&gt;=0,D2509*E2509*(1+F2509/100),ABS(D2509*E2509/F2509)),"")</f>
        <v>314390.75089500006</v>
      </c>
      <c r="H2509" s="43">
        <f>IFERROR(G2509*E2492,"")</f>
        <v>0</v>
      </c>
    </row>
    <row r="2510" spans="1:8" ht="12.75" customHeight="1">
      <c r="A2510" s="28"/>
      <c r="B2510" s="29"/>
      <c r="C2510" s="30" t="str">
        <f t="array" ref="C2510">IFERROR(_xlfn.XLOOKUP(B2510,MObra[[#All],[DESCRIPCION]],MObra[[#All],[UN]],,0),"")</f>
        <v/>
      </c>
      <c r="D2510" s="31"/>
      <c r="E2510" s="32" t="str">
        <f>IFERROR(_xlfn.XLOOKUP($B2510,MObra[DESCRIPCION],MObra[VALOR UNIT],,0),"")</f>
        <v/>
      </c>
      <c r="F2510" s="33"/>
      <c r="G2510" s="34" t="str">
        <f>IFERROR(IF(F2510&gt;=0,D2510*E2510*(1+F2510/100),ABS(D2510*E2510/F2510)),"")</f>
        <v/>
      </c>
      <c r="H2510" s="43" t="str">
        <f>IFERROR(G2510*E2492,"")</f>
        <v/>
      </c>
    </row>
    <row r="2511" spans="1:8" ht="12.75" customHeight="1" thickBot="1">
      <c r="A2511" s="35"/>
      <c r="B2511" s="36"/>
      <c r="C2511" s="37" t="str">
        <f t="array" ref="C2511">IFERROR(_xlfn.XLOOKUP(B2511,MObra[[#All],[DESCRIPCION]],MObra[[#All],[UN]],,0),"")</f>
        <v/>
      </c>
      <c r="D2511" s="38"/>
      <c r="E2511" s="39" t="str">
        <f>IFERROR(_xlfn.XLOOKUP($B2511,MObra[DESCRIPCION],MObra[VALOR UNIT],,0),"")</f>
        <v/>
      </c>
      <c r="F2511" s="40"/>
      <c r="G2511" s="41" t="str">
        <f>IFERROR(IF(F2511&gt;=0,D2511*E2511*(1+F2511/100),ABS(D2511*E2511/F2511)),"")</f>
        <v/>
      </c>
      <c r="H2511" s="42" t="str">
        <f>IFERROR(G2511*E2492,"")</f>
        <v/>
      </c>
    </row>
    <row r="2512" spans="1:8" ht="12.75" customHeight="1" thickTop="1" thickBot="1">
      <c r="E2512" s="49"/>
      <c r="G2512" s="3"/>
    </row>
    <row r="2513" spans="1:10" ht="12.75" customHeight="1" thickTop="1" thickBot="1">
      <c r="A2513" s="6" t="s">
        <v>272</v>
      </c>
      <c r="B2513" s="7" t="str">
        <f>VLOOKUP($A2513,Presupuesto!$A:$D,2,FALSE())</f>
        <v>Excavación manual material desecho compactación / basura h= 0-1,5 m</v>
      </c>
      <c r="C2513" s="8" t="str">
        <f>VLOOKUP($A2513,Presupuesto!$A:$D,3,FALSE())</f>
        <v>M3</v>
      </c>
      <c r="D2513" s="9"/>
      <c r="E2513" s="10">
        <f>VLOOKUP($A2513,Presupuesto!$A:$D,4,FALSE())</f>
        <v>0</v>
      </c>
      <c r="F2513" s="11" t="s">
        <v>2589</v>
      </c>
      <c r="G2513" s="12">
        <f>SUM(G2515:G2531)/2</f>
        <v>149131.83489213756</v>
      </c>
      <c r="H2513" s="13">
        <f>ROUND(SUM(H2515:H2531),0)/2</f>
        <v>0</v>
      </c>
      <c r="I2513" s="10">
        <f>VLOOKUP(A2513,Presupuesto!$A:$F,6,0)</f>
        <v>0</v>
      </c>
      <c r="J2513" s="10">
        <f>+H2513-I2513</f>
        <v>0</v>
      </c>
    </row>
    <row r="2514" spans="1:10" ht="12.75" customHeight="1" thickTop="1">
      <c r="A2514" s="14"/>
      <c r="B2514" s="15" t="s">
        <v>2586</v>
      </c>
      <c r="C2514" s="15" t="s">
        <v>5</v>
      </c>
      <c r="D2514" s="16" t="s">
        <v>6</v>
      </c>
      <c r="E2514" s="17" t="s">
        <v>7</v>
      </c>
      <c r="F2514" s="18" t="s">
        <v>3728</v>
      </c>
      <c r="G2514" s="19" t="s">
        <v>3729</v>
      </c>
      <c r="H2514" s="20" t="s">
        <v>3797</v>
      </c>
    </row>
    <row r="2515" spans="1:10" ht="12.75" customHeight="1">
      <c r="A2515" s="21"/>
      <c r="B2515" s="22" t="s">
        <v>3730</v>
      </c>
      <c r="C2515" s="23"/>
      <c r="D2515" s="24"/>
      <c r="E2515" s="25"/>
      <c r="F2515" s="26"/>
      <c r="G2515" s="27">
        <f>SUM(G2516:G2520)</f>
        <v>0</v>
      </c>
      <c r="H2515" s="27">
        <f>IFERROR(G2515*E2513,"")</f>
        <v>0</v>
      </c>
    </row>
    <row r="2516" spans="1:10" ht="12.75" customHeight="1">
      <c r="A2516" s="28"/>
      <c r="B2516" s="29"/>
      <c r="C2516" s="30" t="str">
        <f>IFERROR(_xlfn.XLOOKUP(B2516,Insumo[DESCRIPCION],Insumo[UND],,0),"")</f>
        <v/>
      </c>
      <c r="D2516" s="31"/>
      <c r="E2516" s="32" t="str">
        <f>IFERROR(_xlfn.XLOOKUP($B2516,Insumo[DESCRIPCION],Insumo[VALOR],,0),"")</f>
        <v/>
      </c>
      <c r="F2516" s="33"/>
      <c r="G2516" s="34" t="str">
        <f>IFERROR(IF(F2516&gt;=0,D2516*E2516*(1+F2516/100),ABS(D2516*E2516/F2516)),"")</f>
        <v/>
      </c>
      <c r="H2516" s="43" t="str">
        <f>IFERROR(G2516*E2513,"")</f>
        <v/>
      </c>
    </row>
    <row r="2517" spans="1:10" ht="12.75" customHeight="1">
      <c r="A2517" s="28"/>
      <c r="B2517" s="29"/>
      <c r="C2517" s="30" t="str">
        <f>IFERROR(_xlfn.XLOOKUP(B2517,Insumo[DESCRIPCION],Insumo[UND],,0),"")</f>
        <v/>
      </c>
      <c r="D2517" s="31"/>
      <c r="E2517" s="32" t="str">
        <f>IFERROR(_xlfn.XLOOKUP($B2517,Insumo[DESCRIPCION],Insumo[VALOR],,0),"")</f>
        <v/>
      </c>
      <c r="F2517" s="33"/>
      <c r="G2517" s="34" t="str">
        <f>IFERROR(IF(F2517&gt;=0,D2517*E2517*(1+F2517/100),ABS(D2517*E2517/F2517)),"")</f>
        <v/>
      </c>
      <c r="H2517" s="43" t="str">
        <f>IFERROR(G2517*E2513,"")</f>
        <v/>
      </c>
    </row>
    <row r="2518" spans="1:10" ht="12.75" customHeight="1">
      <c r="A2518" s="28"/>
      <c r="B2518" s="29"/>
      <c r="C2518" s="30" t="str">
        <f>IFERROR(_xlfn.XLOOKUP(B2518,Insumo[DESCRIPCION],Insumo[UND],,0),"")</f>
        <v/>
      </c>
      <c r="D2518" s="31"/>
      <c r="E2518" s="32" t="str">
        <f>IFERROR(_xlfn.XLOOKUP($B2518,Insumo[DESCRIPCION],Insumo[VALOR],,0),"")</f>
        <v/>
      </c>
      <c r="F2518" s="33"/>
      <c r="G2518" s="34" t="str">
        <f>IFERROR(IF(F2518&gt;=0,D2518*E2518*(1+F2518/100),ABS(D2518*E2518/F2518)),"")</f>
        <v/>
      </c>
      <c r="H2518" s="43" t="str">
        <f>IFERROR(G2518*E2513,"")</f>
        <v/>
      </c>
    </row>
    <row r="2519" spans="1:10" ht="12.75" customHeight="1">
      <c r="A2519" s="28"/>
      <c r="B2519" s="29"/>
      <c r="C2519" s="30" t="str">
        <f>IFERROR(_xlfn.XLOOKUP(B2519,Insumo[DESCRIPCION],Insumo[UND],,0),"")</f>
        <v/>
      </c>
      <c r="D2519" s="31"/>
      <c r="E2519" s="32" t="str">
        <f>IFERROR(_xlfn.XLOOKUP($B2519,Insumo[DESCRIPCION],Insumo[VALOR],,0),"")</f>
        <v/>
      </c>
      <c r="F2519" s="33"/>
      <c r="G2519" s="34" t="str">
        <f>IFERROR(IF(F2519&gt;=0,D2519*E2519*(1+F2519/100),ABS(D2519*E2519/F2519)),"")</f>
        <v/>
      </c>
      <c r="H2519" s="43" t="str">
        <f>IFERROR(G2519*E2513,"")</f>
        <v/>
      </c>
    </row>
    <row r="2520" spans="1:10" ht="12.75" customHeight="1">
      <c r="A2520" s="28"/>
      <c r="B2520" s="29"/>
      <c r="C2520" s="30" t="str">
        <f>IFERROR(_xlfn.XLOOKUP(B2520,Insumo[DESCRIPCION],Insumo[UND],,0),"")</f>
        <v/>
      </c>
      <c r="D2520" s="31"/>
      <c r="E2520" s="32" t="str">
        <f>IFERROR(_xlfn.XLOOKUP($B2520,Insumo[DESCRIPCION],Insumo[VALOR],,0),"")</f>
        <v/>
      </c>
      <c r="F2520" s="33"/>
      <c r="G2520" s="34" t="str">
        <f>IFERROR(IF(F2520&gt;=0,D2520*E2520*(1+F2520/100),ABS(D2520*E2520/F2520)),"")</f>
        <v/>
      </c>
      <c r="H2520" s="43" t="str">
        <f>IFERROR(G2520*E2513,"")</f>
        <v/>
      </c>
    </row>
    <row r="2521" spans="1:10" ht="12.75" customHeight="1">
      <c r="A2521" s="21"/>
      <c r="B2521" s="22" t="s">
        <v>3731</v>
      </c>
      <c r="C2521" s="23"/>
      <c r="D2521" s="24"/>
      <c r="E2521" s="25"/>
      <c r="F2521" s="26"/>
      <c r="G2521" s="27">
        <f>SUM(G2522:G2524)</f>
        <v>12313.637743387504</v>
      </c>
      <c r="H2521" s="44">
        <f>G2521*E2513</f>
        <v>0</v>
      </c>
    </row>
    <row r="2522" spans="1:10" ht="12.75" customHeight="1">
      <c r="A2522" s="28"/>
      <c r="B2522" s="29" t="s">
        <v>3570</v>
      </c>
      <c r="C2522" s="30" t="str">
        <f>IFERROR(_xlfn.XLOOKUP(B2522,Equipo[DESCRIPCION],Equipo[UND],,0),"")</f>
        <v>%MO</v>
      </c>
      <c r="D2522" s="31">
        <v>0.04</v>
      </c>
      <c r="E2522" s="32">
        <f>IF(C2522="%MO",G2528,IFERROR(_xlfn.XLOOKUP($B2522,Equipo[DESCRIPCION],Equipo[VALOR],,0),""))</f>
        <v>136818.19714875004</v>
      </c>
      <c r="F2522" s="33"/>
      <c r="G2522" s="34">
        <f>IFERROR(IF(F2522&gt;=0,D2522*E2522*(1+F2522/100),ABS(D2522*E2522/F2522)),"")</f>
        <v>5472.727885950002</v>
      </c>
      <c r="H2522" s="43">
        <f>IFERROR(G2522*E2513,"")</f>
        <v>0</v>
      </c>
    </row>
    <row r="2523" spans="1:10" ht="12.75" customHeight="1">
      <c r="A2523" s="28"/>
      <c r="B2523" s="29" t="s">
        <v>3626</v>
      </c>
      <c r="C2523" s="30" t="str">
        <f>IFERROR(_xlfn.XLOOKUP(B2523,Equipo[DESCRIPCION],Equipo[UND],,0),"")</f>
        <v>%MO</v>
      </c>
      <c r="D2523" s="31">
        <v>0.05</v>
      </c>
      <c r="E2523" s="32">
        <f>IF(C2523="%MO",G2528,IFERROR(_xlfn.XLOOKUP($B2523,Equipo[DESCRIPCION],Equipo[VALOR],,0),""))</f>
        <v>136818.19714875004</v>
      </c>
      <c r="F2523" s="33"/>
      <c r="G2523" s="34">
        <f>IFERROR(IF(F2523&gt;=0,D2523*E2523*(1+F2523/100),ABS(D2523*E2523/F2523)),"")</f>
        <v>6840.9098574375021</v>
      </c>
      <c r="H2523" s="43">
        <f>IFERROR(G2523*E2513,"")</f>
        <v>0</v>
      </c>
    </row>
    <row r="2524" spans="1:10" ht="12.75" customHeight="1">
      <c r="A2524" s="28"/>
      <c r="B2524" s="29"/>
      <c r="C2524" s="30" t="str">
        <f>IFERROR(_xlfn.XLOOKUP(B2524,Equipo[DESCRIPCION],Equipo[UND],,0),"")</f>
        <v/>
      </c>
      <c r="D2524" s="31"/>
      <c r="E2524" s="32" t="str">
        <f>IF(C2524="%MO",G2528,IFERROR(_xlfn.XLOOKUP($B2524,Equipo[DESCRIPCION],Equipo[VALOR],,0),""))</f>
        <v/>
      </c>
      <c r="F2524" s="33"/>
      <c r="G2524" s="34" t="str">
        <f>IFERROR(IF(F2524&gt;=0,D2524*E2524*(1+F2524/100),ABS(D2524*E2524/F2524)),"")</f>
        <v/>
      </c>
      <c r="H2524" s="43" t="str">
        <f>IFERROR(G2524*E2513,"")</f>
        <v/>
      </c>
    </row>
    <row r="2525" spans="1:10" ht="12.75" customHeight="1">
      <c r="A2525" s="21"/>
      <c r="B2525" s="22" t="s">
        <v>2533</v>
      </c>
      <c r="C2525" s="23"/>
      <c r="D2525" s="24"/>
      <c r="E2525" s="25"/>
      <c r="F2525" s="26"/>
      <c r="G2525" s="27">
        <f>SUM(G2526:G2527)</f>
        <v>0</v>
      </c>
      <c r="H2525" s="44">
        <f>G2525*E2513</f>
        <v>0</v>
      </c>
    </row>
    <row r="2526" spans="1:10" ht="12.75" customHeight="1">
      <c r="A2526" s="28"/>
      <c r="B2526" s="29"/>
      <c r="C2526" s="30" t="str">
        <f>IFERROR(_xlfn.XLOOKUP(B2526,Transporte[DESCRIPCION],Transporte[UND],,0),"")</f>
        <v/>
      </c>
      <c r="D2526" s="31"/>
      <c r="E2526" s="32" t="str">
        <f>IFERROR(_xlfn.XLOOKUP($B2526,Transporte[DESCRIPCION],Transporte[VALOR],,0),"")</f>
        <v/>
      </c>
      <c r="F2526" s="33"/>
      <c r="G2526" s="34" t="str">
        <f>IFERROR(IF(F2526&gt;=0,D2526*E2526*(1+F2526/100),ABS(D2526*E2526/F2526)),"")</f>
        <v/>
      </c>
      <c r="H2526" s="43" t="str">
        <f>IFERROR(G2526*E2513,"")</f>
        <v/>
      </c>
    </row>
    <row r="2527" spans="1:10" ht="12.75" customHeight="1">
      <c r="A2527" s="28"/>
      <c r="B2527" s="29"/>
      <c r="C2527" s="30" t="str">
        <f>IFERROR(_xlfn.XLOOKUP(B2527,Transporte[DESCRIPCION],Transporte[UND],,0),"")</f>
        <v/>
      </c>
      <c r="D2527" s="31"/>
      <c r="E2527" s="32" t="str">
        <f>IFERROR(_xlfn.XLOOKUP($B2527,Transporte[DESCRIPCION],Transporte[VALOR],,0),"")</f>
        <v/>
      </c>
      <c r="F2527" s="33"/>
      <c r="G2527" s="34" t="str">
        <f>IFERROR(IF(F2527&gt;=0,D2527*E2527*(1+F2527/100),ABS(D2527*E2527/F2527)),"")</f>
        <v/>
      </c>
      <c r="H2527" s="43" t="str">
        <f>IFERROR(G2527*E2513,"")</f>
        <v/>
      </c>
    </row>
    <row r="2528" spans="1:10" ht="12.75" customHeight="1">
      <c r="A2528" s="21"/>
      <c r="B2528" s="22" t="s">
        <v>3732</v>
      </c>
      <c r="C2528" s="23"/>
      <c r="D2528" s="24"/>
      <c r="E2528" s="25"/>
      <c r="F2528" s="26"/>
      <c r="G2528" s="27">
        <f>SUM(G2529:G2531)</f>
        <v>136818.19714875004</v>
      </c>
      <c r="H2528" s="44">
        <f>G2528*E2513</f>
        <v>0</v>
      </c>
    </row>
    <row r="2529" spans="1:10" ht="12.75" customHeight="1">
      <c r="A2529" s="28"/>
      <c r="B2529" s="29" t="s">
        <v>3712</v>
      </c>
      <c r="C2529" s="30" t="str">
        <f>IFERROR(_xlfn.XLOOKUP(B2529,MObra[DESCRIPCION],MObra[UN],,0),"")</f>
        <v>día</v>
      </c>
      <c r="D2529" s="31">
        <v>1</v>
      </c>
      <c r="E2529" s="32">
        <f>IFERROR(_xlfn.XLOOKUP($B2529,MObra[DESCRIPCION],MObra[VALOR UNIT],,0),"")</f>
        <v>547272.78859500017</v>
      </c>
      <c r="F2529" s="33">
        <v>-4</v>
      </c>
      <c r="G2529" s="34">
        <f>IFERROR(IF(F2529&gt;=0,D2529*E2529*(1+F2529/100),ABS(D2529*E2529/F2529)),"")</f>
        <v>136818.19714875004</v>
      </c>
      <c r="H2529" s="43">
        <f>IFERROR(G2529*E2513,"")</f>
        <v>0</v>
      </c>
    </row>
    <row r="2530" spans="1:10" ht="12.75" customHeight="1">
      <c r="A2530" s="28"/>
      <c r="B2530" s="29"/>
      <c r="C2530" s="30" t="str">
        <f t="array" ref="C2530">IFERROR(_xlfn.XLOOKUP(B2530,MObra[[#All],[DESCRIPCION]],MObra[[#All],[UN]],,0),"")</f>
        <v/>
      </c>
      <c r="D2530" s="31"/>
      <c r="E2530" s="32" t="str">
        <f>IFERROR(_xlfn.XLOOKUP($B2530,MObra[DESCRIPCION],MObra[VALOR UNIT],,0),"")</f>
        <v/>
      </c>
      <c r="F2530" s="33"/>
      <c r="G2530" s="34" t="str">
        <f>IFERROR(IF(F2530&gt;=0,D2530*E2530*(1+F2530/100),ABS(D2530*E2530/F2530)),"")</f>
        <v/>
      </c>
      <c r="H2530" s="43" t="str">
        <f>IFERROR(G2530*E2513,"")</f>
        <v/>
      </c>
    </row>
    <row r="2531" spans="1:10" ht="12.75" customHeight="1" thickBot="1">
      <c r="A2531" s="35"/>
      <c r="B2531" s="36"/>
      <c r="C2531" s="37" t="str">
        <f t="array" ref="C2531">IFERROR(_xlfn.XLOOKUP(B2531,MObra[[#All],[DESCRIPCION]],MObra[[#All],[UN]],,0),"")</f>
        <v/>
      </c>
      <c r="D2531" s="38"/>
      <c r="E2531" s="39" t="str">
        <f>IFERROR(_xlfn.XLOOKUP($B2531,MObra[DESCRIPCION],MObra[VALOR UNIT],,0),"")</f>
        <v/>
      </c>
      <c r="F2531" s="40"/>
      <c r="G2531" s="41" t="str">
        <f>IFERROR(IF(F2531&gt;=0,D2531*E2531*(1+F2531/100),ABS(D2531*E2531/F2531)),"")</f>
        <v/>
      </c>
      <c r="H2531" s="42" t="str">
        <f>IFERROR(G2531*E2513,"")</f>
        <v/>
      </c>
    </row>
    <row r="2532" spans="1:10" ht="12.75" customHeight="1" thickTop="1" thickBot="1">
      <c r="E2532" s="49"/>
      <c r="G2532" s="3"/>
    </row>
    <row r="2533" spans="1:10" ht="12.75" customHeight="1" thickTop="1" thickBot="1">
      <c r="A2533" s="6" t="s">
        <v>274</v>
      </c>
      <c r="B2533" s="7" t="str">
        <f>VLOOKUP($A2533,Presupuesto!$A:$D,2,FALSE())</f>
        <v>Lleno material común mecánico</v>
      </c>
      <c r="C2533" s="8" t="str">
        <f>VLOOKUP($A2533,Presupuesto!$A:$D,3,FALSE())</f>
        <v>M3</v>
      </c>
      <c r="D2533" s="9"/>
      <c r="E2533" s="10">
        <f>VLOOKUP($A2533,Presupuesto!$A:$D,4,FALSE())</f>
        <v>0</v>
      </c>
      <c r="F2533" s="11" t="s">
        <v>2589</v>
      </c>
      <c r="G2533" s="12">
        <f>SUM(G2535:G2551)/2</f>
        <v>12570.653489625001</v>
      </c>
      <c r="H2533" s="13">
        <f>ROUND(SUM(H2535:H2551),0)/2</f>
        <v>0</v>
      </c>
      <c r="I2533" s="10">
        <f>VLOOKUP(A2533,Presupuesto!$A:$F,6,0)</f>
        <v>0</v>
      </c>
      <c r="J2533" s="10">
        <f>+H2533-I2533</f>
        <v>0</v>
      </c>
    </row>
    <row r="2534" spans="1:10" ht="12.75" customHeight="1" thickTop="1">
      <c r="A2534" s="14"/>
      <c r="B2534" s="15" t="s">
        <v>2586</v>
      </c>
      <c r="C2534" s="15" t="s">
        <v>5</v>
      </c>
      <c r="D2534" s="16" t="s">
        <v>6</v>
      </c>
      <c r="E2534" s="17" t="s">
        <v>7</v>
      </c>
      <c r="F2534" s="18" t="s">
        <v>3728</v>
      </c>
      <c r="G2534" s="19" t="s">
        <v>3729</v>
      </c>
      <c r="H2534" s="20" t="s">
        <v>3797</v>
      </c>
    </row>
    <row r="2535" spans="1:10" ht="12.75" customHeight="1">
      <c r="A2535" s="21"/>
      <c r="B2535" s="22" t="s">
        <v>3730</v>
      </c>
      <c r="C2535" s="23"/>
      <c r="D2535" s="24"/>
      <c r="E2535" s="25"/>
      <c r="F2535" s="26"/>
      <c r="G2535" s="27">
        <f>SUM(G2536:G2540)</f>
        <v>682.5</v>
      </c>
      <c r="H2535" s="27">
        <f>IFERROR(G2535*E2533,"")</f>
        <v>0</v>
      </c>
    </row>
    <row r="2536" spans="1:10" ht="12.75" customHeight="1">
      <c r="A2536" s="28"/>
      <c r="B2536" s="29" t="s">
        <v>2685</v>
      </c>
      <c r="C2536" s="30" t="str">
        <f>IFERROR(_xlfn.XLOOKUP(B2536,Insumo[DESCRIPCION],Insumo[UND],,0),"")</f>
        <v>Lt</v>
      </c>
      <c r="D2536" s="31">
        <v>25</v>
      </c>
      <c r="E2536" s="32">
        <f>IFERROR(_xlfn.XLOOKUP($B2536,Insumo[DESCRIPCION],Insumo[VALOR],,0),"")</f>
        <v>27.3</v>
      </c>
      <c r="F2536" s="33"/>
      <c r="G2536" s="34">
        <f>IFERROR(IF(F2536&gt;=0,D2536*E2536*(1+F2536/100),ABS(D2536*E2536/F2536)),"")</f>
        <v>682.5</v>
      </c>
      <c r="H2536" s="43">
        <f>IFERROR(G2536*E2533,"")</f>
        <v>0</v>
      </c>
    </row>
    <row r="2537" spans="1:10" ht="12.75" customHeight="1">
      <c r="A2537" s="28"/>
      <c r="B2537" s="29"/>
      <c r="C2537" s="30" t="str">
        <f>IFERROR(_xlfn.XLOOKUP(B2537,Insumo[DESCRIPCION],Insumo[UND],,0),"")</f>
        <v/>
      </c>
      <c r="D2537" s="31"/>
      <c r="E2537" s="32" t="str">
        <f>IFERROR(_xlfn.XLOOKUP($B2537,Insumo[DESCRIPCION],Insumo[VALOR],,0),"")</f>
        <v/>
      </c>
      <c r="F2537" s="33"/>
      <c r="G2537" s="34" t="str">
        <f>IFERROR(IF(F2537&gt;=0,D2537*E2537*(1+F2537/100),ABS(D2537*E2537/F2537)),"")</f>
        <v/>
      </c>
      <c r="H2537" s="43" t="str">
        <f>IFERROR(G2537*E2533,"")</f>
        <v/>
      </c>
    </row>
    <row r="2538" spans="1:10" ht="12.75" customHeight="1">
      <c r="A2538" s="28"/>
      <c r="B2538" s="29"/>
      <c r="C2538" s="30" t="str">
        <f>IFERROR(_xlfn.XLOOKUP(B2538,Insumo[DESCRIPCION],Insumo[UND],,0),"")</f>
        <v/>
      </c>
      <c r="D2538" s="31"/>
      <c r="E2538" s="32" t="str">
        <f>IFERROR(_xlfn.XLOOKUP($B2538,Insumo[DESCRIPCION],Insumo[VALOR],,0),"")</f>
        <v/>
      </c>
      <c r="F2538" s="33"/>
      <c r="G2538" s="34" t="str">
        <f>IFERROR(IF(F2538&gt;=0,D2538*E2538*(1+F2538/100),ABS(D2538*E2538/F2538)),"")</f>
        <v/>
      </c>
      <c r="H2538" s="43" t="str">
        <f>IFERROR(G2538*E2533,"")</f>
        <v/>
      </c>
    </row>
    <row r="2539" spans="1:10" ht="12.75" customHeight="1">
      <c r="A2539" s="28"/>
      <c r="B2539" s="29"/>
      <c r="C2539" s="30" t="str">
        <f>IFERROR(_xlfn.XLOOKUP(B2539,Insumo[DESCRIPCION],Insumo[UND],,0),"")</f>
        <v/>
      </c>
      <c r="D2539" s="31"/>
      <c r="E2539" s="32" t="str">
        <f>IFERROR(_xlfn.XLOOKUP($B2539,Insumo[DESCRIPCION],Insumo[VALOR],,0),"")</f>
        <v/>
      </c>
      <c r="F2539" s="33"/>
      <c r="G2539" s="34" t="str">
        <f>IFERROR(IF(F2539&gt;=0,D2539*E2539*(1+F2539/100),ABS(D2539*E2539/F2539)),"")</f>
        <v/>
      </c>
      <c r="H2539" s="43" t="str">
        <f>IFERROR(G2539*E2533,"")</f>
        <v/>
      </c>
    </row>
    <row r="2540" spans="1:10" ht="12.75" customHeight="1">
      <c r="A2540" s="28"/>
      <c r="B2540" s="29"/>
      <c r="C2540" s="30" t="str">
        <f>IFERROR(_xlfn.XLOOKUP(B2540,Insumo[DESCRIPCION],Insumo[UND],,0),"")</f>
        <v/>
      </c>
      <c r="D2540" s="31"/>
      <c r="E2540" s="32" t="str">
        <f>IFERROR(_xlfn.XLOOKUP($B2540,Insumo[DESCRIPCION],Insumo[VALOR],,0),"")</f>
        <v/>
      </c>
      <c r="F2540" s="33"/>
      <c r="G2540" s="34" t="str">
        <f>IFERROR(IF(F2540&gt;=0,D2540*E2540*(1+F2540/100),ABS(D2540*E2540/F2540)),"")</f>
        <v/>
      </c>
      <c r="H2540" s="43" t="str">
        <f>IFERROR(G2540*E2533,"")</f>
        <v/>
      </c>
    </row>
    <row r="2541" spans="1:10" ht="12.75" customHeight="1">
      <c r="A2541" s="21"/>
      <c r="B2541" s="22" t="s">
        <v>3731</v>
      </c>
      <c r="C2541" s="23"/>
      <c r="D2541" s="24"/>
      <c r="E2541" s="25"/>
      <c r="F2541" s="26"/>
      <c r="G2541" s="27">
        <f>SUM(G2542:G2544)</f>
        <v>6066.1025471250005</v>
      </c>
      <c r="H2541" s="44">
        <f>G2541*E2533</f>
        <v>0</v>
      </c>
    </row>
    <row r="2542" spans="1:10" ht="12.75" customHeight="1">
      <c r="A2542" s="28"/>
      <c r="B2542" s="29" t="s">
        <v>3592</v>
      </c>
      <c r="C2542" s="30" t="str">
        <f>IFERROR(_xlfn.XLOOKUP(B2542,Equipo[DESCRIPCION],Equipo[UND],,0),"")</f>
        <v>Hr</v>
      </c>
      <c r="D2542" s="31">
        <v>1</v>
      </c>
      <c r="E2542" s="32">
        <f>IF(C2542="%MO",G2548,IFERROR(_xlfn.XLOOKUP($B2542,Equipo[DESCRIPCION],Equipo[VALOR],,0),""))</f>
        <v>115500</v>
      </c>
      <c r="F2542" s="33">
        <v>-20</v>
      </c>
      <c r="G2542" s="34">
        <f>IFERROR(IF(F2542&gt;=0,D2542*E2542*(1+F2542/100),ABS(D2542*E2542/F2542)),"")</f>
        <v>5775</v>
      </c>
      <c r="H2542" s="43">
        <f>IFERROR(G2542*E2533,"")</f>
        <v>0</v>
      </c>
    </row>
    <row r="2543" spans="1:10" ht="12.75" customHeight="1">
      <c r="A2543" s="28"/>
      <c r="B2543" s="29" t="s">
        <v>3626</v>
      </c>
      <c r="C2543" s="30" t="str">
        <f>IFERROR(_xlfn.XLOOKUP(B2543,Equipo[DESCRIPCION],Equipo[UND],,0),"")</f>
        <v>%MO</v>
      </c>
      <c r="D2543" s="31">
        <v>0.05</v>
      </c>
      <c r="E2543" s="32">
        <f>IF(C2543="%MO",G2548,IFERROR(_xlfn.XLOOKUP($B2543,Equipo[DESCRIPCION],Equipo[VALOR],,0),""))</f>
        <v>5822.0509425000009</v>
      </c>
      <c r="F2543" s="33"/>
      <c r="G2543" s="34">
        <f>IFERROR(IF(F2543&gt;=0,D2543*E2543*(1+F2543/100),ABS(D2543*E2543/F2543)),"")</f>
        <v>291.10254712500006</v>
      </c>
      <c r="H2543" s="43">
        <f>IFERROR(G2543*E2533,"")</f>
        <v>0</v>
      </c>
    </row>
    <row r="2544" spans="1:10" ht="12.75" customHeight="1">
      <c r="A2544" s="28"/>
      <c r="B2544" s="29"/>
      <c r="C2544" s="30" t="str">
        <f>IFERROR(_xlfn.XLOOKUP(B2544,Equipo[DESCRIPCION],Equipo[UND],,0),"")</f>
        <v/>
      </c>
      <c r="D2544" s="31"/>
      <c r="E2544" s="32" t="str">
        <f>IF(C2544="%MO",G2548,IFERROR(_xlfn.XLOOKUP($B2544,Equipo[DESCRIPCION],Equipo[VALOR],,0),""))</f>
        <v/>
      </c>
      <c r="F2544" s="33"/>
      <c r="G2544" s="34" t="str">
        <f>IFERROR(IF(F2544&gt;=0,D2544*E2544*(1+F2544/100),ABS(D2544*E2544/F2544)),"")</f>
        <v/>
      </c>
      <c r="H2544" s="43" t="str">
        <f>IFERROR(G2544*E2533,"")</f>
        <v/>
      </c>
    </row>
    <row r="2545" spans="1:10" ht="12.75" customHeight="1">
      <c r="A2545" s="21"/>
      <c r="B2545" s="22" t="s">
        <v>2533</v>
      </c>
      <c r="C2545" s="23"/>
      <c r="D2545" s="24"/>
      <c r="E2545" s="25"/>
      <c r="F2545" s="26"/>
      <c r="G2545" s="27">
        <f>SUM(G2546:G2547)</f>
        <v>0</v>
      </c>
      <c r="H2545" s="44">
        <f>G2545*E2533</f>
        <v>0</v>
      </c>
    </row>
    <row r="2546" spans="1:10" ht="12.75" customHeight="1">
      <c r="A2546" s="28"/>
      <c r="B2546" s="29"/>
      <c r="C2546" s="30" t="str">
        <f>IFERROR(_xlfn.XLOOKUP(B2546,Transporte[DESCRIPCION],Transporte[UND],,0),"")</f>
        <v/>
      </c>
      <c r="D2546" s="31"/>
      <c r="E2546" s="32" t="str">
        <f>IFERROR(_xlfn.XLOOKUP($B2546,Transporte[DESCRIPCION],Transporte[VALOR],,0),"")</f>
        <v/>
      </c>
      <c r="F2546" s="33"/>
      <c r="G2546" s="34" t="str">
        <f>IFERROR(IF(F2546&gt;=0,D2546*E2546*(1+F2546/100),ABS(D2546*E2546/F2546)),"")</f>
        <v/>
      </c>
      <c r="H2546" s="43" t="str">
        <f>IFERROR(G2546*E2533,"")</f>
        <v/>
      </c>
    </row>
    <row r="2547" spans="1:10" ht="12.75" customHeight="1">
      <c r="A2547" s="28"/>
      <c r="B2547" s="29"/>
      <c r="C2547" s="30" t="str">
        <f>IFERROR(_xlfn.XLOOKUP(B2547,Transporte[DESCRIPCION],Transporte[UND],,0),"")</f>
        <v/>
      </c>
      <c r="D2547" s="31"/>
      <c r="E2547" s="32" t="str">
        <f>IFERROR(_xlfn.XLOOKUP($B2547,Transporte[DESCRIPCION],Transporte[VALOR],,0),"")</f>
        <v/>
      </c>
      <c r="F2547" s="33"/>
      <c r="G2547" s="34" t="str">
        <f>IFERROR(IF(F2547&gt;=0,D2547*E2547*(1+F2547/100),ABS(D2547*E2547/F2547)),"")</f>
        <v/>
      </c>
      <c r="H2547" s="43" t="str">
        <f>IFERROR(G2547*E2533,"")</f>
        <v/>
      </c>
    </row>
    <row r="2548" spans="1:10" ht="12.75" customHeight="1">
      <c r="A2548" s="21"/>
      <c r="B2548" s="22" t="s">
        <v>3732</v>
      </c>
      <c r="C2548" s="23"/>
      <c r="D2548" s="24"/>
      <c r="E2548" s="25"/>
      <c r="F2548" s="26"/>
      <c r="G2548" s="27">
        <f>SUM(G2549:G2551)</f>
        <v>5822.0509425000009</v>
      </c>
      <c r="H2548" s="44">
        <f>G2548*E2533</f>
        <v>0</v>
      </c>
    </row>
    <row r="2549" spans="1:10" ht="12.75" customHeight="1">
      <c r="A2549" s="28"/>
      <c r="B2549" s="29" t="s">
        <v>3698</v>
      </c>
      <c r="C2549" s="30" t="str">
        <f>IFERROR(_xlfn.XLOOKUP(B2549,MObra[DESCRIPCION],MObra[UN],,0),"")</f>
        <v>día</v>
      </c>
      <c r="D2549" s="31">
        <v>1</v>
      </c>
      <c r="E2549" s="32">
        <f>IFERROR(_xlfn.XLOOKUP($B2549,MObra[DESCRIPCION],MObra[VALOR UNIT],,0),"")</f>
        <v>116441.01885000002</v>
      </c>
      <c r="F2549" s="33">
        <v>-20</v>
      </c>
      <c r="G2549" s="34">
        <f>IFERROR(IF(F2549&gt;=0,D2549*E2549*(1+F2549/100),ABS(D2549*E2549/F2549)),"")</f>
        <v>5822.0509425000009</v>
      </c>
      <c r="H2549" s="43">
        <f>IFERROR(G2549*E2533,"")</f>
        <v>0</v>
      </c>
    </row>
    <row r="2550" spans="1:10" ht="12.75" customHeight="1">
      <c r="A2550" s="28"/>
      <c r="B2550" s="29"/>
      <c r="C2550" s="30" t="str">
        <f t="array" ref="C2550">IFERROR(_xlfn.XLOOKUP(B2550,MObra[[#All],[DESCRIPCION]],MObra[[#All],[UN]],,0),"")</f>
        <v/>
      </c>
      <c r="D2550" s="31"/>
      <c r="E2550" s="32" t="str">
        <f>IFERROR(_xlfn.XLOOKUP($B2550,MObra[DESCRIPCION],MObra[VALOR UNIT],,0),"")</f>
        <v/>
      </c>
      <c r="F2550" s="33"/>
      <c r="G2550" s="34" t="str">
        <f>IFERROR(IF(F2550&gt;=0,D2550*E2550*(1+F2550/100),ABS(D2550*E2550/F2550)),"")</f>
        <v/>
      </c>
      <c r="H2550" s="43" t="str">
        <f>IFERROR(G2550*E2533,"")</f>
        <v/>
      </c>
    </row>
    <row r="2551" spans="1:10" ht="12.75" customHeight="1" thickBot="1">
      <c r="A2551" s="35"/>
      <c r="B2551" s="36"/>
      <c r="C2551" s="37" t="str">
        <f t="array" ref="C2551">IFERROR(_xlfn.XLOOKUP(B2551,MObra[[#All],[DESCRIPCION]],MObra[[#All],[UN]],,0),"")</f>
        <v/>
      </c>
      <c r="D2551" s="38"/>
      <c r="E2551" s="39" t="str">
        <f>IFERROR(_xlfn.XLOOKUP($B2551,MObra[DESCRIPCION],MObra[VALOR UNIT],,0),"")</f>
        <v/>
      </c>
      <c r="F2551" s="40"/>
      <c r="G2551" s="41" t="str">
        <f>IFERROR(IF(F2551&gt;=0,D2551*E2551*(1+F2551/100),ABS(D2551*E2551/F2551)),"")</f>
        <v/>
      </c>
      <c r="H2551" s="42" t="str">
        <f>IFERROR(G2551*E2533,"")</f>
        <v/>
      </c>
    </row>
    <row r="2552" spans="1:10" ht="12.75" customHeight="1" thickTop="1" thickBot="1">
      <c r="E2552" s="49"/>
      <c r="G2552" s="3"/>
    </row>
    <row r="2553" spans="1:10" ht="12.75" customHeight="1" thickTop="1" thickBot="1">
      <c r="A2553" s="6" t="s">
        <v>276</v>
      </c>
      <c r="B2553" s="7" t="str">
        <f>VLOOKUP($A2553,Presupuesto!$A:$D,2,FALSE())</f>
        <v>Lleno compactado material sitio manual</v>
      </c>
      <c r="C2553" s="8" t="str">
        <f>VLOOKUP($A2553,Presupuesto!$A:$D,3,FALSE())</f>
        <v>M3</v>
      </c>
      <c r="D2553" s="9"/>
      <c r="E2553" s="10">
        <f>VLOOKUP($A2553,Presupuesto!$A:$D,4,FALSE())</f>
        <v>0</v>
      </c>
      <c r="F2553" s="11" t="s">
        <v>2589</v>
      </c>
      <c r="G2553" s="12">
        <f>SUM(G2555:G2571)/2</f>
        <v>47419.670683467877</v>
      </c>
      <c r="H2553" s="13">
        <f>ROUND(SUM(H2555:H2571),0)/2</f>
        <v>0</v>
      </c>
      <c r="I2553" s="10">
        <f>VLOOKUP(A2553,Presupuesto!$A:$F,6,0)</f>
        <v>0</v>
      </c>
      <c r="J2553" s="10">
        <f>+H2553-I2553</f>
        <v>0</v>
      </c>
    </row>
    <row r="2554" spans="1:10" ht="12.75" customHeight="1" thickTop="1">
      <c r="A2554" s="14"/>
      <c r="B2554" s="15" t="s">
        <v>2586</v>
      </c>
      <c r="C2554" s="15" t="s">
        <v>5</v>
      </c>
      <c r="D2554" s="16" t="s">
        <v>6</v>
      </c>
      <c r="E2554" s="17" t="s">
        <v>7</v>
      </c>
      <c r="F2554" s="18" t="s">
        <v>3728</v>
      </c>
      <c r="G2554" s="19" t="s">
        <v>3729</v>
      </c>
      <c r="H2554" s="20" t="s">
        <v>3797</v>
      </c>
    </row>
    <row r="2555" spans="1:10" ht="12.75" customHeight="1">
      <c r="A2555" s="21"/>
      <c r="B2555" s="22" t="s">
        <v>3730</v>
      </c>
      <c r="C2555" s="23"/>
      <c r="D2555" s="24"/>
      <c r="E2555" s="25"/>
      <c r="F2555" s="26"/>
      <c r="G2555" s="27">
        <f>SUM(G2556:G2560)</f>
        <v>0</v>
      </c>
      <c r="H2555" s="27">
        <f>IFERROR(G2555*E2553,"")</f>
        <v>0</v>
      </c>
    </row>
    <row r="2556" spans="1:10" ht="12.75" customHeight="1">
      <c r="A2556" s="28"/>
      <c r="B2556" s="29"/>
      <c r="C2556" s="30" t="str">
        <f>IFERROR(_xlfn.XLOOKUP(B2556,Insumo[DESCRIPCION],Insumo[UND],,0),"")</f>
        <v/>
      </c>
      <c r="D2556" s="31"/>
      <c r="E2556" s="32" t="str">
        <f>IFERROR(_xlfn.XLOOKUP($B2556,Insumo[DESCRIPCION],Insumo[VALOR],,0),"")</f>
        <v/>
      </c>
      <c r="F2556" s="33"/>
      <c r="G2556" s="34" t="str">
        <f>IFERROR(IF(F2556&gt;=0,D2556*E2556*(1+F2556/100),ABS(D2556*E2556/F2556)),"")</f>
        <v/>
      </c>
      <c r="H2556" s="43" t="str">
        <f>IFERROR(G2556*E2553,"")</f>
        <v/>
      </c>
    </row>
    <row r="2557" spans="1:10" ht="12.75" customHeight="1">
      <c r="A2557" s="28"/>
      <c r="B2557" s="29"/>
      <c r="C2557" s="30" t="str">
        <f>IFERROR(_xlfn.XLOOKUP(B2557,Insumo[DESCRIPCION],Insumo[UND],,0),"")</f>
        <v/>
      </c>
      <c r="D2557" s="31"/>
      <c r="E2557" s="32" t="str">
        <f>IFERROR(_xlfn.XLOOKUP($B2557,Insumo[DESCRIPCION],Insumo[VALOR],,0),"")</f>
        <v/>
      </c>
      <c r="F2557" s="33"/>
      <c r="G2557" s="34" t="str">
        <f>IFERROR(IF(F2557&gt;=0,D2557*E2557*(1+F2557/100),ABS(D2557*E2557/F2557)),"")</f>
        <v/>
      </c>
      <c r="H2557" s="43" t="str">
        <f>IFERROR(G2557*E2553,"")</f>
        <v/>
      </c>
    </row>
    <row r="2558" spans="1:10" ht="12.75" customHeight="1">
      <c r="A2558" s="28"/>
      <c r="B2558" s="29"/>
      <c r="C2558" s="30" t="str">
        <f>IFERROR(_xlfn.XLOOKUP(B2558,Insumo[DESCRIPCION],Insumo[UND],,0),"")</f>
        <v/>
      </c>
      <c r="D2558" s="31"/>
      <c r="E2558" s="32" t="str">
        <f>IFERROR(_xlfn.XLOOKUP($B2558,Insumo[DESCRIPCION],Insumo[VALOR],,0),"")</f>
        <v/>
      </c>
      <c r="F2558" s="33"/>
      <c r="G2558" s="34" t="str">
        <f>IFERROR(IF(F2558&gt;=0,D2558*E2558*(1+F2558/100),ABS(D2558*E2558/F2558)),"")</f>
        <v/>
      </c>
      <c r="H2558" s="43" t="str">
        <f>IFERROR(G2558*E2553,"")</f>
        <v/>
      </c>
    </row>
    <row r="2559" spans="1:10" ht="12.75" customHeight="1">
      <c r="A2559" s="28"/>
      <c r="B2559" s="29"/>
      <c r="C2559" s="30" t="str">
        <f>IFERROR(_xlfn.XLOOKUP(B2559,Insumo[DESCRIPCION],Insumo[UND],,0),"")</f>
        <v/>
      </c>
      <c r="D2559" s="31"/>
      <c r="E2559" s="32" t="str">
        <f>IFERROR(_xlfn.XLOOKUP($B2559,Insumo[DESCRIPCION],Insumo[VALOR],,0),"")</f>
        <v/>
      </c>
      <c r="F2559" s="33"/>
      <c r="G2559" s="34" t="str">
        <f>IFERROR(IF(F2559&gt;=0,D2559*E2559*(1+F2559/100),ABS(D2559*E2559/F2559)),"")</f>
        <v/>
      </c>
      <c r="H2559" s="43" t="str">
        <f>IFERROR(G2559*E2553,"")</f>
        <v/>
      </c>
    </row>
    <row r="2560" spans="1:10" ht="12.75" customHeight="1">
      <c r="A2560" s="28"/>
      <c r="B2560" s="29"/>
      <c r="C2560" s="30" t="str">
        <f>IFERROR(_xlfn.XLOOKUP(B2560,Insumo[DESCRIPCION],Insumo[UND],,0),"")</f>
        <v/>
      </c>
      <c r="D2560" s="31"/>
      <c r="E2560" s="32" t="str">
        <f>IFERROR(_xlfn.XLOOKUP($B2560,Insumo[DESCRIPCION],Insumo[VALOR],,0),"")</f>
        <v/>
      </c>
      <c r="F2560" s="33"/>
      <c r="G2560" s="34" t="str">
        <f>IFERROR(IF(F2560&gt;=0,D2560*E2560*(1+F2560/100),ABS(D2560*E2560/F2560)),"")</f>
        <v/>
      </c>
      <c r="H2560" s="43" t="str">
        <f>IFERROR(G2560*E2553,"")</f>
        <v/>
      </c>
    </row>
    <row r="2561" spans="1:10" ht="12.75" customHeight="1">
      <c r="A2561" s="21"/>
      <c r="B2561" s="22" t="s">
        <v>3731</v>
      </c>
      <c r="C2561" s="23"/>
      <c r="D2561" s="24"/>
      <c r="E2561" s="25"/>
      <c r="F2561" s="26"/>
      <c r="G2561" s="27">
        <f>SUM(G2562:G2564)</f>
        <v>8328.757212396431</v>
      </c>
      <c r="H2561" s="44">
        <f>G2561*E2553</f>
        <v>0</v>
      </c>
    </row>
    <row r="2562" spans="1:10" ht="12.75" customHeight="1">
      <c r="A2562" s="28"/>
      <c r="B2562" s="29" t="s">
        <v>3570</v>
      </c>
      <c r="C2562" s="30" t="str">
        <f>IFERROR(_xlfn.XLOOKUP(B2562,Equipo[DESCRIPCION],Equipo[UND],,0),"")</f>
        <v>%MO</v>
      </c>
      <c r="D2562" s="31">
        <v>0.04</v>
      </c>
      <c r="E2562" s="32">
        <f>IF(C2562="%MO",G2568,IFERROR(_xlfn.XLOOKUP($B2562,Equipo[DESCRIPCION],Equipo[VALOR],,0),""))</f>
        <v>39090.913471071442</v>
      </c>
      <c r="F2562" s="33"/>
      <c r="G2562" s="34">
        <f>IFERROR(IF(F2562&gt;=0,D2562*E2562*(1+F2562/100),ABS(D2562*E2562/F2562)),"")</f>
        <v>1563.6365388428578</v>
      </c>
      <c r="H2562" s="43">
        <f>IFERROR(G2562*E2553,"")</f>
        <v>0</v>
      </c>
    </row>
    <row r="2563" spans="1:10" ht="12.75" customHeight="1">
      <c r="A2563" s="28"/>
      <c r="B2563" s="29" t="s">
        <v>3626</v>
      </c>
      <c r="C2563" s="30" t="str">
        <f>IFERROR(_xlfn.XLOOKUP(B2563,Equipo[DESCRIPCION],Equipo[UND],,0),"")</f>
        <v>%MO</v>
      </c>
      <c r="D2563" s="31">
        <v>0.05</v>
      </c>
      <c r="E2563" s="32">
        <f>IF(C2563="%MO",G2568,IFERROR(_xlfn.XLOOKUP($B2563,Equipo[DESCRIPCION],Equipo[VALOR],,0),""))</f>
        <v>39090.913471071442</v>
      </c>
      <c r="F2563" s="33"/>
      <c r="G2563" s="34">
        <f>IFERROR(IF(F2563&gt;=0,D2563*E2563*(1+F2563/100),ABS(D2563*E2563/F2563)),"")</f>
        <v>1954.5456735535722</v>
      </c>
      <c r="H2563" s="43">
        <f>IFERROR(G2563*E2553,"")</f>
        <v>0</v>
      </c>
    </row>
    <row r="2564" spans="1:10" ht="12.75" customHeight="1">
      <c r="A2564" s="28"/>
      <c r="B2564" s="29" t="s">
        <v>3594</v>
      </c>
      <c r="C2564" s="30" t="str">
        <f>IFERROR(_xlfn.XLOOKUP(B2564,Equipo[DESCRIPCION],Equipo[UND],,0),"")</f>
        <v>Día</v>
      </c>
      <c r="D2564" s="31">
        <v>1</v>
      </c>
      <c r="E2564" s="32">
        <f>IF(C2564="%MO",G2568,IFERROR(_xlfn.XLOOKUP($B2564,Equipo[DESCRIPCION],Equipo[VALOR],,0),""))</f>
        <v>96211.5</v>
      </c>
      <c r="F2564" s="33">
        <f>-1/0.05</f>
        <v>-20</v>
      </c>
      <c r="G2564" s="34">
        <f>IFERROR(IF(F2564&gt;=0,D2564*E2564*(1+F2564/100),ABS(D2564*E2564/F2564)),"")</f>
        <v>4810.5749999999998</v>
      </c>
      <c r="H2564" s="43">
        <f>IFERROR(G2564*E2553,"")</f>
        <v>0</v>
      </c>
    </row>
    <row r="2565" spans="1:10" ht="12.75" customHeight="1">
      <c r="A2565" s="21"/>
      <c r="B2565" s="22" t="s">
        <v>2533</v>
      </c>
      <c r="C2565" s="23"/>
      <c r="D2565" s="24"/>
      <c r="E2565" s="25"/>
      <c r="F2565" s="26"/>
      <c r="G2565" s="27">
        <f>SUM(G2566:G2567)</f>
        <v>0</v>
      </c>
      <c r="H2565" s="44">
        <f>G2565*E2553</f>
        <v>0</v>
      </c>
    </row>
    <row r="2566" spans="1:10" ht="12.75" customHeight="1">
      <c r="A2566" s="28"/>
      <c r="B2566" s="29"/>
      <c r="C2566" s="30" t="str">
        <f>IFERROR(_xlfn.XLOOKUP(B2566,Transporte[DESCRIPCION],Transporte[UND],,0),"")</f>
        <v/>
      </c>
      <c r="D2566" s="31"/>
      <c r="E2566" s="32" t="str">
        <f>IFERROR(_xlfn.XLOOKUP($B2566,Transporte[DESCRIPCION],Transporte[VALOR],,0),"")</f>
        <v/>
      </c>
      <c r="F2566" s="33"/>
      <c r="G2566" s="34" t="str">
        <f>IFERROR(IF(F2566&gt;=0,D2566*E2566*(1+F2566/100),ABS(D2566*E2566/F2566)),"")</f>
        <v/>
      </c>
      <c r="H2566" s="43" t="str">
        <f>IFERROR(G2566*E2553,"")</f>
        <v/>
      </c>
    </row>
    <row r="2567" spans="1:10" ht="12.75" customHeight="1">
      <c r="A2567" s="28"/>
      <c r="B2567" s="29"/>
      <c r="C2567" s="30" t="str">
        <f>IFERROR(_xlfn.XLOOKUP(B2567,Transporte[DESCRIPCION],Transporte[UND],,0),"")</f>
        <v/>
      </c>
      <c r="D2567" s="31"/>
      <c r="E2567" s="32" t="str">
        <f>IFERROR(_xlfn.XLOOKUP($B2567,Transporte[DESCRIPCION],Transporte[VALOR],,0),"")</f>
        <v/>
      </c>
      <c r="F2567" s="33"/>
      <c r="G2567" s="34" t="str">
        <f>IFERROR(IF(F2567&gt;=0,D2567*E2567*(1+F2567/100),ABS(D2567*E2567/F2567)),"")</f>
        <v/>
      </c>
      <c r="H2567" s="43" t="str">
        <f>IFERROR(G2567*E2553,"")</f>
        <v/>
      </c>
    </row>
    <row r="2568" spans="1:10" ht="12.75" customHeight="1">
      <c r="A2568" s="21"/>
      <c r="B2568" s="22" t="s">
        <v>3732</v>
      </c>
      <c r="C2568" s="23"/>
      <c r="D2568" s="24"/>
      <c r="E2568" s="25"/>
      <c r="F2568" s="26"/>
      <c r="G2568" s="27">
        <f>SUM(G2569:G2571)</f>
        <v>39090.913471071442</v>
      </c>
      <c r="H2568" s="44">
        <f>G2568*E2553</f>
        <v>0</v>
      </c>
    </row>
    <row r="2569" spans="1:10" ht="12.75" customHeight="1">
      <c r="A2569" s="28"/>
      <c r="B2569" s="29" t="s">
        <v>3712</v>
      </c>
      <c r="C2569" s="30" t="str">
        <f>IFERROR(_xlfn.XLOOKUP(B2569,MObra[DESCRIPCION],MObra[UN],,0),"")</f>
        <v>día</v>
      </c>
      <c r="D2569" s="31">
        <v>1</v>
      </c>
      <c r="E2569" s="32">
        <f>IFERROR(_xlfn.XLOOKUP($B2569,MObra[DESCRIPCION],MObra[VALOR UNIT],,0),"")</f>
        <v>547272.78859500017</v>
      </c>
      <c r="F2569" s="33">
        <v>-14</v>
      </c>
      <c r="G2569" s="34">
        <f>IFERROR(IF(F2569&gt;=0,D2569*E2569*(1+F2569/100),ABS(D2569*E2569/F2569)),"")</f>
        <v>39090.913471071442</v>
      </c>
      <c r="H2569" s="43">
        <f>IFERROR(G2569*E2553,"")</f>
        <v>0</v>
      </c>
    </row>
    <row r="2570" spans="1:10" ht="12.75" customHeight="1">
      <c r="A2570" s="28"/>
      <c r="B2570" s="29"/>
      <c r="C2570" s="30" t="str">
        <f t="array" ref="C2570">IFERROR(_xlfn.XLOOKUP(B2570,MObra[[#All],[DESCRIPCION]],MObra[[#All],[UN]],,0),"")</f>
        <v/>
      </c>
      <c r="D2570" s="31"/>
      <c r="E2570" s="32" t="str">
        <f>IFERROR(_xlfn.XLOOKUP($B2570,MObra[DESCRIPCION],MObra[VALOR UNIT],,0),"")</f>
        <v/>
      </c>
      <c r="F2570" s="33"/>
      <c r="G2570" s="34" t="str">
        <f>IFERROR(IF(F2570&gt;=0,D2570*E2570*(1+F2570/100),ABS(D2570*E2570/F2570)),"")</f>
        <v/>
      </c>
      <c r="H2570" s="43" t="str">
        <f>IFERROR(G2570*E2553,"")</f>
        <v/>
      </c>
    </row>
    <row r="2571" spans="1:10" ht="12.75" customHeight="1" thickBot="1">
      <c r="A2571" s="35"/>
      <c r="B2571" s="36"/>
      <c r="C2571" s="37" t="str">
        <f t="array" ref="C2571">IFERROR(_xlfn.XLOOKUP(B2571,MObra[[#All],[DESCRIPCION]],MObra[[#All],[UN]],,0),"")</f>
        <v/>
      </c>
      <c r="D2571" s="38"/>
      <c r="E2571" s="39" t="str">
        <f>IFERROR(_xlfn.XLOOKUP($B2571,MObra[DESCRIPCION],MObra[VALOR UNIT],,0),"")</f>
        <v/>
      </c>
      <c r="F2571" s="40"/>
      <c r="G2571" s="41" t="str">
        <f>IFERROR(IF(F2571&gt;=0,D2571*E2571*(1+F2571/100),ABS(D2571*E2571/F2571)),"")</f>
        <v/>
      </c>
      <c r="H2571" s="42" t="str">
        <f>IFERROR(G2571*E2553,"")</f>
        <v/>
      </c>
    </row>
    <row r="2572" spans="1:10" ht="12.75" customHeight="1" thickTop="1" thickBot="1">
      <c r="E2572" s="49"/>
      <c r="G2572" s="3"/>
    </row>
    <row r="2573" spans="1:10" ht="12.75" customHeight="1" thickTop="1" thickBot="1">
      <c r="A2573" s="6" t="s">
        <v>278</v>
      </c>
      <c r="B2573" s="7" t="str">
        <f>VLOOKUP($A2573,Presupuesto!$A:$D,2,FALSE())</f>
        <v>Lleno compactado material granular</v>
      </c>
      <c r="C2573" s="8" t="str">
        <f>VLOOKUP($A2573,Presupuesto!$A:$D,3,FALSE())</f>
        <v>M3</v>
      </c>
      <c r="D2573" s="9"/>
      <c r="E2573" s="10">
        <f>VLOOKUP($A2573,Presupuesto!$A:$D,4,FALSE())</f>
        <v>0</v>
      </c>
      <c r="F2573" s="11" t="s">
        <v>2589</v>
      </c>
      <c r="G2573" s="12">
        <f>SUM(G2575:G2591)/2</f>
        <v>122538.3506834679</v>
      </c>
      <c r="H2573" s="13">
        <f>ROUND(SUM(H2575:H2591),0)/2</f>
        <v>0</v>
      </c>
      <c r="I2573" s="10">
        <f>VLOOKUP(A2573,Presupuesto!$A:$F,6,0)</f>
        <v>0</v>
      </c>
      <c r="J2573" s="10">
        <f>+H2573-I2573</f>
        <v>0</v>
      </c>
    </row>
    <row r="2574" spans="1:10" ht="12.75" customHeight="1" thickTop="1">
      <c r="A2574" s="14"/>
      <c r="B2574" s="15" t="s">
        <v>2586</v>
      </c>
      <c r="C2574" s="15" t="s">
        <v>5</v>
      </c>
      <c r="D2574" s="16" t="s">
        <v>6</v>
      </c>
      <c r="E2574" s="17" t="s">
        <v>7</v>
      </c>
      <c r="F2574" s="18" t="s">
        <v>3728</v>
      </c>
      <c r="G2574" s="19" t="s">
        <v>3729</v>
      </c>
      <c r="H2574" s="20" t="s">
        <v>3797</v>
      </c>
    </row>
    <row r="2575" spans="1:10" ht="12.75" customHeight="1">
      <c r="A2575" s="21"/>
      <c r="B2575" s="22" t="s">
        <v>3730</v>
      </c>
      <c r="C2575" s="23"/>
      <c r="D2575" s="24"/>
      <c r="E2575" s="25"/>
      <c r="F2575" s="26"/>
      <c r="G2575" s="27">
        <f>SUM(G2576:G2580)</f>
        <v>75118.680000000008</v>
      </c>
      <c r="H2575" s="27">
        <f>IFERROR(G2575*E2573,"")</f>
        <v>0</v>
      </c>
    </row>
    <row r="2576" spans="1:10" ht="12.75" customHeight="1">
      <c r="A2576" s="28"/>
      <c r="B2576" s="29" t="s">
        <v>2683</v>
      </c>
      <c r="C2576" s="30" t="str">
        <f>IFERROR(_xlfn.XLOOKUP(B2576,Insumo[DESCRIPCION],Insumo[UND],,0),"")</f>
        <v>M3</v>
      </c>
      <c r="D2576" s="31">
        <v>1</v>
      </c>
      <c r="E2576" s="32">
        <f>IFERROR(_xlfn.XLOOKUP($B2576,Insumo[DESCRIPCION],Insumo[VALOR],,0),"")</f>
        <v>53583.600000000006</v>
      </c>
      <c r="F2576" s="33">
        <v>30</v>
      </c>
      <c r="G2576" s="34">
        <f>IFERROR(IF(F2576&gt;=0,D2576*E2576*(1+F2576/100),ABS(D2576*E2576/F2576)),"")</f>
        <v>69658.680000000008</v>
      </c>
      <c r="H2576" s="43">
        <f>IFERROR(G2576*E2573,"")</f>
        <v>0</v>
      </c>
    </row>
    <row r="2577" spans="1:8" ht="12.75" customHeight="1">
      <c r="A2577" s="28"/>
      <c r="B2577" s="29" t="s">
        <v>2685</v>
      </c>
      <c r="C2577" s="30" t="str">
        <f>IFERROR(_xlfn.XLOOKUP(B2577,Insumo[DESCRIPCION],Insumo[UND],,0),"")</f>
        <v>Lt</v>
      </c>
      <c r="D2577" s="31">
        <v>200</v>
      </c>
      <c r="E2577" s="32">
        <f>IFERROR(_xlfn.XLOOKUP($B2577,Insumo[DESCRIPCION],Insumo[VALOR],,0),"")</f>
        <v>27.3</v>
      </c>
      <c r="F2577" s="33"/>
      <c r="G2577" s="34">
        <f>IFERROR(IF(F2577&gt;=0,D2577*E2577*(1+F2577/100),ABS(D2577*E2577/F2577)),"")</f>
        <v>5460</v>
      </c>
      <c r="H2577" s="43">
        <f>IFERROR(G2577*E2573,"")</f>
        <v>0</v>
      </c>
    </row>
    <row r="2578" spans="1:8" ht="12.75" customHeight="1">
      <c r="A2578" s="28"/>
      <c r="B2578" s="29"/>
      <c r="C2578" s="30" t="str">
        <f>IFERROR(_xlfn.XLOOKUP(B2578,Insumo[DESCRIPCION],Insumo[UND],,0),"")</f>
        <v/>
      </c>
      <c r="D2578" s="31"/>
      <c r="E2578" s="32" t="str">
        <f>IFERROR(_xlfn.XLOOKUP($B2578,Insumo[DESCRIPCION],Insumo[VALOR],,0),"")</f>
        <v/>
      </c>
      <c r="F2578" s="33"/>
      <c r="G2578" s="34" t="str">
        <f>IFERROR(IF(F2578&gt;=0,D2578*E2578*(1+F2578/100),ABS(D2578*E2578/F2578)),"")</f>
        <v/>
      </c>
      <c r="H2578" s="43" t="str">
        <f>IFERROR(G2578*E2573,"")</f>
        <v/>
      </c>
    </row>
    <row r="2579" spans="1:8" ht="12.75" customHeight="1">
      <c r="A2579" s="28"/>
      <c r="B2579" s="29"/>
      <c r="C2579" s="30" t="str">
        <f>IFERROR(_xlfn.XLOOKUP(B2579,Insumo[DESCRIPCION],Insumo[UND],,0),"")</f>
        <v/>
      </c>
      <c r="D2579" s="31"/>
      <c r="E2579" s="32" t="str">
        <f>IFERROR(_xlfn.XLOOKUP($B2579,Insumo[DESCRIPCION],Insumo[VALOR],,0),"")</f>
        <v/>
      </c>
      <c r="F2579" s="33"/>
      <c r="G2579" s="34" t="str">
        <f>IFERROR(IF(F2579&gt;=0,D2579*E2579*(1+F2579/100),ABS(D2579*E2579/F2579)),"")</f>
        <v/>
      </c>
      <c r="H2579" s="43" t="str">
        <f>IFERROR(G2579*E2573,"")</f>
        <v/>
      </c>
    </row>
    <row r="2580" spans="1:8" ht="12.75" customHeight="1">
      <c r="A2580" s="28"/>
      <c r="B2580" s="29"/>
      <c r="C2580" s="30" t="str">
        <f>IFERROR(_xlfn.XLOOKUP(B2580,Insumo[DESCRIPCION],Insumo[UND],,0),"")</f>
        <v/>
      </c>
      <c r="D2580" s="31"/>
      <c r="E2580" s="32" t="str">
        <f>IFERROR(_xlfn.XLOOKUP($B2580,Insumo[DESCRIPCION],Insumo[VALOR],,0),"")</f>
        <v/>
      </c>
      <c r="F2580" s="33"/>
      <c r="G2580" s="34" t="str">
        <f>IFERROR(IF(F2580&gt;=0,D2580*E2580*(1+F2580/100),ABS(D2580*E2580/F2580)),"")</f>
        <v/>
      </c>
      <c r="H2580" s="43" t="str">
        <f>IFERROR(G2580*E2573,"")</f>
        <v/>
      </c>
    </row>
    <row r="2581" spans="1:8" ht="12.75" customHeight="1">
      <c r="A2581" s="21"/>
      <c r="B2581" s="22" t="s">
        <v>3731</v>
      </c>
      <c r="C2581" s="23"/>
      <c r="D2581" s="24"/>
      <c r="E2581" s="25"/>
      <c r="F2581" s="26"/>
      <c r="G2581" s="27">
        <f>SUM(G2582:G2584)</f>
        <v>8328.757212396431</v>
      </c>
      <c r="H2581" s="44">
        <f>G2581*E2573</f>
        <v>0</v>
      </c>
    </row>
    <row r="2582" spans="1:8" ht="12.75" customHeight="1">
      <c r="A2582" s="28"/>
      <c r="B2582" s="29" t="s">
        <v>3570</v>
      </c>
      <c r="C2582" s="30" t="str">
        <f>IFERROR(_xlfn.XLOOKUP(B2582,Equipo[DESCRIPCION],Equipo[UND],,0),"")</f>
        <v>%MO</v>
      </c>
      <c r="D2582" s="31">
        <v>0.04</v>
      </c>
      <c r="E2582" s="32">
        <f>IF(C2582="%MO",G2588,IFERROR(_xlfn.XLOOKUP($B2582,Equipo[DESCRIPCION],Equipo[VALOR],,0),""))</f>
        <v>39090.913471071442</v>
      </c>
      <c r="F2582" s="33"/>
      <c r="G2582" s="34">
        <f>IFERROR(IF(F2582&gt;=0,D2582*E2582*(1+F2582/100),ABS(D2582*E2582/F2582)),"")</f>
        <v>1563.6365388428578</v>
      </c>
      <c r="H2582" s="43">
        <f>IFERROR(G2582*E2573,"")</f>
        <v>0</v>
      </c>
    </row>
    <row r="2583" spans="1:8" ht="12.75" customHeight="1">
      <c r="A2583" s="28"/>
      <c r="B2583" s="29" t="s">
        <v>3626</v>
      </c>
      <c r="C2583" s="30" t="str">
        <f>IFERROR(_xlfn.XLOOKUP(B2583,Equipo[DESCRIPCION],Equipo[UND],,0),"")</f>
        <v>%MO</v>
      </c>
      <c r="D2583" s="31">
        <v>0.05</v>
      </c>
      <c r="E2583" s="32">
        <f>IF(C2583="%MO",G2588,IFERROR(_xlfn.XLOOKUP($B2583,Equipo[DESCRIPCION],Equipo[VALOR],,0),""))</f>
        <v>39090.913471071442</v>
      </c>
      <c r="F2583" s="33"/>
      <c r="G2583" s="34">
        <f>IFERROR(IF(F2583&gt;=0,D2583*E2583*(1+F2583/100),ABS(D2583*E2583/F2583)),"")</f>
        <v>1954.5456735535722</v>
      </c>
      <c r="H2583" s="43">
        <f>IFERROR(G2583*E2573,"")</f>
        <v>0</v>
      </c>
    </row>
    <row r="2584" spans="1:8" ht="12.75" customHeight="1">
      <c r="A2584" s="28"/>
      <c r="B2584" s="29" t="s">
        <v>3594</v>
      </c>
      <c r="C2584" s="30" t="str">
        <f>IFERROR(_xlfn.XLOOKUP(B2584,Equipo[DESCRIPCION],Equipo[UND],,0),"")</f>
        <v>Día</v>
      </c>
      <c r="D2584" s="31">
        <v>1</v>
      </c>
      <c r="E2584" s="32">
        <f>IF(C2584="%MO",G2588,IFERROR(_xlfn.XLOOKUP($B2584,Equipo[DESCRIPCION],Equipo[VALOR],,0),""))</f>
        <v>96211.5</v>
      </c>
      <c r="F2584" s="33">
        <f>-1/0.05</f>
        <v>-20</v>
      </c>
      <c r="G2584" s="34">
        <f>IFERROR(IF(F2584&gt;=0,D2584*E2584*(1+F2584/100),ABS(D2584*E2584/F2584)),"")</f>
        <v>4810.5749999999998</v>
      </c>
      <c r="H2584" s="43">
        <f>IFERROR(G2584*E2573,"")</f>
        <v>0</v>
      </c>
    </row>
    <row r="2585" spans="1:8" ht="12.75" customHeight="1">
      <c r="A2585" s="21"/>
      <c r="B2585" s="22" t="s">
        <v>2533</v>
      </c>
      <c r="C2585" s="23"/>
      <c r="D2585" s="24"/>
      <c r="E2585" s="25"/>
      <c r="F2585" s="26"/>
      <c r="G2585" s="27">
        <f>SUM(G2586:G2587)</f>
        <v>0</v>
      </c>
      <c r="H2585" s="44">
        <f>G2585*E2573</f>
        <v>0</v>
      </c>
    </row>
    <row r="2586" spans="1:8" ht="12.75" customHeight="1">
      <c r="A2586" s="28"/>
      <c r="B2586" s="29"/>
      <c r="C2586" s="30" t="str">
        <f>IFERROR(_xlfn.XLOOKUP(B2586,Transporte[DESCRIPCION],Transporte[UND],,0),"")</f>
        <v/>
      </c>
      <c r="D2586" s="31"/>
      <c r="E2586" s="32" t="str">
        <f>IFERROR(_xlfn.XLOOKUP($B2586,Transporte[DESCRIPCION],Transporte[VALOR],,0),"")</f>
        <v/>
      </c>
      <c r="F2586" s="33"/>
      <c r="G2586" s="34" t="str">
        <f>IFERROR(IF(F2586&gt;=0,D2586*E2586*(1+F2586/100),ABS(D2586*E2586/F2586)),"")</f>
        <v/>
      </c>
      <c r="H2586" s="43" t="str">
        <f>IFERROR(G2586*E2573,"")</f>
        <v/>
      </c>
    </row>
    <row r="2587" spans="1:8" ht="12.75" customHeight="1">
      <c r="A2587" s="28"/>
      <c r="B2587" s="29"/>
      <c r="C2587" s="30" t="str">
        <f>IFERROR(_xlfn.XLOOKUP(B2587,Transporte[DESCRIPCION],Transporte[UND],,0),"")</f>
        <v/>
      </c>
      <c r="D2587" s="31"/>
      <c r="E2587" s="32" t="str">
        <f>IFERROR(_xlfn.XLOOKUP($B2587,Transporte[DESCRIPCION],Transporte[VALOR],,0),"")</f>
        <v/>
      </c>
      <c r="F2587" s="33"/>
      <c r="G2587" s="34" t="str">
        <f>IFERROR(IF(F2587&gt;=0,D2587*E2587*(1+F2587/100),ABS(D2587*E2587/F2587)),"")</f>
        <v/>
      </c>
      <c r="H2587" s="43" t="str">
        <f>IFERROR(G2587*E2573,"")</f>
        <v/>
      </c>
    </row>
    <row r="2588" spans="1:8" ht="12.75" customHeight="1">
      <c r="A2588" s="21"/>
      <c r="B2588" s="22" t="s">
        <v>3732</v>
      </c>
      <c r="C2588" s="23"/>
      <c r="D2588" s="24"/>
      <c r="E2588" s="25"/>
      <c r="F2588" s="26"/>
      <c r="G2588" s="27">
        <f>SUM(G2589:G2591)</f>
        <v>39090.913471071442</v>
      </c>
      <c r="H2588" s="44">
        <f>G2588*E2573</f>
        <v>0</v>
      </c>
    </row>
    <row r="2589" spans="1:8" ht="12.75" customHeight="1">
      <c r="A2589" s="28"/>
      <c r="B2589" s="29" t="s">
        <v>3712</v>
      </c>
      <c r="C2589" s="30" t="str">
        <f>IFERROR(_xlfn.XLOOKUP(B2589,MObra[DESCRIPCION],MObra[UN],,0),"")</f>
        <v>día</v>
      </c>
      <c r="D2589" s="31">
        <v>1</v>
      </c>
      <c r="E2589" s="32">
        <f>IFERROR(_xlfn.XLOOKUP($B2589,MObra[DESCRIPCION],MObra[VALOR UNIT],,0),"")</f>
        <v>547272.78859500017</v>
      </c>
      <c r="F2589" s="33">
        <v>-14</v>
      </c>
      <c r="G2589" s="34">
        <f>IFERROR(IF(F2589&gt;=0,D2589*E2589*(1+F2589/100),ABS(D2589*E2589/F2589)),"")</f>
        <v>39090.913471071442</v>
      </c>
      <c r="H2589" s="43">
        <f>IFERROR(G2589*E2573,"")</f>
        <v>0</v>
      </c>
    </row>
    <row r="2590" spans="1:8" ht="12.75" customHeight="1">
      <c r="A2590" s="28"/>
      <c r="B2590" s="29"/>
      <c r="C2590" s="30" t="str">
        <f t="array" ref="C2590">IFERROR(_xlfn.XLOOKUP(B2590,MObra[[#All],[DESCRIPCION]],MObra[[#All],[UN]],,0),"")</f>
        <v/>
      </c>
      <c r="D2590" s="31"/>
      <c r="E2590" s="32" t="str">
        <f>IFERROR(_xlfn.XLOOKUP($B2590,MObra[DESCRIPCION],MObra[VALOR UNIT],,0),"")</f>
        <v/>
      </c>
      <c r="F2590" s="33"/>
      <c r="G2590" s="34" t="str">
        <f>IFERROR(IF(F2590&gt;=0,D2590*E2590*(1+F2590/100),ABS(D2590*E2590/F2590)),"")</f>
        <v/>
      </c>
      <c r="H2590" s="43" t="str">
        <f>IFERROR(G2590*E2573,"")</f>
        <v/>
      </c>
    </row>
    <row r="2591" spans="1:8" ht="12.75" customHeight="1" thickBot="1">
      <c r="A2591" s="35"/>
      <c r="B2591" s="36"/>
      <c r="C2591" s="37" t="str">
        <f t="array" ref="C2591">IFERROR(_xlfn.XLOOKUP(B2591,MObra[[#All],[DESCRIPCION]],MObra[[#All],[UN]],,0),"")</f>
        <v/>
      </c>
      <c r="D2591" s="38"/>
      <c r="E2591" s="39" t="str">
        <f>IFERROR(_xlfn.XLOOKUP($B2591,MObra[DESCRIPCION],MObra[VALOR UNIT],,0),"")</f>
        <v/>
      </c>
      <c r="F2591" s="40"/>
      <c r="G2591" s="41" t="str">
        <f>IFERROR(IF(F2591&gt;=0,D2591*E2591*(1+F2591/100),ABS(D2591*E2591/F2591)),"")</f>
        <v/>
      </c>
      <c r="H2591" s="42" t="str">
        <f>IFERROR(G2591*E2573,"")</f>
        <v/>
      </c>
    </row>
    <row r="2592" spans="1:8" ht="12.75" customHeight="1" thickTop="1" thickBot="1">
      <c r="E2592" s="49"/>
      <c r="G2592" s="3"/>
    </row>
    <row r="2593" spans="1:10" ht="12.75" customHeight="1" thickTop="1" thickBot="1">
      <c r="A2593" s="6" t="s">
        <v>280</v>
      </c>
      <c r="B2593" s="7" t="str">
        <f>VLOOKUP($A2593,Presupuesto!$A:$D,2,FALSE())</f>
        <v>Lleno con arena</v>
      </c>
      <c r="C2593" s="8" t="str">
        <f>VLOOKUP($A2593,Presupuesto!$A:$D,3,FALSE())</f>
        <v>M3</v>
      </c>
      <c r="D2593" s="9"/>
      <c r="E2593" s="10">
        <f>VLOOKUP($A2593,Presupuesto!$A:$D,4,FALSE())</f>
        <v>0</v>
      </c>
      <c r="F2593" s="11" t="s">
        <v>2589</v>
      </c>
      <c r="G2593" s="12">
        <f>SUM(G2595:G2611)/2</f>
        <v>127941.49318346789</v>
      </c>
      <c r="H2593" s="13">
        <f>ROUND(SUM(H2595:H2611),0)/2</f>
        <v>0</v>
      </c>
      <c r="I2593" s="10">
        <f>VLOOKUP(A2593,Presupuesto!$A:$F,6,0)</f>
        <v>0</v>
      </c>
      <c r="J2593" s="10">
        <f>+H2593-I2593</f>
        <v>0</v>
      </c>
    </row>
    <row r="2594" spans="1:10" ht="12.75" customHeight="1" thickTop="1">
      <c r="A2594" s="14"/>
      <c r="B2594" s="15" t="s">
        <v>2586</v>
      </c>
      <c r="C2594" s="15" t="s">
        <v>5</v>
      </c>
      <c r="D2594" s="16" t="s">
        <v>6</v>
      </c>
      <c r="E2594" s="17" t="s">
        <v>7</v>
      </c>
      <c r="F2594" s="18" t="s">
        <v>3728</v>
      </c>
      <c r="G2594" s="19" t="s">
        <v>3729</v>
      </c>
      <c r="H2594" s="20" t="s">
        <v>3797</v>
      </c>
    </row>
    <row r="2595" spans="1:10" ht="12.75" customHeight="1">
      <c r="A2595" s="21"/>
      <c r="B2595" s="22" t="s">
        <v>3730</v>
      </c>
      <c r="C2595" s="23"/>
      <c r="D2595" s="24"/>
      <c r="E2595" s="25"/>
      <c r="F2595" s="26"/>
      <c r="G2595" s="27">
        <f>SUM(G2596:G2600)</f>
        <v>85332.397500000006</v>
      </c>
      <c r="H2595" s="27">
        <f>IFERROR(G2595*E2593,"")</f>
        <v>0</v>
      </c>
    </row>
    <row r="2596" spans="1:10" ht="12.75" customHeight="1">
      <c r="A2596" s="28"/>
      <c r="B2596" s="29" t="s">
        <v>2716</v>
      </c>
      <c r="C2596" s="30" t="str">
        <f>IFERROR(_xlfn.XLOOKUP(B2596,Insumo[DESCRIPCION],Insumo[UND],,0),"")</f>
        <v>M3</v>
      </c>
      <c r="D2596" s="31">
        <v>1</v>
      </c>
      <c r="E2596" s="32">
        <f>IFERROR(_xlfn.XLOOKUP($B2596,Insumo[DESCRIPCION],Insumo[VALOR],,0),"")</f>
        <v>81268.95</v>
      </c>
      <c r="F2596" s="33">
        <v>5</v>
      </c>
      <c r="G2596" s="34">
        <f>IFERROR(IF(F2596&gt;=0,D2596*E2596*(1+F2596/100),ABS(D2596*E2596/F2596)),"")</f>
        <v>85332.397500000006</v>
      </c>
      <c r="H2596" s="43">
        <f>IFERROR(G2596*E2593,"")</f>
        <v>0</v>
      </c>
    </row>
    <row r="2597" spans="1:10" ht="12.75" customHeight="1">
      <c r="A2597" s="28"/>
      <c r="B2597" s="29"/>
      <c r="C2597" s="30" t="str">
        <f>IFERROR(_xlfn.XLOOKUP(B2597,Insumo[DESCRIPCION],Insumo[UND],,0),"")</f>
        <v/>
      </c>
      <c r="D2597" s="31"/>
      <c r="E2597" s="32" t="str">
        <f>IFERROR(_xlfn.XLOOKUP($B2597,Insumo[DESCRIPCION],Insumo[VALOR],,0),"")</f>
        <v/>
      </c>
      <c r="F2597" s="33"/>
      <c r="G2597" s="34" t="str">
        <f>IFERROR(IF(F2597&gt;=0,D2597*E2597*(1+F2597/100),ABS(D2597*E2597/F2597)),"")</f>
        <v/>
      </c>
      <c r="H2597" s="43" t="str">
        <f>IFERROR(G2597*E2593,"")</f>
        <v/>
      </c>
    </row>
    <row r="2598" spans="1:10" ht="12.75" customHeight="1">
      <c r="A2598" s="28"/>
      <c r="B2598" s="29"/>
      <c r="C2598" s="30" t="str">
        <f>IFERROR(_xlfn.XLOOKUP(B2598,Insumo[DESCRIPCION],Insumo[UND],,0),"")</f>
        <v/>
      </c>
      <c r="D2598" s="31"/>
      <c r="E2598" s="32" t="str">
        <f>IFERROR(_xlfn.XLOOKUP($B2598,Insumo[DESCRIPCION],Insumo[VALOR],,0),"")</f>
        <v/>
      </c>
      <c r="F2598" s="33"/>
      <c r="G2598" s="34" t="str">
        <f>IFERROR(IF(F2598&gt;=0,D2598*E2598*(1+F2598/100),ABS(D2598*E2598/F2598)),"")</f>
        <v/>
      </c>
      <c r="H2598" s="43" t="str">
        <f>IFERROR(G2598*E2593,"")</f>
        <v/>
      </c>
    </row>
    <row r="2599" spans="1:10" ht="12.75" customHeight="1">
      <c r="A2599" s="28"/>
      <c r="B2599" s="29"/>
      <c r="C2599" s="30" t="str">
        <f>IFERROR(_xlfn.XLOOKUP(B2599,Insumo[DESCRIPCION],Insumo[UND],,0),"")</f>
        <v/>
      </c>
      <c r="D2599" s="31"/>
      <c r="E2599" s="32" t="str">
        <f>IFERROR(_xlfn.XLOOKUP($B2599,Insumo[DESCRIPCION],Insumo[VALOR],,0),"")</f>
        <v/>
      </c>
      <c r="F2599" s="33"/>
      <c r="G2599" s="34" t="str">
        <f>IFERROR(IF(F2599&gt;=0,D2599*E2599*(1+F2599/100),ABS(D2599*E2599/F2599)),"")</f>
        <v/>
      </c>
      <c r="H2599" s="43" t="str">
        <f>IFERROR(G2599*E2593,"")</f>
        <v/>
      </c>
    </row>
    <row r="2600" spans="1:10" ht="12.75" customHeight="1">
      <c r="A2600" s="28"/>
      <c r="B2600" s="29"/>
      <c r="C2600" s="30" t="str">
        <f>IFERROR(_xlfn.XLOOKUP(B2600,Insumo[DESCRIPCION],Insumo[UND],,0),"")</f>
        <v/>
      </c>
      <c r="D2600" s="31"/>
      <c r="E2600" s="32" t="str">
        <f>IFERROR(_xlfn.XLOOKUP($B2600,Insumo[DESCRIPCION],Insumo[VALOR],,0),"")</f>
        <v/>
      </c>
      <c r="F2600" s="33"/>
      <c r="G2600" s="34" t="str">
        <f>IFERROR(IF(F2600&gt;=0,D2600*E2600*(1+F2600/100),ABS(D2600*E2600/F2600)),"")</f>
        <v/>
      </c>
      <c r="H2600" s="43" t="str">
        <f>IFERROR(G2600*E2593,"")</f>
        <v/>
      </c>
    </row>
    <row r="2601" spans="1:10" ht="12.75" customHeight="1">
      <c r="A2601" s="21"/>
      <c r="B2601" s="22" t="s">
        <v>3731</v>
      </c>
      <c r="C2601" s="23"/>
      <c r="D2601" s="24"/>
      <c r="E2601" s="25"/>
      <c r="F2601" s="26"/>
      <c r="G2601" s="27">
        <f>SUM(G2602:G2604)</f>
        <v>3518.1822123964303</v>
      </c>
      <c r="H2601" s="44">
        <f>G2601*E2593</f>
        <v>0</v>
      </c>
    </row>
    <row r="2602" spans="1:10" ht="12.75" customHeight="1">
      <c r="A2602" s="28"/>
      <c r="B2602" s="29" t="s">
        <v>3570</v>
      </c>
      <c r="C2602" s="30" t="str">
        <f>IFERROR(_xlfn.XLOOKUP(B2602,Equipo[DESCRIPCION],Equipo[UND],,0),"")</f>
        <v>%MO</v>
      </c>
      <c r="D2602" s="31">
        <v>0.04</v>
      </c>
      <c r="E2602" s="32">
        <f>IF(C2602="%MO",G2608,IFERROR(_xlfn.XLOOKUP($B2602,Equipo[DESCRIPCION],Equipo[VALOR],,0),""))</f>
        <v>39090.913471071442</v>
      </c>
      <c r="F2602" s="33"/>
      <c r="G2602" s="34">
        <f>IFERROR(IF(F2602&gt;=0,D2602*E2602*(1+F2602/100),ABS(D2602*E2602/F2602)),"")</f>
        <v>1563.6365388428578</v>
      </c>
      <c r="H2602" s="43">
        <f>IFERROR(G2602*E2593,"")</f>
        <v>0</v>
      </c>
    </row>
    <row r="2603" spans="1:10" ht="12.75" customHeight="1">
      <c r="A2603" s="28"/>
      <c r="B2603" s="29" t="s">
        <v>3626</v>
      </c>
      <c r="C2603" s="30" t="str">
        <f>IFERROR(_xlfn.XLOOKUP(B2603,Equipo[DESCRIPCION],Equipo[UND],,0),"")</f>
        <v>%MO</v>
      </c>
      <c r="D2603" s="31">
        <v>0.05</v>
      </c>
      <c r="E2603" s="32">
        <f>IF(C2603="%MO",G2608,IFERROR(_xlfn.XLOOKUP($B2603,Equipo[DESCRIPCION],Equipo[VALOR],,0),""))</f>
        <v>39090.913471071442</v>
      </c>
      <c r="F2603" s="33"/>
      <c r="G2603" s="34">
        <f>IFERROR(IF(F2603&gt;=0,D2603*E2603*(1+F2603/100),ABS(D2603*E2603/F2603)),"")</f>
        <v>1954.5456735535722</v>
      </c>
      <c r="H2603" s="43">
        <f>IFERROR(G2603*E2593,"")</f>
        <v>0</v>
      </c>
    </row>
    <row r="2604" spans="1:10" ht="12.75" customHeight="1">
      <c r="A2604" s="28"/>
      <c r="B2604" s="29"/>
      <c r="C2604" s="30" t="str">
        <f>IFERROR(_xlfn.XLOOKUP(B2604,Equipo[DESCRIPCION],Equipo[UND],,0),"")</f>
        <v/>
      </c>
      <c r="D2604" s="31"/>
      <c r="E2604" s="32" t="str">
        <f>IF(C2604="%MO",G2608,IFERROR(_xlfn.XLOOKUP($B2604,Equipo[DESCRIPCION],Equipo[VALOR],,0),""))</f>
        <v/>
      </c>
      <c r="F2604" s="33"/>
      <c r="G2604" s="34" t="str">
        <f>IFERROR(IF(F2604&gt;=0,D2604*E2604*(1+F2604/100),ABS(D2604*E2604/F2604)),"")</f>
        <v/>
      </c>
      <c r="H2604" s="43" t="str">
        <f>IFERROR(G2604*E2593,"")</f>
        <v/>
      </c>
    </row>
    <row r="2605" spans="1:10" ht="12.75" customHeight="1">
      <c r="A2605" s="21"/>
      <c r="B2605" s="22" t="s">
        <v>2533</v>
      </c>
      <c r="C2605" s="23"/>
      <c r="D2605" s="24"/>
      <c r="E2605" s="25"/>
      <c r="F2605" s="26"/>
      <c r="G2605" s="27">
        <f>SUM(G2606:G2607)</f>
        <v>0</v>
      </c>
      <c r="H2605" s="44">
        <f>G2605*E2593</f>
        <v>0</v>
      </c>
    </row>
    <row r="2606" spans="1:10" ht="12.75" customHeight="1">
      <c r="A2606" s="28"/>
      <c r="B2606" s="29"/>
      <c r="C2606" s="30" t="str">
        <f>IFERROR(_xlfn.XLOOKUP(B2606,Transporte[DESCRIPCION],Transporte[UND],,0),"")</f>
        <v/>
      </c>
      <c r="D2606" s="31"/>
      <c r="E2606" s="32" t="str">
        <f>IFERROR(_xlfn.XLOOKUP($B2606,Transporte[DESCRIPCION],Transporte[VALOR],,0),"")</f>
        <v/>
      </c>
      <c r="F2606" s="33"/>
      <c r="G2606" s="34" t="str">
        <f>IFERROR(IF(F2606&gt;=0,D2606*E2606*(1+F2606/100),ABS(D2606*E2606/F2606)),"")</f>
        <v/>
      </c>
      <c r="H2606" s="43" t="str">
        <f>IFERROR(G2606*E2593,"")</f>
        <v/>
      </c>
    </row>
    <row r="2607" spans="1:10" ht="12.75" customHeight="1">
      <c r="A2607" s="28"/>
      <c r="B2607" s="29"/>
      <c r="C2607" s="30" t="str">
        <f>IFERROR(_xlfn.XLOOKUP(B2607,Transporte[DESCRIPCION],Transporte[UND],,0),"")</f>
        <v/>
      </c>
      <c r="D2607" s="31"/>
      <c r="E2607" s="32" t="str">
        <f>IFERROR(_xlfn.XLOOKUP($B2607,Transporte[DESCRIPCION],Transporte[VALOR],,0),"")</f>
        <v/>
      </c>
      <c r="F2607" s="33"/>
      <c r="G2607" s="34" t="str">
        <f>IFERROR(IF(F2607&gt;=0,D2607*E2607*(1+F2607/100),ABS(D2607*E2607/F2607)),"")</f>
        <v/>
      </c>
      <c r="H2607" s="43" t="str">
        <f>IFERROR(G2607*E2593,"")</f>
        <v/>
      </c>
    </row>
    <row r="2608" spans="1:10" ht="12.75" customHeight="1">
      <c r="A2608" s="21"/>
      <c r="B2608" s="22" t="s">
        <v>3732</v>
      </c>
      <c r="C2608" s="23"/>
      <c r="D2608" s="24"/>
      <c r="E2608" s="25"/>
      <c r="F2608" s="26"/>
      <c r="G2608" s="27">
        <f>SUM(G2609:G2611)</f>
        <v>39090.913471071442</v>
      </c>
      <c r="H2608" s="44">
        <f>G2608*E2593</f>
        <v>0</v>
      </c>
    </row>
    <row r="2609" spans="1:10" ht="12.75" customHeight="1">
      <c r="A2609" s="28"/>
      <c r="B2609" s="29" t="s">
        <v>3712</v>
      </c>
      <c r="C2609" s="30" t="str">
        <f>IFERROR(_xlfn.XLOOKUP(B2609,MObra[DESCRIPCION],MObra[UN],,0),"")</f>
        <v>día</v>
      </c>
      <c r="D2609" s="31">
        <v>1</v>
      </c>
      <c r="E2609" s="32">
        <f>IFERROR(_xlfn.XLOOKUP($B2609,MObra[DESCRIPCION],MObra[VALOR UNIT],,0),"")</f>
        <v>547272.78859500017</v>
      </c>
      <c r="F2609" s="33">
        <v>-14</v>
      </c>
      <c r="G2609" s="34">
        <f>IFERROR(IF(F2609&gt;=0,D2609*E2609*(1+F2609/100),ABS(D2609*E2609/F2609)),"")</f>
        <v>39090.913471071442</v>
      </c>
      <c r="H2609" s="43">
        <f>IFERROR(G2609*E2593,"")</f>
        <v>0</v>
      </c>
    </row>
    <row r="2610" spans="1:10" ht="12.75" customHeight="1">
      <c r="A2610" s="28"/>
      <c r="B2610" s="29"/>
      <c r="C2610" s="30" t="str">
        <f t="array" ref="C2610">IFERROR(_xlfn.XLOOKUP(B2610,MObra[[#All],[DESCRIPCION]],MObra[[#All],[UN]],,0),"")</f>
        <v/>
      </c>
      <c r="D2610" s="31"/>
      <c r="E2610" s="32" t="str">
        <f>IFERROR(_xlfn.XLOOKUP($B2610,MObra[DESCRIPCION],MObra[VALOR UNIT],,0),"")</f>
        <v/>
      </c>
      <c r="F2610" s="33"/>
      <c r="G2610" s="34" t="str">
        <f>IFERROR(IF(F2610&gt;=0,D2610*E2610*(1+F2610/100),ABS(D2610*E2610/F2610)),"")</f>
        <v/>
      </c>
      <c r="H2610" s="43" t="str">
        <f>IFERROR(G2610*E2593,"")</f>
        <v/>
      </c>
    </row>
    <row r="2611" spans="1:10" ht="12.75" customHeight="1" thickBot="1">
      <c r="A2611" s="35"/>
      <c r="B2611" s="36"/>
      <c r="C2611" s="37" t="str">
        <f t="array" ref="C2611">IFERROR(_xlfn.XLOOKUP(B2611,MObra[[#All],[DESCRIPCION]],MObra[[#All],[UN]],,0),"")</f>
        <v/>
      </c>
      <c r="D2611" s="38"/>
      <c r="E2611" s="39" t="str">
        <f>IFERROR(_xlfn.XLOOKUP($B2611,MObra[DESCRIPCION],MObra[VALOR UNIT],,0),"")</f>
        <v/>
      </c>
      <c r="F2611" s="40"/>
      <c r="G2611" s="41" t="str">
        <f>IFERROR(IF(F2611&gt;=0,D2611*E2611*(1+F2611/100),ABS(D2611*E2611/F2611)),"")</f>
        <v/>
      </c>
      <c r="H2611" s="42" t="str">
        <f>IFERROR(G2611*E2593,"")</f>
        <v/>
      </c>
    </row>
    <row r="2612" spans="1:10" ht="12.75" customHeight="1" thickTop="1" thickBot="1">
      <c r="E2612" s="49"/>
      <c r="G2612" s="3"/>
    </row>
    <row r="2613" spans="1:10" ht="12.75" customHeight="1" thickTop="1" thickBot="1">
      <c r="A2613" s="6" t="s">
        <v>282</v>
      </c>
      <c r="B2613" s="7" t="str">
        <f>VLOOKUP($A2613,Presupuesto!$A:$D,2,FALSE())</f>
        <v>Lleno con triturado</v>
      </c>
      <c r="C2613" s="8" t="str">
        <f>VLOOKUP($A2613,Presupuesto!$A:$D,3,FALSE())</f>
        <v>M3</v>
      </c>
      <c r="D2613" s="9"/>
      <c r="E2613" s="10">
        <f>VLOOKUP($A2613,Presupuesto!$A:$D,4,FALSE())</f>
        <v>0</v>
      </c>
      <c r="F2613" s="11" t="s">
        <v>2589</v>
      </c>
      <c r="G2613" s="12">
        <f>SUM(G2615:G2631)/2</f>
        <v>126151.03318346789</v>
      </c>
      <c r="H2613" s="13">
        <f>ROUND(SUM(H2615:H2631),0)/2</f>
        <v>0</v>
      </c>
      <c r="I2613" s="10">
        <f>VLOOKUP(A2613,Presupuesto!$A:$F,6,0)</f>
        <v>0</v>
      </c>
      <c r="J2613" s="10">
        <f>+H2613-I2613</f>
        <v>0</v>
      </c>
    </row>
    <row r="2614" spans="1:10" ht="12.75" customHeight="1" thickTop="1">
      <c r="A2614" s="14"/>
      <c r="B2614" s="15" t="s">
        <v>2586</v>
      </c>
      <c r="C2614" s="15" t="s">
        <v>5</v>
      </c>
      <c r="D2614" s="16" t="s">
        <v>6</v>
      </c>
      <c r="E2614" s="17" t="s">
        <v>7</v>
      </c>
      <c r="F2614" s="18" t="s">
        <v>3728</v>
      </c>
      <c r="G2614" s="19" t="s">
        <v>3729</v>
      </c>
      <c r="H2614" s="20" t="s">
        <v>3797</v>
      </c>
    </row>
    <row r="2615" spans="1:10" ht="12.75" customHeight="1">
      <c r="A2615" s="21"/>
      <c r="B2615" s="22" t="s">
        <v>3730</v>
      </c>
      <c r="C2615" s="23"/>
      <c r="D2615" s="24"/>
      <c r="E2615" s="25"/>
      <c r="F2615" s="26"/>
      <c r="G2615" s="27">
        <f>SUM(G2616:G2620)</f>
        <v>83541.9375</v>
      </c>
      <c r="H2615" s="27">
        <f>IFERROR(G2615*E2613,"")</f>
        <v>0</v>
      </c>
    </row>
    <row r="2616" spans="1:10" ht="12.75" customHeight="1">
      <c r="A2616" s="28"/>
      <c r="B2616" s="29" t="s">
        <v>2717</v>
      </c>
      <c r="C2616" s="30" t="str">
        <f>IFERROR(_xlfn.XLOOKUP(B2616,Insumo[DESCRIPCION],Insumo[UND],,0),"")</f>
        <v>M3</v>
      </c>
      <c r="D2616" s="31">
        <v>1</v>
      </c>
      <c r="E2616" s="32">
        <f>IFERROR(_xlfn.XLOOKUP($B2616,Insumo[DESCRIPCION],Insumo[VALOR],,0),"")</f>
        <v>79563.75</v>
      </c>
      <c r="F2616" s="33">
        <v>5</v>
      </c>
      <c r="G2616" s="34">
        <f>IFERROR(IF(F2616&gt;=0,D2616*E2616*(1+F2616/100),ABS(D2616*E2616/F2616)),"")</f>
        <v>83541.9375</v>
      </c>
      <c r="H2616" s="43">
        <f>IFERROR(G2616*E2613,"")</f>
        <v>0</v>
      </c>
    </row>
    <row r="2617" spans="1:10" ht="12.75" customHeight="1">
      <c r="A2617" s="28"/>
      <c r="B2617" s="29"/>
      <c r="C2617" s="30" t="str">
        <f>IFERROR(_xlfn.XLOOKUP(B2617,Insumo[DESCRIPCION],Insumo[UND],,0),"")</f>
        <v/>
      </c>
      <c r="D2617" s="31"/>
      <c r="E2617" s="32" t="str">
        <f>IFERROR(_xlfn.XLOOKUP($B2617,Insumo[DESCRIPCION],Insumo[VALOR],,0),"")</f>
        <v/>
      </c>
      <c r="F2617" s="33"/>
      <c r="G2617" s="34" t="str">
        <f>IFERROR(IF(F2617&gt;=0,D2617*E2617*(1+F2617/100),ABS(D2617*E2617/F2617)),"")</f>
        <v/>
      </c>
      <c r="H2617" s="43" t="str">
        <f>IFERROR(G2617*E2613,"")</f>
        <v/>
      </c>
    </row>
    <row r="2618" spans="1:10" ht="12.75" customHeight="1">
      <c r="A2618" s="28"/>
      <c r="B2618" s="29"/>
      <c r="C2618" s="30" t="str">
        <f>IFERROR(_xlfn.XLOOKUP(B2618,Insumo[DESCRIPCION],Insumo[UND],,0),"")</f>
        <v/>
      </c>
      <c r="D2618" s="31"/>
      <c r="E2618" s="32" t="str">
        <f>IFERROR(_xlfn.XLOOKUP($B2618,Insumo[DESCRIPCION],Insumo[VALOR],,0),"")</f>
        <v/>
      </c>
      <c r="F2618" s="33"/>
      <c r="G2618" s="34" t="str">
        <f>IFERROR(IF(F2618&gt;=0,D2618*E2618*(1+F2618/100),ABS(D2618*E2618/F2618)),"")</f>
        <v/>
      </c>
      <c r="H2618" s="43" t="str">
        <f>IFERROR(G2618*E2613,"")</f>
        <v/>
      </c>
    </row>
    <row r="2619" spans="1:10" ht="12.75" customHeight="1">
      <c r="A2619" s="28"/>
      <c r="B2619" s="29"/>
      <c r="C2619" s="30" t="str">
        <f>IFERROR(_xlfn.XLOOKUP(B2619,Insumo[DESCRIPCION],Insumo[UND],,0),"")</f>
        <v/>
      </c>
      <c r="D2619" s="31"/>
      <c r="E2619" s="32" t="str">
        <f>IFERROR(_xlfn.XLOOKUP($B2619,Insumo[DESCRIPCION],Insumo[VALOR],,0),"")</f>
        <v/>
      </c>
      <c r="F2619" s="33"/>
      <c r="G2619" s="34" t="str">
        <f>IFERROR(IF(F2619&gt;=0,D2619*E2619*(1+F2619/100),ABS(D2619*E2619/F2619)),"")</f>
        <v/>
      </c>
      <c r="H2619" s="43" t="str">
        <f>IFERROR(G2619*E2613,"")</f>
        <v/>
      </c>
    </row>
    <row r="2620" spans="1:10" ht="12.75" customHeight="1">
      <c r="A2620" s="28"/>
      <c r="B2620" s="29"/>
      <c r="C2620" s="30" t="str">
        <f>IFERROR(_xlfn.XLOOKUP(B2620,Insumo[DESCRIPCION],Insumo[UND],,0),"")</f>
        <v/>
      </c>
      <c r="D2620" s="31"/>
      <c r="E2620" s="32" t="str">
        <f>IFERROR(_xlfn.XLOOKUP($B2620,Insumo[DESCRIPCION],Insumo[VALOR],,0),"")</f>
        <v/>
      </c>
      <c r="F2620" s="33"/>
      <c r="G2620" s="34" t="str">
        <f>IFERROR(IF(F2620&gt;=0,D2620*E2620*(1+F2620/100),ABS(D2620*E2620/F2620)),"")</f>
        <v/>
      </c>
      <c r="H2620" s="43" t="str">
        <f>IFERROR(G2620*E2613,"")</f>
        <v/>
      </c>
    </row>
    <row r="2621" spans="1:10" ht="12.75" customHeight="1">
      <c r="A2621" s="21"/>
      <c r="B2621" s="22" t="s">
        <v>3731</v>
      </c>
      <c r="C2621" s="23"/>
      <c r="D2621" s="24"/>
      <c r="E2621" s="25"/>
      <c r="F2621" s="26"/>
      <c r="G2621" s="27">
        <f>SUM(G2622:G2624)</f>
        <v>3518.1822123964303</v>
      </c>
      <c r="H2621" s="44">
        <f>G2621*E2613</f>
        <v>0</v>
      </c>
    </row>
    <row r="2622" spans="1:10" ht="12.75" customHeight="1">
      <c r="A2622" s="28"/>
      <c r="B2622" s="29" t="s">
        <v>3570</v>
      </c>
      <c r="C2622" s="30" t="str">
        <f>IFERROR(_xlfn.XLOOKUP(B2622,Equipo[DESCRIPCION],Equipo[UND],,0),"")</f>
        <v>%MO</v>
      </c>
      <c r="D2622" s="31">
        <v>0.04</v>
      </c>
      <c r="E2622" s="32">
        <f>IF(C2622="%MO",G2628,IFERROR(_xlfn.XLOOKUP($B2622,Equipo[DESCRIPCION],Equipo[VALOR],,0),""))</f>
        <v>39090.913471071442</v>
      </c>
      <c r="F2622" s="33"/>
      <c r="G2622" s="34">
        <f>IFERROR(IF(F2622&gt;=0,D2622*E2622*(1+F2622/100),ABS(D2622*E2622/F2622)),"")</f>
        <v>1563.6365388428578</v>
      </c>
      <c r="H2622" s="43">
        <f>IFERROR(G2622*E2613,"")</f>
        <v>0</v>
      </c>
    </row>
    <row r="2623" spans="1:10" ht="12.75" customHeight="1">
      <c r="A2623" s="28"/>
      <c r="B2623" s="29" t="s">
        <v>3626</v>
      </c>
      <c r="C2623" s="30" t="str">
        <f>IFERROR(_xlfn.XLOOKUP(B2623,Equipo[DESCRIPCION],Equipo[UND],,0),"")</f>
        <v>%MO</v>
      </c>
      <c r="D2623" s="31">
        <v>0.05</v>
      </c>
      <c r="E2623" s="32">
        <f>IF(C2623="%MO",G2628,IFERROR(_xlfn.XLOOKUP($B2623,Equipo[DESCRIPCION],Equipo[VALOR],,0),""))</f>
        <v>39090.913471071442</v>
      </c>
      <c r="F2623" s="33"/>
      <c r="G2623" s="34">
        <f>IFERROR(IF(F2623&gt;=0,D2623*E2623*(1+F2623/100),ABS(D2623*E2623/F2623)),"")</f>
        <v>1954.5456735535722</v>
      </c>
      <c r="H2623" s="43">
        <f>IFERROR(G2623*E2613,"")</f>
        <v>0</v>
      </c>
    </row>
    <row r="2624" spans="1:10" ht="12.75" customHeight="1">
      <c r="A2624" s="28"/>
      <c r="B2624" s="29"/>
      <c r="C2624" s="30" t="str">
        <f>IFERROR(_xlfn.XLOOKUP(B2624,Equipo[DESCRIPCION],Equipo[UND],,0),"")</f>
        <v/>
      </c>
      <c r="D2624" s="31"/>
      <c r="E2624" s="32" t="str">
        <f>IF(C2624="%MO",G2628,IFERROR(_xlfn.XLOOKUP($B2624,Equipo[DESCRIPCION],Equipo[VALOR],,0),""))</f>
        <v/>
      </c>
      <c r="F2624" s="33"/>
      <c r="G2624" s="34" t="str">
        <f>IFERROR(IF(F2624&gt;=0,D2624*E2624*(1+F2624/100),ABS(D2624*E2624/F2624)),"")</f>
        <v/>
      </c>
      <c r="H2624" s="43" t="str">
        <f>IFERROR(G2624*E2613,"")</f>
        <v/>
      </c>
    </row>
    <row r="2625" spans="1:10" ht="12.75" customHeight="1">
      <c r="A2625" s="21"/>
      <c r="B2625" s="22" t="s">
        <v>2533</v>
      </c>
      <c r="C2625" s="23"/>
      <c r="D2625" s="24"/>
      <c r="E2625" s="25"/>
      <c r="F2625" s="26"/>
      <c r="G2625" s="27">
        <f>SUM(G2626:G2627)</f>
        <v>0</v>
      </c>
      <c r="H2625" s="44">
        <f>G2625*E2613</f>
        <v>0</v>
      </c>
    </row>
    <row r="2626" spans="1:10" ht="12.75" customHeight="1">
      <c r="A2626" s="28"/>
      <c r="B2626" s="29"/>
      <c r="C2626" s="30" t="str">
        <f>IFERROR(_xlfn.XLOOKUP(B2626,Transporte[DESCRIPCION],Transporte[UND],,0),"")</f>
        <v/>
      </c>
      <c r="D2626" s="31"/>
      <c r="E2626" s="32" t="str">
        <f>IFERROR(_xlfn.XLOOKUP($B2626,Transporte[DESCRIPCION],Transporte[VALOR],,0),"")</f>
        <v/>
      </c>
      <c r="F2626" s="33"/>
      <c r="G2626" s="34" t="str">
        <f>IFERROR(IF(F2626&gt;=0,D2626*E2626*(1+F2626/100),ABS(D2626*E2626/F2626)),"")</f>
        <v/>
      </c>
      <c r="H2626" s="43" t="str">
        <f>IFERROR(G2626*E2613,"")</f>
        <v/>
      </c>
    </row>
    <row r="2627" spans="1:10" ht="12.75" customHeight="1">
      <c r="A2627" s="28"/>
      <c r="B2627" s="29"/>
      <c r="C2627" s="30" t="str">
        <f>IFERROR(_xlfn.XLOOKUP(B2627,Transporte[DESCRIPCION],Transporte[UND],,0),"")</f>
        <v/>
      </c>
      <c r="D2627" s="31"/>
      <c r="E2627" s="32" t="str">
        <f>IFERROR(_xlfn.XLOOKUP($B2627,Transporte[DESCRIPCION],Transporte[VALOR],,0),"")</f>
        <v/>
      </c>
      <c r="F2627" s="33"/>
      <c r="G2627" s="34" t="str">
        <f>IFERROR(IF(F2627&gt;=0,D2627*E2627*(1+F2627/100),ABS(D2627*E2627/F2627)),"")</f>
        <v/>
      </c>
      <c r="H2627" s="43" t="str">
        <f>IFERROR(G2627*E2613,"")</f>
        <v/>
      </c>
    </row>
    <row r="2628" spans="1:10" ht="12.75" customHeight="1">
      <c r="A2628" s="21"/>
      <c r="B2628" s="22" t="s">
        <v>3732</v>
      </c>
      <c r="C2628" s="23"/>
      <c r="D2628" s="24"/>
      <c r="E2628" s="25"/>
      <c r="F2628" s="26"/>
      <c r="G2628" s="27">
        <f>SUM(G2629:G2631)</f>
        <v>39090.913471071442</v>
      </c>
      <c r="H2628" s="44">
        <f>G2628*E2613</f>
        <v>0</v>
      </c>
    </row>
    <row r="2629" spans="1:10" ht="12.75" customHeight="1">
      <c r="A2629" s="28"/>
      <c r="B2629" s="29" t="s">
        <v>3712</v>
      </c>
      <c r="C2629" s="30" t="str">
        <f>IFERROR(_xlfn.XLOOKUP(B2629,MObra[DESCRIPCION],MObra[UN],,0),"")</f>
        <v>día</v>
      </c>
      <c r="D2629" s="31">
        <v>1</v>
      </c>
      <c r="E2629" s="32">
        <f>IFERROR(_xlfn.XLOOKUP($B2629,MObra[DESCRIPCION],MObra[VALOR UNIT],,0),"")</f>
        <v>547272.78859500017</v>
      </c>
      <c r="F2629" s="33">
        <v>-14</v>
      </c>
      <c r="G2629" s="34">
        <f>IFERROR(IF(F2629&gt;=0,D2629*E2629*(1+F2629/100),ABS(D2629*E2629/F2629)),"")</f>
        <v>39090.913471071442</v>
      </c>
      <c r="H2629" s="43">
        <f>IFERROR(G2629*E2613,"")</f>
        <v>0</v>
      </c>
    </row>
    <row r="2630" spans="1:10" ht="12.75" customHeight="1">
      <c r="A2630" s="28"/>
      <c r="B2630" s="29"/>
      <c r="C2630" s="30" t="str">
        <f t="array" ref="C2630">IFERROR(_xlfn.XLOOKUP(B2630,MObra[[#All],[DESCRIPCION]],MObra[[#All],[UN]],,0),"")</f>
        <v/>
      </c>
      <c r="D2630" s="31"/>
      <c r="E2630" s="32" t="str">
        <f>IFERROR(_xlfn.XLOOKUP($B2630,MObra[DESCRIPCION],MObra[VALOR UNIT],,0),"")</f>
        <v/>
      </c>
      <c r="F2630" s="33"/>
      <c r="G2630" s="34" t="str">
        <f>IFERROR(IF(F2630&gt;=0,D2630*E2630*(1+F2630/100),ABS(D2630*E2630/F2630)),"")</f>
        <v/>
      </c>
      <c r="H2630" s="43" t="str">
        <f>IFERROR(G2630*E2613,"")</f>
        <v/>
      </c>
    </row>
    <row r="2631" spans="1:10" ht="12.75" customHeight="1" thickBot="1">
      <c r="A2631" s="35"/>
      <c r="B2631" s="36"/>
      <c r="C2631" s="37" t="str">
        <f t="array" ref="C2631">IFERROR(_xlfn.XLOOKUP(B2631,MObra[[#All],[DESCRIPCION]],MObra[[#All],[UN]],,0),"")</f>
        <v/>
      </c>
      <c r="D2631" s="38"/>
      <c r="E2631" s="39" t="str">
        <f>IFERROR(_xlfn.XLOOKUP($B2631,MObra[DESCRIPCION],MObra[VALOR UNIT],,0),"")</f>
        <v/>
      </c>
      <c r="F2631" s="40"/>
      <c r="G2631" s="41" t="str">
        <f>IFERROR(IF(F2631&gt;=0,D2631*E2631*(1+F2631/100),ABS(D2631*E2631/F2631)),"")</f>
        <v/>
      </c>
      <c r="H2631" s="42" t="str">
        <f>IFERROR(G2631*E2613,"")</f>
        <v/>
      </c>
    </row>
    <row r="2632" spans="1:10" ht="12.75" customHeight="1" thickTop="1" thickBot="1">
      <c r="E2632" s="49"/>
      <c r="G2632" s="3"/>
    </row>
    <row r="2633" spans="1:10" ht="12.75" customHeight="1" thickTop="1" thickBot="1">
      <c r="A2633" s="6" t="s">
        <v>284</v>
      </c>
      <c r="B2633" s="7" t="str">
        <f>VLOOKUP($A2633,Presupuesto!$A:$D,2,FALSE())</f>
        <v>Lleno en piedra filtro</v>
      </c>
      <c r="C2633" s="8" t="str">
        <f>VLOOKUP($A2633,Presupuesto!$A:$D,3,FALSE())</f>
        <v>M3</v>
      </c>
      <c r="D2633" s="9"/>
      <c r="E2633" s="10">
        <f>VLOOKUP($A2633,Presupuesto!$A:$D,4,FALSE())</f>
        <v>0</v>
      </c>
      <c r="F2633" s="11" t="s">
        <v>2589</v>
      </c>
      <c r="G2633" s="12">
        <f>SUM(G2635:G2651)/2</f>
        <v>161954.72068346789</v>
      </c>
      <c r="H2633" s="13">
        <f>ROUND(SUM(H2635:H2651),0)/2</f>
        <v>0</v>
      </c>
      <c r="I2633" s="10">
        <f>VLOOKUP(A2633,Presupuesto!$A:$F,6,0)</f>
        <v>0</v>
      </c>
      <c r="J2633" s="10">
        <f>+H2633-I2633</f>
        <v>0</v>
      </c>
    </row>
    <row r="2634" spans="1:10" ht="12.75" customHeight="1" thickTop="1">
      <c r="A2634" s="14"/>
      <c r="B2634" s="15" t="s">
        <v>2586</v>
      </c>
      <c r="C2634" s="15" t="s">
        <v>5</v>
      </c>
      <c r="D2634" s="16" t="s">
        <v>6</v>
      </c>
      <c r="E2634" s="17" t="s">
        <v>7</v>
      </c>
      <c r="F2634" s="18" t="s">
        <v>3728</v>
      </c>
      <c r="G2634" s="19" t="s">
        <v>3729</v>
      </c>
      <c r="H2634" s="20" t="s">
        <v>3797</v>
      </c>
    </row>
    <row r="2635" spans="1:10" ht="12.75" customHeight="1">
      <c r="A2635" s="21"/>
      <c r="B2635" s="22" t="s">
        <v>3730</v>
      </c>
      <c r="C2635" s="23"/>
      <c r="D2635" s="24"/>
      <c r="E2635" s="25"/>
      <c r="F2635" s="26"/>
      <c r="G2635" s="27">
        <f>SUM(G2636:G2640)</f>
        <v>119345.625</v>
      </c>
      <c r="H2635" s="27">
        <f>IFERROR(G2635*E2633,"")</f>
        <v>0</v>
      </c>
    </row>
    <row r="2636" spans="1:10" ht="12.75" customHeight="1">
      <c r="A2636" s="28"/>
      <c r="B2636" s="29" t="s">
        <v>3203</v>
      </c>
      <c r="C2636" s="30" t="str">
        <f>IFERROR(_xlfn.XLOOKUP(B2636,Insumo[DESCRIPCION],Insumo[UND],,0),"")</f>
        <v>M3</v>
      </c>
      <c r="D2636" s="31">
        <v>1</v>
      </c>
      <c r="E2636" s="32">
        <f>IFERROR(_xlfn.XLOOKUP($B2636,Insumo[DESCRIPCION],Insumo[VALOR],,0),"")</f>
        <v>113662.5</v>
      </c>
      <c r="F2636" s="33">
        <v>5</v>
      </c>
      <c r="G2636" s="34">
        <f>IFERROR(IF(F2636&gt;=0,D2636*E2636*(1+F2636/100),ABS(D2636*E2636/F2636)),"")</f>
        <v>119345.625</v>
      </c>
      <c r="H2636" s="43">
        <f>IFERROR(G2636*E2633,"")</f>
        <v>0</v>
      </c>
    </row>
    <row r="2637" spans="1:10" ht="12.75" customHeight="1">
      <c r="A2637" s="28"/>
      <c r="B2637" s="29"/>
      <c r="C2637" s="30" t="str">
        <f>IFERROR(_xlfn.XLOOKUP(B2637,Insumo[DESCRIPCION],Insumo[UND],,0),"")</f>
        <v/>
      </c>
      <c r="D2637" s="31"/>
      <c r="E2637" s="32" t="str">
        <f>IFERROR(_xlfn.XLOOKUP($B2637,Insumo[DESCRIPCION],Insumo[VALOR],,0),"")</f>
        <v/>
      </c>
      <c r="F2637" s="33"/>
      <c r="G2637" s="34" t="str">
        <f>IFERROR(IF(F2637&gt;=0,D2637*E2637*(1+F2637/100),ABS(D2637*E2637/F2637)),"")</f>
        <v/>
      </c>
      <c r="H2637" s="43" t="str">
        <f>IFERROR(G2637*E2633,"")</f>
        <v/>
      </c>
    </row>
    <row r="2638" spans="1:10" ht="12.75" customHeight="1">
      <c r="A2638" s="28"/>
      <c r="B2638" s="29"/>
      <c r="C2638" s="30" t="str">
        <f>IFERROR(_xlfn.XLOOKUP(B2638,Insumo[DESCRIPCION],Insumo[UND],,0),"")</f>
        <v/>
      </c>
      <c r="D2638" s="31"/>
      <c r="E2638" s="32" t="str">
        <f>IFERROR(_xlfn.XLOOKUP($B2638,Insumo[DESCRIPCION],Insumo[VALOR],,0),"")</f>
        <v/>
      </c>
      <c r="F2638" s="33"/>
      <c r="G2638" s="34" t="str">
        <f>IFERROR(IF(F2638&gt;=0,D2638*E2638*(1+F2638/100),ABS(D2638*E2638/F2638)),"")</f>
        <v/>
      </c>
      <c r="H2638" s="43" t="str">
        <f>IFERROR(G2638*E2633,"")</f>
        <v/>
      </c>
    </row>
    <row r="2639" spans="1:10" ht="12.75" customHeight="1">
      <c r="A2639" s="28"/>
      <c r="B2639" s="29"/>
      <c r="C2639" s="30" t="str">
        <f>IFERROR(_xlfn.XLOOKUP(B2639,Insumo[DESCRIPCION],Insumo[UND],,0),"")</f>
        <v/>
      </c>
      <c r="D2639" s="31"/>
      <c r="E2639" s="32" t="str">
        <f>IFERROR(_xlfn.XLOOKUP($B2639,Insumo[DESCRIPCION],Insumo[VALOR],,0),"")</f>
        <v/>
      </c>
      <c r="F2639" s="33"/>
      <c r="G2639" s="34" t="str">
        <f>IFERROR(IF(F2639&gt;=0,D2639*E2639*(1+F2639/100),ABS(D2639*E2639/F2639)),"")</f>
        <v/>
      </c>
      <c r="H2639" s="43" t="str">
        <f>IFERROR(G2639*E2633,"")</f>
        <v/>
      </c>
    </row>
    <row r="2640" spans="1:10" ht="12.75" customHeight="1">
      <c r="A2640" s="28"/>
      <c r="B2640" s="29"/>
      <c r="C2640" s="30" t="str">
        <f>IFERROR(_xlfn.XLOOKUP(B2640,Insumo[DESCRIPCION],Insumo[UND],,0),"")</f>
        <v/>
      </c>
      <c r="D2640" s="31"/>
      <c r="E2640" s="32" t="str">
        <f>IFERROR(_xlfn.XLOOKUP($B2640,Insumo[DESCRIPCION],Insumo[VALOR],,0),"")</f>
        <v/>
      </c>
      <c r="F2640" s="33"/>
      <c r="G2640" s="34" t="str">
        <f>IFERROR(IF(F2640&gt;=0,D2640*E2640*(1+F2640/100),ABS(D2640*E2640/F2640)),"")</f>
        <v/>
      </c>
      <c r="H2640" s="43" t="str">
        <f>IFERROR(G2640*E2633,"")</f>
        <v/>
      </c>
    </row>
    <row r="2641" spans="1:10" ht="12.75" customHeight="1">
      <c r="A2641" s="21"/>
      <c r="B2641" s="22" t="s">
        <v>3731</v>
      </c>
      <c r="C2641" s="23"/>
      <c r="D2641" s="24"/>
      <c r="E2641" s="25"/>
      <c r="F2641" s="26"/>
      <c r="G2641" s="27">
        <f>SUM(G2642:G2644)</f>
        <v>3518.1822123964303</v>
      </c>
      <c r="H2641" s="44">
        <f>G2641*E2633</f>
        <v>0</v>
      </c>
    </row>
    <row r="2642" spans="1:10" ht="12.75" customHeight="1">
      <c r="A2642" s="28"/>
      <c r="B2642" s="29" t="s">
        <v>3570</v>
      </c>
      <c r="C2642" s="30" t="str">
        <f>IFERROR(_xlfn.XLOOKUP(B2642,Equipo[DESCRIPCION],Equipo[UND],,0),"")</f>
        <v>%MO</v>
      </c>
      <c r="D2642" s="31">
        <v>0.04</v>
      </c>
      <c r="E2642" s="32">
        <f>IF(C2642="%MO",G2648,IFERROR(_xlfn.XLOOKUP($B2642,Equipo[DESCRIPCION],Equipo[VALOR],,0),""))</f>
        <v>39090.913471071442</v>
      </c>
      <c r="F2642" s="33"/>
      <c r="G2642" s="34">
        <f>IFERROR(IF(F2642&gt;=0,D2642*E2642*(1+F2642/100),ABS(D2642*E2642/F2642)),"")</f>
        <v>1563.6365388428578</v>
      </c>
      <c r="H2642" s="43">
        <f>IFERROR(G2642*E2633,"")</f>
        <v>0</v>
      </c>
    </row>
    <row r="2643" spans="1:10" ht="12.75" customHeight="1">
      <c r="A2643" s="28"/>
      <c r="B2643" s="29" t="s">
        <v>3626</v>
      </c>
      <c r="C2643" s="30" t="str">
        <f>IFERROR(_xlfn.XLOOKUP(B2643,Equipo[DESCRIPCION],Equipo[UND],,0),"")</f>
        <v>%MO</v>
      </c>
      <c r="D2643" s="31">
        <v>0.05</v>
      </c>
      <c r="E2643" s="32">
        <f>IF(C2643="%MO",G2648,IFERROR(_xlfn.XLOOKUP($B2643,Equipo[DESCRIPCION],Equipo[VALOR],,0),""))</f>
        <v>39090.913471071442</v>
      </c>
      <c r="F2643" s="33"/>
      <c r="G2643" s="34">
        <f>IFERROR(IF(F2643&gt;=0,D2643*E2643*(1+F2643/100),ABS(D2643*E2643/F2643)),"")</f>
        <v>1954.5456735535722</v>
      </c>
      <c r="H2643" s="43">
        <f>IFERROR(G2643*E2633,"")</f>
        <v>0</v>
      </c>
    </row>
    <row r="2644" spans="1:10" ht="12.75" customHeight="1">
      <c r="A2644" s="28"/>
      <c r="B2644" s="29"/>
      <c r="C2644" s="30" t="str">
        <f>IFERROR(_xlfn.XLOOKUP(B2644,Equipo[DESCRIPCION],Equipo[UND],,0),"")</f>
        <v/>
      </c>
      <c r="D2644" s="31"/>
      <c r="E2644" s="32" t="str">
        <f>IF(C2644="%MO",G2648,IFERROR(_xlfn.XLOOKUP($B2644,Equipo[DESCRIPCION],Equipo[VALOR],,0),""))</f>
        <v/>
      </c>
      <c r="F2644" s="33"/>
      <c r="G2644" s="34" t="str">
        <f>IFERROR(IF(F2644&gt;=0,D2644*E2644*(1+F2644/100),ABS(D2644*E2644/F2644)),"")</f>
        <v/>
      </c>
      <c r="H2644" s="43" t="str">
        <f>IFERROR(G2644*E2633,"")</f>
        <v/>
      </c>
    </row>
    <row r="2645" spans="1:10" ht="12.75" customHeight="1">
      <c r="A2645" s="21"/>
      <c r="B2645" s="22" t="s">
        <v>2533</v>
      </c>
      <c r="C2645" s="23"/>
      <c r="D2645" s="24"/>
      <c r="E2645" s="25"/>
      <c r="F2645" s="26"/>
      <c r="G2645" s="27">
        <f>SUM(G2646:G2647)</f>
        <v>0</v>
      </c>
      <c r="H2645" s="44">
        <f>G2645*E2633</f>
        <v>0</v>
      </c>
    </row>
    <row r="2646" spans="1:10" ht="12.75" customHeight="1">
      <c r="A2646" s="28"/>
      <c r="B2646" s="29"/>
      <c r="C2646" s="30" t="str">
        <f>IFERROR(_xlfn.XLOOKUP(B2646,Transporte[DESCRIPCION],Transporte[UND],,0),"")</f>
        <v/>
      </c>
      <c r="D2646" s="31"/>
      <c r="E2646" s="32" t="str">
        <f>IFERROR(_xlfn.XLOOKUP($B2646,Transporte[DESCRIPCION],Transporte[VALOR],,0),"")</f>
        <v/>
      </c>
      <c r="F2646" s="33"/>
      <c r="G2646" s="34" t="str">
        <f>IFERROR(IF(F2646&gt;=0,D2646*E2646*(1+F2646/100),ABS(D2646*E2646/F2646)),"")</f>
        <v/>
      </c>
      <c r="H2646" s="43" t="str">
        <f>IFERROR(G2646*E2633,"")</f>
        <v/>
      </c>
    </row>
    <row r="2647" spans="1:10" ht="12.75" customHeight="1">
      <c r="A2647" s="28"/>
      <c r="B2647" s="29"/>
      <c r="C2647" s="30" t="str">
        <f>IFERROR(_xlfn.XLOOKUP(B2647,Transporte[DESCRIPCION],Transporte[UND],,0),"")</f>
        <v/>
      </c>
      <c r="D2647" s="31"/>
      <c r="E2647" s="32" t="str">
        <f>IFERROR(_xlfn.XLOOKUP($B2647,Transporte[DESCRIPCION],Transporte[VALOR],,0),"")</f>
        <v/>
      </c>
      <c r="F2647" s="33"/>
      <c r="G2647" s="34" t="str">
        <f>IFERROR(IF(F2647&gt;=0,D2647*E2647*(1+F2647/100),ABS(D2647*E2647/F2647)),"")</f>
        <v/>
      </c>
      <c r="H2647" s="43" t="str">
        <f>IFERROR(G2647*E2633,"")</f>
        <v/>
      </c>
    </row>
    <row r="2648" spans="1:10" ht="12.75" customHeight="1">
      <c r="A2648" s="21"/>
      <c r="B2648" s="22" t="s">
        <v>3732</v>
      </c>
      <c r="C2648" s="23"/>
      <c r="D2648" s="24"/>
      <c r="E2648" s="25"/>
      <c r="F2648" s="26"/>
      <c r="G2648" s="27">
        <f>SUM(G2649:G2651)</f>
        <v>39090.913471071442</v>
      </c>
      <c r="H2648" s="44">
        <f>G2648*E2633</f>
        <v>0</v>
      </c>
    </row>
    <row r="2649" spans="1:10" ht="12.75" customHeight="1">
      <c r="A2649" s="28"/>
      <c r="B2649" s="29" t="s">
        <v>3712</v>
      </c>
      <c r="C2649" s="30" t="str">
        <f>IFERROR(_xlfn.XLOOKUP(B2649,MObra[DESCRIPCION],MObra[UN],,0),"")</f>
        <v>día</v>
      </c>
      <c r="D2649" s="31">
        <v>1</v>
      </c>
      <c r="E2649" s="32">
        <f>IFERROR(_xlfn.XLOOKUP($B2649,MObra[DESCRIPCION],MObra[VALOR UNIT],,0),"")</f>
        <v>547272.78859500017</v>
      </c>
      <c r="F2649" s="33">
        <v>-14</v>
      </c>
      <c r="G2649" s="34">
        <f>IFERROR(IF(F2649&gt;=0,D2649*E2649*(1+F2649/100),ABS(D2649*E2649/F2649)),"")</f>
        <v>39090.913471071442</v>
      </c>
      <c r="H2649" s="43">
        <f>IFERROR(G2649*E2633,"")</f>
        <v>0</v>
      </c>
    </row>
    <row r="2650" spans="1:10" ht="12.75" customHeight="1">
      <c r="A2650" s="28"/>
      <c r="B2650" s="29"/>
      <c r="C2650" s="30" t="str">
        <f t="array" ref="C2650">IFERROR(_xlfn.XLOOKUP(B2650,MObra[[#All],[DESCRIPCION]],MObra[[#All],[UN]],,0),"")</f>
        <v/>
      </c>
      <c r="D2650" s="31"/>
      <c r="E2650" s="32" t="str">
        <f>IFERROR(_xlfn.XLOOKUP($B2650,MObra[DESCRIPCION],MObra[VALOR UNIT],,0),"")</f>
        <v/>
      </c>
      <c r="F2650" s="33"/>
      <c r="G2650" s="34" t="str">
        <f>IFERROR(IF(F2650&gt;=0,D2650*E2650*(1+F2650/100),ABS(D2650*E2650/F2650)),"")</f>
        <v/>
      </c>
      <c r="H2650" s="43" t="str">
        <f>IFERROR(G2650*E2633,"")</f>
        <v/>
      </c>
    </row>
    <row r="2651" spans="1:10" ht="12.75" customHeight="1" thickBot="1">
      <c r="A2651" s="35"/>
      <c r="B2651" s="36"/>
      <c r="C2651" s="37" t="str">
        <f t="array" ref="C2651">IFERROR(_xlfn.XLOOKUP(B2651,MObra[[#All],[DESCRIPCION]],MObra[[#All],[UN]],,0),"")</f>
        <v/>
      </c>
      <c r="D2651" s="38"/>
      <c r="E2651" s="39" t="str">
        <f>IFERROR(_xlfn.XLOOKUP($B2651,MObra[DESCRIPCION],MObra[VALOR UNIT],,0),"")</f>
        <v/>
      </c>
      <c r="F2651" s="40"/>
      <c r="G2651" s="41" t="str">
        <f>IFERROR(IF(F2651&gt;=0,D2651*E2651*(1+F2651/100),ABS(D2651*E2651/F2651)),"")</f>
        <v/>
      </c>
      <c r="H2651" s="42" t="str">
        <f>IFERROR(G2651*E2633,"")</f>
        <v/>
      </c>
    </row>
    <row r="2652" spans="1:10" ht="12.75" customHeight="1" thickTop="1" thickBot="1">
      <c r="E2652" s="49"/>
      <c r="G2652" s="3"/>
    </row>
    <row r="2653" spans="1:10" ht="12.75" customHeight="1" thickTop="1" thickBot="1">
      <c r="A2653" s="6" t="s">
        <v>286</v>
      </c>
      <c r="B2653" s="7" t="str">
        <f>VLOOKUP($A2653,Presupuesto!$A:$D,2,FALSE())</f>
        <v>Lleno material filtrante</v>
      </c>
      <c r="C2653" s="8" t="str">
        <f>VLOOKUP($A2653,Presupuesto!$A:$D,3,FALSE())</f>
        <v>M3</v>
      </c>
      <c r="D2653" s="9"/>
      <c r="E2653" s="10">
        <f>VLOOKUP($A2653,Presupuesto!$A:$D,4,FALSE())</f>
        <v>0</v>
      </c>
      <c r="F2653" s="11" t="s">
        <v>2589</v>
      </c>
      <c r="G2653" s="12">
        <f>SUM(G2655:G2671)/2</f>
        <v>172946.45914462506</v>
      </c>
      <c r="H2653" s="13">
        <f>ROUND(SUM(H2655:H2671),0)/2</f>
        <v>0</v>
      </c>
      <c r="I2653" s="10">
        <f>VLOOKUP(A2653,Presupuesto!$A:$F,6,0)</f>
        <v>0</v>
      </c>
      <c r="J2653" s="10">
        <f>+H2653-I2653</f>
        <v>0</v>
      </c>
    </row>
    <row r="2654" spans="1:10" ht="12.75" customHeight="1" thickTop="1">
      <c r="A2654" s="14"/>
      <c r="B2654" s="15" t="s">
        <v>2586</v>
      </c>
      <c r="C2654" s="15" t="s">
        <v>5</v>
      </c>
      <c r="D2654" s="16" t="s">
        <v>6</v>
      </c>
      <c r="E2654" s="17" t="s">
        <v>7</v>
      </c>
      <c r="F2654" s="18" t="s">
        <v>3728</v>
      </c>
      <c r="G2654" s="19" t="s">
        <v>3729</v>
      </c>
      <c r="H2654" s="20" t="s">
        <v>3797</v>
      </c>
    </row>
    <row r="2655" spans="1:10" ht="12.75" customHeight="1">
      <c r="A2655" s="21"/>
      <c r="B2655" s="22" t="s">
        <v>3730</v>
      </c>
      <c r="C2655" s="23"/>
      <c r="D2655" s="24"/>
      <c r="E2655" s="25"/>
      <c r="F2655" s="26"/>
      <c r="G2655" s="27">
        <f>SUM(G2656:G2660)</f>
        <v>125028.75000000001</v>
      </c>
      <c r="H2655" s="27">
        <f>IFERROR(G2655*E2653,"")</f>
        <v>0</v>
      </c>
    </row>
    <row r="2656" spans="1:10" ht="12.75" customHeight="1">
      <c r="A2656" s="28"/>
      <c r="B2656" s="29" t="s">
        <v>3162</v>
      </c>
      <c r="C2656" s="30" t="str">
        <f>IFERROR(_xlfn.XLOOKUP(B2656,Insumo[DESCRIPCION],Insumo[UND],,0),"")</f>
        <v>M3</v>
      </c>
      <c r="D2656" s="31">
        <v>1</v>
      </c>
      <c r="E2656" s="32">
        <f>IFERROR(_xlfn.XLOOKUP($B2656,Insumo[DESCRIPCION],Insumo[VALOR],,0),"")</f>
        <v>113662.5</v>
      </c>
      <c r="F2656" s="33">
        <v>10</v>
      </c>
      <c r="G2656" s="34">
        <f>IFERROR(IF(F2656&gt;=0,D2656*E2656*(1+F2656/100),ABS(D2656*E2656/F2656)),"")</f>
        <v>125028.75000000001</v>
      </c>
      <c r="H2656" s="43">
        <f>IFERROR(G2656*E2653,"")</f>
        <v>0</v>
      </c>
    </row>
    <row r="2657" spans="1:8" ht="12.75" customHeight="1">
      <c r="A2657" s="28"/>
      <c r="B2657" s="29"/>
      <c r="C2657" s="30" t="str">
        <f>IFERROR(_xlfn.XLOOKUP(B2657,Insumo[DESCRIPCION],Insumo[UND],,0),"")</f>
        <v/>
      </c>
      <c r="D2657" s="31"/>
      <c r="E2657" s="32" t="str">
        <f>IFERROR(_xlfn.XLOOKUP($B2657,Insumo[DESCRIPCION],Insumo[VALOR],,0),"")</f>
        <v/>
      </c>
      <c r="F2657" s="33"/>
      <c r="G2657" s="34" t="str">
        <f>IFERROR(IF(F2657&gt;=0,D2657*E2657*(1+F2657/100),ABS(D2657*E2657/F2657)),"")</f>
        <v/>
      </c>
      <c r="H2657" s="43" t="str">
        <f>IFERROR(G2657*E2653,"")</f>
        <v/>
      </c>
    </row>
    <row r="2658" spans="1:8" ht="12.75" customHeight="1">
      <c r="A2658" s="28"/>
      <c r="B2658" s="29"/>
      <c r="C2658" s="30" t="str">
        <f>IFERROR(_xlfn.XLOOKUP(B2658,Insumo[DESCRIPCION],Insumo[UND],,0),"")</f>
        <v/>
      </c>
      <c r="D2658" s="31"/>
      <c r="E2658" s="32" t="str">
        <f>IFERROR(_xlfn.XLOOKUP($B2658,Insumo[DESCRIPCION],Insumo[VALOR],,0),"")</f>
        <v/>
      </c>
      <c r="F2658" s="33"/>
      <c r="G2658" s="34" t="str">
        <f>IFERROR(IF(F2658&gt;=0,D2658*E2658*(1+F2658/100),ABS(D2658*E2658/F2658)),"")</f>
        <v/>
      </c>
      <c r="H2658" s="43" t="str">
        <f>IFERROR(G2658*E2653,"")</f>
        <v/>
      </c>
    </row>
    <row r="2659" spans="1:8" ht="12.75" customHeight="1">
      <c r="A2659" s="28"/>
      <c r="B2659" s="29"/>
      <c r="C2659" s="30" t="str">
        <f>IFERROR(_xlfn.XLOOKUP(B2659,Insumo[DESCRIPCION],Insumo[UND],,0),"")</f>
        <v/>
      </c>
      <c r="D2659" s="31"/>
      <c r="E2659" s="32" t="str">
        <f>IFERROR(_xlfn.XLOOKUP($B2659,Insumo[DESCRIPCION],Insumo[VALOR],,0),"")</f>
        <v/>
      </c>
      <c r="F2659" s="33"/>
      <c r="G2659" s="34" t="str">
        <f>IFERROR(IF(F2659&gt;=0,D2659*E2659*(1+F2659/100),ABS(D2659*E2659/F2659)),"")</f>
        <v/>
      </c>
      <c r="H2659" s="43" t="str">
        <f>IFERROR(G2659*E2653,"")</f>
        <v/>
      </c>
    </row>
    <row r="2660" spans="1:8" ht="12.75" customHeight="1">
      <c r="A2660" s="28"/>
      <c r="B2660" s="29"/>
      <c r="C2660" s="30" t="str">
        <f>IFERROR(_xlfn.XLOOKUP(B2660,Insumo[DESCRIPCION],Insumo[UND],,0),"")</f>
        <v/>
      </c>
      <c r="D2660" s="31"/>
      <c r="E2660" s="32" t="str">
        <f>IFERROR(_xlfn.XLOOKUP($B2660,Insumo[DESCRIPCION],Insumo[VALOR],,0),"")</f>
        <v/>
      </c>
      <c r="F2660" s="33"/>
      <c r="G2660" s="34" t="str">
        <f>IFERROR(IF(F2660&gt;=0,D2660*E2660*(1+F2660/100),ABS(D2660*E2660/F2660)),"")</f>
        <v/>
      </c>
      <c r="H2660" s="43" t="str">
        <f>IFERROR(G2660*E2653,"")</f>
        <v/>
      </c>
    </row>
    <row r="2661" spans="1:8" ht="12.75" customHeight="1">
      <c r="A2661" s="21"/>
      <c r="B2661" s="22" t="s">
        <v>3731</v>
      </c>
      <c r="C2661" s="23"/>
      <c r="D2661" s="24"/>
      <c r="E2661" s="25"/>
      <c r="F2661" s="26"/>
      <c r="G2661" s="27">
        <f>SUM(G2662:G2664)</f>
        <v>8826.7956735535718</v>
      </c>
      <c r="H2661" s="44">
        <f>G2661*E2653</f>
        <v>0</v>
      </c>
    </row>
    <row r="2662" spans="1:8" ht="12.75" customHeight="1">
      <c r="A2662" s="28"/>
      <c r="B2662" s="29" t="s">
        <v>3658</v>
      </c>
      <c r="C2662" s="30" t="str">
        <f>IFERROR(_xlfn.XLOOKUP(B2662,Equipo[DESCRIPCION],Equipo[UND],,0),"")</f>
        <v>Día</v>
      </c>
      <c r="D2662" s="31">
        <v>1</v>
      </c>
      <c r="E2662" s="32">
        <f>IF(C2662="%MO",G2668,IFERROR(_xlfn.XLOOKUP($B2662,Equipo[DESCRIPCION],Equipo[VALOR],,0),""))</f>
        <v>82467</v>
      </c>
      <c r="F2662" s="33">
        <v>-12</v>
      </c>
      <c r="G2662" s="34">
        <f>IFERROR(IF(F2662&gt;=0,D2662*E2662*(1+F2662/100),ABS(D2662*E2662/F2662)),"")</f>
        <v>6872.25</v>
      </c>
      <c r="H2662" s="43">
        <f>IFERROR(G2662*E2653,"")</f>
        <v>0</v>
      </c>
    </row>
    <row r="2663" spans="1:8" ht="12.75" customHeight="1">
      <c r="A2663" s="28"/>
      <c r="B2663" s="29" t="s">
        <v>3626</v>
      </c>
      <c r="C2663" s="30" t="str">
        <f>IFERROR(_xlfn.XLOOKUP(B2663,Equipo[DESCRIPCION],Equipo[UND],,0),"")</f>
        <v>%MO</v>
      </c>
      <c r="D2663" s="31">
        <v>0.05</v>
      </c>
      <c r="E2663" s="32">
        <f>IF(C2663="%MO",G2668,IFERROR(_xlfn.XLOOKUP($B2663,Equipo[DESCRIPCION],Equipo[VALOR],,0),""))</f>
        <v>39090.913471071442</v>
      </c>
      <c r="F2663" s="33"/>
      <c r="G2663" s="34">
        <f>IFERROR(IF(F2663&gt;=0,D2663*E2663*(1+F2663/100),ABS(D2663*E2663/F2663)),"")</f>
        <v>1954.5456735535722</v>
      </c>
      <c r="H2663" s="43">
        <f>IFERROR(G2663*E2653,"")</f>
        <v>0</v>
      </c>
    </row>
    <row r="2664" spans="1:8" ht="12.75" customHeight="1">
      <c r="A2664" s="28"/>
      <c r="B2664" s="29"/>
      <c r="C2664" s="30" t="str">
        <f>IFERROR(_xlfn.XLOOKUP(B2664,Equipo[DESCRIPCION],Equipo[UND],,0),"")</f>
        <v/>
      </c>
      <c r="D2664" s="31"/>
      <c r="E2664" s="32" t="str">
        <f>IF(C2664="%MO",G2668,IFERROR(_xlfn.XLOOKUP($B2664,Equipo[DESCRIPCION],Equipo[VALOR],,0),""))</f>
        <v/>
      </c>
      <c r="F2664" s="33"/>
      <c r="G2664" s="34" t="str">
        <f>IFERROR(IF(F2664&gt;=0,D2664*E2664*(1+F2664/100),ABS(D2664*E2664/F2664)),"")</f>
        <v/>
      </c>
      <c r="H2664" s="43" t="str">
        <f>IFERROR(G2664*E2653,"")</f>
        <v/>
      </c>
    </row>
    <row r="2665" spans="1:8" ht="12.75" customHeight="1">
      <c r="A2665" s="21"/>
      <c r="B2665" s="22" t="s">
        <v>2533</v>
      </c>
      <c r="C2665" s="23"/>
      <c r="D2665" s="24"/>
      <c r="E2665" s="25"/>
      <c r="F2665" s="26"/>
      <c r="G2665" s="27">
        <f>SUM(G2666:G2667)</f>
        <v>0</v>
      </c>
      <c r="H2665" s="44">
        <f>G2665*E2653</f>
        <v>0</v>
      </c>
    </row>
    <row r="2666" spans="1:8" ht="12.75" customHeight="1">
      <c r="A2666" s="28"/>
      <c r="B2666" s="29"/>
      <c r="C2666" s="30" t="str">
        <f>IFERROR(_xlfn.XLOOKUP(B2666,Transporte[DESCRIPCION],Transporte[UND],,0),"")</f>
        <v/>
      </c>
      <c r="D2666" s="31"/>
      <c r="E2666" s="32" t="str">
        <f>IFERROR(_xlfn.XLOOKUP($B2666,Transporte[DESCRIPCION],Transporte[VALOR],,0),"")</f>
        <v/>
      </c>
      <c r="F2666" s="33"/>
      <c r="G2666" s="34" t="str">
        <f>IFERROR(IF(F2666&gt;=0,D2666*E2666*(1+F2666/100),ABS(D2666*E2666/F2666)),"")</f>
        <v/>
      </c>
      <c r="H2666" s="43" t="str">
        <f>IFERROR(G2666*E2653,"")</f>
        <v/>
      </c>
    </row>
    <row r="2667" spans="1:8" ht="12.75" customHeight="1">
      <c r="A2667" s="28"/>
      <c r="B2667" s="29"/>
      <c r="C2667" s="30" t="str">
        <f>IFERROR(_xlfn.XLOOKUP(B2667,Transporte[DESCRIPCION],Transporte[UND],,0),"")</f>
        <v/>
      </c>
      <c r="D2667" s="31"/>
      <c r="E2667" s="32" t="str">
        <f>IFERROR(_xlfn.XLOOKUP($B2667,Transporte[DESCRIPCION],Transporte[VALOR],,0),"")</f>
        <v/>
      </c>
      <c r="F2667" s="33"/>
      <c r="G2667" s="34" t="str">
        <f>IFERROR(IF(F2667&gt;=0,D2667*E2667*(1+F2667/100),ABS(D2667*E2667/F2667)),"")</f>
        <v/>
      </c>
      <c r="H2667" s="43" t="str">
        <f>IFERROR(G2667*E2653,"")</f>
        <v/>
      </c>
    </row>
    <row r="2668" spans="1:8" ht="12.75" customHeight="1">
      <c r="A2668" s="21"/>
      <c r="B2668" s="22" t="s">
        <v>3732</v>
      </c>
      <c r="C2668" s="23"/>
      <c r="D2668" s="24"/>
      <c r="E2668" s="25"/>
      <c r="F2668" s="26"/>
      <c r="G2668" s="27">
        <f>SUM(G2669:G2671)</f>
        <v>39090.913471071442</v>
      </c>
      <c r="H2668" s="44">
        <f>G2668*E2653</f>
        <v>0</v>
      </c>
    </row>
    <row r="2669" spans="1:8" ht="12.75" customHeight="1">
      <c r="A2669" s="28"/>
      <c r="B2669" s="29" t="s">
        <v>3712</v>
      </c>
      <c r="C2669" s="30" t="str">
        <f>IFERROR(_xlfn.XLOOKUP(B2669,MObra[DESCRIPCION],MObra[UN],,0),"")</f>
        <v>día</v>
      </c>
      <c r="D2669" s="31">
        <v>1</v>
      </c>
      <c r="E2669" s="32">
        <f>IFERROR(_xlfn.XLOOKUP($B2669,MObra[DESCRIPCION],MObra[VALOR UNIT],,0),"")</f>
        <v>547272.78859500017</v>
      </c>
      <c r="F2669" s="33">
        <v>-14</v>
      </c>
      <c r="G2669" s="34">
        <f>IFERROR(IF(F2669&gt;=0,D2669*E2669*(1+F2669/100),ABS(D2669*E2669/F2669)),"")</f>
        <v>39090.913471071442</v>
      </c>
      <c r="H2669" s="43">
        <f>IFERROR(G2669*E2653,"")</f>
        <v>0</v>
      </c>
    </row>
    <row r="2670" spans="1:8" ht="12.75" customHeight="1">
      <c r="A2670" s="28"/>
      <c r="B2670" s="29"/>
      <c r="C2670" s="30" t="str">
        <f t="array" ref="C2670">IFERROR(_xlfn.XLOOKUP(B2670,MObra[[#All],[DESCRIPCION]],MObra[[#All],[UN]],,0),"")</f>
        <v/>
      </c>
      <c r="D2670" s="31"/>
      <c r="E2670" s="32" t="str">
        <f>IFERROR(_xlfn.XLOOKUP($B2670,MObra[DESCRIPCION],MObra[VALOR UNIT],,0),"")</f>
        <v/>
      </c>
      <c r="F2670" s="33"/>
      <c r="G2670" s="34" t="str">
        <f>IFERROR(IF(F2670&gt;=0,D2670*E2670*(1+F2670/100),ABS(D2670*E2670/F2670)),"")</f>
        <v/>
      </c>
      <c r="H2670" s="43" t="str">
        <f>IFERROR(G2670*E2653,"")</f>
        <v/>
      </c>
    </row>
    <row r="2671" spans="1:8" ht="12.75" customHeight="1" thickBot="1">
      <c r="A2671" s="35"/>
      <c r="B2671" s="36"/>
      <c r="C2671" s="37" t="str">
        <f t="array" ref="C2671">IFERROR(_xlfn.XLOOKUP(B2671,MObra[[#All],[DESCRIPCION]],MObra[[#All],[UN]],,0),"")</f>
        <v/>
      </c>
      <c r="D2671" s="38"/>
      <c r="E2671" s="39" t="str">
        <f>IFERROR(_xlfn.XLOOKUP($B2671,MObra[DESCRIPCION],MObra[VALOR UNIT],,0),"")</f>
        <v/>
      </c>
      <c r="F2671" s="40"/>
      <c r="G2671" s="41" t="str">
        <f>IFERROR(IF(F2671&gt;=0,D2671*E2671*(1+F2671/100),ABS(D2671*E2671/F2671)),"")</f>
        <v/>
      </c>
      <c r="H2671" s="42" t="str">
        <f>IFERROR(G2671*E2653,"")</f>
        <v/>
      </c>
    </row>
    <row r="2672" spans="1:8" ht="12.75" customHeight="1" thickTop="1" thickBot="1">
      <c r="E2672" s="49"/>
      <c r="G2672" s="3"/>
    </row>
    <row r="2673" spans="1:10" ht="12.75" customHeight="1" thickTop="1" thickBot="1">
      <c r="A2673" s="6" t="s">
        <v>288</v>
      </c>
      <c r="B2673" s="7" t="str">
        <f>VLOOKUP($A2673,Presupuesto!$A:$D,2,FALSE())</f>
        <v>Lleno compactado material transportado</v>
      </c>
      <c r="C2673" s="8" t="str">
        <f>VLOOKUP($A2673,Presupuesto!$A:$D,3,FALSE())</f>
        <v>M3</v>
      </c>
      <c r="D2673" s="9"/>
      <c r="E2673" s="10">
        <f>VLOOKUP($A2673,Presupuesto!$A:$D,4,FALSE())</f>
        <v>0</v>
      </c>
      <c r="F2673" s="11" t="s">
        <v>2589</v>
      </c>
      <c r="G2673" s="12">
        <f>SUM(G2675:G2691)/2</f>
        <v>100780.20414462502</v>
      </c>
      <c r="H2673" s="13">
        <f>ROUND(SUM(H2675:H2691),0)/2</f>
        <v>0</v>
      </c>
      <c r="I2673" s="10">
        <f>VLOOKUP(A2673,Presupuesto!$A:$F,6,0)</f>
        <v>0</v>
      </c>
      <c r="J2673" s="10">
        <f>+H2673-I2673</f>
        <v>0</v>
      </c>
    </row>
    <row r="2674" spans="1:10" ht="12.75" customHeight="1" thickTop="1">
      <c r="A2674" s="14"/>
      <c r="B2674" s="15" t="s">
        <v>2586</v>
      </c>
      <c r="C2674" s="15" t="s">
        <v>5</v>
      </c>
      <c r="D2674" s="16" t="s">
        <v>6</v>
      </c>
      <c r="E2674" s="17" t="s">
        <v>7</v>
      </c>
      <c r="F2674" s="18" t="s">
        <v>3728</v>
      </c>
      <c r="G2674" s="19" t="s">
        <v>3729</v>
      </c>
      <c r="H2674" s="20" t="s">
        <v>3797</v>
      </c>
    </row>
    <row r="2675" spans="1:10" ht="12.75" customHeight="1">
      <c r="A2675" s="21"/>
      <c r="B2675" s="22" t="s">
        <v>3730</v>
      </c>
      <c r="C2675" s="23"/>
      <c r="D2675" s="24"/>
      <c r="E2675" s="25"/>
      <c r="F2675" s="26"/>
      <c r="G2675" s="27">
        <f>SUM(G2676:G2680)</f>
        <v>51717.120000000003</v>
      </c>
      <c r="H2675" s="27">
        <f>IFERROR(G2675*E2673,"")</f>
        <v>0</v>
      </c>
    </row>
    <row r="2676" spans="1:10" ht="12.75" customHeight="1">
      <c r="A2676" s="28"/>
      <c r="B2676" s="29" t="s">
        <v>3393</v>
      </c>
      <c r="C2676" s="30" t="str">
        <f>IFERROR(_xlfn.XLOOKUP(B2676,Insumo[DESCRIPCION],Insumo[UND],,0),"")</f>
        <v>M3</v>
      </c>
      <c r="D2676" s="31">
        <v>1</v>
      </c>
      <c r="E2676" s="32">
        <f>IFERROR(_xlfn.XLOOKUP($B2676,Insumo[DESCRIPCION],Insumo[VALOR],,0),"")</f>
        <v>39782.400000000001</v>
      </c>
      <c r="F2676" s="33">
        <v>30</v>
      </c>
      <c r="G2676" s="34">
        <f>IFERROR(IF(F2676&gt;=0,D2676*E2676*(1+F2676/100),ABS(D2676*E2676/F2676)),"")</f>
        <v>51717.120000000003</v>
      </c>
      <c r="H2676" s="43">
        <f>IFERROR(G2676*E2673,"")</f>
        <v>0</v>
      </c>
    </row>
    <row r="2677" spans="1:10" ht="12.75" customHeight="1">
      <c r="A2677" s="28"/>
      <c r="B2677" s="29"/>
      <c r="C2677" s="30" t="str">
        <f>IFERROR(_xlfn.XLOOKUP(B2677,Insumo[DESCRIPCION],Insumo[UND],,0),"")</f>
        <v/>
      </c>
      <c r="D2677" s="31"/>
      <c r="E2677" s="32" t="str">
        <f>IFERROR(_xlfn.XLOOKUP($B2677,Insumo[DESCRIPCION],Insumo[VALOR],,0),"")</f>
        <v/>
      </c>
      <c r="F2677" s="33"/>
      <c r="G2677" s="34" t="str">
        <f>IFERROR(IF(F2677&gt;=0,D2677*E2677*(1+F2677/100),ABS(D2677*E2677/F2677)),"")</f>
        <v/>
      </c>
      <c r="H2677" s="43" t="str">
        <f>IFERROR(G2677*E2673,"")</f>
        <v/>
      </c>
    </row>
    <row r="2678" spans="1:10" ht="12.75" customHeight="1">
      <c r="A2678" s="28"/>
      <c r="B2678" s="29"/>
      <c r="C2678" s="30" t="str">
        <f>IFERROR(_xlfn.XLOOKUP(B2678,Insumo[DESCRIPCION],Insumo[UND],,0),"")</f>
        <v/>
      </c>
      <c r="D2678" s="31"/>
      <c r="E2678" s="32" t="str">
        <f>IFERROR(_xlfn.XLOOKUP($B2678,Insumo[DESCRIPCION],Insumo[VALOR],,0),"")</f>
        <v/>
      </c>
      <c r="F2678" s="33"/>
      <c r="G2678" s="34" t="str">
        <f>IFERROR(IF(F2678&gt;=0,D2678*E2678*(1+F2678/100),ABS(D2678*E2678/F2678)),"")</f>
        <v/>
      </c>
      <c r="H2678" s="43" t="str">
        <f>IFERROR(G2678*E2673,"")</f>
        <v/>
      </c>
    </row>
    <row r="2679" spans="1:10" ht="12.75" customHeight="1">
      <c r="A2679" s="28"/>
      <c r="B2679" s="29"/>
      <c r="C2679" s="30" t="str">
        <f>IFERROR(_xlfn.XLOOKUP(B2679,Insumo[DESCRIPCION],Insumo[UND],,0),"")</f>
        <v/>
      </c>
      <c r="D2679" s="31"/>
      <c r="E2679" s="32" t="str">
        <f>IFERROR(_xlfn.XLOOKUP($B2679,Insumo[DESCRIPCION],Insumo[VALOR],,0),"")</f>
        <v/>
      </c>
      <c r="F2679" s="33"/>
      <c r="G2679" s="34" t="str">
        <f>IFERROR(IF(F2679&gt;=0,D2679*E2679*(1+F2679/100),ABS(D2679*E2679/F2679)),"")</f>
        <v/>
      </c>
      <c r="H2679" s="43" t="str">
        <f>IFERROR(G2679*E2673,"")</f>
        <v/>
      </c>
    </row>
    <row r="2680" spans="1:10" ht="12.75" customHeight="1">
      <c r="A2680" s="28"/>
      <c r="B2680" s="29"/>
      <c r="C2680" s="30" t="str">
        <f>IFERROR(_xlfn.XLOOKUP(B2680,Insumo[DESCRIPCION],Insumo[UND],,0),"")</f>
        <v/>
      </c>
      <c r="D2680" s="31"/>
      <c r="E2680" s="32" t="str">
        <f>IFERROR(_xlfn.XLOOKUP($B2680,Insumo[DESCRIPCION],Insumo[VALOR],,0),"")</f>
        <v/>
      </c>
      <c r="F2680" s="33"/>
      <c r="G2680" s="34" t="str">
        <f>IFERROR(IF(F2680&gt;=0,D2680*E2680*(1+F2680/100),ABS(D2680*E2680/F2680)),"")</f>
        <v/>
      </c>
      <c r="H2680" s="43" t="str">
        <f>IFERROR(G2680*E2673,"")</f>
        <v/>
      </c>
    </row>
    <row r="2681" spans="1:10" ht="12.75" customHeight="1">
      <c r="A2681" s="21"/>
      <c r="B2681" s="22" t="s">
        <v>3731</v>
      </c>
      <c r="C2681" s="23"/>
      <c r="D2681" s="24"/>
      <c r="E2681" s="25"/>
      <c r="F2681" s="26"/>
      <c r="G2681" s="27">
        <f>SUM(G2682:G2684)</f>
        <v>9972.1706735535718</v>
      </c>
      <c r="H2681" s="44">
        <f>G2681*E2673</f>
        <v>0</v>
      </c>
    </row>
    <row r="2682" spans="1:10" ht="12.75" customHeight="1">
      <c r="A2682" s="28"/>
      <c r="B2682" s="29" t="s">
        <v>3594</v>
      </c>
      <c r="C2682" s="30" t="str">
        <f>IFERROR(_xlfn.XLOOKUP(B2682,Equipo[DESCRIPCION],Equipo[UND],,0),"")</f>
        <v>Día</v>
      </c>
      <c r="D2682" s="31">
        <v>1</v>
      </c>
      <c r="E2682" s="32">
        <f>IF(C2682="%MO",G2688,IFERROR(_xlfn.XLOOKUP($B2682,Equipo[DESCRIPCION],Equipo[VALOR],,0),""))</f>
        <v>96211.5</v>
      </c>
      <c r="F2682" s="33">
        <v>-12</v>
      </c>
      <c r="G2682" s="34">
        <f>IFERROR(IF(F2682&gt;=0,D2682*E2682*(1+F2682/100),ABS(D2682*E2682/F2682)),"")</f>
        <v>8017.625</v>
      </c>
      <c r="H2682" s="43">
        <f>IFERROR(G2682*E2673,"")</f>
        <v>0</v>
      </c>
    </row>
    <row r="2683" spans="1:10" ht="12.75" customHeight="1">
      <c r="A2683" s="28"/>
      <c r="B2683" s="29" t="s">
        <v>3626</v>
      </c>
      <c r="C2683" s="30" t="str">
        <f>IFERROR(_xlfn.XLOOKUP(B2683,Equipo[DESCRIPCION],Equipo[UND],,0),"")</f>
        <v>%MO</v>
      </c>
      <c r="D2683" s="31">
        <v>0.05</v>
      </c>
      <c r="E2683" s="32">
        <f>IF(C2683="%MO",G2688,IFERROR(_xlfn.XLOOKUP($B2683,Equipo[DESCRIPCION],Equipo[VALOR],,0),""))</f>
        <v>39090.913471071442</v>
      </c>
      <c r="F2683" s="33"/>
      <c r="G2683" s="34">
        <f>IFERROR(IF(F2683&gt;=0,D2683*E2683*(1+F2683/100),ABS(D2683*E2683/F2683)),"")</f>
        <v>1954.5456735535722</v>
      </c>
      <c r="H2683" s="43">
        <f>IFERROR(G2683*E2673,"")</f>
        <v>0</v>
      </c>
    </row>
    <row r="2684" spans="1:10" ht="12.75" customHeight="1">
      <c r="A2684" s="28"/>
      <c r="B2684" s="29"/>
      <c r="C2684" s="30" t="str">
        <f>IFERROR(_xlfn.XLOOKUP(B2684,Equipo[DESCRIPCION],Equipo[UND],,0),"")</f>
        <v/>
      </c>
      <c r="D2684" s="31"/>
      <c r="E2684" s="32" t="str">
        <f>IF(C2684="%MO",G2688,IFERROR(_xlfn.XLOOKUP($B2684,Equipo[DESCRIPCION],Equipo[VALOR],,0),""))</f>
        <v/>
      </c>
      <c r="F2684" s="33"/>
      <c r="G2684" s="34" t="str">
        <f>IFERROR(IF(F2684&gt;=0,D2684*E2684*(1+F2684/100),ABS(D2684*E2684/F2684)),"")</f>
        <v/>
      </c>
      <c r="H2684" s="43" t="str">
        <f>IFERROR(G2684*E2673,"")</f>
        <v/>
      </c>
    </row>
    <row r="2685" spans="1:10" ht="12.75" customHeight="1">
      <c r="A2685" s="21"/>
      <c r="B2685" s="22" t="s">
        <v>2533</v>
      </c>
      <c r="C2685" s="23"/>
      <c r="D2685" s="24"/>
      <c r="E2685" s="25"/>
      <c r="F2685" s="26"/>
      <c r="G2685" s="27">
        <f>SUM(G2686:G2687)</f>
        <v>0</v>
      </c>
      <c r="H2685" s="44">
        <f>G2685*E2673</f>
        <v>0</v>
      </c>
    </row>
    <row r="2686" spans="1:10" ht="12.75" customHeight="1">
      <c r="A2686" s="28"/>
      <c r="B2686" s="29"/>
      <c r="C2686" s="30" t="str">
        <f>IFERROR(_xlfn.XLOOKUP(B2686,Transporte[DESCRIPCION],Transporte[UND],,0),"")</f>
        <v/>
      </c>
      <c r="D2686" s="31"/>
      <c r="E2686" s="32" t="str">
        <f>IFERROR(_xlfn.XLOOKUP($B2686,Transporte[DESCRIPCION],Transporte[VALOR],,0),"")</f>
        <v/>
      </c>
      <c r="F2686" s="33"/>
      <c r="G2686" s="34" t="str">
        <f>IFERROR(IF(F2686&gt;=0,D2686*E2686*(1+F2686/100),ABS(D2686*E2686/F2686)),"")</f>
        <v/>
      </c>
      <c r="H2686" s="43" t="str">
        <f>IFERROR(G2686*E2673,"")</f>
        <v/>
      </c>
    </row>
    <row r="2687" spans="1:10" ht="12.75" customHeight="1">
      <c r="A2687" s="28"/>
      <c r="B2687" s="29"/>
      <c r="C2687" s="30" t="str">
        <f>IFERROR(_xlfn.XLOOKUP(B2687,Transporte[DESCRIPCION],Transporte[UND],,0),"")</f>
        <v/>
      </c>
      <c r="D2687" s="31"/>
      <c r="E2687" s="32" t="str">
        <f>IFERROR(_xlfn.XLOOKUP($B2687,Transporte[DESCRIPCION],Transporte[VALOR],,0),"")</f>
        <v/>
      </c>
      <c r="F2687" s="33"/>
      <c r="G2687" s="34" t="str">
        <f>IFERROR(IF(F2687&gt;=0,D2687*E2687*(1+F2687/100),ABS(D2687*E2687/F2687)),"")</f>
        <v/>
      </c>
      <c r="H2687" s="43" t="str">
        <f>IFERROR(G2687*E2673,"")</f>
        <v/>
      </c>
    </row>
    <row r="2688" spans="1:10" ht="12.75" customHeight="1">
      <c r="A2688" s="21"/>
      <c r="B2688" s="22" t="s">
        <v>3732</v>
      </c>
      <c r="C2688" s="23"/>
      <c r="D2688" s="24"/>
      <c r="E2688" s="25"/>
      <c r="F2688" s="26"/>
      <c r="G2688" s="27">
        <f>SUM(G2689:G2691)</f>
        <v>39090.913471071442</v>
      </c>
      <c r="H2688" s="44">
        <f>G2688*E2673</f>
        <v>0</v>
      </c>
    </row>
    <row r="2689" spans="1:10" ht="12.75" customHeight="1">
      <c r="A2689" s="28"/>
      <c r="B2689" s="29" t="s">
        <v>3712</v>
      </c>
      <c r="C2689" s="30" t="str">
        <f>IFERROR(_xlfn.XLOOKUP(B2689,MObra[DESCRIPCION],MObra[UN],,0),"")</f>
        <v>día</v>
      </c>
      <c r="D2689" s="31">
        <v>1</v>
      </c>
      <c r="E2689" s="32">
        <f>IFERROR(_xlfn.XLOOKUP($B2689,MObra[DESCRIPCION],MObra[VALOR UNIT],,0),"")</f>
        <v>547272.78859500017</v>
      </c>
      <c r="F2689" s="33">
        <v>-14</v>
      </c>
      <c r="G2689" s="34">
        <f>IFERROR(IF(F2689&gt;=0,D2689*E2689*(1+F2689/100),ABS(D2689*E2689/F2689)),"")</f>
        <v>39090.913471071442</v>
      </c>
      <c r="H2689" s="43">
        <f>IFERROR(G2689*E2673,"")</f>
        <v>0</v>
      </c>
    </row>
    <row r="2690" spans="1:10" ht="12.75" customHeight="1">
      <c r="A2690" s="28"/>
      <c r="B2690" s="29"/>
      <c r="C2690" s="30" t="str">
        <f t="array" ref="C2690">IFERROR(_xlfn.XLOOKUP(B2690,MObra[[#All],[DESCRIPCION]],MObra[[#All],[UN]],,0),"")</f>
        <v/>
      </c>
      <c r="D2690" s="31"/>
      <c r="E2690" s="32" t="str">
        <f>IFERROR(_xlfn.XLOOKUP($B2690,MObra[DESCRIPCION],MObra[VALOR UNIT],,0),"")</f>
        <v/>
      </c>
      <c r="F2690" s="33"/>
      <c r="G2690" s="34" t="str">
        <f>IFERROR(IF(F2690&gt;=0,D2690*E2690*(1+F2690/100),ABS(D2690*E2690/F2690)),"")</f>
        <v/>
      </c>
      <c r="H2690" s="43" t="str">
        <f>IFERROR(G2690*E2673,"")</f>
        <v/>
      </c>
    </row>
    <row r="2691" spans="1:10" ht="12.75" customHeight="1" thickBot="1">
      <c r="A2691" s="35"/>
      <c r="B2691" s="36"/>
      <c r="C2691" s="37" t="str">
        <f t="array" ref="C2691">IFERROR(_xlfn.XLOOKUP(B2691,MObra[[#All],[DESCRIPCION]],MObra[[#All],[UN]],,0),"")</f>
        <v/>
      </c>
      <c r="D2691" s="38"/>
      <c r="E2691" s="39" t="str">
        <f>IFERROR(_xlfn.XLOOKUP($B2691,MObra[DESCRIPCION],MObra[VALOR UNIT],,0),"")</f>
        <v/>
      </c>
      <c r="F2691" s="40"/>
      <c r="G2691" s="41" t="str">
        <f>IFERROR(IF(F2691&gt;=0,D2691*E2691*(1+F2691/100),ABS(D2691*E2691/F2691)),"")</f>
        <v/>
      </c>
      <c r="H2691" s="42" t="str">
        <f>IFERROR(G2691*E2673,"")</f>
        <v/>
      </c>
    </row>
    <row r="2692" spans="1:10" ht="12.75" customHeight="1" thickTop="1" thickBot="1">
      <c r="E2692" s="49"/>
      <c r="G2692" s="3"/>
    </row>
    <row r="2693" spans="1:10" ht="12.75" customHeight="1" thickTop="1" thickBot="1">
      <c r="A2693" s="6" t="s">
        <v>290</v>
      </c>
      <c r="B2693" s="7" t="str">
        <f>VLOOKUP($A2693,Presupuesto!$A:$D,2,FALSE())</f>
        <v>Nivelación terreno manual</v>
      </c>
      <c r="C2693" s="8" t="str">
        <f>VLOOKUP($A2693,Presupuesto!$A:$D,3,FALSE())</f>
        <v>M2</v>
      </c>
      <c r="D2693" s="9"/>
      <c r="E2693" s="10">
        <f>VLOOKUP($A2693,Presupuesto!$A:$D,4,FALSE())</f>
        <v>0</v>
      </c>
      <c r="F2693" s="11" t="s">
        <v>2589</v>
      </c>
      <c r="G2693" s="12">
        <f>SUM(G2695:G2711)/2</f>
        <v>7162.1356961389956</v>
      </c>
      <c r="H2693" s="13">
        <f>ROUND(SUM(H2695:H2711),0)/2</f>
        <v>0</v>
      </c>
      <c r="I2693" s="10">
        <f>VLOOKUP(A2693,Presupuesto!$A:$F,6,0)</f>
        <v>0</v>
      </c>
      <c r="J2693" s="10">
        <f>+H2693-I2693</f>
        <v>0</v>
      </c>
    </row>
    <row r="2694" spans="1:10" ht="12.75" customHeight="1" thickTop="1">
      <c r="A2694" s="14"/>
      <c r="B2694" s="15" t="s">
        <v>2586</v>
      </c>
      <c r="C2694" s="15" t="s">
        <v>5</v>
      </c>
      <c r="D2694" s="16" t="s">
        <v>6</v>
      </c>
      <c r="E2694" s="17" t="s">
        <v>7</v>
      </c>
      <c r="F2694" s="18" t="s">
        <v>3728</v>
      </c>
      <c r="G2694" s="19" t="s">
        <v>3729</v>
      </c>
      <c r="H2694" s="20" t="s">
        <v>3797</v>
      </c>
    </row>
    <row r="2695" spans="1:10" ht="12.75" customHeight="1">
      <c r="A2695" s="21"/>
      <c r="B2695" s="22" t="s">
        <v>3730</v>
      </c>
      <c r="C2695" s="23"/>
      <c r="D2695" s="24"/>
      <c r="E2695" s="25"/>
      <c r="F2695" s="26"/>
      <c r="G2695" s="27">
        <f>SUM(G2696:G2700)</f>
        <v>0</v>
      </c>
      <c r="H2695" s="27">
        <f>IFERROR(G2695*E2693,"")</f>
        <v>0</v>
      </c>
    </row>
    <row r="2696" spans="1:10" ht="12.75" customHeight="1">
      <c r="A2696" s="28"/>
      <c r="B2696" s="29"/>
      <c r="C2696" s="30" t="str">
        <f>IFERROR(_xlfn.XLOOKUP(B2696,Insumo[DESCRIPCION],Insumo[UND],,0),"")</f>
        <v/>
      </c>
      <c r="D2696" s="31"/>
      <c r="E2696" s="32" t="str">
        <f>IFERROR(_xlfn.XLOOKUP($B2696,Insumo[DESCRIPCION],Insumo[VALOR],,0),"")</f>
        <v/>
      </c>
      <c r="F2696" s="33"/>
      <c r="G2696" s="34" t="str">
        <f>IFERROR(IF(F2696&gt;=0,D2696*E2696*(1+F2696/100),ABS(D2696*E2696/F2696)),"")</f>
        <v/>
      </c>
      <c r="H2696" s="43" t="str">
        <f>IFERROR(G2696*E2693,"")</f>
        <v/>
      </c>
    </row>
    <row r="2697" spans="1:10" ht="12.75" customHeight="1">
      <c r="A2697" s="28"/>
      <c r="B2697" s="29"/>
      <c r="C2697" s="30" t="str">
        <f>IFERROR(_xlfn.XLOOKUP(B2697,Insumo[DESCRIPCION],Insumo[UND],,0),"")</f>
        <v/>
      </c>
      <c r="D2697" s="31"/>
      <c r="E2697" s="32" t="str">
        <f>IFERROR(_xlfn.XLOOKUP($B2697,Insumo[DESCRIPCION],Insumo[VALOR],,0),"")</f>
        <v/>
      </c>
      <c r="F2697" s="33"/>
      <c r="G2697" s="34" t="str">
        <f>IFERROR(IF(F2697&gt;=0,D2697*E2697*(1+F2697/100),ABS(D2697*E2697/F2697)),"")</f>
        <v/>
      </c>
      <c r="H2697" s="43" t="str">
        <f>IFERROR(G2697*E2693,"")</f>
        <v/>
      </c>
    </row>
    <row r="2698" spans="1:10" ht="12.75" customHeight="1">
      <c r="A2698" s="28"/>
      <c r="B2698" s="29"/>
      <c r="C2698" s="30" t="str">
        <f>IFERROR(_xlfn.XLOOKUP(B2698,Insumo[DESCRIPCION],Insumo[UND],,0),"")</f>
        <v/>
      </c>
      <c r="D2698" s="31"/>
      <c r="E2698" s="32" t="str">
        <f>IFERROR(_xlfn.XLOOKUP($B2698,Insumo[DESCRIPCION],Insumo[VALOR],,0),"")</f>
        <v/>
      </c>
      <c r="F2698" s="33"/>
      <c r="G2698" s="34" t="str">
        <f>IFERROR(IF(F2698&gt;=0,D2698*E2698*(1+F2698/100),ABS(D2698*E2698/F2698)),"")</f>
        <v/>
      </c>
      <c r="H2698" s="43" t="str">
        <f>IFERROR(G2698*E2693,"")</f>
        <v/>
      </c>
    </row>
    <row r="2699" spans="1:10" ht="12.75" customHeight="1">
      <c r="A2699" s="28"/>
      <c r="B2699" s="29"/>
      <c r="C2699" s="30" t="str">
        <f>IFERROR(_xlfn.XLOOKUP(B2699,Insumo[DESCRIPCION],Insumo[UND],,0),"")</f>
        <v/>
      </c>
      <c r="D2699" s="31"/>
      <c r="E2699" s="32" t="str">
        <f>IFERROR(_xlfn.XLOOKUP($B2699,Insumo[DESCRIPCION],Insumo[VALOR],,0),"")</f>
        <v/>
      </c>
      <c r="F2699" s="33"/>
      <c r="G2699" s="34" t="str">
        <f>IFERROR(IF(F2699&gt;=0,D2699*E2699*(1+F2699/100),ABS(D2699*E2699/F2699)),"")</f>
        <v/>
      </c>
      <c r="H2699" s="43" t="str">
        <f>IFERROR(G2699*E2693,"")</f>
        <v/>
      </c>
    </row>
    <row r="2700" spans="1:10" ht="12.75" customHeight="1">
      <c r="A2700" s="28"/>
      <c r="B2700" s="29"/>
      <c r="C2700" s="30" t="str">
        <f>IFERROR(_xlfn.XLOOKUP(B2700,Insumo[DESCRIPCION],Insumo[UND],,0),"")</f>
        <v/>
      </c>
      <c r="D2700" s="31"/>
      <c r="E2700" s="32" t="str">
        <f>IFERROR(_xlfn.XLOOKUP($B2700,Insumo[DESCRIPCION],Insumo[VALOR],,0),"")</f>
        <v/>
      </c>
      <c r="F2700" s="33"/>
      <c r="G2700" s="34" t="str">
        <f>IFERROR(IF(F2700&gt;=0,D2700*E2700*(1+F2700/100),ABS(D2700*E2700/F2700)),"")</f>
        <v/>
      </c>
      <c r="H2700" s="43" t="str">
        <f>IFERROR(G2700*E2693,"")</f>
        <v/>
      </c>
    </row>
    <row r="2701" spans="1:10" ht="12.75" customHeight="1">
      <c r="A2701" s="21"/>
      <c r="B2701" s="22" t="s">
        <v>3731</v>
      </c>
      <c r="C2701" s="23"/>
      <c r="D2701" s="24"/>
      <c r="E2701" s="25"/>
      <c r="F2701" s="26"/>
      <c r="G2701" s="27">
        <f>SUM(G2702:G2704)</f>
        <v>591.3690024334951</v>
      </c>
      <c r="H2701" s="44">
        <f>G2701*E2693</f>
        <v>0</v>
      </c>
    </row>
    <row r="2702" spans="1:10" ht="12.75" customHeight="1">
      <c r="A2702" s="28"/>
      <c r="B2702" s="29" t="s">
        <v>3570</v>
      </c>
      <c r="C2702" s="30" t="str">
        <f>IFERROR(_xlfn.XLOOKUP(B2702,Equipo[DESCRIPCION],Equipo[UND],,0),"")</f>
        <v>%MO</v>
      </c>
      <c r="D2702" s="31">
        <v>0.04</v>
      </c>
      <c r="E2702" s="32">
        <f>IF(C2702="%MO",G2708,IFERROR(_xlfn.XLOOKUP($B2702,Equipo[DESCRIPCION],Equipo[VALOR],,0),""))</f>
        <v>6570.766693705501</v>
      </c>
      <c r="F2702" s="33"/>
      <c r="G2702" s="34">
        <f>IFERROR(IF(F2702&gt;=0,D2702*E2702*(1+F2702/100),ABS(D2702*E2702/F2702)),"")</f>
        <v>262.83066774822004</v>
      </c>
      <c r="H2702" s="43">
        <f>IFERROR(G2702*E2693,"")</f>
        <v>0</v>
      </c>
    </row>
    <row r="2703" spans="1:10" ht="12.75" customHeight="1">
      <c r="A2703" s="28"/>
      <c r="B2703" s="29" t="s">
        <v>3626</v>
      </c>
      <c r="C2703" s="30" t="str">
        <f>IFERROR(_xlfn.XLOOKUP(B2703,Equipo[DESCRIPCION],Equipo[UND],,0),"")</f>
        <v>%MO</v>
      </c>
      <c r="D2703" s="31">
        <v>0.05</v>
      </c>
      <c r="E2703" s="32">
        <f>IF(C2703="%MO",G2708,IFERROR(_xlfn.XLOOKUP($B2703,Equipo[DESCRIPCION],Equipo[VALOR],,0),""))</f>
        <v>6570.766693705501</v>
      </c>
      <c r="F2703" s="33"/>
      <c r="G2703" s="34">
        <f>IFERROR(IF(F2703&gt;=0,D2703*E2703*(1+F2703/100),ABS(D2703*E2703/F2703)),"")</f>
        <v>328.53833468527506</v>
      </c>
      <c r="H2703" s="43">
        <f>IFERROR(G2703*E2693,"")</f>
        <v>0</v>
      </c>
    </row>
    <row r="2704" spans="1:10" ht="12.75" customHeight="1">
      <c r="A2704" s="28"/>
      <c r="B2704" s="29"/>
      <c r="C2704" s="30" t="str">
        <f>IFERROR(_xlfn.XLOOKUP(B2704,Equipo[DESCRIPCION],Equipo[UND],,0),"")</f>
        <v/>
      </c>
      <c r="D2704" s="31"/>
      <c r="E2704" s="32" t="str">
        <f>IF(C2704="%MO",G2708,IFERROR(_xlfn.XLOOKUP($B2704,Equipo[DESCRIPCION],Equipo[VALOR],,0),""))</f>
        <v/>
      </c>
      <c r="F2704" s="33"/>
      <c r="G2704" s="34" t="str">
        <f>IFERROR(IF(F2704&gt;=0,D2704*E2704*(1+F2704/100),ABS(D2704*E2704/F2704)),"")</f>
        <v/>
      </c>
      <c r="H2704" s="43" t="str">
        <f>IFERROR(G2704*E2693,"")</f>
        <v/>
      </c>
    </row>
    <row r="2705" spans="1:10" ht="12.75" customHeight="1">
      <c r="A2705" s="21"/>
      <c r="B2705" s="22" t="s">
        <v>2533</v>
      </c>
      <c r="C2705" s="23"/>
      <c r="D2705" s="24"/>
      <c r="E2705" s="25"/>
      <c r="F2705" s="26"/>
      <c r="G2705" s="27">
        <f>SUM(G2706:G2707)</f>
        <v>0</v>
      </c>
      <c r="H2705" s="44">
        <f>G2705*E2693</f>
        <v>0</v>
      </c>
    </row>
    <row r="2706" spans="1:10" ht="12.75" customHeight="1">
      <c r="A2706" s="28"/>
      <c r="B2706" s="29"/>
      <c r="C2706" s="30" t="str">
        <f>IFERROR(_xlfn.XLOOKUP(B2706,Transporte[DESCRIPCION],Transporte[UND],,0),"")</f>
        <v/>
      </c>
      <c r="D2706" s="31"/>
      <c r="E2706" s="32" t="str">
        <f>IFERROR(_xlfn.XLOOKUP($B2706,Transporte[DESCRIPCION],Transporte[VALOR],,0),"")</f>
        <v/>
      </c>
      <c r="F2706" s="33"/>
      <c r="G2706" s="34" t="str">
        <f>IFERROR(IF(F2706&gt;=0,D2706*E2706*(1+F2706/100),ABS(D2706*E2706/F2706)),"")</f>
        <v/>
      </c>
      <c r="H2706" s="43" t="str">
        <f>IFERROR(G2706*E2693,"")</f>
        <v/>
      </c>
    </row>
    <row r="2707" spans="1:10" ht="12.75" customHeight="1">
      <c r="A2707" s="28"/>
      <c r="B2707" s="29"/>
      <c r="C2707" s="30" t="str">
        <f>IFERROR(_xlfn.XLOOKUP(B2707,Transporte[DESCRIPCION],Transporte[UND],,0),"")</f>
        <v/>
      </c>
      <c r="D2707" s="31"/>
      <c r="E2707" s="32" t="str">
        <f>IFERROR(_xlfn.XLOOKUP($B2707,Transporte[DESCRIPCION],Transporte[VALOR],,0),"")</f>
        <v/>
      </c>
      <c r="F2707" s="33"/>
      <c r="G2707" s="34" t="str">
        <f>IFERROR(IF(F2707&gt;=0,D2707*E2707*(1+F2707/100),ABS(D2707*E2707/F2707)),"")</f>
        <v/>
      </c>
      <c r="H2707" s="43" t="str">
        <f>IFERROR(G2707*E2693,"")</f>
        <v/>
      </c>
    </row>
    <row r="2708" spans="1:10" ht="12.75" customHeight="1">
      <c r="A2708" s="21"/>
      <c r="B2708" s="22" t="s">
        <v>3732</v>
      </c>
      <c r="C2708" s="23"/>
      <c r="D2708" s="24"/>
      <c r="E2708" s="25"/>
      <c r="F2708" s="26"/>
      <c r="G2708" s="27">
        <f>SUM(G2709:G2711)</f>
        <v>6570.766693705501</v>
      </c>
      <c r="H2708" s="44">
        <f>G2708*E2693</f>
        <v>0</v>
      </c>
    </row>
    <row r="2709" spans="1:10" ht="12.75" customHeight="1">
      <c r="A2709" s="28"/>
      <c r="B2709" s="29" t="s">
        <v>3710</v>
      </c>
      <c r="C2709" s="30" t="str">
        <f>IFERROR(_xlfn.XLOOKUP(B2709,MObra[DESCRIPCION],MObra[UN],,0),"")</f>
        <v>día</v>
      </c>
      <c r="D2709" s="31">
        <v>1</v>
      </c>
      <c r="E2709" s="32">
        <f>IFERROR(_xlfn.XLOOKUP($B2709,MObra[DESCRIPCION],MObra[VALOR UNIT],,0),"")</f>
        <v>314390.75089500006</v>
      </c>
      <c r="F2709" s="33">
        <f>-1/0.0209</f>
        <v>-47.846889952153113</v>
      </c>
      <c r="G2709" s="34">
        <f>IFERROR(IF(F2709&gt;=0,D2709*E2709*(1+F2709/100),ABS(D2709*E2709/F2709)),"")</f>
        <v>6570.766693705501</v>
      </c>
      <c r="H2709" s="43">
        <f>IFERROR(G2709*E2693,"")</f>
        <v>0</v>
      </c>
    </row>
    <row r="2710" spans="1:10" ht="12.75" customHeight="1">
      <c r="A2710" s="28"/>
      <c r="B2710" s="29"/>
      <c r="C2710" s="30" t="str">
        <f t="array" ref="C2710">IFERROR(_xlfn.XLOOKUP(B2710,MObra[[#All],[DESCRIPCION]],MObra[[#All],[UN]],,0),"")</f>
        <v/>
      </c>
      <c r="D2710" s="31"/>
      <c r="E2710" s="32" t="str">
        <f>IFERROR(_xlfn.XLOOKUP($B2710,MObra[DESCRIPCION],MObra[VALOR UNIT],,0),"")</f>
        <v/>
      </c>
      <c r="F2710" s="33"/>
      <c r="G2710" s="34" t="str">
        <f>IFERROR(IF(F2710&gt;=0,D2710*E2710*(1+F2710/100),ABS(D2710*E2710/F2710)),"")</f>
        <v/>
      </c>
      <c r="H2710" s="43" t="str">
        <f>IFERROR(G2710*E2693,"")</f>
        <v/>
      </c>
    </row>
    <row r="2711" spans="1:10" ht="12.75" customHeight="1" thickBot="1">
      <c r="A2711" s="35"/>
      <c r="B2711" s="36"/>
      <c r="C2711" s="37" t="str">
        <f t="array" ref="C2711">IFERROR(_xlfn.XLOOKUP(B2711,MObra[[#All],[DESCRIPCION]],MObra[[#All],[UN]],,0),"")</f>
        <v/>
      </c>
      <c r="D2711" s="38"/>
      <c r="E2711" s="39" t="str">
        <f>IFERROR(_xlfn.XLOOKUP($B2711,MObra[DESCRIPCION],MObra[VALOR UNIT],,0),"")</f>
        <v/>
      </c>
      <c r="F2711" s="40"/>
      <c r="G2711" s="41" t="str">
        <f>IFERROR(IF(F2711&gt;=0,D2711*E2711*(1+F2711/100),ABS(D2711*E2711/F2711)),"")</f>
        <v/>
      </c>
      <c r="H2711" s="42" t="str">
        <f>IFERROR(G2711*E2693,"")</f>
        <v/>
      </c>
    </row>
    <row r="2712" spans="1:10" ht="12.75" customHeight="1" thickTop="1" thickBot="1">
      <c r="E2712" s="49"/>
      <c r="G2712" s="3"/>
    </row>
    <row r="2713" spans="1:10" ht="12.75" customHeight="1" thickTop="1" thickBot="1">
      <c r="A2713" s="6" t="s">
        <v>292</v>
      </c>
      <c r="B2713" s="7" t="str">
        <f>VLOOKUP($A2713,Presupuesto!$A:$D,2,FALSE())</f>
        <v>Piso afirmado suministro + transporte + riego + compactación e=.07 m</v>
      </c>
      <c r="C2713" s="8" t="str">
        <f>VLOOKUP($A2713,Presupuesto!$A:$D,3,FALSE())</f>
        <v>M2</v>
      </c>
      <c r="D2713" s="9"/>
      <c r="E2713" s="10">
        <f>VLOOKUP($A2713,Presupuesto!$A:$D,4,FALSE())</f>
        <v>0</v>
      </c>
      <c r="F2713" s="11" t="s">
        <v>2589</v>
      </c>
      <c r="G2713" s="12">
        <f>SUM(G2715:G2731)/2</f>
        <v>16831.254926142505</v>
      </c>
      <c r="H2713" s="13">
        <f>ROUND(SUM(H2715:H2731),0)/2</f>
        <v>0</v>
      </c>
      <c r="I2713" s="10">
        <f>VLOOKUP(A2713,Presupuesto!$A:$F,6,0)</f>
        <v>0</v>
      </c>
      <c r="J2713" s="10">
        <f>+H2713-I2713</f>
        <v>0</v>
      </c>
    </row>
    <row r="2714" spans="1:10" ht="12.75" customHeight="1" thickTop="1">
      <c r="A2714" s="14"/>
      <c r="B2714" s="15" t="s">
        <v>2586</v>
      </c>
      <c r="C2714" s="15" t="s">
        <v>5</v>
      </c>
      <c r="D2714" s="16" t="s">
        <v>6</v>
      </c>
      <c r="E2714" s="17" t="s">
        <v>7</v>
      </c>
      <c r="F2714" s="18" t="s">
        <v>3728</v>
      </c>
      <c r="G2714" s="19" t="s">
        <v>3729</v>
      </c>
      <c r="H2714" s="20" t="s">
        <v>3797</v>
      </c>
    </row>
    <row r="2715" spans="1:10" ht="12.75" customHeight="1">
      <c r="A2715" s="21"/>
      <c r="B2715" s="22" t="s">
        <v>3730</v>
      </c>
      <c r="C2715" s="23"/>
      <c r="D2715" s="24"/>
      <c r="E2715" s="25"/>
      <c r="F2715" s="26"/>
      <c r="G2715" s="27">
        <f>SUM(G2716:G2720)</f>
        <v>5285.6076000000012</v>
      </c>
      <c r="H2715" s="27">
        <f>IFERROR(G2715*E2713,"")</f>
        <v>0</v>
      </c>
    </row>
    <row r="2716" spans="1:10" ht="12.75" customHeight="1">
      <c r="A2716" s="28"/>
      <c r="B2716" s="29" t="s">
        <v>2683</v>
      </c>
      <c r="C2716" s="30" t="str">
        <f>IFERROR(_xlfn.XLOOKUP(B2716,Insumo[DESCRIPCION],Insumo[UND],,0),"")</f>
        <v>M3</v>
      </c>
      <c r="D2716" s="31">
        <v>7.0000000000000007E-2</v>
      </c>
      <c r="E2716" s="32">
        <f>IFERROR(_xlfn.XLOOKUP($B2716,Insumo[DESCRIPCION],Insumo[VALOR],,0),"")</f>
        <v>53583.600000000006</v>
      </c>
      <c r="F2716" s="33">
        <v>30</v>
      </c>
      <c r="G2716" s="34">
        <f>IFERROR(IF(F2716&gt;=0,D2716*E2716*(1+F2716/100),ABS(D2716*E2716/F2716)),"")</f>
        <v>4876.1076000000012</v>
      </c>
      <c r="H2716" s="43">
        <f>IFERROR(G2716*E2713,"")</f>
        <v>0</v>
      </c>
    </row>
    <row r="2717" spans="1:10" ht="12.75" customHeight="1">
      <c r="A2717" s="28"/>
      <c r="B2717" s="29" t="s">
        <v>2685</v>
      </c>
      <c r="C2717" s="30" t="str">
        <f>IFERROR(_xlfn.XLOOKUP(B2717,Insumo[DESCRIPCION],Insumo[UND],,0),"")</f>
        <v>Lt</v>
      </c>
      <c r="D2717" s="31">
        <v>15</v>
      </c>
      <c r="E2717" s="32">
        <f>IFERROR(_xlfn.XLOOKUP($B2717,Insumo[DESCRIPCION],Insumo[VALOR],,0),"")</f>
        <v>27.3</v>
      </c>
      <c r="F2717" s="33"/>
      <c r="G2717" s="34">
        <f>IFERROR(IF(F2717&gt;=0,D2717*E2717*(1+F2717/100),ABS(D2717*E2717/F2717)),"")</f>
        <v>409.5</v>
      </c>
      <c r="H2717" s="43">
        <f>IFERROR(G2717*E2713,"")</f>
        <v>0</v>
      </c>
    </row>
    <row r="2718" spans="1:10" ht="12.75" customHeight="1">
      <c r="A2718" s="28"/>
      <c r="B2718" s="29"/>
      <c r="C2718" s="30" t="str">
        <f>IFERROR(_xlfn.XLOOKUP(B2718,Insumo[DESCRIPCION],Insumo[UND],,0),"")</f>
        <v/>
      </c>
      <c r="D2718" s="31"/>
      <c r="E2718" s="32" t="str">
        <f>IFERROR(_xlfn.XLOOKUP($B2718,Insumo[DESCRIPCION],Insumo[VALOR],,0),"")</f>
        <v/>
      </c>
      <c r="F2718" s="33"/>
      <c r="G2718" s="34" t="str">
        <f>IFERROR(IF(F2718&gt;=0,D2718*E2718*(1+F2718/100),ABS(D2718*E2718/F2718)),"")</f>
        <v/>
      </c>
      <c r="H2718" s="43" t="str">
        <f>IFERROR(G2718*E2713,"")</f>
        <v/>
      </c>
    </row>
    <row r="2719" spans="1:10" ht="12.75" customHeight="1">
      <c r="A2719" s="28"/>
      <c r="B2719" s="29"/>
      <c r="C2719" s="30" t="str">
        <f>IFERROR(_xlfn.XLOOKUP(B2719,Insumo[DESCRIPCION],Insumo[UND],,0),"")</f>
        <v/>
      </c>
      <c r="D2719" s="31"/>
      <c r="E2719" s="32" t="str">
        <f>IFERROR(_xlfn.XLOOKUP($B2719,Insumo[DESCRIPCION],Insumo[VALOR],,0),"")</f>
        <v/>
      </c>
      <c r="F2719" s="33"/>
      <c r="G2719" s="34" t="str">
        <f>IFERROR(IF(F2719&gt;=0,D2719*E2719*(1+F2719/100),ABS(D2719*E2719/F2719)),"")</f>
        <v/>
      </c>
      <c r="H2719" s="43" t="str">
        <f>IFERROR(G2719*E2713,"")</f>
        <v/>
      </c>
    </row>
    <row r="2720" spans="1:10" ht="12.75" customHeight="1">
      <c r="A2720" s="28"/>
      <c r="B2720" s="29"/>
      <c r="C2720" s="30" t="str">
        <f>IFERROR(_xlfn.XLOOKUP(B2720,Insumo[DESCRIPCION],Insumo[UND],,0),"")</f>
        <v/>
      </c>
      <c r="D2720" s="31"/>
      <c r="E2720" s="32" t="str">
        <f>IFERROR(_xlfn.XLOOKUP($B2720,Insumo[DESCRIPCION],Insumo[VALOR],,0),"")</f>
        <v/>
      </c>
      <c r="F2720" s="33"/>
      <c r="G2720" s="34" t="str">
        <f>IFERROR(IF(F2720&gt;=0,D2720*E2720*(1+F2720/100),ABS(D2720*E2720/F2720)),"")</f>
        <v/>
      </c>
      <c r="H2720" s="43" t="str">
        <f>IFERROR(G2720*E2713,"")</f>
        <v/>
      </c>
    </row>
    <row r="2721" spans="1:10" ht="12.75" customHeight="1">
      <c r="A2721" s="21"/>
      <c r="B2721" s="22" t="s">
        <v>3731</v>
      </c>
      <c r="C2721" s="23"/>
      <c r="D2721" s="24"/>
      <c r="E2721" s="25"/>
      <c r="F2721" s="26"/>
      <c r="G2721" s="27">
        <f>SUM(G2722:G2724)</f>
        <v>2424.4341828925003</v>
      </c>
      <c r="H2721" s="44">
        <f>G2721*E2713</f>
        <v>0</v>
      </c>
    </row>
    <row r="2722" spans="1:10" ht="12.75" customHeight="1">
      <c r="A2722" s="28"/>
      <c r="B2722" s="29" t="s">
        <v>3570</v>
      </c>
      <c r="C2722" s="30" t="str">
        <f>IFERROR(_xlfn.XLOOKUP(B2722,Equipo[DESCRIPCION],Equipo[UND],,0),"")</f>
        <v>%MO</v>
      </c>
      <c r="D2722" s="31">
        <v>0.04</v>
      </c>
      <c r="E2722" s="32">
        <f>IF(C2722="%MO",G2728,IFERROR(_xlfn.XLOOKUP($B2722,Equipo[DESCRIPCION],Equipo[VALOR],,0),""))</f>
        <v>9121.2131432500028</v>
      </c>
      <c r="F2722" s="33"/>
      <c r="G2722" s="34">
        <f>IFERROR(IF(F2722&gt;=0,D2722*E2722*(1+F2722/100),ABS(D2722*E2722/F2722)),"")</f>
        <v>364.84852573000012</v>
      </c>
      <c r="H2722" s="43">
        <f>IFERROR(G2722*E2713,"")</f>
        <v>0</v>
      </c>
    </row>
    <row r="2723" spans="1:10" ht="12.75" customHeight="1">
      <c r="A2723" s="28"/>
      <c r="B2723" s="29" t="s">
        <v>3626</v>
      </c>
      <c r="C2723" s="30" t="str">
        <f>IFERROR(_xlfn.XLOOKUP(B2723,Equipo[DESCRIPCION],Equipo[UND],,0),"")</f>
        <v>%MO</v>
      </c>
      <c r="D2723" s="31">
        <v>0.05</v>
      </c>
      <c r="E2723" s="32">
        <f>IF(C2723="%MO",G2728,IFERROR(_xlfn.XLOOKUP($B2723,Equipo[DESCRIPCION],Equipo[VALOR],,0),""))</f>
        <v>9121.2131432500028</v>
      </c>
      <c r="F2723" s="33"/>
      <c r="G2723" s="34">
        <f>IFERROR(IF(F2723&gt;=0,D2723*E2723*(1+F2723/100),ABS(D2723*E2723/F2723)),"")</f>
        <v>456.06065716250015</v>
      </c>
      <c r="H2723" s="43">
        <f>IFERROR(G2723*E2713,"")</f>
        <v>0</v>
      </c>
    </row>
    <row r="2724" spans="1:10" ht="12.75" customHeight="1">
      <c r="A2724" s="28"/>
      <c r="B2724" s="29" t="s">
        <v>3594</v>
      </c>
      <c r="C2724" s="30" t="str">
        <f>IFERROR(_xlfn.XLOOKUP(B2724,Equipo[DESCRIPCION],Equipo[UND],,0),"")</f>
        <v>Día</v>
      </c>
      <c r="D2724" s="31">
        <v>1</v>
      </c>
      <c r="E2724" s="32">
        <f>IF(C2724="%MO",G2728,IFERROR(_xlfn.XLOOKUP($B2724,Equipo[DESCRIPCION],Equipo[VALOR],,0),""))</f>
        <v>96211.5</v>
      </c>
      <c r="F2724" s="33">
        <v>-60</v>
      </c>
      <c r="G2724" s="34">
        <f>IFERROR(IF(F2724&gt;=0,D2724*E2724*(1+F2724/100),ABS(D2724*E2724/F2724)),"")</f>
        <v>1603.5250000000001</v>
      </c>
      <c r="H2724" s="43">
        <f>IFERROR(G2724*E2713,"")</f>
        <v>0</v>
      </c>
    </row>
    <row r="2725" spans="1:10" ht="12.75" customHeight="1">
      <c r="A2725" s="21"/>
      <c r="B2725" s="22" t="s">
        <v>2533</v>
      </c>
      <c r="C2725" s="23"/>
      <c r="D2725" s="24"/>
      <c r="E2725" s="25"/>
      <c r="F2725" s="26"/>
      <c r="G2725" s="27">
        <f>SUM(G2726:G2727)</f>
        <v>0</v>
      </c>
      <c r="H2725" s="44">
        <f>G2725*E2713</f>
        <v>0</v>
      </c>
    </row>
    <row r="2726" spans="1:10" ht="12.75" customHeight="1">
      <c r="A2726" s="28"/>
      <c r="B2726" s="29"/>
      <c r="C2726" s="30" t="str">
        <f>IFERROR(_xlfn.XLOOKUP(B2726,Transporte[DESCRIPCION],Transporte[UND],,0),"")</f>
        <v/>
      </c>
      <c r="D2726" s="31"/>
      <c r="E2726" s="32" t="str">
        <f>IFERROR(_xlfn.XLOOKUP($B2726,Transporte[DESCRIPCION],Transporte[VALOR],,0),"")</f>
        <v/>
      </c>
      <c r="F2726" s="33"/>
      <c r="G2726" s="34" t="str">
        <f>IFERROR(IF(F2726&gt;=0,D2726*E2726*(1+F2726/100),ABS(D2726*E2726/F2726)),"")</f>
        <v/>
      </c>
      <c r="H2726" s="43" t="str">
        <f>IFERROR(G2726*E2713,"")</f>
        <v/>
      </c>
    </row>
    <row r="2727" spans="1:10" ht="12.75" customHeight="1">
      <c r="A2727" s="28"/>
      <c r="B2727" s="29"/>
      <c r="C2727" s="30" t="str">
        <f>IFERROR(_xlfn.XLOOKUP(B2727,Transporte[DESCRIPCION],Transporte[UND],,0),"")</f>
        <v/>
      </c>
      <c r="D2727" s="31"/>
      <c r="E2727" s="32" t="str">
        <f>IFERROR(_xlfn.XLOOKUP($B2727,Transporte[DESCRIPCION],Transporte[VALOR],,0),"")</f>
        <v/>
      </c>
      <c r="F2727" s="33"/>
      <c r="G2727" s="34" t="str">
        <f>IFERROR(IF(F2727&gt;=0,D2727*E2727*(1+F2727/100),ABS(D2727*E2727/F2727)),"")</f>
        <v/>
      </c>
      <c r="H2727" s="43" t="str">
        <f>IFERROR(G2727*E2713,"")</f>
        <v/>
      </c>
    </row>
    <row r="2728" spans="1:10" ht="12.75" customHeight="1">
      <c r="A2728" s="21"/>
      <c r="B2728" s="22" t="s">
        <v>3732</v>
      </c>
      <c r="C2728" s="23"/>
      <c r="D2728" s="24"/>
      <c r="E2728" s="25"/>
      <c r="F2728" s="26"/>
      <c r="G2728" s="27">
        <f>SUM(G2729:G2731)</f>
        <v>9121.2131432500028</v>
      </c>
      <c r="H2728" s="44">
        <f>G2728*E2713</f>
        <v>0</v>
      </c>
    </row>
    <row r="2729" spans="1:10" ht="12.75" customHeight="1">
      <c r="A2729" s="28"/>
      <c r="B2729" s="29" t="s">
        <v>3712</v>
      </c>
      <c r="C2729" s="30" t="str">
        <f>IFERROR(_xlfn.XLOOKUP(B2729,MObra[DESCRIPCION],MObra[UN],,0),"")</f>
        <v>día</v>
      </c>
      <c r="D2729" s="31">
        <v>1</v>
      </c>
      <c r="E2729" s="32">
        <f>IFERROR(_xlfn.XLOOKUP($B2729,MObra[DESCRIPCION],MObra[VALOR UNIT],,0),"")</f>
        <v>547272.78859500017</v>
      </c>
      <c r="F2729" s="33">
        <v>-60</v>
      </c>
      <c r="G2729" s="34">
        <f>IFERROR(IF(F2729&gt;=0,D2729*E2729*(1+F2729/100),ABS(D2729*E2729/F2729)),"")</f>
        <v>9121.2131432500028</v>
      </c>
      <c r="H2729" s="43">
        <f>IFERROR(G2729*E2713,"")</f>
        <v>0</v>
      </c>
    </row>
    <row r="2730" spans="1:10" ht="12.75" customHeight="1">
      <c r="A2730" s="28"/>
      <c r="B2730" s="29"/>
      <c r="C2730" s="30" t="str">
        <f t="array" ref="C2730">IFERROR(_xlfn.XLOOKUP(B2730,MObra[[#All],[DESCRIPCION]],MObra[[#All],[UN]],,0),"")</f>
        <v/>
      </c>
      <c r="D2730" s="31"/>
      <c r="E2730" s="32" t="str">
        <f>IFERROR(_xlfn.XLOOKUP($B2730,MObra[DESCRIPCION],MObra[VALOR UNIT],,0),"")</f>
        <v/>
      </c>
      <c r="F2730" s="33"/>
      <c r="G2730" s="34" t="str">
        <f>IFERROR(IF(F2730&gt;=0,D2730*E2730*(1+F2730/100),ABS(D2730*E2730/F2730)),"")</f>
        <v/>
      </c>
      <c r="H2730" s="43" t="str">
        <f>IFERROR(G2730*E2713,"")</f>
        <v/>
      </c>
    </row>
    <row r="2731" spans="1:10" ht="12.75" customHeight="1" thickBot="1">
      <c r="A2731" s="35"/>
      <c r="B2731" s="36"/>
      <c r="C2731" s="37" t="str">
        <f t="array" ref="C2731">IFERROR(_xlfn.XLOOKUP(B2731,MObra[[#All],[DESCRIPCION]],MObra[[#All],[UN]],,0),"")</f>
        <v/>
      </c>
      <c r="D2731" s="38"/>
      <c r="E2731" s="39" t="str">
        <f>IFERROR(_xlfn.XLOOKUP($B2731,MObra[DESCRIPCION],MObra[VALOR UNIT],,0),"")</f>
        <v/>
      </c>
      <c r="F2731" s="40"/>
      <c r="G2731" s="41" t="str">
        <f>IFERROR(IF(F2731&gt;=0,D2731*E2731*(1+F2731/100),ABS(D2731*E2731/F2731)),"")</f>
        <v/>
      </c>
      <c r="H2731" s="42" t="str">
        <f>IFERROR(G2731*E2713,"")</f>
        <v/>
      </c>
    </row>
    <row r="2732" spans="1:10" ht="12.75" customHeight="1" thickTop="1" thickBot="1">
      <c r="E2732" s="49"/>
      <c r="G2732" s="3"/>
    </row>
    <row r="2733" spans="1:10" ht="12.75" customHeight="1" thickTop="1" thickBot="1">
      <c r="A2733" s="6" t="s">
        <v>294</v>
      </c>
      <c r="B2733" s="7" t="str">
        <f>VLOOKUP($A2733,Presupuesto!$A:$D,2,FALSE())</f>
        <v>Piso afirmado suministro + transporte + riego + compactación e=.10 m</v>
      </c>
      <c r="C2733" s="8" t="str">
        <f>VLOOKUP($A2733,Presupuesto!$A:$D,3,FALSE())</f>
        <v>M2</v>
      </c>
      <c r="D2733" s="9"/>
      <c r="E2733" s="10">
        <f>VLOOKUP($A2733,Presupuesto!$A:$D,4,FALSE())</f>
        <v>0</v>
      </c>
      <c r="F2733" s="11" t="s">
        <v>2589</v>
      </c>
      <c r="G2733" s="12">
        <f>SUM(G2735:G2751)/2</f>
        <v>18507.722596326195</v>
      </c>
      <c r="H2733" s="13">
        <f>ROUND(SUM(H2735:H2751),0)/2</f>
        <v>0</v>
      </c>
      <c r="I2733" s="10">
        <f>VLOOKUP(A2733,Presupuesto!$A:$F,6,0)</f>
        <v>0</v>
      </c>
      <c r="J2733" s="10">
        <f>+H2733-I2733</f>
        <v>0</v>
      </c>
    </row>
    <row r="2734" spans="1:10" ht="12.75" customHeight="1" thickTop="1">
      <c r="A2734" s="14"/>
      <c r="B2734" s="15" t="s">
        <v>2586</v>
      </c>
      <c r="C2734" s="15" t="s">
        <v>5</v>
      </c>
      <c r="D2734" s="16" t="s">
        <v>6</v>
      </c>
      <c r="E2734" s="17" t="s">
        <v>7</v>
      </c>
      <c r="F2734" s="18" t="s">
        <v>3728</v>
      </c>
      <c r="G2734" s="19" t="s">
        <v>3729</v>
      </c>
      <c r="H2734" s="20" t="s">
        <v>3797</v>
      </c>
    </row>
    <row r="2735" spans="1:10" ht="12.75" customHeight="1">
      <c r="A2735" s="21"/>
      <c r="B2735" s="22" t="s">
        <v>3730</v>
      </c>
      <c r="C2735" s="23"/>
      <c r="D2735" s="24"/>
      <c r="E2735" s="25"/>
      <c r="F2735" s="26"/>
      <c r="G2735" s="27">
        <f>SUM(G2736:G2740)</f>
        <v>7511.8680000000013</v>
      </c>
      <c r="H2735" s="27">
        <f>IFERROR(G2735*E2733,"")</f>
        <v>0</v>
      </c>
    </row>
    <row r="2736" spans="1:10" ht="12.75" customHeight="1">
      <c r="A2736" s="28"/>
      <c r="B2736" s="29" t="s">
        <v>2683</v>
      </c>
      <c r="C2736" s="30" t="str">
        <f>IFERROR(_xlfn.XLOOKUP(B2736,Insumo[DESCRIPCION],Insumo[UND],,0),"")</f>
        <v>M3</v>
      </c>
      <c r="D2736" s="31">
        <v>0.1</v>
      </c>
      <c r="E2736" s="32">
        <f>IFERROR(_xlfn.XLOOKUP($B2736,Insumo[DESCRIPCION],Insumo[VALOR],,0),"")</f>
        <v>53583.600000000006</v>
      </c>
      <c r="F2736" s="33">
        <v>30</v>
      </c>
      <c r="G2736" s="34">
        <f>IFERROR(IF(F2736&gt;=0,D2736*E2736*(1+F2736/100),ABS(D2736*E2736/F2736)),"")</f>
        <v>6965.8680000000013</v>
      </c>
      <c r="H2736" s="43">
        <f>IFERROR(G2736*E2733,"")</f>
        <v>0</v>
      </c>
    </row>
    <row r="2737" spans="1:8" ht="12.75" customHeight="1">
      <c r="A2737" s="28"/>
      <c r="B2737" s="29" t="s">
        <v>2685</v>
      </c>
      <c r="C2737" s="30" t="str">
        <f>IFERROR(_xlfn.XLOOKUP(B2737,Insumo[DESCRIPCION],Insumo[UND],,0),"")</f>
        <v>Lt</v>
      </c>
      <c r="D2737" s="31">
        <v>20</v>
      </c>
      <c r="E2737" s="32">
        <f>IFERROR(_xlfn.XLOOKUP($B2737,Insumo[DESCRIPCION],Insumo[VALOR],,0),"")</f>
        <v>27.3</v>
      </c>
      <c r="F2737" s="33"/>
      <c r="G2737" s="34">
        <f>IFERROR(IF(F2737&gt;=0,D2737*E2737*(1+F2737/100),ABS(D2737*E2737/F2737)),"")</f>
        <v>546</v>
      </c>
      <c r="H2737" s="43">
        <f>IFERROR(G2737*E2733,"")</f>
        <v>0</v>
      </c>
    </row>
    <row r="2738" spans="1:8" ht="12.75" customHeight="1">
      <c r="A2738" s="28"/>
      <c r="B2738" s="29"/>
      <c r="C2738" s="30" t="str">
        <f>IFERROR(_xlfn.XLOOKUP(B2738,Insumo[DESCRIPCION],Insumo[UND],,0),"")</f>
        <v/>
      </c>
      <c r="D2738" s="31"/>
      <c r="E2738" s="32" t="str">
        <f>IFERROR(_xlfn.XLOOKUP($B2738,Insumo[DESCRIPCION],Insumo[VALOR],,0),"")</f>
        <v/>
      </c>
      <c r="F2738" s="33"/>
      <c r="G2738" s="34" t="str">
        <f>IFERROR(IF(F2738&gt;=0,D2738*E2738*(1+F2738/100),ABS(D2738*E2738/F2738)),"")</f>
        <v/>
      </c>
      <c r="H2738" s="43" t="str">
        <f>IFERROR(G2738*E2733,"")</f>
        <v/>
      </c>
    </row>
    <row r="2739" spans="1:8" ht="12.75" customHeight="1">
      <c r="A2739" s="28"/>
      <c r="B2739" s="29"/>
      <c r="C2739" s="30" t="str">
        <f>IFERROR(_xlfn.XLOOKUP(B2739,Insumo[DESCRIPCION],Insumo[UND],,0),"")</f>
        <v/>
      </c>
      <c r="D2739" s="31"/>
      <c r="E2739" s="32" t="str">
        <f>IFERROR(_xlfn.XLOOKUP($B2739,Insumo[DESCRIPCION],Insumo[VALOR],,0),"")</f>
        <v/>
      </c>
      <c r="F2739" s="33"/>
      <c r="G2739" s="34" t="str">
        <f>IFERROR(IF(F2739&gt;=0,D2739*E2739*(1+F2739/100),ABS(D2739*E2739/F2739)),"")</f>
        <v/>
      </c>
      <c r="H2739" s="43" t="str">
        <f>IFERROR(G2739*E2733,"")</f>
        <v/>
      </c>
    </row>
    <row r="2740" spans="1:8" ht="12.75" customHeight="1">
      <c r="A2740" s="28"/>
      <c r="B2740" s="29"/>
      <c r="C2740" s="30" t="str">
        <f>IFERROR(_xlfn.XLOOKUP(B2740,Insumo[DESCRIPCION],Insumo[UND],,0),"")</f>
        <v/>
      </c>
      <c r="D2740" s="31"/>
      <c r="E2740" s="32" t="str">
        <f>IFERROR(_xlfn.XLOOKUP($B2740,Insumo[DESCRIPCION],Insumo[VALOR],,0),"")</f>
        <v/>
      </c>
      <c r="F2740" s="33"/>
      <c r="G2740" s="34" t="str">
        <f>IFERROR(IF(F2740&gt;=0,D2740*E2740*(1+F2740/100),ABS(D2740*E2740/F2740)),"")</f>
        <v/>
      </c>
      <c r="H2740" s="43" t="str">
        <f>IFERROR(G2740*E2733,"")</f>
        <v/>
      </c>
    </row>
    <row r="2741" spans="1:8" ht="12.75" customHeight="1">
      <c r="A2741" s="21"/>
      <c r="B2741" s="22" t="s">
        <v>3731</v>
      </c>
      <c r="C2741" s="23"/>
      <c r="D2741" s="24"/>
      <c r="E2741" s="25"/>
      <c r="F2741" s="26"/>
      <c r="G2741" s="27">
        <f>SUM(G2742:G2744)</f>
        <v>2308.9849360880958</v>
      </c>
      <c r="H2741" s="44">
        <f>G2741*E2733</f>
        <v>0</v>
      </c>
    </row>
    <row r="2742" spans="1:8" ht="12.75" customHeight="1">
      <c r="A2742" s="28"/>
      <c r="B2742" s="29" t="s">
        <v>3570</v>
      </c>
      <c r="C2742" s="30" t="str">
        <f>IFERROR(_xlfn.XLOOKUP(B2742,Equipo[DESCRIPCION],Equipo[UND],,0),"")</f>
        <v>%MO</v>
      </c>
      <c r="D2742" s="31">
        <v>0.04</v>
      </c>
      <c r="E2742" s="32">
        <f>IF(C2742="%MO",G2748,IFERROR(_xlfn.XLOOKUP($B2742,Equipo[DESCRIPCION],Equipo[VALOR],,0),""))</f>
        <v>8686.8696602380987</v>
      </c>
      <c r="F2742" s="33"/>
      <c r="G2742" s="34">
        <f>IFERROR(IF(F2742&gt;=0,D2742*E2742*(1+F2742/100),ABS(D2742*E2742/F2742)),"")</f>
        <v>347.47478640952397</v>
      </c>
      <c r="H2742" s="43">
        <f>IFERROR(G2742*E2733,"")</f>
        <v>0</v>
      </c>
    </row>
    <row r="2743" spans="1:8" ht="12.75" customHeight="1">
      <c r="A2743" s="28"/>
      <c r="B2743" s="29" t="s">
        <v>3626</v>
      </c>
      <c r="C2743" s="30" t="str">
        <f>IFERROR(_xlfn.XLOOKUP(B2743,Equipo[DESCRIPCION],Equipo[UND],,0),"")</f>
        <v>%MO</v>
      </c>
      <c r="D2743" s="31">
        <v>0.05</v>
      </c>
      <c r="E2743" s="32">
        <f>IF(C2743="%MO",G2748,IFERROR(_xlfn.XLOOKUP($B2743,Equipo[DESCRIPCION],Equipo[VALOR],,0),""))</f>
        <v>8686.8696602380987</v>
      </c>
      <c r="F2743" s="33"/>
      <c r="G2743" s="34">
        <f>IFERROR(IF(F2743&gt;=0,D2743*E2743*(1+F2743/100),ABS(D2743*E2743/F2743)),"")</f>
        <v>434.34348301190494</v>
      </c>
      <c r="H2743" s="43">
        <f>IFERROR(G2743*E2733,"")</f>
        <v>0</v>
      </c>
    </row>
    <row r="2744" spans="1:8" ht="12.75" customHeight="1">
      <c r="A2744" s="28"/>
      <c r="B2744" s="29" t="s">
        <v>3594</v>
      </c>
      <c r="C2744" s="30" t="str">
        <f>IFERROR(_xlfn.XLOOKUP(B2744,Equipo[DESCRIPCION],Equipo[UND],,0),"")</f>
        <v>Día</v>
      </c>
      <c r="D2744" s="31">
        <v>1</v>
      </c>
      <c r="E2744" s="32">
        <f>IF(C2744="%MO",G2748,IFERROR(_xlfn.XLOOKUP($B2744,Equipo[DESCRIPCION],Equipo[VALOR],,0),""))</f>
        <v>96211.5</v>
      </c>
      <c r="F2744" s="33">
        <v>-63</v>
      </c>
      <c r="G2744" s="34">
        <f>IFERROR(IF(F2744&gt;=0,D2744*E2744*(1+F2744/100),ABS(D2744*E2744/F2744)),"")</f>
        <v>1527.1666666666667</v>
      </c>
      <c r="H2744" s="43">
        <f>IFERROR(G2744*E2733,"")</f>
        <v>0</v>
      </c>
    </row>
    <row r="2745" spans="1:8" ht="12.75" customHeight="1">
      <c r="A2745" s="21"/>
      <c r="B2745" s="22" t="s">
        <v>2533</v>
      </c>
      <c r="C2745" s="23"/>
      <c r="D2745" s="24"/>
      <c r="E2745" s="25"/>
      <c r="F2745" s="26"/>
      <c r="G2745" s="27">
        <f>SUM(G2746:G2747)</f>
        <v>0</v>
      </c>
      <c r="H2745" s="44">
        <f>G2745*E2733</f>
        <v>0</v>
      </c>
    </row>
    <row r="2746" spans="1:8" ht="12.75" customHeight="1">
      <c r="A2746" s="28"/>
      <c r="B2746" s="29"/>
      <c r="C2746" s="30" t="str">
        <f>IFERROR(_xlfn.XLOOKUP(B2746,Transporte[DESCRIPCION],Transporte[UND],,0),"")</f>
        <v/>
      </c>
      <c r="D2746" s="31"/>
      <c r="E2746" s="32" t="str">
        <f>IFERROR(_xlfn.XLOOKUP($B2746,Transporte[DESCRIPCION],Transporte[VALOR],,0),"")</f>
        <v/>
      </c>
      <c r="F2746" s="33"/>
      <c r="G2746" s="34" t="str">
        <f>IFERROR(IF(F2746&gt;=0,D2746*E2746*(1+F2746/100),ABS(D2746*E2746/F2746)),"")</f>
        <v/>
      </c>
      <c r="H2746" s="43" t="str">
        <f>IFERROR(G2746*E2733,"")</f>
        <v/>
      </c>
    </row>
    <row r="2747" spans="1:8" ht="12.75" customHeight="1">
      <c r="A2747" s="28"/>
      <c r="B2747" s="29"/>
      <c r="C2747" s="30" t="str">
        <f>IFERROR(_xlfn.XLOOKUP(B2747,Transporte[DESCRIPCION],Transporte[UND],,0),"")</f>
        <v/>
      </c>
      <c r="D2747" s="31"/>
      <c r="E2747" s="32" t="str">
        <f>IFERROR(_xlfn.XLOOKUP($B2747,Transporte[DESCRIPCION],Transporte[VALOR],,0),"")</f>
        <v/>
      </c>
      <c r="F2747" s="33"/>
      <c r="G2747" s="34" t="str">
        <f>IFERROR(IF(F2747&gt;=0,D2747*E2747*(1+F2747/100),ABS(D2747*E2747/F2747)),"")</f>
        <v/>
      </c>
      <c r="H2747" s="43" t="str">
        <f>IFERROR(G2747*E2733,"")</f>
        <v/>
      </c>
    </row>
    <row r="2748" spans="1:8" ht="12.75" customHeight="1">
      <c r="A2748" s="21"/>
      <c r="B2748" s="22" t="s">
        <v>3732</v>
      </c>
      <c r="C2748" s="23"/>
      <c r="D2748" s="24"/>
      <c r="E2748" s="25"/>
      <c r="F2748" s="26"/>
      <c r="G2748" s="27">
        <f>SUM(G2749:G2751)</f>
        <v>8686.8696602380987</v>
      </c>
      <c r="H2748" s="44">
        <f>G2748*E2733</f>
        <v>0</v>
      </c>
    </row>
    <row r="2749" spans="1:8" ht="12.75" customHeight="1">
      <c r="A2749" s="28"/>
      <c r="B2749" s="29" t="s">
        <v>3712</v>
      </c>
      <c r="C2749" s="30" t="str">
        <f>IFERROR(_xlfn.XLOOKUP(B2749,MObra[DESCRIPCION],MObra[UN],,0),"")</f>
        <v>día</v>
      </c>
      <c r="D2749" s="31">
        <v>1</v>
      </c>
      <c r="E2749" s="32">
        <f>IFERROR(_xlfn.XLOOKUP($B2749,MObra[DESCRIPCION],MObra[VALOR UNIT],,0),"")</f>
        <v>547272.78859500017</v>
      </c>
      <c r="F2749" s="33">
        <v>-63</v>
      </c>
      <c r="G2749" s="34">
        <f>IFERROR(IF(F2749&gt;=0,D2749*E2749*(1+F2749/100),ABS(D2749*E2749/F2749)),"")</f>
        <v>8686.8696602380987</v>
      </c>
      <c r="H2749" s="43">
        <f>IFERROR(G2749*E2733,"")</f>
        <v>0</v>
      </c>
    </row>
    <row r="2750" spans="1:8" ht="12.75" customHeight="1">
      <c r="A2750" s="28"/>
      <c r="B2750" s="29"/>
      <c r="C2750" s="30" t="str">
        <f t="array" ref="C2750">IFERROR(_xlfn.XLOOKUP(B2750,MObra[[#All],[DESCRIPCION]],MObra[[#All],[UN]],,0),"")</f>
        <v/>
      </c>
      <c r="D2750" s="31"/>
      <c r="E2750" s="32" t="str">
        <f>IFERROR(_xlfn.XLOOKUP($B2750,MObra[DESCRIPCION],MObra[VALOR UNIT],,0),"")</f>
        <v/>
      </c>
      <c r="F2750" s="33"/>
      <c r="G2750" s="34" t="str">
        <f>IFERROR(IF(F2750&gt;=0,D2750*E2750*(1+F2750/100),ABS(D2750*E2750/F2750)),"")</f>
        <v/>
      </c>
      <c r="H2750" s="43" t="str">
        <f>IFERROR(G2750*E2733,"")</f>
        <v/>
      </c>
    </row>
    <row r="2751" spans="1:8" ht="12.75" customHeight="1" thickBot="1">
      <c r="A2751" s="35"/>
      <c r="B2751" s="36"/>
      <c r="C2751" s="37" t="str">
        <f t="array" ref="C2751">IFERROR(_xlfn.XLOOKUP(B2751,MObra[[#All],[DESCRIPCION]],MObra[[#All],[UN]],,0),"")</f>
        <v/>
      </c>
      <c r="D2751" s="38"/>
      <c r="E2751" s="39" t="str">
        <f>IFERROR(_xlfn.XLOOKUP($B2751,MObra[DESCRIPCION],MObra[VALOR UNIT],,0),"")</f>
        <v/>
      </c>
      <c r="F2751" s="40"/>
      <c r="G2751" s="41" t="str">
        <f>IFERROR(IF(F2751&gt;=0,D2751*E2751*(1+F2751/100),ABS(D2751*E2751/F2751)),"")</f>
        <v/>
      </c>
      <c r="H2751" s="42" t="str">
        <f>IFERROR(G2751*E2733,"")</f>
        <v/>
      </c>
    </row>
    <row r="2752" spans="1:8" ht="12.75" customHeight="1" thickTop="1" thickBot="1">
      <c r="E2752" s="49"/>
      <c r="G2752" s="3"/>
    </row>
    <row r="2753" spans="1:10" ht="12.75" customHeight="1" thickTop="1" thickBot="1">
      <c r="A2753" s="6" t="s">
        <v>296</v>
      </c>
      <c r="B2753" s="7" t="str">
        <f>VLOOKUP($A2753,Presupuesto!$A:$D,2,FALSE())</f>
        <v>Piso afirmado suministro + transporte + riego + compactación e=.15 m</v>
      </c>
      <c r="C2753" s="8" t="str">
        <f>VLOOKUP($A2753,Presupuesto!$A:$D,3,FALSE())</f>
        <v>M2</v>
      </c>
      <c r="D2753" s="9"/>
      <c r="E2753" s="10">
        <f>VLOOKUP($A2753,Presupuesto!$A:$D,4,FALSE())</f>
        <v>0</v>
      </c>
      <c r="F2753" s="11" t="s">
        <v>2589</v>
      </c>
      <c r="G2753" s="12">
        <f>SUM(G2755:G2771)/2</f>
        <v>21925.32260874693</v>
      </c>
      <c r="H2753" s="13">
        <f>ROUND(SUM(H2755:H2771),0)/2</f>
        <v>0</v>
      </c>
      <c r="I2753" s="10">
        <f>VLOOKUP(A2753,Presupuesto!$A:$F,6,0)</f>
        <v>0</v>
      </c>
      <c r="J2753" s="10">
        <f>+H2753-I2753</f>
        <v>0</v>
      </c>
    </row>
    <row r="2754" spans="1:10" ht="12.75" customHeight="1" thickTop="1">
      <c r="A2754" s="14"/>
      <c r="B2754" s="15" t="s">
        <v>2586</v>
      </c>
      <c r="C2754" s="15" t="s">
        <v>5</v>
      </c>
      <c r="D2754" s="16" t="s">
        <v>6</v>
      </c>
      <c r="E2754" s="17" t="s">
        <v>7</v>
      </c>
      <c r="F2754" s="18" t="s">
        <v>3728</v>
      </c>
      <c r="G2754" s="19" t="s">
        <v>3729</v>
      </c>
      <c r="H2754" s="20" t="s">
        <v>3797</v>
      </c>
    </row>
    <row r="2755" spans="1:10" ht="12.75" customHeight="1">
      <c r="A2755" s="21"/>
      <c r="B2755" s="22" t="s">
        <v>3730</v>
      </c>
      <c r="C2755" s="23"/>
      <c r="D2755" s="24"/>
      <c r="E2755" s="25"/>
      <c r="F2755" s="26"/>
      <c r="G2755" s="27">
        <f>SUM(G2756:G2760)</f>
        <v>11267.802000000001</v>
      </c>
      <c r="H2755" s="27">
        <f>IFERROR(G2755*E2753,"")</f>
        <v>0</v>
      </c>
    </row>
    <row r="2756" spans="1:10" ht="12.75" customHeight="1">
      <c r="A2756" s="28"/>
      <c r="B2756" s="29" t="s">
        <v>2683</v>
      </c>
      <c r="C2756" s="30" t="str">
        <f>IFERROR(_xlfn.XLOOKUP(B2756,Insumo[DESCRIPCION],Insumo[UND],,0),"")</f>
        <v>M3</v>
      </c>
      <c r="D2756" s="31">
        <v>0.15</v>
      </c>
      <c r="E2756" s="32">
        <f>IFERROR(_xlfn.XLOOKUP($B2756,Insumo[DESCRIPCION],Insumo[VALOR],,0),"")</f>
        <v>53583.600000000006</v>
      </c>
      <c r="F2756" s="33">
        <v>30</v>
      </c>
      <c r="G2756" s="34">
        <f>IFERROR(IF(F2756&gt;=0,D2756*E2756*(1+F2756/100),ABS(D2756*E2756/F2756)),"")</f>
        <v>10448.802000000001</v>
      </c>
      <c r="H2756" s="43">
        <f>IFERROR(G2756*E2753,"")</f>
        <v>0</v>
      </c>
    </row>
    <row r="2757" spans="1:10" ht="12.75" customHeight="1">
      <c r="A2757" s="28"/>
      <c r="B2757" s="29" t="s">
        <v>2685</v>
      </c>
      <c r="C2757" s="30" t="str">
        <f>IFERROR(_xlfn.XLOOKUP(B2757,Insumo[DESCRIPCION],Insumo[UND],,0),"")</f>
        <v>Lt</v>
      </c>
      <c r="D2757" s="31">
        <v>30</v>
      </c>
      <c r="E2757" s="32">
        <f>IFERROR(_xlfn.XLOOKUP($B2757,Insumo[DESCRIPCION],Insumo[VALOR],,0),"")</f>
        <v>27.3</v>
      </c>
      <c r="F2757" s="33"/>
      <c r="G2757" s="34">
        <f>IFERROR(IF(F2757&gt;=0,D2757*E2757*(1+F2757/100),ABS(D2757*E2757/F2757)),"")</f>
        <v>819</v>
      </c>
      <c r="H2757" s="43">
        <f>IFERROR(G2757*E2753,"")</f>
        <v>0</v>
      </c>
    </row>
    <row r="2758" spans="1:10" ht="12.75" customHeight="1">
      <c r="A2758" s="28"/>
      <c r="B2758" s="29"/>
      <c r="C2758" s="30" t="str">
        <f>IFERROR(_xlfn.XLOOKUP(B2758,Insumo[DESCRIPCION],Insumo[UND],,0),"")</f>
        <v/>
      </c>
      <c r="D2758" s="31"/>
      <c r="E2758" s="32" t="str">
        <f>IFERROR(_xlfn.XLOOKUP($B2758,Insumo[DESCRIPCION],Insumo[VALOR],,0),"")</f>
        <v/>
      </c>
      <c r="F2758" s="33"/>
      <c r="G2758" s="34" t="str">
        <f>IFERROR(IF(F2758&gt;=0,D2758*E2758*(1+F2758/100),ABS(D2758*E2758/F2758)),"")</f>
        <v/>
      </c>
      <c r="H2758" s="43" t="str">
        <f>IFERROR(G2758*E2753,"")</f>
        <v/>
      </c>
    </row>
    <row r="2759" spans="1:10" ht="12.75" customHeight="1">
      <c r="A2759" s="28"/>
      <c r="B2759" s="29"/>
      <c r="C2759" s="30" t="str">
        <f>IFERROR(_xlfn.XLOOKUP(B2759,Insumo[DESCRIPCION],Insumo[UND],,0),"")</f>
        <v/>
      </c>
      <c r="D2759" s="31"/>
      <c r="E2759" s="32" t="str">
        <f>IFERROR(_xlfn.XLOOKUP($B2759,Insumo[DESCRIPCION],Insumo[VALOR],,0),"")</f>
        <v/>
      </c>
      <c r="F2759" s="33"/>
      <c r="G2759" s="34" t="str">
        <f>IFERROR(IF(F2759&gt;=0,D2759*E2759*(1+F2759/100),ABS(D2759*E2759/F2759)),"")</f>
        <v/>
      </c>
      <c r="H2759" s="43" t="str">
        <f>IFERROR(G2759*E2753,"")</f>
        <v/>
      </c>
    </row>
    <row r="2760" spans="1:10" ht="12.75" customHeight="1">
      <c r="A2760" s="28"/>
      <c r="B2760" s="29"/>
      <c r="C2760" s="30" t="str">
        <f>IFERROR(_xlfn.XLOOKUP(B2760,Insumo[DESCRIPCION],Insumo[UND],,0),"")</f>
        <v/>
      </c>
      <c r="D2760" s="31"/>
      <c r="E2760" s="32" t="str">
        <f>IFERROR(_xlfn.XLOOKUP($B2760,Insumo[DESCRIPCION],Insumo[VALOR],,0),"")</f>
        <v/>
      </c>
      <c r="F2760" s="33"/>
      <c r="G2760" s="34" t="str">
        <f>IFERROR(IF(F2760&gt;=0,D2760*E2760*(1+F2760/100),ABS(D2760*E2760/F2760)),"")</f>
        <v/>
      </c>
      <c r="H2760" s="43" t="str">
        <f>IFERROR(G2760*E2753,"")</f>
        <v/>
      </c>
    </row>
    <row r="2761" spans="1:10" ht="12.75" customHeight="1">
      <c r="A2761" s="21"/>
      <c r="B2761" s="22" t="s">
        <v>3731</v>
      </c>
      <c r="C2761" s="23"/>
      <c r="D2761" s="24"/>
      <c r="E2761" s="25"/>
      <c r="F2761" s="26"/>
      <c r="G2761" s="27">
        <f>SUM(G2762:G2764)</f>
        <v>2237.939245746923</v>
      </c>
      <c r="H2761" s="44">
        <f>G2761*E2753</f>
        <v>0</v>
      </c>
    </row>
    <row r="2762" spans="1:10" ht="12.75" customHeight="1">
      <c r="A2762" s="28"/>
      <c r="B2762" s="29" t="s">
        <v>3570</v>
      </c>
      <c r="C2762" s="30" t="str">
        <f>IFERROR(_xlfn.XLOOKUP(B2762,Equipo[DESCRIPCION],Equipo[UND],,0),"")</f>
        <v>%MO</v>
      </c>
      <c r="D2762" s="31">
        <v>0.04</v>
      </c>
      <c r="E2762" s="32">
        <f>IF(C2762="%MO",G2768,IFERROR(_xlfn.XLOOKUP($B2762,Equipo[DESCRIPCION],Equipo[VALOR],,0),""))</f>
        <v>8419.581363000003</v>
      </c>
      <c r="F2762" s="33"/>
      <c r="G2762" s="34">
        <f>IFERROR(IF(F2762&gt;=0,D2762*E2762*(1+F2762/100),ABS(D2762*E2762/F2762)),"")</f>
        <v>336.78325452000013</v>
      </c>
      <c r="H2762" s="43">
        <f>IFERROR(G2762*E2753,"")</f>
        <v>0</v>
      </c>
    </row>
    <row r="2763" spans="1:10" ht="12.75" customHeight="1">
      <c r="A2763" s="28"/>
      <c r="B2763" s="29" t="s">
        <v>3626</v>
      </c>
      <c r="C2763" s="30" t="str">
        <f>IFERROR(_xlfn.XLOOKUP(B2763,Equipo[DESCRIPCION],Equipo[UND],,0),"")</f>
        <v>%MO</v>
      </c>
      <c r="D2763" s="31">
        <v>0.05</v>
      </c>
      <c r="E2763" s="32">
        <f>IF(C2763="%MO",G2768,IFERROR(_xlfn.XLOOKUP($B2763,Equipo[DESCRIPCION],Equipo[VALOR],,0),""))</f>
        <v>8419.581363000003</v>
      </c>
      <c r="F2763" s="33"/>
      <c r="G2763" s="34">
        <f>IFERROR(IF(F2763&gt;=0,D2763*E2763*(1+F2763/100),ABS(D2763*E2763/F2763)),"")</f>
        <v>420.97906815000016</v>
      </c>
      <c r="H2763" s="43">
        <f>IFERROR(G2763*E2753,"")</f>
        <v>0</v>
      </c>
    </row>
    <row r="2764" spans="1:10" ht="12.75" customHeight="1">
      <c r="A2764" s="28"/>
      <c r="B2764" s="29" t="s">
        <v>3594</v>
      </c>
      <c r="C2764" s="30" t="str">
        <f>IFERROR(_xlfn.XLOOKUP(B2764,Equipo[DESCRIPCION],Equipo[UND],,0),"")</f>
        <v>Día</v>
      </c>
      <c r="D2764" s="31">
        <v>1</v>
      </c>
      <c r="E2764" s="32">
        <f>IF(C2764="%MO",G2768,IFERROR(_xlfn.XLOOKUP($B2764,Equipo[DESCRIPCION],Equipo[VALOR],,0),""))</f>
        <v>96211.5</v>
      </c>
      <c r="F2764" s="33">
        <v>-65</v>
      </c>
      <c r="G2764" s="34">
        <f>IFERROR(IF(F2764&gt;=0,D2764*E2764*(1+F2764/100),ABS(D2764*E2764/F2764)),"")</f>
        <v>1480.176923076923</v>
      </c>
      <c r="H2764" s="43">
        <f>IFERROR(G2764*E2753,"")</f>
        <v>0</v>
      </c>
    </row>
    <row r="2765" spans="1:10" ht="12.75" customHeight="1">
      <c r="A2765" s="21"/>
      <c r="B2765" s="22" t="s">
        <v>2533</v>
      </c>
      <c r="C2765" s="23"/>
      <c r="D2765" s="24"/>
      <c r="E2765" s="25"/>
      <c r="F2765" s="26"/>
      <c r="G2765" s="27">
        <f>SUM(G2766:G2767)</f>
        <v>0</v>
      </c>
      <c r="H2765" s="44">
        <f>G2765*E2753</f>
        <v>0</v>
      </c>
    </row>
    <row r="2766" spans="1:10" ht="12.75" customHeight="1">
      <c r="A2766" s="28"/>
      <c r="B2766" s="29"/>
      <c r="C2766" s="30" t="str">
        <f>IFERROR(_xlfn.XLOOKUP(B2766,Transporte[DESCRIPCION],Transporte[UND],,0),"")</f>
        <v/>
      </c>
      <c r="D2766" s="31"/>
      <c r="E2766" s="32" t="str">
        <f>IFERROR(_xlfn.XLOOKUP($B2766,Transporte[DESCRIPCION],Transporte[VALOR],,0),"")</f>
        <v/>
      </c>
      <c r="F2766" s="33"/>
      <c r="G2766" s="34" t="str">
        <f>IFERROR(IF(F2766&gt;=0,D2766*E2766*(1+F2766/100),ABS(D2766*E2766/F2766)),"")</f>
        <v/>
      </c>
      <c r="H2766" s="43" t="str">
        <f>IFERROR(G2766*E2753,"")</f>
        <v/>
      </c>
    </row>
    <row r="2767" spans="1:10" ht="12.75" customHeight="1">
      <c r="A2767" s="28"/>
      <c r="B2767" s="29"/>
      <c r="C2767" s="30" t="str">
        <f>IFERROR(_xlfn.XLOOKUP(B2767,Transporte[DESCRIPCION],Transporte[UND],,0),"")</f>
        <v/>
      </c>
      <c r="D2767" s="31"/>
      <c r="E2767" s="32" t="str">
        <f>IFERROR(_xlfn.XLOOKUP($B2767,Transporte[DESCRIPCION],Transporte[VALOR],,0),"")</f>
        <v/>
      </c>
      <c r="F2767" s="33"/>
      <c r="G2767" s="34" t="str">
        <f>IFERROR(IF(F2767&gt;=0,D2767*E2767*(1+F2767/100),ABS(D2767*E2767/F2767)),"")</f>
        <v/>
      </c>
      <c r="H2767" s="43" t="str">
        <f>IFERROR(G2767*E2753,"")</f>
        <v/>
      </c>
    </row>
    <row r="2768" spans="1:10" ht="12.75" customHeight="1">
      <c r="A2768" s="21"/>
      <c r="B2768" s="22" t="s">
        <v>3732</v>
      </c>
      <c r="C2768" s="23"/>
      <c r="D2768" s="24"/>
      <c r="E2768" s="25"/>
      <c r="F2768" s="26"/>
      <c r="G2768" s="27">
        <f>SUM(G2769:G2771)</f>
        <v>8419.581363000003</v>
      </c>
      <c r="H2768" s="44">
        <f>G2768*E2753</f>
        <v>0</v>
      </c>
    </row>
    <row r="2769" spans="1:10" ht="12.75" customHeight="1">
      <c r="A2769" s="28"/>
      <c r="B2769" s="29" t="s">
        <v>3712</v>
      </c>
      <c r="C2769" s="30" t="str">
        <f>IFERROR(_xlfn.XLOOKUP(B2769,MObra[DESCRIPCION],MObra[UN],,0),"")</f>
        <v>día</v>
      </c>
      <c r="D2769" s="31">
        <v>1</v>
      </c>
      <c r="E2769" s="32">
        <f>IFERROR(_xlfn.XLOOKUP($B2769,MObra[DESCRIPCION],MObra[VALOR UNIT],,0),"")</f>
        <v>547272.78859500017</v>
      </c>
      <c r="F2769" s="33">
        <v>-65</v>
      </c>
      <c r="G2769" s="34">
        <f>IFERROR(IF(F2769&gt;=0,D2769*E2769*(1+F2769/100),ABS(D2769*E2769/F2769)),"")</f>
        <v>8419.581363000003</v>
      </c>
      <c r="H2769" s="43">
        <f>IFERROR(G2769*E2753,"")</f>
        <v>0</v>
      </c>
    </row>
    <row r="2770" spans="1:10" ht="12.75" customHeight="1">
      <c r="A2770" s="28"/>
      <c r="B2770" s="29"/>
      <c r="C2770" s="30" t="str">
        <f t="array" ref="C2770">IFERROR(_xlfn.XLOOKUP(B2770,MObra[[#All],[DESCRIPCION]],MObra[[#All],[UN]],,0),"")</f>
        <v/>
      </c>
      <c r="D2770" s="31"/>
      <c r="E2770" s="32" t="str">
        <f>IFERROR(_xlfn.XLOOKUP($B2770,MObra[DESCRIPCION],MObra[VALOR UNIT],,0),"")</f>
        <v/>
      </c>
      <c r="F2770" s="33"/>
      <c r="G2770" s="34" t="str">
        <f>IFERROR(IF(F2770&gt;=0,D2770*E2770*(1+F2770/100),ABS(D2770*E2770/F2770)),"")</f>
        <v/>
      </c>
      <c r="H2770" s="43" t="str">
        <f>IFERROR(G2770*E2753,"")</f>
        <v/>
      </c>
    </row>
    <row r="2771" spans="1:10" ht="12.75" customHeight="1" thickBot="1">
      <c r="A2771" s="35"/>
      <c r="B2771" s="36"/>
      <c r="C2771" s="37" t="str">
        <f t="array" ref="C2771">IFERROR(_xlfn.XLOOKUP(B2771,MObra[[#All],[DESCRIPCION]],MObra[[#All],[UN]],,0),"")</f>
        <v/>
      </c>
      <c r="D2771" s="38"/>
      <c r="E2771" s="39" t="str">
        <f>IFERROR(_xlfn.XLOOKUP($B2771,MObra[DESCRIPCION],MObra[VALOR UNIT],,0),"")</f>
        <v/>
      </c>
      <c r="F2771" s="40"/>
      <c r="G2771" s="41" t="str">
        <f>IFERROR(IF(F2771&gt;=0,D2771*E2771*(1+F2771/100),ABS(D2771*E2771/F2771)),"")</f>
        <v/>
      </c>
      <c r="H2771" s="42" t="str">
        <f>IFERROR(G2771*E2753,"")</f>
        <v/>
      </c>
    </row>
    <row r="2772" spans="1:10" ht="12.75" customHeight="1" thickTop="1" thickBot="1">
      <c r="E2772" s="49"/>
      <c r="G2772" s="3"/>
    </row>
    <row r="2773" spans="1:10" ht="12.75" customHeight="1" thickTop="1" thickBot="1">
      <c r="A2773" s="6" t="s">
        <v>298</v>
      </c>
      <c r="B2773" s="7" t="str">
        <f>VLOOKUP($A2773,Presupuesto!$A:$D,2,FALSE())</f>
        <v>Piso afirmado suministro + transporte + riego + compactación e=.20 m</v>
      </c>
      <c r="C2773" s="8" t="str">
        <f>VLOOKUP($A2773,Presupuesto!$A:$D,3,FALSE())</f>
        <v>M2</v>
      </c>
      <c r="D2773" s="9"/>
      <c r="E2773" s="10">
        <f>VLOOKUP($A2773,Presupuesto!$A:$D,4,FALSE())</f>
        <v>0</v>
      </c>
      <c r="F2773" s="11" t="s">
        <v>2589</v>
      </c>
      <c r="G2773" s="12">
        <f>SUM(G2775:G2791)/2</f>
        <v>25363.121665202241</v>
      </c>
      <c r="H2773" s="13">
        <f>ROUND(SUM(H2775:H2791),0)/2</f>
        <v>0</v>
      </c>
      <c r="I2773" s="10">
        <f>VLOOKUP(A2773,Presupuesto!$A:$F,6,0)</f>
        <v>0</v>
      </c>
      <c r="J2773" s="10">
        <f>+H2773-I2773</f>
        <v>0</v>
      </c>
    </row>
    <row r="2774" spans="1:10" ht="12.75" customHeight="1" thickTop="1">
      <c r="A2774" s="14"/>
      <c r="B2774" s="15" t="s">
        <v>2586</v>
      </c>
      <c r="C2774" s="15" t="s">
        <v>5</v>
      </c>
      <c r="D2774" s="16" t="s">
        <v>6</v>
      </c>
      <c r="E2774" s="17" t="s">
        <v>7</v>
      </c>
      <c r="F2774" s="18" t="s">
        <v>3728</v>
      </c>
      <c r="G2774" s="19" t="s">
        <v>3729</v>
      </c>
      <c r="H2774" s="20" t="s">
        <v>3797</v>
      </c>
    </row>
    <row r="2775" spans="1:10" ht="12.75" customHeight="1">
      <c r="A2775" s="21"/>
      <c r="B2775" s="22" t="s">
        <v>3730</v>
      </c>
      <c r="C2775" s="23"/>
      <c r="D2775" s="24"/>
      <c r="E2775" s="25"/>
      <c r="F2775" s="26"/>
      <c r="G2775" s="27">
        <f>SUM(G2776:G2780)</f>
        <v>15023.736000000003</v>
      </c>
      <c r="H2775" s="27">
        <f>IFERROR(G2775*E2773,"")</f>
        <v>0</v>
      </c>
    </row>
    <row r="2776" spans="1:10" ht="12.75" customHeight="1">
      <c r="A2776" s="28"/>
      <c r="B2776" s="29" t="s">
        <v>2683</v>
      </c>
      <c r="C2776" s="30" t="str">
        <f>IFERROR(_xlfn.XLOOKUP(B2776,Insumo[DESCRIPCION],Insumo[UND],,0),"")</f>
        <v>M3</v>
      </c>
      <c r="D2776" s="31">
        <v>0.2</v>
      </c>
      <c r="E2776" s="32">
        <f>IFERROR(_xlfn.XLOOKUP($B2776,Insumo[DESCRIPCION],Insumo[VALOR],,0),"")</f>
        <v>53583.600000000006</v>
      </c>
      <c r="F2776" s="33">
        <v>30</v>
      </c>
      <c r="G2776" s="34">
        <f>IFERROR(IF(F2776&gt;=0,D2776*E2776*(1+F2776/100),ABS(D2776*E2776/F2776)),"")</f>
        <v>13931.736000000003</v>
      </c>
      <c r="H2776" s="43">
        <f>IFERROR(G2776*E2773,"")</f>
        <v>0</v>
      </c>
    </row>
    <row r="2777" spans="1:10" ht="12.75" customHeight="1">
      <c r="A2777" s="28"/>
      <c r="B2777" s="29" t="s">
        <v>2685</v>
      </c>
      <c r="C2777" s="30" t="str">
        <f>IFERROR(_xlfn.XLOOKUP(B2777,Insumo[DESCRIPCION],Insumo[UND],,0),"")</f>
        <v>Lt</v>
      </c>
      <c r="D2777" s="31">
        <v>40</v>
      </c>
      <c r="E2777" s="32">
        <f>IFERROR(_xlfn.XLOOKUP($B2777,Insumo[DESCRIPCION],Insumo[VALOR],,0),"")</f>
        <v>27.3</v>
      </c>
      <c r="F2777" s="33"/>
      <c r="G2777" s="34">
        <f>IFERROR(IF(F2777&gt;=0,D2777*E2777*(1+F2777/100),ABS(D2777*E2777/F2777)),"")</f>
        <v>1092</v>
      </c>
      <c r="H2777" s="43">
        <f>IFERROR(G2777*E2773,"")</f>
        <v>0</v>
      </c>
    </row>
    <row r="2778" spans="1:10" ht="12.75" customHeight="1">
      <c r="A2778" s="28"/>
      <c r="B2778" s="29"/>
      <c r="C2778" s="30" t="str">
        <f>IFERROR(_xlfn.XLOOKUP(B2778,Insumo[DESCRIPCION],Insumo[UND],,0),"")</f>
        <v/>
      </c>
      <c r="D2778" s="31"/>
      <c r="E2778" s="32" t="str">
        <f>IFERROR(_xlfn.XLOOKUP($B2778,Insumo[DESCRIPCION],Insumo[VALOR],,0),"")</f>
        <v/>
      </c>
      <c r="F2778" s="33"/>
      <c r="G2778" s="34" t="str">
        <f>IFERROR(IF(F2778&gt;=0,D2778*E2778*(1+F2778/100),ABS(D2778*E2778/F2778)),"")</f>
        <v/>
      </c>
      <c r="H2778" s="43" t="str">
        <f>IFERROR(G2778*E2773,"")</f>
        <v/>
      </c>
    </row>
    <row r="2779" spans="1:10" ht="12.75" customHeight="1">
      <c r="A2779" s="28"/>
      <c r="B2779" s="29"/>
      <c r="C2779" s="30" t="str">
        <f>IFERROR(_xlfn.XLOOKUP(B2779,Insumo[DESCRIPCION],Insumo[UND],,0),"")</f>
        <v/>
      </c>
      <c r="D2779" s="31"/>
      <c r="E2779" s="32" t="str">
        <f>IFERROR(_xlfn.XLOOKUP($B2779,Insumo[DESCRIPCION],Insumo[VALOR],,0),"")</f>
        <v/>
      </c>
      <c r="F2779" s="33"/>
      <c r="G2779" s="34" t="str">
        <f>IFERROR(IF(F2779&gt;=0,D2779*E2779*(1+F2779/100),ABS(D2779*E2779/F2779)),"")</f>
        <v/>
      </c>
      <c r="H2779" s="43" t="str">
        <f>IFERROR(G2779*E2773,"")</f>
        <v/>
      </c>
    </row>
    <row r="2780" spans="1:10" ht="12.75" customHeight="1">
      <c r="A2780" s="28"/>
      <c r="B2780" s="29"/>
      <c r="C2780" s="30" t="str">
        <f>IFERROR(_xlfn.XLOOKUP(B2780,Insumo[DESCRIPCION],Insumo[UND],,0),"")</f>
        <v/>
      </c>
      <c r="D2780" s="31"/>
      <c r="E2780" s="32" t="str">
        <f>IFERROR(_xlfn.XLOOKUP($B2780,Insumo[DESCRIPCION],Insumo[VALOR],,0),"")</f>
        <v/>
      </c>
      <c r="F2780" s="33"/>
      <c r="G2780" s="34" t="str">
        <f>IFERROR(IF(F2780&gt;=0,D2780*E2780*(1+F2780/100),ABS(D2780*E2780/F2780)),"")</f>
        <v/>
      </c>
      <c r="H2780" s="43" t="str">
        <f>IFERROR(G2780*E2773,"")</f>
        <v/>
      </c>
    </row>
    <row r="2781" spans="1:10" ht="12.75" customHeight="1">
      <c r="A2781" s="21"/>
      <c r="B2781" s="22" t="s">
        <v>3731</v>
      </c>
      <c r="C2781" s="23"/>
      <c r="D2781" s="24"/>
      <c r="E2781" s="25"/>
      <c r="F2781" s="26"/>
      <c r="G2781" s="27">
        <f>SUM(G2782:G2784)</f>
        <v>2171.135089157463</v>
      </c>
      <c r="H2781" s="44">
        <f>G2781*E2773</f>
        <v>0</v>
      </c>
    </row>
    <row r="2782" spans="1:10" ht="12.75" customHeight="1">
      <c r="A2782" s="28"/>
      <c r="B2782" s="29" t="s">
        <v>3570</v>
      </c>
      <c r="C2782" s="30" t="str">
        <f>IFERROR(_xlfn.XLOOKUP(B2782,Equipo[DESCRIPCION],Equipo[UND],,0),"")</f>
        <v>%MO</v>
      </c>
      <c r="D2782" s="31">
        <v>0.04</v>
      </c>
      <c r="E2782" s="32">
        <f>IF(C2782="%MO",G2788,IFERROR(_xlfn.XLOOKUP($B2782,Equipo[DESCRIPCION],Equipo[VALOR],,0),""))</f>
        <v>8168.2505760447784</v>
      </c>
      <c r="F2782" s="33"/>
      <c r="G2782" s="34">
        <f>IFERROR(IF(F2782&gt;=0,D2782*E2782*(1+F2782/100),ABS(D2782*E2782/F2782)),"")</f>
        <v>326.73002304179113</v>
      </c>
      <c r="H2782" s="43">
        <f>IFERROR(G2782*E2773,"")</f>
        <v>0</v>
      </c>
    </row>
    <row r="2783" spans="1:10" ht="12.75" customHeight="1">
      <c r="A2783" s="28"/>
      <c r="B2783" s="29" t="s">
        <v>3626</v>
      </c>
      <c r="C2783" s="30" t="str">
        <f>IFERROR(_xlfn.XLOOKUP(B2783,Equipo[DESCRIPCION],Equipo[UND],,0),"")</f>
        <v>%MO</v>
      </c>
      <c r="D2783" s="31">
        <v>0.05</v>
      </c>
      <c r="E2783" s="32">
        <f>IF(C2783="%MO",G2788,IFERROR(_xlfn.XLOOKUP($B2783,Equipo[DESCRIPCION],Equipo[VALOR],,0),""))</f>
        <v>8168.2505760447784</v>
      </c>
      <c r="F2783" s="33"/>
      <c r="G2783" s="34">
        <f>IFERROR(IF(F2783&gt;=0,D2783*E2783*(1+F2783/100),ABS(D2783*E2783/F2783)),"")</f>
        <v>408.41252880223897</v>
      </c>
      <c r="H2783" s="43">
        <f>IFERROR(G2783*E2773,"")</f>
        <v>0</v>
      </c>
    </row>
    <row r="2784" spans="1:10" ht="12.75" customHeight="1">
      <c r="A2784" s="28"/>
      <c r="B2784" s="29" t="s">
        <v>3594</v>
      </c>
      <c r="C2784" s="30" t="str">
        <f>IFERROR(_xlfn.XLOOKUP(B2784,Equipo[DESCRIPCION],Equipo[UND],,0),"")</f>
        <v>Día</v>
      </c>
      <c r="D2784" s="31">
        <v>1</v>
      </c>
      <c r="E2784" s="32">
        <f>IF(C2784="%MO",G2788,IFERROR(_xlfn.XLOOKUP($B2784,Equipo[DESCRIPCION],Equipo[VALOR],,0),""))</f>
        <v>96211.5</v>
      </c>
      <c r="F2784" s="33">
        <v>-67</v>
      </c>
      <c r="G2784" s="34">
        <f>IFERROR(IF(F2784&gt;=0,D2784*E2784*(1+F2784/100),ABS(D2784*E2784/F2784)),"")</f>
        <v>1435.9925373134329</v>
      </c>
      <c r="H2784" s="43">
        <f>IFERROR(G2784*E2773,"")</f>
        <v>0</v>
      </c>
    </row>
    <row r="2785" spans="1:10" ht="12.75" customHeight="1">
      <c r="A2785" s="21"/>
      <c r="B2785" s="22" t="s">
        <v>2533</v>
      </c>
      <c r="C2785" s="23"/>
      <c r="D2785" s="24"/>
      <c r="E2785" s="25"/>
      <c r="F2785" s="26"/>
      <c r="G2785" s="27">
        <f>SUM(G2786:G2787)</f>
        <v>0</v>
      </c>
      <c r="H2785" s="44">
        <f>G2785*E2773</f>
        <v>0</v>
      </c>
    </row>
    <row r="2786" spans="1:10" ht="12.75" customHeight="1">
      <c r="A2786" s="28"/>
      <c r="B2786" s="29"/>
      <c r="C2786" s="30" t="str">
        <f>IFERROR(_xlfn.XLOOKUP(B2786,Transporte[DESCRIPCION],Transporte[UND],,0),"")</f>
        <v/>
      </c>
      <c r="D2786" s="31"/>
      <c r="E2786" s="32" t="str">
        <f>IFERROR(_xlfn.XLOOKUP($B2786,Transporte[DESCRIPCION],Transporte[VALOR],,0),"")</f>
        <v/>
      </c>
      <c r="F2786" s="33"/>
      <c r="G2786" s="34" t="str">
        <f>IFERROR(IF(F2786&gt;=0,D2786*E2786*(1+F2786/100),ABS(D2786*E2786/F2786)),"")</f>
        <v/>
      </c>
      <c r="H2786" s="43" t="str">
        <f>IFERROR(G2786*E2773,"")</f>
        <v/>
      </c>
    </row>
    <row r="2787" spans="1:10" ht="12.75" customHeight="1">
      <c r="A2787" s="28"/>
      <c r="B2787" s="29"/>
      <c r="C2787" s="30" t="str">
        <f>IFERROR(_xlfn.XLOOKUP(B2787,Transporte[DESCRIPCION],Transporte[UND],,0),"")</f>
        <v/>
      </c>
      <c r="D2787" s="31"/>
      <c r="E2787" s="32" t="str">
        <f>IFERROR(_xlfn.XLOOKUP($B2787,Transporte[DESCRIPCION],Transporte[VALOR],,0),"")</f>
        <v/>
      </c>
      <c r="F2787" s="33"/>
      <c r="G2787" s="34" t="str">
        <f>IFERROR(IF(F2787&gt;=0,D2787*E2787*(1+F2787/100),ABS(D2787*E2787/F2787)),"")</f>
        <v/>
      </c>
      <c r="H2787" s="43" t="str">
        <f>IFERROR(G2787*E2773,"")</f>
        <v/>
      </c>
    </row>
    <row r="2788" spans="1:10" ht="12.75" customHeight="1">
      <c r="A2788" s="21"/>
      <c r="B2788" s="22" t="s">
        <v>3732</v>
      </c>
      <c r="C2788" s="23"/>
      <c r="D2788" s="24"/>
      <c r="E2788" s="25"/>
      <c r="F2788" s="26"/>
      <c r="G2788" s="27">
        <f>SUM(G2789:G2791)</f>
        <v>8168.2505760447784</v>
      </c>
      <c r="H2788" s="44">
        <f>G2788*E2773</f>
        <v>0</v>
      </c>
    </row>
    <row r="2789" spans="1:10" ht="12.75" customHeight="1">
      <c r="A2789" s="28"/>
      <c r="B2789" s="29" t="s">
        <v>3712</v>
      </c>
      <c r="C2789" s="30" t="str">
        <f>IFERROR(_xlfn.XLOOKUP(B2789,MObra[DESCRIPCION],MObra[UN],,0),"")</f>
        <v>día</v>
      </c>
      <c r="D2789" s="31">
        <v>1</v>
      </c>
      <c r="E2789" s="32">
        <f>IFERROR(_xlfn.XLOOKUP($B2789,MObra[DESCRIPCION],MObra[VALOR UNIT],,0),"")</f>
        <v>547272.78859500017</v>
      </c>
      <c r="F2789" s="33">
        <v>-67</v>
      </c>
      <c r="G2789" s="34">
        <f>IFERROR(IF(F2789&gt;=0,D2789*E2789*(1+F2789/100),ABS(D2789*E2789/F2789)),"")</f>
        <v>8168.2505760447784</v>
      </c>
      <c r="H2789" s="43">
        <f>IFERROR(G2789*E2773,"")</f>
        <v>0</v>
      </c>
    </row>
    <row r="2790" spans="1:10" ht="12.75" customHeight="1">
      <c r="A2790" s="28"/>
      <c r="B2790" s="29"/>
      <c r="C2790" s="30" t="str">
        <f t="array" ref="C2790">IFERROR(_xlfn.XLOOKUP(B2790,MObra[[#All],[DESCRIPCION]],MObra[[#All],[UN]],,0),"")</f>
        <v/>
      </c>
      <c r="D2790" s="31"/>
      <c r="E2790" s="32" t="str">
        <f>IFERROR(_xlfn.XLOOKUP($B2790,MObra[DESCRIPCION],MObra[VALOR UNIT],,0),"")</f>
        <v/>
      </c>
      <c r="F2790" s="33"/>
      <c r="G2790" s="34" t="str">
        <f>IFERROR(IF(F2790&gt;=0,D2790*E2790*(1+F2790/100),ABS(D2790*E2790/F2790)),"")</f>
        <v/>
      </c>
      <c r="H2790" s="43" t="str">
        <f>IFERROR(G2790*E2773,"")</f>
        <v/>
      </c>
    </row>
    <row r="2791" spans="1:10" ht="12.75" customHeight="1" thickBot="1">
      <c r="A2791" s="35"/>
      <c r="B2791" s="36"/>
      <c r="C2791" s="37" t="str">
        <f t="array" ref="C2791">IFERROR(_xlfn.XLOOKUP(B2791,MObra[[#All],[DESCRIPCION]],MObra[[#All],[UN]],,0),"")</f>
        <v/>
      </c>
      <c r="D2791" s="38"/>
      <c r="E2791" s="39" t="str">
        <f>IFERROR(_xlfn.XLOOKUP($B2791,MObra[DESCRIPCION],MObra[VALOR UNIT],,0),"")</f>
        <v/>
      </c>
      <c r="F2791" s="40"/>
      <c r="G2791" s="41" t="str">
        <f>IFERROR(IF(F2791&gt;=0,D2791*E2791*(1+F2791/100),ABS(D2791*E2791/F2791)),"")</f>
        <v/>
      </c>
      <c r="H2791" s="42" t="str">
        <f>IFERROR(G2791*E2773,"")</f>
        <v/>
      </c>
    </row>
    <row r="2792" spans="1:10" ht="12.75" customHeight="1" thickTop="1" thickBot="1">
      <c r="E2792" s="49"/>
      <c r="G2792" s="3"/>
    </row>
    <row r="2793" spans="1:10" ht="12.75" customHeight="1" thickTop="1" thickBot="1">
      <c r="A2793" s="6" t="s">
        <v>300</v>
      </c>
      <c r="B2793" s="7" t="str">
        <f>VLOOKUP($A2793,Presupuesto!$A:$D,2,FALSE())</f>
        <v>Restitución afirmado + cemento 10 % peso</v>
      </c>
      <c r="C2793" s="8" t="str">
        <f>VLOOKUP($A2793,Presupuesto!$A:$D,3,FALSE())</f>
        <v>M3</v>
      </c>
      <c r="D2793" s="9"/>
      <c r="E2793" s="10">
        <f>VLOOKUP($A2793,Presupuesto!$A:$D,4,FALSE())</f>
        <v>0</v>
      </c>
      <c r="F2793" s="11" t="s">
        <v>2589</v>
      </c>
      <c r="G2793" s="12">
        <f>SUM(G2795:G2811)/2</f>
        <v>195846.91663071245</v>
      </c>
      <c r="H2793" s="13">
        <f>ROUND(SUM(H2795:H2811),0)/2</f>
        <v>0</v>
      </c>
      <c r="I2793" s="10">
        <f>VLOOKUP(A2793,Presupuesto!$A:$F,6,0)</f>
        <v>0</v>
      </c>
      <c r="J2793" s="10">
        <f>+H2793-I2793</f>
        <v>0</v>
      </c>
    </row>
    <row r="2794" spans="1:10" ht="12.75" customHeight="1" thickTop="1">
      <c r="A2794" s="14"/>
      <c r="B2794" s="15" t="s">
        <v>2586</v>
      </c>
      <c r="C2794" s="15" t="s">
        <v>5</v>
      </c>
      <c r="D2794" s="16" t="s">
        <v>6</v>
      </c>
      <c r="E2794" s="17" t="s">
        <v>7</v>
      </c>
      <c r="F2794" s="18" t="s">
        <v>3728</v>
      </c>
      <c r="G2794" s="19" t="s">
        <v>3729</v>
      </c>
      <c r="H2794" s="20" t="s">
        <v>3797</v>
      </c>
    </row>
    <row r="2795" spans="1:10" ht="12.75" customHeight="1">
      <c r="A2795" s="21"/>
      <c r="B2795" s="22" t="s">
        <v>3730</v>
      </c>
      <c r="C2795" s="23"/>
      <c r="D2795" s="24"/>
      <c r="E2795" s="25"/>
      <c r="F2795" s="26"/>
      <c r="G2795" s="27">
        <f>SUM(G2796:G2800)</f>
        <v>138118.68</v>
      </c>
      <c r="H2795" s="27">
        <f>IFERROR(G2795*E2793,"")</f>
        <v>0</v>
      </c>
    </row>
    <row r="2796" spans="1:10" ht="12.75" customHeight="1">
      <c r="A2796" s="28"/>
      <c r="B2796" s="29" t="s">
        <v>2683</v>
      </c>
      <c r="C2796" s="30" t="str">
        <f>IFERROR(_xlfn.XLOOKUP(B2796,Insumo[DESCRIPCION],Insumo[UND],,0),"")</f>
        <v>M3</v>
      </c>
      <c r="D2796" s="31">
        <v>1</v>
      </c>
      <c r="E2796" s="32">
        <f>IFERROR(_xlfn.XLOOKUP($B2796,Insumo[DESCRIPCION],Insumo[VALOR],,0),"")</f>
        <v>53583.600000000006</v>
      </c>
      <c r="F2796" s="33">
        <v>30</v>
      </c>
      <c r="G2796" s="34">
        <f>IFERROR(IF(F2796&gt;=0,D2796*E2796*(1+F2796/100),ABS(D2796*E2796/F2796)),"")</f>
        <v>69658.680000000008</v>
      </c>
      <c r="H2796" s="43">
        <f>IFERROR(G2796*E2793,"")</f>
        <v>0</v>
      </c>
    </row>
    <row r="2797" spans="1:10" ht="12.75" customHeight="1">
      <c r="A2797" s="28"/>
      <c r="B2797" s="29" t="s">
        <v>2824</v>
      </c>
      <c r="C2797" s="30" t="str">
        <f>IFERROR(_xlfn.XLOOKUP(B2797,Insumo[DESCRIPCION],Insumo[UND],,0),"")</f>
        <v>Un</v>
      </c>
      <c r="D2797" s="31">
        <v>2</v>
      </c>
      <c r="E2797" s="32">
        <f>IFERROR(_xlfn.XLOOKUP($B2797,Insumo[DESCRIPCION],Insumo[VALOR],,0),"")</f>
        <v>34230</v>
      </c>
      <c r="F2797" s="33"/>
      <c r="G2797" s="34">
        <f>IFERROR(IF(F2797&gt;=0,D2797*E2797*(1+F2797/100),ABS(D2797*E2797/F2797)),"")</f>
        <v>68460</v>
      </c>
      <c r="H2797" s="43">
        <f>IFERROR(G2797*E2793,"")</f>
        <v>0</v>
      </c>
    </row>
    <row r="2798" spans="1:10" ht="12.75" customHeight="1">
      <c r="A2798" s="28"/>
      <c r="B2798" s="29"/>
      <c r="C2798" s="30" t="str">
        <f>IFERROR(_xlfn.XLOOKUP(B2798,Insumo[DESCRIPCION],Insumo[UND],,0),"")</f>
        <v/>
      </c>
      <c r="D2798" s="31"/>
      <c r="E2798" s="32" t="str">
        <f>IFERROR(_xlfn.XLOOKUP($B2798,Insumo[DESCRIPCION],Insumo[VALOR],,0),"")</f>
        <v/>
      </c>
      <c r="F2798" s="33"/>
      <c r="G2798" s="34" t="str">
        <f>IFERROR(IF(F2798&gt;=0,D2798*E2798*(1+F2798/100),ABS(D2798*E2798/F2798)),"")</f>
        <v/>
      </c>
      <c r="H2798" s="43" t="str">
        <f>IFERROR(G2798*E2793,"")</f>
        <v/>
      </c>
    </row>
    <row r="2799" spans="1:10" ht="12.75" customHeight="1">
      <c r="A2799" s="28"/>
      <c r="B2799" s="29"/>
      <c r="C2799" s="30" t="str">
        <f>IFERROR(_xlfn.XLOOKUP(B2799,Insumo[DESCRIPCION],Insumo[UND],,0),"")</f>
        <v/>
      </c>
      <c r="D2799" s="31"/>
      <c r="E2799" s="32" t="str">
        <f>IFERROR(_xlfn.XLOOKUP($B2799,Insumo[DESCRIPCION],Insumo[VALOR],,0),"")</f>
        <v/>
      </c>
      <c r="F2799" s="33"/>
      <c r="G2799" s="34" t="str">
        <f>IFERROR(IF(F2799&gt;=0,D2799*E2799*(1+F2799/100),ABS(D2799*E2799/F2799)),"")</f>
        <v/>
      </c>
      <c r="H2799" s="43" t="str">
        <f>IFERROR(G2799*E2793,"")</f>
        <v/>
      </c>
    </row>
    <row r="2800" spans="1:10" ht="12.75" customHeight="1">
      <c r="A2800" s="28"/>
      <c r="B2800" s="29"/>
      <c r="C2800" s="30" t="str">
        <f>IFERROR(_xlfn.XLOOKUP(B2800,Insumo[DESCRIPCION],Insumo[UND],,0),"")</f>
        <v/>
      </c>
      <c r="D2800" s="31"/>
      <c r="E2800" s="32" t="str">
        <f>IFERROR(_xlfn.XLOOKUP($B2800,Insumo[DESCRIPCION],Insumo[VALOR],,0),"")</f>
        <v/>
      </c>
      <c r="F2800" s="33"/>
      <c r="G2800" s="34" t="str">
        <f>IFERROR(IF(F2800&gt;=0,D2800*E2800*(1+F2800/100),ABS(D2800*E2800/F2800)),"")</f>
        <v/>
      </c>
      <c r="H2800" s="43" t="str">
        <f>IFERROR(G2800*E2793,"")</f>
        <v/>
      </c>
    </row>
    <row r="2801" spans="1:10" ht="12.75" customHeight="1">
      <c r="A2801" s="21"/>
      <c r="B2801" s="22" t="s">
        <v>3731</v>
      </c>
      <c r="C2801" s="23"/>
      <c r="D2801" s="24"/>
      <c r="E2801" s="25"/>
      <c r="F2801" s="26"/>
      <c r="G2801" s="27">
        <f>SUM(G2802:G2804)</f>
        <v>12122.170914462502</v>
      </c>
      <c r="H2801" s="44">
        <f>G2801*E2793</f>
        <v>0</v>
      </c>
    </row>
    <row r="2802" spans="1:10" ht="12.75" customHeight="1">
      <c r="A2802" s="28"/>
      <c r="B2802" s="29" t="s">
        <v>3570</v>
      </c>
      <c r="C2802" s="30" t="str">
        <f>IFERROR(_xlfn.XLOOKUP(B2802,Equipo[DESCRIPCION],Equipo[UND],,0),"")</f>
        <v>%MO</v>
      </c>
      <c r="D2802" s="31">
        <v>0.04</v>
      </c>
      <c r="E2802" s="32">
        <f>IF(C2802="%MO",G2808,IFERROR(_xlfn.XLOOKUP($B2802,Equipo[DESCRIPCION],Equipo[VALOR],,0),""))</f>
        <v>45606.065716250014</v>
      </c>
      <c r="F2802" s="33"/>
      <c r="G2802" s="34">
        <f>IFERROR(IF(F2802&gt;=0,D2802*E2802*(1+F2802/100),ABS(D2802*E2802/F2802)),"")</f>
        <v>1824.2426286500006</v>
      </c>
      <c r="H2802" s="43">
        <f>IFERROR(G2802*E2793,"")</f>
        <v>0</v>
      </c>
    </row>
    <row r="2803" spans="1:10" ht="12.75" customHeight="1">
      <c r="A2803" s="28"/>
      <c r="B2803" s="29" t="s">
        <v>3626</v>
      </c>
      <c r="C2803" s="30" t="str">
        <f>IFERROR(_xlfn.XLOOKUP(B2803,Equipo[DESCRIPCION],Equipo[UND],,0),"")</f>
        <v>%MO</v>
      </c>
      <c r="D2803" s="31">
        <v>0.05</v>
      </c>
      <c r="E2803" s="32">
        <f>IF(C2803="%MO",G2808,IFERROR(_xlfn.XLOOKUP($B2803,Equipo[DESCRIPCION],Equipo[VALOR],,0),""))</f>
        <v>45606.065716250014</v>
      </c>
      <c r="F2803" s="33"/>
      <c r="G2803" s="34">
        <f>IFERROR(IF(F2803&gt;=0,D2803*E2803*(1+F2803/100),ABS(D2803*E2803/F2803)),"")</f>
        <v>2280.3032858125007</v>
      </c>
      <c r="H2803" s="43">
        <f>IFERROR(G2803*E2793,"")</f>
        <v>0</v>
      </c>
    </row>
    <row r="2804" spans="1:10" ht="12.75" customHeight="1">
      <c r="A2804" s="28"/>
      <c r="B2804" s="29" t="s">
        <v>3594</v>
      </c>
      <c r="C2804" s="30" t="str">
        <f>IFERROR(_xlfn.XLOOKUP(B2804,Equipo[DESCRIPCION],Equipo[UND],,0),"")</f>
        <v>Día</v>
      </c>
      <c r="D2804" s="31">
        <v>1</v>
      </c>
      <c r="E2804" s="32">
        <f>IF(C2804="%MO",G2808,IFERROR(_xlfn.XLOOKUP($B2804,Equipo[DESCRIPCION],Equipo[VALOR],,0),""))</f>
        <v>96211.5</v>
      </c>
      <c r="F2804" s="33">
        <v>-12</v>
      </c>
      <c r="G2804" s="34">
        <f>IFERROR(IF(F2804&gt;=0,D2804*E2804*(1+F2804/100),ABS(D2804*E2804/F2804)),"")</f>
        <v>8017.625</v>
      </c>
      <c r="H2804" s="43">
        <f>IFERROR(G2804*E2793,"")</f>
        <v>0</v>
      </c>
    </row>
    <row r="2805" spans="1:10" ht="12.75" customHeight="1">
      <c r="A2805" s="21"/>
      <c r="B2805" s="22" t="s">
        <v>2533</v>
      </c>
      <c r="C2805" s="23"/>
      <c r="D2805" s="24"/>
      <c r="E2805" s="25"/>
      <c r="F2805" s="26"/>
      <c r="G2805" s="27">
        <f>SUM(G2806:G2807)</f>
        <v>0</v>
      </c>
      <c r="H2805" s="44">
        <f>G2805*E2793</f>
        <v>0</v>
      </c>
    </row>
    <row r="2806" spans="1:10" ht="12.75" customHeight="1">
      <c r="A2806" s="28"/>
      <c r="B2806" s="29"/>
      <c r="C2806" s="30" t="str">
        <f>IFERROR(_xlfn.XLOOKUP(B2806,Transporte[DESCRIPCION],Transporte[UND],,0),"")</f>
        <v/>
      </c>
      <c r="D2806" s="31"/>
      <c r="E2806" s="32" t="str">
        <f>IFERROR(_xlfn.XLOOKUP($B2806,Transporte[DESCRIPCION],Transporte[VALOR],,0),"")</f>
        <v/>
      </c>
      <c r="F2806" s="33"/>
      <c r="G2806" s="34" t="str">
        <f>IFERROR(IF(F2806&gt;=0,D2806*E2806*(1+F2806/100),ABS(D2806*E2806/F2806)),"")</f>
        <v/>
      </c>
      <c r="H2806" s="43" t="str">
        <f>IFERROR(G2806*E2793,"")</f>
        <v/>
      </c>
    </row>
    <row r="2807" spans="1:10" ht="12.75" customHeight="1">
      <c r="A2807" s="28"/>
      <c r="B2807" s="29"/>
      <c r="C2807" s="30" t="str">
        <f>IFERROR(_xlfn.XLOOKUP(B2807,Transporte[DESCRIPCION],Transporte[UND],,0),"")</f>
        <v/>
      </c>
      <c r="D2807" s="31"/>
      <c r="E2807" s="32" t="str">
        <f>IFERROR(_xlfn.XLOOKUP($B2807,Transporte[DESCRIPCION],Transporte[VALOR],,0),"")</f>
        <v/>
      </c>
      <c r="F2807" s="33"/>
      <c r="G2807" s="34" t="str">
        <f>IFERROR(IF(F2807&gt;=0,D2807*E2807*(1+F2807/100),ABS(D2807*E2807/F2807)),"")</f>
        <v/>
      </c>
      <c r="H2807" s="43" t="str">
        <f>IFERROR(G2807*E2793,"")</f>
        <v/>
      </c>
    </row>
    <row r="2808" spans="1:10" ht="12.75" customHeight="1">
      <c r="A2808" s="21"/>
      <c r="B2808" s="22" t="s">
        <v>3732</v>
      </c>
      <c r="C2808" s="23"/>
      <c r="D2808" s="24"/>
      <c r="E2808" s="25"/>
      <c r="F2808" s="26"/>
      <c r="G2808" s="27">
        <f>SUM(G2809:G2811)</f>
        <v>45606.065716250014</v>
      </c>
      <c r="H2808" s="44">
        <f>G2808*E2793</f>
        <v>0</v>
      </c>
    </row>
    <row r="2809" spans="1:10" ht="12.75" customHeight="1">
      <c r="A2809" s="28"/>
      <c r="B2809" s="29" t="s">
        <v>3712</v>
      </c>
      <c r="C2809" s="30" t="str">
        <f>IFERROR(_xlfn.XLOOKUP(B2809,MObra[DESCRIPCION],MObra[UN],,0),"")</f>
        <v>día</v>
      </c>
      <c r="D2809" s="31">
        <v>1</v>
      </c>
      <c r="E2809" s="32">
        <f>IFERROR(_xlfn.XLOOKUP($B2809,MObra[DESCRIPCION],MObra[VALOR UNIT],,0),"")</f>
        <v>547272.78859500017</v>
      </c>
      <c r="F2809" s="33">
        <v>-12</v>
      </c>
      <c r="G2809" s="34">
        <f>IFERROR(IF(F2809&gt;=0,D2809*E2809*(1+F2809/100),ABS(D2809*E2809/F2809)),"")</f>
        <v>45606.065716250014</v>
      </c>
      <c r="H2809" s="43">
        <f>IFERROR(G2809*E2793,"")</f>
        <v>0</v>
      </c>
    </row>
    <row r="2810" spans="1:10" ht="12.75" customHeight="1">
      <c r="A2810" s="28"/>
      <c r="B2810" s="29"/>
      <c r="C2810" s="30" t="str">
        <f t="array" ref="C2810">IFERROR(_xlfn.XLOOKUP(B2810,MObra[[#All],[DESCRIPCION]],MObra[[#All],[UN]],,0),"")</f>
        <v/>
      </c>
      <c r="D2810" s="31"/>
      <c r="E2810" s="32" t="str">
        <f>IFERROR(_xlfn.XLOOKUP($B2810,MObra[DESCRIPCION],MObra[VALOR UNIT],,0),"")</f>
        <v/>
      </c>
      <c r="F2810" s="33"/>
      <c r="G2810" s="34" t="str">
        <f>IFERROR(IF(F2810&gt;=0,D2810*E2810*(1+F2810/100),ABS(D2810*E2810/F2810)),"")</f>
        <v/>
      </c>
      <c r="H2810" s="43" t="str">
        <f>IFERROR(G2810*E2793,"")</f>
        <v/>
      </c>
    </row>
    <row r="2811" spans="1:10" ht="12.75" customHeight="1" thickBot="1">
      <c r="A2811" s="35"/>
      <c r="B2811" s="36"/>
      <c r="C2811" s="37" t="str">
        <f t="array" ref="C2811">IFERROR(_xlfn.XLOOKUP(B2811,MObra[[#All],[DESCRIPCION]],MObra[[#All],[UN]],,0),"")</f>
        <v/>
      </c>
      <c r="D2811" s="38"/>
      <c r="E2811" s="39" t="str">
        <f>IFERROR(_xlfn.XLOOKUP($B2811,MObra[DESCRIPCION],MObra[VALOR UNIT],,0),"")</f>
        <v/>
      </c>
      <c r="F2811" s="40"/>
      <c r="G2811" s="41" t="str">
        <f>IFERROR(IF(F2811&gt;=0,D2811*E2811*(1+F2811/100),ABS(D2811*E2811/F2811)),"")</f>
        <v/>
      </c>
      <c r="H2811" s="42" t="str">
        <f>IFERROR(G2811*E2793,"")</f>
        <v/>
      </c>
    </row>
    <row r="2812" spans="1:10" ht="12.75" customHeight="1" thickTop="1" thickBot="1">
      <c r="E2812" s="49"/>
      <c r="G2812" s="3"/>
    </row>
    <row r="2813" spans="1:10" ht="12.75" customHeight="1" thickTop="1" thickBot="1">
      <c r="A2813" s="6" t="s">
        <v>302</v>
      </c>
      <c r="B2813" s="7" t="str">
        <f>VLOOKUP($A2813,Presupuesto!$A:$D,2,FALSE())</f>
        <v>Restitución afirmado + cemento 5 % peso</v>
      </c>
      <c r="C2813" s="8" t="str">
        <f>VLOOKUP($A2813,Presupuesto!$A:$D,3,FALSE())</f>
        <v>M3</v>
      </c>
      <c r="D2813" s="9"/>
      <c r="E2813" s="10">
        <f>VLOOKUP($A2813,Presupuesto!$A:$D,4,FALSE())</f>
        <v>0</v>
      </c>
      <c r="F2813" s="11" t="s">
        <v>2589</v>
      </c>
      <c r="G2813" s="12">
        <f>SUM(G2815:G2831)/2</f>
        <v>264306.91663071245</v>
      </c>
      <c r="H2813" s="13">
        <f>ROUND(SUM(H2815:H2831),0)/2</f>
        <v>0</v>
      </c>
      <c r="I2813" s="10">
        <f>VLOOKUP(A2813,Presupuesto!$A:$F,6,0)</f>
        <v>0</v>
      </c>
      <c r="J2813" s="10">
        <f>+H2813-I2813</f>
        <v>0</v>
      </c>
    </row>
    <row r="2814" spans="1:10" ht="12.75" customHeight="1" thickTop="1">
      <c r="A2814" s="14"/>
      <c r="B2814" s="15" t="s">
        <v>2586</v>
      </c>
      <c r="C2814" s="15" t="s">
        <v>5</v>
      </c>
      <c r="D2814" s="16" t="s">
        <v>6</v>
      </c>
      <c r="E2814" s="17" t="s">
        <v>7</v>
      </c>
      <c r="F2814" s="18" t="s">
        <v>3728</v>
      </c>
      <c r="G2814" s="19" t="s">
        <v>3729</v>
      </c>
      <c r="H2814" s="20" t="s">
        <v>3797</v>
      </c>
    </row>
    <row r="2815" spans="1:10" ht="12.75" customHeight="1">
      <c r="A2815" s="21"/>
      <c r="B2815" s="22" t="s">
        <v>3730</v>
      </c>
      <c r="C2815" s="23"/>
      <c r="D2815" s="24"/>
      <c r="E2815" s="25"/>
      <c r="F2815" s="26"/>
      <c r="G2815" s="27">
        <f>SUM(G2816:G2820)</f>
        <v>206578.68</v>
      </c>
      <c r="H2815" s="27">
        <f>IFERROR(G2815*E2813,"")</f>
        <v>0</v>
      </c>
    </row>
    <row r="2816" spans="1:10" ht="12.75" customHeight="1">
      <c r="A2816" s="28"/>
      <c r="B2816" s="29" t="s">
        <v>2683</v>
      </c>
      <c r="C2816" s="30" t="str">
        <f>IFERROR(_xlfn.XLOOKUP(B2816,Insumo[DESCRIPCION],Insumo[UND],,0),"")</f>
        <v>M3</v>
      </c>
      <c r="D2816" s="31">
        <v>1</v>
      </c>
      <c r="E2816" s="32">
        <f>IFERROR(_xlfn.XLOOKUP($B2816,Insumo[DESCRIPCION],Insumo[VALOR],,0),"")</f>
        <v>53583.600000000006</v>
      </c>
      <c r="F2816" s="33">
        <v>30</v>
      </c>
      <c r="G2816" s="34">
        <f>IFERROR(IF(F2816&gt;=0,D2816*E2816*(1+F2816/100),ABS(D2816*E2816/F2816)),"")</f>
        <v>69658.680000000008</v>
      </c>
      <c r="H2816" s="43">
        <f>IFERROR(G2816*E2813,"")</f>
        <v>0</v>
      </c>
    </row>
    <row r="2817" spans="1:8" ht="12.75" customHeight="1">
      <c r="A2817" s="28"/>
      <c r="B2817" s="29" t="s">
        <v>2824</v>
      </c>
      <c r="C2817" s="30" t="str">
        <f>IFERROR(_xlfn.XLOOKUP(B2817,Insumo[DESCRIPCION],Insumo[UND],,0),"")</f>
        <v>Un</v>
      </c>
      <c r="D2817" s="31">
        <v>4</v>
      </c>
      <c r="E2817" s="32">
        <f>IFERROR(_xlfn.XLOOKUP($B2817,Insumo[DESCRIPCION],Insumo[VALOR],,0),"")</f>
        <v>34230</v>
      </c>
      <c r="F2817" s="33"/>
      <c r="G2817" s="34">
        <f>IFERROR(IF(F2817&gt;=0,D2817*E2817*(1+F2817/100),ABS(D2817*E2817/F2817)),"")</f>
        <v>136920</v>
      </c>
      <c r="H2817" s="43">
        <f>IFERROR(G2817*E2813,"")</f>
        <v>0</v>
      </c>
    </row>
    <row r="2818" spans="1:8" ht="12.75" customHeight="1">
      <c r="A2818" s="28"/>
      <c r="B2818" s="29"/>
      <c r="C2818" s="30" t="str">
        <f>IFERROR(_xlfn.XLOOKUP(B2818,Insumo[DESCRIPCION],Insumo[UND],,0),"")</f>
        <v/>
      </c>
      <c r="D2818" s="31"/>
      <c r="E2818" s="32" t="str">
        <f>IFERROR(_xlfn.XLOOKUP($B2818,Insumo[DESCRIPCION],Insumo[VALOR],,0),"")</f>
        <v/>
      </c>
      <c r="F2818" s="33"/>
      <c r="G2818" s="34" t="str">
        <f>IFERROR(IF(F2818&gt;=0,D2818*E2818*(1+F2818/100),ABS(D2818*E2818/F2818)),"")</f>
        <v/>
      </c>
      <c r="H2818" s="43" t="str">
        <f>IFERROR(G2818*E2813,"")</f>
        <v/>
      </c>
    </row>
    <row r="2819" spans="1:8" ht="12.75" customHeight="1">
      <c r="A2819" s="28"/>
      <c r="B2819" s="29"/>
      <c r="C2819" s="30" t="str">
        <f>IFERROR(_xlfn.XLOOKUP(B2819,Insumo[DESCRIPCION],Insumo[UND],,0),"")</f>
        <v/>
      </c>
      <c r="D2819" s="31"/>
      <c r="E2819" s="32" t="str">
        <f>IFERROR(_xlfn.XLOOKUP($B2819,Insumo[DESCRIPCION],Insumo[VALOR],,0),"")</f>
        <v/>
      </c>
      <c r="F2819" s="33"/>
      <c r="G2819" s="34" t="str">
        <f>IFERROR(IF(F2819&gt;=0,D2819*E2819*(1+F2819/100),ABS(D2819*E2819/F2819)),"")</f>
        <v/>
      </c>
      <c r="H2819" s="43" t="str">
        <f>IFERROR(G2819*E2813,"")</f>
        <v/>
      </c>
    </row>
    <row r="2820" spans="1:8" ht="12.75" customHeight="1">
      <c r="A2820" s="28"/>
      <c r="B2820" s="29"/>
      <c r="C2820" s="30" t="str">
        <f>IFERROR(_xlfn.XLOOKUP(B2820,Insumo[DESCRIPCION],Insumo[UND],,0),"")</f>
        <v/>
      </c>
      <c r="D2820" s="31"/>
      <c r="E2820" s="32" t="str">
        <f>IFERROR(_xlfn.XLOOKUP($B2820,Insumo[DESCRIPCION],Insumo[VALOR],,0),"")</f>
        <v/>
      </c>
      <c r="F2820" s="33"/>
      <c r="G2820" s="34" t="str">
        <f>IFERROR(IF(F2820&gt;=0,D2820*E2820*(1+F2820/100),ABS(D2820*E2820/F2820)),"")</f>
        <v/>
      </c>
      <c r="H2820" s="43" t="str">
        <f>IFERROR(G2820*E2813,"")</f>
        <v/>
      </c>
    </row>
    <row r="2821" spans="1:8" ht="12.75" customHeight="1">
      <c r="A2821" s="21"/>
      <c r="B2821" s="22" t="s">
        <v>3731</v>
      </c>
      <c r="C2821" s="23"/>
      <c r="D2821" s="24"/>
      <c r="E2821" s="25"/>
      <c r="F2821" s="26"/>
      <c r="G2821" s="27">
        <f>SUM(G2822:G2824)</f>
        <v>12122.170914462502</v>
      </c>
      <c r="H2821" s="44">
        <f>G2821*E2813</f>
        <v>0</v>
      </c>
    </row>
    <row r="2822" spans="1:8" ht="12.75" customHeight="1">
      <c r="A2822" s="28"/>
      <c r="B2822" s="29" t="s">
        <v>3570</v>
      </c>
      <c r="C2822" s="30" t="str">
        <f>IFERROR(_xlfn.XLOOKUP(B2822,Equipo[DESCRIPCION],Equipo[UND],,0),"")</f>
        <v>%MO</v>
      </c>
      <c r="D2822" s="31">
        <v>0.04</v>
      </c>
      <c r="E2822" s="32">
        <f>IF(C2822="%MO",G2828,IFERROR(_xlfn.XLOOKUP($B2822,Equipo[DESCRIPCION],Equipo[VALOR],,0),""))</f>
        <v>45606.065716250014</v>
      </c>
      <c r="F2822" s="33"/>
      <c r="G2822" s="34">
        <f>IFERROR(IF(F2822&gt;=0,D2822*E2822*(1+F2822/100),ABS(D2822*E2822/F2822)),"")</f>
        <v>1824.2426286500006</v>
      </c>
      <c r="H2822" s="43">
        <f>IFERROR(G2822*E2813,"")</f>
        <v>0</v>
      </c>
    </row>
    <row r="2823" spans="1:8" ht="12.75" customHeight="1">
      <c r="A2823" s="28"/>
      <c r="B2823" s="29" t="s">
        <v>3626</v>
      </c>
      <c r="C2823" s="30" t="str">
        <f>IFERROR(_xlfn.XLOOKUP(B2823,Equipo[DESCRIPCION],Equipo[UND],,0),"")</f>
        <v>%MO</v>
      </c>
      <c r="D2823" s="31">
        <v>0.05</v>
      </c>
      <c r="E2823" s="32">
        <f>IF(C2823="%MO",G2828,IFERROR(_xlfn.XLOOKUP($B2823,Equipo[DESCRIPCION],Equipo[VALOR],,0),""))</f>
        <v>45606.065716250014</v>
      </c>
      <c r="F2823" s="33"/>
      <c r="G2823" s="34">
        <f>IFERROR(IF(F2823&gt;=0,D2823*E2823*(1+F2823/100),ABS(D2823*E2823/F2823)),"")</f>
        <v>2280.3032858125007</v>
      </c>
      <c r="H2823" s="43">
        <f>IFERROR(G2823*E2813,"")</f>
        <v>0</v>
      </c>
    </row>
    <row r="2824" spans="1:8" ht="12.75" customHeight="1">
      <c r="A2824" s="28"/>
      <c r="B2824" s="29" t="s">
        <v>3594</v>
      </c>
      <c r="C2824" s="30" t="str">
        <f>IFERROR(_xlfn.XLOOKUP(B2824,Equipo[DESCRIPCION],Equipo[UND],,0),"")</f>
        <v>Día</v>
      </c>
      <c r="D2824" s="31">
        <v>1</v>
      </c>
      <c r="E2824" s="32">
        <f>IF(C2824="%MO",G2828,IFERROR(_xlfn.XLOOKUP($B2824,Equipo[DESCRIPCION],Equipo[VALOR],,0),""))</f>
        <v>96211.5</v>
      </c>
      <c r="F2824" s="33">
        <v>-12</v>
      </c>
      <c r="G2824" s="34">
        <f>IFERROR(IF(F2824&gt;=0,D2824*E2824*(1+F2824/100),ABS(D2824*E2824/F2824)),"")</f>
        <v>8017.625</v>
      </c>
      <c r="H2824" s="43">
        <f>IFERROR(G2824*E2813,"")</f>
        <v>0</v>
      </c>
    </row>
    <row r="2825" spans="1:8" ht="12.75" customHeight="1">
      <c r="A2825" s="21"/>
      <c r="B2825" s="22" t="s">
        <v>2533</v>
      </c>
      <c r="C2825" s="23"/>
      <c r="D2825" s="24"/>
      <c r="E2825" s="25"/>
      <c r="F2825" s="26"/>
      <c r="G2825" s="27">
        <f>SUM(G2826:G2827)</f>
        <v>0</v>
      </c>
      <c r="H2825" s="44">
        <f>G2825*E2813</f>
        <v>0</v>
      </c>
    </row>
    <row r="2826" spans="1:8" ht="12.75" customHeight="1">
      <c r="A2826" s="28"/>
      <c r="B2826" s="29"/>
      <c r="C2826" s="30" t="str">
        <f>IFERROR(_xlfn.XLOOKUP(B2826,Transporte[DESCRIPCION],Transporte[UND],,0),"")</f>
        <v/>
      </c>
      <c r="D2826" s="31"/>
      <c r="E2826" s="32" t="str">
        <f>IFERROR(_xlfn.XLOOKUP($B2826,Transporte[DESCRIPCION],Transporte[VALOR],,0),"")</f>
        <v/>
      </c>
      <c r="F2826" s="33"/>
      <c r="G2826" s="34" t="str">
        <f>IFERROR(IF(F2826&gt;=0,D2826*E2826*(1+F2826/100),ABS(D2826*E2826/F2826)),"")</f>
        <v/>
      </c>
      <c r="H2826" s="43" t="str">
        <f>IFERROR(G2826*E2813,"")</f>
        <v/>
      </c>
    </row>
    <row r="2827" spans="1:8" ht="12.75" customHeight="1">
      <c r="A2827" s="28"/>
      <c r="B2827" s="29"/>
      <c r="C2827" s="30" t="str">
        <f>IFERROR(_xlfn.XLOOKUP(B2827,Transporte[DESCRIPCION],Transporte[UND],,0),"")</f>
        <v/>
      </c>
      <c r="D2827" s="31"/>
      <c r="E2827" s="32" t="str">
        <f>IFERROR(_xlfn.XLOOKUP($B2827,Transporte[DESCRIPCION],Transporte[VALOR],,0),"")</f>
        <v/>
      </c>
      <c r="F2827" s="33"/>
      <c r="G2827" s="34" t="str">
        <f>IFERROR(IF(F2827&gt;=0,D2827*E2827*(1+F2827/100),ABS(D2827*E2827/F2827)),"")</f>
        <v/>
      </c>
      <c r="H2827" s="43" t="str">
        <f>IFERROR(G2827*E2813,"")</f>
        <v/>
      </c>
    </row>
    <row r="2828" spans="1:8" ht="12.75" customHeight="1">
      <c r="A2828" s="21"/>
      <c r="B2828" s="22" t="s">
        <v>3732</v>
      </c>
      <c r="C2828" s="23"/>
      <c r="D2828" s="24"/>
      <c r="E2828" s="25"/>
      <c r="F2828" s="26"/>
      <c r="G2828" s="27">
        <f>SUM(G2829:G2831)</f>
        <v>45606.065716250014</v>
      </c>
      <c r="H2828" s="44">
        <f>G2828*E2813</f>
        <v>0</v>
      </c>
    </row>
    <row r="2829" spans="1:8" ht="12.75" customHeight="1">
      <c r="A2829" s="28"/>
      <c r="B2829" s="29" t="s">
        <v>3712</v>
      </c>
      <c r="C2829" s="30" t="str">
        <f>IFERROR(_xlfn.XLOOKUP(B2829,MObra[DESCRIPCION],MObra[UN],,0),"")</f>
        <v>día</v>
      </c>
      <c r="D2829" s="31">
        <v>1</v>
      </c>
      <c r="E2829" s="32">
        <f>IFERROR(_xlfn.XLOOKUP($B2829,MObra[DESCRIPCION],MObra[VALOR UNIT],,0),"")</f>
        <v>547272.78859500017</v>
      </c>
      <c r="F2829" s="33">
        <v>-12</v>
      </c>
      <c r="G2829" s="34">
        <f>IFERROR(IF(F2829&gt;=0,D2829*E2829*(1+F2829/100),ABS(D2829*E2829/F2829)),"")</f>
        <v>45606.065716250014</v>
      </c>
      <c r="H2829" s="43">
        <f>IFERROR(G2829*E2813,"")</f>
        <v>0</v>
      </c>
    </row>
    <row r="2830" spans="1:8" ht="12.75" customHeight="1">
      <c r="A2830" s="28"/>
      <c r="B2830" s="29"/>
      <c r="C2830" s="30" t="str">
        <f t="array" ref="C2830">IFERROR(_xlfn.XLOOKUP(B2830,MObra[[#All],[DESCRIPCION]],MObra[[#All],[UN]],,0),"")</f>
        <v/>
      </c>
      <c r="D2830" s="31"/>
      <c r="E2830" s="32" t="str">
        <f>IFERROR(_xlfn.XLOOKUP($B2830,MObra[DESCRIPCION],MObra[VALOR UNIT],,0),"")</f>
        <v/>
      </c>
      <c r="F2830" s="33"/>
      <c r="G2830" s="34" t="str">
        <f>IFERROR(IF(F2830&gt;=0,D2830*E2830*(1+F2830/100),ABS(D2830*E2830/F2830)),"")</f>
        <v/>
      </c>
      <c r="H2830" s="43" t="str">
        <f>IFERROR(G2830*E2813,"")</f>
        <v/>
      </c>
    </row>
    <row r="2831" spans="1:8" ht="12.75" customHeight="1" thickBot="1">
      <c r="A2831" s="35"/>
      <c r="B2831" s="36"/>
      <c r="C2831" s="37" t="str">
        <f t="array" ref="C2831">IFERROR(_xlfn.XLOOKUP(B2831,MObra[[#All],[DESCRIPCION]],MObra[[#All],[UN]],,0),"")</f>
        <v/>
      </c>
      <c r="D2831" s="38"/>
      <c r="E2831" s="39" t="str">
        <f>IFERROR(_xlfn.XLOOKUP($B2831,MObra[DESCRIPCION],MObra[VALOR UNIT],,0),"")</f>
        <v/>
      </c>
      <c r="F2831" s="40"/>
      <c r="G2831" s="41" t="str">
        <f>IFERROR(IF(F2831&gt;=0,D2831*E2831*(1+F2831/100),ABS(D2831*E2831/F2831)),"")</f>
        <v/>
      </c>
      <c r="H2831" s="42" t="str">
        <f>IFERROR(G2831*E2813,"")</f>
        <v/>
      </c>
    </row>
    <row r="2832" spans="1:8" ht="12.75" customHeight="1" thickTop="1">
      <c r="E2832" s="49"/>
      <c r="G2832" s="3"/>
    </row>
  </sheetData>
  <mergeCells count="3">
    <mergeCell ref="B1:G1"/>
    <mergeCell ref="B2:G2"/>
    <mergeCell ref="B3:G3"/>
  </mergeCells>
  <dataValidations count="1">
    <dataValidation type="list" allowBlank="1" showInputMessage="1" showErrorMessage="1" sqref="B7:B11 B27:B31 B47:B51 B67:B71 B87:B100 B116:B128 B144:B148 B164:B168 B184:B188 B204:B208 B220 B224:B228 B244:B248 B264:B268 B284:B288 B300 B304:B308 B324:B328 B344:B348 B364:B368 B384:B388 B404:B408 B420 B424:B428 B444:B448 B464:B468 B484:B488 B504:B508 B520 B524:B528 B544:B548 B560 B564:B568 B584:B588 B600 B604:B608 B624:B628 B640 B644:B648 B664:B668 B680 B684:B688 B704:B708 B720 B724:B730 B746:B753 B765 B769:B773 B789:B793 B805 B809:B813 B825 B829:B833 B849:B853 B865 B869:B873 B889:B893 B909:B913 B929:B933 B949:B953 B969:B973 B989:B993 B1009:B1013 B1029:B1033 B1049:B1053 B1069:B1073 B1085:B1094 B1098 B1101 B1105 B1109:B1113 B1125 B1129:B1133 B1149:B1153 B1169:B1173 B1185 B1189:B1193 B1209:B1213 B1229:B1233 B1249:B1253 B1269:B1273 B1289:B1293 B1305 B1309:B1313 B1329:B1333 B1349:B1353 B1369:B1373 B1389:B1393 B1405 B1409:B1413 B1429:B1433 B1449:B1453 B1469:B1473 B1489:B1493 B1505 B1509:B1513 B1529:B1533 B1549:B1553 B1569:B1573 B1589:B1593 B1609:B1613 B1625 B1629:B1633 B1649:B1653 B1669:B1673 B1689:B1693 B1709:B1713 B1729:B1733 B1745 B1749:B1753 B1769:B1773 B1789:B1793 B1809:B1813 B1829:B1833 B1849:B1853 B1865 B1869:B1873 B1889:B1893 B1909:B1913 B1929:B1933 B1949:B1953 B1969:B1973 B1991:B1995 B2008 B2012:B2016 B2033:B2037 B2054:B2058 B2075:B2079 B2095:B2099 B2115:B2119 B2131 B2135:B2139 B2155:B2159 B2175:B2179 B2195:B2199 B2215:B2219 B2235:B2239 B2251 B2255:B2259 B2275:B2279 B2295:B2299 B2315:B2319 B2335:B2339 B2351 B2355:B2359 B2375:B2379 B2395:B2399 B2415:B2419 B2435:B2439 B2451 B2455:B2459 B2475:B2479 B2495:B2499 B2516:B2520 B2536:B2540 B2556:B2560 B2576:B2580 B2596:B2600 B2616:B2620 B2636:B2640 B2656:B2660 B2676:B2680 B2696:B2700 B2716:B2720 B2736:B2740 B2756:B2760 B2776:B2780 B2796:B2800 B2816:B2820" xr:uid="{00000000-0002-0000-0700-000000000000}">
      <formula1>Desinsum</formula1>
      <formula2>0</formula2>
    </dataValidation>
  </dataValidations>
  <printOptions horizontalCentered="1"/>
  <pageMargins left="0.59055118110236227" right="0.59055118110236227" top="1.1605511811023623" bottom="0.59055118110236227" header="0.51181102362204722" footer="0.51181102362204722"/>
  <pageSetup scale="61" orientation="portrait" horizontalDpi="300" verticalDpi="300" r:id="rId1"/>
  <rowBreaks count="35" manualBreakCount="35">
    <brk id="83" max="6" man="1"/>
    <brk id="160" max="6" man="1"/>
    <brk id="240" max="6" man="1"/>
    <brk id="320" max="6" man="1"/>
    <brk id="400" max="6" man="1"/>
    <brk id="480" max="6" man="1"/>
    <brk id="560" max="6" man="1"/>
    <brk id="640" max="6" man="1"/>
    <brk id="720" max="6" man="1"/>
    <brk id="805" max="6" man="1"/>
    <brk id="885" max="6" man="1"/>
    <brk id="965" max="6" man="1"/>
    <brk id="1045" max="6" man="1"/>
    <brk id="1125" max="6" man="1"/>
    <brk id="1205" max="6" man="1"/>
    <brk id="1285" max="6" man="1"/>
    <brk id="1365" max="6" man="1"/>
    <brk id="1445" max="6" man="1"/>
    <brk id="1525" max="6" man="1"/>
    <brk id="1605" max="6" man="1"/>
    <brk id="1685" max="6" man="1"/>
    <brk id="1765" max="6" man="1"/>
    <brk id="1845" max="6" man="1"/>
    <brk id="1905" max="6" man="1"/>
    <brk id="1987" max="6" man="1"/>
    <brk id="2071" max="6" man="1"/>
    <brk id="2151" max="6" man="1"/>
    <brk id="2231" max="6" man="1"/>
    <brk id="2311" max="6" man="1"/>
    <brk id="2391" max="6" man="1"/>
    <brk id="2471" max="6" man="1"/>
    <brk id="2552" max="6" man="1"/>
    <brk id="2632" max="6" man="1"/>
    <brk id="2712" max="6" man="1"/>
    <brk id="2792" max="6" man="1"/>
  </rowBreaks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700-000001000000}">
          <x14:formula1>
            <xm:f>Transporte!$A$4:$A$9</xm:f>
          </x14:formula1>
          <x14:formula2>
            <xm:f>0</xm:f>
          </x14:formula2>
          <xm:sqref>B17:B18 B37:B38 B57:B58 B77:B78 B106:B107 B134:B135 B154:B155 B174:B175 B194:B195 B214:B215 B234:B235 B254:B255 B274:B275 B294:B295 B314:B315 B334:B335 B354:B355 B374:B375 B394:B395 B414:B415 B434:B435 B454:B455 B474:B475 B494:B495 B514:B515 B534:B535 B554:B555 B574:B575 B594:B595 B614:B615 B634:B635 B654:B655 B674:B675 B694:B695 B714:B715 B736:B737 B759:B760 B779:B780 B799:B800 B819:B820 B839:B840 B859:B860 B879:B880 B899:B900 B919:B920 B939:B940 B959:B960 B979:B980 B999:B1000 B1019:B1020 B1039:B1040 B1059:B1060 B1079:B1080 B1099:B1100 B1119:B1120 B1139:B1140 B1159:B1160 B1179:B1180 B1199:B1200 B1219:B1220 B1239:B1240 B1259:B1260 B1279:B1280 B1299:B1300 B1319:B1320 B1339:B1340 B1359:B1360 B1379:B1380 B1399:B1400 B1419:B1420 B1439:B1440 B1459:B1460 B1479:B1480 B1499:B1500 B1519:B1520 B1539:B1540 B1559:B1560 B1579:B1580 B1599:B1600 B1619:B1620 B1639:B1640 B1659:B1660 B1679:B1680 B1699:B1700 B1719:B1720 B1739:B1740 B1759:B1760 B1779:B1780 B1799:B1800 B1819:B1820 B1839:B1840 B1859:B1860 B1879:B1880 B1899:B1900 B1919:B1920 B1939:B1940 B1959:B1960 B1981:B1982 B2002:B2003 B2023:B2024 B2044:B2045 B2065:B2066 B2085:B2086 B2105:B2106 B2125:B2126 B2145:B2146 B2165:B2166 B2185:B2186 B2205:B2206 B2225:B2226 B2245:B2246 B2265:B2266 B2285:B2286 B2305:B2306 B2325:B2326 B2345:B2346 B2365:B2366 B2385:B2386 B2405:B2406 B2425:B2426 B2445:B2446 B2465:B2466 B2485:B2486 B2506:B2507 B2526:B2527 B2546:B2547 B2566:B2567 B2586:B2587 B2606:B2607 B2626:B2627 B2646:B2647 B2666:B2667 B2686:B2687 B2706:B2707 B2726:B2727 B2746:B2747 B2766:B2767 B2786:B2787 B2806:B2807 B2826:B2827</xm:sqref>
        </x14:dataValidation>
        <x14:dataValidation type="list" allowBlank="1" showInputMessage="1" showErrorMessage="1" xr:uid="{00000000-0002-0000-0700-000002000000}">
          <x14:formula1>
            <xm:f>'Mano de obra'!$B$31:$B$58</xm:f>
          </x14:formula1>
          <x14:formula2>
            <xm:f>0</xm:f>
          </x14:formula2>
          <xm:sqref>B20:B22 B40:B42 B60:B62 B80:B82 B109:B111 B137:B139 B157:B159 B177:B179 B197:B199 B217:B219 B237:B239 B257:B259 B277:B279 B297:B299 B317:B319 B337:B339 B357:B359 B377:B379 B397:B399 B417:B419 B437:B439 B457:B459 B477:B479 B497:B499 B517:B519 B537:B539 B557:B559 B577:B579 B597:B599 B617:B619 B637:B639 B657:B659 B677:B679 B697:B699 B717:B719 B739:B741 B762:B764 B782:B784 B802:B804 B822:B824 B842:B844 B862:B864 B882:B884 B902:B904 B922:B924 B942:B944 B962:B964 B982:B984 B1002:B1004 B1022:B1024 B1042:B1044 B1062:B1064 B1082:B1084 B1102:B1104 B1122:B1124 B1142:B1144 B1162:B1164 B1182:B1184 B1202:B1204 B1222:B1224 B1242:B1244 B1262:B1264 B1282:B1284 B1302:B1304 B1322:B1324 B1342:B1344 B1362:B1364 B1382:B1384 B1402:B1404 B1422:B1424 B1442:B1444 B1462:B1464 B1482:B1484 B1502:B1504 B1522:B1524 B1542:B1544 B1562:B1564 B1582:B1584 B1602:B1604 B1622:B1624 B1642:B1644 B1662:B1664 B1682:B1684 B1702:B1704 B1722:B1724 B1742:B1744 B1762:B1764 B1782:B1784 B1802:B1804 B1822:B1824 B1842:B1844 B1862:B1864 B1882:B1884 B1902:B1904 B1922:B1924 B1942:B1944 B1962:B1964 B1984:B1986 B2005:B2007 B2026:B2028 B2047:B2049 B2068:B2070 B2088:B2090 B2108:B2110 B2128:B2130 B2148:B2150 B2168:B2170 B2188:B2190 B2208:B2210 B2228:B2230 B2248:B2250 B2268:B2270 B2288:B2290 B2308:B2310 B2328:B2330 B2348:B2350 B2368:B2370 B2388:B2390 B2408:B2410 B2428:B2430 B2448:B2450 B2468:B2470 B2488:B2490 B2509:B2511 B2529:B2531 B2549:B2551 B2569:B2571 B2589:B2591 B2609:B2611 B2629:B2631 B2649:B2651 B2669:B2671 B2689:B2691 B2709:B2711 B2729:B2731 B2749:B2751 B2769:B2771 B2789:B2791 B2809:B2811 B2829:B2831</xm:sqref>
        </x14:dataValidation>
        <x14:dataValidation type="list" allowBlank="1" showInputMessage="1" showErrorMessage="1" xr:uid="{00000000-0002-0000-0700-000003000000}">
          <x14:formula1>
            <xm:f>Equipo!$A$4:$A$90</xm:f>
          </x14:formula1>
          <x14:formula2>
            <xm:f>0</xm:f>
          </x14:formula2>
          <xm:sqref>B13:B15 B895:B897 B875:B877 B855:B857 B835:B837 B815:B817 B795:B797 B775:B777 B755:B757 B732:B734 B710:B712 B690:B692 B670:B672 B650:B652 B630:B632 B610:B612 B590:B592 B570:B572 B550:B552 B530:B532 B510:B512 B490:B492 B470:B472 B450:B452 B430:B432 B410:B412 B390:B392 B370:B372 B350:B352 B330:B332 B310:B312 B290:B292 B270:B272 B250:B252 B230:B232 B210:B212 B190:B192 B170:B172 B150:B152 B130:B132 B102:B104 B73:B75 B53:B55 B33:B35 B915:B917 B1875:B1877 B1855:B1857 B1835:B1837 B1815:B1817 B1795:B1797 B1775:B1777 B1755:B1757 B1735:B1737 B1715:B1717 B1695:B1697 B1675:B1677 B1655:B1657 B1635:B1637 B1615:B1617 B1595:B1597 B1575:B1577 B1555:B1557 B1535:B1537 B1515:B1517 B1495:B1497 B1475:B1477 B1455:B1457 B935:B937 B1415:B1417 B1395:B1397 B1375:B1377 B1355:B1357 B1335:B1337 B1315:B1317 B1295:B1297 B1275:B1277 B1255:B1257 B1235:B1237 B1215:B1217 B1195:B1197 B1175:B1177 B1155:B1157 B1135:B1137 B1115:B1117 B1095:B1097 B1075:B1077 B1055:B1057 B1035:B1037 B1015:B1017 B995:B997 B975:B977 B955:B957 B1435:B1437 B2822:B2824 B2802:B2804 B2782:B2784 B2762:B2764 B2742:B2744 B2722:B2724 B2702:B2704 B2682:B2684 B2662:B2664 B2642:B2644 B2622:B2624 B2602:B2604 B2582:B2584 B2562:B2564 B2542:B2544 B2522:B2524 B2501:B2504 B2481:B2483 B2461:B2463 B2441:B2443 B2421:B2423 B2401:B2403 B2381:B2383 B2361:B2363 B2341:B2343 B2321:B2323 B2301:B2303 B2281:B2283 B2261:B2263 B2241:B2243 B2221:B2223 B2201:B2203 B2181:B2183 B2161:B2163 B2141:B2143 B2121:B2123 B2101:B2103 B2081:B2083 B2060:B2063 B2039:B2042 B2018:B2021 B1997:B2000 B1975:B1979 B1955:B1957 B1935:B1937 B1915:B1917 B1895:B1897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92D050"/>
  </sheetPr>
  <dimension ref="A1:K2991"/>
  <sheetViews>
    <sheetView view="pageBreakPreview" topLeftCell="A2947" zoomScale="90" zoomScaleNormal="100" zoomScaleSheetLayoutView="90" zoomScalePageLayoutView="90" workbookViewId="0">
      <selection activeCell="B2963" sqref="B2963"/>
    </sheetView>
  </sheetViews>
  <sheetFormatPr baseColWidth="10" defaultColWidth="10.73046875" defaultRowHeight="12.75" customHeight="1"/>
  <cols>
    <col min="1" max="1" width="8.73046875" style="48" customWidth="1"/>
    <col min="2" max="2" width="65.73046875" style="3" customWidth="1"/>
    <col min="3" max="3" width="10.73046875" style="3" customWidth="1"/>
    <col min="4" max="4" width="11.73046875" style="3" customWidth="1"/>
    <col min="5" max="5" width="13.73046875" style="49" customWidth="1"/>
    <col min="6" max="6" width="12.73046875" style="3" customWidth="1"/>
    <col min="7" max="10" width="14.73046875" style="3" customWidth="1"/>
    <col min="11" max="11" width="10.73046875" style="3" customWidth="1"/>
    <col min="12" max="16384" width="10.73046875" style="3"/>
  </cols>
  <sheetData>
    <row r="1" spans="1:11">
      <c r="A1" s="1"/>
      <c r="B1" s="316" t="str">
        <f>Presupuesto!A1</f>
        <v>ALCALDIA DE PEREIRA</v>
      </c>
      <c r="C1" s="316"/>
      <c r="D1" s="316"/>
      <c r="E1" s="316"/>
      <c r="F1" s="316"/>
      <c r="G1" s="316"/>
      <c r="H1" s="2"/>
    </row>
    <row r="2" spans="1:11">
      <c r="A2" s="1"/>
      <c r="B2" s="316" t="str">
        <f>Presupuesto!A2</f>
        <v>VERSION O BASE DE DATOS ALCALDIA DE PEREIRA 2026</v>
      </c>
      <c r="C2" s="316"/>
      <c r="D2" s="316"/>
      <c r="E2" s="316"/>
      <c r="F2" s="316"/>
      <c r="G2" s="316"/>
      <c r="H2" s="2"/>
    </row>
    <row r="3" spans="1:11" ht="14.85" customHeight="1">
      <c r="A3" s="4"/>
      <c r="B3" s="323" t="s">
        <v>3796</v>
      </c>
      <c r="C3" s="323"/>
      <c r="D3" s="323"/>
      <c r="E3" s="323"/>
      <c r="F3" s="323"/>
      <c r="G3" s="323"/>
      <c r="H3" s="5"/>
    </row>
    <row r="4" spans="1:11">
      <c r="A4" s="6" t="s">
        <v>306</v>
      </c>
      <c r="B4" s="7" t="str">
        <f>VLOOKUP($A4,Presupuesto!$A:$D,2,FALSE())</f>
        <v>Caja inspección concreto 17.2 Mpa 0.20 m libre + tapa</v>
      </c>
      <c r="C4" s="8" t="str">
        <f>VLOOKUP($A4,Presupuesto!$A:$D,3,FALSE())</f>
        <v>Un</v>
      </c>
      <c r="D4" s="9"/>
      <c r="E4" s="10">
        <f>VLOOKUP($A4,Presupuesto!$A:$D,4,FALSE())</f>
        <v>0</v>
      </c>
      <c r="F4" s="11" t="s">
        <v>2589</v>
      </c>
      <c r="G4" s="12">
        <f>SUM(G6:G22)/2</f>
        <v>152212.03708901731</v>
      </c>
      <c r="H4" s="13">
        <f>ROUND(SUM(H6:H22),0)/2</f>
        <v>0</v>
      </c>
      <c r="I4" s="10">
        <f>VLOOKUP(A4,Presupuesto!$A:$F,6,0)</f>
        <v>0</v>
      </c>
      <c r="J4" s="10">
        <f>+H4-I4</f>
        <v>0</v>
      </c>
      <c r="K4" s="46">
        <f>+H4-G4*E4</f>
        <v>0</v>
      </c>
    </row>
    <row r="5" spans="1:11">
      <c r="A5" s="14"/>
      <c r="B5" s="15" t="s">
        <v>2586</v>
      </c>
      <c r="C5" s="15" t="s">
        <v>5</v>
      </c>
      <c r="D5" s="16" t="s">
        <v>6</v>
      </c>
      <c r="E5" s="17" t="s">
        <v>7</v>
      </c>
      <c r="F5" s="18" t="s">
        <v>3728</v>
      </c>
      <c r="G5" s="19" t="s">
        <v>3729</v>
      </c>
      <c r="H5" s="20" t="s">
        <v>3797</v>
      </c>
    </row>
    <row r="6" spans="1:11">
      <c r="A6" s="21"/>
      <c r="B6" s="22" t="s">
        <v>3730</v>
      </c>
      <c r="C6" s="23"/>
      <c r="D6" s="24"/>
      <c r="E6" s="25"/>
      <c r="F6" s="26"/>
      <c r="G6" s="27">
        <f>SUM(G7:G11)</f>
        <v>83674.85339390728</v>
      </c>
      <c r="H6" s="27">
        <f>IFERROR(G6*E4,"")</f>
        <v>0</v>
      </c>
    </row>
    <row r="7" spans="1:11">
      <c r="A7" s="28"/>
      <c r="B7" s="29" t="s">
        <v>2954</v>
      </c>
      <c r="C7" s="30" t="str">
        <f>IFERROR(_xlfn.XLOOKUP(B7,Insumo[DESCRIPCION],Insumo[UND],,0),"")</f>
        <v>M2</v>
      </c>
      <c r="D7" s="31">
        <f>0.2*4*0.5</f>
        <v>0.4</v>
      </c>
      <c r="E7" s="32">
        <f>IFERROR(_xlfn.XLOOKUP($B7,Insumo[DESCRIPCION],Insumo[VALOR],,0),"")</f>
        <v>102154.92581625449</v>
      </c>
      <c r="F7" s="33">
        <v>-2</v>
      </c>
      <c r="G7" s="34">
        <f>IFERROR(IF(F7&gt;=0,D7*E7*(1+F7/100),ABS(D7*E7/F7)),"")</f>
        <v>20430.985163250898</v>
      </c>
      <c r="H7" s="43">
        <f>IFERROR(G7*E4,"")</f>
        <v>0</v>
      </c>
    </row>
    <row r="8" spans="1:11">
      <c r="A8" s="28"/>
      <c r="B8" s="29" t="s">
        <v>3238</v>
      </c>
      <c r="C8" s="30" t="str">
        <f>IFERROR(_xlfn.XLOOKUP(B8,Insumo[DESCRIPCION],Insumo[UND],,0),"")</f>
        <v>M3</v>
      </c>
      <c r="D8" s="31">
        <f>0.1*(0.2*0.5*2+0.4*0.5*2+0.4*0.1*2)</f>
        <v>6.8000000000000019E-2</v>
      </c>
      <c r="E8" s="32">
        <f>IFERROR(_xlfn.XLOOKUP($B8,Insumo[DESCRIPCION],Insumo[VALOR],,0),"")</f>
        <v>488900.227320117</v>
      </c>
      <c r="F8" s="33">
        <v>5</v>
      </c>
      <c r="G8" s="34">
        <f>IFERROR(IF(F8&gt;=0,D8*E8*(1+F8/100),ABS(D8*E8/F8)),"")</f>
        <v>34907.476230656372</v>
      </c>
      <c r="H8" s="43">
        <f>IFERROR(G8*E4,"")</f>
        <v>0</v>
      </c>
    </row>
    <row r="9" spans="1:11">
      <c r="A9" s="28"/>
      <c r="B9" s="29" t="s">
        <v>2653</v>
      </c>
      <c r="C9" s="30" t="str">
        <f>IFERROR(_xlfn.XLOOKUP(B9,Insumo[DESCRIPCION],Insumo[UND],,0),"")</f>
        <v>Kg</v>
      </c>
      <c r="D9" s="31">
        <f>0.4*5.6</f>
        <v>2.2399999999999998</v>
      </c>
      <c r="E9" s="32">
        <f>IFERROR(_xlfn.XLOOKUP($B9,Insumo[DESCRIPCION],Insumo[VALOR],,0),"")</f>
        <v>5686.8</v>
      </c>
      <c r="F9" s="33"/>
      <c r="G9" s="34">
        <f>IFERROR(IF(F9&gt;=0,D9*E9*(1+F9/100),ABS(D9*E9/F9)),"")</f>
        <v>12738.431999999999</v>
      </c>
      <c r="H9" s="43">
        <f>IFERROR(G9*E4,"")</f>
        <v>0</v>
      </c>
    </row>
    <row r="10" spans="1:11">
      <c r="A10" s="28"/>
      <c r="B10" s="29" t="s">
        <v>2703</v>
      </c>
      <c r="C10" s="30" t="str">
        <f>IFERROR(_xlfn.XLOOKUP(B10,Insumo[DESCRIPCION],Insumo[UND],,0),"")</f>
        <v>M</v>
      </c>
      <c r="D10" s="31">
        <v>0.8</v>
      </c>
      <c r="E10" s="32">
        <f>IFERROR(_xlfn.XLOOKUP($B10,Insumo[DESCRIPCION],Insumo[VALOR],,0),"")</f>
        <v>11388.300000000001</v>
      </c>
      <c r="F10" s="33"/>
      <c r="G10" s="34">
        <f>IFERROR(IF(F10&gt;=0,D10*E10*(1+F10/100),ABS(D10*E10/F10)),"")</f>
        <v>9110.6400000000012</v>
      </c>
      <c r="H10" s="43">
        <f>IFERROR(G10*E4,"")</f>
        <v>0</v>
      </c>
    </row>
    <row r="11" spans="1:11">
      <c r="A11" s="28"/>
      <c r="B11" s="29" t="s">
        <v>3224</v>
      </c>
      <c r="C11" s="30" t="str">
        <f>IFERROR(_xlfn.XLOOKUP(B11,Insumo[DESCRIPCION],Insumo[UND],,0),"")</f>
        <v>M</v>
      </c>
      <c r="D11" s="31">
        <v>0.8</v>
      </c>
      <c r="E11" s="32">
        <f>IFERROR(_xlfn.XLOOKUP($B11,Insumo[DESCRIPCION],Insumo[VALOR],,0),"")</f>
        <v>8109.1500000000005</v>
      </c>
      <c r="F11" s="33"/>
      <c r="G11" s="34">
        <f>IFERROR(IF(F11&gt;=0,D11*E11*(1+F11/100),ABS(D11*E11/F11)),"")</f>
        <v>6487.3200000000006</v>
      </c>
      <c r="H11" s="43">
        <f>IFERROR(G11*E4,"")</f>
        <v>0</v>
      </c>
    </row>
    <row r="12" spans="1:11">
      <c r="A12" s="21"/>
      <c r="B12" s="22" t="s">
        <v>3731</v>
      </c>
      <c r="C12" s="23"/>
      <c r="D12" s="24"/>
      <c r="E12" s="25"/>
      <c r="F12" s="26"/>
      <c r="G12" s="27">
        <f>SUM(G13:G15)</f>
        <v>5659.0335161100011</v>
      </c>
      <c r="H12" s="44">
        <f>G12*E4</f>
        <v>0</v>
      </c>
    </row>
    <row r="13" spans="1:11">
      <c r="A13" s="28"/>
      <c r="B13" s="29" t="s">
        <v>3570</v>
      </c>
      <c r="C13" s="30" t="str">
        <f>IFERROR(_xlfn.XLOOKUP(B13,Equipo[DESCRIPCION],Equipo[UND],,0),"")</f>
        <v>%MO</v>
      </c>
      <c r="D13" s="31">
        <v>0.04</v>
      </c>
      <c r="E13" s="32">
        <f>IF(C13="%MO",G19,IFERROR(_xlfn.XLOOKUP($B13,Equipo[DESCRIPCION],Equipo[VALOR],,0),""))</f>
        <v>62878.150179000011</v>
      </c>
      <c r="F13" s="33"/>
      <c r="G13" s="34">
        <f>IFERROR(IF(F13&gt;=0,D13*E13*(1+F13/100),ABS(D13*E13/F13)),"")</f>
        <v>2515.1260071600004</v>
      </c>
      <c r="H13" s="43">
        <f>IFERROR(G13*E4,"")</f>
        <v>0</v>
      </c>
    </row>
    <row r="14" spans="1:11">
      <c r="A14" s="28"/>
      <c r="B14" s="29" t="s">
        <v>3626</v>
      </c>
      <c r="C14" s="30" t="str">
        <f>IFERROR(_xlfn.XLOOKUP(B14,Equipo[DESCRIPCION],Equipo[UND],,0),"")</f>
        <v>%MO</v>
      </c>
      <c r="D14" s="31">
        <v>0.05</v>
      </c>
      <c r="E14" s="32">
        <f>IF(C14="%MO",G19,IFERROR(_xlfn.XLOOKUP($B14,Equipo[DESCRIPCION],Equipo[VALOR],,0),""))</f>
        <v>62878.150179000011</v>
      </c>
      <c r="F14" s="33"/>
      <c r="G14" s="34">
        <f>IFERROR(IF(F14&gt;=0,D14*E14*(1+F14/100),ABS(D14*E14/F14)),"")</f>
        <v>3143.9075089500006</v>
      </c>
      <c r="H14" s="43">
        <f>IFERROR(G14*E4,"")</f>
        <v>0</v>
      </c>
    </row>
    <row r="15" spans="1:11">
      <c r="A15" s="28"/>
      <c r="B15" s="29"/>
      <c r="C15" s="30" t="str">
        <f>IFERROR(_xlfn.XLOOKUP(B15,Equipo[DESCRIPCION],Equipo[UND],,0),"")</f>
        <v/>
      </c>
      <c r="D15" s="31"/>
      <c r="E15" s="32" t="str">
        <f>IF(C15="%MO",G19,IFERROR(_xlfn.XLOOKUP($B15,Equipo[DESCRIPCION],Equipo[VALOR],,0),""))</f>
        <v/>
      </c>
      <c r="F15" s="33"/>
      <c r="G15" s="34" t="str">
        <f>IFERROR(IF(F15&gt;=0,D15*E15*(1+F15/100),ABS(D15*E15/F15)),"")</f>
        <v/>
      </c>
      <c r="H15" s="43" t="str">
        <f>IFERROR(G15*E4,"")</f>
        <v/>
      </c>
    </row>
    <row r="16" spans="1:11">
      <c r="A16" s="21"/>
      <c r="B16" s="22" t="s">
        <v>2533</v>
      </c>
      <c r="C16" s="23"/>
      <c r="D16" s="24"/>
      <c r="E16" s="25"/>
      <c r="F16" s="26"/>
      <c r="G16" s="27">
        <f>SUM(G17:G18)</f>
        <v>0</v>
      </c>
      <c r="H16" s="44">
        <f>G16*E4</f>
        <v>0</v>
      </c>
    </row>
    <row r="17" spans="1:11">
      <c r="A17" s="28"/>
      <c r="B17" s="29"/>
      <c r="C17" s="30" t="str">
        <f>IFERROR(_xlfn.XLOOKUP(B17,Transporte[DESCRIPCION],Transporte[UND],,0),"")</f>
        <v/>
      </c>
      <c r="D17" s="31"/>
      <c r="E17" s="32" t="str">
        <f>IFERROR(_xlfn.XLOOKUP($B17,Transporte[DESCRIPCION],Transporte[VALOR],,0),"")</f>
        <v/>
      </c>
      <c r="F17" s="33"/>
      <c r="G17" s="34" t="str">
        <f>IFERROR(IF(F17&gt;=0,D17*E17*(1+F17/100),ABS(D17*E17/F17)),"")</f>
        <v/>
      </c>
      <c r="H17" s="43" t="str">
        <f>IFERROR(G17*E4,"")</f>
        <v/>
      </c>
    </row>
    <row r="18" spans="1:11">
      <c r="A18" s="28"/>
      <c r="B18" s="29"/>
      <c r="C18" s="30" t="str">
        <f>IFERROR(_xlfn.XLOOKUP(B18,Transporte[DESCRIPCION],Transporte[UND],,0),"")</f>
        <v/>
      </c>
      <c r="D18" s="31"/>
      <c r="E18" s="32" t="str">
        <f>IFERROR(_xlfn.XLOOKUP($B18,Transporte[DESCRIPCION],Transporte[VALOR],,0),"")</f>
        <v/>
      </c>
      <c r="F18" s="33"/>
      <c r="G18" s="34" t="str">
        <f>IFERROR(IF(F18&gt;=0,D18*E18*(1+F18/100),ABS(D18*E18/F18)),"")</f>
        <v/>
      </c>
      <c r="H18" s="43" t="str">
        <f>IFERROR(G18*E4,"")</f>
        <v/>
      </c>
    </row>
    <row r="19" spans="1:11">
      <c r="A19" s="21"/>
      <c r="B19" s="22" t="s">
        <v>3732</v>
      </c>
      <c r="C19" s="23"/>
      <c r="D19" s="24"/>
      <c r="E19" s="25"/>
      <c r="F19" s="26"/>
      <c r="G19" s="27">
        <f>SUM(G20:G22)</f>
        <v>62878.150179000011</v>
      </c>
      <c r="H19" s="44">
        <f>G19*E4</f>
        <v>0</v>
      </c>
    </row>
    <row r="20" spans="1:11">
      <c r="A20" s="28"/>
      <c r="B20" s="29" t="s">
        <v>3710</v>
      </c>
      <c r="C20" s="30" t="str">
        <f>IFERROR(_xlfn.XLOOKUP(B20,MObra[DESCRIPCION],MObra[UN],,0),"")</f>
        <v>día</v>
      </c>
      <c r="D20" s="31">
        <v>1</v>
      </c>
      <c r="E20" s="32">
        <f>IFERROR(_xlfn.XLOOKUP($B20,MObra[DESCRIPCION],MObra[VALOR UNIT],,0),"")</f>
        <v>314390.75089500006</v>
      </c>
      <c r="F20" s="33">
        <v>-5</v>
      </c>
      <c r="G20" s="34">
        <f>IFERROR(IF(F20&gt;=0,D20*E20*(1+F20/100),ABS(D20*E20/F20)),"")</f>
        <v>62878.150179000011</v>
      </c>
      <c r="H20" s="43">
        <f>IFERROR(G20*E4,"")</f>
        <v>0</v>
      </c>
    </row>
    <row r="21" spans="1:11">
      <c r="A21" s="28"/>
      <c r="B21" s="29"/>
      <c r="C21" s="30" t="str">
        <f t="array" ref="C21">IFERROR(_xlfn.XLOOKUP(B21,MObra[[#All],[DESCRIPCION]],MObra[[#All],[UN]],,0),"")</f>
        <v/>
      </c>
      <c r="D21" s="31"/>
      <c r="E21" s="32" t="str">
        <f>IFERROR(_xlfn.XLOOKUP($B21,MObra[DESCRIPCION],MObra[VALOR UNIT],,0),"")</f>
        <v/>
      </c>
      <c r="F21" s="33"/>
      <c r="G21" s="34" t="str">
        <f>IFERROR(IF(F21&gt;=0,D21*E21*(1+F21/100),ABS(D21*E21/F21)),"")</f>
        <v/>
      </c>
      <c r="H21" s="43" t="str">
        <f>IFERROR(G21*E4,"")</f>
        <v/>
      </c>
    </row>
    <row r="22" spans="1:11">
      <c r="A22" s="35"/>
      <c r="B22" s="36"/>
      <c r="C22" s="37" t="str">
        <f t="array" ref="C22">IFERROR(_xlfn.XLOOKUP(B22,MObra[[#All],[DESCRIPCION]],MObra[[#All],[UN]],,0),"")</f>
        <v/>
      </c>
      <c r="D22" s="38"/>
      <c r="E22" s="39" t="str">
        <f>IFERROR(_xlfn.XLOOKUP($B22,MObra[DESCRIPCION],MObra[VALOR UNIT],,0),"")</f>
        <v/>
      </c>
      <c r="F22" s="40"/>
      <c r="G22" s="41" t="str">
        <f>IFERROR(IF(F22&gt;=0,D22*E22*(1+F22/100),ABS(D22*E22/F22)),"")</f>
        <v/>
      </c>
      <c r="H22" s="42" t="str">
        <f>IFERROR(G22*E4,"")</f>
        <v/>
      </c>
    </row>
    <row r="24" spans="1:11">
      <c r="A24" s="6" t="s">
        <v>308</v>
      </c>
      <c r="B24" s="7" t="str">
        <f>VLOOKUP($A24,Presupuesto!$A:$D,2,FALSE())</f>
        <v>Caja inspección concreto 17.2 Mpa 0.30 m libre + tapa</v>
      </c>
      <c r="C24" s="8" t="str">
        <f>VLOOKUP($A24,Presupuesto!$A:$D,3,FALSE())</f>
        <v>Un</v>
      </c>
      <c r="D24" s="9"/>
      <c r="E24" s="10">
        <f>VLOOKUP($A24,Presupuesto!$A:$D,4,FALSE())</f>
        <v>0</v>
      </c>
      <c r="F24" s="11" t="s">
        <v>2589</v>
      </c>
      <c r="G24" s="12">
        <f>SUM(G26:G42)/2</f>
        <v>205023.61684551492</v>
      </c>
      <c r="H24" s="13">
        <f>ROUND(SUM(H26:H42),0)/2</f>
        <v>0</v>
      </c>
      <c r="I24" s="10">
        <f>VLOOKUP(A24,Presupuesto!$A:$F,6,0)</f>
        <v>0</v>
      </c>
      <c r="J24" s="10">
        <f>+H24-I24</f>
        <v>0</v>
      </c>
      <c r="K24" s="46">
        <f>+H24-G24*E24</f>
        <v>0</v>
      </c>
    </row>
    <row r="25" spans="1:11">
      <c r="A25" s="14"/>
      <c r="B25" s="15" t="s">
        <v>2586</v>
      </c>
      <c r="C25" s="15" t="s">
        <v>5</v>
      </c>
      <c r="D25" s="16" t="s">
        <v>6</v>
      </c>
      <c r="E25" s="17" t="s">
        <v>7</v>
      </c>
      <c r="F25" s="18" t="s">
        <v>3728</v>
      </c>
      <c r="G25" s="19" t="s">
        <v>3729</v>
      </c>
      <c r="H25" s="20" t="s">
        <v>3797</v>
      </c>
    </row>
    <row r="26" spans="1:11">
      <c r="A26" s="21"/>
      <c r="B26" s="22" t="s">
        <v>3730</v>
      </c>
      <c r="C26" s="23"/>
      <c r="D26" s="24"/>
      <c r="E26" s="25"/>
      <c r="F26" s="26"/>
      <c r="G26" s="27">
        <f>SUM(G27:G31)</f>
        <v>119352.13722662741</v>
      </c>
      <c r="H26" s="27">
        <f>IFERROR(G26*E24,"")</f>
        <v>0</v>
      </c>
    </row>
    <row r="27" spans="1:11">
      <c r="A27" s="28"/>
      <c r="B27" s="29" t="s">
        <v>2954</v>
      </c>
      <c r="C27" s="30" t="str">
        <f>IFERROR(_xlfn.XLOOKUP(B27,Insumo[DESCRIPCION],Insumo[UND],,0),"")</f>
        <v>M2</v>
      </c>
      <c r="D27" s="31">
        <f>0.3*4*0.5</f>
        <v>0.6</v>
      </c>
      <c r="E27" s="32">
        <f>IFERROR(_xlfn.XLOOKUP($B27,Insumo[DESCRIPCION],Insumo[VALOR],,0),"")</f>
        <v>102154.92581625449</v>
      </c>
      <c r="F27" s="33">
        <v>-2</v>
      </c>
      <c r="G27" s="34">
        <f>IFERROR(IF(F27&gt;=0,D27*E27*(1+F27/100),ABS(D27*E27/F27)),"")</f>
        <v>30646.477744876345</v>
      </c>
      <c r="H27" s="43">
        <f>IFERROR(G27*E24,"")</f>
        <v>0</v>
      </c>
    </row>
    <row r="28" spans="1:11">
      <c r="A28" s="28"/>
      <c r="B28" s="29" t="s">
        <v>3238</v>
      </c>
      <c r="C28" s="30" t="str">
        <f>IFERROR(_xlfn.XLOOKUP(B28,Insumo[DESCRIPCION],Insumo[UND],,0),"")</f>
        <v>M3</v>
      </c>
      <c r="D28" s="31">
        <f>0.1*(0.3*0.5*2+0.5*0.5*2+0.5*0.1*2)</f>
        <v>9.0000000000000011E-2</v>
      </c>
      <c r="E28" s="32">
        <f>IFERROR(_xlfn.XLOOKUP($B28,Insumo[DESCRIPCION],Insumo[VALOR],,0),"")</f>
        <v>488900.227320117</v>
      </c>
      <c r="F28" s="33">
        <v>5</v>
      </c>
      <c r="G28" s="34">
        <f>IFERROR(IF(F28&gt;=0,D28*E28*(1+F28/100),ABS(D28*E28/F28)),"")</f>
        <v>46201.07148175106</v>
      </c>
      <c r="H28" s="43">
        <f>IFERROR(G28*E24,"")</f>
        <v>0</v>
      </c>
    </row>
    <row r="29" spans="1:11">
      <c r="A29" s="28"/>
      <c r="B29" s="29" t="s">
        <v>2653</v>
      </c>
      <c r="C29" s="30" t="str">
        <f>IFERROR(_xlfn.XLOOKUP(B29,Insumo[DESCRIPCION],Insumo[UND],,0),"")</f>
        <v>Kg</v>
      </c>
      <c r="D29" s="31">
        <f>0.6*5.6</f>
        <v>3.36</v>
      </c>
      <c r="E29" s="32">
        <f>IFERROR(_xlfn.XLOOKUP($B29,Insumo[DESCRIPCION],Insumo[VALOR],,0),"")</f>
        <v>5686.8</v>
      </c>
      <c r="F29" s="33"/>
      <c r="G29" s="34">
        <f>IFERROR(IF(F29&gt;=0,D29*E29*(1+F29/100),ABS(D29*E29/F29)),"")</f>
        <v>19107.648000000001</v>
      </c>
      <c r="H29" s="43">
        <f>IFERROR(G29*E24,"")</f>
        <v>0</v>
      </c>
    </row>
    <row r="30" spans="1:11">
      <c r="A30" s="28"/>
      <c r="B30" s="29" t="s">
        <v>2703</v>
      </c>
      <c r="C30" s="30" t="str">
        <f>IFERROR(_xlfn.XLOOKUP(B30,Insumo[DESCRIPCION],Insumo[UND],,0),"")</f>
        <v>M</v>
      </c>
      <c r="D30" s="31">
        <f>0.3*4</f>
        <v>1.2</v>
      </c>
      <c r="E30" s="32">
        <f>IFERROR(_xlfn.XLOOKUP($B30,Insumo[DESCRIPCION],Insumo[VALOR],,0),"")</f>
        <v>11388.300000000001</v>
      </c>
      <c r="F30" s="33"/>
      <c r="G30" s="34">
        <f>IFERROR(IF(F30&gt;=0,D30*E30*(1+F30/100),ABS(D30*E30/F30)),"")</f>
        <v>13665.960000000001</v>
      </c>
      <c r="H30" s="43">
        <f>IFERROR(G30*E24,"")</f>
        <v>0</v>
      </c>
    </row>
    <row r="31" spans="1:11">
      <c r="A31" s="28"/>
      <c r="B31" s="29" t="s">
        <v>3224</v>
      </c>
      <c r="C31" s="30" t="str">
        <f>IFERROR(_xlfn.XLOOKUP(B31,Insumo[DESCRIPCION],Insumo[UND],,0),"")</f>
        <v>M</v>
      </c>
      <c r="D31" s="31">
        <f>0.3*4</f>
        <v>1.2</v>
      </c>
      <c r="E31" s="32">
        <f>IFERROR(_xlfn.XLOOKUP($B31,Insumo[DESCRIPCION],Insumo[VALOR],,0),"")</f>
        <v>8109.1500000000005</v>
      </c>
      <c r="F31" s="33"/>
      <c r="G31" s="34">
        <f>IFERROR(IF(F31&gt;=0,D31*E31*(1+F31/100),ABS(D31*E31/F31)),"")</f>
        <v>9730.98</v>
      </c>
      <c r="H31" s="43">
        <f>IFERROR(G31*E24,"")</f>
        <v>0</v>
      </c>
    </row>
    <row r="32" spans="1:11">
      <c r="A32" s="21"/>
      <c r="B32" s="22" t="s">
        <v>3731</v>
      </c>
      <c r="C32" s="23"/>
      <c r="D32" s="24"/>
      <c r="E32" s="25"/>
      <c r="F32" s="26"/>
      <c r="G32" s="27">
        <f>SUM(G33:G35)</f>
        <v>7073.7918951375013</v>
      </c>
      <c r="H32" s="44">
        <f>G32*E24</f>
        <v>0</v>
      </c>
    </row>
    <row r="33" spans="1:11">
      <c r="A33" s="28"/>
      <c r="B33" s="29" t="s">
        <v>3570</v>
      </c>
      <c r="C33" s="30" t="str">
        <f>IFERROR(_xlfn.XLOOKUP(B33,Equipo[DESCRIPCION],Equipo[UND],,0),"")</f>
        <v>%MO</v>
      </c>
      <c r="D33" s="31">
        <v>0.04</v>
      </c>
      <c r="E33" s="32">
        <f>IF(C33="%MO",G39,IFERROR(_xlfn.XLOOKUP($B33,Equipo[DESCRIPCION],Equipo[VALOR],,0),""))</f>
        <v>78597.687723750016</v>
      </c>
      <c r="F33" s="33"/>
      <c r="G33" s="34">
        <f>IFERROR(IF(F33&gt;=0,D33*E33*(1+F33/100),ABS(D33*E33/F33)),"")</f>
        <v>3143.9075089500006</v>
      </c>
      <c r="H33" s="43">
        <f>IFERROR(G33*E24,"")</f>
        <v>0</v>
      </c>
    </row>
    <row r="34" spans="1:11">
      <c r="A34" s="28"/>
      <c r="B34" s="29" t="s">
        <v>3626</v>
      </c>
      <c r="C34" s="30" t="str">
        <f>IFERROR(_xlfn.XLOOKUP(B34,Equipo[DESCRIPCION],Equipo[UND],,0),"")</f>
        <v>%MO</v>
      </c>
      <c r="D34" s="31">
        <v>0.05</v>
      </c>
      <c r="E34" s="32">
        <f>IF(C34="%MO",G39,IFERROR(_xlfn.XLOOKUP($B34,Equipo[DESCRIPCION],Equipo[VALOR],,0),""))</f>
        <v>78597.687723750016</v>
      </c>
      <c r="F34" s="33"/>
      <c r="G34" s="34">
        <f>IFERROR(IF(F34&gt;=0,D34*E34*(1+F34/100),ABS(D34*E34/F34)),"")</f>
        <v>3929.8843861875011</v>
      </c>
      <c r="H34" s="43">
        <f>IFERROR(G34*E24,"")</f>
        <v>0</v>
      </c>
    </row>
    <row r="35" spans="1:11">
      <c r="A35" s="28"/>
      <c r="B35" s="29"/>
      <c r="C35" s="30" t="str">
        <f>IFERROR(_xlfn.XLOOKUP(B35,Equipo[DESCRIPCION],Equipo[UND],,0),"")</f>
        <v/>
      </c>
      <c r="D35" s="31"/>
      <c r="E35" s="32" t="str">
        <f>IF(C35="%MO",G39,IFERROR(_xlfn.XLOOKUP($B35,Equipo[DESCRIPCION],Equipo[VALOR],,0),""))</f>
        <v/>
      </c>
      <c r="F35" s="33"/>
      <c r="G35" s="34" t="str">
        <f>IFERROR(IF(F35&gt;=0,D35*E35*(1+F35/100),ABS(D35*E35/F35)),"")</f>
        <v/>
      </c>
      <c r="H35" s="43" t="str">
        <f>IFERROR(G35*E24,"")</f>
        <v/>
      </c>
    </row>
    <row r="36" spans="1:11">
      <c r="A36" s="21"/>
      <c r="B36" s="22" t="s">
        <v>2533</v>
      </c>
      <c r="C36" s="23"/>
      <c r="D36" s="24"/>
      <c r="E36" s="25"/>
      <c r="F36" s="26"/>
      <c r="G36" s="27">
        <f>SUM(G37:G38)</f>
        <v>0</v>
      </c>
      <c r="H36" s="44">
        <f>G36*E24</f>
        <v>0</v>
      </c>
    </row>
    <row r="37" spans="1:11">
      <c r="A37" s="28"/>
      <c r="B37" s="29"/>
      <c r="C37" s="30" t="str">
        <f>IFERROR(_xlfn.XLOOKUP(B37,Transporte[DESCRIPCION],Transporte[UND],,0),"")</f>
        <v/>
      </c>
      <c r="D37" s="31"/>
      <c r="E37" s="32" t="str">
        <f>IFERROR(_xlfn.XLOOKUP($B37,Transporte[DESCRIPCION],Transporte[VALOR],,0),"")</f>
        <v/>
      </c>
      <c r="F37" s="33"/>
      <c r="G37" s="34" t="str">
        <f>IFERROR(IF(F37&gt;=0,D37*E37*(1+F37/100),ABS(D37*E37/F37)),"")</f>
        <v/>
      </c>
      <c r="H37" s="43" t="str">
        <f>IFERROR(G37*E24,"")</f>
        <v/>
      </c>
    </row>
    <row r="38" spans="1:11">
      <c r="A38" s="28"/>
      <c r="B38" s="29"/>
      <c r="C38" s="30" t="str">
        <f>IFERROR(_xlfn.XLOOKUP(B38,Transporte[DESCRIPCION],Transporte[UND],,0),"")</f>
        <v/>
      </c>
      <c r="D38" s="31"/>
      <c r="E38" s="32" t="str">
        <f>IFERROR(_xlfn.XLOOKUP($B38,Transporte[DESCRIPCION],Transporte[VALOR],,0),"")</f>
        <v/>
      </c>
      <c r="F38" s="33"/>
      <c r="G38" s="34" t="str">
        <f>IFERROR(IF(F38&gt;=0,D38*E38*(1+F38/100),ABS(D38*E38/F38)),"")</f>
        <v/>
      </c>
      <c r="H38" s="43" t="str">
        <f>IFERROR(G38*E24,"")</f>
        <v/>
      </c>
    </row>
    <row r="39" spans="1:11">
      <c r="A39" s="21"/>
      <c r="B39" s="22" t="s">
        <v>3732</v>
      </c>
      <c r="C39" s="23"/>
      <c r="D39" s="24"/>
      <c r="E39" s="25"/>
      <c r="F39" s="26"/>
      <c r="G39" s="27">
        <f>SUM(G40:G42)</f>
        <v>78597.687723750016</v>
      </c>
      <c r="H39" s="44">
        <f>G39*E24</f>
        <v>0</v>
      </c>
    </row>
    <row r="40" spans="1:11">
      <c r="A40" s="28"/>
      <c r="B40" s="29" t="s">
        <v>3710</v>
      </c>
      <c r="C40" s="30" t="str">
        <f>IFERROR(_xlfn.XLOOKUP(B40,MObra[DESCRIPCION],MObra[UN],,0),"")</f>
        <v>día</v>
      </c>
      <c r="D40" s="31">
        <v>1</v>
      </c>
      <c r="E40" s="32">
        <f>IFERROR(_xlfn.XLOOKUP($B40,MObra[DESCRIPCION],MObra[VALOR UNIT],,0),"")</f>
        <v>314390.75089500006</v>
      </c>
      <c r="F40" s="33">
        <v>-4</v>
      </c>
      <c r="G40" s="34">
        <f>IFERROR(IF(F40&gt;=0,D40*E40*(1+F40/100),ABS(D40*E40/F40)),"")</f>
        <v>78597.687723750016</v>
      </c>
      <c r="H40" s="43">
        <f>IFERROR(G40*E24,"")</f>
        <v>0</v>
      </c>
    </row>
    <row r="41" spans="1:11">
      <c r="A41" s="28"/>
      <c r="B41" s="29"/>
      <c r="C41" s="30" t="str">
        <f t="array" ref="C41">IFERROR(_xlfn.XLOOKUP(B41,MObra[[#All],[DESCRIPCION]],MObra[[#All],[UN]],,0),"")</f>
        <v/>
      </c>
      <c r="D41" s="31"/>
      <c r="E41" s="32" t="str">
        <f>IFERROR(_xlfn.XLOOKUP($B41,MObra[DESCRIPCION],MObra[VALOR UNIT],,0),"")</f>
        <v/>
      </c>
      <c r="F41" s="33"/>
      <c r="G41" s="34" t="str">
        <f>IFERROR(IF(F41&gt;=0,D41*E41*(1+F41/100),ABS(D41*E41/F41)),"")</f>
        <v/>
      </c>
      <c r="H41" s="43" t="str">
        <f>IFERROR(G41*E24,"")</f>
        <v/>
      </c>
    </row>
    <row r="42" spans="1:11">
      <c r="A42" s="35"/>
      <c r="B42" s="36"/>
      <c r="C42" s="37" t="str">
        <f t="array" ref="C42">IFERROR(_xlfn.XLOOKUP(B42,MObra[[#All],[DESCRIPCION]],MObra[[#All],[UN]],,0),"")</f>
        <v/>
      </c>
      <c r="D42" s="38"/>
      <c r="E42" s="39" t="str">
        <f>IFERROR(_xlfn.XLOOKUP($B42,MObra[DESCRIPCION],MObra[VALOR UNIT],,0),"")</f>
        <v/>
      </c>
      <c r="F42" s="40"/>
      <c r="G42" s="41" t="str">
        <f>IFERROR(IF(F42&gt;=0,D42*E42*(1+F42/100),ABS(D42*E42/F42)),"")</f>
        <v/>
      </c>
      <c r="H42" s="42" t="str">
        <f>IFERROR(G42*E24,"")</f>
        <v/>
      </c>
    </row>
    <row r="44" spans="1:11">
      <c r="A44" s="6" t="s">
        <v>310</v>
      </c>
      <c r="B44" s="7" t="str">
        <f>VLOOKUP($A44,Presupuesto!$A:$D,2,FALSE())</f>
        <v>Caja inspección concreto 17.2 Mpa 0.60 m libre + tapa</v>
      </c>
      <c r="C44" s="8" t="str">
        <f>VLOOKUP($A44,Presupuesto!$A:$D,3,FALSE())</f>
        <v>Un</v>
      </c>
      <c r="D44" s="9"/>
      <c r="E44" s="10">
        <f>VLOOKUP($A44,Presupuesto!$A:$D,4,FALSE())</f>
        <v>0</v>
      </c>
      <c r="F44" s="11" t="s">
        <v>2589</v>
      </c>
      <c r="G44" s="12">
        <f>SUM(G46:G62)/2</f>
        <v>500552.89890604885</v>
      </c>
      <c r="H44" s="13">
        <f>ROUND(SUM(H46:H62),0)/2</f>
        <v>0</v>
      </c>
      <c r="I44" s="10">
        <f>VLOOKUP(A44,Presupuesto!$A:$F,6,0)</f>
        <v>0</v>
      </c>
      <c r="J44" s="10">
        <f>+H44-I44</f>
        <v>0</v>
      </c>
      <c r="K44" s="46">
        <f>+H44-G44*E44</f>
        <v>0</v>
      </c>
    </row>
    <row r="45" spans="1:11">
      <c r="A45" s="14"/>
      <c r="B45" s="15" t="s">
        <v>2586</v>
      </c>
      <c r="C45" s="15" t="s">
        <v>5</v>
      </c>
      <c r="D45" s="16" t="s">
        <v>6</v>
      </c>
      <c r="E45" s="17" t="s">
        <v>7</v>
      </c>
      <c r="F45" s="18" t="s">
        <v>3728</v>
      </c>
      <c r="G45" s="19" t="s">
        <v>3729</v>
      </c>
      <c r="H45" s="20" t="s">
        <v>3797</v>
      </c>
    </row>
    <row r="46" spans="1:11">
      <c r="A46" s="21"/>
      <c r="B46" s="22" t="s">
        <v>3730</v>
      </c>
      <c r="C46" s="23"/>
      <c r="D46" s="24"/>
      <c r="E46" s="25"/>
      <c r="F46" s="26"/>
      <c r="G46" s="27">
        <f>SUM(G47:G51)</f>
        <v>329209.93966827379</v>
      </c>
      <c r="H46" s="27">
        <f>IFERROR(G46*E44,"")</f>
        <v>0</v>
      </c>
    </row>
    <row r="47" spans="1:11">
      <c r="A47" s="28"/>
      <c r="B47" s="29" t="s">
        <v>2954</v>
      </c>
      <c r="C47" s="30" t="str">
        <f>IFERROR(_xlfn.XLOOKUP(B47,Insumo[DESCRIPCION],Insumo[UND],,0),"")</f>
        <v>M2</v>
      </c>
      <c r="D47" s="31">
        <f>0.6*4*0.8</f>
        <v>1.92</v>
      </c>
      <c r="E47" s="32">
        <f>IFERROR(_xlfn.XLOOKUP($B47,Insumo[DESCRIPCION],Insumo[VALOR],,0),"")</f>
        <v>102154.92581625449</v>
      </c>
      <c r="F47" s="33">
        <v>-2</v>
      </c>
      <c r="G47" s="34">
        <f>IFERROR(IF(F47&gt;=0,D47*E47*(1+F47/100),ABS(D47*E47/F47)),"")</f>
        <v>98068.728783604311</v>
      </c>
      <c r="H47" s="43">
        <f>IFERROR(G47*E44,"")</f>
        <v>0</v>
      </c>
    </row>
    <row r="48" spans="1:11">
      <c r="A48" s="28"/>
      <c r="B48" s="29" t="s">
        <v>3238</v>
      </c>
      <c r="C48" s="30" t="str">
        <f>IFERROR(_xlfn.XLOOKUP(B48,Insumo[DESCRIPCION],Insumo[UND],,0),"")</f>
        <v>M3</v>
      </c>
      <c r="D48" s="31">
        <f>0.1*(0.6*0.8*2+0.8*0.8*2+0.8*0.1*2)</f>
        <v>0.24000000000000005</v>
      </c>
      <c r="E48" s="32">
        <f>IFERROR(_xlfn.XLOOKUP($B48,Insumo[DESCRIPCION],Insumo[VALOR],,0),"")</f>
        <v>488900.227320117</v>
      </c>
      <c r="F48" s="33">
        <v>5</v>
      </c>
      <c r="G48" s="34">
        <f>IFERROR(IF(F48&gt;=0,D48*E48*(1+F48/100),ABS(D48*E48/F48)),"")</f>
        <v>123202.85728466952</v>
      </c>
      <c r="H48" s="43">
        <f>IFERROR(G48*E44,"")</f>
        <v>0</v>
      </c>
    </row>
    <row r="49" spans="1:11">
      <c r="A49" s="28"/>
      <c r="B49" s="29" t="s">
        <v>2653</v>
      </c>
      <c r="C49" s="30" t="str">
        <f>IFERROR(_xlfn.XLOOKUP(B49,Insumo[DESCRIPCION],Insumo[UND],,0),"")</f>
        <v>Kg</v>
      </c>
      <c r="D49" s="31">
        <f>1.92*5.6</f>
        <v>10.751999999999999</v>
      </c>
      <c r="E49" s="32">
        <f>IFERROR(_xlfn.XLOOKUP($B49,Insumo[DESCRIPCION],Insumo[VALOR],,0),"")</f>
        <v>5686.8</v>
      </c>
      <c r="F49" s="33"/>
      <c r="G49" s="34">
        <f>IFERROR(IF(F49&gt;=0,D49*E49*(1+F49/100),ABS(D49*E49/F49)),"")</f>
        <v>61144.473599999998</v>
      </c>
      <c r="H49" s="43">
        <f>IFERROR(G49*E44,"")</f>
        <v>0</v>
      </c>
    </row>
    <row r="50" spans="1:11">
      <c r="A50" s="28"/>
      <c r="B50" s="29" t="s">
        <v>2703</v>
      </c>
      <c r="C50" s="30" t="str">
        <f>IFERROR(_xlfn.XLOOKUP(B50,Insumo[DESCRIPCION],Insumo[UND],,0),"")</f>
        <v>M</v>
      </c>
      <c r="D50" s="31">
        <v>2.4</v>
      </c>
      <c r="E50" s="32">
        <f>IFERROR(_xlfn.XLOOKUP($B50,Insumo[DESCRIPCION],Insumo[VALOR],,0),"")</f>
        <v>11388.300000000001</v>
      </c>
      <c r="F50" s="33"/>
      <c r="G50" s="34">
        <f>IFERROR(IF(F50&gt;=0,D50*E50*(1+F50/100),ABS(D50*E50/F50)),"")</f>
        <v>27331.920000000002</v>
      </c>
      <c r="H50" s="43">
        <f>IFERROR(G50*E44,"")</f>
        <v>0</v>
      </c>
    </row>
    <row r="51" spans="1:11">
      <c r="A51" s="28"/>
      <c r="B51" s="29" t="s">
        <v>3224</v>
      </c>
      <c r="C51" s="30" t="str">
        <f>IFERROR(_xlfn.XLOOKUP(B51,Insumo[DESCRIPCION],Insumo[UND],,0),"")</f>
        <v>M</v>
      </c>
      <c r="D51" s="31">
        <v>2.4</v>
      </c>
      <c r="E51" s="32">
        <f>IFERROR(_xlfn.XLOOKUP($B51,Insumo[DESCRIPCION],Insumo[VALOR],,0),"")</f>
        <v>8109.1500000000005</v>
      </c>
      <c r="F51" s="33"/>
      <c r="G51" s="34">
        <f>IFERROR(IF(F51&gt;=0,D51*E51*(1+F51/100),ABS(D51*E51/F51)),"")</f>
        <v>19461.96</v>
      </c>
      <c r="H51" s="43">
        <f>IFERROR(G51*E44,"")</f>
        <v>0</v>
      </c>
    </row>
    <row r="52" spans="1:11">
      <c r="A52" s="21"/>
      <c r="B52" s="22" t="s">
        <v>3731</v>
      </c>
      <c r="C52" s="23"/>
      <c r="D52" s="24"/>
      <c r="E52" s="25"/>
      <c r="F52" s="26"/>
      <c r="G52" s="27">
        <f>SUM(G53:G55)</f>
        <v>14147.583790275003</v>
      </c>
      <c r="H52" s="44">
        <f>G52*E44</f>
        <v>0</v>
      </c>
    </row>
    <row r="53" spans="1:11">
      <c r="A53" s="28"/>
      <c r="B53" s="29" t="s">
        <v>3570</v>
      </c>
      <c r="C53" s="30" t="str">
        <f>IFERROR(_xlfn.XLOOKUP(B53,Equipo[DESCRIPCION],Equipo[UND],,0),"")</f>
        <v>%MO</v>
      </c>
      <c r="D53" s="31">
        <v>0.04</v>
      </c>
      <c r="E53" s="32">
        <f>IF(C53="%MO",G59,IFERROR(_xlfn.XLOOKUP($B53,Equipo[DESCRIPCION],Equipo[VALOR],,0),""))</f>
        <v>157195.37544750003</v>
      </c>
      <c r="F53" s="33"/>
      <c r="G53" s="34">
        <f>IFERROR(IF(F53&gt;=0,D53*E53*(1+F53/100),ABS(D53*E53/F53)),"")</f>
        <v>6287.8150179000013</v>
      </c>
      <c r="H53" s="43">
        <f>IFERROR(G53*E44,"")</f>
        <v>0</v>
      </c>
    </row>
    <row r="54" spans="1:11">
      <c r="A54" s="28"/>
      <c r="B54" s="29" t="s">
        <v>3626</v>
      </c>
      <c r="C54" s="30" t="str">
        <f>IFERROR(_xlfn.XLOOKUP(B54,Equipo[DESCRIPCION],Equipo[UND],,0),"")</f>
        <v>%MO</v>
      </c>
      <c r="D54" s="31">
        <v>0.05</v>
      </c>
      <c r="E54" s="32">
        <f>IF(C54="%MO",G59,IFERROR(_xlfn.XLOOKUP($B54,Equipo[DESCRIPCION],Equipo[VALOR],,0),""))</f>
        <v>157195.37544750003</v>
      </c>
      <c r="F54" s="33"/>
      <c r="G54" s="34">
        <f>IFERROR(IF(F54&gt;=0,D54*E54*(1+F54/100),ABS(D54*E54/F54)),"")</f>
        <v>7859.7687723750023</v>
      </c>
      <c r="H54" s="43">
        <f>IFERROR(G54*E44,"")</f>
        <v>0</v>
      </c>
    </row>
    <row r="55" spans="1:11">
      <c r="A55" s="28"/>
      <c r="B55" s="29"/>
      <c r="C55" s="30" t="str">
        <f>IFERROR(_xlfn.XLOOKUP(B55,Equipo[DESCRIPCION],Equipo[UND],,0),"")</f>
        <v/>
      </c>
      <c r="D55" s="31"/>
      <c r="E55" s="32" t="str">
        <f>IF(C55="%MO",G59,IFERROR(_xlfn.XLOOKUP($B55,Equipo[DESCRIPCION],Equipo[VALOR],,0),""))</f>
        <v/>
      </c>
      <c r="F55" s="33"/>
      <c r="G55" s="34" t="str">
        <f>IFERROR(IF(F55&gt;=0,D55*E55*(1+F55/100),ABS(D55*E55/F55)),"")</f>
        <v/>
      </c>
      <c r="H55" s="43" t="str">
        <f>IFERROR(G55*E44,"")</f>
        <v/>
      </c>
    </row>
    <row r="56" spans="1:11">
      <c r="A56" s="21"/>
      <c r="B56" s="22" t="s">
        <v>2533</v>
      </c>
      <c r="C56" s="23"/>
      <c r="D56" s="24"/>
      <c r="E56" s="25"/>
      <c r="F56" s="26"/>
      <c r="G56" s="27">
        <f>SUM(G57:G58)</f>
        <v>0</v>
      </c>
      <c r="H56" s="44">
        <f>G56*E44</f>
        <v>0</v>
      </c>
    </row>
    <row r="57" spans="1:11">
      <c r="A57" s="28"/>
      <c r="B57" s="29"/>
      <c r="C57" s="30" t="str">
        <f>IFERROR(_xlfn.XLOOKUP(B57,Transporte[DESCRIPCION],Transporte[UND],,0),"")</f>
        <v/>
      </c>
      <c r="D57" s="31"/>
      <c r="E57" s="32" t="str">
        <f>IFERROR(_xlfn.XLOOKUP($B57,Transporte[DESCRIPCION],Transporte[VALOR],,0),"")</f>
        <v/>
      </c>
      <c r="F57" s="33"/>
      <c r="G57" s="34" t="str">
        <f>IFERROR(IF(F57&gt;=0,D57*E57*(1+F57/100),ABS(D57*E57/F57)),"")</f>
        <v/>
      </c>
      <c r="H57" s="43" t="str">
        <f>IFERROR(G57*E44,"")</f>
        <v/>
      </c>
    </row>
    <row r="58" spans="1:11">
      <c r="A58" s="28"/>
      <c r="B58" s="29"/>
      <c r="C58" s="30" t="str">
        <f>IFERROR(_xlfn.XLOOKUP(B58,Transporte[DESCRIPCION],Transporte[UND],,0),"")</f>
        <v/>
      </c>
      <c r="D58" s="31"/>
      <c r="E58" s="32" t="str">
        <f>IFERROR(_xlfn.XLOOKUP($B58,Transporte[DESCRIPCION],Transporte[VALOR],,0),"")</f>
        <v/>
      </c>
      <c r="F58" s="33"/>
      <c r="G58" s="34" t="str">
        <f>IFERROR(IF(F58&gt;=0,D58*E58*(1+F58/100),ABS(D58*E58/F58)),"")</f>
        <v/>
      </c>
      <c r="H58" s="43" t="str">
        <f>IFERROR(G58*E44,"")</f>
        <v/>
      </c>
    </row>
    <row r="59" spans="1:11">
      <c r="A59" s="21"/>
      <c r="B59" s="22" t="s">
        <v>3732</v>
      </c>
      <c r="C59" s="23"/>
      <c r="D59" s="24"/>
      <c r="E59" s="25"/>
      <c r="F59" s="26"/>
      <c r="G59" s="27">
        <f>SUM(G60:G62)</f>
        <v>157195.37544750003</v>
      </c>
      <c r="H59" s="44">
        <f>G59*E44</f>
        <v>0</v>
      </c>
    </row>
    <row r="60" spans="1:11">
      <c r="A60" s="28"/>
      <c r="B60" s="29" t="s">
        <v>3710</v>
      </c>
      <c r="C60" s="30" t="str">
        <f>IFERROR(_xlfn.XLOOKUP(B60,MObra[DESCRIPCION],MObra[UN],,0),"")</f>
        <v>día</v>
      </c>
      <c r="D60" s="31">
        <v>1</v>
      </c>
      <c r="E60" s="32">
        <f>IFERROR(_xlfn.XLOOKUP($B60,MObra[DESCRIPCION],MObra[VALOR UNIT],,0),"")</f>
        <v>314390.75089500006</v>
      </c>
      <c r="F60" s="33">
        <v>-2</v>
      </c>
      <c r="G60" s="34">
        <f>IFERROR(IF(F60&gt;=0,D60*E60*(1+F60/100),ABS(D60*E60/F60)),"")</f>
        <v>157195.37544750003</v>
      </c>
      <c r="H60" s="43">
        <f>IFERROR(G60*E44,"")</f>
        <v>0</v>
      </c>
    </row>
    <row r="61" spans="1:11">
      <c r="A61" s="28"/>
      <c r="B61" s="29"/>
      <c r="C61" s="30" t="str">
        <f t="array" ref="C61">IFERROR(_xlfn.XLOOKUP(B61,MObra[[#All],[DESCRIPCION]],MObra[[#All],[UN]],,0),"")</f>
        <v/>
      </c>
      <c r="D61" s="31"/>
      <c r="E61" s="32" t="str">
        <f>IFERROR(_xlfn.XLOOKUP($B61,MObra[DESCRIPCION],MObra[VALOR UNIT],,0),"")</f>
        <v/>
      </c>
      <c r="F61" s="33"/>
      <c r="G61" s="34" t="str">
        <f>IFERROR(IF(F61&gt;=0,D61*E61*(1+F61/100),ABS(D61*E61/F61)),"")</f>
        <v/>
      </c>
      <c r="H61" s="43" t="str">
        <f>IFERROR(G61*E44,"")</f>
        <v/>
      </c>
    </row>
    <row r="62" spans="1:11">
      <c r="A62" s="35"/>
      <c r="B62" s="36"/>
      <c r="C62" s="37" t="str">
        <f t="array" ref="C62">IFERROR(_xlfn.XLOOKUP(B62,MObra[[#All],[DESCRIPCION]],MObra[[#All],[UN]],,0),"")</f>
        <v/>
      </c>
      <c r="D62" s="38"/>
      <c r="E62" s="39" t="str">
        <f>IFERROR(_xlfn.XLOOKUP($B62,MObra[DESCRIPCION],MObra[VALOR UNIT],,0),"")</f>
        <v/>
      </c>
      <c r="F62" s="40"/>
      <c r="G62" s="41" t="str">
        <f>IFERROR(IF(F62&gt;=0,D62*E62*(1+F62/100),ABS(D62*E62/F62)),"")</f>
        <v/>
      </c>
      <c r="H62" s="42" t="str">
        <f>IFERROR(G62*E44,"")</f>
        <v/>
      </c>
    </row>
    <row r="64" spans="1:11">
      <c r="A64" s="6" t="s">
        <v>312</v>
      </c>
      <c r="B64" s="7" t="str">
        <f>VLOOKUP($A64,Presupuesto!$A:$D,2,FALSE())</f>
        <v>Caja inspección concreto 17.2 Mpa 0.75 m libre + tapa</v>
      </c>
      <c r="C64" s="8" t="str">
        <f>VLOOKUP($A64,Presupuesto!$A:$D,3,FALSE())</f>
        <v>Un</v>
      </c>
      <c r="D64" s="9"/>
      <c r="E64" s="10">
        <f>VLOOKUP($A64,Presupuesto!$A:$D,4,FALSE())</f>
        <v>0</v>
      </c>
      <c r="F64" s="11" t="s">
        <v>2589</v>
      </c>
      <c r="G64" s="12">
        <f>SUM(G66:G82)/2</f>
        <v>720011.19839639985</v>
      </c>
      <c r="H64" s="13">
        <f>ROUND(SUM(H66:H82),0)/2</f>
        <v>0</v>
      </c>
      <c r="I64" s="10">
        <f>VLOOKUP(A64,Presupuesto!$A:$F,6,0)</f>
        <v>0</v>
      </c>
      <c r="J64" s="10">
        <f>+H64-I64</f>
        <v>0</v>
      </c>
      <c r="K64" s="46">
        <f>+H64-G64*E64</f>
        <v>0</v>
      </c>
    </row>
    <row r="65" spans="1:8">
      <c r="A65" s="14"/>
      <c r="B65" s="15" t="s">
        <v>2586</v>
      </c>
      <c r="C65" s="15" t="s">
        <v>5</v>
      </c>
      <c r="D65" s="16" t="s">
        <v>6</v>
      </c>
      <c r="E65" s="17" t="s">
        <v>7</v>
      </c>
      <c r="F65" s="18" t="s">
        <v>3728</v>
      </c>
      <c r="G65" s="19" t="s">
        <v>3729</v>
      </c>
      <c r="H65" s="20" t="s">
        <v>3797</v>
      </c>
    </row>
    <row r="66" spans="1:8">
      <c r="A66" s="21"/>
      <c r="B66" s="22" t="s">
        <v>3730</v>
      </c>
      <c r="C66" s="23"/>
      <c r="D66" s="24"/>
      <c r="E66" s="25"/>
      <c r="F66" s="26"/>
      <c r="G66" s="27">
        <f>SUM(G67:G71)</f>
        <v>491553.91941269988</v>
      </c>
      <c r="H66" s="27">
        <f>IFERROR(G66*E64,"")</f>
        <v>0</v>
      </c>
    </row>
    <row r="67" spans="1:8">
      <c r="A67" s="28"/>
      <c r="B67" s="29" t="s">
        <v>2954</v>
      </c>
      <c r="C67" s="30" t="str">
        <f>IFERROR(_xlfn.XLOOKUP(B67,Insumo[DESCRIPCION],Insumo[UND],,0),"")</f>
        <v>M2</v>
      </c>
      <c r="D67" s="31">
        <f>0.75*4</f>
        <v>3</v>
      </c>
      <c r="E67" s="32">
        <f>IFERROR(_xlfn.XLOOKUP($B67,Insumo[DESCRIPCION],Insumo[VALOR],,0),"")</f>
        <v>102154.92581625449</v>
      </c>
      <c r="F67" s="33">
        <v>-2</v>
      </c>
      <c r="G67" s="34">
        <f>IFERROR(IF(F67&gt;=0,D67*E67*(1+F67/100),ABS(D67*E67/F67)),"")</f>
        <v>153232.38872438174</v>
      </c>
      <c r="H67" s="43">
        <f>IFERROR(G67*E64,"")</f>
        <v>0</v>
      </c>
    </row>
    <row r="68" spans="1:8">
      <c r="A68" s="28"/>
      <c r="B68" s="29" t="s">
        <v>3238</v>
      </c>
      <c r="C68" s="30" t="str">
        <f>IFERROR(_xlfn.XLOOKUP(B68,Insumo[DESCRIPCION],Insumo[UND],,0),"")</f>
        <v>M3</v>
      </c>
      <c r="D68" s="31">
        <f>0.1*(0.75*2+0.95*2+0.95*0.1*2)</f>
        <v>0.35899999999999999</v>
      </c>
      <c r="E68" s="32">
        <f>IFERROR(_xlfn.XLOOKUP($B68,Insumo[DESCRIPCION],Insumo[VALOR],,0),"")</f>
        <v>488900.227320117</v>
      </c>
      <c r="F68" s="33">
        <v>5</v>
      </c>
      <c r="G68" s="34">
        <f>IFERROR(IF(F68&gt;=0,D68*E68*(1+F68/100),ABS(D68*E68/F68)),"")</f>
        <v>184290.94068831811</v>
      </c>
      <c r="H68" s="43">
        <f>IFERROR(G68*E64,"")</f>
        <v>0</v>
      </c>
    </row>
    <row r="69" spans="1:8">
      <c r="A69" s="28"/>
      <c r="B69" s="29" t="s">
        <v>2653</v>
      </c>
      <c r="C69" s="30" t="str">
        <f>IFERROR(_xlfn.XLOOKUP(B69,Insumo[DESCRIPCION],Insumo[UND],,0),"")</f>
        <v>Kg</v>
      </c>
      <c r="D69" s="31">
        <f>3*5.6</f>
        <v>16.799999999999997</v>
      </c>
      <c r="E69" s="32">
        <f>IFERROR(_xlfn.XLOOKUP($B69,Insumo[DESCRIPCION],Insumo[VALOR],,0),"")</f>
        <v>5686.8</v>
      </c>
      <c r="F69" s="33"/>
      <c r="G69" s="34">
        <f>IFERROR(IF(F69&gt;=0,D69*E69*(1+F69/100),ABS(D69*E69/F69)),"")</f>
        <v>95538.239999999991</v>
      </c>
      <c r="H69" s="43">
        <f>IFERROR(G69*E64,"")</f>
        <v>0</v>
      </c>
    </row>
    <row r="70" spans="1:8">
      <c r="A70" s="28"/>
      <c r="B70" s="29" t="s">
        <v>2703</v>
      </c>
      <c r="C70" s="30" t="str">
        <f>IFERROR(_xlfn.XLOOKUP(B70,Insumo[DESCRIPCION],Insumo[UND],,0),"")</f>
        <v>M</v>
      </c>
      <c r="D70" s="31">
        <f>0.75*4</f>
        <v>3</v>
      </c>
      <c r="E70" s="32">
        <f>IFERROR(_xlfn.XLOOKUP($B70,Insumo[DESCRIPCION],Insumo[VALOR],,0),"")</f>
        <v>11388.300000000001</v>
      </c>
      <c r="F70" s="33"/>
      <c r="G70" s="34">
        <f>IFERROR(IF(F70&gt;=0,D70*E70*(1+F70/100),ABS(D70*E70/F70)),"")</f>
        <v>34164.9</v>
      </c>
      <c r="H70" s="43">
        <f>IFERROR(G70*E64,"")</f>
        <v>0</v>
      </c>
    </row>
    <row r="71" spans="1:8">
      <c r="A71" s="28"/>
      <c r="B71" s="29" t="s">
        <v>3224</v>
      </c>
      <c r="C71" s="30" t="str">
        <f>IFERROR(_xlfn.XLOOKUP(B71,Insumo[DESCRIPCION],Insumo[UND],,0),"")</f>
        <v>M</v>
      </c>
      <c r="D71" s="31">
        <f>0.75*4</f>
        <v>3</v>
      </c>
      <c r="E71" s="32">
        <f>IFERROR(_xlfn.XLOOKUP($B71,Insumo[DESCRIPCION],Insumo[VALOR],,0),"")</f>
        <v>8109.1500000000005</v>
      </c>
      <c r="F71" s="33"/>
      <c r="G71" s="34">
        <f>IFERROR(IF(F71&gt;=0,D71*E71*(1+F71/100),ABS(D71*E71/F71)),"")</f>
        <v>24327.45</v>
      </c>
      <c r="H71" s="43">
        <f>IFERROR(G71*E64,"")</f>
        <v>0</v>
      </c>
    </row>
    <row r="72" spans="1:8">
      <c r="A72" s="21"/>
      <c r="B72" s="22" t="s">
        <v>3731</v>
      </c>
      <c r="C72" s="23"/>
      <c r="D72" s="24"/>
      <c r="E72" s="25"/>
      <c r="F72" s="26"/>
      <c r="G72" s="27">
        <f>SUM(G73:G75)</f>
        <v>18863.445053700008</v>
      </c>
      <c r="H72" s="44">
        <f>G72*E64</f>
        <v>0</v>
      </c>
    </row>
    <row r="73" spans="1:8">
      <c r="A73" s="28"/>
      <c r="B73" s="29" t="s">
        <v>3570</v>
      </c>
      <c r="C73" s="30" t="str">
        <f>IFERROR(_xlfn.XLOOKUP(B73,Equipo[DESCRIPCION],Equipo[UND],,0),"")</f>
        <v>%MO</v>
      </c>
      <c r="D73" s="31">
        <v>0.04</v>
      </c>
      <c r="E73" s="32">
        <f>IF(C73="%MO",G79,IFERROR(_xlfn.XLOOKUP($B73,Equipo[DESCRIPCION],Equipo[VALOR],,0),""))</f>
        <v>209593.83393000005</v>
      </c>
      <c r="F73" s="33"/>
      <c r="G73" s="34">
        <f>IFERROR(IF(F73&gt;=0,D73*E73*(1+F73/100),ABS(D73*E73/F73)),"")</f>
        <v>8383.7533572000029</v>
      </c>
      <c r="H73" s="43">
        <f>IFERROR(G73*E64,"")</f>
        <v>0</v>
      </c>
    </row>
    <row r="74" spans="1:8">
      <c r="A74" s="28"/>
      <c r="B74" s="29" t="s">
        <v>3626</v>
      </c>
      <c r="C74" s="30" t="str">
        <f>IFERROR(_xlfn.XLOOKUP(B74,Equipo[DESCRIPCION],Equipo[UND],,0),"")</f>
        <v>%MO</v>
      </c>
      <c r="D74" s="31">
        <v>0.05</v>
      </c>
      <c r="E74" s="32">
        <f>IF(C74="%MO",G79,IFERROR(_xlfn.XLOOKUP($B74,Equipo[DESCRIPCION],Equipo[VALOR],,0),""))</f>
        <v>209593.83393000005</v>
      </c>
      <c r="F74" s="33"/>
      <c r="G74" s="34">
        <f>IFERROR(IF(F74&gt;=0,D74*E74*(1+F74/100),ABS(D74*E74/F74)),"")</f>
        <v>10479.691696500004</v>
      </c>
      <c r="H74" s="43">
        <f>IFERROR(G74*E64,"")</f>
        <v>0</v>
      </c>
    </row>
    <row r="75" spans="1:8">
      <c r="A75" s="28"/>
      <c r="B75" s="29"/>
      <c r="C75" s="30" t="str">
        <f>IFERROR(_xlfn.XLOOKUP(B75,Equipo[DESCRIPCION],Equipo[UND],,0),"")</f>
        <v/>
      </c>
      <c r="D75" s="31"/>
      <c r="E75" s="32" t="str">
        <f>IF(C75="%MO",G79,IFERROR(_xlfn.XLOOKUP($B75,Equipo[DESCRIPCION],Equipo[VALOR],,0),""))</f>
        <v/>
      </c>
      <c r="F75" s="33"/>
      <c r="G75" s="34" t="str">
        <f>IFERROR(IF(F75&gt;=0,D75*E75*(1+F75/100),ABS(D75*E75/F75)),"")</f>
        <v/>
      </c>
      <c r="H75" s="43" t="str">
        <f>IFERROR(G75*E64,"")</f>
        <v/>
      </c>
    </row>
    <row r="76" spans="1:8">
      <c r="A76" s="21"/>
      <c r="B76" s="22" t="s">
        <v>2533</v>
      </c>
      <c r="C76" s="23"/>
      <c r="D76" s="24"/>
      <c r="E76" s="25"/>
      <c r="F76" s="26"/>
      <c r="G76" s="27">
        <f>SUM(G77:G78)</f>
        <v>0</v>
      </c>
      <c r="H76" s="44">
        <f>G76*E64</f>
        <v>0</v>
      </c>
    </row>
    <row r="77" spans="1:8">
      <c r="A77" s="28"/>
      <c r="B77" s="29"/>
      <c r="C77" s="30" t="str">
        <f>IFERROR(_xlfn.XLOOKUP(B77,Transporte[DESCRIPCION],Transporte[UND],,0),"")</f>
        <v/>
      </c>
      <c r="D77" s="31"/>
      <c r="E77" s="32" t="str">
        <f>IFERROR(_xlfn.XLOOKUP($B77,Transporte[DESCRIPCION],Transporte[VALOR],,0),"")</f>
        <v/>
      </c>
      <c r="F77" s="33"/>
      <c r="G77" s="34" t="str">
        <f>IFERROR(IF(F77&gt;=0,D77*E77*(1+F77/100),ABS(D77*E77/F77)),"")</f>
        <v/>
      </c>
      <c r="H77" s="43" t="str">
        <f>IFERROR(G77*E64,"")</f>
        <v/>
      </c>
    </row>
    <row r="78" spans="1:8">
      <c r="A78" s="28"/>
      <c r="B78" s="29"/>
      <c r="C78" s="30" t="str">
        <f>IFERROR(_xlfn.XLOOKUP(B78,Transporte[DESCRIPCION],Transporte[UND],,0),"")</f>
        <v/>
      </c>
      <c r="D78" s="31"/>
      <c r="E78" s="32" t="str">
        <f>IFERROR(_xlfn.XLOOKUP($B78,Transporte[DESCRIPCION],Transporte[VALOR],,0),"")</f>
        <v/>
      </c>
      <c r="F78" s="33"/>
      <c r="G78" s="34" t="str">
        <f>IFERROR(IF(F78&gt;=0,D78*E78*(1+F78/100),ABS(D78*E78/F78)),"")</f>
        <v/>
      </c>
      <c r="H78" s="43" t="str">
        <f>IFERROR(G78*E64,"")</f>
        <v/>
      </c>
    </row>
    <row r="79" spans="1:8">
      <c r="A79" s="21"/>
      <c r="B79" s="22" t="s">
        <v>3732</v>
      </c>
      <c r="C79" s="23"/>
      <c r="D79" s="24"/>
      <c r="E79" s="25"/>
      <c r="F79" s="26"/>
      <c r="G79" s="27">
        <f>SUM(G80:G82)</f>
        <v>209593.83393000005</v>
      </c>
      <c r="H79" s="44">
        <f>G79*E64</f>
        <v>0</v>
      </c>
    </row>
    <row r="80" spans="1:8">
      <c r="A80" s="28"/>
      <c r="B80" s="29" t="s">
        <v>3710</v>
      </c>
      <c r="C80" s="30" t="str">
        <f>IFERROR(_xlfn.XLOOKUP(B80,MObra[DESCRIPCION],MObra[UN],,0),"")</f>
        <v>día</v>
      </c>
      <c r="D80" s="31">
        <v>1</v>
      </c>
      <c r="E80" s="32">
        <f>IFERROR(_xlfn.XLOOKUP($B80,MObra[DESCRIPCION],MObra[VALOR UNIT],,0),"")</f>
        <v>314390.75089500006</v>
      </c>
      <c r="F80" s="33">
        <v>-1.5</v>
      </c>
      <c r="G80" s="34">
        <f>IFERROR(IF(F80&gt;=0,D80*E80*(1+F80/100),ABS(D80*E80/F80)),"")</f>
        <v>209593.83393000005</v>
      </c>
      <c r="H80" s="43">
        <f>IFERROR(G80*E64,"")</f>
        <v>0</v>
      </c>
    </row>
    <row r="81" spans="1:11">
      <c r="A81" s="28"/>
      <c r="B81" s="29"/>
      <c r="C81" s="30" t="str">
        <f t="array" ref="C81">IFERROR(_xlfn.XLOOKUP(B81,MObra[[#All],[DESCRIPCION]],MObra[[#All],[UN]],,0),"")</f>
        <v/>
      </c>
      <c r="D81" s="31"/>
      <c r="E81" s="32" t="str">
        <f>IFERROR(_xlfn.XLOOKUP($B81,MObra[DESCRIPCION],MObra[VALOR UNIT],,0),"")</f>
        <v/>
      </c>
      <c r="F81" s="33"/>
      <c r="G81" s="34" t="str">
        <f>IFERROR(IF(F81&gt;=0,D81*E81*(1+F81/100),ABS(D81*E81/F81)),"")</f>
        <v/>
      </c>
      <c r="H81" s="43" t="str">
        <f>IFERROR(G81*E64,"")</f>
        <v/>
      </c>
    </row>
    <row r="82" spans="1:11">
      <c r="A82" s="35"/>
      <c r="B82" s="36"/>
      <c r="C82" s="37" t="str">
        <f t="array" ref="C82">IFERROR(_xlfn.XLOOKUP(B82,MObra[[#All],[DESCRIPCION]],MObra[[#All],[UN]],,0),"")</f>
        <v/>
      </c>
      <c r="D82" s="38"/>
      <c r="E82" s="39" t="str">
        <f>IFERROR(_xlfn.XLOOKUP($B82,MObra[DESCRIPCION],MObra[VALOR UNIT],,0),"")</f>
        <v/>
      </c>
      <c r="F82" s="40"/>
      <c r="G82" s="41" t="str">
        <f>IFERROR(IF(F82&gt;=0,D82*E82*(1+F82/100),ABS(D82*E82/F82)),"")</f>
        <v/>
      </c>
      <c r="H82" s="42" t="str">
        <f>IFERROR(G82*E64,"")</f>
        <v/>
      </c>
    </row>
    <row r="84" spans="1:11">
      <c r="A84" s="6" t="s">
        <v>314</v>
      </c>
      <c r="B84" s="7" t="str">
        <f>VLOOKUP($A84,Presupuesto!$A:$D,2,FALSE())</f>
        <v>Caja inspección concreto 17.2 Mpa 0.80 m libre + tapa</v>
      </c>
      <c r="C84" s="8" t="str">
        <f>VLOOKUP($A84,Presupuesto!$A:$D,3,FALSE())</f>
        <v>Un</v>
      </c>
      <c r="D84" s="9"/>
      <c r="E84" s="10">
        <f>VLOOKUP($A84,Presupuesto!$A:$D,4,FALSE())</f>
        <v>0</v>
      </c>
      <c r="F84" s="11" t="s">
        <v>2589</v>
      </c>
      <c r="G84" s="12">
        <f>SUM(G86:G102)/2</f>
        <v>751275.6469904338</v>
      </c>
      <c r="H84" s="13">
        <f>ROUND(SUM(H86:H102),0)/2</f>
        <v>0</v>
      </c>
      <c r="I84" s="10">
        <f>VLOOKUP(A84,Presupuesto!$A:$F,6,0)</f>
        <v>0</v>
      </c>
      <c r="J84" s="10">
        <f>+H84-I84</f>
        <v>0</v>
      </c>
      <c r="K84" s="46">
        <f>+H84-G84*E84</f>
        <v>0</v>
      </c>
    </row>
    <row r="85" spans="1:11">
      <c r="A85" s="14"/>
      <c r="B85" s="15" t="s">
        <v>2586</v>
      </c>
      <c r="C85" s="15" t="s">
        <v>5</v>
      </c>
      <c r="D85" s="16" t="s">
        <v>6</v>
      </c>
      <c r="E85" s="17" t="s">
        <v>7</v>
      </c>
      <c r="F85" s="18" t="s">
        <v>3728</v>
      </c>
      <c r="G85" s="19" t="s">
        <v>3729</v>
      </c>
      <c r="H85" s="20" t="s">
        <v>3797</v>
      </c>
    </row>
    <row r="86" spans="1:11">
      <c r="A86" s="21"/>
      <c r="B86" s="22" t="s">
        <v>3730</v>
      </c>
      <c r="C86" s="23"/>
      <c r="D86" s="24"/>
      <c r="E86" s="25"/>
      <c r="F86" s="26"/>
      <c r="G86" s="27">
        <f>SUM(G87:G91)</f>
        <v>522818.36800673389</v>
      </c>
      <c r="H86" s="27">
        <f>IFERROR(G86*E84,"")</f>
        <v>0</v>
      </c>
    </row>
    <row r="87" spans="1:11">
      <c r="A87" s="28"/>
      <c r="B87" s="29" t="s">
        <v>2954</v>
      </c>
      <c r="C87" s="30" t="str">
        <f>IFERROR(_xlfn.XLOOKUP(B87,Insumo[DESCRIPCION],Insumo[UND],,0),"")</f>
        <v>M2</v>
      </c>
      <c r="D87" s="31">
        <f>0.8*4</f>
        <v>3.2</v>
      </c>
      <c r="E87" s="32">
        <f>IFERROR(_xlfn.XLOOKUP($B87,Insumo[DESCRIPCION],Insumo[VALOR],,0),"")</f>
        <v>102154.92581625449</v>
      </c>
      <c r="F87" s="33">
        <v>-2</v>
      </c>
      <c r="G87" s="34">
        <f>IFERROR(IF(F87&gt;=0,D87*E87*(1+F87/100),ABS(D87*E87/F87)),"")</f>
        <v>163447.88130600718</v>
      </c>
      <c r="H87" s="43">
        <f>IFERROR(G87*E84,"")</f>
        <v>0</v>
      </c>
    </row>
    <row r="88" spans="1:11">
      <c r="A88" s="28"/>
      <c r="B88" s="29" t="s">
        <v>3238</v>
      </c>
      <c r="C88" s="30" t="str">
        <f>IFERROR(_xlfn.XLOOKUP(B88,Insumo[DESCRIPCION],Insumo[UND],,0),"")</f>
        <v>M3</v>
      </c>
      <c r="D88" s="31">
        <f>0.1*(0.8*2+1*2+1*0.1*2)</f>
        <v>0.38000000000000006</v>
      </c>
      <c r="E88" s="32">
        <f>IFERROR(_xlfn.XLOOKUP($B88,Insumo[DESCRIPCION],Insumo[VALOR],,0),"")</f>
        <v>488900.227320117</v>
      </c>
      <c r="F88" s="33">
        <v>5</v>
      </c>
      <c r="G88" s="34">
        <f>IFERROR(IF(F88&gt;=0,D88*E88*(1+F88/100),ABS(D88*E88/F88)),"")</f>
        <v>195071.1907007267</v>
      </c>
      <c r="H88" s="43">
        <f>IFERROR(G88*E84,"")</f>
        <v>0</v>
      </c>
    </row>
    <row r="89" spans="1:11">
      <c r="A89" s="28"/>
      <c r="B89" s="29" t="s">
        <v>2653</v>
      </c>
      <c r="C89" s="30" t="str">
        <f>IFERROR(_xlfn.XLOOKUP(B89,Insumo[DESCRIPCION],Insumo[UND],,0),"")</f>
        <v>Kg</v>
      </c>
      <c r="D89" s="31">
        <f>3.2*5.6</f>
        <v>17.919999999999998</v>
      </c>
      <c r="E89" s="32">
        <f>IFERROR(_xlfn.XLOOKUP($B89,Insumo[DESCRIPCION],Insumo[VALOR],,0),"")</f>
        <v>5686.8</v>
      </c>
      <c r="F89" s="33"/>
      <c r="G89" s="34">
        <f>IFERROR(IF(F89&gt;=0,D89*E89*(1+F89/100),ABS(D89*E89/F89)),"")</f>
        <v>101907.45599999999</v>
      </c>
      <c r="H89" s="43">
        <f>IFERROR(G89*E84,"")</f>
        <v>0</v>
      </c>
    </row>
    <row r="90" spans="1:11">
      <c r="A90" s="28"/>
      <c r="B90" s="29" t="s">
        <v>2703</v>
      </c>
      <c r="C90" s="30" t="str">
        <f>IFERROR(_xlfn.XLOOKUP(B90,Insumo[DESCRIPCION],Insumo[UND],,0),"")</f>
        <v>M</v>
      </c>
      <c r="D90" s="31">
        <v>3.2</v>
      </c>
      <c r="E90" s="32">
        <f>IFERROR(_xlfn.XLOOKUP($B90,Insumo[DESCRIPCION],Insumo[VALOR],,0),"")</f>
        <v>11388.300000000001</v>
      </c>
      <c r="F90" s="33"/>
      <c r="G90" s="34">
        <f>IFERROR(IF(F90&gt;=0,D90*E90*(1+F90/100),ABS(D90*E90/F90)),"")</f>
        <v>36442.560000000005</v>
      </c>
      <c r="H90" s="43">
        <f>IFERROR(G90*E84,"")</f>
        <v>0</v>
      </c>
    </row>
    <row r="91" spans="1:11">
      <c r="A91" s="28"/>
      <c r="B91" s="29" t="s">
        <v>3224</v>
      </c>
      <c r="C91" s="30" t="str">
        <f>IFERROR(_xlfn.XLOOKUP(B91,Insumo[DESCRIPCION],Insumo[UND],,0),"")</f>
        <v>M</v>
      </c>
      <c r="D91" s="31">
        <v>3.2</v>
      </c>
      <c r="E91" s="32">
        <f>IFERROR(_xlfn.XLOOKUP($B91,Insumo[DESCRIPCION],Insumo[VALOR],,0),"")</f>
        <v>8109.1500000000005</v>
      </c>
      <c r="F91" s="33"/>
      <c r="G91" s="34">
        <f>IFERROR(IF(F91&gt;=0,D91*E91*(1+F91/100),ABS(D91*E91/F91)),"")</f>
        <v>25949.280000000002</v>
      </c>
      <c r="H91" s="43">
        <f>IFERROR(G91*E84,"")</f>
        <v>0</v>
      </c>
    </row>
    <row r="92" spans="1:11">
      <c r="A92" s="21"/>
      <c r="B92" s="22" t="s">
        <v>3731</v>
      </c>
      <c r="C92" s="23"/>
      <c r="D92" s="24"/>
      <c r="E92" s="25"/>
      <c r="F92" s="26"/>
      <c r="G92" s="27">
        <f>SUM(G93:G95)</f>
        <v>18863.445053700008</v>
      </c>
      <c r="H92" s="44">
        <f>G92*E84</f>
        <v>0</v>
      </c>
    </row>
    <row r="93" spans="1:11">
      <c r="A93" s="28"/>
      <c r="B93" s="29" t="s">
        <v>3570</v>
      </c>
      <c r="C93" s="30" t="str">
        <f>IFERROR(_xlfn.XLOOKUP(B93,Equipo[DESCRIPCION],Equipo[UND],,0),"")</f>
        <v>%MO</v>
      </c>
      <c r="D93" s="31">
        <v>0.04</v>
      </c>
      <c r="E93" s="32">
        <f>IF(C93="%MO",G99,IFERROR(_xlfn.XLOOKUP($B93,Equipo[DESCRIPCION],Equipo[VALOR],,0),""))</f>
        <v>209593.83393000005</v>
      </c>
      <c r="F93" s="33"/>
      <c r="G93" s="34">
        <f>IFERROR(IF(F93&gt;=0,D93*E93*(1+F93/100),ABS(D93*E93/F93)),"")</f>
        <v>8383.7533572000029</v>
      </c>
      <c r="H93" s="43">
        <f>IFERROR(G93*E84,"")</f>
        <v>0</v>
      </c>
    </row>
    <row r="94" spans="1:11">
      <c r="A94" s="28"/>
      <c r="B94" s="29" t="s">
        <v>3626</v>
      </c>
      <c r="C94" s="30" t="str">
        <f>IFERROR(_xlfn.XLOOKUP(B94,Equipo[DESCRIPCION],Equipo[UND],,0),"")</f>
        <v>%MO</v>
      </c>
      <c r="D94" s="31">
        <v>0.05</v>
      </c>
      <c r="E94" s="32">
        <f>IF(C94="%MO",G99,IFERROR(_xlfn.XLOOKUP($B94,Equipo[DESCRIPCION],Equipo[VALOR],,0),""))</f>
        <v>209593.83393000005</v>
      </c>
      <c r="F94" s="33"/>
      <c r="G94" s="34">
        <f>IFERROR(IF(F94&gt;=0,D94*E94*(1+F94/100),ABS(D94*E94/F94)),"")</f>
        <v>10479.691696500004</v>
      </c>
      <c r="H94" s="43">
        <f>IFERROR(G94*E84,"")</f>
        <v>0</v>
      </c>
    </row>
    <row r="95" spans="1:11">
      <c r="A95" s="28"/>
      <c r="B95" s="29"/>
      <c r="C95" s="30" t="str">
        <f>IFERROR(_xlfn.XLOOKUP(B95,Equipo[DESCRIPCION],Equipo[UND],,0),"")</f>
        <v/>
      </c>
      <c r="D95" s="31"/>
      <c r="E95" s="32" t="str">
        <f>IF(C95="%MO",G99,IFERROR(_xlfn.XLOOKUP($B95,Equipo[DESCRIPCION],Equipo[VALOR],,0),""))</f>
        <v/>
      </c>
      <c r="F95" s="33"/>
      <c r="G95" s="34" t="str">
        <f>IFERROR(IF(F95&gt;=0,D95*E95*(1+F95/100),ABS(D95*E95/F95)),"")</f>
        <v/>
      </c>
      <c r="H95" s="43" t="str">
        <f>IFERROR(G95*E84,"")</f>
        <v/>
      </c>
    </row>
    <row r="96" spans="1:11">
      <c r="A96" s="21"/>
      <c r="B96" s="22" t="s">
        <v>2533</v>
      </c>
      <c r="C96" s="23"/>
      <c r="D96" s="24"/>
      <c r="E96" s="25"/>
      <c r="F96" s="26"/>
      <c r="G96" s="27">
        <f>SUM(G97:G98)</f>
        <v>0</v>
      </c>
      <c r="H96" s="44">
        <f>G96*E84</f>
        <v>0</v>
      </c>
    </row>
    <row r="97" spans="1:11">
      <c r="A97" s="28"/>
      <c r="B97" s="29"/>
      <c r="C97" s="30" t="str">
        <f>IFERROR(_xlfn.XLOOKUP(B97,Transporte[DESCRIPCION],Transporte[UND],,0),"")</f>
        <v/>
      </c>
      <c r="D97" s="31"/>
      <c r="E97" s="32" t="str">
        <f>IFERROR(_xlfn.XLOOKUP($B97,Transporte[DESCRIPCION],Transporte[VALOR],,0),"")</f>
        <v/>
      </c>
      <c r="F97" s="33"/>
      <c r="G97" s="34" t="str">
        <f>IFERROR(IF(F97&gt;=0,D97*E97*(1+F97/100),ABS(D97*E97/F97)),"")</f>
        <v/>
      </c>
      <c r="H97" s="43" t="str">
        <f>IFERROR(G97*E84,"")</f>
        <v/>
      </c>
    </row>
    <row r="98" spans="1:11">
      <c r="A98" s="28"/>
      <c r="B98" s="29"/>
      <c r="C98" s="30" t="str">
        <f>IFERROR(_xlfn.XLOOKUP(B98,Transporte[DESCRIPCION],Transporte[UND],,0),"")</f>
        <v/>
      </c>
      <c r="D98" s="31"/>
      <c r="E98" s="32" t="str">
        <f>IFERROR(_xlfn.XLOOKUP($B98,Transporte[DESCRIPCION],Transporte[VALOR],,0),"")</f>
        <v/>
      </c>
      <c r="F98" s="33"/>
      <c r="G98" s="34" t="str">
        <f>IFERROR(IF(F98&gt;=0,D98*E98*(1+F98/100),ABS(D98*E98/F98)),"")</f>
        <v/>
      </c>
      <c r="H98" s="43" t="str">
        <f>IFERROR(G98*E84,"")</f>
        <v/>
      </c>
    </row>
    <row r="99" spans="1:11">
      <c r="A99" s="21"/>
      <c r="B99" s="22" t="s">
        <v>3732</v>
      </c>
      <c r="C99" s="23"/>
      <c r="D99" s="24"/>
      <c r="E99" s="25"/>
      <c r="F99" s="26"/>
      <c r="G99" s="27">
        <f>SUM(G100:G102)</f>
        <v>209593.83393000005</v>
      </c>
      <c r="H99" s="44">
        <f>G99*E84</f>
        <v>0</v>
      </c>
    </row>
    <row r="100" spans="1:11">
      <c r="A100" s="28"/>
      <c r="B100" s="29" t="s">
        <v>3710</v>
      </c>
      <c r="C100" s="30" t="str">
        <f>IFERROR(_xlfn.XLOOKUP(B100,MObra[DESCRIPCION],MObra[UN],,0),"")</f>
        <v>día</v>
      </c>
      <c r="D100" s="31">
        <v>1</v>
      </c>
      <c r="E100" s="32">
        <f>IFERROR(_xlfn.XLOOKUP($B100,MObra[DESCRIPCION],MObra[VALOR UNIT],,0),"")</f>
        <v>314390.75089500006</v>
      </c>
      <c r="F100" s="33">
        <v>-1.5</v>
      </c>
      <c r="G100" s="34">
        <f>IFERROR(IF(F100&gt;=0,D100*E100*(1+F100/100),ABS(D100*E100/F100)),"")</f>
        <v>209593.83393000005</v>
      </c>
      <c r="H100" s="43">
        <f>IFERROR(G100*E84,"")</f>
        <v>0</v>
      </c>
    </row>
    <row r="101" spans="1:11">
      <c r="A101" s="28"/>
      <c r="B101" s="29"/>
      <c r="C101" s="30" t="str">
        <f t="array" ref="C101">IFERROR(_xlfn.XLOOKUP(B101,MObra[[#All],[DESCRIPCION]],MObra[[#All],[UN]],,0),"")</f>
        <v/>
      </c>
      <c r="D101" s="31"/>
      <c r="E101" s="32" t="str">
        <f>IFERROR(_xlfn.XLOOKUP($B101,MObra[DESCRIPCION],MObra[VALOR UNIT],,0),"")</f>
        <v/>
      </c>
      <c r="F101" s="33"/>
      <c r="G101" s="34" t="str">
        <f>IFERROR(IF(F101&gt;=0,D101*E101*(1+F101/100),ABS(D101*E101/F101)),"")</f>
        <v/>
      </c>
      <c r="H101" s="43" t="str">
        <f>IFERROR(G101*E84,"")</f>
        <v/>
      </c>
    </row>
    <row r="102" spans="1:11">
      <c r="A102" s="35"/>
      <c r="B102" s="36"/>
      <c r="C102" s="37" t="str">
        <f t="array" ref="C102">IFERROR(_xlfn.XLOOKUP(B102,MObra[[#All],[DESCRIPCION]],MObra[[#All],[UN]],,0),"")</f>
        <v/>
      </c>
      <c r="D102" s="38"/>
      <c r="E102" s="39" t="str">
        <f>IFERROR(_xlfn.XLOOKUP($B102,MObra[DESCRIPCION],MObra[VALOR UNIT],,0),"")</f>
        <v/>
      </c>
      <c r="F102" s="40"/>
      <c r="G102" s="41" t="str">
        <f>IFERROR(IF(F102&gt;=0,D102*E102*(1+F102/100),ABS(D102*E102/F102)),"")</f>
        <v/>
      </c>
      <c r="H102" s="42" t="str">
        <f>IFERROR(G102*E84,"")</f>
        <v/>
      </c>
    </row>
    <row r="104" spans="1:11">
      <c r="A104" s="6" t="s">
        <v>316</v>
      </c>
      <c r="B104" s="7" t="str">
        <f>VLOOKUP($A104,Presupuesto!$A:$D,2,FALSE())</f>
        <v>Caja inspección concreto 17.2 Mpa 1.00 m libre + tapa</v>
      </c>
      <c r="C104" s="8" t="str">
        <f>VLOOKUP($A104,Presupuesto!$A:$D,3,FALSE())</f>
        <v>Un</v>
      </c>
      <c r="D104" s="9"/>
      <c r="E104" s="10">
        <f>VLOOKUP($A104,Presupuesto!$A:$D,4,FALSE())</f>
        <v>0</v>
      </c>
      <c r="F104" s="11" t="s">
        <v>2589</v>
      </c>
      <c r="G104" s="12">
        <f>SUM(G106:G122)/2</f>
        <v>933447.76111249509</v>
      </c>
      <c r="H104" s="13">
        <f>ROUND(SUM(H106:H122),0)/2</f>
        <v>0</v>
      </c>
      <c r="I104" s="10">
        <f>VLOOKUP(A104,Presupuesto!$A:$F,6,0)</f>
        <v>0</v>
      </c>
      <c r="J104" s="10">
        <f>+H104-I104</f>
        <v>0</v>
      </c>
      <c r="K104" s="46">
        <f>+H104-G104*E104</f>
        <v>0</v>
      </c>
    </row>
    <row r="105" spans="1:11">
      <c r="A105" s="14"/>
      <c r="B105" s="15" t="s">
        <v>2586</v>
      </c>
      <c r="C105" s="15" t="s">
        <v>5</v>
      </c>
      <c r="D105" s="16" t="s">
        <v>6</v>
      </c>
      <c r="E105" s="17" t="s">
        <v>7</v>
      </c>
      <c r="F105" s="18" t="s">
        <v>3728</v>
      </c>
      <c r="G105" s="19" t="s">
        <v>3729</v>
      </c>
      <c r="H105" s="20" t="s">
        <v>3797</v>
      </c>
    </row>
    <row r="106" spans="1:11">
      <c r="A106" s="21"/>
      <c r="B106" s="22" t="s">
        <v>3730</v>
      </c>
      <c r="C106" s="23"/>
      <c r="D106" s="24"/>
      <c r="E106" s="25"/>
      <c r="F106" s="26"/>
      <c r="G106" s="27">
        <f>SUM(G107:G111)</f>
        <v>647876.16238286986</v>
      </c>
      <c r="H106" s="27">
        <f>IFERROR(G106*E104,"")</f>
        <v>0</v>
      </c>
    </row>
    <row r="107" spans="1:11">
      <c r="A107" s="28"/>
      <c r="B107" s="29" t="s">
        <v>2954</v>
      </c>
      <c r="C107" s="30" t="str">
        <f>IFERROR(_xlfn.XLOOKUP(B107,Insumo[DESCRIPCION],Insumo[UND],,0),"")</f>
        <v>M2</v>
      </c>
      <c r="D107" s="31">
        <f>1*4</f>
        <v>4</v>
      </c>
      <c r="E107" s="32">
        <f>IFERROR(_xlfn.XLOOKUP($B107,Insumo[DESCRIPCION],Insumo[VALOR],,0),"")</f>
        <v>102154.92581625449</v>
      </c>
      <c r="F107" s="33">
        <v>-2</v>
      </c>
      <c r="G107" s="34">
        <f>IFERROR(IF(F107&gt;=0,D107*E107*(1+F107/100),ABS(D107*E107/F107)),"")</f>
        <v>204309.85163250897</v>
      </c>
      <c r="H107" s="43">
        <f>IFERROR(G107*E104,"")</f>
        <v>0</v>
      </c>
    </row>
    <row r="108" spans="1:11">
      <c r="A108" s="28"/>
      <c r="B108" s="29" t="s">
        <v>3238</v>
      </c>
      <c r="C108" s="30" t="str">
        <f>IFERROR(_xlfn.XLOOKUP(B108,Insumo[DESCRIPCION],Insumo[UND],,0),"")</f>
        <v>M3</v>
      </c>
      <c r="D108" s="31">
        <f>0.1*(1*2+1.2*2+1.2*0.1*2)</f>
        <v>0.46400000000000008</v>
      </c>
      <c r="E108" s="32">
        <f>IFERROR(_xlfn.XLOOKUP($B108,Insumo[DESCRIPCION],Insumo[VALOR],,0),"")</f>
        <v>488900.227320117</v>
      </c>
      <c r="F108" s="33">
        <v>5</v>
      </c>
      <c r="G108" s="34">
        <f>IFERROR(IF(F108&gt;=0,D108*E108*(1+F108/100),ABS(D108*E108/F108)),"")</f>
        <v>238192.19075036104</v>
      </c>
      <c r="H108" s="43">
        <f>IFERROR(G108*E104,"")</f>
        <v>0</v>
      </c>
    </row>
    <row r="109" spans="1:11">
      <c r="A109" s="28"/>
      <c r="B109" s="29" t="s">
        <v>2653</v>
      </c>
      <c r="C109" s="30" t="str">
        <f>IFERROR(_xlfn.XLOOKUP(B109,Insumo[DESCRIPCION],Insumo[UND],,0),"")</f>
        <v>Kg</v>
      </c>
      <c r="D109" s="31">
        <f>4*5.6</f>
        <v>22.4</v>
      </c>
      <c r="E109" s="32">
        <f>IFERROR(_xlfn.XLOOKUP($B109,Insumo[DESCRIPCION],Insumo[VALOR],,0),"")</f>
        <v>5686.8</v>
      </c>
      <c r="F109" s="33"/>
      <c r="G109" s="34">
        <f>IFERROR(IF(F109&gt;=0,D109*E109*(1+F109/100),ABS(D109*E109/F109)),"")</f>
        <v>127384.31999999999</v>
      </c>
      <c r="H109" s="43">
        <f>IFERROR(G109*E104,"")</f>
        <v>0</v>
      </c>
    </row>
    <row r="110" spans="1:11">
      <c r="A110" s="28"/>
      <c r="B110" s="29" t="s">
        <v>2703</v>
      </c>
      <c r="C110" s="30" t="str">
        <f>IFERROR(_xlfn.XLOOKUP(B110,Insumo[DESCRIPCION],Insumo[UND],,0),"")</f>
        <v>M</v>
      </c>
      <c r="D110" s="31">
        <v>4</v>
      </c>
      <c r="E110" s="32">
        <f>IFERROR(_xlfn.XLOOKUP($B110,Insumo[DESCRIPCION],Insumo[VALOR],,0),"")</f>
        <v>11388.300000000001</v>
      </c>
      <c r="F110" s="33"/>
      <c r="G110" s="34">
        <f>IFERROR(IF(F110&gt;=0,D110*E110*(1+F110/100),ABS(D110*E110/F110)),"")</f>
        <v>45553.200000000004</v>
      </c>
      <c r="H110" s="43">
        <f>IFERROR(G110*E104,"")</f>
        <v>0</v>
      </c>
    </row>
    <row r="111" spans="1:11">
      <c r="A111" s="28"/>
      <c r="B111" s="29" t="s">
        <v>3224</v>
      </c>
      <c r="C111" s="30" t="str">
        <f>IFERROR(_xlfn.XLOOKUP(B111,Insumo[DESCRIPCION],Insumo[UND],,0),"")</f>
        <v>M</v>
      </c>
      <c r="D111" s="31">
        <v>4</v>
      </c>
      <c r="E111" s="32">
        <f>IFERROR(_xlfn.XLOOKUP($B111,Insumo[DESCRIPCION],Insumo[VALOR],,0),"")</f>
        <v>8109.1500000000005</v>
      </c>
      <c r="F111" s="33"/>
      <c r="G111" s="34">
        <f>IFERROR(IF(F111&gt;=0,D111*E111*(1+F111/100),ABS(D111*E111/F111)),"")</f>
        <v>32436.600000000002</v>
      </c>
      <c r="H111" s="43">
        <f>IFERROR(G111*E104,"")</f>
        <v>0</v>
      </c>
    </row>
    <row r="112" spans="1:11">
      <c r="A112" s="21"/>
      <c r="B112" s="22" t="s">
        <v>3731</v>
      </c>
      <c r="C112" s="23"/>
      <c r="D112" s="24"/>
      <c r="E112" s="25"/>
      <c r="F112" s="26"/>
      <c r="G112" s="27">
        <f>SUM(G113:G115)</f>
        <v>23579.306317125011</v>
      </c>
      <c r="H112" s="44">
        <f>G112*E104</f>
        <v>0</v>
      </c>
    </row>
    <row r="113" spans="1:11">
      <c r="A113" s="28"/>
      <c r="B113" s="29" t="s">
        <v>3570</v>
      </c>
      <c r="C113" s="30" t="str">
        <f>IFERROR(_xlfn.XLOOKUP(B113,Equipo[DESCRIPCION],Equipo[UND],,0),"")</f>
        <v>%MO</v>
      </c>
      <c r="D113" s="31">
        <v>0.04</v>
      </c>
      <c r="E113" s="32">
        <f>IF(C113="%MO",G119,IFERROR(_xlfn.XLOOKUP($B113,Equipo[DESCRIPCION],Equipo[VALOR],,0),""))</f>
        <v>261992.29241250007</v>
      </c>
      <c r="F113" s="33"/>
      <c r="G113" s="34">
        <f>IFERROR(IF(F113&gt;=0,D113*E113*(1+F113/100),ABS(D113*E113/F113)),"")</f>
        <v>10479.691696500004</v>
      </c>
      <c r="H113" s="43">
        <f>IFERROR(G113*E104,"")</f>
        <v>0</v>
      </c>
    </row>
    <row r="114" spans="1:11">
      <c r="A114" s="28"/>
      <c r="B114" s="29" t="s">
        <v>3626</v>
      </c>
      <c r="C114" s="30" t="str">
        <f>IFERROR(_xlfn.XLOOKUP(B114,Equipo[DESCRIPCION],Equipo[UND],,0),"")</f>
        <v>%MO</v>
      </c>
      <c r="D114" s="31">
        <v>0.05</v>
      </c>
      <c r="E114" s="32">
        <f>IF(C114="%MO",G119,IFERROR(_xlfn.XLOOKUP($B114,Equipo[DESCRIPCION],Equipo[VALOR],,0),""))</f>
        <v>261992.29241250007</v>
      </c>
      <c r="F114" s="33"/>
      <c r="G114" s="34">
        <f>IFERROR(IF(F114&gt;=0,D114*E114*(1+F114/100),ABS(D114*E114/F114)),"")</f>
        <v>13099.614620625005</v>
      </c>
      <c r="H114" s="43">
        <f>IFERROR(G114*E104,"")</f>
        <v>0</v>
      </c>
    </row>
    <row r="115" spans="1:11">
      <c r="A115" s="28"/>
      <c r="B115" s="29"/>
      <c r="C115" s="30" t="str">
        <f>IFERROR(_xlfn.XLOOKUP(B115,Equipo[DESCRIPCION],Equipo[UND],,0),"")</f>
        <v/>
      </c>
      <c r="D115" s="31"/>
      <c r="E115" s="32" t="str">
        <f>IF(C115="%MO",G119,IFERROR(_xlfn.XLOOKUP($B115,Equipo[DESCRIPCION],Equipo[VALOR],,0),""))</f>
        <v/>
      </c>
      <c r="F115" s="33"/>
      <c r="G115" s="34" t="str">
        <f>IFERROR(IF(F115&gt;=0,D115*E115*(1+F115/100),ABS(D115*E115/F115)),"")</f>
        <v/>
      </c>
      <c r="H115" s="43" t="str">
        <f>IFERROR(G115*E104,"")</f>
        <v/>
      </c>
    </row>
    <row r="116" spans="1:11">
      <c r="A116" s="21"/>
      <c r="B116" s="22" t="s">
        <v>2533</v>
      </c>
      <c r="C116" s="23"/>
      <c r="D116" s="24"/>
      <c r="E116" s="25"/>
      <c r="F116" s="26"/>
      <c r="G116" s="27">
        <f>SUM(G117:G118)</f>
        <v>0</v>
      </c>
      <c r="H116" s="44">
        <f>G116*E104</f>
        <v>0</v>
      </c>
    </row>
    <row r="117" spans="1:11">
      <c r="A117" s="28"/>
      <c r="B117" s="29"/>
      <c r="C117" s="30" t="str">
        <f>IFERROR(_xlfn.XLOOKUP(B117,Transporte[DESCRIPCION],Transporte[UND],,0),"")</f>
        <v/>
      </c>
      <c r="D117" s="31"/>
      <c r="E117" s="32" t="str">
        <f>IFERROR(_xlfn.XLOOKUP($B117,Transporte[DESCRIPCION],Transporte[VALOR],,0),"")</f>
        <v/>
      </c>
      <c r="F117" s="33"/>
      <c r="G117" s="34" t="str">
        <f>IFERROR(IF(F117&gt;=0,D117*E117*(1+F117/100),ABS(D117*E117/F117)),"")</f>
        <v/>
      </c>
      <c r="H117" s="43" t="str">
        <f>IFERROR(G117*E104,"")</f>
        <v/>
      </c>
    </row>
    <row r="118" spans="1:11">
      <c r="A118" s="28"/>
      <c r="B118" s="29"/>
      <c r="C118" s="30" t="str">
        <f>IFERROR(_xlfn.XLOOKUP(B118,Transporte[DESCRIPCION],Transporte[UND],,0),"")</f>
        <v/>
      </c>
      <c r="D118" s="31"/>
      <c r="E118" s="32" t="str">
        <f>IFERROR(_xlfn.XLOOKUP($B118,Transporte[DESCRIPCION],Transporte[VALOR],,0),"")</f>
        <v/>
      </c>
      <c r="F118" s="33"/>
      <c r="G118" s="34" t="str">
        <f>IFERROR(IF(F118&gt;=0,D118*E118*(1+F118/100),ABS(D118*E118/F118)),"")</f>
        <v/>
      </c>
      <c r="H118" s="43" t="str">
        <f>IFERROR(G118*E104,"")</f>
        <v/>
      </c>
    </row>
    <row r="119" spans="1:11">
      <c r="A119" s="21"/>
      <c r="B119" s="22" t="s">
        <v>3732</v>
      </c>
      <c r="C119" s="23"/>
      <c r="D119" s="24"/>
      <c r="E119" s="25"/>
      <c r="F119" s="26"/>
      <c r="G119" s="27">
        <f>SUM(G120:G122)</f>
        <v>261992.29241250007</v>
      </c>
      <c r="H119" s="44">
        <f>G119*E104</f>
        <v>0</v>
      </c>
    </row>
    <row r="120" spans="1:11">
      <c r="A120" s="28"/>
      <c r="B120" s="29" t="s">
        <v>3710</v>
      </c>
      <c r="C120" s="30" t="str">
        <f>IFERROR(_xlfn.XLOOKUP(B120,MObra[DESCRIPCION],MObra[UN],,0),"")</f>
        <v>día</v>
      </c>
      <c r="D120" s="31">
        <v>1</v>
      </c>
      <c r="E120" s="32">
        <f>IFERROR(_xlfn.XLOOKUP($B120,MObra[DESCRIPCION],MObra[VALOR UNIT],,0),"")</f>
        <v>314390.75089500006</v>
      </c>
      <c r="F120" s="33">
        <v>-1.2</v>
      </c>
      <c r="G120" s="34">
        <f>IFERROR(IF(F120&gt;=0,D120*E120*(1+F120/100),ABS(D120*E120/F120)),"")</f>
        <v>261992.29241250007</v>
      </c>
      <c r="H120" s="43">
        <f>IFERROR(G120*E104,"")</f>
        <v>0</v>
      </c>
    </row>
    <row r="121" spans="1:11">
      <c r="A121" s="28"/>
      <c r="B121" s="29"/>
      <c r="C121" s="30" t="str">
        <f t="array" ref="C121">IFERROR(_xlfn.XLOOKUP(B121,MObra[[#All],[DESCRIPCION]],MObra[[#All],[UN]],,0),"")</f>
        <v/>
      </c>
      <c r="D121" s="31"/>
      <c r="E121" s="32" t="str">
        <f>IFERROR(_xlfn.XLOOKUP($B121,MObra[DESCRIPCION],MObra[VALOR UNIT],,0),"")</f>
        <v/>
      </c>
      <c r="F121" s="33"/>
      <c r="G121" s="34" t="str">
        <f>IFERROR(IF(F121&gt;=0,D121*E121*(1+F121/100),ABS(D121*E121/F121)),"")</f>
        <v/>
      </c>
      <c r="H121" s="43" t="str">
        <f>IFERROR(G121*E104,"")</f>
        <v/>
      </c>
    </row>
    <row r="122" spans="1:11">
      <c r="A122" s="35"/>
      <c r="B122" s="36"/>
      <c r="C122" s="37" t="str">
        <f t="array" ref="C122">IFERROR(_xlfn.XLOOKUP(B122,MObra[[#All],[DESCRIPCION]],MObra[[#All],[UN]],,0),"")</f>
        <v/>
      </c>
      <c r="D122" s="38"/>
      <c r="E122" s="39" t="str">
        <f>IFERROR(_xlfn.XLOOKUP($B122,MObra[DESCRIPCION],MObra[VALOR UNIT],,0),"")</f>
        <v/>
      </c>
      <c r="F122" s="40"/>
      <c r="G122" s="41" t="str">
        <f>IFERROR(IF(F122&gt;=0,D122*E122*(1+F122/100),ABS(D122*E122/F122)),"")</f>
        <v/>
      </c>
      <c r="H122" s="42" t="str">
        <f>IFERROR(G122*E104,"")</f>
        <v/>
      </c>
    </row>
    <row r="124" spans="1:11">
      <c r="A124" s="6" t="s">
        <v>318</v>
      </c>
      <c r="B124" s="7" t="str">
        <f>VLOOKUP($A124,Presupuesto!$A:$D,2,FALSE())</f>
        <v>Caja inspección concreto 20.7 Mpa 0.80 m h=1.3 libre</v>
      </c>
      <c r="C124" s="8" t="str">
        <f>VLOOKUP($A124,Presupuesto!$A:$D,3,FALSE())</f>
        <v>Un</v>
      </c>
      <c r="D124" s="9"/>
      <c r="E124" s="10">
        <f>VLOOKUP($A124,Presupuesto!$A:$D,4,FALSE())</f>
        <v>0</v>
      </c>
      <c r="F124" s="11" t="s">
        <v>2589</v>
      </c>
      <c r="G124" s="12">
        <f>SUM(G126:G142)/2</f>
        <v>764147.09769847919</v>
      </c>
      <c r="H124" s="13">
        <f>ROUND(SUM(H126:H142),0)/2</f>
        <v>0</v>
      </c>
      <c r="I124" s="10">
        <f>VLOOKUP(A124,Presupuesto!$A:$F,6,0)</f>
        <v>0</v>
      </c>
      <c r="J124" s="10">
        <f>+H124-I124</f>
        <v>0</v>
      </c>
      <c r="K124" s="46">
        <f>+H124-G124*E124</f>
        <v>0</v>
      </c>
    </row>
    <row r="125" spans="1:11">
      <c r="A125" s="14"/>
      <c r="B125" s="15" t="s">
        <v>2586</v>
      </c>
      <c r="C125" s="15" t="s">
        <v>5</v>
      </c>
      <c r="D125" s="16" t="s">
        <v>6</v>
      </c>
      <c r="E125" s="17" t="s">
        <v>7</v>
      </c>
      <c r="F125" s="18" t="s">
        <v>3728</v>
      </c>
      <c r="G125" s="19" t="s">
        <v>3729</v>
      </c>
      <c r="H125" s="20" t="s">
        <v>3797</v>
      </c>
    </row>
    <row r="126" spans="1:11">
      <c r="A126" s="21"/>
      <c r="B126" s="22" t="s">
        <v>3730</v>
      </c>
      <c r="C126" s="23"/>
      <c r="D126" s="24"/>
      <c r="E126" s="25"/>
      <c r="F126" s="26"/>
      <c r="G126" s="27">
        <f>SUM(G127:G131)</f>
        <v>535689.81871477934</v>
      </c>
      <c r="H126" s="27">
        <f>IFERROR(G126*E124,"")</f>
        <v>0</v>
      </c>
    </row>
    <row r="127" spans="1:11">
      <c r="A127" s="28"/>
      <c r="B127" s="29" t="s">
        <v>2954</v>
      </c>
      <c r="C127" s="30" t="str">
        <f>IFERROR(_xlfn.XLOOKUP(B127,Insumo[DESCRIPCION],Insumo[UND],,0),"")</f>
        <v>M2</v>
      </c>
      <c r="D127" s="31">
        <f>0.8*4</f>
        <v>3.2</v>
      </c>
      <c r="E127" s="32">
        <f>IFERROR(_xlfn.XLOOKUP($B127,Insumo[DESCRIPCION],Insumo[VALOR],,0),"")</f>
        <v>102154.92581625449</v>
      </c>
      <c r="F127" s="33">
        <v>-2</v>
      </c>
      <c r="G127" s="34">
        <f>IFERROR(IF(F127&gt;=0,D127*E127*(1+F127/100),ABS(D127*E127/F127)),"")</f>
        <v>163447.88130600718</v>
      </c>
      <c r="H127" s="43">
        <f>IFERROR(G127*E124,"")</f>
        <v>0</v>
      </c>
    </row>
    <row r="128" spans="1:11">
      <c r="A128" s="28"/>
      <c r="B128" s="29" t="s">
        <v>3239</v>
      </c>
      <c r="C128" s="30" t="str">
        <f>IFERROR(_xlfn.XLOOKUP(B128,Insumo[DESCRIPCION],Insumo[UND],,0),"")</f>
        <v>M3</v>
      </c>
      <c r="D128" s="31">
        <f>0.1*(0.8*2+1*2+1*0.1*2)</f>
        <v>0.38000000000000006</v>
      </c>
      <c r="E128" s="32">
        <f>IFERROR(_xlfn.XLOOKUP($B128,Insumo[DESCRIPCION],Insumo[VALOR],,0),"")</f>
        <v>521159.50227762427</v>
      </c>
      <c r="F128" s="33">
        <v>5</v>
      </c>
      <c r="G128" s="34">
        <f>IFERROR(IF(F128&gt;=0,D128*E128*(1+F128/100),ABS(D128*E128/F128)),"")</f>
        <v>207942.64140877215</v>
      </c>
      <c r="H128" s="43">
        <f>IFERROR(G128*E124,"")</f>
        <v>0</v>
      </c>
    </row>
    <row r="129" spans="1:11">
      <c r="A129" s="28"/>
      <c r="B129" s="29" t="s">
        <v>2653</v>
      </c>
      <c r="C129" s="30" t="str">
        <f>IFERROR(_xlfn.XLOOKUP(B129,Insumo[DESCRIPCION],Insumo[UND],,0),"")</f>
        <v>Kg</v>
      </c>
      <c r="D129" s="31">
        <f>3.2*5.6</f>
        <v>17.919999999999998</v>
      </c>
      <c r="E129" s="32">
        <f>IFERROR(_xlfn.XLOOKUP($B129,Insumo[DESCRIPCION],Insumo[VALOR],,0),"")</f>
        <v>5686.8</v>
      </c>
      <c r="F129" s="33"/>
      <c r="G129" s="34">
        <f>IFERROR(IF(F129&gt;=0,D129*E129*(1+F129/100),ABS(D129*E129/F129)),"")</f>
        <v>101907.45599999999</v>
      </c>
      <c r="H129" s="43">
        <f>IFERROR(G129*E124,"")</f>
        <v>0</v>
      </c>
    </row>
    <row r="130" spans="1:11">
      <c r="A130" s="28"/>
      <c r="B130" s="29" t="s">
        <v>2703</v>
      </c>
      <c r="C130" s="30" t="str">
        <f>IFERROR(_xlfn.XLOOKUP(B130,Insumo[DESCRIPCION],Insumo[UND],,0),"")</f>
        <v>M</v>
      </c>
      <c r="D130" s="31">
        <v>3.2</v>
      </c>
      <c r="E130" s="32">
        <f>IFERROR(_xlfn.XLOOKUP($B130,Insumo[DESCRIPCION],Insumo[VALOR],,0),"")</f>
        <v>11388.300000000001</v>
      </c>
      <c r="F130" s="33"/>
      <c r="G130" s="34">
        <f>IFERROR(IF(F130&gt;=0,D130*E130*(1+F130/100),ABS(D130*E130/F130)),"")</f>
        <v>36442.560000000005</v>
      </c>
      <c r="H130" s="43">
        <f>IFERROR(G130*E124,"")</f>
        <v>0</v>
      </c>
    </row>
    <row r="131" spans="1:11">
      <c r="A131" s="28"/>
      <c r="B131" s="29" t="s">
        <v>3224</v>
      </c>
      <c r="C131" s="30" t="str">
        <f>IFERROR(_xlfn.XLOOKUP(B131,Insumo[DESCRIPCION],Insumo[UND],,0),"")</f>
        <v>M</v>
      </c>
      <c r="D131" s="31">
        <v>3.2</v>
      </c>
      <c r="E131" s="32">
        <f>IFERROR(_xlfn.XLOOKUP($B131,Insumo[DESCRIPCION],Insumo[VALOR],,0),"")</f>
        <v>8109.1500000000005</v>
      </c>
      <c r="F131" s="33"/>
      <c r="G131" s="34">
        <f>IFERROR(IF(F131&gt;=0,D131*E131*(1+F131/100),ABS(D131*E131/F131)),"")</f>
        <v>25949.280000000002</v>
      </c>
      <c r="H131" s="43">
        <f>IFERROR(G131*E124,"")</f>
        <v>0</v>
      </c>
    </row>
    <row r="132" spans="1:11">
      <c r="A132" s="21"/>
      <c r="B132" s="22" t="s">
        <v>3731</v>
      </c>
      <c r="C132" s="23"/>
      <c r="D132" s="24"/>
      <c r="E132" s="25"/>
      <c r="F132" s="26"/>
      <c r="G132" s="27">
        <f>SUM(G133:G135)</f>
        <v>18863.445053700008</v>
      </c>
      <c r="H132" s="44">
        <f>G132*E124</f>
        <v>0</v>
      </c>
    </row>
    <row r="133" spans="1:11">
      <c r="A133" s="28"/>
      <c r="B133" s="29" t="s">
        <v>3570</v>
      </c>
      <c r="C133" s="30" t="str">
        <f>IFERROR(_xlfn.XLOOKUP(B133,Equipo[DESCRIPCION],Equipo[UND],,0),"")</f>
        <v>%MO</v>
      </c>
      <c r="D133" s="31">
        <v>0.04</v>
      </c>
      <c r="E133" s="32">
        <f>IF(C133="%MO",G139,IFERROR(_xlfn.XLOOKUP($B133,Equipo[DESCRIPCION],Equipo[VALOR],,0),""))</f>
        <v>209593.83393000005</v>
      </c>
      <c r="F133" s="33"/>
      <c r="G133" s="34">
        <f>IFERROR(IF(F133&gt;=0,D133*E133*(1+F133/100),ABS(D133*E133/F133)),"")</f>
        <v>8383.7533572000029</v>
      </c>
      <c r="H133" s="43">
        <f>IFERROR(G133*E124,"")</f>
        <v>0</v>
      </c>
    </row>
    <row r="134" spans="1:11">
      <c r="A134" s="28"/>
      <c r="B134" s="29" t="s">
        <v>3626</v>
      </c>
      <c r="C134" s="30" t="str">
        <f>IFERROR(_xlfn.XLOOKUP(B134,Equipo[DESCRIPCION],Equipo[UND],,0),"")</f>
        <v>%MO</v>
      </c>
      <c r="D134" s="31">
        <v>0.05</v>
      </c>
      <c r="E134" s="32">
        <f>IF(C134="%MO",G139,IFERROR(_xlfn.XLOOKUP($B134,Equipo[DESCRIPCION],Equipo[VALOR],,0),""))</f>
        <v>209593.83393000005</v>
      </c>
      <c r="F134" s="33"/>
      <c r="G134" s="34">
        <f>IFERROR(IF(F134&gt;=0,D134*E134*(1+F134/100),ABS(D134*E134/F134)),"")</f>
        <v>10479.691696500004</v>
      </c>
      <c r="H134" s="43">
        <f>IFERROR(G134*E124,"")</f>
        <v>0</v>
      </c>
    </row>
    <row r="135" spans="1:11">
      <c r="A135" s="28"/>
      <c r="B135" s="29"/>
      <c r="C135" s="30" t="str">
        <f>IFERROR(_xlfn.XLOOKUP(B135,Equipo[DESCRIPCION],Equipo[UND],,0),"")</f>
        <v/>
      </c>
      <c r="D135" s="31"/>
      <c r="E135" s="32" t="str">
        <f>IF(C135="%MO",G139,IFERROR(_xlfn.XLOOKUP($B135,Equipo[DESCRIPCION],Equipo[VALOR],,0),""))</f>
        <v/>
      </c>
      <c r="F135" s="33"/>
      <c r="G135" s="34" t="str">
        <f>IFERROR(IF(F135&gt;=0,D135*E135*(1+F135/100),ABS(D135*E135/F135)),"")</f>
        <v/>
      </c>
      <c r="H135" s="43" t="str">
        <f>IFERROR(G135*E124,"")</f>
        <v/>
      </c>
    </row>
    <row r="136" spans="1:11">
      <c r="A136" s="21"/>
      <c r="B136" s="22" t="s">
        <v>2533</v>
      </c>
      <c r="C136" s="23"/>
      <c r="D136" s="24"/>
      <c r="E136" s="25"/>
      <c r="F136" s="26"/>
      <c r="G136" s="27">
        <f>SUM(G137:G138)</f>
        <v>0</v>
      </c>
      <c r="H136" s="44">
        <f>G136*E124</f>
        <v>0</v>
      </c>
    </row>
    <row r="137" spans="1:11">
      <c r="A137" s="28"/>
      <c r="B137" s="29"/>
      <c r="C137" s="30" t="str">
        <f>IFERROR(_xlfn.XLOOKUP(B137,Transporte[DESCRIPCION],Transporte[UND],,0),"")</f>
        <v/>
      </c>
      <c r="D137" s="31"/>
      <c r="E137" s="32" t="str">
        <f>IFERROR(_xlfn.XLOOKUP($B137,Transporte[DESCRIPCION],Transporte[VALOR],,0),"")</f>
        <v/>
      </c>
      <c r="F137" s="33"/>
      <c r="G137" s="34" t="str">
        <f>IFERROR(IF(F137&gt;=0,D137*E137*(1+F137/100),ABS(D137*E137/F137)),"")</f>
        <v/>
      </c>
      <c r="H137" s="43" t="str">
        <f>IFERROR(G137*E124,"")</f>
        <v/>
      </c>
    </row>
    <row r="138" spans="1:11">
      <c r="A138" s="28"/>
      <c r="B138" s="29"/>
      <c r="C138" s="30" t="str">
        <f>IFERROR(_xlfn.XLOOKUP(B138,Transporte[DESCRIPCION],Transporte[UND],,0),"")</f>
        <v/>
      </c>
      <c r="D138" s="31"/>
      <c r="E138" s="32" t="str">
        <f>IFERROR(_xlfn.XLOOKUP($B138,Transporte[DESCRIPCION],Transporte[VALOR],,0),"")</f>
        <v/>
      </c>
      <c r="F138" s="33"/>
      <c r="G138" s="34" t="str">
        <f>IFERROR(IF(F138&gt;=0,D138*E138*(1+F138/100),ABS(D138*E138/F138)),"")</f>
        <v/>
      </c>
      <c r="H138" s="43" t="str">
        <f>IFERROR(G138*E124,"")</f>
        <v/>
      </c>
    </row>
    <row r="139" spans="1:11">
      <c r="A139" s="21"/>
      <c r="B139" s="22" t="s">
        <v>3732</v>
      </c>
      <c r="C139" s="23"/>
      <c r="D139" s="24"/>
      <c r="E139" s="25"/>
      <c r="F139" s="26"/>
      <c r="G139" s="27">
        <f>SUM(G140:G142)</f>
        <v>209593.83393000005</v>
      </c>
      <c r="H139" s="44">
        <f>G139*E124</f>
        <v>0</v>
      </c>
    </row>
    <row r="140" spans="1:11">
      <c r="A140" s="28"/>
      <c r="B140" s="29" t="s">
        <v>3710</v>
      </c>
      <c r="C140" s="30" t="str">
        <f>IFERROR(_xlfn.XLOOKUP(B140,MObra[DESCRIPCION],MObra[UN],,0),"")</f>
        <v>día</v>
      </c>
      <c r="D140" s="31">
        <v>1</v>
      </c>
      <c r="E140" s="32">
        <f>IFERROR(_xlfn.XLOOKUP($B140,MObra[DESCRIPCION],MObra[VALOR UNIT],,0),"")</f>
        <v>314390.75089500006</v>
      </c>
      <c r="F140" s="33">
        <v>-1.5</v>
      </c>
      <c r="G140" s="34">
        <f>IFERROR(IF(F140&gt;=0,D140*E140*(1+F140/100),ABS(D140*E140/F140)),"")</f>
        <v>209593.83393000005</v>
      </c>
      <c r="H140" s="43">
        <f>IFERROR(G140*E124,"")</f>
        <v>0</v>
      </c>
    </row>
    <row r="141" spans="1:11">
      <c r="A141" s="28"/>
      <c r="B141" s="29"/>
      <c r="C141" s="30" t="str">
        <f t="array" ref="C141">IFERROR(_xlfn.XLOOKUP(B141,MObra[[#All],[DESCRIPCION]],MObra[[#All],[UN]],,0),"")</f>
        <v/>
      </c>
      <c r="D141" s="31"/>
      <c r="E141" s="32" t="str">
        <f>IFERROR(_xlfn.XLOOKUP($B141,MObra[DESCRIPCION],MObra[VALOR UNIT],,0),"")</f>
        <v/>
      </c>
      <c r="F141" s="33"/>
      <c r="G141" s="34" t="str">
        <f>IFERROR(IF(F141&gt;=0,D141*E141*(1+F141/100),ABS(D141*E141/F141)),"")</f>
        <v/>
      </c>
      <c r="H141" s="43" t="str">
        <f>IFERROR(G141*E124,"")</f>
        <v/>
      </c>
    </row>
    <row r="142" spans="1:11">
      <c r="A142" s="35"/>
      <c r="B142" s="36"/>
      <c r="C142" s="37" t="str">
        <f t="array" ref="C142">IFERROR(_xlfn.XLOOKUP(B142,MObra[[#All],[DESCRIPCION]],MObra[[#All],[UN]],,0),"")</f>
        <v/>
      </c>
      <c r="D142" s="38"/>
      <c r="E142" s="39" t="str">
        <f>IFERROR(_xlfn.XLOOKUP($B142,MObra[DESCRIPCION],MObra[VALOR UNIT],,0),"")</f>
        <v/>
      </c>
      <c r="F142" s="40"/>
      <c r="G142" s="41" t="str">
        <f>IFERROR(IF(F142&gt;=0,D142*E142*(1+F142/100),ABS(D142*E142/F142)),"")</f>
        <v/>
      </c>
      <c r="H142" s="42" t="str">
        <f>IFERROR(G142*E124,"")</f>
        <v/>
      </c>
    </row>
    <row r="144" spans="1:11">
      <c r="A144" s="6" t="s">
        <v>320</v>
      </c>
      <c r="B144" s="7" t="str">
        <f>VLOOKUP($A144,Presupuesto!$A:$D,2,FALSE())</f>
        <v>Caja inspección concreto 20.7 Mpa 1.00 m h=1.3 libre</v>
      </c>
      <c r="C144" s="8" t="str">
        <f>VLOOKUP($A144,Presupuesto!$A:$D,3,FALSE())</f>
        <v>Un</v>
      </c>
      <c r="D144" s="9"/>
      <c r="E144" s="10">
        <f>VLOOKUP($A144,Presupuesto!$A:$D,4,FALSE())</f>
        <v>0</v>
      </c>
      <c r="F144" s="11" t="s">
        <v>2589</v>
      </c>
      <c r="G144" s="12">
        <f>SUM(G146:G162)/2</f>
        <v>1006278.7996177176</v>
      </c>
      <c r="H144" s="13">
        <f>ROUND(SUM(H146:H162),0)/2</f>
        <v>0</v>
      </c>
      <c r="I144" s="10">
        <f>VLOOKUP(A144,Presupuesto!$A:$F,6,0)</f>
        <v>0</v>
      </c>
      <c r="J144" s="10">
        <f>+H144-I144</f>
        <v>0</v>
      </c>
      <c r="K144" s="46">
        <f>+H144-G144*E144</f>
        <v>0</v>
      </c>
    </row>
    <row r="145" spans="1:8">
      <c r="A145" s="14"/>
      <c r="B145" s="15" t="s">
        <v>2586</v>
      </c>
      <c r="C145" s="15" t="s">
        <v>5</v>
      </c>
      <c r="D145" s="16" t="s">
        <v>6</v>
      </c>
      <c r="E145" s="17" t="s">
        <v>7</v>
      </c>
      <c r="F145" s="18" t="s">
        <v>3728</v>
      </c>
      <c r="G145" s="19" t="s">
        <v>3729</v>
      </c>
      <c r="H145" s="20" t="s">
        <v>3797</v>
      </c>
    </row>
    <row r="146" spans="1:8">
      <c r="A146" s="21"/>
      <c r="B146" s="22" t="s">
        <v>3730</v>
      </c>
      <c r="C146" s="23"/>
      <c r="D146" s="24"/>
      <c r="E146" s="25"/>
      <c r="F146" s="26"/>
      <c r="G146" s="27">
        <f>SUM(G147:G151)</f>
        <v>663592.88114216749</v>
      </c>
      <c r="H146" s="27">
        <f>IFERROR(G146*E144,"")</f>
        <v>0</v>
      </c>
    </row>
    <row r="147" spans="1:8">
      <c r="A147" s="28"/>
      <c r="B147" s="29" t="s">
        <v>2954</v>
      </c>
      <c r="C147" s="30" t="str">
        <f>IFERROR(_xlfn.XLOOKUP(B147,Insumo[DESCRIPCION],Insumo[UND],,0),"")</f>
        <v>M2</v>
      </c>
      <c r="D147" s="31">
        <f>1*4</f>
        <v>4</v>
      </c>
      <c r="E147" s="32">
        <f>IFERROR(_xlfn.XLOOKUP($B147,Insumo[DESCRIPCION],Insumo[VALOR],,0),"")</f>
        <v>102154.92581625449</v>
      </c>
      <c r="F147" s="33">
        <v>-2</v>
      </c>
      <c r="G147" s="34">
        <f>IFERROR(IF(F147&gt;=0,D147*E147*(1+F147/100),ABS(D147*E147/F147)),"")</f>
        <v>204309.85163250897</v>
      </c>
      <c r="H147" s="43">
        <f>IFERROR(G147*E144,"")</f>
        <v>0</v>
      </c>
    </row>
    <row r="148" spans="1:8">
      <c r="A148" s="28"/>
      <c r="B148" s="29" t="s">
        <v>3239</v>
      </c>
      <c r="C148" s="30" t="str">
        <f>IFERROR(_xlfn.XLOOKUP(B148,Insumo[DESCRIPCION],Insumo[UND],,0),"")</f>
        <v>M3</v>
      </c>
      <c r="D148" s="31">
        <f>0.1*(1*2+1.2*2+1.2*0.1*2)</f>
        <v>0.46400000000000008</v>
      </c>
      <c r="E148" s="32">
        <f>IFERROR(_xlfn.XLOOKUP($B148,Insumo[DESCRIPCION],Insumo[VALOR],,0),"")</f>
        <v>521159.50227762427</v>
      </c>
      <c r="F148" s="33">
        <v>5</v>
      </c>
      <c r="G148" s="34">
        <f>IFERROR(IF(F148&gt;=0,D148*E148*(1+F148/100),ABS(D148*E148/F148)),"")</f>
        <v>253908.90950965861</v>
      </c>
      <c r="H148" s="43">
        <f>IFERROR(G148*E144,"")</f>
        <v>0</v>
      </c>
    </row>
    <row r="149" spans="1:8">
      <c r="A149" s="28"/>
      <c r="B149" s="29" t="s">
        <v>2653</v>
      </c>
      <c r="C149" s="30" t="str">
        <f>IFERROR(_xlfn.XLOOKUP(B149,Insumo[DESCRIPCION],Insumo[UND],,0),"")</f>
        <v>Kg</v>
      </c>
      <c r="D149" s="31">
        <f>4*5.6</f>
        <v>22.4</v>
      </c>
      <c r="E149" s="32">
        <f>IFERROR(_xlfn.XLOOKUP($B149,Insumo[DESCRIPCION],Insumo[VALOR],,0),"")</f>
        <v>5686.8</v>
      </c>
      <c r="F149" s="33"/>
      <c r="G149" s="34">
        <f>IFERROR(IF(F149&gt;=0,D149*E149*(1+F149/100),ABS(D149*E149/F149)),"")</f>
        <v>127384.31999999999</v>
      </c>
      <c r="H149" s="43">
        <f>IFERROR(G149*E144,"")</f>
        <v>0</v>
      </c>
    </row>
    <row r="150" spans="1:8">
      <c r="A150" s="28"/>
      <c r="B150" s="29" t="s">
        <v>2703</v>
      </c>
      <c r="C150" s="30" t="str">
        <f>IFERROR(_xlfn.XLOOKUP(B150,Insumo[DESCRIPCION],Insumo[UND],,0),"")</f>
        <v>M</v>
      </c>
      <c r="D150" s="31">
        <v>4</v>
      </c>
      <c r="E150" s="32">
        <f>IFERROR(_xlfn.XLOOKUP($B150,Insumo[DESCRIPCION],Insumo[VALOR],,0),"")</f>
        <v>11388.300000000001</v>
      </c>
      <c r="F150" s="33"/>
      <c r="G150" s="34">
        <f>IFERROR(IF(F150&gt;=0,D150*E150*(1+F150/100),ABS(D150*E150/F150)),"")</f>
        <v>45553.200000000004</v>
      </c>
      <c r="H150" s="43">
        <f>IFERROR(G150*E144,"")</f>
        <v>0</v>
      </c>
    </row>
    <row r="151" spans="1:8">
      <c r="A151" s="28"/>
      <c r="B151" s="29" t="s">
        <v>3224</v>
      </c>
      <c r="C151" s="30" t="str">
        <f>IFERROR(_xlfn.XLOOKUP(B151,Insumo[DESCRIPCION],Insumo[UND],,0),"")</f>
        <v>M</v>
      </c>
      <c r="D151" s="31">
        <v>4</v>
      </c>
      <c r="E151" s="32">
        <f>IFERROR(_xlfn.XLOOKUP($B151,Insumo[DESCRIPCION],Insumo[VALOR],,0),"")</f>
        <v>8109.1500000000005</v>
      </c>
      <c r="F151" s="33"/>
      <c r="G151" s="34">
        <f>IFERROR(IF(F151&gt;=0,D151*E151*(1+F151/100),ABS(D151*E151/F151)),"")</f>
        <v>32436.600000000002</v>
      </c>
      <c r="H151" s="43">
        <f>IFERROR(G151*E144,"")</f>
        <v>0</v>
      </c>
    </row>
    <row r="152" spans="1:8">
      <c r="A152" s="21"/>
      <c r="B152" s="22" t="s">
        <v>3731</v>
      </c>
      <c r="C152" s="23"/>
      <c r="D152" s="24"/>
      <c r="E152" s="25"/>
      <c r="F152" s="26"/>
      <c r="G152" s="27">
        <f>SUM(G153:G155)</f>
        <v>28295.167580550005</v>
      </c>
      <c r="H152" s="44">
        <f>G152*E144</f>
        <v>0</v>
      </c>
    </row>
    <row r="153" spans="1:8">
      <c r="A153" s="28"/>
      <c r="B153" s="29" t="s">
        <v>3570</v>
      </c>
      <c r="C153" s="30" t="str">
        <f>IFERROR(_xlfn.XLOOKUP(B153,Equipo[DESCRIPCION],Equipo[UND],,0),"")</f>
        <v>%MO</v>
      </c>
      <c r="D153" s="31">
        <v>0.04</v>
      </c>
      <c r="E153" s="32">
        <f>IF(C153="%MO",G159,IFERROR(_xlfn.XLOOKUP($B153,Equipo[DESCRIPCION],Equipo[VALOR],,0),""))</f>
        <v>314390.75089500006</v>
      </c>
      <c r="F153" s="33"/>
      <c r="G153" s="34">
        <f>IFERROR(IF(F153&gt;=0,D153*E153*(1+F153/100),ABS(D153*E153/F153)),"")</f>
        <v>12575.630035800003</v>
      </c>
      <c r="H153" s="43">
        <f>IFERROR(G153*E144,"")</f>
        <v>0</v>
      </c>
    </row>
    <row r="154" spans="1:8">
      <c r="A154" s="28"/>
      <c r="B154" s="29" t="s">
        <v>3626</v>
      </c>
      <c r="C154" s="30" t="str">
        <f>IFERROR(_xlfn.XLOOKUP(B154,Equipo[DESCRIPCION],Equipo[UND],,0),"")</f>
        <v>%MO</v>
      </c>
      <c r="D154" s="31">
        <v>0.05</v>
      </c>
      <c r="E154" s="32">
        <f>IF(C154="%MO",G159,IFERROR(_xlfn.XLOOKUP($B154,Equipo[DESCRIPCION],Equipo[VALOR],,0),""))</f>
        <v>314390.75089500006</v>
      </c>
      <c r="F154" s="33"/>
      <c r="G154" s="34">
        <f>IFERROR(IF(F154&gt;=0,D154*E154*(1+F154/100),ABS(D154*E154/F154)),"")</f>
        <v>15719.537544750005</v>
      </c>
      <c r="H154" s="43">
        <f>IFERROR(G154*E144,"")</f>
        <v>0</v>
      </c>
    </row>
    <row r="155" spans="1:8">
      <c r="A155" s="28"/>
      <c r="B155" s="29"/>
      <c r="C155" s="30" t="str">
        <f>IFERROR(_xlfn.XLOOKUP(B155,Equipo[DESCRIPCION],Equipo[UND],,0),"")</f>
        <v/>
      </c>
      <c r="D155" s="31"/>
      <c r="E155" s="32" t="str">
        <f>IF(C155="%MO",G159,IFERROR(_xlfn.XLOOKUP($B155,Equipo[DESCRIPCION],Equipo[VALOR],,0),""))</f>
        <v/>
      </c>
      <c r="F155" s="33"/>
      <c r="G155" s="34" t="str">
        <f>IFERROR(IF(F155&gt;=0,D155*E155*(1+F155/100),ABS(D155*E155/F155)),"")</f>
        <v/>
      </c>
      <c r="H155" s="43" t="str">
        <f>IFERROR(G155*E144,"")</f>
        <v/>
      </c>
    </row>
    <row r="156" spans="1:8">
      <c r="A156" s="21"/>
      <c r="B156" s="22" t="s">
        <v>2533</v>
      </c>
      <c r="C156" s="23"/>
      <c r="D156" s="24"/>
      <c r="E156" s="25"/>
      <c r="F156" s="26"/>
      <c r="G156" s="27">
        <f>SUM(G157:G158)</f>
        <v>0</v>
      </c>
      <c r="H156" s="44">
        <f>G156*E144</f>
        <v>0</v>
      </c>
    </row>
    <row r="157" spans="1:8">
      <c r="A157" s="28"/>
      <c r="B157" s="29"/>
      <c r="C157" s="30" t="str">
        <f>IFERROR(_xlfn.XLOOKUP(B157,Transporte[DESCRIPCION],Transporte[UND],,0),"")</f>
        <v/>
      </c>
      <c r="D157" s="31"/>
      <c r="E157" s="32" t="str">
        <f>IFERROR(_xlfn.XLOOKUP($B157,Transporte[DESCRIPCION],Transporte[VALOR],,0),"")</f>
        <v/>
      </c>
      <c r="F157" s="33"/>
      <c r="G157" s="34" t="str">
        <f>IFERROR(IF(F157&gt;=0,D157*E157*(1+F157/100),ABS(D157*E157/F157)),"")</f>
        <v/>
      </c>
      <c r="H157" s="43" t="str">
        <f>IFERROR(G157*E144,"")</f>
        <v/>
      </c>
    </row>
    <row r="158" spans="1:8">
      <c r="A158" s="28"/>
      <c r="B158" s="29"/>
      <c r="C158" s="30" t="str">
        <f>IFERROR(_xlfn.XLOOKUP(B158,Transporte[DESCRIPCION],Transporte[UND],,0),"")</f>
        <v/>
      </c>
      <c r="D158" s="31"/>
      <c r="E158" s="32" t="str">
        <f>IFERROR(_xlfn.XLOOKUP($B158,Transporte[DESCRIPCION],Transporte[VALOR],,0),"")</f>
        <v/>
      </c>
      <c r="F158" s="33"/>
      <c r="G158" s="34" t="str">
        <f>IFERROR(IF(F158&gt;=0,D158*E158*(1+F158/100),ABS(D158*E158/F158)),"")</f>
        <v/>
      </c>
      <c r="H158" s="43" t="str">
        <f>IFERROR(G158*E144,"")</f>
        <v/>
      </c>
    </row>
    <row r="159" spans="1:8">
      <c r="A159" s="21"/>
      <c r="B159" s="22" t="s">
        <v>3732</v>
      </c>
      <c r="C159" s="23"/>
      <c r="D159" s="24"/>
      <c r="E159" s="25"/>
      <c r="F159" s="26"/>
      <c r="G159" s="27">
        <f>SUM(G160:G162)</f>
        <v>314390.75089500006</v>
      </c>
      <c r="H159" s="44">
        <f>G159*E144</f>
        <v>0</v>
      </c>
    </row>
    <row r="160" spans="1:8">
      <c r="A160" s="28"/>
      <c r="B160" s="29" t="s">
        <v>3710</v>
      </c>
      <c r="C160" s="30" t="str">
        <f>IFERROR(_xlfn.XLOOKUP(B160,MObra[DESCRIPCION],MObra[UN],,0),"")</f>
        <v>día</v>
      </c>
      <c r="D160" s="31">
        <v>1</v>
      </c>
      <c r="E160" s="32">
        <f>IFERROR(_xlfn.XLOOKUP($B160,MObra[DESCRIPCION],MObra[VALOR UNIT],,0),"")</f>
        <v>314390.75089500006</v>
      </c>
      <c r="F160" s="33">
        <v>-1</v>
      </c>
      <c r="G160" s="34">
        <f>IFERROR(IF(F160&gt;=0,D160*E160*(1+F160/100),ABS(D160*E160/F160)),"")</f>
        <v>314390.75089500006</v>
      </c>
      <c r="H160" s="43">
        <f>IFERROR(G160*E144,"")</f>
        <v>0</v>
      </c>
    </row>
    <row r="161" spans="1:11">
      <c r="A161" s="28"/>
      <c r="B161" s="29"/>
      <c r="C161" s="30" t="str">
        <f t="array" ref="C161">IFERROR(_xlfn.XLOOKUP(B161,MObra[[#All],[DESCRIPCION]],MObra[[#All],[UN]],,0),"")</f>
        <v/>
      </c>
      <c r="D161" s="31"/>
      <c r="E161" s="32" t="str">
        <f>IFERROR(_xlfn.XLOOKUP($B161,MObra[DESCRIPCION],MObra[VALOR UNIT],,0),"")</f>
        <v/>
      </c>
      <c r="F161" s="33"/>
      <c r="G161" s="34" t="str">
        <f>IFERROR(IF(F161&gt;=0,D161*E161*(1+F161/100),ABS(D161*E161/F161)),"")</f>
        <v/>
      </c>
      <c r="H161" s="43" t="str">
        <f>IFERROR(G161*E144,"")</f>
        <v/>
      </c>
    </row>
    <row r="162" spans="1:11">
      <c r="A162" s="35"/>
      <c r="B162" s="36"/>
      <c r="C162" s="37" t="str">
        <f t="array" ref="C162">IFERROR(_xlfn.XLOOKUP(B162,MObra[[#All],[DESCRIPCION]],MObra[[#All],[UN]],,0),"")</f>
        <v/>
      </c>
      <c r="D162" s="38"/>
      <c r="E162" s="39" t="str">
        <f>IFERROR(_xlfn.XLOOKUP($B162,MObra[DESCRIPCION],MObra[VALOR UNIT],,0),"")</f>
        <v/>
      </c>
      <c r="F162" s="40"/>
      <c r="G162" s="41" t="str">
        <f>IFERROR(IF(F162&gt;=0,D162*E162*(1+F162/100),ABS(D162*E162/F162)),"")</f>
        <v/>
      </c>
      <c r="H162" s="42" t="str">
        <f>IFERROR(G162*E144,"")</f>
        <v/>
      </c>
    </row>
    <row r="164" spans="1:11">
      <c r="A164" s="6" t="s">
        <v>322</v>
      </c>
      <c r="B164" s="7" t="str">
        <f>VLOOKUP($A164,Presupuesto!$A:$D,2,FALSE())</f>
        <v>Caja contador con tapa HD</v>
      </c>
      <c r="C164" s="8" t="str">
        <f>VLOOKUP($A164,Presupuesto!$A:$D,3,FALSE())</f>
        <v>Un</v>
      </c>
      <c r="D164" s="9"/>
      <c r="E164" s="10">
        <f>VLOOKUP($A164,Presupuesto!$A:$D,4,FALSE())</f>
        <v>0</v>
      </c>
      <c r="F164" s="11" t="s">
        <v>2589</v>
      </c>
      <c r="G164" s="12">
        <f>SUM(G166:G182)/2</f>
        <v>317529.85256264999</v>
      </c>
      <c r="H164" s="13">
        <f>ROUND(SUM(H166:H182),0)/2</f>
        <v>0</v>
      </c>
      <c r="I164" s="10">
        <f>VLOOKUP(A164,Presupuesto!$A:$F,6,0)</f>
        <v>0</v>
      </c>
      <c r="J164" s="10">
        <f>+H164-I164</f>
        <v>0</v>
      </c>
      <c r="K164" s="46">
        <f>+H164-G164*E164</f>
        <v>0</v>
      </c>
    </row>
    <row r="165" spans="1:11">
      <c r="A165" s="14"/>
      <c r="B165" s="15" t="s">
        <v>2586</v>
      </c>
      <c r="C165" s="15" t="s">
        <v>5</v>
      </c>
      <c r="D165" s="16" t="s">
        <v>6</v>
      </c>
      <c r="E165" s="17" t="s">
        <v>7</v>
      </c>
      <c r="F165" s="18" t="s">
        <v>3728</v>
      </c>
      <c r="G165" s="19" t="s">
        <v>3729</v>
      </c>
      <c r="H165" s="20" t="s">
        <v>3797</v>
      </c>
    </row>
    <row r="166" spans="1:11">
      <c r="A166" s="21"/>
      <c r="B166" s="22" t="s">
        <v>3730</v>
      </c>
      <c r="C166" s="23"/>
      <c r="D166" s="24"/>
      <c r="E166" s="25"/>
      <c r="F166" s="26"/>
      <c r="G166" s="27">
        <f>SUM(G167:G171)</f>
        <v>295522.5</v>
      </c>
      <c r="H166" s="27">
        <f>IFERROR(G166*E164,"")</f>
        <v>0</v>
      </c>
    </row>
    <row r="167" spans="1:11">
      <c r="A167" s="28"/>
      <c r="B167" s="29" t="s">
        <v>2804</v>
      </c>
      <c r="C167" s="30" t="str">
        <f>IFERROR(_xlfn.XLOOKUP(B167,Insumo[DESCRIPCION],Insumo[UND],,0),"")</f>
        <v>Un</v>
      </c>
      <c r="D167" s="31">
        <v>1</v>
      </c>
      <c r="E167" s="32">
        <f>IFERROR(_xlfn.XLOOKUP($B167,Insumo[DESCRIPCION],Insumo[VALOR],,0),"")</f>
        <v>295522.5</v>
      </c>
      <c r="F167" s="33"/>
      <c r="G167" s="34">
        <f>IFERROR(IF(F167&gt;=0,D167*E167*(1+F167/100),ABS(D167*E167/F167)),"")</f>
        <v>295522.5</v>
      </c>
      <c r="H167" s="43">
        <f>IFERROR(G167*E164,"")</f>
        <v>0</v>
      </c>
    </row>
    <row r="168" spans="1:11">
      <c r="A168" s="28"/>
      <c r="B168" s="29"/>
      <c r="C168" s="30" t="str">
        <f>IFERROR(_xlfn.XLOOKUP(B168,Insumo[DESCRIPCION],Insumo[UND],,0),"")</f>
        <v/>
      </c>
      <c r="D168" s="31"/>
      <c r="E168" s="32" t="str">
        <f>IFERROR(_xlfn.XLOOKUP($B168,Insumo[DESCRIPCION],Insumo[VALOR],,0),"")</f>
        <v/>
      </c>
      <c r="F168" s="33"/>
      <c r="G168" s="34" t="str">
        <f>IFERROR(IF(F168&gt;=0,D168*E168*(1+F168/100),ABS(D168*E168/F168)),"")</f>
        <v/>
      </c>
      <c r="H168" s="43" t="str">
        <f>IFERROR(G168*E164,"")</f>
        <v/>
      </c>
    </row>
    <row r="169" spans="1:11">
      <c r="A169" s="28"/>
      <c r="B169" s="29"/>
      <c r="C169" s="30" t="str">
        <f>IFERROR(_xlfn.XLOOKUP(B169,Insumo[DESCRIPCION],Insumo[UND],,0),"")</f>
        <v/>
      </c>
      <c r="D169" s="31"/>
      <c r="E169" s="32" t="str">
        <f>IFERROR(_xlfn.XLOOKUP($B169,Insumo[DESCRIPCION],Insumo[VALOR],,0),"")</f>
        <v/>
      </c>
      <c r="F169" s="33"/>
      <c r="G169" s="34" t="str">
        <f>IFERROR(IF(F169&gt;=0,D169*E169*(1+F169/100),ABS(D169*E169/F169)),"")</f>
        <v/>
      </c>
      <c r="H169" s="43" t="str">
        <f>IFERROR(G169*E164,"")</f>
        <v/>
      </c>
    </row>
    <row r="170" spans="1:11">
      <c r="A170" s="28"/>
      <c r="B170" s="29"/>
      <c r="C170" s="30" t="str">
        <f>IFERROR(_xlfn.XLOOKUP(B170,Insumo[DESCRIPCION],Insumo[UND],,0),"")</f>
        <v/>
      </c>
      <c r="D170" s="31"/>
      <c r="E170" s="32" t="str">
        <f>IFERROR(_xlfn.XLOOKUP($B170,Insumo[DESCRIPCION],Insumo[VALOR],,0),"")</f>
        <v/>
      </c>
      <c r="F170" s="33"/>
      <c r="G170" s="34" t="str">
        <f>IFERROR(IF(F170&gt;=0,D170*E170*(1+F170/100),ABS(D170*E170/F170)),"")</f>
        <v/>
      </c>
      <c r="H170" s="43" t="str">
        <f>IFERROR(G170*E164,"")</f>
        <v/>
      </c>
    </row>
    <row r="171" spans="1:11">
      <c r="A171" s="28"/>
      <c r="B171" s="29"/>
      <c r="C171" s="30" t="str">
        <f>IFERROR(_xlfn.XLOOKUP(B171,Insumo[DESCRIPCION],Insumo[UND],,0),"")</f>
        <v/>
      </c>
      <c r="D171" s="31"/>
      <c r="E171" s="32" t="str">
        <f>IFERROR(_xlfn.XLOOKUP($B171,Insumo[DESCRIPCION],Insumo[VALOR],,0),"")</f>
        <v/>
      </c>
      <c r="F171" s="33"/>
      <c r="G171" s="34" t="str">
        <f>IFERROR(IF(F171&gt;=0,D171*E171*(1+F171/100),ABS(D171*E171/F171)),"")</f>
        <v/>
      </c>
      <c r="H171" s="43" t="str">
        <f>IFERROR(G171*E164,"")</f>
        <v/>
      </c>
    </row>
    <row r="172" spans="1:11">
      <c r="A172" s="21"/>
      <c r="B172" s="22" t="s">
        <v>3731</v>
      </c>
      <c r="C172" s="23"/>
      <c r="D172" s="24"/>
      <c r="E172" s="25"/>
      <c r="F172" s="26"/>
      <c r="G172" s="27">
        <f>SUM(G173:G175)</f>
        <v>1047.9691696500001</v>
      </c>
      <c r="H172" s="44">
        <f>G172*E164</f>
        <v>0</v>
      </c>
    </row>
    <row r="173" spans="1:11">
      <c r="A173" s="28"/>
      <c r="B173" s="29" t="s">
        <v>3626</v>
      </c>
      <c r="C173" s="30" t="str">
        <f>IFERROR(_xlfn.XLOOKUP(B173,Equipo[DESCRIPCION],Equipo[UND],,0),"")</f>
        <v>%MO</v>
      </c>
      <c r="D173" s="31">
        <v>0.05</v>
      </c>
      <c r="E173" s="32">
        <f>IF(C173="%MO",G179,IFERROR(_xlfn.XLOOKUP($B173,Equipo[DESCRIPCION],Equipo[VALOR],,0),""))</f>
        <v>20959.383393000004</v>
      </c>
      <c r="F173" s="33"/>
      <c r="G173" s="34">
        <f>IFERROR(IF(F173&gt;=0,D173*E173*(1+F173/100),ABS(D173*E173/F173)),"")</f>
        <v>1047.9691696500001</v>
      </c>
      <c r="H173" s="43">
        <f>IFERROR(G173*E164,"")</f>
        <v>0</v>
      </c>
    </row>
    <row r="174" spans="1:11">
      <c r="A174" s="28"/>
      <c r="B174" s="29"/>
      <c r="C174" s="30" t="str">
        <f>IFERROR(_xlfn.XLOOKUP(B174,Equipo[DESCRIPCION],Equipo[UND],,0),"")</f>
        <v/>
      </c>
      <c r="D174" s="31"/>
      <c r="E174" s="32" t="str">
        <f>IF(C174="%MO",G179,IFERROR(_xlfn.XLOOKUP($B174,Equipo[DESCRIPCION],Equipo[VALOR],,0),""))</f>
        <v/>
      </c>
      <c r="F174" s="33"/>
      <c r="G174" s="34" t="str">
        <f>IFERROR(IF(F174&gt;=0,D174*E174*(1+F174/100),ABS(D174*E174/F174)),"")</f>
        <v/>
      </c>
      <c r="H174" s="43" t="str">
        <f>IFERROR(G174*E164,"")</f>
        <v/>
      </c>
    </row>
    <row r="175" spans="1:11">
      <c r="A175" s="28"/>
      <c r="B175" s="29"/>
      <c r="C175" s="30" t="str">
        <f>IFERROR(_xlfn.XLOOKUP(B175,Equipo[DESCRIPCION],Equipo[UND],,0),"")</f>
        <v/>
      </c>
      <c r="D175" s="31"/>
      <c r="E175" s="32" t="str">
        <f>IF(C175="%MO",G179,IFERROR(_xlfn.XLOOKUP($B175,Equipo[DESCRIPCION],Equipo[VALOR],,0),""))</f>
        <v/>
      </c>
      <c r="F175" s="33"/>
      <c r="G175" s="34" t="str">
        <f>IFERROR(IF(F175&gt;=0,D175*E175*(1+F175/100),ABS(D175*E175/F175)),"")</f>
        <v/>
      </c>
      <c r="H175" s="43" t="str">
        <f>IFERROR(G175*E164,"")</f>
        <v/>
      </c>
    </row>
    <row r="176" spans="1:11">
      <c r="A176" s="21"/>
      <c r="B176" s="22" t="s">
        <v>2533</v>
      </c>
      <c r="C176" s="23"/>
      <c r="D176" s="24"/>
      <c r="E176" s="25"/>
      <c r="F176" s="26"/>
      <c r="G176" s="27">
        <f>SUM(G177:G178)</f>
        <v>0</v>
      </c>
      <c r="H176" s="44">
        <f>G176*E164</f>
        <v>0</v>
      </c>
    </row>
    <row r="177" spans="1:11">
      <c r="A177" s="28"/>
      <c r="B177" s="29"/>
      <c r="C177" s="30" t="str">
        <f>IFERROR(_xlfn.XLOOKUP(B177,Transporte[DESCRIPCION],Transporte[UND],,0),"")</f>
        <v/>
      </c>
      <c r="D177" s="31"/>
      <c r="E177" s="32" t="str">
        <f>IFERROR(_xlfn.XLOOKUP($B177,Transporte[DESCRIPCION],Transporte[VALOR],,0),"")</f>
        <v/>
      </c>
      <c r="F177" s="33"/>
      <c r="G177" s="34" t="str">
        <f>IFERROR(IF(F177&gt;=0,D177*E177*(1+F177/100),ABS(D177*E177/F177)),"")</f>
        <v/>
      </c>
      <c r="H177" s="43" t="str">
        <f>IFERROR(G177*E164,"")</f>
        <v/>
      </c>
    </row>
    <row r="178" spans="1:11">
      <c r="A178" s="28"/>
      <c r="B178" s="29"/>
      <c r="C178" s="30" t="str">
        <f>IFERROR(_xlfn.XLOOKUP(B178,Transporte[DESCRIPCION],Transporte[UND],,0),"")</f>
        <v/>
      </c>
      <c r="D178" s="31"/>
      <c r="E178" s="32" t="str">
        <f>IFERROR(_xlfn.XLOOKUP($B178,Transporte[DESCRIPCION],Transporte[VALOR],,0),"")</f>
        <v/>
      </c>
      <c r="F178" s="33"/>
      <c r="G178" s="34" t="str">
        <f>IFERROR(IF(F178&gt;=0,D178*E178*(1+F178/100),ABS(D178*E178/F178)),"")</f>
        <v/>
      </c>
      <c r="H178" s="43" t="str">
        <f>IFERROR(G178*E164,"")</f>
        <v/>
      </c>
    </row>
    <row r="179" spans="1:11">
      <c r="A179" s="21"/>
      <c r="B179" s="22" t="s">
        <v>3732</v>
      </c>
      <c r="C179" s="23"/>
      <c r="D179" s="24"/>
      <c r="E179" s="25"/>
      <c r="F179" s="26"/>
      <c r="G179" s="27">
        <f>SUM(G180:G182)</f>
        <v>20959.383393000004</v>
      </c>
      <c r="H179" s="44">
        <f>G179*E164</f>
        <v>0</v>
      </c>
    </row>
    <row r="180" spans="1:11">
      <c r="A180" s="28"/>
      <c r="B180" s="29" t="s">
        <v>3710</v>
      </c>
      <c r="C180" s="30" t="str">
        <f>IFERROR(_xlfn.XLOOKUP(B180,MObra[DESCRIPCION],MObra[UN],,0),"")</f>
        <v>día</v>
      </c>
      <c r="D180" s="31">
        <v>1</v>
      </c>
      <c r="E180" s="32">
        <f>IFERROR(_xlfn.XLOOKUP($B180,MObra[DESCRIPCION],MObra[VALOR UNIT],,0),"")</f>
        <v>314390.75089500006</v>
      </c>
      <c r="F180" s="33">
        <v>-15</v>
      </c>
      <c r="G180" s="34">
        <f>IFERROR(IF(F180&gt;=0,D180*E180*(1+F180/100),ABS(D180*E180/F180)),"")</f>
        <v>20959.383393000004</v>
      </c>
      <c r="H180" s="43">
        <f>IFERROR(G180*E164,"")</f>
        <v>0</v>
      </c>
    </row>
    <row r="181" spans="1:11">
      <c r="A181" s="28"/>
      <c r="B181" s="29"/>
      <c r="C181" s="30" t="str">
        <f t="array" ref="C181">IFERROR(_xlfn.XLOOKUP(B181,MObra[[#All],[DESCRIPCION]],MObra[[#All],[UN]],,0),"")</f>
        <v/>
      </c>
      <c r="D181" s="31"/>
      <c r="E181" s="32" t="str">
        <f>IFERROR(_xlfn.XLOOKUP($B181,MObra[DESCRIPCION],MObra[VALOR UNIT],,0),"")</f>
        <v/>
      </c>
      <c r="F181" s="33"/>
      <c r="G181" s="34" t="str">
        <f>IFERROR(IF(F181&gt;=0,D181*E181*(1+F181/100),ABS(D181*E181/F181)),"")</f>
        <v/>
      </c>
      <c r="H181" s="43" t="str">
        <f>IFERROR(G181*E164,"")</f>
        <v/>
      </c>
    </row>
    <row r="182" spans="1:11">
      <c r="A182" s="35"/>
      <c r="B182" s="36"/>
      <c r="C182" s="37" t="str">
        <f t="array" ref="C182">IFERROR(_xlfn.XLOOKUP(B182,MObra[[#All],[DESCRIPCION]],MObra[[#All],[UN]],,0),"")</f>
        <v/>
      </c>
      <c r="D182" s="38"/>
      <c r="E182" s="39" t="str">
        <f>IFERROR(_xlfn.XLOOKUP($B182,MObra[DESCRIPCION],MObra[VALOR UNIT],,0),"")</f>
        <v/>
      </c>
      <c r="F182" s="40"/>
      <c r="G182" s="41" t="str">
        <f>IFERROR(IF(F182&gt;=0,D182*E182*(1+F182/100),ABS(D182*E182/F182)),"")</f>
        <v/>
      </c>
      <c r="H182" s="42" t="str">
        <f>IFERROR(G182*E164,"")</f>
        <v/>
      </c>
    </row>
    <row r="184" spans="1:11">
      <c r="A184" s="6" t="s">
        <v>324</v>
      </c>
      <c r="B184" s="7" t="str">
        <f>VLOOKUP($A184,Presupuesto!$A:$D,2,FALSE())</f>
        <v>Caja contador polipropileno</v>
      </c>
      <c r="C184" s="8" t="str">
        <f>VLOOKUP($A184,Presupuesto!$A:$D,3,FALSE())</f>
        <v>Un</v>
      </c>
      <c r="D184" s="9"/>
      <c r="E184" s="10">
        <f>VLOOKUP($A184,Presupuesto!$A:$D,4,FALSE())</f>
        <v>0</v>
      </c>
      <c r="F184" s="11" t="s">
        <v>2589</v>
      </c>
      <c r="G184" s="12">
        <f>SUM(G186:G202)/2</f>
        <v>75314.802562650002</v>
      </c>
      <c r="H184" s="13">
        <f>ROUND(SUM(H186:H202),0)/2</f>
        <v>0</v>
      </c>
      <c r="I184" s="10">
        <f>VLOOKUP(A184,Presupuesto!$A:$F,6,0)</f>
        <v>0</v>
      </c>
      <c r="J184" s="10">
        <f>+H184-I184</f>
        <v>0</v>
      </c>
      <c r="K184" s="46">
        <f>+H184-G184*E184</f>
        <v>0</v>
      </c>
    </row>
    <row r="185" spans="1:11">
      <c r="A185" s="14"/>
      <c r="B185" s="15" t="s">
        <v>2586</v>
      </c>
      <c r="C185" s="15" t="s">
        <v>5</v>
      </c>
      <c r="D185" s="16" t="s">
        <v>6</v>
      </c>
      <c r="E185" s="17" t="s">
        <v>7</v>
      </c>
      <c r="F185" s="18" t="s">
        <v>3728</v>
      </c>
      <c r="G185" s="19" t="s">
        <v>3729</v>
      </c>
      <c r="H185" s="20" t="s">
        <v>3797</v>
      </c>
    </row>
    <row r="186" spans="1:11">
      <c r="A186" s="21"/>
      <c r="B186" s="22" t="s">
        <v>3730</v>
      </c>
      <c r="C186" s="23"/>
      <c r="D186" s="24"/>
      <c r="E186" s="25"/>
      <c r="F186" s="26"/>
      <c r="G186" s="27">
        <f>SUM(G187:G191)</f>
        <v>53307.450000000004</v>
      </c>
      <c r="H186" s="27">
        <f>IFERROR(G186*E184,"")</f>
        <v>0</v>
      </c>
    </row>
    <row r="187" spans="1:11">
      <c r="A187" s="28"/>
      <c r="B187" s="29" t="s">
        <v>2808</v>
      </c>
      <c r="C187" s="30" t="str">
        <f>IFERROR(_xlfn.XLOOKUP(B187,Insumo[DESCRIPCION],Insumo[UND],,0),"")</f>
        <v>Un</v>
      </c>
      <c r="D187" s="31">
        <v>1</v>
      </c>
      <c r="E187" s="32">
        <f>IFERROR(_xlfn.XLOOKUP($B187,Insumo[DESCRIPCION],Insumo[VALOR],,0),"")</f>
        <v>53307.450000000004</v>
      </c>
      <c r="F187" s="33"/>
      <c r="G187" s="34">
        <f>IFERROR(IF(F187&gt;=0,D187*E187*(1+F187/100),ABS(D187*E187/F187)),"")</f>
        <v>53307.450000000004</v>
      </c>
      <c r="H187" s="43">
        <f>IFERROR(G187*E184,"")</f>
        <v>0</v>
      </c>
    </row>
    <row r="188" spans="1:11">
      <c r="A188" s="28"/>
      <c r="B188" s="29"/>
      <c r="C188" s="30" t="str">
        <f>IFERROR(_xlfn.XLOOKUP(B188,Insumo[DESCRIPCION],Insumo[UND],,0),"")</f>
        <v/>
      </c>
      <c r="D188" s="31"/>
      <c r="E188" s="32" t="str">
        <f>IFERROR(_xlfn.XLOOKUP($B188,Insumo[DESCRIPCION],Insumo[VALOR],,0),"")</f>
        <v/>
      </c>
      <c r="F188" s="33"/>
      <c r="G188" s="34" t="str">
        <f>IFERROR(IF(F188&gt;=0,D188*E188*(1+F188/100),ABS(D188*E188/F188)),"")</f>
        <v/>
      </c>
      <c r="H188" s="43" t="str">
        <f>IFERROR(G188*E184,"")</f>
        <v/>
      </c>
    </row>
    <row r="189" spans="1:11">
      <c r="A189" s="28"/>
      <c r="B189" s="29"/>
      <c r="C189" s="30" t="str">
        <f>IFERROR(_xlfn.XLOOKUP(B189,Insumo[DESCRIPCION],Insumo[UND],,0),"")</f>
        <v/>
      </c>
      <c r="D189" s="31"/>
      <c r="E189" s="32" t="str">
        <f>IFERROR(_xlfn.XLOOKUP($B189,Insumo[DESCRIPCION],Insumo[VALOR],,0),"")</f>
        <v/>
      </c>
      <c r="F189" s="33"/>
      <c r="G189" s="34" t="str">
        <f>IFERROR(IF(F189&gt;=0,D189*E189*(1+F189/100),ABS(D189*E189/F189)),"")</f>
        <v/>
      </c>
      <c r="H189" s="43" t="str">
        <f>IFERROR(G189*E184,"")</f>
        <v/>
      </c>
    </row>
    <row r="190" spans="1:11">
      <c r="A190" s="28"/>
      <c r="B190" s="29"/>
      <c r="C190" s="30" t="str">
        <f>IFERROR(_xlfn.XLOOKUP(B190,Insumo[DESCRIPCION],Insumo[UND],,0),"")</f>
        <v/>
      </c>
      <c r="D190" s="31"/>
      <c r="E190" s="32" t="str">
        <f>IFERROR(_xlfn.XLOOKUP($B190,Insumo[DESCRIPCION],Insumo[VALOR],,0),"")</f>
        <v/>
      </c>
      <c r="F190" s="33"/>
      <c r="G190" s="34" t="str">
        <f>IFERROR(IF(F190&gt;=0,D190*E190*(1+F190/100),ABS(D190*E190/F190)),"")</f>
        <v/>
      </c>
      <c r="H190" s="43" t="str">
        <f>IFERROR(G190*E184,"")</f>
        <v/>
      </c>
    </row>
    <row r="191" spans="1:11">
      <c r="A191" s="28"/>
      <c r="B191" s="29"/>
      <c r="C191" s="30" t="str">
        <f>IFERROR(_xlfn.XLOOKUP(B191,Insumo[DESCRIPCION],Insumo[UND],,0),"")</f>
        <v/>
      </c>
      <c r="D191" s="31"/>
      <c r="E191" s="32" t="str">
        <f>IFERROR(_xlfn.XLOOKUP($B191,Insumo[DESCRIPCION],Insumo[VALOR],,0),"")</f>
        <v/>
      </c>
      <c r="F191" s="33"/>
      <c r="G191" s="34" t="str">
        <f>IFERROR(IF(F191&gt;=0,D191*E191*(1+F191/100),ABS(D191*E191/F191)),"")</f>
        <v/>
      </c>
      <c r="H191" s="43" t="str">
        <f>IFERROR(G191*E184,"")</f>
        <v/>
      </c>
    </row>
    <row r="192" spans="1:11">
      <c r="A192" s="21"/>
      <c r="B192" s="22" t="s">
        <v>3731</v>
      </c>
      <c r="C192" s="23"/>
      <c r="D192" s="24"/>
      <c r="E192" s="25"/>
      <c r="F192" s="26"/>
      <c r="G192" s="27">
        <f>SUM(G193:G195)</f>
        <v>1047.9691696500001</v>
      </c>
      <c r="H192" s="44">
        <f>G192*E184</f>
        <v>0</v>
      </c>
    </row>
    <row r="193" spans="1:11">
      <c r="A193" s="28"/>
      <c r="B193" s="29" t="s">
        <v>3626</v>
      </c>
      <c r="C193" s="30" t="str">
        <f>IFERROR(_xlfn.XLOOKUP(B193,Equipo[DESCRIPCION],Equipo[UND],,0),"")</f>
        <v>%MO</v>
      </c>
      <c r="D193" s="31">
        <v>0.05</v>
      </c>
      <c r="E193" s="32">
        <f>IF(C193="%MO",G199,IFERROR(_xlfn.XLOOKUP($B193,Equipo[DESCRIPCION],Equipo[VALOR],,0),""))</f>
        <v>20959.383393000004</v>
      </c>
      <c r="F193" s="33"/>
      <c r="G193" s="34">
        <f>IFERROR(IF(F193&gt;=0,D193*E193*(1+F193/100),ABS(D193*E193/F193)),"")</f>
        <v>1047.9691696500001</v>
      </c>
      <c r="H193" s="43">
        <f>IFERROR(G193*E184,"")</f>
        <v>0</v>
      </c>
    </row>
    <row r="194" spans="1:11">
      <c r="A194" s="28"/>
      <c r="B194" s="29"/>
      <c r="C194" s="30" t="str">
        <f>IFERROR(_xlfn.XLOOKUP(B194,Equipo[DESCRIPCION],Equipo[UND],,0),"")</f>
        <v/>
      </c>
      <c r="D194" s="31"/>
      <c r="E194" s="32" t="str">
        <f>IF(C194="%MO",G199,IFERROR(_xlfn.XLOOKUP($B194,Equipo[DESCRIPCION],Equipo[VALOR],,0),""))</f>
        <v/>
      </c>
      <c r="F194" s="33"/>
      <c r="G194" s="34" t="str">
        <f>IFERROR(IF(F194&gt;=0,D194*E194*(1+F194/100),ABS(D194*E194/F194)),"")</f>
        <v/>
      </c>
      <c r="H194" s="43" t="str">
        <f>IFERROR(G194*E184,"")</f>
        <v/>
      </c>
    </row>
    <row r="195" spans="1:11">
      <c r="A195" s="28"/>
      <c r="B195" s="29"/>
      <c r="C195" s="30" t="str">
        <f>IFERROR(_xlfn.XLOOKUP(B195,Equipo[DESCRIPCION],Equipo[UND],,0),"")</f>
        <v/>
      </c>
      <c r="D195" s="31"/>
      <c r="E195" s="32" t="str">
        <f>IF(C195="%MO",G199,IFERROR(_xlfn.XLOOKUP($B195,Equipo[DESCRIPCION],Equipo[VALOR],,0),""))</f>
        <v/>
      </c>
      <c r="F195" s="33"/>
      <c r="G195" s="34" t="str">
        <f>IFERROR(IF(F195&gt;=0,D195*E195*(1+F195/100),ABS(D195*E195/F195)),"")</f>
        <v/>
      </c>
      <c r="H195" s="43" t="str">
        <f>IFERROR(G195*E184,"")</f>
        <v/>
      </c>
    </row>
    <row r="196" spans="1:11">
      <c r="A196" s="21"/>
      <c r="B196" s="22" t="s">
        <v>2533</v>
      </c>
      <c r="C196" s="23"/>
      <c r="D196" s="24"/>
      <c r="E196" s="25"/>
      <c r="F196" s="26"/>
      <c r="G196" s="27">
        <f>SUM(G197:G198)</f>
        <v>0</v>
      </c>
      <c r="H196" s="44">
        <f>G196*E184</f>
        <v>0</v>
      </c>
    </row>
    <row r="197" spans="1:11">
      <c r="A197" s="28"/>
      <c r="B197" s="29"/>
      <c r="C197" s="30" t="str">
        <f>IFERROR(_xlfn.XLOOKUP(B197,Transporte[DESCRIPCION],Transporte[UND],,0),"")</f>
        <v/>
      </c>
      <c r="D197" s="31"/>
      <c r="E197" s="32" t="str">
        <f>IFERROR(_xlfn.XLOOKUP($B197,Transporte[DESCRIPCION],Transporte[VALOR],,0),"")</f>
        <v/>
      </c>
      <c r="F197" s="33"/>
      <c r="G197" s="34" t="str">
        <f>IFERROR(IF(F197&gt;=0,D197*E197*(1+F197/100),ABS(D197*E197/F197)),"")</f>
        <v/>
      </c>
      <c r="H197" s="43" t="str">
        <f>IFERROR(G197*E184,"")</f>
        <v/>
      </c>
    </row>
    <row r="198" spans="1:11">
      <c r="A198" s="28"/>
      <c r="B198" s="29"/>
      <c r="C198" s="30" t="str">
        <f>IFERROR(_xlfn.XLOOKUP(B198,Transporte[DESCRIPCION],Transporte[UND],,0),"")</f>
        <v/>
      </c>
      <c r="D198" s="31"/>
      <c r="E198" s="32" t="str">
        <f>IFERROR(_xlfn.XLOOKUP($B198,Transporte[DESCRIPCION],Transporte[VALOR],,0),"")</f>
        <v/>
      </c>
      <c r="F198" s="33"/>
      <c r="G198" s="34" t="str">
        <f>IFERROR(IF(F198&gt;=0,D198*E198*(1+F198/100),ABS(D198*E198/F198)),"")</f>
        <v/>
      </c>
      <c r="H198" s="43" t="str">
        <f>IFERROR(G198*E184,"")</f>
        <v/>
      </c>
    </row>
    <row r="199" spans="1:11">
      <c r="A199" s="21"/>
      <c r="B199" s="22" t="s">
        <v>3732</v>
      </c>
      <c r="C199" s="23"/>
      <c r="D199" s="24"/>
      <c r="E199" s="25"/>
      <c r="F199" s="26"/>
      <c r="G199" s="27">
        <f>SUM(G200:G202)</f>
        <v>20959.383393000004</v>
      </c>
      <c r="H199" s="44">
        <f>G199*E184</f>
        <v>0</v>
      </c>
    </row>
    <row r="200" spans="1:11">
      <c r="A200" s="28"/>
      <c r="B200" s="29" t="s">
        <v>3710</v>
      </c>
      <c r="C200" s="30" t="str">
        <f>IFERROR(_xlfn.XLOOKUP(B200,MObra[DESCRIPCION],MObra[UN],,0),"")</f>
        <v>día</v>
      </c>
      <c r="D200" s="31">
        <v>1</v>
      </c>
      <c r="E200" s="32">
        <f>IFERROR(_xlfn.XLOOKUP($B200,MObra[DESCRIPCION],MObra[VALOR UNIT],,0),"")</f>
        <v>314390.75089500006</v>
      </c>
      <c r="F200" s="33">
        <v>-15</v>
      </c>
      <c r="G200" s="34">
        <f>IFERROR(IF(F200&gt;=0,D200*E200*(1+F200/100),ABS(D200*E200/F200)),"")</f>
        <v>20959.383393000004</v>
      </c>
      <c r="H200" s="43">
        <f>IFERROR(G200*E184,"")</f>
        <v>0</v>
      </c>
    </row>
    <row r="201" spans="1:11">
      <c r="A201" s="28"/>
      <c r="B201" s="29"/>
      <c r="C201" s="30" t="str">
        <f t="array" ref="C201">IFERROR(_xlfn.XLOOKUP(B201,MObra[[#All],[DESCRIPCION]],MObra[[#All],[UN]],,0),"")</f>
        <v/>
      </c>
      <c r="D201" s="31"/>
      <c r="E201" s="32" t="str">
        <f>IFERROR(_xlfn.XLOOKUP($B201,MObra[DESCRIPCION],MObra[VALOR UNIT],,0),"")</f>
        <v/>
      </c>
      <c r="F201" s="33"/>
      <c r="G201" s="34" t="str">
        <f>IFERROR(IF(F201&gt;=0,D201*E201*(1+F201/100),ABS(D201*E201/F201)),"")</f>
        <v/>
      </c>
      <c r="H201" s="43" t="str">
        <f>IFERROR(G201*E184,"")</f>
        <v/>
      </c>
    </row>
    <row r="202" spans="1:11">
      <c r="A202" s="35"/>
      <c r="B202" s="36"/>
      <c r="C202" s="37" t="str">
        <f t="array" ref="C202">IFERROR(_xlfn.XLOOKUP(B202,MObra[[#All],[DESCRIPCION]],MObra[[#All],[UN]],,0),"")</f>
        <v/>
      </c>
      <c r="D202" s="38"/>
      <c r="E202" s="39" t="str">
        <f>IFERROR(_xlfn.XLOOKUP($B202,MObra[DESCRIPCION],MObra[VALOR UNIT],,0),"")</f>
        <v/>
      </c>
      <c r="F202" s="40"/>
      <c r="G202" s="41" t="str">
        <f>IFERROR(IF(F202&gt;=0,D202*E202*(1+F202/100),ABS(D202*E202/F202)),"")</f>
        <v/>
      </c>
      <c r="H202" s="42" t="str">
        <f>IFERROR(G202*E184,"")</f>
        <v/>
      </c>
    </row>
    <row r="204" spans="1:11">
      <c r="A204" s="6" t="s">
        <v>326</v>
      </c>
      <c r="B204" s="7" t="str">
        <f>VLOOKUP($A204,Presupuesto!$A:$D,2,FALSE())</f>
        <v>Empalme a redes de alcantarillado</v>
      </c>
      <c r="C204" s="8" t="str">
        <f>VLOOKUP($A204,Presupuesto!$A:$D,3,FALSE())</f>
        <v>Un</v>
      </c>
      <c r="D204" s="9"/>
      <c r="E204" s="10">
        <f>VLOOKUP($A204,Presupuesto!$A:$D,4,FALSE())</f>
        <v>0</v>
      </c>
      <c r="F204" s="11" t="s">
        <v>2589</v>
      </c>
      <c r="G204" s="12">
        <f>SUM(G206:G222)/2</f>
        <v>293504.14313878125</v>
      </c>
      <c r="H204" s="13">
        <f>ROUND(SUM(H206:H222),0)/2</f>
        <v>0</v>
      </c>
      <c r="I204" s="10">
        <f>VLOOKUP(A204,Presupuesto!$A:$F,6,0)</f>
        <v>0</v>
      </c>
      <c r="J204" s="10">
        <f>+H204-I204</f>
        <v>0</v>
      </c>
      <c r="K204" s="46">
        <f>+H204-G204*E204</f>
        <v>0</v>
      </c>
    </row>
    <row r="205" spans="1:11">
      <c r="A205" s="14"/>
      <c r="B205" s="15" t="s">
        <v>2586</v>
      </c>
      <c r="C205" s="15" t="s">
        <v>5</v>
      </c>
      <c r="D205" s="16" t="s">
        <v>6</v>
      </c>
      <c r="E205" s="17" t="s">
        <v>7</v>
      </c>
      <c r="F205" s="18" t="s">
        <v>3728</v>
      </c>
      <c r="G205" s="19" t="s">
        <v>3729</v>
      </c>
      <c r="H205" s="20" t="s">
        <v>3797</v>
      </c>
    </row>
    <row r="206" spans="1:11">
      <c r="A206" s="21"/>
      <c r="B206" s="22" t="s">
        <v>3730</v>
      </c>
      <c r="C206" s="23"/>
      <c r="D206" s="24"/>
      <c r="E206" s="25"/>
      <c r="F206" s="26"/>
      <c r="G206" s="27">
        <f>SUM(G207:G211)</f>
        <v>0</v>
      </c>
      <c r="H206" s="27">
        <f>IFERROR(G206*E204,"")</f>
        <v>0</v>
      </c>
    </row>
    <row r="207" spans="1:11">
      <c r="A207" s="28"/>
      <c r="B207" s="29"/>
      <c r="C207" s="30" t="str">
        <f>IFERROR(_xlfn.XLOOKUP(B207,Insumo[DESCRIPCION],Insumo[UND],,0),"")</f>
        <v/>
      </c>
      <c r="D207" s="31"/>
      <c r="E207" s="32" t="str">
        <f>IFERROR(_xlfn.XLOOKUP($B207,Insumo[DESCRIPCION],Insumo[VALOR],,0),"")</f>
        <v/>
      </c>
      <c r="F207" s="33"/>
      <c r="G207" s="34" t="str">
        <f>IFERROR(IF(F207&gt;=0,D207*E207*(1+F207/100),ABS(D207*E207/F207)),"")</f>
        <v/>
      </c>
      <c r="H207" s="43" t="str">
        <f>IFERROR(G207*E204,"")</f>
        <v/>
      </c>
    </row>
    <row r="208" spans="1:11">
      <c r="A208" s="28"/>
      <c r="B208" s="29"/>
      <c r="C208" s="30" t="str">
        <f>IFERROR(_xlfn.XLOOKUP(B208,Insumo[DESCRIPCION],Insumo[UND],,0),"")</f>
        <v/>
      </c>
      <c r="D208" s="31"/>
      <c r="E208" s="32" t="str">
        <f>IFERROR(_xlfn.XLOOKUP($B208,Insumo[DESCRIPCION],Insumo[VALOR],,0),"")</f>
        <v/>
      </c>
      <c r="F208" s="33"/>
      <c r="G208" s="34" t="str">
        <f>IFERROR(IF(F208&gt;=0,D208*E208*(1+F208/100),ABS(D208*E208/F208)),"")</f>
        <v/>
      </c>
      <c r="H208" s="43" t="str">
        <f>IFERROR(G208*E204,"")</f>
        <v/>
      </c>
    </row>
    <row r="209" spans="1:11">
      <c r="A209" s="28"/>
      <c r="B209" s="29"/>
      <c r="C209" s="30" t="str">
        <f>IFERROR(_xlfn.XLOOKUP(B209,Insumo[DESCRIPCION],Insumo[UND],,0),"")</f>
        <v/>
      </c>
      <c r="D209" s="31"/>
      <c r="E209" s="32" t="str">
        <f>IFERROR(_xlfn.XLOOKUP($B209,Insumo[DESCRIPCION],Insumo[VALOR],,0),"")</f>
        <v/>
      </c>
      <c r="F209" s="33"/>
      <c r="G209" s="34" t="str">
        <f>IFERROR(IF(F209&gt;=0,D209*E209*(1+F209/100),ABS(D209*E209/F209)),"")</f>
        <v/>
      </c>
      <c r="H209" s="43" t="str">
        <f>IFERROR(G209*E204,"")</f>
        <v/>
      </c>
    </row>
    <row r="210" spans="1:11">
      <c r="A210" s="28"/>
      <c r="B210" s="29"/>
      <c r="C210" s="30" t="str">
        <f>IFERROR(_xlfn.XLOOKUP(B210,Insumo[DESCRIPCION],Insumo[UND],,0),"")</f>
        <v/>
      </c>
      <c r="D210" s="31"/>
      <c r="E210" s="32" t="str">
        <f>IFERROR(_xlfn.XLOOKUP($B210,Insumo[DESCRIPCION],Insumo[VALOR],,0),"")</f>
        <v/>
      </c>
      <c r="F210" s="33"/>
      <c r="G210" s="34" t="str">
        <f>IFERROR(IF(F210&gt;=0,D210*E210*(1+F210/100),ABS(D210*E210/F210)),"")</f>
        <v/>
      </c>
      <c r="H210" s="43" t="str">
        <f>IFERROR(G210*E204,"")</f>
        <v/>
      </c>
    </row>
    <row r="211" spans="1:11">
      <c r="A211" s="28"/>
      <c r="B211" s="29"/>
      <c r="C211" s="30" t="str">
        <f>IFERROR(_xlfn.XLOOKUP(B211,Insumo[DESCRIPCION],Insumo[UND],,0),"")</f>
        <v/>
      </c>
      <c r="D211" s="31"/>
      <c r="E211" s="32" t="str">
        <f>IFERROR(_xlfn.XLOOKUP($B211,Insumo[DESCRIPCION],Insumo[VALOR],,0),"")</f>
        <v/>
      </c>
      <c r="F211" s="33"/>
      <c r="G211" s="34" t="str">
        <f>IFERROR(IF(F211&gt;=0,D211*E211*(1+F211/100),ABS(D211*E211/F211)),"")</f>
        <v/>
      </c>
      <c r="H211" s="43" t="str">
        <f>IFERROR(G211*E204,"")</f>
        <v/>
      </c>
    </row>
    <row r="212" spans="1:11">
      <c r="A212" s="21"/>
      <c r="B212" s="22" t="s">
        <v>3731</v>
      </c>
      <c r="C212" s="23"/>
      <c r="D212" s="24"/>
      <c r="E212" s="25"/>
      <c r="F212" s="26"/>
      <c r="G212" s="27">
        <f>SUM(G213:G215)</f>
        <v>24234.28704815625</v>
      </c>
      <c r="H212" s="44">
        <f>G212*E204</f>
        <v>0</v>
      </c>
    </row>
    <row r="213" spans="1:11">
      <c r="A213" s="28"/>
      <c r="B213" s="29" t="s">
        <v>3570</v>
      </c>
      <c r="C213" s="30" t="str">
        <f>IFERROR(_xlfn.XLOOKUP(B213,Equipo[DESCRIPCION],Equipo[UND],,0),"")</f>
        <v>%MO</v>
      </c>
      <c r="D213" s="31">
        <v>0.04</v>
      </c>
      <c r="E213" s="32">
        <f>IF(C213="%MO",G219,IFERROR(_xlfn.XLOOKUP($B213,Equipo[DESCRIPCION],Equipo[VALOR],,0),""))</f>
        <v>269269.85609062499</v>
      </c>
      <c r="F213" s="33"/>
      <c r="G213" s="34">
        <f>IFERROR(IF(F213&gt;=0,D213*E213*(1+F213/100),ABS(D213*E213/F213)),"")</f>
        <v>10770.794243625</v>
      </c>
      <c r="H213" s="43">
        <f>IFERROR(G213*E204,"")</f>
        <v>0</v>
      </c>
    </row>
    <row r="214" spans="1:11">
      <c r="A214" s="28"/>
      <c r="B214" s="29" t="s">
        <v>3626</v>
      </c>
      <c r="C214" s="30" t="str">
        <f>IFERROR(_xlfn.XLOOKUP(B214,Equipo[DESCRIPCION],Equipo[UND],,0),"")</f>
        <v>%MO</v>
      </c>
      <c r="D214" s="31">
        <v>0.05</v>
      </c>
      <c r="E214" s="32">
        <f>IF(C214="%MO",G219,IFERROR(_xlfn.XLOOKUP($B214,Equipo[DESCRIPCION],Equipo[VALOR],,0),""))</f>
        <v>269269.85609062499</v>
      </c>
      <c r="F214" s="33"/>
      <c r="G214" s="34">
        <f>IFERROR(IF(F214&gt;=0,D214*E214*(1+F214/100),ABS(D214*E214/F214)),"")</f>
        <v>13463.49280453125</v>
      </c>
      <c r="H214" s="43">
        <f>IFERROR(G214*E204,"")</f>
        <v>0</v>
      </c>
    </row>
    <row r="215" spans="1:11">
      <c r="A215" s="28"/>
      <c r="B215" s="29"/>
      <c r="C215" s="30" t="str">
        <f>IFERROR(_xlfn.XLOOKUP(B215,Equipo[DESCRIPCION],Equipo[UND],,0),"")</f>
        <v/>
      </c>
      <c r="D215" s="31"/>
      <c r="E215" s="32" t="str">
        <f>IF(C215="%MO",G219,IFERROR(_xlfn.XLOOKUP($B215,Equipo[DESCRIPCION],Equipo[VALOR],,0),""))</f>
        <v/>
      </c>
      <c r="F215" s="33"/>
      <c r="G215" s="34" t="str">
        <f>IFERROR(IF(F215&gt;=0,D215*E215*(1+F215/100),ABS(D215*E215/F215)),"")</f>
        <v/>
      </c>
      <c r="H215" s="43" t="str">
        <f>IFERROR(G215*E204,"")</f>
        <v/>
      </c>
    </row>
    <row r="216" spans="1:11">
      <c r="A216" s="21"/>
      <c r="B216" s="22" t="s">
        <v>2533</v>
      </c>
      <c r="C216" s="23"/>
      <c r="D216" s="24"/>
      <c r="E216" s="25"/>
      <c r="F216" s="26"/>
      <c r="G216" s="27">
        <f>SUM(G217:G218)</f>
        <v>0</v>
      </c>
      <c r="H216" s="44">
        <f>G216*E204</f>
        <v>0</v>
      </c>
    </row>
    <row r="217" spans="1:11">
      <c r="A217" s="28"/>
      <c r="B217" s="29"/>
      <c r="C217" s="30" t="str">
        <f>IFERROR(_xlfn.XLOOKUP(B217,Transporte[DESCRIPCION],Transporte[UND],,0),"")</f>
        <v/>
      </c>
      <c r="D217" s="31"/>
      <c r="E217" s="32" t="str">
        <f>IFERROR(_xlfn.XLOOKUP($B217,Transporte[DESCRIPCION],Transporte[VALOR],,0),"")</f>
        <v/>
      </c>
      <c r="F217" s="33"/>
      <c r="G217" s="34" t="str">
        <f>IFERROR(IF(F217&gt;=0,D217*E217*(1+F217/100),ABS(D217*E217/F217)),"")</f>
        <v/>
      </c>
      <c r="H217" s="43" t="str">
        <f>IFERROR(G217*E204,"")</f>
        <v/>
      </c>
    </row>
    <row r="218" spans="1:11">
      <c r="A218" s="28"/>
      <c r="B218" s="29"/>
      <c r="C218" s="30" t="str">
        <f>IFERROR(_xlfn.XLOOKUP(B218,Transporte[DESCRIPCION],Transporte[UND],,0),"")</f>
        <v/>
      </c>
      <c r="D218" s="31"/>
      <c r="E218" s="32" t="str">
        <f>IFERROR(_xlfn.XLOOKUP($B218,Transporte[DESCRIPCION],Transporte[VALOR],,0),"")</f>
        <v/>
      </c>
      <c r="F218" s="33"/>
      <c r="G218" s="34" t="str">
        <f>IFERROR(IF(F218&gt;=0,D218*E218*(1+F218/100),ABS(D218*E218/F218)),"")</f>
        <v/>
      </c>
      <c r="H218" s="43" t="str">
        <f>IFERROR(G218*E204,"")</f>
        <v/>
      </c>
    </row>
    <row r="219" spans="1:11">
      <c r="A219" s="21"/>
      <c r="B219" s="22" t="s">
        <v>3732</v>
      </c>
      <c r="C219" s="23"/>
      <c r="D219" s="24"/>
      <c r="E219" s="25"/>
      <c r="F219" s="26"/>
      <c r="G219" s="27">
        <f>SUM(G220:G222)</f>
        <v>269269.85609062499</v>
      </c>
      <c r="H219" s="44">
        <f>G219*E204</f>
        <v>0</v>
      </c>
    </row>
    <row r="220" spans="1:11">
      <c r="A220" s="28"/>
      <c r="B220" s="29" t="s">
        <v>3711</v>
      </c>
      <c r="C220" s="30" t="str">
        <f>IFERROR(_xlfn.XLOOKUP(B220,MObra[DESCRIPCION],MObra[UN],,0),"")</f>
        <v>día</v>
      </c>
      <c r="D220" s="31">
        <v>1</v>
      </c>
      <c r="E220" s="32">
        <f>IFERROR(_xlfn.XLOOKUP($B220,MObra[DESCRIPCION],MObra[VALOR UNIT],,0),"")</f>
        <v>430831.76974500006</v>
      </c>
      <c r="F220" s="33">
        <v>-1.6</v>
      </c>
      <c r="G220" s="34">
        <f>IFERROR(IF(F220&gt;=0,D220*E220*(1+F220/100),ABS(D220*E220/F220)),"")</f>
        <v>269269.85609062499</v>
      </c>
      <c r="H220" s="43">
        <f>IFERROR(G220*E204,"")</f>
        <v>0</v>
      </c>
    </row>
    <row r="221" spans="1:11">
      <c r="A221" s="28"/>
      <c r="B221" s="29"/>
      <c r="C221" s="30" t="str">
        <f t="array" ref="C221">IFERROR(_xlfn.XLOOKUP(B221,MObra[[#All],[DESCRIPCION]],MObra[[#All],[UN]],,0),"")</f>
        <v/>
      </c>
      <c r="D221" s="31"/>
      <c r="E221" s="32" t="str">
        <f>IFERROR(_xlfn.XLOOKUP($B221,MObra[DESCRIPCION],MObra[VALOR UNIT],,0),"")</f>
        <v/>
      </c>
      <c r="F221" s="33"/>
      <c r="G221" s="34" t="str">
        <f>IFERROR(IF(F221&gt;=0,D221*E221*(1+F221/100),ABS(D221*E221/F221)),"")</f>
        <v/>
      </c>
      <c r="H221" s="43" t="str">
        <f>IFERROR(G221*E204,"")</f>
        <v/>
      </c>
    </row>
    <row r="222" spans="1:11">
      <c r="A222" s="35"/>
      <c r="B222" s="36"/>
      <c r="C222" s="37" t="str">
        <f t="array" ref="C222">IFERROR(_xlfn.XLOOKUP(B222,MObra[[#All],[DESCRIPCION]],MObra[[#All],[UN]],,0),"")</f>
        <v/>
      </c>
      <c r="D222" s="38"/>
      <c r="E222" s="39" t="str">
        <f>IFERROR(_xlfn.XLOOKUP($B222,MObra[DESCRIPCION],MObra[VALOR UNIT],,0),"")</f>
        <v/>
      </c>
      <c r="F222" s="40"/>
      <c r="G222" s="41" t="str">
        <f>IFERROR(IF(F222&gt;=0,D222*E222*(1+F222/100),ABS(D222*E222/F222)),"")</f>
        <v/>
      </c>
      <c r="H222" s="42" t="str">
        <f>IFERROR(G222*E204,"")</f>
        <v/>
      </c>
    </row>
    <row r="224" spans="1:11">
      <c r="A224" s="6" t="s">
        <v>328</v>
      </c>
      <c r="B224" s="7" t="str">
        <f>VLOOKUP($A224,Presupuesto!$A:$D,2,FALSE())</f>
        <v>Fijación de tubería de 6" a 8" (incluye abrazadera metálica)</v>
      </c>
      <c r="C224" s="8" t="str">
        <f>VLOOKUP($A224,Presupuesto!$A:$D,3,FALSE())</f>
        <v>Un</v>
      </c>
      <c r="D224" s="9"/>
      <c r="E224" s="10">
        <f>VLOOKUP($A224,Presupuesto!$A:$D,4,FALSE())</f>
        <v>0</v>
      </c>
      <c r="F224" s="11" t="s">
        <v>2589</v>
      </c>
      <c r="G224" s="12">
        <f>SUM(G226:G242)/2</f>
        <v>63200.295450974998</v>
      </c>
      <c r="H224" s="13">
        <f>ROUND(SUM(H226:H242),0)/2</f>
        <v>0</v>
      </c>
      <c r="I224" s="10">
        <f>VLOOKUP(A224,Presupuesto!$A:$F,6,0)</f>
        <v>0</v>
      </c>
      <c r="J224" s="10">
        <f>+H224-I224</f>
        <v>0</v>
      </c>
      <c r="K224" s="46">
        <f>+H224-G224*E224</f>
        <v>0</v>
      </c>
    </row>
    <row r="225" spans="1:8">
      <c r="A225" s="14"/>
      <c r="B225" s="15" t="s">
        <v>2586</v>
      </c>
      <c r="C225" s="15" t="s">
        <v>5</v>
      </c>
      <c r="D225" s="16" t="s">
        <v>6</v>
      </c>
      <c r="E225" s="17" t="s">
        <v>7</v>
      </c>
      <c r="F225" s="18" t="s">
        <v>3728</v>
      </c>
      <c r="G225" s="19" t="s">
        <v>3729</v>
      </c>
      <c r="H225" s="20" t="s">
        <v>3797</v>
      </c>
    </row>
    <row r="226" spans="1:8">
      <c r="A226" s="21"/>
      <c r="B226" s="22" t="s">
        <v>3730</v>
      </c>
      <c r="C226" s="23"/>
      <c r="D226" s="24"/>
      <c r="E226" s="25"/>
      <c r="F226" s="26"/>
      <c r="G226" s="27">
        <f>SUM(G227:G231)</f>
        <v>51148.65</v>
      </c>
      <c r="H226" s="27">
        <f>IFERROR(G226*E224,"")</f>
        <v>0</v>
      </c>
    </row>
    <row r="227" spans="1:8">
      <c r="A227" s="28"/>
      <c r="B227" s="29" t="s">
        <v>2604</v>
      </c>
      <c r="C227" s="30" t="str">
        <f>IFERROR(_xlfn.XLOOKUP(B227,Insumo[DESCRIPCION],Insumo[UND],,0),"")</f>
        <v>Un</v>
      </c>
      <c r="D227" s="31">
        <v>1</v>
      </c>
      <c r="E227" s="32">
        <f>IFERROR(_xlfn.XLOOKUP($B227,Insumo[DESCRIPCION],Insumo[VALOR],,0),"")</f>
        <v>51148.65</v>
      </c>
      <c r="F227" s="33"/>
      <c r="G227" s="34">
        <f>IFERROR(IF(F227&gt;=0,D227*E227*(1+F227/100),ABS(D227*E227/F227)),"")</f>
        <v>51148.65</v>
      </c>
      <c r="H227" s="43">
        <f>IFERROR(G227*E224,"")</f>
        <v>0</v>
      </c>
    </row>
    <row r="228" spans="1:8">
      <c r="A228" s="28"/>
      <c r="B228" s="29"/>
      <c r="C228" s="30" t="str">
        <f>IFERROR(_xlfn.XLOOKUP(B228,Insumo[DESCRIPCION],Insumo[UND],,0),"")</f>
        <v/>
      </c>
      <c r="D228" s="31"/>
      <c r="E228" s="32" t="str">
        <f>IFERROR(_xlfn.XLOOKUP($B228,Insumo[DESCRIPCION],Insumo[VALOR],,0),"")</f>
        <v/>
      </c>
      <c r="F228" s="33"/>
      <c r="G228" s="34" t="str">
        <f>IFERROR(IF(F228&gt;=0,D228*E228*(1+F228/100),ABS(D228*E228/F228)),"")</f>
        <v/>
      </c>
      <c r="H228" s="43" t="str">
        <f>IFERROR(G228*E224,"")</f>
        <v/>
      </c>
    </row>
    <row r="229" spans="1:8">
      <c r="A229" s="28"/>
      <c r="B229" s="29"/>
      <c r="C229" s="30" t="str">
        <f>IFERROR(_xlfn.XLOOKUP(B229,Insumo[DESCRIPCION],Insumo[UND],,0),"")</f>
        <v/>
      </c>
      <c r="D229" s="31"/>
      <c r="E229" s="32" t="str">
        <f>IFERROR(_xlfn.XLOOKUP($B229,Insumo[DESCRIPCION],Insumo[VALOR],,0),"")</f>
        <v/>
      </c>
      <c r="F229" s="33"/>
      <c r="G229" s="34" t="str">
        <f>IFERROR(IF(F229&gt;=0,D229*E229*(1+F229/100),ABS(D229*E229/F229)),"")</f>
        <v/>
      </c>
      <c r="H229" s="43" t="str">
        <f>IFERROR(G229*E224,"")</f>
        <v/>
      </c>
    </row>
    <row r="230" spans="1:8">
      <c r="A230" s="28"/>
      <c r="B230" s="29"/>
      <c r="C230" s="30" t="str">
        <f>IFERROR(_xlfn.XLOOKUP(B230,Insumo[DESCRIPCION],Insumo[UND],,0),"")</f>
        <v/>
      </c>
      <c r="D230" s="31"/>
      <c r="E230" s="32" t="str">
        <f>IFERROR(_xlfn.XLOOKUP($B230,Insumo[DESCRIPCION],Insumo[VALOR],,0),"")</f>
        <v/>
      </c>
      <c r="F230" s="33"/>
      <c r="G230" s="34" t="str">
        <f>IFERROR(IF(F230&gt;=0,D230*E230*(1+F230/100),ABS(D230*E230/F230)),"")</f>
        <v/>
      </c>
      <c r="H230" s="43" t="str">
        <f>IFERROR(G230*E224,"")</f>
        <v/>
      </c>
    </row>
    <row r="231" spans="1:8">
      <c r="A231" s="28"/>
      <c r="B231" s="29"/>
      <c r="C231" s="30" t="str">
        <f>IFERROR(_xlfn.XLOOKUP(B231,Insumo[DESCRIPCION],Insumo[UND],,0),"")</f>
        <v/>
      </c>
      <c r="D231" s="31"/>
      <c r="E231" s="32" t="str">
        <f>IFERROR(_xlfn.XLOOKUP($B231,Insumo[DESCRIPCION],Insumo[VALOR],,0),"")</f>
        <v/>
      </c>
      <c r="F231" s="33"/>
      <c r="G231" s="34" t="str">
        <f>IFERROR(IF(F231&gt;=0,D231*E231*(1+F231/100),ABS(D231*E231/F231)),"")</f>
        <v/>
      </c>
      <c r="H231" s="43" t="str">
        <f>IFERROR(G231*E224,"")</f>
        <v/>
      </c>
    </row>
    <row r="232" spans="1:8">
      <c r="A232" s="21"/>
      <c r="B232" s="22" t="s">
        <v>3731</v>
      </c>
      <c r="C232" s="23"/>
      <c r="D232" s="24"/>
      <c r="E232" s="25"/>
      <c r="F232" s="26"/>
      <c r="G232" s="27">
        <f>SUM(G233:G235)</f>
        <v>1571.9537544750001</v>
      </c>
      <c r="H232" s="44">
        <f>G232*E224</f>
        <v>0</v>
      </c>
    </row>
    <row r="233" spans="1:8">
      <c r="A233" s="28"/>
      <c r="B233" s="29" t="s">
        <v>3573</v>
      </c>
      <c r="C233" s="30" t="str">
        <f>IFERROR(_xlfn.XLOOKUP(B233,Equipo[DESCRIPCION],Equipo[UND],,0),"")</f>
        <v>%MO</v>
      </c>
      <c r="D233" s="142">
        <v>0.1</v>
      </c>
      <c r="E233" s="32">
        <f>IF(C233="%MO",G239,IFERROR(_xlfn.XLOOKUP($B233,Equipo[DESCRIPCION],Equipo[VALOR],,0),""))</f>
        <v>10479.691696500002</v>
      </c>
      <c r="F233" s="33"/>
      <c r="G233" s="34">
        <f>IFERROR(IF(F233&gt;=0,D233*E233*(1+F233/100),ABS(D233*E233/F233)),"")</f>
        <v>1047.9691696500001</v>
      </c>
      <c r="H233" s="43">
        <f>IFERROR(G233*E224,"")</f>
        <v>0</v>
      </c>
    </row>
    <row r="234" spans="1:8">
      <c r="A234" s="28"/>
      <c r="B234" s="29" t="s">
        <v>3626</v>
      </c>
      <c r="C234" s="30" t="str">
        <f>IFERROR(_xlfn.XLOOKUP(B234,Equipo[DESCRIPCION],Equipo[UND],,0),"")</f>
        <v>%MO</v>
      </c>
      <c r="D234" s="31">
        <v>0.05</v>
      </c>
      <c r="E234" s="32">
        <f>IF(C234="%MO",G239,IFERROR(_xlfn.XLOOKUP($B234,Equipo[DESCRIPCION],Equipo[VALOR],,0),""))</f>
        <v>10479.691696500002</v>
      </c>
      <c r="F234" s="33"/>
      <c r="G234" s="34">
        <f>IFERROR(IF(F234&gt;=0,D234*E234*(1+F234/100),ABS(D234*E234/F234)),"")</f>
        <v>523.98458482500007</v>
      </c>
      <c r="H234" s="43">
        <f>IFERROR(G234*E224,"")</f>
        <v>0</v>
      </c>
    </row>
    <row r="235" spans="1:8">
      <c r="A235" s="28"/>
      <c r="B235" s="29"/>
      <c r="C235" s="30" t="str">
        <f>IFERROR(_xlfn.XLOOKUP(B235,Equipo[DESCRIPCION],Equipo[UND],,0),"")</f>
        <v/>
      </c>
      <c r="D235" s="31"/>
      <c r="E235" s="32" t="str">
        <f>IF(C235="%MO",G239,IFERROR(_xlfn.XLOOKUP($B235,Equipo[DESCRIPCION],Equipo[VALOR],,0),""))</f>
        <v/>
      </c>
      <c r="F235" s="33"/>
      <c r="G235" s="34" t="str">
        <f>IFERROR(IF(F235&gt;=0,D235*E235*(1+F235/100),ABS(D235*E235/F235)),"")</f>
        <v/>
      </c>
      <c r="H235" s="43" t="str">
        <f>IFERROR(G235*E224,"")</f>
        <v/>
      </c>
    </row>
    <row r="236" spans="1:8">
      <c r="A236" s="21"/>
      <c r="B236" s="22" t="s">
        <v>2533</v>
      </c>
      <c r="C236" s="23"/>
      <c r="D236" s="24"/>
      <c r="E236" s="25"/>
      <c r="F236" s="26"/>
      <c r="G236" s="27">
        <f>SUM(G237:G238)</f>
        <v>0</v>
      </c>
      <c r="H236" s="44">
        <f>G236*E224</f>
        <v>0</v>
      </c>
    </row>
    <row r="237" spans="1:8">
      <c r="A237" s="28"/>
      <c r="B237" s="29"/>
      <c r="C237" s="30" t="str">
        <f>IFERROR(_xlfn.XLOOKUP(B237,Transporte[DESCRIPCION],Transporte[UND],,0),"")</f>
        <v/>
      </c>
      <c r="D237" s="31"/>
      <c r="E237" s="32" t="str">
        <f>IFERROR(_xlfn.XLOOKUP($B237,Transporte[DESCRIPCION],Transporte[VALOR],,0),"")</f>
        <v/>
      </c>
      <c r="F237" s="33"/>
      <c r="G237" s="34" t="str">
        <f>IFERROR(IF(F237&gt;=0,D237*E237*(1+F237/100),ABS(D237*E237/F237)),"")</f>
        <v/>
      </c>
      <c r="H237" s="43" t="str">
        <f>IFERROR(G237*E224,"")</f>
        <v/>
      </c>
    </row>
    <row r="238" spans="1:8">
      <c r="A238" s="28"/>
      <c r="B238" s="29"/>
      <c r="C238" s="30" t="str">
        <f>IFERROR(_xlfn.XLOOKUP(B238,Transporte[DESCRIPCION],Transporte[UND],,0),"")</f>
        <v/>
      </c>
      <c r="D238" s="31"/>
      <c r="E238" s="32" t="str">
        <f>IFERROR(_xlfn.XLOOKUP($B238,Transporte[DESCRIPCION],Transporte[VALOR],,0),"")</f>
        <v/>
      </c>
      <c r="F238" s="33"/>
      <c r="G238" s="34" t="str">
        <f>IFERROR(IF(F238&gt;=0,D238*E238*(1+F238/100),ABS(D238*E238/F238)),"")</f>
        <v/>
      </c>
      <c r="H238" s="43" t="str">
        <f>IFERROR(G238*E224,"")</f>
        <v/>
      </c>
    </row>
    <row r="239" spans="1:8">
      <c r="A239" s="21"/>
      <c r="B239" s="22" t="s">
        <v>3732</v>
      </c>
      <c r="C239" s="23"/>
      <c r="D239" s="24"/>
      <c r="E239" s="25"/>
      <c r="F239" s="26"/>
      <c r="G239" s="27">
        <f>SUM(G240:G242)</f>
        <v>10479.691696500002</v>
      </c>
      <c r="H239" s="44">
        <f>G239*E224</f>
        <v>0</v>
      </c>
    </row>
    <row r="240" spans="1:8">
      <c r="A240" s="28"/>
      <c r="B240" s="29" t="s">
        <v>3710</v>
      </c>
      <c r="C240" s="30" t="str">
        <f>IFERROR(_xlfn.XLOOKUP(B240,MObra[DESCRIPCION],MObra[UN],,0),"")</f>
        <v>día</v>
      </c>
      <c r="D240" s="31">
        <v>1</v>
      </c>
      <c r="E240" s="32">
        <f>IFERROR(_xlfn.XLOOKUP($B240,MObra[DESCRIPCION],MObra[VALOR UNIT],,0),"")</f>
        <v>314390.75089500006</v>
      </c>
      <c r="F240" s="33">
        <v>-30</v>
      </c>
      <c r="G240" s="34">
        <f>IFERROR(IF(F240&gt;=0,D240*E240*(1+F240/100),ABS(D240*E240/F240)),"")</f>
        <v>10479.691696500002</v>
      </c>
      <c r="H240" s="43">
        <f>IFERROR(G240*E224,"")</f>
        <v>0</v>
      </c>
    </row>
    <row r="241" spans="1:11">
      <c r="A241" s="28"/>
      <c r="B241" s="29"/>
      <c r="C241" s="30" t="str">
        <f t="array" ref="C241">IFERROR(_xlfn.XLOOKUP(B241,MObra[[#All],[DESCRIPCION]],MObra[[#All],[UN]],,0),"")</f>
        <v/>
      </c>
      <c r="D241" s="31"/>
      <c r="E241" s="32" t="str">
        <f>IFERROR(_xlfn.XLOOKUP($B241,MObra[DESCRIPCION],MObra[VALOR UNIT],,0),"")</f>
        <v/>
      </c>
      <c r="F241" s="33"/>
      <c r="G241" s="34" t="str">
        <f>IFERROR(IF(F241&gt;=0,D241*E241*(1+F241/100),ABS(D241*E241/F241)),"")</f>
        <v/>
      </c>
      <c r="H241" s="43" t="str">
        <f>IFERROR(G241*E224,"")</f>
        <v/>
      </c>
    </row>
    <row r="242" spans="1:11">
      <c r="A242" s="35"/>
      <c r="B242" s="36"/>
      <c r="C242" s="37" t="str">
        <f t="array" ref="C242">IFERROR(_xlfn.XLOOKUP(B242,MObra[[#All],[DESCRIPCION]],MObra[[#All],[UN]],,0),"")</f>
        <v/>
      </c>
      <c r="D242" s="38"/>
      <c r="E242" s="39" t="str">
        <f>IFERROR(_xlfn.XLOOKUP($B242,MObra[DESCRIPCION],MObra[VALOR UNIT],,0),"")</f>
        <v/>
      </c>
      <c r="F242" s="40"/>
      <c r="G242" s="41" t="str">
        <f>IFERROR(IF(F242&gt;=0,D242*E242*(1+F242/100),ABS(D242*E242/F242)),"")</f>
        <v/>
      </c>
      <c r="H242" s="42" t="str">
        <f>IFERROR(G242*E224,"")</f>
        <v/>
      </c>
    </row>
    <row r="244" spans="1:11">
      <c r="A244" s="6" t="s">
        <v>330</v>
      </c>
      <c r="B244" s="7" t="str">
        <f>VLOOKUP($A244,Presupuesto!$A:$D,2,FALSE())</f>
        <v>Fijación de tubería &lt;= 6" (incluye abrazadera metálica)</v>
      </c>
      <c r="C244" s="8" t="str">
        <f>VLOOKUP($A244,Presupuesto!$A:$D,3,FALSE())</f>
        <v>Un</v>
      </c>
      <c r="D244" s="9"/>
      <c r="E244" s="10">
        <f>VLOOKUP($A244,Presupuesto!$A:$D,4,FALSE())</f>
        <v>0</v>
      </c>
      <c r="F244" s="11" t="s">
        <v>2589</v>
      </c>
      <c r="G244" s="12">
        <f>SUM(G246:G262)/2</f>
        <v>40467.795450974998</v>
      </c>
      <c r="H244" s="13">
        <f>ROUND(SUM(H246:H262),0)/2</f>
        <v>0</v>
      </c>
      <c r="I244" s="10">
        <f>VLOOKUP(A244,Presupuesto!$A:$F,6,0)</f>
        <v>0</v>
      </c>
      <c r="J244" s="10">
        <f>+H244-I244</f>
        <v>0</v>
      </c>
      <c r="K244" s="46">
        <f>+H244-G244*E244</f>
        <v>0</v>
      </c>
    </row>
    <row r="245" spans="1:11">
      <c r="A245" s="14"/>
      <c r="B245" s="15" t="s">
        <v>2586</v>
      </c>
      <c r="C245" s="15" t="s">
        <v>5</v>
      </c>
      <c r="D245" s="16" t="s">
        <v>6</v>
      </c>
      <c r="E245" s="17" t="s">
        <v>7</v>
      </c>
      <c r="F245" s="18" t="s">
        <v>3728</v>
      </c>
      <c r="G245" s="19" t="s">
        <v>3729</v>
      </c>
      <c r="H245" s="20" t="s">
        <v>3797</v>
      </c>
    </row>
    <row r="246" spans="1:11">
      <c r="A246" s="21"/>
      <c r="B246" s="22" t="s">
        <v>3730</v>
      </c>
      <c r="C246" s="23"/>
      <c r="D246" s="24"/>
      <c r="E246" s="25"/>
      <c r="F246" s="26"/>
      <c r="G246" s="27">
        <f>SUM(G247:G251)</f>
        <v>28416.15</v>
      </c>
      <c r="H246" s="27">
        <f>IFERROR(G246*E244,"")</f>
        <v>0</v>
      </c>
    </row>
    <row r="247" spans="1:11">
      <c r="A247" s="28"/>
      <c r="B247" s="29" t="s">
        <v>2603</v>
      </c>
      <c r="C247" s="30" t="str">
        <f>IFERROR(_xlfn.XLOOKUP(B247,Insumo[DESCRIPCION],Insumo[UND],,0),"")</f>
        <v>Un</v>
      </c>
      <c r="D247" s="31">
        <v>1</v>
      </c>
      <c r="E247" s="32">
        <f>IFERROR(_xlfn.XLOOKUP($B247,Insumo[DESCRIPCION],Insumo[VALOR],,0),"")</f>
        <v>28416.15</v>
      </c>
      <c r="F247" s="33"/>
      <c r="G247" s="34">
        <f>IFERROR(IF(F247&gt;=0,D247*E247*(1+F247/100),ABS(D247*E247/F247)),"")</f>
        <v>28416.15</v>
      </c>
      <c r="H247" s="43">
        <f>IFERROR(G247*E244,"")</f>
        <v>0</v>
      </c>
    </row>
    <row r="248" spans="1:11">
      <c r="A248" s="28"/>
      <c r="B248" s="29"/>
      <c r="C248" s="30" t="str">
        <f>IFERROR(_xlfn.XLOOKUP(B248,Insumo[DESCRIPCION],Insumo[UND],,0),"")</f>
        <v/>
      </c>
      <c r="D248" s="31"/>
      <c r="E248" s="32" t="str">
        <f>IFERROR(_xlfn.XLOOKUP($B248,Insumo[DESCRIPCION],Insumo[VALOR],,0),"")</f>
        <v/>
      </c>
      <c r="F248" s="33"/>
      <c r="G248" s="34" t="str">
        <f>IFERROR(IF(F248&gt;=0,D248*E248*(1+F248/100),ABS(D248*E248/F248)),"")</f>
        <v/>
      </c>
      <c r="H248" s="43" t="str">
        <f>IFERROR(G248*E244,"")</f>
        <v/>
      </c>
    </row>
    <row r="249" spans="1:11">
      <c r="A249" s="28"/>
      <c r="B249" s="29"/>
      <c r="C249" s="30" t="str">
        <f>IFERROR(_xlfn.XLOOKUP(B249,Insumo[DESCRIPCION],Insumo[UND],,0),"")</f>
        <v/>
      </c>
      <c r="D249" s="31"/>
      <c r="E249" s="32" t="str">
        <f>IFERROR(_xlfn.XLOOKUP($B249,Insumo[DESCRIPCION],Insumo[VALOR],,0),"")</f>
        <v/>
      </c>
      <c r="F249" s="33"/>
      <c r="G249" s="34" t="str">
        <f>IFERROR(IF(F249&gt;=0,D249*E249*(1+F249/100),ABS(D249*E249/F249)),"")</f>
        <v/>
      </c>
      <c r="H249" s="43" t="str">
        <f>IFERROR(G249*E244,"")</f>
        <v/>
      </c>
    </row>
    <row r="250" spans="1:11">
      <c r="A250" s="28"/>
      <c r="B250" s="29"/>
      <c r="C250" s="30" t="str">
        <f>IFERROR(_xlfn.XLOOKUP(B250,Insumo[DESCRIPCION],Insumo[UND],,0),"")</f>
        <v/>
      </c>
      <c r="D250" s="31"/>
      <c r="E250" s="32" t="str">
        <f>IFERROR(_xlfn.XLOOKUP($B250,Insumo[DESCRIPCION],Insumo[VALOR],,0),"")</f>
        <v/>
      </c>
      <c r="F250" s="33"/>
      <c r="G250" s="34" t="str">
        <f>IFERROR(IF(F250&gt;=0,D250*E250*(1+F250/100),ABS(D250*E250/F250)),"")</f>
        <v/>
      </c>
      <c r="H250" s="43" t="str">
        <f>IFERROR(G250*E244,"")</f>
        <v/>
      </c>
    </row>
    <row r="251" spans="1:11">
      <c r="A251" s="28"/>
      <c r="B251" s="29"/>
      <c r="C251" s="30" t="str">
        <f>IFERROR(_xlfn.XLOOKUP(B251,Insumo[DESCRIPCION],Insumo[UND],,0),"")</f>
        <v/>
      </c>
      <c r="D251" s="31"/>
      <c r="E251" s="32" t="str">
        <f>IFERROR(_xlfn.XLOOKUP($B251,Insumo[DESCRIPCION],Insumo[VALOR],,0),"")</f>
        <v/>
      </c>
      <c r="F251" s="33"/>
      <c r="G251" s="34" t="str">
        <f>IFERROR(IF(F251&gt;=0,D251*E251*(1+F251/100),ABS(D251*E251/F251)),"")</f>
        <v/>
      </c>
      <c r="H251" s="43" t="str">
        <f>IFERROR(G251*E244,"")</f>
        <v/>
      </c>
    </row>
    <row r="252" spans="1:11">
      <c r="A252" s="21"/>
      <c r="B252" s="22" t="s">
        <v>3731</v>
      </c>
      <c r="C252" s="23"/>
      <c r="D252" s="24"/>
      <c r="E252" s="25"/>
      <c r="F252" s="26"/>
      <c r="G252" s="27">
        <f>SUM(G253:G255)</f>
        <v>1571.9537544750001</v>
      </c>
      <c r="H252" s="44">
        <f>G252*E244</f>
        <v>0</v>
      </c>
    </row>
    <row r="253" spans="1:11">
      <c r="A253" s="28"/>
      <c r="B253" s="29" t="s">
        <v>3573</v>
      </c>
      <c r="C253" s="30" t="str">
        <f>IFERROR(_xlfn.XLOOKUP(B253,Equipo[DESCRIPCION],Equipo[UND],,0),"")</f>
        <v>%MO</v>
      </c>
      <c r="D253" s="31">
        <v>0.1</v>
      </c>
      <c r="E253" s="32">
        <f>IF(C253="%MO",G259,IFERROR(_xlfn.XLOOKUP($B253,Equipo[DESCRIPCION],Equipo[VALOR],,0),""))</f>
        <v>10479.691696500002</v>
      </c>
      <c r="F253" s="33"/>
      <c r="G253" s="34">
        <f>IFERROR(IF(F253&gt;=0,D253*E253*(1+F253/100),ABS(D253*E253/F253)),"")</f>
        <v>1047.9691696500001</v>
      </c>
      <c r="H253" s="43">
        <f>IFERROR(G253*E244,"")</f>
        <v>0</v>
      </c>
    </row>
    <row r="254" spans="1:11">
      <c r="A254" s="28"/>
      <c r="B254" s="29" t="s">
        <v>3626</v>
      </c>
      <c r="C254" s="30" t="str">
        <f>IFERROR(_xlfn.XLOOKUP(B254,Equipo[DESCRIPCION],Equipo[UND],,0),"")</f>
        <v>%MO</v>
      </c>
      <c r="D254" s="31">
        <v>0.05</v>
      </c>
      <c r="E254" s="32">
        <f>IF(C254="%MO",G259,IFERROR(_xlfn.XLOOKUP($B254,Equipo[DESCRIPCION],Equipo[VALOR],,0),""))</f>
        <v>10479.691696500002</v>
      </c>
      <c r="F254" s="33"/>
      <c r="G254" s="34">
        <f>IFERROR(IF(F254&gt;=0,D254*E254*(1+F254/100),ABS(D254*E254/F254)),"")</f>
        <v>523.98458482500007</v>
      </c>
      <c r="H254" s="43">
        <f>IFERROR(G254*E244,"")</f>
        <v>0</v>
      </c>
    </row>
    <row r="255" spans="1:11">
      <c r="A255" s="28"/>
      <c r="B255" s="29"/>
      <c r="C255" s="30" t="str">
        <f>IFERROR(_xlfn.XLOOKUP(B255,Equipo[DESCRIPCION],Equipo[UND],,0),"")</f>
        <v/>
      </c>
      <c r="D255" s="31"/>
      <c r="E255" s="32" t="str">
        <f>IF(C255="%MO",G259,IFERROR(_xlfn.XLOOKUP($B255,Equipo[DESCRIPCION],Equipo[VALOR],,0),""))</f>
        <v/>
      </c>
      <c r="F255" s="33"/>
      <c r="G255" s="34" t="str">
        <f>IFERROR(IF(F255&gt;=0,D255*E255*(1+F255/100),ABS(D255*E255/F255)),"")</f>
        <v/>
      </c>
      <c r="H255" s="43" t="str">
        <f>IFERROR(G255*E244,"")</f>
        <v/>
      </c>
    </row>
    <row r="256" spans="1:11">
      <c r="A256" s="21"/>
      <c r="B256" s="22" t="s">
        <v>2533</v>
      </c>
      <c r="C256" s="23"/>
      <c r="D256" s="24"/>
      <c r="E256" s="25"/>
      <c r="F256" s="26"/>
      <c r="G256" s="27">
        <f>SUM(G257:G258)</f>
        <v>0</v>
      </c>
      <c r="H256" s="44">
        <f>G256*E244</f>
        <v>0</v>
      </c>
    </row>
    <row r="257" spans="1:11">
      <c r="A257" s="28"/>
      <c r="B257" s="29"/>
      <c r="C257" s="30" t="str">
        <f>IFERROR(_xlfn.XLOOKUP(B257,Transporte[DESCRIPCION],Transporte[UND],,0),"")</f>
        <v/>
      </c>
      <c r="D257" s="31"/>
      <c r="E257" s="32" t="str">
        <f>IFERROR(_xlfn.XLOOKUP($B257,Transporte[DESCRIPCION],Transporte[VALOR],,0),"")</f>
        <v/>
      </c>
      <c r="F257" s="33"/>
      <c r="G257" s="34" t="str">
        <f>IFERROR(IF(F257&gt;=0,D257*E257*(1+F257/100),ABS(D257*E257/F257)),"")</f>
        <v/>
      </c>
      <c r="H257" s="43" t="str">
        <f>IFERROR(G257*E244,"")</f>
        <v/>
      </c>
    </row>
    <row r="258" spans="1:11">
      <c r="A258" s="28"/>
      <c r="B258" s="29"/>
      <c r="C258" s="30" t="str">
        <f>IFERROR(_xlfn.XLOOKUP(B258,Transporte[DESCRIPCION],Transporte[UND],,0),"")</f>
        <v/>
      </c>
      <c r="D258" s="31"/>
      <c r="E258" s="32" t="str">
        <f>IFERROR(_xlfn.XLOOKUP($B258,Transporte[DESCRIPCION],Transporte[VALOR],,0),"")</f>
        <v/>
      </c>
      <c r="F258" s="33"/>
      <c r="G258" s="34" t="str">
        <f>IFERROR(IF(F258&gt;=0,D258*E258*(1+F258/100),ABS(D258*E258/F258)),"")</f>
        <v/>
      </c>
      <c r="H258" s="43" t="str">
        <f>IFERROR(G258*E244,"")</f>
        <v/>
      </c>
    </row>
    <row r="259" spans="1:11">
      <c r="A259" s="21"/>
      <c r="B259" s="22" t="s">
        <v>3732</v>
      </c>
      <c r="C259" s="23"/>
      <c r="D259" s="24"/>
      <c r="E259" s="25"/>
      <c r="F259" s="26"/>
      <c r="G259" s="27">
        <f>SUM(G260:G262)</f>
        <v>10479.691696500002</v>
      </c>
      <c r="H259" s="44">
        <f>G259*E244</f>
        <v>0</v>
      </c>
    </row>
    <row r="260" spans="1:11">
      <c r="A260" s="28"/>
      <c r="B260" s="29" t="s">
        <v>3710</v>
      </c>
      <c r="C260" s="30" t="str">
        <f>IFERROR(_xlfn.XLOOKUP(B260,MObra[DESCRIPCION],MObra[UN],,0),"")</f>
        <v>día</v>
      </c>
      <c r="D260" s="31">
        <v>1</v>
      </c>
      <c r="E260" s="32">
        <f>IFERROR(_xlfn.XLOOKUP($B260,MObra[DESCRIPCION],MObra[VALOR UNIT],,0),"")</f>
        <v>314390.75089500006</v>
      </c>
      <c r="F260" s="33">
        <v>-30</v>
      </c>
      <c r="G260" s="34">
        <f>IFERROR(IF(F260&gt;=0,D260*E260*(1+F260/100),ABS(D260*E260/F260)),"")</f>
        <v>10479.691696500002</v>
      </c>
      <c r="H260" s="43">
        <f>IFERROR(G260*E244,"")</f>
        <v>0</v>
      </c>
    </row>
    <row r="261" spans="1:11">
      <c r="A261" s="28"/>
      <c r="B261" s="29"/>
      <c r="C261" s="30" t="str">
        <f t="array" ref="C261">IFERROR(_xlfn.XLOOKUP(B261,MObra[[#All],[DESCRIPCION]],MObra[[#All],[UN]],,0),"")</f>
        <v/>
      </c>
      <c r="D261" s="31"/>
      <c r="E261" s="32" t="str">
        <f>IFERROR(_xlfn.XLOOKUP($B261,MObra[DESCRIPCION],MObra[VALOR UNIT],,0),"")</f>
        <v/>
      </c>
      <c r="F261" s="33"/>
      <c r="G261" s="34" t="str">
        <f>IFERROR(IF(F261&gt;=0,D261*E261*(1+F261/100),ABS(D261*E261/F261)),"")</f>
        <v/>
      </c>
      <c r="H261" s="43" t="str">
        <f>IFERROR(G261*E244,"")</f>
        <v/>
      </c>
    </row>
    <row r="262" spans="1:11">
      <c r="A262" s="35"/>
      <c r="B262" s="36"/>
      <c r="C262" s="37" t="str">
        <f t="array" ref="C262">IFERROR(_xlfn.XLOOKUP(B262,MObra[[#All],[DESCRIPCION]],MObra[[#All],[UN]],,0),"")</f>
        <v/>
      </c>
      <c r="D262" s="38"/>
      <c r="E262" s="39" t="str">
        <f>IFERROR(_xlfn.XLOOKUP($B262,MObra[DESCRIPCION],MObra[VALOR UNIT],,0),"")</f>
        <v/>
      </c>
      <c r="F262" s="40"/>
      <c r="G262" s="41" t="str">
        <f>IFERROR(IF(F262&gt;=0,D262*E262*(1+F262/100),ABS(D262*E262/F262)),"")</f>
        <v/>
      </c>
      <c r="H262" s="42" t="str">
        <f>IFERROR(G262*E244,"")</f>
        <v/>
      </c>
    </row>
    <row r="264" spans="1:11">
      <c r="A264" s="6" t="s">
        <v>332</v>
      </c>
      <c r="B264" s="7" t="str">
        <f>VLOOKUP($A264,Presupuesto!$A:$D,2,FALSE())</f>
        <v>Reparación caja domiciliaria área neta 0.6x0.6 + tapa</v>
      </c>
      <c r="C264" s="8" t="str">
        <f>VLOOKUP($A264,Presupuesto!$A:$D,3,FALSE())</f>
        <v>Un</v>
      </c>
      <c r="D264" s="9"/>
      <c r="E264" s="10">
        <f>VLOOKUP($A264,Presupuesto!$A:$D,4,FALSE())</f>
        <v>0</v>
      </c>
      <c r="F264" s="11" t="s">
        <v>2589</v>
      </c>
      <c r="G264" s="12">
        <f>SUM(G266:G282)/2</f>
        <v>128025.85791571245</v>
      </c>
      <c r="H264" s="13">
        <f>ROUND(SUM(H266:H282),0)/2</f>
        <v>0</v>
      </c>
      <c r="I264" s="10">
        <f>VLOOKUP(A264,Presupuesto!$A:$F,6,0)</f>
        <v>0</v>
      </c>
      <c r="J264" s="10">
        <f>+H264-I264</f>
        <v>0</v>
      </c>
      <c r="K264" s="46">
        <f>+H264-G264*E264</f>
        <v>0</v>
      </c>
    </row>
    <row r="265" spans="1:11">
      <c r="A265" s="14"/>
      <c r="B265" s="15" t="s">
        <v>2586</v>
      </c>
      <c r="C265" s="15" t="s">
        <v>5</v>
      </c>
      <c r="D265" s="16" t="s">
        <v>6</v>
      </c>
      <c r="E265" s="17" t="s">
        <v>7</v>
      </c>
      <c r="F265" s="18" t="s">
        <v>3728</v>
      </c>
      <c r="G265" s="19" t="s">
        <v>3729</v>
      </c>
      <c r="H265" s="20" t="s">
        <v>3797</v>
      </c>
    </row>
    <row r="266" spans="1:11">
      <c r="A266" s="21"/>
      <c r="B266" s="22" t="s">
        <v>3730</v>
      </c>
      <c r="C266" s="23"/>
      <c r="D266" s="24"/>
      <c r="E266" s="25"/>
      <c r="F266" s="26"/>
      <c r="G266" s="27">
        <f>SUM(G267:G271)</f>
        <v>62003.800227762425</v>
      </c>
      <c r="H266" s="27">
        <f>IFERROR(G266*E264,"")</f>
        <v>0</v>
      </c>
    </row>
    <row r="267" spans="1:11">
      <c r="A267" s="28"/>
      <c r="B267" s="29" t="s">
        <v>3239</v>
      </c>
      <c r="C267" s="30" t="str">
        <f>IFERROR(_xlfn.XLOOKUP(B267,Insumo[DESCRIPCION],Insumo[UND],,0),"")</f>
        <v>M3</v>
      </c>
      <c r="D267" s="31">
        <v>0.1</v>
      </c>
      <c r="E267" s="32">
        <f>IFERROR(_xlfn.XLOOKUP($B267,Insumo[DESCRIPCION],Insumo[VALOR],,0),"")</f>
        <v>521159.50227762427</v>
      </c>
      <c r="F267" s="33"/>
      <c r="G267" s="34">
        <f>IFERROR(IF(F267&gt;=0,D267*E267*(1+F267/100),ABS(D267*E267/F267)),"")</f>
        <v>52115.950227762427</v>
      </c>
      <c r="H267" s="43">
        <f>IFERROR(G267*E264,"")</f>
        <v>0</v>
      </c>
    </row>
    <row r="268" spans="1:11">
      <c r="A268" s="28"/>
      <c r="B268" s="29" t="s">
        <v>2955</v>
      </c>
      <c r="C268" s="30" t="str">
        <f>IFERROR(_xlfn.XLOOKUP(B268,Insumo[DESCRIPCION],Insumo[UND],,0),"")</f>
        <v>M</v>
      </c>
      <c r="D268" s="31">
        <v>1</v>
      </c>
      <c r="E268" s="32">
        <f>IFERROR(_xlfn.XLOOKUP($B268,Insumo[DESCRIPCION],Insumo[VALOR],,0),"")</f>
        <v>9887.85</v>
      </c>
      <c r="F268" s="33"/>
      <c r="G268" s="34">
        <f>IFERROR(IF(F268&gt;=0,D268*E268*(1+F268/100),ABS(D268*E268/F268)),"")</f>
        <v>9887.85</v>
      </c>
      <c r="H268" s="43">
        <f>IFERROR(G268*E264,"")</f>
        <v>0</v>
      </c>
    </row>
    <row r="269" spans="1:11">
      <c r="A269" s="28"/>
      <c r="B269" s="29"/>
      <c r="C269" s="30" t="str">
        <f>IFERROR(_xlfn.XLOOKUP(B269,Insumo[DESCRIPCION],Insumo[UND],,0),"")</f>
        <v/>
      </c>
      <c r="D269" s="31"/>
      <c r="E269" s="32" t="str">
        <f>IFERROR(_xlfn.XLOOKUP($B269,Insumo[DESCRIPCION],Insumo[VALOR],,0),"")</f>
        <v/>
      </c>
      <c r="F269" s="33"/>
      <c r="G269" s="34" t="str">
        <f>IFERROR(IF(F269&gt;=0,D269*E269*(1+F269/100),ABS(D269*E269/F269)),"")</f>
        <v/>
      </c>
      <c r="H269" s="43" t="str">
        <f>IFERROR(G269*E264,"")</f>
        <v/>
      </c>
    </row>
    <row r="270" spans="1:11">
      <c r="A270" s="28"/>
      <c r="B270" s="29"/>
      <c r="C270" s="30" t="str">
        <f>IFERROR(_xlfn.XLOOKUP(B270,Insumo[DESCRIPCION],Insumo[UND],,0),"")</f>
        <v/>
      </c>
      <c r="D270" s="31"/>
      <c r="E270" s="32" t="str">
        <f>IFERROR(_xlfn.XLOOKUP($B270,Insumo[DESCRIPCION],Insumo[VALOR],,0),"")</f>
        <v/>
      </c>
      <c r="F270" s="33"/>
      <c r="G270" s="34" t="str">
        <f>IFERROR(IF(F270&gt;=0,D270*E270*(1+F270/100),ABS(D270*E270/F270)),"")</f>
        <v/>
      </c>
      <c r="H270" s="43" t="str">
        <f>IFERROR(G270*E264,"")</f>
        <v/>
      </c>
    </row>
    <row r="271" spans="1:11">
      <c r="A271" s="28"/>
      <c r="B271" s="29"/>
      <c r="C271" s="30" t="str">
        <f>IFERROR(_xlfn.XLOOKUP(B271,Insumo[DESCRIPCION],Insumo[UND],,0),"")</f>
        <v/>
      </c>
      <c r="D271" s="31"/>
      <c r="E271" s="32" t="str">
        <f>IFERROR(_xlfn.XLOOKUP($B271,Insumo[DESCRIPCION],Insumo[VALOR],,0),"")</f>
        <v/>
      </c>
      <c r="F271" s="33"/>
      <c r="G271" s="34" t="str">
        <f>IFERROR(IF(F271&gt;=0,D271*E271*(1+F271/100),ABS(D271*E271/F271)),"")</f>
        <v/>
      </c>
      <c r="H271" s="43" t="str">
        <f>IFERROR(G271*E264,"")</f>
        <v/>
      </c>
    </row>
    <row r="272" spans="1:11">
      <c r="A272" s="21"/>
      <c r="B272" s="22" t="s">
        <v>3731</v>
      </c>
      <c r="C272" s="23"/>
      <c r="D272" s="24"/>
      <c r="E272" s="25"/>
      <c r="F272" s="26"/>
      <c r="G272" s="27">
        <f>SUM(G273:G275)</f>
        <v>3143.9075089500006</v>
      </c>
      <c r="H272" s="44">
        <f>G272*E264</f>
        <v>0</v>
      </c>
    </row>
    <row r="273" spans="1:11">
      <c r="A273" s="28"/>
      <c r="B273" s="29" t="s">
        <v>3626</v>
      </c>
      <c r="C273" s="30" t="str">
        <f>IFERROR(_xlfn.XLOOKUP(B273,Equipo[DESCRIPCION],Equipo[UND],,0),"")</f>
        <v>%MO</v>
      </c>
      <c r="D273" s="31">
        <v>0.05</v>
      </c>
      <c r="E273" s="32">
        <f>IF(C273="%MO",G279,IFERROR(_xlfn.XLOOKUP($B273,Equipo[DESCRIPCION],Equipo[VALOR],,0),""))</f>
        <v>62878.150179000011</v>
      </c>
      <c r="F273" s="33"/>
      <c r="G273" s="34">
        <f>IFERROR(IF(F273&gt;=0,D273*E273*(1+F273/100),ABS(D273*E273/F273)),"")</f>
        <v>3143.9075089500006</v>
      </c>
      <c r="H273" s="43">
        <f>IFERROR(G273*E264,"")</f>
        <v>0</v>
      </c>
    </row>
    <row r="274" spans="1:11">
      <c r="A274" s="28"/>
      <c r="B274" s="29"/>
      <c r="C274" s="30" t="str">
        <f>IFERROR(_xlfn.XLOOKUP(B274,Equipo[DESCRIPCION],Equipo[UND],,0),"")</f>
        <v/>
      </c>
      <c r="D274" s="31"/>
      <c r="E274" s="32" t="str">
        <f>IF(C274="%MO",G279,IFERROR(_xlfn.XLOOKUP($B274,Equipo[DESCRIPCION],Equipo[VALOR],,0),""))</f>
        <v/>
      </c>
      <c r="F274" s="33"/>
      <c r="G274" s="34" t="str">
        <f>IFERROR(IF(F274&gt;=0,D274*E274*(1+F274/100),ABS(D274*E274/F274)),"")</f>
        <v/>
      </c>
      <c r="H274" s="43" t="str">
        <f>IFERROR(G274*E264,"")</f>
        <v/>
      </c>
    </row>
    <row r="275" spans="1:11">
      <c r="A275" s="28"/>
      <c r="B275" s="29"/>
      <c r="C275" s="30" t="str">
        <f>IFERROR(_xlfn.XLOOKUP(B275,Equipo[DESCRIPCION],Equipo[UND],,0),"")</f>
        <v/>
      </c>
      <c r="D275" s="31"/>
      <c r="E275" s="32" t="str">
        <f>IF(C275="%MO",G279,IFERROR(_xlfn.XLOOKUP($B275,Equipo[DESCRIPCION],Equipo[VALOR],,0),""))</f>
        <v/>
      </c>
      <c r="F275" s="33"/>
      <c r="G275" s="34" t="str">
        <f>IFERROR(IF(F275&gt;=0,D275*E275*(1+F275/100),ABS(D275*E275/F275)),"")</f>
        <v/>
      </c>
      <c r="H275" s="43" t="str">
        <f>IFERROR(G275*E264,"")</f>
        <v/>
      </c>
    </row>
    <row r="276" spans="1:11">
      <c r="A276" s="21"/>
      <c r="B276" s="22" t="s">
        <v>2533</v>
      </c>
      <c r="C276" s="23"/>
      <c r="D276" s="24"/>
      <c r="E276" s="25"/>
      <c r="F276" s="26"/>
      <c r="G276" s="27">
        <f>SUM(G277:G278)</f>
        <v>0</v>
      </c>
      <c r="H276" s="44">
        <f>G276*E264</f>
        <v>0</v>
      </c>
    </row>
    <row r="277" spans="1:11">
      <c r="A277" s="28"/>
      <c r="B277" s="29"/>
      <c r="C277" s="30" t="str">
        <f>IFERROR(_xlfn.XLOOKUP(B277,Transporte[DESCRIPCION],Transporte[UND],,0),"")</f>
        <v/>
      </c>
      <c r="D277" s="31"/>
      <c r="E277" s="32" t="str">
        <f>IFERROR(_xlfn.XLOOKUP($B277,Transporte[DESCRIPCION],Transporte[VALOR],,0),"")</f>
        <v/>
      </c>
      <c r="F277" s="33"/>
      <c r="G277" s="34" t="str">
        <f>IFERROR(IF(F277&gt;=0,D277*E277*(1+F277/100),ABS(D277*E277/F277)),"")</f>
        <v/>
      </c>
      <c r="H277" s="43" t="str">
        <f>IFERROR(G277*E264,"")</f>
        <v/>
      </c>
    </row>
    <row r="278" spans="1:11">
      <c r="A278" s="28"/>
      <c r="B278" s="29"/>
      <c r="C278" s="30" t="str">
        <f>IFERROR(_xlfn.XLOOKUP(B278,Transporte[DESCRIPCION],Transporte[UND],,0),"")</f>
        <v/>
      </c>
      <c r="D278" s="31"/>
      <c r="E278" s="32" t="str">
        <f>IFERROR(_xlfn.XLOOKUP($B278,Transporte[DESCRIPCION],Transporte[VALOR],,0),"")</f>
        <v/>
      </c>
      <c r="F278" s="33"/>
      <c r="G278" s="34" t="str">
        <f>IFERROR(IF(F278&gt;=0,D278*E278*(1+F278/100),ABS(D278*E278/F278)),"")</f>
        <v/>
      </c>
      <c r="H278" s="43" t="str">
        <f>IFERROR(G278*E264,"")</f>
        <v/>
      </c>
    </row>
    <row r="279" spans="1:11">
      <c r="A279" s="21"/>
      <c r="B279" s="22" t="s">
        <v>3732</v>
      </c>
      <c r="C279" s="23"/>
      <c r="D279" s="24"/>
      <c r="E279" s="25"/>
      <c r="F279" s="26"/>
      <c r="G279" s="27">
        <f>SUM(G280:G282)</f>
        <v>62878.150179000011</v>
      </c>
      <c r="H279" s="44">
        <f>G279*E264</f>
        <v>0</v>
      </c>
    </row>
    <row r="280" spans="1:11">
      <c r="A280" s="28"/>
      <c r="B280" s="29" t="s">
        <v>3710</v>
      </c>
      <c r="C280" s="30" t="str">
        <f>IFERROR(_xlfn.XLOOKUP(B280,MObra[DESCRIPCION],MObra[UN],,0),"")</f>
        <v>día</v>
      </c>
      <c r="D280" s="31">
        <v>1</v>
      </c>
      <c r="E280" s="32">
        <f>IFERROR(_xlfn.XLOOKUP($B280,MObra[DESCRIPCION],MObra[VALOR UNIT],,0),"")</f>
        <v>314390.75089500006</v>
      </c>
      <c r="F280" s="33">
        <v>-5</v>
      </c>
      <c r="G280" s="34">
        <f>IFERROR(IF(F280&gt;=0,D280*E280*(1+F280/100),ABS(D280*E280/F280)),"")</f>
        <v>62878.150179000011</v>
      </c>
      <c r="H280" s="43">
        <f>IFERROR(G280*E264,"")</f>
        <v>0</v>
      </c>
    </row>
    <row r="281" spans="1:11">
      <c r="A281" s="28"/>
      <c r="B281" s="29"/>
      <c r="C281" s="30" t="str">
        <f t="array" ref="C281">IFERROR(_xlfn.XLOOKUP(B281,MObra[[#All],[DESCRIPCION]],MObra[[#All],[UN]],,0),"")</f>
        <v/>
      </c>
      <c r="D281" s="31"/>
      <c r="E281" s="32" t="str">
        <f>IFERROR(_xlfn.XLOOKUP($B281,MObra[DESCRIPCION],MObra[VALOR UNIT],,0),"")</f>
        <v/>
      </c>
      <c r="F281" s="33"/>
      <c r="G281" s="34" t="str">
        <f>IFERROR(IF(F281&gt;=0,D281*E281*(1+F281/100),ABS(D281*E281/F281)),"")</f>
        <v/>
      </c>
      <c r="H281" s="43" t="str">
        <f>IFERROR(G281*E264,"")</f>
        <v/>
      </c>
    </row>
    <row r="282" spans="1:11">
      <c r="A282" s="35"/>
      <c r="B282" s="36"/>
      <c r="C282" s="37" t="str">
        <f t="array" ref="C282">IFERROR(_xlfn.XLOOKUP(B282,MObra[[#All],[DESCRIPCION]],MObra[[#All],[UN]],,0),"")</f>
        <v/>
      </c>
      <c r="D282" s="38"/>
      <c r="E282" s="39" t="str">
        <f>IFERROR(_xlfn.XLOOKUP($B282,MObra[DESCRIPCION],MObra[VALOR UNIT],,0),"")</f>
        <v/>
      </c>
      <c r="F282" s="40"/>
      <c r="G282" s="41" t="str">
        <f>IFERROR(IF(F282&gt;=0,D282*E282*(1+F282/100),ABS(D282*E282/F282)),"")</f>
        <v/>
      </c>
      <c r="H282" s="42" t="str">
        <f>IFERROR(G282*E264,"")</f>
        <v/>
      </c>
    </row>
    <row r="283" spans="1:11" ht="13.5" thickTop="1" thickBot="1"/>
    <row r="284" spans="1:11" ht="12.75" customHeight="1" thickTop="1" thickBot="1">
      <c r="A284" s="6" t="s">
        <v>336</v>
      </c>
      <c r="B284" s="7" t="str">
        <f>VLOOKUP($A284,Presupuesto!$A:$D,2,FALSE())</f>
        <v>Acero de refuerzo 420 Mpa</v>
      </c>
      <c r="C284" s="8" t="str">
        <f>VLOOKUP($A284,Presupuesto!$A:$D,3,FALSE())</f>
        <v>Kg</v>
      </c>
      <c r="D284" s="9"/>
      <c r="E284" s="10">
        <f>VLOOKUP($A284,Presupuesto!$A:$D,4,FALSE())</f>
        <v>0</v>
      </c>
      <c r="F284" s="11" t="s">
        <v>2589</v>
      </c>
      <c r="G284" s="12">
        <f>SUM(G286:G302)/2</f>
        <v>9339.8605776857148</v>
      </c>
      <c r="H284" s="13">
        <f>ROUND(SUM(H286:H302),0)/2</f>
        <v>0</v>
      </c>
      <c r="I284" s="10">
        <f>VLOOKUP(A284,Presupuesto!$A:$F,6,0)</f>
        <v>0</v>
      </c>
      <c r="J284" s="10">
        <f>+H284-I284</f>
        <v>0</v>
      </c>
      <c r="K284" s="46">
        <f>+H284-G284*E284</f>
        <v>0</v>
      </c>
    </row>
    <row r="285" spans="1:11" ht="12.75" customHeight="1" thickTop="1">
      <c r="A285" s="14"/>
      <c r="B285" s="15" t="s">
        <v>2586</v>
      </c>
      <c r="C285" s="15" t="s">
        <v>5</v>
      </c>
      <c r="D285" s="16" t="s">
        <v>6</v>
      </c>
      <c r="E285" s="17" t="s">
        <v>7</v>
      </c>
      <c r="F285" s="18" t="s">
        <v>3728</v>
      </c>
      <c r="G285" s="19" t="s">
        <v>3729</v>
      </c>
      <c r="H285" s="20" t="s">
        <v>3797</v>
      </c>
    </row>
    <row r="286" spans="1:11" ht="12.75" customHeight="1">
      <c r="A286" s="21"/>
      <c r="B286" s="22" t="s">
        <v>3730</v>
      </c>
      <c r="C286" s="23"/>
      <c r="D286" s="24"/>
      <c r="E286" s="25"/>
      <c r="F286" s="26"/>
      <c r="G286" s="27">
        <f>SUM(G287:G291)</f>
        <v>6212.5875000000005</v>
      </c>
      <c r="H286" s="27">
        <f>IFERROR(G286*E284,"")</f>
        <v>0</v>
      </c>
    </row>
    <row r="287" spans="1:11" ht="12.75" customHeight="1">
      <c r="A287" s="28"/>
      <c r="B287" s="29" t="s">
        <v>2653</v>
      </c>
      <c r="C287" s="30" t="str">
        <f>IFERROR(_xlfn.XLOOKUP(B287,Insumo[DESCRIPCION],Insumo[UND],,0),"")</f>
        <v>Kg</v>
      </c>
      <c r="D287" s="31">
        <v>1</v>
      </c>
      <c r="E287" s="32">
        <f>IFERROR(_xlfn.XLOOKUP($B287,Insumo[DESCRIPCION],Insumo[VALOR],,0),"")</f>
        <v>5686.8</v>
      </c>
      <c r="F287" s="33">
        <v>5</v>
      </c>
      <c r="G287" s="34">
        <f>IFERROR(IF(F287&gt;=0,D287*E287*(1+F287/100),ABS(D287*E287/F287)),"")</f>
        <v>5971.14</v>
      </c>
      <c r="H287" s="43">
        <f>IFERROR(G287*E284,"")</f>
        <v>0</v>
      </c>
    </row>
    <row r="288" spans="1:11" ht="12.75" customHeight="1">
      <c r="A288" s="28"/>
      <c r="B288" s="29" t="s">
        <v>2699</v>
      </c>
      <c r="C288" s="30" t="str">
        <f>IFERROR(_xlfn.XLOOKUP(B288,Insumo[DESCRIPCION],Insumo[UND],,0),"")</f>
        <v>Kg</v>
      </c>
      <c r="D288" s="31">
        <v>0.03</v>
      </c>
      <c r="E288" s="32">
        <f>IFERROR(_xlfn.XLOOKUP($B288,Insumo[DESCRIPCION],Insumo[VALOR],,0),"")</f>
        <v>7665</v>
      </c>
      <c r="F288" s="33">
        <v>5</v>
      </c>
      <c r="G288" s="34">
        <f>IFERROR(IF(F288&gt;=0,D288*E288*(1+F288/100),ABS(D288*E288/F288)),"")</f>
        <v>241.44749999999999</v>
      </c>
      <c r="H288" s="43">
        <f>IFERROR(G288*E284,"")</f>
        <v>0</v>
      </c>
    </row>
    <row r="289" spans="1:11" ht="12.75" customHeight="1">
      <c r="A289" s="28"/>
      <c r="B289" s="29"/>
      <c r="C289" s="30" t="str">
        <f>IFERROR(_xlfn.XLOOKUP(B289,Insumo[DESCRIPCION],Insumo[UND],,0),"")</f>
        <v/>
      </c>
      <c r="D289" s="31"/>
      <c r="E289" s="32" t="str">
        <f>IFERROR(_xlfn.XLOOKUP($B289,Insumo[DESCRIPCION],Insumo[VALOR],,0),"")</f>
        <v/>
      </c>
      <c r="F289" s="33"/>
      <c r="G289" s="34" t="str">
        <f>IFERROR(IF(F289&gt;=0,D289*E289*(1+F289/100),ABS(D289*E289/F289)),"")</f>
        <v/>
      </c>
      <c r="H289" s="43" t="str">
        <f>IFERROR(G289*E284,"")</f>
        <v/>
      </c>
    </row>
    <row r="290" spans="1:11" ht="12.75" customHeight="1">
      <c r="A290" s="28"/>
      <c r="B290" s="29"/>
      <c r="C290" s="30" t="str">
        <f>IFERROR(_xlfn.XLOOKUP(B290,Insumo[DESCRIPCION],Insumo[UND],,0),"")</f>
        <v/>
      </c>
      <c r="D290" s="31"/>
      <c r="E290" s="32" t="str">
        <f>IFERROR(_xlfn.XLOOKUP($B290,Insumo[DESCRIPCION],Insumo[VALOR],,0),"")</f>
        <v/>
      </c>
      <c r="F290" s="33"/>
      <c r="G290" s="34" t="str">
        <f>IFERROR(IF(F290&gt;=0,D290*E290*(1+F290/100),ABS(D290*E290/F290)),"")</f>
        <v/>
      </c>
      <c r="H290" s="43" t="str">
        <f>IFERROR(G290*E284,"")</f>
        <v/>
      </c>
    </row>
    <row r="291" spans="1:11" ht="12.75" customHeight="1">
      <c r="A291" s="28"/>
      <c r="B291" s="29"/>
      <c r="C291" s="30" t="str">
        <f>IFERROR(_xlfn.XLOOKUP(B291,Insumo[DESCRIPCION],Insumo[UND],,0),"")</f>
        <v/>
      </c>
      <c r="D291" s="31"/>
      <c r="E291" s="32" t="str">
        <f>IFERROR(_xlfn.XLOOKUP($B291,Insumo[DESCRIPCION],Insumo[VALOR],,0),"")</f>
        <v/>
      </c>
      <c r="F291" s="33"/>
      <c r="G291" s="34" t="str">
        <f>IFERROR(IF(F291&gt;=0,D291*E291*(1+F291/100),ABS(D291*E291/F291)),"")</f>
        <v/>
      </c>
      <c r="H291" s="43" t="str">
        <f>IFERROR(G291*E284,"")</f>
        <v/>
      </c>
    </row>
    <row r="292" spans="1:11" ht="12.75" customHeight="1">
      <c r="A292" s="21"/>
      <c r="B292" s="22" t="s">
        <v>3731</v>
      </c>
      <c r="C292" s="23"/>
      <c r="D292" s="24"/>
      <c r="E292" s="25"/>
      <c r="F292" s="26"/>
      <c r="G292" s="27">
        <f>SUM(G293:G295)</f>
        <v>0</v>
      </c>
      <c r="H292" s="44">
        <f>G292*E284</f>
        <v>0</v>
      </c>
    </row>
    <row r="293" spans="1:11" ht="12.75" customHeight="1">
      <c r="A293" s="28"/>
      <c r="B293" s="29"/>
      <c r="C293" s="30" t="str">
        <f>IFERROR(_xlfn.XLOOKUP(B293,Equipo[DESCRIPCION],Equipo[UND],,0),"")</f>
        <v/>
      </c>
      <c r="D293" s="31"/>
      <c r="E293" s="32" t="str">
        <f>IF(C293="%MO",G299,IFERROR(_xlfn.XLOOKUP($B293,Equipo[DESCRIPCION],Equipo[VALOR],,0),""))</f>
        <v/>
      </c>
      <c r="F293" s="33"/>
      <c r="G293" s="34" t="str">
        <f>IFERROR(IF(F293&gt;=0,D293*E293*(1+F293/100),ABS(D293*E293/F293)),"")</f>
        <v/>
      </c>
      <c r="H293" s="43" t="str">
        <f>IFERROR(G293*E284,"")</f>
        <v/>
      </c>
    </row>
    <row r="294" spans="1:11" ht="12.75" customHeight="1">
      <c r="A294" s="28"/>
      <c r="B294" s="29"/>
      <c r="C294" s="30" t="str">
        <f>IFERROR(_xlfn.XLOOKUP(B294,Equipo[DESCRIPCION],Equipo[UND],,0),"")</f>
        <v/>
      </c>
      <c r="D294" s="31"/>
      <c r="E294" s="32" t="str">
        <f>IF(C294="%MO",G299,IFERROR(_xlfn.XLOOKUP($B294,Equipo[DESCRIPCION],Equipo[VALOR],,0),""))</f>
        <v/>
      </c>
      <c r="F294" s="33"/>
      <c r="G294" s="34" t="str">
        <f>IFERROR(IF(F294&gt;=0,D294*E294*(1+F294/100),ABS(D294*E294/F294)),"")</f>
        <v/>
      </c>
      <c r="H294" s="43" t="str">
        <f>IFERROR(G294*E284,"")</f>
        <v/>
      </c>
    </row>
    <row r="295" spans="1:11" ht="12.75" customHeight="1">
      <c r="A295" s="28"/>
      <c r="B295" s="29"/>
      <c r="C295" s="30" t="str">
        <f>IFERROR(_xlfn.XLOOKUP(B295,Equipo[DESCRIPCION],Equipo[UND],,0),"")</f>
        <v/>
      </c>
      <c r="D295" s="31"/>
      <c r="E295" s="32" t="str">
        <f>IF(C295="%MO",G299,IFERROR(_xlfn.XLOOKUP($B295,Equipo[DESCRIPCION],Equipo[VALOR],,0),""))</f>
        <v/>
      </c>
      <c r="F295" s="33"/>
      <c r="G295" s="34" t="str">
        <f>IFERROR(IF(F295&gt;=0,D295*E295*(1+F295/100),ABS(D295*E295/F295)),"")</f>
        <v/>
      </c>
      <c r="H295" s="43" t="str">
        <f>IFERROR(G295*E284,"")</f>
        <v/>
      </c>
    </row>
    <row r="296" spans="1:11" ht="12.75" customHeight="1">
      <c r="A296" s="21"/>
      <c r="B296" s="22" t="s">
        <v>2533</v>
      </c>
      <c r="C296" s="23"/>
      <c r="D296" s="24"/>
      <c r="E296" s="25"/>
      <c r="F296" s="26"/>
      <c r="G296" s="27">
        <f>SUM(G297:G298)</f>
        <v>0</v>
      </c>
      <c r="H296" s="44">
        <f>G296*E284</f>
        <v>0</v>
      </c>
    </row>
    <row r="297" spans="1:11" ht="12.75" customHeight="1">
      <c r="A297" s="28"/>
      <c r="B297" s="29"/>
      <c r="C297" s="30" t="str">
        <f>IFERROR(_xlfn.XLOOKUP(B297,Transporte[DESCRIPCION],Transporte[UND],,0),"")</f>
        <v/>
      </c>
      <c r="D297" s="31"/>
      <c r="E297" s="32" t="str">
        <f>IFERROR(_xlfn.XLOOKUP($B297,Transporte[DESCRIPCION],Transporte[VALOR],,0),"")</f>
        <v/>
      </c>
      <c r="F297" s="33"/>
      <c r="G297" s="34" t="str">
        <f>IFERROR(IF(F297&gt;=0,D297*E297*(1+F297/100),ABS(D297*E297/F297)),"")</f>
        <v/>
      </c>
      <c r="H297" s="43" t="str">
        <f>IFERROR(G297*E284,"")</f>
        <v/>
      </c>
    </row>
    <row r="298" spans="1:11" ht="12.75" customHeight="1">
      <c r="A298" s="28"/>
      <c r="B298" s="29"/>
      <c r="C298" s="30" t="str">
        <f>IFERROR(_xlfn.XLOOKUP(B298,Transporte[DESCRIPCION],Transporte[UND],,0),"")</f>
        <v/>
      </c>
      <c r="D298" s="31"/>
      <c r="E298" s="32" t="str">
        <f>IFERROR(_xlfn.XLOOKUP($B298,Transporte[DESCRIPCION],Transporte[VALOR],,0),"")</f>
        <v/>
      </c>
      <c r="F298" s="33"/>
      <c r="G298" s="34" t="str">
        <f>IFERROR(IF(F298&gt;=0,D298*E298*(1+F298/100),ABS(D298*E298/F298)),"")</f>
        <v/>
      </c>
      <c r="H298" s="43" t="str">
        <f>IFERROR(G298*E284,"")</f>
        <v/>
      </c>
    </row>
    <row r="299" spans="1:11" ht="12.75" customHeight="1">
      <c r="A299" s="21"/>
      <c r="B299" s="22" t="s">
        <v>3732</v>
      </c>
      <c r="C299" s="23"/>
      <c r="D299" s="24"/>
      <c r="E299" s="25"/>
      <c r="F299" s="26"/>
      <c r="G299" s="27">
        <f>SUM(G300:G302)</f>
        <v>3127.2730776857152</v>
      </c>
      <c r="H299" s="44">
        <f>G299*E284</f>
        <v>0</v>
      </c>
    </row>
    <row r="300" spans="1:11" ht="12.75" customHeight="1">
      <c r="A300" s="28"/>
      <c r="B300" s="29" t="s">
        <v>3712</v>
      </c>
      <c r="C300" s="30" t="str">
        <f>IFERROR(_xlfn.XLOOKUP(B300,MObra[DESCRIPCION],MObra[UN],,0),"")</f>
        <v>día</v>
      </c>
      <c r="D300" s="31">
        <v>1</v>
      </c>
      <c r="E300" s="32">
        <f>IFERROR(_xlfn.XLOOKUP($B300,MObra[DESCRIPCION],MObra[VALOR UNIT],,0),"")</f>
        <v>547272.78859500017</v>
      </c>
      <c r="F300" s="33">
        <v>-175</v>
      </c>
      <c r="G300" s="34">
        <f>IFERROR(IF(F300&gt;=0,D300*E300*(1+F300/100),ABS(D300*E300/F300)),"")</f>
        <v>3127.2730776857152</v>
      </c>
      <c r="H300" s="43">
        <f>IFERROR(G300*E284,"")</f>
        <v>0</v>
      </c>
    </row>
    <row r="301" spans="1:11" ht="12.75" customHeight="1">
      <c r="A301" s="28"/>
      <c r="B301" s="29"/>
      <c r="C301" s="30" t="str">
        <f t="array" ref="C301">IFERROR(_xlfn.XLOOKUP(B301,MObra[[#All],[DESCRIPCION]],MObra[[#All],[UN]],,0),"")</f>
        <v/>
      </c>
      <c r="D301" s="31"/>
      <c r="E301" s="32" t="str">
        <f>IFERROR(_xlfn.XLOOKUP($B301,MObra[DESCRIPCION],MObra[VALOR UNIT],,0),"")</f>
        <v/>
      </c>
      <c r="F301" s="33"/>
      <c r="G301" s="34" t="str">
        <f>IFERROR(IF(F301&gt;=0,D301*E301*(1+F301/100),ABS(D301*E301/F301)),"")</f>
        <v/>
      </c>
      <c r="H301" s="43" t="str">
        <f>IFERROR(G301*E284,"")</f>
        <v/>
      </c>
    </row>
    <row r="302" spans="1:11" ht="12.75" customHeight="1" thickBot="1">
      <c r="A302" s="35"/>
      <c r="B302" s="36"/>
      <c r="C302" s="37" t="str">
        <f t="array" ref="C302">IFERROR(_xlfn.XLOOKUP(B302,MObra[[#All],[DESCRIPCION]],MObra[[#All],[UN]],,0),"")</f>
        <v/>
      </c>
      <c r="D302" s="38"/>
      <c r="E302" s="39" t="str">
        <f>IFERROR(_xlfn.XLOOKUP($B302,MObra[DESCRIPCION],MObra[VALOR UNIT],,0),"")</f>
        <v/>
      </c>
      <c r="F302" s="40"/>
      <c r="G302" s="41" t="str">
        <f>IFERROR(IF(F302&gt;=0,D302*E302*(1+F302/100),ABS(D302*E302/F302)),"")</f>
        <v/>
      </c>
      <c r="H302" s="42" t="str">
        <f>IFERROR(G302*E284,"")</f>
        <v/>
      </c>
    </row>
    <row r="303" spans="1:11" ht="12.75" customHeight="1" thickTop="1" thickBot="1"/>
    <row r="304" spans="1:11" ht="12.75" customHeight="1" thickTop="1" thickBot="1">
      <c r="A304" s="6" t="s">
        <v>339</v>
      </c>
      <c r="B304" s="7" t="str">
        <f>VLOOKUP($A304,Presupuesto!$A:$D,2,FALSE())</f>
        <v>Cinta amarre confinamiento</v>
      </c>
      <c r="C304" s="8" t="str">
        <f>VLOOKUP($A304,Presupuesto!$A:$D,3,FALSE())</f>
        <v>M</v>
      </c>
      <c r="D304" s="9"/>
      <c r="E304" s="10">
        <f>VLOOKUP($A304,Presupuesto!$A:$D,4,FALSE())</f>
        <v>0</v>
      </c>
      <c r="F304" s="11" t="s">
        <v>2589</v>
      </c>
      <c r="G304" s="12">
        <f>SUM(G306:G322)/2</f>
        <v>62760.654625775052</v>
      </c>
      <c r="H304" s="13">
        <f>ROUND(SUM(H306:H322),0)/2</f>
        <v>0</v>
      </c>
      <c r="I304" s="10">
        <f>VLOOKUP(A304,Presupuesto!$A:$F,6,0)</f>
        <v>0</v>
      </c>
      <c r="J304" s="10">
        <f>+H304-I304</f>
        <v>0</v>
      </c>
      <c r="K304" s="46">
        <f>+H304-G304*E304</f>
        <v>0</v>
      </c>
    </row>
    <row r="305" spans="1:8" ht="12.75" customHeight="1" thickTop="1">
      <c r="A305" s="14"/>
      <c r="B305" s="15" t="s">
        <v>2586</v>
      </c>
      <c r="C305" s="15" t="s">
        <v>5</v>
      </c>
      <c r="D305" s="16" t="s">
        <v>6</v>
      </c>
      <c r="E305" s="17" t="s">
        <v>7</v>
      </c>
      <c r="F305" s="18" t="s">
        <v>3728</v>
      </c>
      <c r="G305" s="19" t="s">
        <v>3729</v>
      </c>
      <c r="H305" s="20" t="s">
        <v>3797</v>
      </c>
    </row>
    <row r="306" spans="1:8" ht="12.75" customHeight="1">
      <c r="A306" s="21"/>
      <c r="B306" s="22" t="s">
        <v>3730</v>
      </c>
      <c r="C306" s="23"/>
      <c r="D306" s="24"/>
      <c r="E306" s="25"/>
      <c r="F306" s="26"/>
      <c r="G306" s="27">
        <f>SUM(G307:G311)</f>
        <v>39280.323174672543</v>
      </c>
      <c r="H306" s="27">
        <f>IFERROR(G306*E304,"")</f>
        <v>0</v>
      </c>
    </row>
    <row r="307" spans="1:8" ht="12.75" customHeight="1">
      <c r="A307" s="28"/>
      <c r="B307" s="29" t="s">
        <v>3239</v>
      </c>
      <c r="C307" s="30" t="str">
        <f>IFERROR(_xlfn.XLOOKUP(B307,Insumo[DESCRIPCION],Insumo[UND],,0),"")</f>
        <v>M3</v>
      </c>
      <c r="D307" s="31">
        <f>0.12*0.15</f>
        <v>1.7999999999999999E-2</v>
      </c>
      <c r="E307" s="32">
        <f>IFERROR(_xlfn.XLOOKUP($B307,Insumo[DESCRIPCION],Insumo[VALOR],,0),"")</f>
        <v>521159.50227762427</v>
      </c>
      <c r="F307" s="33">
        <v>5</v>
      </c>
      <c r="G307" s="34">
        <f>IFERROR(IF(F307&gt;=0,D307*E307*(1+F307/100),ABS(D307*E307/F307)),"")</f>
        <v>9849.9145930470968</v>
      </c>
      <c r="H307" s="43">
        <f>IFERROR(G307*E304,"")</f>
        <v>0</v>
      </c>
    </row>
    <row r="308" spans="1:8" ht="12.75" customHeight="1">
      <c r="A308" s="28"/>
      <c r="B308" s="29" t="s">
        <v>2954</v>
      </c>
      <c r="C308" s="30" t="str">
        <f>IFERROR(_xlfn.XLOOKUP(B308,Insumo[DESCRIPCION],Insumo[UND],,0),"")</f>
        <v>M2</v>
      </c>
      <c r="D308" s="31">
        <v>0.2</v>
      </c>
      <c r="E308" s="32">
        <f>IFERROR(_xlfn.XLOOKUP($B308,Insumo[DESCRIPCION],Insumo[VALOR],,0),"")</f>
        <v>102154.92581625449</v>
      </c>
      <c r="F308" s="33">
        <v>-2</v>
      </c>
      <c r="G308" s="34">
        <f>IFERROR(IF(F308&gt;=0,D308*E308*(1+F308/100),ABS(D308*E308/F308)),"")</f>
        <v>10215.492581625449</v>
      </c>
      <c r="H308" s="43">
        <f>IFERROR(G308*E304,"")</f>
        <v>0</v>
      </c>
    </row>
    <row r="309" spans="1:8" ht="12.75" customHeight="1">
      <c r="A309" s="28"/>
      <c r="B309" s="29" t="s">
        <v>3295</v>
      </c>
      <c r="C309" s="30" t="str">
        <f>IFERROR(_xlfn.XLOOKUP(B309,Insumo[DESCRIPCION],Insumo[UND],,0),"")</f>
        <v>Kg</v>
      </c>
      <c r="D309" s="31">
        <v>0.1</v>
      </c>
      <c r="E309" s="32">
        <f>IFERROR(_xlfn.XLOOKUP($B309,Insumo[DESCRIPCION],Insumo[VALOR],,0),"")</f>
        <v>22039.5</v>
      </c>
      <c r="F309" s="33"/>
      <c r="G309" s="34">
        <f>IFERROR(IF(F309&gt;=0,D309*E309*(1+F309/100),ABS(D309*E309/F309)),"")</f>
        <v>2203.9500000000003</v>
      </c>
      <c r="H309" s="43">
        <f>IFERROR(G309*E304,"")</f>
        <v>0</v>
      </c>
    </row>
    <row r="310" spans="1:8" ht="12.75" customHeight="1">
      <c r="A310" s="28"/>
      <c r="B310" s="29" t="s">
        <v>2653</v>
      </c>
      <c r="C310" s="30" t="str">
        <f>IFERROR(_xlfn.XLOOKUP(B310,Insumo[DESCRIPCION],Insumo[UND],,0),"")</f>
        <v>Kg</v>
      </c>
      <c r="D310" s="31">
        <v>2.87</v>
      </c>
      <c r="E310" s="32">
        <f>IFERROR(_xlfn.XLOOKUP($B310,Insumo[DESCRIPCION],Insumo[VALOR],,0),"")</f>
        <v>5686.8</v>
      </c>
      <c r="F310" s="33"/>
      <c r="G310" s="34">
        <f>IFERROR(IF(F310&gt;=0,D310*E310*(1+F310/100),ABS(D310*E310/F310)),"")</f>
        <v>16321.116000000002</v>
      </c>
      <c r="H310" s="43">
        <f>IFERROR(G310*E304,"")</f>
        <v>0</v>
      </c>
    </row>
    <row r="311" spans="1:8" ht="12.75" customHeight="1">
      <c r="A311" s="28"/>
      <c r="B311" s="29" t="s">
        <v>2699</v>
      </c>
      <c r="C311" s="30" t="str">
        <f>IFERROR(_xlfn.XLOOKUP(B311,Insumo[DESCRIPCION],Insumo[UND],,0),"")</f>
        <v>Kg</v>
      </c>
      <c r="D311" s="31">
        <v>0.09</v>
      </c>
      <c r="E311" s="32">
        <f>IFERROR(_xlfn.XLOOKUP($B311,Insumo[DESCRIPCION],Insumo[VALOR],,0),"")</f>
        <v>7665</v>
      </c>
      <c r="F311" s="33"/>
      <c r="G311" s="34">
        <f>IFERROR(IF(F311&gt;=0,D311*E311*(1+F311/100),ABS(D311*E311/F311)),"")</f>
        <v>689.85</v>
      </c>
      <c r="H311" s="43">
        <f>IFERROR(G311*E304,"")</f>
        <v>0</v>
      </c>
    </row>
    <row r="312" spans="1:8" ht="12.75" customHeight="1">
      <c r="A312" s="21"/>
      <c r="B312" s="22" t="s">
        <v>3731</v>
      </c>
      <c r="C312" s="23"/>
      <c r="D312" s="24"/>
      <c r="E312" s="25"/>
      <c r="F312" s="26"/>
      <c r="G312" s="27">
        <f>SUM(G313:G315)</f>
        <v>1938.7429638525005</v>
      </c>
      <c r="H312" s="44">
        <f>G312*E304</f>
        <v>0</v>
      </c>
    </row>
    <row r="313" spans="1:8" ht="12.75" customHeight="1">
      <c r="A313" s="28"/>
      <c r="B313" s="29" t="s">
        <v>3570</v>
      </c>
      <c r="C313" s="30" t="str">
        <f>IFERROR(_xlfn.XLOOKUP(B313,Equipo[DESCRIPCION],Equipo[UND],,0),"")</f>
        <v>%MO</v>
      </c>
      <c r="D313" s="31">
        <v>0.04</v>
      </c>
      <c r="E313" s="32">
        <f>IF(C313="%MO",G319,IFERROR(_xlfn.XLOOKUP($B313,Equipo[DESCRIPCION],Equipo[VALOR],,0),""))</f>
        <v>21541.588487250003</v>
      </c>
      <c r="F313" s="33"/>
      <c r="G313" s="34">
        <f>IFERROR(IF(F313&gt;=0,D313*E313*(1+F313/100),ABS(D313*E313/F313)),"")</f>
        <v>861.66353949000018</v>
      </c>
      <c r="H313" s="43">
        <f>IFERROR(G313*E304,"")</f>
        <v>0</v>
      </c>
    </row>
    <row r="314" spans="1:8" ht="12.75" customHeight="1">
      <c r="A314" s="28"/>
      <c r="B314" s="29" t="s">
        <v>3626</v>
      </c>
      <c r="C314" s="30" t="str">
        <f>IFERROR(_xlfn.XLOOKUP(B314,Equipo[DESCRIPCION],Equipo[UND],,0),"")</f>
        <v>%MO</v>
      </c>
      <c r="D314" s="31">
        <v>0.05</v>
      </c>
      <c r="E314" s="32">
        <f>IF(C314="%MO",G319,IFERROR(_xlfn.XLOOKUP($B314,Equipo[DESCRIPCION],Equipo[VALOR],,0),""))</f>
        <v>21541.588487250003</v>
      </c>
      <c r="F314" s="33"/>
      <c r="G314" s="34">
        <f>IFERROR(IF(F314&gt;=0,D314*E314*(1+F314/100),ABS(D314*E314/F314)),"")</f>
        <v>1077.0794243625003</v>
      </c>
      <c r="H314" s="43">
        <f>IFERROR(G314*E304,"")</f>
        <v>0</v>
      </c>
    </row>
    <row r="315" spans="1:8" ht="12.75" customHeight="1">
      <c r="A315" s="28"/>
      <c r="B315" s="29"/>
      <c r="C315" s="30" t="str">
        <f>IFERROR(_xlfn.XLOOKUP(B315,Equipo[DESCRIPCION],Equipo[UND],,0),"")</f>
        <v/>
      </c>
      <c r="D315" s="31"/>
      <c r="E315" s="32" t="str">
        <f>IF(C315="%MO",G319,IFERROR(_xlfn.XLOOKUP($B315,Equipo[DESCRIPCION],Equipo[VALOR],,0),""))</f>
        <v/>
      </c>
      <c r="F315" s="33"/>
      <c r="G315" s="34" t="str">
        <f>IFERROR(IF(F315&gt;=0,D315*E315*(1+F315/100),ABS(D315*E315/F315)),"")</f>
        <v/>
      </c>
      <c r="H315" s="43" t="str">
        <f>IFERROR(G315*E304,"")</f>
        <v/>
      </c>
    </row>
    <row r="316" spans="1:8" ht="12.75" customHeight="1">
      <c r="A316" s="21"/>
      <c r="B316" s="22" t="s">
        <v>2533</v>
      </c>
      <c r="C316" s="23"/>
      <c r="D316" s="24"/>
      <c r="E316" s="25"/>
      <c r="F316" s="26"/>
      <c r="G316" s="27">
        <f>SUM(G317:G318)</f>
        <v>0</v>
      </c>
      <c r="H316" s="44">
        <f>G316*E304</f>
        <v>0</v>
      </c>
    </row>
    <row r="317" spans="1:8" ht="12.75" customHeight="1">
      <c r="A317" s="28"/>
      <c r="B317" s="29"/>
      <c r="C317" s="30" t="str">
        <f>IFERROR(_xlfn.XLOOKUP(B317,Transporte[DESCRIPCION],Transporte[UND],,0),"")</f>
        <v/>
      </c>
      <c r="D317" s="31"/>
      <c r="E317" s="32" t="str">
        <f>IFERROR(_xlfn.XLOOKUP($B317,Transporte[DESCRIPCION],Transporte[VALOR],,0),"")</f>
        <v/>
      </c>
      <c r="F317" s="33"/>
      <c r="G317" s="34" t="str">
        <f>IFERROR(IF(F317&gt;=0,D317*E317*(1+F317/100),ABS(D317*E317/F317)),"")</f>
        <v/>
      </c>
      <c r="H317" s="43" t="str">
        <f>IFERROR(G317*E304,"")</f>
        <v/>
      </c>
    </row>
    <row r="318" spans="1:8" ht="12.75" customHeight="1">
      <c r="A318" s="28"/>
      <c r="B318" s="29"/>
      <c r="C318" s="30" t="str">
        <f>IFERROR(_xlfn.XLOOKUP(B318,Transporte[DESCRIPCION],Transporte[UND],,0),"")</f>
        <v/>
      </c>
      <c r="D318" s="31"/>
      <c r="E318" s="32" t="str">
        <f>IFERROR(_xlfn.XLOOKUP($B318,Transporte[DESCRIPCION],Transporte[VALOR],,0),"")</f>
        <v/>
      </c>
      <c r="F318" s="33"/>
      <c r="G318" s="34" t="str">
        <f>IFERROR(IF(F318&gt;=0,D318*E318*(1+F318/100),ABS(D318*E318/F318)),"")</f>
        <v/>
      </c>
      <c r="H318" s="43" t="str">
        <f>IFERROR(G318*E304,"")</f>
        <v/>
      </c>
    </row>
    <row r="319" spans="1:8" ht="12.75" customHeight="1">
      <c r="A319" s="21"/>
      <c r="B319" s="22" t="s">
        <v>3732</v>
      </c>
      <c r="C319" s="23"/>
      <c r="D319" s="24"/>
      <c r="E319" s="25"/>
      <c r="F319" s="26"/>
      <c r="G319" s="27">
        <f>SUM(G320:G322)</f>
        <v>21541.588487250003</v>
      </c>
      <c r="H319" s="44">
        <f>G319*E304</f>
        <v>0</v>
      </c>
    </row>
    <row r="320" spans="1:8" ht="12.75" customHeight="1">
      <c r="A320" s="28"/>
      <c r="B320" s="29" t="s">
        <v>3711</v>
      </c>
      <c r="C320" s="30" t="str">
        <f>IFERROR(_xlfn.XLOOKUP(B320,MObra[DESCRIPCION],MObra[UN],,0),"")</f>
        <v>día</v>
      </c>
      <c r="D320" s="31">
        <v>1</v>
      </c>
      <c r="E320" s="32">
        <f>IFERROR(_xlfn.XLOOKUP($B320,MObra[DESCRIPCION],MObra[VALOR UNIT],,0),"")</f>
        <v>430831.76974500006</v>
      </c>
      <c r="F320" s="33">
        <v>-20</v>
      </c>
      <c r="G320" s="34">
        <f>IFERROR(IF(F320&gt;=0,D320*E320*(1+F320/100),ABS(D320*E320/F320)),"")</f>
        <v>21541.588487250003</v>
      </c>
      <c r="H320" s="43">
        <f>IFERROR(G320*E304,"")</f>
        <v>0</v>
      </c>
    </row>
    <row r="321" spans="1:11" ht="12.75" customHeight="1">
      <c r="A321" s="28"/>
      <c r="B321" s="29"/>
      <c r="C321" s="30" t="str">
        <f t="array" ref="C321">IFERROR(_xlfn.XLOOKUP(B321,MObra[[#All],[DESCRIPCION]],MObra[[#All],[UN]],,0),"")</f>
        <v/>
      </c>
      <c r="D321" s="31"/>
      <c r="E321" s="32" t="str">
        <f>IFERROR(_xlfn.XLOOKUP($B321,MObra[DESCRIPCION],MObra[VALOR UNIT],,0),"")</f>
        <v/>
      </c>
      <c r="F321" s="33"/>
      <c r="G321" s="34" t="str">
        <f>IFERROR(IF(F321&gt;=0,D321*E321*(1+F321/100),ABS(D321*E321/F321)),"")</f>
        <v/>
      </c>
      <c r="H321" s="43" t="str">
        <f>IFERROR(G321*E304,"")</f>
        <v/>
      </c>
    </row>
    <row r="322" spans="1:11" ht="12.75" customHeight="1" thickBot="1">
      <c r="A322" s="35"/>
      <c r="B322" s="36"/>
      <c r="C322" s="37" t="str">
        <f t="array" ref="C322">IFERROR(_xlfn.XLOOKUP(B322,MObra[[#All],[DESCRIPCION]],MObra[[#All],[UN]],,0),"")</f>
        <v/>
      </c>
      <c r="D322" s="38"/>
      <c r="E322" s="39" t="str">
        <f>IFERROR(_xlfn.XLOOKUP($B322,MObra[DESCRIPCION],MObra[VALOR UNIT],,0),"")</f>
        <v/>
      </c>
      <c r="F322" s="40"/>
      <c r="G322" s="41" t="str">
        <f>IFERROR(IF(F322&gt;=0,D322*E322*(1+F322/100),ABS(D322*E322/F322)),"")</f>
        <v/>
      </c>
      <c r="H322" s="42" t="str">
        <f>IFERROR(G322*E304,"")</f>
        <v/>
      </c>
    </row>
    <row r="323" spans="1:11" ht="12.75" customHeight="1" thickTop="1" thickBot="1"/>
    <row r="324" spans="1:11" ht="12.75" customHeight="1" thickTop="1" thickBot="1">
      <c r="A324" s="6" t="s">
        <v>341</v>
      </c>
      <c r="B324" s="7" t="str">
        <f>VLOOKUP($A324,Presupuesto!$A:$D,2,FALSE())</f>
        <v>Columna rectangular confinamiento concreto 20.7 Mpa</v>
      </c>
      <c r="C324" s="8" t="str">
        <f>VLOOKUP($A324,Presupuesto!$A:$D,3,FALSE())</f>
        <v>M</v>
      </c>
      <c r="D324" s="9"/>
      <c r="E324" s="10">
        <f>VLOOKUP($A324,Presupuesto!$A:$D,4,FALSE())</f>
        <v>0</v>
      </c>
      <c r="F324" s="11" t="s">
        <v>2589</v>
      </c>
      <c r="G324" s="12">
        <f>SUM(G326:G342)/2</f>
        <v>119014.64624813142</v>
      </c>
      <c r="H324" s="13">
        <f>ROUND(SUM(H326:H342),0)/2</f>
        <v>0</v>
      </c>
      <c r="I324" s="10">
        <f>VLOOKUP(A324,Presupuesto!$A:$F,6,0)</f>
        <v>0</v>
      </c>
      <c r="J324" s="10">
        <f>+H324-I324</f>
        <v>0</v>
      </c>
      <c r="K324" s="46">
        <f>+H324-G324*E324</f>
        <v>0</v>
      </c>
    </row>
    <row r="325" spans="1:11" ht="12.75" customHeight="1" thickTop="1">
      <c r="A325" s="14"/>
      <c r="B325" s="15" t="s">
        <v>2586</v>
      </c>
      <c r="C325" s="15" t="s">
        <v>5</v>
      </c>
      <c r="D325" s="16" t="s">
        <v>6</v>
      </c>
      <c r="E325" s="17" t="s">
        <v>7</v>
      </c>
      <c r="F325" s="18" t="s">
        <v>3728</v>
      </c>
      <c r="G325" s="19" t="s">
        <v>3729</v>
      </c>
      <c r="H325" s="20" t="s">
        <v>3797</v>
      </c>
    </row>
    <row r="326" spans="1:11" ht="12.75" customHeight="1">
      <c r="A326" s="21"/>
      <c r="B326" s="22" t="s">
        <v>3730</v>
      </c>
      <c r="C326" s="23"/>
      <c r="D326" s="24"/>
      <c r="E326" s="25"/>
      <c r="F326" s="26"/>
      <c r="G326" s="27">
        <f>SUM(G327:G331)</f>
        <v>82055.072646661429</v>
      </c>
      <c r="H326" s="27">
        <f>IFERROR(G326*E324,"")</f>
        <v>0</v>
      </c>
    </row>
    <row r="327" spans="1:11" ht="12.75" customHeight="1">
      <c r="A327" s="28"/>
      <c r="B327" s="29" t="s">
        <v>3239</v>
      </c>
      <c r="C327" s="30" t="str">
        <f>IFERROR(_xlfn.XLOOKUP(B327,Insumo[DESCRIPCION],Insumo[UND],,0),"")</f>
        <v>M3</v>
      </c>
      <c r="D327" s="31">
        <f>0.2*0.2</f>
        <v>4.0000000000000008E-2</v>
      </c>
      <c r="E327" s="32">
        <f>IFERROR(_xlfn.XLOOKUP($B327,Insumo[DESCRIPCION],Insumo[VALOR],,0),"")</f>
        <v>521159.50227762427</v>
      </c>
      <c r="F327" s="33">
        <v>5</v>
      </c>
      <c r="G327" s="34">
        <f>IFERROR(IF(F327&gt;=0,D327*E327*(1+F327/100),ABS(D327*E327/F327)),"")</f>
        <v>21888.699095660228</v>
      </c>
      <c r="H327" s="43">
        <f>IFERROR(G327*E324,"")</f>
        <v>0</v>
      </c>
    </row>
    <row r="328" spans="1:11" ht="12.75" customHeight="1">
      <c r="A328" s="28"/>
      <c r="B328" s="29" t="s">
        <v>2954</v>
      </c>
      <c r="C328" s="30" t="str">
        <f>IFERROR(_xlfn.XLOOKUP(B328,Insumo[DESCRIPCION],Insumo[UND],,0),"")</f>
        <v>M2</v>
      </c>
      <c r="D328" s="31">
        <v>0.8</v>
      </c>
      <c r="E328" s="32">
        <f>IFERROR(_xlfn.XLOOKUP($B328,Insumo[DESCRIPCION],Insumo[VALOR],,0),"")</f>
        <v>102154.92581625449</v>
      </c>
      <c r="F328" s="33">
        <v>-3</v>
      </c>
      <c r="G328" s="34">
        <f>IFERROR(IF(F328&gt;=0,D328*E328*(1+F328/100),ABS(D328*E328/F328)),"")</f>
        <v>27241.313551001196</v>
      </c>
      <c r="H328" s="43">
        <f>IFERROR(G328*E324,"")</f>
        <v>0</v>
      </c>
    </row>
    <row r="329" spans="1:11" ht="12.75" customHeight="1">
      <c r="A329" s="28"/>
      <c r="B329" s="29" t="s">
        <v>3295</v>
      </c>
      <c r="C329" s="30" t="str">
        <f>IFERROR(_xlfn.XLOOKUP(B329,Insumo[DESCRIPCION],Insumo[UND],,0),"")</f>
        <v>Kg</v>
      </c>
      <c r="D329" s="31">
        <v>0.1</v>
      </c>
      <c r="E329" s="32">
        <f>IFERROR(_xlfn.XLOOKUP($B329,Insumo[DESCRIPCION],Insumo[VALOR],,0),"")</f>
        <v>22039.5</v>
      </c>
      <c r="F329" s="33"/>
      <c r="G329" s="34">
        <f>IFERROR(IF(F329&gt;=0,D329*E329*(1+F329/100),ABS(D329*E329/F329)),"")</f>
        <v>2203.9500000000003</v>
      </c>
      <c r="H329" s="43">
        <f>IFERROR(G329*E324,"")</f>
        <v>0</v>
      </c>
    </row>
    <row r="330" spans="1:11" ht="12.75" customHeight="1">
      <c r="A330" s="28"/>
      <c r="B330" s="29" t="s">
        <v>2653</v>
      </c>
      <c r="C330" s="30" t="str">
        <f>IFERROR(_xlfn.XLOOKUP(B330,Insumo[DESCRIPCION],Insumo[UND],,0),"")</f>
        <v>Kg</v>
      </c>
      <c r="D330" s="31">
        <v>5.2</v>
      </c>
      <c r="E330" s="32">
        <f>IFERROR(_xlfn.XLOOKUP($B330,Insumo[DESCRIPCION],Insumo[VALOR],,0),"")</f>
        <v>5686.8</v>
      </c>
      <c r="F330" s="33"/>
      <c r="G330" s="34">
        <f>IFERROR(IF(F330&gt;=0,D330*E330*(1+F330/100),ABS(D330*E330/F330)),"")</f>
        <v>29571.360000000001</v>
      </c>
      <c r="H330" s="43">
        <f>IFERROR(G330*E324,"")</f>
        <v>0</v>
      </c>
    </row>
    <row r="331" spans="1:11" ht="12.75" customHeight="1">
      <c r="A331" s="28"/>
      <c r="B331" s="29" t="s">
        <v>2699</v>
      </c>
      <c r="C331" s="30" t="str">
        <f>IFERROR(_xlfn.XLOOKUP(B331,Insumo[DESCRIPCION],Insumo[UND],,0),"")</f>
        <v>Kg</v>
      </c>
      <c r="D331" s="31">
        <v>0.15</v>
      </c>
      <c r="E331" s="32">
        <f>IFERROR(_xlfn.XLOOKUP($B331,Insumo[DESCRIPCION],Insumo[VALOR],,0),"")</f>
        <v>7665</v>
      </c>
      <c r="F331" s="33"/>
      <c r="G331" s="34">
        <f>IFERROR(IF(F331&gt;=0,D331*E331*(1+F331/100),ABS(D331*E331/F331)),"")</f>
        <v>1149.75</v>
      </c>
      <c r="H331" s="43">
        <f>IFERROR(G331*E324,"")</f>
        <v>0</v>
      </c>
    </row>
    <row r="332" spans="1:11" ht="12.75" customHeight="1">
      <c r="A332" s="21"/>
      <c r="B332" s="22" t="s">
        <v>3731</v>
      </c>
      <c r="C332" s="23"/>
      <c r="D332" s="24"/>
      <c r="E332" s="25"/>
      <c r="F332" s="26"/>
      <c r="G332" s="27">
        <f>SUM(G333:G335)</f>
        <v>8237.4556184700014</v>
      </c>
      <c r="H332" s="44">
        <f>G332*E324</f>
        <v>0</v>
      </c>
    </row>
    <row r="333" spans="1:11" ht="12.75" customHeight="1">
      <c r="A333" s="28"/>
      <c r="B333" s="29" t="s">
        <v>3657</v>
      </c>
      <c r="C333" s="30" t="str">
        <f>IFERROR(_xlfn.XLOOKUP(B333,Equipo[DESCRIPCION],Equipo[UND],,0),"")</f>
        <v>Día</v>
      </c>
      <c r="D333" s="31">
        <v>1</v>
      </c>
      <c r="E333" s="32">
        <f>IF(C333="%MO",G339,IFERROR(_xlfn.XLOOKUP($B333,Equipo[DESCRIPCION],Equipo[VALOR],,0),""))</f>
        <v>56524.65</v>
      </c>
      <c r="F333" s="33">
        <v>-10</v>
      </c>
      <c r="G333" s="34">
        <f>IFERROR(IF(F333&gt;=0,D333*E333*(1+F333/100),ABS(D333*E333/F333)),"")</f>
        <v>5652.4650000000001</v>
      </c>
      <c r="H333" s="43">
        <f>IFERROR(G333*E324,"")</f>
        <v>0</v>
      </c>
    </row>
    <row r="334" spans="1:11" ht="12.75" customHeight="1">
      <c r="A334" s="28"/>
      <c r="B334" s="29" t="s">
        <v>3570</v>
      </c>
      <c r="C334" s="30" t="str">
        <f>IFERROR(_xlfn.XLOOKUP(B334,Equipo[DESCRIPCION],Equipo[UND],,0),"")</f>
        <v>%MO</v>
      </c>
      <c r="D334" s="31">
        <v>0.04</v>
      </c>
      <c r="E334" s="32">
        <f>IF(C334="%MO",G339,IFERROR(_xlfn.XLOOKUP($B334,Equipo[DESCRIPCION],Equipo[VALOR],,0),""))</f>
        <v>28722.117983000004</v>
      </c>
      <c r="F334" s="33"/>
      <c r="G334" s="34">
        <f>IFERROR(IF(F334&gt;=0,D334*E334*(1+F334/100),ABS(D334*E334/F334)),"")</f>
        <v>1148.8847193200002</v>
      </c>
      <c r="H334" s="43">
        <f>IFERROR(G334*E324,"")</f>
        <v>0</v>
      </c>
    </row>
    <row r="335" spans="1:11" ht="12.75" customHeight="1">
      <c r="A335" s="28"/>
      <c r="B335" s="29" t="s">
        <v>3626</v>
      </c>
      <c r="C335" s="30" t="str">
        <f>IFERROR(_xlfn.XLOOKUP(B335,Equipo[DESCRIPCION],Equipo[UND],,0),"")</f>
        <v>%MO</v>
      </c>
      <c r="D335" s="31">
        <v>0.05</v>
      </c>
      <c r="E335" s="32">
        <f>IF(C335="%MO",G339,IFERROR(_xlfn.XLOOKUP($B335,Equipo[DESCRIPCION],Equipo[VALOR],,0),""))</f>
        <v>28722.117983000004</v>
      </c>
      <c r="F335" s="33"/>
      <c r="G335" s="34">
        <f>IFERROR(IF(F335&gt;=0,D335*E335*(1+F335/100),ABS(D335*E335/F335)),"")</f>
        <v>1436.1058991500004</v>
      </c>
      <c r="H335" s="43">
        <f>IFERROR(G335*E324,"")</f>
        <v>0</v>
      </c>
    </row>
    <row r="336" spans="1:11" ht="12.75" customHeight="1">
      <c r="A336" s="21"/>
      <c r="B336" s="22" t="s">
        <v>2533</v>
      </c>
      <c r="C336" s="23"/>
      <c r="D336" s="24"/>
      <c r="E336" s="25"/>
      <c r="F336" s="26"/>
      <c r="G336" s="27">
        <f>SUM(G337:G338)</f>
        <v>0</v>
      </c>
      <c r="H336" s="44">
        <f>G336*E324</f>
        <v>0</v>
      </c>
    </row>
    <row r="337" spans="1:11" ht="12.75" customHeight="1">
      <c r="A337" s="28"/>
      <c r="B337" s="29"/>
      <c r="C337" s="30" t="str">
        <f>IFERROR(_xlfn.XLOOKUP(B337,Transporte[DESCRIPCION],Transporte[UND],,0),"")</f>
        <v/>
      </c>
      <c r="D337" s="31"/>
      <c r="E337" s="32" t="str">
        <f>IFERROR(_xlfn.XLOOKUP($B337,Transporte[DESCRIPCION],Transporte[VALOR],,0),"")</f>
        <v/>
      </c>
      <c r="F337" s="33"/>
      <c r="G337" s="34" t="str">
        <f>IFERROR(IF(F337&gt;=0,D337*E337*(1+F337/100),ABS(D337*E337/F337)),"")</f>
        <v/>
      </c>
      <c r="H337" s="43" t="str">
        <f>IFERROR(G337*E324,"")</f>
        <v/>
      </c>
    </row>
    <row r="338" spans="1:11" ht="12.75" customHeight="1">
      <c r="A338" s="28"/>
      <c r="B338" s="29"/>
      <c r="C338" s="30" t="str">
        <f>IFERROR(_xlfn.XLOOKUP(B338,Transporte[DESCRIPCION],Transporte[UND],,0),"")</f>
        <v/>
      </c>
      <c r="D338" s="31"/>
      <c r="E338" s="32" t="str">
        <f>IFERROR(_xlfn.XLOOKUP($B338,Transporte[DESCRIPCION],Transporte[VALOR],,0),"")</f>
        <v/>
      </c>
      <c r="F338" s="33"/>
      <c r="G338" s="34" t="str">
        <f>IFERROR(IF(F338&gt;=0,D338*E338*(1+F338/100),ABS(D338*E338/F338)),"")</f>
        <v/>
      </c>
      <c r="H338" s="43" t="str">
        <f>IFERROR(G338*E324,"")</f>
        <v/>
      </c>
    </row>
    <row r="339" spans="1:11" ht="12.75" customHeight="1">
      <c r="A339" s="21"/>
      <c r="B339" s="22" t="s">
        <v>3732</v>
      </c>
      <c r="C339" s="23"/>
      <c r="D339" s="24"/>
      <c r="E339" s="25"/>
      <c r="F339" s="26"/>
      <c r="G339" s="27">
        <f>SUM(G340:G342)</f>
        <v>28722.117983000004</v>
      </c>
      <c r="H339" s="44">
        <f>G339*E324</f>
        <v>0</v>
      </c>
    </row>
    <row r="340" spans="1:11" ht="12.75" customHeight="1">
      <c r="A340" s="28"/>
      <c r="B340" s="29" t="s">
        <v>3711</v>
      </c>
      <c r="C340" s="30" t="str">
        <f>IFERROR(_xlfn.XLOOKUP(B340,MObra[DESCRIPCION],MObra[UN],,0),"")</f>
        <v>día</v>
      </c>
      <c r="D340" s="31">
        <v>1</v>
      </c>
      <c r="E340" s="32">
        <f>IFERROR(_xlfn.XLOOKUP($B340,MObra[DESCRIPCION],MObra[VALOR UNIT],,0),"")</f>
        <v>430831.76974500006</v>
      </c>
      <c r="F340" s="33">
        <v>-15</v>
      </c>
      <c r="G340" s="34">
        <f>IFERROR(IF(F340&gt;=0,D340*E340*(1+F340/100),ABS(D340*E340/F340)),"")</f>
        <v>28722.117983000004</v>
      </c>
      <c r="H340" s="43">
        <f>IFERROR(G340*E324,"")</f>
        <v>0</v>
      </c>
    </row>
    <row r="341" spans="1:11" ht="12.75" customHeight="1">
      <c r="A341" s="28"/>
      <c r="B341" s="29"/>
      <c r="C341" s="30" t="str">
        <f t="array" ref="C341">IFERROR(_xlfn.XLOOKUP(B341,MObra[[#All],[DESCRIPCION]],MObra[[#All],[UN]],,0),"")</f>
        <v/>
      </c>
      <c r="D341" s="31"/>
      <c r="E341" s="32" t="str">
        <f>IFERROR(_xlfn.XLOOKUP($B341,MObra[DESCRIPCION],MObra[VALOR UNIT],,0),"")</f>
        <v/>
      </c>
      <c r="F341" s="33"/>
      <c r="G341" s="34" t="str">
        <f>IFERROR(IF(F341&gt;=0,D341*E341*(1+F341/100),ABS(D341*E341/F341)),"")</f>
        <v/>
      </c>
      <c r="H341" s="43" t="str">
        <f>IFERROR(G341*E324,"")</f>
        <v/>
      </c>
    </row>
    <row r="342" spans="1:11" ht="12.75" customHeight="1" thickBot="1">
      <c r="A342" s="35"/>
      <c r="B342" s="36"/>
      <c r="C342" s="37" t="str">
        <f t="array" ref="C342">IFERROR(_xlfn.XLOOKUP(B342,MObra[[#All],[DESCRIPCION]],MObra[[#All],[UN]],,0),"")</f>
        <v/>
      </c>
      <c r="D342" s="38"/>
      <c r="E342" s="39" t="str">
        <f>IFERROR(_xlfn.XLOOKUP($B342,MObra[DESCRIPCION],MObra[VALOR UNIT],,0),"")</f>
        <v/>
      </c>
      <c r="F342" s="40"/>
      <c r="G342" s="41" t="str">
        <f>IFERROR(IF(F342&gt;=0,D342*E342*(1+F342/100),ABS(D342*E342/F342)),"")</f>
        <v/>
      </c>
      <c r="H342" s="42" t="str">
        <f>IFERROR(G342*E324,"")</f>
        <v/>
      </c>
    </row>
    <row r="343" spans="1:11" ht="12.75" customHeight="1" thickTop="1" thickBot="1"/>
    <row r="344" spans="1:11" ht="12.75" customHeight="1" thickTop="1" thickBot="1">
      <c r="A344" s="6" t="s">
        <v>343</v>
      </c>
      <c r="B344" s="7" t="str">
        <f>VLOOKUP($A344,Presupuesto!$A:$D,2,FALSE())</f>
        <v>Columna circular 20.7 Mpa (área &lt;=1.600 cm2)</v>
      </c>
      <c r="C344" s="8" t="str">
        <f>VLOOKUP($A344,Presupuesto!$A:$D,3,FALSE())</f>
        <v>M3</v>
      </c>
      <c r="D344" s="9"/>
      <c r="E344" s="10">
        <f>VLOOKUP($A344,Presupuesto!$A:$D,4,FALSE())</f>
        <v>0</v>
      </c>
      <c r="F344" s="11" t="s">
        <v>2589</v>
      </c>
      <c r="G344" s="12">
        <f>SUM(G346:G362)/2</f>
        <v>1188484.4749098807</v>
      </c>
      <c r="H344" s="13">
        <f>ROUND(SUM(H346:H362),0)/2</f>
        <v>0</v>
      </c>
      <c r="I344" s="10">
        <f>VLOOKUP(A344,Presupuesto!$A:$F,6,0)</f>
        <v>0</v>
      </c>
      <c r="J344" s="10">
        <f>+H344-I344</f>
        <v>0</v>
      </c>
      <c r="K344" s="46">
        <f>+H344-G344*E344</f>
        <v>0</v>
      </c>
    </row>
    <row r="345" spans="1:11" ht="12.75" customHeight="1" thickTop="1">
      <c r="A345" s="14"/>
      <c r="B345" s="15" t="s">
        <v>2586</v>
      </c>
      <c r="C345" s="15" t="s">
        <v>5</v>
      </c>
      <c r="D345" s="16" t="s">
        <v>6</v>
      </c>
      <c r="E345" s="17" t="s">
        <v>7</v>
      </c>
      <c r="F345" s="18" t="s">
        <v>3728</v>
      </c>
      <c r="G345" s="19" t="s">
        <v>3729</v>
      </c>
      <c r="H345" s="20" t="s">
        <v>3797</v>
      </c>
    </row>
    <row r="346" spans="1:11" ht="12.75" customHeight="1">
      <c r="A346" s="21"/>
      <c r="B346" s="22" t="s">
        <v>3730</v>
      </c>
      <c r="C346" s="23"/>
      <c r="D346" s="24"/>
      <c r="E346" s="25"/>
      <c r="F346" s="26"/>
      <c r="G346" s="27">
        <f>SUM(G347:G351)</f>
        <v>791493.15239150554</v>
      </c>
      <c r="H346" s="27">
        <f>IFERROR(G346*E344,"")</f>
        <v>0</v>
      </c>
    </row>
    <row r="347" spans="1:11" ht="12.75" customHeight="1">
      <c r="A347" s="28"/>
      <c r="B347" s="29" t="s">
        <v>3239</v>
      </c>
      <c r="C347" s="30" t="str">
        <f>IFERROR(_xlfn.XLOOKUP(B347,Insumo[DESCRIPCION],Insumo[UND],,0),"")</f>
        <v>M3</v>
      </c>
      <c r="D347" s="31">
        <v>1</v>
      </c>
      <c r="E347" s="32">
        <f>IFERROR(_xlfn.XLOOKUP($B347,Insumo[DESCRIPCION],Insumo[VALOR],,0),"")</f>
        <v>521159.50227762427</v>
      </c>
      <c r="F347" s="33">
        <v>5</v>
      </c>
      <c r="G347" s="34">
        <f>IFERROR(IF(F347&gt;=0,D347*E347*(1+F347/100),ABS(D347*E347/F347)),"")</f>
        <v>547217.4773915055</v>
      </c>
      <c r="H347" s="43">
        <f>IFERROR(G347*E344,"")</f>
        <v>0</v>
      </c>
    </row>
    <row r="348" spans="1:11" ht="12.75" customHeight="1">
      <c r="A348" s="28"/>
      <c r="B348" s="29" t="s">
        <v>2956</v>
      </c>
      <c r="C348" s="30" t="str">
        <f>IFERROR(_xlfn.XLOOKUP(B348,Insumo[DESCRIPCION],Insumo[UND],,0),"")</f>
        <v>M3</v>
      </c>
      <c r="D348" s="31">
        <v>1</v>
      </c>
      <c r="E348" s="32">
        <f>IFERROR(_xlfn.XLOOKUP($B348,Insumo[DESCRIPCION],Insumo[VALOR],,0),"")</f>
        <v>475327.65</v>
      </c>
      <c r="F348" s="33">
        <v>-2</v>
      </c>
      <c r="G348" s="34">
        <f>IFERROR(IF(F348&gt;=0,D348*E348*(1+F348/100),ABS(D348*E348/F348)),"")</f>
        <v>237663.82500000001</v>
      </c>
      <c r="H348" s="43">
        <f>IFERROR(G348*E344,"")</f>
        <v>0</v>
      </c>
    </row>
    <row r="349" spans="1:11" ht="12.75" customHeight="1">
      <c r="A349" s="28"/>
      <c r="B349" s="29" t="s">
        <v>3295</v>
      </c>
      <c r="C349" s="30" t="str">
        <f>IFERROR(_xlfn.XLOOKUP(B349,Insumo[DESCRIPCION],Insumo[UND],,0),"")</f>
        <v>Kg</v>
      </c>
      <c r="D349" s="31">
        <v>0.3</v>
      </c>
      <c r="E349" s="32">
        <f>IFERROR(_xlfn.XLOOKUP($B349,Insumo[DESCRIPCION],Insumo[VALOR],,0),"")</f>
        <v>22039.5</v>
      </c>
      <c r="F349" s="33"/>
      <c r="G349" s="34">
        <f>IFERROR(IF(F349&gt;=0,D349*E349*(1+F349/100),ABS(D349*E349/F349)),"")</f>
        <v>6611.8499999999995</v>
      </c>
      <c r="H349" s="43">
        <f>IFERROR(G349*E344,"")</f>
        <v>0</v>
      </c>
    </row>
    <row r="350" spans="1:11" ht="12.75" customHeight="1">
      <c r="A350" s="28"/>
      <c r="B350" s="29"/>
      <c r="C350" s="30" t="str">
        <f>IFERROR(_xlfn.XLOOKUP(B350,Insumo[DESCRIPCION],Insumo[UND],,0),"")</f>
        <v/>
      </c>
      <c r="D350" s="31"/>
      <c r="E350" s="32" t="str">
        <f>IFERROR(_xlfn.XLOOKUP($B350,Insumo[DESCRIPCION],Insumo[VALOR],,0),"")</f>
        <v/>
      </c>
      <c r="F350" s="33"/>
      <c r="G350" s="34" t="str">
        <f>IFERROR(IF(F350&gt;=0,D350*E350*(1+F350/100),ABS(D350*E350/F350)),"")</f>
        <v/>
      </c>
      <c r="H350" s="43" t="str">
        <f>IFERROR(G350*E344,"")</f>
        <v/>
      </c>
    </row>
    <row r="351" spans="1:11" ht="12.75" customHeight="1">
      <c r="A351" s="28"/>
      <c r="B351" s="29"/>
      <c r="C351" s="30" t="str">
        <f>IFERROR(_xlfn.XLOOKUP(B351,Insumo[DESCRIPCION],Insumo[UND],,0),"")</f>
        <v/>
      </c>
      <c r="D351" s="31"/>
      <c r="E351" s="32" t="str">
        <f>IFERROR(_xlfn.XLOOKUP($B351,Insumo[DESCRIPCION],Insumo[VALOR],,0),"")</f>
        <v/>
      </c>
      <c r="F351" s="33"/>
      <c r="G351" s="34" t="str">
        <f>IFERROR(IF(F351&gt;=0,D351*E351*(1+F351/100),ABS(D351*E351/F351)),"")</f>
        <v/>
      </c>
      <c r="H351" s="43" t="str">
        <f>IFERROR(G351*E344,"")</f>
        <v/>
      </c>
    </row>
    <row r="352" spans="1:11" ht="12.75" customHeight="1">
      <c r="A352" s="21"/>
      <c r="B352" s="22" t="s">
        <v>3731</v>
      </c>
      <c r="C352" s="23"/>
      <c r="D352" s="24"/>
      <c r="E352" s="25"/>
      <c r="F352" s="26"/>
      <c r="G352" s="27">
        <f>SUM(G353:G355)</f>
        <v>37964.847730875001</v>
      </c>
      <c r="H352" s="44">
        <f>G352*E344</f>
        <v>0</v>
      </c>
    </row>
    <row r="353" spans="1:11" ht="12.75" customHeight="1">
      <c r="A353" s="28"/>
      <c r="B353" s="29" t="s">
        <v>3657</v>
      </c>
      <c r="C353" s="30" t="str">
        <f>IFERROR(_xlfn.XLOOKUP(B353,Equipo[DESCRIPCION],Equipo[UND],,0),"")</f>
        <v>Día</v>
      </c>
      <c r="D353" s="31">
        <v>1</v>
      </c>
      <c r="E353" s="32">
        <f>IF(C353="%MO",G359,IFERROR(_xlfn.XLOOKUP($B353,Equipo[DESCRIPCION],Equipo[VALOR],,0),""))</f>
        <v>56524.65</v>
      </c>
      <c r="F353" s="33">
        <v>-10</v>
      </c>
      <c r="G353" s="34">
        <f>IFERROR(IF(F353&gt;=0,D353*E353*(1+F353/100),ABS(D353*E353/F353)),"")</f>
        <v>5652.4650000000001</v>
      </c>
      <c r="H353" s="43">
        <f>IFERROR(G353*E344,"")</f>
        <v>0</v>
      </c>
    </row>
    <row r="354" spans="1:11" ht="12.75" customHeight="1">
      <c r="A354" s="28"/>
      <c r="B354" s="29" t="s">
        <v>3570</v>
      </c>
      <c r="C354" s="30" t="str">
        <f>IFERROR(_xlfn.XLOOKUP(B354,Equipo[DESCRIPCION],Equipo[UND],,0),"")</f>
        <v>%MO</v>
      </c>
      <c r="D354" s="31">
        <v>0.04</v>
      </c>
      <c r="E354" s="32">
        <f>IF(C354="%MO",G359,IFERROR(_xlfn.XLOOKUP($B354,Equipo[DESCRIPCION],Equipo[VALOR],,0),""))</f>
        <v>359026.47478750005</v>
      </c>
      <c r="F354" s="33"/>
      <c r="G354" s="34">
        <f>IFERROR(IF(F354&gt;=0,D354*E354*(1+F354/100),ABS(D354*E354/F354)),"")</f>
        <v>14361.058991500002</v>
      </c>
      <c r="H354" s="43">
        <f>IFERROR(G354*E344,"")</f>
        <v>0</v>
      </c>
    </row>
    <row r="355" spans="1:11" ht="12.75" customHeight="1">
      <c r="A355" s="28"/>
      <c r="B355" s="29" t="s">
        <v>3626</v>
      </c>
      <c r="C355" s="30" t="str">
        <f>IFERROR(_xlfn.XLOOKUP(B355,Equipo[DESCRIPCION],Equipo[UND],,0),"")</f>
        <v>%MO</v>
      </c>
      <c r="D355" s="31">
        <v>0.05</v>
      </c>
      <c r="E355" s="32">
        <f>IF(C355="%MO",G359,IFERROR(_xlfn.XLOOKUP($B355,Equipo[DESCRIPCION],Equipo[VALOR],,0),""))</f>
        <v>359026.47478750005</v>
      </c>
      <c r="F355" s="33"/>
      <c r="G355" s="34">
        <f>IFERROR(IF(F355&gt;=0,D355*E355*(1+F355/100),ABS(D355*E355/F355)),"")</f>
        <v>17951.323739375002</v>
      </c>
      <c r="H355" s="43">
        <f>IFERROR(G355*E344,"")</f>
        <v>0</v>
      </c>
    </row>
    <row r="356" spans="1:11" ht="12.75" customHeight="1">
      <c r="A356" s="21"/>
      <c r="B356" s="22" t="s">
        <v>2533</v>
      </c>
      <c r="C356" s="23"/>
      <c r="D356" s="24"/>
      <c r="E356" s="25"/>
      <c r="F356" s="26"/>
      <c r="G356" s="27">
        <f>SUM(G357:G358)</f>
        <v>0</v>
      </c>
      <c r="H356" s="44">
        <f>G356*E344</f>
        <v>0</v>
      </c>
    </row>
    <row r="357" spans="1:11" ht="12.75" customHeight="1">
      <c r="A357" s="28"/>
      <c r="B357" s="29"/>
      <c r="C357" s="30" t="str">
        <f>IFERROR(_xlfn.XLOOKUP(B357,Transporte[DESCRIPCION],Transporte[UND],,0),"")</f>
        <v/>
      </c>
      <c r="D357" s="31"/>
      <c r="E357" s="32" t="str">
        <f>IFERROR(_xlfn.XLOOKUP($B357,Transporte[DESCRIPCION],Transporte[VALOR],,0),"")</f>
        <v/>
      </c>
      <c r="F357" s="33"/>
      <c r="G357" s="34" t="str">
        <f>IFERROR(IF(F357&gt;=0,D357*E357*(1+F357/100),ABS(D357*E357/F357)),"")</f>
        <v/>
      </c>
      <c r="H357" s="43" t="str">
        <f>IFERROR(G357*E344,"")</f>
        <v/>
      </c>
    </row>
    <row r="358" spans="1:11" ht="12.75" customHeight="1">
      <c r="A358" s="28"/>
      <c r="B358" s="29"/>
      <c r="C358" s="30" t="str">
        <f>IFERROR(_xlfn.XLOOKUP(B358,Transporte[DESCRIPCION],Transporte[UND],,0),"")</f>
        <v/>
      </c>
      <c r="D358" s="31"/>
      <c r="E358" s="32" t="str">
        <f>IFERROR(_xlfn.XLOOKUP($B358,Transporte[DESCRIPCION],Transporte[VALOR],,0),"")</f>
        <v/>
      </c>
      <c r="F358" s="33"/>
      <c r="G358" s="34" t="str">
        <f>IFERROR(IF(F358&gt;=0,D358*E358*(1+F358/100),ABS(D358*E358/F358)),"")</f>
        <v/>
      </c>
      <c r="H358" s="43" t="str">
        <f>IFERROR(G358*E344,"")</f>
        <v/>
      </c>
    </row>
    <row r="359" spans="1:11" ht="12.75" customHeight="1">
      <c r="A359" s="21"/>
      <c r="B359" s="22" t="s">
        <v>3732</v>
      </c>
      <c r="C359" s="23"/>
      <c r="D359" s="24"/>
      <c r="E359" s="25"/>
      <c r="F359" s="26"/>
      <c r="G359" s="27">
        <f>SUM(G360:G362)</f>
        <v>359026.47478750005</v>
      </c>
      <c r="H359" s="44">
        <f>G359*E344</f>
        <v>0</v>
      </c>
    </row>
    <row r="360" spans="1:11" ht="12.75" customHeight="1">
      <c r="A360" s="28"/>
      <c r="B360" s="29" t="s">
        <v>3711</v>
      </c>
      <c r="C360" s="30" t="str">
        <f>IFERROR(_xlfn.XLOOKUP(B360,MObra[DESCRIPCION],MObra[UN],,0),"")</f>
        <v>día</v>
      </c>
      <c r="D360" s="31">
        <v>1</v>
      </c>
      <c r="E360" s="32">
        <f>IFERROR(_xlfn.XLOOKUP($B360,MObra[DESCRIPCION],MObra[VALOR UNIT],,0),"")</f>
        <v>430831.76974500006</v>
      </c>
      <c r="F360" s="33">
        <v>-1.2</v>
      </c>
      <c r="G360" s="34">
        <f>IFERROR(IF(F360&gt;=0,D360*E360*(1+F360/100),ABS(D360*E360/F360)),"")</f>
        <v>359026.47478750005</v>
      </c>
      <c r="H360" s="43">
        <f>IFERROR(G360*E344,"")</f>
        <v>0</v>
      </c>
    </row>
    <row r="361" spans="1:11" ht="12.75" customHeight="1">
      <c r="A361" s="28"/>
      <c r="B361" s="29"/>
      <c r="C361" s="30" t="str">
        <f t="array" ref="C361">IFERROR(_xlfn.XLOOKUP(B361,MObra[[#All],[DESCRIPCION]],MObra[[#All],[UN]],,0),"")</f>
        <v/>
      </c>
      <c r="D361" s="31"/>
      <c r="E361" s="32" t="str">
        <f>IFERROR(_xlfn.XLOOKUP($B361,MObra[DESCRIPCION],MObra[VALOR UNIT],,0),"")</f>
        <v/>
      </c>
      <c r="F361" s="33"/>
      <c r="G361" s="34" t="str">
        <f>IFERROR(IF(F361&gt;=0,D361*E361*(1+F361/100),ABS(D361*E361/F361)),"")</f>
        <v/>
      </c>
      <c r="H361" s="43" t="str">
        <f>IFERROR(G361*E344,"")</f>
        <v/>
      </c>
    </row>
    <row r="362" spans="1:11" ht="12.75" customHeight="1" thickBot="1">
      <c r="A362" s="35"/>
      <c r="B362" s="36"/>
      <c r="C362" s="37" t="str">
        <f t="array" ref="C362">IFERROR(_xlfn.XLOOKUP(B362,MObra[[#All],[DESCRIPCION]],MObra[[#All],[UN]],,0),"")</f>
        <v/>
      </c>
      <c r="D362" s="38"/>
      <c r="E362" s="39" t="str">
        <f>IFERROR(_xlfn.XLOOKUP($B362,MObra[DESCRIPCION],MObra[VALOR UNIT],,0),"")</f>
        <v/>
      </c>
      <c r="F362" s="40"/>
      <c r="G362" s="41" t="str">
        <f>IFERROR(IF(F362&gt;=0,D362*E362*(1+F362/100),ABS(D362*E362/F362)),"")</f>
        <v/>
      </c>
      <c r="H362" s="42" t="str">
        <f>IFERROR(G362*E344,"")</f>
        <v/>
      </c>
    </row>
    <row r="363" spans="1:11" ht="12.75" customHeight="1" thickTop="1" thickBot="1"/>
    <row r="364" spans="1:11" ht="12.75" customHeight="1" thickTop="1" thickBot="1">
      <c r="A364" s="6" t="s">
        <v>345</v>
      </c>
      <c r="B364" s="7" t="str">
        <f>VLOOKUP($A364,Presupuesto!$A:$D,2,FALSE())</f>
        <v>Columna circular 20.7 Mpa (1.600 cm2 &lt;área&lt;= 2.500 cm2)</v>
      </c>
      <c r="C364" s="8" t="str">
        <f>VLOOKUP($A364,Presupuesto!$A:$D,3,FALSE())</f>
        <v>M3</v>
      </c>
      <c r="D364" s="9"/>
      <c r="E364" s="10">
        <f>VLOOKUP($A364,Presupuesto!$A:$D,4,FALSE())</f>
        <v>0</v>
      </c>
      <c r="F364" s="11" t="s">
        <v>2589</v>
      </c>
      <c r="G364" s="12">
        <f>SUM(G366:G382)/2</f>
        <v>1141183.5835972782</v>
      </c>
      <c r="H364" s="13">
        <f>ROUND(SUM(H366:H382),0)/2</f>
        <v>0</v>
      </c>
      <c r="I364" s="10">
        <f>VLOOKUP(A364,Presupuesto!$A:$F,6,0)</f>
        <v>0</v>
      </c>
      <c r="J364" s="10">
        <f>+H364-I364</f>
        <v>0</v>
      </c>
      <c r="K364" s="46">
        <f>+H364-G364*E364</f>
        <v>0</v>
      </c>
    </row>
    <row r="365" spans="1:11" ht="12.75" customHeight="1" thickTop="1">
      <c r="A365" s="14"/>
      <c r="B365" s="15" t="s">
        <v>2586</v>
      </c>
      <c r="C365" s="15" t="s">
        <v>5</v>
      </c>
      <c r="D365" s="16" t="s">
        <v>6</v>
      </c>
      <c r="E365" s="17" t="s">
        <v>7</v>
      </c>
      <c r="F365" s="18" t="s">
        <v>3728</v>
      </c>
      <c r="G365" s="19" t="s">
        <v>3729</v>
      </c>
      <c r="H365" s="20" t="s">
        <v>3797</v>
      </c>
    </row>
    <row r="366" spans="1:11" ht="12.75" customHeight="1">
      <c r="A366" s="21"/>
      <c r="B366" s="22" t="s">
        <v>3730</v>
      </c>
      <c r="C366" s="23"/>
      <c r="D366" s="24"/>
      <c r="E366" s="25"/>
      <c r="F366" s="26"/>
      <c r="G366" s="27">
        <f>SUM(G367:G371)</f>
        <v>774295.2501187782</v>
      </c>
      <c r="H366" s="27">
        <f>IFERROR(G366*E364,"")</f>
        <v>0</v>
      </c>
    </row>
    <row r="367" spans="1:11" ht="12.75" customHeight="1">
      <c r="A367" s="28"/>
      <c r="B367" s="29" t="s">
        <v>3239</v>
      </c>
      <c r="C367" s="30" t="str">
        <f>IFERROR(_xlfn.XLOOKUP(B367,Insumo[DESCRIPCION],Insumo[UND],,0),"")</f>
        <v>M3</v>
      </c>
      <c r="D367" s="31">
        <v>1</v>
      </c>
      <c r="E367" s="32">
        <f>IFERROR(_xlfn.XLOOKUP($B367,Insumo[DESCRIPCION],Insumo[VALOR],,0),"")</f>
        <v>521159.50227762427</v>
      </c>
      <c r="F367" s="33">
        <v>5</v>
      </c>
      <c r="G367" s="34">
        <f>IFERROR(IF(F367&gt;=0,D367*E367*(1+F367/100),ABS(D367*E367/F367)),"")</f>
        <v>547217.4773915055</v>
      </c>
      <c r="H367" s="43">
        <f>IFERROR(G367*E364,"")</f>
        <v>0</v>
      </c>
    </row>
    <row r="368" spans="1:11" ht="12.75" customHeight="1">
      <c r="A368" s="28"/>
      <c r="B368" s="29" t="s">
        <v>2956</v>
      </c>
      <c r="C368" s="30" t="str">
        <f>IFERROR(_xlfn.XLOOKUP(B368,Insumo[DESCRIPCION],Insumo[UND],,0),"")</f>
        <v>M3</v>
      </c>
      <c r="D368" s="31">
        <v>1</v>
      </c>
      <c r="E368" s="32">
        <f>IFERROR(_xlfn.XLOOKUP($B368,Insumo[DESCRIPCION],Insumo[VALOR],,0),"")</f>
        <v>475327.65</v>
      </c>
      <c r="F368" s="33">
        <v>-2.2000000000000002</v>
      </c>
      <c r="G368" s="34">
        <f>IFERROR(IF(F368&gt;=0,D368*E368*(1+F368/100),ABS(D368*E368/F368)),"")</f>
        <v>216058.02272727271</v>
      </c>
      <c r="H368" s="43">
        <f>IFERROR(G368*E364,"")</f>
        <v>0</v>
      </c>
    </row>
    <row r="369" spans="1:11" ht="12.75" customHeight="1">
      <c r="A369" s="28"/>
      <c r="B369" s="29" t="s">
        <v>3295</v>
      </c>
      <c r="C369" s="30" t="str">
        <f>IFERROR(_xlfn.XLOOKUP(B369,Insumo[DESCRIPCION],Insumo[UND],,0),"")</f>
        <v>Kg</v>
      </c>
      <c r="D369" s="31">
        <v>0.5</v>
      </c>
      <c r="E369" s="32">
        <f>IFERROR(_xlfn.XLOOKUP($B369,Insumo[DESCRIPCION],Insumo[VALOR],,0),"")</f>
        <v>22039.5</v>
      </c>
      <c r="F369" s="33"/>
      <c r="G369" s="34">
        <f>IFERROR(IF(F369&gt;=0,D369*E369*(1+F369/100),ABS(D369*E369/F369)),"")</f>
        <v>11019.75</v>
      </c>
      <c r="H369" s="43">
        <f>IFERROR(G369*E364,"")</f>
        <v>0</v>
      </c>
    </row>
    <row r="370" spans="1:11" ht="12.75" customHeight="1">
      <c r="A370" s="28"/>
      <c r="B370" s="29"/>
      <c r="C370" s="30" t="str">
        <f>IFERROR(_xlfn.XLOOKUP(B370,Insumo[DESCRIPCION],Insumo[UND],,0),"")</f>
        <v/>
      </c>
      <c r="D370" s="31"/>
      <c r="E370" s="32" t="str">
        <f>IFERROR(_xlfn.XLOOKUP($B370,Insumo[DESCRIPCION],Insumo[VALOR],,0),"")</f>
        <v/>
      </c>
      <c r="F370" s="33"/>
      <c r="G370" s="34" t="str">
        <f>IFERROR(IF(F370&gt;=0,D370*E370*(1+F370/100),ABS(D370*E370/F370)),"")</f>
        <v/>
      </c>
      <c r="H370" s="43" t="str">
        <f>IFERROR(G370*E364,"")</f>
        <v/>
      </c>
    </row>
    <row r="371" spans="1:11" ht="12.75" customHeight="1">
      <c r="A371" s="28"/>
      <c r="B371" s="29"/>
      <c r="C371" s="30" t="str">
        <f>IFERROR(_xlfn.XLOOKUP(B371,Insumo[DESCRIPCION],Insumo[UND],,0),"")</f>
        <v/>
      </c>
      <c r="D371" s="31"/>
      <c r="E371" s="32" t="str">
        <f>IFERROR(_xlfn.XLOOKUP($B371,Insumo[DESCRIPCION],Insumo[VALOR],,0),"")</f>
        <v/>
      </c>
      <c r="F371" s="33"/>
      <c r="G371" s="34" t="str">
        <f>IFERROR(IF(F371&gt;=0,D371*E371*(1+F371/100),ABS(D371*E371/F371)),"")</f>
        <v/>
      </c>
      <c r="H371" s="43" t="str">
        <f>IFERROR(G371*E364,"")</f>
        <v/>
      </c>
    </row>
    <row r="372" spans="1:11" ht="12.75" customHeight="1">
      <c r="A372" s="21"/>
      <c r="B372" s="22" t="s">
        <v>3731</v>
      </c>
      <c r="C372" s="23"/>
      <c r="D372" s="24"/>
      <c r="E372" s="25"/>
      <c r="F372" s="26"/>
      <c r="G372" s="27">
        <f>SUM(G373:G375)</f>
        <v>35479.279828500003</v>
      </c>
      <c r="H372" s="44">
        <f>G372*E364</f>
        <v>0</v>
      </c>
    </row>
    <row r="373" spans="1:11" ht="12.75" customHeight="1">
      <c r="A373" s="28"/>
      <c r="B373" s="29" t="s">
        <v>3657</v>
      </c>
      <c r="C373" s="30" t="str">
        <f>IFERROR(_xlfn.XLOOKUP(B373,Equipo[DESCRIPCION],Equipo[UND],,0),"")</f>
        <v>Día</v>
      </c>
      <c r="D373" s="31">
        <v>1</v>
      </c>
      <c r="E373" s="32">
        <f>IF(C373="%MO",G379,IFERROR(_xlfn.XLOOKUP($B373,Equipo[DESCRIPCION],Equipo[VALOR],,0),""))</f>
        <v>56524.65</v>
      </c>
      <c r="F373" s="33">
        <v>-10</v>
      </c>
      <c r="G373" s="34">
        <f>IFERROR(IF(F373&gt;=0,D373*E373*(1+F373/100),ABS(D373*E373/F373)),"")</f>
        <v>5652.4650000000001</v>
      </c>
      <c r="H373" s="43">
        <f>IFERROR(G373*E364,"")</f>
        <v>0</v>
      </c>
    </row>
    <row r="374" spans="1:11" ht="12.75" customHeight="1">
      <c r="A374" s="28"/>
      <c r="B374" s="29" t="s">
        <v>3570</v>
      </c>
      <c r="C374" s="30" t="str">
        <f>IFERROR(_xlfn.XLOOKUP(B374,Equipo[DESCRIPCION],Equipo[UND],,0),"")</f>
        <v>%MO</v>
      </c>
      <c r="D374" s="31">
        <v>0.04</v>
      </c>
      <c r="E374" s="32">
        <f>IF(C374="%MO",G379,IFERROR(_xlfn.XLOOKUP($B374,Equipo[DESCRIPCION],Equipo[VALOR],,0),""))</f>
        <v>331409.05365000002</v>
      </c>
      <c r="F374" s="33"/>
      <c r="G374" s="34">
        <f>IFERROR(IF(F374&gt;=0,D374*E374*(1+F374/100),ABS(D374*E374/F374)),"")</f>
        <v>13256.362146000001</v>
      </c>
      <c r="H374" s="43">
        <f>IFERROR(G374*E364,"")</f>
        <v>0</v>
      </c>
    </row>
    <row r="375" spans="1:11" ht="12.75" customHeight="1">
      <c r="A375" s="28"/>
      <c r="B375" s="29" t="s">
        <v>3626</v>
      </c>
      <c r="C375" s="30" t="str">
        <f>IFERROR(_xlfn.XLOOKUP(B375,Equipo[DESCRIPCION],Equipo[UND],,0),"")</f>
        <v>%MO</v>
      </c>
      <c r="D375" s="31">
        <v>0.05</v>
      </c>
      <c r="E375" s="32">
        <f>IF(C375="%MO",G379,IFERROR(_xlfn.XLOOKUP($B375,Equipo[DESCRIPCION],Equipo[VALOR],,0),""))</f>
        <v>331409.05365000002</v>
      </c>
      <c r="F375" s="33"/>
      <c r="G375" s="34">
        <f>IFERROR(IF(F375&gt;=0,D375*E375*(1+F375/100),ABS(D375*E375/F375)),"")</f>
        <v>16570.452682500003</v>
      </c>
      <c r="H375" s="43">
        <f>IFERROR(G375*E364,"")</f>
        <v>0</v>
      </c>
    </row>
    <row r="376" spans="1:11" ht="12.75" customHeight="1">
      <c r="A376" s="21"/>
      <c r="B376" s="22" t="s">
        <v>2533</v>
      </c>
      <c r="C376" s="23"/>
      <c r="D376" s="24"/>
      <c r="E376" s="25"/>
      <c r="F376" s="26"/>
      <c r="G376" s="27">
        <f>SUM(G377:G378)</f>
        <v>0</v>
      </c>
      <c r="H376" s="44">
        <f>G376*E364</f>
        <v>0</v>
      </c>
    </row>
    <row r="377" spans="1:11" ht="12.75" customHeight="1">
      <c r="A377" s="28"/>
      <c r="B377" s="29"/>
      <c r="C377" s="30" t="str">
        <f>IFERROR(_xlfn.XLOOKUP(B377,Transporte[DESCRIPCION],Transporte[UND],,0),"")</f>
        <v/>
      </c>
      <c r="D377" s="31"/>
      <c r="E377" s="32" t="str">
        <f>IFERROR(_xlfn.XLOOKUP($B377,Transporte[DESCRIPCION],Transporte[VALOR],,0),"")</f>
        <v/>
      </c>
      <c r="F377" s="33"/>
      <c r="G377" s="34" t="str">
        <f>IFERROR(IF(F377&gt;=0,D377*E377*(1+F377/100),ABS(D377*E377/F377)),"")</f>
        <v/>
      </c>
      <c r="H377" s="43" t="str">
        <f>IFERROR(G377*E364,"")</f>
        <v/>
      </c>
    </row>
    <row r="378" spans="1:11" ht="12.75" customHeight="1">
      <c r="A378" s="28"/>
      <c r="B378" s="29"/>
      <c r="C378" s="30" t="str">
        <f>IFERROR(_xlfn.XLOOKUP(B378,Transporte[DESCRIPCION],Transporte[UND],,0),"")</f>
        <v/>
      </c>
      <c r="D378" s="31"/>
      <c r="E378" s="32" t="str">
        <f>IFERROR(_xlfn.XLOOKUP($B378,Transporte[DESCRIPCION],Transporte[VALOR],,0),"")</f>
        <v/>
      </c>
      <c r="F378" s="33"/>
      <c r="G378" s="34" t="str">
        <f>IFERROR(IF(F378&gt;=0,D378*E378*(1+F378/100),ABS(D378*E378/F378)),"")</f>
        <v/>
      </c>
      <c r="H378" s="43" t="str">
        <f>IFERROR(G378*E364,"")</f>
        <v/>
      </c>
    </row>
    <row r="379" spans="1:11" ht="12.75" customHeight="1">
      <c r="A379" s="21"/>
      <c r="B379" s="22" t="s">
        <v>3732</v>
      </c>
      <c r="C379" s="23"/>
      <c r="D379" s="24"/>
      <c r="E379" s="25"/>
      <c r="F379" s="26"/>
      <c r="G379" s="27">
        <f>SUM(G380:G382)</f>
        <v>331409.05365000002</v>
      </c>
      <c r="H379" s="44">
        <f>G379*E364</f>
        <v>0</v>
      </c>
    </row>
    <row r="380" spans="1:11" ht="12.75" customHeight="1">
      <c r="A380" s="28"/>
      <c r="B380" s="29" t="s">
        <v>3711</v>
      </c>
      <c r="C380" s="30" t="str">
        <f>IFERROR(_xlfn.XLOOKUP(B380,MObra[DESCRIPCION],MObra[UN],,0),"")</f>
        <v>día</v>
      </c>
      <c r="D380" s="31">
        <v>1</v>
      </c>
      <c r="E380" s="32">
        <f>IFERROR(_xlfn.XLOOKUP($B380,MObra[DESCRIPCION],MObra[VALOR UNIT],,0),"")</f>
        <v>430831.76974500006</v>
      </c>
      <c r="F380" s="33">
        <v>-1.3</v>
      </c>
      <c r="G380" s="34">
        <f>IFERROR(IF(F380&gt;=0,D380*E380*(1+F380/100),ABS(D380*E380/F380)),"")</f>
        <v>331409.05365000002</v>
      </c>
      <c r="H380" s="43">
        <f>IFERROR(G380*E364,"")</f>
        <v>0</v>
      </c>
    </row>
    <row r="381" spans="1:11" ht="12.75" customHeight="1">
      <c r="A381" s="28"/>
      <c r="B381" s="29"/>
      <c r="C381" s="30" t="str">
        <f t="array" ref="C381">IFERROR(_xlfn.XLOOKUP(B381,MObra[[#All],[DESCRIPCION]],MObra[[#All],[UN]],,0),"")</f>
        <v/>
      </c>
      <c r="D381" s="31"/>
      <c r="E381" s="32" t="str">
        <f>IFERROR(_xlfn.XLOOKUP($B381,MObra[DESCRIPCION],MObra[VALOR UNIT],,0),"")</f>
        <v/>
      </c>
      <c r="F381" s="33"/>
      <c r="G381" s="34" t="str">
        <f>IFERROR(IF(F381&gt;=0,D381*E381*(1+F381/100),ABS(D381*E381/F381)),"")</f>
        <v/>
      </c>
      <c r="H381" s="43" t="str">
        <f>IFERROR(G381*E364,"")</f>
        <v/>
      </c>
    </row>
    <row r="382" spans="1:11" ht="12.75" customHeight="1" thickBot="1">
      <c r="A382" s="35"/>
      <c r="B382" s="36"/>
      <c r="C382" s="37" t="str">
        <f t="array" ref="C382">IFERROR(_xlfn.XLOOKUP(B382,MObra[[#All],[DESCRIPCION]],MObra[[#All],[UN]],,0),"")</f>
        <v/>
      </c>
      <c r="D382" s="38"/>
      <c r="E382" s="39" t="str">
        <f>IFERROR(_xlfn.XLOOKUP($B382,MObra[DESCRIPCION],MObra[VALOR UNIT],,0),"")</f>
        <v/>
      </c>
      <c r="F382" s="40"/>
      <c r="G382" s="41" t="str">
        <f>IFERROR(IF(F382&gt;=0,D382*E382*(1+F382/100),ABS(D382*E382/F382)),"")</f>
        <v/>
      </c>
      <c r="H382" s="42" t="str">
        <f>IFERROR(G382*E364,"")</f>
        <v/>
      </c>
    </row>
    <row r="383" spans="1:11" ht="12.75" customHeight="1" thickTop="1" thickBot="1"/>
    <row r="384" spans="1:11" ht="12.75" customHeight="1" thickTop="1" thickBot="1">
      <c r="A384" s="6" t="s">
        <v>347</v>
      </c>
      <c r="B384" s="7" t="str">
        <f>VLOOKUP($A384,Presupuesto!$A:$D,2,FALSE())</f>
        <v>Columna circular 20.7 Mpa (2.500 cm2 &lt;área&lt;= 3.600 cm2)</v>
      </c>
      <c r="C384" s="8" t="str">
        <f>VLOOKUP($A384,Presupuesto!$A:$D,3,FALSE())</f>
        <v>M3</v>
      </c>
      <c r="D384" s="9"/>
      <c r="E384" s="10">
        <f>VLOOKUP($A384,Presupuesto!$A:$D,4,FALSE())</f>
        <v>0</v>
      </c>
      <c r="F384" s="11" t="s">
        <v>2589</v>
      </c>
      <c r="G384" s="12">
        <f>SUM(G386:G402)/2</f>
        <v>1117006.9444880011</v>
      </c>
      <c r="H384" s="13">
        <f>ROUND(SUM(H386:H402),0)/2</f>
        <v>0</v>
      </c>
      <c r="I384" s="10">
        <f>VLOOKUP(A384,Presupuesto!$A:$F,6,0)</f>
        <v>0</v>
      </c>
      <c r="J384" s="10">
        <f>+H384-I384</f>
        <v>0</v>
      </c>
      <c r="K384" s="46">
        <f>+H384-G384*E384</f>
        <v>0</v>
      </c>
    </row>
    <row r="385" spans="1:8" ht="12.75" customHeight="1" thickTop="1">
      <c r="A385" s="14"/>
      <c r="B385" s="15" t="s">
        <v>2586</v>
      </c>
      <c r="C385" s="15" t="s">
        <v>5</v>
      </c>
      <c r="D385" s="16" t="s">
        <v>6</v>
      </c>
      <c r="E385" s="17" t="s">
        <v>7</v>
      </c>
      <c r="F385" s="18" t="s">
        <v>3728</v>
      </c>
      <c r="G385" s="19" t="s">
        <v>3729</v>
      </c>
      <c r="H385" s="20" t="s">
        <v>3797</v>
      </c>
    </row>
    <row r="386" spans="1:8" ht="12.75" customHeight="1">
      <c r="A386" s="21"/>
      <c r="B386" s="22" t="s">
        <v>3730</v>
      </c>
      <c r="C386" s="23"/>
      <c r="D386" s="24"/>
      <c r="E386" s="25"/>
      <c r="F386" s="26"/>
      <c r="G386" s="27">
        <f>SUM(G387:G391)</f>
        <v>775921.17304367945</v>
      </c>
      <c r="H386" s="27">
        <f>IFERROR(G386*E384,"")</f>
        <v>0</v>
      </c>
    </row>
    <row r="387" spans="1:8" ht="12.75" customHeight="1">
      <c r="A387" s="28"/>
      <c r="B387" s="29" t="s">
        <v>3239</v>
      </c>
      <c r="C387" s="30" t="str">
        <f>IFERROR(_xlfn.XLOOKUP(B387,Insumo[DESCRIPCION],Insumo[UND],,0),"")</f>
        <v>M3</v>
      </c>
      <c r="D387" s="31">
        <v>1</v>
      </c>
      <c r="E387" s="32">
        <f>IFERROR(_xlfn.XLOOKUP($B387,Insumo[DESCRIPCION],Insumo[VALOR],,0),"")</f>
        <v>521159.50227762427</v>
      </c>
      <c r="F387" s="33">
        <v>5</v>
      </c>
      <c r="G387" s="34">
        <f>IFERROR(IF(F387&gt;=0,D387*E387*(1+F387/100),ABS(D387*E387/F387)),"")</f>
        <v>547217.4773915055</v>
      </c>
      <c r="H387" s="43">
        <f>IFERROR(G387*E384,"")</f>
        <v>0</v>
      </c>
    </row>
    <row r="388" spans="1:8" ht="12.75" customHeight="1">
      <c r="A388" s="28"/>
      <c r="B388" s="29" t="s">
        <v>2956</v>
      </c>
      <c r="C388" s="30" t="str">
        <f>IFERROR(_xlfn.XLOOKUP(B388,Insumo[DESCRIPCION],Insumo[UND],,0),"")</f>
        <v>M3</v>
      </c>
      <c r="D388" s="31">
        <v>1</v>
      </c>
      <c r="E388" s="32">
        <f>IFERROR(_xlfn.XLOOKUP($B388,Insumo[DESCRIPCION],Insumo[VALOR],,0),"")</f>
        <v>475327.65</v>
      </c>
      <c r="F388" s="33">
        <v>-2.2999999999999998</v>
      </c>
      <c r="G388" s="34">
        <f>IFERROR(IF(F388&gt;=0,D388*E388*(1+F388/100),ABS(D388*E388/F388)),"")</f>
        <v>206664.19565217395</v>
      </c>
      <c r="H388" s="43">
        <f>IFERROR(G388*E384,"")</f>
        <v>0</v>
      </c>
    </row>
    <row r="389" spans="1:8" ht="12.75" customHeight="1">
      <c r="A389" s="28"/>
      <c r="B389" s="29" t="s">
        <v>3295</v>
      </c>
      <c r="C389" s="30" t="str">
        <f>IFERROR(_xlfn.XLOOKUP(B389,Insumo[DESCRIPCION],Insumo[UND],,0),"")</f>
        <v>Kg</v>
      </c>
      <c r="D389" s="31">
        <v>1</v>
      </c>
      <c r="E389" s="32">
        <f>IFERROR(_xlfn.XLOOKUP($B389,Insumo[DESCRIPCION],Insumo[VALOR],,0),"")</f>
        <v>22039.5</v>
      </c>
      <c r="F389" s="33"/>
      <c r="G389" s="34">
        <f>IFERROR(IF(F389&gt;=0,D389*E389*(1+F389/100),ABS(D389*E389/F389)),"")</f>
        <v>22039.5</v>
      </c>
      <c r="H389" s="43">
        <f>IFERROR(G389*E384,"")</f>
        <v>0</v>
      </c>
    </row>
    <row r="390" spans="1:8" ht="12.75" customHeight="1">
      <c r="A390" s="28"/>
      <c r="B390" s="29"/>
      <c r="C390" s="30" t="str">
        <f>IFERROR(_xlfn.XLOOKUP(B390,Insumo[DESCRIPCION],Insumo[UND],,0),"")</f>
        <v/>
      </c>
      <c r="D390" s="31"/>
      <c r="E390" s="32" t="str">
        <f>IFERROR(_xlfn.XLOOKUP($B390,Insumo[DESCRIPCION],Insumo[VALOR],,0),"")</f>
        <v/>
      </c>
      <c r="F390" s="33"/>
      <c r="G390" s="34" t="str">
        <f>IFERROR(IF(F390&gt;=0,D390*E390*(1+F390/100),ABS(D390*E390/F390)),"")</f>
        <v/>
      </c>
      <c r="H390" s="43" t="str">
        <f>IFERROR(G390*E384,"")</f>
        <v/>
      </c>
    </row>
    <row r="391" spans="1:8" ht="12.75" customHeight="1">
      <c r="A391" s="28"/>
      <c r="B391" s="29"/>
      <c r="C391" s="30" t="str">
        <f>IFERROR(_xlfn.XLOOKUP(B391,Insumo[DESCRIPCION],Insumo[UND],,0),"")</f>
        <v/>
      </c>
      <c r="D391" s="31"/>
      <c r="E391" s="32" t="str">
        <f>IFERROR(_xlfn.XLOOKUP($B391,Insumo[DESCRIPCION],Insumo[VALOR],,0),"")</f>
        <v/>
      </c>
      <c r="F391" s="33"/>
      <c r="G391" s="34" t="str">
        <f>IFERROR(IF(F391&gt;=0,D391*E391*(1+F391/100),ABS(D391*E391/F391)),"")</f>
        <v/>
      </c>
      <c r="H391" s="43" t="str">
        <f>IFERROR(G391*E384,"")</f>
        <v/>
      </c>
    </row>
    <row r="392" spans="1:8" ht="12.75" customHeight="1">
      <c r="A392" s="21"/>
      <c r="B392" s="22" t="s">
        <v>3731</v>
      </c>
      <c r="C392" s="23"/>
      <c r="D392" s="24"/>
      <c r="E392" s="25"/>
      <c r="F392" s="26"/>
      <c r="G392" s="27">
        <f>SUM(G393:G395)</f>
        <v>33348.79305503572</v>
      </c>
      <c r="H392" s="44">
        <f>G392*E384</f>
        <v>0</v>
      </c>
    </row>
    <row r="393" spans="1:8" ht="12.75" customHeight="1">
      <c r="A393" s="28"/>
      <c r="B393" s="29" t="s">
        <v>3657</v>
      </c>
      <c r="C393" s="30" t="str">
        <f>IFERROR(_xlfn.XLOOKUP(B393,Equipo[DESCRIPCION],Equipo[UND],,0),"")</f>
        <v>Día</v>
      </c>
      <c r="D393" s="31">
        <v>1</v>
      </c>
      <c r="E393" s="32">
        <f>IF(C393="%MO",G399,IFERROR(_xlfn.XLOOKUP($B393,Equipo[DESCRIPCION],Equipo[VALOR],,0),""))</f>
        <v>56524.65</v>
      </c>
      <c r="F393" s="33">
        <v>-10</v>
      </c>
      <c r="G393" s="34">
        <f>IFERROR(IF(F393&gt;=0,D393*E393*(1+F393/100),ABS(D393*E393/F393)),"")</f>
        <v>5652.4650000000001</v>
      </c>
      <c r="H393" s="43">
        <f>IFERROR(G393*E384,"")</f>
        <v>0</v>
      </c>
    </row>
    <row r="394" spans="1:8" ht="12.75" customHeight="1">
      <c r="A394" s="28"/>
      <c r="B394" s="29" t="s">
        <v>3570</v>
      </c>
      <c r="C394" s="30" t="str">
        <f>IFERROR(_xlfn.XLOOKUP(B394,Equipo[DESCRIPCION],Equipo[UND],,0),"")</f>
        <v>%MO</v>
      </c>
      <c r="D394" s="31">
        <v>0.04</v>
      </c>
      <c r="E394" s="32">
        <f>IF(C394="%MO",G399,IFERROR(_xlfn.XLOOKUP($B394,Equipo[DESCRIPCION],Equipo[VALOR],,0),""))</f>
        <v>307736.9783892858</v>
      </c>
      <c r="F394" s="33"/>
      <c r="G394" s="34">
        <f>IFERROR(IF(F394&gt;=0,D394*E394*(1+F394/100),ABS(D394*E394/F394)),"")</f>
        <v>12309.479135571431</v>
      </c>
      <c r="H394" s="43">
        <f>IFERROR(G394*E384,"")</f>
        <v>0</v>
      </c>
    </row>
    <row r="395" spans="1:8" ht="12.75" customHeight="1">
      <c r="A395" s="28"/>
      <c r="B395" s="29" t="s">
        <v>3626</v>
      </c>
      <c r="C395" s="30" t="str">
        <f>IFERROR(_xlfn.XLOOKUP(B395,Equipo[DESCRIPCION],Equipo[UND],,0),"")</f>
        <v>%MO</v>
      </c>
      <c r="D395" s="31">
        <v>0.05</v>
      </c>
      <c r="E395" s="32">
        <f>IF(C395="%MO",G399,IFERROR(_xlfn.XLOOKUP($B395,Equipo[DESCRIPCION],Equipo[VALOR],,0),""))</f>
        <v>307736.9783892858</v>
      </c>
      <c r="F395" s="33"/>
      <c r="G395" s="34">
        <f>IFERROR(IF(F395&gt;=0,D395*E395*(1+F395/100),ABS(D395*E395/F395)),"")</f>
        <v>15386.84891946429</v>
      </c>
      <c r="H395" s="43">
        <f>IFERROR(G395*E384,"")</f>
        <v>0</v>
      </c>
    </row>
    <row r="396" spans="1:8" ht="12.75" customHeight="1">
      <c r="A396" s="21"/>
      <c r="B396" s="22" t="s">
        <v>2533</v>
      </c>
      <c r="C396" s="23"/>
      <c r="D396" s="24"/>
      <c r="E396" s="25"/>
      <c r="F396" s="26"/>
      <c r="G396" s="27">
        <f>SUM(G397:G398)</f>
        <v>0</v>
      </c>
      <c r="H396" s="44">
        <f>G396*E384</f>
        <v>0</v>
      </c>
    </row>
    <row r="397" spans="1:8" ht="12.75" customHeight="1">
      <c r="A397" s="28"/>
      <c r="B397" s="29"/>
      <c r="C397" s="30" t="str">
        <f>IFERROR(_xlfn.XLOOKUP(B397,Transporte[DESCRIPCION],Transporte[UND],,0),"")</f>
        <v/>
      </c>
      <c r="D397" s="31"/>
      <c r="E397" s="32" t="str">
        <f>IFERROR(_xlfn.XLOOKUP($B397,Transporte[DESCRIPCION],Transporte[VALOR],,0),"")</f>
        <v/>
      </c>
      <c r="F397" s="33"/>
      <c r="G397" s="34" t="str">
        <f>IFERROR(IF(F397&gt;=0,D397*E397*(1+F397/100),ABS(D397*E397/F397)),"")</f>
        <v/>
      </c>
      <c r="H397" s="43" t="str">
        <f>IFERROR(G397*E384,"")</f>
        <v/>
      </c>
    </row>
    <row r="398" spans="1:8" ht="12.75" customHeight="1">
      <c r="A398" s="28"/>
      <c r="B398" s="29"/>
      <c r="C398" s="30" t="str">
        <f>IFERROR(_xlfn.XLOOKUP(B398,Transporte[DESCRIPCION],Transporte[UND],,0),"")</f>
        <v/>
      </c>
      <c r="D398" s="31"/>
      <c r="E398" s="32" t="str">
        <f>IFERROR(_xlfn.XLOOKUP($B398,Transporte[DESCRIPCION],Transporte[VALOR],,0),"")</f>
        <v/>
      </c>
      <c r="F398" s="33"/>
      <c r="G398" s="34" t="str">
        <f>IFERROR(IF(F398&gt;=0,D398*E398*(1+F398/100),ABS(D398*E398/F398)),"")</f>
        <v/>
      </c>
      <c r="H398" s="43" t="str">
        <f>IFERROR(G398*E384,"")</f>
        <v/>
      </c>
    </row>
    <row r="399" spans="1:8" ht="12.75" customHeight="1">
      <c r="A399" s="21"/>
      <c r="B399" s="22" t="s">
        <v>3732</v>
      </c>
      <c r="C399" s="23"/>
      <c r="D399" s="24"/>
      <c r="E399" s="25"/>
      <c r="F399" s="26"/>
      <c r="G399" s="27">
        <f>SUM(G400:G402)</f>
        <v>307736.9783892858</v>
      </c>
      <c r="H399" s="44">
        <f>G399*E384</f>
        <v>0</v>
      </c>
    </row>
    <row r="400" spans="1:8" ht="12.75" customHeight="1">
      <c r="A400" s="28"/>
      <c r="B400" s="29" t="s">
        <v>3711</v>
      </c>
      <c r="C400" s="30" t="str">
        <f>IFERROR(_xlfn.XLOOKUP(B400,MObra[DESCRIPCION],MObra[UN],,0),"")</f>
        <v>día</v>
      </c>
      <c r="D400" s="31">
        <v>1</v>
      </c>
      <c r="E400" s="32">
        <f>IFERROR(_xlfn.XLOOKUP($B400,MObra[DESCRIPCION],MObra[VALOR UNIT],,0),"")</f>
        <v>430831.76974500006</v>
      </c>
      <c r="F400" s="33">
        <v>-1.4</v>
      </c>
      <c r="G400" s="34">
        <f>IFERROR(IF(F400&gt;=0,D400*E400*(1+F400/100),ABS(D400*E400/F400)),"")</f>
        <v>307736.9783892858</v>
      </c>
      <c r="H400" s="43">
        <f>IFERROR(G400*E384,"")</f>
        <v>0</v>
      </c>
    </row>
    <row r="401" spans="1:11" ht="12.75" customHeight="1">
      <c r="A401" s="28"/>
      <c r="B401" s="29"/>
      <c r="C401" s="30" t="str">
        <f t="array" ref="C401">IFERROR(_xlfn.XLOOKUP(B401,MObra[[#All],[DESCRIPCION]],MObra[[#All],[UN]],,0),"")</f>
        <v/>
      </c>
      <c r="D401" s="31"/>
      <c r="E401" s="32" t="str">
        <f>IFERROR(_xlfn.XLOOKUP($B401,MObra[DESCRIPCION],MObra[VALOR UNIT],,0),"")</f>
        <v/>
      </c>
      <c r="F401" s="33"/>
      <c r="G401" s="34" t="str">
        <f>IFERROR(IF(F401&gt;=0,D401*E401*(1+F401/100),ABS(D401*E401/F401)),"")</f>
        <v/>
      </c>
      <c r="H401" s="43" t="str">
        <f>IFERROR(G401*E384,"")</f>
        <v/>
      </c>
    </row>
    <row r="402" spans="1:11" ht="12.75" customHeight="1" thickBot="1">
      <c r="A402" s="35"/>
      <c r="B402" s="36"/>
      <c r="C402" s="37" t="str">
        <f t="array" ref="C402">IFERROR(_xlfn.XLOOKUP(B402,MObra[[#All],[DESCRIPCION]],MObra[[#All],[UN]],,0),"")</f>
        <v/>
      </c>
      <c r="D402" s="38"/>
      <c r="E402" s="39" t="str">
        <f>IFERROR(_xlfn.XLOOKUP($B402,MObra[DESCRIPCION],MObra[VALOR UNIT],,0),"")</f>
        <v/>
      </c>
      <c r="F402" s="40"/>
      <c r="G402" s="41" t="str">
        <f>IFERROR(IF(F402&gt;=0,D402*E402*(1+F402/100),ABS(D402*E402/F402)),"")</f>
        <v/>
      </c>
      <c r="H402" s="42" t="str">
        <f>IFERROR(G402*E384,"")</f>
        <v/>
      </c>
    </row>
    <row r="403" spans="1:11" ht="12.75" customHeight="1" thickTop="1" thickBot="1"/>
    <row r="404" spans="1:11" ht="12.75" customHeight="1" thickTop="1" thickBot="1">
      <c r="A404" s="6" t="s">
        <v>349</v>
      </c>
      <c r="B404" s="7" t="str">
        <f>VLOOKUP($A404,Presupuesto!$A:$D,2,FALSE())</f>
        <v>Columna circular 20.7 Mpa (área &gt;=3.600 cm2)</v>
      </c>
      <c r="C404" s="8" t="str">
        <f>VLOOKUP($A404,Presupuesto!$A:$D,3,FALSE())</f>
        <v>M3</v>
      </c>
      <c r="D404" s="9"/>
      <c r="E404" s="10">
        <f>VLOOKUP($A404,Presupuesto!$A:$D,4,FALSE())</f>
        <v>0</v>
      </c>
      <c r="F404" s="11" t="s">
        <v>2589</v>
      </c>
      <c r="G404" s="12">
        <f>SUM(G406:G422)/2</f>
        <v>1086033.7159062056</v>
      </c>
      <c r="H404" s="13">
        <f>ROUND(SUM(H406:H422),0)/2</f>
        <v>0</v>
      </c>
      <c r="I404" s="10">
        <f>VLOOKUP(A404,Presupuesto!$A:$F,6,0)</f>
        <v>0</v>
      </c>
      <c r="J404" s="10">
        <f>+H404-I404</f>
        <v>0</v>
      </c>
      <c r="K404" s="46">
        <f>+H404-G404*E404</f>
        <v>0</v>
      </c>
    </row>
    <row r="405" spans="1:11" ht="12.75" customHeight="1" thickTop="1">
      <c r="A405" s="14"/>
      <c r="B405" s="15" t="s">
        <v>2586</v>
      </c>
      <c r="C405" s="15" t="s">
        <v>5</v>
      </c>
      <c r="D405" s="16" t="s">
        <v>6</v>
      </c>
      <c r="E405" s="17" t="s">
        <v>7</v>
      </c>
      <c r="F405" s="18" t="s">
        <v>3728</v>
      </c>
      <c r="G405" s="19" t="s">
        <v>3729</v>
      </c>
      <c r="H405" s="20" t="s">
        <v>3797</v>
      </c>
    </row>
    <row r="406" spans="1:11" ht="12.75" customHeight="1">
      <c r="A406" s="21"/>
      <c r="B406" s="22" t="s">
        <v>3730</v>
      </c>
      <c r="C406" s="23"/>
      <c r="D406" s="24"/>
      <c r="E406" s="25"/>
      <c r="F406" s="26"/>
      <c r="G406" s="27">
        <f>SUM(G407:G411)</f>
        <v>767310.1648915055</v>
      </c>
      <c r="H406" s="27">
        <f>IFERROR(G406*E404,"")</f>
        <v>0</v>
      </c>
    </row>
    <row r="407" spans="1:11" ht="12.75" customHeight="1">
      <c r="A407" s="28"/>
      <c r="B407" s="29" t="s">
        <v>3239</v>
      </c>
      <c r="C407" s="30" t="str">
        <f>IFERROR(_xlfn.XLOOKUP(B407,Insumo[DESCRIPCION],Insumo[UND],,0),"")</f>
        <v>M3</v>
      </c>
      <c r="D407" s="31">
        <v>1</v>
      </c>
      <c r="E407" s="32">
        <f>IFERROR(_xlfn.XLOOKUP($B407,Insumo[DESCRIPCION],Insumo[VALOR],,0),"")</f>
        <v>521159.50227762427</v>
      </c>
      <c r="F407" s="33">
        <v>5</v>
      </c>
      <c r="G407" s="34">
        <f>IFERROR(IF(F407&gt;=0,D407*E407*(1+F407/100),ABS(D407*E407/F407)),"")</f>
        <v>547217.4773915055</v>
      </c>
      <c r="H407" s="43">
        <f>IFERROR(G407*E404,"")</f>
        <v>0</v>
      </c>
    </row>
    <row r="408" spans="1:11" ht="12.75" customHeight="1">
      <c r="A408" s="28"/>
      <c r="B408" s="29" t="s">
        <v>2956</v>
      </c>
      <c r="C408" s="30" t="str">
        <f>IFERROR(_xlfn.XLOOKUP(B408,Insumo[DESCRIPCION],Insumo[UND],,0),"")</f>
        <v>M3</v>
      </c>
      <c r="D408" s="31">
        <v>1</v>
      </c>
      <c r="E408" s="32">
        <f>IFERROR(_xlfn.XLOOKUP($B408,Insumo[DESCRIPCION],Insumo[VALOR],,0),"")</f>
        <v>475327.65</v>
      </c>
      <c r="F408" s="33">
        <v>-2.4</v>
      </c>
      <c r="G408" s="34">
        <f>IFERROR(IF(F408&gt;=0,D408*E408*(1+F408/100),ABS(D408*E408/F408)),"")</f>
        <v>198053.18750000003</v>
      </c>
      <c r="H408" s="43">
        <f>IFERROR(G408*E404,"")</f>
        <v>0</v>
      </c>
    </row>
    <row r="409" spans="1:11" ht="12.75" customHeight="1">
      <c r="A409" s="28"/>
      <c r="B409" s="29" t="s">
        <v>3295</v>
      </c>
      <c r="C409" s="30" t="str">
        <f>IFERROR(_xlfn.XLOOKUP(B409,Insumo[DESCRIPCION],Insumo[UND],,0),"")</f>
        <v>Kg</v>
      </c>
      <c r="D409" s="31">
        <v>1</v>
      </c>
      <c r="E409" s="32">
        <f>IFERROR(_xlfn.XLOOKUP($B409,Insumo[DESCRIPCION],Insumo[VALOR],,0),"")</f>
        <v>22039.5</v>
      </c>
      <c r="F409" s="33"/>
      <c r="G409" s="34">
        <f>IFERROR(IF(F409&gt;=0,D409*E409*(1+F409/100),ABS(D409*E409/F409)),"")</f>
        <v>22039.5</v>
      </c>
      <c r="H409" s="43">
        <f>IFERROR(G409*E404,"")</f>
        <v>0</v>
      </c>
    </row>
    <row r="410" spans="1:11" ht="12.75" customHeight="1">
      <c r="A410" s="28"/>
      <c r="B410" s="29"/>
      <c r="C410" s="30" t="str">
        <f>IFERROR(_xlfn.XLOOKUP(B410,Insumo[DESCRIPCION],Insumo[UND],,0),"")</f>
        <v/>
      </c>
      <c r="D410" s="31"/>
      <c r="E410" s="32" t="str">
        <f>IFERROR(_xlfn.XLOOKUP($B410,Insumo[DESCRIPCION],Insumo[VALOR],,0),"")</f>
        <v/>
      </c>
      <c r="F410" s="33"/>
      <c r="G410" s="34" t="str">
        <f>IFERROR(IF(F410&gt;=0,D410*E410*(1+F410/100),ABS(D410*E410/F410)),"")</f>
        <v/>
      </c>
      <c r="H410" s="43" t="str">
        <f>IFERROR(G410*E404,"")</f>
        <v/>
      </c>
    </row>
    <row r="411" spans="1:11" ht="12.75" customHeight="1">
      <c r="A411" s="28"/>
      <c r="B411" s="29"/>
      <c r="C411" s="30" t="str">
        <f>IFERROR(_xlfn.XLOOKUP(B411,Insumo[DESCRIPCION],Insumo[UND],,0),"")</f>
        <v/>
      </c>
      <c r="D411" s="31"/>
      <c r="E411" s="32" t="str">
        <f>IFERROR(_xlfn.XLOOKUP($B411,Insumo[DESCRIPCION],Insumo[VALOR],,0),"")</f>
        <v/>
      </c>
      <c r="F411" s="33"/>
      <c r="G411" s="34" t="str">
        <f>IFERROR(IF(F411&gt;=0,D411*E411*(1+F411/100),ABS(D411*E411/F411)),"")</f>
        <v/>
      </c>
      <c r="H411" s="43" t="str">
        <f>IFERROR(G411*E404,"")</f>
        <v/>
      </c>
    </row>
    <row r="412" spans="1:11" ht="12.75" customHeight="1">
      <c r="A412" s="21"/>
      <c r="B412" s="22" t="s">
        <v>3731</v>
      </c>
      <c r="C412" s="23"/>
      <c r="D412" s="24"/>
      <c r="E412" s="25"/>
      <c r="F412" s="26"/>
      <c r="G412" s="27">
        <f>SUM(G413:G415)</f>
        <v>31502.371184700001</v>
      </c>
      <c r="H412" s="44">
        <f>G412*E404</f>
        <v>0</v>
      </c>
    </row>
    <row r="413" spans="1:11" ht="12.75" customHeight="1">
      <c r="A413" s="28"/>
      <c r="B413" s="29" t="s">
        <v>3657</v>
      </c>
      <c r="C413" s="30" t="str">
        <f>IFERROR(_xlfn.XLOOKUP(B413,Equipo[DESCRIPCION],Equipo[UND],,0),"")</f>
        <v>Día</v>
      </c>
      <c r="D413" s="31">
        <v>1</v>
      </c>
      <c r="E413" s="32">
        <f>IF(C413="%MO",G419,IFERROR(_xlfn.XLOOKUP($B413,Equipo[DESCRIPCION],Equipo[VALOR],,0),""))</f>
        <v>56524.65</v>
      </c>
      <c r="F413" s="33">
        <v>-10</v>
      </c>
      <c r="G413" s="34">
        <f>IFERROR(IF(F413&gt;=0,D413*E413*(1+F413/100),ABS(D413*E413/F413)),"")</f>
        <v>5652.4650000000001</v>
      </c>
      <c r="H413" s="43">
        <f>IFERROR(G413*E404,"")</f>
        <v>0</v>
      </c>
    </row>
    <row r="414" spans="1:11" ht="12.75" customHeight="1">
      <c r="A414" s="28"/>
      <c r="B414" s="29" t="s">
        <v>3570</v>
      </c>
      <c r="C414" s="30" t="str">
        <f>IFERROR(_xlfn.XLOOKUP(B414,Equipo[DESCRIPCION],Equipo[UND],,0),"")</f>
        <v>%MO</v>
      </c>
      <c r="D414" s="31">
        <v>0.04</v>
      </c>
      <c r="E414" s="32">
        <f>IF(C414="%MO",G419,IFERROR(_xlfn.XLOOKUP($B414,Equipo[DESCRIPCION],Equipo[VALOR],,0),""))</f>
        <v>287221.17983000004</v>
      </c>
      <c r="F414" s="33"/>
      <c r="G414" s="34">
        <f>IFERROR(IF(F414&gt;=0,D414*E414*(1+F414/100),ABS(D414*E414/F414)),"")</f>
        <v>11488.847193200001</v>
      </c>
      <c r="H414" s="43">
        <f>IFERROR(G414*E404,"")</f>
        <v>0</v>
      </c>
    </row>
    <row r="415" spans="1:11" ht="12.75" customHeight="1">
      <c r="A415" s="28"/>
      <c r="B415" s="29" t="s">
        <v>3626</v>
      </c>
      <c r="C415" s="30" t="str">
        <f>IFERROR(_xlfn.XLOOKUP(B415,Equipo[DESCRIPCION],Equipo[UND],,0),"")</f>
        <v>%MO</v>
      </c>
      <c r="D415" s="31">
        <v>0.05</v>
      </c>
      <c r="E415" s="32">
        <f>IF(C415="%MO",G419,IFERROR(_xlfn.XLOOKUP($B415,Equipo[DESCRIPCION],Equipo[VALOR],,0),""))</f>
        <v>287221.17983000004</v>
      </c>
      <c r="F415" s="33"/>
      <c r="G415" s="34">
        <f>IFERROR(IF(F415&gt;=0,D415*E415*(1+F415/100),ABS(D415*E415/F415)),"")</f>
        <v>14361.058991500002</v>
      </c>
      <c r="H415" s="43">
        <f>IFERROR(G415*E404,"")</f>
        <v>0</v>
      </c>
    </row>
    <row r="416" spans="1:11" ht="12.75" customHeight="1">
      <c r="A416" s="21"/>
      <c r="B416" s="22" t="s">
        <v>2533</v>
      </c>
      <c r="C416" s="23"/>
      <c r="D416" s="24"/>
      <c r="E416" s="25"/>
      <c r="F416" s="26"/>
      <c r="G416" s="27">
        <f>SUM(G417:G418)</f>
        <v>0</v>
      </c>
      <c r="H416" s="44">
        <f>G416*E404</f>
        <v>0</v>
      </c>
    </row>
    <row r="417" spans="1:11" ht="12.75" customHeight="1">
      <c r="A417" s="28"/>
      <c r="B417" s="29"/>
      <c r="C417" s="30" t="str">
        <f>IFERROR(_xlfn.XLOOKUP(B417,Transporte[DESCRIPCION],Transporte[UND],,0),"")</f>
        <v/>
      </c>
      <c r="D417" s="31"/>
      <c r="E417" s="32" t="str">
        <f>IFERROR(_xlfn.XLOOKUP($B417,Transporte[DESCRIPCION],Transporte[VALOR],,0),"")</f>
        <v/>
      </c>
      <c r="F417" s="33"/>
      <c r="G417" s="34" t="str">
        <f>IFERROR(IF(F417&gt;=0,D417*E417*(1+F417/100),ABS(D417*E417/F417)),"")</f>
        <v/>
      </c>
      <c r="H417" s="43" t="str">
        <f>IFERROR(G417*E404,"")</f>
        <v/>
      </c>
    </row>
    <row r="418" spans="1:11" ht="12.75" customHeight="1">
      <c r="A418" s="28"/>
      <c r="B418" s="29"/>
      <c r="C418" s="30" t="str">
        <f>IFERROR(_xlfn.XLOOKUP(B418,Transporte[DESCRIPCION],Transporte[UND],,0),"")</f>
        <v/>
      </c>
      <c r="D418" s="31"/>
      <c r="E418" s="32" t="str">
        <f>IFERROR(_xlfn.XLOOKUP($B418,Transporte[DESCRIPCION],Transporte[VALOR],,0),"")</f>
        <v/>
      </c>
      <c r="F418" s="33"/>
      <c r="G418" s="34" t="str">
        <f>IFERROR(IF(F418&gt;=0,D418*E418*(1+F418/100),ABS(D418*E418/F418)),"")</f>
        <v/>
      </c>
      <c r="H418" s="43" t="str">
        <f>IFERROR(G418*E404,"")</f>
        <v/>
      </c>
    </row>
    <row r="419" spans="1:11" ht="12.75" customHeight="1">
      <c r="A419" s="21"/>
      <c r="B419" s="22" t="s">
        <v>3732</v>
      </c>
      <c r="C419" s="23"/>
      <c r="D419" s="24"/>
      <c r="E419" s="25"/>
      <c r="F419" s="26"/>
      <c r="G419" s="27">
        <f>SUM(G420:G422)</f>
        <v>287221.17983000004</v>
      </c>
      <c r="H419" s="44">
        <f>G419*E404</f>
        <v>0</v>
      </c>
    </row>
    <row r="420" spans="1:11" ht="12.75" customHeight="1">
      <c r="A420" s="28"/>
      <c r="B420" s="29" t="s">
        <v>3711</v>
      </c>
      <c r="C420" s="30" t="str">
        <f>IFERROR(_xlfn.XLOOKUP(B420,MObra[DESCRIPCION],MObra[UN],,0),"")</f>
        <v>día</v>
      </c>
      <c r="D420" s="31">
        <v>1</v>
      </c>
      <c r="E420" s="32">
        <f>IFERROR(_xlfn.XLOOKUP($B420,MObra[DESCRIPCION],MObra[VALOR UNIT],,0),"")</f>
        <v>430831.76974500006</v>
      </c>
      <c r="F420" s="33">
        <v>-1.5</v>
      </c>
      <c r="G420" s="34">
        <f>IFERROR(IF(F420&gt;=0,D420*E420*(1+F420/100),ABS(D420*E420/F420)),"")</f>
        <v>287221.17983000004</v>
      </c>
      <c r="H420" s="43">
        <f>IFERROR(G420*E404,"")</f>
        <v>0</v>
      </c>
    </row>
    <row r="421" spans="1:11" ht="12.75" customHeight="1">
      <c r="A421" s="28"/>
      <c r="B421" s="29"/>
      <c r="C421" s="30" t="str">
        <f t="array" ref="C421">IFERROR(_xlfn.XLOOKUP(B421,MObra[[#All],[DESCRIPCION]],MObra[[#All],[UN]],,0),"")</f>
        <v/>
      </c>
      <c r="D421" s="31"/>
      <c r="E421" s="32" t="str">
        <f>IFERROR(_xlfn.XLOOKUP($B421,MObra[DESCRIPCION],MObra[VALOR UNIT],,0),"")</f>
        <v/>
      </c>
      <c r="F421" s="33"/>
      <c r="G421" s="34" t="str">
        <f>IFERROR(IF(F421&gt;=0,D421*E421*(1+F421/100),ABS(D421*E421/F421)),"")</f>
        <v/>
      </c>
      <c r="H421" s="43" t="str">
        <f>IFERROR(G421*E404,"")</f>
        <v/>
      </c>
    </row>
    <row r="422" spans="1:11" ht="12.75" customHeight="1" thickBot="1">
      <c r="A422" s="35"/>
      <c r="B422" s="36"/>
      <c r="C422" s="37" t="str">
        <f t="array" ref="C422">IFERROR(_xlfn.XLOOKUP(B422,MObra[[#All],[DESCRIPCION]],MObra[[#All],[UN]],,0),"")</f>
        <v/>
      </c>
      <c r="D422" s="38"/>
      <c r="E422" s="39" t="str">
        <f>IFERROR(_xlfn.XLOOKUP($B422,MObra[DESCRIPCION],MObra[VALOR UNIT],,0),"")</f>
        <v/>
      </c>
      <c r="F422" s="40"/>
      <c r="G422" s="41" t="str">
        <f>IFERROR(IF(F422&gt;=0,D422*E422*(1+F422/100),ABS(D422*E422/F422)),"")</f>
        <v/>
      </c>
      <c r="H422" s="42" t="str">
        <f>IFERROR(G422*E404,"")</f>
        <v/>
      </c>
    </row>
    <row r="423" spans="1:11" ht="12.75" customHeight="1" thickTop="1" thickBot="1"/>
    <row r="424" spans="1:11" ht="12.75" customHeight="1" thickTop="1" thickBot="1">
      <c r="A424" s="6" t="s">
        <v>351</v>
      </c>
      <c r="B424" s="7" t="str">
        <f>VLOOKUP($A424,Presupuesto!$A:$D,2,FALSE())</f>
        <v>Columna circular 24.1 Mpa (área &lt;=1.600 cm2)</v>
      </c>
      <c r="C424" s="8" t="str">
        <f>VLOOKUP($A424,Presupuesto!$A:$D,3,FALSE())</f>
        <v>M3</v>
      </c>
      <c r="D424" s="9"/>
      <c r="E424" s="10">
        <f>VLOOKUP($A424,Presupuesto!$A:$D,4,FALSE())</f>
        <v>0</v>
      </c>
      <c r="F424" s="11" t="s">
        <v>2589</v>
      </c>
      <c r="G424" s="12">
        <f>SUM(G426:G442)/2</f>
        <v>1208046.8161893145</v>
      </c>
      <c r="H424" s="13">
        <f>ROUND(SUM(H426:H442),0)/2</f>
        <v>0</v>
      </c>
      <c r="I424" s="10">
        <f>VLOOKUP(A424,Presupuesto!$A:$F,6,0)</f>
        <v>0</v>
      </c>
      <c r="J424" s="10">
        <f>+H424-I424</f>
        <v>0</v>
      </c>
      <c r="K424" s="46">
        <f>+H424-G424*E424</f>
        <v>0</v>
      </c>
    </row>
    <row r="425" spans="1:11" ht="12.75" customHeight="1" thickTop="1">
      <c r="A425" s="14"/>
      <c r="B425" s="15" t="s">
        <v>2586</v>
      </c>
      <c r="C425" s="15" t="s">
        <v>5</v>
      </c>
      <c r="D425" s="16" t="s">
        <v>6</v>
      </c>
      <c r="E425" s="17" t="s">
        <v>7</v>
      </c>
      <c r="F425" s="18" t="s">
        <v>3728</v>
      </c>
      <c r="G425" s="19" t="s">
        <v>3729</v>
      </c>
      <c r="H425" s="20" t="s">
        <v>3797</v>
      </c>
    </row>
    <row r="426" spans="1:11" ht="12.75" customHeight="1">
      <c r="A426" s="21"/>
      <c r="B426" s="22" t="s">
        <v>3730</v>
      </c>
      <c r="C426" s="23"/>
      <c r="D426" s="24"/>
      <c r="E426" s="25"/>
      <c r="F426" s="26"/>
      <c r="G426" s="27">
        <f>SUM(G427:G431)</f>
        <v>811055.49367093935</v>
      </c>
      <c r="H426" s="27">
        <f>IFERROR(G426*E424,"")</f>
        <v>0</v>
      </c>
    </row>
    <row r="427" spans="1:11" ht="12.75" customHeight="1">
      <c r="A427" s="28"/>
      <c r="B427" s="29" t="s">
        <v>3240</v>
      </c>
      <c r="C427" s="30" t="str">
        <f>IFERROR(_xlfn.XLOOKUP(B427,Insumo[DESCRIPCION],Insumo[UND],,0),"")</f>
        <v>M3</v>
      </c>
      <c r="D427" s="31">
        <v>1</v>
      </c>
      <c r="E427" s="32">
        <f>IFERROR(_xlfn.XLOOKUP($B427,Insumo[DESCRIPCION],Insumo[VALOR],,0),"")</f>
        <v>539790.3034961326</v>
      </c>
      <c r="F427" s="33">
        <v>5</v>
      </c>
      <c r="G427" s="34">
        <f>IFERROR(IF(F427&gt;=0,D427*E427*(1+F427/100),ABS(D427*E427/F427)),"")</f>
        <v>566779.8186709393</v>
      </c>
      <c r="H427" s="43">
        <f>IFERROR(G427*E424,"")</f>
        <v>0</v>
      </c>
    </row>
    <row r="428" spans="1:11" ht="12.75" customHeight="1">
      <c r="A428" s="28"/>
      <c r="B428" s="29" t="s">
        <v>2956</v>
      </c>
      <c r="C428" s="30" t="str">
        <f>IFERROR(_xlfn.XLOOKUP(B428,Insumo[DESCRIPCION],Insumo[UND],,0),"")</f>
        <v>M3</v>
      </c>
      <c r="D428" s="31">
        <v>1</v>
      </c>
      <c r="E428" s="32">
        <f>IFERROR(_xlfn.XLOOKUP($B428,Insumo[DESCRIPCION],Insumo[VALOR],,0),"")</f>
        <v>475327.65</v>
      </c>
      <c r="F428" s="33">
        <v>-2</v>
      </c>
      <c r="G428" s="34">
        <f>IFERROR(IF(F428&gt;=0,D428*E428*(1+F428/100),ABS(D428*E428/F428)),"")</f>
        <v>237663.82500000001</v>
      </c>
      <c r="H428" s="43">
        <f>IFERROR(G428*E424,"")</f>
        <v>0</v>
      </c>
    </row>
    <row r="429" spans="1:11" ht="12.75" customHeight="1">
      <c r="A429" s="28"/>
      <c r="B429" s="29" t="s">
        <v>3295</v>
      </c>
      <c r="C429" s="30" t="str">
        <f>IFERROR(_xlfn.XLOOKUP(B429,Insumo[DESCRIPCION],Insumo[UND],,0),"")</f>
        <v>Kg</v>
      </c>
      <c r="D429" s="31">
        <v>0.3</v>
      </c>
      <c r="E429" s="32">
        <f>IFERROR(_xlfn.XLOOKUP($B429,Insumo[DESCRIPCION],Insumo[VALOR],,0),"")</f>
        <v>22039.5</v>
      </c>
      <c r="F429" s="33"/>
      <c r="G429" s="34">
        <f>IFERROR(IF(F429&gt;=0,D429*E429*(1+F429/100),ABS(D429*E429/F429)),"")</f>
        <v>6611.8499999999995</v>
      </c>
      <c r="H429" s="43">
        <f>IFERROR(G429*E424,"")</f>
        <v>0</v>
      </c>
    </row>
    <row r="430" spans="1:11" ht="12.75" customHeight="1">
      <c r="A430" s="28"/>
      <c r="B430" s="29"/>
      <c r="C430" s="30" t="str">
        <f>IFERROR(_xlfn.XLOOKUP(B430,Insumo[DESCRIPCION],Insumo[UND],,0),"")</f>
        <v/>
      </c>
      <c r="D430" s="31"/>
      <c r="E430" s="32" t="str">
        <f>IFERROR(_xlfn.XLOOKUP($B430,Insumo[DESCRIPCION],Insumo[VALOR],,0),"")</f>
        <v/>
      </c>
      <c r="F430" s="33"/>
      <c r="G430" s="34" t="str">
        <f>IFERROR(IF(F430&gt;=0,D430*E430*(1+F430/100),ABS(D430*E430/F430)),"")</f>
        <v/>
      </c>
      <c r="H430" s="43" t="str">
        <f>IFERROR(G430*E424,"")</f>
        <v/>
      </c>
    </row>
    <row r="431" spans="1:11" ht="12.75" customHeight="1">
      <c r="A431" s="28"/>
      <c r="B431" s="29"/>
      <c r="C431" s="30" t="str">
        <f>IFERROR(_xlfn.XLOOKUP(B431,Insumo[DESCRIPCION],Insumo[UND],,0),"")</f>
        <v/>
      </c>
      <c r="D431" s="31"/>
      <c r="E431" s="32" t="str">
        <f>IFERROR(_xlfn.XLOOKUP($B431,Insumo[DESCRIPCION],Insumo[VALOR],,0),"")</f>
        <v/>
      </c>
      <c r="F431" s="33"/>
      <c r="G431" s="34" t="str">
        <f>IFERROR(IF(F431&gt;=0,D431*E431*(1+F431/100),ABS(D431*E431/F431)),"")</f>
        <v/>
      </c>
      <c r="H431" s="43" t="str">
        <f>IFERROR(G431*E424,"")</f>
        <v/>
      </c>
    </row>
    <row r="432" spans="1:11" ht="12.75" customHeight="1">
      <c r="A432" s="21"/>
      <c r="B432" s="22" t="s">
        <v>3731</v>
      </c>
      <c r="C432" s="23"/>
      <c r="D432" s="24"/>
      <c r="E432" s="25"/>
      <c r="F432" s="26"/>
      <c r="G432" s="27">
        <f>SUM(G433:G435)</f>
        <v>37964.847730875001</v>
      </c>
      <c r="H432" s="44">
        <f>G432*E424</f>
        <v>0</v>
      </c>
    </row>
    <row r="433" spans="1:11" ht="12.75" customHeight="1">
      <c r="A433" s="28"/>
      <c r="B433" s="29" t="s">
        <v>3657</v>
      </c>
      <c r="C433" s="30" t="str">
        <f>IFERROR(_xlfn.XLOOKUP(B433,Equipo[DESCRIPCION],Equipo[UND],,0),"")</f>
        <v>Día</v>
      </c>
      <c r="D433" s="31">
        <v>1</v>
      </c>
      <c r="E433" s="32">
        <f>IF(C433="%MO",G439,IFERROR(_xlfn.XLOOKUP($B433,Equipo[DESCRIPCION],Equipo[VALOR],,0),""))</f>
        <v>56524.65</v>
      </c>
      <c r="F433" s="33">
        <v>-10</v>
      </c>
      <c r="G433" s="34">
        <f>IFERROR(IF(F433&gt;=0,D433*E433*(1+F433/100),ABS(D433*E433/F433)),"")</f>
        <v>5652.4650000000001</v>
      </c>
      <c r="H433" s="43">
        <f>IFERROR(G433*E424,"")</f>
        <v>0</v>
      </c>
    </row>
    <row r="434" spans="1:11" ht="12.75" customHeight="1">
      <c r="A434" s="28"/>
      <c r="B434" s="29" t="s">
        <v>3570</v>
      </c>
      <c r="C434" s="30" t="str">
        <f>IFERROR(_xlfn.XLOOKUP(B434,Equipo[DESCRIPCION],Equipo[UND],,0),"")</f>
        <v>%MO</v>
      </c>
      <c r="D434" s="31">
        <v>0.04</v>
      </c>
      <c r="E434" s="32">
        <f>IF(C434="%MO",G439,IFERROR(_xlfn.XLOOKUP($B434,Equipo[DESCRIPCION],Equipo[VALOR],,0),""))</f>
        <v>359026.47478750005</v>
      </c>
      <c r="F434" s="33"/>
      <c r="G434" s="34">
        <f>IFERROR(IF(F434&gt;=0,D434*E434*(1+F434/100),ABS(D434*E434/F434)),"")</f>
        <v>14361.058991500002</v>
      </c>
      <c r="H434" s="43">
        <f>IFERROR(G434*E424,"")</f>
        <v>0</v>
      </c>
    </row>
    <row r="435" spans="1:11" ht="12.75" customHeight="1">
      <c r="A435" s="28"/>
      <c r="B435" s="29" t="s">
        <v>3626</v>
      </c>
      <c r="C435" s="30" t="str">
        <f>IFERROR(_xlfn.XLOOKUP(B435,Equipo[DESCRIPCION],Equipo[UND],,0),"")</f>
        <v>%MO</v>
      </c>
      <c r="D435" s="31">
        <v>0.05</v>
      </c>
      <c r="E435" s="32">
        <f>IF(C435="%MO",G439,IFERROR(_xlfn.XLOOKUP($B435,Equipo[DESCRIPCION],Equipo[VALOR],,0),""))</f>
        <v>359026.47478750005</v>
      </c>
      <c r="F435" s="33"/>
      <c r="G435" s="34">
        <f>IFERROR(IF(F435&gt;=0,D435*E435*(1+F435/100),ABS(D435*E435/F435)),"")</f>
        <v>17951.323739375002</v>
      </c>
      <c r="H435" s="43">
        <f>IFERROR(G435*E424,"")</f>
        <v>0</v>
      </c>
    </row>
    <row r="436" spans="1:11" ht="12.75" customHeight="1">
      <c r="A436" s="21"/>
      <c r="B436" s="22" t="s">
        <v>2533</v>
      </c>
      <c r="C436" s="23"/>
      <c r="D436" s="24"/>
      <c r="E436" s="25"/>
      <c r="F436" s="26"/>
      <c r="G436" s="27">
        <f>SUM(G437:G438)</f>
        <v>0</v>
      </c>
      <c r="H436" s="44">
        <f>G436*E424</f>
        <v>0</v>
      </c>
    </row>
    <row r="437" spans="1:11" ht="12.75" customHeight="1">
      <c r="A437" s="28"/>
      <c r="B437" s="29"/>
      <c r="C437" s="30" t="str">
        <f>IFERROR(_xlfn.XLOOKUP(B437,Transporte[DESCRIPCION],Transporte[UND],,0),"")</f>
        <v/>
      </c>
      <c r="D437" s="31"/>
      <c r="E437" s="32" t="str">
        <f>IFERROR(_xlfn.XLOOKUP($B437,Transporte[DESCRIPCION],Transporte[VALOR],,0),"")</f>
        <v/>
      </c>
      <c r="F437" s="33"/>
      <c r="G437" s="34" t="str">
        <f>IFERROR(IF(F437&gt;=0,D437*E437*(1+F437/100),ABS(D437*E437/F437)),"")</f>
        <v/>
      </c>
      <c r="H437" s="43" t="str">
        <f>IFERROR(G437*E424,"")</f>
        <v/>
      </c>
    </row>
    <row r="438" spans="1:11" ht="12.75" customHeight="1">
      <c r="A438" s="28"/>
      <c r="B438" s="29"/>
      <c r="C438" s="30" t="str">
        <f>IFERROR(_xlfn.XLOOKUP(B438,Transporte[DESCRIPCION],Transporte[UND],,0),"")</f>
        <v/>
      </c>
      <c r="D438" s="31"/>
      <c r="E438" s="32" t="str">
        <f>IFERROR(_xlfn.XLOOKUP($B438,Transporte[DESCRIPCION],Transporte[VALOR],,0),"")</f>
        <v/>
      </c>
      <c r="F438" s="33"/>
      <c r="G438" s="34" t="str">
        <f>IFERROR(IF(F438&gt;=0,D438*E438*(1+F438/100),ABS(D438*E438/F438)),"")</f>
        <v/>
      </c>
      <c r="H438" s="43" t="str">
        <f>IFERROR(G438*E424,"")</f>
        <v/>
      </c>
    </row>
    <row r="439" spans="1:11" ht="12.75" customHeight="1">
      <c r="A439" s="21"/>
      <c r="B439" s="22" t="s">
        <v>3732</v>
      </c>
      <c r="C439" s="23"/>
      <c r="D439" s="24"/>
      <c r="E439" s="25"/>
      <c r="F439" s="26"/>
      <c r="G439" s="27">
        <f>SUM(G440:G442)</f>
        <v>359026.47478750005</v>
      </c>
      <c r="H439" s="44">
        <f>G439*E424</f>
        <v>0</v>
      </c>
    </row>
    <row r="440" spans="1:11" ht="12.75" customHeight="1">
      <c r="A440" s="28"/>
      <c r="B440" s="29" t="s">
        <v>3711</v>
      </c>
      <c r="C440" s="30" t="str">
        <f>IFERROR(_xlfn.XLOOKUP(B440,MObra[DESCRIPCION],MObra[UN],,0),"")</f>
        <v>día</v>
      </c>
      <c r="D440" s="31">
        <v>1</v>
      </c>
      <c r="E440" s="32">
        <f>IFERROR(_xlfn.XLOOKUP($B440,MObra[DESCRIPCION],MObra[VALOR UNIT],,0),"")</f>
        <v>430831.76974500006</v>
      </c>
      <c r="F440" s="33">
        <v>-1.2</v>
      </c>
      <c r="G440" s="34">
        <f>IFERROR(IF(F440&gt;=0,D440*E440*(1+F440/100),ABS(D440*E440/F440)),"")</f>
        <v>359026.47478750005</v>
      </c>
      <c r="H440" s="43">
        <f>IFERROR(G440*E424,"")</f>
        <v>0</v>
      </c>
    </row>
    <row r="441" spans="1:11" ht="12.75" customHeight="1">
      <c r="A441" s="28"/>
      <c r="B441" s="29"/>
      <c r="C441" s="30" t="str">
        <f t="array" ref="C441">IFERROR(_xlfn.XLOOKUP(B441,MObra[[#All],[DESCRIPCION]],MObra[[#All],[UN]],,0),"")</f>
        <v/>
      </c>
      <c r="D441" s="31"/>
      <c r="E441" s="32" t="str">
        <f>IFERROR(_xlfn.XLOOKUP($B441,MObra[DESCRIPCION],MObra[VALOR UNIT],,0),"")</f>
        <v/>
      </c>
      <c r="F441" s="33"/>
      <c r="G441" s="34" t="str">
        <f>IFERROR(IF(F441&gt;=0,D441*E441*(1+F441/100),ABS(D441*E441/F441)),"")</f>
        <v/>
      </c>
      <c r="H441" s="43" t="str">
        <f>IFERROR(G441*E424,"")</f>
        <v/>
      </c>
    </row>
    <row r="442" spans="1:11" ht="12.75" customHeight="1" thickBot="1">
      <c r="A442" s="35"/>
      <c r="B442" s="36"/>
      <c r="C442" s="37" t="str">
        <f t="array" ref="C442">IFERROR(_xlfn.XLOOKUP(B442,MObra[[#All],[DESCRIPCION]],MObra[[#All],[UN]],,0),"")</f>
        <v/>
      </c>
      <c r="D442" s="38"/>
      <c r="E442" s="39" t="str">
        <f>IFERROR(_xlfn.XLOOKUP($B442,MObra[DESCRIPCION],MObra[VALOR UNIT],,0),"")</f>
        <v/>
      </c>
      <c r="F442" s="40"/>
      <c r="G442" s="41" t="str">
        <f>IFERROR(IF(F442&gt;=0,D442*E442*(1+F442/100),ABS(D442*E442/F442)),"")</f>
        <v/>
      </c>
      <c r="H442" s="42" t="str">
        <f>IFERROR(G442*E424,"")</f>
        <v/>
      </c>
    </row>
    <row r="443" spans="1:11" ht="12.75" customHeight="1" thickTop="1" thickBot="1"/>
    <row r="444" spans="1:11" ht="12.75" customHeight="1" thickTop="1" thickBot="1">
      <c r="A444" s="6" t="s">
        <v>353</v>
      </c>
      <c r="B444" s="7" t="str">
        <f>VLOOKUP($A444,Presupuesto!$A:$D,2,FALSE())</f>
        <v>Columna circular 24.1 Mpa (1.600 cm2 &lt;área&lt;= 2.500 cm2)</v>
      </c>
      <c r="C444" s="8" t="str">
        <f>VLOOKUP($A444,Presupuesto!$A:$D,3,FALSE())</f>
        <v>M3</v>
      </c>
      <c r="D444" s="9"/>
      <c r="E444" s="10">
        <f>VLOOKUP($A444,Presupuesto!$A:$D,4,FALSE())</f>
        <v>0</v>
      </c>
      <c r="F444" s="11" t="s">
        <v>2589</v>
      </c>
      <c r="G444" s="12">
        <f>SUM(G446:G462)/2</f>
        <v>1160745.924876712</v>
      </c>
      <c r="H444" s="13">
        <f>ROUND(SUM(H446:H462),0)/2</f>
        <v>0</v>
      </c>
      <c r="I444" s="10">
        <f>VLOOKUP(A444,Presupuesto!$A:$F,6,0)</f>
        <v>0</v>
      </c>
      <c r="J444" s="10">
        <f>+H444-I444</f>
        <v>0</v>
      </c>
      <c r="K444" s="46">
        <f>+H444-G444*E444</f>
        <v>0</v>
      </c>
    </row>
    <row r="445" spans="1:11" ht="12.75" customHeight="1" thickTop="1">
      <c r="A445" s="14"/>
      <c r="B445" s="15" t="s">
        <v>2586</v>
      </c>
      <c r="C445" s="15" t="s">
        <v>5</v>
      </c>
      <c r="D445" s="16" t="s">
        <v>6</v>
      </c>
      <c r="E445" s="17" t="s">
        <v>7</v>
      </c>
      <c r="F445" s="18" t="s">
        <v>3728</v>
      </c>
      <c r="G445" s="19" t="s">
        <v>3729</v>
      </c>
      <c r="H445" s="20" t="s">
        <v>3797</v>
      </c>
    </row>
    <row r="446" spans="1:11" ht="12.75" customHeight="1">
      <c r="A446" s="21"/>
      <c r="B446" s="22" t="s">
        <v>3730</v>
      </c>
      <c r="C446" s="23"/>
      <c r="D446" s="24"/>
      <c r="E446" s="25"/>
      <c r="F446" s="26"/>
      <c r="G446" s="27">
        <f>SUM(G447:G451)</f>
        <v>793857.59139821201</v>
      </c>
      <c r="H446" s="27">
        <f>IFERROR(G446*E444,"")</f>
        <v>0</v>
      </c>
    </row>
    <row r="447" spans="1:11" ht="12.75" customHeight="1">
      <c r="A447" s="28"/>
      <c r="B447" s="29" t="s">
        <v>3240</v>
      </c>
      <c r="C447" s="30" t="str">
        <f>IFERROR(_xlfn.XLOOKUP(B447,Insumo[DESCRIPCION],Insumo[UND],,0),"")</f>
        <v>M3</v>
      </c>
      <c r="D447" s="31">
        <v>1</v>
      </c>
      <c r="E447" s="32">
        <f>IFERROR(_xlfn.XLOOKUP($B447,Insumo[DESCRIPCION],Insumo[VALOR],,0),"")</f>
        <v>539790.3034961326</v>
      </c>
      <c r="F447" s="33">
        <v>5</v>
      </c>
      <c r="G447" s="34">
        <f>IFERROR(IF(F447&gt;=0,D447*E447*(1+F447/100),ABS(D447*E447/F447)),"")</f>
        <v>566779.8186709393</v>
      </c>
      <c r="H447" s="43">
        <f>IFERROR(G447*E444,"")</f>
        <v>0</v>
      </c>
    </row>
    <row r="448" spans="1:11" ht="12.75" customHeight="1">
      <c r="A448" s="28"/>
      <c r="B448" s="29" t="s">
        <v>2956</v>
      </c>
      <c r="C448" s="30" t="str">
        <f>IFERROR(_xlfn.XLOOKUP(B448,Insumo[DESCRIPCION],Insumo[UND],,0),"")</f>
        <v>M3</v>
      </c>
      <c r="D448" s="31">
        <v>1</v>
      </c>
      <c r="E448" s="32">
        <f>IFERROR(_xlfn.XLOOKUP($B448,Insumo[DESCRIPCION],Insumo[VALOR],,0),"")</f>
        <v>475327.65</v>
      </c>
      <c r="F448" s="33">
        <v>-2.2000000000000002</v>
      </c>
      <c r="G448" s="34">
        <f>IFERROR(IF(F448&gt;=0,D448*E448*(1+F448/100),ABS(D448*E448/F448)),"")</f>
        <v>216058.02272727271</v>
      </c>
      <c r="H448" s="43">
        <f>IFERROR(G448*E444,"")</f>
        <v>0</v>
      </c>
    </row>
    <row r="449" spans="1:11" ht="12.75" customHeight="1">
      <c r="A449" s="28"/>
      <c r="B449" s="29" t="s">
        <v>3295</v>
      </c>
      <c r="C449" s="30" t="str">
        <f>IFERROR(_xlfn.XLOOKUP(B449,Insumo[DESCRIPCION],Insumo[UND],,0),"")</f>
        <v>Kg</v>
      </c>
      <c r="D449" s="31">
        <v>0.5</v>
      </c>
      <c r="E449" s="32">
        <f>IFERROR(_xlfn.XLOOKUP($B449,Insumo[DESCRIPCION],Insumo[VALOR],,0),"")</f>
        <v>22039.5</v>
      </c>
      <c r="F449" s="33"/>
      <c r="G449" s="34">
        <f>IFERROR(IF(F449&gt;=0,D449*E449*(1+F449/100),ABS(D449*E449/F449)),"")</f>
        <v>11019.75</v>
      </c>
      <c r="H449" s="43">
        <f>IFERROR(G449*E444,"")</f>
        <v>0</v>
      </c>
    </row>
    <row r="450" spans="1:11" ht="12.75" customHeight="1">
      <c r="A450" s="28"/>
      <c r="B450" s="29"/>
      <c r="C450" s="30" t="str">
        <f>IFERROR(_xlfn.XLOOKUP(B450,Insumo[DESCRIPCION],Insumo[UND],,0),"")</f>
        <v/>
      </c>
      <c r="D450" s="31"/>
      <c r="E450" s="32" t="str">
        <f>IFERROR(_xlfn.XLOOKUP($B450,Insumo[DESCRIPCION],Insumo[VALOR],,0),"")</f>
        <v/>
      </c>
      <c r="F450" s="33"/>
      <c r="G450" s="34" t="str">
        <f>IFERROR(IF(F450&gt;=0,D450*E450*(1+F450/100),ABS(D450*E450/F450)),"")</f>
        <v/>
      </c>
      <c r="H450" s="43" t="str">
        <f>IFERROR(G450*E444,"")</f>
        <v/>
      </c>
    </row>
    <row r="451" spans="1:11" ht="12.75" customHeight="1">
      <c r="A451" s="28"/>
      <c r="B451" s="29"/>
      <c r="C451" s="30" t="str">
        <f>IFERROR(_xlfn.XLOOKUP(B451,Insumo[DESCRIPCION],Insumo[UND],,0),"")</f>
        <v/>
      </c>
      <c r="D451" s="31"/>
      <c r="E451" s="32" t="str">
        <f>IFERROR(_xlfn.XLOOKUP($B451,Insumo[DESCRIPCION],Insumo[VALOR],,0),"")</f>
        <v/>
      </c>
      <c r="F451" s="33"/>
      <c r="G451" s="34" t="str">
        <f>IFERROR(IF(F451&gt;=0,D451*E451*(1+F451/100),ABS(D451*E451/F451)),"")</f>
        <v/>
      </c>
      <c r="H451" s="43" t="str">
        <f>IFERROR(G451*E444,"")</f>
        <v/>
      </c>
    </row>
    <row r="452" spans="1:11" ht="12.75" customHeight="1">
      <c r="A452" s="21"/>
      <c r="B452" s="22" t="s">
        <v>3731</v>
      </c>
      <c r="C452" s="23"/>
      <c r="D452" s="24"/>
      <c r="E452" s="25"/>
      <c r="F452" s="26"/>
      <c r="G452" s="27">
        <f>SUM(G453:G455)</f>
        <v>35479.279828500003</v>
      </c>
      <c r="H452" s="44">
        <f>G452*E444</f>
        <v>0</v>
      </c>
    </row>
    <row r="453" spans="1:11" ht="12.75" customHeight="1">
      <c r="A453" s="28"/>
      <c r="B453" s="29" t="s">
        <v>3657</v>
      </c>
      <c r="C453" s="30" t="str">
        <f>IFERROR(_xlfn.XLOOKUP(B453,Equipo[DESCRIPCION],Equipo[UND],,0),"")</f>
        <v>Día</v>
      </c>
      <c r="D453" s="31">
        <v>1</v>
      </c>
      <c r="E453" s="32">
        <f>IF(C453="%MO",G459,IFERROR(_xlfn.XLOOKUP($B453,Equipo[DESCRIPCION],Equipo[VALOR],,0),""))</f>
        <v>56524.65</v>
      </c>
      <c r="F453" s="33">
        <v>-10</v>
      </c>
      <c r="G453" s="34">
        <f>IFERROR(IF(F453&gt;=0,D453*E453*(1+F453/100),ABS(D453*E453/F453)),"")</f>
        <v>5652.4650000000001</v>
      </c>
      <c r="H453" s="43">
        <f>IFERROR(G453*E444,"")</f>
        <v>0</v>
      </c>
    </row>
    <row r="454" spans="1:11" ht="12.75" customHeight="1">
      <c r="A454" s="28"/>
      <c r="B454" s="29" t="s">
        <v>3570</v>
      </c>
      <c r="C454" s="30" t="str">
        <f>IFERROR(_xlfn.XLOOKUP(B454,Equipo[DESCRIPCION],Equipo[UND],,0),"")</f>
        <v>%MO</v>
      </c>
      <c r="D454" s="31">
        <v>0.04</v>
      </c>
      <c r="E454" s="32">
        <f>IF(C454="%MO",G459,IFERROR(_xlfn.XLOOKUP($B454,Equipo[DESCRIPCION],Equipo[VALOR],,0),""))</f>
        <v>331409.05365000002</v>
      </c>
      <c r="F454" s="33"/>
      <c r="G454" s="34">
        <f>IFERROR(IF(F454&gt;=0,D454*E454*(1+F454/100),ABS(D454*E454/F454)),"")</f>
        <v>13256.362146000001</v>
      </c>
      <c r="H454" s="43">
        <f>IFERROR(G454*E444,"")</f>
        <v>0</v>
      </c>
    </row>
    <row r="455" spans="1:11" ht="12.75" customHeight="1">
      <c r="A455" s="28"/>
      <c r="B455" s="29" t="s">
        <v>3626</v>
      </c>
      <c r="C455" s="30" t="str">
        <f>IFERROR(_xlfn.XLOOKUP(B455,Equipo[DESCRIPCION],Equipo[UND],,0),"")</f>
        <v>%MO</v>
      </c>
      <c r="D455" s="31">
        <v>0.05</v>
      </c>
      <c r="E455" s="32">
        <f>IF(C455="%MO",G459,IFERROR(_xlfn.XLOOKUP($B455,Equipo[DESCRIPCION],Equipo[VALOR],,0),""))</f>
        <v>331409.05365000002</v>
      </c>
      <c r="F455" s="33"/>
      <c r="G455" s="34">
        <f>IFERROR(IF(F455&gt;=0,D455*E455*(1+F455/100),ABS(D455*E455/F455)),"")</f>
        <v>16570.452682500003</v>
      </c>
      <c r="H455" s="43">
        <f>IFERROR(G455*E444,"")</f>
        <v>0</v>
      </c>
    </row>
    <row r="456" spans="1:11" ht="12.75" customHeight="1">
      <c r="A456" s="21"/>
      <c r="B456" s="22" t="s">
        <v>2533</v>
      </c>
      <c r="C456" s="23"/>
      <c r="D456" s="24"/>
      <c r="E456" s="25"/>
      <c r="F456" s="26"/>
      <c r="G456" s="27">
        <f>SUM(G457:G458)</f>
        <v>0</v>
      </c>
      <c r="H456" s="44">
        <f>G456*E444</f>
        <v>0</v>
      </c>
    </row>
    <row r="457" spans="1:11" ht="12.75" customHeight="1">
      <c r="A457" s="28"/>
      <c r="B457" s="29"/>
      <c r="C457" s="30" t="str">
        <f>IFERROR(_xlfn.XLOOKUP(B457,Transporte[DESCRIPCION],Transporte[UND],,0),"")</f>
        <v/>
      </c>
      <c r="D457" s="31"/>
      <c r="E457" s="32" t="str">
        <f>IFERROR(_xlfn.XLOOKUP($B457,Transporte[DESCRIPCION],Transporte[VALOR],,0),"")</f>
        <v/>
      </c>
      <c r="F457" s="33"/>
      <c r="G457" s="34" t="str">
        <f>IFERROR(IF(F457&gt;=0,D457*E457*(1+F457/100),ABS(D457*E457/F457)),"")</f>
        <v/>
      </c>
      <c r="H457" s="43" t="str">
        <f>IFERROR(G457*E444,"")</f>
        <v/>
      </c>
    </row>
    <row r="458" spans="1:11" ht="12.75" customHeight="1">
      <c r="A458" s="28"/>
      <c r="B458" s="29"/>
      <c r="C458" s="30" t="str">
        <f>IFERROR(_xlfn.XLOOKUP(B458,Transporte[DESCRIPCION],Transporte[UND],,0),"")</f>
        <v/>
      </c>
      <c r="D458" s="31"/>
      <c r="E458" s="32" t="str">
        <f>IFERROR(_xlfn.XLOOKUP($B458,Transporte[DESCRIPCION],Transporte[VALOR],,0),"")</f>
        <v/>
      </c>
      <c r="F458" s="33"/>
      <c r="G458" s="34" t="str">
        <f>IFERROR(IF(F458&gt;=0,D458*E458*(1+F458/100),ABS(D458*E458/F458)),"")</f>
        <v/>
      </c>
      <c r="H458" s="43" t="str">
        <f>IFERROR(G458*E444,"")</f>
        <v/>
      </c>
    </row>
    <row r="459" spans="1:11" ht="12.75" customHeight="1">
      <c r="A459" s="21"/>
      <c r="B459" s="22" t="s">
        <v>3732</v>
      </c>
      <c r="C459" s="23"/>
      <c r="D459" s="24"/>
      <c r="E459" s="25"/>
      <c r="F459" s="26"/>
      <c r="G459" s="27">
        <f>SUM(G460:G462)</f>
        <v>331409.05365000002</v>
      </c>
      <c r="H459" s="44">
        <f>G459*E444</f>
        <v>0</v>
      </c>
    </row>
    <row r="460" spans="1:11" ht="12.75" customHeight="1">
      <c r="A460" s="28"/>
      <c r="B460" s="29" t="s">
        <v>3711</v>
      </c>
      <c r="C460" s="30" t="str">
        <f>IFERROR(_xlfn.XLOOKUP(B460,MObra[DESCRIPCION],MObra[UN],,0),"")</f>
        <v>día</v>
      </c>
      <c r="D460" s="31">
        <v>1</v>
      </c>
      <c r="E460" s="32">
        <f>IFERROR(_xlfn.XLOOKUP($B460,MObra[DESCRIPCION],MObra[VALOR UNIT],,0),"")</f>
        <v>430831.76974500006</v>
      </c>
      <c r="F460" s="33">
        <v>-1.3</v>
      </c>
      <c r="G460" s="34">
        <f>IFERROR(IF(F460&gt;=0,D460*E460*(1+F460/100),ABS(D460*E460/F460)),"")</f>
        <v>331409.05365000002</v>
      </c>
      <c r="H460" s="43">
        <f>IFERROR(G460*E444,"")</f>
        <v>0</v>
      </c>
    </row>
    <row r="461" spans="1:11" ht="12.75" customHeight="1">
      <c r="A461" s="28"/>
      <c r="B461" s="29"/>
      <c r="C461" s="30" t="str">
        <f t="array" ref="C461">IFERROR(_xlfn.XLOOKUP(B461,MObra[[#All],[DESCRIPCION]],MObra[[#All],[UN]],,0),"")</f>
        <v/>
      </c>
      <c r="D461" s="31"/>
      <c r="E461" s="32" t="str">
        <f>IFERROR(_xlfn.XLOOKUP($B461,MObra[DESCRIPCION],MObra[VALOR UNIT],,0),"")</f>
        <v/>
      </c>
      <c r="F461" s="33"/>
      <c r="G461" s="34" t="str">
        <f>IFERROR(IF(F461&gt;=0,D461*E461*(1+F461/100),ABS(D461*E461/F461)),"")</f>
        <v/>
      </c>
      <c r="H461" s="43" t="str">
        <f>IFERROR(G461*E444,"")</f>
        <v/>
      </c>
    </row>
    <row r="462" spans="1:11" ht="12.75" customHeight="1" thickBot="1">
      <c r="A462" s="35"/>
      <c r="B462" s="36"/>
      <c r="C462" s="37" t="str">
        <f t="array" ref="C462">IFERROR(_xlfn.XLOOKUP(B462,MObra[[#All],[DESCRIPCION]],MObra[[#All],[UN]],,0),"")</f>
        <v/>
      </c>
      <c r="D462" s="38"/>
      <c r="E462" s="39" t="str">
        <f>IFERROR(_xlfn.XLOOKUP($B462,MObra[DESCRIPCION],MObra[VALOR UNIT],,0),"")</f>
        <v/>
      </c>
      <c r="F462" s="40"/>
      <c r="G462" s="41" t="str">
        <f>IFERROR(IF(F462&gt;=0,D462*E462*(1+F462/100),ABS(D462*E462/F462)),"")</f>
        <v/>
      </c>
      <c r="H462" s="42" t="str">
        <f>IFERROR(G462*E444,"")</f>
        <v/>
      </c>
    </row>
    <row r="463" spans="1:11" ht="12.75" customHeight="1" thickTop="1" thickBot="1"/>
    <row r="464" spans="1:11" ht="12.75" customHeight="1" thickTop="1" thickBot="1">
      <c r="A464" s="6" t="s">
        <v>355</v>
      </c>
      <c r="B464" s="7" t="str">
        <f>VLOOKUP($A464,Presupuesto!$A:$D,2,FALSE())</f>
        <v>Columna circular 24.1 Mpa (2.500 cm2 &lt;área&lt;= 3.600 cm2)</v>
      </c>
      <c r="C464" s="8" t="str">
        <f>VLOOKUP($A464,Presupuesto!$A:$D,3,FALSE())</f>
        <v>M3</v>
      </c>
      <c r="D464" s="9"/>
      <c r="E464" s="10">
        <f>VLOOKUP($A464,Presupuesto!$A:$D,4,FALSE())</f>
        <v>0</v>
      </c>
      <c r="F464" s="11" t="s">
        <v>2589</v>
      </c>
      <c r="G464" s="12">
        <f>SUM(G466:G482)/2</f>
        <v>1136569.2857674349</v>
      </c>
      <c r="H464" s="13">
        <f>ROUND(SUM(H466:H482),0)/2</f>
        <v>0</v>
      </c>
      <c r="I464" s="10">
        <f>VLOOKUP(A464,Presupuesto!$A:$F,6,0)</f>
        <v>0</v>
      </c>
      <c r="J464" s="10">
        <f>+H464-I464</f>
        <v>0</v>
      </c>
      <c r="K464" s="46">
        <f>+H464-G464*E464</f>
        <v>0</v>
      </c>
    </row>
    <row r="465" spans="1:8" ht="12.75" customHeight="1" thickTop="1">
      <c r="A465" s="14"/>
      <c r="B465" s="15" t="s">
        <v>2586</v>
      </c>
      <c r="C465" s="15" t="s">
        <v>5</v>
      </c>
      <c r="D465" s="16" t="s">
        <v>6</v>
      </c>
      <c r="E465" s="17" t="s">
        <v>7</v>
      </c>
      <c r="F465" s="18" t="s">
        <v>3728</v>
      </c>
      <c r="G465" s="19" t="s">
        <v>3729</v>
      </c>
      <c r="H465" s="20" t="s">
        <v>3797</v>
      </c>
    </row>
    <row r="466" spans="1:8" ht="12.75" customHeight="1">
      <c r="A466" s="21"/>
      <c r="B466" s="22" t="s">
        <v>3730</v>
      </c>
      <c r="C466" s="23"/>
      <c r="D466" s="24"/>
      <c r="E466" s="25"/>
      <c r="F466" s="26"/>
      <c r="G466" s="27">
        <f>SUM(G467:G471)</f>
        <v>795483.51432311325</v>
      </c>
      <c r="H466" s="27">
        <f>IFERROR(G466*E464,"")</f>
        <v>0</v>
      </c>
    </row>
    <row r="467" spans="1:8" ht="12.75" customHeight="1">
      <c r="A467" s="28"/>
      <c r="B467" s="29" t="s">
        <v>3240</v>
      </c>
      <c r="C467" s="30" t="str">
        <f>IFERROR(_xlfn.XLOOKUP(B467,Insumo[DESCRIPCION],Insumo[UND],,0),"")</f>
        <v>M3</v>
      </c>
      <c r="D467" s="31">
        <v>1</v>
      </c>
      <c r="E467" s="32">
        <f>IFERROR(_xlfn.XLOOKUP($B467,Insumo[DESCRIPCION],Insumo[VALOR],,0),"")</f>
        <v>539790.3034961326</v>
      </c>
      <c r="F467" s="33">
        <v>5</v>
      </c>
      <c r="G467" s="34">
        <f>IFERROR(IF(F467&gt;=0,D467*E467*(1+F467/100),ABS(D467*E467/F467)),"")</f>
        <v>566779.8186709393</v>
      </c>
      <c r="H467" s="43">
        <f>IFERROR(G467*E464,"")</f>
        <v>0</v>
      </c>
    </row>
    <row r="468" spans="1:8" ht="12.75" customHeight="1">
      <c r="A468" s="28"/>
      <c r="B468" s="29" t="s">
        <v>2956</v>
      </c>
      <c r="C468" s="30" t="str">
        <f>IFERROR(_xlfn.XLOOKUP(B468,Insumo[DESCRIPCION],Insumo[UND],,0),"")</f>
        <v>M3</v>
      </c>
      <c r="D468" s="31">
        <v>1</v>
      </c>
      <c r="E468" s="32">
        <f>IFERROR(_xlfn.XLOOKUP($B468,Insumo[DESCRIPCION],Insumo[VALOR],,0),"")</f>
        <v>475327.65</v>
      </c>
      <c r="F468" s="33">
        <v>-2.2999999999999998</v>
      </c>
      <c r="G468" s="34">
        <f>IFERROR(IF(F468&gt;=0,D468*E468*(1+F468/100),ABS(D468*E468/F468)),"")</f>
        <v>206664.19565217395</v>
      </c>
      <c r="H468" s="43">
        <f>IFERROR(G468*E464,"")</f>
        <v>0</v>
      </c>
    </row>
    <row r="469" spans="1:8" ht="12.75" customHeight="1">
      <c r="A469" s="28"/>
      <c r="B469" s="29" t="s">
        <v>3295</v>
      </c>
      <c r="C469" s="30" t="str">
        <f>IFERROR(_xlfn.XLOOKUP(B469,Insumo[DESCRIPCION],Insumo[UND],,0),"")</f>
        <v>Kg</v>
      </c>
      <c r="D469" s="31">
        <v>1</v>
      </c>
      <c r="E469" s="32">
        <f>IFERROR(_xlfn.XLOOKUP($B469,Insumo[DESCRIPCION],Insumo[VALOR],,0),"")</f>
        <v>22039.5</v>
      </c>
      <c r="F469" s="33"/>
      <c r="G469" s="34">
        <f>IFERROR(IF(F469&gt;=0,D469*E469*(1+F469/100),ABS(D469*E469/F469)),"")</f>
        <v>22039.5</v>
      </c>
      <c r="H469" s="43">
        <f>IFERROR(G469*E464,"")</f>
        <v>0</v>
      </c>
    </row>
    <row r="470" spans="1:8" ht="12.75" customHeight="1">
      <c r="A470" s="28"/>
      <c r="B470" s="29"/>
      <c r="C470" s="30" t="str">
        <f>IFERROR(_xlfn.XLOOKUP(B470,Insumo[DESCRIPCION],Insumo[UND],,0),"")</f>
        <v/>
      </c>
      <c r="D470" s="31"/>
      <c r="E470" s="32" t="str">
        <f>IFERROR(_xlfn.XLOOKUP($B470,Insumo[DESCRIPCION],Insumo[VALOR],,0),"")</f>
        <v/>
      </c>
      <c r="F470" s="33"/>
      <c r="G470" s="34" t="str">
        <f>IFERROR(IF(F470&gt;=0,D470*E470*(1+F470/100),ABS(D470*E470/F470)),"")</f>
        <v/>
      </c>
      <c r="H470" s="43" t="str">
        <f>IFERROR(G470*E464,"")</f>
        <v/>
      </c>
    </row>
    <row r="471" spans="1:8" ht="12.75" customHeight="1">
      <c r="A471" s="28"/>
      <c r="B471" s="29"/>
      <c r="C471" s="30" t="str">
        <f>IFERROR(_xlfn.XLOOKUP(B471,Insumo[DESCRIPCION],Insumo[UND],,0),"")</f>
        <v/>
      </c>
      <c r="D471" s="31"/>
      <c r="E471" s="32" t="str">
        <f>IFERROR(_xlfn.XLOOKUP($B471,Insumo[DESCRIPCION],Insumo[VALOR],,0),"")</f>
        <v/>
      </c>
      <c r="F471" s="33"/>
      <c r="G471" s="34" t="str">
        <f>IFERROR(IF(F471&gt;=0,D471*E471*(1+F471/100),ABS(D471*E471/F471)),"")</f>
        <v/>
      </c>
      <c r="H471" s="43" t="str">
        <f>IFERROR(G471*E464,"")</f>
        <v/>
      </c>
    </row>
    <row r="472" spans="1:8" ht="12.75" customHeight="1">
      <c r="A472" s="21"/>
      <c r="B472" s="22" t="s">
        <v>3731</v>
      </c>
      <c r="C472" s="23"/>
      <c r="D472" s="24"/>
      <c r="E472" s="25"/>
      <c r="F472" s="26"/>
      <c r="G472" s="27">
        <f>SUM(G473:G475)</f>
        <v>33348.79305503572</v>
      </c>
      <c r="H472" s="44">
        <f>G472*E464</f>
        <v>0</v>
      </c>
    </row>
    <row r="473" spans="1:8" ht="12.75" customHeight="1">
      <c r="A473" s="28"/>
      <c r="B473" s="29" t="s">
        <v>3657</v>
      </c>
      <c r="C473" s="30" t="str">
        <f>IFERROR(_xlfn.XLOOKUP(B473,Equipo[DESCRIPCION],Equipo[UND],,0),"")</f>
        <v>Día</v>
      </c>
      <c r="D473" s="31">
        <v>1</v>
      </c>
      <c r="E473" s="32">
        <f>IF(C473="%MO",G479,IFERROR(_xlfn.XLOOKUP($B473,Equipo[DESCRIPCION],Equipo[VALOR],,0),""))</f>
        <v>56524.65</v>
      </c>
      <c r="F473" s="33">
        <v>-10</v>
      </c>
      <c r="G473" s="34">
        <f>IFERROR(IF(F473&gt;=0,D473*E473*(1+F473/100),ABS(D473*E473/F473)),"")</f>
        <v>5652.4650000000001</v>
      </c>
      <c r="H473" s="43">
        <f>IFERROR(G473*E464,"")</f>
        <v>0</v>
      </c>
    </row>
    <row r="474" spans="1:8" ht="12.75" customHeight="1">
      <c r="A474" s="28"/>
      <c r="B474" s="29" t="s">
        <v>3570</v>
      </c>
      <c r="C474" s="30" t="str">
        <f>IFERROR(_xlfn.XLOOKUP(B474,Equipo[DESCRIPCION],Equipo[UND],,0),"")</f>
        <v>%MO</v>
      </c>
      <c r="D474" s="31">
        <v>0.04</v>
      </c>
      <c r="E474" s="32">
        <f>IF(C474="%MO",G479,IFERROR(_xlfn.XLOOKUP($B474,Equipo[DESCRIPCION],Equipo[VALOR],,0),""))</f>
        <v>307736.9783892858</v>
      </c>
      <c r="F474" s="33"/>
      <c r="G474" s="34">
        <f>IFERROR(IF(F474&gt;=0,D474*E474*(1+F474/100),ABS(D474*E474/F474)),"")</f>
        <v>12309.479135571431</v>
      </c>
      <c r="H474" s="43">
        <f>IFERROR(G474*E464,"")</f>
        <v>0</v>
      </c>
    </row>
    <row r="475" spans="1:8" ht="12.75" customHeight="1">
      <c r="A475" s="28"/>
      <c r="B475" s="29" t="s">
        <v>3626</v>
      </c>
      <c r="C475" s="30" t="str">
        <f>IFERROR(_xlfn.XLOOKUP(B475,Equipo[DESCRIPCION],Equipo[UND],,0),"")</f>
        <v>%MO</v>
      </c>
      <c r="D475" s="31">
        <v>0.05</v>
      </c>
      <c r="E475" s="32">
        <f>IF(C475="%MO",G479,IFERROR(_xlfn.XLOOKUP($B475,Equipo[DESCRIPCION],Equipo[VALOR],,0),""))</f>
        <v>307736.9783892858</v>
      </c>
      <c r="F475" s="33"/>
      <c r="G475" s="34">
        <f>IFERROR(IF(F475&gt;=0,D475*E475*(1+F475/100),ABS(D475*E475/F475)),"")</f>
        <v>15386.84891946429</v>
      </c>
      <c r="H475" s="43">
        <f>IFERROR(G475*E464,"")</f>
        <v>0</v>
      </c>
    </row>
    <row r="476" spans="1:8" ht="12.75" customHeight="1">
      <c r="A476" s="21"/>
      <c r="B476" s="22" t="s">
        <v>2533</v>
      </c>
      <c r="C476" s="23"/>
      <c r="D476" s="24"/>
      <c r="E476" s="25"/>
      <c r="F476" s="26"/>
      <c r="G476" s="27">
        <f>SUM(G477:G478)</f>
        <v>0</v>
      </c>
      <c r="H476" s="44">
        <f>G476*E464</f>
        <v>0</v>
      </c>
    </row>
    <row r="477" spans="1:8" ht="12.75" customHeight="1">
      <c r="A477" s="28"/>
      <c r="B477" s="29"/>
      <c r="C477" s="30" t="str">
        <f>IFERROR(_xlfn.XLOOKUP(B477,Transporte[DESCRIPCION],Transporte[UND],,0),"")</f>
        <v/>
      </c>
      <c r="D477" s="31"/>
      <c r="E477" s="32" t="str">
        <f>IFERROR(_xlfn.XLOOKUP($B477,Transporte[DESCRIPCION],Transporte[VALOR],,0),"")</f>
        <v/>
      </c>
      <c r="F477" s="33"/>
      <c r="G477" s="34" t="str">
        <f>IFERROR(IF(F477&gt;=0,D477*E477*(1+F477/100),ABS(D477*E477/F477)),"")</f>
        <v/>
      </c>
      <c r="H477" s="43" t="str">
        <f>IFERROR(G477*E464,"")</f>
        <v/>
      </c>
    </row>
    <row r="478" spans="1:8" ht="12.75" customHeight="1">
      <c r="A478" s="28"/>
      <c r="B478" s="29"/>
      <c r="C478" s="30" t="str">
        <f>IFERROR(_xlfn.XLOOKUP(B478,Transporte[DESCRIPCION],Transporte[UND],,0),"")</f>
        <v/>
      </c>
      <c r="D478" s="31"/>
      <c r="E478" s="32" t="str">
        <f>IFERROR(_xlfn.XLOOKUP($B478,Transporte[DESCRIPCION],Transporte[VALOR],,0),"")</f>
        <v/>
      </c>
      <c r="F478" s="33"/>
      <c r="G478" s="34" t="str">
        <f>IFERROR(IF(F478&gt;=0,D478*E478*(1+F478/100),ABS(D478*E478/F478)),"")</f>
        <v/>
      </c>
      <c r="H478" s="43" t="str">
        <f>IFERROR(G478*E464,"")</f>
        <v/>
      </c>
    </row>
    <row r="479" spans="1:8" ht="12.75" customHeight="1">
      <c r="A479" s="21"/>
      <c r="B479" s="22" t="s">
        <v>3732</v>
      </c>
      <c r="C479" s="23"/>
      <c r="D479" s="24"/>
      <c r="E479" s="25"/>
      <c r="F479" s="26"/>
      <c r="G479" s="27">
        <f>SUM(G480:G482)</f>
        <v>307736.9783892858</v>
      </c>
      <c r="H479" s="44">
        <f>G479*E464</f>
        <v>0</v>
      </c>
    </row>
    <row r="480" spans="1:8" ht="12.75" customHeight="1">
      <c r="A480" s="28"/>
      <c r="B480" s="29" t="s">
        <v>3711</v>
      </c>
      <c r="C480" s="30" t="str">
        <f>IFERROR(_xlfn.XLOOKUP(B480,MObra[DESCRIPCION],MObra[UN],,0),"")</f>
        <v>día</v>
      </c>
      <c r="D480" s="31">
        <v>1</v>
      </c>
      <c r="E480" s="32">
        <f>IFERROR(_xlfn.XLOOKUP($B480,MObra[DESCRIPCION],MObra[VALOR UNIT],,0),"")</f>
        <v>430831.76974500006</v>
      </c>
      <c r="F480" s="33">
        <v>-1.4</v>
      </c>
      <c r="G480" s="34">
        <f>IFERROR(IF(F480&gt;=0,D480*E480*(1+F480/100),ABS(D480*E480/F480)),"")</f>
        <v>307736.9783892858</v>
      </c>
      <c r="H480" s="43">
        <f>IFERROR(G480*E464,"")</f>
        <v>0</v>
      </c>
    </row>
    <row r="481" spans="1:11" ht="12.75" customHeight="1">
      <c r="A481" s="28"/>
      <c r="B481" s="29"/>
      <c r="C481" s="30" t="str">
        <f t="array" ref="C481">IFERROR(_xlfn.XLOOKUP(B481,MObra[[#All],[DESCRIPCION]],MObra[[#All],[UN]],,0),"")</f>
        <v/>
      </c>
      <c r="D481" s="31"/>
      <c r="E481" s="32" t="str">
        <f>IFERROR(_xlfn.XLOOKUP($B481,MObra[DESCRIPCION],MObra[VALOR UNIT],,0),"")</f>
        <v/>
      </c>
      <c r="F481" s="33"/>
      <c r="G481" s="34" t="str">
        <f>IFERROR(IF(F481&gt;=0,D481*E481*(1+F481/100),ABS(D481*E481/F481)),"")</f>
        <v/>
      </c>
      <c r="H481" s="43" t="str">
        <f>IFERROR(G481*E464,"")</f>
        <v/>
      </c>
    </row>
    <row r="482" spans="1:11" ht="12.75" customHeight="1" thickBot="1">
      <c r="A482" s="35"/>
      <c r="B482" s="36"/>
      <c r="C482" s="37" t="str">
        <f t="array" ref="C482">IFERROR(_xlfn.XLOOKUP(B482,MObra[[#All],[DESCRIPCION]],MObra[[#All],[UN]],,0),"")</f>
        <v/>
      </c>
      <c r="D482" s="38"/>
      <c r="E482" s="39" t="str">
        <f>IFERROR(_xlfn.XLOOKUP($B482,MObra[DESCRIPCION],MObra[VALOR UNIT],,0),"")</f>
        <v/>
      </c>
      <c r="F482" s="40"/>
      <c r="G482" s="41" t="str">
        <f>IFERROR(IF(F482&gt;=0,D482*E482*(1+F482/100),ABS(D482*E482/F482)),"")</f>
        <v/>
      </c>
      <c r="H482" s="42" t="str">
        <f>IFERROR(G482*E464,"")</f>
        <v/>
      </c>
    </row>
    <row r="483" spans="1:11" ht="12.75" customHeight="1" thickTop="1" thickBot="1"/>
    <row r="484" spans="1:11" ht="12.75" customHeight="1" thickTop="1" thickBot="1">
      <c r="A484" s="6" t="s">
        <v>357</v>
      </c>
      <c r="B484" s="7" t="str">
        <f>VLOOKUP($A484,Presupuesto!$A:$D,2,FALSE())</f>
        <v>Columna circular 24.1 Mpa (área &gt;=3.600 cm2)</v>
      </c>
      <c r="C484" s="8" t="str">
        <f>VLOOKUP($A484,Presupuesto!$A:$D,3,FALSE())</f>
        <v>M3</v>
      </c>
      <c r="D484" s="9"/>
      <c r="E484" s="10">
        <f>VLOOKUP($A484,Presupuesto!$A:$D,4,FALSE())</f>
        <v>0</v>
      </c>
      <c r="F484" s="11" t="s">
        <v>2589</v>
      </c>
      <c r="G484" s="12">
        <f>SUM(G486:G502)/2</f>
        <v>1105596.0571856392</v>
      </c>
      <c r="H484" s="13">
        <f>ROUND(SUM(H486:H502),0)/2</f>
        <v>0</v>
      </c>
      <c r="I484" s="10">
        <f>VLOOKUP(A484,Presupuesto!$A:$F,6,0)</f>
        <v>0</v>
      </c>
      <c r="J484" s="10">
        <f>+H484-I484</f>
        <v>0</v>
      </c>
      <c r="K484" s="46">
        <f>+H484-G484*E484</f>
        <v>0</v>
      </c>
    </row>
    <row r="485" spans="1:11" ht="12.75" customHeight="1" thickTop="1">
      <c r="A485" s="14"/>
      <c r="B485" s="15" t="s">
        <v>2586</v>
      </c>
      <c r="C485" s="15" t="s">
        <v>5</v>
      </c>
      <c r="D485" s="16" t="s">
        <v>6</v>
      </c>
      <c r="E485" s="17" t="s">
        <v>7</v>
      </c>
      <c r="F485" s="18" t="s">
        <v>3728</v>
      </c>
      <c r="G485" s="19" t="s">
        <v>3729</v>
      </c>
      <c r="H485" s="20" t="s">
        <v>3797</v>
      </c>
    </row>
    <row r="486" spans="1:11" ht="12.75" customHeight="1">
      <c r="A486" s="21"/>
      <c r="B486" s="22" t="s">
        <v>3730</v>
      </c>
      <c r="C486" s="23"/>
      <c r="D486" s="24"/>
      <c r="E486" s="25"/>
      <c r="F486" s="26"/>
      <c r="G486" s="27">
        <f>SUM(G487:G491)</f>
        <v>786872.5061709393</v>
      </c>
      <c r="H486" s="27">
        <f>IFERROR(G486*E484,"")</f>
        <v>0</v>
      </c>
    </row>
    <row r="487" spans="1:11" ht="12.75" customHeight="1">
      <c r="A487" s="28"/>
      <c r="B487" s="29" t="s">
        <v>3240</v>
      </c>
      <c r="C487" s="30" t="str">
        <f>IFERROR(_xlfn.XLOOKUP(B487,Insumo[DESCRIPCION],Insumo[UND],,0),"")</f>
        <v>M3</v>
      </c>
      <c r="D487" s="31">
        <v>1</v>
      </c>
      <c r="E487" s="32">
        <f>IFERROR(_xlfn.XLOOKUP($B487,Insumo[DESCRIPCION],Insumo[VALOR],,0),"")</f>
        <v>539790.3034961326</v>
      </c>
      <c r="F487" s="33">
        <v>5</v>
      </c>
      <c r="G487" s="34">
        <f>IFERROR(IF(F487&gt;=0,D487*E487*(1+F487/100),ABS(D487*E487/F487)),"")</f>
        <v>566779.8186709393</v>
      </c>
      <c r="H487" s="43">
        <f>IFERROR(G487*E484,"")</f>
        <v>0</v>
      </c>
    </row>
    <row r="488" spans="1:11" ht="12.75" customHeight="1">
      <c r="A488" s="28"/>
      <c r="B488" s="29" t="s">
        <v>2956</v>
      </c>
      <c r="C488" s="30" t="str">
        <f>IFERROR(_xlfn.XLOOKUP(B488,Insumo[DESCRIPCION],Insumo[UND],,0),"")</f>
        <v>M3</v>
      </c>
      <c r="D488" s="31">
        <v>1</v>
      </c>
      <c r="E488" s="32">
        <f>IFERROR(_xlfn.XLOOKUP($B488,Insumo[DESCRIPCION],Insumo[VALOR],,0),"")</f>
        <v>475327.65</v>
      </c>
      <c r="F488" s="33">
        <v>-2.4</v>
      </c>
      <c r="G488" s="34">
        <f>IFERROR(IF(F488&gt;=0,D488*E488*(1+F488/100),ABS(D488*E488/F488)),"")</f>
        <v>198053.18750000003</v>
      </c>
      <c r="H488" s="43">
        <f>IFERROR(G488*E484,"")</f>
        <v>0</v>
      </c>
    </row>
    <row r="489" spans="1:11" ht="12.75" customHeight="1">
      <c r="A489" s="28"/>
      <c r="B489" s="29" t="s">
        <v>3295</v>
      </c>
      <c r="C489" s="30" t="str">
        <f>IFERROR(_xlfn.XLOOKUP(B489,Insumo[DESCRIPCION],Insumo[UND],,0),"")</f>
        <v>Kg</v>
      </c>
      <c r="D489" s="31">
        <v>1</v>
      </c>
      <c r="E489" s="32">
        <f>IFERROR(_xlfn.XLOOKUP($B489,Insumo[DESCRIPCION],Insumo[VALOR],,0),"")</f>
        <v>22039.5</v>
      </c>
      <c r="F489" s="33"/>
      <c r="G489" s="34">
        <f>IFERROR(IF(F489&gt;=0,D489*E489*(1+F489/100),ABS(D489*E489/F489)),"")</f>
        <v>22039.5</v>
      </c>
      <c r="H489" s="43">
        <f>IFERROR(G489*E484,"")</f>
        <v>0</v>
      </c>
    </row>
    <row r="490" spans="1:11" ht="12.75" customHeight="1">
      <c r="A490" s="28"/>
      <c r="B490" s="29"/>
      <c r="C490" s="30" t="str">
        <f>IFERROR(_xlfn.XLOOKUP(B490,Insumo[DESCRIPCION],Insumo[UND],,0),"")</f>
        <v/>
      </c>
      <c r="D490" s="31"/>
      <c r="E490" s="32" t="str">
        <f>IFERROR(_xlfn.XLOOKUP($B490,Insumo[DESCRIPCION],Insumo[VALOR],,0),"")</f>
        <v/>
      </c>
      <c r="F490" s="33"/>
      <c r="G490" s="34" t="str">
        <f>IFERROR(IF(F490&gt;=0,D490*E490*(1+F490/100),ABS(D490*E490/F490)),"")</f>
        <v/>
      </c>
      <c r="H490" s="43" t="str">
        <f>IFERROR(G490*E484,"")</f>
        <v/>
      </c>
    </row>
    <row r="491" spans="1:11" ht="12.75" customHeight="1">
      <c r="A491" s="28"/>
      <c r="B491" s="29"/>
      <c r="C491" s="30" t="str">
        <f>IFERROR(_xlfn.XLOOKUP(B491,Insumo[DESCRIPCION],Insumo[UND],,0),"")</f>
        <v/>
      </c>
      <c r="D491" s="31"/>
      <c r="E491" s="32" t="str">
        <f>IFERROR(_xlfn.XLOOKUP($B491,Insumo[DESCRIPCION],Insumo[VALOR],,0),"")</f>
        <v/>
      </c>
      <c r="F491" s="33"/>
      <c r="G491" s="34" t="str">
        <f>IFERROR(IF(F491&gt;=0,D491*E491*(1+F491/100),ABS(D491*E491/F491)),"")</f>
        <v/>
      </c>
      <c r="H491" s="43" t="str">
        <f>IFERROR(G491*E484,"")</f>
        <v/>
      </c>
    </row>
    <row r="492" spans="1:11" ht="12.75" customHeight="1">
      <c r="A492" s="21"/>
      <c r="B492" s="22" t="s">
        <v>3731</v>
      </c>
      <c r="C492" s="23"/>
      <c r="D492" s="24"/>
      <c r="E492" s="25"/>
      <c r="F492" s="26"/>
      <c r="G492" s="27">
        <f>SUM(G493:G495)</f>
        <v>31502.371184700001</v>
      </c>
      <c r="H492" s="44">
        <f>G492*E484</f>
        <v>0</v>
      </c>
    </row>
    <row r="493" spans="1:11" ht="12.75" customHeight="1">
      <c r="A493" s="28"/>
      <c r="B493" s="29" t="s">
        <v>3657</v>
      </c>
      <c r="C493" s="30" t="str">
        <f>IFERROR(_xlfn.XLOOKUP(B493,Equipo[DESCRIPCION],Equipo[UND],,0),"")</f>
        <v>Día</v>
      </c>
      <c r="D493" s="31">
        <v>1</v>
      </c>
      <c r="E493" s="32">
        <f>IF(C493="%MO",G499,IFERROR(_xlfn.XLOOKUP($B493,Equipo[DESCRIPCION],Equipo[VALOR],,0),""))</f>
        <v>56524.65</v>
      </c>
      <c r="F493" s="33">
        <v>-10</v>
      </c>
      <c r="G493" s="34">
        <f>IFERROR(IF(F493&gt;=0,D493*E493*(1+F493/100),ABS(D493*E493/F493)),"")</f>
        <v>5652.4650000000001</v>
      </c>
      <c r="H493" s="43">
        <f>IFERROR(G493*E484,"")</f>
        <v>0</v>
      </c>
    </row>
    <row r="494" spans="1:11" ht="12.75" customHeight="1">
      <c r="A494" s="28"/>
      <c r="B494" s="29" t="s">
        <v>3570</v>
      </c>
      <c r="C494" s="30" t="str">
        <f>IFERROR(_xlfn.XLOOKUP(B494,Equipo[DESCRIPCION],Equipo[UND],,0),"")</f>
        <v>%MO</v>
      </c>
      <c r="D494" s="31">
        <v>0.04</v>
      </c>
      <c r="E494" s="32">
        <f>IF(C494="%MO",G499,IFERROR(_xlfn.XLOOKUP($B494,Equipo[DESCRIPCION],Equipo[VALOR],,0),""))</f>
        <v>287221.17983000004</v>
      </c>
      <c r="F494" s="33"/>
      <c r="G494" s="34">
        <f>IFERROR(IF(F494&gt;=0,D494*E494*(1+F494/100),ABS(D494*E494/F494)),"")</f>
        <v>11488.847193200001</v>
      </c>
      <c r="H494" s="43">
        <f>IFERROR(G494*E484,"")</f>
        <v>0</v>
      </c>
    </row>
    <row r="495" spans="1:11" ht="12.75" customHeight="1">
      <c r="A495" s="28"/>
      <c r="B495" s="29" t="s">
        <v>3626</v>
      </c>
      <c r="C495" s="30" t="str">
        <f>IFERROR(_xlfn.XLOOKUP(B495,Equipo[DESCRIPCION],Equipo[UND],,0),"")</f>
        <v>%MO</v>
      </c>
      <c r="D495" s="31">
        <v>0.05</v>
      </c>
      <c r="E495" s="32">
        <f>IF(C495="%MO",G499,IFERROR(_xlfn.XLOOKUP($B495,Equipo[DESCRIPCION],Equipo[VALOR],,0),""))</f>
        <v>287221.17983000004</v>
      </c>
      <c r="F495" s="33"/>
      <c r="G495" s="34">
        <f>IFERROR(IF(F495&gt;=0,D495*E495*(1+F495/100),ABS(D495*E495/F495)),"")</f>
        <v>14361.058991500002</v>
      </c>
      <c r="H495" s="43">
        <f>IFERROR(G495*E484,"")</f>
        <v>0</v>
      </c>
    </row>
    <row r="496" spans="1:11" ht="12.75" customHeight="1">
      <c r="A496" s="21"/>
      <c r="B496" s="22" t="s">
        <v>2533</v>
      </c>
      <c r="C496" s="23"/>
      <c r="D496" s="24"/>
      <c r="E496" s="25"/>
      <c r="F496" s="26"/>
      <c r="G496" s="27">
        <f>SUM(G497:G498)</f>
        <v>0</v>
      </c>
      <c r="H496" s="44">
        <f>G496*E484</f>
        <v>0</v>
      </c>
    </row>
    <row r="497" spans="1:11" ht="12.75" customHeight="1">
      <c r="A497" s="28"/>
      <c r="B497" s="29"/>
      <c r="C497" s="30" t="str">
        <f>IFERROR(_xlfn.XLOOKUP(B497,Transporte[DESCRIPCION],Transporte[UND],,0),"")</f>
        <v/>
      </c>
      <c r="D497" s="31"/>
      <c r="E497" s="32" t="str">
        <f>IFERROR(_xlfn.XLOOKUP($B497,Transporte[DESCRIPCION],Transporte[VALOR],,0),"")</f>
        <v/>
      </c>
      <c r="F497" s="33"/>
      <c r="G497" s="34" t="str">
        <f>IFERROR(IF(F497&gt;=0,D497*E497*(1+F497/100),ABS(D497*E497/F497)),"")</f>
        <v/>
      </c>
      <c r="H497" s="43" t="str">
        <f>IFERROR(G497*E484,"")</f>
        <v/>
      </c>
    </row>
    <row r="498" spans="1:11" ht="12.75" customHeight="1">
      <c r="A498" s="28"/>
      <c r="B498" s="29"/>
      <c r="C498" s="30" t="str">
        <f>IFERROR(_xlfn.XLOOKUP(B498,Transporte[DESCRIPCION],Transporte[UND],,0),"")</f>
        <v/>
      </c>
      <c r="D498" s="31"/>
      <c r="E498" s="32" t="str">
        <f>IFERROR(_xlfn.XLOOKUP($B498,Transporte[DESCRIPCION],Transporte[VALOR],,0),"")</f>
        <v/>
      </c>
      <c r="F498" s="33"/>
      <c r="G498" s="34" t="str">
        <f>IFERROR(IF(F498&gt;=0,D498*E498*(1+F498/100),ABS(D498*E498/F498)),"")</f>
        <v/>
      </c>
      <c r="H498" s="43" t="str">
        <f>IFERROR(G498*E484,"")</f>
        <v/>
      </c>
    </row>
    <row r="499" spans="1:11" ht="12.75" customHeight="1">
      <c r="A499" s="21"/>
      <c r="B499" s="22" t="s">
        <v>3732</v>
      </c>
      <c r="C499" s="23"/>
      <c r="D499" s="24"/>
      <c r="E499" s="25"/>
      <c r="F499" s="26"/>
      <c r="G499" s="27">
        <f>SUM(G500:G502)</f>
        <v>287221.17983000004</v>
      </c>
      <c r="H499" s="44">
        <f>G499*E484</f>
        <v>0</v>
      </c>
    </row>
    <row r="500" spans="1:11" ht="12.75" customHeight="1">
      <c r="A500" s="28"/>
      <c r="B500" s="29" t="s">
        <v>3711</v>
      </c>
      <c r="C500" s="30" t="str">
        <f>IFERROR(_xlfn.XLOOKUP(B500,MObra[DESCRIPCION],MObra[UN],,0),"")</f>
        <v>día</v>
      </c>
      <c r="D500" s="31">
        <v>1</v>
      </c>
      <c r="E500" s="32">
        <f>IFERROR(_xlfn.XLOOKUP($B500,MObra[DESCRIPCION],MObra[VALOR UNIT],,0),"")</f>
        <v>430831.76974500006</v>
      </c>
      <c r="F500" s="33">
        <v>-1.5</v>
      </c>
      <c r="G500" s="34">
        <f>IFERROR(IF(F500&gt;=0,D500*E500*(1+F500/100),ABS(D500*E500/F500)),"")</f>
        <v>287221.17983000004</v>
      </c>
      <c r="H500" s="43">
        <f>IFERROR(G500*E484,"")</f>
        <v>0</v>
      </c>
    </row>
    <row r="501" spans="1:11" ht="12.75" customHeight="1">
      <c r="A501" s="28"/>
      <c r="B501" s="29"/>
      <c r="C501" s="30" t="str">
        <f t="array" ref="C501">IFERROR(_xlfn.XLOOKUP(B501,MObra[[#All],[DESCRIPCION]],MObra[[#All],[UN]],,0),"")</f>
        <v/>
      </c>
      <c r="D501" s="31"/>
      <c r="E501" s="32" t="str">
        <f>IFERROR(_xlfn.XLOOKUP($B501,MObra[DESCRIPCION],MObra[VALOR UNIT],,0),"")</f>
        <v/>
      </c>
      <c r="F501" s="33"/>
      <c r="G501" s="34" t="str">
        <f>IFERROR(IF(F501&gt;=0,D501*E501*(1+F501/100),ABS(D501*E501/F501)),"")</f>
        <v/>
      </c>
      <c r="H501" s="43" t="str">
        <f>IFERROR(G501*E484,"")</f>
        <v/>
      </c>
    </row>
    <row r="502" spans="1:11" ht="12.75" customHeight="1" thickBot="1">
      <c r="A502" s="35"/>
      <c r="B502" s="36"/>
      <c r="C502" s="37" t="str">
        <f t="array" ref="C502">IFERROR(_xlfn.XLOOKUP(B502,MObra[[#All],[DESCRIPCION]],MObra[[#All],[UN]],,0),"")</f>
        <v/>
      </c>
      <c r="D502" s="38"/>
      <c r="E502" s="39" t="str">
        <f>IFERROR(_xlfn.XLOOKUP($B502,MObra[DESCRIPCION],MObra[VALOR UNIT],,0),"")</f>
        <v/>
      </c>
      <c r="F502" s="40"/>
      <c r="G502" s="41" t="str">
        <f>IFERROR(IF(F502&gt;=0,D502*E502*(1+F502/100),ABS(D502*E502/F502)),"")</f>
        <v/>
      </c>
      <c r="H502" s="42" t="str">
        <f>IFERROR(G502*E484,"")</f>
        <v/>
      </c>
    </row>
    <row r="503" spans="1:11" ht="12.75" customHeight="1" thickTop="1" thickBot="1"/>
    <row r="504" spans="1:11" ht="12.75" customHeight="1" thickTop="1" thickBot="1">
      <c r="A504" s="6" t="s">
        <v>359</v>
      </c>
      <c r="B504" s="7" t="str">
        <f>VLOOKUP($A504,Presupuesto!$A:$D,2,FALSE())</f>
        <v>Columna circular 27.6 Mpa (área &lt;=1.600 cm2)</v>
      </c>
      <c r="C504" s="8" t="str">
        <f>VLOOKUP($A504,Presupuesto!$A:$D,3,FALSE())</f>
        <v>M3</v>
      </c>
      <c r="D504" s="9"/>
      <c r="E504" s="10">
        <f>VLOOKUP($A504,Presupuesto!$A:$D,4,FALSE())</f>
        <v>0</v>
      </c>
      <c r="F504" s="11" t="s">
        <v>2589</v>
      </c>
      <c r="G504" s="12">
        <f>SUM(G506:G522)/2</f>
        <v>1238143.3497015242</v>
      </c>
      <c r="H504" s="13">
        <f>ROUND(SUM(H506:H522),0)/2</f>
        <v>0</v>
      </c>
      <c r="I504" s="10">
        <f>VLOOKUP(A504,Presupuesto!$A:$F,6,0)</f>
        <v>0</v>
      </c>
      <c r="J504" s="10">
        <f>+H504-I504</f>
        <v>0</v>
      </c>
      <c r="K504" s="46">
        <f>+H504-G504*E504</f>
        <v>0</v>
      </c>
    </row>
    <row r="505" spans="1:11" ht="12.75" customHeight="1" thickTop="1">
      <c r="A505" s="14"/>
      <c r="B505" s="15" t="s">
        <v>2586</v>
      </c>
      <c r="C505" s="15" t="s">
        <v>5</v>
      </c>
      <c r="D505" s="16" t="s">
        <v>6</v>
      </c>
      <c r="E505" s="17" t="s">
        <v>7</v>
      </c>
      <c r="F505" s="18" t="s">
        <v>3728</v>
      </c>
      <c r="G505" s="19" t="s">
        <v>3729</v>
      </c>
      <c r="H505" s="20" t="s">
        <v>3797</v>
      </c>
    </row>
    <row r="506" spans="1:11" ht="12.75" customHeight="1">
      <c r="A506" s="21"/>
      <c r="B506" s="22" t="s">
        <v>3730</v>
      </c>
      <c r="C506" s="23"/>
      <c r="D506" s="24"/>
      <c r="E506" s="25"/>
      <c r="F506" s="26"/>
      <c r="G506" s="27">
        <f>SUM(G507:G511)</f>
        <v>841152.02718314913</v>
      </c>
      <c r="H506" s="27">
        <f>IFERROR(G506*E504,"")</f>
        <v>0</v>
      </c>
    </row>
    <row r="507" spans="1:11" ht="12.75" customHeight="1">
      <c r="A507" s="28"/>
      <c r="B507" s="29" t="s">
        <v>3241</v>
      </c>
      <c r="C507" s="30" t="str">
        <f>IFERROR(_xlfn.XLOOKUP(B507,Insumo[DESCRIPCION],Insumo[UND],,0),"")</f>
        <v>M3</v>
      </c>
      <c r="D507" s="31">
        <v>1</v>
      </c>
      <c r="E507" s="32">
        <f>IFERROR(_xlfn.XLOOKUP($B507,Insumo[DESCRIPCION],Insumo[VALOR],,0),"")</f>
        <v>568453.66874585627</v>
      </c>
      <c r="F507" s="33">
        <v>5</v>
      </c>
      <c r="G507" s="34">
        <f>IFERROR(IF(F507&gt;=0,D507*E507*(1+F507/100),ABS(D507*E507/F507)),"")</f>
        <v>596876.35218314908</v>
      </c>
      <c r="H507" s="43">
        <f>IFERROR(G507*E504,"")</f>
        <v>0</v>
      </c>
    </row>
    <row r="508" spans="1:11" ht="12.75" customHeight="1">
      <c r="A508" s="28"/>
      <c r="B508" s="29" t="s">
        <v>2956</v>
      </c>
      <c r="C508" s="30" t="str">
        <f>IFERROR(_xlfn.XLOOKUP(B508,Insumo[DESCRIPCION],Insumo[UND],,0),"")</f>
        <v>M3</v>
      </c>
      <c r="D508" s="31">
        <v>1</v>
      </c>
      <c r="E508" s="32">
        <f>IFERROR(_xlfn.XLOOKUP($B508,Insumo[DESCRIPCION],Insumo[VALOR],,0),"")</f>
        <v>475327.65</v>
      </c>
      <c r="F508" s="33">
        <v>-2</v>
      </c>
      <c r="G508" s="34">
        <f>IFERROR(IF(F508&gt;=0,D508*E508*(1+F508/100),ABS(D508*E508/F508)),"")</f>
        <v>237663.82500000001</v>
      </c>
      <c r="H508" s="43">
        <f>IFERROR(G508*E504,"")</f>
        <v>0</v>
      </c>
    </row>
    <row r="509" spans="1:11" ht="12.75" customHeight="1">
      <c r="A509" s="28"/>
      <c r="B509" s="29" t="s">
        <v>3295</v>
      </c>
      <c r="C509" s="30" t="str">
        <f>IFERROR(_xlfn.XLOOKUP(B509,Insumo[DESCRIPCION],Insumo[UND],,0),"")</f>
        <v>Kg</v>
      </c>
      <c r="D509" s="31">
        <v>0.3</v>
      </c>
      <c r="E509" s="32">
        <f>IFERROR(_xlfn.XLOOKUP($B509,Insumo[DESCRIPCION],Insumo[VALOR],,0),"")</f>
        <v>22039.5</v>
      </c>
      <c r="F509" s="33"/>
      <c r="G509" s="34">
        <f>IFERROR(IF(F509&gt;=0,D509*E509*(1+F509/100),ABS(D509*E509/F509)),"")</f>
        <v>6611.8499999999995</v>
      </c>
      <c r="H509" s="43">
        <f>IFERROR(G509*E504,"")</f>
        <v>0</v>
      </c>
    </row>
    <row r="510" spans="1:11" ht="12.75" customHeight="1">
      <c r="A510" s="28"/>
      <c r="B510" s="29"/>
      <c r="C510" s="30" t="str">
        <f>IFERROR(_xlfn.XLOOKUP(B510,Insumo[DESCRIPCION],Insumo[UND],,0),"")</f>
        <v/>
      </c>
      <c r="D510" s="31"/>
      <c r="E510" s="32" t="str">
        <f>IFERROR(_xlfn.XLOOKUP($B510,Insumo[DESCRIPCION],Insumo[VALOR],,0),"")</f>
        <v/>
      </c>
      <c r="F510" s="33"/>
      <c r="G510" s="34" t="str">
        <f>IFERROR(IF(F510&gt;=0,D510*E510*(1+F510/100),ABS(D510*E510/F510)),"")</f>
        <v/>
      </c>
      <c r="H510" s="43" t="str">
        <f>IFERROR(G510*E504,"")</f>
        <v/>
      </c>
    </row>
    <row r="511" spans="1:11" ht="12.75" customHeight="1">
      <c r="A511" s="28"/>
      <c r="B511" s="29"/>
      <c r="C511" s="30" t="str">
        <f>IFERROR(_xlfn.XLOOKUP(B511,Insumo[DESCRIPCION],Insumo[UND],,0),"")</f>
        <v/>
      </c>
      <c r="D511" s="31"/>
      <c r="E511" s="32" t="str">
        <f>IFERROR(_xlfn.XLOOKUP($B511,Insumo[DESCRIPCION],Insumo[VALOR],,0),"")</f>
        <v/>
      </c>
      <c r="F511" s="33"/>
      <c r="G511" s="34" t="str">
        <f>IFERROR(IF(F511&gt;=0,D511*E511*(1+F511/100),ABS(D511*E511/F511)),"")</f>
        <v/>
      </c>
      <c r="H511" s="43" t="str">
        <f>IFERROR(G511*E504,"")</f>
        <v/>
      </c>
    </row>
    <row r="512" spans="1:11" ht="12.75" customHeight="1">
      <c r="A512" s="21"/>
      <c r="B512" s="22" t="s">
        <v>3731</v>
      </c>
      <c r="C512" s="23"/>
      <c r="D512" s="24"/>
      <c r="E512" s="25"/>
      <c r="F512" s="26"/>
      <c r="G512" s="27">
        <f>SUM(G513:G515)</f>
        <v>37964.847730875001</v>
      </c>
      <c r="H512" s="44">
        <f>G512*E504</f>
        <v>0</v>
      </c>
    </row>
    <row r="513" spans="1:11" ht="12.75" customHeight="1">
      <c r="A513" s="28"/>
      <c r="B513" s="29" t="s">
        <v>3657</v>
      </c>
      <c r="C513" s="30" t="str">
        <f>IFERROR(_xlfn.XLOOKUP(B513,Equipo[DESCRIPCION],Equipo[UND],,0),"")</f>
        <v>Día</v>
      </c>
      <c r="D513" s="31">
        <v>1</v>
      </c>
      <c r="E513" s="32">
        <f>IF(C513="%MO",G519,IFERROR(_xlfn.XLOOKUP($B513,Equipo[DESCRIPCION],Equipo[VALOR],,0),""))</f>
        <v>56524.65</v>
      </c>
      <c r="F513" s="33">
        <v>-10</v>
      </c>
      <c r="G513" s="34">
        <f>IFERROR(IF(F513&gt;=0,D513*E513*(1+F513/100),ABS(D513*E513/F513)),"")</f>
        <v>5652.4650000000001</v>
      </c>
      <c r="H513" s="43">
        <f>IFERROR(G513*E504,"")</f>
        <v>0</v>
      </c>
    </row>
    <row r="514" spans="1:11" ht="12.75" customHeight="1">
      <c r="A514" s="28"/>
      <c r="B514" s="29" t="s">
        <v>3570</v>
      </c>
      <c r="C514" s="30" t="str">
        <f>IFERROR(_xlfn.XLOOKUP(B514,Equipo[DESCRIPCION],Equipo[UND],,0),"")</f>
        <v>%MO</v>
      </c>
      <c r="D514" s="31">
        <v>0.04</v>
      </c>
      <c r="E514" s="32">
        <f>IF(C514="%MO",G519,IFERROR(_xlfn.XLOOKUP($B514,Equipo[DESCRIPCION],Equipo[VALOR],,0),""))</f>
        <v>359026.47478750005</v>
      </c>
      <c r="F514" s="33"/>
      <c r="G514" s="34">
        <f>IFERROR(IF(F514&gt;=0,D514*E514*(1+F514/100),ABS(D514*E514/F514)),"")</f>
        <v>14361.058991500002</v>
      </c>
      <c r="H514" s="43">
        <f>IFERROR(G514*E504,"")</f>
        <v>0</v>
      </c>
    </row>
    <row r="515" spans="1:11" ht="12.75" customHeight="1">
      <c r="A515" s="28"/>
      <c r="B515" s="29" t="s">
        <v>3626</v>
      </c>
      <c r="C515" s="30" t="str">
        <f>IFERROR(_xlfn.XLOOKUP(B515,Equipo[DESCRIPCION],Equipo[UND],,0),"")</f>
        <v>%MO</v>
      </c>
      <c r="D515" s="31">
        <v>0.05</v>
      </c>
      <c r="E515" s="32">
        <f>IF(C515="%MO",G519,IFERROR(_xlfn.XLOOKUP($B515,Equipo[DESCRIPCION],Equipo[VALOR],,0),""))</f>
        <v>359026.47478750005</v>
      </c>
      <c r="F515" s="33"/>
      <c r="G515" s="34">
        <f>IFERROR(IF(F515&gt;=0,D515*E515*(1+F515/100),ABS(D515*E515/F515)),"")</f>
        <v>17951.323739375002</v>
      </c>
      <c r="H515" s="43">
        <f>IFERROR(G515*E504,"")</f>
        <v>0</v>
      </c>
    </row>
    <row r="516" spans="1:11" ht="12.75" customHeight="1">
      <c r="A516" s="21"/>
      <c r="B516" s="22" t="s">
        <v>2533</v>
      </c>
      <c r="C516" s="23"/>
      <c r="D516" s="24"/>
      <c r="E516" s="25"/>
      <c r="F516" s="26"/>
      <c r="G516" s="27">
        <f>SUM(G517:G518)</f>
        <v>0</v>
      </c>
      <c r="H516" s="44">
        <f>G516*E504</f>
        <v>0</v>
      </c>
    </row>
    <row r="517" spans="1:11" ht="12.75" customHeight="1">
      <c r="A517" s="28"/>
      <c r="B517" s="29"/>
      <c r="C517" s="30" t="str">
        <f>IFERROR(_xlfn.XLOOKUP(B517,Transporte[DESCRIPCION],Transporte[UND],,0),"")</f>
        <v/>
      </c>
      <c r="D517" s="31"/>
      <c r="E517" s="32" t="str">
        <f>IFERROR(_xlfn.XLOOKUP($B517,Transporte[DESCRIPCION],Transporte[VALOR],,0),"")</f>
        <v/>
      </c>
      <c r="F517" s="33"/>
      <c r="G517" s="34" t="str">
        <f>IFERROR(IF(F517&gt;=0,D517*E517*(1+F517/100),ABS(D517*E517/F517)),"")</f>
        <v/>
      </c>
      <c r="H517" s="43" t="str">
        <f>IFERROR(G517*E504,"")</f>
        <v/>
      </c>
    </row>
    <row r="518" spans="1:11" ht="12.75" customHeight="1">
      <c r="A518" s="28"/>
      <c r="B518" s="29"/>
      <c r="C518" s="30" t="str">
        <f>IFERROR(_xlfn.XLOOKUP(B518,Transporte[DESCRIPCION],Transporte[UND],,0),"")</f>
        <v/>
      </c>
      <c r="D518" s="31"/>
      <c r="E518" s="32" t="str">
        <f>IFERROR(_xlfn.XLOOKUP($B518,Transporte[DESCRIPCION],Transporte[VALOR],,0),"")</f>
        <v/>
      </c>
      <c r="F518" s="33"/>
      <c r="G518" s="34" t="str">
        <f>IFERROR(IF(F518&gt;=0,D518*E518*(1+F518/100),ABS(D518*E518/F518)),"")</f>
        <v/>
      </c>
      <c r="H518" s="43" t="str">
        <f>IFERROR(G518*E504,"")</f>
        <v/>
      </c>
    </row>
    <row r="519" spans="1:11" ht="12.75" customHeight="1">
      <c r="A519" s="21"/>
      <c r="B519" s="22" t="s">
        <v>3732</v>
      </c>
      <c r="C519" s="23"/>
      <c r="D519" s="24"/>
      <c r="E519" s="25"/>
      <c r="F519" s="26"/>
      <c r="G519" s="27">
        <f>SUM(G520:G522)</f>
        <v>359026.47478750005</v>
      </c>
      <c r="H519" s="44">
        <f>G519*E504</f>
        <v>0</v>
      </c>
    </row>
    <row r="520" spans="1:11" ht="12.75" customHeight="1">
      <c r="A520" s="28"/>
      <c r="B520" s="29" t="s">
        <v>3711</v>
      </c>
      <c r="C520" s="30" t="str">
        <f>IFERROR(_xlfn.XLOOKUP(B520,MObra[DESCRIPCION],MObra[UN],,0),"")</f>
        <v>día</v>
      </c>
      <c r="D520" s="31">
        <v>1</v>
      </c>
      <c r="E520" s="32">
        <f>IFERROR(_xlfn.XLOOKUP($B520,MObra[DESCRIPCION],MObra[VALOR UNIT],,0),"")</f>
        <v>430831.76974500006</v>
      </c>
      <c r="F520" s="33">
        <v>-1.2</v>
      </c>
      <c r="G520" s="34">
        <f>IFERROR(IF(F520&gt;=0,D520*E520*(1+F520/100),ABS(D520*E520/F520)),"")</f>
        <v>359026.47478750005</v>
      </c>
      <c r="H520" s="43">
        <f>IFERROR(G520*E504,"")</f>
        <v>0</v>
      </c>
    </row>
    <row r="521" spans="1:11" ht="12.75" customHeight="1">
      <c r="A521" s="28"/>
      <c r="B521" s="29"/>
      <c r="C521" s="30" t="str">
        <f t="array" ref="C521">IFERROR(_xlfn.XLOOKUP(B521,MObra[[#All],[DESCRIPCION]],MObra[[#All],[UN]],,0),"")</f>
        <v/>
      </c>
      <c r="D521" s="31"/>
      <c r="E521" s="32" t="str">
        <f>IFERROR(_xlfn.XLOOKUP($B521,MObra[DESCRIPCION],MObra[VALOR UNIT],,0),"")</f>
        <v/>
      </c>
      <c r="F521" s="33"/>
      <c r="G521" s="34" t="str">
        <f>IFERROR(IF(F521&gt;=0,D521*E521*(1+F521/100),ABS(D521*E521/F521)),"")</f>
        <v/>
      </c>
      <c r="H521" s="43" t="str">
        <f>IFERROR(G521*E504,"")</f>
        <v/>
      </c>
    </row>
    <row r="522" spans="1:11" ht="12.75" customHeight="1" thickBot="1">
      <c r="A522" s="35"/>
      <c r="B522" s="36"/>
      <c r="C522" s="37" t="str">
        <f t="array" ref="C522">IFERROR(_xlfn.XLOOKUP(B522,MObra[[#All],[DESCRIPCION]],MObra[[#All],[UN]],,0),"")</f>
        <v/>
      </c>
      <c r="D522" s="38"/>
      <c r="E522" s="39" t="str">
        <f>IFERROR(_xlfn.XLOOKUP($B522,MObra[DESCRIPCION],MObra[VALOR UNIT],,0),"")</f>
        <v/>
      </c>
      <c r="F522" s="40"/>
      <c r="G522" s="41" t="str">
        <f>IFERROR(IF(F522&gt;=0,D522*E522*(1+F522/100),ABS(D522*E522/F522)),"")</f>
        <v/>
      </c>
      <c r="H522" s="42" t="str">
        <f>IFERROR(G522*E504,"")</f>
        <v/>
      </c>
    </row>
    <row r="523" spans="1:11" ht="12.75" customHeight="1" thickTop="1" thickBot="1"/>
    <row r="524" spans="1:11" ht="12.75" customHeight="1" thickTop="1" thickBot="1">
      <c r="A524" s="6" t="s">
        <v>361</v>
      </c>
      <c r="B524" s="7" t="str">
        <f>VLOOKUP($A524,Presupuesto!$A:$D,2,FALSE())</f>
        <v>Columna circular 27.6 Mpa (1.600 cm2 &lt;área&lt;= 2.500 cm2)</v>
      </c>
      <c r="C524" s="8" t="str">
        <f>VLOOKUP($A524,Presupuesto!$A:$D,3,FALSE())</f>
        <v>M3</v>
      </c>
      <c r="D524" s="9"/>
      <c r="E524" s="10">
        <f>VLOOKUP($A524,Presupuesto!$A:$D,4,FALSE())</f>
        <v>0</v>
      </c>
      <c r="F524" s="11" t="s">
        <v>2589</v>
      </c>
      <c r="G524" s="12">
        <f>SUM(G526:G542)/2</f>
        <v>1190842.4583889218</v>
      </c>
      <c r="H524" s="13">
        <f>ROUND(SUM(H526:H542),0)/2</f>
        <v>0</v>
      </c>
      <c r="I524" s="10">
        <f>VLOOKUP(A524,Presupuesto!$A:$F,6,0)</f>
        <v>0</v>
      </c>
      <c r="J524" s="10">
        <f>+H524-I524</f>
        <v>0</v>
      </c>
      <c r="K524" s="46">
        <f>+H524-G524*E524</f>
        <v>0</v>
      </c>
    </row>
    <row r="525" spans="1:11" ht="12.75" customHeight="1" thickTop="1">
      <c r="A525" s="14"/>
      <c r="B525" s="15" t="s">
        <v>2586</v>
      </c>
      <c r="C525" s="15" t="s">
        <v>5</v>
      </c>
      <c r="D525" s="16" t="s">
        <v>6</v>
      </c>
      <c r="E525" s="17" t="s">
        <v>7</v>
      </c>
      <c r="F525" s="18" t="s">
        <v>3728</v>
      </c>
      <c r="G525" s="19" t="s">
        <v>3729</v>
      </c>
      <c r="H525" s="20" t="s">
        <v>3797</v>
      </c>
    </row>
    <row r="526" spans="1:11" ht="12.75" customHeight="1">
      <c r="A526" s="21"/>
      <c r="B526" s="22" t="s">
        <v>3730</v>
      </c>
      <c r="C526" s="23"/>
      <c r="D526" s="24"/>
      <c r="E526" s="25"/>
      <c r="F526" s="26"/>
      <c r="G526" s="27">
        <f>SUM(G527:G531)</f>
        <v>823954.12491042179</v>
      </c>
      <c r="H526" s="27">
        <f>IFERROR(G526*E524,"")</f>
        <v>0</v>
      </c>
    </row>
    <row r="527" spans="1:11" ht="12.75" customHeight="1">
      <c r="A527" s="28"/>
      <c r="B527" s="29" t="s">
        <v>3241</v>
      </c>
      <c r="C527" s="30" t="str">
        <f>IFERROR(_xlfn.XLOOKUP(B527,Insumo[DESCRIPCION],Insumo[UND],,0),"")</f>
        <v>M3</v>
      </c>
      <c r="D527" s="31">
        <v>1</v>
      </c>
      <c r="E527" s="32">
        <f>IFERROR(_xlfn.XLOOKUP($B527,Insumo[DESCRIPCION],Insumo[VALOR],,0),"")</f>
        <v>568453.66874585627</v>
      </c>
      <c r="F527" s="33">
        <v>5</v>
      </c>
      <c r="G527" s="34">
        <f>IFERROR(IF(F527&gt;=0,D527*E527*(1+F527/100),ABS(D527*E527/F527)),"")</f>
        <v>596876.35218314908</v>
      </c>
      <c r="H527" s="43">
        <f>IFERROR(G527*E524,"")</f>
        <v>0</v>
      </c>
    </row>
    <row r="528" spans="1:11" ht="12.75" customHeight="1">
      <c r="A528" s="28"/>
      <c r="B528" s="29" t="s">
        <v>2956</v>
      </c>
      <c r="C528" s="30" t="str">
        <f>IFERROR(_xlfn.XLOOKUP(B528,Insumo[DESCRIPCION],Insumo[UND],,0),"")</f>
        <v>M3</v>
      </c>
      <c r="D528" s="31">
        <v>1</v>
      </c>
      <c r="E528" s="32">
        <f>IFERROR(_xlfn.XLOOKUP($B528,Insumo[DESCRIPCION],Insumo[VALOR],,0),"")</f>
        <v>475327.65</v>
      </c>
      <c r="F528" s="33">
        <v>-2.2000000000000002</v>
      </c>
      <c r="G528" s="34">
        <f>IFERROR(IF(F528&gt;=0,D528*E528*(1+F528/100),ABS(D528*E528/F528)),"")</f>
        <v>216058.02272727271</v>
      </c>
      <c r="H528" s="43">
        <f>IFERROR(G528*E524,"")</f>
        <v>0</v>
      </c>
    </row>
    <row r="529" spans="1:11" ht="12.75" customHeight="1">
      <c r="A529" s="28"/>
      <c r="B529" s="29" t="s">
        <v>3295</v>
      </c>
      <c r="C529" s="30" t="str">
        <f>IFERROR(_xlfn.XLOOKUP(B529,Insumo[DESCRIPCION],Insumo[UND],,0),"")</f>
        <v>Kg</v>
      </c>
      <c r="D529" s="31">
        <v>0.5</v>
      </c>
      <c r="E529" s="32">
        <f>IFERROR(_xlfn.XLOOKUP($B529,Insumo[DESCRIPCION],Insumo[VALOR],,0),"")</f>
        <v>22039.5</v>
      </c>
      <c r="F529" s="33"/>
      <c r="G529" s="34">
        <f>IFERROR(IF(F529&gt;=0,D529*E529*(1+F529/100),ABS(D529*E529/F529)),"")</f>
        <v>11019.75</v>
      </c>
      <c r="H529" s="43">
        <f>IFERROR(G529*E524,"")</f>
        <v>0</v>
      </c>
    </row>
    <row r="530" spans="1:11" ht="12.75" customHeight="1">
      <c r="A530" s="28"/>
      <c r="B530" s="29"/>
      <c r="C530" s="30" t="str">
        <f>IFERROR(_xlfn.XLOOKUP(B530,Insumo[DESCRIPCION],Insumo[UND],,0),"")</f>
        <v/>
      </c>
      <c r="D530" s="31"/>
      <c r="E530" s="32" t="str">
        <f>IFERROR(_xlfn.XLOOKUP($B530,Insumo[DESCRIPCION],Insumo[VALOR],,0),"")</f>
        <v/>
      </c>
      <c r="F530" s="33"/>
      <c r="G530" s="34" t="str">
        <f>IFERROR(IF(F530&gt;=0,D530*E530*(1+F530/100),ABS(D530*E530/F530)),"")</f>
        <v/>
      </c>
      <c r="H530" s="43" t="str">
        <f>IFERROR(G530*E524,"")</f>
        <v/>
      </c>
    </row>
    <row r="531" spans="1:11" ht="12.75" customHeight="1">
      <c r="A531" s="28"/>
      <c r="B531" s="29"/>
      <c r="C531" s="30" t="str">
        <f>IFERROR(_xlfn.XLOOKUP(B531,Insumo[DESCRIPCION],Insumo[UND],,0),"")</f>
        <v/>
      </c>
      <c r="D531" s="31"/>
      <c r="E531" s="32" t="str">
        <f>IFERROR(_xlfn.XLOOKUP($B531,Insumo[DESCRIPCION],Insumo[VALOR],,0),"")</f>
        <v/>
      </c>
      <c r="F531" s="33"/>
      <c r="G531" s="34" t="str">
        <f>IFERROR(IF(F531&gt;=0,D531*E531*(1+F531/100),ABS(D531*E531/F531)),"")</f>
        <v/>
      </c>
      <c r="H531" s="43" t="str">
        <f>IFERROR(G531*E524,"")</f>
        <v/>
      </c>
    </row>
    <row r="532" spans="1:11" ht="12.75" customHeight="1">
      <c r="A532" s="21"/>
      <c r="B532" s="22" t="s">
        <v>3731</v>
      </c>
      <c r="C532" s="23"/>
      <c r="D532" s="24"/>
      <c r="E532" s="25"/>
      <c r="F532" s="26"/>
      <c r="G532" s="27">
        <f>SUM(G533:G535)</f>
        <v>35479.279828500003</v>
      </c>
      <c r="H532" s="44">
        <f>G532*E524</f>
        <v>0</v>
      </c>
    </row>
    <row r="533" spans="1:11" ht="12.75" customHeight="1">
      <c r="A533" s="28"/>
      <c r="B533" s="29" t="s">
        <v>3657</v>
      </c>
      <c r="C533" s="30" t="str">
        <f>IFERROR(_xlfn.XLOOKUP(B533,Equipo[DESCRIPCION],Equipo[UND],,0),"")</f>
        <v>Día</v>
      </c>
      <c r="D533" s="31">
        <v>1</v>
      </c>
      <c r="E533" s="32">
        <f>IF(C533="%MO",G539,IFERROR(_xlfn.XLOOKUP($B533,Equipo[DESCRIPCION],Equipo[VALOR],,0),""))</f>
        <v>56524.65</v>
      </c>
      <c r="F533" s="33">
        <v>-10</v>
      </c>
      <c r="G533" s="34">
        <f>IFERROR(IF(F533&gt;=0,D533*E533*(1+F533/100),ABS(D533*E533/F533)),"")</f>
        <v>5652.4650000000001</v>
      </c>
      <c r="H533" s="43">
        <f>IFERROR(G533*E524,"")</f>
        <v>0</v>
      </c>
    </row>
    <row r="534" spans="1:11" ht="12.75" customHeight="1">
      <c r="A534" s="28"/>
      <c r="B534" s="29" t="s">
        <v>3570</v>
      </c>
      <c r="C534" s="30" t="str">
        <f>IFERROR(_xlfn.XLOOKUP(B534,Equipo[DESCRIPCION],Equipo[UND],,0),"")</f>
        <v>%MO</v>
      </c>
      <c r="D534" s="31">
        <v>0.04</v>
      </c>
      <c r="E534" s="32">
        <f>IF(C534="%MO",G539,IFERROR(_xlfn.XLOOKUP($B534,Equipo[DESCRIPCION],Equipo[VALOR],,0),""))</f>
        <v>331409.05365000002</v>
      </c>
      <c r="F534" s="33"/>
      <c r="G534" s="34">
        <f>IFERROR(IF(F534&gt;=0,D534*E534*(1+F534/100),ABS(D534*E534/F534)),"")</f>
        <v>13256.362146000001</v>
      </c>
      <c r="H534" s="43">
        <f>IFERROR(G534*E524,"")</f>
        <v>0</v>
      </c>
    </row>
    <row r="535" spans="1:11" ht="12.75" customHeight="1">
      <c r="A535" s="28"/>
      <c r="B535" s="29" t="s">
        <v>3626</v>
      </c>
      <c r="C535" s="30" t="str">
        <f>IFERROR(_xlfn.XLOOKUP(B535,Equipo[DESCRIPCION],Equipo[UND],,0),"")</f>
        <v>%MO</v>
      </c>
      <c r="D535" s="31">
        <v>0.05</v>
      </c>
      <c r="E535" s="32">
        <f>IF(C535="%MO",G539,IFERROR(_xlfn.XLOOKUP($B535,Equipo[DESCRIPCION],Equipo[VALOR],,0),""))</f>
        <v>331409.05365000002</v>
      </c>
      <c r="F535" s="33"/>
      <c r="G535" s="34">
        <f>IFERROR(IF(F535&gt;=0,D535*E535*(1+F535/100),ABS(D535*E535/F535)),"")</f>
        <v>16570.452682500003</v>
      </c>
      <c r="H535" s="43">
        <f>IFERROR(G535*E524,"")</f>
        <v>0</v>
      </c>
    </row>
    <row r="536" spans="1:11" ht="12.75" customHeight="1">
      <c r="A536" s="21"/>
      <c r="B536" s="22" t="s">
        <v>2533</v>
      </c>
      <c r="C536" s="23"/>
      <c r="D536" s="24"/>
      <c r="E536" s="25"/>
      <c r="F536" s="26"/>
      <c r="G536" s="27">
        <f>SUM(G537:G538)</f>
        <v>0</v>
      </c>
      <c r="H536" s="44">
        <f>G536*E524</f>
        <v>0</v>
      </c>
    </row>
    <row r="537" spans="1:11" ht="12.75" customHeight="1">
      <c r="A537" s="28"/>
      <c r="B537" s="29"/>
      <c r="C537" s="30" t="str">
        <f>IFERROR(_xlfn.XLOOKUP(B537,Transporte[DESCRIPCION],Transporte[UND],,0),"")</f>
        <v/>
      </c>
      <c r="D537" s="31"/>
      <c r="E537" s="32" t="str">
        <f>IFERROR(_xlfn.XLOOKUP($B537,Transporte[DESCRIPCION],Transporte[VALOR],,0),"")</f>
        <v/>
      </c>
      <c r="F537" s="33"/>
      <c r="G537" s="34" t="str">
        <f>IFERROR(IF(F537&gt;=0,D537*E537*(1+F537/100),ABS(D537*E537/F537)),"")</f>
        <v/>
      </c>
      <c r="H537" s="43" t="str">
        <f>IFERROR(G537*E524,"")</f>
        <v/>
      </c>
    </row>
    <row r="538" spans="1:11" ht="12.75" customHeight="1">
      <c r="A538" s="28"/>
      <c r="B538" s="29"/>
      <c r="C538" s="30" t="str">
        <f>IFERROR(_xlfn.XLOOKUP(B538,Transporte[DESCRIPCION],Transporte[UND],,0),"")</f>
        <v/>
      </c>
      <c r="D538" s="31"/>
      <c r="E538" s="32" t="str">
        <f>IFERROR(_xlfn.XLOOKUP($B538,Transporte[DESCRIPCION],Transporte[VALOR],,0),"")</f>
        <v/>
      </c>
      <c r="F538" s="33"/>
      <c r="G538" s="34" t="str">
        <f>IFERROR(IF(F538&gt;=0,D538*E538*(1+F538/100),ABS(D538*E538/F538)),"")</f>
        <v/>
      </c>
      <c r="H538" s="43" t="str">
        <f>IFERROR(G538*E524,"")</f>
        <v/>
      </c>
    </row>
    <row r="539" spans="1:11" ht="12.75" customHeight="1">
      <c r="A539" s="21"/>
      <c r="B539" s="22" t="s">
        <v>3732</v>
      </c>
      <c r="C539" s="23"/>
      <c r="D539" s="24"/>
      <c r="E539" s="25"/>
      <c r="F539" s="26"/>
      <c r="G539" s="27">
        <f>SUM(G540:G542)</f>
        <v>331409.05365000002</v>
      </c>
      <c r="H539" s="44">
        <f>G539*E524</f>
        <v>0</v>
      </c>
    </row>
    <row r="540" spans="1:11" ht="12.75" customHeight="1">
      <c r="A540" s="28"/>
      <c r="B540" s="29" t="s">
        <v>3711</v>
      </c>
      <c r="C540" s="30" t="str">
        <f>IFERROR(_xlfn.XLOOKUP(B540,MObra[DESCRIPCION],MObra[UN],,0),"")</f>
        <v>día</v>
      </c>
      <c r="D540" s="31">
        <v>1</v>
      </c>
      <c r="E540" s="32">
        <f>IFERROR(_xlfn.XLOOKUP($B540,MObra[DESCRIPCION],MObra[VALOR UNIT],,0),"")</f>
        <v>430831.76974500006</v>
      </c>
      <c r="F540" s="33">
        <v>-1.3</v>
      </c>
      <c r="G540" s="34">
        <f>IFERROR(IF(F540&gt;=0,D540*E540*(1+F540/100),ABS(D540*E540/F540)),"")</f>
        <v>331409.05365000002</v>
      </c>
      <c r="H540" s="43">
        <f>IFERROR(G540*E524,"")</f>
        <v>0</v>
      </c>
    </row>
    <row r="541" spans="1:11" ht="12.75" customHeight="1">
      <c r="A541" s="28"/>
      <c r="B541" s="29"/>
      <c r="C541" s="30" t="str">
        <f t="array" ref="C541">IFERROR(_xlfn.XLOOKUP(B541,MObra[[#All],[DESCRIPCION]],MObra[[#All],[UN]],,0),"")</f>
        <v/>
      </c>
      <c r="D541" s="31"/>
      <c r="E541" s="32" t="str">
        <f>IFERROR(_xlfn.XLOOKUP($B541,MObra[DESCRIPCION],MObra[VALOR UNIT],,0),"")</f>
        <v/>
      </c>
      <c r="F541" s="33"/>
      <c r="G541" s="34" t="str">
        <f>IFERROR(IF(F541&gt;=0,D541*E541*(1+F541/100),ABS(D541*E541/F541)),"")</f>
        <v/>
      </c>
      <c r="H541" s="43" t="str">
        <f>IFERROR(G541*E524,"")</f>
        <v/>
      </c>
    </row>
    <row r="542" spans="1:11" ht="12.75" customHeight="1" thickBot="1">
      <c r="A542" s="35"/>
      <c r="B542" s="36"/>
      <c r="C542" s="37" t="str">
        <f t="array" ref="C542">IFERROR(_xlfn.XLOOKUP(B542,MObra[[#All],[DESCRIPCION]],MObra[[#All],[UN]],,0),"")</f>
        <v/>
      </c>
      <c r="D542" s="38"/>
      <c r="E542" s="39" t="str">
        <f>IFERROR(_xlfn.XLOOKUP($B542,MObra[DESCRIPCION],MObra[VALOR UNIT],,0),"")</f>
        <v/>
      </c>
      <c r="F542" s="40"/>
      <c r="G542" s="41" t="str">
        <f>IFERROR(IF(F542&gt;=0,D542*E542*(1+F542/100),ABS(D542*E542/F542)),"")</f>
        <v/>
      </c>
      <c r="H542" s="42" t="str">
        <f>IFERROR(G542*E524,"")</f>
        <v/>
      </c>
    </row>
    <row r="543" spans="1:11" ht="12.75" customHeight="1" thickTop="1" thickBot="1"/>
    <row r="544" spans="1:11" ht="12.75" customHeight="1" thickTop="1" thickBot="1">
      <c r="A544" s="6" t="s">
        <v>363</v>
      </c>
      <c r="B544" s="7" t="str">
        <f>VLOOKUP($A544,Presupuesto!$A:$D,2,FALSE())</f>
        <v>Columna circular 27.6 Mpa (2.500 cm2 &lt;área&lt;= 3.600 cm2)</v>
      </c>
      <c r="C544" s="8" t="str">
        <f>VLOOKUP($A544,Presupuesto!$A:$D,3,FALSE())</f>
        <v>M3</v>
      </c>
      <c r="D544" s="9"/>
      <c r="E544" s="10">
        <f>VLOOKUP($A544,Presupuesto!$A:$D,4,FALSE())</f>
        <v>0</v>
      </c>
      <c r="F544" s="11" t="s">
        <v>2589</v>
      </c>
      <c r="G544" s="12">
        <f>SUM(G546:G562)/2</f>
        <v>1166665.8192796446</v>
      </c>
      <c r="H544" s="13">
        <f>ROUND(SUM(H546:H562),0)/2</f>
        <v>0</v>
      </c>
      <c r="I544" s="10">
        <f>VLOOKUP(A544,Presupuesto!$A:$F,6,0)</f>
        <v>0</v>
      </c>
      <c r="J544" s="10">
        <f>+H544-I544</f>
        <v>0</v>
      </c>
      <c r="K544" s="46">
        <f>+H544-G544*E544</f>
        <v>0</v>
      </c>
    </row>
    <row r="545" spans="1:8" ht="12.75" customHeight="1" thickTop="1">
      <c r="A545" s="14"/>
      <c r="B545" s="15" t="s">
        <v>2586</v>
      </c>
      <c r="C545" s="15" t="s">
        <v>5</v>
      </c>
      <c r="D545" s="16" t="s">
        <v>6</v>
      </c>
      <c r="E545" s="17" t="s">
        <v>7</v>
      </c>
      <c r="F545" s="18" t="s">
        <v>3728</v>
      </c>
      <c r="G545" s="19" t="s">
        <v>3729</v>
      </c>
      <c r="H545" s="20" t="s">
        <v>3797</v>
      </c>
    </row>
    <row r="546" spans="1:8" ht="12.75" customHeight="1">
      <c r="A546" s="21"/>
      <c r="B546" s="22" t="s">
        <v>3730</v>
      </c>
      <c r="C546" s="23"/>
      <c r="D546" s="24"/>
      <c r="E546" s="25"/>
      <c r="F546" s="26"/>
      <c r="G546" s="27">
        <f>SUM(G547:G551)</f>
        <v>825580.04783532303</v>
      </c>
      <c r="H546" s="27">
        <f>IFERROR(G546*E544,"")</f>
        <v>0</v>
      </c>
    </row>
    <row r="547" spans="1:8" ht="12.75" customHeight="1">
      <c r="A547" s="28"/>
      <c r="B547" s="29" t="s">
        <v>3241</v>
      </c>
      <c r="C547" s="30" t="str">
        <f>IFERROR(_xlfn.XLOOKUP(B547,Insumo[DESCRIPCION],Insumo[UND],,0),"")</f>
        <v>M3</v>
      </c>
      <c r="D547" s="31">
        <v>1</v>
      </c>
      <c r="E547" s="32">
        <f>IFERROR(_xlfn.XLOOKUP($B547,Insumo[DESCRIPCION],Insumo[VALOR],,0),"")</f>
        <v>568453.66874585627</v>
      </c>
      <c r="F547" s="33">
        <v>5</v>
      </c>
      <c r="G547" s="34">
        <f>IFERROR(IF(F547&gt;=0,D547*E547*(1+F547/100),ABS(D547*E547/F547)),"")</f>
        <v>596876.35218314908</v>
      </c>
      <c r="H547" s="43">
        <f>IFERROR(G547*E544,"")</f>
        <v>0</v>
      </c>
    </row>
    <row r="548" spans="1:8" ht="12.75" customHeight="1">
      <c r="A548" s="28"/>
      <c r="B548" s="29" t="s">
        <v>2956</v>
      </c>
      <c r="C548" s="30" t="str">
        <f>IFERROR(_xlfn.XLOOKUP(B548,Insumo[DESCRIPCION],Insumo[UND],,0),"")</f>
        <v>M3</v>
      </c>
      <c r="D548" s="31">
        <v>1</v>
      </c>
      <c r="E548" s="32">
        <f>IFERROR(_xlfn.XLOOKUP($B548,Insumo[DESCRIPCION],Insumo[VALOR],,0),"")</f>
        <v>475327.65</v>
      </c>
      <c r="F548" s="33">
        <v>-2.2999999999999998</v>
      </c>
      <c r="G548" s="34">
        <f>IFERROR(IF(F548&gt;=0,D548*E548*(1+F548/100),ABS(D548*E548/F548)),"")</f>
        <v>206664.19565217395</v>
      </c>
      <c r="H548" s="43">
        <f>IFERROR(G548*E544,"")</f>
        <v>0</v>
      </c>
    </row>
    <row r="549" spans="1:8" ht="12.75" customHeight="1">
      <c r="A549" s="28"/>
      <c r="B549" s="29" t="s">
        <v>3295</v>
      </c>
      <c r="C549" s="30" t="str">
        <f>IFERROR(_xlfn.XLOOKUP(B549,Insumo[DESCRIPCION],Insumo[UND],,0),"")</f>
        <v>Kg</v>
      </c>
      <c r="D549" s="31">
        <v>1</v>
      </c>
      <c r="E549" s="32">
        <f>IFERROR(_xlfn.XLOOKUP($B549,Insumo[DESCRIPCION],Insumo[VALOR],,0),"")</f>
        <v>22039.5</v>
      </c>
      <c r="F549" s="33"/>
      <c r="G549" s="34">
        <f>IFERROR(IF(F549&gt;=0,D549*E549*(1+F549/100),ABS(D549*E549/F549)),"")</f>
        <v>22039.5</v>
      </c>
      <c r="H549" s="43">
        <f>IFERROR(G549*E544,"")</f>
        <v>0</v>
      </c>
    </row>
    <row r="550" spans="1:8" ht="12.75" customHeight="1">
      <c r="A550" s="28"/>
      <c r="B550" s="29"/>
      <c r="C550" s="30" t="str">
        <f>IFERROR(_xlfn.XLOOKUP(B550,Insumo[DESCRIPCION],Insumo[UND],,0),"")</f>
        <v/>
      </c>
      <c r="D550" s="31"/>
      <c r="E550" s="32" t="str">
        <f>IFERROR(_xlfn.XLOOKUP($B550,Insumo[DESCRIPCION],Insumo[VALOR],,0),"")</f>
        <v/>
      </c>
      <c r="F550" s="33"/>
      <c r="G550" s="34" t="str">
        <f>IFERROR(IF(F550&gt;=0,D550*E550*(1+F550/100),ABS(D550*E550/F550)),"")</f>
        <v/>
      </c>
      <c r="H550" s="43" t="str">
        <f>IFERROR(G550*E544,"")</f>
        <v/>
      </c>
    </row>
    <row r="551" spans="1:8" ht="12.75" customHeight="1">
      <c r="A551" s="28"/>
      <c r="B551" s="29"/>
      <c r="C551" s="30" t="str">
        <f>IFERROR(_xlfn.XLOOKUP(B551,Insumo[DESCRIPCION],Insumo[UND],,0),"")</f>
        <v/>
      </c>
      <c r="D551" s="31"/>
      <c r="E551" s="32" t="str">
        <f>IFERROR(_xlfn.XLOOKUP($B551,Insumo[DESCRIPCION],Insumo[VALOR],,0),"")</f>
        <v/>
      </c>
      <c r="F551" s="33"/>
      <c r="G551" s="34" t="str">
        <f>IFERROR(IF(F551&gt;=0,D551*E551*(1+F551/100),ABS(D551*E551/F551)),"")</f>
        <v/>
      </c>
      <c r="H551" s="43" t="str">
        <f>IFERROR(G551*E544,"")</f>
        <v/>
      </c>
    </row>
    <row r="552" spans="1:8" ht="12.75" customHeight="1">
      <c r="A552" s="21"/>
      <c r="B552" s="22" t="s">
        <v>3731</v>
      </c>
      <c r="C552" s="23"/>
      <c r="D552" s="24"/>
      <c r="E552" s="25"/>
      <c r="F552" s="26"/>
      <c r="G552" s="27">
        <f>SUM(G553:G555)</f>
        <v>33348.79305503572</v>
      </c>
      <c r="H552" s="44">
        <f>G552*E544</f>
        <v>0</v>
      </c>
    </row>
    <row r="553" spans="1:8" ht="12.75" customHeight="1">
      <c r="A553" s="28"/>
      <c r="B553" s="29" t="s">
        <v>3657</v>
      </c>
      <c r="C553" s="30" t="str">
        <f>IFERROR(_xlfn.XLOOKUP(B553,Equipo[DESCRIPCION],Equipo[UND],,0),"")</f>
        <v>Día</v>
      </c>
      <c r="D553" s="31">
        <v>1</v>
      </c>
      <c r="E553" s="32">
        <f>IF(C553="%MO",G559,IFERROR(_xlfn.XLOOKUP($B553,Equipo[DESCRIPCION],Equipo[VALOR],,0),""))</f>
        <v>56524.65</v>
      </c>
      <c r="F553" s="33">
        <v>-10</v>
      </c>
      <c r="G553" s="34">
        <f>IFERROR(IF(F553&gt;=0,D553*E553*(1+F553/100),ABS(D553*E553/F553)),"")</f>
        <v>5652.4650000000001</v>
      </c>
      <c r="H553" s="43">
        <f>IFERROR(G553*E544,"")</f>
        <v>0</v>
      </c>
    </row>
    <row r="554" spans="1:8" ht="12.75" customHeight="1">
      <c r="A554" s="28"/>
      <c r="B554" s="29" t="s">
        <v>3570</v>
      </c>
      <c r="C554" s="30" t="str">
        <f>IFERROR(_xlfn.XLOOKUP(B554,Equipo[DESCRIPCION],Equipo[UND],,0),"")</f>
        <v>%MO</v>
      </c>
      <c r="D554" s="31">
        <v>0.04</v>
      </c>
      <c r="E554" s="32">
        <f>IF(C554="%MO",G559,IFERROR(_xlfn.XLOOKUP($B554,Equipo[DESCRIPCION],Equipo[VALOR],,0),""))</f>
        <v>307736.9783892858</v>
      </c>
      <c r="F554" s="33"/>
      <c r="G554" s="34">
        <f>IFERROR(IF(F554&gt;=0,D554*E554*(1+F554/100),ABS(D554*E554/F554)),"")</f>
        <v>12309.479135571431</v>
      </c>
      <c r="H554" s="43">
        <f>IFERROR(G554*E544,"")</f>
        <v>0</v>
      </c>
    </row>
    <row r="555" spans="1:8" ht="12.75" customHeight="1">
      <c r="A555" s="28"/>
      <c r="B555" s="29" t="s">
        <v>3626</v>
      </c>
      <c r="C555" s="30" t="str">
        <f>IFERROR(_xlfn.XLOOKUP(B555,Equipo[DESCRIPCION],Equipo[UND],,0),"")</f>
        <v>%MO</v>
      </c>
      <c r="D555" s="31">
        <v>0.05</v>
      </c>
      <c r="E555" s="32">
        <f>IF(C555="%MO",G559,IFERROR(_xlfn.XLOOKUP($B555,Equipo[DESCRIPCION],Equipo[VALOR],,0),""))</f>
        <v>307736.9783892858</v>
      </c>
      <c r="F555" s="33"/>
      <c r="G555" s="34">
        <f>IFERROR(IF(F555&gt;=0,D555*E555*(1+F555/100),ABS(D555*E555/F555)),"")</f>
        <v>15386.84891946429</v>
      </c>
      <c r="H555" s="43">
        <f>IFERROR(G555*E544,"")</f>
        <v>0</v>
      </c>
    </row>
    <row r="556" spans="1:8" ht="12.75" customHeight="1">
      <c r="A556" s="21"/>
      <c r="B556" s="22" t="s">
        <v>2533</v>
      </c>
      <c r="C556" s="23"/>
      <c r="D556" s="24"/>
      <c r="E556" s="25"/>
      <c r="F556" s="26"/>
      <c r="G556" s="27">
        <f>SUM(G557:G558)</f>
        <v>0</v>
      </c>
      <c r="H556" s="44">
        <f>G556*E544</f>
        <v>0</v>
      </c>
    </row>
    <row r="557" spans="1:8" ht="12.75" customHeight="1">
      <c r="A557" s="28"/>
      <c r="B557" s="29"/>
      <c r="C557" s="30" t="str">
        <f>IFERROR(_xlfn.XLOOKUP(B557,Transporte[DESCRIPCION],Transporte[UND],,0),"")</f>
        <v/>
      </c>
      <c r="D557" s="31"/>
      <c r="E557" s="32" t="str">
        <f>IFERROR(_xlfn.XLOOKUP($B557,Transporte[DESCRIPCION],Transporte[VALOR],,0),"")</f>
        <v/>
      </c>
      <c r="F557" s="33"/>
      <c r="G557" s="34" t="str">
        <f>IFERROR(IF(F557&gt;=0,D557*E557*(1+F557/100),ABS(D557*E557/F557)),"")</f>
        <v/>
      </c>
      <c r="H557" s="43" t="str">
        <f>IFERROR(G557*E544,"")</f>
        <v/>
      </c>
    </row>
    <row r="558" spans="1:8" ht="12.75" customHeight="1">
      <c r="A558" s="28"/>
      <c r="B558" s="29"/>
      <c r="C558" s="30" t="str">
        <f>IFERROR(_xlfn.XLOOKUP(B558,Transporte[DESCRIPCION],Transporte[UND],,0),"")</f>
        <v/>
      </c>
      <c r="D558" s="31"/>
      <c r="E558" s="32" t="str">
        <f>IFERROR(_xlfn.XLOOKUP($B558,Transporte[DESCRIPCION],Transporte[VALOR],,0),"")</f>
        <v/>
      </c>
      <c r="F558" s="33"/>
      <c r="G558" s="34" t="str">
        <f>IFERROR(IF(F558&gt;=0,D558*E558*(1+F558/100),ABS(D558*E558/F558)),"")</f>
        <v/>
      </c>
      <c r="H558" s="43" t="str">
        <f>IFERROR(G558*E544,"")</f>
        <v/>
      </c>
    </row>
    <row r="559" spans="1:8" ht="12.75" customHeight="1">
      <c r="A559" s="21"/>
      <c r="B559" s="22" t="s">
        <v>3732</v>
      </c>
      <c r="C559" s="23"/>
      <c r="D559" s="24"/>
      <c r="E559" s="25"/>
      <c r="F559" s="26"/>
      <c r="G559" s="27">
        <f>SUM(G560:G562)</f>
        <v>307736.9783892858</v>
      </c>
      <c r="H559" s="44">
        <f>G559*E544</f>
        <v>0</v>
      </c>
    </row>
    <row r="560" spans="1:8" ht="12.75" customHeight="1">
      <c r="A560" s="28"/>
      <c r="B560" s="29" t="s">
        <v>3711</v>
      </c>
      <c r="C560" s="30" t="str">
        <f>IFERROR(_xlfn.XLOOKUP(B560,MObra[DESCRIPCION],MObra[UN],,0),"")</f>
        <v>día</v>
      </c>
      <c r="D560" s="31">
        <v>1</v>
      </c>
      <c r="E560" s="32">
        <f>IFERROR(_xlfn.XLOOKUP($B560,MObra[DESCRIPCION],MObra[VALOR UNIT],,0),"")</f>
        <v>430831.76974500006</v>
      </c>
      <c r="F560" s="33">
        <v>-1.4</v>
      </c>
      <c r="G560" s="34">
        <f>IFERROR(IF(F560&gt;=0,D560*E560*(1+F560/100),ABS(D560*E560/F560)),"")</f>
        <v>307736.9783892858</v>
      </c>
      <c r="H560" s="43">
        <f>IFERROR(G560*E544,"")</f>
        <v>0</v>
      </c>
    </row>
    <row r="561" spans="1:11" ht="12.75" customHeight="1">
      <c r="A561" s="28"/>
      <c r="B561" s="29"/>
      <c r="C561" s="30" t="str">
        <f t="array" ref="C561">IFERROR(_xlfn.XLOOKUP(B561,MObra[[#All],[DESCRIPCION]],MObra[[#All],[UN]],,0),"")</f>
        <v/>
      </c>
      <c r="D561" s="31"/>
      <c r="E561" s="32" t="str">
        <f>IFERROR(_xlfn.XLOOKUP($B561,MObra[DESCRIPCION],MObra[VALOR UNIT],,0),"")</f>
        <v/>
      </c>
      <c r="F561" s="33"/>
      <c r="G561" s="34" t="str">
        <f>IFERROR(IF(F561&gt;=0,D561*E561*(1+F561/100),ABS(D561*E561/F561)),"")</f>
        <v/>
      </c>
      <c r="H561" s="43" t="str">
        <f>IFERROR(G561*E544,"")</f>
        <v/>
      </c>
    </row>
    <row r="562" spans="1:11" ht="12.75" customHeight="1" thickBot="1">
      <c r="A562" s="35"/>
      <c r="B562" s="36"/>
      <c r="C562" s="37" t="str">
        <f t="array" ref="C562">IFERROR(_xlfn.XLOOKUP(B562,MObra[[#All],[DESCRIPCION]],MObra[[#All],[UN]],,0),"")</f>
        <v/>
      </c>
      <c r="D562" s="38"/>
      <c r="E562" s="39" t="str">
        <f>IFERROR(_xlfn.XLOOKUP($B562,MObra[DESCRIPCION],MObra[VALOR UNIT],,0),"")</f>
        <v/>
      </c>
      <c r="F562" s="40"/>
      <c r="G562" s="41" t="str">
        <f>IFERROR(IF(F562&gt;=0,D562*E562*(1+F562/100),ABS(D562*E562/F562)),"")</f>
        <v/>
      </c>
      <c r="H562" s="42" t="str">
        <f>IFERROR(G562*E544,"")</f>
        <v/>
      </c>
    </row>
    <row r="563" spans="1:11" ht="12.75" customHeight="1" thickTop="1" thickBot="1"/>
    <row r="564" spans="1:11" ht="12.75" customHeight="1" thickTop="1" thickBot="1">
      <c r="A564" s="6" t="s">
        <v>365</v>
      </c>
      <c r="B564" s="7" t="str">
        <f>VLOOKUP($A564,Presupuesto!$A:$D,2,FALSE())</f>
        <v>Columna circular 27.6 Mpa (área &gt;=3.600 cm2)</v>
      </c>
      <c r="C564" s="8" t="str">
        <f>VLOOKUP($A564,Presupuesto!$A:$D,3,FALSE())</f>
        <v>M3</v>
      </c>
      <c r="D564" s="9"/>
      <c r="E564" s="10">
        <f>VLOOKUP($A564,Presupuesto!$A:$D,4,FALSE())</f>
        <v>0</v>
      </c>
      <c r="F564" s="11" t="s">
        <v>2589</v>
      </c>
      <c r="G564" s="12">
        <f>SUM(G566:G582)/2</f>
        <v>1135692.5906978492</v>
      </c>
      <c r="H564" s="13">
        <f>ROUND(SUM(H566:H582),0)/2</f>
        <v>0</v>
      </c>
      <c r="I564" s="10">
        <f>VLOOKUP(A564,Presupuesto!$A:$F,6,0)</f>
        <v>0</v>
      </c>
      <c r="J564" s="10">
        <f>+H564-I564</f>
        <v>0</v>
      </c>
      <c r="K564" s="46">
        <f>+H564-G564*E564</f>
        <v>0</v>
      </c>
    </row>
    <row r="565" spans="1:11" ht="12.75" customHeight="1" thickTop="1">
      <c r="A565" s="14"/>
      <c r="B565" s="15" t="s">
        <v>2586</v>
      </c>
      <c r="C565" s="15" t="s">
        <v>5</v>
      </c>
      <c r="D565" s="16" t="s">
        <v>6</v>
      </c>
      <c r="E565" s="17" t="s">
        <v>7</v>
      </c>
      <c r="F565" s="18" t="s">
        <v>3728</v>
      </c>
      <c r="G565" s="19" t="s">
        <v>3729</v>
      </c>
      <c r="H565" s="20" t="s">
        <v>3797</v>
      </c>
    </row>
    <row r="566" spans="1:11" ht="12.75" customHeight="1">
      <c r="A566" s="21"/>
      <c r="B566" s="22" t="s">
        <v>3730</v>
      </c>
      <c r="C566" s="23"/>
      <c r="D566" s="24"/>
      <c r="E566" s="25"/>
      <c r="F566" s="26"/>
      <c r="G566" s="27">
        <f>SUM(G567:G571)</f>
        <v>816969.03968314908</v>
      </c>
      <c r="H566" s="27">
        <f>IFERROR(G566*E564,"")</f>
        <v>0</v>
      </c>
    </row>
    <row r="567" spans="1:11" ht="12.75" customHeight="1">
      <c r="A567" s="28"/>
      <c r="B567" s="29" t="s">
        <v>3241</v>
      </c>
      <c r="C567" s="30" t="str">
        <f>IFERROR(_xlfn.XLOOKUP(B567,Insumo[DESCRIPCION],Insumo[UND],,0),"")</f>
        <v>M3</v>
      </c>
      <c r="D567" s="31">
        <v>1</v>
      </c>
      <c r="E567" s="32">
        <f>IFERROR(_xlfn.XLOOKUP($B567,Insumo[DESCRIPCION],Insumo[VALOR],,0),"")</f>
        <v>568453.66874585627</v>
      </c>
      <c r="F567" s="33">
        <v>5</v>
      </c>
      <c r="G567" s="34">
        <f>IFERROR(IF(F567&gt;=0,D567*E567*(1+F567/100),ABS(D567*E567/F567)),"")</f>
        <v>596876.35218314908</v>
      </c>
      <c r="H567" s="43">
        <f>IFERROR(G567*E564,"")</f>
        <v>0</v>
      </c>
    </row>
    <row r="568" spans="1:11" ht="12.75" customHeight="1">
      <c r="A568" s="28"/>
      <c r="B568" s="29" t="s">
        <v>2956</v>
      </c>
      <c r="C568" s="30" t="str">
        <f>IFERROR(_xlfn.XLOOKUP(B568,Insumo[DESCRIPCION],Insumo[UND],,0),"")</f>
        <v>M3</v>
      </c>
      <c r="D568" s="31">
        <v>1</v>
      </c>
      <c r="E568" s="32">
        <f>IFERROR(_xlfn.XLOOKUP($B568,Insumo[DESCRIPCION],Insumo[VALOR],,0),"")</f>
        <v>475327.65</v>
      </c>
      <c r="F568" s="33">
        <v>-2.4</v>
      </c>
      <c r="G568" s="34">
        <f>IFERROR(IF(F568&gt;=0,D568*E568*(1+F568/100),ABS(D568*E568/F568)),"")</f>
        <v>198053.18750000003</v>
      </c>
      <c r="H568" s="43">
        <f>IFERROR(G568*E564,"")</f>
        <v>0</v>
      </c>
    </row>
    <row r="569" spans="1:11" ht="12.75" customHeight="1">
      <c r="A569" s="28"/>
      <c r="B569" s="29" t="s">
        <v>3295</v>
      </c>
      <c r="C569" s="30" t="str">
        <f>IFERROR(_xlfn.XLOOKUP(B569,Insumo[DESCRIPCION],Insumo[UND],,0),"")</f>
        <v>Kg</v>
      </c>
      <c r="D569" s="31">
        <v>1</v>
      </c>
      <c r="E569" s="32">
        <f>IFERROR(_xlfn.XLOOKUP($B569,Insumo[DESCRIPCION],Insumo[VALOR],,0),"")</f>
        <v>22039.5</v>
      </c>
      <c r="F569" s="33"/>
      <c r="G569" s="34">
        <f>IFERROR(IF(F569&gt;=0,D569*E569*(1+F569/100),ABS(D569*E569/F569)),"")</f>
        <v>22039.5</v>
      </c>
      <c r="H569" s="43">
        <f>IFERROR(G569*E564,"")</f>
        <v>0</v>
      </c>
    </row>
    <row r="570" spans="1:11" ht="12.75" customHeight="1">
      <c r="A570" s="28"/>
      <c r="B570" s="29"/>
      <c r="C570" s="30" t="str">
        <f>IFERROR(_xlfn.XLOOKUP(B570,Insumo[DESCRIPCION],Insumo[UND],,0),"")</f>
        <v/>
      </c>
      <c r="D570" s="31"/>
      <c r="E570" s="32" t="str">
        <f>IFERROR(_xlfn.XLOOKUP($B570,Insumo[DESCRIPCION],Insumo[VALOR],,0),"")</f>
        <v/>
      </c>
      <c r="F570" s="33"/>
      <c r="G570" s="34" t="str">
        <f>IFERROR(IF(F570&gt;=0,D570*E570*(1+F570/100),ABS(D570*E570/F570)),"")</f>
        <v/>
      </c>
      <c r="H570" s="43" t="str">
        <f>IFERROR(G570*E564,"")</f>
        <v/>
      </c>
    </row>
    <row r="571" spans="1:11" ht="12.75" customHeight="1">
      <c r="A571" s="28"/>
      <c r="B571" s="29"/>
      <c r="C571" s="30" t="str">
        <f>IFERROR(_xlfn.XLOOKUP(B571,Insumo[DESCRIPCION],Insumo[UND],,0),"")</f>
        <v/>
      </c>
      <c r="D571" s="31"/>
      <c r="E571" s="32" t="str">
        <f>IFERROR(_xlfn.XLOOKUP($B571,Insumo[DESCRIPCION],Insumo[VALOR],,0),"")</f>
        <v/>
      </c>
      <c r="F571" s="33"/>
      <c r="G571" s="34" t="str">
        <f>IFERROR(IF(F571&gt;=0,D571*E571*(1+F571/100),ABS(D571*E571/F571)),"")</f>
        <v/>
      </c>
      <c r="H571" s="43" t="str">
        <f>IFERROR(G571*E564,"")</f>
        <v/>
      </c>
    </row>
    <row r="572" spans="1:11" ht="12.75" customHeight="1">
      <c r="A572" s="21"/>
      <c r="B572" s="22" t="s">
        <v>3731</v>
      </c>
      <c r="C572" s="23"/>
      <c r="D572" s="24"/>
      <c r="E572" s="25"/>
      <c r="F572" s="26"/>
      <c r="G572" s="27">
        <f>SUM(G573:G575)</f>
        <v>31502.371184700001</v>
      </c>
      <c r="H572" s="44">
        <f>G572*E564</f>
        <v>0</v>
      </c>
    </row>
    <row r="573" spans="1:11" ht="12.75" customHeight="1">
      <c r="A573" s="28"/>
      <c r="B573" s="29" t="s">
        <v>3657</v>
      </c>
      <c r="C573" s="30" t="str">
        <f>IFERROR(_xlfn.XLOOKUP(B573,Equipo[DESCRIPCION],Equipo[UND],,0),"")</f>
        <v>Día</v>
      </c>
      <c r="D573" s="31">
        <v>1</v>
      </c>
      <c r="E573" s="32">
        <f>IF(C573="%MO",G579,IFERROR(_xlfn.XLOOKUP($B573,Equipo[DESCRIPCION],Equipo[VALOR],,0),""))</f>
        <v>56524.65</v>
      </c>
      <c r="F573" s="33">
        <v>-10</v>
      </c>
      <c r="G573" s="34">
        <f>IFERROR(IF(F573&gt;=0,D573*E573*(1+F573/100),ABS(D573*E573/F573)),"")</f>
        <v>5652.4650000000001</v>
      </c>
      <c r="H573" s="43">
        <f>IFERROR(G573*E564,"")</f>
        <v>0</v>
      </c>
    </row>
    <row r="574" spans="1:11" ht="12.75" customHeight="1">
      <c r="A574" s="28"/>
      <c r="B574" s="29" t="s">
        <v>3570</v>
      </c>
      <c r="C574" s="30" t="str">
        <f>IFERROR(_xlfn.XLOOKUP(B574,Equipo[DESCRIPCION],Equipo[UND],,0),"")</f>
        <v>%MO</v>
      </c>
      <c r="D574" s="31">
        <v>0.04</v>
      </c>
      <c r="E574" s="32">
        <f>IF(C574="%MO",G579,IFERROR(_xlfn.XLOOKUP($B574,Equipo[DESCRIPCION],Equipo[VALOR],,0),""))</f>
        <v>287221.17983000004</v>
      </c>
      <c r="F574" s="33"/>
      <c r="G574" s="34">
        <f>IFERROR(IF(F574&gt;=0,D574*E574*(1+F574/100),ABS(D574*E574/F574)),"")</f>
        <v>11488.847193200001</v>
      </c>
      <c r="H574" s="43">
        <f>IFERROR(G574*E564,"")</f>
        <v>0</v>
      </c>
    </row>
    <row r="575" spans="1:11" ht="12.75" customHeight="1">
      <c r="A575" s="28"/>
      <c r="B575" s="29" t="s">
        <v>3626</v>
      </c>
      <c r="C575" s="30" t="str">
        <f>IFERROR(_xlfn.XLOOKUP(B575,Equipo[DESCRIPCION],Equipo[UND],,0),"")</f>
        <v>%MO</v>
      </c>
      <c r="D575" s="31">
        <v>0.05</v>
      </c>
      <c r="E575" s="32">
        <f>IF(C575="%MO",G579,IFERROR(_xlfn.XLOOKUP($B575,Equipo[DESCRIPCION],Equipo[VALOR],,0),""))</f>
        <v>287221.17983000004</v>
      </c>
      <c r="F575" s="33"/>
      <c r="G575" s="34">
        <f>IFERROR(IF(F575&gt;=0,D575*E575*(1+F575/100),ABS(D575*E575/F575)),"")</f>
        <v>14361.058991500002</v>
      </c>
      <c r="H575" s="43">
        <f>IFERROR(G575*E564,"")</f>
        <v>0</v>
      </c>
    </row>
    <row r="576" spans="1:11" ht="12.75" customHeight="1">
      <c r="A576" s="21"/>
      <c r="B576" s="22" t="s">
        <v>2533</v>
      </c>
      <c r="C576" s="23"/>
      <c r="D576" s="24"/>
      <c r="E576" s="25"/>
      <c r="F576" s="26"/>
      <c r="G576" s="27">
        <f>SUM(G577:G578)</f>
        <v>0</v>
      </c>
      <c r="H576" s="44">
        <f>G576*E564</f>
        <v>0</v>
      </c>
    </row>
    <row r="577" spans="1:11" ht="12.75" customHeight="1">
      <c r="A577" s="28"/>
      <c r="B577" s="29"/>
      <c r="C577" s="30" t="str">
        <f>IFERROR(_xlfn.XLOOKUP(B577,Transporte[DESCRIPCION],Transporte[UND],,0),"")</f>
        <v/>
      </c>
      <c r="D577" s="31"/>
      <c r="E577" s="32" t="str">
        <f>IFERROR(_xlfn.XLOOKUP($B577,Transporte[DESCRIPCION],Transporte[VALOR],,0),"")</f>
        <v/>
      </c>
      <c r="F577" s="33"/>
      <c r="G577" s="34" t="str">
        <f>IFERROR(IF(F577&gt;=0,D577*E577*(1+F577/100),ABS(D577*E577/F577)),"")</f>
        <v/>
      </c>
      <c r="H577" s="43" t="str">
        <f>IFERROR(G577*E564,"")</f>
        <v/>
      </c>
    </row>
    <row r="578" spans="1:11" ht="12.75" customHeight="1">
      <c r="A578" s="28"/>
      <c r="B578" s="29"/>
      <c r="C578" s="30" t="str">
        <f>IFERROR(_xlfn.XLOOKUP(B578,Transporte[DESCRIPCION],Transporte[UND],,0),"")</f>
        <v/>
      </c>
      <c r="D578" s="31"/>
      <c r="E578" s="32" t="str">
        <f>IFERROR(_xlfn.XLOOKUP($B578,Transporte[DESCRIPCION],Transporte[VALOR],,0),"")</f>
        <v/>
      </c>
      <c r="F578" s="33"/>
      <c r="G578" s="34" t="str">
        <f>IFERROR(IF(F578&gt;=0,D578*E578*(1+F578/100),ABS(D578*E578/F578)),"")</f>
        <v/>
      </c>
      <c r="H578" s="43" t="str">
        <f>IFERROR(G578*E564,"")</f>
        <v/>
      </c>
    </row>
    <row r="579" spans="1:11" ht="12.75" customHeight="1">
      <c r="A579" s="21"/>
      <c r="B579" s="22" t="s">
        <v>3732</v>
      </c>
      <c r="C579" s="23"/>
      <c r="D579" s="24"/>
      <c r="E579" s="25"/>
      <c r="F579" s="26"/>
      <c r="G579" s="27">
        <f>SUM(G580:G582)</f>
        <v>287221.17983000004</v>
      </c>
      <c r="H579" s="44">
        <f>G579*E564</f>
        <v>0</v>
      </c>
    </row>
    <row r="580" spans="1:11" ht="12.75" customHeight="1">
      <c r="A580" s="28"/>
      <c r="B580" s="29" t="s">
        <v>3711</v>
      </c>
      <c r="C580" s="30" t="str">
        <f>IFERROR(_xlfn.XLOOKUP(B580,MObra[DESCRIPCION],MObra[UN],,0),"")</f>
        <v>día</v>
      </c>
      <c r="D580" s="31">
        <v>1</v>
      </c>
      <c r="E580" s="32">
        <f>IFERROR(_xlfn.XLOOKUP($B580,MObra[DESCRIPCION],MObra[VALOR UNIT],,0),"")</f>
        <v>430831.76974500006</v>
      </c>
      <c r="F580" s="33">
        <v>-1.5</v>
      </c>
      <c r="G580" s="34">
        <f>IFERROR(IF(F580&gt;=0,D580*E580*(1+F580/100),ABS(D580*E580/F580)),"")</f>
        <v>287221.17983000004</v>
      </c>
      <c r="H580" s="43">
        <f>IFERROR(G580*E564,"")</f>
        <v>0</v>
      </c>
    </row>
    <row r="581" spans="1:11" ht="12.75" customHeight="1">
      <c r="A581" s="28"/>
      <c r="B581" s="29"/>
      <c r="C581" s="30" t="str">
        <f t="array" ref="C581">IFERROR(_xlfn.XLOOKUP(B581,MObra[[#All],[DESCRIPCION]],MObra[[#All],[UN]],,0),"")</f>
        <v/>
      </c>
      <c r="D581" s="31"/>
      <c r="E581" s="32" t="str">
        <f>IFERROR(_xlfn.XLOOKUP($B581,MObra[DESCRIPCION],MObra[VALOR UNIT],,0),"")</f>
        <v/>
      </c>
      <c r="F581" s="33"/>
      <c r="G581" s="34" t="str">
        <f>IFERROR(IF(F581&gt;=0,D581*E581*(1+F581/100),ABS(D581*E581/F581)),"")</f>
        <v/>
      </c>
      <c r="H581" s="43" t="str">
        <f>IFERROR(G581*E564,"")</f>
        <v/>
      </c>
    </row>
    <row r="582" spans="1:11" ht="12.75" customHeight="1" thickBot="1">
      <c r="A582" s="35"/>
      <c r="B582" s="36"/>
      <c r="C582" s="37" t="str">
        <f t="array" ref="C582">IFERROR(_xlfn.XLOOKUP(B582,MObra[[#All],[DESCRIPCION]],MObra[[#All],[UN]],,0),"")</f>
        <v/>
      </c>
      <c r="D582" s="38"/>
      <c r="E582" s="39" t="str">
        <f>IFERROR(_xlfn.XLOOKUP($B582,MObra[DESCRIPCION],MObra[VALOR UNIT],,0),"")</f>
        <v/>
      </c>
      <c r="F582" s="40"/>
      <c r="G582" s="41" t="str">
        <f>IFERROR(IF(F582&gt;=0,D582*E582*(1+F582/100),ABS(D582*E582/F582)),"")</f>
        <v/>
      </c>
      <c r="H582" s="42" t="str">
        <f>IFERROR(G582*E564,"")</f>
        <v/>
      </c>
    </row>
    <row r="583" spans="1:11" ht="12.75" customHeight="1" thickTop="1" thickBot="1"/>
    <row r="584" spans="1:11" ht="12.75" customHeight="1" thickTop="1" thickBot="1">
      <c r="A584" s="6" t="s">
        <v>367</v>
      </c>
      <c r="B584" s="7" t="str">
        <f>VLOOKUP($A584,Presupuesto!$A:$D,2,FALSE())</f>
        <v>Columna rectangular 20.7 Mpa (área &lt;=1.600 cm2)</v>
      </c>
      <c r="C584" s="8" t="str">
        <f>VLOOKUP($A584,Presupuesto!$A:$D,3,FALSE())</f>
        <v>M3</v>
      </c>
      <c r="D584" s="9"/>
      <c r="E584" s="10">
        <f>VLOOKUP($A584,Presupuesto!$A:$D,4,FALSE())</f>
        <v>0</v>
      </c>
      <c r="F584" s="11" t="s">
        <v>2589</v>
      </c>
      <c r="G584" s="12">
        <f>SUM(G586:G602)/2</f>
        <v>1324682.5453942744</v>
      </c>
      <c r="H584" s="13">
        <f>ROUND(SUM(H586:H602),0)/2</f>
        <v>0</v>
      </c>
      <c r="I584" s="10">
        <f>VLOOKUP(A584,Presupuesto!$A:$F,6,0)</f>
        <v>0</v>
      </c>
      <c r="J584" s="10">
        <f>+H584-I584</f>
        <v>0</v>
      </c>
      <c r="K584" s="46">
        <f>+H584-G584*E584</f>
        <v>0</v>
      </c>
    </row>
    <row r="585" spans="1:11" ht="12.75" customHeight="1" thickTop="1">
      <c r="A585" s="14"/>
      <c r="B585" s="15" t="s">
        <v>2586</v>
      </c>
      <c r="C585" s="15" t="s">
        <v>5</v>
      </c>
      <c r="D585" s="16" t="s">
        <v>6</v>
      </c>
      <c r="E585" s="17" t="s">
        <v>7</v>
      </c>
      <c r="F585" s="18" t="s">
        <v>3728</v>
      </c>
      <c r="G585" s="19" t="s">
        <v>3729</v>
      </c>
      <c r="H585" s="20" t="s">
        <v>3797</v>
      </c>
    </row>
    <row r="586" spans="1:11" ht="12.75" customHeight="1">
      <c r="A586" s="21"/>
      <c r="B586" s="22" t="s">
        <v>3730</v>
      </c>
      <c r="C586" s="23"/>
      <c r="D586" s="24"/>
      <c r="E586" s="25"/>
      <c r="F586" s="26"/>
      <c r="G586" s="27">
        <f>SUM(G587:G591)</f>
        <v>927691.22287589929</v>
      </c>
      <c r="H586" s="27">
        <f>IFERROR(G586*E584,"")</f>
        <v>0</v>
      </c>
    </row>
    <row r="587" spans="1:11" ht="12.75" customHeight="1">
      <c r="A587" s="28"/>
      <c r="B587" s="29" t="s">
        <v>3239</v>
      </c>
      <c r="C587" s="30" t="str">
        <f>IFERROR(_xlfn.XLOOKUP(B587,Insumo[DESCRIPCION],Insumo[UND],,0),"")</f>
        <v>M3</v>
      </c>
      <c r="D587" s="31">
        <v>1</v>
      </c>
      <c r="E587" s="32">
        <f>IFERROR(_xlfn.XLOOKUP($B587,Insumo[DESCRIPCION],Insumo[VALOR],,0),"")</f>
        <v>521159.50227762427</v>
      </c>
      <c r="F587" s="33">
        <v>5</v>
      </c>
      <c r="G587" s="34">
        <f>IFERROR(IF(F587&gt;=0,D587*E587*(1+F587/100),ABS(D587*E587/F587)),"")</f>
        <v>547217.4773915055</v>
      </c>
      <c r="H587" s="43">
        <f>IFERROR(G587*E584,"")</f>
        <v>0</v>
      </c>
    </row>
    <row r="588" spans="1:11" ht="12.75" customHeight="1">
      <c r="A588" s="28"/>
      <c r="B588" s="29" t="s">
        <v>2957</v>
      </c>
      <c r="C588" s="30" t="str">
        <f>IFERROR(_xlfn.XLOOKUP(B588,Insumo[DESCRIPCION],Insumo[UND],,0),"")</f>
        <v>M2</v>
      </c>
      <c r="D588" s="31">
        <v>10</v>
      </c>
      <c r="E588" s="32">
        <f>IFERROR(_xlfn.XLOOKUP($B588,Insumo[DESCRIPCION],Insumo[VALOR],,0),"")</f>
        <v>149544.7581937575</v>
      </c>
      <c r="F588" s="33">
        <v>-4</v>
      </c>
      <c r="G588" s="34">
        <f>IFERROR(IF(F588&gt;=0,D588*E588*(1+F588/100),ABS(D588*E588/F588)),"")</f>
        <v>373861.89548439375</v>
      </c>
      <c r="H588" s="43">
        <f>IFERROR(G588*E584,"")</f>
        <v>0</v>
      </c>
    </row>
    <row r="589" spans="1:11" ht="12.75" customHeight="1">
      <c r="A589" s="28"/>
      <c r="B589" s="29" t="s">
        <v>3295</v>
      </c>
      <c r="C589" s="30" t="str">
        <f>IFERROR(_xlfn.XLOOKUP(B589,Insumo[DESCRIPCION],Insumo[UND],,0),"")</f>
        <v>Kg</v>
      </c>
      <c r="D589" s="31">
        <v>0.3</v>
      </c>
      <c r="E589" s="32">
        <f>IFERROR(_xlfn.XLOOKUP($B589,Insumo[DESCRIPCION],Insumo[VALOR],,0),"")</f>
        <v>22039.5</v>
      </c>
      <c r="F589" s="33"/>
      <c r="G589" s="34">
        <f>IFERROR(IF(F589&gt;=0,D589*E589*(1+F589/100),ABS(D589*E589/F589)),"")</f>
        <v>6611.8499999999995</v>
      </c>
      <c r="H589" s="43">
        <f>IFERROR(G589*E584,"")</f>
        <v>0</v>
      </c>
    </row>
    <row r="590" spans="1:11" ht="12.75" customHeight="1">
      <c r="A590" s="28"/>
      <c r="B590" s="29"/>
      <c r="C590" s="30" t="str">
        <f>IFERROR(_xlfn.XLOOKUP(B590,Insumo[DESCRIPCION],Insumo[UND],,0),"")</f>
        <v/>
      </c>
      <c r="D590" s="31"/>
      <c r="E590" s="32" t="str">
        <f>IFERROR(_xlfn.XLOOKUP($B590,Insumo[DESCRIPCION],Insumo[VALOR],,0),"")</f>
        <v/>
      </c>
      <c r="F590" s="33"/>
      <c r="G590" s="34" t="str">
        <f>IFERROR(IF(F590&gt;=0,D590*E590*(1+F590/100),ABS(D590*E590/F590)),"")</f>
        <v/>
      </c>
      <c r="H590" s="43" t="str">
        <f>IFERROR(G590*E584,"")</f>
        <v/>
      </c>
    </row>
    <row r="591" spans="1:11" ht="12.75" customHeight="1">
      <c r="A591" s="28"/>
      <c r="B591" s="29"/>
      <c r="C591" s="30" t="str">
        <f>IFERROR(_xlfn.XLOOKUP(B591,Insumo[DESCRIPCION],Insumo[UND],,0),"")</f>
        <v/>
      </c>
      <c r="D591" s="31"/>
      <c r="E591" s="32" t="str">
        <f>IFERROR(_xlfn.XLOOKUP($B591,Insumo[DESCRIPCION],Insumo[VALOR],,0),"")</f>
        <v/>
      </c>
      <c r="F591" s="33"/>
      <c r="G591" s="34" t="str">
        <f>IFERROR(IF(F591&gt;=0,D591*E591*(1+F591/100),ABS(D591*E591/F591)),"")</f>
        <v/>
      </c>
      <c r="H591" s="43" t="str">
        <f>IFERROR(G591*E584,"")</f>
        <v/>
      </c>
    </row>
    <row r="592" spans="1:11" ht="12.75" customHeight="1">
      <c r="A592" s="21"/>
      <c r="B592" s="22" t="s">
        <v>3731</v>
      </c>
      <c r="C592" s="23"/>
      <c r="D592" s="24"/>
      <c r="E592" s="25"/>
      <c r="F592" s="26"/>
      <c r="G592" s="27">
        <f>SUM(G593:G595)</f>
        <v>37964.847730875001</v>
      </c>
      <c r="H592" s="44">
        <f>G592*E584</f>
        <v>0</v>
      </c>
    </row>
    <row r="593" spans="1:11" ht="12.75" customHeight="1">
      <c r="A593" s="28"/>
      <c r="B593" s="29" t="s">
        <v>3657</v>
      </c>
      <c r="C593" s="30" t="str">
        <f>IFERROR(_xlfn.XLOOKUP(B593,Equipo[DESCRIPCION],Equipo[UND],,0),"")</f>
        <v>Día</v>
      </c>
      <c r="D593" s="31">
        <v>1</v>
      </c>
      <c r="E593" s="32">
        <f>IF(C593="%MO",G599,IFERROR(_xlfn.XLOOKUP($B593,Equipo[DESCRIPCION],Equipo[VALOR],,0),""))</f>
        <v>56524.65</v>
      </c>
      <c r="F593" s="33">
        <v>-10</v>
      </c>
      <c r="G593" s="34">
        <f>IFERROR(IF(F593&gt;=0,D593*E593*(1+F593/100),ABS(D593*E593/F593)),"")</f>
        <v>5652.4650000000001</v>
      </c>
      <c r="H593" s="43">
        <f>IFERROR(G593*E584,"")</f>
        <v>0</v>
      </c>
    </row>
    <row r="594" spans="1:11" ht="12.75" customHeight="1">
      <c r="A594" s="28"/>
      <c r="B594" s="29" t="s">
        <v>3570</v>
      </c>
      <c r="C594" s="30" t="str">
        <f>IFERROR(_xlfn.XLOOKUP(B594,Equipo[DESCRIPCION],Equipo[UND],,0),"")</f>
        <v>%MO</v>
      </c>
      <c r="D594" s="31">
        <v>0.04</v>
      </c>
      <c r="E594" s="32">
        <f>IF(C594="%MO",G599,IFERROR(_xlfn.XLOOKUP($B594,Equipo[DESCRIPCION],Equipo[VALOR],,0),""))</f>
        <v>359026.47478750005</v>
      </c>
      <c r="F594" s="33"/>
      <c r="G594" s="34">
        <f>IFERROR(IF(F594&gt;=0,D594*E594*(1+F594/100),ABS(D594*E594/F594)),"")</f>
        <v>14361.058991500002</v>
      </c>
      <c r="H594" s="43">
        <f>IFERROR(G594*E584,"")</f>
        <v>0</v>
      </c>
    </row>
    <row r="595" spans="1:11" ht="12.75" customHeight="1">
      <c r="A595" s="28"/>
      <c r="B595" s="29" t="s">
        <v>3626</v>
      </c>
      <c r="C595" s="30" t="str">
        <f>IFERROR(_xlfn.XLOOKUP(B595,Equipo[DESCRIPCION],Equipo[UND],,0),"")</f>
        <v>%MO</v>
      </c>
      <c r="D595" s="31">
        <v>0.05</v>
      </c>
      <c r="E595" s="32">
        <f>IF(C595="%MO",G599,IFERROR(_xlfn.XLOOKUP($B595,Equipo[DESCRIPCION],Equipo[VALOR],,0),""))</f>
        <v>359026.47478750005</v>
      </c>
      <c r="F595" s="33"/>
      <c r="G595" s="34">
        <f>IFERROR(IF(F595&gt;=0,D595*E595*(1+F595/100),ABS(D595*E595/F595)),"")</f>
        <v>17951.323739375002</v>
      </c>
      <c r="H595" s="43">
        <f>IFERROR(G595*E584,"")</f>
        <v>0</v>
      </c>
    </row>
    <row r="596" spans="1:11" ht="12.75" customHeight="1">
      <c r="A596" s="21"/>
      <c r="B596" s="22" t="s">
        <v>2533</v>
      </c>
      <c r="C596" s="23"/>
      <c r="D596" s="24"/>
      <c r="E596" s="25"/>
      <c r="F596" s="26"/>
      <c r="G596" s="27">
        <f>SUM(G597:G598)</f>
        <v>0</v>
      </c>
      <c r="H596" s="44">
        <f>G596*E584</f>
        <v>0</v>
      </c>
    </row>
    <row r="597" spans="1:11" ht="12.75" customHeight="1">
      <c r="A597" s="28"/>
      <c r="B597" s="29"/>
      <c r="C597" s="30" t="str">
        <f>IFERROR(_xlfn.XLOOKUP(B597,Transporte[DESCRIPCION],Transporte[UND],,0),"")</f>
        <v/>
      </c>
      <c r="D597" s="31"/>
      <c r="E597" s="32" t="str">
        <f>IFERROR(_xlfn.XLOOKUP($B597,Transporte[DESCRIPCION],Transporte[VALOR],,0),"")</f>
        <v/>
      </c>
      <c r="F597" s="33"/>
      <c r="G597" s="34" t="str">
        <f>IFERROR(IF(F597&gt;=0,D597*E597*(1+F597/100),ABS(D597*E597/F597)),"")</f>
        <v/>
      </c>
      <c r="H597" s="43" t="str">
        <f>IFERROR(G597*E584,"")</f>
        <v/>
      </c>
    </row>
    <row r="598" spans="1:11" ht="12.75" customHeight="1">
      <c r="A598" s="28"/>
      <c r="B598" s="29"/>
      <c r="C598" s="30" t="str">
        <f>IFERROR(_xlfn.XLOOKUP(B598,Transporte[DESCRIPCION],Transporte[UND],,0),"")</f>
        <v/>
      </c>
      <c r="D598" s="31"/>
      <c r="E598" s="32" t="str">
        <f>IFERROR(_xlfn.XLOOKUP($B598,Transporte[DESCRIPCION],Transporte[VALOR],,0),"")</f>
        <v/>
      </c>
      <c r="F598" s="33"/>
      <c r="G598" s="34" t="str">
        <f>IFERROR(IF(F598&gt;=0,D598*E598*(1+F598/100),ABS(D598*E598/F598)),"")</f>
        <v/>
      </c>
      <c r="H598" s="43" t="str">
        <f>IFERROR(G598*E584,"")</f>
        <v/>
      </c>
    </row>
    <row r="599" spans="1:11" ht="12.75" customHeight="1">
      <c r="A599" s="21"/>
      <c r="B599" s="22" t="s">
        <v>3732</v>
      </c>
      <c r="C599" s="23"/>
      <c r="D599" s="24"/>
      <c r="E599" s="25"/>
      <c r="F599" s="26"/>
      <c r="G599" s="27">
        <f>SUM(G600:G602)</f>
        <v>359026.47478750005</v>
      </c>
      <c r="H599" s="44">
        <f>G599*E584</f>
        <v>0</v>
      </c>
    </row>
    <row r="600" spans="1:11" ht="12.75" customHeight="1">
      <c r="A600" s="28"/>
      <c r="B600" s="29" t="s">
        <v>3711</v>
      </c>
      <c r="C600" s="30" t="str">
        <f>IFERROR(_xlfn.XLOOKUP(B600,MObra[DESCRIPCION],MObra[UN],,0),"")</f>
        <v>día</v>
      </c>
      <c r="D600" s="31">
        <v>1</v>
      </c>
      <c r="E600" s="32">
        <f>IFERROR(_xlfn.XLOOKUP($B600,MObra[DESCRIPCION],MObra[VALOR UNIT],,0),"")</f>
        <v>430831.76974500006</v>
      </c>
      <c r="F600" s="33">
        <v>-1.2</v>
      </c>
      <c r="G600" s="34">
        <f>IFERROR(IF(F600&gt;=0,D600*E600*(1+F600/100),ABS(D600*E600/F600)),"")</f>
        <v>359026.47478750005</v>
      </c>
      <c r="H600" s="43">
        <f>IFERROR(G600*E584,"")</f>
        <v>0</v>
      </c>
    </row>
    <row r="601" spans="1:11" ht="12.75" customHeight="1">
      <c r="A601" s="28"/>
      <c r="B601" s="29"/>
      <c r="C601" s="30" t="str">
        <f t="array" ref="C601">IFERROR(_xlfn.XLOOKUP(B601,MObra[[#All],[DESCRIPCION]],MObra[[#All],[UN]],,0),"")</f>
        <v/>
      </c>
      <c r="D601" s="31"/>
      <c r="E601" s="32" t="str">
        <f>IFERROR(_xlfn.XLOOKUP($B601,MObra[DESCRIPCION],MObra[VALOR UNIT],,0),"")</f>
        <v/>
      </c>
      <c r="F601" s="33"/>
      <c r="G601" s="34" t="str">
        <f>IFERROR(IF(F601&gt;=0,D601*E601*(1+F601/100),ABS(D601*E601/F601)),"")</f>
        <v/>
      </c>
      <c r="H601" s="43" t="str">
        <f>IFERROR(G601*E584,"")</f>
        <v/>
      </c>
    </row>
    <row r="602" spans="1:11" ht="12.75" customHeight="1" thickBot="1">
      <c r="A602" s="35"/>
      <c r="B602" s="36"/>
      <c r="C602" s="37" t="str">
        <f t="array" ref="C602">IFERROR(_xlfn.XLOOKUP(B602,MObra[[#All],[DESCRIPCION]],MObra[[#All],[UN]],,0),"")</f>
        <v/>
      </c>
      <c r="D602" s="38"/>
      <c r="E602" s="39" t="str">
        <f>IFERROR(_xlfn.XLOOKUP($B602,MObra[DESCRIPCION],MObra[VALOR UNIT],,0),"")</f>
        <v/>
      </c>
      <c r="F602" s="40"/>
      <c r="G602" s="41" t="str">
        <f>IFERROR(IF(F602&gt;=0,D602*E602*(1+F602/100),ABS(D602*E602/F602)),"")</f>
        <v/>
      </c>
      <c r="H602" s="42" t="str">
        <f>IFERROR(G602*E584,"")</f>
        <v/>
      </c>
    </row>
    <row r="603" spans="1:11" ht="12.75" customHeight="1" thickTop="1" thickBot="1"/>
    <row r="604" spans="1:11" ht="12.75" customHeight="1" thickTop="1" thickBot="1">
      <c r="A604" s="6" t="s">
        <v>369</v>
      </c>
      <c r="B604" s="7" t="str">
        <f>VLOOKUP($A604,Presupuesto!$A:$D,2,FALSE())</f>
        <v>Columna rectangular 20.7 Mpa (1.600 cm2 &lt;área&lt;= 2.500 cm2)</v>
      </c>
      <c r="C604" s="8" t="str">
        <f>VLOOKUP($A604,Presupuesto!$A:$D,3,FALSE())</f>
        <v>M3</v>
      </c>
      <c r="D604" s="9"/>
      <c r="E604" s="10">
        <f>VLOOKUP($A604,Presupuesto!$A:$D,4,FALSE())</f>
        <v>0</v>
      </c>
      <c r="F604" s="11" t="s">
        <v>2589</v>
      </c>
      <c r="G604" s="12">
        <f>SUM(G606:G622)/2</f>
        <v>1240868.4619966603</v>
      </c>
      <c r="H604" s="13">
        <f>ROUND(SUM(H606:H622),0)/2</f>
        <v>0</v>
      </c>
      <c r="I604" s="10">
        <f>VLOOKUP(A604,Presupuesto!$A:$F,6,0)</f>
        <v>0</v>
      </c>
      <c r="J604" s="10">
        <f>+H604-I604</f>
        <v>0</v>
      </c>
      <c r="K604" s="46">
        <f>+H604-G604*E604</f>
        <v>0</v>
      </c>
    </row>
    <row r="605" spans="1:11" ht="12.75" customHeight="1" thickTop="1">
      <c r="A605" s="14"/>
      <c r="B605" s="15" t="s">
        <v>2586</v>
      </c>
      <c r="C605" s="15" t="s">
        <v>5</v>
      </c>
      <c r="D605" s="16" t="s">
        <v>6</v>
      </c>
      <c r="E605" s="17" t="s">
        <v>7</v>
      </c>
      <c r="F605" s="18" t="s">
        <v>3728</v>
      </c>
      <c r="G605" s="19" t="s">
        <v>3729</v>
      </c>
      <c r="H605" s="20" t="s">
        <v>3797</v>
      </c>
    </row>
    <row r="606" spans="1:11" ht="12.75" customHeight="1">
      <c r="A606" s="21"/>
      <c r="B606" s="22" t="s">
        <v>3730</v>
      </c>
      <c r="C606" s="23"/>
      <c r="D606" s="24"/>
      <c r="E606" s="25"/>
      <c r="F606" s="26"/>
      <c r="G606" s="27">
        <f>SUM(G607:G611)</f>
        <v>859530.69377902045</v>
      </c>
      <c r="H606" s="27">
        <f>IFERROR(G606*E604,"")</f>
        <v>0</v>
      </c>
    </row>
    <row r="607" spans="1:11" ht="12.75" customHeight="1">
      <c r="A607" s="28"/>
      <c r="B607" s="29" t="s">
        <v>3239</v>
      </c>
      <c r="C607" s="30" t="str">
        <f>IFERROR(_xlfn.XLOOKUP(B607,Insumo[DESCRIPCION],Insumo[UND],,0),"")</f>
        <v>M3</v>
      </c>
      <c r="D607" s="31">
        <v>1</v>
      </c>
      <c r="E607" s="32">
        <f>IFERROR(_xlfn.XLOOKUP($B607,Insumo[DESCRIPCION],Insumo[VALOR],,0),"")</f>
        <v>521159.50227762427</v>
      </c>
      <c r="F607" s="33">
        <v>5</v>
      </c>
      <c r="G607" s="34">
        <f>IFERROR(IF(F607&gt;=0,D607*E607*(1+F607/100),ABS(D607*E607/F607)),"")</f>
        <v>547217.4773915055</v>
      </c>
      <c r="H607" s="43">
        <f>IFERROR(G607*E604,"")</f>
        <v>0</v>
      </c>
    </row>
    <row r="608" spans="1:11" ht="12.75" customHeight="1">
      <c r="A608" s="28"/>
      <c r="B608" s="29" t="s">
        <v>2957</v>
      </c>
      <c r="C608" s="30" t="str">
        <f>IFERROR(_xlfn.XLOOKUP(B608,Insumo[DESCRIPCION],Insumo[UND],,0),"")</f>
        <v>M2</v>
      </c>
      <c r="D608" s="31">
        <v>8</v>
      </c>
      <c r="E608" s="32">
        <f>IFERROR(_xlfn.XLOOKUP($B608,Insumo[DESCRIPCION],Insumo[VALOR],,0),"")</f>
        <v>149544.7581937575</v>
      </c>
      <c r="F608" s="33">
        <v>-4</v>
      </c>
      <c r="G608" s="34">
        <f>IFERROR(IF(F608&gt;=0,D608*E608*(1+F608/100),ABS(D608*E608/F608)),"")</f>
        <v>299089.516387515</v>
      </c>
      <c r="H608" s="43">
        <f>IFERROR(G608*E604,"")</f>
        <v>0</v>
      </c>
    </row>
    <row r="609" spans="1:11" ht="12.75" customHeight="1">
      <c r="A609" s="28"/>
      <c r="B609" s="29" t="s">
        <v>3295</v>
      </c>
      <c r="C609" s="30" t="str">
        <f>IFERROR(_xlfn.XLOOKUP(B609,Insumo[DESCRIPCION],Insumo[UND],,0),"")</f>
        <v>Kg</v>
      </c>
      <c r="D609" s="31">
        <v>0.6</v>
      </c>
      <c r="E609" s="32">
        <f>IFERROR(_xlfn.XLOOKUP($B609,Insumo[DESCRIPCION],Insumo[VALOR],,0),"")</f>
        <v>22039.5</v>
      </c>
      <c r="F609" s="33"/>
      <c r="G609" s="34">
        <f>IFERROR(IF(F609&gt;=0,D609*E609*(1+F609/100),ABS(D609*E609/F609)),"")</f>
        <v>13223.699999999999</v>
      </c>
      <c r="H609" s="43">
        <f>IFERROR(G609*E604,"")</f>
        <v>0</v>
      </c>
    </row>
    <row r="610" spans="1:11" ht="12.75" customHeight="1">
      <c r="A610" s="28"/>
      <c r="B610" s="29"/>
      <c r="C610" s="30" t="str">
        <f>IFERROR(_xlfn.XLOOKUP(B610,Insumo[DESCRIPCION],Insumo[UND],,0),"")</f>
        <v/>
      </c>
      <c r="D610" s="31"/>
      <c r="E610" s="32" t="str">
        <f>IFERROR(_xlfn.XLOOKUP($B610,Insumo[DESCRIPCION],Insumo[VALOR],,0),"")</f>
        <v/>
      </c>
      <c r="F610" s="33"/>
      <c r="G610" s="34" t="str">
        <f>IFERROR(IF(F610&gt;=0,D610*E610*(1+F610/100),ABS(D610*E610/F610)),"")</f>
        <v/>
      </c>
      <c r="H610" s="43" t="str">
        <f>IFERROR(G610*E604,"")</f>
        <v/>
      </c>
    </row>
    <row r="611" spans="1:11" ht="12.75" customHeight="1">
      <c r="A611" s="28"/>
      <c r="B611" s="29"/>
      <c r="C611" s="30" t="str">
        <f>IFERROR(_xlfn.XLOOKUP(B611,Insumo[DESCRIPCION],Insumo[UND],,0),"")</f>
        <v/>
      </c>
      <c r="D611" s="31"/>
      <c r="E611" s="32" t="str">
        <f>IFERROR(_xlfn.XLOOKUP($B611,Insumo[DESCRIPCION],Insumo[VALOR],,0),"")</f>
        <v/>
      </c>
      <c r="F611" s="33"/>
      <c r="G611" s="34" t="str">
        <f>IFERROR(IF(F611&gt;=0,D611*E611*(1+F611/100),ABS(D611*E611/F611)),"")</f>
        <v/>
      </c>
      <c r="H611" s="43" t="str">
        <f>IFERROR(G611*E604,"")</f>
        <v/>
      </c>
    </row>
    <row r="612" spans="1:11" ht="12.75" customHeight="1">
      <c r="A612" s="21"/>
      <c r="B612" s="22" t="s">
        <v>3731</v>
      </c>
      <c r="C612" s="23"/>
      <c r="D612" s="24"/>
      <c r="E612" s="25"/>
      <c r="F612" s="26"/>
      <c r="G612" s="27">
        <f>SUM(G613:G615)</f>
        <v>36672.352421640011</v>
      </c>
      <c r="H612" s="44">
        <f>G612*E604</f>
        <v>0</v>
      </c>
    </row>
    <row r="613" spans="1:11" ht="12.75" customHeight="1">
      <c r="A613" s="28"/>
      <c r="B613" s="29" t="s">
        <v>3657</v>
      </c>
      <c r="C613" s="30" t="str">
        <f>IFERROR(_xlfn.XLOOKUP(B613,Equipo[DESCRIPCION],Equipo[UND],,0),"")</f>
        <v>Día</v>
      </c>
      <c r="D613" s="31">
        <v>1</v>
      </c>
      <c r="E613" s="32">
        <f>IF(C613="%MO",G619,IFERROR(_xlfn.XLOOKUP($B613,Equipo[DESCRIPCION],Equipo[VALOR],,0),""))</f>
        <v>56524.65</v>
      </c>
      <c r="F613" s="33">
        <v>-10</v>
      </c>
      <c r="G613" s="34">
        <f>IFERROR(IF(F613&gt;=0,D613*E613*(1+F613/100),ABS(D613*E613/F613)),"")</f>
        <v>5652.4650000000001</v>
      </c>
      <c r="H613" s="43">
        <f>IFERROR(G613*E604,"")</f>
        <v>0</v>
      </c>
    </row>
    <row r="614" spans="1:11" ht="12.75" customHeight="1">
      <c r="A614" s="28"/>
      <c r="B614" s="29" t="s">
        <v>3570</v>
      </c>
      <c r="C614" s="30" t="str">
        <f>IFERROR(_xlfn.XLOOKUP(B614,Equipo[DESCRIPCION],Equipo[UND],,0),"")</f>
        <v>%MO</v>
      </c>
      <c r="D614" s="31">
        <v>0.04</v>
      </c>
      <c r="E614" s="32">
        <f>IF(C614="%MO",G619,IFERROR(_xlfn.XLOOKUP($B614,Equipo[DESCRIPCION],Equipo[VALOR],,0),""))</f>
        <v>344665.41579600004</v>
      </c>
      <c r="F614" s="33"/>
      <c r="G614" s="34">
        <f>IFERROR(IF(F614&gt;=0,D614*E614*(1+F614/100),ABS(D614*E614/F614)),"")</f>
        <v>13786.616631840003</v>
      </c>
      <c r="H614" s="43">
        <f>IFERROR(G614*E604,"")</f>
        <v>0</v>
      </c>
    </row>
    <row r="615" spans="1:11" ht="12.75" customHeight="1">
      <c r="A615" s="28"/>
      <c r="B615" s="29" t="s">
        <v>3626</v>
      </c>
      <c r="C615" s="30" t="str">
        <f>IFERROR(_xlfn.XLOOKUP(B615,Equipo[DESCRIPCION],Equipo[UND],,0),"")</f>
        <v>%MO</v>
      </c>
      <c r="D615" s="31">
        <v>0.05</v>
      </c>
      <c r="E615" s="32">
        <f>IF(C615="%MO",G619,IFERROR(_xlfn.XLOOKUP($B615,Equipo[DESCRIPCION],Equipo[VALOR],,0),""))</f>
        <v>344665.41579600004</v>
      </c>
      <c r="F615" s="33"/>
      <c r="G615" s="34">
        <f>IFERROR(IF(F615&gt;=0,D615*E615*(1+F615/100),ABS(D615*E615/F615)),"")</f>
        <v>17233.270789800004</v>
      </c>
      <c r="H615" s="43">
        <f>IFERROR(G615*E604,"")</f>
        <v>0</v>
      </c>
    </row>
    <row r="616" spans="1:11" ht="12.75" customHeight="1">
      <c r="A616" s="21"/>
      <c r="B616" s="22" t="s">
        <v>2533</v>
      </c>
      <c r="C616" s="23"/>
      <c r="D616" s="24"/>
      <c r="E616" s="25"/>
      <c r="F616" s="26"/>
      <c r="G616" s="27">
        <f>SUM(G617:G618)</f>
        <v>0</v>
      </c>
      <c r="H616" s="44">
        <f>G616*E604</f>
        <v>0</v>
      </c>
    </row>
    <row r="617" spans="1:11" ht="12.75" customHeight="1">
      <c r="A617" s="28"/>
      <c r="B617" s="29"/>
      <c r="C617" s="30" t="str">
        <f>IFERROR(_xlfn.XLOOKUP(B617,Transporte[DESCRIPCION],Transporte[UND],,0),"")</f>
        <v/>
      </c>
      <c r="D617" s="31"/>
      <c r="E617" s="32" t="str">
        <f>IFERROR(_xlfn.XLOOKUP($B617,Transporte[DESCRIPCION],Transporte[VALOR],,0),"")</f>
        <v/>
      </c>
      <c r="F617" s="33"/>
      <c r="G617" s="34" t="str">
        <f>IFERROR(IF(F617&gt;=0,D617*E617*(1+F617/100),ABS(D617*E617/F617)),"")</f>
        <v/>
      </c>
      <c r="H617" s="43" t="str">
        <f>IFERROR(G617*E604,"")</f>
        <v/>
      </c>
    </row>
    <row r="618" spans="1:11" ht="12.75" customHeight="1">
      <c r="A618" s="28"/>
      <c r="B618" s="29"/>
      <c r="C618" s="30" t="str">
        <f>IFERROR(_xlfn.XLOOKUP(B618,Transporte[DESCRIPCION],Transporte[UND],,0),"")</f>
        <v/>
      </c>
      <c r="D618" s="31"/>
      <c r="E618" s="32" t="str">
        <f>IFERROR(_xlfn.XLOOKUP($B618,Transporte[DESCRIPCION],Transporte[VALOR],,0),"")</f>
        <v/>
      </c>
      <c r="F618" s="33"/>
      <c r="G618" s="34" t="str">
        <f>IFERROR(IF(F618&gt;=0,D618*E618*(1+F618/100),ABS(D618*E618/F618)),"")</f>
        <v/>
      </c>
      <c r="H618" s="43" t="str">
        <f>IFERROR(G618*E604,"")</f>
        <v/>
      </c>
    </row>
    <row r="619" spans="1:11" ht="12.75" customHeight="1">
      <c r="A619" s="21"/>
      <c r="B619" s="22" t="s">
        <v>3732</v>
      </c>
      <c r="C619" s="23"/>
      <c r="D619" s="24"/>
      <c r="E619" s="25"/>
      <c r="F619" s="26"/>
      <c r="G619" s="27">
        <f>SUM(G620:G622)</f>
        <v>344665.41579600004</v>
      </c>
      <c r="H619" s="44">
        <f>G619*E604</f>
        <v>0</v>
      </c>
    </row>
    <row r="620" spans="1:11" ht="12.75" customHeight="1">
      <c r="A620" s="28"/>
      <c r="B620" s="29" t="s">
        <v>3711</v>
      </c>
      <c r="C620" s="30" t="str">
        <f>IFERROR(_xlfn.XLOOKUP(B620,MObra[DESCRIPCION],MObra[UN],,0),"")</f>
        <v>día</v>
      </c>
      <c r="D620" s="31">
        <v>1</v>
      </c>
      <c r="E620" s="32">
        <f>IFERROR(_xlfn.XLOOKUP($B620,MObra[DESCRIPCION],MObra[VALOR UNIT],,0),"")</f>
        <v>430831.76974500006</v>
      </c>
      <c r="F620" s="33">
        <v>-1.25</v>
      </c>
      <c r="G620" s="34">
        <f>IFERROR(IF(F620&gt;=0,D620*E620*(1+F620/100),ABS(D620*E620/F620)),"")</f>
        <v>344665.41579600004</v>
      </c>
      <c r="H620" s="43">
        <f>IFERROR(G620*E604,"")</f>
        <v>0</v>
      </c>
    </row>
    <row r="621" spans="1:11" ht="12.75" customHeight="1">
      <c r="A621" s="28"/>
      <c r="B621" s="29"/>
      <c r="C621" s="30" t="str">
        <f t="array" ref="C621">IFERROR(_xlfn.XLOOKUP(B621,MObra[[#All],[DESCRIPCION]],MObra[[#All],[UN]],,0),"")</f>
        <v/>
      </c>
      <c r="D621" s="31"/>
      <c r="E621" s="32" t="str">
        <f>IFERROR(_xlfn.XLOOKUP($B621,MObra[DESCRIPCION],MObra[VALOR UNIT],,0),"")</f>
        <v/>
      </c>
      <c r="F621" s="33"/>
      <c r="G621" s="34" t="str">
        <f>IFERROR(IF(F621&gt;=0,D621*E621*(1+F621/100),ABS(D621*E621/F621)),"")</f>
        <v/>
      </c>
      <c r="H621" s="43" t="str">
        <f>IFERROR(G621*E604,"")</f>
        <v/>
      </c>
    </row>
    <row r="622" spans="1:11" ht="12.75" customHeight="1" thickBot="1">
      <c r="A622" s="35"/>
      <c r="B622" s="36"/>
      <c r="C622" s="37" t="str">
        <f t="array" ref="C622">IFERROR(_xlfn.XLOOKUP(B622,MObra[[#All],[DESCRIPCION]],MObra[[#All],[UN]],,0),"")</f>
        <v/>
      </c>
      <c r="D622" s="38"/>
      <c r="E622" s="39" t="str">
        <f>IFERROR(_xlfn.XLOOKUP($B622,MObra[DESCRIPCION],MObra[VALOR UNIT],,0),"")</f>
        <v/>
      </c>
      <c r="F622" s="40"/>
      <c r="G622" s="41" t="str">
        <f>IFERROR(IF(F622&gt;=0,D622*E622*(1+F622/100),ABS(D622*E622/F622)),"")</f>
        <v/>
      </c>
      <c r="H622" s="42" t="str">
        <f>IFERROR(G622*E604,"")</f>
        <v/>
      </c>
    </row>
    <row r="623" spans="1:11" ht="12.75" customHeight="1" thickTop="1" thickBot="1"/>
    <row r="624" spans="1:11" ht="12.75" customHeight="1" thickTop="1" thickBot="1">
      <c r="A624" s="6" t="s">
        <v>371</v>
      </c>
      <c r="B624" s="7" t="str">
        <f>VLOOKUP($A624,Presupuesto!$A:$D,2,FALSE())</f>
        <v>Columna rectangular 20.7 Mpa (2.500 cm2 &lt;área&lt;= 3.600 cm2)</v>
      </c>
      <c r="C624" s="8" t="str">
        <f>VLOOKUP($A624,Presupuesto!$A:$D,3,FALSE())</f>
        <v>M3</v>
      </c>
      <c r="D624" s="9"/>
      <c r="E624" s="10">
        <f>VLOOKUP($A624,Presupuesto!$A:$D,4,FALSE())</f>
        <v>0</v>
      </c>
      <c r="F624" s="11" t="s">
        <v>2589</v>
      </c>
      <c r="G624" s="12">
        <f>SUM(G626:G642)/2</f>
        <v>1186632.7808445494</v>
      </c>
      <c r="H624" s="13">
        <f>ROUND(SUM(H626:H642),0)/2</f>
        <v>0</v>
      </c>
      <c r="I624" s="10">
        <f>VLOOKUP(A624,Presupuesto!$A:$F,6,0)</f>
        <v>0</v>
      </c>
      <c r="J624" s="10">
        <f>+H624-I624</f>
        <v>0</v>
      </c>
      <c r="K624" s="46">
        <f>+H624-G624*E624</f>
        <v>0</v>
      </c>
    </row>
    <row r="625" spans="1:8" ht="12.75" customHeight="1" thickTop="1">
      <c r="A625" s="14"/>
      <c r="B625" s="15" t="s">
        <v>2586</v>
      </c>
      <c r="C625" s="15" t="s">
        <v>5</v>
      </c>
      <c r="D625" s="16" t="s">
        <v>6</v>
      </c>
      <c r="E625" s="17" t="s">
        <v>7</v>
      </c>
      <c r="F625" s="18" t="s">
        <v>3728</v>
      </c>
      <c r="G625" s="19" t="s">
        <v>3729</v>
      </c>
      <c r="H625" s="20" t="s">
        <v>3797</v>
      </c>
    </row>
    <row r="626" spans="1:8" ht="12.75" customHeight="1">
      <c r="A626" s="21"/>
      <c r="B626" s="22" t="s">
        <v>3730</v>
      </c>
      <c r="C626" s="23"/>
      <c r="D626" s="24"/>
      <c r="E626" s="25"/>
      <c r="F626" s="26"/>
      <c r="G626" s="27">
        <f>SUM(G627:G631)</f>
        <v>819744.44736604928</v>
      </c>
      <c r="H626" s="27">
        <f>IFERROR(G626*E624,"")</f>
        <v>0</v>
      </c>
    </row>
    <row r="627" spans="1:8" ht="12.75" customHeight="1">
      <c r="A627" s="28"/>
      <c r="B627" s="29" t="s">
        <v>3239</v>
      </c>
      <c r="C627" s="30" t="str">
        <f>IFERROR(_xlfn.XLOOKUP(B627,Insumo[DESCRIPCION],Insumo[UND],,0),"")</f>
        <v>M3</v>
      </c>
      <c r="D627" s="31">
        <v>1</v>
      </c>
      <c r="E627" s="32">
        <f>IFERROR(_xlfn.XLOOKUP($B627,Insumo[DESCRIPCION],Insumo[VALOR],,0),"")</f>
        <v>521159.50227762427</v>
      </c>
      <c r="F627" s="33">
        <v>5</v>
      </c>
      <c r="G627" s="34">
        <f>IFERROR(IF(F627&gt;=0,D627*E627*(1+F627/100),ABS(D627*E627/F627)),"")</f>
        <v>547217.4773915055</v>
      </c>
      <c r="H627" s="43">
        <f>IFERROR(G627*E624,"")</f>
        <v>0</v>
      </c>
    </row>
    <row r="628" spans="1:8" ht="12.75" customHeight="1">
      <c r="A628" s="28"/>
      <c r="B628" s="29" t="s">
        <v>2957</v>
      </c>
      <c r="C628" s="30" t="str">
        <f>IFERROR(_xlfn.XLOOKUP(B628,Insumo[DESCRIPCION],Insumo[UND],,0),"")</f>
        <v>M2</v>
      </c>
      <c r="D628" s="31">
        <v>6.7</v>
      </c>
      <c r="E628" s="32">
        <f>IFERROR(_xlfn.XLOOKUP($B628,Insumo[DESCRIPCION],Insumo[VALOR],,0),"")</f>
        <v>149544.7581937575</v>
      </c>
      <c r="F628" s="33">
        <v>-4</v>
      </c>
      <c r="G628" s="34">
        <f>IFERROR(IF(F628&gt;=0,D628*E628*(1+F628/100),ABS(D628*E628/F628)),"")</f>
        <v>250487.46997454381</v>
      </c>
      <c r="H628" s="43">
        <f>IFERROR(G628*E624,"")</f>
        <v>0</v>
      </c>
    </row>
    <row r="629" spans="1:8" ht="12.75" customHeight="1">
      <c r="A629" s="28"/>
      <c r="B629" s="29" t="s">
        <v>3295</v>
      </c>
      <c r="C629" s="30" t="str">
        <f>IFERROR(_xlfn.XLOOKUP(B629,Insumo[DESCRIPCION],Insumo[UND],,0),"")</f>
        <v>Kg</v>
      </c>
      <c r="D629" s="31">
        <v>1</v>
      </c>
      <c r="E629" s="32">
        <f>IFERROR(_xlfn.XLOOKUP($B629,Insumo[DESCRIPCION],Insumo[VALOR],,0),"")</f>
        <v>22039.5</v>
      </c>
      <c r="F629" s="33"/>
      <c r="G629" s="34">
        <f>IFERROR(IF(F629&gt;=0,D629*E629*(1+F629/100),ABS(D629*E629/F629)),"")</f>
        <v>22039.5</v>
      </c>
      <c r="H629" s="43">
        <f>IFERROR(G629*E624,"")</f>
        <v>0</v>
      </c>
    </row>
    <row r="630" spans="1:8" ht="12.75" customHeight="1">
      <c r="A630" s="28"/>
      <c r="B630" s="29"/>
      <c r="C630" s="30" t="str">
        <f>IFERROR(_xlfn.XLOOKUP(B630,Insumo[DESCRIPCION],Insumo[UND],,0),"")</f>
        <v/>
      </c>
      <c r="D630" s="31"/>
      <c r="E630" s="32" t="str">
        <f>IFERROR(_xlfn.XLOOKUP($B630,Insumo[DESCRIPCION],Insumo[VALOR],,0),"")</f>
        <v/>
      </c>
      <c r="F630" s="33"/>
      <c r="G630" s="34" t="str">
        <f>IFERROR(IF(F630&gt;=0,D630*E630*(1+F630/100),ABS(D630*E630/F630)),"")</f>
        <v/>
      </c>
      <c r="H630" s="43" t="str">
        <f>IFERROR(G630*E624,"")</f>
        <v/>
      </c>
    </row>
    <row r="631" spans="1:8" ht="12.75" customHeight="1">
      <c r="A631" s="28"/>
      <c r="B631" s="29"/>
      <c r="C631" s="30" t="str">
        <f>IFERROR(_xlfn.XLOOKUP(B631,Insumo[DESCRIPCION],Insumo[UND],,0),"")</f>
        <v/>
      </c>
      <c r="D631" s="31"/>
      <c r="E631" s="32" t="str">
        <f>IFERROR(_xlfn.XLOOKUP($B631,Insumo[DESCRIPCION],Insumo[VALOR],,0),"")</f>
        <v/>
      </c>
      <c r="F631" s="33"/>
      <c r="G631" s="34" t="str">
        <f>IFERROR(IF(F631&gt;=0,D631*E631*(1+F631/100),ABS(D631*E631/F631)),"")</f>
        <v/>
      </c>
      <c r="H631" s="43" t="str">
        <f>IFERROR(G631*E624,"")</f>
        <v/>
      </c>
    </row>
    <row r="632" spans="1:8" ht="12.75" customHeight="1">
      <c r="A632" s="21"/>
      <c r="B632" s="22" t="s">
        <v>3731</v>
      </c>
      <c r="C632" s="23"/>
      <c r="D632" s="24"/>
      <c r="E632" s="25"/>
      <c r="F632" s="26"/>
      <c r="G632" s="27">
        <f>SUM(G633:G635)</f>
        <v>35479.279828500003</v>
      </c>
      <c r="H632" s="44">
        <f>G632*E624</f>
        <v>0</v>
      </c>
    </row>
    <row r="633" spans="1:8" ht="12.75" customHeight="1">
      <c r="A633" s="28"/>
      <c r="B633" s="29" t="s">
        <v>3657</v>
      </c>
      <c r="C633" s="30" t="str">
        <f>IFERROR(_xlfn.XLOOKUP(B633,Equipo[DESCRIPCION],Equipo[UND],,0),"")</f>
        <v>Día</v>
      </c>
      <c r="D633" s="31">
        <v>1</v>
      </c>
      <c r="E633" s="32">
        <f>IF(C633="%MO",G639,IFERROR(_xlfn.XLOOKUP($B633,Equipo[DESCRIPCION],Equipo[VALOR],,0),""))</f>
        <v>56524.65</v>
      </c>
      <c r="F633" s="33">
        <v>-10</v>
      </c>
      <c r="G633" s="34">
        <f>IFERROR(IF(F633&gt;=0,D633*E633*(1+F633/100),ABS(D633*E633/F633)),"")</f>
        <v>5652.4650000000001</v>
      </c>
      <c r="H633" s="43">
        <f>IFERROR(G633*E624,"")</f>
        <v>0</v>
      </c>
    </row>
    <row r="634" spans="1:8" ht="12.75" customHeight="1">
      <c r="A634" s="28"/>
      <c r="B634" s="29" t="s">
        <v>3570</v>
      </c>
      <c r="C634" s="30" t="str">
        <f>IFERROR(_xlfn.XLOOKUP(B634,Equipo[DESCRIPCION],Equipo[UND],,0),"")</f>
        <v>%MO</v>
      </c>
      <c r="D634" s="31">
        <v>0.04</v>
      </c>
      <c r="E634" s="32">
        <f>IF(C634="%MO",G639,IFERROR(_xlfn.XLOOKUP($B634,Equipo[DESCRIPCION],Equipo[VALOR],,0),""))</f>
        <v>331409.05365000002</v>
      </c>
      <c r="F634" s="33"/>
      <c r="G634" s="34">
        <f>IFERROR(IF(F634&gt;=0,D634*E634*(1+F634/100),ABS(D634*E634/F634)),"")</f>
        <v>13256.362146000001</v>
      </c>
      <c r="H634" s="43">
        <f>IFERROR(G634*E624,"")</f>
        <v>0</v>
      </c>
    </row>
    <row r="635" spans="1:8" ht="12.75" customHeight="1">
      <c r="A635" s="28"/>
      <c r="B635" s="29" t="s">
        <v>3626</v>
      </c>
      <c r="C635" s="30" t="str">
        <f>IFERROR(_xlfn.XLOOKUP(B635,Equipo[DESCRIPCION],Equipo[UND],,0),"")</f>
        <v>%MO</v>
      </c>
      <c r="D635" s="31">
        <v>0.05</v>
      </c>
      <c r="E635" s="32">
        <f>IF(C635="%MO",G639,IFERROR(_xlfn.XLOOKUP($B635,Equipo[DESCRIPCION],Equipo[VALOR],,0),""))</f>
        <v>331409.05365000002</v>
      </c>
      <c r="F635" s="33"/>
      <c r="G635" s="34">
        <f>IFERROR(IF(F635&gt;=0,D635*E635*(1+F635/100),ABS(D635*E635/F635)),"")</f>
        <v>16570.452682500003</v>
      </c>
      <c r="H635" s="43">
        <f>IFERROR(G635*E624,"")</f>
        <v>0</v>
      </c>
    </row>
    <row r="636" spans="1:8" ht="12.75" customHeight="1">
      <c r="A636" s="21"/>
      <c r="B636" s="22" t="s">
        <v>2533</v>
      </c>
      <c r="C636" s="23"/>
      <c r="D636" s="24"/>
      <c r="E636" s="25"/>
      <c r="F636" s="26"/>
      <c r="G636" s="27">
        <f>SUM(G637:G638)</f>
        <v>0</v>
      </c>
      <c r="H636" s="44">
        <f>G636*E624</f>
        <v>0</v>
      </c>
    </row>
    <row r="637" spans="1:8" ht="12.75" customHeight="1">
      <c r="A637" s="28"/>
      <c r="B637" s="29"/>
      <c r="C637" s="30" t="str">
        <f>IFERROR(_xlfn.XLOOKUP(B637,Transporte[DESCRIPCION],Transporte[UND],,0),"")</f>
        <v/>
      </c>
      <c r="D637" s="31"/>
      <c r="E637" s="32" t="str">
        <f>IFERROR(_xlfn.XLOOKUP($B637,Transporte[DESCRIPCION],Transporte[VALOR],,0),"")</f>
        <v/>
      </c>
      <c r="F637" s="33"/>
      <c r="G637" s="34" t="str">
        <f>IFERROR(IF(F637&gt;=0,D637*E637*(1+F637/100),ABS(D637*E637/F637)),"")</f>
        <v/>
      </c>
      <c r="H637" s="43" t="str">
        <f>IFERROR(G637*E624,"")</f>
        <v/>
      </c>
    </row>
    <row r="638" spans="1:8" ht="12.75" customHeight="1">
      <c r="A638" s="28"/>
      <c r="B638" s="29"/>
      <c r="C638" s="30" t="str">
        <f>IFERROR(_xlfn.XLOOKUP(B638,Transporte[DESCRIPCION],Transporte[UND],,0),"")</f>
        <v/>
      </c>
      <c r="D638" s="31"/>
      <c r="E638" s="32" t="str">
        <f>IFERROR(_xlfn.XLOOKUP($B638,Transporte[DESCRIPCION],Transporte[VALOR],,0),"")</f>
        <v/>
      </c>
      <c r="F638" s="33"/>
      <c r="G638" s="34" t="str">
        <f>IFERROR(IF(F638&gt;=0,D638*E638*(1+F638/100),ABS(D638*E638/F638)),"")</f>
        <v/>
      </c>
      <c r="H638" s="43" t="str">
        <f>IFERROR(G638*E624,"")</f>
        <v/>
      </c>
    </row>
    <row r="639" spans="1:8" ht="12.75" customHeight="1">
      <c r="A639" s="21"/>
      <c r="B639" s="22" t="s">
        <v>3732</v>
      </c>
      <c r="C639" s="23"/>
      <c r="D639" s="24"/>
      <c r="E639" s="25"/>
      <c r="F639" s="26"/>
      <c r="G639" s="27">
        <f>SUM(G640:G642)</f>
        <v>331409.05365000002</v>
      </c>
      <c r="H639" s="44">
        <f>G639*E624</f>
        <v>0</v>
      </c>
    </row>
    <row r="640" spans="1:8" ht="12.75" customHeight="1">
      <c r="A640" s="28"/>
      <c r="B640" s="29" t="s">
        <v>3711</v>
      </c>
      <c r="C640" s="30" t="str">
        <f>IFERROR(_xlfn.XLOOKUP(B640,MObra[DESCRIPCION],MObra[UN],,0),"")</f>
        <v>día</v>
      </c>
      <c r="D640" s="31">
        <v>1</v>
      </c>
      <c r="E640" s="32">
        <f>IFERROR(_xlfn.XLOOKUP($B640,MObra[DESCRIPCION],MObra[VALOR UNIT],,0),"")</f>
        <v>430831.76974500006</v>
      </c>
      <c r="F640" s="33">
        <v>-1.3</v>
      </c>
      <c r="G640" s="34">
        <f>IFERROR(IF(F640&gt;=0,D640*E640*(1+F640/100),ABS(D640*E640/F640)),"")</f>
        <v>331409.05365000002</v>
      </c>
      <c r="H640" s="43">
        <f>IFERROR(G640*E624,"")</f>
        <v>0</v>
      </c>
    </row>
    <row r="641" spans="1:11" ht="12.75" customHeight="1">
      <c r="A641" s="28"/>
      <c r="B641" s="29"/>
      <c r="C641" s="30" t="str">
        <f t="array" ref="C641">IFERROR(_xlfn.XLOOKUP(B641,MObra[[#All],[DESCRIPCION]],MObra[[#All],[UN]],,0),"")</f>
        <v/>
      </c>
      <c r="D641" s="31"/>
      <c r="E641" s="32" t="str">
        <f>IFERROR(_xlfn.XLOOKUP($B641,MObra[DESCRIPCION],MObra[VALOR UNIT],,0),"")</f>
        <v/>
      </c>
      <c r="F641" s="33"/>
      <c r="G641" s="34" t="str">
        <f>IFERROR(IF(F641&gt;=0,D641*E641*(1+F641/100),ABS(D641*E641/F641)),"")</f>
        <v/>
      </c>
      <c r="H641" s="43" t="str">
        <f>IFERROR(G641*E624,"")</f>
        <v/>
      </c>
    </row>
    <row r="642" spans="1:11" ht="12.75" customHeight="1" thickBot="1">
      <c r="A642" s="35"/>
      <c r="B642" s="36"/>
      <c r="C642" s="37" t="str">
        <f t="array" ref="C642">IFERROR(_xlfn.XLOOKUP(B642,MObra[[#All],[DESCRIPCION]],MObra[[#All],[UN]],,0),"")</f>
        <v/>
      </c>
      <c r="D642" s="38"/>
      <c r="E642" s="39" t="str">
        <f>IFERROR(_xlfn.XLOOKUP($B642,MObra[DESCRIPCION],MObra[VALOR UNIT],,0),"")</f>
        <v/>
      </c>
      <c r="F642" s="40"/>
      <c r="G642" s="41" t="str">
        <f>IFERROR(IF(F642&gt;=0,D642*E642*(1+F642/100),ABS(D642*E642/F642)),"")</f>
        <v/>
      </c>
      <c r="H642" s="42" t="str">
        <f>IFERROR(G642*E624,"")</f>
        <v/>
      </c>
    </row>
    <row r="643" spans="1:11" ht="12.75" customHeight="1" thickTop="1" thickBot="1"/>
    <row r="644" spans="1:11" ht="12.75" customHeight="1" thickTop="1" thickBot="1">
      <c r="A644" s="6" t="s">
        <v>373</v>
      </c>
      <c r="B644" s="7" t="str">
        <f>VLOOKUP($A644,Presupuesto!$A:$D,2,FALSE())</f>
        <v>Columna rectangular 20.7 Mpa (área &gt;=3.600 cm2)</v>
      </c>
      <c r="C644" s="8" t="str">
        <f>VLOOKUP($A644,Presupuesto!$A:$D,3,FALSE())</f>
        <v>M3</v>
      </c>
      <c r="D644" s="9"/>
      <c r="E644" s="10">
        <f>VLOOKUP($A644,Presupuesto!$A:$D,4,FALSE())</f>
        <v>0</v>
      </c>
      <c r="F644" s="11" t="s">
        <v>2589</v>
      </c>
      <c r="G644" s="12">
        <f>SUM(G646:G662)/2</f>
        <v>1154560.5798303853</v>
      </c>
      <c r="H644" s="13">
        <f>ROUND(SUM(H646:H662),0)/2</f>
        <v>0</v>
      </c>
      <c r="I644" s="10">
        <f>VLOOKUP(A644,Presupuesto!$A:$F,6,0)</f>
        <v>0</v>
      </c>
      <c r="J644" s="10">
        <f>+H644-I644</f>
        <v>0</v>
      </c>
      <c r="K644" s="46">
        <f>+H644-G644*E644</f>
        <v>0</v>
      </c>
    </row>
    <row r="645" spans="1:11" ht="12.75" customHeight="1" thickTop="1">
      <c r="A645" s="14"/>
      <c r="B645" s="15" t="s">
        <v>2586</v>
      </c>
      <c r="C645" s="15" t="s">
        <v>5</v>
      </c>
      <c r="D645" s="16" t="s">
        <v>6</v>
      </c>
      <c r="E645" s="17" t="s">
        <v>7</v>
      </c>
      <c r="F645" s="18" t="s">
        <v>3728</v>
      </c>
      <c r="G645" s="19" t="s">
        <v>3729</v>
      </c>
      <c r="H645" s="20" t="s">
        <v>3797</v>
      </c>
    </row>
    <row r="646" spans="1:11" ht="12.75" customHeight="1">
      <c r="A646" s="21"/>
      <c r="B646" s="22" t="s">
        <v>3730</v>
      </c>
      <c r="C646" s="23"/>
      <c r="D646" s="24"/>
      <c r="E646" s="25"/>
      <c r="F646" s="26"/>
      <c r="G646" s="27">
        <f>SUM(G647:G651)</f>
        <v>801051.35259182961</v>
      </c>
      <c r="H646" s="27">
        <f>IFERROR(G646*E644,"")</f>
        <v>0</v>
      </c>
    </row>
    <row r="647" spans="1:11" ht="12.75" customHeight="1">
      <c r="A647" s="28"/>
      <c r="B647" s="29" t="s">
        <v>3239</v>
      </c>
      <c r="C647" s="30" t="str">
        <f>IFERROR(_xlfn.XLOOKUP(B647,Insumo[DESCRIPCION],Insumo[UND],,0),"")</f>
        <v>M3</v>
      </c>
      <c r="D647" s="31">
        <v>1</v>
      </c>
      <c r="E647" s="32">
        <f>IFERROR(_xlfn.XLOOKUP($B647,Insumo[DESCRIPCION],Insumo[VALOR],,0),"")</f>
        <v>521159.50227762427</v>
      </c>
      <c r="F647" s="33">
        <v>5</v>
      </c>
      <c r="G647" s="34">
        <f>IFERROR(IF(F647&gt;=0,D647*E647*(1+F647/100),ABS(D647*E647/F647)),"")</f>
        <v>547217.4773915055</v>
      </c>
      <c r="H647" s="43">
        <f>IFERROR(G647*E644,"")</f>
        <v>0</v>
      </c>
    </row>
    <row r="648" spans="1:11" ht="12.75" customHeight="1">
      <c r="A648" s="28"/>
      <c r="B648" s="29" t="s">
        <v>2957</v>
      </c>
      <c r="C648" s="30" t="str">
        <f>IFERROR(_xlfn.XLOOKUP(B648,Insumo[DESCRIPCION],Insumo[UND],,0),"")</f>
        <v>M2</v>
      </c>
      <c r="D648" s="31">
        <v>6.2</v>
      </c>
      <c r="E648" s="32">
        <f>IFERROR(_xlfn.XLOOKUP($B648,Insumo[DESCRIPCION],Insumo[VALOR],,0),"")</f>
        <v>149544.7581937575</v>
      </c>
      <c r="F648" s="33">
        <v>-4</v>
      </c>
      <c r="G648" s="34">
        <f>IFERROR(IF(F648&gt;=0,D648*E648*(1+F648/100),ABS(D648*E648/F648)),"")</f>
        <v>231794.37520032414</v>
      </c>
      <c r="H648" s="43">
        <f>IFERROR(G648*E644,"")</f>
        <v>0</v>
      </c>
    </row>
    <row r="649" spans="1:11" ht="12.75" customHeight="1">
      <c r="A649" s="28"/>
      <c r="B649" s="29" t="s">
        <v>3295</v>
      </c>
      <c r="C649" s="30" t="str">
        <f>IFERROR(_xlfn.XLOOKUP(B649,Insumo[DESCRIPCION],Insumo[UND],,0),"")</f>
        <v>Kg</v>
      </c>
      <c r="D649" s="31">
        <v>1</v>
      </c>
      <c r="E649" s="32">
        <f>IFERROR(_xlfn.XLOOKUP($B649,Insumo[DESCRIPCION],Insumo[VALOR],,0),"")</f>
        <v>22039.5</v>
      </c>
      <c r="F649" s="33"/>
      <c r="G649" s="34">
        <f>IFERROR(IF(F649&gt;=0,D649*E649*(1+F649/100),ABS(D649*E649/F649)),"")</f>
        <v>22039.5</v>
      </c>
      <c r="H649" s="43">
        <f>IFERROR(G649*E644,"")</f>
        <v>0</v>
      </c>
    </row>
    <row r="650" spans="1:11" ht="12.75" customHeight="1">
      <c r="A650" s="28"/>
      <c r="B650" s="29"/>
      <c r="C650" s="30" t="str">
        <f>IFERROR(_xlfn.XLOOKUP(B650,Insumo[DESCRIPCION],Insumo[UND],,0),"")</f>
        <v/>
      </c>
      <c r="D650" s="31"/>
      <c r="E650" s="32" t="str">
        <f>IFERROR(_xlfn.XLOOKUP($B650,Insumo[DESCRIPCION],Insumo[VALOR],,0),"")</f>
        <v/>
      </c>
      <c r="F650" s="33"/>
      <c r="G650" s="34" t="str">
        <f>IFERROR(IF(F650&gt;=0,D650*E650*(1+F650/100),ABS(D650*E650/F650)),"")</f>
        <v/>
      </c>
      <c r="H650" s="43" t="str">
        <f>IFERROR(G650*E644,"")</f>
        <v/>
      </c>
    </row>
    <row r="651" spans="1:11" ht="12.75" customHeight="1">
      <c r="A651" s="28"/>
      <c r="B651" s="29"/>
      <c r="C651" s="30" t="str">
        <f>IFERROR(_xlfn.XLOOKUP(B651,Insumo[DESCRIPCION],Insumo[UND],,0),"")</f>
        <v/>
      </c>
      <c r="D651" s="31"/>
      <c r="E651" s="32" t="str">
        <f>IFERROR(_xlfn.XLOOKUP($B651,Insumo[DESCRIPCION],Insumo[VALOR],,0),"")</f>
        <v/>
      </c>
      <c r="F651" s="33"/>
      <c r="G651" s="34" t="str">
        <f>IFERROR(IF(F651&gt;=0,D651*E651*(1+F651/100),ABS(D651*E651/F651)),"")</f>
        <v/>
      </c>
      <c r="H651" s="43" t="str">
        <f>IFERROR(G651*E644,"")</f>
        <v/>
      </c>
    </row>
    <row r="652" spans="1:11" ht="12.75" customHeight="1">
      <c r="A652" s="21"/>
      <c r="B652" s="22" t="s">
        <v>3731</v>
      </c>
      <c r="C652" s="23"/>
      <c r="D652" s="24"/>
      <c r="E652" s="25"/>
      <c r="F652" s="26"/>
      <c r="G652" s="27">
        <f>SUM(G653:G655)</f>
        <v>34374.582983</v>
      </c>
      <c r="H652" s="44">
        <f>G652*E644</f>
        <v>0</v>
      </c>
    </row>
    <row r="653" spans="1:11" ht="12.75" customHeight="1">
      <c r="A653" s="28"/>
      <c r="B653" s="29" t="s">
        <v>3657</v>
      </c>
      <c r="C653" s="30" t="str">
        <f>IFERROR(_xlfn.XLOOKUP(B653,Equipo[DESCRIPCION],Equipo[UND],,0),"")</f>
        <v>Día</v>
      </c>
      <c r="D653" s="31">
        <v>1</v>
      </c>
      <c r="E653" s="32">
        <f>IF(C653="%MO",G659,IFERROR(_xlfn.XLOOKUP($B653,Equipo[DESCRIPCION],Equipo[VALOR],,0),""))</f>
        <v>56524.65</v>
      </c>
      <c r="F653" s="33">
        <v>-10</v>
      </c>
      <c r="G653" s="34">
        <f>IFERROR(IF(F653&gt;=0,D653*E653*(1+F653/100),ABS(D653*E653/F653)),"")</f>
        <v>5652.4650000000001</v>
      </c>
      <c r="H653" s="43">
        <f>IFERROR(G653*E644,"")</f>
        <v>0</v>
      </c>
    </row>
    <row r="654" spans="1:11" ht="12.75" customHeight="1">
      <c r="A654" s="28"/>
      <c r="B654" s="29" t="s">
        <v>3570</v>
      </c>
      <c r="C654" s="30" t="str">
        <f>IFERROR(_xlfn.XLOOKUP(B654,Equipo[DESCRIPCION],Equipo[UND],,0),"")</f>
        <v>%MO</v>
      </c>
      <c r="D654" s="31">
        <v>0.04</v>
      </c>
      <c r="E654" s="32">
        <f>IF(C654="%MO",G659,IFERROR(_xlfn.XLOOKUP($B654,Equipo[DESCRIPCION],Equipo[VALOR],,0),""))</f>
        <v>319134.64425555558</v>
      </c>
      <c r="F654" s="33"/>
      <c r="G654" s="34">
        <f>IFERROR(IF(F654&gt;=0,D654*E654*(1+F654/100),ABS(D654*E654/F654)),"")</f>
        <v>12765.385770222223</v>
      </c>
      <c r="H654" s="43">
        <f>IFERROR(G654*E644,"")</f>
        <v>0</v>
      </c>
    </row>
    <row r="655" spans="1:11" ht="12.75" customHeight="1">
      <c r="A655" s="28"/>
      <c r="B655" s="29" t="s">
        <v>3626</v>
      </c>
      <c r="C655" s="30" t="str">
        <f>IFERROR(_xlfn.XLOOKUP(B655,Equipo[DESCRIPCION],Equipo[UND],,0),"")</f>
        <v>%MO</v>
      </c>
      <c r="D655" s="31">
        <v>0.05</v>
      </c>
      <c r="E655" s="32">
        <f>IF(C655="%MO",G659,IFERROR(_xlfn.XLOOKUP($B655,Equipo[DESCRIPCION],Equipo[VALOR],,0),""))</f>
        <v>319134.64425555558</v>
      </c>
      <c r="F655" s="33"/>
      <c r="G655" s="34">
        <f>IFERROR(IF(F655&gt;=0,D655*E655*(1+F655/100),ABS(D655*E655/F655)),"")</f>
        <v>15956.732212777781</v>
      </c>
      <c r="H655" s="43">
        <f>IFERROR(G655*E644,"")</f>
        <v>0</v>
      </c>
    </row>
    <row r="656" spans="1:11" ht="12.75" customHeight="1">
      <c r="A656" s="21"/>
      <c r="B656" s="22" t="s">
        <v>2533</v>
      </c>
      <c r="C656" s="23"/>
      <c r="D656" s="24"/>
      <c r="E656" s="25"/>
      <c r="F656" s="26"/>
      <c r="G656" s="27">
        <f>SUM(G657:G658)</f>
        <v>0</v>
      </c>
      <c r="H656" s="44">
        <f>G656*E644</f>
        <v>0</v>
      </c>
    </row>
    <row r="657" spans="1:11" ht="12.75" customHeight="1">
      <c r="A657" s="28"/>
      <c r="B657" s="29"/>
      <c r="C657" s="30" t="str">
        <f>IFERROR(_xlfn.XLOOKUP(B657,Transporte[DESCRIPCION],Transporte[UND],,0),"")</f>
        <v/>
      </c>
      <c r="D657" s="31"/>
      <c r="E657" s="32" t="str">
        <f>IFERROR(_xlfn.XLOOKUP($B657,Transporte[DESCRIPCION],Transporte[VALOR],,0),"")</f>
        <v/>
      </c>
      <c r="F657" s="33"/>
      <c r="G657" s="34" t="str">
        <f>IFERROR(IF(F657&gt;=0,D657*E657*(1+F657/100),ABS(D657*E657/F657)),"")</f>
        <v/>
      </c>
      <c r="H657" s="43" t="str">
        <f>IFERROR(G657*E644,"")</f>
        <v/>
      </c>
    </row>
    <row r="658" spans="1:11" ht="12.75" customHeight="1">
      <c r="A658" s="28"/>
      <c r="B658" s="29"/>
      <c r="C658" s="30" t="str">
        <f>IFERROR(_xlfn.XLOOKUP(B658,Transporte[DESCRIPCION],Transporte[UND],,0),"")</f>
        <v/>
      </c>
      <c r="D658" s="31"/>
      <c r="E658" s="32" t="str">
        <f>IFERROR(_xlfn.XLOOKUP($B658,Transporte[DESCRIPCION],Transporte[VALOR],,0),"")</f>
        <v/>
      </c>
      <c r="F658" s="33"/>
      <c r="G658" s="34" t="str">
        <f>IFERROR(IF(F658&gt;=0,D658*E658*(1+F658/100),ABS(D658*E658/F658)),"")</f>
        <v/>
      </c>
      <c r="H658" s="43" t="str">
        <f>IFERROR(G658*E644,"")</f>
        <v/>
      </c>
    </row>
    <row r="659" spans="1:11" ht="12.75" customHeight="1">
      <c r="A659" s="21"/>
      <c r="B659" s="22" t="s">
        <v>3732</v>
      </c>
      <c r="C659" s="23"/>
      <c r="D659" s="24"/>
      <c r="E659" s="25"/>
      <c r="F659" s="26"/>
      <c r="G659" s="27">
        <f>SUM(G660:G662)</f>
        <v>319134.64425555558</v>
      </c>
      <c r="H659" s="44">
        <f>G659*E644</f>
        <v>0</v>
      </c>
    </row>
    <row r="660" spans="1:11" ht="12.75" customHeight="1">
      <c r="A660" s="28"/>
      <c r="B660" s="29" t="s">
        <v>3711</v>
      </c>
      <c r="C660" s="30" t="str">
        <f>IFERROR(_xlfn.XLOOKUP(B660,MObra[DESCRIPCION],MObra[UN],,0),"")</f>
        <v>día</v>
      </c>
      <c r="D660" s="31">
        <v>1</v>
      </c>
      <c r="E660" s="32">
        <f>IFERROR(_xlfn.XLOOKUP($B660,MObra[DESCRIPCION],MObra[VALOR UNIT],,0),"")</f>
        <v>430831.76974500006</v>
      </c>
      <c r="F660" s="33">
        <v>-1.35</v>
      </c>
      <c r="G660" s="34">
        <f>IFERROR(IF(F660&gt;=0,D660*E660*(1+F660/100),ABS(D660*E660/F660)),"")</f>
        <v>319134.64425555558</v>
      </c>
      <c r="H660" s="43">
        <f>IFERROR(G660*E644,"")</f>
        <v>0</v>
      </c>
    </row>
    <row r="661" spans="1:11" ht="12.75" customHeight="1">
      <c r="A661" s="28"/>
      <c r="B661" s="29"/>
      <c r="C661" s="30" t="str">
        <f t="array" ref="C661">IFERROR(_xlfn.XLOOKUP(B661,MObra[[#All],[DESCRIPCION]],MObra[[#All],[UN]],,0),"")</f>
        <v/>
      </c>
      <c r="D661" s="31"/>
      <c r="E661" s="32" t="str">
        <f>IFERROR(_xlfn.XLOOKUP($B661,MObra[DESCRIPCION],MObra[VALOR UNIT],,0),"")</f>
        <v/>
      </c>
      <c r="F661" s="33"/>
      <c r="G661" s="34" t="str">
        <f>IFERROR(IF(F661&gt;=0,D661*E661*(1+F661/100),ABS(D661*E661/F661)),"")</f>
        <v/>
      </c>
      <c r="H661" s="43" t="str">
        <f>IFERROR(G661*E644,"")</f>
        <v/>
      </c>
    </row>
    <row r="662" spans="1:11" ht="12.75" customHeight="1" thickBot="1">
      <c r="A662" s="35"/>
      <c r="B662" s="36"/>
      <c r="C662" s="37" t="str">
        <f t="array" ref="C662">IFERROR(_xlfn.XLOOKUP(B662,MObra[[#All],[DESCRIPCION]],MObra[[#All],[UN]],,0),"")</f>
        <v/>
      </c>
      <c r="D662" s="38"/>
      <c r="E662" s="39" t="str">
        <f>IFERROR(_xlfn.XLOOKUP($B662,MObra[DESCRIPCION],MObra[VALOR UNIT],,0),"")</f>
        <v/>
      </c>
      <c r="F662" s="40"/>
      <c r="G662" s="41" t="str">
        <f>IFERROR(IF(F662&gt;=0,D662*E662*(1+F662/100),ABS(D662*E662/F662)),"")</f>
        <v/>
      </c>
      <c r="H662" s="42" t="str">
        <f>IFERROR(G662*E644,"")</f>
        <v/>
      </c>
    </row>
    <row r="663" spans="1:11" ht="12.75" customHeight="1" thickTop="1" thickBot="1"/>
    <row r="664" spans="1:11" ht="12.75" customHeight="1" thickTop="1" thickBot="1">
      <c r="A664" s="6" t="s">
        <v>375</v>
      </c>
      <c r="B664" s="7" t="str">
        <f>VLOOKUP($A664,Presupuesto!$A:$D,2,FALSE())</f>
        <v>Columna rectangular 24.1 Mpa (área &lt;=1.600 cm2)</v>
      </c>
      <c r="C664" s="8" t="str">
        <f>VLOOKUP($A664,Presupuesto!$A:$D,3,FALSE())</f>
        <v>M3</v>
      </c>
      <c r="D664" s="9"/>
      <c r="E664" s="10">
        <f>VLOOKUP($A664,Presupuesto!$A:$D,4,FALSE())</f>
        <v>0</v>
      </c>
      <c r="F664" s="11" t="s">
        <v>2589</v>
      </c>
      <c r="G664" s="12">
        <f>SUM(G666:G682)/2</f>
        <v>1344244.8866737082</v>
      </c>
      <c r="H664" s="13">
        <f>ROUND(SUM(H666:H682),0)/2</f>
        <v>0</v>
      </c>
      <c r="I664" s="10">
        <f>VLOOKUP(A664,Presupuesto!$A:$F,6,0)</f>
        <v>0</v>
      </c>
      <c r="J664" s="10">
        <f>+H664-I664</f>
        <v>0</v>
      </c>
      <c r="K664" s="46">
        <f>+H664-G664*E664</f>
        <v>0</v>
      </c>
    </row>
    <row r="665" spans="1:11" ht="12.75" customHeight="1" thickTop="1">
      <c r="A665" s="14"/>
      <c r="B665" s="15" t="s">
        <v>2586</v>
      </c>
      <c r="C665" s="15" t="s">
        <v>5</v>
      </c>
      <c r="D665" s="16" t="s">
        <v>6</v>
      </c>
      <c r="E665" s="17" t="s">
        <v>7</v>
      </c>
      <c r="F665" s="18" t="s">
        <v>3728</v>
      </c>
      <c r="G665" s="19" t="s">
        <v>3729</v>
      </c>
      <c r="H665" s="20" t="s">
        <v>3797</v>
      </c>
    </row>
    <row r="666" spans="1:11" ht="12.75" customHeight="1">
      <c r="A666" s="21"/>
      <c r="B666" s="22" t="s">
        <v>3730</v>
      </c>
      <c r="C666" s="23"/>
      <c r="D666" s="24"/>
      <c r="E666" s="25"/>
      <c r="F666" s="26"/>
      <c r="G666" s="27">
        <f>SUM(G667:G671)</f>
        <v>947253.56415533309</v>
      </c>
      <c r="H666" s="27">
        <f>IFERROR(G666*E664,"")</f>
        <v>0</v>
      </c>
    </row>
    <row r="667" spans="1:11" ht="12.75" customHeight="1">
      <c r="A667" s="28"/>
      <c r="B667" s="29" t="s">
        <v>3240</v>
      </c>
      <c r="C667" s="30" t="str">
        <f>IFERROR(_xlfn.XLOOKUP(B667,Insumo[DESCRIPCION],Insumo[UND],,0),"")</f>
        <v>M3</v>
      </c>
      <c r="D667" s="31">
        <v>1</v>
      </c>
      <c r="E667" s="32">
        <f>IFERROR(_xlfn.XLOOKUP($B667,Insumo[DESCRIPCION],Insumo[VALOR],,0),"")</f>
        <v>539790.3034961326</v>
      </c>
      <c r="F667" s="33">
        <v>5</v>
      </c>
      <c r="G667" s="34">
        <f>IFERROR(IF(F667&gt;=0,D667*E667*(1+F667/100),ABS(D667*E667/F667)),"")</f>
        <v>566779.8186709393</v>
      </c>
      <c r="H667" s="43">
        <f>IFERROR(G667*E664,"")</f>
        <v>0</v>
      </c>
    </row>
    <row r="668" spans="1:11" ht="12.75" customHeight="1">
      <c r="A668" s="28"/>
      <c r="B668" s="29" t="s">
        <v>2957</v>
      </c>
      <c r="C668" s="30" t="str">
        <f>IFERROR(_xlfn.XLOOKUP(B668,Insumo[DESCRIPCION],Insumo[UND],,0),"")</f>
        <v>M2</v>
      </c>
      <c r="D668" s="31">
        <v>10</v>
      </c>
      <c r="E668" s="32">
        <f>IFERROR(_xlfn.XLOOKUP($B668,Insumo[DESCRIPCION],Insumo[VALOR],,0),"")</f>
        <v>149544.7581937575</v>
      </c>
      <c r="F668" s="33">
        <v>-4</v>
      </c>
      <c r="G668" s="34">
        <f>IFERROR(IF(F668&gt;=0,D668*E668*(1+F668/100),ABS(D668*E668/F668)),"")</f>
        <v>373861.89548439375</v>
      </c>
      <c r="H668" s="43">
        <f>IFERROR(G668*E664,"")</f>
        <v>0</v>
      </c>
    </row>
    <row r="669" spans="1:11" ht="12.75" customHeight="1">
      <c r="A669" s="28"/>
      <c r="B669" s="29" t="s">
        <v>3295</v>
      </c>
      <c r="C669" s="30" t="str">
        <f>IFERROR(_xlfn.XLOOKUP(B669,Insumo[DESCRIPCION],Insumo[UND],,0),"")</f>
        <v>Kg</v>
      </c>
      <c r="D669" s="31">
        <v>0.3</v>
      </c>
      <c r="E669" s="32">
        <f>IFERROR(_xlfn.XLOOKUP($B669,Insumo[DESCRIPCION],Insumo[VALOR],,0),"")</f>
        <v>22039.5</v>
      </c>
      <c r="F669" s="33"/>
      <c r="G669" s="34">
        <f>IFERROR(IF(F669&gt;=0,D669*E669*(1+F669/100),ABS(D669*E669/F669)),"")</f>
        <v>6611.8499999999995</v>
      </c>
      <c r="H669" s="43">
        <f>IFERROR(G669*E664,"")</f>
        <v>0</v>
      </c>
    </row>
    <row r="670" spans="1:11" ht="12.75" customHeight="1">
      <c r="A670" s="28"/>
      <c r="B670" s="29"/>
      <c r="C670" s="30" t="str">
        <f>IFERROR(_xlfn.XLOOKUP(B670,Insumo[DESCRIPCION],Insumo[UND],,0),"")</f>
        <v/>
      </c>
      <c r="D670" s="31"/>
      <c r="E670" s="32" t="str">
        <f>IFERROR(_xlfn.XLOOKUP($B670,Insumo[DESCRIPCION],Insumo[VALOR],,0),"")</f>
        <v/>
      </c>
      <c r="F670" s="33"/>
      <c r="G670" s="34" t="str">
        <f>IFERROR(IF(F670&gt;=0,D670*E670*(1+F670/100),ABS(D670*E670/F670)),"")</f>
        <v/>
      </c>
      <c r="H670" s="43" t="str">
        <f>IFERROR(G670*E664,"")</f>
        <v/>
      </c>
    </row>
    <row r="671" spans="1:11" ht="12.75" customHeight="1">
      <c r="A671" s="28"/>
      <c r="B671" s="29"/>
      <c r="C671" s="30" t="str">
        <f>IFERROR(_xlfn.XLOOKUP(B671,Insumo[DESCRIPCION],Insumo[UND],,0),"")</f>
        <v/>
      </c>
      <c r="D671" s="31"/>
      <c r="E671" s="32" t="str">
        <f>IFERROR(_xlfn.XLOOKUP($B671,Insumo[DESCRIPCION],Insumo[VALOR],,0),"")</f>
        <v/>
      </c>
      <c r="F671" s="33"/>
      <c r="G671" s="34" t="str">
        <f>IFERROR(IF(F671&gt;=0,D671*E671*(1+F671/100),ABS(D671*E671/F671)),"")</f>
        <v/>
      </c>
      <c r="H671" s="43" t="str">
        <f>IFERROR(G671*E664,"")</f>
        <v/>
      </c>
    </row>
    <row r="672" spans="1:11" ht="12.75" customHeight="1">
      <c r="A672" s="21"/>
      <c r="B672" s="22" t="s">
        <v>3731</v>
      </c>
      <c r="C672" s="23"/>
      <c r="D672" s="24"/>
      <c r="E672" s="25"/>
      <c r="F672" s="26"/>
      <c r="G672" s="27">
        <f>SUM(G673:G675)</f>
        <v>37964.847730875001</v>
      </c>
      <c r="H672" s="44">
        <f>G672*E664</f>
        <v>0</v>
      </c>
    </row>
    <row r="673" spans="1:11" ht="12.75" customHeight="1">
      <c r="A673" s="28"/>
      <c r="B673" s="29" t="s">
        <v>3657</v>
      </c>
      <c r="C673" s="30" t="str">
        <f>IFERROR(_xlfn.XLOOKUP(B673,Equipo[DESCRIPCION],Equipo[UND],,0),"")</f>
        <v>Día</v>
      </c>
      <c r="D673" s="31">
        <v>1</v>
      </c>
      <c r="E673" s="32">
        <f>IF(C673="%MO",G679,IFERROR(_xlfn.XLOOKUP($B673,Equipo[DESCRIPCION],Equipo[VALOR],,0),""))</f>
        <v>56524.65</v>
      </c>
      <c r="F673" s="33">
        <v>-10</v>
      </c>
      <c r="G673" s="34">
        <f>IFERROR(IF(F673&gt;=0,D673*E673*(1+F673/100),ABS(D673*E673/F673)),"")</f>
        <v>5652.4650000000001</v>
      </c>
      <c r="H673" s="43">
        <f>IFERROR(G673*E664,"")</f>
        <v>0</v>
      </c>
    </row>
    <row r="674" spans="1:11" ht="12.75" customHeight="1">
      <c r="A674" s="28"/>
      <c r="B674" s="29" t="s">
        <v>3570</v>
      </c>
      <c r="C674" s="30" t="str">
        <f>IFERROR(_xlfn.XLOOKUP(B674,Equipo[DESCRIPCION],Equipo[UND],,0),"")</f>
        <v>%MO</v>
      </c>
      <c r="D674" s="31">
        <v>0.04</v>
      </c>
      <c r="E674" s="32">
        <f>IF(C674="%MO",G679,IFERROR(_xlfn.XLOOKUP($B674,Equipo[DESCRIPCION],Equipo[VALOR],,0),""))</f>
        <v>359026.47478750005</v>
      </c>
      <c r="F674" s="33"/>
      <c r="G674" s="34">
        <f>IFERROR(IF(F674&gt;=0,D674*E674*(1+F674/100),ABS(D674*E674/F674)),"")</f>
        <v>14361.058991500002</v>
      </c>
      <c r="H674" s="43">
        <f>IFERROR(G674*E664,"")</f>
        <v>0</v>
      </c>
    </row>
    <row r="675" spans="1:11" ht="12.75" customHeight="1">
      <c r="A675" s="28"/>
      <c r="B675" s="29" t="s">
        <v>3626</v>
      </c>
      <c r="C675" s="30" t="str">
        <f>IFERROR(_xlfn.XLOOKUP(B675,Equipo[DESCRIPCION],Equipo[UND],,0),"")</f>
        <v>%MO</v>
      </c>
      <c r="D675" s="31">
        <v>0.05</v>
      </c>
      <c r="E675" s="32">
        <f>IF(C675="%MO",G679,IFERROR(_xlfn.XLOOKUP($B675,Equipo[DESCRIPCION],Equipo[VALOR],,0),""))</f>
        <v>359026.47478750005</v>
      </c>
      <c r="F675" s="33"/>
      <c r="G675" s="34">
        <f>IFERROR(IF(F675&gt;=0,D675*E675*(1+F675/100),ABS(D675*E675/F675)),"")</f>
        <v>17951.323739375002</v>
      </c>
      <c r="H675" s="43">
        <f>IFERROR(G675*E664,"")</f>
        <v>0</v>
      </c>
    </row>
    <row r="676" spans="1:11" ht="12.75" customHeight="1">
      <c r="A676" s="21"/>
      <c r="B676" s="22" t="s">
        <v>2533</v>
      </c>
      <c r="C676" s="23"/>
      <c r="D676" s="24"/>
      <c r="E676" s="25"/>
      <c r="F676" s="26"/>
      <c r="G676" s="27">
        <f>SUM(G677:G678)</f>
        <v>0</v>
      </c>
      <c r="H676" s="44">
        <f>G676*E664</f>
        <v>0</v>
      </c>
    </row>
    <row r="677" spans="1:11" ht="12.75" customHeight="1">
      <c r="A677" s="28"/>
      <c r="B677" s="29"/>
      <c r="C677" s="30" t="str">
        <f>IFERROR(_xlfn.XLOOKUP(B677,Transporte[DESCRIPCION],Transporte[UND],,0),"")</f>
        <v/>
      </c>
      <c r="D677" s="31"/>
      <c r="E677" s="32" t="str">
        <f>IFERROR(_xlfn.XLOOKUP($B677,Transporte[DESCRIPCION],Transporte[VALOR],,0),"")</f>
        <v/>
      </c>
      <c r="F677" s="33"/>
      <c r="G677" s="34" t="str">
        <f>IFERROR(IF(F677&gt;=0,D677*E677*(1+F677/100),ABS(D677*E677/F677)),"")</f>
        <v/>
      </c>
      <c r="H677" s="43" t="str">
        <f>IFERROR(G677*E664,"")</f>
        <v/>
      </c>
    </row>
    <row r="678" spans="1:11" ht="12.75" customHeight="1">
      <c r="A678" s="28"/>
      <c r="B678" s="29"/>
      <c r="C678" s="30" t="str">
        <f>IFERROR(_xlfn.XLOOKUP(B678,Transporte[DESCRIPCION],Transporte[UND],,0),"")</f>
        <v/>
      </c>
      <c r="D678" s="31"/>
      <c r="E678" s="32" t="str">
        <f>IFERROR(_xlfn.XLOOKUP($B678,Transporte[DESCRIPCION],Transporte[VALOR],,0),"")</f>
        <v/>
      </c>
      <c r="F678" s="33"/>
      <c r="G678" s="34" t="str">
        <f>IFERROR(IF(F678&gt;=0,D678*E678*(1+F678/100),ABS(D678*E678/F678)),"")</f>
        <v/>
      </c>
      <c r="H678" s="43" t="str">
        <f>IFERROR(G678*E664,"")</f>
        <v/>
      </c>
    </row>
    <row r="679" spans="1:11" ht="12.75" customHeight="1">
      <c r="A679" s="21"/>
      <c r="B679" s="22" t="s">
        <v>3732</v>
      </c>
      <c r="C679" s="23"/>
      <c r="D679" s="24"/>
      <c r="E679" s="25"/>
      <c r="F679" s="26"/>
      <c r="G679" s="27">
        <f>SUM(G680:G682)</f>
        <v>359026.47478750005</v>
      </c>
      <c r="H679" s="44">
        <f>G679*E664</f>
        <v>0</v>
      </c>
    </row>
    <row r="680" spans="1:11" ht="12.75" customHeight="1">
      <c r="A680" s="28"/>
      <c r="B680" s="29" t="s">
        <v>3711</v>
      </c>
      <c r="C680" s="30" t="str">
        <f>IFERROR(_xlfn.XLOOKUP(B680,MObra[DESCRIPCION],MObra[UN],,0),"")</f>
        <v>día</v>
      </c>
      <c r="D680" s="31">
        <v>1</v>
      </c>
      <c r="E680" s="32">
        <f>IFERROR(_xlfn.XLOOKUP($B680,MObra[DESCRIPCION],MObra[VALOR UNIT],,0),"")</f>
        <v>430831.76974500006</v>
      </c>
      <c r="F680" s="33">
        <v>-1.2</v>
      </c>
      <c r="G680" s="34">
        <f>IFERROR(IF(F680&gt;=0,D680*E680*(1+F680/100),ABS(D680*E680/F680)),"")</f>
        <v>359026.47478750005</v>
      </c>
      <c r="H680" s="43">
        <f>IFERROR(G680*E664,"")</f>
        <v>0</v>
      </c>
    </row>
    <row r="681" spans="1:11" ht="12.75" customHeight="1">
      <c r="A681" s="28"/>
      <c r="B681" s="29"/>
      <c r="C681" s="30" t="str">
        <f t="array" ref="C681">IFERROR(_xlfn.XLOOKUP(B681,MObra[[#All],[DESCRIPCION]],MObra[[#All],[UN]],,0),"")</f>
        <v/>
      </c>
      <c r="D681" s="31"/>
      <c r="E681" s="32" t="str">
        <f>IFERROR(_xlfn.XLOOKUP($B681,MObra[DESCRIPCION],MObra[VALOR UNIT],,0),"")</f>
        <v/>
      </c>
      <c r="F681" s="33"/>
      <c r="G681" s="34" t="str">
        <f>IFERROR(IF(F681&gt;=0,D681*E681*(1+F681/100),ABS(D681*E681/F681)),"")</f>
        <v/>
      </c>
      <c r="H681" s="43" t="str">
        <f>IFERROR(G681*E664,"")</f>
        <v/>
      </c>
    </row>
    <row r="682" spans="1:11" ht="12.75" customHeight="1" thickBot="1">
      <c r="A682" s="35"/>
      <c r="B682" s="36"/>
      <c r="C682" s="37" t="str">
        <f t="array" ref="C682">IFERROR(_xlfn.XLOOKUP(B682,MObra[[#All],[DESCRIPCION]],MObra[[#All],[UN]],,0),"")</f>
        <v/>
      </c>
      <c r="D682" s="38"/>
      <c r="E682" s="39" t="str">
        <f>IFERROR(_xlfn.XLOOKUP($B682,MObra[DESCRIPCION],MObra[VALOR UNIT],,0),"")</f>
        <v/>
      </c>
      <c r="F682" s="40"/>
      <c r="G682" s="41" t="str">
        <f>IFERROR(IF(F682&gt;=0,D682*E682*(1+F682/100),ABS(D682*E682/F682)),"")</f>
        <v/>
      </c>
      <c r="H682" s="42" t="str">
        <f>IFERROR(G682*E664,"")</f>
        <v/>
      </c>
    </row>
    <row r="683" spans="1:11" ht="12.75" customHeight="1" thickTop="1" thickBot="1"/>
    <row r="684" spans="1:11" ht="12.75" customHeight="1" thickTop="1" thickBot="1">
      <c r="A684" s="6" t="s">
        <v>377</v>
      </c>
      <c r="B684" s="7" t="str">
        <f>VLOOKUP($A684,Presupuesto!$A:$D,2,FALSE())</f>
        <v>Columna rectangular 24.1 Mpa (1.600 cm2 &lt;área&lt;= 2.500 cm2)</v>
      </c>
      <c r="C684" s="8" t="str">
        <f>VLOOKUP($A684,Presupuesto!$A:$D,3,FALSE())</f>
        <v>M3</v>
      </c>
      <c r="D684" s="9"/>
      <c r="E684" s="10">
        <f>VLOOKUP($A684,Presupuesto!$A:$D,4,FALSE())</f>
        <v>0</v>
      </c>
      <c r="F684" s="11" t="s">
        <v>2589</v>
      </c>
      <c r="G684" s="12">
        <f>SUM(G686:G702)/2</f>
        <v>1260430.8032760944</v>
      </c>
      <c r="H684" s="13">
        <f>ROUND(SUM(H686:H702),0)/2</f>
        <v>0</v>
      </c>
      <c r="I684" s="10">
        <f>VLOOKUP(A684,Presupuesto!$A:$F,6,0)</f>
        <v>0</v>
      </c>
      <c r="J684" s="10">
        <f>+H684-I684</f>
        <v>0</v>
      </c>
      <c r="K684" s="46">
        <f>+H684-G684*E684</f>
        <v>0</v>
      </c>
    </row>
    <row r="685" spans="1:11" ht="12.75" customHeight="1" thickTop="1">
      <c r="A685" s="14"/>
      <c r="B685" s="15" t="s">
        <v>2586</v>
      </c>
      <c r="C685" s="15" t="s">
        <v>5</v>
      </c>
      <c r="D685" s="16" t="s">
        <v>6</v>
      </c>
      <c r="E685" s="17" t="s">
        <v>7</v>
      </c>
      <c r="F685" s="18" t="s">
        <v>3728</v>
      </c>
      <c r="G685" s="19" t="s">
        <v>3729</v>
      </c>
      <c r="H685" s="20" t="s">
        <v>3797</v>
      </c>
    </row>
    <row r="686" spans="1:11" ht="12.75" customHeight="1">
      <c r="A686" s="21"/>
      <c r="B686" s="22" t="s">
        <v>3730</v>
      </c>
      <c r="C686" s="23"/>
      <c r="D686" s="24"/>
      <c r="E686" s="25"/>
      <c r="F686" s="26"/>
      <c r="G686" s="27">
        <f>SUM(G687:G691)</f>
        <v>879093.03505845426</v>
      </c>
      <c r="H686" s="27">
        <f>IFERROR(G686*E684,"")</f>
        <v>0</v>
      </c>
    </row>
    <row r="687" spans="1:11" ht="12.75" customHeight="1">
      <c r="A687" s="28"/>
      <c r="B687" s="29" t="s">
        <v>3240</v>
      </c>
      <c r="C687" s="30" t="str">
        <f>IFERROR(_xlfn.XLOOKUP(B687,Insumo[DESCRIPCION],Insumo[UND],,0),"")</f>
        <v>M3</v>
      </c>
      <c r="D687" s="31">
        <v>1</v>
      </c>
      <c r="E687" s="32">
        <f>IFERROR(_xlfn.XLOOKUP($B687,Insumo[DESCRIPCION],Insumo[VALOR],,0),"")</f>
        <v>539790.3034961326</v>
      </c>
      <c r="F687" s="33">
        <v>5</v>
      </c>
      <c r="G687" s="34">
        <f>IFERROR(IF(F687&gt;=0,D687*E687*(1+F687/100),ABS(D687*E687/F687)),"")</f>
        <v>566779.8186709393</v>
      </c>
      <c r="H687" s="43">
        <f>IFERROR(G687*E684,"")</f>
        <v>0</v>
      </c>
    </row>
    <row r="688" spans="1:11" ht="12.75" customHeight="1">
      <c r="A688" s="28"/>
      <c r="B688" s="29" t="s">
        <v>2957</v>
      </c>
      <c r="C688" s="30" t="str">
        <f>IFERROR(_xlfn.XLOOKUP(B688,Insumo[DESCRIPCION],Insumo[UND],,0),"")</f>
        <v>M2</v>
      </c>
      <c r="D688" s="31">
        <v>8</v>
      </c>
      <c r="E688" s="32">
        <f>IFERROR(_xlfn.XLOOKUP($B688,Insumo[DESCRIPCION],Insumo[VALOR],,0),"")</f>
        <v>149544.7581937575</v>
      </c>
      <c r="F688" s="33">
        <v>-4</v>
      </c>
      <c r="G688" s="34">
        <f>IFERROR(IF(F688&gt;=0,D688*E688*(1+F688/100),ABS(D688*E688/F688)),"")</f>
        <v>299089.516387515</v>
      </c>
      <c r="H688" s="43">
        <f>IFERROR(G688*E684,"")</f>
        <v>0</v>
      </c>
    </row>
    <row r="689" spans="1:11" ht="12.75" customHeight="1">
      <c r="A689" s="28"/>
      <c r="B689" s="29" t="s">
        <v>3295</v>
      </c>
      <c r="C689" s="30" t="str">
        <f>IFERROR(_xlfn.XLOOKUP(B689,Insumo[DESCRIPCION],Insumo[UND],,0),"")</f>
        <v>Kg</v>
      </c>
      <c r="D689" s="31">
        <v>0.6</v>
      </c>
      <c r="E689" s="32">
        <f>IFERROR(_xlfn.XLOOKUP($B689,Insumo[DESCRIPCION],Insumo[VALOR],,0),"")</f>
        <v>22039.5</v>
      </c>
      <c r="F689" s="33"/>
      <c r="G689" s="34">
        <f>IFERROR(IF(F689&gt;=0,D689*E689*(1+F689/100),ABS(D689*E689/F689)),"")</f>
        <v>13223.699999999999</v>
      </c>
      <c r="H689" s="43">
        <f>IFERROR(G689*E684,"")</f>
        <v>0</v>
      </c>
    </row>
    <row r="690" spans="1:11" ht="12.75" customHeight="1">
      <c r="A690" s="28"/>
      <c r="B690" s="29"/>
      <c r="C690" s="30" t="str">
        <f>IFERROR(_xlfn.XLOOKUP(B690,Insumo[DESCRIPCION],Insumo[UND],,0),"")</f>
        <v/>
      </c>
      <c r="D690" s="31"/>
      <c r="E690" s="32" t="str">
        <f>IFERROR(_xlfn.XLOOKUP($B690,Insumo[DESCRIPCION],Insumo[VALOR],,0),"")</f>
        <v/>
      </c>
      <c r="F690" s="33"/>
      <c r="G690" s="34" t="str">
        <f>IFERROR(IF(F690&gt;=0,D690*E690*(1+F690/100),ABS(D690*E690/F690)),"")</f>
        <v/>
      </c>
      <c r="H690" s="43" t="str">
        <f>IFERROR(G690*E684,"")</f>
        <v/>
      </c>
    </row>
    <row r="691" spans="1:11" ht="12.75" customHeight="1">
      <c r="A691" s="28"/>
      <c r="B691" s="29"/>
      <c r="C691" s="30" t="str">
        <f>IFERROR(_xlfn.XLOOKUP(B691,Insumo[DESCRIPCION],Insumo[UND],,0),"")</f>
        <v/>
      </c>
      <c r="D691" s="31"/>
      <c r="E691" s="32" t="str">
        <f>IFERROR(_xlfn.XLOOKUP($B691,Insumo[DESCRIPCION],Insumo[VALOR],,0),"")</f>
        <v/>
      </c>
      <c r="F691" s="33"/>
      <c r="G691" s="34" t="str">
        <f>IFERROR(IF(F691&gt;=0,D691*E691*(1+F691/100),ABS(D691*E691/F691)),"")</f>
        <v/>
      </c>
      <c r="H691" s="43" t="str">
        <f>IFERROR(G691*E684,"")</f>
        <v/>
      </c>
    </row>
    <row r="692" spans="1:11" ht="12.75" customHeight="1">
      <c r="A692" s="21"/>
      <c r="B692" s="22" t="s">
        <v>3731</v>
      </c>
      <c r="C692" s="23"/>
      <c r="D692" s="24"/>
      <c r="E692" s="25"/>
      <c r="F692" s="26"/>
      <c r="G692" s="27">
        <f>SUM(G693:G695)</f>
        <v>36672.352421640011</v>
      </c>
      <c r="H692" s="44">
        <f>G692*E684</f>
        <v>0</v>
      </c>
    </row>
    <row r="693" spans="1:11" ht="12.75" customHeight="1">
      <c r="A693" s="28"/>
      <c r="B693" s="29" t="s">
        <v>3657</v>
      </c>
      <c r="C693" s="30" t="str">
        <f>IFERROR(_xlfn.XLOOKUP(B693,Equipo[DESCRIPCION],Equipo[UND],,0),"")</f>
        <v>Día</v>
      </c>
      <c r="D693" s="31">
        <v>1</v>
      </c>
      <c r="E693" s="32">
        <f>IF(C693="%MO",G699,IFERROR(_xlfn.XLOOKUP($B693,Equipo[DESCRIPCION],Equipo[VALOR],,0),""))</f>
        <v>56524.65</v>
      </c>
      <c r="F693" s="33">
        <v>-10</v>
      </c>
      <c r="G693" s="34">
        <f>IFERROR(IF(F693&gt;=0,D693*E693*(1+F693/100),ABS(D693*E693/F693)),"")</f>
        <v>5652.4650000000001</v>
      </c>
      <c r="H693" s="43">
        <f>IFERROR(G693*E684,"")</f>
        <v>0</v>
      </c>
    </row>
    <row r="694" spans="1:11" ht="12.75" customHeight="1">
      <c r="A694" s="28"/>
      <c r="B694" s="29" t="s">
        <v>3570</v>
      </c>
      <c r="C694" s="30" t="str">
        <f>IFERROR(_xlfn.XLOOKUP(B694,Equipo[DESCRIPCION],Equipo[UND],,0),"")</f>
        <v>%MO</v>
      </c>
      <c r="D694" s="31">
        <v>0.04</v>
      </c>
      <c r="E694" s="32">
        <f>IF(C694="%MO",G699,IFERROR(_xlfn.XLOOKUP($B694,Equipo[DESCRIPCION],Equipo[VALOR],,0),""))</f>
        <v>344665.41579600004</v>
      </c>
      <c r="F694" s="33"/>
      <c r="G694" s="34">
        <f>IFERROR(IF(F694&gt;=0,D694*E694*(1+F694/100),ABS(D694*E694/F694)),"")</f>
        <v>13786.616631840003</v>
      </c>
      <c r="H694" s="43">
        <f>IFERROR(G694*E684,"")</f>
        <v>0</v>
      </c>
    </row>
    <row r="695" spans="1:11" ht="12.75" customHeight="1">
      <c r="A695" s="28"/>
      <c r="B695" s="29" t="s">
        <v>3626</v>
      </c>
      <c r="C695" s="30" t="str">
        <f>IFERROR(_xlfn.XLOOKUP(B695,Equipo[DESCRIPCION],Equipo[UND],,0),"")</f>
        <v>%MO</v>
      </c>
      <c r="D695" s="31">
        <v>0.05</v>
      </c>
      <c r="E695" s="32">
        <f>IF(C695="%MO",G699,IFERROR(_xlfn.XLOOKUP($B695,Equipo[DESCRIPCION],Equipo[VALOR],,0),""))</f>
        <v>344665.41579600004</v>
      </c>
      <c r="F695" s="33"/>
      <c r="G695" s="34">
        <f>IFERROR(IF(F695&gt;=0,D695*E695*(1+F695/100),ABS(D695*E695/F695)),"")</f>
        <v>17233.270789800004</v>
      </c>
      <c r="H695" s="43">
        <f>IFERROR(G695*E684,"")</f>
        <v>0</v>
      </c>
    </row>
    <row r="696" spans="1:11" ht="12.75" customHeight="1">
      <c r="A696" s="21"/>
      <c r="B696" s="22" t="s">
        <v>2533</v>
      </c>
      <c r="C696" s="23"/>
      <c r="D696" s="24"/>
      <c r="E696" s="25"/>
      <c r="F696" s="26"/>
      <c r="G696" s="27">
        <f>SUM(G697:G698)</f>
        <v>0</v>
      </c>
      <c r="H696" s="44">
        <f>G696*E684</f>
        <v>0</v>
      </c>
    </row>
    <row r="697" spans="1:11" ht="12.75" customHeight="1">
      <c r="A697" s="28"/>
      <c r="B697" s="29"/>
      <c r="C697" s="30" t="str">
        <f>IFERROR(_xlfn.XLOOKUP(B697,Transporte[DESCRIPCION],Transporte[UND],,0),"")</f>
        <v/>
      </c>
      <c r="D697" s="31"/>
      <c r="E697" s="32" t="str">
        <f>IFERROR(_xlfn.XLOOKUP($B697,Transporte[DESCRIPCION],Transporte[VALOR],,0),"")</f>
        <v/>
      </c>
      <c r="F697" s="33"/>
      <c r="G697" s="34" t="str">
        <f>IFERROR(IF(F697&gt;=0,D697*E697*(1+F697/100),ABS(D697*E697/F697)),"")</f>
        <v/>
      </c>
      <c r="H697" s="43" t="str">
        <f>IFERROR(G697*E684,"")</f>
        <v/>
      </c>
    </row>
    <row r="698" spans="1:11" ht="12.75" customHeight="1">
      <c r="A698" s="28"/>
      <c r="B698" s="29"/>
      <c r="C698" s="30" t="str">
        <f>IFERROR(_xlfn.XLOOKUP(B698,Transporte[DESCRIPCION],Transporte[UND],,0),"")</f>
        <v/>
      </c>
      <c r="D698" s="31"/>
      <c r="E698" s="32" t="str">
        <f>IFERROR(_xlfn.XLOOKUP($B698,Transporte[DESCRIPCION],Transporte[VALOR],,0),"")</f>
        <v/>
      </c>
      <c r="F698" s="33"/>
      <c r="G698" s="34" t="str">
        <f>IFERROR(IF(F698&gt;=0,D698*E698*(1+F698/100),ABS(D698*E698/F698)),"")</f>
        <v/>
      </c>
      <c r="H698" s="43" t="str">
        <f>IFERROR(G698*E684,"")</f>
        <v/>
      </c>
    </row>
    <row r="699" spans="1:11" ht="12.75" customHeight="1">
      <c r="A699" s="21"/>
      <c r="B699" s="22" t="s">
        <v>3732</v>
      </c>
      <c r="C699" s="23"/>
      <c r="D699" s="24"/>
      <c r="E699" s="25"/>
      <c r="F699" s="26"/>
      <c r="G699" s="27">
        <f>SUM(G700:G702)</f>
        <v>344665.41579600004</v>
      </c>
      <c r="H699" s="44">
        <f>G699*E684</f>
        <v>0</v>
      </c>
    </row>
    <row r="700" spans="1:11" ht="12.75" customHeight="1">
      <c r="A700" s="28"/>
      <c r="B700" s="29" t="s">
        <v>3711</v>
      </c>
      <c r="C700" s="30" t="str">
        <f>IFERROR(_xlfn.XLOOKUP(B700,MObra[DESCRIPCION],MObra[UN],,0),"")</f>
        <v>día</v>
      </c>
      <c r="D700" s="31">
        <v>1</v>
      </c>
      <c r="E700" s="32">
        <f>IFERROR(_xlfn.XLOOKUP($B700,MObra[DESCRIPCION],MObra[VALOR UNIT],,0),"")</f>
        <v>430831.76974500006</v>
      </c>
      <c r="F700" s="33">
        <v>-1.25</v>
      </c>
      <c r="G700" s="34">
        <f>IFERROR(IF(F700&gt;=0,D700*E700*(1+F700/100),ABS(D700*E700/F700)),"")</f>
        <v>344665.41579600004</v>
      </c>
      <c r="H700" s="43">
        <f>IFERROR(G700*E684,"")</f>
        <v>0</v>
      </c>
    </row>
    <row r="701" spans="1:11" ht="12.75" customHeight="1">
      <c r="A701" s="28"/>
      <c r="B701" s="29"/>
      <c r="C701" s="30" t="str">
        <f t="array" ref="C701">IFERROR(_xlfn.XLOOKUP(B701,MObra[[#All],[DESCRIPCION]],MObra[[#All],[UN]],,0),"")</f>
        <v/>
      </c>
      <c r="D701" s="31"/>
      <c r="E701" s="32" t="str">
        <f>IFERROR(_xlfn.XLOOKUP($B701,MObra[DESCRIPCION],MObra[VALOR UNIT],,0),"")</f>
        <v/>
      </c>
      <c r="F701" s="33"/>
      <c r="G701" s="34" t="str">
        <f>IFERROR(IF(F701&gt;=0,D701*E701*(1+F701/100),ABS(D701*E701/F701)),"")</f>
        <v/>
      </c>
      <c r="H701" s="43" t="str">
        <f>IFERROR(G701*E684,"")</f>
        <v/>
      </c>
    </row>
    <row r="702" spans="1:11" ht="12.75" customHeight="1" thickBot="1">
      <c r="A702" s="35"/>
      <c r="B702" s="36"/>
      <c r="C702" s="37" t="str">
        <f t="array" ref="C702">IFERROR(_xlfn.XLOOKUP(B702,MObra[[#All],[DESCRIPCION]],MObra[[#All],[UN]],,0),"")</f>
        <v/>
      </c>
      <c r="D702" s="38"/>
      <c r="E702" s="39" t="str">
        <f>IFERROR(_xlfn.XLOOKUP($B702,MObra[DESCRIPCION],MObra[VALOR UNIT],,0),"")</f>
        <v/>
      </c>
      <c r="F702" s="40"/>
      <c r="G702" s="41" t="str">
        <f>IFERROR(IF(F702&gt;=0,D702*E702*(1+F702/100),ABS(D702*E702/F702)),"")</f>
        <v/>
      </c>
      <c r="H702" s="42" t="str">
        <f>IFERROR(G702*E684,"")</f>
        <v/>
      </c>
    </row>
    <row r="703" spans="1:11" ht="12.75" customHeight="1" thickTop="1" thickBot="1"/>
    <row r="704" spans="1:11" ht="12.75" customHeight="1" thickTop="1" thickBot="1">
      <c r="A704" s="6" t="s">
        <v>379</v>
      </c>
      <c r="B704" s="7" t="str">
        <f>VLOOKUP($A704,Presupuesto!$A:$D,2,FALSE())</f>
        <v>Columna rectangular 24.1 Mpa (2.500 cm2 &lt;área&lt;= 3.600 cm2)</v>
      </c>
      <c r="C704" s="8" t="str">
        <f>VLOOKUP($A704,Presupuesto!$A:$D,3,FALSE())</f>
        <v>M3</v>
      </c>
      <c r="D704" s="9"/>
      <c r="E704" s="10">
        <f>VLOOKUP($A704,Presupuesto!$A:$D,4,FALSE())</f>
        <v>0</v>
      </c>
      <c r="F704" s="11" t="s">
        <v>2589</v>
      </c>
      <c r="G704" s="12">
        <f>SUM(G706:G722)/2</f>
        <v>1206195.1221239832</v>
      </c>
      <c r="H704" s="13">
        <f>ROUND(SUM(H706:H722),0)/2</f>
        <v>0</v>
      </c>
      <c r="I704" s="10">
        <f>VLOOKUP(A704,Presupuesto!$A:$F,6,0)</f>
        <v>0</v>
      </c>
      <c r="J704" s="10">
        <f>+H704-I704</f>
        <v>0</v>
      </c>
      <c r="K704" s="46">
        <f>+H704-G704*E704</f>
        <v>0</v>
      </c>
    </row>
    <row r="705" spans="1:8" ht="12.75" customHeight="1" thickTop="1">
      <c r="A705" s="14"/>
      <c r="B705" s="15" t="s">
        <v>2586</v>
      </c>
      <c r="C705" s="15" t="s">
        <v>5</v>
      </c>
      <c r="D705" s="16" t="s">
        <v>6</v>
      </c>
      <c r="E705" s="17" t="s">
        <v>7</v>
      </c>
      <c r="F705" s="18" t="s">
        <v>3728</v>
      </c>
      <c r="G705" s="19" t="s">
        <v>3729</v>
      </c>
      <c r="H705" s="20" t="s">
        <v>3797</v>
      </c>
    </row>
    <row r="706" spans="1:8" ht="12.75" customHeight="1">
      <c r="A706" s="21"/>
      <c r="B706" s="22" t="s">
        <v>3730</v>
      </c>
      <c r="C706" s="23"/>
      <c r="D706" s="24"/>
      <c r="E706" s="25"/>
      <c r="F706" s="26"/>
      <c r="G706" s="27">
        <f>SUM(G707:G711)</f>
        <v>839306.78864548309</v>
      </c>
      <c r="H706" s="27">
        <f>IFERROR(G706*E704,"")</f>
        <v>0</v>
      </c>
    </row>
    <row r="707" spans="1:8" ht="12.75" customHeight="1">
      <c r="A707" s="28"/>
      <c r="B707" s="29" t="s">
        <v>3240</v>
      </c>
      <c r="C707" s="30" t="str">
        <f>IFERROR(_xlfn.XLOOKUP(B707,Insumo[DESCRIPCION],Insumo[UND],,0),"")</f>
        <v>M3</v>
      </c>
      <c r="D707" s="31">
        <v>1</v>
      </c>
      <c r="E707" s="32">
        <f>IFERROR(_xlfn.XLOOKUP($B707,Insumo[DESCRIPCION],Insumo[VALOR],,0),"")</f>
        <v>539790.3034961326</v>
      </c>
      <c r="F707" s="33">
        <v>5</v>
      </c>
      <c r="G707" s="34">
        <f>IFERROR(IF(F707&gt;=0,D707*E707*(1+F707/100),ABS(D707*E707/F707)),"")</f>
        <v>566779.8186709393</v>
      </c>
      <c r="H707" s="43">
        <f>IFERROR(G707*E704,"")</f>
        <v>0</v>
      </c>
    </row>
    <row r="708" spans="1:8" ht="12.75" customHeight="1">
      <c r="A708" s="28"/>
      <c r="B708" s="29" t="s">
        <v>2957</v>
      </c>
      <c r="C708" s="30" t="str">
        <f>IFERROR(_xlfn.XLOOKUP(B708,Insumo[DESCRIPCION],Insumo[UND],,0),"")</f>
        <v>M2</v>
      </c>
      <c r="D708" s="31">
        <v>6.7</v>
      </c>
      <c r="E708" s="32">
        <f>IFERROR(_xlfn.XLOOKUP($B708,Insumo[DESCRIPCION],Insumo[VALOR],,0),"")</f>
        <v>149544.7581937575</v>
      </c>
      <c r="F708" s="33">
        <v>-4</v>
      </c>
      <c r="G708" s="34">
        <f>IFERROR(IF(F708&gt;=0,D708*E708*(1+F708/100),ABS(D708*E708/F708)),"")</f>
        <v>250487.46997454381</v>
      </c>
      <c r="H708" s="43">
        <f>IFERROR(G708*E704,"")</f>
        <v>0</v>
      </c>
    </row>
    <row r="709" spans="1:8" ht="12.75" customHeight="1">
      <c r="A709" s="28"/>
      <c r="B709" s="29" t="s">
        <v>3295</v>
      </c>
      <c r="C709" s="30" t="str">
        <f>IFERROR(_xlfn.XLOOKUP(B709,Insumo[DESCRIPCION],Insumo[UND],,0),"")</f>
        <v>Kg</v>
      </c>
      <c r="D709" s="31">
        <v>1</v>
      </c>
      <c r="E709" s="32">
        <f>IFERROR(_xlfn.XLOOKUP($B709,Insumo[DESCRIPCION],Insumo[VALOR],,0),"")</f>
        <v>22039.5</v>
      </c>
      <c r="F709" s="33"/>
      <c r="G709" s="34">
        <f>IFERROR(IF(F709&gt;=0,D709*E709*(1+F709/100),ABS(D709*E709/F709)),"")</f>
        <v>22039.5</v>
      </c>
      <c r="H709" s="43">
        <f>IFERROR(G709*E704,"")</f>
        <v>0</v>
      </c>
    </row>
    <row r="710" spans="1:8" ht="12.75" customHeight="1">
      <c r="A710" s="28"/>
      <c r="B710" s="29"/>
      <c r="C710" s="30" t="str">
        <f>IFERROR(_xlfn.XLOOKUP(B710,Insumo[DESCRIPCION],Insumo[UND],,0),"")</f>
        <v/>
      </c>
      <c r="D710" s="31"/>
      <c r="E710" s="32" t="str">
        <f>IFERROR(_xlfn.XLOOKUP($B710,Insumo[DESCRIPCION],Insumo[VALOR],,0),"")</f>
        <v/>
      </c>
      <c r="F710" s="33"/>
      <c r="G710" s="34" t="str">
        <f>IFERROR(IF(F710&gt;=0,D710*E710*(1+F710/100),ABS(D710*E710/F710)),"")</f>
        <v/>
      </c>
      <c r="H710" s="43" t="str">
        <f>IFERROR(G710*E704,"")</f>
        <v/>
      </c>
    </row>
    <row r="711" spans="1:8" ht="12.75" customHeight="1">
      <c r="A711" s="28"/>
      <c r="B711" s="29"/>
      <c r="C711" s="30" t="str">
        <f>IFERROR(_xlfn.XLOOKUP(B711,Insumo[DESCRIPCION],Insumo[UND],,0),"")</f>
        <v/>
      </c>
      <c r="D711" s="31"/>
      <c r="E711" s="32" t="str">
        <f>IFERROR(_xlfn.XLOOKUP($B711,Insumo[DESCRIPCION],Insumo[VALOR],,0),"")</f>
        <v/>
      </c>
      <c r="F711" s="33"/>
      <c r="G711" s="34" t="str">
        <f>IFERROR(IF(F711&gt;=0,D711*E711*(1+F711/100),ABS(D711*E711/F711)),"")</f>
        <v/>
      </c>
      <c r="H711" s="43" t="str">
        <f>IFERROR(G711*E704,"")</f>
        <v/>
      </c>
    </row>
    <row r="712" spans="1:8" ht="12.75" customHeight="1">
      <c r="A712" s="21"/>
      <c r="B712" s="22" t="s">
        <v>3731</v>
      </c>
      <c r="C712" s="23"/>
      <c r="D712" s="24"/>
      <c r="E712" s="25"/>
      <c r="F712" s="26"/>
      <c r="G712" s="27">
        <f>SUM(G713:G715)</f>
        <v>35479.279828500003</v>
      </c>
      <c r="H712" s="44">
        <f>G712*E704</f>
        <v>0</v>
      </c>
    </row>
    <row r="713" spans="1:8" ht="12.75" customHeight="1">
      <c r="A713" s="28"/>
      <c r="B713" s="29" t="s">
        <v>3657</v>
      </c>
      <c r="C713" s="30" t="str">
        <f>IFERROR(_xlfn.XLOOKUP(B713,Equipo[DESCRIPCION],Equipo[UND],,0),"")</f>
        <v>Día</v>
      </c>
      <c r="D713" s="31">
        <v>1</v>
      </c>
      <c r="E713" s="32">
        <f>IF(C713="%MO",G719,IFERROR(_xlfn.XLOOKUP($B713,Equipo[DESCRIPCION],Equipo[VALOR],,0),""))</f>
        <v>56524.65</v>
      </c>
      <c r="F713" s="33">
        <v>-10</v>
      </c>
      <c r="G713" s="34">
        <f>IFERROR(IF(F713&gt;=0,D713*E713*(1+F713/100),ABS(D713*E713/F713)),"")</f>
        <v>5652.4650000000001</v>
      </c>
      <c r="H713" s="43">
        <f>IFERROR(G713*E704,"")</f>
        <v>0</v>
      </c>
    </row>
    <row r="714" spans="1:8" ht="12.75" customHeight="1">
      <c r="A714" s="28"/>
      <c r="B714" s="29" t="s">
        <v>3570</v>
      </c>
      <c r="C714" s="30" t="str">
        <f>IFERROR(_xlfn.XLOOKUP(B714,Equipo[DESCRIPCION],Equipo[UND],,0),"")</f>
        <v>%MO</v>
      </c>
      <c r="D714" s="31">
        <v>0.04</v>
      </c>
      <c r="E714" s="32">
        <f>IF(C714="%MO",G719,IFERROR(_xlfn.XLOOKUP($B714,Equipo[DESCRIPCION],Equipo[VALOR],,0),""))</f>
        <v>331409.05365000002</v>
      </c>
      <c r="F714" s="33"/>
      <c r="G714" s="34">
        <f>IFERROR(IF(F714&gt;=0,D714*E714*(1+F714/100),ABS(D714*E714/F714)),"")</f>
        <v>13256.362146000001</v>
      </c>
      <c r="H714" s="43">
        <f>IFERROR(G714*E704,"")</f>
        <v>0</v>
      </c>
    </row>
    <row r="715" spans="1:8" ht="12.75" customHeight="1">
      <c r="A715" s="28"/>
      <c r="B715" s="29" t="s">
        <v>3626</v>
      </c>
      <c r="C715" s="30" t="str">
        <f>IFERROR(_xlfn.XLOOKUP(B715,Equipo[DESCRIPCION],Equipo[UND],,0),"")</f>
        <v>%MO</v>
      </c>
      <c r="D715" s="31">
        <v>0.05</v>
      </c>
      <c r="E715" s="32">
        <f>IF(C715="%MO",G719,IFERROR(_xlfn.XLOOKUP($B715,Equipo[DESCRIPCION],Equipo[VALOR],,0),""))</f>
        <v>331409.05365000002</v>
      </c>
      <c r="F715" s="33"/>
      <c r="G715" s="34">
        <f>IFERROR(IF(F715&gt;=0,D715*E715*(1+F715/100),ABS(D715*E715/F715)),"")</f>
        <v>16570.452682500003</v>
      </c>
      <c r="H715" s="43">
        <f>IFERROR(G715*E704,"")</f>
        <v>0</v>
      </c>
    </row>
    <row r="716" spans="1:8" ht="12.75" customHeight="1">
      <c r="A716" s="21"/>
      <c r="B716" s="22" t="s">
        <v>2533</v>
      </c>
      <c r="C716" s="23"/>
      <c r="D716" s="24"/>
      <c r="E716" s="25"/>
      <c r="F716" s="26"/>
      <c r="G716" s="27">
        <f>SUM(G717:G718)</f>
        <v>0</v>
      </c>
      <c r="H716" s="44">
        <f>G716*E704</f>
        <v>0</v>
      </c>
    </row>
    <row r="717" spans="1:8" ht="12.75" customHeight="1">
      <c r="A717" s="28"/>
      <c r="B717" s="29"/>
      <c r="C717" s="30" t="str">
        <f>IFERROR(_xlfn.XLOOKUP(B717,Transporte[DESCRIPCION],Transporte[UND],,0),"")</f>
        <v/>
      </c>
      <c r="D717" s="31"/>
      <c r="E717" s="32" t="str">
        <f>IFERROR(_xlfn.XLOOKUP($B717,Transporte[DESCRIPCION],Transporte[VALOR],,0),"")</f>
        <v/>
      </c>
      <c r="F717" s="33"/>
      <c r="G717" s="34" t="str">
        <f>IFERROR(IF(F717&gt;=0,D717*E717*(1+F717/100),ABS(D717*E717/F717)),"")</f>
        <v/>
      </c>
      <c r="H717" s="43" t="str">
        <f>IFERROR(G717*E704,"")</f>
        <v/>
      </c>
    </row>
    <row r="718" spans="1:8" ht="12.75" customHeight="1">
      <c r="A718" s="28"/>
      <c r="B718" s="29"/>
      <c r="C718" s="30" t="str">
        <f>IFERROR(_xlfn.XLOOKUP(B718,Transporte[DESCRIPCION],Transporte[UND],,0),"")</f>
        <v/>
      </c>
      <c r="D718" s="31"/>
      <c r="E718" s="32" t="str">
        <f>IFERROR(_xlfn.XLOOKUP($B718,Transporte[DESCRIPCION],Transporte[VALOR],,0),"")</f>
        <v/>
      </c>
      <c r="F718" s="33"/>
      <c r="G718" s="34" t="str">
        <f>IFERROR(IF(F718&gt;=0,D718*E718*(1+F718/100),ABS(D718*E718/F718)),"")</f>
        <v/>
      </c>
      <c r="H718" s="43" t="str">
        <f>IFERROR(G718*E704,"")</f>
        <v/>
      </c>
    </row>
    <row r="719" spans="1:8" ht="12.75" customHeight="1">
      <c r="A719" s="21"/>
      <c r="B719" s="22" t="s">
        <v>3732</v>
      </c>
      <c r="C719" s="23"/>
      <c r="D719" s="24"/>
      <c r="E719" s="25"/>
      <c r="F719" s="26"/>
      <c r="G719" s="27">
        <f>SUM(G720:G722)</f>
        <v>331409.05365000002</v>
      </c>
      <c r="H719" s="44">
        <f>G719*E704</f>
        <v>0</v>
      </c>
    </row>
    <row r="720" spans="1:8" ht="12.75" customHeight="1">
      <c r="A720" s="28"/>
      <c r="B720" s="29" t="s">
        <v>3711</v>
      </c>
      <c r="C720" s="30" t="str">
        <f>IFERROR(_xlfn.XLOOKUP(B720,MObra[DESCRIPCION],MObra[UN],,0),"")</f>
        <v>día</v>
      </c>
      <c r="D720" s="31">
        <v>1</v>
      </c>
      <c r="E720" s="32">
        <f>IFERROR(_xlfn.XLOOKUP($B720,MObra[DESCRIPCION],MObra[VALOR UNIT],,0),"")</f>
        <v>430831.76974500006</v>
      </c>
      <c r="F720" s="33">
        <v>-1.3</v>
      </c>
      <c r="G720" s="34">
        <f>IFERROR(IF(F720&gt;=0,D720*E720*(1+F720/100),ABS(D720*E720/F720)),"")</f>
        <v>331409.05365000002</v>
      </c>
      <c r="H720" s="43">
        <f>IFERROR(G720*E704,"")</f>
        <v>0</v>
      </c>
    </row>
    <row r="721" spans="1:11" ht="12.75" customHeight="1">
      <c r="A721" s="28"/>
      <c r="B721" s="29"/>
      <c r="C721" s="30" t="str">
        <f t="array" ref="C721">IFERROR(_xlfn.XLOOKUP(B721,MObra[[#All],[DESCRIPCION]],MObra[[#All],[UN]],,0),"")</f>
        <v/>
      </c>
      <c r="D721" s="31"/>
      <c r="E721" s="32" t="str">
        <f>IFERROR(_xlfn.XLOOKUP($B721,MObra[DESCRIPCION],MObra[VALOR UNIT],,0),"")</f>
        <v/>
      </c>
      <c r="F721" s="33"/>
      <c r="G721" s="34" t="str">
        <f>IFERROR(IF(F721&gt;=0,D721*E721*(1+F721/100),ABS(D721*E721/F721)),"")</f>
        <v/>
      </c>
      <c r="H721" s="43" t="str">
        <f>IFERROR(G721*E704,"")</f>
        <v/>
      </c>
    </row>
    <row r="722" spans="1:11" ht="12.75" customHeight="1" thickBot="1">
      <c r="A722" s="35"/>
      <c r="B722" s="36"/>
      <c r="C722" s="37" t="str">
        <f t="array" ref="C722">IFERROR(_xlfn.XLOOKUP(B722,MObra[[#All],[DESCRIPCION]],MObra[[#All],[UN]],,0),"")</f>
        <v/>
      </c>
      <c r="D722" s="38"/>
      <c r="E722" s="39" t="str">
        <f>IFERROR(_xlfn.XLOOKUP($B722,MObra[DESCRIPCION],MObra[VALOR UNIT],,0),"")</f>
        <v/>
      </c>
      <c r="F722" s="40"/>
      <c r="G722" s="41" t="str">
        <f>IFERROR(IF(F722&gt;=0,D722*E722*(1+F722/100),ABS(D722*E722/F722)),"")</f>
        <v/>
      </c>
      <c r="H722" s="42" t="str">
        <f>IFERROR(G722*E704,"")</f>
        <v/>
      </c>
    </row>
    <row r="723" spans="1:11" ht="12.75" customHeight="1" thickTop="1" thickBot="1"/>
    <row r="724" spans="1:11" ht="12.75" customHeight="1" thickTop="1" thickBot="1">
      <c r="A724" s="6" t="s">
        <v>381</v>
      </c>
      <c r="B724" s="7" t="str">
        <f>VLOOKUP($A724,Presupuesto!$A:$D,2,FALSE())</f>
        <v>Columna rectangular 24.1 Mpa (área &gt;=3.600 cm2)</v>
      </c>
      <c r="C724" s="8" t="str">
        <f>VLOOKUP($A724,Presupuesto!$A:$D,3,FALSE())</f>
        <v>M3</v>
      </c>
      <c r="D724" s="9"/>
      <c r="E724" s="10">
        <f>VLOOKUP($A724,Presupuesto!$A:$D,4,FALSE())</f>
        <v>0</v>
      </c>
      <c r="F724" s="11" t="s">
        <v>2589</v>
      </c>
      <c r="G724" s="12">
        <f>SUM(G726:G742)/2</f>
        <v>1174122.9211098191</v>
      </c>
      <c r="H724" s="13">
        <f>ROUND(SUM(H726:H742),0)/2</f>
        <v>0</v>
      </c>
      <c r="I724" s="10">
        <f>VLOOKUP(A724,Presupuesto!$A:$F,6,0)</f>
        <v>0</v>
      </c>
      <c r="J724" s="10">
        <f>+H724-I724</f>
        <v>0</v>
      </c>
      <c r="K724" s="46">
        <f>+H724-G724*E724</f>
        <v>0</v>
      </c>
    </row>
    <row r="725" spans="1:11" ht="12.75" customHeight="1" thickTop="1">
      <c r="A725" s="14"/>
      <c r="B725" s="15" t="s">
        <v>2586</v>
      </c>
      <c r="C725" s="15" t="s">
        <v>5</v>
      </c>
      <c r="D725" s="16" t="s">
        <v>6</v>
      </c>
      <c r="E725" s="17" t="s">
        <v>7</v>
      </c>
      <c r="F725" s="18" t="s">
        <v>3728</v>
      </c>
      <c r="G725" s="19" t="s">
        <v>3729</v>
      </c>
      <c r="H725" s="20" t="s">
        <v>3797</v>
      </c>
    </row>
    <row r="726" spans="1:11" ht="12.75" customHeight="1">
      <c r="A726" s="21"/>
      <c r="B726" s="22" t="s">
        <v>3730</v>
      </c>
      <c r="C726" s="23"/>
      <c r="D726" s="24"/>
      <c r="E726" s="25"/>
      <c r="F726" s="26"/>
      <c r="G726" s="27">
        <f>SUM(G727:G731)</f>
        <v>820613.69387126341</v>
      </c>
      <c r="H726" s="27">
        <f>IFERROR(G726*E724,"")</f>
        <v>0</v>
      </c>
    </row>
    <row r="727" spans="1:11" ht="12.75" customHeight="1">
      <c r="A727" s="28"/>
      <c r="B727" s="29" t="s">
        <v>3240</v>
      </c>
      <c r="C727" s="30" t="str">
        <f>IFERROR(_xlfn.XLOOKUP(B727,Insumo[DESCRIPCION],Insumo[UND],,0),"")</f>
        <v>M3</v>
      </c>
      <c r="D727" s="31">
        <v>1</v>
      </c>
      <c r="E727" s="32">
        <f>IFERROR(_xlfn.XLOOKUP($B727,Insumo[DESCRIPCION],Insumo[VALOR],,0),"")</f>
        <v>539790.3034961326</v>
      </c>
      <c r="F727" s="33">
        <v>5</v>
      </c>
      <c r="G727" s="34">
        <f>IFERROR(IF(F727&gt;=0,D727*E727*(1+F727/100),ABS(D727*E727/F727)),"")</f>
        <v>566779.8186709393</v>
      </c>
      <c r="H727" s="43">
        <f>IFERROR(G727*E724,"")</f>
        <v>0</v>
      </c>
    </row>
    <row r="728" spans="1:11" ht="12.75" customHeight="1">
      <c r="A728" s="28"/>
      <c r="B728" s="29" t="s">
        <v>2957</v>
      </c>
      <c r="C728" s="30" t="str">
        <f>IFERROR(_xlfn.XLOOKUP(B728,Insumo[DESCRIPCION],Insumo[UND],,0),"")</f>
        <v>M2</v>
      </c>
      <c r="D728" s="31">
        <v>6.2</v>
      </c>
      <c r="E728" s="32">
        <f>IFERROR(_xlfn.XLOOKUP($B728,Insumo[DESCRIPCION],Insumo[VALOR],,0),"")</f>
        <v>149544.7581937575</v>
      </c>
      <c r="F728" s="33">
        <v>-4</v>
      </c>
      <c r="G728" s="34">
        <f>IFERROR(IF(F728&gt;=0,D728*E728*(1+F728/100),ABS(D728*E728/F728)),"")</f>
        <v>231794.37520032414</v>
      </c>
      <c r="H728" s="43">
        <f>IFERROR(G728*E724,"")</f>
        <v>0</v>
      </c>
    </row>
    <row r="729" spans="1:11" ht="12.75" customHeight="1">
      <c r="A729" s="28"/>
      <c r="B729" s="29" t="s">
        <v>3295</v>
      </c>
      <c r="C729" s="30" t="str">
        <f>IFERROR(_xlfn.XLOOKUP(B729,Insumo[DESCRIPCION],Insumo[UND],,0),"")</f>
        <v>Kg</v>
      </c>
      <c r="D729" s="31">
        <v>1</v>
      </c>
      <c r="E729" s="32">
        <f>IFERROR(_xlfn.XLOOKUP($B729,Insumo[DESCRIPCION],Insumo[VALOR],,0),"")</f>
        <v>22039.5</v>
      </c>
      <c r="F729" s="33"/>
      <c r="G729" s="34">
        <f>IFERROR(IF(F729&gt;=0,D729*E729*(1+F729/100),ABS(D729*E729/F729)),"")</f>
        <v>22039.5</v>
      </c>
      <c r="H729" s="43">
        <f>IFERROR(G729*E724,"")</f>
        <v>0</v>
      </c>
    </row>
    <row r="730" spans="1:11" ht="12.75" customHeight="1">
      <c r="A730" s="28"/>
      <c r="B730" s="29"/>
      <c r="C730" s="30" t="str">
        <f>IFERROR(_xlfn.XLOOKUP(B730,Insumo[DESCRIPCION],Insumo[UND],,0),"")</f>
        <v/>
      </c>
      <c r="D730" s="31"/>
      <c r="E730" s="32" t="str">
        <f>IFERROR(_xlfn.XLOOKUP($B730,Insumo[DESCRIPCION],Insumo[VALOR],,0),"")</f>
        <v/>
      </c>
      <c r="F730" s="33"/>
      <c r="G730" s="34" t="str">
        <f>IFERROR(IF(F730&gt;=0,D730*E730*(1+F730/100),ABS(D730*E730/F730)),"")</f>
        <v/>
      </c>
      <c r="H730" s="43" t="str">
        <f>IFERROR(G730*E724,"")</f>
        <v/>
      </c>
    </row>
    <row r="731" spans="1:11" ht="12.75" customHeight="1">
      <c r="A731" s="28"/>
      <c r="B731" s="29"/>
      <c r="C731" s="30" t="str">
        <f>IFERROR(_xlfn.XLOOKUP(B731,Insumo[DESCRIPCION],Insumo[UND],,0),"")</f>
        <v/>
      </c>
      <c r="D731" s="31"/>
      <c r="E731" s="32" t="str">
        <f>IFERROR(_xlfn.XLOOKUP($B731,Insumo[DESCRIPCION],Insumo[VALOR],,0),"")</f>
        <v/>
      </c>
      <c r="F731" s="33"/>
      <c r="G731" s="34" t="str">
        <f>IFERROR(IF(F731&gt;=0,D731*E731*(1+F731/100),ABS(D731*E731/F731)),"")</f>
        <v/>
      </c>
      <c r="H731" s="43" t="str">
        <f>IFERROR(G731*E724,"")</f>
        <v/>
      </c>
    </row>
    <row r="732" spans="1:11" ht="12.75" customHeight="1">
      <c r="A732" s="21"/>
      <c r="B732" s="22" t="s">
        <v>3731</v>
      </c>
      <c r="C732" s="23"/>
      <c r="D732" s="24"/>
      <c r="E732" s="25"/>
      <c r="F732" s="26"/>
      <c r="G732" s="27">
        <f>SUM(G733:G735)</f>
        <v>34374.582983</v>
      </c>
      <c r="H732" s="44">
        <f>G732*E724</f>
        <v>0</v>
      </c>
    </row>
    <row r="733" spans="1:11" ht="12.75" customHeight="1">
      <c r="A733" s="28"/>
      <c r="B733" s="29" t="s">
        <v>3657</v>
      </c>
      <c r="C733" s="30" t="str">
        <f>IFERROR(_xlfn.XLOOKUP(B733,Equipo[DESCRIPCION],Equipo[UND],,0),"")</f>
        <v>Día</v>
      </c>
      <c r="D733" s="31">
        <v>1</v>
      </c>
      <c r="E733" s="32">
        <f>IF(C733="%MO",G739,IFERROR(_xlfn.XLOOKUP($B733,Equipo[DESCRIPCION],Equipo[VALOR],,0),""))</f>
        <v>56524.65</v>
      </c>
      <c r="F733" s="33">
        <v>-10</v>
      </c>
      <c r="G733" s="34">
        <f>IFERROR(IF(F733&gt;=0,D733*E733*(1+F733/100),ABS(D733*E733/F733)),"")</f>
        <v>5652.4650000000001</v>
      </c>
      <c r="H733" s="43">
        <f>IFERROR(G733*E724,"")</f>
        <v>0</v>
      </c>
    </row>
    <row r="734" spans="1:11" ht="12.75" customHeight="1">
      <c r="A734" s="28"/>
      <c r="B734" s="29" t="s">
        <v>3570</v>
      </c>
      <c r="C734" s="30" t="str">
        <f>IFERROR(_xlfn.XLOOKUP(B734,Equipo[DESCRIPCION],Equipo[UND],,0),"")</f>
        <v>%MO</v>
      </c>
      <c r="D734" s="31">
        <v>0.04</v>
      </c>
      <c r="E734" s="32">
        <f>IF(C734="%MO",G739,IFERROR(_xlfn.XLOOKUP($B734,Equipo[DESCRIPCION],Equipo[VALOR],,0),""))</f>
        <v>319134.64425555558</v>
      </c>
      <c r="F734" s="33"/>
      <c r="G734" s="34">
        <f>IFERROR(IF(F734&gt;=0,D734*E734*(1+F734/100),ABS(D734*E734/F734)),"")</f>
        <v>12765.385770222223</v>
      </c>
      <c r="H734" s="43">
        <f>IFERROR(G734*E724,"")</f>
        <v>0</v>
      </c>
    </row>
    <row r="735" spans="1:11" ht="12.75" customHeight="1">
      <c r="A735" s="28"/>
      <c r="B735" s="29" t="s">
        <v>3626</v>
      </c>
      <c r="C735" s="30" t="str">
        <f>IFERROR(_xlfn.XLOOKUP(B735,Equipo[DESCRIPCION],Equipo[UND],,0),"")</f>
        <v>%MO</v>
      </c>
      <c r="D735" s="31">
        <v>0.05</v>
      </c>
      <c r="E735" s="32">
        <f>IF(C735="%MO",G739,IFERROR(_xlfn.XLOOKUP($B735,Equipo[DESCRIPCION],Equipo[VALOR],,0),""))</f>
        <v>319134.64425555558</v>
      </c>
      <c r="F735" s="33"/>
      <c r="G735" s="34">
        <f>IFERROR(IF(F735&gt;=0,D735*E735*(1+F735/100),ABS(D735*E735/F735)),"")</f>
        <v>15956.732212777781</v>
      </c>
      <c r="H735" s="43">
        <f>IFERROR(G735*E724,"")</f>
        <v>0</v>
      </c>
    </row>
    <row r="736" spans="1:11" ht="12.75" customHeight="1">
      <c r="A736" s="21"/>
      <c r="B736" s="22" t="s">
        <v>2533</v>
      </c>
      <c r="C736" s="23"/>
      <c r="D736" s="24"/>
      <c r="E736" s="25"/>
      <c r="F736" s="26"/>
      <c r="G736" s="27">
        <f>SUM(G737:G738)</f>
        <v>0</v>
      </c>
      <c r="H736" s="44">
        <f>G736*E724</f>
        <v>0</v>
      </c>
    </row>
    <row r="737" spans="1:11" ht="12.75" customHeight="1">
      <c r="A737" s="28"/>
      <c r="B737" s="29"/>
      <c r="C737" s="30" t="str">
        <f>IFERROR(_xlfn.XLOOKUP(B737,Transporte[DESCRIPCION],Transporte[UND],,0),"")</f>
        <v/>
      </c>
      <c r="D737" s="31"/>
      <c r="E737" s="32" t="str">
        <f>IFERROR(_xlfn.XLOOKUP($B737,Transporte[DESCRIPCION],Transporte[VALOR],,0),"")</f>
        <v/>
      </c>
      <c r="F737" s="33"/>
      <c r="G737" s="34" t="str">
        <f>IFERROR(IF(F737&gt;=0,D737*E737*(1+F737/100),ABS(D737*E737/F737)),"")</f>
        <v/>
      </c>
      <c r="H737" s="43" t="str">
        <f>IFERROR(G737*E724,"")</f>
        <v/>
      </c>
    </row>
    <row r="738" spans="1:11" ht="12.75" customHeight="1">
      <c r="A738" s="28"/>
      <c r="B738" s="29"/>
      <c r="C738" s="30" t="str">
        <f>IFERROR(_xlfn.XLOOKUP(B738,Transporte[DESCRIPCION],Transporte[UND],,0),"")</f>
        <v/>
      </c>
      <c r="D738" s="31"/>
      <c r="E738" s="32" t="str">
        <f>IFERROR(_xlfn.XLOOKUP($B738,Transporte[DESCRIPCION],Transporte[VALOR],,0),"")</f>
        <v/>
      </c>
      <c r="F738" s="33"/>
      <c r="G738" s="34" t="str">
        <f>IFERROR(IF(F738&gt;=0,D738*E738*(1+F738/100),ABS(D738*E738/F738)),"")</f>
        <v/>
      </c>
      <c r="H738" s="43" t="str">
        <f>IFERROR(G738*E724,"")</f>
        <v/>
      </c>
    </row>
    <row r="739" spans="1:11" ht="12.75" customHeight="1">
      <c r="A739" s="21"/>
      <c r="B739" s="22" t="s">
        <v>3732</v>
      </c>
      <c r="C739" s="23"/>
      <c r="D739" s="24"/>
      <c r="E739" s="25"/>
      <c r="F739" s="26"/>
      <c r="G739" s="27">
        <f>SUM(G740:G742)</f>
        <v>319134.64425555558</v>
      </c>
      <c r="H739" s="44">
        <f>G739*E724</f>
        <v>0</v>
      </c>
    </row>
    <row r="740" spans="1:11" ht="12.75" customHeight="1">
      <c r="A740" s="28"/>
      <c r="B740" s="29" t="s">
        <v>3711</v>
      </c>
      <c r="C740" s="30" t="str">
        <f>IFERROR(_xlfn.XLOOKUP(B740,MObra[DESCRIPCION],MObra[UN],,0),"")</f>
        <v>día</v>
      </c>
      <c r="D740" s="31">
        <v>1</v>
      </c>
      <c r="E740" s="32">
        <f>IFERROR(_xlfn.XLOOKUP($B740,MObra[DESCRIPCION],MObra[VALOR UNIT],,0),"")</f>
        <v>430831.76974500006</v>
      </c>
      <c r="F740" s="33">
        <v>-1.35</v>
      </c>
      <c r="G740" s="34">
        <f>IFERROR(IF(F740&gt;=0,D740*E740*(1+F740/100),ABS(D740*E740/F740)),"")</f>
        <v>319134.64425555558</v>
      </c>
      <c r="H740" s="43">
        <f>IFERROR(G740*E724,"")</f>
        <v>0</v>
      </c>
    </row>
    <row r="741" spans="1:11" ht="12.75" customHeight="1">
      <c r="A741" s="28"/>
      <c r="B741" s="29"/>
      <c r="C741" s="30" t="str">
        <f t="array" ref="C741">IFERROR(_xlfn.XLOOKUP(B741,MObra[[#All],[DESCRIPCION]],MObra[[#All],[UN]],,0),"")</f>
        <v/>
      </c>
      <c r="D741" s="31"/>
      <c r="E741" s="32" t="str">
        <f>IFERROR(_xlfn.XLOOKUP($B741,MObra[DESCRIPCION],MObra[VALOR UNIT],,0),"")</f>
        <v/>
      </c>
      <c r="F741" s="33"/>
      <c r="G741" s="34" t="str">
        <f>IFERROR(IF(F741&gt;=0,D741*E741*(1+F741/100),ABS(D741*E741/F741)),"")</f>
        <v/>
      </c>
      <c r="H741" s="43" t="str">
        <f>IFERROR(G741*E724,"")</f>
        <v/>
      </c>
    </row>
    <row r="742" spans="1:11" ht="12.75" customHeight="1" thickBot="1">
      <c r="A742" s="35"/>
      <c r="B742" s="36"/>
      <c r="C742" s="37" t="str">
        <f t="array" ref="C742">IFERROR(_xlfn.XLOOKUP(B742,MObra[[#All],[DESCRIPCION]],MObra[[#All],[UN]],,0),"")</f>
        <v/>
      </c>
      <c r="D742" s="38"/>
      <c r="E742" s="39" t="str">
        <f>IFERROR(_xlfn.XLOOKUP($B742,MObra[DESCRIPCION],MObra[VALOR UNIT],,0),"")</f>
        <v/>
      </c>
      <c r="F742" s="40"/>
      <c r="G742" s="41" t="str">
        <f>IFERROR(IF(F742&gt;=0,D742*E742*(1+F742/100),ABS(D742*E742/F742)),"")</f>
        <v/>
      </c>
      <c r="H742" s="42" t="str">
        <f>IFERROR(G742*E724,"")</f>
        <v/>
      </c>
    </row>
    <row r="743" spans="1:11" ht="12.75" customHeight="1" thickTop="1" thickBot="1"/>
    <row r="744" spans="1:11" ht="12.75" customHeight="1" thickTop="1" thickBot="1">
      <c r="A744" s="6" t="s">
        <v>383</v>
      </c>
      <c r="B744" s="7" t="str">
        <f>VLOOKUP($A744,Presupuesto!$A:$D,2,FALSE())</f>
        <v>Columna rectangular 27.6 Mpa (área &lt;=1.600 cm2)</v>
      </c>
      <c r="C744" s="8" t="str">
        <f>VLOOKUP($A744,Presupuesto!$A:$D,3,FALSE())</f>
        <v>M3</v>
      </c>
      <c r="D744" s="9"/>
      <c r="E744" s="10">
        <f>VLOOKUP($A744,Presupuesto!$A:$D,4,FALSE())</f>
        <v>0</v>
      </c>
      <c r="F744" s="11" t="s">
        <v>2589</v>
      </c>
      <c r="G744" s="12">
        <f>SUM(G746:G762)/2</f>
        <v>1374341.420185918</v>
      </c>
      <c r="H744" s="13">
        <f>ROUND(SUM(H746:H762),0)/2</f>
        <v>0</v>
      </c>
      <c r="I744" s="10">
        <f>VLOOKUP(A744,Presupuesto!$A:$F,6,0)</f>
        <v>0</v>
      </c>
      <c r="J744" s="10">
        <f>+H744-I744</f>
        <v>0</v>
      </c>
      <c r="K744" s="46">
        <f>+H744-G744*E744</f>
        <v>0</v>
      </c>
    </row>
    <row r="745" spans="1:11" ht="12.75" customHeight="1" thickTop="1">
      <c r="A745" s="14"/>
      <c r="B745" s="15" t="s">
        <v>2586</v>
      </c>
      <c r="C745" s="15" t="s">
        <v>5</v>
      </c>
      <c r="D745" s="16" t="s">
        <v>6</v>
      </c>
      <c r="E745" s="17" t="s">
        <v>7</v>
      </c>
      <c r="F745" s="18" t="s">
        <v>3728</v>
      </c>
      <c r="G745" s="19" t="s">
        <v>3729</v>
      </c>
      <c r="H745" s="20" t="s">
        <v>3797</v>
      </c>
    </row>
    <row r="746" spans="1:11" ht="12.75" customHeight="1">
      <c r="A746" s="21"/>
      <c r="B746" s="22" t="s">
        <v>3730</v>
      </c>
      <c r="C746" s="23"/>
      <c r="D746" s="24"/>
      <c r="E746" s="25"/>
      <c r="F746" s="26"/>
      <c r="G746" s="27">
        <f>SUM(G747:G751)</f>
        <v>977350.09766754287</v>
      </c>
      <c r="H746" s="27">
        <f>IFERROR(G746*E744,"")</f>
        <v>0</v>
      </c>
    </row>
    <row r="747" spans="1:11" ht="12.75" customHeight="1">
      <c r="A747" s="28"/>
      <c r="B747" s="29" t="s">
        <v>3241</v>
      </c>
      <c r="C747" s="30" t="str">
        <f>IFERROR(_xlfn.XLOOKUP(B747,Insumo[DESCRIPCION],Insumo[UND],,0),"")</f>
        <v>M3</v>
      </c>
      <c r="D747" s="31">
        <v>1</v>
      </c>
      <c r="E747" s="32">
        <f>IFERROR(_xlfn.XLOOKUP($B747,Insumo[DESCRIPCION],Insumo[VALOR],,0),"")</f>
        <v>568453.66874585627</v>
      </c>
      <c r="F747" s="33">
        <v>5</v>
      </c>
      <c r="G747" s="34">
        <f>IFERROR(IF(F747&gt;=0,D747*E747*(1+F747/100),ABS(D747*E747/F747)),"")</f>
        <v>596876.35218314908</v>
      </c>
      <c r="H747" s="43">
        <f>IFERROR(G747*E744,"")</f>
        <v>0</v>
      </c>
    </row>
    <row r="748" spans="1:11" ht="12.75" customHeight="1">
      <c r="A748" s="28"/>
      <c r="B748" s="29" t="s">
        <v>2957</v>
      </c>
      <c r="C748" s="30" t="str">
        <f>IFERROR(_xlfn.XLOOKUP(B748,Insumo[DESCRIPCION],Insumo[UND],,0),"")</f>
        <v>M2</v>
      </c>
      <c r="D748" s="31">
        <v>10</v>
      </c>
      <c r="E748" s="32">
        <f>IFERROR(_xlfn.XLOOKUP($B748,Insumo[DESCRIPCION],Insumo[VALOR],,0),"")</f>
        <v>149544.7581937575</v>
      </c>
      <c r="F748" s="33">
        <v>-4</v>
      </c>
      <c r="G748" s="34">
        <f>IFERROR(IF(F748&gt;=0,D748*E748*(1+F748/100),ABS(D748*E748/F748)),"")</f>
        <v>373861.89548439375</v>
      </c>
      <c r="H748" s="43">
        <f>IFERROR(G748*E744,"")</f>
        <v>0</v>
      </c>
    </row>
    <row r="749" spans="1:11" ht="12.75" customHeight="1">
      <c r="A749" s="28"/>
      <c r="B749" s="29" t="s">
        <v>3295</v>
      </c>
      <c r="C749" s="30" t="str">
        <f>IFERROR(_xlfn.XLOOKUP(B749,Insumo[DESCRIPCION],Insumo[UND],,0),"")</f>
        <v>Kg</v>
      </c>
      <c r="D749" s="31">
        <v>0.3</v>
      </c>
      <c r="E749" s="32">
        <f>IFERROR(_xlfn.XLOOKUP($B749,Insumo[DESCRIPCION],Insumo[VALOR],,0),"")</f>
        <v>22039.5</v>
      </c>
      <c r="F749" s="33"/>
      <c r="G749" s="34">
        <f>IFERROR(IF(F749&gt;=0,D749*E749*(1+F749/100),ABS(D749*E749/F749)),"")</f>
        <v>6611.8499999999995</v>
      </c>
      <c r="H749" s="43">
        <f>IFERROR(G749*E744,"")</f>
        <v>0</v>
      </c>
    </row>
    <row r="750" spans="1:11" ht="12.75" customHeight="1">
      <c r="A750" s="28"/>
      <c r="B750" s="29"/>
      <c r="C750" s="30" t="str">
        <f>IFERROR(_xlfn.XLOOKUP(B750,Insumo[DESCRIPCION],Insumo[UND],,0),"")</f>
        <v/>
      </c>
      <c r="D750" s="31"/>
      <c r="E750" s="32" t="str">
        <f>IFERROR(_xlfn.XLOOKUP($B750,Insumo[DESCRIPCION],Insumo[VALOR],,0),"")</f>
        <v/>
      </c>
      <c r="F750" s="33"/>
      <c r="G750" s="34" t="str">
        <f>IFERROR(IF(F750&gt;=0,D750*E750*(1+F750/100),ABS(D750*E750/F750)),"")</f>
        <v/>
      </c>
      <c r="H750" s="43" t="str">
        <f>IFERROR(G750*E744,"")</f>
        <v/>
      </c>
    </row>
    <row r="751" spans="1:11" ht="12.75" customHeight="1">
      <c r="A751" s="28"/>
      <c r="B751" s="29"/>
      <c r="C751" s="30" t="str">
        <f>IFERROR(_xlfn.XLOOKUP(B751,Insumo[DESCRIPCION],Insumo[UND],,0),"")</f>
        <v/>
      </c>
      <c r="D751" s="31"/>
      <c r="E751" s="32" t="str">
        <f>IFERROR(_xlfn.XLOOKUP($B751,Insumo[DESCRIPCION],Insumo[VALOR],,0),"")</f>
        <v/>
      </c>
      <c r="F751" s="33"/>
      <c r="G751" s="34" t="str">
        <f>IFERROR(IF(F751&gt;=0,D751*E751*(1+F751/100),ABS(D751*E751/F751)),"")</f>
        <v/>
      </c>
      <c r="H751" s="43" t="str">
        <f>IFERROR(G751*E744,"")</f>
        <v/>
      </c>
    </row>
    <row r="752" spans="1:11" ht="12.75" customHeight="1">
      <c r="A752" s="21"/>
      <c r="B752" s="22" t="s">
        <v>3731</v>
      </c>
      <c r="C752" s="23"/>
      <c r="D752" s="24"/>
      <c r="E752" s="25"/>
      <c r="F752" s="26"/>
      <c r="G752" s="27">
        <f>SUM(G753:G755)</f>
        <v>37964.847730875001</v>
      </c>
      <c r="H752" s="44">
        <f>G752*E744</f>
        <v>0</v>
      </c>
    </row>
    <row r="753" spans="1:11" ht="12.75" customHeight="1">
      <c r="A753" s="28"/>
      <c r="B753" s="29" t="s">
        <v>3657</v>
      </c>
      <c r="C753" s="30" t="str">
        <f>IFERROR(_xlfn.XLOOKUP(B753,Equipo[DESCRIPCION],Equipo[UND],,0),"")</f>
        <v>Día</v>
      </c>
      <c r="D753" s="31">
        <v>1</v>
      </c>
      <c r="E753" s="32">
        <f>IF(C753="%MO",G759,IFERROR(_xlfn.XLOOKUP($B753,Equipo[DESCRIPCION],Equipo[VALOR],,0),""))</f>
        <v>56524.65</v>
      </c>
      <c r="F753" s="33">
        <v>-10</v>
      </c>
      <c r="G753" s="34">
        <f>IFERROR(IF(F753&gt;=0,D753*E753*(1+F753/100),ABS(D753*E753/F753)),"")</f>
        <v>5652.4650000000001</v>
      </c>
      <c r="H753" s="43">
        <f>IFERROR(G753*E744,"")</f>
        <v>0</v>
      </c>
    </row>
    <row r="754" spans="1:11" ht="12.75" customHeight="1">
      <c r="A754" s="28"/>
      <c r="B754" s="29" t="s">
        <v>3570</v>
      </c>
      <c r="C754" s="30" t="str">
        <f>IFERROR(_xlfn.XLOOKUP(B754,Equipo[DESCRIPCION],Equipo[UND],,0),"")</f>
        <v>%MO</v>
      </c>
      <c r="D754" s="31">
        <v>0.04</v>
      </c>
      <c r="E754" s="32">
        <f>IF(C754="%MO",G759,IFERROR(_xlfn.XLOOKUP($B754,Equipo[DESCRIPCION],Equipo[VALOR],,0),""))</f>
        <v>359026.47478750005</v>
      </c>
      <c r="F754" s="33"/>
      <c r="G754" s="34">
        <f>IFERROR(IF(F754&gt;=0,D754*E754*(1+F754/100),ABS(D754*E754/F754)),"")</f>
        <v>14361.058991500002</v>
      </c>
      <c r="H754" s="43">
        <f>IFERROR(G754*E744,"")</f>
        <v>0</v>
      </c>
    </row>
    <row r="755" spans="1:11" ht="12.75" customHeight="1">
      <c r="A755" s="28"/>
      <c r="B755" s="29" t="s">
        <v>3626</v>
      </c>
      <c r="C755" s="30" t="str">
        <f>IFERROR(_xlfn.XLOOKUP(B755,Equipo[DESCRIPCION],Equipo[UND],,0),"")</f>
        <v>%MO</v>
      </c>
      <c r="D755" s="31">
        <v>0.05</v>
      </c>
      <c r="E755" s="32">
        <f>IF(C755="%MO",G759,IFERROR(_xlfn.XLOOKUP($B755,Equipo[DESCRIPCION],Equipo[VALOR],,0),""))</f>
        <v>359026.47478750005</v>
      </c>
      <c r="F755" s="33"/>
      <c r="G755" s="34">
        <f>IFERROR(IF(F755&gt;=0,D755*E755*(1+F755/100),ABS(D755*E755/F755)),"")</f>
        <v>17951.323739375002</v>
      </c>
      <c r="H755" s="43">
        <f>IFERROR(G755*E744,"")</f>
        <v>0</v>
      </c>
    </row>
    <row r="756" spans="1:11" ht="12.75" customHeight="1">
      <c r="A756" s="21"/>
      <c r="B756" s="22" t="s">
        <v>2533</v>
      </c>
      <c r="C756" s="23"/>
      <c r="D756" s="24"/>
      <c r="E756" s="25"/>
      <c r="F756" s="26"/>
      <c r="G756" s="27">
        <f>SUM(G757:G758)</f>
        <v>0</v>
      </c>
      <c r="H756" s="44">
        <f>G756*E744</f>
        <v>0</v>
      </c>
    </row>
    <row r="757" spans="1:11" ht="12.75" customHeight="1">
      <c r="A757" s="28"/>
      <c r="B757" s="29"/>
      <c r="C757" s="30" t="str">
        <f>IFERROR(_xlfn.XLOOKUP(B757,Transporte[DESCRIPCION],Transporte[UND],,0),"")</f>
        <v/>
      </c>
      <c r="D757" s="31"/>
      <c r="E757" s="32" t="str">
        <f>IFERROR(_xlfn.XLOOKUP($B757,Transporte[DESCRIPCION],Transporte[VALOR],,0),"")</f>
        <v/>
      </c>
      <c r="F757" s="33"/>
      <c r="G757" s="34" t="str">
        <f>IFERROR(IF(F757&gt;=0,D757*E757*(1+F757/100),ABS(D757*E757/F757)),"")</f>
        <v/>
      </c>
      <c r="H757" s="43" t="str">
        <f>IFERROR(G757*E744,"")</f>
        <v/>
      </c>
    </row>
    <row r="758" spans="1:11" ht="12.75" customHeight="1">
      <c r="A758" s="28"/>
      <c r="B758" s="29"/>
      <c r="C758" s="30" t="str">
        <f>IFERROR(_xlfn.XLOOKUP(B758,Transporte[DESCRIPCION],Transporte[UND],,0),"")</f>
        <v/>
      </c>
      <c r="D758" s="31"/>
      <c r="E758" s="32" t="str">
        <f>IFERROR(_xlfn.XLOOKUP($B758,Transporte[DESCRIPCION],Transporte[VALOR],,0),"")</f>
        <v/>
      </c>
      <c r="F758" s="33"/>
      <c r="G758" s="34" t="str">
        <f>IFERROR(IF(F758&gt;=0,D758*E758*(1+F758/100),ABS(D758*E758/F758)),"")</f>
        <v/>
      </c>
      <c r="H758" s="43" t="str">
        <f>IFERROR(G758*E744,"")</f>
        <v/>
      </c>
    </row>
    <row r="759" spans="1:11" ht="12.75" customHeight="1">
      <c r="A759" s="21"/>
      <c r="B759" s="22" t="s">
        <v>3732</v>
      </c>
      <c r="C759" s="23"/>
      <c r="D759" s="24"/>
      <c r="E759" s="25"/>
      <c r="F759" s="26"/>
      <c r="G759" s="27">
        <f>SUM(G760:G762)</f>
        <v>359026.47478750005</v>
      </c>
      <c r="H759" s="44">
        <f>G759*E744</f>
        <v>0</v>
      </c>
    </row>
    <row r="760" spans="1:11" ht="12.75" customHeight="1">
      <c r="A760" s="28"/>
      <c r="B760" s="29" t="s">
        <v>3711</v>
      </c>
      <c r="C760" s="30" t="str">
        <f>IFERROR(_xlfn.XLOOKUP(B760,MObra[DESCRIPCION],MObra[UN],,0),"")</f>
        <v>día</v>
      </c>
      <c r="D760" s="31">
        <v>1</v>
      </c>
      <c r="E760" s="32">
        <f>IFERROR(_xlfn.XLOOKUP($B760,MObra[DESCRIPCION],MObra[VALOR UNIT],,0),"")</f>
        <v>430831.76974500006</v>
      </c>
      <c r="F760" s="33">
        <v>-1.2</v>
      </c>
      <c r="G760" s="34">
        <f>IFERROR(IF(F760&gt;=0,D760*E760*(1+F760/100),ABS(D760*E760/F760)),"")</f>
        <v>359026.47478750005</v>
      </c>
      <c r="H760" s="43">
        <f>IFERROR(G760*E744,"")</f>
        <v>0</v>
      </c>
    </row>
    <row r="761" spans="1:11" ht="12.75" customHeight="1">
      <c r="A761" s="28"/>
      <c r="B761" s="29"/>
      <c r="C761" s="30" t="str">
        <f t="array" ref="C761">IFERROR(_xlfn.XLOOKUP(B761,MObra[[#All],[DESCRIPCION]],MObra[[#All],[UN]],,0),"")</f>
        <v/>
      </c>
      <c r="D761" s="31"/>
      <c r="E761" s="32" t="str">
        <f>IFERROR(_xlfn.XLOOKUP($B761,MObra[DESCRIPCION],MObra[VALOR UNIT],,0),"")</f>
        <v/>
      </c>
      <c r="F761" s="33"/>
      <c r="G761" s="34" t="str">
        <f>IFERROR(IF(F761&gt;=0,D761*E761*(1+F761/100),ABS(D761*E761/F761)),"")</f>
        <v/>
      </c>
      <c r="H761" s="43" t="str">
        <f>IFERROR(G761*E744,"")</f>
        <v/>
      </c>
    </row>
    <row r="762" spans="1:11" ht="12.75" customHeight="1" thickBot="1">
      <c r="A762" s="35"/>
      <c r="B762" s="36"/>
      <c r="C762" s="37" t="str">
        <f t="array" ref="C762">IFERROR(_xlfn.XLOOKUP(B762,MObra[[#All],[DESCRIPCION]],MObra[[#All],[UN]],,0),"")</f>
        <v/>
      </c>
      <c r="D762" s="38"/>
      <c r="E762" s="39" t="str">
        <f>IFERROR(_xlfn.XLOOKUP($B762,MObra[DESCRIPCION],MObra[VALOR UNIT],,0),"")</f>
        <v/>
      </c>
      <c r="F762" s="40"/>
      <c r="G762" s="41" t="str">
        <f>IFERROR(IF(F762&gt;=0,D762*E762*(1+F762/100),ABS(D762*E762/F762)),"")</f>
        <v/>
      </c>
      <c r="H762" s="42" t="str">
        <f>IFERROR(G762*E744,"")</f>
        <v/>
      </c>
    </row>
    <row r="763" spans="1:11" ht="12.75" customHeight="1" thickTop="1" thickBot="1"/>
    <row r="764" spans="1:11" ht="12.75" customHeight="1" thickTop="1" thickBot="1">
      <c r="A764" s="6" t="s">
        <v>385</v>
      </c>
      <c r="B764" s="7" t="str">
        <f>VLOOKUP($A764,Presupuesto!$A:$D,2,FALSE())</f>
        <v>Columna rectangular 27.6 Mpa (1.600 cm2 &lt;área&lt;= 2.500 cm2)</v>
      </c>
      <c r="C764" s="8" t="str">
        <f>VLOOKUP($A764,Presupuesto!$A:$D,3,FALSE())</f>
        <v>M3</v>
      </c>
      <c r="D764" s="9"/>
      <c r="E764" s="10">
        <f>VLOOKUP($A764,Presupuesto!$A:$D,4,FALSE())</f>
        <v>0</v>
      </c>
      <c r="F764" s="11" t="s">
        <v>2589</v>
      </c>
      <c r="G764" s="12">
        <f>SUM(G766:G782)/2</f>
        <v>1290527.3367883039</v>
      </c>
      <c r="H764" s="13">
        <f>ROUND(SUM(H766:H782),0)/2</f>
        <v>0</v>
      </c>
      <c r="I764" s="10">
        <f>VLOOKUP(A764,Presupuesto!$A:$F,6,0)</f>
        <v>0</v>
      </c>
      <c r="J764" s="10">
        <f>+H764-I764</f>
        <v>0</v>
      </c>
      <c r="K764" s="46">
        <f>+H764-G764*E764</f>
        <v>0</v>
      </c>
    </row>
    <row r="765" spans="1:11" ht="12.75" customHeight="1" thickTop="1">
      <c r="A765" s="14"/>
      <c r="B765" s="15" t="s">
        <v>2586</v>
      </c>
      <c r="C765" s="15" t="s">
        <v>5</v>
      </c>
      <c r="D765" s="16" t="s">
        <v>6</v>
      </c>
      <c r="E765" s="17" t="s">
        <v>7</v>
      </c>
      <c r="F765" s="18" t="s">
        <v>3728</v>
      </c>
      <c r="G765" s="19" t="s">
        <v>3729</v>
      </c>
      <c r="H765" s="20" t="s">
        <v>3797</v>
      </c>
    </row>
    <row r="766" spans="1:11" ht="12.75" customHeight="1">
      <c r="A766" s="21"/>
      <c r="B766" s="22" t="s">
        <v>3730</v>
      </c>
      <c r="C766" s="23"/>
      <c r="D766" s="24"/>
      <c r="E766" s="25"/>
      <c r="F766" s="26"/>
      <c r="G766" s="27">
        <f>SUM(G767:G771)</f>
        <v>909189.56857066404</v>
      </c>
      <c r="H766" s="27">
        <f>IFERROR(G766*E764,"")</f>
        <v>0</v>
      </c>
    </row>
    <row r="767" spans="1:11" ht="12.75" customHeight="1">
      <c r="A767" s="28"/>
      <c r="B767" s="29" t="s">
        <v>3241</v>
      </c>
      <c r="C767" s="30" t="str">
        <f>IFERROR(_xlfn.XLOOKUP(B767,Insumo[DESCRIPCION],Insumo[UND],,0),"")</f>
        <v>M3</v>
      </c>
      <c r="D767" s="31">
        <v>1</v>
      </c>
      <c r="E767" s="32">
        <f>IFERROR(_xlfn.XLOOKUP($B767,Insumo[DESCRIPCION],Insumo[VALOR],,0),"")</f>
        <v>568453.66874585627</v>
      </c>
      <c r="F767" s="33">
        <v>5</v>
      </c>
      <c r="G767" s="34">
        <f>IFERROR(IF(F767&gt;=0,D767*E767*(1+F767/100),ABS(D767*E767/F767)),"")</f>
        <v>596876.35218314908</v>
      </c>
      <c r="H767" s="43">
        <f>IFERROR(G767*E764,"")</f>
        <v>0</v>
      </c>
    </row>
    <row r="768" spans="1:11" ht="12.75" customHeight="1">
      <c r="A768" s="28"/>
      <c r="B768" s="29" t="s">
        <v>2957</v>
      </c>
      <c r="C768" s="30" t="str">
        <f>IFERROR(_xlfn.XLOOKUP(B768,Insumo[DESCRIPCION],Insumo[UND],,0),"")</f>
        <v>M2</v>
      </c>
      <c r="D768" s="31">
        <v>8</v>
      </c>
      <c r="E768" s="32">
        <f>IFERROR(_xlfn.XLOOKUP($B768,Insumo[DESCRIPCION],Insumo[VALOR],,0),"")</f>
        <v>149544.7581937575</v>
      </c>
      <c r="F768" s="33">
        <v>-4</v>
      </c>
      <c r="G768" s="34">
        <f>IFERROR(IF(F768&gt;=0,D768*E768*(1+F768/100),ABS(D768*E768/F768)),"")</f>
        <v>299089.516387515</v>
      </c>
      <c r="H768" s="43">
        <f>IFERROR(G768*E764,"")</f>
        <v>0</v>
      </c>
    </row>
    <row r="769" spans="1:11" ht="12.75" customHeight="1">
      <c r="A769" s="28"/>
      <c r="B769" s="29" t="s">
        <v>3295</v>
      </c>
      <c r="C769" s="30" t="str">
        <f>IFERROR(_xlfn.XLOOKUP(B769,Insumo[DESCRIPCION],Insumo[UND],,0),"")</f>
        <v>Kg</v>
      </c>
      <c r="D769" s="31">
        <v>0.6</v>
      </c>
      <c r="E769" s="32">
        <f>IFERROR(_xlfn.XLOOKUP($B769,Insumo[DESCRIPCION],Insumo[VALOR],,0),"")</f>
        <v>22039.5</v>
      </c>
      <c r="F769" s="33"/>
      <c r="G769" s="34">
        <f>IFERROR(IF(F769&gt;=0,D769*E769*(1+F769/100),ABS(D769*E769/F769)),"")</f>
        <v>13223.699999999999</v>
      </c>
      <c r="H769" s="43">
        <f>IFERROR(G769*E764,"")</f>
        <v>0</v>
      </c>
    </row>
    <row r="770" spans="1:11" ht="12.75" customHeight="1">
      <c r="A770" s="28"/>
      <c r="B770" s="29"/>
      <c r="C770" s="30" t="str">
        <f>IFERROR(_xlfn.XLOOKUP(B770,Insumo[DESCRIPCION],Insumo[UND],,0),"")</f>
        <v/>
      </c>
      <c r="D770" s="31"/>
      <c r="E770" s="32" t="str">
        <f>IFERROR(_xlfn.XLOOKUP($B770,Insumo[DESCRIPCION],Insumo[VALOR],,0),"")</f>
        <v/>
      </c>
      <c r="F770" s="33"/>
      <c r="G770" s="34" t="str">
        <f>IFERROR(IF(F770&gt;=0,D770*E770*(1+F770/100),ABS(D770*E770/F770)),"")</f>
        <v/>
      </c>
      <c r="H770" s="43" t="str">
        <f>IFERROR(G770*E764,"")</f>
        <v/>
      </c>
    </row>
    <row r="771" spans="1:11" ht="12.75" customHeight="1">
      <c r="A771" s="28"/>
      <c r="B771" s="29"/>
      <c r="C771" s="30" t="str">
        <f>IFERROR(_xlfn.XLOOKUP(B771,Insumo[DESCRIPCION],Insumo[UND],,0),"")</f>
        <v/>
      </c>
      <c r="D771" s="31"/>
      <c r="E771" s="32" t="str">
        <f>IFERROR(_xlfn.XLOOKUP($B771,Insumo[DESCRIPCION],Insumo[VALOR],,0),"")</f>
        <v/>
      </c>
      <c r="F771" s="33"/>
      <c r="G771" s="34" t="str">
        <f>IFERROR(IF(F771&gt;=0,D771*E771*(1+F771/100),ABS(D771*E771/F771)),"")</f>
        <v/>
      </c>
      <c r="H771" s="43" t="str">
        <f>IFERROR(G771*E764,"")</f>
        <v/>
      </c>
    </row>
    <row r="772" spans="1:11" ht="12.75" customHeight="1">
      <c r="A772" s="21"/>
      <c r="B772" s="22" t="s">
        <v>3731</v>
      </c>
      <c r="C772" s="23"/>
      <c r="D772" s="24"/>
      <c r="E772" s="25"/>
      <c r="F772" s="26"/>
      <c r="G772" s="27">
        <f>SUM(G773:G775)</f>
        <v>36672.352421640011</v>
      </c>
      <c r="H772" s="44">
        <f>G772*E764</f>
        <v>0</v>
      </c>
    </row>
    <row r="773" spans="1:11" ht="12.75" customHeight="1">
      <c r="A773" s="28"/>
      <c r="B773" s="29" t="s">
        <v>3657</v>
      </c>
      <c r="C773" s="30" t="str">
        <f>IFERROR(_xlfn.XLOOKUP(B773,Equipo[DESCRIPCION],Equipo[UND],,0),"")</f>
        <v>Día</v>
      </c>
      <c r="D773" s="31">
        <v>1</v>
      </c>
      <c r="E773" s="32">
        <f>IF(C773="%MO",G779,IFERROR(_xlfn.XLOOKUP($B773,Equipo[DESCRIPCION],Equipo[VALOR],,0),""))</f>
        <v>56524.65</v>
      </c>
      <c r="F773" s="33">
        <v>-10</v>
      </c>
      <c r="G773" s="34">
        <f>IFERROR(IF(F773&gt;=0,D773*E773*(1+F773/100),ABS(D773*E773/F773)),"")</f>
        <v>5652.4650000000001</v>
      </c>
      <c r="H773" s="43">
        <f>IFERROR(G773*E764,"")</f>
        <v>0</v>
      </c>
    </row>
    <row r="774" spans="1:11" ht="12.75" customHeight="1">
      <c r="A774" s="28"/>
      <c r="B774" s="29" t="s">
        <v>3570</v>
      </c>
      <c r="C774" s="30" t="str">
        <f>IFERROR(_xlfn.XLOOKUP(B774,Equipo[DESCRIPCION],Equipo[UND],,0),"")</f>
        <v>%MO</v>
      </c>
      <c r="D774" s="31">
        <v>0.04</v>
      </c>
      <c r="E774" s="32">
        <f>IF(C774="%MO",G779,IFERROR(_xlfn.XLOOKUP($B774,Equipo[DESCRIPCION],Equipo[VALOR],,0),""))</f>
        <v>344665.41579600004</v>
      </c>
      <c r="F774" s="33"/>
      <c r="G774" s="34">
        <f>IFERROR(IF(F774&gt;=0,D774*E774*(1+F774/100),ABS(D774*E774/F774)),"")</f>
        <v>13786.616631840003</v>
      </c>
      <c r="H774" s="43">
        <f>IFERROR(G774*E764,"")</f>
        <v>0</v>
      </c>
    </row>
    <row r="775" spans="1:11" ht="12.75" customHeight="1">
      <c r="A775" s="28"/>
      <c r="B775" s="29" t="s">
        <v>3626</v>
      </c>
      <c r="C775" s="30" t="str">
        <f>IFERROR(_xlfn.XLOOKUP(B775,Equipo[DESCRIPCION],Equipo[UND],,0),"")</f>
        <v>%MO</v>
      </c>
      <c r="D775" s="31">
        <v>0.05</v>
      </c>
      <c r="E775" s="32">
        <f>IF(C775="%MO",G779,IFERROR(_xlfn.XLOOKUP($B775,Equipo[DESCRIPCION],Equipo[VALOR],,0),""))</f>
        <v>344665.41579600004</v>
      </c>
      <c r="F775" s="33"/>
      <c r="G775" s="34">
        <f>IFERROR(IF(F775&gt;=0,D775*E775*(1+F775/100),ABS(D775*E775/F775)),"")</f>
        <v>17233.270789800004</v>
      </c>
      <c r="H775" s="43">
        <f>IFERROR(G775*E764,"")</f>
        <v>0</v>
      </c>
    </row>
    <row r="776" spans="1:11" ht="12.75" customHeight="1">
      <c r="A776" s="21"/>
      <c r="B776" s="22" t="s">
        <v>2533</v>
      </c>
      <c r="C776" s="23"/>
      <c r="D776" s="24"/>
      <c r="E776" s="25"/>
      <c r="F776" s="26"/>
      <c r="G776" s="27">
        <f>SUM(G777:G778)</f>
        <v>0</v>
      </c>
      <c r="H776" s="44">
        <f>G776*E764</f>
        <v>0</v>
      </c>
    </row>
    <row r="777" spans="1:11" ht="12.75" customHeight="1">
      <c r="A777" s="28"/>
      <c r="B777" s="29"/>
      <c r="C777" s="30" t="str">
        <f>IFERROR(_xlfn.XLOOKUP(B777,Transporte[DESCRIPCION],Transporte[UND],,0),"")</f>
        <v/>
      </c>
      <c r="D777" s="31"/>
      <c r="E777" s="32" t="str">
        <f>IFERROR(_xlfn.XLOOKUP($B777,Transporte[DESCRIPCION],Transporte[VALOR],,0),"")</f>
        <v/>
      </c>
      <c r="F777" s="33"/>
      <c r="G777" s="34" t="str">
        <f>IFERROR(IF(F777&gt;=0,D777*E777*(1+F777/100),ABS(D777*E777/F777)),"")</f>
        <v/>
      </c>
      <c r="H777" s="43" t="str">
        <f>IFERROR(G777*E764,"")</f>
        <v/>
      </c>
    </row>
    <row r="778" spans="1:11" ht="12.75" customHeight="1">
      <c r="A778" s="28"/>
      <c r="B778" s="29"/>
      <c r="C778" s="30" t="str">
        <f>IFERROR(_xlfn.XLOOKUP(B778,Transporte[DESCRIPCION],Transporte[UND],,0),"")</f>
        <v/>
      </c>
      <c r="D778" s="31"/>
      <c r="E778" s="32" t="str">
        <f>IFERROR(_xlfn.XLOOKUP($B778,Transporte[DESCRIPCION],Transporte[VALOR],,0),"")</f>
        <v/>
      </c>
      <c r="F778" s="33"/>
      <c r="G778" s="34" t="str">
        <f>IFERROR(IF(F778&gt;=0,D778*E778*(1+F778/100),ABS(D778*E778/F778)),"")</f>
        <v/>
      </c>
      <c r="H778" s="43" t="str">
        <f>IFERROR(G778*E764,"")</f>
        <v/>
      </c>
    </row>
    <row r="779" spans="1:11" ht="12.75" customHeight="1">
      <c r="A779" s="21"/>
      <c r="B779" s="22" t="s">
        <v>3732</v>
      </c>
      <c r="C779" s="23"/>
      <c r="D779" s="24"/>
      <c r="E779" s="25"/>
      <c r="F779" s="26"/>
      <c r="G779" s="27">
        <f>SUM(G780:G782)</f>
        <v>344665.41579600004</v>
      </c>
      <c r="H779" s="44">
        <f>G779*E764</f>
        <v>0</v>
      </c>
    </row>
    <row r="780" spans="1:11" ht="12.75" customHeight="1">
      <c r="A780" s="28"/>
      <c r="B780" s="29" t="s">
        <v>3711</v>
      </c>
      <c r="C780" s="30" t="str">
        <f>IFERROR(_xlfn.XLOOKUP(B780,MObra[DESCRIPCION],MObra[UN],,0),"")</f>
        <v>día</v>
      </c>
      <c r="D780" s="31">
        <v>1</v>
      </c>
      <c r="E780" s="32">
        <f>IFERROR(_xlfn.XLOOKUP($B780,MObra[DESCRIPCION],MObra[VALOR UNIT],,0),"")</f>
        <v>430831.76974500006</v>
      </c>
      <c r="F780" s="33">
        <v>-1.25</v>
      </c>
      <c r="G780" s="34">
        <f>IFERROR(IF(F780&gt;=0,D780*E780*(1+F780/100),ABS(D780*E780/F780)),"")</f>
        <v>344665.41579600004</v>
      </c>
      <c r="H780" s="43">
        <f>IFERROR(G780*E764,"")</f>
        <v>0</v>
      </c>
    </row>
    <row r="781" spans="1:11" ht="12.75" customHeight="1">
      <c r="A781" s="28"/>
      <c r="B781" s="29"/>
      <c r="C781" s="30" t="str">
        <f t="array" ref="C781">IFERROR(_xlfn.XLOOKUP(B781,MObra[[#All],[DESCRIPCION]],MObra[[#All],[UN]],,0),"")</f>
        <v/>
      </c>
      <c r="D781" s="31"/>
      <c r="E781" s="32" t="str">
        <f>IFERROR(_xlfn.XLOOKUP($B781,MObra[DESCRIPCION],MObra[VALOR UNIT],,0),"")</f>
        <v/>
      </c>
      <c r="F781" s="33"/>
      <c r="G781" s="34" t="str">
        <f>IFERROR(IF(F781&gt;=0,D781*E781*(1+F781/100),ABS(D781*E781/F781)),"")</f>
        <v/>
      </c>
      <c r="H781" s="43" t="str">
        <f>IFERROR(G781*E764,"")</f>
        <v/>
      </c>
    </row>
    <row r="782" spans="1:11" ht="12.75" customHeight="1" thickBot="1">
      <c r="A782" s="35"/>
      <c r="B782" s="36"/>
      <c r="C782" s="37" t="str">
        <f t="array" ref="C782">IFERROR(_xlfn.XLOOKUP(B782,MObra[[#All],[DESCRIPCION]],MObra[[#All],[UN]],,0),"")</f>
        <v/>
      </c>
      <c r="D782" s="38"/>
      <c r="E782" s="39" t="str">
        <f>IFERROR(_xlfn.XLOOKUP($B782,MObra[DESCRIPCION],MObra[VALOR UNIT],,0),"")</f>
        <v/>
      </c>
      <c r="F782" s="40"/>
      <c r="G782" s="41" t="str">
        <f>IFERROR(IF(F782&gt;=0,D782*E782*(1+F782/100),ABS(D782*E782/F782)),"")</f>
        <v/>
      </c>
      <c r="H782" s="42" t="str">
        <f>IFERROR(G782*E764,"")</f>
        <v/>
      </c>
    </row>
    <row r="783" spans="1:11" ht="12.75" customHeight="1" thickTop="1" thickBot="1"/>
    <row r="784" spans="1:11" ht="12.75" customHeight="1" thickTop="1" thickBot="1">
      <c r="A784" s="6" t="s">
        <v>387</v>
      </c>
      <c r="B784" s="7" t="str">
        <f>VLOOKUP($A784,Presupuesto!$A:$D,2,FALSE())</f>
        <v>Columna rectangular 27.6 Mpa (2.500 cm2 &lt;área&lt;= 3.600 cm2)</v>
      </c>
      <c r="C784" s="8" t="str">
        <f>VLOOKUP($A784,Presupuesto!$A:$D,3,FALSE())</f>
        <v>M3</v>
      </c>
      <c r="D784" s="9"/>
      <c r="E784" s="10">
        <f>VLOOKUP($A784,Presupuesto!$A:$D,4,FALSE())</f>
        <v>0</v>
      </c>
      <c r="F784" s="11" t="s">
        <v>2589</v>
      </c>
      <c r="G784" s="12">
        <f>SUM(G786:G802)/2</f>
        <v>1236291.655636193</v>
      </c>
      <c r="H784" s="13">
        <f>ROUND(SUM(H786:H802),0)/2</f>
        <v>0</v>
      </c>
      <c r="I784" s="10">
        <f>VLOOKUP(A784,Presupuesto!$A:$F,6,0)</f>
        <v>0</v>
      </c>
      <c r="J784" s="10">
        <f>+H784-I784</f>
        <v>0</v>
      </c>
      <c r="K784" s="46">
        <f>+H784-G784*E784</f>
        <v>0</v>
      </c>
    </row>
    <row r="785" spans="1:8" ht="12.75" customHeight="1" thickTop="1">
      <c r="A785" s="14"/>
      <c r="B785" s="15" t="s">
        <v>2586</v>
      </c>
      <c r="C785" s="15" t="s">
        <v>5</v>
      </c>
      <c r="D785" s="16" t="s">
        <v>6</v>
      </c>
      <c r="E785" s="17" t="s">
        <v>7</v>
      </c>
      <c r="F785" s="18" t="s">
        <v>3728</v>
      </c>
      <c r="G785" s="19" t="s">
        <v>3729</v>
      </c>
      <c r="H785" s="20" t="s">
        <v>3797</v>
      </c>
    </row>
    <row r="786" spans="1:8" ht="12.75" customHeight="1">
      <c r="A786" s="21"/>
      <c r="B786" s="22" t="s">
        <v>3730</v>
      </c>
      <c r="C786" s="23"/>
      <c r="D786" s="24"/>
      <c r="E786" s="25"/>
      <c r="F786" s="26"/>
      <c r="G786" s="27">
        <f>SUM(G787:G791)</f>
        <v>869403.32215769286</v>
      </c>
      <c r="H786" s="27">
        <f>IFERROR(G786*E784,"")</f>
        <v>0</v>
      </c>
    </row>
    <row r="787" spans="1:8" ht="12.75" customHeight="1">
      <c r="A787" s="28"/>
      <c r="B787" s="29" t="s">
        <v>3241</v>
      </c>
      <c r="C787" s="30" t="str">
        <f>IFERROR(_xlfn.XLOOKUP(B787,Insumo[DESCRIPCION],Insumo[UND],,0),"")</f>
        <v>M3</v>
      </c>
      <c r="D787" s="31">
        <v>1</v>
      </c>
      <c r="E787" s="32">
        <f>IFERROR(_xlfn.XLOOKUP($B787,Insumo[DESCRIPCION],Insumo[VALOR],,0),"")</f>
        <v>568453.66874585627</v>
      </c>
      <c r="F787" s="33">
        <v>5</v>
      </c>
      <c r="G787" s="34">
        <f>IFERROR(IF(F787&gt;=0,D787*E787*(1+F787/100),ABS(D787*E787/F787)),"")</f>
        <v>596876.35218314908</v>
      </c>
      <c r="H787" s="43">
        <f>IFERROR(G787*E784,"")</f>
        <v>0</v>
      </c>
    </row>
    <row r="788" spans="1:8" ht="12.75" customHeight="1">
      <c r="A788" s="28"/>
      <c r="B788" s="29" t="s">
        <v>2957</v>
      </c>
      <c r="C788" s="30" t="str">
        <f>IFERROR(_xlfn.XLOOKUP(B788,Insumo[DESCRIPCION],Insumo[UND],,0),"")</f>
        <v>M2</v>
      </c>
      <c r="D788" s="31">
        <v>6.7</v>
      </c>
      <c r="E788" s="32">
        <f>IFERROR(_xlfn.XLOOKUP($B788,Insumo[DESCRIPCION],Insumo[VALOR],,0),"")</f>
        <v>149544.7581937575</v>
      </c>
      <c r="F788" s="33">
        <v>-4</v>
      </c>
      <c r="G788" s="34">
        <f>IFERROR(IF(F788&gt;=0,D788*E788*(1+F788/100),ABS(D788*E788/F788)),"")</f>
        <v>250487.46997454381</v>
      </c>
      <c r="H788" s="43">
        <f>IFERROR(G788*E784,"")</f>
        <v>0</v>
      </c>
    </row>
    <row r="789" spans="1:8" ht="12.75" customHeight="1">
      <c r="A789" s="28"/>
      <c r="B789" s="29" t="s">
        <v>3295</v>
      </c>
      <c r="C789" s="30" t="str">
        <f>IFERROR(_xlfn.XLOOKUP(B789,Insumo[DESCRIPCION],Insumo[UND],,0),"")</f>
        <v>Kg</v>
      </c>
      <c r="D789" s="31">
        <v>1</v>
      </c>
      <c r="E789" s="32">
        <f>IFERROR(_xlfn.XLOOKUP($B789,Insumo[DESCRIPCION],Insumo[VALOR],,0),"")</f>
        <v>22039.5</v>
      </c>
      <c r="F789" s="33"/>
      <c r="G789" s="34">
        <f>IFERROR(IF(F789&gt;=0,D789*E789*(1+F789/100),ABS(D789*E789/F789)),"")</f>
        <v>22039.5</v>
      </c>
      <c r="H789" s="43">
        <f>IFERROR(G789*E784,"")</f>
        <v>0</v>
      </c>
    </row>
    <row r="790" spans="1:8" ht="12.75" customHeight="1">
      <c r="A790" s="28"/>
      <c r="B790" s="29"/>
      <c r="C790" s="30" t="str">
        <f>IFERROR(_xlfn.XLOOKUP(B790,Insumo[DESCRIPCION],Insumo[UND],,0),"")</f>
        <v/>
      </c>
      <c r="D790" s="31"/>
      <c r="E790" s="32" t="str">
        <f>IFERROR(_xlfn.XLOOKUP($B790,Insumo[DESCRIPCION],Insumo[VALOR],,0),"")</f>
        <v/>
      </c>
      <c r="F790" s="33"/>
      <c r="G790" s="34" t="str">
        <f>IFERROR(IF(F790&gt;=0,D790*E790*(1+F790/100),ABS(D790*E790/F790)),"")</f>
        <v/>
      </c>
      <c r="H790" s="43" t="str">
        <f>IFERROR(G790*E784,"")</f>
        <v/>
      </c>
    </row>
    <row r="791" spans="1:8" ht="12.75" customHeight="1">
      <c r="A791" s="28"/>
      <c r="B791" s="29"/>
      <c r="C791" s="30" t="str">
        <f>IFERROR(_xlfn.XLOOKUP(B791,Insumo[DESCRIPCION],Insumo[UND],,0),"")</f>
        <v/>
      </c>
      <c r="D791" s="31"/>
      <c r="E791" s="32" t="str">
        <f>IFERROR(_xlfn.XLOOKUP($B791,Insumo[DESCRIPCION],Insumo[VALOR],,0),"")</f>
        <v/>
      </c>
      <c r="F791" s="33"/>
      <c r="G791" s="34" t="str">
        <f>IFERROR(IF(F791&gt;=0,D791*E791*(1+F791/100),ABS(D791*E791/F791)),"")</f>
        <v/>
      </c>
      <c r="H791" s="43" t="str">
        <f>IFERROR(G791*E784,"")</f>
        <v/>
      </c>
    </row>
    <row r="792" spans="1:8" ht="12.75" customHeight="1">
      <c r="A792" s="21"/>
      <c r="B792" s="22" t="s">
        <v>3731</v>
      </c>
      <c r="C792" s="23"/>
      <c r="D792" s="24"/>
      <c r="E792" s="25"/>
      <c r="F792" s="26"/>
      <c r="G792" s="27">
        <f>SUM(G793:G795)</f>
        <v>35479.279828500003</v>
      </c>
      <c r="H792" s="44">
        <f>G792*E784</f>
        <v>0</v>
      </c>
    </row>
    <row r="793" spans="1:8" ht="12.75" customHeight="1">
      <c r="A793" s="28"/>
      <c r="B793" s="29" t="s">
        <v>3657</v>
      </c>
      <c r="C793" s="30" t="str">
        <f>IFERROR(_xlfn.XLOOKUP(B793,Equipo[DESCRIPCION],Equipo[UND],,0),"")</f>
        <v>Día</v>
      </c>
      <c r="D793" s="31">
        <v>1</v>
      </c>
      <c r="E793" s="32">
        <f>IF(C793="%MO",G799,IFERROR(_xlfn.XLOOKUP($B793,Equipo[DESCRIPCION],Equipo[VALOR],,0),""))</f>
        <v>56524.65</v>
      </c>
      <c r="F793" s="33">
        <v>-10</v>
      </c>
      <c r="G793" s="34">
        <f>IFERROR(IF(F793&gt;=0,D793*E793*(1+F793/100),ABS(D793*E793/F793)),"")</f>
        <v>5652.4650000000001</v>
      </c>
      <c r="H793" s="43">
        <f>IFERROR(G793*E784,"")</f>
        <v>0</v>
      </c>
    </row>
    <row r="794" spans="1:8" ht="12.75" customHeight="1">
      <c r="A794" s="28"/>
      <c r="B794" s="29" t="s">
        <v>3570</v>
      </c>
      <c r="C794" s="30" t="str">
        <f>IFERROR(_xlfn.XLOOKUP(B794,Equipo[DESCRIPCION],Equipo[UND],,0),"")</f>
        <v>%MO</v>
      </c>
      <c r="D794" s="31">
        <v>0.04</v>
      </c>
      <c r="E794" s="32">
        <f>IF(C794="%MO",G799,IFERROR(_xlfn.XLOOKUP($B794,Equipo[DESCRIPCION],Equipo[VALOR],,0),""))</f>
        <v>331409.05365000002</v>
      </c>
      <c r="F794" s="33"/>
      <c r="G794" s="34">
        <f>IFERROR(IF(F794&gt;=0,D794*E794*(1+F794/100),ABS(D794*E794/F794)),"")</f>
        <v>13256.362146000001</v>
      </c>
      <c r="H794" s="43">
        <f>IFERROR(G794*E784,"")</f>
        <v>0</v>
      </c>
    </row>
    <row r="795" spans="1:8" ht="12.75" customHeight="1">
      <c r="A795" s="28"/>
      <c r="B795" s="29" t="s">
        <v>3626</v>
      </c>
      <c r="C795" s="30" t="str">
        <f>IFERROR(_xlfn.XLOOKUP(B795,Equipo[DESCRIPCION],Equipo[UND],,0),"")</f>
        <v>%MO</v>
      </c>
      <c r="D795" s="31">
        <v>0.05</v>
      </c>
      <c r="E795" s="32">
        <f>IF(C795="%MO",G799,IFERROR(_xlfn.XLOOKUP($B795,Equipo[DESCRIPCION],Equipo[VALOR],,0),""))</f>
        <v>331409.05365000002</v>
      </c>
      <c r="F795" s="33"/>
      <c r="G795" s="34">
        <f>IFERROR(IF(F795&gt;=0,D795*E795*(1+F795/100),ABS(D795*E795/F795)),"")</f>
        <v>16570.452682500003</v>
      </c>
      <c r="H795" s="43">
        <f>IFERROR(G795*E784,"")</f>
        <v>0</v>
      </c>
    </row>
    <row r="796" spans="1:8" ht="12.75" customHeight="1">
      <c r="A796" s="21"/>
      <c r="B796" s="22" t="s">
        <v>2533</v>
      </c>
      <c r="C796" s="23"/>
      <c r="D796" s="24"/>
      <c r="E796" s="25"/>
      <c r="F796" s="26"/>
      <c r="G796" s="27">
        <f>SUM(G797:G798)</f>
        <v>0</v>
      </c>
      <c r="H796" s="44">
        <f>G796*E784</f>
        <v>0</v>
      </c>
    </row>
    <row r="797" spans="1:8" ht="12.75" customHeight="1">
      <c r="A797" s="28"/>
      <c r="B797" s="29"/>
      <c r="C797" s="30" t="str">
        <f>IFERROR(_xlfn.XLOOKUP(B797,Transporte[DESCRIPCION],Transporte[UND],,0),"")</f>
        <v/>
      </c>
      <c r="D797" s="31"/>
      <c r="E797" s="32" t="str">
        <f>IFERROR(_xlfn.XLOOKUP($B797,Transporte[DESCRIPCION],Transporte[VALOR],,0),"")</f>
        <v/>
      </c>
      <c r="F797" s="33"/>
      <c r="G797" s="34" t="str">
        <f>IFERROR(IF(F797&gt;=0,D797*E797*(1+F797/100),ABS(D797*E797/F797)),"")</f>
        <v/>
      </c>
      <c r="H797" s="43" t="str">
        <f>IFERROR(G797*E784,"")</f>
        <v/>
      </c>
    </row>
    <row r="798" spans="1:8" ht="12.75" customHeight="1">
      <c r="A798" s="28"/>
      <c r="B798" s="29"/>
      <c r="C798" s="30" t="str">
        <f>IFERROR(_xlfn.XLOOKUP(B798,Transporte[DESCRIPCION],Transporte[UND],,0),"")</f>
        <v/>
      </c>
      <c r="D798" s="31"/>
      <c r="E798" s="32" t="str">
        <f>IFERROR(_xlfn.XLOOKUP($B798,Transporte[DESCRIPCION],Transporte[VALOR],,0),"")</f>
        <v/>
      </c>
      <c r="F798" s="33"/>
      <c r="G798" s="34" t="str">
        <f>IFERROR(IF(F798&gt;=0,D798*E798*(1+F798/100),ABS(D798*E798/F798)),"")</f>
        <v/>
      </c>
      <c r="H798" s="43" t="str">
        <f>IFERROR(G798*E784,"")</f>
        <v/>
      </c>
    </row>
    <row r="799" spans="1:8" ht="12.75" customHeight="1">
      <c r="A799" s="21"/>
      <c r="B799" s="22" t="s">
        <v>3732</v>
      </c>
      <c r="C799" s="23"/>
      <c r="D799" s="24"/>
      <c r="E799" s="25"/>
      <c r="F799" s="26"/>
      <c r="G799" s="27">
        <f>SUM(G800:G802)</f>
        <v>331409.05365000002</v>
      </c>
      <c r="H799" s="44">
        <f>G799*E784</f>
        <v>0</v>
      </c>
    </row>
    <row r="800" spans="1:8" ht="12.75" customHeight="1">
      <c r="A800" s="28"/>
      <c r="B800" s="29" t="s">
        <v>3711</v>
      </c>
      <c r="C800" s="30" t="str">
        <f>IFERROR(_xlfn.XLOOKUP(B800,MObra[DESCRIPCION],MObra[UN],,0),"")</f>
        <v>día</v>
      </c>
      <c r="D800" s="31">
        <v>1</v>
      </c>
      <c r="E800" s="32">
        <f>IFERROR(_xlfn.XLOOKUP($B800,MObra[DESCRIPCION],MObra[VALOR UNIT],,0),"")</f>
        <v>430831.76974500006</v>
      </c>
      <c r="F800" s="33">
        <v>-1.3</v>
      </c>
      <c r="G800" s="34">
        <f>IFERROR(IF(F800&gt;=0,D800*E800*(1+F800/100),ABS(D800*E800/F800)),"")</f>
        <v>331409.05365000002</v>
      </c>
      <c r="H800" s="43">
        <f>IFERROR(G800*E784,"")</f>
        <v>0</v>
      </c>
    </row>
    <row r="801" spans="1:11" ht="12.75" customHeight="1">
      <c r="A801" s="28"/>
      <c r="B801" s="29"/>
      <c r="C801" s="30" t="str">
        <f t="array" ref="C801">IFERROR(_xlfn.XLOOKUP(B801,MObra[[#All],[DESCRIPCION]],MObra[[#All],[UN]],,0),"")</f>
        <v/>
      </c>
      <c r="D801" s="31"/>
      <c r="E801" s="32" t="str">
        <f>IFERROR(_xlfn.XLOOKUP($B801,MObra[DESCRIPCION],MObra[VALOR UNIT],,0),"")</f>
        <v/>
      </c>
      <c r="F801" s="33"/>
      <c r="G801" s="34" t="str">
        <f>IFERROR(IF(F801&gt;=0,D801*E801*(1+F801/100),ABS(D801*E801/F801)),"")</f>
        <v/>
      </c>
      <c r="H801" s="43" t="str">
        <f>IFERROR(G801*E784,"")</f>
        <v/>
      </c>
    </row>
    <row r="802" spans="1:11" ht="12.75" customHeight="1" thickBot="1">
      <c r="A802" s="35"/>
      <c r="B802" s="36"/>
      <c r="C802" s="37" t="str">
        <f t="array" ref="C802">IFERROR(_xlfn.XLOOKUP(B802,MObra[[#All],[DESCRIPCION]],MObra[[#All],[UN]],,0),"")</f>
        <v/>
      </c>
      <c r="D802" s="38"/>
      <c r="E802" s="39" t="str">
        <f>IFERROR(_xlfn.XLOOKUP($B802,MObra[DESCRIPCION],MObra[VALOR UNIT],,0),"")</f>
        <v/>
      </c>
      <c r="F802" s="40"/>
      <c r="G802" s="41" t="str">
        <f>IFERROR(IF(F802&gt;=0,D802*E802*(1+F802/100),ABS(D802*E802/F802)),"")</f>
        <v/>
      </c>
      <c r="H802" s="42" t="str">
        <f>IFERROR(G802*E784,"")</f>
        <v/>
      </c>
    </row>
    <row r="803" spans="1:11" ht="12.75" customHeight="1" thickTop="1" thickBot="1"/>
    <row r="804" spans="1:11" ht="12.75" customHeight="1" thickTop="1" thickBot="1">
      <c r="A804" s="6" t="s">
        <v>389</v>
      </c>
      <c r="B804" s="7" t="str">
        <f>VLOOKUP($A804,Presupuesto!$A:$D,2,FALSE())</f>
        <v>Columna rectangular 27.6 Mpa (área &gt;=3.600 cm2)</v>
      </c>
      <c r="C804" s="8" t="str">
        <f>VLOOKUP($A804,Presupuesto!$A:$D,3,FALSE())</f>
        <v>M3</v>
      </c>
      <c r="D804" s="9"/>
      <c r="E804" s="10">
        <f>VLOOKUP($A804,Presupuesto!$A:$D,4,FALSE())</f>
        <v>0</v>
      </c>
      <c r="F804" s="11" t="s">
        <v>2589</v>
      </c>
      <c r="G804" s="12">
        <f>SUM(G806:G822)/2</f>
        <v>1204219.4546220289</v>
      </c>
      <c r="H804" s="13">
        <f>ROUND(SUM(H806:H822),0)/2</f>
        <v>0</v>
      </c>
      <c r="I804" s="10">
        <f>VLOOKUP(A804,Presupuesto!$A:$F,6,0)</f>
        <v>0</v>
      </c>
      <c r="J804" s="10">
        <f>+H804-I804</f>
        <v>0</v>
      </c>
      <c r="K804" s="46">
        <f>+H804-G804*E804</f>
        <v>0</v>
      </c>
    </row>
    <row r="805" spans="1:11" ht="12.75" customHeight="1" thickTop="1">
      <c r="A805" s="14"/>
      <c r="B805" s="15" t="s">
        <v>2586</v>
      </c>
      <c r="C805" s="15" t="s">
        <v>5</v>
      </c>
      <c r="D805" s="16" t="s">
        <v>6</v>
      </c>
      <c r="E805" s="17" t="s">
        <v>7</v>
      </c>
      <c r="F805" s="18" t="s">
        <v>3728</v>
      </c>
      <c r="G805" s="19" t="s">
        <v>3729</v>
      </c>
      <c r="H805" s="20" t="s">
        <v>3797</v>
      </c>
    </row>
    <row r="806" spans="1:11" ht="12.75" customHeight="1">
      <c r="A806" s="21"/>
      <c r="B806" s="22" t="s">
        <v>3730</v>
      </c>
      <c r="C806" s="23"/>
      <c r="D806" s="24"/>
      <c r="E806" s="25"/>
      <c r="F806" s="26"/>
      <c r="G806" s="27">
        <f>SUM(G807:G811)</f>
        <v>850710.22738347319</v>
      </c>
      <c r="H806" s="27">
        <f>IFERROR(G806*E804,"")</f>
        <v>0</v>
      </c>
    </row>
    <row r="807" spans="1:11" ht="12.75" customHeight="1">
      <c r="A807" s="28"/>
      <c r="B807" s="29" t="s">
        <v>3241</v>
      </c>
      <c r="C807" s="30" t="str">
        <f>IFERROR(_xlfn.XLOOKUP(B807,Insumo[DESCRIPCION],Insumo[UND],,0),"")</f>
        <v>M3</v>
      </c>
      <c r="D807" s="31">
        <v>1</v>
      </c>
      <c r="E807" s="32">
        <f>IFERROR(_xlfn.XLOOKUP($B807,Insumo[DESCRIPCION],Insumo[VALOR],,0),"")</f>
        <v>568453.66874585627</v>
      </c>
      <c r="F807" s="33">
        <v>5</v>
      </c>
      <c r="G807" s="34">
        <f>IFERROR(IF(F807&gt;=0,D807*E807*(1+F807/100),ABS(D807*E807/F807)),"")</f>
        <v>596876.35218314908</v>
      </c>
      <c r="H807" s="43">
        <f>IFERROR(G807*E804,"")</f>
        <v>0</v>
      </c>
    </row>
    <row r="808" spans="1:11" ht="12.75" customHeight="1">
      <c r="A808" s="28"/>
      <c r="B808" s="29" t="s">
        <v>2957</v>
      </c>
      <c r="C808" s="30" t="str">
        <f>IFERROR(_xlfn.XLOOKUP(B808,Insumo[DESCRIPCION],Insumo[UND],,0),"")</f>
        <v>M2</v>
      </c>
      <c r="D808" s="31">
        <v>6.2</v>
      </c>
      <c r="E808" s="32">
        <f>IFERROR(_xlfn.XLOOKUP($B808,Insumo[DESCRIPCION],Insumo[VALOR],,0),"")</f>
        <v>149544.7581937575</v>
      </c>
      <c r="F808" s="33">
        <v>-4</v>
      </c>
      <c r="G808" s="34">
        <f>IFERROR(IF(F808&gt;=0,D808*E808*(1+F808/100),ABS(D808*E808/F808)),"")</f>
        <v>231794.37520032414</v>
      </c>
      <c r="H808" s="43">
        <f>IFERROR(G808*E804,"")</f>
        <v>0</v>
      </c>
    </row>
    <row r="809" spans="1:11" ht="12.75" customHeight="1">
      <c r="A809" s="28"/>
      <c r="B809" s="29" t="s">
        <v>3295</v>
      </c>
      <c r="C809" s="30" t="str">
        <f>IFERROR(_xlfn.XLOOKUP(B809,Insumo[DESCRIPCION],Insumo[UND],,0),"")</f>
        <v>Kg</v>
      </c>
      <c r="D809" s="31">
        <v>1</v>
      </c>
      <c r="E809" s="32">
        <f>IFERROR(_xlfn.XLOOKUP($B809,Insumo[DESCRIPCION],Insumo[VALOR],,0),"")</f>
        <v>22039.5</v>
      </c>
      <c r="F809" s="33"/>
      <c r="G809" s="34">
        <f>IFERROR(IF(F809&gt;=0,D809*E809*(1+F809/100),ABS(D809*E809/F809)),"")</f>
        <v>22039.5</v>
      </c>
      <c r="H809" s="43">
        <f>IFERROR(G809*E804,"")</f>
        <v>0</v>
      </c>
    </row>
    <row r="810" spans="1:11" ht="12.75" customHeight="1">
      <c r="A810" s="28"/>
      <c r="B810" s="29"/>
      <c r="C810" s="30" t="str">
        <f>IFERROR(_xlfn.XLOOKUP(B810,Insumo[DESCRIPCION],Insumo[UND],,0),"")</f>
        <v/>
      </c>
      <c r="D810" s="31"/>
      <c r="E810" s="32" t="str">
        <f>IFERROR(_xlfn.XLOOKUP($B810,Insumo[DESCRIPCION],Insumo[VALOR],,0),"")</f>
        <v/>
      </c>
      <c r="F810" s="33"/>
      <c r="G810" s="34" t="str">
        <f>IFERROR(IF(F810&gt;=0,D810*E810*(1+F810/100),ABS(D810*E810/F810)),"")</f>
        <v/>
      </c>
      <c r="H810" s="43" t="str">
        <f>IFERROR(G810*E804,"")</f>
        <v/>
      </c>
    </row>
    <row r="811" spans="1:11" ht="12.75" customHeight="1">
      <c r="A811" s="28"/>
      <c r="B811" s="29"/>
      <c r="C811" s="30" t="str">
        <f>IFERROR(_xlfn.XLOOKUP(B811,Insumo[DESCRIPCION],Insumo[UND],,0),"")</f>
        <v/>
      </c>
      <c r="D811" s="31"/>
      <c r="E811" s="32" t="str">
        <f>IFERROR(_xlfn.XLOOKUP($B811,Insumo[DESCRIPCION],Insumo[VALOR],,0),"")</f>
        <v/>
      </c>
      <c r="F811" s="33"/>
      <c r="G811" s="34" t="str">
        <f>IFERROR(IF(F811&gt;=0,D811*E811*(1+F811/100),ABS(D811*E811/F811)),"")</f>
        <v/>
      </c>
      <c r="H811" s="43" t="str">
        <f>IFERROR(G811*E804,"")</f>
        <v/>
      </c>
    </row>
    <row r="812" spans="1:11" ht="12.75" customHeight="1">
      <c r="A812" s="21"/>
      <c r="B812" s="22" t="s">
        <v>3731</v>
      </c>
      <c r="C812" s="23"/>
      <c r="D812" s="24"/>
      <c r="E812" s="25"/>
      <c r="F812" s="26"/>
      <c r="G812" s="27">
        <f>SUM(G813:G815)</f>
        <v>34374.582983</v>
      </c>
      <c r="H812" s="44">
        <f>G812*E804</f>
        <v>0</v>
      </c>
    </row>
    <row r="813" spans="1:11" ht="12.75" customHeight="1">
      <c r="A813" s="28"/>
      <c r="B813" s="29" t="s">
        <v>3657</v>
      </c>
      <c r="C813" s="30" t="str">
        <f>IFERROR(_xlfn.XLOOKUP(B813,Equipo[DESCRIPCION],Equipo[UND],,0),"")</f>
        <v>Día</v>
      </c>
      <c r="D813" s="31">
        <v>1</v>
      </c>
      <c r="E813" s="32">
        <f>IF(C813="%MO",G819,IFERROR(_xlfn.XLOOKUP($B813,Equipo[DESCRIPCION],Equipo[VALOR],,0),""))</f>
        <v>56524.65</v>
      </c>
      <c r="F813" s="33">
        <v>-10</v>
      </c>
      <c r="G813" s="34">
        <f>IFERROR(IF(F813&gt;=0,D813*E813*(1+F813/100),ABS(D813*E813/F813)),"")</f>
        <v>5652.4650000000001</v>
      </c>
      <c r="H813" s="43">
        <f>IFERROR(G813*E804,"")</f>
        <v>0</v>
      </c>
    </row>
    <row r="814" spans="1:11" ht="12.75" customHeight="1">
      <c r="A814" s="28"/>
      <c r="B814" s="29" t="s">
        <v>3570</v>
      </c>
      <c r="C814" s="30" t="str">
        <f>IFERROR(_xlfn.XLOOKUP(B814,Equipo[DESCRIPCION],Equipo[UND],,0),"")</f>
        <v>%MO</v>
      </c>
      <c r="D814" s="31">
        <v>0.04</v>
      </c>
      <c r="E814" s="32">
        <f>IF(C814="%MO",G819,IFERROR(_xlfn.XLOOKUP($B814,Equipo[DESCRIPCION],Equipo[VALOR],,0),""))</f>
        <v>319134.64425555558</v>
      </c>
      <c r="F814" s="33"/>
      <c r="G814" s="34">
        <f>IFERROR(IF(F814&gt;=0,D814*E814*(1+F814/100),ABS(D814*E814/F814)),"")</f>
        <v>12765.385770222223</v>
      </c>
      <c r="H814" s="43">
        <f>IFERROR(G814*E804,"")</f>
        <v>0</v>
      </c>
    </row>
    <row r="815" spans="1:11" ht="12.75" customHeight="1">
      <c r="A815" s="28"/>
      <c r="B815" s="29" t="s">
        <v>3626</v>
      </c>
      <c r="C815" s="30" t="str">
        <f>IFERROR(_xlfn.XLOOKUP(B815,Equipo[DESCRIPCION],Equipo[UND],,0),"")</f>
        <v>%MO</v>
      </c>
      <c r="D815" s="31">
        <v>0.05</v>
      </c>
      <c r="E815" s="32">
        <f>IF(C815="%MO",G819,IFERROR(_xlfn.XLOOKUP($B815,Equipo[DESCRIPCION],Equipo[VALOR],,0),""))</f>
        <v>319134.64425555558</v>
      </c>
      <c r="F815" s="33"/>
      <c r="G815" s="34">
        <f>IFERROR(IF(F815&gt;=0,D815*E815*(1+F815/100),ABS(D815*E815/F815)),"")</f>
        <v>15956.732212777781</v>
      </c>
      <c r="H815" s="43">
        <f>IFERROR(G815*E804,"")</f>
        <v>0</v>
      </c>
    </row>
    <row r="816" spans="1:11" ht="12.75" customHeight="1">
      <c r="A816" s="21"/>
      <c r="B816" s="22" t="s">
        <v>2533</v>
      </c>
      <c r="C816" s="23"/>
      <c r="D816" s="24"/>
      <c r="E816" s="25"/>
      <c r="F816" s="26"/>
      <c r="G816" s="27">
        <f>SUM(G817:G818)</f>
        <v>0</v>
      </c>
      <c r="H816" s="44">
        <f>G816*E804</f>
        <v>0</v>
      </c>
    </row>
    <row r="817" spans="1:11" ht="12.75" customHeight="1">
      <c r="A817" s="28"/>
      <c r="B817" s="29"/>
      <c r="C817" s="30" t="str">
        <f>IFERROR(_xlfn.XLOOKUP(B817,Transporte[DESCRIPCION],Transporte[UND],,0),"")</f>
        <v/>
      </c>
      <c r="D817" s="31"/>
      <c r="E817" s="32" t="str">
        <f>IFERROR(_xlfn.XLOOKUP($B817,Transporte[DESCRIPCION],Transporte[VALOR],,0),"")</f>
        <v/>
      </c>
      <c r="F817" s="33"/>
      <c r="G817" s="34" t="str">
        <f>IFERROR(IF(F817&gt;=0,D817*E817*(1+F817/100),ABS(D817*E817/F817)),"")</f>
        <v/>
      </c>
      <c r="H817" s="43" t="str">
        <f>IFERROR(G817*E804,"")</f>
        <v/>
      </c>
    </row>
    <row r="818" spans="1:11" ht="12.75" customHeight="1">
      <c r="A818" s="28"/>
      <c r="B818" s="29"/>
      <c r="C818" s="30" t="str">
        <f>IFERROR(_xlfn.XLOOKUP(B818,Transporte[DESCRIPCION],Transporte[UND],,0),"")</f>
        <v/>
      </c>
      <c r="D818" s="31"/>
      <c r="E818" s="32" t="str">
        <f>IFERROR(_xlfn.XLOOKUP($B818,Transporte[DESCRIPCION],Transporte[VALOR],,0),"")</f>
        <v/>
      </c>
      <c r="F818" s="33"/>
      <c r="G818" s="34" t="str">
        <f>IFERROR(IF(F818&gt;=0,D818*E818*(1+F818/100),ABS(D818*E818/F818)),"")</f>
        <v/>
      </c>
      <c r="H818" s="43" t="str">
        <f>IFERROR(G818*E804,"")</f>
        <v/>
      </c>
    </row>
    <row r="819" spans="1:11" ht="12.75" customHeight="1">
      <c r="A819" s="21"/>
      <c r="B819" s="22" t="s">
        <v>3732</v>
      </c>
      <c r="C819" s="23"/>
      <c r="D819" s="24"/>
      <c r="E819" s="25"/>
      <c r="F819" s="26"/>
      <c r="G819" s="27">
        <f>SUM(G820:G822)</f>
        <v>319134.64425555558</v>
      </c>
      <c r="H819" s="44">
        <f>G819*E804</f>
        <v>0</v>
      </c>
    </row>
    <row r="820" spans="1:11" ht="12.75" customHeight="1">
      <c r="A820" s="28"/>
      <c r="B820" s="29" t="s">
        <v>3711</v>
      </c>
      <c r="C820" s="30" t="str">
        <f>IFERROR(_xlfn.XLOOKUP(B820,MObra[DESCRIPCION],MObra[UN],,0),"")</f>
        <v>día</v>
      </c>
      <c r="D820" s="31">
        <v>1</v>
      </c>
      <c r="E820" s="32">
        <f>IFERROR(_xlfn.XLOOKUP($B820,MObra[DESCRIPCION],MObra[VALOR UNIT],,0),"")</f>
        <v>430831.76974500006</v>
      </c>
      <c r="F820" s="33">
        <v>-1.35</v>
      </c>
      <c r="G820" s="34">
        <f>IFERROR(IF(F820&gt;=0,D820*E820*(1+F820/100),ABS(D820*E820/F820)),"")</f>
        <v>319134.64425555558</v>
      </c>
      <c r="H820" s="43">
        <f>IFERROR(G820*E804,"")</f>
        <v>0</v>
      </c>
    </row>
    <row r="821" spans="1:11" ht="12.75" customHeight="1">
      <c r="A821" s="28"/>
      <c r="B821" s="29"/>
      <c r="C821" s="30" t="str">
        <f t="array" ref="C821">IFERROR(_xlfn.XLOOKUP(B821,MObra[[#All],[DESCRIPCION]],MObra[[#All],[UN]],,0),"")</f>
        <v/>
      </c>
      <c r="D821" s="31"/>
      <c r="E821" s="32" t="str">
        <f>IFERROR(_xlfn.XLOOKUP($B821,MObra[DESCRIPCION],MObra[VALOR UNIT],,0),"")</f>
        <v/>
      </c>
      <c r="F821" s="33"/>
      <c r="G821" s="34" t="str">
        <f>IFERROR(IF(F821&gt;=0,D821*E821*(1+F821/100),ABS(D821*E821/F821)),"")</f>
        <v/>
      </c>
      <c r="H821" s="43" t="str">
        <f>IFERROR(G821*E804,"")</f>
        <v/>
      </c>
    </row>
    <row r="822" spans="1:11" ht="12.75" customHeight="1" thickBot="1">
      <c r="A822" s="35"/>
      <c r="B822" s="36"/>
      <c r="C822" s="37" t="str">
        <f t="array" ref="C822">IFERROR(_xlfn.XLOOKUP(B822,MObra[[#All],[DESCRIPCION]],MObra[[#All],[UN]],,0),"")</f>
        <v/>
      </c>
      <c r="D822" s="38"/>
      <c r="E822" s="39" t="str">
        <f>IFERROR(_xlfn.XLOOKUP($B822,MObra[DESCRIPCION],MObra[VALOR UNIT],,0),"")</f>
        <v/>
      </c>
      <c r="F822" s="40"/>
      <c r="G822" s="41" t="str">
        <f>IFERROR(IF(F822&gt;=0,D822*E822*(1+F822/100),ABS(D822*E822/F822)),"")</f>
        <v/>
      </c>
      <c r="H822" s="42" t="str">
        <f>IFERROR(G822*E804,"")</f>
        <v/>
      </c>
    </row>
    <row r="823" spans="1:11" ht="12.75" customHeight="1" thickTop="1" thickBot="1"/>
    <row r="824" spans="1:11" ht="12.75" customHeight="1" thickTop="1" thickBot="1">
      <c r="A824" s="6" t="s">
        <v>391</v>
      </c>
      <c r="B824" s="7" t="str">
        <f>VLOOKUP($A824,Presupuesto!$A:$D,2,FALSE())</f>
        <v>Concreto 20.7 Mpa anillos caisson</v>
      </c>
      <c r="C824" s="8" t="str">
        <f>VLOOKUP($A824,Presupuesto!$A:$D,3,FALSE())</f>
        <v>M3</v>
      </c>
      <c r="D824" s="9"/>
      <c r="E824" s="10">
        <f>VLOOKUP($A824,Presupuesto!$A:$D,4,FALSE())</f>
        <v>0</v>
      </c>
      <c r="F824" s="11" t="s">
        <v>2589</v>
      </c>
      <c r="G824" s="12">
        <f>SUM(G826:G842)/2</f>
        <v>747227.84195495548</v>
      </c>
      <c r="H824" s="13">
        <f>ROUND(SUM(H826:H842),0)/2</f>
        <v>0</v>
      </c>
      <c r="I824" s="10">
        <f>VLOOKUP(A824,Presupuesto!$A:$F,6,0)</f>
        <v>0</v>
      </c>
      <c r="J824" s="10">
        <f>+H824-I824</f>
        <v>0</v>
      </c>
      <c r="K824" s="46">
        <f>+H824-G824*E824</f>
        <v>0</v>
      </c>
    </row>
    <row r="825" spans="1:11" ht="12.75" customHeight="1" thickTop="1">
      <c r="A825" s="14"/>
      <c r="B825" s="15" t="s">
        <v>2586</v>
      </c>
      <c r="C825" s="15" t="s">
        <v>5</v>
      </c>
      <c r="D825" s="16" t="s">
        <v>6</v>
      </c>
      <c r="E825" s="17" t="s">
        <v>7</v>
      </c>
      <c r="F825" s="18" t="s">
        <v>3728</v>
      </c>
      <c r="G825" s="19" t="s">
        <v>3729</v>
      </c>
      <c r="H825" s="20" t="s">
        <v>3797</v>
      </c>
    </row>
    <row r="826" spans="1:11" ht="12.75" customHeight="1">
      <c r="A826" s="21"/>
      <c r="B826" s="22" t="s">
        <v>3730</v>
      </c>
      <c r="C826" s="23"/>
      <c r="D826" s="24"/>
      <c r="E826" s="25"/>
      <c r="F826" s="26"/>
      <c r="G826" s="27">
        <f>SUM(G827:G831)</f>
        <v>547217.4773915055</v>
      </c>
      <c r="H826" s="27">
        <f>IFERROR(G826*E824,"")</f>
        <v>0</v>
      </c>
    </row>
    <row r="827" spans="1:11" ht="12.75" customHeight="1">
      <c r="A827" s="28"/>
      <c r="B827" s="29" t="s">
        <v>3239</v>
      </c>
      <c r="C827" s="30" t="str">
        <f>IFERROR(_xlfn.XLOOKUP(B827,Insumo[DESCRIPCION],Insumo[UND],,0),"")</f>
        <v>M3</v>
      </c>
      <c r="D827" s="31">
        <v>1</v>
      </c>
      <c r="E827" s="32">
        <f>IFERROR(_xlfn.XLOOKUP($B827,Insumo[DESCRIPCION],Insumo[VALOR],,0),"")</f>
        <v>521159.50227762427</v>
      </c>
      <c r="F827" s="33">
        <v>5</v>
      </c>
      <c r="G827" s="34">
        <f>IFERROR(IF(F827&gt;=0,D827*E827*(1+F827/100),ABS(D827*E827/F827)),"")</f>
        <v>547217.4773915055</v>
      </c>
      <c r="H827" s="43">
        <f>IFERROR(G827*E824,"")</f>
        <v>0</v>
      </c>
    </row>
    <row r="828" spans="1:11" ht="12.75" customHeight="1">
      <c r="A828" s="28"/>
      <c r="B828" s="29"/>
      <c r="C828" s="30" t="str">
        <f>IFERROR(_xlfn.XLOOKUP(B828,Insumo[DESCRIPCION],Insumo[UND],,0),"")</f>
        <v/>
      </c>
      <c r="D828" s="31"/>
      <c r="E828" s="32" t="str">
        <f>IFERROR(_xlfn.XLOOKUP($B828,Insumo[DESCRIPCION],Insumo[VALOR],,0),"")</f>
        <v/>
      </c>
      <c r="F828" s="33"/>
      <c r="G828" s="34" t="str">
        <f>IFERROR(IF(F828&gt;=0,D828*E828*(1+F828/100),ABS(D828*E828/F828)),"")</f>
        <v/>
      </c>
      <c r="H828" s="43" t="str">
        <f>IFERROR(G828*E824,"")</f>
        <v/>
      </c>
    </row>
    <row r="829" spans="1:11" ht="12.75" customHeight="1">
      <c r="A829" s="28"/>
      <c r="B829" s="29"/>
      <c r="C829" s="30" t="str">
        <f>IFERROR(_xlfn.XLOOKUP(B829,Insumo[DESCRIPCION],Insumo[UND],,0),"")</f>
        <v/>
      </c>
      <c r="D829" s="31"/>
      <c r="E829" s="32" t="str">
        <f>IFERROR(_xlfn.XLOOKUP($B829,Insumo[DESCRIPCION],Insumo[VALOR],,0),"")</f>
        <v/>
      </c>
      <c r="F829" s="33"/>
      <c r="G829" s="34" t="str">
        <f>IFERROR(IF(F829&gt;=0,D829*E829*(1+F829/100),ABS(D829*E829/F829)),"")</f>
        <v/>
      </c>
      <c r="H829" s="43" t="str">
        <f>IFERROR(G829*E824,"")</f>
        <v/>
      </c>
    </row>
    <row r="830" spans="1:11" ht="12.75" customHeight="1">
      <c r="A830" s="28"/>
      <c r="B830" s="29"/>
      <c r="C830" s="30" t="str">
        <f>IFERROR(_xlfn.XLOOKUP(B830,Insumo[DESCRIPCION],Insumo[UND],,0),"")</f>
        <v/>
      </c>
      <c r="D830" s="31"/>
      <c r="E830" s="32" t="str">
        <f>IFERROR(_xlfn.XLOOKUP($B830,Insumo[DESCRIPCION],Insumo[VALOR],,0),"")</f>
        <v/>
      </c>
      <c r="F830" s="33"/>
      <c r="G830" s="34" t="str">
        <f>IFERROR(IF(F830&gt;=0,D830*E830*(1+F830/100),ABS(D830*E830/F830)),"")</f>
        <v/>
      </c>
      <c r="H830" s="43" t="str">
        <f>IFERROR(G830*E824,"")</f>
        <v/>
      </c>
    </row>
    <row r="831" spans="1:11" ht="12.75" customHeight="1">
      <c r="A831" s="28"/>
      <c r="B831" s="29"/>
      <c r="C831" s="30" t="str">
        <f>IFERROR(_xlfn.XLOOKUP(B831,Insumo[DESCRIPCION],Insumo[UND],,0),"")</f>
        <v/>
      </c>
      <c r="D831" s="31"/>
      <c r="E831" s="32" t="str">
        <f>IFERROR(_xlfn.XLOOKUP($B831,Insumo[DESCRIPCION],Insumo[VALOR],,0),"")</f>
        <v/>
      </c>
      <c r="F831" s="33"/>
      <c r="G831" s="34" t="str">
        <f>IFERROR(IF(F831&gt;=0,D831*E831*(1+F831/100),ABS(D831*E831/F831)),"")</f>
        <v/>
      </c>
      <c r="H831" s="43" t="str">
        <f>IFERROR(G831*E824,"")</f>
        <v/>
      </c>
    </row>
    <row r="832" spans="1:11" ht="12.75" customHeight="1">
      <c r="A832" s="21"/>
      <c r="B832" s="22" t="s">
        <v>3731</v>
      </c>
      <c r="C832" s="23"/>
      <c r="D832" s="24"/>
      <c r="E832" s="25"/>
      <c r="F832" s="26"/>
      <c r="G832" s="27">
        <f>SUM(G833:G835)</f>
        <v>67267.603074450002</v>
      </c>
      <c r="H832" s="44">
        <f>G832*E824</f>
        <v>0</v>
      </c>
    </row>
    <row r="833" spans="1:11" ht="12.75" customHeight="1">
      <c r="A833" s="28"/>
      <c r="B833" s="29" t="s">
        <v>3615</v>
      </c>
      <c r="C833" s="30" t="str">
        <f>IFERROR(_xlfn.XLOOKUP(B833,Equipo[DESCRIPCION],Equipo[UND],,0),"")</f>
        <v>Día</v>
      </c>
      <c r="D833" s="31">
        <v>1</v>
      </c>
      <c r="E833" s="32">
        <f>IF(C833="%MO",G839,IFERROR(_xlfn.XLOOKUP($B833,Equipo[DESCRIPCION],Equipo[VALOR],,0),""))</f>
        <v>54978</v>
      </c>
      <c r="F833" s="33">
        <v>-1</v>
      </c>
      <c r="G833" s="34">
        <f>IFERROR(IF(F833&gt;=0,D833*E833*(1+F833/100),ABS(D833*E833/F833)),"")</f>
        <v>54978</v>
      </c>
      <c r="H833" s="43">
        <f>IFERROR(G833*E824,"")</f>
        <v>0</v>
      </c>
    </row>
    <row r="834" spans="1:11" ht="12.75" customHeight="1">
      <c r="A834" s="28"/>
      <c r="B834" s="29" t="s">
        <v>3657</v>
      </c>
      <c r="C834" s="30" t="str">
        <f>IFERROR(_xlfn.XLOOKUP(B834,Equipo[DESCRIPCION],Equipo[UND],,0),"")</f>
        <v>Día</v>
      </c>
      <c r="D834" s="31">
        <v>1</v>
      </c>
      <c r="E834" s="32">
        <f>IF(C834="%MO",G839,IFERROR(_xlfn.XLOOKUP($B834,Equipo[DESCRIPCION],Equipo[VALOR],,0),""))</f>
        <v>56524.65</v>
      </c>
      <c r="F834" s="33">
        <v>-10</v>
      </c>
      <c r="G834" s="34">
        <f>IFERROR(IF(F834&gt;=0,D834*E834*(1+F834/100),ABS(D834*E834/F834)),"")</f>
        <v>5652.4650000000001</v>
      </c>
      <c r="H834" s="43">
        <f>IFERROR(G834*E824,"")</f>
        <v>0</v>
      </c>
    </row>
    <row r="835" spans="1:11" ht="12.75" customHeight="1">
      <c r="A835" s="28"/>
      <c r="B835" s="29" t="s">
        <v>3626</v>
      </c>
      <c r="C835" s="30" t="str">
        <f>IFERROR(_xlfn.XLOOKUP(B835,Equipo[DESCRIPCION],Equipo[UND],,0),"")</f>
        <v>%MO</v>
      </c>
      <c r="D835" s="31">
        <v>0.05</v>
      </c>
      <c r="E835" s="32">
        <f>IF(C835="%MO",G839,IFERROR(_xlfn.XLOOKUP($B835,Equipo[DESCRIPCION],Equipo[VALOR],,0),""))</f>
        <v>132742.76148900003</v>
      </c>
      <c r="F835" s="33"/>
      <c r="G835" s="34">
        <f>IFERROR(IF(F835&gt;=0,D835*E835*(1+F835/100),ABS(D835*E835/F835)),"")</f>
        <v>6637.138074450002</v>
      </c>
      <c r="H835" s="43">
        <f>IFERROR(G835*E824,"")</f>
        <v>0</v>
      </c>
    </row>
    <row r="836" spans="1:11" ht="12.75" customHeight="1">
      <c r="A836" s="21"/>
      <c r="B836" s="22" t="s">
        <v>2533</v>
      </c>
      <c r="C836" s="23"/>
      <c r="D836" s="24"/>
      <c r="E836" s="25"/>
      <c r="F836" s="26"/>
      <c r="G836" s="27">
        <f>SUM(G837:G838)</f>
        <v>0</v>
      </c>
      <c r="H836" s="44">
        <f>G836*E824</f>
        <v>0</v>
      </c>
    </row>
    <row r="837" spans="1:11" ht="12.75" customHeight="1">
      <c r="A837" s="28"/>
      <c r="B837" s="29"/>
      <c r="C837" s="30" t="str">
        <f>IFERROR(_xlfn.XLOOKUP(B837,Transporte[DESCRIPCION],Transporte[UND],,0),"")</f>
        <v/>
      </c>
      <c r="D837" s="31"/>
      <c r="E837" s="32" t="str">
        <f>IFERROR(_xlfn.XLOOKUP($B837,Transporte[DESCRIPCION],Transporte[VALOR],,0),"")</f>
        <v/>
      </c>
      <c r="F837" s="33"/>
      <c r="G837" s="34" t="str">
        <f>IFERROR(IF(F837&gt;=0,D837*E837*(1+F837/100),ABS(D837*E837/F837)),"")</f>
        <v/>
      </c>
      <c r="H837" s="43" t="str">
        <f>IFERROR(G837*E824,"")</f>
        <v/>
      </c>
    </row>
    <row r="838" spans="1:11" ht="12.75" customHeight="1">
      <c r="A838" s="28"/>
      <c r="B838" s="29"/>
      <c r="C838" s="30" t="str">
        <f>IFERROR(_xlfn.XLOOKUP(B838,Transporte[DESCRIPCION],Transporte[UND],,0),"")</f>
        <v/>
      </c>
      <c r="D838" s="31"/>
      <c r="E838" s="32" t="str">
        <f>IFERROR(_xlfn.XLOOKUP($B838,Transporte[DESCRIPCION],Transporte[VALOR],,0),"")</f>
        <v/>
      </c>
      <c r="F838" s="33"/>
      <c r="G838" s="34" t="str">
        <f>IFERROR(IF(F838&gt;=0,D838*E838*(1+F838/100),ABS(D838*E838/F838)),"")</f>
        <v/>
      </c>
      <c r="H838" s="43" t="str">
        <f>IFERROR(G838*E824,"")</f>
        <v/>
      </c>
    </row>
    <row r="839" spans="1:11" ht="12.75" customHeight="1">
      <c r="A839" s="21"/>
      <c r="B839" s="22" t="s">
        <v>3732</v>
      </c>
      <c r="C839" s="23"/>
      <c r="D839" s="24"/>
      <c r="E839" s="25"/>
      <c r="F839" s="26"/>
      <c r="G839" s="27">
        <f>SUM(G840:G842)</f>
        <v>132742.76148900003</v>
      </c>
      <c r="H839" s="44">
        <f>G839*E824</f>
        <v>0</v>
      </c>
    </row>
    <row r="840" spans="1:11" ht="12.75" customHeight="1">
      <c r="A840" s="28"/>
      <c r="B840" s="29" t="s">
        <v>3713</v>
      </c>
      <c r="C840" s="30" t="str">
        <f>IFERROR(_xlfn.XLOOKUP(B840,MObra[DESCRIPCION],MObra[UN],,0),"")</f>
        <v>día</v>
      </c>
      <c r="D840" s="31">
        <v>1</v>
      </c>
      <c r="E840" s="32">
        <f>IFERROR(_xlfn.XLOOKUP($B840,MObra[DESCRIPCION],MObra[VALOR UNIT],,0),"")</f>
        <v>663713.80744500016</v>
      </c>
      <c r="F840" s="33">
        <v>-5</v>
      </c>
      <c r="G840" s="34">
        <f>IFERROR(IF(F840&gt;=0,D840*E840*(1+F840/100),ABS(D840*E840/F840)),"")</f>
        <v>132742.76148900003</v>
      </c>
      <c r="H840" s="43">
        <f>IFERROR(G840*E824,"")</f>
        <v>0</v>
      </c>
    </row>
    <row r="841" spans="1:11" ht="12.75" customHeight="1">
      <c r="A841" s="28"/>
      <c r="B841" s="29"/>
      <c r="C841" s="30" t="str">
        <f t="array" ref="C841">IFERROR(_xlfn.XLOOKUP(B841,MObra[[#All],[DESCRIPCION]],MObra[[#All],[UN]],,0),"")</f>
        <v/>
      </c>
      <c r="D841" s="31"/>
      <c r="E841" s="32" t="str">
        <f>IFERROR(_xlfn.XLOOKUP($B841,MObra[DESCRIPCION],MObra[VALOR UNIT],,0),"")</f>
        <v/>
      </c>
      <c r="F841" s="33"/>
      <c r="G841" s="34" t="str">
        <f>IFERROR(IF(F841&gt;=0,D841*E841*(1+F841/100),ABS(D841*E841/F841)),"")</f>
        <v/>
      </c>
      <c r="H841" s="43" t="str">
        <f>IFERROR(G841*E824,"")</f>
        <v/>
      </c>
    </row>
    <row r="842" spans="1:11" ht="12.75" customHeight="1" thickBot="1">
      <c r="A842" s="35"/>
      <c r="B842" s="36"/>
      <c r="C842" s="37" t="str">
        <f t="array" ref="C842">IFERROR(_xlfn.XLOOKUP(B842,MObra[[#All],[DESCRIPCION]],MObra[[#All],[UN]],,0),"")</f>
        <v/>
      </c>
      <c r="D842" s="38"/>
      <c r="E842" s="39" t="str">
        <f>IFERROR(_xlfn.XLOOKUP($B842,MObra[DESCRIPCION],MObra[VALOR UNIT],,0),"")</f>
        <v/>
      </c>
      <c r="F842" s="40"/>
      <c r="G842" s="41" t="str">
        <f>IFERROR(IF(F842&gt;=0,D842*E842*(1+F842/100),ABS(D842*E842/F842)),"")</f>
        <v/>
      </c>
      <c r="H842" s="42" t="str">
        <f>IFERROR(G842*E824,"")</f>
        <v/>
      </c>
    </row>
    <row r="843" spans="1:11" ht="12.75" customHeight="1" thickTop="1" thickBot="1"/>
    <row r="844" spans="1:11" ht="12.75" customHeight="1" thickTop="1" thickBot="1">
      <c r="A844" s="6" t="s">
        <v>393</v>
      </c>
      <c r="B844" s="7" t="str">
        <f>VLOOKUP($A844,Presupuesto!$A:$D,2,FALSE())</f>
        <v>Concreto 20.7 Mpa caisson y pilas</v>
      </c>
      <c r="C844" s="8" t="str">
        <f>VLOOKUP($A844,Presupuesto!$A:$D,3,FALSE())</f>
        <v>M3</v>
      </c>
      <c r="D844" s="9"/>
      <c r="E844" s="10">
        <f>VLOOKUP($A844,Presupuesto!$A:$D,4,FALSE())</f>
        <v>0</v>
      </c>
      <c r="F844" s="11" t="s">
        <v>2589</v>
      </c>
      <c r="G844" s="12">
        <f>SUM(G846:G862)/2</f>
        <v>913680.00002300995</v>
      </c>
      <c r="H844" s="13">
        <f>ROUND(SUM(H846:H862),0)/2</f>
        <v>0</v>
      </c>
      <c r="I844" s="10">
        <f>VLOOKUP(A844,Presupuesto!$A:$F,6,0)</f>
        <v>0</v>
      </c>
      <c r="J844" s="10">
        <f>+H844-I844</f>
        <v>0</v>
      </c>
      <c r="K844" s="46">
        <f>+H844-G844*E844</f>
        <v>0</v>
      </c>
    </row>
    <row r="845" spans="1:11" ht="12.75" customHeight="1" thickTop="1">
      <c r="A845" s="14"/>
      <c r="B845" s="15" t="s">
        <v>2586</v>
      </c>
      <c r="C845" s="15" t="s">
        <v>5</v>
      </c>
      <c r="D845" s="16" t="s">
        <v>6</v>
      </c>
      <c r="E845" s="17" t="s">
        <v>7</v>
      </c>
      <c r="F845" s="18" t="s">
        <v>3728</v>
      </c>
      <c r="G845" s="19" t="s">
        <v>3729</v>
      </c>
      <c r="H845" s="20" t="s">
        <v>3797</v>
      </c>
    </row>
    <row r="846" spans="1:11" ht="12.75" customHeight="1">
      <c r="A846" s="21"/>
      <c r="B846" s="22" t="s">
        <v>3730</v>
      </c>
      <c r="C846" s="23"/>
      <c r="D846" s="24"/>
      <c r="E846" s="25"/>
      <c r="F846" s="26"/>
      <c r="G846" s="27">
        <f>SUM(G847:G851)</f>
        <v>763337.92500000005</v>
      </c>
      <c r="H846" s="27">
        <f>IFERROR(G846*E844,"")</f>
        <v>0</v>
      </c>
    </row>
    <row r="847" spans="1:11" ht="12.75" customHeight="1">
      <c r="A847" s="28"/>
      <c r="B847" s="29" t="s">
        <v>2869</v>
      </c>
      <c r="C847" s="30" t="str">
        <f>IFERROR(_xlfn.XLOOKUP(B847,Insumo[DESCRIPCION],Insumo[UND],,0),"")</f>
        <v>M3</v>
      </c>
      <c r="D847" s="31">
        <v>1</v>
      </c>
      <c r="E847" s="32">
        <f>IFERROR(_xlfn.XLOOKUP($B847,Insumo[DESCRIPCION],Insumo[VALOR],,0),"")</f>
        <v>726988.5</v>
      </c>
      <c r="F847" s="33">
        <v>5</v>
      </c>
      <c r="G847" s="34">
        <f>IFERROR(IF(F847&gt;=0,D847*E847*(1+F847/100),ABS(D847*E847/F847)),"")</f>
        <v>763337.92500000005</v>
      </c>
      <c r="H847" s="43">
        <f>IFERROR(G847*E844,"")</f>
        <v>0</v>
      </c>
    </row>
    <row r="848" spans="1:11" ht="12.75" customHeight="1">
      <c r="A848" s="28"/>
      <c r="B848" s="29"/>
      <c r="C848" s="30" t="str">
        <f>IFERROR(_xlfn.XLOOKUP(B848,Insumo[DESCRIPCION],Insumo[UND],,0),"")</f>
        <v/>
      </c>
      <c r="D848" s="31"/>
      <c r="E848" s="32" t="str">
        <f>IFERROR(_xlfn.XLOOKUP($B848,Insumo[DESCRIPCION],Insumo[VALOR],,0),"")</f>
        <v/>
      </c>
      <c r="F848" s="33"/>
      <c r="G848" s="34" t="str">
        <f>IFERROR(IF(F848&gt;=0,D848*E848*(1+F848/100),ABS(D848*E848/F848)),"")</f>
        <v/>
      </c>
      <c r="H848" s="43" t="str">
        <f>IFERROR(G848*E844,"")</f>
        <v/>
      </c>
    </row>
    <row r="849" spans="1:11" ht="12.75" customHeight="1">
      <c r="A849" s="28"/>
      <c r="B849" s="29"/>
      <c r="C849" s="30" t="str">
        <f>IFERROR(_xlfn.XLOOKUP(B849,Insumo[DESCRIPCION],Insumo[UND],,0),"")</f>
        <v/>
      </c>
      <c r="D849" s="31"/>
      <c r="E849" s="32" t="str">
        <f>IFERROR(_xlfn.XLOOKUP($B849,Insumo[DESCRIPCION],Insumo[VALOR],,0),"")</f>
        <v/>
      </c>
      <c r="F849" s="33"/>
      <c r="G849" s="34" t="str">
        <f>IFERROR(IF(F849&gt;=0,D849*E849*(1+F849/100),ABS(D849*E849/F849)),"")</f>
        <v/>
      </c>
      <c r="H849" s="43" t="str">
        <f>IFERROR(G849*E844,"")</f>
        <v/>
      </c>
    </row>
    <row r="850" spans="1:11" ht="12.75" customHeight="1">
      <c r="A850" s="28"/>
      <c r="B850" s="29"/>
      <c r="C850" s="30" t="str">
        <f>IFERROR(_xlfn.XLOOKUP(B850,Insumo[DESCRIPCION],Insumo[UND],,0),"")</f>
        <v/>
      </c>
      <c r="D850" s="31"/>
      <c r="E850" s="32" t="str">
        <f>IFERROR(_xlfn.XLOOKUP($B850,Insumo[DESCRIPCION],Insumo[VALOR],,0),"")</f>
        <v/>
      </c>
      <c r="F850" s="33"/>
      <c r="G850" s="34" t="str">
        <f>IFERROR(IF(F850&gt;=0,D850*E850*(1+F850/100),ABS(D850*E850/F850)),"")</f>
        <v/>
      </c>
      <c r="H850" s="43" t="str">
        <f>IFERROR(G850*E844,"")</f>
        <v/>
      </c>
    </row>
    <row r="851" spans="1:11" ht="12.75" customHeight="1">
      <c r="A851" s="28"/>
      <c r="B851" s="29"/>
      <c r="C851" s="30" t="str">
        <f>IFERROR(_xlfn.XLOOKUP(B851,Insumo[DESCRIPCION],Insumo[UND],,0),"")</f>
        <v/>
      </c>
      <c r="D851" s="31"/>
      <c r="E851" s="32" t="str">
        <f>IFERROR(_xlfn.XLOOKUP($B851,Insumo[DESCRIPCION],Insumo[VALOR],,0),"")</f>
        <v/>
      </c>
      <c r="F851" s="33"/>
      <c r="G851" s="34" t="str">
        <f>IFERROR(IF(F851&gt;=0,D851*E851*(1+F851/100),ABS(D851*E851/F851)),"")</f>
        <v/>
      </c>
      <c r="H851" s="43" t="str">
        <f>IFERROR(G851*E844,"")</f>
        <v/>
      </c>
    </row>
    <row r="852" spans="1:11" ht="12.75" customHeight="1">
      <c r="A852" s="21"/>
      <c r="B852" s="22" t="s">
        <v>3731</v>
      </c>
      <c r="C852" s="23"/>
      <c r="D852" s="24"/>
      <c r="E852" s="25"/>
      <c r="F852" s="26"/>
      <c r="G852" s="27">
        <f>SUM(G853:G855)</f>
        <v>17599.313534010005</v>
      </c>
      <c r="H852" s="44">
        <f>G852*E844</f>
        <v>0</v>
      </c>
    </row>
    <row r="853" spans="1:11" ht="12.75" customHeight="1">
      <c r="A853" s="28"/>
      <c r="B853" s="29" t="s">
        <v>3657</v>
      </c>
      <c r="C853" s="30" t="str">
        <f>IFERROR(_xlfn.XLOOKUP(B853,Equipo[DESCRIPCION],Equipo[UND],,0),"")</f>
        <v>Día</v>
      </c>
      <c r="D853" s="31">
        <v>1</v>
      </c>
      <c r="E853" s="32">
        <f>IF(C853="%MO",G859,IFERROR(_xlfn.XLOOKUP($B853,Equipo[DESCRIPCION],Equipo[VALOR],,0),""))</f>
        <v>56524.65</v>
      </c>
      <c r="F853" s="33">
        <v>-10</v>
      </c>
      <c r="G853" s="34">
        <f>IFERROR(IF(F853&gt;=0,D853*E853*(1+F853/100),ABS(D853*E853/F853)),"")</f>
        <v>5652.4650000000001</v>
      </c>
      <c r="H853" s="43">
        <f>IFERROR(G853*E844,"")</f>
        <v>0</v>
      </c>
    </row>
    <row r="854" spans="1:11" ht="12.75" customHeight="1">
      <c r="A854" s="28"/>
      <c r="B854" s="29" t="s">
        <v>3570</v>
      </c>
      <c r="C854" s="30" t="str">
        <f>IFERROR(_xlfn.XLOOKUP(B854,Equipo[DESCRIPCION],Equipo[UND],,0),"")</f>
        <v>%MO</v>
      </c>
      <c r="D854" s="31">
        <v>0.04</v>
      </c>
      <c r="E854" s="32">
        <f>IF(C854="%MO",G859,IFERROR(_xlfn.XLOOKUP($B854,Equipo[DESCRIPCION],Equipo[VALOR],,0),""))</f>
        <v>132742.76148900003</v>
      </c>
      <c r="F854" s="33"/>
      <c r="G854" s="34">
        <f>IFERROR(IF(F854&gt;=0,D854*E854*(1+F854/100),ABS(D854*E854/F854)),"")</f>
        <v>5309.7104595600013</v>
      </c>
      <c r="H854" s="43">
        <f>IFERROR(G854*E844,"")</f>
        <v>0</v>
      </c>
    </row>
    <row r="855" spans="1:11" ht="12.75" customHeight="1">
      <c r="A855" s="28"/>
      <c r="B855" s="29" t="s">
        <v>3626</v>
      </c>
      <c r="C855" s="30" t="str">
        <f>IFERROR(_xlfn.XLOOKUP(B855,Equipo[DESCRIPCION],Equipo[UND],,0),"")</f>
        <v>%MO</v>
      </c>
      <c r="D855" s="31">
        <v>0.05</v>
      </c>
      <c r="E855" s="32">
        <f>IF(C855="%MO",G859,IFERROR(_xlfn.XLOOKUP($B855,Equipo[DESCRIPCION],Equipo[VALOR],,0),""))</f>
        <v>132742.76148900003</v>
      </c>
      <c r="F855" s="33"/>
      <c r="G855" s="34">
        <f>IFERROR(IF(F855&gt;=0,D855*E855*(1+F855/100),ABS(D855*E855/F855)),"")</f>
        <v>6637.138074450002</v>
      </c>
      <c r="H855" s="43">
        <f>IFERROR(G855*E844,"")</f>
        <v>0</v>
      </c>
    </row>
    <row r="856" spans="1:11" ht="12.75" customHeight="1">
      <c r="A856" s="21"/>
      <c r="B856" s="22" t="s">
        <v>2533</v>
      </c>
      <c r="C856" s="23"/>
      <c r="D856" s="24"/>
      <c r="E856" s="25"/>
      <c r="F856" s="26"/>
      <c r="G856" s="27">
        <f>SUM(G857:G858)</f>
        <v>0</v>
      </c>
      <c r="H856" s="44">
        <f>G856*E844</f>
        <v>0</v>
      </c>
    </row>
    <row r="857" spans="1:11" ht="12.75" customHeight="1">
      <c r="A857" s="28"/>
      <c r="B857" s="29"/>
      <c r="C857" s="30" t="str">
        <f>IFERROR(_xlfn.XLOOKUP(B857,Transporte[DESCRIPCION],Transporte[UND],,0),"")</f>
        <v/>
      </c>
      <c r="D857" s="31"/>
      <c r="E857" s="32" t="str">
        <f>IFERROR(_xlfn.XLOOKUP($B857,Transporte[DESCRIPCION],Transporte[VALOR],,0),"")</f>
        <v/>
      </c>
      <c r="F857" s="33"/>
      <c r="G857" s="34" t="str">
        <f>IFERROR(IF(F857&gt;=0,D857*E857*(1+F857/100),ABS(D857*E857/F857)),"")</f>
        <v/>
      </c>
      <c r="H857" s="43" t="str">
        <f>IFERROR(G857*E844,"")</f>
        <v/>
      </c>
    </row>
    <row r="858" spans="1:11" ht="12.75" customHeight="1">
      <c r="A858" s="28"/>
      <c r="B858" s="29"/>
      <c r="C858" s="30" t="str">
        <f>IFERROR(_xlfn.XLOOKUP(B858,Transporte[DESCRIPCION],Transporte[UND],,0),"")</f>
        <v/>
      </c>
      <c r="D858" s="31"/>
      <c r="E858" s="32" t="str">
        <f>IFERROR(_xlfn.XLOOKUP($B858,Transporte[DESCRIPCION],Transporte[VALOR],,0),"")</f>
        <v/>
      </c>
      <c r="F858" s="33"/>
      <c r="G858" s="34" t="str">
        <f>IFERROR(IF(F858&gt;=0,D858*E858*(1+F858/100),ABS(D858*E858/F858)),"")</f>
        <v/>
      </c>
      <c r="H858" s="43" t="str">
        <f>IFERROR(G858*E844,"")</f>
        <v/>
      </c>
    </row>
    <row r="859" spans="1:11" ht="12.75" customHeight="1">
      <c r="A859" s="21"/>
      <c r="B859" s="22" t="s">
        <v>3732</v>
      </c>
      <c r="C859" s="23"/>
      <c r="D859" s="24"/>
      <c r="E859" s="25"/>
      <c r="F859" s="26"/>
      <c r="G859" s="27">
        <f>SUM(G860:G862)</f>
        <v>132742.76148900003</v>
      </c>
      <c r="H859" s="44">
        <f>G859*E844</f>
        <v>0</v>
      </c>
    </row>
    <row r="860" spans="1:11" ht="12.75" customHeight="1">
      <c r="A860" s="28"/>
      <c r="B860" s="29" t="s">
        <v>3713</v>
      </c>
      <c r="C860" s="30" t="str">
        <f>IFERROR(_xlfn.XLOOKUP(B860,MObra[DESCRIPCION],MObra[UN],,0),"")</f>
        <v>día</v>
      </c>
      <c r="D860" s="31">
        <v>1</v>
      </c>
      <c r="E860" s="32">
        <f>IFERROR(_xlfn.XLOOKUP($B860,MObra[DESCRIPCION],MObra[VALOR UNIT],,0),"")</f>
        <v>663713.80744500016</v>
      </c>
      <c r="F860" s="33">
        <v>-5</v>
      </c>
      <c r="G860" s="34">
        <f>IFERROR(IF(F860&gt;=0,D860*E860*(1+F860/100),ABS(D860*E860/F860)),"")</f>
        <v>132742.76148900003</v>
      </c>
      <c r="H860" s="43">
        <f>IFERROR(G860*E844,"")</f>
        <v>0</v>
      </c>
    </row>
    <row r="861" spans="1:11" ht="12.75" customHeight="1">
      <c r="A861" s="28"/>
      <c r="B861" s="29"/>
      <c r="C861" s="30" t="str">
        <f t="array" ref="C861">IFERROR(_xlfn.XLOOKUP(B861,MObra[[#All],[DESCRIPCION]],MObra[[#All],[UN]],,0),"")</f>
        <v/>
      </c>
      <c r="D861" s="31"/>
      <c r="E861" s="32" t="str">
        <f>IFERROR(_xlfn.XLOOKUP($B861,MObra[DESCRIPCION],MObra[VALOR UNIT],,0),"")</f>
        <v/>
      </c>
      <c r="F861" s="33"/>
      <c r="G861" s="34" t="str">
        <f>IFERROR(IF(F861&gt;=0,D861*E861*(1+F861/100),ABS(D861*E861/F861)),"")</f>
        <v/>
      </c>
      <c r="H861" s="43" t="str">
        <f>IFERROR(G861*E844,"")</f>
        <v/>
      </c>
    </row>
    <row r="862" spans="1:11" ht="12.75" customHeight="1" thickBot="1">
      <c r="A862" s="35"/>
      <c r="B862" s="36"/>
      <c r="C862" s="37" t="str">
        <f t="array" ref="C862">IFERROR(_xlfn.XLOOKUP(B862,MObra[[#All],[DESCRIPCION]],MObra[[#All],[UN]],,0),"")</f>
        <v/>
      </c>
      <c r="D862" s="38"/>
      <c r="E862" s="39" t="str">
        <f>IFERROR(_xlfn.XLOOKUP($B862,MObra[DESCRIPCION],MObra[VALOR UNIT],,0),"")</f>
        <v/>
      </c>
      <c r="F862" s="40"/>
      <c r="G862" s="41" t="str">
        <f>IFERROR(IF(F862&gt;=0,D862*E862*(1+F862/100),ABS(D862*E862/F862)),"")</f>
        <v/>
      </c>
      <c r="H862" s="42" t="str">
        <f>IFERROR(G862*E844,"")</f>
        <v/>
      </c>
    </row>
    <row r="863" spans="1:11" ht="12.75" customHeight="1" thickTop="1" thickBot="1">
      <c r="A863" s="79"/>
      <c r="B863" s="80"/>
      <c r="C863" s="81"/>
      <c r="D863" s="143"/>
      <c r="E863" s="107"/>
      <c r="F863" s="144"/>
      <c r="G863" s="145"/>
      <c r="H863" s="145"/>
    </row>
    <row r="864" spans="1:11" ht="12.75" customHeight="1" thickTop="1" thickBot="1">
      <c r="A864" s="6" t="s">
        <v>395</v>
      </c>
      <c r="B864" s="7" t="str">
        <f>VLOOKUP($A864,Presupuesto!$A:$D,2,FALSE())</f>
        <v>Concreto 24.1 Mpa caisson y pilas</v>
      </c>
      <c r="C864" s="8" t="str">
        <f>VLOOKUP($A864,Presupuesto!$A:$D,3,FALSE())</f>
        <v>M3</v>
      </c>
      <c r="D864" s="9"/>
      <c r="E864" s="10">
        <f>VLOOKUP($A864,Presupuesto!$A:$D,4,FALSE())</f>
        <v>0</v>
      </c>
      <c r="F864" s="11" t="s">
        <v>2589</v>
      </c>
      <c r="G864" s="12">
        <f>SUM(G866:G882)/2</f>
        <v>917731.68752300995</v>
      </c>
      <c r="H864" s="13">
        <f>ROUND(SUM(H866:H882),0)/2</f>
        <v>0</v>
      </c>
      <c r="I864" s="10">
        <f>VLOOKUP(A864,Presupuesto!$A:$F,6,0)</f>
        <v>0</v>
      </c>
      <c r="J864" s="10">
        <f>+H864-I864</f>
        <v>0</v>
      </c>
      <c r="K864" s="46">
        <f>+H864-G864*E864</f>
        <v>0</v>
      </c>
    </row>
    <row r="865" spans="1:8" ht="12.75" customHeight="1" thickTop="1">
      <c r="A865" s="14"/>
      <c r="B865" s="15" t="s">
        <v>2586</v>
      </c>
      <c r="C865" s="15" t="s">
        <v>5</v>
      </c>
      <c r="D865" s="16" t="s">
        <v>6</v>
      </c>
      <c r="E865" s="17" t="s">
        <v>7</v>
      </c>
      <c r="F865" s="18" t="s">
        <v>3728</v>
      </c>
      <c r="G865" s="19" t="s">
        <v>3729</v>
      </c>
      <c r="H865" s="20" t="s">
        <v>3797</v>
      </c>
    </row>
    <row r="866" spans="1:8" ht="12.75" customHeight="1">
      <c r="A866" s="21"/>
      <c r="B866" s="22" t="s">
        <v>3730</v>
      </c>
      <c r="C866" s="23"/>
      <c r="D866" s="24"/>
      <c r="E866" s="25"/>
      <c r="F866" s="26"/>
      <c r="G866" s="27">
        <f>SUM(G867:G871)</f>
        <v>767389.61250000005</v>
      </c>
      <c r="H866" s="27">
        <f>IFERROR(G866*E864,"")</f>
        <v>0</v>
      </c>
    </row>
    <row r="867" spans="1:8" ht="12.75" customHeight="1">
      <c r="A867" s="28"/>
      <c r="B867" s="29" t="s">
        <v>2871</v>
      </c>
      <c r="C867" s="30" t="str">
        <f>IFERROR(_xlfn.XLOOKUP(B867,Insumo[DESCRIPCION],Insumo[UND],,0),"")</f>
        <v>M3</v>
      </c>
      <c r="D867" s="31">
        <v>1</v>
      </c>
      <c r="E867" s="32">
        <f>IFERROR(_xlfn.XLOOKUP($B867,Insumo[DESCRIPCION],Insumo[VALOR],,0),"")</f>
        <v>730847.25</v>
      </c>
      <c r="F867" s="33">
        <v>5</v>
      </c>
      <c r="G867" s="34">
        <f>IFERROR(IF(F867&gt;=0,D867*E867*(1+F867/100),ABS(D867*E867/F867)),"")</f>
        <v>767389.61250000005</v>
      </c>
      <c r="H867" s="43">
        <f>IFERROR(G867*E864,"")</f>
        <v>0</v>
      </c>
    </row>
    <row r="868" spans="1:8" ht="12.75" customHeight="1">
      <c r="A868" s="28"/>
      <c r="B868" s="29"/>
      <c r="C868" s="30" t="str">
        <f>IFERROR(_xlfn.XLOOKUP(B868,Insumo[DESCRIPCION],Insumo[UND],,0),"")</f>
        <v/>
      </c>
      <c r="D868" s="31"/>
      <c r="E868" s="32" t="str">
        <f>IFERROR(_xlfn.XLOOKUP($B868,Insumo[DESCRIPCION],Insumo[VALOR],,0),"")</f>
        <v/>
      </c>
      <c r="F868" s="33"/>
      <c r="G868" s="34" t="str">
        <f>IFERROR(IF(F868&gt;=0,D868*E868*(1+F868/100),ABS(D868*E868/F868)),"")</f>
        <v/>
      </c>
      <c r="H868" s="43" t="str">
        <f>IFERROR(G868*E864,"")</f>
        <v/>
      </c>
    </row>
    <row r="869" spans="1:8" ht="12.75" customHeight="1">
      <c r="A869" s="28"/>
      <c r="B869" s="29"/>
      <c r="C869" s="30" t="str">
        <f>IFERROR(_xlfn.XLOOKUP(B869,Insumo[DESCRIPCION],Insumo[UND],,0),"")</f>
        <v/>
      </c>
      <c r="D869" s="31"/>
      <c r="E869" s="32" t="str">
        <f>IFERROR(_xlfn.XLOOKUP($B869,Insumo[DESCRIPCION],Insumo[VALOR],,0),"")</f>
        <v/>
      </c>
      <c r="F869" s="33"/>
      <c r="G869" s="34" t="str">
        <f>IFERROR(IF(F869&gt;=0,D869*E869*(1+F869/100),ABS(D869*E869/F869)),"")</f>
        <v/>
      </c>
      <c r="H869" s="43" t="str">
        <f>IFERROR(G869*E864,"")</f>
        <v/>
      </c>
    </row>
    <row r="870" spans="1:8" ht="12.75" customHeight="1">
      <c r="A870" s="28"/>
      <c r="B870" s="29"/>
      <c r="C870" s="30" t="str">
        <f>IFERROR(_xlfn.XLOOKUP(B870,Insumo[DESCRIPCION],Insumo[UND],,0),"")</f>
        <v/>
      </c>
      <c r="D870" s="31"/>
      <c r="E870" s="32" t="str">
        <f>IFERROR(_xlfn.XLOOKUP($B870,Insumo[DESCRIPCION],Insumo[VALOR],,0),"")</f>
        <v/>
      </c>
      <c r="F870" s="33"/>
      <c r="G870" s="34" t="str">
        <f>IFERROR(IF(F870&gt;=0,D870*E870*(1+F870/100),ABS(D870*E870/F870)),"")</f>
        <v/>
      </c>
      <c r="H870" s="43" t="str">
        <f>IFERROR(G870*E864,"")</f>
        <v/>
      </c>
    </row>
    <row r="871" spans="1:8" ht="12.75" customHeight="1">
      <c r="A871" s="28"/>
      <c r="B871" s="29"/>
      <c r="C871" s="30" t="str">
        <f>IFERROR(_xlfn.XLOOKUP(B871,Insumo[DESCRIPCION],Insumo[UND],,0),"")</f>
        <v/>
      </c>
      <c r="D871" s="31"/>
      <c r="E871" s="32" t="str">
        <f>IFERROR(_xlfn.XLOOKUP($B871,Insumo[DESCRIPCION],Insumo[VALOR],,0),"")</f>
        <v/>
      </c>
      <c r="F871" s="33"/>
      <c r="G871" s="34" t="str">
        <f>IFERROR(IF(F871&gt;=0,D871*E871*(1+F871/100),ABS(D871*E871/F871)),"")</f>
        <v/>
      </c>
      <c r="H871" s="43" t="str">
        <f>IFERROR(G871*E864,"")</f>
        <v/>
      </c>
    </row>
    <row r="872" spans="1:8" ht="12.75" customHeight="1">
      <c r="A872" s="21"/>
      <c r="B872" s="22" t="s">
        <v>3731</v>
      </c>
      <c r="C872" s="23"/>
      <c r="D872" s="24"/>
      <c r="E872" s="25"/>
      <c r="F872" s="26"/>
      <c r="G872" s="27">
        <f>SUM(G873:G875)</f>
        <v>17599.313534010005</v>
      </c>
      <c r="H872" s="44">
        <f>G872*E864</f>
        <v>0</v>
      </c>
    </row>
    <row r="873" spans="1:8" ht="12.75" customHeight="1">
      <c r="A873" s="28"/>
      <c r="B873" s="29" t="s">
        <v>3657</v>
      </c>
      <c r="C873" s="30" t="str">
        <f>IFERROR(_xlfn.XLOOKUP(B873,Equipo[DESCRIPCION],Equipo[UND],,0),"")</f>
        <v>Día</v>
      </c>
      <c r="D873" s="31">
        <v>1</v>
      </c>
      <c r="E873" s="32">
        <f>IF(C873="%MO",G879,IFERROR(_xlfn.XLOOKUP($B873,Equipo[DESCRIPCION],Equipo[VALOR],,0),""))</f>
        <v>56524.65</v>
      </c>
      <c r="F873" s="33">
        <v>-10</v>
      </c>
      <c r="G873" s="34">
        <f>IFERROR(IF(F873&gt;=0,D873*E873*(1+F873/100),ABS(D873*E873/F873)),"")</f>
        <v>5652.4650000000001</v>
      </c>
      <c r="H873" s="43">
        <f>IFERROR(G873*E864,"")</f>
        <v>0</v>
      </c>
    </row>
    <row r="874" spans="1:8" ht="12.75" customHeight="1">
      <c r="A874" s="28"/>
      <c r="B874" s="29" t="s">
        <v>3570</v>
      </c>
      <c r="C874" s="30" t="str">
        <f>IFERROR(_xlfn.XLOOKUP(B874,Equipo[DESCRIPCION],Equipo[UND],,0),"")</f>
        <v>%MO</v>
      </c>
      <c r="D874" s="31">
        <v>0.04</v>
      </c>
      <c r="E874" s="32">
        <f>IF(C874="%MO",G879,IFERROR(_xlfn.XLOOKUP($B874,Equipo[DESCRIPCION],Equipo[VALOR],,0),""))</f>
        <v>132742.76148900003</v>
      </c>
      <c r="F874" s="33"/>
      <c r="G874" s="34">
        <f>IFERROR(IF(F874&gt;=0,D874*E874*(1+F874/100),ABS(D874*E874/F874)),"")</f>
        <v>5309.7104595600013</v>
      </c>
      <c r="H874" s="43">
        <f>IFERROR(G874*E864,"")</f>
        <v>0</v>
      </c>
    </row>
    <row r="875" spans="1:8" ht="12.75" customHeight="1">
      <c r="A875" s="28"/>
      <c r="B875" s="29" t="s">
        <v>3626</v>
      </c>
      <c r="C875" s="30" t="str">
        <f>IFERROR(_xlfn.XLOOKUP(B875,Equipo[DESCRIPCION],Equipo[UND],,0),"")</f>
        <v>%MO</v>
      </c>
      <c r="D875" s="31">
        <v>0.05</v>
      </c>
      <c r="E875" s="32">
        <f>IF(C875="%MO",G879,IFERROR(_xlfn.XLOOKUP($B875,Equipo[DESCRIPCION],Equipo[VALOR],,0),""))</f>
        <v>132742.76148900003</v>
      </c>
      <c r="F875" s="33"/>
      <c r="G875" s="34">
        <f>IFERROR(IF(F875&gt;=0,D875*E875*(1+F875/100),ABS(D875*E875/F875)),"")</f>
        <v>6637.138074450002</v>
      </c>
      <c r="H875" s="43">
        <f>IFERROR(G875*E864,"")</f>
        <v>0</v>
      </c>
    </row>
    <row r="876" spans="1:8" ht="12.75" customHeight="1">
      <c r="A876" s="21"/>
      <c r="B876" s="22" t="s">
        <v>2533</v>
      </c>
      <c r="C876" s="23"/>
      <c r="D876" s="24"/>
      <c r="E876" s="25"/>
      <c r="F876" s="26"/>
      <c r="G876" s="27">
        <f>SUM(G877:G878)</f>
        <v>0</v>
      </c>
      <c r="H876" s="44">
        <f>G876*E864</f>
        <v>0</v>
      </c>
    </row>
    <row r="877" spans="1:8" ht="12.75" customHeight="1">
      <c r="A877" s="28"/>
      <c r="B877" s="29"/>
      <c r="C877" s="30" t="str">
        <f>IFERROR(_xlfn.XLOOKUP(B877,Transporte[DESCRIPCION],Transporte[UND],,0),"")</f>
        <v/>
      </c>
      <c r="D877" s="31"/>
      <c r="E877" s="32" t="str">
        <f>IFERROR(_xlfn.XLOOKUP($B877,Transporte[DESCRIPCION],Transporte[VALOR],,0),"")</f>
        <v/>
      </c>
      <c r="F877" s="33"/>
      <c r="G877" s="34" t="str">
        <f>IFERROR(IF(F877&gt;=0,D877*E877*(1+F877/100),ABS(D877*E877/F877)),"")</f>
        <v/>
      </c>
      <c r="H877" s="43" t="str">
        <f>IFERROR(G877*E864,"")</f>
        <v/>
      </c>
    </row>
    <row r="878" spans="1:8" ht="12.75" customHeight="1">
      <c r="A878" s="28"/>
      <c r="B878" s="29"/>
      <c r="C878" s="30" t="str">
        <f>IFERROR(_xlfn.XLOOKUP(B878,Transporte[DESCRIPCION],Transporte[UND],,0),"")</f>
        <v/>
      </c>
      <c r="D878" s="31"/>
      <c r="E878" s="32" t="str">
        <f>IFERROR(_xlfn.XLOOKUP($B878,Transporte[DESCRIPCION],Transporte[VALOR],,0),"")</f>
        <v/>
      </c>
      <c r="F878" s="33"/>
      <c r="G878" s="34" t="str">
        <f>IFERROR(IF(F878&gt;=0,D878*E878*(1+F878/100),ABS(D878*E878/F878)),"")</f>
        <v/>
      </c>
      <c r="H878" s="43" t="str">
        <f>IFERROR(G878*E864,"")</f>
        <v/>
      </c>
    </row>
    <row r="879" spans="1:8" ht="12.75" customHeight="1">
      <c r="A879" s="21"/>
      <c r="B879" s="22" t="s">
        <v>3732</v>
      </c>
      <c r="C879" s="23"/>
      <c r="D879" s="24"/>
      <c r="E879" s="25"/>
      <c r="F879" s="26"/>
      <c r="G879" s="27">
        <f>SUM(G880:G882)</f>
        <v>132742.76148900003</v>
      </c>
      <c r="H879" s="44">
        <f>G879*E864</f>
        <v>0</v>
      </c>
    </row>
    <row r="880" spans="1:8" ht="12.75" customHeight="1">
      <c r="A880" s="28"/>
      <c r="B880" s="29" t="s">
        <v>3713</v>
      </c>
      <c r="C880" s="30" t="str">
        <f>IFERROR(_xlfn.XLOOKUP(B880,MObra[DESCRIPCION],MObra[UN],,0),"")</f>
        <v>día</v>
      </c>
      <c r="D880" s="31">
        <v>1</v>
      </c>
      <c r="E880" s="32">
        <f>IFERROR(_xlfn.XLOOKUP($B880,MObra[DESCRIPCION],MObra[VALOR UNIT],,0),"")</f>
        <v>663713.80744500016</v>
      </c>
      <c r="F880" s="33">
        <v>-5</v>
      </c>
      <c r="G880" s="34">
        <f>IFERROR(IF(F880&gt;=0,D880*E880*(1+F880/100),ABS(D880*E880/F880)),"")</f>
        <v>132742.76148900003</v>
      </c>
      <c r="H880" s="43">
        <f>IFERROR(G880*E864,"")</f>
        <v>0</v>
      </c>
    </row>
    <row r="881" spans="1:11" ht="12.75" customHeight="1">
      <c r="A881" s="28"/>
      <c r="B881" s="29"/>
      <c r="C881" s="30" t="str">
        <f t="array" ref="C881">IFERROR(_xlfn.XLOOKUP(B881,MObra[[#All],[DESCRIPCION]],MObra[[#All],[UN]],,0),"")</f>
        <v/>
      </c>
      <c r="D881" s="31"/>
      <c r="E881" s="32" t="str">
        <f>IFERROR(_xlfn.XLOOKUP($B881,MObra[DESCRIPCION],MObra[VALOR UNIT],,0),"")</f>
        <v/>
      </c>
      <c r="F881" s="33"/>
      <c r="G881" s="34" t="str">
        <f>IFERROR(IF(F881&gt;=0,D881*E881*(1+F881/100),ABS(D881*E881/F881)),"")</f>
        <v/>
      </c>
      <c r="H881" s="43" t="str">
        <f>IFERROR(G881*E864,"")</f>
        <v/>
      </c>
    </row>
    <row r="882" spans="1:11" ht="12.75" customHeight="1" thickBot="1">
      <c r="A882" s="35"/>
      <c r="B882" s="36"/>
      <c r="C882" s="37" t="str">
        <f t="array" ref="C882">IFERROR(_xlfn.XLOOKUP(B882,MObra[[#All],[DESCRIPCION]],MObra[[#All],[UN]],,0),"")</f>
        <v/>
      </c>
      <c r="D882" s="38"/>
      <c r="E882" s="39" t="str">
        <f>IFERROR(_xlfn.XLOOKUP($B882,MObra[DESCRIPCION],MObra[VALOR UNIT],,0),"")</f>
        <v/>
      </c>
      <c r="F882" s="40"/>
      <c r="G882" s="41" t="str">
        <f>IFERROR(IF(F882&gt;=0,D882*E882*(1+F882/100),ABS(D882*E882/F882)),"")</f>
        <v/>
      </c>
      <c r="H882" s="42" t="str">
        <f>IFERROR(G882*E864,"")</f>
        <v/>
      </c>
    </row>
    <row r="883" spans="1:11" ht="12.75" customHeight="1" thickTop="1" thickBot="1">
      <c r="A883" s="79"/>
      <c r="B883" s="80"/>
      <c r="C883" s="81"/>
      <c r="D883" s="143"/>
      <c r="E883" s="107"/>
      <c r="F883" s="144"/>
      <c r="G883" s="145"/>
      <c r="H883" s="145"/>
    </row>
    <row r="884" spans="1:11" ht="12.75" customHeight="1" thickTop="1" thickBot="1">
      <c r="A884" s="6" t="s">
        <v>397</v>
      </c>
      <c r="B884" s="7" t="str">
        <f>VLOOKUP($A884,Presupuesto!$A:$D,2,FALSE())</f>
        <v>Concreto 27.6 Mpa caisson y pilas</v>
      </c>
      <c r="C884" s="8" t="str">
        <f>VLOOKUP($A884,Presupuesto!$A:$D,3,FALSE())</f>
        <v>M3</v>
      </c>
      <c r="D884" s="9"/>
      <c r="E884" s="10">
        <f>VLOOKUP($A884,Presupuesto!$A:$D,4,FALSE())</f>
        <v>0</v>
      </c>
      <c r="F884" s="11" t="s">
        <v>2589</v>
      </c>
      <c r="G884" s="12">
        <f>SUM(G886:G902)/2</f>
        <v>921783.37502300995</v>
      </c>
      <c r="H884" s="13">
        <f>ROUND(SUM(H886:H902),0)/2</f>
        <v>0</v>
      </c>
      <c r="I884" s="10">
        <f>VLOOKUP(A884,Presupuesto!$A:$F,6,0)</f>
        <v>0</v>
      </c>
      <c r="J884" s="10">
        <f>+H884-I884</f>
        <v>0</v>
      </c>
      <c r="K884" s="46">
        <f>+H884-G884*E884</f>
        <v>0</v>
      </c>
    </row>
    <row r="885" spans="1:11" ht="12.75" customHeight="1" thickTop="1">
      <c r="A885" s="14"/>
      <c r="B885" s="15" t="s">
        <v>2586</v>
      </c>
      <c r="C885" s="15" t="s">
        <v>5</v>
      </c>
      <c r="D885" s="16" t="s">
        <v>6</v>
      </c>
      <c r="E885" s="17" t="s">
        <v>7</v>
      </c>
      <c r="F885" s="18" t="s">
        <v>3728</v>
      </c>
      <c r="G885" s="19" t="s">
        <v>3729</v>
      </c>
      <c r="H885" s="20" t="s">
        <v>3797</v>
      </c>
    </row>
    <row r="886" spans="1:11" ht="12.75" customHeight="1">
      <c r="A886" s="21"/>
      <c r="B886" s="22" t="s">
        <v>3730</v>
      </c>
      <c r="C886" s="23"/>
      <c r="D886" s="24"/>
      <c r="E886" s="25"/>
      <c r="F886" s="26"/>
      <c r="G886" s="27">
        <f>SUM(G887:G891)</f>
        <v>771441.3</v>
      </c>
      <c r="H886" s="27">
        <f>IFERROR(G886*E884,"")</f>
        <v>0</v>
      </c>
    </row>
    <row r="887" spans="1:11" ht="12.75" customHeight="1">
      <c r="A887" s="28"/>
      <c r="B887" s="29" t="s">
        <v>2873</v>
      </c>
      <c r="C887" s="30" t="str">
        <f>IFERROR(_xlfn.XLOOKUP(B887,Insumo[DESCRIPCION],Insumo[UND],,0),"")</f>
        <v>M3</v>
      </c>
      <c r="D887" s="31">
        <v>1</v>
      </c>
      <c r="E887" s="32">
        <f>IFERROR(_xlfn.XLOOKUP($B887,Insumo[DESCRIPCION],Insumo[VALOR],,0),"")</f>
        <v>734706</v>
      </c>
      <c r="F887" s="33">
        <v>5</v>
      </c>
      <c r="G887" s="34">
        <f>IFERROR(IF(F887&gt;=0,D887*E887*(1+F887/100),ABS(D887*E887/F887)),"")</f>
        <v>771441.3</v>
      </c>
      <c r="H887" s="43">
        <f>IFERROR(G887*E884,"")</f>
        <v>0</v>
      </c>
    </row>
    <row r="888" spans="1:11" ht="12.75" customHeight="1">
      <c r="A888" s="28"/>
      <c r="B888" s="29"/>
      <c r="C888" s="30" t="str">
        <f>IFERROR(_xlfn.XLOOKUP(B888,Insumo[DESCRIPCION],Insumo[UND],,0),"")</f>
        <v/>
      </c>
      <c r="D888" s="31"/>
      <c r="E888" s="32" t="str">
        <f>IFERROR(_xlfn.XLOOKUP($B888,Insumo[DESCRIPCION],Insumo[VALOR],,0),"")</f>
        <v/>
      </c>
      <c r="F888" s="33"/>
      <c r="G888" s="34" t="str">
        <f>IFERROR(IF(F888&gt;=0,D888*E888*(1+F888/100),ABS(D888*E888/F888)),"")</f>
        <v/>
      </c>
      <c r="H888" s="43" t="str">
        <f>IFERROR(G888*E884,"")</f>
        <v/>
      </c>
    </row>
    <row r="889" spans="1:11" ht="12.75" customHeight="1">
      <c r="A889" s="28"/>
      <c r="B889" s="29"/>
      <c r="C889" s="30" t="str">
        <f>IFERROR(_xlfn.XLOOKUP(B889,Insumo[DESCRIPCION],Insumo[UND],,0),"")</f>
        <v/>
      </c>
      <c r="D889" s="31"/>
      <c r="E889" s="32" t="str">
        <f>IFERROR(_xlfn.XLOOKUP($B889,Insumo[DESCRIPCION],Insumo[VALOR],,0),"")</f>
        <v/>
      </c>
      <c r="F889" s="33"/>
      <c r="G889" s="34" t="str">
        <f>IFERROR(IF(F889&gt;=0,D889*E889*(1+F889/100),ABS(D889*E889/F889)),"")</f>
        <v/>
      </c>
      <c r="H889" s="43" t="str">
        <f>IFERROR(G889*E884,"")</f>
        <v/>
      </c>
    </row>
    <row r="890" spans="1:11" ht="12.75" customHeight="1">
      <c r="A890" s="28"/>
      <c r="B890" s="29"/>
      <c r="C890" s="30" t="str">
        <f>IFERROR(_xlfn.XLOOKUP(B890,Insumo[DESCRIPCION],Insumo[UND],,0),"")</f>
        <v/>
      </c>
      <c r="D890" s="31"/>
      <c r="E890" s="32" t="str">
        <f>IFERROR(_xlfn.XLOOKUP($B890,Insumo[DESCRIPCION],Insumo[VALOR],,0),"")</f>
        <v/>
      </c>
      <c r="F890" s="33"/>
      <c r="G890" s="34" t="str">
        <f>IFERROR(IF(F890&gt;=0,D890*E890*(1+F890/100),ABS(D890*E890/F890)),"")</f>
        <v/>
      </c>
      <c r="H890" s="43" t="str">
        <f>IFERROR(G890*E884,"")</f>
        <v/>
      </c>
    </row>
    <row r="891" spans="1:11" ht="12.75" customHeight="1">
      <c r="A891" s="28"/>
      <c r="B891" s="29"/>
      <c r="C891" s="30" t="str">
        <f>IFERROR(_xlfn.XLOOKUP(B891,Insumo[DESCRIPCION],Insumo[UND],,0),"")</f>
        <v/>
      </c>
      <c r="D891" s="31"/>
      <c r="E891" s="32" t="str">
        <f>IFERROR(_xlfn.XLOOKUP($B891,Insumo[DESCRIPCION],Insumo[VALOR],,0),"")</f>
        <v/>
      </c>
      <c r="F891" s="33"/>
      <c r="G891" s="34" t="str">
        <f>IFERROR(IF(F891&gt;=0,D891*E891*(1+F891/100),ABS(D891*E891/F891)),"")</f>
        <v/>
      </c>
      <c r="H891" s="43" t="str">
        <f>IFERROR(G891*E884,"")</f>
        <v/>
      </c>
    </row>
    <row r="892" spans="1:11" ht="12.75" customHeight="1">
      <c r="A892" s="21"/>
      <c r="B892" s="22" t="s">
        <v>3731</v>
      </c>
      <c r="C892" s="23"/>
      <c r="D892" s="24"/>
      <c r="E892" s="25"/>
      <c r="F892" s="26"/>
      <c r="G892" s="27">
        <f>SUM(G893:G895)</f>
        <v>17599.313534010005</v>
      </c>
      <c r="H892" s="44">
        <f>G892*E884</f>
        <v>0</v>
      </c>
    </row>
    <row r="893" spans="1:11" ht="12.75" customHeight="1">
      <c r="A893" s="28"/>
      <c r="B893" s="29" t="s">
        <v>3657</v>
      </c>
      <c r="C893" s="30" t="str">
        <f>IFERROR(_xlfn.XLOOKUP(B893,Equipo[DESCRIPCION],Equipo[UND],,0),"")</f>
        <v>Día</v>
      </c>
      <c r="D893" s="31">
        <v>1</v>
      </c>
      <c r="E893" s="32">
        <f>IF(C893="%MO",G899,IFERROR(_xlfn.XLOOKUP($B893,Equipo[DESCRIPCION],Equipo[VALOR],,0),""))</f>
        <v>56524.65</v>
      </c>
      <c r="F893" s="33">
        <v>-10</v>
      </c>
      <c r="G893" s="34">
        <f>IFERROR(IF(F893&gt;=0,D893*E893*(1+F893/100),ABS(D893*E893/F893)),"")</f>
        <v>5652.4650000000001</v>
      </c>
      <c r="H893" s="43">
        <f>IFERROR(G893*E884,"")</f>
        <v>0</v>
      </c>
    </row>
    <row r="894" spans="1:11" ht="12.75" customHeight="1">
      <c r="A894" s="28"/>
      <c r="B894" s="29" t="s">
        <v>3570</v>
      </c>
      <c r="C894" s="30" t="str">
        <f>IFERROR(_xlfn.XLOOKUP(B894,Equipo[DESCRIPCION],Equipo[UND],,0),"")</f>
        <v>%MO</v>
      </c>
      <c r="D894" s="31">
        <v>0.04</v>
      </c>
      <c r="E894" s="32">
        <f>IF(C894="%MO",G899,IFERROR(_xlfn.XLOOKUP($B894,Equipo[DESCRIPCION],Equipo[VALOR],,0),""))</f>
        <v>132742.76148900003</v>
      </c>
      <c r="F894" s="33"/>
      <c r="G894" s="34">
        <f>IFERROR(IF(F894&gt;=0,D894*E894*(1+F894/100),ABS(D894*E894/F894)),"")</f>
        <v>5309.7104595600013</v>
      </c>
      <c r="H894" s="43">
        <f>IFERROR(G894*E884,"")</f>
        <v>0</v>
      </c>
    </row>
    <row r="895" spans="1:11" ht="12.75" customHeight="1">
      <c r="A895" s="28"/>
      <c r="B895" s="29" t="s">
        <v>3626</v>
      </c>
      <c r="C895" s="30" t="str">
        <f>IFERROR(_xlfn.XLOOKUP(B895,Equipo[DESCRIPCION],Equipo[UND],,0),"")</f>
        <v>%MO</v>
      </c>
      <c r="D895" s="31">
        <v>0.05</v>
      </c>
      <c r="E895" s="32">
        <f>IF(C895="%MO",G899,IFERROR(_xlfn.XLOOKUP($B895,Equipo[DESCRIPCION],Equipo[VALOR],,0),""))</f>
        <v>132742.76148900003</v>
      </c>
      <c r="F895" s="33"/>
      <c r="G895" s="34">
        <f>IFERROR(IF(F895&gt;=0,D895*E895*(1+F895/100),ABS(D895*E895/F895)),"")</f>
        <v>6637.138074450002</v>
      </c>
      <c r="H895" s="43">
        <f>IFERROR(G895*E884,"")</f>
        <v>0</v>
      </c>
    </row>
    <row r="896" spans="1:11" ht="12.75" customHeight="1">
      <c r="A896" s="21"/>
      <c r="B896" s="22" t="s">
        <v>2533</v>
      </c>
      <c r="C896" s="23"/>
      <c r="D896" s="24"/>
      <c r="E896" s="25"/>
      <c r="F896" s="26"/>
      <c r="G896" s="27">
        <f>SUM(G897:G898)</f>
        <v>0</v>
      </c>
      <c r="H896" s="44">
        <f>G896*E884</f>
        <v>0</v>
      </c>
    </row>
    <row r="897" spans="1:11" ht="12.75" customHeight="1">
      <c r="A897" s="28"/>
      <c r="B897" s="29"/>
      <c r="C897" s="30" t="str">
        <f>IFERROR(_xlfn.XLOOKUP(B897,Transporte[DESCRIPCION],Transporte[UND],,0),"")</f>
        <v/>
      </c>
      <c r="D897" s="31"/>
      <c r="E897" s="32" t="str">
        <f>IFERROR(_xlfn.XLOOKUP($B897,Transporte[DESCRIPCION],Transporte[VALOR],,0),"")</f>
        <v/>
      </c>
      <c r="F897" s="33"/>
      <c r="G897" s="34" t="str">
        <f>IFERROR(IF(F897&gt;=0,D897*E897*(1+F897/100),ABS(D897*E897/F897)),"")</f>
        <v/>
      </c>
      <c r="H897" s="43" t="str">
        <f>IFERROR(G897*E884,"")</f>
        <v/>
      </c>
    </row>
    <row r="898" spans="1:11" ht="12.75" customHeight="1">
      <c r="A898" s="28"/>
      <c r="B898" s="29"/>
      <c r="C898" s="30" t="str">
        <f>IFERROR(_xlfn.XLOOKUP(B898,Transporte[DESCRIPCION],Transporte[UND],,0),"")</f>
        <v/>
      </c>
      <c r="D898" s="31"/>
      <c r="E898" s="32" t="str">
        <f>IFERROR(_xlfn.XLOOKUP($B898,Transporte[DESCRIPCION],Transporte[VALOR],,0),"")</f>
        <v/>
      </c>
      <c r="F898" s="33"/>
      <c r="G898" s="34" t="str">
        <f>IFERROR(IF(F898&gt;=0,D898*E898*(1+F898/100),ABS(D898*E898/F898)),"")</f>
        <v/>
      </c>
      <c r="H898" s="43" t="str">
        <f>IFERROR(G898*E884,"")</f>
        <v/>
      </c>
    </row>
    <row r="899" spans="1:11" ht="12.75" customHeight="1">
      <c r="A899" s="21"/>
      <c r="B899" s="22" t="s">
        <v>3732</v>
      </c>
      <c r="C899" s="23"/>
      <c r="D899" s="24"/>
      <c r="E899" s="25"/>
      <c r="F899" s="26"/>
      <c r="G899" s="27">
        <f>SUM(G900:G902)</f>
        <v>132742.76148900003</v>
      </c>
      <c r="H899" s="44">
        <f>G899*E884</f>
        <v>0</v>
      </c>
    </row>
    <row r="900" spans="1:11" ht="12.75" customHeight="1">
      <c r="A900" s="28"/>
      <c r="B900" s="29" t="s">
        <v>3713</v>
      </c>
      <c r="C900" s="30" t="str">
        <f>IFERROR(_xlfn.XLOOKUP(B900,MObra[DESCRIPCION],MObra[UN],,0),"")</f>
        <v>día</v>
      </c>
      <c r="D900" s="31">
        <v>1</v>
      </c>
      <c r="E900" s="32">
        <f>IFERROR(_xlfn.XLOOKUP($B900,MObra[DESCRIPCION],MObra[VALOR UNIT],,0),"")</f>
        <v>663713.80744500016</v>
      </c>
      <c r="F900" s="33">
        <v>-5</v>
      </c>
      <c r="G900" s="34">
        <f>IFERROR(IF(F900&gt;=0,D900*E900*(1+F900/100),ABS(D900*E900/F900)),"")</f>
        <v>132742.76148900003</v>
      </c>
      <c r="H900" s="43">
        <f>IFERROR(G900*E884,"")</f>
        <v>0</v>
      </c>
    </row>
    <row r="901" spans="1:11" ht="12.75" customHeight="1">
      <c r="A901" s="28"/>
      <c r="B901" s="29"/>
      <c r="C901" s="30" t="str">
        <f t="array" ref="C901">IFERROR(_xlfn.XLOOKUP(B901,MObra[[#All],[DESCRIPCION]],MObra[[#All],[UN]],,0),"")</f>
        <v/>
      </c>
      <c r="D901" s="31"/>
      <c r="E901" s="32" t="str">
        <f>IFERROR(_xlfn.XLOOKUP($B901,MObra[DESCRIPCION],MObra[VALOR UNIT],,0),"")</f>
        <v/>
      </c>
      <c r="F901" s="33"/>
      <c r="G901" s="34" t="str">
        <f>IFERROR(IF(F901&gt;=0,D901*E901*(1+F901/100),ABS(D901*E901/F901)),"")</f>
        <v/>
      </c>
      <c r="H901" s="43" t="str">
        <f>IFERROR(G901*E884,"")</f>
        <v/>
      </c>
    </row>
    <row r="902" spans="1:11" ht="12.75" customHeight="1" thickBot="1">
      <c r="A902" s="35"/>
      <c r="B902" s="36"/>
      <c r="C902" s="37" t="str">
        <f t="array" ref="C902">IFERROR(_xlfn.XLOOKUP(B902,MObra[[#All],[DESCRIPCION]],MObra[[#All],[UN]],,0),"")</f>
        <v/>
      </c>
      <c r="D902" s="38"/>
      <c r="E902" s="39" t="str">
        <f>IFERROR(_xlfn.XLOOKUP($B902,MObra[DESCRIPCION],MObra[VALOR UNIT],,0),"")</f>
        <v/>
      </c>
      <c r="F902" s="40"/>
      <c r="G902" s="41" t="str">
        <f>IFERROR(IF(F902&gt;=0,D902*E902*(1+F902/100),ABS(D902*E902/F902)),"")</f>
        <v/>
      </c>
      <c r="H902" s="42" t="str">
        <f>IFERROR(G902*E884,"")</f>
        <v/>
      </c>
    </row>
    <row r="903" spans="1:11" ht="12.75" customHeight="1" thickTop="1" thickBot="1">
      <c r="A903" s="79"/>
      <c r="B903" s="80"/>
      <c r="C903" s="81"/>
      <c r="D903" s="143"/>
      <c r="E903" s="107"/>
      <c r="F903" s="144"/>
      <c r="G903" s="145"/>
      <c r="H903" s="145"/>
    </row>
    <row r="904" spans="1:11" ht="12.75" customHeight="1" thickTop="1" thickBot="1">
      <c r="A904" s="6" t="s">
        <v>399</v>
      </c>
      <c r="B904" s="7" t="str">
        <f>VLOOKUP($A904,Presupuesto!$A:$D,2,FALSE())</f>
        <v>Concreto 20.7 Mpa simple</v>
      </c>
      <c r="C904" s="8" t="str">
        <f>VLOOKUP($A904,Presupuesto!$A:$D,3,FALSE())</f>
        <v>M3</v>
      </c>
      <c r="D904" s="9"/>
      <c r="E904" s="10">
        <f>VLOOKUP($A904,Presupuesto!$A:$D,4,FALSE())</f>
        <v>0</v>
      </c>
      <c r="F904" s="11" t="s">
        <v>2589</v>
      </c>
      <c r="G904" s="12">
        <f>SUM(G906:G922)/2</f>
        <v>667098.58188335563</v>
      </c>
      <c r="H904" s="13">
        <f>ROUND(SUM(H906:H922),0)/2</f>
        <v>0</v>
      </c>
      <c r="I904" s="10">
        <f>VLOOKUP(A904,Presupuesto!$A:$F,6,0)</f>
        <v>0</v>
      </c>
      <c r="J904" s="10">
        <f>+H904-I904</f>
        <v>0</v>
      </c>
      <c r="K904" s="46">
        <f>+H904-G904*E904</f>
        <v>0</v>
      </c>
    </row>
    <row r="905" spans="1:11" ht="12.75" customHeight="1" thickTop="1">
      <c r="A905" s="14"/>
      <c r="B905" s="15" t="s">
        <v>2586</v>
      </c>
      <c r="C905" s="15" t="s">
        <v>5</v>
      </c>
      <c r="D905" s="16" t="s">
        <v>6</v>
      </c>
      <c r="E905" s="17" t="s">
        <v>7</v>
      </c>
      <c r="F905" s="18" t="s">
        <v>3728</v>
      </c>
      <c r="G905" s="19" t="s">
        <v>3729</v>
      </c>
      <c r="H905" s="20" t="s">
        <v>3797</v>
      </c>
    </row>
    <row r="906" spans="1:11" ht="12.75" customHeight="1">
      <c r="A906" s="21"/>
      <c r="B906" s="22" t="s">
        <v>3730</v>
      </c>
      <c r="C906" s="23"/>
      <c r="D906" s="24"/>
      <c r="E906" s="25"/>
      <c r="F906" s="26"/>
      <c r="G906" s="27">
        <f>SUM(G907:G911)</f>
        <v>547217.4773915055</v>
      </c>
      <c r="H906" s="27">
        <f>IFERROR(G906*E904,"")</f>
        <v>0</v>
      </c>
    </row>
    <row r="907" spans="1:11" ht="12.75" customHeight="1">
      <c r="A907" s="28"/>
      <c r="B907" s="29" t="s">
        <v>3239</v>
      </c>
      <c r="C907" s="30" t="str">
        <f>IFERROR(_xlfn.XLOOKUP(B907,Insumo[DESCRIPCION],Insumo[UND],,0),"")</f>
        <v>M3</v>
      </c>
      <c r="D907" s="31">
        <v>1</v>
      </c>
      <c r="E907" s="32">
        <f>IFERROR(_xlfn.XLOOKUP($B907,Insumo[DESCRIPCION],Insumo[VALOR],,0),"")</f>
        <v>521159.50227762427</v>
      </c>
      <c r="F907" s="33">
        <v>5</v>
      </c>
      <c r="G907" s="34">
        <f>IFERROR(IF(F907&gt;=0,D907*E907*(1+F907/100),ABS(D907*E907/F907)),"")</f>
        <v>547217.4773915055</v>
      </c>
      <c r="H907" s="43">
        <f>IFERROR(G907*E904,"")</f>
        <v>0</v>
      </c>
    </row>
    <row r="908" spans="1:11" ht="12.75" customHeight="1">
      <c r="A908" s="28"/>
      <c r="B908" s="29"/>
      <c r="C908" s="30" t="str">
        <f>IFERROR(_xlfn.XLOOKUP(B908,Insumo[DESCRIPCION],Insumo[UND],,0),"")</f>
        <v/>
      </c>
      <c r="D908" s="31"/>
      <c r="E908" s="32" t="str">
        <f>IFERROR(_xlfn.XLOOKUP($B908,Insumo[DESCRIPCION],Insumo[VALOR],,0),"")</f>
        <v/>
      </c>
      <c r="F908" s="33"/>
      <c r="G908" s="34" t="str">
        <f>IFERROR(IF(F908&gt;=0,D908*E908*(1+F908/100),ABS(D908*E908/F908)),"")</f>
        <v/>
      </c>
      <c r="H908" s="43" t="str">
        <f>IFERROR(G908*E904,"")</f>
        <v/>
      </c>
    </row>
    <row r="909" spans="1:11" ht="12.75" customHeight="1">
      <c r="A909" s="28"/>
      <c r="B909" s="29"/>
      <c r="C909" s="30" t="str">
        <f>IFERROR(_xlfn.XLOOKUP(B909,Insumo[DESCRIPCION],Insumo[UND],,0),"")</f>
        <v/>
      </c>
      <c r="D909" s="31"/>
      <c r="E909" s="32" t="str">
        <f>IFERROR(_xlfn.XLOOKUP($B909,Insumo[DESCRIPCION],Insumo[VALOR],,0),"")</f>
        <v/>
      </c>
      <c r="F909" s="33"/>
      <c r="G909" s="34" t="str">
        <f>IFERROR(IF(F909&gt;=0,D909*E909*(1+F909/100),ABS(D909*E909/F909)),"")</f>
        <v/>
      </c>
      <c r="H909" s="43" t="str">
        <f>IFERROR(G909*E904,"")</f>
        <v/>
      </c>
    </row>
    <row r="910" spans="1:11" ht="12.75" customHeight="1">
      <c r="A910" s="28"/>
      <c r="B910" s="29"/>
      <c r="C910" s="30" t="str">
        <f>IFERROR(_xlfn.XLOOKUP(B910,Insumo[DESCRIPCION],Insumo[UND],,0),"")</f>
        <v/>
      </c>
      <c r="D910" s="31"/>
      <c r="E910" s="32" t="str">
        <f>IFERROR(_xlfn.XLOOKUP($B910,Insumo[DESCRIPCION],Insumo[VALOR],,0),"")</f>
        <v/>
      </c>
      <c r="F910" s="33"/>
      <c r="G910" s="34" t="str">
        <f>IFERROR(IF(F910&gt;=0,D910*E910*(1+F910/100),ABS(D910*E910/F910)),"")</f>
        <v/>
      </c>
      <c r="H910" s="43" t="str">
        <f>IFERROR(G910*E904,"")</f>
        <v/>
      </c>
    </row>
    <row r="911" spans="1:11" ht="12.75" customHeight="1">
      <c r="A911" s="28"/>
      <c r="B911" s="29"/>
      <c r="C911" s="30" t="str">
        <f>IFERROR(_xlfn.XLOOKUP(B911,Insumo[DESCRIPCION],Insumo[UND],,0),"")</f>
        <v/>
      </c>
      <c r="D911" s="31"/>
      <c r="E911" s="32" t="str">
        <f>IFERROR(_xlfn.XLOOKUP($B911,Insumo[DESCRIPCION],Insumo[VALOR],,0),"")</f>
        <v/>
      </c>
      <c r="F911" s="33"/>
      <c r="G911" s="34" t="str">
        <f>IFERROR(IF(F911&gt;=0,D911*E911*(1+F911/100),ABS(D911*E911/F911)),"")</f>
        <v/>
      </c>
      <c r="H911" s="43" t="str">
        <f>IFERROR(G911*E904,"")</f>
        <v/>
      </c>
    </row>
    <row r="912" spans="1:11" ht="12.75" customHeight="1">
      <c r="A912" s="21"/>
      <c r="B912" s="22" t="s">
        <v>3731</v>
      </c>
      <c r="C912" s="23"/>
      <c r="D912" s="24"/>
      <c r="E912" s="25"/>
      <c r="F912" s="26"/>
      <c r="G912" s="27">
        <f>SUM(G913:G915)</f>
        <v>15084.187526850004</v>
      </c>
      <c r="H912" s="44">
        <f>G912*E904</f>
        <v>0</v>
      </c>
    </row>
    <row r="913" spans="1:11" ht="12.75" customHeight="1">
      <c r="A913" s="28"/>
      <c r="B913" s="29" t="s">
        <v>3657</v>
      </c>
      <c r="C913" s="30" t="str">
        <f>IFERROR(_xlfn.XLOOKUP(B913,Equipo[DESCRIPCION],Equipo[UND],,0),"")</f>
        <v>Día</v>
      </c>
      <c r="D913" s="31">
        <v>1</v>
      </c>
      <c r="E913" s="32">
        <f>IF(C913="%MO",G919,IFERROR(_xlfn.XLOOKUP($B913,Equipo[DESCRIPCION],Equipo[VALOR],,0),""))</f>
        <v>56524.65</v>
      </c>
      <c r="F913" s="33">
        <v>-10</v>
      </c>
      <c r="G913" s="34">
        <f>IFERROR(IF(F913&gt;=0,D913*E913*(1+F913/100),ABS(D913*E913/F913)),"")</f>
        <v>5652.4650000000001</v>
      </c>
      <c r="H913" s="43">
        <f>IFERROR(G913*E904,"")</f>
        <v>0</v>
      </c>
    </row>
    <row r="914" spans="1:11" ht="12.75" customHeight="1">
      <c r="A914" s="28"/>
      <c r="B914" s="29" t="s">
        <v>3570</v>
      </c>
      <c r="C914" s="30" t="str">
        <f>IFERROR(_xlfn.XLOOKUP(B914,Equipo[DESCRIPCION],Equipo[UND],,0),"")</f>
        <v>%MO</v>
      </c>
      <c r="D914" s="31">
        <v>0.04</v>
      </c>
      <c r="E914" s="32">
        <f>IF(C914="%MO",G919,IFERROR(_xlfn.XLOOKUP($B914,Equipo[DESCRIPCION],Equipo[VALOR],,0),""))</f>
        <v>104796.91696500003</v>
      </c>
      <c r="F914" s="33"/>
      <c r="G914" s="34">
        <f>IFERROR(IF(F914&gt;=0,D914*E914*(1+F914/100),ABS(D914*E914/F914)),"")</f>
        <v>4191.8766786000015</v>
      </c>
      <c r="H914" s="43">
        <f>IFERROR(G914*E904,"")</f>
        <v>0</v>
      </c>
    </row>
    <row r="915" spans="1:11" ht="12.75" customHeight="1">
      <c r="A915" s="28"/>
      <c r="B915" s="29" t="s">
        <v>3626</v>
      </c>
      <c r="C915" s="30" t="str">
        <f>IFERROR(_xlfn.XLOOKUP(B915,Equipo[DESCRIPCION],Equipo[UND],,0),"")</f>
        <v>%MO</v>
      </c>
      <c r="D915" s="31">
        <v>0.05</v>
      </c>
      <c r="E915" s="32">
        <f>IF(C915="%MO",G919,IFERROR(_xlfn.XLOOKUP($B915,Equipo[DESCRIPCION],Equipo[VALOR],,0),""))</f>
        <v>104796.91696500003</v>
      </c>
      <c r="F915" s="33"/>
      <c r="G915" s="34">
        <f>IFERROR(IF(F915&gt;=0,D915*E915*(1+F915/100),ABS(D915*E915/F915)),"")</f>
        <v>5239.8458482500018</v>
      </c>
      <c r="H915" s="43">
        <f>IFERROR(G915*E904,"")</f>
        <v>0</v>
      </c>
    </row>
    <row r="916" spans="1:11" ht="12.75" customHeight="1">
      <c r="A916" s="21"/>
      <c r="B916" s="22" t="s">
        <v>2533</v>
      </c>
      <c r="C916" s="23"/>
      <c r="D916" s="24"/>
      <c r="E916" s="25"/>
      <c r="F916" s="26"/>
      <c r="G916" s="27">
        <f>SUM(G917:G918)</f>
        <v>0</v>
      </c>
      <c r="H916" s="44">
        <f>G916*E904</f>
        <v>0</v>
      </c>
    </row>
    <row r="917" spans="1:11" ht="12.75" customHeight="1">
      <c r="A917" s="28"/>
      <c r="B917" s="29"/>
      <c r="C917" s="30" t="str">
        <f>IFERROR(_xlfn.XLOOKUP(B917,Transporte[DESCRIPCION],Transporte[UND],,0),"")</f>
        <v/>
      </c>
      <c r="D917" s="31"/>
      <c r="E917" s="32" t="str">
        <f>IFERROR(_xlfn.XLOOKUP($B917,Transporte[DESCRIPCION],Transporte[VALOR],,0),"")</f>
        <v/>
      </c>
      <c r="F917" s="33"/>
      <c r="G917" s="34" t="str">
        <f>IFERROR(IF(F917&gt;=0,D917*E917*(1+F917/100),ABS(D917*E917/F917)),"")</f>
        <v/>
      </c>
      <c r="H917" s="43" t="str">
        <f>IFERROR(G917*E904,"")</f>
        <v/>
      </c>
    </row>
    <row r="918" spans="1:11" ht="12.75" customHeight="1">
      <c r="A918" s="28"/>
      <c r="B918" s="29"/>
      <c r="C918" s="30" t="str">
        <f>IFERROR(_xlfn.XLOOKUP(B918,Transporte[DESCRIPCION],Transporte[UND],,0),"")</f>
        <v/>
      </c>
      <c r="D918" s="31"/>
      <c r="E918" s="32" t="str">
        <f>IFERROR(_xlfn.XLOOKUP($B918,Transporte[DESCRIPCION],Transporte[VALOR],,0),"")</f>
        <v/>
      </c>
      <c r="F918" s="33"/>
      <c r="G918" s="34" t="str">
        <f>IFERROR(IF(F918&gt;=0,D918*E918*(1+F918/100),ABS(D918*E918/F918)),"")</f>
        <v/>
      </c>
      <c r="H918" s="43" t="str">
        <f>IFERROR(G918*E904,"")</f>
        <v/>
      </c>
    </row>
    <row r="919" spans="1:11" ht="12.75" customHeight="1">
      <c r="A919" s="21"/>
      <c r="B919" s="22" t="s">
        <v>3732</v>
      </c>
      <c r="C919" s="23"/>
      <c r="D919" s="24"/>
      <c r="E919" s="25"/>
      <c r="F919" s="26"/>
      <c r="G919" s="27">
        <f>SUM(G920:G922)</f>
        <v>104796.91696500003</v>
      </c>
      <c r="H919" s="44">
        <f>G919*E904</f>
        <v>0</v>
      </c>
    </row>
    <row r="920" spans="1:11" ht="12.75" customHeight="1">
      <c r="A920" s="28"/>
      <c r="B920" s="29" t="s">
        <v>3710</v>
      </c>
      <c r="C920" s="30" t="str">
        <f>IFERROR(_xlfn.XLOOKUP(B920,MObra[DESCRIPCION],MObra[UN],,0),"")</f>
        <v>día</v>
      </c>
      <c r="D920" s="31">
        <v>1</v>
      </c>
      <c r="E920" s="32">
        <f>IFERROR(_xlfn.XLOOKUP($B920,MObra[DESCRIPCION],MObra[VALOR UNIT],,0),"")</f>
        <v>314390.75089500006</v>
      </c>
      <c r="F920" s="33">
        <v>-3</v>
      </c>
      <c r="G920" s="34">
        <f>IFERROR(IF(F920&gt;=0,D920*E920*(1+F920/100),ABS(D920*E920/F920)),"")</f>
        <v>104796.91696500003</v>
      </c>
      <c r="H920" s="43">
        <f>IFERROR(G920*E904,"")</f>
        <v>0</v>
      </c>
    </row>
    <row r="921" spans="1:11" ht="12.75" customHeight="1">
      <c r="A921" s="28"/>
      <c r="B921" s="29"/>
      <c r="C921" s="30" t="str">
        <f t="array" ref="C921">IFERROR(_xlfn.XLOOKUP(B921,MObra[[#All],[DESCRIPCION]],MObra[[#All],[UN]],,0),"")</f>
        <v/>
      </c>
      <c r="D921" s="31"/>
      <c r="E921" s="32" t="str">
        <f>IFERROR(_xlfn.XLOOKUP($B921,MObra[DESCRIPCION],MObra[VALOR UNIT],,0),"")</f>
        <v/>
      </c>
      <c r="F921" s="33"/>
      <c r="G921" s="34" t="str">
        <f>IFERROR(IF(F921&gt;=0,D921*E921*(1+F921/100),ABS(D921*E921/F921)),"")</f>
        <v/>
      </c>
      <c r="H921" s="43" t="str">
        <f>IFERROR(G921*E904,"")</f>
        <v/>
      </c>
    </row>
    <row r="922" spans="1:11" ht="12.75" customHeight="1" thickBot="1">
      <c r="A922" s="35"/>
      <c r="B922" s="36"/>
      <c r="C922" s="37" t="str">
        <f t="array" ref="C922">IFERROR(_xlfn.XLOOKUP(B922,MObra[[#All],[DESCRIPCION]],MObra[[#All],[UN]],,0),"")</f>
        <v/>
      </c>
      <c r="D922" s="38"/>
      <c r="E922" s="39" t="str">
        <f>IFERROR(_xlfn.XLOOKUP($B922,MObra[DESCRIPCION],MObra[VALOR UNIT],,0),"")</f>
        <v/>
      </c>
      <c r="F922" s="40"/>
      <c r="G922" s="41" t="str">
        <f>IFERROR(IF(F922&gt;=0,D922*E922*(1+F922/100),ABS(D922*E922/F922)),"")</f>
        <v/>
      </c>
      <c r="H922" s="42" t="str">
        <f>IFERROR(G922*E904,"")</f>
        <v/>
      </c>
    </row>
    <row r="923" spans="1:11" ht="12.75" customHeight="1" thickTop="1" thickBot="1"/>
    <row r="924" spans="1:11" ht="12.75" customHeight="1" thickTop="1" thickBot="1">
      <c r="A924" s="6" t="s">
        <v>401</v>
      </c>
      <c r="B924" s="7" t="str">
        <f>VLOOKUP($A924,Presupuesto!$A:$D,2,FALSE())</f>
        <v>Concreto 24.1 Mpa simple</v>
      </c>
      <c r="C924" s="8" t="str">
        <f>VLOOKUP($A924,Presupuesto!$A:$D,3,FALSE())</f>
        <v>M3</v>
      </c>
      <c r="D924" s="9"/>
      <c r="E924" s="10">
        <f>VLOOKUP($A924,Presupuesto!$A:$D,4,FALSE())</f>
        <v>0</v>
      </c>
      <c r="F924" s="11" t="s">
        <v>2589</v>
      </c>
      <c r="G924" s="12">
        <f>SUM(G926:G942)/2</f>
        <v>686660.92316278943</v>
      </c>
      <c r="H924" s="13">
        <f>ROUND(SUM(H926:H942),0)/2</f>
        <v>0</v>
      </c>
      <c r="I924" s="10">
        <f>VLOOKUP(A924,Presupuesto!$A:$F,6,0)</f>
        <v>0</v>
      </c>
      <c r="J924" s="10">
        <f>+H924-I924</f>
        <v>0</v>
      </c>
      <c r="K924" s="46">
        <f>+H924-G924*E924</f>
        <v>0</v>
      </c>
    </row>
    <row r="925" spans="1:11" ht="12.75" customHeight="1" thickTop="1">
      <c r="A925" s="14"/>
      <c r="B925" s="15" t="s">
        <v>2586</v>
      </c>
      <c r="C925" s="15" t="s">
        <v>5</v>
      </c>
      <c r="D925" s="16" t="s">
        <v>6</v>
      </c>
      <c r="E925" s="17" t="s">
        <v>7</v>
      </c>
      <c r="F925" s="18" t="s">
        <v>3728</v>
      </c>
      <c r="G925" s="19" t="s">
        <v>3729</v>
      </c>
      <c r="H925" s="20" t="s">
        <v>3797</v>
      </c>
    </row>
    <row r="926" spans="1:11" ht="12.75" customHeight="1">
      <c r="A926" s="21"/>
      <c r="B926" s="22" t="s">
        <v>3730</v>
      </c>
      <c r="C926" s="23"/>
      <c r="D926" s="24"/>
      <c r="E926" s="25"/>
      <c r="F926" s="26"/>
      <c r="G926" s="27">
        <f>SUM(G927:G931)</f>
        <v>566779.8186709393</v>
      </c>
      <c r="H926" s="27">
        <f>IFERROR(G926*E924,"")</f>
        <v>0</v>
      </c>
    </row>
    <row r="927" spans="1:11" ht="12.75" customHeight="1">
      <c r="A927" s="28"/>
      <c r="B927" s="29" t="s">
        <v>3240</v>
      </c>
      <c r="C927" s="30" t="str">
        <f>IFERROR(_xlfn.XLOOKUP(B927,Insumo[DESCRIPCION],Insumo[UND],,0),"")</f>
        <v>M3</v>
      </c>
      <c r="D927" s="31">
        <v>1</v>
      </c>
      <c r="E927" s="32">
        <f>IFERROR(_xlfn.XLOOKUP($B927,Insumo[DESCRIPCION],Insumo[VALOR],,0),"")</f>
        <v>539790.3034961326</v>
      </c>
      <c r="F927" s="33">
        <v>5</v>
      </c>
      <c r="G927" s="34">
        <f>IFERROR(IF(F927&gt;=0,D927*E927*(1+F927/100),ABS(D927*E927/F927)),"")</f>
        <v>566779.8186709393</v>
      </c>
      <c r="H927" s="43">
        <f>IFERROR(G927*E924,"")</f>
        <v>0</v>
      </c>
    </row>
    <row r="928" spans="1:11" ht="12.75" customHeight="1">
      <c r="A928" s="28"/>
      <c r="B928" s="29"/>
      <c r="C928" s="30" t="str">
        <f>IFERROR(_xlfn.XLOOKUP(B928,Insumo[DESCRIPCION],Insumo[UND],,0),"")</f>
        <v/>
      </c>
      <c r="D928" s="31"/>
      <c r="E928" s="32" t="str">
        <f>IFERROR(_xlfn.XLOOKUP($B928,Insumo[DESCRIPCION],Insumo[VALOR],,0),"")</f>
        <v/>
      </c>
      <c r="F928" s="33"/>
      <c r="G928" s="34" t="str">
        <f>IFERROR(IF(F928&gt;=0,D928*E928*(1+F928/100),ABS(D928*E928/F928)),"")</f>
        <v/>
      </c>
      <c r="H928" s="43" t="str">
        <f>IFERROR(G928*E924,"")</f>
        <v/>
      </c>
    </row>
    <row r="929" spans="1:11" ht="12.75" customHeight="1">
      <c r="A929" s="28"/>
      <c r="B929" s="29"/>
      <c r="C929" s="30" t="str">
        <f>IFERROR(_xlfn.XLOOKUP(B929,Insumo[DESCRIPCION],Insumo[UND],,0),"")</f>
        <v/>
      </c>
      <c r="D929" s="31"/>
      <c r="E929" s="32" t="str">
        <f>IFERROR(_xlfn.XLOOKUP($B929,Insumo[DESCRIPCION],Insumo[VALOR],,0),"")</f>
        <v/>
      </c>
      <c r="F929" s="33"/>
      <c r="G929" s="34" t="str">
        <f>IFERROR(IF(F929&gt;=0,D929*E929*(1+F929/100),ABS(D929*E929/F929)),"")</f>
        <v/>
      </c>
      <c r="H929" s="43" t="str">
        <f>IFERROR(G929*E924,"")</f>
        <v/>
      </c>
    </row>
    <row r="930" spans="1:11" ht="12.75" customHeight="1">
      <c r="A930" s="28"/>
      <c r="B930" s="29"/>
      <c r="C930" s="30" t="str">
        <f>IFERROR(_xlfn.XLOOKUP(B930,Insumo[DESCRIPCION],Insumo[UND],,0),"")</f>
        <v/>
      </c>
      <c r="D930" s="31"/>
      <c r="E930" s="32" t="str">
        <f>IFERROR(_xlfn.XLOOKUP($B930,Insumo[DESCRIPCION],Insumo[VALOR],,0),"")</f>
        <v/>
      </c>
      <c r="F930" s="33"/>
      <c r="G930" s="34" t="str">
        <f>IFERROR(IF(F930&gt;=0,D930*E930*(1+F930/100),ABS(D930*E930/F930)),"")</f>
        <v/>
      </c>
      <c r="H930" s="43" t="str">
        <f>IFERROR(G930*E924,"")</f>
        <v/>
      </c>
    </row>
    <row r="931" spans="1:11" ht="12.75" customHeight="1">
      <c r="A931" s="28"/>
      <c r="B931" s="29"/>
      <c r="C931" s="30" t="str">
        <f>IFERROR(_xlfn.XLOOKUP(B931,Insumo[DESCRIPCION],Insumo[UND],,0),"")</f>
        <v/>
      </c>
      <c r="D931" s="31"/>
      <c r="E931" s="32" t="str">
        <f>IFERROR(_xlfn.XLOOKUP($B931,Insumo[DESCRIPCION],Insumo[VALOR],,0),"")</f>
        <v/>
      </c>
      <c r="F931" s="33"/>
      <c r="G931" s="34" t="str">
        <f>IFERROR(IF(F931&gt;=0,D931*E931*(1+F931/100),ABS(D931*E931/F931)),"")</f>
        <v/>
      </c>
      <c r="H931" s="43" t="str">
        <f>IFERROR(G931*E924,"")</f>
        <v/>
      </c>
    </row>
    <row r="932" spans="1:11" ht="12.75" customHeight="1">
      <c r="A932" s="21"/>
      <c r="B932" s="22" t="s">
        <v>3731</v>
      </c>
      <c r="C932" s="23"/>
      <c r="D932" s="24"/>
      <c r="E932" s="25"/>
      <c r="F932" s="26"/>
      <c r="G932" s="27">
        <f>SUM(G933:G935)</f>
        <v>15084.187526850004</v>
      </c>
      <c r="H932" s="44">
        <f>G932*E924</f>
        <v>0</v>
      </c>
    </row>
    <row r="933" spans="1:11" ht="12.75" customHeight="1">
      <c r="A933" s="28"/>
      <c r="B933" s="29" t="s">
        <v>3657</v>
      </c>
      <c r="C933" s="30" t="str">
        <f>IFERROR(_xlfn.XLOOKUP(B933,Equipo[DESCRIPCION],Equipo[UND],,0),"")</f>
        <v>Día</v>
      </c>
      <c r="D933" s="31">
        <v>1</v>
      </c>
      <c r="E933" s="32">
        <f>IF(C933="%MO",G939,IFERROR(_xlfn.XLOOKUP($B933,Equipo[DESCRIPCION],Equipo[VALOR],,0),""))</f>
        <v>56524.65</v>
      </c>
      <c r="F933" s="33">
        <v>-10</v>
      </c>
      <c r="G933" s="34">
        <f>IFERROR(IF(F933&gt;=0,D933*E933*(1+F933/100),ABS(D933*E933/F933)),"")</f>
        <v>5652.4650000000001</v>
      </c>
      <c r="H933" s="43">
        <f>IFERROR(G933*E924,"")</f>
        <v>0</v>
      </c>
    </row>
    <row r="934" spans="1:11" ht="12.75" customHeight="1">
      <c r="A934" s="28"/>
      <c r="B934" s="29" t="s">
        <v>3570</v>
      </c>
      <c r="C934" s="30" t="str">
        <f>IFERROR(_xlfn.XLOOKUP(B934,Equipo[DESCRIPCION],Equipo[UND],,0),"")</f>
        <v>%MO</v>
      </c>
      <c r="D934" s="31">
        <v>0.04</v>
      </c>
      <c r="E934" s="32">
        <f>IF(C934="%MO",G939,IFERROR(_xlfn.XLOOKUP($B934,Equipo[DESCRIPCION],Equipo[VALOR],,0),""))</f>
        <v>104796.91696500003</v>
      </c>
      <c r="F934" s="33"/>
      <c r="G934" s="34">
        <f>IFERROR(IF(F934&gt;=0,D934*E934*(1+F934/100),ABS(D934*E934/F934)),"")</f>
        <v>4191.8766786000015</v>
      </c>
      <c r="H934" s="43">
        <f>IFERROR(G934*E924,"")</f>
        <v>0</v>
      </c>
    </row>
    <row r="935" spans="1:11" ht="12.75" customHeight="1">
      <c r="A935" s="28"/>
      <c r="B935" s="29" t="s">
        <v>3626</v>
      </c>
      <c r="C935" s="30" t="str">
        <f>IFERROR(_xlfn.XLOOKUP(B935,Equipo[DESCRIPCION],Equipo[UND],,0),"")</f>
        <v>%MO</v>
      </c>
      <c r="D935" s="31">
        <v>0.05</v>
      </c>
      <c r="E935" s="32">
        <f>IF(C935="%MO",G939,IFERROR(_xlfn.XLOOKUP($B935,Equipo[DESCRIPCION],Equipo[VALOR],,0),""))</f>
        <v>104796.91696500003</v>
      </c>
      <c r="F935" s="33"/>
      <c r="G935" s="34">
        <f>IFERROR(IF(F935&gt;=0,D935*E935*(1+F935/100),ABS(D935*E935/F935)),"")</f>
        <v>5239.8458482500018</v>
      </c>
      <c r="H935" s="43">
        <f>IFERROR(G935*E924,"")</f>
        <v>0</v>
      </c>
    </row>
    <row r="936" spans="1:11" ht="12.75" customHeight="1">
      <c r="A936" s="21"/>
      <c r="B936" s="22" t="s">
        <v>2533</v>
      </c>
      <c r="C936" s="23"/>
      <c r="D936" s="24"/>
      <c r="E936" s="25"/>
      <c r="F936" s="26"/>
      <c r="G936" s="27">
        <f>SUM(G937:G938)</f>
        <v>0</v>
      </c>
      <c r="H936" s="44">
        <f>G936*E924</f>
        <v>0</v>
      </c>
    </row>
    <row r="937" spans="1:11" ht="12.75" customHeight="1">
      <c r="A937" s="28"/>
      <c r="B937" s="29"/>
      <c r="C937" s="30" t="str">
        <f>IFERROR(_xlfn.XLOOKUP(B937,Transporte[DESCRIPCION],Transporte[UND],,0),"")</f>
        <v/>
      </c>
      <c r="D937" s="31"/>
      <c r="E937" s="32" t="str">
        <f>IFERROR(_xlfn.XLOOKUP($B937,Transporte[DESCRIPCION],Transporte[VALOR],,0),"")</f>
        <v/>
      </c>
      <c r="F937" s="33"/>
      <c r="G937" s="34" t="str">
        <f>IFERROR(IF(F937&gt;=0,D937*E937*(1+F937/100),ABS(D937*E937/F937)),"")</f>
        <v/>
      </c>
      <c r="H937" s="43" t="str">
        <f>IFERROR(G937*E924,"")</f>
        <v/>
      </c>
    </row>
    <row r="938" spans="1:11" ht="12.75" customHeight="1">
      <c r="A938" s="28"/>
      <c r="B938" s="29"/>
      <c r="C938" s="30" t="str">
        <f>IFERROR(_xlfn.XLOOKUP(B938,Transporte[DESCRIPCION],Transporte[UND],,0),"")</f>
        <v/>
      </c>
      <c r="D938" s="31"/>
      <c r="E938" s="32" t="str">
        <f>IFERROR(_xlfn.XLOOKUP($B938,Transporte[DESCRIPCION],Transporte[VALOR],,0),"")</f>
        <v/>
      </c>
      <c r="F938" s="33"/>
      <c r="G938" s="34" t="str">
        <f>IFERROR(IF(F938&gt;=0,D938*E938*(1+F938/100),ABS(D938*E938/F938)),"")</f>
        <v/>
      </c>
      <c r="H938" s="43" t="str">
        <f>IFERROR(G938*E924,"")</f>
        <v/>
      </c>
    </row>
    <row r="939" spans="1:11" ht="12.75" customHeight="1">
      <c r="A939" s="21"/>
      <c r="B939" s="22" t="s">
        <v>3732</v>
      </c>
      <c r="C939" s="23"/>
      <c r="D939" s="24"/>
      <c r="E939" s="25"/>
      <c r="F939" s="26"/>
      <c r="G939" s="27">
        <f>SUM(G940:G942)</f>
        <v>104796.91696500003</v>
      </c>
      <c r="H939" s="44">
        <f>G939*E924</f>
        <v>0</v>
      </c>
    </row>
    <row r="940" spans="1:11" ht="12.75" customHeight="1">
      <c r="A940" s="28"/>
      <c r="B940" s="29" t="s">
        <v>3710</v>
      </c>
      <c r="C940" s="30" t="str">
        <f>IFERROR(_xlfn.XLOOKUP(B940,MObra[DESCRIPCION],MObra[UN],,0),"")</f>
        <v>día</v>
      </c>
      <c r="D940" s="31">
        <v>1</v>
      </c>
      <c r="E940" s="32">
        <f>IFERROR(_xlfn.XLOOKUP($B940,MObra[DESCRIPCION],MObra[VALOR UNIT],,0),"")</f>
        <v>314390.75089500006</v>
      </c>
      <c r="F940" s="33">
        <v>-3</v>
      </c>
      <c r="G940" s="34">
        <f>IFERROR(IF(F940&gt;=0,D940*E940*(1+F940/100),ABS(D940*E940/F940)),"")</f>
        <v>104796.91696500003</v>
      </c>
      <c r="H940" s="43">
        <f>IFERROR(G940*E924,"")</f>
        <v>0</v>
      </c>
    </row>
    <row r="941" spans="1:11" ht="12.75" customHeight="1">
      <c r="A941" s="28"/>
      <c r="B941" s="29"/>
      <c r="C941" s="30" t="str">
        <f t="array" ref="C941">IFERROR(_xlfn.XLOOKUP(B941,MObra[[#All],[DESCRIPCION]],MObra[[#All],[UN]],,0),"")</f>
        <v/>
      </c>
      <c r="D941" s="31"/>
      <c r="E941" s="32" t="str">
        <f>IFERROR(_xlfn.XLOOKUP($B941,MObra[DESCRIPCION],MObra[VALOR UNIT],,0),"")</f>
        <v/>
      </c>
      <c r="F941" s="33"/>
      <c r="G941" s="34" t="str">
        <f>IFERROR(IF(F941&gt;=0,D941*E941*(1+F941/100),ABS(D941*E941/F941)),"")</f>
        <v/>
      </c>
      <c r="H941" s="43" t="str">
        <f>IFERROR(G941*E924,"")</f>
        <v/>
      </c>
    </row>
    <row r="942" spans="1:11" ht="12.75" customHeight="1" thickBot="1">
      <c r="A942" s="35"/>
      <c r="B942" s="36"/>
      <c r="C942" s="37" t="str">
        <f t="array" ref="C942">IFERROR(_xlfn.XLOOKUP(B942,MObra[[#All],[DESCRIPCION]],MObra[[#All],[UN]],,0),"")</f>
        <v/>
      </c>
      <c r="D942" s="38"/>
      <c r="E942" s="39" t="str">
        <f>IFERROR(_xlfn.XLOOKUP($B942,MObra[DESCRIPCION],MObra[VALOR UNIT],,0),"")</f>
        <v/>
      </c>
      <c r="F942" s="40"/>
      <c r="G942" s="41" t="str">
        <f>IFERROR(IF(F942&gt;=0,D942*E942*(1+F942/100),ABS(D942*E942/F942)),"")</f>
        <v/>
      </c>
      <c r="H942" s="42" t="str">
        <f>IFERROR(G942*E924,"")</f>
        <v/>
      </c>
    </row>
    <row r="943" spans="1:11" ht="12.75" customHeight="1" thickTop="1" thickBot="1"/>
    <row r="944" spans="1:11" ht="12.75" customHeight="1" thickTop="1" thickBot="1">
      <c r="A944" s="6" t="s">
        <v>403</v>
      </c>
      <c r="B944" s="7" t="str">
        <f>VLOOKUP($A944,Presupuesto!$A:$D,2,FALSE())</f>
        <v>Concreto 27.6 Mpa simple</v>
      </c>
      <c r="C944" s="8" t="str">
        <f>VLOOKUP($A944,Presupuesto!$A:$D,3,FALSE())</f>
        <v>M3</v>
      </c>
      <c r="D944" s="9"/>
      <c r="E944" s="10">
        <f>VLOOKUP($A944,Presupuesto!$A:$D,4,FALSE())</f>
        <v>0</v>
      </c>
      <c r="F944" s="11" t="s">
        <v>2589</v>
      </c>
      <c r="G944" s="12">
        <f>SUM(G946:G962)/2</f>
        <v>716757.45667499921</v>
      </c>
      <c r="H944" s="13">
        <f>ROUND(SUM(H946:H962),0)/2</f>
        <v>0</v>
      </c>
      <c r="I944" s="10">
        <f>VLOOKUP(A944,Presupuesto!$A:$F,6,0)</f>
        <v>0</v>
      </c>
      <c r="J944" s="10">
        <f>+H944-I944</f>
        <v>0</v>
      </c>
      <c r="K944" s="46">
        <f>+H944-G944*E944</f>
        <v>0</v>
      </c>
    </row>
    <row r="945" spans="1:8" ht="12.75" customHeight="1" thickTop="1">
      <c r="A945" s="14"/>
      <c r="B945" s="15" t="s">
        <v>2586</v>
      </c>
      <c r="C945" s="15" t="s">
        <v>5</v>
      </c>
      <c r="D945" s="16" t="s">
        <v>6</v>
      </c>
      <c r="E945" s="17" t="s">
        <v>7</v>
      </c>
      <c r="F945" s="18" t="s">
        <v>3728</v>
      </c>
      <c r="G945" s="19" t="s">
        <v>3729</v>
      </c>
      <c r="H945" s="20" t="s">
        <v>3797</v>
      </c>
    </row>
    <row r="946" spans="1:8" ht="12.75" customHeight="1">
      <c r="A946" s="21"/>
      <c r="B946" s="22" t="s">
        <v>3730</v>
      </c>
      <c r="C946" s="23"/>
      <c r="D946" s="24"/>
      <c r="E946" s="25"/>
      <c r="F946" s="26"/>
      <c r="G946" s="27">
        <f>SUM(G947:G951)</f>
        <v>596876.35218314908</v>
      </c>
      <c r="H946" s="27">
        <f>IFERROR(G946*E944,"")</f>
        <v>0</v>
      </c>
    </row>
    <row r="947" spans="1:8" ht="12.75" customHeight="1">
      <c r="A947" s="28"/>
      <c r="B947" s="29" t="s">
        <v>3241</v>
      </c>
      <c r="C947" s="30" t="str">
        <f>IFERROR(_xlfn.XLOOKUP(B947,Insumo[DESCRIPCION],Insumo[UND],,0),"")</f>
        <v>M3</v>
      </c>
      <c r="D947" s="31">
        <v>1</v>
      </c>
      <c r="E947" s="32">
        <f>IFERROR(_xlfn.XLOOKUP($B947,Insumo[DESCRIPCION],Insumo[VALOR],,0),"")</f>
        <v>568453.66874585627</v>
      </c>
      <c r="F947" s="33">
        <v>5</v>
      </c>
      <c r="G947" s="34">
        <f>IFERROR(IF(F947&gt;=0,D947*E947*(1+F947/100),ABS(D947*E947/F947)),"")</f>
        <v>596876.35218314908</v>
      </c>
      <c r="H947" s="43">
        <f>IFERROR(G947*E944,"")</f>
        <v>0</v>
      </c>
    </row>
    <row r="948" spans="1:8" ht="12.75" customHeight="1">
      <c r="A948" s="28"/>
      <c r="B948" s="29"/>
      <c r="C948" s="30" t="str">
        <f>IFERROR(_xlfn.XLOOKUP(B948,Insumo[DESCRIPCION],Insumo[UND],,0),"")</f>
        <v/>
      </c>
      <c r="D948" s="31"/>
      <c r="E948" s="32" t="str">
        <f>IFERROR(_xlfn.XLOOKUP($B948,Insumo[DESCRIPCION],Insumo[VALOR],,0),"")</f>
        <v/>
      </c>
      <c r="F948" s="33"/>
      <c r="G948" s="34" t="str">
        <f>IFERROR(IF(F948&gt;=0,D948*E948*(1+F948/100),ABS(D948*E948/F948)),"")</f>
        <v/>
      </c>
      <c r="H948" s="43" t="str">
        <f>IFERROR(G948*E944,"")</f>
        <v/>
      </c>
    </row>
    <row r="949" spans="1:8" ht="12.75" customHeight="1">
      <c r="A949" s="28"/>
      <c r="B949" s="29"/>
      <c r="C949" s="30" t="str">
        <f>IFERROR(_xlfn.XLOOKUP(B949,Insumo[DESCRIPCION],Insumo[UND],,0),"")</f>
        <v/>
      </c>
      <c r="D949" s="31"/>
      <c r="E949" s="32" t="str">
        <f>IFERROR(_xlfn.XLOOKUP($B949,Insumo[DESCRIPCION],Insumo[VALOR],,0),"")</f>
        <v/>
      </c>
      <c r="F949" s="33"/>
      <c r="G949" s="34" t="str">
        <f>IFERROR(IF(F949&gt;=0,D949*E949*(1+F949/100),ABS(D949*E949/F949)),"")</f>
        <v/>
      </c>
      <c r="H949" s="43" t="str">
        <f>IFERROR(G949*E944,"")</f>
        <v/>
      </c>
    </row>
    <row r="950" spans="1:8" ht="12.75" customHeight="1">
      <c r="A950" s="28"/>
      <c r="B950" s="29"/>
      <c r="C950" s="30" t="str">
        <f>IFERROR(_xlfn.XLOOKUP(B950,Insumo[DESCRIPCION],Insumo[UND],,0),"")</f>
        <v/>
      </c>
      <c r="D950" s="31"/>
      <c r="E950" s="32" t="str">
        <f>IFERROR(_xlfn.XLOOKUP($B950,Insumo[DESCRIPCION],Insumo[VALOR],,0),"")</f>
        <v/>
      </c>
      <c r="F950" s="33"/>
      <c r="G950" s="34" t="str">
        <f>IFERROR(IF(F950&gt;=0,D950*E950*(1+F950/100),ABS(D950*E950/F950)),"")</f>
        <v/>
      </c>
      <c r="H950" s="43" t="str">
        <f>IFERROR(G950*E944,"")</f>
        <v/>
      </c>
    </row>
    <row r="951" spans="1:8" ht="12.75" customHeight="1">
      <c r="A951" s="28"/>
      <c r="B951" s="29"/>
      <c r="C951" s="30" t="str">
        <f>IFERROR(_xlfn.XLOOKUP(B951,Insumo[DESCRIPCION],Insumo[UND],,0),"")</f>
        <v/>
      </c>
      <c r="D951" s="31"/>
      <c r="E951" s="32" t="str">
        <f>IFERROR(_xlfn.XLOOKUP($B951,Insumo[DESCRIPCION],Insumo[VALOR],,0),"")</f>
        <v/>
      </c>
      <c r="F951" s="33"/>
      <c r="G951" s="34" t="str">
        <f>IFERROR(IF(F951&gt;=0,D951*E951*(1+F951/100),ABS(D951*E951/F951)),"")</f>
        <v/>
      </c>
      <c r="H951" s="43" t="str">
        <f>IFERROR(G951*E944,"")</f>
        <v/>
      </c>
    </row>
    <row r="952" spans="1:8" ht="12.75" customHeight="1">
      <c r="A952" s="21"/>
      <c r="B952" s="22" t="s">
        <v>3731</v>
      </c>
      <c r="C952" s="23"/>
      <c r="D952" s="24"/>
      <c r="E952" s="25"/>
      <c r="F952" s="26"/>
      <c r="G952" s="27">
        <f>SUM(G953:G955)</f>
        <v>15084.187526850004</v>
      </c>
      <c r="H952" s="44">
        <f>G952*E944</f>
        <v>0</v>
      </c>
    </row>
    <row r="953" spans="1:8" ht="12.75" customHeight="1">
      <c r="A953" s="28"/>
      <c r="B953" s="29" t="s">
        <v>3657</v>
      </c>
      <c r="C953" s="30" t="str">
        <f>IFERROR(_xlfn.XLOOKUP(B953,Equipo[DESCRIPCION],Equipo[UND],,0),"")</f>
        <v>Día</v>
      </c>
      <c r="D953" s="31">
        <v>1</v>
      </c>
      <c r="E953" s="32">
        <f>IF(C953="%MO",G959,IFERROR(_xlfn.XLOOKUP($B953,Equipo[DESCRIPCION],Equipo[VALOR],,0),""))</f>
        <v>56524.65</v>
      </c>
      <c r="F953" s="33">
        <v>-10</v>
      </c>
      <c r="G953" s="34">
        <f>IFERROR(IF(F953&gt;=0,D953*E953*(1+F953/100),ABS(D953*E953/F953)),"")</f>
        <v>5652.4650000000001</v>
      </c>
      <c r="H953" s="43">
        <f>IFERROR(G953*E944,"")</f>
        <v>0</v>
      </c>
    </row>
    <row r="954" spans="1:8" ht="12.75" customHeight="1">
      <c r="A954" s="28"/>
      <c r="B954" s="29" t="s">
        <v>3570</v>
      </c>
      <c r="C954" s="30" t="str">
        <f>IFERROR(_xlfn.XLOOKUP(B954,Equipo[DESCRIPCION],Equipo[UND],,0),"")</f>
        <v>%MO</v>
      </c>
      <c r="D954" s="31">
        <v>0.04</v>
      </c>
      <c r="E954" s="32">
        <f>IF(C954="%MO",G959,IFERROR(_xlfn.XLOOKUP($B954,Equipo[DESCRIPCION],Equipo[VALOR],,0),""))</f>
        <v>104796.91696500003</v>
      </c>
      <c r="F954" s="33"/>
      <c r="G954" s="34">
        <f>IFERROR(IF(F954&gt;=0,D954*E954*(1+F954/100),ABS(D954*E954/F954)),"")</f>
        <v>4191.8766786000015</v>
      </c>
      <c r="H954" s="43">
        <f>IFERROR(G954*E944,"")</f>
        <v>0</v>
      </c>
    </row>
    <row r="955" spans="1:8" ht="12.75" customHeight="1">
      <c r="A955" s="28"/>
      <c r="B955" s="29" t="s">
        <v>3626</v>
      </c>
      <c r="C955" s="30" t="str">
        <f>IFERROR(_xlfn.XLOOKUP(B955,Equipo[DESCRIPCION],Equipo[UND],,0),"")</f>
        <v>%MO</v>
      </c>
      <c r="D955" s="31">
        <v>0.05</v>
      </c>
      <c r="E955" s="32">
        <f>IF(C955="%MO",G959,IFERROR(_xlfn.XLOOKUP($B955,Equipo[DESCRIPCION],Equipo[VALOR],,0),""))</f>
        <v>104796.91696500003</v>
      </c>
      <c r="F955" s="33"/>
      <c r="G955" s="34">
        <f>IFERROR(IF(F955&gt;=0,D955*E955*(1+F955/100),ABS(D955*E955/F955)),"")</f>
        <v>5239.8458482500018</v>
      </c>
      <c r="H955" s="43">
        <f>IFERROR(G955*E944,"")</f>
        <v>0</v>
      </c>
    </row>
    <row r="956" spans="1:8" ht="12.75" customHeight="1">
      <c r="A956" s="21"/>
      <c r="B956" s="22" t="s">
        <v>2533</v>
      </c>
      <c r="C956" s="23"/>
      <c r="D956" s="24"/>
      <c r="E956" s="25"/>
      <c r="F956" s="26"/>
      <c r="G956" s="27">
        <f>SUM(G957:G958)</f>
        <v>0</v>
      </c>
      <c r="H956" s="44">
        <f>G956*E944</f>
        <v>0</v>
      </c>
    </row>
    <row r="957" spans="1:8" ht="12.75" customHeight="1">
      <c r="A957" s="28"/>
      <c r="B957" s="29"/>
      <c r="C957" s="30" t="str">
        <f>IFERROR(_xlfn.XLOOKUP(B957,Transporte[DESCRIPCION],Transporte[UND],,0),"")</f>
        <v/>
      </c>
      <c r="D957" s="31"/>
      <c r="E957" s="32" t="str">
        <f>IFERROR(_xlfn.XLOOKUP($B957,Transporte[DESCRIPCION],Transporte[VALOR],,0),"")</f>
        <v/>
      </c>
      <c r="F957" s="33"/>
      <c r="G957" s="34" t="str">
        <f>IFERROR(IF(F957&gt;=0,D957*E957*(1+F957/100),ABS(D957*E957/F957)),"")</f>
        <v/>
      </c>
      <c r="H957" s="43" t="str">
        <f>IFERROR(G957*E944,"")</f>
        <v/>
      </c>
    </row>
    <row r="958" spans="1:8" ht="12.75" customHeight="1">
      <c r="A958" s="28"/>
      <c r="B958" s="29"/>
      <c r="C958" s="30" t="str">
        <f>IFERROR(_xlfn.XLOOKUP(B958,Transporte[DESCRIPCION],Transporte[UND],,0),"")</f>
        <v/>
      </c>
      <c r="D958" s="31"/>
      <c r="E958" s="32" t="str">
        <f>IFERROR(_xlfn.XLOOKUP($B958,Transporte[DESCRIPCION],Transporte[VALOR],,0),"")</f>
        <v/>
      </c>
      <c r="F958" s="33"/>
      <c r="G958" s="34" t="str">
        <f>IFERROR(IF(F958&gt;=0,D958*E958*(1+F958/100),ABS(D958*E958/F958)),"")</f>
        <v/>
      </c>
      <c r="H958" s="43" t="str">
        <f>IFERROR(G958*E944,"")</f>
        <v/>
      </c>
    </row>
    <row r="959" spans="1:8" ht="12.75" customHeight="1">
      <c r="A959" s="21"/>
      <c r="B959" s="22" t="s">
        <v>3732</v>
      </c>
      <c r="C959" s="23"/>
      <c r="D959" s="24"/>
      <c r="E959" s="25"/>
      <c r="F959" s="26"/>
      <c r="G959" s="27">
        <f>SUM(G960:G962)</f>
        <v>104796.91696500003</v>
      </c>
      <c r="H959" s="44">
        <f>G959*E944</f>
        <v>0</v>
      </c>
    </row>
    <row r="960" spans="1:8" ht="12.75" customHeight="1">
      <c r="A960" s="28"/>
      <c r="B960" s="29" t="s">
        <v>3710</v>
      </c>
      <c r="C960" s="30" t="str">
        <f>IFERROR(_xlfn.XLOOKUP(B960,MObra[DESCRIPCION],MObra[UN],,0),"")</f>
        <v>día</v>
      </c>
      <c r="D960" s="31">
        <v>1</v>
      </c>
      <c r="E960" s="32">
        <f>IFERROR(_xlfn.XLOOKUP($B960,MObra[DESCRIPCION],MObra[VALOR UNIT],,0),"")</f>
        <v>314390.75089500006</v>
      </c>
      <c r="F960" s="33">
        <v>-3</v>
      </c>
      <c r="G960" s="34">
        <f>IFERROR(IF(F960&gt;=0,D960*E960*(1+F960/100),ABS(D960*E960/F960)),"")</f>
        <v>104796.91696500003</v>
      </c>
      <c r="H960" s="43">
        <f>IFERROR(G960*E944,"")</f>
        <v>0</v>
      </c>
    </row>
    <row r="961" spans="1:11" ht="12.75" customHeight="1">
      <c r="A961" s="28"/>
      <c r="B961" s="29"/>
      <c r="C961" s="30" t="str">
        <f t="array" ref="C961">IFERROR(_xlfn.XLOOKUP(B961,MObra[[#All],[DESCRIPCION]],MObra[[#All],[UN]],,0),"")</f>
        <v/>
      </c>
      <c r="D961" s="31"/>
      <c r="E961" s="32" t="str">
        <f>IFERROR(_xlfn.XLOOKUP($B961,MObra[DESCRIPCION],MObra[VALOR UNIT],,0),"")</f>
        <v/>
      </c>
      <c r="F961" s="33"/>
      <c r="G961" s="34" t="str">
        <f>IFERROR(IF(F961&gt;=0,D961*E961*(1+F961/100),ABS(D961*E961/F961)),"")</f>
        <v/>
      </c>
      <c r="H961" s="43" t="str">
        <f>IFERROR(G961*E944,"")</f>
        <v/>
      </c>
    </row>
    <row r="962" spans="1:11" ht="12.75" customHeight="1" thickBot="1">
      <c r="A962" s="35"/>
      <c r="B962" s="36"/>
      <c r="C962" s="37" t="str">
        <f t="array" ref="C962">IFERROR(_xlfn.XLOOKUP(B962,MObra[[#All],[DESCRIPCION]],MObra[[#All],[UN]],,0),"")</f>
        <v/>
      </c>
      <c r="D962" s="38"/>
      <c r="E962" s="39" t="str">
        <f>IFERROR(_xlfn.XLOOKUP($B962,MObra[DESCRIPCION],MObra[VALOR UNIT],,0),"")</f>
        <v/>
      </c>
      <c r="F962" s="40"/>
      <c r="G962" s="41" t="str">
        <f>IFERROR(IF(F962&gt;=0,D962*E962*(1+F962/100),ABS(D962*E962/F962)),"")</f>
        <v/>
      </c>
      <c r="H962" s="42" t="str">
        <f>IFERROR(G962*E944,"")</f>
        <v/>
      </c>
    </row>
    <row r="963" spans="1:11" ht="12.75" customHeight="1" thickTop="1" thickBot="1"/>
    <row r="964" spans="1:11" ht="12.75" customHeight="1" thickTop="1" thickBot="1">
      <c r="A964" s="6" t="s">
        <v>405</v>
      </c>
      <c r="B964" s="7" t="str">
        <f>VLOOKUP($A964,Presupuesto!$A:$D,2,FALSE())</f>
        <v>Concreto 20.7 Mpa simple impermeabilizado</v>
      </c>
      <c r="C964" s="8" t="str">
        <f>VLOOKUP($A964,Presupuesto!$A:$D,3,FALSE())</f>
        <v>M3</v>
      </c>
      <c r="D964" s="9"/>
      <c r="E964" s="10">
        <f>VLOOKUP($A964,Presupuesto!$A:$D,4,FALSE())</f>
        <v>0</v>
      </c>
      <c r="F964" s="11" t="s">
        <v>2589</v>
      </c>
      <c r="G964" s="12">
        <f>SUM(G966:G982)/2</f>
        <v>725314.78188335558</v>
      </c>
      <c r="H964" s="13">
        <f>ROUND(SUM(H966:H982),0)/2</f>
        <v>0</v>
      </c>
      <c r="I964" s="10">
        <f>VLOOKUP(A964,Presupuesto!$A:$F,6,0)</f>
        <v>0</v>
      </c>
      <c r="J964" s="10">
        <f>+H964-I964</f>
        <v>0</v>
      </c>
      <c r="K964" s="46">
        <f>+H964-G964*E964</f>
        <v>0</v>
      </c>
    </row>
    <row r="965" spans="1:11" ht="12.75" customHeight="1" thickTop="1">
      <c r="A965" s="14"/>
      <c r="B965" s="15" t="s">
        <v>2586</v>
      </c>
      <c r="C965" s="15" t="s">
        <v>5</v>
      </c>
      <c r="D965" s="16" t="s">
        <v>6</v>
      </c>
      <c r="E965" s="17" t="s">
        <v>7</v>
      </c>
      <c r="F965" s="18" t="s">
        <v>3728</v>
      </c>
      <c r="G965" s="19" t="s">
        <v>3729</v>
      </c>
      <c r="H965" s="20" t="s">
        <v>3797</v>
      </c>
    </row>
    <row r="966" spans="1:11" ht="12.75" customHeight="1">
      <c r="A966" s="21"/>
      <c r="B966" s="22" t="s">
        <v>3730</v>
      </c>
      <c r="C966" s="23"/>
      <c r="D966" s="24"/>
      <c r="E966" s="25"/>
      <c r="F966" s="26"/>
      <c r="G966" s="27">
        <f>SUM(G967:G971)</f>
        <v>605433.67739150545</v>
      </c>
      <c r="H966" s="27">
        <f>IFERROR(G966*E964,"")</f>
        <v>0</v>
      </c>
    </row>
    <row r="967" spans="1:11" ht="12.75" customHeight="1">
      <c r="A967" s="28"/>
      <c r="B967" s="29" t="s">
        <v>3239</v>
      </c>
      <c r="C967" s="30" t="str">
        <f>IFERROR(_xlfn.XLOOKUP(B967,Insumo[DESCRIPCION],Insumo[UND],,0),"")</f>
        <v>M3</v>
      </c>
      <c r="D967" s="31">
        <v>1</v>
      </c>
      <c r="E967" s="32">
        <f>IFERROR(_xlfn.XLOOKUP($B967,Insumo[DESCRIPCION],Insumo[VALOR],,0),"")</f>
        <v>521159.50227762427</v>
      </c>
      <c r="F967" s="33">
        <v>5</v>
      </c>
      <c r="G967" s="34">
        <f>IFERROR(IF(F967&gt;=0,D967*E967*(1+F967/100),ABS(D967*E967/F967)),"")</f>
        <v>547217.4773915055</v>
      </c>
      <c r="H967" s="43">
        <f>IFERROR(G967*E964,"")</f>
        <v>0</v>
      </c>
    </row>
    <row r="968" spans="1:11" ht="12.75" customHeight="1">
      <c r="A968" s="28"/>
      <c r="B968" s="29" t="s">
        <v>3223</v>
      </c>
      <c r="C968" s="30" t="str">
        <f>IFERROR(_xlfn.XLOOKUP(B968,Insumo[DESCRIPCION],Insumo[UND],,0),"")</f>
        <v>Kg</v>
      </c>
      <c r="D968" s="31">
        <v>2</v>
      </c>
      <c r="E968" s="32">
        <f>IFERROR(_xlfn.XLOOKUP($B968,Insumo[DESCRIPCION],Insumo[VALOR],,0),"")</f>
        <v>29108.100000000002</v>
      </c>
      <c r="F968" s="33"/>
      <c r="G968" s="34">
        <f>IFERROR(IF(F968&gt;=0,D968*E968*(1+F968/100),ABS(D968*E968/F968)),"")</f>
        <v>58216.200000000004</v>
      </c>
      <c r="H968" s="43">
        <f>IFERROR(G968*E964,"")</f>
        <v>0</v>
      </c>
    </row>
    <row r="969" spans="1:11" ht="12.75" customHeight="1">
      <c r="A969" s="28"/>
      <c r="B969" s="29"/>
      <c r="C969" s="30" t="str">
        <f>IFERROR(_xlfn.XLOOKUP(B969,Insumo[DESCRIPCION],Insumo[UND],,0),"")</f>
        <v/>
      </c>
      <c r="D969" s="31"/>
      <c r="E969" s="32" t="str">
        <f>IFERROR(_xlfn.XLOOKUP($B969,Insumo[DESCRIPCION],Insumo[VALOR],,0),"")</f>
        <v/>
      </c>
      <c r="F969" s="33"/>
      <c r="G969" s="34" t="str">
        <f>IFERROR(IF(F969&gt;=0,D969*E969*(1+F969/100),ABS(D969*E969/F969)),"")</f>
        <v/>
      </c>
      <c r="H969" s="43" t="str">
        <f>IFERROR(G969*E964,"")</f>
        <v/>
      </c>
    </row>
    <row r="970" spans="1:11" ht="12.75" customHeight="1">
      <c r="A970" s="28"/>
      <c r="B970" s="29"/>
      <c r="C970" s="30" t="str">
        <f>IFERROR(_xlfn.XLOOKUP(B970,Insumo[DESCRIPCION],Insumo[UND],,0),"")</f>
        <v/>
      </c>
      <c r="D970" s="31"/>
      <c r="E970" s="32" t="str">
        <f>IFERROR(_xlfn.XLOOKUP($B970,Insumo[DESCRIPCION],Insumo[VALOR],,0),"")</f>
        <v/>
      </c>
      <c r="F970" s="33"/>
      <c r="G970" s="34" t="str">
        <f>IFERROR(IF(F970&gt;=0,D970*E970*(1+F970/100),ABS(D970*E970/F970)),"")</f>
        <v/>
      </c>
      <c r="H970" s="43" t="str">
        <f>IFERROR(G970*E964,"")</f>
        <v/>
      </c>
    </row>
    <row r="971" spans="1:11" ht="12.75" customHeight="1">
      <c r="A971" s="28"/>
      <c r="B971" s="29"/>
      <c r="C971" s="30" t="str">
        <f>IFERROR(_xlfn.XLOOKUP(B971,Insumo[DESCRIPCION],Insumo[UND],,0),"")</f>
        <v/>
      </c>
      <c r="D971" s="31"/>
      <c r="E971" s="32" t="str">
        <f>IFERROR(_xlfn.XLOOKUP($B971,Insumo[DESCRIPCION],Insumo[VALOR],,0),"")</f>
        <v/>
      </c>
      <c r="F971" s="33"/>
      <c r="G971" s="34" t="str">
        <f>IFERROR(IF(F971&gt;=0,D971*E971*(1+F971/100),ABS(D971*E971/F971)),"")</f>
        <v/>
      </c>
      <c r="H971" s="43" t="str">
        <f>IFERROR(G971*E964,"")</f>
        <v/>
      </c>
    </row>
    <row r="972" spans="1:11" ht="12.75" customHeight="1">
      <c r="A972" s="21"/>
      <c r="B972" s="22" t="s">
        <v>3731</v>
      </c>
      <c r="C972" s="23"/>
      <c r="D972" s="24"/>
      <c r="E972" s="25"/>
      <c r="F972" s="26"/>
      <c r="G972" s="27">
        <f>SUM(G973:G975)</f>
        <v>15084.187526850004</v>
      </c>
      <c r="H972" s="44">
        <f>G972*E964</f>
        <v>0</v>
      </c>
    </row>
    <row r="973" spans="1:11" ht="12.75" customHeight="1">
      <c r="A973" s="28"/>
      <c r="B973" s="29" t="s">
        <v>3657</v>
      </c>
      <c r="C973" s="30" t="str">
        <f>IFERROR(_xlfn.XLOOKUP(B973,Equipo[DESCRIPCION],Equipo[UND],,0),"")</f>
        <v>Día</v>
      </c>
      <c r="D973" s="31">
        <v>1</v>
      </c>
      <c r="E973" s="32">
        <f>IF(C973="%MO",G979,IFERROR(_xlfn.XLOOKUP($B973,Equipo[DESCRIPCION],Equipo[VALOR],,0),""))</f>
        <v>56524.65</v>
      </c>
      <c r="F973" s="33">
        <v>-10</v>
      </c>
      <c r="G973" s="34">
        <f>IFERROR(IF(F973&gt;=0,D973*E973*(1+F973/100),ABS(D973*E973/F973)),"")</f>
        <v>5652.4650000000001</v>
      </c>
      <c r="H973" s="43">
        <f>IFERROR(G973*E964,"")</f>
        <v>0</v>
      </c>
    </row>
    <row r="974" spans="1:11" ht="12.75" customHeight="1">
      <c r="A974" s="28"/>
      <c r="B974" s="29" t="s">
        <v>3570</v>
      </c>
      <c r="C974" s="30" t="str">
        <f>IFERROR(_xlfn.XLOOKUP(B974,Equipo[DESCRIPCION],Equipo[UND],,0),"")</f>
        <v>%MO</v>
      </c>
      <c r="D974" s="31">
        <v>0.04</v>
      </c>
      <c r="E974" s="32">
        <f>IF(C974="%MO",G979,IFERROR(_xlfn.XLOOKUP($B974,Equipo[DESCRIPCION],Equipo[VALOR],,0),""))</f>
        <v>104796.91696500003</v>
      </c>
      <c r="F974" s="33"/>
      <c r="G974" s="34">
        <f>IFERROR(IF(F974&gt;=0,D974*E974*(1+F974/100),ABS(D974*E974/F974)),"")</f>
        <v>4191.8766786000015</v>
      </c>
      <c r="H974" s="43">
        <f>IFERROR(G974*E964,"")</f>
        <v>0</v>
      </c>
    </row>
    <row r="975" spans="1:11" ht="12.75" customHeight="1">
      <c r="A975" s="28"/>
      <c r="B975" s="29" t="s">
        <v>3626</v>
      </c>
      <c r="C975" s="30" t="str">
        <f>IFERROR(_xlfn.XLOOKUP(B975,Equipo[DESCRIPCION],Equipo[UND],,0),"")</f>
        <v>%MO</v>
      </c>
      <c r="D975" s="31">
        <v>0.05</v>
      </c>
      <c r="E975" s="32">
        <f>IF(C975="%MO",G979,IFERROR(_xlfn.XLOOKUP($B975,Equipo[DESCRIPCION],Equipo[VALOR],,0),""))</f>
        <v>104796.91696500003</v>
      </c>
      <c r="F975" s="33"/>
      <c r="G975" s="34">
        <f>IFERROR(IF(F975&gt;=0,D975*E975*(1+F975/100),ABS(D975*E975/F975)),"")</f>
        <v>5239.8458482500018</v>
      </c>
      <c r="H975" s="43">
        <f>IFERROR(G975*E964,"")</f>
        <v>0</v>
      </c>
    </row>
    <row r="976" spans="1:11" ht="12.75" customHeight="1">
      <c r="A976" s="21"/>
      <c r="B976" s="22" t="s">
        <v>2533</v>
      </c>
      <c r="C976" s="23"/>
      <c r="D976" s="24"/>
      <c r="E976" s="25"/>
      <c r="F976" s="26"/>
      <c r="G976" s="27">
        <f>SUM(G977:G978)</f>
        <v>0</v>
      </c>
      <c r="H976" s="44">
        <f>G976*E964</f>
        <v>0</v>
      </c>
    </row>
    <row r="977" spans="1:11" ht="12.75" customHeight="1">
      <c r="A977" s="28"/>
      <c r="B977" s="29"/>
      <c r="C977" s="30" t="str">
        <f>IFERROR(_xlfn.XLOOKUP(B977,Transporte[DESCRIPCION],Transporte[UND],,0),"")</f>
        <v/>
      </c>
      <c r="D977" s="31"/>
      <c r="E977" s="32" t="str">
        <f>IFERROR(_xlfn.XLOOKUP($B977,Transporte[DESCRIPCION],Transporte[VALOR],,0),"")</f>
        <v/>
      </c>
      <c r="F977" s="33"/>
      <c r="G977" s="34" t="str">
        <f>IFERROR(IF(F977&gt;=0,D977*E977*(1+F977/100),ABS(D977*E977/F977)),"")</f>
        <v/>
      </c>
      <c r="H977" s="43" t="str">
        <f>IFERROR(G977*E964,"")</f>
        <v/>
      </c>
    </row>
    <row r="978" spans="1:11" ht="12.75" customHeight="1">
      <c r="A978" s="28"/>
      <c r="B978" s="29"/>
      <c r="C978" s="30" t="str">
        <f>IFERROR(_xlfn.XLOOKUP(B978,Transporte[DESCRIPCION],Transporte[UND],,0),"")</f>
        <v/>
      </c>
      <c r="D978" s="31"/>
      <c r="E978" s="32" t="str">
        <f>IFERROR(_xlfn.XLOOKUP($B978,Transporte[DESCRIPCION],Transporte[VALOR],,0),"")</f>
        <v/>
      </c>
      <c r="F978" s="33"/>
      <c r="G978" s="34" t="str">
        <f>IFERROR(IF(F978&gt;=0,D978*E978*(1+F978/100),ABS(D978*E978/F978)),"")</f>
        <v/>
      </c>
      <c r="H978" s="43" t="str">
        <f>IFERROR(G978*E964,"")</f>
        <v/>
      </c>
    </row>
    <row r="979" spans="1:11" ht="12.75" customHeight="1">
      <c r="A979" s="21"/>
      <c r="B979" s="22" t="s">
        <v>3732</v>
      </c>
      <c r="C979" s="23"/>
      <c r="D979" s="24"/>
      <c r="E979" s="25"/>
      <c r="F979" s="26"/>
      <c r="G979" s="27">
        <f>SUM(G980:G982)</f>
        <v>104796.91696500003</v>
      </c>
      <c r="H979" s="44">
        <f>G979*E964</f>
        <v>0</v>
      </c>
    </row>
    <row r="980" spans="1:11" ht="12.75" customHeight="1">
      <c r="A980" s="28"/>
      <c r="B980" s="29" t="s">
        <v>3710</v>
      </c>
      <c r="C980" s="30" t="str">
        <f>IFERROR(_xlfn.XLOOKUP(B980,MObra[DESCRIPCION],MObra[UN],,0),"")</f>
        <v>día</v>
      </c>
      <c r="D980" s="31">
        <v>1</v>
      </c>
      <c r="E980" s="32">
        <f>IFERROR(_xlfn.XLOOKUP($B980,MObra[DESCRIPCION],MObra[VALOR UNIT],,0),"")</f>
        <v>314390.75089500006</v>
      </c>
      <c r="F980" s="33">
        <v>-3</v>
      </c>
      <c r="G980" s="34">
        <f>IFERROR(IF(F980&gt;=0,D980*E980*(1+F980/100),ABS(D980*E980/F980)),"")</f>
        <v>104796.91696500003</v>
      </c>
      <c r="H980" s="43">
        <f>IFERROR(G980*E964,"")</f>
        <v>0</v>
      </c>
    </row>
    <row r="981" spans="1:11" ht="12.75" customHeight="1">
      <c r="A981" s="28"/>
      <c r="B981" s="29"/>
      <c r="C981" s="30" t="str">
        <f t="array" ref="C981">IFERROR(_xlfn.XLOOKUP(B981,MObra[[#All],[DESCRIPCION]],MObra[[#All],[UN]],,0),"")</f>
        <v/>
      </c>
      <c r="D981" s="31"/>
      <c r="E981" s="32" t="str">
        <f>IFERROR(_xlfn.XLOOKUP($B981,MObra[DESCRIPCION],MObra[VALOR UNIT],,0),"")</f>
        <v/>
      </c>
      <c r="F981" s="33"/>
      <c r="G981" s="34" t="str">
        <f>IFERROR(IF(F981&gt;=0,D981*E981*(1+F981/100),ABS(D981*E981/F981)),"")</f>
        <v/>
      </c>
      <c r="H981" s="43" t="str">
        <f>IFERROR(G981*E964,"")</f>
        <v/>
      </c>
    </row>
    <row r="982" spans="1:11" ht="12.75" customHeight="1" thickBot="1">
      <c r="A982" s="35"/>
      <c r="B982" s="36"/>
      <c r="C982" s="37" t="str">
        <f t="array" ref="C982">IFERROR(_xlfn.XLOOKUP(B982,MObra[[#All],[DESCRIPCION]],MObra[[#All],[UN]],,0),"")</f>
        <v/>
      </c>
      <c r="D982" s="38"/>
      <c r="E982" s="39" t="str">
        <f>IFERROR(_xlfn.XLOOKUP($B982,MObra[DESCRIPCION],MObra[VALOR UNIT],,0),"")</f>
        <v/>
      </c>
      <c r="F982" s="40"/>
      <c r="G982" s="41" t="str">
        <f>IFERROR(IF(F982&gt;=0,D982*E982*(1+F982/100),ABS(D982*E982/F982)),"")</f>
        <v/>
      </c>
      <c r="H982" s="42" t="str">
        <f>IFERROR(G982*E964,"")</f>
        <v/>
      </c>
    </row>
    <row r="983" spans="1:11" ht="12.75" customHeight="1" thickTop="1" thickBot="1"/>
    <row r="984" spans="1:11" ht="12.75" customHeight="1" thickTop="1" thickBot="1">
      <c r="A984" s="6" t="s">
        <v>407</v>
      </c>
      <c r="B984" s="7" t="str">
        <f>VLOOKUP($A984,Presupuesto!$A:$D,2,FALSE())</f>
        <v>Concreto 24.1 Mpa simple impermeabilizado</v>
      </c>
      <c r="C984" s="8" t="str">
        <f>VLOOKUP($A984,Presupuesto!$A:$D,3,FALSE())</f>
        <v>M3</v>
      </c>
      <c r="D984" s="9"/>
      <c r="E984" s="10">
        <f>VLOOKUP($A984,Presupuesto!$A:$D,4,FALSE())</f>
        <v>0</v>
      </c>
      <c r="F984" s="11" t="s">
        <v>2589</v>
      </c>
      <c r="G984" s="12">
        <f>SUM(G986:G1002)/2</f>
        <v>759431.17316278943</v>
      </c>
      <c r="H984" s="13">
        <f>ROUND(SUM(H986:H1002),0)/2</f>
        <v>0</v>
      </c>
      <c r="I984" s="10">
        <f>VLOOKUP(A984,Presupuesto!$A:$F,6,0)</f>
        <v>0</v>
      </c>
      <c r="J984" s="10">
        <f>+H984-I984</f>
        <v>0</v>
      </c>
      <c r="K984" s="46">
        <f>+H984-G984*E984</f>
        <v>0</v>
      </c>
    </row>
    <row r="985" spans="1:11" ht="12.75" customHeight="1" thickTop="1">
      <c r="A985" s="14"/>
      <c r="B985" s="15" t="s">
        <v>2586</v>
      </c>
      <c r="C985" s="15" t="s">
        <v>5</v>
      </c>
      <c r="D985" s="16" t="s">
        <v>6</v>
      </c>
      <c r="E985" s="17" t="s">
        <v>7</v>
      </c>
      <c r="F985" s="18" t="s">
        <v>3728</v>
      </c>
      <c r="G985" s="19" t="s">
        <v>3729</v>
      </c>
      <c r="H985" s="20" t="s">
        <v>3797</v>
      </c>
    </row>
    <row r="986" spans="1:11" ht="12.75" customHeight="1">
      <c r="A986" s="21"/>
      <c r="B986" s="22" t="s">
        <v>3730</v>
      </c>
      <c r="C986" s="23"/>
      <c r="D986" s="24"/>
      <c r="E986" s="25"/>
      <c r="F986" s="26"/>
      <c r="G986" s="27">
        <f>SUM(G987:G991)</f>
        <v>639550.0686709393</v>
      </c>
      <c r="H986" s="27">
        <f>IFERROR(G986*E984,"")</f>
        <v>0</v>
      </c>
    </row>
    <row r="987" spans="1:11" ht="12.75" customHeight="1">
      <c r="A987" s="28"/>
      <c r="B987" s="29" t="s">
        <v>3240</v>
      </c>
      <c r="C987" s="30" t="str">
        <f>IFERROR(_xlfn.XLOOKUP(B987,Insumo[DESCRIPCION],Insumo[UND],,0),"")</f>
        <v>M3</v>
      </c>
      <c r="D987" s="31">
        <v>1</v>
      </c>
      <c r="E987" s="32">
        <f>IFERROR(_xlfn.XLOOKUP($B987,Insumo[DESCRIPCION],Insumo[VALOR],,0),"")</f>
        <v>539790.3034961326</v>
      </c>
      <c r="F987" s="33">
        <v>5</v>
      </c>
      <c r="G987" s="34">
        <f>IFERROR(IF(F987&gt;=0,D987*E987*(1+F987/100),ABS(D987*E987/F987)),"")</f>
        <v>566779.8186709393</v>
      </c>
      <c r="H987" s="43">
        <f>IFERROR(G987*E984,"")</f>
        <v>0</v>
      </c>
    </row>
    <row r="988" spans="1:11" ht="12.75" customHeight="1">
      <c r="A988" s="28"/>
      <c r="B988" s="29" t="s">
        <v>3223</v>
      </c>
      <c r="C988" s="30" t="str">
        <f>IFERROR(_xlfn.XLOOKUP(B988,Insumo[DESCRIPCION],Insumo[UND],,0),"")</f>
        <v>Kg</v>
      </c>
      <c r="D988" s="31">
        <v>2.5</v>
      </c>
      <c r="E988" s="32">
        <f>IFERROR(_xlfn.XLOOKUP($B988,Insumo[DESCRIPCION],Insumo[VALOR],,0),"")</f>
        <v>29108.100000000002</v>
      </c>
      <c r="F988" s="33"/>
      <c r="G988" s="34">
        <f>IFERROR(IF(F988&gt;=0,D988*E988*(1+F988/100),ABS(D988*E988/F988)),"")</f>
        <v>72770.25</v>
      </c>
      <c r="H988" s="43">
        <f>IFERROR(G988*E984,"")</f>
        <v>0</v>
      </c>
    </row>
    <row r="989" spans="1:11" ht="12.75" customHeight="1">
      <c r="A989" s="28"/>
      <c r="B989" s="29"/>
      <c r="C989" s="30" t="str">
        <f>IFERROR(_xlfn.XLOOKUP(B989,Insumo[DESCRIPCION],Insumo[UND],,0),"")</f>
        <v/>
      </c>
      <c r="D989" s="31"/>
      <c r="E989" s="32" t="str">
        <f>IFERROR(_xlfn.XLOOKUP($B989,Insumo[DESCRIPCION],Insumo[VALOR],,0),"")</f>
        <v/>
      </c>
      <c r="F989" s="33"/>
      <c r="G989" s="34" t="str">
        <f>IFERROR(IF(F989&gt;=0,D989*E989*(1+F989/100),ABS(D989*E989/F989)),"")</f>
        <v/>
      </c>
      <c r="H989" s="43" t="str">
        <f>IFERROR(G989*E984,"")</f>
        <v/>
      </c>
    </row>
    <row r="990" spans="1:11" ht="12.75" customHeight="1">
      <c r="A990" s="28"/>
      <c r="B990" s="29"/>
      <c r="C990" s="30" t="str">
        <f>IFERROR(_xlfn.XLOOKUP(B990,Insumo[DESCRIPCION],Insumo[UND],,0),"")</f>
        <v/>
      </c>
      <c r="D990" s="31"/>
      <c r="E990" s="32" t="str">
        <f>IFERROR(_xlfn.XLOOKUP($B990,Insumo[DESCRIPCION],Insumo[VALOR],,0),"")</f>
        <v/>
      </c>
      <c r="F990" s="33"/>
      <c r="G990" s="34" t="str">
        <f>IFERROR(IF(F990&gt;=0,D990*E990*(1+F990/100),ABS(D990*E990/F990)),"")</f>
        <v/>
      </c>
      <c r="H990" s="43" t="str">
        <f>IFERROR(G990*E984,"")</f>
        <v/>
      </c>
    </row>
    <row r="991" spans="1:11" ht="12.75" customHeight="1">
      <c r="A991" s="28"/>
      <c r="B991" s="29"/>
      <c r="C991" s="30" t="str">
        <f>IFERROR(_xlfn.XLOOKUP(B991,Insumo[DESCRIPCION],Insumo[UND],,0),"")</f>
        <v/>
      </c>
      <c r="D991" s="31"/>
      <c r="E991" s="32" t="str">
        <f>IFERROR(_xlfn.XLOOKUP($B991,Insumo[DESCRIPCION],Insumo[VALOR],,0),"")</f>
        <v/>
      </c>
      <c r="F991" s="33"/>
      <c r="G991" s="34" t="str">
        <f>IFERROR(IF(F991&gt;=0,D991*E991*(1+F991/100),ABS(D991*E991/F991)),"")</f>
        <v/>
      </c>
      <c r="H991" s="43" t="str">
        <f>IFERROR(G991*E984,"")</f>
        <v/>
      </c>
    </row>
    <row r="992" spans="1:11" ht="12.75" customHeight="1">
      <c r="A992" s="21"/>
      <c r="B992" s="22" t="s">
        <v>3731</v>
      </c>
      <c r="C992" s="23"/>
      <c r="D992" s="24"/>
      <c r="E992" s="25"/>
      <c r="F992" s="26"/>
      <c r="G992" s="27">
        <f>SUM(G993:G995)</f>
        <v>15084.187526850004</v>
      </c>
      <c r="H992" s="44">
        <f>G992*E984</f>
        <v>0</v>
      </c>
    </row>
    <row r="993" spans="1:11" ht="12.75" customHeight="1">
      <c r="A993" s="28"/>
      <c r="B993" s="29" t="s">
        <v>3657</v>
      </c>
      <c r="C993" s="30" t="str">
        <f>IFERROR(_xlfn.XLOOKUP(B993,Equipo[DESCRIPCION],Equipo[UND],,0),"")</f>
        <v>Día</v>
      </c>
      <c r="D993" s="31">
        <v>1</v>
      </c>
      <c r="E993" s="32">
        <f>IF(C993="%MO",G999,IFERROR(_xlfn.XLOOKUP($B993,Equipo[DESCRIPCION],Equipo[VALOR],,0),""))</f>
        <v>56524.65</v>
      </c>
      <c r="F993" s="33">
        <v>-10</v>
      </c>
      <c r="G993" s="34">
        <f>IFERROR(IF(F993&gt;=0,D993*E993*(1+F993/100),ABS(D993*E993/F993)),"")</f>
        <v>5652.4650000000001</v>
      </c>
      <c r="H993" s="43">
        <f>IFERROR(G993*E984,"")</f>
        <v>0</v>
      </c>
    </row>
    <row r="994" spans="1:11" ht="12.75" customHeight="1">
      <c r="A994" s="28"/>
      <c r="B994" s="29" t="s">
        <v>3570</v>
      </c>
      <c r="C994" s="30" t="str">
        <f>IFERROR(_xlfn.XLOOKUP(B994,Equipo[DESCRIPCION],Equipo[UND],,0),"")</f>
        <v>%MO</v>
      </c>
      <c r="D994" s="31">
        <v>0.04</v>
      </c>
      <c r="E994" s="32">
        <f>IF(C994="%MO",G999,IFERROR(_xlfn.XLOOKUP($B994,Equipo[DESCRIPCION],Equipo[VALOR],,0),""))</f>
        <v>104796.91696500003</v>
      </c>
      <c r="F994" s="33"/>
      <c r="G994" s="34">
        <f>IFERROR(IF(F994&gt;=0,D994*E994*(1+F994/100),ABS(D994*E994/F994)),"")</f>
        <v>4191.8766786000015</v>
      </c>
      <c r="H994" s="43">
        <f>IFERROR(G994*E984,"")</f>
        <v>0</v>
      </c>
    </row>
    <row r="995" spans="1:11" ht="12.75" customHeight="1">
      <c r="A995" s="28"/>
      <c r="B995" s="29" t="s">
        <v>3626</v>
      </c>
      <c r="C995" s="30" t="str">
        <f>IFERROR(_xlfn.XLOOKUP(B995,Equipo[DESCRIPCION],Equipo[UND],,0),"")</f>
        <v>%MO</v>
      </c>
      <c r="D995" s="31">
        <v>0.05</v>
      </c>
      <c r="E995" s="32">
        <f>IF(C995="%MO",G999,IFERROR(_xlfn.XLOOKUP($B995,Equipo[DESCRIPCION],Equipo[VALOR],,0),""))</f>
        <v>104796.91696500003</v>
      </c>
      <c r="F995" s="33"/>
      <c r="G995" s="34">
        <f>IFERROR(IF(F995&gt;=0,D995*E995*(1+F995/100),ABS(D995*E995/F995)),"")</f>
        <v>5239.8458482500018</v>
      </c>
      <c r="H995" s="43">
        <f>IFERROR(G995*E984,"")</f>
        <v>0</v>
      </c>
    </row>
    <row r="996" spans="1:11" ht="12.75" customHeight="1">
      <c r="A996" s="21"/>
      <c r="B996" s="22" t="s">
        <v>2533</v>
      </c>
      <c r="C996" s="23"/>
      <c r="D996" s="24"/>
      <c r="E996" s="25"/>
      <c r="F996" s="26"/>
      <c r="G996" s="27">
        <f>SUM(G997:G998)</f>
        <v>0</v>
      </c>
      <c r="H996" s="44">
        <f>G996*E984</f>
        <v>0</v>
      </c>
    </row>
    <row r="997" spans="1:11" ht="12.75" customHeight="1">
      <c r="A997" s="28"/>
      <c r="B997" s="29"/>
      <c r="C997" s="30" t="str">
        <f>IFERROR(_xlfn.XLOOKUP(B997,Transporte[DESCRIPCION],Transporte[UND],,0),"")</f>
        <v/>
      </c>
      <c r="D997" s="31"/>
      <c r="E997" s="32" t="str">
        <f>IFERROR(_xlfn.XLOOKUP($B997,Transporte[DESCRIPCION],Transporte[VALOR],,0),"")</f>
        <v/>
      </c>
      <c r="F997" s="33"/>
      <c r="G997" s="34" t="str">
        <f>IFERROR(IF(F997&gt;=0,D997*E997*(1+F997/100),ABS(D997*E997/F997)),"")</f>
        <v/>
      </c>
      <c r="H997" s="43" t="str">
        <f>IFERROR(G997*E984,"")</f>
        <v/>
      </c>
    </row>
    <row r="998" spans="1:11" ht="12.75" customHeight="1">
      <c r="A998" s="28"/>
      <c r="B998" s="29"/>
      <c r="C998" s="30" t="str">
        <f>IFERROR(_xlfn.XLOOKUP(B998,Transporte[DESCRIPCION],Transporte[UND],,0),"")</f>
        <v/>
      </c>
      <c r="D998" s="31"/>
      <c r="E998" s="32" t="str">
        <f>IFERROR(_xlfn.XLOOKUP($B998,Transporte[DESCRIPCION],Transporte[VALOR],,0),"")</f>
        <v/>
      </c>
      <c r="F998" s="33"/>
      <c r="G998" s="34" t="str">
        <f>IFERROR(IF(F998&gt;=0,D998*E998*(1+F998/100),ABS(D998*E998/F998)),"")</f>
        <v/>
      </c>
      <c r="H998" s="43" t="str">
        <f>IFERROR(G998*E984,"")</f>
        <v/>
      </c>
    </row>
    <row r="999" spans="1:11" ht="12.75" customHeight="1">
      <c r="A999" s="21"/>
      <c r="B999" s="22" t="s">
        <v>3732</v>
      </c>
      <c r="C999" s="23"/>
      <c r="D999" s="24"/>
      <c r="E999" s="25"/>
      <c r="F999" s="26"/>
      <c r="G999" s="27">
        <f>SUM(G1000:G1002)</f>
        <v>104796.91696500003</v>
      </c>
      <c r="H999" s="44">
        <f>G999*E984</f>
        <v>0</v>
      </c>
    </row>
    <row r="1000" spans="1:11" ht="12.75" customHeight="1">
      <c r="A1000" s="28"/>
      <c r="B1000" s="29" t="s">
        <v>3710</v>
      </c>
      <c r="C1000" s="30" t="str">
        <f>IFERROR(_xlfn.XLOOKUP(B1000,MObra[DESCRIPCION],MObra[UN],,0),"")</f>
        <v>día</v>
      </c>
      <c r="D1000" s="31">
        <v>1</v>
      </c>
      <c r="E1000" s="32">
        <f>IFERROR(_xlfn.XLOOKUP($B1000,MObra[DESCRIPCION],MObra[VALOR UNIT],,0),"")</f>
        <v>314390.75089500006</v>
      </c>
      <c r="F1000" s="33">
        <v>-3</v>
      </c>
      <c r="G1000" s="34">
        <f>IFERROR(IF(F1000&gt;=0,D1000*E1000*(1+F1000/100),ABS(D1000*E1000/F1000)),"")</f>
        <v>104796.91696500003</v>
      </c>
      <c r="H1000" s="43">
        <f>IFERROR(G1000*E984,"")</f>
        <v>0</v>
      </c>
    </row>
    <row r="1001" spans="1:11" ht="12.75" customHeight="1">
      <c r="A1001" s="28"/>
      <c r="B1001" s="29"/>
      <c r="C1001" s="30" t="str">
        <f t="array" ref="C1001">IFERROR(_xlfn.XLOOKUP(B1001,MObra[[#All],[DESCRIPCION]],MObra[[#All],[UN]],,0),"")</f>
        <v/>
      </c>
      <c r="D1001" s="31"/>
      <c r="E1001" s="32" t="str">
        <f>IFERROR(_xlfn.XLOOKUP($B1001,MObra[DESCRIPCION],MObra[VALOR UNIT],,0),"")</f>
        <v/>
      </c>
      <c r="F1001" s="33"/>
      <c r="G1001" s="34" t="str">
        <f>IFERROR(IF(F1001&gt;=0,D1001*E1001*(1+F1001/100),ABS(D1001*E1001/F1001)),"")</f>
        <v/>
      </c>
      <c r="H1001" s="43" t="str">
        <f>IFERROR(G1001*E984,"")</f>
        <v/>
      </c>
    </row>
    <row r="1002" spans="1:11" ht="12.75" customHeight="1" thickBot="1">
      <c r="A1002" s="35"/>
      <c r="B1002" s="36"/>
      <c r="C1002" s="37" t="str">
        <f t="array" ref="C1002">IFERROR(_xlfn.XLOOKUP(B1002,MObra[[#All],[DESCRIPCION]],MObra[[#All],[UN]],,0),"")</f>
        <v/>
      </c>
      <c r="D1002" s="38"/>
      <c r="E1002" s="39" t="str">
        <f>IFERROR(_xlfn.XLOOKUP($B1002,MObra[DESCRIPCION],MObra[VALOR UNIT],,0),"")</f>
        <v/>
      </c>
      <c r="F1002" s="40"/>
      <c r="G1002" s="41" t="str">
        <f>IFERROR(IF(F1002&gt;=0,D1002*E1002*(1+F1002/100),ABS(D1002*E1002/F1002)),"")</f>
        <v/>
      </c>
      <c r="H1002" s="42" t="str">
        <f>IFERROR(G1002*E984,"")</f>
        <v/>
      </c>
    </row>
    <row r="1003" spans="1:11" ht="12.75" customHeight="1" thickTop="1" thickBot="1"/>
    <row r="1004" spans="1:11" ht="12.75" customHeight="1" thickTop="1" thickBot="1">
      <c r="A1004" s="6" t="s">
        <v>409</v>
      </c>
      <c r="B1004" s="7" t="str">
        <f>VLOOKUP($A1004,Presupuesto!$A:$D,2,FALSE())</f>
        <v>Concreto 27.6 Mpa simple impermeabilizado</v>
      </c>
      <c r="C1004" s="8" t="str">
        <f>VLOOKUP($A1004,Presupuesto!$A:$D,3,FALSE())</f>
        <v>M3</v>
      </c>
      <c r="D1004" s="9"/>
      <c r="E1004" s="10">
        <f>VLOOKUP($A1004,Presupuesto!$A:$D,4,FALSE())</f>
        <v>0</v>
      </c>
      <c r="F1004" s="11" t="s">
        <v>2589</v>
      </c>
      <c r="G1004" s="12">
        <f>SUM(G1006:G1022)/2</f>
        <v>773985.22316278948</v>
      </c>
      <c r="H1004" s="13">
        <f>ROUND(SUM(H1006:H1022),0)/2</f>
        <v>0</v>
      </c>
      <c r="I1004" s="10">
        <f>VLOOKUP(A1004,Presupuesto!$A:$F,6,0)</f>
        <v>0</v>
      </c>
      <c r="J1004" s="10">
        <f>+H1004-I1004</f>
        <v>0</v>
      </c>
      <c r="K1004" s="46">
        <f>+H1004-G1004*E1004</f>
        <v>0</v>
      </c>
    </row>
    <row r="1005" spans="1:11" ht="12.75" customHeight="1" thickTop="1">
      <c r="A1005" s="14"/>
      <c r="B1005" s="15" t="s">
        <v>2586</v>
      </c>
      <c r="C1005" s="15" t="s">
        <v>5</v>
      </c>
      <c r="D1005" s="16" t="s">
        <v>6</v>
      </c>
      <c r="E1005" s="17" t="s">
        <v>7</v>
      </c>
      <c r="F1005" s="18" t="s">
        <v>3728</v>
      </c>
      <c r="G1005" s="19" t="s">
        <v>3729</v>
      </c>
      <c r="H1005" s="20" t="s">
        <v>3797</v>
      </c>
    </row>
    <row r="1006" spans="1:11" ht="12.75" customHeight="1">
      <c r="A1006" s="21"/>
      <c r="B1006" s="22" t="s">
        <v>3730</v>
      </c>
      <c r="C1006" s="23"/>
      <c r="D1006" s="24"/>
      <c r="E1006" s="25"/>
      <c r="F1006" s="26"/>
      <c r="G1006" s="27">
        <f>SUM(G1007:G1011)</f>
        <v>654104.11867093935</v>
      </c>
      <c r="H1006" s="27">
        <f>IFERROR(G1006*E1004,"")</f>
        <v>0</v>
      </c>
    </row>
    <row r="1007" spans="1:11" ht="12.75" customHeight="1">
      <c r="A1007" s="28"/>
      <c r="B1007" s="29" t="s">
        <v>3240</v>
      </c>
      <c r="C1007" s="30" t="str">
        <f>IFERROR(_xlfn.XLOOKUP(B1007,Insumo[DESCRIPCION],Insumo[UND],,0),"")</f>
        <v>M3</v>
      </c>
      <c r="D1007" s="31">
        <v>1</v>
      </c>
      <c r="E1007" s="32">
        <f>IFERROR(_xlfn.XLOOKUP($B1007,Insumo[DESCRIPCION],Insumo[VALOR],,0),"")</f>
        <v>539790.3034961326</v>
      </c>
      <c r="F1007" s="33">
        <v>5</v>
      </c>
      <c r="G1007" s="34">
        <f>IFERROR(IF(F1007&gt;=0,D1007*E1007*(1+F1007/100),ABS(D1007*E1007/F1007)),"")</f>
        <v>566779.8186709393</v>
      </c>
      <c r="H1007" s="43">
        <f>IFERROR(G1007*E1004,"")</f>
        <v>0</v>
      </c>
    </row>
    <row r="1008" spans="1:11" ht="12.75" customHeight="1">
      <c r="A1008" s="28"/>
      <c r="B1008" s="29" t="s">
        <v>3223</v>
      </c>
      <c r="C1008" s="30" t="str">
        <f>IFERROR(_xlfn.XLOOKUP(B1008,Insumo[DESCRIPCION],Insumo[UND],,0),"")</f>
        <v>Kg</v>
      </c>
      <c r="D1008" s="31">
        <v>3</v>
      </c>
      <c r="E1008" s="32">
        <f>IFERROR(_xlfn.XLOOKUP($B1008,Insumo[DESCRIPCION],Insumo[VALOR],,0),"")</f>
        <v>29108.100000000002</v>
      </c>
      <c r="F1008" s="33"/>
      <c r="G1008" s="34">
        <f>IFERROR(IF(F1008&gt;=0,D1008*E1008*(1+F1008/100),ABS(D1008*E1008/F1008)),"")</f>
        <v>87324.3</v>
      </c>
      <c r="H1008" s="43">
        <f>IFERROR(G1008*E1004,"")</f>
        <v>0</v>
      </c>
    </row>
    <row r="1009" spans="1:11" ht="12.75" customHeight="1">
      <c r="A1009" s="28"/>
      <c r="B1009" s="29"/>
      <c r="C1009" s="30" t="str">
        <f>IFERROR(_xlfn.XLOOKUP(B1009,Insumo[DESCRIPCION],Insumo[UND],,0),"")</f>
        <v/>
      </c>
      <c r="D1009" s="31"/>
      <c r="E1009" s="32" t="str">
        <f>IFERROR(_xlfn.XLOOKUP($B1009,Insumo[DESCRIPCION],Insumo[VALOR],,0),"")</f>
        <v/>
      </c>
      <c r="F1009" s="33"/>
      <c r="G1009" s="34" t="str">
        <f>IFERROR(IF(F1009&gt;=0,D1009*E1009*(1+F1009/100),ABS(D1009*E1009/F1009)),"")</f>
        <v/>
      </c>
      <c r="H1009" s="43" t="str">
        <f>IFERROR(G1009*E1004,"")</f>
        <v/>
      </c>
    </row>
    <row r="1010" spans="1:11" ht="12.75" customHeight="1">
      <c r="A1010" s="28"/>
      <c r="B1010" s="29"/>
      <c r="C1010" s="30" t="str">
        <f>IFERROR(_xlfn.XLOOKUP(B1010,Insumo[DESCRIPCION],Insumo[UND],,0),"")</f>
        <v/>
      </c>
      <c r="D1010" s="31"/>
      <c r="E1010" s="32" t="str">
        <f>IFERROR(_xlfn.XLOOKUP($B1010,Insumo[DESCRIPCION],Insumo[VALOR],,0),"")</f>
        <v/>
      </c>
      <c r="F1010" s="33"/>
      <c r="G1010" s="34" t="str">
        <f>IFERROR(IF(F1010&gt;=0,D1010*E1010*(1+F1010/100),ABS(D1010*E1010/F1010)),"")</f>
        <v/>
      </c>
      <c r="H1010" s="43" t="str">
        <f>IFERROR(G1010*E1004,"")</f>
        <v/>
      </c>
    </row>
    <row r="1011" spans="1:11" ht="12.75" customHeight="1">
      <c r="A1011" s="28"/>
      <c r="B1011" s="29"/>
      <c r="C1011" s="30" t="str">
        <f>IFERROR(_xlfn.XLOOKUP(B1011,Insumo[DESCRIPCION],Insumo[UND],,0),"")</f>
        <v/>
      </c>
      <c r="D1011" s="31"/>
      <c r="E1011" s="32" t="str">
        <f>IFERROR(_xlfn.XLOOKUP($B1011,Insumo[DESCRIPCION],Insumo[VALOR],,0),"")</f>
        <v/>
      </c>
      <c r="F1011" s="33"/>
      <c r="G1011" s="34" t="str">
        <f>IFERROR(IF(F1011&gt;=0,D1011*E1011*(1+F1011/100),ABS(D1011*E1011/F1011)),"")</f>
        <v/>
      </c>
      <c r="H1011" s="43" t="str">
        <f>IFERROR(G1011*E1004,"")</f>
        <v/>
      </c>
    </row>
    <row r="1012" spans="1:11" ht="12.75" customHeight="1">
      <c r="A1012" s="21"/>
      <c r="B1012" s="22" t="s">
        <v>3731</v>
      </c>
      <c r="C1012" s="23"/>
      <c r="D1012" s="24"/>
      <c r="E1012" s="25"/>
      <c r="F1012" s="26"/>
      <c r="G1012" s="27">
        <f>SUM(G1013:G1015)</f>
        <v>15084.187526850004</v>
      </c>
      <c r="H1012" s="44">
        <f>G1012*E1004</f>
        <v>0</v>
      </c>
    </row>
    <row r="1013" spans="1:11" ht="12.75" customHeight="1">
      <c r="A1013" s="28"/>
      <c r="B1013" s="29" t="s">
        <v>3657</v>
      </c>
      <c r="C1013" s="30" t="str">
        <f>IFERROR(_xlfn.XLOOKUP(B1013,Equipo[DESCRIPCION],Equipo[UND],,0),"")</f>
        <v>Día</v>
      </c>
      <c r="D1013" s="31">
        <v>1</v>
      </c>
      <c r="E1013" s="32">
        <f>IF(C1013="%MO",G1019,IFERROR(_xlfn.XLOOKUP($B1013,Equipo[DESCRIPCION],Equipo[VALOR],,0),""))</f>
        <v>56524.65</v>
      </c>
      <c r="F1013" s="33">
        <v>-10</v>
      </c>
      <c r="G1013" s="34">
        <f>IFERROR(IF(F1013&gt;=0,D1013*E1013*(1+F1013/100),ABS(D1013*E1013/F1013)),"")</f>
        <v>5652.4650000000001</v>
      </c>
      <c r="H1013" s="43">
        <f>IFERROR(G1013*E1004,"")</f>
        <v>0</v>
      </c>
    </row>
    <row r="1014" spans="1:11" ht="12.75" customHeight="1">
      <c r="A1014" s="28"/>
      <c r="B1014" s="29" t="s">
        <v>3570</v>
      </c>
      <c r="C1014" s="30" t="str">
        <f>IFERROR(_xlfn.XLOOKUP(B1014,Equipo[DESCRIPCION],Equipo[UND],,0),"")</f>
        <v>%MO</v>
      </c>
      <c r="D1014" s="31">
        <v>0.04</v>
      </c>
      <c r="E1014" s="32">
        <f>IF(C1014="%MO",G1019,IFERROR(_xlfn.XLOOKUP($B1014,Equipo[DESCRIPCION],Equipo[VALOR],,0),""))</f>
        <v>104796.91696500003</v>
      </c>
      <c r="F1014" s="33"/>
      <c r="G1014" s="34">
        <f>IFERROR(IF(F1014&gt;=0,D1014*E1014*(1+F1014/100),ABS(D1014*E1014/F1014)),"")</f>
        <v>4191.8766786000015</v>
      </c>
      <c r="H1014" s="43">
        <f>IFERROR(G1014*E1004,"")</f>
        <v>0</v>
      </c>
    </row>
    <row r="1015" spans="1:11" ht="12.75" customHeight="1">
      <c r="A1015" s="28"/>
      <c r="B1015" s="29" t="s">
        <v>3626</v>
      </c>
      <c r="C1015" s="30" t="str">
        <f>IFERROR(_xlfn.XLOOKUP(B1015,Equipo[DESCRIPCION],Equipo[UND],,0),"")</f>
        <v>%MO</v>
      </c>
      <c r="D1015" s="31">
        <v>0.05</v>
      </c>
      <c r="E1015" s="32">
        <f>IF(C1015="%MO",G1019,IFERROR(_xlfn.XLOOKUP($B1015,Equipo[DESCRIPCION],Equipo[VALOR],,0),""))</f>
        <v>104796.91696500003</v>
      </c>
      <c r="F1015" s="33"/>
      <c r="G1015" s="34">
        <f>IFERROR(IF(F1015&gt;=0,D1015*E1015*(1+F1015/100),ABS(D1015*E1015/F1015)),"")</f>
        <v>5239.8458482500018</v>
      </c>
      <c r="H1015" s="43">
        <f>IFERROR(G1015*E1004,"")</f>
        <v>0</v>
      </c>
    </row>
    <row r="1016" spans="1:11" ht="12.75" customHeight="1">
      <c r="A1016" s="21"/>
      <c r="B1016" s="22" t="s">
        <v>2533</v>
      </c>
      <c r="C1016" s="23"/>
      <c r="D1016" s="24"/>
      <c r="E1016" s="25"/>
      <c r="F1016" s="26"/>
      <c r="G1016" s="27">
        <f>SUM(G1017:G1018)</f>
        <v>0</v>
      </c>
      <c r="H1016" s="44">
        <f>G1016*E1004</f>
        <v>0</v>
      </c>
    </row>
    <row r="1017" spans="1:11" ht="12.75" customHeight="1">
      <c r="A1017" s="28"/>
      <c r="B1017" s="29"/>
      <c r="C1017" s="30" t="str">
        <f>IFERROR(_xlfn.XLOOKUP(B1017,Transporte[DESCRIPCION],Transporte[UND],,0),"")</f>
        <v/>
      </c>
      <c r="D1017" s="31"/>
      <c r="E1017" s="32" t="str">
        <f>IFERROR(_xlfn.XLOOKUP($B1017,Transporte[DESCRIPCION],Transporte[VALOR],,0),"")</f>
        <v/>
      </c>
      <c r="F1017" s="33"/>
      <c r="G1017" s="34" t="str">
        <f>IFERROR(IF(F1017&gt;=0,D1017*E1017*(1+F1017/100),ABS(D1017*E1017/F1017)),"")</f>
        <v/>
      </c>
      <c r="H1017" s="43" t="str">
        <f>IFERROR(G1017*E1004,"")</f>
        <v/>
      </c>
    </row>
    <row r="1018" spans="1:11" ht="12.75" customHeight="1">
      <c r="A1018" s="28"/>
      <c r="B1018" s="29"/>
      <c r="C1018" s="30" t="str">
        <f>IFERROR(_xlfn.XLOOKUP(B1018,Transporte[DESCRIPCION],Transporte[UND],,0),"")</f>
        <v/>
      </c>
      <c r="D1018" s="31"/>
      <c r="E1018" s="32" t="str">
        <f>IFERROR(_xlfn.XLOOKUP($B1018,Transporte[DESCRIPCION],Transporte[VALOR],,0),"")</f>
        <v/>
      </c>
      <c r="F1018" s="33"/>
      <c r="G1018" s="34" t="str">
        <f>IFERROR(IF(F1018&gt;=0,D1018*E1018*(1+F1018/100),ABS(D1018*E1018/F1018)),"")</f>
        <v/>
      </c>
      <c r="H1018" s="43" t="str">
        <f>IFERROR(G1018*E1004,"")</f>
        <v/>
      </c>
    </row>
    <row r="1019" spans="1:11" ht="12.75" customHeight="1">
      <c r="A1019" s="21"/>
      <c r="B1019" s="22" t="s">
        <v>3732</v>
      </c>
      <c r="C1019" s="23"/>
      <c r="D1019" s="24"/>
      <c r="E1019" s="25"/>
      <c r="F1019" s="26"/>
      <c r="G1019" s="27">
        <f>SUM(G1020:G1022)</f>
        <v>104796.91696500003</v>
      </c>
      <c r="H1019" s="44">
        <f>G1019*E1004</f>
        <v>0</v>
      </c>
    </row>
    <row r="1020" spans="1:11" ht="12.75" customHeight="1">
      <c r="A1020" s="28"/>
      <c r="B1020" s="29" t="s">
        <v>3710</v>
      </c>
      <c r="C1020" s="30" t="str">
        <f>IFERROR(_xlfn.XLOOKUP(B1020,MObra[DESCRIPCION],MObra[UN],,0),"")</f>
        <v>día</v>
      </c>
      <c r="D1020" s="31">
        <v>1</v>
      </c>
      <c r="E1020" s="32">
        <f>IFERROR(_xlfn.XLOOKUP($B1020,MObra[DESCRIPCION],MObra[VALOR UNIT],,0),"")</f>
        <v>314390.75089500006</v>
      </c>
      <c r="F1020" s="33">
        <v>-3</v>
      </c>
      <c r="G1020" s="34">
        <f>IFERROR(IF(F1020&gt;=0,D1020*E1020*(1+F1020/100),ABS(D1020*E1020/F1020)),"")</f>
        <v>104796.91696500003</v>
      </c>
      <c r="H1020" s="43">
        <f>IFERROR(G1020*E1004,"")</f>
        <v>0</v>
      </c>
    </row>
    <row r="1021" spans="1:11" ht="12.75" customHeight="1">
      <c r="A1021" s="28"/>
      <c r="B1021" s="29"/>
      <c r="C1021" s="30" t="str">
        <f t="array" ref="C1021">IFERROR(_xlfn.XLOOKUP(B1021,MObra[[#All],[DESCRIPCION]],MObra[[#All],[UN]],,0),"")</f>
        <v/>
      </c>
      <c r="D1021" s="31"/>
      <c r="E1021" s="32" t="str">
        <f>IFERROR(_xlfn.XLOOKUP($B1021,MObra[DESCRIPCION],MObra[VALOR UNIT],,0),"")</f>
        <v/>
      </c>
      <c r="F1021" s="33"/>
      <c r="G1021" s="34" t="str">
        <f>IFERROR(IF(F1021&gt;=0,D1021*E1021*(1+F1021/100),ABS(D1021*E1021/F1021)),"")</f>
        <v/>
      </c>
      <c r="H1021" s="43" t="str">
        <f>IFERROR(G1021*E1004,"")</f>
        <v/>
      </c>
    </row>
    <row r="1022" spans="1:11" ht="12.75" customHeight="1" thickBot="1">
      <c r="A1022" s="35"/>
      <c r="B1022" s="36"/>
      <c r="C1022" s="37" t="str">
        <f t="array" ref="C1022">IFERROR(_xlfn.XLOOKUP(B1022,MObra[[#All],[DESCRIPCION]],MObra[[#All],[UN]],,0),"")</f>
        <v/>
      </c>
      <c r="D1022" s="38"/>
      <c r="E1022" s="39" t="str">
        <f>IFERROR(_xlfn.XLOOKUP($B1022,MObra[DESCRIPCION],MObra[VALOR UNIT],,0),"")</f>
        <v/>
      </c>
      <c r="F1022" s="40"/>
      <c r="G1022" s="41" t="str">
        <f>IFERROR(IF(F1022&gt;=0,D1022*E1022*(1+F1022/100),ABS(D1022*E1022/F1022)),"")</f>
        <v/>
      </c>
      <c r="H1022" s="42" t="str">
        <f>IFERROR(G1022*E1004,"")</f>
        <v/>
      </c>
    </row>
    <row r="1023" spans="1:11" ht="12.75" customHeight="1" thickTop="1" thickBot="1"/>
    <row r="1024" spans="1:11" ht="12.75" customHeight="1" thickTop="1" thickBot="1">
      <c r="A1024" s="6" t="s">
        <v>411</v>
      </c>
      <c r="B1024" s="7" t="str">
        <f>VLOOKUP($A1024,Presupuesto!$A:$D,2,FALSE())</f>
        <v>Cornisa concreto 20.7 Mpa 0.12x0.15 + reforzada</v>
      </c>
      <c r="C1024" s="8" t="str">
        <f>VLOOKUP($A1024,Presupuesto!$A:$D,3,FALSE())</f>
        <v>M</v>
      </c>
      <c r="D1024" s="9"/>
      <c r="E1024" s="10">
        <f>VLOOKUP($A1024,Presupuesto!$A:$D,4,FALSE())</f>
        <v>0</v>
      </c>
      <c r="F1024" s="11" t="s">
        <v>2589</v>
      </c>
      <c r="G1024" s="12">
        <f>SUM(G1026:G1042)/2</f>
        <v>88697.600859147729</v>
      </c>
      <c r="H1024" s="13">
        <f>ROUND(SUM(H1026:H1042),0)/2</f>
        <v>0</v>
      </c>
      <c r="I1024" s="10">
        <f>VLOOKUP(A1024,Presupuesto!$A:$F,6,0)</f>
        <v>0</v>
      </c>
      <c r="J1024" s="10">
        <f>+H1024-I1024</f>
        <v>0</v>
      </c>
      <c r="K1024" s="46">
        <f>+H1024-G1024*E1024</f>
        <v>0</v>
      </c>
    </row>
    <row r="1025" spans="1:8" ht="12.75" customHeight="1" thickTop="1">
      <c r="A1025" s="14"/>
      <c r="B1025" s="15" t="s">
        <v>2586</v>
      </c>
      <c r="C1025" s="15" t="s">
        <v>5</v>
      </c>
      <c r="D1025" s="16" t="s">
        <v>6</v>
      </c>
      <c r="E1025" s="17" t="s">
        <v>7</v>
      </c>
      <c r="F1025" s="18" t="s">
        <v>3728</v>
      </c>
      <c r="G1025" s="19" t="s">
        <v>3729</v>
      </c>
      <c r="H1025" s="20" t="s">
        <v>3797</v>
      </c>
    </row>
    <row r="1026" spans="1:8" ht="12.75" customHeight="1">
      <c r="A1026" s="21"/>
      <c r="B1026" s="22" t="s">
        <v>3730</v>
      </c>
      <c r="C1026" s="23"/>
      <c r="D1026" s="24"/>
      <c r="E1026" s="25"/>
      <c r="F1026" s="26"/>
      <c r="G1026" s="27">
        <f>SUM(G1027:G1031)</f>
        <v>60140.440986185218</v>
      </c>
      <c r="H1026" s="27">
        <f>IFERROR(G1026*E1024,"")</f>
        <v>0</v>
      </c>
    </row>
    <row r="1027" spans="1:8" ht="12.75" customHeight="1">
      <c r="A1027" s="28"/>
      <c r="B1027" s="29" t="s">
        <v>3239</v>
      </c>
      <c r="C1027" s="30" t="str">
        <f>IFERROR(_xlfn.XLOOKUP(B1027,Insumo[DESCRIPCION],Insumo[UND],,0),"")</f>
        <v>M3</v>
      </c>
      <c r="D1027" s="31">
        <f>0.15*0.15</f>
        <v>2.2499999999999999E-2</v>
      </c>
      <c r="E1027" s="32">
        <f>IFERROR(_xlfn.XLOOKUP($B1027,Insumo[DESCRIPCION],Insumo[VALOR],,0),"")</f>
        <v>521159.50227762427</v>
      </c>
      <c r="F1027" s="33">
        <v>5</v>
      </c>
      <c r="G1027" s="34">
        <f>IFERROR(IF(F1027&gt;=0,D1027*E1027*(1+F1027/100),ABS(D1027*E1027/F1027)),"")</f>
        <v>12312.393241308873</v>
      </c>
      <c r="H1027" s="43">
        <f>IFERROR(G1027*E1024,"")</f>
        <v>0</v>
      </c>
    </row>
    <row r="1028" spans="1:8" ht="12.75" customHeight="1">
      <c r="A1028" s="28"/>
      <c r="B1028" s="29" t="s">
        <v>2954</v>
      </c>
      <c r="C1028" s="30" t="str">
        <f>IFERROR(_xlfn.XLOOKUP(B1028,Insumo[DESCRIPCION],Insumo[UND],,0),"")</f>
        <v>M2</v>
      </c>
      <c r="D1028" s="31">
        <v>0.3</v>
      </c>
      <c r="E1028" s="32">
        <f>IFERROR(_xlfn.XLOOKUP($B1028,Insumo[DESCRIPCION],Insumo[VALOR],,0),"")</f>
        <v>102154.92581625449</v>
      </c>
      <c r="F1028" s="33"/>
      <c r="G1028" s="34">
        <f>IFERROR(IF(F1028&gt;=0,D1028*E1028*(1+F1028/100),ABS(D1028*E1028/F1028)),"")</f>
        <v>30646.477744876345</v>
      </c>
      <c r="H1028" s="43">
        <f>IFERROR(G1028*E1024,"")</f>
        <v>0</v>
      </c>
    </row>
    <row r="1029" spans="1:8" ht="12.75" customHeight="1">
      <c r="A1029" s="28"/>
      <c r="B1029" s="29" t="s">
        <v>2653</v>
      </c>
      <c r="C1029" s="30" t="str">
        <f>IFERROR(_xlfn.XLOOKUP(B1029,Insumo[DESCRIPCION],Insumo[UND],,0),"")</f>
        <v>Kg</v>
      </c>
      <c r="D1029" s="31">
        <v>2.9</v>
      </c>
      <c r="E1029" s="32">
        <f>IFERROR(_xlfn.XLOOKUP($B1029,Insumo[DESCRIPCION],Insumo[VALOR],,0),"")</f>
        <v>5686.8</v>
      </c>
      <c r="F1029" s="33"/>
      <c r="G1029" s="34">
        <f>IFERROR(IF(F1029&gt;=0,D1029*E1029*(1+F1029/100),ABS(D1029*E1029/F1029)),"")</f>
        <v>16491.72</v>
      </c>
      <c r="H1029" s="43">
        <f>IFERROR(G1029*E1024,"")</f>
        <v>0</v>
      </c>
    </row>
    <row r="1030" spans="1:8" ht="12.75" customHeight="1">
      <c r="A1030" s="28"/>
      <c r="B1030" s="29" t="s">
        <v>2699</v>
      </c>
      <c r="C1030" s="30" t="str">
        <f>IFERROR(_xlfn.XLOOKUP(B1030,Insumo[DESCRIPCION],Insumo[UND],,0),"")</f>
        <v>Kg</v>
      </c>
      <c r="D1030" s="31">
        <v>0.09</v>
      </c>
      <c r="E1030" s="32">
        <f>IFERROR(_xlfn.XLOOKUP($B1030,Insumo[DESCRIPCION],Insumo[VALOR],,0),"")</f>
        <v>7665</v>
      </c>
      <c r="F1030" s="33"/>
      <c r="G1030" s="34">
        <f>IFERROR(IF(F1030&gt;=0,D1030*E1030*(1+F1030/100),ABS(D1030*E1030/F1030)),"")</f>
        <v>689.85</v>
      </c>
      <c r="H1030" s="43">
        <f>IFERROR(G1030*E1024,"")</f>
        <v>0</v>
      </c>
    </row>
    <row r="1031" spans="1:8" ht="12.75" customHeight="1">
      <c r="A1031" s="28"/>
      <c r="B1031" s="29"/>
      <c r="C1031" s="30" t="str">
        <f>IFERROR(_xlfn.XLOOKUP(B1031,Insumo[DESCRIPCION],Insumo[UND],,0),"")</f>
        <v/>
      </c>
      <c r="D1031" s="31"/>
      <c r="E1031" s="32" t="str">
        <f>IFERROR(_xlfn.XLOOKUP($B1031,Insumo[DESCRIPCION],Insumo[VALOR],,0),"")</f>
        <v/>
      </c>
      <c r="F1031" s="33"/>
      <c r="G1031" s="34" t="str">
        <f>IFERROR(IF(F1031&gt;=0,D1031*E1031*(1+F1031/100),ABS(D1031*E1031/F1031)),"")</f>
        <v/>
      </c>
      <c r="H1031" s="43" t="str">
        <f>IFERROR(G1031*E1024,"")</f>
        <v/>
      </c>
    </row>
    <row r="1032" spans="1:8" ht="12.75" customHeight="1">
      <c r="A1032" s="21"/>
      <c r="B1032" s="22" t="s">
        <v>3731</v>
      </c>
      <c r="C1032" s="23"/>
      <c r="D1032" s="24"/>
      <c r="E1032" s="25"/>
      <c r="F1032" s="26"/>
      <c r="G1032" s="27">
        <f>SUM(G1033:G1035)</f>
        <v>2357.9306317125011</v>
      </c>
      <c r="H1032" s="44">
        <f>G1032*E1024</f>
        <v>0</v>
      </c>
    </row>
    <row r="1033" spans="1:8" ht="12.75" customHeight="1">
      <c r="A1033" s="28"/>
      <c r="B1033" s="29" t="s">
        <v>3570</v>
      </c>
      <c r="C1033" s="30" t="str">
        <f>IFERROR(_xlfn.XLOOKUP(B1033,Equipo[DESCRIPCION],Equipo[UND],,0),"")</f>
        <v>%MO</v>
      </c>
      <c r="D1033" s="31">
        <v>0.04</v>
      </c>
      <c r="E1033" s="32">
        <f>IF(C1033="%MO",G1039,IFERROR(_xlfn.XLOOKUP($B1033,Equipo[DESCRIPCION],Equipo[VALOR],,0),""))</f>
        <v>26199.229241250006</v>
      </c>
      <c r="F1033" s="33"/>
      <c r="G1033" s="34">
        <f>IFERROR(IF(F1033&gt;=0,D1033*E1033*(1+F1033/100),ABS(D1033*E1033/F1033)),"")</f>
        <v>1047.9691696500004</v>
      </c>
      <c r="H1033" s="43">
        <f>IFERROR(G1033*E1024,"")</f>
        <v>0</v>
      </c>
    </row>
    <row r="1034" spans="1:8" ht="12.75" customHeight="1">
      <c r="A1034" s="28"/>
      <c r="B1034" s="29" t="s">
        <v>3626</v>
      </c>
      <c r="C1034" s="30" t="str">
        <f>IFERROR(_xlfn.XLOOKUP(B1034,Equipo[DESCRIPCION],Equipo[UND],,0),"")</f>
        <v>%MO</v>
      </c>
      <c r="D1034" s="31">
        <v>0.05</v>
      </c>
      <c r="E1034" s="32">
        <f>IF(C1034="%MO",G1039,IFERROR(_xlfn.XLOOKUP($B1034,Equipo[DESCRIPCION],Equipo[VALOR],,0),""))</f>
        <v>26199.229241250006</v>
      </c>
      <c r="F1034" s="33"/>
      <c r="G1034" s="34">
        <f>IFERROR(IF(F1034&gt;=0,D1034*E1034*(1+F1034/100),ABS(D1034*E1034/F1034)),"")</f>
        <v>1309.9614620625005</v>
      </c>
      <c r="H1034" s="43">
        <f>IFERROR(G1034*E1024,"")</f>
        <v>0</v>
      </c>
    </row>
    <row r="1035" spans="1:8" ht="12.75" customHeight="1">
      <c r="A1035" s="28"/>
      <c r="B1035" s="29"/>
      <c r="C1035" s="30" t="str">
        <f>IFERROR(_xlfn.XLOOKUP(B1035,Equipo[DESCRIPCION],Equipo[UND],,0),"")</f>
        <v/>
      </c>
      <c r="D1035" s="31"/>
      <c r="E1035" s="32" t="str">
        <f>IF(C1035="%MO",G1039,IFERROR(_xlfn.XLOOKUP($B1035,Equipo[DESCRIPCION],Equipo[VALOR],,0),""))</f>
        <v/>
      </c>
      <c r="F1035" s="33"/>
      <c r="G1035" s="34" t="str">
        <f>IFERROR(IF(F1035&gt;=0,D1035*E1035*(1+F1035/100),ABS(D1035*E1035/F1035)),"")</f>
        <v/>
      </c>
      <c r="H1035" s="43" t="str">
        <f>IFERROR(G1035*E1024,"")</f>
        <v/>
      </c>
    </row>
    <row r="1036" spans="1:8" ht="12.75" customHeight="1">
      <c r="A1036" s="21"/>
      <c r="B1036" s="22" t="s">
        <v>2533</v>
      </c>
      <c r="C1036" s="23"/>
      <c r="D1036" s="24"/>
      <c r="E1036" s="25"/>
      <c r="F1036" s="26"/>
      <c r="G1036" s="27">
        <f>SUM(G1037:G1038)</f>
        <v>0</v>
      </c>
      <c r="H1036" s="44">
        <f>G1036*E1024</f>
        <v>0</v>
      </c>
    </row>
    <row r="1037" spans="1:8" ht="12.75" customHeight="1">
      <c r="A1037" s="28"/>
      <c r="B1037" s="29"/>
      <c r="C1037" s="30" t="str">
        <f>IFERROR(_xlfn.XLOOKUP(B1037,Transporte[DESCRIPCION],Transporte[UND],,0),"")</f>
        <v/>
      </c>
      <c r="D1037" s="31"/>
      <c r="E1037" s="32" t="str">
        <f>IFERROR(_xlfn.XLOOKUP($B1037,Transporte[DESCRIPCION],Transporte[VALOR],,0),"")</f>
        <v/>
      </c>
      <c r="F1037" s="33"/>
      <c r="G1037" s="34" t="str">
        <f>IFERROR(IF(F1037&gt;=0,D1037*E1037*(1+F1037/100),ABS(D1037*E1037/F1037)),"")</f>
        <v/>
      </c>
      <c r="H1037" s="43" t="str">
        <f>IFERROR(G1037*E1024,"")</f>
        <v/>
      </c>
    </row>
    <row r="1038" spans="1:8" ht="12.75" customHeight="1">
      <c r="A1038" s="28"/>
      <c r="B1038" s="29"/>
      <c r="C1038" s="30" t="str">
        <f>IFERROR(_xlfn.XLOOKUP(B1038,Transporte[DESCRIPCION],Transporte[UND],,0),"")</f>
        <v/>
      </c>
      <c r="D1038" s="31"/>
      <c r="E1038" s="32" t="str">
        <f>IFERROR(_xlfn.XLOOKUP($B1038,Transporte[DESCRIPCION],Transporte[VALOR],,0),"")</f>
        <v/>
      </c>
      <c r="F1038" s="33"/>
      <c r="G1038" s="34" t="str">
        <f>IFERROR(IF(F1038&gt;=0,D1038*E1038*(1+F1038/100),ABS(D1038*E1038/F1038)),"")</f>
        <v/>
      </c>
      <c r="H1038" s="43" t="str">
        <f>IFERROR(G1038*E1024,"")</f>
        <v/>
      </c>
    </row>
    <row r="1039" spans="1:8" ht="12.75" customHeight="1">
      <c r="A1039" s="21"/>
      <c r="B1039" s="22" t="s">
        <v>3732</v>
      </c>
      <c r="C1039" s="23"/>
      <c r="D1039" s="24"/>
      <c r="E1039" s="25"/>
      <c r="F1039" s="26"/>
      <c r="G1039" s="27">
        <f>SUM(G1040:G1042)</f>
        <v>26199.229241250006</v>
      </c>
      <c r="H1039" s="44">
        <f>G1039*E1024</f>
        <v>0</v>
      </c>
    </row>
    <row r="1040" spans="1:8" ht="12.75" customHeight="1">
      <c r="A1040" s="28"/>
      <c r="B1040" s="29" t="s">
        <v>3710</v>
      </c>
      <c r="C1040" s="30" t="str">
        <f>IFERROR(_xlfn.XLOOKUP(B1040,MObra[DESCRIPCION],MObra[UN],,0),"")</f>
        <v>día</v>
      </c>
      <c r="D1040" s="31">
        <v>1</v>
      </c>
      <c r="E1040" s="32">
        <f>IFERROR(_xlfn.XLOOKUP($B1040,MObra[DESCRIPCION],MObra[VALOR UNIT],,0),"")</f>
        <v>314390.75089500006</v>
      </c>
      <c r="F1040" s="33">
        <v>-12</v>
      </c>
      <c r="G1040" s="34">
        <f>IFERROR(IF(F1040&gt;=0,D1040*E1040*(1+F1040/100),ABS(D1040*E1040/F1040)),"")</f>
        <v>26199.229241250006</v>
      </c>
      <c r="H1040" s="43">
        <f>IFERROR(G1040*E1024,"")</f>
        <v>0</v>
      </c>
    </row>
    <row r="1041" spans="1:11" ht="12.75" customHeight="1">
      <c r="A1041" s="28"/>
      <c r="B1041" s="29"/>
      <c r="C1041" s="30" t="str">
        <f t="array" ref="C1041">IFERROR(_xlfn.XLOOKUP(B1041,MObra[[#All],[DESCRIPCION]],MObra[[#All],[UN]],,0),"")</f>
        <v/>
      </c>
      <c r="D1041" s="31"/>
      <c r="E1041" s="32" t="str">
        <f>IFERROR(_xlfn.XLOOKUP($B1041,MObra[DESCRIPCION],MObra[VALOR UNIT],,0),"")</f>
        <v/>
      </c>
      <c r="F1041" s="33"/>
      <c r="G1041" s="34" t="str">
        <f>IFERROR(IF(F1041&gt;=0,D1041*E1041*(1+F1041/100),ABS(D1041*E1041/F1041)),"")</f>
        <v/>
      </c>
      <c r="H1041" s="43" t="str">
        <f>IFERROR(G1041*E1024,"")</f>
        <v/>
      </c>
    </row>
    <row r="1042" spans="1:11" ht="12.75" customHeight="1" thickBot="1">
      <c r="A1042" s="35"/>
      <c r="B1042" s="36"/>
      <c r="C1042" s="37" t="str">
        <f t="array" ref="C1042">IFERROR(_xlfn.XLOOKUP(B1042,MObra[[#All],[DESCRIPCION]],MObra[[#All],[UN]],,0),"")</f>
        <v/>
      </c>
      <c r="D1042" s="38"/>
      <c r="E1042" s="39" t="str">
        <f>IFERROR(_xlfn.XLOOKUP($B1042,MObra[DESCRIPCION],MObra[VALOR UNIT],,0),"")</f>
        <v/>
      </c>
      <c r="F1042" s="40"/>
      <c r="G1042" s="41" t="str">
        <f>IFERROR(IF(F1042&gt;=0,D1042*E1042*(1+F1042/100),ABS(D1042*E1042/F1042)),"")</f>
        <v/>
      </c>
      <c r="H1042" s="42" t="str">
        <f>IFERROR(G1042*E1024,"")</f>
        <v/>
      </c>
    </row>
    <row r="1043" spans="1:11" ht="12.75" customHeight="1" thickTop="1" thickBot="1"/>
    <row r="1044" spans="1:11" ht="12.75" customHeight="1" thickTop="1" thickBot="1">
      <c r="A1044" s="6" t="s">
        <v>413</v>
      </c>
      <c r="B1044" s="7" t="str">
        <f>VLOOKUP($A1044,Presupuesto!$A:$D,2,FALSE())</f>
        <v>Dintel concreto 20.7 Mpa 0.12x0.15 + reforzada</v>
      </c>
      <c r="C1044" s="8" t="str">
        <f>VLOOKUP($A1044,Presupuesto!$A:$D,3,FALSE())</f>
        <v>M</v>
      </c>
      <c r="D1044" s="9"/>
      <c r="E1044" s="10">
        <f>VLOOKUP($A1044,Presupuesto!$A:$D,4,FALSE())</f>
        <v>0</v>
      </c>
      <c r="F1044" s="11" t="s">
        <v>2589</v>
      </c>
      <c r="G1044" s="12">
        <f>SUM(G1046:G1062)/2</f>
        <v>83589.854568334995</v>
      </c>
      <c r="H1044" s="13">
        <f>ROUND(SUM(H1046:H1062),0)/2</f>
        <v>0</v>
      </c>
      <c r="I1044" s="10">
        <f>VLOOKUP(A1044,Presupuesto!$A:$F,6,0)</f>
        <v>0</v>
      </c>
      <c r="J1044" s="10">
        <f>+H1044-I1044</f>
        <v>0</v>
      </c>
      <c r="K1044" s="46">
        <f>+H1044-G1044*E1044</f>
        <v>0</v>
      </c>
    </row>
    <row r="1045" spans="1:11" ht="12.75" customHeight="1" thickTop="1">
      <c r="A1045" s="14"/>
      <c r="B1045" s="15" t="s">
        <v>2586</v>
      </c>
      <c r="C1045" s="15" t="s">
        <v>5</v>
      </c>
      <c r="D1045" s="16" t="s">
        <v>6</v>
      </c>
      <c r="E1045" s="17" t="s">
        <v>7</v>
      </c>
      <c r="F1045" s="18" t="s">
        <v>3728</v>
      </c>
      <c r="G1045" s="19" t="s">
        <v>3729</v>
      </c>
      <c r="H1045" s="20" t="s">
        <v>3797</v>
      </c>
    </row>
    <row r="1046" spans="1:11" ht="12.75" customHeight="1">
      <c r="A1046" s="21"/>
      <c r="B1046" s="22" t="s">
        <v>3730</v>
      </c>
      <c r="C1046" s="23"/>
      <c r="D1046" s="24"/>
      <c r="E1046" s="25"/>
      <c r="F1046" s="26"/>
      <c r="G1046" s="27">
        <f>SUM(G1047:G1051)</f>
        <v>55032.694695372491</v>
      </c>
      <c r="H1046" s="27">
        <f>IFERROR(G1046*E1044,"")</f>
        <v>0</v>
      </c>
    </row>
    <row r="1047" spans="1:11" ht="12.75" customHeight="1">
      <c r="A1047" s="28"/>
      <c r="B1047" s="29" t="s">
        <v>3239</v>
      </c>
      <c r="C1047" s="30" t="str">
        <f>IFERROR(_xlfn.XLOOKUP(B1047,Insumo[DESCRIPCION],Insumo[UND],,0),"")</f>
        <v>M3</v>
      </c>
      <c r="D1047" s="31">
        <f>0.15*0.15</f>
        <v>2.2499999999999999E-2</v>
      </c>
      <c r="E1047" s="32">
        <f>IFERROR(_xlfn.XLOOKUP($B1047,Insumo[DESCRIPCION],Insumo[VALOR],,0),"")</f>
        <v>521159.50227762427</v>
      </c>
      <c r="F1047" s="33">
        <v>5</v>
      </c>
      <c r="G1047" s="34">
        <f>IFERROR(IF(F1047&gt;=0,D1047*E1047*(1+F1047/100),ABS(D1047*E1047/F1047)),"")</f>
        <v>12312.393241308873</v>
      </c>
      <c r="H1047" s="43">
        <f>IFERROR(G1047*E1044,"")</f>
        <v>0</v>
      </c>
    </row>
    <row r="1048" spans="1:11" ht="12.75" customHeight="1">
      <c r="A1048" s="28"/>
      <c r="B1048" s="29" t="s">
        <v>2954</v>
      </c>
      <c r="C1048" s="30" t="str">
        <f>IFERROR(_xlfn.XLOOKUP(B1048,Insumo[DESCRIPCION],Insumo[UND],,0),"")</f>
        <v>M2</v>
      </c>
      <c r="D1048" s="31">
        <v>0.25</v>
      </c>
      <c r="E1048" s="32">
        <f>IFERROR(_xlfn.XLOOKUP($B1048,Insumo[DESCRIPCION],Insumo[VALOR],,0),"")</f>
        <v>102154.92581625449</v>
      </c>
      <c r="F1048" s="33"/>
      <c r="G1048" s="34">
        <f>IFERROR(IF(F1048&gt;=0,D1048*E1048*(1+F1048/100),ABS(D1048*E1048/F1048)),"")</f>
        <v>25538.731454063622</v>
      </c>
      <c r="H1048" s="43">
        <f>IFERROR(G1048*E1044,"")</f>
        <v>0</v>
      </c>
    </row>
    <row r="1049" spans="1:11" ht="12.75" customHeight="1">
      <c r="A1049" s="28"/>
      <c r="B1049" s="29" t="s">
        <v>2653</v>
      </c>
      <c r="C1049" s="30" t="str">
        <f>IFERROR(_xlfn.XLOOKUP(B1049,Insumo[DESCRIPCION],Insumo[UND],,0),"")</f>
        <v>Kg</v>
      </c>
      <c r="D1049" s="31">
        <v>2.9</v>
      </c>
      <c r="E1049" s="32">
        <f>IFERROR(_xlfn.XLOOKUP($B1049,Insumo[DESCRIPCION],Insumo[VALOR],,0),"")</f>
        <v>5686.8</v>
      </c>
      <c r="F1049" s="33"/>
      <c r="G1049" s="34">
        <f>IFERROR(IF(F1049&gt;=0,D1049*E1049*(1+F1049/100),ABS(D1049*E1049/F1049)),"")</f>
        <v>16491.72</v>
      </c>
      <c r="H1049" s="43">
        <f>IFERROR(G1049*E1044,"")</f>
        <v>0</v>
      </c>
    </row>
    <row r="1050" spans="1:11" ht="12.75" customHeight="1">
      <c r="A1050" s="28"/>
      <c r="B1050" s="29" t="s">
        <v>2699</v>
      </c>
      <c r="C1050" s="30" t="str">
        <f>IFERROR(_xlfn.XLOOKUP(B1050,Insumo[DESCRIPCION],Insumo[UND],,0),"")</f>
        <v>Kg</v>
      </c>
      <c r="D1050" s="31">
        <v>0.09</v>
      </c>
      <c r="E1050" s="32">
        <f>IFERROR(_xlfn.XLOOKUP($B1050,Insumo[DESCRIPCION],Insumo[VALOR],,0),"")</f>
        <v>7665</v>
      </c>
      <c r="F1050" s="33"/>
      <c r="G1050" s="34">
        <f>IFERROR(IF(F1050&gt;=0,D1050*E1050*(1+F1050/100),ABS(D1050*E1050/F1050)),"")</f>
        <v>689.85</v>
      </c>
      <c r="H1050" s="43">
        <f>IFERROR(G1050*E1044,"")</f>
        <v>0</v>
      </c>
    </row>
    <row r="1051" spans="1:11" ht="12.75" customHeight="1">
      <c r="A1051" s="28"/>
      <c r="B1051" s="29"/>
      <c r="C1051" s="30" t="str">
        <f>IFERROR(_xlfn.XLOOKUP(B1051,Insumo[DESCRIPCION],Insumo[UND],,0),"")</f>
        <v/>
      </c>
      <c r="D1051" s="31"/>
      <c r="E1051" s="32" t="str">
        <f>IFERROR(_xlfn.XLOOKUP($B1051,Insumo[DESCRIPCION],Insumo[VALOR],,0),"")</f>
        <v/>
      </c>
      <c r="F1051" s="33"/>
      <c r="G1051" s="34" t="str">
        <f>IFERROR(IF(F1051&gt;=0,D1051*E1051*(1+F1051/100),ABS(D1051*E1051/F1051)),"")</f>
        <v/>
      </c>
      <c r="H1051" s="43" t="str">
        <f>IFERROR(G1051*E1044,"")</f>
        <v/>
      </c>
    </row>
    <row r="1052" spans="1:11" ht="12.75" customHeight="1">
      <c r="A1052" s="21"/>
      <c r="B1052" s="22" t="s">
        <v>3731</v>
      </c>
      <c r="C1052" s="23"/>
      <c r="D1052" s="24"/>
      <c r="E1052" s="25"/>
      <c r="F1052" s="26"/>
      <c r="G1052" s="27">
        <f>SUM(G1053:G1055)</f>
        <v>2357.9306317125011</v>
      </c>
      <c r="H1052" s="44">
        <f>G1052*E1044</f>
        <v>0</v>
      </c>
    </row>
    <row r="1053" spans="1:11" ht="12.75" customHeight="1">
      <c r="A1053" s="28"/>
      <c r="B1053" s="29" t="s">
        <v>3570</v>
      </c>
      <c r="C1053" s="30" t="str">
        <f>IFERROR(_xlfn.XLOOKUP(B1053,Equipo[DESCRIPCION],Equipo[UND],,0),"")</f>
        <v>%MO</v>
      </c>
      <c r="D1053" s="31">
        <v>0.04</v>
      </c>
      <c r="E1053" s="32">
        <f>IF(C1053="%MO",G1059,IFERROR(_xlfn.XLOOKUP($B1053,Equipo[DESCRIPCION],Equipo[VALOR],,0),""))</f>
        <v>26199.229241250006</v>
      </c>
      <c r="F1053" s="33"/>
      <c r="G1053" s="34">
        <f>IFERROR(IF(F1053&gt;=0,D1053*E1053*(1+F1053/100),ABS(D1053*E1053/F1053)),"")</f>
        <v>1047.9691696500004</v>
      </c>
      <c r="H1053" s="43">
        <f>IFERROR(G1053*E1044,"")</f>
        <v>0</v>
      </c>
    </row>
    <row r="1054" spans="1:11" ht="12.75" customHeight="1">
      <c r="A1054" s="28"/>
      <c r="B1054" s="29" t="s">
        <v>3626</v>
      </c>
      <c r="C1054" s="30" t="str">
        <f>IFERROR(_xlfn.XLOOKUP(B1054,Equipo[DESCRIPCION],Equipo[UND],,0),"")</f>
        <v>%MO</v>
      </c>
      <c r="D1054" s="31">
        <v>0.05</v>
      </c>
      <c r="E1054" s="32">
        <f>IF(C1054="%MO",G1059,IFERROR(_xlfn.XLOOKUP($B1054,Equipo[DESCRIPCION],Equipo[VALOR],,0),""))</f>
        <v>26199.229241250006</v>
      </c>
      <c r="F1054" s="33"/>
      <c r="G1054" s="34">
        <f>IFERROR(IF(F1054&gt;=0,D1054*E1054*(1+F1054/100),ABS(D1054*E1054/F1054)),"")</f>
        <v>1309.9614620625005</v>
      </c>
      <c r="H1054" s="43">
        <f>IFERROR(G1054*E1044,"")</f>
        <v>0</v>
      </c>
    </row>
    <row r="1055" spans="1:11" ht="12.75" customHeight="1">
      <c r="A1055" s="28"/>
      <c r="B1055" s="29"/>
      <c r="C1055" s="30" t="str">
        <f>IFERROR(_xlfn.XLOOKUP(B1055,Equipo[DESCRIPCION],Equipo[UND],,0),"")</f>
        <v/>
      </c>
      <c r="D1055" s="31"/>
      <c r="E1055" s="32" t="str">
        <f>IF(C1055="%MO",G1059,IFERROR(_xlfn.XLOOKUP($B1055,Equipo[DESCRIPCION],Equipo[VALOR],,0),""))</f>
        <v/>
      </c>
      <c r="F1055" s="33"/>
      <c r="G1055" s="34" t="str">
        <f>IFERROR(IF(F1055&gt;=0,D1055*E1055*(1+F1055/100),ABS(D1055*E1055/F1055)),"")</f>
        <v/>
      </c>
      <c r="H1055" s="43" t="str">
        <f>IFERROR(G1055*E1044,"")</f>
        <v/>
      </c>
    </row>
    <row r="1056" spans="1:11" ht="12.75" customHeight="1">
      <c r="A1056" s="21"/>
      <c r="B1056" s="22" t="s">
        <v>2533</v>
      </c>
      <c r="C1056" s="23"/>
      <c r="D1056" s="24"/>
      <c r="E1056" s="25"/>
      <c r="F1056" s="26"/>
      <c r="G1056" s="27">
        <f>SUM(G1057:G1058)</f>
        <v>0</v>
      </c>
      <c r="H1056" s="44">
        <f>G1056*E1044</f>
        <v>0</v>
      </c>
    </row>
    <row r="1057" spans="1:11" ht="12.75" customHeight="1">
      <c r="A1057" s="28"/>
      <c r="B1057" s="29"/>
      <c r="C1057" s="30" t="str">
        <f>IFERROR(_xlfn.XLOOKUP(B1057,Transporte[DESCRIPCION],Transporte[UND],,0),"")</f>
        <v/>
      </c>
      <c r="D1057" s="31"/>
      <c r="E1057" s="32" t="str">
        <f>IFERROR(_xlfn.XLOOKUP($B1057,Transporte[DESCRIPCION],Transporte[VALOR],,0),"")</f>
        <v/>
      </c>
      <c r="F1057" s="33"/>
      <c r="G1057" s="34" t="str">
        <f>IFERROR(IF(F1057&gt;=0,D1057*E1057*(1+F1057/100),ABS(D1057*E1057/F1057)),"")</f>
        <v/>
      </c>
      <c r="H1057" s="43" t="str">
        <f>IFERROR(G1057*E1044,"")</f>
        <v/>
      </c>
    </row>
    <row r="1058" spans="1:11" ht="12.75" customHeight="1">
      <c r="A1058" s="28"/>
      <c r="B1058" s="29"/>
      <c r="C1058" s="30" t="str">
        <f>IFERROR(_xlfn.XLOOKUP(B1058,Transporte[DESCRIPCION],Transporte[UND],,0),"")</f>
        <v/>
      </c>
      <c r="D1058" s="31"/>
      <c r="E1058" s="32" t="str">
        <f>IFERROR(_xlfn.XLOOKUP($B1058,Transporte[DESCRIPCION],Transporte[VALOR],,0),"")</f>
        <v/>
      </c>
      <c r="F1058" s="33"/>
      <c r="G1058" s="34" t="str">
        <f>IFERROR(IF(F1058&gt;=0,D1058*E1058*(1+F1058/100),ABS(D1058*E1058/F1058)),"")</f>
        <v/>
      </c>
      <c r="H1058" s="43" t="str">
        <f>IFERROR(G1058*E1044,"")</f>
        <v/>
      </c>
    </row>
    <row r="1059" spans="1:11" ht="12.75" customHeight="1">
      <c r="A1059" s="21"/>
      <c r="B1059" s="22" t="s">
        <v>3732</v>
      </c>
      <c r="C1059" s="23"/>
      <c r="D1059" s="24"/>
      <c r="E1059" s="25"/>
      <c r="F1059" s="26"/>
      <c r="G1059" s="27">
        <f>SUM(G1060:G1062)</f>
        <v>26199.229241250006</v>
      </c>
      <c r="H1059" s="44">
        <f>G1059*E1044</f>
        <v>0</v>
      </c>
    </row>
    <row r="1060" spans="1:11" ht="12.75" customHeight="1">
      <c r="A1060" s="28"/>
      <c r="B1060" s="29" t="s">
        <v>3710</v>
      </c>
      <c r="C1060" s="30" t="str">
        <f>IFERROR(_xlfn.XLOOKUP(B1060,MObra[DESCRIPCION],MObra[UN],,0),"")</f>
        <v>día</v>
      </c>
      <c r="D1060" s="31">
        <v>1</v>
      </c>
      <c r="E1060" s="32">
        <f>IFERROR(_xlfn.XLOOKUP($B1060,MObra[DESCRIPCION],MObra[VALOR UNIT],,0),"")</f>
        <v>314390.75089500006</v>
      </c>
      <c r="F1060" s="33">
        <v>-12</v>
      </c>
      <c r="G1060" s="34">
        <f>IFERROR(IF(F1060&gt;=0,D1060*E1060*(1+F1060/100),ABS(D1060*E1060/F1060)),"")</f>
        <v>26199.229241250006</v>
      </c>
      <c r="H1060" s="43">
        <f>IFERROR(G1060*E1044,"")</f>
        <v>0</v>
      </c>
    </row>
    <row r="1061" spans="1:11" ht="12.75" customHeight="1">
      <c r="A1061" s="28"/>
      <c r="B1061" s="29"/>
      <c r="C1061" s="30" t="str">
        <f t="array" ref="C1061">IFERROR(_xlfn.XLOOKUP(B1061,MObra[[#All],[DESCRIPCION]],MObra[[#All],[UN]],,0),"")</f>
        <v/>
      </c>
      <c r="D1061" s="31"/>
      <c r="E1061" s="32" t="str">
        <f>IFERROR(_xlfn.XLOOKUP($B1061,MObra[DESCRIPCION],MObra[VALOR UNIT],,0),"")</f>
        <v/>
      </c>
      <c r="F1061" s="33"/>
      <c r="G1061" s="34" t="str">
        <f>IFERROR(IF(F1061&gt;=0,D1061*E1061*(1+F1061/100),ABS(D1061*E1061/F1061)),"")</f>
        <v/>
      </c>
      <c r="H1061" s="43" t="str">
        <f>IFERROR(G1061*E1044,"")</f>
        <v/>
      </c>
    </row>
    <row r="1062" spans="1:11" ht="12.75" customHeight="1" thickBot="1">
      <c r="A1062" s="35"/>
      <c r="B1062" s="36"/>
      <c r="C1062" s="37" t="str">
        <f t="array" ref="C1062">IFERROR(_xlfn.XLOOKUP(B1062,MObra[[#All],[DESCRIPCION]],MObra[[#All],[UN]],,0),"")</f>
        <v/>
      </c>
      <c r="D1062" s="38"/>
      <c r="E1062" s="39" t="str">
        <f>IFERROR(_xlfn.XLOOKUP($B1062,MObra[DESCRIPCION],MObra[VALOR UNIT],,0),"")</f>
        <v/>
      </c>
      <c r="F1062" s="40"/>
      <c r="G1062" s="41" t="str">
        <f>IFERROR(IF(F1062&gt;=0,D1062*E1062*(1+F1062/100),ABS(D1062*E1062/F1062)),"")</f>
        <v/>
      </c>
      <c r="H1062" s="42" t="str">
        <f>IFERROR(G1062*E1044,"")</f>
        <v/>
      </c>
    </row>
    <row r="1063" spans="1:11" ht="12.75" customHeight="1" thickTop="1" thickBot="1"/>
    <row r="1064" spans="1:11" ht="12.75" customHeight="1" thickTop="1" thickBot="1">
      <c r="A1064" s="6" t="s">
        <v>415</v>
      </c>
      <c r="B1064" s="7" t="str">
        <f>VLOOKUP($A1064,Presupuesto!$A:$D,2,FALSE())</f>
        <v>Dovela en concreto 20.7 Mpa</v>
      </c>
      <c r="C1064" s="8" t="str">
        <f>VLOOKUP($A1064,Presupuesto!$A:$D,3,FALSE())</f>
        <v>M</v>
      </c>
      <c r="D1064" s="9"/>
      <c r="E1064" s="10">
        <f>VLOOKUP($A1064,Presupuesto!$A:$D,4,FALSE())</f>
        <v>0</v>
      </c>
      <c r="F1064" s="11" t="s">
        <v>2589</v>
      </c>
      <c r="G1064" s="12">
        <f>SUM(G1066:G1082)/2</f>
        <v>13919.694135465081</v>
      </c>
      <c r="H1064" s="13">
        <f>ROUND(SUM(H1066:H1082),0)/2</f>
        <v>0</v>
      </c>
      <c r="I1064" s="10">
        <f>VLOOKUP(A1064,Presupuesto!$A:$F,6,0)</f>
        <v>0</v>
      </c>
      <c r="J1064" s="10">
        <f>+H1064-I1064</f>
        <v>0</v>
      </c>
      <c r="K1064" s="46">
        <f>+H1064-G1064*E1064</f>
        <v>0</v>
      </c>
    </row>
    <row r="1065" spans="1:11" ht="12.75" customHeight="1" thickTop="1">
      <c r="A1065" s="14"/>
      <c r="B1065" s="15" t="s">
        <v>2586</v>
      </c>
      <c r="C1065" s="15" t="s">
        <v>5</v>
      </c>
      <c r="D1065" s="16" t="s">
        <v>6</v>
      </c>
      <c r="E1065" s="17" t="s">
        <v>7</v>
      </c>
      <c r="F1065" s="18" t="s">
        <v>3728</v>
      </c>
      <c r="G1065" s="19" t="s">
        <v>3729</v>
      </c>
      <c r="H1065" s="20" t="s">
        <v>3797</v>
      </c>
    </row>
    <row r="1066" spans="1:11" ht="12.75" customHeight="1">
      <c r="A1066" s="21"/>
      <c r="B1066" s="22" t="s">
        <v>3730</v>
      </c>
      <c r="C1066" s="23"/>
      <c r="D1066" s="24"/>
      <c r="E1066" s="25"/>
      <c r="F1066" s="26"/>
      <c r="G1066" s="27">
        <f>SUM(G1067:G1071)</f>
        <v>8208.2621608725822</v>
      </c>
      <c r="H1066" s="27">
        <f>IFERROR(G1066*E1064,"")</f>
        <v>0</v>
      </c>
    </row>
    <row r="1067" spans="1:11" ht="12.75" customHeight="1">
      <c r="A1067" s="28"/>
      <c r="B1067" s="29" t="s">
        <v>3239</v>
      </c>
      <c r="C1067" s="30" t="str">
        <f>IFERROR(_xlfn.XLOOKUP(B1067,Insumo[DESCRIPCION],Insumo[UND],,0),"")</f>
        <v>M3</v>
      </c>
      <c r="D1067" s="31">
        <f>0.1*0.15</f>
        <v>1.4999999999999999E-2</v>
      </c>
      <c r="E1067" s="32">
        <f>IFERROR(_xlfn.XLOOKUP($B1067,Insumo[DESCRIPCION],Insumo[VALOR],,0),"")</f>
        <v>521159.50227762427</v>
      </c>
      <c r="F1067" s="33">
        <v>5</v>
      </c>
      <c r="G1067" s="34">
        <f>IFERROR(IF(F1067&gt;=0,D1067*E1067*(1+F1067/100),ABS(D1067*E1067/F1067)),"")</f>
        <v>8208.2621608725822</v>
      </c>
      <c r="H1067" s="43">
        <f>IFERROR(G1067*E1064,"")</f>
        <v>0</v>
      </c>
    </row>
    <row r="1068" spans="1:11" ht="12.75" customHeight="1">
      <c r="A1068" s="28"/>
      <c r="B1068" s="29"/>
      <c r="C1068" s="30" t="str">
        <f>IFERROR(_xlfn.XLOOKUP(B1068,Insumo[DESCRIPCION],Insumo[UND],,0),"")</f>
        <v/>
      </c>
      <c r="D1068" s="31"/>
      <c r="E1068" s="32" t="str">
        <f>IFERROR(_xlfn.XLOOKUP($B1068,Insumo[DESCRIPCION],Insumo[VALOR],,0),"")</f>
        <v/>
      </c>
      <c r="F1068" s="33"/>
      <c r="G1068" s="34" t="str">
        <f>IFERROR(IF(F1068&gt;=0,D1068*E1068*(1+F1068/100),ABS(D1068*E1068/F1068)),"")</f>
        <v/>
      </c>
      <c r="H1068" s="43" t="str">
        <f>IFERROR(G1068*E1064,"")</f>
        <v/>
      </c>
    </row>
    <row r="1069" spans="1:11" ht="12.75" customHeight="1">
      <c r="A1069" s="28"/>
      <c r="B1069" s="29"/>
      <c r="C1069" s="30" t="str">
        <f>IFERROR(_xlfn.XLOOKUP(B1069,Insumo[DESCRIPCION],Insumo[UND],,0),"")</f>
        <v/>
      </c>
      <c r="D1069" s="31"/>
      <c r="E1069" s="32" t="str">
        <f>IFERROR(_xlfn.XLOOKUP($B1069,Insumo[DESCRIPCION],Insumo[VALOR],,0),"")</f>
        <v/>
      </c>
      <c r="F1069" s="33"/>
      <c r="G1069" s="34" t="str">
        <f>IFERROR(IF(F1069&gt;=0,D1069*E1069*(1+F1069/100),ABS(D1069*E1069/F1069)),"")</f>
        <v/>
      </c>
      <c r="H1069" s="43" t="str">
        <f>IFERROR(G1069*E1064,"")</f>
        <v/>
      </c>
    </row>
    <row r="1070" spans="1:11" ht="12.75" customHeight="1">
      <c r="A1070" s="28"/>
      <c r="B1070" s="29"/>
      <c r="C1070" s="30" t="str">
        <f>IFERROR(_xlfn.XLOOKUP(B1070,Insumo[DESCRIPCION],Insumo[UND],,0),"")</f>
        <v/>
      </c>
      <c r="D1070" s="31"/>
      <c r="E1070" s="32" t="str">
        <f>IFERROR(_xlfn.XLOOKUP($B1070,Insumo[DESCRIPCION],Insumo[VALOR],,0),"")</f>
        <v/>
      </c>
      <c r="F1070" s="33"/>
      <c r="G1070" s="34" t="str">
        <f>IFERROR(IF(F1070&gt;=0,D1070*E1070*(1+F1070/100),ABS(D1070*E1070/F1070)),"")</f>
        <v/>
      </c>
      <c r="H1070" s="43" t="str">
        <f>IFERROR(G1070*E1064,"")</f>
        <v/>
      </c>
    </row>
    <row r="1071" spans="1:11" ht="12.75" customHeight="1">
      <c r="A1071" s="28"/>
      <c r="B1071" s="29"/>
      <c r="C1071" s="30" t="str">
        <f>IFERROR(_xlfn.XLOOKUP(B1071,Insumo[DESCRIPCION],Insumo[UND],,0),"")</f>
        <v/>
      </c>
      <c r="D1071" s="31"/>
      <c r="E1071" s="32" t="str">
        <f>IFERROR(_xlfn.XLOOKUP($B1071,Insumo[DESCRIPCION],Insumo[VALOR],,0),"")</f>
        <v/>
      </c>
      <c r="F1071" s="33"/>
      <c r="G1071" s="34" t="str">
        <f>IFERROR(IF(F1071&gt;=0,D1071*E1071*(1+F1071/100),ABS(D1071*E1071/F1071)),"")</f>
        <v/>
      </c>
      <c r="H1071" s="43" t="str">
        <f>IFERROR(G1071*E1064,"")</f>
        <v/>
      </c>
    </row>
    <row r="1072" spans="1:11" ht="12.75" customHeight="1">
      <c r="A1072" s="21"/>
      <c r="B1072" s="22" t="s">
        <v>3731</v>
      </c>
      <c r="C1072" s="23"/>
      <c r="D1072" s="24"/>
      <c r="E1072" s="25"/>
      <c r="F1072" s="26"/>
      <c r="G1072" s="27">
        <f>SUM(G1073:G1075)</f>
        <v>471.58612634250005</v>
      </c>
      <c r="H1072" s="44">
        <f>G1072*E1064</f>
        <v>0</v>
      </c>
    </row>
    <row r="1073" spans="1:11" ht="12.75" customHeight="1">
      <c r="A1073" s="28"/>
      <c r="B1073" s="29" t="s">
        <v>3570</v>
      </c>
      <c r="C1073" s="30" t="str">
        <f>IFERROR(_xlfn.XLOOKUP(B1073,Equipo[DESCRIPCION],Equipo[UND],,0),"")</f>
        <v>%MO</v>
      </c>
      <c r="D1073" s="31">
        <v>0.04</v>
      </c>
      <c r="E1073" s="32">
        <f>IF(C1073="%MO",G1079,IFERROR(_xlfn.XLOOKUP($B1073,Equipo[DESCRIPCION],Equipo[VALOR],,0),""))</f>
        <v>5239.8458482500009</v>
      </c>
      <c r="F1073" s="33"/>
      <c r="G1073" s="34">
        <f>IFERROR(IF(F1073&gt;=0,D1073*E1073*(1+F1073/100),ABS(D1073*E1073/F1073)),"")</f>
        <v>209.59383393000005</v>
      </c>
      <c r="H1073" s="43">
        <f>IFERROR(G1073*E1064,"")</f>
        <v>0</v>
      </c>
    </row>
    <row r="1074" spans="1:11" ht="12.75" customHeight="1">
      <c r="A1074" s="28"/>
      <c r="B1074" s="29" t="s">
        <v>3626</v>
      </c>
      <c r="C1074" s="30" t="str">
        <f>IFERROR(_xlfn.XLOOKUP(B1074,Equipo[DESCRIPCION],Equipo[UND],,0),"")</f>
        <v>%MO</v>
      </c>
      <c r="D1074" s="31">
        <v>0.05</v>
      </c>
      <c r="E1074" s="32">
        <f>IF(C1074="%MO",G1079,IFERROR(_xlfn.XLOOKUP($B1074,Equipo[DESCRIPCION],Equipo[VALOR],,0),""))</f>
        <v>5239.8458482500009</v>
      </c>
      <c r="F1074" s="33"/>
      <c r="G1074" s="34">
        <f>IFERROR(IF(F1074&gt;=0,D1074*E1074*(1+F1074/100),ABS(D1074*E1074/F1074)),"")</f>
        <v>261.99229241250003</v>
      </c>
      <c r="H1074" s="43">
        <f>IFERROR(G1074*E1064,"")</f>
        <v>0</v>
      </c>
    </row>
    <row r="1075" spans="1:11" ht="12.75" customHeight="1">
      <c r="A1075" s="28"/>
      <c r="B1075" s="29"/>
      <c r="C1075" s="30" t="str">
        <f>IFERROR(_xlfn.XLOOKUP(B1075,Equipo[DESCRIPCION],Equipo[UND],,0),"")</f>
        <v/>
      </c>
      <c r="D1075" s="31"/>
      <c r="E1075" s="32" t="str">
        <f>IF(C1075="%MO",G1079,IFERROR(_xlfn.XLOOKUP($B1075,Equipo[DESCRIPCION],Equipo[VALOR],,0),""))</f>
        <v/>
      </c>
      <c r="F1075" s="33"/>
      <c r="G1075" s="34" t="str">
        <f>IFERROR(IF(F1075&gt;=0,D1075*E1075*(1+F1075/100),ABS(D1075*E1075/F1075)),"")</f>
        <v/>
      </c>
      <c r="H1075" s="43" t="str">
        <f>IFERROR(G1075*E1064,"")</f>
        <v/>
      </c>
    </row>
    <row r="1076" spans="1:11" ht="12.75" customHeight="1">
      <c r="A1076" s="21"/>
      <c r="B1076" s="22" t="s">
        <v>2533</v>
      </c>
      <c r="C1076" s="23"/>
      <c r="D1076" s="24"/>
      <c r="E1076" s="25"/>
      <c r="F1076" s="26"/>
      <c r="G1076" s="27">
        <f>SUM(G1077:G1078)</f>
        <v>0</v>
      </c>
      <c r="H1076" s="44">
        <f>G1076*E1064</f>
        <v>0</v>
      </c>
    </row>
    <row r="1077" spans="1:11" ht="12.75" customHeight="1">
      <c r="A1077" s="28"/>
      <c r="B1077" s="29"/>
      <c r="C1077" s="30" t="str">
        <f>IFERROR(_xlfn.XLOOKUP(B1077,Transporte[DESCRIPCION],Transporte[UND],,0),"")</f>
        <v/>
      </c>
      <c r="D1077" s="31"/>
      <c r="E1077" s="32" t="str">
        <f>IFERROR(_xlfn.XLOOKUP($B1077,Transporte[DESCRIPCION],Transporte[VALOR],,0),"")</f>
        <v/>
      </c>
      <c r="F1077" s="33"/>
      <c r="G1077" s="34" t="str">
        <f>IFERROR(IF(F1077&gt;=0,D1077*E1077*(1+F1077/100),ABS(D1077*E1077/F1077)),"")</f>
        <v/>
      </c>
      <c r="H1077" s="43" t="str">
        <f>IFERROR(G1077*E1064,"")</f>
        <v/>
      </c>
    </row>
    <row r="1078" spans="1:11" ht="12.75" customHeight="1">
      <c r="A1078" s="28"/>
      <c r="B1078" s="29"/>
      <c r="C1078" s="30" t="str">
        <f>IFERROR(_xlfn.XLOOKUP(B1078,Transporte[DESCRIPCION],Transporte[UND],,0),"")</f>
        <v/>
      </c>
      <c r="D1078" s="31"/>
      <c r="E1078" s="32" t="str">
        <f>IFERROR(_xlfn.XLOOKUP($B1078,Transporte[DESCRIPCION],Transporte[VALOR],,0),"")</f>
        <v/>
      </c>
      <c r="F1078" s="33"/>
      <c r="G1078" s="34" t="str">
        <f>IFERROR(IF(F1078&gt;=0,D1078*E1078*(1+F1078/100),ABS(D1078*E1078/F1078)),"")</f>
        <v/>
      </c>
      <c r="H1078" s="43" t="str">
        <f>IFERROR(G1078*E1064,"")</f>
        <v/>
      </c>
    </row>
    <row r="1079" spans="1:11" ht="12.75" customHeight="1">
      <c r="A1079" s="21"/>
      <c r="B1079" s="22" t="s">
        <v>3732</v>
      </c>
      <c r="C1079" s="23"/>
      <c r="D1079" s="24"/>
      <c r="E1079" s="25"/>
      <c r="F1079" s="26"/>
      <c r="G1079" s="27">
        <f>SUM(G1080:G1082)</f>
        <v>5239.8458482500009</v>
      </c>
      <c r="H1079" s="44">
        <f>G1079*E1064</f>
        <v>0</v>
      </c>
    </row>
    <row r="1080" spans="1:11" ht="12.75" customHeight="1">
      <c r="A1080" s="28"/>
      <c r="B1080" s="29" t="s">
        <v>3710</v>
      </c>
      <c r="C1080" s="30" t="str">
        <f>IFERROR(_xlfn.XLOOKUP(B1080,MObra[DESCRIPCION],MObra[UN],,0),"")</f>
        <v>día</v>
      </c>
      <c r="D1080" s="31">
        <v>1</v>
      </c>
      <c r="E1080" s="32">
        <f>IFERROR(_xlfn.XLOOKUP($B1080,MObra[DESCRIPCION],MObra[VALOR UNIT],,0),"")</f>
        <v>314390.75089500006</v>
      </c>
      <c r="F1080" s="33">
        <v>-60</v>
      </c>
      <c r="G1080" s="34">
        <f>IFERROR(IF(F1080&gt;=0,D1080*E1080*(1+F1080/100),ABS(D1080*E1080/F1080)),"")</f>
        <v>5239.8458482500009</v>
      </c>
      <c r="H1080" s="43">
        <f>IFERROR(G1080*E1064,"")</f>
        <v>0</v>
      </c>
    </row>
    <row r="1081" spans="1:11" ht="12.75" customHeight="1">
      <c r="A1081" s="28"/>
      <c r="B1081" s="29"/>
      <c r="C1081" s="30" t="str">
        <f t="array" ref="C1081">IFERROR(_xlfn.XLOOKUP(B1081,MObra[[#All],[DESCRIPCION]],MObra[[#All],[UN]],,0),"")</f>
        <v/>
      </c>
      <c r="D1081" s="31"/>
      <c r="E1081" s="32" t="str">
        <f>IFERROR(_xlfn.XLOOKUP($B1081,MObra[DESCRIPCION],MObra[VALOR UNIT],,0),"")</f>
        <v/>
      </c>
      <c r="F1081" s="33"/>
      <c r="G1081" s="34" t="str">
        <f>IFERROR(IF(F1081&gt;=0,D1081*E1081*(1+F1081/100),ABS(D1081*E1081/F1081)),"")</f>
        <v/>
      </c>
      <c r="H1081" s="43" t="str">
        <f>IFERROR(G1081*E1064,"")</f>
        <v/>
      </c>
    </row>
    <row r="1082" spans="1:11" ht="12.75" customHeight="1" thickBot="1">
      <c r="A1082" s="35"/>
      <c r="B1082" s="36"/>
      <c r="C1082" s="37" t="str">
        <f t="array" ref="C1082">IFERROR(_xlfn.XLOOKUP(B1082,MObra[[#All],[DESCRIPCION]],MObra[[#All],[UN]],,0),"")</f>
        <v/>
      </c>
      <c r="D1082" s="38"/>
      <c r="E1082" s="39" t="str">
        <f>IFERROR(_xlfn.XLOOKUP($B1082,MObra[DESCRIPCION],MObra[VALOR UNIT],,0),"")</f>
        <v/>
      </c>
      <c r="F1082" s="40"/>
      <c r="G1082" s="41" t="str">
        <f>IFERROR(IF(F1082&gt;=0,D1082*E1082*(1+F1082/100),ABS(D1082*E1082/F1082)),"")</f>
        <v/>
      </c>
      <c r="H1082" s="42" t="str">
        <f>IFERROR(G1082*E1064,"")</f>
        <v/>
      </c>
    </row>
    <row r="1083" spans="1:11" ht="12.75" customHeight="1" thickTop="1" thickBot="1"/>
    <row r="1084" spans="1:11" ht="12.75" customHeight="1" thickTop="1" thickBot="1">
      <c r="A1084" s="6" t="s">
        <v>417</v>
      </c>
      <c r="B1084" s="7" t="str">
        <f>VLOOKUP($A1084,Presupuesto!$A:$D,2,FALSE())</f>
        <v>Elementos estructurales en acero A36</v>
      </c>
      <c r="C1084" s="8" t="str">
        <f>VLOOKUP($A1084,Presupuesto!$A:$D,3,FALSE())</f>
        <v>Kg</v>
      </c>
      <c r="D1084" s="9"/>
      <c r="E1084" s="10">
        <f>VLOOKUP($A1084,Presupuesto!$A:$D,4,FALSE())</f>
        <v>0</v>
      </c>
      <c r="F1084" s="11" t="s">
        <v>2589</v>
      </c>
      <c r="G1084" s="12">
        <f>SUM(G1086:G1102)/2</f>
        <v>15931.414189674002</v>
      </c>
      <c r="H1084" s="13">
        <f>ROUND(SUM(H1086:H1102),0)/2</f>
        <v>0</v>
      </c>
      <c r="I1084" s="10">
        <f>VLOOKUP(A1084,Presupuesto!$A:$F,6,0)</f>
        <v>0</v>
      </c>
      <c r="J1084" s="10">
        <f>+H1084-I1084</f>
        <v>0</v>
      </c>
      <c r="K1084" s="46">
        <f>+H1084-G1084*E1084</f>
        <v>0</v>
      </c>
    </row>
    <row r="1085" spans="1:11" ht="12.75" customHeight="1" thickTop="1">
      <c r="A1085" s="14"/>
      <c r="B1085" s="15" t="s">
        <v>2586</v>
      </c>
      <c r="C1085" s="15" t="s">
        <v>5</v>
      </c>
      <c r="D1085" s="16" t="s">
        <v>6</v>
      </c>
      <c r="E1085" s="17" t="s">
        <v>7</v>
      </c>
      <c r="F1085" s="18" t="s">
        <v>3728</v>
      </c>
      <c r="G1085" s="19" t="s">
        <v>3729</v>
      </c>
      <c r="H1085" s="20" t="s">
        <v>3797</v>
      </c>
    </row>
    <row r="1086" spans="1:11" ht="12.75" customHeight="1">
      <c r="A1086" s="21"/>
      <c r="B1086" s="22" t="s">
        <v>3730</v>
      </c>
      <c r="C1086" s="23"/>
      <c r="D1086" s="24"/>
      <c r="E1086" s="25"/>
      <c r="F1086" s="26"/>
      <c r="G1086" s="27">
        <f>SUM(G1087:G1091)</f>
        <v>10399.607610000001</v>
      </c>
      <c r="H1086" s="27">
        <f>IFERROR(G1086*E1084,"")</f>
        <v>0</v>
      </c>
    </row>
    <row r="1087" spans="1:11" ht="12.75" customHeight="1">
      <c r="A1087" s="28"/>
      <c r="B1087" s="29" t="s">
        <v>2654</v>
      </c>
      <c r="C1087" s="30" t="str">
        <f>IFERROR(_xlfn.XLOOKUP(B1087,Insumo[DESCRIPCION],Insumo[UND],,0),"")</f>
        <v>Kg</v>
      </c>
      <c r="D1087" s="31">
        <v>1</v>
      </c>
      <c r="E1087" s="32">
        <f>IFERROR(_xlfn.XLOOKUP($B1087,Insumo[DESCRIPCION],Insumo[VALOR],,0),"")</f>
        <v>8524.9500000000007</v>
      </c>
      <c r="F1087" s="33">
        <v>3</v>
      </c>
      <c r="G1087" s="34">
        <f>IFERROR(IF(F1087&gt;=0,D1087*E1087*(1+F1087/100),ABS(D1087*E1087/F1087)),"")</f>
        <v>8780.6985000000004</v>
      </c>
      <c r="H1087" s="43">
        <f>IFERROR(G1087*E1084,"")</f>
        <v>0</v>
      </c>
    </row>
    <row r="1088" spans="1:11" ht="12.75" customHeight="1">
      <c r="A1088" s="28"/>
      <c r="B1088" s="29" t="s">
        <v>3326</v>
      </c>
      <c r="C1088" s="30" t="str">
        <f>IFERROR(_xlfn.XLOOKUP(B1088,Insumo[DESCRIPCION],Insumo[UND],,0),"")</f>
        <v>Kg</v>
      </c>
      <c r="D1088" s="31">
        <v>0.01</v>
      </c>
      <c r="E1088" s="32">
        <f>IFERROR(_xlfn.XLOOKUP($B1088,Insumo[DESCRIPCION],Insumo[VALOR],,0),"")</f>
        <v>5978.7</v>
      </c>
      <c r="F1088" s="33">
        <v>3</v>
      </c>
      <c r="G1088" s="34">
        <f>IFERROR(IF(F1088&gt;=0,D1088*E1088*(1+F1088/100),ABS(D1088*E1088/F1088)),"")</f>
        <v>61.58061</v>
      </c>
      <c r="H1088" s="43">
        <f>IFERROR(G1088*E1084,"")</f>
        <v>0</v>
      </c>
    </row>
    <row r="1089" spans="1:11" ht="12.75" customHeight="1">
      <c r="A1089" s="28"/>
      <c r="B1089" s="29" t="s">
        <v>2708</v>
      </c>
      <c r="C1089" s="30" t="str">
        <f>IFERROR(_xlfn.XLOOKUP(B1089,Insumo[DESCRIPCION],Insumo[UND],,0),"")</f>
        <v>galón</v>
      </c>
      <c r="D1089" s="31">
        <v>0.01</v>
      </c>
      <c r="E1089" s="32">
        <f>IFERROR(_xlfn.XLOOKUP($B1089,Insumo[DESCRIPCION],Insumo[VALOR],,0),"")</f>
        <v>97886.25</v>
      </c>
      <c r="F1089" s="33"/>
      <c r="G1089" s="34">
        <f>IFERROR(IF(F1089&gt;=0,D1089*E1089*(1+F1089/100),ABS(D1089*E1089/F1089)),"")</f>
        <v>978.86250000000007</v>
      </c>
      <c r="H1089" s="43">
        <f>IFERROR(G1089*E1084,"")</f>
        <v>0</v>
      </c>
    </row>
    <row r="1090" spans="1:11" ht="12.75" customHeight="1">
      <c r="A1090" s="28"/>
      <c r="B1090" s="29" t="s">
        <v>2925</v>
      </c>
      <c r="C1090" s="30" t="str">
        <f>IFERROR(_xlfn.XLOOKUP(B1090,Insumo[DESCRIPCION],Insumo[UND],,0),"")</f>
        <v>Lt</v>
      </c>
      <c r="D1090" s="31">
        <v>0.02</v>
      </c>
      <c r="E1090" s="32">
        <f>IFERROR(_xlfn.XLOOKUP($B1090,Insumo[DESCRIPCION],Insumo[VALOR],,0),"")</f>
        <v>28923.300000000003</v>
      </c>
      <c r="F1090" s="33"/>
      <c r="G1090" s="34">
        <f>IFERROR(IF(F1090&gt;=0,D1090*E1090*(1+F1090/100),ABS(D1090*E1090/F1090)),"")</f>
        <v>578.46600000000012</v>
      </c>
      <c r="H1090" s="43">
        <f>IFERROR(G1090*E1084,"")</f>
        <v>0</v>
      </c>
    </row>
    <row r="1091" spans="1:11" ht="12.75" customHeight="1">
      <c r="A1091" s="28"/>
      <c r="B1091" s="29"/>
      <c r="C1091" s="30" t="str">
        <f>IFERROR(_xlfn.XLOOKUP(B1091,Insumo[DESCRIPCION],Insumo[UND],,0),"")</f>
        <v/>
      </c>
      <c r="D1091" s="31"/>
      <c r="E1091" s="32" t="str">
        <f>IFERROR(_xlfn.XLOOKUP($B1091,Insumo[DESCRIPCION],Insumo[VALOR],,0),"")</f>
        <v/>
      </c>
      <c r="F1091" s="33"/>
      <c r="G1091" s="34" t="str">
        <f>IFERROR(IF(F1091&gt;=0,D1091*E1091*(1+F1091/100),ABS(D1091*E1091/F1091)),"")</f>
        <v/>
      </c>
      <c r="H1091" s="43" t="str">
        <f>IFERROR(G1091*E1084,"")</f>
        <v/>
      </c>
    </row>
    <row r="1092" spans="1:11" ht="12.75" customHeight="1">
      <c r="A1092" s="21"/>
      <c r="B1092" s="22" t="s">
        <v>3731</v>
      </c>
      <c r="C1092" s="23"/>
      <c r="D1092" s="24"/>
      <c r="E1092" s="25"/>
      <c r="F1092" s="26"/>
      <c r="G1092" s="27">
        <f>SUM(G1093:G1095)</f>
        <v>1339.9299010740001</v>
      </c>
      <c r="H1092" s="44">
        <f>G1092*E1084</f>
        <v>0</v>
      </c>
    </row>
    <row r="1093" spans="1:11" ht="12.75" customHeight="1">
      <c r="A1093" s="28"/>
      <c r="B1093" s="29" t="s">
        <v>3613</v>
      </c>
      <c r="C1093" s="30" t="str">
        <f>IFERROR(_xlfn.XLOOKUP(B1093,Equipo[DESCRIPCION],Equipo[UND],,0),"")</f>
        <v>Día</v>
      </c>
      <c r="D1093" s="31">
        <v>1</v>
      </c>
      <c r="E1093" s="32">
        <f>IF(C1093="%MO",G1099,IFERROR(_xlfn.XLOOKUP($B1093,Equipo[DESCRIPCION],Equipo[VALOR],,0),""))</f>
        <v>48133.05</v>
      </c>
      <c r="F1093" s="33">
        <v>-50</v>
      </c>
      <c r="G1093" s="34">
        <f>IFERROR(IF(F1093&gt;=0,D1093*E1093*(1+F1093/100),ABS(D1093*E1093/F1093)),"")</f>
        <v>962.66100000000006</v>
      </c>
      <c r="H1093" s="43">
        <f>IFERROR(G1093*E1084,"")</f>
        <v>0</v>
      </c>
    </row>
    <row r="1094" spans="1:11" ht="12.75" customHeight="1">
      <c r="A1094" s="28"/>
      <c r="B1094" s="29" t="s">
        <v>3570</v>
      </c>
      <c r="C1094" s="30" t="str">
        <f>IFERROR(_xlfn.XLOOKUP(B1094,Equipo[DESCRIPCION],Equipo[UND],,0),"")</f>
        <v>%MO</v>
      </c>
      <c r="D1094" s="31">
        <v>0.04</v>
      </c>
      <c r="E1094" s="32">
        <f>IF(C1094="%MO",G1099,IFERROR(_xlfn.XLOOKUP($B1094,Equipo[DESCRIPCION],Equipo[VALOR],,0),""))</f>
        <v>4191.8766786000006</v>
      </c>
      <c r="F1094" s="33"/>
      <c r="G1094" s="34">
        <f>IFERROR(IF(F1094&gt;=0,D1094*E1094*(1+F1094/100),ABS(D1094*E1094/F1094)),"")</f>
        <v>167.67506714400002</v>
      </c>
      <c r="H1094" s="43">
        <f>IFERROR(G1094*E1084,"")</f>
        <v>0</v>
      </c>
    </row>
    <row r="1095" spans="1:11" ht="12.75" customHeight="1">
      <c r="A1095" s="28"/>
      <c r="B1095" s="29" t="s">
        <v>3626</v>
      </c>
      <c r="C1095" s="30" t="str">
        <f>IFERROR(_xlfn.XLOOKUP(B1095,Equipo[DESCRIPCION],Equipo[UND],,0),"")</f>
        <v>%MO</v>
      </c>
      <c r="D1095" s="31">
        <v>0.05</v>
      </c>
      <c r="E1095" s="32">
        <f>IF(C1095="%MO",G1099,IFERROR(_xlfn.XLOOKUP($B1095,Equipo[DESCRIPCION],Equipo[VALOR],,0),""))</f>
        <v>4191.8766786000006</v>
      </c>
      <c r="F1095" s="33"/>
      <c r="G1095" s="34">
        <f>IFERROR(IF(F1095&gt;=0,D1095*E1095*(1+F1095/100),ABS(D1095*E1095/F1095)),"")</f>
        <v>209.59383393000005</v>
      </c>
      <c r="H1095" s="43">
        <f>IFERROR(G1095*E1084,"")</f>
        <v>0</v>
      </c>
    </row>
    <row r="1096" spans="1:11" ht="12.75" customHeight="1">
      <c r="A1096" s="21"/>
      <c r="B1096" s="22" t="s">
        <v>2533</v>
      </c>
      <c r="C1096" s="23"/>
      <c r="D1096" s="24"/>
      <c r="E1096" s="25"/>
      <c r="F1096" s="26"/>
      <c r="G1096" s="27">
        <f>SUM(G1097:G1098)</f>
        <v>0</v>
      </c>
      <c r="H1096" s="44">
        <f>G1096*E1084</f>
        <v>0</v>
      </c>
    </row>
    <row r="1097" spans="1:11" ht="12.75" customHeight="1">
      <c r="A1097" s="28"/>
      <c r="B1097" s="29"/>
      <c r="C1097" s="30" t="str">
        <f>IFERROR(_xlfn.XLOOKUP(B1097,Transporte[DESCRIPCION],Transporte[UND],,0),"")</f>
        <v/>
      </c>
      <c r="D1097" s="31"/>
      <c r="E1097" s="32" t="str">
        <f>IFERROR(_xlfn.XLOOKUP($B1097,Transporte[DESCRIPCION],Transporte[VALOR],,0),"")</f>
        <v/>
      </c>
      <c r="F1097" s="33"/>
      <c r="G1097" s="34" t="str">
        <f>IFERROR(IF(F1097&gt;=0,D1097*E1097*(1+F1097/100),ABS(D1097*E1097/F1097)),"")</f>
        <v/>
      </c>
      <c r="H1097" s="43" t="str">
        <f>IFERROR(G1097*E1084,"")</f>
        <v/>
      </c>
    </row>
    <row r="1098" spans="1:11" ht="12.75" customHeight="1">
      <c r="A1098" s="28"/>
      <c r="B1098" s="29"/>
      <c r="C1098" s="30" t="str">
        <f>IFERROR(_xlfn.XLOOKUP(B1098,Transporte[DESCRIPCION],Transporte[UND],,0),"")</f>
        <v/>
      </c>
      <c r="D1098" s="31"/>
      <c r="E1098" s="32" t="str">
        <f>IFERROR(_xlfn.XLOOKUP($B1098,Transporte[DESCRIPCION],Transporte[VALOR],,0),"")</f>
        <v/>
      </c>
      <c r="F1098" s="33"/>
      <c r="G1098" s="34" t="str">
        <f>IFERROR(IF(F1098&gt;=0,D1098*E1098*(1+F1098/100),ABS(D1098*E1098/F1098)),"")</f>
        <v/>
      </c>
      <c r="H1098" s="43" t="str">
        <f>IFERROR(G1098*E1084,"")</f>
        <v/>
      </c>
    </row>
    <row r="1099" spans="1:11" ht="12.75" customHeight="1">
      <c r="A1099" s="21"/>
      <c r="B1099" s="22" t="s">
        <v>3732</v>
      </c>
      <c r="C1099" s="23"/>
      <c r="D1099" s="24"/>
      <c r="E1099" s="25"/>
      <c r="F1099" s="26"/>
      <c r="G1099" s="27">
        <f>SUM(G1100:G1102)</f>
        <v>4191.8766786000006</v>
      </c>
      <c r="H1099" s="44">
        <f>G1099*E1084</f>
        <v>0</v>
      </c>
    </row>
    <row r="1100" spans="1:11" ht="12.75" customHeight="1">
      <c r="A1100" s="28"/>
      <c r="B1100" s="29" t="s">
        <v>3724</v>
      </c>
      <c r="C1100" s="30" t="str">
        <f>IFERROR(_xlfn.XLOOKUP(B1100,MObra[DESCRIPCION],MObra[UN],,0),"")</f>
        <v>día</v>
      </c>
      <c r="D1100" s="31">
        <v>1</v>
      </c>
      <c r="E1100" s="32">
        <f>IFERROR(_xlfn.XLOOKUP($B1100,MObra[DESCRIPCION],MObra[VALOR UNIT],,0),"")</f>
        <v>419187.66786000005</v>
      </c>
      <c r="F1100" s="33">
        <v>-100</v>
      </c>
      <c r="G1100" s="34">
        <f>IFERROR(IF(F1100&gt;=0,D1100*E1100*(1+F1100/100),ABS(D1100*E1100/F1100)),"")</f>
        <v>4191.8766786000006</v>
      </c>
      <c r="H1100" s="43">
        <f>IFERROR(G1100*E1084,"")</f>
        <v>0</v>
      </c>
    </row>
    <row r="1101" spans="1:11" ht="12.75" customHeight="1">
      <c r="A1101" s="28"/>
      <c r="B1101" s="29"/>
      <c r="C1101" s="30" t="str">
        <f t="array" ref="C1101">IFERROR(_xlfn.XLOOKUP(B1101,MObra[[#All],[DESCRIPCION]],MObra[[#All],[UN]],,0),"")</f>
        <v/>
      </c>
      <c r="D1101" s="31"/>
      <c r="E1101" s="32" t="str">
        <f>IFERROR(_xlfn.XLOOKUP($B1101,MObra[DESCRIPCION],MObra[VALOR UNIT],,0),"")</f>
        <v/>
      </c>
      <c r="F1101" s="33"/>
      <c r="G1101" s="34" t="str">
        <f>IFERROR(IF(F1101&gt;=0,D1101*E1101*(1+F1101/100),ABS(D1101*E1101/F1101)),"")</f>
        <v/>
      </c>
      <c r="H1101" s="43" t="str">
        <f>IFERROR(G1101*E1084,"")</f>
        <v/>
      </c>
    </row>
    <row r="1102" spans="1:11" ht="12.75" customHeight="1" thickBot="1">
      <c r="A1102" s="35"/>
      <c r="B1102" s="36"/>
      <c r="C1102" s="37" t="str">
        <f t="array" ref="C1102">IFERROR(_xlfn.XLOOKUP(B1102,MObra[[#All],[DESCRIPCION]],MObra[[#All],[UN]],,0),"")</f>
        <v/>
      </c>
      <c r="D1102" s="38"/>
      <c r="E1102" s="39" t="str">
        <f>IFERROR(_xlfn.XLOOKUP($B1102,MObra[DESCRIPCION],MObra[VALOR UNIT],,0),"")</f>
        <v/>
      </c>
      <c r="F1102" s="40"/>
      <c r="G1102" s="41" t="str">
        <f>IFERROR(IF(F1102&gt;=0,D1102*E1102*(1+F1102/100),ABS(D1102*E1102/F1102)),"")</f>
        <v/>
      </c>
      <c r="H1102" s="42" t="str">
        <f>IFERROR(G1102*E1084,"")</f>
        <v/>
      </c>
    </row>
    <row r="1103" spans="1:11" ht="12.75" customHeight="1" thickTop="1" thickBot="1"/>
    <row r="1104" spans="1:11" ht="12.75" customHeight="1" thickTop="1" thickBot="1">
      <c r="A1104" s="6" t="s">
        <v>419</v>
      </c>
      <c r="B1104" s="7" t="str">
        <f>VLOOKUP($A1104,Presupuesto!$A:$D,2,FALSE())</f>
        <v>Escala concreto 20.7 Mpa E= 0.12 m cónica sobre terreno</v>
      </c>
      <c r="C1104" s="8" t="str">
        <f>VLOOKUP($A1104,Presupuesto!$A:$D,3,FALSE())</f>
        <v>M2</v>
      </c>
      <c r="D1104" s="9"/>
      <c r="E1104" s="10">
        <f>VLOOKUP($A1104,Presupuesto!$A:$D,4,FALSE())</f>
        <v>0</v>
      </c>
      <c r="F1104" s="11" t="s">
        <v>2589</v>
      </c>
      <c r="G1104" s="12">
        <f>SUM(G1106:G1122)/2</f>
        <v>244451.11145691623</v>
      </c>
      <c r="H1104" s="13">
        <f>ROUND(SUM(H1106:H1122),0)/2</f>
        <v>0</v>
      </c>
      <c r="I1104" s="10">
        <f>VLOOKUP(A1104,Presupuesto!$A:$F,6,0)</f>
        <v>0</v>
      </c>
      <c r="J1104" s="10">
        <f>+H1104-I1104</f>
        <v>0</v>
      </c>
      <c r="K1104" s="46">
        <f>+H1104-G1104*E1104</f>
        <v>0</v>
      </c>
    </row>
    <row r="1105" spans="1:8" ht="12.75" customHeight="1" thickTop="1">
      <c r="A1105" s="14"/>
      <c r="B1105" s="15" t="s">
        <v>2586</v>
      </c>
      <c r="C1105" s="15" t="s">
        <v>5</v>
      </c>
      <c r="D1105" s="16" t="s">
        <v>6</v>
      </c>
      <c r="E1105" s="17" t="s">
        <v>7</v>
      </c>
      <c r="F1105" s="18" t="s">
        <v>3728</v>
      </c>
      <c r="G1105" s="19" t="s">
        <v>3729</v>
      </c>
      <c r="H1105" s="20" t="s">
        <v>3797</v>
      </c>
    </row>
    <row r="1106" spans="1:8" ht="12.75" customHeight="1">
      <c r="A1106" s="21"/>
      <c r="B1106" s="22" t="s">
        <v>3730</v>
      </c>
      <c r="C1106" s="23"/>
      <c r="D1106" s="24"/>
      <c r="E1106" s="25"/>
      <c r="F1106" s="26"/>
      <c r="G1106" s="27">
        <f>SUM(G1107:G1111)</f>
        <v>194082.86399612334</v>
      </c>
      <c r="H1106" s="27">
        <f>IFERROR(G1106*E1104,"")</f>
        <v>0</v>
      </c>
    </row>
    <row r="1107" spans="1:8" ht="12.75" customHeight="1">
      <c r="A1107" s="28"/>
      <c r="B1107" s="29" t="s">
        <v>3239</v>
      </c>
      <c r="C1107" s="30" t="str">
        <f>IFERROR(_xlfn.XLOOKUP(B1107,Insumo[DESCRIPCION],Insumo[UND],,0),"")</f>
        <v>M3</v>
      </c>
      <c r="D1107" s="31">
        <v>0.28000000000000003</v>
      </c>
      <c r="E1107" s="32">
        <f>IFERROR(_xlfn.XLOOKUP($B1107,Insumo[DESCRIPCION],Insumo[VALOR],,0),"")</f>
        <v>521159.50227762427</v>
      </c>
      <c r="F1107" s="33">
        <v>5</v>
      </c>
      <c r="G1107" s="34">
        <f>IFERROR(IF(F1107&gt;=0,D1107*E1107*(1+F1107/100),ABS(D1107*E1107/F1107)),"")</f>
        <v>153220.89366962155</v>
      </c>
      <c r="H1107" s="43">
        <f>IFERROR(G1107*E1104,"")</f>
        <v>0</v>
      </c>
    </row>
    <row r="1108" spans="1:8" ht="12.75" customHeight="1">
      <c r="A1108" s="28"/>
      <c r="B1108" s="29" t="s">
        <v>2954</v>
      </c>
      <c r="C1108" s="30" t="str">
        <f>IFERROR(_xlfn.XLOOKUP(B1108,Insumo[DESCRIPCION],Insumo[UND],,0),"")</f>
        <v>M2</v>
      </c>
      <c r="D1108" s="31">
        <v>0.4</v>
      </c>
      <c r="E1108" s="32">
        <f>IFERROR(_xlfn.XLOOKUP($B1108,Insumo[DESCRIPCION],Insumo[VALOR],,0),"")</f>
        <v>102154.92581625449</v>
      </c>
      <c r="F1108" s="33"/>
      <c r="G1108" s="34">
        <f>IFERROR(IF(F1108&gt;=0,D1108*E1108*(1+F1108/100),ABS(D1108*E1108/F1108)),"")</f>
        <v>40861.970326501796</v>
      </c>
      <c r="H1108" s="43">
        <f>IFERROR(G1108*E1104,"")</f>
        <v>0</v>
      </c>
    </row>
    <row r="1109" spans="1:8" ht="12.75" customHeight="1">
      <c r="A1109" s="28"/>
      <c r="B1109" s="29"/>
      <c r="C1109" s="30" t="str">
        <f>IFERROR(_xlfn.XLOOKUP(B1109,Insumo[DESCRIPCION],Insumo[UND],,0),"")</f>
        <v/>
      </c>
      <c r="D1109" s="31"/>
      <c r="E1109" s="32" t="str">
        <f>IFERROR(_xlfn.XLOOKUP($B1109,Insumo[DESCRIPCION],Insumo[VALOR],,0),"")</f>
        <v/>
      </c>
      <c r="F1109" s="33"/>
      <c r="G1109" s="34" t="str">
        <f>IFERROR(IF(F1109&gt;=0,D1109*E1109*(1+F1109/100),ABS(D1109*E1109/F1109)),"")</f>
        <v/>
      </c>
      <c r="H1109" s="43" t="str">
        <f>IFERROR(G1109*E1104,"")</f>
        <v/>
      </c>
    </row>
    <row r="1110" spans="1:8" ht="12.75" customHeight="1">
      <c r="A1110" s="28"/>
      <c r="B1110" s="29"/>
      <c r="C1110" s="30" t="str">
        <f>IFERROR(_xlfn.XLOOKUP(B1110,Insumo[DESCRIPCION],Insumo[UND],,0),"")</f>
        <v/>
      </c>
      <c r="D1110" s="31"/>
      <c r="E1110" s="32" t="str">
        <f>IFERROR(_xlfn.XLOOKUP($B1110,Insumo[DESCRIPCION],Insumo[VALOR],,0),"")</f>
        <v/>
      </c>
      <c r="F1110" s="33"/>
      <c r="G1110" s="34" t="str">
        <f>IFERROR(IF(F1110&gt;=0,D1110*E1110*(1+F1110/100),ABS(D1110*E1110/F1110)),"")</f>
        <v/>
      </c>
      <c r="H1110" s="43" t="str">
        <f>IFERROR(G1110*E1104,"")</f>
        <v/>
      </c>
    </row>
    <row r="1111" spans="1:8" ht="12.75" customHeight="1">
      <c r="A1111" s="28"/>
      <c r="B1111" s="29"/>
      <c r="C1111" s="30" t="str">
        <f>IFERROR(_xlfn.XLOOKUP(B1111,Insumo[DESCRIPCION],Insumo[UND],,0),"")</f>
        <v/>
      </c>
      <c r="D1111" s="31"/>
      <c r="E1111" s="32" t="str">
        <f>IFERROR(_xlfn.XLOOKUP($B1111,Insumo[DESCRIPCION],Insumo[VALOR],,0),"")</f>
        <v/>
      </c>
      <c r="F1111" s="33"/>
      <c r="G1111" s="34" t="str">
        <f>IFERROR(IF(F1111&gt;=0,D1111*E1111*(1+F1111/100),ABS(D1111*E1111/F1111)),"")</f>
        <v/>
      </c>
      <c r="H1111" s="43" t="str">
        <f>IFERROR(G1111*E1104,"")</f>
        <v/>
      </c>
    </row>
    <row r="1112" spans="1:8" ht="12.75" customHeight="1">
      <c r="A1112" s="21"/>
      <c r="B1112" s="22" t="s">
        <v>3731</v>
      </c>
      <c r="C1112" s="23"/>
      <c r="D1112" s="24"/>
      <c r="E1112" s="25"/>
      <c r="F1112" s="26"/>
      <c r="G1112" s="27">
        <f>SUM(G1113:G1115)</f>
        <v>5455.28304722143</v>
      </c>
      <c r="H1112" s="44">
        <f>G1112*E1104</f>
        <v>0</v>
      </c>
    </row>
    <row r="1113" spans="1:8" ht="12.75" customHeight="1">
      <c r="A1113" s="28"/>
      <c r="B1113" s="29" t="s">
        <v>3657</v>
      </c>
      <c r="C1113" s="30" t="str">
        <f>IFERROR(_xlfn.XLOOKUP(B1113,Equipo[DESCRIPCION],Equipo[UND],,0),"")</f>
        <v>Día</v>
      </c>
      <c r="D1113" s="31">
        <v>1</v>
      </c>
      <c r="E1113" s="32">
        <f>IF(C1113="%MO",G1119,IFERROR(_xlfn.XLOOKUP($B1113,Equipo[DESCRIPCION],Equipo[VALOR],,0),""))</f>
        <v>56524.65</v>
      </c>
      <c r="F1113" s="33">
        <v>-40</v>
      </c>
      <c r="G1113" s="34">
        <f>IFERROR(IF(F1113&gt;=0,D1113*E1113*(1+F1113/100),ABS(D1113*E1113/F1113)),"")</f>
        <v>1413.11625</v>
      </c>
      <c r="H1113" s="43">
        <f>IFERROR(G1113*E1104,"")</f>
        <v>0</v>
      </c>
    </row>
    <row r="1114" spans="1:8" ht="12.75" customHeight="1">
      <c r="A1114" s="28"/>
      <c r="B1114" s="29" t="s">
        <v>3570</v>
      </c>
      <c r="C1114" s="30" t="str">
        <f>IFERROR(_xlfn.XLOOKUP(B1114,Equipo[DESCRIPCION],Equipo[UND],,0),"")</f>
        <v>%MO</v>
      </c>
      <c r="D1114" s="31">
        <v>0.04</v>
      </c>
      <c r="E1114" s="32">
        <f>IF(C1114="%MO",G1119,IFERROR(_xlfn.XLOOKUP($B1114,Equipo[DESCRIPCION],Equipo[VALOR],,0),""))</f>
        <v>44912.964413571441</v>
      </c>
      <c r="F1114" s="33"/>
      <c r="G1114" s="34">
        <f>IFERROR(IF(F1114&gt;=0,D1114*E1114*(1+F1114/100),ABS(D1114*E1114/F1114)),"")</f>
        <v>1796.5185765428578</v>
      </c>
      <c r="H1114" s="43">
        <f>IFERROR(G1114*E1104,"")</f>
        <v>0</v>
      </c>
    </row>
    <row r="1115" spans="1:8" ht="12.75" customHeight="1">
      <c r="A1115" s="28"/>
      <c r="B1115" s="29" t="s">
        <v>3626</v>
      </c>
      <c r="C1115" s="30" t="str">
        <f>IFERROR(_xlfn.XLOOKUP(B1115,Equipo[DESCRIPCION],Equipo[UND],,0),"")</f>
        <v>%MO</v>
      </c>
      <c r="D1115" s="31">
        <v>0.05</v>
      </c>
      <c r="E1115" s="32">
        <f>IF(C1115="%MO",G1119,IFERROR(_xlfn.XLOOKUP($B1115,Equipo[DESCRIPCION],Equipo[VALOR],,0),""))</f>
        <v>44912.964413571441</v>
      </c>
      <c r="F1115" s="33"/>
      <c r="G1115" s="34">
        <f>IFERROR(IF(F1115&gt;=0,D1115*E1115*(1+F1115/100),ABS(D1115*E1115/F1115)),"")</f>
        <v>2245.6482206785722</v>
      </c>
      <c r="H1115" s="43">
        <f>IFERROR(G1115*E1104,"")</f>
        <v>0</v>
      </c>
    </row>
    <row r="1116" spans="1:8" ht="12.75" customHeight="1">
      <c r="A1116" s="21"/>
      <c r="B1116" s="22" t="s">
        <v>2533</v>
      </c>
      <c r="C1116" s="23"/>
      <c r="D1116" s="24"/>
      <c r="E1116" s="25"/>
      <c r="F1116" s="26"/>
      <c r="G1116" s="27">
        <f>SUM(G1117:G1118)</f>
        <v>0</v>
      </c>
      <c r="H1116" s="44">
        <f>G1116*E1104</f>
        <v>0</v>
      </c>
    </row>
    <row r="1117" spans="1:8" ht="12.75" customHeight="1">
      <c r="A1117" s="28"/>
      <c r="B1117" s="29"/>
      <c r="C1117" s="30" t="str">
        <f>IFERROR(_xlfn.XLOOKUP(B1117,Transporte[DESCRIPCION],Transporte[UND],,0),"")</f>
        <v/>
      </c>
      <c r="D1117" s="31"/>
      <c r="E1117" s="32" t="str">
        <f>IFERROR(_xlfn.XLOOKUP($B1117,Transporte[DESCRIPCION],Transporte[VALOR],,0),"")</f>
        <v/>
      </c>
      <c r="F1117" s="33"/>
      <c r="G1117" s="34" t="str">
        <f>IFERROR(IF(F1117&gt;=0,D1117*E1117*(1+F1117/100),ABS(D1117*E1117/F1117)),"")</f>
        <v/>
      </c>
      <c r="H1117" s="43" t="str">
        <f>IFERROR(G1117*E1104,"")</f>
        <v/>
      </c>
    </row>
    <row r="1118" spans="1:8" ht="12.75" customHeight="1">
      <c r="A1118" s="28"/>
      <c r="B1118" s="29"/>
      <c r="C1118" s="30" t="str">
        <f>IFERROR(_xlfn.XLOOKUP(B1118,Transporte[DESCRIPCION],Transporte[UND],,0),"")</f>
        <v/>
      </c>
      <c r="D1118" s="31"/>
      <c r="E1118" s="32" t="str">
        <f>IFERROR(_xlfn.XLOOKUP($B1118,Transporte[DESCRIPCION],Transporte[VALOR],,0),"")</f>
        <v/>
      </c>
      <c r="F1118" s="33"/>
      <c r="G1118" s="34" t="str">
        <f>IFERROR(IF(F1118&gt;=0,D1118*E1118*(1+F1118/100),ABS(D1118*E1118/F1118)),"")</f>
        <v/>
      </c>
      <c r="H1118" s="43" t="str">
        <f>IFERROR(G1118*E1104,"")</f>
        <v/>
      </c>
    </row>
    <row r="1119" spans="1:8" ht="12.75" customHeight="1">
      <c r="A1119" s="21"/>
      <c r="B1119" s="22" t="s">
        <v>3732</v>
      </c>
      <c r="C1119" s="23"/>
      <c r="D1119" s="24"/>
      <c r="E1119" s="25"/>
      <c r="F1119" s="26"/>
      <c r="G1119" s="27">
        <f>SUM(G1120:G1122)</f>
        <v>44912.964413571441</v>
      </c>
      <c r="H1119" s="44">
        <f>G1119*E1104</f>
        <v>0</v>
      </c>
    </row>
    <row r="1120" spans="1:8" ht="12.75" customHeight="1">
      <c r="A1120" s="28"/>
      <c r="B1120" s="29" t="s">
        <v>3710</v>
      </c>
      <c r="C1120" s="30" t="str">
        <f>IFERROR(_xlfn.XLOOKUP(B1120,MObra[DESCRIPCION],MObra[UN],,0),"")</f>
        <v>día</v>
      </c>
      <c r="D1120" s="31">
        <v>1</v>
      </c>
      <c r="E1120" s="32">
        <f>IFERROR(_xlfn.XLOOKUP($B1120,MObra[DESCRIPCION],MObra[VALOR UNIT],,0),"")</f>
        <v>314390.75089500006</v>
      </c>
      <c r="F1120" s="33">
        <v>-7</v>
      </c>
      <c r="G1120" s="34">
        <f>IFERROR(IF(F1120&gt;=0,D1120*E1120*(1+F1120/100),ABS(D1120*E1120/F1120)),"")</f>
        <v>44912.964413571441</v>
      </c>
      <c r="H1120" s="43">
        <f>IFERROR(G1120*E1104,"")</f>
        <v>0</v>
      </c>
    </row>
    <row r="1121" spans="1:11" ht="12.75" customHeight="1">
      <c r="A1121" s="28"/>
      <c r="B1121" s="29"/>
      <c r="C1121" s="30" t="str">
        <f t="array" ref="C1121">IFERROR(_xlfn.XLOOKUP(B1121,MObra[[#All],[DESCRIPCION]],MObra[[#All],[UN]],,0),"")</f>
        <v/>
      </c>
      <c r="D1121" s="31"/>
      <c r="E1121" s="32" t="str">
        <f>IFERROR(_xlfn.XLOOKUP($B1121,MObra[DESCRIPCION],MObra[VALOR UNIT],,0),"")</f>
        <v/>
      </c>
      <c r="F1121" s="33"/>
      <c r="G1121" s="34" t="str">
        <f>IFERROR(IF(F1121&gt;=0,D1121*E1121*(1+F1121/100),ABS(D1121*E1121/F1121)),"")</f>
        <v/>
      </c>
      <c r="H1121" s="43" t="str">
        <f>IFERROR(G1121*E1104,"")</f>
        <v/>
      </c>
    </row>
    <row r="1122" spans="1:11" ht="12.75" customHeight="1" thickBot="1">
      <c r="A1122" s="35"/>
      <c r="B1122" s="36"/>
      <c r="C1122" s="37" t="str">
        <f t="array" ref="C1122">IFERROR(_xlfn.XLOOKUP(B1122,MObra[[#All],[DESCRIPCION]],MObra[[#All],[UN]],,0),"")</f>
        <v/>
      </c>
      <c r="D1122" s="38"/>
      <c r="E1122" s="39" t="str">
        <f>IFERROR(_xlfn.XLOOKUP($B1122,MObra[DESCRIPCION],MObra[VALOR UNIT],,0),"")</f>
        <v/>
      </c>
      <c r="F1122" s="40"/>
      <c r="G1122" s="41" t="str">
        <f>IFERROR(IF(F1122&gt;=0,D1122*E1122*(1+F1122/100),ABS(D1122*E1122/F1122)),"")</f>
        <v/>
      </c>
      <c r="H1122" s="42" t="str">
        <f>IFERROR(G1122*E1104,"")</f>
        <v/>
      </c>
    </row>
    <row r="1123" spans="1:11" ht="12.75" customHeight="1" thickTop="1" thickBot="1"/>
    <row r="1124" spans="1:11" ht="12.75" customHeight="1" thickTop="1" thickBot="1">
      <c r="A1124" s="6" t="s">
        <v>421</v>
      </c>
      <c r="B1124" s="7" t="str">
        <f>VLOOKUP($A1124,Presupuesto!$A:$D,2,FALSE())</f>
        <v>Escala concreto 20.7 Mpa E= 0.12 m hélice sobre terreno</v>
      </c>
      <c r="C1124" s="8" t="str">
        <f>VLOOKUP($A1124,Presupuesto!$A:$D,3,FALSE())</f>
        <v>M2</v>
      </c>
      <c r="D1124" s="9"/>
      <c r="E1124" s="10">
        <f>VLOOKUP($A1124,Presupuesto!$A:$D,4,FALSE())</f>
        <v>0</v>
      </c>
      <c r="F1124" s="11" t="s">
        <v>2589</v>
      </c>
      <c r="G1124" s="12">
        <f>SUM(G1126:G1142)/2</f>
        <v>262825.79257367377</v>
      </c>
      <c r="H1124" s="13">
        <f>ROUND(SUM(H1126:H1142),0)/2</f>
        <v>0</v>
      </c>
      <c r="I1124" s="10">
        <f>VLOOKUP(A1124,Presupuesto!$A:$F,6,0)</f>
        <v>0</v>
      </c>
      <c r="J1124" s="10">
        <f>+H1124-I1124</f>
        <v>0</v>
      </c>
      <c r="K1124" s="46">
        <f>+H1124-G1124*E1124</f>
        <v>0</v>
      </c>
    </row>
    <row r="1125" spans="1:11" ht="12.75" customHeight="1" thickTop="1">
      <c r="A1125" s="14"/>
      <c r="B1125" s="15" t="s">
        <v>2586</v>
      </c>
      <c r="C1125" s="15" t="s">
        <v>5</v>
      </c>
      <c r="D1125" s="16" t="s">
        <v>6</v>
      </c>
      <c r="E1125" s="17" t="s">
        <v>7</v>
      </c>
      <c r="F1125" s="18" t="s">
        <v>3728</v>
      </c>
      <c r="G1125" s="19" t="s">
        <v>3729</v>
      </c>
      <c r="H1125" s="20" t="s">
        <v>3797</v>
      </c>
    </row>
    <row r="1126" spans="1:11" ht="12.75" customHeight="1">
      <c r="A1126" s="21"/>
      <c r="B1126" s="22" t="s">
        <v>3730</v>
      </c>
      <c r="C1126" s="23"/>
      <c r="D1126" s="24"/>
      <c r="E1126" s="25"/>
      <c r="F1126" s="26"/>
      <c r="G1126" s="27">
        <f>SUM(G1127:G1131)</f>
        <v>204298.35657774878</v>
      </c>
      <c r="H1126" s="27">
        <f>IFERROR(G1126*E1124,"")</f>
        <v>0</v>
      </c>
    </row>
    <row r="1127" spans="1:11" ht="12.75" customHeight="1">
      <c r="A1127" s="28"/>
      <c r="B1127" s="29" t="s">
        <v>3239</v>
      </c>
      <c r="C1127" s="30" t="str">
        <f>IFERROR(_xlfn.XLOOKUP(B1127,Insumo[DESCRIPCION],Insumo[UND],,0),"")</f>
        <v>M3</v>
      </c>
      <c r="D1127" s="31">
        <v>0.28000000000000003</v>
      </c>
      <c r="E1127" s="32">
        <f>IFERROR(_xlfn.XLOOKUP($B1127,Insumo[DESCRIPCION],Insumo[VALOR],,0),"")</f>
        <v>521159.50227762427</v>
      </c>
      <c r="F1127" s="33">
        <v>5</v>
      </c>
      <c r="G1127" s="34">
        <f>IFERROR(IF(F1127&gt;=0,D1127*E1127*(1+F1127/100),ABS(D1127*E1127/F1127)),"")</f>
        <v>153220.89366962155</v>
      </c>
      <c r="H1127" s="43">
        <f>IFERROR(G1127*E1124,"")</f>
        <v>0</v>
      </c>
    </row>
    <row r="1128" spans="1:11" ht="12.75" customHeight="1">
      <c r="A1128" s="28"/>
      <c r="B1128" s="29" t="s">
        <v>2954</v>
      </c>
      <c r="C1128" s="30" t="str">
        <f>IFERROR(_xlfn.XLOOKUP(B1128,Insumo[DESCRIPCION],Insumo[UND],,0),"")</f>
        <v>M2</v>
      </c>
      <c r="D1128" s="31">
        <v>0.5</v>
      </c>
      <c r="E1128" s="32">
        <f>IFERROR(_xlfn.XLOOKUP($B1128,Insumo[DESCRIPCION],Insumo[VALOR],,0),"")</f>
        <v>102154.92581625449</v>
      </c>
      <c r="F1128" s="33"/>
      <c r="G1128" s="34">
        <f>IFERROR(IF(F1128&gt;=0,D1128*E1128*(1+F1128/100),ABS(D1128*E1128/F1128)),"")</f>
        <v>51077.462908127243</v>
      </c>
      <c r="H1128" s="43">
        <f>IFERROR(G1128*E1124,"")</f>
        <v>0</v>
      </c>
    </row>
    <row r="1129" spans="1:11" ht="12.75" customHeight="1">
      <c r="A1129" s="28"/>
      <c r="B1129" s="29"/>
      <c r="C1129" s="30" t="str">
        <f>IFERROR(_xlfn.XLOOKUP(B1129,Insumo[DESCRIPCION],Insumo[UND],,0),"")</f>
        <v/>
      </c>
      <c r="D1129" s="31"/>
      <c r="E1129" s="32" t="str">
        <f>IFERROR(_xlfn.XLOOKUP($B1129,Insumo[DESCRIPCION],Insumo[VALOR],,0),"")</f>
        <v/>
      </c>
      <c r="F1129" s="33"/>
      <c r="G1129" s="34" t="str">
        <f>IFERROR(IF(F1129&gt;=0,D1129*E1129*(1+F1129/100),ABS(D1129*E1129/F1129)),"")</f>
        <v/>
      </c>
      <c r="H1129" s="43" t="str">
        <f>IFERROR(G1129*E1124,"")</f>
        <v/>
      </c>
    </row>
    <row r="1130" spans="1:11" ht="12.75" customHeight="1">
      <c r="A1130" s="28"/>
      <c r="B1130" s="29"/>
      <c r="C1130" s="30" t="str">
        <f>IFERROR(_xlfn.XLOOKUP(B1130,Insumo[DESCRIPCION],Insumo[UND],,0),"")</f>
        <v/>
      </c>
      <c r="D1130" s="31"/>
      <c r="E1130" s="32" t="str">
        <f>IFERROR(_xlfn.XLOOKUP($B1130,Insumo[DESCRIPCION],Insumo[VALOR],,0),"")</f>
        <v/>
      </c>
      <c r="F1130" s="33"/>
      <c r="G1130" s="34" t="str">
        <f>IFERROR(IF(F1130&gt;=0,D1130*E1130*(1+F1130/100),ABS(D1130*E1130/F1130)),"")</f>
        <v/>
      </c>
      <c r="H1130" s="43" t="str">
        <f>IFERROR(G1130*E1124,"")</f>
        <v/>
      </c>
    </row>
    <row r="1131" spans="1:11" ht="12.75" customHeight="1">
      <c r="A1131" s="28"/>
      <c r="B1131" s="29"/>
      <c r="C1131" s="30" t="str">
        <f>IFERROR(_xlfn.XLOOKUP(B1131,Insumo[DESCRIPCION],Insumo[UND],,0),"")</f>
        <v/>
      </c>
      <c r="D1131" s="31"/>
      <c r="E1131" s="32" t="str">
        <f>IFERROR(_xlfn.XLOOKUP($B1131,Insumo[DESCRIPCION],Insumo[VALOR],,0),"")</f>
        <v/>
      </c>
      <c r="F1131" s="33"/>
      <c r="G1131" s="34" t="str">
        <f>IFERROR(IF(F1131&gt;=0,D1131*E1131*(1+F1131/100),ABS(D1131*E1131/F1131)),"")</f>
        <v/>
      </c>
      <c r="H1131" s="43" t="str">
        <f>IFERROR(G1131*E1124,"")</f>
        <v/>
      </c>
    </row>
    <row r="1132" spans="1:11" ht="12.75" customHeight="1">
      <c r="A1132" s="21"/>
      <c r="B1132" s="22" t="s">
        <v>3731</v>
      </c>
      <c r="C1132" s="23"/>
      <c r="D1132" s="24"/>
      <c r="E1132" s="25"/>
      <c r="F1132" s="26"/>
      <c r="G1132" s="27">
        <f>SUM(G1133:G1135)</f>
        <v>6128.9775134250012</v>
      </c>
      <c r="H1132" s="44">
        <f>G1132*E1124</f>
        <v>0</v>
      </c>
    </row>
    <row r="1133" spans="1:11" ht="12.75" customHeight="1">
      <c r="A1133" s="28"/>
      <c r="B1133" s="29" t="s">
        <v>3657</v>
      </c>
      <c r="C1133" s="30" t="str">
        <f>IFERROR(_xlfn.XLOOKUP(B1133,Equipo[DESCRIPCION],Equipo[UND],,0),"")</f>
        <v>Día</v>
      </c>
      <c r="D1133" s="31">
        <v>1</v>
      </c>
      <c r="E1133" s="32">
        <f>IF(C1133="%MO",G1139,IFERROR(_xlfn.XLOOKUP($B1133,Equipo[DESCRIPCION],Equipo[VALOR],,0),""))</f>
        <v>56524.65</v>
      </c>
      <c r="F1133" s="33">
        <v>-40</v>
      </c>
      <c r="G1133" s="34">
        <f>IFERROR(IF(F1133&gt;=0,D1133*E1133*(1+F1133/100),ABS(D1133*E1133/F1133)),"")</f>
        <v>1413.11625</v>
      </c>
      <c r="H1133" s="43">
        <f>IFERROR(G1133*E1124,"")</f>
        <v>0</v>
      </c>
    </row>
    <row r="1134" spans="1:11" ht="12.75" customHeight="1">
      <c r="A1134" s="28"/>
      <c r="B1134" s="29" t="s">
        <v>3570</v>
      </c>
      <c r="C1134" s="30" t="str">
        <f>IFERROR(_xlfn.XLOOKUP(B1134,Equipo[DESCRIPCION],Equipo[UND],,0),"")</f>
        <v>%MO</v>
      </c>
      <c r="D1134" s="31">
        <v>0.04</v>
      </c>
      <c r="E1134" s="32">
        <f>IF(C1134="%MO",G1139,IFERROR(_xlfn.XLOOKUP($B1134,Equipo[DESCRIPCION],Equipo[VALOR],,0),""))</f>
        <v>52398.458482500013</v>
      </c>
      <c r="F1134" s="33"/>
      <c r="G1134" s="34">
        <f>IFERROR(IF(F1134&gt;=0,D1134*E1134*(1+F1134/100),ABS(D1134*E1134/F1134)),"")</f>
        <v>2095.9383393000007</v>
      </c>
      <c r="H1134" s="43">
        <f>IFERROR(G1134*E1124,"")</f>
        <v>0</v>
      </c>
    </row>
    <row r="1135" spans="1:11" ht="12.75" customHeight="1">
      <c r="A1135" s="28"/>
      <c r="B1135" s="29" t="s">
        <v>3626</v>
      </c>
      <c r="C1135" s="30" t="str">
        <f>IFERROR(_xlfn.XLOOKUP(B1135,Equipo[DESCRIPCION],Equipo[UND],,0),"")</f>
        <v>%MO</v>
      </c>
      <c r="D1135" s="31">
        <v>0.05</v>
      </c>
      <c r="E1135" s="32">
        <f>IF(C1135="%MO",G1139,IFERROR(_xlfn.XLOOKUP($B1135,Equipo[DESCRIPCION],Equipo[VALOR],,0),""))</f>
        <v>52398.458482500013</v>
      </c>
      <c r="F1135" s="33"/>
      <c r="G1135" s="34">
        <f>IFERROR(IF(F1135&gt;=0,D1135*E1135*(1+F1135/100),ABS(D1135*E1135/F1135)),"")</f>
        <v>2619.9229241250009</v>
      </c>
      <c r="H1135" s="43">
        <f>IFERROR(G1135*E1124,"")</f>
        <v>0</v>
      </c>
    </row>
    <row r="1136" spans="1:11" ht="12.75" customHeight="1">
      <c r="A1136" s="21"/>
      <c r="B1136" s="22" t="s">
        <v>2533</v>
      </c>
      <c r="C1136" s="23"/>
      <c r="D1136" s="24"/>
      <c r="E1136" s="25"/>
      <c r="F1136" s="26"/>
      <c r="G1136" s="27">
        <f>SUM(G1137:G1138)</f>
        <v>0</v>
      </c>
      <c r="H1136" s="44">
        <f>G1136*E1124</f>
        <v>0</v>
      </c>
    </row>
    <row r="1137" spans="1:11" ht="12.75" customHeight="1">
      <c r="A1137" s="28"/>
      <c r="B1137" s="29"/>
      <c r="C1137" s="30" t="str">
        <f>IFERROR(_xlfn.XLOOKUP(B1137,Transporte[DESCRIPCION],Transporte[UND],,0),"")</f>
        <v/>
      </c>
      <c r="D1137" s="31"/>
      <c r="E1137" s="32" t="str">
        <f>IFERROR(_xlfn.XLOOKUP($B1137,Transporte[DESCRIPCION],Transporte[VALOR],,0),"")</f>
        <v/>
      </c>
      <c r="F1137" s="33"/>
      <c r="G1137" s="34" t="str">
        <f>IFERROR(IF(F1137&gt;=0,D1137*E1137*(1+F1137/100),ABS(D1137*E1137/F1137)),"")</f>
        <v/>
      </c>
      <c r="H1137" s="43" t="str">
        <f>IFERROR(G1137*E1124,"")</f>
        <v/>
      </c>
    </row>
    <row r="1138" spans="1:11" ht="12.75" customHeight="1">
      <c r="A1138" s="28"/>
      <c r="B1138" s="29"/>
      <c r="C1138" s="30" t="str">
        <f>IFERROR(_xlfn.XLOOKUP(B1138,Transporte[DESCRIPCION],Transporte[UND],,0),"")</f>
        <v/>
      </c>
      <c r="D1138" s="31"/>
      <c r="E1138" s="32" t="str">
        <f>IFERROR(_xlfn.XLOOKUP($B1138,Transporte[DESCRIPCION],Transporte[VALOR],,0),"")</f>
        <v/>
      </c>
      <c r="F1138" s="33"/>
      <c r="G1138" s="34" t="str">
        <f>IFERROR(IF(F1138&gt;=0,D1138*E1138*(1+F1138/100),ABS(D1138*E1138/F1138)),"")</f>
        <v/>
      </c>
      <c r="H1138" s="43" t="str">
        <f>IFERROR(G1138*E1124,"")</f>
        <v/>
      </c>
    </row>
    <row r="1139" spans="1:11" ht="12.75" customHeight="1">
      <c r="A1139" s="21"/>
      <c r="B1139" s="22" t="s">
        <v>3732</v>
      </c>
      <c r="C1139" s="23"/>
      <c r="D1139" s="24"/>
      <c r="E1139" s="25"/>
      <c r="F1139" s="26"/>
      <c r="G1139" s="27">
        <f>SUM(G1140:G1142)</f>
        <v>52398.458482500013</v>
      </c>
      <c r="H1139" s="44">
        <f>G1139*E1124</f>
        <v>0</v>
      </c>
    </row>
    <row r="1140" spans="1:11" ht="12.75" customHeight="1">
      <c r="A1140" s="28"/>
      <c r="B1140" s="29" t="s">
        <v>3710</v>
      </c>
      <c r="C1140" s="30" t="str">
        <f>IFERROR(_xlfn.XLOOKUP(B1140,MObra[DESCRIPCION],MObra[UN],,0),"")</f>
        <v>día</v>
      </c>
      <c r="D1140" s="31">
        <v>1</v>
      </c>
      <c r="E1140" s="32">
        <f>IFERROR(_xlfn.XLOOKUP($B1140,MObra[DESCRIPCION],MObra[VALOR UNIT],,0),"")</f>
        <v>314390.75089500006</v>
      </c>
      <c r="F1140" s="33">
        <v>-6</v>
      </c>
      <c r="G1140" s="34">
        <f>IFERROR(IF(F1140&gt;=0,D1140*E1140*(1+F1140/100),ABS(D1140*E1140/F1140)),"")</f>
        <v>52398.458482500013</v>
      </c>
      <c r="H1140" s="43">
        <f>IFERROR(G1140*E1124,"")</f>
        <v>0</v>
      </c>
    </row>
    <row r="1141" spans="1:11" ht="12.75" customHeight="1">
      <c r="A1141" s="28"/>
      <c r="B1141" s="29"/>
      <c r="C1141" s="30" t="str">
        <f t="array" ref="C1141">IFERROR(_xlfn.XLOOKUP(B1141,MObra[[#All],[DESCRIPCION]],MObra[[#All],[UN]],,0),"")</f>
        <v/>
      </c>
      <c r="D1141" s="31"/>
      <c r="E1141" s="32" t="str">
        <f>IFERROR(_xlfn.XLOOKUP($B1141,MObra[DESCRIPCION],MObra[VALOR UNIT],,0),"")</f>
        <v/>
      </c>
      <c r="F1141" s="33"/>
      <c r="G1141" s="34" t="str">
        <f>IFERROR(IF(F1141&gt;=0,D1141*E1141*(1+F1141/100),ABS(D1141*E1141/F1141)),"")</f>
        <v/>
      </c>
      <c r="H1141" s="43" t="str">
        <f>IFERROR(G1141*E1124,"")</f>
        <v/>
      </c>
    </row>
    <row r="1142" spans="1:11" ht="12.75" customHeight="1" thickBot="1">
      <c r="A1142" s="35"/>
      <c r="B1142" s="36"/>
      <c r="C1142" s="37" t="str">
        <f t="array" ref="C1142">IFERROR(_xlfn.XLOOKUP(B1142,MObra[[#All],[DESCRIPCION]],MObra[[#All],[UN]],,0),"")</f>
        <v/>
      </c>
      <c r="D1142" s="38"/>
      <c r="E1142" s="39" t="str">
        <f>IFERROR(_xlfn.XLOOKUP($B1142,MObra[DESCRIPCION],MObra[VALOR UNIT],,0),"")</f>
        <v/>
      </c>
      <c r="F1142" s="40"/>
      <c r="G1142" s="41" t="str">
        <f>IFERROR(IF(F1142&gt;=0,D1142*E1142*(1+F1142/100),ABS(D1142*E1142/F1142)),"")</f>
        <v/>
      </c>
      <c r="H1142" s="42" t="str">
        <f>IFERROR(G1142*E1124,"")</f>
        <v/>
      </c>
    </row>
    <row r="1143" spans="1:11" ht="12.75" customHeight="1" thickTop="1" thickBot="1"/>
    <row r="1144" spans="1:11" ht="12.75" customHeight="1" thickTop="1" thickBot="1">
      <c r="A1144" s="6" t="s">
        <v>423</v>
      </c>
      <c r="B1144" s="7" t="str">
        <f>VLOOKUP($A1144,Presupuesto!$A:$D,2,FALSE())</f>
        <v>Escala concreto 20.7 Mpa E= 0.12 m sobre suelo</v>
      </c>
      <c r="C1144" s="8" t="str">
        <f>VLOOKUP($A1144,Presupuesto!$A:$D,3,FALSE())</f>
        <v>M2</v>
      </c>
      <c r="D1144" s="9"/>
      <c r="E1144" s="10">
        <f>VLOOKUP($A1144,Presupuesto!$A:$D,4,FALSE())</f>
        <v>0</v>
      </c>
      <c r="F1144" s="11" t="s">
        <v>2589</v>
      </c>
      <c r="G1144" s="12">
        <f>SUM(G1146:G1162)/2</f>
        <v>236079.68975205062</v>
      </c>
      <c r="H1144" s="13">
        <f>ROUND(SUM(H1146:H1162),0)/2</f>
        <v>0</v>
      </c>
      <c r="I1144" s="10">
        <f>VLOOKUP(A1144,Presupuesto!$A:$F,6,0)</f>
        <v>0</v>
      </c>
      <c r="J1144" s="10">
        <f>+H1144-I1144</f>
        <v>0</v>
      </c>
      <c r="K1144" s="46">
        <f>+H1144-G1144*E1144</f>
        <v>0</v>
      </c>
    </row>
    <row r="1145" spans="1:11" ht="12.75" customHeight="1" thickTop="1">
      <c r="A1145" s="14"/>
      <c r="B1145" s="15" t="s">
        <v>2586</v>
      </c>
      <c r="C1145" s="15" t="s">
        <v>5</v>
      </c>
      <c r="D1145" s="16" t="s">
        <v>6</v>
      </c>
      <c r="E1145" s="17" t="s">
        <v>7</v>
      </c>
      <c r="F1145" s="18" t="s">
        <v>3728</v>
      </c>
      <c r="G1145" s="19" t="s">
        <v>3729</v>
      </c>
      <c r="H1145" s="20" t="s">
        <v>3797</v>
      </c>
    </row>
    <row r="1146" spans="1:11" ht="12.75" customHeight="1">
      <c r="A1146" s="21"/>
      <c r="B1146" s="22" t="s">
        <v>3730</v>
      </c>
      <c r="C1146" s="23"/>
      <c r="D1146" s="24"/>
      <c r="E1146" s="25"/>
      <c r="F1146" s="26"/>
      <c r="G1146" s="27">
        <f>SUM(G1147:G1151)</f>
        <v>188975.11770531064</v>
      </c>
      <c r="H1146" s="27">
        <f>IFERROR(G1146*E1144,"")</f>
        <v>0</v>
      </c>
    </row>
    <row r="1147" spans="1:11" ht="12.75" customHeight="1">
      <c r="A1147" s="28"/>
      <c r="B1147" s="29" t="s">
        <v>3239</v>
      </c>
      <c r="C1147" s="30" t="str">
        <f>IFERROR(_xlfn.XLOOKUP(B1147,Insumo[DESCRIPCION],Insumo[UND],,0),"")</f>
        <v>M3</v>
      </c>
      <c r="D1147" s="31">
        <v>0.28000000000000003</v>
      </c>
      <c r="E1147" s="32">
        <f>IFERROR(_xlfn.XLOOKUP($B1147,Insumo[DESCRIPCION],Insumo[VALOR],,0),"")</f>
        <v>521159.50227762427</v>
      </c>
      <c r="F1147" s="33">
        <v>5</v>
      </c>
      <c r="G1147" s="34">
        <f>IFERROR(IF(F1147&gt;=0,D1147*E1147*(1+F1147/100),ABS(D1147*E1147/F1147)),"")</f>
        <v>153220.89366962155</v>
      </c>
      <c r="H1147" s="43">
        <f>IFERROR(G1147*E1144,"")</f>
        <v>0</v>
      </c>
    </row>
    <row r="1148" spans="1:11" ht="12.75" customHeight="1">
      <c r="A1148" s="28"/>
      <c r="B1148" s="29" t="s">
        <v>2954</v>
      </c>
      <c r="C1148" s="30" t="str">
        <f>IFERROR(_xlfn.XLOOKUP(B1148,Insumo[DESCRIPCION],Insumo[UND],,0),"")</f>
        <v>M2</v>
      </c>
      <c r="D1148" s="31">
        <v>0.35</v>
      </c>
      <c r="E1148" s="32">
        <f>IFERROR(_xlfn.XLOOKUP($B1148,Insumo[DESCRIPCION],Insumo[VALOR],,0),"")</f>
        <v>102154.92581625449</v>
      </c>
      <c r="F1148" s="33"/>
      <c r="G1148" s="34">
        <f>IFERROR(IF(F1148&gt;=0,D1148*E1148*(1+F1148/100),ABS(D1148*E1148/F1148)),"")</f>
        <v>35754.224035689069</v>
      </c>
      <c r="H1148" s="43">
        <f>IFERROR(G1148*E1144,"")</f>
        <v>0</v>
      </c>
    </row>
    <row r="1149" spans="1:11" ht="12.75" customHeight="1">
      <c r="A1149" s="28"/>
      <c r="B1149" s="29"/>
      <c r="C1149" s="30" t="str">
        <f>IFERROR(_xlfn.XLOOKUP(B1149,Insumo[DESCRIPCION],Insumo[UND],,0),"")</f>
        <v/>
      </c>
      <c r="D1149" s="31"/>
      <c r="E1149" s="32" t="str">
        <f>IFERROR(_xlfn.XLOOKUP($B1149,Insumo[DESCRIPCION],Insumo[VALOR],,0),"")</f>
        <v/>
      </c>
      <c r="F1149" s="33"/>
      <c r="G1149" s="34" t="str">
        <f>IFERROR(IF(F1149&gt;=0,D1149*E1149*(1+F1149/100),ABS(D1149*E1149/F1149)),"")</f>
        <v/>
      </c>
      <c r="H1149" s="43" t="str">
        <f>IFERROR(G1149*E1144,"")</f>
        <v/>
      </c>
    </row>
    <row r="1150" spans="1:11" ht="12.75" customHeight="1">
      <c r="A1150" s="28"/>
      <c r="B1150" s="29"/>
      <c r="C1150" s="30" t="str">
        <f>IFERROR(_xlfn.XLOOKUP(B1150,Insumo[DESCRIPCION],Insumo[UND],,0),"")</f>
        <v/>
      </c>
      <c r="D1150" s="31"/>
      <c r="E1150" s="32" t="str">
        <f>IFERROR(_xlfn.XLOOKUP($B1150,Insumo[DESCRIPCION],Insumo[VALOR],,0),"")</f>
        <v/>
      </c>
      <c r="F1150" s="33"/>
      <c r="G1150" s="34" t="str">
        <f>IFERROR(IF(F1150&gt;=0,D1150*E1150*(1+F1150/100),ABS(D1150*E1150/F1150)),"")</f>
        <v/>
      </c>
      <c r="H1150" s="43" t="str">
        <f>IFERROR(G1150*E1144,"")</f>
        <v/>
      </c>
    </row>
    <row r="1151" spans="1:11" ht="12.75" customHeight="1">
      <c r="A1151" s="28"/>
      <c r="B1151" s="29"/>
      <c r="C1151" s="30" t="str">
        <f>IFERROR(_xlfn.XLOOKUP(B1151,Insumo[DESCRIPCION],Insumo[UND],,0),"")</f>
        <v/>
      </c>
      <c r="D1151" s="31"/>
      <c r="E1151" s="32" t="str">
        <f>IFERROR(_xlfn.XLOOKUP($B1151,Insumo[DESCRIPCION],Insumo[VALOR],,0),"")</f>
        <v/>
      </c>
      <c r="F1151" s="33"/>
      <c r="G1151" s="34" t="str">
        <f>IFERROR(IF(F1151&gt;=0,D1151*E1151*(1+F1151/100),ABS(D1151*E1151/F1151)),"")</f>
        <v/>
      </c>
      <c r="H1151" s="43" t="str">
        <f>IFERROR(G1151*E1144,"")</f>
        <v/>
      </c>
    </row>
    <row r="1152" spans="1:11" ht="12.75" customHeight="1">
      <c r="A1152" s="21"/>
      <c r="B1152" s="22" t="s">
        <v>3731</v>
      </c>
      <c r="C1152" s="23"/>
      <c r="D1152" s="24"/>
      <c r="E1152" s="25"/>
      <c r="F1152" s="26"/>
      <c r="G1152" s="27">
        <f>SUM(G1153:G1155)</f>
        <v>5185.8052607400004</v>
      </c>
      <c r="H1152" s="44">
        <f>G1152*E1144</f>
        <v>0</v>
      </c>
    </row>
    <row r="1153" spans="1:11" ht="12.75" customHeight="1">
      <c r="A1153" s="28"/>
      <c r="B1153" s="29" t="s">
        <v>3657</v>
      </c>
      <c r="C1153" s="30" t="str">
        <f>IFERROR(_xlfn.XLOOKUP(B1153,Equipo[DESCRIPCION],Equipo[UND],,0),"")</f>
        <v>Día</v>
      </c>
      <c r="D1153" s="31">
        <v>1</v>
      </c>
      <c r="E1153" s="32">
        <f>IF(C1153="%MO",G1159,IFERROR(_xlfn.XLOOKUP($B1153,Equipo[DESCRIPCION],Equipo[VALOR],,0),""))</f>
        <v>56524.65</v>
      </c>
      <c r="F1153" s="33">
        <v>-40</v>
      </c>
      <c r="G1153" s="34">
        <f>IFERROR(IF(F1153&gt;=0,D1153*E1153*(1+F1153/100),ABS(D1153*E1153/F1153)),"")</f>
        <v>1413.11625</v>
      </c>
      <c r="H1153" s="43">
        <f>IFERROR(G1153*E1144,"")</f>
        <v>0</v>
      </c>
    </row>
    <row r="1154" spans="1:11" ht="12.75" customHeight="1">
      <c r="A1154" s="28"/>
      <c r="B1154" s="29" t="s">
        <v>3570</v>
      </c>
      <c r="C1154" s="30" t="str">
        <f>IFERROR(_xlfn.XLOOKUP(B1154,Equipo[DESCRIPCION],Equipo[UND],,0),"")</f>
        <v>%MO</v>
      </c>
      <c r="D1154" s="31">
        <v>0.04</v>
      </c>
      <c r="E1154" s="32">
        <f>IF(C1154="%MO",G1159,IFERROR(_xlfn.XLOOKUP($B1154,Equipo[DESCRIPCION],Equipo[VALOR],,0),""))</f>
        <v>41918.766786000007</v>
      </c>
      <c r="F1154" s="33"/>
      <c r="G1154" s="34">
        <f>IFERROR(IF(F1154&gt;=0,D1154*E1154*(1+F1154/100),ABS(D1154*E1154/F1154)),"")</f>
        <v>1676.7506714400004</v>
      </c>
      <c r="H1154" s="43">
        <f>IFERROR(G1154*E1144,"")</f>
        <v>0</v>
      </c>
    </row>
    <row r="1155" spans="1:11" ht="12.75" customHeight="1">
      <c r="A1155" s="28"/>
      <c r="B1155" s="29" t="s">
        <v>3626</v>
      </c>
      <c r="C1155" s="30" t="str">
        <f>IFERROR(_xlfn.XLOOKUP(B1155,Equipo[DESCRIPCION],Equipo[UND],,0),"")</f>
        <v>%MO</v>
      </c>
      <c r="D1155" s="31">
        <v>0.05</v>
      </c>
      <c r="E1155" s="32">
        <f>IF(C1155="%MO",G1159,IFERROR(_xlfn.XLOOKUP($B1155,Equipo[DESCRIPCION],Equipo[VALOR],,0),""))</f>
        <v>41918.766786000007</v>
      </c>
      <c r="F1155" s="33"/>
      <c r="G1155" s="34">
        <f>IFERROR(IF(F1155&gt;=0,D1155*E1155*(1+F1155/100),ABS(D1155*E1155/F1155)),"")</f>
        <v>2095.9383393000003</v>
      </c>
      <c r="H1155" s="43">
        <f>IFERROR(G1155*E1144,"")</f>
        <v>0</v>
      </c>
    </row>
    <row r="1156" spans="1:11" ht="12.75" customHeight="1">
      <c r="A1156" s="21"/>
      <c r="B1156" s="22" t="s">
        <v>2533</v>
      </c>
      <c r="C1156" s="23"/>
      <c r="D1156" s="24"/>
      <c r="E1156" s="25"/>
      <c r="F1156" s="26"/>
      <c r="G1156" s="27">
        <f>SUM(G1157:G1158)</f>
        <v>0</v>
      </c>
      <c r="H1156" s="44">
        <f>G1156*E1144</f>
        <v>0</v>
      </c>
    </row>
    <row r="1157" spans="1:11" ht="12.75" customHeight="1">
      <c r="A1157" s="28"/>
      <c r="B1157" s="29"/>
      <c r="C1157" s="30" t="str">
        <f>IFERROR(_xlfn.XLOOKUP(B1157,Transporte[DESCRIPCION],Transporte[UND],,0),"")</f>
        <v/>
      </c>
      <c r="D1157" s="31"/>
      <c r="E1157" s="32" t="str">
        <f>IFERROR(_xlfn.XLOOKUP($B1157,Transporte[DESCRIPCION],Transporte[VALOR],,0),"")</f>
        <v/>
      </c>
      <c r="F1157" s="33"/>
      <c r="G1157" s="34" t="str">
        <f>IFERROR(IF(F1157&gt;=0,D1157*E1157*(1+F1157/100),ABS(D1157*E1157/F1157)),"")</f>
        <v/>
      </c>
      <c r="H1157" s="43" t="str">
        <f>IFERROR(G1157*E1144,"")</f>
        <v/>
      </c>
    </row>
    <row r="1158" spans="1:11" ht="12.75" customHeight="1">
      <c r="A1158" s="28"/>
      <c r="B1158" s="29"/>
      <c r="C1158" s="30" t="str">
        <f>IFERROR(_xlfn.XLOOKUP(B1158,Transporte[DESCRIPCION],Transporte[UND],,0),"")</f>
        <v/>
      </c>
      <c r="D1158" s="31"/>
      <c r="E1158" s="32" t="str">
        <f>IFERROR(_xlfn.XLOOKUP($B1158,Transporte[DESCRIPCION],Transporte[VALOR],,0),"")</f>
        <v/>
      </c>
      <c r="F1158" s="33"/>
      <c r="G1158" s="34" t="str">
        <f>IFERROR(IF(F1158&gt;=0,D1158*E1158*(1+F1158/100),ABS(D1158*E1158/F1158)),"")</f>
        <v/>
      </c>
      <c r="H1158" s="43" t="str">
        <f>IFERROR(G1158*E1144,"")</f>
        <v/>
      </c>
    </row>
    <row r="1159" spans="1:11" ht="12.75" customHeight="1">
      <c r="A1159" s="21"/>
      <c r="B1159" s="22" t="s">
        <v>3732</v>
      </c>
      <c r="C1159" s="23"/>
      <c r="D1159" s="24"/>
      <c r="E1159" s="25"/>
      <c r="F1159" s="26"/>
      <c r="G1159" s="27">
        <f>SUM(G1160:G1162)</f>
        <v>41918.766786000007</v>
      </c>
      <c r="H1159" s="44">
        <f>G1159*E1144</f>
        <v>0</v>
      </c>
    </row>
    <row r="1160" spans="1:11" ht="12.75" customHeight="1">
      <c r="A1160" s="28"/>
      <c r="B1160" s="29" t="s">
        <v>3710</v>
      </c>
      <c r="C1160" s="30" t="str">
        <f>IFERROR(_xlfn.XLOOKUP(B1160,MObra[DESCRIPCION],MObra[UN],,0),"")</f>
        <v>día</v>
      </c>
      <c r="D1160" s="31">
        <v>1</v>
      </c>
      <c r="E1160" s="32">
        <f>IFERROR(_xlfn.XLOOKUP($B1160,MObra[DESCRIPCION],MObra[VALOR UNIT],,0),"")</f>
        <v>314390.75089500006</v>
      </c>
      <c r="F1160" s="33">
        <v>-7.5</v>
      </c>
      <c r="G1160" s="34">
        <f>IFERROR(IF(F1160&gt;=0,D1160*E1160*(1+F1160/100),ABS(D1160*E1160/F1160)),"")</f>
        <v>41918.766786000007</v>
      </c>
      <c r="H1160" s="43">
        <f>IFERROR(G1160*E1144,"")</f>
        <v>0</v>
      </c>
    </row>
    <row r="1161" spans="1:11" ht="12.75" customHeight="1">
      <c r="A1161" s="28"/>
      <c r="B1161" s="29"/>
      <c r="C1161" s="30" t="str">
        <f t="array" ref="C1161">IFERROR(_xlfn.XLOOKUP(B1161,MObra[[#All],[DESCRIPCION]],MObra[[#All],[UN]],,0),"")</f>
        <v/>
      </c>
      <c r="D1161" s="31"/>
      <c r="E1161" s="32" t="str">
        <f>IFERROR(_xlfn.XLOOKUP($B1161,MObra[DESCRIPCION],MObra[VALOR UNIT],,0),"")</f>
        <v/>
      </c>
      <c r="F1161" s="33"/>
      <c r="G1161" s="34" t="str">
        <f>IFERROR(IF(F1161&gt;=0,D1161*E1161*(1+F1161/100),ABS(D1161*E1161/F1161)),"")</f>
        <v/>
      </c>
      <c r="H1161" s="43" t="str">
        <f>IFERROR(G1161*E1144,"")</f>
        <v/>
      </c>
    </row>
    <row r="1162" spans="1:11" ht="12.75" customHeight="1" thickBot="1">
      <c r="A1162" s="35"/>
      <c r="B1162" s="36"/>
      <c r="C1162" s="37" t="str">
        <f t="array" ref="C1162">IFERROR(_xlfn.XLOOKUP(B1162,MObra[[#All],[DESCRIPCION]],MObra[[#All],[UN]],,0),"")</f>
        <v/>
      </c>
      <c r="D1162" s="38"/>
      <c r="E1162" s="39" t="str">
        <f>IFERROR(_xlfn.XLOOKUP($B1162,MObra[DESCRIPCION],MObra[VALOR UNIT],,0),"")</f>
        <v/>
      </c>
      <c r="F1162" s="40"/>
      <c r="G1162" s="41" t="str">
        <f>IFERROR(IF(F1162&gt;=0,D1162*E1162*(1+F1162/100),ABS(D1162*E1162/F1162)),"")</f>
        <v/>
      </c>
      <c r="H1162" s="42" t="str">
        <f>IFERROR(G1162*E1144,"")</f>
        <v/>
      </c>
    </row>
    <row r="1163" spans="1:11" ht="12.75" customHeight="1" thickTop="1" thickBot="1"/>
    <row r="1164" spans="1:11" ht="12.75" customHeight="1" thickTop="1" thickBot="1">
      <c r="A1164" s="6" t="s">
        <v>425</v>
      </c>
      <c r="B1164" s="7" t="str">
        <f>VLOOKUP($A1164,Presupuesto!$A:$D,2,FALSE())</f>
        <v>Escala concreto 20.7 Mpa E= 0.15 m estructural</v>
      </c>
      <c r="C1164" s="8" t="str">
        <f>VLOOKUP($A1164,Presupuesto!$A:$D,3,FALSE())</f>
        <v>M2</v>
      </c>
      <c r="D1164" s="9"/>
      <c r="E1164" s="10">
        <f>VLOOKUP($A1164,Presupuesto!$A:$D,4,FALSE())</f>
        <v>0</v>
      </c>
      <c r="F1164" s="11" t="s">
        <v>2589</v>
      </c>
      <c r="G1164" s="12">
        <f>SUM(G1166:G1182)/2</f>
        <v>366074.00383923535</v>
      </c>
      <c r="H1164" s="13">
        <f>ROUND(SUM(H1166:H1182),0)/2</f>
        <v>0</v>
      </c>
      <c r="I1164" s="10">
        <f>VLOOKUP(A1164,Presupuesto!$A:$F,6,0)</f>
        <v>0</v>
      </c>
      <c r="J1164" s="10">
        <f>+H1164-I1164</f>
        <v>0</v>
      </c>
      <c r="K1164" s="46">
        <f>+H1164-G1164*E1164</f>
        <v>0</v>
      </c>
    </row>
    <row r="1165" spans="1:11" ht="12.75" customHeight="1" thickTop="1">
      <c r="A1165" s="14"/>
      <c r="B1165" s="15" t="s">
        <v>2586</v>
      </c>
      <c r="C1165" s="15" t="s">
        <v>5</v>
      </c>
      <c r="D1165" s="16" t="s">
        <v>6</v>
      </c>
      <c r="E1165" s="17" t="s">
        <v>7</v>
      </c>
      <c r="F1165" s="18" t="s">
        <v>3728</v>
      </c>
      <c r="G1165" s="19" t="s">
        <v>3729</v>
      </c>
      <c r="H1165" s="20" t="s">
        <v>3797</v>
      </c>
    </row>
    <row r="1166" spans="1:11" ht="12.75" customHeight="1">
      <c r="A1166" s="21"/>
      <c r="B1166" s="22" t="s">
        <v>3730</v>
      </c>
      <c r="C1166" s="23"/>
      <c r="D1166" s="24"/>
      <c r="E1166" s="25"/>
      <c r="F1166" s="26"/>
      <c r="G1166" s="27">
        <f>SUM(G1167:G1171)</f>
        <v>307546.5678433103</v>
      </c>
      <c r="H1166" s="27">
        <f>IFERROR(G1166*E1164,"")</f>
        <v>0</v>
      </c>
    </row>
    <row r="1167" spans="1:11" ht="12.75" customHeight="1">
      <c r="A1167" s="28"/>
      <c r="B1167" s="29" t="s">
        <v>3239</v>
      </c>
      <c r="C1167" s="30" t="str">
        <f>IFERROR(_xlfn.XLOOKUP(B1167,Insumo[DESCRIPCION],Insumo[UND],,0),"")</f>
        <v>M3</v>
      </c>
      <c r="D1167" s="31">
        <v>0.31</v>
      </c>
      <c r="E1167" s="32">
        <f>IFERROR(_xlfn.XLOOKUP($B1167,Insumo[DESCRIPCION],Insumo[VALOR],,0),"")</f>
        <v>521159.50227762427</v>
      </c>
      <c r="F1167" s="33">
        <v>5</v>
      </c>
      <c r="G1167" s="34">
        <f>IFERROR(IF(F1167&gt;=0,D1167*E1167*(1+F1167/100),ABS(D1167*E1167/F1167)),"")</f>
        <v>169637.4179913667</v>
      </c>
      <c r="H1167" s="43">
        <f>IFERROR(G1167*E1164,"")</f>
        <v>0</v>
      </c>
    </row>
    <row r="1168" spans="1:11" ht="12.75" customHeight="1">
      <c r="A1168" s="28"/>
      <c r="B1168" s="29" t="s">
        <v>2954</v>
      </c>
      <c r="C1168" s="30" t="str">
        <f>IFERROR(_xlfn.XLOOKUP(B1168,Insumo[DESCRIPCION],Insumo[UND],,0),"")</f>
        <v>M2</v>
      </c>
      <c r="D1168" s="31">
        <v>1.35</v>
      </c>
      <c r="E1168" s="32">
        <f>IFERROR(_xlfn.XLOOKUP($B1168,Insumo[DESCRIPCION],Insumo[VALOR],,0),"")</f>
        <v>102154.92581625449</v>
      </c>
      <c r="F1168" s="33"/>
      <c r="G1168" s="34">
        <f>IFERROR(IF(F1168&gt;=0,D1168*E1168*(1+F1168/100),ABS(D1168*E1168/F1168)),"")</f>
        <v>137909.14985194357</v>
      </c>
      <c r="H1168" s="43">
        <f>IFERROR(G1168*E1164,"")</f>
        <v>0</v>
      </c>
    </row>
    <row r="1169" spans="1:11" ht="12.75" customHeight="1">
      <c r="A1169" s="28"/>
      <c r="B1169" s="29"/>
      <c r="C1169" s="30" t="str">
        <f>IFERROR(_xlfn.XLOOKUP(B1169,Insumo[DESCRIPCION],Insumo[UND],,0),"")</f>
        <v/>
      </c>
      <c r="D1169" s="31"/>
      <c r="E1169" s="32" t="str">
        <f>IFERROR(_xlfn.XLOOKUP($B1169,Insumo[DESCRIPCION],Insumo[VALOR],,0),"")</f>
        <v/>
      </c>
      <c r="F1169" s="33"/>
      <c r="G1169" s="34" t="str">
        <f>IFERROR(IF(F1169&gt;=0,D1169*E1169*(1+F1169/100),ABS(D1169*E1169/F1169)),"")</f>
        <v/>
      </c>
      <c r="H1169" s="43" t="str">
        <f>IFERROR(G1169*E1164,"")</f>
        <v/>
      </c>
    </row>
    <row r="1170" spans="1:11" ht="12.75" customHeight="1">
      <c r="A1170" s="28"/>
      <c r="B1170" s="29"/>
      <c r="C1170" s="30" t="str">
        <f>IFERROR(_xlfn.XLOOKUP(B1170,Insumo[DESCRIPCION],Insumo[UND],,0),"")</f>
        <v/>
      </c>
      <c r="D1170" s="31"/>
      <c r="E1170" s="32" t="str">
        <f>IFERROR(_xlfn.XLOOKUP($B1170,Insumo[DESCRIPCION],Insumo[VALOR],,0),"")</f>
        <v/>
      </c>
      <c r="F1170" s="33"/>
      <c r="G1170" s="34" t="str">
        <f>IFERROR(IF(F1170&gt;=0,D1170*E1170*(1+F1170/100),ABS(D1170*E1170/F1170)),"")</f>
        <v/>
      </c>
      <c r="H1170" s="43" t="str">
        <f>IFERROR(G1170*E1164,"")</f>
        <v/>
      </c>
    </row>
    <row r="1171" spans="1:11" ht="12.75" customHeight="1">
      <c r="A1171" s="28"/>
      <c r="B1171" s="29"/>
      <c r="C1171" s="30" t="str">
        <f>IFERROR(_xlfn.XLOOKUP(B1171,Insumo[DESCRIPCION],Insumo[UND],,0),"")</f>
        <v/>
      </c>
      <c r="D1171" s="31"/>
      <c r="E1171" s="32" t="str">
        <f>IFERROR(_xlfn.XLOOKUP($B1171,Insumo[DESCRIPCION],Insumo[VALOR],,0),"")</f>
        <v/>
      </c>
      <c r="F1171" s="33"/>
      <c r="G1171" s="34" t="str">
        <f>IFERROR(IF(F1171&gt;=0,D1171*E1171*(1+F1171/100),ABS(D1171*E1171/F1171)),"")</f>
        <v/>
      </c>
      <c r="H1171" s="43" t="str">
        <f>IFERROR(G1171*E1164,"")</f>
        <v/>
      </c>
    </row>
    <row r="1172" spans="1:11" ht="12.75" customHeight="1">
      <c r="A1172" s="21"/>
      <c r="B1172" s="22" t="s">
        <v>3731</v>
      </c>
      <c r="C1172" s="23"/>
      <c r="D1172" s="24"/>
      <c r="E1172" s="25"/>
      <c r="F1172" s="26"/>
      <c r="G1172" s="27">
        <f>SUM(G1173:G1175)</f>
        <v>6128.9775134250012</v>
      </c>
      <c r="H1172" s="44">
        <f>G1172*E1164</f>
        <v>0</v>
      </c>
    </row>
    <row r="1173" spans="1:11" ht="12.75" customHeight="1">
      <c r="A1173" s="28"/>
      <c r="B1173" s="29" t="s">
        <v>3657</v>
      </c>
      <c r="C1173" s="30" t="str">
        <f>IFERROR(_xlfn.XLOOKUP(B1173,Equipo[DESCRIPCION],Equipo[UND],,0),"")</f>
        <v>Día</v>
      </c>
      <c r="D1173" s="31">
        <v>1</v>
      </c>
      <c r="E1173" s="32">
        <f>IF(C1173="%MO",G1179,IFERROR(_xlfn.XLOOKUP($B1173,Equipo[DESCRIPCION],Equipo[VALOR],,0),""))</f>
        <v>56524.65</v>
      </c>
      <c r="F1173" s="33">
        <v>-40</v>
      </c>
      <c r="G1173" s="34">
        <f>IFERROR(IF(F1173&gt;=0,D1173*E1173*(1+F1173/100),ABS(D1173*E1173/F1173)),"")</f>
        <v>1413.11625</v>
      </c>
      <c r="H1173" s="43">
        <f>IFERROR(G1173*E1164,"")</f>
        <v>0</v>
      </c>
    </row>
    <row r="1174" spans="1:11" ht="12.75" customHeight="1">
      <c r="A1174" s="28"/>
      <c r="B1174" s="29" t="s">
        <v>3570</v>
      </c>
      <c r="C1174" s="30" t="str">
        <f>IFERROR(_xlfn.XLOOKUP(B1174,Equipo[DESCRIPCION],Equipo[UND],,0),"")</f>
        <v>%MO</v>
      </c>
      <c r="D1174" s="31">
        <v>0.04</v>
      </c>
      <c r="E1174" s="32">
        <f>IF(C1174="%MO",G1179,IFERROR(_xlfn.XLOOKUP($B1174,Equipo[DESCRIPCION],Equipo[VALOR],,0),""))</f>
        <v>52398.458482500013</v>
      </c>
      <c r="F1174" s="33"/>
      <c r="G1174" s="34">
        <f>IFERROR(IF(F1174&gt;=0,D1174*E1174*(1+F1174/100),ABS(D1174*E1174/F1174)),"")</f>
        <v>2095.9383393000007</v>
      </c>
      <c r="H1174" s="43">
        <f>IFERROR(G1174*E1164,"")</f>
        <v>0</v>
      </c>
    </row>
    <row r="1175" spans="1:11" ht="12.75" customHeight="1">
      <c r="A1175" s="28"/>
      <c r="B1175" s="29" t="s">
        <v>3626</v>
      </c>
      <c r="C1175" s="30" t="str">
        <f>IFERROR(_xlfn.XLOOKUP(B1175,Equipo[DESCRIPCION],Equipo[UND],,0),"")</f>
        <v>%MO</v>
      </c>
      <c r="D1175" s="31">
        <v>0.05</v>
      </c>
      <c r="E1175" s="32">
        <f>IF(C1175="%MO",G1179,IFERROR(_xlfn.XLOOKUP($B1175,Equipo[DESCRIPCION],Equipo[VALOR],,0),""))</f>
        <v>52398.458482500013</v>
      </c>
      <c r="F1175" s="33"/>
      <c r="G1175" s="34">
        <f>IFERROR(IF(F1175&gt;=0,D1175*E1175*(1+F1175/100),ABS(D1175*E1175/F1175)),"")</f>
        <v>2619.9229241250009</v>
      </c>
      <c r="H1175" s="43">
        <f>IFERROR(G1175*E1164,"")</f>
        <v>0</v>
      </c>
    </row>
    <row r="1176" spans="1:11" ht="12.75" customHeight="1">
      <c r="A1176" s="21"/>
      <c r="B1176" s="22" t="s">
        <v>2533</v>
      </c>
      <c r="C1176" s="23"/>
      <c r="D1176" s="24"/>
      <c r="E1176" s="25"/>
      <c r="F1176" s="26"/>
      <c r="G1176" s="27">
        <f>SUM(G1177:G1178)</f>
        <v>0</v>
      </c>
      <c r="H1176" s="44">
        <f>G1176*E1164</f>
        <v>0</v>
      </c>
    </row>
    <row r="1177" spans="1:11" ht="12.75" customHeight="1">
      <c r="A1177" s="28"/>
      <c r="B1177" s="29"/>
      <c r="C1177" s="30" t="str">
        <f>IFERROR(_xlfn.XLOOKUP(B1177,Transporte[DESCRIPCION],Transporte[UND],,0),"")</f>
        <v/>
      </c>
      <c r="D1177" s="31"/>
      <c r="E1177" s="32" t="str">
        <f>IFERROR(_xlfn.XLOOKUP($B1177,Transporte[DESCRIPCION],Transporte[VALOR],,0),"")</f>
        <v/>
      </c>
      <c r="F1177" s="33"/>
      <c r="G1177" s="34" t="str">
        <f>IFERROR(IF(F1177&gt;=0,D1177*E1177*(1+F1177/100),ABS(D1177*E1177/F1177)),"")</f>
        <v/>
      </c>
      <c r="H1177" s="43" t="str">
        <f>IFERROR(G1177*E1164,"")</f>
        <v/>
      </c>
    </row>
    <row r="1178" spans="1:11" ht="12.75" customHeight="1">
      <c r="A1178" s="28"/>
      <c r="B1178" s="29"/>
      <c r="C1178" s="30" t="str">
        <f>IFERROR(_xlfn.XLOOKUP(B1178,Transporte[DESCRIPCION],Transporte[UND],,0),"")</f>
        <v/>
      </c>
      <c r="D1178" s="31"/>
      <c r="E1178" s="32" t="str">
        <f>IFERROR(_xlfn.XLOOKUP($B1178,Transporte[DESCRIPCION],Transporte[VALOR],,0),"")</f>
        <v/>
      </c>
      <c r="F1178" s="33"/>
      <c r="G1178" s="34" t="str">
        <f>IFERROR(IF(F1178&gt;=0,D1178*E1178*(1+F1178/100),ABS(D1178*E1178/F1178)),"")</f>
        <v/>
      </c>
      <c r="H1178" s="43" t="str">
        <f>IFERROR(G1178*E1164,"")</f>
        <v/>
      </c>
    </row>
    <row r="1179" spans="1:11" ht="12.75" customHeight="1">
      <c r="A1179" s="21"/>
      <c r="B1179" s="22" t="s">
        <v>3732</v>
      </c>
      <c r="C1179" s="23"/>
      <c r="D1179" s="24"/>
      <c r="E1179" s="25"/>
      <c r="F1179" s="26"/>
      <c r="G1179" s="27">
        <f>SUM(G1180:G1182)</f>
        <v>52398.458482500013</v>
      </c>
      <c r="H1179" s="44">
        <f>G1179*E1164</f>
        <v>0</v>
      </c>
    </row>
    <row r="1180" spans="1:11" ht="12.75" customHeight="1">
      <c r="A1180" s="28"/>
      <c r="B1180" s="29" t="s">
        <v>3710</v>
      </c>
      <c r="C1180" s="30" t="str">
        <f>IFERROR(_xlfn.XLOOKUP(B1180,MObra[DESCRIPCION],MObra[UN],,0),"")</f>
        <v>día</v>
      </c>
      <c r="D1180" s="31">
        <v>1</v>
      </c>
      <c r="E1180" s="32">
        <f>IFERROR(_xlfn.XLOOKUP($B1180,MObra[DESCRIPCION],MObra[VALOR UNIT],,0),"")</f>
        <v>314390.75089500006</v>
      </c>
      <c r="F1180" s="33">
        <v>-6</v>
      </c>
      <c r="G1180" s="34">
        <f>IFERROR(IF(F1180&gt;=0,D1180*E1180*(1+F1180/100),ABS(D1180*E1180/F1180)),"")</f>
        <v>52398.458482500013</v>
      </c>
      <c r="H1180" s="43">
        <f>IFERROR(G1180*E1164,"")</f>
        <v>0</v>
      </c>
    </row>
    <row r="1181" spans="1:11" ht="12.75" customHeight="1">
      <c r="A1181" s="28"/>
      <c r="B1181" s="29"/>
      <c r="C1181" s="30" t="str">
        <f t="array" ref="C1181">IFERROR(_xlfn.XLOOKUP(B1181,MObra[[#All],[DESCRIPCION]],MObra[[#All],[UN]],,0),"")</f>
        <v/>
      </c>
      <c r="D1181" s="31"/>
      <c r="E1181" s="32" t="str">
        <f>IFERROR(_xlfn.XLOOKUP($B1181,MObra[DESCRIPCION],MObra[VALOR UNIT],,0),"")</f>
        <v/>
      </c>
      <c r="F1181" s="33"/>
      <c r="G1181" s="34" t="str">
        <f>IFERROR(IF(F1181&gt;=0,D1181*E1181*(1+F1181/100),ABS(D1181*E1181/F1181)),"")</f>
        <v/>
      </c>
      <c r="H1181" s="43" t="str">
        <f>IFERROR(G1181*E1164,"")</f>
        <v/>
      </c>
    </row>
    <row r="1182" spans="1:11" ht="12.75" customHeight="1" thickBot="1">
      <c r="A1182" s="35"/>
      <c r="B1182" s="36"/>
      <c r="C1182" s="37" t="str">
        <f t="array" ref="C1182">IFERROR(_xlfn.XLOOKUP(B1182,MObra[[#All],[DESCRIPCION]],MObra[[#All],[UN]],,0),"")</f>
        <v/>
      </c>
      <c r="D1182" s="38"/>
      <c r="E1182" s="39" t="str">
        <f>IFERROR(_xlfn.XLOOKUP($B1182,MObra[DESCRIPCION],MObra[VALOR UNIT],,0),"")</f>
        <v/>
      </c>
      <c r="F1182" s="40"/>
      <c r="G1182" s="41" t="str">
        <f>IFERROR(IF(F1182&gt;=0,D1182*E1182*(1+F1182/100),ABS(D1182*E1182/F1182)),"")</f>
        <v/>
      </c>
      <c r="H1182" s="42" t="str">
        <f>IFERROR(G1182*E1164,"")</f>
        <v/>
      </c>
    </row>
    <row r="1183" spans="1:11" ht="12.75" customHeight="1" thickTop="1" thickBot="1"/>
    <row r="1184" spans="1:11" ht="12.75" customHeight="1" thickTop="1" thickBot="1">
      <c r="A1184" s="6" t="s">
        <v>427</v>
      </c>
      <c r="B1184" s="7" t="str">
        <f>VLOOKUP($A1184,Presupuesto!$A:$D,2,FALSE())</f>
        <v>Escala concreto 20.7 Mpa E= 0.20 m estructural</v>
      </c>
      <c r="C1184" s="8" t="str">
        <f>VLOOKUP($A1184,Presupuesto!$A:$D,3,FALSE())</f>
        <v>M2</v>
      </c>
      <c r="D1184" s="9"/>
      <c r="E1184" s="10">
        <f>VLOOKUP($A1184,Presupuesto!$A:$D,4,FALSE())</f>
        <v>0</v>
      </c>
      <c r="F1184" s="11" t="s">
        <v>2589</v>
      </c>
      <c r="G1184" s="12">
        <f>SUM(G1186:G1202)/2</f>
        <v>393434.87770881056</v>
      </c>
      <c r="H1184" s="13">
        <f>ROUND(SUM(H1186:H1202),0)/2</f>
        <v>0</v>
      </c>
      <c r="I1184" s="10">
        <f>VLOOKUP(A1184,Presupuesto!$A:$F,6,0)</f>
        <v>0</v>
      </c>
      <c r="J1184" s="10">
        <f>+H1184-I1184</f>
        <v>0</v>
      </c>
      <c r="K1184" s="46">
        <f>+H1184-G1184*E1184</f>
        <v>0</v>
      </c>
    </row>
    <row r="1185" spans="1:8" ht="12.75" customHeight="1" thickTop="1">
      <c r="A1185" s="14"/>
      <c r="B1185" s="15" t="s">
        <v>2586</v>
      </c>
      <c r="C1185" s="15" t="s">
        <v>5</v>
      </c>
      <c r="D1185" s="16" t="s">
        <v>6</v>
      </c>
      <c r="E1185" s="17" t="s">
        <v>7</v>
      </c>
      <c r="F1185" s="18" t="s">
        <v>3728</v>
      </c>
      <c r="G1185" s="19" t="s">
        <v>3729</v>
      </c>
      <c r="H1185" s="20" t="s">
        <v>3797</v>
      </c>
    </row>
    <row r="1186" spans="1:8" ht="12.75" customHeight="1">
      <c r="A1186" s="21"/>
      <c r="B1186" s="22" t="s">
        <v>3730</v>
      </c>
      <c r="C1186" s="23"/>
      <c r="D1186" s="24"/>
      <c r="E1186" s="25"/>
      <c r="F1186" s="26"/>
      <c r="G1186" s="27">
        <f>SUM(G1187:G1191)</f>
        <v>334907.44171288551</v>
      </c>
      <c r="H1186" s="27">
        <f>IFERROR(G1186*E1184,"")</f>
        <v>0</v>
      </c>
    </row>
    <row r="1187" spans="1:8" ht="12.75" customHeight="1">
      <c r="A1187" s="28"/>
      <c r="B1187" s="29" t="s">
        <v>3239</v>
      </c>
      <c r="C1187" s="30" t="str">
        <f>IFERROR(_xlfn.XLOOKUP(B1187,Insumo[DESCRIPCION],Insumo[UND],,0),"")</f>
        <v>M3</v>
      </c>
      <c r="D1187" s="31">
        <v>0.36</v>
      </c>
      <c r="E1187" s="32">
        <f>IFERROR(_xlfn.XLOOKUP($B1187,Insumo[DESCRIPCION],Insumo[VALOR],,0),"")</f>
        <v>521159.50227762427</v>
      </c>
      <c r="F1187" s="33">
        <v>5</v>
      </c>
      <c r="G1187" s="34">
        <f>IFERROR(IF(F1187&gt;=0,D1187*E1187*(1+F1187/100),ABS(D1187*E1187/F1187)),"")</f>
        <v>196998.29186094197</v>
      </c>
      <c r="H1187" s="43">
        <f>IFERROR(G1187*E1184,"")</f>
        <v>0</v>
      </c>
    </row>
    <row r="1188" spans="1:8" ht="12.75" customHeight="1">
      <c r="A1188" s="28"/>
      <c r="B1188" s="29" t="s">
        <v>2954</v>
      </c>
      <c r="C1188" s="30" t="str">
        <f>IFERROR(_xlfn.XLOOKUP(B1188,Insumo[DESCRIPCION],Insumo[UND],,0),"")</f>
        <v>M2</v>
      </c>
      <c r="D1188" s="31">
        <v>1.35</v>
      </c>
      <c r="E1188" s="32">
        <f>IFERROR(_xlfn.XLOOKUP($B1188,Insumo[DESCRIPCION],Insumo[VALOR],,0),"")</f>
        <v>102154.92581625449</v>
      </c>
      <c r="F1188" s="33"/>
      <c r="G1188" s="34">
        <f>IFERROR(IF(F1188&gt;=0,D1188*E1188*(1+F1188/100),ABS(D1188*E1188/F1188)),"")</f>
        <v>137909.14985194357</v>
      </c>
      <c r="H1188" s="43">
        <f>IFERROR(G1188*E1184,"")</f>
        <v>0</v>
      </c>
    </row>
    <row r="1189" spans="1:8" ht="12.75" customHeight="1">
      <c r="A1189" s="28"/>
      <c r="B1189" s="29"/>
      <c r="C1189" s="30" t="str">
        <f>IFERROR(_xlfn.XLOOKUP(B1189,Insumo[DESCRIPCION],Insumo[UND],,0),"")</f>
        <v/>
      </c>
      <c r="D1189" s="31"/>
      <c r="E1189" s="32" t="str">
        <f>IFERROR(_xlfn.XLOOKUP($B1189,Insumo[DESCRIPCION],Insumo[VALOR],,0),"")</f>
        <v/>
      </c>
      <c r="F1189" s="33"/>
      <c r="G1189" s="34" t="str">
        <f>IFERROR(IF(F1189&gt;=0,D1189*E1189*(1+F1189/100),ABS(D1189*E1189/F1189)),"")</f>
        <v/>
      </c>
      <c r="H1189" s="43" t="str">
        <f>IFERROR(G1189*E1184,"")</f>
        <v/>
      </c>
    </row>
    <row r="1190" spans="1:8" ht="12.75" customHeight="1">
      <c r="A1190" s="28"/>
      <c r="B1190" s="29"/>
      <c r="C1190" s="30" t="str">
        <f>IFERROR(_xlfn.XLOOKUP(B1190,Insumo[DESCRIPCION],Insumo[UND],,0),"")</f>
        <v/>
      </c>
      <c r="D1190" s="31"/>
      <c r="E1190" s="32" t="str">
        <f>IFERROR(_xlfn.XLOOKUP($B1190,Insumo[DESCRIPCION],Insumo[VALOR],,0),"")</f>
        <v/>
      </c>
      <c r="F1190" s="33"/>
      <c r="G1190" s="34" t="str">
        <f>IFERROR(IF(F1190&gt;=0,D1190*E1190*(1+F1190/100),ABS(D1190*E1190/F1190)),"")</f>
        <v/>
      </c>
      <c r="H1190" s="43" t="str">
        <f>IFERROR(G1190*E1184,"")</f>
        <v/>
      </c>
    </row>
    <row r="1191" spans="1:8" ht="12.75" customHeight="1">
      <c r="A1191" s="28"/>
      <c r="B1191" s="29"/>
      <c r="C1191" s="30" t="str">
        <f>IFERROR(_xlfn.XLOOKUP(B1191,Insumo[DESCRIPCION],Insumo[UND],,0),"")</f>
        <v/>
      </c>
      <c r="D1191" s="31"/>
      <c r="E1191" s="32" t="str">
        <f>IFERROR(_xlfn.XLOOKUP($B1191,Insumo[DESCRIPCION],Insumo[VALOR],,0),"")</f>
        <v/>
      </c>
      <c r="F1191" s="33"/>
      <c r="G1191" s="34" t="str">
        <f>IFERROR(IF(F1191&gt;=0,D1191*E1191*(1+F1191/100),ABS(D1191*E1191/F1191)),"")</f>
        <v/>
      </c>
      <c r="H1191" s="43" t="str">
        <f>IFERROR(G1191*E1184,"")</f>
        <v/>
      </c>
    </row>
    <row r="1192" spans="1:8" ht="12.75" customHeight="1">
      <c r="A1192" s="21"/>
      <c r="B1192" s="22" t="s">
        <v>3731</v>
      </c>
      <c r="C1192" s="23"/>
      <c r="D1192" s="24"/>
      <c r="E1192" s="25"/>
      <c r="F1192" s="26"/>
      <c r="G1192" s="27">
        <f>SUM(G1193:G1195)</f>
        <v>6128.9775134250012</v>
      </c>
      <c r="H1192" s="44">
        <f>G1192*E1184</f>
        <v>0</v>
      </c>
    </row>
    <row r="1193" spans="1:8" ht="12.75" customHeight="1">
      <c r="A1193" s="28"/>
      <c r="B1193" s="29" t="s">
        <v>3657</v>
      </c>
      <c r="C1193" s="30" t="str">
        <f>IFERROR(_xlfn.XLOOKUP(B1193,Equipo[DESCRIPCION],Equipo[UND],,0),"")</f>
        <v>Día</v>
      </c>
      <c r="D1193" s="31">
        <v>1</v>
      </c>
      <c r="E1193" s="32">
        <f>IF(C1193="%MO",G1199,IFERROR(_xlfn.XLOOKUP($B1193,Equipo[DESCRIPCION],Equipo[VALOR],,0),""))</f>
        <v>56524.65</v>
      </c>
      <c r="F1193" s="33">
        <v>-40</v>
      </c>
      <c r="G1193" s="34">
        <f>IFERROR(IF(F1193&gt;=0,D1193*E1193*(1+F1193/100),ABS(D1193*E1193/F1193)),"")</f>
        <v>1413.11625</v>
      </c>
      <c r="H1193" s="43">
        <f>IFERROR(G1193*E1184,"")</f>
        <v>0</v>
      </c>
    </row>
    <row r="1194" spans="1:8" ht="12.75" customHeight="1">
      <c r="A1194" s="28"/>
      <c r="B1194" s="29" t="s">
        <v>3570</v>
      </c>
      <c r="C1194" s="30" t="str">
        <f>IFERROR(_xlfn.XLOOKUP(B1194,Equipo[DESCRIPCION],Equipo[UND],,0),"")</f>
        <v>%MO</v>
      </c>
      <c r="D1194" s="31">
        <v>0.04</v>
      </c>
      <c r="E1194" s="32">
        <f>IF(C1194="%MO",G1199,IFERROR(_xlfn.XLOOKUP($B1194,Equipo[DESCRIPCION],Equipo[VALOR],,0),""))</f>
        <v>52398.458482500013</v>
      </c>
      <c r="F1194" s="33"/>
      <c r="G1194" s="34">
        <f>IFERROR(IF(F1194&gt;=0,D1194*E1194*(1+F1194/100),ABS(D1194*E1194/F1194)),"")</f>
        <v>2095.9383393000007</v>
      </c>
      <c r="H1194" s="43">
        <f>IFERROR(G1194*E1184,"")</f>
        <v>0</v>
      </c>
    </row>
    <row r="1195" spans="1:8" ht="12.75" customHeight="1">
      <c r="A1195" s="28"/>
      <c r="B1195" s="29" t="s">
        <v>3626</v>
      </c>
      <c r="C1195" s="30" t="str">
        <f>IFERROR(_xlfn.XLOOKUP(B1195,Equipo[DESCRIPCION],Equipo[UND],,0),"")</f>
        <v>%MO</v>
      </c>
      <c r="D1195" s="31">
        <v>0.05</v>
      </c>
      <c r="E1195" s="32">
        <f>IF(C1195="%MO",G1199,IFERROR(_xlfn.XLOOKUP($B1195,Equipo[DESCRIPCION],Equipo[VALOR],,0),""))</f>
        <v>52398.458482500013</v>
      </c>
      <c r="F1195" s="33"/>
      <c r="G1195" s="34">
        <f>IFERROR(IF(F1195&gt;=0,D1195*E1195*(1+F1195/100),ABS(D1195*E1195/F1195)),"")</f>
        <v>2619.9229241250009</v>
      </c>
      <c r="H1195" s="43">
        <f>IFERROR(G1195*E1184,"")</f>
        <v>0</v>
      </c>
    </row>
    <row r="1196" spans="1:8" ht="12.75" customHeight="1">
      <c r="A1196" s="21"/>
      <c r="B1196" s="22" t="s">
        <v>2533</v>
      </c>
      <c r="C1196" s="23"/>
      <c r="D1196" s="24"/>
      <c r="E1196" s="25"/>
      <c r="F1196" s="26"/>
      <c r="G1196" s="27">
        <f>SUM(G1197:G1198)</f>
        <v>0</v>
      </c>
      <c r="H1196" s="44">
        <f>G1196*E1184</f>
        <v>0</v>
      </c>
    </row>
    <row r="1197" spans="1:8" ht="12.75" customHeight="1">
      <c r="A1197" s="28"/>
      <c r="B1197" s="29"/>
      <c r="C1197" s="30" t="str">
        <f>IFERROR(_xlfn.XLOOKUP(B1197,Transporte[DESCRIPCION],Transporte[UND],,0),"")</f>
        <v/>
      </c>
      <c r="D1197" s="31"/>
      <c r="E1197" s="32" t="str">
        <f>IFERROR(_xlfn.XLOOKUP($B1197,Transporte[DESCRIPCION],Transporte[VALOR],,0),"")</f>
        <v/>
      </c>
      <c r="F1197" s="33"/>
      <c r="G1197" s="34" t="str">
        <f>IFERROR(IF(F1197&gt;=0,D1197*E1197*(1+F1197/100),ABS(D1197*E1197/F1197)),"")</f>
        <v/>
      </c>
      <c r="H1197" s="43" t="str">
        <f>IFERROR(G1197*E1184,"")</f>
        <v/>
      </c>
    </row>
    <row r="1198" spans="1:8" ht="12.75" customHeight="1">
      <c r="A1198" s="28"/>
      <c r="B1198" s="29"/>
      <c r="C1198" s="30" t="str">
        <f>IFERROR(_xlfn.XLOOKUP(B1198,Transporte[DESCRIPCION],Transporte[UND],,0),"")</f>
        <v/>
      </c>
      <c r="D1198" s="31"/>
      <c r="E1198" s="32" t="str">
        <f>IFERROR(_xlfn.XLOOKUP($B1198,Transporte[DESCRIPCION],Transporte[VALOR],,0),"")</f>
        <v/>
      </c>
      <c r="F1198" s="33"/>
      <c r="G1198" s="34" t="str">
        <f>IFERROR(IF(F1198&gt;=0,D1198*E1198*(1+F1198/100),ABS(D1198*E1198/F1198)),"")</f>
        <v/>
      </c>
      <c r="H1198" s="43" t="str">
        <f>IFERROR(G1198*E1184,"")</f>
        <v/>
      </c>
    </row>
    <row r="1199" spans="1:8" ht="12.75" customHeight="1">
      <c r="A1199" s="21"/>
      <c r="B1199" s="22" t="s">
        <v>3732</v>
      </c>
      <c r="C1199" s="23"/>
      <c r="D1199" s="24"/>
      <c r="E1199" s="25"/>
      <c r="F1199" s="26"/>
      <c r="G1199" s="27">
        <f>SUM(G1200:G1202)</f>
        <v>52398.458482500013</v>
      </c>
      <c r="H1199" s="44">
        <f>G1199*E1184</f>
        <v>0</v>
      </c>
    </row>
    <row r="1200" spans="1:8" ht="12.75" customHeight="1">
      <c r="A1200" s="28"/>
      <c r="B1200" s="29" t="s">
        <v>3710</v>
      </c>
      <c r="C1200" s="30" t="str">
        <f>IFERROR(_xlfn.XLOOKUP(B1200,MObra[DESCRIPCION],MObra[UN],,0),"")</f>
        <v>día</v>
      </c>
      <c r="D1200" s="31">
        <v>1</v>
      </c>
      <c r="E1200" s="32">
        <f>IFERROR(_xlfn.XLOOKUP($B1200,MObra[DESCRIPCION],MObra[VALOR UNIT],,0),"")</f>
        <v>314390.75089500006</v>
      </c>
      <c r="F1200" s="33">
        <v>-6</v>
      </c>
      <c r="G1200" s="34">
        <f>IFERROR(IF(F1200&gt;=0,D1200*E1200*(1+F1200/100),ABS(D1200*E1200/F1200)),"")</f>
        <v>52398.458482500013</v>
      </c>
      <c r="H1200" s="43">
        <f>IFERROR(G1200*E1184,"")</f>
        <v>0</v>
      </c>
    </row>
    <row r="1201" spans="1:11" ht="12.75" customHeight="1">
      <c r="A1201" s="28"/>
      <c r="B1201" s="29"/>
      <c r="C1201" s="30" t="str">
        <f t="array" ref="C1201">IFERROR(_xlfn.XLOOKUP(B1201,MObra[[#All],[DESCRIPCION]],MObra[[#All],[UN]],,0),"")</f>
        <v/>
      </c>
      <c r="D1201" s="31"/>
      <c r="E1201" s="32" t="str">
        <f>IFERROR(_xlfn.XLOOKUP($B1201,MObra[DESCRIPCION],MObra[VALOR UNIT],,0),"")</f>
        <v/>
      </c>
      <c r="F1201" s="33"/>
      <c r="G1201" s="34" t="str">
        <f>IFERROR(IF(F1201&gt;=0,D1201*E1201*(1+F1201/100),ABS(D1201*E1201/F1201)),"")</f>
        <v/>
      </c>
      <c r="H1201" s="43" t="str">
        <f>IFERROR(G1201*E1184,"")</f>
        <v/>
      </c>
    </row>
    <row r="1202" spans="1:11" ht="12.75" customHeight="1" thickBot="1">
      <c r="A1202" s="35"/>
      <c r="B1202" s="36"/>
      <c r="C1202" s="37" t="str">
        <f t="array" ref="C1202">IFERROR(_xlfn.XLOOKUP(B1202,MObra[[#All],[DESCRIPCION]],MObra[[#All],[UN]],,0),"")</f>
        <v/>
      </c>
      <c r="D1202" s="38"/>
      <c r="E1202" s="39" t="str">
        <f>IFERROR(_xlfn.XLOOKUP($B1202,MObra[DESCRIPCION],MObra[VALOR UNIT],,0),"")</f>
        <v/>
      </c>
      <c r="F1202" s="40"/>
      <c r="G1202" s="41" t="str">
        <f>IFERROR(IF(F1202&gt;=0,D1202*E1202*(1+F1202/100),ABS(D1202*E1202/F1202)),"")</f>
        <v/>
      </c>
      <c r="H1202" s="42" t="str">
        <f>IFERROR(G1202*E1184,"")</f>
        <v/>
      </c>
    </row>
    <row r="1203" spans="1:11" ht="12.75" customHeight="1" thickTop="1" thickBot="1"/>
    <row r="1204" spans="1:11" ht="12.75" customHeight="1" thickTop="1" thickBot="1">
      <c r="A1204" s="6" t="s">
        <v>429</v>
      </c>
      <c r="B1204" s="7" t="str">
        <f>VLOOKUP($A1204,Presupuesto!$A:$D,2,FALSE())</f>
        <v>Escala concreto 27.6 Mpa E= 0.25 m estructural</v>
      </c>
      <c r="C1204" s="8" t="str">
        <f>VLOOKUP($A1204,Presupuesto!$A:$D,3,FALSE())</f>
        <v>M2</v>
      </c>
      <c r="D1204" s="9"/>
      <c r="E1204" s="10">
        <f>VLOOKUP($A1204,Presupuesto!$A:$D,4,FALSE())</f>
        <v>0</v>
      </c>
      <c r="F1204" s="11" t="s">
        <v>2589</v>
      </c>
      <c r="G1204" s="12">
        <f>SUM(G1206:G1222)/2</f>
        <v>441155.89024295972</v>
      </c>
      <c r="H1204" s="13">
        <f>ROUND(SUM(H1206:H1222),0)/2</f>
        <v>0</v>
      </c>
      <c r="I1204" s="10">
        <f>VLOOKUP(A1204,Presupuesto!$A:$F,6,0)</f>
        <v>0</v>
      </c>
      <c r="J1204" s="10">
        <f>+H1204-I1204</f>
        <v>0</v>
      </c>
      <c r="K1204" s="46">
        <f>+H1204-G1204*E1204</f>
        <v>0</v>
      </c>
    </row>
    <row r="1205" spans="1:11" ht="12.75" customHeight="1" thickTop="1">
      <c r="A1205" s="14"/>
      <c r="B1205" s="15" t="s">
        <v>2586</v>
      </c>
      <c r="C1205" s="15" t="s">
        <v>5</v>
      </c>
      <c r="D1205" s="16" t="s">
        <v>6</v>
      </c>
      <c r="E1205" s="17" t="s">
        <v>7</v>
      </c>
      <c r="F1205" s="18" t="s">
        <v>3728</v>
      </c>
      <c r="G1205" s="19" t="s">
        <v>3729</v>
      </c>
      <c r="H1205" s="20" t="s">
        <v>3797</v>
      </c>
    </row>
    <row r="1206" spans="1:11" ht="12.75" customHeight="1">
      <c r="A1206" s="21"/>
      <c r="B1206" s="22" t="s">
        <v>3730</v>
      </c>
      <c r="C1206" s="23"/>
      <c r="D1206" s="24"/>
      <c r="E1206" s="25"/>
      <c r="F1206" s="26"/>
      <c r="G1206" s="27">
        <f>SUM(G1207:G1211)</f>
        <v>382628.45424703468</v>
      </c>
      <c r="H1206" s="27">
        <f>IFERROR(G1206*E1204,"")</f>
        <v>0</v>
      </c>
    </row>
    <row r="1207" spans="1:11" ht="12.75" customHeight="1">
      <c r="A1207" s="28"/>
      <c r="B1207" s="29" t="s">
        <v>3241</v>
      </c>
      <c r="C1207" s="30" t="str">
        <f>IFERROR(_xlfn.XLOOKUP(B1207,Insumo[DESCRIPCION],Insumo[UND],,0),"")</f>
        <v>M3</v>
      </c>
      <c r="D1207" s="31">
        <v>0.41</v>
      </c>
      <c r="E1207" s="32">
        <f>IFERROR(_xlfn.XLOOKUP($B1207,Insumo[DESCRIPCION],Insumo[VALOR],,0),"")</f>
        <v>568453.66874585627</v>
      </c>
      <c r="F1207" s="33">
        <v>5</v>
      </c>
      <c r="G1207" s="34">
        <f>IFERROR(IF(F1207&gt;=0,D1207*E1207*(1+F1207/100),ABS(D1207*E1207/F1207)),"")</f>
        <v>244719.30439509111</v>
      </c>
      <c r="H1207" s="43">
        <f>IFERROR(G1207*E1204,"")</f>
        <v>0</v>
      </c>
    </row>
    <row r="1208" spans="1:11" ht="12.75" customHeight="1">
      <c r="A1208" s="28"/>
      <c r="B1208" s="29" t="s">
        <v>2954</v>
      </c>
      <c r="C1208" s="30" t="str">
        <f>IFERROR(_xlfn.XLOOKUP(B1208,Insumo[DESCRIPCION],Insumo[UND],,0),"")</f>
        <v>M2</v>
      </c>
      <c r="D1208" s="31">
        <v>1.35</v>
      </c>
      <c r="E1208" s="32">
        <f>IFERROR(_xlfn.XLOOKUP($B1208,Insumo[DESCRIPCION],Insumo[VALOR],,0),"")</f>
        <v>102154.92581625449</v>
      </c>
      <c r="F1208" s="33"/>
      <c r="G1208" s="34">
        <f>IFERROR(IF(F1208&gt;=0,D1208*E1208*(1+F1208/100),ABS(D1208*E1208/F1208)),"")</f>
        <v>137909.14985194357</v>
      </c>
      <c r="H1208" s="43">
        <f>IFERROR(G1208*E1204,"")</f>
        <v>0</v>
      </c>
    </row>
    <row r="1209" spans="1:11" ht="12.75" customHeight="1">
      <c r="A1209" s="28"/>
      <c r="B1209" s="29"/>
      <c r="C1209" s="30" t="str">
        <f>IFERROR(_xlfn.XLOOKUP(B1209,Insumo[DESCRIPCION],Insumo[UND],,0),"")</f>
        <v/>
      </c>
      <c r="D1209" s="31"/>
      <c r="E1209" s="32" t="str">
        <f>IFERROR(_xlfn.XLOOKUP($B1209,Insumo[DESCRIPCION],Insumo[VALOR],,0),"")</f>
        <v/>
      </c>
      <c r="F1209" s="33"/>
      <c r="G1209" s="34" t="str">
        <f>IFERROR(IF(F1209&gt;=0,D1209*E1209*(1+F1209/100),ABS(D1209*E1209/F1209)),"")</f>
        <v/>
      </c>
      <c r="H1209" s="43" t="str">
        <f>IFERROR(G1209*E1204,"")</f>
        <v/>
      </c>
    </row>
    <row r="1210" spans="1:11" ht="12.75" customHeight="1">
      <c r="A1210" s="28"/>
      <c r="B1210" s="29"/>
      <c r="C1210" s="30" t="str">
        <f>IFERROR(_xlfn.XLOOKUP(B1210,Insumo[DESCRIPCION],Insumo[UND],,0),"")</f>
        <v/>
      </c>
      <c r="D1210" s="31"/>
      <c r="E1210" s="32" t="str">
        <f>IFERROR(_xlfn.XLOOKUP($B1210,Insumo[DESCRIPCION],Insumo[VALOR],,0),"")</f>
        <v/>
      </c>
      <c r="F1210" s="33"/>
      <c r="G1210" s="34" t="str">
        <f>IFERROR(IF(F1210&gt;=0,D1210*E1210*(1+F1210/100),ABS(D1210*E1210/F1210)),"")</f>
        <v/>
      </c>
      <c r="H1210" s="43" t="str">
        <f>IFERROR(G1210*E1204,"")</f>
        <v/>
      </c>
    </row>
    <row r="1211" spans="1:11" ht="12.75" customHeight="1">
      <c r="A1211" s="28"/>
      <c r="B1211" s="29"/>
      <c r="C1211" s="30" t="str">
        <f>IFERROR(_xlfn.XLOOKUP(B1211,Insumo[DESCRIPCION],Insumo[UND],,0),"")</f>
        <v/>
      </c>
      <c r="D1211" s="31"/>
      <c r="E1211" s="32" t="str">
        <f>IFERROR(_xlfn.XLOOKUP($B1211,Insumo[DESCRIPCION],Insumo[VALOR],,0),"")</f>
        <v/>
      </c>
      <c r="F1211" s="33"/>
      <c r="G1211" s="34" t="str">
        <f>IFERROR(IF(F1211&gt;=0,D1211*E1211*(1+F1211/100),ABS(D1211*E1211/F1211)),"")</f>
        <v/>
      </c>
      <c r="H1211" s="43" t="str">
        <f>IFERROR(G1211*E1204,"")</f>
        <v/>
      </c>
    </row>
    <row r="1212" spans="1:11" ht="12.75" customHeight="1">
      <c r="A1212" s="21"/>
      <c r="B1212" s="22" t="s">
        <v>3731</v>
      </c>
      <c r="C1212" s="23"/>
      <c r="D1212" s="24"/>
      <c r="E1212" s="25"/>
      <c r="F1212" s="26"/>
      <c r="G1212" s="27">
        <f>SUM(G1213:G1215)</f>
        <v>6128.9775134250012</v>
      </c>
      <c r="H1212" s="44">
        <f>G1212*E1204</f>
        <v>0</v>
      </c>
    </row>
    <row r="1213" spans="1:11" ht="12.75" customHeight="1">
      <c r="A1213" s="28"/>
      <c r="B1213" s="29" t="s">
        <v>3657</v>
      </c>
      <c r="C1213" s="30" t="str">
        <f>IFERROR(_xlfn.XLOOKUP(B1213,Equipo[DESCRIPCION],Equipo[UND],,0),"")</f>
        <v>Día</v>
      </c>
      <c r="D1213" s="31">
        <v>1</v>
      </c>
      <c r="E1213" s="32">
        <f>IF(C1213="%MO",G1219,IFERROR(_xlfn.XLOOKUP($B1213,Equipo[DESCRIPCION],Equipo[VALOR],,0),""))</f>
        <v>56524.65</v>
      </c>
      <c r="F1213" s="33">
        <v>-40</v>
      </c>
      <c r="G1213" s="34">
        <f>IFERROR(IF(F1213&gt;=0,D1213*E1213*(1+F1213/100),ABS(D1213*E1213/F1213)),"")</f>
        <v>1413.11625</v>
      </c>
      <c r="H1213" s="43">
        <f>IFERROR(G1213*E1204,"")</f>
        <v>0</v>
      </c>
    </row>
    <row r="1214" spans="1:11" ht="12.75" customHeight="1">
      <c r="A1214" s="28"/>
      <c r="B1214" s="29" t="s">
        <v>3570</v>
      </c>
      <c r="C1214" s="30" t="str">
        <f>IFERROR(_xlfn.XLOOKUP(B1214,Equipo[DESCRIPCION],Equipo[UND],,0),"")</f>
        <v>%MO</v>
      </c>
      <c r="D1214" s="31">
        <v>0.04</v>
      </c>
      <c r="E1214" s="32">
        <f>IF(C1214="%MO",G1219,IFERROR(_xlfn.XLOOKUP($B1214,Equipo[DESCRIPCION],Equipo[VALOR],,0),""))</f>
        <v>52398.458482500013</v>
      </c>
      <c r="F1214" s="33"/>
      <c r="G1214" s="34">
        <f>IFERROR(IF(F1214&gt;=0,D1214*E1214*(1+F1214/100),ABS(D1214*E1214/F1214)),"")</f>
        <v>2095.9383393000007</v>
      </c>
      <c r="H1214" s="43">
        <f>IFERROR(G1214*E1204,"")</f>
        <v>0</v>
      </c>
    </row>
    <row r="1215" spans="1:11" ht="12.75" customHeight="1">
      <c r="A1215" s="28"/>
      <c r="B1215" s="29" t="s">
        <v>3626</v>
      </c>
      <c r="C1215" s="30" t="str">
        <f>IFERROR(_xlfn.XLOOKUP(B1215,Equipo[DESCRIPCION],Equipo[UND],,0),"")</f>
        <v>%MO</v>
      </c>
      <c r="D1215" s="31">
        <v>0.05</v>
      </c>
      <c r="E1215" s="32">
        <f>IF(C1215="%MO",G1219,IFERROR(_xlfn.XLOOKUP($B1215,Equipo[DESCRIPCION],Equipo[VALOR],,0),""))</f>
        <v>52398.458482500013</v>
      </c>
      <c r="F1215" s="33"/>
      <c r="G1215" s="34">
        <f>IFERROR(IF(F1215&gt;=0,D1215*E1215*(1+F1215/100),ABS(D1215*E1215/F1215)),"")</f>
        <v>2619.9229241250009</v>
      </c>
      <c r="H1215" s="43">
        <f>IFERROR(G1215*E1204,"")</f>
        <v>0</v>
      </c>
    </row>
    <row r="1216" spans="1:11" ht="12.75" customHeight="1">
      <c r="A1216" s="21"/>
      <c r="B1216" s="22" t="s">
        <v>2533</v>
      </c>
      <c r="C1216" s="23"/>
      <c r="D1216" s="24"/>
      <c r="E1216" s="25"/>
      <c r="F1216" s="26"/>
      <c r="G1216" s="27">
        <f>SUM(G1217:G1218)</f>
        <v>0</v>
      </c>
      <c r="H1216" s="44">
        <f>G1216*E1204</f>
        <v>0</v>
      </c>
    </row>
    <row r="1217" spans="1:11" ht="12.75" customHeight="1">
      <c r="A1217" s="28"/>
      <c r="B1217" s="29"/>
      <c r="C1217" s="30" t="str">
        <f>IFERROR(_xlfn.XLOOKUP(B1217,Transporte[DESCRIPCION],Transporte[UND],,0),"")</f>
        <v/>
      </c>
      <c r="D1217" s="31"/>
      <c r="E1217" s="32" t="str">
        <f>IFERROR(_xlfn.XLOOKUP($B1217,Transporte[DESCRIPCION],Transporte[VALOR],,0),"")</f>
        <v/>
      </c>
      <c r="F1217" s="33"/>
      <c r="G1217" s="34" t="str">
        <f>IFERROR(IF(F1217&gt;=0,D1217*E1217*(1+F1217/100),ABS(D1217*E1217/F1217)),"")</f>
        <v/>
      </c>
      <c r="H1217" s="43" t="str">
        <f>IFERROR(G1217*E1204,"")</f>
        <v/>
      </c>
    </row>
    <row r="1218" spans="1:11" ht="12.75" customHeight="1">
      <c r="A1218" s="28"/>
      <c r="B1218" s="29"/>
      <c r="C1218" s="30" t="str">
        <f>IFERROR(_xlfn.XLOOKUP(B1218,Transporte[DESCRIPCION],Transporte[UND],,0),"")</f>
        <v/>
      </c>
      <c r="D1218" s="31"/>
      <c r="E1218" s="32" t="str">
        <f>IFERROR(_xlfn.XLOOKUP($B1218,Transporte[DESCRIPCION],Transporte[VALOR],,0),"")</f>
        <v/>
      </c>
      <c r="F1218" s="33"/>
      <c r="G1218" s="34" t="str">
        <f>IFERROR(IF(F1218&gt;=0,D1218*E1218*(1+F1218/100),ABS(D1218*E1218/F1218)),"")</f>
        <v/>
      </c>
      <c r="H1218" s="43" t="str">
        <f>IFERROR(G1218*E1204,"")</f>
        <v/>
      </c>
    </row>
    <row r="1219" spans="1:11" ht="12.75" customHeight="1">
      <c r="A1219" s="21"/>
      <c r="B1219" s="22" t="s">
        <v>3732</v>
      </c>
      <c r="C1219" s="23"/>
      <c r="D1219" s="24"/>
      <c r="E1219" s="25"/>
      <c r="F1219" s="26"/>
      <c r="G1219" s="27">
        <f>SUM(G1220:G1222)</f>
        <v>52398.458482500013</v>
      </c>
      <c r="H1219" s="44">
        <f>G1219*E1204</f>
        <v>0</v>
      </c>
    </row>
    <row r="1220" spans="1:11" ht="12.75" customHeight="1">
      <c r="A1220" s="28"/>
      <c r="B1220" s="29" t="s">
        <v>3710</v>
      </c>
      <c r="C1220" s="30" t="str">
        <f>IFERROR(_xlfn.XLOOKUP(B1220,MObra[DESCRIPCION],MObra[UN],,0),"")</f>
        <v>día</v>
      </c>
      <c r="D1220" s="31">
        <v>1</v>
      </c>
      <c r="E1220" s="32">
        <f>IFERROR(_xlfn.XLOOKUP($B1220,MObra[DESCRIPCION],MObra[VALOR UNIT],,0),"")</f>
        <v>314390.75089500006</v>
      </c>
      <c r="F1220" s="33">
        <v>-6</v>
      </c>
      <c r="G1220" s="34">
        <f>IFERROR(IF(F1220&gt;=0,D1220*E1220*(1+F1220/100),ABS(D1220*E1220/F1220)),"")</f>
        <v>52398.458482500013</v>
      </c>
      <c r="H1220" s="43">
        <f>IFERROR(G1220*E1204,"")</f>
        <v>0</v>
      </c>
    </row>
    <row r="1221" spans="1:11" ht="12.75" customHeight="1">
      <c r="A1221" s="28"/>
      <c r="B1221" s="29"/>
      <c r="C1221" s="30" t="str">
        <f t="array" ref="C1221">IFERROR(_xlfn.XLOOKUP(B1221,MObra[[#All],[DESCRIPCION]],MObra[[#All],[UN]],,0),"")</f>
        <v/>
      </c>
      <c r="D1221" s="31"/>
      <c r="E1221" s="32" t="str">
        <f>IFERROR(_xlfn.XLOOKUP($B1221,MObra[DESCRIPCION],MObra[VALOR UNIT],,0),"")</f>
        <v/>
      </c>
      <c r="F1221" s="33"/>
      <c r="G1221" s="34" t="str">
        <f>IFERROR(IF(F1221&gt;=0,D1221*E1221*(1+F1221/100),ABS(D1221*E1221/F1221)),"")</f>
        <v/>
      </c>
      <c r="H1221" s="43" t="str">
        <f>IFERROR(G1221*E1204,"")</f>
        <v/>
      </c>
    </row>
    <row r="1222" spans="1:11" ht="12.75" customHeight="1" thickBot="1">
      <c r="A1222" s="35"/>
      <c r="B1222" s="36"/>
      <c r="C1222" s="37" t="str">
        <f t="array" ref="C1222">IFERROR(_xlfn.XLOOKUP(B1222,MObra[[#All],[DESCRIPCION]],MObra[[#All],[UN]],,0),"")</f>
        <v/>
      </c>
      <c r="D1222" s="38"/>
      <c r="E1222" s="39" t="str">
        <f>IFERROR(_xlfn.XLOOKUP($B1222,MObra[DESCRIPCION],MObra[VALOR UNIT],,0),"")</f>
        <v/>
      </c>
      <c r="F1222" s="40"/>
      <c r="G1222" s="41" t="str">
        <f>IFERROR(IF(F1222&gt;=0,D1222*E1222*(1+F1222/100),ABS(D1222*E1222/F1222)),"")</f>
        <v/>
      </c>
      <c r="H1222" s="42" t="str">
        <f>IFERROR(G1222*E1204,"")</f>
        <v/>
      </c>
    </row>
    <row r="1223" spans="1:11" ht="12.75" customHeight="1" thickTop="1" thickBot="1"/>
    <row r="1224" spans="1:11" ht="12.75" customHeight="1" thickTop="1" thickBot="1">
      <c r="A1224" s="6" t="s">
        <v>431</v>
      </c>
      <c r="B1224" s="7" t="str">
        <f>VLOOKUP($A1224,Presupuesto!$A:$D,2,FALSE())</f>
        <v>Estructura metalica para cubierta</v>
      </c>
      <c r="C1224" s="8" t="str">
        <f>VLOOKUP($A1224,Presupuesto!$A:$D,3,FALSE())</f>
        <v>M2</v>
      </c>
      <c r="D1224" s="9"/>
      <c r="E1224" s="10">
        <f>VLOOKUP($A1224,Presupuesto!$A:$D,4,FALSE())</f>
        <v>0</v>
      </c>
      <c r="F1224" s="11" t="s">
        <v>2589</v>
      </c>
      <c r="G1224" s="12">
        <f>SUM(G1226:G1242)/2</f>
        <v>324978.80725100008</v>
      </c>
      <c r="H1224" s="13">
        <f>ROUND(SUM(H1226:H1242),0)/2</f>
        <v>0</v>
      </c>
      <c r="I1224" s="10">
        <f>VLOOKUP(A1224,Presupuesto!$A:$F,6,0)</f>
        <v>0</v>
      </c>
      <c r="J1224" s="10">
        <f>+H1224-I1224</f>
        <v>0</v>
      </c>
      <c r="K1224" s="46">
        <f>+H1224-G1224*E1224</f>
        <v>0</v>
      </c>
    </row>
    <row r="1225" spans="1:11" ht="12.75" customHeight="1" thickTop="1">
      <c r="A1225" s="14"/>
      <c r="B1225" s="15" t="s">
        <v>2586</v>
      </c>
      <c r="C1225" s="15" t="s">
        <v>5</v>
      </c>
      <c r="D1225" s="16" t="s">
        <v>6</v>
      </c>
      <c r="E1225" s="17" t="s">
        <v>7</v>
      </c>
      <c r="F1225" s="18" t="s">
        <v>3728</v>
      </c>
      <c r="G1225" s="19" t="s">
        <v>3729</v>
      </c>
      <c r="H1225" s="20" t="s">
        <v>3797</v>
      </c>
    </row>
    <row r="1226" spans="1:11" ht="12.75" customHeight="1">
      <c r="A1226" s="21"/>
      <c r="B1226" s="22" t="s">
        <v>3730</v>
      </c>
      <c r="C1226" s="23"/>
      <c r="D1226" s="24"/>
      <c r="E1226" s="25"/>
      <c r="F1226" s="26"/>
      <c r="G1226" s="27">
        <f>SUM(G1227:G1231)</f>
        <v>156535.62750000003</v>
      </c>
      <c r="H1226" s="27">
        <f>IFERROR(G1226*E1224,"")</f>
        <v>0</v>
      </c>
    </row>
    <row r="1227" spans="1:11" ht="12.75" customHeight="1">
      <c r="A1227" s="28"/>
      <c r="B1227" s="29" t="s">
        <v>2654</v>
      </c>
      <c r="C1227" s="30" t="str">
        <f>IFERROR(_xlfn.XLOOKUP(B1227,Insumo[DESCRIPCION],Insumo[UND],,0),"")</f>
        <v>Kg</v>
      </c>
      <c r="D1227" s="31">
        <v>15</v>
      </c>
      <c r="E1227" s="32">
        <f>IFERROR(_xlfn.XLOOKUP($B1227,Insumo[DESCRIPCION],Insumo[VALOR],,0),"")</f>
        <v>8524.9500000000007</v>
      </c>
      <c r="F1227" s="33">
        <v>5</v>
      </c>
      <c r="G1227" s="34">
        <f>IFERROR(IF(F1227&gt;=0,D1227*E1227*(1+F1227/100),ABS(D1227*E1227/F1227)),"")</f>
        <v>134267.96250000002</v>
      </c>
      <c r="H1227" s="43">
        <f>IFERROR(G1227*E1224,"")</f>
        <v>0</v>
      </c>
    </row>
    <row r="1228" spans="1:11" ht="12.75" customHeight="1">
      <c r="A1228" s="28"/>
      <c r="B1228" s="29" t="s">
        <v>3326</v>
      </c>
      <c r="C1228" s="30" t="str">
        <f>IFERROR(_xlfn.XLOOKUP(B1228,Insumo[DESCRIPCION],Insumo[UND],,0),"")</f>
        <v>Kg</v>
      </c>
      <c r="D1228" s="146">
        <f>15*0.03</f>
        <v>0.44999999999999996</v>
      </c>
      <c r="E1228" s="32">
        <f>IFERROR(_xlfn.XLOOKUP($B1228,Insumo[DESCRIPCION],Insumo[VALOR],,0),"")</f>
        <v>5978.7</v>
      </c>
      <c r="F1228" s="33"/>
      <c r="G1228" s="34">
        <f>IFERROR(IF(F1228&gt;=0,D1228*E1228*(1+F1228/100),ABS(D1228*E1228/F1228)),"")</f>
        <v>2690.4149999999995</v>
      </c>
      <c r="H1228" s="43">
        <f>IFERROR(G1228*E1224,"")</f>
        <v>0</v>
      </c>
    </row>
    <row r="1229" spans="1:11" ht="12.75" customHeight="1">
      <c r="A1229" s="28"/>
      <c r="B1229" s="29" t="s">
        <v>2708</v>
      </c>
      <c r="C1229" s="30" t="str">
        <f>IFERROR(_xlfn.XLOOKUP(B1229,Insumo[DESCRIPCION],Insumo[UND],,0),"")</f>
        <v>galón</v>
      </c>
      <c r="D1229" s="142">
        <v>0.2</v>
      </c>
      <c r="E1229" s="32">
        <f>IFERROR(_xlfn.XLOOKUP($B1229,Insumo[DESCRIPCION],Insumo[VALOR],,0),"")</f>
        <v>97886.25</v>
      </c>
      <c r="F1229" s="33"/>
      <c r="G1229" s="34">
        <f>IFERROR(IF(F1229&gt;=0,D1229*E1229*(1+F1229/100),ABS(D1229*E1229/F1229)),"")</f>
        <v>19577.25</v>
      </c>
      <c r="H1229" s="43">
        <f>IFERROR(G1229*E1224,"")</f>
        <v>0</v>
      </c>
    </row>
    <row r="1230" spans="1:11" ht="12.75" customHeight="1">
      <c r="A1230" s="28"/>
      <c r="B1230" s="29"/>
      <c r="C1230" s="30" t="str">
        <f>IFERROR(_xlfn.XLOOKUP(B1230,Insumo[DESCRIPCION],Insumo[UND],,0),"")</f>
        <v/>
      </c>
      <c r="D1230" s="31"/>
      <c r="E1230" s="32" t="str">
        <f>IFERROR(_xlfn.XLOOKUP($B1230,Insumo[DESCRIPCION],Insumo[VALOR],,0),"")</f>
        <v/>
      </c>
      <c r="F1230" s="33"/>
      <c r="G1230" s="34" t="str">
        <f>IFERROR(IF(F1230&gt;=0,D1230*E1230*(1+F1230/100),ABS(D1230*E1230/F1230)),"")</f>
        <v/>
      </c>
      <c r="H1230" s="43" t="str">
        <f>IFERROR(G1230*E1224,"")</f>
        <v/>
      </c>
    </row>
    <row r="1231" spans="1:11" ht="12.75" customHeight="1">
      <c r="A1231" s="28"/>
      <c r="B1231" s="29"/>
      <c r="C1231" s="30" t="str">
        <f>IFERROR(_xlfn.XLOOKUP(B1231,Insumo[DESCRIPCION],Insumo[UND],,0),"")</f>
        <v/>
      </c>
      <c r="D1231" s="31"/>
      <c r="E1231" s="32" t="str">
        <f>IFERROR(_xlfn.XLOOKUP($B1231,Insumo[DESCRIPCION],Insumo[VALOR],,0),"")</f>
        <v/>
      </c>
      <c r="F1231" s="33"/>
      <c r="G1231" s="34" t="str">
        <f>IFERROR(IF(F1231&gt;=0,D1231*E1231*(1+F1231/100),ABS(D1231*E1231/F1231)),"")</f>
        <v/>
      </c>
      <c r="H1231" s="43" t="str">
        <f>IFERROR(G1231*E1224,"")</f>
        <v/>
      </c>
    </row>
    <row r="1232" spans="1:11" ht="12.75" customHeight="1">
      <c r="A1232" s="21"/>
      <c r="B1232" s="22" t="s">
        <v>3731</v>
      </c>
      <c r="C1232" s="23"/>
      <c r="D1232" s="24"/>
      <c r="E1232" s="25"/>
      <c r="F1232" s="26"/>
      <c r="G1232" s="27">
        <f>SUM(G1233:G1235)</f>
        <v>28713.957130999999</v>
      </c>
      <c r="H1232" s="44">
        <f>G1232*E1224</f>
        <v>0</v>
      </c>
    </row>
    <row r="1233" spans="1:11" ht="12.75" customHeight="1">
      <c r="A1233" s="28"/>
      <c r="B1233" s="29" t="s">
        <v>3613</v>
      </c>
      <c r="C1233" s="30" t="str">
        <f>IFERROR(_xlfn.XLOOKUP(B1233,Equipo[DESCRIPCION],Equipo[UND],,0),"")</f>
        <v>Día</v>
      </c>
      <c r="D1233" s="31">
        <v>1</v>
      </c>
      <c r="E1233" s="32">
        <f>IF(C1233="%MO",G1239,IFERROR(_xlfn.XLOOKUP($B1233,Equipo[DESCRIPCION],Equipo[VALOR],,0),""))</f>
        <v>48133.05</v>
      </c>
      <c r="F1233" s="33">
        <v>-3</v>
      </c>
      <c r="G1233" s="34">
        <f>IFERROR(IF(F1233&gt;=0,D1233*E1233*(1+F1233/100),ABS(D1233*E1233/F1233)),"")</f>
        <v>16044.35</v>
      </c>
      <c r="H1233" s="43">
        <f>IFERROR(G1233*E1224,"")</f>
        <v>0</v>
      </c>
    </row>
    <row r="1234" spans="1:11" ht="12.75" customHeight="1">
      <c r="A1234" s="28"/>
      <c r="B1234" s="29" t="s">
        <v>3575</v>
      </c>
      <c r="C1234" s="30" t="str">
        <f>IFERROR(_xlfn.XLOOKUP(B1234,Equipo[DESCRIPCION],Equipo[UND],,0),"")</f>
        <v>Día</v>
      </c>
      <c r="D1234" s="31">
        <v>0.04</v>
      </c>
      <c r="E1234" s="32">
        <f>IF(C1234="%MO",G1239,IFERROR(_xlfn.XLOOKUP($B1234,Equipo[DESCRIPCION],Equipo[VALOR],,0),""))</f>
        <v>142078.65</v>
      </c>
      <c r="F1234" s="33"/>
      <c r="G1234" s="34">
        <f>IFERROR(IF(F1234&gt;=0,D1234*E1234*(1+F1234/100),ABS(D1234*E1234/F1234)),"")</f>
        <v>5683.1459999999997</v>
      </c>
      <c r="H1234" s="43">
        <f>IFERROR(G1234*E1224,"")</f>
        <v>0</v>
      </c>
    </row>
    <row r="1235" spans="1:11" ht="12.75" customHeight="1">
      <c r="A1235" s="28"/>
      <c r="B1235" s="29" t="s">
        <v>3626</v>
      </c>
      <c r="C1235" s="30" t="str">
        <f>IFERROR(_xlfn.XLOOKUP(B1235,Equipo[DESCRIPCION],Equipo[UND],,0),"")</f>
        <v>%MO</v>
      </c>
      <c r="D1235" s="31">
        <v>0.05</v>
      </c>
      <c r="E1235" s="32">
        <f>IF(C1235="%MO",G1239,IFERROR(_xlfn.XLOOKUP($B1235,Equipo[DESCRIPCION],Equipo[VALOR],,0),""))</f>
        <v>139729.22262000002</v>
      </c>
      <c r="F1235" s="33"/>
      <c r="G1235" s="34">
        <f>IFERROR(IF(F1235&gt;=0,D1235*E1235*(1+F1235/100),ABS(D1235*E1235/F1235)),"")</f>
        <v>6986.4611310000009</v>
      </c>
      <c r="H1235" s="43">
        <f>IFERROR(G1235*E1224,"")</f>
        <v>0</v>
      </c>
    </row>
    <row r="1236" spans="1:11" ht="12.75" customHeight="1">
      <c r="A1236" s="21"/>
      <c r="B1236" s="22" t="s">
        <v>2533</v>
      </c>
      <c r="C1236" s="23"/>
      <c r="D1236" s="24"/>
      <c r="E1236" s="25"/>
      <c r="F1236" s="26"/>
      <c r="G1236" s="27">
        <f>SUM(G1237:G1238)</f>
        <v>0</v>
      </c>
      <c r="H1236" s="44">
        <f>G1236*E1224</f>
        <v>0</v>
      </c>
    </row>
    <row r="1237" spans="1:11" ht="12.75" customHeight="1">
      <c r="A1237" s="28"/>
      <c r="B1237" s="29"/>
      <c r="C1237" s="30" t="str">
        <f>IFERROR(_xlfn.XLOOKUP(B1237,Transporte[DESCRIPCION],Transporte[UND],,0),"")</f>
        <v/>
      </c>
      <c r="D1237" s="31"/>
      <c r="E1237" s="32" t="str">
        <f>IFERROR(_xlfn.XLOOKUP($B1237,Transporte[DESCRIPCION],Transporte[VALOR],,0),"")</f>
        <v/>
      </c>
      <c r="F1237" s="33"/>
      <c r="G1237" s="34" t="str">
        <f>IFERROR(IF(F1237&gt;=0,D1237*E1237*(1+F1237/100),ABS(D1237*E1237/F1237)),"")</f>
        <v/>
      </c>
      <c r="H1237" s="43" t="str">
        <f>IFERROR(G1237*E1224,"")</f>
        <v/>
      </c>
    </row>
    <row r="1238" spans="1:11" ht="12.75" customHeight="1">
      <c r="A1238" s="28"/>
      <c r="B1238" s="29"/>
      <c r="C1238" s="30" t="str">
        <f>IFERROR(_xlfn.XLOOKUP(B1238,Transporte[DESCRIPCION],Transporte[UND],,0),"")</f>
        <v/>
      </c>
      <c r="D1238" s="31"/>
      <c r="E1238" s="32" t="str">
        <f>IFERROR(_xlfn.XLOOKUP($B1238,Transporte[DESCRIPCION],Transporte[VALOR],,0),"")</f>
        <v/>
      </c>
      <c r="F1238" s="33"/>
      <c r="G1238" s="34" t="str">
        <f>IFERROR(IF(F1238&gt;=0,D1238*E1238*(1+F1238/100),ABS(D1238*E1238/F1238)),"")</f>
        <v/>
      </c>
      <c r="H1238" s="43" t="str">
        <f>IFERROR(G1238*E1224,"")</f>
        <v/>
      </c>
    </row>
    <row r="1239" spans="1:11" ht="12.75" customHeight="1">
      <c r="A1239" s="21"/>
      <c r="B1239" s="22" t="s">
        <v>3732</v>
      </c>
      <c r="C1239" s="23"/>
      <c r="D1239" s="24"/>
      <c r="E1239" s="25"/>
      <c r="F1239" s="26"/>
      <c r="G1239" s="27">
        <f>SUM(G1240:G1242)</f>
        <v>139729.22262000002</v>
      </c>
      <c r="H1239" s="44">
        <f>G1239*E1224</f>
        <v>0</v>
      </c>
    </row>
    <row r="1240" spans="1:11" ht="12.75" customHeight="1">
      <c r="A1240" s="28"/>
      <c r="B1240" s="29" t="s">
        <v>3724</v>
      </c>
      <c r="C1240" s="30" t="str">
        <f>IFERROR(_xlfn.XLOOKUP(B1240,MObra[DESCRIPCION],MObra[UN],,0),"")</f>
        <v>día</v>
      </c>
      <c r="D1240" s="31">
        <v>1</v>
      </c>
      <c r="E1240" s="32">
        <f>IFERROR(_xlfn.XLOOKUP($B1240,MObra[DESCRIPCION],MObra[VALOR UNIT],,0),"")</f>
        <v>419187.66786000005</v>
      </c>
      <c r="F1240" s="33">
        <v>-3</v>
      </c>
      <c r="G1240" s="34">
        <f>IFERROR(IF(F1240&gt;=0,D1240*E1240*(1+F1240/100),ABS(D1240*E1240/F1240)),"")</f>
        <v>139729.22262000002</v>
      </c>
      <c r="H1240" s="43">
        <f>IFERROR(G1240*E1224,"")</f>
        <v>0</v>
      </c>
    </row>
    <row r="1241" spans="1:11" ht="12.75" customHeight="1">
      <c r="A1241" s="28"/>
      <c r="B1241" s="29"/>
      <c r="C1241" s="30" t="str">
        <f t="array" ref="C1241">IFERROR(_xlfn.XLOOKUP(B1241,MObra[[#All],[DESCRIPCION]],MObra[[#All],[UN]],,0),"")</f>
        <v/>
      </c>
      <c r="D1241" s="31"/>
      <c r="E1241" s="32" t="str">
        <f>IFERROR(_xlfn.XLOOKUP($B1241,MObra[DESCRIPCION],MObra[VALOR UNIT],,0),"")</f>
        <v/>
      </c>
      <c r="F1241" s="33"/>
      <c r="G1241" s="34" t="str">
        <f>IFERROR(IF(F1241&gt;=0,D1241*E1241*(1+F1241/100),ABS(D1241*E1241/F1241)),"")</f>
        <v/>
      </c>
      <c r="H1241" s="43" t="str">
        <f>IFERROR(G1241*E1224,"")</f>
        <v/>
      </c>
    </row>
    <row r="1242" spans="1:11" ht="12.75" customHeight="1" thickBot="1">
      <c r="A1242" s="35"/>
      <c r="B1242" s="36"/>
      <c r="C1242" s="37" t="str">
        <f t="array" ref="C1242">IFERROR(_xlfn.XLOOKUP(B1242,MObra[[#All],[DESCRIPCION]],MObra[[#All],[UN]],,0),"")</f>
        <v/>
      </c>
      <c r="D1242" s="38"/>
      <c r="E1242" s="39" t="str">
        <f>IFERROR(_xlfn.XLOOKUP($B1242,MObra[DESCRIPCION],MObra[VALOR UNIT],,0),"")</f>
        <v/>
      </c>
      <c r="F1242" s="40"/>
      <c r="G1242" s="41" t="str">
        <f>IFERROR(IF(F1242&gt;=0,D1242*E1242*(1+F1242/100),ABS(D1242*E1242/F1242)),"")</f>
        <v/>
      </c>
      <c r="H1242" s="42" t="str">
        <f>IFERROR(G1242*E1224,"")</f>
        <v/>
      </c>
    </row>
    <row r="1243" spans="1:11" ht="12.75" customHeight="1" thickTop="1" thickBot="1"/>
    <row r="1244" spans="1:11" ht="12.75" customHeight="1" thickTop="1" thickBot="1">
      <c r="A1244" s="6" t="s">
        <v>433</v>
      </c>
      <c r="B1244" s="7" t="str">
        <f>VLOOKUP($A1244,Presupuesto!$A:$D,2,FALSE())</f>
        <v>Grada concreto 20.7 Mpa ancho= 0.15 altura= 0.15 sobre terreno</v>
      </c>
      <c r="C1244" s="8" t="str">
        <f>VLOOKUP($A1244,Presupuesto!$A:$D,3,FALSE())</f>
        <v>M</v>
      </c>
      <c r="D1244" s="9"/>
      <c r="E1244" s="10">
        <f>VLOOKUP($A1244,Presupuesto!$A:$D,4,FALSE())</f>
        <v>0</v>
      </c>
      <c r="F1244" s="11" t="s">
        <v>2589</v>
      </c>
      <c r="G1244" s="12">
        <f>SUM(G1246:G1262)/2</f>
        <v>79696.238590385721</v>
      </c>
      <c r="H1244" s="13">
        <f>ROUND(SUM(H1246:H1262),0)/2</f>
        <v>0</v>
      </c>
      <c r="I1244" s="10">
        <f>VLOOKUP(A1244,Presupuesto!$A:$F,6,0)</f>
        <v>0</v>
      </c>
      <c r="J1244" s="10">
        <f>+H1244-I1244</f>
        <v>0</v>
      </c>
      <c r="K1244" s="46">
        <f>+H1244-G1244*E1244</f>
        <v>0</v>
      </c>
    </row>
    <row r="1245" spans="1:11" ht="12.75" customHeight="1" thickTop="1">
      <c r="A1245" s="14"/>
      <c r="B1245" s="15" t="s">
        <v>2586</v>
      </c>
      <c r="C1245" s="15" t="s">
        <v>5</v>
      </c>
      <c r="D1245" s="16" t="s">
        <v>6</v>
      </c>
      <c r="E1245" s="17" t="s">
        <v>7</v>
      </c>
      <c r="F1245" s="18" t="s">
        <v>3728</v>
      </c>
      <c r="G1245" s="19" t="s">
        <v>3729</v>
      </c>
      <c r="H1245" s="20" t="s">
        <v>3797</v>
      </c>
    </row>
    <row r="1246" spans="1:11" ht="12.75" customHeight="1">
      <c r="A1246" s="21"/>
      <c r="B1246" s="22" t="s">
        <v>3730</v>
      </c>
      <c r="C1246" s="23"/>
      <c r="D1246" s="24"/>
      <c r="E1246" s="25"/>
      <c r="F1246" s="26"/>
      <c r="G1246" s="27">
        <f>SUM(G1247:G1251)</f>
        <v>64575.685601363708</v>
      </c>
      <c r="H1246" s="27">
        <f>IFERROR(G1246*E1244,"")</f>
        <v>0</v>
      </c>
    </row>
    <row r="1247" spans="1:11" ht="12.75" customHeight="1">
      <c r="A1247" s="28"/>
      <c r="B1247" s="29" t="s">
        <v>3239</v>
      </c>
      <c r="C1247" s="30" t="str">
        <f>IFERROR(_xlfn.XLOOKUP(B1247,Insumo[DESCRIPCION],Insumo[UND],,0),"")</f>
        <v>M3</v>
      </c>
      <c r="D1247" s="31">
        <v>0.02</v>
      </c>
      <c r="E1247" s="32">
        <f>IFERROR(_xlfn.XLOOKUP($B1247,Insumo[DESCRIPCION],Insumo[VALOR],,0),"")</f>
        <v>521159.50227762427</v>
      </c>
      <c r="F1247" s="33">
        <v>5</v>
      </c>
      <c r="G1247" s="34">
        <f>IFERROR(IF(F1247&gt;=0,D1247*E1247*(1+F1247/100),ABS(D1247*E1247/F1247)),"")</f>
        <v>10944.349547830112</v>
      </c>
      <c r="H1247" s="43">
        <f>IFERROR(G1247*E1244,"")</f>
        <v>0</v>
      </c>
    </row>
    <row r="1248" spans="1:11" ht="12.75" customHeight="1">
      <c r="A1248" s="28"/>
      <c r="B1248" s="29" t="s">
        <v>2954</v>
      </c>
      <c r="C1248" s="30" t="str">
        <f>IFERROR(_xlfn.XLOOKUP(B1248,Insumo[DESCRIPCION],Insumo[UND],,0),"")</f>
        <v>M2</v>
      </c>
      <c r="D1248" s="31">
        <f>0.175*3</f>
        <v>0.52499999999999991</v>
      </c>
      <c r="E1248" s="32">
        <f>IFERROR(_xlfn.XLOOKUP($B1248,Insumo[DESCRIPCION],Insumo[VALOR],,0),"")</f>
        <v>102154.92581625449</v>
      </c>
      <c r="F1248" s="33"/>
      <c r="G1248" s="34">
        <f>IFERROR(IF(F1248&gt;=0,D1248*E1248*(1+F1248/100),ABS(D1248*E1248/F1248)),"")</f>
        <v>53631.336053533596</v>
      </c>
      <c r="H1248" s="43">
        <f>IFERROR(G1248*E1244,"")</f>
        <v>0</v>
      </c>
    </row>
    <row r="1249" spans="1:11" ht="12.75" customHeight="1">
      <c r="A1249" s="28"/>
      <c r="B1249" s="29"/>
      <c r="C1249" s="30" t="str">
        <f>IFERROR(_xlfn.XLOOKUP(B1249,Insumo[DESCRIPCION],Insumo[UND],,0),"")</f>
        <v/>
      </c>
      <c r="D1249" s="31"/>
      <c r="E1249" s="32" t="str">
        <f>IFERROR(_xlfn.XLOOKUP($B1249,Insumo[DESCRIPCION],Insumo[VALOR],,0),"")</f>
        <v/>
      </c>
      <c r="F1249" s="33"/>
      <c r="G1249" s="34" t="str">
        <f>IFERROR(IF(F1249&gt;=0,D1249*E1249*(1+F1249/100),ABS(D1249*E1249/F1249)),"")</f>
        <v/>
      </c>
      <c r="H1249" s="43" t="str">
        <f>IFERROR(G1249*E1244,"")</f>
        <v/>
      </c>
    </row>
    <row r="1250" spans="1:11" ht="12.75" customHeight="1">
      <c r="A1250" s="28"/>
      <c r="B1250" s="29"/>
      <c r="C1250" s="30" t="str">
        <f>IFERROR(_xlfn.XLOOKUP(B1250,Insumo[DESCRIPCION],Insumo[UND],,0),"")</f>
        <v/>
      </c>
      <c r="D1250" s="31"/>
      <c r="E1250" s="32" t="str">
        <f>IFERROR(_xlfn.XLOOKUP($B1250,Insumo[DESCRIPCION],Insumo[VALOR],,0),"")</f>
        <v/>
      </c>
      <c r="F1250" s="33"/>
      <c r="G1250" s="34" t="str">
        <f>IFERROR(IF(F1250&gt;=0,D1250*E1250*(1+F1250/100),ABS(D1250*E1250/F1250)),"")</f>
        <v/>
      </c>
      <c r="H1250" s="43" t="str">
        <f>IFERROR(G1250*E1244,"")</f>
        <v/>
      </c>
    </row>
    <row r="1251" spans="1:11" ht="12.75" customHeight="1">
      <c r="A1251" s="28"/>
      <c r="B1251" s="29"/>
      <c r="C1251" s="30" t="str">
        <f>IFERROR(_xlfn.XLOOKUP(B1251,Insumo[DESCRIPCION],Insumo[UND],,0),"")</f>
        <v/>
      </c>
      <c r="D1251" s="31"/>
      <c r="E1251" s="32" t="str">
        <f>IFERROR(_xlfn.XLOOKUP($B1251,Insumo[DESCRIPCION],Insumo[VALOR],,0),"")</f>
        <v/>
      </c>
      <c r="F1251" s="33"/>
      <c r="G1251" s="34" t="str">
        <f>IFERROR(IF(F1251&gt;=0,D1251*E1251*(1+F1251/100),ABS(D1251*E1251/F1251)),"")</f>
        <v/>
      </c>
      <c r="H1251" s="43" t="str">
        <f>IFERROR(G1251*E1244,"")</f>
        <v/>
      </c>
    </row>
    <row r="1252" spans="1:11" ht="12.75" customHeight="1">
      <c r="A1252" s="21"/>
      <c r="B1252" s="22" t="s">
        <v>3731</v>
      </c>
      <c r="C1252" s="23"/>
      <c r="D1252" s="24"/>
      <c r="E1252" s="25"/>
      <c r="F1252" s="26"/>
      <c r="G1252" s="27">
        <f>SUM(G1253:G1255)</f>
        <v>2544.9229532220006</v>
      </c>
      <c r="H1252" s="44">
        <f>G1252*E1244</f>
        <v>0</v>
      </c>
    </row>
    <row r="1253" spans="1:11" ht="12.75" customHeight="1">
      <c r="A1253" s="28"/>
      <c r="B1253" s="29" t="s">
        <v>3657</v>
      </c>
      <c r="C1253" s="30" t="str">
        <f>IFERROR(_xlfn.XLOOKUP(B1253,Equipo[DESCRIPCION],Equipo[UND],,0),"")</f>
        <v>Día</v>
      </c>
      <c r="D1253" s="31">
        <v>1</v>
      </c>
      <c r="E1253" s="32">
        <f>IF(C1253="%MO",G1259,IFERROR(_xlfn.XLOOKUP($B1253,Equipo[DESCRIPCION],Equipo[VALOR],,0),""))</f>
        <v>56524.65</v>
      </c>
      <c r="F1253" s="33">
        <v>-40</v>
      </c>
      <c r="G1253" s="34">
        <f>IFERROR(IF(F1253&gt;=0,D1253*E1253*(1+F1253/100),ABS(D1253*E1253/F1253)),"")</f>
        <v>1413.11625</v>
      </c>
      <c r="H1253" s="43">
        <f>IFERROR(G1253*E1244,"")</f>
        <v>0</v>
      </c>
    </row>
    <row r="1254" spans="1:11" ht="12.75" customHeight="1">
      <c r="A1254" s="28"/>
      <c r="B1254" s="29" t="s">
        <v>3570</v>
      </c>
      <c r="C1254" s="30" t="str">
        <f>IFERROR(_xlfn.XLOOKUP(B1254,Equipo[DESCRIPCION],Equipo[UND],,0),"")</f>
        <v>%MO</v>
      </c>
      <c r="D1254" s="31">
        <v>0.04</v>
      </c>
      <c r="E1254" s="32">
        <f>IF(C1254="%MO",G1259,IFERROR(_xlfn.XLOOKUP($B1254,Equipo[DESCRIPCION],Equipo[VALOR],,0),""))</f>
        <v>12575.630035800003</v>
      </c>
      <c r="F1254" s="33"/>
      <c r="G1254" s="34">
        <f>IFERROR(IF(F1254&gt;=0,D1254*E1254*(1+F1254/100),ABS(D1254*E1254/F1254)),"")</f>
        <v>503.02520143200013</v>
      </c>
      <c r="H1254" s="43">
        <f>IFERROR(G1254*E1244,"")</f>
        <v>0</v>
      </c>
    </row>
    <row r="1255" spans="1:11" ht="12.75" customHeight="1">
      <c r="A1255" s="28"/>
      <c r="B1255" s="29" t="s">
        <v>3626</v>
      </c>
      <c r="C1255" s="30" t="str">
        <f>IFERROR(_xlfn.XLOOKUP(B1255,Equipo[DESCRIPCION],Equipo[UND],,0),"")</f>
        <v>%MO</v>
      </c>
      <c r="D1255" s="31">
        <v>0.05</v>
      </c>
      <c r="E1255" s="32">
        <f>IF(C1255="%MO",G1259,IFERROR(_xlfn.XLOOKUP($B1255,Equipo[DESCRIPCION],Equipo[VALOR],,0),""))</f>
        <v>12575.630035800003</v>
      </c>
      <c r="F1255" s="33"/>
      <c r="G1255" s="34">
        <f>IFERROR(IF(F1255&gt;=0,D1255*E1255*(1+F1255/100),ABS(D1255*E1255/F1255)),"")</f>
        <v>628.78150179000022</v>
      </c>
      <c r="H1255" s="43">
        <f>IFERROR(G1255*E1244,"")</f>
        <v>0</v>
      </c>
    </row>
    <row r="1256" spans="1:11" ht="12.75" customHeight="1">
      <c r="A1256" s="21"/>
      <c r="B1256" s="22" t="s">
        <v>2533</v>
      </c>
      <c r="C1256" s="23"/>
      <c r="D1256" s="24"/>
      <c r="E1256" s="25"/>
      <c r="F1256" s="26"/>
      <c r="G1256" s="27">
        <f>SUM(G1257:G1258)</f>
        <v>0</v>
      </c>
      <c r="H1256" s="44">
        <f>G1256*E1244</f>
        <v>0</v>
      </c>
    </row>
    <row r="1257" spans="1:11" ht="12.75" customHeight="1">
      <c r="A1257" s="28"/>
      <c r="B1257" s="29"/>
      <c r="C1257" s="30" t="str">
        <f>IFERROR(_xlfn.XLOOKUP(B1257,Transporte[DESCRIPCION],Transporte[UND],,0),"")</f>
        <v/>
      </c>
      <c r="D1257" s="31"/>
      <c r="E1257" s="32" t="str">
        <f>IFERROR(_xlfn.XLOOKUP($B1257,Transporte[DESCRIPCION],Transporte[VALOR],,0),"")</f>
        <v/>
      </c>
      <c r="F1257" s="33"/>
      <c r="G1257" s="34" t="str">
        <f>IFERROR(IF(F1257&gt;=0,D1257*E1257*(1+F1257/100),ABS(D1257*E1257/F1257)),"")</f>
        <v/>
      </c>
      <c r="H1257" s="43" t="str">
        <f>IFERROR(G1257*E1244,"")</f>
        <v/>
      </c>
    </row>
    <row r="1258" spans="1:11" ht="12.75" customHeight="1">
      <c r="A1258" s="28"/>
      <c r="B1258" s="29"/>
      <c r="C1258" s="30" t="str">
        <f>IFERROR(_xlfn.XLOOKUP(B1258,Transporte[DESCRIPCION],Transporte[UND],,0),"")</f>
        <v/>
      </c>
      <c r="D1258" s="31"/>
      <c r="E1258" s="32" t="str">
        <f>IFERROR(_xlfn.XLOOKUP($B1258,Transporte[DESCRIPCION],Transporte[VALOR],,0),"")</f>
        <v/>
      </c>
      <c r="F1258" s="33"/>
      <c r="G1258" s="34" t="str">
        <f>IFERROR(IF(F1258&gt;=0,D1258*E1258*(1+F1258/100),ABS(D1258*E1258/F1258)),"")</f>
        <v/>
      </c>
      <c r="H1258" s="43" t="str">
        <f>IFERROR(G1258*E1244,"")</f>
        <v/>
      </c>
    </row>
    <row r="1259" spans="1:11" ht="12.75" customHeight="1">
      <c r="A1259" s="21"/>
      <c r="B1259" s="22" t="s">
        <v>3732</v>
      </c>
      <c r="C1259" s="23"/>
      <c r="D1259" s="24"/>
      <c r="E1259" s="25"/>
      <c r="F1259" s="26"/>
      <c r="G1259" s="27">
        <f>SUM(G1260:G1262)</f>
        <v>12575.630035800003</v>
      </c>
      <c r="H1259" s="44">
        <f>G1259*E1244</f>
        <v>0</v>
      </c>
    </row>
    <row r="1260" spans="1:11" ht="12.75" customHeight="1">
      <c r="A1260" s="28"/>
      <c r="B1260" s="29" t="s">
        <v>3710</v>
      </c>
      <c r="C1260" s="30" t="str">
        <f>IFERROR(_xlfn.XLOOKUP(B1260,MObra[DESCRIPCION],MObra[UN],,0),"")</f>
        <v>día</v>
      </c>
      <c r="D1260" s="31">
        <v>1</v>
      </c>
      <c r="E1260" s="32">
        <f>IFERROR(_xlfn.XLOOKUP($B1260,MObra[DESCRIPCION],MObra[VALOR UNIT],,0),"")</f>
        <v>314390.75089500006</v>
      </c>
      <c r="F1260" s="33">
        <v>-25</v>
      </c>
      <c r="G1260" s="34">
        <f>IFERROR(IF(F1260&gt;=0,D1260*E1260*(1+F1260/100),ABS(D1260*E1260/F1260)),"")</f>
        <v>12575.630035800003</v>
      </c>
      <c r="H1260" s="43">
        <f>IFERROR(G1260*E1244,"")</f>
        <v>0</v>
      </c>
    </row>
    <row r="1261" spans="1:11" ht="12.75" customHeight="1">
      <c r="A1261" s="28"/>
      <c r="B1261" s="29"/>
      <c r="C1261" s="30" t="str">
        <f t="array" ref="C1261">IFERROR(_xlfn.XLOOKUP(B1261,MObra[[#All],[DESCRIPCION]],MObra[[#All],[UN]],,0),"")</f>
        <v/>
      </c>
      <c r="D1261" s="31"/>
      <c r="E1261" s="32" t="str">
        <f>IFERROR(_xlfn.XLOOKUP($B1261,MObra[DESCRIPCION],MObra[VALOR UNIT],,0),"")</f>
        <v/>
      </c>
      <c r="F1261" s="33"/>
      <c r="G1261" s="34" t="str">
        <f>IFERROR(IF(F1261&gt;=0,D1261*E1261*(1+F1261/100),ABS(D1261*E1261/F1261)),"")</f>
        <v/>
      </c>
      <c r="H1261" s="43" t="str">
        <f>IFERROR(G1261*E1244,"")</f>
        <v/>
      </c>
    </row>
    <row r="1262" spans="1:11" ht="12.75" customHeight="1" thickBot="1">
      <c r="A1262" s="35"/>
      <c r="B1262" s="36"/>
      <c r="C1262" s="37" t="str">
        <f t="array" ref="C1262">IFERROR(_xlfn.XLOOKUP(B1262,MObra[[#All],[DESCRIPCION]],MObra[[#All],[UN]],,0),"")</f>
        <v/>
      </c>
      <c r="D1262" s="38"/>
      <c r="E1262" s="39" t="str">
        <f>IFERROR(_xlfn.XLOOKUP($B1262,MObra[DESCRIPCION],MObra[VALOR UNIT],,0),"")</f>
        <v/>
      </c>
      <c r="F1262" s="40"/>
      <c r="G1262" s="41" t="str">
        <f>IFERROR(IF(F1262&gt;=0,D1262*E1262*(1+F1262/100),ABS(D1262*E1262/F1262)),"")</f>
        <v/>
      </c>
      <c r="H1262" s="42" t="str">
        <f>IFERROR(G1262*E1244,"")</f>
        <v/>
      </c>
    </row>
    <row r="1263" spans="1:11" ht="12.75" customHeight="1" thickTop="1" thickBot="1"/>
    <row r="1264" spans="1:11" ht="12.75" customHeight="1" thickTop="1" thickBot="1">
      <c r="A1264" s="6" t="s">
        <v>435</v>
      </c>
      <c r="B1264" s="7" t="str">
        <f>VLOOKUP($A1264,Presupuesto!$A:$D,2,FALSE())</f>
        <v>Grada concreto 20.7 Mpa ancho= 0.4 altura= 0.4 sobre terreno</v>
      </c>
      <c r="C1264" s="8" t="str">
        <f>VLOOKUP($A1264,Presupuesto!$A:$D,3,FALSE())</f>
        <v>M</v>
      </c>
      <c r="D1264" s="9"/>
      <c r="E1264" s="10">
        <f>VLOOKUP($A1264,Presupuesto!$A:$D,4,FALSE())</f>
        <v>0</v>
      </c>
      <c r="F1264" s="11" t="s">
        <v>2589</v>
      </c>
      <c r="G1264" s="12">
        <f>SUM(G1266:G1282)/2</f>
        <v>163066.61993135244</v>
      </c>
      <c r="H1264" s="13">
        <f>ROUND(SUM(H1266:H1282),0)/2</f>
        <v>0</v>
      </c>
      <c r="I1264" s="10">
        <f>VLOOKUP(A1264,Presupuesto!$A:$F,6,0)</f>
        <v>0</v>
      </c>
      <c r="J1264" s="10">
        <f>+H1264-I1264</f>
        <v>0</v>
      </c>
      <c r="K1264" s="46">
        <f>+H1264-G1264*E1264</f>
        <v>0</v>
      </c>
    </row>
    <row r="1265" spans="1:8" ht="12.75" customHeight="1" thickTop="1">
      <c r="A1265" s="14"/>
      <c r="B1265" s="15" t="s">
        <v>2586</v>
      </c>
      <c r="C1265" s="15" t="s">
        <v>5</v>
      </c>
      <c r="D1265" s="16" t="s">
        <v>6</v>
      </c>
      <c r="E1265" s="17" t="s">
        <v>7</v>
      </c>
      <c r="F1265" s="18" t="s">
        <v>3728</v>
      </c>
      <c r="G1265" s="19" t="s">
        <v>3729</v>
      </c>
      <c r="H1265" s="20" t="s">
        <v>3797</v>
      </c>
    </row>
    <row r="1266" spans="1:8" ht="12.75" customHeight="1">
      <c r="A1266" s="21"/>
      <c r="B1266" s="22" t="s">
        <v>3730</v>
      </c>
      <c r="C1266" s="23"/>
      <c r="D1266" s="24"/>
      <c r="E1266" s="25"/>
      <c r="F1266" s="26"/>
      <c r="G1266" s="27">
        <f>SUM(G1267:G1271)</f>
        <v>145932.32400757493</v>
      </c>
      <c r="H1266" s="27">
        <f>IFERROR(G1266*E1264,"")</f>
        <v>0</v>
      </c>
    </row>
    <row r="1267" spans="1:8" ht="12.75" customHeight="1">
      <c r="A1267" s="28"/>
      <c r="B1267" s="29" t="s">
        <v>3239</v>
      </c>
      <c r="C1267" s="30" t="str">
        <f>IFERROR(_xlfn.XLOOKUP(B1267,Insumo[DESCRIPCION],Insumo[UND],,0),"")</f>
        <v>M3</v>
      </c>
      <c r="D1267" s="146">
        <f>0.4*0.4*0.5</f>
        <v>8.0000000000000016E-2</v>
      </c>
      <c r="E1267" s="32">
        <f>IFERROR(_xlfn.XLOOKUP($B1267,Insumo[DESCRIPCION],Insumo[VALOR],,0),"")</f>
        <v>521159.50227762427</v>
      </c>
      <c r="F1267" s="33">
        <v>5</v>
      </c>
      <c r="G1267" s="34">
        <f>IFERROR(IF(F1267&gt;=0,D1267*E1267*(1+F1267/100),ABS(D1267*E1267/F1267)),"")</f>
        <v>43777.398191320455</v>
      </c>
      <c r="H1267" s="43">
        <f>IFERROR(G1267*E1264,"")</f>
        <v>0</v>
      </c>
    </row>
    <row r="1268" spans="1:8" ht="12.75" customHeight="1">
      <c r="A1268" s="28"/>
      <c r="B1268" s="29" t="s">
        <v>2954</v>
      </c>
      <c r="C1268" s="30" t="str">
        <f>IFERROR(_xlfn.XLOOKUP(B1268,Insumo[DESCRIPCION],Insumo[UND],,0),"")</f>
        <v>M2</v>
      </c>
      <c r="D1268" s="31">
        <f>0.4*2.5</f>
        <v>1</v>
      </c>
      <c r="E1268" s="32">
        <f>IFERROR(_xlfn.XLOOKUP($B1268,Insumo[DESCRIPCION],Insumo[VALOR],,0),"")</f>
        <v>102154.92581625449</v>
      </c>
      <c r="F1268" s="33"/>
      <c r="G1268" s="34">
        <f>IFERROR(IF(F1268&gt;=0,D1268*E1268*(1+F1268/100),ABS(D1268*E1268/F1268)),"")</f>
        <v>102154.92581625449</v>
      </c>
      <c r="H1268" s="43">
        <f>IFERROR(G1268*E1264,"")</f>
        <v>0</v>
      </c>
    </row>
    <row r="1269" spans="1:8" ht="12.75" customHeight="1">
      <c r="A1269" s="28"/>
      <c r="B1269" s="29"/>
      <c r="C1269" s="30" t="str">
        <f>IFERROR(_xlfn.XLOOKUP(B1269,Insumo[DESCRIPCION],Insumo[UND],,0),"")</f>
        <v/>
      </c>
      <c r="D1269" s="31"/>
      <c r="E1269" s="32" t="str">
        <f>IFERROR(_xlfn.XLOOKUP($B1269,Insumo[DESCRIPCION],Insumo[VALOR],,0),"")</f>
        <v/>
      </c>
      <c r="F1269" s="33"/>
      <c r="G1269" s="34" t="str">
        <f>IFERROR(IF(F1269&gt;=0,D1269*E1269*(1+F1269/100),ABS(D1269*E1269/F1269)),"")</f>
        <v/>
      </c>
      <c r="H1269" s="43" t="str">
        <f>IFERROR(G1269*E1264,"")</f>
        <v/>
      </c>
    </row>
    <row r="1270" spans="1:8" ht="12.75" customHeight="1">
      <c r="A1270" s="28"/>
      <c r="B1270" s="29"/>
      <c r="C1270" s="30" t="str">
        <f>IFERROR(_xlfn.XLOOKUP(B1270,Insumo[DESCRIPCION],Insumo[UND],,0),"")</f>
        <v/>
      </c>
      <c r="D1270" s="31"/>
      <c r="E1270" s="32" t="str">
        <f>IFERROR(_xlfn.XLOOKUP($B1270,Insumo[DESCRIPCION],Insumo[VALOR],,0),"")</f>
        <v/>
      </c>
      <c r="F1270" s="33"/>
      <c r="G1270" s="34" t="str">
        <f>IFERROR(IF(F1270&gt;=0,D1270*E1270*(1+F1270/100),ABS(D1270*E1270/F1270)),"")</f>
        <v/>
      </c>
      <c r="H1270" s="43" t="str">
        <f>IFERROR(G1270*E1264,"")</f>
        <v/>
      </c>
    </row>
    <row r="1271" spans="1:8" ht="12.75" customHeight="1">
      <c r="A1271" s="28"/>
      <c r="B1271" s="29"/>
      <c r="C1271" s="30" t="str">
        <f>IFERROR(_xlfn.XLOOKUP(B1271,Insumo[DESCRIPCION],Insumo[UND],,0),"")</f>
        <v/>
      </c>
      <c r="D1271" s="31"/>
      <c r="E1271" s="32" t="str">
        <f>IFERROR(_xlfn.XLOOKUP($B1271,Insumo[DESCRIPCION],Insumo[VALOR],,0),"")</f>
        <v/>
      </c>
      <c r="F1271" s="33"/>
      <c r="G1271" s="34" t="str">
        <f>IFERROR(IF(F1271&gt;=0,D1271*E1271*(1+F1271/100),ABS(D1271*E1271/F1271)),"")</f>
        <v/>
      </c>
      <c r="H1271" s="43" t="str">
        <f>IFERROR(G1271*E1264,"")</f>
        <v/>
      </c>
    </row>
    <row r="1272" spans="1:8" ht="12.75" customHeight="1">
      <c r="A1272" s="21"/>
      <c r="B1272" s="22" t="s">
        <v>3731</v>
      </c>
      <c r="C1272" s="23"/>
      <c r="D1272" s="24"/>
      <c r="E1272" s="25"/>
      <c r="F1272" s="26"/>
      <c r="G1272" s="27">
        <f>SUM(G1273:G1275)</f>
        <v>1414.7583790275003</v>
      </c>
      <c r="H1272" s="44">
        <f>G1272*E1264</f>
        <v>0</v>
      </c>
    </row>
    <row r="1273" spans="1:8" ht="12.75" customHeight="1">
      <c r="A1273" s="28"/>
      <c r="B1273" s="29" t="s">
        <v>3570</v>
      </c>
      <c r="C1273" s="30" t="str">
        <f>IFERROR(_xlfn.XLOOKUP(B1273,Equipo[DESCRIPCION],Equipo[UND],,0),"")</f>
        <v>%MO</v>
      </c>
      <c r="D1273" s="31">
        <v>0.04</v>
      </c>
      <c r="E1273" s="32">
        <f>IF(C1273="%MO",G1279,IFERROR(_xlfn.XLOOKUP($B1273,Equipo[DESCRIPCION],Equipo[VALOR],,0),""))</f>
        <v>15719.537544750003</v>
      </c>
      <c r="F1273" s="33"/>
      <c r="G1273" s="34">
        <f>IFERROR(IF(F1273&gt;=0,D1273*E1273*(1+F1273/100),ABS(D1273*E1273/F1273)),"")</f>
        <v>628.78150179000011</v>
      </c>
      <c r="H1273" s="43">
        <f>IFERROR(G1273*E1264,"")</f>
        <v>0</v>
      </c>
    </row>
    <row r="1274" spans="1:8" ht="12.75" customHeight="1">
      <c r="A1274" s="28"/>
      <c r="B1274" s="29" t="s">
        <v>3626</v>
      </c>
      <c r="C1274" s="30" t="str">
        <f>IFERROR(_xlfn.XLOOKUP(B1274,Equipo[DESCRIPCION],Equipo[UND],,0),"")</f>
        <v>%MO</v>
      </c>
      <c r="D1274" s="31">
        <v>0.05</v>
      </c>
      <c r="E1274" s="32">
        <f>IF(C1274="%MO",G1279,IFERROR(_xlfn.XLOOKUP($B1274,Equipo[DESCRIPCION],Equipo[VALOR],,0),""))</f>
        <v>15719.537544750003</v>
      </c>
      <c r="F1274" s="33"/>
      <c r="G1274" s="34">
        <f>IFERROR(IF(F1274&gt;=0,D1274*E1274*(1+F1274/100),ABS(D1274*E1274/F1274)),"")</f>
        <v>785.97687723750016</v>
      </c>
      <c r="H1274" s="43">
        <f>IFERROR(G1274*E1264,"")</f>
        <v>0</v>
      </c>
    </row>
    <row r="1275" spans="1:8" ht="12.75" customHeight="1">
      <c r="A1275" s="28"/>
      <c r="B1275" s="29"/>
      <c r="C1275" s="30" t="str">
        <f>IFERROR(_xlfn.XLOOKUP(B1275,Equipo[DESCRIPCION],Equipo[UND],,0),"")</f>
        <v/>
      </c>
      <c r="D1275" s="31"/>
      <c r="E1275" s="32" t="str">
        <f>IF(C1275="%MO",G1279,IFERROR(_xlfn.XLOOKUP($B1275,Equipo[DESCRIPCION],Equipo[VALOR],,0),""))</f>
        <v/>
      </c>
      <c r="F1275" s="33"/>
      <c r="G1275" s="34" t="str">
        <f>IFERROR(IF(F1275&gt;=0,D1275*E1275*(1+F1275/100),ABS(D1275*E1275/F1275)),"")</f>
        <v/>
      </c>
      <c r="H1275" s="43" t="str">
        <f>IFERROR(G1275*E1264,"")</f>
        <v/>
      </c>
    </row>
    <row r="1276" spans="1:8" ht="12.75" customHeight="1">
      <c r="A1276" s="21"/>
      <c r="B1276" s="22" t="s">
        <v>2533</v>
      </c>
      <c r="C1276" s="23"/>
      <c r="D1276" s="24"/>
      <c r="E1276" s="25"/>
      <c r="F1276" s="26"/>
      <c r="G1276" s="27">
        <f>SUM(G1277:G1278)</f>
        <v>0</v>
      </c>
      <c r="H1276" s="44">
        <f>G1276*E1264</f>
        <v>0</v>
      </c>
    </row>
    <row r="1277" spans="1:8" ht="12.75" customHeight="1">
      <c r="A1277" s="28"/>
      <c r="B1277" s="29"/>
      <c r="C1277" s="30" t="str">
        <f>IFERROR(_xlfn.XLOOKUP(B1277,Transporte[DESCRIPCION],Transporte[UND],,0),"")</f>
        <v/>
      </c>
      <c r="D1277" s="31"/>
      <c r="E1277" s="32" t="str">
        <f>IFERROR(_xlfn.XLOOKUP($B1277,Transporte[DESCRIPCION],Transporte[VALOR],,0),"")</f>
        <v/>
      </c>
      <c r="F1277" s="33"/>
      <c r="G1277" s="34" t="str">
        <f>IFERROR(IF(F1277&gt;=0,D1277*E1277*(1+F1277/100),ABS(D1277*E1277/F1277)),"")</f>
        <v/>
      </c>
      <c r="H1277" s="43" t="str">
        <f>IFERROR(G1277*E1264,"")</f>
        <v/>
      </c>
    </row>
    <row r="1278" spans="1:8" ht="12.75" customHeight="1">
      <c r="A1278" s="28"/>
      <c r="B1278" s="29"/>
      <c r="C1278" s="30" t="str">
        <f>IFERROR(_xlfn.XLOOKUP(B1278,Transporte[DESCRIPCION],Transporte[UND],,0),"")</f>
        <v/>
      </c>
      <c r="D1278" s="31"/>
      <c r="E1278" s="32" t="str">
        <f>IFERROR(_xlfn.XLOOKUP($B1278,Transporte[DESCRIPCION],Transporte[VALOR],,0),"")</f>
        <v/>
      </c>
      <c r="F1278" s="33"/>
      <c r="G1278" s="34" t="str">
        <f>IFERROR(IF(F1278&gt;=0,D1278*E1278*(1+F1278/100),ABS(D1278*E1278/F1278)),"")</f>
        <v/>
      </c>
      <c r="H1278" s="43" t="str">
        <f>IFERROR(G1278*E1264,"")</f>
        <v/>
      </c>
    </row>
    <row r="1279" spans="1:8" ht="12.75" customHeight="1">
      <c r="A1279" s="21"/>
      <c r="B1279" s="22" t="s">
        <v>3732</v>
      </c>
      <c r="C1279" s="23"/>
      <c r="D1279" s="24"/>
      <c r="E1279" s="25"/>
      <c r="F1279" s="26"/>
      <c r="G1279" s="27">
        <f>SUM(G1280:G1282)</f>
        <v>15719.537544750003</v>
      </c>
      <c r="H1279" s="44">
        <f>G1279*E1264</f>
        <v>0</v>
      </c>
    </row>
    <row r="1280" spans="1:8" ht="12.75" customHeight="1">
      <c r="A1280" s="28"/>
      <c r="B1280" s="29" t="s">
        <v>3710</v>
      </c>
      <c r="C1280" s="30" t="str">
        <f>IFERROR(_xlfn.XLOOKUP(B1280,MObra[DESCRIPCION],MObra[UN],,0),"")</f>
        <v>día</v>
      </c>
      <c r="D1280" s="31">
        <v>1</v>
      </c>
      <c r="E1280" s="32">
        <f>IFERROR(_xlfn.XLOOKUP($B1280,MObra[DESCRIPCION],MObra[VALOR UNIT],,0),"")</f>
        <v>314390.75089500006</v>
      </c>
      <c r="F1280" s="33">
        <v>-20</v>
      </c>
      <c r="G1280" s="34">
        <f>IFERROR(IF(F1280&gt;=0,D1280*E1280*(1+F1280/100),ABS(D1280*E1280/F1280)),"")</f>
        <v>15719.537544750003</v>
      </c>
      <c r="H1280" s="43">
        <f>IFERROR(G1280*E1264,"")</f>
        <v>0</v>
      </c>
    </row>
    <row r="1281" spans="1:11" ht="12.75" customHeight="1">
      <c r="A1281" s="28"/>
      <c r="B1281" s="29"/>
      <c r="C1281" s="30" t="str">
        <f t="array" ref="C1281">IFERROR(_xlfn.XLOOKUP(B1281,MObra[[#All],[DESCRIPCION]],MObra[[#All],[UN]],,0),"")</f>
        <v/>
      </c>
      <c r="D1281" s="31"/>
      <c r="E1281" s="32" t="str">
        <f>IFERROR(_xlfn.XLOOKUP($B1281,MObra[DESCRIPCION],MObra[VALOR UNIT],,0),"")</f>
        <v/>
      </c>
      <c r="F1281" s="33"/>
      <c r="G1281" s="34" t="str">
        <f>IFERROR(IF(F1281&gt;=0,D1281*E1281*(1+F1281/100),ABS(D1281*E1281/F1281)),"")</f>
        <v/>
      </c>
      <c r="H1281" s="43" t="str">
        <f>IFERROR(G1281*E1264,"")</f>
        <v/>
      </c>
    </row>
    <row r="1282" spans="1:11" ht="12.75" customHeight="1" thickBot="1">
      <c r="A1282" s="35"/>
      <c r="B1282" s="36"/>
      <c r="C1282" s="37" t="str">
        <f t="array" ref="C1282">IFERROR(_xlfn.XLOOKUP(B1282,MObra[[#All],[DESCRIPCION]],MObra[[#All],[UN]],,0),"")</f>
        <v/>
      </c>
      <c r="D1282" s="38"/>
      <c r="E1282" s="39" t="str">
        <f>IFERROR(_xlfn.XLOOKUP($B1282,MObra[DESCRIPCION],MObra[VALOR UNIT],,0),"")</f>
        <v/>
      </c>
      <c r="F1282" s="40"/>
      <c r="G1282" s="41" t="str">
        <f>IFERROR(IF(F1282&gt;=0,D1282*E1282*(1+F1282/100),ABS(D1282*E1282/F1282)),"")</f>
        <v/>
      </c>
      <c r="H1282" s="42" t="str">
        <f>IFERROR(G1282*E1264,"")</f>
        <v/>
      </c>
    </row>
    <row r="1283" spans="1:11" ht="12.75" customHeight="1" thickTop="1" thickBot="1"/>
    <row r="1284" spans="1:11" ht="12.75" customHeight="1" thickTop="1" thickBot="1">
      <c r="A1284" s="6" t="s">
        <v>437</v>
      </c>
      <c r="B1284" s="7" t="str">
        <f>VLOOKUP($A1284,Presupuesto!$A:$D,2,FALSE())</f>
        <v>Grada concreto 20.7 Mpa ancho= 0.5 altura= 0.3 sobre terreno</v>
      </c>
      <c r="C1284" s="8" t="str">
        <f>VLOOKUP($A1284,Presupuesto!$A:$D,3,FALSE())</f>
        <v>M</v>
      </c>
      <c r="D1284" s="9"/>
      <c r="E1284" s="10">
        <f>VLOOKUP($A1284,Presupuesto!$A:$D,4,FALSE())</f>
        <v>0</v>
      </c>
      <c r="F1284" s="11" t="s">
        <v>2589</v>
      </c>
      <c r="G1284" s="12">
        <f>SUM(G1286:G1302)/2</f>
        <v>117910.89895209513</v>
      </c>
      <c r="H1284" s="13">
        <f>ROUND(SUM(H1286:H1302),0)/2</f>
        <v>0</v>
      </c>
      <c r="I1284" s="10">
        <f>VLOOKUP(A1284,Presupuesto!$A:$F,6,0)</f>
        <v>0</v>
      </c>
      <c r="J1284" s="10">
        <f>+H1284-I1284</f>
        <v>0</v>
      </c>
      <c r="K1284" s="46">
        <f>+H1284-G1284*E1284</f>
        <v>0</v>
      </c>
    </row>
    <row r="1285" spans="1:11" ht="12.75" customHeight="1" thickTop="1">
      <c r="A1285" s="14"/>
      <c r="B1285" s="15" t="s">
        <v>2586</v>
      </c>
      <c r="C1285" s="15" t="s">
        <v>5</v>
      </c>
      <c r="D1285" s="16" t="s">
        <v>6</v>
      </c>
      <c r="E1285" s="17" t="s">
        <v>7</v>
      </c>
      <c r="F1285" s="18" t="s">
        <v>3728</v>
      </c>
      <c r="G1285" s="19" t="s">
        <v>3729</v>
      </c>
      <c r="H1285" s="20" t="s">
        <v>3797</v>
      </c>
    </row>
    <row r="1286" spans="1:11" ht="12.75" customHeight="1">
      <c r="A1286" s="21"/>
      <c r="B1286" s="22" t="s">
        <v>3730</v>
      </c>
      <c r="C1286" s="23"/>
      <c r="D1286" s="24"/>
      <c r="E1286" s="25"/>
      <c r="F1286" s="26"/>
      <c r="G1286" s="27">
        <f>SUM(G1287:G1291)</f>
        <v>102334.2662941156</v>
      </c>
      <c r="H1286" s="27">
        <f>IFERROR(G1286*E1284,"")</f>
        <v>0</v>
      </c>
    </row>
    <row r="1287" spans="1:11" ht="12.75" customHeight="1">
      <c r="A1287" s="28"/>
      <c r="B1287" s="29" t="s">
        <v>3239</v>
      </c>
      <c r="C1287" s="30" t="str">
        <f>IFERROR(_xlfn.XLOOKUP(B1287,Insumo[DESCRIPCION],Insumo[UND],,0),"")</f>
        <v>M3</v>
      </c>
      <c r="D1287" s="31">
        <f>0.5*0.3*0.5</f>
        <v>7.4999999999999997E-2</v>
      </c>
      <c r="E1287" s="32">
        <f>IFERROR(_xlfn.XLOOKUP($B1287,Insumo[DESCRIPCION],Insumo[VALOR],,0),"")</f>
        <v>521159.50227762427</v>
      </c>
      <c r="F1287" s="33">
        <v>5</v>
      </c>
      <c r="G1287" s="34">
        <f>IFERROR(IF(F1287&gt;=0,D1287*E1287*(1+F1287/100),ABS(D1287*E1287/F1287)),"")</f>
        <v>41041.310804362911</v>
      </c>
      <c r="H1287" s="43">
        <f>IFERROR(G1287*E1284,"")</f>
        <v>0</v>
      </c>
    </row>
    <row r="1288" spans="1:11" ht="12.75" customHeight="1">
      <c r="A1288" s="28"/>
      <c r="B1288" s="29" t="s">
        <v>2954</v>
      </c>
      <c r="C1288" s="30" t="str">
        <f>IFERROR(_xlfn.XLOOKUP(B1288,Insumo[DESCRIPCION],Insumo[UND],,0),"")</f>
        <v>M2</v>
      </c>
      <c r="D1288" s="31">
        <f>0.3*2</f>
        <v>0.6</v>
      </c>
      <c r="E1288" s="32">
        <f>IFERROR(_xlfn.XLOOKUP($B1288,Insumo[DESCRIPCION],Insumo[VALOR],,0),"")</f>
        <v>102154.92581625449</v>
      </c>
      <c r="F1288" s="33"/>
      <c r="G1288" s="34">
        <f>IFERROR(IF(F1288&gt;=0,D1288*E1288*(1+F1288/100),ABS(D1288*E1288/F1288)),"")</f>
        <v>61292.95548975269</v>
      </c>
      <c r="H1288" s="43">
        <f>IFERROR(G1288*E1284,"")</f>
        <v>0</v>
      </c>
    </row>
    <row r="1289" spans="1:11" ht="12.75" customHeight="1">
      <c r="A1289" s="28"/>
      <c r="B1289" s="29"/>
      <c r="C1289" s="30" t="str">
        <f>IFERROR(_xlfn.XLOOKUP(B1289,Insumo[DESCRIPCION],Insumo[UND],,0),"")</f>
        <v/>
      </c>
      <c r="D1289" s="31"/>
      <c r="E1289" s="32" t="str">
        <f>IFERROR(_xlfn.XLOOKUP($B1289,Insumo[DESCRIPCION],Insumo[VALOR],,0),"")</f>
        <v/>
      </c>
      <c r="F1289" s="33"/>
      <c r="G1289" s="34" t="str">
        <f>IFERROR(IF(F1289&gt;=0,D1289*E1289*(1+F1289/100),ABS(D1289*E1289/F1289)),"")</f>
        <v/>
      </c>
      <c r="H1289" s="43" t="str">
        <f>IFERROR(G1289*E1284,"")</f>
        <v/>
      </c>
    </row>
    <row r="1290" spans="1:11" ht="12.75" customHeight="1">
      <c r="A1290" s="28"/>
      <c r="B1290" s="29"/>
      <c r="C1290" s="30" t="str">
        <f>IFERROR(_xlfn.XLOOKUP(B1290,Insumo[DESCRIPCION],Insumo[UND],,0),"")</f>
        <v/>
      </c>
      <c r="D1290" s="31"/>
      <c r="E1290" s="32" t="str">
        <f>IFERROR(_xlfn.XLOOKUP($B1290,Insumo[DESCRIPCION],Insumo[VALOR],,0),"")</f>
        <v/>
      </c>
      <c r="F1290" s="33"/>
      <c r="G1290" s="34" t="str">
        <f>IFERROR(IF(F1290&gt;=0,D1290*E1290*(1+F1290/100),ABS(D1290*E1290/F1290)),"")</f>
        <v/>
      </c>
      <c r="H1290" s="43" t="str">
        <f>IFERROR(G1290*E1284,"")</f>
        <v/>
      </c>
    </row>
    <row r="1291" spans="1:11" ht="12.75" customHeight="1">
      <c r="A1291" s="28"/>
      <c r="B1291" s="29"/>
      <c r="C1291" s="30" t="str">
        <f>IFERROR(_xlfn.XLOOKUP(B1291,Insumo[DESCRIPCION],Insumo[UND],,0),"")</f>
        <v/>
      </c>
      <c r="D1291" s="31"/>
      <c r="E1291" s="32" t="str">
        <f>IFERROR(_xlfn.XLOOKUP($B1291,Insumo[DESCRIPCION],Insumo[VALOR],,0),"")</f>
        <v/>
      </c>
      <c r="F1291" s="33"/>
      <c r="G1291" s="34" t="str">
        <f>IFERROR(IF(F1291&gt;=0,D1291*E1291*(1+F1291/100),ABS(D1291*E1291/F1291)),"")</f>
        <v/>
      </c>
      <c r="H1291" s="43" t="str">
        <f>IFERROR(G1291*E1284,"")</f>
        <v/>
      </c>
    </row>
    <row r="1292" spans="1:11" ht="12.75" customHeight="1">
      <c r="A1292" s="21"/>
      <c r="B1292" s="22" t="s">
        <v>3731</v>
      </c>
      <c r="C1292" s="23"/>
      <c r="D1292" s="24"/>
      <c r="E1292" s="25"/>
      <c r="F1292" s="26"/>
      <c r="G1292" s="27">
        <f>SUM(G1293:G1295)</f>
        <v>1286.1439809340914</v>
      </c>
      <c r="H1292" s="44">
        <f>G1292*E1284</f>
        <v>0</v>
      </c>
    </row>
    <row r="1293" spans="1:11" ht="12.75" customHeight="1">
      <c r="A1293" s="28"/>
      <c r="B1293" s="29" t="s">
        <v>3570</v>
      </c>
      <c r="C1293" s="30" t="str">
        <f>IFERROR(_xlfn.XLOOKUP(B1293,Equipo[DESCRIPCION],Equipo[UND],,0),"")</f>
        <v>%MO</v>
      </c>
      <c r="D1293" s="31">
        <v>0.04</v>
      </c>
      <c r="E1293" s="32">
        <f>IF(C1293="%MO",G1299,IFERROR(_xlfn.XLOOKUP($B1293,Equipo[DESCRIPCION],Equipo[VALOR],,0),""))</f>
        <v>14290.488677045458</v>
      </c>
      <c r="F1293" s="33"/>
      <c r="G1293" s="34">
        <f>IFERROR(IF(F1293&gt;=0,D1293*E1293*(1+F1293/100),ABS(D1293*E1293/F1293)),"")</f>
        <v>571.61954708181827</v>
      </c>
      <c r="H1293" s="43">
        <f>IFERROR(G1293*E1284,"")</f>
        <v>0</v>
      </c>
    </row>
    <row r="1294" spans="1:11" ht="12.75" customHeight="1">
      <c r="A1294" s="28"/>
      <c r="B1294" s="29" t="s">
        <v>3626</v>
      </c>
      <c r="C1294" s="30" t="str">
        <f>IFERROR(_xlfn.XLOOKUP(B1294,Equipo[DESCRIPCION],Equipo[UND],,0),"")</f>
        <v>%MO</v>
      </c>
      <c r="D1294" s="31">
        <v>0.05</v>
      </c>
      <c r="E1294" s="32">
        <f>IF(C1294="%MO",G1299,IFERROR(_xlfn.XLOOKUP($B1294,Equipo[DESCRIPCION],Equipo[VALOR],,0),""))</f>
        <v>14290.488677045458</v>
      </c>
      <c r="F1294" s="33"/>
      <c r="G1294" s="34">
        <f>IFERROR(IF(F1294&gt;=0,D1294*E1294*(1+F1294/100),ABS(D1294*E1294/F1294)),"")</f>
        <v>714.52443385227298</v>
      </c>
      <c r="H1294" s="43">
        <f>IFERROR(G1294*E1284,"")</f>
        <v>0</v>
      </c>
    </row>
    <row r="1295" spans="1:11" ht="12.75" customHeight="1">
      <c r="A1295" s="28"/>
      <c r="B1295" s="29"/>
      <c r="C1295" s="30" t="str">
        <f>IFERROR(_xlfn.XLOOKUP(B1295,Equipo[DESCRIPCION],Equipo[UND],,0),"")</f>
        <v/>
      </c>
      <c r="D1295" s="31"/>
      <c r="E1295" s="32" t="str">
        <f>IF(C1295="%MO",G1299,IFERROR(_xlfn.XLOOKUP($B1295,Equipo[DESCRIPCION],Equipo[VALOR],,0),""))</f>
        <v/>
      </c>
      <c r="F1295" s="33"/>
      <c r="G1295" s="34" t="str">
        <f>IFERROR(IF(F1295&gt;=0,D1295*E1295*(1+F1295/100),ABS(D1295*E1295/F1295)),"")</f>
        <v/>
      </c>
      <c r="H1295" s="43" t="str">
        <f>IFERROR(G1295*E1284,"")</f>
        <v/>
      </c>
    </row>
    <row r="1296" spans="1:11" ht="12.75" customHeight="1">
      <c r="A1296" s="21"/>
      <c r="B1296" s="22" t="s">
        <v>2533</v>
      </c>
      <c r="C1296" s="23"/>
      <c r="D1296" s="24"/>
      <c r="E1296" s="25"/>
      <c r="F1296" s="26"/>
      <c r="G1296" s="27">
        <f>SUM(G1297:G1298)</f>
        <v>0</v>
      </c>
      <c r="H1296" s="44">
        <f>G1296*E1284</f>
        <v>0</v>
      </c>
    </row>
    <row r="1297" spans="1:11" ht="12.75" customHeight="1">
      <c r="A1297" s="28"/>
      <c r="B1297" s="29"/>
      <c r="C1297" s="30" t="str">
        <f>IFERROR(_xlfn.XLOOKUP(B1297,Transporte[DESCRIPCION],Transporte[UND],,0),"")</f>
        <v/>
      </c>
      <c r="D1297" s="31"/>
      <c r="E1297" s="32" t="str">
        <f>IFERROR(_xlfn.XLOOKUP($B1297,Transporte[DESCRIPCION],Transporte[VALOR],,0),"")</f>
        <v/>
      </c>
      <c r="F1297" s="33"/>
      <c r="G1297" s="34" t="str">
        <f>IFERROR(IF(F1297&gt;=0,D1297*E1297*(1+F1297/100),ABS(D1297*E1297/F1297)),"")</f>
        <v/>
      </c>
      <c r="H1297" s="43" t="str">
        <f>IFERROR(G1297*E1284,"")</f>
        <v/>
      </c>
    </row>
    <row r="1298" spans="1:11" ht="12.75" customHeight="1">
      <c r="A1298" s="28"/>
      <c r="B1298" s="29"/>
      <c r="C1298" s="30" t="str">
        <f>IFERROR(_xlfn.XLOOKUP(B1298,Transporte[DESCRIPCION],Transporte[UND],,0),"")</f>
        <v/>
      </c>
      <c r="D1298" s="31"/>
      <c r="E1298" s="32" t="str">
        <f>IFERROR(_xlfn.XLOOKUP($B1298,Transporte[DESCRIPCION],Transporte[VALOR],,0),"")</f>
        <v/>
      </c>
      <c r="F1298" s="33"/>
      <c r="G1298" s="34" t="str">
        <f>IFERROR(IF(F1298&gt;=0,D1298*E1298*(1+F1298/100),ABS(D1298*E1298/F1298)),"")</f>
        <v/>
      </c>
      <c r="H1298" s="43" t="str">
        <f>IFERROR(G1298*E1284,"")</f>
        <v/>
      </c>
    </row>
    <row r="1299" spans="1:11" ht="12.75" customHeight="1">
      <c r="A1299" s="21"/>
      <c r="B1299" s="22" t="s">
        <v>3732</v>
      </c>
      <c r="C1299" s="23"/>
      <c r="D1299" s="24"/>
      <c r="E1299" s="25"/>
      <c r="F1299" s="26"/>
      <c r="G1299" s="27">
        <f>SUM(G1300:G1302)</f>
        <v>14290.488677045458</v>
      </c>
      <c r="H1299" s="44">
        <f>G1299*E1284</f>
        <v>0</v>
      </c>
    </row>
    <row r="1300" spans="1:11" ht="12.75" customHeight="1">
      <c r="A1300" s="28"/>
      <c r="B1300" s="29" t="s">
        <v>3710</v>
      </c>
      <c r="C1300" s="30" t="str">
        <f>IFERROR(_xlfn.XLOOKUP(B1300,MObra[DESCRIPCION],MObra[UN],,0),"")</f>
        <v>día</v>
      </c>
      <c r="D1300" s="31">
        <v>1</v>
      </c>
      <c r="E1300" s="32">
        <f>IFERROR(_xlfn.XLOOKUP($B1300,MObra[DESCRIPCION],MObra[VALOR UNIT],,0),"")</f>
        <v>314390.75089500006</v>
      </c>
      <c r="F1300" s="33">
        <v>-22</v>
      </c>
      <c r="G1300" s="34">
        <f>IFERROR(IF(F1300&gt;=0,D1300*E1300*(1+F1300/100),ABS(D1300*E1300/F1300)),"")</f>
        <v>14290.488677045458</v>
      </c>
      <c r="H1300" s="43">
        <f>IFERROR(G1300*E1284,"")</f>
        <v>0</v>
      </c>
    </row>
    <row r="1301" spans="1:11" ht="12.75" customHeight="1">
      <c r="A1301" s="28"/>
      <c r="B1301" s="29"/>
      <c r="C1301" s="30" t="str">
        <f t="array" ref="C1301">IFERROR(_xlfn.XLOOKUP(B1301,MObra[[#All],[DESCRIPCION]],MObra[[#All],[UN]],,0),"")</f>
        <v/>
      </c>
      <c r="D1301" s="31"/>
      <c r="E1301" s="32" t="str">
        <f>IFERROR(_xlfn.XLOOKUP($B1301,MObra[DESCRIPCION],MObra[VALOR UNIT],,0),"")</f>
        <v/>
      </c>
      <c r="F1301" s="33"/>
      <c r="G1301" s="34" t="str">
        <f>IFERROR(IF(F1301&gt;=0,D1301*E1301*(1+F1301/100),ABS(D1301*E1301/F1301)),"")</f>
        <v/>
      </c>
      <c r="H1301" s="43" t="str">
        <f>IFERROR(G1301*E1284,"")</f>
        <v/>
      </c>
    </row>
    <row r="1302" spans="1:11" ht="12.75" customHeight="1" thickBot="1">
      <c r="A1302" s="35"/>
      <c r="B1302" s="36"/>
      <c r="C1302" s="37" t="str">
        <f t="array" ref="C1302">IFERROR(_xlfn.XLOOKUP(B1302,MObra[[#All],[DESCRIPCION]],MObra[[#All],[UN]],,0),"")</f>
        <v/>
      </c>
      <c r="D1302" s="38"/>
      <c r="E1302" s="39" t="str">
        <f>IFERROR(_xlfn.XLOOKUP($B1302,MObra[DESCRIPCION],MObra[VALOR UNIT],,0),"")</f>
        <v/>
      </c>
      <c r="F1302" s="40"/>
      <c r="G1302" s="41" t="str">
        <f>IFERROR(IF(F1302&gt;=0,D1302*E1302*(1+F1302/100),ABS(D1302*E1302/F1302)),"")</f>
        <v/>
      </c>
      <c r="H1302" s="42" t="str">
        <f>IFERROR(G1302*E1284,"")</f>
        <v/>
      </c>
    </row>
    <row r="1303" spans="1:11" ht="12.75" customHeight="1" thickTop="1" thickBot="1"/>
    <row r="1304" spans="1:11" ht="12.75" customHeight="1" thickTop="1" thickBot="1">
      <c r="A1304" s="6" t="s">
        <v>439</v>
      </c>
      <c r="B1304" s="7" t="str">
        <f>VLOOKUP($A1304,Presupuesto!$A:$D,2,FALSE())</f>
        <v>Grada concreto 20.7 Mpa ancho =0.7 altura= 0.3 sobre terreno</v>
      </c>
      <c r="C1304" s="8" t="str">
        <f>VLOOKUP($A1304,Presupuesto!$A:$D,3,FALSE())</f>
        <v>M</v>
      </c>
      <c r="D1304" s="9"/>
      <c r="E1304" s="10">
        <f>VLOOKUP($A1304,Presupuesto!$A:$D,4,FALSE())</f>
        <v>0</v>
      </c>
      <c r="F1304" s="11" t="s">
        <v>2589</v>
      </c>
      <c r="G1304" s="12">
        <f>SUM(G1306:G1322)/2</f>
        <v>101055.33619241315</v>
      </c>
      <c r="H1304" s="13">
        <f>ROUND(SUM(H1306:H1322),0)/2</f>
        <v>0</v>
      </c>
      <c r="I1304" s="10">
        <f>VLOOKUP(A1304,Presupuesto!$A:$F,6,0)</f>
        <v>0</v>
      </c>
      <c r="J1304" s="10">
        <f>+H1304-I1304</f>
        <v>0</v>
      </c>
      <c r="K1304" s="46">
        <f>+H1304-G1304*E1304</f>
        <v>0</v>
      </c>
    </row>
    <row r="1305" spans="1:11" ht="12.75" customHeight="1" thickTop="1">
      <c r="A1305" s="14"/>
      <c r="B1305" s="15" t="s">
        <v>2586</v>
      </c>
      <c r="C1305" s="15" t="s">
        <v>5</v>
      </c>
      <c r="D1305" s="16" t="s">
        <v>6</v>
      </c>
      <c r="E1305" s="17" t="s">
        <v>7</v>
      </c>
      <c r="F1305" s="18" t="s">
        <v>3728</v>
      </c>
      <c r="G1305" s="19" t="s">
        <v>3729</v>
      </c>
      <c r="H1305" s="20" t="s">
        <v>3797</v>
      </c>
    </row>
    <row r="1306" spans="1:11" ht="12.75" customHeight="1">
      <c r="A1306" s="21"/>
      <c r="B1306" s="22" t="s">
        <v>3730</v>
      </c>
      <c r="C1306" s="23"/>
      <c r="D1306" s="24"/>
      <c r="E1306" s="25"/>
      <c r="F1306" s="26"/>
      <c r="G1306" s="27">
        <f>SUM(G1307:G1311)</f>
        <v>85478.703534433618</v>
      </c>
      <c r="H1306" s="27">
        <f>IFERROR(G1306*E1304,"")</f>
        <v>0</v>
      </c>
    </row>
    <row r="1307" spans="1:11" ht="12.75" customHeight="1">
      <c r="A1307" s="28"/>
      <c r="B1307" s="29" t="s">
        <v>3239</v>
      </c>
      <c r="C1307" s="30" t="str">
        <f>IFERROR(_xlfn.XLOOKUP(B1307,Insumo[DESCRIPCION],Insumo[UND],,0),"")</f>
        <v>M3</v>
      </c>
      <c r="D1307" s="31">
        <f>0.5*0.3*0.5</f>
        <v>7.4999999999999997E-2</v>
      </c>
      <c r="E1307" s="32">
        <f>IFERROR(_xlfn.XLOOKUP($B1307,Insumo[DESCRIPCION],Insumo[VALOR],,0),"")</f>
        <v>521159.50227762427</v>
      </c>
      <c r="F1307" s="33">
        <v>5</v>
      </c>
      <c r="G1307" s="34">
        <f>IFERROR(IF(F1307&gt;=0,D1307*E1307*(1+F1307/100),ABS(D1307*E1307/F1307)),"")</f>
        <v>41041.310804362911</v>
      </c>
      <c r="H1307" s="43">
        <f>IFERROR(G1307*E1304,"")</f>
        <v>0</v>
      </c>
    </row>
    <row r="1308" spans="1:11" ht="12.75" customHeight="1">
      <c r="A1308" s="28"/>
      <c r="B1308" s="29" t="s">
        <v>2954</v>
      </c>
      <c r="C1308" s="30" t="str">
        <f>IFERROR(_xlfn.XLOOKUP(B1308,Insumo[DESCRIPCION],Insumo[UND],,0),"")</f>
        <v>M2</v>
      </c>
      <c r="D1308" s="31">
        <f>0.3*1.45</f>
        <v>0.435</v>
      </c>
      <c r="E1308" s="32">
        <f>IFERROR(_xlfn.XLOOKUP($B1308,Insumo[DESCRIPCION],Insumo[VALOR],,0),"")</f>
        <v>102154.92581625449</v>
      </c>
      <c r="F1308" s="33"/>
      <c r="G1308" s="34">
        <f>IFERROR(IF(F1308&gt;=0,D1308*E1308*(1+F1308/100),ABS(D1308*E1308/F1308)),"")</f>
        <v>44437.3927300707</v>
      </c>
      <c r="H1308" s="43">
        <f>IFERROR(G1308*E1304,"")</f>
        <v>0</v>
      </c>
    </row>
    <row r="1309" spans="1:11" ht="12.75" customHeight="1">
      <c r="A1309" s="28"/>
      <c r="B1309" s="29"/>
      <c r="C1309" s="30" t="str">
        <f>IFERROR(_xlfn.XLOOKUP(B1309,Insumo[DESCRIPCION],Insumo[UND],,0),"")</f>
        <v/>
      </c>
      <c r="D1309" s="31"/>
      <c r="E1309" s="32" t="str">
        <f>IFERROR(_xlfn.XLOOKUP($B1309,Insumo[DESCRIPCION],Insumo[VALOR],,0),"")</f>
        <v/>
      </c>
      <c r="F1309" s="33"/>
      <c r="G1309" s="34" t="str">
        <f>IFERROR(IF(F1309&gt;=0,D1309*E1309*(1+F1309/100),ABS(D1309*E1309/F1309)),"")</f>
        <v/>
      </c>
      <c r="H1309" s="43" t="str">
        <f>IFERROR(G1309*E1304,"")</f>
        <v/>
      </c>
    </row>
    <row r="1310" spans="1:11" ht="12.75" customHeight="1">
      <c r="A1310" s="28"/>
      <c r="B1310" s="29"/>
      <c r="C1310" s="30" t="str">
        <f>IFERROR(_xlfn.XLOOKUP(B1310,Insumo[DESCRIPCION],Insumo[UND],,0),"")</f>
        <v/>
      </c>
      <c r="D1310" s="31"/>
      <c r="E1310" s="32" t="str">
        <f>IFERROR(_xlfn.XLOOKUP($B1310,Insumo[DESCRIPCION],Insumo[VALOR],,0),"")</f>
        <v/>
      </c>
      <c r="F1310" s="33"/>
      <c r="G1310" s="34" t="str">
        <f>IFERROR(IF(F1310&gt;=0,D1310*E1310*(1+F1310/100),ABS(D1310*E1310/F1310)),"")</f>
        <v/>
      </c>
      <c r="H1310" s="43" t="str">
        <f>IFERROR(G1310*E1304,"")</f>
        <v/>
      </c>
    </row>
    <row r="1311" spans="1:11" ht="12.75" customHeight="1">
      <c r="A1311" s="28"/>
      <c r="B1311" s="29"/>
      <c r="C1311" s="30" t="str">
        <f>IFERROR(_xlfn.XLOOKUP(B1311,Insumo[DESCRIPCION],Insumo[UND],,0),"")</f>
        <v/>
      </c>
      <c r="D1311" s="31"/>
      <c r="E1311" s="32" t="str">
        <f>IFERROR(_xlfn.XLOOKUP($B1311,Insumo[DESCRIPCION],Insumo[VALOR],,0),"")</f>
        <v/>
      </c>
      <c r="F1311" s="33"/>
      <c r="G1311" s="34" t="str">
        <f>IFERROR(IF(F1311&gt;=0,D1311*E1311*(1+F1311/100),ABS(D1311*E1311/F1311)),"")</f>
        <v/>
      </c>
      <c r="H1311" s="43" t="str">
        <f>IFERROR(G1311*E1304,"")</f>
        <v/>
      </c>
    </row>
    <row r="1312" spans="1:11" ht="12.75" customHeight="1">
      <c r="A1312" s="21"/>
      <c r="B1312" s="22" t="s">
        <v>3731</v>
      </c>
      <c r="C1312" s="23"/>
      <c r="D1312" s="24"/>
      <c r="E1312" s="25"/>
      <c r="F1312" s="26"/>
      <c r="G1312" s="27">
        <f>SUM(G1313:G1315)</f>
        <v>1286.1439809340914</v>
      </c>
      <c r="H1312" s="44">
        <f>G1312*E1304</f>
        <v>0</v>
      </c>
    </row>
    <row r="1313" spans="1:11" ht="12.75" customHeight="1">
      <c r="A1313" s="28"/>
      <c r="B1313" s="29" t="s">
        <v>3570</v>
      </c>
      <c r="C1313" s="30" t="str">
        <f>IFERROR(_xlfn.XLOOKUP(B1313,Equipo[DESCRIPCION],Equipo[UND],,0),"")</f>
        <v>%MO</v>
      </c>
      <c r="D1313" s="31">
        <v>0.04</v>
      </c>
      <c r="E1313" s="32">
        <f>IF(C1313="%MO",G1319,IFERROR(_xlfn.XLOOKUP($B1313,Equipo[DESCRIPCION],Equipo[VALOR],,0),""))</f>
        <v>14290.488677045458</v>
      </c>
      <c r="F1313" s="33"/>
      <c r="G1313" s="34">
        <f>IFERROR(IF(F1313&gt;=0,D1313*E1313*(1+F1313/100),ABS(D1313*E1313/F1313)),"")</f>
        <v>571.61954708181827</v>
      </c>
      <c r="H1313" s="43">
        <f>IFERROR(G1313*E1304,"")</f>
        <v>0</v>
      </c>
    </row>
    <row r="1314" spans="1:11" ht="12.75" customHeight="1">
      <c r="A1314" s="28"/>
      <c r="B1314" s="29" t="s">
        <v>3626</v>
      </c>
      <c r="C1314" s="30" t="str">
        <f>IFERROR(_xlfn.XLOOKUP(B1314,Equipo[DESCRIPCION],Equipo[UND],,0),"")</f>
        <v>%MO</v>
      </c>
      <c r="D1314" s="31">
        <v>0.05</v>
      </c>
      <c r="E1314" s="32">
        <f>IF(C1314="%MO",G1319,IFERROR(_xlfn.XLOOKUP($B1314,Equipo[DESCRIPCION],Equipo[VALOR],,0),""))</f>
        <v>14290.488677045458</v>
      </c>
      <c r="F1314" s="33"/>
      <c r="G1314" s="34">
        <f>IFERROR(IF(F1314&gt;=0,D1314*E1314*(1+F1314/100),ABS(D1314*E1314/F1314)),"")</f>
        <v>714.52443385227298</v>
      </c>
      <c r="H1314" s="43">
        <f>IFERROR(G1314*E1304,"")</f>
        <v>0</v>
      </c>
    </row>
    <row r="1315" spans="1:11" ht="12.75" customHeight="1">
      <c r="A1315" s="28"/>
      <c r="B1315" s="29"/>
      <c r="C1315" s="30" t="str">
        <f>IFERROR(_xlfn.XLOOKUP(B1315,Equipo[DESCRIPCION],Equipo[UND],,0),"")</f>
        <v/>
      </c>
      <c r="D1315" s="31"/>
      <c r="E1315" s="32" t="str">
        <f>IF(C1315="%MO",G1319,IFERROR(_xlfn.XLOOKUP($B1315,Equipo[DESCRIPCION],Equipo[VALOR],,0),""))</f>
        <v/>
      </c>
      <c r="F1315" s="33"/>
      <c r="G1315" s="34" t="str">
        <f>IFERROR(IF(F1315&gt;=0,D1315*E1315*(1+F1315/100),ABS(D1315*E1315/F1315)),"")</f>
        <v/>
      </c>
      <c r="H1315" s="43" t="str">
        <f>IFERROR(G1315*E1304,"")</f>
        <v/>
      </c>
    </row>
    <row r="1316" spans="1:11" ht="12.75" customHeight="1">
      <c r="A1316" s="21"/>
      <c r="B1316" s="22" t="s">
        <v>2533</v>
      </c>
      <c r="C1316" s="23"/>
      <c r="D1316" s="24"/>
      <c r="E1316" s="25"/>
      <c r="F1316" s="26"/>
      <c r="G1316" s="27">
        <f>SUM(G1317:G1318)</f>
        <v>0</v>
      </c>
      <c r="H1316" s="44">
        <f>G1316*E1304</f>
        <v>0</v>
      </c>
    </row>
    <row r="1317" spans="1:11" ht="12.75" customHeight="1">
      <c r="A1317" s="28"/>
      <c r="B1317" s="29"/>
      <c r="C1317" s="30" t="str">
        <f>IFERROR(_xlfn.XLOOKUP(B1317,Transporte[DESCRIPCION],Transporte[UND],,0),"")</f>
        <v/>
      </c>
      <c r="D1317" s="31"/>
      <c r="E1317" s="32" t="str">
        <f>IFERROR(_xlfn.XLOOKUP($B1317,Transporte[DESCRIPCION],Transporte[VALOR],,0),"")</f>
        <v/>
      </c>
      <c r="F1317" s="33"/>
      <c r="G1317" s="34" t="str">
        <f>IFERROR(IF(F1317&gt;=0,D1317*E1317*(1+F1317/100),ABS(D1317*E1317/F1317)),"")</f>
        <v/>
      </c>
      <c r="H1317" s="43" t="str">
        <f>IFERROR(G1317*E1304,"")</f>
        <v/>
      </c>
    </row>
    <row r="1318" spans="1:11" ht="12.75" customHeight="1">
      <c r="A1318" s="28"/>
      <c r="B1318" s="29"/>
      <c r="C1318" s="30" t="str">
        <f>IFERROR(_xlfn.XLOOKUP(B1318,Transporte[DESCRIPCION],Transporte[UND],,0),"")</f>
        <v/>
      </c>
      <c r="D1318" s="31"/>
      <c r="E1318" s="32" t="str">
        <f>IFERROR(_xlfn.XLOOKUP($B1318,Transporte[DESCRIPCION],Transporte[VALOR],,0),"")</f>
        <v/>
      </c>
      <c r="F1318" s="33"/>
      <c r="G1318" s="34" t="str">
        <f>IFERROR(IF(F1318&gt;=0,D1318*E1318*(1+F1318/100),ABS(D1318*E1318/F1318)),"")</f>
        <v/>
      </c>
      <c r="H1318" s="43" t="str">
        <f>IFERROR(G1318*E1304,"")</f>
        <v/>
      </c>
    </row>
    <row r="1319" spans="1:11" ht="12.75" customHeight="1">
      <c r="A1319" s="21"/>
      <c r="B1319" s="22" t="s">
        <v>3732</v>
      </c>
      <c r="C1319" s="23"/>
      <c r="D1319" s="24"/>
      <c r="E1319" s="25"/>
      <c r="F1319" s="26"/>
      <c r="G1319" s="27">
        <f>SUM(G1320:G1322)</f>
        <v>14290.488677045458</v>
      </c>
      <c r="H1319" s="44">
        <f>G1319*E1304</f>
        <v>0</v>
      </c>
    </row>
    <row r="1320" spans="1:11" ht="12.75" customHeight="1">
      <c r="A1320" s="28"/>
      <c r="B1320" s="29" t="s">
        <v>3710</v>
      </c>
      <c r="C1320" s="30" t="str">
        <f>IFERROR(_xlfn.XLOOKUP(B1320,MObra[DESCRIPCION],MObra[UN],,0),"")</f>
        <v>día</v>
      </c>
      <c r="D1320" s="31">
        <v>1</v>
      </c>
      <c r="E1320" s="32">
        <f>IFERROR(_xlfn.XLOOKUP($B1320,MObra[DESCRIPCION],MObra[VALOR UNIT],,0),"")</f>
        <v>314390.75089500006</v>
      </c>
      <c r="F1320" s="33">
        <v>-22</v>
      </c>
      <c r="G1320" s="34">
        <f>IFERROR(IF(F1320&gt;=0,D1320*E1320*(1+F1320/100),ABS(D1320*E1320/F1320)),"")</f>
        <v>14290.488677045458</v>
      </c>
      <c r="H1320" s="43">
        <f>IFERROR(G1320*E1304,"")</f>
        <v>0</v>
      </c>
    </row>
    <row r="1321" spans="1:11" ht="12.75" customHeight="1">
      <c r="A1321" s="28"/>
      <c r="B1321" s="29"/>
      <c r="C1321" s="30" t="str">
        <f t="array" ref="C1321">IFERROR(_xlfn.XLOOKUP(B1321,MObra[[#All],[DESCRIPCION]],MObra[[#All],[UN]],,0),"")</f>
        <v/>
      </c>
      <c r="D1321" s="31"/>
      <c r="E1321" s="32" t="str">
        <f>IFERROR(_xlfn.XLOOKUP($B1321,MObra[DESCRIPCION],MObra[VALOR UNIT],,0),"")</f>
        <v/>
      </c>
      <c r="F1321" s="33"/>
      <c r="G1321" s="34" t="str">
        <f>IFERROR(IF(F1321&gt;=0,D1321*E1321*(1+F1321/100),ABS(D1321*E1321/F1321)),"")</f>
        <v/>
      </c>
      <c r="H1321" s="43" t="str">
        <f>IFERROR(G1321*E1304,"")</f>
        <v/>
      </c>
    </row>
    <row r="1322" spans="1:11" ht="12.75" customHeight="1" thickBot="1">
      <c r="A1322" s="35"/>
      <c r="B1322" s="36"/>
      <c r="C1322" s="37" t="str">
        <f t="array" ref="C1322">IFERROR(_xlfn.XLOOKUP(B1322,MObra[[#All],[DESCRIPCION]],MObra[[#All],[UN]],,0),"")</f>
        <v/>
      </c>
      <c r="D1322" s="38"/>
      <c r="E1322" s="39" t="str">
        <f>IFERROR(_xlfn.XLOOKUP($B1322,MObra[DESCRIPCION],MObra[VALOR UNIT],,0),"")</f>
        <v/>
      </c>
      <c r="F1322" s="40"/>
      <c r="G1322" s="41" t="str">
        <f>IFERROR(IF(F1322&gt;=0,D1322*E1322*(1+F1322/100),ABS(D1322*E1322/F1322)),"")</f>
        <v/>
      </c>
      <c r="H1322" s="42" t="str">
        <f>IFERROR(G1322*E1304,"")</f>
        <v/>
      </c>
    </row>
    <row r="1323" spans="1:11" ht="12.75" customHeight="1" thickTop="1" thickBot="1"/>
    <row r="1324" spans="1:11" ht="12.75" customHeight="1" thickTop="1" thickBot="1">
      <c r="A1324" s="6" t="s">
        <v>441</v>
      </c>
      <c r="B1324" s="7" t="str">
        <f>VLOOKUP($A1324,Presupuesto!$A:$D,2,FALSE())</f>
        <v>Junta construcción alfajor + ángulo w= 0.22 m</v>
      </c>
      <c r="C1324" s="8" t="str">
        <f>VLOOKUP($A1324,Presupuesto!$A:$D,3,FALSE())</f>
        <v>M</v>
      </c>
      <c r="D1324" s="9"/>
      <c r="E1324" s="10">
        <f>VLOOKUP($A1324,Presupuesto!$A:$D,4,FALSE())</f>
        <v>0</v>
      </c>
      <c r="F1324" s="11" t="s">
        <v>2589</v>
      </c>
      <c r="G1324" s="12">
        <f>SUM(G1326:G1342)/2</f>
        <v>158939.85195060004</v>
      </c>
      <c r="H1324" s="13">
        <f>ROUND(SUM(H1326:H1342),0)/2</f>
        <v>0</v>
      </c>
      <c r="I1324" s="10">
        <f>VLOOKUP(A1324,Presupuesto!$A:$F,6,0)</f>
        <v>0</v>
      </c>
      <c r="J1324" s="10">
        <f>+H1324-I1324</f>
        <v>0</v>
      </c>
      <c r="K1324" s="46">
        <f>+H1324-G1324*E1324</f>
        <v>0</v>
      </c>
    </row>
    <row r="1325" spans="1:11" ht="12.75" customHeight="1" thickTop="1">
      <c r="A1325" s="14"/>
      <c r="B1325" s="15" t="s">
        <v>2586</v>
      </c>
      <c r="C1325" s="15" t="s">
        <v>5</v>
      </c>
      <c r="D1325" s="16" t="s">
        <v>6</v>
      </c>
      <c r="E1325" s="17" t="s">
        <v>7</v>
      </c>
      <c r="F1325" s="18" t="s">
        <v>3728</v>
      </c>
      <c r="G1325" s="19" t="s">
        <v>3729</v>
      </c>
      <c r="H1325" s="20" t="s">
        <v>3797</v>
      </c>
    </row>
    <row r="1326" spans="1:11" ht="12.75" customHeight="1">
      <c r="A1326" s="21"/>
      <c r="B1326" s="22" t="s">
        <v>3730</v>
      </c>
      <c r="C1326" s="23"/>
      <c r="D1326" s="24"/>
      <c r="E1326" s="25"/>
      <c r="F1326" s="26"/>
      <c r="G1326" s="27">
        <f>SUM(G1327:G1331)</f>
        <v>61283.831700000002</v>
      </c>
      <c r="H1326" s="27">
        <f>IFERROR(G1326*E1324,"")</f>
        <v>0</v>
      </c>
    </row>
    <row r="1327" spans="1:11" ht="12.75" customHeight="1">
      <c r="A1327" s="28"/>
      <c r="B1327" s="29" t="s">
        <v>3022</v>
      </c>
      <c r="C1327" s="30" t="str">
        <f>IFERROR(_xlfn.XLOOKUP(B1327,Insumo[DESCRIPCION],Insumo[UND],,0),"")</f>
        <v>M2</v>
      </c>
      <c r="D1327" s="31">
        <v>0.22</v>
      </c>
      <c r="E1327" s="32">
        <f>IFERROR(_xlfn.XLOOKUP($B1327,Insumo[DESCRIPCION],Insumo[VALOR],,0),"")</f>
        <v>120368.85</v>
      </c>
      <c r="F1327" s="33">
        <v>10</v>
      </c>
      <c r="G1327" s="34">
        <f>IFERROR(IF(F1327&gt;=0,D1327*E1327*(1+F1327/100),ABS(D1327*E1327/F1327)),"")</f>
        <v>29129.261700000003</v>
      </c>
      <c r="H1327" s="43">
        <f>IFERROR(G1327*E1324,"")</f>
        <v>0</v>
      </c>
    </row>
    <row r="1328" spans="1:11" ht="12.75" customHeight="1">
      <c r="A1328" s="28"/>
      <c r="B1328" s="29" t="s">
        <v>2706</v>
      </c>
      <c r="C1328" s="30" t="str">
        <f>IFERROR(_xlfn.XLOOKUP(B1328,Insumo[DESCRIPCION],Insumo[UND],,0),"")</f>
        <v>M</v>
      </c>
      <c r="D1328" s="31">
        <v>1</v>
      </c>
      <c r="E1328" s="32">
        <f>IFERROR(_xlfn.XLOOKUP($B1328,Insumo[DESCRIPCION],Insumo[VALOR],,0),"")</f>
        <v>31556.7</v>
      </c>
      <c r="F1328" s="33"/>
      <c r="G1328" s="34">
        <f>IFERROR(IF(F1328&gt;=0,D1328*E1328*(1+F1328/100),ABS(D1328*E1328/F1328)),"")</f>
        <v>31556.7</v>
      </c>
      <c r="H1328" s="43">
        <f>IFERROR(G1328*E1324,"")</f>
        <v>0</v>
      </c>
    </row>
    <row r="1329" spans="1:11" ht="12.75" customHeight="1">
      <c r="A1329" s="28"/>
      <c r="B1329" s="29" t="s">
        <v>3326</v>
      </c>
      <c r="C1329" s="30" t="str">
        <f>IFERROR(_xlfn.XLOOKUP(B1329,Insumo[DESCRIPCION],Insumo[UND],,0),"")</f>
        <v>Kg</v>
      </c>
      <c r="D1329" s="31">
        <v>0.1</v>
      </c>
      <c r="E1329" s="32">
        <f>IFERROR(_xlfn.XLOOKUP($B1329,Insumo[DESCRIPCION],Insumo[VALOR],,0),"")</f>
        <v>5978.7</v>
      </c>
      <c r="F1329" s="33"/>
      <c r="G1329" s="34">
        <f>IFERROR(IF(F1329&gt;=0,D1329*E1329*(1+F1329/100),ABS(D1329*E1329/F1329)),"")</f>
        <v>597.87</v>
      </c>
      <c r="H1329" s="43">
        <f>IFERROR(G1329*E1324,"")</f>
        <v>0</v>
      </c>
    </row>
    <row r="1330" spans="1:11" ht="12.75" customHeight="1">
      <c r="A1330" s="28"/>
      <c r="B1330" s="29"/>
      <c r="C1330" s="30" t="str">
        <f>IFERROR(_xlfn.XLOOKUP(B1330,Insumo[DESCRIPCION],Insumo[UND],,0),"")</f>
        <v/>
      </c>
      <c r="D1330" s="31"/>
      <c r="E1330" s="32" t="str">
        <f>IFERROR(_xlfn.XLOOKUP($B1330,Insumo[DESCRIPCION],Insumo[VALOR],,0),"")</f>
        <v/>
      </c>
      <c r="F1330" s="33"/>
      <c r="G1330" s="34" t="str">
        <f>IFERROR(IF(F1330&gt;=0,D1330*E1330*(1+F1330/100),ABS(D1330*E1330/F1330)),"")</f>
        <v/>
      </c>
      <c r="H1330" s="43" t="str">
        <f>IFERROR(G1330*E1324,"")</f>
        <v/>
      </c>
    </row>
    <row r="1331" spans="1:11" ht="12.75" customHeight="1">
      <c r="A1331" s="28"/>
      <c r="B1331" s="29"/>
      <c r="C1331" s="30" t="str">
        <f>IFERROR(_xlfn.XLOOKUP(B1331,Insumo[DESCRIPCION],Insumo[UND],,0),"")</f>
        <v/>
      </c>
      <c r="D1331" s="31"/>
      <c r="E1331" s="32" t="str">
        <f>IFERROR(_xlfn.XLOOKUP($B1331,Insumo[DESCRIPCION],Insumo[VALOR],,0),"")</f>
        <v/>
      </c>
      <c r="F1331" s="33"/>
      <c r="G1331" s="34" t="str">
        <f>IFERROR(IF(F1331&gt;=0,D1331*E1331*(1+F1331/100),ABS(D1331*E1331/F1331)),"")</f>
        <v/>
      </c>
      <c r="H1331" s="43" t="str">
        <f>IFERROR(G1331*E1324,"")</f>
        <v/>
      </c>
    </row>
    <row r="1332" spans="1:11" ht="12.75" customHeight="1">
      <c r="A1332" s="21"/>
      <c r="B1332" s="22" t="s">
        <v>3731</v>
      </c>
      <c r="C1332" s="23"/>
      <c r="D1332" s="24"/>
      <c r="E1332" s="25"/>
      <c r="F1332" s="26"/>
      <c r="G1332" s="27">
        <f>SUM(G1333:G1335)</f>
        <v>13818.486678600002</v>
      </c>
      <c r="H1332" s="44">
        <f>G1332*E1324</f>
        <v>0</v>
      </c>
    </row>
    <row r="1333" spans="1:11" ht="12.75" customHeight="1">
      <c r="A1333" s="28"/>
      <c r="B1333" s="29" t="s">
        <v>3613</v>
      </c>
      <c r="C1333" s="30" t="str">
        <f>IFERROR(_xlfn.XLOOKUP(B1333,Equipo[DESCRIPCION],Equipo[UND],,0),"")</f>
        <v>Día</v>
      </c>
      <c r="D1333" s="31">
        <v>1</v>
      </c>
      <c r="E1333" s="32">
        <f>IF(C1333="%MO",G1339,IFERROR(_xlfn.XLOOKUP($B1333,Equipo[DESCRIPCION],Equipo[VALOR],,0),""))</f>
        <v>48133.05</v>
      </c>
      <c r="F1333" s="33">
        <v>-5</v>
      </c>
      <c r="G1333" s="34">
        <f>IFERROR(IF(F1333&gt;=0,D1333*E1333*(1+F1333/100),ABS(D1333*E1333/F1333)),"")</f>
        <v>9626.61</v>
      </c>
      <c r="H1333" s="43">
        <f>IFERROR(G1333*E1324,"")</f>
        <v>0</v>
      </c>
    </row>
    <row r="1334" spans="1:11" ht="12.75" customHeight="1">
      <c r="A1334" s="28"/>
      <c r="B1334" s="29" t="s">
        <v>3626</v>
      </c>
      <c r="C1334" s="30" t="str">
        <f>IFERROR(_xlfn.XLOOKUP(B1334,Equipo[DESCRIPCION],Equipo[UND],,0),"")</f>
        <v>%MO</v>
      </c>
      <c r="D1334" s="31">
        <v>0.05</v>
      </c>
      <c r="E1334" s="32">
        <f>IF(C1334="%MO",G1339,IFERROR(_xlfn.XLOOKUP($B1334,Equipo[DESCRIPCION],Equipo[VALOR],,0),""))</f>
        <v>83837.533572000015</v>
      </c>
      <c r="F1334" s="33"/>
      <c r="G1334" s="34">
        <f>IFERROR(IF(F1334&gt;=0,D1334*E1334*(1+F1334/100),ABS(D1334*E1334/F1334)),"")</f>
        <v>4191.8766786000006</v>
      </c>
      <c r="H1334" s="43">
        <f>IFERROR(G1334*E1324,"")</f>
        <v>0</v>
      </c>
    </row>
    <row r="1335" spans="1:11" ht="12.75" customHeight="1">
      <c r="A1335" s="28"/>
      <c r="B1335" s="29"/>
      <c r="C1335" s="30" t="str">
        <f>IFERROR(_xlfn.XLOOKUP(B1335,Equipo[DESCRIPCION],Equipo[UND],,0),"")</f>
        <v/>
      </c>
      <c r="D1335" s="31"/>
      <c r="E1335" s="32" t="str">
        <f>IF(C1335="%MO",G1339,IFERROR(_xlfn.XLOOKUP($B1335,Equipo[DESCRIPCION],Equipo[VALOR],,0),""))</f>
        <v/>
      </c>
      <c r="F1335" s="33"/>
      <c r="G1335" s="34" t="str">
        <f>IFERROR(IF(F1335&gt;=0,D1335*E1335*(1+F1335/100),ABS(D1335*E1335/F1335)),"")</f>
        <v/>
      </c>
      <c r="H1335" s="43" t="str">
        <f>IFERROR(G1335*E1324,"")</f>
        <v/>
      </c>
    </row>
    <row r="1336" spans="1:11" ht="12.75" customHeight="1">
      <c r="A1336" s="21"/>
      <c r="B1336" s="22" t="s">
        <v>2533</v>
      </c>
      <c r="C1336" s="23"/>
      <c r="D1336" s="24"/>
      <c r="E1336" s="25"/>
      <c r="F1336" s="26"/>
      <c r="G1336" s="27">
        <f>SUM(G1337:G1338)</f>
        <v>0</v>
      </c>
      <c r="H1336" s="44">
        <f>G1336*E1324</f>
        <v>0</v>
      </c>
    </row>
    <row r="1337" spans="1:11" ht="12.75" customHeight="1">
      <c r="A1337" s="28"/>
      <c r="B1337" s="29"/>
      <c r="C1337" s="30" t="str">
        <f>IFERROR(_xlfn.XLOOKUP(B1337,Transporte[DESCRIPCION],Transporte[UND],,0),"")</f>
        <v/>
      </c>
      <c r="D1337" s="31"/>
      <c r="E1337" s="32" t="str">
        <f>IFERROR(_xlfn.XLOOKUP($B1337,Transporte[DESCRIPCION],Transporte[VALOR],,0),"")</f>
        <v/>
      </c>
      <c r="F1337" s="33"/>
      <c r="G1337" s="34" t="str">
        <f>IFERROR(IF(F1337&gt;=0,D1337*E1337*(1+F1337/100),ABS(D1337*E1337/F1337)),"")</f>
        <v/>
      </c>
      <c r="H1337" s="43" t="str">
        <f>IFERROR(G1337*E1324,"")</f>
        <v/>
      </c>
    </row>
    <row r="1338" spans="1:11" ht="12.75" customHeight="1">
      <c r="A1338" s="28"/>
      <c r="B1338" s="29"/>
      <c r="C1338" s="30" t="str">
        <f>IFERROR(_xlfn.XLOOKUP(B1338,Transporte[DESCRIPCION],Transporte[UND],,0),"")</f>
        <v/>
      </c>
      <c r="D1338" s="31"/>
      <c r="E1338" s="32" t="str">
        <f>IFERROR(_xlfn.XLOOKUP($B1338,Transporte[DESCRIPCION],Transporte[VALOR],,0),"")</f>
        <v/>
      </c>
      <c r="F1338" s="33"/>
      <c r="G1338" s="34" t="str">
        <f>IFERROR(IF(F1338&gt;=0,D1338*E1338*(1+F1338/100),ABS(D1338*E1338/F1338)),"")</f>
        <v/>
      </c>
      <c r="H1338" s="43" t="str">
        <f>IFERROR(G1338*E1324,"")</f>
        <v/>
      </c>
    </row>
    <row r="1339" spans="1:11" ht="12.75" customHeight="1">
      <c r="A1339" s="21"/>
      <c r="B1339" s="22" t="s">
        <v>3732</v>
      </c>
      <c r="C1339" s="23"/>
      <c r="D1339" s="24"/>
      <c r="E1339" s="25"/>
      <c r="F1339" s="26"/>
      <c r="G1339" s="27">
        <f>SUM(G1340:G1342)</f>
        <v>83837.533572000015</v>
      </c>
      <c r="H1339" s="44">
        <f>G1339*E1324</f>
        <v>0</v>
      </c>
    </row>
    <row r="1340" spans="1:11" ht="12.75" customHeight="1">
      <c r="A1340" s="28"/>
      <c r="B1340" s="29" t="s">
        <v>3724</v>
      </c>
      <c r="C1340" s="30" t="str">
        <f>IFERROR(_xlfn.XLOOKUP(B1340,MObra[DESCRIPCION],MObra[UN],,0),"")</f>
        <v>día</v>
      </c>
      <c r="D1340" s="31">
        <v>1</v>
      </c>
      <c r="E1340" s="32">
        <f>IFERROR(_xlfn.XLOOKUP($B1340,MObra[DESCRIPCION],MObra[VALOR UNIT],,0),"")</f>
        <v>419187.66786000005</v>
      </c>
      <c r="F1340" s="33">
        <v>-5</v>
      </c>
      <c r="G1340" s="34">
        <f>IFERROR(IF(F1340&gt;=0,D1340*E1340*(1+F1340/100),ABS(D1340*E1340/F1340)),"")</f>
        <v>83837.533572000015</v>
      </c>
      <c r="H1340" s="43">
        <f>IFERROR(G1340*E1324,"")</f>
        <v>0</v>
      </c>
    </row>
    <row r="1341" spans="1:11" ht="12.75" customHeight="1">
      <c r="A1341" s="28"/>
      <c r="B1341" s="29"/>
      <c r="C1341" s="30" t="str">
        <f t="array" ref="C1341">IFERROR(_xlfn.XLOOKUP(B1341,MObra[[#All],[DESCRIPCION]],MObra[[#All],[UN]],,0),"")</f>
        <v/>
      </c>
      <c r="D1341" s="31"/>
      <c r="E1341" s="32" t="str">
        <f>IFERROR(_xlfn.XLOOKUP($B1341,MObra[DESCRIPCION],MObra[VALOR UNIT],,0),"")</f>
        <v/>
      </c>
      <c r="F1341" s="33"/>
      <c r="G1341" s="34" t="str">
        <f>IFERROR(IF(F1341&gt;=0,D1341*E1341*(1+F1341/100),ABS(D1341*E1341/F1341)),"")</f>
        <v/>
      </c>
      <c r="H1341" s="43" t="str">
        <f>IFERROR(G1341*E1324,"")</f>
        <v/>
      </c>
    </row>
    <row r="1342" spans="1:11" ht="12.75" customHeight="1" thickBot="1">
      <c r="A1342" s="35"/>
      <c r="B1342" s="36"/>
      <c r="C1342" s="37" t="str">
        <f t="array" ref="C1342">IFERROR(_xlfn.XLOOKUP(B1342,MObra[[#All],[DESCRIPCION]],MObra[[#All],[UN]],,0),"")</f>
        <v/>
      </c>
      <c r="D1342" s="38"/>
      <c r="E1342" s="39" t="str">
        <f>IFERROR(_xlfn.XLOOKUP($B1342,MObra[DESCRIPCION],MObra[VALOR UNIT],,0),"")</f>
        <v/>
      </c>
      <c r="F1342" s="40"/>
      <c r="G1342" s="41" t="str">
        <f>IFERROR(IF(F1342&gt;=0,D1342*E1342*(1+F1342/100),ABS(D1342*E1342/F1342)),"")</f>
        <v/>
      </c>
      <c r="H1342" s="42" t="str">
        <f>IFERROR(G1342*E1324,"")</f>
        <v/>
      </c>
    </row>
    <row r="1343" spans="1:11" ht="12.75" customHeight="1" thickTop="1" thickBot="1"/>
    <row r="1344" spans="1:11" ht="12.75" customHeight="1" thickTop="1" thickBot="1">
      <c r="A1344" s="6" t="s">
        <v>443</v>
      </c>
      <c r="B1344" s="7" t="str">
        <f>VLOOKUP($A1344,Presupuesto!$A:$D,2,FALSE())</f>
        <v>Losa fondo concreto 27.6 Mpa E&lt;= 0.30 m impermeabilizada</v>
      </c>
      <c r="C1344" s="8" t="str">
        <f>VLOOKUP($A1344,Presupuesto!$A:$D,3,FALSE())</f>
        <v>M3</v>
      </c>
      <c r="D1344" s="9"/>
      <c r="E1344" s="10">
        <f>VLOOKUP($A1344,Presupuesto!$A:$D,4,FALSE())</f>
        <v>0</v>
      </c>
      <c r="F1344" s="11" t="s">
        <v>2589</v>
      </c>
      <c r="G1344" s="12">
        <f>SUM(G1346:G1362)/2</f>
        <v>1123704.756229169</v>
      </c>
      <c r="H1344" s="13">
        <f>ROUND(SUM(H1346:H1361),0)/2</f>
        <v>0</v>
      </c>
      <c r="I1344" s="10">
        <f>VLOOKUP(A1344,Presupuesto!$A:$F,6,0)</f>
        <v>0</v>
      </c>
      <c r="J1344" s="10">
        <f>+H1344-I1344</f>
        <v>0</v>
      </c>
      <c r="K1344" s="46">
        <f>+H1344-G1344*E1344</f>
        <v>0</v>
      </c>
    </row>
    <row r="1345" spans="1:8" ht="12.75" customHeight="1" thickTop="1">
      <c r="A1345" s="14"/>
      <c r="B1345" s="15" t="s">
        <v>2586</v>
      </c>
      <c r="C1345" s="15" t="s">
        <v>5</v>
      </c>
      <c r="D1345" s="16" t="s">
        <v>6</v>
      </c>
      <c r="E1345" s="17" t="s">
        <v>7</v>
      </c>
      <c r="F1345" s="18" t="s">
        <v>3728</v>
      </c>
      <c r="G1345" s="19" t="s">
        <v>3729</v>
      </c>
      <c r="H1345" s="20" t="s">
        <v>3797</v>
      </c>
    </row>
    <row r="1346" spans="1:8" ht="12.75" customHeight="1">
      <c r="A1346" s="21"/>
      <c r="B1346" s="22" t="s">
        <v>3730</v>
      </c>
      <c r="C1346" s="23"/>
      <c r="D1346" s="24"/>
      <c r="E1346" s="25"/>
      <c r="F1346" s="26"/>
      <c r="G1346" s="27">
        <f>SUM(G1347:G1351)</f>
        <v>777800.88618314906</v>
      </c>
      <c r="H1346" s="27">
        <f>IFERROR(G1346*E1344,"")</f>
        <v>0</v>
      </c>
    </row>
    <row r="1347" spans="1:8" ht="12.75" customHeight="1">
      <c r="A1347" s="28"/>
      <c r="B1347" s="29" t="s">
        <v>3241</v>
      </c>
      <c r="C1347" s="30" t="str">
        <f>IFERROR(_xlfn.XLOOKUP(B1347,Insumo[DESCRIPCION],Insumo[UND],,0),"")</f>
        <v>M3</v>
      </c>
      <c r="D1347" s="31">
        <v>1</v>
      </c>
      <c r="E1347" s="32">
        <f>IFERROR(_xlfn.XLOOKUP($B1347,Insumo[DESCRIPCION],Insumo[VALOR],,0),"")</f>
        <v>568453.66874585627</v>
      </c>
      <c r="F1347" s="33">
        <v>5</v>
      </c>
      <c r="G1347" s="34">
        <f>IFERROR(IF(F1347&gt;=0,D1347*E1347*(1+F1347/100),ABS(D1347*E1347/F1347)),"")</f>
        <v>596876.35218314908</v>
      </c>
      <c r="H1347" s="43">
        <f>IFERROR(G1347*E1344,"")</f>
        <v>0</v>
      </c>
    </row>
    <row r="1348" spans="1:8" ht="12.75" customHeight="1">
      <c r="A1348" s="28"/>
      <c r="B1348" s="29" t="s">
        <v>3004</v>
      </c>
      <c r="C1348" s="30" t="str">
        <f>IFERROR(_xlfn.XLOOKUP(B1348,Insumo[DESCRIPCION],Insumo[UND],,0),"")</f>
        <v>Kg</v>
      </c>
      <c r="D1348" s="31">
        <v>2.2999999999999998</v>
      </c>
      <c r="E1348" s="32">
        <f>IFERROR(_xlfn.XLOOKUP($B1348,Insumo[DESCRIPCION],Insumo[VALOR],,0),"")</f>
        <v>62365.8</v>
      </c>
      <c r="F1348" s="33"/>
      <c r="G1348" s="34">
        <f>IFERROR(IF(F1348&gt;=0,D1348*E1348*(1+F1348/100),ABS(D1348*E1348/F1348)),"")</f>
        <v>143441.34</v>
      </c>
      <c r="H1348" s="43">
        <f>IFERROR(G1348*E1344,"")</f>
        <v>0</v>
      </c>
    </row>
    <row r="1349" spans="1:8" ht="12.75" customHeight="1">
      <c r="A1349" s="28"/>
      <c r="B1349" s="29" t="s">
        <v>3337</v>
      </c>
      <c r="C1349" s="30" t="str">
        <f>IFERROR(_xlfn.XLOOKUP(B1349,Insumo[DESCRIPCION],Insumo[UND],,0),"")</f>
        <v>Un</v>
      </c>
      <c r="D1349" s="31">
        <v>2.4300000000000002</v>
      </c>
      <c r="E1349" s="32">
        <f>IFERROR(_xlfn.XLOOKUP($B1349,Insumo[DESCRIPCION],Insumo[VALOR],,0),"")</f>
        <v>12350.1</v>
      </c>
      <c r="F1349" s="33"/>
      <c r="G1349" s="34">
        <f>IFERROR(IF(F1349&gt;=0,D1349*E1349*(1+F1349/100),ABS(D1349*E1349/F1349)),"")</f>
        <v>30010.743000000002</v>
      </c>
      <c r="H1349" s="43">
        <f>IFERROR(G1349*E1344,"")</f>
        <v>0</v>
      </c>
    </row>
    <row r="1350" spans="1:8" ht="12.75" customHeight="1">
      <c r="A1350" s="28"/>
      <c r="B1350" s="29" t="s">
        <v>3546</v>
      </c>
      <c r="C1350" s="30" t="str">
        <f>IFERROR(_xlfn.XLOOKUP(B1350,Insumo[DESCRIPCION],Insumo[UND],,0),"")</f>
        <v>M</v>
      </c>
      <c r="D1350" s="31">
        <v>4.04</v>
      </c>
      <c r="E1350" s="32">
        <f>IFERROR(_xlfn.XLOOKUP($B1350,Insumo[DESCRIPCION],Insumo[VALOR],,0),"")</f>
        <v>1705.2</v>
      </c>
      <c r="F1350" s="33"/>
      <c r="G1350" s="34">
        <f>IFERROR(IF(F1350&gt;=0,D1350*E1350*(1+F1350/100),ABS(D1350*E1350/F1350)),"")</f>
        <v>6889.0079999999998</v>
      </c>
      <c r="H1350" s="43">
        <f>IFERROR(G1350*E1344,"")</f>
        <v>0</v>
      </c>
    </row>
    <row r="1351" spans="1:8" ht="12.75" customHeight="1">
      <c r="A1351" s="28"/>
      <c r="B1351" s="29" t="s">
        <v>3253</v>
      </c>
      <c r="C1351" s="30" t="str">
        <f>IFERROR(_xlfn.XLOOKUP(B1351,Insumo[DESCRIPCION],Insumo[UND],,0),"")</f>
        <v>Lb</v>
      </c>
      <c r="D1351" s="31">
        <v>0.09</v>
      </c>
      <c r="E1351" s="32">
        <f>IFERROR(_xlfn.XLOOKUP($B1351,Insumo[DESCRIPCION],Insumo[VALOR],,0),"")</f>
        <v>6482.7000000000007</v>
      </c>
      <c r="F1351" s="33"/>
      <c r="G1351" s="34">
        <f>IFERROR(IF(F1351&gt;=0,D1351*E1351*(1+F1351/100),ABS(D1351*E1351/F1351)),"")</f>
        <v>583.4430000000001</v>
      </c>
      <c r="H1351" s="43">
        <f>IFERROR(G1351*E1344,"")</f>
        <v>0</v>
      </c>
    </row>
    <row r="1352" spans="1:8" ht="12.75" customHeight="1">
      <c r="A1352" s="21"/>
      <c r="B1352" s="22" t="s">
        <v>3731</v>
      </c>
      <c r="C1352" s="23"/>
      <c r="D1352" s="24"/>
      <c r="E1352" s="25"/>
      <c r="F1352" s="26"/>
      <c r="G1352" s="27">
        <f>SUM(G1353:G1355)</f>
        <v>80418.347068019997</v>
      </c>
      <c r="H1352" s="44">
        <f>G1352*E1344</f>
        <v>0</v>
      </c>
    </row>
    <row r="1353" spans="1:8" ht="12.75" customHeight="1">
      <c r="A1353" s="28"/>
      <c r="B1353" s="29" t="s">
        <v>3657</v>
      </c>
      <c r="C1353" s="30" t="str">
        <f>IFERROR(_xlfn.XLOOKUP(B1353,Equipo[DESCRIPCION],Equipo[UND],,0),"")</f>
        <v>Día</v>
      </c>
      <c r="D1353" s="31">
        <v>1</v>
      </c>
      <c r="E1353" s="32">
        <f>IF(C1353="%MO",G1359,IFERROR(_xlfn.XLOOKUP($B1353,Equipo[DESCRIPCION],Equipo[VALOR],,0),""))</f>
        <v>56524.65</v>
      </c>
      <c r="F1353" s="33">
        <v>-1</v>
      </c>
      <c r="G1353" s="34">
        <f>IFERROR(IF(F1353&gt;=0,D1353*E1353*(1+F1353/100),ABS(D1353*E1353/F1353)),"")</f>
        <v>56524.65</v>
      </c>
      <c r="H1353" s="43">
        <f>IFERROR(G1353*E1344,"")</f>
        <v>0</v>
      </c>
    </row>
    <row r="1354" spans="1:8" ht="12.75" customHeight="1">
      <c r="A1354" s="28"/>
      <c r="B1354" s="29" t="s">
        <v>3570</v>
      </c>
      <c r="C1354" s="30" t="str">
        <f>IFERROR(_xlfn.XLOOKUP(B1354,Equipo[DESCRIPCION],Equipo[UND],,0),"")</f>
        <v>%MO</v>
      </c>
      <c r="D1354" s="31">
        <v>0.04</v>
      </c>
      <c r="E1354" s="32">
        <f>IF(C1354="%MO",G1359,IFERROR(_xlfn.XLOOKUP($B1354,Equipo[DESCRIPCION],Equipo[VALOR],,0),""))</f>
        <v>265485.52297800005</v>
      </c>
      <c r="F1354" s="33"/>
      <c r="G1354" s="34">
        <f>IFERROR(IF(F1354&gt;=0,D1354*E1354*(1+F1354/100),ABS(D1354*E1354/F1354)),"")</f>
        <v>10619.420919120003</v>
      </c>
      <c r="H1354" s="43">
        <f>IFERROR(G1354*E1344,"")</f>
        <v>0</v>
      </c>
    </row>
    <row r="1355" spans="1:8" ht="12.75" customHeight="1">
      <c r="A1355" s="28"/>
      <c r="B1355" s="29" t="s">
        <v>3626</v>
      </c>
      <c r="C1355" s="30" t="str">
        <f>IFERROR(_xlfn.XLOOKUP(B1355,Equipo[DESCRIPCION],Equipo[UND],,0),"")</f>
        <v>%MO</v>
      </c>
      <c r="D1355" s="31">
        <v>0.05</v>
      </c>
      <c r="E1355" s="32">
        <f>IF(C1355="%MO",G1359,IFERROR(_xlfn.XLOOKUP($B1355,Equipo[DESCRIPCION],Equipo[VALOR],,0),""))</f>
        <v>265485.52297800005</v>
      </c>
      <c r="F1355" s="33"/>
      <c r="G1355" s="34">
        <f>IFERROR(IF(F1355&gt;=0,D1355*E1355*(1+F1355/100),ABS(D1355*E1355/F1355)),"")</f>
        <v>13274.276148900004</v>
      </c>
      <c r="H1355" s="43">
        <f>IFERROR(G1355*E1344,"")</f>
        <v>0</v>
      </c>
    </row>
    <row r="1356" spans="1:8" ht="12.75" customHeight="1">
      <c r="A1356" s="21"/>
      <c r="B1356" s="22" t="s">
        <v>2533</v>
      </c>
      <c r="C1356" s="23"/>
      <c r="D1356" s="24"/>
      <c r="E1356" s="25"/>
      <c r="F1356" s="26"/>
      <c r="G1356" s="27">
        <f>SUM(G1357:G1358)</f>
        <v>0</v>
      </c>
      <c r="H1356" s="44">
        <f>G1356*E1344</f>
        <v>0</v>
      </c>
    </row>
    <row r="1357" spans="1:8" ht="12.75" customHeight="1">
      <c r="A1357" s="28"/>
      <c r="B1357" s="29"/>
      <c r="C1357" s="30" t="str">
        <f>IFERROR(_xlfn.XLOOKUP(B1357,Transporte[DESCRIPCION],Transporte[UND],,0),"")</f>
        <v/>
      </c>
      <c r="D1357" s="31"/>
      <c r="E1357" s="32" t="str">
        <f>IFERROR(_xlfn.XLOOKUP($B1357,Transporte[DESCRIPCION],Transporte[VALOR],,0),"")</f>
        <v/>
      </c>
      <c r="F1357" s="33"/>
      <c r="G1357" s="34" t="str">
        <f>IFERROR(IF(F1357&gt;=0,D1357*E1357*(1+F1357/100),ABS(D1357*E1357/F1357)),"")</f>
        <v/>
      </c>
      <c r="H1357" s="43" t="str">
        <f>IFERROR(G1357*E1344,"")</f>
        <v/>
      </c>
    </row>
    <row r="1358" spans="1:8" ht="12.75" customHeight="1">
      <c r="A1358" s="28"/>
      <c r="B1358" s="29"/>
      <c r="C1358" s="30" t="str">
        <f>IFERROR(_xlfn.XLOOKUP(B1358,Transporte[DESCRIPCION],Transporte[UND],,0),"")</f>
        <v/>
      </c>
      <c r="D1358" s="31"/>
      <c r="E1358" s="32" t="str">
        <f>IFERROR(_xlfn.XLOOKUP($B1358,Transporte[DESCRIPCION],Transporte[VALOR],,0),"")</f>
        <v/>
      </c>
      <c r="F1358" s="33"/>
      <c r="G1358" s="34" t="str">
        <f>IFERROR(IF(F1358&gt;=0,D1358*E1358*(1+F1358/100),ABS(D1358*E1358/F1358)),"")</f>
        <v/>
      </c>
      <c r="H1358" s="43" t="str">
        <f>IFERROR(G1358*E1344,"")</f>
        <v/>
      </c>
    </row>
    <row r="1359" spans="1:8" ht="12.75" customHeight="1">
      <c r="A1359" s="21"/>
      <c r="B1359" s="22" t="s">
        <v>3732</v>
      </c>
      <c r="C1359" s="23"/>
      <c r="D1359" s="24"/>
      <c r="E1359" s="25"/>
      <c r="F1359" s="26"/>
      <c r="G1359" s="27">
        <f>SUM(G1360:G1362)</f>
        <v>265485.52297800005</v>
      </c>
      <c r="H1359" s="44">
        <f>G1359*E1344</f>
        <v>0</v>
      </c>
    </row>
    <row r="1360" spans="1:8" ht="12.75" customHeight="1">
      <c r="A1360" s="28"/>
      <c r="B1360" s="29" t="s">
        <v>3713</v>
      </c>
      <c r="C1360" s="30" t="str">
        <f>IFERROR(_xlfn.XLOOKUP(B1360,MObra[DESCRIPCION],MObra[UN],,0),"")</f>
        <v>día</v>
      </c>
      <c r="D1360" s="31">
        <v>1</v>
      </c>
      <c r="E1360" s="32">
        <f>IFERROR(_xlfn.XLOOKUP($B1360,MObra[DESCRIPCION],MObra[VALOR UNIT],,0),"")</f>
        <v>663713.80744500016</v>
      </c>
      <c r="F1360" s="33">
        <f>-1/0.4</f>
        <v>-2.5</v>
      </c>
      <c r="G1360" s="34">
        <f>IFERROR(IF(F1360&gt;=0,D1360*E1360*(1+F1360/100),ABS(D1360*E1360/F1360)),"")</f>
        <v>265485.52297800005</v>
      </c>
      <c r="H1360" s="43">
        <f>IFERROR(G1360*E1344,"")</f>
        <v>0</v>
      </c>
    </row>
    <row r="1361" spans="1:11" ht="12.75" customHeight="1">
      <c r="A1361" s="28"/>
      <c r="B1361" s="29"/>
      <c r="C1361" s="30" t="str">
        <f t="array" ref="C1361">IFERROR(_xlfn.XLOOKUP(B1361,MObra[[#All],[DESCRIPCION]],MObra[[#All],[UN]],,0),"")</f>
        <v/>
      </c>
      <c r="D1361" s="31"/>
      <c r="E1361" s="32" t="str">
        <f>IFERROR(_xlfn.XLOOKUP($B1361,MObra[DESCRIPCION],MObra[VALOR UNIT],,0),"")</f>
        <v/>
      </c>
      <c r="F1361" s="33"/>
      <c r="G1361" s="34" t="str">
        <f>IFERROR(IF(F1361&gt;=0,D1361*E1361*(1+F1361/100),ABS(D1361*E1361/F1361)),"")</f>
        <v/>
      </c>
      <c r="H1361" s="43" t="str">
        <f>IFERROR(G1361*E1344,"")</f>
        <v/>
      </c>
    </row>
    <row r="1362" spans="1:11" ht="12.75" customHeight="1" thickBot="1">
      <c r="A1362" s="35"/>
      <c r="B1362" s="36"/>
      <c r="C1362" s="37" t="str">
        <f t="array" ref="C1362">IFERROR(_xlfn.XLOOKUP(B1362,MObra[[#All],[DESCRIPCION]],MObra[[#All],[UN]],,0),"")</f>
        <v/>
      </c>
      <c r="D1362" s="38"/>
      <c r="E1362" s="39" t="str">
        <f>IFERROR(_xlfn.XLOOKUP($B1362,MObra[DESCRIPCION],MObra[VALOR UNIT],,0),"")</f>
        <v/>
      </c>
      <c r="F1362" s="40"/>
      <c r="G1362" s="41" t="str">
        <f>IFERROR(IF(F1362&gt;=0,D1362*E1362*(1+F1362/100),ABS(D1362*E1362/F1362)),"")</f>
        <v/>
      </c>
      <c r="H1362" s="42" t="str">
        <f>IFERROR(G1362*E1344,"")</f>
        <v/>
      </c>
    </row>
    <row r="1363" spans="1:11" ht="12.75" customHeight="1" thickTop="1" thickBot="1"/>
    <row r="1364" spans="1:11" ht="12.75" customHeight="1" thickTop="1" thickBot="1">
      <c r="A1364" s="6" t="s">
        <v>445</v>
      </c>
      <c r="B1364" s="7" t="str">
        <f>VLOOKUP($A1364,Presupuesto!$A:$D,2,FALSE())</f>
        <v>Malla electrosoldada 7.0 mm 15x15</v>
      </c>
      <c r="C1364" s="8" t="str">
        <f>VLOOKUP($A1364,Presupuesto!$A:$D,3,FALSE())</f>
        <v>M2</v>
      </c>
      <c r="D1364" s="9"/>
      <c r="E1364" s="10">
        <f>VLOOKUP($A1364,Presupuesto!$A:$D,4,FALSE())</f>
        <v>0</v>
      </c>
      <c r="F1364" s="11" t="s">
        <v>2589</v>
      </c>
      <c r="G1364" s="12">
        <f>SUM(G1366:G1382)/2</f>
        <v>31269.318428075247</v>
      </c>
      <c r="H1364" s="13">
        <f>ROUND(SUM(H1366:H1382),0)/2</f>
        <v>0</v>
      </c>
      <c r="I1364" s="10">
        <f>VLOOKUP(A1364,Presupuesto!$A:$F,6,0)</f>
        <v>0</v>
      </c>
      <c r="J1364" s="10">
        <f>+H1364-I1364</f>
        <v>0</v>
      </c>
      <c r="K1364" s="46">
        <f>+H1364-G1364*E1364</f>
        <v>0</v>
      </c>
    </row>
    <row r="1365" spans="1:11" ht="12.75" customHeight="1" thickTop="1">
      <c r="A1365" s="14"/>
      <c r="B1365" s="15" t="s">
        <v>2586</v>
      </c>
      <c r="C1365" s="15" t="s">
        <v>5</v>
      </c>
      <c r="D1365" s="16" t="s">
        <v>6</v>
      </c>
      <c r="E1365" s="17" t="s">
        <v>7</v>
      </c>
      <c r="F1365" s="18" t="s">
        <v>3728</v>
      </c>
      <c r="G1365" s="19" t="s">
        <v>3729</v>
      </c>
      <c r="H1365" s="20" t="s">
        <v>3797</v>
      </c>
    </row>
    <row r="1366" spans="1:11" ht="12.75" customHeight="1">
      <c r="A1366" s="21"/>
      <c r="B1366" s="22" t="s">
        <v>3730</v>
      </c>
      <c r="C1366" s="23"/>
      <c r="D1366" s="24"/>
      <c r="E1366" s="25"/>
      <c r="F1366" s="26"/>
      <c r="G1366" s="27">
        <f>SUM(G1367:G1371)</f>
        <v>27652.078177499996</v>
      </c>
      <c r="H1366" s="27">
        <f>IFERROR(G1366*E1364,"")</f>
        <v>0</v>
      </c>
    </row>
    <row r="1367" spans="1:11" ht="12.75" customHeight="1">
      <c r="A1367" s="28"/>
      <c r="B1367" s="29" t="s">
        <v>3137</v>
      </c>
      <c r="C1367" s="30" t="str">
        <f>IFERROR(_xlfn.XLOOKUP(B1367,Insumo[DESCRIPCION],Insumo[UND],,0),"")</f>
        <v>Un</v>
      </c>
      <c r="D1367" s="31">
        <v>7.0999999999999994E-2</v>
      </c>
      <c r="E1367" s="32">
        <f>IFERROR(_xlfn.XLOOKUP($B1367,Insumo[DESCRIPCION],Insumo[VALOR],,0),"")</f>
        <v>365779.05</v>
      </c>
      <c r="F1367" s="33">
        <v>5</v>
      </c>
      <c r="G1367" s="34">
        <f>IFERROR(IF(F1367&gt;=0,D1367*E1367*(1+F1367/100),ABS(D1367*E1367/F1367)),"")</f>
        <v>27268.828177499996</v>
      </c>
      <c r="H1367" s="43">
        <f>IFERROR(G1367*E1364,"")</f>
        <v>0</v>
      </c>
    </row>
    <row r="1368" spans="1:11" ht="12.75" customHeight="1">
      <c r="A1368" s="28"/>
      <c r="B1368" s="29" t="s">
        <v>2699</v>
      </c>
      <c r="C1368" s="30" t="str">
        <f>IFERROR(_xlfn.XLOOKUP(B1368,Insumo[DESCRIPCION],Insumo[UND],,0),"")</f>
        <v>Kg</v>
      </c>
      <c r="D1368" s="31">
        <v>0.05</v>
      </c>
      <c r="E1368" s="32">
        <f>IFERROR(_xlfn.XLOOKUP($B1368,Insumo[DESCRIPCION],Insumo[VALOR],,0),"")</f>
        <v>7665</v>
      </c>
      <c r="F1368" s="33"/>
      <c r="G1368" s="34">
        <f>IFERROR(IF(F1368&gt;=0,D1368*E1368*(1+F1368/100),ABS(D1368*E1368/F1368)),"")</f>
        <v>383.25</v>
      </c>
      <c r="H1368" s="43">
        <f>IFERROR(G1368*E1364,"")</f>
        <v>0</v>
      </c>
    </row>
    <row r="1369" spans="1:11" ht="12.75" customHeight="1">
      <c r="A1369" s="28"/>
      <c r="B1369" s="29"/>
      <c r="C1369" s="30" t="str">
        <f>IFERROR(_xlfn.XLOOKUP(B1369,Insumo[DESCRIPCION],Insumo[UND],,0),"")</f>
        <v/>
      </c>
      <c r="D1369" s="31"/>
      <c r="E1369" s="32" t="str">
        <f>IFERROR(_xlfn.XLOOKUP($B1369,Insumo[DESCRIPCION],Insumo[VALOR],,0),"")</f>
        <v/>
      </c>
      <c r="F1369" s="33"/>
      <c r="G1369" s="34" t="str">
        <f>IFERROR(IF(F1369&gt;=0,D1369*E1369*(1+F1369/100),ABS(D1369*E1369/F1369)),"")</f>
        <v/>
      </c>
      <c r="H1369" s="43" t="str">
        <f>IFERROR(G1369*E1364,"")</f>
        <v/>
      </c>
    </row>
    <row r="1370" spans="1:11" ht="12.75" customHeight="1">
      <c r="A1370" s="28"/>
      <c r="B1370" s="29"/>
      <c r="C1370" s="30" t="str">
        <f>IFERROR(_xlfn.XLOOKUP(B1370,Insumo[DESCRIPCION],Insumo[UND],,0),"")</f>
        <v/>
      </c>
      <c r="D1370" s="31"/>
      <c r="E1370" s="32" t="str">
        <f>IFERROR(_xlfn.XLOOKUP($B1370,Insumo[DESCRIPCION],Insumo[VALOR],,0),"")</f>
        <v/>
      </c>
      <c r="F1370" s="33"/>
      <c r="G1370" s="34" t="str">
        <f>IFERROR(IF(F1370&gt;=0,D1370*E1370*(1+F1370/100),ABS(D1370*E1370/F1370)),"")</f>
        <v/>
      </c>
      <c r="H1370" s="43" t="str">
        <f>IFERROR(G1370*E1364,"")</f>
        <v/>
      </c>
    </row>
    <row r="1371" spans="1:11" ht="12.75" customHeight="1">
      <c r="A1371" s="28"/>
      <c r="B1371" s="29"/>
      <c r="C1371" s="30" t="str">
        <f>IFERROR(_xlfn.XLOOKUP(B1371,Insumo[DESCRIPCION],Insumo[UND],,0),"")</f>
        <v/>
      </c>
      <c r="D1371" s="31"/>
      <c r="E1371" s="32" t="str">
        <f>IFERROR(_xlfn.XLOOKUP($B1371,Insumo[DESCRIPCION],Insumo[VALOR],,0),"")</f>
        <v/>
      </c>
      <c r="F1371" s="33"/>
      <c r="G1371" s="34" t="str">
        <f>IFERROR(IF(F1371&gt;=0,D1371*E1371*(1+F1371/100),ABS(D1371*E1371/F1371)),"")</f>
        <v/>
      </c>
      <c r="H1371" s="43" t="str">
        <f>IFERROR(G1371*E1364,"")</f>
        <v/>
      </c>
    </row>
    <row r="1372" spans="1:11" ht="12.75" customHeight="1">
      <c r="A1372" s="21"/>
      <c r="B1372" s="22" t="s">
        <v>3731</v>
      </c>
      <c r="C1372" s="23"/>
      <c r="D1372" s="24"/>
      <c r="E1372" s="25"/>
      <c r="F1372" s="26"/>
      <c r="G1372" s="27">
        <f>SUM(G1373:G1375)</f>
        <v>298.67121335025013</v>
      </c>
      <c r="H1372" s="44">
        <f>G1372*E1364</f>
        <v>0</v>
      </c>
    </row>
    <row r="1373" spans="1:11" ht="12.75" customHeight="1">
      <c r="A1373" s="28"/>
      <c r="B1373" s="29" t="s">
        <v>3570</v>
      </c>
      <c r="C1373" s="30" t="str">
        <f>IFERROR(_xlfn.XLOOKUP(B1373,Equipo[DESCRIPCION],Equipo[UND],,0),"")</f>
        <v>%MO</v>
      </c>
      <c r="D1373" s="31">
        <v>0.04</v>
      </c>
      <c r="E1373" s="32">
        <f>IF(C1373="%MO",G1379,IFERROR(_xlfn.XLOOKUP($B1373,Equipo[DESCRIPCION],Equipo[VALOR],,0),""))</f>
        <v>3318.569037225001</v>
      </c>
      <c r="F1373" s="33"/>
      <c r="G1373" s="34">
        <f>IFERROR(IF(F1373&gt;=0,D1373*E1373*(1+F1373/100),ABS(D1373*E1373/F1373)),"")</f>
        <v>132.74276148900003</v>
      </c>
      <c r="H1373" s="43">
        <f>IFERROR(G1373*E1364,"")</f>
        <v>0</v>
      </c>
    </row>
    <row r="1374" spans="1:11" ht="12.75" customHeight="1">
      <c r="A1374" s="28"/>
      <c r="B1374" s="29" t="s">
        <v>3626</v>
      </c>
      <c r="C1374" s="30" t="str">
        <f>IFERROR(_xlfn.XLOOKUP(B1374,Equipo[DESCRIPCION],Equipo[UND],,0),"")</f>
        <v>%MO</v>
      </c>
      <c r="D1374" s="31">
        <v>0.05</v>
      </c>
      <c r="E1374" s="32">
        <f>IF(C1374="%MO",G1379,IFERROR(_xlfn.XLOOKUP($B1374,Equipo[DESCRIPCION],Equipo[VALOR],,0),""))</f>
        <v>3318.569037225001</v>
      </c>
      <c r="F1374" s="33"/>
      <c r="G1374" s="34">
        <f>IFERROR(IF(F1374&gt;=0,D1374*E1374*(1+F1374/100),ABS(D1374*E1374/F1374)),"")</f>
        <v>165.92845186125007</v>
      </c>
      <c r="H1374" s="43">
        <f>IFERROR(G1374*E1364,"")</f>
        <v>0</v>
      </c>
    </row>
    <row r="1375" spans="1:11" ht="12.75" customHeight="1">
      <c r="A1375" s="28"/>
      <c r="B1375" s="29"/>
      <c r="C1375" s="30" t="str">
        <f>IFERROR(_xlfn.XLOOKUP(B1375,Equipo[DESCRIPCION],Equipo[UND],,0),"")</f>
        <v/>
      </c>
      <c r="D1375" s="31"/>
      <c r="E1375" s="32" t="str">
        <f>IF(C1375="%MO",G1379,IFERROR(_xlfn.XLOOKUP($B1375,Equipo[DESCRIPCION],Equipo[VALOR],,0),""))</f>
        <v/>
      </c>
      <c r="F1375" s="33"/>
      <c r="G1375" s="34" t="str">
        <f>IFERROR(IF(F1375&gt;=0,D1375*E1375*(1+F1375/100),ABS(D1375*E1375/F1375)),"")</f>
        <v/>
      </c>
      <c r="H1375" s="43" t="str">
        <f>IFERROR(G1375*E1364,"")</f>
        <v/>
      </c>
    </row>
    <row r="1376" spans="1:11" ht="12.75" customHeight="1">
      <c r="A1376" s="21"/>
      <c r="B1376" s="22" t="s">
        <v>2533</v>
      </c>
      <c r="C1376" s="23"/>
      <c r="D1376" s="24"/>
      <c r="E1376" s="25"/>
      <c r="F1376" s="26"/>
      <c r="G1376" s="27">
        <f>SUM(G1377:G1378)</f>
        <v>0</v>
      </c>
      <c r="H1376" s="44">
        <f>G1376*E1364</f>
        <v>0</v>
      </c>
    </row>
    <row r="1377" spans="1:11" ht="12.75" customHeight="1">
      <c r="A1377" s="28"/>
      <c r="B1377" s="29"/>
      <c r="C1377" s="30" t="str">
        <f>IFERROR(_xlfn.XLOOKUP(B1377,Transporte[DESCRIPCION],Transporte[UND],,0),"")</f>
        <v/>
      </c>
      <c r="D1377" s="31"/>
      <c r="E1377" s="32" t="str">
        <f>IFERROR(_xlfn.XLOOKUP($B1377,Transporte[DESCRIPCION],Transporte[VALOR],,0),"")</f>
        <v/>
      </c>
      <c r="F1377" s="33"/>
      <c r="G1377" s="34" t="str">
        <f>IFERROR(IF(F1377&gt;=0,D1377*E1377*(1+F1377/100),ABS(D1377*E1377/F1377)),"")</f>
        <v/>
      </c>
      <c r="H1377" s="43" t="str">
        <f>IFERROR(G1377*E1364,"")</f>
        <v/>
      </c>
    </row>
    <row r="1378" spans="1:11" ht="12.75" customHeight="1">
      <c r="A1378" s="28"/>
      <c r="B1378" s="29"/>
      <c r="C1378" s="30" t="str">
        <f>IFERROR(_xlfn.XLOOKUP(B1378,Transporte[DESCRIPCION],Transporte[UND],,0),"")</f>
        <v/>
      </c>
      <c r="D1378" s="31"/>
      <c r="E1378" s="32" t="str">
        <f>IFERROR(_xlfn.XLOOKUP($B1378,Transporte[DESCRIPCION],Transporte[VALOR],,0),"")</f>
        <v/>
      </c>
      <c r="F1378" s="33"/>
      <c r="G1378" s="34" t="str">
        <f>IFERROR(IF(F1378&gt;=0,D1378*E1378*(1+F1378/100),ABS(D1378*E1378/F1378)),"")</f>
        <v/>
      </c>
      <c r="H1378" s="43" t="str">
        <f>IFERROR(G1378*E1364,"")</f>
        <v/>
      </c>
    </row>
    <row r="1379" spans="1:11" ht="12.75" customHeight="1">
      <c r="A1379" s="21"/>
      <c r="B1379" s="22" t="s">
        <v>3732</v>
      </c>
      <c r="C1379" s="23"/>
      <c r="D1379" s="24"/>
      <c r="E1379" s="25"/>
      <c r="F1379" s="26"/>
      <c r="G1379" s="27">
        <f>SUM(G1380:G1382)</f>
        <v>3318.569037225001</v>
      </c>
      <c r="H1379" s="44">
        <f>G1379*E1364</f>
        <v>0</v>
      </c>
    </row>
    <row r="1380" spans="1:11" ht="12.75" customHeight="1">
      <c r="A1380" s="28"/>
      <c r="B1380" s="29" t="s">
        <v>3713</v>
      </c>
      <c r="C1380" s="30" t="str">
        <f>IFERROR(_xlfn.XLOOKUP(B1380,MObra[DESCRIPCION],MObra[UN],,0),"")</f>
        <v>día</v>
      </c>
      <c r="D1380" s="31">
        <v>1</v>
      </c>
      <c r="E1380" s="32">
        <f>IFERROR(_xlfn.XLOOKUP($B1380,MObra[DESCRIPCION],MObra[VALOR UNIT],,0),"")</f>
        <v>663713.80744500016</v>
      </c>
      <c r="F1380" s="33">
        <v>-200</v>
      </c>
      <c r="G1380" s="34">
        <f>IFERROR(IF(F1380&gt;=0,D1380*E1380*(1+F1380/100),ABS(D1380*E1380/F1380)),"")</f>
        <v>3318.569037225001</v>
      </c>
      <c r="H1380" s="43">
        <f>IFERROR(G1380*E1364,"")</f>
        <v>0</v>
      </c>
    </row>
    <row r="1381" spans="1:11" ht="12.75" customHeight="1">
      <c r="A1381" s="28"/>
      <c r="B1381" s="29"/>
      <c r="C1381" s="30" t="str">
        <f t="array" ref="C1381">IFERROR(_xlfn.XLOOKUP(B1381,MObra[[#All],[DESCRIPCION]],MObra[[#All],[UN]],,0),"")</f>
        <v/>
      </c>
      <c r="D1381" s="31"/>
      <c r="E1381" s="32" t="str">
        <f>IFERROR(_xlfn.XLOOKUP($B1381,MObra[DESCRIPCION],MObra[VALOR UNIT],,0),"")</f>
        <v/>
      </c>
      <c r="F1381" s="33"/>
      <c r="G1381" s="34" t="str">
        <f>IFERROR(IF(F1381&gt;=0,D1381*E1381*(1+F1381/100),ABS(D1381*E1381/F1381)),"")</f>
        <v/>
      </c>
      <c r="H1381" s="43" t="str">
        <f>IFERROR(G1381*E1364,"")</f>
        <v/>
      </c>
    </row>
    <row r="1382" spans="1:11" ht="12.75" customHeight="1" thickBot="1">
      <c r="A1382" s="35"/>
      <c r="B1382" s="36"/>
      <c r="C1382" s="37" t="str">
        <f t="array" ref="C1382">IFERROR(_xlfn.XLOOKUP(B1382,MObra[[#All],[DESCRIPCION]],MObra[[#All],[UN]],,0),"")</f>
        <v/>
      </c>
      <c r="D1382" s="38"/>
      <c r="E1382" s="39" t="str">
        <f>IFERROR(_xlfn.XLOOKUP($B1382,MObra[DESCRIPCION],MObra[VALOR UNIT],,0),"")</f>
        <v/>
      </c>
      <c r="F1382" s="40"/>
      <c r="G1382" s="41" t="str">
        <f>IFERROR(IF(F1382&gt;=0,D1382*E1382*(1+F1382/100),ABS(D1382*E1382/F1382)),"")</f>
        <v/>
      </c>
      <c r="H1382" s="42" t="str">
        <f>IFERROR(G1382*E1364,"")</f>
        <v/>
      </c>
    </row>
    <row r="1383" spans="1:11" ht="12.75" customHeight="1" thickTop="1" thickBot="1"/>
    <row r="1384" spans="1:11" ht="12.75" customHeight="1" thickTop="1" thickBot="1">
      <c r="A1384" s="6" t="s">
        <v>447</v>
      </c>
      <c r="B1384" s="7" t="str">
        <f>VLOOKUP($A1384,Presupuesto!$A:$D,2,FALSE())</f>
        <v>Malla electrosoldada 6.0 mm 15x15</v>
      </c>
      <c r="C1384" s="8" t="str">
        <f>VLOOKUP($A1384,Presupuesto!$A:$D,3,FALSE())</f>
        <v>M2</v>
      </c>
      <c r="D1384" s="9"/>
      <c r="E1384" s="10">
        <f>VLOOKUP($A1384,Presupuesto!$A:$D,4,FALSE())</f>
        <v>0</v>
      </c>
      <c r="F1384" s="11" t="s">
        <v>2589</v>
      </c>
      <c r="G1384" s="12">
        <f>SUM(G1386:G1402)/2</f>
        <v>24048.297330575253</v>
      </c>
      <c r="H1384" s="13">
        <f>ROUND(SUM(H1386:H1402),0)/2</f>
        <v>0</v>
      </c>
      <c r="I1384" s="10">
        <f>VLOOKUP(A1384,Presupuesto!$A:$F,6,0)</f>
        <v>0</v>
      </c>
      <c r="J1384" s="10">
        <f>+H1384-I1384</f>
        <v>0</v>
      </c>
      <c r="K1384" s="46">
        <f>+H1384-G1384*E1384</f>
        <v>0</v>
      </c>
    </row>
    <row r="1385" spans="1:11" ht="12.75" customHeight="1" thickTop="1">
      <c r="A1385" s="14"/>
      <c r="B1385" s="15" t="s">
        <v>2586</v>
      </c>
      <c r="C1385" s="15" t="s">
        <v>5</v>
      </c>
      <c r="D1385" s="16" t="s">
        <v>6</v>
      </c>
      <c r="E1385" s="17" t="s">
        <v>7</v>
      </c>
      <c r="F1385" s="18" t="s">
        <v>3728</v>
      </c>
      <c r="G1385" s="19" t="s">
        <v>3729</v>
      </c>
      <c r="H1385" s="20" t="s">
        <v>3797</v>
      </c>
    </row>
    <row r="1386" spans="1:11" ht="12.75" customHeight="1">
      <c r="A1386" s="21"/>
      <c r="B1386" s="22" t="s">
        <v>3730</v>
      </c>
      <c r="C1386" s="23"/>
      <c r="D1386" s="24"/>
      <c r="E1386" s="25"/>
      <c r="F1386" s="26"/>
      <c r="G1386" s="27">
        <f>SUM(G1387:G1391)</f>
        <v>20431.057080000002</v>
      </c>
      <c r="H1386" s="27">
        <f>IFERROR(G1386*E1384,"")</f>
        <v>0</v>
      </c>
    </row>
    <row r="1387" spans="1:11" ht="12.75" customHeight="1">
      <c r="A1387" s="28"/>
      <c r="B1387" s="29" t="s">
        <v>3136</v>
      </c>
      <c r="C1387" s="30" t="str">
        <f>IFERROR(_xlfn.XLOOKUP(B1387,Insumo[DESCRIPCION],Insumo[UND],,0),"")</f>
        <v>Un</v>
      </c>
      <c r="D1387" s="31">
        <v>7.0999999999999994E-2</v>
      </c>
      <c r="E1387" s="32">
        <f>IFERROR(_xlfn.XLOOKUP($B1387,Insumo[DESCRIPCION],Insumo[VALOR],,0),"")</f>
        <v>268917.60000000003</v>
      </c>
      <c r="F1387" s="33">
        <v>5</v>
      </c>
      <c r="G1387" s="34">
        <f>IFERROR(IF(F1387&gt;=0,D1387*E1387*(1+F1387/100),ABS(D1387*E1387/F1387)),"")</f>
        <v>20047.807080000002</v>
      </c>
      <c r="H1387" s="43">
        <f>IFERROR(G1387*E1384,"")</f>
        <v>0</v>
      </c>
    </row>
    <row r="1388" spans="1:11" ht="12.75" customHeight="1">
      <c r="A1388" s="28"/>
      <c r="B1388" s="29" t="s">
        <v>2699</v>
      </c>
      <c r="C1388" s="30" t="str">
        <f>IFERROR(_xlfn.XLOOKUP(B1388,Insumo[DESCRIPCION],Insumo[UND],,0),"")</f>
        <v>Kg</v>
      </c>
      <c r="D1388" s="31">
        <v>0.05</v>
      </c>
      <c r="E1388" s="32">
        <f>IFERROR(_xlfn.XLOOKUP($B1388,Insumo[DESCRIPCION],Insumo[VALOR],,0),"")</f>
        <v>7665</v>
      </c>
      <c r="F1388" s="33"/>
      <c r="G1388" s="34">
        <f>IFERROR(IF(F1388&gt;=0,D1388*E1388*(1+F1388/100),ABS(D1388*E1388/F1388)),"")</f>
        <v>383.25</v>
      </c>
      <c r="H1388" s="43">
        <f>IFERROR(G1388*E1384,"")</f>
        <v>0</v>
      </c>
    </row>
    <row r="1389" spans="1:11" ht="12.75" customHeight="1">
      <c r="A1389" s="28"/>
      <c r="B1389" s="29"/>
      <c r="C1389" s="30" t="str">
        <f>IFERROR(_xlfn.XLOOKUP(B1389,Insumo[DESCRIPCION],Insumo[UND],,0),"")</f>
        <v/>
      </c>
      <c r="D1389" s="31"/>
      <c r="E1389" s="32" t="str">
        <f>IFERROR(_xlfn.XLOOKUP($B1389,Insumo[DESCRIPCION],Insumo[VALOR],,0),"")</f>
        <v/>
      </c>
      <c r="F1389" s="33"/>
      <c r="G1389" s="34" t="str">
        <f>IFERROR(IF(F1389&gt;=0,D1389*E1389*(1+F1389/100),ABS(D1389*E1389/F1389)),"")</f>
        <v/>
      </c>
      <c r="H1389" s="43" t="str">
        <f>IFERROR(G1389*E1384,"")</f>
        <v/>
      </c>
    </row>
    <row r="1390" spans="1:11" ht="12.75" customHeight="1">
      <c r="A1390" s="28"/>
      <c r="B1390" s="29"/>
      <c r="C1390" s="30" t="str">
        <f>IFERROR(_xlfn.XLOOKUP(B1390,Insumo[DESCRIPCION],Insumo[UND],,0),"")</f>
        <v/>
      </c>
      <c r="D1390" s="31"/>
      <c r="E1390" s="32" t="str">
        <f>IFERROR(_xlfn.XLOOKUP($B1390,Insumo[DESCRIPCION],Insumo[VALOR],,0),"")</f>
        <v/>
      </c>
      <c r="F1390" s="33"/>
      <c r="G1390" s="34" t="str">
        <f>IFERROR(IF(F1390&gt;=0,D1390*E1390*(1+F1390/100),ABS(D1390*E1390/F1390)),"")</f>
        <v/>
      </c>
      <c r="H1390" s="43" t="str">
        <f>IFERROR(G1390*E1384,"")</f>
        <v/>
      </c>
    </row>
    <row r="1391" spans="1:11" ht="12.75" customHeight="1">
      <c r="A1391" s="28"/>
      <c r="B1391" s="29"/>
      <c r="C1391" s="30" t="str">
        <f>IFERROR(_xlfn.XLOOKUP(B1391,Insumo[DESCRIPCION],Insumo[UND],,0),"")</f>
        <v/>
      </c>
      <c r="D1391" s="31"/>
      <c r="E1391" s="32" t="str">
        <f>IFERROR(_xlfn.XLOOKUP($B1391,Insumo[DESCRIPCION],Insumo[VALOR],,0),"")</f>
        <v/>
      </c>
      <c r="F1391" s="33"/>
      <c r="G1391" s="34" t="str">
        <f>IFERROR(IF(F1391&gt;=0,D1391*E1391*(1+F1391/100),ABS(D1391*E1391/F1391)),"")</f>
        <v/>
      </c>
      <c r="H1391" s="43" t="str">
        <f>IFERROR(G1391*E1384,"")</f>
        <v/>
      </c>
    </row>
    <row r="1392" spans="1:11" ht="12.75" customHeight="1">
      <c r="A1392" s="21"/>
      <c r="B1392" s="22" t="s">
        <v>3731</v>
      </c>
      <c r="C1392" s="23"/>
      <c r="D1392" s="24"/>
      <c r="E1392" s="25"/>
      <c r="F1392" s="26"/>
      <c r="G1392" s="27">
        <f>SUM(G1393:G1395)</f>
        <v>298.67121335025013</v>
      </c>
      <c r="H1392" s="44">
        <f>G1392*E1384</f>
        <v>0</v>
      </c>
    </row>
    <row r="1393" spans="1:11" ht="12.75" customHeight="1">
      <c r="A1393" s="28"/>
      <c r="B1393" s="29" t="s">
        <v>3570</v>
      </c>
      <c r="C1393" s="30" t="str">
        <f>IFERROR(_xlfn.XLOOKUP(B1393,Equipo[DESCRIPCION],Equipo[UND],,0),"")</f>
        <v>%MO</v>
      </c>
      <c r="D1393" s="31">
        <v>0.04</v>
      </c>
      <c r="E1393" s="32">
        <f>IF(C1393="%MO",G1399,IFERROR(_xlfn.XLOOKUP($B1393,Equipo[DESCRIPCION],Equipo[VALOR],,0),""))</f>
        <v>3318.569037225001</v>
      </c>
      <c r="F1393" s="33"/>
      <c r="G1393" s="34">
        <f>IFERROR(IF(F1393&gt;=0,D1393*E1393*(1+F1393/100),ABS(D1393*E1393/F1393)),"")</f>
        <v>132.74276148900003</v>
      </c>
      <c r="H1393" s="43">
        <f>IFERROR(G1393*E1384,"")</f>
        <v>0</v>
      </c>
    </row>
    <row r="1394" spans="1:11" ht="12.75" customHeight="1">
      <c r="A1394" s="28"/>
      <c r="B1394" s="29" t="s">
        <v>3626</v>
      </c>
      <c r="C1394" s="30" t="str">
        <f>IFERROR(_xlfn.XLOOKUP(B1394,Equipo[DESCRIPCION],Equipo[UND],,0),"")</f>
        <v>%MO</v>
      </c>
      <c r="D1394" s="31">
        <v>0.05</v>
      </c>
      <c r="E1394" s="32">
        <f>IF(C1394="%MO",G1399,IFERROR(_xlfn.XLOOKUP($B1394,Equipo[DESCRIPCION],Equipo[VALOR],,0),""))</f>
        <v>3318.569037225001</v>
      </c>
      <c r="F1394" s="33"/>
      <c r="G1394" s="34">
        <f>IFERROR(IF(F1394&gt;=0,D1394*E1394*(1+F1394/100),ABS(D1394*E1394/F1394)),"")</f>
        <v>165.92845186125007</v>
      </c>
      <c r="H1394" s="43">
        <f>IFERROR(G1394*E1384,"")</f>
        <v>0</v>
      </c>
    </row>
    <row r="1395" spans="1:11" ht="12.75" customHeight="1">
      <c r="A1395" s="28"/>
      <c r="B1395" s="29"/>
      <c r="C1395" s="30" t="str">
        <f>IFERROR(_xlfn.XLOOKUP(B1395,Equipo[DESCRIPCION],Equipo[UND],,0),"")</f>
        <v/>
      </c>
      <c r="D1395" s="31"/>
      <c r="E1395" s="32" t="str">
        <f>IF(C1395="%MO",G1399,IFERROR(_xlfn.XLOOKUP($B1395,Equipo[DESCRIPCION],Equipo[VALOR],,0),""))</f>
        <v/>
      </c>
      <c r="F1395" s="33"/>
      <c r="G1395" s="34" t="str">
        <f>IFERROR(IF(F1395&gt;=0,D1395*E1395*(1+F1395/100),ABS(D1395*E1395/F1395)),"")</f>
        <v/>
      </c>
      <c r="H1395" s="43" t="str">
        <f>IFERROR(G1395*E1384,"")</f>
        <v/>
      </c>
    </row>
    <row r="1396" spans="1:11" ht="12.75" customHeight="1">
      <c r="A1396" s="21"/>
      <c r="B1396" s="22" t="s">
        <v>2533</v>
      </c>
      <c r="C1396" s="23"/>
      <c r="D1396" s="24"/>
      <c r="E1396" s="25"/>
      <c r="F1396" s="26"/>
      <c r="G1396" s="27">
        <f>SUM(G1397:G1398)</f>
        <v>0</v>
      </c>
      <c r="H1396" s="44">
        <f>G1396*E1384</f>
        <v>0</v>
      </c>
    </row>
    <row r="1397" spans="1:11" ht="12.75" customHeight="1">
      <c r="A1397" s="28"/>
      <c r="B1397" s="29"/>
      <c r="C1397" s="30" t="str">
        <f>IFERROR(_xlfn.XLOOKUP(B1397,Transporte[DESCRIPCION],Transporte[UND],,0),"")</f>
        <v/>
      </c>
      <c r="D1397" s="31"/>
      <c r="E1397" s="32" t="str">
        <f>IFERROR(_xlfn.XLOOKUP($B1397,Transporte[DESCRIPCION],Transporte[VALOR],,0),"")</f>
        <v/>
      </c>
      <c r="F1397" s="33"/>
      <c r="G1397" s="34" t="str">
        <f>IFERROR(IF(F1397&gt;=0,D1397*E1397*(1+F1397/100),ABS(D1397*E1397/F1397)),"")</f>
        <v/>
      </c>
      <c r="H1397" s="43" t="str">
        <f>IFERROR(G1397*E1384,"")</f>
        <v/>
      </c>
    </row>
    <row r="1398" spans="1:11" ht="12.75" customHeight="1">
      <c r="A1398" s="28"/>
      <c r="B1398" s="29"/>
      <c r="C1398" s="30" t="str">
        <f>IFERROR(_xlfn.XLOOKUP(B1398,Transporte[DESCRIPCION],Transporte[UND],,0),"")</f>
        <v/>
      </c>
      <c r="D1398" s="31"/>
      <c r="E1398" s="32" t="str">
        <f>IFERROR(_xlfn.XLOOKUP($B1398,Transporte[DESCRIPCION],Transporte[VALOR],,0),"")</f>
        <v/>
      </c>
      <c r="F1398" s="33"/>
      <c r="G1398" s="34" t="str">
        <f>IFERROR(IF(F1398&gt;=0,D1398*E1398*(1+F1398/100),ABS(D1398*E1398/F1398)),"")</f>
        <v/>
      </c>
      <c r="H1398" s="43" t="str">
        <f>IFERROR(G1398*E1384,"")</f>
        <v/>
      </c>
    </row>
    <row r="1399" spans="1:11" ht="12.75" customHeight="1">
      <c r="A1399" s="21"/>
      <c r="B1399" s="22" t="s">
        <v>3732</v>
      </c>
      <c r="C1399" s="23"/>
      <c r="D1399" s="24"/>
      <c r="E1399" s="25"/>
      <c r="F1399" s="26"/>
      <c r="G1399" s="27">
        <f>SUM(G1400:G1402)</f>
        <v>3318.569037225001</v>
      </c>
      <c r="H1399" s="44">
        <f>G1399*E1384</f>
        <v>0</v>
      </c>
    </row>
    <row r="1400" spans="1:11" ht="12.75" customHeight="1">
      <c r="A1400" s="28"/>
      <c r="B1400" s="29" t="s">
        <v>3713</v>
      </c>
      <c r="C1400" s="30" t="str">
        <f>IFERROR(_xlfn.XLOOKUP(B1400,MObra[DESCRIPCION],MObra[UN],,0),"")</f>
        <v>día</v>
      </c>
      <c r="D1400" s="31">
        <v>1</v>
      </c>
      <c r="E1400" s="32">
        <f>IFERROR(_xlfn.XLOOKUP($B1400,MObra[DESCRIPCION],MObra[VALOR UNIT],,0),"")</f>
        <v>663713.80744500016</v>
      </c>
      <c r="F1400" s="33">
        <v>-200</v>
      </c>
      <c r="G1400" s="34">
        <f>IFERROR(IF(F1400&gt;=0,D1400*E1400*(1+F1400/100),ABS(D1400*E1400/F1400)),"")</f>
        <v>3318.569037225001</v>
      </c>
      <c r="H1400" s="43">
        <f>IFERROR(G1400*E1384,"")</f>
        <v>0</v>
      </c>
    </row>
    <row r="1401" spans="1:11" ht="12.75" customHeight="1">
      <c r="A1401" s="28"/>
      <c r="B1401" s="29"/>
      <c r="C1401" s="30" t="str">
        <f t="array" ref="C1401">IFERROR(_xlfn.XLOOKUP(B1401,MObra[[#All],[DESCRIPCION]],MObra[[#All],[UN]],,0),"")</f>
        <v/>
      </c>
      <c r="D1401" s="31"/>
      <c r="E1401" s="32" t="str">
        <f>IFERROR(_xlfn.XLOOKUP($B1401,MObra[DESCRIPCION],MObra[VALOR UNIT],,0),"")</f>
        <v/>
      </c>
      <c r="F1401" s="33"/>
      <c r="G1401" s="34" t="str">
        <f>IFERROR(IF(F1401&gt;=0,D1401*E1401*(1+F1401/100),ABS(D1401*E1401/F1401)),"")</f>
        <v/>
      </c>
      <c r="H1401" s="43" t="str">
        <f>IFERROR(G1401*E1384,"")</f>
        <v/>
      </c>
    </row>
    <row r="1402" spans="1:11" ht="12.75" customHeight="1" thickBot="1">
      <c r="A1402" s="35"/>
      <c r="B1402" s="36"/>
      <c r="C1402" s="37" t="str">
        <f t="array" ref="C1402">IFERROR(_xlfn.XLOOKUP(B1402,MObra[[#All],[DESCRIPCION]],MObra[[#All],[UN]],,0),"")</f>
        <v/>
      </c>
      <c r="D1402" s="38"/>
      <c r="E1402" s="39" t="str">
        <f>IFERROR(_xlfn.XLOOKUP($B1402,MObra[DESCRIPCION],MObra[VALOR UNIT],,0),"")</f>
        <v/>
      </c>
      <c r="F1402" s="40"/>
      <c r="G1402" s="41" t="str">
        <f>IFERROR(IF(F1402&gt;=0,D1402*E1402*(1+F1402/100),ABS(D1402*E1402/F1402)),"")</f>
        <v/>
      </c>
      <c r="H1402" s="42" t="str">
        <f>IFERROR(G1402*E1384,"")</f>
        <v/>
      </c>
    </row>
    <row r="1403" spans="1:11" ht="12.75" customHeight="1" thickTop="1" thickBot="1"/>
    <row r="1404" spans="1:11" ht="12.75" customHeight="1" thickTop="1" thickBot="1">
      <c r="A1404" s="6" t="s">
        <v>449</v>
      </c>
      <c r="B1404" s="7" t="str">
        <f>VLOOKUP($A1404,Presupuesto!$A:$D,2,FALSE())</f>
        <v>Malla electrosoldada 5.5 mm 15x15</v>
      </c>
      <c r="C1404" s="8" t="str">
        <f>VLOOKUP($A1404,Presupuesto!$A:$D,3,FALSE())</f>
        <v>M2</v>
      </c>
      <c r="D1404" s="9"/>
      <c r="E1404" s="10">
        <f>VLOOKUP($A1404,Presupuesto!$A:$D,4,FALSE())</f>
        <v>0</v>
      </c>
      <c r="F1404" s="11" t="s">
        <v>2589</v>
      </c>
      <c r="G1404" s="12">
        <f>SUM(G1406:G1422)/2</f>
        <v>21658.563533075252</v>
      </c>
      <c r="H1404" s="13">
        <f>ROUND(SUM(H1406:H1422),0)/2</f>
        <v>0</v>
      </c>
      <c r="I1404" s="10">
        <f>VLOOKUP(A1404,Presupuesto!$A:$F,6,0)</f>
        <v>0</v>
      </c>
      <c r="J1404" s="10">
        <f>+H1404-I1404</f>
        <v>0</v>
      </c>
      <c r="K1404" s="46">
        <f>+H1404-G1404*E1404</f>
        <v>0</v>
      </c>
    </row>
    <row r="1405" spans="1:11" ht="12.75" customHeight="1" thickTop="1">
      <c r="A1405" s="14"/>
      <c r="B1405" s="15" t="s">
        <v>2586</v>
      </c>
      <c r="C1405" s="15" t="s">
        <v>5</v>
      </c>
      <c r="D1405" s="16" t="s">
        <v>6</v>
      </c>
      <c r="E1405" s="17" t="s">
        <v>7</v>
      </c>
      <c r="F1405" s="18" t="s">
        <v>3728</v>
      </c>
      <c r="G1405" s="19" t="s">
        <v>3729</v>
      </c>
      <c r="H1405" s="20" t="s">
        <v>3797</v>
      </c>
    </row>
    <row r="1406" spans="1:11" ht="12.75" customHeight="1">
      <c r="A1406" s="21"/>
      <c r="B1406" s="22" t="s">
        <v>3730</v>
      </c>
      <c r="C1406" s="23"/>
      <c r="D1406" s="24"/>
      <c r="E1406" s="25"/>
      <c r="F1406" s="26"/>
      <c r="G1406" s="27">
        <f>SUM(G1407:G1411)</f>
        <v>18041.323282500001</v>
      </c>
      <c r="H1406" s="27">
        <f>IFERROR(G1406*E1404,"")</f>
        <v>0</v>
      </c>
    </row>
    <row r="1407" spans="1:11" ht="12.75" customHeight="1">
      <c r="A1407" s="28"/>
      <c r="B1407" s="29" t="s">
        <v>3135</v>
      </c>
      <c r="C1407" s="30" t="str">
        <f>IFERROR(_xlfn.XLOOKUP(B1407,Insumo[DESCRIPCION],Insumo[UND],,0),"")</f>
        <v>Un</v>
      </c>
      <c r="D1407" s="31">
        <v>7.0999999999999994E-2</v>
      </c>
      <c r="E1407" s="32">
        <f>IFERROR(_xlfn.XLOOKUP($B1407,Insumo[DESCRIPCION],Insumo[VALOR],,0),"")</f>
        <v>236862.15000000002</v>
      </c>
      <c r="F1407" s="33">
        <v>5</v>
      </c>
      <c r="G1407" s="34">
        <f>IFERROR(IF(F1407&gt;=0,D1407*E1407*(1+F1407/100),ABS(D1407*E1407/F1407)),"")</f>
        <v>17658.073282500001</v>
      </c>
      <c r="H1407" s="43">
        <f>IFERROR(G1407*E1404,"")</f>
        <v>0</v>
      </c>
    </row>
    <row r="1408" spans="1:11" ht="12.75" customHeight="1">
      <c r="A1408" s="28"/>
      <c r="B1408" s="29" t="s">
        <v>2699</v>
      </c>
      <c r="C1408" s="30" t="str">
        <f>IFERROR(_xlfn.XLOOKUP(B1408,Insumo[DESCRIPCION],Insumo[UND],,0),"")</f>
        <v>Kg</v>
      </c>
      <c r="D1408" s="31">
        <v>0.05</v>
      </c>
      <c r="E1408" s="32">
        <f>IFERROR(_xlfn.XLOOKUP($B1408,Insumo[DESCRIPCION],Insumo[VALOR],,0),"")</f>
        <v>7665</v>
      </c>
      <c r="F1408" s="33"/>
      <c r="G1408" s="34">
        <f>IFERROR(IF(F1408&gt;=0,D1408*E1408*(1+F1408/100),ABS(D1408*E1408/F1408)),"")</f>
        <v>383.25</v>
      </c>
      <c r="H1408" s="43">
        <f>IFERROR(G1408*E1404,"")</f>
        <v>0</v>
      </c>
    </row>
    <row r="1409" spans="1:11" ht="12.75" customHeight="1">
      <c r="A1409" s="28"/>
      <c r="B1409" s="29"/>
      <c r="C1409" s="30" t="str">
        <f>IFERROR(_xlfn.XLOOKUP(B1409,Insumo[DESCRIPCION],Insumo[UND],,0),"")</f>
        <v/>
      </c>
      <c r="D1409" s="31"/>
      <c r="E1409" s="32" t="str">
        <f>IFERROR(_xlfn.XLOOKUP($B1409,Insumo[DESCRIPCION],Insumo[VALOR],,0),"")</f>
        <v/>
      </c>
      <c r="F1409" s="33"/>
      <c r="G1409" s="34" t="str">
        <f>IFERROR(IF(F1409&gt;=0,D1409*E1409*(1+F1409/100),ABS(D1409*E1409/F1409)),"")</f>
        <v/>
      </c>
      <c r="H1409" s="43" t="str">
        <f>IFERROR(G1409*E1404,"")</f>
        <v/>
      </c>
    </row>
    <row r="1410" spans="1:11" ht="12.75" customHeight="1">
      <c r="A1410" s="28"/>
      <c r="B1410" s="29"/>
      <c r="C1410" s="30" t="str">
        <f>IFERROR(_xlfn.XLOOKUP(B1410,Insumo[DESCRIPCION],Insumo[UND],,0),"")</f>
        <v/>
      </c>
      <c r="D1410" s="31"/>
      <c r="E1410" s="32" t="str">
        <f>IFERROR(_xlfn.XLOOKUP($B1410,Insumo[DESCRIPCION],Insumo[VALOR],,0),"")</f>
        <v/>
      </c>
      <c r="F1410" s="33"/>
      <c r="G1410" s="34" t="str">
        <f>IFERROR(IF(F1410&gt;=0,D1410*E1410*(1+F1410/100),ABS(D1410*E1410/F1410)),"")</f>
        <v/>
      </c>
      <c r="H1410" s="43" t="str">
        <f>IFERROR(G1410*E1404,"")</f>
        <v/>
      </c>
    </row>
    <row r="1411" spans="1:11" ht="12.75" customHeight="1">
      <c r="A1411" s="28"/>
      <c r="B1411" s="29"/>
      <c r="C1411" s="30" t="str">
        <f>IFERROR(_xlfn.XLOOKUP(B1411,Insumo[DESCRIPCION],Insumo[UND],,0),"")</f>
        <v/>
      </c>
      <c r="D1411" s="31"/>
      <c r="E1411" s="32" t="str">
        <f>IFERROR(_xlfn.XLOOKUP($B1411,Insumo[DESCRIPCION],Insumo[VALOR],,0),"")</f>
        <v/>
      </c>
      <c r="F1411" s="33"/>
      <c r="G1411" s="34" t="str">
        <f>IFERROR(IF(F1411&gt;=0,D1411*E1411*(1+F1411/100),ABS(D1411*E1411/F1411)),"")</f>
        <v/>
      </c>
      <c r="H1411" s="43" t="str">
        <f>IFERROR(G1411*E1404,"")</f>
        <v/>
      </c>
    </row>
    <row r="1412" spans="1:11" ht="12.75" customHeight="1">
      <c r="A1412" s="21"/>
      <c r="B1412" s="22" t="s">
        <v>3731</v>
      </c>
      <c r="C1412" s="23"/>
      <c r="D1412" s="24"/>
      <c r="E1412" s="25"/>
      <c r="F1412" s="26"/>
      <c r="G1412" s="27">
        <f>SUM(G1413:G1415)</f>
        <v>298.67121335025013</v>
      </c>
      <c r="H1412" s="44">
        <f>G1412*E1404</f>
        <v>0</v>
      </c>
    </row>
    <row r="1413" spans="1:11" ht="12.75" customHeight="1">
      <c r="A1413" s="28"/>
      <c r="B1413" s="29" t="s">
        <v>3570</v>
      </c>
      <c r="C1413" s="30" t="str">
        <f>IFERROR(_xlfn.XLOOKUP(B1413,Equipo[DESCRIPCION],Equipo[UND],,0),"")</f>
        <v>%MO</v>
      </c>
      <c r="D1413" s="31">
        <v>0.04</v>
      </c>
      <c r="E1413" s="32">
        <f>IF(C1413="%MO",G1419,IFERROR(_xlfn.XLOOKUP($B1413,Equipo[DESCRIPCION],Equipo[VALOR],,0),""))</f>
        <v>3318.569037225001</v>
      </c>
      <c r="F1413" s="33"/>
      <c r="G1413" s="34">
        <f>IFERROR(IF(F1413&gt;=0,D1413*E1413*(1+F1413/100),ABS(D1413*E1413/F1413)),"")</f>
        <v>132.74276148900003</v>
      </c>
      <c r="H1413" s="43">
        <f>IFERROR(G1413*E1404,"")</f>
        <v>0</v>
      </c>
    </row>
    <row r="1414" spans="1:11" ht="12.75" customHeight="1">
      <c r="A1414" s="28"/>
      <c r="B1414" s="29" t="s">
        <v>3626</v>
      </c>
      <c r="C1414" s="30" t="str">
        <f>IFERROR(_xlfn.XLOOKUP(B1414,Equipo[DESCRIPCION],Equipo[UND],,0),"")</f>
        <v>%MO</v>
      </c>
      <c r="D1414" s="31">
        <v>0.05</v>
      </c>
      <c r="E1414" s="32">
        <f>IF(C1414="%MO",G1419,IFERROR(_xlfn.XLOOKUP($B1414,Equipo[DESCRIPCION],Equipo[VALOR],,0),""))</f>
        <v>3318.569037225001</v>
      </c>
      <c r="F1414" s="33"/>
      <c r="G1414" s="34">
        <f>IFERROR(IF(F1414&gt;=0,D1414*E1414*(1+F1414/100),ABS(D1414*E1414/F1414)),"")</f>
        <v>165.92845186125007</v>
      </c>
      <c r="H1414" s="43">
        <f>IFERROR(G1414*E1404,"")</f>
        <v>0</v>
      </c>
    </row>
    <row r="1415" spans="1:11" ht="12.75" customHeight="1">
      <c r="A1415" s="28"/>
      <c r="B1415" s="29"/>
      <c r="C1415" s="30" t="str">
        <f>IFERROR(_xlfn.XLOOKUP(B1415,Equipo[DESCRIPCION],Equipo[UND],,0),"")</f>
        <v/>
      </c>
      <c r="D1415" s="31"/>
      <c r="E1415" s="32" t="str">
        <f>IF(C1415="%MO",G1419,IFERROR(_xlfn.XLOOKUP($B1415,Equipo[DESCRIPCION],Equipo[VALOR],,0),""))</f>
        <v/>
      </c>
      <c r="F1415" s="33"/>
      <c r="G1415" s="34" t="str">
        <f>IFERROR(IF(F1415&gt;=0,D1415*E1415*(1+F1415/100),ABS(D1415*E1415/F1415)),"")</f>
        <v/>
      </c>
      <c r="H1415" s="43" t="str">
        <f>IFERROR(G1415*E1404,"")</f>
        <v/>
      </c>
    </row>
    <row r="1416" spans="1:11" ht="12.75" customHeight="1">
      <c r="A1416" s="21"/>
      <c r="B1416" s="22" t="s">
        <v>2533</v>
      </c>
      <c r="C1416" s="23"/>
      <c r="D1416" s="24"/>
      <c r="E1416" s="25"/>
      <c r="F1416" s="26"/>
      <c r="G1416" s="27">
        <f>SUM(G1417:G1418)</f>
        <v>0</v>
      </c>
      <c r="H1416" s="44">
        <f>G1416*E1404</f>
        <v>0</v>
      </c>
    </row>
    <row r="1417" spans="1:11" ht="12.75" customHeight="1">
      <c r="A1417" s="28"/>
      <c r="B1417" s="29"/>
      <c r="C1417" s="30" t="str">
        <f>IFERROR(_xlfn.XLOOKUP(B1417,Transporte[DESCRIPCION],Transporte[UND],,0),"")</f>
        <v/>
      </c>
      <c r="D1417" s="31"/>
      <c r="E1417" s="32" t="str">
        <f>IFERROR(_xlfn.XLOOKUP($B1417,Transporte[DESCRIPCION],Transporte[VALOR],,0),"")</f>
        <v/>
      </c>
      <c r="F1417" s="33"/>
      <c r="G1417" s="34" t="str">
        <f>IFERROR(IF(F1417&gt;=0,D1417*E1417*(1+F1417/100),ABS(D1417*E1417/F1417)),"")</f>
        <v/>
      </c>
      <c r="H1417" s="43" t="str">
        <f>IFERROR(G1417*E1404,"")</f>
        <v/>
      </c>
    </row>
    <row r="1418" spans="1:11" ht="12.75" customHeight="1">
      <c r="A1418" s="28"/>
      <c r="B1418" s="29"/>
      <c r="C1418" s="30" t="str">
        <f>IFERROR(_xlfn.XLOOKUP(B1418,Transporte[DESCRIPCION],Transporte[UND],,0),"")</f>
        <v/>
      </c>
      <c r="D1418" s="31"/>
      <c r="E1418" s="32" t="str">
        <f>IFERROR(_xlfn.XLOOKUP($B1418,Transporte[DESCRIPCION],Transporte[VALOR],,0),"")</f>
        <v/>
      </c>
      <c r="F1418" s="33"/>
      <c r="G1418" s="34" t="str">
        <f>IFERROR(IF(F1418&gt;=0,D1418*E1418*(1+F1418/100),ABS(D1418*E1418/F1418)),"")</f>
        <v/>
      </c>
      <c r="H1418" s="43" t="str">
        <f>IFERROR(G1418*E1404,"")</f>
        <v/>
      </c>
    </row>
    <row r="1419" spans="1:11" ht="12.75" customHeight="1">
      <c r="A1419" s="21"/>
      <c r="B1419" s="22" t="s">
        <v>3732</v>
      </c>
      <c r="C1419" s="23"/>
      <c r="D1419" s="24"/>
      <c r="E1419" s="25"/>
      <c r="F1419" s="26"/>
      <c r="G1419" s="27">
        <f>SUM(G1420:G1422)</f>
        <v>3318.569037225001</v>
      </c>
      <c r="H1419" s="44">
        <f>G1419*E1404</f>
        <v>0</v>
      </c>
    </row>
    <row r="1420" spans="1:11" ht="12.75" customHeight="1">
      <c r="A1420" s="28"/>
      <c r="B1420" s="29" t="s">
        <v>3713</v>
      </c>
      <c r="C1420" s="30" t="str">
        <f>IFERROR(_xlfn.XLOOKUP(B1420,MObra[DESCRIPCION],MObra[UN],,0),"")</f>
        <v>día</v>
      </c>
      <c r="D1420" s="31">
        <v>1</v>
      </c>
      <c r="E1420" s="32">
        <f>IFERROR(_xlfn.XLOOKUP($B1420,MObra[DESCRIPCION],MObra[VALOR UNIT],,0),"")</f>
        <v>663713.80744500016</v>
      </c>
      <c r="F1420" s="33">
        <v>-200</v>
      </c>
      <c r="G1420" s="34">
        <f>IFERROR(IF(F1420&gt;=0,D1420*E1420*(1+F1420/100),ABS(D1420*E1420/F1420)),"")</f>
        <v>3318.569037225001</v>
      </c>
      <c r="H1420" s="43">
        <f>IFERROR(G1420*E1404,"")</f>
        <v>0</v>
      </c>
    </row>
    <row r="1421" spans="1:11" ht="12.75" customHeight="1">
      <c r="A1421" s="28"/>
      <c r="B1421" s="29"/>
      <c r="C1421" s="30" t="str">
        <f t="array" ref="C1421">IFERROR(_xlfn.XLOOKUP(B1421,MObra[[#All],[DESCRIPCION]],MObra[[#All],[UN]],,0),"")</f>
        <v/>
      </c>
      <c r="D1421" s="31"/>
      <c r="E1421" s="32" t="str">
        <f>IFERROR(_xlfn.XLOOKUP($B1421,MObra[DESCRIPCION],MObra[VALOR UNIT],,0),"")</f>
        <v/>
      </c>
      <c r="F1421" s="33"/>
      <c r="G1421" s="34" t="str">
        <f>IFERROR(IF(F1421&gt;=0,D1421*E1421*(1+F1421/100),ABS(D1421*E1421/F1421)),"")</f>
        <v/>
      </c>
      <c r="H1421" s="43" t="str">
        <f>IFERROR(G1421*E1404,"")</f>
        <v/>
      </c>
    </row>
    <row r="1422" spans="1:11" ht="12.75" customHeight="1" thickBot="1">
      <c r="A1422" s="35"/>
      <c r="B1422" s="36"/>
      <c r="C1422" s="37" t="str">
        <f t="array" ref="C1422">IFERROR(_xlfn.XLOOKUP(B1422,MObra[[#All],[DESCRIPCION]],MObra[[#All],[UN]],,0),"")</f>
        <v/>
      </c>
      <c r="D1422" s="38"/>
      <c r="E1422" s="39" t="str">
        <f>IFERROR(_xlfn.XLOOKUP($B1422,MObra[DESCRIPCION],MObra[VALOR UNIT],,0),"")</f>
        <v/>
      </c>
      <c r="F1422" s="40"/>
      <c r="G1422" s="41" t="str">
        <f>IFERROR(IF(F1422&gt;=0,D1422*E1422*(1+F1422/100),ABS(D1422*E1422/F1422)),"")</f>
        <v/>
      </c>
      <c r="H1422" s="42" t="str">
        <f>IFERROR(G1422*E1404,"")</f>
        <v/>
      </c>
    </row>
    <row r="1423" spans="1:11" ht="12.75" customHeight="1" thickTop="1" thickBot="1"/>
    <row r="1424" spans="1:11" ht="12.75" customHeight="1" thickTop="1" thickBot="1">
      <c r="A1424" s="6" t="s">
        <v>451</v>
      </c>
      <c r="B1424" s="7" t="str">
        <f>VLOOKUP($A1424,Presupuesto!$A:$D,2,FALSE())</f>
        <v>Malla electrosoldada 5.0 mm 15x15</v>
      </c>
      <c r="C1424" s="8" t="str">
        <f>VLOOKUP($A1424,Presupuesto!$A:$D,3,FALSE())</f>
        <v>M2</v>
      </c>
      <c r="D1424" s="9"/>
      <c r="E1424" s="10">
        <f>VLOOKUP($A1424,Presupuesto!$A:$D,4,FALSE())</f>
        <v>0</v>
      </c>
      <c r="F1424" s="11" t="s">
        <v>2589</v>
      </c>
      <c r="G1424" s="12">
        <f>SUM(G1426:G1442)/2</f>
        <v>20203.932750575248</v>
      </c>
      <c r="H1424" s="13">
        <f>ROUND(SUM(H1426:H1442),0)/2</f>
        <v>0</v>
      </c>
      <c r="I1424" s="10">
        <f>VLOOKUP(A1424,Presupuesto!$A:$F,6,0)</f>
        <v>0</v>
      </c>
      <c r="J1424" s="10">
        <f>+H1424-I1424</f>
        <v>0</v>
      </c>
      <c r="K1424" s="46">
        <f>+H1424-G1424*E1424</f>
        <v>0</v>
      </c>
    </row>
    <row r="1425" spans="1:8" ht="12.75" customHeight="1" thickTop="1">
      <c r="A1425" s="14"/>
      <c r="B1425" s="15" t="s">
        <v>2586</v>
      </c>
      <c r="C1425" s="15" t="s">
        <v>5</v>
      </c>
      <c r="D1425" s="16" t="s">
        <v>6</v>
      </c>
      <c r="E1425" s="17" t="s">
        <v>7</v>
      </c>
      <c r="F1425" s="18" t="s">
        <v>3728</v>
      </c>
      <c r="G1425" s="19" t="s">
        <v>3729</v>
      </c>
      <c r="H1425" s="20" t="s">
        <v>3797</v>
      </c>
    </row>
    <row r="1426" spans="1:8" ht="12.75" customHeight="1">
      <c r="A1426" s="21"/>
      <c r="B1426" s="22" t="s">
        <v>3730</v>
      </c>
      <c r="C1426" s="23"/>
      <c r="D1426" s="24"/>
      <c r="E1426" s="25"/>
      <c r="F1426" s="26"/>
      <c r="G1426" s="27">
        <f>SUM(G1427:G1431)</f>
        <v>16586.692499999997</v>
      </c>
      <c r="H1426" s="27">
        <f>IFERROR(G1426*E1424,"")</f>
        <v>0</v>
      </c>
    </row>
    <row r="1427" spans="1:8" ht="12.75" customHeight="1">
      <c r="A1427" s="28"/>
      <c r="B1427" s="29" t="s">
        <v>3134</v>
      </c>
      <c r="C1427" s="30" t="str">
        <f>IFERROR(_xlfn.XLOOKUP(B1427,Insumo[DESCRIPCION],Insumo[UND],,0),"")</f>
        <v>Un</v>
      </c>
      <c r="D1427" s="31">
        <v>7.0999999999999994E-2</v>
      </c>
      <c r="E1427" s="32">
        <f>IFERROR(_xlfn.XLOOKUP($B1427,Insumo[DESCRIPCION],Insumo[VALOR],,0),"")</f>
        <v>217350</v>
      </c>
      <c r="F1427" s="33">
        <v>5</v>
      </c>
      <c r="G1427" s="34">
        <f>IFERROR(IF(F1427&gt;=0,D1427*E1427*(1+F1427/100),ABS(D1427*E1427/F1427)),"")</f>
        <v>16203.442499999999</v>
      </c>
      <c r="H1427" s="43">
        <f>IFERROR(G1427*E1424,"")</f>
        <v>0</v>
      </c>
    </row>
    <row r="1428" spans="1:8" ht="12.75" customHeight="1">
      <c r="A1428" s="28"/>
      <c r="B1428" s="29" t="s">
        <v>2699</v>
      </c>
      <c r="C1428" s="30" t="str">
        <f>IFERROR(_xlfn.XLOOKUP(B1428,Insumo[DESCRIPCION],Insumo[UND],,0),"")</f>
        <v>Kg</v>
      </c>
      <c r="D1428" s="31">
        <v>0.05</v>
      </c>
      <c r="E1428" s="32">
        <f>IFERROR(_xlfn.XLOOKUP($B1428,Insumo[DESCRIPCION],Insumo[VALOR],,0),"")</f>
        <v>7665</v>
      </c>
      <c r="F1428" s="33"/>
      <c r="G1428" s="34">
        <f>IFERROR(IF(F1428&gt;=0,D1428*E1428*(1+F1428/100),ABS(D1428*E1428/F1428)),"")</f>
        <v>383.25</v>
      </c>
      <c r="H1428" s="43">
        <f>IFERROR(G1428*E1424,"")</f>
        <v>0</v>
      </c>
    </row>
    <row r="1429" spans="1:8" ht="12.75" customHeight="1">
      <c r="A1429" s="28"/>
      <c r="B1429" s="29"/>
      <c r="C1429" s="30" t="str">
        <f>IFERROR(_xlfn.XLOOKUP(B1429,Insumo[DESCRIPCION],Insumo[UND],,0),"")</f>
        <v/>
      </c>
      <c r="D1429" s="31"/>
      <c r="E1429" s="32" t="str">
        <f>IFERROR(_xlfn.XLOOKUP($B1429,Insumo[DESCRIPCION],Insumo[VALOR],,0),"")</f>
        <v/>
      </c>
      <c r="F1429" s="33"/>
      <c r="G1429" s="34" t="str">
        <f>IFERROR(IF(F1429&gt;=0,D1429*E1429*(1+F1429/100),ABS(D1429*E1429/F1429)),"")</f>
        <v/>
      </c>
      <c r="H1429" s="43" t="str">
        <f>IFERROR(G1429*E1424,"")</f>
        <v/>
      </c>
    </row>
    <row r="1430" spans="1:8" ht="12.75" customHeight="1">
      <c r="A1430" s="28"/>
      <c r="B1430" s="29"/>
      <c r="C1430" s="30" t="str">
        <f>IFERROR(_xlfn.XLOOKUP(B1430,Insumo[DESCRIPCION],Insumo[UND],,0),"")</f>
        <v/>
      </c>
      <c r="D1430" s="31"/>
      <c r="E1430" s="32" t="str">
        <f>IFERROR(_xlfn.XLOOKUP($B1430,Insumo[DESCRIPCION],Insumo[VALOR],,0),"")</f>
        <v/>
      </c>
      <c r="F1430" s="33"/>
      <c r="G1430" s="34" t="str">
        <f>IFERROR(IF(F1430&gt;=0,D1430*E1430*(1+F1430/100),ABS(D1430*E1430/F1430)),"")</f>
        <v/>
      </c>
      <c r="H1430" s="43" t="str">
        <f>IFERROR(G1430*E1424,"")</f>
        <v/>
      </c>
    </row>
    <row r="1431" spans="1:8" ht="12.75" customHeight="1">
      <c r="A1431" s="28"/>
      <c r="B1431" s="29"/>
      <c r="C1431" s="30" t="str">
        <f>IFERROR(_xlfn.XLOOKUP(B1431,Insumo[DESCRIPCION],Insumo[UND],,0),"")</f>
        <v/>
      </c>
      <c r="D1431" s="31"/>
      <c r="E1431" s="32" t="str">
        <f>IFERROR(_xlfn.XLOOKUP($B1431,Insumo[DESCRIPCION],Insumo[VALOR],,0),"")</f>
        <v/>
      </c>
      <c r="F1431" s="33"/>
      <c r="G1431" s="34" t="str">
        <f>IFERROR(IF(F1431&gt;=0,D1431*E1431*(1+F1431/100),ABS(D1431*E1431/F1431)),"")</f>
        <v/>
      </c>
      <c r="H1431" s="43" t="str">
        <f>IFERROR(G1431*E1424,"")</f>
        <v/>
      </c>
    </row>
    <row r="1432" spans="1:8" ht="12.75" customHeight="1">
      <c r="A1432" s="21"/>
      <c r="B1432" s="22" t="s">
        <v>3731</v>
      </c>
      <c r="C1432" s="23"/>
      <c r="D1432" s="24"/>
      <c r="E1432" s="25"/>
      <c r="F1432" s="26"/>
      <c r="G1432" s="27">
        <f>SUM(G1433:G1435)</f>
        <v>298.67121335025013</v>
      </c>
      <c r="H1432" s="44">
        <f>G1432*E1424</f>
        <v>0</v>
      </c>
    </row>
    <row r="1433" spans="1:8" ht="12.75" customHeight="1">
      <c r="A1433" s="28"/>
      <c r="B1433" s="29" t="s">
        <v>3570</v>
      </c>
      <c r="C1433" s="30" t="str">
        <f>IFERROR(_xlfn.XLOOKUP(B1433,Equipo[DESCRIPCION],Equipo[UND],,0),"")</f>
        <v>%MO</v>
      </c>
      <c r="D1433" s="31">
        <v>0.04</v>
      </c>
      <c r="E1433" s="32">
        <f>IF(C1433="%MO",G1439,IFERROR(_xlfn.XLOOKUP($B1433,Equipo[DESCRIPCION],Equipo[VALOR],,0),""))</f>
        <v>3318.569037225001</v>
      </c>
      <c r="F1433" s="33"/>
      <c r="G1433" s="34">
        <f>IFERROR(IF(F1433&gt;=0,D1433*E1433*(1+F1433/100),ABS(D1433*E1433/F1433)),"")</f>
        <v>132.74276148900003</v>
      </c>
      <c r="H1433" s="43">
        <f>IFERROR(G1433*E1424,"")</f>
        <v>0</v>
      </c>
    </row>
    <row r="1434" spans="1:8" ht="12.75" customHeight="1">
      <c r="A1434" s="28"/>
      <c r="B1434" s="29" t="s">
        <v>3626</v>
      </c>
      <c r="C1434" s="30" t="str">
        <f>IFERROR(_xlfn.XLOOKUP(B1434,Equipo[DESCRIPCION],Equipo[UND],,0),"")</f>
        <v>%MO</v>
      </c>
      <c r="D1434" s="31">
        <v>0.05</v>
      </c>
      <c r="E1434" s="32">
        <f>IF(C1434="%MO",G1439,IFERROR(_xlfn.XLOOKUP($B1434,Equipo[DESCRIPCION],Equipo[VALOR],,0),""))</f>
        <v>3318.569037225001</v>
      </c>
      <c r="F1434" s="33"/>
      <c r="G1434" s="34">
        <f>IFERROR(IF(F1434&gt;=0,D1434*E1434*(1+F1434/100),ABS(D1434*E1434/F1434)),"")</f>
        <v>165.92845186125007</v>
      </c>
      <c r="H1434" s="43">
        <f>IFERROR(G1434*E1424,"")</f>
        <v>0</v>
      </c>
    </row>
    <row r="1435" spans="1:8" ht="12.75" customHeight="1">
      <c r="A1435" s="28"/>
      <c r="B1435" s="29"/>
      <c r="C1435" s="30" t="str">
        <f>IFERROR(_xlfn.XLOOKUP(B1435,Equipo[DESCRIPCION],Equipo[UND],,0),"")</f>
        <v/>
      </c>
      <c r="D1435" s="31"/>
      <c r="E1435" s="32" t="str">
        <f>IF(C1435="%MO",G1439,IFERROR(_xlfn.XLOOKUP($B1435,Equipo[DESCRIPCION],Equipo[VALOR],,0),""))</f>
        <v/>
      </c>
      <c r="F1435" s="33"/>
      <c r="G1435" s="34" t="str">
        <f>IFERROR(IF(F1435&gt;=0,D1435*E1435*(1+F1435/100),ABS(D1435*E1435/F1435)),"")</f>
        <v/>
      </c>
      <c r="H1435" s="43" t="str">
        <f>IFERROR(G1435*E1424,"")</f>
        <v/>
      </c>
    </row>
    <row r="1436" spans="1:8" ht="12.75" customHeight="1">
      <c r="A1436" s="21"/>
      <c r="B1436" s="22" t="s">
        <v>2533</v>
      </c>
      <c r="C1436" s="23"/>
      <c r="D1436" s="24"/>
      <c r="E1436" s="25"/>
      <c r="F1436" s="26"/>
      <c r="G1436" s="27">
        <f>SUM(G1437:G1438)</f>
        <v>0</v>
      </c>
      <c r="H1436" s="44">
        <f>G1436*E1424</f>
        <v>0</v>
      </c>
    </row>
    <row r="1437" spans="1:8" ht="12.75" customHeight="1">
      <c r="A1437" s="28"/>
      <c r="B1437" s="29"/>
      <c r="C1437" s="30" t="str">
        <f>IFERROR(_xlfn.XLOOKUP(B1437,Transporte[DESCRIPCION],Transporte[UND],,0),"")</f>
        <v/>
      </c>
      <c r="D1437" s="31"/>
      <c r="E1437" s="32" t="str">
        <f>IFERROR(_xlfn.XLOOKUP($B1437,Transporte[DESCRIPCION],Transporte[VALOR],,0),"")</f>
        <v/>
      </c>
      <c r="F1437" s="33"/>
      <c r="G1437" s="34" t="str">
        <f>IFERROR(IF(F1437&gt;=0,D1437*E1437*(1+F1437/100),ABS(D1437*E1437/F1437)),"")</f>
        <v/>
      </c>
      <c r="H1437" s="43" t="str">
        <f>IFERROR(G1437*E1424,"")</f>
        <v/>
      </c>
    </row>
    <row r="1438" spans="1:8" ht="12.75" customHeight="1">
      <c r="A1438" s="28"/>
      <c r="B1438" s="29"/>
      <c r="C1438" s="30" t="str">
        <f>IFERROR(_xlfn.XLOOKUP(B1438,Transporte[DESCRIPCION],Transporte[UND],,0),"")</f>
        <v/>
      </c>
      <c r="D1438" s="31"/>
      <c r="E1438" s="32" t="str">
        <f>IFERROR(_xlfn.XLOOKUP($B1438,Transporte[DESCRIPCION],Transporte[VALOR],,0),"")</f>
        <v/>
      </c>
      <c r="F1438" s="33"/>
      <c r="G1438" s="34" t="str">
        <f>IFERROR(IF(F1438&gt;=0,D1438*E1438*(1+F1438/100),ABS(D1438*E1438/F1438)),"")</f>
        <v/>
      </c>
      <c r="H1438" s="43" t="str">
        <f>IFERROR(G1438*E1424,"")</f>
        <v/>
      </c>
    </row>
    <row r="1439" spans="1:8" ht="12.75" customHeight="1">
      <c r="A1439" s="21"/>
      <c r="B1439" s="22" t="s">
        <v>3732</v>
      </c>
      <c r="C1439" s="23"/>
      <c r="D1439" s="24"/>
      <c r="E1439" s="25"/>
      <c r="F1439" s="26"/>
      <c r="G1439" s="27">
        <f>SUM(G1440:G1442)</f>
        <v>3318.569037225001</v>
      </c>
      <c r="H1439" s="44">
        <f>G1439*E1424</f>
        <v>0</v>
      </c>
    </row>
    <row r="1440" spans="1:8" ht="12.75" customHeight="1">
      <c r="A1440" s="28"/>
      <c r="B1440" s="29" t="s">
        <v>3713</v>
      </c>
      <c r="C1440" s="30" t="str">
        <f>IFERROR(_xlfn.XLOOKUP(B1440,MObra[DESCRIPCION],MObra[UN],,0),"")</f>
        <v>día</v>
      </c>
      <c r="D1440" s="31">
        <v>1</v>
      </c>
      <c r="E1440" s="32">
        <f>IFERROR(_xlfn.XLOOKUP($B1440,MObra[DESCRIPCION],MObra[VALOR UNIT],,0),"")</f>
        <v>663713.80744500016</v>
      </c>
      <c r="F1440" s="33">
        <v>-200</v>
      </c>
      <c r="G1440" s="34">
        <f>IFERROR(IF(F1440&gt;=0,D1440*E1440*(1+F1440/100),ABS(D1440*E1440/F1440)),"")</f>
        <v>3318.569037225001</v>
      </c>
      <c r="H1440" s="43">
        <f>IFERROR(G1440*E1424,"")</f>
        <v>0</v>
      </c>
    </row>
    <row r="1441" spans="1:11" ht="12.75" customHeight="1">
      <c r="A1441" s="28"/>
      <c r="B1441" s="29"/>
      <c r="C1441" s="30" t="str">
        <f t="array" ref="C1441">IFERROR(_xlfn.XLOOKUP(B1441,MObra[[#All],[DESCRIPCION]],MObra[[#All],[UN]],,0),"")</f>
        <v/>
      </c>
      <c r="D1441" s="31"/>
      <c r="E1441" s="32" t="str">
        <f>IFERROR(_xlfn.XLOOKUP($B1441,MObra[DESCRIPCION],MObra[VALOR UNIT],,0),"")</f>
        <v/>
      </c>
      <c r="F1441" s="33"/>
      <c r="G1441" s="34" t="str">
        <f>IFERROR(IF(F1441&gt;=0,D1441*E1441*(1+F1441/100),ABS(D1441*E1441/F1441)),"")</f>
        <v/>
      </c>
      <c r="H1441" s="43" t="str">
        <f>IFERROR(G1441*E1424,"")</f>
        <v/>
      </c>
    </row>
    <row r="1442" spans="1:11" ht="12.75" customHeight="1" thickBot="1">
      <c r="A1442" s="35"/>
      <c r="B1442" s="36"/>
      <c r="C1442" s="37" t="str">
        <f t="array" ref="C1442">IFERROR(_xlfn.XLOOKUP(B1442,MObra[[#All],[DESCRIPCION]],MObra[[#All],[UN]],,0),"")</f>
        <v/>
      </c>
      <c r="D1442" s="38"/>
      <c r="E1442" s="39" t="str">
        <f>IFERROR(_xlfn.XLOOKUP($B1442,MObra[DESCRIPCION],MObra[VALOR UNIT],,0),"")</f>
        <v/>
      </c>
      <c r="F1442" s="40"/>
      <c r="G1442" s="41" t="str">
        <f>IFERROR(IF(F1442&gt;=0,D1442*E1442*(1+F1442/100),ABS(D1442*E1442/F1442)),"")</f>
        <v/>
      </c>
      <c r="H1442" s="42" t="str">
        <f>IFERROR(G1442*E1424,"")</f>
        <v/>
      </c>
    </row>
    <row r="1443" spans="1:11" ht="12.75" customHeight="1" thickTop="1" thickBot="1"/>
    <row r="1444" spans="1:11" ht="12.75" customHeight="1" thickTop="1" thickBot="1">
      <c r="A1444" s="6" t="s">
        <v>453</v>
      </c>
      <c r="B1444" s="7" t="str">
        <f>VLOOKUP($A1444,Presupuesto!$A:$D,2,FALSE())</f>
        <v>Malla electrosoldada 4.5 mm 15x15</v>
      </c>
      <c r="C1444" s="8" t="str">
        <f>VLOOKUP($A1444,Presupuesto!$A:$D,3,FALSE())</f>
        <v>M2</v>
      </c>
      <c r="D1444" s="9"/>
      <c r="E1444" s="10">
        <f>VLOOKUP($A1444,Presupuesto!$A:$D,4,FALSE())</f>
        <v>0</v>
      </c>
      <c r="F1444" s="11" t="s">
        <v>2589</v>
      </c>
      <c r="G1444" s="12">
        <f>SUM(G1446:G1462)/2</f>
        <v>15528.730785575255</v>
      </c>
      <c r="H1444" s="13">
        <f>ROUND(SUM(H1446:H1462),0)/2</f>
        <v>0</v>
      </c>
      <c r="I1444" s="10">
        <f>VLOOKUP(A1444,Presupuesto!$A:$F,6,0)</f>
        <v>0</v>
      </c>
      <c r="J1444" s="10">
        <f>+H1444-I1444</f>
        <v>0</v>
      </c>
      <c r="K1444" s="46">
        <f>+H1444-G1444*E1444</f>
        <v>0</v>
      </c>
    </row>
    <row r="1445" spans="1:11" ht="12.75" customHeight="1" thickTop="1">
      <c r="A1445" s="14"/>
      <c r="B1445" s="15" t="s">
        <v>2586</v>
      </c>
      <c r="C1445" s="15" t="s">
        <v>5</v>
      </c>
      <c r="D1445" s="16" t="s">
        <v>6</v>
      </c>
      <c r="E1445" s="17" t="s">
        <v>7</v>
      </c>
      <c r="F1445" s="18" t="s">
        <v>3728</v>
      </c>
      <c r="G1445" s="19" t="s">
        <v>3729</v>
      </c>
      <c r="H1445" s="20" t="s">
        <v>3797</v>
      </c>
    </row>
    <row r="1446" spans="1:11" ht="12.75" customHeight="1">
      <c r="A1446" s="21"/>
      <c r="B1446" s="22" t="s">
        <v>3730</v>
      </c>
      <c r="C1446" s="23"/>
      <c r="D1446" s="24"/>
      <c r="E1446" s="25"/>
      <c r="F1446" s="26"/>
      <c r="G1446" s="27">
        <f>SUM(G1447:G1451)</f>
        <v>11911.490535000001</v>
      </c>
      <c r="H1446" s="27">
        <f>IFERROR(G1446*E1444,"")</f>
        <v>0</v>
      </c>
    </row>
    <row r="1447" spans="1:11" ht="12.75" customHeight="1">
      <c r="A1447" s="28"/>
      <c r="B1447" s="29" t="s">
        <v>3133</v>
      </c>
      <c r="C1447" s="30" t="str">
        <f>IFERROR(_xlfn.XLOOKUP(B1447,Insumo[DESCRIPCION],Insumo[UND],,0),"")</f>
        <v>Un</v>
      </c>
      <c r="D1447" s="31">
        <v>7.0999999999999994E-2</v>
      </c>
      <c r="E1447" s="32">
        <f>IFERROR(_xlfn.XLOOKUP($B1447,Insumo[DESCRIPCION],Insumo[VALOR],,0),"")</f>
        <v>154637.70000000001</v>
      </c>
      <c r="F1447" s="33">
        <v>5</v>
      </c>
      <c r="G1447" s="34">
        <f>IFERROR(IF(F1447&gt;=0,D1447*E1447*(1+F1447/100),ABS(D1447*E1447/F1447)),"")</f>
        <v>11528.240535000001</v>
      </c>
      <c r="H1447" s="43">
        <f>IFERROR(G1447*E1444,"")</f>
        <v>0</v>
      </c>
    </row>
    <row r="1448" spans="1:11" ht="12.75" customHeight="1">
      <c r="A1448" s="28"/>
      <c r="B1448" s="29" t="s">
        <v>2699</v>
      </c>
      <c r="C1448" s="30" t="str">
        <f>IFERROR(_xlfn.XLOOKUP(B1448,Insumo[DESCRIPCION],Insumo[UND],,0),"")</f>
        <v>Kg</v>
      </c>
      <c r="D1448" s="31">
        <v>0.05</v>
      </c>
      <c r="E1448" s="32">
        <f>IFERROR(_xlfn.XLOOKUP($B1448,Insumo[DESCRIPCION],Insumo[VALOR],,0),"")</f>
        <v>7665</v>
      </c>
      <c r="F1448" s="33"/>
      <c r="G1448" s="34">
        <f>IFERROR(IF(F1448&gt;=0,D1448*E1448*(1+F1448/100),ABS(D1448*E1448/F1448)),"")</f>
        <v>383.25</v>
      </c>
      <c r="H1448" s="43">
        <f>IFERROR(G1448*E1444,"")</f>
        <v>0</v>
      </c>
    </row>
    <row r="1449" spans="1:11" ht="12.75" customHeight="1">
      <c r="A1449" s="28"/>
      <c r="B1449" s="29"/>
      <c r="C1449" s="30" t="str">
        <f>IFERROR(_xlfn.XLOOKUP(B1449,Insumo[DESCRIPCION],Insumo[UND],,0),"")</f>
        <v/>
      </c>
      <c r="D1449" s="31"/>
      <c r="E1449" s="32" t="str">
        <f>IFERROR(_xlfn.XLOOKUP($B1449,Insumo[DESCRIPCION],Insumo[VALOR],,0),"")</f>
        <v/>
      </c>
      <c r="F1449" s="33"/>
      <c r="G1449" s="34" t="str">
        <f>IFERROR(IF(F1449&gt;=0,D1449*E1449*(1+F1449/100),ABS(D1449*E1449/F1449)),"")</f>
        <v/>
      </c>
      <c r="H1449" s="43" t="str">
        <f>IFERROR(G1449*E1444,"")</f>
        <v/>
      </c>
    </row>
    <row r="1450" spans="1:11" ht="12.75" customHeight="1">
      <c r="A1450" s="28"/>
      <c r="B1450" s="29"/>
      <c r="C1450" s="30" t="str">
        <f>IFERROR(_xlfn.XLOOKUP(B1450,Insumo[DESCRIPCION],Insumo[UND],,0),"")</f>
        <v/>
      </c>
      <c r="D1450" s="31"/>
      <c r="E1450" s="32" t="str">
        <f>IFERROR(_xlfn.XLOOKUP($B1450,Insumo[DESCRIPCION],Insumo[VALOR],,0),"")</f>
        <v/>
      </c>
      <c r="F1450" s="33"/>
      <c r="G1450" s="34" t="str">
        <f>IFERROR(IF(F1450&gt;=0,D1450*E1450*(1+F1450/100),ABS(D1450*E1450/F1450)),"")</f>
        <v/>
      </c>
      <c r="H1450" s="43" t="str">
        <f>IFERROR(G1450*E1444,"")</f>
        <v/>
      </c>
    </row>
    <row r="1451" spans="1:11" ht="12.75" customHeight="1">
      <c r="A1451" s="28"/>
      <c r="B1451" s="29"/>
      <c r="C1451" s="30" t="str">
        <f>IFERROR(_xlfn.XLOOKUP(B1451,Insumo[DESCRIPCION],Insumo[UND],,0),"")</f>
        <v/>
      </c>
      <c r="D1451" s="31"/>
      <c r="E1451" s="32" t="str">
        <f>IFERROR(_xlfn.XLOOKUP($B1451,Insumo[DESCRIPCION],Insumo[VALOR],,0),"")</f>
        <v/>
      </c>
      <c r="F1451" s="33"/>
      <c r="G1451" s="34" t="str">
        <f>IFERROR(IF(F1451&gt;=0,D1451*E1451*(1+F1451/100),ABS(D1451*E1451/F1451)),"")</f>
        <v/>
      </c>
      <c r="H1451" s="43" t="str">
        <f>IFERROR(G1451*E1444,"")</f>
        <v/>
      </c>
    </row>
    <row r="1452" spans="1:11" ht="12.75" customHeight="1">
      <c r="A1452" s="21"/>
      <c r="B1452" s="22" t="s">
        <v>3731</v>
      </c>
      <c r="C1452" s="23"/>
      <c r="D1452" s="24"/>
      <c r="E1452" s="25"/>
      <c r="F1452" s="26"/>
      <c r="G1452" s="27">
        <f>SUM(G1453:G1455)</f>
        <v>298.67121335025013</v>
      </c>
      <c r="H1452" s="44">
        <f>G1452*E1444</f>
        <v>0</v>
      </c>
    </row>
    <row r="1453" spans="1:11" ht="12.75" customHeight="1">
      <c r="A1453" s="28"/>
      <c r="B1453" s="29" t="s">
        <v>3570</v>
      </c>
      <c r="C1453" s="30" t="str">
        <f>IFERROR(_xlfn.XLOOKUP(B1453,Equipo[DESCRIPCION],Equipo[UND],,0),"")</f>
        <v>%MO</v>
      </c>
      <c r="D1453" s="31">
        <v>0.04</v>
      </c>
      <c r="E1453" s="32">
        <f>IF(C1453="%MO",G1459,IFERROR(_xlfn.XLOOKUP($B1453,Equipo[DESCRIPCION],Equipo[VALOR],,0),""))</f>
        <v>3318.569037225001</v>
      </c>
      <c r="F1453" s="33"/>
      <c r="G1453" s="34">
        <f>IFERROR(IF(F1453&gt;=0,D1453*E1453*(1+F1453/100),ABS(D1453*E1453/F1453)),"")</f>
        <v>132.74276148900003</v>
      </c>
      <c r="H1453" s="43">
        <f>IFERROR(G1453*E1444,"")</f>
        <v>0</v>
      </c>
    </row>
    <row r="1454" spans="1:11" ht="12.75" customHeight="1">
      <c r="A1454" s="28"/>
      <c r="B1454" s="29" t="s">
        <v>3626</v>
      </c>
      <c r="C1454" s="30" t="str">
        <f>IFERROR(_xlfn.XLOOKUP(B1454,Equipo[DESCRIPCION],Equipo[UND],,0),"")</f>
        <v>%MO</v>
      </c>
      <c r="D1454" s="31">
        <v>0.05</v>
      </c>
      <c r="E1454" s="32">
        <f>IF(C1454="%MO",G1459,IFERROR(_xlfn.XLOOKUP($B1454,Equipo[DESCRIPCION],Equipo[VALOR],,0),""))</f>
        <v>3318.569037225001</v>
      </c>
      <c r="F1454" s="33"/>
      <c r="G1454" s="34">
        <f>IFERROR(IF(F1454&gt;=0,D1454*E1454*(1+F1454/100),ABS(D1454*E1454/F1454)),"")</f>
        <v>165.92845186125007</v>
      </c>
      <c r="H1454" s="43">
        <f>IFERROR(G1454*E1444,"")</f>
        <v>0</v>
      </c>
    </row>
    <row r="1455" spans="1:11" ht="12.75" customHeight="1">
      <c r="A1455" s="28"/>
      <c r="B1455" s="29"/>
      <c r="C1455" s="30" t="str">
        <f>IFERROR(_xlfn.XLOOKUP(B1455,Equipo[DESCRIPCION],Equipo[UND],,0),"")</f>
        <v/>
      </c>
      <c r="D1455" s="31"/>
      <c r="E1455" s="32" t="str">
        <f>IF(C1455="%MO",G1459,IFERROR(_xlfn.XLOOKUP($B1455,Equipo[DESCRIPCION],Equipo[VALOR],,0),""))</f>
        <v/>
      </c>
      <c r="F1455" s="33"/>
      <c r="G1455" s="34" t="str">
        <f>IFERROR(IF(F1455&gt;=0,D1455*E1455*(1+F1455/100),ABS(D1455*E1455/F1455)),"")</f>
        <v/>
      </c>
      <c r="H1455" s="43" t="str">
        <f>IFERROR(G1455*E1444,"")</f>
        <v/>
      </c>
    </row>
    <row r="1456" spans="1:11" ht="12.75" customHeight="1">
      <c r="A1456" s="21"/>
      <c r="B1456" s="22" t="s">
        <v>2533</v>
      </c>
      <c r="C1456" s="23"/>
      <c r="D1456" s="24"/>
      <c r="E1456" s="25"/>
      <c r="F1456" s="26"/>
      <c r="G1456" s="27">
        <f>SUM(G1457:G1458)</f>
        <v>0</v>
      </c>
      <c r="H1456" s="44">
        <f>G1456*E1444</f>
        <v>0</v>
      </c>
    </row>
    <row r="1457" spans="1:11" ht="12.75" customHeight="1">
      <c r="A1457" s="28"/>
      <c r="B1457" s="29"/>
      <c r="C1457" s="30" t="str">
        <f>IFERROR(_xlfn.XLOOKUP(B1457,Transporte[DESCRIPCION],Transporte[UND],,0),"")</f>
        <v/>
      </c>
      <c r="D1457" s="31"/>
      <c r="E1457" s="32" t="str">
        <f>IFERROR(_xlfn.XLOOKUP($B1457,Transporte[DESCRIPCION],Transporte[VALOR],,0),"")</f>
        <v/>
      </c>
      <c r="F1457" s="33"/>
      <c r="G1457" s="34" t="str">
        <f>IFERROR(IF(F1457&gt;=0,D1457*E1457*(1+F1457/100),ABS(D1457*E1457/F1457)),"")</f>
        <v/>
      </c>
      <c r="H1457" s="43" t="str">
        <f>IFERROR(G1457*E1444,"")</f>
        <v/>
      </c>
    </row>
    <row r="1458" spans="1:11" ht="12.75" customHeight="1">
      <c r="A1458" s="28"/>
      <c r="B1458" s="29"/>
      <c r="C1458" s="30" t="str">
        <f>IFERROR(_xlfn.XLOOKUP(B1458,Transporte[DESCRIPCION],Transporte[UND],,0),"")</f>
        <v/>
      </c>
      <c r="D1458" s="31"/>
      <c r="E1458" s="32" t="str">
        <f>IFERROR(_xlfn.XLOOKUP($B1458,Transporte[DESCRIPCION],Transporte[VALOR],,0),"")</f>
        <v/>
      </c>
      <c r="F1458" s="33"/>
      <c r="G1458" s="34" t="str">
        <f>IFERROR(IF(F1458&gt;=0,D1458*E1458*(1+F1458/100),ABS(D1458*E1458/F1458)),"")</f>
        <v/>
      </c>
      <c r="H1458" s="43" t="str">
        <f>IFERROR(G1458*E1444,"")</f>
        <v/>
      </c>
    </row>
    <row r="1459" spans="1:11" ht="12.75" customHeight="1">
      <c r="A1459" s="21"/>
      <c r="B1459" s="22" t="s">
        <v>3732</v>
      </c>
      <c r="C1459" s="23"/>
      <c r="D1459" s="24"/>
      <c r="E1459" s="25"/>
      <c r="F1459" s="26"/>
      <c r="G1459" s="27">
        <f>SUM(G1460:G1462)</f>
        <v>3318.569037225001</v>
      </c>
      <c r="H1459" s="44">
        <f>G1459*E1444</f>
        <v>0</v>
      </c>
    </row>
    <row r="1460" spans="1:11" ht="12.75" customHeight="1">
      <c r="A1460" s="28"/>
      <c r="B1460" s="29" t="s">
        <v>3713</v>
      </c>
      <c r="C1460" s="30" t="str">
        <f>IFERROR(_xlfn.XLOOKUP(B1460,MObra[DESCRIPCION],MObra[UN],,0),"")</f>
        <v>día</v>
      </c>
      <c r="D1460" s="31">
        <v>1</v>
      </c>
      <c r="E1460" s="32">
        <f>IFERROR(_xlfn.XLOOKUP($B1460,MObra[DESCRIPCION],MObra[VALOR UNIT],,0),"")</f>
        <v>663713.80744500016</v>
      </c>
      <c r="F1460" s="33">
        <v>-200</v>
      </c>
      <c r="G1460" s="34">
        <f>IFERROR(IF(F1460&gt;=0,D1460*E1460*(1+F1460/100),ABS(D1460*E1460/F1460)),"")</f>
        <v>3318.569037225001</v>
      </c>
      <c r="H1460" s="43">
        <f>IFERROR(G1460*E1444,"")</f>
        <v>0</v>
      </c>
    </row>
    <row r="1461" spans="1:11" ht="12.75" customHeight="1">
      <c r="A1461" s="28"/>
      <c r="B1461" s="29"/>
      <c r="C1461" s="30" t="str">
        <f t="array" ref="C1461">IFERROR(_xlfn.XLOOKUP(B1461,MObra[[#All],[DESCRIPCION]],MObra[[#All],[UN]],,0),"")</f>
        <v/>
      </c>
      <c r="D1461" s="31"/>
      <c r="E1461" s="32" t="str">
        <f>IFERROR(_xlfn.XLOOKUP($B1461,MObra[DESCRIPCION],MObra[VALOR UNIT],,0),"")</f>
        <v/>
      </c>
      <c r="F1461" s="33"/>
      <c r="G1461" s="34" t="str">
        <f>IFERROR(IF(F1461&gt;=0,D1461*E1461*(1+F1461/100),ABS(D1461*E1461/F1461)),"")</f>
        <v/>
      </c>
      <c r="H1461" s="43" t="str">
        <f>IFERROR(G1461*E1444,"")</f>
        <v/>
      </c>
    </row>
    <row r="1462" spans="1:11" ht="12.75" customHeight="1" thickBot="1">
      <c r="A1462" s="35"/>
      <c r="B1462" s="36"/>
      <c r="C1462" s="37" t="str">
        <f t="array" ref="C1462">IFERROR(_xlfn.XLOOKUP(B1462,MObra[[#All],[DESCRIPCION]],MObra[[#All],[UN]],,0),"")</f>
        <v/>
      </c>
      <c r="D1462" s="38"/>
      <c r="E1462" s="39" t="str">
        <f>IFERROR(_xlfn.XLOOKUP($B1462,MObra[DESCRIPCION],MObra[VALOR UNIT],,0),"")</f>
        <v/>
      </c>
      <c r="F1462" s="40"/>
      <c r="G1462" s="41" t="str">
        <f>IFERROR(IF(F1462&gt;=0,D1462*E1462*(1+F1462/100),ABS(D1462*E1462/F1462)),"")</f>
        <v/>
      </c>
      <c r="H1462" s="42" t="str">
        <f>IFERROR(G1462*E1444,"")</f>
        <v/>
      </c>
    </row>
    <row r="1463" spans="1:11" ht="12.75" customHeight="1" thickTop="1" thickBot="1"/>
    <row r="1464" spans="1:11" ht="12.75" customHeight="1" thickTop="1" thickBot="1">
      <c r="A1464" s="6" t="s">
        <v>455</v>
      </c>
      <c r="B1464" s="7" t="str">
        <f>VLOOKUP($A1464,Presupuesto!$A:$D,2,FALSE())</f>
        <v>Malla electrosoldada 4.0 mm 15x15</v>
      </c>
      <c r="C1464" s="8" t="str">
        <f>VLOOKUP($A1464,Presupuesto!$A:$D,3,FALSE())</f>
        <v>M2</v>
      </c>
      <c r="D1464" s="9"/>
      <c r="E1464" s="10">
        <f>VLOOKUP($A1464,Presupuesto!$A:$D,4,FALSE())</f>
        <v>0</v>
      </c>
      <c r="F1464" s="11" t="s">
        <v>2589</v>
      </c>
      <c r="G1464" s="12">
        <f>SUM(G1466:G1482)/2</f>
        <v>13106.824935575252</v>
      </c>
      <c r="H1464" s="13">
        <f>ROUND(SUM(H1466:H1482),0)/2</f>
        <v>0</v>
      </c>
      <c r="I1464" s="10">
        <f>VLOOKUP(A1464,Presupuesto!$A:$F,6,0)</f>
        <v>0</v>
      </c>
      <c r="J1464" s="10">
        <f>+H1464-I1464</f>
        <v>0</v>
      </c>
      <c r="K1464" s="46">
        <f>+H1464-G1464*E1464</f>
        <v>0</v>
      </c>
    </row>
    <row r="1465" spans="1:11" ht="12.75" customHeight="1" thickTop="1">
      <c r="A1465" s="14"/>
      <c r="B1465" s="15" t="s">
        <v>2586</v>
      </c>
      <c r="C1465" s="15" t="s">
        <v>5</v>
      </c>
      <c r="D1465" s="16" t="s">
        <v>6</v>
      </c>
      <c r="E1465" s="17" t="s">
        <v>7</v>
      </c>
      <c r="F1465" s="18" t="s">
        <v>3728</v>
      </c>
      <c r="G1465" s="19" t="s">
        <v>3729</v>
      </c>
      <c r="H1465" s="20" t="s">
        <v>3797</v>
      </c>
    </row>
    <row r="1466" spans="1:11" ht="12.75" customHeight="1">
      <c r="A1466" s="21"/>
      <c r="B1466" s="22" t="s">
        <v>3730</v>
      </c>
      <c r="C1466" s="23"/>
      <c r="D1466" s="24"/>
      <c r="E1466" s="25"/>
      <c r="F1466" s="26"/>
      <c r="G1466" s="27">
        <f>SUM(G1467:G1471)</f>
        <v>9489.5846849999998</v>
      </c>
      <c r="H1466" s="27">
        <f>IFERROR(G1466*E1464,"")</f>
        <v>0</v>
      </c>
    </row>
    <row r="1467" spans="1:11" ht="12.75" customHeight="1">
      <c r="A1467" s="28"/>
      <c r="B1467" s="29" t="s">
        <v>3132</v>
      </c>
      <c r="C1467" s="30" t="str">
        <f>IFERROR(_xlfn.XLOOKUP(B1467,Insumo[DESCRIPCION],Insumo[UND],,0),"")</f>
        <v>Un</v>
      </c>
      <c r="D1467" s="31">
        <v>7.0999999999999994E-2</v>
      </c>
      <c r="E1467" s="32">
        <f>IFERROR(_xlfn.XLOOKUP($B1467,Insumo[DESCRIPCION],Insumo[VALOR],,0),"")</f>
        <v>122150.70000000001</v>
      </c>
      <c r="F1467" s="33">
        <v>5</v>
      </c>
      <c r="G1467" s="34">
        <f>IFERROR(IF(F1467&gt;=0,D1467*E1467*(1+F1467/100),ABS(D1467*E1467/F1467)),"")</f>
        <v>9106.3346849999998</v>
      </c>
      <c r="H1467" s="43">
        <f>IFERROR(G1467*E1464,"")</f>
        <v>0</v>
      </c>
    </row>
    <row r="1468" spans="1:11" ht="12.75" customHeight="1">
      <c r="A1468" s="28"/>
      <c r="B1468" s="29" t="s">
        <v>2699</v>
      </c>
      <c r="C1468" s="30" t="str">
        <f>IFERROR(_xlfn.XLOOKUP(B1468,Insumo[DESCRIPCION],Insumo[UND],,0),"")</f>
        <v>Kg</v>
      </c>
      <c r="D1468" s="31">
        <v>0.05</v>
      </c>
      <c r="E1468" s="32">
        <f>IFERROR(_xlfn.XLOOKUP($B1468,Insumo[DESCRIPCION],Insumo[VALOR],,0),"")</f>
        <v>7665</v>
      </c>
      <c r="F1468" s="33"/>
      <c r="G1468" s="34">
        <f>IFERROR(IF(F1468&gt;=0,D1468*E1468*(1+F1468/100),ABS(D1468*E1468/F1468)),"")</f>
        <v>383.25</v>
      </c>
      <c r="H1468" s="43">
        <f>IFERROR(G1468*E1464,"")</f>
        <v>0</v>
      </c>
    </row>
    <row r="1469" spans="1:11" ht="12.75" customHeight="1">
      <c r="A1469" s="28"/>
      <c r="B1469" s="29"/>
      <c r="C1469" s="30" t="str">
        <f>IFERROR(_xlfn.XLOOKUP(B1469,Insumo[DESCRIPCION],Insumo[UND],,0),"")</f>
        <v/>
      </c>
      <c r="D1469" s="31"/>
      <c r="E1469" s="32" t="str">
        <f>IFERROR(_xlfn.XLOOKUP($B1469,Insumo[DESCRIPCION],Insumo[VALOR],,0),"")</f>
        <v/>
      </c>
      <c r="F1469" s="33"/>
      <c r="G1469" s="34" t="str">
        <f>IFERROR(IF(F1469&gt;=0,D1469*E1469*(1+F1469/100),ABS(D1469*E1469/F1469)),"")</f>
        <v/>
      </c>
      <c r="H1469" s="43" t="str">
        <f>IFERROR(G1469*E1464,"")</f>
        <v/>
      </c>
    </row>
    <row r="1470" spans="1:11" ht="12.75" customHeight="1">
      <c r="A1470" s="28"/>
      <c r="B1470" s="29"/>
      <c r="C1470" s="30" t="str">
        <f>IFERROR(_xlfn.XLOOKUP(B1470,Insumo[DESCRIPCION],Insumo[UND],,0),"")</f>
        <v/>
      </c>
      <c r="D1470" s="31"/>
      <c r="E1470" s="32" t="str">
        <f>IFERROR(_xlfn.XLOOKUP($B1470,Insumo[DESCRIPCION],Insumo[VALOR],,0),"")</f>
        <v/>
      </c>
      <c r="F1470" s="33"/>
      <c r="G1470" s="34" t="str">
        <f>IFERROR(IF(F1470&gt;=0,D1470*E1470*(1+F1470/100),ABS(D1470*E1470/F1470)),"")</f>
        <v/>
      </c>
      <c r="H1470" s="43" t="str">
        <f>IFERROR(G1470*E1464,"")</f>
        <v/>
      </c>
    </row>
    <row r="1471" spans="1:11" ht="12.75" customHeight="1">
      <c r="A1471" s="28"/>
      <c r="B1471" s="29"/>
      <c r="C1471" s="30" t="str">
        <f>IFERROR(_xlfn.XLOOKUP(B1471,Insumo[DESCRIPCION],Insumo[UND],,0),"")</f>
        <v/>
      </c>
      <c r="D1471" s="31"/>
      <c r="E1471" s="32" t="str">
        <f>IFERROR(_xlfn.XLOOKUP($B1471,Insumo[DESCRIPCION],Insumo[VALOR],,0),"")</f>
        <v/>
      </c>
      <c r="F1471" s="33"/>
      <c r="G1471" s="34" t="str">
        <f>IFERROR(IF(F1471&gt;=0,D1471*E1471*(1+F1471/100),ABS(D1471*E1471/F1471)),"")</f>
        <v/>
      </c>
      <c r="H1471" s="43" t="str">
        <f>IFERROR(G1471*E1464,"")</f>
        <v/>
      </c>
    </row>
    <row r="1472" spans="1:11" ht="12.75" customHeight="1">
      <c r="A1472" s="21"/>
      <c r="B1472" s="22" t="s">
        <v>3731</v>
      </c>
      <c r="C1472" s="23"/>
      <c r="D1472" s="24"/>
      <c r="E1472" s="25"/>
      <c r="F1472" s="26"/>
      <c r="G1472" s="27">
        <f>SUM(G1473:G1475)</f>
        <v>298.67121335025013</v>
      </c>
      <c r="H1472" s="44">
        <f>G1472*E1464</f>
        <v>0</v>
      </c>
    </row>
    <row r="1473" spans="1:11" ht="12.75" customHeight="1">
      <c r="A1473" s="28"/>
      <c r="B1473" s="29" t="s">
        <v>3570</v>
      </c>
      <c r="C1473" s="30" t="str">
        <f>IFERROR(_xlfn.XLOOKUP(B1473,Equipo[DESCRIPCION],Equipo[UND],,0),"")</f>
        <v>%MO</v>
      </c>
      <c r="D1473" s="31">
        <v>0.04</v>
      </c>
      <c r="E1473" s="32">
        <f>IF(C1473="%MO",G1479,IFERROR(_xlfn.XLOOKUP($B1473,Equipo[DESCRIPCION],Equipo[VALOR],,0),""))</f>
        <v>3318.569037225001</v>
      </c>
      <c r="F1473" s="33"/>
      <c r="G1473" s="34">
        <f>IFERROR(IF(F1473&gt;=0,D1473*E1473*(1+F1473/100),ABS(D1473*E1473/F1473)),"")</f>
        <v>132.74276148900003</v>
      </c>
      <c r="H1473" s="43">
        <f>IFERROR(G1473*E1464,"")</f>
        <v>0</v>
      </c>
    </row>
    <row r="1474" spans="1:11" ht="12.75" customHeight="1">
      <c r="A1474" s="28"/>
      <c r="B1474" s="29" t="s">
        <v>3626</v>
      </c>
      <c r="C1474" s="30" t="str">
        <f>IFERROR(_xlfn.XLOOKUP(B1474,Equipo[DESCRIPCION],Equipo[UND],,0),"")</f>
        <v>%MO</v>
      </c>
      <c r="D1474" s="31">
        <v>0.05</v>
      </c>
      <c r="E1474" s="32">
        <f>IF(C1474="%MO",G1479,IFERROR(_xlfn.XLOOKUP($B1474,Equipo[DESCRIPCION],Equipo[VALOR],,0),""))</f>
        <v>3318.569037225001</v>
      </c>
      <c r="F1474" s="33"/>
      <c r="G1474" s="34">
        <f>IFERROR(IF(F1474&gt;=0,D1474*E1474*(1+F1474/100),ABS(D1474*E1474/F1474)),"")</f>
        <v>165.92845186125007</v>
      </c>
      <c r="H1474" s="43">
        <f>IFERROR(G1474*E1464,"")</f>
        <v>0</v>
      </c>
    </row>
    <row r="1475" spans="1:11" ht="12.75" customHeight="1">
      <c r="A1475" s="28"/>
      <c r="B1475" s="29"/>
      <c r="C1475" s="30" t="str">
        <f>IFERROR(_xlfn.XLOOKUP(B1475,Equipo[DESCRIPCION],Equipo[UND],,0),"")</f>
        <v/>
      </c>
      <c r="D1475" s="31"/>
      <c r="E1475" s="32" t="str">
        <f>IF(C1475="%MO",G1479,IFERROR(_xlfn.XLOOKUP($B1475,Equipo[DESCRIPCION],Equipo[VALOR],,0),""))</f>
        <v/>
      </c>
      <c r="F1475" s="33"/>
      <c r="G1475" s="34" t="str">
        <f>IFERROR(IF(F1475&gt;=0,D1475*E1475*(1+F1475/100),ABS(D1475*E1475/F1475)),"")</f>
        <v/>
      </c>
      <c r="H1475" s="43" t="str">
        <f>IFERROR(G1475*E1464,"")</f>
        <v/>
      </c>
    </row>
    <row r="1476" spans="1:11" ht="12.75" customHeight="1">
      <c r="A1476" s="21"/>
      <c r="B1476" s="22" t="s">
        <v>2533</v>
      </c>
      <c r="C1476" s="23"/>
      <c r="D1476" s="24"/>
      <c r="E1476" s="25"/>
      <c r="F1476" s="26"/>
      <c r="G1476" s="27">
        <f>SUM(G1477:G1478)</f>
        <v>0</v>
      </c>
      <c r="H1476" s="44">
        <f>G1476*E1464</f>
        <v>0</v>
      </c>
    </row>
    <row r="1477" spans="1:11" ht="12.75" customHeight="1">
      <c r="A1477" s="28"/>
      <c r="B1477" s="29"/>
      <c r="C1477" s="30" t="str">
        <f>IFERROR(_xlfn.XLOOKUP(B1477,Transporte[DESCRIPCION],Transporte[UND],,0),"")</f>
        <v/>
      </c>
      <c r="D1477" s="31"/>
      <c r="E1477" s="32" t="str">
        <f>IFERROR(_xlfn.XLOOKUP($B1477,Transporte[DESCRIPCION],Transporte[VALOR],,0),"")</f>
        <v/>
      </c>
      <c r="F1477" s="33"/>
      <c r="G1477" s="34" t="str">
        <f>IFERROR(IF(F1477&gt;=0,D1477*E1477*(1+F1477/100),ABS(D1477*E1477/F1477)),"")</f>
        <v/>
      </c>
      <c r="H1477" s="43" t="str">
        <f>IFERROR(G1477*E1464,"")</f>
        <v/>
      </c>
    </row>
    <row r="1478" spans="1:11" ht="12.75" customHeight="1">
      <c r="A1478" s="28"/>
      <c r="B1478" s="29"/>
      <c r="C1478" s="30" t="str">
        <f>IFERROR(_xlfn.XLOOKUP(B1478,Transporte[DESCRIPCION],Transporte[UND],,0),"")</f>
        <v/>
      </c>
      <c r="D1478" s="31"/>
      <c r="E1478" s="32" t="str">
        <f>IFERROR(_xlfn.XLOOKUP($B1478,Transporte[DESCRIPCION],Transporte[VALOR],,0),"")</f>
        <v/>
      </c>
      <c r="F1478" s="33"/>
      <c r="G1478" s="34" t="str">
        <f>IFERROR(IF(F1478&gt;=0,D1478*E1478*(1+F1478/100),ABS(D1478*E1478/F1478)),"")</f>
        <v/>
      </c>
      <c r="H1478" s="43" t="str">
        <f>IFERROR(G1478*E1464,"")</f>
        <v/>
      </c>
    </row>
    <row r="1479" spans="1:11" ht="12.75" customHeight="1">
      <c r="A1479" s="21"/>
      <c r="B1479" s="22" t="s">
        <v>3732</v>
      </c>
      <c r="C1479" s="23"/>
      <c r="D1479" s="24"/>
      <c r="E1479" s="25"/>
      <c r="F1479" s="26"/>
      <c r="G1479" s="27">
        <f>SUM(G1480:G1482)</f>
        <v>3318.569037225001</v>
      </c>
      <c r="H1479" s="44">
        <f>G1479*E1464</f>
        <v>0</v>
      </c>
    </row>
    <row r="1480" spans="1:11" ht="12.75" customHeight="1">
      <c r="A1480" s="28"/>
      <c r="B1480" s="29" t="s">
        <v>3713</v>
      </c>
      <c r="C1480" s="30" t="str">
        <f>IFERROR(_xlfn.XLOOKUP(B1480,MObra[DESCRIPCION],MObra[UN],,0),"")</f>
        <v>día</v>
      </c>
      <c r="D1480" s="31">
        <v>1</v>
      </c>
      <c r="E1480" s="32">
        <f>IFERROR(_xlfn.XLOOKUP($B1480,MObra[DESCRIPCION],MObra[VALOR UNIT],,0),"")</f>
        <v>663713.80744500016</v>
      </c>
      <c r="F1480" s="33">
        <v>-200</v>
      </c>
      <c r="G1480" s="34">
        <f>IFERROR(IF(F1480&gt;=0,D1480*E1480*(1+F1480/100),ABS(D1480*E1480/F1480)),"")</f>
        <v>3318.569037225001</v>
      </c>
      <c r="H1480" s="43">
        <f>IFERROR(G1480*E1464,"")</f>
        <v>0</v>
      </c>
    </row>
    <row r="1481" spans="1:11" ht="12.75" customHeight="1">
      <c r="A1481" s="28"/>
      <c r="B1481" s="29"/>
      <c r="C1481" s="30" t="str">
        <f t="array" ref="C1481">IFERROR(_xlfn.XLOOKUP(B1481,MObra[[#All],[DESCRIPCION]],MObra[[#All],[UN]],,0),"")</f>
        <v/>
      </c>
      <c r="D1481" s="31"/>
      <c r="E1481" s="32" t="str">
        <f>IFERROR(_xlfn.XLOOKUP($B1481,MObra[DESCRIPCION],MObra[VALOR UNIT],,0),"")</f>
        <v/>
      </c>
      <c r="F1481" s="33"/>
      <c r="G1481" s="34" t="str">
        <f>IFERROR(IF(F1481&gt;=0,D1481*E1481*(1+F1481/100),ABS(D1481*E1481/F1481)),"")</f>
        <v/>
      </c>
      <c r="H1481" s="43" t="str">
        <f>IFERROR(G1481*E1464,"")</f>
        <v/>
      </c>
    </row>
    <row r="1482" spans="1:11" ht="12.75" customHeight="1" thickBot="1">
      <c r="A1482" s="35"/>
      <c r="B1482" s="36"/>
      <c r="C1482" s="37" t="str">
        <f t="array" ref="C1482">IFERROR(_xlfn.XLOOKUP(B1482,MObra[[#All],[DESCRIPCION]],MObra[[#All],[UN]],,0),"")</f>
        <v/>
      </c>
      <c r="D1482" s="38"/>
      <c r="E1482" s="39" t="str">
        <f>IFERROR(_xlfn.XLOOKUP($B1482,MObra[DESCRIPCION],MObra[VALOR UNIT],,0),"")</f>
        <v/>
      </c>
      <c r="F1482" s="40"/>
      <c r="G1482" s="41" t="str">
        <f>IFERROR(IF(F1482&gt;=0,D1482*E1482*(1+F1482/100),ABS(D1482*E1482/F1482)),"")</f>
        <v/>
      </c>
      <c r="H1482" s="42" t="str">
        <f>IFERROR(G1482*E1464,"")</f>
        <v/>
      </c>
    </row>
    <row r="1483" spans="1:11" ht="12.75" customHeight="1" thickTop="1" thickBot="1"/>
    <row r="1484" spans="1:11" ht="12.75" customHeight="1" thickTop="1" thickBot="1">
      <c r="A1484" s="6" t="s">
        <v>457</v>
      </c>
      <c r="B1484" s="7" t="str">
        <f>VLOOKUP($A1484,Presupuesto!$A:$D,2,FALSE())</f>
        <v>Muro concreto reforzado C20.7 Mpa</v>
      </c>
      <c r="C1484" s="8" t="str">
        <f>VLOOKUP($A1484,Presupuesto!$A:$D,3,FALSE())</f>
        <v>M3</v>
      </c>
      <c r="D1484" s="9"/>
      <c r="E1484" s="10">
        <f>VLOOKUP($A1484,Presupuesto!$A:$D,4,FALSE())</f>
        <v>0</v>
      </c>
      <c r="F1484" s="11" t="s">
        <v>2589</v>
      </c>
      <c r="G1484" s="12">
        <f>SUM(G1486:G1503)/2</f>
        <v>893027.52499725553</v>
      </c>
      <c r="H1484" s="13">
        <f>ROUND(SUM(H1486:H1503),0)/2</f>
        <v>0</v>
      </c>
      <c r="I1484" s="10">
        <f>VLOOKUP(A1484,Presupuesto!$A:$F,6,0)</f>
        <v>0</v>
      </c>
      <c r="J1484" s="10">
        <f>+H1484-I1484</f>
        <v>0</v>
      </c>
      <c r="K1484" s="46">
        <f>+H1484-G1484*E1484</f>
        <v>0</v>
      </c>
    </row>
    <row r="1485" spans="1:11" ht="12.75" customHeight="1" thickTop="1">
      <c r="A1485" s="14"/>
      <c r="B1485" s="15" t="s">
        <v>2586</v>
      </c>
      <c r="C1485" s="15" t="s">
        <v>5</v>
      </c>
      <c r="D1485" s="16" t="s">
        <v>6</v>
      </c>
      <c r="E1485" s="17" t="s">
        <v>7</v>
      </c>
      <c r="F1485" s="18" t="s">
        <v>3728</v>
      </c>
      <c r="G1485" s="19" t="s">
        <v>3729</v>
      </c>
      <c r="H1485" s="20" t="s">
        <v>3797</v>
      </c>
    </row>
    <row r="1486" spans="1:11" ht="12.75" customHeight="1">
      <c r="A1486" s="21"/>
      <c r="B1486" s="22" t="s">
        <v>3730</v>
      </c>
      <c r="C1486" s="23"/>
      <c r="D1486" s="24"/>
      <c r="E1486" s="25"/>
      <c r="F1486" s="26"/>
      <c r="G1486" s="27">
        <f>SUM(G1487:G1491)</f>
        <v>558237.2273915055</v>
      </c>
      <c r="H1486" s="27">
        <f>IFERROR(G1486*E1484,"")</f>
        <v>0</v>
      </c>
    </row>
    <row r="1487" spans="1:11" ht="12.75" customHeight="1">
      <c r="A1487" s="28"/>
      <c r="B1487" s="29" t="s">
        <v>3239</v>
      </c>
      <c r="C1487" s="30" t="str">
        <f>IFERROR(_xlfn.XLOOKUP(B1487,Insumo[DESCRIPCION],Insumo[UND],,0),"")</f>
        <v>M3</v>
      </c>
      <c r="D1487" s="31">
        <v>1</v>
      </c>
      <c r="E1487" s="32">
        <f>IFERROR(_xlfn.XLOOKUP($B1487,Insumo[DESCRIPCION],Insumo[VALOR],,0),"")</f>
        <v>521159.50227762427</v>
      </c>
      <c r="F1487" s="33">
        <v>5</v>
      </c>
      <c r="G1487" s="34">
        <f>IFERROR(IF(F1487&gt;=0,D1487*E1487*(1+F1487/100),ABS(D1487*E1487/F1487)),"")</f>
        <v>547217.4773915055</v>
      </c>
      <c r="H1487" s="43">
        <f>IFERROR(G1487*E1484,"")</f>
        <v>0</v>
      </c>
    </row>
    <row r="1488" spans="1:11" ht="12.75" customHeight="1">
      <c r="A1488" s="28"/>
      <c r="B1488" s="29" t="s">
        <v>3295</v>
      </c>
      <c r="C1488" s="30" t="str">
        <f>IFERROR(_xlfn.XLOOKUP(B1488,Insumo[DESCRIPCION],Insumo[UND],,0),"")</f>
        <v>Kg</v>
      </c>
      <c r="D1488" s="31">
        <v>0.5</v>
      </c>
      <c r="E1488" s="32">
        <f>IFERROR(_xlfn.XLOOKUP($B1488,Insumo[DESCRIPCION],Insumo[VALOR],,0),"")</f>
        <v>22039.5</v>
      </c>
      <c r="F1488" s="33"/>
      <c r="G1488" s="34">
        <f>IFERROR(IF(F1488&gt;=0,D1488*E1488*(1+F1488/100),ABS(D1488*E1488/F1488)),"")</f>
        <v>11019.75</v>
      </c>
      <c r="H1488" s="43">
        <f>IFERROR(G1488*E1484,"")</f>
        <v>0</v>
      </c>
    </row>
    <row r="1489" spans="1:8" ht="12.75" customHeight="1">
      <c r="A1489" s="28"/>
      <c r="B1489" s="29"/>
      <c r="C1489" s="30" t="str">
        <f>IFERROR(_xlfn.XLOOKUP(B1489,Insumo[DESCRIPCION],Insumo[UND],,0),"")</f>
        <v/>
      </c>
      <c r="D1489" s="31"/>
      <c r="E1489" s="32" t="str">
        <f>IFERROR(_xlfn.XLOOKUP($B1489,Insumo[DESCRIPCION],Insumo[VALOR],,0),"")</f>
        <v/>
      </c>
      <c r="F1489" s="33"/>
      <c r="G1489" s="34" t="str">
        <f>IFERROR(IF(F1489&gt;=0,D1489*E1489*(1+F1489/100),ABS(D1489*E1489/F1489)),"")</f>
        <v/>
      </c>
      <c r="H1489" s="43" t="str">
        <f>IFERROR(G1489*E1484,"")</f>
        <v/>
      </c>
    </row>
    <row r="1490" spans="1:8" ht="12.75" customHeight="1">
      <c r="A1490" s="28"/>
      <c r="B1490" s="29"/>
      <c r="C1490" s="30" t="str">
        <f>IFERROR(_xlfn.XLOOKUP(B1490,Insumo[DESCRIPCION],Insumo[UND],,0),"")</f>
        <v/>
      </c>
      <c r="D1490" s="31"/>
      <c r="E1490" s="32" t="str">
        <f>IFERROR(_xlfn.XLOOKUP($B1490,Insumo[DESCRIPCION],Insumo[VALOR],,0),"")</f>
        <v/>
      </c>
      <c r="F1490" s="33"/>
      <c r="G1490" s="34" t="str">
        <f>IFERROR(IF(F1490&gt;=0,D1490*E1490*(1+F1490/100),ABS(D1490*E1490/F1490)),"")</f>
        <v/>
      </c>
      <c r="H1490" s="43" t="str">
        <f>IFERROR(G1490*E1484,"")</f>
        <v/>
      </c>
    </row>
    <row r="1491" spans="1:8" ht="12.75" customHeight="1">
      <c r="A1491" s="28"/>
      <c r="B1491" s="29"/>
      <c r="C1491" s="30" t="str">
        <f>IFERROR(_xlfn.XLOOKUP(B1491,Insumo[DESCRIPCION],Insumo[UND],,0),"")</f>
        <v/>
      </c>
      <c r="D1491" s="31"/>
      <c r="E1491" s="32" t="str">
        <f>IFERROR(_xlfn.XLOOKUP($B1491,Insumo[DESCRIPCION],Insumo[VALOR],,0),"")</f>
        <v/>
      </c>
      <c r="F1491" s="33"/>
      <c r="G1491" s="34" t="str">
        <f>IFERROR(IF(F1491&gt;=0,D1491*E1491*(1+F1491/100),ABS(D1491*E1491/F1491)),"")</f>
        <v/>
      </c>
      <c r="H1491" s="43" t="str">
        <f>IFERROR(G1491*E1484,"")</f>
        <v/>
      </c>
    </row>
    <row r="1492" spans="1:8" ht="12.75" customHeight="1">
      <c r="A1492" s="21"/>
      <c r="B1492" s="22" t="s">
        <v>3731</v>
      </c>
      <c r="C1492" s="23"/>
      <c r="D1492" s="24"/>
      <c r="E1492" s="25"/>
      <c r="F1492" s="26"/>
      <c r="G1492" s="27">
        <f>SUM(G1493:G1496)</f>
        <v>113552.36179075002</v>
      </c>
      <c r="H1492" s="44">
        <f>G1492*E1484</f>
        <v>0</v>
      </c>
    </row>
    <row r="1493" spans="1:8" ht="12.75" customHeight="1">
      <c r="A1493" s="28"/>
      <c r="B1493" s="29" t="s">
        <v>3657</v>
      </c>
      <c r="C1493" s="30" t="str">
        <f>IFERROR(_xlfn.XLOOKUP(B1493,Equipo[DESCRIPCION],Equipo[UND],,0),"")</f>
        <v>Día</v>
      </c>
      <c r="D1493" s="31">
        <v>1</v>
      </c>
      <c r="E1493" s="32">
        <f>IF(C1493="%MO",G1500,IFERROR(_xlfn.XLOOKUP($B1493,Equipo[DESCRIPCION],Equipo[VALOR],,0),""))</f>
        <v>56524.65</v>
      </c>
      <c r="F1493" s="33">
        <v>-10</v>
      </c>
      <c r="G1493" s="34">
        <f>IFERROR(IF(F1493&gt;=0,D1493*E1493*(1+F1493/100),ABS(D1493*E1493/F1493)),"")</f>
        <v>5652.4650000000001</v>
      </c>
      <c r="H1493" s="43">
        <f>IFERROR(G1493*E1484,"")</f>
        <v>0</v>
      </c>
    </row>
    <row r="1494" spans="1:8" ht="12.75" customHeight="1">
      <c r="A1494" s="28"/>
      <c r="B1494" s="29" t="s">
        <v>3617</v>
      </c>
      <c r="C1494" s="30" t="str">
        <f>IFERROR(_xlfn.XLOOKUP(B1494,Equipo[DESCRIPCION],Equipo[UND],,0),"")</f>
        <v>Día</v>
      </c>
      <c r="D1494" s="31">
        <v>1</v>
      </c>
      <c r="E1494" s="32">
        <f>IF(C1494="%MO",G1500,IFERROR(_xlfn.XLOOKUP($B1494,Equipo[DESCRIPCION],Equipo[VALOR],,0),""))</f>
        <v>28416.15</v>
      </c>
      <c r="F1494" s="33">
        <v>-0.3</v>
      </c>
      <c r="G1494" s="34">
        <f>IFERROR(IF(F1494&gt;=0,D1494*E1494*(1+F1494/100),ABS(D1494*E1494/F1494)),"")</f>
        <v>94720.500000000015</v>
      </c>
      <c r="H1494" s="43">
        <f>IFERROR(G1494*E1484,"")</f>
        <v>0</v>
      </c>
    </row>
    <row r="1495" spans="1:8" ht="12.75" customHeight="1">
      <c r="A1495" s="28"/>
      <c r="B1495" s="29" t="s">
        <v>3652</v>
      </c>
      <c r="C1495" s="30" t="str">
        <f>IFERROR(_xlfn.XLOOKUP(B1495,Equipo[DESCRIPCION],Equipo[UND],,0),"")</f>
        <v>Día</v>
      </c>
      <c r="D1495" s="31">
        <v>1</v>
      </c>
      <c r="E1495" s="32">
        <f>IF(C1495="%MO",G1501,IFERROR(_xlfn.XLOOKUP($B1495,Equipo[DESCRIPCION],Equipo[VALOR],,0),""))</f>
        <v>635.25</v>
      </c>
      <c r="F1495" s="33">
        <v>-0.3</v>
      </c>
      <c r="G1495" s="34">
        <f>IFERROR(IF(F1495&gt;=0,D1495*E1495*(1+F1495/100),ABS(D1495*E1495/F1495)),"")</f>
        <v>2117.5</v>
      </c>
      <c r="H1495" s="43">
        <f>IFERROR(G1495*E1484,"")</f>
        <v>0</v>
      </c>
    </row>
    <row r="1496" spans="1:8" ht="12.75" customHeight="1">
      <c r="A1496" s="28"/>
      <c r="B1496" s="29" t="s">
        <v>3626</v>
      </c>
      <c r="C1496" s="30" t="str">
        <f>IFERROR(_xlfn.XLOOKUP(B1496,Equipo[DESCRIPCION],Equipo[UND],,0),"")</f>
        <v>%MO</v>
      </c>
      <c r="D1496" s="31">
        <v>0.05</v>
      </c>
      <c r="E1496" s="32">
        <f>IF(C1496="%MO",G1500,IFERROR(_xlfn.XLOOKUP($B1496,Equipo[DESCRIPCION],Equipo[VALOR],,0),""))</f>
        <v>221237.93581500006</v>
      </c>
      <c r="F1496" s="33"/>
      <c r="G1496" s="34">
        <f>IFERROR(IF(F1496&gt;=0,D1496*E1496*(1+F1496/100),ABS(D1496*E1496/F1496)),"")</f>
        <v>11061.896790750005</v>
      </c>
      <c r="H1496" s="43">
        <f>IFERROR(G1496*E1484,"")</f>
        <v>0</v>
      </c>
    </row>
    <row r="1497" spans="1:8" ht="12.75" customHeight="1">
      <c r="A1497" s="21"/>
      <c r="B1497" s="22" t="s">
        <v>2533</v>
      </c>
      <c r="C1497" s="23"/>
      <c r="D1497" s="24"/>
      <c r="E1497" s="25"/>
      <c r="F1497" s="26"/>
      <c r="G1497" s="27">
        <f>SUM(G1498:G1499)</f>
        <v>0</v>
      </c>
      <c r="H1497" s="44">
        <f>G1497*E1484</f>
        <v>0</v>
      </c>
    </row>
    <row r="1498" spans="1:8" ht="12.75" customHeight="1">
      <c r="A1498" s="28"/>
      <c r="B1498" s="29"/>
      <c r="C1498" s="30" t="str">
        <f>IFERROR(_xlfn.XLOOKUP(B1498,Transporte[DESCRIPCION],Transporte[UND],,0),"")</f>
        <v/>
      </c>
      <c r="D1498" s="31"/>
      <c r="E1498" s="32" t="str">
        <f>IFERROR(_xlfn.XLOOKUP($B1498,Transporte[DESCRIPCION],Transporte[VALOR],,0),"")</f>
        <v/>
      </c>
      <c r="F1498" s="33"/>
      <c r="G1498" s="34" t="str">
        <f>IFERROR(IF(F1498&gt;=0,D1498*E1498*(1+F1498/100),ABS(D1498*E1498/F1498)),"")</f>
        <v/>
      </c>
      <c r="H1498" s="43" t="str">
        <f>IFERROR(G1498*E1484,"")</f>
        <v/>
      </c>
    </row>
    <row r="1499" spans="1:8" ht="12.75" customHeight="1">
      <c r="A1499" s="28"/>
      <c r="B1499" s="29"/>
      <c r="C1499" s="30" t="str">
        <f>IFERROR(_xlfn.XLOOKUP(B1499,Transporte[DESCRIPCION],Transporte[UND],,0),"")</f>
        <v/>
      </c>
      <c r="D1499" s="31"/>
      <c r="E1499" s="32" t="str">
        <f>IFERROR(_xlfn.XLOOKUP($B1499,Transporte[DESCRIPCION],Transporte[VALOR],,0),"")</f>
        <v/>
      </c>
      <c r="F1499" s="33"/>
      <c r="G1499" s="34" t="str">
        <f>IFERROR(IF(F1499&gt;=0,D1499*E1499*(1+F1499/100),ABS(D1499*E1499/F1499)),"")</f>
        <v/>
      </c>
      <c r="H1499" s="43" t="str">
        <f>IFERROR(G1499*E1484,"")</f>
        <v/>
      </c>
    </row>
    <row r="1500" spans="1:8" ht="12.75" customHeight="1">
      <c r="A1500" s="21"/>
      <c r="B1500" s="22" t="s">
        <v>3732</v>
      </c>
      <c r="C1500" s="23"/>
      <c r="D1500" s="24"/>
      <c r="E1500" s="25"/>
      <c r="F1500" s="26"/>
      <c r="G1500" s="27">
        <f>SUM(G1501:G1503)</f>
        <v>221237.93581500006</v>
      </c>
      <c r="H1500" s="44">
        <f>G1500*E1484</f>
        <v>0</v>
      </c>
    </row>
    <row r="1501" spans="1:8" ht="12.75" customHeight="1">
      <c r="A1501" s="28"/>
      <c r="B1501" s="29" t="s">
        <v>3713</v>
      </c>
      <c r="C1501" s="30" t="str">
        <f>IFERROR(_xlfn.XLOOKUP(B1501,MObra[DESCRIPCION],MObra[UN],,0),"")</f>
        <v>día</v>
      </c>
      <c r="D1501" s="31">
        <v>1</v>
      </c>
      <c r="E1501" s="32">
        <f>IFERROR(_xlfn.XLOOKUP($B1501,MObra[DESCRIPCION],MObra[VALOR UNIT],,0),"")</f>
        <v>663713.80744500016</v>
      </c>
      <c r="F1501" s="33">
        <v>-3</v>
      </c>
      <c r="G1501" s="34">
        <f>IFERROR(IF(F1501&gt;=0,D1501*E1501*(1+F1501/100),ABS(D1501*E1501/F1501)),"")</f>
        <v>221237.93581500006</v>
      </c>
      <c r="H1501" s="43">
        <f>IFERROR(G1501*E1484,"")</f>
        <v>0</v>
      </c>
    </row>
    <row r="1502" spans="1:8" ht="12.75" customHeight="1">
      <c r="A1502" s="28"/>
      <c r="B1502" s="29"/>
      <c r="C1502" s="30" t="str">
        <f t="array" ref="C1502">IFERROR(_xlfn.XLOOKUP(B1502,MObra[[#All],[DESCRIPCION]],MObra[[#All],[UN]],,0),"")</f>
        <v/>
      </c>
      <c r="D1502" s="31"/>
      <c r="E1502" s="32" t="str">
        <f>IFERROR(_xlfn.XLOOKUP($B1502,MObra[DESCRIPCION],MObra[VALOR UNIT],,0),"")</f>
        <v/>
      </c>
      <c r="F1502" s="33"/>
      <c r="G1502" s="34" t="str">
        <f>IFERROR(IF(F1502&gt;=0,D1502*E1502*(1+F1502/100),ABS(D1502*E1502/F1502)),"")</f>
        <v/>
      </c>
      <c r="H1502" s="43" t="str">
        <f>IFERROR(G1502*E1484,"")</f>
        <v/>
      </c>
    </row>
    <row r="1503" spans="1:8" ht="12.75" customHeight="1" thickBot="1">
      <c r="A1503" s="35"/>
      <c r="B1503" s="36"/>
      <c r="C1503" s="37" t="str">
        <f t="array" ref="C1503">IFERROR(_xlfn.XLOOKUP(B1503,MObra[[#All],[DESCRIPCION]],MObra[[#All],[UN]],,0),"")</f>
        <v/>
      </c>
      <c r="D1503" s="38"/>
      <c r="E1503" s="39" t="str">
        <f>IFERROR(_xlfn.XLOOKUP($B1503,MObra[DESCRIPCION],MObra[VALOR UNIT],,0),"")</f>
        <v/>
      </c>
      <c r="F1503" s="40"/>
      <c r="G1503" s="41" t="str">
        <f>IFERROR(IF(F1503&gt;=0,D1503*E1503*(1+F1503/100),ABS(D1503*E1503/F1503)),"")</f>
        <v/>
      </c>
      <c r="H1503" s="42" t="str">
        <f>IFERROR(G1503*E1484,"")</f>
        <v/>
      </c>
    </row>
    <row r="1504" spans="1:8" ht="12.75" customHeight="1" thickTop="1" thickBot="1"/>
    <row r="1505" spans="1:11" ht="12.75" customHeight="1" thickTop="1" thickBot="1">
      <c r="A1505" s="6" t="s">
        <v>459</v>
      </c>
      <c r="B1505" s="7" t="str">
        <f>VLOOKUP($A1505,Presupuesto!$A:$D,2,FALSE())</f>
        <v>Muro concreto reforzado C24.1 Mpa</v>
      </c>
      <c r="C1505" s="8" t="str">
        <f>VLOOKUP($A1505,Presupuesto!$A:$D,3,FALSE())</f>
        <v>M3</v>
      </c>
      <c r="D1505" s="9"/>
      <c r="E1505" s="10">
        <f>VLOOKUP($A1505,Presupuesto!$A:$D,4,FALSE())</f>
        <v>0</v>
      </c>
      <c r="F1505" s="11" t="s">
        <v>2589</v>
      </c>
      <c r="G1505" s="12">
        <f>SUM(G1507:G1524)/2</f>
        <v>912589.86627668934</v>
      </c>
      <c r="H1505" s="13">
        <f>ROUND(SUM(H1507:H1524),0)/2</f>
        <v>0</v>
      </c>
      <c r="I1505" s="10">
        <f>VLOOKUP(A1505,Presupuesto!$A:$F,6,0)</f>
        <v>0</v>
      </c>
      <c r="J1505" s="10">
        <f>+H1505-I1505</f>
        <v>0</v>
      </c>
      <c r="K1505" s="46">
        <f>+H1505-G1505*E1505</f>
        <v>0</v>
      </c>
    </row>
    <row r="1506" spans="1:11" ht="12.75" customHeight="1" thickTop="1">
      <c r="A1506" s="14"/>
      <c r="B1506" s="15" t="s">
        <v>2586</v>
      </c>
      <c r="C1506" s="15" t="s">
        <v>5</v>
      </c>
      <c r="D1506" s="16" t="s">
        <v>6</v>
      </c>
      <c r="E1506" s="17" t="s">
        <v>7</v>
      </c>
      <c r="F1506" s="18" t="s">
        <v>3728</v>
      </c>
      <c r="G1506" s="19" t="s">
        <v>3729</v>
      </c>
      <c r="H1506" s="20" t="s">
        <v>3797</v>
      </c>
    </row>
    <row r="1507" spans="1:11" ht="12.75" customHeight="1">
      <c r="A1507" s="21"/>
      <c r="B1507" s="22" t="s">
        <v>3730</v>
      </c>
      <c r="C1507" s="23"/>
      <c r="D1507" s="24"/>
      <c r="E1507" s="25"/>
      <c r="F1507" s="26"/>
      <c r="G1507" s="27">
        <f>SUM(G1508:G1512)</f>
        <v>577799.5686709393</v>
      </c>
      <c r="H1507" s="27">
        <f>IFERROR(G1507*E1505,"")</f>
        <v>0</v>
      </c>
    </row>
    <row r="1508" spans="1:11" ht="12.75" customHeight="1">
      <c r="A1508" s="28"/>
      <c r="B1508" s="29" t="s">
        <v>3240</v>
      </c>
      <c r="C1508" s="30" t="str">
        <f>IFERROR(_xlfn.XLOOKUP(B1508,Insumo[DESCRIPCION],Insumo[UND],,0),"")</f>
        <v>M3</v>
      </c>
      <c r="D1508" s="31">
        <v>1</v>
      </c>
      <c r="E1508" s="32">
        <f>IFERROR(_xlfn.XLOOKUP($B1508,Insumo[DESCRIPCION],Insumo[VALOR],,0),"")</f>
        <v>539790.3034961326</v>
      </c>
      <c r="F1508" s="33">
        <v>5</v>
      </c>
      <c r="G1508" s="34">
        <f>IFERROR(IF(F1508&gt;=0,D1508*E1508*(1+F1508/100),ABS(D1508*E1508/F1508)),"")</f>
        <v>566779.8186709393</v>
      </c>
      <c r="H1508" s="43">
        <f>IFERROR(G1508*E1505,"")</f>
        <v>0</v>
      </c>
    </row>
    <row r="1509" spans="1:11" ht="12.75" customHeight="1">
      <c r="A1509" s="28"/>
      <c r="B1509" s="29" t="s">
        <v>3295</v>
      </c>
      <c r="C1509" s="30" t="str">
        <f>IFERROR(_xlfn.XLOOKUP(B1509,Insumo[DESCRIPCION],Insumo[UND],,0),"")</f>
        <v>Kg</v>
      </c>
      <c r="D1509" s="31">
        <v>0.5</v>
      </c>
      <c r="E1509" s="32">
        <f>IFERROR(_xlfn.XLOOKUP($B1509,Insumo[DESCRIPCION],Insumo[VALOR],,0),"")</f>
        <v>22039.5</v>
      </c>
      <c r="F1509" s="33"/>
      <c r="G1509" s="34">
        <f>IFERROR(IF(F1509&gt;=0,D1509*E1509*(1+F1509/100),ABS(D1509*E1509/F1509)),"")</f>
        <v>11019.75</v>
      </c>
      <c r="H1509" s="43">
        <f>IFERROR(G1509*E1505,"")</f>
        <v>0</v>
      </c>
    </row>
    <row r="1510" spans="1:11" ht="12.75" customHeight="1">
      <c r="A1510" s="28"/>
      <c r="B1510" s="29"/>
      <c r="C1510" s="30" t="str">
        <f>IFERROR(_xlfn.XLOOKUP(B1510,Insumo[DESCRIPCION],Insumo[UND],,0),"")</f>
        <v/>
      </c>
      <c r="D1510" s="31"/>
      <c r="E1510" s="32" t="str">
        <f>IFERROR(_xlfn.XLOOKUP($B1510,Insumo[DESCRIPCION],Insumo[VALOR],,0),"")</f>
        <v/>
      </c>
      <c r="F1510" s="33"/>
      <c r="G1510" s="34" t="str">
        <f>IFERROR(IF(F1510&gt;=0,D1510*E1510*(1+F1510/100),ABS(D1510*E1510/F1510)),"")</f>
        <v/>
      </c>
      <c r="H1510" s="43" t="str">
        <f>IFERROR(G1510*E1505,"")</f>
        <v/>
      </c>
    </row>
    <row r="1511" spans="1:11" ht="12.75" customHeight="1">
      <c r="A1511" s="28"/>
      <c r="B1511" s="29"/>
      <c r="C1511" s="30" t="str">
        <f>IFERROR(_xlfn.XLOOKUP(B1511,Insumo[DESCRIPCION],Insumo[UND],,0),"")</f>
        <v/>
      </c>
      <c r="D1511" s="31"/>
      <c r="E1511" s="32" t="str">
        <f>IFERROR(_xlfn.XLOOKUP($B1511,Insumo[DESCRIPCION],Insumo[VALOR],,0),"")</f>
        <v/>
      </c>
      <c r="F1511" s="33"/>
      <c r="G1511" s="34" t="str">
        <f>IFERROR(IF(F1511&gt;=0,D1511*E1511*(1+F1511/100),ABS(D1511*E1511/F1511)),"")</f>
        <v/>
      </c>
      <c r="H1511" s="43" t="str">
        <f>IFERROR(G1511*E1505,"")</f>
        <v/>
      </c>
    </row>
    <row r="1512" spans="1:11" ht="12.75" customHeight="1">
      <c r="A1512" s="28"/>
      <c r="B1512" s="29"/>
      <c r="C1512" s="30" t="str">
        <f>IFERROR(_xlfn.XLOOKUP(B1512,Insumo[DESCRIPCION],Insumo[UND],,0),"")</f>
        <v/>
      </c>
      <c r="D1512" s="31"/>
      <c r="E1512" s="32" t="str">
        <f>IFERROR(_xlfn.XLOOKUP($B1512,Insumo[DESCRIPCION],Insumo[VALOR],,0),"")</f>
        <v/>
      </c>
      <c r="F1512" s="33"/>
      <c r="G1512" s="34" t="str">
        <f>IFERROR(IF(F1512&gt;=0,D1512*E1512*(1+F1512/100),ABS(D1512*E1512/F1512)),"")</f>
        <v/>
      </c>
      <c r="H1512" s="43" t="str">
        <f>IFERROR(G1512*E1505,"")</f>
        <v/>
      </c>
    </row>
    <row r="1513" spans="1:11" ht="12.75" customHeight="1">
      <c r="A1513" s="21"/>
      <c r="B1513" s="22" t="s">
        <v>3731</v>
      </c>
      <c r="C1513" s="23"/>
      <c r="D1513" s="24"/>
      <c r="E1513" s="25"/>
      <c r="F1513" s="26"/>
      <c r="G1513" s="27">
        <f>SUM(G1514:G1517)</f>
        <v>113552.36179075002</v>
      </c>
      <c r="H1513" s="44">
        <f>G1513*E1505</f>
        <v>0</v>
      </c>
    </row>
    <row r="1514" spans="1:11" ht="12.75" customHeight="1">
      <c r="A1514" s="28"/>
      <c r="B1514" s="29" t="s">
        <v>3657</v>
      </c>
      <c r="C1514" s="30" t="str">
        <f>IFERROR(_xlfn.XLOOKUP(B1514,Equipo[DESCRIPCION],Equipo[UND],,0),"")</f>
        <v>Día</v>
      </c>
      <c r="D1514" s="31">
        <v>1</v>
      </c>
      <c r="E1514" s="32">
        <f>IF(C1514="%MO",G1521,IFERROR(_xlfn.XLOOKUP($B1514,Equipo[DESCRIPCION],Equipo[VALOR],,0),""))</f>
        <v>56524.65</v>
      </c>
      <c r="F1514" s="33">
        <v>-10</v>
      </c>
      <c r="G1514" s="34">
        <f>IFERROR(IF(F1514&gt;=0,D1514*E1514*(1+F1514/100),ABS(D1514*E1514/F1514)),"")</f>
        <v>5652.4650000000001</v>
      </c>
      <c r="H1514" s="43">
        <f>IFERROR(G1514*E1505,"")</f>
        <v>0</v>
      </c>
    </row>
    <row r="1515" spans="1:11" ht="12.75" customHeight="1">
      <c r="A1515" s="28"/>
      <c r="B1515" s="29" t="s">
        <v>3617</v>
      </c>
      <c r="C1515" s="30" t="str">
        <f>IFERROR(_xlfn.XLOOKUP(B1515,Equipo[DESCRIPCION],Equipo[UND],,0),"")</f>
        <v>Día</v>
      </c>
      <c r="D1515" s="31">
        <v>1</v>
      </c>
      <c r="E1515" s="32">
        <f>IF(C1515="%MO",G1521,IFERROR(_xlfn.XLOOKUP($B1515,Equipo[DESCRIPCION],Equipo[VALOR],,0),""))</f>
        <v>28416.15</v>
      </c>
      <c r="F1515" s="33">
        <v>-0.3</v>
      </c>
      <c r="G1515" s="34">
        <f>IFERROR(IF(F1515&gt;=0,D1515*E1515*(1+F1515/100),ABS(D1515*E1515/F1515)),"")</f>
        <v>94720.500000000015</v>
      </c>
      <c r="H1515" s="43">
        <f>IFERROR(G1515*E1505,"")</f>
        <v>0</v>
      </c>
    </row>
    <row r="1516" spans="1:11" ht="12.75" customHeight="1">
      <c r="A1516" s="28"/>
      <c r="B1516" s="29" t="s">
        <v>3652</v>
      </c>
      <c r="C1516" s="30" t="str">
        <f>IFERROR(_xlfn.XLOOKUP(B1516,Equipo[DESCRIPCION],Equipo[UND],,0),"")</f>
        <v>Día</v>
      </c>
      <c r="D1516" s="31">
        <v>1</v>
      </c>
      <c r="E1516" s="32">
        <f>IF(C1516="%MO",G1522,IFERROR(_xlfn.XLOOKUP($B1516,Equipo[DESCRIPCION],Equipo[VALOR],,0),""))</f>
        <v>635.25</v>
      </c>
      <c r="F1516" s="33">
        <v>-0.3</v>
      </c>
      <c r="G1516" s="34">
        <f>IFERROR(IF(F1516&gt;=0,D1516*E1516*(1+F1516/100),ABS(D1516*E1516/F1516)),"")</f>
        <v>2117.5</v>
      </c>
      <c r="H1516" s="43">
        <f>IFERROR(G1516*E1505,"")</f>
        <v>0</v>
      </c>
    </row>
    <row r="1517" spans="1:11" ht="12.75" customHeight="1">
      <c r="A1517" s="28"/>
      <c r="B1517" s="29" t="s">
        <v>3626</v>
      </c>
      <c r="C1517" s="30" t="str">
        <f>IFERROR(_xlfn.XLOOKUP(B1517,Equipo[DESCRIPCION],Equipo[UND],,0),"")</f>
        <v>%MO</v>
      </c>
      <c r="D1517" s="31">
        <v>0.05</v>
      </c>
      <c r="E1517" s="32">
        <f>IF(C1517="%MO",G1521,IFERROR(_xlfn.XLOOKUP($B1517,Equipo[DESCRIPCION],Equipo[VALOR],,0),""))</f>
        <v>221237.93581500006</v>
      </c>
      <c r="F1517" s="33"/>
      <c r="G1517" s="34">
        <f>IFERROR(IF(F1517&gt;=0,D1517*E1517*(1+F1517/100),ABS(D1517*E1517/F1517)),"")</f>
        <v>11061.896790750005</v>
      </c>
      <c r="H1517" s="43">
        <f>IFERROR(G1517*E1505,"")</f>
        <v>0</v>
      </c>
    </row>
    <row r="1518" spans="1:11" ht="12.75" customHeight="1">
      <c r="A1518" s="21"/>
      <c r="B1518" s="22" t="s">
        <v>2533</v>
      </c>
      <c r="C1518" s="23"/>
      <c r="D1518" s="24"/>
      <c r="E1518" s="25"/>
      <c r="F1518" s="26"/>
      <c r="G1518" s="27">
        <f>SUM(G1519:G1520)</f>
        <v>0</v>
      </c>
      <c r="H1518" s="44">
        <f>G1518*E1505</f>
        <v>0</v>
      </c>
    </row>
    <row r="1519" spans="1:11" ht="12.75" customHeight="1">
      <c r="A1519" s="28"/>
      <c r="B1519" s="29"/>
      <c r="C1519" s="30" t="str">
        <f>IFERROR(_xlfn.XLOOKUP(B1519,Transporte[DESCRIPCION],Transporte[UND],,0),"")</f>
        <v/>
      </c>
      <c r="D1519" s="31"/>
      <c r="E1519" s="32" t="str">
        <f>IFERROR(_xlfn.XLOOKUP($B1519,Transporte[DESCRIPCION],Transporte[VALOR],,0),"")</f>
        <v/>
      </c>
      <c r="F1519" s="33"/>
      <c r="G1519" s="34" t="str">
        <f>IFERROR(IF(F1519&gt;=0,D1519*E1519*(1+F1519/100),ABS(D1519*E1519/F1519)),"")</f>
        <v/>
      </c>
      <c r="H1519" s="43" t="str">
        <f>IFERROR(G1519*E1505,"")</f>
        <v/>
      </c>
    </row>
    <row r="1520" spans="1:11" ht="12.75" customHeight="1">
      <c r="A1520" s="28"/>
      <c r="B1520" s="29"/>
      <c r="C1520" s="30" t="str">
        <f>IFERROR(_xlfn.XLOOKUP(B1520,Transporte[DESCRIPCION],Transporte[UND],,0),"")</f>
        <v/>
      </c>
      <c r="D1520" s="31"/>
      <c r="E1520" s="32" t="str">
        <f>IFERROR(_xlfn.XLOOKUP($B1520,Transporte[DESCRIPCION],Transporte[VALOR],,0),"")</f>
        <v/>
      </c>
      <c r="F1520" s="33"/>
      <c r="G1520" s="34" t="str">
        <f>IFERROR(IF(F1520&gt;=0,D1520*E1520*(1+F1520/100),ABS(D1520*E1520/F1520)),"")</f>
        <v/>
      </c>
      <c r="H1520" s="43" t="str">
        <f>IFERROR(G1520*E1505,"")</f>
        <v/>
      </c>
    </row>
    <row r="1521" spans="1:11" ht="12.75" customHeight="1">
      <c r="A1521" s="21"/>
      <c r="B1521" s="22" t="s">
        <v>3732</v>
      </c>
      <c r="C1521" s="23"/>
      <c r="D1521" s="24"/>
      <c r="E1521" s="25"/>
      <c r="F1521" s="26"/>
      <c r="G1521" s="27">
        <f>SUM(G1522:G1524)</f>
        <v>221237.93581500006</v>
      </c>
      <c r="H1521" s="44">
        <f>G1521*E1505</f>
        <v>0</v>
      </c>
    </row>
    <row r="1522" spans="1:11" ht="12.75" customHeight="1">
      <c r="A1522" s="28"/>
      <c r="B1522" s="29" t="s">
        <v>3713</v>
      </c>
      <c r="C1522" s="30" t="str">
        <f>IFERROR(_xlfn.XLOOKUP(B1522,MObra[DESCRIPCION],MObra[UN],,0),"")</f>
        <v>día</v>
      </c>
      <c r="D1522" s="31">
        <v>1</v>
      </c>
      <c r="E1522" s="32">
        <f>IFERROR(_xlfn.XLOOKUP($B1522,MObra[DESCRIPCION],MObra[VALOR UNIT],,0),"")</f>
        <v>663713.80744500016</v>
      </c>
      <c r="F1522" s="33">
        <v>-3</v>
      </c>
      <c r="G1522" s="34">
        <f>IFERROR(IF(F1522&gt;=0,D1522*E1522*(1+F1522/100),ABS(D1522*E1522/F1522)),"")</f>
        <v>221237.93581500006</v>
      </c>
      <c r="H1522" s="43">
        <f>IFERROR(G1522*E1505,"")</f>
        <v>0</v>
      </c>
    </row>
    <row r="1523" spans="1:11" ht="12.75" customHeight="1">
      <c r="A1523" s="28"/>
      <c r="B1523" s="29"/>
      <c r="C1523" s="30" t="str">
        <f t="array" ref="C1523">IFERROR(_xlfn.XLOOKUP(B1523,MObra[[#All],[DESCRIPCION]],MObra[[#All],[UN]],,0),"")</f>
        <v/>
      </c>
      <c r="D1523" s="31"/>
      <c r="E1523" s="32" t="str">
        <f>IFERROR(_xlfn.XLOOKUP($B1523,MObra[DESCRIPCION],MObra[VALOR UNIT],,0),"")</f>
        <v/>
      </c>
      <c r="F1523" s="33"/>
      <c r="G1523" s="34" t="str">
        <f>IFERROR(IF(F1523&gt;=0,D1523*E1523*(1+F1523/100),ABS(D1523*E1523/F1523)),"")</f>
        <v/>
      </c>
      <c r="H1523" s="43" t="str">
        <f>IFERROR(G1523*E1505,"")</f>
        <v/>
      </c>
    </row>
    <row r="1524" spans="1:11" ht="12.75" customHeight="1" thickBot="1">
      <c r="A1524" s="35"/>
      <c r="B1524" s="36"/>
      <c r="C1524" s="37" t="str">
        <f t="array" ref="C1524">IFERROR(_xlfn.XLOOKUP(B1524,MObra[[#All],[DESCRIPCION]],MObra[[#All],[UN]],,0),"")</f>
        <v/>
      </c>
      <c r="D1524" s="38"/>
      <c r="E1524" s="39" t="str">
        <f>IFERROR(_xlfn.XLOOKUP($B1524,MObra[DESCRIPCION],MObra[VALOR UNIT],,0),"")</f>
        <v/>
      </c>
      <c r="F1524" s="40"/>
      <c r="G1524" s="41" t="str">
        <f>IFERROR(IF(F1524&gt;=0,D1524*E1524*(1+F1524/100),ABS(D1524*E1524/F1524)),"")</f>
        <v/>
      </c>
      <c r="H1524" s="42" t="str">
        <f>IFERROR(G1524*E1505,"")</f>
        <v/>
      </c>
    </row>
    <row r="1525" spans="1:11" ht="12.75" customHeight="1" thickTop="1" thickBot="1"/>
    <row r="1526" spans="1:11" ht="12.75" customHeight="1" thickTop="1" thickBot="1">
      <c r="A1526" s="6" t="s">
        <v>461</v>
      </c>
      <c r="B1526" s="7" t="str">
        <f>VLOOKUP($A1526,Presupuesto!$A:$D,2,FALSE())</f>
        <v>Muro concreto reforzado C27.6 Mpa</v>
      </c>
      <c r="C1526" s="8" t="str">
        <f>VLOOKUP($A1526,Presupuesto!$A:$D,3,FALSE())</f>
        <v>M3</v>
      </c>
      <c r="D1526" s="9"/>
      <c r="E1526" s="10">
        <f>VLOOKUP($A1526,Presupuesto!$A:$D,4,FALSE())</f>
        <v>0</v>
      </c>
      <c r="F1526" s="11" t="s">
        <v>2589</v>
      </c>
      <c r="G1526" s="12">
        <f>SUM(G1528:G1545)/2</f>
        <v>942686.39978889911</v>
      </c>
      <c r="H1526" s="13">
        <f>ROUND(SUM(H1528:H1545),0)/2</f>
        <v>0</v>
      </c>
      <c r="I1526" s="10">
        <f>VLOOKUP(A1526,Presupuesto!$A:$F,6,0)</f>
        <v>0</v>
      </c>
      <c r="J1526" s="10">
        <f>+H1526-I1526</f>
        <v>0</v>
      </c>
      <c r="K1526" s="46">
        <f>+H1526-G1526*E1526</f>
        <v>0</v>
      </c>
    </row>
    <row r="1527" spans="1:11" ht="12.75" customHeight="1" thickTop="1">
      <c r="A1527" s="14"/>
      <c r="B1527" s="15" t="s">
        <v>2586</v>
      </c>
      <c r="C1527" s="15" t="s">
        <v>5</v>
      </c>
      <c r="D1527" s="16" t="s">
        <v>6</v>
      </c>
      <c r="E1527" s="17" t="s">
        <v>7</v>
      </c>
      <c r="F1527" s="18" t="s">
        <v>3728</v>
      </c>
      <c r="G1527" s="19" t="s">
        <v>3729</v>
      </c>
      <c r="H1527" s="20" t="s">
        <v>3797</v>
      </c>
    </row>
    <row r="1528" spans="1:11" ht="12.75" customHeight="1">
      <c r="A1528" s="21"/>
      <c r="B1528" s="22" t="s">
        <v>3730</v>
      </c>
      <c r="C1528" s="23"/>
      <c r="D1528" s="24"/>
      <c r="E1528" s="25"/>
      <c r="F1528" s="26"/>
      <c r="G1528" s="27">
        <f>SUM(G1529:G1533)</f>
        <v>607896.10218314908</v>
      </c>
      <c r="H1528" s="27">
        <f>IFERROR(G1528*E1526,"")</f>
        <v>0</v>
      </c>
    </row>
    <row r="1529" spans="1:11" ht="12.75" customHeight="1">
      <c r="A1529" s="28"/>
      <c r="B1529" s="29" t="s">
        <v>3241</v>
      </c>
      <c r="C1529" s="30" t="str">
        <f>IFERROR(_xlfn.XLOOKUP(B1529,Insumo[DESCRIPCION],Insumo[UND],,0),"")</f>
        <v>M3</v>
      </c>
      <c r="D1529" s="31">
        <v>1</v>
      </c>
      <c r="E1529" s="32">
        <f>IFERROR(_xlfn.XLOOKUP($B1529,Insumo[DESCRIPCION],Insumo[VALOR],,0),"")</f>
        <v>568453.66874585627</v>
      </c>
      <c r="F1529" s="33">
        <v>5</v>
      </c>
      <c r="G1529" s="34">
        <f>IFERROR(IF(F1529&gt;=0,D1529*E1529*(1+F1529/100),ABS(D1529*E1529/F1529)),"")</f>
        <v>596876.35218314908</v>
      </c>
      <c r="H1529" s="43">
        <f>IFERROR(G1529*E1526,"")</f>
        <v>0</v>
      </c>
    </row>
    <row r="1530" spans="1:11" ht="12.75" customHeight="1">
      <c r="A1530" s="28"/>
      <c r="B1530" s="29" t="s">
        <v>3295</v>
      </c>
      <c r="C1530" s="30" t="str">
        <f>IFERROR(_xlfn.XLOOKUP(B1530,Insumo[DESCRIPCION],Insumo[UND],,0),"")</f>
        <v>Kg</v>
      </c>
      <c r="D1530" s="31">
        <v>0.5</v>
      </c>
      <c r="E1530" s="32">
        <f>IFERROR(_xlfn.XLOOKUP($B1530,Insumo[DESCRIPCION],Insumo[VALOR],,0),"")</f>
        <v>22039.5</v>
      </c>
      <c r="F1530" s="33"/>
      <c r="G1530" s="34">
        <f>IFERROR(IF(F1530&gt;=0,D1530*E1530*(1+F1530/100),ABS(D1530*E1530/F1530)),"")</f>
        <v>11019.75</v>
      </c>
      <c r="H1530" s="43">
        <f>IFERROR(G1530*E1526,"")</f>
        <v>0</v>
      </c>
    </row>
    <row r="1531" spans="1:11" ht="12.75" customHeight="1">
      <c r="A1531" s="28"/>
      <c r="B1531" s="29"/>
      <c r="C1531" s="30" t="str">
        <f>IFERROR(_xlfn.XLOOKUP(B1531,Insumo[DESCRIPCION],Insumo[UND],,0),"")</f>
        <v/>
      </c>
      <c r="D1531" s="31"/>
      <c r="E1531" s="32" t="str">
        <f>IFERROR(_xlfn.XLOOKUP($B1531,Insumo[DESCRIPCION],Insumo[VALOR],,0),"")</f>
        <v/>
      </c>
      <c r="F1531" s="33"/>
      <c r="G1531" s="34" t="str">
        <f>IFERROR(IF(F1531&gt;=0,D1531*E1531*(1+F1531/100),ABS(D1531*E1531/F1531)),"")</f>
        <v/>
      </c>
      <c r="H1531" s="43" t="str">
        <f>IFERROR(G1531*E1526,"")</f>
        <v/>
      </c>
    </row>
    <row r="1532" spans="1:11" ht="12.75" customHeight="1">
      <c r="A1532" s="28"/>
      <c r="B1532" s="29"/>
      <c r="C1532" s="30" t="str">
        <f>IFERROR(_xlfn.XLOOKUP(B1532,Insumo[DESCRIPCION],Insumo[UND],,0),"")</f>
        <v/>
      </c>
      <c r="D1532" s="31"/>
      <c r="E1532" s="32" t="str">
        <f>IFERROR(_xlfn.XLOOKUP($B1532,Insumo[DESCRIPCION],Insumo[VALOR],,0),"")</f>
        <v/>
      </c>
      <c r="F1532" s="33"/>
      <c r="G1532" s="34" t="str">
        <f>IFERROR(IF(F1532&gt;=0,D1532*E1532*(1+F1532/100),ABS(D1532*E1532/F1532)),"")</f>
        <v/>
      </c>
      <c r="H1532" s="43" t="str">
        <f>IFERROR(G1532*E1526,"")</f>
        <v/>
      </c>
    </row>
    <row r="1533" spans="1:11" ht="12.75" customHeight="1">
      <c r="A1533" s="28"/>
      <c r="B1533" s="29"/>
      <c r="C1533" s="30" t="str">
        <f>IFERROR(_xlfn.XLOOKUP(B1533,Insumo[DESCRIPCION],Insumo[UND],,0),"")</f>
        <v/>
      </c>
      <c r="D1533" s="31"/>
      <c r="E1533" s="32" t="str">
        <f>IFERROR(_xlfn.XLOOKUP($B1533,Insumo[DESCRIPCION],Insumo[VALOR],,0),"")</f>
        <v/>
      </c>
      <c r="F1533" s="33"/>
      <c r="G1533" s="34" t="str">
        <f>IFERROR(IF(F1533&gt;=0,D1533*E1533*(1+F1533/100),ABS(D1533*E1533/F1533)),"")</f>
        <v/>
      </c>
      <c r="H1533" s="43" t="str">
        <f>IFERROR(G1533*E1526,"")</f>
        <v/>
      </c>
    </row>
    <row r="1534" spans="1:11" ht="12.75" customHeight="1">
      <c r="A1534" s="21"/>
      <c r="B1534" s="22" t="s">
        <v>3731</v>
      </c>
      <c r="C1534" s="23"/>
      <c r="D1534" s="24"/>
      <c r="E1534" s="25"/>
      <c r="F1534" s="26"/>
      <c r="G1534" s="27">
        <f>SUM(G1535:G1538)</f>
        <v>113552.36179075002</v>
      </c>
      <c r="H1534" s="44">
        <f>G1534*E1526</f>
        <v>0</v>
      </c>
    </row>
    <row r="1535" spans="1:11" ht="12.75" customHeight="1">
      <c r="A1535" s="28"/>
      <c r="B1535" s="29" t="s">
        <v>3657</v>
      </c>
      <c r="C1535" s="30" t="str">
        <f>IFERROR(_xlfn.XLOOKUP(B1535,Equipo[DESCRIPCION],Equipo[UND],,0),"")</f>
        <v>Día</v>
      </c>
      <c r="D1535" s="31">
        <v>1</v>
      </c>
      <c r="E1535" s="32">
        <f>IF(C1535="%MO",G1542,IFERROR(_xlfn.XLOOKUP($B1535,Equipo[DESCRIPCION],Equipo[VALOR],,0),""))</f>
        <v>56524.65</v>
      </c>
      <c r="F1535" s="33">
        <v>-10</v>
      </c>
      <c r="G1535" s="34">
        <f>IFERROR(IF(F1535&gt;=0,D1535*E1535*(1+F1535/100),ABS(D1535*E1535/F1535)),"")</f>
        <v>5652.4650000000001</v>
      </c>
      <c r="H1535" s="43">
        <f>IFERROR(G1535*E1526,"")</f>
        <v>0</v>
      </c>
    </row>
    <row r="1536" spans="1:11" ht="12.75" customHeight="1">
      <c r="A1536" s="28"/>
      <c r="B1536" s="29" t="s">
        <v>3617</v>
      </c>
      <c r="C1536" s="30" t="str">
        <f>IFERROR(_xlfn.XLOOKUP(B1536,Equipo[DESCRIPCION],Equipo[UND],,0),"")</f>
        <v>Día</v>
      </c>
      <c r="D1536" s="31">
        <v>1</v>
      </c>
      <c r="E1536" s="32">
        <f>IF(C1536="%MO",G1542,IFERROR(_xlfn.XLOOKUP($B1536,Equipo[DESCRIPCION],Equipo[VALOR],,0),""))</f>
        <v>28416.15</v>
      </c>
      <c r="F1536" s="33">
        <v>-0.3</v>
      </c>
      <c r="G1536" s="34">
        <f>IFERROR(IF(F1536&gt;=0,D1536*E1536*(1+F1536/100),ABS(D1536*E1536/F1536)),"")</f>
        <v>94720.500000000015</v>
      </c>
      <c r="H1536" s="43">
        <f>IFERROR(G1536*E1526,"")</f>
        <v>0</v>
      </c>
    </row>
    <row r="1537" spans="1:11" ht="12.75" customHeight="1">
      <c r="A1537" s="28"/>
      <c r="B1537" s="29" t="s">
        <v>3652</v>
      </c>
      <c r="C1537" s="30" t="str">
        <f>IFERROR(_xlfn.XLOOKUP(B1537,Equipo[DESCRIPCION],Equipo[UND],,0),"")</f>
        <v>Día</v>
      </c>
      <c r="D1537" s="31">
        <v>1</v>
      </c>
      <c r="E1537" s="32">
        <f>IF(C1537="%MO",G1543,IFERROR(_xlfn.XLOOKUP($B1537,Equipo[DESCRIPCION],Equipo[VALOR],,0),""))</f>
        <v>635.25</v>
      </c>
      <c r="F1537" s="33">
        <v>-0.3</v>
      </c>
      <c r="G1537" s="34">
        <f>IFERROR(IF(F1537&gt;=0,D1537*E1537*(1+F1537/100),ABS(D1537*E1537/F1537)),"")</f>
        <v>2117.5</v>
      </c>
      <c r="H1537" s="43">
        <f>IFERROR(G1537*E1526,"")</f>
        <v>0</v>
      </c>
    </row>
    <row r="1538" spans="1:11" ht="12.75" customHeight="1">
      <c r="A1538" s="28"/>
      <c r="B1538" s="29" t="s">
        <v>3626</v>
      </c>
      <c r="C1538" s="30" t="str">
        <f>IFERROR(_xlfn.XLOOKUP(B1538,Equipo[DESCRIPCION],Equipo[UND],,0),"")</f>
        <v>%MO</v>
      </c>
      <c r="D1538" s="31">
        <v>0.05</v>
      </c>
      <c r="E1538" s="32">
        <f>IF(C1538="%MO",G1542,IFERROR(_xlfn.XLOOKUP($B1538,Equipo[DESCRIPCION],Equipo[VALOR],,0),""))</f>
        <v>221237.93581500006</v>
      </c>
      <c r="F1538" s="33"/>
      <c r="G1538" s="34">
        <f>IFERROR(IF(F1538&gt;=0,D1538*E1538*(1+F1538/100),ABS(D1538*E1538/F1538)),"")</f>
        <v>11061.896790750005</v>
      </c>
      <c r="H1538" s="43">
        <f>IFERROR(G1538*E1526,"")</f>
        <v>0</v>
      </c>
    </row>
    <row r="1539" spans="1:11" ht="12.75" customHeight="1">
      <c r="A1539" s="21"/>
      <c r="B1539" s="22" t="s">
        <v>2533</v>
      </c>
      <c r="C1539" s="23"/>
      <c r="D1539" s="24"/>
      <c r="E1539" s="25"/>
      <c r="F1539" s="26"/>
      <c r="G1539" s="27">
        <f>SUM(G1540:G1541)</f>
        <v>0</v>
      </c>
      <c r="H1539" s="44">
        <f>G1539*E1526</f>
        <v>0</v>
      </c>
    </row>
    <row r="1540" spans="1:11" ht="12.75" customHeight="1">
      <c r="A1540" s="28"/>
      <c r="B1540" s="29"/>
      <c r="C1540" s="30" t="str">
        <f>IFERROR(_xlfn.XLOOKUP(B1540,Transporte[DESCRIPCION],Transporte[UND],,0),"")</f>
        <v/>
      </c>
      <c r="D1540" s="31"/>
      <c r="E1540" s="32" t="str">
        <f>IFERROR(_xlfn.XLOOKUP($B1540,Transporte[DESCRIPCION],Transporte[VALOR],,0),"")</f>
        <v/>
      </c>
      <c r="F1540" s="33"/>
      <c r="G1540" s="34" t="str">
        <f>IFERROR(IF(F1540&gt;=0,D1540*E1540*(1+F1540/100),ABS(D1540*E1540/F1540)),"")</f>
        <v/>
      </c>
      <c r="H1540" s="43" t="str">
        <f>IFERROR(G1540*E1526,"")</f>
        <v/>
      </c>
    </row>
    <row r="1541" spans="1:11" ht="12.75" customHeight="1">
      <c r="A1541" s="28"/>
      <c r="B1541" s="29"/>
      <c r="C1541" s="30" t="str">
        <f>IFERROR(_xlfn.XLOOKUP(B1541,Transporte[DESCRIPCION],Transporte[UND],,0),"")</f>
        <v/>
      </c>
      <c r="D1541" s="31"/>
      <c r="E1541" s="32" t="str">
        <f>IFERROR(_xlfn.XLOOKUP($B1541,Transporte[DESCRIPCION],Transporte[VALOR],,0),"")</f>
        <v/>
      </c>
      <c r="F1541" s="33"/>
      <c r="G1541" s="34" t="str">
        <f>IFERROR(IF(F1541&gt;=0,D1541*E1541*(1+F1541/100),ABS(D1541*E1541/F1541)),"")</f>
        <v/>
      </c>
      <c r="H1541" s="43" t="str">
        <f>IFERROR(G1541*E1526,"")</f>
        <v/>
      </c>
    </row>
    <row r="1542" spans="1:11" ht="12.75" customHeight="1">
      <c r="A1542" s="21"/>
      <c r="B1542" s="22" t="s">
        <v>3732</v>
      </c>
      <c r="C1542" s="23"/>
      <c r="D1542" s="24"/>
      <c r="E1542" s="25"/>
      <c r="F1542" s="26"/>
      <c r="G1542" s="27">
        <f>SUM(G1543:G1545)</f>
        <v>221237.93581500006</v>
      </c>
      <c r="H1542" s="44">
        <f>G1542*E1526</f>
        <v>0</v>
      </c>
    </row>
    <row r="1543" spans="1:11" ht="12.75" customHeight="1">
      <c r="A1543" s="28"/>
      <c r="B1543" s="29" t="s">
        <v>3713</v>
      </c>
      <c r="C1543" s="30" t="str">
        <f>IFERROR(_xlfn.XLOOKUP(B1543,MObra[DESCRIPCION],MObra[UN],,0),"")</f>
        <v>día</v>
      </c>
      <c r="D1543" s="31">
        <v>1</v>
      </c>
      <c r="E1543" s="32">
        <f>IFERROR(_xlfn.XLOOKUP($B1543,MObra[DESCRIPCION],MObra[VALOR UNIT],,0),"")</f>
        <v>663713.80744500016</v>
      </c>
      <c r="F1543" s="33">
        <v>-3</v>
      </c>
      <c r="G1543" s="34">
        <f>IFERROR(IF(F1543&gt;=0,D1543*E1543*(1+F1543/100),ABS(D1543*E1543/F1543)),"")</f>
        <v>221237.93581500006</v>
      </c>
      <c r="H1543" s="43">
        <f>IFERROR(G1543*E1526,"")</f>
        <v>0</v>
      </c>
    </row>
    <row r="1544" spans="1:11" ht="12.75" customHeight="1">
      <c r="A1544" s="28"/>
      <c r="B1544" s="29"/>
      <c r="C1544" s="30" t="str">
        <f t="array" ref="C1544">IFERROR(_xlfn.XLOOKUP(B1544,MObra[[#All],[DESCRIPCION]],MObra[[#All],[UN]],,0),"")</f>
        <v/>
      </c>
      <c r="D1544" s="31"/>
      <c r="E1544" s="32" t="str">
        <f>IFERROR(_xlfn.XLOOKUP($B1544,MObra[DESCRIPCION],MObra[VALOR UNIT],,0),"")</f>
        <v/>
      </c>
      <c r="F1544" s="33"/>
      <c r="G1544" s="34" t="str">
        <f>IFERROR(IF(F1544&gt;=0,D1544*E1544*(1+F1544/100),ABS(D1544*E1544/F1544)),"")</f>
        <v/>
      </c>
      <c r="H1544" s="43" t="str">
        <f>IFERROR(G1544*E1526,"")</f>
        <v/>
      </c>
    </row>
    <row r="1545" spans="1:11" ht="12.75" customHeight="1" thickBot="1">
      <c r="A1545" s="35"/>
      <c r="B1545" s="36"/>
      <c r="C1545" s="37" t="str">
        <f t="array" ref="C1545">IFERROR(_xlfn.XLOOKUP(B1545,MObra[[#All],[DESCRIPCION]],MObra[[#All],[UN]],,0),"")</f>
        <v/>
      </c>
      <c r="D1545" s="38"/>
      <c r="E1545" s="39" t="str">
        <f>IFERROR(_xlfn.XLOOKUP($B1545,MObra[DESCRIPCION],MObra[VALOR UNIT],,0),"")</f>
        <v/>
      </c>
      <c r="F1545" s="40"/>
      <c r="G1545" s="41" t="str">
        <f>IFERROR(IF(F1545&gt;=0,D1545*E1545*(1+F1545/100),ABS(D1545*E1545/F1545)),"")</f>
        <v/>
      </c>
      <c r="H1545" s="42" t="str">
        <f>IFERROR(G1545*E1526,"")</f>
        <v/>
      </c>
    </row>
    <row r="1546" spans="1:11" ht="12.75" customHeight="1" thickTop="1" thickBot="1"/>
    <row r="1547" spans="1:11" ht="12.75" customHeight="1" thickTop="1" thickBot="1">
      <c r="A1547" s="6" t="s">
        <v>463</v>
      </c>
      <c r="B1547" s="7" t="str">
        <f>VLOOKUP($A1547,Presupuesto!$A:$D,2,FALSE())</f>
        <v>Muro concreto reforzado C20.7 Mpa Impermeabilizado</v>
      </c>
      <c r="C1547" s="8" t="str">
        <f>VLOOKUP($A1547,Presupuesto!$A:$D,3,FALSE())</f>
        <v>M3</v>
      </c>
      <c r="D1547" s="9"/>
      <c r="E1547" s="10">
        <f>VLOOKUP($A1547,Presupuesto!$A:$D,4,FALSE())</f>
        <v>0</v>
      </c>
      <c r="F1547" s="11" t="s">
        <v>2589</v>
      </c>
      <c r="G1547" s="12">
        <f>SUM(G1549:G1566)/2</f>
        <v>1517015.5650677555</v>
      </c>
      <c r="H1547" s="13">
        <f>ROUND(SUM(H1549:H1566),0)/2</f>
        <v>0</v>
      </c>
      <c r="I1547" s="10">
        <f>VLOOKUP(A1547,Presupuesto!$A:$F,6,0)</f>
        <v>0</v>
      </c>
      <c r="J1547" s="10">
        <f>+H1547-I1547</f>
        <v>0</v>
      </c>
      <c r="K1547" s="46">
        <f>+H1547-G1547*E1547</f>
        <v>0</v>
      </c>
    </row>
    <row r="1548" spans="1:11" ht="12.75" customHeight="1" thickTop="1">
      <c r="A1548" s="14"/>
      <c r="B1548" s="15" t="s">
        <v>2586</v>
      </c>
      <c r="C1548" s="15" t="s">
        <v>5</v>
      </c>
      <c r="D1548" s="16" t="s">
        <v>6</v>
      </c>
      <c r="E1548" s="17" t="s">
        <v>7</v>
      </c>
      <c r="F1548" s="18" t="s">
        <v>3728</v>
      </c>
      <c r="G1548" s="19" t="s">
        <v>3729</v>
      </c>
      <c r="H1548" s="20" t="s">
        <v>3797</v>
      </c>
    </row>
    <row r="1549" spans="1:11" ht="12.75" customHeight="1">
      <c r="A1549" s="21"/>
      <c r="B1549" s="22" t="s">
        <v>3730</v>
      </c>
      <c r="C1549" s="23"/>
      <c r="D1549" s="24"/>
      <c r="E1549" s="25"/>
      <c r="F1549" s="26"/>
      <c r="G1549" s="27">
        <f>SUM(G1550:G1554)</f>
        <v>965750.62739150552</v>
      </c>
      <c r="H1549" s="27">
        <f>IFERROR(G1549*E1547,"")</f>
        <v>0</v>
      </c>
    </row>
    <row r="1550" spans="1:11" ht="12.75" customHeight="1">
      <c r="A1550" s="28"/>
      <c r="B1550" s="29" t="s">
        <v>3239</v>
      </c>
      <c r="C1550" s="30" t="str">
        <f>IFERROR(_xlfn.XLOOKUP(B1550,Insumo[DESCRIPCION],Insumo[UND],,0),"")</f>
        <v>M3</v>
      </c>
      <c r="D1550" s="31">
        <v>1</v>
      </c>
      <c r="E1550" s="32">
        <f>IFERROR(_xlfn.XLOOKUP($B1550,Insumo[DESCRIPCION],Insumo[VALOR],,0),"")</f>
        <v>521159.50227762427</v>
      </c>
      <c r="F1550" s="33">
        <v>5</v>
      </c>
      <c r="G1550" s="34">
        <f>IFERROR(IF(F1550&gt;=0,D1550*E1550*(1+F1550/100),ABS(D1550*E1550/F1550)),"")</f>
        <v>547217.4773915055</v>
      </c>
      <c r="H1550" s="43">
        <f>IFERROR(G1550*E1547,"")</f>
        <v>0</v>
      </c>
    </row>
    <row r="1551" spans="1:11" ht="12.75" customHeight="1">
      <c r="A1551" s="28"/>
      <c r="B1551" s="29" t="s">
        <v>3295</v>
      </c>
      <c r="C1551" s="30" t="str">
        <f>IFERROR(_xlfn.XLOOKUP(B1551,Insumo[DESCRIPCION],Insumo[UND],,0),"")</f>
        <v>Kg</v>
      </c>
      <c r="D1551" s="31">
        <v>0.5</v>
      </c>
      <c r="E1551" s="32">
        <f>IFERROR(_xlfn.XLOOKUP($B1551,Insumo[DESCRIPCION],Insumo[VALOR],,0),"")</f>
        <v>22039.5</v>
      </c>
      <c r="F1551" s="33"/>
      <c r="G1551" s="34">
        <f>IFERROR(IF(F1551&gt;=0,D1551*E1551*(1+F1551/100),ABS(D1551*E1551/F1551)),"")</f>
        <v>11019.75</v>
      </c>
      <c r="H1551" s="43">
        <f>IFERROR(G1551*E1547,"")</f>
        <v>0</v>
      </c>
    </row>
    <row r="1552" spans="1:11" ht="12.75" customHeight="1">
      <c r="A1552" s="28"/>
      <c r="B1552" s="29" t="s">
        <v>3223</v>
      </c>
      <c r="C1552" s="30" t="str">
        <f>IFERROR(_xlfn.XLOOKUP(B1552,Insumo[DESCRIPCION],Insumo[UND],,0),"")</f>
        <v>Kg</v>
      </c>
      <c r="D1552" s="31">
        <v>14</v>
      </c>
      <c r="E1552" s="32">
        <f>IFERROR(_xlfn.XLOOKUP($B1552,Insumo[DESCRIPCION],Insumo[VALOR],,0),"")</f>
        <v>29108.100000000002</v>
      </c>
      <c r="F1552" s="33"/>
      <c r="G1552" s="34">
        <f>IFERROR(IF(F1552&gt;=0,D1552*E1552*(1+F1552/100),ABS(D1552*E1552/F1552)),"")</f>
        <v>407513.4</v>
      </c>
      <c r="H1552" s="43">
        <f>IFERROR(G1552*E1547,"")</f>
        <v>0</v>
      </c>
    </row>
    <row r="1553" spans="1:11" ht="12.75" customHeight="1">
      <c r="A1553" s="28"/>
      <c r="B1553" s="29"/>
      <c r="C1553" s="30" t="str">
        <f>IFERROR(_xlfn.XLOOKUP(B1553,Insumo[DESCRIPCION],Insumo[UND],,0),"")</f>
        <v/>
      </c>
      <c r="D1553" s="31"/>
      <c r="E1553" s="32" t="str">
        <f>IFERROR(_xlfn.XLOOKUP($B1553,Insumo[DESCRIPCION],Insumo[VALOR],,0),"")</f>
        <v/>
      </c>
      <c r="F1553" s="33"/>
      <c r="G1553" s="34" t="str">
        <f>IFERROR(IF(F1553&gt;=0,D1553*E1553*(1+F1553/100),ABS(D1553*E1553/F1553)),"")</f>
        <v/>
      </c>
      <c r="H1553" s="43" t="str">
        <f>IFERROR(G1553*E1547,"")</f>
        <v/>
      </c>
    </row>
    <row r="1554" spans="1:11" ht="12.75" customHeight="1">
      <c r="A1554" s="28"/>
      <c r="B1554" s="29"/>
      <c r="C1554" s="30" t="str">
        <f>IFERROR(_xlfn.XLOOKUP(B1554,Insumo[DESCRIPCION],Insumo[UND],,0),"")</f>
        <v/>
      </c>
      <c r="D1554" s="31"/>
      <c r="E1554" s="32" t="str">
        <f>IFERROR(_xlfn.XLOOKUP($B1554,Insumo[DESCRIPCION],Insumo[VALOR],,0),"")</f>
        <v/>
      </c>
      <c r="F1554" s="33"/>
      <c r="G1554" s="34" t="str">
        <f>IFERROR(IF(F1554&gt;=0,D1554*E1554*(1+F1554/100),ABS(D1554*E1554/F1554)),"")</f>
        <v/>
      </c>
      <c r="H1554" s="43" t="str">
        <f>IFERROR(G1554*E1547,"")</f>
        <v/>
      </c>
    </row>
    <row r="1555" spans="1:11" ht="12.75" customHeight="1">
      <c r="A1555" s="21"/>
      <c r="B1555" s="22" t="s">
        <v>3731</v>
      </c>
      <c r="C1555" s="23"/>
      <c r="D1555" s="24"/>
      <c r="E1555" s="25"/>
      <c r="F1555" s="26"/>
      <c r="G1555" s="27">
        <f>SUM(G1556:G1559)</f>
        <v>182535.04465125001</v>
      </c>
      <c r="H1555" s="44">
        <f>G1555*E1547</f>
        <v>0</v>
      </c>
    </row>
    <row r="1556" spans="1:11" ht="12.75" customHeight="1">
      <c r="A1556" s="28"/>
      <c r="B1556" s="29" t="s">
        <v>3657</v>
      </c>
      <c r="C1556" s="30" t="str">
        <f>IFERROR(_xlfn.XLOOKUP(B1556,Equipo[DESCRIPCION],Equipo[UND],,0),"")</f>
        <v>Día</v>
      </c>
      <c r="D1556" s="31">
        <v>1</v>
      </c>
      <c r="E1556" s="32">
        <f>IF(C1556="%MO",G1563,IFERROR(_xlfn.XLOOKUP($B1556,Equipo[DESCRIPCION],Equipo[VALOR],,0),""))</f>
        <v>56524.65</v>
      </c>
      <c r="F1556" s="33">
        <v>-3</v>
      </c>
      <c r="G1556" s="34">
        <f>IFERROR(IF(F1556&gt;=0,D1556*E1556*(1+F1556/100),ABS(D1556*E1556/F1556)),"")</f>
        <v>18841.55</v>
      </c>
      <c r="H1556" s="43">
        <f>IFERROR(G1556*E1547,"")</f>
        <v>0</v>
      </c>
    </row>
    <row r="1557" spans="1:11" ht="12.75" customHeight="1">
      <c r="A1557" s="28"/>
      <c r="B1557" s="29" t="s">
        <v>3617</v>
      </c>
      <c r="C1557" s="30" t="str">
        <f>IFERROR(_xlfn.XLOOKUP(B1557,Equipo[DESCRIPCION],Equipo[UND],,0),"")</f>
        <v>Día</v>
      </c>
      <c r="D1557" s="31">
        <v>1</v>
      </c>
      <c r="E1557" s="32">
        <f>IF(C1557="%MO",G1563,IFERROR(_xlfn.XLOOKUP($B1557,Equipo[DESCRIPCION],Equipo[VALOR],,0),""))</f>
        <v>28416.15</v>
      </c>
      <c r="F1557" s="33">
        <v>-0.2</v>
      </c>
      <c r="G1557" s="34">
        <f>IFERROR(IF(F1557&gt;=0,D1557*E1557*(1+F1557/100),ABS(D1557*E1557/F1557)),"")</f>
        <v>142080.75</v>
      </c>
      <c r="H1557" s="43">
        <f>IFERROR(G1557*E1547,"")</f>
        <v>0</v>
      </c>
    </row>
    <row r="1558" spans="1:11" ht="12.75" customHeight="1">
      <c r="A1558" s="28"/>
      <c r="B1558" s="29" t="s">
        <v>3652</v>
      </c>
      <c r="C1558" s="30" t="str">
        <f>IFERROR(_xlfn.XLOOKUP(B1558,Equipo[DESCRIPCION],Equipo[UND],,0),"")</f>
        <v>Día</v>
      </c>
      <c r="D1558" s="31">
        <v>1</v>
      </c>
      <c r="E1558" s="32">
        <f>IF(C1558="%MO",G1564,IFERROR(_xlfn.XLOOKUP($B1558,Equipo[DESCRIPCION],Equipo[VALOR],,0),""))</f>
        <v>635.25</v>
      </c>
      <c r="F1558" s="33">
        <v>-0.2</v>
      </c>
      <c r="G1558" s="34">
        <f>IFERROR(IF(F1558&gt;=0,D1558*E1558*(1+F1558/100),ABS(D1558*E1558/F1558)),"")</f>
        <v>3176.25</v>
      </c>
      <c r="H1558" s="43">
        <f>IFERROR(G1558*E1547,"")</f>
        <v>0</v>
      </c>
    </row>
    <row r="1559" spans="1:11" ht="12.75" customHeight="1">
      <c r="A1559" s="28"/>
      <c r="B1559" s="29" t="s">
        <v>3626</v>
      </c>
      <c r="C1559" s="30" t="str">
        <f>IFERROR(_xlfn.XLOOKUP(B1559,Equipo[DESCRIPCION],Equipo[UND],,0),"")</f>
        <v>%MO</v>
      </c>
      <c r="D1559" s="31">
        <v>0.05</v>
      </c>
      <c r="E1559" s="32">
        <f>IF(C1559="%MO",G1563,IFERROR(_xlfn.XLOOKUP($B1559,Equipo[DESCRIPCION],Equipo[VALOR],,0),""))</f>
        <v>368729.89302500006</v>
      </c>
      <c r="F1559" s="33"/>
      <c r="G1559" s="34">
        <f>IFERROR(IF(F1559&gt;=0,D1559*E1559*(1+F1559/100),ABS(D1559*E1559/F1559)),"")</f>
        <v>18436.494651250003</v>
      </c>
      <c r="H1559" s="43">
        <f>IFERROR(G1559*E1547,"")</f>
        <v>0</v>
      </c>
    </row>
    <row r="1560" spans="1:11" ht="12.75" customHeight="1">
      <c r="A1560" s="21"/>
      <c r="B1560" s="22" t="s">
        <v>2533</v>
      </c>
      <c r="C1560" s="23"/>
      <c r="D1560" s="24"/>
      <c r="E1560" s="25"/>
      <c r="F1560" s="26"/>
      <c r="G1560" s="27">
        <f>SUM(G1561:G1562)</f>
        <v>0</v>
      </c>
      <c r="H1560" s="44">
        <f>G1560*E1547</f>
        <v>0</v>
      </c>
    </row>
    <row r="1561" spans="1:11" ht="12.75" customHeight="1">
      <c r="A1561" s="28"/>
      <c r="B1561" s="29"/>
      <c r="C1561" s="30" t="str">
        <f>IFERROR(_xlfn.XLOOKUP(B1561,Transporte[DESCRIPCION],Transporte[UND],,0),"")</f>
        <v/>
      </c>
      <c r="D1561" s="31"/>
      <c r="E1561" s="32" t="str">
        <f>IFERROR(_xlfn.XLOOKUP($B1561,Transporte[DESCRIPCION],Transporte[VALOR],,0),"")</f>
        <v/>
      </c>
      <c r="F1561" s="33"/>
      <c r="G1561" s="34" t="str">
        <f>IFERROR(IF(F1561&gt;=0,D1561*E1561*(1+F1561/100),ABS(D1561*E1561/F1561)),"")</f>
        <v/>
      </c>
      <c r="H1561" s="43" t="str">
        <f>IFERROR(G1561*E1547,"")</f>
        <v/>
      </c>
    </row>
    <row r="1562" spans="1:11" ht="12.75" customHeight="1">
      <c r="A1562" s="28"/>
      <c r="B1562" s="29"/>
      <c r="C1562" s="30" t="str">
        <f>IFERROR(_xlfn.XLOOKUP(B1562,Transporte[DESCRIPCION],Transporte[UND],,0),"")</f>
        <v/>
      </c>
      <c r="D1562" s="31"/>
      <c r="E1562" s="32" t="str">
        <f>IFERROR(_xlfn.XLOOKUP($B1562,Transporte[DESCRIPCION],Transporte[VALOR],,0),"")</f>
        <v/>
      </c>
      <c r="F1562" s="33"/>
      <c r="G1562" s="34" t="str">
        <f>IFERROR(IF(F1562&gt;=0,D1562*E1562*(1+F1562/100),ABS(D1562*E1562/F1562)),"")</f>
        <v/>
      </c>
      <c r="H1562" s="43" t="str">
        <f>IFERROR(G1562*E1547,"")</f>
        <v/>
      </c>
    </row>
    <row r="1563" spans="1:11" ht="12.75" customHeight="1">
      <c r="A1563" s="21"/>
      <c r="B1563" s="22" t="s">
        <v>3732</v>
      </c>
      <c r="C1563" s="23"/>
      <c r="D1563" s="24"/>
      <c r="E1563" s="25"/>
      <c r="F1563" s="26"/>
      <c r="G1563" s="27">
        <f>SUM(G1564:G1566)</f>
        <v>368729.89302500006</v>
      </c>
      <c r="H1563" s="44">
        <f>G1563*E1547</f>
        <v>0</v>
      </c>
    </row>
    <row r="1564" spans="1:11" ht="12.75" customHeight="1">
      <c r="A1564" s="28"/>
      <c r="B1564" s="29" t="s">
        <v>3713</v>
      </c>
      <c r="C1564" s="30" t="str">
        <f>IFERROR(_xlfn.XLOOKUP(B1564,MObra[DESCRIPCION],MObra[UN],,0),"")</f>
        <v>día</v>
      </c>
      <c r="D1564" s="31">
        <v>1</v>
      </c>
      <c r="E1564" s="32">
        <f>IFERROR(_xlfn.XLOOKUP($B1564,MObra[DESCRIPCION],MObra[VALOR UNIT],,0),"")</f>
        <v>663713.80744500016</v>
      </c>
      <c r="F1564" s="33">
        <v>-1.8</v>
      </c>
      <c r="G1564" s="34">
        <f>IFERROR(IF(F1564&gt;=0,D1564*E1564*(1+F1564/100),ABS(D1564*E1564/F1564)),"")</f>
        <v>368729.89302500006</v>
      </c>
      <c r="H1564" s="43">
        <f>IFERROR(G1564*E1547,"")</f>
        <v>0</v>
      </c>
    </row>
    <row r="1565" spans="1:11" ht="12.75" customHeight="1">
      <c r="A1565" s="28"/>
      <c r="B1565" s="29"/>
      <c r="C1565" s="30" t="str">
        <f t="array" ref="C1565">IFERROR(_xlfn.XLOOKUP(B1565,MObra[[#All],[DESCRIPCION]],MObra[[#All],[UN]],,0),"")</f>
        <v/>
      </c>
      <c r="D1565" s="31"/>
      <c r="E1565" s="32" t="str">
        <f>IFERROR(_xlfn.XLOOKUP($B1565,MObra[DESCRIPCION],MObra[VALOR UNIT],,0),"")</f>
        <v/>
      </c>
      <c r="F1565" s="33"/>
      <c r="G1565" s="34" t="str">
        <f>IFERROR(IF(F1565&gt;=0,D1565*E1565*(1+F1565/100),ABS(D1565*E1565/F1565)),"")</f>
        <v/>
      </c>
      <c r="H1565" s="43" t="str">
        <f>IFERROR(G1565*E1547,"")</f>
        <v/>
      </c>
    </row>
    <row r="1566" spans="1:11" ht="12.75" customHeight="1" thickBot="1">
      <c r="A1566" s="35"/>
      <c r="B1566" s="36"/>
      <c r="C1566" s="37" t="str">
        <f t="array" ref="C1566">IFERROR(_xlfn.XLOOKUP(B1566,MObra[[#All],[DESCRIPCION]],MObra[[#All],[UN]],,0),"")</f>
        <v/>
      </c>
      <c r="D1566" s="38"/>
      <c r="E1566" s="39" t="str">
        <f>IFERROR(_xlfn.XLOOKUP($B1566,MObra[DESCRIPCION],MObra[VALOR UNIT],,0),"")</f>
        <v/>
      </c>
      <c r="F1566" s="40"/>
      <c r="G1566" s="41" t="str">
        <f>IFERROR(IF(F1566&gt;=0,D1566*E1566*(1+F1566/100),ABS(D1566*E1566/F1566)),"")</f>
        <v/>
      </c>
      <c r="H1566" s="42" t="str">
        <f>IFERROR(G1566*E1547,"")</f>
        <v/>
      </c>
    </row>
    <row r="1567" spans="1:11" ht="12.75" customHeight="1" thickTop="1" thickBot="1"/>
    <row r="1568" spans="1:11" ht="12.75" customHeight="1" thickTop="1" thickBot="1">
      <c r="A1568" s="6" t="s">
        <v>465</v>
      </c>
      <c r="B1568" s="7" t="str">
        <f>VLOOKUP($A1568,Presupuesto!$A:$D,2,FALSE())</f>
        <v>Muro concreto reforzado C24.1 Mpa Impermeabilizado</v>
      </c>
      <c r="C1568" s="8" t="str">
        <f>VLOOKUP($A1568,Presupuesto!$A:$D,3,FALSE())</f>
        <v>M3</v>
      </c>
      <c r="D1568" s="9"/>
      <c r="E1568" s="10">
        <f>VLOOKUP($A1568,Presupuesto!$A:$D,4,FALSE())</f>
        <v>0</v>
      </c>
      <c r="F1568" s="11" t="s">
        <v>2589</v>
      </c>
      <c r="G1568" s="12">
        <f>SUM(G1570:G1587)/2</f>
        <v>1536577.9063471893</v>
      </c>
      <c r="H1568" s="13">
        <f>ROUND(SUM(H1570:H1587),0)/2</f>
        <v>0</v>
      </c>
      <c r="I1568" s="10">
        <f>VLOOKUP(A1568,Presupuesto!$A:$F,6,0)</f>
        <v>0</v>
      </c>
      <c r="J1568" s="10">
        <f>+H1568-I1568</f>
        <v>0</v>
      </c>
      <c r="K1568" s="46">
        <f>+H1568-G1568*E1568</f>
        <v>0</v>
      </c>
    </row>
    <row r="1569" spans="1:8" ht="12.75" customHeight="1" thickTop="1">
      <c r="A1569" s="14"/>
      <c r="B1569" s="15" t="s">
        <v>2586</v>
      </c>
      <c r="C1569" s="15" t="s">
        <v>5</v>
      </c>
      <c r="D1569" s="16" t="s">
        <v>6</v>
      </c>
      <c r="E1569" s="17" t="s">
        <v>7</v>
      </c>
      <c r="F1569" s="18" t="s">
        <v>3728</v>
      </c>
      <c r="G1569" s="19" t="s">
        <v>3729</v>
      </c>
      <c r="H1569" s="20" t="s">
        <v>3797</v>
      </c>
    </row>
    <row r="1570" spans="1:8" ht="12.75" customHeight="1">
      <c r="A1570" s="21"/>
      <c r="B1570" s="22" t="s">
        <v>3730</v>
      </c>
      <c r="C1570" s="23"/>
      <c r="D1570" s="24"/>
      <c r="E1570" s="25"/>
      <c r="F1570" s="26"/>
      <c r="G1570" s="27">
        <f>SUM(G1571:G1575)</f>
        <v>985312.96867093933</v>
      </c>
      <c r="H1570" s="27">
        <f>IFERROR(G1570*E1568,"")</f>
        <v>0</v>
      </c>
    </row>
    <row r="1571" spans="1:8" ht="12.75" customHeight="1">
      <c r="A1571" s="28"/>
      <c r="B1571" s="29" t="s">
        <v>3240</v>
      </c>
      <c r="C1571" s="30" t="str">
        <f>IFERROR(_xlfn.XLOOKUP(B1571,Insumo[DESCRIPCION],Insumo[UND],,0),"")</f>
        <v>M3</v>
      </c>
      <c r="D1571" s="31">
        <v>1</v>
      </c>
      <c r="E1571" s="32">
        <f>IFERROR(_xlfn.XLOOKUP($B1571,Insumo[DESCRIPCION],Insumo[VALOR],,0),"")</f>
        <v>539790.3034961326</v>
      </c>
      <c r="F1571" s="33">
        <v>5</v>
      </c>
      <c r="G1571" s="34">
        <f>IFERROR(IF(F1571&gt;=0,D1571*E1571*(1+F1571/100),ABS(D1571*E1571/F1571)),"")</f>
        <v>566779.8186709393</v>
      </c>
      <c r="H1571" s="43">
        <f>IFERROR(G1571*E1568,"")</f>
        <v>0</v>
      </c>
    </row>
    <row r="1572" spans="1:8" ht="12.75" customHeight="1">
      <c r="A1572" s="28"/>
      <c r="B1572" s="29" t="s">
        <v>3295</v>
      </c>
      <c r="C1572" s="30" t="str">
        <f>IFERROR(_xlfn.XLOOKUP(B1572,Insumo[DESCRIPCION],Insumo[UND],,0),"")</f>
        <v>Kg</v>
      </c>
      <c r="D1572" s="31">
        <v>0.5</v>
      </c>
      <c r="E1572" s="32">
        <f>IFERROR(_xlfn.XLOOKUP($B1572,Insumo[DESCRIPCION],Insumo[VALOR],,0),"")</f>
        <v>22039.5</v>
      </c>
      <c r="F1572" s="33"/>
      <c r="G1572" s="34">
        <f>IFERROR(IF(F1572&gt;=0,D1572*E1572*(1+F1572/100),ABS(D1572*E1572/F1572)),"")</f>
        <v>11019.75</v>
      </c>
      <c r="H1572" s="43">
        <f>IFERROR(G1572*E1568,"")</f>
        <v>0</v>
      </c>
    </row>
    <row r="1573" spans="1:8" ht="12.75" customHeight="1">
      <c r="A1573" s="28"/>
      <c r="B1573" s="29" t="s">
        <v>3223</v>
      </c>
      <c r="C1573" s="30" t="str">
        <f>IFERROR(_xlfn.XLOOKUP(B1573,Insumo[DESCRIPCION],Insumo[UND],,0),"")</f>
        <v>Kg</v>
      </c>
      <c r="D1573" s="31">
        <v>14</v>
      </c>
      <c r="E1573" s="32">
        <f>IFERROR(_xlfn.XLOOKUP($B1573,Insumo[DESCRIPCION],Insumo[VALOR],,0),"")</f>
        <v>29108.100000000002</v>
      </c>
      <c r="F1573" s="33"/>
      <c r="G1573" s="34">
        <f>IFERROR(IF(F1573&gt;=0,D1573*E1573*(1+F1573/100),ABS(D1573*E1573/F1573)),"")</f>
        <v>407513.4</v>
      </c>
      <c r="H1573" s="43">
        <f>IFERROR(G1573*E1568,"")</f>
        <v>0</v>
      </c>
    </row>
    <row r="1574" spans="1:8" ht="12.75" customHeight="1">
      <c r="A1574" s="28"/>
      <c r="B1574" s="29"/>
      <c r="C1574" s="30" t="str">
        <f>IFERROR(_xlfn.XLOOKUP(B1574,Insumo[DESCRIPCION],Insumo[UND],,0),"")</f>
        <v/>
      </c>
      <c r="D1574" s="31"/>
      <c r="E1574" s="32" t="str">
        <f>IFERROR(_xlfn.XLOOKUP($B1574,Insumo[DESCRIPCION],Insumo[VALOR],,0),"")</f>
        <v/>
      </c>
      <c r="F1574" s="33"/>
      <c r="G1574" s="34" t="str">
        <f>IFERROR(IF(F1574&gt;=0,D1574*E1574*(1+F1574/100),ABS(D1574*E1574/F1574)),"")</f>
        <v/>
      </c>
      <c r="H1574" s="43" t="str">
        <f>IFERROR(G1574*E1568,"")</f>
        <v/>
      </c>
    </row>
    <row r="1575" spans="1:8" ht="12.75" customHeight="1">
      <c r="A1575" s="28"/>
      <c r="B1575" s="29"/>
      <c r="C1575" s="30" t="str">
        <f>IFERROR(_xlfn.XLOOKUP(B1575,Insumo[DESCRIPCION],Insumo[UND],,0),"")</f>
        <v/>
      </c>
      <c r="D1575" s="31"/>
      <c r="E1575" s="32" t="str">
        <f>IFERROR(_xlfn.XLOOKUP($B1575,Insumo[DESCRIPCION],Insumo[VALOR],,0),"")</f>
        <v/>
      </c>
      <c r="F1575" s="33"/>
      <c r="G1575" s="34" t="str">
        <f>IFERROR(IF(F1575&gt;=0,D1575*E1575*(1+F1575/100),ABS(D1575*E1575/F1575)),"")</f>
        <v/>
      </c>
      <c r="H1575" s="43" t="str">
        <f>IFERROR(G1575*E1568,"")</f>
        <v/>
      </c>
    </row>
    <row r="1576" spans="1:8" ht="12.75" customHeight="1">
      <c r="A1576" s="21"/>
      <c r="B1576" s="22" t="s">
        <v>3731</v>
      </c>
      <c r="C1576" s="23"/>
      <c r="D1576" s="24"/>
      <c r="E1576" s="25"/>
      <c r="F1576" s="26"/>
      <c r="G1576" s="27">
        <f>SUM(G1577:G1580)</f>
        <v>182535.04465125001</v>
      </c>
      <c r="H1576" s="44">
        <f>G1576*E1568</f>
        <v>0</v>
      </c>
    </row>
    <row r="1577" spans="1:8" ht="12.75" customHeight="1">
      <c r="A1577" s="28"/>
      <c r="B1577" s="29" t="s">
        <v>3657</v>
      </c>
      <c r="C1577" s="30" t="str">
        <f>IFERROR(_xlfn.XLOOKUP(B1577,Equipo[DESCRIPCION],Equipo[UND],,0),"")</f>
        <v>Día</v>
      </c>
      <c r="D1577" s="31">
        <v>1</v>
      </c>
      <c r="E1577" s="32">
        <f>IF(C1577="%MO",G1584,IFERROR(_xlfn.XLOOKUP($B1577,Equipo[DESCRIPCION],Equipo[VALOR],,0),""))</f>
        <v>56524.65</v>
      </c>
      <c r="F1577" s="33">
        <v>-3</v>
      </c>
      <c r="G1577" s="34">
        <f>IFERROR(IF(F1577&gt;=0,D1577*E1577*(1+F1577/100),ABS(D1577*E1577/F1577)),"")</f>
        <v>18841.55</v>
      </c>
      <c r="H1577" s="43">
        <f>IFERROR(G1577*E1568,"")</f>
        <v>0</v>
      </c>
    </row>
    <row r="1578" spans="1:8" ht="12.75" customHeight="1">
      <c r="A1578" s="28"/>
      <c r="B1578" s="29" t="s">
        <v>3617</v>
      </c>
      <c r="C1578" s="30" t="str">
        <f>IFERROR(_xlfn.XLOOKUP(B1578,Equipo[DESCRIPCION],Equipo[UND],,0),"")</f>
        <v>Día</v>
      </c>
      <c r="D1578" s="31">
        <v>1</v>
      </c>
      <c r="E1578" s="32">
        <f>IF(C1578="%MO",G1584,IFERROR(_xlfn.XLOOKUP($B1578,Equipo[DESCRIPCION],Equipo[VALOR],,0),""))</f>
        <v>28416.15</v>
      </c>
      <c r="F1578" s="33">
        <v>-0.2</v>
      </c>
      <c r="G1578" s="34">
        <f>IFERROR(IF(F1578&gt;=0,D1578*E1578*(1+F1578/100),ABS(D1578*E1578/F1578)),"")</f>
        <v>142080.75</v>
      </c>
      <c r="H1578" s="43">
        <f>IFERROR(G1578*E1568,"")</f>
        <v>0</v>
      </c>
    </row>
    <row r="1579" spans="1:8" ht="12.75" customHeight="1">
      <c r="A1579" s="28"/>
      <c r="B1579" s="29" t="s">
        <v>3652</v>
      </c>
      <c r="C1579" s="30" t="str">
        <f>IFERROR(_xlfn.XLOOKUP(B1579,Equipo[DESCRIPCION],Equipo[UND],,0),"")</f>
        <v>Día</v>
      </c>
      <c r="D1579" s="31">
        <v>1</v>
      </c>
      <c r="E1579" s="32">
        <f>IF(C1579="%MO",G1585,IFERROR(_xlfn.XLOOKUP($B1579,Equipo[DESCRIPCION],Equipo[VALOR],,0),""))</f>
        <v>635.25</v>
      </c>
      <c r="F1579" s="33">
        <v>-0.2</v>
      </c>
      <c r="G1579" s="34">
        <f>IFERROR(IF(F1579&gt;=0,D1579*E1579*(1+F1579/100),ABS(D1579*E1579/F1579)),"")</f>
        <v>3176.25</v>
      </c>
      <c r="H1579" s="43">
        <f>IFERROR(G1579*E1568,"")</f>
        <v>0</v>
      </c>
    </row>
    <row r="1580" spans="1:8" ht="12.75" customHeight="1">
      <c r="A1580" s="28"/>
      <c r="B1580" s="29" t="s">
        <v>3626</v>
      </c>
      <c r="C1580" s="30" t="str">
        <f>IFERROR(_xlfn.XLOOKUP(B1580,Equipo[DESCRIPCION],Equipo[UND],,0),"")</f>
        <v>%MO</v>
      </c>
      <c r="D1580" s="31">
        <v>0.05</v>
      </c>
      <c r="E1580" s="32">
        <f>IF(C1580="%MO",G1584,IFERROR(_xlfn.XLOOKUP($B1580,Equipo[DESCRIPCION],Equipo[VALOR],,0),""))</f>
        <v>368729.89302500006</v>
      </c>
      <c r="F1580" s="33"/>
      <c r="G1580" s="34">
        <f>IFERROR(IF(F1580&gt;=0,D1580*E1580*(1+F1580/100),ABS(D1580*E1580/F1580)),"")</f>
        <v>18436.494651250003</v>
      </c>
      <c r="H1580" s="43">
        <f>IFERROR(G1580*E1568,"")</f>
        <v>0</v>
      </c>
    </row>
    <row r="1581" spans="1:8" ht="12.75" customHeight="1">
      <c r="A1581" s="21"/>
      <c r="B1581" s="22" t="s">
        <v>2533</v>
      </c>
      <c r="C1581" s="23"/>
      <c r="D1581" s="24"/>
      <c r="E1581" s="25"/>
      <c r="F1581" s="26"/>
      <c r="G1581" s="27">
        <f>SUM(G1582:G1583)</f>
        <v>0</v>
      </c>
      <c r="H1581" s="44">
        <f>G1581*E1568</f>
        <v>0</v>
      </c>
    </row>
    <row r="1582" spans="1:8" ht="12.75" customHeight="1">
      <c r="A1582" s="28"/>
      <c r="B1582" s="29"/>
      <c r="C1582" s="30" t="str">
        <f>IFERROR(_xlfn.XLOOKUP(B1582,Transporte[DESCRIPCION],Transporte[UND],,0),"")</f>
        <v/>
      </c>
      <c r="D1582" s="31"/>
      <c r="E1582" s="32" t="str">
        <f>IFERROR(_xlfn.XLOOKUP($B1582,Transporte[DESCRIPCION],Transporte[VALOR],,0),"")</f>
        <v/>
      </c>
      <c r="F1582" s="33"/>
      <c r="G1582" s="34" t="str">
        <f>IFERROR(IF(F1582&gt;=0,D1582*E1582*(1+F1582/100),ABS(D1582*E1582/F1582)),"")</f>
        <v/>
      </c>
      <c r="H1582" s="43" t="str">
        <f>IFERROR(G1582*E1568,"")</f>
        <v/>
      </c>
    </row>
    <row r="1583" spans="1:8" ht="12.75" customHeight="1">
      <c r="A1583" s="28"/>
      <c r="B1583" s="29"/>
      <c r="C1583" s="30" t="str">
        <f>IFERROR(_xlfn.XLOOKUP(B1583,Transporte[DESCRIPCION],Transporte[UND],,0),"")</f>
        <v/>
      </c>
      <c r="D1583" s="31"/>
      <c r="E1583" s="32" t="str">
        <f>IFERROR(_xlfn.XLOOKUP($B1583,Transporte[DESCRIPCION],Transporte[VALOR],,0),"")</f>
        <v/>
      </c>
      <c r="F1583" s="33"/>
      <c r="G1583" s="34" t="str">
        <f>IFERROR(IF(F1583&gt;=0,D1583*E1583*(1+F1583/100),ABS(D1583*E1583/F1583)),"")</f>
        <v/>
      </c>
      <c r="H1583" s="43" t="str">
        <f>IFERROR(G1583*E1568,"")</f>
        <v/>
      </c>
    </row>
    <row r="1584" spans="1:8" ht="12.75" customHeight="1">
      <c r="A1584" s="21"/>
      <c r="B1584" s="22" t="s">
        <v>3732</v>
      </c>
      <c r="C1584" s="23"/>
      <c r="D1584" s="24"/>
      <c r="E1584" s="25"/>
      <c r="F1584" s="26"/>
      <c r="G1584" s="27">
        <f>SUM(G1585:G1587)</f>
        <v>368729.89302500006</v>
      </c>
      <c r="H1584" s="44">
        <f>G1584*E1568</f>
        <v>0</v>
      </c>
    </row>
    <row r="1585" spans="1:11" ht="12.75" customHeight="1">
      <c r="A1585" s="28"/>
      <c r="B1585" s="29" t="s">
        <v>3713</v>
      </c>
      <c r="C1585" s="30" t="str">
        <f>IFERROR(_xlfn.XLOOKUP(B1585,MObra[DESCRIPCION],MObra[UN],,0),"")</f>
        <v>día</v>
      </c>
      <c r="D1585" s="31">
        <v>1</v>
      </c>
      <c r="E1585" s="32">
        <f>IFERROR(_xlfn.XLOOKUP($B1585,MObra[DESCRIPCION],MObra[VALOR UNIT],,0),"")</f>
        <v>663713.80744500016</v>
      </c>
      <c r="F1585" s="33">
        <v>-1.8</v>
      </c>
      <c r="G1585" s="34">
        <f>IFERROR(IF(F1585&gt;=0,D1585*E1585*(1+F1585/100),ABS(D1585*E1585/F1585)),"")</f>
        <v>368729.89302500006</v>
      </c>
      <c r="H1585" s="43">
        <f>IFERROR(G1585*E1568,"")</f>
        <v>0</v>
      </c>
    </row>
    <row r="1586" spans="1:11" ht="12.75" customHeight="1">
      <c r="A1586" s="28"/>
      <c r="B1586" s="29"/>
      <c r="C1586" s="30" t="str">
        <f t="array" ref="C1586">IFERROR(_xlfn.XLOOKUP(B1586,MObra[[#All],[DESCRIPCION]],MObra[[#All],[UN]],,0),"")</f>
        <v/>
      </c>
      <c r="D1586" s="31"/>
      <c r="E1586" s="32" t="str">
        <f>IFERROR(_xlfn.XLOOKUP($B1586,MObra[DESCRIPCION],MObra[VALOR UNIT],,0),"")</f>
        <v/>
      </c>
      <c r="F1586" s="33"/>
      <c r="G1586" s="34" t="str">
        <f>IFERROR(IF(F1586&gt;=0,D1586*E1586*(1+F1586/100),ABS(D1586*E1586/F1586)),"")</f>
        <v/>
      </c>
      <c r="H1586" s="43" t="str">
        <f>IFERROR(G1586*E1568,"")</f>
        <v/>
      </c>
    </row>
    <row r="1587" spans="1:11" ht="12.75" customHeight="1" thickBot="1">
      <c r="A1587" s="35"/>
      <c r="B1587" s="36"/>
      <c r="C1587" s="37" t="str">
        <f t="array" ref="C1587">IFERROR(_xlfn.XLOOKUP(B1587,MObra[[#All],[DESCRIPCION]],MObra[[#All],[UN]],,0),"")</f>
        <v/>
      </c>
      <c r="D1587" s="38"/>
      <c r="E1587" s="39" t="str">
        <f>IFERROR(_xlfn.XLOOKUP($B1587,MObra[DESCRIPCION],MObra[VALOR UNIT],,0),"")</f>
        <v/>
      </c>
      <c r="F1587" s="40"/>
      <c r="G1587" s="41" t="str">
        <f>IFERROR(IF(F1587&gt;=0,D1587*E1587*(1+F1587/100),ABS(D1587*E1587/F1587)),"")</f>
        <v/>
      </c>
      <c r="H1587" s="42" t="str">
        <f>IFERROR(G1587*E1568,"")</f>
        <v/>
      </c>
    </row>
    <row r="1588" spans="1:11" ht="12.75" customHeight="1" thickTop="1" thickBot="1"/>
    <row r="1589" spans="1:11" ht="12.75" customHeight="1" thickTop="1" thickBot="1">
      <c r="A1589" s="6" t="s">
        <v>467</v>
      </c>
      <c r="B1589" s="7" t="str">
        <f>VLOOKUP($A1589,Presupuesto!$A:$D,2,FALSE())</f>
        <v>Muro concreto reforzado C27.6 Mpa Impermeabilizado</v>
      </c>
      <c r="C1589" s="8" t="str">
        <f>VLOOKUP($A1589,Presupuesto!$A:$D,3,FALSE())</f>
        <v>M3</v>
      </c>
      <c r="D1589" s="9"/>
      <c r="E1589" s="10">
        <f>VLOOKUP($A1589,Presupuesto!$A:$D,4,FALSE())</f>
        <v>0</v>
      </c>
      <c r="F1589" s="11" t="s">
        <v>2589</v>
      </c>
      <c r="G1589" s="12">
        <f>SUM(G1591:G1608)/2</f>
        <v>1566674.4398593991</v>
      </c>
      <c r="H1589" s="13">
        <f>ROUND(SUM(H1591:H1608),0)/2</f>
        <v>0</v>
      </c>
      <c r="I1589" s="10">
        <f>VLOOKUP(A1589,Presupuesto!$A:$F,6,0)</f>
        <v>0</v>
      </c>
      <c r="J1589" s="10">
        <f>+H1589-I1589</f>
        <v>0</v>
      </c>
      <c r="K1589" s="46">
        <f>+H1589-G1589*E1589</f>
        <v>0</v>
      </c>
    </row>
    <row r="1590" spans="1:11" ht="12.75" customHeight="1" thickTop="1">
      <c r="A1590" s="14"/>
      <c r="B1590" s="15" t="s">
        <v>2586</v>
      </c>
      <c r="C1590" s="15" t="s">
        <v>5</v>
      </c>
      <c r="D1590" s="16" t="s">
        <v>6</v>
      </c>
      <c r="E1590" s="17" t="s">
        <v>7</v>
      </c>
      <c r="F1590" s="18" t="s">
        <v>3728</v>
      </c>
      <c r="G1590" s="19" t="s">
        <v>3729</v>
      </c>
      <c r="H1590" s="20" t="s">
        <v>3797</v>
      </c>
    </row>
    <row r="1591" spans="1:11" ht="12.75" customHeight="1">
      <c r="A1591" s="21"/>
      <c r="B1591" s="22" t="s">
        <v>3730</v>
      </c>
      <c r="C1591" s="23"/>
      <c r="D1591" s="24"/>
      <c r="E1591" s="25"/>
      <c r="F1591" s="26"/>
      <c r="G1591" s="27">
        <f>SUM(G1592:G1596)</f>
        <v>1015409.5021831491</v>
      </c>
      <c r="H1591" s="27">
        <f>IFERROR(G1591*E1589,"")</f>
        <v>0</v>
      </c>
    </row>
    <row r="1592" spans="1:11" ht="12.75" customHeight="1">
      <c r="A1592" s="28"/>
      <c r="B1592" s="29" t="s">
        <v>3241</v>
      </c>
      <c r="C1592" s="30" t="str">
        <f>IFERROR(_xlfn.XLOOKUP(B1592,Insumo[DESCRIPCION],Insumo[UND],,0),"")</f>
        <v>M3</v>
      </c>
      <c r="D1592" s="31">
        <v>1</v>
      </c>
      <c r="E1592" s="32">
        <f>IFERROR(_xlfn.XLOOKUP($B1592,Insumo[DESCRIPCION],Insumo[VALOR],,0),"")</f>
        <v>568453.66874585627</v>
      </c>
      <c r="F1592" s="33">
        <v>5</v>
      </c>
      <c r="G1592" s="34">
        <f>IFERROR(IF(F1592&gt;=0,D1592*E1592*(1+F1592/100),ABS(D1592*E1592/F1592)),"")</f>
        <v>596876.35218314908</v>
      </c>
      <c r="H1592" s="43">
        <f>IFERROR(G1592*E1589,"")</f>
        <v>0</v>
      </c>
    </row>
    <row r="1593" spans="1:11" ht="12.75" customHeight="1">
      <c r="A1593" s="28"/>
      <c r="B1593" s="29" t="s">
        <v>3295</v>
      </c>
      <c r="C1593" s="30" t="str">
        <f>IFERROR(_xlfn.XLOOKUP(B1593,Insumo[DESCRIPCION],Insumo[UND],,0),"")</f>
        <v>Kg</v>
      </c>
      <c r="D1593" s="31">
        <v>0.5</v>
      </c>
      <c r="E1593" s="32">
        <f>IFERROR(_xlfn.XLOOKUP($B1593,Insumo[DESCRIPCION],Insumo[VALOR],,0),"")</f>
        <v>22039.5</v>
      </c>
      <c r="F1593" s="33"/>
      <c r="G1593" s="34">
        <f>IFERROR(IF(F1593&gt;=0,D1593*E1593*(1+F1593/100),ABS(D1593*E1593/F1593)),"")</f>
        <v>11019.75</v>
      </c>
      <c r="H1593" s="43">
        <f>IFERROR(G1593*E1589,"")</f>
        <v>0</v>
      </c>
    </row>
    <row r="1594" spans="1:11" ht="12.75" customHeight="1">
      <c r="A1594" s="28"/>
      <c r="B1594" s="29" t="s">
        <v>3223</v>
      </c>
      <c r="C1594" s="30" t="str">
        <f>IFERROR(_xlfn.XLOOKUP(B1594,Insumo[DESCRIPCION],Insumo[UND],,0),"")</f>
        <v>Kg</v>
      </c>
      <c r="D1594" s="31">
        <v>14</v>
      </c>
      <c r="E1594" s="32">
        <f>IFERROR(_xlfn.XLOOKUP($B1594,Insumo[DESCRIPCION],Insumo[VALOR],,0),"")</f>
        <v>29108.100000000002</v>
      </c>
      <c r="F1594" s="33"/>
      <c r="G1594" s="34">
        <f>IFERROR(IF(F1594&gt;=0,D1594*E1594*(1+F1594/100),ABS(D1594*E1594/F1594)),"")</f>
        <v>407513.4</v>
      </c>
      <c r="H1594" s="43">
        <f>IFERROR(G1594*E1589,"")</f>
        <v>0</v>
      </c>
    </row>
    <row r="1595" spans="1:11" ht="12.75" customHeight="1">
      <c r="A1595" s="28"/>
      <c r="B1595" s="29"/>
      <c r="C1595" s="30" t="str">
        <f>IFERROR(_xlfn.XLOOKUP(B1595,Insumo[DESCRIPCION],Insumo[UND],,0),"")</f>
        <v/>
      </c>
      <c r="D1595" s="31"/>
      <c r="E1595" s="32" t="str">
        <f>IFERROR(_xlfn.XLOOKUP($B1595,Insumo[DESCRIPCION],Insumo[VALOR],,0),"")</f>
        <v/>
      </c>
      <c r="F1595" s="33"/>
      <c r="G1595" s="34" t="str">
        <f>IFERROR(IF(F1595&gt;=0,D1595*E1595*(1+F1595/100),ABS(D1595*E1595/F1595)),"")</f>
        <v/>
      </c>
      <c r="H1595" s="43" t="str">
        <f>IFERROR(G1595*E1589,"")</f>
        <v/>
      </c>
    </row>
    <row r="1596" spans="1:11" ht="12.75" customHeight="1">
      <c r="A1596" s="28"/>
      <c r="B1596" s="29"/>
      <c r="C1596" s="30" t="str">
        <f>IFERROR(_xlfn.XLOOKUP(B1596,Insumo[DESCRIPCION],Insumo[UND],,0),"")</f>
        <v/>
      </c>
      <c r="D1596" s="31"/>
      <c r="E1596" s="32" t="str">
        <f>IFERROR(_xlfn.XLOOKUP($B1596,Insumo[DESCRIPCION],Insumo[VALOR],,0),"")</f>
        <v/>
      </c>
      <c r="F1596" s="33"/>
      <c r="G1596" s="34" t="str">
        <f>IFERROR(IF(F1596&gt;=0,D1596*E1596*(1+F1596/100),ABS(D1596*E1596/F1596)),"")</f>
        <v/>
      </c>
      <c r="H1596" s="43" t="str">
        <f>IFERROR(G1596*E1589,"")</f>
        <v/>
      </c>
    </row>
    <row r="1597" spans="1:11" ht="12.75" customHeight="1">
      <c r="A1597" s="21"/>
      <c r="B1597" s="22" t="s">
        <v>3731</v>
      </c>
      <c r="C1597" s="23"/>
      <c r="D1597" s="24"/>
      <c r="E1597" s="25"/>
      <c r="F1597" s="26"/>
      <c r="G1597" s="27">
        <f>SUM(G1598:G1601)</f>
        <v>182535.04465125001</v>
      </c>
      <c r="H1597" s="44">
        <f>G1597*E1589</f>
        <v>0</v>
      </c>
    </row>
    <row r="1598" spans="1:11" ht="12.75" customHeight="1">
      <c r="A1598" s="28"/>
      <c r="B1598" s="29" t="s">
        <v>3657</v>
      </c>
      <c r="C1598" s="30" t="str">
        <f>IFERROR(_xlfn.XLOOKUP(B1598,Equipo[DESCRIPCION],Equipo[UND],,0),"")</f>
        <v>Día</v>
      </c>
      <c r="D1598" s="31">
        <v>1</v>
      </c>
      <c r="E1598" s="32">
        <f>IF(C1598="%MO",G1605,IFERROR(_xlfn.XLOOKUP($B1598,Equipo[DESCRIPCION],Equipo[VALOR],,0),""))</f>
        <v>56524.65</v>
      </c>
      <c r="F1598" s="33">
        <v>-3</v>
      </c>
      <c r="G1598" s="34">
        <f>IFERROR(IF(F1598&gt;=0,D1598*E1598*(1+F1598/100),ABS(D1598*E1598/F1598)),"")</f>
        <v>18841.55</v>
      </c>
      <c r="H1598" s="43">
        <f>IFERROR(G1598*E1589,"")</f>
        <v>0</v>
      </c>
    </row>
    <row r="1599" spans="1:11" ht="12.75" customHeight="1">
      <c r="A1599" s="28"/>
      <c r="B1599" s="29" t="s">
        <v>3617</v>
      </c>
      <c r="C1599" s="30" t="str">
        <f>IFERROR(_xlfn.XLOOKUP(B1599,Equipo[DESCRIPCION],Equipo[UND],,0),"")</f>
        <v>Día</v>
      </c>
      <c r="D1599" s="31">
        <v>1</v>
      </c>
      <c r="E1599" s="32">
        <f>IF(C1599="%MO",G1605,IFERROR(_xlfn.XLOOKUP($B1599,Equipo[DESCRIPCION],Equipo[VALOR],,0),""))</f>
        <v>28416.15</v>
      </c>
      <c r="F1599" s="33">
        <v>-0.2</v>
      </c>
      <c r="G1599" s="34">
        <f>IFERROR(IF(F1599&gt;=0,D1599*E1599*(1+F1599/100),ABS(D1599*E1599/F1599)),"")</f>
        <v>142080.75</v>
      </c>
      <c r="H1599" s="43">
        <f>IFERROR(G1599*E1589,"")</f>
        <v>0</v>
      </c>
    </row>
    <row r="1600" spans="1:11" ht="12.75" customHeight="1">
      <c r="A1600" s="28"/>
      <c r="B1600" s="29" t="s">
        <v>3652</v>
      </c>
      <c r="C1600" s="30" t="str">
        <f>IFERROR(_xlfn.XLOOKUP(B1600,Equipo[DESCRIPCION],Equipo[UND],,0),"")</f>
        <v>Día</v>
      </c>
      <c r="D1600" s="31">
        <v>1</v>
      </c>
      <c r="E1600" s="32">
        <f>IF(C1600="%MO",G1606,IFERROR(_xlfn.XLOOKUP($B1600,Equipo[DESCRIPCION],Equipo[VALOR],,0),""))</f>
        <v>635.25</v>
      </c>
      <c r="F1600" s="33">
        <v>-0.2</v>
      </c>
      <c r="G1600" s="34">
        <f>IFERROR(IF(F1600&gt;=0,D1600*E1600*(1+F1600/100),ABS(D1600*E1600/F1600)),"")</f>
        <v>3176.25</v>
      </c>
      <c r="H1600" s="43">
        <f>IFERROR(G1600*E1589,"")</f>
        <v>0</v>
      </c>
    </row>
    <row r="1601" spans="1:11" ht="12.75" customHeight="1">
      <c r="A1601" s="28"/>
      <c r="B1601" s="29" t="s">
        <v>3626</v>
      </c>
      <c r="C1601" s="30" t="str">
        <f>IFERROR(_xlfn.XLOOKUP(B1601,Equipo[DESCRIPCION],Equipo[UND],,0),"")</f>
        <v>%MO</v>
      </c>
      <c r="D1601" s="31">
        <v>0.05</v>
      </c>
      <c r="E1601" s="32">
        <f>IF(C1601="%MO",G1605,IFERROR(_xlfn.XLOOKUP($B1601,Equipo[DESCRIPCION],Equipo[VALOR],,0),""))</f>
        <v>368729.89302500006</v>
      </c>
      <c r="F1601" s="33"/>
      <c r="G1601" s="34">
        <f>IFERROR(IF(F1601&gt;=0,D1601*E1601*(1+F1601/100),ABS(D1601*E1601/F1601)),"")</f>
        <v>18436.494651250003</v>
      </c>
      <c r="H1601" s="43">
        <f>IFERROR(G1601*E1589,"")</f>
        <v>0</v>
      </c>
    </row>
    <row r="1602" spans="1:11" ht="12.75" customHeight="1">
      <c r="A1602" s="21"/>
      <c r="B1602" s="22" t="s">
        <v>2533</v>
      </c>
      <c r="C1602" s="23"/>
      <c r="D1602" s="24"/>
      <c r="E1602" s="25"/>
      <c r="F1602" s="26"/>
      <c r="G1602" s="27">
        <f>SUM(G1603:G1604)</f>
        <v>0</v>
      </c>
      <c r="H1602" s="44">
        <f>G1602*E1589</f>
        <v>0</v>
      </c>
    </row>
    <row r="1603" spans="1:11" ht="12.75" customHeight="1">
      <c r="A1603" s="28"/>
      <c r="B1603" s="29"/>
      <c r="C1603" s="30" t="str">
        <f>IFERROR(_xlfn.XLOOKUP(B1603,Transporte[DESCRIPCION],Transporte[UND],,0),"")</f>
        <v/>
      </c>
      <c r="D1603" s="31"/>
      <c r="E1603" s="32" t="str">
        <f>IFERROR(_xlfn.XLOOKUP($B1603,Transporte[DESCRIPCION],Transporte[VALOR],,0),"")</f>
        <v/>
      </c>
      <c r="F1603" s="33"/>
      <c r="G1603" s="34" t="str">
        <f>IFERROR(IF(F1603&gt;=0,D1603*E1603*(1+F1603/100),ABS(D1603*E1603/F1603)),"")</f>
        <v/>
      </c>
      <c r="H1603" s="43" t="str">
        <f>IFERROR(G1603*E1589,"")</f>
        <v/>
      </c>
    </row>
    <row r="1604" spans="1:11" ht="12.75" customHeight="1">
      <c r="A1604" s="28"/>
      <c r="B1604" s="29"/>
      <c r="C1604" s="30" t="str">
        <f>IFERROR(_xlfn.XLOOKUP(B1604,Transporte[DESCRIPCION],Transporte[UND],,0),"")</f>
        <v/>
      </c>
      <c r="D1604" s="31"/>
      <c r="E1604" s="32" t="str">
        <f>IFERROR(_xlfn.XLOOKUP($B1604,Transporte[DESCRIPCION],Transporte[VALOR],,0),"")</f>
        <v/>
      </c>
      <c r="F1604" s="33"/>
      <c r="G1604" s="34" t="str">
        <f>IFERROR(IF(F1604&gt;=0,D1604*E1604*(1+F1604/100),ABS(D1604*E1604/F1604)),"")</f>
        <v/>
      </c>
      <c r="H1604" s="43" t="str">
        <f>IFERROR(G1604*E1589,"")</f>
        <v/>
      </c>
    </row>
    <row r="1605" spans="1:11" ht="12.75" customHeight="1">
      <c r="A1605" s="21"/>
      <c r="B1605" s="22" t="s">
        <v>3732</v>
      </c>
      <c r="C1605" s="23"/>
      <c r="D1605" s="24"/>
      <c r="E1605" s="25"/>
      <c r="F1605" s="26"/>
      <c r="G1605" s="27">
        <f>SUM(G1606:G1608)</f>
        <v>368729.89302500006</v>
      </c>
      <c r="H1605" s="44">
        <f>G1605*E1589</f>
        <v>0</v>
      </c>
    </row>
    <row r="1606" spans="1:11" ht="12.75" customHeight="1">
      <c r="A1606" s="28"/>
      <c r="B1606" s="29" t="s">
        <v>3713</v>
      </c>
      <c r="C1606" s="30" t="str">
        <f>IFERROR(_xlfn.XLOOKUP(B1606,MObra[DESCRIPCION],MObra[UN],,0),"")</f>
        <v>día</v>
      </c>
      <c r="D1606" s="31">
        <v>1</v>
      </c>
      <c r="E1606" s="32">
        <f>IFERROR(_xlfn.XLOOKUP($B1606,MObra[DESCRIPCION],MObra[VALOR UNIT],,0),"")</f>
        <v>663713.80744500016</v>
      </c>
      <c r="F1606" s="33">
        <v>-1.8</v>
      </c>
      <c r="G1606" s="34">
        <f>IFERROR(IF(F1606&gt;=0,D1606*E1606*(1+F1606/100),ABS(D1606*E1606/F1606)),"")</f>
        <v>368729.89302500006</v>
      </c>
      <c r="H1606" s="43">
        <f>IFERROR(G1606*E1589,"")</f>
        <v>0</v>
      </c>
    </row>
    <row r="1607" spans="1:11" ht="12.75" customHeight="1">
      <c r="A1607" s="28"/>
      <c r="B1607" s="29"/>
      <c r="C1607" s="30" t="str">
        <f t="array" ref="C1607">IFERROR(_xlfn.XLOOKUP(B1607,MObra[[#All],[DESCRIPCION]],MObra[[#All],[UN]],,0),"")</f>
        <v/>
      </c>
      <c r="D1607" s="31"/>
      <c r="E1607" s="32" t="str">
        <f>IFERROR(_xlfn.XLOOKUP($B1607,MObra[DESCRIPCION],MObra[VALOR UNIT],,0),"")</f>
        <v/>
      </c>
      <c r="F1607" s="33"/>
      <c r="G1607" s="34" t="str">
        <f>IFERROR(IF(F1607&gt;=0,D1607*E1607*(1+F1607/100),ABS(D1607*E1607/F1607)),"")</f>
        <v/>
      </c>
      <c r="H1607" s="43" t="str">
        <f>IFERROR(G1607*E1589,"")</f>
        <v/>
      </c>
    </row>
    <row r="1608" spans="1:11" ht="12.75" customHeight="1" thickBot="1">
      <c r="A1608" s="35"/>
      <c r="B1608" s="36"/>
      <c r="C1608" s="37" t="str">
        <f t="array" ref="C1608">IFERROR(_xlfn.XLOOKUP(B1608,MObra[[#All],[DESCRIPCION]],MObra[[#All],[UN]],,0),"")</f>
        <v/>
      </c>
      <c r="D1608" s="38"/>
      <c r="E1608" s="39" t="str">
        <f>IFERROR(_xlfn.XLOOKUP($B1608,MObra[DESCRIPCION],MObra[VALOR UNIT],,0),"")</f>
        <v/>
      </c>
      <c r="F1608" s="40"/>
      <c r="G1608" s="41" t="str">
        <f>IFERROR(IF(F1608&gt;=0,D1608*E1608*(1+F1608/100),ABS(D1608*E1608/F1608)),"")</f>
        <v/>
      </c>
      <c r="H1608" s="42" t="str">
        <f>IFERROR(G1608*E1589,"")</f>
        <v/>
      </c>
    </row>
    <row r="1609" spans="1:11" ht="12.75" customHeight="1" thickTop="1" thickBot="1"/>
    <row r="1610" spans="1:11" ht="12.75" customHeight="1" thickTop="1" thickBot="1">
      <c r="A1610" s="6" t="s">
        <v>469</v>
      </c>
      <c r="B1610" s="7" t="str">
        <f>VLOOKUP($A1610,Presupuesto!$A:$D,2,FALSE())</f>
        <v>Pedestal concreto 20.7 Mpa H&lt;= 0.40m</v>
      </c>
      <c r="C1610" s="8" t="str">
        <f>VLOOKUP($A1610,Presupuesto!$A:$D,3,FALSE())</f>
        <v>M3</v>
      </c>
      <c r="D1610" s="9"/>
      <c r="E1610" s="10">
        <f>VLOOKUP($A1610,Presupuesto!$A:$D,4,FALSE())</f>
        <v>0</v>
      </c>
      <c r="F1610" s="11" t="s">
        <v>2589</v>
      </c>
      <c r="G1610" s="12">
        <f>SUM(G1612:G1628)/2</f>
        <v>1286201.3367845244</v>
      </c>
      <c r="H1610" s="13">
        <f>ROUND(SUM(H1612:H1628),0)/2</f>
        <v>0</v>
      </c>
      <c r="I1610" s="10">
        <f>VLOOKUP(A1610,Presupuesto!$A:$F,6,0)</f>
        <v>0</v>
      </c>
      <c r="J1610" s="10">
        <f>+H1610-I1610</f>
        <v>0</v>
      </c>
      <c r="K1610" s="46">
        <f>+H1610-G1610*E1610</f>
        <v>0</v>
      </c>
    </row>
    <row r="1611" spans="1:11" ht="12.75" customHeight="1" thickTop="1">
      <c r="A1611" s="14"/>
      <c r="B1611" s="15" t="s">
        <v>2586</v>
      </c>
      <c r="C1611" s="15" t="s">
        <v>5</v>
      </c>
      <c r="D1611" s="16" t="s">
        <v>6</v>
      </c>
      <c r="E1611" s="17" t="s">
        <v>7</v>
      </c>
      <c r="F1611" s="18" t="s">
        <v>3728</v>
      </c>
      <c r="G1611" s="19" t="s">
        <v>3729</v>
      </c>
      <c r="H1611" s="20" t="s">
        <v>3797</v>
      </c>
    </row>
    <row r="1612" spans="1:11" ht="12.75" customHeight="1">
      <c r="A1612" s="21"/>
      <c r="B1612" s="22" t="s">
        <v>3730</v>
      </c>
      <c r="C1612" s="23"/>
      <c r="D1612" s="24"/>
      <c r="E1612" s="25"/>
      <c r="F1612" s="26"/>
      <c r="G1612" s="27">
        <f>SUM(G1613:G1617)</f>
        <v>932099.12287589931</v>
      </c>
      <c r="H1612" s="27">
        <f>IFERROR(G1612*E1610,"")</f>
        <v>0</v>
      </c>
    </row>
    <row r="1613" spans="1:11" ht="12.75" customHeight="1">
      <c r="A1613" s="28"/>
      <c r="B1613" s="29" t="s">
        <v>3239</v>
      </c>
      <c r="C1613" s="30" t="str">
        <f>IFERROR(_xlfn.XLOOKUP(B1613,Insumo[DESCRIPCION],Insumo[UND],,0),"")</f>
        <v>M3</v>
      </c>
      <c r="D1613" s="31">
        <v>1</v>
      </c>
      <c r="E1613" s="32">
        <f>IFERROR(_xlfn.XLOOKUP($B1613,Insumo[DESCRIPCION],Insumo[VALOR],,0),"")</f>
        <v>521159.50227762427</v>
      </c>
      <c r="F1613" s="33">
        <v>5</v>
      </c>
      <c r="G1613" s="34">
        <f>IFERROR(IF(F1613&gt;=0,D1613*E1613*(1+F1613/100),ABS(D1613*E1613/F1613)),"")</f>
        <v>547217.4773915055</v>
      </c>
      <c r="H1613" s="43">
        <f>IFERROR(G1613*E1610,"")</f>
        <v>0</v>
      </c>
    </row>
    <row r="1614" spans="1:11" ht="12.75" customHeight="1">
      <c r="A1614" s="28"/>
      <c r="B1614" s="29" t="s">
        <v>2957</v>
      </c>
      <c r="C1614" s="30" t="str">
        <f>IFERROR(_xlfn.XLOOKUP(B1614,Insumo[DESCRIPCION],Insumo[UND],,0),"")</f>
        <v>M2</v>
      </c>
      <c r="D1614" s="31">
        <f>0.4*4/0.16</f>
        <v>10</v>
      </c>
      <c r="E1614" s="32">
        <f>IFERROR(_xlfn.XLOOKUP($B1614,Insumo[DESCRIPCION],Insumo[VALOR],,0),"")</f>
        <v>149544.7581937575</v>
      </c>
      <c r="F1614" s="33">
        <v>-4</v>
      </c>
      <c r="G1614" s="34">
        <f>IFERROR(IF(F1614&gt;=0,D1614*E1614*(1+F1614/100),ABS(D1614*E1614/F1614)),"")</f>
        <v>373861.89548439375</v>
      </c>
      <c r="H1614" s="43">
        <f>IFERROR(G1614*E1610,"")</f>
        <v>0</v>
      </c>
    </row>
    <row r="1615" spans="1:11" ht="12.75" customHeight="1">
      <c r="A1615" s="28"/>
      <c r="B1615" s="29" t="s">
        <v>3295</v>
      </c>
      <c r="C1615" s="30" t="str">
        <f>IFERROR(_xlfn.XLOOKUP(B1615,Insumo[DESCRIPCION],Insumo[UND],,0),"")</f>
        <v>Kg</v>
      </c>
      <c r="D1615" s="31">
        <v>0.5</v>
      </c>
      <c r="E1615" s="32">
        <f>IFERROR(_xlfn.XLOOKUP($B1615,Insumo[DESCRIPCION],Insumo[VALOR],,0),"")</f>
        <v>22039.5</v>
      </c>
      <c r="F1615" s="33"/>
      <c r="G1615" s="34">
        <f>IFERROR(IF(F1615&gt;=0,D1615*E1615*(1+F1615/100),ABS(D1615*E1615/F1615)),"")</f>
        <v>11019.75</v>
      </c>
      <c r="H1615" s="43">
        <f>IFERROR(G1615*E1610,"")</f>
        <v>0</v>
      </c>
    </row>
    <row r="1616" spans="1:11" ht="12.75" customHeight="1">
      <c r="A1616" s="28"/>
      <c r="B1616" s="29"/>
      <c r="C1616" s="30" t="str">
        <f>IFERROR(_xlfn.XLOOKUP(B1616,Insumo[DESCRIPCION],Insumo[UND],,0),"")</f>
        <v/>
      </c>
      <c r="D1616" s="31"/>
      <c r="E1616" s="32" t="str">
        <f>IFERROR(_xlfn.XLOOKUP($B1616,Insumo[DESCRIPCION],Insumo[VALOR],,0),"")</f>
        <v/>
      </c>
      <c r="F1616" s="33"/>
      <c r="G1616" s="34" t="str">
        <f>IFERROR(IF(F1616&gt;=0,D1616*E1616*(1+F1616/100),ABS(D1616*E1616/F1616)),"")</f>
        <v/>
      </c>
      <c r="H1616" s="43" t="str">
        <f>IFERROR(G1616*E1610,"")</f>
        <v/>
      </c>
    </row>
    <row r="1617" spans="1:11" ht="12.75" customHeight="1">
      <c r="A1617" s="28"/>
      <c r="B1617" s="29"/>
      <c r="C1617" s="30" t="str">
        <f>IFERROR(_xlfn.XLOOKUP(B1617,Insumo[DESCRIPCION],Insumo[UND],,0),"")</f>
        <v/>
      </c>
      <c r="D1617" s="31"/>
      <c r="E1617" s="32" t="str">
        <f>IFERROR(_xlfn.XLOOKUP($B1617,Insumo[DESCRIPCION],Insumo[VALOR],,0),"")</f>
        <v/>
      </c>
      <c r="F1617" s="33"/>
      <c r="G1617" s="34" t="str">
        <f>IFERROR(IF(F1617&gt;=0,D1617*E1617*(1+F1617/100),ABS(D1617*E1617/F1617)),"")</f>
        <v/>
      </c>
      <c r="H1617" s="43" t="str">
        <f>IFERROR(G1617*E1610,"")</f>
        <v/>
      </c>
    </row>
    <row r="1618" spans="1:11" ht="12.75" customHeight="1">
      <c r="A1618" s="21"/>
      <c r="B1618" s="22" t="s">
        <v>3731</v>
      </c>
      <c r="C1618" s="23"/>
      <c r="D1618" s="24"/>
      <c r="E1618" s="25"/>
      <c r="F1618" s="26"/>
      <c r="G1618" s="27">
        <f>SUM(G1619:G1621)</f>
        <v>22245.310186125003</v>
      </c>
      <c r="H1618" s="44">
        <f>G1618*E1610</f>
        <v>0</v>
      </c>
    </row>
    <row r="1619" spans="1:11" ht="12.75" customHeight="1">
      <c r="A1619" s="28"/>
      <c r="B1619" s="29" t="s">
        <v>3657</v>
      </c>
      <c r="C1619" s="30" t="str">
        <f>IFERROR(_xlfn.XLOOKUP(B1619,Equipo[DESCRIPCION],Equipo[UND],,0),"")</f>
        <v>Día</v>
      </c>
      <c r="D1619" s="31">
        <v>1</v>
      </c>
      <c r="E1619" s="32">
        <f>IF(C1619="%MO",G1625,IFERROR(_xlfn.XLOOKUP($B1619,Equipo[DESCRIPCION],Equipo[VALOR],,0),""))</f>
        <v>56524.65</v>
      </c>
      <c r="F1619" s="33">
        <v>-10</v>
      </c>
      <c r="G1619" s="34">
        <f>IFERROR(IF(F1619&gt;=0,D1619*E1619*(1+F1619/100),ABS(D1619*E1619/F1619)),"")</f>
        <v>5652.4650000000001</v>
      </c>
      <c r="H1619" s="43">
        <f>IFERROR(G1619*E1610,"")</f>
        <v>0</v>
      </c>
    </row>
    <row r="1620" spans="1:11" ht="12.75" customHeight="1">
      <c r="A1620" s="28"/>
      <c r="B1620" s="29" t="s">
        <v>3626</v>
      </c>
      <c r="C1620" s="30" t="str">
        <f>IFERROR(_xlfn.XLOOKUP(B1620,Equipo[DESCRIPCION],Equipo[UND],,0),"")</f>
        <v>%MO</v>
      </c>
      <c r="D1620" s="31">
        <v>0.05</v>
      </c>
      <c r="E1620" s="32">
        <f>IF(C1620="%MO",G1625,IFERROR(_xlfn.XLOOKUP($B1620,Equipo[DESCRIPCION],Equipo[VALOR],,0),""))</f>
        <v>331856.90372250008</v>
      </c>
      <c r="F1620" s="33"/>
      <c r="G1620" s="34">
        <f>IFERROR(IF(F1620&gt;=0,D1620*E1620*(1+F1620/100),ABS(D1620*E1620/F1620)),"")</f>
        <v>16592.845186125003</v>
      </c>
      <c r="H1620" s="43">
        <f>IFERROR(G1620*E1610,"")</f>
        <v>0</v>
      </c>
    </row>
    <row r="1621" spans="1:11" ht="12.75" customHeight="1">
      <c r="A1621" s="28"/>
      <c r="B1621" s="29"/>
      <c r="C1621" s="30" t="str">
        <f>IFERROR(_xlfn.XLOOKUP(B1621,Equipo[DESCRIPCION],Equipo[UND],,0),"")</f>
        <v/>
      </c>
      <c r="D1621" s="31"/>
      <c r="E1621" s="32" t="str">
        <f>IF(C1621="%MO",G1625,IFERROR(_xlfn.XLOOKUP($B1621,Equipo[DESCRIPCION],Equipo[VALOR],,0),""))</f>
        <v/>
      </c>
      <c r="F1621" s="33"/>
      <c r="G1621" s="34" t="str">
        <f>IFERROR(IF(F1621&gt;=0,D1621*E1621*(1+F1621/100),ABS(D1621*E1621/F1621)),"")</f>
        <v/>
      </c>
      <c r="H1621" s="43" t="str">
        <f>IFERROR(G1621*E1610,"")</f>
        <v/>
      </c>
    </row>
    <row r="1622" spans="1:11" ht="12.75" customHeight="1">
      <c r="A1622" s="21"/>
      <c r="B1622" s="22" t="s">
        <v>2533</v>
      </c>
      <c r="C1622" s="23"/>
      <c r="D1622" s="24"/>
      <c r="E1622" s="25"/>
      <c r="F1622" s="26"/>
      <c r="G1622" s="27">
        <f>SUM(G1623:G1624)</f>
        <v>0</v>
      </c>
      <c r="H1622" s="44">
        <f>G1622*E1610</f>
        <v>0</v>
      </c>
    </row>
    <row r="1623" spans="1:11" ht="12.75" customHeight="1">
      <c r="A1623" s="28"/>
      <c r="B1623" s="29"/>
      <c r="C1623" s="30" t="str">
        <f>IFERROR(_xlfn.XLOOKUP(B1623,Transporte[DESCRIPCION],Transporte[UND],,0),"")</f>
        <v/>
      </c>
      <c r="D1623" s="31"/>
      <c r="E1623" s="32" t="str">
        <f>IFERROR(_xlfn.XLOOKUP($B1623,Transporte[DESCRIPCION],Transporte[VALOR],,0),"")</f>
        <v/>
      </c>
      <c r="F1623" s="33"/>
      <c r="G1623" s="34" t="str">
        <f>IFERROR(IF(F1623&gt;=0,D1623*E1623*(1+F1623/100),ABS(D1623*E1623/F1623)),"")</f>
        <v/>
      </c>
      <c r="H1623" s="43" t="str">
        <f>IFERROR(G1623*E1610,"")</f>
        <v/>
      </c>
    </row>
    <row r="1624" spans="1:11" ht="12.75" customHeight="1">
      <c r="A1624" s="28"/>
      <c r="B1624" s="29"/>
      <c r="C1624" s="30" t="str">
        <f>IFERROR(_xlfn.XLOOKUP(B1624,Transporte[DESCRIPCION],Transporte[UND],,0),"")</f>
        <v/>
      </c>
      <c r="D1624" s="31"/>
      <c r="E1624" s="32" t="str">
        <f>IFERROR(_xlfn.XLOOKUP($B1624,Transporte[DESCRIPCION],Transporte[VALOR],,0),"")</f>
        <v/>
      </c>
      <c r="F1624" s="33"/>
      <c r="G1624" s="34" t="str">
        <f>IFERROR(IF(F1624&gt;=0,D1624*E1624*(1+F1624/100),ABS(D1624*E1624/F1624)),"")</f>
        <v/>
      </c>
      <c r="H1624" s="43" t="str">
        <f>IFERROR(G1624*E1610,"")</f>
        <v/>
      </c>
    </row>
    <row r="1625" spans="1:11" ht="12.75" customHeight="1">
      <c r="A1625" s="21"/>
      <c r="B1625" s="22" t="s">
        <v>3732</v>
      </c>
      <c r="C1625" s="23"/>
      <c r="D1625" s="24"/>
      <c r="E1625" s="25"/>
      <c r="F1625" s="26"/>
      <c r="G1625" s="27">
        <f>SUM(G1626:G1628)</f>
        <v>331856.90372250008</v>
      </c>
      <c r="H1625" s="44">
        <f>G1625*E1610</f>
        <v>0</v>
      </c>
    </row>
    <row r="1626" spans="1:11" ht="12.75" customHeight="1">
      <c r="A1626" s="28"/>
      <c r="B1626" s="29" t="s">
        <v>3713</v>
      </c>
      <c r="C1626" s="30" t="str">
        <f>IFERROR(_xlfn.XLOOKUP(B1626,MObra[DESCRIPCION],MObra[UN],,0),"")</f>
        <v>día</v>
      </c>
      <c r="D1626" s="31">
        <v>1</v>
      </c>
      <c r="E1626" s="32">
        <f>IFERROR(_xlfn.XLOOKUP($B1626,MObra[DESCRIPCION],MObra[VALOR UNIT],,0),"")</f>
        <v>663713.80744500016</v>
      </c>
      <c r="F1626" s="33">
        <v>-2</v>
      </c>
      <c r="G1626" s="34">
        <f>IFERROR(IF(F1626&gt;=0,D1626*E1626*(1+F1626/100),ABS(D1626*E1626/F1626)),"")</f>
        <v>331856.90372250008</v>
      </c>
      <c r="H1626" s="43">
        <f>IFERROR(G1626*E1610,"")</f>
        <v>0</v>
      </c>
    </row>
    <row r="1627" spans="1:11" ht="12.75" customHeight="1">
      <c r="A1627" s="28"/>
      <c r="B1627" s="29"/>
      <c r="C1627" s="30" t="str">
        <f t="array" ref="C1627">IFERROR(_xlfn.XLOOKUP(B1627,MObra[[#All],[DESCRIPCION]],MObra[[#All],[UN]],,0),"")</f>
        <v/>
      </c>
      <c r="D1627" s="31"/>
      <c r="E1627" s="32" t="str">
        <f>IFERROR(_xlfn.XLOOKUP($B1627,MObra[DESCRIPCION],MObra[VALOR UNIT],,0),"")</f>
        <v/>
      </c>
      <c r="F1627" s="33"/>
      <c r="G1627" s="34" t="str">
        <f>IFERROR(IF(F1627&gt;=0,D1627*E1627*(1+F1627/100),ABS(D1627*E1627/F1627)),"")</f>
        <v/>
      </c>
      <c r="H1627" s="43" t="str">
        <f>IFERROR(G1627*E1610,"")</f>
        <v/>
      </c>
    </row>
    <row r="1628" spans="1:11" ht="12.75" customHeight="1" thickBot="1">
      <c r="A1628" s="35"/>
      <c r="B1628" s="36"/>
      <c r="C1628" s="37" t="str">
        <f t="array" ref="C1628">IFERROR(_xlfn.XLOOKUP(B1628,MObra[[#All],[DESCRIPCION]],MObra[[#All],[UN]],,0),"")</f>
        <v/>
      </c>
      <c r="D1628" s="38"/>
      <c r="E1628" s="39" t="str">
        <f>IFERROR(_xlfn.XLOOKUP($B1628,MObra[DESCRIPCION],MObra[VALOR UNIT],,0),"")</f>
        <v/>
      </c>
      <c r="F1628" s="40"/>
      <c r="G1628" s="41" t="str">
        <f>IFERROR(IF(F1628&gt;=0,D1628*E1628*(1+F1628/100),ABS(D1628*E1628/F1628)),"")</f>
        <v/>
      </c>
      <c r="H1628" s="42" t="str">
        <f>IFERROR(G1628*E1610,"")</f>
        <v/>
      </c>
    </row>
    <row r="1629" spans="1:11" ht="12.75" customHeight="1" thickTop="1" thickBot="1"/>
    <row r="1630" spans="1:11" ht="12.75" customHeight="1" thickTop="1" thickBot="1">
      <c r="A1630" s="6" t="s">
        <v>471</v>
      </c>
      <c r="B1630" s="7" t="str">
        <f>VLOOKUP($A1630,Presupuesto!$A:$D,2,FALSE())</f>
        <v>Pedestal concreto 20.7 Mpa H&gt; 0.40m</v>
      </c>
      <c r="C1630" s="8" t="str">
        <f>VLOOKUP($A1630,Presupuesto!$A:$D,3,FALSE())</f>
        <v>M3</v>
      </c>
      <c r="D1630" s="9"/>
      <c r="E1630" s="10">
        <f>VLOOKUP($A1630,Presupuesto!$A:$D,4,FALSE())</f>
        <v>0</v>
      </c>
      <c r="F1630" s="11" t="s">
        <v>2589</v>
      </c>
      <c r="G1630" s="12">
        <f>SUM(G1632:G1648)/2</f>
        <v>1174325.3413868614</v>
      </c>
      <c r="H1630" s="13">
        <f>ROUND(SUM(H1632:H1648),0)/2</f>
        <v>0</v>
      </c>
      <c r="I1630" s="10">
        <f>VLOOKUP(A1630,Presupuesto!$A:$F,6,0)</f>
        <v>0</v>
      </c>
      <c r="J1630" s="10">
        <f>+H1630-I1630</f>
        <v>0</v>
      </c>
      <c r="K1630" s="46">
        <f>+H1630-G1630*E1630</f>
        <v>0</v>
      </c>
    </row>
    <row r="1631" spans="1:11" ht="12.75" customHeight="1" thickTop="1">
      <c r="A1631" s="14"/>
      <c r="B1631" s="15" t="s">
        <v>2586</v>
      </c>
      <c r="C1631" s="15" t="s">
        <v>5</v>
      </c>
      <c r="D1631" s="16" t="s">
        <v>6</v>
      </c>
      <c r="E1631" s="17" t="s">
        <v>7</v>
      </c>
      <c r="F1631" s="18" t="s">
        <v>3728</v>
      </c>
      <c r="G1631" s="19" t="s">
        <v>3729</v>
      </c>
      <c r="H1631" s="20" t="s">
        <v>3797</v>
      </c>
    </row>
    <row r="1632" spans="1:11" ht="12.75" customHeight="1">
      <c r="A1632" s="21"/>
      <c r="B1632" s="22" t="s">
        <v>3730</v>
      </c>
      <c r="C1632" s="23"/>
      <c r="D1632" s="24"/>
      <c r="E1632" s="25"/>
      <c r="F1632" s="26"/>
      <c r="G1632" s="27">
        <f>SUM(G1633:G1637)</f>
        <v>857326.7437790205</v>
      </c>
      <c r="H1632" s="27">
        <f>IFERROR(G1632*E1630,"")</f>
        <v>0</v>
      </c>
    </row>
    <row r="1633" spans="1:8" ht="12.75" customHeight="1">
      <c r="A1633" s="28"/>
      <c r="B1633" s="29" t="s">
        <v>3239</v>
      </c>
      <c r="C1633" s="30" t="str">
        <f>IFERROR(_xlfn.XLOOKUP(B1633,Insumo[DESCRIPCION],Insumo[UND],,0),"")</f>
        <v>M3</v>
      </c>
      <c r="D1633" s="31">
        <v>1</v>
      </c>
      <c r="E1633" s="32">
        <f>IFERROR(_xlfn.XLOOKUP($B1633,Insumo[DESCRIPCION],Insumo[VALOR],,0),"")</f>
        <v>521159.50227762427</v>
      </c>
      <c r="F1633" s="33">
        <v>5</v>
      </c>
      <c r="G1633" s="34">
        <f>IFERROR(IF(F1633&gt;=0,D1633*E1633*(1+F1633/100),ABS(D1633*E1633/F1633)),"")</f>
        <v>547217.4773915055</v>
      </c>
      <c r="H1633" s="43">
        <f>IFERROR(G1633*E1630,"")</f>
        <v>0</v>
      </c>
    </row>
    <row r="1634" spans="1:8" ht="12.75" customHeight="1">
      <c r="A1634" s="28"/>
      <c r="B1634" s="29" t="s">
        <v>2957</v>
      </c>
      <c r="C1634" s="30" t="str">
        <f>IFERROR(_xlfn.XLOOKUP(B1634,Insumo[DESCRIPCION],Insumo[UND],,0),"")</f>
        <v>M2</v>
      </c>
      <c r="D1634" s="31">
        <v>8</v>
      </c>
      <c r="E1634" s="32">
        <f>IFERROR(_xlfn.XLOOKUP($B1634,Insumo[DESCRIPCION],Insumo[VALOR],,0),"")</f>
        <v>149544.7581937575</v>
      </c>
      <c r="F1634" s="33">
        <v>-4</v>
      </c>
      <c r="G1634" s="34">
        <f>IFERROR(IF(F1634&gt;=0,D1634*E1634*(1+F1634/100),ABS(D1634*E1634/F1634)),"")</f>
        <v>299089.516387515</v>
      </c>
      <c r="H1634" s="43">
        <f>IFERROR(G1634*E1630,"")</f>
        <v>0</v>
      </c>
    </row>
    <row r="1635" spans="1:8" ht="12.75" customHeight="1">
      <c r="A1635" s="28"/>
      <c r="B1635" s="29" t="s">
        <v>3295</v>
      </c>
      <c r="C1635" s="30" t="str">
        <f>IFERROR(_xlfn.XLOOKUP(B1635,Insumo[DESCRIPCION],Insumo[UND],,0),"")</f>
        <v>Kg</v>
      </c>
      <c r="D1635" s="31">
        <v>0.5</v>
      </c>
      <c r="E1635" s="32">
        <f>IFERROR(_xlfn.XLOOKUP($B1635,Insumo[DESCRIPCION],Insumo[VALOR],,0),"")</f>
        <v>22039.5</v>
      </c>
      <c r="F1635" s="33"/>
      <c r="G1635" s="34">
        <f>IFERROR(IF(F1635&gt;=0,D1635*E1635*(1+F1635/100),ABS(D1635*E1635/F1635)),"")</f>
        <v>11019.75</v>
      </c>
      <c r="H1635" s="43">
        <f>IFERROR(G1635*E1630,"")</f>
        <v>0</v>
      </c>
    </row>
    <row r="1636" spans="1:8" ht="12.75" customHeight="1">
      <c r="A1636" s="28"/>
      <c r="B1636" s="29"/>
      <c r="C1636" s="30" t="str">
        <f>IFERROR(_xlfn.XLOOKUP(B1636,Insumo[DESCRIPCION],Insumo[UND],,0),"")</f>
        <v/>
      </c>
      <c r="D1636" s="31"/>
      <c r="E1636" s="32" t="str">
        <f>IFERROR(_xlfn.XLOOKUP($B1636,Insumo[DESCRIPCION],Insumo[VALOR],,0),"")</f>
        <v/>
      </c>
      <c r="F1636" s="33"/>
      <c r="G1636" s="34" t="str">
        <f>IFERROR(IF(F1636&gt;=0,D1636*E1636*(1+F1636/100),ABS(D1636*E1636/F1636)),"")</f>
        <v/>
      </c>
      <c r="H1636" s="43" t="str">
        <f>IFERROR(G1636*E1630,"")</f>
        <v/>
      </c>
    </row>
    <row r="1637" spans="1:8" ht="12.75" customHeight="1">
      <c r="A1637" s="28"/>
      <c r="B1637" s="29"/>
      <c r="C1637" s="30" t="str">
        <f>IFERROR(_xlfn.XLOOKUP(B1637,Insumo[DESCRIPCION],Insumo[UND],,0),"")</f>
        <v/>
      </c>
      <c r="D1637" s="31"/>
      <c r="E1637" s="32" t="str">
        <f>IFERROR(_xlfn.XLOOKUP($B1637,Insumo[DESCRIPCION],Insumo[VALOR],,0),"")</f>
        <v/>
      </c>
      <c r="F1637" s="33"/>
      <c r="G1637" s="34" t="str">
        <f>IFERROR(IF(F1637&gt;=0,D1637*E1637*(1+F1637/100),ABS(D1637*E1637/F1637)),"")</f>
        <v/>
      </c>
      <c r="H1637" s="43" t="str">
        <f>IFERROR(G1637*E1630,"")</f>
        <v/>
      </c>
    </row>
    <row r="1638" spans="1:8" ht="12.75" customHeight="1">
      <c r="A1638" s="21"/>
      <c r="B1638" s="22" t="s">
        <v>3731</v>
      </c>
      <c r="C1638" s="23"/>
      <c r="D1638" s="24"/>
      <c r="E1638" s="25"/>
      <c r="F1638" s="26"/>
      <c r="G1638" s="27">
        <f>SUM(G1639:G1641)</f>
        <v>15310.503314659092</v>
      </c>
      <c r="H1638" s="44">
        <f>G1638*E1630</f>
        <v>0</v>
      </c>
    </row>
    <row r="1639" spans="1:8" ht="12.75" customHeight="1">
      <c r="A1639" s="28"/>
      <c r="B1639" s="29" t="s">
        <v>3657</v>
      </c>
      <c r="C1639" s="30" t="str">
        <f>IFERROR(_xlfn.XLOOKUP(B1639,Equipo[DESCRIPCION],Equipo[UND],,0),"")</f>
        <v>Día</v>
      </c>
      <c r="D1639" s="31">
        <v>0.04</v>
      </c>
      <c r="E1639" s="32">
        <f>IF(C1639="%MO",G1645,IFERROR(_xlfn.XLOOKUP($B1639,Equipo[DESCRIPCION],Equipo[VALOR],,0),""))</f>
        <v>56524.65</v>
      </c>
      <c r="F1639" s="33">
        <v>-10</v>
      </c>
      <c r="G1639" s="34">
        <f>IFERROR(IF(F1639&gt;=0,D1639*E1639*(1+F1639/100),ABS(D1639*E1639/F1639)),"")</f>
        <v>226.09860000000003</v>
      </c>
      <c r="H1639" s="43">
        <f>IFERROR(G1639*E1630,"")</f>
        <v>0</v>
      </c>
    </row>
    <row r="1640" spans="1:8" ht="12.75" customHeight="1">
      <c r="A1640" s="28"/>
      <c r="B1640" s="29" t="s">
        <v>3626</v>
      </c>
      <c r="C1640" s="30" t="str">
        <f>IFERROR(_xlfn.XLOOKUP(B1640,Equipo[DESCRIPCION],Equipo[UND],,0),"")</f>
        <v>%MO</v>
      </c>
      <c r="D1640" s="31">
        <v>0.05</v>
      </c>
      <c r="E1640" s="32">
        <f>IF(C1640="%MO",G1645,IFERROR(_xlfn.XLOOKUP($B1640,Equipo[DESCRIPCION],Equipo[VALOR],,0),""))</f>
        <v>301688.09429318184</v>
      </c>
      <c r="F1640" s="33"/>
      <c r="G1640" s="34">
        <f>IFERROR(IF(F1640&gt;=0,D1640*E1640*(1+F1640/100),ABS(D1640*E1640/F1640)),"")</f>
        <v>15084.404714659093</v>
      </c>
      <c r="H1640" s="43">
        <f>IFERROR(G1640*E1630,"")</f>
        <v>0</v>
      </c>
    </row>
    <row r="1641" spans="1:8" ht="12.75" customHeight="1">
      <c r="A1641" s="28"/>
      <c r="B1641" s="29"/>
      <c r="C1641" s="30" t="str">
        <f>IFERROR(_xlfn.XLOOKUP(B1641,Equipo[DESCRIPCION],Equipo[UND],,0),"")</f>
        <v/>
      </c>
      <c r="D1641" s="31"/>
      <c r="E1641" s="32" t="str">
        <f>IF(C1641="%MO",G1645,IFERROR(_xlfn.XLOOKUP($B1641,Equipo[DESCRIPCION],Equipo[VALOR],,0),""))</f>
        <v/>
      </c>
      <c r="F1641" s="33"/>
      <c r="G1641" s="34" t="str">
        <f>IFERROR(IF(F1641&gt;=0,D1641*E1641*(1+F1641/100),ABS(D1641*E1641/F1641)),"")</f>
        <v/>
      </c>
      <c r="H1641" s="43" t="str">
        <f>IFERROR(G1641*E1630,"")</f>
        <v/>
      </c>
    </row>
    <row r="1642" spans="1:8" ht="12.75" customHeight="1">
      <c r="A1642" s="21"/>
      <c r="B1642" s="22" t="s">
        <v>2533</v>
      </c>
      <c r="C1642" s="23"/>
      <c r="D1642" s="24"/>
      <c r="E1642" s="25"/>
      <c r="F1642" s="26"/>
      <c r="G1642" s="27">
        <f>SUM(G1643:G1644)</f>
        <v>0</v>
      </c>
      <c r="H1642" s="44">
        <f>G1642*E1630</f>
        <v>0</v>
      </c>
    </row>
    <row r="1643" spans="1:8" ht="12.75" customHeight="1">
      <c r="A1643" s="28"/>
      <c r="B1643" s="29"/>
      <c r="C1643" s="30" t="str">
        <f>IFERROR(_xlfn.XLOOKUP(B1643,Transporte[DESCRIPCION],Transporte[UND],,0),"")</f>
        <v/>
      </c>
      <c r="D1643" s="31"/>
      <c r="E1643" s="32" t="str">
        <f>IFERROR(_xlfn.XLOOKUP($B1643,Transporte[DESCRIPCION],Transporte[VALOR],,0),"")</f>
        <v/>
      </c>
      <c r="F1643" s="33"/>
      <c r="G1643" s="34" t="str">
        <f>IFERROR(IF(F1643&gt;=0,D1643*E1643*(1+F1643/100),ABS(D1643*E1643/F1643)),"")</f>
        <v/>
      </c>
      <c r="H1643" s="43" t="str">
        <f>IFERROR(G1643*E1630,"")</f>
        <v/>
      </c>
    </row>
    <row r="1644" spans="1:8" ht="12.75" customHeight="1">
      <c r="A1644" s="28"/>
      <c r="B1644" s="29"/>
      <c r="C1644" s="30" t="str">
        <f>IFERROR(_xlfn.XLOOKUP(B1644,Transporte[DESCRIPCION],Transporte[UND],,0),"")</f>
        <v/>
      </c>
      <c r="D1644" s="31"/>
      <c r="E1644" s="32" t="str">
        <f>IFERROR(_xlfn.XLOOKUP($B1644,Transporte[DESCRIPCION],Transporte[VALOR],,0),"")</f>
        <v/>
      </c>
      <c r="F1644" s="33"/>
      <c r="G1644" s="34" t="str">
        <f>IFERROR(IF(F1644&gt;=0,D1644*E1644*(1+F1644/100),ABS(D1644*E1644/F1644)),"")</f>
        <v/>
      </c>
      <c r="H1644" s="43" t="str">
        <f>IFERROR(G1644*E1630,"")</f>
        <v/>
      </c>
    </row>
    <row r="1645" spans="1:8" ht="12.75" customHeight="1">
      <c r="A1645" s="21"/>
      <c r="B1645" s="22" t="s">
        <v>3732</v>
      </c>
      <c r="C1645" s="23"/>
      <c r="D1645" s="24"/>
      <c r="E1645" s="25"/>
      <c r="F1645" s="26"/>
      <c r="G1645" s="27">
        <f>SUM(G1646:G1648)</f>
        <v>301688.09429318184</v>
      </c>
      <c r="H1645" s="44">
        <f>G1645*E1630</f>
        <v>0</v>
      </c>
    </row>
    <row r="1646" spans="1:8" ht="12.75" customHeight="1">
      <c r="A1646" s="28"/>
      <c r="B1646" s="29" t="s">
        <v>3713</v>
      </c>
      <c r="C1646" s="30" t="str">
        <f>IFERROR(_xlfn.XLOOKUP(B1646,MObra[DESCRIPCION],MObra[UN],,0),"")</f>
        <v>día</v>
      </c>
      <c r="D1646" s="31">
        <v>1</v>
      </c>
      <c r="E1646" s="32">
        <f>IFERROR(_xlfn.XLOOKUP($B1646,MObra[DESCRIPCION],MObra[VALOR UNIT],,0),"")</f>
        <v>663713.80744500016</v>
      </c>
      <c r="F1646" s="33">
        <v>-2.2000000000000002</v>
      </c>
      <c r="G1646" s="34">
        <f>IFERROR(IF(F1646&gt;=0,D1646*E1646*(1+F1646/100),ABS(D1646*E1646/F1646)),"")</f>
        <v>301688.09429318184</v>
      </c>
      <c r="H1646" s="43">
        <f>IFERROR(G1646*E1630,"")</f>
        <v>0</v>
      </c>
    </row>
    <row r="1647" spans="1:8" ht="12.75" customHeight="1">
      <c r="A1647" s="28"/>
      <c r="B1647" s="29"/>
      <c r="C1647" s="30" t="str">
        <f t="array" ref="C1647">IFERROR(_xlfn.XLOOKUP(B1647,MObra[[#All],[DESCRIPCION]],MObra[[#All],[UN]],,0),"")</f>
        <v/>
      </c>
      <c r="D1647" s="31"/>
      <c r="E1647" s="32" t="str">
        <f>IFERROR(_xlfn.XLOOKUP($B1647,MObra[DESCRIPCION],MObra[VALOR UNIT],,0),"")</f>
        <v/>
      </c>
      <c r="F1647" s="33"/>
      <c r="G1647" s="34" t="str">
        <f>IFERROR(IF(F1647&gt;=0,D1647*E1647*(1+F1647/100),ABS(D1647*E1647/F1647)),"")</f>
        <v/>
      </c>
      <c r="H1647" s="43" t="str">
        <f>IFERROR(G1647*E1630,"")</f>
        <v/>
      </c>
    </row>
    <row r="1648" spans="1:8" ht="12.75" customHeight="1" thickBot="1">
      <c r="A1648" s="35"/>
      <c r="B1648" s="36"/>
      <c r="C1648" s="37" t="str">
        <f t="array" ref="C1648">IFERROR(_xlfn.XLOOKUP(B1648,MObra[[#All],[DESCRIPCION]],MObra[[#All],[UN]],,0),"")</f>
        <v/>
      </c>
      <c r="D1648" s="38"/>
      <c r="E1648" s="39" t="str">
        <f>IFERROR(_xlfn.XLOOKUP($B1648,MObra[DESCRIPCION],MObra[VALOR UNIT],,0),"")</f>
        <v/>
      </c>
      <c r="F1648" s="40"/>
      <c r="G1648" s="41" t="str">
        <f>IFERROR(IF(F1648&gt;=0,D1648*E1648*(1+F1648/100),ABS(D1648*E1648/F1648)),"")</f>
        <v/>
      </c>
      <c r="H1648" s="42" t="str">
        <f>IFERROR(G1648*E1630,"")</f>
        <v/>
      </c>
    </row>
    <row r="1649" spans="1:11" ht="12.75" customHeight="1" thickTop="1" thickBot="1"/>
    <row r="1650" spans="1:11" ht="12.75" customHeight="1" thickTop="1" thickBot="1">
      <c r="A1650" s="6" t="s">
        <v>473</v>
      </c>
      <c r="B1650" s="7" t="str">
        <f>VLOOKUP($A1650,Presupuesto!$A:$D,2,FALSE())</f>
        <v>Placa maciza concreto 20.7 Mpa E=0.10m</v>
      </c>
      <c r="C1650" s="8" t="str">
        <f>VLOOKUP($A1650,Presupuesto!$A:$D,3,FALSE())</f>
        <v>M2</v>
      </c>
      <c r="D1650" s="9"/>
      <c r="E1650" s="10">
        <f>VLOOKUP($A1650,Presupuesto!$A:$D,4,FALSE())</f>
        <v>0</v>
      </c>
      <c r="F1650" s="11" t="s">
        <v>2589</v>
      </c>
      <c r="G1650" s="12">
        <f>SUM(G1652:G1671)/2</f>
        <v>224352.02549465207</v>
      </c>
      <c r="H1650" s="13">
        <f>ROUND(SUM(H1652:H1671),0)/2</f>
        <v>0</v>
      </c>
      <c r="I1650" s="10">
        <f>VLOOKUP(A1650,Presupuesto!$A:$F,6,0)</f>
        <v>0</v>
      </c>
      <c r="J1650" s="10">
        <f>+H1650-I1650</f>
        <v>0</v>
      </c>
      <c r="K1650" s="46">
        <f>+H1650-G1650*E1650</f>
        <v>0</v>
      </c>
    </row>
    <row r="1651" spans="1:11" ht="12.75" customHeight="1" thickTop="1">
      <c r="A1651" s="14"/>
      <c r="B1651" s="15" t="s">
        <v>2586</v>
      </c>
      <c r="C1651" s="15" t="s">
        <v>5</v>
      </c>
      <c r="D1651" s="16" t="s">
        <v>6</v>
      </c>
      <c r="E1651" s="17" t="s">
        <v>7</v>
      </c>
      <c r="F1651" s="18" t="s">
        <v>3728</v>
      </c>
      <c r="G1651" s="19" t="s">
        <v>3729</v>
      </c>
      <c r="H1651" s="20" t="s">
        <v>3797</v>
      </c>
    </row>
    <row r="1652" spans="1:11" ht="12.75" customHeight="1">
      <c r="A1652" s="21"/>
      <c r="B1652" s="22" t="s">
        <v>3730</v>
      </c>
      <c r="C1652" s="23"/>
      <c r="D1652" s="24"/>
      <c r="E1652" s="25"/>
      <c r="F1652" s="26"/>
      <c r="G1652" s="27">
        <f>SUM(G1653:G1657)</f>
        <v>92036.874377902059</v>
      </c>
      <c r="H1652" s="27">
        <f>IFERROR(G1652*E1650,"")</f>
        <v>0</v>
      </c>
    </row>
    <row r="1653" spans="1:11" ht="12.75" customHeight="1">
      <c r="A1653" s="28"/>
      <c r="B1653" s="29" t="s">
        <v>3239</v>
      </c>
      <c r="C1653" s="30" t="str">
        <f>IFERROR(_xlfn.XLOOKUP(B1653,Insumo[DESCRIPCION],Insumo[UND],,0),"")</f>
        <v>M3</v>
      </c>
      <c r="D1653" s="31">
        <v>0.1</v>
      </c>
      <c r="E1653" s="32">
        <f>IFERROR(_xlfn.XLOOKUP($B1653,Insumo[DESCRIPCION],Insumo[VALOR],,0),"")</f>
        <v>521159.50227762427</v>
      </c>
      <c r="F1653" s="33">
        <v>5</v>
      </c>
      <c r="G1653" s="34">
        <f>IFERROR(IF(F1653&gt;=0,D1653*E1653*(1+F1653/100),ABS(D1653*E1653/F1653)),"")</f>
        <v>54721.747739150553</v>
      </c>
      <c r="H1653" s="43">
        <f>IFERROR(G1653*E1650,"")</f>
        <v>0</v>
      </c>
    </row>
    <row r="1654" spans="1:11" ht="12.75" customHeight="1">
      <c r="A1654" s="28"/>
      <c r="B1654" s="29" t="s">
        <v>2957</v>
      </c>
      <c r="C1654" s="30" t="str">
        <f>IFERROR(_xlfn.XLOOKUP(B1654,Insumo[DESCRIPCION],Insumo[UND],,0),"")</f>
        <v>M2</v>
      </c>
      <c r="D1654" s="31">
        <v>0.2</v>
      </c>
      <c r="E1654" s="32">
        <f>IFERROR(_xlfn.XLOOKUP($B1654,Insumo[DESCRIPCION],Insumo[VALOR],,0),"")</f>
        <v>149544.7581937575</v>
      </c>
      <c r="F1654" s="33"/>
      <c r="G1654" s="34">
        <f>IFERROR(IF(F1654&gt;=0,D1654*E1654*(1+F1654/100),ABS(D1654*E1654/F1654)),"")</f>
        <v>29908.951638751503</v>
      </c>
      <c r="H1654" s="43">
        <f>IFERROR(G1654*E1650,"")</f>
        <v>0</v>
      </c>
    </row>
    <row r="1655" spans="1:11" ht="12.75" customHeight="1">
      <c r="A1655" s="28"/>
      <c r="B1655" s="29" t="s">
        <v>2709</v>
      </c>
      <c r="C1655" s="30" t="str">
        <f>IFERROR(_xlfn.XLOOKUP(B1655,Insumo[DESCRIPCION],Insumo[UND],,0),"")</f>
        <v>Kg</v>
      </c>
      <c r="D1655" s="31">
        <v>0.5</v>
      </c>
      <c r="E1655" s="32">
        <f>IFERROR(_xlfn.XLOOKUP($B1655,Insumo[DESCRIPCION],Insumo[VALOR],,0),"")</f>
        <v>14812.35</v>
      </c>
      <c r="F1655" s="33"/>
      <c r="G1655" s="34">
        <f>IFERROR(IF(F1655&gt;=0,D1655*E1655*(1+F1655/100),ABS(D1655*E1655/F1655)),"")</f>
        <v>7406.1750000000002</v>
      </c>
      <c r="H1655" s="43">
        <f>IFERROR(G1655*E1650,"")</f>
        <v>0</v>
      </c>
    </row>
    <row r="1656" spans="1:11" ht="12.75" customHeight="1">
      <c r="A1656" s="28"/>
      <c r="B1656" s="29"/>
      <c r="C1656" s="30" t="str">
        <f>IFERROR(_xlfn.XLOOKUP(B1656,Insumo[DESCRIPCION],Insumo[UND],,0),"")</f>
        <v/>
      </c>
      <c r="D1656" s="31"/>
      <c r="E1656" s="32" t="str">
        <f>IFERROR(_xlfn.XLOOKUP($B1656,Insumo[DESCRIPCION],Insumo[VALOR],,0),"")</f>
        <v/>
      </c>
      <c r="F1656" s="33"/>
      <c r="G1656" s="34" t="str">
        <f>IFERROR(IF(F1656&gt;=0,D1656*E1656*(1+F1656/100),ABS(D1656*E1656/F1656)),"")</f>
        <v/>
      </c>
      <c r="H1656" s="43" t="str">
        <f>IFERROR(G1656*E1650,"")</f>
        <v/>
      </c>
    </row>
    <row r="1657" spans="1:11" ht="12.75" customHeight="1">
      <c r="A1657" s="28"/>
      <c r="B1657" s="29"/>
      <c r="C1657" s="30" t="str">
        <f>IFERROR(_xlfn.XLOOKUP(B1657,Insumo[DESCRIPCION],Insumo[UND],,0),"")</f>
        <v/>
      </c>
      <c r="D1657" s="31"/>
      <c r="E1657" s="32" t="str">
        <f>IFERROR(_xlfn.XLOOKUP($B1657,Insumo[DESCRIPCION],Insumo[VALOR],,0),"")</f>
        <v/>
      </c>
      <c r="F1657" s="33"/>
      <c r="G1657" s="34" t="str">
        <f>IFERROR(IF(F1657&gt;=0,D1657*E1657*(1+F1657/100),ABS(D1657*E1657/F1657)),"")</f>
        <v/>
      </c>
      <c r="H1657" s="43" t="str">
        <f>IFERROR(G1657*E1650,"")</f>
        <v/>
      </c>
    </row>
    <row r="1658" spans="1:11" ht="12.75" customHeight="1">
      <c r="A1658" s="21"/>
      <c r="B1658" s="22" t="s">
        <v>3731</v>
      </c>
      <c r="C1658" s="23"/>
      <c r="D1658" s="24"/>
      <c r="E1658" s="25"/>
      <c r="F1658" s="26"/>
      <c r="G1658" s="27">
        <f>SUM(G1659:G1664)</f>
        <v>37498.892910321432</v>
      </c>
      <c r="H1658" s="44">
        <f>G1658*E1650</f>
        <v>0</v>
      </c>
    </row>
    <row r="1659" spans="1:11" ht="12.75" customHeight="1">
      <c r="A1659" s="28"/>
      <c r="B1659" s="29" t="s">
        <v>3657</v>
      </c>
      <c r="C1659" s="30" t="str">
        <f>IFERROR(_xlfn.XLOOKUP(B1659,Equipo[DESCRIPCION],Equipo[UND],,0),"")</f>
        <v>Día</v>
      </c>
      <c r="D1659" s="31">
        <v>1</v>
      </c>
      <c r="E1659" s="32">
        <f>IF(C1659="%MO",G1668,IFERROR(_xlfn.XLOOKUP($B1659,Equipo[DESCRIPCION],Equipo[VALOR],,0),""))</f>
        <v>56524.65</v>
      </c>
      <c r="F1659" s="33">
        <v>-10</v>
      </c>
      <c r="G1659" s="34">
        <f t="shared" ref="G1659:G1664" si="0">IFERROR(IF(F1659&gt;=0,D1659*E1659*(1+F1659/100),ABS(D1659*E1659/F1659)),"")</f>
        <v>5652.4650000000001</v>
      </c>
      <c r="H1659" s="43">
        <f>IFERROR(G1659*E1650,"")</f>
        <v>0</v>
      </c>
    </row>
    <row r="1660" spans="1:11" ht="12.75" customHeight="1">
      <c r="A1660" s="28"/>
      <c r="B1660" s="29" t="s">
        <v>3652</v>
      </c>
      <c r="C1660" s="30" t="str">
        <f>IFERROR(_xlfn.XLOOKUP(B1660,Equipo[DESCRIPCION],Equipo[UND],,0),"")</f>
        <v>Día</v>
      </c>
      <c r="D1660" s="31">
        <v>1</v>
      </c>
      <c r="E1660" s="32">
        <f>IF(C1660="%MO",G1669,IFERROR(_xlfn.XLOOKUP($B1660,Equipo[DESCRIPCION],Equipo[VALOR],,0),""))</f>
        <v>635.25</v>
      </c>
      <c r="F1660" s="33">
        <v>-0.1</v>
      </c>
      <c r="G1660" s="34">
        <f t="shared" si="0"/>
        <v>6352.5</v>
      </c>
      <c r="H1660" s="43">
        <f>IFERROR(G1660*E1650,"")</f>
        <v>0</v>
      </c>
    </row>
    <row r="1661" spans="1:11" ht="12.75" customHeight="1">
      <c r="A1661" s="28"/>
      <c r="B1661" s="29" t="s">
        <v>3591</v>
      </c>
      <c r="C1661" s="30" t="str">
        <f>IFERROR(_xlfn.XLOOKUP(B1661,Equipo[DESCRIPCION],Equipo[UND],,0),"")</f>
        <v>Día</v>
      </c>
      <c r="D1661" s="31">
        <v>1</v>
      </c>
      <c r="E1661" s="32">
        <f>IF(C1661="%MO",G1670,IFERROR(_xlfn.XLOOKUP($B1661,Equipo[DESCRIPCION],Equipo[VALOR],,0),""))</f>
        <v>635.25</v>
      </c>
      <c r="F1661" s="33">
        <v>-0.1</v>
      </c>
      <c r="G1661" s="34">
        <f t="shared" si="0"/>
        <v>6352.5</v>
      </c>
      <c r="H1661" s="43">
        <f>IFERROR(G1661*E1650,"")</f>
        <v>0</v>
      </c>
    </row>
    <row r="1662" spans="1:11" ht="12.75" customHeight="1">
      <c r="A1662" s="28"/>
      <c r="B1662" s="29" t="s">
        <v>3651</v>
      </c>
      <c r="C1662" s="30" t="str">
        <f>IFERROR(_xlfn.XLOOKUP(B1662,Equipo[DESCRIPCION],Equipo[UND],,0),"")</f>
        <v>Día</v>
      </c>
      <c r="D1662" s="31">
        <v>1</v>
      </c>
      <c r="E1662" s="32">
        <f>IF(C1662="%MO",G1671,IFERROR(_xlfn.XLOOKUP($B1662,Equipo[DESCRIPCION],Equipo[VALOR],,0),""))</f>
        <v>981.75</v>
      </c>
      <c r="F1662" s="33">
        <v>-0.14000000000000001</v>
      </c>
      <c r="G1662" s="34">
        <f t="shared" si="0"/>
        <v>7012.4999999999991</v>
      </c>
      <c r="H1662" s="43">
        <f>IFERROR(G1662*E1650,"")</f>
        <v>0</v>
      </c>
    </row>
    <row r="1663" spans="1:11" ht="12.75" customHeight="1">
      <c r="A1663" s="28"/>
      <c r="B1663" s="29" t="s">
        <v>3640</v>
      </c>
      <c r="C1663" s="30" t="str">
        <f>IFERROR(_xlfn.XLOOKUP(B1663,Equipo[DESCRIPCION],Equipo[UND],,0),"")</f>
        <v>Día</v>
      </c>
      <c r="D1663" s="31">
        <v>1</v>
      </c>
      <c r="E1663" s="32">
        <f>IF(C1663="%MO",G1672,IFERROR(_xlfn.XLOOKUP($B1663,Equipo[DESCRIPCION],Equipo[VALOR],,0),""))</f>
        <v>73881.150000000009</v>
      </c>
      <c r="F1663" s="33">
        <v>-10</v>
      </c>
      <c r="G1663" s="34">
        <f t="shared" si="0"/>
        <v>7388.1150000000007</v>
      </c>
      <c r="H1663" s="43">
        <f>IFERROR(G1663*E1650,"")</f>
        <v>0</v>
      </c>
    </row>
    <row r="1664" spans="1:11" ht="12.75" customHeight="1">
      <c r="A1664" s="28"/>
      <c r="B1664" s="29" t="s">
        <v>3626</v>
      </c>
      <c r="C1664" s="30" t="str">
        <f>IFERROR(_xlfn.XLOOKUP(B1664,Equipo[DESCRIPCION],Equipo[UND],,0),"")</f>
        <v>%MO</v>
      </c>
      <c r="D1664" s="31">
        <v>0.05</v>
      </c>
      <c r="E1664" s="32">
        <f>IF(C1664="%MO",G1668,IFERROR(_xlfn.XLOOKUP($B1664,Equipo[DESCRIPCION],Equipo[VALOR],,0),""))</f>
        <v>94816.258206428596</v>
      </c>
      <c r="F1664" s="33"/>
      <c r="G1664" s="34">
        <f t="shared" si="0"/>
        <v>4740.8129103214296</v>
      </c>
      <c r="H1664" s="43">
        <f>IFERROR(G1664*E1650,"")</f>
        <v>0</v>
      </c>
    </row>
    <row r="1665" spans="1:11" ht="12.75" customHeight="1">
      <c r="A1665" s="21"/>
      <c r="B1665" s="22" t="s">
        <v>2533</v>
      </c>
      <c r="C1665" s="23"/>
      <c r="D1665" s="24"/>
      <c r="E1665" s="25"/>
      <c r="F1665" s="26"/>
      <c r="G1665" s="27">
        <f>SUM(G1666:G1667)</f>
        <v>0</v>
      </c>
      <c r="H1665" s="44">
        <f>G1665*E1650</f>
        <v>0</v>
      </c>
    </row>
    <row r="1666" spans="1:11" ht="12.75" customHeight="1">
      <c r="A1666" s="28"/>
      <c r="B1666" s="29"/>
      <c r="C1666" s="30" t="str">
        <f>IFERROR(_xlfn.XLOOKUP(B1666,Transporte[DESCRIPCION],Transporte[UND],,0),"")</f>
        <v/>
      </c>
      <c r="D1666" s="31"/>
      <c r="E1666" s="32" t="str">
        <f>IFERROR(_xlfn.XLOOKUP($B1666,Transporte[DESCRIPCION],Transporte[VALOR],,0),"")</f>
        <v/>
      </c>
      <c r="F1666" s="33"/>
      <c r="G1666" s="34" t="str">
        <f>IFERROR(IF(F1666&gt;=0,D1666*E1666*(1+F1666/100),ABS(D1666*E1666/F1666)),"")</f>
        <v/>
      </c>
      <c r="H1666" s="43" t="str">
        <f>IFERROR(G1666*E1650,"")</f>
        <v/>
      </c>
    </row>
    <row r="1667" spans="1:11" ht="12.75" customHeight="1">
      <c r="A1667" s="28"/>
      <c r="B1667" s="29"/>
      <c r="C1667" s="30" t="str">
        <f>IFERROR(_xlfn.XLOOKUP(B1667,Transporte[DESCRIPCION],Transporte[UND],,0),"")</f>
        <v/>
      </c>
      <c r="D1667" s="31"/>
      <c r="E1667" s="32" t="str">
        <f>IFERROR(_xlfn.XLOOKUP($B1667,Transporte[DESCRIPCION],Transporte[VALOR],,0),"")</f>
        <v/>
      </c>
      <c r="F1667" s="33"/>
      <c r="G1667" s="34" t="str">
        <f>IFERROR(IF(F1667&gt;=0,D1667*E1667*(1+F1667/100),ABS(D1667*E1667/F1667)),"")</f>
        <v/>
      </c>
      <c r="H1667" s="43" t="str">
        <f>IFERROR(G1667*E1650,"")</f>
        <v/>
      </c>
    </row>
    <row r="1668" spans="1:11" ht="12.75" customHeight="1">
      <c r="A1668" s="21"/>
      <c r="B1668" s="22" t="s">
        <v>3732</v>
      </c>
      <c r="C1668" s="23"/>
      <c r="D1668" s="24"/>
      <c r="E1668" s="25"/>
      <c r="F1668" s="26"/>
      <c r="G1668" s="27">
        <f>SUM(G1669:G1671)</f>
        <v>94816.258206428596</v>
      </c>
      <c r="H1668" s="44">
        <f>G1668*E1650</f>
        <v>0</v>
      </c>
    </row>
    <row r="1669" spans="1:11" ht="12.75" customHeight="1">
      <c r="A1669" s="28"/>
      <c r="B1669" s="29" t="s">
        <v>3713</v>
      </c>
      <c r="C1669" s="30" t="str">
        <f>IFERROR(_xlfn.XLOOKUP(B1669,MObra[DESCRIPCION],MObra[UN],,0),"")</f>
        <v>día</v>
      </c>
      <c r="D1669" s="31">
        <v>1</v>
      </c>
      <c r="E1669" s="32">
        <f>IFERROR(_xlfn.XLOOKUP($B1669,MObra[DESCRIPCION],MObra[VALOR UNIT],,0),"")</f>
        <v>663713.80744500016</v>
      </c>
      <c r="F1669" s="33">
        <v>-7</v>
      </c>
      <c r="G1669" s="34">
        <f>IFERROR(IF(F1669&gt;=0,D1669*E1669*(1+F1669/100),ABS(D1669*E1669/F1669)),"")</f>
        <v>94816.258206428596</v>
      </c>
      <c r="H1669" s="43">
        <f>IFERROR(G1669*E1650,"")</f>
        <v>0</v>
      </c>
    </row>
    <row r="1670" spans="1:11" ht="12.75" customHeight="1">
      <c r="A1670" s="28"/>
      <c r="B1670" s="29"/>
      <c r="C1670" s="30" t="str">
        <f t="array" ref="C1670">IFERROR(_xlfn.XLOOKUP(B1670,MObra[[#All],[DESCRIPCION]],MObra[[#All],[UN]],,0),"")</f>
        <v/>
      </c>
      <c r="D1670" s="31"/>
      <c r="E1670" s="32" t="str">
        <f>IFERROR(_xlfn.XLOOKUP($B1670,MObra[DESCRIPCION],MObra[VALOR UNIT],,0),"")</f>
        <v/>
      </c>
      <c r="F1670" s="33"/>
      <c r="G1670" s="34" t="str">
        <f>IFERROR(IF(F1670&gt;=0,D1670*E1670*(1+F1670/100),ABS(D1670*E1670/F1670)),"")</f>
        <v/>
      </c>
      <c r="H1670" s="43" t="str">
        <f>IFERROR(G1670*E1650,"")</f>
        <v/>
      </c>
    </row>
    <row r="1671" spans="1:11" ht="12.75" customHeight="1" thickBot="1">
      <c r="A1671" s="35"/>
      <c r="B1671" s="36"/>
      <c r="C1671" s="37" t="str">
        <f t="array" ref="C1671">IFERROR(_xlfn.XLOOKUP(B1671,MObra[[#All],[DESCRIPCION]],MObra[[#All],[UN]],,0),"")</f>
        <v/>
      </c>
      <c r="D1671" s="38"/>
      <c r="E1671" s="39" t="str">
        <f>IFERROR(_xlfn.XLOOKUP($B1671,MObra[DESCRIPCION],MObra[VALOR UNIT],,0),"")</f>
        <v/>
      </c>
      <c r="F1671" s="40"/>
      <c r="G1671" s="41" t="str">
        <f>IFERROR(IF(F1671&gt;=0,D1671*E1671*(1+F1671/100),ABS(D1671*E1671/F1671)),"")</f>
        <v/>
      </c>
      <c r="H1671" s="42" t="str">
        <f>IFERROR(G1671*E1650,"")</f>
        <v/>
      </c>
    </row>
    <row r="1672" spans="1:11" ht="12.75" customHeight="1" thickTop="1" thickBot="1"/>
    <row r="1673" spans="1:11" ht="12.75" customHeight="1" thickTop="1" thickBot="1">
      <c r="A1673" s="6" t="s">
        <v>475</v>
      </c>
      <c r="B1673" s="7" t="str">
        <f>VLOOKUP($A1673,Presupuesto!$A:$D,2,FALSE())</f>
        <v>Placa maciza concreto 20.7 Mpa E=0.10m premezclado</v>
      </c>
      <c r="C1673" s="8" t="str">
        <f>VLOOKUP($A1673,Presupuesto!$A:$D,3,FALSE())</f>
        <v>M2</v>
      </c>
      <c r="D1673" s="9"/>
      <c r="E1673" s="10">
        <f>VLOOKUP($A1673,Presupuesto!$A:$D,4,FALSE())</f>
        <v>0</v>
      </c>
      <c r="F1673" s="11" t="s">
        <v>2589</v>
      </c>
      <c r="G1673" s="12">
        <f>SUM(G1675:G1694)/2</f>
        <v>245998.01150550158</v>
      </c>
      <c r="H1673" s="13">
        <f>ROUND(SUM(H1675:H1694),0)/2</f>
        <v>0</v>
      </c>
      <c r="I1673" s="10">
        <f>VLOOKUP(A1673,Presupuesto!$A:$F,6,0)</f>
        <v>0</v>
      </c>
      <c r="J1673" s="10">
        <f>+H1673-I1673</f>
        <v>0</v>
      </c>
      <c r="K1673" s="46">
        <f>+H1673-G1673*E1673</f>
        <v>0</v>
      </c>
    </row>
    <row r="1674" spans="1:11" ht="12.75" customHeight="1" thickTop="1">
      <c r="A1674" s="14"/>
      <c r="B1674" s="15" t="s">
        <v>2586</v>
      </c>
      <c r="C1674" s="15" t="s">
        <v>5</v>
      </c>
      <c r="D1674" s="16" t="s">
        <v>6</v>
      </c>
      <c r="E1674" s="17" t="s">
        <v>7</v>
      </c>
      <c r="F1674" s="18" t="s">
        <v>3728</v>
      </c>
      <c r="G1674" s="19" t="s">
        <v>3729</v>
      </c>
      <c r="H1674" s="20" t="s">
        <v>3797</v>
      </c>
    </row>
    <row r="1675" spans="1:11" ht="12.75" customHeight="1">
      <c r="A1675" s="21"/>
      <c r="B1675" s="22" t="s">
        <v>3730</v>
      </c>
      <c r="C1675" s="23"/>
      <c r="D1675" s="24"/>
      <c r="E1675" s="25"/>
      <c r="F1675" s="26"/>
      <c r="G1675" s="27">
        <f>SUM(G1676:G1680)</f>
        <v>112780.70038875152</v>
      </c>
      <c r="H1675" s="27">
        <f>IFERROR(G1675*E1673,"")</f>
        <v>0</v>
      </c>
    </row>
    <row r="1676" spans="1:11" ht="12.75" customHeight="1">
      <c r="A1676" s="28"/>
      <c r="B1676" s="29" t="s">
        <v>2868</v>
      </c>
      <c r="C1676" s="30" t="str">
        <f>IFERROR(_xlfn.XLOOKUP(B1676,Insumo[DESCRIPCION],Insumo[UND],,0),"")</f>
        <v>M3</v>
      </c>
      <c r="D1676" s="31">
        <v>0.1</v>
      </c>
      <c r="E1676" s="32">
        <f>IFERROR(_xlfn.XLOOKUP($B1676,Insumo[DESCRIPCION],Insumo[VALOR],,0),"")</f>
        <v>718719.75</v>
      </c>
      <c r="F1676" s="33">
        <v>5</v>
      </c>
      <c r="G1676" s="34">
        <f>IFERROR(IF(F1676&gt;=0,D1676*E1676*(1+F1676/100),ABS(D1676*E1676/F1676)),"")</f>
        <v>75465.57375000001</v>
      </c>
      <c r="H1676" s="43">
        <f>IFERROR(G1676*E1673,"")</f>
        <v>0</v>
      </c>
    </row>
    <row r="1677" spans="1:11" ht="12.75" customHeight="1">
      <c r="A1677" s="28"/>
      <c r="B1677" s="29" t="s">
        <v>2957</v>
      </c>
      <c r="C1677" s="30" t="str">
        <f>IFERROR(_xlfn.XLOOKUP(B1677,Insumo[DESCRIPCION],Insumo[UND],,0),"")</f>
        <v>M2</v>
      </c>
      <c r="D1677" s="31">
        <v>0.2</v>
      </c>
      <c r="E1677" s="32">
        <f>IFERROR(_xlfn.XLOOKUP($B1677,Insumo[DESCRIPCION],Insumo[VALOR],,0),"")</f>
        <v>149544.7581937575</v>
      </c>
      <c r="F1677" s="33"/>
      <c r="G1677" s="34">
        <f>IFERROR(IF(F1677&gt;=0,D1677*E1677*(1+F1677/100),ABS(D1677*E1677/F1677)),"")</f>
        <v>29908.951638751503</v>
      </c>
      <c r="H1677" s="43">
        <f>IFERROR(G1677*E1673,"")</f>
        <v>0</v>
      </c>
    </row>
    <row r="1678" spans="1:11" ht="12.75" customHeight="1">
      <c r="A1678" s="28"/>
      <c r="B1678" s="29" t="s">
        <v>2709</v>
      </c>
      <c r="C1678" s="30" t="str">
        <f>IFERROR(_xlfn.XLOOKUP(B1678,Insumo[DESCRIPCION],Insumo[UND],,0),"")</f>
        <v>Kg</v>
      </c>
      <c r="D1678" s="31">
        <v>0.5</v>
      </c>
      <c r="E1678" s="32">
        <f>IFERROR(_xlfn.XLOOKUP($B1678,Insumo[DESCRIPCION],Insumo[VALOR],,0),"")</f>
        <v>14812.35</v>
      </c>
      <c r="F1678" s="33"/>
      <c r="G1678" s="34">
        <f>IFERROR(IF(F1678&gt;=0,D1678*E1678*(1+F1678/100),ABS(D1678*E1678/F1678)),"")</f>
        <v>7406.1750000000002</v>
      </c>
      <c r="H1678" s="43">
        <f>IFERROR(G1678*E1673,"")</f>
        <v>0</v>
      </c>
    </row>
    <row r="1679" spans="1:11" ht="12.75" customHeight="1">
      <c r="A1679" s="28"/>
      <c r="B1679" s="29"/>
      <c r="C1679" s="30" t="str">
        <f>IFERROR(_xlfn.XLOOKUP(B1679,Insumo[DESCRIPCION],Insumo[UND],,0),"")</f>
        <v/>
      </c>
      <c r="D1679" s="31"/>
      <c r="E1679" s="32" t="str">
        <f>IFERROR(_xlfn.XLOOKUP($B1679,Insumo[DESCRIPCION],Insumo[VALOR],,0),"")</f>
        <v/>
      </c>
      <c r="F1679" s="33"/>
      <c r="G1679" s="34" t="str">
        <f>IFERROR(IF(F1679&gt;=0,D1679*E1679*(1+F1679/100),ABS(D1679*E1679/F1679)),"")</f>
        <v/>
      </c>
      <c r="H1679" s="43" t="str">
        <f>IFERROR(G1679*E1673,"")</f>
        <v/>
      </c>
    </row>
    <row r="1680" spans="1:11" ht="12.75" customHeight="1">
      <c r="A1680" s="28"/>
      <c r="B1680" s="29"/>
      <c r="C1680" s="30" t="str">
        <f>IFERROR(_xlfn.XLOOKUP(B1680,Insumo[DESCRIPCION],Insumo[UND],,0),"")</f>
        <v/>
      </c>
      <c r="D1680" s="31"/>
      <c r="E1680" s="32" t="str">
        <f>IFERROR(_xlfn.XLOOKUP($B1680,Insumo[DESCRIPCION],Insumo[VALOR],,0),"")</f>
        <v/>
      </c>
      <c r="F1680" s="33"/>
      <c r="G1680" s="34" t="str">
        <f>IFERROR(IF(F1680&gt;=0,D1680*E1680*(1+F1680/100),ABS(D1680*E1680/F1680)),"")</f>
        <v/>
      </c>
      <c r="H1680" s="43" t="str">
        <f>IFERROR(G1680*E1673,"")</f>
        <v/>
      </c>
    </row>
    <row r="1681" spans="1:11" ht="12.75" customHeight="1">
      <c r="A1681" s="21"/>
      <c r="B1681" s="22" t="s">
        <v>3731</v>
      </c>
      <c r="C1681" s="23"/>
      <c r="D1681" s="24"/>
      <c r="E1681" s="25"/>
      <c r="F1681" s="26"/>
      <c r="G1681" s="27">
        <f>SUM(G1682:G1687)</f>
        <v>38401.052910321428</v>
      </c>
      <c r="H1681" s="44">
        <f>G1681*E1673</f>
        <v>0</v>
      </c>
    </row>
    <row r="1682" spans="1:11" ht="12.75" customHeight="1">
      <c r="A1682" s="28"/>
      <c r="B1682" s="29" t="s">
        <v>3657</v>
      </c>
      <c r="C1682" s="30" t="str">
        <f>IFERROR(_xlfn.XLOOKUP(B1682,Equipo[DESCRIPCION],Equipo[UND],,0),"")</f>
        <v>Día</v>
      </c>
      <c r="D1682" s="31">
        <v>1</v>
      </c>
      <c r="E1682" s="32">
        <f>IF(C1682="%MO",G1691,IFERROR(_xlfn.XLOOKUP($B1682,Equipo[DESCRIPCION],Equipo[VALOR],,0),""))</f>
        <v>56524.65</v>
      </c>
      <c r="F1682" s="33">
        <v>-10</v>
      </c>
      <c r="G1682" s="34">
        <f t="shared" ref="G1682:G1687" si="1">IFERROR(IF(F1682&gt;=0,D1682*E1682*(1+F1682/100),ABS(D1682*E1682/F1682)),"")</f>
        <v>5652.4650000000001</v>
      </c>
      <c r="H1682" s="43">
        <f>IFERROR(G1682*E1673,"")</f>
        <v>0</v>
      </c>
    </row>
    <row r="1683" spans="1:11" ht="12.75" customHeight="1">
      <c r="A1683" s="28"/>
      <c r="B1683" s="29" t="s">
        <v>3652</v>
      </c>
      <c r="C1683" s="30" t="str">
        <f>IFERROR(_xlfn.XLOOKUP(B1683,Equipo[DESCRIPCION],Equipo[UND],,0),"")</f>
        <v>Día</v>
      </c>
      <c r="D1683" s="31">
        <v>1</v>
      </c>
      <c r="E1683" s="32">
        <f>IF(C1683="%MO",G1692,IFERROR(_xlfn.XLOOKUP($B1683,Equipo[DESCRIPCION],Equipo[VALOR],,0),""))</f>
        <v>635.25</v>
      </c>
      <c r="F1683" s="33">
        <v>-0.1</v>
      </c>
      <c r="G1683" s="34">
        <f t="shared" si="1"/>
        <v>6352.5</v>
      </c>
      <c r="H1683" s="43">
        <f>IFERROR(G1683*E1673,"")</f>
        <v>0</v>
      </c>
    </row>
    <row r="1684" spans="1:11" ht="12.75" customHeight="1">
      <c r="A1684" s="28"/>
      <c r="B1684" s="29" t="s">
        <v>3591</v>
      </c>
      <c r="C1684" s="30" t="str">
        <f>IFERROR(_xlfn.XLOOKUP(B1684,Equipo[DESCRIPCION],Equipo[UND],,0),"")</f>
        <v>Día</v>
      </c>
      <c r="D1684" s="31">
        <v>1</v>
      </c>
      <c r="E1684" s="32">
        <f>IF(C1684="%MO",G1693,IFERROR(_xlfn.XLOOKUP($B1684,Equipo[DESCRIPCION],Equipo[VALOR],,0),""))</f>
        <v>635.25</v>
      </c>
      <c r="F1684" s="33">
        <v>-0.1</v>
      </c>
      <c r="G1684" s="34">
        <f t="shared" si="1"/>
        <v>6352.5</v>
      </c>
      <c r="H1684" s="43">
        <f>IFERROR(G1684*E1673,"")</f>
        <v>0</v>
      </c>
    </row>
    <row r="1685" spans="1:11" ht="12.75" customHeight="1">
      <c r="A1685" s="28"/>
      <c r="B1685" s="29" t="s">
        <v>3651</v>
      </c>
      <c r="C1685" s="30" t="str">
        <f>IFERROR(_xlfn.XLOOKUP(B1685,Equipo[DESCRIPCION],Equipo[UND],,0),"")</f>
        <v>Día</v>
      </c>
      <c r="D1685" s="31">
        <v>1</v>
      </c>
      <c r="E1685" s="32">
        <f>IF(C1685="%MO",G1694,IFERROR(_xlfn.XLOOKUP($B1685,Equipo[DESCRIPCION],Equipo[VALOR],,0),""))</f>
        <v>981.75</v>
      </c>
      <c r="F1685" s="33">
        <v>-0.14000000000000001</v>
      </c>
      <c r="G1685" s="34">
        <f t="shared" si="1"/>
        <v>7012.4999999999991</v>
      </c>
      <c r="H1685" s="43">
        <f>IFERROR(G1685*E1673,"")</f>
        <v>0</v>
      </c>
    </row>
    <row r="1686" spans="1:11" ht="12.75" customHeight="1">
      <c r="A1686" s="28"/>
      <c r="B1686" s="29" t="s">
        <v>3580</v>
      </c>
      <c r="C1686" s="30" t="str">
        <f>IFERROR(_xlfn.XLOOKUP(B1686,Equipo[DESCRIPCION],Equipo[UND],,0),"")</f>
        <v>M3</v>
      </c>
      <c r="D1686" s="31">
        <v>1</v>
      </c>
      <c r="E1686" s="32">
        <f>IF(C1686="%MO",G1695,IFERROR(_xlfn.XLOOKUP($B1686,Equipo[DESCRIPCION],Equipo[VALOR],,0),""))</f>
        <v>82902.75</v>
      </c>
      <c r="F1686" s="33">
        <v>-10</v>
      </c>
      <c r="G1686" s="34">
        <f t="shared" si="1"/>
        <v>8290.2749999999996</v>
      </c>
      <c r="H1686" s="43">
        <f>IFERROR(G1686*E1673,"")</f>
        <v>0</v>
      </c>
    </row>
    <row r="1687" spans="1:11" ht="12.75" customHeight="1">
      <c r="A1687" s="28"/>
      <c r="B1687" s="29" t="s">
        <v>3626</v>
      </c>
      <c r="C1687" s="30" t="str">
        <f>IFERROR(_xlfn.XLOOKUP(B1687,Equipo[DESCRIPCION],Equipo[UND],,0),"")</f>
        <v>%MO</v>
      </c>
      <c r="D1687" s="31">
        <v>0.05</v>
      </c>
      <c r="E1687" s="32">
        <f>IF(C1687="%MO",G1691,IFERROR(_xlfn.XLOOKUP($B1687,Equipo[DESCRIPCION],Equipo[VALOR],,0),""))</f>
        <v>94816.258206428596</v>
      </c>
      <c r="F1687" s="33"/>
      <c r="G1687" s="34">
        <f t="shared" si="1"/>
        <v>4740.8129103214296</v>
      </c>
      <c r="H1687" s="43">
        <f>IFERROR(G1687*E1673,"")</f>
        <v>0</v>
      </c>
    </row>
    <row r="1688" spans="1:11" ht="12.75" customHeight="1">
      <c r="A1688" s="21"/>
      <c r="B1688" s="22" t="s">
        <v>2533</v>
      </c>
      <c r="C1688" s="23"/>
      <c r="D1688" s="24"/>
      <c r="E1688" s="25"/>
      <c r="F1688" s="26"/>
      <c r="G1688" s="27">
        <f>SUM(G1689:G1690)</f>
        <v>0</v>
      </c>
      <c r="H1688" s="44">
        <f>G1688*E1673</f>
        <v>0</v>
      </c>
    </row>
    <row r="1689" spans="1:11" ht="12.75" customHeight="1">
      <c r="A1689" s="28"/>
      <c r="B1689" s="29"/>
      <c r="C1689" s="30" t="str">
        <f>IFERROR(_xlfn.XLOOKUP(B1689,Transporte[DESCRIPCION],Transporte[UND],,0),"")</f>
        <v/>
      </c>
      <c r="D1689" s="31"/>
      <c r="E1689" s="32" t="str">
        <f>IFERROR(_xlfn.XLOOKUP($B1689,Transporte[DESCRIPCION],Transporte[VALOR],,0),"")</f>
        <v/>
      </c>
      <c r="F1689" s="33"/>
      <c r="G1689" s="34" t="str">
        <f>IFERROR(IF(F1689&gt;=0,D1689*E1689*(1+F1689/100),ABS(D1689*E1689/F1689)),"")</f>
        <v/>
      </c>
      <c r="H1689" s="43" t="str">
        <f>IFERROR(G1689*E1673,"")</f>
        <v/>
      </c>
    </row>
    <row r="1690" spans="1:11" ht="12.75" customHeight="1">
      <c r="A1690" s="28"/>
      <c r="B1690" s="29"/>
      <c r="C1690" s="30" t="str">
        <f>IFERROR(_xlfn.XLOOKUP(B1690,Transporte[DESCRIPCION],Transporte[UND],,0),"")</f>
        <v/>
      </c>
      <c r="D1690" s="31"/>
      <c r="E1690" s="32" t="str">
        <f>IFERROR(_xlfn.XLOOKUP($B1690,Transporte[DESCRIPCION],Transporte[VALOR],,0),"")</f>
        <v/>
      </c>
      <c r="F1690" s="33"/>
      <c r="G1690" s="34" t="str">
        <f>IFERROR(IF(F1690&gt;=0,D1690*E1690*(1+F1690/100),ABS(D1690*E1690/F1690)),"")</f>
        <v/>
      </c>
      <c r="H1690" s="43" t="str">
        <f>IFERROR(G1690*E1673,"")</f>
        <v/>
      </c>
    </row>
    <row r="1691" spans="1:11" ht="12.75" customHeight="1">
      <c r="A1691" s="21"/>
      <c r="B1691" s="22" t="s">
        <v>3732</v>
      </c>
      <c r="C1691" s="23"/>
      <c r="D1691" s="24"/>
      <c r="E1691" s="25"/>
      <c r="F1691" s="26"/>
      <c r="G1691" s="27">
        <f>SUM(G1692:G1694)</f>
        <v>94816.258206428596</v>
      </c>
      <c r="H1691" s="44">
        <f>G1691*E1673</f>
        <v>0</v>
      </c>
    </row>
    <row r="1692" spans="1:11" ht="12.75" customHeight="1">
      <c r="A1692" s="28"/>
      <c r="B1692" s="29" t="s">
        <v>3713</v>
      </c>
      <c r="C1692" s="30" t="str">
        <f>IFERROR(_xlfn.XLOOKUP(B1692,MObra[DESCRIPCION],MObra[UN],,0),"")</f>
        <v>día</v>
      </c>
      <c r="D1692" s="31">
        <v>1</v>
      </c>
      <c r="E1692" s="32">
        <f>IFERROR(_xlfn.XLOOKUP($B1692,MObra[DESCRIPCION],MObra[VALOR UNIT],,0),"")</f>
        <v>663713.80744500016</v>
      </c>
      <c r="F1692" s="33">
        <v>-7</v>
      </c>
      <c r="G1692" s="34">
        <f>IFERROR(IF(F1692&gt;=0,D1692*E1692*(1+F1692/100),ABS(D1692*E1692/F1692)),"")</f>
        <v>94816.258206428596</v>
      </c>
      <c r="H1692" s="43">
        <f>IFERROR(G1692*E1673,"")</f>
        <v>0</v>
      </c>
    </row>
    <row r="1693" spans="1:11" ht="12.75" customHeight="1">
      <c r="A1693" s="28"/>
      <c r="B1693" s="29"/>
      <c r="C1693" s="30" t="str">
        <f t="array" ref="C1693">IFERROR(_xlfn.XLOOKUP(B1693,MObra[[#All],[DESCRIPCION]],MObra[[#All],[UN]],,0),"")</f>
        <v/>
      </c>
      <c r="D1693" s="31"/>
      <c r="E1693" s="32" t="str">
        <f>IFERROR(_xlfn.XLOOKUP($B1693,MObra[DESCRIPCION],MObra[VALOR UNIT],,0),"")</f>
        <v/>
      </c>
      <c r="F1693" s="33"/>
      <c r="G1693" s="34" t="str">
        <f>IFERROR(IF(F1693&gt;=0,D1693*E1693*(1+F1693/100),ABS(D1693*E1693/F1693)),"")</f>
        <v/>
      </c>
      <c r="H1693" s="43" t="str">
        <f>IFERROR(G1693*E1673,"")</f>
        <v/>
      </c>
    </row>
    <row r="1694" spans="1:11" ht="12.75" customHeight="1" thickBot="1">
      <c r="A1694" s="35"/>
      <c r="B1694" s="36"/>
      <c r="C1694" s="37" t="str">
        <f t="array" ref="C1694">IFERROR(_xlfn.XLOOKUP(B1694,MObra[[#All],[DESCRIPCION]],MObra[[#All],[UN]],,0),"")</f>
        <v/>
      </c>
      <c r="D1694" s="38"/>
      <c r="E1694" s="39" t="str">
        <f>IFERROR(_xlfn.XLOOKUP($B1694,MObra[DESCRIPCION],MObra[VALOR UNIT],,0),"")</f>
        <v/>
      </c>
      <c r="F1694" s="40"/>
      <c r="G1694" s="41" t="str">
        <f>IFERROR(IF(F1694&gt;=0,D1694*E1694*(1+F1694/100),ABS(D1694*E1694/F1694)),"")</f>
        <v/>
      </c>
      <c r="H1694" s="42" t="str">
        <f>IFERROR(G1694*E1673,"")</f>
        <v/>
      </c>
    </row>
    <row r="1695" spans="1:11" ht="12.75" customHeight="1" thickTop="1" thickBot="1"/>
    <row r="1696" spans="1:11" ht="12.75" customHeight="1" thickTop="1" thickBot="1">
      <c r="A1696" s="6" t="s">
        <v>477</v>
      </c>
      <c r="B1696" s="7" t="str">
        <f>VLOOKUP($A1696,Presupuesto!$A:$D,2,FALSE())</f>
        <v>Placa maciza concreto 20.7 Mpa E=0.10m Steeldeck lámina 2"</v>
      </c>
      <c r="C1696" s="8" t="str">
        <f>VLOOKUP($A1696,Presupuesto!$A:$D,3,FALSE())</f>
        <v>M2</v>
      </c>
      <c r="D1696" s="9"/>
      <c r="E1696" s="10">
        <f>VLOOKUP($A1696,Presupuesto!$A:$D,4,FALSE())</f>
        <v>0</v>
      </c>
      <c r="F1696" s="11" t="s">
        <v>2589</v>
      </c>
      <c r="G1696" s="12">
        <f>SUM(G1698:G1717)/2</f>
        <v>281415.85049465206</v>
      </c>
      <c r="H1696" s="13">
        <f>ROUND(SUM(H1698:H1717),0)/2</f>
        <v>0</v>
      </c>
      <c r="I1696" s="10">
        <f>VLOOKUP(A1696,Presupuesto!$A:$F,6,0)</f>
        <v>0</v>
      </c>
      <c r="J1696" s="10">
        <f>+H1696-I1696</f>
        <v>0</v>
      </c>
      <c r="K1696" s="46">
        <f>+H1696-G1696*E1696</f>
        <v>0</v>
      </c>
    </row>
    <row r="1697" spans="1:8" ht="12.75" customHeight="1" thickTop="1">
      <c r="A1697" s="14"/>
      <c r="B1697" s="15" t="s">
        <v>2586</v>
      </c>
      <c r="C1697" s="15" t="s">
        <v>5</v>
      </c>
      <c r="D1697" s="16" t="s">
        <v>6</v>
      </c>
      <c r="E1697" s="17" t="s">
        <v>7</v>
      </c>
      <c r="F1697" s="18" t="s">
        <v>3728</v>
      </c>
      <c r="G1697" s="19" t="s">
        <v>3729</v>
      </c>
      <c r="H1697" s="20" t="s">
        <v>3797</v>
      </c>
    </row>
    <row r="1698" spans="1:8" ht="12.75" customHeight="1">
      <c r="A1698" s="21"/>
      <c r="B1698" s="22" t="s">
        <v>3730</v>
      </c>
      <c r="C1698" s="23"/>
      <c r="D1698" s="24"/>
      <c r="E1698" s="25"/>
      <c r="F1698" s="26"/>
      <c r="G1698" s="27">
        <f>SUM(G1699:G1703)</f>
        <v>149100.69937790206</v>
      </c>
      <c r="H1698" s="27">
        <f>IFERROR(G1698*E1696,"")</f>
        <v>0</v>
      </c>
    </row>
    <row r="1699" spans="1:8" ht="12.75" customHeight="1">
      <c r="A1699" s="28"/>
      <c r="B1699" s="29" t="s">
        <v>3239</v>
      </c>
      <c r="C1699" s="30" t="str">
        <f>IFERROR(_xlfn.XLOOKUP(B1699,Insumo[DESCRIPCION],Insumo[UND],,0),"")</f>
        <v>M3</v>
      </c>
      <c r="D1699" s="31">
        <v>0.1</v>
      </c>
      <c r="E1699" s="32">
        <f>IFERROR(_xlfn.XLOOKUP($B1699,Insumo[DESCRIPCION],Insumo[VALOR],,0),"")</f>
        <v>521159.50227762427</v>
      </c>
      <c r="F1699" s="33">
        <v>5</v>
      </c>
      <c r="G1699" s="34">
        <f>IFERROR(IF(F1699&gt;=0,D1699*E1699*(1+F1699/100),ABS(D1699*E1699/F1699)),"")</f>
        <v>54721.747739150553</v>
      </c>
      <c r="H1699" s="43">
        <f>IFERROR(G1699*E1696,"")</f>
        <v>0</v>
      </c>
    </row>
    <row r="1700" spans="1:8" ht="12.75" customHeight="1">
      <c r="A1700" s="28"/>
      <c r="B1700" s="29" t="s">
        <v>2957</v>
      </c>
      <c r="C1700" s="30" t="str">
        <f>IFERROR(_xlfn.XLOOKUP(B1700,Insumo[DESCRIPCION],Insumo[UND],,0),"")</f>
        <v>M2</v>
      </c>
      <c r="D1700" s="31">
        <v>0.2</v>
      </c>
      <c r="E1700" s="32">
        <f>IFERROR(_xlfn.XLOOKUP($B1700,Insumo[DESCRIPCION],Insumo[VALOR],,0),"")</f>
        <v>149544.7581937575</v>
      </c>
      <c r="F1700" s="33"/>
      <c r="G1700" s="34">
        <f>IFERROR(IF(F1700&gt;=0,D1700*E1700*(1+F1700/100),ABS(D1700*E1700/F1700)),"")</f>
        <v>29908.951638751503</v>
      </c>
      <c r="H1700" s="43">
        <f>IFERROR(G1700*E1696,"")</f>
        <v>0</v>
      </c>
    </row>
    <row r="1701" spans="1:8" ht="12.75" customHeight="1">
      <c r="A1701" s="28"/>
      <c r="B1701" s="29" t="s">
        <v>2709</v>
      </c>
      <c r="C1701" s="30" t="str">
        <f>IFERROR(_xlfn.XLOOKUP(B1701,Insumo[DESCRIPCION],Insumo[UND],,0),"")</f>
        <v>Kg</v>
      </c>
      <c r="D1701" s="31">
        <v>0.5</v>
      </c>
      <c r="E1701" s="32">
        <f>IFERROR(_xlfn.XLOOKUP($B1701,Insumo[DESCRIPCION],Insumo[VALOR],,0),"")</f>
        <v>14812.35</v>
      </c>
      <c r="F1701" s="33"/>
      <c r="G1701" s="34">
        <f>IFERROR(IF(F1701&gt;=0,D1701*E1701*(1+F1701/100),ABS(D1701*E1701/F1701)),"")</f>
        <v>7406.1750000000002</v>
      </c>
      <c r="H1701" s="43">
        <f>IFERROR(G1701*E1696,"")</f>
        <v>0</v>
      </c>
    </row>
    <row r="1702" spans="1:8" ht="12.75" customHeight="1">
      <c r="A1702" s="28"/>
      <c r="B1702" s="29" t="s">
        <v>3034</v>
      </c>
      <c r="C1702" s="30" t="str">
        <f>IFERROR(_xlfn.XLOOKUP(B1702,Insumo[DESCRIPCION],Insumo[UND],,0),"")</f>
        <v>M2</v>
      </c>
      <c r="D1702" s="31">
        <v>1</v>
      </c>
      <c r="E1702" s="32">
        <f>IFERROR(_xlfn.XLOOKUP($B1702,Insumo[DESCRIPCION],Insumo[VALOR],,0),"")</f>
        <v>53653.950000000004</v>
      </c>
      <c r="F1702" s="33"/>
      <c r="G1702" s="34">
        <f>IFERROR(IF(F1702&gt;=0,D1702*E1702*(1+F1702/100),ABS(D1702*E1702/F1702)),"")</f>
        <v>53653.950000000004</v>
      </c>
      <c r="H1702" s="43">
        <f>IFERROR(G1702*E1696,"")</f>
        <v>0</v>
      </c>
    </row>
    <row r="1703" spans="1:8" ht="12.75" customHeight="1">
      <c r="A1703" s="28"/>
      <c r="B1703" s="29" t="s">
        <v>2889</v>
      </c>
      <c r="C1703" s="30" t="str">
        <f>IFERROR(_xlfn.XLOOKUP(B1703,Insumo[DESCRIPCION],Insumo[UND],,0),"")</f>
        <v>Un</v>
      </c>
      <c r="D1703" s="31">
        <v>1.5</v>
      </c>
      <c r="E1703" s="32">
        <f>IFERROR(_xlfn.XLOOKUP($B1703,Insumo[DESCRIPCION],Insumo[VALOR],,0),"")</f>
        <v>2273.25</v>
      </c>
      <c r="F1703" s="33"/>
      <c r="G1703" s="34">
        <f>IFERROR(IF(F1703&gt;=0,D1703*E1703*(1+F1703/100),ABS(D1703*E1703/F1703)),"")</f>
        <v>3409.875</v>
      </c>
      <c r="H1703" s="43">
        <f>IFERROR(G1703*E1696,"")</f>
        <v>0</v>
      </c>
    </row>
    <row r="1704" spans="1:8" ht="12.75" customHeight="1">
      <c r="A1704" s="21"/>
      <c r="B1704" s="22" t="s">
        <v>3731</v>
      </c>
      <c r="C1704" s="23"/>
      <c r="D1704" s="24"/>
      <c r="E1704" s="25"/>
      <c r="F1704" s="26"/>
      <c r="G1704" s="27">
        <f>SUM(G1705:G1710)</f>
        <v>37498.892910321432</v>
      </c>
      <c r="H1704" s="44">
        <f>G1704*E1696</f>
        <v>0</v>
      </c>
    </row>
    <row r="1705" spans="1:8" ht="12.75" customHeight="1">
      <c r="A1705" s="28"/>
      <c r="B1705" s="29" t="s">
        <v>3657</v>
      </c>
      <c r="C1705" s="30" t="str">
        <f>IFERROR(_xlfn.XLOOKUP(B1705,Equipo[DESCRIPCION],Equipo[UND],,0),"")</f>
        <v>Día</v>
      </c>
      <c r="D1705" s="31">
        <v>1</v>
      </c>
      <c r="E1705" s="32">
        <f>IF(C1705="%MO",G1714,IFERROR(_xlfn.XLOOKUP($B1705,Equipo[DESCRIPCION],Equipo[VALOR],,0),""))</f>
        <v>56524.65</v>
      </c>
      <c r="F1705" s="33">
        <v>-10</v>
      </c>
      <c r="G1705" s="34">
        <f t="shared" ref="G1705:G1710" si="2">IFERROR(IF(F1705&gt;=0,D1705*E1705*(1+F1705/100),ABS(D1705*E1705/F1705)),"")</f>
        <v>5652.4650000000001</v>
      </c>
      <c r="H1705" s="43">
        <f>IFERROR(G1705*E1696,"")</f>
        <v>0</v>
      </c>
    </row>
    <row r="1706" spans="1:8" ht="12.75" customHeight="1">
      <c r="A1706" s="28"/>
      <c r="B1706" s="29" t="s">
        <v>3652</v>
      </c>
      <c r="C1706" s="30" t="str">
        <f>IFERROR(_xlfn.XLOOKUP(B1706,Equipo[DESCRIPCION],Equipo[UND],,0),"")</f>
        <v>Día</v>
      </c>
      <c r="D1706" s="31">
        <v>1</v>
      </c>
      <c r="E1706" s="32">
        <f>IF(C1706="%MO",G1715,IFERROR(_xlfn.XLOOKUP($B1706,Equipo[DESCRIPCION],Equipo[VALOR],,0),""))</f>
        <v>635.25</v>
      </c>
      <c r="F1706" s="33">
        <v>-0.1</v>
      </c>
      <c r="G1706" s="34">
        <f t="shared" si="2"/>
        <v>6352.5</v>
      </c>
      <c r="H1706" s="43">
        <f>IFERROR(G1706*E1696,"")</f>
        <v>0</v>
      </c>
    </row>
    <row r="1707" spans="1:8" ht="12.75" customHeight="1">
      <c r="A1707" s="28"/>
      <c r="B1707" s="29" t="s">
        <v>3591</v>
      </c>
      <c r="C1707" s="30" t="str">
        <f>IFERROR(_xlfn.XLOOKUP(B1707,Equipo[DESCRIPCION],Equipo[UND],,0),"")</f>
        <v>Día</v>
      </c>
      <c r="D1707" s="31">
        <v>1</v>
      </c>
      <c r="E1707" s="32">
        <f>IF(C1707="%MO",G1716,IFERROR(_xlfn.XLOOKUP($B1707,Equipo[DESCRIPCION],Equipo[VALOR],,0),""))</f>
        <v>635.25</v>
      </c>
      <c r="F1707" s="33">
        <v>-0.1</v>
      </c>
      <c r="G1707" s="34">
        <f t="shared" si="2"/>
        <v>6352.5</v>
      </c>
      <c r="H1707" s="43">
        <f>IFERROR(G1707*E1696,"")</f>
        <v>0</v>
      </c>
    </row>
    <row r="1708" spans="1:8" ht="12.75" customHeight="1">
      <c r="A1708" s="28"/>
      <c r="B1708" s="29" t="s">
        <v>3651</v>
      </c>
      <c r="C1708" s="30" t="str">
        <f>IFERROR(_xlfn.XLOOKUP(B1708,Equipo[DESCRIPCION],Equipo[UND],,0),"")</f>
        <v>Día</v>
      </c>
      <c r="D1708" s="31">
        <v>1</v>
      </c>
      <c r="E1708" s="32">
        <f>IF(C1708="%MO",G1717,IFERROR(_xlfn.XLOOKUP($B1708,Equipo[DESCRIPCION],Equipo[VALOR],,0),""))</f>
        <v>981.75</v>
      </c>
      <c r="F1708" s="33">
        <v>-0.14000000000000001</v>
      </c>
      <c r="G1708" s="34">
        <f t="shared" si="2"/>
        <v>7012.4999999999991</v>
      </c>
      <c r="H1708" s="43">
        <f>IFERROR(G1708*E1696,"")</f>
        <v>0</v>
      </c>
    </row>
    <row r="1709" spans="1:8" ht="12.75" customHeight="1">
      <c r="A1709" s="28"/>
      <c r="B1709" s="29" t="s">
        <v>3640</v>
      </c>
      <c r="C1709" s="30" t="str">
        <f>IFERROR(_xlfn.XLOOKUP(B1709,Equipo[DESCRIPCION],Equipo[UND],,0),"")</f>
        <v>Día</v>
      </c>
      <c r="D1709" s="31">
        <v>1</v>
      </c>
      <c r="E1709" s="32">
        <f>IF(C1709="%MO",G1718,IFERROR(_xlfn.XLOOKUP($B1709,Equipo[DESCRIPCION],Equipo[VALOR],,0),""))</f>
        <v>73881.150000000009</v>
      </c>
      <c r="F1709" s="33">
        <v>-10</v>
      </c>
      <c r="G1709" s="34">
        <f t="shared" si="2"/>
        <v>7388.1150000000007</v>
      </c>
      <c r="H1709" s="43">
        <f>IFERROR(G1709*E1696,"")</f>
        <v>0</v>
      </c>
    </row>
    <row r="1710" spans="1:8" ht="12.75" customHeight="1">
      <c r="A1710" s="28"/>
      <c r="B1710" s="29" t="s">
        <v>3626</v>
      </c>
      <c r="C1710" s="30" t="str">
        <f>IFERROR(_xlfn.XLOOKUP(B1710,Equipo[DESCRIPCION],Equipo[UND],,0),"")</f>
        <v>%MO</v>
      </c>
      <c r="D1710" s="31">
        <v>0.05</v>
      </c>
      <c r="E1710" s="32">
        <f>IF(C1710="%MO",G1714,IFERROR(_xlfn.XLOOKUP($B1710,Equipo[DESCRIPCION],Equipo[VALOR],,0),""))</f>
        <v>94816.258206428596</v>
      </c>
      <c r="F1710" s="33"/>
      <c r="G1710" s="34">
        <f t="shared" si="2"/>
        <v>4740.8129103214296</v>
      </c>
      <c r="H1710" s="43">
        <f>IFERROR(G1710*E1696,"")</f>
        <v>0</v>
      </c>
    </row>
    <row r="1711" spans="1:8" ht="12.75" customHeight="1">
      <c r="A1711" s="21"/>
      <c r="B1711" s="22" t="s">
        <v>2533</v>
      </c>
      <c r="C1711" s="23"/>
      <c r="D1711" s="24"/>
      <c r="E1711" s="25"/>
      <c r="F1711" s="26"/>
      <c r="G1711" s="27">
        <f>SUM(G1712:G1713)</f>
        <v>0</v>
      </c>
      <c r="H1711" s="44">
        <f>G1711*E1696</f>
        <v>0</v>
      </c>
    </row>
    <row r="1712" spans="1:8" ht="12.75" customHeight="1">
      <c r="A1712" s="28"/>
      <c r="B1712" s="29"/>
      <c r="C1712" s="30" t="str">
        <f>IFERROR(_xlfn.XLOOKUP(B1712,Transporte[DESCRIPCION],Transporte[UND],,0),"")</f>
        <v/>
      </c>
      <c r="D1712" s="31"/>
      <c r="E1712" s="32" t="str">
        <f>IFERROR(_xlfn.XLOOKUP($B1712,Transporte[DESCRIPCION],Transporte[VALOR],,0),"")</f>
        <v/>
      </c>
      <c r="F1712" s="33"/>
      <c r="G1712" s="34" t="str">
        <f>IFERROR(IF(F1712&gt;=0,D1712*E1712*(1+F1712/100),ABS(D1712*E1712/F1712)),"")</f>
        <v/>
      </c>
      <c r="H1712" s="43" t="str">
        <f>IFERROR(G1712*E1696,"")</f>
        <v/>
      </c>
    </row>
    <row r="1713" spans="1:11" ht="12.75" customHeight="1">
      <c r="A1713" s="28"/>
      <c r="B1713" s="29"/>
      <c r="C1713" s="30" t="str">
        <f>IFERROR(_xlfn.XLOOKUP(B1713,Transporte[DESCRIPCION],Transporte[UND],,0),"")</f>
        <v/>
      </c>
      <c r="D1713" s="31"/>
      <c r="E1713" s="32" t="str">
        <f>IFERROR(_xlfn.XLOOKUP($B1713,Transporte[DESCRIPCION],Transporte[VALOR],,0),"")</f>
        <v/>
      </c>
      <c r="F1713" s="33"/>
      <c r="G1713" s="34" t="str">
        <f>IFERROR(IF(F1713&gt;=0,D1713*E1713*(1+F1713/100),ABS(D1713*E1713/F1713)),"")</f>
        <v/>
      </c>
      <c r="H1713" s="43" t="str">
        <f>IFERROR(G1713*E1696,"")</f>
        <v/>
      </c>
    </row>
    <row r="1714" spans="1:11" ht="12.75" customHeight="1">
      <c r="A1714" s="21"/>
      <c r="B1714" s="22" t="s">
        <v>3732</v>
      </c>
      <c r="C1714" s="23"/>
      <c r="D1714" s="24"/>
      <c r="E1714" s="25"/>
      <c r="F1714" s="26"/>
      <c r="G1714" s="27">
        <f>SUM(G1715:G1717)</f>
        <v>94816.258206428596</v>
      </c>
      <c r="H1714" s="44">
        <f>G1714*E1696</f>
        <v>0</v>
      </c>
    </row>
    <row r="1715" spans="1:11" ht="12.75" customHeight="1">
      <c r="A1715" s="28"/>
      <c r="B1715" s="29" t="s">
        <v>3713</v>
      </c>
      <c r="C1715" s="30" t="str">
        <f>IFERROR(_xlfn.XLOOKUP(B1715,MObra[DESCRIPCION],MObra[UN],,0),"")</f>
        <v>día</v>
      </c>
      <c r="D1715" s="31">
        <v>1</v>
      </c>
      <c r="E1715" s="32">
        <f>IFERROR(_xlfn.XLOOKUP($B1715,MObra[DESCRIPCION],MObra[VALOR UNIT],,0),"")</f>
        <v>663713.80744500016</v>
      </c>
      <c r="F1715" s="33">
        <v>-7</v>
      </c>
      <c r="G1715" s="34">
        <f>IFERROR(IF(F1715&gt;=0,D1715*E1715*(1+F1715/100),ABS(D1715*E1715/F1715)),"")</f>
        <v>94816.258206428596</v>
      </c>
      <c r="H1715" s="43">
        <f>IFERROR(G1715*E1696,"")</f>
        <v>0</v>
      </c>
    </row>
    <row r="1716" spans="1:11" ht="12.75" customHeight="1">
      <c r="A1716" s="28"/>
      <c r="B1716" s="29"/>
      <c r="C1716" s="30" t="str">
        <f t="array" ref="C1716">IFERROR(_xlfn.XLOOKUP(B1716,MObra[[#All],[DESCRIPCION]],MObra[[#All],[UN]],,0),"")</f>
        <v/>
      </c>
      <c r="D1716" s="31"/>
      <c r="E1716" s="32" t="str">
        <f>IFERROR(_xlfn.XLOOKUP($B1716,MObra[DESCRIPCION],MObra[VALOR UNIT],,0),"")</f>
        <v/>
      </c>
      <c r="F1716" s="33"/>
      <c r="G1716" s="34" t="str">
        <f>IFERROR(IF(F1716&gt;=0,D1716*E1716*(1+F1716/100),ABS(D1716*E1716/F1716)),"")</f>
        <v/>
      </c>
      <c r="H1716" s="43" t="str">
        <f>IFERROR(G1716*E1696,"")</f>
        <v/>
      </c>
    </row>
    <row r="1717" spans="1:11" ht="12.75" customHeight="1" thickBot="1">
      <c r="A1717" s="35"/>
      <c r="B1717" s="36"/>
      <c r="C1717" s="37" t="str">
        <f t="array" ref="C1717">IFERROR(_xlfn.XLOOKUP(B1717,MObra[[#All],[DESCRIPCION]],MObra[[#All],[UN]],,0),"")</f>
        <v/>
      </c>
      <c r="D1717" s="38"/>
      <c r="E1717" s="39" t="str">
        <f>IFERROR(_xlfn.XLOOKUP($B1717,MObra[DESCRIPCION],MObra[VALOR UNIT],,0),"")</f>
        <v/>
      </c>
      <c r="F1717" s="40"/>
      <c r="G1717" s="41" t="str">
        <f>IFERROR(IF(F1717&gt;=0,D1717*E1717*(1+F1717/100),ABS(D1717*E1717/F1717)),"")</f>
        <v/>
      </c>
      <c r="H1717" s="42" t="str">
        <f>IFERROR(G1717*E1696,"")</f>
        <v/>
      </c>
    </row>
    <row r="1718" spans="1:11" ht="12.75" customHeight="1" thickTop="1" thickBot="1"/>
    <row r="1719" spans="1:11" ht="12.75" customHeight="1" thickTop="1" thickBot="1">
      <c r="A1719" s="6" t="s">
        <v>479</v>
      </c>
      <c r="B1719" s="7" t="str">
        <f>VLOOKUP($A1719,Presupuesto!$A:$D,2,FALSE())</f>
        <v>Placa maciza concreto 20.7 Mpa E=0.12m</v>
      </c>
      <c r="C1719" s="8" t="str">
        <f>VLOOKUP($A1719,Presupuesto!$A:$D,3,FALSE())</f>
        <v>M2</v>
      </c>
      <c r="D1719" s="9"/>
      <c r="E1719" s="10">
        <f>VLOOKUP($A1719,Presupuesto!$A:$D,4,FALSE())</f>
        <v>0</v>
      </c>
      <c r="F1719" s="11" t="s">
        <v>2589</v>
      </c>
      <c r="G1719" s="12">
        <f>SUM(G1721:G1740)/2</f>
        <v>241278.16537023248</v>
      </c>
      <c r="H1719" s="13">
        <f>ROUND(SUM(H1721:H1740),0)/2</f>
        <v>0</v>
      </c>
      <c r="I1719" s="10">
        <f>VLOOKUP(A1719,Presupuesto!$A:$F,6,0)</f>
        <v>0</v>
      </c>
      <c r="J1719" s="10">
        <f>+H1719-I1719</f>
        <v>0</v>
      </c>
      <c r="K1719" s="46">
        <f>+H1719-G1719*E1719</f>
        <v>0</v>
      </c>
    </row>
    <row r="1720" spans="1:11" ht="12.75" customHeight="1" thickTop="1">
      <c r="A1720" s="14"/>
      <c r="B1720" s="15" t="s">
        <v>2586</v>
      </c>
      <c r="C1720" s="15" t="s">
        <v>5</v>
      </c>
      <c r="D1720" s="16" t="s">
        <v>6</v>
      </c>
      <c r="E1720" s="17" t="s">
        <v>7</v>
      </c>
      <c r="F1720" s="18" t="s">
        <v>3728</v>
      </c>
      <c r="G1720" s="19" t="s">
        <v>3729</v>
      </c>
      <c r="H1720" s="20" t="s">
        <v>3797</v>
      </c>
    </row>
    <row r="1721" spans="1:11" ht="12.75" customHeight="1">
      <c r="A1721" s="21"/>
      <c r="B1721" s="22" t="s">
        <v>3730</v>
      </c>
      <c r="C1721" s="23"/>
      <c r="D1721" s="24"/>
      <c r="E1721" s="25"/>
      <c r="F1721" s="26"/>
      <c r="G1721" s="27">
        <f>SUM(G1722:G1726)</f>
        <v>108963.01425348247</v>
      </c>
      <c r="H1721" s="27">
        <f>IFERROR(G1721*E1719,"")</f>
        <v>0</v>
      </c>
    </row>
    <row r="1722" spans="1:11" ht="12.75" customHeight="1">
      <c r="A1722" s="28"/>
      <c r="B1722" s="29" t="s">
        <v>3239</v>
      </c>
      <c r="C1722" s="30" t="str">
        <f>IFERROR(_xlfn.XLOOKUP(B1722,Insumo[DESCRIPCION],Insumo[UND],,0),"")</f>
        <v>M3</v>
      </c>
      <c r="D1722" s="31">
        <v>0.12</v>
      </c>
      <c r="E1722" s="32">
        <f>IFERROR(_xlfn.XLOOKUP($B1722,Insumo[DESCRIPCION],Insumo[VALOR],,0),"")</f>
        <v>521159.50227762427</v>
      </c>
      <c r="F1722" s="33">
        <v>5</v>
      </c>
      <c r="G1722" s="34">
        <f>IFERROR(IF(F1722&gt;=0,D1722*E1722*(1+F1722/100),ABS(D1722*E1722/F1722)),"")</f>
        <v>65666.097286980657</v>
      </c>
      <c r="H1722" s="43">
        <f>IFERROR(G1722*E1719,"")</f>
        <v>0</v>
      </c>
    </row>
    <row r="1723" spans="1:11" ht="12.75" customHeight="1">
      <c r="A1723" s="28"/>
      <c r="B1723" s="29" t="s">
        <v>2957</v>
      </c>
      <c r="C1723" s="30" t="str">
        <f>IFERROR(_xlfn.XLOOKUP(B1723,Insumo[DESCRIPCION],Insumo[UND],,0),"")</f>
        <v>M2</v>
      </c>
      <c r="D1723" s="31">
        <v>0.24</v>
      </c>
      <c r="E1723" s="32">
        <f>IFERROR(_xlfn.XLOOKUP($B1723,Insumo[DESCRIPCION],Insumo[VALOR],,0),"")</f>
        <v>149544.7581937575</v>
      </c>
      <c r="F1723" s="33"/>
      <c r="G1723" s="34">
        <f>IFERROR(IF(F1723&gt;=0,D1723*E1723*(1+F1723/100),ABS(D1723*E1723/F1723)),"")</f>
        <v>35890.741966501802</v>
      </c>
      <c r="H1723" s="43">
        <f>IFERROR(G1723*E1719,"")</f>
        <v>0</v>
      </c>
    </row>
    <row r="1724" spans="1:11" ht="12.75" customHeight="1">
      <c r="A1724" s="28"/>
      <c r="B1724" s="29" t="s">
        <v>2709</v>
      </c>
      <c r="C1724" s="30" t="str">
        <f>IFERROR(_xlfn.XLOOKUP(B1724,Insumo[DESCRIPCION],Insumo[UND],,0),"")</f>
        <v>Kg</v>
      </c>
      <c r="D1724" s="31">
        <v>0.5</v>
      </c>
      <c r="E1724" s="32">
        <f>IFERROR(_xlfn.XLOOKUP($B1724,Insumo[DESCRIPCION],Insumo[VALOR],,0),"")</f>
        <v>14812.35</v>
      </c>
      <c r="F1724" s="33"/>
      <c r="G1724" s="34">
        <f>IFERROR(IF(F1724&gt;=0,D1724*E1724*(1+F1724/100),ABS(D1724*E1724/F1724)),"")</f>
        <v>7406.1750000000002</v>
      </c>
      <c r="H1724" s="43">
        <f>IFERROR(G1724*E1719,"")</f>
        <v>0</v>
      </c>
    </row>
    <row r="1725" spans="1:11" ht="12.75" customHeight="1">
      <c r="A1725" s="28"/>
      <c r="B1725" s="29"/>
      <c r="C1725" s="30" t="str">
        <f>IFERROR(_xlfn.XLOOKUP(B1725,Insumo[DESCRIPCION],Insumo[UND],,0),"")</f>
        <v/>
      </c>
      <c r="D1725" s="31"/>
      <c r="E1725" s="32" t="str">
        <f>IFERROR(_xlfn.XLOOKUP($B1725,Insumo[DESCRIPCION],Insumo[VALOR],,0),"")</f>
        <v/>
      </c>
      <c r="F1725" s="33"/>
      <c r="G1725" s="34" t="str">
        <f>IFERROR(IF(F1725&gt;=0,D1725*E1725*(1+F1725/100),ABS(D1725*E1725/F1725)),"")</f>
        <v/>
      </c>
      <c r="H1725" s="43" t="str">
        <f>IFERROR(G1725*E1719,"")</f>
        <v/>
      </c>
    </row>
    <row r="1726" spans="1:11" ht="12.75" customHeight="1">
      <c r="A1726" s="28"/>
      <c r="B1726" s="29"/>
      <c r="C1726" s="30" t="str">
        <f>IFERROR(_xlfn.XLOOKUP(B1726,Insumo[DESCRIPCION],Insumo[UND],,0),"")</f>
        <v/>
      </c>
      <c r="D1726" s="31"/>
      <c r="E1726" s="32" t="str">
        <f>IFERROR(_xlfn.XLOOKUP($B1726,Insumo[DESCRIPCION],Insumo[VALOR],,0),"")</f>
        <v/>
      </c>
      <c r="F1726" s="33"/>
      <c r="G1726" s="34" t="str">
        <f>IFERROR(IF(F1726&gt;=0,D1726*E1726*(1+F1726/100),ABS(D1726*E1726/F1726)),"")</f>
        <v/>
      </c>
      <c r="H1726" s="43" t="str">
        <f>IFERROR(G1726*E1719,"")</f>
        <v/>
      </c>
    </row>
    <row r="1727" spans="1:11" ht="12.75" customHeight="1">
      <c r="A1727" s="21"/>
      <c r="B1727" s="22" t="s">
        <v>3731</v>
      </c>
      <c r="C1727" s="23"/>
      <c r="D1727" s="24"/>
      <c r="E1727" s="25"/>
      <c r="F1727" s="26"/>
      <c r="G1727" s="27">
        <f>SUM(G1728:G1733)</f>
        <v>37498.892910321432</v>
      </c>
      <c r="H1727" s="44">
        <f>G1727*E1719</f>
        <v>0</v>
      </c>
    </row>
    <row r="1728" spans="1:11" ht="12.75" customHeight="1">
      <c r="A1728" s="28"/>
      <c r="B1728" s="29" t="s">
        <v>3657</v>
      </c>
      <c r="C1728" s="30" t="str">
        <f>IFERROR(_xlfn.XLOOKUP(B1728,Equipo[DESCRIPCION],Equipo[UND],,0),"")</f>
        <v>Día</v>
      </c>
      <c r="D1728" s="31">
        <v>1</v>
      </c>
      <c r="E1728" s="32">
        <f>IF(C1728="%MO",G1737,IFERROR(_xlfn.XLOOKUP($B1728,Equipo[DESCRIPCION],Equipo[VALOR],,0),""))</f>
        <v>56524.65</v>
      </c>
      <c r="F1728" s="33">
        <v>-10</v>
      </c>
      <c r="G1728" s="34">
        <f t="shared" ref="G1728:G1733" si="3">IFERROR(IF(F1728&gt;=0,D1728*E1728*(1+F1728/100),ABS(D1728*E1728/F1728)),"")</f>
        <v>5652.4650000000001</v>
      </c>
      <c r="H1728" s="43">
        <f>IFERROR(G1728*E1719,"")</f>
        <v>0</v>
      </c>
    </row>
    <row r="1729" spans="1:11" ht="12.75" customHeight="1">
      <c r="A1729" s="28"/>
      <c r="B1729" s="29" t="s">
        <v>3652</v>
      </c>
      <c r="C1729" s="30" t="str">
        <f>IFERROR(_xlfn.XLOOKUP(B1729,Equipo[DESCRIPCION],Equipo[UND],,0),"")</f>
        <v>Día</v>
      </c>
      <c r="D1729" s="31">
        <v>1</v>
      </c>
      <c r="E1729" s="32">
        <f>IF(C1729="%MO",G1738,IFERROR(_xlfn.XLOOKUP($B1729,Equipo[DESCRIPCION],Equipo[VALOR],,0),""))</f>
        <v>635.25</v>
      </c>
      <c r="F1729" s="33">
        <v>-0.1</v>
      </c>
      <c r="G1729" s="34">
        <f t="shared" si="3"/>
        <v>6352.5</v>
      </c>
      <c r="H1729" s="43">
        <f>IFERROR(G1729*E1719,"")</f>
        <v>0</v>
      </c>
    </row>
    <row r="1730" spans="1:11" ht="12.75" customHeight="1">
      <c r="A1730" s="28"/>
      <c r="B1730" s="29" t="s">
        <v>3591</v>
      </c>
      <c r="C1730" s="30" t="str">
        <f>IFERROR(_xlfn.XLOOKUP(B1730,Equipo[DESCRIPCION],Equipo[UND],,0),"")</f>
        <v>Día</v>
      </c>
      <c r="D1730" s="31">
        <v>1</v>
      </c>
      <c r="E1730" s="32">
        <f>IF(C1730="%MO",G1739,IFERROR(_xlfn.XLOOKUP($B1730,Equipo[DESCRIPCION],Equipo[VALOR],,0),""))</f>
        <v>635.25</v>
      </c>
      <c r="F1730" s="33">
        <v>-0.1</v>
      </c>
      <c r="G1730" s="34">
        <f t="shared" si="3"/>
        <v>6352.5</v>
      </c>
      <c r="H1730" s="43">
        <f>IFERROR(G1730*E1719,"")</f>
        <v>0</v>
      </c>
    </row>
    <row r="1731" spans="1:11" ht="12.75" customHeight="1">
      <c r="A1731" s="28"/>
      <c r="B1731" s="29" t="s">
        <v>3651</v>
      </c>
      <c r="C1731" s="30" t="str">
        <f>IFERROR(_xlfn.XLOOKUP(B1731,Equipo[DESCRIPCION],Equipo[UND],,0),"")</f>
        <v>Día</v>
      </c>
      <c r="D1731" s="31">
        <v>1</v>
      </c>
      <c r="E1731" s="32">
        <f>IF(C1731="%MO",G1740,IFERROR(_xlfn.XLOOKUP($B1731,Equipo[DESCRIPCION],Equipo[VALOR],,0),""))</f>
        <v>981.75</v>
      </c>
      <c r="F1731" s="33">
        <v>-0.14000000000000001</v>
      </c>
      <c r="G1731" s="34">
        <f t="shared" si="3"/>
        <v>7012.4999999999991</v>
      </c>
      <c r="H1731" s="43">
        <f>IFERROR(G1731*E1719,"")</f>
        <v>0</v>
      </c>
    </row>
    <row r="1732" spans="1:11" ht="12.75" customHeight="1">
      <c r="A1732" s="28"/>
      <c r="B1732" s="29" t="s">
        <v>3640</v>
      </c>
      <c r="C1732" s="30" t="str">
        <f>IFERROR(_xlfn.XLOOKUP(B1732,Equipo[DESCRIPCION],Equipo[UND],,0),"")</f>
        <v>Día</v>
      </c>
      <c r="D1732" s="31">
        <v>1</v>
      </c>
      <c r="E1732" s="32">
        <f>IF(C1732="%MO",G1741,IFERROR(_xlfn.XLOOKUP($B1732,Equipo[DESCRIPCION],Equipo[VALOR],,0),""))</f>
        <v>73881.150000000009</v>
      </c>
      <c r="F1732" s="33">
        <v>-10</v>
      </c>
      <c r="G1732" s="34">
        <f t="shared" si="3"/>
        <v>7388.1150000000007</v>
      </c>
      <c r="H1732" s="43">
        <f>IFERROR(G1732*E1719,"")</f>
        <v>0</v>
      </c>
    </row>
    <row r="1733" spans="1:11" ht="12.75" customHeight="1">
      <c r="A1733" s="28"/>
      <c r="B1733" s="29" t="s">
        <v>3626</v>
      </c>
      <c r="C1733" s="30" t="str">
        <f>IFERROR(_xlfn.XLOOKUP(B1733,Equipo[DESCRIPCION],Equipo[UND],,0),"")</f>
        <v>%MO</v>
      </c>
      <c r="D1733" s="31">
        <v>0.05</v>
      </c>
      <c r="E1733" s="32">
        <f>IF(C1733="%MO",G1737,IFERROR(_xlfn.XLOOKUP($B1733,Equipo[DESCRIPCION],Equipo[VALOR],,0),""))</f>
        <v>94816.258206428596</v>
      </c>
      <c r="F1733" s="33"/>
      <c r="G1733" s="34">
        <f t="shared" si="3"/>
        <v>4740.8129103214296</v>
      </c>
      <c r="H1733" s="43">
        <f>IFERROR(G1733*E1719,"")</f>
        <v>0</v>
      </c>
    </row>
    <row r="1734" spans="1:11" ht="12.75" customHeight="1">
      <c r="A1734" s="21"/>
      <c r="B1734" s="22" t="s">
        <v>2533</v>
      </c>
      <c r="C1734" s="23"/>
      <c r="D1734" s="24"/>
      <c r="E1734" s="25"/>
      <c r="F1734" s="26"/>
      <c r="G1734" s="27">
        <f>SUM(G1735:G1736)</f>
        <v>0</v>
      </c>
      <c r="H1734" s="44">
        <f>G1734*E1719</f>
        <v>0</v>
      </c>
    </row>
    <row r="1735" spans="1:11" ht="12.75" customHeight="1">
      <c r="A1735" s="28"/>
      <c r="B1735" s="29"/>
      <c r="C1735" s="30" t="str">
        <f>IFERROR(_xlfn.XLOOKUP(B1735,Transporte[DESCRIPCION],Transporte[UND],,0),"")</f>
        <v/>
      </c>
      <c r="D1735" s="31"/>
      <c r="E1735" s="32" t="str">
        <f>IFERROR(_xlfn.XLOOKUP($B1735,Transporte[DESCRIPCION],Transporte[VALOR],,0),"")</f>
        <v/>
      </c>
      <c r="F1735" s="33"/>
      <c r="G1735" s="34" t="str">
        <f>IFERROR(IF(F1735&gt;=0,D1735*E1735*(1+F1735/100),ABS(D1735*E1735/F1735)),"")</f>
        <v/>
      </c>
      <c r="H1735" s="43" t="str">
        <f>IFERROR(G1735*E1719,"")</f>
        <v/>
      </c>
    </row>
    <row r="1736" spans="1:11" ht="12.75" customHeight="1">
      <c r="A1736" s="28"/>
      <c r="B1736" s="29"/>
      <c r="C1736" s="30" t="str">
        <f>IFERROR(_xlfn.XLOOKUP(B1736,Transporte[DESCRIPCION],Transporte[UND],,0),"")</f>
        <v/>
      </c>
      <c r="D1736" s="31"/>
      <c r="E1736" s="32" t="str">
        <f>IFERROR(_xlfn.XLOOKUP($B1736,Transporte[DESCRIPCION],Transporte[VALOR],,0),"")</f>
        <v/>
      </c>
      <c r="F1736" s="33"/>
      <c r="G1736" s="34" t="str">
        <f>IFERROR(IF(F1736&gt;=0,D1736*E1736*(1+F1736/100),ABS(D1736*E1736/F1736)),"")</f>
        <v/>
      </c>
      <c r="H1736" s="43" t="str">
        <f>IFERROR(G1736*E1719,"")</f>
        <v/>
      </c>
    </row>
    <row r="1737" spans="1:11" ht="12.75" customHeight="1">
      <c r="A1737" s="21"/>
      <c r="B1737" s="22" t="s">
        <v>3732</v>
      </c>
      <c r="C1737" s="23"/>
      <c r="D1737" s="24"/>
      <c r="E1737" s="25"/>
      <c r="F1737" s="26"/>
      <c r="G1737" s="27">
        <f>SUM(G1738:G1740)</f>
        <v>94816.258206428596</v>
      </c>
      <c r="H1737" s="44">
        <f>G1737*E1719</f>
        <v>0</v>
      </c>
    </row>
    <row r="1738" spans="1:11" ht="12.75" customHeight="1">
      <c r="A1738" s="28"/>
      <c r="B1738" s="29" t="s">
        <v>3713</v>
      </c>
      <c r="C1738" s="30" t="str">
        <f>IFERROR(_xlfn.XLOOKUP(B1738,MObra[DESCRIPCION],MObra[UN],,0),"")</f>
        <v>día</v>
      </c>
      <c r="D1738" s="31">
        <v>1</v>
      </c>
      <c r="E1738" s="32">
        <f>IFERROR(_xlfn.XLOOKUP($B1738,MObra[DESCRIPCION],MObra[VALOR UNIT],,0),"")</f>
        <v>663713.80744500016</v>
      </c>
      <c r="F1738" s="33">
        <v>-7</v>
      </c>
      <c r="G1738" s="34">
        <f>IFERROR(IF(F1738&gt;=0,D1738*E1738*(1+F1738/100),ABS(D1738*E1738/F1738)),"")</f>
        <v>94816.258206428596</v>
      </c>
      <c r="H1738" s="43">
        <f>IFERROR(G1738*E1719,"")</f>
        <v>0</v>
      </c>
    </row>
    <row r="1739" spans="1:11" ht="12.75" customHeight="1">
      <c r="A1739" s="28"/>
      <c r="B1739" s="29"/>
      <c r="C1739" s="30" t="str">
        <f t="array" ref="C1739">IFERROR(_xlfn.XLOOKUP(B1739,MObra[[#All],[DESCRIPCION]],MObra[[#All],[UN]],,0),"")</f>
        <v/>
      </c>
      <c r="D1739" s="31"/>
      <c r="E1739" s="32" t="str">
        <f>IFERROR(_xlfn.XLOOKUP($B1739,MObra[DESCRIPCION],MObra[VALOR UNIT],,0),"")</f>
        <v/>
      </c>
      <c r="F1739" s="33"/>
      <c r="G1739" s="34" t="str">
        <f>IFERROR(IF(F1739&gt;=0,D1739*E1739*(1+F1739/100),ABS(D1739*E1739/F1739)),"")</f>
        <v/>
      </c>
      <c r="H1739" s="43" t="str">
        <f>IFERROR(G1739*E1719,"")</f>
        <v/>
      </c>
    </row>
    <row r="1740" spans="1:11" ht="12.75" customHeight="1" thickBot="1">
      <c r="A1740" s="35"/>
      <c r="B1740" s="36"/>
      <c r="C1740" s="37" t="str">
        <f t="array" ref="C1740">IFERROR(_xlfn.XLOOKUP(B1740,MObra[[#All],[DESCRIPCION]],MObra[[#All],[UN]],,0),"")</f>
        <v/>
      </c>
      <c r="D1740" s="38"/>
      <c r="E1740" s="39" t="str">
        <f>IFERROR(_xlfn.XLOOKUP($B1740,MObra[DESCRIPCION],MObra[VALOR UNIT],,0),"")</f>
        <v/>
      </c>
      <c r="F1740" s="40"/>
      <c r="G1740" s="41" t="str">
        <f>IFERROR(IF(F1740&gt;=0,D1740*E1740*(1+F1740/100),ABS(D1740*E1740/F1740)),"")</f>
        <v/>
      </c>
      <c r="H1740" s="42" t="str">
        <f>IFERROR(G1740*E1719,"")</f>
        <v/>
      </c>
    </row>
    <row r="1741" spans="1:11" ht="12.75" customHeight="1" thickTop="1" thickBot="1"/>
    <row r="1742" spans="1:11" ht="12.75" customHeight="1" thickTop="1" thickBot="1">
      <c r="A1742" s="6" t="s">
        <v>481</v>
      </c>
      <c r="B1742" s="7" t="str">
        <f>VLOOKUP($A1742,Presupuesto!$A:$D,2,FALSE())</f>
        <v>Placa maciza concreto 20.7 Mpa E=0.12m premezclado</v>
      </c>
      <c r="C1742" s="8" t="str">
        <f>VLOOKUP($A1742,Presupuesto!$A:$D,3,FALSE())</f>
        <v>M2</v>
      </c>
      <c r="D1742" s="9"/>
      <c r="E1742" s="10">
        <f>VLOOKUP($A1742,Presupuesto!$A:$D,4,FALSE())</f>
        <v>0</v>
      </c>
      <c r="F1742" s="11" t="s">
        <v>2589</v>
      </c>
      <c r="G1742" s="12">
        <f>SUM(G1744:G1763)/2</f>
        <v>268734.95250762155</v>
      </c>
      <c r="H1742" s="13">
        <f>ROUND(SUM(H1744:H1763),0)/2</f>
        <v>0</v>
      </c>
      <c r="I1742" s="10">
        <f>VLOOKUP(A1742,Presupuesto!$A:$F,6,0)</f>
        <v>0</v>
      </c>
      <c r="J1742" s="10">
        <f>+H1742-I1742</f>
        <v>0</v>
      </c>
      <c r="K1742" s="46">
        <f>+H1742-G1742*E1742</f>
        <v>0</v>
      </c>
    </row>
    <row r="1743" spans="1:11" ht="12.75" customHeight="1" thickTop="1">
      <c r="A1743" s="14"/>
      <c r="B1743" s="15" t="s">
        <v>2586</v>
      </c>
      <c r="C1743" s="15" t="s">
        <v>5</v>
      </c>
      <c r="D1743" s="16" t="s">
        <v>6</v>
      </c>
      <c r="E1743" s="17" t="s">
        <v>7</v>
      </c>
      <c r="F1743" s="18" t="s">
        <v>3728</v>
      </c>
      <c r="G1743" s="19" t="s">
        <v>3729</v>
      </c>
      <c r="H1743" s="20" t="s">
        <v>3797</v>
      </c>
    </row>
    <row r="1744" spans="1:11" ht="12.75" customHeight="1">
      <c r="A1744" s="21"/>
      <c r="B1744" s="22" t="s">
        <v>3730</v>
      </c>
      <c r="C1744" s="23"/>
      <c r="D1744" s="24"/>
      <c r="E1744" s="25"/>
      <c r="F1744" s="26"/>
      <c r="G1744" s="27">
        <f>SUM(G1745:G1749)</f>
        <v>133855.60546650179</v>
      </c>
      <c r="H1744" s="27">
        <f>IFERROR(G1744*E1742,"")</f>
        <v>0</v>
      </c>
    </row>
    <row r="1745" spans="1:8" ht="12.75" customHeight="1">
      <c r="A1745" s="28"/>
      <c r="B1745" s="29" t="s">
        <v>2868</v>
      </c>
      <c r="C1745" s="30" t="str">
        <f>IFERROR(_xlfn.XLOOKUP(B1745,Insumo[DESCRIPCION],Insumo[UND],,0),"")</f>
        <v>M3</v>
      </c>
      <c r="D1745" s="31">
        <v>0.12</v>
      </c>
      <c r="E1745" s="32">
        <f>IFERROR(_xlfn.XLOOKUP($B1745,Insumo[DESCRIPCION],Insumo[VALOR],,0),"")</f>
        <v>718719.75</v>
      </c>
      <c r="F1745" s="33">
        <v>5</v>
      </c>
      <c r="G1745" s="34">
        <f>IFERROR(IF(F1745&gt;=0,D1745*E1745*(1+F1745/100),ABS(D1745*E1745/F1745)),"")</f>
        <v>90558.688500000004</v>
      </c>
      <c r="H1745" s="43">
        <f>IFERROR(G1745*E1742,"")</f>
        <v>0</v>
      </c>
    </row>
    <row r="1746" spans="1:8" ht="12.75" customHeight="1">
      <c r="A1746" s="28"/>
      <c r="B1746" s="29" t="s">
        <v>2957</v>
      </c>
      <c r="C1746" s="30" t="str">
        <f>IFERROR(_xlfn.XLOOKUP(B1746,Insumo[DESCRIPCION],Insumo[UND],,0),"")</f>
        <v>M2</v>
      </c>
      <c r="D1746" s="31">
        <v>0.24</v>
      </c>
      <c r="E1746" s="32">
        <f>IFERROR(_xlfn.XLOOKUP($B1746,Insumo[DESCRIPCION],Insumo[VALOR],,0),"")</f>
        <v>149544.7581937575</v>
      </c>
      <c r="F1746" s="33"/>
      <c r="G1746" s="34">
        <f>IFERROR(IF(F1746&gt;=0,D1746*E1746*(1+F1746/100),ABS(D1746*E1746/F1746)),"")</f>
        <v>35890.741966501802</v>
      </c>
      <c r="H1746" s="43">
        <f>IFERROR(G1746*E1742,"")</f>
        <v>0</v>
      </c>
    </row>
    <row r="1747" spans="1:8" ht="12.75" customHeight="1">
      <c r="A1747" s="28"/>
      <c r="B1747" s="29" t="s">
        <v>2709</v>
      </c>
      <c r="C1747" s="30" t="str">
        <f>IFERROR(_xlfn.XLOOKUP(B1747,Insumo[DESCRIPCION],Insumo[UND],,0),"")</f>
        <v>Kg</v>
      </c>
      <c r="D1747" s="31">
        <v>0.5</v>
      </c>
      <c r="E1747" s="32">
        <f>IFERROR(_xlfn.XLOOKUP($B1747,Insumo[DESCRIPCION],Insumo[VALOR],,0),"")</f>
        <v>14812.35</v>
      </c>
      <c r="F1747" s="33"/>
      <c r="G1747" s="34">
        <f>IFERROR(IF(F1747&gt;=0,D1747*E1747*(1+F1747/100),ABS(D1747*E1747/F1747)),"")</f>
        <v>7406.1750000000002</v>
      </c>
      <c r="H1747" s="43">
        <f>IFERROR(G1747*E1742,"")</f>
        <v>0</v>
      </c>
    </row>
    <row r="1748" spans="1:8" ht="12.75" customHeight="1">
      <c r="A1748" s="28"/>
      <c r="B1748" s="29"/>
      <c r="C1748" s="30" t="str">
        <f>IFERROR(_xlfn.XLOOKUP(B1748,Insumo[DESCRIPCION],Insumo[UND],,0),"")</f>
        <v/>
      </c>
      <c r="D1748" s="31"/>
      <c r="E1748" s="32" t="str">
        <f>IFERROR(_xlfn.XLOOKUP($B1748,Insumo[DESCRIPCION],Insumo[VALOR],,0),"")</f>
        <v/>
      </c>
      <c r="F1748" s="33"/>
      <c r="G1748" s="34" t="str">
        <f>IFERROR(IF(F1748&gt;=0,D1748*E1748*(1+F1748/100),ABS(D1748*E1748/F1748)),"")</f>
        <v/>
      </c>
      <c r="H1748" s="43" t="str">
        <f>IFERROR(G1748*E1742,"")</f>
        <v/>
      </c>
    </row>
    <row r="1749" spans="1:8" ht="12.75" customHeight="1">
      <c r="A1749" s="28"/>
      <c r="B1749" s="29"/>
      <c r="C1749" s="30" t="str">
        <f>IFERROR(_xlfn.XLOOKUP(B1749,Insumo[DESCRIPCION],Insumo[UND],,0),"")</f>
        <v/>
      </c>
      <c r="D1749" s="31"/>
      <c r="E1749" s="32" t="str">
        <f>IFERROR(_xlfn.XLOOKUP($B1749,Insumo[DESCRIPCION],Insumo[VALOR],,0),"")</f>
        <v/>
      </c>
      <c r="F1749" s="33"/>
      <c r="G1749" s="34" t="str">
        <f>IFERROR(IF(F1749&gt;=0,D1749*E1749*(1+F1749/100),ABS(D1749*E1749/F1749)),"")</f>
        <v/>
      </c>
      <c r="H1749" s="43" t="str">
        <f>IFERROR(G1749*E1742,"")</f>
        <v/>
      </c>
    </row>
    <row r="1750" spans="1:8" ht="12.75" customHeight="1">
      <c r="A1750" s="21"/>
      <c r="B1750" s="22" t="s">
        <v>3731</v>
      </c>
      <c r="C1750" s="23"/>
      <c r="D1750" s="24"/>
      <c r="E1750" s="25"/>
      <c r="F1750" s="26"/>
      <c r="G1750" s="27">
        <f>SUM(G1751:G1756)</f>
        <v>40063.088834691182</v>
      </c>
      <c r="H1750" s="44">
        <f>G1750*E1742</f>
        <v>0</v>
      </c>
    </row>
    <row r="1751" spans="1:8" ht="12.75" customHeight="1">
      <c r="A1751" s="28"/>
      <c r="B1751" s="29" t="s">
        <v>3657</v>
      </c>
      <c r="C1751" s="30" t="str">
        <f>IFERROR(_xlfn.XLOOKUP(B1751,Equipo[DESCRIPCION],Equipo[UND],,0),"")</f>
        <v>Día</v>
      </c>
      <c r="D1751" s="31">
        <v>1</v>
      </c>
      <c r="E1751" s="32">
        <f>IF(C1751="%MO",G1760,IFERROR(_xlfn.XLOOKUP($B1751,Equipo[DESCRIPCION],Equipo[VALOR],,0),""))</f>
        <v>56524.65</v>
      </c>
      <c r="F1751" s="33">
        <v>-10</v>
      </c>
      <c r="G1751" s="34">
        <f t="shared" ref="G1751:G1756" si="4">IFERROR(IF(F1751&gt;=0,D1751*E1751*(1+F1751/100),ABS(D1751*E1751/F1751)),"")</f>
        <v>5652.4650000000001</v>
      </c>
      <c r="H1751" s="43">
        <f>IFERROR(G1751*E1742,"")</f>
        <v>0</v>
      </c>
    </row>
    <row r="1752" spans="1:8" ht="12.75" customHeight="1">
      <c r="A1752" s="28"/>
      <c r="B1752" s="29" t="s">
        <v>3652</v>
      </c>
      <c r="C1752" s="30" t="str">
        <f>IFERROR(_xlfn.XLOOKUP(B1752,Equipo[DESCRIPCION],Equipo[UND],,0),"")</f>
        <v>Día</v>
      </c>
      <c r="D1752" s="31">
        <v>1</v>
      </c>
      <c r="E1752" s="32">
        <f>IF(C1752="%MO",G1761,IFERROR(_xlfn.XLOOKUP($B1752,Equipo[DESCRIPCION],Equipo[VALOR],,0),""))</f>
        <v>635.25</v>
      </c>
      <c r="F1752" s="33">
        <v>-0.1</v>
      </c>
      <c r="G1752" s="34">
        <f t="shared" si="4"/>
        <v>6352.5</v>
      </c>
      <c r="H1752" s="43">
        <f>IFERROR(G1752*E1742,"")</f>
        <v>0</v>
      </c>
    </row>
    <row r="1753" spans="1:8" ht="12.75" customHeight="1">
      <c r="A1753" s="28"/>
      <c r="B1753" s="29" t="s">
        <v>3591</v>
      </c>
      <c r="C1753" s="30" t="str">
        <f>IFERROR(_xlfn.XLOOKUP(B1753,Equipo[DESCRIPCION],Equipo[UND],,0),"")</f>
        <v>Día</v>
      </c>
      <c r="D1753" s="31">
        <v>1</v>
      </c>
      <c r="E1753" s="32">
        <f>IF(C1753="%MO",G1762,IFERROR(_xlfn.XLOOKUP($B1753,Equipo[DESCRIPCION],Equipo[VALOR],,0),""))</f>
        <v>635.25</v>
      </c>
      <c r="F1753" s="33">
        <v>-0.1</v>
      </c>
      <c r="G1753" s="34">
        <f t="shared" si="4"/>
        <v>6352.5</v>
      </c>
      <c r="H1753" s="43">
        <f>IFERROR(G1753*E1742,"")</f>
        <v>0</v>
      </c>
    </row>
    <row r="1754" spans="1:8" ht="12.75" customHeight="1">
      <c r="A1754" s="28"/>
      <c r="B1754" s="29" t="s">
        <v>3651</v>
      </c>
      <c r="C1754" s="30" t="str">
        <f>IFERROR(_xlfn.XLOOKUP(B1754,Equipo[DESCRIPCION],Equipo[UND],,0),"")</f>
        <v>Día</v>
      </c>
      <c r="D1754" s="31">
        <v>1</v>
      </c>
      <c r="E1754" s="32">
        <f>IF(C1754="%MO",G1763,IFERROR(_xlfn.XLOOKUP($B1754,Equipo[DESCRIPCION],Equipo[VALOR],,0),""))</f>
        <v>981.75</v>
      </c>
      <c r="F1754" s="33">
        <v>-0.14000000000000001</v>
      </c>
      <c r="G1754" s="34">
        <f t="shared" si="4"/>
        <v>7012.4999999999991</v>
      </c>
      <c r="H1754" s="43">
        <f>IFERROR(G1754*E1742,"")</f>
        <v>0</v>
      </c>
    </row>
    <row r="1755" spans="1:8" ht="12.75" customHeight="1">
      <c r="A1755" s="28"/>
      <c r="B1755" s="29" t="s">
        <v>3580</v>
      </c>
      <c r="C1755" s="30" t="str">
        <f>IFERROR(_xlfn.XLOOKUP(B1755,Equipo[DESCRIPCION],Equipo[UND],,0),"")</f>
        <v>M3</v>
      </c>
      <c r="D1755" s="31">
        <v>1</v>
      </c>
      <c r="E1755" s="32">
        <f>IF(C1755="%MO",G1764,IFERROR(_xlfn.XLOOKUP($B1755,Equipo[DESCRIPCION],Equipo[VALOR],,0),""))</f>
        <v>82902.75</v>
      </c>
      <c r="F1755" s="33">
        <v>-8.33</v>
      </c>
      <c r="G1755" s="34">
        <f t="shared" si="4"/>
        <v>9952.3109243697472</v>
      </c>
      <c r="H1755" s="43">
        <f>IFERROR(G1755*E1742,"")</f>
        <v>0</v>
      </c>
    </row>
    <row r="1756" spans="1:8" ht="12.75" customHeight="1">
      <c r="A1756" s="28"/>
      <c r="B1756" s="29" t="s">
        <v>3626</v>
      </c>
      <c r="C1756" s="30" t="str">
        <f>IFERROR(_xlfn.XLOOKUP(B1756,Equipo[DESCRIPCION],Equipo[UND],,0),"")</f>
        <v>%MO</v>
      </c>
      <c r="D1756" s="31">
        <v>0.05</v>
      </c>
      <c r="E1756" s="32">
        <f>IF(C1756="%MO",G1760,IFERROR(_xlfn.XLOOKUP($B1756,Equipo[DESCRIPCION],Equipo[VALOR],,0),""))</f>
        <v>94816.258206428596</v>
      </c>
      <c r="F1756" s="33"/>
      <c r="G1756" s="34">
        <f t="shared" si="4"/>
        <v>4740.8129103214296</v>
      </c>
      <c r="H1756" s="43">
        <f>IFERROR(G1756*E1742,"")</f>
        <v>0</v>
      </c>
    </row>
    <row r="1757" spans="1:8" ht="12.75" customHeight="1">
      <c r="A1757" s="21"/>
      <c r="B1757" s="22" t="s">
        <v>2533</v>
      </c>
      <c r="C1757" s="23"/>
      <c r="D1757" s="24"/>
      <c r="E1757" s="25"/>
      <c r="F1757" s="26"/>
      <c r="G1757" s="27">
        <f>SUM(G1758:G1759)</f>
        <v>0</v>
      </c>
      <c r="H1757" s="44">
        <f>G1757*E1742</f>
        <v>0</v>
      </c>
    </row>
    <row r="1758" spans="1:8" ht="12.75" customHeight="1">
      <c r="A1758" s="28"/>
      <c r="B1758" s="29"/>
      <c r="C1758" s="30" t="str">
        <f>IFERROR(_xlfn.XLOOKUP(B1758,Transporte[DESCRIPCION],Transporte[UND],,0),"")</f>
        <v/>
      </c>
      <c r="D1758" s="31"/>
      <c r="E1758" s="32" t="str">
        <f>IFERROR(_xlfn.XLOOKUP($B1758,Transporte[DESCRIPCION],Transporte[VALOR],,0),"")</f>
        <v/>
      </c>
      <c r="F1758" s="33"/>
      <c r="G1758" s="34" t="str">
        <f>IFERROR(IF(F1758&gt;=0,D1758*E1758*(1+F1758/100),ABS(D1758*E1758/F1758)),"")</f>
        <v/>
      </c>
      <c r="H1758" s="43" t="str">
        <f>IFERROR(G1758*E1742,"")</f>
        <v/>
      </c>
    </row>
    <row r="1759" spans="1:8" ht="12.75" customHeight="1">
      <c r="A1759" s="28"/>
      <c r="B1759" s="29"/>
      <c r="C1759" s="30" t="str">
        <f>IFERROR(_xlfn.XLOOKUP(B1759,Transporte[DESCRIPCION],Transporte[UND],,0),"")</f>
        <v/>
      </c>
      <c r="D1759" s="31"/>
      <c r="E1759" s="32" t="str">
        <f>IFERROR(_xlfn.XLOOKUP($B1759,Transporte[DESCRIPCION],Transporte[VALOR],,0),"")</f>
        <v/>
      </c>
      <c r="F1759" s="33"/>
      <c r="G1759" s="34" t="str">
        <f>IFERROR(IF(F1759&gt;=0,D1759*E1759*(1+F1759/100),ABS(D1759*E1759/F1759)),"")</f>
        <v/>
      </c>
      <c r="H1759" s="43" t="str">
        <f>IFERROR(G1759*E1742,"")</f>
        <v/>
      </c>
    </row>
    <row r="1760" spans="1:8" ht="12.75" customHeight="1">
      <c r="A1760" s="21"/>
      <c r="B1760" s="22" t="s">
        <v>3732</v>
      </c>
      <c r="C1760" s="23"/>
      <c r="D1760" s="24"/>
      <c r="E1760" s="25"/>
      <c r="F1760" s="26"/>
      <c r="G1760" s="27">
        <f>SUM(G1761:G1763)</f>
        <v>94816.258206428596</v>
      </c>
      <c r="H1760" s="44">
        <f>G1760*E1742</f>
        <v>0</v>
      </c>
    </row>
    <row r="1761" spans="1:11" ht="12.75" customHeight="1">
      <c r="A1761" s="28"/>
      <c r="B1761" s="29" t="s">
        <v>3713</v>
      </c>
      <c r="C1761" s="30" t="str">
        <f>IFERROR(_xlfn.XLOOKUP(B1761,MObra[DESCRIPCION],MObra[UN],,0),"")</f>
        <v>día</v>
      </c>
      <c r="D1761" s="31">
        <v>1</v>
      </c>
      <c r="E1761" s="32">
        <f>IFERROR(_xlfn.XLOOKUP($B1761,MObra[DESCRIPCION],MObra[VALOR UNIT],,0),"")</f>
        <v>663713.80744500016</v>
      </c>
      <c r="F1761" s="33">
        <v>-7</v>
      </c>
      <c r="G1761" s="34">
        <f>IFERROR(IF(F1761&gt;=0,D1761*E1761*(1+F1761/100),ABS(D1761*E1761/F1761)),"")</f>
        <v>94816.258206428596</v>
      </c>
      <c r="H1761" s="43">
        <f>IFERROR(G1761*E1742,"")</f>
        <v>0</v>
      </c>
    </row>
    <row r="1762" spans="1:11" ht="12.75" customHeight="1">
      <c r="A1762" s="28"/>
      <c r="B1762" s="29"/>
      <c r="C1762" s="30" t="str">
        <f t="array" ref="C1762">IFERROR(_xlfn.XLOOKUP(B1762,MObra[[#All],[DESCRIPCION]],MObra[[#All],[UN]],,0),"")</f>
        <v/>
      </c>
      <c r="D1762" s="31"/>
      <c r="E1762" s="32" t="str">
        <f>IFERROR(_xlfn.XLOOKUP($B1762,MObra[DESCRIPCION],MObra[VALOR UNIT],,0),"")</f>
        <v/>
      </c>
      <c r="F1762" s="33"/>
      <c r="G1762" s="34" t="str">
        <f>IFERROR(IF(F1762&gt;=0,D1762*E1762*(1+F1762/100),ABS(D1762*E1762/F1762)),"")</f>
        <v/>
      </c>
      <c r="H1762" s="43" t="str">
        <f>IFERROR(G1762*E1742,"")</f>
        <v/>
      </c>
    </row>
    <row r="1763" spans="1:11" ht="12.75" customHeight="1" thickBot="1">
      <c r="A1763" s="35"/>
      <c r="B1763" s="36"/>
      <c r="C1763" s="37" t="str">
        <f t="array" ref="C1763">IFERROR(_xlfn.XLOOKUP(B1763,MObra[[#All],[DESCRIPCION]],MObra[[#All],[UN]],,0),"")</f>
        <v/>
      </c>
      <c r="D1763" s="38"/>
      <c r="E1763" s="39" t="str">
        <f>IFERROR(_xlfn.XLOOKUP($B1763,MObra[DESCRIPCION],MObra[VALOR UNIT],,0),"")</f>
        <v/>
      </c>
      <c r="F1763" s="40"/>
      <c r="G1763" s="41" t="str">
        <f>IFERROR(IF(F1763&gt;=0,D1763*E1763*(1+F1763/100),ABS(D1763*E1763/F1763)),"")</f>
        <v/>
      </c>
      <c r="H1763" s="42" t="str">
        <f>IFERROR(G1763*E1742,"")</f>
        <v/>
      </c>
    </row>
    <row r="1764" spans="1:11" ht="12.75" customHeight="1" thickTop="1" thickBot="1"/>
    <row r="1765" spans="1:11" ht="12.75" customHeight="1" thickTop="1" thickBot="1">
      <c r="A1765" s="6" t="s">
        <v>483</v>
      </c>
      <c r="B1765" s="7" t="str">
        <f>VLOOKUP($A1765,Presupuesto!$A:$D,2,FALSE())</f>
        <v>Placa maciza concreto 20.7 Mpa E=0.12m Steeldeck lámina 2"</v>
      </c>
      <c r="C1765" s="8" t="str">
        <f>VLOOKUP($A1765,Presupuesto!$A:$D,3,FALSE())</f>
        <v>M2</v>
      </c>
      <c r="D1765" s="9"/>
      <c r="E1765" s="10">
        <f>VLOOKUP($A1765,Presupuesto!$A:$D,4,FALSE())</f>
        <v>0</v>
      </c>
      <c r="F1765" s="11" t="s">
        <v>2589</v>
      </c>
      <c r="G1765" s="12">
        <f>SUM(G1767:G1786)/2</f>
        <v>298341.9903702325</v>
      </c>
      <c r="H1765" s="13">
        <f>ROUND(SUM(H1767:H1786),0)/2</f>
        <v>0</v>
      </c>
      <c r="I1765" s="10">
        <f>VLOOKUP(A1765,Presupuesto!$A:$F,6,0)</f>
        <v>0</v>
      </c>
      <c r="J1765" s="10">
        <f>+H1765-I1765</f>
        <v>0</v>
      </c>
      <c r="K1765" s="46">
        <f>+H1765-G1765*E1765</f>
        <v>0</v>
      </c>
    </row>
    <row r="1766" spans="1:11" ht="12.75" customHeight="1" thickTop="1">
      <c r="A1766" s="14"/>
      <c r="B1766" s="15" t="s">
        <v>2586</v>
      </c>
      <c r="C1766" s="15" t="s">
        <v>5</v>
      </c>
      <c r="D1766" s="16" t="s">
        <v>6</v>
      </c>
      <c r="E1766" s="17" t="s">
        <v>7</v>
      </c>
      <c r="F1766" s="18" t="s">
        <v>3728</v>
      </c>
      <c r="G1766" s="19" t="s">
        <v>3729</v>
      </c>
      <c r="H1766" s="20" t="s">
        <v>3797</v>
      </c>
    </row>
    <row r="1767" spans="1:11" ht="12.75" customHeight="1">
      <c r="A1767" s="21"/>
      <c r="B1767" s="22" t="s">
        <v>3730</v>
      </c>
      <c r="C1767" s="23"/>
      <c r="D1767" s="24"/>
      <c r="E1767" s="25"/>
      <c r="F1767" s="26"/>
      <c r="G1767" s="27">
        <f>SUM(G1768:G1772)</f>
        <v>166026.83925348247</v>
      </c>
      <c r="H1767" s="27">
        <f>IFERROR(G1767*E1765,"")</f>
        <v>0</v>
      </c>
    </row>
    <row r="1768" spans="1:11" ht="12.75" customHeight="1">
      <c r="A1768" s="28"/>
      <c r="B1768" s="29" t="s">
        <v>3239</v>
      </c>
      <c r="C1768" s="30" t="str">
        <f>IFERROR(_xlfn.XLOOKUP(B1768,Insumo[DESCRIPCION],Insumo[UND],,0),"")</f>
        <v>M3</v>
      </c>
      <c r="D1768" s="31">
        <v>0.12</v>
      </c>
      <c r="E1768" s="32">
        <f>IFERROR(_xlfn.XLOOKUP($B1768,Insumo[DESCRIPCION],Insumo[VALOR],,0),"")</f>
        <v>521159.50227762427</v>
      </c>
      <c r="F1768" s="33">
        <v>5</v>
      </c>
      <c r="G1768" s="34">
        <f>IFERROR(IF(F1768&gt;=0,D1768*E1768*(1+F1768/100),ABS(D1768*E1768/F1768)),"")</f>
        <v>65666.097286980657</v>
      </c>
      <c r="H1768" s="43">
        <f>IFERROR(G1768*E1765,"")</f>
        <v>0</v>
      </c>
    </row>
    <row r="1769" spans="1:11" ht="12.75" customHeight="1">
      <c r="A1769" s="28"/>
      <c r="B1769" s="29" t="s">
        <v>2957</v>
      </c>
      <c r="C1769" s="30" t="str">
        <f>IFERROR(_xlfn.XLOOKUP(B1769,Insumo[DESCRIPCION],Insumo[UND],,0),"")</f>
        <v>M2</v>
      </c>
      <c r="D1769" s="31">
        <v>0.24</v>
      </c>
      <c r="E1769" s="32">
        <f>IFERROR(_xlfn.XLOOKUP($B1769,Insumo[DESCRIPCION],Insumo[VALOR],,0),"")</f>
        <v>149544.7581937575</v>
      </c>
      <c r="F1769" s="33"/>
      <c r="G1769" s="34">
        <f>IFERROR(IF(F1769&gt;=0,D1769*E1769*(1+F1769/100),ABS(D1769*E1769/F1769)),"")</f>
        <v>35890.741966501802</v>
      </c>
      <c r="H1769" s="43">
        <f>IFERROR(G1769*E1765,"")</f>
        <v>0</v>
      </c>
    </row>
    <row r="1770" spans="1:11" ht="12.75" customHeight="1">
      <c r="A1770" s="28"/>
      <c r="B1770" s="29" t="s">
        <v>2709</v>
      </c>
      <c r="C1770" s="30" t="str">
        <f>IFERROR(_xlfn.XLOOKUP(B1770,Insumo[DESCRIPCION],Insumo[UND],,0),"")</f>
        <v>Kg</v>
      </c>
      <c r="D1770" s="31">
        <v>0.5</v>
      </c>
      <c r="E1770" s="32">
        <f>IFERROR(_xlfn.XLOOKUP($B1770,Insumo[DESCRIPCION],Insumo[VALOR],,0),"")</f>
        <v>14812.35</v>
      </c>
      <c r="F1770" s="33"/>
      <c r="G1770" s="34">
        <f>IFERROR(IF(F1770&gt;=0,D1770*E1770*(1+F1770/100),ABS(D1770*E1770/F1770)),"")</f>
        <v>7406.1750000000002</v>
      </c>
      <c r="H1770" s="43">
        <f>IFERROR(G1770*E1765,"")</f>
        <v>0</v>
      </c>
    </row>
    <row r="1771" spans="1:11" ht="12.75" customHeight="1">
      <c r="A1771" s="28"/>
      <c r="B1771" s="29" t="s">
        <v>3034</v>
      </c>
      <c r="C1771" s="30" t="str">
        <f>IFERROR(_xlfn.XLOOKUP(B1771,Insumo[DESCRIPCION],Insumo[UND],,0),"")</f>
        <v>M2</v>
      </c>
      <c r="D1771" s="31">
        <v>1</v>
      </c>
      <c r="E1771" s="32">
        <f>IFERROR(_xlfn.XLOOKUP($B1771,Insumo[DESCRIPCION],Insumo[VALOR],,0),"")</f>
        <v>53653.950000000004</v>
      </c>
      <c r="F1771" s="33"/>
      <c r="G1771" s="34">
        <f>IFERROR(IF(F1771&gt;=0,D1771*E1771*(1+F1771/100),ABS(D1771*E1771/F1771)),"")</f>
        <v>53653.950000000004</v>
      </c>
      <c r="H1771" s="43">
        <f>IFERROR(G1771*E1765,"")</f>
        <v>0</v>
      </c>
    </row>
    <row r="1772" spans="1:11" ht="12.75" customHeight="1">
      <c r="A1772" s="28"/>
      <c r="B1772" s="29" t="s">
        <v>2889</v>
      </c>
      <c r="C1772" s="30" t="str">
        <f>IFERROR(_xlfn.XLOOKUP(B1772,Insumo[DESCRIPCION],Insumo[UND],,0),"")</f>
        <v>Un</v>
      </c>
      <c r="D1772" s="31">
        <v>1.5</v>
      </c>
      <c r="E1772" s="32">
        <f>IFERROR(_xlfn.XLOOKUP($B1772,Insumo[DESCRIPCION],Insumo[VALOR],,0),"")</f>
        <v>2273.25</v>
      </c>
      <c r="F1772" s="33"/>
      <c r="G1772" s="34">
        <f>IFERROR(IF(F1772&gt;=0,D1772*E1772*(1+F1772/100),ABS(D1772*E1772/F1772)),"")</f>
        <v>3409.875</v>
      </c>
      <c r="H1772" s="43">
        <f>IFERROR(G1772*E1765,"")</f>
        <v>0</v>
      </c>
    </row>
    <row r="1773" spans="1:11" ht="12.75" customHeight="1">
      <c r="A1773" s="21"/>
      <c r="B1773" s="22" t="s">
        <v>3731</v>
      </c>
      <c r="C1773" s="23"/>
      <c r="D1773" s="24"/>
      <c r="E1773" s="25"/>
      <c r="F1773" s="26"/>
      <c r="G1773" s="27">
        <f>SUM(G1774:G1779)</f>
        <v>37498.892910321432</v>
      </c>
      <c r="H1773" s="44">
        <f>G1773*E1765</f>
        <v>0</v>
      </c>
    </row>
    <row r="1774" spans="1:11" ht="12.75" customHeight="1">
      <c r="A1774" s="28"/>
      <c r="B1774" s="29" t="s">
        <v>3657</v>
      </c>
      <c r="C1774" s="30" t="str">
        <f>IFERROR(_xlfn.XLOOKUP(B1774,Equipo[DESCRIPCION],Equipo[UND],,0),"")</f>
        <v>Día</v>
      </c>
      <c r="D1774" s="31">
        <v>1</v>
      </c>
      <c r="E1774" s="32">
        <f>IF(C1774="%MO",G1783,IFERROR(_xlfn.XLOOKUP($B1774,Equipo[DESCRIPCION],Equipo[VALOR],,0),""))</f>
        <v>56524.65</v>
      </c>
      <c r="F1774" s="33">
        <v>-10</v>
      </c>
      <c r="G1774" s="34">
        <f t="shared" ref="G1774:G1779" si="5">IFERROR(IF(F1774&gt;=0,D1774*E1774*(1+F1774/100),ABS(D1774*E1774/F1774)),"")</f>
        <v>5652.4650000000001</v>
      </c>
      <c r="H1774" s="43">
        <f>IFERROR(G1774*E1765,"")</f>
        <v>0</v>
      </c>
    </row>
    <row r="1775" spans="1:11" ht="12.75" customHeight="1">
      <c r="A1775" s="28"/>
      <c r="B1775" s="29" t="s">
        <v>3652</v>
      </c>
      <c r="C1775" s="30" t="str">
        <f>IFERROR(_xlfn.XLOOKUP(B1775,Equipo[DESCRIPCION],Equipo[UND],,0),"")</f>
        <v>Día</v>
      </c>
      <c r="D1775" s="31">
        <v>1</v>
      </c>
      <c r="E1775" s="32">
        <f>IF(C1775="%MO",G1784,IFERROR(_xlfn.XLOOKUP($B1775,Equipo[DESCRIPCION],Equipo[VALOR],,0),""))</f>
        <v>635.25</v>
      </c>
      <c r="F1775" s="33">
        <v>-0.1</v>
      </c>
      <c r="G1775" s="34">
        <f t="shared" si="5"/>
        <v>6352.5</v>
      </c>
      <c r="H1775" s="43">
        <f>IFERROR(G1775*E1765,"")</f>
        <v>0</v>
      </c>
    </row>
    <row r="1776" spans="1:11" ht="12.75" customHeight="1">
      <c r="A1776" s="28"/>
      <c r="B1776" s="29" t="s">
        <v>3591</v>
      </c>
      <c r="C1776" s="30" t="str">
        <f>IFERROR(_xlfn.XLOOKUP(B1776,Equipo[DESCRIPCION],Equipo[UND],,0),"")</f>
        <v>Día</v>
      </c>
      <c r="D1776" s="31">
        <v>1</v>
      </c>
      <c r="E1776" s="32">
        <f>IF(C1776="%MO",G1785,IFERROR(_xlfn.XLOOKUP($B1776,Equipo[DESCRIPCION],Equipo[VALOR],,0),""))</f>
        <v>635.25</v>
      </c>
      <c r="F1776" s="33">
        <v>-0.1</v>
      </c>
      <c r="G1776" s="34">
        <f t="shared" si="5"/>
        <v>6352.5</v>
      </c>
      <c r="H1776" s="43">
        <f>IFERROR(G1776*E1765,"")</f>
        <v>0</v>
      </c>
    </row>
    <row r="1777" spans="1:11" ht="12.75" customHeight="1">
      <c r="A1777" s="28"/>
      <c r="B1777" s="29" t="s">
        <v>3651</v>
      </c>
      <c r="C1777" s="30" t="str">
        <f>IFERROR(_xlfn.XLOOKUP(B1777,Equipo[DESCRIPCION],Equipo[UND],,0),"")</f>
        <v>Día</v>
      </c>
      <c r="D1777" s="31">
        <v>1</v>
      </c>
      <c r="E1777" s="32">
        <f>IF(C1777="%MO",G1786,IFERROR(_xlfn.XLOOKUP($B1777,Equipo[DESCRIPCION],Equipo[VALOR],,0),""))</f>
        <v>981.75</v>
      </c>
      <c r="F1777" s="33">
        <v>-0.14000000000000001</v>
      </c>
      <c r="G1777" s="34">
        <f t="shared" si="5"/>
        <v>7012.4999999999991</v>
      </c>
      <c r="H1777" s="43">
        <f>IFERROR(G1777*E1765,"")</f>
        <v>0</v>
      </c>
    </row>
    <row r="1778" spans="1:11" ht="12.75" customHeight="1">
      <c r="A1778" s="28"/>
      <c r="B1778" s="29" t="s">
        <v>3640</v>
      </c>
      <c r="C1778" s="30" t="str">
        <f>IFERROR(_xlfn.XLOOKUP(B1778,Equipo[DESCRIPCION],Equipo[UND],,0),"")</f>
        <v>Día</v>
      </c>
      <c r="D1778" s="31">
        <v>1</v>
      </c>
      <c r="E1778" s="32">
        <f>IF(C1778="%MO",G1787,IFERROR(_xlfn.XLOOKUP($B1778,Equipo[DESCRIPCION],Equipo[VALOR],,0),""))</f>
        <v>73881.150000000009</v>
      </c>
      <c r="F1778" s="33">
        <v>-10</v>
      </c>
      <c r="G1778" s="34">
        <f t="shared" si="5"/>
        <v>7388.1150000000007</v>
      </c>
      <c r="H1778" s="43">
        <f>IFERROR(G1778*E1765,"")</f>
        <v>0</v>
      </c>
    </row>
    <row r="1779" spans="1:11" ht="12.75" customHeight="1">
      <c r="A1779" s="28"/>
      <c r="B1779" s="29" t="s">
        <v>3626</v>
      </c>
      <c r="C1779" s="30" t="str">
        <f>IFERROR(_xlfn.XLOOKUP(B1779,Equipo[DESCRIPCION],Equipo[UND],,0),"")</f>
        <v>%MO</v>
      </c>
      <c r="D1779" s="31">
        <v>0.05</v>
      </c>
      <c r="E1779" s="32">
        <f>IF(C1779="%MO",G1783,IFERROR(_xlfn.XLOOKUP($B1779,Equipo[DESCRIPCION],Equipo[VALOR],,0),""))</f>
        <v>94816.258206428596</v>
      </c>
      <c r="F1779" s="33"/>
      <c r="G1779" s="34">
        <f t="shared" si="5"/>
        <v>4740.8129103214296</v>
      </c>
      <c r="H1779" s="43">
        <f>IFERROR(G1779*E1765,"")</f>
        <v>0</v>
      </c>
    </row>
    <row r="1780" spans="1:11" ht="12.75" customHeight="1">
      <c r="A1780" s="21"/>
      <c r="B1780" s="22" t="s">
        <v>2533</v>
      </c>
      <c r="C1780" s="23"/>
      <c r="D1780" s="24"/>
      <c r="E1780" s="25"/>
      <c r="F1780" s="26"/>
      <c r="G1780" s="27">
        <f>SUM(G1781:G1782)</f>
        <v>0</v>
      </c>
      <c r="H1780" s="44">
        <f>G1780*E1765</f>
        <v>0</v>
      </c>
    </row>
    <row r="1781" spans="1:11" ht="12.75" customHeight="1">
      <c r="A1781" s="28"/>
      <c r="B1781" s="29"/>
      <c r="C1781" s="30" t="str">
        <f>IFERROR(_xlfn.XLOOKUP(B1781,Transporte[DESCRIPCION],Transporte[UND],,0),"")</f>
        <v/>
      </c>
      <c r="D1781" s="31"/>
      <c r="E1781" s="32" t="str">
        <f>IFERROR(_xlfn.XLOOKUP($B1781,Transporte[DESCRIPCION],Transporte[VALOR],,0),"")</f>
        <v/>
      </c>
      <c r="F1781" s="33"/>
      <c r="G1781" s="34" t="str">
        <f>IFERROR(IF(F1781&gt;=0,D1781*E1781*(1+F1781/100),ABS(D1781*E1781/F1781)),"")</f>
        <v/>
      </c>
      <c r="H1781" s="43" t="str">
        <f>IFERROR(G1781*E1765,"")</f>
        <v/>
      </c>
    </row>
    <row r="1782" spans="1:11" ht="12.75" customHeight="1">
      <c r="A1782" s="28"/>
      <c r="B1782" s="29"/>
      <c r="C1782" s="30" t="str">
        <f>IFERROR(_xlfn.XLOOKUP(B1782,Transporte[DESCRIPCION],Transporte[UND],,0),"")</f>
        <v/>
      </c>
      <c r="D1782" s="31"/>
      <c r="E1782" s="32" t="str">
        <f>IFERROR(_xlfn.XLOOKUP($B1782,Transporte[DESCRIPCION],Transporte[VALOR],,0),"")</f>
        <v/>
      </c>
      <c r="F1782" s="33"/>
      <c r="G1782" s="34" t="str">
        <f>IFERROR(IF(F1782&gt;=0,D1782*E1782*(1+F1782/100),ABS(D1782*E1782/F1782)),"")</f>
        <v/>
      </c>
      <c r="H1782" s="43" t="str">
        <f>IFERROR(G1782*E1765,"")</f>
        <v/>
      </c>
    </row>
    <row r="1783" spans="1:11" ht="12.75" customHeight="1">
      <c r="A1783" s="21"/>
      <c r="B1783" s="22" t="s">
        <v>3732</v>
      </c>
      <c r="C1783" s="23"/>
      <c r="D1783" s="24"/>
      <c r="E1783" s="25"/>
      <c r="F1783" s="26"/>
      <c r="G1783" s="27">
        <f>SUM(G1784:G1786)</f>
        <v>94816.258206428596</v>
      </c>
      <c r="H1783" s="44">
        <f>G1783*E1765</f>
        <v>0</v>
      </c>
    </row>
    <row r="1784" spans="1:11" ht="12.75" customHeight="1">
      <c r="A1784" s="28"/>
      <c r="B1784" s="29" t="s">
        <v>3713</v>
      </c>
      <c r="C1784" s="30" t="str">
        <f>IFERROR(_xlfn.XLOOKUP(B1784,MObra[DESCRIPCION],MObra[UN],,0),"")</f>
        <v>día</v>
      </c>
      <c r="D1784" s="31">
        <v>1</v>
      </c>
      <c r="E1784" s="32">
        <f>IFERROR(_xlfn.XLOOKUP($B1784,MObra[DESCRIPCION],MObra[VALOR UNIT],,0),"")</f>
        <v>663713.80744500016</v>
      </c>
      <c r="F1784" s="33">
        <v>-7</v>
      </c>
      <c r="G1784" s="34">
        <f>IFERROR(IF(F1784&gt;=0,D1784*E1784*(1+F1784/100),ABS(D1784*E1784/F1784)),"")</f>
        <v>94816.258206428596</v>
      </c>
      <c r="H1784" s="43">
        <f>IFERROR(G1784*E1765,"")</f>
        <v>0</v>
      </c>
    </row>
    <row r="1785" spans="1:11" ht="12.75" customHeight="1">
      <c r="A1785" s="28"/>
      <c r="B1785" s="29"/>
      <c r="C1785" s="30" t="str">
        <f t="array" ref="C1785">IFERROR(_xlfn.XLOOKUP(B1785,MObra[[#All],[DESCRIPCION]],MObra[[#All],[UN]],,0),"")</f>
        <v/>
      </c>
      <c r="D1785" s="31"/>
      <c r="E1785" s="32" t="str">
        <f>IFERROR(_xlfn.XLOOKUP($B1785,MObra[DESCRIPCION],MObra[VALOR UNIT],,0),"")</f>
        <v/>
      </c>
      <c r="F1785" s="33"/>
      <c r="G1785" s="34" t="str">
        <f>IFERROR(IF(F1785&gt;=0,D1785*E1785*(1+F1785/100),ABS(D1785*E1785/F1785)),"")</f>
        <v/>
      </c>
      <c r="H1785" s="43" t="str">
        <f>IFERROR(G1785*E1765,"")</f>
        <v/>
      </c>
    </row>
    <row r="1786" spans="1:11" ht="12.75" customHeight="1" thickBot="1">
      <c r="A1786" s="35"/>
      <c r="B1786" s="36"/>
      <c r="C1786" s="37" t="str">
        <f t="array" ref="C1786">IFERROR(_xlfn.XLOOKUP(B1786,MObra[[#All],[DESCRIPCION]],MObra[[#All],[UN]],,0),"")</f>
        <v/>
      </c>
      <c r="D1786" s="38"/>
      <c r="E1786" s="39" t="str">
        <f>IFERROR(_xlfn.XLOOKUP($B1786,MObra[DESCRIPCION],MObra[VALOR UNIT],,0),"")</f>
        <v/>
      </c>
      <c r="F1786" s="40"/>
      <c r="G1786" s="41" t="str">
        <f>IFERROR(IF(F1786&gt;=0,D1786*E1786*(1+F1786/100),ABS(D1786*E1786/F1786)),"")</f>
        <v/>
      </c>
      <c r="H1786" s="42" t="str">
        <f>IFERROR(G1786*E1765,"")</f>
        <v/>
      </c>
    </row>
    <row r="1787" spans="1:11" ht="12.75" customHeight="1" thickTop="1" thickBot="1"/>
    <row r="1788" spans="1:11" ht="12.75" customHeight="1" thickTop="1" thickBot="1">
      <c r="A1788" s="6" t="s">
        <v>485</v>
      </c>
      <c r="B1788" s="7" t="str">
        <f>VLOOKUP($A1788,Presupuesto!$A:$D,2,FALSE())</f>
        <v>Placa maciza concreto 20.7 Mpa E=0.13m premezclado</v>
      </c>
      <c r="C1788" s="8" t="str">
        <f>VLOOKUP($A1788,Presupuesto!$A:$D,3,FALSE())</f>
        <v>M2</v>
      </c>
      <c r="D1788" s="9"/>
      <c r="E1788" s="10">
        <f>VLOOKUP($A1788,Presupuesto!$A:$D,4,FALSE())</f>
        <v>0</v>
      </c>
      <c r="F1788" s="11" t="s">
        <v>2589</v>
      </c>
      <c r="G1788" s="12">
        <f>SUM(G1790:G1809)/2</f>
        <v>280086.68503121787</v>
      </c>
      <c r="H1788" s="13">
        <f>ROUND(SUM(H1790:H1809),0)/2</f>
        <v>0</v>
      </c>
      <c r="I1788" s="10">
        <f>VLOOKUP(A1788,Presupuesto!$A:$F,6,0)</f>
        <v>0</v>
      </c>
      <c r="J1788" s="10">
        <f>+H1788-I1788</f>
        <v>0</v>
      </c>
      <c r="K1788" s="46">
        <f>+H1788-G1788*E1788</f>
        <v>0</v>
      </c>
    </row>
    <row r="1789" spans="1:11" ht="12.75" customHeight="1" thickTop="1">
      <c r="A1789" s="14"/>
      <c r="B1789" s="15" t="s">
        <v>2586</v>
      </c>
      <c r="C1789" s="15" t="s">
        <v>5</v>
      </c>
      <c r="D1789" s="16" t="s">
        <v>6</v>
      </c>
      <c r="E1789" s="17" t="s">
        <v>7</v>
      </c>
      <c r="F1789" s="18" t="s">
        <v>3728</v>
      </c>
      <c r="G1789" s="19" t="s">
        <v>3729</v>
      </c>
      <c r="H1789" s="20" t="s">
        <v>3797</v>
      </c>
    </row>
    <row r="1790" spans="1:11" ht="12.75" customHeight="1">
      <c r="A1790" s="21"/>
      <c r="B1790" s="22" t="s">
        <v>3730</v>
      </c>
      <c r="C1790" s="23"/>
      <c r="D1790" s="24"/>
      <c r="E1790" s="25"/>
      <c r="F1790" s="26"/>
      <c r="G1790" s="27">
        <f>SUM(G1791:G1795)</f>
        <v>144393.05800537695</v>
      </c>
      <c r="H1790" s="27">
        <f>IFERROR(G1790*E1788,"")</f>
        <v>0</v>
      </c>
    </row>
    <row r="1791" spans="1:11" ht="12.75" customHeight="1">
      <c r="A1791" s="28"/>
      <c r="B1791" s="29" t="s">
        <v>2868</v>
      </c>
      <c r="C1791" s="30" t="str">
        <f>IFERROR(_xlfn.XLOOKUP(B1791,Insumo[DESCRIPCION],Insumo[UND],,0),"")</f>
        <v>M3</v>
      </c>
      <c r="D1791" s="31">
        <v>0.13</v>
      </c>
      <c r="E1791" s="32">
        <f>IFERROR(_xlfn.XLOOKUP($B1791,Insumo[DESCRIPCION],Insumo[VALOR],,0),"")</f>
        <v>718719.75</v>
      </c>
      <c r="F1791" s="33">
        <v>5</v>
      </c>
      <c r="G1791" s="34">
        <f>IFERROR(IF(F1791&gt;=0,D1791*E1791*(1+F1791/100),ABS(D1791*E1791/F1791)),"")</f>
        <v>98105.245875000008</v>
      </c>
      <c r="H1791" s="43">
        <f>IFERROR(G1791*E1788,"")</f>
        <v>0</v>
      </c>
    </row>
    <row r="1792" spans="1:11" ht="12.75" customHeight="1">
      <c r="A1792" s="28"/>
      <c r="B1792" s="29" t="s">
        <v>2957</v>
      </c>
      <c r="C1792" s="30" t="str">
        <f>IFERROR(_xlfn.XLOOKUP(B1792,Insumo[DESCRIPCION],Insumo[UND],,0),"")</f>
        <v>M2</v>
      </c>
      <c r="D1792" s="31">
        <v>0.26</v>
      </c>
      <c r="E1792" s="32">
        <f>IFERROR(_xlfn.XLOOKUP($B1792,Insumo[DESCRIPCION],Insumo[VALOR],,0),"")</f>
        <v>149544.7581937575</v>
      </c>
      <c r="F1792" s="33"/>
      <c r="G1792" s="34">
        <f>IFERROR(IF(F1792&gt;=0,D1792*E1792*(1+F1792/100),ABS(D1792*E1792/F1792)),"")</f>
        <v>38881.637130376948</v>
      </c>
      <c r="H1792" s="43">
        <f>IFERROR(G1792*E1788,"")</f>
        <v>0</v>
      </c>
    </row>
    <row r="1793" spans="1:8" ht="12.75" customHeight="1">
      <c r="A1793" s="28"/>
      <c r="B1793" s="29" t="s">
        <v>2709</v>
      </c>
      <c r="C1793" s="30" t="str">
        <f>IFERROR(_xlfn.XLOOKUP(B1793,Insumo[DESCRIPCION],Insumo[UND],,0),"")</f>
        <v>Kg</v>
      </c>
      <c r="D1793" s="31">
        <v>0.5</v>
      </c>
      <c r="E1793" s="32">
        <f>IFERROR(_xlfn.XLOOKUP($B1793,Insumo[DESCRIPCION],Insumo[VALOR],,0),"")</f>
        <v>14812.35</v>
      </c>
      <c r="F1793" s="33"/>
      <c r="G1793" s="34">
        <f>IFERROR(IF(F1793&gt;=0,D1793*E1793*(1+F1793/100),ABS(D1793*E1793/F1793)),"")</f>
        <v>7406.1750000000002</v>
      </c>
      <c r="H1793" s="43">
        <f>IFERROR(G1793*E1788,"")</f>
        <v>0</v>
      </c>
    </row>
    <row r="1794" spans="1:8" ht="12.75" customHeight="1">
      <c r="A1794" s="28"/>
      <c r="B1794" s="29"/>
      <c r="C1794" s="30" t="str">
        <f>IFERROR(_xlfn.XLOOKUP(B1794,Insumo[DESCRIPCION],Insumo[UND],,0),"")</f>
        <v/>
      </c>
      <c r="D1794" s="31"/>
      <c r="E1794" s="32" t="str">
        <f>IFERROR(_xlfn.XLOOKUP($B1794,Insumo[DESCRIPCION],Insumo[VALOR],,0),"")</f>
        <v/>
      </c>
      <c r="F1794" s="33"/>
      <c r="G1794" s="34" t="str">
        <f>IFERROR(IF(F1794&gt;=0,D1794*E1794*(1+F1794/100),ABS(D1794*E1794/F1794)),"")</f>
        <v/>
      </c>
      <c r="H1794" s="43" t="str">
        <f>IFERROR(G1794*E1788,"")</f>
        <v/>
      </c>
    </row>
    <row r="1795" spans="1:8" ht="12.75" customHeight="1">
      <c r="A1795" s="28"/>
      <c r="B1795" s="29"/>
      <c r="C1795" s="30" t="str">
        <f>IFERROR(_xlfn.XLOOKUP(B1795,Insumo[DESCRIPCION],Insumo[UND],,0),"")</f>
        <v/>
      </c>
      <c r="D1795" s="31"/>
      <c r="E1795" s="32" t="str">
        <f>IFERROR(_xlfn.XLOOKUP($B1795,Insumo[DESCRIPCION],Insumo[VALOR],,0),"")</f>
        <v/>
      </c>
      <c r="F1795" s="33"/>
      <c r="G1795" s="34" t="str">
        <f>IFERROR(IF(F1795&gt;=0,D1795*E1795*(1+F1795/100),ABS(D1795*E1795/F1795)),"")</f>
        <v/>
      </c>
      <c r="H1795" s="43" t="str">
        <f>IFERROR(G1795*E1788,"")</f>
        <v/>
      </c>
    </row>
    <row r="1796" spans="1:8" ht="12.75" customHeight="1">
      <c r="A1796" s="21"/>
      <c r="B1796" s="22" t="s">
        <v>3731</v>
      </c>
      <c r="C1796" s="23"/>
      <c r="D1796" s="24"/>
      <c r="E1796" s="25"/>
      <c r="F1796" s="26"/>
      <c r="G1796" s="27">
        <f>SUM(G1797:G1802)</f>
        <v>40877.368819412339</v>
      </c>
      <c r="H1796" s="44">
        <f>G1796*E1788</f>
        <v>0</v>
      </c>
    </row>
    <row r="1797" spans="1:8" ht="12.75" customHeight="1">
      <c r="A1797" s="28"/>
      <c r="B1797" s="29" t="s">
        <v>3657</v>
      </c>
      <c r="C1797" s="30" t="str">
        <f>IFERROR(_xlfn.XLOOKUP(B1797,Equipo[DESCRIPCION],Equipo[UND],,0),"")</f>
        <v>Día</v>
      </c>
      <c r="D1797" s="31">
        <v>1</v>
      </c>
      <c r="E1797" s="32">
        <f>IF(C1797="%MO",G1806,IFERROR(_xlfn.XLOOKUP($B1797,Equipo[DESCRIPCION],Equipo[VALOR],,0),""))</f>
        <v>56524.65</v>
      </c>
      <c r="F1797" s="33">
        <v>-10</v>
      </c>
      <c r="G1797" s="34">
        <f t="shared" ref="G1797:G1802" si="6">IFERROR(IF(F1797&gt;=0,D1797*E1797*(1+F1797/100),ABS(D1797*E1797/F1797)),"")</f>
        <v>5652.4650000000001</v>
      </c>
      <c r="H1797" s="43">
        <f>IFERROR(G1797*E1788,"")</f>
        <v>0</v>
      </c>
    </row>
    <row r="1798" spans="1:8" ht="12.75" customHeight="1">
      <c r="A1798" s="28"/>
      <c r="B1798" s="29" t="s">
        <v>3652</v>
      </c>
      <c r="C1798" s="30" t="str">
        <f>IFERROR(_xlfn.XLOOKUP(B1798,Equipo[DESCRIPCION],Equipo[UND],,0),"")</f>
        <v>Día</v>
      </c>
      <c r="D1798" s="31">
        <v>1</v>
      </c>
      <c r="E1798" s="32">
        <f>IF(C1798="%MO",G1807,IFERROR(_xlfn.XLOOKUP($B1798,Equipo[DESCRIPCION],Equipo[VALOR],,0),""))</f>
        <v>635.25</v>
      </c>
      <c r="F1798" s="33">
        <v>-0.1</v>
      </c>
      <c r="G1798" s="34">
        <f t="shared" si="6"/>
        <v>6352.5</v>
      </c>
      <c r="H1798" s="43">
        <f>IFERROR(G1798*E1788,"")</f>
        <v>0</v>
      </c>
    </row>
    <row r="1799" spans="1:8" ht="12.75" customHeight="1">
      <c r="A1799" s="28"/>
      <c r="B1799" s="29" t="s">
        <v>3591</v>
      </c>
      <c r="C1799" s="30" t="str">
        <f>IFERROR(_xlfn.XLOOKUP(B1799,Equipo[DESCRIPCION],Equipo[UND],,0),"")</f>
        <v>Día</v>
      </c>
      <c r="D1799" s="31">
        <v>1</v>
      </c>
      <c r="E1799" s="32">
        <f>IF(C1799="%MO",G1808,IFERROR(_xlfn.XLOOKUP($B1799,Equipo[DESCRIPCION],Equipo[VALOR],,0),""))</f>
        <v>635.25</v>
      </c>
      <c r="F1799" s="33">
        <v>-0.1</v>
      </c>
      <c r="G1799" s="34">
        <f t="shared" si="6"/>
        <v>6352.5</v>
      </c>
      <c r="H1799" s="43">
        <f>IFERROR(G1799*E1788,"")</f>
        <v>0</v>
      </c>
    </row>
    <row r="1800" spans="1:8" ht="12.75" customHeight="1">
      <c r="A1800" s="28"/>
      <c r="B1800" s="29" t="s">
        <v>3651</v>
      </c>
      <c r="C1800" s="30" t="str">
        <f>IFERROR(_xlfn.XLOOKUP(B1800,Equipo[DESCRIPCION],Equipo[UND],,0),"")</f>
        <v>Día</v>
      </c>
      <c r="D1800" s="31">
        <v>1</v>
      </c>
      <c r="E1800" s="32">
        <f>IF(C1800="%MO",G1809,IFERROR(_xlfn.XLOOKUP($B1800,Equipo[DESCRIPCION],Equipo[VALOR],,0),""))</f>
        <v>981.75</v>
      </c>
      <c r="F1800" s="33">
        <v>-0.14000000000000001</v>
      </c>
      <c r="G1800" s="34">
        <f t="shared" si="6"/>
        <v>7012.4999999999991</v>
      </c>
      <c r="H1800" s="43">
        <f>IFERROR(G1800*E1788,"")</f>
        <v>0</v>
      </c>
    </row>
    <row r="1801" spans="1:8" ht="12.75" customHeight="1">
      <c r="A1801" s="28"/>
      <c r="B1801" s="29" t="s">
        <v>3580</v>
      </c>
      <c r="C1801" s="30" t="str">
        <f>IFERROR(_xlfn.XLOOKUP(B1801,Equipo[DESCRIPCION],Equipo[UND],,0),"")</f>
        <v>M3</v>
      </c>
      <c r="D1801" s="31">
        <v>1</v>
      </c>
      <c r="E1801" s="32">
        <f>IF(C1801="%MO",G1810,IFERROR(_xlfn.XLOOKUP($B1801,Equipo[DESCRIPCION],Equipo[VALOR],,0),""))</f>
        <v>82902.75</v>
      </c>
      <c r="F1801" s="33">
        <v>-7.7</v>
      </c>
      <c r="G1801" s="34">
        <f t="shared" si="6"/>
        <v>10766.590909090908</v>
      </c>
      <c r="H1801" s="43">
        <f>IFERROR(G1801*E1788,"")</f>
        <v>0</v>
      </c>
    </row>
    <row r="1802" spans="1:8" ht="12.75" customHeight="1">
      <c r="A1802" s="28"/>
      <c r="B1802" s="29" t="s">
        <v>3626</v>
      </c>
      <c r="C1802" s="30" t="str">
        <f>IFERROR(_xlfn.XLOOKUP(B1802,Equipo[DESCRIPCION],Equipo[UND],,0),"")</f>
        <v>%MO</v>
      </c>
      <c r="D1802" s="31">
        <v>0.05</v>
      </c>
      <c r="E1802" s="32">
        <f>IF(C1802="%MO",G1806,IFERROR(_xlfn.XLOOKUP($B1802,Equipo[DESCRIPCION],Equipo[VALOR],,0),""))</f>
        <v>94816.258206428596</v>
      </c>
      <c r="F1802" s="33"/>
      <c r="G1802" s="34">
        <f t="shared" si="6"/>
        <v>4740.8129103214296</v>
      </c>
      <c r="H1802" s="43">
        <f>IFERROR(G1802*E1788,"")</f>
        <v>0</v>
      </c>
    </row>
    <row r="1803" spans="1:8" ht="12.75" customHeight="1">
      <c r="A1803" s="21"/>
      <c r="B1803" s="22" t="s">
        <v>2533</v>
      </c>
      <c r="C1803" s="23"/>
      <c r="D1803" s="24"/>
      <c r="E1803" s="25"/>
      <c r="F1803" s="26"/>
      <c r="G1803" s="27">
        <f>SUM(G1804:G1805)</f>
        <v>0</v>
      </c>
      <c r="H1803" s="44">
        <f>G1803*E1788</f>
        <v>0</v>
      </c>
    </row>
    <row r="1804" spans="1:8" ht="12.75" customHeight="1">
      <c r="A1804" s="28"/>
      <c r="B1804" s="29"/>
      <c r="C1804" s="30" t="str">
        <f>IFERROR(_xlfn.XLOOKUP(B1804,Transporte[DESCRIPCION],Transporte[UND],,0),"")</f>
        <v/>
      </c>
      <c r="D1804" s="31"/>
      <c r="E1804" s="32" t="str">
        <f>IFERROR(_xlfn.XLOOKUP($B1804,Transporte[DESCRIPCION],Transporte[VALOR],,0),"")</f>
        <v/>
      </c>
      <c r="F1804" s="33"/>
      <c r="G1804" s="34" t="str">
        <f>IFERROR(IF(F1804&gt;=0,D1804*E1804*(1+F1804/100),ABS(D1804*E1804/F1804)),"")</f>
        <v/>
      </c>
      <c r="H1804" s="43" t="str">
        <f>IFERROR(G1804*E1788,"")</f>
        <v/>
      </c>
    </row>
    <row r="1805" spans="1:8" ht="12.75" customHeight="1">
      <c r="A1805" s="28"/>
      <c r="B1805" s="29"/>
      <c r="C1805" s="30" t="str">
        <f>IFERROR(_xlfn.XLOOKUP(B1805,Transporte[DESCRIPCION],Transporte[UND],,0),"")</f>
        <v/>
      </c>
      <c r="D1805" s="31"/>
      <c r="E1805" s="32" t="str">
        <f>IFERROR(_xlfn.XLOOKUP($B1805,Transporte[DESCRIPCION],Transporte[VALOR],,0),"")</f>
        <v/>
      </c>
      <c r="F1805" s="33"/>
      <c r="G1805" s="34" t="str">
        <f>IFERROR(IF(F1805&gt;=0,D1805*E1805*(1+F1805/100),ABS(D1805*E1805/F1805)),"")</f>
        <v/>
      </c>
      <c r="H1805" s="43" t="str">
        <f>IFERROR(G1805*E1788,"")</f>
        <v/>
      </c>
    </row>
    <row r="1806" spans="1:8" ht="12.75" customHeight="1">
      <c r="A1806" s="21"/>
      <c r="B1806" s="22" t="s">
        <v>3732</v>
      </c>
      <c r="C1806" s="23"/>
      <c r="D1806" s="24"/>
      <c r="E1806" s="25"/>
      <c r="F1806" s="26"/>
      <c r="G1806" s="27">
        <f>SUM(G1807:G1809)</f>
        <v>94816.258206428596</v>
      </c>
      <c r="H1806" s="44">
        <f>G1806*E1788</f>
        <v>0</v>
      </c>
    </row>
    <row r="1807" spans="1:8" ht="12.75" customHeight="1">
      <c r="A1807" s="28"/>
      <c r="B1807" s="29" t="s">
        <v>3713</v>
      </c>
      <c r="C1807" s="30" t="str">
        <f>IFERROR(_xlfn.XLOOKUP(B1807,MObra[DESCRIPCION],MObra[UN],,0),"")</f>
        <v>día</v>
      </c>
      <c r="D1807" s="31">
        <v>1</v>
      </c>
      <c r="E1807" s="32">
        <f>IFERROR(_xlfn.XLOOKUP($B1807,MObra[DESCRIPCION],MObra[VALOR UNIT],,0),"")</f>
        <v>663713.80744500016</v>
      </c>
      <c r="F1807" s="33">
        <v>-7</v>
      </c>
      <c r="G1807" s="34">
        <f>IFERROR(IF(F1807&gt;=0,D1807*E1807*(1+F1807/100),ABS(D1807*E1807/F1807)),"")</f>
        <v>94816.258206428596</v>
      </c>
      <c r="H1807" s="43">
        <f>IFERROR(G1807*E1788,"")</f>
        <v>0</v>
      </c>
    </row>
    <row r="1808" spans="1:8" ht="12.75" customHeight="1">
      <c r="A1808" s="28"/>
      <c r="B1808" s="29"/>
      <c r="C1808" s="30" t="str">
        <f t="array" ref="C1808">IFERROR(_xlfn.XLOOKUP(B1808,MObra[[#All],[DESCRIPCION]],MObra[[#All],[UN]],,0),"")</f>
        <v/>
      </c>
      <c r="D1808" s="31"/>
      <c r="E1808" s="32" t="str">
        <f>IFERROR(_xlfn.XLOOKUP($B1808,MObra[DESCRIPCION],MObra[VALOR UNIT],,0),"")</f>
        <v/>
      </c>
      <c r="F1808" s="33"/>
      <c r="G1808" s="34" t="str">
        <f>IFERROR(IF(F1808&gt;=0,D1808*E1808*(1+F1808/100),ABS(D1808*E1808/F1808)),"")</f>
        <v/>
      </c>
      <c r="H1808" s="43" t="str">
        <f>IFERROR(G1808*E1788,"")</f>
        <v/>
      </c>
    </row>
    <row r="1809" spans="1:11" ht="12.75" customHeight="1" thickBot="1">
      <c r="A1809" s="35"/>
      <c r="B1809" s="36"/>
      <c r="C1809" s="37" t="str">
        <f t="array" ref="C1809">IFERROR(_xlfn.XLOOKUP(B1809,MObra[[#All],[DESCRIPCION]],MObra[[#All],[UN]],,0),"")</f>
        <v/>
      </c>
      <c r="D1809" s="38"/>
      <c r="E1809" s="39" t="str">
        <f>IFERROR(_xlfn.XLOOKUP($B1809,MObra[DESCRIPCION],MObra[VALOR UNIT],,0),"")</f>
        <v/>
      </c>
      <c r="F1809" s="40"/>
      <c r="G1809" s="41" t="str">
        <f>IFERROR(IF(F1809&gt;=0,D1809*E1809*(1+F1809/100),ABS(D1809*E1809/F1809)),"")</f>
        <v/>
      </c>
      <c r="H1809" s="42" t="str">
        <f>IFERROR(G1809*E1788,"")</f>
        <v/>
      </c>
    </row>
    <row r="1810" spans="1:11" ht="12.75" customHeight="1" thickTop="1" thickBot="1"/>
    <row r="1811" spans="1:11" ht="12.75" customHeight="1" thickTop="1" thickBot="1">
      <c r="A1811" s="6" t="s">
        <v>487</v>
      </c>
      <c r="B1811" s="7" t="str">
        <f>VLOOKUP($A1811,Presupuesto!$A:$D,2,FALSE())</f>
        <v>Placa maciza concreto 20.7 Mpa E=0.13m Steeldeck lámina 2"</v>
      </c>
      <c r="C1811" s="8" t="str">
        <f>VLOOKUP($A1811,Presupuesto!$A:$D,3,FALSE())</f>
        <v>M2</v>
      </c>
      <c r="D1811" s="9"/>
      <c r="E1811" s="10">
        <f>VLOOKUP($A1811,Presupuesto!$A:$D,4,FALSE())</f>
        <v>0</v>
      </c>
      <c r="F1811" s="11" t="s">
        <v>2589</v>
      </c>
      <c r="G1811" s="12">
        <f>SUM(G1813:G1832)/2</f>
        <v>306805.06030802266</v>
      </c>
      <c r="H1811" s="13">
        <f>ROUND(SUM(H1813:H1832),0)/2</f>
        <v>0</v>
      </c>
      <c r="I1811" s="10">
        <f>VLOOKUP(A1811,Presupuesto!$A:$F,6,0)</f>
        <v>0</v>
      </c>
      <c r="J1811" s="10">
        <f>+H1811-I1811</f>
        <v>0</v>
      </c>
      <c r="K1811" s="46">
        <f>+H1811-G1811*E1811</f>
        <v>0</v>
      </c>
    </row>
    <row r="1812" spans="1:11" ht="12.75" customHeight="1" thickTop="1">
      <c r="A1812" s="14"/>
      <c r="B1812" s="15" t="s">
        <v>2586</v>
      </c>
      <c r="C1812" s="15" t="s">
        <v>5</v>
      </c>
      <c r="D1812" s="16" t="s">
        <v>6</v>
      </c>
      <c r="E1812" s="17" t="s">
        <v>7</v>
      </c>
      <c r="F1812" s="18" t="s">
        <v>3728</v>
      </c>
      <c r="G1812" s="19" t="s">
        <v>3729</v>
      </c>
      <c r="H1812" s="20" t="s">
        <v>3797</v>
      </c>
    </row>
    <row r="1813" spans="1:11" ht="12.75" customHeight="1">
      <c r="A1813" s="21"/>
      <c r="B1813" s="22" t="s">
        <v>3730</v>
      </c>
      <c r="C1813" s="23"/>
      <c r="D1813" s="24"/>
      <c r="E1813" s="25"/>
      <c r="F1813" s="26"/>
      <c r="G1813" s="27">
        <f>SUM(G1814:G1818)</f>
        <v>174489.90919127266</v>
      </c>
      <c r="H1813" s="27">
        <f>IFERROR(G1813*E1811,"")</f>
        <v>0</v>
      </c>
    </row>
    <row r="1814" spans="1:11" ht="12.75" customHeight="1">
      <c r="A1814" s="28"/>
      <c r="B1814" s="29" t="s">
        <v>3239</v>
      </c>
      <c r="C1814" s="30" t="str">
        <f>IFERROR(_xlfn.XLOOKUP(B1814,Insumo[DESCRIPCION],Insumo[UND],,0),"")</f>
        <v>M3</v>
      </c>
      <c r="D1814" s="31">
        <v>0.13</v>
      </c>
      <c r="E1814" s="32">
        <f>IFERROR(_xlfn.XLOOKUP($B1814,Insumo[DESCRIPCION],Insumo[VALOR],,0),"")</f>
        <v>521159.50227762427</v>
      </c>
      <c r="F1814" s="33">
        <v>5</v>
      </c>
      <c r="G1814" s="34">
        <f>IFERROR(IF(F1814&gt;=0,D1814*E1814*(1+F1814/100),ABS(D1814*E1814/F1814)),"")</f>
        <v>71138.272060895717</v>
      </c>
      <c r="H1814" s="43">
        <f>IFERROR(G1814*E1811,"")</f>
        <v>0</v>
      </c>
    </row>
    <row r="1815" spans="1:11" ht="12.75" customHeight="1">
      <c r="A1815" s="28"/>
      <c r="B1815" s="29" t="s">
        <v>2957</v>
      </c>
      <c r="C1815" s="30" t="str">
        <f>IFERROR(_xlfn.XLOOKUP(B1815,Insumo[DESCRIPCION],Insumo[UND],,0),"")</f>
        <v>M2</v>
      </c>
      <c r="D1815" s="31">
        <v>0.26</v>
      </c>
      <c r="E1815" s="32">
        <f>IFERROR(_xlfn.XLOOKUP($B1815,Insumo[DESCRIPCION],Insumo[VALOR],,0),"")</f>
        <v>149544.7581937575</v>
      </c>
      <c r="F1815" s="33"/>
      <c r="G1815" s="34">
        <f>IFERROR(IF(F1815&gt;=0,D1815*E1815*(1+F1815/100),ABS(D1815*E1815/F1815)),"")</f>
        <v>38881.637130376948</v>
      </c>
      <c r="H1815" s="43">
        <f>IFERROR(G1815*E1811,"")</f>
        <v>0</v>
      </c>
    </row>
    <row r="1816" spans="1:11" ht="12.75" customHeight="1">
      <c r="A1816" s="28"/>
      <c r="B1816" s="29" t="s">
        <v>2709</v>
      </c>
      <c r="C1816" s="30" t="str">
        <f>IFERROR(_xlfn.XLOOKUP(B1816,Insumo[DESCRIPCION],Insumo[UND],,0),"")</f>
        <v>Kg</v>
      </c>
      <c r="D1816" s="31">
        <v>0.5</v>
      </c>
      <c r="E1816" s="32">
        <f>IFERROR(_xlfn.XLOOKUP($B1816,Insumo[DESCRIPCION],Insumo[VALOR],,0),"")</f>
        <v>14812.35</v>
      </c>
      <c r="F1816" s="33"/>
      <c r="G1816" s="34">
        <f>IFERROR(IF(F1816&gt;=0,D1816*E1816*(1+F1816/100),ABS(D1816*E1816/F1816)),"")</f>
        <v>7406.1750000000002</v>
      </c>
      <c r="H1816" s="43">
        <f>IFERROR(G1816*E1811,"")</f>
        <v>0</v>
      </c>
    </row>
    <row r="1817" spans="1:11" ht="12.75" customHeight="1">
      <c r="A1817" s="28"/>
      <c r="B1817" s="29" t="s">
        <v>3034</v>
      </c>
      <c r="C1817" s="30" t="str">
        <f>IFERROR(_xlfn.XLOOKUP(B1817,Insumo[DESCRIPCION],Insumo[UND],,0),"")</f>
        <v>M2</v>
      </c>
      <c r="D1817" s="31">
        <v>1</v>
      </c>
      <c r="E1817" s="32">
        <f>IFERROR(_xlfn.XLOOKUP($B1817,Insumo[DESCRIPCION],Insumo[VALOR],,0),"")</f>
        <v>53653.950000000004</v>
      </c>
      <c r="F1817" s="33"/>
      <c r="G1817" s="34">
        <f>IFERROR(IF(F1817&gt;=0,D1817*E1817*(1+F1817/100),ABS(D1817*E1817/F1817)),"")</f>
        <v>53653.950000000004</v>
      </c>
      <c r="H1817" s="43">
        <f>IFERROR(G1817*E1811,"")</f>
        <v>0</v>
      </c>
    </row>
    <row r="1818" spans="1:11" ht="12.75" customHeight="1">
      <c r="A1818" s="28"/>
      <c r="B1818" s="29" t="s">
        <v>2889</v>
      </c>
      <c r="C1818" s="30" t="str">
        <f>IFERROR(_xlfn.XLOOKUP(B1818,Insumo[DESCRIPCION],Insumo[UND],,0),"")</f>
        <v>Un</v>
      </c>
      <c r="D1818" s="31">
        <v>1.5</v>
      </c>
      <c r="E1818" s="32">
        <f>IFERROR(_xlfn.XLOOKUP($B1818,Insumo[DESCRIPCION],Insumo[VALOR],,0),"")</f>
        <v>2273.25</v>
      </c>
      <c r="F1818" s="33"/>
      <c r="G1818" s="34">
        <f>IFERROR(IF(F1818&gt;=0,D1818*E1818*(1+F1818/100),ABS(D1818*E1818/F1818)),"")</f>
        <v>3409.875</v>
      </c>
      <c r="H1818" s="43">
        <f>IFERROR(G1818*E1811,"")</f>
        <v>0</v>
      </c>
    </row>
    <row r="1819" spans="1:11" ht="12.75" customHeight="1">
      <c r="A1819" s="21"/>
      <c r="B1819" s="22" t="s">
        <v>3731</v>
      </c>
      <c r="C1819" s="23"/>
      <c r="D1819" s="24"/>
      <c r="E1819" s="25"/>
      <c r="F1819" s="26"/>
      <c r="G1819" s="27">
        <f>SUM(G1820:G1825)</f>
        <v>37498.892910321432</v>
      </c>
      <c r="H1819" s="44">
        <f>G1819*E1811</f>
        <v>0</v>
      </c>
    </row>
    <row r="1820" spans="1:11" ht="12.75" customHeight="1">
      <c r="A1820" s="28"/>
      <c r="B1820" s="29" t="s">
        <v>3657</v>
      </c>
      <c r="C1820" s="30" t="str">
        <f>IFERROR(_xlfn.XLOOKUP(B1820,Equipo[DESCRIPCION],Equipo[UND],,0),"")</f>
        <v>Día</v>
      </c>
      <c r="D1820" s="31">
        <v>1</v>
      </c>
      <c r="E1820" s="32">
        <f>IF(C1820="%MO",G1829,IFERROR(_xlfn.XLOOKUP($B1820,Equipo[DESCRIPCION],Equipo[VALOR],,0),""))</f>
        <v>56524.65</v>
      </c>
      <c r="F1820" s="33">
        <v>-10</v>
      </c>
      <c r="G1820" s="34">
        <f>IFERROR(IF(F1820&gt;=0,D1820*E1820*(1+F1820/100),ABS(D1820*E1820/F1820)),"")</f>
        <v>5652.4650000000001</v>
      </c>
      <c r="H1820" s="43">
        <f>IFERROR(G1820*E1811,"")</f>
        <v>0</v>
      </c>
    </row>
    <row r="1821" spans="1:11" ht="12.75" customHeight="1">
      <c r="A1821" s="28"/>
      <c r="B1821" s="29" t="s">
        <v>3652</v>
      </c>
      <c r="C1821" s="30" t="str">
        <f>IFERROR(_xlfn.XLOOKUP(B1821,Equipo[DESCRIPCION],Equipo[UND],,0),"")</f>
        <v>Día</v>
      </c>
      <c r="D1821" s="31">
        <v>1</v>
      </c>
      <c r="E1821" s="32">
        <f>IF(C1821="%MO",G1830,IFERROR(_xlfn.XLOOKUP($B1821,Equipo[DESCRIPCION],Equipo[VALOR],,0),""))</f>
        <v>635.25</v>
      </c>
      <c r="F1821" s="33">
        <v>-0.1</v>
      </c>
      <c r="G1821" s="34">
        <f t="shared" ref="G1821:G1823" si="7">IFERROR(IF(F1821&gt;=0,D1821*E1821*(1+F1821/100),ABS(D1821*E1821/F1821)),"")</f>
        <v>6352.5</v>
      </c>
      <c r="H1821" s="43" t="str">
        <f>IFERROR(G1821*E1812,"")</f>
        <v/>
      </c>
    </row>
    <row r="1822" spans="1:11" ht="12.75" customHeight="1">
      <c r="A1822" s="28"/>
      <c r="B1822" s="29" t="s">
        <v>3591</v>
      </c>
      <c r="C1822" s="30" t="str">
        <f>IFERROR(_xlfn.XLOOKUP(B1822,Equipo[DESCRIPCION],Equipo[UND],,0),"")</f>
        <v>Día</v>
      </c>
      <c r="D1822" s="31">
        <v>1</v>
      </c>
      <c r="E1822" s="32">
        <f>IF(C1822="%MO",G1831,IFERROR(_xlfn.XLOOKUP($B1822,Equipo[DESCRIPCION],Equipo[VALOR],,0),""))</f>
        <v>635.25</v>
      </c>
      <c r="F1822" s="33">
        <v>-0.1</v>
      </c>
      <c r="G1822" s="34">
        <f t="shared" si="7"/>
        <v>6352.5</v>
      </c>
      <c r="H1822" s="43">
        <f>IFERROR(G1822*E1811,"")</f>
        <v>0</v>
      </c>
    </row>
    <row r="1823" spans="1:11" ht="12.75" customHeight="1">
      <c r="A1823" s="28"/>
      <c r="B1823" s="29" t="s">
        <v>3651</v>
      </c>
      <c r="C1823" s="30" t="str">
        <f>IFERROR(_xlfn.XLOOKUP(B1823,Equipo[DESCRIPCION],Equipo[UND],,0),"")</f>
        <v>Día</v>
      </c>
      <c r="D1823" s="31">
        <v>1</v>
      </c>
      <c r="E1823" s="32">
        <f>IF(C1823="%MO",G1832,IFERROR(_xlfn.XLOOKUP($B1823,Equipo[DESCRIPCION],Equipo[VALOR],,0),""))</f>
        <v>981.75</v>
      </c>
      <c r="F1823" s="33">
        <v>-0.14000000000000001</v>
      </c>
      <c r="G1823" s="34">
        <f t="shared" si="7"/>
        <v>7012.4999999999991</v>
      </c>
      <c r="H1823" s="43">
        <f>IFERROR(G1823*E1811,"")</f>
        <v>0</v>
      </c>
    </row>
    <row r="1824" spans="1:11" ht="12.75" customHeight="1">
      <c r="A1824" s="28"/>
      <c r="B1824" s="29" t="s">
        <v>3640</v>
      </c>
      <c r="C1824" s="30" t="str">
        <f>IFERROR(_xlfn.XLOOKUP(B1824,Equipo[DESCRIPCION],Equipo[UND],,0),"")</f>
        <v>Día</v>
      </c>
      <c r="D1824" s="31">
        <v>1</v>
      </c>
      <c r="E1824" s="32">
        <f>IF(C1824="%MO",G1833,IFERROR(_xlfn.XLOOKUP($B1824,Equipo[DESCRIPCION],Equipo[VALOR],,0),""))</f>
        <v>73881.150000000009</v>
      </c>
      <c r="F1824" s="33">
        <v>-10</v>
      </c>
      <c r="G1824" s="34">
        <f>IFERROR(IF(F1824&gt;=0,D1824*E1824*(1+F1824/100),ABS(D1824*E1824/F1824)),"")</f>
        <v>7388.1150000000007</v>
      </c>
      <c r="H1824" s="43">
        <f>IFERROR(G1824*E1811,"")</f>
        <v>0</v>
      </c>
    </row>
    <row r="1825" spans="1:11" ht="12.75" customHeight="1">
      <c r="A1825" s="28"/>
      <c r="B1825" s="29" t="s">
        <v>3626</v>
      </c>
      <c r="C1825" s="30" t="str">
        <f>IFERROR(_xlfn.XLOOKUP(B1825,Equipo[DESCRIPCION],Equipo[UND],,0),"")</f>
        <v>%MO</v>
      </c>
      <c r="D1825" s="31">
        <v>0.05</v>
      </c>
      <c r="E1825" s="32">
        <f>IF(C1825="%MO",G1829,IFERROR(_xlfn.XLOOKUP($B1825,Equipo[DESCRIPCION],Equipo[VALOR],,0),""))</f>
        <v>94816.258206428596</v>
      </c>
      <c r="F1825" s="33"/>
      <c r="G1825" s="34">
        <f>IFERROR(IF(F1825&gt;=0,D1825*E1825*(1+F1825/100),ABS(D1825*E1825/F1825)),"")</f>
        <v>4740.8129103214296</v>
      </c>
      <c r="H1825" s="43">
        <f>IFERROR(G1825*E1811,"")</f>
        <v>0</v>
      </c>
    </row>
    <row r="1826" spans="1:11" ht="12.75" customHeight="1">
      <c r="A1826" s="21"/>
      <c r="B1826" s="22" t="s">
        <v>2533</v>
      </c>
      <c r="C1826" s="23"/>
      <c r="D1826" s="24"/>
      <c r="E1826" s="25"/>
      <c r="F1826" s="26"/>
      <c r="G1826" s="27">
        <f>SUM(G1827:G1828)</f>
        <v>0</v>
      </c>
      <c r="H1826" s="44">
        <f>G1826*E1811</f>
        <v>0</v>
      </c>
    </row>
    <row r="1827" spans="1:11" ht="12.75" customHeight="1">
      <c r="A1827" s="28"/>
      <c r="B1827" s="29"/>
      <c r="C1827" s="30" t="str">
        <f>IFERROR(_xlfn.XLOOKUP(B1827,Transporte[DESCRIPCION],Transporte[UND],,0),"")</f>
        <v/>
      </c>
      <c r="D1827" s="31"/>
      <c r="E1827" s="32" t="str">
        <f>IFERROR(_xlfn.XLOOKUP($B1827,Transporte[DESCRIPCION],Transporte[VALOR],,0),"")</f>
        <v/>
      </c>
      <c r="F1827" s="33"/>
      <c r="G1827" s="34" t="str">
        <f>IFERROR(IF(F1827&gt;=0,D1827*E1827*(1+F1827/100),ABS(D1827*E1827/F1827)),"")</f>
        <v/>
      </c>
      <c r="H1827" s="43" t="str">
        <f>IFERROR(G1827*E1811,"")</f>
        <v/>
      </c>
    </row>
    <row r="1828" spans="1:11" ht="12.75" customHeight="1">
      <c r="A1828" s="28"/>
      <c r="B1828" s="29"/>
      <c r="C1828" s="30" t="str">
        <f>IFERROR(_xlfn.XLOOKUP(B1828,Transporte[DESCRIPCION],Transporte[UND],,0),"")</f>
        <v/>
      </c>
      <c r="D1828" s="31"/>
      <c r="E1828" s="32" t="str">
        <f>IFERROR(_xlfn.XLOOKUP($B1828,Transporte[DESCRIPCION],Transporte[VALOR],,0),"")</f>
        <v/>
      </c>
      <c r="F1828" s="33"/>
      <c r="G1828" s="34" t="str">
        <f>IFERROR(IF(F1828&gt;=0,D1828*E1828*(1+F1828/100),ABS(D1828*E1828/F1828)),"")</f>
        <v/>
      </c>
      <c r="H1828" s="43" t="str">
        <f>IFERROR(G1828*E1811,"")</f>
        <v/>
      </c>
    </row>
    <row r="1829" spans="1:11" ht="12.75" customHeight="1">
      <c r="A1829" s="21"/>
      <c r="B1829" s="22" t="s">
        <v>3732</v>
      </c>
      <c r="C1829" s="23"/>
      <c r="D1829" s="24"/>
      <c r="E1829" s="25"/>
      <c r="F1829" s="26"/>
      <c r="G1829" s="27">
        <f>SUM(G1830:G1832)</f>
        <v>94816.258206428596</v>
      </c>
      <c r="H1829" s="44">
        <f>G1829*E1811</f>
        <v>0</v>
      </c>
    </row>
    <row r="1830" spans="1:11" ht="12.75" customHeight="1">
      <c r="A1830" s="28"/>
      <c r="B1830" s="29" t="s">
        <v>3713</v>
      </c>
      <c r="C1830" s="30" t="str">
        <f>IFERROR(_xlfn.XLOOKUP(B1830,MObra[DESCRIPCION],MObra[UN],,0),"")</f>
        <v>día</v>
      </c>
      <c r="D1830" s="31">
        <v>1</v>
      </c>
      <c r="E1830" s="32">
        <f>IFERROR(_xlfn.XLOOKUP($B1830,MObra[DESCRIPCION],MObra[VALOR UNIT],,0),"")</f>
        <v>663713.80744500016</v>
      </c>
      <c r="F1830" s="33">
        <v>-7</v>
      </c>
      <c r="G1830" s="34">
        <f>IFERROR(IF(F1830&gt;=0,D1830*E1830*(1+F1830/100),ABS(D1830*E1830/F1830)),"")</f>
        <v>94816.258206428596</v>
      </c>
      <c r="H1830" s="43">
        <f>IFERROR(G1830*E1811,"")</f>
        <v>0</v>
      </c>
    </row>
    <row r="1831" spans="1:11" ht="12.75" customHeight="1">
      <c r="A1831" s="28"/>
      <c r="B1831" s="29"/>
      <c r="C1831" s="30" t="str">
        <f t="array" ref="C1831">IFERROR(_xlfn.XLOOKUP(B1831,MObra[[#All],[DESCRIPCION]],MObra[[#All],[UN]],,0),"")</f>
        <v/>
      </c>
      <c r="D1831" s="31"/>
      <c r="E1831" s="32" t="str">
        <f>IFERROR(_xlfn.XLOOKUP($B1831,MObra[DESCRIPCION],MObra[VALOR UNIT],,0),"")</f>
        <v/>
      </c>
      <c r="F1831" s="33"/>
      <c r="G1831" s="34" t="str">
        <f>IFERROR(IF(F1831&gt;=0,D1831*E1831*(1+F1831/100),ABS(D1831*E1831/F1831)),"")</f>
        <v/>
      </c>
      <c r="H1831" s="43" t="str">
        <f>IFERROR(G1831*E1811,"")</f>
        <v/>
      </c>
    </row>
    <row r="1832" spans="1:11" ht="12.75" customHeight="1" thickBot="1">
      <c r="A1832" s="35"/>
      <c r="B1832" s="36"/>
      <c r="C1832" s="37" t="str">
        <f t="array" ref="C1832">IFERROR(_xlfn.XLOOKUP(B1832,MObra[[#All],[DESCRIPCION]],MObra[[#All],[UN]],,0),"")</f>
        <v/>
      </c>
      <c r="D1832" s="38"/>
      <c r="E1832" s="39" t="str">
        <f>IFERROR(_xlfn.XLOOKUP($B1832,MObra[DESCRIPCION],MObra[VALOR UNIT],,0),"")</f>
        <v/>
      </c>
      <c r="F1832" s="40"/>
      <c r="G1832" s="41" t="str">
        <f>IFERROR(IF(F1832&gt;=0,D1832*E1832*(1+F1832/100),ABS(D1832*E1832/F1832)),"")</f>
        <v/>
      </c>
      <c r="H1832" s="42" t="str">
        <f>IFERROR(G1832*E1811,"")</f>
        <v/>
      </c>
    </row>
    <row r="1833" spans="1:11" ht="12.75" customHeight="1" thickTop="1" thickBot="1"/>
    <row r="1834" spans="1:11" ht="12.75" customHeight="1" thickTop="1" thickBot="1">
      <c r="A1834" s="6" t="s">
        <v>489</v>
      </c>
      <c r="B1834" s="7" t="str">
        <f>VLOOKUP($A1834,Presupuesto!$A:$D,2,FALSE())</f>
        <v>Placa maciza concreto 20.7 Mpa E=0.15m</v>
      </c>
      <c r="C1834" s="8" t="str">
        <f>VLOOKUP($A1834,Presupuesto!$A:$D,3,FALSE())</f>
        <v>M2</v>
      </c>
      <c r="D1834" s="9"/>
      <c r="E1834" s="10">
        <f>VLOOKUP($A1834,Presupuesto!$A:$D,4,FALSE())</f>
        <v>0</v>
      </c>
      <c r="F1834" s="11" t="s">
        <v>2589</v>
      </c>
      <c r="G1834" s="12">
        <f>SUM(G1836:G1855)/2</f>
        <v>266667.37518360309</v>
      </c>
      <c r="H1834" s="13">
        <f>ROUND(SUM(H1836:H1855),0)/2</f>
        <v>0</v>
      </c>
      <c r="I1834" s="10">
        <f>VLOOKUP(A1834,Presupuesto!$A:$F,6,0)</f>
        <v>0</v>
      </c>
      <c r="J1834" s="10">
        <f>+H1834-I1834</f>
        <v>0</v>
      </c>
      <c r="K1834" s="46">
        <f>+H1834-G1834*E1834</f>
        <v>0</v>
      </c>
    </row>
    <row r="1835" spans="1:11" ht="12.75" customHeight="1" thickTop="1">
      <c r="A1835" s="14"/>
      <c r="B1835" s="15" t="s">
        <v>2586</v>
      </c>
      <c r="C1835" s="15" t="s">
        <v>5</v>
      </c>
      <c r="D1835" s="16" t="s">
        <v>6</v>
      </c>
      <c r="E1835" s="17" t="s">
        <v>7</v>
      </c>
      <c r="F1835" s="18" t="s">
        <v>3728</v>
      </c>
      <c r="G1835" s="19" t="s">
        <v>3729</v>
      </c>
      <c r="H1835" s="20" t="s">
        <v>3797</v>
      </c>
    </row>
    <row r="1836" spans="1:11" ht="12.75" customHeight="1">
      <c r="A1836" s="21"/>
      <c r="B1836" s="22" t="s">
        <v>3730</v>
      </c>
      <c r="C1836" s="23"/>
      <c r="D1836" s="24"/>
      <c r="E1836" s="25"/>
      <c r="F1836" s="26"/>
      <c r="G1836" s="27">
        <f>SUM(G1837:G1841)</f>
        <v>134352.22406685306</v>
      </c>
      <c r="H1836" s="27">
        <f>IFERROR(G1836*E1834,"")</f>
        <v>0</v>
      </c>
    </row>
    <row r="1837" spans="1:11" ht="12.75" customHeight="1">
      <c r="A1837" s="28"/>
      <c r="B1837" s="29" t="s">
        <v>3239</v>
      </c>
      <c r="C1837" s="30" t="str">
        <f>IFERROR(_xlfn.XLOOKUP(B1837,Insumo[DESCRIPCION],Insumo[UND],,0),"")</f>
        <v>M3</v>
      </c>
      <c r="D1837" s="31">
        <v>0.15</v>
      </c>
      <c r="E1837" s="32">
        <f>IFERROR(_xlfn.XLOOKUP($B1837,Insumo[DESCRIPCION],Insumo[VALOR],,0),"")</f>
        <v>521159.50227762427</v>
      </c>
      <c r="F1837" s="33">
        <v>5</v>
      </c>
      <c r="G1837" s="34">
        <f>IFERROR(IF(F1837&gt;=0,D1837*E1837*(1+F1837/100),ABS(D1837*E1837/F1837)),"")</f>
        <v>82082.621608725822</v>
      </c>
      <c r="H1837" s="43">
        <f>IFERROR(G1837*E1834,"")</f>
        <v>0</v>
      </c>
    </row>
    <row r="1838" spans="1:11" ht="12.75" customHeight="1">
      <c r="A1838" s="28"/>
      <c r="B1838" s="29" t="s">
        <v>2957</v>
      </c>
      <c r="C1838" s="30" t="str">
        <f>IFERROR(_xlfn.XLOOKUP(B1838,Insumo[DESCRIPCION],Insumo[UND],,0),"")</f>
        <v>M2</v>
      </c>
      <c r="D1838" s="31">
        <v>0.3</v>
      </c>
      <c r="E1838" s="32">
        <f>IFERROR(_xlfn.XLOOKUP($B1838,Insumo[DESCRIPCION],Insumo[VALOR],,0),"")</f>
        <v>149544.7581937575</v>
      </c>
      <c r="F1838" s="33"/>
      <c r="G1838" s="34">
        <f>IFERROR(IF(F1838&gt;=0,D1838*E1838*(1+F1838/100),ABS(D1838*E1838/F1838)),"")</f>
        <v>44863.427458127248</v>
      </c>
      <c r="H1838" s="43">
        <f>IFERROR(G1838*E1834,"")</f>
        <v>0</v>
      </c>
    </row>
    <row r="1839" spans="1:11" ht="12.75" customHeight="1">
      <c r="A1839" s="28"/>
      <c r="B1839" s="29" t="s">
        <v>2709</v>
      </c>
      <c r="C1839" s="30" t="str">
        <f>IFERROR(_xlfn.XLOOKUP(B1839,Insumo[DESCRIPCION],Insumo[UND],,0),"")</f>
        <v>Kg</v>
      </c>
      <c r="D1839" s="31">
        <v>0.5</v>
      </c>
      <c r="E1839" s="32">
        <f>IFERROR(_xlfn.XLOOKUP($B1839,Insumo[DESCRIPCION],Insumo[VALOR],,0),"")</f>
        <v>14812.35</v>
      </c>
      <c r="F1839" s="33"/>
      <c r="G1839" s="34">
        <f>IFERROR(IF(F1839&gt;=0,D1839*E1839*(1+F1839/100),ABS(D1839*E1839/F1839)),"")</f>
        <v>7406.1750000000002</v>
      </c>
      <c r="H1839" s="43">
        <f>IFERROR(G1839*E1834,"")</f>
        <v>0</v>
      </c>
    </row>
    <row r="1840" spans="1:11" ht="12.75" customHeight="1">
      <c r="A1840" s="28"/>
      <c r="B1840" s="29"/>
      <c r="C1840" s="30" t="str">
        <f>IFERROR(_xlfn.XLOOKUP(B1840,Insumo[DESCRIPCION],Insumo[UND],,0),"")</f>
        <v/>
      </c>
      <c r="D1840" s="31"/>
      <c r="E1840" s="32" t="str">
        <f>IFERROR(_xlfn.XLOOKUP($B1840,Insumo[DESCRIPCION],Insumo[VALOR],,0),"")</f>
        <v/>
      </c>
      <c r="F1840" s="33"/>
      <c r="G1840" s="34" t="str">
        <f>IFERROR(IF(F1840&gt;=0,D1840*E1840*(1+F1840/100),ABS(D1840*E1840/F1840)),"")</f>
        <v/>
      </c>
      <c r="H1840" s="43" t="str">
        <f>IFERROR(G1840*E1834,"")</f>
        <v/>
      </c>
    </row>
    <row r="1841" spans="1:8" ht="12.75" customHeight="1">
      <c r="A1841" s="28"/>
      <c r="B1841" s="29"/>
      <c r="C1841" s="30" t="str">
        <f>IFERROR(_xlfn.XLOOKUP(B1841,Insumo[DESCRIPCION],Insumo[UND],,0),"")</f>
        <v/>
      </c>
      <c r="D1841" s="31"/>
      <c r="E1841" s="32" t="str">
        <f>IFERROR(_xlfn.XLOOKUP($B1841,Insumo[DESCRIPCION],Insumo[VALOR],,0),"")</f>
        <v/>
      </c>
      <c r="F1841" s="33"/>
      <c r="G1841" s="34" t="str">
        <f>IFERROR(IF(F1841&gt;=0,D1841*E1841*(1+F1841/100),ABS(D1841*E1841/F1841)),"")</f>
        <v/>
      </c>
      <c r="H1841" s="43" t="str">
        <f>IFERROR(G1841*E1834,"")</f>
        <v/>
      </c>
    </row>
    <row r="1842" spans="1:8" ht="12.75" customHeight="1">
      <c r="A1842" s="21"/>
      <c r="B1842" s="22" t="s">
        <v>3731</v>
      </c>
      <c r="C1842" s="23"/>
      <c r="D1842" s="24"/>
      <c r="E1842" s="25"/>
      <c r="F1842" s="26"/>
      <c r="G1842" s="27">
        <f>SUM(G1843:G1848)</f>
        <v>37498.892910321432</v>
      </c>
      <c r="H1842" s="44">
        <f>G1842*E1834</f>
        <v>0</v>
      </c>
    </row>
    <row r="1843" spans="1:8" ht="12.75" customHeight="1">
      <c r="A1843" s="28"/>
      <c r="B1843" s="29" t="s">
        <v>3657</v>
      </c>
      <c r="C1843" s="30" t="str">
        <f>IFERROR(_xlfn.XLOOKUP(B1843,Equipo[DESCRIPCION],Equipo[UND],,0),"")</f>
        <v>Día</v>
      </c>
      <c r="D1843" s="31">
        <v>1</v>
      </c>
      <c r="E1843" s="32">
        <f>IF(C1843="%MO",G1852,IFERROR(_xlfn.XLOOKUP($B1843,Equipo[DESCRIPCION],Equipo[VALOR],,0),""))</f>
        <v>56524.65</v>
      </c>
      <c r="F1843" s="33">
        <v>-10</v>
      </c>
      <c r="G1843" s="34">
        <f t="shared" ref="G1843:G1848" si="8">IFERROR(IF(F1843&gt;=0,D1843*E1843*(1+F1843/100),ABS(D1843*E1843/F1843)),"")</f>
        <v>5652.4650000000001</v>
      </c>
      <c r="H1843" s="43">
        <f>IFERROR(G1843*E1834,"")</f>
        <v>0</v>
      </c>
    </row>
    <row r="1844" spans="1:8" ht="12.75" customHeight="1">
      <c r="A1844" s="28"/>
      <c r="B1844" s="29" t="s">
        <v>3652</v>
      </c>
      <c r="C1844" s="30" t="str">
        <f>IFERROR(_xlfn.XLOOKUP(B1844,Equipo[DESCRIPCION],Equipo[UND],,0),"")</f>
        <v>Día</v>
      </c>
      <c r="D1844" s="31">
        <v>1</v>
      </c>
      <c r="E1844" s="32">
        <f>IF(C1844="%MO",G1853,IFERROR(_xlfn.XLOOKUP($B1844,Equipo[DESCRIPCION],Equipo[VALOR],,0),""))</f>
        <v>635.25</v>
      </c>
      <c r="F1844" s="33">
        <v>-0.1</v>
      </c>
      <c r="G1844" s="34">
        <f t="shared" si="8"/>
        <v>6352.5</v>
      </c>
      <c r="H1844" s="43">
        <f>IFERROR(G1844*E1834,"")</f>
        <v>0</v>
      </c>
    </row>
    <row r="1845" spans="1:8" ht="12.75" customHeight="1">
      <c r="A1845" s="28"/>
      <c r="B1845" s="29" t="s">
        <v>3591</v>
      </c>
      <c r="C1845" s="30" t="str">
        <f>IFERROR(_xlfn.XLOOKUP(B1845,Equipo[DESCRIPCION],Equipo[UND],,0),"")</f>
        <v>Día</v>
      </c>
      <c r="D1845" s="31">
        <v>1</v>
      </c>
      <c r="E1845" s="32">
        <f>IF(C1845="%MO",G1854,IFERROR(_xlfn.XLOOKUP($B1845,Equipo[DESCRIPCION],Equipo[VALOR],,0),""))</f>
        <v>635.25</v>
      </c>
      <c r="F1845" s="33">
        <v>-0.1</v>
      </c>
      <c r="G1845" s="34">
        <f t="shared" si="8"/>
        <v>6352.5</v>
      </c>
      <c r="H1845" s="43">
        <f>IFERROR(G1845*E1834,"")</f>
        <v>0</v>
      </c>
    </row>
    <row r="1846" spans="1:8" ht="12.75" customHeight="1">
      <c r="A1846" s="28"/>
      <c r="B1846" s="29" t="s">
        <v>3651</v>
      </c>
      <c r="C1846" s="30" t="str">
        <f>IFERROR(_xlfn.XLOOKUP(B1846,Equipo[DESCRIPCION],Equipo[UND],,0),"")</f>
        <v>Día</v>
      </c>
      <c r="D1846" s="31">
        <v>1</v>
      </c>
      <c r="E1846" s="32">
        <f>IF(C1846="%MO",G1855,IFERROR(_xlfn.XLOOKUP($B1846,Equipo[DESCRIPCION],Equipo[VALOR],,0),""))</f>
        <v>981.75</v>
      </c>
      <c r="F1846" s="33">
        <v>-0.14000000000000001</v>
      </c>
      <c r="G1846" s="34">
        <f t="shared" si="8"/>
        <v>7012.4999999999991</v>
      </c>
      <c r="H1846" s="43">
        <f>IFERROR(G1846*E1834,"")</f>
        <v>0</v>
      </c>
    </row>
    <row r="1847" spans="1:8" ht="12.75" customHeight="1">
      <c r="A1847" s="28"/>
      <c r="B1847" s="29" t="s">
        <v>3640</v>
      </c>
      <c r="C1847" s="30" t="str">
        <f>IFERROR(_xlfn.XLOOKUP(B1847,Equipo[DESCRIPCION],Equipo[UND],,0),"")</f>
        <v>Día</v>
      </c>
      <c r="D1847" s="31">
        <v>1</v>
      </c>
      <c r="E1847" s="32">
        <f>IF(C1847="%MO",G1856,IFERROR(_xlfn.XLOOKUP($B1847,Equipo[DESCRIPCION],Equipo[VALOR],,0),""))</f>
        <v>73881.150000000009</v>
      </c>
      <c r="F1847" s="33">
        <v>-10</v>
      </c>
      <c r="G1847" s="34">
        <f t="shared" si="8"/>
        <v>7388.1150000000007</v>
      </c>
      <c r="H1847" s="43">
        <f>IFERROR(G1847*E1834,"")</f>
        <v>0</v>
      </c>
    </row>
    <row r="1848" spans="1:8" ht="12.75" customHeight="1">
      <c r="A1848" s="28"/>
      <c r="B1848" s="29" t="s">
        <v>3626</v>
      </c>
      <c r="C1848" s="30" t="str">
        <f>IFERROR(_xlfn.XLOOKUP(B1848,Equipo[DESCRIPCION],Equipo[UND],,0),"")</f>
        <v>%MO</v>
      </c>
      <c r="D1848" s="31">
        <v>0.05</v>
      </c>
      <c r="E1848" s="32">
        <f>IF(C1848="%MO",G1852,IFERROR(_xlfn.XLOOKUP($B1848,Equipo[DESCRIPCION],Equipo[VALOR],,0),""))</f>
        <v>94816.258206428596</v>
      </c>
      <c r="F1848" s="33"/>
      <c r="G1848" s="34">
        <f t="shared" si="8"/>
        <v>4740.8129103214296</v>
      </c>
      <c r="H1848" s="43">
        <f>IFERROR(G1848*E1834,"")</f>
        <v>0</v>
      </c>
    </row>
    <row r="1849" spans="1:8" ht="12.75" customHeight="1">
      <c r="A1849" s="21"/>
      <c r="B1849" s="22" t="s">
        <v>2533</v>
      </c>
      <c r="C1849" s="23"/>
      <c r="D1849" s="24"/>
      <c r="E1849" s="25"/>
      <c r="F1849" s="26"/>
      <c r="G1849" s="27">
        <f>SUM(G1850:G1851)</f>
        <v>0</v>
      </c>
      <c r="H1849" s="44">
        <f>G1849*E1834</f>
        <v>0</v>
      </c>
    </row>
    <row r="1850" spans="1:8" ht="12.75" customHeight="1">
      <c r="A1850" s="28"/>
      <c r="B1850" s="29"/>
      <c r="C1850" s="30" t="str">
        <f>IFERROR(_xlfn.XLOOKUP(B1850,Transporte[DESCRIPCION],Transporte[UND],,0),"")</f>
        <v/>
      </c>
      <c r="D1850" s="31"/>
      <c r="E1850" s="32" t="str">
        <f>IFERROR(_xlfn.XLOOKUP($B1850,Transporte[DESCRIPCION],Transporte[VALOR],,0),"")</f>
        <v/>
      </c>
      <c r="F1850" s="33"/>
      <c r="G1850" s="34" t="str">
        <f>IFERROR(IF(F1850&gt;=0,D1850*E1850*(1+F1850/100),ABS(D1850*E1850/F1850)),"")</f>
        <v/>
      </c>
      <c r="H1850" s="43" t="str">
        <f>IFERROR(G1850*E1834,"")</f>
        <v/>
      </c>
    </row>
    <row r="1851" spans="1:8" ht="12.75" customHeight="1">
      <c r="A1851" s="28"/>
      <c r="B1851" s="29"/>
      <c r="C1851" s="30" t="str">
        <f>IFERROR(_xlfn.XLOOKUP(B1851,Transporte[DESCRIPCION],Transporte[UND],,0),"")</f>
        <v/>
      </c>
      <c r="D1851" s="31"/>
      <c r="E1851" s="32" t="str">
        <f>IFERROR(_xlfn.XLOOKUP($B1851,Transporte[DESCRIPCION],Transporte[VALOR],,0),"")</f>
        <v/>
      </c>
      <c r="F1851" s="33"/>
      <c r="G1851" s="34" t="str">
        <f>IFERROR(IF(F1851&gt;=0,D1851*E1851*(1+F1851/100),ABS(D1851*E1851/F1851)),"")</f>
        <v/>
      </c>
      <c r="H1851" s="43" t="str">
        <f>IFERROR(G1851*E1834,"")</f>
        <v/>
      </c>
    </row>
    <row r="1852" spans="1:8" ht="12.75" customHeight="1">
      <c r="A1852" s="21"/>
      <c r="B1852" s="22" t="s">
        <v>3732</v>
      </c>
      <c r="C1852" s="23"/>
      <c r="D1852" s="24"/>
      <c r="E1852" s="25"/>
      <c r="F1852" s="26"/>
      <c r="G1852" s="27">
        <f>SUM(G1853:G1855)</f>
        <v>94816.258206428596</v>
      </c>
      <c r="H1852" s="44">
        <f>G1852*E1834</f>
        <v>0</v>
      </c>
    </row>
    <row r="1853" spans="1:8" ht="12.75" customHeight="1">
      <c r="A1853" s="28"/>
      <c r="B1853" s="29" t="s">
        <v>3713</v>
      </c>
      <c r="C1853" s="30" t="str">
        <f>IFERROR(_xlfn.XLOOKUP(B1853,MObra[DESCRIPCION],MObra[UN],,0),"")</f>
        <v>día</v>
      </c>
      <c r="D1853" s="31">
        <v>1</v>
      </c>
      <c r="E1853" s="32">
        <f>IFERROR(_xlfn.XLOOKUP($B1853,MObra[DESCRIPCION],MObra[VALOR UNIT],,0),"")</f>
        <v>663713.80744500016</v>
      </c>
      <c r="F1853" s="33">
        <v>-7</v>
      </c>
      <c r="G1853" s="34">
        <f>IFERROR(IF(F1853&gt;=0,D1853*E1853*(1+F1853/100),ABS(D1853*E1853/F1853)),"")</f>
        <v>94816.258206428596</v>
      </c>
      <c r="H1853" s="43">
        <f>IFERROR(G1853*E1834,"")</f>
        <v>0</v>
      </c>
    </row>
    <row r="1854" spans="1:8" ht="12.75" customHeight="1">
      <c r="A1854" s="28"/>
      <c r="B1854" s="29"/>
      <c r="C1854" s="30" t="str">
        <f t="array" ref="C1854">IFERROR(_xlfn.XLOOKUP(B1854,MObra[[#All],[DESCRIPCION]],MObra[[#All],[UN]],,0),"")</f>
        <v/>
      </c>
      <c r="D1854" s="31"/>
      <c r="E1854" s="32" t="str">
        <f>IFERROR(_xlfn.XLOOKUP($B1854,MObra[DESCRIPCION],MObra[VALOR UNIT],,0),"")</f>
        <v/>
      </c>
      <c r="F1854" s="33"/>
      <c r="G1854" s="34" t="str">
        <f>IFERROR(IF(F1854&gt;=0,D1854*E1854*(1+F1854/100),ABS(D1854*E1854/F1854)),"")</f>
        <v/>
      </c>
      <c r="H1854" s="43" t="str">
        <f>IFERROR(G1854*E1834,"")</f>
        <v/>
      </c>
    </row>
    <row r="1855" spans="1:8" ht="12.75" customHeight="1" thickBot="1">
      <c r="A1855" s="35"/>
      <c r="B1855" s="36"/>
      <c r="C1855" s="37" t="str">
        <f t="array" ref="C1855">IFERROR(_xlfn.XLOOKUP(B1855,MObra[[#All],[DESCRIPCION]],MObra[[#All],[UN]],,0),"")</f>
        <v/>
      </c>
      <c r="D1855" s="38"/>
      <c r="E1855" s="39" t="str">
        <f>IFERROR(_xlfn.XLOOKUP($B1855,MObra[DESCRIPCION],MObra[VALOR UNIT],,0),"")</f>
        <v/>
      </c>
      <c r="F1855" s="40"/>
      <c r="G1855" s="41" t="str">
        <f>IFERROR(IF(F1855&gt;=0,D1855*E1855*(1+F1855/100),ABS(D1855*E1855/F1855)),"")</f>
        <v/>
      </c>
      <c r="H1855" s="42" t="str">
        <f>IFERROR(G1855*E1834,"")</f>
        <v/>
      </c>
    </row>
    <row r="1856" spans="1:8" ht="12.75" customHeight="1" thickTop="1" thickBot="1"/>
    <row r="1857" spans="1:11" ht="12.75" customHeight="1" thickTop="1" thickBot="1">
      <c r="A1857" s="6" t="s">
        <v>491</v>
      </c>
      <c r="B1857" s="7" t="str">
        <f>VLOOKUP($A1857,Presupuesto!$A:$D,2,FALSE())</f>
        <v>Placa maciza concreto 20.7 Mpa E=0.15m premezclado</v>
      </c>
      <c r="C1857" s="8" t="str">
        <f>VLOOKUP($A1857,Presupuesto!$A:$D,3,FALSE())</f>
        <v>M2</v>
      </c>
      <c r="D1857" s="9"/>
      <c r="E1857" s="10">
        <f>VLOOKUP($A1857,Presupuesto!$A:$D,4,FALSE())</f>
        <v>0</v>
      </c>
      <c r="F1857" s="11" t="s">
        <v>2589</v>
      </c>
      <c r="G1857" s="12">
        <f>SUM(G1859:G1878)/2</f>
        <v>302768.54397599667</v>
      </c>
      <c r="H1857" s="13">
        <f>ROUND(SUM(H1859:H1878),0)/2</f>
        <v>0</v>
      </c>
      <c r="I1857" s="10">
        <f>VLOOKUP(A1857,Presupuesto!$A:$F,6,0)</f>
        <v>0</v>
      </c>
      <c r="J1857" s="10">
        <f>+H1857-I1857</f>
        <v>0</v>
      </c>
      <c r="K1857" s="46">
        <f>+H1857-G1857*E1857</f>
        <v>0</v>
      </c>
    </row>
    <row r="1858" spans="1:11" ht="12.75" customHeight="1" thickTop="1">
      <c r="A1858" s="14"/>
      <c r="B1858" s="15" t="s">
        <v>2586</v>
      </c>
      <c r="C1858" s="15" t="s">
        <v>5</v>
      </c>
      <c r="D1858" s="16" t="s">
        <v>6</v>
      </c>
      <c r="E1858" s="17" t="s">
        <v>7</v>
      </c>
      <c r="F1858" s="18" t="s">
        <v>3728</v>
      </c>
      <c r="G1858" s="19" t="s">
        <v>3729</v>
      </c>
      <c r="H1858" s="20" t="s">
        <v>3797</v>
      </c>
    </row>
    <row r="1859" spans="1:11" ht="12.75" customHeight="1">
      <c r="A1859" s="21"/>
      <c r="B1859" s="22" t="s">
        <v>3730</v>
      </c>
      <c r="C1859" s="23"/>
      <c r="D1859" s="24"/>
      <c r="E1859" s="25"/>
      <c r="F1859" s="26"/>
      <c r="G1859" s="27">
        <f>SUM(G1860:G1864)</f>
        <v>165467.96308312722</v>
      </c>
      <c r="H1859" s="27">
        <f>IFERROR(G1859*E1857,"")</f>
        <v>0</v>
      </c>
    </row>
    <row r="1860" spans="1:11" ht="12.75" customHeight="1">
      <c r="A1860" s="28"/>
      <c r="B1860" s="29" t="s">
        <v>2868</v>
      </c>
      <c r="C1860" s="30" t="str">
        <f>IFERROR(_xlfn.XLOOKUP(B1860,Insumo[DESCRIPCION],Insumo[UND],,0),"")</f>
        <v>M3</v>
      </c>
      <c r="D1860" s="31">
        <v>0.15</v>
      </c>
      <c r="E1860" s="32">
        <f>IFERROR(_xlfn.XLOOKUP($B1860,Insumo[DESCRIPCION],Insumo[VALOR],,0),"")</f>
        <v>718719.75</v>
      </c>
      <c r="F1860" s="33">
        <v>5</v>
      </c>
      <c r="G1860" s="34">
        <f>IFERROR(IF(F1860&gt;=0,D1860*E1860*(1+F1860/100),ABS(D1860*E1860/F1860)),"")</f>
        <v>113198.360625</v>
      </c>
      <c r="H1860" s="43">
        <f>IFERROR(G1860*E1857,"")</f>
        <v>0</v>
      </c>
    </row>
    <row r="1861" spans="1:11" ht="12.75" customHeight="1">
      <c r="A1861" s="28"/>
      <c r="B1861" s="29" t="s">
        <v>2957</v>
      </c>
      <c r="C1861" s="30" t="str">
        <f>IFERROR(_xlfn.XLOOKUP(B1861,Insumo[DESCRIPCION],Insumo[UND],,0),"")</f>
        <v>M2</v>
      </c>
      <c r="D1861" s="31">
        <v>0.3</v>
      </c>
      <c r="E1861" s="32">
        <f>IFERROR(_xlfn.XLOOKUP($B1861,Insumo[DESCRIPCION],Insumo[VALOR],,0),"")</f>
        <v>149544.7581937575</v>
      </c>
      <c r="F1861" s="33"/>
      <c r="G1861" s="34">
        <f>IFERROR(IF(F1861&gt;=0,D1861*E1861*(1+F1861/100),ABS(D1861*E1861/F1861)),"")</f>
        <v>44863.427458127248</v>
      </c>
      <c r="H1861" s="43">
        <f>IFERROR(G1861*E1857,"")</f>
        <v>0</v>
      </c>
    </row>
    <row r="1862" spans="1:11" ht="12.75" customHeight="1">
      <c r="A1862" s="28"/>
      <c r="B1862" s="29" t="s">
        <v>2709</v>
      </c>
      <c r="C1862" s="30" t="str">
        <f>IFERROR(_xlfn.XLOOKUP(B1862,Insumo[DESCRIPCION],Insumo[UND],,0),"")</f>
        <v>Kg</v>
      </c>
      <c r="D1862" s="31">
        <v>0.5</v>
      </c>
      <c r="E1862" s="32">
        <f>IFERROR(_xlfn.XLOOKUP($B1862,Insumo[DESCRIPCION],Insumo[VALOR],,0),"")</f>
        <v>14812.35</v>
      </c>
      <c r="F1862" s="33"/>
      <c r="G1862" s="34">
        <f>IFERROR(IF(F1862&gt;=0,D1862*E1862*(1+F1862/100),ABS(D1862*E1862/F1862)),"")</f>
        <v>7406.1750000000002</v>
      </c>
      <c r="H1862" s="43">
        <f>IFERROR(G1862*E1857,"")</f>
        <v>0</v>
      </c>
    </row>
    <row r="1863" spans="1:11" ht="12.75" customHeight="1">
      <c r="A1863" s="28"/>
      <c r="B1863" s="29"/>
      <c r="C1863" s="30" t="str">
        <f>IFERROR(_xlfn.XLOOKUP(B1863,Insumo[DESCRIPCION],Insumo[UND],,0),"")</f>
        <v/>
      </c>
      <c r="D1863" s="31"/>
      <c r="E1863" s="32" t="str">
        <f>IFERROR(_xlfn.XLOOKUP($B1863,Insumo[DESCRIPCION],Insumo[VALOR],,0),"")</f>
        <v/>
      </c>
      <c r="F1863" s="33"/>
      <c r="G1863" s="34" t="str">
        <f>IFERROR(IF(F1863&gt;=0,D1863*E1863*(1+F1863/100),ABS(D1863*E1863/F1863)),"")</f>
        <v/>
      </c>
      <c r="H1863" s="43" t="str">
        <f>IFERROR(G1863*E1857,"")</f>
        <v/>
      </c>
    </row>
    <row r="1864" spans="1:11" ht="12.75" customHeight="1">
      <c r="A1864" s="28"/>
      <c r="B1864" s="29"/>
      <c r="C1864" s="30" t="str">
        <f>IFERROR(_xlfn.XLOOKUP(B1864,Insumo[DESCRIPCION],Insumo[UND],,0),"")</f>
        <v/>
      </c>
      <c r="D1864" s="31"/>
      <c r="E1864" s="32" t="str">
        <f>IFERROR(_xlfn.XLOOKUP($B1864,Insumo[DESCRIPCION],Insumo[VALOR],,0),"")</f>
        <v/>
      </c>
      <c r="F1864" s="33"/>
      <c r="G1864" s="34" t="str">
        <f>IFERROR(IF(F1864&gt;=0,D1864*E1864*(1+F1864/100),ABS(D1864*E1864/F1864)),"")</f>
        <v/>
      </c>
      <c r="H1864" s="43" t="str">
        <f>IFERROR(G1864*E1857,"")</f>
        <v/>
      </c>
    </row>
    <row r="1865" spans="1:11" ht="12.75" customHeight="1">
      <c r="A1865" s="21"/>
      <c r="B1865" s="22" t="s">
        <v>3731</v>
      </c>
      <c r="C1865" s="23"/>
      <c r="D1865" s="24"/>
      <c r="E1865" s="25"/>
      <c r="F1865" s="26"/>
      <c r="G1865" s="27">
        <f>SUM(G1866:G1871)</f>
        <v>42484.322686440835</v>
      </c>
      <c r="H1865" s="44">
        <f>G1865*E1857</f>
        <v>0</v>
      </c>
    </row>
    <row r="1866" spans="1:11" ht="12.75" customHeight="1">
      <c r="A1866" s="28"/>
      <c r="B1866" s="29" t="s">
        <v>3657</v>
      </c>
      <c r="C1866" s="30" t="str">
        <f>IFERROR(_xlfn.XLOOKUP(B1866,Equipo[DESCRIPCION],Equipo[UND],,0),"")</f>
        <v>Día</v>
      </c>
      <c r="D1866" s="31">
        <v>1</v>
      </c>
      <c r="E1866" s="32">
        <f>IF(C1866="%MO",G1875,IFERROR(_xlfn.XLOOKUP($B1866,Equipo[DESCRIPCION],Equipo[VALOR],,0),""))</f>
        <v>56524.65</v>
      </c>
      <c r="F1866" s="33">
        <v>-10</v>
      </c>
      <c r="G1866" s="34">
        <f t="shared" ref="G1866:G1871" si="9">IFERROR(IF(F1866&gt;=0,D1866*E1866*(1+F1866/100),ABS(D1866*E1866/F1866)),"")</f>
        <v>5652.4650000000001</v>
      </c>
      <c r="H1866" s="43">
        <f>IFERROR(G1866*E1857,"")</f>
        <v>0</v>
      </c>
    </row>
    <row r="1867" spans="1:11" ht="12.75" customHeight="1">
      <c r="A1867" s="28"/>
      <c r="B1867" s="29" t="s">
        <v>3652</v>
      </c>
      <c r="C1867" s="30" t="str">
        <f>IFERROR(_xlfn.XLOOKUP(B1867,Equipo[DESCRIPCION],Equipo[UND],,0),"")</f>
        <v>Día</v>
      </c>
      <c r="D1867" s="31">
        <v>1</v>
      </c>
      <c r="E1867" s="32">
        <f>IF(C1867="%MO",G1876,IFERROR(_xlfn.XLOOKUP($B1867,Equipo[DESCRIPCION],Equipo[VALOR],,0),""))</f>
        <v>635.25</v>
      </c>
      <c r="F1867" s="33">
        <v>-0.1</v>
      </c>
      <c r="G1867" s="34">
        <f t="shared" si="9"/>
        <v>6352.5</v>
      </c>
      <c r="H1867" s="43">
        <f>IFERROR(G1867*E1857,"")</f>
        <v>0</v>
      </c>
    </row>
    <row r="1868" spans="1:11" ht="12.75" customHeight="1">
      <c r="A1868" s="28"/>
      <c r="B1868" s="29" t="s">
        <v>3591</v>
      </c>
      <c r="C1868" s="30" t="str">
        <f>IFERROR(_xlfn.XLOOKUP(B1868,Equipo[DESCRIPCION],Equipo[UND],,0),"")</f>
        <v>Día</v>
      </c>
      <c r="D1868" s="31">
        <v>1</v>
      </c>
      <c r="E1868" s="32">
        <f>IF(C1868="%MO",G1877,IFERROR(_xlfn.XLOOKUP($B1868,Equipo[DESCRIPCION],Equipo[VALOR],,0),""))</f>
        <v>635.25</v>
      </c>
      <c r="F1868" s="33">
        <v>-0.1</v>
      </c>
      <c r="G1868" s="34">
        <f t="shared" si="9"/>
        <v>6352.5</v>
      </c>
      <c r="H1868" s="43">
        <f>IFERROR(G1868*E1857,"")</f>
        <v>0</v>
      </c>
    </row>
    <row r="1869" spans="1:11" ht="12.75" customHeight="1">
      <c r="A1869" s="28"/>
      <c r="B1869" s="29" t="s">
        <v>3651</v>
      </c>
      <c r="C1869" s="30" t="str">
        <f>IFERROR(_xlfn.XLOOKUP(B1869,Equipo[DESCRIPCION],Equipo[UND],,0),"")</f>
        <v>Día</v>
      </c>
      <c r="D1869" s="31">
        <v>1</v>
      </c>
      <c r="E1869" s="32">
        <f>IF(C1869="%MO",G1878,IFERROR(_xlfn.XLOOKUP($B1869,Equipo[DESCRIPCION],Equipo[VALOR],,0),""))</f>
        <v>981.75</v>
      </c>
      <c r="F1869" s="33">
        <v>-0.14000000000000001</v>
      </c>
      <c r="G1869" s="34">
        <f t="shared" si="9"/>
        <v>7012.4999999999991</v>
      </c>
      <c r="H1869" s="43">
        <f>IFERROR(G1869*E1857,"")</f>
        <v>0</v>
      </c>
    </row>
    <row r="1870" spans="1:11" ht="12.75" customHeight="1">
      <c r="A1870" s="28"/>
      <c r="B1870" s="29" t="s">
        <v>3580</v>
      </c>
      <c r="C1870" s="30" t="str">
        <f>IFERROR(_xlfn.XLOOKUP(B1870,Equipo[DESCRIPCION],Equipo[UND],,0),"")</f>
        <v>M3</v>
      </c>
      <c r="D1870" s="31">
        <v>1</v>
      </c>
      <c r="E1870" s="32">
        <f>IF(C1870="%MO",G1879,IFERROR(_xlfn.XLOOKUP($B1870,Equipo[DESCRIPCION],Equipo[VALOR],,0),""))</f>
        <v>82902.75</v>
      </c>
      <c r="F1870" s="33">
        <v>-6.7</v>
      </c>
      <c r="G1870" s="34">
        <f t="shared" si="9"/>
        <v>12373.544776119403</v>
      </c>
      <c r="H1870" s="43">
        <f>IFERROR(G1870*E1857,"")</f>
        <v>0</v>
      </c>
    </row>
    <row r="1871" spans="1:11" ht="12.75" customHeight="1">
      <c r="A1871" s="28"/>
      <c r="B1871" s="29" t="s">
        <v>3626</v>
      </c>
      <c r="C1871" s="30" t="str">
        <f>IFERROR(_xlfn.XLOOKUP(B1871,Equipo[DESCRIPCION],Equipo[UND],,0),"")</f>
        <v>%MO</v>
      </c>
      <c r="D1871" s="31">
        <v>0.05</v>
      </c>
      <c r="E1871" s="32">
        <f>IF(C1871="%MO",G1875,IFERROR(_xlfn.XLOOKUP($B1871,Equipo[DESCRIPCION],Equipo[VALOR],,0),""))</f>
        <v>94816.258206428596</v>
      </c>
      <c r="F1871" s="33"/>
      <c r="G1871" s="34">
        <f t="shared" si="9"/>
        <v>4740.8129103214296</v>
      </c>
      <c r="H1871" s="43">
        <f>IFERROR(G1871*E1857,"")</f>
        <v>0</v>
      </c>
    </row>
    <row r="1872" spans="1:11" ht="12.75" customHeight="1">
      <c r="A1872" s="21"/>
      <c r="B1872" s="22" t="s">
        <v>2533</v>
      </c>
      <c r="C1872" s="23"/>
      <c r="D1872" s="24"/>
      <c r="E1872" s="25"/>
      <c r="F1872" s="26"/>
      <c r="G1872" s="27">
        <f>SUM(G1873:G1874)</f>
        <v>0</v>
      </c>
      <c r="H1872" s="44">
        <f>G1872*E1857</f>
        <v>0</v>
      </c>
    </row>
    <row r="1873" spans="1:11" ht="12.75" customHeight="1">
      <c r="A1873" s="28"/>
      <c r="B1873" s="29"/>
      <c r="C1873" s="30" t="str">
        <f>IFERROR(_xlfn.XLOOKUP(B1873,Transporte[DESCRIPCION],Transporte[UND],,0),"")</f>
        <v/>
      </c>
      <c r="D1873" s="31"/>
      <c r="E1873" s="32" t="str">
        <f>IFERROR(_xlfn.XLOOKUP($B1873,Transporte[DESCRIPCION],Transporte[VALOR],,0),"")</f>
        <v/>
      </c>
      <c r="F1873" s="33"/>
      <c r="G1873" s="34" t="str">
        <f>IFERROR(IF(F1873&gt;=0,D1873*E1873*(1+F1873/100),ABS(D1873*E1873/F1873)),"")</f>
        <v/>
      </c>
      <c r="H1873" s="43" t="str">
        <f>IFERROR(G1873*E1857,"")</f>
        <v/>
      </c>
    </row>
    <row r="1874" spans="1:11" ht="12.75" customHeight="1">
      <c r="A1874" s="28"/>
      <c r="B1874" s="29"/>
      <c r="C1874" s="30" t="str">
        <f>IFERROR(_xlfn.XLOOKUP(B1874,Transporte[DESCRIPCION],Transporte[UND],,0),"")</f>
        <v/>
      </c>
      <c r="D1874" s="31"/>
      <c r="E1874" s="32" t="str">
        <f>IFERROR(_xlfn.XLOOKUP($B1874,Transporte[DESCRIPCION],Transporte[VALOR],,0),"")</f>
        <v/>
      </c>
      <c r="F1874" s="33"/>
      <c r="G1874" s="34" t="str">
        <f>IFERROR(IF(F1874&gt;=0,D1874*E1874*(1+F1874/100),ABS(D1874*E1874/F1874)),"")</f>
        <v/>
      </c>
      <c r="H1874" s="43" t="str">
        <f>IFERROR(G1874*E1857,"")</f>
        <v/>
      </c>
    </row>
    <row r="1875" spans="1:11" ht="12.75" customHeight="1">
      <c r="A1875" s="21"/>
      <c r="B1875" s="22" t="s">
        <v>3732</v>
      </c>
      <c r="C1875" s="23"/>
      <c r="D1875" s="24"/>
      <c r="E1875" s="25"/>
      <c r="F1875" s="26"/>
      <c r="G1875" s="27">
        <f>SUM(G1876:G1878)</f>
        <v>94816.258206428596</v>
      </c>
      <c r="H1875" s="44">
        <f>G1875*E1857</f>
        <v>0</v>
      </c>
    </row>
    <row r="1876" spans="1:11" ht="12.75" customHeight="1">
      <c r="A1876" s="28"/>
      <c r="B1876" s="29" t="s">
        <v>3713</v>
      </c>
      <c r="C1876" s="30" t="str">
        <f>IFERROR(_xlfn.XLOOKUP(B1876,MObra[DESCRIPCION],MObra[UN],,0),"")</f>
        <v>día</v>
      </c>
      <c r="D1876" s="31">
        <v>1</v>
      </c>
      <c r="E1876" s="32">
        <f>IFERROR(_xlfn.XLOOKUP($B1876,MObra[DESCRIPCION],MObra[VALOR UNIT],,0),"")</f>
        <v>663713.80744500016</v>
      </c>
      <c r="F1876" s="33">
        <v>-7</v>
      </c>
      <c r="G1876" s="34">
        <f>IFERROR(IF(F1876&gt;=0,D1876*E1876*(1+F1876/100),ABS(D1876*E1876/F1876)),"")</f>
        <v>94816.258206428596</v>
      </c>
      <c r="H1876" s="43">
        <f>IFERROR(G1876*E1857,"")</f>
        <v>0</v>
      </c>
    </row>
    <row r="1877" spans="1:11" ht="12.75" customHeight="1">
      <c r="A1877" s="28"/>
      <c r="B1877" s="29"/>
      <c r="C1877" s="30" t="str">
        <f t="array" ref="C1877">IFERROR(_xlfn.XLOOKUP(B1877,MObra[[#All],[DESCRIPCION]],MObra[[#All],[UN]],,0),"")</f>
        <v/>
      </c>
      <c r="D1877" s="31"/>
      <c r="E1877" s="32" t="str">
        <f>IFERROR(_xlfn.XLOOKUP($B1877,MObra[DESCRIPCION],MObra[VALOR UNIT],,0),"")</f>
        <v/>
      </c>
      <c r="F1877" s="33"/>
      <c r="G1877" s="34" t="str">
        <f>IFERROR(IF(F1877&gt;=0,D1877*E1877*(1+F1877/100),ABS(D1877*E1877/F1877)),"")</f>
        <v/>
      </c>
      <c r="H1877" s="43" t="str">
        <f>IFERROR(G1877*E1857,"")</f>
        <v/>
      </c>
    </row>
    <row r="1878" spans="1:11" ht="12.75" customHeight="1" thickBot="1">
      <c r="A1878" s="35"/>
      <c r="B1878" s="36"/>
      <c r="C1878" s="37" t="str">
        <f t="array" ref="C1878">IFERROR(_xlfn.XLOOKUP(B1878,MObra[[#All],[DESCRIPCION]],MObra[[#All],[UN]],,0),"")</f>
        <v/>
      </c>
      <c r="D1878" s="38"/>
      <c r="E1878" s="39" t="str">
        <f>IFERROR(_xlfn.XLOOKUP($B1878,MObra[DESCRIPCION],MObra[VALOR UNIT],,0),"")</f>
        <v/>
      </c>
      <c r="F1878" s="40"/>
      <c r="G1878" s="41" t="str">
        <f>IFERROR(IF(F1878&gt;=0,D1878*E1878*(1+F1878/100),ABS(D1878*E1878/F1878)),"")</f>
        <v/>
      </c>
      <c r="H1878" s="42" t="str">
        <f>IFERROR(G1878*E1857,"")</f>
        <v/>
      </c>
    </row>
    <row r="1879" spans="1:11" ht="12.75" customHeight="1" thickTop="1" thickBot="1"/>
    <row r="1880" spans="1:11" ht="12.75" customHeight="1" thickTop="1" thickBot="1">
      <c r="A1880" s="6" t="s">
        <v>493</v>
      </c>
      <c r="B1880" s="7" t="str">
        <f>VLOOKUP($A1880,Presupuesto!$A:$D,2,FALSE())</f>
        <v>Placa maciza concreto 20.7 Mpa E=0.17m</v>
      </c>
      <c r="C1880" s="8" t="str">
        <f>VLOOKUP($A1880,Presupuesto!$A:$D,3,FALSE())</f>
        <v>M2</v>
      </c>
      <c r="D1880" s="9"/>
      <c r="E1880" s="10">
        <f>VLOOKUP($A1880,Presupuesto!$A:$D,4,FALSE())</f>
        <v>0</v>
      </c>
      <c r="F1880" s="11" t="s">
        <v>2589</v>
      </c>
      <c r="G1880" s="12">
        <f>SUM(G1882:G1901)/2</f>
        <v>283593.51505918347</v>
      </c>
      <c r="H1880" s="13">
        <f>ROUND(SUM(H1882:H1901),0)/2</f>
        <v>0</v>
      </c>
      <c r="I1880" s="10">
        <f>VLOOKUP(A1880,Presupuesto!$A:$F,6,0)</f>
        <v>0</v>
      </c>
      <c r="J1880" s="10">
        <f>+H1880-I1880</f>
        <v>0</v>
      </c>
      <c r="K1880" s="46">
        <f>+H1880-G1880*E1880</f>
        <v>0</v>
      </c>
    </row>
    <row r="1881" spans="1:11" ht="12.75" customHeight="1" thickTop="1">
      <c r="A1881" s="14"/>
      <c r="B1881" s="15" t="s">
        <v>2586</v>
      </c>
      <c r="C1881" s="15" t="s">
        <v>5</v>
      </c>
      <c r="D1881" s="16" t="s">
        <v>6</v>
      </c>
      <c r="E1881" s="17" t="s">
        <v>7</v>
      </c>
      <c r="F1881" s="18" t="s">
        <v>3728</v>
      </c>
      <c r="G1881" s="19" t="s">
        <v>3729</v>
      </c>
      <c r="H1881" s="20" t="s">
        <v>3797</v>
      </c>
    </row>
    <row r="1882" spans="1:11" ht="12.75" customHeight="1">
      <c r="A1882" s="21"/>
      <c r="B1882" s="22" t="s">
        <v>3730</v>
      </c>
      <c r="C1882" s="23"/>
      <c r="D1882" s="24"/>
      <c r="E1882" s="25"/>
      <c r="F1882" s="26"/>
      <c r="G1882" s="27">
        <f>SUM(G1883:G1887)</f>
        <v>151278.3639424335</v>
      </c>
      <c r="H1882" s="27">
        <f>IFERROR(G1882*E1880,"")</f>
        <v>0</v>
      </c>
    </row>
    <row r="1883" spans="1:11" ht="12.75" customHeight="1">
      <c r="A1883" s="28"/>
      <c r="B1883" s="29" t="s">
        <v>3239</v>
      </c>
      <c r="C1883" s="30" t="str">
        <f>IFERROR(_xlfn.XLOOKUP(B1883,Insumo[DESCRIPCION],Insumo[UND],,0),"")</f>
        <v>M3</v>
      </c>
      <c r="D1883" s="31">
        <v>0.17</v>
      </c>
      <c r="E1883" s="32">
        <f>IFERROR(_xlfn.XLOOKUP($B1883,Insumo[DESCRIPCION],Insumo[VALOR],,0),"")</f>
        <v>521159.50227762427</v>
      </c>
      <c r="F1883" s="33">
        <v>5</v>
      </c>
      <c r="G1883" s="34">
        <f>IFERROR(IF(F1883&gt;=0,D1883*E1883*(1+F1883/100),ABS(D1883*E1883/F1883)),"")</f>
        <v>93026.971156555941</v>
      </c>
      <c r="H1883" s="43">
        <f>IFERROR(G1883*E1880,"")</f>
        <v>0</v>
      </c>
    </row>
    <row r="1884" spans="1:11" ht="12.75" customHeight="1">
      <c r="A1884" s="28"/>
      <c r="B1884" s="29" t="s">
        <v>2957</v>
      </c>
      <c r="C1884" s="30" t="str">
        <f>IFERROR(_xlfn.XLOOKUP(B1884,Insumo[DESCRIPCION],Insumo[UND],,0),"")</f>
        <v>M2</v>
      </c>
      <c r="D1884" s="31">
        <v>0.34</v>
      </c>
      <c r="E1884" s="32">
        <f>IFERROR(_xlfn.XLOOKUP($B1884,Insumo[DESCRIPCION],Insumo[VALOR],,0),"")</f>
        <v>149544.7581937575</v>
      </c>
      <c r="F1884" s="33"/>
      <c r="G1884" s="34">
        <f>IFERROR(IF(F1884&gt;=0,D1884*E1884*(1+F1884/100),ABS(D1884*E1884/F1884)),"")</f>
        <v>50845.217785877554</v>
      </c>
      <c r="H1884" s="43">
        <f>IFERROR(G1884*E1880,"")</f>
        <v>0</v>
      </c>
    </row>
    <row r="1885" spans="1:11" ht="12.75" customHeight="1">
      <c r="A1885" s="28"/>
      <c r="B1885" s="29" t="s">
        <v>2709</v>
      </c>
      <c r="C1885" s="30" t="str">
        <f>IFERROR(_xlfn.XLOOKUP(B1885,Insumo[DESCRIPCION],Insumo[UND],,0),"")</f>
        <v>Kg</v>
      </c>
      <c r="D1885" s="31">
        <v>0.5</v>
      </c>
      <c r="E1885" s="32">
        <f>IFERROR(_xlfn.XLOOKUP($B1885,Insumo[DESCRIPCION],Insumo[VALOR],,0),"")</f>
        <v>14812.35</v>
      </c>
      <c r="F1885" s="33"/>
      <c r="G1885" s="34">
        <f>IFERROR(IF(F1885&gt;=0,D1885*E1885*(1+F1885/100),ABS(D1885*E1885/F1885)),"")</f>
        <v>7406.1750000000002</v>
      </c>
      <c r="H1885" s="43">
        <f>IFERROR(G1885*E1880,"")</f>
        <v>0</v>
      </c>
    </row>
    <row r="1886" spans="1:11" ht="12.75" customHeight="1">
      <c r="A1886" s="28"/>
      <c r="B1886" s="29"/>
      <c r="C1886" s="30" t="str">
        <f>IFERROR(_xlfn.XLOOKUP(B1886,Insumo[DESCRIPCION],Insumo[UND],,0),"")</f>
        <v/>
      </c>
      <c r="D1886" s="31"/>
      <c r="E1886" s="32" t="str">
        <f>IFERROR(_xlfn.XLOOKUP($B1886,Insumo[DESCRIPCION],Insumo[VALOR],,0),"")</f>
        <v/>
      </c>
      <c r="F1886" s="33"/>
      <c r="G1886" s="34" t="str">
        <f>IFERROR(IF(F1886&gt;=0,D1886*E1886*(1+F1886/100),ABS(D1886*E1886/F1886)),"")</f>
        <v/>
      </c>
      <c r="H1886" s="43" t="str">
        <f>IFERROR(G1886*E1880,"")</f>
        <v/>
      </c>
    </row>
    <row r="1887" spans="1:11" ht="12.75" customHeight="1">
      <c r="A1887" s="28"/>
      <c r="B1887" s="29"/>
      <c r="C1887" s="30" t="str">
        <f>IFERROR(_xlfn.XLOOKUP(B1887,Insumo[DESCRIPCION],Insumo[UND],,0),"")</f>
        <v/>
      </c>
      <c r="D1887" s="31"/>
      <c r="E1887" s="32" t="str">
        <f>IFERROR(_xlfn.XLOOKUP($B1887,Insumo[DESCRIPCION],Insumo[VALOR],,0),"")</f>
        <v/>
      </c>
      <c r="F1887" s="33"/>
      <c r="G1887" s="34" t="str">
        <f>IFERROR(IF(F1887&gt;=0,D1887*E1887*(1+F1887/100),ABS(D1887*E1887/F1887)),"")</f>
        <v/>
      </c>
      <c r="H1887" s="43" t="str">
        <f>IFERROR(G1887*E1880,"")</f>
        <v/>
      </c>
    </row>
    <row r="1888" spans="1:11" ht="12.75" customHeight="1">
      <c r="A1888" s="21"/>
      <c r="B1888" s="22" t="s">
        <v>3731</v>
      </c>
      <c r="C1888" s="23"/>
      <c r="D1888" s="24"/>
      <c r="E1888" s="25"/>
      <c r="F1888" s="26"/>
      <c r="G1888" s="27">
        <f>SUM(G1889:G1894)</f>
        <v>37498.892910321432</v>
      </c>
      <c r="H1888" s="44">
        <f>G1888*E1880</f>
        <v>0</v>
      </c>
    </row>
    <row r="1889" spans="1:11" ht="12.75" customHeight="1">
      <c r="A1889" s="28"/>
      <c r="B1889" s="29" t="s">
        <v>3657</v>
      </c>
      <c r="C1889" s="30" t="str">
        <f>IFERROR(_xlfn.XLOOKUP(B1889,Equipo[DESCRIPCION],Equipo[UND],,0),"")</f>
        <v>Día</v>
      </c>
      <c r="D1889" s="31">
        <v>1</v>
      </c>
      <c r="E1889" s="32">
        <f>IF(C1889="%MO",G1898,IFERROR(_xlfn.XLOOKUP($B1889,Equipo[DESCRIPCION],Equipo[VALOR],,0),""))</f>
        <v>56524.65</v>
      </c>
      <c r="F1889" s="33">
        <v>-10</v>
      </c>
      <c r="G1889" s="34">
        <f t="shared" ref="G1889:G1894" si="10">IFERROR(IF(F1889&gt;=0,D1889*E1889*(1+F1889/100),ABS(D1889*E1889/F1889)),"")</f>
        <v>5652.4650000000001</v>
      </c>
      <c r="H1889" s="43">
        <f>IFERROR(G1889*E1880,"")</f>
        <v>0</v>
      </c>
    </row>
    <row r="1890" spans="1:11" ht="12.75" customHeight="1">
      <c r="A1890" s="28"/>
      <c r="B1890" s="29" t="s">
        <v>3652</v>
      </c>
      <c r="C1890" s="30" t="str">
        <f>IFERROR(_xlfn.XLOOKUP(B1890,Equipo[DESCRIPCION],Equipo[UND],,0),"")</f>
        <v>Día</v>
      </c>
      <c r="D1890" s="31">
        <v>1</v>
      </c>
      <c r="E1890" s="32">
        <f>IF(C1890="%MO",G1899,IFERROR(_xlfn.XLOOKUP($B1890,Equipo[DESCRIPCION],Equipo[VALOR],,0),""))</f>
        <v>635.25</v>
      </c>
      <c r="F1890" s="33">
        <v>-0.1</v>
      </c>
      <c r="G1890" s="34">
        <f t="shared" si="10"/>
        <v>6352.5</v>
      </c>
      <c r="H1890" s="43">
        <f>IFERROR(G1890*E1880,"")</f>
        <v>0</v>
      </c>
    </row>
    <row r="1891" spans="1:11" ht="12.75" customHeight="1">
      <c r="A1891" s="28"/>
      <c r="B1891" s="29" t="s">
        <v>3591</v>
      </c>
      <c r="C1891" s="30" t="str">
        <f>IFERROR(_xlfn.XLOOKUP(B1891,Equipo[DESCRIPCION],Equipo[UND],,0),"")</f>
        <v>Día</v>
      </c>
      <c r="D1891" s="31">
        <v>1</v>
      </c>
      <c r="E1891" s="32">
        <f>IF(C1891="%MO",G1900,IFERROR(_xlfn.XLOOKUP($B1891,Equipo[DESCRIPCION],Equipo[VALOR],,0),""))</f>
        <v>635.25</v>
      </c>
      <c r="F1891" s="33">
        <v>-0.1</v>
      </c>
      <c r="G1891" s="34">
        <f t="shared" si="10"/>
        <v>6352.5</v>
      </c>
      <c r="H1891" s="43">
        <f>IFERROR(G1891*E1880,"")</f>
        <v>0</v>
      </c>
    </row>
    <row r="1892" spans="1:11" ht="12.75" customHeight="1">
      <c r="A1892" s="28"/>
      <c r="B1892" s="29" t="s">
        <v>3651</v>
      </c>
      <c r="C1892" s="30" t="str">
        <f>IFERROR(_xlfn.XLOOKUP(B1892,Equipo[DESCRIPCION],Equipo[UND],,0),"")</f>
        <v>Día</v>
      </c>
      <c r="D1892" s="31">
        <v>1</v>
      </c>
      <c r="E1892" s="32">
        <f>IF(C1892="%MO",G1901,IFERROR(_xlfn.XLOOKUP($B1892,Equipo[DESCRIPCION],Equipo[VALOR],,0),""))</f>
        <v>981.75</v>
      </c>
      <c r="F1892" s="33">
        <v>-0.14000000000000001</v>
      </c>
      <c r="G1892" s="34">
        <f t="shared" si="10"/>
        <v>7012.4999999999991</v>
      </c>
      <c r="H1892" s="43">
        <f>IFERROR(G1892*E1880,"")</f>
        <v>0</v>
      </c>
    </row>
    <row r="1893" spans="1:11" ht="12.75" customHeight="1">
      <c r="A1893" s="28"/>
      <c r="B1893" s="29" t="s">
        <v>3640</v>
      </c>
      <c r="C1893" s="30" t="str">
        <f>IFERROR(_xlfn.XLOOKUP(B1893,Equipo[DESCRIPCION],Equipo[UND],,0),"")</f>
        <v>Día</v>
      </c>
      <c r="D1893" s="31">
        <v>1</v>
      </c>
      <c r="E1893" s="32">
        <f>IF(C1893="%MO",G1902,IFERROR(_xlfn.XLOOKUP($B1893,Equipo[DESCRIPCION],Equipo[VALOR],,0),""))</f>
        <v>73881.150000000009</v>
      </c>
      <c r="F1893" s="33">
        <v>-10</v>
      </c>
      <c r="G1893" s="34">
        <f t="shared" si="10"/>
        <v>7388.1150000000007</v>
      </c>
      <c r="H1893" s="43">
        <f>IFERROR(G1893*E1880,"")</f>
        <v>0</v>
      </c>
    </row>
    <row r="1894" spans="1:11" ht="12.75" customHeight="1">
      <c r="A1894" s="28"/>
      <c r="B1894" s="29" t="s">
        <v>3626</v>
      </c>
      <c r="C1894" s="30" t="str">
        <f>IFERROR(_xlfn.XLOOKUP(B1894,Equipo[DESCRIPCION],Equipo[UND],,0),"")</f>
        <v>%MO</v>
      </c>
      <c r="D1894" s="31">
        <v>0.05</v>
      </c>
      <c r="E1894" s="32">
        <f>IF(C1894="%MO",G1898,IFERROR(_xlfn.XLOOKUP($B1894,Equipo[DESCRIPCION],Equipo[VALOR],,0),""))</f>
        <v>94816.258206428596</v>
      </c>
      <c r="F1894" s="33"/>
      <c r="G1894" s="34">
        <f t="shared" si="10"/>
        <v>4740.8129103214296</v>
      </c>
      <c r="H1894" s="43">
        <f>IFERROR(G1894*E1880,"")</f>
        <v>0</v>
      </c>
    </row>
    <row r="1895" spans="1:11" ht="12.75" customHeight="1">
      <c r="A1895" s="21"/>
      <c r="B1895" s="22" t="s">
        <v>2533</v>
      </c>
      <c r="C1895" s="23"/>
      <c r="D1895" s="24"/>
      <c r="E1895" s="25"/>
      <c r="F1895" s="26"/>
      <c r="G1895" s="27">
        <f>SUM(G1896:G1897)</f>
        <v>0</v>
      </c>
      <c r="H1895" s="44">
        <f>G1895*E1880</f>
        <v>0</v>
      </c>
    </row>
    <row r="1896" spans="1:11" ht="12.75" customHeight="1">
      <c r="A1896" s="28"/>
      <c r="B1896" s="29"/>
      <c r="C1896" s="30" t="str">
        <f>IFERROR(_xlfn.XLOOKUP(B1896,Transporte[DESCRIPCION],Transporte[UND],,0),"")</f>
        <v/>
      </c>
      <c r="D1896" s="31"/>
      <c r="E1896" s="32" t="str">
        <f>IFERROR(_xlfn.XLOOKUP($B1896,Transporte[DESCRIPCION],Transporte[VALOR],,0),"")</f>
        <v/>
      </c>
      <c r="F1896" s="33"/>
      <c r="G1896" s="34" t="str">
        <f>IFERROR(IF(F1896&gt;=0,D1896*E1896*(1+F1896/100),ABS(D1896*E1896/F1896)),"")</f>
        <v/>
      </c>
      <c r="H1896" s="43" t="str">
        <f>IFERROR(G1896*E1880,"")</f>
        <v/>
      </c>
    </row>
    <row r="1897" spans="1:11" ht="12.75" customHeight="1">
      <c r="A1897" s="28"/>
      <c r="B1897" s="29"/>
      <c r="C1897" s="30" t="str">
        <f>IFERROR(_xlfn.XLOOKUP(B1897,Transporte[DESCRIPCION],Transporte[UND],,0),"")</f>
        <v/>
      </c>
      <c r="D1897" s="31"/>
      <c r="E1897" s="32" t="str">
        <f>IFERROR(_xlfn.XLOOKUP($B1897,Transporte[DESCRIPCION],Transporte[VALOR],,0),"")</f>
        <v/>
      </c>
      <c r="F1897" s="33"/>
      <c r="G1897" s="34" t="str">
        <f>IFERROR(IF(F1897&gt;=0,D1897*E1897*(1+F1897/100),ABS(D1897*E1897/F1897)),"")</f>
        <v/>
      </c>
      <c r="H1897" s="43" t="str">
        <f>IFERROR(G1897*E1880,"")</f>
        <v/>
      </c>
    </row>
    <row r="1898" spans="1:11" ht="12.75" customHeight="1">
      <c r="A1898" s="21"/>
      <c r="B1898" s="22" t="s">
        <v>3732</v>
      </c>
      <c r="C1898" s="23"/>
      <c r="D1898" s="24"/>
      <c r="E1898" s="25"/>
      <c r="F1898" s="26"/>
      <c r="G1898" s="27">
        <f>SUM(G1899:G1901)</f>
        <v>94816.258206428596</v>
      </c>
      <c r="H1898" s="44">
        <f>G1898*E1880</f>
        <v>0</v>
      </c>
    </row>
    <row r="1899" spans="1:11" ht="12.75" customHeight="1">
      <c r="A1899" s="28"/>
      <c r="B1899" s="29" t="s">
        <v>3713</v>
      </c>
      <c r="C1899" s="30" t="str">
        <f>IFERROR(_xlfn.XLOOKUP(B1899,MObra[DESCRIPCION],MObra[UN],,0),"")</f>
        <v>día</v>
      </c>
      <c r="D1899" s="31">
        <v>1</v>
      </c>
      <c r="E1899" s="32">
        <f>IFERROR(_xlfn.XLOOKUP($B1899,MObra[DESCRIPCION],MObra[VALOR UNIT],,0),"")</f>
        <v>663713.80744500016</v>
      </c>
      <c r="F1899" s="33">
        <v>-7</v>
      </c>
      <c r="G1899" s="34">
        <f>IFERROR(IF(F1899&gt;=0,D1899*E1899*(1+F1899/100),ABS(D1899*E1899/F1899)),"")</f>
        <v>94816.258206428596</v>
      </c>
      <c r="H1899" s="43">
        <f>IFERROR(G1899*E1880,"")</f>
        <v>0</v>
      </c>
    </row>
    <row r="1900" spans="1:11" ht="12.75" customHeight="1">
      <c r="A1900" s="28"/>
      <c r="B1900" s="29"/>
      <c r="C1900" s="30" t="str">
        <f t="array" ref="C1900">IFERROR(_xlfn.XLOOKUP(B1900,MObra[[#All],[DESCRIPCION]],MObra[[#All],[UN]],,0),"")</f>
        <v/>
      </c>
      <c r="D1900" s="31"/>
      <c r="E1900" s="32" t="str">
        <f>IFERROR(_xlfn.XLOOKUP($B1900,MObra[DESCRIPCION],MObra[VALOR UNIT],,0),"")</f>
        <v/>
      </c>
      <c r="F1900" s="33"/>
      <c r="G1900" s="34" t="str">
        <f>IFERROR(IF(F1900&gt;=0,D1900*E1900*(1+F1900/100),ABS(D1900*E1900/F1900)),"")</f>
        <v/>
      </c>
      <c r="H1900" s="43" t="str">
        <f>IFERROR(G1900*E1880,"")</f>
        <v/>
      </c>
    </row>
    <row r="1901" spans="1:11" ht="12.75" customHeight="1" thickBot="1">
      <c r="A1901" s="35"/>
      <c r="B1901" s="36"/>
      <c r="C1901" s="37" t="str">
        <f t="array" ref="C1901">IFERROR(_xlfn.XLOOKUP(B1901,MObra[[#All],[DESCRIPCION]],MObra[[#All],[UN]],,0),"")</f>
        <v/>
      </c>
      <c r="D1901" s="38"/>
      <c r="E1901" s="39" t="str">
        <f>IFERROR(_xlfn.XLOOKUP($B1901,MObra[DESCRIPCION],MObra[VALOR UNIT],,0),"")</f>
        <v/>
      </c>
      <c r="F1901" s="40"/>
      <c r="G1901" s="41" t="str">
        <f>IFERROR(IF(F1901&gt;=0,D1901*E1901*(1+F1901/100),ABS(D1901*E1901/F1901)),"")</f>
        <v/>
      </c>
      <c r="H1901" s="42" t="str">
        <f>IFERROR(G1901*E1880,"")</f>
        <v/>
      </c>
    </row>
    <row r="1902" spans="1:11" ht="12.75" customHeight="1" thickTop="1" thickBot="1"/>
    <row r="1903" spans="1:11" ht="12.75" customHeight="1" thickTop="1" thickBot="1">
      <c r="A1903" s="6" t="s">
        <v>495</v>
      </c>
      <c r="B1903" s="7" t="str">
        <f>VLOOKUP($A1903,Presupuesto!$A:$D,2,FALSE())</f>
        <v>Placa maciza concreto 20.7 Mpa E=0.17m premezclado</v>
      </c>
      <c r="C1903" s="8" t="str">
        <f>VLOOKUP($A1903,Presupuesto!$A:$D,3,FALSE())</f>
        <v>M2</v>
      </c>
      <c r="D1903" s="9"/>
      <c r="E1903" s="10">
        <f>VLOOKUP($A1903,Presupuesto!$A:$D,4,FALSE())</f>
        <v>0</v>
      </c>
      <c r="F1903" s="11" t="s">
        <v>2589</v>
      </c>
      <c r="G1903" s="12">
        <f>SUM(G1905:G1924)/2</f>
        <v>325521.21783694963</v>
      </c>
      <c r="H1903" s="13">
        <f>ROUND(SUM(H1905:H1924),0)/2</f>
        <v>0</v>
      </c>
      <c r="I1903" s="10">
        <f>VLOOKUP(A1903,Presupuesto!$A:$F,6,0)</f>
        <v>0</v>
      </c>
      <c r="J1903" s="10">
        <f>+H1903-I1903</f>
        <v>0</v>
      </c>
      <c r="K1903" s="46">
        <f>+H1903-G1903*E1903</f>
        <v>0</v>
      </c>
    </row>
    <row r="1904" spans="1:11" ht="12.75" customHeight="1" thickTop="1">
      <c r="A1904" s="14"/>
      <c r="B1904" s="15" t="s">
        <v>2586</v>
      </c>
      <c r="C1904" s="15" t="s">
        <v>5</v>
      </c>
      <c r="D1904" s="16" t="s">
        <v>6</v>
      </c>
      <c r="E1904" s="17" t="s">
        <v>7</v>
      </c>
      <c r="F1904" s="18" t="s">
        <v>3728</v>
      </c>
      <c r="G1904" s="19" t="s">
        <v>3729</v>
      </c>
      <c r="H1904" s="20" t="s">
        <v>3797</v>
      </c>
    </row>
    <row r="1905" spans="1:8" ht="12.75" customHeight="1">
      <c r="A1905" s="21"/>
      <c r="B1905" s="22" t="s">
        <v>3730</v>
      </c>
      <c r="C1905" s="23"/>
      <c r="D1905" s="24"/>
      <c r="E1905" s="25"/>
      <c r="F1905" s="26"/>
      <c r="G1905" s="27">
        <f>SUM(G1906:G1910)</f>
        <v>186542.86816087755</v>
      </c>
      <c r="H1905" s="27">
        <f>IFERROR(G1905*E1903,"")</f>
        <v>0</v>
      </c>
    </row>
    <row r="1906" spans="1:8" ht="12.75" customHeight="1">
      <c r="A1906" s="28"/>
      <c r="B1906" s="29" t="s">
        <v>2868</v>
      </c>
      <c r="C1906" s="30" t="str">
        <f>IFERROR(_xlfn.XLOOKUP(B1906,Insumo[DESCRIPCION],Insumo[UND],,0),"")</f>
        <v>M3</v>
      </c>
      <c r="D1906" s="31">
        <v>0.17</v>
      </c>
      <c r="E1906" s="32">
        <f>IFERROR(_xlfn.XLOOKUP($B1906,Insumo[DESCRIPCION],Insumo[VALOR],,0),"")</f>
        <v>718719.75</v>
      </c>
      <c r="F1906" s="33">
        <v>5</v>
      </c>
      <c r="G1906" s="34">
        <f>IFERROR(IF(F1906&gt;=0,D1906*E1906*(1+F1906/100),ABS(D1906*E1906/F1906)),"")</f>
        <v>128291.47537500002</v>
      </c>
      <c r="H1906" s="43">
        <f>IFERROR(G1906*E1903,"")</f>
        <v>0</v>
      </c>
    </row>
    <row r="1907" spans="1:8" ht="12.75" customHeight="1">
      <c r="A1907" s="28"/>
      <c r="B1907" s="29" t="s">
        <v>2957</v>
      </c>
      <c r="C1907" s="30" t="str">
        <f>IFERROR(_xlfn.XLOOKUP(B1907,Insumo[DESCRIPCION],Insumo[UND],,0),"")</f>
        <v>M2</v>
      </c>
      <c r="D1907" s="31">
        <v>0.34</v>
      </c>
      <c r="E1907" s="32">
        <f>IFERROR(_xlfn.XLOOKUP($B1907,Insumo[DESCRIPCION],Insumo[VALOR],,0),"")</f>
        <v>149544.7581937575</v>
      </c>
      <c r="F1907" s="33"/>
      <c r="G1907" s="34">
        <f>IFERROR(IF(F1907&gt;=0,D1907*E1907*(1+F1907/100),ABS(D1907*E1907/F1907)),"")</f>
        <v>50845.217785877554</v>
      </c>
      <c r="H1907" s="43">
        <f>IFERROR(G1907*E1903,"")</f>
        <v>0</v>
      </c>
    </row>
    <row r="1908" spans="1:8" ht="12.75" customHeight="1">
      <c r="A1908" s="28"/>
      <c r="B1908" s="29" t="s">
        <v>2709</v>
      </c>
      <c r="C1908" s="30" t="str">
        <f>IFERROR(_xlfn.XLOOKUP(B1908,Insumo[DESCRIPCION],Insumo[UND],,0),"")</f>
        <v>Kg</v>
      </c>
      <c r="D1908" s="31">
        <v>0.5</v>
      </c>
      <c r="E1908" s="32">
        <f>IFERROR(_xlfn.XLOOKUP($B1908,Insumo[DESCRIPCION],Insumo[VALOR],,0),"")</f>
        <v>14812.35</v>
      </c>
      <c r="F1908" s="33"/>
      <c r="G1908" s="34">
        <f>IFERROR(IF(F1908&gt;=0,D1908*E1908*(1+F1908/100),ABS(D1908*E1908/F1908)),"")</f>
        <v>7406.1750000000002</v>
      </c>
      <c r="H1908" s="43">
        <f>IFERROR(G1908*E1903,"")</f>
        <v>0</v>
      </c>
    </row>
    <row r="1909" spans="1:8" ht="12.75" customHeight="1">
      <c r="A1909" s="28"/>
      <c r="B1909" s="29"/>
      <c r="C1909" s="30" t="str">
        <f>IFERROR(_xlfn.XLOOKUP(B1909,Insumo[DESCRIPCION],Insumo[UND],,0),"")</f>
        <v/>
      </c>
      <c r="D1909" s="31"/>
      <c r="E1909" s="32" t="str">
        <f>IFERROR(_xlfn.XLOOKUP($B1909,Insumo[DESCRIPCION],Insumo[VALOR],,0),"")</f>
        <v/>
      </c>
      <c r="F1909" s="33"/>
      <c r="G1909" s="34" t="str">
        <f>IFERROR(IF(F1909&gt;=0,D1909*E1909*(1+F1909/100),ABS(D1909*E1909/F1909)),"")</f>
        <v/>
      </c>
      <c r="H1909" s="43" t="str">
        <f>IFERROR(G1909*E1903,"")</f>
        <v/>
      </c>
    </row>
    <row r="1910" spans="1:8" ht="12.75" customHeight="1">
      <c r="A1910" s="28"/>
      <c r="B1910" s="29"/>
      <c r="C1910" s="30" t="str">
        <f>IFERROR(_xlfn.XLOOKUP(B1910,Insumo[DESCRIPCION],Insumo[UND],,0),"")</f>
        <v/>
      </c>
      <c r="D1910" s="31"/>
      <c r="E1910" s="32" t="str">
        <f>IFERROR(_xlfn.XLOOKUP($B1910,Insumo[DESCRIPCION],Insumo[VALOR],,0),"")</f>
        <v/>
      </c>
      <c r="F1910" s="33"/>
      <c r="G1910" s="34" t="str">
        <f>IFERROR(IF(F1910&gt;=0,D1910*E1910*(1+F1910/100),ABS(D1910*E1910/F1910)),"")</f>
        <v/>
      </c>
      <c r="H1910" s="43" t="str">
        <f>IFERROR(G1910*E1903,"")</f>
        <v/>
      </c>
    </row>
    <row r="1911" spans="1:8" ht="12.75" customHeight="1">
      <c r="A1911" s="21"/>
      <c r="B1911" s="22" t="s">
        <v>3731</v>
      </c>
      <c r="C1911" s="23"/>
      <c r="D1911" s="24"/>
      <c r="E1911" s="25"/>
      <c r="F1911" s="26"/>
      <c r="G1911" s="27">
        <f>SUM(G1912:G1917)</f>
        <v>44162.091469643463</v>
      </c>
      <c r="H1911" s="44">
        <f>G1911*E1903</f>
        <v>0</v>
      </c>
    </row>
    <row r="1912" spans="1:8" ht="12.75" customHeight="1">
      <c r="A1912" s="28"/>
      <c r="B1912" s="29" t="s">
        <v>3657</v>
      </c>
      <c r="C1912" s="30" t="str">
        <f>IFERROR(_xlfn.XLOOKUP(B1912,Equipo[DESCRIPCION],Equipo[UND],,0),"")</f>
        <v>Día</v>
      </c>
      <c r="D1912" s="31">
        <v>1</v>
      </c>
      <c r="E1912" s="32">
        <f>IF(C1912="%MO",G1921,IFERROR(_xlfn.XLOOKUP($B1912,Equipo[DESCRIPCION],Equipo[VALOR],,0),""))</f>
        <v>56524.65</v>
      </c>
      <c r="F1912" s="33">
        <v>-10</v>
      </c>
      <c r="G1912" s="34">
        <f t="shared" ref="G1912:G1917" si="11">IFERROR(IF(F1912&gt;=0,D1912*E1912*(1+F1912/100),ABS(D1912*E1912/F1912)),"")</f>
        <v>5652.4650000000001</v>
      </c>
      <c r="H1912" s="43">
        <f>IFERROR(G1912*E1903,"")</f>
        <v>0</v>
      </c>
    </row>
    <row r="1913" spans="1:8" ht="12.75" customHeight="1">
      <c r="A1913" s="28"/>
      <c r="B1913" s="29" t="s">
        <v>3652</v>
      </c>
      <c r="C1913" s="30" t="str">
        <f>IFERROR(_xlfn.XLOOKUP(B1913,Equipo[DESCRIPCION],Equipo[UND],,0),"")</f>
        <v>Día</v>
      </c>
      <c r="D1913" s="31">
        <v>1</v>
      </c>
      <c r="E1913" s="32">
        <f>IF(C1913="%MO",G1922,IFERROR(_xlfn.XLOOKUP($B1913,Equipo[DESCRIPCION],Equipo[VALOR],,0),""))</f>
        <v>635.25</v>
      </c>
      <c r="F1913" s="33">
        <v>-0.1</v>
      </c>
      <c r="G1913" s="34">
        <f t="shared" si="11"/>
        <v>6352.5</v>
      </c>
      <c r="H1913" s="43">
        <f>IFERROR(G1913*E1903,"")</f>
        <v>0</v>
      </c>
    </row>
    <row r="1914" spans="1:8" ht="12.75" customHeight="1">
      <c r="A1914" s="28"/>
      <c r="B1914" s="29" t="s">
        <v>3591</v>
      </c>
      <c r="C1914" s="30" t="str">
        <f>IFERROR(_xlfn.XLOOKUP(B1914,Equipo[DESCRIPCION],Equipo[UND],,0),"")</f>
        <v>Día</v>
      </c>
      <c r="D1914" s="31">
        <v>1</v>
      </c>
      <c r="E1914" s="32">
        <f>IF(C1914="%MO",G1923,IFERROR(_xlfn.XLOOKUP($B1914,Equipo[DESCRIPCION],Equipo[VALOR],,0),""))</f>
        <v>635.25</v>
      </c>
      <c r="F1914" s="33">
        <v>-0.1</v>
      </c>
      <c r="G1914" s="34">
        <f t="shared" si="11"/>
        <v>6352.5</v>
      </c>
      <c r="H1914" s="43">
        <f>IFERROR(G1914*E1903,"")</f>
        <v>0</v>
      </c>
    </row>
    <row r="1915" spans="1:8" ht="12.75" customHeight="1">
      <c r="A1915" s="28"/>
      <c r="B1915" s="29" t="s">
        <v>3651</v>
      </c>
      <c r="C1915" s="30" t="str">
        <f>IFERROR(_xlfn.XLOOKUP(B1915,Equipo[DESCRIPCION],Equipo[UND],,0),"")</f>
        <v>Día</v>
      </c>
      <c r="D1915" s="31">
        <v>1</v>
      </c>
      <c r="E1915" s="32">
        <f>IF(C1915="%MO",G1924,IFERROR(_xlfn.XLOOKUP($B1915,Equipo[DESCRIPCION],Equipo[VALOR],,0),""))</f>
        <v>981.75</v>
      </c>
      <c r="F1915" s="33">
        <v>-0.14000000000000001</v>
      </c>
      <c r="G1915" s="34">
        <f t="shared" si="11"/>
        <v>7012.4999999999991</v>
      </c>
      <c r="H1915" s="43">
        <f>IFERROR(G1915*E1903,"")</f>
        <v>0</v>
      </c>
    </row>
    <row r="1916" spans="1:8" ht="12.75" customHeight="1">
      <c r="A1916" s="28"/>
      <c r="B1916" s="29" t="s">
        <v>3580</v>
      </c>
      <c r="C1916" s="30" t="str">
        <f>IFERROR(_xlfn.XLOOKUP(B1916,Equipo[DESCRIPCION],Equipo[UND],,0),"")</f>
        <v>M3</v>
      </c>
      <c r="D1916" s="31">
        <v>1</v>
      </c>
      <c r="E1916" s="32">
        <f>IF(C1916="%MO",G1925,IFERROR(_xlfn.XLOOKUP($B1916,Equipo[DESCRIPCION],Equipo[VALOR],,0),""))</f>
        <v>82902.75</v>
      </c>
      <c r="F1916" s="33">
        <v>-5.9</v>
      </c>
      <c r="G1916" s="34">
        <f t="shared" si="11"/>
        <v>14051.313559322032</v>
      </c>
      <c r="H1916" s="43">
        <f>IFERROR(G1916*E1903,"")</f>
        <v>0</v>
      </c>
    </row>
    <row r="1917" spans="1:8" ht="12.75" customHeight="1">
      <c r="A1917" s="28"/>
      <c r="B1917" s="29" t="s">
        <v>3626</v>
      </c>
      <c r="C1917" s="30" t="str">
        <f>IFERROR(_xlfn.XLOOKUP(B1917,Equipo[DESCRIPCION],Equipo[UND],,0),"")</f>
        <v>%MO</v>
      </c>
      <c r="D1917" s="31">
        <v>0.05</v>
      </c>
      <c r="E1917" s="32">
        <f>IF(C1917="%MO",G1921,IFERROR(_xlfn.XLOOKUP($B1917,Equipo[DESCRIPCION],Equipo[VALOR],,0),""))</f>
        <v>94816.258206428596</v>
      </c>
      <c r="F1917" s="33"/>
      <c r="G1917" s="34">
        <f t="shared" si="11"/>
        <v>4740.8129103214296</v>
      </c>
      <c r="H1917" s="43">
        <f>IFERROR(G1917*E1903,"")</f>
        <v>0</v>
      </c>
    </row>
    <row r="1918" spans="1:8" ht="12.75" customHeight="1">
      <c r="A1918" s="21"/>
      <c r="B1918" s="22" t="s">
        <v>2533</v>
      </c>
      <c r="C1918" s="23"/>
      <c r="D1918" s="24"/>
      <c r="E1918" s="25"/>
      <c r="F1918" s="26"/>
      <c r="G1918" s="27">
        <f>SUM(G1919:G1920)</f>
        <v>0</v>
      </c>
      <c r="H1918" s="44">
        <f>G1918*E1903</f>
        <v>0</v>
      </c>
    </row>
    <row r="1919" spans="1:8" ht="12.75" customHeight="1">
      <c r="A1919" s="28"/>
      <c r="B1919" s="29"/>
      <c r="C1919" s="30" t="str">
        <f>IFERROR(_xlfn.XLOOKUP(B1919,Transporte[DESCRIPCION],Transporte[UND],,0),"")</f>
        <v/>
      </c>
      <c r="D1919" s="31"/>
      <c r="E1919" s="32" t="str">
        <f>IFERROR(_xlfn.XLOOKUP($B1919,Transporte[DESCRIPCION],Transporte[VALOR],,0),"")</f>
        <v/>
      </c>
      <c r="F1919" s="33"/>
      <c r="G1919" s="34" t="str">
        <f>IFERROR(IF(F1919&gt;=0,D1919*E1919*(1+F1919/100),ABS(D1919*E1919/F1919)),"")</f>
        <v/>
      </c>
      <c r="H1919" s="43" t="str">
        <f>IFERROR(G1919*E1903,"")</f>
        <v/>
      </c>
    </row>
    <row r="1920" spans="1:8" ht="12.75" customHeight="1">
      <c r="A1920" s="28"/>
      <c r="B1920" s="29"/>
      <c r="C1920" s="30" t="str">
        <f>IFERROR(_xlfn.XLOOKUP(B1920,Transporte[DESCRIPCION],Transporte[UND],,0),"")</f>
        <v/>
      </c>
      <c r="D1920" s="31"/>
      <c r="E1920" s="32" t="str">
        <f>IFERROR(_xlfn.XLOOKUP($B1920,Transporte[DESCRIPCION],Transporte[VALOR],,0),"")</f>
        <v/>
      </c>
      <c r="F1920" s="33"/>
      <c r="G1920" s="34" t="str">
        <f>IFERROR(IF(F1920&gt;=0,D1920*E1920*(1+F1920/100),ABS(D1920*E1920/F1920)),"")</f>
        <v/>
      </c>
      <c r="H1920" s="43" t="str">
        <f>IFERROR(G1920*E1903,"")</f>
        <v/>
      </c>
    </row>
    <row r="1921" spans="1:11" ht="12.75" customHeight="1">
      <c r="A1921" s="21"/>
      <c r="B1921" s="22" t="s">
        <v>3732</v>
      </c>
      <c r="C1921" s="23"/>
      <c r="D1921" s="24"/>
      <c r="E1921" s="25"/>
      <c r="F1921" s="26"/>
      <c r="G1921" s="27">
        <f>SUM(G1922:G1924)</f>
        <v>94816.258206428596</v>
      </c>
      <c r="H1921" s="44">
        <f>G1921*E1903</f>
        <v>0</v>
      </c>
    </row>
    <row r="1922" spans="1:11" ht="12.75" customHeight="1">
      <c r="A1922" s="28"/>
      <c r="B1922" s="29" t="s">
        <v>3713</v>
      </c>
      <c r="C1922" s="30" t="str">
        <f>IFERROR(_xlfn.XLOOKUP(B1922,MObra[DESCRIPCION],MObra[UN],,0),"")</f>
        <v>día</v>
      </c>
      <c r="D1922" s="31">
        <v>1</v>
      </c>
      <c r="E1922" s="32">
        <f>IFERROR(_xlfn.XLOOKUP($B1922,MObra[DESCRIPCION],MObra[VALOR UNIT],,0),"")</f>
        <v>663713.80744500016</v>
      </c>
      <c r="F1922" s="33">
        <v>-7</v>
      </c>
      <c r="G1922" s="34">
        <f>IFERROR(IF(F1922&gt;=0,D1922*E1922*(1+F1922/100),ABS(D1922*E1922/F1922)),"")</f>
        <v>94816.258206428596</v>
      </c>
      <c r="H1922" s="43">
        <f>IFERROR(G1922*E1903,"")</f>
        <v>0</v>
      </c>
    </row>
    <row r="1923" spans="1:11" ht="12.75" customHeight="1">
      <c r="A1923" s="28"/>
      <c r="B1923" s="29"/>
      <c r="C1923" s="30" t="str">
        <f t="array" ref="C1923">IFERROR(_xlfn.XLOOKUP(B1923,MObra[[#All],[DESCRIPCION]],MObra[[#All],[UN]],,0),"")</f>
        <v/>
      </c>
      <c r="D1923" s="31"/>
      <c r="E1923" s="32" t="str">
        <f>IFERROR(_xlfn.XLOOKUP($B1923,MObra[DESCRIPCION],MObra[VALOR UNIT],,0),"")</f>
        <v/>
      </c>
      <c r="F1923" s="33"/>
      <c r="G1923" s="34" t="str">
        <f>IFERROR(IF(F1923&gt;=0,D1923*E1923*(1+F1923/100),ABS(D1923*E1923/F1923)),"")</f>
        <v/>
      </c>
      <c r="H1923" s="43" t="str">
        <f>IFERROR(G1923*E1903,"")</f>
        <v/>
      </c>
    </row>
    <row r="1924" spans="1:11" ht="12.75" customHeight="1" thickBot="1">
      <c r="A1924" s="35"/>
      <c r="B1924" s="36"/>
      <c r="C1924" s="37" t="str">
        <f t="array" ref="C1924">IFERROR(_xlfn.XLOOKUP(B1924,MObra[[#All],[DESCRIPCION]],MObra[[#All],[UN]],,0),"")</f>
        <v/>
      </c>
      <c r="D1924" s="38"/>
      <c r="E1924" s="39" t="str">
        <f>IFERROR(_xlfn.XLOOKUP($B1924,MObra[DESCRIPCION],MObra[VALOR UNIT],,0),"")</f>
        <v/>
      </c>
      <c r="F1924" s="40"/>
      <c r="G1924" s="41" t="str">
        <f>IFERROR(IF(F1924&gt;=0,D1924*E1924*(1+F1924/100),ABS(D1924*E1924/F1924)),"")</f>
        <v/>
      </c>
      <c r="H1924" s="42" t="str">
        <f>IFERROR(G1924*E1903,"")</f>
        <v/>
      </c>
    </row>
    <row r="1925" spans="1:11" ht="12.75" customHeight="1" thickTop="1" thickBot="1"/>
    <row r="1926" spans="1:11" ht="12.75" customHeight="1" thickTop="1" thickBot="1">
      <c r="A1926" s="6" t="s">
        <v>497</v>
      </c>
      <c r="B1926" s="7" t="str">
        <f>VLOOKUP($A1926,Presupuesto!$A:$D,2,FALSE())</f>
        <v>Placa maciza concreto 20.7 Mpa E=0.20m</v>
      </c>
      <c r="C1926" s="8" t="str">
        <f>VLOOKUP($A1926,Presupuesto!$A:$D,3,FALSE())</f>
        <v>M2</v>
      </c>
      <c r="D1926" s="9"/>
      <c r="E1926" s="10">
        <f>VLOOKUP($A1926,Presupuesto!$A:$D,4,FALSE())</f>
        <v>0</v>
      </c>
      <c r="F1926" s="11" t="s">
        <v>2589</v>
      </c>
      <c r="G1926" s="12">
        <f>SUM(G1928:G1947)/2</f>
        <v>308982.72487255407</v>
      </c>
      <c r="H1926" s="13">
        <f>ROUND(SUM(H1928:H1947),0)/2</f>
        <v>0</v>
      </c>
      <c r="I1926" s="10">
        <f>VLOOKUP(A1926,Presupuesto!$A:$F,6,0)</f>
        <v>0</v>
      </c>
      <c r="J1926" s="10">
        <f>+H1926-I1926</f>
        <v>0</v>
      </c>
      <c r="K1926" s="46">
        <f>+H1926-G1926*E1926</f>
        <v>0</v>
      </c>
    </row>
    <row r="1927" spans="1:11" ht="12.75" customHeight="1" thickTop="1">
      <c r="A1927" s="14"/>
      <c r="B1927" s="15" t="s">
        <v>2586</v>
      </c>
      <c r="C1927" s="15" t="s">
        <v>5</v>
      </c>
      <c r="D1927" s="16" t="s">
        <v>6</v>
      </c>
      <c r="E1927" s="17" t="s">
        <v>7</v>
      </c>
      <c r="F1927" s="18" t="s">
        <v>3728</v>
      </c>
      <c r="G1927" s="19" t="s">
        <v>3729</v>
      </c>
      <c r="H1927" s="20" t="s">
        <v>3797</v>
      </c>
    </row>
    <row r="1928" spans="1:11" ht="12.75" customHeight="1">
      <c r="A1928" s="21"/>
      <c r="B1928" s="22" t="s">
        <v>3730</v>
      </c>
      <c r="C1928" s="23"/>
      <c r="D1928" s="24"/>
      <c r="E1928" s="25"/>
      <c r="F1928" s="26"/>
      <c r="G1928" s="27">
        <f>SUM(G1929:G1933)</f>
        <v>176667.5737558041</v>
      </c>
      <c r="H1928" s="27">
        <f>IFERROR(G1928*E1926,"")</f>
        <v>0</v>
      </c>
    </row>
    <row r="1929" spans="1:11" ht="12.75" customHeight="1">
      <c r="A1929" s="28"/>
      <c r="B1929" s="29" t="s">
        <v>3239</v>
      </c>
      <c r="C1929" s="30" t="str">
        <f>IFERROR(_xlfn.XLOOKUP(B1929,Insumo[DESCRIPCION],Insumo[UND],,0),"")</f>
        <v>M3</v>
      </c>
      <c r="D1929" s="31">
        <v>0.2</v>
      </c>
      <c r="E1929" s="32">
        <f>IFERROR(_xlfn.XLOOKUP($B1929,Insumo[DESCRIPCION],Insumo[VALOR],,0),"")</f>
        <v>521159.50227762427</v>
      </c>
      <c r="F1929" s="33">
        <v>5</v>
      </c>
      <c r="G1929" s="34">
        <f>IFERROR(IF(F1929&gt;=0,D1929*E1929*(1+F1929/100),ABS(D1929*E1929/F1929)),"")</f>
        <v>109443.49547830111</v>
      </c>
      <c r="H1929" s="43">
        <f>IFERROR(G1929*E1926,"")</f>
        <v>0</v>
      </c>
    </row>
    <row r="1930" spans="1:11" ht="12.75" customHeight="1">
      <c r="A1930" s="28"/>
      <c r="B1930" s="29" t="s">
        <v>2957</v>
      </c>
      <c r="C1930" s="30" t="str">
        <f>IFERROR(_xlfn.XLOOKUP(B1930,Insumo[DESCRIPCION],Insumo[UND],,0),"")</f>
        <v>M2</v>
      </c>
      <c r="D1930" s="31">
        <v>0.4</v>
      </c>
      <c r="E1930" s="32">
        <f>IFERROR(_xlfn.XLOOKUP($B1930,Insumo[DESCRIPCION],Insumo[VALOR],,0),"")</f>
        <v>149544.7581937575</v>
      </c>
      <c r="F1930" s="33"/>
      <c r="G1930" s="34">
        <f>IFERROR(IF(F1930&gt;=0,D1930*E1930*(1+F1930/100),ABS(D1930*E1930/F1930)),"")</f>
        <v>59817.903277503006</v>
      </c>
      <c r="H1930" s="43">
        <f>IFERROR(G1930*E1926,"")</f>
        <v>0</v>
      </c>
    </row>
    <row r="1931" spans="1:11" ht="12.75" customHeight="1">
      <c r="A1931" s="28"/>
      <c r="B1931" s="29" t="s">
        <v>2709</v>
      </c>
      <c r="C1931" s="30" t="str">
        <f>IFERROR(_xlfn.XLOOKUP(B1931,Insumo[DESCRIPCION],Insumo[UND],,0),"")</f>
        <v>Kg</v>
      </c>
      <c r="D1931" s="31">
        <v>0.5</v>
      </c>
      <c r="E1931" s="32">
        <f>IFERROR(_xlfn.XLOOKUP($B1931,Insumo[DESCRIPCION],Insumo[VALOR],,0),"")</f>
        <v>14812.35</v>
      </c>
      <c r="F1931" s="33"/>
      <c r="G1931" s="34">
        <f>IFERROR(IF(F1931&gt;=0,D1931*E1931*(1+F1931/100),ABS(D1931*E1931/F1931)),"")</f>
        <v>7406.1750000000002</v>
      </c>
      <c r="H1931" s="43">
        <f>IFERROR(G1931*E1926,"")</f>
        <v>0</v>
      </c>
    </row>
    <row r="1932" spans="1:11" ht="12.75" customHeight="1">
      <c r="A1932" s="28"/>
      <c r="B1932" s="29"/>
      <c r="C1932" s="30" t="str">
        <f>IFERROR(_xlfn.XLOOKUP(B1932,Insumo[DESCRIPCION],Insumo[UND],,0),"")</f>
        <v/>
      </c>
      <c r="D1932" s="31"/>
      <c r="E1932" s="32" t="str">
        <f>IFERROR(_xlfn.XLOOKUP($B1932,Insumo[DESCRIPCION],Insumo[VALOR],,0),"")</f>
        <v/>
      </c>
      <c r="F1932" s="33"/>
      <c r="G1932" s="34" t="str">
        <f>IFERROR(IF(F1932&gt;=0,D1932*E1932*(1+F1932/100),ABS(D1932*E1932/F1932)),"")</f>
        <v/>
      </c>
      <c r="H1932" s="43" t="str">
        <f>IFERROR(G1932*E1926,"")</f>
        <v/>
      </c>
    </row>
    <row r="1933" spans="1:11" ht="12.75" customHeight="1">
      <c r="A1933" s="28"/>
      <c r="B1933" s="29"/>
      <c r="C1933" s="30" t="str">
        <f>IFERROR(_xlfn.XLOOKUP(B1933,Insumo[DESCRIPCION],Insumo[UND],,0),"")</f>
        <v/>
      </c>
      <c r="D1933" s="31"/>
      <c r="E1933" s="32" t="str">
        <f>IFERROR(_xlfn.XLOOKUP($B1933,Insumo[DESCRIPCION],Insumo[VALOR],,0),"")</f>
        <v/>
      </c>
      <c r="F1933" s="33"/>
      <c r="G1933" s="34" t="str">
        <f>IFERROR(IF(F1933&gt;=0,D1933*E1933*(1+F1933/100),ABS(D1933*E1933/F1933)),"")</f>
        <v/>
      </c>
      <c r="H1933" s="43" t="str">
        <f>IFERROR(G1933*E1926,"")</f>
        <v/>
      </c>
    </row>
    <row r="1934" spans="1:11" ht="12.75" customHeight="1">
      <c r="A1934" s="21"/>
      <c r="B1934" s="22" t="s">
        <v>3731</v>
      </c>
      <c r="C1934" s="23"/>
      <c r="D1934" s="24"/>
      <c r="E1934" s="25"/>
      <c r="F1934" s="26"/>
      <c r="G1934" s="27">
        <f>SUM(G1935:G1940)</f>
        <v>37498.892910321432</v>
      </c>
      <c r="H1934" s="44">
        <f>G1934*E1926</f>
        <v>0</v>
      </c>
    </row>
    <row r="1935" spans="1:11" ht="12.75" customHeight="1">
      <c r="A1935" s="28"/>
      <c r="B1935" s="29" t="s">
        <v>3657</v>
      </c>
      <c r="C1935" s="30" t="str">
        <f>IFERROR(_xlfn.XLOOKUP(B1935,Equipo[DESCRIPCION],Equipo[UND],,0),"")</f>
        <v>Día</v>
      </c>
      <c r="D1935" s="31">
        <v>1</v>
      </c>
      <c r="E1935" s="32">
        <f>IF(C1935="%MO",G1944,IFERROR(_xlfn.XLOOKUP($B1935,Equipo[DESCRIPCION],Equipo[VALOR],,0),""))</f>
        <v>56524.65</v>
      </c>
      <c r="F1935" s="33">
        <v>-10</v>
      </c>
      <c r="G1935" s="34">
        <f t="shared" ref="G1935:G1940" si="12">IFERROR(IF(F1935&gt;=0,D1935*E1935*(1+F1935/100),ABS(D1935*E1935/F1935)),"")</f>
        <v>5652.4650000000001</v>
      </c>
      <c r="H1935" s="43">
        <f>IFERROR(G1935*E1926,"")</f>
        <v>0</v>
      </c>
    </row>
    <row r="1936" spans="1:11" ht="12.75" customHeight="1">
      <c r="A1936" s="28"/>
      <c r="B1936" s="29" t="s">
        <v>3652</v>
      </c>
      <c r="C1936" s="30" t="str">
        <f>IFERROR(_xlfn.XLOOKUP(B1936,Equipo[DESCRIPCION],Equipo[UND],,0),"")</f>
        <v>Día</v>
      </c>
      <c r="D1936" s="31">
        <v>1</v>
      </c>
      <c r="E1936" s="32">
        <f>IF(C1936="%MO",G1945,IFERROR(_xlfn.XLOOKUP($B1936,Equipo[DESCRIPCION],Equipo[VALOR],,0),""))</f>
        <v>635.25</v>
      </c>
      <c r="F1936" s="33">
        <v>-0.1</v>
      </c>
      <c r="G1936" s="34">
        <f t="shared" si="12"/>
        <v>6352.5</v>
      </c>
      <c r="H1936" s="43">
        <f>IFERROR(G1936*E1926,"")</f>
        <v>0</v>
      </c>
    </row>
    <row r="1937" spans="1:11" ht="12.75" customHeight="1">
      <c r="A1937" s="28"/>
      <c r="B1937" s="29" t="s">
        <v>3591</v>
      </c>
      <c r="C1937" s="30" t="str">
        <f>IFERROR(_xlfn.XLOOKUP(B1937,Equipo[DESCRIPCION],Equipo[UND],,0),"")</f>
        <v>Día</v>
      </c>
      <c r="D1937" s="31">
        <v>1</v>
      </c>
      <c r="E1937" s="32">
        <f>IF(C1937="%MO",G1946,IFERROR(_xlfn.XLOOKUP($B1937,Equipo[DESCRIPCION],Equipo[VALOR],,0),""))</f>
        <v>635.25</v>
      </c>
      <c r="F1937" s="33">
        <v>-0.1</v>
      </c>
      <c r="G1937" s="34">
        <f t="shared" si="12"/>
        <v>6352.5</v>
      </c>
      <c r="H1937" s="43">
        <f>IFERROR(G1937*E1926,"")</f>
        <v>0</v>
      </c>
    </row>
    <row r="1938" spans="1:11" ht="12.75" customHeight="1">
      <c r="A1938" s="28"/>
      <c r="B1938" s="29" t="s">
        <v>3651</v>
      </c>
      <c r="C1938" s="30" t="str">
        <f>IFERROR(_xlfn.XLOOKUP(B1938,Equipo[DESCRIPCION],Equipo[UND],,0),"")</f>
        <v>Día</v>
      </c>
      <c r="D1938" s="31">
        <v>1</v>
      </c>
      <c r="E1938" s="32">
        <f>IF(C1938="%MO",G1947,IFERROR(_xlfn.XLOOKUP($B1938,Equipo[DESCRIPCION],Equipo[VALOR],,0),""))</f>
        <v>981.75</v>
      </c>
      <c r="F1938" s="33">
        <v>-0.14000000000000001</v>
      </c>
      <c r="G1938" s="34">
        <f t="shared" si="12"/>
        <v>7012.4999999999991</v>
      </c>
      <c r="H1938" s="43">
        <f>IFERROR(G1938*E1926,"")</f>
        <v>0</v>
      </c>
    </row>
    <row r="1939" spans="1:11" ht="12.75" customHeight="1">
      <c r="A1939" s="28"/>
      <c r="B1939" s="29" t="s">
        <v>3640</v>
      </c>
      <c r="C1939" s="30" t="str">
        <f>IFERROR(_xlfn.XLOOKUP(B1939,Equipo[DESCRIPCION],Equipo[UND],,0),"")</f>
        <v>Día</v>
      </c>
      <c r="D1939" s="31">
        <v>1</v>
      </c>
      <c r="E1939" s="32">
        <f>IF(C1939="%MO",G1948,IFERROR(_xlfn.XLOOKUP($B1939,Equipo[DESCRIPCION],Equipo[VALOR],,0),""))</f>
        <v>73881.150000000009</v>
      </c>
      <c r="F1939" s="33">
        <v>-10</v>
      </c>
      <c r="G1939" s="34">
        <f t="shared" si="12"/>
        <v>7388.1150000000007</v>
      </c>
      <c r="H1939" s="43">
        <f>IFERROR(G1939*E1926,"")</f>
        <v>0</v>
      </c>
    </row>
    <row r="1940" spans="1:11" ht="12.75" customHeight="1">
      <c r="A1940" s="28"/>
      <c r="B1940" s="29" t="s">
        <v>3626</v>
      </c>
      <c r="C1940" s="30" t="str">
        <f>IFERROR(_xlfn.XLOOKUP(B1940,Equipo[DESCRIPCION],Equipo[UND],,0),"")</f>
        <v>%MO</v>
      </c>
      <c r="D1940" s="31">
        <v>0.05</v>
      </c>
      <c r="E1940" s="32">
        <f>IF(C1940="%MO",G1944,IFERROR(_xlfn.XLOOKUP($B1940,Equipo[DESCRIPCION],Equipo[VALOR],,0),""))</f>
        <v>94816.258206428596</v>
      </c>
      <c r="F1940" s="33"/>
      <c r="G1940" s="34">
        <f t="shared" si="12"/>
        <v>4740.8129103214296</v>
      </c>
      <c r="H1940" s="43">
        <f>IFERROR(G1940*E1926,"")</f>
        <v>0</v>
      </c>
    </row>
    <row r="1941" spans="1:11" ht="12.75" customHeight="1">
      <c r="A1941" s="21"/>
      <c r="B1941" s="22" t="s">
        <v>2533</v>
      </c>
      <c r="C1941" s="23"/>
      <c r="D1941" s="24"/>
      <c r="E1941" s="25"/>
      <c r="F1941" s="26"/>
      <c r="G1941" s="27">
        <f>SUM(G1942:G1943)</f>
        <v>0</v>
      </c>
      <c r="H1941" s="44">
        <f>G1941*E1926</f>
        <v>0</v>
      </c>
    </row>
    <row r="1942" spans="1:11" ht="12.75" customHeight="1">
      <c r="A1942" s="28"/>
      <c r="B1942" s="29"/>
      <c r="C1942" s="30" t="str">
        <f>IFERROR(_xlfn.XLOOKUP(B1942,Transporte[DESCRIPCION],Transporte[UND],,0),"")</f>
        <v/>
      </c>
      <c r="D1942" s="31"/>
      <c r="E1942" s="32" t="str">
        <f>IFERROR(_xlfn.XLOOKUP($B1942,Transporte[DESCRIPCION],Transporte[VALOR],,0),"")</f>
        <v/>
      </c>
      <c r="F1942" s="33"/>
      <c r="G1942" s="34" t="str">
        <f>IFERROR(IF(F1942&gt;=0,D1942*E1942*(1+F1942/100),ABS(D1942*E1942/F1942)),"")</f>
        <v/>
      </c>
      <c r="H1942" s="43" t="str">
        <f>IFERROR(G1942*E1926,"")</f>
        <v/>
      </c>
    </row>
    <row r="1943" spans="1:11" ht="12.75" customHeight="1">
      <c r="A1943" s="28"/>
      <c r="B1943" s="29"/>
      <c r="C1943" s="30" t="str">
        <f>IFERROR(_xlfn.XLOOKUP(B1943,Transporte[DESCRIPCION],Transporte[UND],,0),"")</f>
        <v/>
      </c>
      <c r="D1943" s="31"/>
      <c r="E1943" s="32" t="str">
        <f>IFERROR(_xlfn.XLOOKUP($B1943,Transporte[DESCRIPCION],Transporte[VALOR],,0),"")</f>
        <v/>
      </c>
      <c r="F1943" s="33"/>
      <c r="G1943" s="34" t="str">
        <f>IFERROR(IF(F1943&gt;=0,D1943*E1943*(1+F1943/100),ABS(D1943*E1943/F1943)),"")</f>
        <v/>
      </c>
      <c r="H1943" s="43" t="str">
        <f>IFERROR(G1943*E1926,"")</f>
        <v/>
      </c>
    </row>
    <row r="1944" spans="1:11" ht="12.75" customHeight="1">
      <c r="A1944" s="21"/>
      <c r="B1944" s="22" t="s">
        <v>3732</v>
      </c>
      <c r="C1944" s="23"/>
      <c r="D1944" s="24"/>
      <c r="E1944" s="25"/>
      <c r="F1944" s="26"/>
      <c r="G1944" s="27">
        <f>SUM(G1945:G1947)</f>
        <v>94816.258206428596</v>
      </c>
      <c r="H1944" s="44">
        <f>G1944*E1926</f>
        <v>0</v>
      </c>
    </row>
    <row r="1945" spans="1:11" ht="12.75" customHeight="1">
      <c r="A1945" s="28"/>
      <c r="B1945" s="29" t="s">
        <v>3713</v>
      </c>
      <c r="C1945" s="30" t="str">
        <f>IFERROR(_xlfn.XLOOKUP(B1945,MObra[DESCRIPCION],MObra[UN],,0),"")</f>
        <v>día</v>
      </c>
      <c r="D1945" s="31">
        <v>1</v>
      </c>
      <c r="E1945" s="32">
        <f>IFERROR(_xlfn.XLOOKUP($B1945,MObra[DESCRIPCION],MObra[VALOR UNIT],,0),"")</f>
        <v>663713.80744500016</v>
      </c>
      <c r="F1945" s="33">
        <v>-7</v>
      </c>
      <c r="G1945" s="34">
        <f>IFERROR(IF(F1945&gt;=0,D1945*E1945*(1+F1945/100),ABS(D1945*E1945/F1945)),"")</f>
        <v>94816.258206428596</v>
      </c>
      <c r="H1945" s="43">
        <f>IFERROR(G1945*E1926,"")</f>
        <v>0</v>
      </c>
    </row>
    <row r="1946" spans="1:11" ht="12.75" customHeight="1">
      <c r="A1946" s="28"/>
      <c r="B1946" s="29"/>
      <c r="C1946" s="30" t="str">
        <f t="array" ref="C1946">IFERROR(_xlfn.XLOOKUP(B1946,MObra[[#All],[DESCRIPCION]],MObra[[#All],[UN]],,0),"")</f>
        <v/>
      </c>
      <c r="D1946" s="31"/>
      <c r="E1946" s="32" t="str">
        <f>IFERROR(_xlfn.XLOOKUP($B1946,MObra[DESCRIPCION],MObra[VALOR UNIT],,0),"")</f>
        <v/>
      </c>
      <c r="F1946" s="33"/>
      <c r="G1946" s="34" t="str">
        <f>IFERROR(IF(F1946&gt;=0,D1946*E1946*(1+F1946/100),ABS(D1946*E1946/F1946)),"")</f>
        <v/>
      </c>
      <c r="H1946" s="43" t="str">
        <f>IFERROR(G1946*E1926,"")</f>
        <v/>
      </c>
    </row>
    <row r="1947" spans="1:11" ht="12.75" customHeight="1" thickBot="1">
      <c r="A1947" s="35"/>
      <c r="B1947" s="36"/>
      <c r="C1947" s="37" t="str">
        <f t="array" ref="C1947">IFERROR(_xlfn.XLOOKUP(B1947,MObra[[#All],[DESCRIPCION]],MObra[[#All],[UN]],,0),"")</f>
        <v/>
      </c>
      <c r="D1947" s="38"/>
      <c r="E1947" s="39" t="str">
        <f>IFERROR(_xlfn.XLOOKUP($B1947,MObra[DESCRIPCION],MObra[VALOR UNIT],,0),"")</f>
        <v/>
      </c>
      <c r="F1947" s="40"/>
      <c r="G1947" s="41" t="str">
        <f>IFERROR(IF(F1947&gt;=0,D1947*E1947*(1+F1947/100),ABS(D1947*E1947/F1947)),"")</f>
        <v/>
      </c>
      <c r="H1947" s="42" t="str">
        <f>IFERROR(G1947*E1926,"")</f>
        <v/>
      </c>
    </row>
    <row r="1948" spans="1:11" ht="12.75" customHeight="1" thickTop="1" thickBot="1"/>
    <row r="1949" spans="1:11" ht="12.75" customHeight="1" thickTop="1" thickBot="1">
      <c r="A1949" s="6" t="s">
        <v>499</v>
      </c>
      <c r="B1949" s="7" t="str">
        <f>VLOOKUP($A1949,Presupuesto!$A:$D,2,FALSE())</f>
        <v>Placa maciza concreto 20.7 Mpa E=0.20m premezclado</v>
      </c>
      <c r="C1949" s="8" t="str">
        <f>VLOOKUP($A1949,Presupuesto!$A:$D,3,FALSE())</f>
        <v>M2</v>
      </c>
      <c r="D1949" s="9"/>
      <c r="E1949" s="10">
        <f>VLOOKUP($A1949,Presupuesto!$A:$D,4,FALSE())</f>
        <v>0</v>
      </c>
      <c r="F1949" s="11" t="s">
        <v>2589</v>
      </c>
      <c r="G1949" s="12">
        <f>SUM(G1951:G1970)/2</f>
        <v>359662.81189425307</v>
      </c>
      <c r="H1949" s="13">
        <f>ROUND(SUM(H1951:H1970),0)/2</f>
        <v>0</v>
      </c>
      <c r="I1949" s="10">
        <f>VLOOKUP(A1949,Presupuesto!$A:$F,6,0)</f>
        <v>0</v>
      </c>
      <c r="J1949" s="10">
        <f>+H1949-I1949</f>
        <v>0</v>
      </c>
      <c r="K1949" s="46">
        <f>+H1949-G1949*E1949</f>
        <v>0</v>
      </c>
    </row>
    <row r="1950" spans="1:11" ht="12.75" customHeight="1" thickTop="1">
      <c r="A1950" s="14"/>
      <c r="B1950" s="15" t="s">
        <v>2586</v>
      </c>
      <c r="C1950" s="15" t="s">
        <v>5</v>
      </c>
      <c r="D1950" s="16" t="s">
        <v>6</v>
      </c>
      <c r="E1950" s="17" t="s">
        <v>7</v>
      </c>
      <c r="F1950" s="18" t="s">
        <v>3728</v>
      </c>
      <c r="G1950" s="19" t="s">
        <v>3729</v>
      </c>
      <c r="H1950" s="20" t="s">
        <v>3797</v>
      </c>
    </row>
    <row r="1951" spans="1:11" ht="12.75" customHeight="1">
      <c r="A1951" s="21"/>
      <c r="B1951" s="22" t="s">
        <v>3730</v>
      </c>
      <c r="C1951" s="23"/>
      <c r="D1951" s="24"/>
      <c r="E1951" s="25"/>
      <c r="F1951" s="26"/>
      <c r="G1951" s="27">
        <f>SUM(G1952:G1956)</f>
        <v>218155.22577750302</v>
      </c>
      <c r="H1951" s="27">
        <f>IFERROR(G1951*E1949,"")</f>
        <v>0</v>
      </c>
    </row>
    <row r="1952" spans="1:11" ht="12.75" customHeight="1">
      <c r="A1952" s="28"/>
      <c r="B1952" s="29" t="s">
        <v>2868</v>
      </c>
      <c r="C1952" s="30" t="str">
        <f>IFERROR(_xlfn.XLOOKUP(B1952,Insumo[DESCRIPCION],Insumo[UND],,0),"")</f>
        <v>M3</v>
      </c>
      <c r="D1952" s="31">
        <v>0.2</v>
      </c>
      <c r="E1952" s="32">
        <f>IFERROR(_xlfn.XLOOKUP($B1952,Insumo[DESCRIPCION],Insumo[VALOR],,0),"")</f>
        <v>718719.75</v>
      </c>
      <c r="F1952" s="33">
        <v>5</v>
      </c>
      <c r="G1952" s="34">
        <f>IFERROR(IF(F1952&gt;=0,D1952*E1952*(1+F1952/100),ABS(D1952*E1952/F1952)),"")</f>
        <v>150931.14750000002</v>
      </c>
      <c r="H1952" s="43">
        <f>IFERROR(G1952*E1949,"")</f>
        <v>0</v>
      </c>
    </row>
    <row r="1953" spans="1:8" ht="12.75" customHeight="1">
      <c r="A1953" s="28"/>
      <c r="B1953" s="29" t="s">
        <v>2957</v>
      </c>
      <c r="C1953" s="30" t="str">
        <f>IFERROR(_xlfn.XLOOKUP(B1953,Insumo[DESCRIPCION],Insumo[UND],,0),"")</f>
        <v>M2</v>
      </c>
      <c r="D1953" s="31">
        <v>0.4</v>
      </c>
      <c r="E1953" s="32">
        <f>IFERROR(_xlfn.XLOOKUP($B1953,Insumo[DESCRIPCION],Insumo[VALOR],,0),"")</f>
        <v>149544.7581937575</v>
      </c>
      <c r="F1953" s="33"/>
      <c r="G1953" s="34">
        <f>IFERROR(IF(F1953&gt;=0,D1953*E1953*(1+F1953/100),ABS(D1953*E1953/F1953)),"")</f>
        <v>59817.903277503006</v>
      </c>
      <c r="H1953" s="43">
        <f>IFERROR(G1953*E1949,"")</f>
        <v>0</v>
      </c>
    </row>
    <row r="1954" spans="1:8" ht="12.75" customHeight="1">
      <c r="A1954" s="28"/>
      <c r="B1954" s="29" t="s">
        <v>2709</v>
      </c>
      <c r="C1954" s="30" t="str">
        <f>IFERROR(_xlfn.XLOOKUP(B1954,Insumo[DESCRIPCION],Insumo[UND],,0),"")</f>
        <v>Kg</v>
      </c>
      <c r="D1954" s="31">
        <v>0.5</v>
      </c>
      <c r="E1954" s="32">
        <f>IFERROR(_xlfn.XLOOKUP($B1954,Insumo[DESCRIPCION],Insumo[VALOR],,0),"")</f>
        <v>14812.35</v>
      </c>
      <c r="F1954" s="33"/>
      <c r="G1954" s="34">
        <f>IFERROR(IF(F1954&gt;=0,D1954*E1954*(1+F1954/100),ABS(D1954*E1954/F1954)),"")</f>
        <v>7406.1750000000002</v>
      </c>
      <c r="H1954" s="43">
        <f>IFERROR(G1954*E1949,"")</f>
        <v>0</v>
      </c>
    </row>
    <row r="1955" spans="1:8" ht="12.75" customHeight="1">
      <c r="A1955" s="28"/>
      <c r="B1955" s="29"/>
      <c r="C1955" s="30" t="str">
        <f>IFERROR(_xlfn.XLOOKUP(B1955,Insumo[DESCRIPCION],Insumo[UND],,0),"")</f>
        <v/>
      </c>
      <c r="D1955" s="31"/>
      <c r="E1955" s="32" t="str">
        <f>IFERROR(_xlfn.XLOOKUP($B1955,Insumo[DESCRIPCION],Insumo[VALOR],,0),"")</f>
        <v/>
      </c>
      <c r="F1955" s="33"/>
      <c r="G1955" s="34" t="str">
        <f>IFERROR(IF(F1955&gt;=0,D1955*E1955*(1+F1955/100),ABS(D1955*E1955/F1955)),"")</f>
        <v/>
      </c>
      <c r="H1955" s="43" t="str">
        <f>IFERROR(G1955*E1949,"")</f>
        <v/>
      </c>
    </row>
    <row r="1956" spans="1:8" ht="12.75" customHeight="1">
      <c r="A1956" s="28"/>
      <c r="B1956" s="29"/>
      <c r="C1956" s="30" t="str">
        <f>IFERROR(_xlfn.XLOOKUP(B1956,Insumo[DESCRIPCION],Insumo[UND],,0),"")</f>
        <v/>
      </c>
      <c r="D1956" s="31"/>
      <c r="E1956" s="32" t="str">
        <f>IFERROR(_xlfn.XLOOKUP($B1956,Insumo[DESCRIPCION],Insumo[VALOR],,0),"")</f>
        <v/>
      </c>
      <c r="F1956" s="33"/>
      <c r="G1956" s="34" t="str">
        <f>IFERROR(IF(F1956&gt;=0,D1956*E1956*(1+F1956/100),ABS(D1956*E1956/F1956)),"")</f>
        <v/>
      </c>
      <c r="H1956" s="43" t="str">
        <f>IFERROR(G1956*E1949,"")</f>
        <v/>
      </c>
    </row>
    <row r="1957" spans="1:8" ht="12.75" customHeight="1">
      <c r="A1957" s="21"/>
      <c r="B1957" s="22" t="s">
        <v>3731</v>
      </c>
      <c r="C1957" s="23"/>
      <c r="D1957" s="24"/>
      <c r="E1957" s="25"/>
      <c r="F1957" s="26"/>
      <c r="G1957" s="27">
        <f>SUM(G1958:G1963)</f>
        <v>46691.32791032143</v>
      </c>
      <c r="H1957" s="44">
        <f>G1957*E1949</f>
        <v>0</v>
      </c>
    </row>
    <row r="1958" spans="1:8" ht="12.75" customHeight="1">
      <c r="A1958" s="28"/>
      <c r="B1958" s="29" t="s">
        <v>3657</v>
      </c>
      <c r="C1958" s="30" t="str">
        <f>IFERROR(_xlfn.XLOOKUP(B1958,Equipo[DESCRIPCION],Equipo[UND],,0),"")</f>
        <v>Día</v>
      </c>
      <c r="D1958" s="31">
        <v>1</v>
      </c>
      <c r="E1958" s="32">
        <f>IF(C1958="%MO",G1967,IFERROR(_xlfn.XLOOKUP($B1958,Equipo[DESCRIPCION],Equipo[VALOR],,0),""))</f>
        <v>56524.65</v>
      </c>
      <c r="F1958" s="33">
        <v>-10</v>
      </c>
      <c r="G1958" s="34">
        <f t="shared" ref="G1958:G1963" si="13">IFERROR(IF(F1958&gt;=0,D1958*E1958*(1+F1958/100),ABS(D1958*E1958/F1958)),"")</f>
        <v>5652.4650000000001</v>
      </c>
      <c r="H1958" s="43">
        <f>IFERROR(G1958*E1949,"")</f>
        <v>0</v>
      </c>
    </row>
    <row r="1959" spans="1:8" ht="12.75" customHeight="1">
      <c r="A1959" s="28"/>
      <c r="B1959" s="29" t="s">
        <v>3652</v>
      </c>
      <c r="C1959" s="30" t="str">
        <f>IFERROR(_xlfn.XLOOKUP(B1959,Equipo[DESCRIPCION],Equipo[UND],,0),"")</f>
        <v>Día</v>
      </c>
      <c r="D1959" s="31">
        <v>1</v>
      </c>
      <c r="E1959" s="32">
        <f>IF(C1959="%MO",G1968,IFERROR(_xlfn.XLOOKUP($B1959,Equipo[DESCRIPCION],Equipo[VALOR],,0),""))</f>
        <v>635.25</v>
      </c>
      <c r="F1959" s="33">
        <v>-0.1</v>
      </c>
      <c r="G1959" s="34">
        <f t="shared" si="13"/>
        <v>6352.5</v>
      </c>
      <c r="H1959" s="43">
        <f>IFERROR(G1959*E1949,"")</f>
        <v>0</v>
      </c>
    </row>
    <row r="1960" spans="1:8" ht="12.75" customHeight="1">
      <c r="A1960" s="28"/>
      <c r="B1960" s="29" t="s">
        <v>3591</v>
      </c>
      <c r="C1960" s="30" t="str">
        <f>IFERROR(_xlfn.XLOOKUP(B1960,Equipo[DESCRIPCION],Equipo[UND],,0),"")</f>
        <v>Día</v>
      </c>
      <c r="D1960" s="31">
        <v>1</v>
      </c>
      <c r="E1960" s="32">
        <f>IF(C1960="%MO",G1969,IFERROR(_xlfn.XLOOKUP($B1960,Equipo[DESCRIPCION],Equipo[VALOR],,0),""))</f>
        <v>635.25</v>
      </c>
      <c r="F1960" s="33">
        <v>-0.1</v>
      </c>
      <c r="G1960" s="34">
        <f t="shared" si="13"/>
        <v>6352.5</v>
      </c>
      <c r="H1960" s="43">
        <f>IFERROR(G1960*E1949,"")</f>
        <v>0</v>
      </c>
    </row>
    <row r="1961" spans="1:8" ht="12.75" customHeight="1">
      <c r="A1961" s="28"/>
      <c r="B1961" s="29" t="s">
        <v>3651</v>
      </c>
      <c r="C1961" s="30" t="str">
        <f>IFERROR(_xlfn.XLOOKUP(B1961,Equipo[DESCRIPCION],Equipo[UND],,0),"")</f>
        <v>Día</v>
      </c>
      <c r="D1961" s="31">
        <v>1</v>
      </c>
      <c r="E1961" s="32">
        <f>IF(C1961="%MO",G1970,IFERROR(_xlfn.XLOOKUP($B1961,Equipo[DESCRIPCION],Equipo[VALOR],,0),""))</f>
        <v>981.75</v>
      </c>
      <c r="F1961" s="33">
        <v>-0.14000000000000001</v>
      </c>
      <c r="G1961" s="34">
        <f t="shared" si="13"/>
        <v>7012.4999999999991</v>
      </c>
      <c r="H1961" s="43">
        <f>IFERROR(G1961*E1949,"")</f>
        <v>0</v>
      </c>
    </row>
    <row r="1962" spans="1:8" ht="12.75" customHeight="1">
      <c r="A1962" s="28"/>
      <c r="B1962" s="29" t="s">
        <v>3580</v>
      </c>
      <c r="C1962" s="30" t="str">
        <f>IFERROR(_xlfn.XLOOKUP(B1962,Equipo[DESCRIPCION],Equipo[UND],,0),"")</f>
        <v>M3</v>
      </c>
      <c r="D1962" s="31">
        <v>1</v>
      </c>
      <c r="E1962" s="32">
        <f>IF(C1962="%MO",G1971,IFERROR(_xlfn.XLOOKUP($B1962,Equipo[DESCRIPCION],Equipo[VALOR],,0),""))</f>
        <v>82902.75</v>
      </c>
      <c r="F1962" s="33">
        <v>-5</v>
      </c>
      <c r="G1962" s="34">
        <f t="shared" si="13"/>
        <v>16580.55</v>
      </c>
      <c r="H1962" s="43">
        <f>IFERROR(G1962*E1949,"")</f>
        <v>0</v>
      </c>
    </row>
    <row r="1963" spans="1:8" ht="12.75" customHeight="1">
      <c r="A1963" s="28"/>
      <c r="B1963" s="29" t="s">
        <v>3626</v>
      </c>
      <c r="C1963" s="30" t="str">
        <f>IFERROR(_xlfn.XLOOKUP(B1963,Equipo[DESCRIPCION],Equipo[UND],,0),"")</f>
        <v>%MO</v>
      </c>
      <c r="D1963" s="31">
        <v>0.05</v>
      </c>
      <c r="E1963" s="32">
        <f>IF(C1963="%MO",G1967,IFERROR(_xlfn.XLOOKUP($B1963,Equipo[DESCRIPCION],Equipo[VALOR],,0),""))</f>
        <v>94816.258206428596</v>
      </c>
      <c r="F1963" s="33"/>
      <c r="G1963" s="34">
        <f t="shared" si="13"/>
        <v>4740.8129103214296</v>
      </c>
      <c r="H1963" s="43">
        <f>IFERROR(G1963*E1949,"")</f>
        <v>0</v>
      </c>
    </row>
    <row r="1964" spans="1:8" ht="12.75" customHeight="1">
      <c r="A1964" s="21"/>
      <c r="B1964" s="22" t="s">
        <v>2533</v>
      </c>
      <c r="C1964" s="23"/>
      <c r="D1964" s="24"/>
      <c r="E1964" s="25"/>
      <c r="F1964" s="26"/>
      <c r="G1964" s="27">
        <f>SUM(G1965:G1966)</f>
        <v>0</v>
      </c>
      <c r="H1964" s="44">
        <f>G1964*E1949</f>
        <v>0</v>
      </c>
    </row>
    <row r="1965" spans="1:8" ht="12.75" customHeight="1">
      <c r="A1965" s="28"/>
      <c r="B1965" s="29"/>
      <c r="C1965" s="30" t="str">
        <f>IFERROR(_xlfn.XLOOKUP(B1965,Transporte[DESCRIPCION],Transporte[UND],,0),"")</f>
        <v/>
      </c>
      <c r="D1965" s="31"/>
      <c r="E1965" s="32" t="str">
        <f>IFERROR(_xlfn.XLOOKUP($B1965,Transporte[DESCRIPCION],Transporte[VALOR],,0),"")</f>
        <v/>
      </c>
      <c r="F1965" s="33"/>
      <c r="G1965" s="34" t="str">
        <f>IFERROR(IF(F1965&gt;=0,D1965*E1965*(1+F1965/100),ABS(D1965*E1965/F1965)),"")</f>
        <v/>
      </c>
      <c r="H1965" s="43" t="str">
        <f>IFERROR(G1965*E1949,"")</f>
        <v/>
      </c>
    </row>
    <row r="1966" spans="1:8" ht="12.75" customHeight="1">
      <c r="A1966" s="28"/>
      <c r="B1966" s="29"/>
      <c r="C1966" s="30" t="str">
        <f>IFERROR(_xlfn.XLOOKUP(B1966,Transporte[DESCRIPCION],Transporte[UND],,0),"")</f>
        <v/>
      </c>
      <c r="D1966" s="31"/>
      <c r="E1966" s="32" t="str">
        <f>IFERROR(_xlfn.XLOOKUP($B1966,Transporte[DESCRIPCION],Transporte[VALOR],,0),"")</f>
        <v/>
      </c>
      <c r="F1966" s="33"/>
      <c r="G1966" s="34" t="str">
        <f>IFERROR(IF(F1966&gt;=0,D1966*E1966*(1+F1966/100),ABS(D1966*E1966/F1966)),"")</f>
        <v/>
      </c>
      <c r="H1966" s="43" t="str">
        <f>IFERROR(G1966*E1949,"")</f>
        <v/>
      </c>
    </row>
    <row r="1967" spans="1:8" ht="12.75" customHeight="1">
      <c r="A1967" s="21"/>
      <c r="B1967" s="22" t="s">
        <v>3732</v>
      </c>
      <c r="C1967" s="23"/>
      <c r="D1967" s="24"/>
      <c r="E1967" s="25"/>
      <c r="F1967" s="26"/>
      <c r="G1967" s="27">
        <f>SUM(G1968:G1970)</f>
        <v>94816.258206428596</v>
      </c>
      <c r="H1967" s="44">
        <f>G1967*E1949</f>
        <v>0</v>
      </c>
    </row>
    <row r="1968" spans="1:8" ht="12.75" customHeight="1">
      <c r="A1968" s="28"/>
      <c r="B1968" s="29" t="s">
        <v>3713</v>
      </c>
      <c r="C1968" s="30" t="str">
        <f>IFERROR(_xlfn.XLOOKUP(B1968,MObra[DESCRIPCION],MObra[UN],,0),"")</f>
        <v>día</v>
      </c>
      <c r="D1968" s="31">
        <v>1</v>
      </c>
      <c r="E1968" s="32">
        <f>IFERROR(_xlfn.XLOOKUP($B1968,MObra[DESCRIPCION],MObra[VALOR UNIT],,0),"")</f>
        <v>663713.80744500016</v>
      </c>
      <c r="F1968" s="33">
        <v>-7</v>
      </c>
      <c r="G1968" s="34">
        <f>IFERROR(IF(F1968&gt;=0,D1968*E1968*(1+F1968/100),ABS(D1968*E1968/F1968)),"")</f>
        <v>94816.258206428596</v>
      </c>
      <c r="H1968" s="43">
        <f>IFERROR(G1968*E1949,"")</f>
        <v>0</v>
      </c>
    </row>
    <row r="1969" spans="1:11" ht="12.75" customHeight="1">
      <c r="A1969" s="28"/>
      <c r="B1969" s="29"/>
      <c r="C1969" s="30" t="str">
        <f t="array" ref="C1969">IFERROR(_xlfn.XLOOKUP(B1969,MObra[[#All],[DESCRIPCION]],MObra[[#All],[UN]],,0),"")</f>
        <v/>
      </c>
      <c r="D1969" s="31"/>
      <c r="E1969" s="32" t="str">
        <f>IFERROR(_xlfn.XLOOKUP($B1969,MObra[DESCRIPCION],MObra[VALOR UNIT],,0),"")</f>
        <v/>
      </c>
      <c r="F1969" s="33"/>
      <c r="G1969" s="34" t="str">
        <f>IFERROR(IF(F1969&gt;=0,D1969*E1969*(1+F1969/100),ABS(D1969*E1969/F1969)),"")</f>
        <v/>
      </c>
      <c r="H1969" s="43" t="str">
        <f>IFERROR(G1969*E1949,"")</f>
        <v/>
      </c>
    </row>
    <row r="1970" spans="1:11" ht="12.75" customHeight="1" thickBot="1">
      <c r="A1970" s="35"/>
      <c r="B1970" s="36"/>
      <c r="C1970" s="37" t="str">
        <f t="array" ref="C1970">IFERROR(_xlfn.XLOOKUP(B1970,MObra[[#All],[DESCRIPCION]],MObra[[#All],[UN]],,0),"")</f>
        <v/>
      </c>
      <c r="D1970" s="38"/>
      <c r="E1970" s="39" t="str">
        <f>IFERROR(_xlfn.XLOOKUP($B1970,MObra[DESCRIPCION],MObra[VALOR UNIT],,0),"")</f>
        <v/>
      </c>
      <c r="F1970" s="40"/>
      <c r="G1970" s="41" t="str">
        <f>IFERROR(IF(F1970&gt;=0,D1970*E1970*(1+F1970/100),ABS(D1970*E1970/F1970)),"")</f>
        <v/>
      </c>
      <c r="H1970" s="42" t="str">
        <f>IFERROR(G1970*E1949,"")</f>
        <v/>
      </c>
    </row>
    <row r="1971" spans="1:11" ht="12.75" customHeight="1" thickTop="1" thickBot="1"/>
    <row r="1972" spans="1:11" ht="12.75" customHeight="1" thickTop="1" thickBot="1">
      <c r="A1972" s="6" t="s">
        <v>501</v>
      </c>
      <c r="B1972" s="7" t="str">
        <f>VLOOKUP($A1972,Presupuesto!$A:$D,2,FALSE())</f>
        <v>Placa maciza concreto 27.6 Mpa Imermeabilizado</v>
      </c>
      <c r="C1972" s="8" t="str">
        <f>VLOOKUP($A1972,Presupuesto!$A:$D,3,FALSE())</f>
        <v>M3</v>
      </c>
      <c r="D1972" s="9"/>
      <c r="E1972" s="10">
        <f>VLOOKUP($A1972,Presupuesto!$A:$D,4,FALSE())</f>
        <v>0</v>
      </c>
      <c r="F1972" s="11" t="s">
        <v>2589</v>
      </c>
      <c r="G1972" s="12">
        <f>SUM(G1974:G1993)/2</f>
        <v>1951433.0277961397</v>
      </c>
      <c r="H1972" s="13">
        <f>ROUND(SUM(H1974:H1993),0)/2</f>
        <v>0</v>
      </c>
      <c r="I1972" s="10">
        <f>VLOOKUP(A1972,Presupuesto!$A:$F,6,0)</f>
        <v>0</v>
      </c>
      <c r="J1972" s="10">
        <f>+H1972-I1972</f>
        <v>0</v>
      </c>
      <c r="K1972" s="46">
        <f>+H1972-G1972*E1972</f>
        <v>0</v>
      </c>
    </row>
    <row r="1973" spans="1:11" ht="12.75" customHeight="1" thickTop="1">
      <c r="A1973" s="14"/>
      <c r="B1973" s="15" t="s">
        <v>2586</v>
      </c>
      <c r="C1973" s="15" t="s">
        <v>5</v>
      </c>
      <c r="D1973" s="16" t="s">
        <v>6</v>
      </c>
      <c r="E1973" s="17" t="s">
        <v>7</v>
      </c>
      <c r="F1973" s="18" t="s">
        <v>3728</v>
      </c>
      <c r="G1973" s="19" t="s">
        <v>3729</v>
      </c>
      <c r="H1973" s="20" t="s">
        <v>3797</v>
      </c>
    </row>
    <row r="1974" spans="1:11" ht="12.75" customHeight="1">
      <c r="A1974" s="21"/>
      <c r="B1974" s="22" t="s">
        <v>3730</v>
      </c>
      <c r="C1974" s="23"/>
      <c r="D1974" s="24"/>
      <c r="E1974" s="25"/>
      <c r="F1974" s="26"/>
      <c r="G1974" s="27">
        <f>SUM(G1975:G1979)</f>
        <v>1498986.7288875151</v>
      </c>
      <c r="H1974" s="27">
        <f>IFERROR(G1974*E1972,"")</f>
        <v>0</v>
      </c>
    </row>
    <row r="1975" spans="1:11" ht="12.75" customHeight="1">
      <c r="A1975" s="28"/>
      <c r="B1975" s="29" t="s">
        <v>2872</v>
      </c>
      <c r="C1975" s="30" t="str">
        <f>IFERROR(_xlfn.XLOOKUP(B1975,Insumo[DESCRIPCION],Insumo[UND],,0),"")</f>
        <v>M3</v>
      </c>
      <c r="D1975" s="31">
        <v>1</v>
      </c>
      <c r="E1975" s="32">
        <f>IFERROR(_xlfn.XLOOKUP($B1975,Insumo[DESCRIPCION],Insumo[VALOR],,0),"")</f>
        <v>726437.25</v>
      </c>
      <c r="F1975" s="33">
        <v>5</v>
      </c>
      <c r="G1975" s="34">
        <f>IFERROR(IF(F1975&gt;=0,D1975*E1975*(1+F1975/100),ABS(D1975*E1975/F1975)),"")</f>
        <v>762759.11250000005</v>
      </c>
      <c r="H1975" s="43">
        <f>IFERROR(G1975*E1972,"")</f>
        <v>0</v>
      </c>
    </row>
    <row r="1976" spans="1:11" ht="12.75" customHeight="1">
      <c r="A1976" s="28"/>
      <c r="B1976" s="29" t="s">
        <v>2957</v>
      </c>
      <c r="C1976" s="30" t="str">
        <f>IFERROR(_xlfn.XLOOKUP(B1976,Insumo[DESCRIPCION],Insumo[UND],,0),"")</f>
        <v>M2</v>
      </c>
      <c r="D1976" s="31">
        <v>2</v>
      </c>
      <c r="E1976" s="32">
        <f>IFERROR(_xlfn.XLOOKUP($B1976,Insumo[DESCRIPCION],Insumo[VALOR],,0),"")</f>
        <v>149544.7581937575</v>
      </c>
      <c r="F1976" s="33"/>
      <c r="G1976" s="34">
        <f>IFERROR(IF(F1976&gt;=0,D1976*E1976*(1+F1976/100),ABS(D1976*E1976/F1976)),"")</f>
        <v>299089.516387515</v>
      </c>
      <c r="H1976" s="43">
        <f>IFERROR(G1976*E1972,"")</f>
        <v>0</v>
      </c>
    </row>
    <row r="1977" spans="1:11" ht="12.75" customHeight="1">
      <c r="A1977" s="28"/>
      <c r="B1977" s="29" t="s">
        <v>2709</v>
      </c>
      <c r="C1977" s="30" t="str">
        <f>IFERROR(_xlfn.XLOOKUP(B1977,Insumo[DESCRIPCION],Insumo[UND],,0),"")</f>
        <v>Kg</v>
      </c>
      <c r="D1977" s="31">
        <v>2</v>
      </c>
      <c r="E1977" s="32">
        <f>IFERROR(_xlfn.XLOOKUP($B1977,Insumo[DESCRIPCION],Insumo[VALOR],,0),"")</f>
        <v>14812.35</v>
      </c>
      <c r="F1977" s="33"/>
      <c r="G1977" s="34">
        <f>IFERROR(IF(F1977&gt;=0,D1977*E1977*(1+F1977/100),ABS(D1977*E1977/F1977)),"")</f>
        <v>29624.7</v>
      </c>
      <c r="H1977" s="43">
        <f>IFERROR(G1977*E1972,"")</f>
        <v>0</v>
      </c>
    </row>
    <row r="1978" spans="1:11" ht="12.75" customHeight="1">
      <c r="A1978" s="28"/>
      <c r="B1978" s="29" t="s">
        <v>3223</v>
      </c>
      <c r="C1978" s="30" t="str">
        <f>IFERROR(_xlfn.XLOOKUP(B1978,Insumo[DESCRIPCION],Insumo[UND],,0),"")</f>
        <v>Kg</v>
      </c>
      <c r="D1978" s="31">
        <v>14</v>
      </c>
      <c r="E1978" s="32">
        <f>IFERROR(_xlfn.XLOOKUP($B1978,Insumo[DESCRIPCION],Insumo[VALOR],,0),"")</f>
        <v>29108.100000000002</v>
      </c>
      <c r="F1978" s="33"/>
      <c r="G1978" s="34">
        <f>IFERROR(IF(F1978&gt;=0,D1978*E1978*(1+F1978/100),ABS(D1978*E1978/F1978)),"")</f>
        <v>407513.4</v>
      </c>
      <c r="H1978" s="43">
        <f>IFERROR(G1978*E1972,"")</f>
        <v>0</v>
      </c>
    </row>
    <row r="1979" spans="1:11" ht="12.75" customHeight="1">
      <c r="A1979" s="28"/>
      <c r="B1979" s="29"/>
      <c r="C1979" s="30" t="str">
        <f>IFERROR(_xlfn.XLOOKUP(B1979,Insumo[DESCRIPCION],Insumo[UND],,0),"")</f>
        <v/>
      </c>
      <c r="D1979" s="31"/>
      <c r="E1979" s="32" t="str">
        <f>IFERROR(_xlfn.XLOOKUP($B1979,Insumo[DESCRIPCION],Insumo[VALOR],,0),"")</f>
        <v/>
      </c>
      <c r="F1979" s="33"/>
      <c r="G1979" s="34" t="str">
        <f>IFERROR(IF(F1979&gt;=0,D1979*E1979*(1+F1979/100),ABS(D1979*E1979/F1979)),"")</f>
        <v/>
      </c>
      <c r="H1979" s="43" t="str">
        <f>IFERROR(G1979*E1972,"")</f>
        <v/>
      </c>
    </row>
    <row r="1980" spans="1:11" ht="12.75" customHeight="1">
      <c r="A1980" s="21"/>
      <c r="B1980" s="22" t="s">
        <v>3731</v>
      </c>
      <c r="C1980" s="23"/>
      <c r="D1980" s="24"/>
      <c r="E1980" s="25"/>
      <c r="F1980" s="26"/>
      <c r="G1980" s="27">
        <f>SUM(G1981:G1986)</f>
        <v>120589.39518612501</v>
      </c>
      <c r="H1980" s="44">
        <f>G1980*E1972</f>
        <v>0</v>
      </c>
    </row>
    <row r="1981" spans="1:11" ht="12.75" customHeight="1">
      <c r="A1981" s="28"/>
      <c r="B1981" s="29" t="s">
        <v>3657</v>
      </c>
      <c r="C1981" s="30" t="str">
        <f>IFERROR(_xlfn.XLOOKUP(B1981,Equipo[DESCRIPCION],Equipo[UND],,0),"")</f>
        <v>Día</v>
      </c>
      <c r="D1981" s="31">
        <v>1</v>
      </c>
      <c r="E1981" s="32">
        <f>IF(C1981="%MO",G1990,IFERROR(_xlfn.XLOOKUP($B1981,Equipo[DESCRIPCION],Equipo[VALOR],,0),""))</f>
        <v>56524.65</v>
      </c>
      <c r="F1981" s="33">
        <v>-3</v>
      </c>
      <c r="G1981" s="34">
        <f t="shared" ref="G1981:G1986" si="14">IFERROR(IF(F1981&gt;=0,D1981*E1981*(1+F1981/100),ABS(D1981*E1981/F1981)),"")</f>
        <v>18841.55</v>
      </c>
      <c r="H1981" s="43">
        <f>IFERROR(G1981*E1972,"")</f>
        <v>0</v>
      </c>
    </row>
    <row r="1982" spans="1:11" ht="12.75" customHeight="1">
      <c r="A1982" s="28"/>
      <c r="B1982" s="29" t="s">
        <v>3652</v>
      </c>
      <c r="C1982" s="30" t="str">
        <f>IFERROR(_xlfn.XLOOKUP(B1982,Equipo[DESCRIPCION],Equipo[UND],,0),"")</f>
        <v>Día</v>
      </c>
      <c r="D1982" s="31">
        <v>1</v>
      </c>
      <c r="E1982" s="32">
        <f>IF(C1982="%MO",G1991,IFERROR(_xlfn.XLOOKUP($B1982,Equipo[DESCRIPCION],Equipo[VALOR],,0),""))</f>
        <v>635.25</v>
      </c>
      <c r="F1982" s="33">
        <v>-1</v>
      </c>
      <c r="G1982" s="34">
        <f t="shared" si="14"/>
        <v>635.25</v>
      </c>
      <c r="H1982" s="43">
        <f>IFERROR(G1982*E1972,"")</f>
        <v>0</v>
      </c>
    </row>
    <row r="1983" spans="1:11" ht="12.75" customHeight="1">
      <c r="A1983" s="28"/>
      <c r="B1983" s="29" t="s">
        <v>3591</v>
      </c>
      <c r="C1983" s="30" t="str">
        <f>IFERROR(_xlfn.XLOOKUP(B1983,Equipo[DESCRIPCION],Equipo[UND],,0),"")</f>
        <v>Día</v>
      </c>
      <c r="D1983" s="31">
        <v>1</v>
      </c>
      <c r="E1983" s="32">
        <f>IF(C1983="%MO",G1992,IFERROR(_xlfn.XLOOKUP($B1983,Equipo[DESCRIPCION],Equipo[VALOR],,0),""))</f>
        <v>635.25</v>
      </c>
      <c r="F1983" s="33">
        <v>-1</v>
      </c>
      <c r="G1983" s="34">
        <f t="shared" si="14"/>
        <v>635.25</v>
      </c>
      <c r="H1983" s="43">
        <f>IFERROR(G1983*E1972,"")</f>
        <v>0</v>
      </c>
    </row>
    <row r="1984" spans="1:11" ht="12.75" customHeight="1">
      <c r="A1984" s="28"/>
      <c r="B1984" s="29" t="s">
        <v>3651</v>
      </c>
      <c r="C1984" s="30" t="str">
        <f>IFERROR(_xlfn.XLOOKUP(B1984,Equipo[DESCRIPCION],Equipo[UND],,0),"")</f>
        <v>Día</v>
      </c>
      <c r="D1984" s="31">
        <v>1</v>
      </c>
      <c r="E1984" s="32">
        <f>IF(C1984="%MO",G1993,IFERROR(_xlfn.XLOOKUP($B1984,Equipo[DESCRIPCION],Equipo[VALOR],,0),""))</f>
        <v>981.75</v>
      </c>
      <c r="F1984" s="33">
        <v>-1</v>
      </c>
      <c r="G1984" s="34">
        <f t="shared" si="14"/>
        <v>981.75</v>
      </c>
      <c r="H1984" s="43">
        <f>IFERROR(G1984*E1972,"")</f>
        <v>0</v>
      </c>
    </row>
    <row r="1985" spans="1:11" ht="12.75" customHeight="1">
      <c r="A1985" s="28"/>
      <c r="B1985" s="29" t="s">
        <v>3580</v>
      </c>
      <c r="C1985" s="30" t="str">
        <f>IFERROR(_xlfn.XLOOKUP(B1985,Equipo[DESCRIPCION],Equipo[UND],,0),"")</f>
        <v>M3</v>
      </c>
      <c r="D1985" s="31">
        <v>1</v>
      </c>
      <c r="E1985" s="32">
        <f>IF(C1985="%MO",G1994,IFERROR(_xlfn.XLOOKUP($B1985,Equipo[DESCRIPCION],Equipo[VALOR],,0),""))</f>
        <v>82902.75</v>
      </c>
      <c r="F1985" s="33"/>
      <c r="G1985" s="34">
        <f t="shared" si="14"/>
        <v>82902.75</v>
      </c>
      <c r="H1985" s="43">
        <f>IFERROR(G1985*E1972,"")</f>
        <v>0</v>
      </c>
    </row>
    <row r="1986" spans="1:11" ht="12.75" customHeight="1">
      <c r="A1986" s="28"/>
      <c r="B1986" s="29" t="s">
        <v>3626</v>
      </c>
      <c r="C1986" s="30" t="str">
        <f>IFERROR(_xlfn.XLOOKUP(B1986,Equipo[DESCRIPCION],Equipo[UND],,0),"")</f>
        <v>%MO</v>
      </c>
      <c r="D1986" s="31">
        <v>0.05</v>
      </c>
      <c r="E1986" s="32">
        <f>IF(C1986="%MO",G1990,IFERROR(_xlfn.XLOOKUP($B1986,Equipo[DESCRIPCION],Equipo[VALOR],,0),""))</f>
        <v>331856.90372250008</v>
      </c>
      <c r="F1986" s="33"/>
      <c r="G1986" s="34">
        <f t="shared" si="14"/>
        <v>16592.845186125003</v>
      </c>
      <c r="H1986" s="43">
        <f>IFERROR(G1986*E1972,"")</f>
        <v>0</v>
      </c>
    </row>
    <row r="1987" spans="1:11" ht="12.75" customHeight="1">
      <c r="A1987" s="21"/>
      <c r="B1987" s="22" t="s">
        <v>2533</v>
      </c>
      <c r="C1987" s="23"/>
      <c r="D1987" s="24"/>
      <c r="E1987" s="25"/>
      <c r="F1987" s="26"/>
      <c r="G1987" s="27">
        <f>SUM(G1988:G1989)</f>
        <v>0</v>
      </c>
      <c r="H1987" s="44">
        <f>G1987*E1972</f>
        <v>0</v>
      </c>
    </row>
    <row r="1988" spans="1:11" ht="12.75" customHeight="1">
      <c r="A1988" s="28"/>
      <c r="B1988" s="29"/>
      <c r="C1988" s="30" t="str">
        <f>IFERROR(_xlfn.XLOOKUP(B1988,Transporte[DESCRIPCION],Transporte[UND],,0),"")</f>
        <v/>
      </c>
      <c r="D1988" s="31"/>
      <c r="E1988" s="32" t="str">
        <f>IFERROR(_xlfn.XLOOKUP($B1988,Transporte[DESCRIPCION],Transporte[VALOR],,0),"")</f>
        <v/>
      </c>
      <c r="F1988" s="33"/>
      <c r="G1988" s="34" t="str">
        <f>IFERROR(IF(F1988&gt;=0,D1988*E1988*(1+F1988/100),ABS(D1988*E1988/F1988)),"")</f>
        <v/>
      </c>
      <c r="H1988" s="43" t="str">
        <f>IFERROR(G1988*E1972,"")</f>
        <v/>
      </c>
    </row>
    <row r="1989" spans="1:11" ht="12.75" customHeight="1">
      <c r="A1989" s="28"/>
      <c r="B1989" s="29"/>
      <c r="C1989" s="30" t="str">
        <f>IFERROR(_xlfn.XLOOKUP(B1989,Transporte[DESCRIPCION],Transporte[UND],,0),"")</f>
        <v/>
      </c>
      <c r="D1989" s="31"/>
      <c r="E1989" s="32" t="str">
        <f>IFERROR(_xlfn.XLOOKUP($B1989,Transporte[DESCRIPCION],Transporte[VALOR],,0),"")</f>
        <v/>
      </c>
      <c r="F1989" s="33"/>
      <c r="G1989" s="34" t="str">
        <f>IFERROR(IF(F1989&gt;=0,D1989*E1989*(1+F1989/100),ABS(D1989*E1989/F1989)),"")</f>
        <v/>
      </c>
      <c r="H1989" s="43" t="str">
        <f>IFERROR(G1989*E1972,"")</f>
        <v/>
      </c>
    </row>
    <row r="1990" spans="1:11" ht="12.75" customHeight="1">
      <c r="A1990" s="21"/>
      <c r="B1990" s="22" t="s">
        <v>3732</v>
      </c>
      <c r="C1990" s="23"/>
      <c r="D1990" s="24"/>
      <c r="E1990" s="25"/>
      <c r="F1990" s="26"/>
      <c r="G1990" s="27">
        <f>SUM(G1991:G1993)</f>
        <v>331856.90372250008</v>
      </c>
      <c r="H1990" s="44">
        <f>G1990*E1972</f>
        <v>0</v>
      </c>
    </row>
    <row r="1991" spans="1:11" ht="12.75" customHeight="1">
      <c r="A1991" s="28"/>
      <c r="B1991" s="29" t="s">
        <v>3713</v>
      </c>
      <c r="C1991" s="30" t="str">
        <f>IFERROR(_xlfn.XLOOKUP(B1991,MObra[DESCRIPCION],MObra[UN],,0),"")</f>
        <v>día</v>
      </c>
      <c r="D1991" s="31">
        <v>1</v>
      </c>
      <c r="E1991" s="32">
        <f>IFERROR(_xlfn.XLOOKUP($B1991,MObra[DESCRIPCION],MObra[VALOR UNIT],,0),"")</f>
        <v>663713.80744500016</v>
      </c>
      <c r="F1991" s="33">
        <v>-2</v>
      </c>
      <c r="G1991" s="34">
        <f>IFERROR(IF(F1991&gt;=0,D1991*E1991*(1+F1991/100),ABS(D1991*E1991/F1991)),"")</f>
        <v>331856.90372250008</v>
      </c>
      <c r="H1991" s="43">
        <f>IFERROR(G1991*E1972,"")</f>
        <v>0</v>
      </c>
    </row>
    <row r="1992" spans="1:11" ht="12.75" customHeight="1">
      <c r="A1992" s="28"/>
      <c r="B1992" s="29"/>
      <c r="C1992" s="30" t="str">
        <f t="array" ref="C1992">IFERROR(_xlfn.XLOOKUP(B1992,MObra[[#All],[DESCRIPCION]],MObra[[#All],[UN]],,0),"")</f>
        <v/>
      </c>
      <c r="D1992" s="31"/>
      <c r="E1992" s="32" t="str">
        <f>IFERROR(_xlfn.XLOOKUP($B1992,MObra[DESCRIPCION],MObra[VALOR UNIT],,0),"")</f>
        <v/>
      </c>
      <c r="F1992" s="33"/>
      <c r="G1992" s="34" t="str">
        <f>IFERROR(IF(F1992&gt;=0,D1992*E1992*(1+F1992/100),ABS(D1992*E1992/F1992)),"")</f>
        <v/>
      </c>
      <c r="H1992" s="43" t="str">
        <f>IFERROR(G1992*E1972,"")</f>
        <v/>
      </c>
    </row>
    <row r="1993" spans="1:11" ht="12.75" customHeight="1" thickBot="1">
      <c r="A1993" s="35"/>
      <c r="B1993" s="36"/>
      <c r="C1993" s="37" t="str">
        <f t="array" ref="C1993">IFERROR(_xlfn.XLOOKUP(B1993,MObra[[#All],[DESCRIPCION]],MObra[[#All],[UN]],,0),"")</f>
        <v/>
      </c>
      <c r="D1993" s="38"/>
      <c r="E1993" s="39" t="str">
        <f>IFERROR(_xlfn.XLOOKUP($B1993,MObra[DESCRIPCION],MObra[VALOR UNIT],,0),"")</f>
        <v/>
      </c>
      <c r="F1993" s="40"/>
      <c r="G1993" s="41" t="str">
        <f>IFERROR(IF(F1993&gt;=0,D1993*E1993*(1+F1993/100),ABS(D1993*E1993/F1993)),"")</f>
        <v/>
      </c>
      <c r="H1993" s="42" t="str">
        <f>IFERROR(G1993*E1972,"")</f>
        <v/>
      </c>
    </row>
    <row r="1994" spans="1:11" ht="12.75" customHeight="1" thickTop="1" thickBot="1"/>
    <row r="1995" spans="1:11" ht="12.75" customHeight="1" thickTop="1" thickBot="1">
      <c r="A1995" s="6" t="s">
        <v>503</v>
      </c>
      <c r="B1995" s="7" t="str">
        <f>VLOOKUP($A1995,Presupuesto!$A:$D,2,FALSE())</f>
        <v>Placa piso concreto 20.7 Mpa E=0.05 m</v>
      </c>
      <c r="C1995" s="8" t="str">
        <f>VLOOKUP($A1995,Presupuesto!$A:$D,3,FALSE())</f>
        <v>M2</v>
      </c>
      <c r="D1995" s="9"/>
      <c r="E1995" s="10">
        <f>VLOOKUP($A1995,Presupuesto!$A:$D,4,FALSE())</f>
        <v>0</v>
      </c>
      <c r="F1995" s="11" t="s">
        <v>2589</v>
      </c>
      <c r="G1995" s="12">
        <f>SUM(G1997:G2013)/2</f>
        <v>82703.960601961531</v>
      </c>
      <c r="H1995" s="13">
        <f>ROUND(SUM(H1997:H2013),0)/2</f>
        <v>0</v>
      </c>
      <c r="I1995" s="10">
        <f>VLOOKUP(A1995,Presupuesto!$A:$F,6,0)</f>
        <v>0</v>
      </c>
      <c r="J1995" s="10">
        <f>+H1995-I1995</f>
        <v>0</v>
      </c>
      <c r="K1995" s="46">
        <f>+H1995-G1995*E1995</f>
        <v>0</v>
      </c>
    </row>
    <row r="1996" spans="1:11" ht="12.75" customHeight="1" thickTop="1">
      <c r="A1996" s="14"/>
      <c r="B1996" s="15" t="s">
        <v>2586</v>
      </c>
      <c r="C1996" s="15" t="s">
        <v>5</v>
      </c>
      <c r="D1996" s="16" t="s">
        <v>6</v>
      </c>
      <c r="E1996" s="17" t="s">
        <v>7</v>
      </c>
      <c r="F1996" s="18" t="s">
        <v>3728</v>
      </c>
      <c r="G1996" s="19" t="s">
        <v>3729</v>
      </c>
      <c r="H1996" s="20" t="s">
        <v>3797</v>
      </c>
    </row>
    <row r="1997" spans="1:11" ht="12.75" customHeight="1">
      <c r="A1997" s="21"/>
      <c r="B1997" s="22" t="s">
        <v>3730</v>
      </c>
      <c r="C1997" s="23"/>
      <c r="D1997" s="24"/>
      <c r="E1997" s="25"/>
      <c r="F1997" s="26"/>
      <c r="G1997" s="27">
        <f>SUM(G1998:G2002)</f>
        <v>56704.87059812653</v>
      </c>
      <c r="H1997" s="27">
        <f>IFERROR(G1997*E1995,"")</f>
        <v>0</v>
      </c>
    </row>
    <row r="1998" spans="1:11" ht="12.75" customHeight="1">
      <c r="A1998" s="28"/>
      <c r="B1998" s="29" t="s">
        <v>3239</v>
      </c>
      <c r="C1998" s="30" t="str">
        <f>IFERROR(_xlfn.XLOOKUP(B1998,Insumo[DESCRIPCION],Insumo[UND],,0),"")</f>
        <v>M3</v>
      </c>
      <c r="D1998" s="31">
        <v>0.05</v>
      </c>
      <c r="E1998" s="32">
        <f>IFERROR(_xlfn.XLOOKUP($B1998,Insumo[DESCRIPCION],Insumo[VALOR],,0),"")</f>
        <v>521159.50227762427</v>
      </c>
      <c r="F1998" s="33">
        <v>5</v>
      </c>
      <c r="G1998" s="34">
        <f>IFERROR(IF(F1998&gt;=0,D1998*E1998*(1+F1998/100),ABS(D1998*E1998/F1998)),"")</f>
        <v>27360.873869575276</v>
      </c>
      <c r="H1998" s="43">
        <f>IFERROR(G1998*E1995,"")</f>
        <v>0</v>
      </c>
    </row>
    <row r="1999" spans="1:11" ht="12.75" customHeight="1">
      <c r="A1999" s="28"/>
      <c r="B1999" s="29" t="s">
        <v>2954</v>
      </c>
      <c r="C1999" s="30" t="str">
        <f>IFERROR(_xlfn.XLOOKUP(B1999,Insumo[DESCRIPCION],Insumo[UND],,0),"")</f>
        <v>M2</v>
      </c>
      <c r="D1999" s="31">
        <v>0.28000000000000003</v>
      </c>
      <c r="E1999" s="32">
        <f>IFERROR(_xlfn.XLOOKUP($B1999,Insumo[DESCRIPCION],Insumo[VALOR],,0),"")</f>
        <v>102154.92581625449</v>
      </c>
      <c r="F1999" s="33"/>
      <c r="G1999" s="34">
        <f>IFERROR(IF(F1999&gt;=0,D1999*E1999*(1+F1999/100),ABS(D1999*E1999/F1999)),"")</f>
        <v>28603.379228551257</v>
      </c>
      <c r="H1999" s="43">
        <f>IFERROR(G1999*E1995,"")</f>
        <v>0</v>
      </c>
    </row>
    <row r="2000" spans="1:11" ht="12.75" customHeight="1">
      <c r="A2000" s="28"/>
      <c r="B2000" s="29" t="s">
        <v>2709</v>
      </c>
      <c r="C2000" s="30" t="str">
        <f>IFERROR(_xlfn.XLOOKUP(B2000,Insumo[DESCRIPCION],Insumo[UND],,0),"")</f>
        <v>Kg</v>
      </c>
      <c r="D2000" s="31">
        <v>0.05</v>
      </c>
      <c r="E2000" s="32">
        <f>IFERROR(_xlfn.XLOOKUP($B2000,Insumo[DESCRIPCION],Insumo[VALOR],,0),"")</f>
        <v>14812.35</v>
      </c>
      <c r="F2000" s="33"/>
      <c r="G2000" s="34">
        <f>IFERROR(IF(F2000&gt;=0,D2000*E2000*(1+F2000/100),ABS(D2000*E2000/F2000)),"")</f>
        <v>740.61750000000006</v>
      </c>
      <c r="H2000" s="43">
        <f>IFERROR(G2000*E1995,"")</f>
        <v>0</v>
      </c>
    </row>
    <row r="2001" spans="1:11" ht="12.75" customHeight="1">
      <c r="A2001" s="28"/>
      <c r="B2001" s="29"/>
      <c r="C2001" s="30" t="str">
        <f>IFERROR(_xlfn.XLOOKUP(B2001,Insumo[DESCRIPCION],Insumo[UND],,0),"")</f>
        <v/>
      </c>
      <c r="D2001" s="31"/>
      <c r="E2001" s="32" t="str">
        <f>IFERROR(_xlfn.XLOOKUP($B2001,Insumo[DESCRIPCION],Insumo[VALOR],,0),"")</f>
        <v/>
      </c>
      <c r="F2001" s="33"/>
      <c r="G2001" s="34" t="str">
        <f>IFERROR(IF(F2001&gt;=0,D2001*E2001*(1+F2001/100),ABS(D2001*E2001/F2001)),"")</f>
        <v/>
      </c>
      <c r="H2001" s="43" t="str">
        <f>IFERROR(G2001*E1995,"")</f>
        <v/>
      </c>
    </row>
    <row r="2002" spans="1:11" ht="12.75" customHeight="1">
      <c r="A2002" s="28"/>
      <c r="B2002" s="29"/>
      <c r="C2002" s="30" t="str">
        <f>IFERROR(_xlfn.XLOOKUP(B2002,Insumo[DESCRIPCION],Insumo[UND],,0),"")</f>
        <v/>
      </c>
      <c r="D2002" s="31"/>
      <c r="E2002" s="32" t="str">
        <f>IFERROR(_xlfn.XLOOKUP($B2002,Insumo[DESCRIPCION],Insumo[VALOR],,0),"")</f>
        <v/>
      </c>
      <c r="F2002" s="33"/>
      <c r="G2002" s="34" t="str">
        <f>IFERROR(IF(F2002&gt;=0,D2002*E2002*(1+F2002/100),ABS(D2002*E2002/F2002)),"")</f>
        <v/>
      </c>
      <c r="H2002" s="43" t="str">
        <f>IFERROR(G2002*E1995,"")</f>
        <v/>
      </c>
    </row>
    <row r="2003" spans="1:11" ht="12.75" customHeight="1">
      <c r="A2003" s="21"/>
      <c r="B2003" s="22" t="s">
        <v>3731</v>
      </c>
      <c r="C2003" s="23"/>
      <c r="D2003" s="24"/>
      <c r="E2003" s="25"/>
      <c r="F2003" s="26"/>
      <c r="G2003" s="27">
        <f>SUM(G2004:G2006)</f>
        <v>3875.2964223350009</v>
      </c>
      <c r="H2003" s="44">
        <f>G2003*E1995</f>
        <v>0</v>
      </c>
    </row>
    <row r="2004" spans="1:11" ht="12.75" customHeight="1">
      <c r="A2004" s="28"/>
      <c r="B2004" s="29" t="s">
        <v>3657</v>
      </c>
      <c r="C2004" s="30" t="str">
        <f>IFERROR(_xlfn.XLOOKUP(B2004,Equipo[DESCRIPCION],Equipo[UND],,0),"")</f>
        <v>Día</v>
      </c>
      <c r="D2004" s="31">
        <v>1</v>
      </c>
      <c r="E2004" s="32">
        <f>IF(C2004="%MO",G2010,IFERROR(_xlfn.XLOOKUP($B2004,Equipo[DESCRIPCION],Equipo[VALOR],,0),""))</f>
        <v>56524.65</v>
      </c>
      <c r="F2004" s="33">
        <v>-30</v>
      </c>
      <c r="G2004" s="34">
        <f>IFERROR(IF(F2004&gt;=0,D2004*E2004*(1+F2004/100),ABS(D2004*E2004/F2004)),"")</f>
        <v>1884.155</v>
      </c>
      <c r="H2004" s="43">
        <f>IFERROR(G2004*E1995,"")</f>
        <v>0</v>
      </c>
    </row>
    <row r="2005" spans="1:11" ht="12.75" customHeight="1">
      <c r="A2005" s="28"/>
      <c r="B2005" s="29" t="s">
        <v>3570</v>
      </c>
      <c r="C2005" s="30" t="str">
        <f>IFERROR(_xlfn.XLOOKUP(B2005,Equipo[DESCRIPCION],Equipo[UND],,0),"")</f>
        <v>%MO</v>
      </c>
      <c r="D2005" s="31">
        <v>0.04</v>
      </c>
      <c r="E2005" s="32">
        <f>IF(C2005="%MO",G2010,IFERROR(_xlfn.XLOOKUP($B2005,Equipo[DESCRIPCION],Equipo[VALOR],,0),""))</f>
        <v>22123.793581500006</v>
      </c>
      <c r="F2005" s="33"/>
      <c r="G2005" s="34">
        <f>IFERROR(IF(F2005&gt;=0,D2005*E2005*(1+F2005/100),ABS(D2005*E2005/F2005)),"")</f>
        <v>884.95174326000028</v>
      </c>
      <c r="H2005" s="43">
        <f>IFERROR(G2005*E1995,"")</f>
        <v>0</v>
      </c>
    </row>
    <row r="2006" spans="1:11" ht="12.75" customHeight="1">
      <c r="A2006" s="28"/>
      <c r="B2006" s="29" t="s">
        <v>3626</v>
      </c>
      <c r="C2006" s="30" t="str">
        <f>IFERROR(_xlfn.XLOOKUP(B2006,Equipo[DESCRIPCION],Equipo[UND],,0),"")</f>
        <v>%MO</v>
      </c>
      <c r="D2006" s="31">
        <v>0.05</v>
      </c>
      <c r="E2006" s="32">
        <f>IF(C2006="%MO",G2010,IFERROR(_xlfn.XLOOKUP($B2006,Equipo[DESCRIPCION],Equipo[VALOR],,0),""))</f>
        <v>22123.793581500006</v>
      </c>
      <c r="F2006" s="33"/>
      <c r="G2006" s="34">
        <f>IFERROR(IF(F2006&gt;=0,D2006*E2006*(1+F2006/100),ABS(D2006*E2006/F2006)),"")</f>
        <v>1106.1896790750004</v>
      </c>
      <c r="H2006" s="43">
        <f>IFERROR(G2006*E1995,"")</f>
        <v>0</v>
      </c>
    </row>
    <row r="2007" spans="1:11" ht="12.75" customHeight="1">
      <c r="A2007" s="21"/>
      <c r="B2007" s="22" t="s">
        <v>2533</v>
      </c>
      <c r="C2007" s="23"/>
      <c r="D2007" s="24"/>
      <c r="E2007" s="25"/>
      <c r="F2007" s="26"/>
      <c r="G2007" s="27">
        <f>SUM(G2008:G2009)</f>
        <v>0</v>
      </c>
      <c r="H2007" s="44">
        <f>G2007*E1995</f>
        <v>0</v>
      </c>
    </row>
    <row r="2008" spans="1:11" ht="12.75" customHeight="1">
      <c r="A2008" s="28"/>
      <c r="B2008" s="29"/>
      <c r="C2008" s="30" t="str">
        <f>IFERROR(_xlfn.XLOOKUP(B2008,Transporte[DESCRIPCION],Transporte[UND],,0),"")</f>
        <v/>
      </c>
      <c r="D2008" s="31"/>
      <c r="E2008" s="32" t="str">
        <f>IFERROR(_xlfn.XLOOKUP($B2008,Transporte[DESCRIPCION],Transporte[VALOR],,0),"")</f>
        <v/>
      </c>
      <c r="F2008" s="33"/>
      <c r="G2008" s="34" t="str">
        <f>IFERROR(IF(F2008&gt;=0,D2008*E2008*(1+F2008/100),ABS(D2008*E2008/F2008)),"")</f>
        <v/>
      </c>
      <c r="H2008" s="43" t="str">
        <f>IFERROR(G2008*E1995,"")</f>
        <v/>
      </c>
    </row>
    <row r="2009" spans="1:11" ht="12.75" customHeight="1">
      <c r="A2009" s="28"/>
      <c r="B2009" s="29"/>
      <c r="C2009" s="30" t="str">
        <f>IFERROR(_xlfn.XLOOKUP(B2009,Transporte[DESCRIPCION],Transporte[UND],,0),"")</f>
        <v/>
      </c>
      <c r="D2009" s="31"/>
      <c r="E2009" s="32" t="str">
        <f>IFERROR(_xlfn.XLOOKUP($B2009,Transporte[DESCRIPCION],Transporte[VALOR],,0),"")</f>
        <v/>
      </c>
      <c r="F2009" s="33"/>
      <c r="G2009" s="34" t="str">
        <f>IFERROR(IF(F2009&gt;=0,D2009*E2009*(1+F2009/100),ABS(D2009*E2009/F2009)),"")</f>
        <v/>
      </c>
      <c r="H2009" s="43" t="str">
        <f>IFERROR(G2009*E1995,"")</f>
        <v/>
      </c>
    </row>
    <row r="2010" spans="1:11" ht="12.75" customHeight="1">
      <c r="A2010" s="21"/>
      <c r="B2010" s="22" t="s">
        <v>3732</v>
      </c>
      <c r="C2010" s="23"/>
      <c r="D2010" s="24"/>
      <c r="E2010" s="25"/>
      <c r="F2010" s="26"/>
      <c r="G2010" s="27">
        <f>SUM(G2011:G2013)</f>
        <v>22123.793581500006</v>
      </c>
      <c r="H2010" s="44">
        <f>G2010*E1995</f>
        <v>0</v>
      </c>
    </row>
    <row r="2011" spans="1:11" ht="12.75" customHeight="1">
      <c r="A2011" s="28"/>
      <c r="B2011" s="29" t="s">
        <v>3713</v>
      </c>
      <c r="C2011" s="30" t="str">
        <f>IFERROR(_xlfn.XLOOKUP(B2011,MObra[DESCRIPCION],MObra[UN],,0),"")</f>
        <v>día</v>
      </c>
      <c r="D2011" s="31">
        <v>1</v>
      </c>
      <c r="E2011" s="32">
        <f>IFERROR(_xlfn.XLOOKUP($B2011,MObra[DESCRIPCION],MObra[VALOR UNIT],,0),"")</f>
        <v>663713.80744500016</v>
      </c>
      <c r="F2011" s="33">
        <v>-30</v>
      </c>
      <c r="G2011" s="34">
        <f>IFERROR(IF(F2011&gt;=0,D2011*E2011*(1+F2011/100),ABS(D2011*E2011/F2011)),"")</f>
        <v>22123.793581500006</v>
      </c>
      <c r="H2011" s="43">
        <f>IFERROR(G2011*E1995,"")</f>
        <v>0</v>
      </c>
    </row>
    <row r="2012" spans="1:11" ht="12.75" customHeight="1">
      <c r="A2012" s="28"/>
      <c r="B2012" s="29"/>
      <c r="C2012" s="30" t="str">
        <f t="array" ref="C2012">IFERROR(_xlfn.XLOOKUP(B2012,MObra[[#All],[DESCRIPCION]],MObra[[#All],[UN]],,0),"")</f>
        <v/>
      </c>
      <c r="D2012" s="31"/>
      <c r="E2012" s="32" t="str">
        <f>IFERROR(_xlfn.XLOOKUP($B2012,MObra[DESCRIPCION],MObra[VALOR UNIT],,0),"")</f>
        <v/>
      </c>
      <c r="F2012" s="33"/>
      <c r="G2012" s="34" t="str">
        <f>IFERROR(IF(F2012&gt;=0,D2012*E2012*(1+F2012/100),ABS(D2012*E2012/F2012)),"")</f>
        <v/>
      </c>
      <c r="H2012" s="43" t="str">
        <f>IFERROR(G2012*E1995,"")</f>
        <v/>
      </c>
    </row>
    <row r="2013" spans="1:11" ht="12.75" customHeight="1" thickBot="1">
      <c r="A2013" s="35"/>
      <c r="B2013" s="36"/>
      <c r="C2013" s="37" t="str">
        <f t="array" ref="C2013">IFERROR(_xlfn.XLOOKUP(B2013,MObra[[#All],[DESCRIPCION]],MObra[[#All],[UN]],,0),"")</f>
        <v/>
      </c>
      <c r="D2013" s="38"/>
      <c r="E2013" s="39" t="str">
        <f>IFERROR(_xlfn.XLOOKUP($B2013,MObra[DESCRIPCION],MObra[VALOR UNIT],,0),"")</f>
        <v/>
      </c>
      <c r="F2013" s="40"/>
      <c r="G2013" s="41" t="str">
        <f>IFERROR(IF(F2013&gt;=0,D2013*E2013*(1+F2013/100),ABS(D2013*E2013/F2013)),"")</f>
        <v/>
      </c>
      <c r="H2013" s="42" t="str">
        <f>IFERROR(G2013*E1995,"")</f>
        <v/>
      </c>
    </row>
    <row r="2014" spans="1:11" ht="12.75" customHeight="1" thickTop="1" thickBot="1"/>
    <row r="2015" spans="1:11" ht="12.75" customHeight="1" thickTop="1" thickBot="1">
      <c r="A2015" s="6" t="s">
        <v>505</v>
      </c>
      <c r="B2015" s="7" t="str">
        <f>VLOOKUP($A2015,Presupuesto!$A:$D,2,FALSE())</f>
        <v>Placa piso concreto 20.7 Mpa E=0.07 m</v>
      </c>
      <c r="C2015" s="8" t="str">
        <f>VLOOKUP($A2015,Presupuesto!$A:$D,3,FALSE())</f>
        <v>M2</v>
      </c>
      <c r="D2015" s="9"/>
      <c r="E2015" s="10">
        <f>VLOOKUP($A2015,Presupuesto!$A:$D,4,FALSE())</f>
        <v>0</v>
      </c>
      <c r="F2015" s="11" t="s">
        <v>2589</v>
      </c>
      <c r="G2015" s="12">
        <f>SUM(G2017:G2033)/2</f>
        <v>93648.31014979165</v>
      </c>
      <c r="H2015" s="13">
        <f>ROUND(SUM(H2017:H2033),0)/2</f>
        <v>0</v>
      </c>
      <c r="I2015" s="10">
        <f>VLOOKUP(A2015,Presupuesto!$A:$F,6,0)</f>
        <v>0</v>
      </c>
      <c r="J2015" s="10">
        <f>+H2015-I2015</f>
        <v>0</v>
      </c>
      <c r="K2015" s="46">
        <f>+H2015-G2015*E2015</f>
        <v>0</v>
      </c>
    </row>
    <row r="2016" spans="1:11" ht="12.75" customHeight="1" thickTop="1">
      <c r="A2016" s="14"/>
      <c r="B2016" s="15" t="s">
        <v>2586</v>
      </c>
      <c r="C2016" s="15" t="s">
        <v>5</v>
      </c>
      <c r="D2016" s="16" t="s">
        <v>6</v>
      </c>
      <c r="E2016" s="17" t="s">
        <v>7</v>
      </c>
      <c r="F2016" s="18" t="s">
        <v>3728</v>
      </c>
      <c r="G2016" s="19" t="s">
        <v>3729</v>
      </c>
      <c r="H2016" s="20" t="s">
        <v>3797</v>
      </c>
    </row>
    <row r="2017" spans="1:8" ht="12.75" customHeight="1">
      <c r="A2017" s="21"/>
      <c r="B2017" s="22" t="s">
        <v>3730</v>
      </c>
      <c r="C2017" s="23"/>
      <c r="D2017" s="24"/>
      <c r="E2017" s="25"/>
      <c r="F2017" s="26"/>
      <c r="G2017" s="27">
        <f>SUM(G2018:G2022)</f>
        <v>67649.220145956642</v>
      </c>
      <c r="H2017" s="27">
        <f>IFERROR(G2017*E2015,"")</f>
        <v>0</v>
      </c>
    </row>
    <row r="2018" spans="1:8" ht="12.75" customHeight="1">
      <c r="A2018" s="28"/>
      <c r="B2018" s="29" t="s">
        <v>3239</v>
      </c>
      <c r="C2018" s="30" t="str">
        <f>IFERROR(_xlfn.XLOOKUP(B2018,Insumo[DESCRIPCION],Insumo[UND],,0),"")</f>
        <v>M3</v>
      </c>
      <c r="D2018" s="31">
        <v>7.0000000000000007E-2</v>
      </c>
      <c r="E2018" s="32">
        <f>IFERROR(_xlfn.XLOOKUP($B2018,Insumo[DESCRIPCION],Insumo[VALOR],,0),"")</f>
        <v>521159.50227762427</v>
      </c>
      <c r="F2018" s="33">
        <v>5</v>
      </c>
      <c r="G2018" s="34">
        <f>IFERROR(IF(F2018&gt;=0,D2018*E2018*(1+F2018/100),ABS(D2018*E2018/F2018)),"")</f>
        <v>38305.223417405388</v>
      </c>
      <c r="H2018" s="43">
        <f>IFERROR(G2018*E2015,"")</f>
        <v>0</v>
      </c>
    </row>
    <row r="2019" spans="1:8" ht="12.75" customHeight="1">
      <c r="A2019" s="28"/>
      <c r="B2019" s="29" t="s">
        <v>2954</v>
      </c>
      <c r="C2019" s="30" t="str">
        <f>IFERROR(_xlfn.XLOOKUP(B2019,Insumo[DESCRIPCION],Insumo[UND],,0),"")</f>
        <v>M2</v>
      </c>
      <c r="D2019" s="31">
        <v>0.28000000000000003</v>
      </c>
      <c r="E2019" s="32">
        <f>IFERROR(_xlfn.XLOOKUP($B2019,Insumo[DESCRIPCION],Insumo[VALOR],,0),"")</f>
        <v>102154.92581625449</v>
      </c>
      <c r="F2019" s="33"/>
      <c r="G2019" s="34">
        <f>IFERROR(IF(F2019&gt;=0,D2019*E2019*(1+F2019/100),ABS(D2019*E2019/F2019)),"")</f>
        <v>28603.379228551257</v>
      </c>
      <c r="H2019" s="43">
        <f>IFERROR(G2019*E2015,"")</f>
        <v>0</v>
      </c>
    </row>
    <row r="2020" spans="1:8" ht="12.75" customHeight="1">
      <c r="A2020" s="28"/>
      <c r="B2020" s="29" t="s">
        <v>2709</v>
      </c>
      <c r="C2020" s="30" t="str">
        <f>IFERROR(_xlfn.XLOOKUP(B2020,Insumo[DESCRIPCION],Insumo[UND],,0),"")</f>
        <v>Kg</v>
      </c>
      <c r="D2020" s="31">
        <v>0.05</v>
      </c>
      <c r="E2020" s="32">
        <f>IFERROR(_xlfn.XLOOKUP($B2020,Insumo[DESCRIPCION],Insumo[VALOR],,0),"")</f>
        <v>14812.35</v>
      </c>
      <c r="F2020" s="33"/>
      <c r="G2020" s="34">
        <f>IFERROR(IF(F2020&gt;=0,D2020*E2020*(1+F2020/100),ABS(D2020*E2020/F2020)),"")</f>
        <v>740.61750000000006</v>
      </c>
      <c r="H2020" s="43">
        <f>IFERROR(G2020*E2015,"")</f>
        <v>0</v>
      </c>
    </row>
    <row r="2021" spans="1:8" ht="12.75" customHeight="1">
      <c r="A2021" s="28"/>
      <c r="B2021" s="29"/>
      <c r="C2021" s="30" t="str">
        <f>IFERROR(_xlfn.XLOOKUP(B2021,Insumo[DESCRIPCION],Insumo[UND],,0),"")</f>
        <v/>
      </c>
      <c r="D2021" s="31"/>
      <c r="E2021" s="32" t="str">
        <f>IFERROR(_xlfn.XLOOKUP($B2021,Insumo[DESCRIPCION],Insumo[VALOR],,0),"")</f>
        <v/>
      </c>
      <c r="F2021" s="33"/>
      <c r="G2021" s="34" t="str">
        <f>IFERROR(IF(F2021&gt;=0,D2021*E2021*(1+F2021/100),ABS(D2021*E2021/F2021)),"")</f>
        <v/>
      </c>
      <c r="H2021" s="43" t="str">
        <f>IFERROR(G2021*E2015,"")</f>
        <v/>
      </c>
    </row>
    <row r="2022" spans="1:8" ht="12.75" customHeight="1">
      <c r="A2022" s="28"/>
      <c r="B2022" s="29"/>
      <c r="C2022" s="30" t="str">
        <f>IFERROR(_xlfn.XLOOKUP(B2022,Insumo[DESCRIPCION],Insumo[UND],,0),"")</f>
        <v/>
      </c>
      <c r="D2022" s="31"/>
      <c r="E2022" s="32" t="str">
        <f>IFERROR(_xlfn.XLOOKUP($B2022,Insumo[DESCRIPCION],Insumo[VALOR],,0),"")</f>
        <v/>
      </c>
      <c r="F2022" s="33"/>
      <c r="G2022" s="34" t="str">
        <f>IFERROR(IF(F2022&gt;=0,D2022*E2022*(1+F2022/100),ABS(D2022*E2022/F2022)),"")</f>
        <v/>
      </c>
      <c r="H2022" s="43" t="str">
        <f>IFERROR(G2022*E2015,"")</f>
        <v/>
      </c>
    </row>
    <row r="2023" spans="1:8" ht="12.75" customHeight="1">
      <c r="A2023" s="21"/>
      <c r="B2023" s="22" t="s">
        <v>3731</v>
      </c>
      <c r="C2023" s="23"/>
      <c r="D2023" s="24"/>
      <c r="E2023" s="25"/>
      <c r="F2023" s="26"/>
      <c r="G2023" s="27">
        <f>SUM(G2024:G2026)</f>
        <v>3875.2964223350009</v>
      </c>
      <c r="H2023" s="44">
        <f>G2023*E2015</f>
        <v>0</v>
      </c>
    </row>
    <row r="2024" spans="1:8" ht="12.75" customHeight="1">
      <c r="A2024" s="28"/>
      <c r="B2024" s="29" t="s">
        <v>3657</v>
      </c>
      <c r="C2024" s="30" t="str">
        <f>IFERROR(_xlfn.XLOOKUP(B2024,Equipo[DESCRIPCION],Equipo[UND],,0),"")</f>
        <v>Día</v>
      </c>
      <c r="D2024" s="31">
        <v>1</v>
      </c>
      <c r="E2024" s="32">
        <f>IF(C2024="%MO",G2030,IFERROR(_xlfn.XLOOKUP($B2024,Equipo[DESCRIPCION],Equipo[VALOR],,0),""))</f>
        <v>56524.65</v>
      </c>
      <c r="F2024" s="33">
        <v>-30</v>
      </c>
      <c r="G2024" s="34">
        <f>IFERROR(IF(F2024&gt;=0,D2024*E2024*(1+F2024/100),ABS(D2024*E2024/F2024)),"")</f>
        <v>1884.155</v>
      </c>
      <c r="H2024" s="43">
        <f>IFERROR(G2024*E2015,"")</f>
        <v>0</v>
      </c>
    </row>
    <row r="2025" spans="1:8" ht="12.75" customHeight="1">
      <c r="A2025" s="28"/>
      <c r="B2025" s="29" t="s">
        <v>3570</v>
      </c>
      <c r="C2025" s="30" t="str">
        <f>IFERROR(_xlfn.XLOOKUP(B2025,Equipo[DESCRIPCION],Equipo[UND],,0),"")</f>
        <v>%MO</v>
      </c>
      <c r="D2025" s="31">
        <v>0.04</v>
      </c>
      <c r="E2025" s="32">
        <f>IF(C2025="%MO",G2030,IFERROR(_xlfn.XLOOKUP($B2025,Equipo[DESCRIPCION],Equipo[VALOR],,0),""))</f>
        <v>22123.793581500006</v>
      </c>
      <c r="F2025" s="33"/>
      <c r="G2025" s="34">
        <f>IFERROR(IF(F2025&gt;=0,D2025*E2025*(1+F2025/100),ABS(D2025*E2025/F2025)),"")</f>
        <v>884.95174326000028</v>
      </c>
      <c r="H2025" s="43">
        <f>IFERROR(G2025*E2015,"")</f>
        <v>0</v>
      </c>
    </row>
    <row r="2026" spans="1:8" ht="12.75" customHeight="1">
      <c r="A2026" s="28"/>
      <c r="B2026" s="29" t="s">
        <v>3626</v>
      </c>
      <c r="C2026" s="30" t="str">
        <f>IFERROR(_xlfn.XLOOKUP(B2026,Equipo[DESCRIPCION],Equipo[UND],,0),"")</f>
        <v>%MO</v>
      </c>
      <c r="D2026" s="31">
        <v>0.05</v>
      </c>
      <c r="E2026" s="32">
        <f>IF(C2026="%MO",G2030,IFERROR(_xlfn.XLOOKUP($B2026,Equipo[DESCRIPCION],Equipo[VALOR],,0),""))</f>
        <v>22123.793581500006</v>
      </c>
      <c r="F2026" s="33"/>
      <c r="G2026" s="34">
        <f>IFERROR(IF(F2026&gt;=0,D2026*E2026*(1+F2026/100),ABS(D2026*E2026/F2026)),"")</f>
        <v>1106.1896790750004</v>
      </c>
      <c r="H2026" s="43">
        <f>IFERROR(G2026*E2015,"")</f>
        <v>0</v>
      </c>
    </row>
    <row r="2027" spans="1:8" ht="12.75" customHeight="1">
      <c r="A2027" s="21"/>
      <c r="B2027" s="22" t="s">
        <v>2533</v>
      </c>
      <c r="C2027" s="23"/>
      <c r="D2027" s="24"/>
      <c r="E2027" s="25"/>
      <c r="F2027" s="26"/>
      <c r="G2027" s="27">
        <f>SUM(G2028:G2029)</f>
        <v>0</v>
      </c>
      <c r="H2027" s="44">
        <f>G2027*E2015</f>
        <v>0</v>
      </c>
    </row>
    <row r="2028" spans="1:8" ht="12.75" customHeight="1">
      <c r="A2028" s="28"/>
      <c r="B2028" s="29"/>
      <c r="C2028" s="30" t="str">
        <f>IFERROR(_xlfn.XLOOKUP(B2028,Transporte[DESCRIPCION],Transporte[UND],,0),"")</f>
        <v/>
      </c>
      <c r="D2028" s="31"/>
      <c r="E2028" s="32" t="str">
        <f>IFERROR(_xlfn.XLOOKUP($B2028,Transporte[DESCRIPCION],Transporte[VALOR],,0),"")</f>
        <v/>
      </c>
      <c r="F2028" s="33"/>
      <c r="G2028" s="34" t="str">
        <f>IFERROR(IF(F2028&gt;=0,D2028*E2028*(1+F2028/100),ABS(D2028*E2028/F2028)),"")</f>
        <v/>
      </c>
      <c r="H2028" s="43" t="str">
        <f>IFERROR(G2028*E2015,"")</f>
        <v/>
      </c>
    </row>
    <row r="2029" spans="1:8" ht="12.75" customHeight="1">
      <c r="A2029" s="28"/>
      <c r="B2029" s="29"/>
      <c r="C2029" s="30" t="str">
        <f>IFERROR(_xlfn.XLOOKUP(B2029,Transporte[DESCRIPCION],Transporte[UND],,0),"")</f>
        <v/>
      </c>
      <c r="D2029" s="31"/>
      <c r="E2029" s="32" t="str">
        <f>IFERROR(_xlfn.XLOOKUP($B2029,Transporte[DESCRIPCION],Transporte[VALOR],,0),"")</f>
        <v/>
      </c>
      <c r="F2029" s="33"/>
      <c r="G2029" s="34" t="str">
        <f>IFERROR(IF(F2029&gt;=0,D2029*E2029*(1+F2029/100),ABS(D2029*E2029/F2029)),"")</f>
        <v/>
      </c>
      <c r="H2029" s="43" t="str">
        <f>IFERROR(G2029*E2015,"")</f>
        <v/>
      </c>
    </row>
    <row r="2030" spans="1:8" ht="12.75" customHeight="1">
      <c r="A2030" s="21"/>
      <c r="B2030" s="22" t="s">
        <v>3732</v>
      </c>
      <c r="C2030" s="23"/>
      <c r="D2030" s="24"/>
      <c r="E2030" s="25"/>
      <c r="F2030" s="26"/>
      <c r="G2030" s="27">
        <f>SUM(G2031:G2033)</f>
        <v>22123.793581500006</v>
      </c>
      <c r="H2030" s="44">
        <f>G2030*E2015</f>
        <v>0</v>
      </c>
    </row>
    <row r="2031" spans="1:8" ht="12.75" customHeight="1">
      <c r="A2031" s="28"/>
      <c r="B2031" s="29" t="s">
        <v>3713</v>
      </c>
      <c r="C2031" s="30" t="str">
        <f>IFERROR(_xlfn.XLOOKUP(B2031,MObra[DESCRIPCION],MObra[UN],,0),"")</f>
        <v>día</v>
      </c>
      <c r="D2031" s="31">
        <v>1</v>
      </c>
      <c r="E2031" s="32">
        <f>IFERROR(_xlfn.XLOOKUP($B2031,MObra[DESCRIPCION],MObra[VALOR UNIT],,0),"")</f>
        <v>663713.80744500016</v>
      </c>
      <c r="F2031" s="33">
        <v>-30</v>
      </c>
      <c r="G2031" s="34">
        <f>IFERROR(IF(F2031&gt;=0,D2031*E2031*(1+F2031/100),ABS(D2031*E2031/F2031)),"")</f>
        <v>22123.793581500006</v>
      </c>
      <c r="H2031" s="43">
        <f>IFERROR(G2031*E2015,"")</f>
        <v>0</v>
      </c>
    </row>
    <row r="2032" spans="1:8" ht="12.75" customHeight="1">
      <c r="A2032" s="28"/>
      <c r="B2032" s="29"/>
      <c r="C2032" s="30" t="str">
        <f t="array" ref="C2032">IFERROR(_xlfn.XLOOKUP(B2032,MObra[[#All],[DESCRIPCION]],MObra[[#All],[UN]],,0),"")</f>
        <v/>
      </c>
      <c r="D2032" s="31"/>
      <c r="E2032" s="32" t="str">
        <f>IFERROR(_xlfn.XLOOKUP($B2032,MObra[DESCRIPCION],MObra[VALOR UNIT],,0),"")</f>
        <v/>
      </c>
      <c r="F2032" s="33"/>
      <c r="G2032" s="34" t="str">
        <f>IFERROR(IF(F2032&gt;=0,D2032*E2032*(1+F2032/100),ABS(D2032*E2032/F2032)),"")</f>
        <v/>
      </c>
      <c r="H2032" s="43" t="str">
        <f>IFERROR(G2032*E2015,"")</f>
        <v/>
      </c>
    </row>
    <row r="2033" spans="1:11" ht="12.75" customHeight="1" thickBot="1">
      <c r="A2033" s="35"/>
      <c r="B2033" s="36"/>
      <c r="C2033" s="37" t="str">
        <f t="array" ref="C2033">IFERROR(_xlfn.XLOOKUP(B2033,MObra[[#All],[DESCRIPCION]],MObra[[#All],[UN]],,0),"")</f>
        <v/>
      </c>
      <c r="D2033" s="38"/>
      <c r="E2033" s="39" t="str">
        <f>IFERROR(_xlfn.XLOOKUP($B2033,MObra[DESCRIPCION],MObra[VALOR UNIT],,0),"")</f>
        <v/>
      </c>
      <c r="F2033" s="40"/>
      <c r="G2033" s="41" t="str">
        <f>IFERROR(IF(F2033&gt;=0,D2033*E2033*(1+F2033/100),ABS(D2033*E2033/F2033)),"")</f>
        <v/>
      </c>
      <c r="H2033" s="42" t="str">
        <f>IFERROR(G2033*E2015,"")</f>
        <v/>
      </c>
    </row>
    <row r="2034" spans="1:11" ht="12.75" customHeight="1" thickTop="1" thickBot="1"/>
    <row r="2035" spans="1:11" ht="12.75" customHeight="1" thickTop="1" thickBot="1">
      <c r="A2035" s="6" t="s">
        <v>507</v>
      </c>
      <c r="B2035" s="7" t="str">
        <f>VLOOKUP($A2035,Presupuesto!$A:$D,2,FALSE())</f>
        <v>Placa piso concreto 17.2 Mpa E=0.10 m premezclado</v>
      </c>
      <c r="C2035" s="8" t="str">
        <f>VLOOKUP($A2035,Presupuesto!$A:$D,3,FALSE())</f>
        <v>M2</v>
      </c>
      <c r="D2035" s="9"/>
      <c r="E2035" s="10">
        <f>VLOOKUP($A2035,Presupuesto!$A:$D,4,FALSE())</f>
        <v>0</v>
      </c>
      <c r="F2035" s="11" t="s">
        <v>2589</v>
      </c>
      <c r="G2035" s="12">
        <f>SUM(G2037:G2053)/2</f>
        <v>115865.54149871135</v>
      </c>
      <c r="H2035" s="13">
        <f>ROUND(SUM(H2037:H2053),0)/2</f>
        <v>0</v>
      </c>
      <c r="I2035" s="10">
        <f>VLOOKUP(A2035,Presupuesto!$A:$F,6,0)</f>
        <v>0</v>
      </c>
      <c r="J2035" s="10">
        <f>+H2035-I2035</f>
        <v>0</v>
      </c>
      <c r="K2035" s="46">
        <f>+H2035-G2035*E2035</f>
        <v>0</v>
      </c>
    </row>
    <row r="2036" spans="1:11" ht="12.75" customHeight="1" thickTop="1">
      <c r="A2036" s="14"/>
      <c r="B2036" s="15" t="s">
        <v>2586</v>
      </c>
      <c r="C2036" s="15" t="s">
        <v>5</v>
      </c>
      <c r="D2036" s="16" t="s">
        <v>6</v>
      </c>
      <c r="E2036" s="17" t="s">
        <v>7</v>
      </c>
      <c r="F2036" s="18" t="s">
        <v>3728</v>
      </c>
      <c r="G2036" s="19" t="s">
        <v>3729</v>
      </c>
      <c r="H2036" s="20" t="s">
        <v>3797</v>
      </c>
    </row>
    <row r="2037" spans="1:11" ht="12.75" customHeight="1">
      <c r="A2037" s="21"/>
      <c r="B2037" s="22" t="s">
        <v>3730</v>
      </c>
      <c r="C2037" s="23"/>
      <c r="D2037" s="24"/>
      <c r="E2037" s="25"/>
      <c r="F2037" s="26"/>
      <c r="G2037" s="27">
        <f>SUM(G2038:G2042)</f>
        <v>89866.451494876339</v>
      </c>
      <c r="H2037" s="27">
        <f>IFERROR(G2037*E2035,"")</f>
        <v>0</v>
      </c>
    </row>
    <row r="2038" spans="1:11" ht="12.75" customHeight="1">
      <c r="A2038" s="28"/>
      <c r="B2038" s="29" t="s">
        <v>2866</v>
      </c>
      <c r="C2038" s="30" t="str">
        <f>IFERROR(_xlfn.XLOOKUP(B2038,Insumo[DESCRIPCION],Insumo[UND],,0),"")</f>
        <v>M3</v>
      </c>
      <c r="D2038" s="31">
        <v>0.1</v>
      </c>
      <c r="E2038" s="32">
        <f>IFERROR(_xlfn.XLOOKUP($B2038,Insumo[DESCRIPCION],Insumo[VALOR],,0),"")</f>
        <v>556946.25</v>
      </c>
      <c r="F2038" s="33">
        <v>5</v>
      </c>
      <c r="G2038" s="34">
        <f>IFERROR(IF(F2038&gt;=0,D2038*E2038*(1+F2038/100),ABS(D2038*E2038/F2038)),"")</f>
        <v>58479.356250000004</v>
      </c>
      <c r="H2038" s="43">
        <f>IFERROR(G2038*E2035,"")</f>
        <v>0</v>
      </c>
    </row>
    <row r="2039" spans="1:11" ht="12.75" customHeight="1">
      <c r="A2039" s="28"/>
      <c r="B2039" s="29" t="s">
        <v>2954</v>
      </c>
      <c r="C2039" s="30" t="str">
        <f>IFERROR(_xlfn.XLOOKUP(B2039,Insumo[DESCRIPCION],Insumo[UND],,0),"")</f>
        <v>M2</v>
      </c>
      <c r="D2039" s="31">
        <v>0.3</v>
      </c>
      <c r="E2039" s="32">
        <f>IFERROR(_xlfn.XLOOKUP($B2039,Insumo[DESCRIPCION],Insumo[VALOR],,0),"")</f>
        <v>102154.92581625449</v>
      </c>
      <c r="F2039" s="33"/>
      <c r="G2039" s="34">
        <f>IFERROR(IF(F2039&gt;=0,D2039*E2039*(1+F2039/100),ABS(D2039*E2039/F2039)),"")</f>
        <v>30646.477744876345</v>
      </c>
      <c r="H2039" s="43">
        <f>IFERROR(G2039*E2035,"")</f>
        <v>0</v>
      </c>
    </row>
    <row r="2040" spans="1:11" ht="12.75" customHeight="1">
      <c r="A2040" s="28"/>
      <c r="B2040" s="29" t="s">
        <v>2709</v>
      </c>
      <c r="C2040" s="30" t="str">
        <f>IFERROR(_xlfn.XLOOKUP(B2040,Insumo[DESCRIPCION],Insumo[UND],,0),"")</f>
        <v>Kg</v>
      </c>
      <c r="D2040" s="31">
        <v>0.05</v>
      </c>
      <c r="E2040" s="32">
        <f>IFERROR(_xlfn.XLOOKUP($B2040,Insumo[DESCRIPCION],Insumo[VALOR],,0),"")</f>
        <v>14812.35</v>
      </c>
      <c r="F2040" s="33"/>
      <c r="G2040" s="34">
        <f>IFERROR(IF(F2040&gt;=0,D2040*E2040*(1+F2040/100),ABS(D2040*E2040/F2040)),"")</f>
        <v>740.61750000000006</v>
      </c>
      <c r="H2040" s="43">
        <f>IFERROR(G2040*E2035,"")</f>
        <v>0</v>
      </c>
    </row>
    <row r="2041" spans="1:11" ht="12.75" customHeight="1">
      <c r="A2041" s="28"/>
      <c r="B2041" s="29"/>
      <c r="C2041" s="30" t="str">
        <f>IFERROR(_xlfn.XLOOKUP(B2041,Insumo[DESCRIPCION],Insumo[UND],,0),"")</f>
        <v/>
      </c>
      <c r="D2041" s="31"/>
      <c r="E2041" s="32" t="str">
        <f>IFERROR(_xlfn.XLOOKUP($B2041,Insumo[DESCRIPCION],Insumo[VALOR],,0),"")</f>
        <v/>
      </c>
      <c r="F2041" s="33"/>
      <c r="G2041" s="34" t="str">
        <f>IFERROR(IF(F2041&gt;=0,D2041*E2041*(1+F2041/100),ABS(D2041*E2041/F2041)),"")</f>
        <v/>
      </c>
      <c r="H2041" s="43" t="str">
        <f>IFERROR(G2041*E2035,"")</f>
        <v/>
      </c>
    </row>
    <row r="2042" spans="1:11" ht="12.75" customHeight="1">
      <c r="A2042" s="28"/>
      <c r="B2042" s="29"/>
      <c r="C2042" s="30" t="str">
        <f>IFERROR(_xlfn.XLOOKUP(B2042,Insumo[DESCRIPCION],Insumo[UND],,0),"")</f>
        <v/>
      </c>
      <c r="D2042" s="31"/>
      <c r="E2042" s="32" t="str">
        <f>IFERROR(_xlfn.XLOOKUP($B2042,Insumo[DESCRIPCION],Insumo[VALOR],,0),"")</f>
        <v/>
      </c>
      <c r="F2042" s="33"/>
      <c r="G2042" s="34" t="str">
        <f>IFERROR(IF(F2042&gt;=0,D2042*E2042*(1+F2042/100),ABS(D2042*E2042/F2042)),"")</f>
        <v/>
      </c>
      <c r="H2042" s="43" t="str">
        <f>IFERROR(G2042*E2035,"")</f>
        <v/>
      </c>
    </row>
    <row r="2043" spans="1:11" ht="12.75" customHeight="1">
      <c r="A2043" s="21"/>
      <c r="B2043" s="22" t="s">
        <v>3731</v>
      </c>
      <c r="C2043" s="23"/>
      <c r="D2043" s="24"/>
      <c r="E2043" s="25"/>
      <c r="F2043" s="26"/>
      <c r="G2043" s="27">
        <f>SUM(G2044:G2046)</f>
        <v>3875.2964223350009</v>
      </c>
      <c r="H2043" s="44">
        <f>G2043*E2035</f>
        <v>0</v>
      </c>
    </row>
    <row r="2044" spans="1:11" ht="12.75" customHeight="1">
      <c r="A2044" s="28"/>
      <c r="B2044" s="29" t="s">
        <v>3657</v>
      </c>
      <c r="C2044" s="30" t="str">
        <f>IFERROR(_xlfn.XLOOKUP(B2044,Equipo[DESCRIPCION],Equipo[UND],,0),"")</f>
        <v>Día</v>
      </c>
      <c r="D2044" s="31">
        <v>1</v>
      </c>
      <c r="E2044" s="32">
        <f>IF(C2044="%MO",G2050,IFERROR(_xlfn.XLOOKUP($B2044,Equipo[DESCRIPCION],Equipo[VALOR],,0),""))</f>
        <v>56524.65</v>
      </c>
      <c r="F2044" s="33">
        <v>-30</v>
      </c>
      <c r="G2044" s="34">
        <f>IFERROR(IF(F2044&gt;=0,D2044*E2044*(1+F2044/100),ABS(D2044*E2044/F2044)),"")</f>
        <v>1884.155</v>
      </c>
      <c r="H2044" s="43">
        <f>IFERROR(G2044*E2035,"")</f>
        <v>0</v>
      </c>
    </row>
    <row r="2045" spans="1:11" ht="12.75" customHeight="1">
      <c r="A2045" s="28"/>
      <c r="B2045" s="29" t="s">
        <v>3570</v>
      </c>
      <c r="C2045" s="30" t="str">
        <f>IFERROR(_xlfn.XLOOKUP(B2045,Equipo[DESCRIPCION],Equipo[UND],,0),"")</f>
        <v>%MO</v>
      </c>
      <c r="D2045" s="31">
        <v>0.04</v>
      </c>
      <c r="E2045" s="32">
        <f>IF(C2045="%MO",G2050,IFERROR(_xlfn.XLOOKUP($B2045,Equipo[DESCRIPCION],Equipo[VALOR],,0),""))</f>
        <v>22123.793581500006</v>
      </c>
      <c r="F2045" s="33"/>
      <c r="G2045" s="34">
        <f>IFERROR(IF(F2045&gt;=0,D2045*E2045*(1+F2045/100),ABS(D2045*E2045/F2045)),"")</f>
        <v>884.95174326000028</v>
      </c>
      <c r="H2045" s="43">
        <f>IFERROR(G2045*E2035,"")</f>
        <v>0</v>
      </c>
    </row>
    <row r="2046" spans="1:11" ht="12.75" customHeight="1">
      <c r="A2046" s="28"/>
      <c r="B2046" s="29" t="s">
        <v>3626</v>
      </c>
      <c r="C2046" s="30" t="str">
        <f>IFERROR(_xlfn.XLOOKUP(B2046,Equipo[DESCRIPCION],Equipo[UND],,0),"")</f>
        <v>%MO</v>
      </c>
      <c r="D2046" s="31">
        <v>0.05</v>
      </c>
      <c r="E2046" s="32">
        <f>IF(C2046="%MO",G2050,IFERROR(_xlfn.XLOOKUP($B2046,Equipo[DESCRIPCION],Equipo[VALOR],,0),""))</f>
        <v>22123.793581500006</v>
      </c>
      <c r="F2046" s="33"/>
      <c r="G2046" s="34">
        <f>IFERROR(IF(F2046&gt;=0,D2046*E2046*(1+F2046/100),ABS(D2046*E2046/F2046)),"")</f>
        <v>1106.1896790750004</v>
      </c>
      <c r="H2046" s="43">
        <f>IFERROR(G2046*E2035,"")</f>
        <v>0</v>
      </c>
    </row>
    <row r="2047" spans="1:11" ht="12.75" customHeight="1">
      <c r="A2047" s="21"/>
      <c r="B2047" s="22" t="s">
        <v>2533</v>
      </c>
      <c r="C2047" s="23"/>
      <c r="D2047" s="24"/>
      <c r="E2047" s="25"/>
      <c r="F2047" s="26"/>
      <c r="G2047" s="27">
        <f>SUM(G2048:G2049)</f>
        <v>0</v>
      </c>
      <c r="H2047" s="44">
        <f>G2047*E2035</f>
        <v>0</v>
      </c>
    </row>
    <row r="2048" spans="1:11" ht="12.75" customHeight="1">
      <c r="A2048" s="28"/>
      <c r="B2048" s="29"/>
      <c r="C2048" s="30" t="str">
        <f>IFERROR(_xlfn.XLOOKUP(B2048,Transporte[DESCRIPCION],Transporte[UND],,0),"")</f>
        <v/>
      </c>
      <c r="D2048" s="31"/>
      <c r="E2048" s="32" t="str">
        <f>IFERROR(_xlfn.XLOOKUP($B2048,Transporte[DESCRIPCION],Transporte[VALOR],,0),"")</f>
        <v/>
      </c>
      <c r="F2048" s="33"/>
      <c r="G2048" s="34" t="str">
        <f>IFERROR(IF(F2048&gt;=0,D2048*E2048*(1+F2048/100),ABS(D2048*E2048/F2048)),"")</f>
        <v/>
      </c>
      <c r="H2048" s="43" t="str">
        <f>IFERROR(G2048*E2035,"")</f>
        <v/>
      </c>
    </row>
    <row r="2049" spans="1:11" ht="12.75" customHeight="1">
      <c r="A2049" s="28"/>
      <c r="B2049" s="29"/>
      <c r="C2049" s="30" t="str">
        <f>IFERROR(_xlfn.XLOOKUP(B2049,Transporte[DESCRIPCION],Transporte[UND],,0),"")</f>
        <v/>
      </c>
      <c r="D2049" s="31"/>
      <c r="E2049" s="32" t="str">
        <f>IFERROR(_xlfn.XLOOKUP($B2049,Transporte[DESCRIPCION],Transporte[VALOR],,0),"")</f>
        <v/>
      </c>
      <c r="F2049" s="33"/>
      <c r="G2049" s="34" t="str">
        <f>IFERROR(IF(F2049&gt;=0,D2049*E2049*(1+F2049/100),ABS(D2049*E2049/F2049)),"")</f>
        <v/>
      </c>
      <c r="H2049" s="43" t="str">
        <f>IFERROR(G2049*E2035,"")</f>
        <v/>
      </c>
    </row>
    <row r="2050" spans="1:11" ht="12.75" customHeight="1">
      <c r="A2050" s="21"/>
      <c r="B2050" s="22" t="s">
        <v>3732</v>
      </c>
      <c r="C2050" s="23"/>
      <c r="D2050" s="24"/>
      <c r="E2050" s="25"/>
      <c r="F2050" s="26"/>
      <c r="G2050" s="27">
        <f>SUM(G2051:G2053)</f>
        <v>22123.793581500006</v>
      </c>
      <c r="H2050" s="44">
        <f>G2050*E2035</f>
        <v>0</v>
      </c>
    </row>
    <row r="2051" spans="1:11" ht="12.75" customHeight="1">
      <c r="A2051" s="28"/>
      <c r="B2051" s="29" t="s">
        <v>3713</v>
      </c>
      <c r="C2051" s="30" t="str">
        <f>IFERROR(_xlfn.XLOOKUP(B2051,MObra[DESCRIPCION],MObra[UN],,0),"")</f>
        <v>día</v>
      </c>
      <c r="D2051" s="31">
        <v>1</v>
      </c>
      <c r="E2051" s="32">
        <f>IFERROR(_xlfn.XLOOKUP($B2051,MObra[DESCRIPCION],MObra[VALOR UNIT],,0),"")</f>
        <v>663713.80744500016</v>
      </c>
      <c r="F2051" s="33">
        <v>-30</v>
      </c>
      <c r="G2051" s="34">
        <f>IFERROR(IF(F2051&gt;=0,D2051*E2051*(1+F2051/100),ABS(D2051*E2051/F2051)),"")</f>
        <v>22123.793581500006</v>
      </c>
      <c r="H2051" s="43">
        <f>IFERROR(G2051*E2035,"")</f>
        <v>0</v>
      </c>
    </row>
    <row r="2052" spans="1:11" ht="12.75" customHeight="1">
      <c r="A2052" s="28"/>
      <c r="B2052" s="29"/>
      <c r="C2052" s="30" t="str">
        <f t="array" ref="C2052">IFERROR(_xlfn.XLOOKUP(B2052,MObra[[#All],[DESCRIPCION]],MObra[[#All],[UN]],,0),"")</f>
        <v/>
      </c>
      <c r="D2052" s="31"/>
      <c r="E2052" s="32" t="str">
        <f>IFERROR(_xlfn.XLOOKUP($B2052,MObra[DESCRIPCION],MObra[VALOR UNIT],,0),"")</f>
        <v/>
      </c>
      <c r="F2052" s="33"/>
      <c r="G2052" s="34" t="str">
        <f>IFERROR(IF(F2052&gt;=0,D2052*E2052*(1+F2052/100),ABS(D2052*E2052/F2052)),"")</f>
        <v/>
      </c>
      <c r="H2052" s="43" t="str">
        <f>IFERROR(G2052*E2035,"")</f>
        <v/>
      </c>
    </row>
    <row r="2053" spans="1:11" ht="12.75" customHeight="1" thickBot="1">
      <c r="A2053" s="35"/>
      <c r="B2053" s="36"/>
      <c r="C2053" s="37" t="str">
        <f t="array" ref="C2053">IFERROR(_xlfn.XLOOKUP(B2053,MObra[[#All],[DESCRIPCION]],MObra[[#All],[UN]],,0),"")</f>
        <v/>
      </c>
      <c r="D2053" s="38"/>
      <c r="E2053" s="39" t="str">
        <f>IFERROR(_xlfn.XLOOKUP($B2053,MObra[DESCRIPCION],MObra[VALOR UNIT],,0),"")</f>
        <v/>
      </c>
      <c r="F2053" s="40"/>
      <c r="G2053" s="41" t="str">
        <f>IFERROR(IF(F2053&gt;=0,D2053*E2053*(1+F2053/100),ABS(D2053*E2053/F2053)),"")</f>
        <v/>
      </c>
      <c r="H2053" s="42" t="str">
        <f>IFERROR(G2053*E2035,"")</f>
        <v/>
      </c>
    </row>
    <row r="2054" spans="1:11" ht="12.75" customHeight="1" thickTop="1" thickBot="1"/>
    <row r="2055" spans="1:11" ht="12.75" customHeight="1" thickTop="1" thickBot="1">
      <c r="A2055" s="6" t="s">
        <v>509</v>
      </c>
      <c r="B2055" s="7" t="str">
        <f>VLOOKUP($A2055,Presupuesto!$A:$D,2,FALSE())</f>
        <v>Placa piso concreto 20.7 Mpa E=0.10 m</v>
      </c>
      <c r="C2055" s="8" t="str">
        <f>VLOOKUP($A2055,Presupuesto!$A:$D,3,FALSE())</f>
        <v>M2</v>
      </c>
      <c r="D2055" s="9"/>
      <c r="E2055" s="10">
        <f>VLOOKUP($A2055,Presupuesto!$A:$D,4,FALSE())</f>
        <v>0</v>
      </c>
      <c r="F2055" s="11" t="s">
        <v>2589</v>
      </c>
      <c r="G2055" s="12">
        <f>SUM(G2057:G2073)/2</f>
        <v>112107.9329878619</v>
      </c>
      <c r="H2055" s="13">
        <f>ROUND(SUM(H2057:H2073),0)/2</f>
        <v>0</v>
      </c>
      <c r="I2055" s="10">
        <f>VLOOKUP(A2055,Presupuesto!$A:$F,6,0)</f>
        <v>0</v>
      </c>
      <c r="J2055" s="10">
        <f>+H2055-I2055</f>
        <v>0</v>
      </c>
      <c r="K2055" s="46">
        <f>+H2055-G2055*E2055</f>
        <v>0</v>
      </c>
    </row>
    <row r="2056" spans="1:11" ht="12.75" customHeight="1" thickTop="1">
      <c r="A2056" s="14"/>
      <c r="B2056" s="15" t="s">
        <v>2586</v>
      </c>
      <c r="C2056" s="15" t="s">
        <v>5</v>
      </c>
      <c r="D2056" s="16" t="s">
        <v>6</v>
      </c>
      <c r="E2056" s="17" t="s">
        <v>7</v>
      </c>
      <c r="F2056" s="18" t="s">
        <v>3728</v>
      </c>
      <c r="G2056" s="19" t="s">
        <v>3729</v>
      </c>
      <c r="H2056" s="20" t="s">
        <v>3797</v>
      </c>
    </row>
    <row r="2057" spans="1:11" ht="12.75" customHeight="1">
      <c r="A2057" s="21"/>
      <c r="B2057" s="22" t="s">
        <v>3730</v>
      </c>
      <c r="C2057" s="23"/>
      <c r="D2057" s="24"/>
      <c r="E2057" s="25"/>
      <c r="F2057" s="26"/>
      <c r="G2057" s="27">
        <f>SUM(G2058:G2062)</f>
        <v>86108.842984026895</v>
      </c>
      <c r="H2057" s="27">
        <f>IFERROR(G2057*E2055,"")</f>
        <v>0</v>
      </c>
    </row>
    <row r="2058" spans="1:11" ht="12.75" customHeight="1">
      <c r="A2058" s="28"/>
      <c r="B2058" s="29" t="s">
        <v>3239</v>
      </c>
      <c r="C2058" s="30" t="str">
        <f>IFERROR(_xlfn.XLOOKUP(B2058,Insumo[DESCRIPCION],Insumo[UND],,0),"")</f>
        <v>M3</v>
      </c>
      <c r="D2058" s="31">
        <v>0.1</v>
      </c>
      <c r="E2058" s="32">
        <f>IFERROR(_xlfn.XLOOKUP($B2058,Insumo[DESCRIPCION],Insumo[VALOR],,0),"")</f>
        <v>521159.50227762427</v>
      </c>
      <c r="F2058" s="33">
        <v>5</v>
      </c>
      <c r="G2058" s="34">
        <f>IFERROR(IF(F2058&gt;=0,D2058*E2058*(1+F2058/100),ABS(D2058*E2058/F2058)),"")</f>
        <v>54721.747739150553</v>
      </c>
      <c r="H2058" s="43">
        <f>IFERROR(G2058*E2055,"")</f>
        <v>0</v>
      </c>
    </row>
    <row r="2059" spans="1:11" ht="12.75" customHeight="1">
      <c r="A2059" s="28"/>
      <c r="B2059" s="29" t="s">
        <v>2954</v>
      </c>
      <c r="C2059" s="30" t="str">
        <f>IFERROR(_xlfn.XLOOKUP(B2059,Insumo[DESCRIPCION],Insumo[UND],,0),"")</f>
        <v>M2</v>
      </c>
      <c r="D2059" s="31">
        <v>0.3</v>
      </c>
      <c r="E2059" s="32">
        <f>IFERROR(_xlfn.XLOOKUP($B2059,Insumo[DESCRIPCION],Insumo[VALOR],,0),"")</f>
        <v>102154.92581625449</v>
      </c>
      <c r="F2059" s="33"/>
      <c r="G2059" s="34">
        <f>IFERROR(IF(F2059&gt;=0,D2059*E2059*(1+F2059/100),ABS(D2059*E2059/F2059)),"")</f>
        <v>30646.477744876345</v>
      </c>
      <c r="H2059" s="43">
        <f>IFERROR(G2059*E2055,"")</f>
        <v>0</v>
      </c>
    </row>
    <row r="2060" spans="1:11" ht="12.75" customHeight="1">
      <c r="A2060" s="28"/>
      <c r="B2060" s="29" t="s">
        <v>2709</v>
      </c>
      <c r="C2060" s="30" t="str">
        <f>IFERROR(_xlfn.XLOOKUP(B2060,Insumo[DESCRIPCION],Insumo[UND],,0),"")</f>
        <v>Kg</v>
      </c>
      <c r="D2060" s="31">
        <v>0.05</v>
      </c>
      <c r="E2060" s="32">
        <f>IFERROR(_xlfn.XLOOKUP($B2060,Insumo[DESCRIPCION],Insumo[VALOR],,0),"")</f>
        <v>14812.35</v>
      </c>
      <c r="F2060" s="33"/>
      <c r="G2060" s="34">
        <f>IFERROR(IF(F2060&gt;=0,D2060*E2060*(1+F2060/100),ABS(D2060*E2060/F2060)),"")</f>
        <v>740.61750000000006</v>
      </c>
      <c r="H2060" s="43">
        <f>IFERROR(G2060*E2055,"")</f>
        <v>0</v>
      </c>
    </row>
    <row r="2061" spans="1:11" ht="12.75" customHeight="1">
      <c r="A2061" s="28"/>
      <c r="B2061" s="29"/>
      <c r="C2061" s="30" t="str">
        <f>IFERROR(_xlfn.XLOOKUP(B2061,Insumo[DESCRIPCION],Insumo[UND],,0),"")</f>
        <v/>
      </c>
      <c r="D2061" s="31"/>
      <c r="E2061" s="32" t="str">
        <f>IFERROR(_xlfn.XLOOKUP($B2061,Insumo[DESCRIPCION],Insumo[VALOR],,0),"")</f>
        <v/>
      </c>
      <c r="F2061" s="33"/>
      <c r="G2061" s="34" t="str">
        <f>IFERROR(IF(F2061&gt;=0,D2061*E2061*(1+F2061/100),ABS(D2061*E2061/F2061)),"")</f>
        <v/>
      </c>
      <c r="H2061" s="43" t="str">
        <f>IFERROR(G2061*E2055,"")</f>
        <v/>
      </c>
    </row>
    <row r="2062" spans="1:11" ht="12.75" customHeight="1">
      <c r="A2062" s="28"/>
      <c r="B2062" s="29"/>
      <c r="C2062" s="30" t="str">
        <f>IFERROR(_xlfn.XLOOKUP(B2062,Insumo[DESCRIPCION],Insumo[UND],,0),"")</f>
        <v/>
      </c>
      <c r="D2062" s="31"/>
      <c r="E2062" s="32" t="str">
        <f>IFERROR(_xlfn.XLOOKUP($B2062,Insumo[DESCRIPCION],Insumo[VALOR],,0),"")</f>
        <v/>
      </c>
      <c r="F2062" s="33"/>
      <c r="G2062" s="34" t="str">
        <f>IFERROR(IF(F2062&gt;=0,D2062*E2062*(1+F2062/100),ABS(D2062*E2062/F2062)),"")</f>
        <v/>
      </c>
      <c r="H2062" s="43" t="str">
        <f>IFERROR(G2062*E2055,"")</f>
        <v/>
      </c>
    </row>
    <row r="2063" spans="1:11" ht="12.75" customHeight="1">
      <c r="A2063" s="21"/>
      <c r="B2063" s="22" t="s">
        <v>3731</v>
      </c>
      <c r="C2063" s="23"/>
      <c r="D2063" s="24"/>
      <c r="E2063" s="25"/>
      <c r="F2063" s="26"/>
      <c r="G2063" s="27">
        <f>SUM(G2064:G2066)</f>
        <v>3875.2964223350009</v>
      </c>
      <c r="H2063" s="44">
        <f>G2063*E2055</f>
        <v>0</v>
      </c>
    </row>
    <row r="2064" spans="1:11" ht="12.75" customHeight="1">
      <c r="A2064" s="28"/>
      <c r="B2064" s="29" t="s">
        <v>3657</v>
      </c>
      <c r="C2064" s="30" t="str">
        <f>IFERROR(_xlfn.XLOOKUP(B2064,Equipo[DESCRIPCION],Equipo[UND],,0),"")</f>
        <v>Día</v>
      </c>
      <c r="D2064" s="31">
        <v>1</v>
      </c>
      <c r="E2064" s="32">
        <f>IF(C2064="%MO",G2070,IFERROR(_xlfn.XLOOKUP($B2064,Equipo[DESCRIPCION],Equipo[VALOR],,0),""))</f>
        <v>56524.65</v>
      </c>
      <c r="F2064" s="33">
        <v>-30</v>
      </c>
      <c r="G2064" s="34">
        <f>IFERROR(IF(F2064&gt;=0,D2064*E2064*(1+F2064/100),ABS(D2064*E2064/F2064)),"")</f>
        <v>1884.155</v>
      </c>
      <c r="H2064" s="43">
        <f>IFERROR(G2064*E2055,"")</f>
        <v>0</v>
      </c>
    </row>
    <row r="2065" spans="1:11" ht="12.75" customHeight="1">
      <c r="A2065" s="28"/>
      <c r="B2065" s="29" t="s">
        <v>3570</v>
      </c>
      <c r="C2065" s="30" t="str">
        <f>IFERROR(_xlfn.XLOOKUP(B2065,Equipo[DESCRIPCION],Equipo[UND],,0),"")</f>
        <v>%MO</v>
      </c>
      <c r="D2065" s="31">
        <v>0.04</v>
      </c>
      <c r="E2065" s="32">
        <f>IF(C2065="%MO",G2070,IFERROR(_xlfn.XLOOKUP($B2065,Equipo[DESCRIPCION],Equipo[VALOR],,0),""))</f>
        <v>22123.793581500006</v>
      </c>
      <c r="F2065" s="33"/>
      <c r="G2065" s="34">
        <f>IFERROR(IF(F2065&gt;=0,D2065*E2065*(1+F2065/100),ABS(D2065*E2065/F2065)),"")</f>
        <v>884.95174326000028</v>
      </c>
      <c r="H2065" s="43">
        <f>IFERROR(G2065*E2055,"")</f>
        <v>0</v>
      </c>
    </row>
    <row r="2066" spans="1:11" ht="12.75" customHeight="1">
      <c r="A2066" s="28"/>
      <c r="B2066" s="29" t="s">
        <v>3626</v>
      </c>
      <c r="C2066" s="30" t="str">
        <f>IFERROR(_xlfn.XLOOKUP(B2066,Equipo[DESCRIPCION],Equipo[UND],,0),"")</f>
        <v>%MO</v>
      </c>
      <c r="D2066" s="31">
        <v>0.05</v>
      </c>
      <c r="E2066" s="32">
        <f>IF(C2066="%MO",G2070,IFERROR(_xlfn.XLOOKUP($B2066,Equipo[DESCRIPCION],Equipo[VALOR],,0),""))</f>
        <v>22123.793581500006</v>
      </c>
      <c r="F2066" s="33"/>
      <c r="G2066" s="34">
        <f>IFERROR(IF(F2066&gt;=0,D2066*E2066*(1+F2066/100),ABS(D2066*E2066/F2066)),"")</f>
        <v>1106.1896790750004</v>
      </c>
      <c r="H2066" s="43">
        <f>IFERROR(G2066*E2055,"")</f>
        <v>0</v>
      </c>
    </row>
    <row r="2067" spans="1:11" ht="12.75" customHeight="1">
      <c r="A2067" s="21"/>
      <c r="B2067" s="22" t="s">
        <v>2533</v>
      </c>
      <c r="C2067" s="23"/>
      <c r="D2067" s="24"/>
      <c r="E2067" s="25"/>
      <c r="F2067" s="26"/>
      <c r="G2067" s="27">
        <f>SUM(G2068:G2069)</f>
        <v>0</v>
      </c>
      <c r="H2067" s="44">
        <f>G2067*E2055</f>
        <v>0</v>
      </c>
    </row>
    <row r="2068" spans="1:11" ht="12.75" customHeight="1">
      <c r="A2068" s="28"/>
      <c r="B2068" s="29"/>
      <c r="C2068" s="30" t="str">
        <f>IFERROR(_xlfn.XLOOKUP(B2068,Transporte[DESCRIPCION],Transporte[UND],,0),"")</f>
        <v/>
      </c>
      <c r="D2068" s="31"/>
      <c r="E2068" s="32" t="str">
        <f>IFERROR(_xlfn.XLOOKUP($B2068,Transporte[DESCRIPCION],Transporte[VALOR],,0),"")</f>
        <v/>
      </c>
      <c r="F2068" s="33"/>
      <c r="G2068" s="34" t="str">
        <f>IFERROR(IF(F2068&gt;=0,D2068*E2068*(1+F2068/100),ABS(D2068*E2068/F2068)),"")</f>
        <v/>
      </c>
      <c r="H2068" s="43" t="str">
        <f>IFERROR(G2068*E2055,"")</f>
        <v/>
      </c>
    </row>
    <row r="2069" spans="1:11" ht="12.75" customHeight="1">
      <c r="A2069" s="28"/>
      <c r="B2069" s="29"/>
      <c r="C2069" s="30" t="str">
        <f>IFERROR(_xlfn.XLOOKUP(B2069,Transporte[DESCRIPCION],Transporte[UND],,0),"")</f>
        <v/>
      </c>
      <c r="D2069" s="31"/>
      <c r="E2069" s="32" t="str">
        <f>IFERROR(_xlfn.XLOOKUP($B2069,Transporte[DESCRIPCION],Transporte[VALOR],,0),"")</f>
        <v/>
      </c>
      <c r="F2069" s="33"/>
      <c r="G2069" s="34" t="str">
        <f>IFERROR(IF(F2069&gt;=0,D2069*E2069*(1+F2069/100),ABS(D2069*E2069/F2069)),"")</f>
        <v/>
      </c>
      <c r="H2069" s="43" t="str">
        <f>IFERROR(G2069*E2055,"")</f>
        <v/>
      </c>
    </row>
    <row r="2070" spans="1:11" ht="12.75" customHeight="1">
      <c r="A2070" s="21"/>
      <c r="B2070" s="22" t="s">
        <v>3732</v>
      </c>
      <c r="C2070" s="23"/>
      <c r="D2070" s="24"/>
      <c r="E2070" s="25"/>
      <c r="F2070" s="26"/>
      <c r="G2070" s="27">
        <f>SUM(G2071:G2073)</f>
        <v>22123.793581500006</v>
      </c>
      <c r="H2070" s="44">
        <f>G2070*E2055</f>
        <v>0</v>
      </c>
    </row>
    <row r="2071" spans="1:11" ht="12.75" customHeight="1">
      <c r="A2071" s="28"/>
      <c r="B2071" s="29" t="s">
        <v>3713</v>
      </c>
      <c r="C2071" s="30" t="str">
        <f>IFERROR(_xlfn.XLOOKUP(B2071,MObra[DESCRIPCION],MObra[UN],,0),"")</f>
        <v>día</v>
      </c>
      <c r="D2071" s="31">
        <v>1</v>
      </c>
      <c r="E2071" s="32">
        <f>IFERROR(_xlfn.XLOOKUP($B2071,MObra[DESCRIPCION],MObra[VALOR UNIT],,0),"")</f>
        <v>663713.80744500016</v>
      </c>
      <c r="F2071" s="33">
        <v>-30</v>
      </c>
      <c r="G2071" s="34">
        <f>IFERROR(IF(F2071&gt;=0,D2071*E2071*(1+F2071/100),ABS(D2071*E2071/F2071)),"")</f>
        <v>22123.793581500006</v>
      </c>
      <c r="H2071" s="43">
        <f>IFERROR(G2071*E2055,"")</f>
        <v>0</v>
      </c>
    </row>
    <row r="2072" spans="1:11" ht="12.75" customHeight="1">
      <c r="A2072" s="28"/>
      <c r="B2072" s="29"/>
      <c r="C2072" s="30" t="str">
        <f t="array" ref="C2072">IFERROR(_xlfn.XLOOKUP(B2072,MObra[[#All],[DESCRIPCION]],MObra[[#All],[UN]],,0),"")</f>
        <v/>
      </c>
      <c r="D2072" s="31"/>
      <c r="E2072" s="32" t="str">
        <f>IFERROR(_xlfn.XLOOKUP($B2072,MObra[DESCRIPCION],MObra[VALOR UNIT],,0),"")</f>
        <v/>
      </c>
      <c r="F2072" s="33"/>
      <c r="G2072" s="34" t="str">
        <f>IFERROR(IF(F2072&gt;=0,D2072*E2072*(1+F2072/100),ABS(D2072*E2072/F2072)),"")</f>
        <v/>
      </c>
      <c r="H2072" s="43" t="str">
        <f>IFERROR(G2072*E2055,"")</f>
        <v/>
      </c>
    </row>
    <row r="2073" spans="1:11" ht="12.75" customHeight="1" thickBot="1">
      <c r="A2073" s="35"/>
      <c r="B2073" s="36"/>
      <c r="C2073" s="37" t="str">
        <f t="array" ref="C2073">IFERROR(_xlfn.XLOOKUP(B2073,MObra[[#All],[DESCRIPCION]],MObra[[#All],[UN]],,0),"")</f>
        <v/>
      </c>
      <c r="D2073" s="38"/>
      <c r="E2073" s="39" t="str">
        <f>IFERROR(_xlfn.XLOOKUP($B2073,MObra[DESCRIPCION],MObra[VALOR UNIT],,0),"")</f>
        <v/>
      </c>
      <c r="F2073" s="40"/>
      <c r="G2073" s="41" t="str">
        <f>IFERROR(IF(F2073&gt;=0,D2073*E2073*(1+F2073/100),ABS(D2073*E2073/F2073)),"")</f>
        <v/>
      </c>
      <c r="H2073" s="42" t="str">
        <f>IFERROR(G2073*E2055,"")</f>
        <v/>
      </c>
    </row>
    <row r="2074" spans="1:11" ht="12.75" customHeight="1" thickTop="1" thickBot="1"/>
    <row r="2075" spans="1:11" ht="12.75" customHeight="1" thickTop="1" thickBot="1">
      <c r="A2075" s="6" t="s">
        <v>511</v>
      </c>
      <c r="B2075" s="7" t="str">
        <f>VLOOKUP($A2075,Presupuesto!$A:$D,2,FALSE())</f>
        <v>Placa piso concreto 20.7 Mpa E=0.12 m</v>
      </c>
      <c r="C2075" s="8" t="str">
        <f>VLOOKUP($A2075,Presupuesto!$A:$D,3,FALSE())</f>
        <v>M2</v>
      </c>
      <c r="D2075" s="9"/>
      <c r="E2075" s="10">
        <f>VLOOKUP($A2075,Presupuesto!$A:$D,4,FALSE())</f>
        <v>0</v>
      </c>
      <c r="F2075" s="11" t="s">
        <v>2589</v>
      </c>
      <c r="G2075" s="12">
        <f>SUM(G2077:G2093)/2</f>
        <v>123052.28253569201</v>
      </c>
      <c r="H2075" s="13">
        <f>ROUND(SUM(H2077:H2093),0)/2</f>
        <v>0</v>
      </c>
      <c r="I2075" s="10">
        <f>VLOOKUP(A2075,Presupuesto!$A:$F,6,0)</f>
        <v>0</v>
      </c>
      <c r="J2075" s="10">
        <f>+H2075-I2075</f>
        <v>0</v>
      </c>
      <c r="K2075" s="46">
        <f>+H2075-G2075*E2075</f>
        <v>0</v>
      </c>
    </row>
    <row r="2076" spans="1:11" ht="12.75" customHeight="1" thickTop="1">
      <c r="A2076" s="14"/>
      <c r="B2076" s="15" t="s">
        <v>2586</v>
      </c>
      <c r="C2076" s="15" t="s">
        <v>5</v>
      </c>
      <c r="D2076" s="16" t="s">
        <v>6</v>
      </c>
      <c r="E2076" s="17" t="s">
        <v>7</v>
      </c>
      <c r="F2076" s="18" t="s">
        <v>3728</v>
      </c>
      <c r="G2076" s="19" t="s">
        <v>3729</v>
      </c>
      <c r="H2076" s="20" t="s">
        <v>3797</v>
      </c>
    </row>
    <row r="2077" spans="1:11" ht="12.75" customHeight="1">
      <c r="A2077" s="21"/>
      <c r="B2077" s="22" t="s">
        <v>3730</v>
      </c>
      <c r="C2077" s="23"/>
      <c r="D2077" s="24"/>
      <c r="E2077" s="25"/>
      <c r="F2077" s="26"/>
      <c r="G2077" s="27">
        <f>SUM(G2078:G2082)</f>
        <v>97053.192531856999</v>
      </c>
      <c r="H2077" s="27">
        <f>IFERROR(G2077*E2075,"")</f>
        <v>0</v>
      </c>
    </row>
    <row r="2078" spans="1:11" ht="12.75" customHeight="1">
      <c r="A2078" s="28"/>
      <c r="B2078" s="29" t="s">
        <v>3239</v>
      </c>
      <c r="C2078" s="30" t="str">
        <f>IFERROR(_xlfn.XLOOKUP(B2078,Insumo[DESCRIPCION],Insumo[UND],,0),"")</f>
        <v>M3</v>
      </c>
      <c r="D2078" s="31">
        <v>0.12</v>
      </c>
      <c r="E2078" s="32">
        <f>IFERROR(_xlfn.XLOOKUP($B2078,Insumo[DESCRIPCION],Insumo[VALOR],,0),"")</f>
        <v>521159.50227762427</v>
      </c>
      <c r="F2078" s="33">
        <v>5</v>
      </c>
      <c r="G2078" s="34">
        <f>IFERROR(IF(F2078&gt;=0,D2078*E2078*(1+F2078/100),ABS(D2078*E2078/F2078)),"")</f>
        <v>65666.097286980657</v>
      </c>
      <c r="H2078" s="43">
        <f>IFERROR(G2078*E2075,"")</f>
        <v>0</v>
      </c>
    </row>
    <row r="2079" spans="1:11" ht="12.75" customHeight="1">
      <c r="A2079" s="28"/>
      <c r="B2079" s="29" t="s">
        <v>2954</v>
      </c>
      <c r="C2079" s="30" t="str">
        <f>IFERROR(_xlfn.XLOOKUP(B2079,Insumo[DESCRIPCION],Insumo[UND],,0),"")</f>
        <v>M2</v>
      </c>
      <c r="D2079" s="31">
        <v>0.3</v>
      </c>
      <c r="E2079" s="32">
        <f>IFERROR(_xlfn.XLOOKUP($B2079,Insumo[DESCRIPCION],Insumo[VALOR],,0),"")</f>
        <v>102154.92581625449</v>
      </c>
      <c r="F2079" s="33"/>
      <c r="G2079" s="34">
        <f>IFERROR(IF(F2079&gt;=0,D2079*E2079*(1+F2079/100),ABS(D2079*E2079/F2079)),"")</f>
        <v>30646.477744876345</v>
      </c>
      <c r="H2079" s="43">
        <f>IFERROR(G2079*E2075,"")</f>
        <v>0</v>
      </c>
    </row>
    <row r="2080" spans="1:11" ht="12.75" customHeight="1">
      <c r="A2080" s="28"/>
      <c r="B2080" s="29" t="s">
        <v>2709</v>
      </c>
      <c r="C2080" s="30" t="str">
        <f>IFERROR(_xlfn.XLOOKUP(B2080,Insumo[DESCRIPCION],Insumo[UND],,0),"")</f>
        <v>Kg</v>
      </c>
      <c r="D2080" s="31">
        <v>0.05</v>
      </c>
      <c r="E2080" s="32">
        <f>IFERROR(_xlfn.XLOOKUP($B2080,Insumo[DESCRIPCION],Insumo[VALOR],,0),"")</f>
        <v>14812.35</v>
      </c>
      <c r="F2080" s="33"/>
      <c r="G2080" s="34">
        <f>IFERROR(IF(F2080&gt;=0,D2080*E2080*(1+F2080/100),ABS(D2080*E2080/F2080)),"")</f>
        <v>740.61750000000006</v>
      </c>
      <c r="H2080" s="43">
        <f>IFERROR(G2080*E2075,"")</f>
        <v>0</v>
      </c>
    </row>
    <row r="2081" spans="1:11" ht="12.75" customHeight="1">
      <c r="A2081" s="28"/>
      <c r="B2081" s="29"/>
      <c r="C2081" s="30" t="str">
        <f>IFERROR(_xlfn.XLOOKUP(B2081,Insumo[DESCRIPCION],Insumo[UND],,0),"")</f>
        <v/>
      </c>
      <c r="D2081" s="31"/>
      <c r="E2081" s="32" t="str">
        <f>IFERROR(_xlfn.XLOOKUP($B2081,Insumo[DESCRIPCION],Insumo[VALOR],,0),"")</f>
        <v/>
      </c>
      <c r="F2081" s="33"/>
      <c r="G2081" s="34" t="str">
        <f>IFERROR(IF(F2081&gt;=0,D2081*E2081*(1+F2081/100),ABS(D2081*E2081/F2081)),"")</f>
        <v/>
      </c>
      <c r="H2081" s="43" t="str">
        <f>IFERROR(G2081*E2075,"")</f>
        <v/>
      </c>
    </row>
    <row r="2082" spans="1:11" ht="12.75" customHeight="1">
      <c r="A2082" s="28"/>
      <c r="B2082" s="29"/>
      <c r="C2082" s="30" t="str">
        <f>IFERROR(_xlfn.XLOOKUP(B2082,Insumo[DESCRIPCION],Insumo[UND],,0),"")</f>
        <v/>
      </c>
      <c r="D2082" s="31"/>
      <c r="E2082" s="32" t="str">
        <f>IFERROR(_xlfn.XLOOKUP($B2082,Insumo[DESCRIPCION],Insumo[VALOR],,0),"")</f>
        <v/>
      </c>
      <c r="F2082" s="33"/>
      <c r="G2082" s="34" t="str">
        <f>IFERROR(IF(F2082&gt;=0,D2082*E2082*(1+F2082/100),ABS(D2082*E2082/F2082)),"")</f>
        <v/>
      </c>
      <c r="H2082" s="43" t="str">
        <f>IFERROR(G2082*E2075,"")</f>
        <v/>
      </c>
    </row>
    <row r="2083" spans="1:11" ht="12.75" customHeight="1">
      <c r="A2083" s="21"/>
      <c r="B2083" s="22" t="s">
        <v>3731</v>
      </c>
      <c r="C2083" s="23"/>
      <c r="D2083" s="24"/>
      <c r="E2083" s="25"/>
      <c r="F2083" s="26"/>
      <c r="G2083" s="27">
        <f>SUM(G2084:G2086)</f>
        <v>3875.2964223350009</v>
      </c>
      <c r="H2083" s="44">
        <f>G2083*E2075</f>
        <v>0</v>
      </c>
    </row>
    <row r="2084" spans="1:11" ht="12.75" customHeight="1">
      <c r="A2084" s="28"/>
      <c r="B2084" s="29" t="s">
        <v>3657</v>
      </c>
      <c r="C2084" s="30" t="str">
        <f>IFERROR(_xlfn.XLOOKUP(B2084,Equipo[DESCRIPCION],Equipo[UND],,0),"")</f>
        <v>Día</v>
      </c>
      <c r="D2084" s="31">
        <v>1</v>
      </c>
      <c r="E2084" s="32">
        <f>IF(C2084="%MO",G2090,IFERROR(_xlfn.XLOOKUP($B2084,Equipo[DESCRIPCION],Equipo[VALOR],,0),""))</f>
        <v>56524.65</v>
      </c>
      <c r="F2084" s="33">
        <v>-30</v>
      </c>
      <c r="G2084" s="34">
        <f>IFERROR(IF(F2084&gt;=0,D2084*E2084*(1+F2084/100),ABS(D2084*E2084/F2084)),"")</f>
        <v>1884.155</v>
      </c>
      <c r="H2084" s="43">
        <f>IFERROR(G2084*E2075,"")</f>
        <v>0</v>
      </c>
    </row>
    <row r="2085" spans="1:11" ht="12.75" customHeight="1">
      <c r="A2085" s="28"/>
      <c r="B2085" s="29" t="s">
        <v>3570</v>
      </c>
      <c r="C2085" s="30" t="str">
        <f>IFERROR(_xlfn.XLOOKUP(B2085,Equipo[DESCRIPCION],Equipo[UND],,0),"")</f>
        <v>%MO</v>
      </c>
      <c r="D2085" s="31">
        <v>0.04</v>
      </c>
      <c r="E2085" s="32">
        <f>IF(C2085="%MO",G2090,IFERROR(_xlfn.XLOOKUP($B2085,Equipo[DESCRIPCION],Equipo[VALOR],,0),""))</f>
        <v>22123.793581500006</v>
      </c>
      <c r="F2085" s="33"/>
      <c r="G2085" s="34">
        <f>IFERROR(IF(F2085&gt;=0,D2085*E2085*(1+F2085/100),ABS(D2085*E2085/F2085)),"")</f>
        <v>884.95174326000028</v>
      </c>
      <c r="H2085" s="43">
        <f>IFERROR(G2085*E2075,"")</f>
        <v>0</v>
      </c>
    </row>
    <row r="2086" spans="1:11" ht="12.75" customHeight="1">
      <c r="A2086" s="28"/>
      <c r="B2086" s="29" t="s">
        <v>3626</v>
      </c>
      <c r="C2086" s="30" t="str">
        <f>IFERROR(_xlfn.XLOOKUP(B2086,Equipo[DESCRIPCION],Equipo[UND],,0),"")</f>
        <v>%MO</v>
      </c>
      <c r="D2086" s="31">
        <v>0.05</v>
      </c>
      <c r="E2086" s="32">
        <f>IF(C2086="%MO",G2090,IFERROR(_xlfn.XLOOKUP($B2086,Equipo[DESCRIPCION],Equipo[VALOR],,0),""))</f>
        <v>22123.793581500006</v>
      </c>
      <c r="F2086" s="33"/>
      <c r="G2086" s="34">
        <f>IFERROR(IF(F2086&gt;=0,D2086*E2086*(1+F2086/100),ABS(D2086*E2086/F2086)),"")</f>
        <v>1106.1896790750004</v>
      </c>
      <c r="H2086" s="43">
        <f>IFERROR(G2086*E2075,"")</f>
        <v>0</v>
      </c>
    </row>
    <row r="2087" spans="1:11" ht="12.75" customHeight="1">
      <c r="A2087" s="21"/>
      <c r="B2087" s="22" t="s">
        <v>2533</v>
      </c>
      <c r="C2087" s="23"/>
      <c r="D2087" s="24"/>
      <c r="E2087" s="25"/>
      <c r="F2087" s="26"/>
      <c r="G2087" s="27">
        <f>SUM(G2088:G2089)</f>
        <v>0</v>
      </c>
      <c r="H2087" s="44">
        <f>G2087*E2075</f>
        <v>0</v>
      </c>
    </row>
    <row r="2088" spans="1:11" ht="12.75" customHeight="1">
      <c r="A2088" s="28"/>
      <c r="B2088" s="29"/>
      <c r="C2088" s="30" t="str">
        <f>IFERROR(_xlfn.XLOOKUP(B2088,Transporte[DESCRIPCION],Transporte[UND],,0),"")</f>
        <v/>
      </c>
      <c r="D2088" s="31"/>
      <c r="E2088" s="32" t="str">
        <f>IFERROR(_xlfn.XLOOKUP($B2088,Transporte[DESCRIPCION],Transporte[VALOR],,0),"")</f>
        <v/>
      </c>
      <c r="F2088" s="33"/>
      <c r="G2088" s="34" t="str">
        <f>IFERROR(IF(F2088&gt;=0,D2088*E2088*(1+F2088/100),ABS(D2088*E2088/F2088)),"")</f>
        <v/>
      </c>
      <c r="H2088" s="43" t="str">
        <f>IFERROR(G2088*E2075,"")</f>
        <v/>
      </c>
    </row>
    <row r="2089" spans="1:11" ht="12.75" customHeight="1">
      <c r="A2089" s="28"/>
      <c r="B2089" s="29"/>
      <c r="C2089" s="30" t="str">
        <f>IFERROR(_xlfn.XLOOKUP(B2089,Transporte[DESCRIPCION],Transporte[UND],,0),"")</f>
        <v/>
      </c>
      <c r="D2089" s="31"/>
      <c r="E2089" s="32" t="str">
        <f>IFERROR(_xlfn.XLOOKUP($B2089,Transporte[DESCRIPCION],Transporte[VALOR],,0),"")</f>
        <v/>
      </c>
      <c r="F2089" s="33"/>
      <c r="G2089" s="34" t="str">
        <f>IFERROR(IF(F2089&gt;=0,D2089*E2089*(1+F2089/100),ABS(D2089*E2089/F2089)),"")</f>
        <v/>
      </c>
      <c r="H2089" s="43" t="str">
        <f>IFERROR(G2089*E2075,"")</f>
        <v/>
      </c>
    </row>
    <row r="2090" spans="1:11" ht="12.75" customHeight="1">
      <c r="A2090" s="21"/>
      <c r="B2090" s="22" t="s">
        <v>3732</v>
      </c>
      <c r="C2090" s="23"/>
      <c r="D2090" s="24"/>
      <c r="E2090" s="25"/>
      <c r="F2090" s="26"/>
      <c r="G2090" s="27">
        <f>SUM(G2091:G2093)</f>
        <v>22123.793581500006</v>
      </c>
      <c r="H2090" s="44">
        <f>G2090*E2075</f>
        <v>0</v>
      </c>
    </row>
    <row r="2091" spans="1:11" ht="12.75" customHeight="1">
      <c r="A2091" s="28"/>
      <c r="B2091" s="29" t="s">
        <v>3713</v>
      </c>
      <c r="C2091" s="30" t="str">
        <f>IFERROR(_xlfn.XLOOKUP(B2091,MObra[DESCRIPCION],MObra[UN],,0),"")</f>
        <v>día</v>
      </c>
      <c r="D2091" s="31">
        <v>1</v>
      </c>
      <c r="E2091" s="32">
        <f>IFERROR(_xlfn.XLOOKUP($B2091,MObra[DESCRIPCION],MObra[VALOR UNIT],,0),"")</f>
        <v>663713.80744500016</v>
      </c>
      <c r="F2091" s="33">
        <v>-30</v>
      </c>
      <c r="G2091" s="34">
        <f>IFERROR(IF(F2091&gt;=0,D2091*E2091*(1+F2091/100),ABS(D2091*E2091/F2091)),"")</f>
        <v>22123.793581500006</v>
      </c>
      <c r="H2091" s="43">
        <f>IFERROR(G2091*E2075,"")</f>
        <v>0</v>
      </c>
    </row>
    <row r="2092" spans="1:11" ht="12.75" customHeight="1">
      <c r="A2092" s="28"/>
      <c r="B2092" s="29"/>
      <c r="C2092" s="30" t="str">
        <f t="array" ref="C2092">IFERROR(_xlfn.XLOOKUP(B2092,MObra[[#All],[DESCRIPCION]],MObra[[#All],[UN]],,0),"")</f>
        <v/>
      </c>
      <c r="D2092" s="31"/>
      <c r="E2092" s="32" t="str">
        <f>IFERROR(_xlfn.XLOOKUP($B2092,MObra[DESCRIPCION],MObra[VALOR UNIT],,0),"")</f>
        <v/>
      </c>
      <c r="F2092" s="33"/>
      <c r="G2092" s="34" t="str">
        <f>IFERROR(IF(F2092&gt;=0,D2092*E2092*(1+F2092/100),ABS(D2092*E2092/F2092)),"")</f>
        <v/>
      </c>
      <c r="H2092" s="43" t="str">
        <f>IFERROR(G2092*E2075,"")</f>
        <v/>
      </c>
    </row>
    <row r="2093" spans="1:11" ht="12.75" customHeight="1" thickBot="1">
      <c r="A2093" s="35"/>
      <c r="B2093" s="36"/>
      <c r="C2093" s="37" t="str">
        <f t="array" ref="C2093">IFERROR(_xlfn.XLOOKUP(B2093,MObra[[#All],[DESCRIPCION]],MObra[[#All],[UN]],,0),"")</f>
        <v/>
      </c>
      <c r="D2093" s="38"/>
      <c r="E2093" s="39" t="str">
        <f>IFERROR(_xlfn.XLOOKUP($B2093,MObra[DESCRIPCION],MObra[VALOR UNIT],,0),"")</f>
        <v/>
      </c>
      <c r="F2093" s="40"/>
      <c r="G2093" s="41" t="str">
        <f>IFERROR(IF(F2093&gt;=0,D2093*E2093*(1+F2093/100),ABS(D2093*E2093/F2093)),"")</f>
        <v/>
      </c>
      <c r="H2093" s="42" t="str">
        <f>IFERROR(G2093*E2075,"")</f>
        <v/>
      </c>
    </row>
    <row r="2094" spans="1:11" ht="12.75" customHeight="1" thickTop="1" thickBot="1"/>
    <row r="2095" spans="1:11" ht="12.75" customHeight="1" thickTop="1" thickBot="1">
      <c r="A2095" s="6" t="s">
        <v>513</v>
      </c>
      <c r="B2095" s="7" t="str">
        <f>VLOOKUP($A2095,Presupuesto!$A:$D,2,FALSE())</f>
        <v>Placa piso concreto 20.7 Mpa E=0.15 m</v>
      </c>
      <c r="C2095" s="8" t="str">
        <f>VLOOKUP($A2095,Presupuesto!$A:$D,3,FALSE())</f>
        <v>M2</v>
      </c>
      <c r="D2095" s="9"/>
      <c r="E2095" s="10">
        <f>VLOOKUP($A2095,Presupuesto!$A:$D,4,FALSE())</f>
        <v>0</v>
      </c>
      <c r="F2095" s="11" t="s">
        <v>2589</v>
      </c>
      <c r="G2095" s="12">
        <f>SUM(G2097:G2113)/2</f>
        <v>139468.80685743716</v>
      </c>
      <c r="H2095" s="13">
        <f>ROUND(SUM(H2097:H2113),0)/2</f>
        <v>0</v>
      </c>
      <c r="I2095" s="10">
        <f>VLOOKUP(A2095,Presupuesto!$A:$F,6,0)</f>
        <v>0</v>
      </c>
      <c r="J2095" s="10">
        <f>+H2095-I2095</f>
        <v>0</v>
      </c>
      <c r="K2095" s="46">
        <f>+H2095-G2095*E2095</f>
        <v>0</v>
      </c>
    </row>
    <row r="2096" spans="1:11" ht="12.75" customHeight="1" thickTop="1">
      <c r="A2096" s="14"/>
      <c r="B2096" s="15" t="s">
        <v>2586</v>
      </c>
      <c r="C2096" s="15" t="s">
        <v>5</v>
      </c>
      <c r="D2096" s="16" t="s">
        <v>6</v>
      </c>
      <c r="E2096" s="17" t="s">
        <v>7</v>
      </c>
      <c r="F2096" s="18" t="s">
        <v>3728</v>
      </c>
      <c r="G2096" s="19" t="s">
        <v>3729</v>
      </c>
      <c r="H2096" s="20" t="s">
        <v>3797</v>
      </c>
    </row>
    <row r="2097" spans="1:8" ht="12.75" customHeight="1">
      <c r="A2097" s="21"/>
      <c r="B2097" s="22" t="s">
        <v>3730</v>
      </c>
      <c r="C2097" s="23"/>
      <c r="D2097" s="24"/>
      <c r="E2097" s="25"/>
      <c r="F2097" s="26"/>
      <c r="G2097" s="27">
        <f>SUM(G2098:G2102)</f>
        <v>113469.71685360216</v>
      </c>
      <c r="H2097" s="27">
        <f>IFERROR(G2097*E2095,"")</f>
        <v>0</v>
      </c>
    </row>
    <row r="2098" spans="1:8" ht="12.75" customHeight="1">
      <c r="A2098" s="28"/>
      <c r="B2098" s="29" t="s">
        <v>3239</v>
      </c>
      <c r="C2098" s="30" t="str">
        <f>IFERROR(_xlfn.XLOOKUP(B2098,Insumo[DESCRIPCION],Insumo[UND],,0),"")</f>
        <v>M3</v>
      </c>
      <c r="D2098" s="31">
        <v>0.15</v>
      </c>
      <c r="E2098" s="32">
        <f>IFERROR(_xlfn.XLOOKUP($B2098,Insumo[DESCRIPCION],Insumo[VALOR],,0),"")</f>
        <v>521159.50227762427</v>
      </c>
      <c r="F2098" s="33">
        <v>5</v>
      </c>
      <c r="G2098" s="34">
        <f>IFERROR(IF(F2098&gt;=0,D2098*E2098*(1+F2098/100),ABS(D2098*E2098/F2098)),"")</f>
        <v>82082.621608725822</v>
      </c>
      <c r="H2098" s="43">
        <f>IFERROR(G2098*E2095,"")</f>
        <v>0</v>
      </c>
    </row>
    <row r="2099" spans="1:8" ht="12.75" customHeight="1">
      <c r="A2099" s="28"/>
      <c r="B2099" s="29" t="s">
        <v>2954</v>
      </c>
      <c r="C2099" s="30" t="str">
        <f>IFERROR(_xlfn.XLOOKUP(B2099,Insumo[DESCRIPCION],Insumo[UND],,0),"")</f>
        <v>M2</v>
      </c>
      <c r="D2099" s="31">
        <v>0.3</v>
      </c>
      <c r="E2099" s="32">
        <f>IFERROR(_xlfn.XLOOKUP($B2099,Insumo[DESCRIPCION],Insumo[VALOR],,0),"")</f>
        <v>102154.92581625449</v>
      </c>
      <c r="F2099" s="33"/>
      <c r="G2099" s="34">
        <f>IFERROR(IF(F2099&gt;=0,D2099*E2099*(1+F2099/100),ABS(D2099*E2099/F2099)),"")</f>
        <v>30646.477744876345</v>
      </c>
      <c r="H2099" s="43">
        <f>IFERROR(G2099*E2095,"")</f>
        <v>0</v>
      </c>
    </row>
    <row r="2100" spans="1:8" ht="12.75" customHeight="1">
      <c r="A2100" s="28"/>
      <c r="B2100" s="29" t="s">
        <v>2709</v>
      </c>
      <c r="C2100" s="30" t="str">
        <f>IFERROR(_xlfn.XLOOKUP(B2100,Insumo[DESCRIPCION],Insumo[UND],,0),"")</f>
        <v>Kg</v>
      </c>
      <c r="D2100" s="31">
        <v>0.05</v>
      </c>
      <c r="E2100" s="32">
        <f>IFERROR(_xlfn.XLOOKUP($B2100,Insumo[DESCRIPCION],Insumo[VALOR],,0),"")</f>
        <v>14812.35</v>
      </c>
      <c r="F2100" s="33"/>
      <c r="G2100" s="34">
        <f>IFERROR(IF(F2100&gt;=0,D2100*E2100*(1+F2100/100),ABS(D2100*E2100/F2100)),"")</f>
        <v>740.61750000000006</v>
      </c>
      <c r="H2100" s="43">
        <f>IFERROR(G2100*E2095,"")</f>
        <v>0</v>
      </c>
    </row>
    <row r="2101" spans="1:8" ht="12.75" customHeight="1">
      <c r="A2101" s="28"/>
      <c r="B2101" s="29"/>
      <c r="C2101" s="30" t="str">
        <f>IFERROR(_xlfn.XLOOKUP(B2101,Insumo[DESCRIPCION],Insumo[UND],,0),"")</f>
        <v/>
      </c>
      <c r="D2101" s="31"/>
      <c r="E2101" s="32" t="str">
        <f>IFERROR(_xlfn.XLOOKUP($B2101,Insumo[DESCRIPCION],Insumo[VALOR],,0),"")</f>
        <v/>
      </c>
      <c r="F2101" s="33"/>
      <c r="G2101" s="34" t="str">
        <f>IFERROR(IF(F2101&gt;=0,D2101*E2101*(1+F2101/100),ABS(D2101*E2101/F2101)),"")</f>
        <v/>
      </c>
      <c r="H2101" s="43" t="str">
        <f>IFERROR(G2101*E2095,"")</f>
        <v/>
      </c>
    </row>
    <row r="2102" spans="1:8" ht="12.75" customHeight="1">
      <c r="A2102" s="28"/>
      <c r="B2102" s="29"/>
      <c r="C2102" s="30" t="str">
        <f>IFERROR(_xlfn.XLOOKUP(B2102,Insumo[DESCRIPCION],Insumo[UND],,0),"")</f>
        <v/>
      </c>
      <c r="D2102" s="31"/>
      <c r="E2102" s="32" t="str">
        <f>IFERROR(_xlfn.XLOOKUP($B2102,Insumo[DESCRIPCION],Insumo[VALOR],,0),"")</f>
        <v/>
      </c>
      <c r="F2102" s="33"/>
      <c r="G2102" s="34" t="str">
        <f>IFERROR(IF(F2102&gt;=0,D2102*E2102*(1+F2102/100),ABS(D2102*E2102/F2102)),"")</f>
        <v/>
      </c>
      <c r="H2102" s="43" t="str">
        <f>IFERROR(G2102*E2095,"")</f>
        <v/>
      </c>
    </row>
    <row r="2103" spans="1:8" ht="12.75" customHeight="1">
      <c r="A2103" s="21"/>
      <c r="B2103" s="22" t="s">
        <v>3731</v>
      </c>
      <c r="C2103" s="23"/>
      <c r="D2103" s="24"/>
      <c r="E2103" s="25"/>
      <c r="F2103" s="26"/>
      <c r="G2103" s="27">
        <f>SUM(G2104:G2106)</f>
        <v>3875.2964223350009</v>
      </c>
      <c r="H2103" s="44">
        <f>G2103*E2095</f>
        <v>0</v>
      </c>
    </row>
    <row r="2104" spans="1:8" ht="12.75" customHeight="1">
      <c r="A2104" s="28"/>
      <c r="B2104" s="29" t="s">
        <v>3657</v>
      </c>
      <c r="C2104" s="30" t="str">
        <f>IFERROR(_xlfn.XLOOKUP(B2104,Equipo[DESCRIPCION],Equipo[UND],,0),"")</f>
        <v>Día</v>
      </c>
      <c r="D2104" s="31">
        <v>1</v>
      </c>
      <c r="E2104" s="32">
        <f>IF(C2104="%MO",G2110,IFERROR(_xlfn.XLOOKUP($B2104,Equipo[DESCRIPCION],Equipo[VALOR],,0),""))</f>
        <v>56524.65</v>
      </c>
      <c r="F2104" s="33">
        <v>-30</v>
      </c>
      <c r="G2104" s="34">
        <f>IFERROR(IF(F2104&gt;=0,D2104*E2104*(1+F2104/100),ABS(D2104*E2104/F2104)),"")</f>
        <v>1884.155</v>
      </c>
      <c r="H2104" s="43">
        <f>IFERROR(G2104*E2095,"")</f>
        <v>0</v>
      </c>
    </row>
    <row r="2105" spans="1:8" ht="12.75" customHeight="1">
      <c r="A2105" s="28"/>
      <c r="B2105" s="29" t="s">
        <v>3570</v>
      </c>
      <c r="C2105" s="30" t="str">
        <f>IFERROR(_xlfn.XLOOKUP(B2105,Equipo[DESCRIPCION],Equipo[UND],,0),"")</f>
        <v>%MO</v>
      </c>
      <c r="D2105" s="31">
        <v>0.04</v>
      </c>
      <c r="E2105" s="32">
        <f>IF(C2105="%MO",G2110,IFERROR(_xlfn.XLOOKUP($B2105,Equipo[DESCRIPCION],Equipo[VALOR],,0),""))</f>
        <v>22123.793581500006</v>
      </c>
      <c r="F2105" s="33"/>
      <c r="G2105" s="34">
        <f>IFERROR(IF(F2105&gt;=0,D2105*E2105*(1+F2105/100),ABS(D2105*E2105/F2105)),"")</f>
        <v>884.95174326000028</v>
      </c>
      <c r="H2105" s="43">
        <f>IFERROR(G2105*E2095,"")</f>
        <v>0</v>
      </c>
    </row>
    <row r="2106" spans="1:8" ht="12.75" customHeight="1">
      <c r="A2106" s="28"/>
      <c r="B2106" s="29" t="s">
        <v>3626</v>
      </c>
      <c r="C2106" s="30" t="str">
        <f>IFERROR(_xlfn.XLOOKUP(B2106,Equipo[DESCRIPCION],Equipo[UND],,0),"")</f>
        <v>%MO</v>
      </c>
      <c r="D2106" s="31">
        <v>0.05</v>
      </c>
      <c r="E2106" s="32">
        <f>IF(C2106="%MO",G2110,IFERROR(_xlfn.XLOOKUP($B2106,Equipo[DESCRIPCION],Equipo[VALOR],,0),""))</f>
        <v>22123.793581500006</v>
      </c>
      <c r="F2106" s="33"/>
      <c r="G2106" s="34">
        <f>IFERROR(IF(F2106&gt;=0,D2106*E2106*(1+F2106/100),ABS(D2106*E2106/F2106)),"")</f>
        <v>1106.1896790750004</v>
      </c>
      <c r="H2106" s="43">
        <f>IFERROR(G2106*E2095,"")</f>
        <v>0</v>
      </c>
    </row>
    <row r="2107" spans="1:8" ht="12.75" customHeight="1">
      <c r="A2107" s="21"/>
      <c r="B2107" s="22" t="s">
        <v>2533</v>
      </c>
      <c r="C2107" s="23"/>
      <c r="D2107" s="24"/>
      <c r="E2107" s="25"/>
      <c r="F2107" s="26"/>
      <c r="G2107" s="27">
        <f>SUM(G2108:G2109)</f>
        <v>0</v>
      </c>
      <c r="H2107" s="44">
        <f>G2107*E2095</f>
        <v>0</v>
      </c>
    </row>
    <row r="2108" spans="1:8" ht="12.75" customHeight="1">
      <c r="A2108" s="28"/>
      <c r="B2108" s="29"/>
      <c r="C2108" s="30" t="str">
        <f>IFERROR(_xlfn.XLOOKUP(B2108,Transporte[DESCRIPCION],Transporte[UND],,0),"")</f>
        <v/>
      </c>
      <c r="D2108" s="31"/>
      <c r="E2108" s="32" t="str">
        <f>IFERROR(_xlfn.XLOOKUP($B2108,Transporte[DESCRIPCION],Transporte[VALOR],,0),"")</f>
        <v/>
      </c>
      <c r="F2108" s="33"/>
      <c r="G2108" s="34" t="str">
        <f>IFERROR(IF(F2108&gt;=0,D2108*E2108*(1+F2108/100),ABS(D2108*E2108/F2108)),"")</f>
        <v/>
      </c>
      <c r="H2108" s="43" t="str">
        <f>IFERROR(G2108*E2095,"")</f>
        <v/>
      </c>
    </row>
    <row r="2109" spans="1:8" ht="12.75" customHeight="1">
      <c r="A2109" s="28"/>
      <c r="B2109" s="29"/>
      <c r="C2109" s="30" t="str">
        <f>IFERROR(_xlfn.XLOOKUP(B2109,Transporte[DESCRIPCION],Transporte[UND],,0),"")</f>
        <v/>
      </c>
      <c r="D2109" s="31"/>
      <c r="E2109" s="32" t="str">
        <f>IFERROR(_xlfn.XLOOKUP($B2109,Transporte[DESCRIPCION],Transporte[VALOR],,0),"")</f>
        <v/>
      </c>
      <c r="F2109" s="33"/>
      <c r="G2109" s="34" t="str">
        <f>IFERROR(IF(F2109&gt;=0,D2109*E2109*(1+F2109/100),ABS(D2109*E2109/F2109)),"")</f>
        <v/>
      </c>
      <c r="H2109" s="43" t="str">
        <f>IFERROR(G2109*E2095,"")</f>
        <v/>
      </c>
    </row>
    <row r="2110" spans="1:8" ht="12.75" customHeight="1">
      <c r="A2110" s="21"/>
      <c r="B2110" s="22" t="s">
        <v>3732</v>
      </c>
      <c r="C2110" s="23"/>
      <c r="D2110" s="24"/>
      <c r="E2110" s="25"/>
      <c r="F2110" s="26"/>
      <c r="G2110" s="27">
        <f>SUM(G2111:G2113)</f>
        <v>22123.793581500006</v>
      </c>
      <c r="H2110" s="44">
        <f>G2110*E2095</f>
        <v>0</v>
      </c>
    </row>
    <row r="2111" spans="1:8" ht="12.75" customHeight="1">
      <c r="A2111" s="28"/>
      <c r="B2111" s="29" t="s">
        <v>3713</v>
      </c>
      <c r="C2111" s="30" t="str">
        <f>IFERROR(_xlfn.XLOOKUP(B2111,MObra[DESCRIPCION],MObra[UN],,0),"")</f>
        <v>día</v>
      </c>
      <c r="D2111" s="31">
        <v>1</v>
      </c>
      <c r="E2111" s="32">
        <f>IFERROR(_xlfn.XLOOKUP($B2111,MObra[DESCRIPCION],MObra[VALOR UNIT],,0),"")</f>
        <v>663713.80744500016</v>
      </c>
      <c r="F2111" s="33">
        <v>-30</v>
      </c>
      <c r="G2111" s="34">
        <f>IFERROR(IF(F2111&gt;=0,D2111*E2111*(1+F2111/100),ABS(D2111*E2111/F2111)),"")</f>
        <v>22123.793581500006</v>
      </c>
      <c r="H2111" s="43">
        <f>IFERROR(G2111*E2095,"")</f>
        <v>0</v>
      </c>
    </row>
    <row r="2112" spans="1:8" ht="12.75" customHeight="1">
      <c r="A2112" s="28"/>
      <c r="B2112" s="29"/>
      <c r="C2112" s="30" t="str">
        <f t="array" ref="C2112">IFERROR(_xlfn.XLOOKUP(B2112,MObra[[#All],[DESCRIPCION]],MObra[[#All],[UN]],,0),"")</f>
        <v/>
      </c>
      <c r="D2112" s="31"/>
      <c r="E2112" s="32" t="str">
        <f>IFERROR(_xlfn.XLOOKUP($B2112,MObra[DESCRIPCION],MObra[VALOR UNIT],,0),"")</f>
        <v/>
      </c>
      <c r="F2112" s="33"/>
      <c r="G2112" s="34" t="str">
        <f>IFERROR(IF(F2112&gt;=0,D2112*E2112*(1+F2112/100),ABS(D2112*E2112/F2112)),"")</f>
        <v/>
      </c>
      <c r="H2112" s="43" t="str">
        <f>IFERROR(G2112*E2095,"")</f>
        <v/>
      </c>
    </row>
    <row r="2113" spans="1:11" ht="12.75" customHeight="1" thickBot="1">
      <c r="A2113" s="35"/>
      <c r="B2113" s="36"/>
      <c r="C2113" s="37" t="str">
        <f t="array" ref="C2113">IFERROR(_xlfn.XLOOKUP(B2113,MObra[[#All],[DESCRIPCION]],MObra[[#All],[UN]],,0),"")</f>
        <v/>
      </c>
      <c r="D2113" s="38"/>
      <c r="E2113" s="39" t="str">
        <f>IFERROR(_xlfn.XLOOKUP($B2113,MObra[DESCRIPCION],MObra[VALOR UNIT],,0),"")</f>
        <v/>
      </c>
      <c r="F2113" s="40"/>
      <c r="G2113" s="41" t="str">
        <f>IFERROR(IF(F2113&gt;=0,D2113*E2113*(1+F2113/100),ABS(D2113*E2113/F2113)),"")</f>
        <v/>
      </c>
      <c r="H2113" s="42" t="str">
        <f>IFERROR(G2113*E2095,"")</f>
        <v/>
      </c>
    </row>
    <row r="2114" spans="1:11" ht="12.75" customHeight="1" thickTop="1" thickBot="1"/>
    <row r="2115" spans="1:11" ht="12.75" customHeight="1" thickTop="1" thickBot="1">
      <c r="A2115" s="6" t="s">
        <v>515</v>
      </c>
      <c r="B2115" s="7" t="str">
        <f>VLOOKUP($A2115,Presupuesto!$A:$D,2,FALSE())</f>
        <v>Placa piso concreto 20.7 Mpa E=0.20 m</v>
      </c>
      <c r="C2115" s="8" t="str">
        <f>VLOOKUP($A2115,Presupuesto!$A:$D,3,FALSE())</f>
        <v>M2</v>
      </c>
      <c r="D2115" s="9"/>
      <c r="E2115" s="10">
        <f>VLOOKUP($A2115,Presupuesto!$A:$D,4,FALSE())</f>
        <v>0</v>
      </c>
      <c r="F2115" s="11" t="s">
        <v>2589</v>
      </c>
      <c r="G2115" s="12">
        <f>SUM(G2117:G2133)/2</f>
        <v>177045.17330863792</v>
      </c>
      <c r="H2115" s="13">
        <f>ROUND(SUM(H2117:H2133),0)/2</f>
        <v>0</v>
      </c>
      <c r="I2115" s="10">
        <f>VLOOKUP(A2115,Presupuesto!$A:$F,6,0)</f>
        <v>0</v>
      </c>
      <c r="J2115" s="10">
        <f>+H2115-I2115</f>
        <v>0</v>
      </c>
      <c r="K2115" s="46">
        <f>+H2115-G2115*E2115</f>
        <v>0</v>
      </c>
    </row>
    <row r="2116" spans="1:11" ht="12.75" customHeight="1" thickTop="1">
      <c r="A2116" s="14"/>
      <c r="B2116" s="15" t="s">
        <v>2586</v>
      </c>
      <c r="C2116" s="15" t="s">
        <v>5</v>
      </c>
      <c r="D2116" s="16" t="s">
        <v>6</v>
      </c>
      <c r="E2116" s="17" t="s">
        <v>7</v>
      </c>
      <c r="F2116" s="18" t="s">
        <v>3728</v>
      </c>
      <c r="G2116" s="19" t="s">
        <v>3729</v>
      </c>
      <c r="H2116" s="20" t="s">
        <v>3797</v>
      </c>
    </row>
    <row r="2117" spans="1:11" ht="12.75" customHeight="1">
      <c r="A2117" s="21"/>
      <c r="B2117" s="22" t="s">
        <v>3730</v>
      </c>
      <c r="C2117" s="23"/>
      <c r="D2117" s="24"/>
      <c r="E2117" s="25"/>
      <c r="F2117" s="26"/>
      <c r="G2117" s="27">
        <f>SUM(G2118:G2122)</f>
        <v>151046.08330480289</v>
      </c>
      <c r="H2117" s="27">
        <f>IFERROR(G2117*E2115,"")</f>
        <v>0</v>
      </c>
    </row>
    <row r="2118" spans="1:11" ht="12.75" customHeight="1">
      <c r="A2118" s="28"/>
      <c r="B2118" s="29" t="s">
        <v>3239</v>
      </c>
      <c r="C2118" s="30" t="str">
        <f>IFERROR(_xlfn.XLOOKUP(B2118,Insumo[DESCRIPCION],Insumo[UND],,0),"")</f>
        <v>M3</v>
      </c>
      <c r="D2118" s="31">
        <v>0.2</v>
      </c>
      <c r="E2118" s="32">
        <f>IFERROR(_xlfn.XLOOKUP($B2118,Insumo[DESCRIPCION],Insumo[VALOR],,0),"")</f>
        <v>521159.50227762427</v>
      </c>
      <c r="F2118" s="33">
        <v>5</v>
      </c>
      <c r="G2118" s="34">
        <f>IFERROR(IF(F2118&gt;=0,D2118*E2118*(1+F2118/100),ABS(D2118*E2118/F2118)),"")</f>
        <v>109443.49547830111</v>
      </c>
      <c r="H2118" s="43">
        <f>IFERROR(G2118*E2115,"")</f>
        <v>0</v>
      </c>
    </row>
    <row r="2119" spans="1:11" ht="12.75" customHeight="1">
      <c r="A2119" s="28"/>
      <c r="B2119" s="29" t="s">
        <v>2954</v>
      </c>
      <c r="C2119" s="30" t="str">
        <f>IFERROR(_xlfn.XLOOKUP(B2119,Insumo[DESCRIPCION],Insumo[UND],,0),"")</f>
        <v>M2</v>
      </c>
      <c r="D2119" s="31">
        <v>0.4</v>
      </c>
      <c r="E2119" s="32">
        <f>IFERROR(_xlfn.XLOOKUP($B2119,Insumo[DESCRIPCION],Insumo[VALOR],,0),"")</f>
        <v>102154.92581625449</v>
      </c>
      <c r="F2119" s="33"/>
      <c r="G2119" s="34">
        <f>IFERROR(IF(F2119&gt;=0,D2119*E2119*(1+F2119/100),ABS(D2119*E2119/F2119)),"")</f>
        <v>40861.970326501796</v>
      </c>
      <c r="H2119" s="43">
        <f>IFERROR(G2119*E2115,"")</f>
        <v>0</v>
      </c>
    </row>
    <row r="2120" spans="1:11" ht="12.75" customHeight="1">
      <c r="A2120" s="28"/>
      <c r="B2120" s="29" t="s">
        <v>2709</v>
      </c>
      <c r="C2120" s="30" t="str">
        <f>IFERROR(_xlfn.XLOOKUP(B2120,Insumo[DESCRIPCION],Insumo[UND],,0),"")</f>
        <v>Kg</v>
      </c>
      <c r="D2120" s="31">
        <v>0.05</v>
      </c>
      <c r="E2120" s="32">
        <f>IFERROR(_xlfn.XLOOKUP($B2120,Insumo[DESCRIPCION],Insumo[VALOR],,0),"")</f>
        <v>14812.35</v>
      </c>
      <c r="F2120" s="33"/>
      <c r="G2120" s="34">
        <f>IFERROR(IF(F2120&gt;=0,D2120*E2120*(1+F2120/100),ABS(D2120*E2120/F2120)),"")</f>
        <v>740.61750000000006</v>
      </c>
      <c r="H2120" s="43">
        <f>IFERROR(G2120*E2115,"")</f>
        <v>0</v>
      </c>
    </row>
    <row r="2121" spans="1:11" ht="12.75" customHeight="1">
      <c r="A2121" s="28"/>
      <c r="B2121" s="29"/>
      <c r="C2121" s="30" t="str">
        <f>IFERROR(_xlfn.XLOOKUP(B2121,Insumo[DESCRIPCION],Insumo[UND],,0),"")</f>
        <v/>
      </c>
      <c r="D2121" s="31"/>
      <c r="E2121" s="32" t="str">
        <f>IFERROR(_xlfn.XLOOKUP($B2121,Insumo[DESCRIPCION],Insumo[VALOR],,0),"")</f>
        <v/>
      </c>
      <c r="F2121" s="33"/>
      <c r="G2121" s="34" t="str">
        <f>IFERROR(IF(F2121&gt;=0,D2121*E2121*(1+F2121/100),ABS(D2121*E2121/F2121)),"")</f>
        <v/>
      </c>
      <c r="H2121" s="43" t="str">
        <f>IFERROR(G2121*E2115,"")</f>
        <v/>
      </c>
    </row>
    <row r="2122" spans="1:11" ht="12.75" customHeight="1">
      <c r="A2122" s="28"/>
      <c r="B2122" s="29"/>
      <c r="C2122" s="30" t="str">
        <f>IFERROR(_xlfn.XLOOKUP(B2122,Insumo[DESCRIPCION],Insumo[UND],,0),"")</f>
        <v/>
      </c>
      <c r="D2122" s="31"/>
      <c r="E2122" s="32" t="str">
        <f>IFERROR(_xlfn.XLOOKUP($B2122,Insumo[DESCRIPCION],Insumo[VALOR],,0),"")</f>
        <v/>
      </c>
      <c r="F2122" s="33"/>
      <c r="G2122" s="34" t="str">
        <f>IFERROR(IF(F2122&gt;=0,D2122*E2122*(1+F2122/100),ABS(D2122*E2122/F2122)),"")</f>
        <v/>
      </c>
      <c r="H2122" s="43" t="str">
        <f>IFERROR(G2122*E2115,"")</f>
        <v/>
      </c>
    </row>
    <row r="2123" spans="1:11" ht="12.75" customHeight="1">
      <c r="A2123" s="21"/>
      <c r="B2123" s="22" t="s">
        <v>3731</v>
      </c>
      <c r="C2123" s="23"/>
      <c r="D2123" s="24"/>
      <c r="E2123" s="25"/>
      <c r="F2123" s="26"/>
      <c r="G2123" s="27">
        <f>SUM(G2124:G2126)</f>
        <v>3875.2964223350009</v>
      </c>
      <c r="H2123" s="44">
        <f>G2123*E2115</f>
        <v>0</v>
      </c>
    </row>
    <row r="2124" spans="1:11" ht="12.75" customHeight="1">
      <c r="A2124" s="28"/>
      <c r="B2124" s="29" t="s">
        <v>3657</v>
      </c>
      <c r="C2124" s="30" t="str">
        <f>IFERROR(_xlfn.XLOOKUP(B2124,Equipo[DESCRIPCION],Equipo[UND],,0),"")</f>
        <v>Día</v>
      </c>
      <c r="D2124" s="31">
        <v>1</v>
      </c>
      <c r="E2124" s="32">
        <f>IF(C2124="%MO",G2130,IFERROR(_xlfn.XLOOKUP($B2124,Equipo[DESCRIPCION],Equipo[VALOR],,0),""))</f>
        <v>56524.65</v>
      </c>
      <c r="F2124" s="33">
        <v>-30</v>
      </c>
      <c r="G2124" s="34">
        <f>IFERROR(IF(F2124&gt;=0,D2124*E2124*(1+F2124/100),ABS(D2124*E2124/F2124)),"")</f>
        <v>1884.155</v>
      </c>
      <c r="H2124" s="43">
        <f>IFERROR(G2124*E2115,"")</f>
        <v>0</v>
      </c>
    </row>
    <row r="2125" spans="1:11" ht="12.75" customHeight="1">
      <c r="A2125" s="28"/>
      <c r="B2125" s="29" t="s">
        <v>3570</v>
      </c>
      <c r="C2125" s="30" t="str">
        <f>IFERROR(_xlfn.XLOOKUP(B2125,Equipo[DESCRIPCION],Equipo[UND],,0),"")</f>
        <v>%MO</v>
      </c>
      <c r="D2125" s="31">
        <v>0.04</v>
      </c>
      <c r="E2125" s="32">
        <f>IF(C2125="%MO",G2130,IFERROR(_xlfn.XLOOKUP($B2125,Equipo[DESCRIPCION],Equipo[VALOR],,0),""))</f>
        <v>22123.793581500006</v>
      </c>
      <c r="F2125" s="33"/>
      <c r="G2125" s="34">
        <f>IFERROR(IF(F2125&gt;=0,D2125*E2125*(1+F2125/100),ABS(D2125*E2125/F2125)),"")</f>
        <v>884.95174326000028</v>
      </c>
      <c r="H2125" s="43">
        <f>IFERROR(G2125*E2115,"")</f>
        <v>0</v>
      </c>
    </row>
    <row r="2126" spans="1:11" ht="12.75" customHeight="1">
      <c r="A2126" s="28"/>
      <c r="B2126" s="29" t="s">
        <v>3626</v>
      </c>
      <c r="C2126" s="30" t="str">
        <f>IFERROR(_xlfn.XLOOKUP(B2126,Equipo[DESCRIPCION],Equipo[UND],,0),"")</f>
        <v>%MO</v>
      </c>
      <c r="D2126" s="31">
        <v>0.05</v>
      </c>
      <c r="E2126" s="32">
        <f>IF(C2126="%MO",G2130,IFERROR(_xlfn.XLOOKUP($B2126,Equipo[DESCRIPCION],Equipo[VALOR],,0),""))</f>
        <v>22123.793581500006</v>
      </c>
      <c r="F2126" s="33"/>
      <c r="G2126" s="34">
        <f>IFERROR(IF(F2126&gt;=0,D2126*E2126*(1+F2126/100),ABS(D2126*E2126/F2126)),"")</f>
        <v>1106.1896790750004</v>
      </c>
      <c r="H2126" s="43">
        <f>IFERROR(G2126*E2115,"")</f>
        <v>0</v>
      </c>
    </row>
    <row r="2127" spans="1:11" ht="12.75" customHeight="1">
      <c r="A2127" s="21"/>
      <c r="B2127" s="22" t="s">
        <v>2533</v>
      </c>
      <c r="C2127" s="23"/>
      <c r="D2127" s="24"/>
      <c r="E2127" s="25"/>
      <c r="F2127" s="26"/>
      <c r="G2127" s="27">
        <f>SUM(G2128:G2129)</f>
        <v>0</v>
      </c>
      <c r="H2127" s="44">
        <f>G2127*E2115</f>
        <v>0</v>
      </c>
    </row>
    <row r="2128" spans="1:11" ht="12.75" customHeight="1">
      <c r="A2128" s="28"/>
      <c r="B2128" s="29"/>
      <c r="C2128" s="30" t="str">
        <f>IFERROR(_xlfn.XLOOKUP(B2128,Transporte[DESCRIPCION],Transporte[UND],,0),"")</f>
        <v/>
      </c>
      <c r="D2128" s="31"/>
      <c r="E2128" s="32" t="str">
        <f>IFERROR(_xlfn.XLOOKUP($B2128,Transporte[DESCRIPCION],Transporte[VALOR],,0),"")</f>
        <v/>
      </c>
      <c r="F2128" s="33"/>
      <c r="G2128" s="34" t="str">
        <f>IFERROR(IF(F2128&gt;=0,D2128*E2128*(1+F2128/100),ABS(D2128*E2128/F2128)),"")</f>
        <v/>
      </c>
      <c r="H2128" s="43" t="str">
        <f>IFERROR(G2128*E2115,"")</f>
        <v/>
      </c>
    </row>
    <row r="2129" spans="1:11" ht="12.75" customHeight="1">
      <c r="A2129" s="28"/>
      <c r="B2129" s="29"/>
      <c r="C2129" s="30" t="str">
        <f>IFERROR(_xlfn.XLOOKUP(B2129,Transporte[DESCRIPCION],Transporte[UND],,0),"")</f>
        <v/>
      </c>
      <c r="D2129" s="31"/>
      <c r="E2129" s="32" t="str">
        <f>IFERROR(_xlfn.XLOOKUP($B2129,Transporte[DESCRIPCION],Transporte[VALOR],,0),"")</f>
        <v/>
      </c>
      <c r="F2129" s="33"/>
      <c r="G2129" s="34" t="str">
        <f>IFERROR(IF(F2129&gt;=0,D2129*E2129*(1+F2129/100),ABS(D2129*E2129/F2129)),"")</f>
        <v/>
      </c>
      <c r="H2129" s="43" t="str">
        <f>IFERROR(G2129*E2115,"")</f>
        <v/>
      </c>
    </row>
    <row r="2130" spans="1:11" ht="12.75" customHeight="1">
      <c r="A2130" s="21"/>
      <c r="B2130" s="22" t="s">
        <v>3732</v>
      </c>
      <c r="C2130" s="23"/>
      <c r="D2130" s="24"/>
      <c r="E2130" s="25"/>
      <c r="F2130" s="26"/>
      <c r="G2130" s="27">
        <f>SUM(G2131:G2133)</f>
        <v>22123.793581500006</v>
      </c>
      <c r="H2130" s="44">
        <f>G2130*E2115</f>
        <v>0</v>
      </c>
    </row>
    <row r="2131" spans="1:11" ht="12.75" customHeight="1">
      <c r="A2131" s="28"/>
      <c r="B2131" s="29" t="s">
        <v>3713</v>
      </c>
      <c r="C2131" s="30" t="str">
        <f>IFERROR(_xlfn.XLOOKUP(B2131,MObra[DESCRIPCION],MObra[UN],,0),"")</f>
        <v>día</v>
      </c>
      <c r="D2131" s="31">
        <v>1</v>
      </c>
      <c r="E2131" s="32">
        <f>IFERROR(_xlfn.XLOOKUP($B2131,MObra[DESCRIPCION],MObra[VALOR UNIT],,0),"")</f>
        <v>663713.80744500016</v>
      </c>
      <c r="F2131" s="33">
        <v>-30</v>
      </c>
      <c r="G2131" s="34">
        <f>IFERROR(IF(F2131&gt;=0,D2131*E2131*(1+F2131/100),ABS(D2131*E2131/F2131)),"")</f>
        <v>22123.793581500006</v>
      </c>
      <c r="H2131" s="43">
        <f>IFERROR(G2131*E2115,"")</f>
        <v>0</v>
      </c>
    </row>
    <row r="2132" spans="1:11" ht="12.75" customHeight="1">
      <c r="A2132" s="28"/>
      <c r="B2132" s="29"/>
      <c r="C2132" s="30" t="str">
        <f t="array" ref="C2132">IFERROR(_xlfn.XLOOKUP(B2132,MObra[[#All],[DESCRIPCION]],MObra[[#All],[UN]],,0),"")</f>
        <v/>
      </c>
      <c r="D2132" s="31"/>
      <c r="E2132" s="32" t="str">
        <f>IFERROR(_xlfn.XLOOKUP($B2132,MObra[DESCRIPCION],MObra[VALOR UNIT],,0),"")</f>
        <v/>
      </c>
      <c r="F2132" s="33"/>
      <c r="G2132" s="34" t="str">
        <f>IFERROR(IF(F2132&gt;=0,D2132*E2132*(1+F2132/100),ABS(D2132*E2132/F2132)),"")</f>
        <v/>
      </c>
      <c r="H2132" s="43" t="str">
        <f>IFERROR(G2132*E2115,"")</f>
        <v/>
      </c>
    </row>
    <row r="2133" spans="1:11" ht="12.75" customHeight="1" thickBot="1">
      <c r="A2133" s="35"/>
      <c r="B2133" s="36"/>
      <c r="C2133" s="37" t="str">
        <f t="array" ref="C2133">IFERROR(_xlfn.XLOOKUP(B2133,MObra[[#All],[DESCRIPCION]],MObra[[#All],[UN]],,0),"")</f>
        <v/>
      </c>
      <c r="D2133" s="38"/>
      <c r="E2133" s="39" t="str">
        <f>IFERROR(_xlfn.XLOOKUP($B2133,MObra[DESCRIPCION],MObra[VALOR UNIT],,0),"")</f>
        <v/>
      </c>
      <c r="F2133" s="40"/>
      <c r="G2133" s="41" t="str">
        <f>IFERROR(IF(F2133&gt;=0,D2133*E2133*(1+F2133/100),ABS(D2133*E2133/F2133)),"")</f>
        <v/>
      </c>
      <c r="H2133" s="42" t="str">
        <f>IFERROR(G2133*E2115,"")</f>
        <v/>
      </c>
    </row>
    <row r="2134" spans="1:11" ht="12.75" customHeight="1" thickTop="1" thickBot="1"/>
    <row r="2135" spans="1:11" ht="12.75" customHeight="1" thickTop="1" thickBot="1">
      <c r="A2135" s="6" t="s">
        <v>517</v>
      </c>
      <c r="B2135" s="7" t="str">
        <f>VLOOKUP($A2135,Presupuesto!$A:$D,2,FALSE())</f>
        <v>Rampa maciza concreto 20.7 Mpa E=0.10M</v>
      </c>
      <c r="C2135" s="8" t="str">
        <f>VLOOKUP($A2135,Presupuesto!$A:$D,3,FALSE())</f>
        <v>M2</v>
      </c>
      <c r="D2135" s="9"/>
      <c r="E2135" s="10">
        <f>VLOOKUP($A2135,Presupuesto!$A:$D,4,FALSE())</f>
        <v>0</v>
      </c>
      <c r="F2135" s="11" t="s">
        <v>2589</v>
      </c>
      <c r="G2135" s="12">
        <f>SUM(G2137:G2156)/2</f>
        <v>162066.14176915507</v>
      </c>
      <c r="H2135" s="13">
        <f>ROUND(SUM(H2137:H2156),0)/2</f>
        <v>0</v>
      </c>
      <c r="I2135" s="10">
        <f>VLOOKUP(A2135,Presupuesto!$A:$F,6,0)</f>
        <v>0</v>
      </c>
      <c r="J2135" s="10">
        <f>+H2135-I2135</f>
        <v>0</v>
      </c>
      <c r="K2135" s="46">
        <f>+H2135-G2135*E2135</f>
        <v>0</v>
      </c>
    </row>
    <row r="2136" spans="1:11" ht="12.75" customHeight="1" thickTop="1">
      <c r="A2136" s="14"/>
      <c r="B2136" s="15" t="s">
        <v>2586</v>
      </c>
      <c r="C2136" s="15" t="s">
        <v>5</v>
      </c>
      <c r="D2136" s="16" t="s">
        <v>6</v>
      </c>
      <c r="E2136" s="17" t="s">
        <v>7</v>
      </c>
      <c r="F2136" s="18" t="s">
        <v>3728</v>
      </c>
      <c r="G2136" s="19" t="s">
        <v>3729</v>
      </c>
      <c r="H2136" s="20" t="s">
        <v>3797</v>
      </c>
    </row>
    <row r="2137" spans="1:11" ht="12.75" customHeight="1">
      <c r="A2137" s="21"/>
      <c r="B2137" s="22" t="s">
        <v>3730</v>
      </c>
      <c r="C2137" s="23"/>
      <c r="D2137" s="24"/>
      <c r="E2137" s="25"/>
      <c r="F2137" s="26"/>
      <c r="G2137" s="27">
        <f>SUM(G2138:G2142)</f>
        <v>101432.08185646507</v>
      </c>
      <c r="H2137" s="27">
        <f>IFERROR(G2137*E2135,"")</f>
        <v>0</v>
      </c>
    </row>
    <row r="2138" spans="1:11" ht="12.75" customHeight="1">
      <c r="A2138" s="28"/>
      <c r="B2138" s="29" t="s">
        <v>3239</v>
      </c>
      <c r="C2138" s="30" t="str">
        <f>IFERROR(_xlfn.XLOOKUP(B2138,Insumo[DESCRIPCION],Insumo[UND],,0),"")</f>
        <v>M3</v>
      </c>
      <c r="D2138" s="31">
        <v>0.1</v>
      </c>
      <c r="E2138" s="32">
        <f>IFERROR(_xlfn.XLOOKUP($B2138,Insumo[DESCRIPCION],Insumo[VALOR],,0),"")</f>
        <v>521159.50227762427</v>
      </c>
      <c r="F2138" s="33">
        <v>5</v>
      </c>
      <c r="G2138" s="34">
        <f>IFERROR(IF(F2138&gt;=0,D2138*E2138*(1+F2138/100),ABS(D2138*E2138/F2138)),"")</f>
        <v>54721.747739150553</v>
      </c>
      <c r="H2138" s="43">
        <f>IFERROR(G2138*E2135,"")</f>
        <v>0</v>
      </c>
    </row>
    <row r="2139" spans="1:11" ht="12.75" customHeight="1">
      <c r="A2139" s="28"/>
      <c r="B2139" s="29" t="s">
        <v>2954</v>
      </c>
      <c r="C2139" s="30" t="str">
        <f>IFERROR(_xlfn.XLOOKUP(B2139,Insumo[DESCRIPCION],Insumo[UND],,0),"")</f>
        <v>M2</v>
      </c>
      <c r="D2139" s="31">
        <v>0.45</v>
      </c>
      <c r="E2139" s="32">
        <f>IFERROR(_xlfn.XLOOKUP($B2139,Insumo[DESCRIPCION],Insumo[VALOR],,0),"")</f>
        <v>102154.92581625449</v>
      </c>
      <c r="F2139" s="33"/>
      <c r="G2139" s="34">
        <f>IFERROR(IF(F2139&gt;=0,D2139*E2139*(1+F2139/100),ABS(D2139*E2139/F2139)),"")</f>
        <v>45969.716617314523</v>
      </c>
      <c r="H2139" s="43">
        <f>IFERROR(G2139*E2135,"")</f>
        <v>0</v>
      </c>
    </row>
    <row r="2140" spans="1:11" ht="12.75" customHeight="1">
      <c r="A2140" s="28"/>
      <c r="B2140" s="29" t="s">
        <v>2709</v>
      </c>
      <c r="C2140" s="30" t="str">
        <f>IFERROR(_xlfn.XLOOKUP(B2140,Insumo[DESCRIPCION],Insumo[UND],,0),"")</f>
        <v>Kg</v>
      </c>
      <c r="D2140" s="31">
        <v>0.05</v>
      </c>
      <c r="E2140" s="32">
        <f>IFERROR(_xlfn.XLOOKUP($B2140,Insumo[DESCRIPCION],Insumo[VALOR],,0),"")</f>
        <v>14812.35</v>
      </c>
      <c r="F2140" s="33"/>
      <c r="G2140" s="34">
        <f>IFERROR(IF(F2140&gt;=0,D2140*E2140*(1+F2140/100),ABS(D2140*E2140/F2140)),"")</f>
        <v>740.61750000000006</v>
      </c>
      <c r="H2140" s="43">
        <f>IFERROR(G2140*E2135,"")</f>
        <v>0</v>
      </c>
    </row>
    <row r="2141" spans="1:11" ht="12.75" customHeight="1">
      <c r="A2141" s="28"/>
      <c r="B2141" s="29"/>
      <c r="C2141" s="30" t="str">
        <f>IFERROR(_xlfn.XLOOKUP(B2141,Insumo[DESCRIPCION],Insumo[UND],,0),"")</f>
        <v/>
      </c>
      <c r="D2141" s="31"/>
      <c r="E2141" s="32" t="str">
        <f>IFERROR(_xlfn.XLOOKUP($B2141,Insumo[DESCRIPCION],Insumo[VALOR],,0),"")</f>
        <v/>
      </c>
      <c r="F2141" s="33"/>
      <c r="G2141" s="34" t="str">
        <f>IFERROR(IF(F2141&gt;=0,D2141*E2141*(1+F2141/100),ABS(D2141*E2141/F2141)),"")</f>
        <v/>
      </c>
      <c r="H2141" s="43" t="str">
        <f>IFERROR(G2141*E2135,"")</f>
        <v/>
      </c>
    </row>
    <row r="2142" spans="1:11" ht="12.75" customHeight="1">
      <c r="A2142" s="28"/>
      <c r="B2142" s="29"/>
      <c r="C2142" s="30" t="str">
        <f>IFERROR(_xlfn.XLOOKUP(B2142,Insumo[DESCRIPCION],Insumo[UND],,0),"")</f>
        <v/>
      </c>
      <c r="D2142" s="31"/>
      <c r="E2142" s="32" t="str">
        <f>IFERROR(_xlfn.XLOOKUP($B2142,Insumo[DESCRIPCION],Insumo[VALOR],,0),"")</f>
        <v/>
      </c>
      <c r="F2142" s="33"/>
      <c r="G2142" s="34" t="str">
        <f>IFERROR(IF(F2142&gt;=0,D2142*E2142*(1+F2142/100),ABS(D2142*E2142/F2142)),"")</f>
        <v/>
      </c>
      <c r="H2142" s="43" t="str">
        <f>IFERROR(G2142*E2135,"")</f>
        <v/>
      </c>
    </row>
    <row r="2143" spans="1:11" ht="12.75" customHeight="1">
      <c r="A2143" s="21"/>
      <c r="B2143" s="22" t="s">
        <v>3731</v>
      </c>
      <c r="C2143" s="23"/>
      <c r="D2143" s="24"/>
      <c r="E2143" s="25"/>
      <c r="F2143" s="26"/>
      <c r="G2143" s="27">
        <f>SUM(G2144:G2149)</f>
        <v>34085.507614890004</v>
      </c>
      <c r="H2143" s="44">
        <f>G2143*E2135</f>
        <v>0</v>
      </c>
    </row>
    <row r="2144" spans="1:11" ht="12.75" customHeight="1">
      <c r="A2144" s="28"/>
      <c r="B2144" s="29" t="s">
        <v>3657</v>
      </c>
      <c r="C2144" s="30" t="str">
        <f>IFERROR(_xlfn.XLOOKUP(B2144,Equipo[DESCRIPCION],Equipo[UND],,0),"")</f>
        <v>Día</v>
      </c>
      <c r="D2144" s="31">
        <v>1</v>
      </c>
      <c r="E2144" s="32">
        <f>IF(C2144="%MO",G2153,IFERROR(_xlfn.XLOOKUP($B2144,Equipo[DESCRIPCION],Equipo[VALOR],,0),""))</f>
        <v>56524.65</v>
      </c>
      <c r="F2144" s="33">
        <v>-10</v>
      </c>
      <c r="G2144" s="34">
        <f t="shared" ref="G2144:G2149" si="15">IFERROR(IF(F2144&gt;=0,D2144*E2144*(1+F2144/100),ABS(D2144*E2144/F2144)),"")</f>
        <v>5652.4650000000001</v>
      </c>
      <c r="H2144" s="43">
        <f>IFERROR(G2144*E2135,"")</f>
        <v>0</v>
      </c>
    </row>
    <row r="2145" spans="1:11" ht="12.75" customHeight="1">
      <c r="A2145" s="28"/>
      <c r="B2145" s="29" t="s">
        <v>3652</v>
      </c>
      <c r="C2145" s="30" t="str">
        <f>IFERROR(_xlfn.XLOOKUP(B2145,Equipo[DESCRIPCION],Equipo[UND],,0),"")</f>
        <v>Día</v>
      </c>
      <c r="D2145" s="31">
        <v>1</v>
      </c>
      <c r="E2145" s="32">
        <f>IF(C2145="%MO",G2154,IFERROR(_xlfn.XLOOKUP($B2145,Equipo[DESCRIPCION],Equipo[VALOR],,0),""))</f>
        <v>635.25</v>
      </c>
      <c r="F2145" s="33">
        <v>-0.1</v>
      </c>
      <c r="G2145" s="34">
        <f t="shared" si="15"/>
        <v>6352.5</v>
      </c>
      <c r="H2145" s="43">
        <f>IFERROR(G2145*E2135,"")</f>
        <v>0</v>
      </c>
    </row>
    <row r="2146" spans="1:11" ht="12.75" customHeight="1">
      <c r="A2146" s="28"/>
      <c r="B2146" s="29" t="s">
        <v>3591</v>
      </c>
      <c r="C2146" s="30" t="str">
        <f>IFERROR(_xlfn.XLOOKUP(B2146,Equipo[DESCRIPCION],Equipo[UND],,0),"")</f>
        <v>Día</v>
      </c>
      <c r="D2146" s="31">
        <v>1</v>
      </c>
      <c r="E2146" s="32">
        <f>IF(C2146="%MO",G2155,IFERROR(_xlfn.XLOOKUP($B2146,Equipo[DESCRIPCION],Equipo[VALOR],,0),""))</f>
        <v>635.25</v>
      </c>
      <c r="F2146" s="33">
        <v>-0.1</v>
      </c>
      <c r="G2146" s="34">
        <f t="shared" si="15"/>
        <v>6352.5</v>
      </c>
      <c r="H2146" s="43">
        <f>IFERROR(G2146*E2135,"")</f>
        <v>0</v>
      </c>
    </row>
    <row r="2147" spans="1:11" ht="12.75" customHeight="1">
      <c r="A2147" s="28"/>
      <c r="B2147" s="29" t="s">
        <v>3651</v>
      </c>
      <c r="C2147" s="30" t="str">
        <f>IFERROR(_xlfn.XLOOKUP(B2147,Equipo[DESCRIPCION],Equipo[UND],,0),"")</f>
        <v>Día</v>
      </c>
      <c r="D2147" s="31">
        <v>1</v>
      </c>
      <c r="E2147" s="32">
        <f>IF(C2147="%MO",G2156,IFERROR(_xlfn.XLOOKUP($B2147,Equipo[DESCRIPCION],Equipo[VALOR],,0),""))</f>
        <v>981.75</v>
      </c>
      <c r="F2147" s="33">
        <v>-0.14000000000000001</v>
      </c>
      <c r="G2147" s="34">
        <f t="shared" si="15"/>
        <v>7012.4999999999991</v>
      </c>
      <c r="H2147" s="43">
        <f>IFERROR(G2147*E2135,"")</f>
        <v>0</v>
      </c>
    </row>
    <row r="2148" spans="1:11" ht="12.75" customHeight="1">
      <c r="A2148" s="28"/>
      <c r="B2148" s="29" t="s">
        <v>3640</v>
      </c>
      <c r="C2148" s="30" t="str">
        <f>IFERROR(_xlfn.XLOOKUP(B2148,Equipo[DESCRIPCION],Equipo[UND],,0),"")</f>
        <v>Día</v>
      </c>
      <c r="D2148" s="31">
        <v>1</v>
      </c>
      <c r="E2148" s="32">
        <f>IF(C2148="%MO",G2157,IFERROR(_xlfn.XLOOKUP($B2148,Equipo[DESCRIPCION],Equipo[VALOR],,0),""))</f>
        <v>73881.150000000009</v>
      </c>
      <c r="F2148" s="33">
        <v>-10</v>
      </c>
      <c r="G2148" s="34">
        <f t="shared" si="15"/>
        <v>7388.1150000000007</v>
      </c>
      <c r="H2148" s="43">
        <f>IFERROR(G2148*E2135,"")</f>
        <v>0</v>
      </c>
    </row>
    <row r="2149" spans="1:11" ht="12.75" customHeight="1">
      <c r="A2149" s="28"/>
      <c r="B2149" s="29" t="s">
        <v>3626</v>
      </c>
      <c r="C2149" s="30" t="str">
        <f>IFERROR(_xlfn.XLOOKUP(B2149,Equipo[DESCRIPCION],Equipo[UND],,0),"")</f>
        <v>%MO</v>
      </c>
      <c r="D2149" s="31">
        <v>0.05</v>
      </c>
      <c r="E2149" s="32">
        <f>IF(C2149="%MO",G2153,IFERROR(_xlfn.XLOOKUP($B2149,Equipo[DESCRIPCION],Equipo[VALOR],,0),""))</f>
        <v>26548.552297800008</v>
      </c>
      <c r="F2149" s="33"/>
      <c r="G2149" s="34">
        <f t="shared" si="15"/>
        <v>1327.4276148900005</v>
      </c>
      <c r="H2149" s="43">
        <f>IFERROR(G2149*E2135,"")</f>
        <v>0</v>
      </c>
    </row>
    <row r="2150" spans="1:11" ht="12.75" customHeight="1">
      <c r="A2150" s="21"/>
      <c r="B2150" s="22" t="s">
        <v>2533</v>
      </c>
      <c r="C2150" s="23"/>
      <c r="D2150" s="24"/>
      <c r="E2150" s="25"/>
      <c r="F2150" s="26"/>
      <c r="G2150" s="27">
        <f>SUM(G2151:G2152)</f>
        <v>0</v>
      </c>
      <c r="H2150" s="44">
        <f>G2150*E2135</f>
        <v>0</v>
      </c>
    </row>
    <row r="2151" spans="1:11" ht="12.75" customHeight="1">
      <c r="A2151" s="28"/>
      <c r="B2151" s="29"/>
      <c r="C2151" s="30" t="str">
        <f>IFERROR(_xlfn.XLOOKUP(B2151,Transporte[DESCRIPCION],Transporte[UND],,0),"")</f>
        <v/>
      </c>
      <c r="D2151" s="31"/>
      <c r="E2151" s="32" t="str">
        <f>IFERROR(_xlfn.XLOOKUP($B2151,Transporte[DESCRIPCION],Transporte[VALOR],,0),"")</f>
        <v/>
      </c>
      <c r="F2151" s="33"/>
      <c r="G2151" s="34" t="str">
        <f>IFERROR(IF(F2151&gt;=0,D2151*E2151*(1+F2151/100),ABS(D2151*E2151/F2151)),"")</f>
        <v/>
      </c>
      <c r="H2151" s="43" t="str">
        <f>IFERROR(G2151*E2135,"")</f>
        <v/>
      </c>
    </row>
    <row r="2152" spans="1:11" ht="12.75" customHeight="1">
      <c r="A2152" s="28"/>
      <c r="B2152" s="29"/>
      <c r="C2152" s="30" t="str">
        <f>IFERROR(_xlfn.XLOOKUP(B2152,Transporte[DESCRIPCION],Transporte[UND],,0),"")</f>
        <v/>
      </c>
      <c r="D2152" s="31"/>
      <c r="E2152" s="32" t="str">
        <f>IFERROR(_xlfn.XLOOKUP($B2152,Transporte[DESCRIPCION],Transporte[VALOR],,0),"")</f>
        <v/>
      </c>
      <c r="F2152" s="33"/>
      <c r="G2152" s="34" t="str">
        <f>IFERROR(IF(F2152&gt;=0,D2152*E2152*(1+F2152/100),ABS(D2152*E2152/F2152)),"")</f>
        <v/>
      </c>
      <c r="H2152" s="43" t="str">
        <f>IFERROR(G2152*E2135,"")</f>
        <v/>
      </c>
    </row>
    <row r="2153" spans="1:11" ht="12.75" customHeight="1">
      <c r="A2153" s="21"/>
      <c r="B2153" s="22" t="s">
        <v>3732</v>
      </c>
      <c r="C2153" s="23"/>
      <c r="D2153" s="24"/>
      <c r="E2153" s="25"/>
      <c r="F2153" s="26"/>
      <c r="G2153" s="27">
        <f>SUM(G2154:G2156)</f>
        <v>26548.552297800008</v>
      </c>
      <c r="H2153" s="44">
        <f>G2153*E2135</f>
        <v>0</v>
      </c>
    </row>
    <row r="2154" spans="1:11" ht="12.75" customHeight="1">
      <c r="A2154" s="28"/>
      <c r="B2154" s="29" t="s">
        <v>3713</v>
      </c>
      <c r="C2154" s="30" t="str">
        <f>IFERROR(_xlfn.XLOOKUP(B2154,MObra[DESCRIPCION],MObra[UN],,0),"")</f>
        <v>día</v>
      </c>
      <c r="D2154" s="31">
        <v>1</v>
      </c>
      <c r="E2154" s="32">
        <f>IFERROR(_xlfn.XLOOKUP($B2154,MObra[DESCRIPCION],MObra[VALOR UNIT],,0),"")</f>
        <v>663713.80744500016</v>
      </c>
      <c r="F2154" s="33">
        <v>-25</v>
      </c>
      <c r="G2154" s="34">
        <f>IFERROR(IF(F2154&gt;=0,D2154*E2154*(1+F2154/100),ABS(D2154*E2154/F2154)),"")</f>
        <v>26548.552297800008</v>
      </c>
      <c r="H2154" s="43">
        <f>IFERROR(G2154*E2135,"")</f>
        <v>0</v>
      </c>
    </row>
    <row r="2155" spans="1:11" ht="12.75" customHeight="1">
      <c r="A2155" s="28"/>
      <c r="B2155" s="29"/>
      <c r="C2155" s="30" t="str">
        <f t="array" ref="C2155">IFERROR(_xlfn.XLOOKUP(B2155,MObra[[#All],[DESCRIPCION]],MObra[[#All],[UN]],,0),"")</f>
        <v/>
      </c>
      <c r="D2155" s="31"/>
      <c r="E2155" s="32" t="str">
        <f>IFERROR(_xlfn.XLOOKUP($B2155,MObra[DESCRIPCION],MObra[VALOR UNIT],,0),"")</f>
        <v/>
      </c>
      <c r="F2155" s="33"/>
      <c r="G2155" s="34" t="str">
        <f>IFERROR(IF(F2155&gt;=0,D2155*E2155*(1+F2155/100),ABS(D2155*E2155/F2155)),"")</f>
        <v/>
      </c>
      <c r="H2155" s="43" t="str">
        <f>IFERROR(G2155*E2135,"")</f>
        <v/>
      </c>
    </row>
    <row r="2156" spans="1:11" ht="12.75" customHeight="1" thickBot="1">
      <c r="A2156" s="35"/>
      <c r="B2156" s="36"/>
      <c r="C2156" s="37" t="str">
        <f t="array" ref="C2156">IFERROR(_xlfn.XLOOKUP(B2156,MObra[[#All],[DESCRIPCION]],MObra[[#All],[UN]],,0),"")</f>
        <v/>
      </c>
      <c r="D2156" s="38"/>
      <c r="E2156" s="39" t="str">
        <f>IFERROR(_xlfn.XLOOKUP($B2156,MObra[DESCRIPCION],MObra[VALOR UNIT],,0),"")</f>
        <v/>
      </c>
      <c r="F2156" s="40"/>
      <c r="G2156" s="41" t="str">
        <f>IFERROR(IF(F2156&gt;=0,D2156*E2156*(1+F2156/100),ABS(D2156*E2156/F2156)),"")</f>
        <v/>
      </c>
      <c r="H2156" s="42" t="str">
        <f>IFERROR(G2156*E2135,"")</f>
        <v/>
      </c>
    </row>
    <row r="2157" spans="1:11" ht="12.75" customHeight="1" thickTop="1" thickBot="1"/>
    <row r="2158" spans="1:11" ht="12.75" customHeight="1" thickTop="1" thickBot="1">
      <c r="A2158" s="6" t="s">
        <v>519</v>
      </c>
      <c r="B2158" s="7" t="str">
        <f>VLOOKUP($A2158,Presupuesto!$A:$D,2,FALSE())</f>
        <v>Rampa maciza concreto 20.7 Mpa E=0.15M</v>
      </c>
      <c r="C2158" s="8" t="str">
        <f>VLOOKUP($A2158,Presupuesto!$A:$D,3,FALSE())</f>
        <v>M2</v>
      </c>
      <c r="D2158" s="9"/>
      <c r="E2158" s="10">
        <f>VLOOKUP($A2158,Presupuesto!$A:$D,4,FALSE())</f>
        <v>0</v>
      </c>
      <c r="F2158" s="11" t="s">
        <v>2589</v>
      </c>
      <c r="G2158" s="12">
        <f>SUM(G2160:G2179)/2</f>
        <v>196396.01061690281</v>
      </c>
      <c r="H2158" s="13">
        <f>ROUND(SUM(H2160:H2179),0)/2</f>
        <v>0</v>
      </c>
      <c r="I2158" s="10">
        <f>VLOOKUP(A2158,Presupuesto!$A:$F,6,0)</f>
        <v>0</v>
      </c>
      <c r="J2158" s="10">
        <f>+H2158-I2158</f>
        <v>0</v>
      </c>
      <c r="K2158" s="46">
        <f>+H2158-G2158*E2158</f>
        <v>0</v>
      </c>
    </row>
    <row r="2159" spans="1:11" ht="12.75" customHeight="1" thickTop="1">
      <c r="A2159" s="14"/>
      <c r="B2159" s="15" t="s">
        <v>2586</v>
      </c>
      <c r="C2159" s="15" t="s">
        <v>5</v>
      </c>
      <c r="D2159" s="16" t="s">
        <v>6</v>
      </c>
      <c r="E2159" s="17" t="s">
        <v>7</v>
      </c>
      <c r="F2159" s="18" t="s">
        <v>3728</v>
      </c>
      <c r="G2159" s="19" t="s">
        <v>3729</v>
      </c>
      <c r="H2159" s="20" t="s">
        <v>3797</v>
      </c>
    </row>
    <row r="2160" spans="1:11" ht="12.75" customHeight="1">
      <c r="A2160" s="21"/>
      <c r="B2160" s="22" t="s">
        <v>3730</v>
      </c>
      <c r="C2160" s="23"/>
      <c r="D2160" s="24"/>
      <c r="E2160" s="25"/>
      <c r="F2160" s="26"/>
      <c r="G2160" s="27">
        <f>SUM(G2161:G2165)</f>
        <v>128792.95572604034</v>
      </c>
      <c r="H2160" s="27">
        <f>IFERROR(G2160*E2158,"")</f>
        <v>0</v>
      </c>
    </row>
    <row r="2161" spans="1:8" ht="12.75" customHeight="1">
      <c r="A2161" s="28"/>
      <c r="B2161" s="29" t="s">
        <v>3239</v>
      </c>
      <c r="C2161" s="30" t="str">
        <f>IFERROR(_xlfn.XLOOKUP(B2161,Insumo[DESCRIPCION],Insumo[UND],,0),"")</f>
        <v>M3</v>
      </c>
      <c r="D2161" s="31">
        <v>0.15</v>
      </c>
      <c r="E2161" s="32">
        <f>IFERROR(_xlfn.XLOOKUP($B2161,Insumo[DESCRIPCION],Insumo[VALOR],,0),"")</f>
        <v>521159.50227762427</v>
      </c>
      <c r="F2161" s="33">
        <v>5</v>
      </c>
      <c r="G2161" s="34">
        <f>IFERROR(IF(F2161&gt;=0,D2161*E2161*(1+F2161/100),ABS(D2161*E2161/F2161)),"")</f>
        <v>82082.621608725822</v>
      </c>
      <c r="H2161" s="43">
        <f>IFERROR(G2161*E2158,"")</f>
        <v>0</v>
      </c>
    </row>
    <row r="2162" spans="1:8" ht="12.75" customHeight="1">
      <c r="A2162" s="28"/>
      <c r="B2162" s="29" t="s">
        <v>2954</v>
      </c>
      <c r="C2162" s="30" t="str">
        <f>IFERROR(_xlfn.XLOOKUP(B2162,Insumo[DESCRIPCION],Insumo[UND],,0),"")</f>
        <v>M2</v>
      </c>
      <c r="D2162" s="31">
        <v>0.45</v>
      </c>
      <c r="E2162" s="32">
        <f>IFERROR(_xlfn.XLOOKUP($B2162,Insumo[DESCRIPCION],Insumo[VALOR],,0),"")</f>
        <v>102154.92581625449</v>
      </c>
      <c r="F2162" s="33"/>
      <c r="G2162" s="34">
        <f>IFERROR(IF(F2162&gt;=0,D2162*E2162*(1+F2162/100),ABS(D2162*E2162/F2162)),"")</f>
        <v>45969.716617314523</v>
      </c>
      <c r="H2162" s="43">
        <f>IFERROR(G2162*E2158,"")</f>
        <v>0</v>
      </c>
    </row>
    <row r="2163" spans="1:8" ht="12.75" customHeight="1">
      <c r="A2163" s="28"/>
      <c r="B2163" s="29" t="s">
        <v>2709</v>
      </c>
      <c r="C2163" s="30" t="str">
        <f>IFERROR(_xlfn.XLOOKUP(B2163,Insumo[DESCRIPCION],Insumo[UND],,0),"")</f>
        <v>Kg</v>
      </c>
      <c r="D2163" s="31">
        <v>0.05</v>
      </c>
      <c r="E2163" s="32">
        <f>IFERROR(_xlfn.XLOOKUP($B2163,Insumo[DESCRIPCION],Insumo[VALOR],,0),"")</f>
        <v>14812.35</v>
      </c>
      <c r="F2163" s="33"/>
      <c r="G2163" s="34">
        <f>IFERROR(IF(F2163&gt;=0,D2163*E2163*(1+F2163/100),ABS(D2163*E2163/F2163)),"")</f>
        <v>740.61750000000006</v>
      </c>
      <c r="H2163" s="43">
        <f>IFERROR(G2163*E2158,"")</f>
        <v>0</v>
      </c>
    </row>
    <row r="2164" spans="1:8" ht="12.75" customHeight="1">
      <c r="A2164" s="28"/>
      <c r="B2164" s="29"/>
      <c r="C2164" s="30" t="str">
        <f>IFERROR(_xlfn.XLOOKUP(B2164,Insumo[DESCRIPCION],Insumo[UND],,0),"")</f>
        <v/>
      </c>
      <c r="D2164" s="31"/>
      <c r="E2164" s="32" t="str">
        <f>IFERROR(_xlfn.XLOOKUP($B2164,Insumo[DESCRIPCION],Insumo[VALOR],,0),"")</f>
        <v/>
      </c>
      <c r="F2164" s="33"/>
      <c r="G2164" s="34" t="str">
        <f>IFERROR(IF(F2164&gt;=0,D2164*E2164*(1+F2164/100),ABS(D2164*E2164/F2164)),"")</f>
        <v/>
      </c>
      <c r="H2164" s="43" t="str">
        <f>IFERROR(G2164*E2158,"")</f>
        <v/>
      </c>
    </row>
    <row r="2165" spans="1:8" ht="12.75" customHeight="1">
      <c r="A2165" s="28"/>
      <c r="B2165" s="29"/>
      <c r="C2165" s="30" t="str">
        <f>IFERROR(_xlfn.XLOOKUP(B2165,Insumo[DESCRIPCION],Insumo[UND],,0),"")</f>
        <v/>
      </c>
      <c r="D2165" s="31"/>
      <c r="E2165" s="32" t="str">
        <f>IFERROR(_xlfn.XLOOKUP($B2165,Insumo[DESCRIPCION],Insumo[VALOR],,0),"")</f>
        <v/>
      </c>
      <c r="F2165" s="33"/>
      <c r="G2165" s="34" t="str">
        <f>IFERROR(IF(F2165&gt;=0,D2165*E2165*(1+F2165/100),ABS(D2165*E2165/F2165)),"")</f>
        <v/>
      </c>
      <c r="H2165" s="43" t="str">
        <f>IFERROR(G2165*E2158,"")</f>
        <v/>
      </c>
    </row>
    <row r="2166" spans="1:8" ht="12.75" customHeight="1">
      <c r="A2166" s="21"/>
      <c r="B2166" s="22" t="s">
        <v>3731</v>
      </c>
      <c r="C2166" s="23"/>
      <c r="D2166" s="24"/>
      <c r="E2166" s="25"/>
      <c r="F2166" s="26"/>
      <c r="G2166" s="27">
        <f>SUM(G2167:G2172)</f>
        <v>34417.3645186125</v>
      </c>
      <c r="H2166" s="44">
        <f>G2166*E2158</f>
        <v>0</v>
      </c>
    </row>
    <row r="2167" spans="1:8" ht="12.75" customHeight="1">
      <c r="A2167" s="28"/>
      <c r="B2167" s="29" t="s">
        <v>3657</v>
      </c>
      <c r="C2167" s="30" t="str">
        <f>IFERROR(_xlfn.XLOOKUP(B2167,Equipo[DESCRIPCION],Equipo[UND],,0),"")</f>
        <v>Día</v>
      </c>
      <c r="D2167" s="31">
        <v>1</v>
      </c>
      <c r="E2167" s="32">
        <f>IF(C2167="%MO",G2176,IFERROR(_xlfn.XLOOKUP($B2167,Equipo[DESCRIPCION],Equipo[VALOR],,0),""))</f>
        <v>56524.65</v>
      </c>
      <c r="F2167" s="33">
        <v>-10</v>
      </c>
      <c r="G2167" s="34">
        <f t="shared" ref="G2167:G2172" si="16">IFERROR(IF(F2167&gt;=0,D2167*E2167*(1+F2167/100),ABS(D2167*E2167/F2167)),"")</f>
        <v>5652.4650000000001</v>
      </c>
      <c r="H2167" s="43">
        <f>IFERROR(G2167*E2158,"")</f>
        <v>0</v>
      </c>
    </row>
    <row r="2168" spans="1:8" ht="12.75" customHeight="1">
      <c r="A2168" s="28"/>
      <c r="B2168" s="29" t="s">
        <v>3652</v>
      </c>
      <c r="C2168" s="30" t="str">
        <f>IFERROR(_xlfn.XLOOKUP(B2168,Equipo[DESCRIPCION],Equipo[UND],,0),"")</f>
        <v>Día</v>
      </c>
      <c r="D2168" s="31">
        <v>1</v>
      </c>
      <c r="E2168" s="32">
        <f>IF(C2168="%MO",G2177,IFERROR(_xlfn.XLOOKUP($B2168,Equipo[DESCRIPCION],Equipo[VALOR],,0),""))</f>
        <v>635.25</v>
      </c>
      <c r="F2168" s="33">
        <v>-0.1</v>
      </c>
      <c r="G2168" s="34">
        <f t="shared" si="16"/>
        <v>6352.5</v>
      </c>
      <c r="H2168" s="43">
        <f>IFERROR(G2168*E2158,"")</f>
        <v>0</v>
      </c>
    </row>
    <row r="2169" spans="1:8" ht="12.75" customHeight="1">
      <c r="A2169" s="28"/>
      <c r="B2169" s="29" t="s">
        <v>3591</v>
      </c>
      <c r="C2169" s="30" t="str">
        <f>IFERROR(_xlfn.XLOOKUP(B2169,Equipo[DESCRIPCION],Equipo[UND],,0),"")</f>
        <v>Día</v>
      </c>
      <c r="D2169" s="31">
        <v>1</v>
      </c>
      <c r="E2169" s="32">
        <f>IF(C2169="%MO",G2178,IFERROR(_xlfn.XLOOKUP($B2169,Equipo[DESCRIPCION],Equipo[VALOR],,0),""))</f>
        <v>635.25</v>
      </c>
      <c r="F2169" s="33">
        <v>-0.1</v>
      </c>
      <c r="G2169" s="34">
        <f t="shared" si="16"/>
        <v>6352.5</v>
      </c>
      <c r="H2169" s="43">
        <f>IFERROR(G2169*E2158,"")</f>
        <v>0</v>
      </c>
    </row>
    <row r="2170" spans="1:8" ht="12.75" customHeight="1">
      <c r="A2170" s="28"/>
      <c r="B2170" s="29" t="s">
        <v>3651</v>
      </c>
      <c r="C2170" s="30" t="str">
        <f>IFERROR(_xlfn.XLOOKUP(B2170,Equipo[DESCRIPCION],Equipo[UND],,0),"")</f>
        <v>Día</v>
      </c>
      <c r="D2170" s="31">
        <v>1</v>
      </c>
      <c r="E2170" s="32">
        <f>IF(C2170="%MO",G2179,IFERROR(_xlfn.XLOOKUP($B2170,Equipo[DESCRIPCION],Equipo[VALOR],,0),""))</f>
        <v>981.75</v>
      </c>
      <c r="F2170" s="33">
        <v>-0.14000000000000001</v>
      </c>
      <c r="G2170" s="34">
        <f t="shared" si="16"/>
        <v>7012.4999999999991</v>
      </c>
      <c r="H2170" s="43">
        <f>IFERROR(G2170*E2158,"")</f>
        <v>0</v>
      </c>
    </row>
    <row r="2171" spans="1:8" ht="12.75" customHeight="1">
      <c r="A2171" s="28"/>
      <c r="B2171" s="29" t="s">
        <v>3640</v>
      </c>
      <c r="C2171" s="30" t="str">
        <f>IFERROR(_xlfn.XLOOKUP(B2171,Equipo[DESCRIPCION],Equipo[UND],,0),"")</f>
        <v>Día</v>
      </c>
      <c r="D2171" s="31">
        <v>1</v>
      </c>
      <c r="E2171" s="32">
        <f>IF(C2171="%MO",G2180,IFERROR(_xlfn.XLOOKUP($B2171,Equipo[DESCRIPCION],Equipo[VALOR],,0),""))</f>
        <v>73881.150000000009</v>
      </c>
      <c r="F2171" s="33">
        <v>-10</v>
      </c>
      <c r="G2171" s="34">
        <f t="shared" si="16"/>
        <v>7388.1150000000007</v>
      </c>
      <c r="H2171" s="43">
        <f>IFERROR(G2171*E2158,"")</f>
        <v>0</v>
      </c>
    </row>
    <row r="2172" spans="1:8" ht="12.75" customHeight="1">
      <c r="A2172" s="28"/>
      <c r="B2172" s="29" t="s">
        <v>3626</v>
      </c>
      <c r="C2172" s="30" t="str">
        <f>IFERROR(_xlfn.XLOOKUP(B2172,Equipo[DESCRIPCION],Equipo[UND],,0),"")</f>
        <v>%MO</v>
      </c>
      <c r="D2172" s="31">
        <v>0.05</v>
      </c>
      <c r="E2172" s="32">
        <f>IF(C2172="%MO",G2176,IFERROR(_xlfn.XLOOKUP($B2172,Equipo[DESCRIPCION],Equipo[VALOR],,0),""))</f>
        <v>33185.690372250006</v>
      </c>
      <c r="F2172" s="33"/>
      <c r="G2172" s="34">
        <f t="shared" si="16"/>
        <v>1659.2845186125005</v>
      </c>
      <c r="H2172" s="43">
        <f>IFERROR(G2172*E2158,"")</f>
        <v>0</v>
      </c>
    </row>
    <row r="2173" spans="1:8" ht="12.75" customHeight="1">
      <c r="A2173" s="21"/>
      <c r="B2173" s="22" t="s">
        <v>2533</v>
      </c>
      <c r="C2173" s="23"/>
      <c r="D2173" s="24"/>
      <c r="E2173" s="25"/>
      <c r="F2173" s="26"/>
      <c r="G2173" s="27">
        <f>SUM(G2174:G2175)</f>
        <v>0</v>
      </c>
      <c r="H2173" s="44">
        <f>G2173*E2158</f>
        <v>0</v>
      </c>
    </row>
    <row r="2174" spans="1:8" ht="12.75" customHeight="1">
      <c r="A2174" s="28"/>
      <c r="B2174" s="29"/>
      <c r="C2174" s="30" t="str">
        <f>IFERROR(_xlfn.XLOOKUP(B2174,Transporte[DESCRIPCION],Transporte[UND],,0),"")</f>
        <v/>
      </c>
      <c r="D2174" s="31"/>
      <c r="E2174" s="32" t="str">
        <f>IFERROR(_xlfn.XLOOKUP($B2174,Transporte[DESCRIPCION],Transporte[VALOR],,0),"")</f>
        <v/>
      </c>
      <c r="F2174" s="33"/>
      <c r="G2174" s="34" t="str">
        <f>IFERROR(IF(F2174&gt;=0,D2174*E2174*(1+F2174/100),ABS(D2174*E2174/F2174)),"")</f>
        <v/>
      </c>
      <c r="H2174" s="43" t="str">
        <f>IFERROR(G2174*E2158,"")</f>
        <v/>
      </c>
    </row>
    <row r="2175" spans="1:8" ht="12.75" customHeight="1">
      <c r="A2175" s="28"/>
      <c r="B2175" s="29"/>
      <c r="C2175" s="30" t="str">
        <f>IFERROR(_xlfn.XLOOKUP(B2175,Transporte[DESCRIPCION],Transporte[UND],,0),"")</f>
        <v/>
      </c>
      <c r="D2175" s="31"/>
      <c r="E2175" s="32" t="str">
        <f>IFERROR(_xlfn.XLOOKUP($B2175,Transporte[DESCRIPCION],Transporte[VALOR],,0),"")</f>
        <v/>
      </c>
      <c r="F2175" s="33"/>
      <c r="G2175" s="34" t="str">
        <f>IFERROR(IF(F2175&gt;=0,D2175*E2175*(1+F2175/100),ABS(D2175*E2175/F2175)),"")</f>
        <v/>
      </c>
      <c r="H2175" s="43" t="str">
        <f>IFERROR(G2175*E2158,"")</f>
        <v/>
      </c>
    </row>
    <row r="2176" spans="1:8" ht="12.75" customHeight="1">
      <c r="A2176" s="21"/>
      <c r="B2176" s="22" t="s">
        <v>3732</v>
      </c>
      <c r="C2176" s="23"/>
      <c r="D2176" s="24"/>
      <c r="E2176" s="25"/>
      <c r="F2176" s="26"/>
      <c r="G2176" s="27">
        <f>SUM(G2177:G2179)</f>
        <v>33185.690372250006</v>
      </c>
      <c r="H2176" s="44">
        <f>G2176*E2158</f>
        <v>0</v>
      </c>
    </row>
    <row r="2177" spans="1:11" ht="12.75" customHeight="1">
      <c r="A2177" s="28"/>
      <c r="B2177" s="29" t="s">
        <v>3713</v>
      </c>
      <c r="C2177" s="30" t="str">
        <f>IFERROR(_xlfn.XLOOKUP(B2177,MObra[DESCRIPCION],MObra[UN],,0),"")</f>
        <v>día</v>
      </c>
      <c r="D2177" s="31">
        <v>1</v>
      </c>
      <c r="E2177" s="32">
        <f>IFERROR(_xlfn.XLOOKUP($B2177,MObra[DESCRIPCION],MObra[VALOR UNIT],,0),"")</f>
        <v>663713.80744500016</v>
      </c>
      <c r="F2177" s="33">
        <v>-20</v>
      </c>
      <c r="G2177" s="34">
        <f>IFERROR(IF(F2177&gt;=0,D2177*E2177*(1+F2177/100),ABS(D2177*E2177/F2177)),"")</f>
        <v>33185.690372250006</v>
      </c>
      <c r="H2177" s="43">
        <f>IFERROR(G2177*E2158,"")</f>
        <v>0</v>
      </c>
    </row>
    <row r="2178" spans="1:11" ht="12.75" customHeight="1">
      <c r="A2178" s="28"/>
      <c r="B2178" s="29"/>
      <c r="C2178" s="30" t="str">
        <f t="array" ref="C2178">IFERROR(_xlfn.XLOOKUP(B2178,MObra[[#All],[DESCRIPCION]],MObra[[#All],[UN]],,0),"")</f>
        <v/>
      </c>
      <c r="D2178" s="31"/>
      <c r="E2178" s="32" t="str">
        <f>IFERROR(_xlfn.XLOOKUP($B2178,MObra[DESCRIPCION],MObra[VALOR UNIT],,0),"")</f>
        <v/>
      </c>
      <c r="F2178" s="33"/>
      <c r="G2178" s="34" t="str">
        <f>IFERROR(IF(F2178&gt;=0,D2178*E2178*(1+F2178/100),ABS(D2178*E2178/F2178)),"")</f>
        <v/>
      </c>
      <c r="H2178" s="43" t="str">
        <f>IFERROR(G2178*E2158,"")</f>
        <v/>
      </c>
    </row>
    <row r="2179" spans="1:11" ht="12.75" customHeight="1" thickBot="1">
      <c r="A2179" s="35"/>
      <c r="B2179" s="36"/>
      <c r="C2179" s="37" t="str">
        <f t="array" ref="C2179">IFERROR(_xlfn.XLOOKUP(B2179,MObra[[#All],[DESCRIPCION]],MObra[[#All],[UN]],,0),"")</f>
        <v/>
      </c>
      <c r="D2179" s="38"/>
      <c r="E2179" s="39" t="str">
        <f>IFERROR(_xlfn.XLOOKUP($B2179,MObra[DESCRIPCION],MObra[VALOR UNIT],,0),"")</f>
        <v/>
      </c>
      <c r="F2179" s="40"/>
      <c r="G2179" s="41" t="str">
        <f>IFERROR(IF(F2179&gt;=0,D2179*E2179*(1+F2179/100),ABS(D2179*E2179/F2179)),"")</f>
        <v/>
      </c>
      <c r="H2179" s="42" t="str">
        <f>IFERROR(G2179*E2158,"")</f>
        <v/>
      </c>
    </row>
    <row r="2180" spans="1:11" ht="12.75" customHeight="1" thickTop="1" thickBot="1"/>
    <row r="2181" spans="1:11" ht="12.75" customHeight="1" thickTop="1" thickBot="1">
      <c r="A2181" s="6" t="s">
        <v>521</v>
      </c>
      <c r="B2181" s="7" t="str">
        <f>VLOOKUP($A2181,Presupuesto!$A:$D,2,FALSE())</f>
        <v>Rampa maciza concreto 20.7 Mpa E=0.15M premezclado</v>
      </c>
      <c r="C2181" s="8" t="str">
        <f>VLOOKUP($A2181,Presupuesto!$A:$D,3,FALSE())</f>
        <v>M2</v>
      </c>
      <c r="D2181" s="9"/>
      <c r="E2181" s="10">
        <f>VLOOKUP($A2181,Presupuesto!$A:$D,4,FALSE())</f>
        <v>0</v>
      </c>
      <c r="F2181" s="11" t="s">
        <v>2589</v>
      </c>
      <c r="G2181" s="12">
        <f>SUM(G2183:G2202)/2</f>
        <v>232552.83253422644</v>
      </c>
      <c r="H2181" s="13">
        <f>ROUND(SUM(H2183:H2202),0)/2</f>
        <v>0</v>
      </c>
      <c r="I2181" s="10">
        <f>VLOOKUP(A2181,Presupuesto!$A:$F,6,0)</f>
        <v>0</v>
      </c>
      <c r="J2181" s="10">
        <f>+H2181-I2181</f>
        <v>0</v>
      </c>
      <c r="K2181" s="46">
        <f>+H2181-G2181*E2181</f>
        <v>0</v>
      </c>
    </row>
    <row r="2182" spans="1:11" ht="12.75" customHeight="1" thickTop="1">
      <c r="A2182" s="14"/>
      <c r="B2182" s="15" t="s">
        <v>2586</v>
      </c>
      <c r="C2182" s="15" t="s">
        <v>5</v>
      </c>
      <c r="D2182" s="16" t="s">
        <v>6</v>
      </c>
      <c r="E2182" s="17" t="s">
        <v>7</v>
      </c>
      <c r="F2182" s="18" t="s">
        <v>3728</v>
      </c>
      <c r="G2182" s="19" t="s">
        <v>3729</v>
      </c>
      <c r="H2182" s="20" t="s">
        <v>3797</v>
      </c>
    </row>
    <row r="2183" spans="1:11" ht="12.75" customHeight="1">
      <c r="A2183" s="21"/>
      <c r="B2183" s="22" t="s">
        <v>3730</v>
      </c>
      <c r="C2183" s="23"/>
      <c r="D2183" s="24"/>
      <c r="E2183" s="25"/>
      <c r="F2183" s="26"/>
      <c r="G2183" s="27">
        <f>SUM(G2184:G2188)</f>
        <v>159908.69474231452</v>
      </c>
      <c r="H2183" s="27">
        <f>IFERROR(G2183*E2181,"")</f>
        <v>0</v>
      </c>
    </row>
    <row r="2184" spans="1:11" ht="12.75" customHeight="1">
      <c r="A2184" s="28"/>
      <c r="B2184" s="29" t="s">
        <v>2868</v>
      </c>
      <c r="C2184" s="30" t="str">
        <f>IFERROR(_xlfn.XLOOKUP(B2184,Insumo[DESCRIPCION],Insumo[UND],,0),"")</f>
        <v>M3</v>
      </c>
      <c r="D2184" s="31">
        <v>0.15</v>
      </c>
      <c r="E2184" s="32">
        <f>IFERROR(_xlfn.XLOOKUP($B2184,Insumo[DESCRIPCION],Insumo[VALOR],,0),"")</f>
        <v>718719.75</v>
      </c>
      <c r="F2184" s="33">
        <v>5</v>
      </c>
      <c r="G2184" s="34">
        <f>IFERROR(IF(F2184&gt;=0,D2184*E2184*(1+F2184/100),ABS(D2184*E2184/F2184)),"")</f>
        <v>113198.360625</v>
      </c>
      <c r="H2184" s="43">
        <f>IFERROR(G2184*E2181,"")</f>
        <v>0</v>
      </c>
    </row>
    <row r="2185" spans="1:11" ht="12.75" customHeight="1">
      <c r="A2185" s="28"/>
      <c r="B2185" s="29" t="s">
        <v>2954</v>
      </c>
      <c r="C2185" s="30" t="str">
        <f>IFERROR(_xlfn.XLOOKUP(B2185,Insumo[DESCRIPCION],Insumo[UND],,0),"")</f>
        <v>M2</v>
      </c>
      <c r="D2185" s="31">
        <v>0.45</v>
      </c>
      <c r="E2185" s="32">
        <f>IFERROR(_xlfn.XLOOKUP($B2185,Insumo[DESCRIPCION],Insumo[VALOR],,0),"")</f>
        <v>102154.92581625449</v>
      </c>
      <c r="F2185" s="33"/>
      <c r="G2185" s="34">
        <f>IFERROR(IF(F2185&gt;=0,D2185*E2185*(1+F2185/100),ABS(D2185*E2185/F2185)),"")</f>
        <v>45969.716617314523</v>
      </c>
      <c r="H2185" s="43">
        <f>IFERROR(G2185*E2181,"")</f>
        <v>0</v>
      </c>
    </row>
    <row r="2186" spans="1:11" ht="12.75" customHeight="1">
      <c r="A2186" s="28"/>
      <c r="B2186" s="29" t="s">
        <v>2709</v>
      </c>
      <c r="C2186" s="30" t="str">
        <f>IFERROR(_xlfn.XLOOKUP(B2186,Insumo[DESCRIPCION],Insumo[UND],,0),"")</f>
        <v>Kg</v>
      </c>
      <c r="D2186" s="31">
        <v>0.05</v>
      </c>
      <c r="E2186" s="32">
        <f>IFERROR(_xlfn.XLOOKUP($B2186,Insumo[DESCRIPCION],Insumo[VALOR],,0),"")</f>
        <v>14812.35</v>
      </c>
      <c r="F2186" s="33"/>
      <c r="G2186" s="34">
        <f>IFERROR(IF(F2186&gt;=0,D2186*E2186*(1+F2186/100),ABS(D2186*E2186/F2186)),"")</f>
        <v>740.61750000000006</v>
      </c>
      <c r="H2186" s="43">
        <f>IFERROR(G2186*E2181,"")</f>
        <v>0</v>
      </c>
    </row>
    <row r="2187" spans="1:11" ht="12.75" customHeight="1">
      <c r="A2187" s="28"/>
      <c r="B2187" s="29"/>
      <c r="C2187" s="30" t="str">
        <f>IFERROR(_xlfn.XLOOKUP(B2187,Insumo[DESCRIPCION],Insumo[UND],,0),"")</f>
        <v/>
      </c>
      <c r="D2187" s="31"/>
      <c r="E2187" s="32" t="str">
        <f>IFERROR(_xlfn.XLOOKUP($B2187,Insumo[DESCRIPCION],Insumo[VALOR],,0),"")</f>
        <v/>
      </c>
      <c r="F2187" s="33"/>
      <c r="G2187" s="34" t="str">
        <f>IFERROR(IF(F2187&gt;=0,D2187*E2187*(1+F2187/100),ABS(D2187*E2187/F2187)),"")</f>
        <v/>
      </c>
      <c r="H2187" s="43" t="str">
        <f>IFERROR(G2187*E2181,"")</f>
        <v/>
      </c>
    </row>
    <row r="2188" spans="1:11" ht="12.75" customHeight="1">
      <c r="A2188" s="28"/>
      <c r="B2188" s="29"/>
      <c r="C2188" s="30" t="str">
        <f>IFERROR(_xlfn.XLOOKUP(B2188,Insumo[DESCRIPCION],Insumo[UND],,0),"")</f>
        <v/>
      </c>
      <c r="D2188" s="31"/>
      <c r="E2188" s="32" t="str">
        <f>IFERROR(_xlfn.XLOOKUP($B2188,Insumo[DESCRIPCION],Insumo[VALOR],,0),"")</f>
        <v/>
      </c>
      <c r="F2188" s="33"/>
      <c r="G2188" s="34" t="str">
        <f>IFERROR(IF(F2188&gt;=0,D2188*E2188*(1+F2188/100),ABS(D2188*E2188/F2188)),"")</f>
        <v/>
      </c>
      <c r="H2188" s="43" t="str">
        <f>IFERROR(G2188*E2181,"")</f>
        <v/>
      </c>
    </row>
    <row r="2189" spans="1:11" ht="12.75" customHeight="1">
      <c r="A2189" s="21"/>
      <c r="B2189" s="22" t="s">
        <v>3731</v>
      </c>
      <c r="C2189" s="23"/>
      <c r="D2189" s="24"/>
      <c r="E2189" s="25"/>
      <c r="F2189" s="26"/>
      <c r="G2189" s="27">
        <f>SUM(G2190:G2195)</f>
        <v>39458.447419661978</v>
      </c>
      <c r="H2189" s="44">
        <f>G2189*E2181</f>
        <v>0</v>
      </c>
    </row>
    <row r="2190" spans="1:11" ht="12.75" customHeight="1">
      <c r="A2190" s="28"/>
      <c r="B2190" s="29" t="s">
        <v>3657</v>
      </c>
      <c r="C2190" s="30" t="str">
        <f>IFERROR(_xlfn.XLOOKUP(B2190,Equipo[DESCRIPCION],Equipo[UND],,0),"")</f>
        <v>Día</v>
      </c>
      <c r="D2190" s="31">
        <v>1</v>
      </c>
      <c r="E2190" s="32">
        <f>IF(C2190="%MO",G2199,IFERROR(_xlfn.XLOOKUP($B2190,Equipo[DESCRIPCION],Equipo[VALOR],,0),""))</f>
        <v>56524.65</v>
      </c>
      <c r="F2190" s="33">
        <v>-10</v>
      </c>
      <c r="G2190" s="34">
        <f t="shared" ref="G2190:G2195" si="17">IFERROR(IF(F2190&gt;=0,D2190*E2190*(1+F2190/100),ABS(D2190*E2190/F2190)),"")</f>
        <v>5652.4650000000001</v>
      </c>
      <c r="H2190" s="43">
        <f>IFERROR(G2190*E2181,"")</f>
        <v>0</v>
      </c>
    </row>
    <row r="2191" spans="1:11" ht="12.75" customHeight="1">
      <c r="A2191" s="28"/>
      <c r="B2191" s="29" t="s">
        <v>3652</v>
      </c>
      <c r="C2191" s="30" t="str">
        <f>IFERROR(_xlfn.XLOOKUP(B2191,Equipo[DESCRIPCION],Equipo[UND],,0),"")</f>
        <v>Día</v>
      </c>
      <c r="D2191" s="31">
        <v>1</v>
      </c>
      <c r="E2191" s="32">
        <f>IF(C2191="%MO",G2200,IFERROR(_xlfn.XLOOKUP($B2191,Equipo[DESCRIPCION],Equipo[VALOR],,0),""))</f>
        <v>635.25</v>
      </c>
      <c r="F2191" s="33">
        <v>-0.1</v>
      </c>
      <c r="G2191" s="34">
        <f t="shared" si="17"/>
        <v>6352.5</v>
      </c>
      <c r="H2191" s="43">
        <f>IFERROR(G2191*E2181,"")</f>
        <v>0</v>
      </c>
    </row>
    <row r="2192" spans="1:11" ht="12.75" customHeight="1">
      <c r="A2192" s="28"/>
      <c r="B2192" s="29" t="s">
        <v>3591</v>
      </c>
      <c r="C2192" s="30" t="str">
        <f>IFERROR(_xlfn.XLOOKUP(B2192,Equipo[DESCRIPCION],Equipo[UND],,0),"")</f>
        <v>Día</v>
      </c>
      <c r="D2192" s="31">
        <v>1</v>
      </c>
      <c r="E2192" s="32">
        <f>IF(C2192="%MO",G2201,IFERROR(_xlfn.XLOOKUP($B2192,Equipo[DESCRIPCION],Equipo[VALOR],,0),""))</f>
        <v>635.25</v>
      </c>
      <c r="F2192" s="33">
        <v>-0.1</v>
      </c>
      <c r="G2192" s="34">
        <f t="shared" si="17"/>
        <v>6352.5</v>
      </c>
      <c r="H2192" s="43">
        <f>IFERROR(G2192*E2181,"")</f>
        <v>0</v>
      </c>
    </row>
    <row r="2193" spans="1:11" ht="12.75" customHeight="1">
      <c r="A2193" s="28"/>
      <c r="B2193" s="29" t="s">
        <v>3651</v>
      </c>
      <c r="C2193" s="30" t="str">
        <f>IFERROR(_xlfn.XLOOKUP(B2193,Equipo[DESCRIPCION],Equipo[UND],,0),"")</f>
        <v>Día</v>
      </c>
      <c r="D2193" s="31">
        <v>1</v>
      </c>
      <c r="E2193" s="32">
        <f>IF(C2193="%MO",G2202,IFERROR(_xlfn.XLOOKUP($B2193,Equipo[DESCRIPCION],Equipo[VALOR],,0),""))</f>
        <v>981.75</v>
      </c>
      <c r="F2193" s="33">
        <v>-0.14000000000000001</v>
      </c>
      <c r="G2193" s="34">
        <f t="shared" si="17"/>
        <v>7012.4999999999991</v>
      </c>
      <c r="H2193" s="43">
        <f>IFERROR(G2193*E2181,"")</f>
        <v>0</v>
      </c>
    </row>
    <row r="2194" spans="1:11" ht="12.75" customHeight="1">
      <c r="A2194" s="28"/>
      <c r="B2194" s="29" t="s">
        <v>3580</v>
      </c>
      <c r="C2194" s="30" t="str">
        <f>IFERROR(_xlfn.XLOOKUP(B2194,Equipo[DESCRIPCION],Equipo[UND],,0),"")</f>
        <v>M3</v>
      </c>
      <c r="D2194" s="31">
        <v>1</v>
      </c>
      <c r="E2194" s="32">
        <f>IF(C2194="%MO",G2203,IFERROR(_xlfn.XLOOKUP($B2194,Equipo[DESCRIPCION],Equipo[VALOR],,0),""))</f>
        <v>82902.75</v>
      </c>
      <c r="F2194" s="33">
        <v>-6.67</v>
      </c>
      <c r="G2194" s="34">
        <f t="shared" si="17"/>
        <v>12429.197901049476</v>
      </c>
      <c r="H2194" s="43">
        <f>IFERROR(G2194*E2181,"")</f>
        <v>0</v>
      </c>
    </row>
    <row r="2195" spans="1:11" ht="12.75" customHeight="1">
      <c r="A2195" s="28"/>
      <c r="B2195" s="29" t="s">
        <v>3626</v>
      </c>
      <c r="C2195" s="30" t="str">
        <f>IFERROR(_xlfn.XLOOKUP(B2195,Equipo[DESCRIPCION],Equipo[UND],,0),"")</f>
        <v>%MO</v>
      </c>
      <c r="D2195" s="31">
        <v>0.05</v>
      </c>
      <c r="E2195" s="32">
        <f>IF(C2195="%MO",G2199,IFERROR(_xlfn.XLOOKUP($B2195,Equipo[DESCRIPCION],Equipo[VALOR],,0),""))</f>
        <v>33185.690372250006</v>
      </c>
      <c r="F2195" s="33"/>
      <c r="G2195" s="34">
        <f t="shared" si="17"/>
        <v>1659.2845186125005</v>
      </c>
      <c r="H2195" s="43">
        <f>IFERROR(G2195*E2181,"")</f>
        <v>0</v>
      </c>
    </row>
    <row r="2196" spans="1:11" ht="12.75" customHeight="1">
      <c r="A2196" s="21"/>
      <c r="B2196" s="22" t="s">
        <v>2533</v>
      </c>
      <c r="C2196" s="23"/>
      <c r="D2196" s="24"/>
      <c r="E2196" s="25"/>
      <c r="F2196" s="26"/>
      <c r="G2196" s="27">
        <f>SUM(G2197:G2198)</f>
        <v>0</v>
      </c>
      <c r="H2196" s="44">
        <f>G2196*E2181</f>
        <v>0</v>
      </c>
    </row>
    <row r="2197" spans="1:11" ht="12.75" customHeight="1">
      <c r="A2197" s="28"/>
      <c r="B2197" s="29"/>
      <c r="C2197" s="30" t="str">
        <f>IFERROR(_xlfn.XLOOKUP(B2197,Transporte[DESCRIPCION],Transporte[UND],,0),"")</f>
        <v/>
      </c>
      <c r="D2197" s="31"/>
      <c r="E2197" s="32" t="str">
        <f>IFERROR(_xlfn.XLOOKUP($B2197,Transporte[DESCRIPCION],Transporte[VALOR],,0),"")</f>
        <v/>
      </c>
      <c r="F2197" s="33"/>
      <c r="G2197" s="34" t="str">
        <f>IFERROR(IF(F2197&gt;=0,D2197*E2197*(1+F2197/100),ABS(D2197*E2197/F2197)),"")</f>
        <v/>
      </c>
      <c r="H2197" s="43" t="str">
        <f>IFERROR(G2197*E2181,"")</f>
        <v/>
      </c>
    </row>
    <row r="2198" spans="1:11" ht="12.75" customHeight="1">
      <c r="A2198" s="28"/>
      <c r="B2198" s="29"/>
      <c r="C2198" s="30" t="str">
        <f>IFERROR(_xlfn.XLOOKUP(B2198,Transporte[DESCRIPCION],Transporte[UND],,0),"")</f>
        <v/>
      </c>
      <c r="D2198" s="31"/>
      <c r="E2198" s="32" t="str">
        <f>IFERROR(_xlfn.XLOOKUP($B2198,Transporte[DESCRIPCION],Transporte[VALOR],,0),"")</f>
        <v/>
      </c>
      <c r="F2198" s="33"/>
      <c r="G2198" s="34" t="str">
        <f>IFERROR(IF(F2198&gt;=0,D2198*E2198*(1+F2198/100),ABS(D2198*E2198/F2198)),"")</f>
        <v/>
      </c>
      <c r="H2198" s="43" t="str">
        <f>IFERROR(G2198*E2181,"")</f>
        <v/>
      </c>
    </row>
    <row r="2199" spans="1:11" ht="12.75" customHeight="1">
      <c r="A2199" s="21"/>
      <c r="B2199" s="22" t="s">
        <v>3732</v>
      </c>
      <c r="C2199" s="23"/>
      <c r="D2199" s="24"/>
      <c r="E2199" s="25"/>
      <c r="F2199" s="26"/>
      <c r="G2199" s="27">
        <f>SUM(G2200:G2202)</f>
        <v>33185.690372250006</v>
      </c>
      <c r="H2199" s="44">
        <f>G2199*E2181</f>
        <v>0</v>
      </c>
    </row>
    <row r="2200" spans="1:11" ht="12.75" customHeight="1">
      <c r="A2200" s="28"/>
      <c r="B2200" s="29" t="s">
        <v>3713</v>
      </c>
      <c r="C2200" s="30" t="str">
        <f>IFERROR(_xlfn.XLOOKUP(B2200,MObra[DESCRIPCION],MObra[UN],,0),"")</f>
        <v>día</v>
      </c>
      <c r="D2200" s="31">
        <v>1</v>
      </c>
      <c r="E2200" s="32">
        <f>IFERROR(_xlfn.XLOOKUP($B2200,MObra[DESCRIPCION],MObra[VALOR UNIT],,0),"")</f>
        <v>663713.80744500016</v>
      </c>
      <c r="F2200" s="33">
        <v>-20</v>
      </c>
      <c r="G2200" s="34">
        <f>IFERROR(IF(F2200&gt;=0,D2200*E2200*(1+F2200/100),ABS(D2200*E2200/F2200)),"")</f>
        <v>33185.690372250006</v>
      </c>
      <c r="H2200" s="43">
        <f>IFERROR(G2200*E2181,"")</f>
        <v>0</v>
      </c>
    </row>
    <row r="2201" spans="1:11" ht="12.75" customHeight="1">
      <c r="A2201" s="28"/>
      <c r="B2201" s="29"/>
      <c r="C2201" s="30" t="str">
        <f t="array" ref="C2201">IFERROR(_xlfn.XLOOKUP(B2201,MObra[[#All],[DESCRIPCION]],MObra[[#All],[UN]],,0),"")</f>
        <v/>
      </c>
      <c r="D2201" s="31"/>
      <c r="E2201" s="32" t="str">
        <f>IFERROR(_xlfn.XLOOKUP($B2201,MObra[DESCRIPCION],MObra[VALOR UNIT],,0),"")</f>
        <v/>
      </c>
      <c r="F2201" s="33"/>
      <c r="G2201" s="34" t="str">
        <f>IFERROR(IF(F2201&gt;=0,D2201*E2201*(1+F2201/100),ABS(D2201*E2201/F2201)),"")</f>
        <v/>
      </c>
      <c r="H2201" s="43" t="str">
        <f>IFERROR(G2201*E2181,"")</f>
        <v/>
      </c>
    </row>
    <row r="2202" spans="1:11" ht="12.75" customHeight="1" thickBot="1">
      <c r="A2202" s="35"/>
      <c r="B2202" s="36"/>
      <c r="C2202" s="37" t="str">
        <f t="array" ref="C2202">IFERROR(_xlfn.XLOOKUP(B2202,MObra[[#All],[DESCRIPCION]],MObra[[#All],[UN]],,0),"")</f>
        <v/>
      </c>
      <c r="D2202" s="38"/>
      <c r="E2202" s="39" t="str">
        <f>IFERROR(_xlfn.XLOOKUP($B2202,MObra[DESCRIPCION],MObra[VALOR UNIT],,0),"")</f>
        <v/>
      </c>
      <c r="F2202" s="40"/>
      <c r="G2202" s="41" t="str">
        <f>IFERROR(IF(F2202&gt;=0,D2202*E2202*(1+F2202/100),ABS(D2202*E2202/F2202)),"")</f>
        <v/>
      </c>
      <c r="H2202" s="42" t="str">
        <f>IFERROR(G2202*E2181,"")</f>
        <v/>
      </c>
    </row>
    <row r="2203" spans="1:11" ht="12.75" customHeight="1" thickTop="1" thickBot="1"/>
    <row r="2204" spans="1:11" ht="12.75" customHeight="1" thickTop="1" thickBot="1">
      <c r="A2204" s="6" t="s">
        <v>523</v>
      </c>
      <c r="B2204" s="7" t="str">
        <f>VLOOKUP($A2204,Presupuesto!$A:$D,2,FALSE())</f>
        <v>Rampa maciza concreto 20.7 Mpa E=0.15M Steeldeck lámina 2"</v>
      </c>
      <c r="C2204" s="8" t="str">
        <f>VLOOKUP($A2204,Presupuesto!$A:$D,3,FALSE())</f>
        <v>M2</v>
      </c>
      <c r="D2204" s="9"/>
      <c r="E2204" s="10">
        <f>VLOOKUP($A2204,Presupuesto!$A:$D,4,FALSE())</f>
        <v>0</v>
      </c>
      <c r="F2204" s="11" t="s">
        <v>2589</v>
      </c>
      <c r="G2204" s="12">
        <f>SUM(G2206:G2225)/2</f>
        <v>282249.0872182906</v>
      </c>
      <c r="H2204" s="13">
        <f>ROUND(SUM(H2206:H2225),0)/2</f>
        <v>0</v>
      </c>
      <c r="I2204" s="10">
        <f>VLOOKUP(A2204,Presupuesto!$A:$F,6,0)</f>
        <v>0</v>
      </c>
      <c r="J2204" s="10">
        <f>+H2204-I2204</f>
        <v>0</v>
      </c>
      <c r="K2204" s="46">
        <f>+H2204-G2204*E2204</f>
        <v>0</v>
      </c>
    </row>
    <row r="2205" spans="1:11" ht="12.75" customHeight="1" thickTop="1">
      <c r="A2205" s="14"/>
      <c r="B2205" s="15" t="s">
        <v>2586</v>
      </c>
      <c r="C2205" s="15" t="s">
        <v>5</v>
      </c>
      <c r="D2205" s="16" t="s">
        <v>6</v>
      </c>
      <c r="E2205" s="17" t="s">
        <v>7</v>
      </c>
      <c r="F2205" s="18" t="s">
        <v>3728</v>
      </c>
      <c r="G2205" s="19" t="s">
        <v>3729</v>
      </c>
      <c r="H2205" s="20" t="s">
        <v>3797</v>
      </c>
    </row>
    <row r="2206" spans="1:11" ht="12.75" customHeight="1">
      <c r="A2206" s="21"/>
      <c r="B2206" s="22" t="s">
        <v>3730</v>
      </c>
      <c r="C2206" s="23"/>
      <c r="D2206" s="24"/>
      <c r="E2206" s="25"/>
      <c r="F2206" s="26"/>
      <c r="G2206" s="27">
        <f>SUM(G2207:G2211)</f>
        <v>191416.04906685307</v>
      </c>
      <c r="H2206" s="27">
        <f>IFERROR(G2206*E2204,"")</f>
        <v>0</v>
      </c>
    </row>
    <row r="2207" spans="1:11" ht="12.75" customHeight="1">
      <c r="A2207" s="28"/>
      <c r="B2207" s="29" t="s">
        <v>3239</v>
      </c>
      <c r="C2207" s="30" t="str">
        <f>IFERROR(_xlfn.XLOOKUP(B2207,Insumo[DESCRIPCION],Insumo[UND],,0),"")</f>
        <v>M3</v>
      </c>
      <c r="D2207" s="31">
        <v>0.15</v>
      </c>
      <c r="E2207" s="32">
        <f>IFERROR(_xlfn.XLOOKUP($B2207,Insumo[DESCRIPCION],Insumo[VALOR],,0),"")</f>
        <v>521159.50227762427</v>
      </c>
      <c r="F2207" s="33">
        <v>5</v>
      </c>
      <c r="G2207" s="34">
        <f>IFERROR(IF(F2207&gt;=0,D2207*E2207*(1+F2207/100),ABS(D2207*E2207/F2207)),"")</f>
        <v>82082.621608725822</v>
      </c>
      <c r="H2207" s="43">
        <f>IFERROR(G2207*E2204,"")</f>
        <v>0</v>
      </c>
    </row>
    <row r="2208" spans="1:11" ht="12.75" customHeight="1">
      <c r="A2208" s="28"/>
      <c r="B2208" s="29" t="s">
        <v>2957</v>
      </c>
      <c r="C2208" s="30" t="str">
        <f>IFERROR(_xlfn.XLOOKUP(B2208,Insumo[DESCRIPCION],Insumo[UND],,0),"")</f>
        <v>M2</v>
      </c>
      <c r="D2208" s="31">
        <v>0.3</v>
      </c>
      <c r="E2208" s="32">
        <f>IFERROR(_xlfn.XLOOKUP($B2208,Insumo[DESCRIPCION],Insumo[VALOR],,0),"")</f>
        <v>149544.7581937575</v>
      </c>
      <c r="F2208" s="33"/>
      <c r="G2208" s="34">
        <f>IFERROR(IF(F2208&gt;=0,D2208*E2208*(1+F2208/100),ABS(D2208*E2208/F2208)),"")</f>
        <v>44863.427458127248</v>
      </c>
      <c r="H2208" s="43">
        <f>IFERROR(G2208*E2204,"")</f>
        <v>0</v>
      </c>
    </row>
    <row r="2209" spans="1:8" ht="12.75" customHeight="1">
      <c r="A2209" s="28"/>
      <c r="B2209" s="29" t="s">
        <v>2709</v>
      </c>
      <c r="C2209" s="30" t="str">
        <f>IFERROR(_xlfn.XLOOKUP(B2209,Insumo[DESCRIPCION],Insumo[UND],,0),"")</f>
        <v>Kg</v>
      </c>
      <c r="D2209" s="31">
        <v>0.5</v>
      </c>
      <c r="E2209" s="32">
        <f>IFERROR(_xlfn.XLOOKUP($B2209,Insumo[DESCRIPCION],Insumo[VALOR],,0),"")</f>
        <v>14812.35</v>
      </c>
      <c r="F2209" s="33"/>
      <c r="G2209" s="34">
        <f>IFERROR(IF(F2209&gt;=0,D2209*E2209*(1+F2209/100),ABS(D2209*E2209/F2209)),"")</f>
        <v>7406.1750000000002</v>
      </c>
      <c r="H2209" s="43">
        <f>IFERROR(G2209*E2204,"")</f>
        <v>0</v>
      </c>
    </row>
    <row r="2210" spans="1:8" ht="12.75" customHeight="1">
      <c r="A2210" s="28"/>
      <c r="B2210" s="29" t="s">
        <v>3034</v>
      </c>
      <c r="C2210" s="30" t="str">
        <f>IFERROR(_xlfn.XLOOKUP(B2210,Insumo[DESCRIPCION],Insumo[UND],,0),"")</f>
        <v>M2</v>
      </c>
      <c r="D2210" s="31">
        <v>1</v>
      </c>
      <c r="E2210" s="32">
        <f>IFERROR(_xlfn.XLOOKUP($B2210,Insumo[DESCRIPCION],Insumo[VALOR],,0),"")</f>
        <v>53653.950000000004</v>
      </c>
      <c r="F2210" s="33"/>
      <c r="G2210" s="34">
        <f>IFERROR(IF(F2210&gt;=0,D2210*E2210*(1+F2210/100),ABS(D2210*E2210/F2210)),"")</f>
        <v>53653.950000000004</v>
      </c>
      <c r="H2210" s="43">
        <f>IFERROR(G2210*E2204,"")</f>
        <v>0</v>
      </c>
    </row>
    <row r="2211" spans="1:8" ht="12.75" customHeight="1">
      <c r="A2211" s="28"/>
      <c r="B2211" s="29" t="s">
        <v>2889</v>
      </c>
      <c r="C2211" s="30" t="str">
        <f>IFERROR(_xlfn.XLOOKUP(B2211,Insumo[DESCRIPCION],Insumo[UND],,0),"")</f>
        <v>Un</v>
      </c>
      <c r="D2211" s="31">
        <v>1.5</v>
      </c>
      <c r="E2211" s="32">
        <f>IFERROR(_xlfn.XLOOKUP($B2211,Insumo[DESCRIPCION],Insumo[VALOR],,0),"")</f>
        <v>2273.25</v>
      </c>
      <c r="F2211" s="33"/>
      <c r="G2211" s="34">
        <f>IFERROR(IF(F2211&gt;=0,D2211*E2211*(1+F2211/100),ABS(D2211*E2211/F2211)),"")</f>
        <v>3409.875</v>
      </c>
      <c r="H2211" s="43">
        <f>IFERROR(G2211*E2204,"")</f>
        <v>0</v>
      </c>
    </row>
    <row r="2212" spans="1:8" ht="12.75" customHeight="1">
      <c r="A2212" s="21"/>
      <c r="B2212" s="22" t="s">
        <v>3731</v>
      </c>
      <c r="C2212" s="23"/>
      <c r="D2212" s="24"/>
      <c r="E2212" s="25"/>
      <c r="F2212" s="26"/>
      <c r="G2212" s="27">
        <f>SUM(G2213:G2218)</f>
        <v>35523.554197687503</v>
      </c>
      <c r="H2212" s="44">
        <f>G2212*E2204</f>
        <v>0</v>
      </c>
    </row>
    <row r="2213" spans="1:8" ht="12.75" customHeight="1">
      <c r="A2213" s="28"/>
      <c r="B2213" s="29" t="s">
        <v>3657</v>
      </c>
      <c r="C2213" s="30" t="str">
        <f>IFERROR(_xlfn.XLOOKUP(B2213,Equipo[DESCRIPCION],Equipo[UND],,0),"")</f>
        <v>Día</v>
      </c>
      <c r="D2213" s="31">
        <v>1</v>
      </c>
      <c r="E2213" s="32">
        <f>IF(C2213="%MO",G2222,IFERROR(_xlfn.XLOOKUP($B2213,Equipo[DESCRIPCION],Equipo[VALOR],,0),""))</f>
        <v>56524.65</v>
      </c>
      <c r="F2213" s="33">
        <v>-10</v>
      </c>
      <c r="G2213" s="34">
        <f t="shared" ref="G2213:G2218" si="18">IFERROR(IF(F2213&gt;=0,D2213*E2213*(1+F2213/100),ABS(D2213*E2213/F2213)),"")</f>
        <v>5652.4650000000001</v>
      </c>
      <c r="H2213" s="43">
        <f>IFERROR(G2213*E2204,"")</f>
        <v>0</v>
      </c>
    </row>
    <row r="2214" spans="1:8" ht="12.75" customHeight="1">
      <c r="A2214" s="28"/>
      <c r="B2214" s="29" t="s">
        <v>3652</v>
      </c>
      <c r="C2214" s="30" t="str">
        <f>IFERROR(_xlfn.XLOOKUP(B2214,Equipo[DESCRIPCION],Equipo[UND],,0),"")</f>
        <v>Día</v>
      </c>
      <c r="D2214" s="31">
        <v>1</v>
      </c>
      <c r="E2214" s="32">
        <f>IF(C2214="%MO",G2223,IFERROR(_xlfn.XLOOKUP($B2214,Equipo[DESCRIPCION],Equipo[VALOR],,0),""))</f>
        <v>635.25</v>
      </c>
      <c r="F2214" s="33">
        <v>-0.1</v>
      </c>
      <c r="G2214" s="34">
        <f t="shared" si="18"/>
        <v>6352.5</v>
      </c>
      <c r="H2214" s="43">
        <f>IFERROR(G2214*E2204,"")</f>
        <v>0</v>
      </c>
    </row>
    <row r="2215" spans="1:8" ht="12.75" customHeight="1">
      <c r="A2215" s="28"/>
      <c r="B2215" s="29" t="s">
        <v>3591</v>
      </c>
      <c r="C2215" s="30" t="str">
        <f>IFERROR(_xlfn.XLOOKUP(B2215,Equipo[DESCRIPCION],Equipo[UND],,0),"")</f>
        <v>Día</v>
      </c>
      <c r="D2215" s="31">
        <v>1</v>
      </c>
      <c r="E2215" s="32">
        <f>IF(C2215="%MO",G2224,IFERROR(_xlfn.XLOOKUP($B2215,Equipo[DESCRIPCION],Equipo[VALOR],,0),""))</f>
        <v>635.25</v>
      </c>
      <c r="F2215" s="33">
        <v>-0.1</v>
      </c>
      <c r="G2215" s="34">
        <f t="shared" si="18"/>
        <v>6352.5</v>
      </c>
      <c r="H2215" s="43">
        <f>IFERROR(G2215*E2204,"")</f>
        <v>0</v>
      </c>
    </row>
    <row r="2216" spans="1:8" ht="12.75" customHeight="1">
      <c r="A2216" s="28"/>
      <c r="B2216" s="29" t="s">
        <v>3651</v>
      </c>
      <c r="C2216" s="30" t="str">
        <f>IFERROR(_xlfn.XLOOKUP(B2216,Equipo[DESCRIPCION],Equipo[UND],,0),"")</f>
        <v>Día</v>
      </c>
      <c r="D2216" s="31">
        <v>1</v>
      </c>
      <c r="E2216" s="32">
        <f>IF(C2216="%MO",G2225,IFERROR(_xlfn.XLOOKUP($B2216,Equipo[DESCRIPCION],Equipo[VALOR],,0),""))</f>
        <v>981.75</v>
      </c>
      <c r="F2216" s="33">
        <v>-0.14000000000000001</v>
      </c>
      <c r="G2216" s="34">
        <f t="shared" si="18"/>
        <v>7012.4999999999991</v>
      </c>
      <c r="H2216" s="43">
        <f>IFERROR(G2216*E2204,"")</f>
        <v>0</v>
      </c>
    </row>
    <row r="2217" spans="1:8" ht="12.75" customHeight="1">
      <c r="A2217" s="28"/>
      <c r="B2217" s="29" t="s">
        <v>3640</v>
      </c>
      <c r="C2217" s="30" t="str">
        <f>IFERROR(_xlfn.XLOOKUP(B2217,Equipo[DESCRIPCION],Equipo[UND],,0),"")</f>
        <v>Día</v>
      </c>
      <c r="D2217" s="31">
        <v>1</v>
      </c>
      <c r="E2217" s="32">
        <f>IF(C2217="%MO",G2226,IFERROR(_xlfn.XLOOKUP($B2217,Equipo[DESCRIPCION],Equipo[VALOR],,0),""))</f>
        <v>73881.150000000009</v>
      </c>
      <c r="F2217" s="33">
        <v>-10</v>
      </c>
      <c r="G2217" s="34">
        <f t="shared" si="18"/>
        <v>7388.1150000000007</v>
      </c>
      <c r="H2217" s="43">
        <f>IFERROR(G2217*E2204,"")</f>
        <v>0</v>
      </c>
    </row>
    <row r="2218" spans="1:8" ht="12.75" customHeight="1">
      <c r="A2218" s="28"/>
      <c r="B2218" s="29" t="s">
        <v>3626</v>
      </c>
      <c r="C2218" s="30" t="str">
        <f>IFERROR(_xlfn.XLOOKUP(B2218,Equipo[DESCRIPCION],Equipo[UND],,0),"")</f>
        <v>%MO</v>
      </c>
      <c r="D2218" s="31">
        <v>0.05</v>
      </c>
      <c r="E2218" s="32">
        <f>IF(C2218="%MO",G2222,IFERROR(_xlfn.XLOOKUP($B2218,Equipo[DESCRIPCION],Equipo[VALOR],,0),""))</f>
        <v>55309.483953750016</v>
      </c>
      <c r="F2218" s="33"/>
      <c r="G2218" s="34">
        <f t="shared" si="18"/>
        <v>2765.4741976875011</v>
      </c>
      <c r="H2218" s="43">
        <f>IFERROR(G2218*E2204,"")</f>
        <v>0</v>
      </c>
    </row>
    <row r="2219" spans="1:8" ht="12.75" customHeight="1">
      <c r="A2219" s="21"/>
      <c r="B2219" s="22" t="s">
        <v>2533</v>
      </c>
      <c r="C2219" s="23"/>
      <c r="D2219" s="24"/>
      <c r="E2219" s="25"/>
      <c r="F2219" s="26"/>
      <c r="G2219" s="27">
        <f>SUM(G2220:G2221)</f>
        <v>0</v>
      </c>
      <c r="H2219" s="44">
        <f>G2219*E2204</f>
        <v>0</v>
      </c>
    </row>
    <row r="2220" spans="1:8" ht="12.75" customHeight="1">
      <c r="A2220" s="28"/>
      <c r="B2220" s="29"/>
      <c r="C2220" s="30" t="str">
        <f>IFERROR(_xlfn.XLOOKUP(B2220,Transporte[DESCRIPCION],Transporte[UND],,0),"")</f>
        <v/>
      </c>
      <c r="D2220" s="31"/>
      <c r="E2220" s="32" t="str">
        <f>IFERROR(_xlfn.XLOOKUP($B2220,Transporte[DESCRIPCION],Transporte[VALOR],,0),"")</f>
        <v/>
      </c>
      <c r="F2220" s="33"/>
      <c r="G2220" s="34" t="str">
        <f>IFERROR(IF(F2220&gt;=0,D2220*E2220*(1+F2220/100),ABS(D2220*E2220/F2220)),"")</f>
        <v/>
      </c>
      <c r="H2220" s="43" t="str">
        <f>IFERROR(G2220*E2204,"")</f>
        <v/>
      </c>
    </row>
    <row r="2221" spans="1:8" ht="12.75" customHeight="1">
      <c r="A2221" s="28"/>
      <c r="B2221" s="29"/>
      <c r="C2221" s="30" t="str">
        <f>IFERROR(_xlfn.XLOOKUP(B2221,Transporte[DESCRIPCION],Transporte[UND],,0),"")</f>
        <v/>
      </c>
      <c r="D2221" s="31"/>
      <c r="E2221" s="32" t="str">
        <f>IFERROR(_xlfn.XLOOKUP($B2221,Transporte[DESCRIPCION],Transporte[VALOR],,0),"")</f>
        <v/>
      </c>
      <c r="F2221" s="33"/>
      <c r="G2221" s="34" t="str">
        <f>IFERROR(IF(F2221&gt;=0,D2221*E2221*(1+F2221/100),ABS(D2221*E2221/F2221)),"")</f>
        <v/>
      </c>
      <c r="H2221" s="43" t="str">
        <f>IFERROR(G2221*E2204,"")</f>
        <v/>
      </c>
    </row>
    <row r="2222" spans="1:8" ht="12.75" customHeight="1">
      <c r="A2222" s="21"/>
      <c r="B2222" s="22" t="s">
        <v>3732</v>
      </c>
      <c r="C2222" s="23"/>
      <c r="D2222" s="24"/>
      <c r="E2222" s="25"/>
      <c r="F2222" s="26"/>
      <c r="G2222" s="27">
        <f>SUM(G2223:G2225)</f>
        <v>55309.483953750016</v>
      </c>
      <c r="H2222" s="44">
        <f>G2222*E2204</f>
        <v>0</v>
      </c>
    </row>
    <row r="2223" spans="1:8" ht="12.75" customHeight="1">
      <c r="A2223" s="28"/>
      <c r="B2223" s="29" t="s">
        <v>3713</v>
      </c>
      <c r="C2223" s="30" t="str">
        <f>IFERROR(_xlfn.XLOOKUP(B2223,MObra[DESCRIPCION],MObra[UN],,0),"")</f>
        <v>día</v>
      </c>
      <c r="D2223" s="31">
        <v>1</v>
      </c>
      <c r="E2223" s="32">
        <f>IFERROR(_xlfn.XLOOKUP($B2223,MObra[DESCRIPCION],MObra[VALOR UNIT],,0),"")</f>
        <v>663713.80744500016</v>
      </c>
      <c r="F2223" s="33">
        <v>-12</v>
      </c>
      <c r="G2223" s="34">
        <f>IFERROR(IF(F2223&gt;=0,D2223*E2223*(1+F2223/100),ABS(D2223*E2223/F2223)),"")</f>
        <v>55309.483953750016</v>
      </c>
      <c r="H2223" s="43">
        <f>IFERROR(G2223*E2204,"")</f>
        <v>0</v>
      </c>
    </row>
    <row r="2224" spans="1:8" ht="12.75" customHeight="1">
      <c r="A2224" s="28"/>
      <c r="B2224" s="29"/>
      <c r="C2224" s="30" t="str">
        <f t="array" ref="C2224">IFERROR(_xlfn.XLOOKUP(B2224,MObra[[#All],[DESCRIPCION]],MObra[[#All],[UN]],,0),"")</f>
        <v/>
      </c>
      <c r="D2224" s="31"/>
      <c r="E2224" s="32" t="str">
        <f>IFERROR(_xlfn.XLOOKUP($B2224,MObra[DESCRIPCION],MObra[VALOR UNIT],,0),"")</f>
        <v/>
      </c>
      <c r="F2224" s="33"/>
      <c r="G2224" s="34" t="str">
        <f>IFERROR(IF(F2224&gt;=0,D2224*E2224*(1+F2224/100),ABS(D2224*E2224/F2224)),"")</f>
        <v/>
      </c>
      <c r="H2224" s="43" t="str">
        <f>IFERROR(G2224*E2204,"")</f>
        <v/>
      </c>
    </row>
    <row r="2225" spans="1:11" ht="12.75" customHeight="1" thickBot="1">
      <c r="A2225" s="35"/>
      <c r="B2225" s="36"/>
      <c r="C2225" s="37" t="str">
        <f t="array" ref="C2225">IFERROR(_xlfn.XLOOKUP(B2225,MObra[[#All],[DESCRIPCION]],MObra[[#All],[UN]],,0),"")</f>
        <v/>
      </c>
      <c r="D2225" s="38"/>
      <c r="E2225" s="39" t="str">
        <f>IFERROR(_xlfn.XLOOKUP($B2225,MObra[DESCRIPCION],MObra[VALOR UNIT],,0),"")</f>
        <v/>
      </c>
      <c r="F2225" s="40"/>
      <c r="G2225" s="41" t="str">
        <f>IFERROR(IF(F2225&gt;=0,D2225*E2225*(1+F2225/100),ABS(D2225*E2225/F2225)),"")</f>
        <v/>
      </c>
      <c r="H2225" s="42" t="str">
        <f>IFERROR(G2225*E2204,"")</f>
        <v/>
      </c>
    </row>
    <row r="2226" spans="1:11" ht="12.75" customHeight="1" thickTop="1" thickBot="1"/>
    <row r="2227" spans="1:11" ht="12.75" customHeight="1" thickTop="1" thickBot="1">
      <c r="A2227" s="6" t="s">
        <v>525</v>
      </c>
      <c r="B2227" s="7" t="str">
        <f>VLOOKUP($A2227,Presupuesto!$A:$D,2,FALSE())</f>
        <v>Recalce columna rectangular concreto 24.1 Mpa</v>
      </c>
      <c r="C2227" s="8" t="str">
        <f>VLOOKUP($A2227,Presupuesto!$A:$D,3,FALSE())</f>
        <v>M3</v>
      </c>
      <c r="D2227" s="9"/>
      <c r="E2227" s="10">
        <f>VLOOKUP($A2227,Presupuesto!$A:$D,4,FALSE())</f>
        <v>0</v>
      </c>
      <c r="F2227" s="11" t="s">
        <v>2589</v>
      </c>
      <c r="G2227" s="12">
        <f>SUM(G2229:G2245)/2</f>
        <v>1284453.0509483325</v>
      </c>
      <c r="H2227" s="13">
        <f>ROUND(SUM(H2229:H2245),0)/2</f>
        <v>0</v>
      </c>
      <c r="I2227" s="10">
        <f>VLOOKUP(A2227,Presupuesto!$A:$F,6,0)</f>
        <v>0</v>
      </c>
      <c r="J2227" s="10">
        <f>+H2227-I2227</f>
        <v>0</v>
      </c>
      <c r="K2227" s="46">
        <f>+H2227-G2227*E2227</f>
        <v>0</v>
      </c>
    </row>
    <row r="2228" spans="1:11" ht="12.75" customHeight="1" thickTop="1">
      <c r="A2228" s="14"/>
      <c r="B2228" s="15" t="s">
        <v>2586</v>
      </c>
      <c r="C2228" s="15" t="s">
        <v>5</v>
      </c>
      <c r="D2228" s="16" t="s">
        <v>6</v>
      </c>
      <c r="E2228" s="17" t="s">
        <v>7</v>
      </c>
      <c r="F2228" s="18" t="s">
        <v>3728</v>
      </c>
      <c r="G2228" s="19" t="s">
        <v>3729</v>
      </c>
      <c r="H2228" s="20" t="s">
        <v>3797</v>
      </c>
    </row>
    <row r="2229" spans="1:11" ht="12.75" customHeight="1">
      <c r="A2229" s="21"/>
      <c r="B2229" s="22" t="s">
        <v>3730</v>
      </c>
      <c r="C2229" s="23"/>
      <c r="D2229" s="24"/>
      <c r="E2229" s="25"/>
      <c r="F2229" s="26"/>
      <c r="G2229" s="27">
        <f>SUM(G2230:G2234)</f>
        <v>990211.87193595723</v>
      </c>
      <c r="H2229" s="27">
        <f>IFERROR(G2229*E2227,"")</f>
        <v>0</v>
      </c>
    </row>
    <row r="2230" spans="1:11" ht="12.75" customHeight="1">
      <c r="A2230" s="28"/>
      <c r="B2230" s="29" t="s">
        <v>3240</v>
      </c>
      <c r="C2230" s="30" t="str">
        <f>IFERROR(_xlfn.XLOOKUP(B2230,Insumo[DESCRIPCION],Insumo[UND],,0),"")</f>
        <v>M3</v>
      </c>
      <c r="D2230" s="31">
        <v>1</v>
      </c>
      <c r="E2230" s="32">
        <f>IFERROR(_xlfn.XLOOKUP($B2230,Insumo[DESCRIPCION],Insumo[VALOR],,0),"")</f>
        <v>539790.3034961326</v>
      </c>
      <c r="F2230" s="33">
        <v>5</v>
      </c>
      <c r="G2230" s="34">
        <f>IFERROR(IF(F2230&gt;=0,D2230*E2230*(1+F2230/100),ABS(D2230*E2230/F2230)),"")</f>
        <v>566779.8186709393</v>
      </c>
      <c r="H2230" s="43">
        <f>IFERROR(G2230*E2227,"")</f>
        <v>0</v>
      </c>
    </row>
    <row r="2231" spans="1:11" ht="12.75" customHeight="1">
      <c r="A2231" s="28"/>
      <c r="B2231" s="29" t="s">
        <v>2954</v>
      </c>
      <c r="C2231" s="30" t="str">
        <f>IFERROR(_xlfn.XLOOKUP(B2231,Insumo[DESCRIPCION],Insumo[UND],,0),"")</f>
        <v>M2</v>
      </c>
      <c r="D2231" s="31">
        <v>8</v>
      </c>
      <c r="E2231" s="32">
        <f>IFERROR(_xlfn.XLOOKUP($B2231,Insumo[DESCRIPCION],Insumo[VALOR],,0),"")</f>
        <v>102154.92581625449</v>
      </c>
      <c r="F2231" s="33">
        <v>-2</v>
      </c>
      <c r="G2231" s="34">
        <f>IFERROR(IF(F2231&gt;=0,D2231*E2231*(1+F2231/100),ABS(D2231*E2231/F2231)),"")</f>
        <v>408619.70326501795</v>
      </c>
      <c r="H2231" s="43">
        <f>IFERROR(G2231*E2227,"")</f>
        <v>0</v>
      </c>
    </row>
    <row r="2232" spans="1:11" ht="12.75" customHeight="1">
      <c r="A2232" s="28"/>
      <c r="B2232" s="29" t="s">
        <v>2709</v>
      </c>
      <c r="C2232" s="30" t="str">
        <f>IFERROR(_xlfn.XLOOKUP(B2232,Insumo[DESCRIPCION],Insumo[UND],,0),"")</f>
        <v>Kg</v>
      </c>
      <c r="D2232" s="31">
        <v>1</v>
      </c>
      <c r="E2232" s="32">
        <f>IFERROR(_xlfn.XLOOKUP($B2232,Insumo[DESCRIPCION],Insumo[VALOR],,0),"")</f>
        <v>14812.35</v>
      </c>
      <c r="F2232" s="33"/>
      <c r="G2232" s="34">
        <f>IFERROR(IF(F2232&gt;=0,D2232*E2232*(1+F2232/100),ABS(D2232*E2232/F2232)),"")</f>
        <v>14812.35</v>
      </c>
      <c r="H2232" s="43">
        <f>IFERROR(G2232*E2227,"")</f>
        <v>0</v>
      </c>
    </row>
    <row r="2233" spans="1:11" ht="12.75" customHeight="1">
      <c r="A2233" s="28"/>
      <c r="B2233" s="29"/>
      <c r="C2233" s="30" t="str">
        <f>IFERROR(_xlfn.XLOOKUP(B2233,Insumo[DESCRIPCION],Insumo[UND],,0),"")</f>
        <v/>
      </c>
      <c r="D2233" s="31"/>
      <c r="E2233" s="32" t="str">
        <f>IFERROR(_xlfn.XLOOKUP($B2233,Insumo[DESCRIPCION],Insumo[VALOR],,0),"")</f>
        <v/>
      </c>
      <c r="F2233" s="33"/>
      <c r="G2233" s="34" t="str">
        <f>IFERROR(IF(F2233&gt;=0,D2233*E2233*(1+F2233/100),ABS(D2233*E2233/F2233)),"")</f>
        <v/>
      </c>
      <c r="H2233" s="43" t="str">
        <f>IFERROR(G2233*E2227,"")</f>
        <v/>
      </c>
    </row>
    <row r="2234" spans="1:11" ht="12.75" customHeight="1">
      <c r="A2234" s="28"/>
      <c r="B2234" s="29"/>
      <c r="C2234" s="30" t="str">
        <f>IFERROR(_xlfn.XLOOKUP(B2234,Insumo[DESCRIPCION],Insumo[UND],,0),"")</f>
        <v/>
      </c>
      <c r="D2234" s="31"/>
      <c r="E2234" s="32" t="str">
        <f>IFERROR(_xlfn.XLOOKUP($B2234,Insumo[DESCRIPCION],Insumo[VALOR],,0),"")</f>
        <v/>
      </c>
      <c r="F2234" s="33"/>
      <c r="G2234" s="34" t="str">
        <f>IFERROR(IF(F2234&gt;=0,D2234*E2234*(1+F2234/100),ABS(D2234*E2234/F2234)),"")</f>
        <v/>
      </c>
      <c r="H2234" s="43" t="str">
        <f>IFERROR(G2234*E2227,"")</f>
        <v/>
      </c>
    </row>
    <row r="2235" spans="1:11" ht="12.75" customHeight="1">
      <c r="A2235" s="21"/>
      <c r="B2235" s="22" t="s">
        <v>3731</v>
      </c>
      <c r="C2235" s="23"/>
      <c r="D2235" s="24"/>
      <c r="E2235" s="25"/>
      <c r="F2235" s="26"/>
      <c r="G2235" s="27">
        <f>SUM(G2236:G2238)</f>
        <v>20604.784714875004</v>
      </c>
      <c r="H2235" s="44">
        <f>G2235*E2227</f>
        <v>0</v>
      </c>
    </row>
    <row r="2236" spans="1:11" ht="12.75" customHeight="1">
      <c r="A2236" s="28"/>
      <c r="B2236" s="29" t="s">
        <v>3657</v>
      </c>
      <c r="C2236" s="30" t="str">
        <f>IFERROR(_xlfn.XLOOKUP(B2236,Equipo[DESCRIPCION],Equipo[UND],,0),"")</f>
        <v>Día</v>
      </c>
      <c r="D2236" s="31">
        <v>1</v>
      </c>
      <c r="E2236" s="32">
        <f>IF(C2236="%MO",G2242,IFERROR(_xlfn.XLOOKUP($B2236,Equipo[DESCRIPCION],Equipo[VALOR],,0),""))</f>
        <v>56524.65</v>
      </c>
      <c r="F2236" s="33">
        <v>-10</v>
      </c>
      <c r="G2236" s="34">
        <f>IFERROR(IF(F2236&gt;=0,D2236*E2236*(1+F2236/100),ABS(D2236*E2236/F2236)),"")</f>
        <v>5652.4650000000001</v>
      </c>
      <c r="H2236" s="43">
        <f>IFERROR(G2236*E2227,"")</f>
        <v>0</v>
      </c>
    </row>
    <row r="2237" spans="1:11" ht="12.75" customHeight="1">
      <c r="A2237" s="28"/>
      <c r="B2237" s="29" t="s">
        <v>3652</v>
      </c>
      <c r="C2237" s="30" t="str">
        <f>IFERROR(_xlfn.XLOOKUP(B2237,Equipo[DESCRIPCION],Equipo[UND],,0),"")</f>
        <v>Día</v>
      </c>
      <c r="D2237" s="31">
        <v>1</v>
      </c>
      <c r="E2237" s="32">
        <f>IF(C2237="%MO",G2242,IFERROR(_xlfn.XLOOKUP($B2237,Equipo[DESCRIPCION],Equipo[VALOR],,0),""))</f>
        <v>635.25</v>
      </c>
      <c r="F2237" s="33">
        <v>-0.5</v>
      </c>
      <c r="G2237" s="34">
        <f>IFERROR(IF(F2237&gt;=0,D2237*E2237*(1+F2237/100),ABS(D2237*E2237/F2237)),"")</f>
        <v>1270.5</v>
      </c>
      <c r="H2237" s="43">
        <f>IFERROR(G2237*E2227,"")</f>
        <v>0</v>
      </c>
    </row>
    <row r="2238" spans="1:11" ht="12.75" customHeight="1">
      <c r="A2238" s="28"/>
      <c r="B2238" s="29" t="s">
        <v>3626</v>
      </c>
      <c r="C2238" s="30" t="str">
        <f>IFERROR(_xlfn.XLOOKUP(B2238,Equipo[DESCRIPCION],Equipo[UND],,0),"")</f>
        <v>%MO</v>
      </c>
      <c r="D2238" s="31">
        <v>0.05</v>
      </c>
      <c r="E2238" s="32">
        <f>IF(C2238="%MO",G2242,IFERROR(_xlfn.XLOOKUP($B2238,Equipo[DESCRIPCION],Equipo[VALOR],,0),""))</f>
        <v>273636.39429750008</v>
      </c>
      <c r="F2238" s="33"/>
      <c r="G2238" s="34">
        <f>IFERROR(IF(F2238&gt;=0,D2238*E2238*(1+F2238/100),ABS(D2238*E2238/F2238)),"")</f>
        <v>13681.819714875004</v>
      </c>
      <c r="H2238" s="43">
        <f>IFERROR(G2238*E2227,"")</f>
        <v>0</v>
      </c>
    </row>
    <row r="2239" spans="1:11" ht="12.75" customHeight="1">
      <c r="A2239" s="21"/>
      <c r="B2239" s="22" t="s">
        <v>2533</v>
      </c>
      <c r="C2239" s="23"/>
      <c r="D2239" s="24"/>
      <c r="E2239" s="25"/>
      <c r="F2239" s="26"/>
      <c r="G2239" s="27">
        <f>SUM(G2240:G2241)</f>
        <v>0</v>
      </c>
      <c r="H2239" s="44">
        <f>G2239*E2227</f>
        <v>0</v>
      </c>
    </row>
    <row r="2240" spans="1:11" ht="12.75" customHeight="1">
      <c r="A2240" s="28"/>
      <c r="B2240" s="29"/>
      <c r="C2240" s="30" t="str">
        <f>IFERROR(_xlfn.XLOOKUP(B2240,Transporte[DESCRIPCION],Transporte[UND],,0),"")</f>
        <v/>
      </c>
      <c r="D2240" s="31"/>
      <c r="E2240" s="32" t="str">
        <f>IFERROR(_xlfn.XLOOKUP($B2240,Transporte[DESCRIPCION],Transporte[VALOR],,0),"")</f>
        <v/>
      </c>
      <c r="F2240" s="33"/>
      <c r="G2240" s="34" t="str">
        <f>IFERROR(IF(F2240&gt;=0,D2240*E2240*(1+F2240/100),ABS(D2240*E2240/F2240)),"")</f>
        <v/>
      </c>
      <c r="H2240" s="43" t="str">
        <f>IFERROR(G2240*E2227,"")</f>
        <v/>
      </c>
    </row>
    <row r="2241" spans="1:11" ht="12.75" customHeight="1">
      <c r="A2241" s="28"/>
      <c r="B2241" s="29"/>
      <c r="C2241" s="30" t="str">
        <f>IFERROR(_xlfn.XLOOKUP(B2241,Transporte[DESCRIPCION],Transporte[UND],,0),"")</f>
        <v/>
      </c>
      <c r="D2241" s="31"/>
      <c r="E2241" s="32" t="str">
        <f>IFERROR(_xlfn.XLOOKUP($B2241,Transporte[DESCRIPCION],Transporte[VALOR],,0),"")</f>
        <v/>
      </c>
      <c r="F2241" s="33"/>
      <c r="G2241" s="34" t="str">
        <f>IFERROR(IF(F2241&gt;=0,D2241*E2241*(1+F2241/100),ABS(D2241*E2241/F2241)),"")</f>
        <v/>
      </c>
      <c r="H2241" s="43" t="str">
        <f>IFERROR(G2241*E2227,"")</f>
        <v/>
      </c>
    </row>
    <row r="2242" spans="1:11" ht="12.75" customHeight="1">
      <c r="A2242" s="21"/>
      <c r="B2242" s="22" t="s">
        <v>3732</v>
      </c>
      <c r="C2242" s="23"/>
      <c r="D2242" s="24"/>
      <c r="E2242" s="25"/>
      <c r="F2242" s="26"/>
      <c r="G2242" s="27">
        <f>SUM(G2243:G2245)</f>
        <v>273636.39429750008</v>
      </c>
      <c r="H2242" s="44">
        <f>G2242*E2227</f>
        <v>0</v>
      </c>
    </row>
    <row r="2243" spans="1:11" ht="12.75" customHeight="1">
      <c r="A2243" s="28"/>
      <c r="B2243" s="29" t="s">
        <v>3712</v>
      </c>
      <c r="C2243" s="30" t="str">
        <f>IFERROR(_xlfn.XLOOKUP(B2243,MObra[DESCRIPCION],MObra[UN],,0),"")</f>
        <v>día</v>
      </c>
      <c r="D2243" s="31">
        <v>1</v>
      </c>
      <c r="E2243" s="32">
        <f>IFERROR(_xlfn.XLOOKUP($B2243,MObra[DESCRIPCION],MObra[VALOR UNIT],,0),"")</f>
        <v>547272.78859500017</v>
      </c>
      <c r="F2243" s="33">
        <v>-2</v>
      </c>
      <c r="G2243" s="34">
        <f>IFERROR(IF(F2243&gt;=0,D2243*E2243*(1+F2243/100),ABS(D2243*E2243/F2243)),"")</f>
        <v>273636.39429750008</v>
      </c>
      <c r="H2243" s="43">
        <f>IFERROR(G2243*E2227,"")</f>
        <v>0</v>
      </c>
    </row>
    <row r="2244" spans="1:11" ht="12.75" customHeight="1">
      <c r="A2244" s="28"/>
      <c r="B2244" s="29"/>
      <c r="C2244" s="30" t="str">
        <f t="array" ref="C2244">IFERROR(_xlfn.XLOOKUP(B2244,MObra[[#All],[DESCRIPCION]],MObra[[#All],[UN]],,0),"")</f>
        <v/>
      </c>
      <c r="D2244" s="31"/>
      <c r="E2244" s="32" t="str">
        <f>IFERROR(_xlfn.XLOOKUP($B2244,MObra[DESCRIPCION],MObra[VALOR UNIT],,0),"")</f>
        <v/>
      </c>
      <c r="F2244" s="33"/>
      <c r="G2244" s="34" t="str">
        <f>IFERROR(IF(F2244&gt;=0,D2244*E2244*(1+F2244/100),ABS(D2244*E2244/F2244)),"")</f>
        <v/>
      </c>
      <c r="H2244" s="43" t="str">
        <f>IFERROR(G2244*E2227,"")</f>
        <v/>
      </c>
    </row>
    <row r="2245" spans="1:11" ht="12.75" customHeight="1" thickBot="1">
      <c r="A2245" s="35"/>
      <c r="B2245" s="36"/>
      <c r="C2245" s="37" t="str">
        <f t="array" ref="C2245">IFERROR(_xlfn.XLOOKUP(B2245,MObra[[#All],[DESCRIPCION]],MObra[[#All],[UN]],,0),"")</f>
        <v/>
      </c>
      <c r="D2245" s="38"/>
      <c r="E2245" s="39" t="str">
        <f>IFERROR(_xlfn.XLOOKUP($B2245,MObra[DESCRIPCION],MObra[VALOR UNIT],,0),"")</f>
        <v/>
      </c>
      <c r="F2245" s="40"/>
      <c r="G2245" s="41" t="str">
        <f>IFERROR(IF(F2245&gt;=0,D2245*E2245*(1+F2245/100),ABS(D2245*E2245/F2245)),"")</f>
        <v/>
      </c>
      <c r="H2245" s="42" t="str">
        <f>IFERROR(G2245*E2227,"")</f>
        <v/>
      </c>
    </row>
    <row r="2246" spans="1:11" ht="12.75" customHeight="1" thickTop="1" thickBot="1"/>
    <row r="2247" spans="1:11" ht="12.75" customHeight="1" thickTop="1" thickBot="1">
      <c r="A2247" s="6" t="s">
        <v>527</v>
      </c>
      <c r="B2247" s="7" t="str">
        <f>VLOOKUP($A2247,Presupuesto!$A:$D,2,FALSE())</f>
        <v>Recalce columna rectangular concreto 27.6 Mpa</v>
      </c>
      <c r="C2247" s="8" t="str">
        <f>VLOOKUP($A2247,Presupuesto!$A:$D,3,FALSE())</f>
        <v>M3</v>
      </c>
      <c r="D2247" s="9"/>
      <c r="E2247" s="10">
        <f>VLOOKUP($A2247,Presupuesto!$A:$D,4,FALSE())</f>
        <v>0</v>
      </c>
      <c r="F2247" s="11" t="s">
        <v>2589</v>
      </c>
      <c r="G2247" s="12">
        <f>SUM(G2249:G2265)/2</f>
        <v>1314549.5844605423</v>
      </c>
      <c r="H2247" s="13">
        <f>ROUND(SUM(H2249:H2265),0)/2</f>
        <v>0</v>
      </c>
      <c r="I2247" s="10">
        <f>VLOOKUP(A2247,Presupuesto!$A:$F,6,0)</f>
        <v>0</v>
      </c>
      <c r="J2247" s="10">
        <f>+H2247-I2247</f>
        <v>0</v>
      </c>
      <c r="K2247" s="46">
        <f>+H2247-G2247*E2247</f>
        <v>0</v>
      </c>
    </row>
    <row r="2248" spans="1:11" ht="12.75" customHeight="1" thickTop="1">
      <c r="A2248" s="14"/>
      <c r="B2248" s="15" t="s">
        <v>2586</v>
      </c>
      <c r="C2248" s="15" t="s">
        <v>5</v>
      </c>
      <c r="D2248" s="16" t="s">
        <v>6</v>
      </c>
      <c r="E2248" s="17" t="s">
        <v>7</v>
      </c>
      <c r="F2248" s="18" t="s">
        <v>3728</v>
      </c>
      <c r="G2248" s="19" t="s">
        <v>3729</v>
      </c>
      <c r="H2248" s="20" t="s">
        <v>3797</v>
      </c>
    </row>
    <row r="2249" spans="1:11" ht="12.75" customHeight="1">
      <c r="A2249" s="21"/>
      <c r="B2249" s="22" t="s">
        <v>3730</v>
      </c>
      <c r="C2249" s="23"/>
      <c r="D2249" s="24"/>
      <c r="E2249" s="25"/>
      <c r="F2249" s="26"/>
      <c r="G2249" s="27">
        <f>SUM(G2250:G2254)</f>
        <v>1020308.405448167</v>
      </c>
      <c r="H2249" s="27">
        <f>IFERROR(G2249*E2247,"")</f>
        <v>0</v>
      </c>
    </row>
    <row r="2250" spans="1:11" ht="12.75" customHeight="1">
      <c r="A2250" s="28"/>
      <c r="B2250" s="29" t="s">
        <v>3241</v>
      </c>
      <c r="C2250" s="30" t="str">
        <f>IFERROR(_xlfn.XLOOKUP(B2250,Insumo[DESCRIPCION],Insumo[UND],,0),"")</f>
        <v>M3</v>
      </c>
      <c r="D2250" s="31">
        <v>1</v>
      </c>
      <c r="E2250" s="32">
        <f>IFERROR(_xlfn.XLOOKUP($B2250,Insumo[DESCRIPCION],Insumo[VALOR],,0),"")</f>
        <v>568453.66874585627</v>
      </c>
      <c r="F2250" s="33">
        <v>5</v>
      </c>
      <c r="G2250" s="34">
        <f>IFERROR(IF(F2250&gt;=0,D2250*E2250*(1+F2250/100),ABS(D2250*E2250/F2250)),"")</f>
        <v>596876.35218314908</v>
      </c>
      <c r="H2250" s="43">
        <f>IFERROR(G2250*E2247,"")</f>
        <v>0</v>
      </c>
    </row>
    <row r="2251" spans="1:11" ht="12.75" customHeight="1">
      <c r="A2251" s="28"/>
      <c r="B2251" s="29" t="s">
        <v>2954</v>
      </c>
      <c r="C2251" s="30" t="str">
        <f>IFERROR(_xlfn.XLOOKUP(B2251,Insumo[DESCRIPCION],Insumo[UND],,0),"")</f>
        <v>M2</v>
      </c>
      <c r="D2251" s="31">
        <v>8</v>
      </c>
      <c r="E2251" s="32">
        <f>IFERROR(_xlfn.XLOOKUP($B2251,Insumo[DESCRIPCION],Insumo[VALOR],,0),"")</f>
        <v>102154.92581625449</v>
      </c>
      <c r="F2251" s="33">
        <v>-2</v>
      </c>
      <c r="G2251" s="34">
        <f>IFERROR(IF(F2251&gt;=0,D2251*E2251*(1+F2251/100),ABS(D2251*E2251/F2251)),"")</f>
        <v>408619.70326501795</v>
      </c>
      <c r="H2251" s="43">
        <f>IFERROR(G2251*E2247,"")</f>
        <v>0</v>
      </c>
    </row>
    <row r="2252" spans="1:11" ht="12.75" customHeight="1">
      <c r="A2252" s="28"/>
      <c r="B2252" s="29" t="s">
        <v>2709</v>
      </c>
      <c r="C2252" s="30" t="str">
        <f>IFERROR(_xlfn.XLOOKUP(B2252,Insumo[DESCRIPCION],Insumo[UND],,0),"")</f>
        <v>Kg</v>
      </c>
      <c r="D2252" s="31">
        <v>1</v>
      </c>
      <c r="E2252" s="32">
        <f>IFERROR(_xlfn.XLOOKUP($B2252,Insumo[DESCRIPCION],Insumo[VALOR],,0),"")</f>
        <v>14812.35</v>
      </c>
      <c r="F2252" s="33"/>
      <c r="G2252" s="34">
        <f>IFERROR(IF(F2252&gt;=0,D2252*E2252*(1+F2252/100),ABS(D2252*E2252/F2252)),"")</f>
        <v>14812.35</v>
      </c>
      <c r="H2252" s="43">
        <f>IFERROR(G2252*E2247,"")</f>
        <v>0</v>
      </c>
    </row>
    <row r="2253" spans="1:11" ht="12.75" customHeight="1">
      <c r="A2253" s="28"/>
      <c r="B2253" s="29"/>
      <c r="C2253" s="30" t="str">
        <f>IFERROR(_xlfn.XLOOKUP(B2253,Insumo[DESCRIPCION],Insumo[UND],,0),"")</f>
        <v/>
      </c>
      <c r="D2253" s="31"/>
      <c r="E2253" s="32" t="str">
        <f>IFERROR(_xlfn.XLOOKUP($B2253,Insumo[DESCRIPCION],Insumo[VALOR],,0),"")</f>
        <v/>
      </c>
      <c r="F2253" s="33"/>
      <c r="G2253" s="34" t="str">
        <f>IFERROR(IF(F2253&gt;=0,D2253*E2253*(1+F2253/100),ABS(D2253*E2253/F2253)),"")</f>
        <v/>
      </c>
      <c r="H2253" s="43" t="str">
        <f>IFERROR(G2253*E2247,"")</f>
        <v/>
      </c>
    </row>
    <row r="2254" spans="1:11" ht="12.75" customHeight="1">
      <c r="A2254" s="28"/>
      <c r="B2254" s="29"/>
      <c r="C2254" s="30" t="str">
        <f>IFERROR(_xlfn.XLOOKUP(B2254,Insumo[DESCRIPCION],Insumo[UND],,0),"")</f>
        <v/>
      </c>
      <c r="D2254" s="31"/>
      <c r="E2254" s="32" t="str">
        <f>IFERROR(_xlfn.XLOOKUP($B2254,Insumo[DESCRIPCION],Insumo[VALOR],,0),"")</f>
        <v/>
      </c>
      <c r="F2254" s="33"/>
      <c r="G2254" s="34" t="str">
        <f>IFERROR(IF(F2254&gt;=0,D2254*E2254*(1+F2254/100),ABS(D2254*E2254/F2254)),"")</f>
        <v/>
      </c>
      <c r="H2254" s="43" t="str">
        <f>IFERROR(G2254*E2247,"")</f>
        <v/>
      </c>
    </row>
    <row r="2255" spans="1:11" ht="12.75" customHeight="1">
      <c r="A2255" s="21"/>
      <c r="B2255" s="22" t="s">
        <v>3731</v>
      </c>
      <c r="C2255" s="23"/>
      <c r="D2255" s="24"/>
      <c r="E2255" s="25"/>
      <c r="F2255" s="26"/>
      <c r="G2255" s="27">
        <f>SUM(G2256:G2258)</f>
        <v>20604.784714875004</v>
      </c>
      <c r="H2255" s="44">
        <f>G2255*E2247</f>
        <v>0</v>
      </c>
    </row>
    <row r="2256" spans="1:11" ht="12.75" customHeight="1">
      <c r="A2256" s="28"/>
      <c r="B2256" s="29" t="s">
        <v>3657</v>
      </c>
      <c r="C2256" s="30" t="str">
        <f>IFERROR(_xlfn.XLOOKUP(B2256,Equipo[DESCRIPCION],Equipo[UND],,0),"")</f>
        <v>Día</v>
      </c>
      <c r="D2256" s="31">
        <v>1</v>
      </c>
      <c r="E2256" s="32">
        <f>IF(C2256="%MO",G2262,IFERROR(_xlfn.XLOOKUP($B2256,Equipo[DESCRIPCION],Equipo[VALOR],,0),""))</f>
        <v>56524.65</v>
      </c>
      <c r="F2256" s="33">
        <v>-10</v>
      </c>
      <c r="G2256" s="34">
        <f>IFERROR(IF(F2256&gt;=0,D2256*E2256*(1+F2256/100),ABS(D2256*E2256/F2256)),"")</f>
        <v>5652.4650000000001</v>
      </c>
      <c r="H2256" s="43">
        <f>IFERROR(G2256*E2247,"")</f>
        <v>0</v>
      </c>
    </row>
    <row r="2257" spans="1:11" ht="12.75" customHeight="1">
      <c r="A2257" s="28"/>
      <c r="B2257" s="29" t="s">
        <v>3652</v>
      </c>
      <c r="C2257" s="30" t="str">
        <f>IFERROR(_xlfn.XLOOKUP(B2257,Equipo[DESCRIPCION],Equipo[UND],,0),"")</f>
        <v>Día</v>
      </c>
      <c r="D2257" s="31">
        <v>1</v>
      </c>
      <c r="E2257" s="32">
        <f>IF(C2257="%MO",G2262,IFERROR(_xlfn.XLOOKUP($B2257,Equipo[DESCRIPCION],Equipo[VALOR],,0),""))</f>
        <v>635.25</v>
      </c>
      <c r="F2257" s="33">
        <v>-0.5</v>
      </c>
      <c r="G2257" s="34">
        <f>IFERROR(IF(F2257&gt;=0,D2257*E2257*(1+F2257/100),ABS(D2257*E2257/F2257)),"")</f>
        <v>1270.5</v>
      </c>
      <c r="H2257" s="43">
        <f>IFERROR(G2257*E2247,"")</f>
        <v>0</v>
      </c>
    </row>
    <row r="2258" spans="1:11" ht="12.75" customHeight="1">
      <c r="A2258" s="28"/>
      <c r="B2258" s="29" t="s">
        <v>3626</v>
      </c>
      <c r="C2258" s="30" t="str">
        <f>IFERROR(_xlfn.XLOOKUP(B2258,Equipo[DESCRIPCION],Equipo[UND],,0),"")</f>
        <v>%MO</v>
      </c>
      <c r="D2258" s="31">
        <v>0.05</v>
      </c>
      <c r="E2258" s="32">
        <f>IF(C2258="%MO",G2262,IFERROR(_xlfn.XLOOKUP($B2258,Equipo[DESCRIPCION],Equipo[VALOR],,0),""))</f>
        <v>273636.39429750008</v>
      </c>
      <c r="F2258" s="33"/>
      <c r="G2258" s="34">
        <f>IFERROR(IF(F2258&gt;=0,D2258*E2258*(1+F2258/100),ABS(D2258*E2258/F2258)),"")</f>
        <v>13681.819714875004</v>
      </c>
      <c r="H2258" s="43">
        <f>IFERROR(G2258*E2247,"")</f>
        <v>0</v>
      </c>
    </row>
    <row r="2259" spans="1:11" ht="12.75" customHeight="1">
      <c r="A2259" s="21"/>
      <c r="B2259" s="22" t="s">
        <v>2533</v>
      </c>
      <c r="C2259" s="23"/>
      <c r="D2259" s="24"/>
      <c r="E2259" s="25"/>
      <c r="F2259" s="26"/>
      <c r="G2259" s="27">
        <f>SUM(G2260:G2261)</f>
        <v>0</v>
      </c>
      <c r="H2259" s="44">
        <f>G2259*E2247</f>
        <v>0</v>
      </c>
    </row>
    <row r="2260" spans="1:11" ht="12.75" customHeight="1">
      <c r="A2260" s="28"/>
      <c r="B2260" s="29"/>
      <c r="C2260" s="30" t="str">
        <f>IFERROR(_xlfn.XLOOKUP(B2260,Transporte[DESCRIPCION],Transporte[UND],,0),"")</f>
        <v/>
      </c>
      <c r="D2260" s="31"/>
      <c r="E2260" s="32" t="str">
        <f>IFERROR(_xlfn.XLOOKUP($B2260,Transporte[DESCRIPCION],Transporte[VALOR],,0),"")</f>
        <v/>
      </c>
      <c r="F2260" s="33"/>
      <c r="G2260" s="34" t="str">
        <f>IFERROR(IF(F2260&gt;=0,D2260*E2260*(1+F2260/100),ABS(D2260*E2260/F2260)),"")</f>
        <v/>
      </c>
      <c r="H2260" s="43" t="str">
        <f>IFERROR(G2260*E2247,"")</f>
        <v/>
      </c>
    </row>
    <row r="2261" spans="1:11" ht="12.75" customHeight="1">
      <c r="A2261" s="28"/>
      <c r="B2261" s="29"/>
      <c r="C2261" s="30" t="str">
        <f>IFERROR(_xlfn.XLOOKUP(B2261,Transporte[DESCRIPCION],Transporte[UND],,0),"")</f>
        <v/>
      </c>
      <c r="D2261" s="31"/>
      <c r="E2261" s="32" t="str">
        <f>IFERROR(_xlfn.XLOOKUP($B2261,Transporte[DESCRIPCION],Transporte[VALOR],,0),"")</f>
        <v/>
      </c>
      <c r="F2261" s="33"/>
      <c r="G2261" s="34" t="str">
        <f>IFERROR(IF(F2261&gt;=0,D2261*E2261*(1+F2261/100),ABS(D2261*E2261/F2261)),"")</f>
        <v/>
      </c>
      <c r="H2261" s="43" t="str">
        <f>IFERROR(G2261*E2247,"")</f>
        <v/>
      </c>
    </row>
    <row r="2262" spans="1:11" ht="12.75" customHeight="1">
      <c r="A2262" s="21"/>
      <c r="B2262" s="22" t="s">
        <v>3732</v>
      </c>
      <c r="C2262" s="23"/>
      <c r="D2262" s="24"/>
      <c r="E2262" s="25"/>
      <c r="F2262" s="26"/>
      <c r="G2262" s="27">
        <f>SUM(G2263:G2265)</f>
        <v>273636.39429750008</v>
      </c>
      <c r="H2262" s="44">
        <f>G2262*E2247</f>
        <v>0</v>
      </c>
    </row>
    <row r="2263" spans="1:11" ht="12.75" customHeight="1">
      <c r="A2263" s="28"/>
      <c r="B2263" s="29" t="s">
        <v>3712</v>
      </c>
      <c r="C2263" s="30" t="str">
        <f>IFERROR(_xlfn.XLOOKUP(B2263,MObra[DESCRIPCION],MObra[UN],,0),"")</f>
        <v>día</v>
      </c>
      <c r="D2263" s="31">
        <v>1</v>
      </c>
      <c r="E2263" s="32">
        <f>IFERROR(_xlfn.XLOOKUP($B2263,MObra[DESCRIPCION],MObra[VALOR UNIT],,0),"")</f>
        <v>547272.78859500017</v>
      </c>
      <c r="F2263" s="33">
        <v>-2</v>
      </c>
      <c r="G2263" s="34">
        <f>IFERROR(IF(F2263&gt;=0,D2263*E2263*(1+F2263/100),ABS(D2263*E2263/F2263)),"")</f>
        <v>273636.39429750008</v>
      </c>
      <c r="H2263" s="43">
        <f>IFERROR(G2263*E2247,"")</f>
        <v>0</v>
      </c>
    </row>
    <row r="2264" spans="1:11" ht="12.75" customHeight="1">
      <c r="A2264" s="28"/>
      <c r="B2264" s="29"/>
      <c r="C2264" s="30" t="str">
        <f t="array" ref="C2264">IFERROR(_xlfn.XLOOKUP(B2264,MObra[[#All],[DESCRIPCION]],MObra[[#All],[UN]],,0),"")</f>
        <v/>
      </c>
      <c r="D2264" s="31"/>
      <c r="E2264" s="32" t="str">
        <f>IFERROR(_xlfn.XLOOKUP($B2264,MObra[DESCRIPCION],MObra[VALOR UNIT],,0),"")</f>
        <v/>
      </c>
      <c r="F2264" s="33"/>
      <c r="G2264" s="34" t="str">
        <f>IFERROR(IF(F2264&gt;=0,D2264*E2264*(1+F2264/100),ABS(D2264*E2264/F2264)),"")</f>
        <v/>
      </c>
      <c r="H2264" s="43" t="str">
        <f>IFERROR(G2264*E2247,"")</f>
        <v/>
      </c>
    </row>
    <row r="2265" spans="1:11" ht="12.75" customHeight="1" thickBot="1">
      <c r="A2265" s="35"/>
      <c r="B2265" s="36"/>
      <c r="C2265" s="37" t="str">
        <f t="array" ref="C2265">IFERROR(_xlfn.XLOOKUP(B2265,MObra[[#All],[DESCRIPCION]],MObra[[#All],[UN]],,0),"")</f>
        <v/>
      </c>
      <c r="D2265" s="38"/>
      <c r="E2265" s="39" t="str">
        <f>IFERROR(_xlfn.XLOOKUP($B2265,MObra[DESCRIPCION],MObra[VALOR UNIT],,0),"")</f>
        <v/>
      </c>
      <c r="F2265" s="40"/>
      <c r="G2265" s="41" t="str">
        <f>IFERROR(IF(F2265&gt;=0,D2265*E2265*(1+F2265/100),ABS(D2265*E2265/F2265)),"")</f>
        <v/>
      </c>
      <c r="H2265" s="42" t="str">
        <f>IFERROR(G2265*E2247,"")</f>
        <v/>
      </c>
    </row>
    <row r="2266" spans="1:11" ht="12.75" customHeight="1" thickTop="1" thickBot="1"/>
    <row r="2267" spans="1:11" ht="12.75" customHeight="1" thickTop="1" thickBot="1">
      <c r="A2267" s="6" t="s">
        <v>529</v>
      </c>
      <c r="B2267" s="7" t="str">
        <f>VLOOKUP($A2267,Presupuesto!$A:$D,2,FALSE())</f>
        <v>Resane estructural superficie concreto (Sikatop 122 o similar)</v>
      </c>
      <c r="C2267" s="8" t="str">
        <f>VLOOKUP($A2267,Presupuesto!$A:$D,3,FALSE())</f>
        <v>M2</v>
      </c>
      <c r="D2267" s="9"/>
      <c r="E2267" s="10">
        <f>VLOOKUP($A2267,Presupuesto!$A:$D,4,FALSE())</f>
        <v>0</v>
      </c>
      <c r="F2267" s="11" t="s">
        <v>2589</v>
      </c>
      <c r="G2267" s="12">
        <f>SUM(G2269:G2285)/2</f>
        <v>419419.36739021994</v>
      </c>
      <c r="H2267" s="13">
        <f>ROUND(SUM(H2269:H2285),0)/2</f>
        <v>0</v>
      </c>
      <c r="I2267" s="10">
        <f>VLOOKUP(A2267,Presupuesto!$A:$F,6,0)</f>
        <v>0</v>
      </c>
      <c r="J2267" s="10">
        <f>+H2267-I2267</f>
        <v>0</v>
      </c>
      <c r="K2267" s="46">
        <f>+H2267-G2267*E2267</f>
        <v>0</v>
      </c>
    </row>
    <row r="2268" spans="1:11" ht="12.75" customHeight="1" thickTop="1">
      <c r="A2268" s="14"/>
      <c r="B2268" s="15" t="s">
        <v>2586</v>
      </c>
      <c r="C2268" s="15" t="s">
        <v>5</v>
      </c>
      <c r="D2268" s="16" t="s">
        <v>6</v>
      </c>
      <c r="E2268" s="17" t="s">
        <v>7</v>
      </c>
      <c r="F2268" s="18" t="s">
        <v>3728</v>
      </c>
      <c r="G2268" s="19" t="s">
        <v>3729</v>
      </c>
      <c r="H2268" s="20" t="s">
        <v>3797</v>
      </c>
    </row>
    <row r="2269" spans="1:11" ht="12.75" customHeight="1">
      <c r="A2269" s="21"/>
      <c r="B2269" s="22" t="s">
        <v>3730</v>
      </c>
      <c r="C2269" s="23"/>
      <c r="D2269" s="24"/>
      <c r="E2269" s="25"/>
      <c r="F2269" s="26"/>
      <c r="G2269" s="27">
        <f>SUM(G2270:G2274)</f>
        <v>282345</v>
      </c>
      <c r="H2269" s="27">
        <f>IFERROR(G2269*E2267,"")</f>
        <v>0</v>
      </c>
    </row>
    <row r="2270" spans="1:11" ht="12.75" customHeight="1">
      <c r="A2270" s="28"/>
      <c r="B2270" s="29" t="s">
        <v>3315</v>
      </c>
      <c r="C2270" s="30" t="str">
        <f>IFERROR(_xlfn.XLOOKUP(B2270,Insumo[DESCRIPCION],Insumo[UND],,0),"")</f>
        <v>Kg</v>
      </c>
      <c r="D2270" s="31">
        <v>20</v>
      </c>
      <c r="E2270" s="32">
        <f>IFERROR(_xlfn.XLOOKUP($B2270,Insumo[DESCRIPCION],Insumo[VALOR],,0),"")</f>
        <v>14089.95</v>
      </c>
      <c r="F2270" s="33"/>
      <c r="G2270" s="34">
        <f>IFERROR(IF(F2270&gt;=0,D2270*E2270*(1+F2270/100),ABS(D2270*E2270/F2270)),"")</f>
        <v>281799</v>
      </c>
      <c r="H2270" s="43">
        <f>IFERROR(G2270*E2267,"")</f>
        <v>0</v>
      </c>
    </row>
    <row r="2271" spans="1:11" ht="12.75" customHeight="1">
      <c r="A2271" s="28"/>
      <c r="B2271" s="29" t="s">
        <v>2685</v>
      </c>
      <c r="C2271" s="30" t="str">
        <f>IFERROR(_xlfn.XLOOKUP(B2271,Insumo[DESCRIPCION],Insumo[UND],,0),"")</f>
        <v>Lt</v>
      </c>
      <c r="D2271" s="31">
        <v>20</v>
      </c>
      <c r="E2271" s="32">
        <f>IFERROR(_xlfn.XLOOKUP($B2271,Insumo[DESCRIPCION],Insumo[VALOR],,0),"")</f>
        <v>27.3</v>
      </c>
      <c r="F2271" s="33"/>
      <c r="G2271" s="34">
        <f>IFERROR(IF(F2271&gt;=0,D2271*E2271*(1+F2271/100),ABS(D2271*E2271/F2271)),"")</f>
        <v>546</v>
      </c>
      <c r="H2271" s="43">
        <f>IFERROR(G2271*E2267,"")</f>
        <v>0</v>
      </c>
    </row>
    <row r="2272" spans="1:11" ht="12.75" customHeight="1">
      <c r="A2272" s="28"/>
      <c r="B2272" s="29"/>
      <c r="C2272" s="30" t="str">
        <f>IFERROR(_xlfn.XLOOKUP(B2272,Insumo[DESCRIPCION],Insumo[UND],,0),"")</f>
        <v/>
      </c>
      <c r="D2272" s="31"/>
      <c r="E2272" s="32" t="str">
        <f>IFERROR(_xlfn.XLOOKUP($B2272,Insumo[DESCRIPCION],Insumo[VALOR],,0),"")</f>
        <v/>
      </c>
      <c r="F2272" s="33"/>
      <c r="G2272" s="34" t="str">
        <f>IFERROR(IF(F2272&gt;=0,D2272*E2272*(1+F2272/100),ABS(D2272*E2272/F2272)),"")</f>
        <v/>
      </c>
      <c r="H2272" s="43" t="str">
        <f>IFERROR(G2272*E2267,"")</f>
        <v/>
      </c>
    </row>
    <row r="2273" spans="1:11" ht="12.75" customHeight="1">
      <c r="A2273" s="28"/>
      <c r="B2273" s="29"/>
      <c r="C2273" s="30" t="str">
        <f>IFERROR(_xlfn.XLOOKUP(B2273,Insumo[DESCRIPCION],Insumo[UND],,0),"")</f>
        <v/>
      </c>
      <c r="D2273" s="31"/>
      <c r="E2273" s="32" t="str">
        <f>IFERROR(_xlfn.XLOOKUP($B2273,Insumo[DESCRIPCION],Insumo[VALOR],,0),"")</f>
        <v/>
      </c>
      <c r="F2273" s="33"/>
      <c r="G2273" s="34" t="str">
        <f>IFERROR(IF(F2273&gt;=0,D2273*E2273*(1+F2273/100),ABS(D2273*E2273/F2273)),"")</f>
        <v/>
      </c>
      <c r="H2273" s="43" t="str">
        <f>IFERROR(G2273*E2267,"")</f>
        <v/>
      </c>
    </row>
    <row r="2274" spans="1:11" ht="12.75" customHeight="1">
      <c r="A2274" s="28"/>
      <c r="B2274" s="29"/>
      <c r="C2274" s="30" t="str">
        <f>IFERROR(_xlfn.XLOOKUP(B2274,Insumo[DESCRIPCION],Insumo[UND],,0),"")</f>
        <v/>
      </c>
      <c r="D2274" s="31"/>
      <c r="E2274" s="32" t="str">
        <f>IFERROR(_xlfn.XLOOKUP($B2274,Insumo[DESCRIPCION],Insumo[VALOR],,0),"")</f>
        <v/>
      </c>
      <c r="F2274" s="33"/>
      <c r="G2274" s="34" t="str">
        <f>IFERROR(IF(F2274&gt;=0,D2274*E2274*(1+F2274/100),ABS(D2274*E2274/F2274)),"")</f>
        <v/>
      </c>
      <c r="H2274" s="43" t="str">
        <f>IFERROR(G2274*E2267,"")</f>
        <v/>
      </c>
    </row>
    <row r="2275" spans="1:11" ht="12.75" customHeight="1">
      <c r="A2275" s="21"/>
      <c r="B2275" s="22" t="s">
        <v>3731</v>
      </c>
      <c r="C2275" s="23"/>
      <c r="D2275" s="24"/>
      <c r="E2275" s="25"/>
      <c r="F2275" s="26"/>
      <c r="G2275" s="27">
        <f>SUM(G2276:G2278)</f>
        <v>11318.067032220002</v>
      </c>
      <c r="H2275" s="44">
        <f>G2275*E2267</f>
        <v>0</v>
      </c>
    </row>
    <row r="2276" spans="1:11" ht="12.75" customHeight="1">
      <c r="A2276" s="28"/>
      <c r="B2276" s="29" t="s">
        <v>3570</v>
      </c>
      <c r="C2276" s="30" t="str">
        <f>IFERROR(_xlfn.XLOOKUP(B2276,Equipo[DESCRIPCION],Equipo[UND],,0),"")</f>
        <v>%MO</v>
      </c>
      <c r="D2276" s="31">
        <v>0.04</v>
      </c>
      <c r="E2276" s="32">
        <f>IF(C2276="%MO",G2282,IFERROR(_xlfn.XLOOKUP($B2276,Equipo[DESCRIPCION],Equipo[VALOR],,0),""))</f>
        <v>125756.30035800002</v>
      </c>
      <c r="F2276" s="33"/>
      <c r="G2276" s="34">
        <f>IFERROR(IF(F2276&gt;=0,D2276*E2276*(1+F2276/100),ABS(D2276*E2276/F2276)),"")</f>
        <v>5030.2520143200009</v>
      </c>
      <c r="H2276" s="43">
        <f>IFERROR(G2276*E2267,"")</f>
        <v>0</v>
      </c>
    </row>
    <row r="2277" spans="1:11" ht="12.75" customHeight="1">
      <c r="A2277" s="28"/>
      <c r="B2277" s="29" t="s">
        <v>3626</v>
      </c>
      <c r="C2277" s="30" t="str">
        <f>IFERROR(_xlfn.XLOOKUP(B2277,Equipo[DESCRIPCION],Equipo[UND],,0),"")</f>
        <v>%MO</v>
      </c>
      <c r="D2277" s="31">
        <v>0.05</v>
      </c>
      <c r="E2277" s="32">
        <f>IF(C2277="%MO",G2282,IFERROR(_xlfn.XLOOKUP($B2277,Equipo[DESCRIPCION],Equipo[VALOR],,0),""))</f>
        <v>125756.30035800002</v>
      </c>
      <c r="F2277" s="33"/>
      <c r="G2277" s="34">
        <f>IFERROR(IF(F2277&gt;=0,D2277*E2277*(1+F2277/100),ABS(D2277*E2277/F2277)),"")</f>
        <v>6287.8150179000013</v>
      </c>
      <c r="H2277" s="43">
        <f>IFERROR(G2277*E2267,"")</f>
        <v>0</v>
      </c>
    </row>
    <row r="2278" spans="1:11" ht="12.75" customHeight="1">
      <c r="A2278" s="28"/>
      <c r="B2278" s="29"/>
      <c r="C2278" s="30" t="str">
        <f>IFERROR(_xlfn.XLOOKUP(B2278,Equipo[DESCRIPCION],Equipo[UND],,0),"")</f>
        <v/>
      </c>
      <c r="D2278" s="31"/>
      <c r="E2278" s="32" t="str">
        <f>IF(C2278="%MO",G2282,IFERROR(_xlfn.XLOOKUP($B2278,Equipo[DESCRIPCION],Equipo[VALOR],,0),""))</f>
        <v/>
      </c>
      <c r="F2278" s="33"/>
      <c r="G2278" s="34" t="str">
        <f>IFERROR(IF(F2278&gt;=0,D2278*E2278*(1+F2278/100),ABS(D2278*E2278/F2278)),"")</f>
        <v/>
      </c>
      <c r="H2278" s="43" t="str">
        <f>IFERROR(G2278*E2267,"")</f>
        <v/>
      </c>
    </row>
    <row r="2279" spans="1:11" ht="12.75" customHeight="1">
      <c r="A2279" s="21"/>
      <c r="B2279" s="22" t="s">
        <v>2533</v>
      </c>
      <c r="C2279" s="23"/>
      <c r="D2279" s="24"/>
      <c r="E2279" s="25"/>
      <c r="F2279" s="26"/>
      <c r="G2279" s="27">
        <f>SUM(G2280:G2281)</f>
        <v>0</v>
      </c>
      <c r="H2279" s="44">
        <f>G2279*E2267</f>
        <v>0</v>
      </c>
    </row>
    <row r="2280" spans="1:11" ht="12.75" customHeight="1">
      <c r="A2280" s="28"/>
      <c r="B2280" s="29"/>
      <c r="C2280" s="30" t="str">
        <f>IFERROR(_xlfn.XLOOKUP(B2280,Transporte[DESCRIPCION],Transporte[UND],,0),"")</f>
        <v/>
      </c>
      <c r="D2280" s="31"/>
      <c r="E2280" s="32" t="str">
        <f>IFERROR(_xlfn.XLOOKUP($B2280,Transporte[DESCRIPCION],Transporte[VALOR],,0),"")</f>
        <v/>
      </c>
      <c r="F2280" s="33"/>
      <c r="G2280" s="34" t="str">
        <f>IFERROR(IF(F2280&gt;=0,D2280*E2280*(1+F2280/100),ABS(D2280*E2280/F2280)),"")</f>
        <v/>
      </c>
      <c r="H2280" s="43" t="str">
        <f>IFERROR(G2280*E2267,"")</f>
        <v/>
      </c>
    </row>
    <row r="2281" spans="1:11" ht="12.75" customHeight="1">
      <c r="A2281" s="28"/>
      <c r="B2281" s="29"/>
      <c r="C2281" s="30" t="str">
        <f>IFERROR(_xlfn.XLOOKUP(B2281,Transporte[DESCRIPCION],Transporte[UND],,0),"")</f>
        <v/>
      </c>
      <c r="D2281" s="31"/>
      <c r="E2281" s="32" t="str">
        <f>IFERROR(_xlfn.XLOOKUP($B2281,Transporte[DESCRIPCION],Transporte[VALOR],,0),"")</f>
        <v/>
      </c>
      <c r="F2281" s="33"/>
      <c r="G2281" s="34" t="str">
        <f>IFERROR(IF(F2281&gt;=0,D2281*E2281*(1+F2281/100),ABS(D2281*E2281/F2281)),"")</f>
        <v/>
      </c>
      <c r="H2281" s="43" t="str">
        <f>IFERROR(G2281*E2267,"")</f>
        <v/>
      </c>
    </row>
    <row r="2282" spans="1:11" ht="12.75" customHeight="1">
      <c r="A2282" s="21"/>
      <c r="B2282" s="22" t="s">
        <v>3732</v>
      </c>
      <c r="C2282" s="23"/>
      <c r="D2282" s="24"/>
      <c r="E2282" s="25"/>
      <c r="F2282" s="26"/>
      <c r="G2282" s="27">
        <f>SUM(G2283:G2285)</f>
        <v>125756.30035800002</v>
      </c>
      <c r="H2282" s="44">
        <f>G2282*E2267</f>
        <v>0</v>
      </c>
    </row>
    <row r="2283" spans="1:11" ht="12.75" customHeight="1">
      <c r="A2283" s="28"/>
      <c r="B2283" s="29" t="s">
        <v>3710</v>
      </c>
      <c r="C2283" s="30" t="str">
        <f>IFERROR(_xlfn.XLOOKUP(B2283,MObra[DESCRIPCION],MObra[UN],,0),"")</f>
        <v>día</v>
      </c>
      <c r="D2283" s="31">
        <v>1</v>
      </c>
      <c r="E2283" s="32">
        <f>IFERROR(_xlfn.XLOOKUP($B2283,MObra[DESCRIPCION],MObra[VALOR UNIT],,0),"")</f>
        <v>314390.75089500006</v>
      </c>
      <c r="F2283" s="33">
        <v>-2.5</v>
      </c>
      <c r="G2283" s="34">
        <f>IFERROR(IF(F2283&gt;=0,D2283*E2283*(1+F2283/100),ABS(D2283*E2283/F2283)),"")</f>
        <v>125756.30035800002</v>
      </c>
      <c r="H2283" s="43">
        <f>IFERROR(G2283*E2267,"")</f>
        <v>0</v>
      </c>
    </row>
    <row r="2284" spans="1:11" ht="12.75" customHeight="1">
      <c r="A2284" s="28"/>
      <c r="B2284" s="29"/>
      <c r="C2284" s="30" t="str">
        <f t="array" ref="C2284">IFERROR(_xlfn.XLOOKUP(B2284,MObra[[#All],[DESCRIPCION]],MObra[[#All],[UN]],,0),"")</f>
        <v/>
      </c>
      <c r="D2284" s="31"/>
      <c r="E2284" s="32" t="str">
        <f>IFERROR(_xlfn.XLOOKUP($B2284,MObra[DESCRIPCION],MObra[VALOR UNIT],,0),"")</f>
        <v/>
      </c>
      <c r="F2284" s="33"/>
      <c r="G2284" s="34" t="str">
        <f>IFERROR(IF(F2284&gt;=0,D2284*E2284*(1+F2284/100),ABS(D2284*E2284/F2284)),"")</f>
        <v/>
      </c>
      <c r="H2284" s="43" t="str">
        <f>IFERROR(G2284*E2267,"")</f>
        <v/>
      </c>
    </row>
    <row r="2285" spans="1:11" ht="12.75" customHeight="1" thickBot="1">
      <c r="A2285" s="35"/>
      <c r="B2285" s="36"/>
      <c r="C2285" s="37" t="str">
        <f t="array" ref="C2285">IFERROR(_xlfn.XLOOKUP(B2285,MObra[[#All],[DESCRIPCION]],MObra[[#All],[UN]],,0),"")</f>
        <v/>
      </c>
      <c r="D2285" s="38"/>
      <c r="E2285" s="39" t="str">
        <f>IFERROR(_xlfn.XLOOKUP($B2285,MObra[DESCRIPCION],MObra[VALOR UNIT],,0),"")</f>
        <v/>
      </c>
      <c r="F2285" s="40"/>
      <c r="G2285" s="41" t="str">
        <f>IFERROR(IF(F2285&gt;=0,D2285*E2285*(1+F2285/100),ABS(D2285*E2285/F2285)),"")</f>
        <v/>
      </c>
      <c r="H2285" s="42" t="str">
        <f>IFERROR(G2285*E2267,"")</f>
        <v/>
      </c>
    </row>
    <row r="2286" spans="1:11" ht="12.75" customHeight="1" thickTop="1" thickBot="1"/>
    <row r="2287" spans="1:11" ht="12.75" customHeight="1" thickTop="1" thickBot="1">
      <c r="A2287" s="6" t="s">
        <v>531</v>
      </c>
      <c r="B2287" s="7" t="str">
        <f>VLOOKUP($A2287,Presupuesto!$A:$D,2,FALSE())</f>
        <v>Resina adherencia concreto viejo a nuevo</v>
      </c>
      <c r="C2287" s="8" t="str">
        <f>VLOOKUP($A2287,Presupuesto!$A:$D,3,FALSE())</f>
        <v>M2</v>
      </c>
      <c r="D2287" s="9"/>
      <c r="E2287" s="10">
        <f>VLOOKUP($A2287,Presupuesto!$A:$D,4,FALSE())</f>
        <v>0</v>
      </c>
      <c r="F2287" s="11" t="s">
        <v>2589</v>
      </c>
      <c r="G2287" s="12">
        <f>SUM(G2289:G2305)/2</f>
        <v>100410.60624314999</v>
      </c>
      <c r="H2287" s="13">
        <f>ROUND(SUM(H2289:H2305),0)/2</f>
        <v>0</v>
      </c>
      <c r="I2287" s="10">
        <f>VLOOKUP(A2287,Presupuesto!$A:$F,6,0)</f>
        <v>0</v>
      </c>
      <c r="J2287" s="10">
        <f>+H2287-I2287</f>
        <v>0</v>
      </c>
      <c r="K2287" s="46">
        <f>+H2287-G2287*E2287</f>
        <v>0</v>
      </c>
    </row>
    <row r="2288" spans="1:11" ht="12.75" customHeight="1" thickTop="1">
      <c r="A2288" s="14"/>
      <c r="B2288" s="15" t="s">
        <v>2586</v>
      </c>
      <c r="C2288" s="15" t="s">
        <v>5</v>
      </c>
      <c r="D2288" s="16" t="s">
        <v>6</v>
      </c>
      <c r="E2288" s="17" t="s">
        <v>7</v>
      </c>
      <c r="F2288" s="18" t="s">
        <v>3728</v>
      </c>
      <c r="G2288" s="19" t="s">
        <v>3729</v>
      </c>
      <c r="H2288" s="20" t="s">
        <v>3797</v>
      </c>
    </row>
    <row r="2289" spans="1:8" ht="12.75" customHeight="1">
      <c r="A2289" s="21"/>
      <c r="B2289" s="22" t="s">
        <v>3730</v>
      </c>
      <c r="C2289" s="23"/>
      <c r="D2289" s="24"/>
      <c r="E2289" s="25"/>
      <c r="F2289" s="26"/>
      <c r="G2289" s="27">
        <f>SUM(G2290:G2294)</f>
        <v>86554.125</v>
      </c>
      <c r="H2289" s="27">
        <f>IFERROR(G2289*E2287,"")</f>
        <v>0</v>
      </c>
    </row>
    <row r="2290" spans="1:8" ht="12.75" customHeight="1">
      <c r="A2290" s="28"/>
      <c r="B2290" s="29" t="s">
        <v>3307</v>
      </c>
      <c r="C2290" s="30" t="str">
        <f>IFERROR(_xlfn.XLOOKUP(B2290,Insumo[DESCRIPCION],Insumo[UND],,0),"")</f>
        <v>Kg</v>
      </c>
      <c r="D2290" s="31">
        <v>0.5</v>
      </c>
      <c r="E2290" s="32">
        <f>IFERROR(_xlfn.XLOOKUP($B2290,Insumo[DESCRIPCION],Insumo[VALOR],,0),"")</f>
        <v>173108.25</v>
      </c>
      <c r="F2290" s="33"/>
      <c r="G2290" s="34">
        <f>IFERROR(IF(F2290&gt;=0,D2290*E2290*(1+F2290/100),ABS(D2290*E2290/F2290)),"")</f>
        <v>86554.125</v>
      </c>
      <c r="H2290" s="43">
        <f>IFERROR(G2290*E2287,"")</f>
        <v>0</v>
      </c>
    </row>
    <row r="2291" spans="1:8" ht="12.75" customHeight="1">
      <c r="A2291" s="28"/>
      <c r="B2291" s="29"/>
      <c r="C2291" s="30" t="str">
        <f>IFERROR(_xlfn.XLOOKUP(B2291,Insumo[DESCRIPCION],Insumo[UND],,0),"")</f>
        <v/>
      </c>
      <c r="D2291" s="31"/>
      <c r="E2291" s="32" t="str">
        <f>IFERROR(_xlfn.XLOOKUP($B2291,Insumo[DESCRIPCION],Insumo[VALOR],,0),"")</f>
        <v/>
      </c>
      <c r="F2291" s="33"/>
      <c r="G2291" s="34" t="str">
        <f>IFERROR(IF(F2291&gt;=0,D2291*E2291*(1+F2291/100),ABS(D2291*E2291/F2291)),"")</f>
        <v/>
      </c>
      <c r="H2291" s="43" t="str">
        <f>IFERROR(G2291*E2287,"")</f>
        <v/>
      </c>
    </row>
    <row r="2292" spans="1:8" ht="12.75" customHeight="1">
      <c r="A2292" s="28"/>
      <c r="B2292" s="29"/>
      <c r="C2292" s="30" t="str">
        <f>IFERROR(_xlfn.XLOOKUP(B2292,Insumo[DESCRIPCION],Insumo[UND],,0),"")</f>
        <v/>
      </c>
      <c r="D2292" s="31"/>
      <c r="E2292" s="32" t="str">
        <f>IFERROR(_xlfn.XLOOKUP($B2292,Insumo[DESCRIPCION],Insumo[VALOR],,0),"")</f>
        <v/>
      </c>
      <c r="F2292" s="33"/>
      <c r="G2292" s="34" t="str">
        <f>IFERROR(IF(F2292&gt;=0,D2292*E2292*(1+F2292/100),ABS(D2292*E2292/F2292)),"")</f>
        <v/>
      </c>
      <c r="H2292" s="43" t="str">
        <f>IFERROR(G2292*E2287,"")</f>
        <v/>
      </c>
    </row>
    <row r="2293" spans="1:8" ht="12.75" customHeight="1">
      <c r="A2293" s="28"/>
      <c r="B2293" s="29"/>
      <c r="C2293" s="30" t="str">
        <f>IFERROR(_xlfn.XLOOKUP(B2293,Insumo[DESCRIPCION],Insumo[UND],,0),"")</f>
        <v/>
      </c>
      <c r="D2293" s="31"/>
      <c r="E2293" s="32" t="str">
        <f>IFERROR(_xlfn.XLOOKUP($B2293,Insumo[DESCRIPCION],Insumo[VALOR],,0),"")</f>
        <v/>
      </c>
      <c r="F2293" s="33"/>
      <c r="G2293" s="34" t="str">
        <f>IFERROR(IF(F2293&gt;=0,D2293*E2293*(1+F2293/100),ABS(D2293*E2293/F2293)),"")</f>
        <v/>
      </c>
      <c r="H2293" s="43" t="str">
        <f>IFERROR(G2293*E2287,"")</f>
        <v/>
      </c>
    </row>
    <row r="2294" spans="1:8" ht="12.75" customHeight="1">
      <c r="A2294" s="28"/>
      <c r="B2294" s="29"/>
      <c r="C2294" s="30" t="str">
        <f>IFERROR(_xlfn.XLOOKUP(B2294,Insumo[DESCRIPCION],Insumo[UND],,0),"")</f>
        <v/>
      </c>
      <c r="D2294" s="31"/>
      <c r="E2294" s="32" t="str">
        <f>IFERROR(_xlfn.XLOOKUP($B2294,Insumo[DESCRIPCION],Insumo[VALOR],,0),"")</f>
        <v/>
      </c>
      <c r="F2294" s="33"/>
      <c r="G2294" s="34" t="str">
        <f>IFERROR(IF(F2294&gt;=0,D2294*E2294*(1+F2294/100),ABS(D2294*E2294/F2294)),"")</f>
        <v/>
      </c>
      <c r="H2294" s="43" t="str">
        <f>IFERROR(G2294*E2287,"")</f>
        <v/>
      </c>
    </row>
    <row r="2295" spans="1:8" ht="12.75" customHeight="1">
      <c r="A2295" s="21"/>
      <c r="B2295" s="22" t="s">
        <v>3731</v>
      </c>
      <c r="C2295" s="23"/>
      <c r="D2295" s="24"/>
      <c r="E2295" s="25"/>
      <c r="F2295" s="26"/>
      <c r="G2295" s="27">
        <f>SUM(G2296:G2298)</f>
        <v>659.83244015000014</v>
      </c>
      <c r="H2295" s="44">
        <f>G2295*E2287</f>
        <v>0</v>
      </c>
    </row>
    <row r="2296" spans="1:8" ht="12.75" customHeight="1">
      <c r="A2296" s="28"/>
      <c r="B2296" s="29" t="s">
        <v>3626</v>
      </c>
      <c r="C2296" s="30" t="str">
        <f>IFERROR(_xlfn.XLOOKUP(B2296,Equipo[DESCRIPCION],Equipo[UND],,0),"")</f>
        <v>%MO</v>
      </c>
      <c r="D2296" s="31">
        <v>0.05</v>
      </c>
      <c r="E2296" s="32">
        <f>IF(C2296="%MO",G2302,IFERROR(_xlfn.XLOOKUP($B2296,Equipo[DESCRIPCION],Equipo[VALOR],,0),""))</f>
        <v>13196.648803000002</v>
      </c>
      <c r="F2296" s="33"/>
      <c r="G2296" s="34">
        <f>IFERROR(IF(F2296&gt;=0,D2296*E2296*(1+F2296/100),ABS(D2296*E2296/F2296)),"")</f>
        <v>659.83244015000014</v>
      </c>
      <c r="H2296" s="43">
        <f>IFERROR(G2296*E2287,"")</f>
        <v>0</v>
      </c>
    </row>
    <row r="2297" spans="1:8" ht="12.75" customHeight="1">
      <c r="A2297" s="28"/>
      <c r="B2297" s="29"/>
      <c r="C2297" s="30" t="str">
        <f>IFERROR(_xlfn.XLOOKUP(B2297,Equipo[DESCRIPCION],Equipo[UND],,0),"")</f>
        <v/>
      </c>
      <c r="D2297" s="31"/>
      <c r="E2297" s="32" t="str">
        <f>IF(C2297="%MO",G2302,IFERROR(_xlfn.XLOOKUP($B2297,Equipo[DESCRIPCION],Equipo[VALOR],,0),""))</f>
        <v/>
      </c>
      <c r="F2297" s="33"/>
      <c r="G2297" s="34" t="str">
        <f>IFERROR(IF(F2297&gt;=0,D2297*E2297*(1+F2297/100),ABS(D2297*E2297/F2297)),"")</f>
        <v/>
      </c>
      <c r="H2297" s="43" t="str">
        <f>IFERROR(G2297*E2287,"")</f>
        <v/>
      </c>
    </row>
    <row r="2298" spans="1:8" ht="12.75" customHeight="1">
      <c r="A2298" s="28"/>
      <c r="B2298" s="29"/>
      <c r="C2298" s="30" t="str">
        <f>IFERROR(_xlfn.XLOOKUP(B2298,Equipo[DESCRIPCION],Equipo[UND],,0),"")</f>
        <v/>
      </c>
      <c r="D2298" s="31"/>
      <c r="E2298" s="32" t="str">
        <f>IF(C2298="%MO",G2302,IFERROR(_xlfn.XLOOKUP($B2298,Equipo[DESCRIPCION],Equipo[VALOR],,0),""))</f>
        <v/>
      </c>
      <c r="F2298" s="33"/>
      <c r="G2298" s="34" t="str">
        <f>IFERROR(IF(F2298&gt;=0,D2298*E2298*(1+F2298/100),ABS(D2298*E2298/F2298)),"")</f>
        <v/>
      </c>
      <c r="H2298" s="43" t="str">
        <f>IFERROR(G2298*E2287,"")</f>
        <v/>
      </c>
    </row>
    <row r="2299" spans="1:8" ht="12.75" customHeight="1">
      <c r="A2299" s="21"/>
      <c r="B2299" s="22" t="s">
        <v>2533</v>
      </c>
      <c r="C2299" s="23"/>
      <c r="D2299" s="24"/>
      <c r="E2299" s="25"/>
      <c r="F2299" s="26"/>
      <c r="G2299" s="27">
        <f>SUM(G2300:G2301)</f>
        <v>0</v>
      </c>
      <c r="H2299" s="44">
        <f>G2299*E2287</f>
        <v>0</v>
      </c>
    </row>
    <row r="2300" spans="1:8" ht="12.75" customHeight="1">
      <c r="A2300" s="28"/>
      <c r="B2300" s="29"/>
      <c r="C2300" s="30" t="str">
        <f>IFERROR(_xlfn.XLOOKUP(B2300,Transporte[DESCRIPCION],Transporte[UND],,0),"")</f>
        <v/>
      </c>
      <c r="D2300" s="31"/>
      <c r="E2300" s="32" t="str">
        <f>IFERROR(_xlfn.XLOOKUP($B2300,Transporte[DESCRIPCION],Transporte[VALOR],,0),"")</f>
        <v/>
      </c>
      <c r="F2300" s="33"/>
      <c r="G2300" s="34" t="str">
        <f>IFERROR(IF(F2300&gt;=0,D2300*E2300*(1+F2300/100),ABS(D2300*E2300/F2300)),"")</f>
        <v/>
      </c>
      <c r="H2300" s="43" t="str">
        <f>IFERROR(G2300*E2287,"")</f>
        <v/>
      </c>
    </row>
    <row r="2301" spans="1:8" ht="12.75" customHeight="1">
      <c r="A2301" s="28"/>
      <c r="B2301" s="29"/>
      <c r="C2301" s="30" t="str">
        <f>IFERROR(_xlfn.XLOOKUP(B2301,Transporte[DESCRIPCION],Transporte[UND],,0),"")</f>
        <v/>
      </c>
      <c r="D2301" s="31"/>
      <c r="E2301" s="32" t="str">
        <f>IFERROR(_xlfn.XLOOKUP($B2301,Transporte[DESCRIPCION],Transporte[VALOR],,0),"")</f>
        <v/>
      </c>
      <c r="F2301" s="33"/>
      <c r="G2301" s="34" t="str">
        <f>IFERROR(IF(F2301&gt;=0,D2301*E2301*(1+F2301/100),ABS(D2301*E2301/F2301)),"")</f>
        <v/>
      </c>
      <c r="H2301" s="43" t="str">
        <f>IFERROR(G2301*E2287,"")</f>
        <v/>
      </c>
    </row>
    <row r="2302" spans="1:8" ht="12.75" customHeight="1">
      <c r="A2302" s="21"/>
      <c r="B2302" s="22" t="s">
        <v>3732</v>
      </c>
      <c r="C2302" s="23"/>
      <c r="D2302" s="24"/>
      <c r="E2302" s="25"/>
      <c r="F2302" s="26"/>
      <c r="G2302" s="27">
        <f>SUM(G2303:G2305)</f>
        <v>13196.648803000002</v>
      </c>
      <c r="H2302" s="44">
        <f>G2302*E2287</f>
        <v>0</v>
      </c>
    </row>
    <row r="2303" spans="1:8" ht="12.75" customHeight="1">
      <c r="A2303" s="28"/>
      <c r="B2303" s="29" t="s">
        <v>3705</v>
      </c>
      <c r="C2303" s="30" t="str">
        <f>IFERROR(_xlfn.XLOOKUP(B2303,MObra[DESCRIPCION],MObra[UN],,0),"")</f>
        <v>día</v>
      </c>
      <c r="D2303" s="31">
        <v>1</v>
      </c>
      <c r="E2303" s="32">
        <f>IFERROR(_xlfn.XLOOKUP($B2303,MObra[DESCRIPCION],MObra[VALOR UNIT],,0),"")</f>
        <v>197949.73204500004</v>
      </c>
      <c r="F2303" s="33">
        <v>-15</v>
      </c>
      <c r="G2303" s="34">
        <f>IFERROR(IF(F2303&gt;=0,D2303*E2303*(1+F2303/100),ABS(D2303*E2303/F2303)),"")</f>
        <v>13196.648803000002</v>
      </c>
      <c r="H2303" s="43">
        <f>IFERROR(G2303*E2287,"")</f>
        <v>0</v>
      </c>
    </row>
    <row r="2304" spans="1:8" ht="12.75" customHeight="1">
      <c r="A2304" s="28"/>
      <c r="B2304" s="29"/>
      <c r="C2304" s="30" t="str">
        <f t="array" ref="C2304">IFERROR(_xlfn.XLOOKUP(B2304,MObra[[#All],[DESCRIPCION]],MObra[[#All],[UN]],,0),"")</f>
        <v/>
      </c>
      <c r="D2304" s="31"/>
      <c r="E2304" s="32" t="str">
        <f>IFERROR(_xlfn.XLOOKUP($B2304,MObra[DESCRIPCION],MObra[VALOR UNIT],,0),"")</f>
        <v/>
      </c>
      <c r="F2304" s="33"/>
      <c r="G2304" s="34" t="str">
        <f>IFERROR(IF(F2304&gt;=0,D2304*E2304*(1+F2304/100),ABS(D2304*E2304/F2304)),"")</f>
        <v/>
      </c>
      <c r="H2304" s="43" t="str">
        <f>IFERROR(G2304*E2287,"")</f>
        <v/>
      </c>
    </row>
    <row r="2305" spans="1:11" ht="12.75" customHeight="1" thickBot="1">
      <c r="A2305" s="35"/>
      <c r="B2305" s="36"/>
      <c r="C2305" s="37" t="str">
        <f t="array" ref="C2305">IFERROR(_xlfn.XLOOKUP(B2305,MObra[[#All],[DESCRIPCION]],MObra[[#All],[UN]],,0),"")</f>
        <v/>
      </c>
      <c r="D2305" s="38"/>
      <c r="E2305" s="39" t="str">
        <f>IFERROR(_xlfn.XLOOKUP($B2305,MObra[DESCRIPCION],MObra[VALOR UNIT],,0),"")</f>
        <v/>
      </c>
      <c r="F2305" s="40"/>
      <c r="G2305" s="41" t="str">
        <f>IFERROR(IF(F2305&gt;=0,D2305*E2305*(1+F2305/100),ABS(D2305*E2305/F2305)),"")</f>
        <v/>
      </c>
      <c r="H2305" s="42" t="str">
        <f>IFERROR(G2305*E2287,"")</f>
        <v/>
      </c>
    </row>
    <row r="2306" spans="1:11" ht="12.75" customHeight="1" thickTop="1" thickBot="1"/>
    <row r="2307" spans="1:11" ht="12.75" customHeight="1" thickTop="1" thickBot="1">
      <c r="A2307" s="6" t="s">
        <v>533</v>
      </c>
      <c r="B2307" s="7" t="str">
        <f>VLOOKUP($A2307,Presupuesto!$A:$D,2,FALSE())</f>
        <v>Solado concreto 10.3 Mpa</v>
      </c>
      <c r="C2307" s="8" t="str">
        <f>VLOOKUP($A2307,Presupuesto!$A:$D,3,FALSE())</f>
        <v>M3</v>
      </c>
      <c r="D2307" s="9"/>
      <c r="E2307" s="10">
        <f>VLOOKUP($A2307,Presupuesto!$A:$D,4,FALSE())</f>
        <v>0</v>
      </c>
      <c r="F2307" s="11" t="s">
        <v>2589</v>
      </c>
      <c r="G2307" s="12">
        <f>SUM(G2309:G2325)/2</f>
        <v>642127.70579868753</v>
      </c>
      <c r="H2307" s="13">
        <f>ROUND(SUM(H2309:H2325),0)/2</f>
        <v>0</v>
      </c>
      <c r="I2307" s="10">
        <f>VLOOKUP(A2307,Presupuesto!$A:$F,6,0)</f>
        <v>0</v>
      </c>
      <c r="J2307" s="10">
        <f>+H2307-I2307</f>
        <v>0</v>
      </c>
      <c r="K2307" s="46">
        <f>+H2307-G2307*E2307</f>
        <v>0</v>
      </c>
    </row>
    <row r="2308" spans="1:11" ht="12.75" customHeight="1" thickTop="1">
      <c r="A2308" s="14"/>
      <c r="B2308" s="15" t="s">
        <v>2586</v>
      </c>
      <c r="C2308" s="15" t="s">
        <v>5</v>
      </c>
      <c r="D2308" s="16" t="s">
        <v>6</v>
      </c>
      <c r="E2308" s="17" t="s">
        <v>7</v>
      </c>
      <c r="F2308" s="18" t="s">
        <v>3728</v>
      </c>
      <c r="G2308" s="19" t="s">
        <v>3729</v>
      </c>
      <c r="H2308" s="20" t="s">
        <v>3797</v>
      </c>
    </row>
    <row r="2309" spans="1:11" ht="12.75" customHeight="1">
      <c r="A2309" s="21"/>
      <c r="B2309" s="22" t="s">
        <v>3730</v>
      </c>
      <c r="C2309" s="23"/>
      <c r="D2309" s="24"/>
      <c r="E2309" s="25"/>
      <c r="F2309" s="26"/>
      <c r="G2309" s="27">
        <f>SUM(G2310:G2314)</f>
        <v>273440.40149999998</v>
      </c>
      <c r="H2309" s="27">
        <f>IFERROR(G2309*E2307,"")</f>
        <v>0</v>
      </c>
    </row>
    <row r="2310" spans="1:11" ht="12.75" customHeight="1">
      <c r="A2310" s="28"/>
      <c r="B2310" s="29" t="s">
        <v>2824</v>
      </c>
      <c r="C2310" s="30" t="str">
        <f>IFERROR(_xlfn.XLOOKUP(B2310,Insumo[DESCRIPCION],Insumo[UND],,0),"")</f>
        <v>Un</v>
      </c>
      <c r="D2310" s="31">
        <v>3.5</v>
      </c>
      <c r="E2310" s="32">
        <f>IFERROR(_xlfn.XLOOKUP($B2310,Insumo[DESCRIPCION],Insumo[VALOR],,0),"")</f>
        <v>34230</v>
      </c>
      <c r="F2310" s="33">
        <v>5</v>
      </c>
      <c r="G2310" s="34">
        <f>IFERROR(IF(F2310&gt;=0,D2310*E2310*(1+F2310/100),ABS(D2310*E2310/F2310)),"")</f>
        <v>125795.25</v>
      </c>
      <c r="H2310" s="43">
        <f>IFERROR(G2310*E2307,"")</f>
        <v>0</v>
      </c>
    </row>
    <row r="2311" spans="1:11" ht="12.75" customHeight="1">
      <c r="A2311" s="28"/>
      <c r="B2311" s="29" t="s">
        <v>2713</v>
      </c>
      <c r="C2311" s="30" t="str">
        <f>IFERROR(_xlfn.XLOOKUP(B2311,Insumo[DESCRIPCION],Insumo[UND],,0),"")</f>
        <v>M3</v>
      </c>
      <c r="D2311" s="31">
        <v>0.55000000000000004</v>
      </c>
      <c r="E2311" s="32">
        <f>IFERROR(_xlfn.XLOOKUP($B2311,Insumo[DESCRIPCION],Insumo[VALOR],,0),"")</f>
        <v>81268.95</v>
      </c>
      <c r="F2311" s="33"/>
      <c r="G2311" s="34">
        <f>IFERROR(IF(F2311&gt;=0,D2311*E2311*(1+F2311/100),ABS(D2311*E2311/F2311)),"")</f>
        <v>44697.922500000001</v>
      </c>
      <c r="H2311" s="43">
        <f>IFERROR(G2311*E2307,"")</f>
        <v>0</v>
      </c>
    </row>
    <row r="2312" spans="1:11" ht="12.75" customHeight="1">
      <c r="A2312" s="28"/>
      <c r="B2312" s="29" t="s">
        <v>3409</v>
      </c>
      <c r="C2312" s="30" t="str">
        <f>IFERROR(_xlfn.XLOOKUP(B2312,Insumo[DESCRIPCION],Insumo[UND],,0),"")</f>
        <v>M3</v>
      </c>
      <c r="D2312" s="31">
        <v>0.98</v>
      </c>
      <c r="E2312" s="32">
        <f>IFERROR(_xlfn.XLOOKUP($B2312,Insumo[DESCRIPCION],Insumo[VALOR],,0),"")</f>
        <v>100591.05</v>
      </c>
      <c r="F2312" s="33"/>
      <c r="G2312" s="34">
        <f>IFERROR(IF(F2312&gt;=0,D2312*E2312*(1+F2312/100),ABS(D2312*E2312/F2312)),"")</f>
        <v>98579.229000000007</v>
      </c>
      <c r="H2312" s="43">
        <f>IFERROR(G2312*E2307,"")</f>
        <v>0</v>
      </c>
    </row>
    <row r="2313" spans="1:11" ht="12.75" customHeight="1">
      <c r="A2313" s="28"/>
      <c r="B2313" s="29" t="s">
        <v>2685</v>
      </c>
      <c r="C2313" s="30" t="str">
        <f>IFERROR(_xlfn.XLOOKUP(B2313,Insumo[DESCRIPCION],Insumo[UND],,0),"")</f>
        <v>Lt</v>
      </c>
      <c r="D2313" s="31">
        <v>160</v>
      </c>
      <c r="E2313" s="32">
        <f>IFERROR(_xlfn.XLOOKUP($B2313,Insumo[DESCRIPCION],Insumo[VALOR],,0),"")</f>
        <v>27.3</v>
      </c>
      <c r="F2313" s="33"/>
      <c r="G2313" s="34">
        <f>IFERROR(IF(F2313&gt;=0,D2313*E2313*(1+F2313/100),ABS(D2313*E2313/F2313)),"")</f>
        <v>4368</v>
      </c>
      <c r="H2313" s="43">
        <f>IFERROR(G2313*E2307,"")</f>
        <v>0</v>
      </c>
    </row>
    <row r="2314" spans="1:11" ht="12.75" customHeight="1">
      <c r="A2314" s="28"/>
      <c r="B2314" s="29"/>
      <c r="C2314" s="30" t="str">
        <f>IFERROR(_xlfn.XLOOKUP(B2314,Insumo[DESCRIPCION],Insumo[UND],,0),"")</f>
        <v/>
      </c>
      <c r="D2314" s="31"/>
      <c r="E2314" s="32" t="str">
        <f>IFERROR(_xlfn.XLOOKUP($B2314,Insumo[DESCRIPCION],Insumo[VALOR],,0),"")</f>
        <v/>
      </c>
      <c r="F2314" s="33"/>
      <c r="G2314" s="34" t="str">
        <f>IFERROR(IF(F2314&gt;=0,D2314*E2314*(1+F2314/100),ABS(D2314*E2314/F2314)),"")</f>
        <v/>
      </c>
      <c r="H2314" s="43" t="str">
        <f>IFERROR(G2314*E2307,"")</f>
        <v/>
      </c>
    </row>
    <row r="2315" spans="1:11" ht="12.75" customHeight="1">
      <c r="A2315" s="21"/>
      <c r="B2315" s="22" t="s">
        <v>3731</v>
      </c>
      <c r="C2315" s="23"/>
      <c r="D2315" s="24"/>
      <c r="E2315" s="25"/>
      <c r="F2315" s="26"/>
      <c r="G2315" s="27">
        <f>SUM(G2316:G2318)</f>
        <v>33279.7107999375</v>
      </c>
      <c r="H2315" s="44">
        <f>G2315*E2307</f>
        <v>0</v>
      </c>
    </row>
    <row r="2316" spans="1:11" ht="12.75" customHeight="1">
      <c r="A2316" s="28"/>
      <c r="B2316" s="29" t="s">
        <v>3598</v>
      </c>
      <c r="C2316" s="30" t="str">
        <f>IFERROR(_xlfn.XLOOKUP(B2316,Equipo[DESCRIPCION],Equipo[UND],,0),"")</f>
        <v>Día</v>
      </c>
      <c r="D2316" s="31">
        <v>1</v>
      </c>
      <c r="E2316" s="32">
        <f>IF(C2316="%MO",G2322,IFERROR(_xlfn.XLOOKUP($B2316,Equipo[DESCRIPCION],Equipo[VALOR],,0),""))</f>
        <v>82467</v>
      </c>
      <c r="F2316" s="33">
        <v>-4</v>
      </c>
      <c r="G2316" s="34">
        <f>IFERROR(IF(F2316&gt;=0,D2316*E2316*(1+F2316/100),ABS(D2316*E2316/F2316)),"")</f>
        <v>20616.75</v>
      </c>
      <c r="H2316" s="43">
        <f>IFERROR(G2316*E2307,"")</f>
        <v>0</v>
      </c>
    </row>
    <row r="2317" spans="1:11" ht="12.75" customHeight="1">
      <c r="A2317" s="28"/>
      <c r="B2317" s="29" t="s">
        <v>3626</v>
      </c>
      <c r="C2317" s="30" t="str">
        <f>IFERROR(_xlfn.XLOOKUP(B2317,Equipo[DESCRIPCION],Equipo[UND],,0),"")</f>
        <v>%MO</v>
      </c>
      <c r="D2317" s="31">
        <v>0.05</v>
      </c>
      <c r="E2317" s="32">
        <f>IF(C2317="%MO",G2322,IFERROR(_xlfn.XLOOKUP($B2317,Equipo[DESCRIPCION],Equipo[VALOR],,0),""))</f>
        <v>253259.21599875006</v>
      </c>
      <c r="F2317" s="33"/>
      <c r="G2317" s="34">
        <f>IFERROR(IF(F2317&gt;=0,D2317*E2317*(1+F2317/100),ABS(D2317*E2317/F2317)),"")</f>
        <v>12662.960799937504</v>
      </c>
      <c r="H2317" s="43">
        <f>IFERROR(G2317*E2307,"")</f>
        <v>0</v>
      </c>
    </row>
    <row r="2318" spans="1:11" ht="12.75" customHeight="1">
      <c r="A2318" s="28"/>
      <c r="B2318" s="29"/>
      <c r="C2318" s="30" t="str">
        <f>IFERROR(_xlfn.XLOOKUP(B2318,Equipo[DESCRIPCION],Equipo[UND],,0),"")</f>
        <v/>
      </c>
      <c r="D2318" s="31"/>
      <c r="E2318" s="32" t="str">
        <f>IF(C2318="%MO",G2322,IFERROR(_xlfn.XLOOKUP($B2318,Equipo[DESCRIPCION],Equipo[VALOR],,0),""))</f>
        <v/>
      </c>
      <c r="F2318" s="33"/>
      <c r="G2318" s="34" t="str">
        <f>IFERROR(IF(F2318&gt;=0,D2318*E2318*(1+F2318/100),ABS(D2318*E2318/F2318)),"")</f>
        <v/>
      </c>
      <c r="H2318" s="43" t="str">
        <f>IFERROR(G2318*E2307,"")</f>
        <v/>
      </c>
    </row>
    <row r="2319" spans="1:11" ht="12.75" customHeight="1">
      <c r="A2319" s="21"/>
      <c r="B2319" s="22" t="s">
        <v>2533</v>
      </c>
      <c r="C2319" s="23"/>
      <c r="D2319" s="24"/>
      <c r="E2319" s="25"/>
      <c r="F2319" s="26"/>
      <c r="G2319" s="27">
        <f>SUM(G2320:G2321)</f>
        <v>82148.377500000002</v>
      </c>
      <c r="H2319" s="44">
        <f>G2319*E2307</f>
        <v>0</v>
      </c>
    </row>
    <row r="2320" spans="1:11" ht="12.75" customHeight="1">
      <c r="A2320" s="28"/>
      <c r="B2320" s="29" t="s">
        <v>3664</v>
      </c>
      <c r="C2320" s="30" t="str">
        <f>IFERROR(_xlfn.XLOOKUP(B2320,Transporte[DESCRIPCION],Transporte[UND],,0),"")</f>
        <v>M3-km</v>
      </c>
      <c r="D2320" s="31">
        <f>35*1.53</f>
        <v>53.550000000000004</v>
      </c>
      <c r="E2320" s="32">
        <f>IFERROR(_xlfn.XLOOKUP($B2320,Transporte[DESCRIPCION],Transporte[VALOR],,0),"")</f>
        <v>1534.05</v>
      </c>
      <c r="F2320" s="33"/>
      <c r="G2320" s="34">
        <f>IFERROR(IF(F2320&gt;=0,D2320*E2320*(1+F2320/100),ABS(D2320*E2320/F2320)),"")</f>
        <v>82148.377500000002</v>
      </c>
      <c r="H2320" s="43">
        <f>IFERROR(G2320*E2307,"")</f>
        <v>0</v>
      </c>
    </row>
    <row r="2321" spans="1:11" ht="12.75" customHeight="1">
      <c r="A2321" s="28"/>
      <c r="B2321" s="29"/>
      <c r="C2321" s="30" t="str">
        <f>IFERROR(_xlfn.XLOOKUP(B2321,Transporte[DESCRIPCION],Transporte[UND],,0),"")</f>
        <v/>
      </c>
      <c r="D2321" s="31"/>
      <c r="E2321" s="32" t="str">
        <f>IFERROR(_xlfn.XLOOKUP($B2321,Transporte[DESCRIPCION],Transporte[VALOR],,0),"")</f>
        <v/>
      </c>
      <c r="F2321" s="33"/>
      <c r="G2321" s="34" t="str">
        <f>IFERROR(IF(F2321&gt;=0,D2321*E2321*(1+F2321/100),ABS(D2321*E2321/F2321)),"")</f>
        <v/>
      </c>
      <c r="H2321" s="43" t="str">
        <f>IFERROR(G2321*E2307,"")</f>
        <v/>
      </c>
    </row>
    <row r="2322" spans="1:11" ht="12.75" customHeight="1">
      <c r="A2322" s="21"/>
      <c r="B2322" s="22" t="s">
        <v>3732</v>
      </c>
      <c r="C2322" s="23"/>
      <c r="D2322" s="24"/>
      <c r="E2322" s="25"/>
      <c r="F2322" s="26"/>
      <c r="G2322" s="27">
        <f>SUM(G2323:G2325)</f>
        <v>253259.21599875006</v>
      </c>
      <c r="H2322" s="44">
        <f>G2322*E2307</f>
        <v>0</v>
      </c>
    </row>
    <row r="2323" spans="1:11" ht="12.75" customHeight="1">
      <c r="A2323" s="28"/>
      <c r="B2323" s="29" t="s">
        <v>3714</v>
      </c>
      <c r="C2323" s="30" t="str">
        <f>IFERROR(_xlfn.XLOOKUP(B2323,MObra[DESCRIPCION],MObra[UN],,0),"")</f>
        <v>día</v>
      </c>
      <c r="D2323" s="31">
        <v>1</v>
      </c>
      <c r="E2323" s="32">
        <f>IFERROR(_xlfn.XLOOKUP($B2323,MObra[DESCRIPCION],MObra[VALOR UNIT],,0),"")</f>
        <v>1013036.8639950003</v>
      </c>
      <c r="F2323" s="33">
        <v>-4</v>
      </c>
      <c r="G2323" s="34">
        <f>IFERROR(IF(F2323&gt;=0,D2323*E2323*(1+F2323/100),ABS(D2323*E2323/F2323)),"")</f>
        <v>253259.21599875006</v>
      </c>
      <c r="H2323" s="43">
        <f>IFERROR(G2323*E2307,"")</f>
        <v>0</v>
      </c>
    </row>
    <row r="2324" spans="1:11" ht="12.75" customHeight="1">
      <c r="A2324" s="28"/>
      <c r="B2324" s="29"/>
      <c r="C2324" s="30" t="str">
        <f t="array" ref="C2324">IFERROR(_xlfn.XLOOKUP(B2324,MObra[[#All],[DESCRIPCION]],MObra[[#All],[UN]],,0),"")</f>
        <v/>
      </c>
      <c r="D2324" s="31"/>
      <c r="E2324" s="32" t="str">
        <f>IFERROR(_xlfn.XLOOKUP($B2324,MObra[DESCRIPCION],MObra[VALOR UNIT],,0),"")</f>
        <v/>
      </c>
      <c r="F2324" s="33"/>
      <c r="G2324" s="34" t="str">
        <f>IFERROR(IF(F2324&gt;=0,D2324*E2324*(1+F2324/100),ABS(D2324*E2324/F2324)),"")</f>
        <v/>
      </c>
      <c r="H2324" s="43" t="str">
        <f>IFERROR(G2324*E2307,"")</f>
        <v/>
      </c>
    </row>
    <row r="2325" spans="1:11" ht="12.75" customHeight="1" thickBot="1">
      <c r="A2325" s="35"/>
      <c r="B2325" s="36"/>
      <c r="C2325" s="37" t="str">
        <f t="array" ref="C2325">IFERROR(_xlfn.XLOOKUP(B2325,MObra[[#All],[DESCRIPCION]],MObra[[#All],[UN]],,0),"")</f>
        <v/>
      </c>
      <c r="D2325" s="38"/>
      <c r="E2325" s="39" t="str">
        <f>IFERROR(_xlfn.XLOOKUP($B2325,MObra[DESCRIPCION],MObra[VALOR UNIT],,0),"")</f>
        <v/>
      </c>
      <c r="F2325" s="40"/>
      <c r="G2325" s="41" t="str">
        <f>IFERROR(IF(F2325&gt;=0,D2325*E2325*(1+F2325/100),ABS(D2325*E2325/F2325)),"")</f>
        <v/>
      </c>
      <c r="H2325" s="42" t="str">
        <f>IFERROR(G2325*E2307,"")</f>
        <v/>
      </c>
    </row>
    <row r="2326" spans="1:11" ht="12.75" customHeight="1" thickTop="1" thickBot="1"/>
    <row r="2327" spans="1:11" ht="12.75" customHeight="1" thickTop="1" thickBot="1">
      <c r="A2327" s="6" t="s">
        <v>535</v>
      </c>
      <c r="B2327" s="7" t="str">
        <f>VLOOKUP($A2327,Presupuesto!$A:$D,2,FALSE())</f>
        <v>Viga aérea concreto 20.7 Mpa (área sección transversal &lt;= 1000 cm2)</v>
      </c>
      <c r="C2327" s="8" t="str">
        <f>VLOOKUP($A2327,Presupuesto!$A:$D,3,FALSE())</f>
        <v>M3</v>
      </c>
      <c r="D2327" s="9"/>
      <c r="E2327" s="10">
        <f>VLOOKUP($A2327,Presupuesto!$A:$D,4,FALSE())</f>
        <v>0</v>
      </c>
      <c r="F2327" s="11" t="s">
        <v>2589</v>
      </c>
      <c r="G2327" s="12">
        <f>SUM(G2329:G2348)/2</f>
        <v>1491598.7548763121</v>
      </c>
      <c r="H2327" s="13">
        <f>ROUND(SUM(H2329:H2348),0)/2</f>
        <v>0</v>
      </c>
      <c r="I2327" s="10">
        <f>VLOOKUP(A2327,Presupuesto!$A:$F,6,0)</f>
        <v>0</v>
      </c>
      <c r="J2327" s="10">
        <f>+H2327-I2327</f>
        <v>0</v>
      </c>
      <c r="K2327" s="46">
        <f>+H2327-G2327*E2327</f>
        <v>0</v>
      </c>
    </row>
    <row r="2328" spans="1:11" ht="12.75" customHeight="1" thickTop="1">
      <c r="A2328" s="14"/>
      <c r="B2328" s="15" t="s">
        <v>2586</v>
      </c>
      <c r="C2328" s="15" t="s">
        <v>5</v>
      </c>
      <c r="D2328" s="16" t="s">
        <v>6</v>
      </c>
      <c r="E2328" s="17" t="s">
        <v>7</v>
      </c>
      <c r="F2328" s="18" t="s">
        <v>3728</v>
      </c>
      <c r="G2328" s="19" t="s">
        <v>3729</v>
      </c>
      <c r="H2328" s="20" t="s">
        <v>3797</v>
      </c>
    </row>
    <row r="2329" spans="1:11" ht="12.75" customHeight="1">
      <c r="A2329" s="21"/>
      <c r="B2329" s="22" t="s">
        <v>3730</v>
      </c>
      <c r="C2329" s="23"/>
      <c r="D2329" s="24"/>
      <c r="E2329" s="25"/>
      <c r="F2329" s="26"/>
      <c r="G2329" s="27">
        <f>SUM(G2330:G2334)</f>
        <v>1060761.5959676867</v>
      </c>
      <c r="H2329" s="27">
        <f>IFERROR(G2329*E2327,"")</f>
        <v>0</v>
      </c>
    </row>
    <row r="2330" spans="1:11" ht="12.75" customHeight="1">
      <c r="A2330" s="28"/>
      <c r="B2330" s="29" t="s">
        <v>3239</v>
      </c>
      <c r="C2330" s="30" t="str">
        <f>IFERROR(_xlfn.XLOOKUP(B2330,Insumo[DESCRIPCION],Insumo[UND],,0),"")</f>
        <v>M3</v>
      </c>
      <c r="D2330" s="31">
        <v>1</v>
      </c>
      <c r="E2330" s="32">
        <f>IFERROR(_xlfn.XLOOKUP($B2330,Insumo[DESCRIPCION],Insumo[VALOR],,0),"")</f>
        <v>521159.50227762427</v>
      </c>
      <c r="F2330" s="33">
        <v>5</v>
      </c>
      <c r="G2330" s="34">
        <f>IFERROR(IF(F2330&gt;=0,D2330*E2330*(1+F2330/100),ABS(D2330*E2330/F2330)),"")</f>
        <v>547217.4773915055</v>
      </c>
      <c r="H2330" s="43">
        <f>IFERROR(G2330*E2327,"")</f>
        <v>0</v>
      </c>
    </row>
    <row r="2331" spans="1:11" ht="12.75" customHeight="1">
      <c r="A2331" s="28"/>
      <c r="B2331" s="29" t="s">
        <v>2957</v>
      </c>
      <c r="C2331" s="30" t="str">
        <f>IFERROR(_xlfn.XLOOKUP(B2331,Insumo[DESCRIPCION],Insumo[UND],,0),"")</f>
        <v>M2</v>
      </c>
      <c r="D2331" s="31">
        <v>6.67</v>
      </c>
      <c r="E2331" s="32">
        <f>IFERROR(_xlfn.XLOOKUP($B2331,Insumo[DESCRIPCION],Insumo[VALOR],,0),"")</f>
        <v>149544.7581937575</v>
      </c>
      <c r="F2331" s="33">
        <v>-2</v>
      </c>
      <c r="G2331" s="34">
        <f>IFERROR(IF(F2331&gt;=0,D2331*E2331*(1+F2331/100),ABS(D2331*E2331/F2331)),"")</f>
        <v>498731.76857618126</v>
      </c>
      <c r="H2331" s="43">
        <f>IFERROR(G2331*E2327,"")</f>
        <v>0</v>
      </c>
    </row>
    <row r="2332" spans="1:11" ht="12.75" customHeight="1">
      <c r="A2332" s="28"/>
      <c r="B2332" s="29" t="s">
        <v>2709</v>
      </c>
      <c r="C2332" s="30" t="str">
        <f>IFERROR(_xlfn.XLOOKUP(B2332,Insumo[DESCRIPCION],Insumo[UND],,0),"")</f>
        <v>Kg</v>
      </c>
      <c r="D2332" s="31">
        <v>1</v>
      </c>
      <c r="E2332" s="32">
        <f>IFERROR(_xlfn.XLOOKUP($B2332,Insumo[DESCRIPCION],Insumo[VALOR],,0),"")</f>
        <v>14812.35</v>
      </c>
      <c r="F2332" s="33"/>
      <c r="G2332" s="34">
        <f>IFERROR(IF(F2332&gt;=0,D2332*E2332*(1+F2332/100),ABS(D2332*E2332/F2332)),"")</f>
        <v>14812.35</v>
      </c>
      <c r="H2332" s="43">
        <f>IFERROR(G2332*E2327,"")</f>
        <v>0</v>
      </c>
    </row>
    <row r="2333" spans="1:11" ht="12.75" customHeight="1">
      <c r="A2333" s="28"/>
      <c r="B2333" s="29"/>
      <c r="C2333" s="30" t="str">
        <f>IFERROR(_xlfn.XLOOKUP(B2333,Insumo[DESCRIPCION],Insumo[UND],,0),"")</f>
        <v/>
      </c>
      <c r="D2333" s="31"/>
      <c r="E2333" s="32" t="str">
        <f>IFERROR(_xlfn.XLOOKUP($B2333,Insumo[DESCRIPCION],Insumo[VALOR],,0),"")</f>
        <v/>
      </c>
      <c r="F2333" s="33"/>
      <c r="G2333" s="34" t="str">
        <f>IFERROR(IF(F2333&gt;=0,D2333*E2333*(1+F2333/100),ABS(D2333*E2333/F2333)),"")</f>
        <v/>
      </c>
      <c r="H2333" s="43" t="str">
        <f>IFERROR(G2333*E2327,"")</f>
        <v/>
      </c>
    </row>
    <row r="2334" spans="1:11" ht="12.75" customHeight="1">
      <c r="A2334" s="28"/>
      <c r="B2334" s="29"/>
      <c r="C2334" s="30" t="str">
        <f>IFERROR(_xlfn.XLOOKUP(B2334,Insumo[DESCRIPCION],Insumo[UND],,0),"")</f>
        <v/>
      </c>
      <c r="D2334" s="31"/>
      <c r="E2334" s="32" t="str">
        <f>IFERROR(_xlfn.XLOOKUP($B2334,Insumo[DESCRIPCION],Insumo[VALOR],,0),"")</f>
        <v/>
      </c>
      <c r="F2334" s="33"/>
      <c r="G2334" s="34" t="str">
        <f>IFERROR(IF(F2334&gt;=0,D2334*E2334*(1+F2334/100),ABS(D2334*E2334/F2334)),"")</f>
        <v/>
      </c>
      <c r="H2334" s="43" t="str">
        <f>IFERROR(G2334*E2327,"")</f>
        <v/>
      </c>
    </row>
    <row r="2335" spans="1:11" ht="12.75" customHeight="1">
      <c r="A2335" s="21"/>
      <c r="B2335" s="22" t="s">
        <v>3731</v>
      </c>
      <c r="C2335" s="23"/>
      <c r="D2335" s="24"/>
      <c r="E2335" s="25"/>
      <c r="F2335" s="26"/>
      <c r="G2335" s="27">
        <f>SUM(G2336:G2341)</f>
        <v>98980.255186124996</v>
      </c>
      <c r="H2335" s="44">
        <f>G2335*E2327</f>
        <v>0</v>
      </c>
    </row>
    <row r="2336" spans="1:11" ht="12.75" customHeight="1">
      <c r="A2336" s="28"/>
      <c r="B2336" s="29" t="s">
        <v>3657</v>
      </c>
      <c r="C2336" s="30" t="str">
        <f>IFERROR(_xlfn.XLOOKUP(B2336,Equipo[DESCRIPCION],Equipo[UND],,0),"")</f>
        <v>Día</v>
      </c>
      <c r="D2336" s="31">
        <v>1</v>
      </c>
      <c r="E2336" s="32">
        <f>IF(C2336="%MO",G2345,IFERROR(_xlfn.XLOOKUP($B2336,Equipo[DESCRIPCION],Equipo[VALOR],,0),""))</f>
        <v>56524.65</v>
      </c>
      <c r="F2336" s="33">
        <v>-5</v>
      </c>
      <c r="G2336" s="34">
        <f t="shared" ref="G2336:G2341" si="19">IFERROR(IF(F2336&gt;=0,D2336*E2336*(1+F2336/100),ABS(D2336*E2336/F2336)),"")</f>
        <v>11304.93</v>
      </c>
      <c r="H2336" s="43">
        <f>IFERROR(G2336*E2327,"")</f>
        <v>0</v>
      </c>
    </row>
    <row r="2337" spans="1:11" ht="12.75" customHeight="1">
      <c r="A2337" s="28"/>
      <c r="B2337" s="29" t="s">
        <v>3652</v>
      </c>
      <c r="C2337" s="30" t="str">
        <f>IFERROR(_xlfn.XLOOKUP(B2337,Equipo[DESCRIPCION],Equipo[UND],,0),"")</f>
        <v>Día</v>
      </c>
      <c r="D2337" s="31">
        <v>1</v>
      </c>
      <c r="E2337" s="32">
        <f>IF(C2337="%MO",G2346,IFERROR(_xlfn.XLOOKUP($B2337,Equipo[DESCRIPCION],Equipo[VALOR],,0),""))</f>
        <v>635.25</v>
      </c>
      <c r="F2337" s="33">
        <v>-0.04</v>
      </c>
      <c r="G2337" s="34">
        <f t="shared" si="19"/>
        <v>15881.25</v>
      </c>
      <c r="H2337" s="43">
        <f>IFERROR(G2337*E2327,"")</f>
        <v>0</v>
      </c>
    </row>
    <row r="2338" spans="1:11" ht="12.75" customHeight="1">
      <c r="A2338" s="28"/>
      <c r="B2338" s="29" t="s">
        <v>3591</v>
      </c>
      <c r="C2338" s="30" t="str">
        <f>IFERROR(_xlfn.XLOOKUP(B2338,Equipo[DESCRIPCION],Equipo[UND],,0),"")</f>
        <v>Día</v>
      </c>
      <c r="D2338" s="31">
        <v>1</v>
      </c>
      <c r="E2338" s="32">
        <f>IF(C2338="%MO",G2347,IFERROR(_xlfn.XLOOKUP($B2338,Equipo[DESCRIPCION],Equipo[VALOR],,0),""))</f>
        <v>635.25</v>
      </c>
      <c r="F2338" s="33">
        <v>-0.04</v>
      </c>
      <c r="G2338" s="34">
        <f t="shared" si="19"/>
        <v>15881.25</v>
      </c>
      <c r="H2338" s="43">
        <f>IFERROR(G2338*E2327,"")</f>
        <v>0</v>
      </c>
    </row>
    <row r="2339" spans="1:11" ht="12.75" customHeight="1">
      <c r="A2339" s="28"/>
      <c r="B2339" s="29" t="s">
        <v>3651</v>
      </c>
      <c r="C2339" s="30" t="str">
        <f>IFERROR(_xlfn.XLOOKUP(B2339,Equipo[DESCRIPCION],Equipo[UND],,0),"")</f>
        <v>Día</v>
      </c>
      <c r="D2339" s="31">
        <v>1</v>
      </c>
      <c r="E2339" s="32">
        <f>IF(C2339="%MO",G2348,IFERROR(_xlfn.XLOOKUP($B2339,Equipo[DESCRIPCION],Equipo[VALOR],,0),""))</f>
        <v>981.75</v>
      </c>
      <c r="F2339" s="33">
        <v>-0.04</v>
      </c>
      <c r="G2339" s="34">
        <f t="shared" si="19"/>
        <v>24543.75</v>
      </c>
      <c r="H2339" s="43">
        <f>IFERROR(G2339*E2327,"")</f>
        <v>0</v>
      </c>
    </row>
    <row r="2340" spans="1:11" ht="12.75" customHeight="1">
      <c r="A2340" s="28"/>
      <c r="B2340" s="29" t="s">
        <v>3640</v>
      </c>
      <c r="C2340" s="30" t="str">
        <f>IFERROR(_xlfn.XLOOKUP(B2340,Equipo[DESCRIPCION],Equipo[UND],,0),"")</f>
        <v>Día</v>
      </c>
      <c r="D2340" s="31">
        <v>1</v>
      </c>
      <c r="E2340" s="32">
        <f>IF(C2340="%MO",G2349,IFERROR(_xlfn.XLOOKUP($B2340,Equipo[DESCRIPCION],Equipo[VALOR],,0),""))</f>
        <v>73881.150000000009</v>
      </c>
      <c r="F2340" s="33">
        <v>-5</v>
      </c>
      <c r="G2340" s="34">
        <f t="shared" si="19"/>
        <v>14776.230000000001</v>
      </c>
      <c r="H2340" s="43">
        <f>IFERROR(G2340*E2327,"")</f>
        <v>0</v>
      </c>
    </row>
    <row r="2341" spans="1:11" ht="12.75" customHeight="1">
      <c r="A2341" s="28"/>
      <c r="B2341" s="29" t="s">
        <v>3626</v>
      </c>
      <c r="C2341" s="30" t="str">
        <f>IFERROR(_xlfn.XLOOKUP(B2341,Equipo[DESCRIPCION],Equipo[UND],,0),"")</f>
        <v>%MO</v>
      </c>
      <c r="D2341" s="31">
        <v>0.05</v>
      </c>
      <c r="E2341" s="32">
        <f>IF(C2341="%MO",G2345,IFERROR(_xlfn.XLOOKUP($B2341,Equipo[DESCRIPCION],Equipo[VALOR],,0),""))</f>
        <v>331856.90372250008</v>
      </c>
      <c r="F2341" s="33"/>
      <c r="G2341" s="34">
        <f t="shared" si="19"/>
        <v>16592.845186125003</v>
      </c>
      <c r="H2341" s="43">
        <f>IFERROR(G2341*E2327,"")</f>
        <v>0</v>
      </c>
    </row>
    <row r="2342" spans="1:11" ht="12.75" customHeight="1">
      <c r="A2342" s="21"/>
      <c r="B2342" s="22" t="s">
        <v>2533</v>
      </c>
      <c r="C2342" s="23"/>
      <c r="D2342" s="24"/>
      <c r="E2342" s="25"/>
      <c r="F2342" s="26"/>
      <c r="G2342" s="27">
        <f>SUM(G2343:G2344)</f>
        <v>0</v>
      </c>
      <c r="H2342" s="44">
        <f>G2342*E2327</f>
        <v>0</v>
      </c>
    </row>
    <row r="2343" spans="1:11" ht="12.75" customHeight="1">
      <c r="A2343" s="28"/>
      <c r="B2343" s="29"/>
      <c r="C2343" s="30" t="str">
        <f>IFERROR(_xlfn.XLOOKUP(B2343,Transporte[DESCRIPCION],Transporte[UND],,0),"")</f>
        <v/>
      </c>
      <c r="D2343" s="31"/>
      <c r="E2343" s="32" t="str">
        <f>IFERROR(_xlfn.XLOOKUP($B2343,Transporte[DESCRIPCION],Transporte[VALOR],,0),"")</f>
        <v/>
      </c>
      <c r="F2343" s="33"/>
      <c r="G2343" s="34" t="str">
        <f>IFERROR(IF(F2343&gt;=0,D2343*E2343*(1+F2343/100),ABS(D2343*E2343/F2343)),"")</f>
        <v/>
      </c>
      <c r="H2343" s="43" t="str">
        <f>IFERROR(G2343*E2327,"")</f>
        <v/>
      </c>
    </row>
    <row r="2344" spans="1:11" ht="12.75" customHeight="1">
      <c r="A2344" s="28"/>
      <c r="B2344" s="29"/>
      <c r="C2344" s="30" t="str">
        <f>IFERROR(_xlfn.XLOOKUP(B2344,Transporte[DESCRIPCION],Transporte[UND],,0),"")</f>
        <v/>
      </c>
      <c r="D2344" s="31"/>
      <c r="E2344" s="32" t="str">
        <f>IFERROR(_xlfn.XLOOKUP($B2344,Transporte[DESCRIPCION],Transporte[VALOR],,0),"")</f>
        <v/>
      </c>
      <c r="F2344" s="33"/>
      <c r="G2344" s="34" t="str">
        <f>IFERROR(IF(F2344&gt;=0,D2344*E2344*(1+F2344/100),ABS(D2344*E2344/F2344)),"")</f>
        <v/>
      </c>
      <c r="H2344" s="43" t="str">
        <f>IFERROR(G2344*E2327,"")</f>
        <v/>
      </c>
    </row>
    <row r="2345" spans="1:11" ht="12.75" customHeight="1">
      <c r="A2345" s="21"/>
      <c r="B2345" s="22" t="s">
        <v>3732</v>
      </c>
      <c r="C2345" s="23"/>
      <c r="D2345" s="24"/>
      <c r="E2345" s="25"/>
      <c r="F2345" s="26"/>
      <c r="G2345" s="27">
        <f>SUM(G2346:G2348)</f>
        <v>331856.90372250008</v>
      </c>
      <c r="H2345" s="44">
        <f>G2345*E2327</f>
        <v>0</v>
      </c>
    </row>
    <row r="2346" spans="1:11" ht="12.75" customHeight="1">
      <c r="A2346" s="28"/>
      <c r="B2346" s="29" t="s">
        <v>3713</v>
      </c>
      <c r="C2346" s="30" t="str">
        <f>IFERROR(_xlfn.XLOOKUP(B2346,MObra[DESCRIPCION],MObra[UN],,0),"")</f>
        <v>día</v>
      </c>
      <c r="D2346" s="31">
        <v>1</v>
      </c>
      <c r="E2346" s="32">
        <f>IFERROR(_xlfn.XLOOKUP($B2346,MObra[DESCRIPCION],MObra[VALOR UNIT],,0),"")</f>
        <v>663713.80744500016</v>
      </c>
      <c r="F2346" s="33">
        <v>-2</v>
      </c>
      <c r="G2346" s="34">
        <f>IFERROR(IF(F2346&gt;=0,D2346*E2346*(1+F2346/100),ABS(D2346*E2346/F2346)),"")</f>
        <v>331856.90372250008</v>
      </c>
      <c r="H2346" s="43">
        <f>IFERROR(G2346*E2327,"")</f>
        <v>0</v>
      </c>
    </row>
    <row r="2347" spans="1:11" ht="12.75" customHeight="1">
      <c r="A2347" s="28"/>
      <c r="B2347" s="29"/>
      <c r="C2347" s="30" t="str">
        <f t="array" ref="C2347">IFERROR(_xlfn.XLOOKUP(B2347,MObra[[#All],[DESCRIPCION]],MObra[[#All],[UN]],,0),"")</f>
        <v/>
      </c>
      <c r="D2347" s="31"/>
      <c r="E2347" s="32" t="str">
        <f>IFERROR(_xlfn.XLOOKUP($B2347,MObra[DESCRIPCION],MObra[VALOR UNIT],,0),"")</f>
        <v/>
      </c>
      <c r="F2347" s="33"/>
      <c r="G2347" s="34" t="str">
        <f>IFERROR(IF(F2347&gt;=0,D2347*E2347*(1+F2347/100),ABS(D2347*E2347/F2347)),"")</f>
        <v/>
      </c>
      <c r="H2347" s="43" t="str">
        <f>IFERROR(G2347*E2327,"")</f>
        <v/>
      </c>
    </row>
    <row r="2348" spans="1:11" ht="12.75" customHeight="1" thickBot="1">
      <c r="A2348" s="35"/>
      <c r="B2348" s="36"/>
      <c r="C2348" s="37" t="str">
        <f t="array" ref="C2348">IFERROR(_xlfn.XLOOKUP(B2348,MObra[[#All],[DESCRIPCION]],MObra[[#All],[UN]],,0),"")</f>
        <v/>
      </c>
      <c r="D2348" s="38"/>
      <c r="E2348" s="39" t="str">
        <f>IFERROR(_xlfn.XLOOKUP($B2348,MObra[DESCRIPCION],MObra[VALOR UNIT],,0),"")</f>
        <v/>
      </c>
      <c r="F2348" s="40"/>
      <c r="G2348" s="41" t="str">
        <f>IFERROR(IF(F2348&gt;=0,D2348*E2348*(1+F2348/100),ABS(D2348*E2348/F2348)),"")</f>
        <v/>
      </c>
      <c r="H2348" s="42" t="str">
        <f>IFERROR(G2348*E2327,"")</f>
        <v/>
      </c>
    </row>
    <row r="2349" spans="1:11" ht="12.75" customHeight="1" thickTop="1" thickBot="1"/>
    <row r="2350" spans="1:11" ht="12.75" customHeight="1" thickTop="1" thickBot="1">
      <c r="A2350" s="6" t="s">
        <v>537</v>
      </c>
      <c r="B2350" s="7" t="str">
        <f>VLOOKUP($A2350,Presupuesto!$A:$D,2,FALSE())</f>
        <v>Viga aérea concreto 20.7 Mpa (1000 cm2 &lt;área sección transversal &lt;= 2000 cm2)</v>
      </c>
      <c r="C2350" s="8" t="str">
        <f>VLOOKUP($A2350,Presupuesto!$A:$D,3,FALSE())</f>
        <v>M3</v>
      </c>
      <c r="D2350" s="9"/>
      <c r="E2350" s="10">
        <f>VLOOKUP($A2350,Presupuesto!$A:$D,4,FALSE())</f>
        <v>0</v>
      </c>
      <c r="F2350" s="11" t="s">
        <v>2589</v>
      </c>
      <c r="G2350" s="12">
        <f>SUM(G2352:G2371)/2</f>
        <v>1366728.8817845243</v>
      </c>
      <c r="H2350" s="13">
        <f>ROUND(SUM(H2352:H2371),0)/2</f>
        <v>0</v>
      </c>
      <c r="I2350" s="10">
        <f>VLOOKUP(A2350,Presupuesto!$A:$F,6,0)</f>
        <v>0</v>
      </c>
      <c r="J2350" s="10">
        <f>+H2350-I2350</f>
        <v>0</v>
      </c>
      <c r="K2350" s="46">
        <f>+H2350-G2350*E2350</f>
        <v>0</v>
      </c>
    </row>
    <row r="2351" spans="1:11" ht="12.75" customHeight="1" thickTop="1">
      <c r="A2351" s="14"/>
      <c r="B2351" s="15" t="s">
        <v>2586</v>
      </c>
      <c r="C2351" s="15" t="s">
        <v>5</v>
      </c>
      <c r="D2351" s="16" t="s">
        <v>6</v>
      </c>
      <c r="E2351" s="17" t="s">
        <v>7</v>
      </c>
      <c r="F2351" s="18" t="s">
        <v>3728</v>
      </c>
      <c r="G2351" s="19" t="s">
        <v>3729</v>
      </c>
      <c r="H2351" s="20" t="s">
        <v>3797</v>
      </c>
    </row>
    <row r="2352" spans="1:11" ht="12.75" customHeight="1">
      <c r="A2352" s="21"/>
      <c r="B2352" s="22" t="s">
        <v>3730</v>
      </c>
      <c r="C2352" s="23"/>
      <c r="D2352" s="24"/>
      <c r="E2352" s="25"/>
      <c r="F2352" s="26"/>
      <c r="G2352" s="27">
        <f>SUM(G2353:G2357)</f>
        <v>935891.72287589929</v>
      </c>
      <c r="H2352" s="27">
        <f>IFERROR(G2352*E2350,"")</f>
        <v>0</v>
      </c>
    </row>
    <row r="2353" spans="1:8" ht="12.75" customHeight="1">
      <c r="A2353" s="28"/>
      <c r="B2353" s="29" t="s">
        <v>3239</v>
      </c>
      <c r="C2353" s="30" t="str">
        <f>IFERROR(_xlfn.XLOOKUP(B2353,Insumo[DESCRIPCION],Insumo[UND],,0),"")</f>
        <v>M3</v>
      </c>
      <c r="D2353" s="31">
        <v>1</v>
      </c>
      <c r="E2353" s="32">
        <f>IFERROR(_xlfn.XLOOKUP($B2353,Insumo[DESCRIPCION],Insumo[VALOR],,0),"")</f>
        <v>521159.50227762427</v>
      </c>
      <c r="F2353" s="33">
        <v>5</v>
      </c>
      <c r="G2353" s="34">
        <f>IFERROR(IF(F2353&gt;=0,D2353*E2353*(1+F2353/100),ABS(D2353*E2353/F2353)),"")</f>
        <v>547217.4773915055</v>
      </c>
      <c r="H2353" s="43">
        <f>IFERROR(G2353*E2350,"")</f>
        <v>0</v>
      </c>
    </row>
    <row r="2354" spans="1:8" ht="12.75" customHeight="1">
      <c r="A2354" s="28"/>
      <c r="B2354" s="29" t="s">
        <v>2957</v>
      </c>
      <c r="C2354" s="30" t="str">
        <f>IFERROR(_xlfn.XLOOKUP(B2354,Insumo[DESCRIPCION],Insumo[UND],,0),"")</f>
        <v>M2</v>
      </c>
      <c r="D2354" s="31">
        <f>0.8/0.16</f>
        <v>5</v>
      </c>
      <c r="E2354" s="32">
        <f>IFERROR(_xlfn.XLOOKUP($B2354,Insumo[DESCRIPCION],Insumo[VALOR],,0),"")</f>
        <v>149544.7581937575</v>
      </c>
      <c r="F2354" s="33">
        <v>-2</v>
      </c>
      <c r="G2354" s="34">
        <f>IFERROR(IF(F2354&gt;=0,D2354*E2354*(1+F2354/100),ABS(D2354*E2354/F2354)),"")</f>
        <v>373861.89548439375</v>
      </c>
      <c r="H2354" s="43">
        <f>IFERROR(G2354*E2350,"")</f>
        <v>0</v>
      </c>
    </row>
    <row r="2355" spans="1:8" ht="12.75" customHeight="1">
      <c r="A2355" s="28"/>
      <c r="B2355" s="29" t="s">
        <v>2709</v>
      </c>
      <c r="C2355" s="30" t="str">
        <f>IFERROR(_xlfn.XLOOKUP(B2355,Insumo[DESCRIPCION],Insumo[UND],,0),"")</f>
        <v>Kg</v>
      </c>
      <c r="D2355" s="31">
        <v>1</v>
      </c>
      <c r="E2355" s="32">
        <f>IFERROR(_xlfn.XLOOKUP($B2355,Insumo[DESCRIPCION],Insumo[VALOR],,0),"")</f>
        <v>14812.35</v>
      </c>
      <c r="F2355" s="33"/>
      <c r="G2355" s="34">
        <f>IFERROR(IF(F2355&gt;=0,D2355*E2355*(1+F2355/100),ABS(D2355*E2355/F2355)),"")</f>
        <v>14812.35</v>
      </c>
      <c r="H2355" s="43">
        <f>IFERROR(G2355*E2350,"")</f>
        <v>0</v>
      </c>
    </row>
    <row r="2356" spans="1:8" ht="12.75" customHeight="1">
      <c r="A2356" s="28"/>
      <c r="B2356" s="29"/>
      <c r="C2356" s="30" t="str">
        <f>IFERROR(_xlfn.XLOOKUP(B2356,Insumo[DESCRIPCION],Insumo[UND],,0),"")</f>
        <v/>
      </c>
      <c r="D2356" s="31"/>
      <c r="E2356" s="32" t="str">
        <f>IFERROR(_xlfn.XLOOKUP($B2356,Insumo[DESCRIPCION],Insumo[VALOR],,0),"")</f>
        <v/>
      </c>
      <c r="F2356" s="33"/>
      <c r="G2356" s="34" t="str">
        <f>IFERROR(IF(F2356&gt;=0,D2356*E2356*(1+F2356/100),ABS(D2356*E2356/F2356)),"")</f>
        <v/>
      </c>
      <c r="H2356" s="43" t="str">
        <f>IFERROR(G2356*E2350,"")</f>
        <v/>
      </c>
    </row>
    <row r="2357" spans="1:8" ht="12.75" customHeight="1">
      <c r="A2357" s="28"/>
      <c r="B2357" s="29"/>
      <c r="C2357" s="30" t="str">
        <f>IFERROR(_xlfn.XLOOKUP(B2357,Insumo[DESCRIPCION],Insumo[UND],,0),"")</f>
        <v/>
      </c>
      <c r="D2357" s="31"/>
      <c r="E2357" s="32" t="str">
        <f>IFERROR(_xlfn.XLOOKUP($B2357,Insumo[DESCRIPCION],Insumo[VALOR],,0),"")</f>
        <v/>
      </c>
      <c r="F2357" s="33"/>
      <c r="G2357" s="34" t="str">
        <f>IFERROR(IF(F2357&gt;=0,D2357*E2357*(1+F2357/100),ABS(D2357*E2357/F2357)),"")</f>
        <v/>
      </c>
      <c r="H2357" s="43" t="str">
        <f>IFERROR(G2357*E2350,"")</f>
        <v/>
      </c>
    </row>
    <row r="2358" spans="1:8" ht="12.75" customHeight="1">
      <c r="A2358" s="21"/>
      <c r="B2358" s="22" t="s">
        <v>3731</v>
      </c>
      <c r="C2358" s="23"/>
      <c r="D2358" s="24"/>
      <c r="E2358" s="25"/>
      <c r="F2358" s="26"/>
      <c r="G2358" s="27">
        <f>SUM(G2359:G2364)</f>
        <v>98980.255186124996</v>
      </c>
      <c r="H2358" s="44">
        <f>G2358*E2350</f>
        <v>0</v>
      </c>
    </row>
    <row r="2359" spans="1:8" ht="12.75" customHeight="1">
      <c r="A2359" s="28"/>
      <c r="B2359" s="29" t="s">
        <v>3657</v>
      </c>
      <c r="C2359" s="30" t="str">
        <f>IFERROR(_xlfn.XLOOKUP(B2359,Equipo[DESCRIPCION],Equipo[UND],,0),"")</f>
        <v>Día</v>
      </c>
      <c r="D2359" s="31">
        <v>1</v>
      </c>
      <c r="E2359" s="32">
        <f>IF(C2359="%MO",G2368,IFERROR(_xlfn.XLOOKUP($B2359,Equipo[DESCRIPCION],Equipo[VALOR],,0),""))</f>
        <v>56524.65</v>
      </c>
      <c r="F2359" s="33">
        <v>-5</v>
      </c>
      <c r="G2359" s="34">
        <f t="shared" ref="G2359:G2364" si="20">IFERROR(IF(F2359&gt;=0,D2359*E2359*(1+F2359/100),ABS(D2359*E2359/F2359)),"")</f>
        <v>11304.93</v>
      </c>
      <c r="H2359" s="43">
        <f>IFERROR(G2359*E2350,"")</f>
        <v>0</v>
      </c>
    </row>
    <row r="2360" spans="1:8" ht="12.75" customHeight="1">
      <c r="A2360" s="28"/>
      <c r="B2360" s="29" t="s">
        <v>3652</v>
      </c>
      <c r="C2360" s="30" t="str">
        <f>IFERROR(_xlfn.XLOOKUP(B2360,Equipo[DESCRIPCION],Equipo[UND],,0),"")</f>
        <v>Día</v>
      </c>
      <c r="D2360" s="31">
        <v>1</v>
      </c>
      <c r="E2360" s="32">
        <f>IF(C2360="%MO",G2369,IFERROR(_xlfn.XLOOKUP($B2360,Equipo[DESCRIPCION],Equipo[VALOR],,0),""))</f>
        <v>635.25</v>
      </c>
      <c r="F2360" s="33">
        <v>-0.04</v>
      </c>
      <c r="G2360" s="34">
        <f t="shared" si="20"/>
        <v>15881.25</v>
      </c>
      <c r="H2360" s="43">
        <f>IFERROR(G2360*E2350,"")</f>
        <v>0</v>
      </c>
    </row>
    <row r="2361" spans="1:8" ht="12.75" customHeight="1">
      <c r="A2361" s="28"/>
      <c r="B2361" s="29" t="s">
        <v>3591</v>
      </c>
      <c r="C2361" s="30" t="str">
        <f>IFERROR(_xlfn.XLOOKUP(B2361,Equipo[DESCRIPCION],Equipo[UND],,0),"")</f>
        <v>Día</v>
      </c>
      <c r="D2361" s="31">
        <v>1</v>
      </c>
      <c r="E2361" s="32">
        <f>IF(C2361="%MO",G2370,IFERROR(_xlfn.XLOOKUP($B2361,Equipo[DESCRIPCION],Equipo[VALOR],,0),""))</f>
        <v>635.25</v>
      </c>
      <c r="F2361" s="33">
        <v>-0.04</v>
      </c>
      <c r="G2361" s="34">
        <f t="shared" si="20"/>
        <v>15881.25</v>
      </c>
      <c r="H2361" s="43">
        <f>IFERROR(G2361*E2350,"")</f>
        <v>0</v>
      </c>
    </row>
    <row r="2362" spans="1:8" ht="12.75" customHeight="1">
      <c r="A2362" s="28"/>
      <c r="B2362" s="29" t="s">
        <v>3651</v>
      </c>
      <c r="C2362" s="30" t="str">
        <f>IFERROR(_xlfn.XLOOKUP(B2362,Equipo[DESCRIPCION],Equipo[UND],,0),"")</f>
        <v>Día</v>
      </c>
      <c r="D2362" s="31">
        <v>1</v>
      </c>
      <c r="E2362" s="32">
        <f>IF(C2362="%MO",G2371,IFERROR(_xlfn.XLOOKUP($B2362,Equipo[DESCRIPCION],Equipo[VALOR],,0),""))</f>
        <v>981.75</v>
      </c>
      <c r="F2362" s="33">
        <v>-0.04</v>
      </c>
      <c r="G2362" s="34">
        <f t="shared" si="20"/>
        <v>24543.75</v>
      </c>
      <c r="H2362" s="43">
        <f>IFERROR(G2362*E2350,"")</f>
        <v>0</v>
      </c>
    </row>
    <row r="2363" spans="1:8" ht="12.75" customHeight="1">
      <c r="A2363" s="28"/>
      <c r="B2363" s="29" t="s">
        <v>3640</v>
      </c>
      <c r="C2363" s="30" t="str">
        <f>IFERROR(_xlfn.XLOOKUP(B2363,Equipo[DESCRIPCION],Equipo[UND],,0),"")</f>
        <v>Día</v>
      </c>
      <c r="D2363" s="31">
        <v>1</v>
      </c>
      <c r="E2363" s="32">
        <f>IF(C2363="%MO",G2372,IFERROR(_xlfn.XLOOKUP($B2363,Equipo[DESCRIPCION],Equipo[VALOR],,0),""))</f>
        <v>73881.150000000009</v>
      </c>
      <c r="F2363" s="33">
        <v>-5</v>
      </c>
      <c r="G2363" s="34">
        <f t="shared" si="20"/>
        <v>14776.230000000001</v>
      </c>
      <c r="H2363" s="43">
        <f>IFERROR(G2363*E2350,"")</f>
        <v>0</v>
      </c>
    </row>
    <row r="2364" spans="1:8" ht="12.75" customHeight="1">
      <c r="A2364" s="28"/>
      <c r="B2364" s="29" t="s">
        <v>3626</v>
      </c>
      <c r="C2364" s="30" t="str">
        <f>IFERROR(_xlfn.XLOOKUP(B2364,Equipo[DESCRIPCION],Equipo[UND],,0),"")</f>
        <v>%MO</v>
      </c>
      <c r="D2364" s="31">
        <v>0.05</v>
      </c>
      <c r="E2364" s="32">
        <f>IF(C2364="%MO",G2368,IFERROR(_xlfn.XLOOKUP($B2364,Equipo[DESCRIPCION],Equipo[VALOR],,0),""))</f>
        <v>331856.90372250008</v>
      </c>
      <c r="F2364" s="33"/>
      <c r="G2364" s="34">
        <f t="shared" si="20"/>
        <v>16592.845186125003</v>
      </c>
      <c r="H2364" s="43">
        <f>IFERROR(G2364*E2350,"")</f>
        <v>0</v>
      </c>
    </row>
    <row r="2365" spans="1:8" ht="12.75" customHeight="1">
      <c r="A2365" s="21"/>
      <c r="B2365" s="22" t="s">
        <v>2533</v>
      </c>
      <c r="C2365" s="23"/>
      <c r="D2365" s="24"/>
      <c r="E2365" s="25"/>
      <c r="F2365" s="26"/>
      <c r="G2365" s="27">
        <f>SUM(G2366:G2367)</f>
        <v>0</v>
      </c>
      <c r="H2365" s="44">
        <f>G2365*E2350</f>
        <v>0</v>
      </c>
    </row>
    <row r="2366" spans="1:8" ht="12.75" customHeight="1">
      <c r="A2366" s="28"/>
      <c r="B2366" s="29"/>
      <c r="C2366" s="30" t="str">
        <f>IFERROR(_xlfn.XLOOKUP(B2366,Transporte[DESCRIPCION],Transporte[UND],,0),"")</f>
        <v/>
      </c>
      <c r="D2366" s="31"/>
      <c r="E2366" s="32" t="str">
        <f>IFERROR(_xlfn.XLOOKUP($B2366,Transporte[DESCRIPCION],Transporte[VALOR],,0),"")</f>
        <v/>
      </c>
      <c r="F2366" s="33"/>
      <c r="G2366" s="34" t="str">
        <f>IFERROR(IF(F2366&gt;=0,D2366*E2366*(1+F2366/100),ABS(D2366*E2366/F2366)),"")</f>
        <v/>
      </c>
      <c r="H2366" s="43" t="str">
        <f>IFERROR(G2366*E2350,"")</f>
        <v/>
      </c>
    </row>
    <row r="2367" spans="1:8" ht="12.75" customHeight="1">
      <c r="A2367" s="28"/>
      <c r="B2367" s="29"/>
      <c r="C2367" s="30" t="str">
        <f>IFERROR(_xlfn.XLOOKUP(B2367,Transporte[DESCRIPCION],Transporte[UND],,0),"")</f>
        <v/>
      </c>
      <c r="D2367" s="31"/>
      <c r="E2367" s="32" t="str">
        <f>IFERROR(_xlfn.XLOOKUP($B2367,Transporte[DESCRIPCION],Transporte[VALOR],,0),"")</f>
        <v/>
      </c>
      <c r="F2367" s="33"/>
      <c r="G2367" s="34" t="str">
        <f>IFERROR(IF(F2367&gt;=0,D2367*E2367*(1+F2367/100),ABS(D2367*E2367/F2367)),"")</f>
        <v/>
      </c>
      <c r="H2367" s="43" t="str">
        <f>IFERROR(G2367*E2350,"")</f>
        <v/>
      </c>
    </row>
    <row r="2368" spans="1:8" ht="12.75" customHeight="1">
      <c r="A2368" s="21"/>
      <c r="B2368" s="22" t="s">
        <v>3732</v>
      </c>
      <c r="C2368" s="23"/>
      <c r="D2368" s="24"/>
      <c r="E2368" s="25"/>
      <c r="F2368" s="26"/>
      <c r="G2368" s="27">
        <f>SUM(G2369:G2371)</f>
        <v>331856.90372250008</v>
      </c>
      <c r="H2368" s="44">
        <f>G2368*E2350</f>
        <v>0</v>
      </c>
    </row>
    <row r="2369" spans="1:11" ht="12.75" customHeight="1">
      <c r="A2369" s="28"/>
      <c r="B2369" s="29" t="s">
        <v>3713</v>
      </c>
      <c r="C2369" s="30" t="str">
        <f>IFERROR(_xlfn.XLOOKUP(B2369,MObra[DESCRIPCION],MObra[UN],,0),"")</f>
        <v>día</v>
      </c>
      <c r="D2369" s="31">
        <v>1</v>
      </c>
      <c r="E2369" s="32">
        <f>IFERROR(_xlfn.XLOOKUP($B2369,MObra[DESCRIPCION],MObra[VALOR UNIT],,0),"")</f>
        <v>663713.80744500016</v>
      </c>
      <c r="F2369" s="33">
        <v>-2</v>
      </c>
      <c r="G2369" s="34">
        <f>IFERROR(IF(F2369&gt;=0,D2369*E2369*(1+F2369/100),ABS(D2369*E2369/F2369)),"")</f>
        <v>331856.90372250008</v>
      </c>
      <c r="H2369" s="43">
        <f>IFERROR(G2369*E2350,"")</f>
        <v>0</v>
      </c>
    </row>
    <row r="2370" spans="1:11" ht="12.75" customHeight="1">
      <c r="A2370" s="28"/>
      <c r="B2370" s="29"/>
      <c r="C2370" s="30" t="str">
        <f t="array" ref="C2370">IFERROR(_xlfn.XLOOKUP(B2370,MObra[[#All],[DESCRIPCION]],MObra[[#All],[UN]],,0),"")</f>
        <v/>
      </c>
      <c r="D2370" s="31"/>
      <c r="E2370" s="32" t="str">
        <f>IFERROR(_xlfn.XLOOKUP($B2370,MObra[DESCRIPCION],MObra[VALOR UNIT],,0),"")</f>
        <v/>
      </c>
      <c r="F2370" s="33"/>
      <c r="G2370" s="34" t="str">
        <f>IFERROR(IF(F2370&gt;=0,D2370*E2370*(1+F2370/100),ABS(D2370*E2370/F2370)),"")</f>
        <v/>
      </c>
      <c r="H2370" s="43" t="str">
        <f>IFERROR(G2370*E2350,"")</f>
        <v/>
      </c>
    </row>
    <row r="2371" spans="1:11" ht="12.75" customHeight="1" thickBot="1">
      <c r="A2371" s="35"/>
      <c r="B2371" s="36"/>
      <c r="C2371" s="37" t="str">
        <f t="array" ref="C2371">IFERROR(_xlfn.XLOOKUP(B2371,MObra[[#All],[DESCRIPCION]],MObra[[#All],[UN]],,0),"")</f>
        <v/>
      </c>
      <c r="D2371" s="38"/>
      <c r="E2371" s="39" t="str">
        <f>IFERROR(_xlfn.XLOOKUP($B2371,MObra[DESCRIPCION],MObra[VALOR UNIT],,0),"")</f>
        <v/>
      </c>
      <c r="F2371" s="40"/>
      <c r="G2371" s="41" t="str">
        <f>IFERROR(IF(F2371&gt;=0,D2371*E2371*(1+F2371/100),ABS(D2371*E2371/F2371)),"")</f>
        <v/>
      </c>
      <c r="H2371" s="42" t="str">
        <f>IFERROR(G2371*E2350,"")</f>
        <v/>
      </c>
    </row>
    <row r="2372" spans="1:11" ht="12.75" customHeight="1" thickTop="1" thickBot="1"/>
    <row r="2373" spans="1:11" ht="12.75" customHeight="1" thickTop="1" thickBot="1">
      <c r="A2373" s="6" t="s">
        <v>539</v>
      </c>
      <c r="B2373" s="7" t="str">
        <f>VLOOKUP($A2373,Presupuesto!$A:$D,2,FALSE())</f>
        <v>Viga aérea concreto 20.7 Mpa (área sección transversal &gt; 2000 cm2)</v>
      </c>
      <c r="C2373" s="8" t="str">
        <f>VLOOKUP($A2373,Presupuesto!$A:$D,3,FALSE())</f>
        <v>M3</v>
      </c>
      <c r="D2373" s="9"/>
      <c r="E2373" s="10">
        <f>VLOOKUP($A2373,Presupuesto!$A:$D,4,FALSE())</f>
        <v>0</v>
      </c>
      <c r="F2373" s="11" t="s">
        <v>2589</v>
      </c>
      <c r="G2373" s="12">
        <f>SUM(G2375:G2393)/2</f>
        <v>1291956.5026876456</v>
      </c>
      <c r="H2373" s="13">
        <f>ROUND(SUM(H2375:H2393),0)/2</f>
        <v>0</v>
      </c>
      <c r="I2373" s="10">
        <f>VLOOKUP(A2373,Presupuesto!$A:$F,6,0)</f>
        <v>0</v>
      </c>
      <c r="J2373" s="10">
        <f>+H2373-I2373</f>
        <v>0</v>
      </c>
      <c r="K2373" s="46">
        <f>+H2373-G2373*E2373</f>
        <v>0</v>
      </c>
    </row>
    <row r="2374" spans="1:11" ht="12.75" customHeight="1" thickTop="1">
      <c r="A2374" s="14"/>
      <c r="B2374" s="15" t="s">
        <v>2586</v>
      </c>
      <c r="C2374" s="15" t="s">
        <v>5</v>
      </c>
      <c r="D2374" s="16" t="s">
        <v>6</v>
      </c>
      <c r="E2374" s="17" t="s">
        <v>7</v>
      </c>
      <c r="F2374" s="18" t="s">
        <v>3728</v>
      </c>
      <c r="G2374" s="19" t="s">
        <v>3729</v>
      </c>
      <c r="H2374" s="20" t="s">
        <v>3797</v>
      </c>
    </row>
    <row r="2375" spans="1:11" ht="12.75" customHeight="1">
      <c r="A2375" s="21"/>
      <c r="B2375" s="22" t="s">
        <v>3730</v>
      </c>
      <c r="C2375" s="23"/>
      <c r="D2375" s="24"/>
      <c r="E2375" s="25"/>
      <c r="F2375" s="26"/>
      <c r="G2375" s="27">
        <f>SUM(G2376:G2380)</f>
        <v>861119.34377902048</v>
      </c>
      <c r="H2375" s="27">
        <f>IFERROR(G2375*E2373,"")</f>
        <v>0</v>
      </c>
    </row>
    <row r="2376" spans="1:11" ht="12.75" customHeight="1">
      <c r="A2376" s="28"/>
      <c r="B2376" s="29" t="s">
        <v>3239</v>
      </c>
      <c r="C2376" s="30" t="str">
        <f>IFERROR(_xlfn.XLOOKUP(B2376,Insumo[DESCRIPCION],Insumo[UND],,0),"")</f>
        <v>M3</v>
      </c>
      <c r="D2376" s="31">
        <v>1</v>
      </c>
      <c r="E2376" s="32">
        <f>IFERROR(_xlfn.XLOOKUP($B2376,Insumo[DESCRIPCION],Insumo[VALOR],,0),"")</f>
        <v>521159.50227762427</v>
      </c>
      <c r="F2376" s="33">
        <v>5</v>
      </c>
      <c r="G2376" s="34">
        <f>IFERROR(IF(F2376&gt;=0,D2376*E2376*(1+F2376/100),ABS(D2376*E2376/F2376)),"")</f>
        <v>547217.4773915055</v>
      </c>
      <c r="H2376" s="43">
        <f>IFERROR(G2376*E2373,"")</f>
        <v>0</v>
      </c>
    </row>
    <row r="2377" spans="1:11" ht="12.75" customHeight="1">
      <c r="A2377" s="28"/>
      <c r="B2377" s="29" t="s">
        <v>2957</v>
      </c>
      <c r="C2377" s="30" t="str">
        <f>IFERROR(_xlfn.XLOOKUP(B2377,Insumo[DESCRIPCION],Insumo[UND],,0),"")</f>
        <v>M2</v>
      </c>
      <c r="D2377" s="31">
        <v>4</v>
      </c>
      <c r="E2377" s="32">
        <f>IFERROR(_xlfn.XLOOKUP($B2377,Insumo[DESCRIPCION],Insumo[VALOR],,0),"")</f>
        <v>149544.7581937575</v>
      </c>
      <c r="F2377" s="33">
        <v>-2</v>
      </c>
      <c r="G2377" s="34">
        <f>IFERROR(IF(F2377&gt;=0,D2377*E2377*(1+F2377/100),ABS(D2377*E2377/F2377)),"")</f>
        <v>299089.516387515</v>
      </c>
      <c r="H2377" s="43">
        <f>IFERROR(G2377*E2373,"")</f>
        <v>0</v>
      </c>
    </row>
    <row r="2378" spans="1:11" ht="12.75" customHeight="1">
      <c r="A2378" s="28"/>
      <c r="B2378" s="29" t="s">
        <v>2709</v>
      </c>
      <c r="C2378" s="30" t="str">
        <f>IFERROR(_xlfn.XLOOKUP(B2378,Insumo[DESCRIPCION],Insumo[UND],,0),"")</f>
        <v>Kg</v>
      </c>
      <c r="D2378" s="31">
        <v>1</v>
      </c>
      <c r="E2378" s="32">
        <f>IFERROR(_xlfn.XLOOKUP($B2378,Insumo[DESCRIPCION],Insumo[VALOR],,0),"")</f>
        <v>14812.35</v>
      </c>
      <c r="F2378" s="33"/>
      <c r="G2378" s="34">
        <f>IFERROR(IF(F2378&gt;=0,D2378*E2378*(1+F2378/100),ABS(D2378*E2378/F2378)),"")</f>
        <v>14812.35</v>
      </c>
      <c r="H2378" s="43">
        <f>IFERROR(G2378*E2373,"")</f>
        <v>0</v>
      </c>
    </row>
    <row r="2379" spans="1:11" ht="12.75" customHeight="1">
      <c r="A2379" s="28"/>
      <c r="B2379" s="29"/>
      <c r="C2379" s="30" t="str">
        <f>IFERROR(_xlfn.XLOOKUP(B2379,Insumo[DESCRIPCION],Insumo[UND],,0),"")</f>
        <v/>
      </c>
      <c r="D2379" s="31"/>
      <c r="E2379" s="32" t="str">
        <f>IFERROR(_xlfn.XLOOKUP($B2379,Insumo[DESCRIPCION],Insumo[VALOR],,0),"")</f>
        <v/>
      </c>
      <c r="F2379" s="33"/>
      <c r="G2379" s="34" t="str">
        <f>IFERROR(IF(F2379&gt;=0,D2379*E2379*(1+F2379/100),ABS(D2379*E2379/F2379)),"")</f>
        <v/>
      </c>
      <c r="H2379" s="43" t="str">
        <f>IFERROR(G2379*E2373,"")</f>
        <v/>
      </c>
    </row>
    <row r="2380" spans="1:11" ht="12.75" customHeight="1">
      <c r="A2380" s="28"/>
      <c r="B2380" s="29"/>
      <c r="C2380" s="30" t="str">
        <f>IFERROR(_xlfn.XLOOKUP(B2380,Insumo[DESCRIPCION],Insumo[UND],,0),"")</f>
        <v/>
      </c>
      <c r="D2380" s="31"/>
      <c r="E2380" s="32" t="str">
        <f>IFERROR(_xlfn.XLOOKUP($B2380,Insumo[DESCRIPCION],Insumo[VALOR],,0),"")</f>
        <v/>
      </c>
      <c r="F2380" s="33"/>
      <c r="G2380" s="34" t="str">
        <f>IFERROR(IF(F2380&gt;=0,D2380*E2380*(1+F2380/100),ABS(D2380*E2380/F2380)),"")</f>
        <v/>
      </c>
      <c r="H2380" s="43" t="str">
        <f>IFERROR(G2380*E2373,"")</f>
        <v/>
      </c>
    </row>
    <row r="2381" spans="1:11" ht="12.75" customHeight="1">
      <c r="A2381" s="21"/>
      <c r="B2381" s="22" t="s">
        <v>3731</v>
      </c>
      <c r="C2381" s="23"/>
      <c r="D2381" s="24"/>
      <c r="E2381" s="25"/>
      <c r="F2381" s="26"/>
      <c r="G2381" s="27">
        <f>SUM(G2382:G2387)</f>
        <v>98980.255186124996</v>
      </c>
      <c r="H2381" s="44">
        <f>G2381*E2373</f>
        <v>0</v>
      </c>
    </row>
    <row r="2382" spans="1:11" ht="12.75" customHeight="1">
      <c r="A2382" s="28"/>
      <c r="B2382" s="29" t="s">
        <v>3657</v>
      </c>
      <c r="C2382" s="30" t="str">
        <f>IFERROR(_xlfn.XLOOKUP(B2382,Equipo[DESCRIPCION],Equipo[UND],,0),"")</f>
        <v>Día</v>
      </c>
      <c r="D2382" s="31">
        <v>1</v>
      </c>
      <c r="E2382" s="32">
        <f>IF(C2382="%MO",G2391,IFERROR(_xlfn.XLOOKUP($B2382,Equipo[DESCRIPCION],Equipo[VALOR],,0),""))</f>
        <v>56524.65</v>
      </c>
      <c r="F2382" s="33">
        <v>-5</v>
      </c>
      <c r="G2382" s="34">
        <f t="shared" ref="G2382:G2387" si="21">IFERROR(IF(F2382&gt;=0,D2382*E2382*(1+F2382/100),ABS(D2382*E2382/F2382)),"")</f>
        <v>11304.93</v>
      </c>
      <c r="H2382" s="43">
        <f>IFERROR(G2382*E2373,"")</f>
        <v>0</v>
      </c>
    </row>
    <row r="2383" spans="1:11" ht="12.75" customHeight="1">
      <c r="A2383" s="28"/>
      <c r="B2383" s="29" t="s">
        <v>3652</v>
      </c>
      <c r="C2383" s="30" t="str">
        <f>IFERROR(_xlfn.XLOOKUP(B2383,Equipo[DESCRIPCION],Equipo[UND],,0),"")</f>
        <v>Día</v>
      </c>
      <c r="D2383" s="31">
        <v>1</v>
      </c>
      <c r="E2383" s="32">
        <f>IF(C2383="%MO",G2392,IFERROR(_xlfn.XLOOKUP($B2383,Equipo[DESCRIPCION],Equipo[VALOR],,0),""))</f>
        <v>635.25</v>
      </c>
      <c r="F2383" s="33">
        <v>-0.04</v>
      </c>
      <c r="G2383" s="34">
        <f t="shared" si="21"/>
        <v>15881.25</v>
      </c>
      <c r="H2383" s="43">
        <f>IFERROR(G2383*E2373,"")</f>
        <v>0</v>
      </c>
    </row>
    <row r="2384" spans="1:11" ht="12.75" customHeight="1">
      <c r="A2384" s="28"/>
      <c r="B2384" s="29" t="s">
        <v>3591</v>
      </c>
      <c r="C2384" s="30" t="str">
        <f>IFERROR(_xlfn.XLOOKUP(B2384,Equipo[DESCRIPCION],Equipo[UND],,0),"")</f>
        <v>Día</v>
      </c>
      <c r="D2384" s="31">
        <v>1</v>
      </c>
      <c r="E2384" s="32">
        <f>IF(C2384="%MO",G2393,IFERROR(_xlfn.XLOOKUP($B2384,Equipo[DESCRIPCION],Equipo[VALOR],,0),""))</f>
        <v>635.25</v>
      </c>
      <c r="F2384" s="33">
        <v>-0.04</v>
      </c>
      <c r="G2384" s="34">
        <f t="shared" si="21"/>
        <v>15881.25</v>
      </c>
      <c r="H2384" s="43">
        <f>IFERROR(G2384*E2373,"")</f>
        <v>0</v>
      </c>
    </row>
    <row r="2385" spans="1:11" ht="12.75" customHeight="1">
      <c r="A2385" s="28"/>
      <c r="B2385" s="29" t="s">
        <v>3651</v>
      </c>
      <c r="C2385" s="30" t="str">
        <f>IFERROR(_xlfn.XLOOKUP(B2385,Equipo[DESCRIPCION],Equipo[UND],,0),"")</f>
        <v>Día</v>
      </c>
      <c r="D2385" s="31">
        <v>1</v>
      </c>
      <c r="E2385" s="32">
        <f>IF(C2385="%MO",G2394,IFERROR(_xlfn.XLOOKUP($B2385,Equipo[DESCRIPCION],Equipo[VALOR],,0),""))</f>
        <v>981.75</v>
      </c>
      <c r="F2385" s="33">
        <v>-0.04</v>
      </c>
      <c r="G2385" s="34">
        <f t="shared" si="21"/>
        <v>24543.75</v>
      </c>
      <c r="H2385" s="43">
        <f>IFERROR(G2385*E2373,"")</f>
        <v>0</v>
      </c>
    </row>
    <row r="2386" spans="1:11" ht="12.75" customHeight="1">
      <c r="A2386" s="28"/>
      <c r="B2386" s="29" t="s">
        <v>3640</v>
      </c>
      <c r="C2386" s="30" t="str">
        <f>IFERROR(_xlfn.XLOOKUP(B2386,Equipo[DESCRIPCION],Equipo[UND],,0),"")</f>
        <v>Día</v>
      </c>
      <c r="D2386" s="31">
        <v>1</v>
      </c>
      <c r="E2386" s="32">
        <f>IF(C2386="%MO",G2396,IFERROR(_xlfn.XLOOKUP($B2386,Equipo[DESCRIPCION],Equipo[VALOR],,0),""))</f>
        <v>73881.150000000009</v>
      </c>
      <c r="F2386" s="33">
        <v>-5</v>
      </c>
      <c r="G2386" s="34">
        <f t="shared" si="21"/>
        <v>14776.230000000001</v>
      </c>
      <c r="H2386" s="43">
        <f>IFERROR(G2386*E2373,"")</f>
        <v>0</v>
      </c>
    </row>
    <row r="2387" spans="1:11" ht="12.75" customHeight="1">
      <c r="A2387" s="28"/>
      <c r="B2387" s="29" t="s">
        <v>3626</v>
      </c>
      <c r="C2387" s="30" t="str">
        <f>IFERROR(_xlfn.XLOOKUP(B2387,Equipo[DESCRIPCION],Equipo[UND],,0),"")</f>
        <v>%MO</v>
      </c>
      <c r="D2387" s="31">
        <v>0.05</v>
      </c>
      <c r="E2387" s="32">
        <f>IF(C2387="%MO",G2391,IFERROR(_xlfn.XLOOKUP($B2387,Equipo[DESCRIPCION],Equipo[VALOR],,0),""))</f>
        <v>331856.90372250008</v>
      </c>
      <c r="F2387" s="33"/>
      <c r="G2387" s="34">
        <f t="shared" si="21"/>
        <v>16592.845186125003</v>
      </c>
      <c r="H2387" s="43">
        <f>IFERROR(G2387*E2373,"")</f>
        <v>0</v>
      </c>
    </row>
    <row r="2388" spans="1:11" ht="12.75" customHeight="1">
      <c r="A2388" s="21"/>
      <c r="B2388" s="22" t="s">
        <v>2533</v>
      </c>
      <c r="C2388" s="23"/>
      <c r="D2388" s="24"/>
      <c r="E2388" s="25"/>
      <c r="F2388" s="26"/>
      <c r="G2388" s="27">
        <f>SUM(G2389:G2390)</f>
        <v>0</v>
      </c>
      <c r="H2388" s="44">
        <f>G2388*E2373</f>
        <v>0</v>
      </c>
    </row>
    <row r="2389" spans="1:11" ht="12.75" customHeight="1">
      <c r="A2389" s="28"/>
      <c r="B2389" s="29"/>
      <c r="C2389" s="30" t="str">
        <f>IFERROR(_xlfn.XLOOKUP(B2389,Transporte[DESCRIPCION],Transporte[UND],,0),"")</f>
        <v/>
      </c>
      <c r="D2389" s="31"/>
      <c r="E2389" s="32" t="str">
        <f>IFERROR(_xlfn.XLOOKUP($B2389,Transporte[DESCRIPCION],Transporte[VALOR],,0),"")</f>
        <v/>
      </c>
      <c r="F2389" s="33"/>
      <c r="G2389" s="34" t="str">
        <f>IFERROR(IF(F2389&gt;=0,D2389*E2389*(1+F2389/100),ABS(D2389*E2389/F2389)),"")</f>
        <v/>
      </c>
      <c r="H2389" s="43" t="str">
        <f>IFERROR(G2389*E2373,"")</f>
        <v/>
      </c>
    </row>
    <row r="2390" spans="1:11" ht="12.75" customHeight="1">
      <c r="A2390" s="28"/>
      <c r="B2390" s="29"/>
      <c r="C2390" s="30" t="str">
        <f>IFERROR(_xlfn.XLOOKUP(B2390,Transporte[DESCRIPCION],Transporte[UND],,0),"")</f>
        <v/>
      </c>
      <c r="D2390" s="31"/>
      <c r="E2390" s="32" t="str">
        <f>IFERROR(_xlfn.XLOOKUP($B2390,Transporte[DESCRIPCION],Transporte[VALOR],,0),"")</f>
        <v/>
      </c>
      <c r="F2390" s="33"/>
      <c r="G2390" s="34" t="str">
        <f>IFERROR(IF(F2390&gt;=0,D2390*E2390*(1+F2390/100),ABS(D2390*E2390/F2390)),"")</f>
        <v/>
      </c>
      <c r="H2390" s="43" t="str">
        <f>IFERROR(G2390*E2373,"")</f>
        <v/>
      </c>
    </row>
    <row r="2391" spans="1:11" ht="12.75" customHeight="1">
      <c r="A2391" s="21"/>
      <c r="B2391" s="22" t="s">
        <v>3732</v>
      </c>
      <c r="C2391" s="23"/>
      <c r="D2391" s="24"/>
      <c r="E2391" s="25"/>
      <c r="F2391" s="26"/>
      <c r="G2391" s="27">
        <f>SUM(G2392:G2394)</f>
        <v>331856.90372250008</v>
      </c>
      <c r="H2391" s="44">
        <f>G2391*E2373</f>
        <v>0</v>
      </c>
    </row>
    <row r="2392" spans="1:11" ht="12.75" customHeight="1">
      <c r="A2392" s="28"/>
      <c r="B2392" s="29" t="s">
        <v>3713</v>
      </c>
      <c r="C2392" s="30" t="str">
        <f>IFERROR(_xlfn.XLOOKUP(B2392,MObra[DESCRIPCION],MObra[UN],,0),"")</f>
        <v>día</v>
      </c>
      <c r="D2392" s="31">
        <v>1</v>
      </c>
      <c r="E2392" s="32">
        <f>IFERROR(_xlfn.XLOOKUP($B2392,MObra[DESCRIPCION],MObra[VALOR UNIT],,0),"")</f>
        <v>663713.80744500016</v>
      </c>
      <c r="F2392" s="33">
        <v>-2</v>
      </c>
      <c r="G2392" s="34">
        <f>IFERROR(IF(F2392&gt;=0,D2392*E2392*(1+F2392/100),ABS(D2392*E2392/F2392)),"")</f>
        <v>331856.90372250008</v>
      </c>
      <c r="H2392" s="43">
        <f>IFERROR(G2392*E2373,"")</f>
        <v>0</v>
      </c>
    </row>
    <row r="2393" spans="1:11" ht="12.75" customHeight="1">
      <c r="A2393" s="28"/>
      <c r="B2393" s="29"/>
      <c r="C2393" s="30" t="str">
        <f t="array" ref="C2393">IFERROR(_xlfn.XLOOKUP(B2393,MObra[[#All],[DESCRIPCION]],MObra[[#All],[UN]],,0),"")</f>
        <v/>
      </c>
      <c r="D2393" s="31"/>
      <c r="E2393" s="32" t="str">
        <f>IFERROR(_xlfn.XLOOKUP($B2393,MObra[DESCRIPCION],MObra[VALOR UNIT],,0),"")</f>
        <v/>
      </c>
      <c r="F2393" s="33"/>
      <c r="G2393" s="34" t="str">
        <f>IFERROR(IF(F2393&gt;=0,D2393*E2393*(1+F2393/100),ABS(D2393*E2393/F2393)),"")</f>
        <v/>
      </c>
      <c r="H2393" s="43" t="str">
        <f>IFERROR(G2393*E2373,"")</f>
        <v/>
      </c>
    </row>
    <row r="2394" spans="1:11" ht="12.75" customHeight="1" thickBot="1">
      <c r="A2394" s="35"/>
      <c r="B2394" s="36"/>
      <c r="C2394" s="37" t="str">
        <f t="array" ref="C2394">IFERROR(_xlfn.XLOOKUP(B2394,MObra[[#All],[DESCRIPCION]],MObra[[#All],[UN]],,0),"")</f>
        <v/>
      </c>
      <c r="D2394" s="38"/>
      <c r="E2394" s="39" t="str">
        <f>IFERROR(_xlfn.XLOOKUP($B2394,MObra[DESCRIPCION],MObra[VALOR UNIT],,0),"")</f>
        <v/>
      </c>
      <c r="F2394" s="40"/>
      <c r="G2394" s="41" t="str">
        <f>IFERROR(IF(F2394&gt;=0,D2394*E2394*(1+F2394/100),ABS(D2394*E2394/F2394)),"")</f>
        <v/>
      </c>
      <c r="H2394" s="42" t="str">
        <f>IFERROR(G2394*E2373,"")</f>
        <v/>
      </c>
    </row>
    <row r="2395" spans="1:11" ht="12.75" customHeight="1" thickTop="1" thickBot="1"/>
    <row r="2396" spans="1:11" ht="12.75" customHeight="1" thickTop="1" thickBot="1">
      <c r="A2396" s="6" t="s">
        <v>541</v>
      </c>
      <c r="B2396" s="7" t="str">
        <f>VLOOKUP($A2396,Presupuesto!$A:$D,2,FALSE())</f>
        <v>Viga aérea concreto 24.1 Mpa (área sección transversal &lt;= 1000 cm2)</v>
      </c>
      <c r="C2396" s="8" t="str">
        <f>VLOOKUP($A2396,Presupuesto!$A:$D,3,FALSE())</f>
        <v>M3</v>
      </c>
      <c r="D2396" s="9"/>
      <c r="E2396" s="10">
        <f>VLOOKUP($A2396,Presupuesto!$A:$D,4,FALSE())</f>
        <v>0</v>
      </c>
      <c r="F2396" s="11" t="s">
        <v>2589</v>
      </c>
      <c r="G2396" s="12">
        <f>SUM(G2398:G2416)/2</f>
        <v>1511161.0961557457</v>
      </c>
      <c r="H2396" s="13">
        <f>ROUND(SUM(H2398:H2416),0)/2</f>
        <v>0</v>
      </c>
      <c r="I2396" s="10">
        <f>VLOOKUP(A2396,Presupuesto!$A:$F,6,0)</f>
        <v>0</v>
      </c>
      <c r="J2396" s="10">
        <f>+H2396-I2396</f>
        <v>0</v>
      </c>
      <c r="K2396" s="46">
        <f>+H2396-G2396*E2396</f>
        <v>0</v>
      </c>
    </row>
    <row r="2397" spans="1:11" ht="12.75" customHeight="1" thickTop="1">
      <c r="A2397" s="14"/>
      <c r="B2397" s="15" t="s">
        <v>2586</v>
      </c>
      <c r="C2397" s="15" t="s">
        <v>5</v>
      </c>
      <c r="D2397" s="16" t="s">
        <v>6</v>
      </c>
      <c r="E2397" s="17" t="s">
        <v>7</v>
      </c>
      <c r="F2397" s="18" t="s">
        <v>3728</v>
      </c>
      <c r="G2397" s="19" t="s">
        <v>3729</v>
      </c>
      <c r="H2397" s="20" t="s">
        <v>3797</v>
      </c>
    </row>
    <row r="2398" spans="1:11" ht="12.75" customHeight="1">
      <c r="A2398" s="21"/>
      <c r="B2398" s="22" t="s">
        <v>3730</v>
      </c>
      <c r="C2398" s="23"/>
      <c r="D2398" s="24"/>
      <c r="E2398" s="25"/>
      <c r="F2398" s="26"/>
      <c r="G2398" s="27">
        <f>SUM(G2399:G2403)</f>
        <v>1080323.9372471208</v>
      </c>
      <c r="H2398" s="27">
        <f>IFERROR(G2398*E2396,"")</f>
        <v>0</v>
      </c>
    </row>
    <row r="2399" spans="1:11" ht="12.75" customHeight="1">
      <c r="A2399" s="28"/>
      <c r="B2399" s="29" t="s">
        <v>3240</v>
      </c>
      <c r="C2399" s="30" t="str">
        <f>IFERROR(_xlfn.XLOOKUP(B2399,Insumo[DESCRIPCION],Insumo[UND],,0),"")</f>
        <v>M3</v>
      </c>
      <c r="D2399" s="31">
        <v>1</v>
      </c>
      <c r="E2399" s="32">
        <f>IFERROR(_xlfn.XLOOKUP($B2399,Insumo[DESCRIPCION],Insumo[VALOR],,0),"")</f>
        <v>539790.3034961326</v>
      </c>
      <c r="F2399" s="33">
        <v>5</v>
      </c>
      <c r="G2399" s="34">
        <f>IFERROR(IF(F2399&gt;=0,D2399*E2399*(1+F2399/100),ABS(D2399*E2399/F2399)),"")</f>
        <v>566779.8186709393</v>
      </c>
      <c r="H2399" s="43">
        <f>IFERROR(G2399*E2396,"")</f>
        <v>0</v>
      </c>
    </row>
    <row r="2400" spans="1:11" ht="12.75" customHeight="1">
      <c r="A2400" s="28"/>
      <c r="B2400" s="29" t="s">
        <v>2957</v>
      </c>
      <c r="C2400" s="30" t="str">
        <f>IFERROR(_xlfn.XLOOKUP(B2400,Insumo[DESCRIPCION],Insumo[UND],,0),"")</f>
        <v>M2</v>
      </c>
      <c r="D2400" s="31">
        <v>6.67</v>
      </c>
      <c r="E2400" s="32">
        <f>IFERROR(_xlfn.XLOOKUP($B2400,Insumo[DESCRIPCION],Insumo[VALOR],,0),"")</f>
        <v>149544.7581937575</v>
      </c>
      <c r="F2400" s="33">
        <v>-2</v>
      </c>
      <c r="G2400" s="34">
        <f>IFERROR(IF(F2400&gt;=0,D2400*E2400*(1+F2400/100),ABS(D2400*E2400/F2400)),"")</f>
        <v>498731.76857618126</v>
      </c>
      <c r="H2400" s="43">
        <f>IFERROR(G2400*E2396,"")</f>
        <v>0</v>
      </c>
    </row>
    <row r="2401" spans="1:8" ht="12.75" customHeight="1">
      <c r="A2401" s="28"/>
      <c r="B2401" s="29" t="s">
        <v>2709</v>
      </c>
      <c r="C2401" s="30" t="str">
        <f>IFERROR(_xlfn.XLOOKUP(B2401,Insumo[DESCRIPCION],Insumo[UND],,0),"")</f>
        <v>Kg</v>
      </c>
      <c r="D2401" s="31">
        <v>1</v>
      </c>
      <c r="E2401" s="32">
        <f>IFERROR(_xlfn.XLOOKUP($B2401,Insumo[DESCRIPCION],Insumo[VALOR],,0),"")</f>
        <v>14812.35</v>
      </c>
      <c r="F2401" s="33"/>
      <c r="G2401" s="34">
        <f>IFERROR(IF(F2401&gt;=0,D2401*E2401*(1+F2401/100),ABS(D2401*E2401/F2401)),"")</f>
        <v>14812.35</v>
      </c>
      <c r="H2401" s="43">
        <f>IFERROR(G2401*E2396,"")</f>
        <v>0</v>
      </c>
    </row>
    <row r="2402" spans="1:8" ht="12.75" customHeight="1">
      <c r="A2402" s="28"/>
      <c r="B2402" s="29"/>
      <c r="C2402" s="30" t="str">
        <f>IFERROR(_xlfn.XLOOKUP(B2402,Insumo[DESCRIPCION],Insumo[UND],,0),"")</f>
        <v/>
      </c>
      <c r="D2402" s="31"/>
      <c r="E2402" s="32" t="str">
        <f>IFERROR(_xlfn.XLOOKUP($B2402,Insumo[DESCRIPCION],Insumo[VALOR],,0),"")</f>
        <v/>
      </c>
      <c r="F2402" s="33"/>
      <c r="G2402" s="34" t="str">
        <f>IFERROR(IF(F2402&gt;=0,D2402*E2402*(1+F2402/100),ABS(D2402*E2402/F2402)),"")</f>
        <v/>
      </c>
      <c r="H2402" s="43" t="str">
        <f>IFERROR(G2402*E2396,"")</f>
        <v/>
      </c>
    </row>
    <row r="2403" spans="1:8" ht="12.75" customHeight="1">
      <c r="A2403" s="28"/>
      <c r="B2403" s="29"/>
      <c r="C2403" s="30" t="str">
        <f>IFERROR(_xlfn.XLOOKUP(B2403,Insumo[DESCRIPCION],Insumo[UND],,0),"")</f>
        <v/>
      </c>
      <c r="D2403" s="31"/>
      <c r="E2403" s="32" t="str">
        <f>IFERROR(_xlfn.XLOOKUP($B2403,Insumo[DESCRIPCION],Insumo[VALOR],,0),"")</f>
        <v/>
      </c>
      <c r="F2403" s="33"/>
      <c r="G2403" s="34" t="str">
        <f>IFERROR(IF(F2403&gt;=0,D2403*E2403*(1+F2403/100),ABS(D2403*E2403/F2403)),"")</f>
        <v/>
      </c>
      <c r="H2403" s="43" t="str">
        <f>IFERROR(G2403*E2396,"")</f>
        <v/>
      </c>
    </row>
    <row r="2404" spans="1:8" ht="12.75" customHeight="1">
      <c r="A2404" s="21"/>
      <c r="B2404" s="22" t="s">
        <v>3731</v>
      </c>
      <c r="C2404" s="23"/>
      <c r="D2404" s="24"/>
      <c r="E2404" s="25"/>
      <c r="F2404" s="26"/>
      <c r="G2404" s="27">
        <f>SUM(G2405:G2410)</f>
        <v>98980.255186124996</v>
      </c>
      <c r="H2404" s="44">
        <f>G2404*E2396</f>
        <v>0</v>
      </c>
    </row>
    <row r="2405" spans="1:8" ht="12.75" customHeight="1">
      <c r="A2405" s="28"/>
      <c r="B2405" s="29" t="s">
        <v>3657</v>
      </c>
      <c r="C2405" s="30" t="str">
        <f>IFERROR(_xlfn.XLOOKUP(B2405,Equipo[DESCRIPCION],Equipo[UND],,0),"")</f>
        <v>Día</v>
      </c>
      <c r="D2405" s="31">
        <v>1</v>
      </c>
      <c r="E2405" s="32">
        <f>IF(C2405="%MO",G2414,IFERROR(_xlfn.XLOOKUP($B2405,Equipo[DESCRIPCION],Equipo[VALOR],,0),""))</f>
        <v>56524.65</v>
      </c>
      <c r="F2405" s="33">
        <v>-5</v>
      </c>
      <c r="G2405" s="34">
        <f t="shared" ref="G2405:G2410" si="22">IFERROR(IF(F2405&gt;=0,D2405*E2405*(1+F2405/100),ABS(D2405*E2405/F2405)),"")</f>
        <v>11304.93</v>
      </c>
      <c r="H2405" s="43">
        <f>IFERROR(G2405*E2396,"")</f>
        <v>0</v>
      </c>
    </row>
    <row r="2406" spans="1:8" ht="12.75" customHeight="1">
      <c r="A2406" s="28"/>
      <c r="B2406" s="29" t="s">
        <v>3652</v>
      </c>
      <c r="C2406" s="30" t="str">
        <f>IFERROR(_xlfn.XLOOKUP(B2406,Equipo[DESCRIPCION],Equipo[UND],,0),"")</f>
        <v>Día</v>
      </c>
      <c r="D2406" s="31">
        <v>1</v>
      </c>
      <c r="E2406" s="32">
        <f>IF(C2406="%MO",G2415,IFERROR(_xlfn.XLOOKUP($B2406,Equipo[DESCRIPCION],Equipo[VALOR],,0),""))</f>
        <v>635.25</v>
      </c>
      <c r="F2406" s="33">
        <v>-0.04</v>
      </c>
      <c r="G2406" s="34">
        <f t="shared" si="22"/>
        <v>15881.25</v>
      </c>
      <c r="H2406" s="43">
        <f>IFERROR(G2406*E2396,"")</f>
        <v>0</v>
      </c>
    </row>
    <row r="2407" spans="1:8" ht="12.75" customHeight="1">
      <c r="A2407" s="28"/>
      <c r="B2407" s="29" t="s">
        <v>3591</v>
      </c>
      <c r="C2407" s="30" t="str">
        <f>IFERROR(_xlfn.XLOOKUP(B2407,Equipo[DESCRIPCION],Equipo[UND],,0),"")</f>
        <v>Día</v>
      </c>
      <c r="D2407" s="31">
        <v>1</v>
      </c>
      <c r="E2407" s="32">
        <f>IF(C2407="%MO",G2416,IFERROR(_xlfn.XLOOKUP($B2407,Equipo[DESCRIPCION],Equipo[VALOR],,0),""))</f>
        <v>635.25</v>
      </c>
      <c r="F2407" s="33">
        <v>-0.04</v>
      </c>
      <c r="G2407" s="34">
        <f t="shared" si="22"/>
        <v>15881.25</v>
      </c>
      <c r="H2407" s="43">
        <f>IFERROR(G2407*E2396,"")</f>
        <v>0</v>
      </c>
    </row>
    <row r="2408" spans="1:8" ht="12.75" customHeight="1">
      <c r="A2408" s="28"/>
      <c r="B2408" s="29" t="s">
        <v>3651</v>
      </c>
      <c r="C2408" s="30" t="str">
        <f>IFERROR(_xlfn.XLOOKUP(B2408,Equipo[DESCRIPCION],Equipo[UND],,0),"")</f>
        <v>Día</v>
      </c>
      <c r="D2408" s="31">
        <v>1</v>
      </c>
      <c r="E2408" s="32">
        <f>IF(C2408="%MO",G2417,IFERROR(_xlfn.XLOOKUP($B2408,Equipo[DESCRIPCION],Equipo[VALOR],,0),""))</f>
        <v>981.75</v>
      </c>
      <c r="F2408" s="33">
        <v>-0.04</v>
      </c>
      <c r="G2408" s="34">
        <f t="shared" si="22"/>
        <v>24543.75</v>
      </c>
      <c r="H2408" s="43">
        <f>IFERROR(G2408*E2396,"")</f>
        <v>0</v>
      </c>
    </row>
    <row r="2409" spans="1:8" ht="12.75" customHeight="1">
      <c r="A2409" s="28"/>
      <c r="B2409" s="29" t="s">
        <v>3640</v>
      </c>
      <c r="C2409" s="30" t="str">
        <f>IFERROR(_xlfn.XLOOKUP(B2409,Equipo[DESCRIPCION],Equipo[UND],,0),"")</f>
        <v>Día</v>
      </c>
      <c r="D2409" s="31">
        <v>1</v>
      </c>
      <c r="E2409" s="32">
        <f>IF(C2409="%MO",G2419,IFERROR(_xlfn.XLOOKUP($B2409,Equipo[DESCRIPCION],Equipo[VALOR],,0),""))</f>
        <v>73881.150000000009</v>
      </c>
      <c r="F2409" s="33">
        <v>-5</v>
      </c>
      <c r="G2409" s="34">
        <f t="shared" si="22"/>
        <v>14776.230000000001</v>
      </c>
      <c r="H2409" s="43">
        <f>IFERROR(G2409*E2396,"")</f>
        <v>0</v>
      </c>
    </row>
    <row r="2410" spans="1:8" ht="12.75" customHeight="1">
      <c r="A2410" s="28"/>
      <c r="B2410" s="29" t="s">
        <v>3626</v>
      </c>
      <c r="C2410" s="30" t="str">
        <f>IFERROR(_xlfn.XLOOKUP(B2410,Equipo[DESCRIPCION],Equipo[UND],,0),"")</f>
        <v>%MO</v>
      </c>
      <c r="D2410" s="31">
        <v>0.05</v>
      </c>
      <c r="E2410" s="32">
        <f>IF(C2410="%MO",G2414,IFERROR(_xlfn.XLOOKUP($B2410,Equipo[DESCRIPCION],Equipo[VALOR],,0),""))</f>
        <v>331856.90372250008</v>
      </c>
      <c r="F2410" s="33"/>
      <c r="G2410" s="34">
        <f t="shared" si="22"/>
        <v>16592.845186125003</v>
      </c>
      <c r="H2410" s="43">
        <f>IFERROR(G2410*E2396,"")</f>
        <v>0</v>
      </c>
    </row>
    <row r="2411" spans="1:8" ht="12.75" customHeight="1">
      <c r="A2411" s="21"/>
      <c r="B2411" s="22" t="s">
        <v>2533</v>
      </c>
      <c r="C2411" s="23"/>
      <c r="D2411" s="24"/>
      <c r="E2411" s="25"/>
      <c r="F2411" s="26"/>
      <c r="G2411" s="27">
        <f>SUM(G2412:G2413)</f>
        <v>0</v>
      </c>
      <c r="H2411" s="44">
        <f>G2411*E2396</f>
        <v>0</v>
      </c>
    </row>
    <row r="2412" spans="1:8" ht="12.75" customHeight="1">
      <c r="A2412" s="28"/>
      <c r="B2412" s="29"/>
      <c r="C2412" s="30" t="str">
        <f>IFERROR(_xlfn.XLOOKUP(B2412,Transporte[DESCRIPCION],Transporte[UND],,0),"")</f>
        <v/>
      </c>
      <c r="D2412" s="31"/>
      <c r="E2412" s="32" t="str">
        <f>IFERROR(_xlfn.XLOOKUP($B2412,Transporte[DESCRIPCION],Transporte[VALOR],,0),"")</f>
        <v/>
      </c>
      <c r="F2412" s="33"/>
      <c r="G2412" s="34" t="str">
        <f>IFERROR(IF(F2412&gt;=0,D2412*E2412*(1+F2412/100),ABS(D2412*E2412/F2412)),"")</f>
        <v/>
      </c>
      <c r="H2412" s="43" t="str">
        <f>IFERROR(G2412*E2396,"")</f>
        <v/>
      </c>
    </row>
    <row r="2413" spans="1:8" ht="12.75" customHeight="1">
      <c r="A2413" s="28"/>
      <c r="B2413" s="29"/>
      <c r="C2413" s="30" t="str">
        <f>IFERROR(_xlfn.XLOOKUP(B2413,Transporte[DESCRIPCION],Transporte[UND],,0),"")</f>
        <v/>
      </c>
      <c r="D2413" s="31"/>
      <c r="E2413" s="32" t="str">
        <f>IFERROR(_xlfn.XLOOKUP($B2413,Transporte[DESCRIPCION],Transporte[VALOR],,0),"")</f>
        <v/>
      </c>
      <c r="F2413" s="33"/>
      <c r="G2413" s="34" t="str">
        <f>IFERROR(IF(F2413&gt;=0,D2413*E2413*(1+F2413/100),ABS(D2413*E2413/F2413)),"")</f>
        <v/>
      </c>
      <c r="H2413" s="43" t="str">
        <f>IFERROR(G2413*E2396,"")</f>
        <v/>
      </c>
    </row>
    <row r="2414" spans="1:8" ht="12.75" customHeight="1">
      <c r="A2414" s="21"/>
      <c r="B2414" s="22" t="s">
        <v>3732</v>
      </c>
      <c r="C2414" s="23"/>
      <c r="D2414" s="24"/>
      <c r="E2414" s="25"/>
      <c r="F2414" s="26"/>
      <c r="G2414" s="27">
        <f>SUM(G2415:G2417)</f>
        <v>331856.90372250008</v>
      </c>
      <c r="H2414" s="44">
        <f>G2414*E2396</f>
        <v>0</v>
      </c>
    </row>
    <row r="2415" spans="1:8" ht="12.75" customHeight="1">
      <c r="A2415" s="28"/>
      <c r="B2415" s="29" t="s">
        <v>3713</v>
      </c>
      <c r="C2415" s="30" t="str">
        <f>IFERROR(_xlfn.XLOOKUP(B2415,MObra[DESCRIPCION],MObra[UN],,0),"")</f>
        <v>día</v>
      </c>
      <c r="D2415" s="31">
        <v>1</v>
      </c>
      <c r="E2415" s="32">
        <f>IFERROR(_xlfn.XLOOKUP($B2415,MObra[DESCRIPCION],MObra[VALOR UNIT],,0),"")</f>
        <v>663713.80744500016</v>
      </c>
      <c r="F2415" s="33">
        <v>-2</v>
      </c>
      <c r="G2415" s="34">
        <f>IFERROR(IF(F2415&gt;=0,D2415*E2415*(1+F2415/100),ABS(D2415*E2415/F2415)),"")</f>
        <v>331856.90372250008</v>
      </c>
      <c r="H2415" s="43">
        <f>IFERROR(G2415*E2396,"")</f>
        <v>0</v>
      </c>
    </row>
    <row r="2416" spans="1:8" ht="12.75" customHeight="1">
      <c r="A2416" s="28"/>
      <c r="B2416" s="29"/>
      <c r="C2416" s="30" t="str">
        <f t="array" ref="C2416">IFERROR(_xlfn.XLOOKUP(B2416,MObra[[#All],[DESCRIPCION]],MObra[[#All],[UN]],,0),"")</f>
        <v/>
      </c>
      <c r="D2416" s="31"/>
      <c r="E2416" s="32" t="str">
        <f>IFERROR(_xlfn.XLOOKUP($B2416,MObra[DESCRIPCION],MObra[VALOR UNIT],,0),"")</f>
        <v/>
      </c>
      <c r="F2416" s="33"/>
      <c r="G2416" s="34" t="str">
        <f>IFERROR(IF(F2416&gt;=0,D2416*E2416*(1+F2416/100),ABS(D2416*E2416/F2416)),"")</f>
        <v/>
      </c>
      <c r="H2416" s="43" t="str">
        <f>IFERROR(G2416*E2396,"")</f>
        <v/>
      </c>
    </row>
    <row r="2417" spans="1:11" ht="12.75" customHeight="1" thickBot="1">
      <c r="A2417" s="35"/>
      <c r="B2417" s="36"/>
      <c r="C2417" s="37" t="str">
        <f t="array" ref="C2417">IFERROR(_xlfn.XLOOKUP(B2417,MObra[[#All],[DESCRIPCION]],MObra[[#All],[UN]],,0),"")</f>
        <v/>
      </c>
      <c r="D2417" s="38"/>
      <c r="E2417" s="39" t="str">
        <f>IFERROR(_xlfn.XLOOKUP($B2417,MObra[DESCRIPCION],MObra[VALOR UNIT],,0),"")</f>
        <v/>
      </c>
      <c r="F2417" s="40"/>
      <c r="G2417" s="41" t="str">
        <f>IFERROR(IF(F2417&gt;=0,D2417*E2417*(1+F2417/100),ABS(D2417*E2417/F2417)),"")</f>
        <v/>
      </c>
      <c r="H2417" s="42" t="str">
        <f>IFERROR(G2417*E2396,"")</f>
        <v/>
      </c>
    </row>
    <row r="2418" spans="1:11" ht="12.75" customHeight="1" thickTop="1" thickBot="1"/>
    <row r="2419" spans="1:11" ht="12.75" customHeight="1" thickTop="1" thickBot="1">
      <c r="A2419" s="6" t="s">
        <v>543</v>
      </c>
      <c r="B2419" s="7" t="str">
        <f>VLOOKUP($A2419,Presupuesto!$A:$D,2,FALSE())</f>
        <v>Viga aérea concreto 24.1 Mpa (1000 cm2 &lt;área sección transversal &lt;= 2000 cm2)</v>
      </c>
      <c r="C2419" s="8" t="str">
        <f>VLOOKUP($A2419,Presupuesto!$A:$D,3,FALSE())</f>
        <v>M3</v>
      </c>
      <c r="D2419" s="9"/>
      <c r="E2419" s="10">
        <f>VLOOKUP($A2419,Presupuesto!$A:$D,4,FALSE())</f>
        <v>0</v>
      </c>
      <c r="F2419" s="11" t="s">
        <v>2589</v>
      </c>
      <c r="G2419" s="12">
        <f>SUM(G2421:G2440)/2</f>
        <v>1386291.2230639579</v>
      </c>
      <c r="H2419" s="13">
        <f>ROUND(SUM(H2421:H2440),0)/2</f>
        <v>0</v>
      </c>
      <c r="I2419" s="10">
        <f>VLOOKUP(A2419,Presupuesto!$A:$F,6,0)</f>
        <v>0</v>
      </c>
      <c r="J2419" s="10">
        <f>+H2419-I2419</f>
        <v>0</v>
      </c>
      <c r="K2419" s="46">
        <f>+H2419-G2419*E2419</f>
        <v>0</v>
      </c>
    </row>
    <row r="2420" spans="1:11" ht="12.75" customHeight="1" thickTop="1">
      <c r="A2420" s="14"/>
      <c r="B2420" s="15" t="s">
        <v>2586</v>
      </c>
      <c r="C2420" s="15" t="s">
        <v>5</v>
      </c>
      <c r="D2420" s="16" t="s">
        <v>6</v>
      </c>
      <c r="E2420" s="17" t="s">
        <v>7</v>
      </c>
      <c r="F2420" s="18" t="s">
        <v>3728</v>
      </c>
      <c r="G2420" s="19" t="s">
        <v>3729</v>
      </c>
      <c r="H2420" s="20" t="s">
        <v>3797</v>
      </c>
    </row>
    <row r="2421" spans="1:11" ht="12.75" customHeight="1">
      <c r="A2421" s="21"/>
      <c r="B2421" s="22" t="s">
        <v>3730</v>
      </c>
      <c r="C2421" s="23"/>
      <c r="D2421" s="24"/>
      <c r="E2421" s="25"/>
      <c r="F2421" s="26"/>
      <c r="G2421" s="27">
        <f>SUM(G2422:G2426)</f>
        <v>955454.06415533309</v>
      </c>
      <c r="H2421" s="27">
        <f>IFERROR(G2421*E2419,"")</f>
        <v>0</v>
      </c>
    </row>
    <row r="2422" spans="1:11" ht="12.75" customHeight="1">
      <c r="A2422" s="28"/>
      <c r="B2422" s="29" t="s">
        <v>3240</v>
      </c>
      <c r="C2422" s="30" t="str">
        <f>IFERROR(_xlfn.XLOOKUP(B2422,Insumo[DESCRIPCION],Insumo[UND],,0),"")</f>
        <v>M3</v>
      </c>
      <c r="D2422" s="31">
        <v>1</v>
      </c>
      <c r="E2422" s="32">
        <f>IFERROR(_xlfn.XLOOKUP($B2422,Insumo[DESCRIPCION],Insumo[VALOR],,0),"")</f>
        <v>539790.3034961326</v>
      </c>
      <c r="F2422" s="33">
        <v>5</v>
      </c>
      <c r="G2422" s="34">
        <f>IFERROR(IF(F2422&gt;=0,D2422*E2422*(1+F2422/100),ABS(D2422*E2422/F2422)),"")</f>
        <v>566779.8186709393</v>
      </c>
      <c r="H2422" s="43">
        <f>IFERROR(G2422*E2419,"")</f>
        <v>0</v>
      </c>
    </row>
    <row r="2423" spans="1:11" ht="12.75" customHeight="1">
      <c r="A2423" s="28"/>
      <c r="B2423" s="29" t="s">
        <v>2957</v>
      </c>
      <c r="C2423" s="30" t="str">
        <f>IFERROR(_xlfn.XLOOKUP(B2423,Insumo[DESCRIPCION],Insumo[UND],,0),"")</f>
        <v>M2</v>
      </c>
      <c r="D2423" s="31">
        <v>5</v>
      </c>
      <c r="E2423" s="32">
        <f>IFERROR(_xlfn.XLOOKUP($B2423,Insumo[DESCRIPCION],Insumo[VALOR],,0),"")</f>
        <v>149544.7581937575</v>
      </c>
      <c r="F2423" s="33">
        <v>-2</v>
      </c>
      <c r="G2423" s="34">
        <f>IFERROR(IF(F2423&gt;=0,D2423*E2423*(1+F2423/100),ABS(D2423*E2423/F2423)),"")</f>
        <v>373861.89548439375</v>
      </c>
      <c r="H2423" s="43">
        <f>IFERROR(G2423*E2419,"")</f>
        <v>0</v>
      </c>
    </row>
    <row r="2424" spans="1:11" ht="12.75" customHeight="1">
      <c r="A2424" s="28"/>
      <c r="B2424" s="29" t="s">
        <v>2709</v>
      </c>
      <c r="C2424" s="30" t="str">
        <f>IFERROR(_xlfn.XLOOKUP(B2424,Insumo[DESCRIPCION],Insumo[UND],,0),"")</f>
        <v>Kg</v>
      </c>
      <c r="D2424" s="31">
        <v>1</v>
      </c>
      <c r="E2424" s="32">
        <f>IFERROR(_xlfn.XLOOKUP($B2424,Insumo[DESCRIPCION],Insumo[VALOR],,0),"")</f>
        <v>14812.35</v>
      </c>
      <c r="F2424" s="33"/>
      <c r="G2424" s="34">
        <f>IFERROR(IF(F2424&gt;=0,D2424*E2424*(1+F2424/100),ABS(D2424*E2424/F2424)),"")</f>
        <v>14812.35</v>
      </c>
      <c r="H2424" s="43">
        <f>IFERROR(G2424*E2419,"")</f>
        <v>0</v>
      </c>
    </row>
    <row r="2425" spans="1:11" ht="12.75" customHeight="1">
      <c r="A2425" s="28"/>
      <c r="B2425" s="29"/>
      <c r="C2425" s="30" t="str">
        <f>IFERROR(_xlfn.XLOOKUP(B2425,Insumo[DESCRIPCION],Insumo[UND],,0),"")</f>
        <v/>
      </c>
      <c r="D2425" s="31"/>
      <c r="E2425" s="32" t="str">
        <f>IFERROR(_xlfn.XLOOKUP($B2425,Insumo[DESCRIPCION],Insumo[VALOR],,0),"")</f>
        <v/>
      </c>
      <c r="F2425" s="33"/>
      <c r="G2425" s="34" t="str">
        <f>IFERROR(IF(F2425&gt;=0,D2425*E2425*(1+F2425/100),ABS(D2425*E2425/F2425)),"")</f>
        <v/>
      </c>
      <c r="H2425" s="43" t="str">
        <f>IFERROR(G2425*E2419,"")</f>
        <v/>
      </c>
    </row>
    <row r="2426" spans="1:11" ht="12.75" customHeight="1">
      <c r="A2426" s="28"/>
      <c r="B2426" s="29"/>
      <c r="C2426" s="30" t="str">
        <f>IFERROR(_xlfn.XLOOKUP(B2426,Insumo[DESCRIPCION],Insumo[UND],,0),"")</f>
        <v/>
      </c>
      <c r="D2426" s="31"/>
      <c r="E2426" s="32" t="str">
        <f>IFERROR(_xlfn.XLOOKUP($B2426,Insumo[DESCRIPCION],Insumo[VALOR],,0),"")</f>
        <v/>
      </c>
      <c r="F2426" s="33"/>
      <c r="G2426" s="34" t="str">
        <f>IFERROR(IF(F2426&gt;=0,D2426*E2426*(1+F2426/100),ABS(D2426*E2426/F2426)),"")</f>
        <v/>
      </c>
      <c r="H2426" s="43" t="str">
        <f>IFERROR(G2426*E2419,"")</f>
        <v/>
      </c>
    </row>
    <row r="2427" spans="1:11" ht="12.75" customHeight="1">
      <c r="A2427" s="21"/>
      <c r="B2427" s="22" t="s">
        <v>3731</v>
      </c>
      <c r="C2427" s="23"/>
      <c r="D2427" s="24"/>
      <c r="E2427" s="25"/>
      <c r="F2427" s="26"/>
      <c r="G2427" s="27">
        <f>SUM(G2428:G2433)</f>
        <v>98980.255186124996</v>
      </c>
      <c r="H2427" s="44">
        <f>G2427*E2419</f>
        <v>0</v>
      </c>
    </row>
    <row r="2428" spans="1:11" ht="12.75" customHeight="1">
      <c r="A2428" s="28"/>
      <c r="B2428" s="29" t="s">
        <v>3657</v>
      </c>
      <c r="C2428" s="30" t="str">
        <f>IFERROR(_xlfn.XLOOKUP(B2428,Equipo[DESCRIPCION],Equipo[UND],,0),"")</f>
        <v>Día</v>
      </c>
      <c r="D2428" s="31">
        <v>1</v>
      </c>
      <c r="E2428" s="32">
        <f>IF(C2428="%MO",G2437,IFERROR(_xlfn.XLOOKUP($B2428,Equipo[DESCRIPCION],Equipo[VALOR],,0),""))</f>
        <v>56524.65</v>
      </c>
      <c r="F2428" s="33">
        <v>-5</v>
      </c>
      <c r="G2428" s="34">
        <f t="shared" ref="G2428:G2433" si="23">IFERROR(IF(F2428&gt;=0,D2428*E2428*(1+F2428/100),ABS(D2428*E2428/F2428)),"")</f>
        <v>11304.93</v>
      </c>
      <c r="H2428" s="43">
        <f>IFERROR(G2428*E2419,"")</f>
        <v>0</v>
      </c>
    </row>
    <row r="2429" spans="1:11" ht="12.75" customHeight="1">
      <c r="A2429" s="28"/>
      <c r="B2429" s="29" t="s">
        <v>3652</v>
      </c>
      <c r="C2429" s="30" t="str">
        <f>IFERROR(_xlfn.XLOOKUP(B2429,Equipo[DESCRIPCION],Equipo[UND],,0),"")</f>
        <v>Día</v>
      </c>
      <c r="D2429" s="31">
        <v>1</v>
      </c>
      <c r="E2429" s="32">
        <f>IF(C2429="%MO",G2438,IFERROR(_xlfn.XLOOKUP($B2429,Equipo[DESCRIPCION],Equipo[VALOR],,0),""))</f>
        <v>635.25</v>
      </c>
      <c r="F2429" s="33">
        <v>-0.04</v>
      </c>
      <c r="G2429" s="34">
        <f t="shared" si="23"/>
        <v>15881.25</v>
      </c>
      <c r="H2429" s="43">
        <f>IFERROR(G2429*E2419,"")</f>
        <v>0</v>
      </c>
    </row>
    <row r="2430" spans="1:11" ht="12.75" customHeight="1">
      <c r="A2430" s="28"/>
      <c r="B2430" s="29" t="s">
        <v>3591</v>
      </c>
      <c r="C2430" s="30" t="str">
        <f>IFERROR(_xlfn.XLOOKUP(B2430,Equipo[DESCRIPCION],Equipo[UND],,0),"")</f>
        <v>Día</v>
      </c>
      <c r="D2430" s="31">
        <v>1</v>
      </c>
      <c r="E2430" s="32">
        <f>IF(C2430="%MO",G2439,IFERROR(_xlfn.XLOOKUP($B2430,Equipo[DESCRIPCION],Equipo[VALOR],,0),""))</f>
        <v>635.25</v>
      </c>
      <c r="F2430" s="33">
        <v>-0.04</v>
      </c>
      <c r="G2430" s="34">
        <f t="shared" si="23"/>
        <v>15881.25</v>
      </c>
      <c r="H2430" s="43">
        <f>IFERROR(G2430*E2419,"")</f>
        <v>0</v>
      </c>
    </row>
    <row r="2431" spans="1:11" ht="12.75" customHeight="1">
      <c r="A2431" s="28"/>
      <c r="B2431" s="29" t="s">
        <v>3651</v>
      </c>
      <c r="C2431" s="30" t="str">
        <f>IFERROR(_xlfn.XLOOKUP(B2431,Equipo[DESCRIPCION],Equipo[UND],,0),"")</f>
        <v>Día</v>
      </c>
      <c r="D2431" s="31">
        <v>1</v>
      </c>
      <c r="E2431" s="32">
        <f>IF(C2431="%MO",G2440,IFERROR(_xlfn.XLOOKUP($B2431,Equipo[DESCRIPCION],Equipo[VALOR],,0),""))</f>
        <v>981.75</v>
      </c>
      <c r="F2431" s="33">
        <v>-0.04</v>
      </c>
      <c r="G2431" s="34">
        <f t="shared" si="23"/>
        <v>24543.75</v>
      </c>
      <c r="H2431" s="43">
        <f>IFERROR(G2431*E2419,"")</f>
        <v>0</v>
      </c>
    </row>
    <row r="2432" spans="1:11" ht="12.75" customHeight="1">
      <c r="A2432" s="28"/>
      <c r="B2432" s="29" t="s">
        <v>3640</v>
      </c>
      <c r="C2432" s="30" t="str">
        <f>IFERROR(_xlfn.XLOOKUP(B2432,Equipo[DESCRIPCION],Equipo[UND],,0),"")</f>
        <v>Día</v>
      </c>
      <c r="D2432" s="31">
        <v>1</v>
      </c>
      <c r="E2432" s="32">
        <f>IF(C2432="%MO",G2442,IFERROR(_xlfn.XLOOKUP($B2432,Equipo[DESCRIPCION],Equipo[VALOR],,0),""))</f>
        <v>73881.150000000009</v>
      </c>
      <c r="F2432" s="33">
        <v>-5</v>
      </c>
      <c r="G2432" s="34">
        <f t="shared" si="23"/>
        <v>14776.230000000001</v>
      </c>
      <c r="H2432" s="43">
        <f>IFERROR(G2432*E2419,"")</f>
        <v>0</v>
      </c>
    </row>
    <row r="2433" spans="1:11" ht="12.75" customHeight="1">
      <c r="A2433" s="28"/>
      <c r="B2433" s="29" t="s">
        <v>3626</v>
      </c>
      <c r="C2433" s="30" t="str">
        <f>IFERROR(_xlfn.XLOOKUP(B2433,Equipo[DESCRIPCION],Equipo[UND],,0),"")</f>
        <v>%MO</v>
      </c>
      <c r="D2433" s="31">
        <v>0.05</v>
      </c>
      <c r="E2433" s="32">
        <f>IF(C2433="%MO",G2437,IFERROR(_xlfn.XLOOKUP($B2433,Equipo[DESCRIPCION],Equipo[VALOR],,0),""))</f>
        <v>331856.90372250008</v>
      </c>
      <c r="F2433" s="33"/>
      <c r="G2433" s="34">
        <f t="shared" si="23"/>
        <v>16592.845186125003</v>
      </c>
      <c r="H2433" s="43">
        <f>IFERROR(G2433*E2419,"")</f>
        <v>0</v>
      </c>
    </row>
    <row r="2434" spans="1:11" ht="12.75" customHeight="1">
      <c r="A2434" s="21"/>
      <c r="B2434" s="22" t="s">
        <v>2533</v>
      </c>
      <c r="C2434" s="23"/>
      <c r="D2434" s="24"/>
      <c r="E2434" s="25"/>
      <c r="F2434" s="26"/>
      <c r="G2434" s="27">
        <f>SUM(G2435:G2436)</f>
        <v>0</v>
      </c>
      <c r="H2434" s="44">
        <f>G2434*E2419</f>
        <v>0</v>
      </c>
    </row>
    <row r="2435" spans="1:11" ht="12.75" customHeight="1">
      <c r="A2435" s="28"/>
      <c r="B2435" s="29"/>
      <c r="C2435" s="30" t="str">
        <f>IFERROR(_xlfn.XLOOKUP(B2435,Transporte[DESCRIPCION],Transporte[UND],,0),"")</f>
        <v/>
      </c>
      <c r="D2435" s="31"/>
      <c r="E2435" s="32" t="str">
        <f>IFERROR(_xlfn.XLOOKUP($B2435,Transporte[DESCRIPCION],Transporte[VALOR],,0),"")</f>
        <v/>
      </c>
      <c r="F2435" s="33"/>
      <c r="G2435" s="34" t="str">
        <f>IFERROR(IF(F2435&gt;=0,D2435*E2435*(1+F2435/100),ABS(D2435*E2435/F2435)),"")</f>
        <v/>
      </c>
      <c r="H2435" s="43" t="str">
        <f>IFERROR(G2435*E2419,"")</f>
        <v/>
      </c>
    </row>
    <row r="2436" spans="1:11" ht="12.75" customHeight="1">
      <c r="A2436" s="28"/>
      <c r="B2436" s="29"/>
      <c r="C2436" s="30" t="str">
        <f>IFERROR(_xlfn.XLOOKUP(B2436,Transporte[DESCRIPCION],Transporte[UND],,0),"")</f>
        <v/>
      </c>
      <c r="D2436" s="31"/>
      <c r="E2436" s="32" t="str">
        <f>IFERROR(_xlfn.XLOOKUP($B2436,Transporte[DESCRIPCION],Transporte[VALOR],,0),"")</f>
        <v/>
      </c>
      <c r="F2436" s="33"/>
      <c r="G2436" s="34" t="str">
        <f>IFERROR(IF(F2436&gt;=0,D2436*E2436*(1+F2436/100),ABS(D2436*E2436/F2436)),"")</f>
        <v/>
      </c>
      <c r="H2436" s="43" t="str">
        <f>IFERROR(G2436*E2419,"")</f>
        <v/>
      </c>
    </row>
    <row r="2437" spans="1:11" ht="12.75" customHeight="1">
      <c r="A2437" s="21"/>
      <c r="B2437" s="22" t="s">
        <v>3732</v>
      </c>
      <c r="C2437" s="23"/>
      <c r="D2437" s="24"/>
      <c r="E2437" s="25"/>
      <c r="F2437" s="26"/>
      <c r="G2437" s="27">
        <f>SUM(G2438:G2440)</f>
        <v>331856.90372250008</v>
      </c>
      <c r="H2437" s="44">
        <f>G2437*E2419</f>
        <v>0</v>
      </c>
    </row>
    <row r="2438" spans="1:11" ht="12.75" customHeight="1">
      <c r="A2438" s="28"/>
      <c r="B2438" s="29" t="s">
        <v>3713</v>
      </c>
      <c r="C2438" s="30" t="str">
        <f>IFERROR(_xlfn.XLOOKUP(B2438,MObra[DESCRIPCION],MObra[UN],,0),"")</f>
        <v>día</v>
      </c>
      <c r="D2438" s="31">
        <v>1</v>
      </c>
      <c r="E2438" s="32">
        <f>IFERROR(_xlfn.XLOOKUP($B2438,MObra[DESCRIPCION],MObra[VALOR UNIT],,0),"")</f>
        <v>663713.80744500016</v>
      </c>
      <c r="F2438" s="33">
        <v>-2</v>
      </c>
      <c r="G2438" s="34">
        <f>IFERROR(IF(F2438&gt;=0,D2438*E2438*(1+F2438/100),ABS(D2438*E2438/F2438)),"")</f>
        <v>331856.90372250008</v>
      </c>
      <c r="H2438" s="43">
        <f>IFERROR(G2438*E2419,"")</f>
        <v>0</v>
      </c>
    </row>
    <row r="2439" spans="1:11" ht="12.75" customHeight="1">
      <c r="A2439" s="28"/>
      <c r="B2439" s="29"/>
      <c r="C2439" s="30" t="str">
        <f t="array" ref="C2439">IFERROR(_xlfn.XLOOKUP(B2439,MObra[[#All],[DESCRIPCION]],MObra[[#All],[UN]],,0),"")</f>
        <v/>
      </c>
      <c r="D2439" s="31"/>
      <c r="E2439" s="32" t="str">
        <f>IFERROR(_xlfn.XLOOKUP($B2439,MObra[DESCRIPCION],MObra[VALOR UNIT],,0),"")</f>
        <v/>
      </c>
      <c r="F2439" s="33"/>
      <c r="G2439" s="34" t="str">
        <f>IFERROR(IF(F2439&gt;=0,D2439*E2439*(1+F2439/100),ABS(D2439*E2439/F2439)),"")</f>
        <v/>
      </c>
      <c r="H2439" s="43" t="str">
        <f>IFERROR(G2439*E2419,"")</f>
        <v/>
      </c>
    </row>
    <row r="2440" spans="1:11" ht="12.75" customHeight="1" thickBot="1">
      <c r="A2440" s="35"/>
      <c r="B2440" s="36"/>
      <c r="C2440" s="37" t="str">
        <f t="array" ref="C2440">IFERROR(_xlfn.XLOOKUP(B2440,MObra[[#All],[DESCRIPCION]],MObra[[#All],[UN]],,0),"")</f>
        <v/>
      </c>
      <c r="D2440" s="38"/>
      <c r="E2440" s="39" t="str">
        <f>IFERROR(_xlfn.XLOOKUP($B2440,MObra[DESCRIPCION],MObra[VALOR UNIT],,0),"")</f>
        <v/>
      </c>
      <c r="F2440" s="40"/>
      <c r="G2440" s="41" t="str">
        <f>IFERROR(IF(F2440&gt;=0,D2440*E2440*(1+F2440/100),ABS(D2440*E2440/F2440)),"")</f>
        <v/>
      </c>
      <c r="H2440" s="42" t="str">
        <f>IFERROR(G2440*E2419,"")</f>
        <v/>
      </c>
    </row>
    <row r="2441" spans="1:11" ht="12.75" customHeight="1" thickTop="1" thickBot="1"/>
    <row r="2442" spans="1:11" ht="12.75" customHeight="1" thickTop="1" thickBot="1">
      <c r="A2442" s="6" t="s">
        <v>545</v>
      </c>
      <c r="B2442" s="7" t="str">
        <f>VLOOKUP($A2442,Presupuesto!$A:$D,2,FALSE())</f>
        <v>Viga aérea concreto 24.1 Mpa (área sección transversal &gt; 2000 cm2)</v>
      </c>
      <c r="C2442" s="8" t="str">
        <f>VLOOKUP($A2442,Presupuesto!$A:$D,3,FALSE())</f>
        <v>M3</v>
      </c>
      <c r="D2442" s="9"/>
      <c r="E2442" s="10">
        <f>VLOOKUP($A2442,Presupuesto!$A:$D,4,FALSE())</f>
        <v>0</v>
      </c>
      <c r="F2442" s="11" t="s">
        <v>2589</v>
      </c>
      <c r="G2442" s="12">
        <f>SUM(G2444:G2463)/2</f>
        <v>1311518.8439670794</v>
      </c>
      <c r="H2442" s="13">
        <f>ROUND(SUM(H2444:H2463),0)/2</f>
        <v>0</v>
      </c>
      <c r="I2442" s="10">
        <f>VLOOKUP(A2442,Presupuesto!$A:$F,6,0)</f>
        <v>0</v>
      </c>
      <c r="J2442" s="10">
        <f>+H2442-I2442</f>
        <v>0</v>
      </c>
      <c r="K2442" s="46">
        <f>+H2442-G2442*E2442</f>
        <v>0</v>
      </c>
    </row>
    <row r="2443" spans="1:11" ht="12.75" customHeight="1" thickTop="1">
      <c r="A2443" s="14"/>
      <c r="B2443" s="15" t="s">
        <v>2586</v>
      </c>
      <c r="C2443" s="15" t="s">
        <v>5</v>
      </c>
      <c r="D2443" s="16" t="s">
        <v>6</v>
      </c>
      <c r="E2443" s="17" t="s">
        <v>7</v>
      </c>
      <c r="F2443" s="18" t="s">
        <v>3728</v>
      </c>
      <c r="G2443" s="19" t="s">
        <v>3729</v>
      </c>
      <c r="H2443" s="20" t="s">
        <v>3797</v>
      </c>
    </row>
    <row r="2444" spans="1:11" ht="12.75" customHeight="1">
      <c r="A2444" s="21"/>
      <c r="B2444" s="22" t="s">
        <v>3730</v>
      </c>
      <c r="C2444" s="23"/>
      <c r="D2444" s="24"/>
      <c r="E2444" s="25"/>
      <c r="F2444" s="26"/>
      <c r="G2444" s="27">
        <f>SUM(G2445:G2449)</f>
        <v>880681.68505845428</v>
      </c>
      <c r="H2444" s="27">
        <f>IFERROR(G2444*E2442,"")</f>
        <v>0</v>
      </c>
    </row>
    <row r="2445" spans="1:11" ht="12.75" customHeight="1">
      <c r="A2445" s="28"/>
      <c r="B2445" s="29" t="s">
        <v>3240</v>
      </c>
      <c r="C2445" s="30" t="str">
        <f>IFERROR(_xlfn.XLOOKUP(B2445,Insumo[DESCRIPCION],Insumo[UND],,0),"")</f>
        <v>M3</v>
      </c>
      <c r="D2445" s="31">
        <v>1</v>
      </c>
      <c r="E2445" s="32">
        <f>IFERROR(_xlfn.XLOOKUP($B2445,Insumo[DESCRIPCION],Insumo[VALOR],,0),"")</f>
        <v>539790.3034961326</v>
      </c>
      <c r="F2445" s="33">
        <v>5</v>
      </c>
      <c r="G2445" s="34">
        <f>IFERROR(IF(F2445&gt;=0,D2445*E2445*(1+F2445/100),ABS(D2445*E2445/F2445)),"")</f>
        <v>566779.8186709393</v>
      </c>
      <c r="H2445" s="43">
        <f>IFERROR(G2445*E2442,"")</f>
        <v>0</v>
      </c>
    </row>
    <row r="2446" spans="1:11" ht="12.75" customHeight="1">
      <c r="A2446" s="28"/>
      <c r="B2446" s="29" t="s">
        <v>2957</v>
      </c>
      <c r="C2446" s="30" t="str">
        <f>IFERROR(_xlfn.XLOOKUP(B2446,Insumo[DESCRIPCION],Insumo[UND],,0),"")</f>
        <v>M2</v>
      </c>
      <c r="D2446" s="31">
        <v>4</v>
      </c>
      <c r="E2446" s="32">
        <f>IFERROR(_xlfn.XLOOKUP($B2446,Insumo[DESCRIPCION],Insumo[VALOR],,0),"")</f>
        <v>149544.7581937575</v>
      </c>
      <c r="F2446" s="33">
        <v>-2</v>
      </c>
      <c r="G2446" s="34">
        <f>IFERROR(IF(F2446&gt;=0,D2446*E2446*(1+F2446/100),ABS(D2446*E2446/F2446)),"")</f>
        <v>299089.516387515</v>
      </c>
      <c r="H2446" s="43">
        <f>IFERROR(G2446*E2442,"")</f>
        <v>0</v>
      </c>
    </row>
    <row r="2447" spans="1:11" ht="12.75" customHeight="1">
      <c r="A2447" s="28"/>
      <c r="B2447" s="29" t="s">
        <v>2709</v>
      </c>
      <c r="C2447" s="30" t="str">
        <f>IFERROR(_xlfn.XLOOKUP(B2447,Insumo[DESCRIPCION],Insumo[UND],,0),"")</f>
        <v>Kg</v>
      </c>
      <c r="D2447" s="31">
        <v>1</v>
      </c>
      <c r="E2447" s="32">
        <f>IFERROR(_xlfn.XLOOKUP($B2447,Insumo[DESCRIPCION],Insumo[VALOR],,0),"")</f>
        <v>14812.35</v>
      </c>
      <c r="F2447" s="33"/>
      <c r="G2447" s="34">
        <f>IFERROR(IF(F2447&gt;=0,D2447*E2447*(1+F2447/100),ABS(D2447*E2447/F2447)),"")</f>
        <v>14812.35</v>
      </c>
      <c r="H2447" s="43">
        <f>IFERROR(G2447*E2442,"")</f>
        <v>0</v>
      </c>
    </row>
    <row r="2448" spans="1:11" ht="12.75" customHeight="1">
      <c r="A2448" s="28"/>
      <c r="B2448" s="29"/>
      <c r="C2448" s="30" t="str">
        <f>IFERROR(_xlfn.XLOOKUP(B2448,Insumo[DESCRIPCION],Insumo[UND],,0),"")</f>
        <v/>
      </c>
      <c r="D2448" s="31"/>
      <c r="E2448" s="32" t="str">
        <f>IFERROR(_xlfn.XLOOKUP($B2448,Insumo[DESCRIPCION],Insumo[VALOR],,0),"")</f>
        <v/>
      </c>
      <c r="F2448" s="33"/>
      <c r="G2448" s="34" t="str">
        <f>IFERROR(IF(F2448&gt;=0,D2448*E2448*(1+F2448/100),ABS(D2448*E2448/F2448)),"")</f>
        <v/>
      </c>
      <c r="H2448" s="43" t="str">
        <f>IFERROR(G2448*E2442,"")</f>
        <v/>
      </c>
    </row>
    <row r="2449" spans="1:8" ht="12.75" customHeight="1">
      <c r="A2449" s="28"/>
      <c r="B2449" s="29"/>
      <c r="C2449" s="30" t="str">
        <f>IFERROR(_xlfn.XLOOKUP(B2449,Insumo[DESCRIPCION],Insumo[UND],,0),"")</f>
        <v/>
      </c>
      <c r="D2449" s="31"/>
      <c r="E2449" s="32" t="str">
        <f>IFERROR(_xlfn.XLOOKUP($B2449,Insumo[DESCRIPCION],Insumo[VALOR],,0),"")</f>
        <v/>
      </c>
      <c r="F2449" s="33"/>
      <c r="G2449" s="34" t="str">
        <f>IFERROR(IF(F2449&gt;=0,D2449*E2449*(1+F2449/100),ABS(D2449*E2449/F2449)),"")</f>
        <v/>
      </c>
      <c r="H2449" s="43" t="str">
        <f>IFERROR(G2449*E2442,"")</f>
        <v/>
      </c>
    </row>
    <row r="2450" spans="1:8" ht="12.75" customHeight="1">
      <c r="A2450" s="21"/>
      <c r="B2450" s="22" t="s">
        <v>3731</v>
      </c>
      <c r="C2450" s="23"/>
      <c r="D2450" s="24"/>
      <c r="E2450" s="25"/>
      <c r="F2450" s="26"/>
      <c r="G2450" s="27">
        <f>SUM(G2451:G2456)</f>
        <v>98980.255186124996</v>
      </c>
      <c r="H2450" s="44">
        <f>G2450*E2442</f>
        <v>0</v>
      </c>
    </row>
    <row r="2451" spans="1:8" ht="12.75" customHeight="1">
      <c r="A2451" s="28"/>
      <c r="B2451" s="29" t="s">
        <v>3657</v>
      </c>
      <c r="C2451" s="30" t="str">
        <f>IFERROR(_xlfn.XLOOKUP(B2451,Equipo[DESCRIPCION],Equipo[UND],,0),"")</f>
        <v>Día</v>
      </c>
      <c r="D2451" s="31">
        <v>1</v>
      </c>
      <c r="E2451" s="32">
        <f>IF(C2451="%MO",G2460,IFERROR(_xlfn.XLOOKUP($B2451,Equipo[DESCRIPCION],Equipo[VALOR],,0),""))</f>
        <v>56524.65</v>
      </c>
      <c r="F2451" s="33">
        <v>-5</v>
      </c>
      <c r="G2451" s="34">
        <f t="shared" ref="G2451:G2456" si="24">IFERROR(IF(F2451&gt;=0,D2451*E2451*(1+F2451/100),ABS(D2451*E2451/F2451)),"")</f>
        <v>11304.93</v>
      </c>
      <c r="H2451" s="43">
        <f>IFERROR(G2451*E2442,"")</f>
        <v>0</v>
      </c>
    </row>
    <row r="2452" spans="1:8" ht="12.75" customHeight="1">
      <c r="A2452" s="28"/>
      <c r="B2452" s="29" t="s">
        <v>3652</v>
      </c>
      <c r="C2452" s="30" t="str">
        <f>IFERROR(_xlfn.XLOOKUP(B2452,Equipo[DESCRIPCION],Equipo[UND],,0),"")</f>
        <v>Día</v>
      </c>
      <c r="D2452" s="31">
        <v>1</v>
      </c>
      <c r="E2452" s="32">
        <f>IF(C2452="%MO",G2461,IFERROR(_xlfn.XLOOKUP($B2452,Equipo[DESCRIPCION],Equipo[VALOR],,0),""))</f>
        <v>635.25</v>
      </c>
      <c r="F2452" s="33">
        <v>-0.04</v>
      </c>
      <c r="G2452" s="34">
        <f t="shared" si="24"/>
        <v>15881.25</v>
      </c>
      <c r="H2452" s="43">
        <f>IFERROR(G2452*E2442,"")</f>
        <v>0</v>
      </c>
    </row>
    <row r="2453" spans="1:8" ht="12.75" customHeight="1">
      <c r="A2453" s="28"/>
      <c r="B2453" s="29" t="s">
        <v>3591</v>
      </c>
      <c r="C2453" s="30" t="str">
        <f>IFERROR(_xlfn.XLOOKUP(B2453,Equipo[DESCRIPCION],Equipo[UND],,0),"")</f>
        <v>Día</v>
      </c>
      <c r="D2453" s="31">
        <v>1</v>
      </c>
      <c r="E2453" s="32">
        <f>IF(C2453="%MO",G2462,IFERROR(_xlfn.XLOOKUP($B2453,Equipo[DESCRIPCION],Equipo[VALOR],,0),""))</f>
        <v>635.25</v>
      </c>
      <c r="F2453" s="33">
        <v>-0.04</v>
      </c>
      <c r="G2453" s="34">
        <f t="shared" si="24"/>
        <v>15881.25</v>
      </c>
      <c r="H2453" s="43">
        <f>IFERROR(G2453*E2442,"")</f>
        <v>0</v>
      </c>
    </row>
    <row r="2454" spans="1:8" ht="12.75" customHeight="1">
      <c r="A2454" s="28"/>
      <c r="B2454" s="29" t="s">
        <v>3651</v>
      </c>
      <c r="C2454" s="30" t="str">
        <f>IFERROR(_xlfn.XLOOKUP(B2454,Equipo[DESCRIPCION],Equipo[UND],,0),"")</f>
        <v>Día</v>
      </c>
      <c r="D2454" s="31">
        <v>1</v>
      </c>
      <c r="E2454" s="32">
        <f>IF(C2454="%MO",G2463,IFERROR(_xlfn.XLOOKUP($B2454,Equipo[DESCRIPCION],Equipo[VALOR],,0),""))</f>
        <v>981.75</v>
      </c>
      <c r="F2454" s="33">
        <v>-0.04</v>
      </c>
      <c r="G2454" s="34">
        <f t="shared" si="24"/>
        <v>24543.75</v>
      </c>
      <c r="H2454" s="43">
        <f>IFERROR(G2454*E2442,"")</f>
        <v>0</v>
      </c>
    </row>
    <row r="2455" spans="1:8" ht="12.75" customHeight="1">
      <c r="A2455" s="28"/>
      <c r="B2455" s="29" t="s">
        <v>3640</v>
      </c>
      <c r="C2455" s="30" t="str">
        <f>IFERROR(_xlfn.XLOOKUP(B2455,Equipo[DESCRIPCION],Equipo[UND],,0),"")</f>
        <v>Día</v>
      </c>
      <c r="D2455" s="31">
        <v>1</v>
      </c>
      <c r="E2455" s="32">
        <f>IF(C2455="%MO",G2465,IFERROR(_xlfn.XLOOKUP($B2455,Equipo[DESCRIPCION],Equipo[VALOR],,0),""))</f>
        <v>73881.150000000009</v>
      </c>
      <c r="F2455" s="33">
        <v>-5</v>
      </c>
      <c r="G2455" s="34">
        <f t="shared" si="24"/>
        <v>14776.230000000001</v>
      </c>
      <c r="H2455" s="43">
        <f>IFERROR(G2455*E2442,"")</f>
        <v>0</v>
      </c>
    </row>
    <row r="2456" spans="1:8" ht="12.75" customHeight="1">
      <c r="A2456" s="28"/>
      <c r="B2456" s="29" t="s">
        <v>3626</v>
      </c>
      <c r="C2456" s="30" t="str">
        <f>IFERROR(_xlfn.XLOOKUP(B2456,Equipo[DESCRIPCION],Equipo[UND],,0),"")</f>
        <v>%MO</v>
      </c>
      <c r="D2456" s="31">
        <v>0.05</v>
      </c>
      <c r="E2456" s="32">
        <f>IF(C2456="%MO",G2460,IFERROR(_xlfn.XLOOKUP($B2456,Equipo[DESCRIPCION],Equipo[VALOR],,0),""))</f>
        <v>331856.90372250008</v>
      </c>
      <c r="F2456" s="33"/>
      <c r="G2456" s="34">
        <f t="shared" si="24"/>
        <v>16592.845186125003</v>
      </c>
      <c r="H2456" s="43">
        <f>IFERROR(G2456*E2442,"")</f>
        <v>0</v>
      </c>
    </row>
    <row r="2457" spans="1:8" ht="12.75" customHeight="1">
      <c r="A2457" s="21"/>
      <c r="B2457" s="22" t="s">
        <v>2533</v>
      </c>
      <c r="C2457" s="23"/>
      <c r="D2457" s="24"/>
      <c r="E2457" s="25"/>
      <c r="F2457" s="26"/>
      <c r="G2457" s="27">
        <f>SUM(G2458:G2459)</f>
        <v>0</v>
      </c>
      <c r="H2457" s="44">
        <f>G2457*E2442</f>
        <v>0</v>
      </c>
    </row>
    <row r="2458" spans="1:8" ht="12.75" customHeight="1">
      <c r="A2458" s="28"/>
      <c r="B2458" s="29"/>
      <c r="C2458" s="30" t="str">
        <f>IFERROR(_xlfn.XLOOKUP(B2458,Transporte[DESCRIPCION],Transporte[UND],,0),"")</f>
        <v/>
      </c>
      <c r="D2458" s="31"/>
      <c r="E2458" s="32" t="str">
        <f>IFERROR(_xlfn.XLOOKUP($B2458,Transporte[DESCRIPCION],Transporte[VALOR],,0),"")</f>
        <v/>
      </c>
      <c r="F2458" s="33"/>
      <c r="G2458" s="34" t="str">
        <f>IFERROR(IF(F2458&gt;=0,D2458*E2458*(1+F2458/100),ABS(D2458*E2458/F2458)),"")</f>
        <v/>
      </c>
      <c r="H2458" s="43" t="str">
        <f>IFERROR(G2458*E2442,"")</f>
        <v/>
      </c>
    </row>
    <row r="2459" spans="1:8" ht="12.75" customHeight="1">
      <c r="A2459" s="28"/>
      <c r="B2459" s="29"/>
      <c r="C2459" s="30" t="str">
        <f>IFERROR(_xlfn.XLOOKUP(B2459,Transporte[DESCRIPCION],Transporte[UND],,0),"")</f>
        <v/>
      </c>
      <c r="D2459" s="31"/>
      <c r="E2459" s="32" t="str">
        <f>IFERROR(_xlfn.XLOOKUP($B2459,Transporte[DESCRIPCION],Transporte[VALOR],,0),"")</f>
        <v/>
      </c>
      <c r="F2459" s="33"/>
      <c r="G2459" s="34" t="str">
        <f>IFERROR(IF(F2459&gt;=0,D2459*E2459*(1+F2459/100),ABS(D2459*E2459/F2459)),"")</f>
        <v/>
      </c>
      <c r="H2459" s="43" t="str">
        <f>IFERROR(G2459*E2442,"")</f>
        <v/>
      </c>
    </row>
    <row r="2460" spans="1:8" ht="12.75" customHeight="1">
      <c r="A2460" s="21"/>
      <c r="B2460" s="22" t="s">
        <v>3732</v>
      </c>
      <c r="C2460" s="23"/>
      <c r="D2460" s="24"/>
      <c r="E2460" s="25"/>
      <c r="F2460" s="26"/>
      <c r="G2460" s="27">
        <f>SUM(G2461:G2463)</f>
        <v>331856.90372250008</v>
      </c>
      <c r="H2460" s="44">
        <f>G2460*E2442</f>
        <v>0</v>
      </c>
    </row>
    <row r="2461" spans="1:8" ht="12.75" customHeight="1">
      <c r="A2461" s="28"/>
      <c r="B2461" s="29" t="s">
        <v>3713</v>
      </c>
      <c r="C2461" s="30" t="str">
        <f>IFERROR(_xlfn.XLOOKUP(B2461,MObra[DESCRIPCION],MObra[UN],,0),"")</f>
        <v>día</v>
      </c>
      <c r="D2461" s="31">
        <v>1</v>
      </c>
      <c r="E2461" s="32">
        <f>IFERROR(_xlfn.XLOOKUP($B2461,MObra[DESCRIPCION],MObra[VALOR UNIT],,0),"")</f>
        <v>663713.80744500016</v>
      </c>
      <c r="F2461" s="33">
        <v>-2</v>
      </c>
      <c r="G2461" s="34">
        <f>IFERROR(IF(F2461&gt;=0,D2461*E2461*(1+F2461/100),ABS(D2461*E2461/F2461)),"")</f>
        <v>331856.90372250008</v>
      </c>
      <c r="H2461" s="43">
        <f>IFERROR(G2461*E2442,"")</f>
        <v>0</v>
      </c>
    </row>
    <row r="2462" spans="1:8" ht="12.75" customHeight="1">
      <c r="A2462" s="28"/>
      <c r="B2462" s="29"/>
      <c r="C2462" s="30" t="str">
        <f t="array" ref="C2462">IFERROR(_xlfn.XLOOKUP(B2462,MObra[[#All],[DESCRIPCION]],MObra[[#All],[UN]],,0),"")</f>
        <v/>
      </c>
      <c r="D2462" s="31"/>
      <c r="E2462" s="32" t="str">
        <f>IFERROR(_xlfn.XLOOKUP($B2462,MObra[DESCRIPCION],MObra[VALOR UNIT],,0),"")</f>
        <v/>
      </c>
      <c r="F2462" s="33"/>
      <c r="G2462" s="34" t="str">
        <f>IFERROR(IF(F2462&gt;=0,D2462*E2462*(1+F2462/100),ABS(D2462*E2462/F2462)),"")</f>
        <v/>
      </c>
      <c r="H2462" s="43" t="str">
        <f>IFERROR(G2462*E2442,"")</f>
        <v/>
      </c>
    </row>
    <row r="2463" spans="1:8" ht="12.75" customHeight="1" thickBot="1">
      <c r="A2463" s="35"/>
      <c r="B2463" s="36"/>
      <c r="C2463" s="37" t="str">
        <f t="array" ref="C2463">IFERROR(_xlfn.XLOOKUP(B2463,MObra[[#All],[DESCRIPCION]],MObra[[#All],[UN]],,0),"")</f>
        <v/>
      </c>
      <c r="D2463" s="38"/>
      <c r="E2463" s="39" t="str">
        <f>IFERROR(_xlfn.XLOOKUP($B2463,MObra[DESCRIPCION],MObra[VALOR UNIT],,0),"")</f>
        <v/>
      </c>
      <c r="F2463" s="40"/>
      <c r="G2463" s="41" t="str">
        <f>IFERROR(IF(F2463&gt;=0,D2463*E2463*(1+F2463/100),ABS(D2463*E2463/F2463)),"")</f>
        <v/>
      </c>
      <c r="H2463" s="42" t="str">
        <f>IFERROR(G2463*E2442,"")</f>
        <v/>
      </c>
    </row>
    <row r="2464" spans="1:8" ht="12.75" customHeight="1" thickTop="1" thickBot="1"/>
    <row r="2465" spans="1:11" ht="12.75" customHeight="1" thickTop="1" thickBot="1">
      <c r="A2465" s="6" t="s">
        <v>547</v>
      </c>
      <c r="B2465" s="7" t="str">
        <f>VLOOKUP($A2465,Presupuesto!$A:$D,2,FALSE())</f>
        <v>Viga aérea concreto 27.6 Mpa (área sección transversal &lt;= 1000 cm2)</v>
      </c>
      <c r="C2465" s="8" t="str">
        <f>VLOOKUP($A2465,Presupuesto!$A:$D,3,FALSE())</f>
        <v>M3</v>
      </c>
      <c r="D2465" s="9"/>
      <c r="E2465" s="10">
        <f>VLOOKUP($A2465,Presupuesto!$A:$D,4,FALSE())</f>
        <v>0</v>
      </c>
      <c r="F2465" s="11" t="s">
        <v>2589</v>
      </c>
      <c r="G2465" s="12">
        <f>SUM(G2467:G2486)/2</f>
        <v>1541257.6296679557</v>
      </c>
      <c r="H2465" s="13">
        <f>ROUND(SUM(H2467:H2486),0)/2</f>
        <v>0</v>
      </c>
      <c r="I2465" s="10">
        <f>VLOOKUP(A2465,Presupuesto!$A:$F,6,0)</f>
        <v>0</v>
      </c>
      <c r="J2465" s="10">
        <f>+H2465-I2465</f>
        <v>0</v>
      </c>
      <c r="K2465" s="46">
        <f>+H2465-G2465*E2465</f>
        <v>0</v>
      </c>
    </row>
    <row r="2466" spans="1:11" ht="12.75" customHeight="1" thickTop="1">
      <c r="A2466" s="14"/>
      <c r="B2466" s="15" t="s">
        <v>2586</v>
      </c>
      <c r="C2466" s="15" t="s">
        <v>5</v>
      </c>
      <c r="D2466" s="16" t="s">
        <v>6</v>
      </c>
      <c r="E2466" s="17" t="s">
        <v>7</v>
      </c>
      <c r="F2466" s="18" t="s">
        <v>3728</v>
      </c>
      <c r="G2466" s="19" t="s">
        <v>3729</v>
      </c>
      <c r="H2466" s="20" t="s">
        <v>3797</v>
      </c>
    </row>
    <row r="2467" spans="1:11" ht="12.75" customHeight="1">
      <c r="A2467" s="21"/>
      <c r="B2467" s="22" t="s">
        <v>3730</v>
      </c>
      <c r="C2467" s="23"/>
      <c r="D2467" s="24"/>
      <c r="E2467" s="25"/>
      <c r="F2467" s="26"/>
      <c r="G2467" s="27">
        <f>SUM(G2468:G2472)</f>
        <v>1110420.4707593303</v>
      </c>
      <c r="H2467" s="27">
        <f>IFERROR(G2467*E2465,"")</f>
        <v>0</v>
      </c>
    </row>
    <row r="2468" spans="1:11" ht="12.75" customHeight="1">
      <c r="A2468" s="28"/>
      <c r="B2468" s="29" t="s">
        <v>3241</v>
      </c>
      <c r="C2468" s="30" t="str">
        <f>IFERROR(_xlfn.XLOOKUP(B2468,Insumo[DESCRIPCION],Insumo[UND],,0),"")</f>
        <v>M3</v>
      </c>
      <c r="D2468" s="31">
        <v>1</v>
      </c>
      <c r="E2468" s="32">
        <f>IFERROR(_xlfn.XLOOKUP($B2468,Insumo[DESCRIPCION],Insumo[VALOR],,0),"")</f>
        <v>568453.66874585627</v>
      </c>
      <c r="F2468" s="33">
        <v>5</v>
      </c>
      <c r="G2468" s="34">
        <f>IFERROR(IF(F2468&gt;=0,D2468*E2468*(1+F2468/100),ABS(D2468*E2468/F2468)),"")</f>
        <v>596876.35218314908</v>
      </c>
      <c r="H2468" s="43">
        <f>IFERROR(G2468*E2465,"")</f>
        <v>0</v>
      </c>
    </row>
    <row r="2469" spans="1:11" ht="12.75" customHeight="1">
      <c r="A2469" s="28"/>
      <c r="B2469" s="29" t="s">
        <v>2957</v>
      </c>
      <c r="C2469" s="30" t="str">
        <f>IFERROR(_xlfn.XLOOKUP(B2469,Insumo[DESCRIPCION],Insumo[UND],,0),"")</f>
        <v>M2</v>
      </c>
      <c r="D2469" s="31">
        <v>6.67</v>
      </c>
      <c r="E2469" s="32">
        <f>IFERROR(_xlfn.XLOOKUP($B2469,Insumo[DESCRIPCION],Insumo[VALOR],,0),"")</f>
        <v>149544.7581937575</v>
      </c>
      <c r="F2469" s="33">
        <v>-2</v>
      </c>
      <c r="G2469" s="34">
        <f>IFERROR(IF(F2469&gt;=0,D2469*E2469*(1+F2469/100),ABS(D2469*E2469/F2469)),"")</f>
        <v>498731.76857618126</v>
      </c>
      <c r="H2469" s="43">
        <f>IFERROR(G2469*E2465,"")</f>
        <v>0</v>
      </c>
    </row>
    <row r="2470" spans="1:11" ht="12.75" customHeight="1">
      <c r="A2470" s="28"/>
      <c r="B2470" s="29" t="s">
        <v>2709</v>
      </c>
      <c r="C2470" s="30" t="str">
        <f>IFERROR(_xlfn.XLOOKUP(B2470,Insumo[DESCRIPCION],Insumo[UND],,0),"")</f>
        <v>Kg</v>
      </c>
      <c r="D2470" s="31">
        <v>1</v>
      </c>
      <c r="E2470" s="32">
        <f>IFERROR(_xlfn.XLOOKUP($B2470,Insumo[DESCRIPCION],Insumo[VALOR],,0),"")</f>
        <v>14812.35</v>
      </c>
      <c r="F2470" s="33"/>
      <c r="G2470" s="34">
        <f>IFERROR(IF(F2470&gt;=0,D2470*E2470*(1+F2470/100),ABS(D2470*E2470/F2470)),"")</f>
        <v>14812.35</v>
      </c>
      <c r="H2470" s="43">
        <f>IFERROR(G2470*E2465,"")</f>
        <v>0</v>
      </c>
    </row>
    <row r="2471" spans="1:11" ht="12.75" customHeight="1">
      <c r="A2471" s="28"/>
      <c r="B2471" s="29"/>
      <c r="C2471" s="30" t="str">
        <f>IFERROR(_xlfn.XLOOKUP(B2471,Insumo[DESCRIPCION],Insumo[UND],,0),"")</f>
        <v/>
      </c>
      <c r="D2471" s="31"/>
      <c r="E2471" s="32" t="str">
        <f>IFERROR(_xlfn.XLOOKUP($B2471,Insumo[DESCRIPCION],Insumo[VALOR],,0),"")</f>
        <v/>
      </c>
      <c r="F2471" s="33"/>
      <c r="G2471" s="34" t="str">
        <f>IFERROR(IF(F2471&gt;=0,D2471*E2471*(1+F2471/100),ABS(D2471*E2471/F2471)),"")</f>
        <v/>
      </c>
      <c r="H2471" s="43" t="str">
        <f>IFERROR(G2471*E2465,"")</f>
        <v/>
      </c>
    </row>
    <row r="2472" spans="1:11" ht="12.75" customHeight="1">
      <c r="A2472" s="28"/>
      <c r="B2472" s="29"/>
      <c r="C2472" s="30" t="str">
        <f>IFERROR(_xlfn.XLOOKUP(B2472,Insumo[DESCRIPCION],Insumo[UND],,0),"")</f>
        <v/>
      </c>
      <c r="D2472" s="31"/>
      <c r="E2472" s="32" t="str">
        <f>IFERROR(_xlfn.XLOOKUP($B2472,Insumo[DESCRIPCION],Insumo[VALOR],,0),"")</f>
        <v/>
      </c>
      <c r="F2472" s="33"/>
      <c r="G2472" s="34" t="str">
        <f>IFERROR(IF(F2472&gt;=0,D2472*E2472*(1+F2472/100),ABS(D2472*E2472/F2472)),"")</f>
        <v/>
      </c>
      <c r="H2472" s="43" t="str">
        <f>IFERROR(G2472*E2465,"")</f>
        <v/>
      </c>
    </row>
    <row r="2473" spans="1:11" ht="12.75" customHeight="1">
      <c r="A2473" s="21"/>
      <c r="B2473" s="22" t="s">
        <v>3731</v>
      </c>
      <c r="C2473" s="23"/>
      <c r="D2473" s="24"/>
      <c r="E2473" s="25"/>
      <c r="F2473" s="26"/>
      <c r="G2473" s="27">
        <f>SUM(G2474:G2479)</f>
        <v>98980.255186124996</v>
      </c>
      <c r="H2473" s="44">
        <f>G2473*E2465</f>
        <v>0</v>
      </c>
    </row>
    <row r="2474" spans="1:11" ht="12.75" customHeight="1">
      <c r="A2474" s="28"/>
      <c r="B2474" s="29" t="s">
        <v>3657</v>
      </c>
      <c r="C2474" s="30" t="str">
        <f>IFERROR(_xlfn.XLOOKUP(B2474,Equipo[DESCRIPCION],Equipo[UND],,0),"")</f>
        <v>Día</v>
      </c>
      <c r="D2474" s="31">
        <v>1</v>
      </c>
      <c r="E2474" s="32">
        <f>IF(C2474="%MO",G2483,IFERROR(_xlfn.XLOOKUP($B2474,Equipo[DESCRIPCION],Equipo[VALOR],,0),""))</f>
        <v>56524.65</v>
      </c>
      <c r="F2474" s="33">
        <v>-5</v>
      </c>
      <c r="G2474" s="34">
        <f t="shared" ref="G2474:G2479" si="25">IFERROR(IF(F2474&gt;=0,D2474*E2474*(1+F2474/100),ABS(D2474*E2474/F2474)),"")</f>
        <v>11304.93</v>
      </c>
      <c r="H2474" s="43">
        <f>IFERROR(G2474*E2465,"")</f>
        <v>0</v>
      </c>
    </row>
    <row r="2475" spans="1:11" ht="12.75" customHeight="1">
      <c r="A2475" s="28"/>
      <c r="B2475" s="29" t="s">
        <v>3652</v>
      </c>
      <c r="C2475" s="30" t="str">
        <f>IFERROR(_xlfn.XLOOKUP(B2475,Equipo[DESCRIPCION],Equipo[UND],,0),"")</f>
        <v>Día</v>
      </c>
      <c r="D2475" s="31">
        <v>1</v>
      </c>
      <c r="E2475" s="32">
        <f>IF(C2475="%MO",G2484,IFERROR(_xlfn.XLOOKUP($B2475,Equipo[DESCRIPCION],Equipo[VALOR],,0),""))</f>
        <v>635.25</v>
      </c>
      <c r="F2475" s="33">
        <v>-0.04</v>
      </c>
      <c r="G2475" s="34">
        <f t="shared" si="25"/>
        <v>15881.25</v>
      </c>
      <c r="H2475" s="43">
        <f>IFERROR(G2475*E2465,"")</f>
        <v>0</v>
      </c>
    </row>
    <row r="2476" spans="1:11" ht="12.75" customHeight="1">
      <c r="A2476" s="28"/>
      <c r="B2476" s="29" t="s">
        <v>3591</v>
      </c>
      <c r="C2476" s="30" t="str">
        <f>IFERROR(_xlfn.XLOOKUP(B2476,Equipo[DESCRIPCION],Equipo[UND],,0),"")</f>
        <v>Día</v>
      </c>
      <c r="D2476" s="31">
        <v>1</v>
      </c>
      <c r="E2476" s="32">
        <f>IF(C2476="%MO",G2485,IFERROR(_xlfn.XLOOKUP($B2476,Equipo[DESCRIPCION],Equipo[VALOR],,0),""))</f>
        <v>635.25</v>
      </c>
      <c r="F2476" s="33">
        <v>-0.04</v>
      </c>
      <c r="G2476" s="34">
        <f t="shared" si="25"/>
        <v>15881.25</v>
      </c>
      <c r="H2476" s="43">
        <f>IFERROR(G2476*E2465,"")</f>
        <v>0</v>
      </c>
    </row>
    <row r="2477" spans="1:11" ht="12.75" customHeight="1">
      <c r="A2477" s="28"/>
      <c r="B2477" s="29" t="s">
        <v>3651</v>
      </c>
      <c r="C2477" s="30" t="str">
        <f>IFERROR(_xlfn.XLOOKUP(B2477,Equipo[DESCRIPCION],Equipo[UND],,0),"")</f>
        <v>Día</v>
      </c>
      <c r="D2477" s="31">
        <v>1</v>
      </c>
      <c r="E2477" s="32">
        <f>IF(C2477="%MO",G2486,IFERROR(_xlfn.XLOOKUP($B2477,Equipo[DESCRIPCION],Equipo[VALOR],,0),""))</f>
        <v>981.75</v>
      </c>
      <c r="F2477" s="33">
        <v>-0.04</v>
      </c>
      <c r="G2477" s="34">
        <f t="shared" si="25"/>
        <v>24543.75</v>
      </c>
      <c r="H2477" s="43">
        <f>IFERROR(G2477*E2465,"")</f>
        <v>0</v>
      </c>
    </row>
    <row r="2478" spans="1:11" ht="12.75" customHeight="1">
      <c r="A2478" s="28"/>
      <c r="B2478" s="29" t="s">
        <v>3640</v>
      </c>
      <c r="C2478" s="30" t="str">
        <f>IFERROR(_xlfn.XLOOKUP(B2478,Equipo[DESCRIPCION],Equipo[UND],,0),"")</f>
        <v>Día</v>
      </c>
      <c r="D2478" s="31">
        <v>1</v>
      </c>
      <c r="E2478" s="32">
        <f>IF(C2478="%MO",G2488,IFERROR(_xlfn.XLOOKUP($B2478,Equipo[DESCRIPCION],Equipo[VALOR],,0),""))</f>
        <v>73881.150000000009</v>
      </c>
      <c r="F2478" s="33">
        <v>-5</v>
      </c>
      <c r="G2478" s="34">
        <f t="shared" si="25"/>
        <v>14776.230000000001</v>
      </c>
      <c r="H2478" s="43">
        <f>IFERROR(G2478*E2465,"")</f>
        <v>0</v>
      </c>
    </row>
    <row r="2479" spans="1:11" ht="12.75" customHeight="1">
      <c r="A2479" s="28"/>
      <c r="B2479" s="29" t="s">
        <v>3626</v>
      </c>
      <c r="C2479" s="30" t="str">
        <f>IFERROR(_xlfn.XLOOKUP(B2479,Equipo[DESCRIPCION],Equipo[UND],,0),"")</f>
        <v>%MO</v>
      </c>
      <c r="D2479" s="31">
        <v>0.05</v>
      </c>
      <c r="E2479" s="32">
        <f>IF(C2479="%MO",G2483,IFERROR(_xlfn.XLOOKUP($B2479,Equipo[DESCRIPCION],Equipo[VALOR],,0),""))</f>
        <v>331856.90372250008</v>
      </c>
      <c r="F2479" s="33"/>
      <c r="G2479" s="34">
        <f t="shared" si="25"/>
        <v>16592.845186125003</v>
      </c>
      <c r="H2479" s="43">
        <f>IFERROR(G2479*E2465,"")</f>
        <v>0</v>
      </c>
    </row>
    <row r="2480" spans="1:11" ht="12.75" customHeight="1">
      <c r="A2480" s="21"/>
      <c r="B2480" s="22" t="s">
        <v>2533</v>
      </c>
      <c r="C2480" s="23"/>
      <c r="D2480" s="24"/>
      <c r="E2480" s="25"/>
      <c r="F2480" s="26"/>
      <c r="G2480" s="27">
        <f>SUM(G2481:G2482)</f>
        <v>0</v>
      </c>
      <c r="H2480" s="44">
        <f>G2480*E2465</f>
        <v>0</v>
      </c>
    </row>
    <row r="2481" spans="1:11" ht="12.75" customHeight="1">
      <c r="A2481" s="28"/>
      <c r="B2481" s="29"/>
      <c r="C2481" s="30" t="str">
        <f>IFERROR(_xlfn.XLOOKUP(B2481,Transporte[DESCRIPCION],Transporte[UND],,0),"")</f>
        <v/>
      </c>
      <c r="D2481" s="31"/>
      <c r="E2481" s="32" t="str">
        <f>IFERROR(_xlfn.XLOOKUP($B2481,Transporte[DESCRIPCION],Transporte[VALOR],,0),"")</f>
        <v/>
      </c>
      <c r="F2481" s="33"/>
      <c r="G2481" s="34" t="str">
        <f>IFERROR(IF(F2481&gt;=0,D2481*E2481*(1+F2481/100),ABS(D2481*E2481/F2481)),"")</f>
        <v/>
      </c>
      <c r="H2481" s="43" t="str">
        <f>IFERROR(G2481*E2465,"")</f>
        <v/>
      </c>
    </row>
    <row r="2482" spans="1:11" ht="12.75" customHeight="1">
      <c r="A2482" s="28"/>
      <c r="B2482" s="29"/>
      <c r="C2482" s="30" t="str">
        <f>IFERROR(_xlfn.XLOOKUP(B2482,Transporte[DESCRIPCION],Transporte[UND],,0),"")</f>
        <v/>
      </c>
      <c r="D2482" s="31"/>
      <c r="E2482" s="32" t="str">
        <f>IFERROR(_xlfn.XLOOKUP($B2482,Transporte[DESCRIPCION],Transporte[VALOR],,0),"")</f>
        <v/>
      </c>
      <c r="F2482" s="33"/>
      <c r="G2482" s="34" t="str">
        <f>IFERROR(IF(F2482&gt;=0,D2482*E2482*(1+F2482/100),ABS(D2482*E2482/F2482)),"")</f>
        <v/>
      </c>
      <c r="H2482" s="43" t="str">
        <f>IFERROR(G2482*E2465,"")</f>
        <v/>
      </c>
    </row>
    <row r="2483" spans="1:11" ht="12.75" customHeight="1">
      <c r="A2483" s="21"/>
      <c r="B2483" s="22" t="s">
        <v>3732</v>
      </c>
      <c r="C2483" s="23"/>
      <c r="D2483" s="24"/>
      <c r="E2483" s="25"/>
      <c r="F2483" s="26"/>
      <c r="G2483" s="27">
        <f>SUM(G2484:G2486)</f>
        <v>331856.90372250008</v>
      </c>
      <c r="H2483" s="44">
        <f>G2483*E2465</f>
        <v>0</v>
      </c>
    </row>
    <row r="2484" spans="1:11" ht="12.75" customHeight="1">
      <c r="A2484" s="28"/>
      <c r="B2484" s="29" t="s">
        <v>3713</v>
      </c>
      <c r="C2484" s="30" t="str">
        <f>IFERROR(_xlfn.XLOOKUP(B2484,MObra[DESCRIPCION],MObra[UN],,0),"")</f>
        <v>día</v>
      </c>
      <c r="D2484" s="31">
        <v>1</v>
      </c>
      <c r="E2484" s="32">
        <f>IFERROR(_xlfn.XLOOKUP($B2484,MObra[DESCRIPCION],MObra[VALOR UNIT],,0),"")</f>
        <v>663713.80744500016</v>
      </c>
      <c r="F2484" s="33">
        <v>-2</v>
      </c>
      <c r="G2484" s="34">
        <f>IFERROR(IF(F2484&gt;=0,D2484*E2484*(1+F2484/100),ABS(D2484*E2484/F2484)),"")</f>
        <v>331856.90372250008</v>
      </c>
      <c r="H2484" s="43">
        <f>IFERROR(G2484*E2465,"")</f>
        <v>0</v>
      </c>
    </row>
    <row r="2485" spans="1:11" ht="12.75" customHeight="1">
      <c r="A2485" s="28"/>
      <c r="B2485" s="29"/>
      <c r="C2485" s="30" t="str">
        <f t="array" ref="C2485">IFERROR(_xlfn.XLOOKUP(B2485,MObra[[#All],[DESCRIPCION]],MObra[[#All],[UN]],,0),"")</f>
        <v/>
      </c>
      <c r="D2485" s="31"/>
      <c r="E2485" s="32" t="str">
        <f>IFERROR(_xlfn.XLOOKUP($B2485,MObra[DESCRIPCION],MObra[VALOR UNIT],,0),"")</f>
        <v/>
      </c>
      <c r="F2485" s="33"/>
      <c r="G2485" s="34" t="str">
        <f>IFERROR(IF(F2485&gt;=0,D2485*E2485*(1+F2485/100),ABS(D2485*E2485/F2485)),"")</f>
        <v/>
      </c>
      <c r="H2485" s="43" t="str">
        <f>IFERROR(G2485*E2465,"")</f>
        <v/>
      </c>
    </row>
    <row r="2486" spans="1:11" ht="12.75" customHeight="1" thickBot="1">
      <c r="A2486" s="35"/>
      <c r="B2486" s="36"/>
      <c r="C2486" s="37" t="str">
        <f t="array" ref="C2486">IFERROR(_xlfn.XLOOKUP(B2486,MObra[[#All],[DESCRIPCION]],MObra[[#All],[UN]],,0),"")</f>
        <v/>
      </c>
      <c r="D2486" s="38"/>
      <c r="E2486" s="39" t="str">
        <f>IFERROR(_xlfn.XLOOKUP($B2486,MObra[DESCRIPCION],MObra[VALOR UNIT],,0),"")</f>
        <v/>
      </c>
      <c r="F2486" s="40"/>
      <c r="G2486" s="41" t="str">
        <f>IFERROR(IF(F2486&gt;=0,D2486*E2486*(1+F2486/100),ABS(D2486*E2486/F2486)),"")</f>
        <v/>
      </c>
      <c r="H2486" s="42" t="str">
        <f>IFERROR(G2486*E2465,"")</f>
        <v/>
      </c>
    </row>
    <row r="2487" spans="1:11" ht="12.75" customHeight="1" thickTop="1" thickBot="1"/>
    <row r="2488" spans="1:11" ht="12.75" customHeight="1" thickTop="1" thickBot="1">
      <c r="A2488" s="6" t="s">
        <v>549</v>
      </c>
      <c r="B2488" s="7" t="str">
        <f>VLOOKUP($A2488,Presupuesto!$A:$D,2,FALSE())</f>
        <v>Viga aérea concreto 27.6 Mpa (1000 cm2 &lt;área sección transversal &lt;= 2000 cm2)</v>
      </c>
      <c r="C2488" s="8" t="str">
        <f>VLOOKUP($A2488,Presupuesto!$A:$D,3,FALSE())</f>
        <v>M3</v>
      </c>
      <c r="D2488" s="9"/>
      <c r="E2488" s="10">
        <f>VLOOKUP($A2488,Presupuesto!$A:$D,4,FALSE())</f>
        <v>0</v>
      </c>
      <c r="F2488" s="11" t="s">
        <v>2589</v>
      </c>
      <c r="G2488" s="12">
        <f>SUM(G2490:G2509)/2</f>
        <v>1416387.7565761679</v>
      </c>
      <c r="H2488" s="13">
        <f>ROUND(SUM(H2490:H2509),0)/2</f>
        <v>0</v>
      </c>
      <c r="I2488" s="10">
        <f>VLOOKUP(A2488,Presupuesto!$A:$F,6,0)</f>
        <v>0</v>
      </c>
      <c r="J2488" s="10">
        <f>+H2488-I2488</f>
        <v>0</v>
      </c>
      <c r="K2488" s="46">
        <f>+H2488-G2488*E2488</f>
        <v>0</v>
      </c>
    </row>
    <row r="2489" spans="1:11" ht="12.75" customHeight="1" thickTop="1">
      <c r="A2489" s="14"/>
      <c r="B2489" s="15" t="s">
        <v>2586</v>
      </c>
      <c r="C2489" s="15" t="s">
        <v>5</v>
      </c>
      <c r="D2489" s="16" t="s">
        <v>6</v>
      </c>
      <c r="E2489" s="17" t="s">
        <v>7</v>
      </c>
      <c r="F2489" s="18" t="s">
        <v>3728</v>
      </c>
      <c r="G2489" s="19" t="s">
        <v>3729</v>
      </c>
      <c r="H2489" s="20" t="s">
        <v>3797</v>
      </c>
    </row>
    <row r="2490" spans="1:11" ht="12.75" customHeight="1">
      <c r="A2490" s="21"/>
      <c r="B2490" s="22" t="s">
        <v>3730</v>
      </c>
      <c r="C2490" s="23"/>
      <c r="D2490" s="24"/>
      <c r="E2490" s="25"/>
      <c r="F2490" s="26"/>
      <c r="G2490" s="27">
        <f>SUM(G2491:G2495)</f>
        <v>985550.59766754287</v>
      </c>
      <c r="H2490" s="27">
        <f>IFERROR(G2490*E2488,"")</f>
        <v>0</v>
      </c>
    </row>
    <row r="2491" spans="1:11" ht="12.75" customHeight="1">
      <c r="A2491" s="28"/>
      <c r="B2491" s="29" t="s">
        <v>3241</v>
      </c>
      <c r="C2491" s="30" t="str">
        <f>IFERROR(_xlfn.XLOOKUP(B2491,Insumo[DESCRIPCION],Insumo[UND],,0),"")</f>
        <v>M3</v>
      </c>
      <c r="D2491" s="31">
        <v>1</v>
      </c>
      <c r="E2491" s="32">
        <f>IFERROR(_xlfn.XLOOKUP($B2491,Insumo[DESCRIPCION],Insumo[VALOR],,0),"")</f>
        <v>568453.66874585627</v>
      </c>
      <c r="F2491" s="33">
        <v>5</v>
      </c>
      <c r="G2491" s="34">
        <f>IFERROR(IF(F2491&gt;=0,D2491*E2491*(1+F2491/100),ABS(D2491*E2491/F2491)),"")</f>
        <v>596876.35218314908</v>
      </c>
      <c r="H2491" s="43">
        <f>IFERROR(G2491*E2488,"")</f>
        <v>0</v>
      </c>
    </row>
    <row r="2492" spans="1:11" ht="12.75" customHeight="1">
      <c r="A2492" s="28"/>
      <c r="B2492" s="29" t="s">
        <v>2957</v>
      </c>
      <c r="C2492" s="30" t="str">
        <f>IFERROR(_xlfn.XLOOKUP(B2492,Insumo[DESCRIPCION],Insumo[UND],,0),"")</f>
        <v>M2</v>
      </c>
      <c r="D2492" s="31">
        <v>5</v>
      </c>
      <c r="E2492" s="32">
        <f>IFERROR(_xlfn.XLOOKUP($B2492,Insumo[DESCRIPCION],Insumo[VALOR],,0),"")</f>
        <v>149544.7581937575</v>
      </c>
      <c r="F2492" s="33">
        <v>-2</v>
      </c>
      <c r="G2492" s="34">
        <f>IFERROR(IF(F2492&gt;=0,D2492*E2492*(1+F2492/100),ABS(D2492*E2492/F2492)),"")</f>
        <v>373861.89548439375</v>
      </c>
      <c r="H2492" s="43">
        <f>IFERROR(G2492*E2488,"")</f>
        <v>0</v>
      </c>
    </row>
    <row r="2493" spans="1:11" ht="12.75" customHeight="1">
      <c r="A2493" s="28"/>
      <c r="B2493" s="29" t="s">
        <v>2709</v>
      </c>
      <c r="C2493" s="30" t="str">
        <f>IFERROR(_xlfn.XLOOKUP(B2493,Insumo[DESCRIPCION],Insumo[UND],,0),"")</f>
        <v>Kg</v>
      </c>
      <c r="D2493" s="31">
        <v>1</v>
      </c>
      <c r="E2493" s="32">
        <f>IFERROR(_xlfn.XLOOKUP($B2493,Insumo[DESCRIPCION],Insumo[VALOR],,0),"")</f>
        <v>14812.35</v>
      </c>
      <c r="F2493" s="33"/>
      <c r="G2493" s="34">
        <f>IFERROR(IF(F2493&gt;=0,D2493*E2493*(1+F2493/100),ABS(D2493*E2493/F2493)),"")</f>
        <v>14812.35</v>
      </c>
      <c r="H2493" s="43">
        <f>IFERROR(G2493*E2488,"")</f>
        <v>0</v>
      </c>
    </row>
    <row r="2494" spans="1:11" ht="12.75" customHeight="1">
      <c r="A2494" s="28"/>
      <c r="B2494" s="29"/>
      <c r="C2494" s="30" t="str">
        <f>IFERROR(_xlfn.XLOOKUP(B2494,Insumo[DESCRIPCION],Insumo[UND],,0),"")</f>
        <v/>
      </c>
      <c r="D2494" s="31"/>
      <c r="E2494" s="32" t="str">
        <f>IFERROR(_xlfn.XLOOKUP($B2494,Insumo[DESCRIPCION],Insumo[VALOR],,0),"")</f>
        <v/>
      </c>
      <c r="F2494" s="33"/>
      <c r="G2494" s="34" t="str">
        <f>IFERROR(IF(F2494&gt;=0,D2494*E2494*(1+F2494/100),ABS(D2494*E2494/F2494)),"")</f>
        <v/>
      </c>
      <c r="H2494" s="43" t="str">
        <f>IFERROR(G2494*E2488,"")</f>
        <v/>
      </c>
    </row>
    <row r="2495" spans="1:11" ht="12.75" customHeight="1">
      <c r="A2495" s="28"/>
      <c r="B2495" s="29"/>
      <c r="C2495" s="30" t="str">
        <f>IFERROR(_xlfn.XLOOKUP(B2495,Insumo[DESCRIPCION],Insumo[UND],,0),"")</f>
        <v/>
      </c>
      <c r="D2495" s="31"/>
      <c r="E2495" s="32" t="str">
        <f>IFERROR(_xlfn.XLOOKUP($B2495,Insumo[DESCRIPCION],Insumo[VALOR],,0),"")</f>
        <v/>
      </c>
      <c r="F2495" s="33"/>
      <c r="G2495" s="34" t="str">
        <f>IFERROR(IF(F2495&gt;=0,D2495*E2495*(1+F2495/100),ABS(D2495*E2495/F2495)),"")</f>
        <v/>
      </c>
      <c r="H2495" s="43" t="str">
        <f>IFERROR(G2495*E2488,"")</f>
        <v/>
      </c>
    </row>
    <row r="2496" spans="1:11" ht="12.75" customHeight="1">
      <c r="A2496" s="21"/>
      <c r="B2496" s="22" t="s">
        <v>3731</v>
      </c>
      <c r="C2496" s="23"/>
      <c r="D2496" s="24"/>
      <c r="E2496" s="25"/>
      <c r="F2496" s="26"/>
      <c r="G2496" s="27">
        <f>SUM(G2497:G2502)</f>
        <v>98980.255186124996</v>
      </c>
      <c r="H2496" s="44">
        <f>G2496*E2488</f>
        <v>0</v>
      </c>
    </row>
    <row r="2497" spans="1:11" ht="12.75" customHeight="1">
      <c r="A2497" s="28"/>
      <c r="B2497" s="29" t="s">
        <v>3657</v>
      </c>
      <c r="C2497" s="30" t="str">
        <f>IFERROR(_xlfn.XLOOKUP(B2497,Equipo[DESCRIPCION],Equipo[UND],,0),"")</f>
        <v>Día</v>
      </c>
      <c r="D2497" s="31">
        <v>1</v>
      </c>
      <c r="E2497" s="32">
        <f>IF(C2497="%MO",G2506,IFERROR(_xlfn.XLOOKUP($B2497,Equipo[DESCRIPCION],Equipo[VALOR],,0),""))</f>
        <v>56524.65</v>
      </c>
      <c r="F2497" s="33">
        <v>-5</v>
      </c>
      <c r="G2497" s="34">
        <f t="shared" ref="G2497:G2502" si="26">IFERROR(IF(F2497&gt;=0,D2497*E2497*(1+F2497/100),ABS(D2497*E2497/F2497)),"")</f>
        <v>11304.93</v>
      </c>
      <c r="H2497" s="43">
        <f>IFERROR(G2497*E2488,"")</f>
        <v>0</v>
      </c>
    </row>
    <row r="2498" spans="1:11" ht="12.75" customHeight="1">
      <c r="A2498" s="28"/>
      <c r="B2498" s="29" t="s">
        <v>3652</v>
      </c>
      <c r="C2498" s="30" t="str">
        <f>IFERROR(_xlfn.XLOOKUP(B2498,Equipo[DESCRIPCION],Equipo[UND],,0),"")</f>
        <v>Día</v>
      </c>
      <c r="D2498" s="31">
        <v>1</v>
      </c>
      <c r="E2498" s="32">
        <f>IF(C2498="%MO",G2507,IFERROR(_xlfn.XLOOKUP($B2498,Equipo[DESCRIPCION],Equipo[VALOR],,0),""))</f>
        <v>635.25</v>
      </c>
      <c r="F2498" s="33">
        <v>-0.04</v>
      </c>
      <c r="G2498" s="34">
        <f t="shared" si="26"/>
        <v>15881.25</v>
      </c>
      <c r="H2498" s="43">
        <f>IFERROR(G2498*E2488,"")</f>
        <v>0</v>
      </c>
    </row>
    <row r="2499" spans="1:11" ht="12.75" customHeight="1">
      <c r="A2499" s="28"/>
      <c r="B2499" s="29" t="s">
        <v>3591</v>
      </c>
      <c r="C2499" s="30" t="str">
        <f>IFERROR(_xlfn.XLOOKUP(B2499,Equipo[DESCRIPCION],Equipo[UND],,0),"")</f>
        <v>Día</v>
      </c>
      <c r="D2499" s="31">
        <v>1</v>
      </c>
      <c r="E2499" s="32">
        <f>IF(C2499="%MO",G2508,IFERROR(_xlfn.XLOOKUP($B2499,Equipo[DESCRIPCION],Equipo[VALOR],,0),""))</f>
        <v>635.25</v>
      </c>
      <c r="F2499" s="33">
        <v>-0.04</v>
      </c>
      <c r="G2499" s="34">
        <f t="shared" si="26"/>
        <v>15881.25</v>
      </c>
      <c r="H2499" s="43">
        <f>IFERROR(G2499*E2488,"")</f>
        <v>0</v>
      </c>
    </row>
    <row r="2500" spans="1:11" ht="12.75" customHeight="1">
      <c r="A2500" s="28"/>
      <c r="B2500" s="29" t="s">
        <v>3651</v>
      </c>
      <c r="C2500" s="30" t="str">
        <f>IFERROR(_xlfn.XLOOKUP(B2500,Equipo[DESCRIPCION],Equipo[UND],,0),"")</f>
        <v>Día</v>
      </c>
      <c r="D2500" s="31">
        <v>1</v>
      </c>
      <c r="E2500" s="32">
        <f>IF(C2500="%MO",G2509,IFERROR(_xlfn.XLOOKUP($B2500,Equipo[DESCRIPCION],Equipo[VALOR],,0),""))</f>
        <v>981.75</v>
      </c>
      <c r="F2500" s="33">
        <v>-0.04</v>
      </c>
      <c r="G2500" s="34">
        <f t="shared" si="26"/>
        <v>24543.75</v>
      </c>
      <c r="H2500" s="43">
        <f>IFERROR(G2500*E2488,"")</f>
        <v>0</v>
      </c>
    </row>
    <row r="2501" spans="1:11" ht="12.75" customHeight="1">
      <c r="A2501" s="28"/>
      <c r="B2501" s="29" t="s">
        <v>3640</v>
      </c>
      <c r="C2501" s="30" t="str">
        <f>IFERROR(_xlfn.XLOOKUP(B2501,Equipo[DESCRIPCION],Equipo[UND],,0),"")</f>
        <v>Día</v>
      </c>
      <c r="D2501" s="31">
        <v>1</v>
      </c>
      <c r="E2501" s="32">
        <f>IF(C2501="%MO",G2511,IFERROR(_xlfn.XLOOKUP($B2501,Equipo[DESCRIPCION],Equipo[VALOR],,0),""))</f>
        <v>73881.150000000009</v>
      </c>
      <c r="F2501" s="33">
        <v>-5</v>
      </c>
      <c r="G2501" s="34">
        <f t="shared" si="26"/>
        <v>14776.230000000001</v>
      </c>
      <c r="H2501" s="43">
        <f>IFERROR(G2501*E2488,"")</f>
        <v>0</v>
      </c>
    </row>
    <row r="2502" spans="1:11" ht="12.75" customHeight="1">
      <c r="A2502" s="28"/>
      <c r="B2502" s="29" t="s">
        <v>3626</v>
      </c>
      <c r="C2502" s="30" t="str">
        <f>IFERROR(_xlfn.XLOOKUP(B2502,Equipo[DESCRIPCION],Equipo[UND],,0),"")</f>
        <v>%MO</v>
      </c>
      <c r="D2502" s="31">
        <v>0.05</v>
      </c>
      <c r="E2502" s="32">
        <f>IF(C2502="%MO",G2506,IFERROR(_xlfn.XLOOKUP($B2502,Equipo[DESCRIPCION],Equipo[VALOR],,0),""))</f>
        <v>331856.90372250008</v>
      </c>
      <c r="F2502" s="33"/>
      <c r="G2502" s="34">
        <f t="shared" si="26"/>
        <v>16592.845186125003</v>
      </c>
      <c r="H2502" s="43">
        <f>IFERROR(G2502*E2488,"")</f>
        <v>0</v>
      </c>
    </row>
    <row r="2503" spans="1:11" ht="12.75" customHeight="1">
      <c r="A2503" s="21"/>
      <c r="B2503" s="22" t="s">
        <v>2533</v>
      </c>
      <c r="C2503" s="23"/>
      <c r="D2503" s="24"/>
      <c r="E2503" s="25"/>
      <c r="F2503" s="26"/>
      <c r="G2503" s="27">
        <f>SUM(G2504:G2505)</f>
        <v>0</v>
      </c>
      <c r="H2503" s="44">
        <f>G2503*E2488</f>
        <v>0</v>
      </c>
    </row>
    <row r="2504" spans="1:11" ht="12.75" customHeight="1">
      <c r="A2504" s="28"/>
      <c r="B2504" s="29"/>
      <c r="C2504" s="30" t="str">
        <f>IFERROR(_xlfn.XLOOKUP(B2504,Transporte[DESCRIPCION],Transporte[UND],,0),"")</f>
        <v/>
      </c>
      <c r="D2504" s="31"/>
      <c r="E2504" s="32" t="str">
        <f>IFERROR(_xlfn.XLOOKUP($B2504,Transporte[DESCRIPCION],Transporte[VALOR],,0),"")</f>
        <v/>
      </c>
      <c r="F2504" s="33"/>
      <c r="G2504" s="34" t="str">
        <f>IFERROR(IF(F2504&gt;=0,D2504*E2504*(1+F2504/100),ABS(D2504*E2504/F2504)),"")</f>
        <v/>
      </c>
      <c r="H2504" s="43" t="str">
        <f>IFERROR(G2504*E2488,"")</f>
        <v/>
      </c>
    </row>
    <row r="2505" spans="1:11" ht="12.75" customHeight="1">
      <c r="A2505" s="28"/>
      <c r="B2505" s="29"/>
      <c r="C2505" s="30" t="str">
        <f>IFERROR(_xlfn.XLOOKUP(B2505,Transporte[DESCRIPCION],Transporte[UND],,0),"")</f>
        <v/>
      </c>
      <c r="D2505" s="31"/>
      <c r="E2505" s="32" t="str">
        <f>IFERROR(_xlfn.XLOOKUP($B2505,Transporte[DESCRIPCION],Transporte[VALOR],,0),"")</f>
        <v/>
      </c>
      <c r="F2505" s="33"/>
      <c r="G2505" s="34" t="str">
        <f>IFERROR(IF(F2505&gt;=0,D2505*E2505*(1+F2505/100),ABS(D2505*E2505/F2505)),"")</f>
        <v/>
      </c>
      <c r="H2505" s="43" t="str">
        <f>IFERROR(G2505*E2488,"")</f>
        <v/>
      </c>
    </row>
    <row r="2506" spans="1:11" ht="12.75" customHeight="1">
      <c r="A2506" s="21"/>
      <c r="B2506" s="22" t="s">
        <v>3732</v>
      </c>
      <c r="C2506" s="23"/>
      <c r="D2506" s="24"/>
      <c r="E2506" s="25"/>
      <c r="F2506" s="26"/>
      <c r="G2506" s="27">
        <f>SUM(G2507:G2509)</f>
        <v>331856.90372250008</v>
      </c>
      <c r="H2506" s="44">
        <f>G2506*E2488</f>
        <v>0</v>
      </c>
    </row>
    <row r="2507" spans="1:11" ht="12.75" customHeight="1">
      <c r="A2507" s="28"/>
      <c r="B2507" s="29" t="s">
        <v>3713</v>
      </c>
      <c r="C2507" s="30" t="str">
        <f>IFERROR(_xlfn.XLOOKUP(B2507,MObra[DESCRIPCION],MObra[UN],,0),"")</f>
        <v>día</v>
      </c>
      <c r="D2507" s="31">
        <v>1</v>
      </c>
      <c r="E2507" s="32">
        <f>IFERROR(_xlfn.XLOOKUP($B2507,MObra[DESCRIPCION],MObra[VALOR UNIT],,0),"")</f>
        <v>663713.80744500016</v>
      </c>
      <c r="F2507" s="33">
        <v>-2</v>
      </c>
      <c r="G2507" s="34">
        <f>IFERROR(IF(F2507&gt;=0,D2507*E2507*(1+F2507/100),ABS(D2507*E2507/F2507)),"")</f>
        <v>331856.90372250008</v>
      </c>
      <c r="H2507" s="43">
        <f>IFERROR(G2507*E2488,"")</f>
        <v>0</v>
      </c>
    </row>
    <row r="2508" spans="1:11" ht="12.75" customHeight="1">
      <c r="A2508" s="28"/>
      <c r="B2508" s="29"/>
      <c r="C2508" s="30" t="str">
        <f t="array" ref="C2508">IFERROR(_xlfn.XLOOKUP(B2508,MObra[[#All],[DESCRIPCION]],MObra[[#All],[UN]],,0),"")</f>
        <v/>
      </c>
      <c r="D2508" s="31"/>
      <c r="E2508" s="32" t="str">
        <f>IFERROR(_xlfn.XLOOKUP($B2508,MObra[DESCRIPCION],MObra[VALOR UNIT],,0),"")</f>
        <v/>
      </c>
      <c r="F2508" s="33"/>
      <c r="G2508" s="34" t="str">
        <f>IFERROR(IF(F2508&gt;=0,D2508*E2508*(1+F2508/100),ABS(D2508*E2508/F2508)),"")</f>
        <v/>
      </c>
      <c r="H2508" s="43" t="str">
        <f>IFERROR(G2508*E2488,"")</f>
        <v/>
      </c>
    </row>
    <row r="2509" spans="1:11" ht="12.75" customHeight="1" thickBot="1">
      <c r="A2509" s="35"/>
      <c r="B2509" s="36"/>
      <c r="C2509" s="37" t="str">
        <f t="array" ref="C2509">IFERROR(_xlfn.XLOOKUP(B2509,MObra[[#All],[DESCRIPCION]],MObra[[#All],[UN]],,0),"")</f>
        <v/>
      </c>
      <c r="D2509" s="38"/>
      <c r="E2509" s="39" t="str">
        <f>IFERROR(_xlfn.XLOOKUP($B2509,MObra[DESCRIPCION],MObra[VALOR UNIT],,0),"")</f>
        <v/>
      </c>
      <c r="F2509" s="40"/>
      <c r="G2509" s="41" t="str">
        <f>IFERROR(IF(F2509&gt;=0,D2509*E2509*(1+F2509/100),ABS(D2509*E2509/F2509)),"")</f>
        <v/>
      </c>
      <c r="H2509" s="42" t="str">
        <f>IFERROR(G2509*E2488,"")</f>
        <v/>
      </c>
    </row>
    <row r="2510" spans="1:11" ht="12.75" customHeight="1" thickTop="1" thickBot="1"/>
    <row r="2511" spans="1:11" ht="12.75" customHeight="1" thickTop="1" thickBot="1">
      <c r="A2511" s="6" t="s">
        <v>551</v>
      </c>
      <c r="B2511" s="7" t="str">
        <f>VLOOKUP($A2511,Presupuesto!$A:$D,2,FALSE())</f>
        <v>Viga aérea concreto 27.6 Mpa (área sección transversal &gt; 2000 cm2)</v>
      </c>
      <c r="C2511" s="8" t="str">
        <f>VLOOKUP($A2511,Presupuesto!$A:$D,3,FALSE())</f>
        <v>M3</v>
      </c>
      <c r="D2511" s="9"/>
      <c r="E2511" s="10">
        <f>VLOOKUP($A2511,Presupuesto!$A:$D,4,FALSE())</f>
        <v>0</v>
      </c>
      <c r="F2511" s="11" t="s">
        <v>2589</v>
      </c>
      <c r="G2511" s="12">
        <f>SUM(G2513:G2532)/2</f>
        <v>1341615.3774792892</v>
      </c>
      <c r="H2511" s="13">
        <f>ROUND(SUM(H2513:H2532),0)/2</f>
        <v>0</v>
      </c>
      <c r="I2511" s="10">
        <f>VLOOKUP(A2511,Presupuesto!$A:$F,6,0)</f>
        <v>0</v>
      </c>
      <c r="J2511" s="10">
        <f>+H2511-I2511</f>
        <v>0</v>
      </c>
      <c r="K2511" s="46">
        <f>+H2511-G2511*E2511</f>
        <v>0</v>
      </c>
    </row>
    <row r="2512" spans="1:11" ht="12.75" customHeight="1" thickTop="1">
      <c r="A2512" s="14"/>
      <c r="B2512" s="15" t="s">
        <v>2586</v>
      </c>
      <c r="C2512" s="15" t="s">
        <v>5</v>
      </c>
      <c r="D2512" s="16" t="s">
        <v>6</v>
      </c>
      <c r="E2512" s="17" t="s">
        <v>7</v>
      </c>
      <c r="F2512" s="18" t="s">
        <v>3728</v>
      </c>
      <c r="G2512" s="19" t="s">
        <v>3729</v>
      </c>
      <c r="H2512" s="20" t="s">
        <v>3797</v>
      </c>
    </row>
    <row r="2513" spans="1:8" ht="12.75" customHeight="1">
      <c r="A2513" s="21"/>
      <c r="B2513" s="22" t="s">
        <v>3730</v>
      </c>
      <c r="C2513" s="23"/>
      <c r="D2513" s="24"/>
      <c r="E2513" s="25"/>
      <c r="F2513" s="26"/>
      <c r="G2513" s="27">
        <f>SUM(G2514:G2518)</f>
        <v>910778.21857066406</v>
      </c>
      <c r="H2513" s="27">
        <f>IFERROR(G2513*E2511,"")</f>
        <v>0</v>
      </c>
    </row>
    <row r="2514" spans="1:8" ht="12.75" customHeight="1">
      <c r="A2514" s="28"/>
      <c r="B2514" s="29" t="s">
        <v>3241</v>
      </c>
      <c r="C2514" s="30" t="str">
        <f>IFERROR(_xlfn.XLOOKUP(B2514,Insumo[DESCRIPCION],Insumo[UND],,0),"")</f>
        <v>M3</v>
      </c>
      <c r="D2514" s="31">
        <v>1</v>
      </c>
      <c r="E2514" s="32">
        <f>IFERROR(_xlfn.XLOOKUP($B2514,Insumo[DESCRIPCION],Insumo[VALOR],,0),"")</f>
        <v>568453.66874585627</v>
      </c>
      <c r="F2514" s="33">
        <v>5</v>
      </c>
      <c r="G2514" s="34">
        <f>IFERROR(IF(F2514&gt;=0,D2514*E2514*(1+F2514/100),ABS(D2514*E2514/F2514)),"")</f>
        <v>596876.35218314908</v>
      </c>
      <c r="H2514" s="43">
        <f>IFERROR(G2514*E2511,"")</f>
        <v>0</v>
      </c>
    </row>
    <row r="2515" spans="1:8" ht="12.75" customHeight="1">
      <c r="A2515" s="28"/>
      <c r="B2515" s="29" t="s">
        <v>2957</v>
      </c>
      <c r="C2515" s="30" t="str">
        <f>IFERROR(_xlfn.XLOOKUP(B2515,Insumo[DESCRIPCION],Insumo[UND],,0),"")</f>
        <v>M2</v>
      </c>
      <c r="D2515" s="31">
        <v>4</v>
      </c>
      <c r="E2515" s="32">
        <f>IFERROR(_xlfn.XLOOKUP($B2515,Insumo[DESCRIPCION],Insumo[VALOR],,0),"")</f>
        <v>149544.7581937575</v>
      </c>
      <c r="F2515" s="33">
        <v>-2</v>
      </c>
      <c r="G2515" s="34">
        <f>IFERROR(IF(F2515&gt;=0,D2515*E2515*(1+F2515/100),ABS(D2515*E2515/F2515)),"")</f>
        <v>299089.516387515</v>
      </c>
      <c r="H2515" s="43">
        <f>IFERROR(G2515*E2511,"")</f>
        <v>0</v>
      </c>
    </row>
    <row r="2516" spans="1:8" ht="12.75" customHeight="1">
      <c r="A2516" s="28"/>
      <c r="B2516" s="29" t="s">
        <v>2709</v>
      </c>
      <c r="C2516" s="30" t="str">
        <f>IFERROR(_xlfn.XLOOKUP(B2516,Insumo[DESCRIPCION],Insumo[UND],,0),"")</f>
        <v>Kg</v>
      </c>
      <c r="D2516" s="31">
        <v>1</v>
      </c>
      <c r="E2516" s="32">
        <f>IFERROR(_xlfn.XLOOKUP($B2516,Insumo[DESCRIPCION],Insumo[VALOR],,0),"")</f>
        <v>14812.35</v>
      </c>
      <c r="F2516" s="33"/>
      <c r="G2516" s="34">
        <f>IFERROR(IF(F2516&gt;=0,D2516*E2516*(1+F2516/100),ABS(D2516*E2516/F2516)),"")</f>
        <v>14812.35</v>
      </c>
      <c r="H2516" s="43">
        <f>IFERROR(G2516*E2511,"")</f>
        <v>0</v>
      </c>
    </row>
    <row r="2517" spans="1:8" ht="12.75" customHeight="1">
      <c r="A2517" s="28"/>
      <c r="B2517" s="29"/>
      <c r="C2517" s="30" t="str">
        <f>IFERROR(_xlfn.XLOOKUP(B2517,Insumo[DESCRIPCION],Insumo[UND],,0),"")</f>
        <v/>
      </c>
      <c r="D2517" s="31"/>
      <c r="E2517" s="32" t="str">
        <f>IFERROR(_xlfn.XLOOKUP($B2517,Insumo[DESCRIPCION],Insumo[VALOR],,0),"")</f>
        <v/>
      </c>
      <c r="F2517" s="33"/>
      <c r="G2517" s="34" t="str">
        <f>IFERROR(IF(F2517&gt;=0,D2517*E2517*(1+F2517/100),ABS(D2517*E2517/F2517)),"")</f>
        <v/>
      </c>
      <c r="H2517" s="43" t="str">
        <f>IFERROR(G2517*E2511,"")</f>
        <v/>
      </c>
    </row>
    <row r="2518" spans="1:8" ht="12.75" customHeight="1">
      <c r="A2518" s="28"/>
      <c r="B2518" s="29"/>
      <c r="C2518" s="30" t="str">
        <f>IFERROR(_xlfn.XLOOKUP(B2518,Insumo[DESCRIPCION],Insumo[UND],,0),"")</f>
        <v/>
      </c>
      <c r="D2518" s="31"/>
      <c r="E2518" s="32" t="str">
        <f>IFERROR(_xlfn.XLOOKUP($B2518,Insumo[DESCRIPCION],Insumo[VALOR],,0),"")</f>
        <v/>
      </c>
      <c r="F2518" s="33"/>
      <c r="G2518" s="34" t="str">
        <f>IFERROR(IF(F2518&gt;=0,D2518*E2518*(1+F2518/100),ABS(D2518*E2518/F2518)),"")</f>
        <v/>
      </c>
      <c r="H2518" s="43" t="str">
        <f>IFERROR(G2518*E2511,"")</f>
        <v/>
      </c>
    </row>
    <row r="2519" spans="1:8" ht="12.75" customHeight="1">
      <c r="A2519" s="21"/>
      <c r="B2519" s="22" t="s">
        <v>3731</v>
      </c>
      <c r="C2519" s="23"/>
      <c r="D2519" s="24"/>
      <c r="E2519" s="25"/>
      <c r="F2519" s="26"/>
      <c r="G2519" s="27">
        <f>SUM(G2520:G2525)</f>
        <v>98980.255186124996</v>
      </c>
      <c r="H2519" s="44">
        <f>G2519*E2511</f>
        <v>0</v>
      </c>
    </row>
    <row r="2520" spans="1:8" ht="12.75" customHeight="1">
      <c r="A2520" s="28"/>
      <c r="B2520" s="29" t="s">
        <v>3657</v>
      </c>
      <c r="C2520" s="30" t="str">
        <f>IFERROR(_xlfn.XLOOKUP(B2520,Equipo[DESCRIPCION],Equipo[UND],,0),"")</f>
        <v>Día</v>
      </c>
      <c r="D2520" s="31">
        <v>1</v>
      </c>
      <c r="E2520" s="32">
        <f>IF(C2520="%MO",G2529,IFERROR(_xlfn.XLOOKUP($B2520,Equipo[DESCRIPCION],Equipo[VALOR],,0),""))</f>
        <v>56524.65</v>
      </c>
      <c r="F2520" s="33">
        <v>-5</v>
      </c>
      <c r="G2520" s="34">
        <f t="shared" ref="G2520:G2525" si="27">IFERROR(IF(F2520&gt;=0,D2520*E2520*(1+F2520/100),ABS(D2520*E2520/F2520)),"")</f>
        <v>11304.93</v>
      </c>
      <c r="H2520" s="43">
        <f>IFERROR(G2520*E2511,"")</f>
        <v>0</v>
      </c>
    </row>
    <row r="2521" spans="1:8" ht="12.75" customHeight="1">
      <c r="A2521" s="28"/>
      <c r="B2521" s="29" t="s">
        <v>3652</v>
      </c>
      <c r="C2521" s="30" t="str">
        <f>IFERROR(_xlfn.XLOOKUP(B2521,Equipo[DESCRIPCION],Equipo[UND],,0),"")</f>
        <v>Día</v>
      </c>
      <c r="D2521" s="31">
        <v>1</v>
      </c>
      <c r="E2521" s="32">
        <f>IF(C2521="%MO",G2530,IFERROR(_xlfn.XLOOKUP($B2521,Equipo[DESCRIPCION],Equipo[VALOR],,0),""))</f>
        <v>635.25</v>
      </c>
      <c r="F2521" s="33">
        <v>-0.04</v>
      </c>
      <c r="G2521" s="34">
        <f t="shared" si="27"/>
        <v>15881.25</v>
      </c>
      <c r="H2521" s="43">
        <f>IFERROR(G2521*E2511,"")</f>
        <v>0</v>
      </c>
    </row>
    <row r="2522" spans="1:8" ht="12.75" customHeight="1">
      <c r="A2522" s="28"/>
      <c r="B2522" s="29" t="s">
        <v>3591</v>
      </c>
      <c r="C2522" s="30" t="str">
        <f>IFERROR(_xlfn.XLOOKUP(B2522,Equipo[DESCRIPCION],Equipo[UND],,0),"")</f>
        <v>Día</v>
      </c>
      <c r="D2522" s="31">
        <v>1</v>
      </c>
      <c r="E2522" s="32">
        <f>IF(C2522="%MO",G2531,IFERROR(_xlfn.XLOOKUP($B2522,Equipo[DESCRIPCION],Equipo[VALOR],,0),""))</f>
        <v>635.25</v>
      </c>
      <c r="F2522" s="33">
        <v>-0.04</v>
      </c>
      <c r="G2522" s="34">
        <f t="shared" si="27"/>
        <v>15881.25</v>
      </c>
      <c r="H2522" s="43">
        <f>IFERROR(G2522*E2511,"")</f>
        <v>0</v>
      </c>
    </row>
    <row r="2523" spans="1:8" ht="12.75" customHeight="1">
      <c r="A2523" s="28"/>
      <c r="B2523" s="29" t="s">
        <v>3651</v>
      </c>
      <c r="C2523" s="30" t="str">
        <f>IFERROR(_xlfn.XLOOKUP(B2523,Equipo[DESCRIPCION],Equipo[UND],,0),"")</f>
        <v>Día</v>
      </c>
      <c r="D2523" s="31">
        <v>1</v>
      </c>
      <c r="E2523" s="32">
        <f>IF(C2523="%MO",G2532,IFERROR(_xlfn.XLOOKUP($B2523,Equipo[DESCRIPCION],Equipo[VALOR],,0),""))</f>
        <v>981.75</v>
      </c>
      <c r="F2523" s="33">
        <v>-0.04</v>
      </c>
      <c r="G2523" s="34">
        <f t="shared" si="27"/>
        <v>24543.75</v>
      </c>
      <c r="H2523" s="43">
        <f>IFERROR(G2523*E2511,"")</f>
        <v>0</v>
      </c>
    </row>
    <row r="2524" spans="1:8" ht="12.75" customHeight="1">
      <c r="A2524" s="28"/>
      <c r="B2524" s="29" t="s">
        <v>3640</v>
      </c>
      <c r="C2524" s="30" t="str">
        <f>IFERROR(_xlfn.XLOOKUP(B2524,Equipo[DESCRIPCION],Equipo[UND],,0),"")</f>
        <v>Día</v>
      </c>
      <c r="D2524" s="31">
        <v>1</v>
      </c>
      <c r="E2524" s="32">
        <f>IF(C2524="%MO",G2534,IFERROR(_xlfn.XLOOKUP($B2524,Equipo[DESCRIPCION],Equipo[VALOR],,0),""))</f>
        <v>73881.150000000009</v>
      </c>
      <c r="F2524" s="33">
        <v>-5</v>
      </c>
      <c r="G2524" s="34">
        <f t="shared" si="27"/>
        <v>14776.230000000001</v>
      </c>
      <c r="H2524" s="43">
        <f>IFERROR(G2524*E2511,"")</f>
        <v>0</v>
      </c>
    </row>
    <row r="2525" spans="1:8" ht="12.75" customHeight="1">
      <c r="A2525" s="28"/>
      <c r="B2525" s="29" t="s">
        <v>3626</v>
      </c>
      <c r="C2525" s="30" t="str">
        <f>IFERROR(_xlfn.XLOOKUP(B2525,Equipo[DESCRIPCION],Equipo[UND],,0),"")</f>
        <v>%MO</v>
      </c>
      <c r="D2525" s="31">
        <v>0.05</v>
      </c>
      <c r="E2525" s="32">
        <f>IF(C2525="%MO",G2529,IFERROR(_xlfn.XLOOKUP($B2525,Equipo[DESCRIPCION],Equipo[VALOR],,0),""))</f>
        <v>331856.90372250008</v>
      </c>
      <c r="F2525" s="33"/>
      <c r="G2525" s="34">
        <f t="shared" si="27"/>
        <v>16592.845186125003</v>
      </c>
      <c r="H2525" s="43">
        <f>IFERROR(G2525*E2511,"")</f>
        <v>0</v>
      </c>
    </row>
    <row r="2526" spans="1:8" ht="12.75" customHeight="1">
      <c r="A2526" s="21"/>
      <c r="B2526" s="22" t="s">
        <v>2533</v>
      </c>
      <c r="C2526" s="23"/>
      <c r="D2526" s="24"/>
      <c r="E2526" s="25"/>
      <c r="F2526" s="26"/>
      <c r="G2526" s="27">
        <f>SUM(G2527:G2528)</f>
        <v>0</v>
      </c>
      <c r="H2526" s="44">
        <f>G2526*E2511</f>
        <v>0</v>
      </c>
    </row>
    <row r="2527" spans="1:8" ht="12.75" customHeight="1">
      <c r="A2527" s="28"/>
      <c r="B2527" s="29"/>
      <c r="C2527" s="30" t="str">
        <f>IFERROR(_xlfn.XLOOKUP(B2527,Transporte[DESCRIPCION],Transporte[UND],,0),"")</f>
        <v/>
      </c>
      <c r="D2527" s="31"/>
      <c r="E2527" s="32" t="str">
        <f>IFERROR(_xlfn.XLOOKUP($B2527,Transporte[DESCRIPCION],Transporte[VALOR],,0),"")</f>
        <v/>
      </c>
      <c r="F2527" s="33"/>
      <c r="G2527" s="34" t="str">
        <f>IFERROR(IF(F2527&gt;=0,D2527*E2527*(1+F2527/100),ABS(D2527*E2527/F2527)),"")</f>
        <v/>
      </c>
      <c r="H2527" s="43" t="str">
        <f>IFERROR(G2527*E2511,"")</f>
        <v/>
      </c>
    </row>
    <row r="2528" spans="1:8" ht="12.75" customHeight="1">
      <c r="A2528" s="28"/>
      <c r="B2528" s="29"/>
      <c r="C2528" s="30" t="str">
        <f>IFERROR(_xlfn.XLOOKUP(B2528,Transporte[DESCRIPCION],Transporte[UND],,0),"")</f>
        <v/>
      </c>
      <c r="D2528" s="31"/>
      <c r="E2528" s="32" t="str">
        <f>IFERROR(_xlfn.XLOOKUP($B2528,Transporte[DESCRIPCION],Transporte[VALOR],,0),"")</f>
        <v/>
      </c>
      <c r="F2528" s="33"/>
      <c r="G2528" s="34" t="str">
        <f>IFERROR(IF(F2528&gt;=0,D2528*E2528*(1+F2528/100),ABS(D2528*E2528/F2528)),"")</f>
        <v/>
      </c>
      <c r="H2528" s="43" t="str">
        <f>IFERROR(G2528*E2511,"")</f>
        <v/>
      </c>
    </row>
    <row r="2529" spans="1:11" ht="12.75" customHeight="1">
      <c r="A2529" s="21"/>
      <c r="B2529" s="22" t="s">
        <v>3732</v>
      </c>
      <c r="C2529" s="23"/>
      <c r="D2529" s="24"/>
      <c r="E2529" s="25"/>
      <c r="F2529" s="26"/>
      <c r="G2529" s="27">
        <f>SUM(G2530:G2532)</f>
        <v>331856.90372250008</v>
      </c>
      <c r="H2529" s="44">
        <f>G2529*E2511</f>
        <v>0</v>
      </c>
    </row>
    <row r="2530" spans="1:11" ht="12.75" customHeight="1">
      <c r="A2530" s="28"/>
      <c r="B2530" s="29" t="s">
        <v>3713</v>
      </c>
      <c r="C2530" s="30" t="str">
        <f>IFERROR(_xlfn.XLOOKUP(B2530,MObra[DESCRIPCION],MObra[UN],,0),"")</f>
        <v>día</v>
      </c>
      <c r="D2530" s="31">
        <v>1</v>
      </c>
      <c r="E2530" s="32">
        <f>IFERROR(_xlfn.XLOOKUP($B2530,MObra[DESCRIPCION],MObra[VALOR UNIT],,0),"")</f>
        <v>663713.80744500016</v>
      </c>
      <c r="F2530" s="33">
        <v>-2</v>
      </c>
      <c r="G2530" s="34">
        <f>IFERROR(IF(F2530&gt;=0,D2530*E2530*(1+F2530/100),ABS(D2530*E2530/F2530)),"")</f>
        <v>331856.90372250008</v>
      </c>
      <c r="H2530" s="43">
        <f>IFERROR(G2530*E2511,"")</f>
        <v>0</v>
      </c>
    </row>
    <row r="2531" spans="1:11" ht="12.75" customHeight="1">
      <c r="A2531" s="28"/>
      <c r="B2531" s="29"/>
      <c r="C2531" s="30" t="str">
        <f t="array" ref="C2531">IFERROR(_xlfn.XLOOKUP(B2531,MObra[[#All],[DESCRIPCION]],MObra[[#All],[UN]],,0),"")</f>
        <v/>
      </c>
      <c r="D2531" s="31"/>
      <c r="E2531" s="32" t="str">
        <f>IFERROR(_xlfn.XLOOKUP($B2531,MObra[DESCRIPCION],MObra[VALOR UNIT],,0),"")</f>
        <v/>
      </c>
      <c r="F2531" s="33"/>
      <c r="G2531" s="34" t="str">
        <f>IFERROR(IF(F2531&gt;=0,D2531*E2531*(1+F2531/100),ABS(D2531*E2531/F2531)),"")</f>
        <v/>
      </c>
      <c r="H2531" s="43" t="str">
        <f>IFERROR(G2531*E2511,"")</f>
        <v/>
      </c>
    </row>
    <row r="2532" spans="1:11" ht="12.75" customHeight="1" thickBot="1">
      <c r="A2532" s="35"/>
      <c r="B2532" s="36"/>
      <c r="C2532" s="37" t="str">
        <f t="array" ref="C2532">IFERROR(_xlfn.XLOOKUP(B2532,MObra[[#All],[DESCRIPCION]],MObra[[#All],[UN]],,0),"")</f>
        <v/>
      </c>
      <c r="D2532" s="38"/>
      <c r="E2532" s="39" t="str">
        <f>IFERROR(_xlfn.XLOOKUP($B2532,MObra[DESCRIPCION],MObra[VALOR UNIT],,0),"")</f>
        <v/>
      </c>
      <c r="F2532" s="40"/>
      <c r="G2532" s="41" t="str">
        <f>IFERROR(IF(F2532&gt;=0,D2532*E2532*(1+F2532/100),ABS(D2532*E2532/F2532)),"")</f>
        <v/>
      </c>
      <c r="H2532" s="42" t="str">
        <f>IFERROR(G2532*E2511,"")</f>
        <v/>
      </c>
    </row>
    <row r="2533" spans="1:11" ht="12.75" customHeight="1" thickTop="1" thickBot="1"/>
    <row r="2534" spans="1:11" ht="12.75" customHeight="1" thickTop="1" thickBot="1">
      <c r="A2534" s="6" t="s">
        <v>553</v>
      </c>
      <c r="B2534" s="7" t="str">
        <f>VLOOKUP($A2534,Presupuesto!$A:$D,2,FALSE())</f>
        <v>Viga amarre confinamiento concreto 20.7 Mpa 12x20 cm</v>
      </c>
      <c r="C2534" s="8" t="str">
        <f>VLOOKUP($A2534,Presupuesto!$A:$D,3,FALSE())</f>
        <v>M</v>
      </c>
      <c r="D2534" s="9"/>
      <c r="E2534" s="10">
        <f>VLOOKUP($A2534,Presupuesto!$A:$D,4,FALSE())</f>
        <v>0</v>
      </c>
      <c r="F2534" s="11" t="s">
        <v>2589</v>
      </c>
      <c r="G2534" s="12">
        <f>SUM(G2536:G2552)/2</f>
        <v>111819.83860190015</v>
      </c>
      <c r="H2534" s="13">
        <f>ROUND(SUM(H2536:H2552),0)/2</f>
        <v>0</v>
      </c>
      <c r="I2534" s="10">
        <f>VLOOKUP(A2534,Presupuesto!$A:$F,6,0)</f>
        <v>0</v>
      </c>
      <c r="J2534" s="10">
        <f>+H2534-I2534</f>
        <v>0</v>
      </c>
      <c r="K2534" s="46">
        <f>+H2534-G2534*E2534</f>
        <v>0</v>
      </c>
    </row>
    <row r="2535" spans="1:11" ht="12.75" customHeight="1" thickTop="1">
      <c r="A2535" s="14"/>
      <c r="B2535" s="15" t="s">
        <v>2586</v>
      </c>
      <c r="C2535" s="15" t="s">
        <v>5</v>
      </c>
      <c r="D2535" s="16" t="s">
        <v>6</v>
      </c>
      <c r="E2535" s="17" t="s">
        <v>7</v>
      </c>
      <c r="F2535" s="18" t="s">
        <v>3728</v>
      </c>
      <c r="G2535" s="19" t="s">
        <v>3729</v>
      </c>
      <c r="H2535" s="20" t="s">
        <v>3797</v>
      </c>
    </row>
    <row r="2536" spans="1:11" ht="12.75" customHeight="1">
      <c r="A2536" s="21"/>
      <c r="B2536" s="22" t="s">
        <v>3730</v>
      </c>
      <c r="C2536" s="23"/>
      <c r="D2536" s="24"/>
      <c r="E2536" s="25"/>
      <c r="F2536" s="26"/>
      <c r="G2536" s="27">
        <f>SUM(G2537:G2541)</f>
        <v>73763.281096147635</v>
      </c>
      <c r="H2536" s="27">
        <f>IFERROR(G2536*E2534,"")</f>
        <v>0</v>
      </c>
    </row>
    <row r="2537" spans="1:11" ht="12.75" customHeight="1">
      <c r="A2537" s="28"/>
      <c r="B2537" s="29" t="s">
        <v>3239</v>
      </c>
      <c r="C2537" s="30" t="str">
        <f>IFERROR(_xlfn.XLOOKUP(B2537,Insumo[DESCRIPCION],Insumo[UND],,0),"")</f>
        <v>M3</v>
      </c>
      <c r="D2537" s="31">
        <v>2.4E-2</v>
      </c>
      <c r="E2537" s="32">
        <f>IFERROR(_xlfn.XLOOKUP($B2537,Insumo[DESCRIPCION],Insumo[VALOR],,0),"")</f>
        <v>521159.50227762427</v>
      </c>
      <c r="F2537" s="33">
        <v>5</v>
      </c>
      <c r="G2537" s="34">
        <f>IFERROR(IF(F2537&gt;=0,D2537*E2537*(1+F2537/100),ABS(D2537*E2537/F2537)),"")</f>
        <v>13133.219457396133</v>
      </c>
      <c r="H2537" s="43">
        <f>IFERROR(G2537*E2534,"")</f>
        <v>0</v>
      </c>
    </row>
    <row r="2538" spans="1:11" ht="12.75" customHeight="1">
      <c r="A2538" s="28"/>
      <c r="B2538" s="29" t="s">
        <v>2957</v>
      </c>
      <c r="C2538" s="30" t="str">
        <f>IFERROR(_xlfn.XLOOKUP(B2538,Insumo[DESCRIPCION],Insumo[UND],,0),"")</f>
        <v>M2</v>
      </c>
      <c r="D2538" s="31">
        <v>0.4</v>
      </c>
      <c r="E2538" s="32">
        <f>IFERROR(_xlfn.XLOOKUP($B2538,Insumo[DESCRIPCION],Insumo[VALOR],,0),"")</f>
        <v>149544.7581937575</v>
      </c>
      <c r="F2538" s="33">
        <v>-2</v>
      </c>
      <c r="G2538" s="34">
        <f>IFERROR(IF(F2538&gt;=0,D2538*E2538*(1+F2538/100),ABS(D2538*E2538/F2538)),"")</f>
        <v>29908.951638751503</v>
      </c>
      <c r="H2538" s="43">
        <f>IFERROR(G2538*E2534,"")</f>
        <v>0</v>
      </c>
    </row>
    <row r="2539" spans="1:11" ht="12.75" customHeight="1">
      <c r="A2539" s="28"/>
      <c r="B2539" s="29" t="s">
        <v>2653</v>
      </c>
      <c r="C2539" s="30" t="str">
        <f>IFERROR(_xlfn.XLOOKUP(B2539,Insumo[DESCRIPCION],Insumo[UND],,0),"")</f>
        <v>Kg</v>
      </c>
      <c r="D2539" s="31">
        <v>5.2</v>
      </c>
      <c r="E2539" s="32">
        <f>IFERROR(_xlfn.XLOOKUP($B2539,Insumo[DESCRIPCION],Insumo[VALOR],,0),"")</f>
        <v>5686.8</v>
      </c>
      <c r="F2539" s="33"/>
      <c r="G2539" s="34">
        <f>IFERROR(IF(F2539&gt;=0,D2539*E2539*(1+F2539/100),ABS(D2539*E2539/F2539)),"")</f>
        <v>29571.360000000001</v>
      </c>
      <c r="H2539" s="43">
        <f>IFERROR(G2539*E2534,"")</f>
        <v>0</v>
      </c>
    </row>
    <row r="2540" spans="1:11" ht="12.75" customHeight="1">
      <c r="A2540" s="28"/>
      <c r="B2540" s="29" t="s">
        <v>2699</v>
      </c>
      <c r="C2540" s="30" t="str">
        <f>IFERROR(_xlfn.XLOOKUP(B2540,Insumo[DESCRIPCION],Insumo[UND],,0),"")</f>
        <v>Kg</v>
      </c>
      <c r="D2540" s="31">
        <v>0.15</v>
      </c>
      <c r="E2540" s="32">
        <f>IFERROR(_xlfn.XLOOKUP($B2540,Insumo[DESCRIPCION],Insumo[VALOR],,0),"")</f>
        <v>7665</v>
      </c>
      <c r="F2540" s="33"/>
      <c r="G2540" s="34">
        <f>IFERROR(IF(F2540&gt;=0,D2540*E2540*(1+F2540/100),ABS(D2540*E2540/F2540)),"")</f>
        <v>1149.75</v>
      </c>
      <c r="H2540" s="43">
        <f>IFERROR(G2540*E2534,"")</f>
        <v>0</v>
      </c>
    </row>
    <row r="2541" spans="1:11" ht="12.75" customHeight="1">
      <c r="A2541" s="28"/>
      <c r="B2541" s="29"/>
      <c r="C2541" s="30" t="str">
        <f>IFERROR(_xlfn.XLOOKUP(B2541,Insumo[DESCRIPCION],Insumo[UND],,0),"")</f>
        <v/>
      </c>
      <c r="D2541" s="31"/>
      <c r="E2541" s="32" t="str">
        <f>IFERROR(_xlfn.XLOOKUP($B2541,Insumo[DESCRIPCION],Insumo[VALOR],,0),"")</f>
        <v/>
      </c>
      <c r="F2541" s="33"/>
      <c r="G2541" s="34" t="str">
        <f>IFERROR(IF(F2541&gt;=0,D2541*E2541*(1+F2541/100),ABS(D2541*E2541/F2541)),"")</f>
        <v/>
      </c>
      <c r="H2541" s="43" t="str">
        <f>IFERROR(G2541*E2534,"")</f>
        <v/>
      </c>
    </row>
    <row r="2542" spans="1:11" ht="12.75" customHeight="1">
      <c r="A2542" s="21"/>
      <c r="B2542" s="22" t="s">
        <v>3731</v>
      </c>
      <c r="C2542" s="23"/>
      <c r="D2542" s="24"/>
      <c r="E2542" s="25"/>
      <c r="F2542" s="26"/>
      <c r="G2542" s="27">
        <f>SUM(G2543:G2545)</f>
        <v>4870.867133502501</v>
      </c>
      <c r="H2542" s="44">
        <f>G2542*E2534</f>
        <v>0</v>
      </c>
    </row>
    <row r="2543" spans="1:11" ht="12.75" customHeight="1">
      <c r="A2543" s="28"/>
      <c r="B2543" s="29" t="s">
        <v>3657</v>
      </c>
      <c r="C2543" s="30" t="str">
        <f>IFERROR(_xlfn.XLOOKUP(B2543,Equipo[DESCRIPCION],Equipo[UND],,0),"")</f>
        <v>Día</v>
      </c>
      <c r="D2543" s="31">
        <v>1</v>
      </c>
      <c r="E2543" s="32">
        <f>IF(C2543="%MO",G2549,IFERROR(_xlfn.XLOOKUP($B2543,Equipo[DESCRIPCION],Equipo[VALOR],,0),""))</f>
        <v>56524.65</v>
      </c>
      <c r="F2543" s="33">
        <v>-30</v>
      </c>
      <c r="G2543" s="34">
        <f>IFERROR(IF(F2543&gt;=0,D2543*E2543*(1+F2543/100),ABS(D2543*E2543/F2543)),"")</f>
        <v>1884.155</v>
      </c>
      <c r="H2543" s="43">
        <f>IFERROR(G2543*E2534,"")</f>
        <v>0</v>
      </c>
    </row>
    <row r="2544" spans="1:11" ht="12.75" customHeight="1">
      <c r="A2544" s="28"/>
      <c r="B2544" s="29" t="s">
        <v>3570</v>
      </c>
      <c r="C2544" s="30" t="str">
        <f>IFERROR(_xlfn.XLOOKUP(B2544,Equipo[DESCRIPCION],Equipo[UND],,0),"")</f>
        <v>%MO</v>
      </c>
      <c r="D2544" s="31">
        <v>0.04</v>
      </c>
      <c r="E2544" s="32">
        <f>IF(C2544="%MO",G2549,IFERROR(_xlfn.XLOOKUP($B2544,Equipo[DESCRIPCION],Equipo[VALOR],,0),""))</f>
        <v>33185.690372250006</v>
      </c>
      <c r="F2544" s="33"/>
      <c r="G2544" s="34">
        <f>IFERROR(IF(F2544&gt;=0,D2544*E2544*(1+F2544/100),ABS(D2544*E2544/F2544)),"")</f>
        <v>1327.4276148900003</v>
      </c>
      <c r="H2544" s="43">
        <f>IFERROR(G2544*E2534,"")</f>
        <v>0</v>
      </c>
    </row>
    <row r="2545" spans="1:11" ht="12.75" customHeight="1">
      <c r="A2545" s="28"/>
      <c r="B2545" s="29" t="s">
        <v>3626</v>
      </c>
      <c r="C2545" s="30" t="str">
        <f>IFERROR(_xlfn.XLOOKUP(B2545,Equipo[DESCRIPCION],Equipo[UND],,0),"")</f>
        <v>%MO</v>
      </c>
      <c r="D2545" s="31">
        <v>0.05</v>
      </c>
      <c r="E2545" s="32">
        <f>IF(C2545="%MO",G2549,IFERROR(_xlfn.XLOOKUP($B2545,Equipo[DESCRIPCION],Equipo[VALOR],,0),""))</f>
        <v>33185.690372250006</v>
      </c>
      <c r="F2545" s="33"/>
      <c r="G2545" s="34">
        <f>IFERROR(IF(F2545&gt;=0,D2545*E2545*(1+F2545/100),ABS(D2545*E2545/F2545)),"")</f>
        <v>1659.2845186125005</v>
      </c>
      <c r="H2545" s="43">
        <f>IFERROR(G2545*E2534,"")</f>
        <v>0</v>
      </c>
    </row>
    <row r="2546" spans="1:11" ht="12.75" customHeight="1">
      <c r="A2546" s="21"/>
      <c r="B2546" s="22" t="s">
        <v>2533</v>
      </c>
      <c r="C2546" s="23"/>
      <c r="D2546" s="24"/>
      <c r="E2546" s="25"/>
      <c r="F2546" s="26"/>
      <c r="G2546" s="27">
        <f>SUM(G2547:G2548)</f>
        <v>0</v>
      </c>
      <c r="H2546" s="44">
        <f>G2546*E2534</f>
        <v>0</v>
      </c>
    </row>
    <row r="2547" spans="1:11" ht="12.75" customHeight="1">
      <c r="A2547" s="28"/>
      <c r="B2547" s="29"/>
      <c r="C2547" s="30" t="str">
        <f>IFERROR(_xlfn.XLOOKUP(B2547,Transporte[DESCRIPCION],Transporte[UND],,0),"")</f>
        <v/>
      </c>
      <c r="D2547" s="31"/>
      <c r="E2547" s="32" t="str">
        <f>IFERROR(_xlfn.XLOOKUP($B2547,Transporte[DESCRIPCION],Transporte[VALOR],,0),"")</f>
        <v/>
      </c>
      <c r="F2547" s="33"/>
      <c r="G2547" s="34" t="str">
        <f>IFERROR(IF(F2547&gt;=0,D2547*E2547*(1+F2547/100),ABS(D2547*E2547/F2547)),"")</f>
        <v/>
      </c>
      <c r="H2547" s="43" t="str">
        <f>IFERROR(G2547*E2534,"")</f>
        <v/>
      </c>
    </row>
    <row r="2548" spans="1:11" ht="12.75" customHeight="1">
      <c r="A2548" s="28"/>
      <c r="B2548" s="29"/>
      <c r="C2548" s="30" t="str">
        <f>IFERROR(_xlfn.XLOOKUP(B2548,Transporte[DESCRIPCION],Transporte[UND],,0),"")</f>
        <v/>
      </c>
      <c r="D2548" s="31"/>
      <c r="E2548" s="32" t="str">
        <f>IFERROR(_xlfn.XLOOKUP($B2548,Transporte[DESCRIPCION],Transporte[VALOR],,0),"")</f>
        <v/>
      </c>
      <c r="F2548" s="33"/>
      <c r="G2548" s="34" t="str">
        <f>IFERROR(IF(F2548&gt;=0,D2548*E2548*(1+F2548/100),ABS(D2548*E2548/F2548)),"")</f>
        <v/>
      </c>
      <c r="H2548" s="43" t="str">
        <f>IFERROR(G2548*E2534,"")</f>
        <v/>
      </c>
    </row>
    <row r="2549" spans="1:11" ht="12.75" customHeight="1">
      <c r="A2549" s="21"/>
      <c r="B2549" s="22" t="s">
        <v>3732</v>
      </c>
      <c r="C2549" s="23"/>
      <c r="D2549" s="24"/>
      <c r="E2549" s="25"/>
      <c r="F2549" s="26"/>
      <c r="G2549" s="27">
        <f>SUM(G2550:G2552)</f>
        <v>33185.690372250006</v>
      </c>
      <c r="H2549" s="44">
        <f>G2549*E2534</f>
        <v>0</v>
      </c>
    </row>
    <row r="2550" spans="1:11" ht="12.75" customHeight="1">
      <c r="A2550" s="28"/>
      <c r="B2550" s="29" t="s">
        <v>3713</v>
      </c>
      <c r="C2550" s="30" t="str">
        <f>IFERROR(_xlfn.XLOOKUP(B2550,MObra[DESCRIPCION],MObra[UN],,0),"")</f>
        <v>día</v>
      </c>
      <c r="D2550" s="31">
        <v>1</v>
      </c>
      <c r="E2550" s="32">
        <f>IFERROR(_xlfn.XLOOKUP($B2550,MObra[DESCRIPCION],MObra[VALOR UNIT],,0),"")</f>
        <v>663713.80744500016</v>
      </c>
      <c r="F2550" s="33">
        <v>-20</v>
      </c>
      <c r="G2550" s="34">
        <f>IFERROR(IF(F2550&gt;=0,D2550*E2550*(1+F2550/100),ABS(D2550*E2550/F2550)),"")</f>
        <v>33185.690372250006</v>
      </c>
      <c r="H2550" s="43">
        <f>IFERROR(G2550*E2534,"")</f>
        <v>0</v>
      </c>
    </row>
    <row r="2551" spans="1:11" ht="12.75" customHeight="1">
      <c r="A2551" s="28"/>
      <c r="B2551" s="29"/>
      <c r="C2551" s="30" t="str">
        <f t="array" ref="C2551">IFERROR(_xlfn.XLOOKUP(B2551,MObra[[#All],[DESCRIPCION]],MObra[[#All],[UN]],,0),"")</f>
        <v/>
      </c>
      <c r="D2551" s="31"/>
      <c r="E2551" s="32" t="str">
        <f>IFERROR(_xlfn.XLOOKUP($B2551,MObra[DESCRIPCION],MObra[VALOR UNIT],,0),"")</f>
        <v/>
      </c>
      <c r="F2551" s="33"/>
      <c r="G2551" s="34" t="str">
        <f>IFERROR(IF(F2551&gt;=0,D2551*E2551*(1+F2551/100),ABS(D2551*E2551/F2551)),"")</f>
        <v/>
      </c>
      <c r="H2551" s="43" t="str">
        <f>IFERROR(G2551*E2534,"")</f>
        <v/>
      </c>
    </row>
    <row r="2552" spans="1:11" ht="12.75" customHeight="1" thickBot="1">
      <c r="A2552" s="35"/>
      <c r="B2552" s="36"/>
      <c r="C2552" s="37" t="str">
        <f t="array" ref="C2552">IFERROR(_xlfn.XLOOKUP(B2552,MObra[[#All],[DESCRIPCION]],MObra[[#All],[UN]],,0),"")</f>
        <v/>
      </c>
      <c r="D2552" s="38"/>
      <c r="E2552" s="39" t="str">
        <f>IFERROR(_xlfn.XLOOKUP($B2552,MObra[DESCRIPCION],MObra[VALOR UNIT],,0),"")</f>
        <v/>
      </c>
      <c r="F2552" s="40"/>
      <c r="G2552" s="41" t="str">
        <f>IFERROR(IF(F2552&gt;=0,D2552*E2552*(1+F2552/100),ABS(D2552*E2552/F2552)),"")</f>
        <v/>
      </c>
      <c r="H2552" s="42" t="str">
        <f>IFERROR(G2552*E2534,"")</f>
        <v/>
      </c>
    </row>
    <row r="2553" spans="1:11" ht="12.75" customHeight="1" thickTop="1" thickBot="1"/>
    <row r="2554" spans="1:11" ht="12.75" customHeight="1" thickTop="1" thickBot="1">
      <c r="A2554" s="6" t="s">
        <v>555</v>
      </c>
      <c r="B2554" s="7" t="str">
        <f>VLOOKUP($A2554,Presupuesto!$A:$D,2,FALSE())</f>
        <v>Viga amarre confinamiento concreto 20.7 Mpa 15x20 cm</v>
      </c>
      <c r="C2554" s="8" t="str">
        <f>VLOOKUP($A2554,Presupuesto!$A:$D,3,FALSE())</f>
        <v>M</v>
      </c>
      <c r="D2554" s="9"/>
      <c r="E2554" s="10">
        <f>VLOOKUP($A2554,Presupuesto!$A:$D,4,FALSE())</f>
        <v>0</v>
      </c>
      <c r="F2554" s="11" t="s">
        <v>2589</v>
      </c>
      <c r="G2554" s="12">
        <f>SUM(G2556:G2572)/2</f>
        <v>115103.14346624918</v>
      </c>
      <c r="H2554" s="13">
        <f>ROUND(SUM(H2556:H2572),0)/2</f>
        <v>0</v>
      </c>
      <c r="I2554" s="10">
        <f>VLOOKUP(A2554,Presupuesto!$A:$F,6,0)</f>
        <v>0</v>
      </c>
      <c r="J2554" s="10">
        <f>+H2554-I2554</f>
        <v>0</v>
      </c>
      <c r="K2554" s="46">
        <f>+H2554-G2554*E2554</f>
        <v>0</v>
      </c>
    </row>
    <row r="2555" spans="1:11" ht="12.75" customHeight="1" thickTop="1">
      <c r="A2555" s="14"/>
      <c r="B2555" s="15" t="s">
        <v>2586</v>
      </c>
      <c r="C2555" s="15" t="s">
        <v>5</v>
      </c>
      <c r="D2555" s="16" t="s">
        <v>6</v>
      </c>
      <c r="E2555" s="17" t="s">
        <v>7</v>
      </c>
      <c r="F2555" s="18" t="s">
        <v>3728</v>
      </c>
      <c r="G2555" s="19" t="s">
        <v>3729</v>
      </c>
      <c r="H2555" s="20" t="s">
        <v>3797</v>
      </c>
    </row>
    <row r="2556" spans="1:11" ht="12.75" customHeight="1">
      <c r="A2556" s="21"/>
      <c r="B2556" s="22" t="s">
        <v>3730</v>
      </c>
      <c r="C2556" s="23"/>
      <c r="D2556" s="24"/>
      <c r="E2556" s="25"/>
      <c r="F2556" s="26"/>
      <c r="G2556" s="27">
        <f>SUM(G2557:G2561)</f>
        <v>77046.585960496668</v>
      </c>
      <c r="H2556" s="27">
        <f>IFERROR(G2556*E2554,"")</f>
        <v>0</v>
      </c>
    </row>
    <row r="2557" spans="1:11" ht="12.75" customHeight="1">
      <c r="A2557" s="28"/>
      <c r="B2557" s="29" t="s">
        <v>3239</v>
      </c>
      <c r="C2557" s="30" t="str">
        <f>IFERROR(_xlfn.XLOOKUP(B2557,Insumo[DESCRIPCION],Insumo[UND],,0),"")</f>
        <v>M3</v>
      </c>
      <c r="D2557" s="31">
        <f>0.15*0.2</f>
        <v>0.03</v>
      </c>
      <c r="E2557" s="32">
        <f>IFERROR(_xlfn.XLOOKUP($B2557,Insumo[DESCRIPCION],Insumo[VALOR],,0),"")</f>
        <v>521159.50227762427</v>
      </c>
      <c r="F2557" s="33">
        <v>5</v>
      </c>
      <c r="G2557" s="34">
        <f>IFERROR(IF(F2557&gt;=0,D2557*E2557*(1+F2557/100),ABS(D2557*E2557/F2557)),"")</f>
        <v>16416.524321745164</v>
      </c>
      <c r="H2557" s="43">
        <f>IFERROR(G2557*E2554,"")</f>
        <v>0</v>
      </c>
    </row>
    <row r="2558" spans="1:11" ht="12.75" customHeight="1">
      <c r="A2558" s="28"/>
      <c r="B2558" s="29" t="s">
        <v>2957</v>
      </c>
      <c r="C2558" s="30" t="str">
        <f>IFERROR(_xlfn.XLOOKUP(B2558,Insumo[DESCRIPCION],Insumo[UND],,0),"")</f>
        <v>M2</v>
      </c>
      <c r="D2558" s="31">
        <v>0.4</v>
      </c>
      <c r="E2558" s="32">
        <f>IFERROR(_xlfn.XLOOKUP($B2558,Insumo[DESCRIPCION],Insumo[VALOR],,0),"")</f>
        <v>149544.7581937575</v>
      </c>
      <c r="F2558" s="33">
        <v>-2</v>
      </c>
      <c r="G2558" s="34">
        <f>IFERROR(IF(F2558&gt;=0,D2558*E2558*(1+F2558/100),ABS(D2558*E2558/F2558)),"")</f>
        <v>29908.951638751503</v>
      </c>
      <c r="H2558" s="43">
        <f>IFERROR(G2558*E2554,"")</f>
        <v>0</v>
      </c>
    </row>
    <row r="2559" spans="1:11" ht="12.75" customHeight="1">
      <c r="A2559" s="28"/>
      <c r="B2559" s="29" t="s">
        <v>2653</v>
      </c>
      <c r="C2559" s="30" t="str">
        <f>IFERROR(_xlfn.XLOOKUP(B2559,Insumo[DESCRIPCION],Insumo[UND],,0),"")</f>
        <v>Kg</v>
      </c>
      <c r="D2559" s="31">
        <v>5.2</v>
      </c>
      <c r="E2559" s="32">
        <f>IFERROR(_xlfn.XLOOKUP($B2559,Insumo[DESCRIPCION],Insumo[VALOR],,0),"")</f>
        <v>5686.8</v>
      </c>
      <c r="F2559" s="33"/>
      <c r="G2559" s="34">
        <f>IFERROR(IF(F2559&gt;=0,D2559*E2559*(1+F2559/100),ABS(D2559*E2559/F2559)),"")</f>
        <v>29571.360000000001</v>
      </c>
      <c r="H2559" s="43">
        <f>IFERROR(G2559*E2554,"")</f>
        <v>0</v>
      </c>
    </row>
    <row r="2560" spans="1:11" ht="12.75" customHeight="1">
      <c r="A2560" s="28"/>
      <c r="B2560" s="29" t="s">
        <v>2699</v>
      </c>
      <c r="C2560" s="30" t="str">
        <f>IFERROR(_xlfn.XLOOKUP(B2560,Insumo[DESCRIPCION],Insumo[UND],,0),"")</f>
        <v>Kg</v>
      </c>
      <c r="D2560" s="31">
        <v>0.15</v>
      </c>
      <c r="E2560" s="32">
        <f>IFERROR(_xlfn.XLOOKUP($B2560,Insumo[DESCRIPCION],Insumo[VALOR],,0),"")</f>
        <v>7665</v>
      </c>
      <c r="F2560" s="33"/>
      <c r="G2560" s="34">
        <f>IFERROR(IF(F2560&gt;=0,D2560*E2560*(1+F2560/100),ABS(D2560*E2560/F2560)),"")</f>
        <v>1149.75</v>
      </c>
      <c r="H2560" s="43">
        <f>IFERROR(G2560*E2554,"")</f>
        <v>0</v>
      </c>
    </row>
    <row r="2561" spans="1:11" ht="12.75" customHeight="1">
      <c r="A2561" s="28"/>
      <c r="B2561" s="29"/>
      <c r="C2561" s="30" t="str">
        <f>IFERROR(_xlfn.XLOOKUP(B2561,Insumo[DESCRIPCION],Insumo[UND],,0),"")</f>
        <v/>
      </c>
      <c r="D2561" s="31"/>
      <c r="E2561" s="32" t="str">
        <f>IFERROR(_xlfn.XLOOKUP($B2561,Insumo[DESCRIPCION],Insumo[VALOR],,0),"")</f>
        <v/>
      </c>
      <c r="F2561" s="33"/>
      <c r="G2561" s="34" t="str">
        <f>IFERROR(IF(F2561&gt;=0,D2561*E2561*(1+F2561/100),ABS(D2561*E2561/F2561)),"")</f>
        <v/>
      </c>
      <c r="H2561" s="43" t="str">
        <f>IFERROR(G2561*E2554,"")</f>
        <v/>
      </c>
    </row>
    <row r="2562" spans="1:11" ht="12.75" customHeight="1">
      <c r="A2562" s="21"/>
      <c r="B2562" s="22" t="s">
        <v>3731</v>
      </c>
      <c r="C2562" s="23"/>
      <c r="D2562" s="24"/>
      <c r="E2562" s="25"/>
      <c r="F2562" s="26"/>
      <c r="G2562" s="27">
        <f>SUM(G2563:G2565)</f>
        <v>4870.867133502501</v>
      </c>
      <c r="H2562" s="44">
        <f>G2562*E2554</f>
        <v>0</v>
      </c>
    </row>
    <row r="2563" spans="1:11" ht="12.75" customHeight="1">
      <c r="A2563" s="28"/>
      <c r="B2563" s="29" t="s">
        <v>3657</v>
      </c>
      <c r="C2563" s="30" t="str">
        <f>IFERROR(_xlfn.XLOOKUP(B2563,Equipo[DESCRIPCION],Equipo[UND],,0),"")</f>
        <v>Día</v>
      </c>
      <c r="D2563" s="31">
        <v>1</v>
      </c>
      <c r="E2563" s="32">
        <f>IF(C2563="%MO",G2569,IFERROR(_xlfn.XLOOKUP($B2563,Equipo[DESCRIPCION],Equipo[VALOR],,0),""))</f>
        <v>56524.65</v>
      </c>
      <c r="F2563" s="33">
        <v>-30</v>
      </c>
      <c r="G2563" s="34">
        <f>IFERROR(IF(F2563&gt;=0,D2563*E2563*(1+F2563/100),ABS(D2563*E2563/F2563)),"")</f>
        <v>1884.155</v>
      </c>
      <c r="H2563" s="43">
        <f>IFERROR(G2563*E2554,"")</f>
        <v>0</v>
      </c>
    </row>
    <row r="2564" spans="1:11" ht="12.75" customHeight="1">
      <c r="A2564" s="28"/>
      <c r="B2564" s="29" t="s">
        <v>3570</v>
      </c>
      <c r="C2564" s="30" t="str">
        <f>IFERROR(_xlfn.XLOOKUP(B2564,Equipo[DESCRIPCION],Equipo[UND],,0),"")</f>
        <v>%MO</v>
      </c>
      <c r="D2564" s="31">
        <v>0.04</v>
      </c>
      <c r="E2564" s="32">
        <f>IF(C2564="%MO",G2569,IFERROR(_xlfn.XLOOKUP($B2564,Equipo[DESCRIPCION],Equipo[VALOR],,0),""))</f>
        <v>33185.690372250006</v>
      </c>
      <c r="F2564" s="33"/>
      <c r="G2564" s="34">
        <f>IFERROR(IF(F2564&gt;=0,D2564*E2564*(1+F2564/100),ABS(D2564*E2564/F2564)),"")</f>
        <v>1327.4276148900003</v>
      </c>
      <c r="H2564" s="43">
        <f>IFERROR(G2564*E2554,"")</f>
        <v>0</v>
      </c>
    </row>
    <row r="2565" spans="1:11" ht="12.75" customHeight="1">
      <c r="A2565" s="28"/>
      <c r="B2565" s="29" t="s">
        <v>3626</v>
      </c>
      <c r="C2565" s="30" t="str">
        <f>IFERROR(_xlfn.XLOOKUP(B2565,Equipo[DESCRIPCION],Equipo[UND],,0),"")</f>
        <v>%MO</v>
      </c>
      <c r="D2565" s="31">
        <v>0.05</v>
      </c>
      <c r="E2565" s="32">
        <f>IF(C2565="%MO",G2569,IFERROR(_xlfn.XLOOKUP($B2565,Equipo[DESCRIPCION],Equipo[VALOR],,0),""))</f>
        <v>33185.690372250006</v>
      </c>
      <c r="F2565" s="33"/>
      <c r="G2565" s="34">
        <f>IFERROR(IF(F2565&gt;=0,D2565*E2565*(1+F2565/100),ABS(D2565*E2565/F2565)),"")</f>
        <v>1659.2845186125005</v>
      </c>
      <c r="H2565" s="43">
        <f>IFERROR(G2565*E2554,"")</f>
        <v>0</v>
      </c>
    </row>
    <row r="2566" spans="1:11" ht="12.75" customHeight="1">
      <c r="A2566" s="21"/>
      <c r="B2566" s="22" t="s">
        <v>2533</v>
      </c>
      <c r="C2566" s="23"/>
      <c r="D2566" s="24"/>
      <c r="E2566" s="25"/>
      <c r="F2566" s="26"/>
      <c r="G2566" s="27">
        <f>SUM(G2567:G2568)</f>
        <v>0</v>
      </c>
      <c r="H2566" s="44">
        <f>G2566*E2554</f>
        <v>0</v>
      </c>
    </row>
    <row r="2567" spans="1:11" ht="12.75" customHeight="1">
      <c r="A2567" s="28"/>
      <c r="B2567" s="29"/>
      <c r="C2567" s="30" t="str">
        <f>IFERROR(_xlfn.XLOOKUP(B2567,Transporte[DESCRIPCION],Transporte[UND],,0),"")</f>
        <v/>
      </c>
      <c r="D2567" s="31"/>
      <c r="E2567" s="32" t="str">
        <f>IFERROR(_xlfn.XLOOKUP($B2567,Transporte[DESCRIPCION],Transporte[VALOR],,0),"")</f>
        <v/>
      </c>
      <c r="F2567" s="33"/>
      <c r="G2567" s="34" t="str">
        <f>IFERROR(IF(F2567&gt;=0,D2567*E2567*(1+F2567/100),ABS(D2567*E2567/F2567)),"")</f>
        <v/>
      </c>
      <c r="H2567" s="43" t="str">
        <f>IFERROR(G2567*E2554,"")</f>
        <v/>
      </c>
    </row>
    <row r="2568" spans="1:11" ht="12.75" customHeight="1">
      <c r="A2568" s="28"/>
      <c r="B2568" s="29"/>
      <c r="C2568" s="30" t="str">
        <f>IFERROR(_xlfn.XLOOKUP(B2568,Transporte[DESCRIPCION],Transporte[UND],,0),"")</f>
        <v/>
      </c>
      <c r="D2568" s="31"/>
      <c r="E2568" s="32" t="str">
        <f>IFERROR(_xlfn.XLOOKUP($B2568,Transporte[DESCRIPCION],Transporte[VALOR],,0),"")</f>
        <v/>
      </c>
      <c r="F2568" s="33"/>
      <c r="G2568" s="34" t="str">
        <f>IFERROR(IF(F2568&gt;=0,D2568*E2568*(1+F2568/100),ABS(D2568*E2568/F2568)),"")</f>
        <v/>
      </c>
      <c r="H2568" s="43" t="str">
        <f>IFERROR(G2568*E2554,"")</f>
        <v/>
      </c>
    </row>
    <row r="2569" spans="1:11" ht="12.75" customHeight="1">
      <c r="A2569" s="21"/>
      <c r="B2569" s="22" t="s">
        <v>3732</v>
      </c>
      <c r="C2569" s="23"/>
      <c r="D2569" s="24"/>
      <c r="E2569" s="25"/>
      <c r="F2569" s="26"/>
      <c r="G2569" s="27">
        <f>SUM(G2570:G2572)</f>
        <v>33185.690372250006</v>
      </c>
      <c r="H2569" s="44">
        <f>G2569*E2554</f>
        <v>0</v>
      </c>
    </row>
    <row r="2570" spans="1:11" ht="12.75" customHeight="1">
      <c r="A2570" s="28"/>
      <c r="B2570" s="29" t="s">
        <v>3713</v>
      </c>
      <c r="C2570" s="30" t="str">
        <f>IFERROR(_xlfn.XLOOKUP(B2570,MObra[DESCRIPCION],MObra[UN],,0),"")</f>
        <v>día</v>
      </c>
      <c r="D2570" s="31">
        <v>1</v>
      </c>
      <c r="E2570" s="32">
        <f>IFERROR(_xlfn.XLOOKUP($B2570,MObra[DESCRIPCION],MObra[VALOR UNIT],,0),"")</f>
        <v>663713.80744500016</v>
      </c>
      <c r="F2570" s="33">
        <v>-20</v>
      </c>
      <c r="G2570" s="34">
        <f>IFERROR(IF(F2570&gt;=0,D2570*E2570*(1+F2570/100),ABS(D2570*E2570/F2570)),"")</f>
        <v>33185.690372250006</v>
      </c>
      <c r="H2570" s="43">
        <f>IFERROR(G2570*E2554,"")</f>
        <v>0</v>
      </c>
    </row>
    <row r="2571" spans="1:11" ht="12.75" customHeight="1">
      <c r="A2571" s="28"/>
      <c r="B2571" s="29"/>
      <c r="C2571" s="30" t="str">
        <f t="array" ref="C2571">IFERROR(_xlfn.XLOOKUP(B2571,MObra[[#All],[DESCRIPCION]],MObra[[#All],[UN]],,0),"")</f>
        <v/>
      </c>
      <c r="D2571" s="31"/>
      <c r="E2571" s="32" t="str">
        <f>IFERROR(_xlfn.XLOOKUP($B2571,MObra[DESCRIPCION],MObra[VALOR UNIT],,0),"")</f>
        <v/>
      </c>
      <c r="F2571" s="33"/>
      <c r="G2571" s="34" t="str">
        <f>IFERROR(IF(F2571&gt;=0,D2571*E2571*(1+F2571/100),ABS(D2571*E2571/F2571)),"")</f>
        <v/>
      </c>
      <c r="H2571" s="43" t="str">
        <f>IFERROR(G2571*E2554,"")</f>
        <v/>
      </c>
    </row>
    <row r="2572" spans="1:11" ht="12.75" customHeight="1" thickBot="1">
      <c r="A2572" s="35"/>
      <c r="B2572" s="36"/>
      <c r="C2572" s="37" t="str">
        <f t="array" ref="C2572">IFERROR(_xlfn.XLOOKUP(B2572,MObra[[#All],[DESCRIPCION]],MObra[[#All],[UN]],,0),"")</f>
        <v/>
      </c>
      <c r="D2572" s="38"/>
      <c r="E2572" s="39" t="str">
        <f>IFERROR(_xlfn.XLOOKUP($B2572,MObra[DESCRIPCION],MObra[VALOR UNIT],,0),"")</f>
        <v/>
      </c>
      <c r="F2572" s="40"/>
      <c r="G2572" s="41" t="str">
        <f>IFERROR(IF(F2572&gt;=0,D2572*E2572*(1+F2572/100),ABS(D2572*E2572/F2572)),"")</f>
        <v/>
      </c>
      <c r="H2572" s="42" t="str">
        <f>IFERROR(G2572*E2554,"")</f>
        <v/>
      </c>
    </row>
    <row r="2573" spans="1:11" ht="12.75" customHeight="1" thickTop="1" thickBot="1"/>
    <row r="2574" spans="1:11" ht="12.75" customHeight="1" thickTop="1" thickBot="1">
      <c r="A2574" s="6" t="s">
        <v>557</v>
      </c>
      <c r="B2574" s="7" t="str">
        <f>VLOOKUP($A2574,Presupuesto!$A:$D,2,FALSE())</f>
        <v>Viga apoyada concreto 20.7 Mpa, no incluye refuerzo</v>
      </c>
      <c r="C2574" s="8" t="str">
        <f>VLOOKUP($A2574,Presupuesto!$A:$D,3,FALSE())</f>
        <v>M3</v>
      </c>
      <c r="D2574" s="9"/>
      <c r="E2574" s="10">
        <f>VLOOKUP($A2574,Presupuesto!$A:$D,4,FALSE())</f>
        <v>0</v>
      </c>
      <c r="F2574" s="11" t="s">
        <v>2589</v>
      </c>
      <c r="G2574" s="12">
        <f>SUM(G2576:G2592)/2</f>
        <v>973475.14161958522</v>
      </c>
      <c r="H2574" s="13">
        <f>ROUND(SUM(H2576:H2592),0)/2</f>
        <v>0</v>
      </c>
      <c r="I2574" s="10">
        <f>VLOOKUP(A2574,Presupuesto!$A:$F,6,0)</f>
        <v>0</v>
      </c>
      <c r="J2574" s="10">
        <f>+H2574-I2574</f>
        <v>0</v>
      </c>
      <c r="K2574" s="46">
        <f>+H2574-G2574*E2574</f>
        <v>0</v>
      </c>
    </row>
    <row r="2575" spans="1:11" ht="12.75" customHeight="1" thickTop="1">
      <c r="A2575" s="14"/>
      <c r="B2575" s="15" t="s">
        <v>2586</v>
      </c>
      <c r="C2575" s="15" t="s">
        <v>5</v>
      </c>
      <c r="D2575" s="16" t="s">
        <v>6</v>
      </c>
      <c r="E2575" s="17" t="s">
        <v>7</v>
      </c>
      <c r="F2575" s="18" t="s">
        <v>3728</v>
      </c>
      <c r="G2575" s="19" t="s">
        <v>3729</v>
      </c>
      <c r="H2575" s="20" t="s">
        <v>3797</v>
      </c>
    </row>
    <row r="2576" spans="1:11" ht="12.75" customHeight="1">
      <c r="A2576" s="21"/>
      <c r="B2576" s="22" t="s">
        <v>3730</v>
      </c>
      <c r="C2576" s="23"/>
      <c r="D2576" s="24"/>
      <c r="E2576" s="25"/>
      <c r="F2576" s="26"/>
      <c r="G2576" s="27">
        <f>SUM(G2577:G2581)</f>
        <v>806428.39159401855</v>
      </c>
      <c r="H2576" s="27">
        <f>IFERROR(G2576*E2574,"")</f>
        <v>0</v>
      </c>
    </row>
    <row r="2577" spans="1:8" ht="12.75" customHeight="1">
      <c r="A2577" s="28"/>
      <c r="B2577" s="29" t="s">
        <v>3239</v>
      </c>
      <c r="C2577" s="30" t="str">
        <f>IFERROR(_xlfn.XLOOKUP(B2577,Insumo[DESCRIPCION],Insumo[UND],,0),"")</f>
        <v>M3</v>
      </c>
      <c r="D2577" s="31">
        <v>1</v>
      </c>
      <c r="E2577" s="32">
        <f>IFERROR(_xlfn.XLOOKUP($B2577,Insumo[DESCRIPCION],Insumo[VALOR],,0),"")</f>
        <v>521159.50227762427</v>
      </c>
      <c r="F2577" s="33">
        <v>5</v>
      </c>
      <c r="G2577" s="34">
        <f>IFERROR(IF(F2577&gt;=0,D2577*E2577*(1+F2577/100),ABS(D2577*E2577/F2577)),"")</f>
        <v>547217.4773915055</v>
      </c>
      <c r="H2577" s="43">
        <f>IFERROR(G2577*E2574,"")</f>
        <v>0</v>
      </c>
    </row>
    <row r="2578" spans="1:8" ht="12.75" customHeight="1">
      <c r="A2578" s="28"/>
      <c r="B2578" s="29" t="s">
        <v>2957</v>
      </c>
      <c r="C2578" s="30" t="str">
        <f>IFERROR(_xlfn.XLOOKUP(B2578,Insumo[DESCRIPCION],Insumo[UND],,0),"")</f>
        <v>M2</v>
      </c>
      <c r="D2578" s="31">
        <v>5.2</v>
      </c>
      <c r="E2578" s="32">
        <f>IFERROR(_xlfn.XLOOKUP($B2578,Insumo[DESCRIPCION],Insumo[VALOR],,0),"")</f>
        <v>149544.7581937575</v>
      </c>
      <c r="F2578" s="33">
        <v>-3</v>
      </c>
      <c r="G2578" s="34">
        <f>IFERROR(IF(F2578&gt;=0,D2578*E2578*(1+F2578/100),ABS(D2578*E2578/F2578)),"")</f>
        <v>259210.91420251303</v>
      </c>
      <c r="H2578" s="43">
        <f>IFERROR(G2578*E2574,"")</f>
        <v>0</v>
      </c>
    </row>
    <row r="2579" spans="1:8" ht="12.75" customHeight="1">
      <c r="A2579" s="28"/>
      <c r="B2579" s="29"/>
      <c r="C2579" s="30" t="str">
        <f>IFERROR(_xlfn.XLOOKUP(B2579,Insumo[DESCRIPCION],Insumo[UND],,0),"")</f>
        <v/>
      </c>
      <c r="D2579" s="31"/>
      <c r="E2579" s="32" t="str">
        <f>IFERROR(_xlfn.XLOOKUP($B2579,Insumo[DESCRIPCION],Insumo[VALOR],,0),"")</f>
        <v/>
      </c>
      <c r="F2579" s="33"/>
      <c r="G2579" s="34" t="str">
        <f>IFERROR(IF(F2579&gt;=0,D2579*E2579*(1+F2579/100),ABS(D2579*E2579/F2579)),"")</f>
        <v/>
      </c>
      <c r="H2579" s="43" t="str">
        <f>IFERROR(G2579*E2574,"")</f>
        <v/>
      </c>
    </row>
    <row r="2580" spans="1:8" ht="12.75" customHeight="1">
      <c r="A2580" s="28"/>
      <c r="B2580" s="29"/>
      <c r="C2580" s="30" t="str">
        <f>IFERROR(_xlfn.XLOOKUP(B2580,Insumo[DESCRIPCION],Insumo[UND],,0),"")</f>
        <v/>
      </c>
      <c r="D2580" s="31"/>
      <c r="E2580" s="32" t="str">
        <f>IFERROR(_xlfn.XLOOKUP($B2580,Insumo[DESCRIPCION],Insumo[VALOR],,0),"")</f>
        <v/>
      </c>
      <c r="F2580" s="33"/>
      <c r="G2580" s="34" t="str">
        <f>IFERROR(IF(F2580&gt;=0,D2580*E2580*(1+F2580/100),ABS(D2580*E2580/F2580)),"")</f>
        <v/>
      </c>
      <c r="H2580" s="43" t="str">
        <f>IFERROR(G2580*E2574,"")</f>
        <v/>
      </c>
    </row>
    <row r="2581" spans="1:8" ht="12.75" customHeight="1">
      <c r="A2581" s="28"/>
      <c r="B2581" s="29"/>
      <c r="C2581" s="30" t="str">
        <f>IFERROR(_xlfn.XLOOKUP(B2581,Insumo[DESCRIPCION],Insumo[UND],,0),"")</f>
        <v/>
      </c>
      <c r="D2581" s="31"/>
      <c r="E2581" s="32" t="str">
        <f>IFERROR(_xlfn.XLOOKUP($B2581,Insumo[DESCRIPCION],Insumo[VALOR],,0),"")</f>
        <v/>
      </c>
      <c r="F2581" s="33"/>
      <c r="G2581" s="34" t="str">
        <f>IFERROR(IF(F2581&gt;=0,D2581*E2581*(1+F2581/100),ABS(D2581*E2581/F2581)),"")</f>
        <v/>
      </c>
      <c r="H2581" s="43" t="str">
        <f>IFERROR(G2581*E2574,"")</f>
        <v/>
      </c>
    </row>
    <row r="2582" spans="1:8" ht="12.75" customHeight="1">
      <c r="A2582" s="21"/>
      <c r="B2582" s="22" t="s">
        <v>3731</v>
      </c>
      <c r="C2582" s="23"/>
      <c r="D2582" s="24"/>
      <c r="E2582" s="25"/>
      <c r="F2582" s="26"/>
      <c r="G2582" s="27">
        <f>SUM(G2583:G2585)</f>
        <v>19554.79281556667</v>
      </c>
      <c r="H2582" s="44">
        <f>G2582*E2574</f>
        <v>0</v>
      </c>
    </row>
    <row r="2583" spans="1:8" ht="12.75" customHeight="1">
      <c r="A2583" s="28"/>
      <c r="B2583" s="29" t="s">
        <v>3657</v>
      </c>
      <c r="C2583" s="30" t="str">
        <f>IFERROR(_xlfn.XLOOKUP(B2583,Equipo[DESCRIPCION],Equipo[UND],,0),"")</f>
        <v>Día</v>
      </c>
      <c r="D2583" s="31">
        <v>1</v>
      </c>
      <c r="E2583" s="32">
        <f>IF(C2583="%MO",G2589,IFERROR(_xlfn.XLOOKUP($B2583,Equipo[DESCRIPCION],Equipo[VALOR],,0),""))</f>
        <v>56524.65</v>
      </c>
      <c r="F2583" s="33">
        <v>-9</v>
      </c>
      <c r="G2583" s="34">
        <f>IFERROR(IF(F2583&gt;=0,D2583*E2583*(1+F2583/100),ABS(D2583*E2583/F2583)),"")</f>
        <v>6280.5166666666664</v>
      </c>
      <c r="H2583" s="43">
        <f>IFERROR(G2583*E2574,"")</f>
        <v>0</v>
      </c>
    </row>
    <row r="2584" spans="1:8" ht="12.75" customHeight="1">
      <c r="A2584" s="28"/>
      <c r="B2584" s="29" t="s">
        <v>3570</v>
      </c>
      <c r="C2584" s="30" t="str">
        <f>IFERROR(_xlfn.XLOOKUP(B2584,Equipo[DESCRIPCION],Equipo[UND],,0),"")</f>
        <v>%MO</v>
      </c>
      <c r="D2584" s="31">
        <v>0.04</v>
      </c>
      <c r="E2584" s="32">
        <f>IF(C2584="%MO",G2589,IFERROR(_xlfn.XLOOKUP($B2584,Equipo[DESCRIPCION],Equipo[VALOR],,0),""))</f>
        <v>147491.95721000002</v>
      </c>
      <c r="F2584" s="33"/>
      <c r="G2584" s="34">
        <f>IFERROR(IF(F2584&gt;=0,D2584*E2584*(1+F2584/100),ABS(D2584*E2584/F2584)),"")</f>
        <v>5899.6782884000013</v>
      </c>
      <c r="H2584" s="43">
        <f>IFERROR(G2584*E2574,"")</f>
        <v>0</v>
      </c>
    </row>
    <row r="2585" spans="1:8" ht="12.75" customHeight="1">
      <c r="A2585" s="28"/>
      <c r="B2585" s="29" t="s">
        <v>3626</v>
      </c>
      <c r="C2585" s="30" t="str">
        <f>IFERROR(_xlfn.XLOOKUP(B2585,Equipo[DESCRIPCION],Equipo[UND],,0),"")</f>
        <v>%MO</v>
      </c>
      <c r="D2585" s="31">
        <v>0.05</v>
      </c>
      <c r="E2585" s="32">
        <f>IF(C2585="%MO",G2589,IFERROR(_xlfn.XLOOKUP($B2585,Equipo[DESCRIPCION],Equipo[VALOR],,0),""))</f>
        <v>147491.95721000002</v>
      </c>
      <c r="F2585" s="33"/>
      <c r="G2585" s="34">
        <f>IFERROR(IF(F2585&gt;=0,D2585*E2585*(1+F2585/100),ABS(D2585*E2585/F2585)),"")</f>
        <v>7374.5978605000018</v>
      </c>
      <c r="H2585" s="43">
        <f>IFERROR(G2585*E2574,"")</f>
        <v>0</v>
      </c>
    </row>
    <row r="2586" spans="1:8" ht="12.75" customHeight="1">
      <c r="A2586" s="21"/>
      <c r="B2586" s="22" t="s">
        <v>2533</v>
      </c>
      <c r="C2586" s="23"/>
      <c r="D2586" s="24"/>
      <c r="E2586" s="25"/>
      <c r="F2586" s="26"/>
      <c r="G2586" s="27">
        <f>SUM(G2587:G2588)</f>
        <v>0</v>
      </c>
      <c r="H2586" s="44">
        <f>G2586*E2574</f>
        <v>0</v>
      </c>
    </row>
    <row r="2587" spans="1:8" ht="12.75" customHeight="1">
      <c r="A2587" s="28"/>
      <c r="B2587" s="29"/>
      <c r="C2587" s="30" t="str">
        <f>IFERROR(_xlfn.XLOOKUP(B2587,Transporte[DESCRIPCION],Transporte[UND],,0),"")</f>
        <v/>
      </c>
      <c r="D2587" s="31"/>
      <c r="E2587" s="32" t="str">
        <f>IFERROR(_xlfn.XLOOKUP($B2587,Transporte[DESCRIPCION],Transporte[VALOR],,0),"")</f>
        <v/>
      </c>
      <c r="F2587" s="33"/>
      <c r="G2587" s="34" t="str">
        <f>IFERROR(IF(F2587&gt;=0,D2587*E2587*(1+F2587/100),ABS(D2587*E2587/F2587)),"")</f>
        <v/>
      </c>
      <c r="H2587" s="43" t="str">
        <f>IFERROR(G2587*E2574,"")</f>
        <v/>
      </c>
    </row>
    <row r="2588" spans="1:8" ht="12.75" customHeight="1">
      <c r="A2588" s="28"/>
      <c r="B2588" s="29"/>
      <c r="C2588" s="30" t="str">
        <f>IFERROR(_xlfn.XLOOKUP(B2588,Transporte[DESCRIPCION],Transporte[UND],,0),"")</f>
        <v/>
      </c>
      <c r="D2588" s="31"/>
      <c r="E2588" s="32" t="str">
        <f>IFERROR(_xlfn.XLOOKUP($B2588,Transporte[DESCRIPCION],Transporte[VALOR],,0),"")</f>
        <v/>
      </c>
      <c r="F2588" s="33"/>
      <c r="G2588" s="34" t="str">
        <f>IFERROR(IF(F2588&gt;=0,D2588*E2588*(1+F2588/100),ABS(D2588*E2588/F2588)),"")</f>
        <v/>
      </c>
      <c r="H2588" s="43" t="str">
        <f>IFERROR(G2588*E2574,"")</f>
        <v/>
      </c>
    </row>
    <row r="2589" spans="1:8" ht="12.75" customHeight="1">
      <c r="A2589" s="21"/>
      <c r="B2589" s="22" t="s">
        <v>3732</v>
      </c>
      <c r="C2589" s="23"/>
      <c r="D2589" s="24"/>
      <c r="E2589" s="25"/>
      <c r="F2589" s="26"/>
      <c r="G2589" s="27">
        <f>SUM(G2590:G2592)</f>
        <v>147491.95721000002</v>
      </c>
      <c r="H2589" s="44">
        <f>G2589*E2574</f>
        <v>0</v>
      </c>
    </row>
    <row r="2590" spans="1:8" ht="12.75" customHeight="1">
      <c r="A2590" s="28"/>
      <c r="B2590" s="29" t="s">
        <v>3713</v>
      </c>
      <c r="C2590" s="30" t="str">
        <f>IFERROR(_xlfn.XLOOKUP(B2590,MObra[DESCRIPCION],MObra[UN],,0),"")</f>
        <v>día</v>
      </c>
      <c r="D2590" s="31">
        <v>1</v>
      </c>
      <c r="E2590" s="32">
        <f>IFERROR(_xlfn.XLOOKUP($B2590,MObra[DESCRIPCION],MObra[VALOR UNIT],,0),"")</f>
        <v>663713.80744500016</v>
      </c>
      <c r="F2590" s="33">
        <v>-4.5</v>
      </c>
      <c r="G2590" s="34">
        <f>IFERROR(IF(F2590&gt;=0,D2590*E2590*(1+F2590/100),ABS(D2590*E2590/F2590)),"")</f>
        <v>147491.95721000002</v>
      </c>
      <c r="H2590" s="43">
        <f>IFERROR(G2590*E2574,"")</f>
        <v>0</v>
      </c>
    </row>
    <row r="2591" spans="1:8" ht="12.75" customHeight="1">
      <c r="A2591" s="28"/>
      <c r="B2591" s="29"/>
      <c r="C2591" s="30" t="str">
        <f t="array" ref="C2591">IFERROR(_xlfn.XLOOKUP(B2591,MObra[[#All],[DESCRIPCION]],MObra[[#All],[UN]],,0),"")</f>
        <v/>
      </c>
      <c r="D2591" s="31"/>
      <c r="E2591" s="32" t="str">
        <f>IFERROR(_xlfn.XLOOKUP($B2591,MObra[DESCRIPCION],MObra[VALOR UNIT],,0),"")</f>
        <v/>
      </c>
      <c r="F2591" s="33"/>
      <c r="G2591" s="34" t="str">
        <f>IFERROR(IF(F2591&gt;=0,D2591*E2591*(1+F2591/100),ABS(D2591*E2591/F2591)),"")</f>
        <v/>
      </c>
      <c r="H2591" s="43" t="str">
        <f>IFERROR(G2591*E2574,"")</f>
        <v/>
      </c>
    </row>
    <row r="2592" spans="1:8" ht="12.75" customHeight="1" thickBot="1">
      <c r="A2592" s="35"/>
      <c r="B2592" s="36"/>
      <c r="C2592" s="37" t="str">
        <f t="array" ref="C2592">IFERROR(_xlfn.XLOOKUP(B2592,MObra[[#All],[DESCRIPCION]],MObra[[#All],[UN]],,0),"")</f>
        <v/>
      </c>
      <c r="D2592" s="38"/>
      <c r="E2592" s="39" t="str">
        <f>IFERROR(_xlfn.XLOOKUP($B2592,MObra[DESCRIPCION],MObra[VALOR UNIT],,0),"")</f>
        <v/>
      </c>
      <c r="F2592" s="40"/>
      <c r="G2592" s="41" t="str">
        <f>IFERROR(IF(F2592&gt;=0,D2592*E2592*(1+F2592/100),ABS(D2592*E2592/F2592)),"")</f>
        <v/>
      </c>
      <c r="H2592" s="42" t="str">
        <f>IFERROR(G2592*E2574,"")</f>
        <v/>
      </c>
    </row>
    <row r="2593" spans="1:11" ht="12.75" customHeight="1" thickTop="1" thickBot="1"/>
    <row r="2594" spans="1:11" ht="12.75" customHeight="1" thickTop="1" thickBot="1">
      <c r="A2594" s="6" t="s">
        <v>559</v>
      </c>
      <c r="B2594" s="7" t="str">
        <f>VLOOKUP($A2594,Presupuesto!$A:$D,2,FALSE())</f>
        <v>Viga cimentación concreto 20.7 Mpa (área sección transversal &lt;= 1000 cm2)</v>
      </c>
      <c r="C2594" s="8" t="str">
        <f>VLOOKUP($A2594,Presupuesto!$A:$D,3,FALSE())</f>
        <v>M3</v>
      </c>
      <c r="D2594" s="9"/>
      <c r="E2594" s="10">
        <f>VLOOKUP($A2594,Presupuesto!$A:$D,4,FALSE())</f>
        <v>0</v>
      </c>
      <c r="F2594" s="11" t="s">
        <v>2589</v>
      </c>
      <c r="G2594" s="12">
        <f>SUM(G2596:G2612)/2</f>
        <v>917264.37871887232</v>
      </c>
      <c r="H2594" s="13">
        <f>ROUND(SUM(H2596:H2612),0)/2</f>
        <v>0</v>
      </c>
      <c r="I2594" s="10">
        <f>VLOOKUP(A2594,Presupuesto!$A:$F,6,0)</f>
        <v>0</v>
      </c>
      <c r="J2594" s="10">
        <f>+H2594-I2594</f>
        <v>0</v>
      </c>
      <c r="K2594" s="46">
        <f>+H2594-G2594*E2594</f>
        <v>0</v>
      </c>
    </row>
    <row r="2595" spans="1:11" ht="12.75" customHeight="1" thickTop="1">
      <c r="A2595" s="14"/>
      <c r="B2595" s="15" t="s">
        <v>2586</v>
      </c>
      <c r="C2595" s="15" t="s">
        <v>5</v>
      </c>
      <c r="D2595" s="16" t="s">
        <v>6</v>
      </c>
      <c r="E2595" s="17" t="s">
        <v>7</v>
      </c>
      <c r="F2595" s="18" t="s">
        <v>3728</v>
      </c>
      <c r="G2595" s="19" t="s">
        <v>3729</v>
      </c>
      <c r="H2595" s="20" t="s">
        <v>3797</v>
      </c>
    </row>
    <row r="2596" spans="1:11" ht="12.75" customHeight="1">
      <c r="A2596" s="21"/>
      <c r="B2596" s="22" t="s">
        <v>3730</v>
      </c>
      <c r="C2596" s="23"/>
      <c r="D2596" s="24"/>
      <c r="E2596" s="25"/>
      <c r="F2596" s="26"/>
      <c r="G2596" s="27">
        <f>SUM(G2597:G2601)</f>
        <v>717560.81619010982</v>
      </c>
      <c r="H2596" s="27">
        <f>IFERROR(G2596*E2594,"")</f>
        <v>0</v>
      </c>
    </row>
    <row r="2597" spans="1:11" ht="12.75" customHeight="1">
      <c r="A2597" s="28"/>
      <c r="B2597" s="29" t="s">
        <v>3239</v>
      </c>
      <c r="C2597" s="30" t="str">
        <f>IFERROR(_xlfn.XLOOKUP(B2597,Insumo[DESCRIPCION],Insumo[UND],,0),"")</f>
        <v>M3</v>
      </c>
      <c r="D2597" s="31">
        <v>1</v>
      </c>
      <c r="E2597" s="32">
        <f>IFERROR(_xlfn.XLOOKUP($B2597,Insumo[DESCRIPCION],Insumo[VALOR],,0),"")</f>
        <v>521159.50227762427</v>
      </c>
      <c r="F2597" s="33">
        <v>5</v>
      </c>
      <c r="G2597" s="34">
        <f>IFERROR(IF(F2597&gt;=0,D2597*E2597*(1+F2597/100),ABS(D2597*E2597/F2597)),"")</f>
        <v>547217.4773915055</v>
      </c>
      <c r="H2597" s="43">
        <f>IFERROR(G2597*E2594,"")</f>
        <v>0</v>
      </c>
    </row>
    <row r="2598" spans="1:11" ht="12.75" customHeight="1">
      <c r="A2598" s="28"/>
      <c r="B2598" s="29" t="s">
        <v>2954</v>
      </c>
      <c r="C2598" s="30" t="str">
        <f>IFERROR(_xlfn.XLOOKUP(B2598,Insumo[DESCRIPCION],Insumo[UND],,0),"")</f>
        <v>M2</v>
      </c>
      <c r="D2598" s="31">
        <v>6.67</v>
      </c>
      <c r="E2598" s="32">
        <f>IFERROR(_xlfn.XLOOKUP($B2598,Insumo[DESCRIPCION],Insumo[VALOR],,0),"")</f>
        <v>102154.92581625449</v>
      </c>
      <c r="F2598" s="33">
        <v>-4</v>
      </c>
      <c r="G2598" s="34">
        <f>IFERROR(IF(F2598&gt;=0,D2598*E2598*(1+F2598/100),ABS(D2598*E2598/F2598)),"")</f>
        <v>170343.33879860435</v>
      </c>
      <c r="H2598" s="43">
        <f>IFERROR(G2598*E2594,"")</f>
        <v>0</v>
      </c>
    </row>
    <row r="2599" spans="1:11" ht="12.75" customHeight="1">
      <c r="A2599" s="28"/>
      <c r="B2599" s="29"/>
      <c r="C2599" s="30" t="str">
        <f>IFERROR(_xlfn.XLOOKUP(B2599,Insumo[DESCRIPCION],Insumo[UND],,0),"")</f>
        <v/>
      </c>
      <c r="D2599" s="31"/>
      <c r="E2599" s="32" t="str">
        <f>IFERROR(_xlfn.XLOOKUP($B2599,Insumo[DESCRIPCION],Insumo[VALOR],,0),"")</f>
        <v/>
      </c>
      <c r="F2599" s="33"/>
      <c r="G2599" s="34" t="str">
        <f>IFERROR(IF(F2599&gt;=0,D2599*E2599*(1+F2599/100),ABS(D2599*E2599/F2599)),"")</f>
        <v/>
      </c>
      <c r="H2599" s="43" t="str">
        <f>IFERROR(G2599*E2594,"")</f>
        <v/>
      </c>
    </row>
    <row r="2600" spans="1:11" ht="12.75" customHeight="1">
      <c r="A2600" s="28"/>
      <c r="B2600" s="29"/>
      <c r="C2600" s="30" t="str">
        <f>IFERROR(_xlfn.XLOOKUP(B2600,Insumo[DESCRIPCION],Insumo[UND],,0),"")</f>
        <v/>
      </c>
      <c r="D2600" s="31"/>
      <c r="E2600" s="32" t="str">
        <f>IFERROR(_xlfn.XLOOKUP($B2600,Insumo[DESCRIPCION],Insumo[VALOR],,0),"")</f>
        <v/>
      </c>
      <c r="F2600" s="33"/>
      <c r="G2600" s="34" t="str">
        <f>IFERROR(IF(F2600&gt;=0,D2600*E2600*(1+F2600/100),ABS(D2600*E2600/F2600)),"")</f>
        <v/>
      </c>
      <c r="H2600" s="43" t="str">
        <f>IFERROR(G2600*E2594,"")</f>
        <v/>
      </c>
    </row>
    <row r="2601" spans="1:11" ht="12.75" customHeight="1">
      <c r="A2601" s="28"/>
      <c r="B2601" s="29"/>
      <c r="C2601" s="30" t="str">
        <f>IFERROR(_xlfn.XLOOKUP(B2601,Insumo[DESCRIPCION],Insumo[UND],,0),"")</f>
        <v/>
      </c>
      <c r="D2601" s="31"/>
      <c r="E2601" s="32" t="str">
        <f>IFERROR(_xlfn.XLOOKUP($B2601,Insumo[DESCRIPCION],Insumo[VALOR],,0),"")</f>
        <v/>
      </c>
      <c r="F2601" s="33"/>
      <c r="G2601" s="34" t="str">
        <f>IFERROR(IF(F2601&gt;=0,D2601*E2601*(1+F2601/100),ABS(D2601*E2601/F2601)),"")</f>
        <v/>
      </c>
      <c r="H2601" s="43" t="str">
        <f>IFERROR(G2601*E2594,"")</f>
        <v/>
      </c>
    </row>
    <row r="2602" spans="1:11" ht="12.75" customHeight="1">
      <c r="A2602" s="21"/>
      <c r="B2602" s="22" t="s">
        <v>3731</v>
      </c>
      <c r="C2602" s="23"/>
      <c r="D2602" s="24"/>
      <c r="E2602" s="25"/>
      <c r="F2602" s="26"/>
      <c r="G2602" s="27">
        <f>SUM(G2603:G2605)</f>
        <v>33775.110667512505</v>
      </c>
      <c r="H2602" s="44">
        <f>G2602*E2594</f>
        <v>0</v>
      </c>
    </row>
    <row r="2603" spans="1:11" ht="12.75" customHeight="1">
      <c r="A2603" s="28"/>
      <c r="B2603" s="29" t="s">
        <v>3657</v>
      </c>
      <c r="C2603" s="30" t="str">
        <f>IFERROR(_xlfn.XLOOKUP(B2603,Equipo[DESCRIPCION],Equipo[UND],,0),"")</f>
        <v>Día</v>
      </c>
      <c r="D2603" s="31">
        <v>1</v>
      </c>
      <c r="E2603" s="32">
        <f>IF(C2603="%MO",G2609,IFERROR(_xlfn.XLOOKUP($B2603,Equipo[DESCRIPCION],Equipo[VALOR],,0),""))</f>
        <v>56524.65</v>
      </c>
      <c r="F2603" s="33">
        <v>-3</v>
      </c>
      <c r="G2603" s="34">
        <f>IFERROR(IF(F2603&gt;=0,D2603*E2603*(1+F2603/100),ABS(D2603*E2603/F2603)),"")</f>
        <v>18841.55</v>
      </c>
      <c r="H2603" s="43">
        <f>IFERROR(G2603*E2594,"")</f>
        <v>0</v>
      </c>
    </row>
    <row r="2604" spans="1:11" ht="12.75" customHeight="1">
      <c r="A2604" s="28"/>
      <c r="B2604" s="29" t="s">
        <v>3570</v>
      </c>
      <c r="C2604" s="30" t="str">
        <f>IFERROR(_xlfn.XLOOKUP(B2604,Equipo[DESCRIPCION],Equipo[UND],,0),"")</f>
        <v>%MO</v>
      </c>
      <c r="D2604" s="31">
        <v>0.04</v>
      </c>
      <c r="E2604" s="32">
        <f>IF(C2604="%MO",G2609,IFERROR(_xlfn.XLOOKUP($B2604,Equipo[DESCRIPCION],Equipo[VALOR],,0),""))</f>
        <v>165928.45186125004</v>
      </c>
      <c r="F2604" s="33"/>
      <c r="G2604" s="34">
        <f>IFERROR(IF(F2604&gt;=0,D2604*E2604*(1+F2604/100),ABS(D2604*E2604/F2604)),"")</f>
        <v>6637.138074450002</v>
      </c>
      <c r="H2604" s="43">
        <f>IFERROR(G2604*E2594,"")</f>
        <v>0</v>
      </c>
    </row>
    <row r="2605" spans="1:11" ht="12.75" customHeight="1">
      <c r="A2605" s="28"/>
      <c r="B2605" s="29" t="s">
        <v>3626</v>
      </c>
      <c r="C2605" s="30" t="str">
        <f>IFERROR(_xlfn.XLOOKUP(B2605,Equipo[DESCRIPCION],Equipo[UND],,0),"")</f>
        <v>%MO</v>
      </c>
      <c r="D2605" s="31">
        <v>0.05</v>
      </c>
      <c r="E2605" s="32">
        <f>IF(C2605="%MO",G2609,IFERROR(_xlfn.XLOOKUP($B2605,Equipo[DESCRIPCION],Equipo[VALOR],,0),""))</f>
        <v>165928.45186125004</v>
      </c>
      <c r="F2605" s="33"/>
      <c r="G2605" s="34">
        <f>IFERROR(IF(F2605&gt;=0,D2605*E2605*(1+F2605/100),ABS(D2605*E2605/F2605)),"")</f>
        <v>8296.4225930625016</v>
      </c>
      <c r="H2605" s="43">
        <f>IFERROR(G2605*E2594,"")</f>
        <v>0</v>
      </c>
    </row>
    <row r="2606" spans="1:11" ht="12.75" customHeight="1">
      <c r="A2606" s="21"/>
      <c r="B2606" s="22" t="s">
        <v>2533</v>
      </c>
      <c r="C2606" s="23"/>
      <c r="D2606" s="24"/>
      <c r="E2606" s="25"/>
      <c r="F2606" s="26"/>
      <c r="G2606" s="27">
        <f>SUM(G2607:G2608)</f>
        <v>0</v>
      </c>
      <c r="H2606" s="44">
        <f>G2606*E2594</f>
        <v>0</v>
      </c>
    </row>
    <row r="2607" spans="1:11" ht="12.75" customHeight="1">
      <c r="A2607" s="28"/>
      <c r="B2607" s="29"/>
      <c r="C2607" s="30" t="str">
        <f>IFERROR(_xlfn.XLOOKUP(B2607,Transporte[DESCRIPCION],Transporte[UND],,0),"")</f>
        <v/>
      </c>
      <c r="D2607" s="31"/>
      <c r="E2607" s="32" t="str">
        <f>IFERROR(_xlfn.XLOOKUP($B2607,Transporte[DESCRIPCION],Transporte[VALOR],,0),"")</f>
        <v/>
      </c>
      <c r="F2607" s="33"/>
      <c r="G2607" s="34" t="str">
        <f>IFERROR(IF(F2607&gt;=0,D2607*E2607*(1+F2607/100),ABS(D2607*E2607/F2607)),"")</f>
        <v/>
      </c>
      <c r="H2607" s="43" t="str">
        <f>IFERROR(G2607*E2594,"")</f>
        <v/>
      </c>
    </row>
    <row r="2608" spans="1:11" ht="12.75" customHeight="1">
      <c r="A2608" s="28"/>
      <c r="B2608" s="29"/>
      <c r="C2608" s="30" t="str">
        <f>IFERROR(_xlfn.XLOOKUP(B2608,Transporte[DESCRIPCION],Transporte[UND],,0),"")</f>
        <v/>
      </c>
      <c r="D2608" s="31"/>
      <c r="E2608" s="32" t="str">
        <f>IFERROR(_xlfn.XLOOKUP($B2608,Transporte[DESCRIPCION],Transporte[VALOR],,0),"")</f>
        <v/>
      </c>
      <c r="F2608" s="33"/>
      <c r="G2608" s="34" t="str">
        <f>IFERROR(IF(F2608&gt;=0,D2608*E2608*(1+F2608/100),ABS(D2608*E2608/F2608)),"")</f>
        <v/>
      </c>
      <c r="H2608" s="43" t="str">
        <f>IFERROR(G2608*E2594,"")</f>
        <v/>
      </c>
    </row>
    <row r="2609" spans="1:11" ht="12.75" customHeight="1">
      <c r="A2609" s="21"/>
      <c r="B2609" s="22" t="s">
        <v>3732</v>
      </c>
      <c r="C2609" s="23"/>
      <c r="D2609" s="24"/>
      <c r="E2609" s="25"/>
      <c r="F2609" s="26"/>
      <c r="G2609" s="27">
        <f>SUM(G2610:G2612)</f>
        <v>165928.45186125004</v>
      </c>
      <c r="H2609" s="44">
        <f>G2609*E2594</f>
        <v>0</v>
      </c>
    </row>
    <row r="2610" spans="1:11" ht="12.75" customHeight="1">
      <c r="A2610" s="28"/>
      <c r="B2610" s="29" t="s">
        <v>3713</v>
      </c>
      <c r="C2610" s="30" t="str">
        <f>IFERROR(_xlfn.XLOOKUP(B2610,MObra[DESCRIPCION],MObra[UN],,0),"")</f>
        <v>día</v>
      </c>
      <c r="D2610" s="31">
        <v>1</v>
      </c>
      <c r="E2610" s="32">
        <f>IFERROR(_xlfn.XLOOKUP($B2610,MObra[DESCRIPCION],MObra[VALOR UNIT],,0),"")</f>
        <v>663713.80744500016</v>
      </c>
      <c r="F2610" s="33">
        <v>-4</v>
      </c>
      <c r="G2610" s="34">
        <f>IFERROR(IF(F2610&gt;=0,D2610*E2610*(1+F2610/100),ABS(D2610*E2610/F2610)),"")</f>
        <v>165928.45186125004</v>
      </c>
      <c r="H2610" s="43">
        <f>IFERROR(G2610*E2594,"")</f>
        <v>0</v>
      </c>
    </row>
    <row r="2611" spans="1:11" ht="12.75" customHeight="1">
      <c r="A2611" s="28"/>
      <c r="B2611" s="29"/>
      <c r="C2611" s="30" t="str">
        <f t="array" ref="C2611">IFERROR(_xlfn.XLOOKUP(B2611,MObra[[#All],[DESCRIPCION]],MObra[[#All],[UN]],,0),"")</f>
        <v/>
      </c>
      <c r="D2611" s="31"/>
      <c r="E2611" s="32" t="str">
        <f>IFERROR(_xlfn.XLOOKUP($B2611,MObra[DESCRIPCION],MObra[VALOR UNIT],,0),"")</f>
        <v/>
      </c>
      <c r="F2611" s="33"/>
      <c r="G2611" s="34" t="str">
        <f>IFERROR(IF(F2611&gt;=0,D2611*E2611*(1+F2611/100),ABS(D2611*E2611/F2611)),"")</f>
        <v/>
      </c>
      <c r="H2611" s="43" t="str">
        <f>IFERROR(G2611*E2594,"")</f>
        <v/>
      </c>
    </row>
    <row r="2612" spans="1:11" ht="12.75" customHeight="1" thickBot="1">
      <c r="A2612" s="35"/>
      <c r="B2612" s="36"/>
      <c r="C2612" s="37" t="str">
        <f t="array" ref="C2612">IFERROR(_xlfn.XLOOKUP(B2612,MObra[[#All],[DESCRIPCION]],MObra[[#All],[UN]],,0),"")</f>
        <v/>
      </c>
      <c r="D2612" s="38"/>
      <c r="E2612" s="39" t="str">
        <f>IFERROR(_xlfn.XLOOKUP($B2612,MObra[DESCRIPCION],MObra[VALOR UNIT],,0),"")</f>
        <v/>
      </c>
      <c r="F2612" s="40"/>
      <c r="G2612" s="41" t="str">
        <f>IFERROR(IF(F2612&gt;=0,D2612*E2612*(1+F2612/100),ABS(D2612*E2612/F2612)),"")</f>
        <v/>
      </c>
      <c r="H2612" s="42" t="str">
        <f>IFERROR(G2612*E2594,"")</f>
        <v/>
      </c>
    </row>
    <row r="2613" spans="1:11" ht="12.75" customHeight="1" thickTop="1" thickBot="1"/>
    <row r="2614" spans="1:11" ht="12.75" customHeight="1" thickTop="1" thickBot="1">
      <c r="A2614" s="6" t="s">
        <v>561</v>
      </c>
      <c r="B2614" s="7" t="str">
        <f>VLOOKUP($A2614,Presupuesto!$A:$D,2,FALSE())</f>
        <v>Viga cimentación concreto 20.7 Mpa (1000 cm2 &lt;área sección transversal &lt;= 2000 cm2)</v>
      </c>
      <c r="C2614" s="8" t="str">
        <f>VLOOKUP($A2614,Presupuesto!$A:$D,3,FALSE())</f>
        <v>M3</v>
      </c>
      <c r="D2614" s="9"/>
      <c r="E2614" s="10">
        <f>VLOOKUP($A2614,Presupuesto!$A:$D,4,FALSE())</f>
        <v>0</v>
      </c>
      <c r="F2614" s="11" t="s">
        <v>2589</v>
      </c>
      <c r="G2614" s="12">
        <f>SUM(G2616:G2632)/2</f>
        <v>874614.69719058613</v>
      </c>
      <c r="H2614" s="13">
        <f>ROUND(SUM(H2616:H2632),0)/2</f>
        <v>0</v>
      </c>
      <c r="I2614" s="10">
        <f>VLOOKUP(A2614,Presupuesto!$A:$F,6,0)</f>
        <v>0</v>
      </c>
      <c r="J2614" s="10">
        <f>+H2614-I2614</f>
        <v>0</v>
      </c>
      <c r="K2614" s="46">
        <f>+H2614-G2614*E2614</f>
        <v>0</v>
      </c>
    </row>
    <row r="2615" spans="1:11" ht="12.75" customHeight="1" thickTop="1">
      <c r="A2615" s="14"/>
      <c r="B2615" s="15" t="s">
        <v>2586</v>
      </c>
      <c r="C2615" s="15" t="s">
        <v>5</v>
      </c>
      <c r="D2615" s="16" t="s">
        <v>6</v>
      </c>
      <c r="E2615" s="17" t="s">
        <v>7</v>
      </c>
      <c r="F2615" s="18" t="s">
        <v>3728</v>
      </c>
      <c r="G2615" s="19" t="s">
        <v>3729</v>
      </c>
      <c r="H2615" s="20" t="s">
        <v>3797</v>
      </c>
    </row>
    <row r="2616" spans="1:11" ht="12.75" customHeight="1">
      <c r="A2616" s="21"/>
      <c r="B2616" s="22" t="s">
        <v>3730</v>
      </c>
      <c r="C2616" s="23"/>
      <c r="D2616" s="24"/>
      <c r="E2616" s="25"/>
      <c r="F2616" s="26"/>
      <c r="G2616" s="27">
        <f>SUM(G2617:G2621)</f>
        <v>674911.13466182363</v>
      </c>
      <c r="H2616" s="27">
        <f>IFERROR(G2616*E2614,"")</f>
        <v>0</v>
      </c>
    </row>
    <row r="2617" spans="1:11" ht="12.75" customHeight="1">
      <c r="A2617" s="28"/>
      <c r="B2617" s="29" t="s">
        <v>3239</v>
      </c>
      <c r="C2617" s="30" t="str">
        <f>IFERROR(_xlfn.XLOOKUP(B2617,Insumo[DESCRIPCION],Insumo[UND],,0),"")</f>
        <v>M3</v>
      </c>
      <c r="D2617" s="31">
        <v>1</v>
      </c>
      <c r="E2617" s="32">
        <f>IFERROR(_xlfn.XLOOKUP($B2617,Insumo[DESCRIPCION],Insumo[VALOR],,0),"")</f>
        <v>521159.50227762427</v>
      </c>
      <c r="F2617" s="33">
        <v>5</v>
      </c>
      <c r="G2617" s="34">
        <f>IFERROR(IF(F2617&gt;=0,D2617*E2617*(1+F2617/100),ABS(D2617*E2617/F2617)),"")</f>
        <v>547217.4773915055</v>
      </c>
      <c r="H2617" s="43">
        <f>IFERROR(G2617*E2614,"")</f>
        <v>0</v>
      </c>
    </row>
    <row r="2618" spans="1:11" ht="12.75" customHeight="1">
      <c r="A2618" s="28"/>
      <c r="B2618" s="29" t="s">
        <v>2954</v>
      </c>
      <c r="C2618" s="30" t="str">
        <f>IFERROR(_xlfn.XLOOKUP(B2618,Insumo[DESCRIPCION],Insumo[UND],,0),"")</f>
        <v>M2</v>
      </c>
      <c r="D2618" s="31">
        <v>5</v>
      </c>
      <c r="E2618" s="32">
        <f>IFERROR(_xlfn.XLOOKUP($B2618,Insumo[DESCRIPCION],Insumo[VALOR],,0),"")</f>
        <v>102154.92581625449</v>
      </c>
      <c r="F2618" s="33">
        <v>-4</v>
      </c>
      <c r="G2618" s="34">
        <f>IFERROR(IF(F2618&gt;=0,D2618*E2618*(1+F2618/100),ABS(D2618*E2618/F2618)),"")</f>
        <v>127693.6572703181</v>
      </c>
      <c r="H2618" s="43">
        <f>IFERROR(G2618*E2614,"")</f>
        <v>0</v>
      </c>
    </row>
    <row r="2619" spans="1:11" ht="12.75" customHeight="1">
      <c r="A2619" s="28"/>
      <c r="B2619" s="29"/>
      <c r="C2619" s="30" t="str">
        <f>IFERROR(_xlfn.XLOOKUP(B2619,Insumo[DESCRIPCION],Insumo[UND],,0),"")</f>
        <v/>
      </c>
      <c r="D2619" s="31"/>
      <c r="E2619" s="32" t="str">
        <f>IFERROR(_xlfn.XLOOKUP($B2619,Insumo[DESCRIPCION],Insumo[VALOR],,0),"")</f>
        <v/>
      </c>
      <c r="F2619" s="33"/>
      <c r="G2619" s="34" t="str">
        <f>IFERROR(IF(F2619&gt;=0,D2619*E2619*(1+F2619/100),ABS(D2619*E2619/F2619)),"")</f>
        <v/>
      </c>
      <c r="H2619" s="43" t="str">
        <f>IFERROR(G2619*E2614,"")</f>
        <v/>
      </c>
    </row>
    <row r="2620" spans="1:11" ht="12.75" customHeight="1">
      <c r="A2620" s="28"/>
      <c r="B2620" s="29"/>
      <c r="C2620" s="30" t="str">
        <f>IFERROR(_xlfn.XLOOKUP(B2620,Insumo[DESCRIPCION],Insumo[UND],,0),"")</f>
        <v/>
      </c>
      <c r="D2620" s="31"/>
      <c r="E2620" s="32" t="str">
        <f>IFERROR(_xlfn.XLOOKUP($B2620,Insumo[DESCRIPCION],Insumo[VALOR],,0),"")</f>
        <v/>
      </c>
      <c r="F2620" s="33"/>
      <c r="G2620" s="34" t="str">
        <f>IFERROR(IF(F2620&gt;=0,D2620*E2620*(1+F2620/100),ABS(D2620*E2620/F2620)),"")</f>
        <v/>
      </c>
      <c r="H2620" s="43" t="str">
        <f>IFERROR(G2620*E2614,"")</f>
        <v/>
      </c>
    </row>
    <row r="2621" spans="1:11" ht="12.75" customHeight="1">
      <c r="A2621" s="28"/>
      <c r="B2621" s="29"/>
      <c r="C2621" s="30" t="str">
        <f>IFERROR(_xlfn.XLOOKUP(B2621,Insumo[DESCRIPCION],Insumo[UND],,0),"")</f>
        <v/>
      </c>
      <c r="D2621" s="31"/>
      <c r="E2621" s="32" t="str">
        <f>IFERROR(_xlfn.XLOOKUP($B2621,Insumo[DESCRIPCION],Insumo[VALOR],,0),"")</f>
        <v/>
      </c>
      <c r="F2621" s="33"/>
      <c r="G2621" s="34" t="str">
        <f>IFERROR(IF(F2621&gt;=0,D2621*E2621*(1+F2621/100),ABS(D2621*E2621/F2621)),"")</f>
        <v/>
      </c>
      <c r="H2621" s="43" t="str">
        <f>IFERROR(G2621*E2614,"")</f>
        <v/>
      </c>
    </row>
    <row r="2622" spans="1:11" ht="12.75" customHeight="1">
      <c r="A2622" s="21"/>
      <c r="B2622" s="22" t="s">
        <v>3731</v>
      </c>
      <c r="C2622" s="23"/>
      <c r="D2622" s="24"/>
      <c r="E2622" s="25"/>
      <c r="F2622" s="26"/>
      <c r="G2622" s="27">
        <f>SUM(G2623:G2625)</f>
        <v>33775.110667512505</v>
      </c>
      <c r="H2622" s="44">
        <f>G2622*E2614</f>
        <v>0</v>
      </c>
    </row>
    <row r="2623" spans="1:11" ht="12.75" customHeight="1">
      <c r="A2623" s="28"/>
      <c r="B2623" s="29" t="s">
        <v>3657</v>
      </c>
      <c r="C2623" s="30" t="str">
        <f>IFERROR(_xlfn.XLOOKUP(B2623,Equipo[DESCRIPCION],Equipo[UND],,0),"")</f>
        <v>Día</v>
      </c>
      <c r="D2623" s="31">
        <v>1</v>
      </c>
      <c r="E2623" s="32">
        <f>IF(C2623="%MO",G2629,IFERROR(_xlfn.XLOOKUP($B2623,Equipo[DESCRIPCION],Equipo[VALOR],,0),""))</f>
        <v>56524.65</v>
      </c>
      <c r="F2623" s="33">
        <v>-3</v>
      </c>
      <c r="G2623" s="34">
        <f>IFERROR(IF(F2623&gt;=0,D2623*E2623*(1+F2623/100),ABS(D2623*E2623/F2623)),"")</f>
        <v>18841.55</v>
      </c>
      <c r="H2623" s="43">
        <f>IFERROR(G2623*E2614,"")</f>
        <v>0</v>
      </c>
    </row>
    <row r="2624" spans="1:11" ht="12.75" customHeight="1">
      <c r="A2624" s="28"/>
      <c r="B2624" s="29" t="s">
        <v>3570</v>
      </c>
      <c r="C2624" s="30" t="str">
        <f>IFERROR(_xlfn.XLOOKUP(B2624,Equipo[DESCRIPCION],Equipo[UND],,0),"")</f>
        <v>%MO</v>
      </c>
      <c r="D2624" s="31">
        <v>0.04</v>
      </c>
      <c r="E2624" s="32">
        <f>IF(C2624="%MO",G2629,IFERROR(_xlfn.XLOOKUP($B2624,Equipo[DESCRIPCION],Equipo[VALOR],,0),""))</f>
        <v>165928.45186125004</v>
      </c>
      <c r="F2624" s="33"/>
      <c r="G2624" s="34">
        <f>IFERROR(IF(F2624&gt;=0,D2624*E2624*(1+F2624/100),ABS(D2624*E2624/F2624)),"")</f>
        <v>6637.138074450002</v>
      </c>
      <c r="H2624" s="43">
        <f>IFERROR(G2624*E2614,"")</f>
        <v>0</v>
      </c>
    </row>
    <row r="2625" spans="1:11" ht="12.75" customHeight="1">
      <c r="A2625" s="28"/>
      <c r="B2625" s="29" t="s">
        <v>3626</v>
      </c>
      <c r="C2625" s="30" t="str">
        <f>IFERROR(_xlfn.XLOOKUP(B2625,Equipo[DESCRIPCION],Equipo[UND],,0),"")</f>
        <v>%MO</v>
      </c>
      <c r="D2625" s="31">
        <v>0.05</v>
      </c>
      <c r="E2625" s="32">
        <f>IF(C2625="%MO",G2629,IFERROR(_xlfn.XLOOKUP($B2625,Equipo[DESCRIPCION],Equipo[VALOR],,0),""))</f>
        <v>165928.45186125004</v>
      </c>
      <c r="F2625" s="33"/>
      <c r="G2625" s="34">
        <f>IFERROR(IF(F2625&gt;=0,D2625*E2625*(1+F2625/100),ABS(D2625*E2625/F2625)),"")</f>
        <v>8296.4225930625016</v>
      </c>
      <c r="H2625" s="43">
        <f>IFERROR(G2625*E2614,"")</f>
        <v>0</v>
      </c>
    </row>
    <row r="2626" spans="1:11" ht="12.75" customHeight="1">
      <c r="A2626" s="21"/>
      <c r="B2626" s="22" t="s">
        <v>2533</v>
      </c>
      <c r="C2626" s="23"/>
      <c r="D2626" s="24"/>
      <c r="E2626" s="25"/>
      <c r="F2626" s="26"/>
      <c r="G2626" s="27">
        <f>SUM(G2627:G2628)</f>
        <v>0</v>
      </c>
      <c r="H2626" s="44">
        <f>G2626*E2614</f>
        <v>0</v>
      </c>
    </row>
    <row r="2627" spans="1:11" ht="12.75" customHeight="1">
      <c r="A2627" s="28"/>
      <c r="B2627" s="29"/>
      <c r="C2627" s="30" t="str">
        <f>IFERROR(_xlfn.XLOOKUP(B2627,Transporte[DESCRIPCION],Transporte[UND],,0),"")</f>
        <v/>
      </c>
      <c r="D2627" s="31"/>
      <c r="E2627" s="32" t="str">
        <f>IFERROR(_xlfn.XLOOKUP($B2627,Transporte[DESCRIPCION],Transporte[VALOR],,0),"")</f>
        <v/>
      </c>
      <c r="F2627" s="33"/>
      <c r="G2627" s="34" t="str">
        <f>IFERROR(IF(F2627&gt;=0,D2627*E2627*(1+F2627/100),ABS(D2627*E2627/F2627)),"")</f>
        <v/>
      </c>
      <c r="H2627" s="43" t="str">
        <f>IFERROR(G2627*E2614,"")</f>
        <v/>
      </c>
    </row>
    <row r="2628" spans="1:11" ht="12.75" customHeight="1">
      <c r="A2628" s="28"/>
      <c r="B2628" s="29"/>
      <c r="C2628" s="30" t="str">
        <f>IFERROR(_xlfn.XLOOKUP(B2628,Transporte[DESCRIPCION],Transporte[UND],,0),"")</f>
        <v/>
      </c>
      <c r="D2628" s="31"/>
      <c r="E2628" s="32" t="str">
        <f>IFERROR(_xlfn.XLOOKUP($B2628,Transporte[DESCRIPCION],Transporte[VALOR],,0),"")</f>
        <v/>
      </c>
      <c r="F2628" s="33"/>
      <c r="G2628" s="34" t="str">
        <f>IFERROR(IF(F2628&gt;=0,D2628*E2628*(1+F2628/100),ABS(D2628*E2628/F2628)),"")</f>
        <v/>
      </c>
      <c r="H2628" s="43" t="str">
        <f>IFERROR(G2628*E2614,"")</f>
        <v/>
      </c>
    </row>
    <row r="2629" spans="1:11" ht="12.75" customHeight="1">
      <c r="A2629" s="21"/>
      <c r="B2629" s="22" t="s">
        <v>3732</v>
      </c>
      <c r="C2629" s="23"/>
      <c r="D2629" s="24"/>
      <c r="E2629" s="25"/>
      <c r="F2629" s="26"/>
      <c r="G2629" s="27">
        <f>SUM(G2630:G2632)</f>
        <v>165928.45186125004</v>
      </c>
      <c r="H2629" s="44">
        <f>G2629*E2614</f>
        <v>0</v>
      </c>
    </row>
    <row r="2630" spans="1:11" ht="12.75" customHeight="1">
      <c r="A2630" s="28"/>
      <c r="B2630" s="29" t="s">
        <v>3713</v>
      </c>
      <c r="C2630" s="30" t="str">
        <f>IFERROR(_xlfn.XLOOKUP(B2630,MObra[DESCRIPCION],MObra[UN],,0),"")</f>
        <v>día</v>
      </c>
      <c r="D2630" s="31">
        <v>1</v>
      </c>
      <c r="E2630" s="32">
        <f>IFERROR(_xlfn.XLOOKUP($B2630,MObra[DESCRIPCION],MObra[VALOR UNIT],,0),"")</f>
        <v>663713.80744500016</v>
      </c>
      <c r="F2630" s="33">
        <v>-4</v>
      </c>
      <c r="G2630" s="34">
        <f>IFERROR(IF(F2630&gt;=0,D2630*E2630*(1+F2630/100),ABS(D2630*E2630/F2630)),"")</f>
        <v>165928.45186125004</v>
      </c>
      <c r="H2630" s="43">
        <f>IFERROR(G2630*E2614,"")</f>
        <v>0</v>
      </c>
    </row>
    <row r="2631" spans="1:11" ht="12.75" customHeight="1">
      <c r="A2631" s="28"/>
      <c r="B2631" s="29"/>
      <c r="C2631" s="30" t="str">
        <f t="array" ref="C2631">IFERROR(_xlfn.XLOOKUP(B2631,MObra[[#All],[DESCRIPCION]],MObra[[#All],[UN]],,0),"")</f>
        <v/>
      </c>
      <c r="D2631" s="31"/>
      <c r="E2631" s="32" t="str">
        <f>IFERROR(_xlfn.XLOOKUP($B2631,MObra[DESCRIPCION],MObra[VALOR UNIT],,0),"")</f>
        <v/>
      </c>
      <c r="F2631" s="33"/>
      <c r="G2631" s="34" t="str">
        <f>IFERROR(IF(F2631&gt;=0,D2631*E2631*(1+F2631/100),ABS(D2631*E2631/F2631)),"")</f>
        <v/>
      </c>
      <c r="H2631" s="43" t="str">
        <f>IFERROR(G2631*E2614,"")</f>
        <v/>
      </c>
    </row>
    <row r="2632" spans="1:11" ht="12.75" customHeight="1" thickBot="1">
      <c r="A2632" s="35"/>
      <c r="B2632" s="36"/>
      <c r="C2632" s="37" t="str">
        <f t="array" ref="C2632">IFERROR(_xlfn.XLOOKUP(B2632,MObra[[#All],[DESCRIPCION]],MObra[[#All],[UN]],,0),"")</f>
        <v/>
      </c>
      <c r="D2632" s="38"/>
      <c r="E2632" s="39" t="str">
        <f>IFERROR(_xlfn.XLOOKUP($B2632,MObra[DESCRIPCION],MObra[VALOR UNIT],,0),"")</f>
        <v/>
      </c>
      <c r="F2632" s="40"/>
      <c r="G2632" s="41" t="str">
        <f>IFERROR(IF(F2632&gt;=0,D2632*E2632*(1+F2632/100),ABS(D2632*E2632/F2632)),"")</f>
        <v/>
      </c>
      <c r="H2632" s="42" t="str">
        <f>IFERROR(G2632*E2614,"")</f>
        <v/>
      </c>
    </row>
    <row r="2633" spans="1:11" ht="12.75" customHeight="1" thickTop="1" thickBot="1"/>
    <row r="2634" spans="1:11" ht="12.75" customHeight="1" thickTop="1" thickBot="1">
      <c r="A2634" s="6" t="s">
        <v>563</v>
      </c>
      <c r="B2634" s="7" t="str">
        <f>VLOOKUP($A2634,Presupuesto!$A:$D,2,FALSE())</f>
        <v>Viga cimentación concreto 20.7 Mpa (área sección transversal &gt; 2000 cm2)</v>
      </c>
      <c r="C2634" s="8" t="str">
        <f>VLOOKUP($A2634,Presupuesto!$A:$D,3,FALSE())</f>
        <v>M3</v>
      </c>
      <c r="D2634" s="9"/>
      <c r="E2634" s="10">
        <f>VLOOKUP($A2634,Presupuesto!$A:$D,4,FALSE())</f>
        <v>0</v>
      </c>
      <c r="F2634" s="11" t="s">
        <v>2589</v>
      </c>
      <c r="G2634" s="12">
        <f>SUM(G2636:G2652)/2</f>
        <v>849075.96573652246</v>
      </c>
      <c r="H2634" s="13">
        <f>ROUND(SUM(H2636:H2652),0)/2</f>
        <v>0</v>
      </c>
      <c r="I2634" s="10">
        <f>VLOOKUP(A2634,Presupuesto!$A:$F,6,0)</f>
        <v>0</v>
      </c>
      <c r="J2634" s="10">
        <f>+H2634-I2634</f>
        <v>0</v>
      </c>
      <c r="K2634" s="46">
        <f>+H2634-G2634*E2634</f>
        <v>0</v>
      </c>
    </row>
    <row r="2635" spans="1:11" ht="12.75" customHeight="1" thickTop="1">
      <c r="A2635" s="14"/>
      <c r="B2635" s="15" t="s">
        <v>2586</v>
      </c>
      <c r="C2635" s="15" t="s">
        <v>5</v>
      </c>
      <c r="D2635" s="16" t="s">
        <v>6</v>
      </c>
      <c r="E2635" s="17" t="s">
        <v>7</v>
      </c>
      <c r="F2635" s="18" t="s">
        <v>3728</v>
      </c>
      <c r="G2635" s="19" t="s">
        <v>3729</v>
      </c>
      <c r="H2635" s="20" t="s">
        <v>3797</v>
      </c>
    </row>
    <row r="2636" spans="1:11" ht="12.75" customHeight="1">
      <c r="A2636" s="21"/>
      <c r="B2636" s="22" t="s">
        <v>3730</v>
      </c>
      <c r="C2636" s="23"/>
      <c r="D2636" s="24"/>
      <c r="E2636" s="25"/>
      <c r="F2636" s="26"/>
      <c r="G2636" s="27">
        <f>SUM(G2637:G2641)</f>
        <v>649372.40320775995</v>
      </c>
      <c r="H2636" s="27">
        <f>IFERROR(G2636*E2634,"")</f>
        <v>0</v>
      </c>
    </row>
    <row r="2637" spans="1:11" ht="12.75" customHeight="1">
      <c r="A2637" s="28"/>
      <c r="B2637" s="29" t="s">
        <v>3239</v>
      </c>
      <c r="C2637" s="30" t="str">
        <f>IFERROR(_xlfn.XLOOKUP(B2637,Insumo[DESCRIPCION],Insumo[UND],,0),"")</f>
        <v>M3</v>
      </c>
      <c r="D2637" s="31">
        <v>1</v>
      </c>
      <c r="E2637" s="32">
        <f>IFERROR(_xlfn.XLOOKUP($B2637,Insumo[DESCRIPCION],Insumo[VALOR],,0),"")</f>
        <v>521159.50227762427</v>
      </c>
      <c r="F2637" s="33">
        <v>5</v>
      </c>
      <c r="G2637" s="34">
        <f>IFERROR(IF(F2637&gt;=0,D2637*E2637*(1+F2637/100),ABS(D2637*E2637/F2637)),"")</f>
        <v>547217.4773915055</v>
      </c>
      <c r="H2637" s="43">
        <f>IFERROR(G2637*E2634,"")</f>
        <v>0</v>
      </c>
    </row>
    <row r="2638" spans="1:11" ht="12.75" customHeight="1">
      <c r="A2638" s="28"/>
      <c r="B2638" s="29" t="s">
        <v>2954</v>
      </c>
      <c r="C2638" s="30" t="str">
        <f>IFERROR(_xlfn.XLOOKUP(B2638,Insumo[DESCRIPCION],Insumo[UND],,0),"")</f>
        <v>M2</v>
      </c>
      <c r="D2638" s="31">
        <v>4</v>
      </c>
      <c r="E2638" s="32">
        <f>IFERROR(_xlfn.XLOOKUP($B2638,Insumo[DESCRIPCION],Insumo[VALOR],,0),"")</f>
        <v>102154.92581625449</v>
      </c>
      <c r="F2638" s="33">
        <v>-4</v>
      </c>
      <c r="G2638" s="34">
        <f>IFERROR(IF(F2638&gt;=0,D2638*E2638*(1+F2638/100),ABS(D2638*E2638/F2638)),"")</f>
        <v>102154.92581625449</v>
      </c>
      <c r="H2638" s="43">
        <f>IFERROR(G2638*E2634,"")</f>
        <v>0</v>
      </c>
    </row>
    <row r="2639" spans="1:11" ht="12.75" customHeight="1">
      <c r="A2639" s="28"/>
      <c r="B2639" s="29"/>
      <c r="C2639" s="30" t="str">
        <f>IFERROR(_xlfn.XLOOKUP(B2639,Insumo[DESCRIPCION],Insumo[UND],,0),"")</f>
        <v/>
      </c>
      <c r="D2639" s="31"/>
      <c r="E2639" s="32" t="str">
        <f>IFERROR(_xlfn.XLOOKUP($B2639,Insumo[DESCRIPCION],Insumo[VALOR],,0),"")</f>
        <v/>
      </c>
      <c r="F2639" s="33"/>
      <c r="G2639" s="34" t="str">
        <f>IFERROR(IF(F2639&gt;=0,D2639*E2639*(1+F2639/100),ABS(D2639*E2639/F2639)),"")</f>
        <v/>
      </c>
      <c r="H2639" s="43" t="str">
        <f>IFERROR(G2639*E2634,"")</f>
        <v/>
      </c>
    </row>
    <row r="2640" spans="1:11" ht="12.75" customHeight="1">
      <c r="A2640" s="28"/>
      <c r="B2640" s="29"/>
      <c r="C2640" s="30" t="str">
        <f>IFERROR(_xlfn.XLOOKUP(B2640,Insumo[DESCRIPCION],Insumo[UND],,0),"")</f>
        <v/>
      </c>
      <c r="D2640" s="31"/>
      <c r="E2640" s="32" t="str">
        <f>IFERROR(_xlfn.XLOOKUP($B2640,Insumo[DESCRIPCION],Insumo[VALOR],,0),"")</f>
        <v/>
      </c>
      <c r="F2640" s="33"/>
      <c r="G2640" s="34" t="str">
        <f>IFERROR(IF(F2640&gt;=0,D2640*E2640*(1+F2640/100),ABS(D2640*E2640/F2640)),"")</f>
        <v/>
      </c>
      <c r="H2640" s="43" t="str">
        <f>IFERROR(G2640*E2634,"")</f>
        <v/>
      </c>
    </row>
    <row r="2641" spans="1:11" ht="12.75" customHeight="1">
      <c r="A2641" s="28"/>
      <c r="B2641" s="29"/>
      <c r="C2641" s="30" t="str">
        <f>IFERROR(_xlfn.XLOOKUP(B2641,Insumo[DESCRIPCION],Insumo[UND],,0),"")</f>
        <v/>
      </c>
      <c r="D2641" s="31"/>
      <c r="E2641" s="32" t="str">
        <f>IFERROR(_xlfn.XLOOKUP($B2641,Insumo[DESCRIPCION],Insumo[VALOR],,0),"")</f>
        <v/>
      </c>
      <c r="F2641" s="33"/>
      <c r="G2641" s="34" t="str">
        <f>IFERROR(IF(F2641&gt;=0,D2641*E2641*(1+F2641/100),ABS(D2641*E2641/F2641)),"")</f>
        <v/>
      </c>
      <c r="H2641" s="43" t="str">
        <f>IFERROR(G2641*E2634,"")</f>
        <v/>
      </c>
    </row>
    <row r="2642" spans="1:11" ht="12.75" customHeight="1">
      <c r="A2642" s="21"/>
      <c r="B2642" s="22" t="s">
        <v>3731</v>
      </c>
      <c r="C2642" s="23"/>
      <c r="D2642" s="24"/>
      <c r="E2642" s="25"/>
      <c r="F2642" s="26"/>
      <c r="G2642" s="27">
        <f>SUM(G2643:G2645)</f>
        <v>33775.110667512505</v>
      </c>
      <c r="H2642" s="44">
        <f>G2642*E2634</f>
        <v>0</v>
      </c>
    </row>
    <row r="2643" spans="1:11" ht="12.75" customHeight="1">
      <c r="A2643" s="28"/>
      <c r="B2643" s="29" t="s">
        <v>3657</v>
      </c>
      <c r="C2643" s="30" t="str">
        <f>IFERROR(_xlfn.XLOOKUP(B2643,Equipo[DESCRIPCION],Equipo[UND],,0),"")</f>
        <v>Día</v>
      </c>
      <c r="D2643" s="31">
        <v>1</v>
      </c>
      <c r="E2643" s="32">
        <f>IF(C2643="%MO",G2649,IFERROR(_xlfn.XLOOKUP($B2643,Equipo[DESCRIPCION],Equipo[VALOR],,0),""))</f>
        <v>56524.65</v>
      </c>
      <c r="F2643" s="33">
        <v>-3</v>
      </c>
      <c r="G2643" s="34">
        <f>IFERROR(IF(F2643&gt;=0,D2643*E2643*(1+F2643/100),ABS(D2643*E2643/F2643)),"")</f>
        <v>18841.55</v>
      </c>
      <c r="H2643" s="43">
        <f>IFERROR(G2643*E2634,"")</f>
        <v>0</v>
      </c>
    </row>
    <row r="2644" spans="1:11" ht="12.75" customHeight="1">
      <c r="A2644" s="28"/>
      <c r="B2644" s="29" t="s">
        <v>3570</v>
      </c>
      <c r="C2644" s="30" t="str">
        <f>IFERROR(_xlfn.XLOOKUP(B2644,Equipo[DESCRIPCION],Equipo[UND],,0),"")</f>
        <v>%MO</v>
      </c>
      <c r="D2644" s="31">
        <v>0.04</v>
      </c>
      <c r="E2644" s="32">
        <f>IF(C2644="%MO",G2649,IFERROR(_xlfn.XLOOKUP($B2644,Equipo[DESCRIPCION],Equipo[VALOR],,0),""))</f>
        <v>165928.45186125004</v>
      </c>
      <c r="F2644" s="33"/>
      <c r="G2644" s="34">
        <f>IFERROR(IF(F2644&gt;=0,D2644*E2644*(1+F2644/100),ABS(D2644*E2644/F2644)),"")</f>
        <v>6637.138074450002</v>
      </c>
      <c r="H2644" s="43">
        <f>IFERROR(G2644*E2634,"")</f>
        <v>0</v>
      </c>
    </row>
    <row r="2645" spans="1:11" ht="12.75" customHeight="1">
      <c r="A2645" s="28"/>
      <c r="B2645" s="29" t="s">
        <v>3626</v>
      </c>
      <c r="C2645" s="30" t="str">
        <f>IFERROR(_xlfn.XLOOKUP(B2645,Equipo[DESCRIPCION],Equipo[UND],,0),"")</f>
        <v>%MO</v>
      </c>
      <c r="D2645" s="31">
        <v>0.05</v>
      </c>
      <c r="E2645" s="32">
        <f>IF(C2645="%MO",G2649,IFERROR(_xlfn.XLOOKUP($B2645,Equipo[DESCRIPCION],Equipo[VALOR],,0),""))</f>
        <v>165928.45186125004</v>
      </c>
      <c r="F2645" s="33"/>
      <c r="G2645" s="34">
        <f>IFERROR(IF(F2645&gt;=0,D2645*E2645*(1+F2645/100),ABS(D2645*E2645/F2645)),"")</f>
        <v>8296.4225930625016</v>
      </c>
      <c r="H2645" s="43">
        <f>IFERROR(G2645*E2634,"")</f>
        <v>0</v>
      </c>
    </row>
    <row r="2646" spans="1:11" ht="12.75" customHeight="1">
      <c r="A2646" s="21"/>
      <c r="B2646" s="22" t="s">
        <v>2533</v>
      </c>
      <c r="C2646" s="23"/>
      <c r="D2646" s="24"/>
      <c r="E2646" s="25"/>
      <c r="F2646" s="26"/>
      <c r="G2646" s="27">
        <f>SUM(G2647:G2648)</f>
        <v>0</v>
      </c>
      <c r="H2646" s="44">
        <f>G2646*E2634</f>
        <v>0</v>
      </c>
    </row>
    <row r="2647" spans="1:11" ht="12.75" customHeight="1">
      <c r="A2647" s="28"/>
      <c r="B2647" s="29"/>
      <c r="C2647" s="30" t="str">
        <f>IFERROR(_xlfn.XLOOKUP(B2647,Transporte[DESCRIPCION],Transporte[UND],,0),"")</f>
        <v/>
      </c>
      <c r="D2647" s="31"/>
      <c r="E2647" s="32" t="str">
        <f>IFERROR(_xlfn.XLOOKUP($B2647,Transporte[DESCRIPCION],Transporte[VALOR],,0),"")</f>
        <v/>
      </c>
      <c r="F2647" s="33"/>
      <c r="G2647" s="34" t="str">
        <f>IFERROR(IF(F2647&gt;=0,D2647*E2647*(1+F2647/100),ABS(D2647*E2647/F2647)),"")</f>
        <v/>
      </c>
      <c r="H2647" s="43" t="str">
        <f>IFERROR(G2647*E2634,"")</f>
        <v/>
      </c>
    </row>
    <row r="2648" spans="1:11" ht="12.75" customHeight="1">
      <c r="A2648" s="28"/>
      <c r="B2648" s="29"/>
      <c r="C2648" s="30" t="str">
        <f>IFERROR(_xlfn.XLOOKUP(B2648,Transporte[DESCRIPCION],Transporte[UND],,0),"")</f>
        <v/>
      </c>
      <c r="D2648" s="31"/>
      <c r="E2648" s="32" t="str">
        <f>IFERROR(_xlfn.XLOOKUP($B2648,Transporte[DESCRIPCION],Transporte[VALOR],,0),"")</f>
        <v/>
      </c>
      <c r="F2648" s="33"/>
      <c r="G2648" s="34" t="str">
        <f>IFERROR(IF(F2648&gt;=0,D2648*E2648*(1+F2648/100),ABS(D2648*E2648/F2648)),"")</f>
        <v/>
      </c>
      <c r="H2648" s="43" t="str">
        <f>IFERROR(G2648*E2634,"")</f>
        <v/>
      </c>
    </row>
    <row r="2649" spans="1:11" ht="12.75" customHeight="1">
      <c r="A2649" s="21"/>
      <c r="B2649" s="22" t="s">
        <v>3732</v>
      </c>
      <c r="C2649" s="23"/>
      <c r="D2649" s="24"/>
      <c r="E2649" s="25"/>
      <c r="F2649" s="26"/>
      <c r="G2649" s="27">
        <f>SUM(G2650:G2652)</f>
        <v>165928.45186125004</v>
      </c>
      <c r="H2649" s="44">
        <f>G2649*E2634</f>
        <v>0</v>
      </c>
    </row>
    <row r="2650" spans="1:11" ht="12.75" customHeight="1">
      <c r="A2650" s="28"/>
      <c r="B2650" s="29" t="s">
        <v>3713</v>
      </c>
      <c r="C2650" s="30" t="str">
        <f>IFERROR(_xlfn.XLOOKUP(B2650,MObra[DESCRIPCION],MObra[UN],,0),"")</f>
        <v>día</v>
      </c>
      <c r="D2650" s="31">
        <v>1</v>
      </c>
      <c r="E2650" s="32">
        <f>IFERROR(_xlfn.XLOOKUP($B2650,MObra[DESCRIPCION],MObra[VALOR UNIT],,0),"")</f>
        <v>663713.80744500016</v>
      </c>
      <c r="F2650" s="33">
        <v>-4</v>
      </c>
      <c r="G2650" s="34">
        <f>IFERROR(IF(F2650&gt;=0,D2650*E2650*(1+F2650/100),ABS(D2650*E2650/F2650)),"")</f>
        <v>165928.45186125004</v>
      </c>
      <c r="H2650" s="43">
        <f>IFERROR(G2650*E2634,"")</f>
        <v>0</v>
      </c>
    </row>
    <row r="2651" spans="1:11" ht="12.75" customHeight="1">
      <c r="A2651" s="28"/>
      <c r="B2651" s="29"/>
      <c r="C2651" s="30" t="str">
        <f t="array" ref="C2651">IFERROR(_xlfn.XLOOKUP(B2651,MObra[[#All],[DESCRIPCION]],MObra[[#All],[UN]],,0),"")</f>
        <v/>
      </c>
      <c r="D2651" s="31"/>
      <c r="E2651" s="32" t="str">
        <f>IFERROR(_xlfn.XLOOKUP($B2651,MObra[DESCRIPCION],MObra[VALOR UNIT],,0),"")</f>
        <v/>
      </c>
      <c r="F2651" s="33"/>
      <c r="G2651" s="34" t="str">
        <f>IFERROR(IF(F2651&gt;=0,D2651*E2651*(1+F2651/100),ABS(D2651*E2651/F2651)),"")</f>
        <v/>
      </c>
      <c r="H2651" s="43" t="str">
        <f>IFERROR(G2651*E2634,"")</f>
        <v/>
      </c>
    </row>
    <row r="2652" spans="1:11" ht="12.75" customHeight="1" thickBot="1">
      <c r="A2652" s="35"/>
      <c r="B2652" s="36"/>
      <c r="C2652" s="37" t="str">
        <f t="array" ref="C2652">IFERROR(_xlfn.XLOOKUP(B2652,MObra[[#All],[DESCRIPCION]],MObra[[#All],[UN]],,0),"")</f>
        <v/>
      </c>
      <c r="D2652" s="38"/>
      <c r="E2652" s="39" t="str">
        <f>IFERROR(_xlfn.XLOOKUP($B2652,MObra[DESCRIPCION],MObra[VALOR UNIT],,0),"")</f>
        <v/>
      </c>
      <c r="F2652" s="40"/>
      <c r="G2652" s="41" t="str">
        <f>IFERROR(IF(F2652&gt;=0,D2652*E2652*(1+F2652/100),ABS(D2652*E2652/F2652)),"")</f>
        <v/>
      </c>
      <c r="H2652" s="42" t="str">
        <f>IFERROR(G2652*E2634,"")</f>
        <v/>
      </c>
    </row>
    <row r="2653" spans="1:11" ht="12.75" customHeight="1" thickTop="1" thickBot="1"/>
    <row r="2654" spans="1:11" ht="12.75" customHeight="1" thickTop="1" thickBot="1">
      <c r="A2654" s="6" t="s">
        <v>565</v>
      </c>
      <c r="B2654" s="7" t="str">
        <f>VLOOKUP($A2654,Presupuesto!$A:$D,2,FALSE())</f>
        <v>Viga cimentación concreto 24.1 Mpa (área sección transversal &lt;= 1000 cm2)</v>
      </c>
      <c r="C2654" s="8" t="str">
        <f>VLOOKUP($A2654,Presupuesto!$A:$D,3,FALSE())</f>
        <v>M3</v>
      </c>
      <c r="D2654" s="9"/>
      <c r="E2654" s="10">
        <f>VLOOKUP($A2654,Presupuesto!$A:$D,4,FALSE())</f>
        <v>0</v>
      </c>
      <c r="F2654" s="11" t="s">
        <v>2589</v>
      </c>
      <c r="G2654" s="12">
        <f>SUM(G2656:G2672)/2</f>
        <v>936826.71999830613</v>
      </c>
      <c r="H2654" s="13">
        <f>ROUND(SUM(H2656:H2672),0)/2</f>
        <v>0</v>
      </c>
      <c r="I2654" s="10">
        <f>VLOOKUP(A2654,Presupuesto!$A:$F,6,0)</f>
        <v>0</v>
      </c>
      <c r="J2654" s="10">
        <f>+H2654-I2654</f>
        <v>0</v>
      </c>
      <c r="K2654" s="46">
        <f>+H2654-G2654*E2654</f>
        <v>0</v>
      </c>
    </row>
    <row r="2655" spans="1:11" ht="12.75" customHeight="1" thickTop="1">
      <c r="A2655" s="14"/>
      <c r="B2655" s="15" t="s">
        <v>2586</v>
      </c>
      <c r="C2655" s="15" t="s">
        <v>5</v>
      </c>
      <c r="D2655" s="16" t="s">
        <v>6</v>
      </c>
      <c r="E2655" s="17" t="s">
        <v>7</v>
      </c>
      <c r="F2655" s="18" t="s">
        <v>3728</v>
      </c>
      <c r="G2655" s="19" t="s">
        <v>3729</v>
      </c>
      <c r="H2655" s="20" t="s">
        <v>3797</v>
      </c>
    </row>
    <row r="2656" spans="1:11" ht="12.75" customHeight="1">
      <c r="A2656" s="21"/>
      <c r="B2656" s="22" t="s">
        <v>3730</v>
      </c>
      <c r="C2656" s="23"/>
      <c r="D2656" s="24"/>
      <c r="E2656" s="25"/>
      <c r="F2656" s="26"/>
      <c r="G2656" s="27">
        <f>SUM(G2657:G2661)</f>
        <v>737123.15746954363</v>
      </c>
      <c r="H2656" s="27">
        <f>IFERROR(G2656*E2654,"")</f>
        <v>0</v>
      </c>
    </row>
    <row r="2657" spans="1:8" ht="12.75" customHeight="1">
      <c r="A2657" s="28"/>
      <c r="B2657" s="29" t="s">
        <v>3240</v>
      </c>
      <c r="C2657" s="30" t="str">
        <f>IFERROR(_xlfn.XLOOKUP(B2657,Insumo[DESCRIPCION],Insumo[UND],,0),"")</f>
        <v>M3</v>
      </c>
      <c r="D2657" s="31">
        <v>1</v>
      </c>
      <c r="E2657" s="32">
        <f>IFERROR(_xlfn.XLOOKUP($B2657,Insumo[DESCRIPCION],Insumo[VALOR],,0),"")</f>
        <v>539790.3034961326</v>
      </c>
      <c r="F2657" s="33">
        <v>5</v>
      </c>
      <c r="G2657" s="34">
        <f>IFERROR(IF(F2657&gt;=0,D2657*E2657*(1+F2657/100),ABS(D2657*E2657/F2657)),"")</f>
        <v>566779.8186709393</v>
      </c>
      <c r="H2657" s="43">
        <f>IFERROR(G2657*E2654,"")</f>
        <v>0</v>
      </c>
    </row>
    <row r="2658" spans="1:8" ht="12.75" customHeight="1">
      <c r="A2658" s="28"/>
      <c r="B2658" s="29" t="s">
        <v>2954</v>
      </c>
      <c r="C2658" s="30" t="str">
        <f>IFERROR(_xlfn.XLOOKUP(B2658,Insumo[DESCRIPCION],Insumo[UND],,0),"")</f>
        <v>M2</v>
      </c>
      <c r="D2658" s="31">
        <v>6.67</v>
      </c>
      <c r="E2658" s="32">
        <f>IFERROR(_xlfn.XLOOKUP($B2658,Insumo[DESCRIPCION],Insumo[VALOR],,0),"")</f>
        <v>102154.92581625449</v>
      </c>
      <c r="F2658" s="33">
        <v>-4</v>
      </c>
      <c r="G2658" s="34">
        <f>IFERROR(IF(F2658&gt;=0,D2658*E2658*(1+F2658/100),ABS(D2658*E2658/F2658)),"")</f>
        <v>170343.33879860435</v>
      </c>
      <c r="H2658" s="43">
        <f>IFERROR(G2658*E2654,"")</f>
        <v>0</v>
      </c>
    </row>
    <row r="2659" spans="1:8" ht="12.75" customHeight="1">
      <c r="A2659" s="28"/>
      <c r="B2659" s="29"/>
      <c r="C2659" s="30" t="str">
        <f>IFERROR(_xlfn.XLOOKUP(B2659,Insumo[DESCRIPCION],Insumo[UND],,0),"")</f>
        <v/>
      </c>
      <c r="D2659" s="31"/>
      <c r="E2659" s="32" t="str">
        <f>IFERROR(_xlfn.XLOOKUP($B2659,Insumo[DESCRIPCION],Insumo[VALOR],,0),"")</f>
        <v/>
      </c>
      <c r="F2659" s="33"/>
      <c r="G2659" s="34" t="str">
        <f>IFERROR(IF(F2659&gt;=0,D2659*E2659*(1+F2659/100),ABS(D2659*E2659/F2659)),"")</f>
        <v/>
      </c>
      <c r="H2659" s="43" t="str">
        <f>IFERROR(G2659*E2654,"")</f>
        <v/>
      </c>
    </row>
    <row r="2660" spans="1:8" ht="12.75" customHeight="1">
      <c r="A2660" s="28"/>
      <c r="B2660" s="29"/>
      <c r="C2660" s="30" t="str">
        <f>IFERROR(_xlfn.XLOOKUP(B2660,Insumo[DESCRIPCION],Insumo[UND],,0),"")</f>
        <v/>
      </c>
      <c r="D2660" s="31"/>
      <c r="E2660" s="32" t="str">
        <f>IFERROR(_xlfn.XLOOKUP($B2660,Insumo[DESCRIPCION],Insumo[VALOR],,0),"")</f>
        <v/>
      </c>
      <c r="F2660" s="33"/>
      <c r="G2660" s="34" t="str">
        <f>IFERROR(IF(F2660&gt;=0,D2660*E2660*(1+F2660/100),ABS(D2660*E2660/F2660)),"")</f>
        <v/>
      </c>
      <c r="H2660" s="43" t="str">
        <f>IFERROR(G2660*E2654,"")</f>
        <v/>
      </c>
    </row>
    <row r="2661" spans="1:8" ht="12.75" customHeight="1">
      <c r="A2661" s="28"/>
      <c r="B2661" s="29"/>
      <c r="C2661" s="30" t="str">
        <f>IFERROR(_xlfn.XLOOKUP(B2661,Insumo[DESCRIPCION],Insumo[UND],,0),"")</f>
        <v/>
      </c>
      <c r="D2661" s="31"/>
      <c r="E2661" s="32" t="str">
        <f>IFERROR(_xlfn.XLOOKUP($B2661,Insumo[DESCRIPCION],Insumo[VALOR],,0),"")</f>
        <v/>
      </c>
      <c r="F2661" s="33"/>
      <c r="G2661" s="34" t="str">
        <f>IFERROR(IF(F2661&gt;=0,D2661*E2661*(1+F2661/100),ABS(D2661*E2661/F2661)),"")</f>
        <v/>
      </c>
      <c r="H2661" s="43" t="str">
        <f>IFERROR(G2661*E2654,"")</f>
        <v/>
      </c>
    </row>
    <row r="2662" spans="1:8" ht="12.75" customHeight="1">
      <c r="A2662" s="21"/>
      <c r="B2662" s="22" t="s">
        <v>3731</v>
      </c>
      <c r="C2662" s="23"/>
      <c r="D2662" s="24"/>
      <c r="E2662" s="25"/>
      <c r="F2662" s="26"/>
      <c r="G2662" s="27">
        <f>SUM(G2663:G2665)</f>
        <v>33775.110667512505</v>
      </c>
      <c r="H2662" s="44">
        <f>G2662*E2654</f>
        <v>0</v>
      </c>
    </row>
    <row r="2663" spans="1:8" ht="12.75" customHeight="1">
      <c r="A2663" s="28"/>
      <c r="B2663" s="29" t="s">
        <v>3657</v>
      </c>
      <c r="C2663" s="30" t="str">
        <f>IFERROR(_xlfn.XLOOKUP(B2663,Equipo[DESCRIPCION],Equipo[UND],,0),"")</f>
        <v>Día</v>
      </c>
      <c r="D2663" s="31">
        <v>1</v>
      </c>
      <c r="E2663" s="32">
        <f>IF(C2663="%MO",G2669,IFERROR(_xlfn.XLOOKUP($B2663,Equipo[DESCRIPCION],Equipo[VALOR],,0),""))</f>
        <v>56524.65</v>
      </c>
      <c r="F2663" s="33">
        <v>-3</v>
      </c>
      <c r="G2663" s="34">
        <f>IFERROR(IF(F2663&gt;=0,D2663*E2663*(1+F2663/100),ABS(D2663*E2663/F2663)),"")</f>
        <v>18841.55</v>
      </c>
      <c r="H2663" s="43">
        <f>IFERROR(G2663*E2654,"")</f>
        <v>0</v>
      </c>
    </row>
    <row r="2664" spans="1:8" ht="12.75" customHeight="1">
      <c r="A2664" s="28"/>
      <c r="B2664" s="29" t="s">
        <v>3570</v>
      </c>
      <c r="C2664" s="30" t="str">
        <f>IFERROR(_xlfn.XLOOKUP(B2664,Equipo[DESCRIPCION],Equipo[UND],,0),"")</f>
        <v>%MO</v>
      </c>
      <c r="D2664" s="31">
        <v>0.04</v>
      </c>
      <c r="E2664" s="32">
        <f>IF(C2664="%MO",G2669,IFERROR(_xlfn.XLOOKUP($B2664,Equipo[DESCRIPCION],Equipo[VALOR],,0),""))</f>
        <v>165928.45186125004</v>
      </c>
      <c r="F2664" s="33"/>
      <c r="G2664" s="34">
        <f>IFERROR(IF(F2664&gt;=0,D2664*E2664*(1+F2664/100),ABS(D2664*E2664/F2664)),"")</f>
        <v>6637.138074450002</v>
      </c>
      <c r="H2664" s="43">
        <f>IFERROR(G2664*E2654,"")</f>
        <v>0</v>
      </c>
    </row>
    <row r="2665" spans="1:8" ht="12.75" customHeight="1">
      <c r="A2665" s="28"/>
      <c r="B2665" s="29" t="s">
        <v>3626</v>
      </c>
      <c r="C2665" s="30" t="str">
        <f>IFERROR(_xlfn.XLOOKUP(B2665,Equipo[DESCRIPCION],Equipo[UND],,0),"")</f>
        <v>%MO</v>
      </c>
      <c r="D2665" s="31">
        <v>0.05</v>
      </c>
      <c r="E2665" s="32">
        <f>IF(C2665="%MO",G2669,IFERROR(_xlfn.XLOOKUP($B2665,Equipo[DESCRIPCION],Equipo[VALOR],,0),""))</f>
        <v>165928.45186125004</v>
      </c>
      <c r="F2665" s="33"/>
      <c r="G2665" s="34">
        <f>IFERROR(IF(F2665&gt;=0,D2665*E2665*(1+F2665/100),ABS(D2665*E2665/F2665)),"")</f>
        <v>8296.4225930625016</v>
      </c>
      <c r="H2665" s="43">
        <f>IFERROR(G2665*E2654,"")</f>
        <v>0</v>
      </c>
    </row>
    <row r="2666" spans="1:8" ht="12.75" customHeight="1">
      <c r="A2666" s="21"/>
      <c r="B2666" s="22" t="s">
        <v>2533</v>
      </c>
      <c r="C2666" s="23"/>
      <c r="D2666" s="24"/>
      <c r="E2666" s="25"/>
      <c r="F2666" s="26"/>
      <c r="G2666" s="27">
        <f>SUM(G2667:G2668)</f>
        <v>0</v>
      </c>
      <c r="H2666" s="44">
        <f>G2666*E2654</f>
        <v>0</v>
      </c>
    </row>
    <row r="2667" spans="1:8" ht="12.75" customHeight="1">
      <c r="A2667" s="28"/>
      <c r="B2667" s="29"/>
      <c r="C2667" s="30" t="str">
        <f>IFERROR(_xlfn.XLOOKUP(B2667,Transporte[DESCRIPCION],Transporte[UND],,0),"")</f>
        <v/>
      </c>
      <c r="D2667" s="31"/>
      <c r="E2667" s="32" t="str">
        <f>IFERROR(_xlfn.XLOOKUP($B2667,Transporte[DESCRIPCION],Transporte[VALOR],,0),"")</f>
        <v/>
      </c>
      <c r="F2667" s="33"/>
      <c r="G2667" s="34" t="str">
        <f>IFERROR(IF(F2667&gt;=0,D2667*E2667*(1+F2667/100),ABS(D2667*E2667/F2667)),"")</f>
        <v/>
      </c>
      <c r="H2667" s="43" t="str">
        <f>IFERROR(G2667*E2654,"")</f>
        <v/>
      </c>
    </row>
    <row r="2668" spans="1:8" ht="12.75" customHeight="1">
      <c r="A2668" s="28"/>
      <c r="B2668" s="29"/>
      <c r="C2668" s="30" t="str">
        <f>IFERROR(_xlfn.XLOOKUP(B2668,Transporte[DESCRIPCION],Transporte[UND],,0),"")</f>
        <v/>
      </c>
      <c r="D2668" s="31"/>
      <c r="E2668" s="32" t="str">
        <f>IFERROR(_xlfn.XLOOKUP($B2668,Transporte[DESCRIPCION],Transporte[VALOR],,0),"")</f>
        <v/>
      </c>
      <c r="F2668" s="33"/>
      <c r="G2668" s="34" t="str">
        <f>IFERROR(IF(F2668&gt;=0,D2668*E2668*(1+F2668/100),ABS(D2668*E2668/F2668)),"")</f>
        <v/>
      </c>
      <c r="H2668" s="43" t="str">
        <f>IFERROR(G2668*E2654,"")</f>
        <v/>
      </c>
    </row>
    <row r="2669" spans="1:8" ht="12.75" customHeight="1">
      <c r="A2669" s="21"/>
      <c r="B2669" s="22" t="s">
        <v>3732</v>
      </c>
      <c r="C2669" s="23"/>
      <c r="D2669" s="24"/>
      <c r="E2669" s="25"/>
      <c r="F2669" s="26"/>
      <c r="G2669" s="27">
        <f>SUM(G2670:G2672)</f>
        <v>165928.45186125004</v>
      </c>
      <c r="H2669" s="44">
        <f>G2669*E2654</f>
        <v>0</v>
      </c>
    </row>
    <row r="2670" spans="1:8" ht="12.75" customHeight="1">
      <c r="A2670" s="28"/>
      <c r="B2670" s="29" t="s">
        <v>3713</v>
      </c>
      <c r="C2670" s="30" t="str">
        <f>IFERROR(_xlfn.XLOOKUP(B2670,MObra[DESCRIPCION],MObra[UN],,0),"")</f>
        <v>día</v>
      </c>
      <c r="D2670" s="31">
        <v>1</v>
      </c>
      <c r="E2670" s="32">
        <f>IFERROR(_xlfn.XLOOKUP($B2670,MObra[DESCRIPCION],MObra[VALOR UNIT],,0),"")</f>
        <v>663713.80744500016</v>
      </c>
      <c r="F2670" s="33">
        <v>-4</v>
      </c>
      <c r="G2670" s="34">
        <f>IFERROR(IF(F2670&gt;=0,D2670*E2670*(1+F2670/100),ABS(D2670*E2670/F2670)),"")</f>
        <v>165928.45186125004</v>
      </c>
      <c r="H2670" s="43">
        <f>IFERROR(G2670*E2654,"")</f>
        <v>0</v>
      </c>
    </row>
    <row r="2671" spans="1:8" ht="12.75" customHeight="1">
      <c r="A2671" s="28"/>
      <c r="B2671" s="29"/>
      <c r="C2671" s="30" t="str">
        <f t="array" ref="C2671">IFERROR(_xlfn.XLOOKUP(B2671,MObra[[#All],[DESCRIPCION]],MObra[[#All],[UN]],,0),"")</f>
        <v/>
      </c>
      <c r="D2671" s="31"/>
      <c r="E2671" s="32" t="str">
        <f>IFERROR(_xlfn.XLOOKUP($B2671,MObra[DESCRIPCION],MObra[VALOR UNIT],,0),"")</f>
        <v/>
      </c>
      <c r="F2671" s="33"/>
      <c r="G2671" s="34" t="str">
        <f>IFERROR(IF(F2671&gt;=0,D2671*E2671*(1+F2671/100),ABS(D2671*E2671/F2671)),"")</f>
        <v/>
      </c>
      <c r="H2671" s="43" t="str">
        <f>IFERROR(G2671*E2654,"")</f>
        <v/>
      </c>
    </row>
    <row r="2672" spans="1:8" ht="12.75" customHeight="1" thickBot="1">
      <c r="A2672" s="35"/>
      <c r="B2672" s="36"/>
      <c r="C2672" s="37" t="str">
        <f t="array" ref="C2672">IFERROR(_xlfn.XLOOKUP(B2672,MObra[[#All],[DESCRIPCION]],MObra[[#All],[UN]],,0),"")</f>
        <v/>
      </c>
      <c r="D2672" s="38"/>
      <c r="E2672" s="39" t="str">
        <f>IFERROR(_xlfn.XLOOKUP($B2672,MObra[DESCRIPCION],MObra[VALOR UNIT],,0),"")</f>
        <v/>
      </c>
      <c r="F2672" s="40"/>
      <c r="G2672" s="41" t="str">
        <f>IFERROR(IF(F2672&gt;=0,D2672*E2672*(1+F2672/100),ABS(D2672*E2672/F2672)),"")</f>
        <v/>
      </c>
      <c r="H2672" s="42" t="str">
        <f>IFERROR(G2672*E2654,"")</f>
        <v/>
      </c>
    </row>
    <row r="2673" spans="1:11" ht="12.75" customHeight="1" thickTop="1" thickBot="1"/>
    <row r="2674" spans="1:11" ht="12.75" customHeight="1" thickTop="1" thickBot="1">
      <c r="A2674" s="6" t="s">
        <v>567</v>
      </c>
      <c r="B2674" s="7" t="str">
        <f>VLOOKUP($A2674,Presupuesto!$A:$D,2,FALSE())</f>
        <v>Viga cimentación concreto 24.1 Mpa (1000 cm2 &lt;área sección transversal &lt;= 2000 cm2)</v>
      </c>
      <c r="C2674" s="8" t="str">
        <f>VLOOKUP($A2674,Presupuesto!$A:$D,3,FALSE())</f>
        <v>M3</v>
      </c>
      <c r="D2674" s="9"/>
      <c r="E2674" s="10">
        <f>VLOOKUP($A2674,Presupuesto!$A:$D,4,FALSE())</f>
        <v>0</v>
      </c>
      <c r="F2674" s="11" t="s">
        <v>2589</v>
      </c>
      <c r="G2674" s="12">
        <f>SUM(G2676:G2692)/2</f>
        <v>894177.03847001994</v>
      </c>
      <c r="H2674" s="13">
        <f>ROUND(SUM(H2676:H2692),0)/2</f>
        <v>0</v>
      </c>
      <c r="I2674" s="10">
        <f>VLOOKUP(A2674,Presupuesto!$A:$F,6,0)</f>
        <v>0</v>
      </c>
      <c r="J2674" s="10">
        <f>+H2674-I2674</f>
        <v>0</v>
      </c>
      <c r="K2674" s="46">
        <f>+H2674-G2674*E2674</f>
        <v>0</v>
      </c>
    </row>
    <row r="2675" spans="1:11" ht="12.75" customHeight="1" thickTop="1">
      <c r="A2675" s="14"/>
      <c r="B2675" s="15" t="s">
        <v>2586</v>
      </c>
      <c r="C2675" s="15" t="s">
        <v>5</v>
      </c>
      <c r="D2675" s="16" t="s">
        <v>6</v>
      </c>
      <c r="E2675" s="17" t="s">
        <v>7</v>
      </c>
      <c r="F2675" s="18" t="s">
        <v>3728</v>
      </c>
      <c r="G2675" s="19" t="s">
        <v>3729</v>
      </c>
      <c r="H2675" s="20" t="s">
        <v>3797</v>
      </c>
    </row>
    <row r="2676" spans="1:11" ht="12.75" customHeight="1">
      <c r="A2676" s="21"/>
      <c r="B2676" s="22" t="s">
        <v>3730</v>
      </c>
      <c r="C2676" s="23"/>
      <c r="D2676" s="24"/>
      <c r="E2676" s="25"/>
      <c r="F2676" s="26"/>
      <c r="G2676" s="27">
        <f>SUM(G2677:G2681)</f>
        <v>694473.47594125743</v>
      </c>
      <c r="H2676" s="27">
        <f>IFERROR(G2676*E2674,"")</f>
        <v>0</v>
      </c>
    </row>
    <row r="2677" spans="1:11" ht="12.75" customHeight="1">
      <c r="A2677" s="28"/>
      <c r="B2677" s="29" t="s">
        <v>3240</v>
      </c>
      <c r="C2677" s="30" t="str">
        <f>IFERROR(_xlfn.XLOOKUP(B2677,Insumo[DESCRIPCION],Insumo[UND],,0),"")</f>
        <v>M3</v>
      </c>
      <c r="D2677" s="31">
        <v>1</v>
      </c>
      <c r="E2677" s="32">
        <f>IFERROR(_xlfn.XLOOKUP($B2677,Insumo[DESCRIPCION],Insumo[VALOR],,0),"")</f>
        <v>539790.3034961326</v>
      </c>
      <c r="F2677" s="33">
        <v>5</v>
      </c>
      <c r="G2677" s="34">
        <f>IFERROR(IF(F2677&gt;=0,D2677*E2677*(1+F2677/100),ABS(D2677*E2677/F2677)),"")</f>
        <v>566779.8186709393</v>
      </c>
      <c r="H2677" s="43">
        <f>IFERROR(G2677*E2674,"")</f>
        <v>0</v>
      </c>
    </row>
    <row r="2678" spans="1:11" ht="12.75" customHeight="1">
      <c r="A2678" s="28"/>
      <c r="B2678" s="29" t="s">
        <v>2954</v>
      </c>
      <c r="C2678" s="30" t="str">
        <f>IFERROR(_xlfn.XLOOKUP(B2678,Insumo[DESCRIPCION],Insumo[UND],,0),"")</f>
        <v>M2</v>
      </c>
      <c r="D2678" s="31">
        <v>5</v>
      </c>
      <c r="E2678" s="32">
        <f>IFERROR(_xlfn.XLOOKUP($B2678,Insumo[DESCRIPCION],Insumo[VALOR],,0),"")</f>
        <v>102154.92581625449</v>
      </c>
      <c r="F2678" s="33">
        <v>-4</v>
      </c>
      <c r="G2678" s="34">
        <f>IFERROR(IF(F2678&gt;=0,D2678*E2678*(1+F2678/100),ABS(D2678*E2678/F2678)),"")</f>
        <v>127693.6572703181</v>
      </c>
      <c r="H2678" s="43">
        <f>IFERROR(G2678*E2674,"")</f>
        <v>0</v>
      </c>
    </row>
    <row r="2679" spans="1:11" ht="12.75" customHeight="1">
      <c r="A2679" s="28"/>
      <c r="B2679" s="29"/>
      <c r="C2679" s="30" t="str">
        <f>IFERROR(_xlfn.XLOOKUP(B2679,Insumo[DESCRIPCION],Insumo[UND],,0),"")</f>
        <v/>
      </c>
      <c r="D2679" s="31"/>
      <c r="E2679" s="32" t="str">
        <f>IFERROR(_xlfn.XLOOKUP($B2679,Insumo[DESCRIPCION],Insumo[VALOR],,0),"")</f>
        <v/>
      </c>
      <c r="F2679" s="33"/>
      <c r="G2679" s="34" t="str">
        <f>IFERROR(IF(F2679&gt;=0,D2679*E2679*(1+F2679/100),ABS(D2679*E2679/F2679)),"")</f>
        <v/>
      </c>
      <c r="H2679" s="43" t="str">
        <f>IFERROR(G2679*E2674,"")</f>
        <v/>
      </c>
    </row>
    <row r="2680" spans="1:11" ht="12.75" customHeight="1">
      <c r="A2680" s="28"/>
      <c r="B2680" s="29"/>
      <c r="C2680" s="30" t="str">
        <f>IFERROR(_xlfn.XLOOKUP(B2680,Insumo[DESCRIPCION],Insumo[UND],,0),"")</f>
        <v/>
      </c>
      <c r="D2680" s="31"/>
      <c r="E2680" s="32" t="str">
        <f>IFERROR(_xlfn.XLOOKUP($B2680,Insumo[DESCRIPCION],Insumo[VALOR],,0),"")</f>
        <v/>
      </c>
      <c r="F2680" s="33"/>
      <c r="G2680" s="34" t="str">
        <f>IFERROR(IF(F2680&gt;=0,D2680*E2680*(1+F2680/100),ABS(D2680*E2680/F2680)),"")</f>
        <v/>
      </c>
      <c r="H2680" s="43" t="str">
        <f>IFERROR(G2680*E2674,"")</f>
        <v/>
      </c>
    </row>
    <row r="2681" spans="1:11" ht="12.75" customHeight="1">
      <c r="A2681" s="28"/>
      <c r="B2681" s="29"/>
      <c r="C2681" s="30" t="str">
        <f>IFERROR(_xlfn.XLOOKUP(B2681,Insumo[DESCRIPCION],Insumo[UND],,0),"")</f>
        <v/>
      </c>
      <c r="D2681" s="31"/>
      <c r="E2681" s="32" t="str">
        <f>IFERROR(_xlfn.XLOOKUP($B2681,Insumo[DESCRIPCION],Insumo[VALOR],,0),"")</f>
        <v/>
      </c>
      <c r="F2681" s="33"/>
      <c r="G2681" s="34" t="str">
        <f>IFERROR(IF(F2681&gt;=0,D2681*E2681*(1+F2681/100),ABS(D2681*E2681/F2681)),"")</f>
        <v/>
      </c>
      <c r="H2681" s="43" t="str">
        <f>IFERROR(G2681*E2674,"")</f>
        <v/>
      </c>
    </row>
    <row r="2682" spans="1:11" ht="12.75" customHeight="1">
      <c r="A2682" s="21"/>
      <c r="B2682" s="22" t="s">
        <v>3731</v>
      </c>
      <c r="C2682" s="23"/>
      <c r="D2682" s="24"/>
      <c r="E2682" s="25"/>
      <c r="F2682" s="26"/>
      <c r="G2682" s="27">
        <f>SUM(G2683:G2685)</f>
        <v>33775.110667512505</v>
      </c>
      <c r="H2682" s="44">
        <f>G2682*E2674</f>
        <v>0</v>
      </c>
    </row>
    <row r="2683" spans="1:11" ht="12.75" customHeight="1">
      <c r="A2683" s="28"/>
      <c r="B2683" s="29" t="s">
        <v>3657</v>
      </c>
      <c r="C2683" s="30" t="str">
        <f>IFERROR(_xlfn.XLOOKUP(B2683,Equipo[DESCRIPCION],Equipo[UND],,0),"")</f>
        <v>Día</v>
      </c>
      <c r="D2683" s="31">
        <v>1</v>
      </c>
      <c r="E2683" s="32">
        <f>IF(C2683="%MO",G2689,IFERROR(_xlfn.XLOOKUP($B2683,Equipo[DESCRIPCION],Equipo[VALOR],,0),""))</f>
        <v>56524.65</v>
      </c>
      <c r="F2683" s="33">
        <v>-3</v>
      </c>
      <c r="G2683" s="34">
        <f>IFERROR(IF(F2683&gt;=0,D2683*E2683*(1+F2683/100),ABS(D2683*E2683/F2683)),"")</f>
        <v>18841.55</v>
      </c>
      <c r="H2683" s="43">
        <f>IFERROR(G2683*E2674,"")</f>
        <v>0</v>
      </c>
    </row>
    <row r="2684" spans="1:11" ht="12.75" customHeight="1">
      <c r="A2684" s="28"/>
      <c r="B2684" s="29" t="s">
        <v>3570</v>
      </c>
      <c r="C2684" s="30" t="str">
        <f>IFERROR(_xlfn.XLOOKUP(B2684,Equipo[DESCRIPCION],Equipo[UND],,0),"")</f>
        <v>%MO</v>
      </c>
      <c r="D2684" s="31">
        <v>0.04</v>
      </c>
      <c r="E2684" s="32">
        <f>IF(C2684="%MO",G2689,IFERROR(_xlfn.XLOOKUP($B2684,Equipo[DESCRIPCION],Equipo[VALOR],,0),""))</f>
        <v>165928.45186125004</v>
      </c>
      <c r="F2684" s="33"/>
      <c r="G2684" s="34">
        <f>IFERROR(IF(F2684&gt;=0,D2684*E2684*(1+F2684/100),ABS(D2684*E2684/F2684)),"")</f>
        <v>6637.138074450002</v>
      </c>
      <c r="H2684" s="43">
        <f>IFERROR(G2684*E2674,"")</f>
        <v>0</v>
      </c>
    </row>
    <row r="2685" spans="1:11" ht="12.75" customHeight="1">
      <c r="A2685" s="28"/>
      <c r="B2685" s="29" t="s">
        <v>3626</v>
      </c>
      <c r="C2685" s="30" t="str">
        <f>IFERROR(_xlfn.XLOOKUP(B2685,Equipo[DESCRIPCION],Equipo[UND],,0),"")</f>
        <v>%MO</v>
      </c>
      <c r="D2685" s="31">
        <v>0.05</v>
      </c>
      <c r="E2685" s="32">
        <f>IF(C2685="%MO",G2689,IFERROR(_xlfn.XLOOKUP($B2685,Equipo[DESCRIPCION],Equipo[VALOR],,0),""))</f>
        <v>165928.45186125004</v>
      </c>
      <c r="F2685" s="33"/>
      <c r="G2685" s="34">
        <f>IFERROR(IF(F2685&gt;=0,D2685*E2685*(1+F2685/100),ABS(D2685*E2685/F2685)),"")</f>
        <v>8296.4225930625016</v>
      </c>
      <c r="H2685" s="43">
        <f>IFERROR(G2685*E2674,"")</f>
        <v>0</v>
      </c>
    </row>
    <row r="2686" spans="1:11" ht="12.75" customHeight="1">
      <c r="A2686" s="21"/>
      <c r="B2686" s="22" t="s">
        <v>2533</v>
      </c>
      <c r="C2686" s="23"/>
      <c r="D2686" s="24"/>
      <c r="E2686" s="25"/>
      <c r="F2686" s="26"/>
      <c r="G2686" s="27">
        <f>SUM(G2687:G2688)</f>
        <v>0</v>
      </c>
      <c r="H2686" s="44">
        <f>G2686*E2674</f>
        <v>0</v>
      </c>
    </row>
    <row r="2687" spans="1:11" ht="12.75" customHeight="1">
      <c r="A2687" s="28"/>
      <c r="B2687" s="29"/>
      <c r="C2687" s="30" t="str">
        <f>IFERROR(_xlfn.XLOOKUP(B2687,Transporte[DESCRIPCION],Transporte[UND],,0),"")</f>
        <v/>
      </c>
      <c r="D2687" s="31"/>
      <c r="E2687" s="32" t="str">
        <f>IFERROR(_xlfn.XLOOKUP($B2687,Transporte[DESCRIPCION],Transporte[VALOR],,0),"")</f>
        <v/>
      </c>
      <c r="F2687" s="33"/>
      <c r="G2687" s="34" t="str">
        <f>IFERROR(IF(F2687&gt;=0,D2687*E2687*(1+F2687/100),ABS(D2687*E2687/F2687)),"")</f>
        <v/>
      </c>
      <c r="H2687" s="43" t="str">
        <f>IFERROR(G2687*E2674,"")</f>
        <v/>
      </c>
    </row>
    <row r="2688" spans="1:11" ht="12.75" customHeight="1">
      <c r="A2688" s="28"/>
      <c r="B2688" s="29"/>
      <c r="C2688" s="30" t="str">
        <f>IFERROR(_xlfn.XLOOKUP(B2688,Transporte[DESCRIPCION],Transporte[UND],,0),"")</f>
        <v/>
      </c>
      <c r="D2688" s="31"/>
      <c r="E2688" s="32" t="str">
        <f>IFERROR(_xlfn.XLOOKUP($B2688,Transporte[DESCRIPCION],Transporte[VALOR],,0),"")</f>
        <v/>
      </c>
      <c r="F2688" s="33"/>
      <c r="G2688" s="34" t="str">
        <f>IFERROR(IF(F2688&gt;=0,D2688*E2688*(1+F2688/100),ABS(D2688*E2688/F2688)),"")</f>
        <v/>
      </c>
      <c r="H2688" s="43" t="str">
        <f>IFERROR(G2688*E2674,"")</f>
        <v/>
      </c>
    </row>
    <row r="2689" spans="1:11" ht="12.75" customHeight="1">
      <c r="A2689" s="21"/>
      <c r="B2689" s="22" t="s">
        <v>3732</v>
      </c>
      <c r="C2689" s="23"/>
      <c r="D2689" s="24"/>
      <c r="E2689" s="25"/>
      <c r="F2689" s="26"/>
      <c r="G2689" s="27">
        <f>SUM(G2690:G2692)</f>
        <v>165928.45186125004</v>
      </c>
      <c r="H2689" s="44">
        <f>G2689*E2674</f>
        <v>0</v>
      </c>
    </row>
    <row r="2690" spans="1:11" ht="12.75" customHeight="1">
      <c r="A2690" s="28"/>
      <c r="B2690" s="29" t="s">
        <v>3713</v>
      </c>
      <c r="C2690" s="30" t="str">
        <f>IFERROR(_xlfn.XLOOKUP(B2690,MObra[DESCRIPCION],MObra[UN],,0),"")</f>
        <v>día</v>
      </c>
      <c r="D2690" s="31">
        <v>1</v>
      </c>
      <c r="E2690" s="32">
        <f>IFERROR(_xlfn.XLOOKUP($B2690,MObra[DESCRIPCION],MObra[VALOR UNIT],,0),"")</f>
        <v>663713.80744500016</v>
      </c>
      <c r="F2690" s="33">
        <v>-4</v>
      </c>
      <c r="G2690" s="34">
        <f>IFERROR(IF(F2690&gt;=0,D2690*E2690*(1+F2690/100),ABS(D2690*E2690/F2690)),"")</f>
        <v>165928.45186125004</v>
      </c>
      <c r="H2690" s="43">
        <f>IFERROR(G2690*E2674,"")</f>
        <v>0</v>
      </c>
    </row>
    <row r="2691" spans="1:11" ht="12.75" customHeight="1">
      <c r="A2691" s="28"/>
      <c r="B2691" s="29"/>
      <c r="C2691" s="30" t="str">
        <f t="array" ref="C2691">IFERROR(_xlfn.XLOOKUP(B2691,MObra[[#All],[DESCRIPCION]],MObra[[#All],[UN]],,0),"")</f>
        <v/>
      </c>
      <c r="D2691" s="31"/>
      <c r="E2691" s="32" t="str">
        <f>IFERROR(_xlfn.XLOOKUP($B2691,MObra[DESCRIPCION],MObra[VALOR UNIT],,0),"")</f>
        <v/>
      </c>
      <c r="F2691" s="33"/>
      <c r="G2691" s="34" t="str">
        <f>IFERROR(IF(F2691&gt;=0,D2691*E2691*(1+F2691/100),ABS(D2691*E2691/F2691)),"")</f>
        <v/>
      </c>
      <c r="H2691" s="43" t="str">
        <f>IFERROR(G2691*E2674,"")</f>
        <v/>
      </c>
    </row>
    <row r="2692" spans="1:11" ht="12.75" customHeight="1" thickBot="1">
      <c r="A2692" s="35"/>
      <c r="B2692" s="36"/>
      <c r="C2692" s="37" t="str">
        <f t="array" ref="C2692">IFERROR(_xlfn.XLOOKUP(B2692,MObra[[#All],[DESCRIPCION]],MObra[[#All],[UN]],,0),"")</f>
        <v/>
      </c>
      <c r="D2692" s="38"/>
      <c r="E2692" s="39" t="str">
        <f>IFERROR(_xlfn.XLOOKUP($B2692,MObra[DESCRIPCION],MObra[VALOR UNIT],,0),"")</f>
        <v/>
      </c>
      <c r="F2692" s="40"/>
      <c r="G2692" s="41" t="str">
        <f>IFERROR(IF(F2692&gt;=0,D2692*E2692*(1+F2692/100),ABS(D2692*E2692/F2692)),"")</f>
        <v/>
      </c>
      <c r="H2692" s="42" t="str">
        <f>IFERROR(G2692*E2674,"")</f>
        <v/>
      </c>
    </row>
    <row r="2693" spans="1:11" ht="12.75" customHeight="1" thickTop="1" thickBot="1"/>
    <row r="2694" spans="1:11" ht="12.75" customHeight="1" thickTop="1" thickBot="1">
      <c r="A2694" s="6" t="s">
        <v>569</v>
      </c>
      <c r="B2694" s="7" t="str">
        <f>VLOOKUP($A2694,Presupuesto!$A:$D,2,FALSE())</f>
        <v>Viga cimentación concreto 24.1 Mpa (área sección transversal &gt; 2000 cm2)</v>
      </c>
      <c r="C2694" s="8" t="str">
        <f>VLOOKUP($A2694,Presupuesto!$A:$D,3,FALSE())</f>
        <v>M3</v>
      </c>
      <c r="D2694" s="9"/>
      <c r="E2694" s="10">
        <f>VLOOKUP($A2694,Presupuesto!$A:$D,4,FALSE())</f>
        <v>0</v>
      </c>
      <c r="F2694" s="11" t="s">
        <v>2589</v>
      </c>
      <c r="G2694" s="12">
        <f>SUM(G2696:G2712)/2</f>
        <v>868638.30701595626</v>
      </c>
      <c r="H2694" s="13">
        <f>ROUND(SUM(H2696:H2712),0)/2</f>
        <v>0</v>
      </c>
      <c r="I2694" s="10">
        <f>VLOOKUP(A2694,Presupuesto!$A:$F,6,0)</f>
        <v>0</v>
      </c>
      <c r="J2694" s="10">
        <f>+H2694-I2694</f>
        <v>0</v>
      </c>
      <c r="K2694" s="46">
        <f>+H2694-G2694*E2694</f>
        <v>0</v>
      </c>
    </row>
    <row r="2695" spans="1:11" ht="12.75" customHeight="1" thickTop="1">
      <c r="A2695" s="14"/>
      <c r="B2695" s="15" t="s">
        <v>2586</v>
      </c>
      <c r="C2695" s="15" t="s">
        <v>5</v>
      </c>
      <c r="D2695" s="16" t="s">
        <v>6</v>
      </c>
      <c r="E2695" s="17" t="s">
        <v>7</v>
      </c>
      <c r="F2695" s="18" t="s">
        <v>3728</v>
      </c>
      <c r="G2695" s="19" t="s">
        <v>3729</v>
      </c>
      <c r="H2695" s="20" t="s">
        <v>3797</v>
      </c>
    </row>
    <row r="2696" spans="1:11" ht="12.75" customHeight="1">
      <c r="A2696" s="21"/>
      <c r="B2696" s="22" t="s">
        <v>3730</v>
      </c>
      <c r="C2696" s="23"/>
      <c r="D2696" s="24"/>
      <c r="E2696" s="25"/>
      <c r="F2696" s="26"/>
      <c r="G2696" s="27">
        <f>SUM(G2697:G2701)</f>
        <v>668934.74448719376</v>
      </c>
      <c r="H2696" s="27">
        <f>IFERROR(G2696*E2694,"")</f>
        <v>0</v>
      </c>
    </row>
    <row r="2697" spans="1:11" ht="12.75" customHeight="1">
      <c r="A2697" s="28"/>
      <c r="B2697" s="29" t="s">
        <v>3240</v>
      </c>
      <c r="C2697" s="30" t="str">
        <f>IFERROR(_xlfn.XLOOKUP(B2697,Insumo[DESCRIPCION],Insumo[UND],,0),"")</f>
        <v>M3</v>
      </c>
      <c r="D2697" s="31">
        <v>1</v>
      </c>
      <c r="E2697" s="32">
        <f>IFERROR(_xlfn.XLOOKUP($B2697,Insumo[DESCRIPCION],Insumo[VALOR],,0),"")</f>
        <v>539790.3034961326</v>
      </c>
      <c r="F2697" s="33">
        <v>5</v>
      </c>
      <c r="G2697" s="34">
        <f>IFERROR(IF(F2697&gt;=0,D2697*E2697*(1+F2697/100),ABS(D2697*E2697/F2697)),"")</f>
        <v>566779.8186709393</v>
      </c>
      <c r="H2697" s="43">
        <f>IFERROR(G2697*E2694,"")</f>
        <v>0</v>
      </c>
    </row>
    <row r="2698" spans="1:11" ht="12.75" customHeight="1">
      <c r="A2698" s="28"/>
      <c r="B2698" s="29" t="s">
        <v>2954</v>
      </c>
      <c r="C2698" s="30" t="str">
        <f>IFERROR(_xlfn.XLOOKUP(B2698,Insumo[DESCRIPCION],Insumo[UND],,0),"")</f>
        <v>M2</v>
      </c>
      <c r="D2698" s="31">
        <v>4</v>
      </c>
      <c r="E2698" s="32">
        <f>IFERROR(_xlfn.XLOOKUP($B2698,Insumo[DESCRIPCION],Insumo[VALOR],,0),"")</f>
        <v>102154.92581625449</v>
      </c>
      <c r="F2698" s="33">
        <v>-4</v>
      </c>
      <c r="G2698" s="34">
        <f>IFERROR(IF(F2698&gt;=0,D2698*E2698*(1+F2698/100),ABS(D2698*E2698/F2698)),"")</f>
        <v>102154.92581625449</v>
      </c>
      <c r="H2698" s="43">
        <f>IFERROR(G2698*E2694,"")</f>
        <v>0</v>
      </c>
    </row>
    <row r="2699" spans="1:11" ht="12.75" customHeight="1">
      <c r="A2699" s="28"/>
      <c r="B2699" s="29"/>
      <c r="C2699" s="30" t="str">
        <f>IFERROR(_xlfn.XLOOKUP(B2699,Insumo[DESCRIPCION],Insumo[UND],,0),"")</f>
        <v/>
      </c>
      <c r="D2699" s="31"/>
      <c r="E2699" s="32" t="str">
        <f>IFERROR(_xlfn.XLOOKUP($B2699,Insumo[DESCRIPCION],Insumo[VALOR],,0),"")</f>
        <v/>
      </c>
      <c r="F2699" s="33"/>
      <c r="G2699" s="34" t="str">
        <f>IFERROR(IF(F2699&gt;=0,D2699*E2699*(1+F2699/100),ABS(D2699*E2699/F2699)),"")</f>
        <v/>
      </c>
      <c r="H2699" s="43" t="str">
        <f>IFERROR(G2699*E2694,"")</f>
        <v/>
      </c>
    </row>
    <row r="2700" spans="1:11" ht="12.75" customHeight="1">
      <c r="A2700" s="28"/>
      <c r="B2700" s="29"/>
      <c r="C2700" s="30" t="str">
        <f>IFERROR(_xlfn.XLOOKUP(B2700,Insumo[DESCRIPCION],Insumo[UND],,0),"")</f>
        <v/>
      </c>
      <c r="D2700" s="31"/>
      <c r="E2700" s="32" t="str">
        <f>IFERROR(_xlfn.XLOOKUP($B2700,Insumo[DESCRIPCION],Insumo[VALOR],,0),"")</f>
        <v/>
      </c>
      <c r="F2700" s="33"/>
      <c r="G2700" s="34" t="str">
        <f>IFERROR(IF(F2700&gt;=0,D2700*E2700*(1+F2700/100),ABS(D2700*E2700/F2700)),"")</f>
        <v/>
      </c>
      <c r="H2700" s="43" t="str">
        <f>IFERROR(G2700*E2694,"")</f>
        <v/>
      </c>
    </row>
    <row r="2701" spans="1:11" ht="12.75" customHeight="1">
      <c r="A2701" s="28"/>
      <c r="B2701" s="29"/>
      <c r="C2701" s="30" t="str">
        <f>IFERROR(_xlfn.XLOOKUP(B2701,Insumo[DESCRIPCION],Insumo[UND],,0),"")</f>
        <v/>
      </c>
      <c r="D2701" s="31"/>
      <c r="E2701" s="32" t="str">
        <f>IFERROR(_xlfn.XLOOKUP($B2701,Insumo[DESCRIPCION],Insumo[VALOR],,0),"")</f>
        <v/>
      </c>
      <c r="F2701" s="33"/>
      <c r="G2701" s="34" t="str">
        <f>IFERROR(IF(F2701&gt;=0,D2701*E2701*(1+F2701/100),ABS(D2701*E2701/F2701)),"")</f>
        <v/>
      </c>
      <c r="H2701" s="43" t="str">
        <f>IFERROR(G2701*E2694,"")</f>
        <v/>
      </c>
    </row>
    <row r="2702" spans="1:11" ht="12.75" customHeight="1">
      <c r="A2702" s="21"/>
      <c r="B2702" s="22" t="s">
        <v>3731</v>
      </c>
      <c r="C2702" s="23"/>
      <c r="D2702" s="24"/>
      <c r="E2702" s="25"/>
      <c r="F2702" s="26"/>
      <c r="G2702" s="27">
        <f>SUM(G2703:G2705)</f>
        <v>33775.110667512505</v>
      </c>
      <c r="H2702" s="44">
        <f>G2702*E2694</f>
        <v>0</v>
      </c>
    </row>
    <row r="2703" spans="1:11" ht="12.75" customHeight="1">
      <c r="A2703" s="28"/>
      <c r="B2703" s="29" t="s">
        <v>3657</v>
      </c>
      <c r="C2703" s="30" t="str">
        <f>IFERROR(_xlfn.XLOOKUP(B2703,Equipo[DESCRIPCION],Equipo[UND],,0),"")</f>
        <v>Día</v>
      </c>
      <c r="D2703" s="31">
        <v>1</v>
      </c>
      <c r="E2703" s="32">
        <f>IF(C2703="%MO",G2709,IFERROR(_xlfn.XLOOKUP($B2703,Equipo[DESCRIPCION],Equipo[VALOR],,0),""))</f>
        <v>56524.65</v>
      </c>
      <c r="F2703" s="33">
        <v>-3</v>
      </c>
      <c r="G2703" s="34">
        <f>IFERROR(IF(F2703&gt;=0,D2703*E2703*(1+F2703/100),ABS(D2703*E2703/F2703)),"")</f>
        <v>18841.55</v>
      </c>
      <c r="H2703" s="43">
        <f>IFERROR(G2703*E2694,"")</f>
        <v>0</v>
      </c>
    </row>
    <row r="2704" spans="1:11" ht="12.75" customHeight="1">
      <c r="A2704" s="28"/>
      <c r="B2704" s="29" t="s">
        <v>3570</v>
      </c>
      <c r="C2704" s="30" t="str">
        <f>IFERROR(_xlfn.XLOOKUP(B2704,Equipo[DESCRIPCION],Equipo[UND],,0),"")</f>
        <v>%MO</v>
      </c>
      <c r="D2704" s="31">
        <v>0.04</v>
      </c>
      <c r="E2704" s="32">
        <f>IF(C2704="%MO",G2709,IFERROR(_xlfn.XLOOKUP($B2704,Equipo[DESCRIPCION],Equipo[VALOR],,0),""))</f>
        <v>165928.45186125004</v>
      </c>
      <c r="F2704" s="33"/>
      <c r="G2704" s="34">
        <f>IFERROR(IF(F2704&gt;=0,D2704*E2704*(1+F2704/100),ABS(D2704*E2704/F2704)),"")</f>
        <v>6637.138074450002</v>
      </c>
      <c r="H2704" s="43">
        <f>IFERROR(G2704*E2694,"")</f>
        <v>0</v>
      </c>
    </row>
    <row r="2705" spans="1:11" ht="12.75" customHeight="1">
      <c r="A2705" s="28"/>
      <c r="B2705" s="29" t="s">
        <v>3626</v>
      </c>
      <c r="C2705" s="30" t="str">
        <f>IFERROR(_xlfn.XLOOKUP(B2705,Equipo[DESCRIPCION],Equipo[UND],,0),"")</f>
        <v>%MO</v>
      </c>
      <c r="D2705" s="31">
        <v>0.05</v>
      </c>
      <c r="E2705" s="32">
        <f>IF(C2705="%MO",G2709,IFERROR(_xlfn.XLOOKUP($B2705,Equipo[DESCRIPCION],Equipo[VALOR],,0),""))</f>
        <v>165928.45186125004</v>
      </c>
      <c r="F2705" s="33"/>
      <c r="G2705" s="34">
        <f>IFERROR(IF(F2705&gt;=0,D2705*E2705*(1+F2705/100),ABS(D2705*E2705/F2705)),"")</f>
        <v>8296.4225930625016</v>
      </c>
      <c r="H2705" s="43">
        <f>IFERROR(G2705*E2694,"")</f>
        <v>0</v>
      </c>
    </row>
    <row r="2706" spans="1:11" ht="12.75" customHeight="1">
      <c r="A2706" s="21"/>
      <c r="B2706" s="22" t="s">
        <v>2533</v>
      </c>
      <c r="C2706" s="23"/>
      <c r="D2706" s="24"/>
      <c r="E2706" s="25"/>
      <c r="F2706" s="26"/>
      <c r="G2706" s="27">
        <f>SUM(G2707:G2708)</f>
        <v>0</v>
      </c>
      <c r="H2706" s="44">
        <f>G2706*E2694</f>
        <v>0</v>
      </c>
    </row>
    <row r="2707" spans="1:11" ht="12.75" customHeight="1">
      <c r="A2707" s="28"/>
      <c r="B2707" s="29"/>
      <c r="C2707" s="30" t="str">
        <f>IFERROR(_xlfn.XLOOKUP(B2707,Transporte[DESCRIPCION],Transporte[UND],,0),"")</f>
        <v/>
      </c>
      <c r="D2707" s="31"/>
      <c r="E2707" s="32" t="str">
        <f>IFERROR(_xlfn.XLOOKUP($B2707,Transporte[DESCRIPCION],Transporte[VALOR],,0),"")</f>
        <v/>
      </c>
      <c r="F2707" s="33"/>
      <c r="G2707" s="34" t="str">
        <f>IFERROR(IF(F2707&gt;=0,D2707*E2707*(1+F2707/100),ABS(D2707*E2707/F2707)),"")</f>
        <v/>
      </c>
      <c r="H2707" s="43" t="str">
        <f>IFERROR(G2707*E2694,"")</f>
        <v/>
      </c>
    </row>
    <row r="2708" spans="1:11" ht="12.75" customHeight="1">
      <c r="A2708" s="28"/>
      <c r="B2708" s="29"/>
      <c r="C2708" s="30" t="str">
        <f>IFERROR(_xlfn.XLOOKUP(B2708,Transporte[DESCRIPCION],Transporte[UND],,0),"")</f>
        <v/>
      </c>
      <c r="D2708" s="31"/>
      <c r="E2708" s="32" t="str">
        <f>IFERROR(_xlfn.XLOOKUP($B2708,Transporte[DESCRIPCION],Transporte[VALOR],,0),"")</f>
        <v/>
      </c>
      <c r="F2708" s="33"/>
      <c r="G2708" s="34" t="str">
        <f>IFERROR(IF(F2708&gt;=0,D2708*E2708*(1+F2708/100),ABS(D2708*E2708/F2708)),"")</f>
        <v/>
      </c>
      <c r="H2708" s="43" t="str">
        <f>IFERROR(G2708*E2694,"")</f>
        <v/>
      </c>
    </row>
    <row r="2709" spans="1:11" ht="12.75" customHeight="1">
      <c r="A2709" s="21"/>
      <c r="B2709" s="22" t="s">
        <v>3732</v>
      </c>
      <c r="C2709" s="23"/>
      <c r="D2709" s="24"/>
      <c r="E2709" s="25"/>
      <c r="F2709" s="26"/>
      <c r="G2709" s="27">
        <f>SUM(G2710:G2712)</f>
        <v>165928.45186125004</v>
      </c>
      <c r="H2709" s="44">
        <f>G2709*E2694</f>
        <v>0</v>
      </c>
    </row>
    <row r="2710" spans="1:11" ht="12.75" customHeight="1">
      <c r="A2710" s="28"/>
      <c r="B2710" s="29" t="s">
        <v>3713</v>
      </c>
      <c r="C2710" s="30" t="str">
        <f>IFERROR(_xlfn.XLOOKUP(B2710,MObra[DESCRIPCION],MObra[UN],,0),"")</f>
        <v>día</v>
      </c>
      <c r="D2710" s="31">
        <v>1</v>
      </c>
      <c r="E2710" s="32">
        <f>IFERROR(_xlfn.XLOOKUP($B2710,MObra[DESCRIPCION],MObra[VALOR UNIT],,0),"")</f>
        <v>663713.80744500016</v>
      </c>
      <c r="F2710" s="33">
        <v>-4</v>
      </c>
      <c r="G2710" s="34">
        <f>IFERROR(IF(F2710&gt;=0,D2710*E2710*(1+F2710/100),ABS(D2710*E2710/F2710)),"")</f>
        <v>165928.45186125004</v>
      </c>
      <c r="H2710" s="43">
        <f>IFERROR(G2710*E2694,"")</f>
        <v>0</v>
      </c>
    </row>
    <row r="2711" spans="1:11" ht="12.75" customHeight="1">
      <c r="A2711" s="28"/>
      <c r="B2711" s="29"/>
      <c r="C2711" s="30" t="str">
        <f t="array" ref="C2711">IFERROR(_xlfn.XLOOKUP(B2711,MObra[[#All],[DESCRIPCION]],MObra[[#All],[UN]],,0),"")</f>
        <v/>
      </c>
      <c r="D2711" s="31"/>
      <c r="E2711" s="32" t="str">
        <f>IFERROR(_xlfn.XLOOKUP($B2711,MObra[DESCRIPCION],MObra[VALOR UNIT],,0),"")</f>
        <v/>
      </c>
      <c r="F2711" s="33"/>
      <c r="G2711" s="34" t="str">
        <f>IFERROR(IF(F2711&gt;=0,D2711*E2711*(1+F2711/100),ABS(D2711*E2711/F2711)),"")</f>
        <v/>
      </c>
      <c r="H2711" s="43" t="str">
        <f>IFERROR(G2711*E2694,"")</f>
        <v/>
      </c>
    </row>
    <row r="2712" spans="1:11" ht="12.75" customHeight="1" thickBot="1">
      <c r="A2712" s="35"/>
      <c r="B2712" s="36"/>
      <c r="C2712" s="37" t="str">
        <f t="array" ref="C2712">IFERROR(_xlfn.XLOOKUP(B2712,MObra[[#All],[DESCRIPCION]],MObra[[#All],[UN]],,0),"")</f>
        <v/>
      </c>
      <c r="D2712" s="38"/>
      <c r="E2712" s="39" t="str">
        <f>IFERROR(_xlfn.XLOOKUP($B2712,MObra[DESCRIPCION],MObra[VALOR UNIT],,0),"")</f>
        <v/>
      </c>
      <c r="F2712" s="40"/>
      <c r="G2712" s="41" t="str">
        <f>IFERROR(IF(F2712&gt;=0,D2712*E2712*(1+F2712/100),ABS(D2712*E2712/F2712)),"")</f>
        <v/>
      </c>
      <c r="H2712" s="42" t="str">
        <f>IFERROR(G2712*E2694,"")</f>
        <v/>
      </c>
    </row>
    <row r="2713" spans="1:11" ht="12.75" customHeight="1" thickTop="1" thickBot="1"/>
    <row r="2714" spans="1:11" ht="12.75" customHeight="1" thickTop="1" thickBot="1">
      <c r="A2714" s="6" t="s">
        <v>571</v>
      </c>
      <c r="B2714" s="7" t="str">
        <f>VLOOKUP($A2714,Presupuesto!$A:$D,2,FALSE())</f>
        <v>Viga cimentación concreto 27.6 Mpa (área sección transversal &lt;= 1000 cm2)</v>
      </c>
      <c r="C2714" s="8" t="str">
        <f>VLOOKUP($A2714,Presupuesto!$A:$D,3,FALSE())</f>
        <v>M3</v>
      </c>
      <c r="D2714" s="9"/>
      <c r="E2714" s="10">
        <f>VLOOKUP($A2714,Presupuesto!$A:$D,4,FALSE())</f>
        <v>0</v>
      </c>
      <c r="F2714" s="11" t="s">
        <v>2589</v>
      </c>
      <c r="G2714" s="12">
        <f>SUM(G2716:G2732)/2</f>
        <v>966923.2535105159</v>
      </c>
      <c r="H2714" s="13">
        <f>ROUND(SUM(H2716:H2732),0)/2</f>
        <v>0</v>
      </c>
      <c r="I2714" s="10">
        <f>VLOOKUP(A2714,Presupuesto!$A:$F,6,0)</f>
        <v>0</v>
      </c>
      <c r="J2714" s="10">
        <f>+H2714-I2714</f>
        <v>0</v>
      </c>
      <c r="K2714" s="46">
        <f>+H2714-G2714*E2714</f>
        <v>0</v>
      </c>
    </row>
    <row r="2715" spans="1:11" ht="12.75" customHeight="1" thickTop="1">
      <c r="A2715" s="14"/>
      <c r="B2715" s="15" t="s">
        <v>2586</v>
      </c>
      <c r="C2715" s="15" t="s">
        <v>5</v>
      </c>
      <c r="D2715" s="16" t="s">
        <v>6</v>
      </c>
      <c r="E2715" s="17" t="s">
        <v>7</v>
      </c>
      <c r="F2715" s="18" t="s">
        <v>3728</v>
      </c>
      <c r="G2715" s="19" t="s">
        <v>3729</v>
      </c>
      <c r="H2715" s="20" t="s">
        <v>3797</v>
      </c>
    </row>
    <row r="2716" spans="1:11" ht="12.75" customHeight="1">
      <c r="A2716" s="21"/>
      <c r="B2716" s="22" t="s">
        <v>3730</v>
      </c>
      <c r="C2716" s="23"/>
      <c r="D2716" s="24"/>
      <c r="E2716" s="25"/>
      <c r="F2716" s="26"/>
      <c r="G2716" s="27">
        <f>SUM(G2717:G2721)</f>
        <v>767219.6909817534</v>
      </c>
      <c r="H2716" s="27">
        <f>IFERROR(G2716*E2714,"")</f>
        <v>0</v>
      </c>
    </row>
    <row r="2717" spans="1:11" ht="12.75" customHeight="1">
      <c r="A2717" s="28"/>
      <c r="B2717" s="29" t="s">
        <v>3241</v>
      </c>
      <c r="C2717" s="30" t="str">
        <f>IFERROR(_xlfn.XLOOKUP(B2717,Insumo[DESCRIPCION],Insumo[UND],,0),"")</f>
        <v>M3</v>
      </c>
      <c r="D2717" s="31">
        <v>1</v>
      </c>
      <c r="E2717" s="32">
        <f>IFERROR(_xlfn.XLOOKUP($B2717,Insumo[DESCRIPCION],Insumo[VALOR],,0),"")</f>
        <v>568453.66874585627</v>
      </c>
      <c r="F2717" s="33">
        <v>5</v>
      </c>
      <c r="G2717" s="34">
        <f>IFERROR(IF(F2717&gt;=0,D2717*E2717*(1+F2717/100),ABS(D2717*E2717/F2717)),"")</f>
        <v>596876.35218314908</v>
      </c>
      <c r="H2717" s="43">
        <f>IFERROR(G2717*E2714,"")</f>
        <v>0</v>
      </c>
    </row>
    <row r="2718" spans="1:11" ht="12.75" customHeight="1">
      <c r="A2718" s="28"/>
      <c r="B2718" s="29" t="s">
        <v>2954</v>
      </c>
      <c r="C2718" s="30" t="str">
        <f>IFERROR(_xlfn.XLOOKUP(B2718,Insumo[DESCRIPCION],Insumo[UND],,0),"")</f>
        <v>M2</v>
      </c>
      <c r="D2718" s="31">
        <v>6.67</v>
      </c>
      <c r="E2718" s="32">
        <f>IFERROR(_xlfn.XLOOKUP($B2718,Insumo[DESCRIPCION],Insumo[VALOR],,0),"")</f>
        <v>102154.92581625449</v>
      </c>
      <c r="F2718" s="33">
        <v>-4</v>
      </c>
      <c r="G2718" s="34">
        <f>IFERROR(IF(F2718&gt;=0,D2718*E2718*(1+F2718/100),ABS(D2718*E2718/F2718)),"")</f>
        <v>170343.33879860435</v>
      </c>
      <c r="H2718" s="43">
        <f>IFERROR(G2718*E2714,"")</f>
        <v>0</v>
      </c>
    </row>
    <row r="2719" spans="1:11" ht="12.75" customHeight="1">
      <c r="A2719" s="28"/>
      <c r="B2719" s="29"/>
      <c r="C2719" s="30" t="str">
        <f>IFERROR(_xlfn.XLOOKUP(B2719,Insumo[DESCRIPCION],Insumo[UND],,0),"")</f>
        <v/>
      </c>
      <c r="D2719" s="31"/>
      <c r="E2719" s="32" t="str">
        <f>IFERROR(_xlfn.XLOOKUP($B2719,Insumo[DESCRIPCION],Insumo[VALOR],,0),"")</f>
        <v/>
      </c>
      <c r="F2719" s="33"/>
      <c r="G2719" s="34" t="str">
        <f>IFERROR(IF(F2719&gt;=0,D2719*E2719*(1+F2719/100),ABS(D2719*E2719/F2719)),"")</f>
        <v/>
      </c>
      <c r="H2719" s="43" t="str">
        <f>IFERROR(G2719*E2714,"")</f>
        <v/>
      </c>
    </row>
    <row r="2720" spans="1:11" ht="12.75" customHeight="1">
      <c r="A2720" s="28"/>
      <c r="B2720" s="29"/>
      <c r="C2720" s="30" t="str">
        <f>IFERROR(_xlfn.XLOOKUP(B2720,Insumo[DESCRIPCION],Insumo[UND],,0),"")</f>
        <v/>
      </c>
      <c r="D2720" s="31"/>
      <c r="E2720" s="32" t="str">
        <f>IFERROR(_xlfn.XLOOKUP($B2720,Insumo[DESCRIPCION],Insumo[VALOR],,0),"")</f>
        <v/>
      </c>
      <c r="F2720" s="33"/>
      <c r="G2720" s="34" t="str">
        <f>IFERROR(IF(F2720&gt;=0,D2720*E2720*(1+F2720/100),ABS(D2720*E2720/F2720)),"")</f>
        <v/>
      </c>
      <c r="H2720" s="43" t="str">
        <f>IFERROR(G2720*E2714,"")</f>
        <v/>
      </c>
    </row>
    <row r="2721" spans="1:11" ht="12.75" customHeight="1">
      <c r="A2721" s="28"/>
      <c r="B2721" s="29"/>
      <c r="C2721" s="30" t="str">
        <f>IFERROR(_xlfn.XLOOKUP(B2721,Insumo[DESCRIPCION],Insumo[UND],,0),"")</f>
        <v/>
      </c>
      <c r="D2721" s="31"/>
      <c r="E2721" s="32" t="str">
        <f>IFERROR(_xlfn.XLOOKUP($B2721,Insumo[DESCRIPCION],Insumo[VALOR],,0),"")</f>
        <v/>
      </c>
      <c r="F2721" s="33"/>
      <c r="G2721" s="34" t="str">
        <f>IFERROR(IF(F2721&gt;=0,D2721*E2721*(1+F2721/100),ABS(D2721*E2721/F2721)),"")</f>
        <v/>
      </c>
      <c r="H2721" s="43" t="str">
        <f>IFERROR(G2721*E2714,"")</f>
        <v/>
      </c>
    </row>
    <row r="2722" spans="1:11" ht="12.75" customHeight="1">
      <c r="A2722" s="21"/>
      <c r="B2722" s="22" t="s">
        <v>3731</v>
      </c>
      <c r="C2722" s="23"/>
      <c r="D2722" s="24"/>
      <c r="E2722" s="25"/>
      <c r="F2722" s="26"/>
      <c r="G2722" s="27">
        <f>SUM(G2723:G2725)</f>
        <v>33775.110667512505</v>
      </c>
      <c r="H2722" s="44">
        <f>G2722*E2714</f>
        <v>0</v>
      </c>
    </row>
    <row r="2723" spans="1:11" ht="12.75" customHeight="1">
      <c r="A2723" s="28"/>
      <c r="B2723" s="29" t="s">
        <v>3657</v>
      </c>
      <c r="C2723" s="30" t="str">
        <f>IFERROR(_xlfn.XLOOKUP(B2723,Equipo[DESCRIPCION],Equipo[UND],,0),"")</f>
        <v>Día</v>
      </c>
      <c r="D2723" s="31">
        <v>1</v>
      </c>
      <c r="E2723" s="32">
        <f>IF(C2723="%MO",G2729,IFERROR(_xlfn.XLOOKUP($B2723,Equipo[DESCRIPCION],Equipo[VALOR],,0),""))</f>
        <v>56524.65</v>
      </c>
      <c r="F2723" s="33">
        <v>-3</v>
      </c>
      <c r="G2723" s="34">
        <f>IFERROR(IF(F2723&gt;=0,D2723*E2723*(1+F2723/100),ABS(D2723*E2723/F2723)),"")</f>
        <v>18841.55</v>
      </c>
      <c r="H2723" s="43">
        <f>IFERROR(G2723*E2714,"")</f>
        <v>0</v>
      </c>
    </row>
    <row r="2724" spans="1:11" ht="12.75" customHeight="1">
      <c r="A2724" s="28"/>
      <c r="B2724" s="29" t="s">
        <v>3570</v>
      </c>
      <c r="C2724" s="30" t="str">
        <f>IFERROR(_xlfn.XLOOKUP(B2724,Equipo[DESCRIPCION],Equipo[UND],,0),"")</f>
        <v>%MO</v>
      </c>
      <c r="D2724" s="31">
        <v>0.04</v>
      </c>
      <c r="E2724" s="32">
        <f>IF(C2724="%MO",G2729,IFERROR(_xlfn.XLOOKUP($B2724,Equipo[DESCRIPCION],Equipo[VALOR],,0),""))</f>
        <v>165928.45186125004</v>
      </c>
      <c r="F2724" s="33"/>
      <c r="G2724" s="34">
        <f>IFERROR(IF(F2724&gt;=0,D2724*E2724*(1+F2724/100),ABS(D2724*E2724/F2724)),"")</f>
        <v>6637.138074450002</v>
      </c>
      <c r="H2724" s="43">
        <f>IFERROR(G2724*E2714,"")</f>
        <v>0</v>
      </c>
    </row>
    <row r="2725" spans="1:11" ht="12.75" customHeight="1">
      <c r="A2725" s="28"/>
      <c r="B2725" s="29" t="s">
        <v>3626</v>
      </c>
      <c r="C2725" s="30" t="str">
        <f>IFERROR(_xlfn.XLOOKUP(B2725,Equipo[DESCRIPCION],Equipo[UND],,0),"")</f>
        <v>%MO</v>
      </c>
      <c r="D2725" s="31">
        <v>0.05</v>
      </c>
      <c r="E2725" s="32">
        <f>IF(C2725="%MO",G2729,IFERROR(_xlfn.XLOOKUP($B2725,Equipo[DESCRIPCION],Equipo[VALOR],,0),""))</f>
        <v>165928.45186125004</v>
      </c>
      <c r="F2725" s="33"/>
      <c r="G2725" s="34">
        <f>IFERROR(IF(F2725&gt;=0,D2725*E2725*(1+F2725/100),ABS(D2725*E2725/F2725)),"")</f>
        <v>8296.4225930625016</v>
      </c>
      <c r="H2725" s="43">
        <f>IFERROR(G2725*E2714,"")</f>
        <v>0</v>
      </c>
    </row>
    <row r="2726" spans="1:11" ht="12.75" customHeight="1">
      <c r="A2726" s="21"/>
      <c r="B2726" s="22" t="s">
        <v>2533</v>
      </c>
      <c r="C2726" s="23"/>
      <c r="D2726" s="24"/>
      <c r="E2726" s="25"/>
      <c r="F2726" s="26"/>
      <c r="G2726" s="27">
        <f>SUM(G2727:G2728)</f>
        <v>0</v>
      </c>
      <c r="H2726" s="44">
        <f>G2726*E2714</f>
        <v>0</v>
      </c>
    </row>
    <row r="2727" spans="1:11" ht="12.75" customHeight="1">
      <c r="A2727" s="28"/>
      <c r="B2727" s="29"/>
      <c r="C2727" s="30" t="str">
        <f>IFERROR(_xlfn.XLOOKUP(B2727,Transporte[DESCRIPCION],Transporte[UND],,0),"")</f>
        <v/>
      </c>
      <c r="D2727" s="31"/>
      <c r="E2727" s="32" t="str">
        <f>IFERROR(_xlfn.XLOOKUP($B2727,Transporte[DESCRIPCION],Transporte[VALOR],,0),"")</f>
        <v/>
      </c>
      <c r="F2727" s="33"/>
      <c r="G2727" s="34" t="str">
        <f>IFERROR(IF(F2727&gt;=0,D2727*E2727*(1+F2727/100),ABS(D2727*E2727/F2727)),"")</f>
        <v/>
      </c>
      <c r="H2727" s="43" t="str">
        <f>IFERROR(G2727*E2714,"")</f>
        <v/>
      </c>
    </row>
    <row r="2728" spans="1:11" ht="12.75" customHeight="1">
      <c r="A2728" s="28"/>
      <c r="B2728" s="29"/>
      <c r="C2728" s="30" t="str">
        <f>IFERROR(_xlfn.XLOOKUP(B2728,Transporte[DESCRIPCION],Transporte[UND],,0),"")</f>
        <v/>
      </c>
      <c r="D2728" s="31"/>
      <c r="E2728" s="32" t="str">
        <f>IFERROR(_xlfn.XLOOKUP($B2728,Transporte[DESCRIPCION],Transporte[VALOR],,0),"")</f>
        <v/>
      </c>
      <c r="F2728" s="33"/>
      <c r="G2728" s="34" t="str">
        <f>IFERROR(IF(F2728&gt;=0,D2728*E2728*(1+F2728/100),ABS(D2728*E2728/F2728)),"")</f>
        <v/>
      </c>
      <c r="H2728" s="43" t="str">
        <f>IFERROR(G2728*E2714,"")</f>
        <v/>
      </c>
    </row>
    <row r="2729" spans="1:11" ht="12.75" customHeight="1">
      <c r="A2729" s="21"/>
      <c r="B2729" s="22" t="s">
        <v>3732</v>
      </c>
      <c r="C2729" s="23"/>
      <c r="D2729" s="24"/>
      <c r="E2729" s="25"/>
      <c r="F2729" s="26"/>
      <c r="G2729" s="27">
        <f>SUM(G2730:G2732)</f>
        <v>165928.45186125004</v>
      </c>
      <c r="H2729" s="44">
        <f>G2729*E2714</f>
        <v>0</v>
      </c>
    </row>
    <row r="2730" spans="1:11" ht="12.75" customHeight="1">
      <c r="A2730" s="28"/>
      <c r="B2730" s="29" t="s">
        <v>3713</v>
      </c>
      <c r="C2730" s="30" t="str">
        <f>IFERROR(_xlfn.XLOOKUP(B2730,MObra[DESCRIPCION],MObra[UN],,0),"")</f>
        <v>día</v>
      </c>
      <c r="D2730" s="31">
        <v>1</v>
      </c>
      <c r="E2730" s="32">
        <f>IFERROR(_xlfn.XLOOKUP($B2730,MObra[DESCRIPCION],MObra[VALOR UNIT],,0),"")</f>
        <v>663713.80744500016</v>
      </c>
      <c r="F2730" s="33">
        <v>-4</v>
      </c>
      <c r="G2730" s="34">
        <f>IFERROR(IF(F2730&gt;=0,D2730*E2730*(1+F2730/100),ABS(D2730*E2730/F2730)),"")</f>
        <v>165928.45186125004</v>
      </c>
      <c r="H2730" s="43">
        <f>IFERROR(G2730*E2714,"")</f>
        <v>0</v>
      </c>
    </row>
    <row r="2731" spans="1:11" ht="12.75" customHeight="1">
      <c r="A2731" s="28"/>
      <c r="B2731" s="29"/>
      <c r="C2731" s="30" t="str">
        <f t="array" ref="C2731">IFERROR(_xlfn.XLOOKUP(B2731,MObra[[#All],[DESCRIPCION]],MObra[[#All],[UN]],,0),"")</f>
        <v/>
      </c>
      <c r="D2731" s="31"/>
      <c r="E2731" s="32" t="str">
        <f>IFERROR(_xlfn.XLOOKUP($B2731,MObra[DESCRIPCION],MObra[VALOR UNIT],,0),"")</f>
        <v/>
      </c>
      <c r="F2731" s="33"/>
      <c r="G2731" s="34" t="str">
        <f>IFERROR(IF(F2731&gt;=0,D2731*E2731*(1+F2731/100),ABS(D2731*E2731/F2731)),"")</f>
        <v/>
      </c>
      <c r="H2731" s="43" t="str">
        <f>IFERROR(G2731*E2714,"")</f>
        <v/>
      </c>
    </row>
    <row r="2732" spans="1:11" ht="12.75" customHeight="1" thickBot="1">
      <c r="A2732" s="35"/>
      <c r="B2732" s="36"/>
      <c r="C2732" s="37" t="str">
        <f t="array" ref="C2732">IFERROR(_xlfn.XLOOKUP(B2732,MObra[[#All],[DESCRIPCION]],MObra[[#All],[UN]],,0),"")</f>
        <v/>
      </c>
      <c r="D2732" s="38"/>
      <c r="E2732" s="39" t="str">
        <f>IFERROR(_xlfn.XLOOKUP($B2732,MObra[DESCRIPCION],MObra[VALOR UNIT],,0),"")</f>
        <v/>
      </c>
      <c r="F2732" s="40"/>
      <c r="G2732" s="41" t="str">
        <f>IFERROR(IF(F2732&gt;=0,D2732*E2732*(1+F2732/100),ABS(D2732*E2732/F2732)),"")</f>
        <v/>
      </c>
      <c r="H2732" s="42" t="str">
        <f>IFERROR(G2732*E2714,"")</f>
        <v/>
      </c>
    </row>
    <row r="2733" spans="1:11" ht="12.75" customHeight="1" thickTop="1" thickBot="1"/>
    <row r="2734" spans="1:11" ht="12.75" customHeight="1" thickTop="1" thickBot="1">
      <c r="A2734" s="6" t="s">
        <v>573</v>
      </c>
      <c r="B2734" s="7" t="str">
        <f>VLOOKUP($A2734,Presupuesto!$A:$D,2,FALSE())</f>
        <v>Viga cimentación concreto 27.6 Mpa (1000 cm2 &lt;área sección transversal &lt;= 2000 cm2)</v>
      </c>
      <c r="C2734" s="8" t="str">
        <f>VLOOKUP($A2734,Presupuesto!$A:$D,3,FALSE())</f>
        <v>M3</v>
      </c>
      <c r="D2734" s="9"/>
      <c r="E2734" s="10">
        <f>VLOOKUP($A2734,Presupuesto!$A:$D,4,FALSE())</f>
        <v>0</v>
      </c>
      <c r="F2734" s="11" t="s">
        <v>2589</v>
      </c>
      <c r="G2734" s="12">
        <f>SUM(G2736:G2752)/2</f>
        <v>924273.57198222971</v>
      </c>
      <c r="H2734" s="13">
        <f>ROUND(SUM(H2736:H2752),0)/2</f>
        <v>0</v>
      </c>
      <c r="I2734" s="10">
        <f>VLOOKUP(A2734,Presupuesto!$A:$F,6,0)</f>
        <v>0</v>
      </c>
      <c r="J2734" s="10">
        <f>+H2734-I2734</f>
        <v>0</v>
      </c>
      <c r="K2734" s="46">
        <f>+H2734-G2734*E2734</f>
        <v>0</v>
      </c>
    </row>
    <row r="2735" spans="1:11" ht="12.75" customHeight="1" thickTop="1">
      <c r="A2735" s="14"/>
      <c r="B2735" s="15" t="s">
        <v>2586</v>
      </c>
      <c r="C2735" s="15" t="s">
        <v>5</v>
      </c>
      <c r="D2735" s="16" t="s">
        <v>6</v>
      </c>
      <c r="E2735" s="17" t="s">
        <v>7</v>
      </c>
      <c r="F2735" s="18" t="s">
        <v>3728</v>
      </c>
      <c r="G2735" s="19" t="s">
        <v>3729</v>
      </c>
      <c r="H2735" s="20" t="s">
        <v>3797</v>
      </c>
    </row>
    <row r="2736" spans="1:11" ht="12.75" customHeight="1">
      <c r="A2736" s="21"/>
      <c r="B2736" s="22" t="s">
        <v>3730</v>
      </c>
      <c r="C2736" s="23"/>
      <c r="D2736" s="24"/>
      <c r="E2736" s="25"/>
      <c r="F2736" s="26"/>
      <c r="G2736" s="27">
        <f>SUM(G2737:G2741)</f>
        <v>724570.00945346721</v>
      </c>
      <c r="H2736" s="27">
        <f>IFERROR(G2736*E2734,"")</f>
        <v>0</v>
      </c>
    </row>
    <row r="2737" spans="1:8" ht="12.75" customHeight="1">
      <c r="A2737" s="28"/>
      <c r="B2737" s="29" t="s">
        <v>3241</v>
      </c>
      <c r="C2737" s="30" t="str">
        <f>IFERROR(_xlfn.XLOOKUP(B2737,Insumo[DESCRIPCION],Insumo[UND],,0),"")</f>
        <v>M3</v>
      </c>
      <c r="D2737" s="31">
        <v>1</v>
      </c>
      <c r="E2737" s="32">
        <f>IFERROR(_xlfn.XLOOKUP($B2737,Insumo[DESCRIPCION],Insumo[VALOR],,0),"")</f>
        <v>568453.66874585627</v>
      </c>
      <c r="F2737" s="33">
        <v>5</v>
      </c>
      <c r="G2737" s="34">
        <f>IFERROR(IF(F2737&gt;=0,D2737*E2737*(1+F2737/100),ABS(D2737*E2737/F2737)),"")</f>
        <v>596876.35218314908</v>
      </c>
      <c r="H2737" s="43">
        <f>IFERROR(G2737*E2734,"")</f>
        <v>0</v>
      </c>
    </row>
    <row r="2738" spans="1:8" ht="12.75" customHeight="1">
      <c r="A2738" s="28"/>
      <c r="B2738" s="29" t="s">
        <v>2954</v>
      </c>
      <c r="C2738" s="30" t="str">
        <f>IFERROR(_xlfn.XLOOKUP(B2738,Insumo[DESCRIPCION],Insumo[UND],,0),"")</f>
        <v>M2</v>
      </c>
      <c r="D2738" s="31">
        <v>5</v>
      </c>
      <c r="E2738" s="32">
        <f>IFERROR(_xlfn.XLOOKUP($B2738,Insumo[DESCRIPCION],Insumo[VALOR],,0),"")</f>
        <v>102154.92581625449</v>
      </c>
      <c r="F2738" s="33">
        <v>-4</v>
      </c>
      <c r="G2738" s="34">
        <f>IFERROR(IF(F2738&gt;=0,D2738*E2738*(1+F2738/100),ABS(D2738*E2738/F2738)),"")</f>
        <v>127693.6572703181</v>
      </c>
      <c r="H2738" s="43">
        <f>IFERROR(G2738*E2734,"")</f>
        <v>0</v>
      </c>
    </row>
    <row r="2739" spans="1:8" ht="12.75" customHeight="1">
      <c r="A2739" s="28"/>
      <c r="B2739" s="29"/>
      <c r="C2739" s="30" t="str">
        <f>IFERROR(_xlfn.XLOOKUP(B2739,Insumo[DESCRIPCION],Insumo[UND],,0),"")</f>
        <v/>
      </c>
      <c r="D2739" s="31"/>
      <c r="E2739" s="32" t="str">
        <f>IFERROR(_xlfn.XLOOKUP($B2739,Insumo[DESCRIPCION],Insumo[VALOR],,0),"")</f>
        <v/>
      </c>
      <c r="F2739" s="33"/>
      <c r="G2739" s="34" t="str">
        <f>IFERROR(IF(F2739&gt;=0,D2739*E2739*(1+F2739/100),ABS(D2739*E2739/F2739)),"")</f>
        <v/>
      </c>
      <c r="H2739" s="43" t="str">
        <f>IFERROR(G2739*E2734,"")</f>
        <v/>
      </c>
    </row>
    <row r="2740" spans="1:8" ht="12.75" customHeight="1">
      <c r="A2740" s="28"/>
      <c r="B2740" s="29"/>
      <c r="C2740" s="30" t="str">
        <f>IFERROR(_xlfn.XLOOKUP(B2740,Insumo[DESCRIPCION],Insumo[UND],,0),"")</f>
        <v/>
      </c>
      <c r="D2740" s="31"/>
      <c r="E2740" s="32" t="str">
        <f>IFERROR(_xlfn.XLOOKUP($B2740,Insumo[DESCRIPCION],Insumo[VALOR],,0),"")</f>
        <v/>
      </c>
      <c r="F2740" s="33"/>
      <c r="G2740" s="34" t="str">
        <f>IFERROR(IF(F2740&gt;=0,D2740*E2740*(1+F2740/100),ABS(D2740*E2740/F2740)),"")</f>
        <v/>
      </c>
      <c r="H2740" s="43" t="str">
        <f>IFERROR(G2740*E2734,"")</f>
        <v/>
      </c>
    </row>
    <row r="2741" spans="1:8" ht="12.75" customHeight="1">
      <c r="A2741" s="28"/>
      <c r="B2741" s="29"/>
      <c r="C2741" s="30" t="str">
        <f>IFERROR(_xlfn.XLOOKUP(B2741,Insumo[DESCRIPCION],Insumo[UND],,0),"")</f>
        <v/>
      </c>
      <c r="D2741" s="31"/>
      <c r="E2741" s="32" t="str">
        <f>IFERROR(_xlfn.XLOOKUP($B2741,Insumo[DESCRIPCION],Insumo[VALOR],,0),"")</f>
        <v/>
      </c>
      <c r="F2741" s="33"/>
      <c r="G2741" s="34" t="str">
        <f>IFERROR(IF(F2741&gt;=0,D2741*E2741*(1+F2741/100),ABS(D2741*E2741/F2741)),"")</f>
        <v/>
      </c>
      <c r="H2741" s="43" t="str">
        <f>IFERROR(G2741*E2734,"")</f>
        <v/>
      </c>
    </row>
    <row r="2742" spans="1:8" ht="12.75" customHeight="1">
      <c r="A2742" s="21"/>
      <c r="B2742" s="22" t="s">
        <v>3731</v>
      </c>
      <c r="C2742" s="23"/>
      <c r="D2742" s="24"/>
      <c r="E2742" s="25"/>
      <c r="F2742" s="26"/>
      <c r="G2742" s="27">
        <f>SUM(G2743:G2745)</f>
        <v>33775.110667512505</v>
      </c>
      <c r="H2742" s="44">
        <f>G2742*E2734</f>
        <v>0</v>
      </c>
    </row>
    <row r="2743" spans="1:8" ht="12.75" customHeight="1">
      <c r="A2743" s="28"/>
      <c r="B2743" s="29" t="s">
        <v>3657</v>
      </c>
      <c r="C2743" s="30" t="str">
        <f>IFERROR(_xlfn.XLOOKUP(B2743,Equipo[DESCRIPCION],Equipo[UND],,0),"")</f>
        <v>Día</v>
      </c>
      <c r="D2743" s="31">
        <v>1</v>
      </c>
      <c r="E2743" s="32">
        <f>IF(C2743="%MO",G2749,IFERROR(_xlfn.XLOOKUP($B2743,Equipo[DESCRIPCION],Equipo[VALOR],,0),""))</f>
        <v>56524.65</v>
      </c>
      <c r="F2743" s="33">
        <v>-3</v>
      </c>
      <c r="G2743" s="34">
        <f>IFERROR(IF(F2743&gt;=0,D2743*E2743*(1+F2743/100),ABS(D2743*E2743/F2743)),"")</f>
        <v>18841.55</v>
      </c>
      <c r="H2743" s="43">
        <f>IFERROR(G2743*E2734,"")</f>
        <v>0</v>
      </c>
    </row>
    <row r="2744" spans="1:8" ht="12.75" customHeight="1">
      <c r="A2744" s="28"/>
      <c r="B2744" s="29" t="s">
        <v>3570</v>
      </c>
      <c r="C2744" s="30" t="str">
        <f>IFERROR(_xlfn.XLOOKUP(B2744,Equipo[DESCRIPCION],Equipo[UND],,0),"")</f>
        <v>%MO</v>
      </c>
      <c r="D2744" s="31">
        <v>0.04</v>
      </c>
      <c r="E2744" s="32">
        <f>IF(C2744="%MO",G2749,IFERROR(_xlfn.XLOOKUP($B2744,Equipo[DESCRIPCION],Equipo[VALOR],,0),""))</f>
        <v>165928.45186125004</v>
      </c>
      <c r="F2744" s="33"/>
      <c r="G2744" s="34">
        <f>IFERROR(IF(F2744&gt;=0,D2744*E2744*(1+F2744/100),ABS(D2744*E2744/F2744)),"")</f>
        <v>6637.138074450002</v>
      </c>
      <c r="H2744" s="43">
        <f>IFERROR(G2744*E2734,"")</f>
        <v>0</v>
      </c>
    </row>
    <row r="2745" spans="1:8" ht="12.75" customHeight="1">
      <c r="A2745" s="28"/>
      <c r="B2745" s="29" t="s">
        <v>3626</v>
      </c>
      <c r="C2745" s="30" t="str">
        <f>IFERROR(_xlfn.XLOOKUP(B2745,Equipo[DESCRIPCION],Equipo[UND],,0),"")</f>
        <v>%MO</v>
      </c>
      <c r="D2745" s="31">
        <v>0.05</v>
      </c>
      <c r="E2745" s="32">
        <f>IF(C2745="%MO",G2749,IFERROR(_xlfn.XLOOKUP($B2745,Equipo[DESCRIPCION],Equipo[VALOR],,0),""))</f>
        <v>165928.45186125004</v>
      </c>
      <c r="F2745" s="33"/>
      <c r="G2745" s="34">
        <f>IFERROR(IF(F2745&gt;=0,D2745*E2745*(1+F2745/100),ABS(D2745*E2745/F2745)),"")</f>
        <v>8296.4225930625016</v>
      </c>
      <c r="H2745" s="43">
        <f>IFERROR(G2745*E2734,"")</f>
        <v>0</v>
      </c>
    </row>
    <row r="2746" spans="1:8" ht="12.75" customHeight="1">
      <c r="A2746" s="21"/>
      <c r="B2746" s="22" t="s">
        <v>2533</v>
      </c>
      <c r="C2746" s="23"/>
      <c r="D2746" s="24"/>
      <c r="E2746" s="25"/>
      <c r="F2746" s="26"/>
      <c r="G2746" s="27">
        <f>SUM(G2747:G2748)</f>
        <v>0</v>
      </c>
      <c r="H2746" s="44">
        <f>G2746*E2734</f>
        <v>0</v>
      </c>
    </row>
    <row r="2747" spans="1:8" ht="12.75" customHeight="1">
      <c r="A2747" s="28"/>
      <c r="B2747" s="29"/>
      <c r="C2747" s="30" t="str">
        <f>IFERROR(_xlfn.XLOOKUP(B2747,Transporte[DESCRIPCION],Transporte[UND],,0),"")</f>
        <v/>
      </c>
      <c r="D2747" s="31"/>
      <c r="E2747" s="32" t="str">
        <f>IFERROR(_xlfn.XLOOKUP($B2747,Transporte[DESCRIPCION],Transporte[VALOR],,0),"")</f>
        <v/>
      </c>
      <c r="F2747" s="33"/>
      <c r="G2747" s="34" t="str">
        <f>IFERROR(IF(F2747&gt;=0,D2747*E2747*(1+F2747/100),ABS(D2747*E2747/F2747)),"")</f>
        <v/>
      </c>
      <c r="H2747" s="43" t="str">
        <f>IFERROR(G2747*E2734,"")</f>
        <v/>
      </c>
    </row>
    <row r="2748" spans="1:8" ht="12.75" customHeight="1">
      <c r="A2748" s="28"/>
      <c r="B2748" s="29"/>
      <c r="C2748" s="30" t="str">
        <f>IFERROR(_xlfn.XLOOKUP(B2748,Transporte[DESCRIPCION],Transporte[UND],,0),"")</f>
        <v/>
      </c>
      <c r="D2748" s="31"/>
      <c r="E2748" s="32" t="str">
        <f>IFERROR(_xlfn.XLOOKUP($B2748,Transporte[DESCRIPCION],Transporte[VALOR],,0),"")</f>
        <v/>
      </c>
      <c r="F2748" s="33"/>
      <c r="G2748" s="34" t="str">
        <f>IFERROR(IF(F2748&gt;=0,D2748*E2748*(1+F2748/100),ABS(D2748*E2748/F2748)),"")</f>
        <v/>
      </c>
      <c r="H2748" s="43" t="str">
        <f>IFERROR(G2748*E2734,"")</f>
        <v/>
      </c>
    </row>
    <row r="2749" spans="1:8" ht="12.75" customHeight="1">
      <c r="A2749" s="21"/>
      <c r="B2749" s="22" t="s">
        <v>3732</v>
      </c>
      <c r="C2749" s="23"/>
      <c r="D2749" s="24"/>
      <c r="E2749" s="25"/>
      <c r="F2749" s="26"/>
      <c r="G2749" s="27">
        <f>SUM(G2750:G2752)</f>
        <v>165928.45186125004</v>
      </c>
      <c r="H2749" s="44">
        <f>G2749*E2734</f>
        <v>0</v>
      </c>
    </row>
    <row r="2750" spans="1:8" ht="12.75" customHeight="1">
      <c r="A2750" s="28"/>
      <c r="B2750" s="29" t="s">
        <v>3713</v>
      </c>
      <c r="C2750" s="30" t="str">
        <f>IFERROR(_xlfn.XLOOKUP(B2750,MObra[DESCRIPCION],MObra[UN],,0),"")</f>
        <v>día</v>
      </c>
      <c r="D2750" s="31">
        <v>1</v>
      </c>
      <c r="E2750" s="32">
        <f>IFERROR(_xlfn.XLOOKUP($B2750,MObra[DESCRIPCION],MObra[VALOR UNIT],,0),"")</f>
        <v>663713.80744500016</v>
      </c>
      <c r="F2750" s="33">
        <v>-4</v>
      </c>
      <c r="G2750" s="34">
        <f>IFERROR(IF(F2750&gt;=0,D2750*E2750*(1+F2750/100),ABS(D2750*E2750/F2750)),"")</f>
        <v>165928.45186125004</v>
      </c>
      <c r="H2750" s="43">
        <f>IFERROR(G2750*E2734,"")</f>
        <v>0</v>
      </c>
    </row>
    <row r="2751" spans="1:8" ht="12.75" customHeight="1">
      <c r="A2751" s="28"/>
      <c r="B2751" s="29"/>
      <c r="C2751" s="30" t="str">
        <f t="array" ref="C2751">IFERROR(_xlfn.XLOOKUP(B2751,MObra[[#All],[DESCRIPCION]],MObra[[#All],[UN]],,0),"")</f>
        <v/>
      </c>
      <c r="D2751" s="31"/>
      <c r="E2751" s="32" t="str">
        <f>IFERROR(_xlfn.XLOOKUP($B2751,MObra[DESCRIPCION],MObra[VALOR UNIT],,0),"")</f>
        <v/>
      </c>
      <c r="F2751" s="33"/>
      <c r="G2751" s="34" t="str">
        <f>IFERROR(IF(F2751&gt;=0,D2751*E2751*(1+F2751/100),ABS(D2751*E2751/F2751)),"")</f>
        <v/>
      </c>
      <c r="H2751" s="43" t="str">
        <f>IFERROR(G2751*E2734,"")</f>
        <v/>
      </c>
    </row>
    <row r="2752" spans="1:8" ht="12.75" customHeight="1" thickBot="1">
      <c r="A2752" s="35"/>
      <c r="B2752" s="36"/>
      <c r="C2752" s="37" t="str">
        <f t="array" ref="C2752">IFERROR(_xlfn.XLOOKUP(B2752,MObra[[#All],[DESCRIPCION]],MObra[[#All],[UN]],,0),"")</f>
        <v/>
      </c>
      <c r="D2752" s="38"/>
      <c r="E2752" s="39" t="str">
        <f>IFERROR(_xlfn.XLOOKUP($B2752,MObra[DESCRIPCION],MObra[VALOR UNIT],,0),"")</f>
        <v/>
      </c>
      <c r="F2752" s="40"/>
      <c r="G2752" s="41" t="str">
        <f>IFERROR(IF(F2752&gt;=0,D2752*E2752*(1+F2752/100),ABS(D2752*E2752/F2752)),"")</f>
        <v/>
      </c>
      <c r="H2752" s="42" t="str">
        <f>IFERROR(G2752*E2734,"")</f>
        <v/>
      </c>
    </row>
    <row r="2753" spans="1:11" ht="12.75" customHeight="1" thickTop="1" thickBot="1"/>
    <row r="2754" spans="1:11" ht="12.75" customHeight="1" thickTop="1" thickBot="1">
      <c r="A2754" s="6" t="s">
        <v>575</v>
      </c>
      <c r="B2754" s="7" t="str">
        <f>VLOOKUP($A2754,Presupuesto!$A:$D,2,FALSE())</f>
        <v>Viga cimentación concreto 27.6 Mpa (área sección transversal &gt; 2000 cm2)</v>
      </c>
      <c r="C2754" s="8" t="str">
        <f>VLOOKUP($A2754,Presupuesto!$A:$D,3,FALSE())</f>
        <v>M3</v>
      </c>
      <c r="D2754" s="9"/>
      <c r="E2754" s="10">
        <f>VLOOKUP($A2754,Presupuesto!$A:$D,4,FALSE())</f>
        <v>0</v>
      </c>
      <c r="F2754" s="11" t="s">
        <v>2589</v>
      </c>
      <c r="G2754" s="12">
        <f>SUM(G2756:G2772)/2</f>
        <v>898734.84052816604</v>
      </c>
      <c r="H2754" s="13">
        <f>ROUND(SUM(H2756:H2772),0)/2</f>
        <v>0</v>
      </c>
      <c r="I2754" s="10">
        <f>VLOOKUP(A2754,Presupuesto!$A:$F,6,0)</f>
        <v>0</v>
      </c>
      <c r="J2754" s="10">
        <f>+H2754-I2754</f>
        <v>0</v>
      </c>
      <c r="K2754" s="46">
        <f>+H2754-G2754*E2754</f>
        <v>0</v>
      </c>
    </row>
    <row r="2755" spans="1:11" ht="12.75" customHeight="1" thickTop="1">
      <c r="A2755" s="14"/>
      <c r="B2755" s="15" t="s">
        <v>2586</v>
      </c>
      <c r="C2755" s="15" t="s">
        <v>5</v>
      </c>
      <c r="D2755" s="16" t="s">
        <v>6</v>
      </c>
      <c r="E2755" s="17" t="s">
        <v>7</v>
      </c>
      <c r="F2755" s="18" t="s">
        <v>3728</v>
      </c>
      <c r="G2755" s="19" t="s">
        <v>3729</v>
      </c>
      <c r="H2755" s="20" t="s">
        <v>3797</v>
      </c>
    </row>
    <row r="2756" spans="1:11" ht="12.75" customHeight="1">
      <c r="A2756" s="21"/>
      <c r="B2756" s="22" t="s">
        <v>3730</v>
      </c>
      <c r="C2756" s="23"/>
      <c r="D2756" s="24"/>
      <c r="E2756" s="25"/>
      <c r="F2756" s="26"/>
      <c r="G2756" s="27">
        <f>SUM(G2757:G2761)</f>
        <v>699031.27799940354</v>
      </c>
      <c r="H2756" s="27">
        <f>IFERROR(G2756*E2754,"")</f>
        <v>0</v>
      </c>
    </row>
    <row r="2757" spans="1:11" ht="12.75" customHeight="1">
      <c r="A2757" s="28"/>
      <c r="B2757" s="29" t="s">
        <v>3241</v>
      </c>
      <c r="C2757" s="30" t="str">
        <f>IFERROR(_xlfn.XLOOKUP(B2757,Insumo[DESCRIPCION],Insumo[UND],,0),"")</f>
        <v>M3</v>
      </c>
      <c r="D2757" s="31">
        <v>1</v>
      </c>
      <c r="E2757" s="32">
        <f>IFERROR(_xlfn.XLOOKUP($B2757,Insumo[DESCRIPCION],Insumo[VALOR],,0),"")</f>
        <v>568453.66874585627</v>
      </c>
      <c r="F2757" s="33">
        <v>5</v>
      </c>
      <c r="G2757" s="34">
        <f>IFERROR(IF(F2757&gt;=0,D2757*E2757*(1+F2757/100),ABS(D2757*E2757/F2757)),"")</f>
        <v>596876.35218314908</v>
      </c>
      <c r="H2757" s="43">
        <f>IFERROR(G2757*E2754,"")</f>
        <v>0</v>
      </c>
    </row>
    <row r="2758" spans="1:11" ht="12.75" customHeight="1">
      <c r="A2758" s="28"/>
      <c r="B2758" s="29" t="s">
        <v>2954</v>
      </c>
      <c r="C2758" s="30" t="str">
        <f>IFERROR(_xlfn.XLOOKUP(B2758,Insumo[DESCRIPCION],Insumo[UND],,0),"")</f>
        <v>M2</v>
      </c>
      <c r="D2758" s="31">
        <v>4</v>
      </c>
      <c r="E2758" s="32">
        <f>IFERROR(_xlfn.XLOOKUP($B2758,Insumo[DESCRIPCION],Insumo[VALOR],,0),"")</f>
        <v>102154.92581625449</v>
      </c>
      <c r="F2758" s="33">
        <v>-4</v>
      </c>
      <c r="G2758" s="34">
        <f>IFERROR(IF(F2758&gt;=0,D2758*E2758*(1+F2758/100),ABS(D2758*E2758/F2758)),"")</f>
        <v>102154.92581625449</v>
      </c>
      <c r="H2758" s="43">
        <f>IFERROR(G2758*E2754,"")</f>
        <v>0</v>
      </c>
    </row>
    <row r="2759" spans="1:11" ht="12.75" customHeight="1">
      <c r="A2759" s="28"/>
      <c r="B2759" s="29"/>
      <c r="C2759" s="30" t="str">
        <f>IFERROR(_xlfn.XLOOKUP(B2759,Insumo[DESCRIPCION],Insumo[UND],,0),"")</f>
        <v/>
      </c>
      <c r="D2759" s="31"/>
      <c r="E2759" s="32" t="str">
        <f>IFERROR(_xlfn.XLOOKUP($B2759,Insumo[DESCRIPCION],Insumo[VALOR],,0),"")</f>
        <v/>
      </c>
      <c r="F2759" s="33"/>
      <c r="G2759" s="34" t="str">
        <f>IFERROR(IF(F2759&gt;=0,D2759*E2759*(1+F2759/100),ABS(D2759*E2759/F2759)),"")</f>
        <v/>
      </c>
      <c r="H2759" s="43" t="str">
        <f>IFERROR(G2759*E2754,"")</f>
        <v/>
      </c>
    </row>
    <row r="2760" spans="1:11" ht="12.75" customHeight="1">
      <c r="A2760" s="28"/>
      <c r="B2760" s="29"/>
      <c r="C2760" s="30" t="str">
        <f>IFERROR(_xlfn.XLOOKUP(B2760,Insumo[DESCRIPCION],Insumo[UND],,0),"")</f>
        <v/>
      </c>
      <c r="D2760" s="31"/>
      <c r="E2760" s="32" t="str">
        <f>IFERROR(_xlfn.XLOOKUP($B2760,Insumo[DESCRIPCION],Insumo[VALOR],,0),"")</f>
        <v/>
      </c>
      <c r="F2760" s="33"/>
      <c r="G2760" s="34" t="str">
        <f>IFERROR(IF(F2760&gt;=0,D2760*E2760*(1+F2760/100),ABS(D2760*E2760/F2760)),"")</f>
        <v/>
      </c>
      <c r="H2760" s="43" t="str">
        <f>IFERROR(G2760*E2754,"")</f>
        <v/>
      </c>
    </row>
    <row r="2761" spans="1:11" ht="12.75" customHeight="1">
      <c r="A2761" s="28"/>
      <c r="B2761" s="29"/>
      <c r="C2761" s="30" t="str">
        <f>IFERROR(_xlfn.XLOOKUP(B2761,Insumo[DESCRIPCION],Insumo[UND],,0),"")</f>
        <v/>
      </c>
      <c r="D2761" s="31"/>
      <c r="E2761" s="32" t="str">
        <f>IFERROR(_xlfn.XLOOKUP($B2761,Insumo[DESCRIPCION],Insumo[VALOR],,0),"")</f>
        <v/>
      </c>
      <c r="F2761" s="33"/>
      <c r="G2761" s="34" t="str">
        <f>IFERROR(IF(F2761&gt;=0,D2761*E2761*(1+F2761/100),ABS(D2761*E2761/F2761)),"")</f>
        <v/>
      </c>
      <c r="H2761" s="43" t="str">
        <f>IFERROR(G2761*E2754,"")</f>
        <v/>
      </c>
    </row>
    <row r="2762" spans="1:11" ht="12.75" customHeight="1">
      <c r="A2762" s="21"/>
      <c r="B2762" s="22" t="s">
        <v>3731</v>
      </c>
      <c r="C2762" s="23"/>
      <c r="D2762" s="24"/>
      <c r="E2762" s="25"/>
      <c r="F2762" s="26"/>
      <c r="G2762" s="27">
        <f>SUM(G2763:G2765)</f>
        <v>33775.110667512505</v>
      </c>
      <c r="H2762" s="44">
        <f>G2762*E2754</f>
        <v>0</v>
      </c>
    </row>
    <row r="2763" spans="1:11" ht="12.75" customHeight="1">
      <c r="A2763" s="28"/>
      <c r="B2763" s="29" t="s">
        <v>3657</v>
      </c>
      <c r="C2763" s="30" t="str">
        <f>IFERROR(_xlfn.XLOOKUP(B2763,Equipo[DESCRIPCION],Equipo[UND],,0),"")</f>
        <v>Día</v>
      </c>
      <c r="D2763" s="31">
        <v>1</v>
      </c>
      <c r="E2763" s="32">
        <f>IF(C2763="%MO",G2769,IFERROR(_xlfn.XLOOKUP($B2763,Equipo[DESCRIPCION],Equipo[VALOR],,0),""))</f>
        <v>56524.65</v>
      </c>
      <c r="F2763" s="33">
        <v>-3</v>
      </c>
      <c r="G2763" s="34">
        <f>IFERROR(IF(F2763&gt;=0,D2763*E2763*(1+F2763/100),ABS(D2763*E2763/F2763)),"")</f>
        <v>18841.55</v>
      </c>
      <c r="H2763" s="43">
        <f>IFERROR(G2763*E2754,"")</f>
        <v>0</v>
      </c>
    </row>
    <row r="2764" spans="1:11" ht="12.75" customHeight="1">
      <c r="A2764" s="28"/>
      <c r="B2764" s="29" t="s">
        <v>3570</v>
      </c>
      <c r="C2764" s="30" t="str">
        <f>IFERROR(_xlfn.XLOOKUP(B2764,Equipo[DESCRIPCION],Equipo[UND],,0),"")</f>
        <v>%MO</v>
      </c>
      <c r="D2764" s="31">
        <v>0.04</v>
      </c>
      <c r="E2764" s="32">
        <f>IF(C2764="%MO",G2769,IFERROR(_xlfn.XLOOKUP($B2764,Equipo[DESCRIPCION],Equipo[VALOR],,0),""))</f>
        <v>165928.45186125004</v>
      </c>
      <c r="F2764" s="33"/>
      <c r="G2764" s="34">
        <f>IFERROR(IF(F2764&gt;=0,D2764*E2764*(1+F2764/100),ABS(D2764*E2764/F2764)),"")</f>
        <v>6637.138074450002</v>
      </c>
      <c r="H2764" s="43">
        <f>IFERROR(G2764*E2754,"")</f>
        <v>0</v>
      </c>
    </row>
    <row r="2765" spans="1:11" ht="12.75" customHeight="1">
      <c r="A2765" s="28"/>
      <c r="B2765" s="29" t="s">
        <v>3626</v>
      </c>
      <c r="C2765" s="30" t="str">
        <f>IFERROR(_xlfn.XLOOKUP(B2765,Equipo[DESCRIPCION],Equipo[UND],,0),"")</f>
        <v>%MO</v>
      </c>
      <c r="D2765" s="31">
        <v>0.05</v>
      </c>
      <c r="E2765" s="32">
        <f>IF(C2765="%MO",G2769,IFERROR(_xlfn.XLOOKUP($B2765,Equipo[DESCRIPCION],Equipo[VALOR],,0),""))</f>
        <v>165928.45186125004</v>
      </c>
      <c r="F2765" s="33"/>
      <c r="G2765" s="34">
        <f>IFERROR(IF(F2765&gt;=0,D2765*E2765*(1+F2765/100),ABS(D2765*E2765/F2765)),"")</f>
        <v>8296.4225930625016</v>
      </c>
      <c r="H2765" s="43">
        <f>IFERROR(G2765*E2754,"")</f>
        <v>0</v>
      </c>
    </row>
    <row r="2766" spans="1:11" ht="12.75" customHeight="1">
      <c r="A2766" s="21"/>
      <c r="B2766" s="22" t="s">
        <v>2533</v>
      </c>
      <c r="C2766" s="23"/>
      <c r="D2766" s="24"/>
      <c r="E2766" s="25"/>
      <c r="F2766" s="26"/>
      <c r="G2766" s="27">
        <f>SUM(G2767:G2768)</f>
        <v>0</v>
      </c>
      <c r="H2766" s="44">
        <f>G2766*E2754</f>
        <v>0</v>
      </c>
    </row>
    <row r="2767" spans="1:11" ht="12.75" customHeight="1">
      <c r="A2767" s="28"/>
      <c r="B2767" s="29"/>
      <c r="C2767" s="30" t="str">
        <f>IFERROR(_xlfn.XLOOKUP(B2767,Transporte[DESCRIPCION],Transporte[UND],,0),"")</f>
        <v/>
      </c>
      <c r="D2767" s="31"/>
      <c r="E2767" s="32" t="str">
        <f>IFERROR(_xlfn.XLOOKUP($B2767,Transporte[DESCRIPCION],Transporte[VALOR],,0),"")</f>
        <v/>
      </c>
      <c r="F2767" s="33"/>
      <c r="G2767" s="34" t="str">
        <f>IFERROR(IF(F2767&gt;=0,D2767*E2767*(1+F2767/100),ABS(D2767*E2767/F2767)),"")</f>
        <v/>
      </c>
      <c r="H2767" s="43" t="str">
        <f>IFERROR(G2767*E2754,"")</f>
        <v/>
      </c>
    </row>
    <row r="2768" spans="1:11" ht="12.75" customHeight="1">
      <c r="A2768" s="28"/>
      <c r="B2768" s="29"/>
      <c r="C2768" s="30" t="str">
        <f>IFERROR(_xlfn.XLOOKUP(B2768,Transporte[DESCRIPCION],Transporte[UND],,0),"")</f>
        <v/>
      </c>
      <c r="D2768" s="31"/>
      <c r="E2768" s="32" t="str">
        <f>IFERROR(_xlfn.XLOOKUP($B2768,Transporte[DESCRIPCION],Transporte[VALOR],,0),"")</f>
        <v/>
      </c>
      <c r="F2768" s="33"/>
      <c r="G2768" s="34" t="str">
        <f>IFERROR(IF(F2768&gt;=0,D2768*E2768*(1+F2768/100),ABS(D2768*E2768/F2768)),"")</f>
        <v/>
      </c>
      <c r="H2768" s="43" t="str">
        <f>IFERROR(G2768*E2754,"")</f>
        <v/>
      </c>
    </row>
    <row r="2769" spans="1:11" ht="12.75" customHeight="1">
      <c r="A2769" s="21"/>
      <c r="B2769" s="22" t="s">
        <v>3732</v>
      </c>
      <c r="C2769" s="23"/>
      <c r="D2769" s="24"/>
      <c r="E2769" s="25"/>
      <c r="F2769" s="26"/>
      <c r="G2769" s="27">
        <f>SUM(G2770:G2772)</f>
        <v>165928.45186125004</v>
      </c>
      <c r="H2769" s="44">
        <f>G2769*E2754</f>
        <v>0</v>
      </c>
    </row>
    <row r="2770" spans="1:11" ht="12.75" customHeight="1">
      <c r="A2770" s="28"/>
      <c r="B2770" s="29" t="s">
        <v>3713</v>
      </c>
      <c r="C2770" s="30" t="str">
        <f>IFERROR(_xlfn.XLOOKUP(B2770,MObra[DESCRIPCION],MObra[UN],,0),"")</f>
        <v>día</v>
      </c>
      <c r="D2770" s="31">
        <v>1</v>
      </c>
      <c r="E2770" s="32">
        <f>IFERROR(_xlfn.XLOOKUP($B2770,MObra[DESCRIPCION],MObra[VALOR UNIT],,0),"")</f>
        <v>663713.80744500016</v>
      </c>
      <c r="F2770" s="33">
        <v>-4</v>
      </c>
      <c r="G2770" s="34">
        <f>IFERROR(IF(F2770&gt;=0,D2770*E2770*(1+F2770/100),ABS(D2770*E2770/F2770)),"")</f>
        <v>165928.45186125004</v>
      </c>
      <c r="H2770" s="43">
        <f>IFERROR(G2770*E2754,"")</f>
        <v>0</v>
      </c>
    </row>
    <row r="2771" spans="1:11" ht="12.75" customHeight="1">
      <c r="A2771" s="28"/>
      <c r="B2771" s="29"/>
      <c r="C2771" s="30" t="str">
        <f t="array" ref="C2771">IFERROR(_xlfn.XLOOKUP(B2771,MObra[[#All],[DESCRIPCION]],MObra[[#All],[UN]],,0),"")</f>
        <v/>
      </c>
      <c r="D2771" s="31"/>
      <c r="E2771" s="32" t="str">
        <f>IFERROR(_xlfn.XLOOKUP($B2771,MObra[DESCRIPCION],MObra[VALOR UNIT],,0),"")</f>
        <v/>
      </c>
      <c r="F2771" s="33"/>
      <c r="G2771" s="34" t="str">
        <f>IFERROR(IF(F2771&gt;=0,D2771*E2771*(1+F2771/100),ABS(D2771*E2771/F2771)),"")</f>
        <v/>
      </c>
      <c r="H2771" s="43" t="str">
        <f>IFERROR(G2771*E2754,"")</f>
        <v/>
      </c>
    </row>
    <row r="2772" spans="1:11" ht="12.75" customHeight="1" thickBot="1">
      <c r="A2772" s="35"/>
      <c r="B2772" s="36"/>
      <c r="C2772" s="37" t="str">
        <f t="array" ref="C2772">IFERROR(_xlfn.XLOOKUP(B2772,MObra[[#All],[DESCRIPCION]],MObra[[#All],[UN]],,0),"")</f>
        <v/>
      </c>
      <c r="D2772" s="38"/>
      <c r="E2772" s="39" t="str">
        <f>IFERROR(_xlfn.XLOOKUP($B2772,MObra[DESCRIPCION],MObra[VALOR UNIT],,0),"")</f>
        <v/>
      </c>
      <c r="F2772" s="40"/>
      <c r="G2772" s="41" t="str">
        <f>IFERROR(IF(F2772&gt;=0,D2772*E2772*(1+F2772/100),ABS(D2772*E2772/F2772)),"")</f>
        <v/>
      </c>
      <c r="H2772" s="42" t="str">
        <f>IFERROR(G2772*E2754,"")</f>
        <v/>
      </c>
    </row>
    <row r="2773" spans="1:11" ht="12.75" customHeight="1" thickTop="1" thickBot="1"/>
    <row r="2774" spans="1:11" ht="12.75" customHeight="1" thickTop="1" thickBot="1">
      <c r="A2774" s="6" t="s">
        <v>577</v>
      </c>
      <c r="B2774" s="7" t="str">
        <f>VLOOKUP($A2774,Presupuesto!$A:$D,2,FALSE())</f>
        <v>Viga - canal concreto 20.7 Mpa (área sección transversal &lt;= 1000 cm2)</v>
      </c>
      <c r="C2774" s="8" t="str">
        <f>VLOOKUP($A2774,Presupuesto!$A:$D,3,FALSE())</f>
        <v>M3</v>
      </c>
      <c r="D2774" s="9"/>
      <c r="E2774" s="10">
        <f>VLOOKUP($A2774,Presupuesto!$A:$D,4,FALSE())</f>
        <v>0</v>
      </c>
      <c r="F2774" s="11" t="s">
        <v>2589</v>
      </c>
      <c r="G2774" s="12">
        <f>SUM(G2776:G2795)/2</f>
        <v>1582940.2171842782</v>
      </c>
      <c r="H2774" s="13">
        <f>ROUND(SUM(H2776:H2795),0)/2</f>
        <v>0</v>
      </c>
      <c r="I2774" s="10">
        <f>VLOOKUP(A2774,Presupuesto!$A:$F,6,0)</f>
        <v>0</v>
      </c>
      <c r="J2774" s="10">
        <f>+H2774-I2774</f>
        <v>0</v>
      </c>
      <c r="K2774" s="46">
        <f>+H2774-G2774*E2774</f>
        <v>0</v>
      </c>
    </row>
    <row r="2775" spans="1:11" ht="12.75" customHeight="1" thickTop="1">
      <c r="A2775" s="14"/>
      <c r="B2775" s="15" t="s">
        <v>2586</v>
      </c>
      <c r="C2775" s="15" t="s">
        <v>5</v>
      </c>
      <c r="D2775" s="16" t="s">
        <v>6</v>
      </c>
      <c r="E2775" s="17" t="s">
        <v>7</v>
      </c>
      <c r="F2775" s="18" t="s">
        <v>3728</v>
      </c>
      <c r="G2775" s="19" t="s">
        <v>3729</v>
      </c>
      <c r="H2775" s="20" t="s">
        <v>3797</v>
      </c>
    </row>
    <row r="2776" spans="1:11" ht="12.75" customHeight="1">
      <c r="A2776" s="21"/>
      <c r="B2776" s="22" t="s">
        <v>3730</v>
      </c>
      <c r="C2776" s="23"/>
      <c r="D2776" s="24"/>
      <c r="E2776" s="25"/>
      <c r="F2776" s="26"/>
      <c r="G2776" s="27">
        <f>SUM(G2777:G2781)</f>
        <v>1010664.101972778</v>
      </c>
      <c r="H2776" s="27">
        <f>IFERROR(G2776*E2774,"")</f>
        <v>0</v>
      </c>
    </row>
    <row r="2777" spans="1:11" ht="12.75" customHeight="1">
      <c r="A2777" s="28"/>
      <c r="B2777" s="29" t="s">
        <v>3239</v>
      </c>
      <c r="C2777" s="30" t="str">
        <f>IFERROR(_xlfn.XLOOKUP(B2777,Insumo[DESCRIPCION],Insumo[UND],,0),"")</f>
        <v>M3</v>
      </c>
      <c r="D2777" s="31">
        <v>1</v>
      </c>
      <c r="E2777" s="32">
        <f>IFERROR(_xlfn.XLOOKUP($B2777,Insumo[DESCRIPCION],Insumo[VALOR],,0),"")</f>
        <v>521159.50227762427</v>
      </c>
      <c r="F2777" s="33">
        <v>5</v>
      </c>
      <c r="G2777" s="34">
        <f>IFERROR(IF(F2777&gt;=0,D2777*E2777*(1+F2777/100),ABS(D2777*E2777/F2777)),"")</f>
        <v>547217.4773915055</v>
      </c>
      <c r="H2777" s="43">
        <f>IFERROR(G2777*E2774,"")</f>
        <v>0</v>
      </c>
    </row>
    <row r="2778" spans="1:11" ht="12.75" customHeight="1">
      <c r="A2778" s="28"/>
      <c r="B2778" s="29" t="s">
        <v>2957</v>
      </c>
      <c r="C2778" s="30" t="str">
        <f>IFERROR(_xlfn.XLOOKUP(B2778,Insumo[DESCRIPCION],Insumo[UND],,0),"")</f>
        <v>M2</v>
      </c>
      <c r="D2778" s="31">
        <v>6</v>
      </c>
      <c r="E2778" s="32">
        <f>IFERROR(_xlfn.XLOOKUP($B2778,Insumo[DESCRIPCION],Insumo[VALOR],,0),"")</f>
        <v>149544.7581937575</v>
      </c>
      <c r="F2778" s="33">
        <v>-2</v>
      </c>
      <c r="G2778" s="34">
        <f>IFERROR(IF(F2778&gt;=0,D2778*E2778*(1+F2778/100),ABS(D2778*E2778/F2778)),"")</f>
        <v>448634.2745812725</v>
      </c>
      <c r="H2778" s="43">
        <f>IFERROR(G2778*E2774,"")</f>
        <v>0</v>
      </c>
    </row>
    <row r="2779" spans="1:11" ht="12.75" customHeight="1">
      <c r="A2779" s="28"/>
      <c r="B2779" s="29" t="s">
        <v>2709</v>
      </c>
      <c r="C2779" s="30" t="str">
        <f>IFERROR(_xlfn.XLOOKUP(B2779,Insumo[DESCRIPCION],Insumo[UND],,0),"")</f>
        <v>Kg</v>
      </c>
      <c r="D2779" s="31">
        <v>1</v>
      </c>
      <c r="E2779" s="32">
        <f>IFERROR(_xlfn.XLOOKUP($B2779,Insumo[DESCRIPCION],Insumo[VALOR],,0),"")</f>
        <v>14812.35</v>
      </c>
      <c r="F2779" s="33"/>
      <c r="G2779" s="34">
        <f>IFERROR(IF(F2779&gt;=0,D2779*E2779*(1+F2779/100),ABS(D2779*E2779/F2779)),"")</f>
        <v>14812.35</v>
      </c>
      <c r="H2779" s="43">
        <f>IFERROR(G2779*E2774,"")</f>
        <v>0</v>
      </c>
    </row>
    <row r="2780" spans="1:11" ht="12.75" customHeight="1">
      <c r="A2780" s="28"/>
      <c r="B2780" s="29"/>
      <c r="C2780" s="30" t="str">
        <f>IFERROR(_xlfn.XLOOKUP(B2780,Insumo[DESCRIPCION],Insumo[UND],,0),"")</f>
        <v/>
      </c>
      <c r="D2780" s="31"/>
      <c r="E2780" s="32" t="str">
        <f>IFERROR(_xlfn.XLOOKUP($B2780,Insumo[DESCRIPCION],Insumo[VALOR],,0),"")</f>
        <v/>
      </c>
      <c r="F2780" s="33"/>
      <c r="G2780" s="34" t="str">
        <f>IFERROR(IF(F2780&gt;=0,D2780*E2780*(1+F2780/100),ABS(D2780*E2780/F2780)),"")</f>
        <v/>
      </c>
      <c r="H2780" s="43" t="str">
        <f>IFERROR(G2780*E2774,"")</f>
        <v/>
      </c>
    </row>
    <row r="2781" spans="1:11" ht="12.75" customHeight="1">
      <c r="A2781" s="28"/>
      <c r="B2781" s="29"/>
      <c r="C2781" s="30" t="str">
        <f>IFERROR(_xlfn.XLOOKUP(B2781,Insumo[DESCRIPCION],Insumo[UND],,0),"")</f>
        <v/>
      </c>
      <c r="D2781" s="31"/>
      <c r="E2781" s="32" t="str">
        <f>IFERROR(_xlfn.XLOOKUP($B2781,Insumo[DESCRIPCION],Insumo[VALOR],,0),"")</f>
        <v/>
      </c>
      <c r="F2781" s="33"/>
      <c r="G2781" s="34" t="str">
        <f>IFERROR(IF(F2781&gt;=0,D2781*E2781*(1+F2781/100),ABS(D2781*E2781/F2781)),"")</f>
        <v/>
      </c>
      <c r="H2781" s="43" t="str">
        <f>IFERROR(G2781*E2774,"")</f>
        <v/>
      </c>
    </row>
    <row r="2782" spans="1:11" ht="12.75" customHeight="1">
      <c r="A2782" s="21"/>
      <c r="B2782" s="22" t="s">
        <v>3731</v>
      </c>
      <c r="C2782" s="23"/>
      <c r="D2782" s="24"/>
      <c r="E2782" s="25"/>
      <c r="F2782" s="26"/>
      <c r="G2782" s="27">
        <f>SUM(G2783:G2788)</f>
        <v>129800.24358150002</v>
      </c>
      <c r="H2782" s="44">
        <f>G2782*E2774</f>
        <v>0</v>
      </c>
    </row>
    <row r="2783" spans="1:11" ht="12.75" customHeight="1">
      <c r="A2783" s="28"/>
      <c r="B2783" s="29" t="s">
        <v>3657</v>
      </c>
      <c r="C2783" s="30" t="str">
        <f>IFERROR(_xlfn.XLOOKUP(B2783,Equipo[DESCRIPCION],Equipo[UND],,0),"")</f>
        <v>Día</v>
      </c>
      <c r="D2783" s="31">
        <v>1</v>
      </c>
      <c r="E2783" s="32">
        <f>IF(C2783="%MO",G2792,IFERROR(_xlfn.XLOOKUP($B2783,Equipo[DESCRIPCION],Equipo[VALOR],,0),""))</f>
        <v>56524.65</v>
      </c>
      <c r="F2783" s="33">
        <v>-4</v>
      </c>
      <c r="G2783" s="34">
        <f t="shared" ref="G2783:G2788" si="28">IFERROR(IF(F2783&gt;=0,D2783*E2783*(1+F2783/100),ABS(D2783*E2783/F2783)),"")</f>
        <v>14131.1625</v>
      </c>
      <c r="H2783" s="43">
        <f>IFERROR(G2783*E2774,"")</f>
        <v>0</v>
      </c>
    </row>
    <row r="2784" spans="1:11" ht="12.75" customHeight="1">
      <c r="A2784" s="28"/>
      <c r="B2784" s="29" t="s">
        <v>3652</v>
      </c>
      <c r="C2784" s="30" t="str">
        <f>IFERROR(_xlfn.XLOOKUP(B2784,Equipo[DESCRIPCION],Equipo[UND],,0),"")</f>
        <v>Día</v>
      </c>
      <c r="D2784" s="31">
        <v>1</v>
      </c>
      <c r="E2784" s="32">
        <f>IF(C2784="%MO",G2793,IFERROR(_xlfn.XLOOKUP($B2784,Equipo[DESCRIPCION],Equipo[VALOR],,0),""))</f>
        <v>635.25</v>
      </c>
      <c r="F2784" s="33">
        <v>-0.03</v>
      </c>
      <c r="G2784" s="34">
        <f t="shared" si="28"/>
        <v>21175</v>
      </c>
      <c r="H2784" s="43">
        <f>IFERROR(G2784*E2774,"")</f>
        <v>0</v>
      </c>
    </row>
    <row r="2785" spans="1:11" ht="12.75" customHeight="1">
      <c r="A2785" s="28"/>
      <c r="B2785" s="29" t="s">
        <v>3591</v>
      </c>
      <c r="C2785" s="30" t="str">
        <f>IFERROR(_xlfn.XLOOKUP(B2785,Equipo[DESCRIPCION],Equipo[UND],,0),"")</f>
        <v>Día</v>
      </c>
      <c r="D2785" s="31">
        <v>1</v>
      </c>
      <c r="E2785" s="32">
        <f>IF(C2785="%MO",G2794,IFERROR(_xlfn.XLOOKUP($B2785,Equipo[DESCRIPCION],Equipo[VALOR],,0),""))</f>
        <v>635.25</v>
      </c>
      <c r="F2785" s="33">
        <v>-0.03</v>
      </c>
      <c r="G2785" s="34">
        <f t="shared" si="28"/>
        <v>21175</v>
      </c>
      <c r="H2785" s="43">
        <f>IFERROR(G2785*E2774,"")</f>
        <v>0</v>
      </c>
    </row>
    <row r="2786" spans="1:11" ht="12.75" customHeight="1">
      <c r="A2786" s="28"/>
      <c r="B2786" s="29" t="s">
        <v>3651</v>
      </c>
      <c r="C2786" s="30" t="str">
        <f>IFERROR(_xlfn.XLOOKUP(B2786,Equipo[DESCRIPCION],Equipo[UND],,0),"")</f>
        <v>Día</v>
      </c>
      <c r="D2786" s="31">
        <v>1</v>
      </c>
      <c r="E2786" s="32">
        <f>IF(C2786="%MO",G2795,IFERROR(_xlfn.XLOOKUP($B2786,Equipo[DESCRIPCION],Equipo[VALOR],,0),""))</f>
        <v>981.75</v>
      </c>
      <c r="F2786" s="33">
        <v>-0.03</v>
      </c>
      <c r="G2786" s="34">
        <f t="shared" si="28"/>
        <v>32725</v>
      </c>
      <c r="H2786" s="43">
        <f>IFERROR(G2786*E2774,"")</f>
        <v>0</v>
      </c>
    </row>
    <row r="2787" spans="1:11" ht="12.75" customHeight="1">
      <c r="A2787" s="28"/>
      <c r="B2787" s="29" t="s">
        <v>3640</v>
      </c>
      <c r="C2787" s="30" t="str">
        <f>IFERROR(_xlfn.XLOOKUP(B2787,Equipo[DESCRIPCION],Equipo[UND],,0),"")</f>
        <v>Día</v>
      </c>
      <c r="D2787" s="31">
        <v>1</v>
      </c>
      <c r="E2787" s="32">
        <f>IF(C2787="%MO",G2797,IFERROR(_xlfn.XLOOKUP($B2787,Equipo[DESCRIPCION],Equipo[VALOR],,0),""))</f>
        <v>73881.150000000009</v>
      </c>
      <c r="F2787" s="33">
        <v>-4</v>
      </c>
      <c r="G2787" s="34">
        <f t="shared" si="28"/>
        <v>18470.287500000002</v>
      </c>
      <c r="H2787" s="43">
        <f>IFERROR(G2787*E2774,"")</f>
        <v>0</v>
      </c>
    </row>
    <row r="2788" spans="1:11" ht="12.75" customHeight="1">
      <c r="A2788" s="28"/>
      <c r="B2788" s="29" t="s">
        <v>3626</v>
      </c>
      <c r="C2788" s="30" t="str">
        <f>IFERROR(_xlfn.XLOOKUP(B2788,Equipo[DESCRIPCION],Equipo[UND],,0),"")</f>
        <v>%MO</v>
      </c>
      <c r="D2788" s="31">
        <v>0.05</v>
      </c>
      <c r="E2788" s="32">
        <f>IF(C2788="%MO",G2792,IFERROR(_xlfn.XLOOKUP($B2788,Equipo[DESCRIPCION],Equipo[VALOR],,0),""))</f>
        <v>442475.87163000013</v>
      </c>
      <c r="F2788" s="33"/>
      <c r="G2788" s="34">
        <f t="shared" si="28"/>
        <v>22123.793581500009</v>
      </c>
      <c r="H2788" s="43">
        <f>IFERROR(G2788*E2774,"")</f>
        <v>0</v>
      </c>
    </row>
    <row r="2789" spans="1:11" ht="12.75" customHeight="1">
      <c r="A2789" s="21"/>
      <c r="B2789" s="22" t="s">
        <v>2533</v>
      </c>
      <c r="C2789" s="23"/>
      <c r="D2789" s="24"/>
      <c r="E2789" s="25"/>
      <c r="F2789" s="26"/>
      <c r="G2789" s="27">
        <f>SUM(G2790:G2791)</f>
        <v>0</v>
      </c>
      <c r="H2789" s="44">
        <f>G2789*E2774</f>
        <v>0</v>
      </c>
    </row>
    <row r="2790" spans="1:11" ht="12.75" customHeight="1">
      <c r="A2790" s="28"/>
      <c r="B2790" s="29"/>
      <c r="C2790" s="30" t="str">
        <f>IFERROR(_xlfn.XLOOKUP(B2790,Transporte[DESCRIPCION],Transporte[UND],,0),"")</f>
        <v/>
      </c>
      <c r="D2790" s="31"/>
      <c r="E2790" s="32" t="str">
        <f>IFERROR(_xlfn.XLOOKUP($B2790,Transporte[DESCRIPCION],Transporte[VALOR],,0),"")</f>
        <v/>
      </c>
      <c r="F2790" s="33"/>
      <c r="G2790" s="34" t="str">
        <f>IFERROR(IF(F2790&gt;=0,D2790*E2790*(1+F2790/100),ABS(D2790*E2790/F2790)),"")</f>
        <v/>
      </c>
      <c r="H2790" s="43" t="str">
        <f>IFERROR(G2790*E2774,"")</f>
        <v/>
      </c>
    </row>
    <row r="2791" spans="1:11" ht="12.75" customHeight="1">
      <c r="A2791" s="28"/>
      <c r="B2791" s="29"/>
      <c r="C2791" s="30" t="str">
        <f>IFERROR(_xlfn.XLOOKUP(B2791,Transporte[DESCRIPCION],Transporte[UND],,0),"")</f>
        <v/>
      </c>
      <c r="D2791" s="31"/>
      <c r="E2791" s="32" t="str">
        <f>IFERROR(_xlfn.XLOOKUP($B2791,Transporte[DESCRIPCION],Transporte[VALOR],,0),"")</f>
        <v/>
      </c>
      <c r="F2791" s="33"/>
      <c r="G2791" s="34" t="str">
        <f>IFERROR(IF(F2791&gt;=0,D2791*E2791*(1+F2791/100),ABS(D2791*E2791/F2791)),"")</f>
        <v/>
      </c>
      <c r="H2791" s="43" t="str">
        <f>IFERROR(G2791*E2774,"")</f>
        <v/>
      </c>
    </row>
    <row r="2792" spans="1:11" ht="12.75" customHeight="1">
      <c r="A2792" s="21"/>
      <c r="B2792" s="22" t="s">
        <v>3732</v>
      </c>
      <c r="C2792" s="23"/>
      <c r="D2792" s="24"/>
      <c r="E2792" s="25"/>
      <c r="F2792" s="26"/>
      <c r="G2792" s="27">
        <f>SUM(G2793:G2795)</f>
        <v>442475.87163000013</v>
      </c>
      <c r="H2792" s="44">
        <f>G2792*E2774</f>
        <v>0</v>
      </c>
    </row>
    <row r="2793" spans="1:11" ht="12.75" customHeight="1">
      <c r="A2793" s="28"/>
      <c r="B2793" s="29" t="s">
        <v>3713</v>
      </c>
      <c r="C2793" s="30" t="str">
        <f>IFERROR(_xlfn.XLOOKUP(B2793,MObra[DESCRIPCION],MObra[UN],,0),"")</f>
        <v>día</v>
      </c>
      <c r="D2793" s="31">
        <v>1</v>
      </c>
      <c r="E2793" s="32">
        <f>IFERROR(_xlfn.XLOOKUP($B2793,MObra[DESCRIPCION],MObra[VALOR UNIT],,0),"")</f>
        <v>663713.80744500016</v>
      </c>
      <c r="F2793" s="33">
        <v>-1.5</v>
      </c>
      <c r="G2793" s="34">
        <f>IFERROR(IF(F2793&gt;=0,D2793*E2793*(1+F2793/100),ABS(D2793*E2793/F2793)),"")</f>
        <v>442475.87163000013</v>
      </c>
      <c r="H2793" s="43">
        <f>IFERROR(G2793*E2774,"")</f>
        <v>0</v>
      </c>
    </row>
    <row r="2794" spans="1:11" ht="12.75" customHeight="1">
      <c r="A2794" s="28"/>
      <c r="B2794" s="29"/>
      <c r="C2794" s="30" t="str">
        <f t="array" ref="C2794">IFERROR(_xlfn.XLOOKUP(B2794,MObra[[#All],[DESCRIPCION]],MObra[[#All],[UN]],,0),"")</f>
        <v/>
      </c>
      <c r="D2794" s="31"/>
      <c r="E2794" s="32" t="str">
        <f>IFERROR(_xlfn.XLOOKUP($B2794,MObra[DESCRIPCION],MObra[VALOR UNIT],,0),"")</f>
        <v/>
      </c>
      <c r="F2794" s="33"/>
      <c r="G2794" s="34" t="str">
        <f>IFERROR(IF(F2794&gt;=0,D2794*E2794*(1+F2794/100),ABS(D2794*E2794/F2794)),"")</f>
        <v/>
      </c>
      <c r="H2794" s="43" t="str">
        <f>IFERROR(G2794*E2774,"")</f>
        <v/>
      </c>
    </row>
    <row r="2795" spans="1:11" ht="12.75" customHeight="1" thickBot="1">
      <c r="A2795" s="35"/>
      <c r="B2795" s="36"/>
      <c r="C2795" s="37" t="str">
        <f t="array" ref="C2795">IFERROR(_xlfn.XLOOKUP(B2795,MObra[[#All],[DESCRIPCION]],MObra[[#All],[UN]],,0),"")</f>
        <v/>
      </c>
      <c r="D2795" s="38"/>
      <c r="E2795" s="39" t="str">
        <f>IFERROR(_xlfn.XLOOKUP($B2795,MObra[DESCRIPCION],MObra[VALOR UNIT],,0),"")</f>
        <v/>
      </c>
      <c r="F2795" s="40"/>
      <c r="G2795" s="41" t="str">
        <f>IFERROR(IF(F2795&gt;=0,D2795*E2795*(1+F2795/100),ABS(D2795*E2795/F2795)),"")</f>
        <v/>
      </c>
      <c r="H2795" s="42" t="str">
        <f>IFERROR(G2795*E2774,"")</f>
        <v/>
      </c>
    </row>
    <row r="2796" spans="1:11" ht="12.75" customHeight="1" thickTop="1" thickBot="1"/>
    <row r="2797" spans="1:11" ht="12.75" customHeight="1" thickTop="1" thickBot="1">
      <c r="A2797" s="6" t="s">
        <v>579</v>
      </c>
      <c r="B2797" s="7" t="str">
        <f>VLOOKUP($A2797,Presupuesto!$A:$D,2,FALSE())</f>
        <v>Viga - canal concreto 20.7 Mpa (1000 cm2 &lt;área sección transversal &lt;= 2000 cm2)</v>
      </c>
      <c r="C2797" s="8" t="str">
        <f>VLOOKUP($A2797,Presupuesto!$A:$D,3,FALSE())</f>
        <v>M3</v>
      </c>
      <c r="D2797" s="9"/>
      <c r="E2797" s="10">
        <f>VLOOKUP($A2797,Presupuesto!$A:$D,4,FALSE())</f>
        <v>0</v>
      </c>
      <c r="F2797" s="11" t="s">
        <v>2589</v>
      </c>
      <c r="G2797" s="12">
        <f>SUM(G2799:G2818)/2</f>
        <v>1545554.0276358388</v>
      </c>
      <c r="H2797" s="13">
        <f>ROUND(SUM(H2799:H2818),0)/2</f>
        <v>0</v>
      </c>
      <c r="I2797" s="10">
        <f>VLOOKUP(A2797,Presupuesto!$A:$F,6,0)</f>
        <v>0</v>
      </c>
      <c r="J2797" s="10">
        <f>+H2797-I2797</f>
        <v>0</v>
      </c>
      <c r="K2797" s="46">
        <f>+H2797-G2797*E2797</f>
        <v>0</v>
      </c>
    </row>
    <row r="2798" spans="1:11" ht="12.75" customHeight="1" thickTop="1">
      <c r="A2798" s="14"/>
      <c r="B2798" s="15" t="s">
        <v>2586</v>
      </c>
      <c r="C2798" s="15" t="s">
        <v>5</v>
      </c>
      <c r="D2798" s="16" t="s">
        <v>6</v>
      </c>
      <c r="E2798" s="17" t="s">
        <v>7</v>
      </c>
      <c r="F2798" s="18" t="s">
        <v>3728</v>
      </c>
      <c r="G2798" s="19" t="s">
        <v>3729</v>
      </c>
      <c r="H2798" s="20" t="s">
        <v>3797</v>
      </c>
    </row>
    <row r="2799" spans="1:11" ht="12.75" customHeight="1">
      <c r="A2799" s="21"/>
      <c r="B2799" s="22" t="s">
        <v>3730</v>
      </c>
      <c r="C2799" s="23"/>
      <c r="D2799" s="24"/>
      <c r="E2799" s="25"/>
      <c r="F2799" s="26"/>
      <c r="G2799" s="27">
        <f>SUM(G2800:G2804)</f>
        <v>973277.91242433863</v>
      </c>
      <c r="H2799" s="27">
        <f>IFERROR(G2799*E2797,"")</f>
        <v>0</v>
      </c>
    </row>
    <row r="2800" spans="1:11" ht="12.75" customHeight="1">
      <c r="A2800" s="28"/>
      <c r="B2800" s="29" t="s">
        <v>3239</v>
      </c>
      <c r="C2800" s="30" t="str">
        <f>IFERROR(_xlfn.XLOOKUP(B2800,Insumo[DESCRIPCION],Insumo[UND],,0),"")</f>
        <v>M3</v>
      </c>
      <c r="D2800" s="31">
        <v>1</v>
      </c>
      <c r="E2800" s="32">
        <f>IFERROR(_xlfn.XLOOKUP($B2800,Insumo[DESCRIPCION],Insumo[VALOR],,0),"")</f>
        <v>521159.50227762427</v>
      </c>
      <c r="F2800" s="33">
        <v>5</v>
      </c>
      <c r="G2800" s="34">
        <f>IFERROR(IF(F2800&gt;=0,D2800*E2800*(1+F2800/100),ABS(D2800*E2800/F2800)),"")</f>
        <v>547217.4773915055</v>
      </c>
      <c r="H2800" s="43">
        <f>IFERROR(G2800*E2797,"")</f>
        <v>0</v>
      </c>
    </row>
    <row r="2801" spans="1:8" ht="12.75" customHeight="1">
      <c r="A2801" s="28"/>
      <c r="B2801" s="29" t="s">
        <v>2957</v>
      </c>
      <c r="C2801" s="30" t="str">
        <f>IFERROR(_xlfn.XLOOKUP(B2801,Insumo[DESCRIPCION],Insumo[UND],,0),"")</f>
        <v>M2</v>
      </c>
      <c r="D2801" s="31">
        <v>5.5</v>
      </c>
      <c r="E2801" s="32">
        <f>IFERROR(_xlfn.XLOOKUP($B2801,Insumo[DESCRIPCION],Insumo[VALOR],,0),"")</f>
        <v>149544.7581937575</v>
      </c>
      <c r="F2801" s="33">
        <v>-2</v>
      </c>
      <c r="G2801" s="34">
        <f>IFERROR(IF(F2801&gt;=0,D2801*E2801*(1+F2801/100),ABS(D2801*E2801/F2801)),"")</f>
        <v>411248.08503283316</v>
      </c>
      <c r="H2801" s="43">
        <f>IFERROR(G2801*E2797,"")</f>
        <v>0</v>
      </c>
    </row>
    <row r="2802" spans="1:8" ht="12.75" customHeight="1">
      <c r="A2802" s="28"/>
      <c r="B2802" s="29" t="s">
        <v>2709</v>
      </c>
      <c r="C2802" s="30" t="str">
        <f>IFERROR(_xlfn.XLOOKUP(B2802,Insumo[DESCRIPCION],Insumo[UND],,0),"")</f>
        <v>Kg</v>
      </c>
      <c r="D2802" s="31">
        <v>1</v>
      </c>
      <c r="E2802" s="32">
        <f>IFERROR(_xlfn.XLOOKUP($B2802,Insumo[DESCRIPCION],Insumo[VALOR],,0),"")</f>
        <v>14812.35</v>
      </c>
      <c r="F2802" s="33"/>
      <c r="G2802" s="34">
        <f>IFERROR(IF(F2802&gt;=0,D2802*E2802*(1+F2802/100),ABS(D2802*E2802/F2802)),"")</f>
        <v>14812.35</v>
      </c>
      <c r="H2802" s="43">
        <f>IFERROR(G2802*E2797,"")</f>
        <v>0</v>
      </c>
    </row>
    <row r="2803" spans="1:8" ht="12.75" customHeight="1">
      <c r="A2803" s="28"/>
      <c r="B2803" s="29"/>
      <c r="C2803" s="30" t="str">
        <f>IFERROR(_xlfn.XLOOKUP(B2803,Insumo[DESCRIPCION],Insumo[UND],,0),"")</f>
        <v/>
      </c>
      <c r="D2803" s="31"/>
      <c r="E2803" s="32" t="str">
        <f>IFERROR(_xlfn.XLOOKUP($B2803,Insumo[DESCRIPCION],Insumo[VALOR],,0),"")</f>
        <v/>
      </c>
      <c r="F2803" s="33"/>
      <c r="G2803" s="34" t="str">
        <f>IFERROR(IF(F2803&gt;=0,D2803*E2803*(1+F2803/100),ABS(D2803*E2803/F2803)),"")</f>
        <v/>
      </c>
      <c r="H2803" s="43" t="str">
        <f>IFERROR(G2803*E2797,"")</f>
        <v/>
      </c>
    </row>
    <row r="2804" spans="1:8" ht="12.75" customHeight="1">
      <c r="A2804" s="28"/>
      <c r="B2804" s="29"/>
      <c r="C2804" s="30" t="str">
        <f>IFERROR(_xlfn.XLOOKUP(B2804,Insumo[DESCRIPCION],Insumo[UND],,0),"")</f>
        <v/>
      </c>
      <c r="D2804" s="31"/>
      <c r="E2804" s="32" t="str">
        <f>IFERROR(_xlfn.XLOOKUP($B2804,Insumo[DESCRIPCION],Insumo[VALOR],,0),"")</f>
        <v/>
      </c>
      <c r="F2804" s="33"/>
      <c r="G2804" s="34" t="str">
        <f>IFERROR(IF(F2804&gt;=0,D2804*E2804*(1+F2804/100),ABS(D2804*E2804/F2804)),"")</f>
        <v/>
      </c>
      <c r="H2804" s="43" t="str">
        <f>IFERROR(G2804*E2797,"")</f>
        <v/>
      </c>
    </row>
    <row r="2805" spans="1:8" ht="12.75" customHeight="1">
      <c r="A2805" s="21"/>
      <c r="B2805" s="22" t="s">
        <v>3731</v>
      </c>
      <c r="C2805" s="23"/>
      <c r="D2805" s="24"/>
      <c r="E2805" s="25"/>
      <c r="F2805" s="26"/>
      <c r="G2805" s="27">
        <f>SUM(G2806:G2811)</f>
        <v>129800.24358150002</v>
      </c>
      <c r="H2805" s="44">
        <f>G2805*E2797</f>
        <v>0</v>
      </c>
    </row>
    <row r="2806" spans="1:8" ht="12.75" customHeight="1">
      <c r="A2806" s="28"/>
      <c r="B2806" s="29" t="s">
        <v>3657</v>
      </c>
      <c r="C2806" s="30" t="str">
        <f>IFERROR(_xlfn.XLOOKUP(B2806,Equipo[DESCRIPCION],Equipo[UND],,0),"")</f>
        <v>Día</v>
      </c>
      <c r="D2806" s="31">
        <v>1</v>
      </c>
      <c r="E2806" s="32">
        <f>IF(C2806="%MO",G2815,IFERROR(_xlfn.XLOOKUP($B2806,Equipo[DESCRIPCION],Equipo[VALOR],,0),""))</f>
        <v>56524.65</v>
      </c>
      <c r="F2806" s="33">
        <v>-4</v>
      </c>
      <c r="G2806" s="34">
        <f t="shared" ref="G2806:G2811" si="29">IFERROR(IF(F2806&gt;=0,D2806*E2806*(1+F2806/100),ABS(D2806*E2806/F2806)),"")</f>
        <v>14131.1625</v>
      </c>
      <c r="H2806" s="43">
        <f>IFERROR(G2806*E2797,"")</f>
        <v>0</v>
      </c>
    </row>
    <row r="2807" spans="1:8" ht="12.75" customHeight="1">
      <c r="A2807" s="28"/>
      <c r="B2807" s="29" t="s">
        <v>3652</v>
      </c>
      <c r="C2807" s="30" t="str">
        <f>IFERROR(_xlfn.XLOOKUP(B2807,Equipo[DESCRIPCION],Equipo[UND],,0),"")</f>
        <v>Día</v>
      </c>
      <c r="D2807" s="31">
        <v>1</v>
      </c>
      <c r="E2807" s="32">
        <f>IF(C2807="%MO",G2816,IFERROR(_xlfn.XLOOKUP($B2807,Equipo[DESCRIPCION],Equipo[VALOR],,0),""))</f>
        <v>635.25</v>
      </c>
      <c r="F2807" s="33">
        <v>-0.03</v>
      </c>
      <c r="G2807" s="34">
        <f t="shared" si="29"/>
        <v>21175</v>
      </c>
      <c r="H2807" s="43">
        <f>IFERROR(G2807*E2797,"")</f>
        <v>0</v>
      </c>
    </row>
    <row r="2808" spans="1:8" ht="12.75" customHeight="1">
      <c r="A2808" s="28"/>
      <c r="B2808" s="29" t="s">
        <v>3591</v>
      </c>
      <c r="C2808" s="30" t="str">
        <f>IFERROR(_xlfn.XLOOKUP(B2808,Equipo[DESCRIPCION],Equipo[UND],,0),"")</f>
        <v>Día</v>
      </c>
      <c r="D2808" s="31">
        <v>1</v>
      </c>
      <c r="E2808" s="32">
        <f>IF(C2808="%MO",G2817,IFERROR(_xlfn.XLOOKUP($B2808,Equipo[DESCRIPCION],Equipo[VALOR],,0),""))</f>
        <v>635.25</v>
      </c>
      <c r="F2808" s="33">
        <v>-0.03</v>
      </c>
      <c r="G2808" s="34">
        <f t="shared" si="29"/>
        <v>21175</v>
      </c>
      <c r="H2808" s="43">
        <f>IFERROR(G2808*E2797,"")</f>
        <v>0</v>
      </c>
    </row>
    <row r="2809" spans="1:8" ht="12.75" customHeight="1">
      <c r="A2809" s="28"/>
      <c r="B2809" s="29" t="s">
        <v>3651</v>
      </c>
      <c r="C2809" s="30" t="str">
        <f>IFERROR(_xlfn.XLOOKUP(B2809,Equipo[DESCRIPCION],Equipo[UND],,0),"")</f>
        <v>Día</v>
      </c>
      <c r="D2809" s="31">
        <v>1</v>
      </c>
      <c r="E2809" s="32">
        <f>IF(C2809="%MO",G2818,IFERROR(_xlfn.XLOOKUP($B2809,Equipo[DESCRIPCION],Equipo[VALOR],,0),""))</f>
        <v>981.75</v>
      </c>
      <c r="F2809" s="33">
        <v>-0.03</v>
      </c>
      <c r="G2809" s="34">
        <f t="shared" si="29"/>
        <v>32725</v>
      </c>
      <c r="H2809" s="43">
        <f>IFERROR(G2809*E2797,"")</f>
        <v>0</v>
      </c>
    </row>
    <row r="2810" spans="1:8" ht="12.75" customHeight="1">
      <c r="A2810" s="28"/>
      <c r="B2810" s="29" t="s">
        <v>3640</v>
      </c>
      <c r="C2810" s="30" t="str">
        <f>IFERROR(_xlfn.XLOOKUP(B2810,Equipo[DESCRIPCION],Equipo[UND],,0),"")</f>
        <v>Día</v>
      </c>
      <c r="D2810" s="31">
        <v>1</v>
      </c>
      <c r="E2810" s="32">
        <f>IF(C2810="%MO",G2820,IFERROR(_xlfn.XLOOKUP($B2810,Equipo[DESCRIPCION],Equipo[VALOR],,0),""))</f>
        <v>73881.150000000009</v>
      </c>
      <c r="F2810" s="33">
        <v>-4</v>
      </c>
      <c r="G2810" s="34">
        <f t="shared" si="29"/>
        <v>18470.287500000002</v>
      </c>
      <c r="H2810" s="43">
        <f>IFERROR(G2810*E2797,"")</f>
        <v>0</v>
      </c>
    </row>
    <row r="2811" spans="1:8" ht="12.75" customHeight="1">
      <c r="A2811" s="28"/>
      <c r="B2811" s="29" t="s">
        <v>3626</v>
      </c>
      <c r="C2811" s="30" t="str">
        <f>IFERROR(_xlfn.XLOOKUP(B2811,Equipo[DESCRIPCION],Equipo[UND],,0),"")</f>
        <v>%MO</v>
      </c>
      <c r="D2811" s="31">
        <v>0.05</v>
      </c>
      <c r="E2811" s="32">
        <f>IF(C2811="%MO",G2815,IFERROR(_xlfn.XLOOKUP($B2811,Equipo[DESCRIPCION],Equipo[VALOR],,0),""))</f>
        <v>442475.87163000013</v>
      </c>
      <c r="F2811" s="33"/>
      <c r="G2811" s="34">
        <f t="shared" si="29"/>
        <v>22123.793581500009</v>
      </c>
      <c r="H2811" s="43">
        <f>IFERROR(G2811*E2797,"")</f>
        <v>0</v>
      </c>
    </row>
    <row r="2812" spans="1:8" ht="12.75" customHeight="1">
      <c r="A2812" s="21"/>
      <c r="B2812" s="22" t="s">
        <v>2533</v>
      </c>
      <c r="C2812" s="23"/>
      <c r="D2812" s="24"/>
      <c r="E2812" s="25"/>
      <c r="F2812" s="26"/>
      <c r="G2812" s="27">
        <f>SUM(G2813:G2814)</f>
        <v>0</v>
      </c>
      <c r="H2812" s="44">
        <f>G2812*E2797</f>
        <v>0</v>
      </c>
    </row>
    <row r="2813" spans="1:8" ht="12.75" customHeight="1">
      <c r="A2813" s="28"/>
      <c r="B2813" s="29"/>
      <c r="C2813" s="30" t="str">
        <f>IFERROR(_xlfn.XLOOKUP(B2813,Transporte[DESCRIPCION],Transporte[UND],,0),"")</f>
        <v/>
      </c>
      <c r="D2813" s="31"/>
      <c r="E2813" s="32" t="str">
        <f>IFERROR(_xlfn.XLOOKUP($B2813,Transporte[DESCRIPCION],Transporte[VALOR],,0),"")</f>
        <v/>
      </c>
      <c r="F2813" s="33"/>
      <c r="G2813" s="34" t="str">
        <f>IFERROR(IF(F2813&gt;=0,D2813*E2813*(1+F2813/100),ABS(D2813*E2813/F2813)),"")</f>
        <v/>
      </c>
      <c r="H2813" s="43" t="str">
        <f>IFERROR(G2813*E2797,"")</f>
        <v/>
      </c>
    </row>
    <row r="2814" spans="1:8" ht="12.75" customHeight="1">
      <c r="A2814" s="28"/>
      <c r="B2814" s="29"/>
      <c r="C2814" s="30" t="str">
        <f>IFERROR(_xlfn.XLOOKUP(B2814,Transporte[DESCRIPCION],Transporte[UND],,0),"")</f>
        <v/>
      </c>
      <c r="D2814" s="31"/>
      <c r="E2814" s="32" t="str">
        <f>IFERROR(_xlfn.XLOOKUP($B2814,Transporte[DESCRIPCION],Transporte[VALOR],,0),"")</f>
        <v/>
      </c>
      <c r="F2814" s="33"/>
      <c r="G2814" s="34" t="str">
        <f>IFERROR(IF(F2814&gt;=0,D2814*E2814*(1+F2814/100),ABS(D2814*E2814/F2814)),"")</f>
        <v/>
      </c>
      <c r="H2814" s="43" t="str">
        <f>IFERROR(G2814*E2797,"")</f>
        <v/>
      </c>
    </row>
    <row r="2815" spans="1:8" ht="12.75" customHeight="1">
      <c r="A2815" s="21"/>
      <c r="B2815" s="22" t="s">
        <v>3732</v>
      </c>
      <c r="C2815" s="23"/>
      <c r="D2815" s="24"/>
      <c r="E2815" s="25"/>
      <c r="F2815" s="26"/>
      <c r="G2815" s="27">
        <f>SUM(G2816:G2818)</f>
        <v>442475.87163000013</v>
      </c>
      <c r="H2815" s="44">
        <f>G2815*E2797</f>
        <v>0</v>
      </c>
    </row>
    <row r="2816" spans="1:8" ht="12.75" customHeight="1">
      <c r="A2816" s="28"/>
      <c r="B2816" s="29" t="s">
        <v>3713</v>
      </c>
      <c r="C2816" s="30" t="str">
        <f>IFERROR(_xlfn.XLOOKUP(B2816,MObra[DESCRIPCION],MObra[UN],,0),"")</f>
        <v>día</v>
      </c>
      <c r="D2816" s="31">
        <v>1</v>
      </c>
      <c r="E2816" s="32">
        <f>IFERROR(_xlfn.XLOOKUP($B2816,MObra[DESCRIPCION],MObra[VALOR UNIT],,0),"")</f>
        <v>663713.80744500016</v>
      </c>
      <c r="F2816" s="33">
        <v>-1.5</v>
      </c>
      <c r="G2816" s="34">
        <f>IFERROR(IF(F2816&gt;=0,D2816*E2816*(1+F2816/100),ABS(D2816*E2816/F2816)),"")</f>
        <v>442475.87163000013</v>
      </c>
      <c r="H2816" s="43">
        <f>IFERROR(G2816*E2797,"")</f>
        <v>0</v>
      </c>
    </row>
    <row r="2817" spans="1:11" ht="12.75" customHeight="1">
      <c r="A2817" s="28"/>
      <c r="B2817" s="29"/>
      <c r="C2817" s="30" t="str">
        <f t="array" ref="C2817">IFERROR(_xlfn.XLOOKUP(B2817,MObra[[#All],[DESCRIPCION]],MObra[[#All],[UN]],,0),"")</f>
        <v/>
      </c>
      <c r="D2817" s="31"/>
      <c r="E2817" s="32" t="str">
        <f>IFERROR(_xlfn.XLOOKUP($B2817,MObra[DESCRIPCION],MObra[VALOR UNIT],,0),"")</f>
        <v/>
      </c>
      <c r="F2817" s="33"/>
      <c r="G2817" s="34" t="str">
        <f>IFERROR(IF(F2817&gt;=0,D2817*E2817*(1+F2817/100),ABS(D2817*E2817/F2817)),"")</f>
        <v/>
      </c>
      <c r="H2817" s="43" t="str">
        <f>IFERROR(G2817*E2797,"")</f>
        <v/>
      </c>
    </row>
    <row r="2818" spans="1:11" ht="12.75" customHeight="1" thickBot="1">
      <c r="A2818" s="35"/>
      <c r="B2818" s="36"/>
      <c r="C2818" s="37" t="str">
        <f t="array" ref="C2818">IFERROR(_xlfn.XLOOKUP(B2818,MObra[[#All],[DESCRIPCION]],MObra[[#All],[UN]],,0),"")</f>
        <v/>
      </c>
      <c r="D2818" s="38"/>
      <c r="E2818" s="39" t="str">
        <f>IFERROR(_xlfn.XLOOKUP($B2818,MObra[DESCRIPCION],MObra[VALOR UNIT],,0),"")</f>
        <v/>
      </c>
      <c r="F2818" s="40"/>
      <c r="G2818" s="41" t="str">
        <f>IFERROR(IF(F2818&gt;=0,D2818*E2818*(1+F2818/100),ABS(D2818*E2818/F2818)),"")</f>
        <v/>
      </c>
      <c r="H2818" s="42" t="str">
        <f>IFERROR(G2818*E2797,"")</f>
        <v/>
      </c>
    </row>
    <row r="2819" spans="1:11" ht="12.75" customHeight="1" thickTop="1" thickBot="1"/>
    <row r="2820" spans="1:11" ht="12.75" customHeight="1" thickTop="1" thickBot="1">
      <c r="A2820" s="6" t="s">
        <v>581</v>
      </c>
      <c r="B2820" s="7" t="str">
        <f>VLOOKUP($A2820,Presupuesto!$A:$D,2,FALSE())</f>
        <v>Viga - canal concreto 20.7 Mpa (área sección transversal &gt; 2000 cm2)</v>
      </c>
      <c r="C2820" s="8" t="str">
        <f>VLOOKUP($A2820,Presupuesto!$A:$D,3,FALSE())</f>
        <v>M3</v>
      </c>
      <c r="D2820" s="9"/>
      <c r="E2820" s="10">
        <f>VLOOKUP($A2820,Presupuesto!$A:$D,4,FALSE())</f>
        <v>0</v>
      </c>
      <c r="F2820" s="11" t="s">
        <v>2589</v>
      </c>
      <c r="G2820" s="12">
        <f>SUM(G2822:G2841)/2</f>
        <v>1508167.8380873995</v>
      </c>
      <c r="H2820" s="13">
        <f>ROUND(SUM(H2822:H2841),0)/2</f>
        <v>0</v>
      </c>
      <c r="I2820" s="10">
        <f>VLOOKUP(A2820,Presupuesto!$A:$F,6,0)</f>
        <v>0</v>
      </c>
      <c r="J2820" s="10">
        <f>+H2820-I2820</f>
        <v>0</v>
      </c>
      <c r="K2820" s="46">
        <f>+H2820-G2820*E2820</f>
        <v>0</v>
      </c>
    </row>
    <row r="2821" spans="1:11" ht="12.75" customHeight="1" thickTop="1">
      <c r="A2821" s="14"/>
      <c r="B2821" s="15" t="s">
        <v>2586</v>
      </c>
      <c r="C2821" s="15" t="s">
        <v>5</v>
      </c>
      <c r="D2821" s="16" t="s">
        <v>6</v>
      </c>
      <c r="E2821" s="17" t="s">
        <v>7</v>
      </c>
      <c r="F2821" s="18" t="s">
        <v>3728</v>
      </c>
      <c r="G2821" s="19" t="s">
        <v>3729</v>
      </c>
      <c r="H2821" s="20" t="s">
        <v>3797</v>
      </c>
    </row>
    <row r="2822" spans="1:11" ht="12.75" customHeight="1">
      <c r="A2822" s="21"/>
      <c r="B2822" s="22" t="s">
        <v>3730</v>
      </c>
      <c r="C2822" s="23"/>
      <c r="D2822" s="24"/>
      <c r="E2822" s="25"/>
      <c r="F2822" s="26"/>
      <c r="G2822" s="27">
        <f>SUM(G2823:G2827)</f>
        <v>935891.72287589929</v>
      </c>
      <c r="H2822" s="27">
        <f>IFERROR(G2822*E2820,"")</f>
        <v>0</v>
      </c>
    </row>
    <row r="2823" spans="1:11" ht="12.75" customHeight="1">
      <c r="A2823" s="28"/>
      <c r="B2823" s="29" t="s">
        <v>3239</v>
      </c>
      <c r="C2823" s="30" t="str">
        <f>IFERROR(_xlfn.XLOOKUP(B2823,Insumo[DESCRIPCION],Insumo[UND],,0),"")</f>
        <v>M3</v>
      </c>
      <c r="D2823" s="31">
        <v>1</v>
      </c>
      <c r="E2823" s="32">
        <f>IFERROR(_xlfn.XLOOKUP($B2823,Insumo[DESCRIPCION],Insumo[VALOR],,0),"")</f>
        <v>521159.50227762427</v>
      </c>
      <c r="F2823" s="33">
        <v>5</v>
      </c>
      <c r="G2823" s="34">
        <f>IFERROR(IF(F2823&gt;=0,D2823*E2823*(1+F2823/100),ABS(D2823*E2823/F2823)),"")</f>
        <v>547217.4773915055</v>
      </c>
      <c r="H2823" s="43">
        <f>IFERROR(G2823*E2820,"")</f>
        <v>0</v>
      </c>
    </row>
    <row r="2824" spans="1:11" ht="12.75" customHeight="1">
      <c r="A2824" s="28"/>
      <c r="B2824" s="29" t="s">
        <v>2957</v>
      </c>
      <c r="C2824" s="30" t="str">
        <f>IFERROR(_xlfn.XLOOKUP(B2824,Insumo[DESCRIPCION],Insumo[UND],,0),"")</f>
        <v>M2</v>
      </c>
      <c r="D2824" s="31">
        <v>5</v>
      </c>
      <c r="E2824" s="32">
        <f>IFERROR(_xlfn.XLOOKUP($B2824,Insumo[DESCRIPCION],Insumo[VALOR],,0),"")</f>
        <v>149544.7581937575</v>
      </c>
      <c r="F2824" s="33">
        <v>-2</v>
      </c>
      <c r="G2824" s="34">
        <f>IFERROR(IF(F2824&gt;=0,D2824*E2824*(1+F2824/100),ABS(D2824*E2824/F2824)),"")</f>
        <v>373861.89548439375</v>
      </c>
      <c r="H2824" s="43">
        <f>IFERROR(G2824*E2820,"")</f>
        <v>0</v>
      </c>
    </row>
    <row r="2825" spans="1:11" ht="12.75" customHeight="1">
      <c r="A2825" s="28"/>
      <c r="B2825" s="29" t="s">
        <v>2709</v>
      </c>
      <c r="C2825" s="30" t="str">
        <f>IFERROR(_xlfn.XLOOKUP(B2825,Insumo[DESCRIPCION],Insumo[UND],,0),"")</f>
        <v>Kg</v>
      </c>
      <c r="D2825" s="31">
        <v>1</v>
      </c>
      <c r="E2825" s="32">
        <f>IFERROR(_xlfn.XLOOKUP($B2825,Insumo[DESCRIPCION],Insumo[VALOR],,0),"")</f>
        <v>14812.35</v>
      </c>
      <c r="F2825" s="33"/>
      <c r="G2825" s="34">
        <f>IFERROR(IF(F2825&gt;=0,D2825*E2825*(1+F2825/100),ABS(D2825*E2825/F2825)),"")</f>
        <v>14812.35</v>
      </c>
      <c r="H2825" s="43">
        <f>IFERROR(G2825*E2820,"")</f>
        <v>0</v>
      </c>
    </row>
    <row r="2826" spans="1:11" ht="12.75" customHeight="1">
      <c r="A2826" s="28"/>
      <c r="B2826" s="29"/>
      <c r="C2826" s="30" t="str">
        <f>IFERROR(_xlfn.XLOOKUP(B2826,Insumo[DESCRIPCION],Insumo[UND],,0),"")</f>
        <v/>
      </c>
      <c r="D2826" s="31"/>
      <c r="E2826" s="32" t="str">
        <f>IFERROR(_xlfn.XLOOKUP($B2826,Insumo[DESCRIPCION],Insumo[VALOR],,0),"")</f>
        <v/>
      </c>
      <c r="F2826" s="33"/>
      <c r="G2826" s="34" t="str">
        <f>IFERROR(IF(F2826&gt;=0,D2826*E2826*(1+F2826/100),ABS(D2826*E2826/F2826)),"")</f>
        <v/>
      </c>
      <c r="H2826" s="43" t="str">
        <f>IFERROR(G2826*E2820,"")</f>
        <v/>
      </c>
    </row>
    <row r="2827" spans="1:11" ht="12.75" customHeight="1">
      <c r="A2827" s="28"/>
      <c r="B2827" s="29"/>
      <c r="C2827" s="30" t="str">
        <f>IFERROR(_xlfn.XLOOKUP(B2827,Insumo[DESCRIPCION],Insumo[UND],,0),"")</f>
        <v/>
      </c>
      <c r="D2827" s="31"/>
      <c r="E2827" s="32" t="str">
        <f>IFERROR(_xlfn.XLOOKUP($B2827,Insumo[DESCRIPCION],Insumo[VALOR],,0),"")</f>
        <v/>
      </c>
      <c r="F2827" s="33"/>
      <c r="G2827" s="34" t="str">
        <f>IFERROR(IF(F2827&gt;=0,D2827*E2827*(1+F2827/100),ABS(D2827*E2827/F2827)),"")</f>
        <v/>
      </c>
      <c r="H2827" s="43" t="str">
        <f>IFERROR(G2827*E2820,"")</f>
        <v/>
      </c>
    </row>
    <row r="2828" spans="1:11" ht="12.75" customHeight="1">
      <c r="A2828" s="21"/>
      <c r="B2828" s="22" t="s">
        <v>3731</v>
      </c>
      <c r="C2828" s="23"/>
      <c r="D2828" s="24"/>
      <c r="E2828" s="25"/>
      <c r="F2828" s="26"/>
      <c r="G2828" s="27">
        <f>SUM(G2829:G2834)</f>
        <v>129800.24358150002</v>
      </c>
      <c r="H2828" s="44">
        <f>G2828*E2820</f>
        <v>0</v>
      </c>
    </row>
    <row r="2829" spans="1:11" ht="12.75" customHeight="1">
      <c r="A2829" s="28"/>
      <c r="B2829" s="29" t="s">
        <v>3657</v>
      </c>
      <c r="C2829" s="30" t="str">
        <f>IFERROR(_xlfn.XLOOKUP(B2829,Equipo[DESCRIPCION],Equipo[UND],,0),"")</f>
        <v>Día</v>
      </c>
      <c r="D2829" s="31">
        <v>1</v>
      </c>
      <c r="E2829" s="32">
        <f>IF(C2829="%MO",G2838,IFERROR(_xlfn.XLOOKUP($B2829,Equipo[DESCRIPCION],Equipo[VALOR],,0),""))</f>
        <v>56524.65</v>
      </c>
      <c r="F2829" s="33">
        <v>-4</v>
      </c>
      <c r="G2829" s="34">
        <f t="shared" ref="G2829:G2834" si="30">IFERROR(IF(F2829&gt;=0,D2829*E2829*(1+F2829/100),ABS(D2829*E2829/F2829)),"")</f>
        <v>14131.1625</v>
      </c>
      <c r="H2829" s="43">
        <f>IFERROR(G2829*E2820,"")</f>
        <v>0</v>
      </c>
    </row>
    <row r="2830" spans="1:11" ht="12.75" customHeight="1">
      <c r="A2830" s="28"/>
      <c r="B2830" s="29" t="s">
        <v>3652</v>
      </c>
      <c r="C2830" s="30" t="str">
        <f>IFERROR(_xlfn.XLOOKUP(B2830,Equipo[DESCRIPCION],Equipo[UND],,0),"")</f>
        <v>Día</v>
      </c>
      <c r="D2830" s="31">
        <v>1</v>
      </c>
      <c r="E2830" s="32">
        <f>IF(C2830="%MO",G2839,IFERROR(_xlfn.XLOOKUP($B2830,Equipo[DESCRIPCION],Equipo[VALOR],,0),""))</f>
        <v>635.25</v>
      </c>
      <c r="F2830" s="33">
        <v>-0.03</v>
      </c>
      <c r="G2830" s="34">
        <f t="shared" si="30"/>
        <v>21175</v>
      </c>
      <c r="H2830" s="43">
        <f>IFERROR(G2830*E2820,"")</f>
        <v>0</v>
      </c>
    </row>
    <row r="2831" spans="1:11" ht="12.75" customHeight="1">
      <c r="A2831" s="28"/>
      <c r="B2831" s="29" t="s">
        <v>3591</v>
      </c>
      <c r="C2831" s="30" t="str">
        <f>IFERROR(_xlfn.XLOOKUP(B2831,Equipo[DESCRIPCION],Equipo[UND],,0),"")</f>
        <v>Día</v>
      </c>
      <c r="D2831" s="31">
        <v>1</v>
      </c>
      <c r="E2831" s="32">
        <f>IF(C2831="%MO",G2840,IFERROR(_xlfn.XLOOKUP($B2831,Equipo[DESCRIPCION],Equipo[VALOR],,0),""))</f>
        <v>635.25</v>
      </c>
      <c r="F2831" s="33">
        <v>-0.03</v>
      </c>
      <c r="G2831" s="34">
        <f t="shared" si="30"/>
        <v>21175</v>
      </c>
      <c r="H2831" s="43">
        <f>IFERROR(G2831*E2820,"")</f>
        <v>0</v>
      </c>
    </row>
    <row r="2832" spans="1:11" ht="12.75" customHeight="1">
      <c r="A2832" s="28"/>
      <c r="B2832" s="29" t="s">
        <v>3651</v>
      </c>
      <c r="C2832" s="30" t="str">
        <f>IFERROR(_xlfn.XLOOKUP(B2832,Equipo[DESCRIPCION],Equipo[UND],,0),"")</f>
        <v>Día</v>
      </c>
      <c r="D2832" s="31">
        <v>1</v>
      </c>
      <c r="E2832" s="32">
        <f>IF(C2832="%MO",G2841,IFERROR(_xlfn.XLOOKUP($B2832,Equipo[DESCRIPCION],Equipo[VALOR],,0),""))</f>
        <v>981.75</v>
      </c>
      <c r="F2832" s="33">
        <v>-0.03</v>
      </c>
      <c r="G2832" s="34">
        <f t="shared" si="30"/>
        <v>32725</v>
      </c>
      <c r="H2832" s="43">
        <f>IFERROR(G2832*E2820,"")</f>
        <v>0</v>
      </c>
    </row>
    <row r="2833" spans="1:11" ht="12.75" customHeight="1">
      <c r="A2833" s="28"/>
      <c r="B2833" s="29" t="s">
        <v>3640</v>
      </c>
      <c r="C2833" s="30" t="str">
        <f>IFERROR(_xlfn.XLOOKUP(B2833,Equipo[DESCRIPCION],Equipo[UND],,0),"")</f>
        <v>Día</v>
      </c>
      <c r="D2833" s="31">
        <v>1</v>
      </c>
      <c r="E2833" s="32">
        <f>IF(C2833="%MO",G2843,IFERROR(_xlfn.XLOOKUP($B2833,Equipo[DESCRIPCION],Equipo[VALOR],,0),""))</f>
        <v>73881.150000000009</v>
      </c>
      <c r="F2833" s="33">
        <v>-4</v>
      </c>
      <c r="G2833" s="34">
        <f t="shared" si="30"/>
        <v>18470.287500000002</v>
      </c>
      <c r="H2833" s="43">
        <f>IFERROR(G2833*E2820,"")</f>
        <v>0</v>
      </c>
    </row>
    <row r="2834" spans="1:11" ht="12.75" customHeight="1">
      <c r="A2834" s="28"/>
      <c r="B2834" s="29" t="s">
        <v>3626</v>
      </c>
      <c r="C2834" s="30" t="str">
        <f>IFERROR(_xlfn.XLOOKUP(B2834,Equipo[DESCRIPCION],Equipo[UND],,0),"")</f>
        <v>%MO</v>
      </c>
      <c r="D2834" s="31">
        <v>0.05</v>
      </c>
      <c r="E2834" s="32">
        <f>IF(C2834="%MO",G2838,IFERROR(_xlfn.XLOOKUP($B2834,Equipo[DESCRIPCION],Equipo[VALOR],,0),""))</f>
        <v>442475.87163000013</v>
      </c>
      <c r="F2834" s="33"/>
      <c r="G2834" s="34">
        <f t="shared" si="30"/>
        <v>22123.793581500009</v>
      </c>
      <c r="H2834" s="43">
        <f>IFERROR(G2834*E2820,"")</f>
        <v>0</v>
      </c>
    </row>
    <row r="2835" spans="1:11" ht="12.75" customHeight="1">
      <c r="A2835" s="21"/>
      <c r="B2835" s="22" t="s">
        <v>2533</v>
      </c>
      <c r="C2835" s="23"/>
      <c r="D2835" s="24"/>
      <c r="E2835" s="25"/>
      <c r="F2835" s="26"/>
      <c r="G2835" s="27">
        <f>SUM(G2836:G2837)</f>
        <v>0</v>
      </c>
      <c r="H2835" s="44">
        <f>G2835*E2820</f>
        <v>0</v>
      </c>
    </row>
    <row r="2836" spans="1:11" ht="12.75" customHeight="1">
      <c r="A2836" s="28"/>
      <c r="B2836" s="29"/>
      <c r="C2836" s="30" t="str">
        <f>IFERROR(_xlfn.XLOOKUP(B2836,Transporte[DESCRIPCION],Transporte[UND],,0),"")</f>
        <v/>
      </c>
      <c r="D2836" s="31"/>
      <c r="E2836" s="32" t="str">
        <f>IFERROR(_xlfn.XLOOKUP($B2836,Transporte[DESCRIPCION],Transporte[VALOR],,0),"")</f>
        <v/>
      </c>
      <c r="F2836" s="33"/>
      <c r="G2836" s="34" t="str">
        <f>IFERROR(IF(F2836&gt;=0,D2836*E2836*(1+F2836/100),ABS(D2836*E2836/F2836)),"")</f>
        <v/>
      </c>
      <c r="H2836" s="43" t="str">
        <f>IFERROR(G2836*E2820,"")</f>
        <v/>
      </c>
    </row>
    <row r="2837" spans="1:11" ht="12.75" customHeight="1">
      <c r="A2837" s="28"/>
      <c r="B2837" s="29"/>
      <c r="C2837" s="30" t="str">
        <f>IFERROR(_xlfn.XLOOKUP(B2837,Transporte[DESCRIPCION],Transporte[UND],,0),"")</f>
        <v/>
      </c>
      <c r="D2837" s="31"/>
      <c r="E2837" s="32" t="str">
        <f>IFERROR(_xlfn.XLOOKUP($B2837,Transporte[DESCRIPCION],Transporte[VALOR],,0),"")</f>
        <v/>
      </c>
      <c r="F2837" s="33"/>
      <c r="G2837" s="34" t="str">
        <f>IFERROR(IF(F2837&gt;=0,D2837*E2837*(1+F2837/100),ABS(D2837*E2837/F2837)),"")</f>
        <v/>
      </c>
      <c r="H2837" s="43" t="str">
        <f>IFERROR(G2837*E2820,"")</f>
        <v/>
      </c>
    </row>
    <row r="2838" spans="1:11" ht="12.75" customHeight="1">
      <c r="A2838" s="21"/>
      <c r="B2838" s="22" t="s">
        <v>3732</v>
      </c>
      <c r="C2838" s="23"/>
      <c r="D2838" s="24"/>
      <c r="E2838" s="25"/>
      <c r="F2838" s="26"/>
      <c r="G2838" s="27">
        <f>SUM(G2839:G2841)</f>
        <v>442475.87163000013</v>
      </c>
      <c r="H2838" s="44">
        <f>G2838*E2820</f>
        <v>0</v>
      </c>
    </row>
    <row r="2839" spans="1:11" ht="12.75" customHeight="1">
      <c r="A2839" s="28"/>
      <c r="B2839" s="29" t="s">
        <v>3713</v>
      </c>
      <c r="C2839" s="30" t="str">
        <f>IFERROR(_xlfn.XLOOKUP(B2839,MObra[DESCRIPCION],MObra[UN],,0),"")</f>
        <v>día</v>
      </c>
      <c r="D2839" s="31">
        <v>1</v>
      </c>
      <c r="E2839" s="32">
        <f>IFERROR(_xlfn.XLOOKUP($B2839,MObra[DESCRIPCION],MObra[VALOR UNIT],,0),"")</f>
        <v>663713.80744500016</v>
      </c>
      <c r="F2839" s="33">
        <v>-1.5</v>
      </c>
      <c r="G2839" s="34">
        <f>IFERROR(IF(F2839&gt;=0,D2839*E2839*(1+F2839/100),ABS(D2839*E2839/F2839)),"")</f>
        <v>442475.87163000013</v>
      </c>
      <c r="H2839" s="43">
        <f>IFERROR(G2839*E2820,"")</f>
        <v>0</v>
      </c>
    </row>
    <row r="2840" spans="1:11" ht="12.75" customHeight="1">
      <c r="A2840" s="28"/>
      <c r="B2840" s="29"/>
      <c r="C2840" s="30" t="str">
        <f t="array" ref="C2840">IFERROR(_xlfn.XLOOKUP(B2840,MObra[[#All],[DESCRIPCION]],MObra[[#All],[UN]],,0),"")</f>
        <v/>
      </c>
      <c r="D2840" s="31"/>
      <c r="E2840" s="32" t="str">
        <f>IFERROR(_xlfn.XLOOKUP($B2840,MObra[DESCRIPCION],MObra[VALOR UNIT],,0),"")</f>
        <v/>
      </c>
      <c r="F2840" s="33"/>
      <c r="G2840" s="34" t="str">
        <f>IFERROR(IF(F2840&gt;=0,D2840*E2840*(1+F2840/100),ABS(D2840*E2840/F2840)),"")</f>
        <v/>
      </c>
      <c r="H2840" s="43" t="str">
        <f>IFERROR(G2840*E2820,"")</f>
        <v/>
      </c>
    </row>
    <row r="2841" spans="1:11" ht="12.75" customHeight="1" thickBot="1">
      <c r="A2841" s="35"/>
      <c r="B2841" s="36"/>
      <c r="C2841" s="37" t="str">
        <f t="array" ref="C2841">IFERROR(_xlfn.XLOOKUP(B2841,MObra[[#All],[DESCRIPCION]],MObra[[#All],[UN]],,0),"")</f>
        <v/>
      </c>
      <c r="D2841" s="38"/>
      <c r="E2841" s="39" t="str">
        <f>IFERROR(_xlfn.XLOOKUP($B2841,MObra[DESCRIPCION],MObra[VALOR UNIT],,0),"")</f>
        <v/>
      </c>
      <c r="F2841" s="40"/>
      <c r="G2841" s="41" t="str">
        <f>IFERROR(IF(F2841&gt;=0,D2841*E2841*(1+F2841/100),ABS(D2841*E2841/F2841)),"")</f>
        <v/>
      </c>
      <c r="H2841" s="42" t="str">
        <f>IFERROR(G2841*E2820,"")</f>
        <v/>
      </c>
    </row>
    <row r="2842" spans="1:11" ht="12.75" customHeight="1" thickTop="1" thickBot="1"/>
    <row r="2843" spans="1:11" ht="12.75" customHeight="1" thickTop="1" thickBot="1">
      <c r="A2843" s="6" t="s">
        <v>583</v>
      </c>
      <c r="B2843" s="7" t="str">
        <f>VLOOKUP($A2843,Presupuesto!$A:$D,2,FALSE())</f>
        <v>Viga - canal concreto 24.1 Mpa (área sección transversal &lt;= 1000 cm2)</v>
      </c>
      <c r="C2843" s="8" t="str">
        <f>VLOOKUP($A2843,Presupuesto!$A:$D,3,FALSE())</f>
        <v>M3</v>
      </c>
      <c r="D2843" s="9"/>
      <c r="E2843" s="10">
        <f>VLOOKUP($A2843,Presupuesto!$A:$D,4,FALSE())</f>
        <v>0</v>
      </c>
      <c r="F2843" s="11" t="s">
        <v>2589</v>
      </c>
      <c r="G2843" s="12">
        <f>SUM(G2845:G2864)/2</f>
        <v>1602502.558463712</v>
      </c>
      <c r="H2843" s="13">
        <f>ROUND(SUM(H2845:H2864),0)/2</f>
        <v>0</v>
      </c>
      <c r="I2843" s="10">
        <f>VLOOKUP(A2843,Presupuesto!$A:$F,6,0)</f>
        <v>0</v>
      </c>
      <c r="J2843" s="10">
        <f>+H2843-I2843</f>
        <v>0</v>
      </c>
      <c r="K2843" s="46">
        <f>+H2843-G2843*E2843</f>
        <v>0</v>
      </c>
    </row>
    <row r="2844" spans="1:11" ht="12.75" customHeight="1" thickTop="1">
      <c r="A2844" s="14"/>
      <c r="B2844" s="15" t="s">
        <v>2586</v>
      </c>
      <c r="C2844" s="15" t="s">
        <v>5</v>
      </c>
      <c r="D2844" s="16" t="s">
        <v>6</v>
      </c>
      <c r="E2844" s="17" t="s">
        <v>7</v>
      </c>
      <c r="F2844" s="18" t="s">
        <v>3728</v>
      </c>
      <c r="G2844" s="19" t="s">
        <v>3729</v>
      </c>
      <c r="H2844" s="20" t="s">
        <v>3797</v>
      </c>
    </row>
    <row r="2845" spans="1:11" ht="12.75" customHeight="1">
      <c r="A2845" s="21"/>
      <c r="B2845" s="22" t="s">
        <v>3730</v>
      </c>
      <c r="C2845" s="23"/>
      <c r="D2845" s="24"/>
      <c r="E2845" s="25"/>
      <c r="F2845" s="26"/>
      <c r="G2845" s="27">
        <f>SUM(G2846:G2850)</f>
        <v>1030226.4432522118</v>
      </c>
      <c r="H2845" s="27">
        <f>IFERROR(G2845*E2843,"")</f>
        <v>0</v>
      </c>
    </row>
    <row r="2846" spans="1:11" ht="12.75" customHeight="1">
      <c r="A2846" s="28"/>
      <c r="B2846" s="29" t="s">
        <v>3240</v>
      </c>
      <c r="C2846" s="30" t="str">
        <f>IFERROR(_xlfn.XLOOKUP(B2846,Insumo[DESCRIPCION],Insumo[UND],,0),"")</f>
        <v>M3</v>
      </c>
      <c r="D2846" s="31">
        <v>1</v>
      </c>
      <c r="E2846" s="32">
        <f>IFERROR(_xlfn.XLOOKUP($B2846,Insumo[DESCRIPCION],Insumo[VALOR],,0),"")</f>
        <v>539790.3034961326</v>
      </c>
      <c r="F2846" s="33">
        <v>5</v>
      </c>
      <c r="G2846" s="34">
        <f>IFERROR(IF(F2846&gt;=0,D2846*E2846*(1+F2846/100),ABS(D2846*E2846/F2846)),"")</f>
        <v>566779.8186709393</v>
      </c>
      <c r="H2846" s="43">
        <f>IFERROR(G2846*E2843,"")</f>
        <v>0</v>
      </c>
    </row>
    <row r="2847" spans="1:11" ht="12.75" customHeight="1">
      <c r="A2847" s="28"/>
      <c r="B2847" s="29" t="s">
        <v>2957</v>
      </c>
      <c r="C2847" s="30" t="str">
        <f>IFERROR(_xlfn.XLOOKUP(B2847,Insumo[DESCRIPCION],Insumo[UND],,0),"")</f>
        <v>M2</v>
      </c>
      <c r="D2847" s="31">
        <v>6</v>
      </c>
      <c r="E2847" s="32">
        <f>IFERROR(_xlfn.XLOOKUP($B2847,Insumo[DESCRIPCION],Insumo[VALOR],,0),"")</f>
        <v>149544.7581937575</v>
      </c>
      <c r="F2847" s="33">
        <v>-2</v>
      </c>
      <c r="G2847" s="34">
        <f>IFERROR(IF(F2847&gt;=0,D2847*E2847*(1+F2847/100),ABS(D2847*E2847/F2847)),"")</f>
        <v>448634.2745812725</v>
      </c>
      <c r="H2847" s="43">
        <f>IFERROR(G2847*E2843,"")</f>
        <v>0</v>
      </c>
    </row>
    <row r="2848" spans="1:11" ht="12.75" customHeight="1">
      <c r="A2848" s="28"/>
      <c r="B2848" s="29" t="s">
        <v>2709</v>
      </c>
      <c r="C2848" s="30" t="str">
        <f>IFERROR(_xlfn.XLOOKUP(B2848,Insumo[DESCRIPCION],Insumo[UND],,0),"")</f>
        <v>Kg</v>
      </c>
      <c r="D2848" s="31">
        <v>1</v>
      </c>
      <c r="E2848" s="32">
        <f>IFERROR(_xlfn.XLOOKUP($B2848,Insumo[DESCRIPCION],Insumo[VALOR],,0),"")</f>
        <v>14812.35</v>
      </c>
      <c r="F2848" s="33"/>
      <c r="G2848" s="34">
        <f>IFERROR(IF(F2848&gt;=0,D2848*E2848*(1+F2848/100),ABS(D2848*E2848/F2848)),"")</f>
        <v>14812.35</v>
      </c>
      <c r="H2848" s="43">
        <f>IFERROR(G2848*E2843,"")</f>
        <v>0</v>
      </c>
    </row>
    <row r="2849" spans="1:8" ht="12.75" customHeight="1">
      <c r="A2849" s="28"/>
      <c r="B2849" s="29"/>
      <c r="C2849" s="30" t="str">
        <f>IFERROR(_xlfn.XLOOKUP(B2849,Insumo[DESCRIPCION],Insumo[UND],,0),"")</f>
        <v/>
      </c>
      <c r="D2849" s="31"/>
      <c r="E2849" s="32" t="str">
        <f>IFERROR(_xlfn.XLOOKUP($B2849,Insumo[DESCRIPCION],Insumo[VALOR],,0),"")</f>
        <v/>
      </c>
      <c r="F2849" s="33"/>
      <c r="G2849" s="34" t="str">
        <f>IFERROR(IF(F2849&gt;=0,D2849*E2849*(1+F2849/100),ABS(D2849*E2849/F2849)),"")</f>
        <v/>
      </c>
      <c r="H2849" s="43" t="str">
        <f>IFERROR(G2849*E2843,"")</f>
        <v/>
      </c>
    </row>
    <row r="2850" spans="1:8" ht="12.75" customHeight="1">
      <c r="A2850" s="28"/>
      <c r="B2850" s="29"/>
      <c r="C2850" s="30" t="str">
        <f>IFERROR(_xlfn.XLOOKUP(B2850,Insumo[DESCRIPCION],Insumo[UND],,0),"")</f>
        <v/>
      </c>
      <c r="D2850" s="31"/>
      <c r="E2850" s="32" t="str">
        <f>IFERROR(_xlfn.XLOOKUP($B2850,Insumo[DESCRIPCION],Insumo[VALOR],,0),"")</f>
        <v/>
      </c>
      <c r="F2850" s="33"/>
      <c r="G2850" s="34" t="str">
        <f>IFERROR(IF(F2850&gt;=0,D2850*E2850*(1+F2850/100),ABS(D2850*E2850/F2850)),"")</f>
        <v/>
      </c>
      <c r="H2850" s="43" t="str">
        <f>IFERROR(G2850*E2843,"")</f>
        <v/>
      </c>
    </row>
    <row r="2851" spans="1:8" ht="12.75" customHeight="1">
      <c r="A2851" s="21"/>
      <c r="B2851" s="22" t="s">
        <v>3731</v>
      </c>
      <c r="C2851" s="23"/>
      <c r="D2851" s="24"/>
      <c r="E2851" s="25"/>
      <c r="F2851" s="26"/>
      <c r="G2851" s="27">
        <f>SUM(G2852:G2857)</f>
        <v>129800.24358150002</v>
      </c>
      <c r="H2851" s="44">
        <f>G2851*E2843</f>
        <v>0</v>
      </c>
    </row>
    <row r="2852" spans="1:8" ht="12.75" customHeight="1">
      <c r="A2852" s="28"/>
      <c r="B2852" s="29" t="s">
        <v>3657</v>
      </c>
      <c r="C2852" s="30" t="str">
        <f>IFERROR(_xlfn.XLOOKUP(B2852,Equipo[DESCRIPCION],Equipo[UND],,0),"")</f>
        <v>Día</v>
      </c>
      <c r="D2852" s="31">
        <v>1</v>
      </c>
      <c r="E2852" s="32">
        <f>IF(C2852="%MO",G2861,IFERROR(_xlfn.XLOOKUP($B2852,Equipo[DESCRIPCION],Equipo[VALOR],,0),""))</f>
        <v>56524.65</v>
      </c>
      <c r="F2852" s="33">
        <v>-4</v>
      </c>
      <c r="G2852" s="34">
        <f t="shared" ref="G2852:G2857" si="31">IFERROR(IF(F2852&gt;=0,D2852*E2852*(1+F2852/100),ABS(D2852*E2852/F2852)),"")</f>
        <v>14131.1625</v>
      </c>
      <c r="H2852" s="43">
        <f>IFERROR(G2852*E2843,"")</f>
        <v>0</v>
      </c>
    </row>
    <row r="2853" spans="1:8" ht="12.75" customHeight="1">
      <c r="A2853" s="28"/>
      <c r="B2853" s="29" t="s">
        <v>3652</v>
      </c>
      <c r="C2853" s="30" t="str">
        <f>IFERROR(_xlfn.XLOOKUP(B2853,Equipo[DESCRIPCION],Equipo[UND],,0),"")</f>
        <v>Día</v>
      </c>
      <c r="D2853" s="31">
        <v>1</v>
      </c>
      <c r="E2853" s="32">
        <f>IF(C2853="%MO",G2862,IFERROR(_xlfn.XLOOKUP($B2853,Equipo[DESCRIPCION],Equipo[VALOR],,0),""))</f>
        <v>635.25</v>
      </c>
      <c r="F2853" s="33">
        <v>-0.03</v>
      </c>
      <c r="G2853" s="34">
        <f t="shared" si="31"/>
        <v>21175</v>
      </c>
      <c r="H2853" s="43">
        <f>IFERROR(G2853*E2843,"")</f>
        <v>0</v>
      </c>
    </row>
    <row r="2854" spans="1:8" ht="12.75" customHeight="1">
      <c r="A2854" s="28"/>
      <c r="B2854" s="29" t="s">
        <v>3591</v>
      </c>
      <c r="C2854" s="30" t="str">
        <f>IFERROR(_xlfn.XLOOKUP(B2854,Equipo[DESCRIPCION],Equipo[UND],,0),"")</f>
        <v>Día</v>
      </c>
      <c r="D2854" s="31">
        <v>1</v>
      </c>
      <c r="E2854" s="32">
        <f>IF(C2854="%MO",G2863,IFERROR(_xlfn.XLOOKUP($B2854,Equipo[DESCRIPCION],Equipo[VALOR],,0),""))</f>
        <v>635.25</v>
      </c>
      <c r="F2854" s="33">
        <v>-0.03</v>
      </c>
      <c r="G2854" s="34">
        <f t="shared" si="31"/>
        <v>21175</v>
      </c>
      <c r="H2854" s="43">
        <f>IFERROR(G2854*E2843,"")</f>
        <v>0</v>
      </c>
    </row>
    <row r="2855" spans="1:8" ht="12.75" customHeight="1">
      <c r="A2855" s="28"/>
      <c r="B2855" s="29" t="s">
        <v>3651</v>
      </c>
      <c r="C2855" s="30" t="str">
        <f>IFERROR(_xlfn.XLOOKUP(B2855,Equipo[DESCRIPCION],Equipo[UND],,0),"")</f>
        <v>Día</v>
      </c>
      <c r="D2855" s="31">
        <v>1</v>
      </c>
      <c r="E2855" s="32">
        <f>IF(C2855="%MO",G2864,IFERROR(_xlfn.XLOOKUP($B2855,Equipo[DESCRIPCION],Equipo[VALOR],,0),""))</f>
        <v>981.75</v>
      </c>
      <c r="F2855" s="33">
        <v>-0.03</v>
      </c>
      <c r="G2855" s="34">
        <f t="shared" si="31"/>
        <v>32725</v>
      </c>
      <c r="H2855" s="43">
        <f>IFERROR(G2855*E2843,"")</f>
        <v>0</v>
      </c>
    </row>
    <row r="2856" spans="1:8" ht="12.75" customHeight="1">
      <c r="A2856" s="28"/>
      <c r="B2856" s="29" t="s">
        <v>3640</v>
      </c>
      <c r="C2856" s="30" t="str">
        <f>IFERROR(_xlfn.XLOOKUP(B2856,Equipo[DESCRIPCION],Equipo[UND],,0),"")</f>
        <v>Día</v>
      </c>
      <c r="D2856" s="31">
        <v>1</v>
      </c>
      <c r="E2856" s="32">
        <f>IF(C2856="%MO",G2866,IFERROR(_xlfn.XLOOKUP($B2856,Equipo[DESCRIPCION],Equipo[VALOR],,0),""))</f>
        <v>73881.150000000009</v>
      </c>
      <c r="F2856" s="33">
        <v>-4</v>
      </c>
      <c r="G2856" s="34">
        <f t="shared" si="31"/>
        <v>18470.287500000002</v>
      </c>
      <c r="H2856" s="43">
        <f>IFERROR(G2856*E2843,"")</f>
        <v>0</v>
      </c>
    </row>
    <row r="2857" spans="1:8" ht="12.75" customHeight="1">
      <c r="A2857" s="28"/>
      <c r="B2857" s="29" t="s">
        <v>3626</v>
      </c>
      <c r="C2857" s="30" t="str">
        <f>IFERROR(_xlfn.XLOOKUP(B2857,Equipo[DESCRIPCION],Equipo[UND],,0),"")</f>
        <v>%MO</v>
      </c>
      <c r="D2857" s="31">
        <v>0.05</v>
      </c>
      <c r="E2857" s="32">
        <f>IF(C2857="%MO",G2861,IFERROR(_xlfn.XLOOKUP($B2857,Equipo[DESCRIPCION],Equipo[VALOR],,0),""))</f>
        <v>442475.87163000013</v>
      </c>
      <c r="F2857" s="33"/>
      <c r="G2857" s="34">
        <f t="shared" si="31"/>
        <v>22123.793581500009</v>
      </c>
      <c r="H2857" s="43">
        <f>IFERROR(G2857*E2843,"")</f>
        <v>0</v>
      </c>
    </row>
    <row r="2858" spans="1:8" ht="12.75" customHeight="1">
      <c r="A2858" s="21"/>
      <c r="B2858" s="22" t="s">
        <v>2533</v>
      </c>
      <c r="C2858" s="23"/>
      <c r="D2858" s="24"/>
      <c r="E2858" s="25"/>
      <c r="F2858" s="26"/>
      <c r="G2858" s="27">
        <f>SUM(G2859:G2860)</f>
        <v>0</v>
      </c>
      <c r="H2858" s="44">
        <f>G2858*E2843</f>
        <v>0</v>
      </c>
    </row>
    <row r="2859" spans="1:8" ht="12.75" customHeight="1">
      <c r="A2859" s="28"/>
      <c r="B2859" s="29"/>
      <c r="C2859" s="30" t="str">
        <f>IFERROR(_xlfn.XLOOKUP(B2859,Transporte[DESCRIPCION],Transporte[UND],,0),"")</f>
        <v/>
      </c>
      <c r="D2859" s="31"/>
      <c r="E2859" s="32" t="str">
        <f>IFERROR(_xlfn.XLOOKUP($B2859,Transporte[DESCRIPCION],Transporte[VALOR],,0),"")</f>
        <v/>
      </c>
      <c r="F2859" s="33"/>
      <c r="G2859" s="34" t="str">
        <f>IFERROR(IF(F2859&gt;=0,D2859*E2859*(1+F2859/100),ABS(D2859*E2859/F2859)),"")</f>
        <v/>
      </c>
      <c r="H2859" s="43" t="str">
        <f>IFERROR(G2859*E2843,"")</f>
        <v/>
      </c>
    </row>
    <row r="2860" spans="1:8" ht="12.75" customHeight="1">
      <c r="A2860" s="28"/>
      <c r="B2860" s="29"/>
      <c r="C2860" s="30" t="str">
        <f>IFERROR(_xlfn.XLOOKUP(B2860,Transporte[DESCRIPCION],Transporte[UND],,0),"")</f>
        <v/>
      </c>
      <c r="D2860" s="31"/>
      <c r="E2860" s="32" t="str">
        <f>IFERROR(_xlfn.XLOOKUP($B2860,Transporte[DESCRIPCION],Transporte[VALOR],,0),"")</f>
        <v/>
      </c>
      <c r="F2860" s="33"/>
      <c r="G2860" s="34" t="str">
        <f>IFERROR(IF(F2860&gt;=0,D2860*E2860*(1+F2860/100),ABS(D2860*E2860/F2860)),"")</f>
        <v/>
      </c>
      <c r="H2860" s="43" t="str">
        <f>IFERROR(G2860*E2843,"")</f>
        <v/>
      </c>
    </row>
    <row r="2861" spans="1:8" ht="12.75" customHeight="1">
      <c r="A2861" s="21"/>
      <c r="B2861" s="22" t="s">
        <v>3732</v>
      </c>
      <c r="C2861" s="23"/>
      <c r="D2861" s="24"/>
      <c r="E2861" s="25"/>
      <c r="F2861" s="26"/>
      <c r="G2861" s="27">
        <f>SUM(G2862:G2864)</f>
        <v>442475.87163000013</v>
      </c>
      <c r="H2861" s="44">
        <f>G2861*E2843</f>
        <v>0</v>
      </c>
    </row>
    <row r="2862" spans="1:8" ht="12.75" customHeight="1">
      <c r="A2862" s="28"/>
      <c r="B2862" s="29" t="s">
        <v>3713</v>
      </c>
      <c r="C2862" s="30" t="str">
        <f>IFERROR(_xlfn.XLOOKUP(B2862,MObra[DESCRIPCION],MObra[UN],,0),"")</f>
        <v>día</v>
      </c>
      <c r="D2862" s="31">
        <v>1</v>
      </c>
      <c r="E2862" s="32">
        <f>IFERROR(_xlfn.XLOOKUP($B2862,MObra[DESCRIPCION],MObra[VALOR UNIT],,0),"")</f>
        <v>663713.80744500016</v>
      </c>
      <c r="F2862" s="33">
        <v>-1.5</v>
      </c>
      <c r="G2862" s="34">
        <f>IFERROR(IF(F2862&gt;=0,D2862*E2862*(1+F2862/100),ABS(D2862*E2862/F2862)),"")</f>
        <v>442475.87163000013</v>
      </c>
      <c r="H2862" s="43">
        <f>IFERROR(G2862*E2843,"")</f>
        <v>0</v>
      </c>
    </row>
    <row r="2863" spans="1:8" ht="12.75" customHeight="1">
      <c r="A2863" s="28"/>
      <c r="B2863" s="29"/>
      <c r="C2863" s="30" t="str">
        <f t="array" ref="C2863">IFERROR(_xlfn.XLOOKUP(B2863,MObra[[#All],[DESCRIPCION]],MObra[[#All],[UN]],,0),"")</f>
        <v/>
      </c>
      <c r="D2863" s="31"/>
      <c r="E2863" s="32" t="str">
        <f>IFERROR(_xlfn.XLOOKUP($B2863,MObra[DESCRIPCION],MObra[VALOR UNIT],,0),"")</f>
        <v/>
      </c>
      <c r="F2863" s="33"/>
      <c r="G2863" s="34" t="str">
        <f>IFERROR(IF(F2863&gt;=0,D2863*E2863*(1+F2863/100),ABS(D2863*E2863/F2863)),"")</f>
        <v/>
      </c>
      <c r="H2863" s="43" t="str">
        <f>IFERROR(G2863*E2843,"")</f>
        <v/>
      </c>
    </row>
    <row r="2864" spans="1:8" ht="12.75" customHeight="1" thickBot="1">
      <c r="A2864" s="35"/>
      <c r="B2864" s="36"/>
      <c r="C2864" s="37" t="str">
        <f t="array" ref="C2864">IFERROR(_xlfn.XLOOKUP(B2864,MObra[[#All],[DESCRIPCION]],MObra[[#All],[UN]],,0),"")</f>
        <v/>
      </c>
      <c r="D2864" s="38"/>
      <c r="E2864" s="39" t="str">
        <f>IFERROR(_xlfn.XLOOKUP($B2864,MObra[DESCRIPCION],MObra[VALOR UNIT],,0),"")</f>
        <v/>
      </c>
      <c r="F2864" s="40"/>
      <c r="G2864" s="41" t="str">
        <f>IFERROR(IF(F2864&gt;=0,D2864*E2864*(1+F2864/100),ABS(D2864*E2864/F2864)),"")</f>
        <v/>
      </c>
      <c r="H2864" s="42" t="str">
        <f>IFERROR(G2864*E2843,"")</f>
        <v/>
      </c>
    </row>
    <row r="2865" spans="1:11" ht="12.75" customHeight="1" thickTop="1" thickBot="1"/>
    <row r="2866" spans="1:11" ht="12.75" customHeight="1" thickTop="1" thickBot="1">
      <c r="A2866" s="6" t="s">
        <v>585</v>
      </c>
      <c r="B2866" s="7" t="str">
        <f>VLOOKUP($A2866,Presupuesto!$A:$D,2,FALSE())</f>
        <v>Viga - canal concreto 24.1 Mpa (1000 cm2 &lt;área sección transversal &lt;= 2000 cm2)</v>
      </c>
      <c r="C2866" s="8" t="str">
        <f>VLOOKUP($A2866,Presupuesto!$A:$D,3,FALSE())</f>
        <v>M3</v>
      </c>
      <c r="D2866" s="9"/>
      <c r="E2866" s="10">
        <f>VLOOKUP($A2866,Presupuesto!$A:$D,4,FALSE())</f>
        <v>0</v>
      </c>
      <c r="F2866" s="11" t="s">
        <v>2589</v>
      </c>
      <c r="G2866" s="12">
        <f>SUM(G2868:G2887)/2</f>
        <v>1565116.3689152726</v>
      </c>
      <c r="H2866" s="13">
        <f>ROUND(SUM(H2868:H2887),0)/2</f>
        <v>0</v>
      </c>
      <c r="I2866" s="10">
        <f>VLOOKUP(A2866,Presupuesto!$A:$F,6,0)</f>
        <v>0</v>
      </c>
      <c r="J2866" s="10">
        <f>+H2866-I2866</f>
        <v>0</v>
      </c>
      <c r="K2866" s="46">
        <f>+H2866-G2866*E2866</f>
        <v>0</v>
      </c>
    </row>
    <row r="2867" spans="1:11" ht="12.75" customHeight="1" thickTop="1">
      <c r="A2867" s="14"/>
      <c r="B2867" s="15" t="s">
        <v>2586</v>
      </c>
      <c r="C2867" s="15" t="s">
        <v>5</v>
      </c>
      <c r="D2867" s="16" t="s">
        <v>6</v>
      </c>
      <c r="E2867" s="17" t="s">
        <v>7</v>
      </c>
      <c r="F2867" s="18" t="s">
        <v>3728</v>
      </c>
      <c r="G2867" s="19" t="s">
        <v>3729</v>
      </c>
      <c r="H2867" s="20" t="s">
        <v>3797</v>
      </c>
    </row>
    <row r="2868" spans="1:11" ht="12.75" customHeight="1">
      <c r="A2868" s="21"/>
      <c r="B2868" s="22" t="s">
        <v>3730</v>
      </c>
      <c r="C2868" s="23"/>
      <c r="D2868" s="24"/>
      <c r="E2868" s="25"/>
      <c r="F2868" s="26"/>
      <c r="G2868" s="27">
        <f>SUM(G2869:G2873)</f>
        <v>992840.25370377244</v>
      </c>
      <c r="H2868" s="27">
        <f>IFERROR(G2868*E2866,"")</f>
        <v>0</v>
      </c>
    </row>
    <row r="2869" spans="1:11" ht="12.75" customHeight="1">
      <c r="A2869" s="28"/>
      <c r="B2869" s="29" t="s">
        <v>3240</v>
      </c>
      <c r="C2869" s="30" t="str">
        <f>IFERROR(_xlfn.XLOOKUP(B2869,Insumo[DESCRIPCION],Insumo[UND],,0),"")</f>
        <v>M3</v>
      </c>
      <c r="D2869" s="31">
        <v>1</v>
      </c>
      <c r="E2869" s="32">
        <f>IFERROR(_xlfn.XLOOKUP($B2869,Insumo[DESCRIPCION],Insumo[VALOR],,0),"")</f>
        <v>539790.3034961326</v>
      </c>
      <c r="F2869" s="33">
        <v>5</v>
      </c>
      <c r="G2869" s="34">
        <f>IFERROR(IF(F2869&gt;=0,D2869*E2869*(1+F2869/100),ABS(D2869*E2869/F2869)),"")</f>
        <v>566779.8186709393</v>
      </c>
      <c r="H2869" s="43">
        <f>IFERROR(G2869*E2866,"")</f>
        <v>0</v>
      </c>
    </row>
    <row r="2870" spans="1:11" ht="12.75" customHeight="1">
      <c r="A2870" s="28"/>
      <c r="B2870" s="29" t="s">
        <v>2957</v>
      </c>
      <c r="C2870" s="30" t="str">
        <f>IFERROR(_xlfn.XLOOKUP(B2870,Insumo[DESCRIPCION],Insumo[UND],,0),"")</f>
        <v>M2</v>
      </c>
      <c r="D2870" s="31">
        <v>5.5</v>
      </c>
      <c r="E2870" s="32">
        <f>IFERROR(_xlfn.XLOOKUP($B2870,Insumo[DESCRIPCION],Insumo[VALOR],,0),"")</f>
        <v>149544.7581937575</v>
      </c>
      <c r="F2870" s="33">
        <v>-2</v>
      </c>
      <c r="G2870" s="34">
        <f>IFERROR(IF(F2870&gt;=0,D2870*E2870*(1+F2870/100),ABS(D2870*E2870/F2870)),"")</f>
        <v>411248.08503283316</v>
      </c>
      <c r="H2870" s="43">
        <f>IFERROR(G2870*E2866,"")</f>
        <v>0</v>
      </c>
    </row>
    <row r="2871" spans="1:11" ht="12.75" customHeight="1">
      <c r="A2871" s="28"/>
      <c r="B2871" s="29" t="s">
        <v>2709</v>
      </c>
      <c r="C2871" s="30" t="str">
        <f>IFERROR(_xlfn.XLOOKUP(B2871,Insumo[DESCRIPCION],Insumo[UND],,0),"")</f>
        <v>Kg</v>
      </c>
      <c r="D2871" s="31">
        <v>1</v>
      </c>
      <c r="E2871" s="32">
        <f>IFERROR(_xlfn.XLOOKUP($B2871,Insumo[DESCRIPCION],Insumo[VALOR],,0),"")</f>
        <v>14812.35</v>
      </c>
      <c r="F2871" s="33"/>
      <c r="G2871" s="34">
        <f>IFERROR(IF(F2871&gt;=0,D2871*E2871*(1+F2871/100),ABS(D2871*E2871/F2871)),"")</f>
        <v>14812.35</v>
      </c>
      <c r="H2871" s="43">
        <f>IFERROR(G2871*E2866,"")</f>
        <v>0</v>
      </c>
    </row>
    <row r="2872" spans="1:11" ht="12.75" customHeight="1">
      <c r="A2872" s="28"/>
      <c r="B2872" s="29"/>
      <c r="C2872" s="30" t="str">
        <f>IFERROR(_xlfn.XLOOKUP(B2872,Insumo[DESCRIPCION],Insumo[UND],,0),"")</f>
        <v/>
      </c>
      <c r="D2872" s="31"/>
      <c r="E2872" s="32" t="str">
        <f>IFERROR(_xlfn.XLOOKUP($B2872,Insumo[DESCRIPCION],Insumo[VALOR],,0),"")</f>
        <v/>
      </c>
      <c r="F2872" s="33"/>
      <c r="G2872" s="34" t="str">
        <f>IFERROR(IF(F2872&gt;=0,D2872*E2872*(1+F2872/100),ABS(D2872*E2872/F2872)),"")</f>
        <v/>
      </c>
      <c r="H2872" s="43" t="str">
        <f>IFERROR(G2872*E2866,"")</f>
        <v/>
      </c>
    </row>
    <row r="2873" spans="1:11" ht="12.75" customHeight="1">
      <c r="A2873" s="28"/>
      <c r="B2873" s="29"/>
      <c r="C2873" s="30" t="str">
        <f>IFERROR(_xlfn.XLOOKUP(B2873,Insumo[DESCRIPCION],Insumo[UND],,0),"")</f>
        <v/>
      </c>
      <c r="D2873" s="31"/>
      <c r="E2873" s="32" t="str">
        <f>IFERROR(_xlfn.XLOOKUP($B2873,Insumo[DESCRIPCION],Insumo[VALOR],,0),"")</f>
        <v/>
      </c>
      <c r="F2873" s="33"/>
      <c r="G2873" s="34" t="str">
        <f>IFERROR(IF(F2873&gt;=0,D2873*E2873*(1+F2873/100),ABS(D2873*E2873/F2873)),"")</f>
        <v/>
      </c>
      <c r="H2873" s="43" t="str">
        <f>IFERROR(G2873*E2866,"")</f>
        <v/>
      </c>
    </row>
    <row r="2874" spans="1:11" ht="12.75" customHeight="1">
      <c r="A2874" s="21"/>
      <c r="B2874" s="22" t="s">
        <v>3731</v>
      </c>
      <c r="C2874" s="23"/>
      <c r="D2874" s="24"/>
      <c r="E2874" s="25"/>
      <c r="F2874" s="26"/>
      <c r="G2874" s="27">
        <f>SUM(G2875:G2880)</f>
        <v>129800.24358150002</v>
      </c>
      <c r="H2874" s="44">
        <f>G2874*E2866</f>
        <v>0</v>
      </c>
    </row>
    <row r="2875" spans="1:11" ht="12.75" customHeight="1">
      <c r="A2875" s="28"/>
      <c r="B2875" s="29" t="s">
        <v>3657</v>
      </c>
      <c r="C2875" s="30" t="str">
        <f>IFERROR(_xlfn.XLOOKUP(B2875,Equipo[DESCRIPCION],Equipo[UND],,0),"")</f>
        <v>Día</v>
      </c>
      <c r="D2875" s="31">
        <v>1</v>
      </c>
      <c r="E2875" s="32">
        <f>IF(C2875="%MO",G2884,IFERROR(_xlfn.XLOOKUP($B2875,Equipo[DESCRIPCION],Equipo[VALOR],,0),""))</f>
        <v>56524.65</v>
      </c>
      <c r="F2875" s="33">
        <v>-4</v>
      </c>
      <c r="G2875" s="34">
        <f t="shared" ref="G2875:G2880" si="32">IFERROR(IF(F2875&gt;=0,D2875*E2875*(1+F2875/100),ABS(D2875*E2875/F2875)),"")</f>
        <v>14131.1625</v>
      </c>
      <c r="H2875" s="43">
        <f>IFERROR(G2875*E2866,"")</f>
        <v>0</v>
      </c>
    </row>
    <row r="2876" spans="1:11" ht="12.75" customHeight="1">
      <c r="A2876" s="28"/>
      <c r="B2876" s="29" t="s">
        <v>3652</v>
      </c>
      <c r="C2876" s="30" t="str">
        <f>IFERROR(_xlfn.XLOOKUP(B2876,Equipo[DESCRIPCION],Equipo[UND],,0),"")</f>
        <v>Día</v>
      </c>
      <c r="D2876" s="31">
        <v>1</v>
      </c>
      <c r="E2876" s="32">
        <f>IF(C2876="%MO",G2885,IFERROR(_xlfn.XLOOKUP($B2876,Equipo[DESCRIPCION],Equipo[VALOR],,0),""))</f>
        <v>635.25</v>
      </c>
      <c r="F2876" s="33">
        <v>-0.03</v>
      </c>
      <c r="G2876" s="34">
        <f t="shared" si="32"/>
        <v>21175</v>
      </c>
      <c r="H2876" s="43">
        <f>IFERROR(G2876*E2866,"")</f>
        <v>0</v>
      </c>
    </row>
    <row r="2877" spans="1:11" ht="12.75" customHeight="1">
      <c r="A2877" s="28"/>
      <c r="B2877" s="29" t="s">
        <v>3591</v>
      </c>
      <c r="C2877" s="30" t="str">
        <f>IFERROR(_xlfn.XLOOKUP(B2877,Equipo[DESCRIPCION],Equipo[UND],,0),"")</f>
        <v>Día</v>
      </c>
      <c r="D2877" s="31">
        <v>1</v>
      </c>
      <c r="E2877" s="32">
        <f>IF(C2877="%MO",G2886,IFERROR(_xlfn.XLOOKUP($B2877,Equipo[DESCRIPCION],Equipo[VALOR],,0),""))</f>
        <v>635.25</v>
      </c>
      <c r="F2877" s="33">
        <v>-0.03</v>
      </c>
      <c r="G2877" s="34">
        <f t="shared" si="32"/>
        <v>21175</v>
      </c>
      <c r="H2877" s="43">
        <f>IFERROR(G2877*E2866,"")</f>
        <v>0</v>
      </c>
    </row>
    <row r="2878" spans="1:11" ht="12.75" customHeight="1">
      <c r="A2878" s="28"/>
      <c r="B2878" s="29" t="s">
        <v>3651</v>
      </c>
      <c r="C2878" s="30" t="str">
        <f>IFERROR(_xlfn.XLOOKUP(B2878,Equipo[DESCRIPCION],Equipo[UND],,0),"")</f>
        <v>Día</v>
      </c>
      <c r="D2878" s="31">
        <v>1</v>
      </c>
      <c r="E2878" s="32">
        <f>IF(C2878="%MO",G2887,IFERROR(_xlfn.XLOOKUP($B2878,Equipo[DESCRIPCION],Equipo[VALOR],,0),""))</f>
        <v>981.75</v>
      </c>
      <c r="F2878" s="33">
        <v>-0.03</v>
      </c>
      <c r="G2878" s="34">
        <f t="shared" si="32"/>
        <v>32725</v>
      </c>
      <c r="H2878" s="43">
        <f>IFERROR(G2878*E2866,"")</f>
        <v>0</v>
      </c>
    </row>
    <row r="2879" spans="1:11" ht="12.75" customHeight="1">
      <c r="A2879" s="28"/>
      <c r="B2879" s="29" t="s">
        <v>3640</v>
      </c>
      <c r="C2879" s="30" t="str">
        <f>IFERROR(_xlfn.XLOOKUP(B2879,Equipo[DESCRIPCION],Equipo[UND],,0),"")</f>
        <v>Día</v>
      </c>
      <c r="D2879" s="31">
        <v>1</v>
      </c>
      <c r="E2879" s="32">
        <f>IF(C2879="%MO",G2889,IFERROR(_xlfn.XLOOKUP($B2879,Equipo[DESCRIPCION],Equipo[VALOR],,0),""))</f>
        <v>73881.150000000009</v>
      </c>
      <c r="F2879" s="33">
        <v>-4</v>
      </c>
      <c r="G2879" s="34">
        <f t="shared" si="32"/>
        <v>18470.287500000002</v>
      </c>
      <c r="H2879" s="43">
        <f>IFERROR(G2879*E2866,"")</f>
        <v>0</v>
      </c>
    </row>
    <row r="2880" spans="1:11" ht="12.75" customHeight="1">
      <c r="A2880" s="28"/>
      <c r="B2880" s="29" t="s">
        <v>3626</v>
      </c>
      <c r="C2880" s="30" t="str">
        <f>IFERROR(_xlfn.XLOOKUP(B2880,Equipo[DESCRIPCION],Equipo[UND],,0),"")</f>
        <v>%MO</v>
      </c>
      <c r="D2880" s="31">
        <v>0.05</v>
      </c>
      <c r="E2880" s="32">
        <f>IF(C2880="%MO",G2884,IFERROR(_xlfn.XLOOKUP($B2880,Equipo[DESCRIPCION],Equipo[VALOR],,0),""))</f>
        <v>442475.87163000013</v>
      </c>
      <c r="F2880" s="33"/>
      <c r="G2880" s="34">
        <f t="shared" si="32"/>
        <v>22123.793581500009</v>
      </c>
      <c r="H2880" s="43">
        <f>IFERROR(G2880*E2866,"")</f>
        <v>0</v>
      </c>
    </row>
    <row r="2881" spans="1:11" ht="12.75" customHeight="1">
      <c r="A2881" s="21"/>
      <c r="B2881" s="22" t="s">
        <v>2533</v>
      </c>
      <c r="C2881" s="23"/>
      <c r="D2881" s="24"/>
      <c r="E2881" s="25"/>
      <c r="F2881" s="26"/>
      <c r="G2881" s="27">
        <f>SUM(G2882:G2883)</f>
        <v>0</v>
      </c>
      <c r="H2881" s="44">
        <f>G2881*E2866</f>
        <v>0</v>
      </c>
    </row>
    <row r="2882" spans="1:11" ht="12.75" customHeight="1">
      <c r="A2882" s="28"/>
      <c r="B2882" s="29"/>
      <c r="C2882" s="30" t="str">
        <f>IFERROR(_xlfn.XLOOKUP(B2882,Transporte[DESCRIPCION],Transporte[UND],,0),"")</f>
        <v/>
      </c>
      <c r="D2882" s="31"/>
      <c r="E2882" s="32" t="str">
        <f>IFERROR(_xlfn.XLOOKUP($B2882,Transporte[DESCRIPCION],Transporte[VALOR],,0),"")</f>
        <v/>
      </c>
      <c r="F2882" s="33"/>
      <c r="G2882" s="34" t="str">
        <f>IFERROR(IF(F2882&gt;=0,D2882*E2882*(1+F2882/100),ABS(D2882*E2882/F2882)),"")</f>
        <v/>
      </c>
      <c r="H2882" s="43" t="str">
        <f>IFERROR(G2882*E2866,"")</f>
        <v/>
      </c>
    </row>
    <row r="2883" spans="1:11" ht="12.75" customHeight="1">
      <c r="A2883" s="28"/>
      <c r="B2883" s="29"/>
      <c r="C2883" s="30" t="str">
        <f>IFERROR(_xlfn.XLOOKUP(B2883,Transporte[DESCRIPCION],Transporte[UND],,0),"")</f>
        <v/>
      </c>
      <c r="D2883" s="31"/>
      <c r="E2883" s="32" t="str">
        <f>IFERROR(_xlfn.XLOOKUP($B2883,Transporte[DESCRIPCION],Transporte[VALOR],,0),"")</f>
        <v/>
      </c>
      <c r="F2883" s="33"/>
      <c r="G2883" s="34" t="str">
        <f>IFERROR(IF(F2883&gt;=0,D2883*E2883*(1+F2883/100),ABS(D2883*E2883/F2883)),"")</f>
        <v/>
      </c>
      <c r="H2883" s="43" t="str">
        <f>IFERROR(G2883*E2866,"")</f>
        <v/>
      </c>
    </row>
    <row r="2884" spans="1:11" ht="12.75" customHeight="1">
      <c r="A2884" s="21"/>
      <c r="B2884" s="22" t="s">
        <v>3732</v>
      </c>
      <c r="C2884" s="23"/>
      <c r="D2884" s="24"/>
      <c r="E2884" s="25"/>
      <c r="F2884" s="26"/>
      <c r="G2884" s="27">
        <f>SUM(G2885:G2887)</f>
        <v>442475.87163000013</v>
      </c>
      <c r="H2884" s="44">
        <f>G2884*E2866</f>
        <v>0</v>
      </c>
    </row>
    <row r="2885" spans="1:11" ht="12.75" customHeight="1">
      <c r="A2885" s="28"/>
      <c r="B2885" s="29" t="s">
        <v>3713</v>
      </c>
      <c r="C2885" s="30" t="str">
        <f>IFERROR(_xlfn.XLOOKUP(B2885,MObra[DESCRIPCION],MObra[UN],,0),"")</f>
        <v>día</v>
      </c>
      <c r="D2885" s="31">
        <v>1</v>
      </c>
      <c r="E2885" s="32">
        <f>IFERROR(_xlfn.XLOOKUP($B2885,MObra[DESCRIPCION],MObra[VALOR UNIT],,0),"")</f>
        <v>663713.80744500016</v>
      </c>
      <c r="F2885" s="33">
        <v>-1.5</v>
      </c>
      <c r="G2885" s="34">
        <f>IFERROR(IF(F2885&gt;=0,D2885*E2885*(1+F2885/100),ABS(D2885*E2885/F2885)),"")</f>
        <v>442475.87163000013</v>
      </c>
      <c r="H2885" s="43">
        <f>IFERROR(G2885*E2866,"")</f>
        <v>0</v>
      </c>
    </row>
    <row r="2886" spans="1:11" ht="12.75" customHeight="1">
      <c r="A2886" s="28"/>
      <c r="B2886" s="29"/>
      <c r="C2886" s="30" t="str">
        <f t="array" ref="C2886">IFERROR(_xlfn.XLOOKUP(B2886,MObra[[#All],[DESCRIPCION]],MObra[[#All],[UN]],,0),"")</f>
        <v/>
      </c>
      <c r="D2886" s="31"/>
      <c r="E2886" s="32" t="str">
        <f>IFERROR(_xlfn.XLOOKUP($B2886,MObra[DESCRIPCION],MObra[VALOR UNIT],,0),"")</f>
        <v/>
      </c>
      <c r="F2886" s="33"/>
      <c r="G2886" s="34" t="str">
        <f>IFERROR(IF(F2886&gt;=0,D2886*E2886*(1+F2886/100),ABS(D2886*E2886/F2886)),"")</f>
        <v/>
      </c>
      <c r="H2886" s="43" t="str">
        <f>IFERROR(G2886*E2866,"")</f>
        <v/>
      </c>
    </row>
    <row r="2887" spans="1:11" ht="12.75" customHeight="1" thickBot="1">
      <c r="A2887" s="35"/>
      <c r="B2887" s="36"/>
      <c r="C2887" s="37" t="str">
        <f t="array" ref="C2887">IFERROR(_xlfn.XLOOKUP(B2887,MObra[[#All],[DESCRIPCION]],MObra[[#All],[UN]],,0),"")</f>
        <v/>
      </c>
      <c r="D2887" s="38"/>
      <c r="E2887" s="39" t="str">
        <f>IFERROR(_xlfn.XLOOKUP($B2887,MObra[DESCRIPCION],MObra[VALOR UNIT],,0),"")</f>
        <v/>
      </c>
      <c r="F2887" s="40"/>
      <c r="G2887" s="41" t="str">
        <f>IFERROR(IF(F2887&gt;=0,D2887*E2887*(1+F2887/100),ABS(D2887*E2887/F2887)),"")</f>
        <v/>
      </c>
      <c r="H2887" s="42" t="str">
        <f>IFERROR(G2887*E2866,"")</f>
        <v/>
      </c>
    </row>
    <row r="2888" spans="1:11" ht="12.75" customHeight="1" thickTop="1" thickBot="1"/>
    <row r="2889" spans="1:11" ht="12.75" customHeight="1" thickTop="1" thickBot="1">
      <c r="A2889" s="6" t="s">
        <v>587</v>
      </c>
      <c r="B2889" s="7" t="str">
        <f>VLOOKUP($A2889,Presupuesto!$A:$D,2,FALSE())</f>
        <v>Viga - canal concreto 24.1 Mpa (área sección transversal &gt; 2000 cm2)</v>
      </c>
      <c r="C2889" s="8" t="str">
        <f>VLOOKUP($A2889,Presupuesto!$A:$D,3,FALSE())</f>
        <v>M3</v>
      </c>
      <c r="D2889" s="9"/>
      <c r="E2889" s="10">
        <f>VLOOKUP($A2889,Presupuesto!$A:$D,4,FALSE())</f>
        <v>0</v>
      </c>
      <c r="F2889" s="11" t="s">
        <v>2589</v>
      </c>
      <c r="G2889" s="12">
        <f>SUM(G2891:G2910)/2</f>
        <v>1527730.1793668333</v>
      </c>
      <c r="H2889" s="13">
        <f>ROUND(SUM(H2891:H2910),0)/2</f>
        <v>0</v>
      </c>
      <c r="I2889" s="10">
        <f>VLOOKUP(A2889,Presupuesto!$A:$F,6,0)</f>
        <v>0</v>
      </c>
      <c r="J2889" s="10">
        <f>+H2889-I2889</f>
        <v>0</v>
      </c>
      <c r="K2889" s="46">
        <f>+H2889-G2889*E2889</f>
        <v>0</v>
      </c>
    </row>
    <row r="2890" spans="1:11" ht="12.75" customHeight="1" thickTop="1">
      <c r="A2890" s="14"/>
      <c r="B2890" s="15" t="s">
        <v>2586</v>
      </c>
      <c r="C2890" s="15" t="s">
        <v>5</v>
      </c>
      <c r="D2890" s="16" t="s">
        <v>6</v>
      </c>
      <c r="E2890" s="17" t="s">
        <v>7</v>
      </c>
      <c r="F2890" s="18" t="s">
        <v>3728</v>
      </c>
      <c r="G2890" s="19" t="s">
        <v>3729</v>
      </c>
      <c r="H2890" s="20" t="s">
        <v>3797</v>
      </c>
    </row>
    <row r="2891" spans="1:11" ht="12.75" customHeight="1">
      <c r="A2891" s="21"/>
      <c r="B2891" s="22" t="s">
        <v>3730</v>
      </c>
      <c r="C2891" s="23"/>
      <c r="D2891" s="24"/>
      <c r="E2891" s="25"/>
      <c r="F2891" s="26"/>
      <c r="G2891" s="27">
        <f>SUM(G2892:G2896)</f>
        <v>955454.06415533309</v>
      </c>
      <c r="H2891" s="27">
        <f>IFERROR(G2891*E2889,"")</f>
        <v>0</v>
      </c>
    </row>
    <row r="2892" spans="1:11" ht="12.75" customHeight="1">
      <c r="A2892" s="28"/>
      <c r="B2892" s="29" t="s">
        <v>3240</v>
      </c>
      <c r="C2892" s="30" t="str">
        <f>IFERROR(_xlfn.XLOOKUP(B2892,Insumo[DESCRIPCION],Insumo[UND],,0),"")</f>
        <v>M3</v>
      </c>
      <c r="D2892" s="31">
        <v>1</v>
      </c>
      <c r="E2892" s="32">
        <f>IFERROR(_xlfn.XLOOKUP($B2892,Insumo[DESCRIPCION],Insumo[VALOR],,0),"")</f>
        <v>539790.3034961326</v>
      </c>
      <c r="F2892" s="33">
        <v>5</v>
      </c>
      <c r="G2892" s="34">
        <f>IFERROR(IF(F2892&gt;=0,D2892*E2892*(1+F2892/100),ABS(D2892*E2892/F2892)),"")</f>
        <v>566779.8186709393</v>
      </c>
      <c r="H2892" s="43">
        <f>IFERROR(G2892*E2889,"")</f>
        <v>0</v>
      </c>
    </row>
    <row r="2893" spans="1:11" ht="12.75" customHeight="1">
      <c r="A2893" s="28"/>
      <c r="B2893" s="29" t="s">
        <v>2957</v>
      </c>
      <c r="C2893" s="30" t="str">
        <f>IFERROR(_xlfn.XLOOKUP(B2893,Insumo[DESCRIPCION],Insumo[UND],,0),"")</f>
        <v>M2</v>
      </c>
      <c r="D2893" s="31">
        <v>5</v>
      </c>
      <c r="E2893" s="32">
        <f>IFERROR(_xlfn.XLOOKUP($B2893,Insumo[DESCRIPCION],Insumo[VALOR],,0),"")</f>
        <v>149544.7581937575</v>
      </c>
      <c r="F2893" s="33">
        <v>-2</v>
      </c>
      <c r="G2893" s="34">
        <f>IFERROR(IF(F2893&gt;=0,D2893*E2893*(1+F2893/100),ABS(D2893*E2893/F2893)),"")</f>
        <v>373861.89548439375</v>
      </c>
      <c r="H2893" s="43">
        <f>IFERROR(G2893*E2889,"")</f>
        <v>0</v>
      </c>
    </row>
    <row r="2894" spans="1:11" ht="12.75" customHeight="1">
      <c r="A2894" s="28"/>
      <c r="B2894" s="29" t="s">
        <v>2709</v>
      </c>
      <c r="C2894" s="30" t="str">
        <f>IFERROR(_xlfn.XLOOKUP(B2894,Insumo[DESCRIPCION],Insumo[UND],,0),"")</f>
        <v>Kg</v>
      </c>
      <c r="D2894" s="31">
        <v>1</v>
      </c>
      <c r="E2894" s="32">
        <f>IFERROR(_xlfn.XLOOKUP($B2894,Insumo[DESCRIPCION],Insumo[VALOR],,0),"")</f>
        <v>14812.35</v>
      </c>
      <c r="F2894" s="33"/>
      <c r="G2894" s="34">
        <f>IFERROR(IF(F2894&gt;=0,D2894*E2894*(1+F2894/100),ABS(D2894*E2894/F2894)),"")</f>
        <v>14812.35</v>
      </c>
      <c r="H2894" s="43">
        <f>IFERROR(G2894*E2889,"")</f>
        <v>0</v>
      </c>
    </row>
    <row r="2895" spans="1:11" ht="12.75" customHeight="1">
      <c r="A2895" s="28"/>
      <c r="B2895" s="29"/>
      <c r="C2895" s="30" t="str">
        <f>IFERROR(_xlfn.XLOOKUP(B2895,Insumo[DESCRIPCION],Insumo[UND],,0),"")</f>
        <v/>
      </c>
      <c r="D2895" s="31"/>
      <c r="E2895" s="32" t="str">
        <f>IFERROR(_xlfn.XLOOKUP($B2895,Insumo[DESCRIPCION],Insumo[VALOR],,0),"")</f>
        <v/>
      </c>
      <c r="F2895" s="33"/>
      <c r="G2895" s="34" t="str">
        <f>IFERROR(IF(F2895&gt;=0,D2895*E2895*(1+F2895/100),ABS(D2895*E2895/F2895)),"")</f>
        <v/>
      </c>
      <c r="H2895" s="43" t="str">
        <f>IFERROR(G2895*E2889,"")</f>
        <v/>
      </c>
    </row>
    <row r="2896" spans="1:11" ht="12.75" customHeight="1">
      <c r="A2896" s="28"/>
      <c r="B2896" s="29"/>
      <c r="C2896" s="30" t="str">
        <f>IFERROR(_xlfn.XLOOKUP(B2896,Insumo[DESCRIPCION],Insumo[UND],,0),"")</f>
        <v/>
      </c>
      <c r="D2896" s="31"/>
      <c r="E2896" s="32" t="str">
        <f>IFERROR(_xlfn.XLOOKUP($B2896,Insumo[DESCRIPCION],Insumo[VALOR],,0),"")</f>
        <v/>
      </c>
      <c r="F2896" s="33"/>
      <c r="G2896" s="34" t="str">
        <f>IFERROR(IF(F2896&gt;=0,D2896*E2896*(1+F2896/100),ABS(D2896*E2896/F2896)),"")</f>
        <v/>
      </c>
      <c r="H2896" s="43" t="str">
        <f>IFERROR(G2896*E2889,"")</f>
        <v/>
      </c>
    </row>
    <row r="2897" spans="1:11" ht="12.75" customHeight="1">
      <c r="A2897" s="21"/>
      <c r="B2897" s="22" t="s">
        <v>3731</v>
      </c>
      <c r="C2897" s="23"/>
      <c r="D2897" s="24"/>
      <c r="E2897" s="25"/>
      <c r="F2897" s="26"/>
      <c r="G2897" s="27">
        <f>SUM(G2898:G2903)</f>
        <v>129800.24358150002</v>
      </c>
      <c r="H2897" s="44">
        <f>G2897*E2889</f>
        <v>0</v>
      </c>
    </row>
    <row r="2898" spans="1:11" ht="12.75" customHeight="1">
      <c r="A2898" s="28"/>
      <c r="B2898" s="29" t="s">
        <v>3657</v>
      </c>
      <c r="C2898" s="30" t="str">
        <f>IFERROR(_xlfn.XLOOKUP(B2898,Equipo[DESCRIPCION],Equipo[UND],,0),"")</f>
        <v>Día</v>
      </c>
      <c r="D2898" s="31">
        <v>1</v>
      </c>
      <c r="E2898" s="32">
        <f>IF(C2898="%MO",G2907,IFERROR(_xlfn.XLOOKUP($B2898,Equipo[DESCRIPCION],Equipo[VALOR],,0),""))</f>
        <v>56524.65</v>
      </c>
      <c r="F2898" s="33">
        <v>-4</v>
      </c>
      <c r="G2898" s="34">
        <f t="shared" ref="G2898:G2903" si="33">IFERROR(IF(F2898&gt;=0,D2898*E2898*(1+F2898/100),ABS(D2898*E2898/F2898)),"")</f>
        <v>14131.1625</v>
      </c>
      <c r="H2898" s="43">
        <f>IFERROR(G2898*E2889,"")</f>
        <v>0</v>
      </c>
    </row>
    <row r="2899" spans="1:11" ht="12.75" customHeight="1">
      <c r="A2899" s="28"/>
      <c r="B2899" s="29" t="s">
        <v>3652</v>
      </c>
      <c r="C2899" s="30" t="str">
        <f>IFERROR(_xlfn.XLOOKUP(B2899,Equipo[DESCRIPCION],Equipo[UND],,0),"")</f>
        <v>Día</v>
      </c>
      <c r="D2899" s="31">
        <v>1</v>
      </c>
      <c r="E2899" s="32">
        <f>IF(C2899="%MO",G2908,IFERROR(_xlfn.XLOOKUP($B2899,Equipo[DESCRIPCION],Equipo[VALOR],,0),""))</f>
        <v>635.25</v>
      </c>
      <c r="F2899" s="33">
        <v>-0.03</v>
      </c>
      <c r="G2899" s="34">
        <f t="shared" si="33"/>
        <v>21175</v>
      </c>
      <c r="H2899" s="43">
        <f>IFERROR(G2899*E2889,"")</f>
        <v>0</v>
      </c>
    </row>
    <row r="2900" spans="1:11" ht="12.75" customHeight="1">
      <c r="A2900" s="28"/>
      <c r="B2900" s="29" t="s">
        <v>3591</v>
      </c>
      <c r="C2900" s="30" t="str">
        <f>IFERROR(_xlfn.XLOOKUP(B2900,Equipo[DESCRIPCION],Equipo[UND],,0),"")</f>
        <v>Día</v>
      </c>
      <c r="D2900" s="31">
        <v>1</v>
      </c>
      <c r="E2900" s="32">
        <f>IF(C2900="%MO",G2909,IFERROR(_xlfn.XLOOKUP($B2900,Equipo[DESCRIPCION],Equipo[VALOR],,0),""))</f>
        <v>635.25</v>
      </c>
      <c r="F2900" s="33">
        <v>-0.03</v>
      </c>
      <c r="G2900" s="34">
        <f t="shared" si="33"/>
        <v>21175</v>
      </c>
      <c r="H2900" s="43">
        <f>IFERROR(G2900*E2889,"")</f>
        <v>0</v>
      </c>
    </row>
    <row r="2901" spans="1:11" ht="12.75" customHeight="1">
      <c r="A2901" s="28"/>
      <c r="B2901" s="29" t="s">
        <v>3651</v>
      </c>
      <c r="C2901" s="30" t="str">
        <f>IFERROR(_xlfn.XLOOKUP(B2901,Equipo[DESCRIPCION],Equipo[UND],,0),"")</f>
        <v>Día</v>
      </c>
      <c r="D2901" s="31">
        <v>1</v>
      </c>
      <c r="E2901" s="32">
        <f>IF(C2901="%MO",G2910,IFERROR(_xlfn.XLOOKUP($B2901,Equipo[DESCRIPCION],Equipo[VALOR],,0),""))</f>
        <v>981.75</v>
      </c>
      <c r="F2901" s="33">
        <v>-0.03</v>
      </c>
      <c r="G2901" s="34">
        <f t="shared" si="33"/>
        <v>32725</v>
      </c>
      <c r="H2901" s="43">
        <f>IFERROR(G2901*E2889,"")</f>
        <v>0</v>
      </c>
    </row>
    <row r="2902" spans="1:11" ht="12.75" customHeight="1">
      <c r="A2902" s="28"/>
      <c r="B2902" s="29" t="s">
        <v>3640</v>
      </c>
      <c r="C2902" s="30" t="str">
        <f>IFERROR(_xlfn.XLOOKUP(B2902,Equipo[DESCRIPCION],Equipo[UND],,0),"")</f>
        <v>Día</v>
      </c>
      <c r="D2902" s="31">
        <v>1</v>
      </c>
      <c r="E2902" s="32">
        <f>IF(C2902="%MO",G2912,IFERROR(_xlfn.XLOOKUP($B2902,Equipo[DESCRIPCION],Equipo[VALOR],,0),""))</f>
        <v>73881.150000000009</v>
      </c>
      <c r="F2902" s="33">
        <v>-4</v>
      </c>
      <c r="G2902" s="34">
        <f t="shared" si="33"/>
        <v>18470.287500000002</v>
      </c>
      <c r="H2902" s="43">
        <f>IFERROR(G2902*E2889,"")</f>
        <v>0</v>
      </c>
    </row>
    <row r="2903" spans="1:11" ht="12.75" customHeight="1">
      <c r="A2903" s="28"/>
      <c r="B2903" s="29" t="s">
        <v>3626</v>
      </c>
      <c r="C2903" s="30" t="str">
        <f>IFERROR(_xlfn.XLOOKUP(B2903,Equipo[DESCRIPCION],Equipo[UND],,0),"")</f>
        <v>%MO</v>
      </c>
      <c r="D2903" s="31">
        <v>0.05</v>
      </c>
      <c r="E2903" s="32">
        <f>IF(C2903="%MO",G2907,IFERROR(_xlfn.XLOOKUP($B2903,Equipo[DESCRIPCION],Equipo[VALOR],,0),""))</f>
        <v>442475.87163000013</v>
      </c>
      <c r="F2903" s="33"/>
      <c r="G2903" s="34">
        <f t="shared" si="33"/>
        <v>22123.793581500009</v>
      </c>
      <c r="H2903" s="43">
        <f>IFERROR(G2903*E2889,"")</f>
        <v>0</v>
      </c>
    </row>
    <row r="2904" spans="1:11" ht="12.75" customHeight="1">
      <c r="A2904" s="21"/>
      <c r="B2904" s="22" t="s">
        <v>2533</v>
      </c>
      <c r="C2904" s="23"/>
      <c r="D2904" s="24"/>
      <c r="E2904" s="25"/>
      <c r="F2904" s="26"/>
      <c r="G2904" s="27">
        <f>SUM(G2905:G2906)</f>
        <v>0</v>
      </c>
      <c r="H2904" s="44">
        <f>G2904*E2889</f>
        <v>0</v>
      </c>
    </row>
    <row r="2905" spans="1:11" ht="12.75" customHeight="1">
      <c r="A2905" s="28"/>
      <c r="B2905" s="29"/>
      <c r="C2905" s="30" t="str">
        <f>IFERROR(_xlfn.XLOOKUP(B2905,Transporte[DESCRIPCION],Transporte[UND],,0),"")</f>
        <v/>
      </c>
      <c r="D2905" s="31"/>
      <c r="E2905" s="32" t="str">
        <f>IFERROR(_xlfn.XLOOKUP($B2905,Transporte[DESCRIPCION],Transporte[VALOR],,0),"")</f>
        <v/>
      </c>
      <c r="F2905" s="33"/>
      <c r="G2905" s="34" t="str">
        <f>IFERROR(IF(F2905&gt;=0,D2905*E2905*(1+F2905/100),ABS(D2905*E2905/F2905)),"")</f>
        <v/>
      </c>
      <c r="H2905" s="43" t="str">
        <f>IFERROR(G2905*E2889,"")</f>
        <v/>
      </c>
    </row>
    <row r="2906" spans="1:11" ht="12.75" customHeight="1">
      <c r="A2906" s="28"/>
      <c r="B2906" s="29"/>
      <c r="C2906" s="30" t="str">
        <f>IFERROR(_xlfn.XLOOKUP(B2906,Transporte[DESCRIPCION],Transporte[UND],,0),"")</f>
        <v/>
      </c>
      <c r="D2906" s="31"/>
      <c r="E2906" s="32" t="str">
        <f>IFERROR(_xlfn.XLOOKUP($B2906,Transporte[DESCRIPCION],Transporte[VALOR],,0),"")</f>
        <v/>
      </c>
      <c r="F2906" s="33"/>
      <c r="G2906" s="34" t="str">
        <f>IFERROR(IF(F2906&gt;=0,D2906*E2906*(1+F2906/100),ABS(D2906*E2906/F2906)),"")</f>
        <v/>
      </c>
      <c r="H2906" s="43" t="str">
        <f>IFERROR(G2906*E2889,"")</f>
        <v/>
      </c>
    </row>
    <row r="2907" spans="1:11" ht="12.75" customHeight="1">
      <c r="A2907" s="21"/>
      <c r="B2907" s="22" t="s">
        <v>3732</v>
      </c>
      <c r="C2907" s="23"/>
      <c r="D2907" s="24"/>
      <c r="E2907" s="25"/>
      <c r="F2907" s="26"/>
      <c r="G2907" s="27">
        <f>SUM(G2908:G2910)</f>
        <v>442475.87163000013</v>
      </c>
      <c r="H2907" s="44">
        <f>G2907*E2889</f>
        <v>0</v>
      </c>
    </row>
    <row r="2908" spans="1:11" ht="12.75" customHeight="1">
      <c r="A2908" s="28"/>
      <c r="B2908" s="29" t="s">
        <v>3713</v>
      </c>
      <c r="C2908" s="30" t="str">
        <f>IFERROR(_xlfn.XLOOKUP(B2908,MObra[DESCRIPCION],MObra[UN],,0),"")</f>
        <v>día</v>
      </c>
      <c r="D2908" s="31">
        <v>1</v>
      </c>
      <c r="E2908" s="32">
        <f>IFERROR(_xlfn.XLOOKUP($B2908,MObra[DESCRIPCION],MObra[VALOR UNIT],,0),"")</f>
        <v>663713.80744500016</v>
      </c>
      <c r="F2908" s="33">
        <v>-1.5</v>
      </c>
      <c r="G2908" s="34">
        <f>IFERROR(IF(F2908&gt;=0,D2908*E2908*(1+F2908/100),ABS(D2908*E2908/F2908)),"")</f>
        <v>442475.87163000013</v>
      </c>
      <c r="H2908" s="43">
        <f>IFERROR(G2908*E2889,"")</f>
        <v>0</v>
      </c>
    </row>
    <row r="2909" spans="1:11" ht="12.75" customHeight="1">
      <c r="A2909" s="28"/>
      <c r="B2909" s="29"/>
      <c r="C2909" s="30" t="str">
        <f t="array" ref="C2909">IFERROR(_xlfn.XLOOKUP(B2909,MObra[[#All],[DESCRIPCION]],MObra[[#All],[UN]],,0),"")</f>
        <v/>
      </c>
      <c r="D2909" s="31"/>
      <c r="E2909" s="32" t="str">
        <f>IFERROR(_xlfn.XLOOKUP($B2909,MObra[DESCRIPCION],MObra[VALOR UNIT],,0),"")</f>
        <v/>
      </c>
      <c r="F2909" s="33"/>
      <c r="G2909" s="34" t="str">
        <f>IFERROR(IF(F2909&gt;=0,D2909*E2909*(1+F2909/100),ABS(D2909*E2909/F2909)),"")</f>
        <v/>
      </c>
      <c r="H2909" s="43" t="str">
        <f>IFERROR(G2909*E2889,"")</f>
        <v/>
      </c>
    </row>
    <row r="2910" spans="1:11" ht="12.75" customHeight="1" thickBot="1">
      <c r="A2910" s="35"/>
      <c r="B2910" s="36"/>
      <c r="C2910" s="37" t="str">
        <f t="array" ref="C2910">IFERROR(_xlfn.XLOOKUP(B2910,MObra[[#All],[DESCRIPCION]],MObra[[#All],[UN]],,0),"")</f>
        <v/>
      </c>
      <c r="D2910" s="38"/>
      <c r="E2910" s="39" t="str">
        <f>IFERROR(_xlfn.XLOOKUP($B2910,MObra[DESCRIPCION],MObra[VALOR UNIT],,0),"")</f>
        <v/>
      </c>
      <c r="F2910" s="40"/>
      <c r="G2910" s="41" t="str">
        <f>IFERROR(IF(F2910&gt;=0,D2910*E2910*(1+F2910/100),ABS(D2910*E2910/F2910)),"")</f>
        <v/>
      </c>
      <c r="H2910" s="42" t="str">
        <f>IFERROR(G2910*E2889,"")</f>
        <v/>
      </c>
    </row>
    <row r="2911" spans="1:11" ht="12.75" customHeight="1" thickTop="1" thickBot="1"/>
    <row r="2912" spans="1:11" ht="12.75" customHeight="1" thickTop="1" thickBot="1">
      <c r="A2912" s="6" t="s">
        <v>589</v>
      </c>
      <c r="B2912" s="7" t="str">
        <f>VLOOKUP($A2912,Presupuesto!$A:$D,2,FALSE())</f>
        <v>Zapata concreto 20.7 Mpa</v>
      </c>
      <c r="C2912" s="8" t="str">
        <f>VLOOKUP($A2912,Presupuesto!$A:$D,3,FALSE())</f>
        <v>M3</v>
      </c>
      <c r="D2912" s="9"/>
      <c r="E2912" s="10">
        <f>VLOOKUP($A2912,Presupuesto!$A:$D,4,FALSE())</f>
        <v>0</v>
      </c>
      <c r="F2912" s="11" t="s">
        <v>2589</v>
      </c>
      <c r="G2912" s="12">
        <f>SUM(G2914:G2930)/2</f>
        <v>757115.71282264264</v>
      </c>
      <c r="H2912" s="13">
        <f>ROUND(SUM(H2914:H2930),0)/2</f>
        <v>0</v>
      </c>
      <c r="I2912" s="10">
        <f>VLOOKUP(A2912,Presupuesto!$A:$F,6,0)</f>
        <v>0</v>
      </c>
      <c r="J2912" s="10">
        <f>+H2912-I2912</f>
        <v>0</v>
      </c>
      <c r="K2912" s="46">
        <f>+H2912-G2912*E2912</f>
        <v>0</v>
      </c>
    </row>
    <row r="2913" spans="1:8" ht="12.75" customHeight="1" thickTop="1">
      <c r="A2913" s="14"/>
      <c r="B2913" s="15" t="s">
        <v>2586</v>
      </c>
      <c r="C2913" s="15" t="s">
        <v>5</v>
      </c>
      <c r="D2913" s="16" t="s">
        <v>6</v>
      </c>
      <c r="E2913" s="17" t="s">
        <v>7</v>
      </c>
      <c r="F2913" s="18" t="s">
        <v>3728</v>
      </c>
      <c r="G2913" s="19" t="s">
        <v>3729</v>
      </c>
      <c r="H2913" s="20" t="s">
        <v>3797</v>
      </c>
    </row>
    <row r="2914" spans="1:8" ht="12.75" customHeight="1">
      <c r="A2914" s="21"/>
      <c r="B2914" s="22" t="s">
        <v>3730</v>
      </c>
      <c r="C2914" s="23"/>
      <c r="D2914" s="24"/>
      <c r="E2914" s="25"/>
      <c r="F2914" s="26"/>
      <c r="G2914" s="27">
        <f>SUM(G2915:G2919)</f>
        <v>598294.94029963273</v>
      </c>
      <c r="H2914" s="27">
        <f>IFERROR(G2914*E2912,"")</f>
        <v>0</v>
      </c>
    </row>
    <row r="2915" spans="1:8" ht="12.75" customHeight="1">
      <c r="A2915" s="28"/>
      <c r="B2915" s="29" t="s">
        <v>3239</v>
      </c>
      <c r="C2915" s="30" t="str">
        <f>IFERROR(_xlfn.XLOOKUP(B2915,Insumo[DESCRIPCION],Insumo[UND],,0),"")</f>
        <v>M3</v>
      </c>
      <c r="D2915" s="31">
        <v>1</v>
      </c>
      <c r="E2915" s="32">
        <f>IFERROR(_xlfn.XLOOKUP($B2915,Insumo[DESCRIPCION],Insumo[VALOR],,0),"")</f>
        <v>521159.50227762427</v>
      </c>
      <c r="F2915" s="33">
        <v>5</v>
      </c>
      <c r="G2915" s="34">
        <f>IFERROR(IF(F2915&gt;=0,D2915*E2915*(1+F2915/100),ABS(D2915*E2915/F2915)),"")</f>
        <v>547217.4773915055</v>
      </c>
      <c r="H2915" s="43">
        <f>IFERROR(G2915*E2912,"")</f>
        <v>0</v>
      </c>
    </row>
    <row r="2916" spans="1:8" ht="12.75" customHeight="1">
      <c r="A2916" s="28"/>
      <c r="B2916" s="29" t="s">
        <v>2954</v>
      </c>
      <c r="C2916" s="30" t="str">
        <f>IFERROR(_xlfn.XLOOKUP(B2916,Insumo[DESCRIPCION],Insumo[UND],,0),"")</f>
        <v>M2</v>
      </c>
      <c r="D2916" s="31">
        <f>2*2*0.5</f>
        <v>2</v>
      </c>
      <c r="E2916" s="32">
        <f>IFERROR(_xlfn.XLOOKUP($B2916,Insumo[DESCRIPCION],Insumo[VALOR],,0),"")</f>
        <v>102154.92581625449</v>
      </c>
      <c r="F2916" s="33">
        <v>-4</v>
      </c>
      <c r="G2916" s="34">
        <f>IFERROR(IF(F2916&gt;=0,D2916*E2916*(1+F2916/100),ABS(D2916*E2916/F2916)),"")</f>
        <v>51077.462908127243</v>
      </c>
      <c r="H2916" s="43">
        <f>IFERROR(G2916*E2912,"")</f>
        <v>0</v>
      </c>
    </row>
    <row r="2917" spans="1:8" ht="12.75" customHeight="1">
      <c r="A2917" s="28"/>
      <c r="B2917" s="29"/>
      <c r="C2917" s="30" t="str">
        <f>IFERROR(_xlfn.XLOOKUP(B2917,Insumo[DESCRIPCION],Insumo[UND],,0),"")</f>
        <v/>
      </c>
      <c r="D2917" s="31"/>
      <c r="E2917" s="32" t="str">
        <f>IFERROR(_xlfn.XLOOKUP($B2917,Insumo[DESCRIPCION],Insumo[VALOR],,0),"")</f>
        <v/>
      </c>
      <c r="F2917" s="33"/>
      <c r="G2917" s="34" t="str">
        <f>IFERROR(IF(F2917&gt;=0,D2917*E2917*(1+F2917/100),ABS(D2917*E2917/F2917)),"")</f>
        <v/>
      </c>
      <c r="H2917" s="43" t="str">
        <f>IFERROR(G2917*E2912,"")</f>
        <v/>
      </c>
    </row>
    <row r="2918" spans="1:8" ht="12.75" customHeight="1">
      <c r="A2918" s="28"/>
      <c r="B2918" s="29"/>
      <c r="C2918" s="30" t="str">
        <f>IFERROR(_xlfn.XLOOKUP(B2918,Insumo[DESCRIPCION],Insumo[UND],,0),"")</f>
        <v/>
      </c>
      <c r="D2918" s="31"/>
      <c r="E2918" s="32" t="str">
        <f>IFERROR(_xlfn.XLOOKUP($B2918,Insumo[DESCRIPCION],Insumo[VALOR],,0),"")</f>
        <v/>
      </c>
      <c r="F2918" s="33"/>
      <c r="G2918" s="34" t="str">
        <f>IFERROR(IF(F2918&gt;=0,D2918*E2918*(1+F2918/100),ABS(D2918*E2918/F2918)),"")</f>
        <v/>
      </c>
      <c r="H2918" s="43" t="str">
        <f>IFERROR(G2918*E2912,"")</f>
        <v/>
      </c>
    </row>
    <row r="2919" spans="1:8" ht="12.75" customHeight="1">
      <c r="A2919" s="28"/>
      <c r="B2919" s="29"/>
      <c r="C2919" s="30" t="str">
        <f>IFERROR(_xlfn.XLOOKUP(B2919,Insumo[DESCRIPCION],Insumo[UND],,0),"")</f>
        <v/>
      </c>
      <c r="D2919" s="31"/>
      <c r="E2919" s="32" t="str">
        <f>IFERROR(_xlfn.XLOOKUP($B2919,Insumo[DESCRIPCION],Insumo[VALOR],,0),"")</f>
        <v/>
      </c>
      <c r="F2919" s="33"/>
      <c r="G2919" s="34" t="str">
        <f>IFERROR(IF(F2919&gt;=0,D2919*E2919*(1+F2919/100),ABS(D2919*E2919/F2919)),"")</f>
        <v/>
      </c>
      <c r="H2919" s="43" t="str">
        <f>IFERROR(G2919*E2912,"")</f>
        <v/>
      </c>
    </row>
    <row r="2920" spans="1:8" ht="12.75" customHeight="1">
      <c r="A2920" s="21"/>
      <c r="B2920" s="22" t="s">
        <v>3731</v>
      </c>
      <c r="C2920" s="23"/>
      <c r="D2920" s="24"/>
      <c r="E2920" s="25"/>
      <c r="F2920" s="26"/>
      <c r="G2920" s="27">
        <f>SUM(G2921:G2923)</f>
        <v>26078.011034010004</v>
      </c>
      <c r="H2920" s="44">
        <f>G2920*E2912</f>
        <v>0</v>
      </c>
    </row>
    <row r="2921" spans="1:8" ht="12.75" customHeight="1">
      <c r="A2921" s="28"/>
      <c r="B2921" s="29" t="s">
        <v>3657</v>
      </c>
      <c r="C2921" s="30" t="str">
        <f>IFERROR(_xlfn.XLOOKUP(B2921,Equipo[DESCRIPCION],Equipo[UND],,0),"")</f>
        <v>Día</v>
      </c>
      <c r="D2921" s="31">
        <v>1</v>
      </c>
      <c r="E2921" s="32">
        <f>IF(C2921="%MO",G2927,IFERROR(_xlfn.XLOOKUP($B2921,Equipo[DESCRIPCION],Equipo[VALOR],,0),""))</f>
        <v>56524.65</v>
      </c>
      <c r="F2921" s="33">
        <v>-4</v>
      </c>
      <c r="G2921" s="34">
        <f>IFERROR(IF(F2921&gt;=0,D2921*E2921*(1+F2921/100),ABS(D2921*E2921/F2921)),"")</f>
        <v>14131.1625</v>
      </c>
      <c r="H2921" s="43">
        <f>IFERROR(G2921*E2912,"")</f>
        <v>0</v>
      </c>
    </row>
    <row r="2922" spans="1:8" ht="12.75" customHeight="1">
      <c r="A2922" s="28"/>
      <c r="B2922" s="29" t="s">
        <v>3570</v>
      </c>
      <c r="C2922" s="30" t="str">
        <f>IFERROR(_xlfn.XLOOKUP(B2922,Equipo[DESCRIPCION],Equipo[UND],,0),"")</f>
        <v>%MO</v>
      </c>
      <c r="D2922" s="31">
        <v>0.04</v>
      </c>
      <c r="E2922" s="32">
        <f>IF(C2922="%MO",G2927,IFERROR(_xlfn.XLOOKUP($B2922,Equipo[DESCRIPCION],Equipo[VALOR],,0),""))</f>
        <v>132742.76148900003</v>
      </c>
      <c r="F2922" s="33"/>
      <c r="G2922" s="34">
        <f>IFERROR(IF(F2922&gt;=0,D2922*E2922*(1+F2922/100),ABS(D2922*E2922/F2922)),"")</f>
        <v>5309.7104595600013</v>
      </c>
      <c r="H2922" s="43">
        <f>IFERROR(G2922*E2912,"")</f>
        <v>0</v>
      </c>
    </row>
    <row r="2923" spans="1:8" ht="12.75" customHeight="1">
      <c r="A2923" s="28"/>
      <c r="B2923" s="29" t="s">
        <v>3626</v>
      </c>
      <c r="C2923" s="30" t="str">
        <f>IFERROR(_xlfn.XLOOKUP(B2923,Equipo[DESCRIPCION],Equipo[UND],,0),"")</f>
        <v>%MO</v>
      </c>
      <c r="D2923" s="31">
        <v>0.05</v>
      </c>
      <c r="E2923" s="32">
        <f>IF(C2923="%MO",G2927,IFERROR(_xlfn.XLOOKUP($B2923,Equipo[DESCRIPCION],Equipo[VALOR],,0),""))</f>
        <v>132742.76148900003</v>
      </c>
      <c r="F2923" s="33"/>
      <c r="G2923" s="34">
        <f>IFERROR(IF(F2923&gt;=0,D2923*E2923*(1+F2923/100),ABS(D2923*E2923/F2923)),"")</f>
        <v>6637.138074450002</v>
      </c>
      <c r="H2923" s="43">
        <f>IFERROR(G2923*E2912,"")</f>
        <v>0</v>
      </c>
    </row>
    <row r="2924" spans="1:8" ht="12.75" customHeight="1">
      <c r="A2924" s="21"/>
      <c r="B2924" s="22" t="s">
        <v>2533</v>
      </c>
      <c r="C2924" s="23"/>
      <c r="D2924" s="24"/>
      <c r="E2924" s="25"/>
      <c r="F2924" s="26"/>
      <c r="G2924" s="27">
        <f>SUM(G2925:G2926)</f>
        <v>0</v>
      </c>
      <c r="H2924" s="44">
        <f>G2924*E2912</f>
        <v>0</v>
      </c>
    </row>
    <row r="2925" spans="1:8" ht="12.75" customHeight="1">
      <c r="A2925" s="28"/>
      <c r="B2925" s="29"/>
      <c r="C2925" s="30" t="str">
        <f>IFERROR(_xlfn.XLOOKUP(B2925,Transporte[DESCRIPCION],Transporte[UND],,0),"")</f>
        <v/>
      </c>
      <c r="D2925" s="31"/>
      <c r="E2925" s="32" t="str">
        <f>IFERROR(_xlfn.XLOOKUP($B2925,Transporte[DESCRIPCION],Transporte[VALOR],,0),"")</f>
        <v/>
      </c>
      <c r="F2925" s="33"/>
      <c r="G2925" s="34" t="str">
        <f>IFERROR(IF(F2925&gt;=0,D2925*E2925*(1+F2925/100),ABS(D2925*E2925/F2925)),"")</f>
        <v/>
      </c>
      <c r="H2925" s="43" t="str">
        <f>IFERROR(G2925*E2912,"")</f>
        <v/>
      </c>
    </row>
    <row r="2926" spans="1:8" ht="12.75" customHeight="1">
      <c r="A2926" s="28"/>
      <c r="B2926" s="29"/>
      <c r="C2926" s="30" t="str">
        <f>IFERROR(_xlfn.XLOOKUP(B2926,Transporte[DESCRIPCION],Transporte[UND],,0),"")</f>
        <v/>
      </c>
      <c r="D2926" s="31"/>
      <c r="E2926" s="32" t="str">
        <f>IFERROR(_xlfn.XLOOKUP($B2926,Transporte[DESCRIPCION],Transporte[VALOR],,0),"")</f>
        <v/>
      </c>
      <c r="F2926" s="33"/>
      <c r="G2926" s="34" t="str">
        <f>IFERROR(IF(F2926&gt;=0,D2926*E2926*(1+F2926/100),ABS(D2926*E2926/F2926)),"")</f>
        <v/>
      </c>
      <c r="H2926" s="43" t="str">
        <f>IFERROR(G2926*E2912,"")</f>
        <v/>
      </c>
    </row>
    <row r="2927" spans="1:8" ht="12.75" customHeight="1">
      <c r="A2927" s="21"/>
      <c r="B2927" s="22" t="s">
        <v>3732</v>
      </c>
      <c r="C2927" s="23"/>
      <c r="D2927" s="24"/>
      <c r="E2927" s="25"/>
      <c r="F2927" s="26"/>
      <c r="G2927" s="27">
        <f>SUM(G2928:G2930)</f>
        <v>132742.76148900003</v>
      </c>
      <c r="H2927" s="44">
        <f>G2927*E2912</f>
        <v>0</v>
      </c>
    </row>
    <row r="2928" spans="1:8" ht="12.75" customHeight="1">
      <c r="A2928" s="28"/>
      <c r="B2928" s="29" t="s">
        <v>3713</v>
      </c>
      <c r="C2928" s="30" t="str">
        <f>IFERROR(_xlfn.XLOOKUP(B2928,MObra[DESCRIPCION],MObra[UN],,0),"")</f>
        <v>día</v>
      </c>
      <c r="D2928" s="31">
        <v>1</v>
      </c>
      <c r="E2928" s="32">
        <f>IFERROR(_xlfn.XLOOKUP($B2928,MObra[DESCRIPCION],MObra[VALOR UNIT],,0),"")</f>
        <v>663713.80744500016</v>
      </c>
      <c r="F2928" s="33">
        <v>-5</v>
      </c>
      <c r="G2928" s="34">
        <f>IFERROR(IF(F2928&gt;=0,D2928*E2928*(1+F2928/100),ABS(D2928*E2928/F2928)),"")</f>
        <v>132742.76148900003</v>
      </c>
      <c r="H2928" s="43">
        <f>IFERROR(G2928*E2912,"")</f>
        <v>0</v>
      </c>
    </row>
    <row r="2929" spans="1:11" ht="12.75" customHeight="1">
      <c r="A2929" s="28"/>
      <c r="B2929" s="29"/>
      <c r="C2929" s="30" t="str">
        <f t="array" ref="C2929">IFERROR(_xlfn.XLOOKUP(B2929,MObra[[#All],[DESCRIPCION]],MObra[[#All],[UN]],,0),"")</f>
        <v/>
      </c>
      <c r="D2929" s="31"/>
      <c r="E2929" s="32" t="str">
        <f>IFERROR(_xlfn.XLOOKUP($B2929,MObra[DESCRIPCION],MObra[VALOR UNIT],,0),"")</f>
        <v/>
      </c>
      <c r="F2929" s="33"/>
      <c r="G2929" s="34" t="str">
        <f>IFERROR(IF(F2929&gt;=0,D2929*E2929*(1+F2929/100),ABS(D2929*E2929/F2929)),"")</f>
        <v/>
      </c>
      <c r="H2929" s="43" t="str">
        <f>IFERROR(G2929*E2912,"")</f>
        <v/>
      </c>
    </row>
    <row r="2930" spans="1:11" ht="12.75" customHeight="1" thickBot="1">
      <c r="A2930" s="35"/>
      <c r="B2930" s="36"/>
      <c r="C2930" s="37" t="str">
        <f t="array" ref="C2930">IFERROR(_xlfn.XLOOKUP(B2930,MObra[[#All],[DESCRIPCION]],MObra[[#All],[UN]],,0),"")</f>
        <v/>
      </c>
      <c r="D2930" s="38"/>
      <c r="E2930" s="39" t="str">
        <f>IFERROR(_xlfn.XLOOKUP($B2930,MObra[DESCRIPCION],MObra[VALOR UNIT],,0),"")</f>
        <v/>
      </c>
      <c r="F2930" s="40"/>
      <c r="G2930" s="41" t="str">
        <f>IFERROR(IF(F2930&gt;=0,D2930*E2930*(1+F2930/100),ABS(D2930*E2930/F2930)),"")</f>
        <v/>
      </c>
      <c r="H2930" s="42" t="str">
        <f>IFERROR(G2930*E2912,"")</f>
        <v/>
      </c>
    </row>
    <row r="2931" spans="1:11" ht="12.75" customHeight="1" thickTop="1" thickBot="1"/>
    <row r="2932" spans="1:11" ht="12.75" customHeight="1" thickTop="1" thickBot="1">
      <c r="A2932" s="6" t="s">
        <v>591</v>
      </c>
      <c r="B2932" s="7" t="str">
        <f>VLOOKUP($A2932,Presupuesto!$A:$D,2,FALSE())</f>
        <v>Zapata concreto 24.1 Mpa</v>
      </c>
      <c r="C2932" s="8" t="str">
        <f>VLOOKUP($A2932,Presupuesto!$A:$D,3,FALSE())</f>
        <v>M3</v>
      </c>
      <c r="D2932" s="9"/>
      <c r="E2932" s="10">
        <f>VLOOKUP($A2932,Presupuesto!$A:$D,4,FALSE())</f>
        <v>0</v>
      </c>
      <c r="F2932" s="11" t="s">
        <v>2589</v>
      </c>
      <c r="G2932" s="12">
        <f>SUM(G2934:G2950)/2</f>
        <v>776678.05410207645</v>
      </c>
      <c r="H2932" s="13">
        <f>ROUND(SUM(H2934:H2950),0)/2</f>
        <v>0</v>
      </c>
      <c r="I2932" s="10">
        <f>VLOOKUP(A2932,Presupuesto!$A:$F,6,0)</f>
        <v>0</v>
      </c>
      <c r="J2932" s="10">
        <f>+H2932-I2932</f>
        <v>0</v>
      </c>
      <c r="K2932" s="46">
        <f>+H2932-G2932*E2932</f>
        <v>0</v>
      </c>
    </row>
    <row r="2933" spans="1:11" ht="12.75" customHeight="1" thickTop="1">
      <c r="A2933" s="14"/>
      <c r="B2933" s="15" t="s">
        <v>2586</v>
      </c>
      <c r="C2933" s="15" t="s">
        <v>5</v>
      </c>
      <c r="D2933" s="16" t="s">
        <v>6</v>
      </c>
      <c r="E2933" s="17" t="s">
        <v>7</v>
      </c>
      <c r="F2933" s="18" t="s">
        <v>3728</v>
      </c>
      <c r="G2933" s="19" t="s">
        <v>3729</v>
      </c>
      <c r="H2933" s="20" t="s">
        <v>3797</v>
      </c>
    </row>
    <row r="2934" spans="1:11" ht="12.75" customHeight="1">
      <c r="A2934" s="21"/>
      <c r="B2934" s="22" t="s">
        <v>3730</v>
      </c>
      <c r="C2934" s="23"/>
      <c r="D2934" s="24"/>
      <c r="E2934" s="25"/>
      <c r="F2934" s="26"/>
      <c r="G2934" s="27">
        <f>SUM(G2935:G2939)</f>
        <v>617857.28157906653</v>
      </c>
      <c r="H2934" s="27">
        <f>IFERROR(G2934*E2932,"")</f>
        <v>0</v>
      </c>
    </row>
    <row r="2935" spans="1:11" ht="12.75" customHeight="1">
      <c r="A2935" s="28"/>
      <c r="B2935" s="29" t="s">
        <v>3240</v>
      </c>
      <c r="C2935" s="30" t="str">
        <f>IFERROR(_xlfn.XLOOKUP(B2935,Insumo[DESCRIPCION],Insumo[UND],,0),"")</f>
        <v>M3</v>
      </c>
      <c r="D2935" s="31">
        <v>1</v>
      </c>
      <c r="E2935" s="32">
        <f>IFERROR(_xlfn.XLOOKUP($B2935,Insumo[DESCRIPCION],Insumo[VALOR],,0),"")</f>
        <v>539790.3034961326</v>
      </c>
      <c r="F2935" s="33">
        <v>5</v>
      </c>
      <c r="G2935" s="34">
        <f>IFERROR(IF(F2935&gt;=0,D2935*E2935*(1+F2935/100),ABS(D2935*E2935/F2935)),"")</f>
        <v>566779.8186709393</v>
      </c>
      <c r="H2935" s="43">
        <f>IFERROR(G2935*E2932,"")</f>
        <v>0</v>
      </c>
    </row>
    <row r="2936" spans="1:11" ht="12.75" customHeight="1">
      <c r="A2936" s="28"/>
      <c r="B2936" s="29" t="s">
        <v>2954</v>
      </c>
      <c r="C2936" s="30" t="str">
        <f>IFERROR(_xlfn.XLOOKUP(B2936,Insumo[DESCRIPCION],Insumo[UND],,0),"")</f>
        <v>M2</v>
      </c>
      <c r="D2936" s="31">
        <f>2*2*0.5</f>
        <v>2</v>
      </c>
      <c r="E2936" s="32">
        <f>IFERROR(_xlfn.XLOOKUP($B2936,Insumo[DESCRIPCION],Insumo[VALOR],,0),"")</f>
        <v>102154.92581625449</v>
      </c>
      <c r="F2936" s="33">
        <v>-4</v>
      </c>
      <c r="G2936" s="34">
        <f>IFERROR(IF(F2936&gt;=0,D2936*E2936*(1+F2936/100),ABS(D2936*E2936/F2936)),"")</f>
        <v>51077.462908127243</v>
      </c>
      <c r="H2936" s="43">
        <f>IFERROR(G2936*E2932,"")</f>
        <v>0</v>
      </c>
    </row>
    <row r="2937" spans="1:11" ht="12.75" customHeight="1">
      <c r="A2937" s="28"/>
      <c r="B2937" s="29"/>
      <c r="C2937" s="30" t="str">
        <f>IFERROR(_xlfn.XLOOKUP(B2937,Insumo[DESCRIPCION],Insumo[UND],,0),"")</f>
        <v/>
      </c>
      <c r="D2937" s="31"/>
      <c r="E2937" s="32" t="str">
        <f>IFERROR(_xlfn.XLOOKUP($B2937,Insumo[DESCRIPCION],Insumo[VALOR],,0),"")</f>
        <v/>
      </c>
      <c r="F2937" s="33"/>
      <c r="G2937" s="34" t="str">
        <f>IFERROR(IF(F2937&gt;=0,D2937*E2937*(1+F2937/100),ABS(D2937*E2937/F2937)),"")</f>
        <v/>
      </c>
      <c r="H2937" s="43" t="str">
        <f>IFERROR(G2937*E2932,"")</f>
        <v/>
      </c>
    </row>
    <row r="2938" spans="1:11" ht="12.75" customHeight="1">
      <c r="A2938" s="28"/>
      <c r="B2938" s="29"/>
      <c r="C2938" s="30" t="str">
        <f>IFERROR(_xlfn.XLOOKUP(B2938,Insumo[DESCRIPCION],Insumo[UND],,0),"")</f>
        <v/>
      </c>
      <c r="D2938" s="31"/>
      <c r="E2938" s="32" t="str">
        <f>IFERROR(_xlfn.XLOOKUP($B2938,Insumo[DESCRIPCION],Insumo[VALOR],,0),"")</f>
        <v/>
      </c>
      <c r="F2938" s="33"/>
      <c r="G2938" s="34" t="str">
        <f>IFERROR(IF(F2938&gt;=0,D2938*E2938*(1+F2938/100),ABS(D2938*E2938/F2938)),"")</f>
        <v/>
      </c>
      <c r="H2938" s="43" t="str">
        <f>IFERROR(G2938*E2932,"")</f>
        <v/>
      </c>
    </row>
    <row r="2939" spans="1:11" ht="12.75" customHeight="1">
      <c r="A2939" s="28"/>
      <c r="B2939" s="29"/>
      <c r="C2939" s="30" t="str">
        <f>IFERROR(_xlfn.XLOOKUP(B2939,Insumo[DESCRIPCION],Insumo[UND],,0),"")</f>
        <v/>
      </c>
      <c r="D2939" s="31"/>
      <c r="E2939" s="32" t="str">
        <f>IFERROR(_xlfn.XLOOKUP($B2939,Insumo[DESCRIPCION],Insumo[VALOR],,0),"")</f>
        <v/>
      </c>
      <c r="F2939" s="33"/>
      <c r="G2939" s="34" t="str">
        <f>IFERROR(IF(F2939&gt;=0,D2939*E2939*(1+F2939/100),ABS(D2939*E2939/F2939)),"")</f>
        <v/>
      </c>
      <c r="H2939" s="43" t="str">
        <f>IFERROR(G2939*E2932,"")</f>
        <v/>
      </c>
    </row>
    <row r="2940" spans="1:11" ht="12.75" customHeight="1">
      <c r="A2940" s="21"/>
      <c r="B2940" s="22" t="s">
        <v>3731</v>
      </c>
      <c r="C2940" s="23"/>
      <c r="D2940" s="24"/>
      <c r="E2940" s="25"/>
      <c r="F2940" s="26"/>
      <c r="G2940" s="27">
        <f>SUM(G2941:G2943)</f>
        <v>26078.011034010004</v>
      </c>
      <c r="H2940" s="44">
        <f>G2940*E2932</f>
        <v>0</v>
      </c>
    </row>
    <row r="2941" spans="1:11" ht="12.75" customHeight="1">
      <c r="A2941" s="28"/>
      <c r="B2941" s="29" t="s">
        <v>3657</v>
      </c>
      <c r="C2941" s="30" t="str">
        <f>IFERROR(_xlfn.XLOOKUP(B2941,Equipo[DESCRIPCION],Equipo[UND],,0),"")</f>
        <v>Día</v>
      </c>
      <c r="D2941" s="31">
        <v>1</v>
      </c>
      <c r="E2941" s="32">
        <f>IF(C2941="%MO",G2947,IFERROR(_xlfn.XLOOKUP($B2941,Equipo[DESCRIPCION],Equipo[VALOR],,0),""))</f>
        <v>56524.65</v>
      </c>
      <c r="F2941" s="33">
        <v>-4</v>
      </c>
      <c r="G2941" s="34">
        <f>IFERROR(IF(F2941&gt;=0,D2941*E2941*(1+F2941/100),ABS(D2941*E2941/F2941)),"")</f>
        <v>14131.1625</v>
      </c>
      <c r="H2941" s="43">
        <f>IFERROR(G2941*E2932,"")</f>
        <v>0</v>
      </c>
    </row>
    <row r="2942" spans="1:11" ht="12.75" customHeight="1">
      <c r="A2942" s="28"/>
      <c r="B2942" s="29" t="s">
        <v>3570</v>
      </c>
      <c r="C2942" s="30" t="str">
        <f>IFERROR(_xlfn.XLOOKUP(B2942,Equipo[DESCRIPCION],Equipo[UND],,0),"")</f>
        <v>%MO</v>
      </c>
      <c r="D2942" s="31">
        <v>0.04</v>
      </c>
      <c r="E2942" s="32">
        <f>IF(C2942="%MO",G2947,IFERROR(_xlfn.XLOOKUP($B2942,Equipo[DESCRIPCION],Equipo[VALOR],,0),""))</f>
        <v>132742.76148900003</v>
      </c>
      <c r="F2942" s="33"/>
      <c r="G2942" s="34">
        <f>IFERROR(IF(F2942&gt;=0,D2942*E2942*(1+F2942/100),ABS(D2942*E2942/F2942)),"")</f>
        <v>5309.7104595600013</v>
      </c>
      <c r="H2942" s="43">
        <f>IFERROR(G2942*E2932,"")</f>
        <v>0</v>
      </c>
    </row>
    <row r="2943" spans="1:11" ht="12.75" customHeight="1">
      <c r="A2943" s="28"/>
      <c r="B2943" s="29" t="s">
        <v>3626</v>
      </c>
      <c r="C2943" s="30" t="str">
        <f>IFERROR(_xlfn.XLOOKUP(B2943,Equipo[DESCRIPCION],Equipo[UND],,0),"")</f>
        <v>%MO</v>
      </c>
      <c r="D2943" s="31">
        <v>0.05</v>
      </c>
      <c r="E2943" s="32">
        <f>IF(C2943="%MO",G2947,IFERROR(_xlfn.XLOOKUP($B2943,Equipo[DESCRIPCION],Equipo[VALOR],,0),""))</f>
        <v>132742.76148900003</v>
      </c>
      <c r="F2943" s="33"/>
      <c r="G2943" s="34">
        <f>IFERROR(IF(F2943&gt;=0,D2943*E2943*(1+F2943/100),ABS(D2943*E2943/F2943)),"")</f>
        <v>6637.138074450002</v>
      </c>
      <c r="H2943" s="43">
        <f>IFERROR(G2943*E2932,"")</f>
        <v>0</v>
      </c>
    </row>
    <row r="2944" spans="1:11" ht="12.75" customHeight="1">
      <c r="A2944" s="21"/>
      <c r="B2944" s="22" t="s">
        <v>2533</v>
      </c>
      <c r="C2944" s="23"/>
      <c r="D2944" s="24"/>
      <c r="E2944" s="25"/>
      <c r="F2944" s="26"/>
      <c r="G2944" s="27">
        <f>SUM(G2945:G2946)</f>
        <v>0</v>
      </c>
      <c r="H2944" s="44">
        <f>G2944*E2932</f>
        <v>0</v>
      </c>
    </row>
    <row r="2945" spans="1:11" ht="12.75" customHeight="1">
      <c r="A2945" s="28"/>
      <c r="B2945" s="29"/>
      <c r="C2945" s="30" t="str">
        <f>IFERROR(_xlfn.XLOOKUP(B2945,Transporte[DESCRIPCION],Transporte[UND],,0),"")</f>
        <v/>
      </c>
      <c r="D2945" s="31"/>
      <c r="E2945" s="32" t="str">
        <f>IFERROR(_xlfn.XLOOKUP($B2945,Transporte[DESCRIPCION],Transporte[VALOR],,0),"")</f>
        <v/>
      </c>
      <c r="F2945" s="33"/>
      <c r="G2945" s="34" t="str">
        <f>IFERROR(IF(F2945&gt;=0,D2945*E2945*(1+F2945/100),ABS(D2945*E2945/F2945)),"")</f>
        <v/>
      </c>
      <c r="H2945" s="43" t="str">
        <f>IFERROR(G2945*E2932,"")</f>
        <v/>
      </c>
    </row>
    <row r="2946" spans="1:11" ht="12.75" customHeight="1">
      <c r="A2946" s="28"/>
      <c r="B2946" s="29"/>
      <c r="C2946" s="30" t="str">
        <f>IFERROR(_xlfn.XLOOKUP(B2946,Transporte[DESCRIPCION],Transporte[UND],,0),"")</f>
        <v/>
      </c>
      <c r="D2946" s="31"/>
      <c r="E2946" s="32" t="str">
        <f>IFERROR(_xlfn.XLOOKUP($B2946,Transporte[DESCRIPCION],Transporte[VALOR],,0),"")</f>
        <v/>
      </c>
      <c r="F2946" s="33"/>
      <c r="G2946" s="34" t="str">
        <f>IFERROR(IF(F2946&gt;=0,D2946*E2946*(1+F2946/100),ABS(D2946*E2946/F2946)),"")</f>
        <v/>
      </c>
      <c r="H2946" s="43" t="str">
        <f>IFERROR(G2946*E2932,"")</f>
        <v/>
      </c>
    </row>
    <row r="2947" spans="1:11" ht="12.75" customHeight="1">
      <c r="A2947" s="21"/>
      <c r="B2947" s="22" t="s">
        <v>3732</v>
      </c>
      <c r="C2947" s="23"/>
      <c r="D2947" s="24"/>
      <c r="E2947" s="25"/>
      <c r="F2947" s="26"/>
      <c r="G2947" s="27">
        <f>SUM(G2948:G2950)</f>
        <v>132742.76148900003</v>
      </c>
      <c r="H2947" s="44">
        <f>G2947*E2932</f>
        <v>0</v>
      </c>
    </row>
    <row r="2948" spans="1:11" ht="12.75" customHeight="1">
      <c r="A2948" s="28"/>
      <c r="B2948" s="29" t="s">
        <v>3713</v>
      </c>
      <c r="C2948" s="30" t="str">
        <f>IFERROR(_xlfn.XLOOKUP(B2948,MObra[DESCRIPCION],MObra[UN],,0),"")</f>
        <v>día</v>
      </c>
      <c r="D2948" s="31">
        <v>1</v>
      </c>
      <c r="E2948" s="32">
        <f>IFERROR(_xlfn.XLOOKUP($B2948,MObra[DESCRIPCION],MObra[VALOR UNIT],,0),"")</f>
        <v>663713.80744500016</v>
      </c>
      <c r="F2948" s="33">
        <v>-5</v>
      </c>
      <c r="G2948" s="34">
        <f>IFERROR(IF(F2948&gt;=0,D2948*E2948*(1+F2948/100),ABS(D2948*E2948/F2948)),"")</f>
        <v>132742.76148900003</v>
      </c>
      <c r="H2948" s="43">
        <f>IFERROR(G2948*E2932,"")</f>
        <v>0</v>
      </c>
    </row>
    <row r="2949" spans="1:11" ht="12.75" customHeight="1">
      <c r="A2949" s="28"/>
      <c r="B2949" s="29"/>
      <c r="C2949" s="30" t="str">
        <f t="array" ref="C2949">IFERROR(_xlfn.XLOOKUP(B2949,MObra[[#All],[DESCRIPCION]],MObra[[#All],[UN]],,0),"")</f>
        <v/>
      </c>
      <c r="D2949" s="31"/>
      <c r="E2949" s="32" t="str">
        <f>IFERROR(_xlfn.XLOOKUP($B2949,MObra[DESCRIPCION],MObra[VALOR UNIT],,0),"")</f>
        <v/>
      </c>
      <c r="F2949" s="33"/>
      <c r="G2949" s="34" t="str">
        <f>IFERROR(IF(F2949&gt;=0,D2949*E2949*(1+F2949/100),ABS(D2949*E2949/F2949)),"")</f>
        <v/>
      </c>
      <c r="H2949" s="43" t="str">
        <f>IFERROR(G2949*E2932,"")</f>
        <v/>
      </c>
    </row>
    <row r="2950" spans="1:11" ht="12.75" customHeight="1" thickBot="1">
      <c r="A2950" s="35"/>
      <c r="B2950" s="36"/>
      <c r="C2950" s="37" t="str">
        <f t="array" ref="C2950">IFERROR(_xlfn.XLOOKUP(B2950,MObra[[#All],[DESCRIPCION]],MObra[[#All],[UN]],,0),"")</f>
        <v/>
      </c>
      <c r="D2950" s="38"/>
      <c r="E2950" s="39" t="str">
        <f>IFERROR(_xlfn.XLOOKUP($B2950,MObra[DESCRIPCION],MObra[VALOR UNIT],,0),"")</f>
        <v/>
      </c>
      <c r="F2950" s="40"/>
      <c r="G2950" s="41" t="str">
        <f>IFERROR(IF(F2950&gt;=0,D2950*E2950*(1+F2950/100),ABS(D2950*E2950/F2950)),"")</f>
        <v/>
      </c>
      <c r="H2950" s="42" t="str">
        <f>IFERROR(G2950*E2932,"")</f>
        <v/>
      </c>
    </row>
    <row r="2951" spans="1:11" ht="12.75" customHeight="1" thickTop="1" thickBot="1"/>
    <row r="2952" spans="1:11" ht="12.75" customHeight="1" thickTop="1" thickBot="1">
      <c r="A2952" s="6" t="s">
        <v>593</v>
      </c>
      <c r="B2952" s="7" t="str">
        <f>VLOOKUP($A2952,Presupuesto!$A:$D,2,FALSE())</f>
        <v>Zapata concreto 27.6 Mpa</v>
      </c>
      <c r="C2952" s="8" t="str">
        <f>VLOOKUP($A2952,Presupuesto!$A:$D,3,FALSE())</f>
        <v>M3</v>
      </c>
      <c r="D2952" s="9"/>
      <c r="E2952" s="10">
        <f>VLOOKUP($A2952,Presupuesto!$A:$D,4,FALSE())</f>
        <v>0</v>
      </c>
      <c r="F2952" s="11" t="s">
        <v>2589</v>
      </c>
      <c r="G2952" s="12">
        <f>SUM(G2954:G2970)/2</f>
        <v>806774.58761428623</v>
      </c>
      <c r="H2952" s="13">
        <f>ROUND(SUM(H2954:H2970),0)/2</f>
        <v>0</v>
      </c>
      <c r="I2952" s="10">
        <f>VLOOKUP(A2952,Presupuesto!$A:$F,6,0)</f>
        <v>0</v>
      </c>
      <c r="J2952" s="10">
        <f>+H2952-I2952</f>
        <v>0</v>
      </c>
      <c r="K2952" s="46">
        <f>+H2952-G2952*E2952</f>
        <v>0</v>
      </c>
    </row>
    <row r="2953" spans="1:11" ht="12.75" customHeight="1" thickTop="1">
      <c r="A2953" s="14"/>
      <c r="B2953" s="15" t="s">
        <v>2586</v>
      </c>
      <c r="C2953" s="15" t="s">
        <v>5</v>
      </c>
      <c r="D2953" s="16" t="s">
        <v>6</v>
      </c>
      <c r="E2953" s="17" t="s">
        <v>7</v>
      </c>
      <c r="F2953" s="18" t="s">
        <v>3728</v>
      </c>
      <c r="G2953" s="19" t="s">
        <v>3729</v>
      </c>
      <c r="H2953" s="20" t="s">
        <v>3797</v>
      </c>
    </row>
    <row r="2954" spans="1:11" ht="12.75" customHeight="1">
      <c r="A2954" s="21"/>
      <c r="B2954" s="22" t="s">
        <v>3730</v>
      </c>
      <c r="C2954" s="23"/>
      <c r="D2954" s="24"/>
      <c r="E2954" s="25"/>
      <c r="F2954" s="26"/>
      <c r="G2954" s="27">
        <f>SUM(G2955:G2959)</f>
        <v>647953.81509127631</v>
      </c>
      <c r="H2954" s="27">
        <f>IFERROR(G2954*E2952,"")</f>
        <v>0</v>
      </c>
    </row>
    <row r="2955" spans="1:11" ht="12.75" customHeight="1">
      <c r="A2955" s="28"/>
      <c r="B2955" s="29" t="s">
        <v>3241</v>
      </c>
      <c r="C2955" s="30" t="str">
        <f>IFERROR(_xlfn.XLOOKUP(B2955,Insumo[DESCRIPCION],Insumo[UND],,0),"")</f>
        <v>M3</v>
      </c>
      <c r="D2955" s="31">
        <v>1</v>
      </c>
      <c r="E2955" s="32">
        <f>IFERROR(_xlfn.XLOOKUP($B2955,Insumo[DESCRIPCION],Insumo[VALOR],,0),"")</f>
        <v>568453.66874585627</v>
      </c>
      <c r="F2955" s="33">
        <v>5</v>
      </c>
      <c r="G2955" s="34">
        <f>IFERROR(IF(F2955&gt;=0,D2955*E2955*(1+F2955/100),ABS(D2955*E2955/F2955)),"")</f>
        <v>596876.35218314908</v>
      </c>
      <c r="H2955" s="43">
        <f>IFERROR(G2955*E2952,"")</f>
        <v>0</v>
      </c>
    </row>
    <row r="2956" spans="1:11" ht="12.75" customHeight="1">
      <c r="A2956" s="28"/>
      <c r="B2956" s="29" t="s">
        <v>2954</v>
      </c>
      <c r="C2956" s="30" t="str">
        <f>IFERROR(_xlfn.XLOOKUP(B2956,Insumo[DESCRIPCION],Insumo[UND],,0),"")</f>
        <v>M2</v>
      </c>
      <c r="D2956" s="31">
        <v>2</v>
      </c>
      <c r="E2956" s="32">
        <f>IFERROR(_xlfn.XLOOKUP($B2956,Insumo[DESCRIPCION],Insumo[VALOR],,0),"")</f>
        <v>102154.92581625449</v>
      </c>
      <c r="F2956" s="33">
        <v>-4</v>
      </c>
      <c r="G2956" s="34">
        <f>IFERROR(IF(F2956&gt;=0,D2956*E2956*(1+F2956/100),ABS(D2956*E2956/F2956)),"")</f>
        <v>51077.462908127243</v>
      </c>
      <c r="H2956" s="43">
        <f>IFERROR(G2956*E2952,"")</f>
        <v>0</v>
      </c>
    </row>
    <row r="2957" spans="1:11" ht="12.75" customHeight="1">
      <c r="A2957" s="28"/>
      <c r="B2957" s="29"/>
      <c r="C2957" s="30" t="str">
        <f>IFERROR(_xlfn.XLOOKUP(B2957,Insumo[DESCRIPCION],Insumo[UND],,0),"")</f>
        <v/>
      </c>
      <c r="D2957" s="31"/>
      <c r="E2957" s="32" t="str">
        <f>IFERROR(_xlfn.XLOOKUP($B2957,Insumo[DESCRIPCION],Insumo[VALOR],,0),"")</f>
        <v/>
      </c>
      <c r="F2957" s="33"/>
      <c r="G2957" s="34" t="str">
        <f>IFERROR(IF(F2957&gt;=0,D2957*E2957*(1+F2957/100),ABS(D2957*E2957/F2957)),"")</f>
        <v/>
      </c>
      <c r="H2957" s="43" t="str">
        <f>IFERROR(G2957*E2952,"")</f>
        <v/>
      </c>
    </row>
    <row r="2958" spans="1:11" ht="12.75" customHeight="1">
      <c r="A2958" s="28"/>
      <c r="B2958" s="29"/>
      <c r="C2958" s="30" t="str">
        <f>IFERROR(_xlfn.XLOOKUP(B2958,Insumo[DESCRIPCION],Insumo[UND],,0),"")</f>
        <v/>
      </c>
      <c r="D2958" s="31"/>
      <c r="E2958" s="32" t="str">
        <f>IFERROR(_xlfn.XLOOKUP($B2958,Insumo[DESCRIPCION],Insumo[VALOR],,0),"")</f>
        <v/>
      </c>
      <c r="F2958" s="33"/>
      <c r="G2958" s="34" t="str">
        <f>IFERROR(IF(F2958&gt;=0,D2958*E2958*(1+F2958/100),ABS(D2958*E2958/F2958)),"")</f>
        <v/>
      </c>
      <c r="H2958" s="43" t="str">
        <f>IFERROR(G2958*E2952,"")</f>
        <v/>
      </c>
    </row>
    <row r="2959" spans="1:11" ht="12.75" customHeight="1">
      <c r="A2959" s="28"/>
      <c r="B2959" s="29"/>
      <c r="C2959" s="30" t="str">
        <f>IFERROR(_xlfn.XLOOKUP(B2959,Insumo[DESCRIPCION],Insumo[UND],,0),"")</f>
        <v/>
      </c>
      <c r="D2959" s="31"/>
      <c r="E2959" s="32" t="str">
        <f>IFERROR(_xlfn.XLOOKUP($B2959,Insumo[DESCRIPCION],Insumo[VALOR],,0),"")</f>
        <v/>
      </c>
      <c r="F2959" s="33"/>
      <c r="G2959" s="34" t="str">
        <f>IFERROR(IF(F2959&gt;=0,D2959*E2959*(1+F2959/100),ABS(D2959*E2959/F2959)),"")</f>
        <v/>
      </c>
      <c r="H2959" s="43" t="str">
        <f>IFERROR(G2959*E2952,"")</f>
        <v/>
      </c>
    </row>
    <row r="2960" spans="1:11" ht="12.75" customHeight="1">
      <c r="A2960" s="21"/>
      <c r="B2960" s="22" t="s">
        <v>3731</v>
      </c>
      <c r="C2960" s="23"/>
      <c r="D2960" s="24"/>
      <c r="E2960" s="25"/>
      <c r="F2960" s="26"/>
      <c r="G2960" s="27">
        <f>SUM(G2961:G2963)</f>
        <v>26078.011034010004</v>
      </c>
      <c r="H2960" s="44">
        <f>G2960*E2952</f>
        <v>0</v>
      </c>
    </row>
    <row r="2961" spans="1:11" ht="12.75" customHeight="1">
      <c r="A2961" s="28"/>
      <c r="B2961" s="29" t="s">
        <v>3657</v>
      </c>
      <c r="C2961" s="30" t="str">
        <f>IFERROR(_xlfn.XLOOKUP(B2961,Equipo[DESCRIPCION],Equipo[UND],,0),"")</f>
        <v>Día</v>
      </c>
      <c r="D2961" s="31">
        <v>1</v>
      </c>
      <c r="E2961" s="32">
        <f>IF(C2961="%MO",G2967,IFERROR(_xlfn.XLOOKUP($B2961,Equipo[DESCRIPCION],Equipo[VALOR],,0),""))</f>
        <v>56524.65</v>
      </c>
      <c r="F2961" s="33">
        <v>-4</v>
      </c>
      <c r="G2961" s="34">
        <f>IFERROR(IF(F2961&gt;=0,D2961*E2961*(1+F2961/100),ABS(D2961*E2961/F2961)),"")</f>
        <v>14131.1625</v>
      </c>
      <c r="H2961" s="43">
        <f>IFERROR(G2961*E2952,"")</f>
        <v>0</v>
      </c>
    </row>
    <row r="2962" spans="1:11" ht="12.75" customHeight="1">
      <c r="A2962" s="28"/>
      <c r="B2962" s="29" t="s">
        <v>3570</v>
      </c>
      <c r="C2962" s="30" t="str">
        <f>IFERROR(_xlfn.XLOOKUP(B2962,Equipo[DESCRIPCION],Equipo[UND],,0),"")</f>
        <v>%MO</v>
      </c>
      <c r="D2962" s="31">
        <v>0.04</v>
      </c>
      <c r="E2962" s="32">
        <f>IF(C2962="%MO",G2967,IFERROR(_xlfn.XLOOKUP($B2962,Equipo[DESCRIPCION],Equipo[VALOR],,0),""))</f>
        <v>132742.76148900003</v>
      </c>
      <c r="F2962" s="33"/>
      <c r="G2962" s="34">
        <f>IFERROR(IF(F2962&gt;=0,D2962*E2962*(1+F2962/100),ABS(D2962*E2962/F2962)),"")</f>
        <v>5309.7104595600013</v>
      </c>
      <c r="H2962" s="43">
        <f>IFERROR(G2962*E2952,"")</f>
        <v>0</v>
      </c>
    </row>
    <row r="2963" spans="1:11" ht="12.75" customHeight="1">
      <c r="A2963" s="28"/>
      <c r="B2963" s="29" t="s">
        <v>3626</v>
      </c>
      <c r="C2963" s="30" t="str">
        <f>IFERROR(_xlfn.XLOOKUP(B2963,Equipo[DESCRIPCION],Equipo[UND],,0),"")</f>
        <v>%MO</v>
      </c>
      <c r="D2963" s="31">
        <v>0.05</v>
      </c>
      <c r="E2963" s="32">
        <f>IF(C2963="%MO",G2967,IFERROR(_xlfn.XLOOKUP($B2963,Equipo[DESCRIPCION],Equipo[VALOR],,0),""))</f>
        <v>132742.76148900003</v>
      </c>
      <c r="F2963" s="33"/>
      <c r="G2963" s="34">
        <f>IFERROR(IF(F2963&gt;=0,D2963*E2963*(1+F2963/100),ABS(D2963*E2963/F2963)),"")</f>
        <v>6637.138074450002</v>
      </c>
      <c r="H2963" s="43">
        <f>IFERROR(G2963*E2952,"")</f>
        <v>0</v>
      </c>
    </row>
    <row r="2964" spans="1:11" ht="12.75" customHeight="1">
      <c r="A2964" s="21"/>
      <c r="B2964" s="22" t="s">
        <v>2533</v>
      </c>
      <c r="C2964" s="23"/>
      <c r="D2964" s="24"/>
      <c r="E2964" s="25"/>
      <c r="F2964" s="26"/>
      <c r="G2964" s="27">
        <f>SUM(G2965:G2966)</f>
        <v>0</v>
      </c>
      <c r="H2964" s="44">
        <f>G2964*E2952</f>
        <v>0</v>
      </c>
    </row>
    <row r="2965" spans="1:11" ht="12.75" customHeight="1">
      <c r="A2965" s="28"/>
      <c r="B2965" s="29"/>
      <c r="C2965" s="30" t="str">
        <f>IFERROR(_xlfn.XLOOKUP(B2965,Transporte[DESCRIPCION],Transporte[UND],,0),"")</f>
        <v/>
      </c>
      <c r="D2965" s="31"/>
      <c r="E2965" s="32" t="str">
        <f>IFERROR(_xlfn.XLOOKUP($B2965,Transporte[DESCRIPCION],Transporte[VALOR],,0),"")</f>
        <v/>
      </c>
      <c r="F2965" s="33"/>
      <c r="G2965" s="34" t="str">
        <f>IFERROR(IF(F2965&gt;=0,D2965*E2965*(1+F2965/100),ABS(D2965*E2965/F2965)),"")</f>
        <v/>
      </c>
      <c r="H2965" s="43" t="str">
        <f>IFERROR(G2965*E2952,"")</f>
        <v/>
      </c>
    </row>
    <row r="2966" spans="1:11" ht="12.75" customHeight="1">
      <c r="A2966" s="28"/>
      <c r="B2966" s="29"/>
      <c r="C2966" s="30" t="str">
        <f>IFERROR(_xlfn.XLOOKUP(B2966,Transporte[DESCRIPCION],Transporte[UND],,0),"")</f>
        <v/>
      </c>
      <c r="D2966" s="31"/>
      <c r="E2966" s="32" t="str">
        <f>IFERROR(_xlfn.XLOOKUP($B2966,Transporte[DESCRIPCION],Transporte[VALOR],,0),"")</f>
        <v/>
      </c>
      <c r="F2966" s="33"/>
      <c r="G2966" s="34" t="str">
        <f>IFERROR(IF(F2966&gt;=0,D2966*E2966*(1+F2966/100),ABS(D2966*E2966/F2966)),"")</f>
        <v/>
      </c>
      <c r="H2966" s="43" t="str">
        <f>IFERROR(G2966*E2952,"")</f>
        <v/>
      </c>
    </row>
    <row r="2967" spans="1:11" ht="12.75" customHeight="1">
      <c r="A2967" s="21"/>
      <c r="B2967" s="22" t="s">
        <v>3732</v>
      </c>
      <c r="C2967" s="23"/>
      <c r="D2967" s="24"/>
      <c r="E2967" s="25"/>
      <c r="F2967" s="26"/>
      <c r="G2967" s="27">
        <f>SUM(G2968:G2970)</f>
        <v>132742.76148900003</v>
      </c>
      <c r="H2967" s="44">
        <f>G2967*E2952</f>
        <v>0</v>
      </c>
    </row>
    <row r="2968" spans="1:11" ht="12.75" customHeight="1">
      <c r="A2968" s="28"/>
      <c r="B2968" s="29" t="s">
        <v>3713</v>
      </c>
      <c r="C2968" s="30" t="str">
        <f>IFERROR(_xlfn.XLOOKUP(B2968,MObra[DESCRIPCION],MObra[UN],,0),"")</f>
        <v>día</v>
      </c>
      <c r="D2968" s="31">
        <v>1</v>
      </c>
      <c r="E2968" s="32">
        <f>IFERROR(_xlfn.XLOOKUP($B2968,MObra[DESCRIPCION],MObra[VALOR UNIT],,0),"")</f>
        <v>663713.80744500016</v>
      </c>
      <c r="F2968" s="33">
        <v>-5</v>
      </c>
      <c r="G2968" s="34">
        <f>IFERROR(IF(F2968&gt;=0,D2968*E2968*(1+F2968/100),ABS(D2968*E2968/F2968)),"")</f>
        <v>132742.76148900003</v>
      </c>
      <c r="H2968" s="43">
        <f>IFERROR(G2968*E2952,"")</f>
        <v>0</v>
      </c>
    </row>
    <row r="2969" spans="1:11" ht="12.75" customHeight="1">
      <c r="A2969" s="28"/>
      <c r="B2969" s="29"/>
      <c r="C2969" s="30" t="str">
        <f t="array" ref="C2969">IFERROR(_xlfn.XLOOKUP(B2969,MObra[[#All],[DESCRIPCION]],MObra[[#All],[UN]],,0),"")</f>
        <v/>
      </c>
      <c r="D2969" s="31"/>
      <c r="E2969" s="32" t="str">
        <f>IFERROR(_xlfn.XLOOKUP($B2969,MObra[DESCRIPCION],MObra[VALOR UNIT],,0),"")</f>
        <v/>
      </c>
      <c r="F2969" s="33"/>
      <c r="G2969" s="34" t="str">
        <f>IFERROR(IF(F2969&gt;=0,D2969*E2969*(1+F2969/100),ABS(D2969*E2969/F2969)),"")</f>
        <v/>
      </c>
      <c r="H2969" s="43" t="str">
        <f>IFERROR(G2969*E2952,"")</f>
        <v/>
      </c>
    </row>
    <row r="2970" spans="1:11" ht="12.75" customHeight="1" thickBot="1">
      <c r="A2970" s="35"/>
      <c r="B2970" s="36"/>
      <c r="C2970" s="37" t="str">
        <f t="array" ref="C2970">IFERROR(_xlfn.XLOOKUP(B2970,MObra[[#All],[DESCRIPCION]],MObra[[#All],[UN]],,0),"")</f>
        <v/>
      </c>
      <c r="D2970" s="38"/>
      <c r="E2970" s="39" t="str">
        <f>IFERROR(_xlfn.XLOOKUP($B2970,MObra[DESCRIPCION],MObra[VALOR UNIT],,0),"")</f>
        <v/>
      </c>
      <c r="F2970" s="40"/>
      <c r="G2970" s="41" t="str">
        <f>IFERROR(IF(F2970&gt;=0,D2970*E2970*(1+F2970/100),ABS(D2970*E2970/F2970)),"")</f>
        <v/>
      </c>
      <c r="H2970" s="42" t="str">
        <f>IFERROR(G2970*E2952,"")</f>
        <v/>
      </c>
    </row>
    <row r="2971" spans="1:11" ht="12.75" customHeight="1" thickTop="1" thickBot="1"/>
    <row r="2972" spans="1:11" ht="12.75" customHeight="1" thickTop="1" thickBot="1">
      <c r="A2972" s="6" t="s">
        <v>595</v>
      </c>
      <c r="B2972" s="7" t="str">
        <f>VLOOKUP($A2972,Presupuesto!$A:$D,2,FALSE())</f>
        <v>Zarpa concreto ciclópeo</v>
      </c>
      <c r="C2972" s="8" t="str">
        <f>VLOOKUP($A2972,Presupuesto!$A:$D,3,FALSE())</f>
        <v>M3</v>
      </c>
      <c r="D2972" s="9"/>
      <c r="E2972" s="10">
        <f>VLOOKUP($A2972,Presupuesto!$A:$D,4,FALSE())</f>
        <v>0</v>
      </c>
      <c r="F2972" s="11" t="s">
        <v>2589</v>
      </c>
      <c r="G2972" s="12">
        <f>SUM(G2974:G2990)/2</f>
        <v>594820.09645791329</v>
      </c>
      <c r="H2972" s="13">
        <f>ROUND(SUM(H2974:H2990),0)/2</f>
        <v>0</v>
      </c>
      <c r="I2972" s="10">
        <f>VLOOKUP(A2972,Presupuesto!$A:$F,6,0)</f>
        <v>0</v>
      </c>
      <c r="J2972" s="10">
        <f>+H2972-I2972</f>
        <v>0</v>
      </c>
      <c r="K2972" s="46">
        <f>+H2972-G2972*E2972</f>
        <v>0</v>
      </c>
    </row>
    <row r="2973" spans="1:11" ht="12.75" customHeight="1" thickTop="1">
      <c r="A2973" s="14"/>
      <c r="B2973" s="15" t="s">
        <v>2586</v>
      </c>
      <c r="C2973" s="15" t="s">
        <v>5</v>
      </c>
      <c r="D2973" s="16" t="s">
        <v>6</v>
      </c>
      <c r="E2973" s="17" t="s">
        <v>7</v>
      </c>
      <c r="F2973" s="18" t="s">
        <v>3728</v>
      </c>
      <c r="G2973" s="19" t="s">
        <v>3729</v>
      </c>
      <c r="H2973" s="20" t="s">
        <v>3797</v>
      </c>
    </row>
    <row r="2974" spans="1:11" ht="12.75" customHeight="1">
      <c r="A2974" s="21"/>
      <c r="B2974" s="22" t="s">
        <v>3730</v>
      </c>
      <c r="C2974" s="23"/>
      <c r="D2974" s="24"/>
      <c r="E2974" s="25"/>
      <c r="F2974" s="26"/>
      <c r="G2974" s="27">
        <f>SUM(G2975:G2979)</f>
        <v>450130.48643490329</v>
      </c>
      <c r="H2974" s="27">
        <f>IFERROR(G2974*E2972,"")</f>
        <v>0</v>
      </c>
    </row>
    <row r="2975" spans="1:11" ht="12.75" customHeight="1">
      <c r="A2975" s="28"/>
      <c r="B2975" s="29" t="s">
        <v>3239</v>
      </c>
      <c r="C2975" s="30" t="str">
        <f>IFERROR(_xlfn.XLOOKUP(B2975,Insumo[DESCRIPCION],Insumo[UND],,0),"")</f>
        <v>M3</v>
      </c>
      <c r="D2975" s="31">
        <v>0.6</v>
      </c>
      <c r="E2975" s="32">
        <f>IFERROR(_xlfn.XLOOKUP($B2975,Insumo[DESCRIPCION],Insumo[VALOR],,0),"")</f>
        <v>521159.50227762427</v>
      </c>
      <c r="F2975" s="33">
        <v>5</v>
      </c>
      <c r="G2975" s="34">
        <f>IFERROR(IF(F2975&gt;=0,D2975*E2975*(1+F2975/100),ABS(D2975*E2975/F2975)),"")</f>
        <v>328330.48643490329</v>
      </c>
      <c r="H2975" s="43">
        <f>IFERROR(G2975*E2972,"")</f>
        <v>0</v>
      </c>
    </row>
    <row r="2976" spans="1:11" ht="12.75" customHeight="1">
      <c r="A2976" s="28"/>
      <c r="B2976" s="29" t="s">
        <v>2709</v>
      </c>
      <c r="C2976" s="30" t="str">
        <f>IFERROR(_xlfn.XLOOKUP(B2976,Insumo[DESCRIPCION],Insumo[UND],,0),"")</f>
        <v>Kg</v>
      </c>
      <c r="D2976" s="31">
        <v>5</v>
      </c>
      <c r="E2976" s="32">
        <f>IFERROR(_xlfn.XLOOKUP($B2976,Insumo[DESCRIPCION],Insumo[VALOR],,0),"")</f>
        <v>14812.35</v>
      </c>
      <c r="F2976" s="33"/>
      <c r="G2976" s="34">
        <f>IFERROR(IF(F2976&gt;=0,D2976*E2976*(1+F2976/100),ABS(D2976*E2976/F2976)),"")</f>
        <v>74061.75</v>
      </c>
      <c r="H2976" s="43">
        <f>IFERROR(G2976*E2972,"")</f>
        <v>0</v>
      </c>
    </row>
    <row r="2977" spans="1:8" ht="12.75" customHeight="1">
      <c r="A2977" s="28"/>
      <c r="B2977" s="29" t="s">
        <v>3201</v>
      </c>
      <c r="C2977" s="30" t="str">
        <f>IFERROR(_xlfn.XLOOKUP(B2977,Insumo[DESCRIPCION],Insumo[UND],,0),"")</f>
        <v>M3</v>
      </c>
      <c r="D2977" s="31">
        <v>0.4</v>
      </c>
      <c r="E2977" s="32">
        <f>IFERROR(_xlfn.XLOOKUP($B2977,Insumo[DESCRIPCION],Insumo[VALOR],,0),"")</f>
        <v>113662.5</v>
      </c>
      <c r="F2977" s="33">
        <v>5</v>
      </c>
      <c r="G2977" s="34">
        <f>IFERROR(IF(F2977&gt;=0,D2977*E2977*(1+F2977/100),ABS(D2977*E2977/F2977)),"")</f>
        <v>47738.25</v>
      </c>
      <c r="H2977" s="43">
        <f>IFERROR(G2977*E2972,"")</f>
        <v>0</v>
      </c>
    </row>
    <row r="2978" spans="1:8" ht="12.75" customHeight="1">
      <c r="A2978" s="28"/>
      <c r="B2978" s="29"/>
      <c r="C2978" s="30" t="str">
        <f>IFERROR(_xlfn.XLOOKUP(B2978,Insumo[DESCRIPCION],Insumo[UND],,0),"")</f>
        <v/>
      </c>
      <c r="D2978" s="31"/>
      <c r="E2978" s="32" t="str">
        <f>IFERROR(_xlfn.XLOOKUP($B2978,Insumo[DESCRIPCION],Insumo[VALOR],,0),"")</f>
        <v/>
      </c>
      <c r="F2978" s="33"/>
      <c r="G2978" s="34" t="str">
        <f>IFERROR(IF(F2978&gt;=0,D2978*E2978*(1+F2978/100),ABS(D2978*E2978/F2978)),"")</f>
        <v/>
      </c>
      <c r="H2978" s="43" t="str">
        <f>IFERROR(G2978*E2972,"")</f>
        <v/>
      </c>
    </row>
    <row r="2979" spans="1:8" ht="12.75" customHeight="1">
      <c r="A2979" s="28"/>
      <c r="B2979" s="29"/>
      <c r="C2979" s="30" t="str">
        <f>IFERROR(_xlfn.XLOOKUP(B2979,Insumo[DESCRIPCION],Insumo[UND],,0),"")</f>
        <v/>
      </c>
      <c r="D2979" s="31"/>
      <c r="E2979" s="32" t="str">
        <f>IFERROR(_xlfn.XLOOKUP($B2979,Insumo[DESCRIPCION],Insumo[VALOR],,0),"")</f>
        <v/>
      </c>
      <c r="F2979" s="33"/>
      <c r="G2979" s="34" t="str">
        <f>IFERROR(IF(F2979&gt;=0,D2979*E2979*(1+F2979/100),ABS(D2979*E2979/F2979)),"")</f>
        <v/>
      </c>
      <c r="H2979" s="43" t="str">
        <f>IFERROR(G2979*E2972,"")</f>
        <v/>
      </c>
    </row>
    <row r="2980" spans="1:8" ht="12.75" customHeight="1">
      <c r="A2980" s="21"/>
      <c r="B2980" s="22" t="s">
        <v>3731</v>
      </c>
      <c r="C2980" s="23"/>
      <c r="D2980" s="24"/>
      <c r="E2980" s="25"/>
      <c r="F2980" s="26"/>
      <c r="G2980" s="27">
        <f>SUM(G2981:G2983)</f>
        <v>11946.848534010003</v>
      </c>
      <c r="H2980" s="44">
        <f>G2980*E2972</f>
        <v>0</v>
      </c>
    </row>
    <row r="2981" spans="1:8" ht="12.75" customHeight="1">
      <c r="A2981" s="28"/>
      <c r="B2981" s="29" t="s">
        <v>3570</v>
      </c>
      <c r="C2981" s="30" t="str">
        <f>IFERROR(_xlfn.XLOOKUP(B2981,Equipo[DESCRIPCION],Equipo[UND],,0),"")</f>
        <v>%MO</v>
      </c>
      <c r="D2981" s="31">
        <v>0.04</v>
      </c>
      <c r="E2981" s="32">
        <f>IF(C2981="%MO",G2987,IFERROR(_xlfn.XLOOKUP($B2981,Equipo[DESCRIPCION],Equipo[VALOR],,0),""))</f>
        <v>132742.76148900003</v>
      </c>
      <c r="F2981" s="33"/>
      <c r="G2981" s="34">
        <f>IFERROR(IF(F2981&gt;=0,D2981*E2981*(1+F2981/100),ABS(D2981*E2981/F2981)),"")</f>
        <v>5309.7104595600013</v>
      </c>
      <c r="H2981" s="43">
        <f>IFERROR(G2981*E2972,"")</f>
        <v>0</v>
      </c>
    </row>
    <row r="2982" spans="1:8" ht="12.75" customHeight="1">
      <c r="A2982" s="28"/>
      <c r="B2982" s="29" t="s">
        <v>3626</v>
      </c>
      <c r="C2982" s="30" t="str">
        <f>IFERROR(_xlfn.XLOOKUP(B2982,Equipo[DESCRIPCION],Equipo[UND],,0),"")</f>
        <v>%MO</v>
      </c>
      <c r="D2982" s="31">
        <v>0.05</v>
      </c>
      <c r="E2982" s="32">
        <f>IF(C2982="%MO",G2987,IFERROR(_xlfn.XLOOKUP($B2982,Equipo[DESCRIPCION],Equipo[VALOR],,0),""))</f>
        <v>132742.76148900003</v>
      </c>
      <c r="F2982" s="33"/>
      <c r="G2982" s="34">
        <f>IFERROR(IF(F2982&gt;=0,D2982*E2982*(1+F2982/100),ABS(D2982*E2982/F2982)),"")</f>
        <v>6637.138074450002</v>
      </c>
      <c r="H2982" s="43">
        <f>IFERROR(G2982*E2972,"")</f>
        <v>0</v>
      </c>
    </row>
    <row r="2983" spans="1:8" ht="12.75" customHeight="1">
      <c r="A2983" s="28"/>
      <c r="B2983" s="29"/>
      <c r="C2983" s="30" t="str">
        <f>IFERROR(_xlfn.XLOOKUP(B2983,Equipo[DESCRIPCION],Equipo[UND],,0),"")</f>
        <v/>
      </c>
      <c r="D2983" s="31"/>
      <c r="E2983" s="32" t="str">
        <f>IF(C2983="%MO",G2987,IFERROR(_xlfn.XLOOKUP($B2983,Equipo[DESCRIPCION],Equipo[VALOR],,0),""))</f>
        <v/>
      </c>
      <c r="F2983" s="33"/>
      <c r="G2983" s="34" t="str">
        <f>IFERROR(IF(F2983&gt;=0,D2983*E2983*(1+F2983/100),ABS(D2983*E2983/F2983)),"")</f>
        <v/>
      </c>
      <c r="H2983" s="43" t="str">
        <f>IFERROR(G2983*E2972,"")</f>
        <v/>
      </c>
    </row>
    <row r="2984" spans="1:8" ht="12.75" customHeight="1">
      <c r="A2984" s="21"/>
      <c r="B2984" s="22" t="s">
        <v>2533</v>
      </c>
      <c r="C2984" s="23"/>
      <c r="D2984" s="24"/>
      <c r="E2984" s="25"/>
      <c r="F2984" s="26"/>
      <c r="G2984" s="27">
        <f>SUM(G2985:G2986)</f>
        <v>0</v>
      </c>
      <c r="H2984" s="44">
        <f>G2984*E2972</f>
        <v>0</v>
      </c>
    </row>
    <row r="2985" spans="1:8" ht="12.75" customHeight="1">
      <c r="A2985" s="28"/>
      <c r="B2985" s="29"/>
      <c r="C2985" s="30" t="str">
        <f>IFERROR(_xlfn.XLOOKUP(B2985,Transporte[DESCRIPCION],Transporte[UND],,0),"")</f>
        <v/>
      </c>
      <c r="D2985" s="31"/>
      <c r="E2985" s="32" t="str">
        <f>IFERROR(_xlfn.XLOOKUP($B2985,Transporte[DESCRIPCION],Transporte[VALOR],,0),"")</f>
        <v/>
      </c>
      <c r="F2985" s="33"/>
      <c r="G2985" s="34" t="str">
        <f>IFERROR(IF(F2985&gt;=0,D2985*E2985*(1+F2985/100),ABS(D2985*E2985/F2985)),"")</f>
        <v/>
      </c>
      <c r="H2985" s="43" t="str">
        <f>IFERROR(G2985*E2972,"")</f>
        <v/>
      </c>
    </row>
    <row r="2986" spans="1:8" ht="12.75" customHeight="1">
      <c r="A2986" s="28"/>
      <c r="B2986" s="29"/>
      <c r="C2986" s="30" t="str">
        <f>IFERROR(_xlfn.XLOOKUP(B2986,Transporte[DESCRIPCION],Transporte[UND],,0),"")</f>
        <v/>
      </c>
      <c r="D2986" s="31"/>
      <c r="E2986" s="32" t="str">
        <f>IFERROR(_xlfn.XLOOKUP($B2986,Transporte[DESCRIPCION],Transporte[VALOR],,0),"")</f>
        <v/>
      </c>
      <c r="F2986" s="33"/>
      <c r="G2986" s="34" t="str">
        <f>IFERROR(IF(F2986&gt;=0,D2986*E2986*(1+F2986/100),ABS(D2986*E2986/F2986)),"")</f>
        <v/>
      </c>
      <c r="H2986" s="43" t="str">
        <f>IFERROR(G2986*E2972,"")</f>
        <v/>
      </c>
    </row>
    <row r="2987" spans="1:8" ht="12.75" customHeight="1">
      <c r="A2987" s="21"/>
      <c r="B2987" s="22" t="s">
        <v>3732</v>
      </c>
      <c r="C2987" s="23"/>
      <c r="D2987" s="24"/>
      <c r="E2987" s="25"/>
      <c r="F2987" s="26"/>
      <c r="G2987" s="27">
        <f>SUM(G2988:G2990)</f>
        <v>132742.76148900003</v>
      </c>
      <c r="H2987" s="44">
        <f>G2987*E2972</f>
        <v>0</v>
      </c>
    </row>
    <row r="2988" spans="1:8" ht="12.75" customHeight="1">
      <c r="A2988" s="28"/>
      <c r="B2988" s="29" t="s">
        <v>3713</v>
      </c>
      <c r="C2988" s="30" t="str">
        <f>IFERROR(_xlfn.XLOOKUP(B2988,MObra[DESCRIPCION],MObra[UN],,0),"")</f>
        <v>día</v>
      </c>
      <c r="D2988" s="31">
        <v>1</v>
      </c>
      <c r="E2988" s="32">
        <f>IFERROR(_xlfn.XLOOKUP($B2988,MObra[DESCRIPCION],MObra[VALOR UNIT],,0),"")</f>
        <v>663713.80744500016</v>
      </c>
      <c r="F2988" s="33">
        <v>-5</v>
      </c>
      <c r="G2988" s="34">
        <f>IFERROR(IF(F2988&gt;=0,D2988*E2988*(1+F2988/100),ABS(D2988*E2988/F2988)),"")</f>
        <v>132742.76148900003</v>
      </c>
      <c r="H2988" s="43">
        <f>IFERROR(G2988*E2972,"")</f>
        <v>0</v>
      </c>
    </row>
    <row r="2989" spans="1:8" ht="12.75" customHeight="1">
      <c r="A2989" s="28"/>
      <c r="B2989" s="29"/>
      <c r="C2989" s="30" t="str">
        <f t="array" ref="C2989">IFERROR(_xlfn.XLOOKUP(B2989,MObra[[#All],[DESCRIPCION]],MObra[[#All],[UN]],,0),"")</f>
        <v/>
      </c>
      <c r="D2989" s="31"/>
      <c r="E2989" s="32" t="str">
        <f>IFERROR(_xlfn.XLOOKUP($B2989,MObra[DESCRIPCION],MObra[VALOR UNIT],,0),"")</f>
        <v/>
      </c>
      <c r="F2989" s="33"/>
      <c r="G2989" s="34" t="str">
        <f>IFERROR(IF(F2989&gt;=0,D2989*E2989*(1+F2989/100),ABS(D2989*E2989/F2989)),"")</f>
        <v/>
      </c>
      <c r="H2989" s="43" t="str">
        <f>IFERROR(G2989*E2972,"")</f>
        <v/>
      </c>
    </row>
    <row r="2990" spans="1:8" ht="12.75" customHeight="1" thickBot="1">
      <c r="A2990" s="35"/>
      <c r="B2990" s="36"/>
      <c r="C2990" s="37" t="str">
        <f t="array" ref="C2990">IFERROR(_xlfn.XLOOKUP(B2990,MObra[[#All],[DESCRIPCION]],MObra[[#All],[UN]],,0),"")</f>
        <v/>
      </c>
      <c r="D2990" s="38"/>
      <c r="E2990" s="39" t="str">
        <f>IFERROR(_xlfn.XLOOKUP($B2990,MObra[DESCRIPCION],MObra[VALOR UNIT],,0),"")</f>
        <v/>
      </c>
      <c r="F2990" s="40"/>
      <c r="G2990" s="41" t="str">
        <f>IFERROR(IF(F2990&gt;=0,D2990*E2990*(1+F2990/100),ABS(D2990*E2990/F2990)),"")</f>
        <v/>
      </c>
      <c r="H2990" s="42" t="str">
        <f>IFERROR(G2990*E2972,"")</f>
        <v/>
      </c>
    </row>
    <row r="2991" spans="1:8" ht="12.75" customHeight="1" thickTop="1"/>
  </sheetData>
  <mergeCells count="3">
    <mergeCell ref="B1:G1"/>
    <mergeCell ref="B2:G2"/>
    <mergeCell ref="B3:G3"/>
  </mergeCells>
  <dataValidations count="1">
    <dataValidation type="list" allowBlank="1" showInputMessage="1" showErrorMessage="1" sqref="B7:B11 B27:B31 B47:B51 B67:B71 B87:B91 B107:B111 B127:B131 B143 B147:B151 B167:B171 B187:B191 B207:B211 B223 B227:B231 B247:B251 B263 B267:B271 B287:B291 B1087:B1091 B307:B311 B327:B331 B347:B351 B367:B371 B387:B391 B407:B411 B423 B427:B431 B447:B451 B467:B471 B487:B491 B503 B507:B511 B527:B531 B547:B551 B567:B571 B587:B591 B607:B611 B623 B627:B631 B647:B651 B667:B671 B687:B691 B707:B711 B723 B727:B731 B747:B751 B767:B771 B787:B791 B807:B811 B827:B831 B847:B851 B887:B891 B907:B911 B923 B927:B931 B943 B947:B951 B963 B967:B971 B983 B987:B991 B1003 B1007:B1011 B1023 B1027:B1031 B1043 B1047:B1051 B1067:B1071 B1107:B1111 B1127:B1131 B1143 B1147:B1151 B1167:B1171 B1187:B1191 B1207:B1211 B1247:B1251 B1267:B1271 B1287:B1291 B1303 B1307:B1311 B1327:B1331 B1347:B1351 B1367:B1371 B1387:B1391 B1403 B1407:B1411 B1427:B1431 B1447:B1451 B1467:B1471 B1487:B1491 B1508:B1512 B2955:B2959 B1571:B1575 B1613:B1617 B1633:B1637 B1649 B1653:B1657 B1676:B1680 B1699:B1703 B1718 B1722:B1726 B1745:B1749 B1768:B1772 B1791:B1795 B1814:B1818 B1837:B1841 B1860:B1864 B1883:B1887 B1902 B1906:B1910 B1929:B1933 B1952:B1956 B1975:B1979 B1998:B2002 B2018:B2022 B2034 B2038:B2042 B2054 B2058:B2062 B2078:B2082 B2098:B2102 B2118:B2122 B2138:B2142 B2161:B2165 B2184:B2188 B2207:B2211 B2250:B2254 B2266 B2270:B2274 B2290:B2294 B2246 B2330:B2334 B2353:B2357 B2372 B2376:B2380 B2399:B2403 B2422:B2426 B2445:B2449 B2468:B2472 B2491:B2495 B2514:B2518 B2537:B2541 B2553 B2557:B2561 B2577:B2581 B2597:B2601 B2617:B2621 B2633 B2637:B2641 B2657:B2661 B2677:B2681 B2697:B2701 B2717:B2721 B2737:B2741 B2753 B2757:B2761 B2777:B2781 B2800:B2804 B2823:B2827 B2846:B2850 B2865 B2869:B2873 B2892:B2896 B2915:B2919 B2935:B2939 B2310:B2314 B2975:B2979 B1227:B1231 B867:B871 B1529:B1533 B1550:B1554 B2230:B2234 B1592:B1596" xr:uid="{00000000-0002-0000-0A00-000000000000}">
      <formula1>Desinsum</formula1>
      <formula2>0</formula2>
    </dataValidation>
  </dataValidations>
  <printOptions horizontalCentered="1"/>
  <pageMargins left="0.59055118110236227" right="0.59055118110236227" top="0.59055118110236227" bottom="0.59055118110236227" header="0.51181102362204722" footer="0.51181102362204722"/>
  <pageSetup scale="65" orientation="portrait" horizontalDpi="300" verticalDpi="300" r:id="rId1"/>
  <rowBreaks count="36" manualBreakCount="36">
    <brk id="83" max="6" man="1"/>
    <brk id="163" max="6" man="1"/>
    <brk id="243" max="6" man="1"/>
    <brk id="323" max="6" man="1"/>
    <brk id="403" max="6" man="1"/>
    <brk id="483" max="6" man="1"/>
    <brk id="563" max="6" man="1"/>
    <brk id="643" max="6" man="1"/>
    <brk id="723" max="6" man="1"/>
    <brk id="803" max="6" man="1"/>
    <brk id="883" max="6" man="1"/>
    <brk id="963" max="6" man="1"/>
    <brk id="1043" max="6" man="1"/>
    <brk id="1123" max="6" man="1"/>
    <brk id="1203" max="6" man="1"/>
    <brk id="1283" max="6" man="1"/>
    <brk id="1363" max="6" man="1"/>
    <brk id="1443" max="6" man="1"/>
    <brk id="1525" max="6" man="1"/>
    <brk id="1609" max="6" man="1"/>
    <brk id="1764" max="6" man="1"/>
    <brk id="1833" max="6" man="1"/>
    <brk id="1902" max="6" man="1"/>
    <brk id="1971" max="6" man="1"/>
    <brk id="2054" max="6" man="1"/>
    <brk id="2134" max="6" man="1"/>
    <brk id="2203" max="6" man="1"/>
    <brk id="2286" max="6" man="1"/>
    <brk id="2441" max="6" man="1"/>
    <brk id="2510" max="6" man="1"/>
    <brk id="2593" max="6" man="1"/>
    <brk id="2673" max="6" man="1"/>
    <brk id="2753" max="6" man="1"/>
    <brk id="2819" max="6" man="1"/>
    <brk id="2888" max="6" man="1"/>
    <brk id="2971" max="6" man="1"/>
  </rowBreaks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A00-000001000000}">
          <x14:formula1>
            <xm:f>'Mano de obra'!$B$31:$B$58</xm:f>
          </x14:formula1>
          <x14:formula2>
            <xm:f>0</xm:f>
          </x14:formula2>
          <xm:sqref>B20:B22 B40:B42 B60:B62 B80:B82 B100:B102 B120:B122 B140:B142 B160:B162 B180:B182 B200:B202 B220:B222 B240:B242 B260:B262 B280:B282 B300:B302 B1100:B1102 B320:B322 B340:B342 B360:B362 B380:B382 B400:B402 B420:B422 B440:B442 B460:B462 B480:B482 B500:B502 B520:B522 B540:B542 B560:B562 B580:B582 B600:B602 B620:B622 B640:B642 B660:B662 B680:B682 B700:B702 B720:B722 B740:B742 B760:B762 B780:B782 B800:B802 B820:B822 B840:B842 B1240:B1242 B900:B903 B920:B922 B940:B942 B960:B962 B980:B982 B1000:B1002 B1020:B1022 B1040:B1042 B1060:B1062 B1080:B1082 B1120:B1122 B1140:B1142 B1160:B1162 B1180:B1182 B1200:B1202 B1220:B1222 B1260:B1262 B1280:B1282 B1300:B1302 B1320:B1322 B1340:B1342 B1360:B1362 B1380:B1382 B1400:B1402 B1420:B1422 B1440:B1442 B1460:B1462 B1480:B1482 B1501:B1503 B1522:B1524 B1564:B1566 B1606:B1608 B1626:B1628 B1646:B1648 B1669:B1671 B1692:B1694 B1715:B1717 B1738:B1740 B1761:B1763 B1784:B1786 B1807:B1809 B1830:B1832 B1853:B1855 B1876:B1878 B1899:B1901 B1922:B1924 B1945:B1947 B1968:B1970 B1991:B1993 B2011:B2013 B2031:B2033 B2051:B2053 B2071:B2073 B2091:B2093 B2111:B2113 B2131:B2133 B2154:B2156 B2177:B2179 B2200:B2202 B2223:B2225 B2263:B2265 B2283:B2285 B2303:B2305 B2243:B2245 B2346:B2348 B2369:B2371 B2392:B2395 B2415:B2418 B2438:B2440 B2461:B2463 B2484:B2486 B2507:B2509 B2530:B2532 B2550:B2552 B2570:B2572 B2590:B2592 B2610:B2612 B2630:B2632 B2650:B2652 B2670:B2672 B2690:B2692 B2710:B2712 B2730:B2732 B2750:B2752 B2770:B2772 B2793:B2795 B2816:B2818 B2839:B2841 B2862:B2864 B2885:B2887 B2908:B2910 B2928:B2930 B2948:B2950 B2968:B2970 B2988:B2990 B860:B863 B880:B883 B1543:B1545 B1585:B1587 B2323:B2325</xm:sqref>
        </x14:dataValidation>
        <x14:dataValidation type="list" allowBlank="1" showInputMessage="1" showErrorMessage="1" xr:uid="{00000000-0002-0000-0A00-000002000000}">
          <x14:formula1>
            <xm:f>Transporte!$A$4:$A$9</xm:f>
          </x14:formula1>
          <x14:formula2>
            <xm:f>0</xm:f>
          </x14:formula2>
          <xm:sqref>B17:B18 B37:B38 B57:B58 B77:B78 B97:B98 B117:B118 B137:B138 B157:B158 B177:B178 B197:B198 B217:B218 B237:B238 B257:B258 B277:B278 B297:B298 B1097:B1098 B317:B318 B337:B338 B357:B358 B377:B378 B397:B398 B417:B418 B437:B438 B457:B458 B477:B478 B497:B498 B517:B518 B537:B538 B557:B558 B577:B578 B597:B598 B617:B618 B637:B638 B657:B658 B677:B678 B697:B698 B717:B718 B737:B738 B757:B758 B777:B778 B797:B798 B817:B818 B837:B838 B857:B858 B897:B898 B917:B918 B937:B938 B957:B958 B977:B978 B997:B998 B1017:B1018 B1037:B1038 B1057:B1058 B1077:B1078 B1117:B1118 B1137:B1138 B1157:B1158 B1177:B1178 B1197:B1198 B1217:B1218 B1257:B1258 B1277:B1278 B1297:B1298 B1317:B1318 B1337:B1338 B1357:B1358 B1377:B1378 B1397:B1398 B1417:B1418 B1437:B1438 B1457:B1458 B1477:B1478 B1498:B1499 B1519:B1520 B1561:B1562 B1603:B1604 B1623:B1624 B1643:B1644 B1666:B1667 B1689:B1690 B1712:B1713 B1735:B1736 B1758:B1759 B1781:B1782 B1804:B1805 B1827:B1828 B1850:B1851 B1873:B1874 B1896:B1897 B1919:B1920 B1942:B1943 B1965:B1966 B1988:B1989 B2008:B2009 B2028:B2029 B2048:B2049 B2068:B2069 B2088:B2089 B2108:B2109 B2128:B2129 B2151:B2152 B2174:B2175 B2197:B2198 B2220:B2221 B2260:B2261 B2280:B2281 B2300:B2301 B2240:B2241 B2343:B2344 B2366:B2367 B2389:B2390 B2412:B2413 B2435:B2436 B2458:B2459 B2481:B2482 B2504:B2505 B2527:B2528 B2547:B2548 B2567:B2568 B2587:B2588 B2607:B2608 B2627:B2628 B2647:B2648 B2667:B2668 B2687:B2688 B2707:B2708 B2727:B2728 B2747:B2748 B2767:B2768 B2790:B2791 B2813:B2814 B2836:B2837 B2859:B2860 B2882:B2883 B2905:B2906 B2925:B2926 B2945:B2946 B2965:B2966 B2985:B2986 B1237:B1238 B877:B878 B1540:B1541 B1582:B1583 B2320:B2321</xm:sqref>
        </x14:dataValidation>
        <x14:dataValidation type="list" allowBlank="1" showInputMessage="1" showErrorMessage="1" xr:uid="{00000000-0002-0000-0A00-000003000000}">
          <x14:formula1>
            <xm:f>Equipo!$A$4:$A$90</xm:f>
          </x14:formula1>
          <x14:formula2>
            <xm:f>0</xm:f>
          </x14:formula2>
          <xm:sqref>B13:B15 B273:B275 B253:B255 B233:B235 B213:B215 B193:B195 B173:B175 B153:B155 B133:B135 B113:B115 B93:B95 B73:B75 B53:B55 B33:B35 B293:B295 B1233:B1235 B2981:B2983 B2961:B2963 B2941:B2943 B2921:B2923 B2898:B2903 B2875:B2880 B2852:B2857 B2829:B2834 B2806:B2811 B2783:B2788 B2763:B2765 B2743:B2745 B2723:B2725 B2703:B2705 B2683:B2685 B2663:B2665 B2643:B2645 B2623:B2625 B2603:B2605 B2583:B2585 B2563:B2565 B2543:B2545 B2520:B2525 B2497:B2502 B2474:B2479 B2451:B2456 B2428:B2433 B2405:B2410 B2382:B2387 B2359:B2364 B2336:B2341 B2236:B2238 B2296:B2298 B2276:B2278 B2256:B2258 B2213:B2218 B2190:B2195 B2167:B2172 B2144:B2149 B2124:B2126 B2104:B2106 B2084:B2086 B2064:B2066 B2044:B2046 B2024:B2026 B2004:B2006 B1981:B1986 B1958:B1963 B1935:B1940 B1912:B1917 B1889:B1894 B1866:B1871 B1843:B1848 B1820:B1825 B1797:B1802 B1774:B1779 B1751:B1756 B1728:B1733 B1705:B1710 B1682:B1687 B1659:B1664 B1639:B1641 B1619:B1621 B1598:B1601 B1556:B1559 B1514:B1517 B1493:B1496 B1473:B1475 B1453:B1455 B1433:B1435 B1413:B1415 B1393:B1395 B1373:B1375 B1353:B1355 B1333:B1335 B1313:B1315 B1293:B1295 B1273:B1275 B1253:B1255 B1213:B1215 B1193:B1195 B1173:B1175 B1153:B1155 B1133:B1135 B1113:B1115 B1073:B1075 B1053:B1055 B1033:B1035 B1013:B1015 B993:B995 B973:B975 B953:B955 B933:B935 B913:B915 B893:B895 B853:B855 B833:B835 B813:B815 B793:B795 B773:B775 B753:B755 B733:B735 B713:B715 B693:B695 B673:B675 B653:B655 B633:B635 B613:B615 B593:B595 B573:B575 B553:B555 B533:B535 B513:B515 B493:B495 B473:B475 B453:B455 B433:B435 B413:B415 B393:B395 B373:B375 B353:B355 B333:B335 B313:B315 B1093:B1095 B873:B875 B1535:B1538 B1577:B1580 B2316:B2318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92D050"/>
  </sheetPr>
  <dimension ref="A1:K2779"/>
  <sheetViews>
    <sheetView view="pageBreakPreview" topLeftCell="A2634" zoomScale="90" zoomScaleNormal="100" zoomScaleSheetLayoutView="90" zoomScalePageLayoutView="80" workbookViewId="0">
      <selection activeCell="B2730" sqref="B2730"/>
    </sheetView>
  </sheetViews>
  <sheetFormatPr baseColWidth="10" defaultColWidth="10.73046875" defaultRowHeight="12.75" customHeight="1"/>
  <cols>
    <col min="1" max="1" width="8.73046875" style="48" customWidth="1"/>
    <col min="2" max="2" width="65.73046875" style="3" customWidth="1"/>
    <col min="3" max="3" width="10.73046875" style="3" customWidth="1"/>
    <col min="4" max="4" width="11.73046875" style="3" customWidth="1"/>
    <col min="5" max="5" width="13.73046875" style="49" customWidth="1"/>
    <col min="6" max="6" width="12.73046875" style="3" customWidth="1"/>
    <col min="7" max="10" width="14.73046875" style="3" customWidth="1"/>
    <col min="11" max="11" width="10.73046875" style="3" customWidth="1"/>
    <col min="12" max="16384" width="10.73046875" style="3"/>
  </cols>
  <sheetData>
    <row r="1" spans="1:11">
      <c r="A1" s="1"/>
      <c r="B1" s="316" t="str">
        <f>Presupuesto!A1</f>
        <v>ALCALDIA DE PEREIRA</v>
      </c>
      <c r="C1" s="316"/>
      <c r="D1" s="316"/>
      <c r="E1" s="316"/>
      <c r="F1" s="316"/>
      <c r="G1" s="316"/>
      <c r="H1" s="2"/>
    </row>
    <row r="2" spans="1:11">
      <c r="A2" s="1"/>
      <c r="B2" s="316" t="str">
        <f>Presupuesto!A2</f>
        <v>VERSION O BASE DE DATOS ALCALDIA DE PEREIRA 2026</v>
      </c>
      <c r="C2" s="316"/>
      <c r="D2" s="316"/>
      <c r="E2" s="316"/>
      <c r="F2" s="316"/>
      <c r="G2" s="316"/>
      <c r="H2" s="2"/>
    </row>
    <row r="3" spans="1:11" ht="14.85" customHeight="1">
      <c r="A3" s="4"/>
      <c r="B3" s="323" t="s">
        <v>3796</v>
      </c>
      <c r="C3" s="323"/>
      <c r="D3" s="323"/>
      <c r="E3" s="323"/>
      <c r="F3" s="323"/>
      <c r="G3" s="323"/>
      <c r="H3" s="5"/>
    </row>
    <row r="4" spans="1:11">
      <c r="A4" s="6" t="s">
        <v>599</v>
      </c>
      <c r="B4" s="7" t="str">
        <f>VLOOKUP($A4,Presupuesto!$A:$D,2,FALSE())</f>
        <v>Abuzardado de concreto</v>
      </c>
      <c r="C4" s="8" t="str">
        <f>VLOOKUP($A4,Presupuesto!$A:$D,3,FALSE())</f>
        <v>M2</v>
      </c>
      <c r="D4" s="9"/>
      <c r="E4" s="10">
        <f>VLOOKUP($A4,Presupuesto!$A:$D,4,FALSE())</f>
        <v>0</v>
      </c>
      <c r="F4" s="11" t="s">
        <v>2589</v>
      </c>
      <c r="G4" s="12">
        <f>SUM(G6:G22)/2</f>
        <v>36824.47221131251</v>
      </c>
      <c r="H4" s="13">
        <f>ROUND(SUM(H6:H22),0)/2</f>
        <v>0</v>
      </c>
      <c r="I4" s="10">
        <f>VLOOKUP(A4,Presupuesto!$A:$F,6,0)</f>
        <v>0</v>
      </c>
      <c r="J4" s="10">
        <f>+H4-I4</f>
        <v>0</v>
      </c>
      <c r="K4" s="46">
        <f>+H4-G4*E4</f>
        <v>0</v>
      </c>
    </row>
    <row r="5" spans="1:11">
      <c r="A5" s="14"/>
      <c r="B5" s="15" t="s">
        <v>2586</v>
      </c>
      <c r="C5" s="15" t="s">
        <v>5</v>
      </c>
      <c r="D5" s="16" t="s">
        <v>6</v>
      </c>
      <c r="E5" s="17" t="s">
        <v>7</v>
      </c>
      <c r="F5" s="18" t="s">
        <v>3728</v>
      </c>
      <c r="G5" s="19" t="s">
        <v>3729</v>
      </c>
      <c r="H5" s="20" t="s">
        <v>3797</v>
      </c>
    </row>
    <row r="6" spans="1:11">
      <c r="A6" s="21"/>
      <c r="B6" s="22" t="s">
        <v>3730</v>
      </c>
      <c r="C6" s="23"/>
      <c r="D6" s="24"/>
      <c r="E6" s="25"/>
      <c r="F6" s="26"/>
      <c r="G6" s="27">
        <f>SUM(G7:G11)</f>
        <v>0</v>
      </c>
      <c r="H6" s="27">
        <f>IFERROR(G6*E4,"")</f>
        <v>0</v>
      </c>
    </row>
    <row r="7" spans="1:11">
      <c r="A7" s="28"/>
      <c r="B7" s="29"/>
      <c r="C7" s="30" t="str">
        <f>IFERROR(_xlfn.XLOOKUP(B7,Insumo[DESCRIPCION],Insumo[UND],,0),"")</f>
        <v/>
      </c>
      <c r="D7" s="31"/>
      <c r="E7" s="32" t="str">
        <f>IFERROR(_xlfn.XLOOKUP($B7,Insumo[DESCRIPCION],Insumo[VALOR],,0),"")</f>
        <v/>
      </c>
      <c r="F7" s="33"/>
      <c r="G7" s="34" t="str">
        <f>IFERROR(IF(F7&gt;=0,D7*E7*(1+F7/100),ABS(D7*E7/F7)),"")</f>
        <v/>
      </c>
      <c r="H7" s="43" t="str">
        <f>IFERROR(G7*E4,"")</f>
        <v/>
      </c>
    </row>
    <row r="8" spans="1:11">
      <c r="A8" s="28"/>
      <c r="B8" s="29"/>
      <c r="C8" s="30" t="str">
        <f>IFERROR(_xlfn.XLOOKUP(B8,Insumo[DESCRIPCION],Insumo[UND],,0),"")</f>
        <v/>
      </c>
      <c r="D8" s="31"/>
      <c r="E8" s="32" t="str">
        <f>IFERROR(_xlfn.XLOOKUP($B8,Insumo[DESCRIPCION],Insumo[VALOR],,0),"")</f>
        <v/>
      </c>
      <c r="F8" s="33"/>
      <c r="G8" s="34" t="str">
        <f>IFERROR(IF(F8&gt;=0,D8*E8*(1+F8/100),ABS(D8*E8/F8)),"")</f>
        <v/>
      </c>
      <c r="H8" s="43" t="str">
        <f>IFERROR(G8*E4,"")</f>
        <v/>
      </c>
    </row>
    <row r="9" spans="1:11">
      <c r="A9" s="28"/>
      <c r="B9" s="29"/>
      <c r="C9" s="30" t="str">
        <f>IFERROR(_xlfn.XLOOKUP(B9,Insumo[DESCRIPCION],Insumo[UND],,0),"")</f>
        <v/>
      </c>
      <c r="D9" s="31"/>
      <c r="E9" s="32" t="str">
        <f>IFERROR(_xlfn.XLOOKUP($B9,Insumo[DESCRIPCION],Insumo[VALOR],,0),"")</f>
        <v/>
      </c>
      <c r="F9" s="33"/>
      <c r="G9" s="34" t="str">
        <f>IFERROR(IF(F9&gt;=0,D9*E9*(1+F9/100),ABS(D9*E9/F9)),"")</f>
        <v/>
      </c>
      <c r="H9" s="43" t="str">
        <f>IFERROR(G9*E4,"")</f>
        <v/>
      </c>
    </row>
    <row r="10" spans="1:11">
      <c r="A10" s="28"/>
      <c r="B10" s="29"/>
      <c r="C10" s="30" t="str">
        <f>IFERROR(_xlfn.XLOOKUP(B10,Insumo[DESCRIPCION],Insumo[UND],,0),"")</f>
        <v/>
      </c>
      <c r="D10" s="31"/>
      <c r="E10" s="32" t="str">
        <f>IFERROR(_xlfn.XLOOKUP($B10,Insumo[DESCRIPCION],Insumo[VALOR],,0),"")</f>
        <v/>
      </c>
      <c r="F10" s="33"/>
      <c r="G10" s="34" t="str">
        <f>IFERROR(IF(F10&gt;=0,D10*E10*(1+F10/100),ABS(D10*E10/F10)),"")</f>
        <v/>
      </c>
      <c r="H10" s="43" t="str">
        <f>IFERROR(G10*E4,"")</f>
        <v/>
      </c>
    </row>
    <row r="11" spans="1:11">
      <c r="A11" s="28"/>
      <c r="B11" s="29"/>
      <c r="C11" s="30" t="str">
        <f>IFERROR(_xlfn.XLOOKUP(B11,Insumo[DESCRIPCION],Insumo[UND],,0),"")</f>
        <v/>
      </c>
      <c r="D11" s="31"/>
      <c r="E11" s="32" t="str">
        <f>IFERROR(_xlfn.XLOOKUP($B11,Insumo[DESCRIPCION],Insumo[VALOR],,0),"")</f>
        <v/>
      </c>
      <c r="F11" s="33"/>
      <c r="G11" s="34" t="str">
        <f>IFERROR(IF(F11&gt;=0,D11*E11*(1+F11/100),ABS(D11*E11/F11)),"")</f>
        <v/>
      </c>
      <c r="H11" s="43" t="str">
        <f>IFERROR(G11*E4,"")</f>
        <v/>
      </c>
    </row>
    <row r="12" spans="1:11">
      <c r="A12" s="21"/>
      <c r="B12" s="22" t="s">
        <v>3731</v>
      </c>
      <c r="C12" s="23"/>
      <c r="D12" s="24"/>
      <c r="E12" s="25"/>
      <c r="F12" s="26"/>
      <c r="G12" s="27">
        <f>SUM(G13:G15)</f>
        <v>4803.1920275625016</v>
      </c>
      <c r="H12" s="44">
        <f>G12*E4</f>
        <v>0</v>
      </c>
    </row>
    <row r="13" spans="1:11">
      <c r="A13" s="28"/>
      <c r="B13" s="29" t="s">
        <v>3573</v>
      </c>
      <c r="C13" s="30" t="str">
        <f>IFERROR(_xlfn.XLOOKUP(B13,Equipo[DESCRIPCION],Equipo[UND],,0),"")</f>
        <v>%MO</v>
      </c>
      <c r="D13" s="31">
        <v>0.1</v>
      </c>
      <c r="E13" s="32">
        <f>IF(C13="%MO",G19,IFERROR(_xlfn.XLOOKUP($B13,Equipo[DESCRIPCION],Equipo[VALOR],,0),""))</f>
        <v>32021.280183750008</v>
      </c>
      <c r="F13" s="33"/>
      <c r="G13" s="34">
        <f>IFERROR(IF(F13&gt;=0,D13*E13*(1+F13/100),ABS(D13*E13/F13)),"")</f>
        <v>3202.1280183750009</v>
      </c>
      <c r="H13" s="43">
        <f>IFERROR(G13*E4,"")</f>
        <v>0</v>
      </c>
    </row>
    <row r="14" spans="1:11">
      <c r="A14" s="28"/>
      <c r="B14" s="29" t="s">
        <v>3626</v>
      </c>
      <c r="C14" s="30" t="str">
        <f>IFERROR(_xlfn.XLOOKUP(B14,Equipo[DESCRIPCION],Equipo[UND],,0),"")</f>
        <v>%MO</v>
      </c>
      <c r="D14" s="31">
        <v>0.05</v>
      </c>
      <c r="E14" s="32">
        <f>IF(C14="%MO",G19,IFERROR(_xlfn.XLOOKUP($B14,Equipo[DESCRIPCION],Equipo[VALOR],,0),""))</f>
        <v>32021.280183750008</v>
      </c>
      <c r="F14" s="33"/>
      <c r="G14" s="34">
        <f>IFERROR(IF(F14&gt;=0,D14*E14*(1+F14/100),ABS(D14*E14/F14)),"")</f>
        <v>1601.0640091875005</v>
      </c>
      <c r="H14" s="43">
        <f>IFERROR(G14*E4,"")</f>
        <v>0</v>
      </c>
    </row>
    <row r="15" spans="1:11">
      <c r="A15" s="28"/>
      <c r="B15" s="29"/>
      <c r="C15" s="30" t="str">
        <f>IFERROR(_xlfn.XLOOKUP(B15,Equipo[DESCRIPCION],Equipo[UND],,0),"")</f>
        <v/>
      </c>
      <c r="D15" s="31"/>
      <c r="E15" s="32" t="str">
        <f>IF(C15="%MO",G19,IFERROR(_xlfn.XLOOKUP($B15,Equipo[DESCRIPCION],Equipo[VALOR],,0),""))</f>
        <v/>
      </c>
      <c r="F15" s="33"/>
      <c r="G15" s="34" t="str">
        <f>IFERROR(IF(F15&gt;=0,D15*E15*(1+F15/100),ABS(D15*E15/F15)),"")</f>
        <v/>
      </c>
      <c r="H15" s="43" t="str">
        <f>IFERROR(G15*E4,"")</f>
        <v/>
      </c>
    </row>
    <row r="16" spans="1:11">
      <c r="A16" s="21"/>
      <c r="B16" s="22" t="s">
        <v>2533</v>
      </c>
      <c r="C16" s="23"/>
      <c r="D16" s="24"/>
      <c r="E16" s="25"/>
      <c r="F16" s="26"/>
      <c r="G16" s="27">
        <f>SUM(G17:G18)</f>
        <v>0</v>
      </c>
      <c r="H16" s="44">
        <f>G16*E4</f>
        <v>0</v>
      </c>
    </row>
    <row r="17" spans="1:11">
      <c r="A17" s="28"/>
      <c r="B17" s="29"/>
      <c r="C17" s="30" t="str">
        <f>IFERROR(_xlfn.XLOOKUP(B17,Transporte[DESCRIPCION],Transporte[UND],,0),"")</f>
        <v/>
      </c>
      <c r="D17" s="31"/>
      <c r="E17" s="32" t="str">
        <f>IFERROR(_xlfn.XLOOKUP($B17,Transporte[DESCRIPCION],Transporte[VALOR],,0),"")</f>
        <v/>
      </c>
      <c r="F17" s="33"/>
      <c r="G17" s="34" t="str">
        <f>IFERROR(IF(F17&gt;=0,D17*E17*(1+F17/100),ABS(D17*E17/F17)),"")</f>
        <v/>
      </c>
      <c r="H17" s="43" t="str">
        <f>IFERROR(G17*E4,"")</f>
        <v/>
      </c>
    </row>
    <row r="18" spans="1:11">
      <c r="A18" s="28"/>
      <c r="B18" s="29"/>
      <c r="C18" s="30" t="str">
        <f>IFERROR(_xlfn.XLOOKUP(B18,Transporte[DESCRIPCION],Transporte[UND],,0),"")</f>
        <v/>
      </c>
      <c r="D18" s="31"/>
      <c r="E18" s="32" t="str">
        <f>IFERROR(_xlfn.XLOOKUP($B18,Transporte[DESCRIPCION],Transporte[VALOR],,0),"")</f>
        <v/>
      </c>
      <c r="F18" s="33"/>
      <c r="G18" s="34" t="str">
        <f>IFERROR(IF(F18&gt;=0,D18*E18*(1+F18/100),ABS(D18*E18/F18)),"")</f>
        <v/>
      </c>
      <c r="H18" s="43" t="str">
        <f>IFERROR(G18*E4,"")</f>
        <v/>
      </c>
    </row>
    <row r="19" spans="1:11">
      <c r="A19" s="21"/>
      <c r="B19" s="22" t="s">
        <v>3732</v>
      </c>
      <c r="C19" s="23"/>
      <c r="D19" s="24"/>
      <c r="E19" s="25"/>
      <c r="F19" s="26"/>
      <c r="G19" s="27">
        <f>SUM(G20:G22)</f>
        <v>32021.280183750008</v>
      </c>
      <c r="H19" s="44">
        <f>G19*E4</f>
        <v>0</v>
      </c>
    </row>
    <row r="20" spans="1:11">
      <c r="A20" s="28"/>
      <c r="B20" s="29" t="s">
        <v>3701</v>
      </c>
      <c r="C20" s="30" t="str">
        <f>IFERROR(_xlfn.XLOOKUP(B20,MObra[DESCRIPCION],MObra[UN],,0),"")</f>
        <v>día</v>
      </c>
      <c r="D20" s="31">
        <v>1</v>
      </c>
      <c r="E20" s="32">
        <f>IFERROR(_xlfn.XLOOKUP($B20,MObra[DESCRIPCION],MObra[VALOR UNIT],,0),"")</f>
        <v>128085.12073500003</v>
      </c>
      <c r="F20" s="33">
        <v>-4</v>
      </c>
      <c r="G20" s="34">
        <f>IFERROR(IF(F20&gt;=0,D20*E20*(1+F20/100),ABS(D20*E20/F20)),"")</f>
        <v>32021.280183750008</v>
      </c>
      <c r="H20" s="43">
        <f>IFERROR(G20*E4,"")</f>
        <v>0</v>
      </c>
    </row>
    <row r="21" spans="1:11">
      <c r="A21" s="28"/>
      <c r="B21" s="29"/>
      <c r="C21" s="30" t="str">
        <f t="array" ref="C21">IFERROR(_xlfn.XLOOKUP(B21,MObra[[#All],[DESCRIPCION]],MObra[[#All],[UN]],,0),"")</f>
        <v/>
      </c>
      <c r="D21" s="31"/>
      <c r="E21" s="32" t="str">
        <f>IFERROR(_xlfn.XLOOKUP($B21,MObra[DESCRIPCION],MObra[VALOR UNIT],,0),"")</f>
        <v/>
      </c>
      <c r="F21" s="33"/>
      <c r="G21" s="34" t="str">
        <f>IFERROR(IF(F21&gt;=0,D21*E21*(1+F21/100),ABS(D21*E21/F21)),"")</f>
        <v/>
      </c>
      <c r="H21" s="43" t="str">
        <f>IFERROR(G21*E4,"")</f>
        <v/>
      </c>
    </row>
    <row r="22" spans="1:11">
      <c r="A22" s="35"/>
      <c r="B22" s="36"/>
      <c r="C22" s="37" t="str">
        <f t="array" ref="C22">IFERROR(_xlfn.XLOOKUP(B22,MObra[[#All],[DESCRIPCION]],MObra[[#All],[UN]],,0),"")</f>
        <v/>
      </c>
      <c r="D22" s="38"/>
      <c r="E22" s="39" t="str">
        <f>IFERROR(_xlfn.XLOOKUP($B22,MObra[DESCRIPCION],MObra[VALOR UNIT],,0),"")</f>
        <v/>
      </c>
      <c r="F22" s="40"/>
      <c r="G22" s="41" t="str">
        <f>IFERROR(IF(F22&gt;=0,D22*E22*(1+F22/100),ABS(D22*E22/F22)),"")</f>
        <v/>
      </c>
      <c r="H22" s="42" t="str">
        <f>IFERROR(G22*E4,"")</f>
        <v/>
      </c>
    </row>
    <row r="24" spans="1:11">
      <c r="A24" s="6" t="s">
        <v>601</v>
      </c>
      <c r="B24" s="7" t="str">
        <f>VLOOKUP($A24,Presupuesto!$A:$D,2,FALSE())</f>
        <v>Alfajía ladrillo visto pandereta</v>
      </c>
      <c r="C24" s="8" t="str">
        <f>VLOOKUP($A24,Presupuesto!$A:$D,3,FALSE())</f>
        <v>M</v>
      </c>
      <c r="D24" s="9"/>
      <c r="E24" s="10">
        <f>VLOOKUP($A24,Presupuesto!$A:$D,4,FALSE())</f>
        <v>0</v>
      </c>
      <c r="F24" s="11" t="s">
        <v>2589</v>
      </c>
      <c r="G24" s="12">
        <f>SUM(G26:G42)/2</f>
        <v>58918.967481741951</v>
      </c>
      <c r="H24" s="13">
        <f>ROUND(SUM(H26:H42),0)/2</f>
        <v>0</v>
      </c>
      <c r="I24" s="10">
        <f>VLOOKUP(A24,Presupuesto!$A:$F,6,0)</f>
        <v>0</v>
      </c>
      <c r="J24" s="10">
        <f>+H24-I24</f>
        <v>0</v>
      </c>
      <c r="K24" s="46">
        <f>+H24-G24*E24</f>
        <v>0</v>
      </c>
    </row>
    <row r="25" spans="1:11">
      <c r="A25" s="14"/>
      <c r="B25" s="15" t="s">
        <v>2586</v>
      </c>
      <c r="C25" s="15" t="s">
        <v>5</v>
      </c>
      <c r="D25" s="16" t="s">
        <v>6</v>
      </c>
      <c r="E25" s="17" t="s">
        <v>7</v>
      </c>
      <c r="F25" s="18" t="s">
        <v>3728</v>
      </c>
      <c r="G25" s="19" t="s">
        <v>3729</v>
      </c>
      <c r="H25" s="20" t="s">
        <v>3797</v>
      </c>
    </row>
    <row r="26" spans="1:11">
      <c r="A26" s="21"/>
      <c r="B26" s="22" t="s">
        <v>3730</v>
      </c>
      <c r="C26" s="23"/>
      <c r="D26" s="24"/>
      <c r="E26" s="25"/>
      <c r="F26" s="26"/>
      <c r="G26" s="27">
        <f>SUM(G27:G31)</f>
        <v>12153.343286110688</v>
      </c>
      <c r="H26" s="27">
        <f>IFERROR(G26*E24,"")</f>
        <v>0</v>
      </c>
    </row>
    <row r="27" spans="1:11">
      <c r="A27" s="28"/>
      <c r="B27" s="29" t="s">
        <v>3021</v>
      </c>
      <c r="C27" s="30" t="str">
        <f>IFERROR(_xlfn.XLOOKUP(B27,Insumo[DESCRIPCION],Insumo[UND],,0),"")</f>
        <v>Un</v>
      </c>
      <c r="D27" s="31">
        <v>9</v>
      </c>
      <c r="E27" s="32">
        <f>IFERROR(_xlfn.XLOOKUP($B27,Insumo[DESCRIPCION],Insumo[VALOR],,0),"")</f>
        <v>1022.7</v>
      </c>
      <c r="F27" s="33">
        <v>5</v>
      </c>
      <c r="G27" s="34">
        <f>IFERROR(IF(F27&gt;=0,D27*E27*(1+F27/100),ABS(D27*E27/F27)),"")</f>
        <v>9664.5150000000012</v>
      </c>
      <c r="H27" s="43">
        <f>IFERROR(G27*E24,"")</f>
        <v>0</v>
      </c>
    </row>
    <row r="28" spans="1:11">
      <c r="A28" s="28"/>
      <c r="B28" s="29" t="s">
        <v>3244</v>
      </c>
      <c r="C28" s="30" t="str">
        <f>IFERROR(_xlfn.XLOOKUP(B28,Insumo[DESCRIPCION],Insumo[UND],,0),"")</f>
        <v>M3</v>
      </c>
      <c r="D28" s="31">
        <v>5.0000000000000001E-3</v>
      </c>
      <c r="E28" s="32">
        <f>IFERROR(_xlfn.XLOOKUP($B28,Insumo[DESCRIPCION],Insumo[VALOR],,0),"")</f>
        <v>497765.65722213761</v>
      </c>
      <c r="F28" s="33"/>
      <c r="G28" s="34">
        <f>IFERROR(IF(F28&gt;=0,D28*E28*(1+F28/100),ABS(D28*E28/F28)),"")</f>
        <v>2488.8282861106882</v>
      </c>
      <c r="H28" s="43">
        <f>IFERROR(G28*E24,"")</f>
        <v>0</v>
      </c>
    </row>
    <row r="29" spans="1:11">
      <c r="A29" s="28"/>
      <c r="B29" s="29"/>
      <c r="C29" s="30" t="str">
        <f>IFERROR(_xlfn.XLOOKUP(B29,Insumo[DESCRIPCION],Insumo[UND],,0),"")</f>
        <v/>
      </c>
      <c r="D29" s="31"/>
      <c r="E29" s="32" t="str">
        <f>IFERROR(_xlfn.XLOOKUP($B29,Insumo[DESCRIPCION],Insumo[VALOR],,0),"")</f>
        <v/>
      </c>
      <c r="F29" s="33"/>
      <c r="G29" s="34" t="str">
        <f>IFERROR(IF(F29&gt;=0,D29*E29*(1+F29/100),ABS(D29*E29/F29)),"")</f>
        <v/>
      </c>
      <c r="H29" s="43" t="str">
        <f>IFERROR(G29*E24,"")</f>
        <v/>
      </c>
    </row>
    <row r="30" spans="1:11">
      <c r="A30" s="28"/>
      <c r="B30" s="29"/>
      <c r="C30" s="30" t="str">
        <f>IFERROR(_xlfn.XLOOKUP(B30,Insumo[DESCRIPCION],Insumo[UND],,0),"")</f>
        <v/>
      </c>
      <c r="D30" s="31"/>
      <c r="E30" s="32" t="str">
        <f>IFERROR(_xlfn.XLOOKUP($B30,Insumo[DESCRIPCION],Insumo[VALOR],,0),"")</f>
        <v/>
      </c>
      <c r="F30" s="33"/>
      <c r="G30" s="34" t="str">
        <f>IFERROR(IF(F30&gt;=0,D30*E30*(1+F30/100),ABS(D30*E30/F30)),"")</f>
        <v/>
      </c>
      <c r="H30" s="43" t="str">
        <f>IFERROR(G30*E24,"")</f>
        <v/>
      </c>
    </row>
    <row r="31" spans="1:11">
      <c r="A31" s="28"/>
      <c r="B31" s="29"/>
      <c r="C31" s="30" t="str">
        <f>IFERROR(_xlfn.XLOOKUP(B31,Insumo[DESCRIPCION],Insumo[UND],,0),"")</f>
        <v/>
      </c>
      <c r="D31" s="31"/>
      <c r="E31" s="32" t="str">
        <f>IFERROR(_xlfn.XLOOKUP($B31,Insumo[DESCRIPCION],Insumo[VALOR],,0),"")</f>
        <v/>
      </c>
      <c r="F31" s="33"/>
      <c r="G31" s="34" t="str">
        <f>IFERROR(IF(F31&gt;=0,D31*E31*(1+F31/100),ABS(D31*E31/F31)),"")</f>
        <v/>
      </c>
      <c r="H31" s="43" t="str">
        <f>IFERROR(G31*E24,"")</f>
        <v/>
      </c>
    </row>
    <row r="32" spans="1:11">
      <c r="A32" s="21"/>
      <c r="B32" s="22" t="s">
        <v>3731</v>
      </c>
      <c r="C32" s="23"/>
      <c r="D32" s="24"/>
      <c r="E32" s="25"/>
      <c r="F32" s="26"/>
      <c r="G32" s="27">
        <f>SUM(G33:G35)</f>
        <v>7466.7803337562518</v>
      </c>
      <c r="H32" s="44">
        <f>G32*E24</f>
        <v>0</v>
      </c>
    </row>
    <row r="33" spans="1:11">
      <c r="A33" s="28"/>
      <c r="B33" s="29" t="s">
        <v>3573</v>
      </c>
      <c r="C33" s="30" t="str">
        <f>IFERROR(_xlfn.XLOOKUP(B33,Equipo[DESCRIPCION],Equipo[UND],,0),"")</f>
        <v>%MO</v>
      </c>
      <c r="D33" s="31">
        <v>0.1</v>
      </c>
      <c r="E33" s="32">
        <f>IF(C33="%MO",G39,IFERROR(_xlfn.XLOOKUP($B33,Equipo[DESCRIPCION],Equipo[VALOR],,0),""))</f>
        <v>39298.843861875008</v>
      </c>
      <c r="F33" s="33"/>
      <c r="G33" s="34">
        <f>IFERROR(IF(F33&gt;=0,D33*E33*(1+F33/100),ABS(D33*E33/F33)),"")</f>
        <v>3929.8843861875011</v>
      </c>
      <c r="H33" s="43">
        <f>IFERROR(G33*E24,"")</f>
        <v>0</v>
      </c>
    </row>
    <row r="34" spans="1:11">
      <c r="A34" s="28"/>
      <c r="B34" s="29" t="s">
        <v>3570</v>
      </c>
      <c r="C34" s="30" t="str">
        <f>IFERROR(_xlfn.XLOOKUP(B34,Equipo[DESCRIPCION],Equipo[UND],,0),"")</f>
        <v>%MO</v>
      </c>
      <c r="D34" s="31">
        <v>0.04</v>
      </c>
      <c r="E34" s="32">
        <f>IF(C34="%MO",G39,IFERROR(_xlfn.XLOOKUP($B34,Equipo[DESCRIPCION],Equipo[VALOR],,0),""))</f>
        <v>39298.843861875008</v>
      </c>
      <c r="F34" s="33"/>
      <c r="G34" s="34">
        <f>IFERROR(IF(F34&gt;=0,D34*E34*(1+F34/100),ABS(D34*E34/F34)),"")</f>
        <v>1571.9537544750003</v>
      </c>
      <c r="H34" s="43">
        <f>IFERROR(G34*E24,"")</f>
        <v>0</v>
      </c>
    </row>
    <row r="35" spans="1:11">
      <c r="A35" s="28"/>
      <c r="B35" s="29" t="s">
        <v>3626</v>
      </c>
      <c r="C35" s="30" t="str">
        <f>IFERROR(_xlfn.XLOOKUP(B35,Equipo[DESCRIPCION],Equipo[UND],,0),"")</f>
        <v>%MO</v>
      </c>
      <c r="D35" s="31">
        <v>0.05</v>
      </c>
      <c r="E35" s="32">
        <f>IF(C35="%MO",G39,IFERROR(_xlfn.XLOOKUP($B35,Equipo[DESCRIPCION],Equipo[VALOR],,0),""))</f>
        <v>39298.843861875008</v>
      </c>
      <c r="F35" s="33"/>
      <c r="G35" s="34">
        <f>IFERROR(IF(F35&gt;=0,D35*E35*(1+F35/100),ABS(D35*E35/F35)),"")</f>
        <v>1964.9421930937506</v>
      </c>
      <c r="H35" s="43">
        <f>IFERROR(G35*E24,"")</f>
        <v>0</v>
      </c>
    </row>
    <row r="36" spans="1:11">
      <c r="A36" s="21"/>
      <c r="B36" s="22" t="s">
        <v>2533</v>
      </c>
      <c r="C36" s="23"/>
      <c r="D36" s="24"/>
      <c r="E36" s="25"/>
      <c r="F36" s="26"/>
      <c r="G36" s="27">
        <f>SUM(G37:G38)</f>
        <v>0</v>
      </c>
      <c r="H36" s="44">
        <f>G36*E24</f>
        <v>0</v>
      </c>
    </row>
    <row r="37" spans="1:11">
      <c r="A37" s="28"/>
      <c r="B37" s="29"/>
      <c r="C37" s="30" t="str">
        <f>IFERROR(_xlfn.XLOOKUP(B37,Transporte[DESCRIPCION],Transporte[UND],,0),"")</f>
        <v/>
      </c>
      <c r="D37" s="31"/>
      <c r="E37" s="32" t="str">
        <f>IFERROR(_xlfn.XLOOKUP($B37,Transporte[DESCRIPCION],Transporte[VALOR],,0),"")</f>
        <v/>
      </c>
      <c r="F37" s="33"/>
      <c r="G37" s="34" t="str">
        <f>IFERROR(IF(F37&gt;=0,D37*E37*(1+F37/100),ABS(D37*E37/F37)),"")</f>
        <v/>
      </c>
      <c r="H37" s="43" t="str">
        <f>IFERROR(G37*E24,"")</f>
        <v/>
      </c>
    </row>
    <row r="38" spans="1:11">
      <c r="A38" s="28"/>
      <c r="B38" s="29"/>
      <c r="C38" s="30" t="str">
        <f>IFERROR(_xlfn.XLOOKUP(B38,Transporte[DESCRIPCION],Transporte[UND],,0),"")</f>
        <v/>
      </c>
      <c r="D38" s="31"/>
      <c r="E38" s="32" t="str">
        <f>IFERROR(_xlfn.XLOOKUP($B38,Transporte[DESCRIPCION],Transporte[VALOR],,0),"")</f>
        <v/>
      </c>
      <c r="F38" s="33"/>
      <c r="G38" s="34" t="str">
        <f>IFERROR(IF(F38&gt;=0,D38*E38*(1+F38/100),ABS(D38*E38/F38)),"")</f>
        <v/>
      </c>
      <c r="H38" s="43" t="str">
        <f>IFERROR(G38*E24,"")</f>
        <v/>
      </c>
    </row>
    <row r="39" spans="1:11">
      <c r="A39" s="21"/>
      <c r="B39" s="22" t="s">
        <v>3732</v>
      </c>
      <c r="C39" s="23"/>
      <c r="D39" s="24"/>
      <c r="E39" s="25"/>
      <c r="F39" s="26"/>
      <c r="G39" s="27">
        <f>SUM(G40:G42)</f>
        <v>39298.843861875008</v>
      </c>
      <c r="H39" s="44">
        <f>G39*E24</f>
        <v>0</v>
      </c>
    </row>
    <row r="40" spans="1:11">
      <c r="A40" s="28"/>
      <c r="B40" s="29" t="s">
        <v>3710</v>
      </c>
      <c r="C40" s="30" t="str">
        <f>IFERROR(_xlfn.XLOOKUP(B40,MObra[DESCRIPCION],MObra[UN],,0),"")</f>
        <v>día</v>
      </c>
      <c r="D40" s="31">
        <v>1</v>
      </c>
      <c r="E40" s="32">
        <f>IFERROR(_xlfn.XLOOKUP($B40,MObra[DESCRIPCION],MObra[VALOR UNIT],,0),"")</f>
        <v>314390.75089500006</v>
      </c>
      <c r="F40" s="33">
        <v>-8</v>
      </c>
      <c r="G40" s="34">
        <f>IFERROR(IF(F40&gt;=0,D40*E40*(1+F40/100),ABS(D40*E40/F40)),"")</f>
        <v>39298.843861875008</v>
      </c>
      <c r="H40" s="43">
        <f>IFERROR(G40*E24,"")</f>
        <v>0</v>
      </c>
    </row>
    <row r="41" spans="1:11">
      <c r="A41" s="28"/>
      <c r="B41" s="29"/>
      <c r="C41" s="30" t="str">
        <f t="array" ref="C41">IFERROR(_xlfn.XLOOKUP(B41,MObra[[#All],[DESCRIPCION]],MObra[[#All],[UN]],,0),"")</f>
        <v/>
      </c>
      <c r="D41" s="31"/>
      <c r="E41" s="32" t="str">
        <f>IFERROR(_xlfn.XLOOKUP($B41,MObra[DESCRIPCION],MObra[VALOR UNIT],,0),"")</f>
        <v/>
      </c>
      <c r="F41" s="33"/>
      <c r="G41" s="34" t="str">
        <f>IFERROR(IF(F41&gt;=0,D41*E41*(1+F41/100),ABS(D41*E41/F41)),"")</f>
        <v/>
      </c>
      <c r="H41" s="43" t="str">
        <f>IFERROR(G41*E24,"")</f>
        <v/>
      </c>
    </row>
    <row r="42" spans="1:11">
      <c r="A42" s="35"/>
      <c r="B42" s="36"/>
      <c r="C42" s="37" t="str">
        <f t="array" ref="C42">IFERROR(_xlfn.XLOOKUP(B42,MObra[[#All],[DESCRIPCION]],MObra[[#All],[UN]],,0),"")</f>
        <v/>
      </c>
      <c r="D42" s="38"/>
      <c r="E42" s="39" t="str">
        <f>IFERROR(_xlfn.XLOOKUP($B42,MObra[DESCRIPCION],MObra[VALOR UNIT],,0),"")</f>
        <v/>
      </c>
      <c r="F42" s="40"/>
      <c r="G42" s="41" t="str">
        <f>IFERROR(IF(F42&gt;=0,D42*E42*(1+F42/100),ABS(D42*E42/F42)),"")</f>
        <v/>
      </c>
      <c r="H42" s="42" t="str">
        <f>IFERROR(G42*E24,"")</f>
        <v/>
      </c>
    </row>
    <row r="44" spans="1:11">
      <c r="A44" s="6" t="s">
        <v>603</v>
      </c>
      <c r="B44" s="7" t="str">
        <f>VLOOKUP($A44,Presupuesto!$A:$D,2,FALSE())</f>
        <v>Alfajía lámina C 22 S=0.30 m</v>
      </c>
      <c r="C44" s="8" t="str">
        <f>VLOOKUP($A44,Presupuesto!$A:$D,3,FALSE())</f>
        <v>M</v>
      </c>
      <c r="D44" s="9"/>
      <c r="E44" s="10">
        <f>VLOOKUP($A44,Presupuesto!$A:$D,4,FALSE())</f>
        <v>0</v>
      </c>
      <c r="F44" s="11" t="s">
        <v>2589</v>
      </c>
      <c r="G44" s="12">
        <f>SUM(G46:G62)/2</f>
        <v>98952.227358535703</v>
      </c>
      <c r="H44" s="13">
        <f>ROUND(SUM(H46:H62),0)/2</f>
        <v>0</v>
      </c>
      <c r="I44" s="10">
        <f>VLOOKUP(A44,Presupuesto!$A:$F,6,0)</f>
        <v>0</v>
      </c>
      <c r="J44" s="10">
        <f>+H44-I44</f>
        <v>0</v>
      </c>
      <c r="K44" s="46">
        <f>+H44-G44*E44</f>
        <v>0</v>
      </c>
    </row>
    <row r="45" spans="1:11">
      <c r="A45" s="14"/>
      <c r="B45" s="15" t="s">
        <v>2586</v>
      </c>
      <c r="C45" s="15" t="s">
        <v>5</v>
      </c>
      <c r="D45" s="16" t="s">
        <v>6</v>
      </c>
      <c r="E45" s="17" t="s">
        <v>7</v>
      </c>
      <c r="F45" s="18" t="s">
        <v>3728</v>
      </c>
      <c r="G45" s="19" t="s">
        <v>3729</v>
      </c>
      <c r="H45" s="20" t="s">
        <v>3797</v>
      </c>
    </row>
    <row r="46" spans="1:11">
      <c r="A46" s="21"/>
      <c r="B46" s="22" t="s">
        <v>3730</v>
      </c>
      <c r="C46" s="23"/>
      <c r="D46" s="24"/>
      <c r="E46" s="25"/>
      <c r="F46" s="26"/>
      <c r="G46" s="27">
        <f>SUM(G47:G51)</f>
        <v>81735.591</v>
      </c>
      <c r="H46" s="27">
        <f>IFERROR(G46*E44,"")</f>
        <v>0</v>
      </c>
    </row>
    <row r="47" spans="1:11">
      <c r="A47" s="28"/>
      <c r="B47" s="29" t="s">
        <v>3031</v>
      </c>
      <c r="C47" s="30" t="str">
        <f>IFERROR(_xlfn.XLOOKUP(B47,Insumo[DESCRIPCION],Insumo[UND],,0),"")</f>
        <v>M2</v>
      </c>
      <c r="D47" s="31">
        <v>0.3</v>
      </c>
      <c r="E47" s="32">
        <f>IFERROR(_xlfn.XLOOKUP($B47,Insumo[DESCRIPCION],Insumo[VALOR],,0),"")</f>
        <v>149257.5</v>
      </c>
      <c r="F47" s="33"/>
      <c r="G47" s="34">
        <f>IFERROR(IF(F47&gt;=0,D47*E47*(1+F47/100),ABS(D47*E47/F47)),"")</f>
        <v>44777.25</v>
      </c>
      <c r="H47" s="43">
        <f>IFERROR(G47*E44,"")</f>
        <v>0</v>
      </c>
    </row>
    <row r="48" spans="1:11">
      <c r="A48" s="28"/>
      <c r="B48" s="29" t="s">
        <v>3403</v>
      </c>
      <c r="C48" s="30" t="str">
        <f>IFERROR(_xlfn.XLOOKUP(B48,Insumo[DESCRIPCION],Insumo[UND],,0),"")</f>
        <v>Un</v>
      </c>
      <c r="D48" s="31">
        <v>4</v>
      </c>
      <c r="E48" s="32">
        <f>IFERROR(_xlfn.XLOOKUP($B48,Insumo[DESCRIPCION],Insumo[VALOR],,0),"")</f>
        <v>6138.3</v>
      </c>
      <c r="F48" s="33"/>
      <c r="G48" s="34">
        <f>IFERROR(IF(F48&gt;=0,D48*E48*(1+F48/100),ABS(D48*E48/F48)),"")</f>
        <v>24553.200000000001</v>
      </c>
      <c r="H48" s="43">
        <f>IFERROR(G48*E44,"")</f>
        <v>0</v>
      </c>
    </row>
    <row r="49" spans="1:11">
      <c r="A49" s="28"/>
      <c r="B49" s="29" t="s">
        <v>3557</v>
      </c>
      <c r="C49" s="30" t="str">
        <f>IFERROR(_xlfn.XLOOKUP(B49,Insumo[DESCRIPCION],Insumo[UND],,0),"")</f>
        <v>galón</v>
      </c>
      <c r="D49" s="31">
        <v>0.06</v>
      </c>
      <c r="E49" s="32">
        <f>IFERROR(_xlfn.XLOOKUP($B49,Insumo[DESCRIPCION],Insumo[VALOR],,0),"")</f>
        <v>206752.35</v>
      </c>
      <c r="F49" s="33"/>
      <c r="G49" s="34">
        <f>IFERROR(IF(F49&gt;=0,D49*E49*(1+F49/100),ABS(D49*E49/F49)),"")</f>
        <v>12405.141</v>
      </c>
      <c r="H49" s="43">
        <f>IFERROR(G49*E44,"")</f>
        <v>0</v>
      </c>
    </row>
    <row r="50" spans="1:11">
      <c r="A50" s="28"/>
      <c r="B50" s="29"/>
      <c r="C50" s="30" t="str">
        <f>IFERROR(_xlfn.XLOOKUP(B50,Insumo[DESCRIPCION],Insumo[UND],,0),"")</f>
        <v/>
      </c>
      <c r="D50" s="31"/>
      <c r="E50" s="32" t="str">
        <f>IFERROR(_xlfn.XLOOKUP($B50,Insumo[DESCRIPCION],Insumo[VALOR],,0),"")</f>
        <v/>
      </c>
      <c r="F50" s="33"/>
      <c r="G50" s="34" t="str">
        <f>IFERROR(IF(F50&gt;=0,D50*E50*(1+F50/100),ABS(D50*E50/F50)),"")</f>
        <v/>
      </c>
      <c r="H50" s="43" t="str">
        <f>IFERROR(G50*E44,"")</f>
        <v/>
      </c>
    </row>
    <row r="51" spans="1:11">
      <c r="A51" s="28"/>
      <c r="B51" s="29"/>
      <c r="C51" s="30" t="str">
        <f>IFERROR(_xlfn.XLOOKUP(B51,Insumo[DESCRIPCION],Insumo[UND],,0),"")</f>
        <v/>
      </c>
      <c r="D51" s="31"/>
      <c r="E51" s="32" t="str">
        <f>IFERROR(_xlfn.XLOOKUP($B51,Insumo[DESCRIPCION],Insumo[VALOR],,0),"")</f>
        <v/>
      </c>
      <c r="F51" s="33"/>
      <c r="G51" s="34" t="str">
        <f>IFERROR(IF(F51&gt;=0,D51*E51*(1+F51/100),ABS(D51*E51/F51)),"")</f>
        <v/>
      </c>
      <c r="H51" s="43" t="str">
        <f>IFERROR(G51*E44,"")</f>
        <v/>
      </c>
    </row>
    <row r="52" spans="1:11">
      <c r="A52" s="21"/>
      <c r="B52" s="22" t="s">
        <v>3731</v>
      </c>
      <c r="C52" s="23"/>
      <c r="D52" s="24"/>
      <c r="E52" s="25"/>
      <c r="F52" s="26"/>
      <c r="G52" s="27">
        <f>SUM(G53:G55)</f>
        <v>2245.6482206785722</v>
      </c>
      <c r="H52" s="44">
        <f>G52*E44</f>
        <v>0</v>
      </c>
    </row>
    <row r="53" spans="1:11">
      <c r="A53" s="28"/>
      <c r="B53" s="29" t="s">
        <v>3573</v>
      </c>
      <c r="C53" s="30" t="str">
        <f>IFERROR(_xlfn.XLOOKUP(B53,Equipo[DESCRIPCION],Equipo[UND],,0),"")</f>
        <v>%MO</v>
      </c>
      <c r="D53" s="31">
        <v>0.1</v>
      </c>
      <c r="E53" s="32">
        <f>IF(C53="%MO",G59,IFERROR(_xlfn.XLOOKUP($B53,Equipo[DESCRIPCION],Equipo[VALOR],,0),""))</f>
        <v>14970.988137857146</v>
      </c>
      <c r="F53" s="33"/>
      <c r="G53" s="34">
        <f>IFERROR(IF(F53&gt;=0,D53*E53*(1+F53/100),ABS(D53*E53/F53)),"")</f>
        <v>1497.0988137857148</v>
      </c>
      <c r="H53" s="43">
        <f>IFERROR(G53*E44,"")</f>
        <v>0</v>
      </c>
    </row>
    <row r="54" spans="1:11">
      <c r="A54" s="28"/>
      <c r="B54" s="29" t="s">
        <v>3626</v>
      </c>
      <c r="C54" s="30" t="str">
        <f>IFERROR(_xlfn.XLOOKUP(B54,Equipo[DESCRIPCION],Equipo[UND],,0),"")</f>
        <v>%MO</v>
      </c>
      <c r="D54" s="31">
        <v>0.05</v>
      </c>
      <c r="E54" s="32">
        <f>IF(C54="%MO",G59,IFERROR(_xlfn.XLOOKUP($B54,Equipo[DESCRIPCION],Equipo[VALOR],,0),""))</f>
        <v>14970.988137857146</v>
      </c>
      <c r="F54" s="33"/>
      <c r="G54" s="34">
        <f>IFERROR(IF(F54&gt;=0,D54*E54*(1+F54/100),ABS(D54*E54/F54)),"")</f>
        <v>748.54940689285741</v>
      </c>
      <c r="H54" s="43">
        <f>IFERROR(G54*E44,"")</f>
        <v>0</v>
      </c>
    </row>
    <row r="55" spans="1:11">
      <c r="A55" s="28"/>
      <c r="B55" s="29"/>
      <c r="C55" s="30" t="str">
        <f>IFERROR(_xlfn.XLOOKUP(B55,Equipo[DESCRIPCION],Equipo[UND],,0),"")</f>
        <v/>
      </c>
      <c r="D55" s="31"/>
      <c r="E55" s="32" t="str">
        <f>IF(C55="%MO",G59,IFERROR(_xlfn.XLOOKUP($B55,Equipo[DESCRIPCION],Equipo[VALOR],,0),""))</f>
        <v/>
      </c>
      <c r="F55" s="33"/>
      <c r="G55" s="34" t="str">
        <f>IFERROR(IF(F55&gt;=0,D55*E55*(1+F55/100),ABS(D55*E55/F55)),"")</f>
        <v/>
      </c>
      <c r="H55" s="43" t="str">
        <f>IFERROR(G55*E44,"")</f>
        <v/>
      </c>
    </row>
    <row r="56" spans="1:11">
      <c r="A56" s="21"/>
      <c r="B56" s="22" t="s">
        <v>2533</v>
      </c>
      <c r="C56" s="23"/>
      <c r="D56" s="24"/>
      <c r="E56" s="25"/>
      <c r="F56" s="26"/>
      <c r="G56" s="27">
        <f>SUM(G57:G58)</f>
        <v>0</v>
      </c>
      <c r="H56" s="44">
        <f>G56*E44</f>
        <v>0</v>
      </c>
    </row>
    <row r="57" spans="1:11">
      <c r="A57" s="28"/>
      <c r="B57" s="29"/>
      <c r="C57" s="30" t="str">
        <f>IFERROR(_xlfn.XLOOKUP(B57,Transporte[DESCRIPCION],Transporte[UND],,0),"")</f>
        <v/>
      </c>
      <c r="D57" s="31"/>
      <c r="E57" s="32" t="str">
        <f>IFERROR(_xlfn.XLOOKUP($B57,Transporte[DESCRIPCION],Transporte[VALOR],,0),"")</f>
        <v/>
      </c>
      <c r="F57" s="33"/>
      <c r="G57" s="34" t="str">
        <f>IFERROR(IF(F57&gt;=0,D57*E57*(1+F57/100),ABS(D57*E57/F57)),"")</f>
        <v/>
      </c>
      <c r="H57" s="43" t="str">
        <f>IFERROR(G57*E44,"")</f>
        <v/>
      </c>
    </row>
    <row r="58" spans="1:11">
      <c r="A58" s="28"/>
      <c r="B58" s="29"/>
      <c r="C58" s="30" t="str">
        <f>IFERROR(_xlfn.XLOOKUP(B58,Transporte[DESCRIPCION],Transporte[UND],,0),"")</f>
        <v/>
      </c>
      <c r="D58" s="31"/>
      <c r="E58" s="32" t="str">
        <f>IFERROR(_xlfn.XLOOKUP($B58,Transporte[DESCRIPCION],Transporte[VALOR],,0),"")</f>
        <v/>
      </c>
      <c r="F58" s="33"/>
      <c r="G58" s="34" t="str">
        <f>IFERROR(IF(F58&gt;=0,D58*E58*(1+F58/100),ABS(D58*E58/F58)),"")</f>
        <v/>
      </c>
      <c r="H58" s="43" t="str">
        <f>IFERROR(G58*E44,"")</f>
        <v/>
      </c>
    </row>
    <row r="59" spans="1:11">
      <c r="A59" s="21"/>
      <c r="B59" s="22" t="s">
        <v>3732</v>
      </c>
      <c r="C59" s="23"/>
      <c r="D59" s="24"/>
      <c r="E59" s="25"/>
      <c r="F59" s="26"/>
      <c r="G59" s="27">
        <f>SUM(G60:G62)</f>
        <v>14970.988137857146</v>
      </c>
      <c r="H59" s="44">
        <f>G59*E44</f>
        <v>0</v>
      </c>
    </row>
    <row r="60" spans="1:11">
      <c r="A60" s="28"/>
      <c r="B60" s="29" t="s">
        <v>3710</v>
      </c>
      <c r="C60" s="30" t="str">
        <f>IFERROR(_xlfn.XLOOKUP(B60,MObra[DESCRIPCION],MObra[UN],,0),"")</f>
        <v>día</v>
      </c>
      <c r="D60" s="31">
        <v>1</v>
      </c>
      <c r="E60" s="32">
        <f>IFERROR(_xlfn.XLOOKUP($B60,MObra[DESCRIPCION],MObra[VALOR UNIT],,0),"")</f>
        <v>314390.75089500006</v>
      </c>
      <c r="F60" s="33">
        <v>-21</v>
      </c>
      <c r="G60" s="34">
        <f>IFERROR(IF(F60&gt;=0,D60*E60*(1+F60/100),ABS(D60*E60/F60)),"")</f>
        <v>14970.988137857146</v>
      </c>
      <c r="H60" s="43">
        <f>IFERROR(G60*E44,"")</f>
        <v>0</v>
      </c>
    </row>
    <row r="61" spans="1:11">
      <c r="A61" s="28"/>
      <c r="B61" s="29"/>
      <c r="C61" s="30" t="str">
        <f t="array" ref="C61">IFERROR(_xlfn.XLOOKUP(B61,MObra[[#All],[DESCRIPCION]],MObra[[#All],[UN]],,0),"")</f>
        <v/>
      </c>
      <c r="D61" s="31"/>
      <c r="E61" s="32" t="str">
        <f>IFERROR(_xlfn.XLOOKUP($B61,MObra[DESCRIPCION],MObra[VALOR UNIT],,0),"")</f>
        <v/>
      </c>
      <c r="F61" s="33"/>
      <c r="G61" s="34" t="str">
        <f>IFERROR(IF(F61&gt;=0,D61*E61*(1+F61/100),ABS(D61*E61/F61)),"")</f>
        <v/>
      </c>
      <c r="H61" s="43" t="str">
        <f>IFERROR(G61*E44,"")</f>
        <v/>
      </c>
    </row>
    <row r="62" spans="1:11">
      <c r="A62" s="35"/>
      <c r="B62" s="36"/>
      <c r="C62" s="37" t="str">
        <f t="array" ref="C62">IFERROR(_xlfn.XLOOKUP(B62,MObra[[#All],[DESCRIPCION]],MObra[[#All],[UN]],,0),"")</f>
        <v/>
      </c>
      <c r="D62" s="38"/>
      <c r="E62" s="39" t="str">
        <f>IFERROR(_xlfn.XLOOKUP($B62,MObra[DESCRIPCION],MObra[VALOR UNIT],,0),"")</f>
        <v/>
      </c>
      <c r="F62" s="40"/>
      <c r="G62" s="41" t="str">
        <f>IFERROR(IF(F62&gt;=0,D62*E62*(1+F62/100),ABS(D62*E62/F62)),"")</f>
        <v/>
      </c>
      <c r="H62" s="42" t="str">
        <f>IFERROR(G62*E44,"")</f>
        <v/>
      </c>
    </row>
    <row r="64" spans="1:11">
      <c r="A64" s="6" t="s">
        <v>605</v>
      </c>
      <c r="B64" s="7" t="str">
        <f>VLOOKUP($A64,Presupuesto!$A:$D,2,FALSE())</f>
        <v>Alfajía remate ancho = 0.3 m concreto 20.7 Mpa reforzado</v>
      </c>
      <c r="C64" s="8" t="str">
        <f>VLOOKUP($A64,Presupuesto!$A:$D,3,FALSE())</f>
        <v>M</v>
      </c>
      <c r="D64" s="9"/>
      <c r="E64" s="10">
        <f>VLOOKUP($A64,Presupuesto!$A:$D,4,FALSE())</f>
        <v>0</v>
      </c>
      <c r="F64" s="11" t="s">
        <v>2589</v>
      </c>
      <c r="G64" s="12">
        <f>SUM(G66:G83)/2</f>
        <v>80182.351159471626</v>
      </c>
      <c r="H64" s="13">
        <f>ROUND(SUM(H66:H83),0)/2</f>
        <v>0</v>
      </c>
      <c r="I64" s="10">
        <f>VLOOKUP(A64,Presupuesto!$A:$F,6,0)</f>
        <v>0</v>
      </c>
      <c r="J64" s="10">
        <f>+H64-I64</f>
        <v>0</v>
      </c>
      <c r="K64" s="46">
        <f>+H64-G64*E64</f>
        <v>0</v>
      </c>
    </row>
    <row r="65" spans="1:8">
      <c r="A65" s="14"/>
      <c r="B65" s="15" t="s">
        <v>2586</v>
      </c>
      <c r="C65" s="15" t="s">
        <v>5</v>
      </c>
      <c r="D65" s="16" t="s">
        <v>6</v>
      </c>
      <c r="E65" s="17" t="s">
        <v>7</v>
      </c>
      <c r="F65" s="18" t="s">
        <v>3728</v>
      </c>
      <c r="G65" s="19" t="s">
        <v>3729</v>
      </c>
      <c r="H65" s="20" t="s">
        <v>3797</v>
      </c>
    </row>
    <row r="66" spans="1:8">
      <c r="A66" s="21"/>
      <c r="B66" s="22" t="s">
        <v>3730</v>
      </c>
      <c r="C66" s="23"/>
      <c r="D66" s="24"/>
      <c r="E66" s="25"/>
      <c r="F66" s="26"/>
      <c r="G66" s="27">
        <f>SUM(G67:G72)</f>
        <v>33023.738525221619</v>
      </c>
      <c r="H66" s="27">
        <f>IFERROR(G66*E64,"")</f>
        <v>0</v>
      </c>
    </row>
    <row r="67" spans="1:8">
      <c r="A67" s="28"/>
      <c r="B67" s="29" t="s">
        <v>3239</v>
      </c>
      <c r="C67" s="30" t="str">
        <f>IFERROR(_xlfn.XLOOKUP(B67,Insumo[DESCRIPCION],Insumo[UND],,0),"")</f>
        <v>M3</v>
      </c>
      <c r="D67" s="31">
        <f>0.3*0.07</f>
        <v>2.1000000000000001E-2</v>
      </c>
      <c r="E67" s="32">
        <f>IFERROR(_xlfn.XLOOKUP($B67,Insumo[DESCRIPCION],Insumo[VALOR],,0),"")</f>
        <v>521159.50227762427</v>
      </c>
      <c r="F67" s="33">
        <v>5</v>
      </c>
      <c r="G67" s="34">
        <f t="shared" ref="G67:G72" si="0">IFERROR(IF(F67&gt;=0,D67*E67*(1+F67/100),ABS(D67*E67/F67)),"")</f>
        <v>11491.567025221617</v>
      </c>
      <c r="H67" s="43">
        <f>IFERROR(G67*E64,"")</f>
        <v>0</v>
      </c>
    </row>
    <row r="68" spans="1:8">
      <c r="A68" s="28"/>
      <c r="B68" s="29" t="s">
        <v>2824</v>
      </c>
      <c r="C68" s="30" t="str">
        <f>IFERROR(_xlfn.XLOOKUP(B68,Insumo[DESCRIPCION],Insumo[UND],,0),"")</f>
        <v>Un</v>
      </c>
      <c r="D68" s="31">
        <v>0.01</v>
      </c>
      <c r="E68" s="32">
        <f>IFERROR(_xlfn.XLOOKUP($B68,Insumo[DESCRIPCION],Insumo[VALOR],,0),"")</f>
        <v>34230</v>
      </c>
      <c r="F68" s="33"/>
      <c r="G68" s="34">
        <f t="shared" si="0"/>
        <v>342.3</v>
      </c>
      <c r="H68" s="43">
        <f>IFERROR(G68*E64,"")</f>
        <v>0</v>
      </c>
    </row>
    <row r="69" spans="1:8">
      <c r="A69" s="28"/>
      <c r="B69" s="29" t="s">
        <v>3337</v>
      </c>
      <c r="C69" s="30" t="str">
        <f>IFERROR(_xlfn.XLOOKUP(B69,Insumo[DESCRIPCION],Insumo[UND],,0),"")</f>
        <v>Un</v>
      </c>
      <c r="D69" s="31">
        <v>0.3</v>
      </c>
      <c r="E69" s="32">
        <f>IFERROR(_xlfn.XLOOKUP($B69,Insumo[DESCRIPCION],Insumo[VALOR],,0),"")</f>
        <v>12350.1</v>
      </c>
      <c r="F69" s="33">
        <v>-2</v>
      </c>
      <c r="G69" s="34">
        <f t="shared" si="0"/>
        <v>1852.5149999999999</v>
      </c>
      <c r="H69" s="43">
        <f>IFERROR(G69*E64,"")</f>
        <v>0</v>
      </c>
    </row>
    <row r="70" spans="1:8">
      <c r="A70" s="28"/>
      <c r="B70" s="29" t="s">
        <v>3047</v>
      </c>
      <c r="C70" s="30" t="str">
        <f>IFERROR(_xlfn.XLOOKUP(B70,Insumo[DESCRIPCION],Insumo[UND],,0),"")</f>
        <v>Un</v>
      </c>
      <c r="D70" s="31">
        <v>1.5</v>
      </c>
      <c r="E70" s="32">
        <f>IFERROR(_xlfn.XLOOKUP($B70,Insumo[DESCRIPCION],Insumo[VALOR],,0),"")</f>
        <v>10230.15</v>
      </c>
      <c r="F70" s="33">
        <v>-2</v>
      </c>
      <c r="G70" s="34">
        <f t="shared" si="0"/>
        <v>7672.6124999999993</v>
      </c>
      <c r="H70" s="43">
        <f>IFERROR(G70*E64,"")</f>
        <v>0</v>
      </c>
    </row>
    <row r="71" spans="1:8">
      <c r="A71" s="28"/>
      <c r="B71" s="29" t="s">
        <v>3253</v>
      </c>
      <c r="C71" s="30" t="str">
        <f>IFERROR(_xlfn.XLOOKUP(B71,Insumo[DESCRIPCION],Insumo[UND],,0),"")</f>
        <v>Lb</v>
      </c>
      <c r="D71" s="31">
        <v>0.08</v>
      </c>
      <c r="E71" s="32">
        <f>IFERROR(_xlfn.XLOOKUP($B71,Insumo[DESCRIPCION],Insumo[VALOR],,0),"")</f>
        <v>6482.7000000000007</v>
      </c>
      <c r="F71" s="33"/>
      <c r="G71" s="34">
        <f t="shared" si="0"/>
        <v>518.6160000000001</v>
      </c>
      <c r="H71" s="43">
        <f>IFERROR(G71*E64,"")</f>
        <v>0</v>
      </c>
    </row>
    <row r="72" spans="1:8">
      <c r="A72" s="28"/>
      <c r="B72" s="29" t="s">
        <v>2653</v>
      </c>
      <c r="C72" s="30" t="str">
        <f>IFERROR(_xlfn.XLOOKUP(B72,Insumo[DESCRIPCION],Insumo[UND],,0),"")</f>
        <v>Kg</v>
      </c>
      <c r="D72" s="31">
        <f>3.5*0.56</f>
        <v>1.9600000000000002</v>
      </c>
      <c r="E72" s="32">
        <f>IFERROR(_xlfn.XLOOKUP($B72,Insumo[DESCRIPCION],Insumo[VALOR],,0),"")</f>
        <v>5686.8</v>
      </c>
      <c r="F72" s="33"/>
      <c r="G72" s="34">
        <f t="shared" si="0"/>
        <v>11146.128000000001</v>
      </c>
      <c r="H72" s="43">
        <f>IFERROR(G72*E64,"")</f>
        <v>0</v>
      </c>
    </row>
    <row r="73" spans="1:8">
      <c r="A73" s="21"/>
      <c r="B73" s="22" t="s">
        <v>3731</v>
      </c>
      <c r="C73" s="23"/>
      <c r="D73" s="24"/>
      <c r="E73" s="25"/>
      <c r="F73" s="26"/>
      <c r="G73" s="27">
        <f>SUM(G74:G76)</f>
        <v>2245.6482206785722</v>
      </c>
      <c r="H73" s="44">
        <f>G73*E64</f>
        <v>0</v>
      </c>
    </row>
    <row r="74" spans="1:8">
      <c r="A74" s="28"/>
      <c r="B74" s="29" t="s">
        <v>3626</v>
      </c>
      <c r="C74" s="30" t="str">
        <f>IFERROR(_xlfn.XLOOKUP(B74,Equipo[DESCRIPCION],Equipo[UND],,0),"")</f>
        <v>%MO</v>
      </c>
      <c r="D74" s="31">
        <v>0.05</v>
      </c>
      <c r="E74" s="32">
        <f>IF(C74="%MO",G80,IFERROR(_xlfn.XLOOKUP($B74,Equipo[DESCRIPCION],Equipo[VALOR],,0),""))</f>
        <v>44912.964413571441</v>
      </c>
      <c r="F74" s="33"/>
      <c r="G74" s="34">
        <f>IFERROR(IF(F74&gt;=0,D74*E74*(1+F74/100),ABS(D74*E74/F74)),"")</f>
        <v>2245.6482206785722</v>
      </c>
      <c r="H74" s="43">
        <f>IFERROR(G74*E64,"")</f>
        <v>0</v>
      </c>
    </row>
    <row r="75" spans="1:8">
      <c r="A75" s="28"/>
      <c r="B75" s="29"/>
      <c r="C75" s="30" t="str">
        <f>IFERROR(_xlfn.XLOOKUP(B75,Equipo[DESCRIPCION],Equipo[UND],,0),"")</f>
        <v/>
      </c>
      <c r="D75" s="31"/>
      <c r="E75" s="32" t="str">
        <f>IF(C75="%MO",G80,IFERROR(_xlfn.XLOOKUP($B75,Equipo[DESCRIPCION],Equipo[VALOR],,0),""))</f>
        <v/>
      </c>
      <c r="F75" s="33"/>
      <c r="G75" s="34" t="str">
        <f>IFERROR(IF(F75&gt;=0,D75*E75*(1+F75/100),ABS(D75*E75/F75)),"")</f>
        <v/>
      </c>
      <c r="H75" s="43" t="str">
        <f>IFERROR(G75*E64,"")</f>
        <v/>
      </c>
    </row>
    <row r="76" spans="1:8">
      <c r="A76" s="28"/>
      <c r="B76" s="29"/>
      <c r="C76" s="30" t="str">
        <f>IFERROR(_xlfn.XLOOKUP(B76,Equipo[DESCRIPCION],Equipo[UND],,0),"")</f>
        <v/>
      </c>
      <c r="D76" s="31"/>
      <c r="E76" s="32" t="str">
        <f>IF(C76="%MO",G80,IFERROR(_xlfn.XLOOKUP($B76,Equipo[DESCRIPCION],Equipo[VALOR],,0),""))</f>
        <v/>
      </c>
      <c r="F76" s="33"/>
      <c r="G76" s="34" t="str">
        <f>IFERROR(IF(F76&gt;=0,D76*E76*(1+F76/100),ABS(D76*E76/F76)),"")</f>
        <v/>
      </c>
      <c r="H76" s="43" t="str">
        <f>IFERROR(G76*E64,"")</f>
        <v/>
      </c>
    </row>
    <row r="77" spans="1:8">
      <c r="A77" s="21"/>
      <c r="B77" s="22" t="s">
        <v>2533</v>
      </c>
      <c r="C77" s="23"/>
      <c r="D77" s="24"/>
      <c r="E77" s="25"/>
      <c r="F77" s="26"/>
      <c r="G77" s="27">
        <f>SUM(G78:G79)</f>
        <v>0</v>
      </c>
      <c r="H77" s="44">
        <f>G77*E64</f>
        <v>0</v>
      </c>
    </row>
    <row r="78" spans="1:8">
      <c r="A78" s="28"/>
      <c r="B78" s="29"/>
      <c r="C78" s="30" t="str">
        <f>IFERROR(_xlfn.XLOOKUP(B78,Transporte[DESCRIPCION],Transporte[UND],,0),"")</f>
        <v/>
      </c>
      <c r="D78" s="31"/>
      <c r="E78" s="32" t="str">
        <f>IFERROR(_xlfn.XLOOKUP($B78,Transporte[DESCRIPCION],Transporte[VALOR],,0),"")</f>
        <v/>
      </c>
      <c r="F78" s="33"/>
      <c r="G78" s="34" t="str">
        <f>IFERROR(IF(F78&gt;=0,D78*E78*(1+F78/100),ABS(D78*E78/F78)),"")</f>
        <v/>
      </c>
      <c r="H78" s="43" t="str">
        <f>IFERROR(G78*E64,"")</f>
        <v/>
      </c>
    </row>
    <row r="79" spans="1:8">
      <c r="A79" s="28"/>
      <c r="B79" s="29"/>
      <c r="C79" s="30" t="str">
        <f>IFERROR(_xlfn.XLOOKUP(B79,Transporte[DESCRIPCION],Transporte[UND],,0),"")</f>
        <v/>
      </c>
      <c r="D79" s="31"/>
      <c r="E79" s="32" t="str">
        <f>IFERROR(_xlfn.XLOOKUP($B79,Transporte[DESCRIPCION],Transporte[VALOR],,0),"")</f>
        <v/>
      </c>
      <c r="F79" s="33"/>
      <c r="G79" s="34" t="str">
        <f>IFERROR(IF(F79&gt;=0,D79*E79*(1+F79/100),ABS(D79*E79/F79)),"")</f>
        <v/>
      </c>
      <c r="H79" s="43" t="str">
        <f>IFERROR(G79*E64,"")</f>
        <v/>
      </c>
    </row>
    <row r="80" spans="1:8">
      <c r="A80" s="21"/>
      <c r="B80" s="22" t="s">
        <v>3732</v>
      </c>
      <c r="C80" s="23"/>
      <c r="D80" s="24"/>
      <c r="E80" s="25"/>
      <c r="F80" s="26"/>
      <c r="G80" s="27">
        <f>SUM(G81:G83)</f>
        <v>44912.964413571441</v>
      </c>
      <c r="H80" s="44">
        <f>G80*E64</f>
        <v>0</v>
      </c>
    </row>
    <row r="81" spans="1:11">
      <c r="A81" s="28"/>
      <c r="B81" s="29" t="s">
        <v>3710</v>
      </c>
      <c r="C81" s="30" t="str">
        <f>IFERROR(_xlfn.XLOOKUP(B81,MObra[DESCRIPCION],MObra[UN],,0),"")</f>
        <v>día</v>
      </c>
      <c r="D81" s="31">
        <v>1</v>
      </c>
      <c r="E81" s="32">
        <f>IFERROR(_xlfn.XLOOKUP($B81,MObra[DESCRIPCION],MObra[VALOR UNIT],,0),"")</f>
        <v>314390.75089500006</v>
      </c>
      <c r="F81" s="33">
        <v>-7</v>
      </c>
      <c r="G81" s="34">
        <f>IFERROR(IF(F81&gt;=0,D81*E81*(1+F81/100),ABS(D81*E81/F81)),"")</f>
        <v>44912.964413571441</v>
      </c>
      <c r="H81" s="43">
        <f>IFERROR(G81*E64,"")</f>
        <v>0</v>
      </c>
    </row>
    <row r="82" spans="1:11">
      <c r="A82" s="28"/>
      <c r="B82" s="29"/>
      <c r="C82" s="30" t="str">
        <f t="array" ref="C82">IFERROR(_xlfn.XLOOKUP(B82,MObra[[#All],[DESCRIPCION]],MObra[[#All],[UN]],,0),"")</f>
        <v/>
      </c>
      <c r="D82" s="31"/>
      <c r="E82" s="32" t="str">
        <f>IFERROR(_xlfn.XLOOKUP($B82,MObra[DESCRIPCION],MObra[VALOR UNIT],,0),"")</f>
        <v/>
      </c>
      <c r="F82" s="33"/>
      <c r="G82" s="34" t="str">
        <f>IFERROR(IF(F82&gt;=0,D82*E82*(1+F82/100),ABS(D82*E82/F82)),"")</f>
        <v/>
      </c>
      <c r="H82" s="43" t="str">
        <f>IFERROR(G82*E64,"")</f>
        <v/>
      </c>
    </row>
    <row r="83" spans="1:11">
      <c r="A83" s="35"/>
      <c r="B83" s="36"/>
      <c r="C83" s="37" t="str">
        <f t="array" ref="C83">IFERROR(_xlfn.XLOOKUP(B83,MObra[[#All],[DESCRIPCION]],MObra[[#All],[UN]],,0),"")</f>
        <v/>
      </c>
      <c r="D83" s="38"/>
      <c r="E83" s="39" t="str">
        <f>IFERROR(_xlfn.XLOOKUP($B83,MObra[DESCRIPCION],MObra[VALOR UNIT],,0),"")</f>
        <v/>
      </c>
      <c r="F83" s="40"/>
      <c r="G83" s="41" t="str">
        <f>IFERROR(IF(F83&gt;=0,D83*E83*(1+F83/100),ABS(D83*E83/F83)),"")</f>
        <v/>
      </c>
      <c r="H83" s="42" t="str">
        <f>IFERROR(G83*E64,"")</f>
        <v/>
      </c>
    </row>
    <row r="85" spans="1:11">
      <c r="A85" s="6" t="s">
        <v>607</v>
      </c>
      <c r="B85" s="7" t="str">
        <f>VLOOKUP($A85,Presupuesto!$A:$D,2,FALSE())</f>
        <v>Alfajía remate ancho = 0.4 m concreto 20.7 Mpa reforzado</v>
      </c>
      <c r="C85" s="8" t="str">
        <f>VLOOKUP($A85,Presupuesto!$A:$D,3,FALSE())</f>
        <v>M</v>
      </c>
      <c r="D85" s="9"/>
      <c r="E85" s="10">
        <f>VLOOKUP($A85,Presupuesto!$A:$D,4,FALSE())</f>
        <v>0</v>
      </c>
      <c r="F85" s="11" t="s">
        <v>2589</v>
      </c>
      <c r="G85" s="12">
        <f>SUM(G87:G104)/2</f>
        <v>85344.641001212178</v>
      </c>
      <c r="H85" s="13">
        <f>ROUND(SUM(H87:H104),0)/2</f>
        <v>0</v>
      </c>
      <c r="I85" s="10">
        <f>VLOOKUP(A85,Presupuesto!$A:$F,6,0)</f>
        <v>0</v>
      </c>
      <c r="J85" s="10">
        <f>+H85-I85</f>
        <v>0</v>
      </c>
      <c r="K85" s="46">
        <f>+H85-G85*E85</f>
        <v>0</v>
      </c>
    </row>
    <row r="86" spans="1:11">
      <c r="A86" s="14"/>
      <c r="B86" s="15" t="s">
        <v>2586</v>
      </c>
      <c r="C86" s="15" t="s">
        <v>5</v>
      </c>
      <c r="D86" s="16" t="s">
        <v>6</v>
      </c>
      <c r="E86" s="17" t="s">
        <v>7</v>
      </c>
      <c r="F86" s="18" t="s">
        <v>3728</v>
      </c>
      <c r="G86" s="19" t="s">
        <v>3729</v>
      </c>
      <c r="H86" s="20" t="s">
        <v>3797</v>
      </c>
    </row>
    <row r="87" spans="1:11">
      <c r="A87" s="21"/>
      <c r="B87" s="22" t="s">
        <v>3730</v>
      </c>
      <c r="C87" s="23"/>
      <c r="D87" s="24"/>
      <c r="E87" s="25"/>
      <c r="F87" s="26"/>
      <c r="G87" s="27">
        <f>SUM(G88:G93)</f>
        <v>38186.028366962157</v>
      </c>
      <c r="H87" s="27">
        <f>IFERROR(G87*E85,"")</f>
        <v>0</v>
      </c>
    </row>
    <row r="88" spans="1:11">
      <c r="A88" s="28"/>
      <c r="B88" s="29" t="s">
        <v>3239</v>
      </c>
      <c r="C88" s="30" t="str">
        <f>IFERROR(_xlfn.XLOOKUP(B88,Insumo[DESCRIPCION],Insumo[UND],,0),"")</f>
        <v>M3</v>
      </c>
      <c r="D88" s="31">
        <f>0.4*0.07</f>
        <v>2.8000000000000004E-2</v>
      </c>
      <c r="E88" s="32">
        <f>IFERROR(_xlfn.XLOOKUP($B88,Insumo[DESCRIPCION],Insumo[VALOR],,0),"")</f>
        <v>521159.50227762427</v>
      </c>
      <c r="F88" s="33">
        <v>5</v>
      </c>
      <c r="G88" s="34">
        <f t="shared" ref="G88:G93" si="1">IFERROR(IF(F88&gt;=0,D88*E88*(1+F88/100),ABS(D88*E88/F88)),"")</f>
        <v>15322.089366962156</v>
      </c>
      <c r="H88" s="43">
        <f>IFERROR(G88*E85,"")</f>
        <v>0</v>
      </c>
    </row>
    <row r="89" spans="1:11">
      <c r="A89" s="28"/>
      <c r="B89" s="29" t="s">
        <v>2824</v>
      </c>
      <c r="C89" s="30" t="str">
        <f>IFERROR(_xlfn.XLOOKUP(B89,Insumo[DESCRIPCION],Insumo[UND],,0),"")</f>
        <v>Un</v>
      </c>
      <c r="D89" s="31">
        <v>0.01</v>
      </c>
      <c r="E89" s="32">
        <f>IFERROR(_xlfn.XLOOKUP($B89,Insumo[DESCRIPCION],Insumo[VALOR],,0),"")</f>
        <v>34230</v>
      </c>
      <c r="F89" s="33"/>
      <c r="G89" s="34">
        <f t="shared" si="1"/>
        <v>342.3</v>
      </c>
      <c r="H89" s="43">
        <f>IFERROR(G89*E85,"")</f>
        <v>0</v>
      </c>
    </row>
    <row r="90" spans="1:11">
      <c r="A90" s="28"/>
      <c r="B90" s="29" t="s">
        <v>3337</v>
      </c>
      <c r="C90" s="30" t="str">
        <f>IFERROR(_xlfn.XLOOKUP(B90,Insumo[DESCRIPCION],Insumo[UND],,0),"")</f>
        <v>Un</v>
      </c>
      <c r="D90" s="31">
        <v>0.35</v>
      </c>
      <c r="E90" s="32">
        <f>IFERROR(_xlfn.XLOOKUP($B90,Insumo[DESCRIPCION],Insumo[VALOR],,0),"")</f>
        <v>12350.1</v>
      </c>
      <c r="F90" s="33">
        <v>-2</v>
      </c>
      <c r="G90" s="34">
        <f t="shared" si="1"/>
        <v>2161.2674999999999</v>
      </c>
      <c r="H90" s="43">
        <f>IFERROR(G90*E85,"")</f>
        <v>0</v>
      </c>
    </row>
    <row r="91" spans="1:11">
      <c r="A91" s="28"/>
      <c r="B91" s="29" t="s">
        <v>3047</v>
      </c>
      <c r="C91" s="30" t="str">
        <f>IFERROR(_xlfn.XLOOKUP(B91,Insumo[DESCRIPCION],Insumo[UND],,0),"")</f>
        <v>Un</v>
      </c>
      <c r="D91" s="31">
        <v>1.7</v>
      </c>
      <c r="E91" s="32">
        <f>IFERROR(_xlfn.XLOOKUP($B91,Insumo[DESCRIPCION],Insumo[VALOR],,0),"")</f>
        <v>10230.15</v>
      </c>
      <c r="F91" s="33">
        <v>-2</v>
      </c>
      <c r="G91" s="34">
        <f t="shared" si="1"/>
        <v>8695.6274999999987</v>
      </c>
      <c r="H91" s="43">
        <f>IFERROR(G91*E85,"")</f>
        <v>0</v>
      </c>
    </row>
    <row r="92" spans="1:11">
      <c r="A92" s="28"/>
      <c r="B92" s="29" t="s">
        <v>3253</v>
      </c>
      <c r="C92" s="30" t="str">
        <f>IFERROR(_xlfn.XLOOKUP(B92,Insumo[DESCRIPCION],Insumo[UND],,0),"")</f>
        <v>Lb</v>
      </c>
      <c r="D92" s="31">
        <v>0.08</v>
      </c>
      <c r="E92" s="32">
        <f>IFERROR(_xlfn.XLOOKUP($B92,Insumo[DESCRIPCION],Insumo[VALOR],,0),"")</f>
        <v>6482.7000000000007</v>
      </c>
      <c r="F92" s="33"/>
      <c r="G92" s="34">
        <f t="shared" si="1"/>
        <v>518.6160000000001</v>
      </c>
      <c r="H92" s="43">
        <f>IFERROR(G92*E85,"")</f>
        <v>0</v>
      </c>
    </row>
    <row r="93" spans="1:11">
      <c r="A93" s="28"/>
      <c r="B93" s="29" t="s">
        <v>2653</v>
      </c>
      <c r="C93" s="30" t="str">
        <f>IFERROR(_xlfn.XLOOKUP(B93,Insumo[DESCRIPCION],Insumo[UND],,0),"")</f>
        <v>Kg</v>
      </c>
      <c r="D93" s="31">
        <f>3.5*0.56</f>
        <v>1.9600000000000002</v>
      </c>
      <c r="E93" s="32">
        <f>IFERROR(_xlfn.XLOOKUP($B93,Insumo[DESCRIPCION],Insumo[VALOR],,0),"")</f>
        <v>5686.8</v>
      </c>
      <c r="F93" s="33"/>
      <c r="G93" s="34">
        <f t="shared" si="1"/>
        <v>11146.128000000001</v>
      </c>
      <c r="H93" s="43">
        <f>IFERROR(G93*E85,"")</f>
        <v>0</v>
      </c>
    </row>
    <row r="94" spans="1:11">
      <c r="A94" s="21"/>
      <c r="B94" s="22" t="s">
        <v>3731</v>
      </c>
      <c r="C94" s="23"/>
      <c r="D94" s="24"/>
      <c r="E94" s="25"/>
      <c r="F94" s="26"/>
      <c r="G94" s="27">
        <f>SUM(G95:G97)</f>
        <v>2245.6482206785722</v>
      </c>
      <c r="H94" s="44">
        <f>G94*E85</f>
        <v>0</v>
      </c>
    </row>
    <row r="95" spans="1:11">
      <c r="A95" s="28"/>
      <c r="B95" s="29" t="s">
        <v>3626</v>
      </c>
      <c r="C95" s="30" t="str">
        <f>IFERROR(_xlfn.XLOOKUP(B95,Equipo[DESCRIPCION],Equipo[UND],,0),"")</f>
        <v>%MO</v>
      </c>
      <c r="D95" s="31">
        <v>0.05</v>
      </c>
      <c r="E95" s="32">
        <f>IF(C95="%MO",G101,IFERROR(_xlfn.XLOOKUP($B95,Equipo[DESCRIPCION],Equipo[VALOR],,0),""))</f>
        <v>44912.964413571441</v>
      </c>
      <c r="F95" s="33"/>
      <c r="G95" s="34">
        <f>IFERROR(IF(F95&gt;=0,D95*E95*(1+F95/100),ABS(D95*E95/F95)),"")</f>
        <v>2245.6482206785722</v>
      </c>
      <c r="H95" s="43">
        <f>IFERROR(G95*E85,"")</f>
        <v>0</v>
      </c>
    </row>
    <row r="96" spans="1:11">
      <c r="A96" s="28"/>
      <c r="B96" s="29"/>
      <c r="C96" s="30" t="str">
        <f>IFERROR(_xlfn.XLOOKUP(B96,Equipo[DESCRIPCION],Equipo[UND],,0),"")</f>
        <v/>
      </c>
      <c r="D96" s="31"/>
      <c r="E96" s="32" t="str">
        <f>IF(C96="%MO",G101,IFERROR(_xlfn.XLOOKUP($B96,Equipo[DESCRIPCION],Equipo[VALOR],,0),""))</f>
        <v/>
      </c>
      <c r="F96" s="33"/>
      <c r="G96" s="34" t="str">
        <f>IFERROR(IF(F96&gt;=0,D96*E96*(1+F96/100),ABS(D96*E96/F96)),"")</f>
        <v/>
      </c>
      <c r="H96" s="43" t="str">
        <f>IFERROR(G96*E85,"")</f>
        <v/>
      </c>
    </row>
    <row r="97" spans="1:11">
      <c r="A97" s="28"/>
      <c r="B97" s="29"/>
      <c r="C97" s="30" t="str">
        <f>IFERROR(_xlfn.XLOOKUP(B97,Equipo[DESCRIPCION],Equipo[UND],,0),"")</f>
        <v/>
      </c>
      <c r="D97" s="31"/>
      <c r="E97" s="32" t="str">
        <f>IF(C97="%MO",G101,IFERROR(_xlfn.XLOOKUP($B97,Equipo[DESCRIPCION],Equipo[VALOR],,0),""))</f>
        <v/>
      </c>
      <c r="F97" s="33"/>
      <c r="G97" s="34" t="str">
        <f>IFERROR(IF(F97&gt;=0,D97*E97*(1+F97/100),ABS(D97*E97/F97)),"")</f>
        <v/>
      </c>
      <c r="H97" s="43" t="str">
        <f>IFERROR(G97*E85,"")</f>
        <v/>
      </c>
    </row>
    <row r="98" spans="1:11">
      <c r="A98" s="21"/>
      <c r="B98" s="22" t="s">
        <v>2533</v>
      </c>
      <c r="C98" s="23"/>
      <c r="D98" s="24"/>
      <c r="E98" s="25"/>
      <c r="F98" s="26"/>
      <c r="G98" s="27">
        <f>SUM(G99:G100)</f>
        <v>0</v>
      </c>
      <c r="H98" s="44">
        <f>G98*E85</f>
        <v>0</v>
      </c>
    </row>
    <row r="99" spans="1:11">
      <c r="A99" s="28"/>
      <c r="B99" s="29"/>
      <c r="C99" s="30" t="str">
        <f>IFERROR(_xlfn.XLOOKUP(B99,Transporte[DESCRIPCION],Transporte[UND],,0),"")</f>
        <v/>
      </c>
      <c r="D99" s="31"/>
      <c r="E99" s="32" t="str">
        <f>IFERROR(_xlfn.XLOOKUP($B99,Transporte[DESCRIPCION],Transporte[VALOR],,0),"")</f>
        <v/>
      </c>
      <c r="F99" s="33"/>
      <c r="G99" s="34" t="str">
        <f>IFERROR(IF(F99&gt;=0,D99*E99*(1+F99/100),ABS(D99*E99/F99)),"")</f>
        <v/>
      </c>
      <c r="H99" s="43" t="str">
        <f>IFERROR(G99*E85,"")</f>
        <v/>
      </c>
    </row>
    <row r="100" spans="1:11">
      <c r="A100" s="28"/>
      <c r="B100" s="29"/>
      <c r="C100" s="30" t="str">
        <f>IFERROR(_xlfn.XLOOKUP(B100,Transporte[DESCRIPCION],Transporte[UND],,0),"")</f>
        <v/>
      </c>
      <c r="D100" s="31"/>
      <c r="E100" s="32" t="str">
        <f>IFERROR(_xlfn.XLOOKUP($B100,Transporte[DESCRIPCION],Transporte[VALOR],,0),"")</f>
        <v/>
      </c>
      <c r="F100" s="33"/>
      <c r="G100" s="34" t="str">
        <f>IFERROR(IF(F100&gt;=0,D100*E100*(1+F100/100),ABS(D100*E100/F100)),"")</f>
        <v/>
      </c>
      <c r="H100" s="43" t="str">
        <f>IFERROR(G100*E85,"")</f>
        <v/>
      </c>
    </row>
    <row r="101" spans="1:11">
      <c r="A101" s="21"/>
      <c r="B101" s="22" t="s">
        <v>3732</v>
      </c>
      <c r="C101" s="23"/>
      <c r="D101" s="24"/>
      <c r="E101" s="25"/>
      <c r="F101" s="26"/>
      <c r="G101" s="27">
        <f>SUM(G102:G104)</f>
        <v>44912.964413571441</v>
      </c>
      <c r="H101" s="44">
        <f>G101*E85</f>
        <v>0</v>
      </c>
    </row>
    <row r="102" spans="1:11">
      <c r="A102" s="28"/>
      <c r="B102" s="29" t="s">
        <v>3710</v>
      </c>
      <c r="C102" s="30" t="str">
        <f>IFERROR(_xlfn.XLOOKUP(B102,MObra[DESCRIPCION],MObra[UN],,0),"")</f>
        <v>día</v>
      </c>
      <c r="D102" s="31">
        <v>1</v>
      </c>
      <c r="E102" s="32">
        <f>IFERROR(_xlfn.XLOOKUP($B102,MObra[DESCRIPCION],MObra[VALOR UNIT],,0),"")</f>
        <v>314390.75089500006</v>
      </c>
      <c r="F102" s="33">
        <v>-7</v>
      </c>
      <c r="G102" s="34">
        <f>IFERROR(IF(F102&gt;=0,D102*E102*(1+F102/100),ABS(D102*E102/F102)),"")</f>
        <v>44912.964413571441</v>
      </c>
      <c r="H102" s="43">
        <f>IFERROR(G102*E85,"")</f>
        <v>0</v>
      </c>
    </row>
    <row r="103" spans="1:11">
      <c r="A103" s="28"/>
      <c r="B103" s="29"/>
      <c r="C103" s="30" t="str">
        <f t="array" ref="C103">IFERROR(_xlfn.XLOOKUP(B103,MObra[[#All],[DESCRIPCION]],MObra[[#All],[UN]],,0),"")</f>
        <v/>
      </c>
      <c r="D103" s="31"/>
      <c r="E103" s="32" t="str">
        <f>IFERROR(_xlfn.XLOOKUP($B103,MObra[DESCRIPCION],MObra[VALOR UNIT],,0),"")</f>
        <v/>
      </c>
      <c r="F103" s="33"/>
      <c r="G103" s="34" t="str">
        <f>IFERROR(IF(F103&gt;=0,D103*E103*(1+F103/100),ABS(D103*E103/F103)),"")</f>
        <v/>
      </c>
      <c r="H103" s="43" t="str">
        <f>IFERROR(G103*E85,"")</f>
        <v/>
      </c>
    </row>
    <row r="104" spans="1:11">
      <c r="A104" s="35"/>
      <c r="B104" s="36"/>
      <c r="C104" s="37" t="str">
        <f t="array" ref="C104">IFERROR(_xlfn.XLOOKUP(B104,MObra[[#All],[DESCRIPCION]],MObra[[#All],[UN]],,0),"")</f>
        <v/>
      </c>
      <c r="D104" s="38"/>
      <c r="E104" s="39" t="str">
        <f>IFERROR(_xlfn.XLOOKUP($B104,MObra[DESCRIPCION],MObra[VALOR UNIT],,0),"")</f>
        <v/>
      </c>
      <c r="F104" s="40"/>
      <c r="G104" s="41" t="str">
        <f>IFERROR(IF(F104&gt;=0,D104*E104*(1+F104/100),ABS(D104*E104/F104)),"")</f>
        <v/>
      </c>
      <c r="H104" s="42" t="str">
        <f>IFERROR(G104*E85,"")</f>
        <v/>
      </c>
    </row>
    <row r="106" spans="1:11">
      <c r="A106" s="6" t="s">
        <v>609</v>
      </c>
      <c r="B106" s="7" t="str">
        <f>VLOOKUP($A106,Presupuesto!$A:$D,2,FALSE())</f>
        <v>Alfajía remate ancho = 0.5 m concreto 20.7 Mpa reforzado</v>
      </c>
      <c r="C106" s="8" t="str">
        <f>VLOOKUP($A106,Presupuesto!$A:$D,3,FALSE())</f>
        <v>M</v>
      </c>
      <c r="D106" s="9"/>
      <c r="E106" s="10">
        <f>VLOOKUP($A106,Presupuesto!$A:$D,4,FALSE())</f>
        <v>0</v>
      </c>
      <c r="F106" s="11" t="s">
        <v>2589</v>
      </c>
      <c r="G106" s="12">
        <f>SUM(G108:G124)/2</f>
        <v>91018.438342952708</v>
      </c>
      <c r="H106" s="13">
        <f>ROUND(SUM(H108:H124),0)/2</f>
        <v>0</v>
      </c>
      <c r="I106" s="10">
        <f>VLOOKUP(A106,Presupuesto!$A:$F,6,0)</f>
        <v>0</v>
      </c>
      <c r="J106" s="10">
        <f>+H106-I106</f>
        <v>0</v>
      </c>
      <c r="K106" s="46">
        <f>+H106-G106*E106</f>
        <v>0</v>
      </c>
    </row>
    <row r="107" spans="1:11">
      <c r="A107" s="14"/>
      <c r="B107" s="15" t="s">
        <v>2586</v>
      </c>
      <c r="C107" s="15" t="s">
        <v>5</v>
      </c>
      <c r="D107" s="16" t="s">
        <v>6</v>
      </c>
      <c r="E107" s="17" t="s">
        <v>7</v>
      </c>
      <c r="F107" s="18" t="s">
        <v>3728</v>
      </c>
      <c r="G107" s="19" t="s">
        <v>3729</v>
      </c>
      <c r="H107" s="20" t="s">
        <v>3797</v>
      </c>
    </row>
    <row r="108" spans="1:11">
      <c r="A108" s="21"/>
      <c r="B108" s="22" t="s">
        <v>3730</v>
      </c>
      <c r="C108" s="23"/>
      <c r="D108" s="24"/>
      <c r="E108" s="25"/>
      <c r="F108" s="26"/>
      <c r="G108" s="27">
        <f>SUM(G109:G114)</f>
        <v>43859.825708702701</v>
      </c>
      <c r="H108" s="27">
        <f>IFERROR(G108*E106,"")</f>
        <v>0</v>
      </c>
    </row>
    <row r="109" spans="1:11">
      <c r="A109" s="28"/>
      <c r="B109" s="29" t="s">
        <v>3239</v>
      </c>
      <c r="C109" s="30" t="str">
        <f>IFERROR(_xlfn.XLOOKUP(B109,Insumo[DESCRIPCION],Insumo[UND],,0),"")</f>
        <v>M3</v>
      </c>
      <c r="D109" s="31">
        <f>0.5*0.07</f>
        <v>3.5000000000000003E-2</v>
      </c>
      <c r="E109" s="32">
        <f>IFERROR(_xlfn.XLOOKUP($B109,Insumo[DESCRIPCION],Insumo[VALOR],,0),"")</f>
        <v>521159.50227762427</v>
      </c>
      <c r="F109" s="33">
        <v>5</v>
      </c>
      <c r="G109" s="34">
        <f t="shared" ref="G109:G114" si="2">IFERROR(IF(F109&gt;=0,D109*E109*(1+F109/100),ABS(D109*E109/F109)),"")</f>
        <v>19152.611708702694</v>
      </c>
      <c r="H109" s="43">
        <f>IFERROR(G109*E106,"")</f>
        <v>0</v>
      </c>
    </row>
    <row r="110" spans="1:11">
      <c r="A110" s="28"/>
      <c r="B110" s="29" t="s">
        <v>2824</v>
      </c>
      <c r="C110" s="30" t="str">
        <f>IFERROR(_xlfn.XLOOKUP(B110,Insumo[DESCRIPCION],Insumo[UND],,0),"")</f>
        <v>Un</v>
      </c>
      <c r="D110" s="31">
        <v>0.01</v>
      </c>
      <c r="E110" s="32">
        <f>IFERROR(_xlfn.XLOOKUP($B110,Insumo[DESCRIPCION],Insumo[VALOR],,0),"")</f>
        <v>34230</v>
      </c>
      <c r="F110" s="33"/>
      <c r="G110" s="34">
        <f t="shared" si="2"/>
        <v>342.3</v>
      </c>
      <c r="H110" s="43">
        <f>IFERROR(G110*E106,"")</f>
        <v>0</v>
      </c>
    </row>
    <row r="111" spans="1:11">
      <c r="A111" s="28"/>
      <c r="B111" s="29" t="s">
        <v>3337</v>
      </c>
      <c r="C111" s="30" t="str">
        <f>IFERROR(_xlfn.XLOOKUP(B111,Insumo[DESCRIPCION],Insumo[UND],,0),"")</f>
        <v>Un</v>
      </c>
      <c r="D111" s="31">
        <v>0.4</v>
      </c>
      <c r="E111" s="32">
        <f>IFERROR(_xlfn.XLOOKUP($B111,Insumo[DESCRIPCION],Insumo[VALOR],,0),"")</f>
        <v>12350.1</v>
      </c>
      <c r="F111" s="33">
        <v>-2</v>
      </c>
      <c r="G111" s="34">
        <f t="shared" si="2"/>
        <v>2470.0200000000004</v>
      </c>
      <c r="H111" s="43">
        <f>IFERROR(G111*E106,"")</f>
        <v>0</v>
      </c>
    </row>
    <row r="112" spans="1:11">
      <c r="A112" s="28"/>
      <c r="B112" s="29" t="s">
        <v>3047</v>
      </c>
      <c r="C112" s="30" t="str">
        <f>IFERROR(_xlfn.XLOOKUP(B112,Insumo[DESCRIPCION],Insumo[UND],,0),"")</f>
        <v>Un</v>
      </c>
      <c r="D112" s="31">
        <v>2</v>
      </c>
      <c r="E112" s="32">
        <f>IFERROR(_xlfn.XLOOKUP($B112,Insumo[DESCRIPCION],Insumo[VALOR],,0),"")</f>
        <v>10230.15</v>
      </c>
      <c r="F112" s="33">
        <v>-2</v>
      </c>
      <c r="G112" s="34">
        <f t="shared" si="2"/>
        <v>10230.15</v>
      </c>
      <c r="H112" s="43">
        <f>IFERROR(G112*E106,"")</f>
        <v>0</v>
      </c>
    </row>
    <row r="113" spans="1:11">
      <c r="A113" s="28"/>
      <c r="B113" s="29" t="s">
        <v>3253</v>
      </c>
      <c r="C113" s="30" t="str">
        <f>IFERROR(_xlfn.XLOOKUP(B113,Insumo[DESCRIPCION],Insumo[UND],,0),"")</f>
        <v>Lb</v>
      </c>
      <c r="D113" s="31">
        <v>0.08</v>
      </c>
      <c r="E113" s="32">
        <f>IFERROR(_xlfn.XLOOKUP($B113,Insumo[DESCRIPCION],Insumo[VALOR],,0),"")</f>
        <v>6482.7000000000007</v>
      </c>
      <c r="F113" s="33"/>
      <c r="G113" s="34">
        <f t="shared" si="2"/>
        <v>518.6160000000001</v>
      </c>
      <c r="H113" s="43">
        <f>IFERROR(G113*E106,"")</f>
        <v>0</v>
      </c>
    </row>
    <row r="114" spans="1:11">
      <c r="A114" s="28"/>
      <c r="B114" s="29" t="s">
        <v>2653</v>
      </c>
      <c r="C114" s="30" t="str">
        <f>IFERROR(_xlfn.XLOOKUP(B114,Insumo[DESCRIPCION],Insumo[UND],,0),"")</f>
        <v>Kg</v>
      </c>
      <c r="D114" s="31">
        <f>3.5*0.56</f>
        <v>1.9600000000000002</v>
      </c>
      <c r="E114" s="32">
        <f>IFERROR(_xlfn.XLOOKUP($B114,Insumo[DESCRIPCION],Insumo[VALOR],,0),"")</f>
        <v>5686.8</v>
      </c>
      <c r="F114" s="33"/>
      <c r="G114" s="34">
        <f t="shared" si="2"/>
        <v>11146.128000000001</v>
      </c>
      <c r="H114" s="43">
        <f>IFERROR(G114*E106,"")</f>
        <v>0</v>
      </c>
    </row>
    <row r="115" spans="1:11">
      <c r="A115" s="21"/>
      <c r="B115" s="22" t="s">
        <v>3731</v>
      </c>
      <c r="C115" s="23"/>
      <c r="D115" s="24"/>
      <c r="E115" s="25"/>
      <c r="F115" s="26"/>
      <c r="G115" s="27">
        <f>SUM(G116:G118)</f>
        <v>2245.6482206785722</v>
      </c>
      <c r="H115" s="44">
        <f>G115*E106</f>
        <v>0</v>
      </c>
    </row>
    <row r="116" spans="1:11">
      <c r="A116" s="28"/>
      <c r="B116" s="29" t="s">
        <v>3626</v>
      </c>
      <c r="C116" s="30" t="str">
        <f>IFERROR(_xlfn.XLOOKUP(B116,Equipo[DESCRIPCION],Equipo[UND],,0),"")</f>
        <v>%MO</v>
      </c>
      <c r="D116" s="31">
        <v>0.05</v>
      </c>
      <c r="E116" s="32">
        <f>IF(C116="%MO",G122,IFERROR(_xlfn.XLOOKUP($B116,Equipo[DESCRIPCION],Equipo[VALOR],,0),""))</f>
        <v>44912.964413571441</v>
      </c>
      <c r="F116" s="33"/>
      <c r="G116" s="34">
        <f>IFERROR(IF(F116&gt;=0,D116*E116*(1+F116/100),ABS(D116*E116/F116)),"")</f>
        <v>2245.6482206785722</v>
      </c>
      <c r="H116" s="43">
        <f>IFERROR(G116*E106,"")</f>
        <v>0</v>
      </c>
    </row>
    <row r="117" spans="1:11">
      <c r="A117" s="28"/>
      <c r="B117" s="29"/>
      <c r="C117" s="30" t="str">
        <f>IFERROR(_xlfn.XLOOKUP(B117,Equipo[DESCRIPCION],Equipo[UND],,0),"")</f>
        <v/>
      </c>
      <c r="D117" s="31"/>
      <c r="E117" s="32" t="str">
        <f>IF(C117="%MO",G122,IFERROR(_xlfn.XLOOKUP($B117,Equipo[DESCRIPCION],Equipo[VALOR],,0),""))</f>
        <v/>
      </c>
      <c r="F117" s="33"/>
      <c r="G117" s="34" t="str">
        <f>IFERROR(IF(F117&gt;=0,D117*E117*(1+F117/100),ABS(D117*E117/F117)),"")</f>
        <v/>
      </c>
      <c r="H117" s="43" t="str">
        <f>IFERROR(G117*E106,"")</f>
        <v/>
      </c>
    </row>
    <row r="118" spans="1:11">
      <c r="A118" s="28"/>
      <c r="B118" s="29"/>
      <c r="C118" s="30" t="str">
        <f>IFERROR(_xlfn.XLOOKUP(B118,Equipo[DESCRIPCION],Equipo[UND],,0),"")</f>
        <v/>
      </c>
      <c r="D118" s="31"/>
      <c r="E118" s="32" t="str">
        <f>IF(C118="%MO",G122,IFERROR(_xlfn.XLOOKUP($B118,Equipo[DESCRIPCION],Equipo[VALOR],,0),""))</f>
        <v/>
      </c>
      <c r="F118" s="33"/>
      <c r="G118" s="34" t="str">
        <f>IFERROR(IF(F118&gt;=0,D118*E118*(1+F118/100),ABS(D118*E118/F118)),"")</f>
        <v/>
      </c>
      <c r="H118" s="43" t="str">
        <f>IFERROR(G118*E106,"")</f>
        <v/>
      </c>
    </row>
    <row r="119" spans="1:11">
      <c r="A119" s="21"/>
      <c r="B119" s="22" t="s">
        <v>2533</v>
      </c>
      <c r="C119" s="23"/>
      <c r="D119" s="24"/>
      <c r="E119" s="25"/>
      <c r="F119" s="26"/>
      <c r="G119" s="27">
        <f>SUM(G120:G121)</f>
        <v>0</v>
      </c>
      <c r="H119" s="44">
        <f>G119*E106</f>
        <v>0</v>
      </c>
    </row>
    <row r="120" spans="1:11">
      <c r="A120" s="28"/>
      <c r="B120" s="29"/>
      <c r="C120" s="30" t="str">
        <f>IFERROR(_xlfn.XLOOKUP(B120,Transporte[DESCRIPCION],Transporte[UND],,0),"")</f>
        <v/>
      </c>
      <c r="D120" s="31"/>
      <c r="E120" s="32" t="str">
        <f>IFERROR(_xlfn.XLOOKUP($B120,Transporte[DESCRIPCION],Transporte[VALOR],,0),"")</f>
        <v/>
      </c>
      <c r="F120" s="33"/>
      <c r="G120" s="34" t="str">
        <f>IFERROR(IF(F120&gt;=0,D120*E120*(1+F120/100),ABS(D120*E120/F120)),"")</f>
        <v/>
      </c>
      <c r="H120" s="43" t="str">
        <f>IFERROR(G120*E106,"")</f>
        <v/>
      </c>
    </row>
    <row r="121" spans="1:11">
      <c r="A121" s="28"/>
      <c r="B121" s="29"/>
      <c r="C121" s="30" t="str">
        <f>IFERROR(_xlfn.XLOOKUP(B121,Transporte[DESCRIPCION],Transporte[UND],,0),"")</f>
        <v/>
      </c>
      <c r="D121" s="31"/>
      <c r="E121" s="32" t="str">
        <f>IFERROR(_xlfn.XLOOKUP($B121,Transporte[DESCRIPCION],Transporte[VALOR],,0),"")</f>
        <v/>
      </c>
      <c r="F121" s="33"/>
      <c r="G121" s="34" t="str">
        <f>IFERROR(IF(F121&gt;=0,D121*E121*(1+F121/100),ABS(D121*E121/F121)),"")</f>
        <v/>
      </c>
      <c r="H121" s="43" t="str">
        <f>IFERROR(G121*E106,"")</f>
        <v/>
      </c>
    </row>
    <row r="122" spans="1:11">
      <c r="A122" s="21"/>
      <c r="B122" s="22" t="s">
        <v>3732</v>
      </c>
      <c r="C122" s="23"/>
      <c r="D122" s="24"/>
      <c r="E122" s="25"/>
      <c r="F122" s="26"/>
      <c r="G122" s="27">
        <f>SUM(G123:G125)</f>
        <v>44912.964413571441</v>
      </c>
      <c r="H122" s="44">
        <f>G122*E106</f>
        <v>0</v>
      </c>
    </row>
    <row r="123" spans="1:11">
      <c r="A123" s="28"/>
      <c r="B123" s="29" t="s">
        <v>3710</v>
      </c>
      <c r="C123" s="30" t="str">
        <f>IFERROR(_xlfn.XLOOKUP(B123,MObra[DESCRIPCION],MObra[UN],,0),"")</f>
        <v>día</v>
      </c>
      <c r="D123" s="31">
        <v>1</v>
      </c>
      <c r="E123" s="32">
        <f>IFERROR(_xlfn.XLOOKUP($B123,MObra[DESCRIPCION],MObra[VALOR UNIT],,0),"")</f>
        <v>314390.75089500006</v>
      </c>
      <c r="F123" s="33">
        <v>-7</v>
      </c>
      <c r="G123" s="34">
        <f>IFERROR(IF(F123&gt;=0,D123*E123*(1+F123/100),ABS(D123*E123/F123)),"")</f>
        <v>44912.964413571441</v>
      </c>
      <c r="H123" s="43">
        <f>IFERROR(G123*E106,"")</f>
        <v>0</v>
      </c>
    </row>
    <row r="124" spans="1:11">
      <c r="A124" s="28"/>
      <c r="B124" s="29"/>
      <c r="C124" s="30" t="str">
        <f t="array" ref="C124">IFERROR(_xlfn.XLOOKUP(B124,MObra[[#All],[DESCRIPCION]],MObra[[#All],[UN]],,0),"")</f>
        <v/>
      </c>
      <c r="D124" s="31"/>
      <c r="E124" s="32" t="str">
        <f>IFERROR(_xlfn.XLOOKUP($B124,MObra[DESCRIPCION],MObra[VALOR UNIT],,0),"")</f>
        <v/>
      </c>
      <c r="F124" s="33"/>
      <c r="G124" s="34" t="str">
        <f>IFERROR(IF(F124&gt;=0,D124*E124*(1+F124/100),ABS(D124*E124/F124)),"")</f>
        <v/>
      </c>
      <c r="H124" s="43" t="str">
        <f>IFERROR(G124*E106,"")</f>
        <v/>
      </c>
    </row>
    <row r="125" spans="1:11">
      <c r="A125" s="35"/>
      <c r="B125" s="36"/>
      <c r="C125" s="37" t="str">
        <f t="array" ref="C125">IFERROR(_xlfn.XLOOKUP(B125,MObra[[#All],[DESCRIPCION]],MObra[[#All],[UN]],,0),"")</f>
        <v/>
      </c>
      <c r="D125" s="38"/>
      <c r="E125" s="39" t="str">
        <f>IFERROR(_xlfn.XLOOKUP($B125,MObra[DESCRIPCION],MObra[VALOR UNIT],,0),"")</f>
        <v/>
      </c>
      <c r="F125" s="40"/>
      <c r="G125" s="41" t="str">
        <f>IFERROR(IF(F125&gt;=0,D125*E125*(1+F125/100),ABS(D125*E125/F125)),"")</f>
        <v/>
      </c>
      <c r="H125" s="42" t="str">
        <f>IFERROR(G125*E106,"")</f>
        <v/>
      </c>
    </row>
    <row r="127" spans="1:11">
      <c r="A127" s="6" t="s">
        <v>611</v>
      </c>
      <c r="B127" s="7" t="str">
        <f>VLOOKUP($A127,Presupuesto!$A:$D,2,FALSE())</f>
        <v>Alfajía remate ancho = 0.6 m concreto 20.7 Mpa reforzado</v>
      </c>
      <c r="C127" s="8" t="str">
        <f>VLOOKUP($A127,Presupuesto!$A:$D,3,FALSE())</f>
        <v>M</v>
      </c>
      <c r="D127" s="9"/>
      <c r="E127" s="10">
        <f>VLOOKUP($A127,Presupuesto!$A:$D,4,FALSE())</f>
        <v>0</v>
      </c>
      <c r="F127" s="11" t="s">
        <v>2589</v>
      </c>
      <c r="G127" s="12">
        <f>SUM(G129:G146)/2</f>
        <v>101826.11618469325</v>
      </c>
      <c r="H127" s="13">
        <f>ROUND(SUM(H129:H146),0)/2</f>
        <v>0</v>
      </c>
      <c r="I127" s="10">
        <f>VLOOKUP(A127,Presupuesto!$A:$F,6,0)</f>
        <v>0</v>
      </c>
      <c r="J127" s="10">
        <f>+H127-I127</f>
        <v>0</v>
      </c>
      <c r="K127" s="46">
        <f>+H127-G127*E127</f>
        <v>0</v>
      </c>
    </row>
    <row r="128" spans="1:11">
      <c r="A128" s="14"/>
      <c r="B128" s="15" t="s">
        <v>2586</v>
      </c>
      <c r="C128" s="15" t="s">
        <v>5</v>
      </c>
      <c r="D128" s="16" t="s">
        <v>6</v>
      </c>
      <c r="E128" s="17" t="s">
        <v>7</v>
      </c>
      <c r="F128" s="18" t="s">
        <v>3728</v>
      </c>
      <c r="G128" s="19" t="s">
        <v>3729</v>
      </c>
      <c r="H128" s="20" t="s">
        <v>3797</v>
      </c>
    </row>
    <row r="129" spans="1:8">
      <c r="A129" s="21"/>
      <c r="B129" s="22" t="s">
        <v>3730</v>
      </c>
      <c r="C129" s="23"/>
      <c r="D129" s="24"/>
      <c r="E129" s="25"/>
      <c r="F129" s="26"/>
      <c r="G129" s="27">
        <f>SUM(G130:G135)</f>
        <v>54667.503550443238</v>
      </c>
      <c r="H129" s="27">
        <f>IFERROR(G129*E127,"")</f>
        <v>0</v>
      </c>
    </row>
    <row r="130" spans="1:8">
      <c r="A130" s="28"/>
      <c r="B130" s="29" t="s">
        <v>3239</v>
      </c>
      <c r="C130" s="30" t="str">
        <f>IFERROR(_xlfn.XLOOKUP(B130,Insumo[DESCRIPCION],Insumo[UND],,0),"")</f>
        <v>M3</v>
      </c>
      <c r="D130" s="31">
        <f>0.6*0.07</f>
        <v>4.2000000000000003E-2</v>
      </c>
      <c r="E130" s="32">
        <f>IFERROR(_xlfn.XLOOKUP($B130,Insumo[DESCRIPCION],Insumo[VALOR],,0),"")</f>
        <v>521159.50227762427</v>
      </c>
      <c r="F130" s="33">
        <v>5</v>
      </c>
      <c r="G130" s="34">
        <f t="shared" ref="G130:G135" si="3">IFERROR(IF(F130&gt;=0,D130*E130*(1+F130/100),ABS(D130*E130/F130)),"")</f>
        <v>22983.134050443234</v>
      </c>
      <c r="H130" s="43">
        <f>IFERROR(G130*E127,"")</f>
        <v>0</v>
      </c>
    </row>
    <row r="131" spans="1:8">
      <c r="A131" s="28"/>
      <c r="B131" s="29" t="s">
        <v>2824</v>
      </c>
      <c r="C131" s="30" t="str">
        <f>IFERROR(_xlfn.XLOOKUP(B131,Insumo[DESCRIPCION],Insumo[UND],,0),"")</f>
        <v>Un</v>
      </c>
      <c r="D131" s="31">
        <v>0.01</v>
      </c>
      <c r="E131" s="32">
        <f>IFERROR(_xlfn.XLOOKUP($B131,Insumo[DESCRIPCION],Insumo[VALOR],,0),"")</f>
        <v>34230</v>
      </c>
      <c r="F131" s="33"/>
      <c r="G131" s="34">
        <f t="shared" si="3"/>
        <v>342.3</v>
      </c>
      <c r="H131" s="43">
        <f>IFERROR(G131*E127,"")</f>
        <v>0</v>
      </c>
    </row>
    <row r="132" spans="1:8">
      <c r="A132" s="28"/>
      <c r="B132" s="29" t="s">
        <v>3337</v>
      </c>
      <c r="C132" s="30" t="str">
        <f>IFERROR(_xlfn.XLOOKUP(B132,Insumo[DESCRIPCION],Insumo[UND],,0),"")</f>
        <v>Un</v>
      </c>
      <c r="D132" s="31">
        <v>0.6</v>
      </c>
      <c r="E132" s="32">
        <f>IFERROR(_xlfn.XLOOKUP($B132,Insumo[DESCRIPCION],Insumo[VALOR],,0),"")</f>
        <v>12350.1</v>
      </c>
      <c r="F132" s="33">
        <v>-2</v>
      </c>
      <c r="G132" s="34">
        <f t="shared" si="3"/>
        <v>3705.0299999999997</v>
      </c>
      <c r="H132" s="43">
        <f>IFERROR(G132*E127,"")</f>
        <v>0</v>
      </c>
    </row>
    <row r="133" spans="1:8">
      <c r="A133" s="28"/>
      <c r="B133" s="29" t="s">
        <v>3047</v>
      </c>
      <c r="C133" s="30" t="str">
        <f>IFERROR(_xlfn.XLOOKUP(B133,Insumo[DESCRIPCION],Insumo[UND],,0),"")</f>
        <v>Un</v>
      </c>
      <c r="D133" s="31">
        <v>2.5</v>
      </c>
      <c r="E133" s="32">
        <f>IFERROR(_xlfn.XLOOKUP($B133,Insumo[DESCRIPCION],Insumo[VALOR],,0),"")</f>
        <v>10230.15</v>
      </c>
      <c r="F133" s="33">
        <v>-2</v>
      </c>
      <c r="G133" s="34">
        <f t="shared" si="3"/>
        <v>12787.6875</v>
      </c>
      <c r="H133" s="43">
        <f>IFERROR(G133*E127,"")</f>
        <v>0</v>
      </c>
    </row>
    <row r="134" spans="1:8">
      <c r="A134" s="28"/>
      <c r="B134" s="29" t="s">
        <v>3253</v>
      </c>
      <c r="C134" s="30" t="str">
        <f>IFERROR(_xlfn.XLOOKUP(B134,Insumo[DESCRIPCION],Insumo[UND],,0),"")</f>
        <v>Lb</v>
      </c>
      <c r="D134" s="31">
        <v>0.08</v>
      </c>
      <c r="E134" s="32">
        <f>IFERROR(_xlfn.XLOOKUP($B134,Insumo[DESCRIPCION],Insumo[VALOR],,0),"")</f>
        <v>6482.7000000000007</v>
      </c>
      <c r="F134" s="33"/>
      <c r="G134" s="34">
        <f t="shared" si="3"/>
        <v>518.6160000000001</v>
      </c>
      <c r="H134" s="43">
        <f>IFERROR(G134*E127,"")</f>
        <v>0</v>
      </c>
    </row>
    <row r="135" spans="1:8">
      <c r="A135" s="28"/>
      <c r="B135" s="29" t="s">
        <v>2653</v>
      </c>
      <c r="C135" s="30" t="str">
        <f>IFERROR(_xlfn.XLOOKUP(B135,Insumo[DESCRIPCION],Insumo[UND],,0),"")</f>
        <v>Kg</v>
      </c>
      <c r="D135" s="31">
        <f>4.5*0.56</f>
        <v>2.5200000000000005</v>
      </c>
      <c r="E135" s="32">
        <f>IFERROR(_xlfn.XLOOKUP($B135,Insumo[DESCRIPCION],Insumo[VALOR],,0),"")</f>
        <v>5686.8</v>
      </c>
      <c r="F135" s="33"/>
      <c r="G135" s="34">
        <f t="shared" si="3"/>
        <v>14330.736000000003</v>
      </c>
      <c r="H135" s="43">
        <f>IFERROR(G135*E127,"")</f>
        <v>0</v>
      </c>
    </row>
    <row r="136" spans="1:8">
      <c r="A136" s="21"/>
      <c r="B136" s="22" t="s">
        <v>3731</v>
      </c>
      <c r="C136" s="23"/>
      <c r="D136" s="24"/>
      <c r="E136" s="25"/>
      <c r="F136" s="26"/>
      <c r="G136" s="27">
        <f>SUM(G137:G139)</f>
        <v>2245.6482206785722</v>
      </c>
      <c r="H136" s="44">
        <f>G136*E127</f>
        <v>0</v>
      </c>
    </row>
    <row r="137" spans="1:8">
      <c r="A137" s="28"/>
      <c r="B137" s="29" t="s">
        <v>3626</v>
      </c>
      <c r="C137" s="30" t="str">
        <f>IFERROR(_xlfn.XLOOKUP(B137,Equipo[DESCRIPCION],Equipo[UND],,0),"")</f>
        <v>%MO</v>
      </c>
      <c r="D137" s="31">
        <v>0.05</v>
      </c>
      <c r="E137" s="32">
        <f>IF(C137="%MO",G143,IFERROR(_xlfn.XLOOKUP($B137,Equipo[DESCRIPCION],Equipo[VALOR],,0),""))</f>
        <v>44912.964413571441</v>
      </c>
      <c r="F137" s="33"/>
      <c r="G137" s="34">
        <f>IFERROR(IF(F137&gt;=0,D137*E137*(1+F137/100),ABS(D137*E137/F137)),"")</f>
        <v>2245.6482206785722</v>
      </c>
      <c r="H137" s="43">
        <f>IFERROR(G137*E127,"")</f>
        <v>0</v>
      </c>
    </row>
    <row r="138" spans="1:8">
      <c r="A138" s="28"/>
      <c r="B138" s="29"/>
      <c r="C138" s="30" t="str">
        <f>IFERROR(_xlfn.XLOOKUP(B138,Equipo[DESCRIPCION],Equipo[UND],,0),"")</f>
        <v/>
      </c>
      <c r="D138" s="31"/>
      <c r="E138" s="32" t="str">
        <f>IF(C138="%MO",G143,IFERROR(_xlfn.XLOOKUP($B138,Equipo[DESCRIPCION],Equipo[VALOR],,0),""))</f>
        <v/>
      </c>
      <c r="F138" s="33"/>
      <c r="G138" s="34" t="str">
        <f>IFERROR(IF(F138&gt;=0,D138*E138*(1+F138/100),ABS(D138*E138/F138)),"")</f>
        <v/>
      </c>
      <c r="H138" s="43" t="str">
        <f>IFERROR(G138*E127,"")</f>
        <v/>
      </c>
    </row>
    <row r="139" spans="1:8">
      <c r="A139" s="28"/>
      <c r="B139" s="29"/>
      <c r="C139" s="30" t="str">
        <f>IFERROR(_xlfn.XLOOKUP(B139,Equipo[DESCRIPCION],Equipo[UND],,0),"")</f>
        <v/>
      </c>
      <c r="D139" s="31"/>
      <c r="E139" s="32" t="str">
        <f>IF(C139="%MO",G143,IFERROR(_xlfn.XLOOKUP($B139,Equipo[DESCRIPCION],Equipo[VALOR],,0),""))</f>
        <v/>
      </c>
      <c r="F139" s="33"/>
      <c r="G139" s="34" t="str">
        <f>IFERROR(IF(F139&gt;=0,D139*E139*(1+F139/100),ABS(D139*E139/F139)),"")</f>
        <v/>
      </c>
      <c r="H139" s="43" t="str">
        <f>IFERROR(G139*E127,"")</f>
        <v/>
      </c>
    </row>
    <row r="140" spans="1:8">
      <c r="A140" s="21"/>
      <c r="B140" s="22" t="s">
        <v>2533</v>
      </c>
      <c r="C140" s="23"/>
      <c r="D140" s="24"/>
      <c r="E140" s="25"/>
      <c r="F140" s="26"/>
      <c r="G140" s="27">
        <f>SUM(G141:G142)</f>
        <v>0</v>
      </c>
      <c r="H140" s="44">
        <f>G140*E127</f>
        <v>0</v>
      </c>
    </row>
    <row r="141" spans="1:8">
      <c r="A141" s="28"/>
      <c r="B141" s="29"/>
      <c r="C141" s="30" t="str">
        <f>IFERROR(_xlfn.XLOOKUP(B141,Transporte[DESCRIPCION],Transporte[UND],,0),"")</f>
        <v/>
      </c>
      <c r="D141" s="31"/>
      <c r="E141" s="32" t="str">
        <f>IFERROR(_xlfn.XLOOKUP($B141,Transporte[DESCRIPCION],Transporte[VALOR],,0),"")</f>
        <v/>
      </c>
      <c r="F141" s="33"/>
      <c r="G141" s="34" t="str">
        <f>IFERROR(IF(F141&gt;=0,D141*E141*(1+F141/100),ABS(D141*E141/F141)),"")</f>
        <v/>
      </c>
      <c r="H141" s="43" t="str">
        <f>IFERROR(G141*E127,"")</f>
        <v/>
      </c>
    </row>
    <row r="142" spans="1:8">
      <c r="A142" s="28"/>
      <c r="B142" s="29"/>
      <c r="C142" s="30" t="str">
        <f>IFERROR(_xlfn.XLOOKUP(B142,Transporte[DESCRIPCION],Transporte[UND],,0),"")</f>
        <v/>
      </c>
      <c r="D142" s="31"/>
      <c r="E142" s="32" t="str">
        <f>IFERROR(_xlfn.XLOOKUP($B142,Transporte[DESCRIPCION],Transporte[VALOR],,0),"")</f>
        <v/>
      </c>
      <c r="F142" s="33"/>
      <c r="G142" s="34" t="str">
        <f>IFERROR(IF(F142&gt;=0,D142*E142*(1+F142/100),ABS(D142*E142/F142)),"")</f>
        <v/>
      </c>
      <c r="H142" s="43" t="str">
        <f>IFERROR(G142*E127,"")</f>
        <v/>
      </c>
    </row>
    <row r="143" spans="1:8">
      <c r="A143" s="21"/>
      <c r="B143" s="22" t="s">
        <v>3732</v>
      </c>
      <c r="C143" s="23"/>
      <c r="D143" s="24"/>
      <c r="E143" s="25"/>
      <c r="F143" s="26"/>
      <c r="G143" s="27">
        <f>SUM(G144:G146)</f>
        <v>44912.964413571441</v>
      </c>
      <c r="H143" s="44">
        <f>G143*E127</f>
        <v>0</v>
      </c>
    </row>
    <row r="144" spans="1:8">
      <c r="A144" s="28"/>
      <c r="B144" s="29" t="s">
        <v>3710</v>
      </c>
      <c r="C144" s="30" t="str">
        <f>IFERROR(_xlfn.XLOOKUP(B144,MObra[DESCRIPCION],MObra[UN],,0),"")</f>
        <v>día</v>
      </c>
      <c r="D144" s="31">
        <v>1</v>
      </c>
      <c r="E144" s="32">
        <f>IFERROR(_xlfn.XLOOKUP($B144,MObra[DESCRIPCION],MObra[VALOR UNIT],,0),"")</f>
        <v>314390.75089500006</v>
      </c>
      <c r="F144" s="33">
        <v>-7</v>
      </c>
      <c r="G144" s="34">
        <f>IFERROR(IF(F144&gt;=0,D144*E144*(1+F144/100),ABS(D144*E144/F144)),"")</f>
        <v>44912.964413571441</v>
      </c>
      <c r="H144" s="43">
        <f>IFERROR(G144*E127,"")</f>
        <v>0</v>
      </c>
    </row>
    <row r="145" spans="1:11">
      <c r="A145" s="28"/>
      <c r="B145" s="29"/>
      <c r="C145" s="30" t="str">
        <f t="array" ref="C145">IFERROR(_xlfn.XLOOKUP(B145,MObra[[#All],[DESCRIPCION]],MObra[[#All],[UN]],,0),"")</f>
        <v/>
      </c>
      <c r="D145" s="31"/>
      <c r="E145" s="32" t="str">
        <f>IFERROR(_xlfn.XLOOKUP($B145,MObra[DESCRIPCION],MObra[VALOR UNIT],,0),"")</f>
        <v/>
      </c>
      <c r="F145" s="33"/>
      <c r="G145" s="34" t="str">
        <f>IFERROR(IF(F145&gt;=0,D145*E145*(1+F145/100),ABS(D145*E145/F145)),"")</f>
        <v/>
      </c>
      <c r="H145" s="43" t="str">
        <f>IFERROR(G145*E127,"")</f>
        <v/>
      </c>
    </row>
    <row r="146" spans="1:11">
      <c r="A146" s="35"/>
      <c r="B146" s="36"/>
      <c r="C146" s="37" t="str">
        <f t="array" ref="C146">IFERROR(_xlfn.XLOOKUP(B146,MObra[[#All],[DESCRIPCION]],MObra[[#All],[UN]],,0),"")</f>
        <v/>
      </c>
      <c r="D146" s="38"/>
      <c r="E146" s="39" t="str">
        <f>IFERROR(_xlfn.XLOOKUP($B146,MObra[DESCRIPCION],MObra[VALOR UNIT],,0),"")</f>
        <v/>
      </c>
      <c r="F146" s="40"/>
      <c r="G146" s="41" t="str">
        <f>IFERROR(IF(F146&gt;=0,D146*E146*(1+F146/100),ABS(D146*E146/F146)),"")</f>
        <v/>
      </c>
      <c r="H146" s="42" t="str">
        <f>IFERROR(G146*E127,"")</f>
        <v/>
      </c>
    </row>
    <row r="148" spans="1:11">
      <c r="A148" s="6" t="s">
        <v>613</v>
      </c>
      <c r="B148" s="7" t="str">
        <f>VLOOKUP($A148,Presupuesto!$A:$D,2,FALSE())</f>
        <v>Anclaje manual varilla Ø =3/8" L&lt; Ø =0.30m</v>
      </c>
      <c r="C148" s="8" t="str">
        <f>VLOOKUP($A148,Presupuesto!$A:$D,3,FALSE())</f>
        <v>Un</v>
      </c>
      <c r="D148" s="9"/>
      <c r="E148" s="10">
        <f>VLOOKUP($A148,Presupuesto!$A:$D,4,FALSE())</f>
        <v>0</v>
      </c>
      <c r="F148" s="11" t="s">
        <v>2589</v>
      </c>
      <c r="G148" s="12">
        <f>SUM(G150:G166)/2</f>
        <v>15218.216245890002</v>
      </c>
      <c r="H148" s="13">
        <f>ROUND(SUM(H150:H166),0)/2</f>
        <v>0</v>
      </c>
      <c r="I148" s="10">
        <f>VLOOKUP(A148,Presupuesto!$A:$F,6,0)</f>
        <v>0</v>
      </c>
      <c r="J148" s="10">
        <f>+H148-I148</f>
        <v>0</v>
      </c>
      <c r="K148" s="46">
        <f>+H148-G148*E148</f>
        <v>0</v>
      </c>
    </row>
    <row r="149" spans="1:11">
      <c r="A149" s="14"/>
      <c r="B149" s="15" t="s">
        <v>2586</v>
      </c>
      <c r="C149" s="15" t="s">
        <v>5</v>
      </c>
      <c r="D149" s="16" t="s">
        <v>6</v>
      </c>
      <c r="E149" s="17" t="s">
        <v>7</v>
      </c>
      <c r="F149" s="18" t="s">
        <v>3728</v>
      </c>
      <c r="G149" s="19" t="s">
        <v>3729</v>
      </c>
      <c r="H149" s="20" t="s">
        <v>3797</v>
      </c>
    </row>
    <row r="150" spans="1:11">
      <c r="A150" s="21"/>
      <c r="B150" s="22" t="s">
        <v>3730</v>
      </c>
      <c r="C150" s="23"/>
      <c r="D150" s="24"/>
      <c r="E150" s="25"/>
      <c r="F150" s="26"/>
      <c r="G150" s="27">
        <f>SUM(G151:G155)</f>
        <v>2838.7275000000004</v>
      </c>
      <c r="H150" s="27">
        <f>IFERROR(G150*E148,"")</f>
        <v>0</v>
      </c>
    </row>
    <row r="151" spans="1:11">
      <c r="A151" s="28"/>
      <c r="B151" s="29" t="s">
        <v>3304</v>
      </c>
      <c r="C151" s="30" t="str">
        <f>IFERROR(_xlfn.XLOOKUP(B151,Insumo[DESCRIPCION],Insumo[UND],,0),"")</f>
        <v>Un</v>
      </c>
      <c r="D151" s="31">
        <v>2.5000000000000001E-2</v>
      </c>
      <c r="E151" s="32">
        <f>IFERROR(_xlfn.XLOOKUP($B151,Insumo[DESCRIPCION],Insumo[VALOR],,0),"")</f>
        <v>113549.1</v>
      </c>
      <c r="F151" s="33"/>
      <c r="G151" s="34">
        <f>IFERROR(IF(F151&gt;=0,D151*E151*(1+F151/100),ABS(D151*E151/F151)),"")</f>
        <v>2838.7275000000004</v>
      </c>
      <c r="H151" s="43">
        <f>IFERROR(G151*E148,"")</f>
        <v>0</v>
      </c>
    </row>
    <row r="152" spans="1:11">
      <c r="A152" s="28"/>
      <c r="B152" s="29"/>
      <c r="C152" s="30" t="str">
        <f>IFERROR(_xlfn.XLOOKUP(B152,Insumo[DESCRIPCION],Insumo[UND],,0),"")</f>
        <v/>
      </c>
      <c r="D152" s="31"/>
      <c r="E152" s="32" t="str">
        <f>IFERROR(_xlfn.XLOOKUP($B152,Insumo[DESCRIPCION],Insumo[VALOR],,0),"")</f>
        <v/>
      </c>
      <c r="F152" s="33"/>
      <c r="G152" s="34" t="str">
        <f>IFERROR(IF(F152&gt;=0,D152*E152*(1+F152/100),ABS(D152*E152/F152)),"")</f>
        <v/>
      </c>
      <c r="H152" s="43" t="str">
        <f>IFERROR(G152*E148,"")</f>
        <v/>
      </c>
    </row>
    <row r="153" spans="1:11">
      <c r="A153" s="28"/>
      <c r="B153" s="29"/>
      <c r="C153" s="30" t="str">
        <f>IFERROR(_xlfn.XLOOKUP(B153,Insumo[DESCRIPCION],Insumo[UND],,0),"")</f>
        <v/>
      </c>
      <c r="D153" s="31"/>
      <c r="E153" s="32" t="str">
        <f>IFERROR(_xlfn.XLOOKUP($B153,Insumo[DESCRIPCION],Insumo[VALOR],,0),"")</f>
        <v/>
      </c>
      <c r="F153" s="33"/>
      <c r="G153" s="34" t="str">
        <f>IFERROR(IF(F153&gt;=0,D153*E153*(1+F153/100),ABS(D153*E153/F153)),"")</f>
        <v/>
      </c>
      <c r="H153" s="43" t="str">
        <f>IFERROR(G153*E148,"")</f>
        <v/>
      </c>
    </row>
    <row r="154" spans="1:11">
      <c r="A154" s="28"/>
      <c r="B154" s="29"/>
      <c r="C154" s="30" t="str">
        <f>IFERROR(_xlfn.XLOOKUP(B154,Insumo[DESCRIPCION],Insumo[UND],,0),"")</f>
        <v/>
      </c>
      <c r="D154" s="31"/>
      <c r="E154" s="32" t="str">
        <f>IFERROR(_xlfn.XLOOKUP($B154,Insumo[DESCRIPCION],Insumo[VALOR],,0),"")</f>
        <v/>
      </c>
      <c r="F154" s="33"/>
      <c r="G154" s="34" t="str">
        <f>IFERROR(IF(F154&gt;=0,D154*E154*(1+F154/100),ABS(D154*E154/F154)),"")</f>
        <v/>
      </c>
      <c r="H154" s="43" t="str">
        <f>IFERROR(G154*E148,"")</f>
        <v/>
      </c>
    </row>
    <row r="155" spans="1:11">
      <c r="A155" s="28"/>
      <c r="B155" s="29"/>
      <c r="C155" s="30" t="str">
        <f>IFERROR(_xlfn.XLOOKUP(B155,Insumo[DESCRIPCION],Insumo[UND],,0),"")</f>
        <v/>
      </c>
      <c r="D155" s="31"/>
      <c r="E155" s="32" t="str">
        <f>IFERROR(_xlfn.XLOOKUP($B155,Insumo[DESCRIPCION],Insumo[VALOR],,0),"")</f>
        <v/>
      </c>
      <c r="F155" s="33"/>
      <c r="G155" s="34" t="str">
        <f>IFERROR(IF(F155&gt;=0,D155*E155*(1+F155/100),ABS(D155*E155/F155)),"")</f>
        <v/>
      </c>
      <c r="H155" s="43" t="str">
        <f>IFERROR(G155*E148,"")</f>
        <v/>
      </c>
    </row>
    <row r="156" spans="1:11">
      <c r="A156" s="21"/>
      <c r="B156" s="22" t="s">
        <v>3731</v>
      </c>
      <c r="C156" s="23"/>
      <c r="D156" s="24"/>
      <c r="E156" s="25"/>
      <c r="F156" s="26"/>
      <c r="G156" s="27">
        <f>SUM(G157:G159)</f>
        <v>4461.4994640900004</v>
      </c>
      <c r="H156" s="44">
        <f>G156*E148</f>
        <v>0</v>
      </c>
    </row>
    <row r="157" spans="1:11">
      <c r="A157" s="28"/>
      <c r="B157" s="29" t="s">
        <v>3654</v>
      </c>
      <c r="C157" s="30" t="str">
        <f>IFERROR(_xlfn.XLOOKUP(B157,Equipo[DESCRIPCION],Equipo[UND],,0),"")</f>
        <v>Día</v>
      </c>
      <c r="D157" s="31">
        <v>1</v>
      </c>
      <c r="E157" s="32">
        <f>IF(C157="%MO",G163,IFERROR(_xlfn.XLOOKUP($B157,Equipo[DESCRIPCION],Equipo[VALOR],,0),""))</f>
        <v>101640</v>
      </c>
      <c r="F157" s="33">
        <v>-25</v>
      </c>
      <c r="G157" s="34">
        <f>IFERROR(IF(F157&gt;=0,D157*E157*(1+F157/100),ABS(D157*E157/F157)),"")</f>
        <v>4065.6</v>
      </c>
      <c r="H157" s="43">
        <f>IFERROR(G157*E148,"")</f>
        <v>0</v>
      </c>
    </row>
    <row r="158" spans="1:11">
      <c r="A158" s="28"/>
      <c r="B158" s="29" t="s">
        <v>3626</v>
      </c>
      <c r="C158" s="30" t="str">
        <f>IFERROR(_xlfn.XLOOKUP(B158,Equipo[DESCRIPCION],Equipo[UND],,0),"")</f>
        <v>%MO</v>
      </c>
      <c r="D158" s="31">
        <v>0.05</v>
      </c>
      <c r="E158" s="32">
        <f>IF(C158="%MO",G163,IFERROR(_xlfn.XLOOKUP($B158,Equipo[DESCRIPCION],Equipo[VALOR],,0),""))</f>
        <v>7917.9892818000017</v>
      </c>
      <c r="F158" s="33"/>
      <c r="G158" s="34">
        <f>IFERROR(IF(F158&gt;=0,D158*E158*(1+F158/100),ABS(D158*E158/F158)),"")</f>
        <v>395.89946409000009</v>
      </c>
      <c r="H158" s="43">
        <f>IFERROR(G158*E148,"")</f>
        <v>0</v>
      </c>
    </row>
    <row r="159" spans="1:11">
      <c r="A159" s="28"/>
      <c r="B159" s="29"/>
      <c r="C159" s="30" t="str">
        <f>IFERROR(_xlfn.XLOOKUP(B159,Equipo[DESCRIPCION],Equipo[UND],,0),"")</f>
        <v/>
      </c>
      <c r="D159" s="31"/>
      <c r="E159" s="32" t="str">
        <f>IF(C159="%MO",G163,IFERROR(_xlfn.XLOOKUP($B159,Equipo[DESCRIPCION],Equipo[VALOR],,0),""))</f>
        <v/>
      </c>
      <c r="F159" s="33"/>
      <c r="G159" s="34" t="str">
        <f>IFERROR(IF(F159&gt;=0,D159*E159*(1+F159/100),ABS(D159*E159/F159)),"")</f>
        <v/>
      </c>
      <c r="H159" s="43" t="str">
        <f>IFERROR(G159*E148,"")</f>
        <v/>
      </c>
    </row>
    <row r="160" spans="1:11">
      <c r="A160" s="21"/>
      <c r="B160" s="22" t="s">
        <v>2533</v>
      </c>
      <c r="C160" s="23"/>
      <c r="D160" s="24"/>
      <c r="E160" s="25"/>
      <c r="F160" s="26"/>
      <c r="G160" s="27">
        <f>SUM(G161:G162)</f>
        <v>0</v>
      </c>
      <c r="H160" s="44">
        <f>G160*E148</f>
        <v>0</v>
      </c>
    </row>
    <row r="161" spans="1:11">
      <c r="A161" s="28"/>
      <c r="B161" s="29"/>
      <c r="C161" s="30" t="str">
        <f>IFERROR(_xlfn.XLOOKUP(B161,Transporte[DESCRIPCION],Transporte[UND],,0),"")</f>
        <v/>
      </c>
      <c r="D161" s="31"/>
      <c r="E161" s="32" t="str">
        <f>IFERROR(_xlfn.XLOOKUP($B161,Transporte[DESCRIPCION],Transporte[VALOR],,0),"")</f>
        <v/>
      </c>
      <c r="F161" s="33"/>
      <c r="G161" s="34" t="str">
        <f>IFERROR(IF(F161&gt;=0,D161*E161*(1+F161/100),ABS(D161*E161/F161)),"")</f>
        <v/>
      </c>
      <c r="H161" s="43" t="str">
        <f>IFERROR(G161*E148,"")</f>
        <v/>
      </c>
    </row>
    <row r="162" spans="1:11">
      <c r="A162" s="28"/>
      <c r="B162" s="29"/>
      <c r="C162" s="30" t="str">
        <f>IFERROR(_xlfn.XLOOKUP(B162,Transporte[DESCRIPCION],Transporte[UND],,0),"")</f>
        <v/>
      </c>
      <c r="D162" s="31"/>
      <c r="E162" s="32" t="str">
        <f>IFERROR(_xlfn.XLOOKUP($B162,Transporte[DESCRIPCION],Transporte[VALOR],,0),"")</f>
        <v/>
      </c>
      <c r="F162" s="33"/>
      <c r="G162" s="34" t="str">
        <f>IFERROR(IF(F162&gt;=0,D162*E162*(1+F162/100),ABS(D162*E162/F162)),"")</f>
        <v/>
      </c>
      <c r="H162" s="43" t="str">
        <f>IFERROR(G162*E148,"")</f>
        <v/>
      </c>
    </row>
    <row r="163" spans="1:11">
      <c r="A163" s="21"/>
      <c r="B163" s="22" t="s">
        <v>3732</v>
      </c>
      <c r="C163" s="23"/>
      <c r="D163" s="24"/>
      <c r="E163" s="25"/>
      <c r="F163" s="26"/>
      <c r="G163" s="27">
        <f>SUM(G164:G166)</f>
        <v>7917.9892818000017</v>
      </c>
      <c r="H163" s="44">
        <f>G163*E148</f>
        <v>0</v>
      </c>
    </row>
    <row r="164" spans="1:11">
      <c r="A164" s="28"/>
      <c r="B164" s="29" t="s">
        <v>3705</v>
      </c>
      <c r="C164" s="30" t="str">
        <f>IFERROR(_xlfn.XLOOKUP(B164,MObra[DESCRIPCION],MObra[UN],,0),"")</f>
        <v>día</v>
      </c>
      <c r="D164" s="31">
        <v>1</v>
      </c>
      <c r="E164" s="32">
        <f>IFERROR(_xlfn.XLOOKUP($B164,MObra[DESCRIPCION],MObra[VALOR UNIT],,0),"")</f>
        <v>197949.73204500004</v>
      </c>
      <c r="F164" s="33">
        <v>-25</v>
      </c>
      <c r="G164" s="34">
        <f>IFERROR(IF(F164&gt;=0,D164*E164*(1+F164/100),ABS(D164*E164/F164)),"")</f>
        <v>7917.9892818000017</v>
      </c>
      <c r="H164" s="43">
        <f>IFERROR(G164*E148,"")</f>
        <v>0</v>
      </c>
    </row>
    <row r="165" spans="1:11">
      <c r="A165" s="28"/>
      <c r="B165" s="29"/>
      <c r="C165" s="30" t="str">
        <f t="array" ref="C165">IFERROR(_xlfn.XLOOKUP(B165,MObra[[#All],[DESCRIPCION]],MObra[[#All],[UN]],,0),"")</f>
        <v/>
      </c>
      <c r="D165" s="31"/>
      <c r="E165" s="32" t="str">
        <f>IFERROR(_xlfn.XLOOKUP($B165,MObra[DESCRIPCION],MObra[VALOR UNIT],,0),"")</f>
        <v/>
      </c>
      <c r="F165" s="33"/>
      <c r="G165" s="34" t="str">
        <f>IFERROR(IF(F165&gt;=0,D165*E165*(1+F165/100),ABS(D165*E165/F165)),"")</f>
        <v/>
      </c>
      <c r="H165" s="43" t="str">
        <f>IFERROR(G165*E148,"")</f>
        <v/>
      </c>
    </row>
    <row r="166" spans="1:11">
      <c r="A166" s="35"/>
      <c r="B166" s="36"/>
      <c r="C166" s="37" t="str">
        <f t="array" ref="C166">IFERROR(_xlfn.XLOOKUP(B166,MObra[[#All],[DESCRIPCION]],MObra[[#All],[UN]],,0),"")</f>
        <v/>
      </c>
      <c r="D166" s="38"/>
      <c r="E166" s="39" t="str">
        <f>IFERROR(_xlfn.XLOOKUP($B166,MObra[DESCRIPCION],MObra[VALOR UNIT],,0),"")</f>
        <v/>
      </c>
      <c r="F166" s="40"/>
      <c r="G166" s="41" t="str">
        <f>IFERROR(IF(F166&gt;=0,D166*E166*(1+F166/100),ABS(D166*E166/F166)),"")</f>
        <v/>
      </c>
      <c r="H166" s="42" t="str">
        <f>IFERROR(G166*E148,"")</f>
        <v/>
      </c>
    </row>
    <row r="168" spans="1:11">
      <c r="A168" s="6" t="s">
        <v>615</v>
      </c>
      <c r="B168" s="7" t="str">
        <f>VLOOKUP($A168,Presupuesto!$A:$D,2,FALSE())</f>
        <v>Anclaje manual varilla Ø=1/2" L&lt; Ø =0.40m</v>
      </c>
      <c r="C168" s="8" t="str">
        <f>VLOOKUP($A168,Presupuesto!$A:$D,3,FALSE())</f>
        <v>Un</v>
      </c>
      <c r="D168" s="9"/>
      <c r="E168" s="10">
        <f>VLOOKUP($A168,Presupuesto!$A:$D,4,FALSE())</f>
        <v>0</v>
      </c>
      <c r="F168" s="11" t="s">
        <v>2589</v>
      </c>
      <c r="G168" s="12">
        <f>SUM(G170:G186)/2</f>
        <v>19133.421028141307</v>
      </c>
      <c r="H168" s="13">
        <f>ROUND(SUM(H170:H186),0)/2</f>
        <v>0</v>
      </c>
      <c r="I168" s="10">
        <f>VLOOKUP(A168,Presupuesto!$A:$F,6,0)</f>
        <v>0</v>
      </c>
      <c r="J168" s="10">
        <f>+H168-I168</f>
        <v>0</v>
      </c>
      <c r="K168" s="46">
        <f>+H168-G168*E168</f>
        <v>0</v>
      </c>
    </row>
    <row r="169" spans="1:11">
      <c r="A169" s="14"/>
      <c r="B169" s="15" t="s">
        <v>2586</v>
      </c>
      <c r="C169" s="15" t="s">
        <v>5</v>
      </c>
      <c r="D169" s="16" t="s">
        <v>6</v>
      </c>
      <c r="E169" s="17" t="s">
        <v>7</v>
      </c>
      <c r="F169" s="18" t="s">
        <v>3728</v>
      </c>
      <c r="G169" s="19" t="s">
        <v>3729</v>
      </c>
      <c r="H169" s="20" t="s">
        <v>3797</v>
      </c>
    </row>
    <row r="170" spans="1:11">
      <c r="A170" s="21"/>
      <c r="B170" s="22" t="s">
        <v>3730</v>
      </c>
      <c r="C170" s="23"/>
      <c r="D170" s="24"/>
      <c r="E170" s="25"/>
      <c r="F170" s="26"/>
      <c r="G170" s="27">
        <f>SUM(G171:G175)</f>
        <v>5677.4550000000008</v>
      </c>
      <c r="H170" s="27">
        <f>IFERROR(G170*E168,"")</f>
        <v>0</v>
      </c>
    </row>
    <row r="171" spans="1:11">
      <c r="A171" s="28"/>
      <c r="B171" s="29" t="s">
        <v>3304</v>
      </c>
      <c r="C171" s="30" t="str">
        <f>IFERROR(_xlfn.XLOOKUP(B171,Insumo[DESCRIPCION],Insumo[UND],,0),"")</f>
        <v>Un</v>
      </c>
      <c r="D171" s="31">
        <v>0.05</v>
      </c>
      <c r="E171" s="32">
        <f>IFERROR(_xlfn.XLOOKUP($B171,Insumo[DESCRIPCION],Insumo[VALOR],,0),"")</f>
        <v>113549.1</v>
      </c>
      <c r="F171" s="33"/>
      <c r="G171" s="34">
        <f>IFERROR(IF(F171&gt;=0,D171*E171*(1+F171/100),ABS(D171*E171/F171)),"")</f>
        <v>5677.4550000000008</v>
      </c>
      <c r="H171" s="43">
        <f>IFERROR(G171*E168,"")</f>
        <v>0</v>
      </c>
    </row>
    <row r="172" spans="1:11">
      <c r="A172" s="28"/>
      <c r="B172" s="29"/>
      <c r="C172" s="30" t="str">
        <f>IFERROR(_xlfn.XLOOKUP(B172,Insumo[DESCRIPCION],Insumo[UND],,0),"")</f>
        <v/>
      </c>
      <c r="D172" s="31"/>
      <c r="E172" s="32" t="str">
        <f>IFERROR(_xlfn.XLOOKUP($B172,Insumo[DESCRIPCION],Insumo[VALOR],,0),"")</f>
        <v/>
      </c>
      <c r="F172" s="33"/>
      <c r="G172" s="34" t="str">
        <f>IFERROR(IF(F172&gt;=0,D172*E172*(1+F172/100),ABS(D172*E172/F172)),"")</f>
        <v/>
      </c>
      <c r="H172" s="43" t="str">
        <f>IFERROR(G172*E168,"")</f>
        <v/>
      </c>
    </row>
    <row r="173" spans="1:11">
      <c r="A173" s="28"/>
      <c r="B173" s="29"/>
      <c r="C173" s="30" t="str">
        <f>IFERROR(_xlfn.XLOOKUP(B173,Insumo[DESCRIPCION],Insumo[UND],,0),"")</f>
        <v/>
      </c>
      <c r="D173" s="31"/>
      <c r="E173" s="32" t="str">
        <f>IFERROR(_xlfn.XLOOKUP($B173,Insumo[DESCRIPCION],Insumo[VALOR],,0),"")</f>
        <v/>
      </c>
      <c r="F173" s="33"/>
      <c r="G173" s="34" t="str">
        <f>IFERROR(IF(F173&gt;=0,D173*E173*(1+F173/100),ABS(D173*E173/F173)),"")</f>
        <v/>
      </c>
      <c r="H173" s="43" t="str">
        <f>IFERROR(G173*E168,"")</f>
        <v/>
      </c>
    </row>
    <row r="174" spans="1:11">
      <c r="A174" s="28"/>
      <c r="B174" s="29"/>
      <c r="C174" s="30" t="str">
        <f>IFERROR(_xlfn.XLOOKUP(B174,Insumo[DESCRIPCION],Insumo[UND],,0),"")</f>
        <v/>
      </c>
      <c r="D174" s="31"/>
      <c r="E174" s="32" t="str">
        <f>IFERROR(_xlfn.XLOOKUP($B174,Insumo[DESCRIPCION],Insumo[VALOR],,0),"")</f>
        <v/>
      </c>
      <c r="F174" s="33"/>
      <c r="G174" s="34" t="str">
        <f>IFERROR(IF(F174&gt;=0,D174*E174*(1+F174/100),ABS(D174*E174/F174)),"")</f>
        <v/>
      </c>
      <c r="H174" s="43" t="str">
        <f>IFERROR(G174*E168,"")</f>
        <v/>
      </c>
    </row>
    <row r="175" spans="1:11">
      <c r="A175" s="28"/>
      <c r="B175" s="29"/>
      <c r="C175" s="30" t="str">
        <f>IFERROR(_xlfn.XLOOKUP(B175,Insumo[DESCRIPCION],Insumo[UND],,0),"")</f>
        <v/>
      </c>
      <c r="D175" s="31"/>
      <c r="E175" s="32" t="str">
        <f>IFERROR(_xlfn.XLOOKUP($B175,Insumo[DESCRIPCION],Insumo[VALOR],,0),"")</f>
        <v/>
      </c>
      <c r="F175" s="33"/>
      <c r="G175" s="34" t="str">
        <f>IFERROR(IF(F175&gt;=0,D175*E175*(1+F175/100),ABS(D175*E175/F175)),"")</f>
        <v/>
      </c>
      <c r="H175" s="43" t="str">
        <f>IFERROR(G175*E168,"")</f>
        <v/>
      </c>
    </row>
    <row r="176" spans="1:11">
      <c r="A176" s="21"/>
      <c r="B176" s="22" t="s">
        <v>3731</v>
      </c>
      <c r="C176" s="23"/>
      <c r="D176" s="24"/>
      <c r="E176" s="25"/>
      <c r="F176" s="26"/>
      <c r="G176" s="27">
        <f>SUM(G177:G179)</f>
        <v>4849.4559392282608</v>
      </c>
      <c r="H176" s="44">
        <f>G176*E168</f>
        <v>0</v>
      </c>
    </row>
    <row r="177" spans="1:11">
      <c r="A177" s="28"/>
      <c r="B177" s="29" t="s">
        <v>3654</v>
      </c>
      <c r="C177" s="30" t="str">
        <f>IFERROR(_xlfn.XLOOKUP(B177,Equipo[DESCRIPCION],Equipo[UND],,0),"")</f>
        <v>Día</v>
      </c>
      <c r="D177" s="31">
        <v>1</v>
      </c>
      <c r="E177" s="32">
        <f>IF(C177="%MO",G183,IFERROR(_xlfn.XLOOKUP($B177,Equipo[DESCRIPCION],Equipo[VALOR],,0),""))</f>
        <v>101640</v>
      </c>
      <c r="F177" s="33">
        <v>-23</v>
      </c>
      <c r="G177" s="34">
        <f>IFERROR(IF(F177&gt;=0,D177*E177*(1+F177/100),ABS(D177*E177/F177)),"")</f>
        <v>4419.130434782609</v>
      </c>
      <c r="H177" s="43">
        <f>IFERROR(G177*E168,"")</f>
        <v>0</v>
      </c>
    </row>
    <row r="178" spans="1:11">
      <c r="A178" s="28"/>
      <c r="B178" s="29" t="s">
        <v>3626</v>
      </c>
      <c r="C178" s="30" t="str">
        <f>IFERROR(_xlfn.XLOOKUP(B178,Equipo[DESCRIPCION],Equipo[UND],,0),"")</f>
        <v>%MO</v>
      </c>
      <c r="D178" s="31">
        <v>0.05</v>
      </c>
      <c r="E178" s="32">
        <f>IF(C178="%MO",G183,IFERROR(_xlfn.XLOOKUP($B178,Equipo[DESCRIPCION],Equipo[VALOR],,0),""))</f>
        <v>8606.5100889130445</v>
      </c>
      <c r="F178" s="33"/>
      <c r="G178" s="34">
        <f>IFERROR(IF(F178&gt;=0,D178*E178*(1+F178/100),ABS(D178*E178/F178)),"")</f>
        <v>430.32550444565226</v>
      </c>
      <c r="H178" s="43">
        <f>IFERROR(G178*E168,"")</f>
        <v>0</v>
      </c>
    </row>
    <row r="179" spans="1:11">
      <c r="A179" s="28"/>
      <c r="B179" s="29"/>
      <c r="C179" s="30" t="str">
        <f>IFERROR(_xlfn.XLOOKUP(B179,Equipo[DESCRIPCION],Equipo[UND],,0),"")</f>
        <v/>
      </c>
      <c r="D179" s="31"/>
      <c r="E179" s="32" t="str">
        <f>IF(C179="%MO",G183,IFERROR(_xlfn.XLOOKUP($B179,Equipo[DESCRIPCION],Equipo[VALOR],,0),""))</f>
        <v/>
      </c>
      <c r="F179" s="33"/>
      <c r="G179" s="34" t="str">
        <f>IFERROR(IF(F179&gt;=0,D179*E179*(1+F179/100),ABS(D179*E179/F179)),"")</f>
        <v/>
      </c>
      <c r="H179" s="43" t="str">
        <f>IFERROR(G179*E168,"")</f>
        <v/>
      </c>
    </row>
    <row r="180" spans="1:11">
      <c r="A180" s="21"/>
      <c r="B180" s="22" t="s">
        <v>2533</v>
      </c>
      <c r="C180" s="23"/>
      <c r="D180" s="24"/>
      <c r="E180" s="25"/>
      <c r="F180" s="26"/>
      <c r="G180" s="27">
        <f>SUM(G181:G182)</f>
        <v>0</v>
      </c>
      <c r="H180" s="44">
        <f>G180*E168</f>
        <v>0</v>
      </c>
    </row>
    <row r="181" spans="1:11">
      <c r="A181" s="28"/>
      <c r="B181" s="29"/>
      <c r="C181" s="30" t="str">
        <f>IFERROR(_xlfn.XLOOKUP(B181,Transporte[DESCRIPCION],Transporte[UND],,0),"")</f>
        <v/>
      </c>
      <c r="D181" s="31"/>
      <c r="E181" s="32" t="str">
        <f>IFERROR(_xlfn.XLOOKUP($B181,Transporte[DESCRIPCION],Transporte[VALOR],,0),"")</f>
        <v/>
      </c>
      <c r="F181" s="33"/>
      <c r="G181" s="34" t="str">
        <f>IFERROR(IF(F181&gt;=0,D181*E181*(1+F181/100),ABS(D181*E181/F181)),"")</f>
        <v/>
      </c>
      <c r="H181" s="43" t="str">
        <f>IFERROR(G181*E168,"")</f>
        <v/>
      </c>
    </row>
    <row r="182" spans="1:11">
      <c r="A182" s="28"/>
      <c r="B182" s="29"/>
      <c r="C182" s="30" t="str">
        <f>IFERROR(_xlfn.XLOOKUP(B182,Transporte[DESCRIPCION],Transporte[UND],,0),"")</f>
        <v/>
      </c>
      <c r="D182" s="31"/>
      <c r="E182" s="32" t="str">
        <f>IFERROR(_xlfn.XLOOKUP($B182,Transporte[DESCRIPCION],Transporte[VALOR],,0),"")</f>
        <v/>
      </c>
      <c r="F182" s="33"/>
      <c r="G182" s="34" t="str">
        <f>IFERROR(IF(F182&gt;=0,D182*E182*(1+F182/100),ABS(D182*E182/F182)),"")</f>
        <v/>
      </c>
      <c r="H182" s="43" t="str">
        <f>IFERROR(G182*E168,"")</f>
        <v/>
      </c>
    </row>
    <row r="183" spans="1:11">
      <c r="A183" s="21"/>
      <c r="B183" s="22" t="s">
        <v>3732</v>
      </c>
      <c r="C183" s="23"/>
      <c r="D183" s="24"/>
      <c r="E183" s="25"/>
      <c r="F183" s="26"/>
      <c r="G183" s="27">
        <f>SUM(G184:G186)</f>
        <v>8606.5100889130445</v>
      </c>
      <c r="H183" s="44">
        <f>G183*E168</f>
        <v>0</v>
      </c>
    </row>
    <row r="184" spans="1:11">
      <c r="A184" s="28"/>
      <c r="B184" s="29" t="s">
        <v>3705</v>
      </c>
      <c r="C184" s="30" t="str">
        <f>IFERROR(_xlfn.XLOOKUP(B184,MObra[DESCRIPCION],MObra[UN],,0),"")</f>
        <v>día</v>
      </c>
      <c r="D184" s="31">
        <v>1</v>
      </c>
      <c r="E184" s="32">
        <f>IFERROR(_xlfn.XLOOKUP($B184,MObra[DESCRIPCION],MObra[VALOR UNIT],,0),"")</f>
        <v>197949.73204500004</v>
      </c>
      <c r="F184" s="33">
        <v>-23</v>
      </c>
      <c r="G184" s="34">
        <f>IFERROR(IF(F184&gt;=0,D184*E184*(1+F184/100),ABS(D184*E184/F184)),"")</f>
        <v>8606.5100889130445</v>
      </c>
      <c r="H184" s="43">
        <f>IFERROR(G184*E168,"")</f>
        <v>0</v>
      </c>
    </row>
    <row r="185" spans="1:11">
      <c r="A185" s="28"/>
      <c r="B185" s="29"/>
      <c r="C185" s="30" t="str">
        <f t="array" ref="C185">IFERROR(_xlfn.XLOOKUP(B185,MObra[[#All],[DESCRIPCION]],MObra[[#All],[UN]],,0),"")</f>
        <v/>
      </c>
      <c r="D185" s="31"/>
      <c r="E185" s="32" t="str">
        <f>IFERROR(_xlfn.XLOOKUP($B185,MObra[DESCRIPCION],MObra[VALOR UNIT],,0),"")</f>
        <v/>
      </c>
      <c r="F185" s="33"/>
      <c r="G185" s="34" t="str">
        <f>IFERROR(IF(F185&gt;=0,D185*E185*(1+F185/100),ABS(D185*E185/F185)),"")</f>
        <v/>
      </c>
      <c r="H185" s="43" t="str">
        <f>IFERROR(G185*E168,"")</f>
        <v/>
      </c>
    </row>
    <row r="186" spans="1:11">
      <c r="A186" s="35"/>
      <c r="B186" s="36"/>
      <c r="C186" s="37" t="str">
        <f t="array" ref="C186">IFERROR(_xlfn.XLOOKUP(B186,MObra[[#All],[DESCRIPCION]],MObra[[#All],[UN]],,0),"")</f>
        <v/>
      </c>
      <c r="D186" s="38"/>
      <c r="E186" s="39" t="str">
        <f>IFERROR(_xlfn.XLOOKUP($B186,MObra[DESCRIPCION],MObra[VALOR UNIT],,0),"")</f>
        <v/>
      </c>
      <c r="F186" s="40"/>
      <c r="G186" s="41" t="str">
        <f>IFERROR(IF(F186&gt;=0,D186*E186*(1+F186/100),ABS(D186*E186/F186)),"")</f>
        <v/>
      </c>
      <c r="H186" s="42" t="str">
        <f>IFERROR(G186*E168,"")</f>
        <v/>
      </c>
    </row>
    <row r="188" spans="1:11">
      <c r="A188" s="6" t="s">
        <v>617</v>
      </c>
      <c r="B188" s="7" t="str">
        <f>VLOOKUP($A188,Presupuesto!$A:$D,2,FALSE())</f>
        <v>Anclaje manual varilla Ø =3/4" L&lt; Ø =0.70m</v>
      </c>
      <c r="C188" s="8" t="str">
        <f>VLOOKUP($A188,Presupuesto!$A:$D,3,FALSE())</f>
        <v>Un</v>
      </c>
      <c r="D188" s="9"/>
      <c r="E188" s="10">
        <f>VLOOKUP($A188,Presupuesto!$A:$D,4,FALSE())</f>
        <v>0</v>
      </c>
      <c r="F188" s="11" t="s">
        <v>2589</v>
      </c>
      <c r="G188" s="12">
        <f>SUM(G190:G206)/2</f>
        <v>38998.620981434215</v>
      </c>
      <c r="H188" s="13">
        <f>ROUND(SUM(H190:H206),0)/2</f>
        <v>0</v>
      </c>
      <c r="I188" s="10">
        <f>VLOOKUP(A188,Presupuesto!$A:$F,6,0)</f>
        <v>0</v>
      </c>
      <c r="J188" s="10">
        <f>+H188-I188</f>
        <v>0</v>
      </c>
      <c r="K188" s="46">
        <f>+H188-G188*E188</f>
        <v>0</v>
      </c>
    </row>
    <row r="189" spans="1:11">
      <c r="A189" s="14"/>
      <c r="B189" s="15" t="s">
        <v>2586</v>
      </c>
      <c r="C189" s="15" t="s">
        <v>5</v>
      </c>
      <c r="D189" s="16" t="s">
        <v>6</v>
      </c>
      <c r="E189" s="17" t="s">
        <v>7</v>
      </c>
      <c r="F189" s="18" t="s">
        <v>3728</v>
      </c>
      <c r="G189" s="19" t="s">
        <v>3729</v>
      </c>
      <c r="H189" s="20" t="s">
        <v>3797</v>
      </c>
    </row>
    <row r="190" spans="1:11">
      <c r="A190" s="21"/>
      <c r="B190" s="22" t="s">
        <v>3730</v>
      </c>
      <c r="C190" s="23"/>
      <c r="D190" s="24"/>
      <c r="E190" s="25"/>
      <c r="F190" s="26"/>
      <c r="G190" s="27">
        <f>SUM(G191:G195)</f>
        <v>22709.820000000003</v>
      </c>
      <c r="H190" s="27">
        <f>IFERROR(G190*E188,"")</f>
        <v>0</v>
      </c>
    </row>
    <row r="191" spans="1:11">
      <c r="A191" s="28"/>
      <c r="B191" s="29" t="s">
        <v>3304</v>
      </c>
      <c r="C191" s="30" t="str">
        <f>IFERROR(_xlfn.XLOOKUP(B191,Insumo[DESCRIPCION],Insumo[UND],,0),"")</f>
        <v>Un</v>
      </c>
      <c r="D191" s="31">
        <v>0.2</v>
      </c>
      <c r="E191" s="32">
        <f>IFERROR(_xlfn.XLOOKUP($B191,Insumo[DESCRIPCION],Insumo[VALOR],,0),"")</f>
        <v>113549.1</v>
      </c>
      <c r="F191" s="33"/>
      <c r="G191" s="34">
        <f>IFERROR(IF(F191&gt;=0,D191*E191*(1+F191/100),ABS(D191*E191/F191)),"")</f>
        <v>22709.820000000003</v>
      </c>
      <c r="H191" s="43">
        <f>IFERROR(G191*E188,"")</f>
        <v>0</v>
      </c>
    </row>
    <row r="192" spans="1:11">
      <c r="A192" s="28"/>
      <c r="B192" s="29"/>
      <c r="C192" s="30" t="str">
        <f>IFERROR(_xlfn.XLOOKUP(B192,Insumo[DESCRIPCION],Insumo[UND],,0),"")</f>
        <v/>
      </c>
      <c r="D192" s="31"/>
      <c r="E192" s="32" t="str">
        <f>IFERROR(_xlfn.XLOOKUP($B192,Insumo[DESCRIPCION],Insumo[VALOR],,0),"")</f>
        <v/>
      </c>
      <c r="F192" s="33"/>
      <c r="G192" s="34" t="str">
        <f>IFERROR(IF(F192&gt;=0,D192*E192*(1+F192/100),ABS(D192*E192/F192)),"")</f>
        <v/>
      </c>
      <c r="H192" s="43" t="str">
        <f>IFERROR(G192*E188,"")</f>
        <v/>
      </c>
    </row>
    <row r="193" spans="1:11">
      <c r="A193" s="28"/>
      <c r="B193" s="29"/>
      <c r="C193" s="30" t="str">
        <f>IFERROR(_xlfn.XLOOKUP(B193,Insumo[DESCRIPCION],Insumo[UND],,0),"")</f>
        <v/>
      </c>
      <c r="D193" s="31"/>
      <c r="E193" s="32" t="str">
        <f>IFERROR(_xlfn.XLOOKUP($B193,Insumo[DESCRIPCION],Insumo[VALOR],,0),"")</f>
        <v/>
      </c>
      <c r="F193" s="33"/>
      <c r="G193" s="34" t="str">
        <f>IFERROR(IF(F193&gt;=0,D193*E193*(1+F193/100),ABS(D193*E193/F193)),"")</f>
        <v/>
      </c>
      <c r="H193" s="43" t="str">
        <f>IFERROR(G193*E188,"")</f>
        <v/>
      </c>
    </row>
    <row r="194" spans="1:11">
      <c r="A194" s="28"/>
      <c r="B194" s="29"/>
      <c r="C194" s="30" t="str">
        <f>IFERROR(_xlfn.XLOOKUP(B194,Insumo[DESCRIPCION],Insumo[UND],,0),"")</f>
        <v/>
      </c>
      <c r="D194" s="31"/>
      <c r="E194" s="32" t="str">
        <f>IFERROR(_xlfn.XLOOKUP($B194,Insumo[DESCRIPCION],Insumo[VALOR],,0),"")</f>
        <v/>
      </c>
      <c r="F194" s="33"/>
      <c r="G194" s="34" t="str">
        <f>IFERROR(IF(F194&gt;=0,D194*E194*(1+F194/100),ABS(D194*E194/F194)),"")</f>
        <v/>
      </c>
      <c r="H194" s="43" t="str">
        <f>IFERROR(G194*E188,"")</f>
        <v/>
      </c>
    </row>
    <row r="195" spans="1:11">
      <c r="A195" s="28"/>
      <c r="B195" s="29"/>
      <c r="C195" s="30" t="str">
        <f>IFERROR(_xlfn.XLOOKUP(B195,Insumo[DESCRIPCION],Insumo[UND],,0),"")</f>
        <v/>
      </c>
      <c r="D195" s="31"/>
      <c r="E195" s="32" t="str">
        <f>IFERROR(_xlfn.XLOOKUP($B195,Insumo[DESCRIPCION],Insumo[VALOR],,0),"")</f>
        <v/>
      </c>
      <c r="F195" s="33"/>
      <c r="G195" s="34" t="str">
        <f>IFERROR(IF(F195&gt;=0,D195*E195*(1+F195/100),ABS(D195*E195/F195)),"")</f>
        <v/>
      </c>
      <c r="H195" s="43" t="str">
        <f>IFERROR(G195*E188,"")</f>
        <v/>
      </c>
    </row>
    <row r="196" spans="1:11">
      <c r="A196" s="21"/>
      <c r="B196" s="22" t="s">
        <v>3731</v>
      </c>
      <c r="C196" s="23"/>
      <c r="D196" s="24"/>
      <c r="E196" s="25"/>
      <c r="F196" s="26"/>
      <c r="G196" s="27">
        <f>SUM(G197:G199)</f>
        <v>5870.3940316973685</v>
      </c>
      <c r="H196" s="44">
        <f>G196*E188</f>
        <v>0</v>
      </c>
    </row>
    <row r="197" spans="1:11">
      <c r="A197" s="28"/>
      <c r="B197" s="29" t="s">
        <v>3654</v>
      </c>
      <c r="C197" s="30" t="str">
        <f>IFERROR(_xlfn.XLOOKUP(B197,Equipo[DESCRIPCION],Equipo[UND],,0),"")</f>
        <v>Día</v>
      </c>
      <c r="D197" s="31">
        <v>1</v>
      </c>
      <c r="E197" s="32">
        <f>IF(C197="%MO",G203,IFERROR(_xlfn.XLOOKUP($B197,Equipo[DESCRIPCION],Equipo[VALOR],,0),""))</f>
        <v>101640</v>
      </c>
      <c r="F197" s="33">
        <v>-19</v>
      </c>
      <c r="G197" s="34">
        <f>IFERROR(IF(F197&gt;=0,D197*E197*(1+F197/100),ABS(D197*E197/F197)),"")</f>
        <v>5349.4736842105267</v>
      </c>
      <c r="H197" s="43">
        <f>IFERROR(G197*E188,"")</f>
        <v>0</v>
      </c>
    </row>
    <row r="198" spans="1:11">
      <c r="A198" s="28"/>
      <c r="B198" s="29" t="s">
        <v>3626</v>
      </c>
      <c r="C198" s="30" t="str">
        <f>IFERROR(_xlfn.XLOOKUP(B198,Equipo[DESCRIPCION],Equipo[UND],,0),"")</f>
        <v>%MO</v>
      </c>
      <c r="D198" s="31">
        <v>0.05</v>
      </c>
      <c r="E198" s="32">
        <f>IF(C198="%MO",G203,IFERROR(_xlfn.XLOOKUP($B198,Equipo[DESCRIPCION],Equipo[VALOR],,0),""))</f>
        <v>10418.406949736844</v>
      </c>
      <c r="F198" s="33"/>
      <c r="G198" s="34">
        <f>IFERROR(IF(F198&gt;=0,D198*E198*(1+F198/100),ABS(D198*E198/F198)),"")</f>
        <v>520.92034748684216</v>
      </c>
      <c r="H198" s="43">
        <f>IFERROR(G198*E188,"")</f>
        <v>0</v>
      </c>
    </row>
    <row r="199" spans="1:11">
      <c r="A199" s="28"/>
      <c r="B199" s="29"/>
      <c r="C199" s="30" t="str">
        <f>IFERROR(_xlfn.XLOOKUP(B199,Equipo[DESCRIPCION],Equipo[UND],,0),"")</f>
        <v/>
      </c>
      <c r="D199" s="31"/>
      <c r="E199" s="32" t="str">
        <f>IF(C199="%MO",G203,IFERROR(_xlfn.XLOOKUP($B199,Equipo[DESCRIPCION],Equipo[VALOR],,0),""))</f>
        <v/>
      </c>
      <c r="F199" s="33"/>
      <c r="G199" s="34" t="str">
        <f>IFERROR(IF(F199&gt;=0,D199*E199*(1+F199/100),ABS(D199*E199/F199)),"")</f>
        <v/>
      </c>
      <c r="H199" s="43" t="str">
        <f>IFERROR(G199*E188,"")</f>
        <v/>
      </c>
    </row>
    <row r="200" spans="1:11">
      <c r="A200" s="21"/>
      <c r="B200" s="22" t="s">
        <v>2533</v>
      </c>
      <c r="C200" s="23"/>
      <c r="D200" s="24"/>
      <c r="E200" s="25"/>
      <c r="F200" s="26"/>
      <c r="G200" s="27">
        <f>SUM(G201:G202)</f>
        <v>0</v>
      </c>
      <c r="H200" s="44">
        <f>G200*E188</f>
        <v>0</v>
      </c>
    </row>
    <row r="201" spans="1:11">
      <c r="A201" s="28"/>
      <c r="B201" s="29"/>
      <c r="C201" s="30" t="str">
        <f>IFERROR(_xlfn.XLOOKUP(B201,Transporte[DESCRIPCION],Transporte[UND],,0),"")</f>
        <v/>
      </c>
      <c r="D201" s="31"/>
      <c r="E201" s="32" t="str">
        <f>IFERROR(_xlfn.XLOOKUP($B201,Transporte[DESCRIPCION],Transporte[VALOR],,0),"")</f>
        <v/>
      </c>
      <c r="F201" s="33"/>
      <c r="G201" s="34" t="str">
        <f>IFERROR(IF(F201&gt;=0,D201*E201*(1+F201/100),ABS(D201*E201/F201)),"")</f>
        <v/>
      </c>
      <c r="H201" s="43" t="str">
        <f>IFERROR(G201*E188,"")</f>
        <v/>
      </c>
    </row>
    <row r="202" spans="1:11">
      <c r="A202" s="28"/>
      <c r="B202" s="29"/>
      <c r="C202" s="30" t="str">
        <f>IFERROR(_xlfn.XLOOKUP(B202,Transporte[DESCRIPCION],Transporte[UND],,0),"")</f>
        <v/>
      </c>
      <c r="D202" s="31"/>
      <c r="E202" s="32" t="str">
        <f>IFERROR(_xlfn.XLOOKUP($B202,Transporte[DESCRIPCION],Transporte[VALOR],,0),"")</f>
        <v/>
      </c>
      <c r="F202" s="33"/>
      <c r="G202" s="34" t="str">
        <f>IFERROR(IF(F202&gt;=0,D202*E202*(1+F202/100),ABS(D202*E202/F202)),"")</f>
        <v/>
      </c>
      <c r="H202" s="43" t="str">
        <f>IFERROR(G202*E188,"")</f>
        <v/>
      </c>
    </row>
    <row r="203" spans="1:11">
      <c r="A203" s="21"/>
      <c r="B203" s="22" t="s">
        <v>3732</v>
      </c>
      <c r="C203" s="23"/>
      <c r="D203" s="24"/>
      <c r="E203" s="25"/>
      <c r="F203" s="26"/>
      <c r="G203" s="27">
        <f>SUM(G204:G206)</f>
        <v>10418.406949736844</v>
      </c>
      <c r="H203" s="44">
        <f>G203*E188</f>
        <v>0</v>
      </c>
    </row>
    <row r="204" spans="1:11">
      <c r="A204" s="28"/>
      <c r="B204" s="29" t="s">
        <v>3705</v>
      </c>
      <c r="C204" s="30" t="str">
        <f>IFERROR(_xlfn.XLOOKUP(B204,MObra[DESCRIPCION],MObra[UN],,0),"")</f>
        <v>día</v>
      </c>
      <c r="D204" s="31">
        <v>1</v>
      </c>
      <c r="E204" s="32">
        <f>IFERROR(_xlfn.XLOOKUP($B204,MObra[DESCRIPCION],MObra[VALOR UNIT],,0),"")</f>
        <v>197949.73204500004</v>
      </c>
      <c r="F204" s="33">
        <v>-19</v>
      </c>
      <c r="G204" s="34">
        <f>IFERROR(IF(F204&gt;=0,D204*E204*(1+F204/100),ABS(D204*E204/F204)),"")</f>
        <v>10418.406949736844</v>
      </c>
      <c r="H204" s="43">
        <f>IFERROR(G204*E188,"")</f>
        <v>0</v>
      </c>
    </row>
    <row r="205" spans="1:11">
      <c r="A205" s="28"/>
      <c r="B205" s="29"/>
      <c r="C205" s="30" t="str">
        <f t="array" ref="C205">IFERROR(_xlfn.XLOOKUP(B205,MObra[[#All],[DESCRIPCION]],MObra[[#All],[UN]],,0),"")</f>
        <v/>
      </c>
      <c r="D205" s="31"/>
      <c r="E205" s="32" t="str">
        <f>IFERROR(_xlfn.XLOOKUP($B205,MObra[DESCRIPCION],MObra[VALOR UNIT],,0),"")</f>
        <v/>
      </c>
      <c r="F205" s="33"/>
      <c r="G205" s="34" t="str">
        <f>IFERROR(IF(F205&gt;=0,D205*E205*(1+F205/100),ABS(D205*E205/F205)),"")</f>
        <v/>
      </c>
      <c r="H205" s="43" t="str">
        <f>IFERROR(G205*E188,"")</f>
        <v/>
      </c>
    </row>
    <row r="206" spans="1:11">
      <c r="A206" s="35"/>
      <c r="B206" s="36"/>
      <c r="C206" s="37" t="str">
        <f t="array" ref="C206">IFERROR(_xlfn.XLOOKUP(B206,MObra[[#All],[DESCRIPCION]],MObra[[#All],[UN]],,0),"")</f>
        <v/>
      </c>
      <c r="D206" s="38"/>
      <c r="E206" s="39" t="str">
        <f>IFERROR(_xlfn.XLOOKUP($B206,MObra[DESCRIPCION],MObra[VALOR UNIT],,0),"")</f>
        <v/>
      </c>
      <c r="F206" s="40"/>
      <c r="G206" s="41" t="str">
        <f>IFERROR(IF(F206&gt;=0,D206*E206*(1+F206/100),ABS(D206*E206/F206)),"")</f>
        <v/>
      </c>
      <c r="H206" s="42" t="str">
        <f>IFERROR(G206*E188,"")</f>
        <v/>
      </c>
    </row>
    <row r="208" spans="1:11">
      <c r="A208" s="6" t="s">
        <v>619</v>
      </c>
      <c r="B208" s="7" t="str">
        <f>VLOOKUP($A208,Presupuesto!$A:$D,2,FALSE())</f>
        <v>Anclaje manual varilla Ø =5/8" L&lt; Ø =0.50m</v>
      </c>
      <c r="C208" s="8" t="str">
        <f>VLOOKUP($A208,Presupuesto!$A:$D,3,FALSE())</f>
        <v>Un</v>
      </c>
      <c r="D208" s="9"/>
      <c r="E208" s="10">
        <f>VLOOKUP($A208,Presupuesto!$A:$D,4,FALSE())</f>
        <v>0</v>
      </c>
      <c r="F208" s="11" t="s">
        <v>2589</v>
      </c>
      <c r="G208" s="12">
        <f>SUM(G210:G226)/2</f>
        <v>26829.270932362502</v>
      </c>
      <c r="H208" s="13">
        <f>ROUND(SUM(H210:H226),0)/2</f>
        <v>0</v>
      </c>
      <c r="I208" s="10">
        <f>VLOOKUP(A208,Presupuesto!$A:$F,6,0)</f>
        <v>0</v>
      </c>
      <c r="J208" s="10">
        <f>+H208-I208</f>
        <v>0</v>
      </c>
      <c r="K208" s="46">
        <f>+H208-G208*E208</f>
        <v>0</v>
      </c>
    </row>
    <row r="209" spans="1:8">
      <c r="A209" s="14"/>
      <c r="B209" s="15" t="s">
        <v>2586</v>
      </c>
      <c r="C209" s="15" t="s">
        <v>5</v>
      </c>
      <c r="D209" s="16" t="s">
        <v>6</v>
      </c>
      <c r="E209" s="17" t="s">
        <v>7</v>
      </c>
      <c r="F209" s="18" t="s">
        <v>3728</v>
      </c>
      <c r="G209" s="19" t="s">
        <v>3729</v>
      </c>
      <c r="H209" s="20" t="s">
        <v>3797</v>
      </c>
    </row>
    <row r="210" spans="1:8">
      <c r="A210" s="21"/>
      <c r="B210" s="22" t="s">
        <v>3730</v>
      </c>
      <c r="C210" s="23"/>
      <c r="D210" s="24"/>
      <c r="E210" s="25"/>
      <c r="F210" s="26"/>
      <c r="G210" s="27">
        <f>SUM(G211:G215)</f>
        <v>11354.910000000002</v>
      </c>
      <c r="H210" s="27">
        <f>IFERROR(G210*E208,"")</f>
        <v>0</v>
      </c>
    </row>
    <row r="211" spans="1:8">
      <c r="A211" s="28"/>
      <c r="B211" s="29" t="s">
        <v>3304</v>
      </c>
      <c r="C211" s="30" t="str">
        <f>IFERROR(_xlfn.XLOOKUP(B211,Insumo[DESCRIPCION],Insumo[UND],,0),"")</f>
        <v>Un</v>
      </c>
      <c r="D211" s="31">
        <v>0.1</v>
      </c>
      <c r="E211" s="32">
        <f>IFERROR(_xlfn.XLOOKUP($B211,Insumo[DESCRIPCION],Insumo[VALOR],,0),"")</f>
        <v>113549.1</v>
      </c>
      <c r="F211" s="33"/>
      <c r="G211" s="34">
        <f>IFERROR(IF(F211&gt;=0,D211*E211*(1+F211/100),ABS(D211*E211/F211)),"")</f>
        <v>11354.910000000002</v>
      </c>
      <c r="H211" s="43">
        <f>IFERROR(G211*E208,"")</f>
        <v>0</v>
      </c>
    </row>
    <row r="212" spans="1:8">
      <c r="A212" s="28"/>
      <c r="B212" s="29"/>
      <c r="C212" s="30" t="str">
        <f>IFERROR(_xlfn.XLOOKUP(B212,Insumo[DESCRIPCION],Insumo[UND],,0),"")</f>
        <v/>
      </c>
      <c r="D212" s="31"/>
      <c r="E212" s="32" t="str">
        <f>IFERROR(_xlfn.XLOOKUP($B212,Insumo[DESCRIPCION],Insumo[VALOR],,0),"")</f>
        <v/>
      </c>
      <c r="F212" s="33"/>
      <c r="G212" s="34" t="str">
        <f>IFERROR(IF(F212&gt;=0,D212*E212*(1+F212/100),ABS(D212*E212/F212)),"")</f>
        <v/>
      </c>
      <c r="H212" s="43" t="str">
        <f>IFERROR(G212*E208,"")</f>
        <v/>
      </c>
    </row>
    <row r="213" spans="1:8">
      <c r="A213" s="28"/>
      <c r="B213" s="29"/>
      <c r="C213" s="30" t="str">
        <f>IFERROR(_xlfn.XLOOKUP(B213,Insumo[DESCRIPCION],Insumo[UND],,0),"")</f>
        <v/>
      </c>
      <c r="D213" s="31"/>
      <c r="E213" s="32" t="str">
        <f>IFERROR(_xlfn.XLOOKUP($B213,Insumo[DESCRIPCION],Insumo[VALOR],,0),"")</f>
        <v/>
      </c>
      <c r="F213" s="33"/>
      <c r="G213" s="34" t="str">
        <f>IFERROR(IF(F213&gt;=0,D213*E213*(1+F213/100),ABS(D213*E213/F213)),"")</f>
        <v/>
      </c>
      <c r="H213" s="43" t="str">
        <f>IFERROR(G213*E208,"")</f>
        <v/>
      </c>
    </row>
    <row r="214" spans="1:8">
      <c r="A214" s="28"/>
      <c r="B214" s="29"/>
      <c r="C214" s="30" t="str">
        <f>IFERROR(_xlfn.XLOOKUP(B214,Insumo[DESCRIPCION],Insumo[UND],,0),"")</f>
        <v/>
      </c>
      <c r="D214" s="31"/>
      <c r="E214" s="32" t="str">
        <f>IFERROR(_xlfn.XLOOKUP($B214,Insumo[DESCRIPCION],Insumo[VALOR],,0),"")</f>
        <v/>
      </c>
      <c r="F214" s="33"/>
      <c r="G214" s="34" t="str">
        <f>IFERROR(IF(F214&gt;=0,D214*E214*(1+F214/100),ABS(D214*E214/F214)),"")</f>
        <v/>
      </c>
      <c r="H214" s="43" t="str">
        <f>IFERROR(G214*E208,"")</f>
        <v/>
      </c>
    </row>
    <row r="215" spans="1:8">
      <c r="A215" s="28"/>
      <c r="B215" s="29"/>
      <c r="C215" s="30" t="str">
        <f>IFERROR(_xlfn.XLOOKUP(B215,Insumo[DESCRIPCION],Insumo[UND],,0),"")</f>
        <v/>
      </c>
      <c r="D215" s="31"/>
      <c r="E215" s="32" t="str">
        <f>IFERROR(_xlfn.XLOOKUP($B215,Insumo[DESCRIPCION],Insumo[VALOR],,0),"")</f>
        <v/>
      </c>
      <c r="F215" s="33"/>
      <c r="G215" s="34" t="str">
        <f>IFERROR(IF(F215&gt;=0,D215*E215*(1+F215/100),ABS(D215*E215/F215)),"")</f>
        <v/>
      </c>
      <c r="H215" s="43" t="str">
        <f>IFERROR(G215*E208,"")</f>
        <v/>
      </c>
    </row>
    <row r="216" spans="1:8">
      <c r="A216" s="21"/>
      <c r="B216" s="22" t="s">
        <v>3731</v>
      </c>
      <c r="C216" s="23"/>
      <c r="D216" s="24"/>
      <c r="E216" s="25"/>
      <c r="F216" s="26"/>
      <c r="G216" s="27">
        <f>SUM(G217:G219)</f>
        <v>5576.8743301125005</v>
      </c>
      <c r="H216" s="44">
        <f>G216*E208</f>
        <v>0</v>
      </c>
    </row>
    <row r="217" spans="1:8">
      <c r="A217" s="28"/>
      <c r="B217" s="29" t="s">
        <v>3654</v>
      </c>
      <c r="C217" s="30" t="str">
        <f>IFERROR(_xlfn.XLOOKUP(B217,Equipo[DESCRIPCION],Equipo[UND],,0),"")</f>
        <v>Día</v>
      </c>
      <c r="D217" s="31">
        <v>1</v>
      </c>
      <c r="E217" s="32">
        <f>IF(C217="%MO",G223,IFERROR(_xlfn.XLOOKUP($B217,Equipo[DESCRIPCION],Equipo[VALOR],,0),""))</f>
        <v>101640</v>
      </c>
      <c r="F217" s="33">
        <v>-20</v>
      </c>
      <c r="G217" s="34">
        <f>IFERROR(IF(F217&gt;=0,D217*E217*(1+F217/100),ABS(D217*E217/F217)),"")</f>
        <v>5082</v>
      </c>
      <c r="H217" s="43">
        <f>IFERROR(G217*E208,"")</f>
        <v>0</v>
      </c>
    </row>
    <row r="218" spans="1:8">
      <c r="A218" s="28"/>
      <c r="B218" s="29" t="s">
        <v>3626</v>
      </c>
      <c r="C218" s="30" t="str">
        <f>IFERROR(_xlfn.XLOOKUP(B218,Equipo[DESCRIPCION],Equipo[UND],,0),"")</f>
        <v>%MO</v>
      </c>
      <c r="D218" s="31">
        <v>0.05</v>
      </c>
      <c r="E218" s="32">
        <f>IF(C218="%MO",G223,IFERROR(_xlfn.XLOOKUP($B218,Equipo[DESCRIPCION],Equipo[VALOR],,0),""))</f>
        <v>9897.4866022500028</v>
      </c>
      <c r="F218" s="33"/>
      <c r="G218" s="34">
        <f>IFERROR(IF(F218&gt;=0,D218*E218*(1+F218/100),ABS(D218*E218/F218)),"")</f>
        <v>494.87433011250016</v>
      </c>
      <c r="H218" s="43">
        <f>IFERROR(G218*E208,"")</f>
        <v>0</v>
      </c>
    </row>
    <row r="219" spans="1:8">
      <c r="A219" s="28"/>
      <c r="B219" s="29"/>
      <c r="C219" s="30" t="str">
        <f>IFERROR(_xlfn.XLOOKUP(B219,Equipo[DESCRIPCION],Equipo[UND],,0),"")</f>
        <v/>
      </c>
      <c r="D219" s="31"/>
      <c r="E219" s="32" t="str">
        <f>IF(C219="%MO",G223,IFERROR(_xlfn.XLOOKUP($B219,Equipo[DESCRIPCION],Equipo[VALOR],,0),""))</f>
        <v/>
      </c>
      <c r="F219" s="33"/>
      <c r="G219" s="34" t="str">
        <f>IFERROR(IF(F219&gt;=0,D219*E219*(1+F219/100),ABS(D219*E219/F219)),"")</f>
        <v/>
      </c>
      <c r="H219" s="43" t="str">
        <f>IFERROR(G219*E208,"")</f>
        <v/>
      </c>
    </row>
    <row r="220" spans="1:8">
      <c r="A220" s="21"/>
      <c r="B220" s="22" t="s">
        <v>2533</v>
      </c>
      <c r="C220" s="23"/>
      <c r="D220" s="24"/>
      <c r="E220" s="25"/>
      <c r="F220" s="26"/>
      <c r="G220" s="27">
        <f>SUM(G221:G222)</f>
        <v>0</v>
      </c>
      <c r="H220" s="44">
        <f>G220*E208</f>
        <v>0</v>
      </c>
    </row>
    <row r="221" spans="1:8">
      <c r="A221" s="28"/>
      <c r="B221" s="29"/>
      <c r="C221" s="30" t="str">
        <f>IFERROR(_xlfn.XLOOKUP(B221,Transporte[DESCRIPCION],Transporte[UND],,0),"")</f>
        <v/>
      </c>
      <c r="D221" s="31"/>
      <c r="E221" s="32" t="str">
        <f>IFERROR(_xlfn.XLOOKUP($B221,Transporte[DESCRIPCION],Transporte[VALOR],,0),"")</f>
        <v/>
      </c>
      <c r="F221" s="33"/>
      <c r="G221" s="34" t="str">
        <f>IFERROR(IF(F221&gt;=0,D221*E221*(1+F221/100),ABS(D221*E221/F221)),"")</f>
        <v/>
      </c>
      <c r="H221" s="43" t="str">
        <f>IFERROR(G221*E208,"")</f>
        <v/>
      </c>
    </row>
    <row r="222" spans="1:8">
      <c r="A222" s="28"/>
      <c r="B222" s="29"/>
      <c r="C222" s="30" t="str">
        <f>IFERROR(_xlfn.XLOOKUP(B222,Transporte[DESCRIPCION],Transporte[UND],,0),"")</f>
        <v/>
      </c>
      <c r="D222" s="31"/>
      <c r="E222" s="32" t="str">
        <f>IFERROR(_xlfn.XLOOKUP($B222,Transporte[DESCRIPCION],Transporte[VALOR],,0),"")</f>
        <v/>
      </c>
      <c r="F222" s="33"/>
      <c r="G222" s="34" t="str">
        <f>IFERROR(IF(F222&gt;=0,D222*E222*(1+F222/100),ABS(D222*E222/F222)),"")</f>
        <v/>
      </c>
      <c r="H222" s="43" t="str">
        <f>IFERROR(G222*E208,"")</f>
        <v/>
      </c>
    </row>
    <row r="223" spans="1:8">
      <c r="A223" s="21"/>
      <c r="B223" s="22" t="s">
        <v>3732</v>
      </c>
      <c r="C223" s="23"/>
      <c r="D223" s="24"/>
      <c r="E223" s="25"/>
      <c r="F223" s="26"/>
      <c r="G223" s="27">
        <f>SUM(G224:G226)</f>
        <v>9897.4866022500028</v>
      </c>
      <c r="H223" s="44">
        <f>G223*E208</f>
        <v>0</v>
      </c>
    </row>
    <row r="224" spans="1:8">
      <c r="A224" s="28"/>
      <c r="B224" s="29" t="s">
        <v>3705</v>
      </c>
      <c r="C224" s="30" t="str">
        <f>IFERROR(_xlfn.XLOOKUP(B224,MObra[DESCRIPCION],MObra[UN],,0),"")</f>
        <v>día</v>
      </c>
      <c r="D224" s="31">
        <v>1</v>
      </c>
      <c r="E224" s="32">
        <f>IFERROR(_xlfn.XLOOKUP($B224,MObra[DESCRIPCION],MObra[VALOR UNIT],,0),"")</f>
        <v>197949.73204500004</v>
      </c>
      <c r="F224" s="33">
        <v>-20</v>
      </c>
      <c r="G224" s="34">
        <f>IFERROR(IF(F224&gt;=0,D224*E224*(1+F224/100),ABS(D224*E224/F224)),"")</f>
        <v>9897.4866022500028</v>
      </c>
      <c r="H224" s="43">
        <f>IFERROR(G224*E208,"")</f>
        <v>0</v>
      </c>
    </row>
    <row r="225" spans="1:11">
      <c r="A225" s="28"/>
      <c r="B225" s="29"/>
      <c r="C225" s="30" t="str">
        <f t="array" ref="C225">IFERROR(_xlfn.XLOOKUP(B225,MObra[[#All],[DESCRIPCION]],MObra[[#All],[UN]],,0),"")</f>
        <v/>
      </c>
      <c r="D225" s="31"/>
      <c r="E225" s="32" t="str">
        <f>IFERROR(_xlfn.XLOOKUP($B225,MObra[DESCRIPCION],MObra[VALOR UNIT],,0),"")</f>
        <v/>
      </c>
      <c r="F225" s="33"/>
      <c r="G225" s="34" t="str">
        <f>IFERROR(IF(F225&gt;=0,D225*E225*(1+F225/100),ABS(D225*E225/F225)),"")</f>
        <v/>
      </c>
      <c r="H225" s="43" t="str">
        <f>IFERROR(G225*E208,"")</f>
        <v/>
      </c>
    </row>
    <row r="226" spans="1:11">
      <c r="A226" s="35"/>
      <c r="B226" s="36"/>
      <c r="C226" s="37" t="str">
        <f t="array" ref="C226">IFERROR(_xlfn.XLOOKUP(B226,MObra[[#All],[DESCRIPCION]],MObra[[#All],[UN]],,0),"")</f>
        <v/>
      </c>
      <c r="D226" s="38"/>
      <c r="E226" s="39" t="str">
        <f>IFERROR(_xlfn.XLOOKUP($B226,MObra[DESCRIPCION],MObra[VALOR UNIT],,0),"")</f>
        <v/>
      </c>
      <c r="F226" s="40"/>
      <c r="G226" s="41" t="str">
        <f>IFERROR(IF(F226&gt;=0,D226*E226*(1+F226/100),ABS(D226*E226/F226)),"")</f>
        <v/>
      </c>
      <c r="H226" s="42" t="str">
        <f>IFERROR(G226*E208,"")</f>
        <v/>
      </c>
    </row>
    <row r="228" spans="1:11">
      <c r="A228" s="6" t="s">
        <v>621</v>
      </c>
      <c r="B228" s="7" t="str">
        <f>VLOOKUP($A228,Presupuesto!$A:$D,2,FALSE())</f>
        <v>Calado cerámica figuras 0.20x0.20x0.10/0.12</v>
      </c>
      <c r="C228" s="8" t="str">
        <f>VLOOKUP($A228,Presupuesto!$A:$D,3,FALSE())</f>
        <v>M2</v>
      </c>
      <c r="D228" s="9"/>
      <c r="E228" s="10">
        <f>VLOOKUP($A228,Presupuesto!$A:$D,4,FALSE())</f>
        <v>0</v>
      </c>
      <c r="F228" s="11" t="s">
        <v>2589</v>
      </c>
      <c r="G228" s="12">
        <f>SUM(G230:G246)/2</f>
        <v>151104.72964894274</v>
      </c>
      <c r="H228" s="13">
        <f>ROUND(SUM(H230:H246),0)/2</f>
        <v>0</v>
      </c>
      <c r="I228" s="10">
        <f>VLOOKUP(A228,Presupuesto!$A:$F,6,0)</f>
        <v>0</v>
      </c>
      <c r="J228" s="10">
        <f>+H228-I228</f>
        <v>0</v>
      </c>
      <c r="K228" s="46">
        <f>+H228-G228*E228</f>
        <v>0</v>
      </c>
    </row>
    <row r="229" spans="1:11">
      <c r="A229" s="14"/>
      <c r="B229" s="15" t="s">
        <v>2586</v>
      </c>
      <c r="C229" s="15" t="s">
        <v>5</v>
      </c>
      <c r="D229" s="16" t="s">
        <v>6</v>
      </c>
      <c r="E229" s="17" t="s">
        <v>7</v>
      </c>
      <c r="F229" s="18" t="s">
        <v>3728</v>
      </c>
      <c r="G229" s="19" t="s">
        <v>3729</v>
      </c>
      <c r="H229" s="20" t="s">
        <v>3797</v>
      </c>
    </row>
    <row r="230" spans="1:11">
      <c r="A230" s="21"/>
      <c r="B230" s="22" t="s">
        <v>3730</v>
      </c>
      <c r="C230" s="23"/>
      <c r="D230" s="24"/>
      <c r="E230" s="25"/>
      <c r="F230" s="26"/>
      <c r="G230" s="27">
        <f>SUM(G231:G235)</f>
        <v>95481.750644442756</v>
      </c>
      <c r="H230" s="27">
        <f>IFERROR(G230*E228,"")</f>
        <v>0</v>
      </c>
    </row>
    <row r="231" spans="1:11">
      <c r="A231" s="28"/>
      <c r="B231" s="29" t="s">
        <v>2809</v>
      </c>
      <c r="C231" s="30" t="str">
        <f>IFERROR(_xlfn.XLOOKUP(B231,Insumo[DESCRIPCION],Insumo[UND],,0),"")</f>
        <v>Un</v>
      </c>
      <c r="D231" s="31">
        <v>25</v>
      </c>
      <c r="E231" s="32">
        <f>IFERROR(_xlfn.XLOOKUP($B231,Insumo[DESCRIPCION],Insumo[VALOR],,0),"")</f>
        <v>3258.15</v>
      </c>
      <c r="F231" s="33">
        <v>5</v>
      </c>
      <c r="G231" s="34">
        <f>IFERROR(IF(F231&gt;=0,D231*E231*(1+F231/100),ABS(D231*E231/F231)),"")</f>
        <v>85526.4375</v>
      </c>
      <c r="H231" s="43">
        <f>IFERROR(G231*E228,"")</f>
        <v>0</v>
      </c>
    </row>
    <row r="232" spans="1:11">
      <c r="A232" s="28"/>
      <c r="B232" s="29" t="s">
        <v>3244</v>
      </c>
      <c r="C232" s="30" t="str">
        <f>IFERROR(_xlfn.XLOOKUP(B232,Insumo[DESCRIPCION],Insumo[UND],,0),"")</f>
        <v>M3</v>
      </c>
      <c r="D232" s="31">
        <v>0.02</v>
      </c>
      <c r="E232" s="32">
        <f>IFERROR(_xlfn.XLOOKUP($B232,Insumo[DESCRIPCION],Insumo[VALOR],,0),"")</f>
        <v>497765.65722213761</v>
      </c>
      <c r="F232" s="33"/>
      <c r="G232" s="34">
        <f>IFERROR(IF(F232&gt;=0,D232*E232*(1+F232/100),ABS(D232*E232/F232)),"")</f>
        <v>9955.3131444427527</v>
      </c>
      <c r="H232" s="43">
        <f>IFERROR(G232*E228,"")</f>
        <v>0</v>
      </c>
    </row>
    <row r="233" spans="1:11">
      <c r="A233" s="28"/>
      <c r="B233" s="29"/>
      <c r="C233" s="30" t="str">
        <f>IFERROR(_xlfn.XLOOKUP(B233,Insumo[DESCRIPCION],Insumo[UND],,0),"")</f>
        <v/>
      </c>
      <c r="D233" s="31"/>
      <c r="E233" s="32" t="str">
        <f>IFERROR(_xlfn.XLOOKUP($B233,Insumo[DESCRIPCION],Insumo[VALOR],,0),"")</f>
        <v/>
      </c>
      <c r="F233" s="33"/>
      <c r="G233" s="34" t="str">
        <f>IFERROR(IF(F233&gt;=0,D233*E233*(1+F233/100),ABS(D233*E233/F233)),"")</f>
        <v/>
      </c>
      <c r="H233" s="43" t="str">
        <f>IFERROR(G233*E228,"")</f>
        <v/>
      </c>
    </row>
    <row r="234" spans="1:11">
      <c r="A234" s="28"/>
      <c r="B234" s="29"/>
      <c r="C234" s="30" t="str">
        <f>IFERROR(_xlfn.XLOOKUP(B234,Insumo[DESCRIPCION],Insumo[UND],,0),"")</f>
        <v/>
      </c>
      <c r="D234" s="31"/>
      <c r="E234" s="32" t="str">
        <f>IFERROR(_xlfn.XLOOKUP($B234,Insumo[DESCRIPCION],Insumo[VALOR],,0),"")</f>
        <v/>
      </c>
      <c r="F234" s="33"/>
      <c r="G234" s="34" t="str">
        <f>IFERROR(IF(F234&gt;=0,D234*E234*(1+F234/100),ABS(D234*E234/F234)),"")</f>
        <v/>
      </c>
      <c r="H234" s="43" t="str">
        <f>IFERROR(G234*E228,"")</f>
        <v/>
      </c>
    </row>
    <row r="235" spans="1:11">
      <c r="A235" s="28"/>
      <c r="B235" s="29"/>
      <c r="C235" s="30" t="str">
        <f>IFERROR(_xlfn.XLOOKUP(B235,Insumo[DESCRIPCION],Insumo[UND],,0),"")</f>
        <v/>
      </c>
      <c r="D235" s="31"/>
      <c r="E235" s="32" t="str">
        <f>IFERROR(_xlfn.XLOOKUP($B235,Insumo[DESCRIPCION],Insumo[VALOR],,0),"")</f>
        <v/>
      </c>
      <c r="F235" s="33"/>
      <c r="G235" s="34" t="str">
        <f>IFERROR(IF(F235&gt;=0,D235*E235*(1+F235/100),ABS(D235*E235/F235)),"")</f>
        <v/>
      </c>
      <c r="H235" s="43" t="str">
        <f>IFERROR(G235*E228,"")</f>
        <v/>
      </c>
    </row>
    <row r="236" spans="1:11">
      <c r="A236" s="21"/>
      <c r="B236" s="22" t="s">
        <v>3731</v>
      </c>
      <c r="C236" s="23"/>
      <c r="D236" s="24"/>
      <c r="E236" s="25"/>
      <c r="F236" s="26"/>
      <c r="G236" s="27">
        <f>SUM(G237:G239)</f>
        <v>7255.1711745000011</v>
      </c>
      <c r="H236" s="44">
        <f>G236*E228</f>
        <v>0</v>
      </c>
    </row>
    <row r="237" spans="1:11">
      <c r="A237" s="28"/>
      <c r="B237" s="29" t="s">
        <v>3573</v>
      </c>
      <c r="C237" s="30" t="str">
        <f>IFERROR(_xlfn.XLOOKUP(B237,Equipo[DESCRIPCION],Equipo[UND],,0),"")</f>
        <v>%MO</v>
      </c>
      <c r="D237" s="31">
        <v>0.1</v>
      </c>
      <c r="E237" s="32">
        <f>IF(C237="%MO",G243,IFERROR(_xlfn.XLOOKUP($B237,Equipo[DESCRIPCION],Equipo[VALOR],,0),""))</f>
        <v>48367.807830000012</v>
      </c>
      <c r="F237" s="33"/>
      <c r="G237" s="34">
        <f>IFERROR(IF(F237&gt;=0,D237*E237*(1+F237/100),ABS(D237*E237/F237)),"")</f>
        <v>4836.7807830000011</v>
      </c>
      <c r="H237" s="43">
        <f>IFERROR(G237*E228,"")</f>
        <v>0</v>
      </c>
    </row>
    <row r="238" spans="1:11">
      <c r="A238" s="28"/>
      <c r="B238" s="29" t="s">
        <v>3626</v>
      </c>
      <c r="C238" s="30" t="str">
        <f>IFERROR(_xlfn.XLOOKUP(B238,Equipo[DESCRIPCION],Equipo[UND],,0),"")</f>
        <v>%MO</v>
      </c>
      <c r="D238" s="31">
        <v>0.05</v>
      </c>
      <c r="E238" s="32">
        <f>IF(C238="%MO",G243,IFERROR(_xlfn.XLOOKUP($B238,Equipo[DESCRIPCION],Equipo[VALOR],,0),""))</f>
        <v>48367.807830000012</v>
      </c>
      <c r="F238" s="33"/>
      <c r="G238" s="34">
        <f>IFERROR(IF(F238&gt;=0,D238*E238*(1+F238/100),ABS(D238*E238/F238)),"")</f>
        <v>2418.3903915000005</v>
      </c>
      <c r="H238" s="43">
        <f>IFERROR(G238*E228,"")</f>
        <v>0</v>
      </c>
    </row>
    <row r="239" spans="1:11">
      <c r="A239" s="28"/>
      <c r="B239" s="29"/>
      <c r="C239" s="30" t="str">
        <f>IFERROR(_xlfn.XLOOKUP(B239,Equipo[DESCRIPCION],Equipo[UND],,0),"")</f>
        <v/>
      </c>
      <c r="D239" s="31"/>
      <c r="E239" s="32" t="str">
        <f>IF(C239="%MO",G243,IFERROR(_xlfn.XLOOKUP($B239,Equipo[DESCRIPCION],Equipo[VALOR],,0),""))</f>
        <v/>
      </c>
      <c r="F239" s="33"/>
      <c r="G239" s="34" t="str">
        <f>IFERROR(IF(F239&gt;=0,D239*E239*(1+F239/100),ABS(D239*E239/F239)),"")</f>
        <v/>
      </c>
      <c r="H239" s="43" t="str">
        <f>IFERROR(G239*E228,"")</f>
        <v/>
      </c>
    </row>
    <row r="240" spans="1:11">
      <c r="A240" s="21"/>
      <c r="B240" s="22" t="s">
        <v>2533</v>
      </c>
      <c r="C240" s="23"/>
      <c r="D240" s="24"/>
      <c r="E240" s="25"/>
      <c r="F240" s="26"/>
      <c r="G240" s="27">
        <f>SUM(G241:G242)</f>
        <v>0</v>
      </c>
      <c r="H240" s="44">
        <f>G240*E228</f>
        <v>0</v>
      </c>
    </row>
    <row r="241" spans="1:11">
      <c r="A241" s="28"/>
      <c r="B241" s="29"/>
      <c r="C241" s="30" t="str">
        <f>IFERROR(_xlfn.XLOOKUP(B241,Transporte[DESCRIPCION],Transporte[UND],,0),"")</f>
        <v/>
      </c>
      <c r="D241" s="31"/>
      <c r="E241" s="32" t="str">
        <f>IFERROR(_xlfn.XLOOKUP($B241,Transporte[DESCRIPCION],Transporte[VALOR],,0),"")</f>
        <v/>
      </c>
      <c r="F241" s="33"/>
      <c r="G241" s="34" t="str">
        <f>IFERROR(IF(F241&gt;=0,D241*E241*(1+F241/100),ABS(D241*E241/F241)),"")</f>
        <v/>
      </c>
      <c r="H241" s="43" t="str">
        <f>IFERROR(G241*E228,"")</f>
        <v/>
      </c>
    </row>
    <row r="242" spans="1:11">
      <c r="A242" s="28"/>
      <c r="B242" s="29"/>
      <c r="C242" s="30" t="str">
        <f>IFERROR(_xlfn.XLOOKUP(B242,Transporte[DESCRIPCION],Transporte[UND],,0),"")</f>
        <v/>
      </c>
      <c r="D242" s="31"/>
      <c r="E242" s="32" t="str">
        <f>IFERROR(_xlfn.XLOOKUP($B242,Transporte[DESCRIPCION],Transporte[VALOR],,0),"")</f>
        <v/>
      </c>
      <c r="F242" s="33"/>
      <c r="G242" s="34" t="str">
        <f>IFERROR(IF(F242&gt;=0,D242*E242*(1+F242/100),ABS(D242*E242/F242)),"")</f>
        <v/>
      </c>
      <c r="H242" s="43" t="str">
        <f>IFERROR(G242*E228,"")</f>
        <v/>
      </c>
    </row>
    <row r="243" spans="1:11">
      <c r="A243" s="21"/>
      <c r="B243" s="22" t="s">
        <v>3732</v>
      </c>
      <c r="C243" s="23"/>
      <c r="D243" s="24"/>
      <c r="E243" s="25"/>
      <c r="F243" s="26"/>
      <c r="G243" s="27">
        <f>SUM(G244:G246)</f>
        <v>48367.807830000012</v>
      </c>
      <c r="H243" s="44">
        <f>G243*E228</f>
        <v>0</v>
      </c>
    </row>
    <row r="244" spans="1:11">
      <c r="A244" s="28"/>
      <c r="B244" s="29" t="s">
        <v>3710</v>
      </c>
      <c r="C244" s="30" t="str">
        <f>IFERROR(_xlfn.XLOOKUP(B244,MObra[DESCRIPCION],MObra[UN],,0),"")</f>
        <v>día</v>
      </c>
      <c r="D244" s="31">
        <v>1</v>
      </c>
      <c r="E244" s="32">
        <f>IFERROR(_xlfn.XLOOKUP($B244,MObra[DESCRIPCION],MObra[VALOR UNIT],,0),"")</f>
        <v>314390.75089500006</v>
      </c>
      <c r="F244" s="33">
        <v>-6.5</v>
      </c>
      <c r="G244" s="34">
        <f>IFERROR(IF(F244&gt;=0,D244*E244*(1+F244/100),ABS(D244*E244/F244)),"")</f>
        <v>48367.807830000012</v>
      </c>
      <c r="H244" s="43">
        <f>IFERROR(G244*E228,"")</f>
        <v>0</v>
      </c>
    </row>
    <row r="245" spans="1:11">
      <c r="A245" s="28"/>
      <c r="B245" s="29"/>
      <c r="C245" s="30" t="str">
        <f t="array" ref="C245">IFERROR(_xlfn.XLOOKUP(B245,MObra[[#All],[DESCRIPCION]],MObra[[#All],[UN]],,0),"")</f>
        <v/>
      </c>
      <c r="D245" s="31"/>
      <c r="E245" s="32" t="str">
        <f>IFERROR(_xlfn.XLOOKUP($B245,MObra[DESCRIPCION],MObra[VALOR UNIT],,0),"")</f>
        <v/>
      </c>
      <c r="F245" s="33"/>
      <c r="G245" s="34" t="str">
        <f>IFERROR(IF(F245&gt;=0,D245*E245*(1+F245/100),ABS(D245*E245/F245)),"")</f>
        <v/>
      </c>
      <c r="H245" s="43" t="str">
        <f>IFERROR(G245*E228,"")</f>
        <v/>
      </c>
    </row>
    <row r="246" spans="1:11">
      <c r="A246" s="35"/>
      <c r="B246" s="36"/>
      <c r="C246" s="37" t="str">
        <f t="array" ref="C246">IFERROR(_xlfn.XLOOKUP(B246,MObra[[#All],[DESCRIPCION]],MObra[[#All],[UN]],,0),"")</f>
        <v/>
      </c>
      <c r="D246" s="38"/>
      <c r="E246" s="39" t="str">
        <f>IFERROR(_xlfn.XLOOKUP($B246,MObra[DESCRIPCION],MObra[VALOR UNIT],,0),"")</f>
        <v/>
      </c>
      <c r="F246" s="40"/>
      <c r="G246" s="41" t="str">
        <f>IFERROR(IF(F246&gt;=0,D246*E246*(1+F246/100),ABS(D246*E246/F246)),"")</f>
        <v/>
      </c>
      <c r="H246" s="42" t="str">
        <f>IFERROR(G246*E228,"")</f>
        <v/>
      </c>
    </row>
    <row r="248" spans="1:11">
      <c r="A248" s="6" t="s">
        <v>623</v>
      </c>
      <c r="B248" s="7" t="str">
        <f>VLOOKUP($A248,Presupuesto!$A:$D,2,FALSE())</f>
        <v>Cenefa calado - cerámica 0.2 x 0.2 1 hilada</v>
      </c>
      <c r="C248" s="8" t="str">
        <f>VLOOKUP($A248,Presupuesto!$A:$D,3,FALSE())</f>
        <v>M</v>
      </c>
      <c r="D248" s="9"/>
      <c r="E248" s="10">
        <f>VLOOKUP($A248,Presupuesto!$A:$D,4,FALSE())</f>
        <v>0</v>
      </c>
      <c r="F248" s="11" t="s">
        <v>2589</v>
      </c>
      <c r="G248" s="12">
        <f>SUM(G250:G266)/2</f>
        <v>49894.433574471383</v>
      </c>
      <c r="H248" s="13">
        <f>ROUND(SUM(H250:H266),0)/2</f>
        <v>0</v>
      </c>
      <c r="I248" s="10">
        <f>VLOOKUP(A248,Presupuesto!$A:$F,6,0)</f>
        <v>0</v>
      </c>
      <c r="J248" s="10">
        <f>+H248-I248</f>
        <v>0</v>
      </c>
      <c r="K248" s="46">
        <f>+H248-G248*E248</f>
        <v>0</v>
      </c>
    </row>
    <row r="249" spans="1:11">
      <c r="A249" s="14"/>
      <c r="B249" s="15" t="s">
        <v>2586</v>
      </c>
      <c r="C249" s="15" t="s">
        <v>5</v>
      </c>
      <c r="D249" s="16" t="s">
        <v>6</v>
      </c>
      <c r="E249" s="17" t="s">
        <v>7</v>
      </c>
      <c r="F249" s="18" t="s">
        <v>3728</v>
      </c>
      <c r="G249" s="19" t="s">
        <v>3729</v>
      </c>
      <c r="H249" s="20" t="s">
        <v>3797</v>
      </c>
    </row>
    <row r="250" spans="1:11">
      <c r="A250" s="21"/>
      <c r="B250" s="22" t="s">
        <v>3730</v>
      </c>
      <c r="C250" s="23"/>
      <c r="D250" s="24"/>
      <c r="E250" s="25"/>
      <c r="F250" s="26"/>
      <c r="G250" s="27">
        <f>SUM(G251:G255)</f>
        <v>22082.944072221377</v>
      </c>
      <c r="H250" s="27">
        <f>IFERROR(G250*E248,"")</f>
        <v>0</v>
      </c>
    </row>
    <row r="251" spans="1:11">
      <c r="A251" s="28"/>
      <c r="B251" s="29" t="s">
        <v>2809</v>
      </c>
      <c r="C251" s="30" t="str">
        <f>IFERROR(_xlfn.XLOOKUP(B251,Insumo[DESCRIPCION],Insumo[UND],,0),"")</f>
        <v>Un</v>
      </c>
      <c r="D251" s="31">
        <v>5</v>
      </c>
      <c r="E251" s="32">
        <f>IFERROR(_xlfn.XLOOKUP($B251,Insumo[DESCRIPCION],Insumo[VALOR],,0),"")</f>
        <v>3258.15</v>
      </c>
      <c r="F251" s="33">
        <v>5</v>
      </c>
      <c r="G251" s="34">
        <f>IFERROR(IF(F251&gt;=0,D251*E251*(1+F251/100),ABS(D251*E251/F251)),"")</f>
        <v>17105.287500000002</v>
      </c>
      <c r="H251" s="43">
        <f>IFERROR(G251*E248,"")</f>
        <v>0</v>
      </c>
    </row>
    <row r="252" spans="1:11">
      <c r="A252" s="28"/>
      <c r="B252" s="29" t="s">
        <v>3244</v>
      </c>
      <c r="C252" s="30" t="str">
        <f>IFERROR(_xlfn.XLOOKUP(B252,Insumo[DESCRIPCION],Insumo[UND],,0),"")</f>
        <v>M3</v>
      </c>
      <c r="D252" s="31">
        <v>0.01</v>
      </c>
      <c r="E252" s="32">
        <f>IFERROR(_xlfn.XLOOKUP($B252,Insumo[DESCRIPCION],Insumo[VALOR],,0),"")</f>
        <v>497765.65722213761</v>
      </c>
      <c r="F252" s="33"/>
      <c r="G252" s="34">
        <f>IFERROR(IF(F252&gt;=0,D252*E252*(1+F252/100),ABS(D252*E252/F252)),"")</f>
        <v>4977.6565722213763</v>
      </c>
      <c r="H252" s="43">
        <f>IFERROR(G252*E248,"")</f>
        <v>0</v>
      </c>
    </row>
    <row r="253" spans="1:11">
      <c r="A253" s="28"/>
      <c r="B253" s="29"/>
      <c r="C253" s="30" t="str">
        <f>IFERROR(_xlfn.XLOOKUP(B253,Insumo[DESCRIPCION],Insumo[UND],,0),"")</f>
        <v/>
      </c>
      <c r="D253" s="31"/>
      <c r="E253" s="32" t="str">
        <f>IFERROR(_xlfn.XLOOKUP($B253,Insumo[DESCRIPCION],Insumo[VALOR],,0),"")</f>
        <v/>
      </c>
      <c r="F253" s="33"/>
      <c r="G253" s="34" t="str">
        <f>IFERROR(IF(F253&gt;=0,D253*E253*(1+F253/100),ABS(D253*E253/F253)),"")</f>
        <v/>
      </c>
      <c r="H253" s="43" t="str">
        <f>IFERROR(G253*E248,"")</f>
        <v/>
      </c>
    </row>
    <row r="254" spans="1:11">
      <c r="A254" s="28"/>
      <c r="B254" s="29"/>
      <c r="C254" s="30" t="str">
        <f>IFERROR(_xlfn.XLOOKUP(B254,Insumo[DESCRIPCION],Insumo[UND],,0),"")</f>
        <v/>
      </c>
      <c r="D254" s="31"/>
      <c r="E254" s="32" t="str">
        <f>IFERROR(_xlfn.XLOOKUP($B254,Insumo[DESCRIPCION],Insumo[VALOR],,0),"")</f>
        <v/>
      </c>
      <c r="F254" s="33"/>
      <c r="G254" s="34" t="str">
        <f>IFERROR(IF(F254&gt;=0,D254*E254*(1+F254/100),ABS(D254*E254/F254)),"")</f>
        <v/>
      </c>
      <c r="H254" s="43" t="str">
        <f>IFERROR(G254*E248,"")</f>
        <v/>
      </c>
    </row>
    <row r="255" spans="1:11">
      <c r="A255" s="28"/>
      <c r="B255" s="29"/>
      <c r="C255" s="30" t="str">
        <f>IFERROR(_xlfn.XLOOKUP(B255,Insumo[DESCRIPCION],Insumo[UND],,0),"")</f>
        <v/>
      </c>
      <c r="D255" s="31"/>
      <c r="E255" s="32" t="str">
        <f>IFERROR(_xlfn.XLOOKUP($B255,Insumo[DESCRIPCION],Insumo[VALOR],,0),"")</f>
        <v/>
      </c>
      <c r="F255" s="33"/>
      <c r="G255" s="34" t="str">
        <f>IFERROR(IF(F255&gt;=0,D255*E255*(1+F255/100),ABS(D255*E255/F255)),"")</f>
        <v/>
      </c>
      <c r="H255" s="43" t="str">
        <f>IFERROR(G255*E248,"")</f>
        <v/>
      </c>
    </row>
    <row r="256" spans="1:11">
      <c r="A256" s="21"/>
      <c r="B256" s="22" t="s">
        <v>3731</v>
      </c>
      <c r="C256" s="23"/>
      <c r="D256" s="24"/>
      <c r="E256" s="25"/>
      <c r="F256" s="26"/>
      <c r="G256" s="27">
        <f>SUM(G257:G259)</f>
        <v>3627.5855872500006</v>
      </c>
      <c r="H256" s="44">
        <f>G256*E248</f>
        <v>0</v>
      </c>
    </row>
    <row r="257" spans="1:11">
      <c r="A257" s="28"/>
      <c r="B257" s="29" t="s">
        <v>3573</v>
      </c>
      <c r="C257" s="30" t="str">
        <f>IFERROR(_xlfn.XLOOKUP(B257,Equipo[DESCRIPCION],Equipo[UND],,0),"")</f>
        <v>%MO</v>
      </c>
      <c r="D257" s="31">
        <v>0.1</v>
      </c>
      <c r="E257" s="32">
        <f>IF(C257="%MO",G263,IFERROR(_xlfn.XLOOKUP($B257,Equipo[DESCRIPCION],Equipo[VALOR],,0),""))</f>
        <v>24183.903915000006</v>
      </c>
      <c r="F257" s="33"/>
      <c r="G257" s="34">
        <f>IFERROR(IF(F257&gt;=0,D257*E257*(1+F257/100),ABS(D257*E257/F257)),"")</f>
        <v>2418.3903915000005</v>
      </c>
      <c r="H257" s="43">
        <f>IFERROR(G257*E248,"")</f>
        <v>0</v>
      </c>
    </row>
    <row r="258" spans="1:11">
      <c r="A258" s="28"/>
      <c r="B258" s="29" t="s">
        <v>3626</v>
      </c>
      <c r="C258" s="30" t="str">
        <f>IFERROR(_xlfn.XLOOKUP(B258,Equipo[DESCRIPCION],Equipo[UND],,0),"")</f>
        <v>%MO</v>
      </c>
      <c r="D258" s="31">
        <v>0.05</v>
      </c>
      <c r="E258" s="32">
        <f>IF(C258="%MO",G263,IFERROR(_xlfn.XLOOKUP($B258,Equipo[DESCRIPCION],Equipo[VALOR],,0),""))</f>
        <v>24183.903915000006</v>
      </c>
      <c r="F258" s="33"/>
      <c r="G258" s="34">
        <f>IFERROR(IF(F258&gt;=0,D258*E258*(1+F258/100),ABS(D258*E258/F258)),"")</f>
        <v>1209.1951957500003</v>
      </c>
      <c r="H258" s="43">
        <f>IFERROR(G258*E248,"")</f>
        <v>0</v>
      </c>
    </row>
    <row r="259" spans="1:11">
      <c r="A259" s="28"/>
      <c r="B259" s="29"/>
      <c r="C259" s="30" t="str">
        <f>IFERROR(_xlfn.XLOOKUP(B259,Equipo[DESCRIPCION],Equipo[UND],,0),"")</f>
        <v/>
      </c>
      <c r="D259" s="31"/>
      <c r="E259" s="32" t="str">
        <f>IF(C259="%MO",G263,IFERROR(_xlfn.XLOOKUP($B259,Equipo[DESCRIPCION],Equipo[VALOR],,0),""))</f>
        <v/>
      </c>
      <c r="F259" s="33"/>
      <c r="G259" s="34" t="str">
        <f>IFERROR(IF(F259&gt;=0,D259*E259*(1+F259/100),ABS(D259*E259/F259)),"")</f>
        <v/>
      </c>
      <c r="H259" s="43" t="str">
        <f>IFERROR(G259*E248,"")</f>
        <v/>
      </c>
    </row>
    <row r="260" spans="1:11">
      <c r="A260" s="21"/>
      <c r="B260" s="22" t="s">
        <v>2533</v>
      </c>
      <c r="C260" s="23"/>
      <c r="D260" s="24"/>
      <c r="E260" s="25"/>
      <c r="F260" s="26"/>
      <c r="G260" s="27">
        <f>SUM(G261:G262)</f>
        <v>0</v>
      </c>
      <c r="H260" s="44">
        <f>G260*E248</f>
        <v>0</v>
      </c>
    </row>
    <row r="261" spans="1:11">
      <c r="A261" s="28"/>
      <c r="B261" s="29"/>
      <c r="C261" s="30" t="str">
        <f>IFERROR(_xlfn.XLOOKUP(B261,Transporte[DESCRIPCION],Transporte[UND],,0),"")</f>
        <v/>
      </c>
      <c r="D261" s="31"/>
      <c r="E261" s="32" t="str">
        <f>IFERROR(_xlfn.XLOOKUP($B261,Transporte[DESCRIPCION],Transporte[VALOR],,0),"")</f>
        <v/>
      </c>
      <c r="F261" s="33"/>
      <c r="G261" s="34" t="str">
        <f>IFERROR(IF(F261&gt;=0,D261*E261*(1+F261/100),ABS(D261*E261/F261)),"")</f>
        <v/>
      </c>
      <c r="H261" s="43" t="str">
        <f>IFERROR(G261*E248,"")</f>
        <v/>
      </c>
    </row>
    <row r="262" spans="1:11">
      <c r="A262" s="28"/>
      <c r="B262" s="29"/>
      <c r="C262" s="30" t="str">
        <f>IFERROR(_xlfn.XLOOKUP(B262,Transporte[DESCRIPCION],Transporte[UND],,0),"")</f>
        <v/>
      </c>
      <c r="D262" s="31"/>
      <c r="E262" s="32" t="str">
        <f>IFERROR(_xlfn.XLOOKUP($B262,Transporte[DESCRIPCION],Transporte[VALOR],,0),"")</f>
        <v/>
      </c>
      <c r="F262" s="33"/>
      <c r="G262" s="34" t="str">
        <f>IFERROR(IF(F262&gt;=0,D262*E262*(1+F262/100),ABS(D262*E262/F262)),"")</f>
        <v/>
      </c>
      <c r="H262" s="43" t="str">
        <f>IFERROR(G262*E248,"")</f>
        <v/>
      </c>
    </row>
    <row r="263" spans="1:11">
      <c r="A263" s="21"/>
      <c r="B263" s="22" t="s">
        <v>3732</v>
      </c>
      <c r="C263" s="23"/>
      <c r="D263" s="24"/>
      <c r="E263" s="25"/>
      <c r="F263" s="26"/>
      <c r="G263" s="27">
        <f>SUM(G264:G266)</f>
        <v>24183.903915000006</v>
      </c>
      <c r="H263" s="44">
        <f>G263*E248</f>
        <v>0</v>
      </c>
    </row>
    <row r="264" spans="1:11">
      <c r="A264" s="28"/>
      <c r="B264" s="29" t="s">
        <v>3710</v>
      </c>
      <c r="C264" s="30" t="str">
        <f>IFERROR(_xlfn.XLOOKUP(B264,MObra[DESCRIPCION],MObra[UN],,0),"")</f>
        <v>día</v>
      </c>
      <c r="D264" s="31">
        <v>1</v>
      </c>
      <c r="E264" s="32">
        <f>IFERROR(_xlfn.XLOOKUP($B264,MObra[DESCRIPCION],MObra[VALOR UNIT],,0),"")</f>
        <v>314390.75089500006</v>
      </c>
      <c r="F264" s="33">
        <v>-13</v>
      </c>
      <c r="G264" s="34">
        <f>IFERROR(IF(F264&gt;=0,D264*E264*(1+F264/100),ABS(D264*E264/F264)),"")</f>
        <v>24183.903915000006</v>
      </c>
      <c r="H264" s="43">
        <f>IFERROR(G264*E248,"")</f>
        <v>0</v>
      </c>
    </row>
    <row r="265" spans="1:11">
      <c r="A265" s="28"/>
      <c r="B265" s="29"/>
      <c r="C265" s="30" t="str">
        <f t="array" ref="C265">IFERROR(_xlfn.XLOOKUP(B265,MObra[[#All],[DESCRIPCION]],MObra[[#All],[UN]],,0),"")</f>
        <v/>
      </c>
      <c r="D265" s="31"/>
      <c r="E265" s="32" t="str">
        <f>IFERROR(_xlfn.XLOOKUP($B265,MObra[DESCRIPCION],MObra[VALOR UNIT],,0),"")</f>
        <v/>
      </c>
      <c r="F265" s="33"/>
      <c r="G265" s="34" t="str">
        <f>IFERROR(IF(F265&gt;=0,D265*E265*(1+F265/100),ABS(D265*E265/F265)),"")</f>
        <v/>
      </c>
      <c r="H265" s="43" t="str">
        <f>IFERROR(G265*E248,"")</f>
        <v/>
      </c>
    </row>
    <row r="266" spans="1:11">
      <c r="A266" s="35"/>
      <c r="B266" s="36"/>
      <c r="C266" s="37" t="str">
        <f t="array" ref="C266">IFERROR(_xlfn.XLOOKUP(B266,MObra[[#All],[DESCRIPCION]],MObra[[#All],[UN]],,0),"")</f>
        <v/>
      </c>
      <c r="D266" s="38"/>
      <c r="E266" s="39" t="str">
        <f>IFERROR(_xlfn.XLOOKUP($B266,MObra[DESCRIPCION],MObra[VALOR UNIT],,0),"")</f>
        <v/>
      </c>
      <c r="F266" s="40"/>
      <c r="G266" s="41" t="str">
        <f>IFERROR(IF(F266&gt;=0,D266*E266*(1+F266/100),ABS(D266*E266/F266)),"")</f>
        <v/>
      </c>
      <c r="H266" s="42" t="str">
        <f>IFERROR(G266*E248,"")</f>
        <v/>
      </c>
    </row>
    <row r="268" spans="1:11">
      <c r="A268" s="6" t="s">
        <v>625</v>
      </c>
      <c r="B268" s="7" t="str">
        <f>VLOOKUP($A268,Presupuesto!$A:$D,2,FALSE())</f>
        <v>Cenefa ladrillo visto tizón 2 hiladas</v>
      </c>
      <c r="C268" s="8" t="str">
        <f>VLOOKUP($A268,Presupuesto!$A:$D,3,FALSE())</f>
        <v>M</v>
      </c>
      <c r="D268" s="9"/>
      <c r="E268" s="10">
        <f>VLOOKUP($A268,Presupuesto!$A:$D,4,FALSE())</f>
        <v>0</v>
      </c>
      <c r="F268" s="11" t="s">
        <v>2589</v>
      </c>
      <c r="G268" s="12">
        <f>SUM(G270:G286)/2</f>
        <v>87054.992148942765</v>
      </c>
      <c r="H268" s="13">
        <f>ROUND(SUM(H270:H286),0)/2</f>
        <v>0</v>
      </c>
      <c r="I268" s="10">
        <f>VLOOKUP(A268,Presupuesto!$A:$F,6,0)</f>
        <v>0</v>
      </c>
      <c r="J268" s="10">
        <f>+H268-I268</f>
        <v>0</v>
      </c>
      <c r="K268" s="46">
        <f>+H268-G268*E268</f>
        <v>0</v>
      </c>
    </row>
    <row r="269" spans="1:11">
      <c r="A269" s="14"/>
      <c r="B269" s="15" t="s">
        <v>2586</v>
      </c>
      <c r="C269" s="15" t="s">
        <v>5</v>
      </c>
      <c r="D269" s="16" t="s">
        <v>6</v>
      </c>
      <c r="E269" s="17" t="s">
        <v>7</v>
      </c>
      <c r="F269" s="18" t="s">
        <v>3728</v>
      </c>
      <c r="G269" s="19" t="s">
        <v>3729</v>
      </c>
      <c r="H269" s="20" t="s">
        <v>3797</v>
      </c>
    </row>
    <row r="270" spans="1:11">
      <c r="A270" s="21"/>
      <c r="B270" s="22" t="s">
        <v>3730</v>
      </c>
      <c r="C270" s="23"/>
      <c r="D270" s="24"/>
      <c r="E270" s="25"/>
      <c r="F270" s="26"/>
      <c r="G270" s="27">
        <f>SUM(G271:G275)</f>
        <v>31432.013144442753</v>
      </c>
      <c r="H270" s="27">
        <f>IFERROR(G270*E268,"")</f>
        <v>0</v>
      </c>
    </row>
    <row r="271" spans="1:11">
      <c r="A271" s="28"/>
      <c r="B271" s="29" t="s">
        <v>3021</v>
      </c>
      <c r="C271" s="30" t="str">
        <f>IFERROR(_xlfn.XLOOKUP(B271,Insumo[DESCRIPCION],Insumo[UND],,0),"")</f>
        <v>Un</v>
      </c>
      <c r="D271" s="31">
        <v>20</v>
      </c>
      <c r="E271" s="32">
        <f>IFERROR(_xlfn.XLOOKUP($B271,Insumo[DESCRIPCION],Insumo[VALOR],,0),"")</f>
        <v>1022.7</v>
      </c>
      <c r="F271" s="33">
        <v>5</v>
      </c>
      <c r="G271" s="34">
        <f>IFERROR(IF(F271&gt;=0,D271*E271*(1+F271/100),ABS(D271*E271/F271)),"")</f>
        <v>21476.7</v>
      </c>
      <c r="H271" s="43">
        <f>IFERROR(G271*E268,"")</f>
        <v>0</v>
      </c>
    </row>
    <row r="272" spans="1:11">
      <c r="A272" s="28"/>
      <c r="B272" s="29" t="s">
        <v>3244</v>
      </c>
      <c r="C272" s="30" t="str">
        <f>IFERROR(_xlfn.XLOOKUP(B272,Insumo[DESCRIPCION],Insumo[UND],,0),"")</f>
        <v>M3</v>
      </c>
      <c r="D272" s="31">
        <v>0.02</v>
      </c>
      <c r="E272" s="32">
        <f>IFERROR(_xlfn.XLOOKUP($B272,Insumo[DESCRIPCION],Insumo[VALOR],,0),"")</f>
        <v>497765.65722213761</v>
      </c>
      <c r="F272" s="33"/>
      <c r="G272" s="34">
        <f>IFERROR(IF(F272&gt;=0,D272*E272*(1+F272/100),ABS(D272*E272/F272)),"")</f>
        <v>9955.3131444427527</v>
      </c>
      <c r="H272" s="43">
        <f>IFERROR(G272*E268,"")</f>
        <v>0</v>
      </c>
    </row>
    <row r="273" spans="1:11">
      <c r="A273" s="28"/>
      <c r="B273" s="29"/>
      <c r="C273" s="30" t="str">
        <f>IFERROR(_xlfn.XLOOKUP(B273,Insumo[DESCRIPCION],Insumo[UND],,0),"")</f>
        <v/>
      </c>
      <c r="D273" s="31"/>
      <c r="E273" s="32" t="str">
        <f>IFERROR(_xlfn.XLOOKUP($B273,Insumo[DESCRIPCION],Insumo[VALOR],,0),"")</f>
        <v/>
      </c>
      <c r="F273" s="33"/>
      <c r="G273" s="34" t="str">
        <f>IFERROR(IF(F273&gt;=0,D273*E273*(1+F273/100),ABS(D273*E273/F273)),"")</f>
        <v/>
      </c>
      <c r="H273" s="43" t="str">
        <f>IFERROR(G273*E268,"")</f>
        <v/>
      </c>
    </row>
    <row r="274" spans="1:11">
      <c r="A274" s="28"/>
      <c r="B274" s="29"/>
      <c r="C274" s="30" t="str">
        <f>IFERROR(_xlfn.XLOOKUP(B274,Insumo[DESCRIPCION],Insumo[UND],,0),"")</f>
        <v/>
      </c>
      <c r="D274" s="31"/>
      <c r="E274" s="32" t="str">
        <f>IFERROR(_xlfn.XLOOKUP($B274,Insumo[DESCRIPCION],Insumo[VALOR],,0),"")</f>
        <v/>
      </c>
      <c r="F274" s="33"/>
      <c r="G274" s="34" t="str">
        <f>IFERROR(IF(F274&gt;=0,D274*E274*(1+F274/100),ABS(D274*E274/F274)),"")</f>
        <v/>
      </c>
      <c r="H274" s="43" t="str">
        <f>IFERROR(G274*E268,"")</f>
        <v/>
      </c>
    </row>
    <row r="275" spans="1:11">
      <c r="A275" s="28"/>
      <c r="B275" s="29"/>
      <c r="C275" s="30" t="str">
        <f>IFERROR(_xlfn.XLOOKUP(B275,Insumo[DESCRIPCION],Insumo[UND],,0),"")</f>
        <v/>
      </c>
      <c r="D275" s="31"/>
      <c r="E275" s="32" t="str">
        <f>IFERROR(_xlfn.XLOOKUP($B275,Insumo[DESCRIPCION],Insumo[VALOR],,0),"")</f>
        <v/>
      </c>
      <c r="F275" s="33"/>
      <c r="G275" s="34" t="str">
        <f>IFERROR(IF(F275&gt;=0,D275*E275*(1+F275/100),ABS(D275*E275/F275)),"")</f>
        <v/>
      </c>
      <c r="H275" s="43" t="str">
        <f>IFERROR(G275*E268,"")</f>
        <v/>
      </c>
    </row>
    <row r="276" spans="1:11">
      <c r="A276" s="21"/>
      <c r="B276" s="22" t="s">
        <v>3731</v>
      </c>
      <c r="C276" s="23"/>
      <c r="D276" s="24"/>
      <c r="E276" s="25"/>
      <c r="F276" s="26"/>
      <c r="G276" s="27">
        <f>SUM(G277:G279)</f>
        <v>7255.1711745000011</v>
      </c>
      <c r="H276" s="44">
        <f>G276*E268</f>
        <v>0</v>
      </c>
    </row>
    <row r="277" spans="1:11">
      <c r="A277" s="28"/>
      <c r="B277" s="29" t="s">
        <v>3573</v>
      </c>
      <c r="C277" s="30" t="str">
        <f>IFERROR(_xlfn.XLOOKUP(B277,Equipo[DESCRIPCION],Equipo[UND],,0),"")</f>
        <v>%MO</v>
      </c>
      <c r="D277" s="31">
        <v>0.1</v>
      </c>
      <c r="E277" s="32">
        <f>IF(C277="%MO",G283,IFERROR(_xlfn.XLOOKUP($B277,Equipo[DESCRIPCION],Equipo[VALOR],,0),""))</f>
        <v>48367.807830000012</v>
      </c>
      <c r="F277" s="33"/>
      <c r="G277" s="34">
        <f>IFERROR(IF(F277&gt;=0,D277*E277*(1+F277/100),ABS(D277*E277/F277)),"")</f>
        <v>4836.7807830000011</v>
      </c>
      <c r="H277" s="43">
        <f>IFERROR(G277*E268,"")</f>
        <v>0</v>
      </c>
    </row>
    <row r="278" spans="1:11">
      <c r="A278" s="28"/>
      <c r="B278" s="29" t="s">
        <v>3626</v>
      </c>
      <c r="C278" s="30" t="str">
        <f>IFERROR(_xlfn.XLOOKUP(B278,Equipo[DESCRIPCION],Equipo[UND],,0),"")</f>
        <v>%MO</v>
      </c>
      <c r="D278" s="31">
        <v>0.05</v>
      </c>
      <c r="E278" s="32">
        <f>IF(C278="%MO",G283,IFERROR(_xlfn.XLOOKUP($B278,Equipo[DESCRIPCION],Equipo[VALOR],,0),""))</f>
        <v>48367.807830000012</v>
      </c>
      <c r="F278" s="33"/>
      <c r="G278" s="34">
        <f>IFERROR(IF(F278&gt;=0,D278*E278*(1+F278/100),ABS(D278*E278/F278)),"")</f>
        <v>2418.3903915000005</v>
      </c>
      <c r="H278" s="43">
        <f>IFERROR(G278*E268,"")</f>
        <v>0</v>
      </c>
    </row>
    <row r="279" spans="1:11">
      <c r="A279" s="28"/>
      <c r="B279" s="29"/>
      <c r="C279" s="30" t="str">
        <f>IFERROR(_xlfn.XLOOKUP(B279,Equipo[DESCRIPCION],Equipo[UND],,0),"")</f>
        <v/>
      </c>
      <c r="D279" s="31"/>
      <c r="E279" s="32" t="str">
        <f>IF(C279="%MO",G283,IFERROR(_xlfn.XLOOKUP($B279,Equipo[DESCRIPCION],Equipo[VALOR],,0),""))</f>
        <v/>
      </c>
      <c r="F279" s="33"/>
      <c r="G279" s="34" t="str">
        <f>IFERROR(IF(F279&gt;=0,D279*E279*(1+F279/100),ABS(D279*E279/F279)),"")</f>
        <v/>
      </c>
      <c r="H279" s="43" t="str">
        <f>IFERROR(G279*E268,"")</f>
        <v/>
      </c>
    </row>
    <row r="280" spans="1:11">
      <c r="A280" s="21"/>
      <c r="B280" s="22" t="s">
        <v>2533</v>
      </c>
      <c r="C280" s="23"/>
      <c r="D280" s="24"/>
      <c r="E280" s="25"/>
      <c r="F280" s="26"/>
      <c r="G280" s="27">
        <f>SUM(G281:G282)</f>
        <v>0</v>
      </c>
      <c r="H280" s="44">
        <f>G280*E268</f>
        <v>0</v>
      </c>
    </row>
    <row r="281" spans="1:11">
      <c r="A281" s="28"/>
      <c r="B281" s="29"/>
      <c r="C281" s="30" t="str">
        <f>IFERROR(_xlfn.XLOOKUP(B281,Transporte[DESCRIPCION],Transporte[UND],,0),"")</f>
        <v/>
      </c>
      <c r="D281" s="31"/>
      <c r="E281" s="32" t="str">
        <f>IFERROR(_xlfn.XLOOKUP($B281,Transporte[DESCRIPCION],Transporte[VALOR],,0),"")</f>
        <v/>
      </c>
      <c r="F281" s="33"/>
      <c r="G281" s="34" t="str">
        <f>IFERROR(IF(F281&gt;=0,D281*E281*(1+F281/100),ABS(D281*E281/F281)),"")</f>
        <v/>
      </c>
      <c r="H281" s="43" t="str">
        <f>IFERROR(G281*E268,"")</f>
        <v/>
      </c>
    </row>
    <row r="282" spans="1:11">
      <c r="A282" s="28"/>
      <c r="B282" s="29"/>
      <c r="C282" s="30" t="str">
        <f>IFERROR(_xlfn.XLOOKUP(B282,Transporte[DESCRIPCION],Transporte[UND],,0),"")</f>
        <v/>
      </c>
      <c r="D282" s="31"/>
      <c r="E282" s="32" t="str">
        <f>IFERROR(_xlfn.XLOOKUP($B282,Transporte[DESCRIPCION],Transporte[VALOR],,0),"")</f>
        <v/>
      </c>
      <c r="F282" s="33"/>
      <c r="G282" s="34" t="str">
        <f>IFERROR(IF(F282&gt;=0,D282*E282*(1+F282/100),ABS(D282*E282/F282)),"")</f>
        <v/>
      </c>
      <c r="H282" s="43" t="str">
        <f>IFERROR(G282*E268,"")</f>
        <v/>
      </c>
    </row>
    <row r="283" spans="1:11">
      <c r="A283" s="21"/>
      <c r="B283" s="22" t="s">
        <v>3732</v>
      </c>
      <c r="C283" s="23"/>
      <c r="D283" s="24"/>
      <c r="E283" s="25"/>
      <c r="F283" s="26"/>
      <c r="G283" s="27">
        <f>SUM(G284:G286)</f>
        <v>48367.807830000012</v>
      </c>
      <c r="H283" s="44">
        <f>G283*E268</f>
        <v>0</v>
      </c>
    </row>
    <row r="284" spans="1:11">
      <c r="A284" s="28"/>
      <c r="B284" s="29" t="s">
        <v>3710</v>
      </c>
      <c r="C284" s="30" t="str">
        <f>IFERROR(_xlfn.XLOOKUP(B284,MObra[DESCRIPCION],MObra[UN],,0),"")</f>
        <v>día</v>
      </c>
      <c r="D284" s="31">
        <v>1</v>
      </c>
      <c r="E284" s="32">
        <f>IFERROR(_xlfn.XLOOKUP($B284,MObra[DESCRIPCION],MObra[VALOR UNIT],,0),"")</f>
        <v>314390.75089500006</v>
      </c>
      <c r="F284" s="33">
        <v>-6.5</v>
      </c>
      <c r="G284" s="34">
        <f>IFERROR(IF(F284&gt;=0,D284*E284*(1+F284/100),ABS(D284*E284/F284)),"")</f>
        <v>48367.807830000012</v>
      </c>
      <c r="H284" s="43">
        <f>IFERROR(G284*E268,"")</f>
        <v>0</v>
      </c>
    </row>
    <row r="285" spans="1:11">
      <c r="A285" s="28"/>
      <c r="B285" s="29"/>
      <c r="C285" s="30" t="str">
        <f t="array" ref="C285">IFERROR(_xlfn.XLOOKUP(B285,MObra[[#All],[DESCRIPCION]],MObra[[#All],[UN]],,0),"")</f>
        <v/>
      </c>
      <c r="D285" s="31"/>
      <c r="E285" s="32" t="str">
        <f>IFERROR(_xlfn.XLOOKUP($B285,MObra[DESCRIPCION],MObra[VALOR UNIT],,0),"")</f>
        <v/>
      </c>
      <c r="F285" s="33"/>
      <c r="G285" s="34" t="str">
        <f>IFERROR(IF(F285&gt;=0,D285*E285*(1+F285/100),ABS(D285*E285/F285)),"")</f>
        <v/>
      </c>
      <c r="H285" s="43" t="str">
        <f>IFERROR(G285*E268,"")</f>
        <v/>
      </c>
    </row>
    <row r="286" spans="1:11">
      <c r="A286" s="35"/>
      <c r="B286" s="36"/>
      <c r="C286" s="37" t="str">
        <f t="array" ref="C286">IFERROR(_xlfn.XLOOKUP(B286,MObra[[#All],[DESCRIPCION]],MObra[[#All],[UN]],,0),"")</f>
        <v/>
      </c>
      <c r="D286" s="38"/>
      <c r="E286" s="39" t="str">
        <f>IFERROR(_xlfn.XLOOKUP($B286,MObra[DESCRIPCION],MObra[VALOR UNIT],,0),"")</f>
        <v/>
      </c>
      <c r="F286" s="40"/>
      <c r="G286" s="41" t="str">
        <f>IFERROR(IF(F286&gt;=0,D286*E286*(1+F286/100),ABS(D286*E286/F286)),"")</f>
        <v/>
      </c>
      <c r="H286" s="42" t="str">
        <f>IFERROR(G286*E268,"")</f>
        <v/>
      </c>
    </row>
    <row r="288" spans="1:11">
      <c r="A288" s="6" t="s">
        <v>627</v>
      </c>
      <c r="B288" s="7" t="str">
        <f>VLOOKUP($A288,Presupuesto!$A:$D,2,FALSE())</f>
        <v>Cornisa ladrillo visto soga 3 hiladas</v>
      </c>
      <c r="C288" s="8" t="str">
        <f>VLOOKUP($A288,Presupuesto!$A:$D,3,FALSE())</f>
        <v>M</v>
      </c>
      <c r="D288" s="9"/>
      <c r="E288" s="10">
        <f>VLOOKUP($A288,Presupuesto!$A:$D,4,FALSE())</f>
        <v>0</v>
      </c>
      <c r="F288" s="11" t="s">
        <v>2589</v>
      </c>
      <c r="G288" s="12">
        <f>SUM(G290:G306)/2</f>
        <v>50149.279289292812</v>
      </c>
      <c r="H288" s="13">
        <f>ROUND(SUM(H290:H306),0)/2</f>
        <v>0</v>
      </c>
      <c r="I288" s="10">
        <f>VLOOKUP(A288,Presupuesto!$A:$F,6,0)</f>
        <v>0</v>
      </c>
      <c r="J288" s="10">
        <f>+H288-I288</f>
        <v>0</v>
      </c>
      <c r="K288" s="46">
        <f>+H288-G288*E288</f>
        <v>0</v>
      </c>
    </row>
    <row r="289" spans="1:8">
      <c r="A289" s="14"/>
      <c r="B289" s="15" t="s">
        <v>2586</v>
      </c>
      <c r="C289" s="15" t="s">
        <v>5</v>
      </c>
      <c r="D289" s="16" t="s">
        <v>6</v>
      </c>
      <c r="E289" s="17" t="s">
        <v>7</v>
      </c>
      <c r="F289" s="18" t="s">
        <v>3728</v>
      </c>
      <c r="G289" s="19" t="s">
        <v>3729</v>
      </c>
      <c r="H289" s="20" t="s">
        <v>3797</v>
      </c>
    </row>
    <row r="290" spans="1:8">
      <c r="A290" s="21"/>
      <c r="B290" s="22" t="s">
        <v>3730</v>
      </c>
      <c r="C290" s="23"/>
      <c r="D290" s="24"/>
      <c r="E290" s="25"/>
      <c r="F290" s="26"/>
      <c r="G290" s="27">
        <f>SUM(G291:G295)</f>
        <v>15716.006572221377</v>
      </c>
      <c r="H290" s="27">
        <f>IFERROR(G290*E288,"")</f>
        <v>0</v>
      </c>
    </row>
    <row r="291" spans="1:8">
      <c r="A291" s="28"/>
      <c r="B291" s="29" t="s">
        <v>3021</v>
      </c>
      <c r="C291" s="30" t="str">
        <f>IFERROR(_xlfn.XLOOKUP(B291,Insumo[DESCRIPCION],Insumo[UND],,0),"")</f>
        <v>Un</v>
      </c>
      <c r="D291" s="31">
        <v>10</v>
      </c>
      <c r="E291" s="32">
        <f>IFERROR(_xlfn.XLOOKUP($B291,Insumo[DESCRIPCION],Insumo[VALOR],,0),"")</f>
        <v>1022.7</v>
      </c>
      <c r="F291" s="33">
        <v>5</v>
      </c>
      <c r="G291" s="34">
        <f>IFERROR(IF(F291&gt;=0,D291*E291*(1+F291/100),ABS(D291*E291/F291)),"")</f>
        <v>10738.35</v>
      </c>
      <c r="H291" s="43">
        <f>IFERROR(G291*E288,"")</f>
        <v>0</v>
      </c>
    </row>
    <row r="292" spans="1:8">
      <c r="A292" s="28"/>
      <c r="B292" s="29" t="s">
        <v>3244</v>
      </c>
      <c r="C292" s="30" t="str">
        <f>IFERROR(_xlfn.XLOOKUP(B292,Insumo[DESCRIPCION],Insumo[UND],,0),"")</f>
        <v>M3</v>
      </c>
      <c r="D292" s="31">
        <v>0.01</v>
      </c>
      <c r="E292" s="32">
        <f>IFERROR(_xlfn.XLOOKUP($B292,Insumo[DESCRIPCION],Insumo[VALOR],,0),"")</f>
        <v>497765.65722213761</v>
      </c>
      <c r="F292" s="33"/>
      <c r="G292" s="34">
        <f>IFERROR(IF(F292&gt;=0,D292*E292*(1+F292/100),ABS(D292*E292/F292)),"")</f>
        <v>4977.6565722213763</v>
      </c>
      <c r="H292" s="43">
        <f>IFERROR(G292*E288,"")</f>
        <v>0</v>
      </c>
    </row>
    <row r="293" spans="1:8">
      <c r="A293" s="28"/>
      <c r="B293" s="29"/>
      <c r="C293" s="30" t="str">
        <f>IFERROR(_xlfn.XLOOKUP(B293,Insumo[DESCRIPCION],Insumo[UND],,0),"")</f>
        <v/>
      </c>
      <c r="D293" s="31"/>
      <c r="E293" s="32" t="str">
        <f>IFERROR(_xlfn.XLOOKUP($B293,Insumo[DESCRIPCION],Insumo[VALOR],,0),"")</f>
        <v/>
      </c>
      <c r="F293" s="33"/>
      <c r="G293" s="34" t="str">
        <f>IFERROR(IF(F293&gt;=0,D293*E293*(1+F293/100),ABS(D293*E293/F293)),"")</f>
        <v/>
      </c>
      <c r="H293" s="43" t="str">
        <f>IFERROR(G293*E288,"")</f>
        <v/>
      </c>
    </row>
    <row r="294" spans="1:8">
      <c r="A294" s="28"/>
      <c r="B294" s="29"/>
      <c r="C294" s="30" t="str">
        <f>IFERROR(_xlfn.XLOOKUP(B294,Insumo[DESCRIPCION],Insumo[UND],,0),"")</f>
        <v/>
      </c>
      <c r="D294" s="31"/>
      <c r="E294" s="32" t="str">
        <f>IFERROR(_xlfn.XLOOKUP($B294,Insumo[DESCRIPCION],Insumo[VALOR],,0),"")</f>
        <v/>
      </c>
      <c r="F294" s="33"/>
      <c r="G294" s="34" t="str">
        <f>IFERROR(IF(F294&gt;=0,D294*E294*(1+F294/100),ABS(D294*E294/F294)),"")</f>
        <v/>
      </c>
      <c r="H294" s="43" t="str">
        <f>IFERROR(G294*E288,"")</f>
        <v/>
      </c>
    </row>
    <row r="295" spans="1:8">
      <c r="A295" s="28"/>
      <c r="B295" s="29"/>
      <c r="C295" s="30" t="str">
        <f>IFERROR(_xlfn.XLOOKUP(B295,Insumo[DESCRIPCION],Insumo[UND],,0),"")</f>
        <v/>
      </c>
      <c r="D295" s="31"/>
      <c r="E295" s="32" t="str">
        <f>IFERROR(_xlfn.XLOOKUP($B295,Insumo[DESCRIPCION],Insumo[VALOR],,0),"")</f>
        <v/>
      </c>
      <c r="F295" s="33"/>
      <c r="G295" s="34" t="str">
        <f>IFERROR(IF(F295&gt;=0,D295*E295*(1+F295/100),ABS(D295*E295/F295)),"")</f>
        <v/>
      </c>
      <c r="H295" s="43" t="str">
        <f>IFERROR(G295*E288,"")</f>
        <v/>
      </c>
    </row>
    <row r="296" spans="1:8">
      <c r="A296" s="21"/>
      <c r="B296" s="22" t="s">
        <v>3731</v>
      </c>
      <c r="C296" s="23"/>
      <c r="D296" s="24"/>
      <c r="E296" s="25"/>
      <c r="F296" s="26"/>
      <c r="G296" s="27">
        <f>SUM(G297:G299)</f>
        <v>4491.2964413571444</v>
      </c>
      <c r="H296" s="44">
        <f>G296*E288</f>
        <v>0</v>
      </c>
    </row>
    <row r="297" spans="1:8">
      <c r="A297" s="28"/>
      <c r="B297" s="29" t="s">
        <v>3573</v>
      </c>
      <c r="C297" s="30" t="str">
        <f>IFERROR(_xlfn.XLOOKUP(B297,Equipo[DESCRIPCION],Equipo[UND],,0),"")</f>
        <v>%MO</v>
      </c>
      <c r="D297" s="31">
        <v>0.1</v>
      </c>
      <c r="E297" s="32">
        <f>IF(C297="%MO",G303,IFERROR(_xlfn.XLOOKUP($B297,Equipo[DESCRIPCION],Equipo[VALOR],,0),""))</f>
        <v>29941.976275714293</v>
      </c>
      <c r="F297" s="33"/>
      <c r="G297" s="34">
        <f>IFERROR(IF(F297&gt;=0,D297*E297*(1+F297/100),ABS(D297*E297/F297)),"")</f>
        <v>2994.1976275714296</v>
      </c>
      <c r="H297" s="43">
        <f>IFERROR(G297*E288,"")</f>
        <v>0</v>
      </c>
    </row>
    <row r="298" spans="1:8">
      <c r="A298" s="28"/>
      <c r="B298" s="29" t="s">
        <v>3626</v>
      </c>
      <c r="C298" s="30" t="str">
        <f>IFERROR(_xlfn.XLOOKUP(B298,Equipo[DESCRIPCION],Equipo[UND],,0),"")</f>
        <v>%MO</v>
      </c>
      <c r="D298" s="31">
        <v>0.05</v>
      </c>
      <c r="E298" s="32">
        <f>IF(C298="%MO",G303,IFERROR(_xlfn.XLOOKUP($B298,Equipo[DESCRIPCION],Equipo[VALOR],,0),""))</f>
        <v>29941.976275714293</v>
      </c>
      <c r="F298" s="33"/>
      <c r="G298" s="34">
        <f>IFERROR(IF(F298&gt;=0,D298*E298*(1+F298/100),ABS(D298*E298/F298)),"")</f>
        <v>1497.0988137857148</v>
      </c>
      <c r="H298" s="43">
        <f>IFERROR(G298*E288,"")</f>
        <v>0</v>
      </c>
    </row>
    <row r="299" spans="1:8">
      <c r="A299" s="28"/>
      <c r="B299" s="29"/>
      <c r="C299" s="30" t="str">
        <f>IFERROR(_xlfn.XLOOKUP(B299,Equipo[DESCRIPCION],Equipo[UND],,0),"")</f>
        <v/>
      </c>
      <c r="D299" s="31"/>
      <c r="E299" s="32" t="str">
        <f>IF(C299="%MO",G303,IFERROR(_xlfn.XLOOKUP($B299,Equipo[DESCRIPCION],Equipo[VALOR],,0),""))</f>
        <v/>
      </c>
      <c r="F299" s="33"/>
      <c r="G299" s="34" t="str">
        <f>IFERROR(IF(F299&gt;=0,D299*E299*(1+F299/100),ABS(D299*E299/F299)),"")</f>
        <v/>
      </c>
      <c r="H299" s="43" t="str">
        <f>IFERROR(G299*E288,"")</f>
        <v/>
      </c>
    </row>
    <row r="300" spans="1:8">
      <c r="A300" s="21"/>
      <c r="B300" s="22" t="s">
        <v>2533</v>
      </c>
      <c r="C300" s="23"/>
      <c r="D300" s="24"/>
      <c r="E300" s="25"/>
      <c r="F300" s="26"/>
      <c r="G300" s="27">
        <f>SUM(G301:G302)</f>
        <v>0</v>
      </c>
      <c r="H300" s="44">
        <f>G300*E288</f>
        <v>0</v>
      </c>
    </row>
    <row r="301" spans="1:8">
      <c r="A301" s="28"/>
      <c r="B301" s="29"/>
      <c r="C301" s="30" t="str">
        <f>IFERROR(_xlfn.XLOOKUP(B301,Transporte[DESCRIPCION],Transporte[UND],,0),"")</f>
        <v/>
      </c>
      <c r="D301" s="31"/>
      <c r="E301" s="32" t="str">
        <f>IFERROR(_xlfn.XLOOKUP($B301,Transporte[DESCRIPCION],Transporte[VALOR],,0),"")</f>
        <v/>
      </c>
      <c r="F301" s="33"/>
      <c r="G301" s="34" t="str">
        <f>IFERROR(IF(F301&gt;=0,D301*E301*(1+F301/100),ABS(D301*E301/F301)),"")</f>
        <v/>
      </c>
      <c r="H301" s="43" t="str">
        <f>IFERROR(G301*E288,"")</f>
        <v/>
      </c>
    </row>
    <row r="302" spans="1:8">
      <c r="A302" s="28"/>
      <c r="B302" s="29"/>
      <c r="C302" s="30" t="str">
        <f>IFERROR(_xlfn.XLOOKUP(B302,Transporte[DESCRIPCION],Transporte[UND],,0),"")</f>
        <v/>
      </c>
      <c r="D302" s="31"/>
      <c r="E302" s="32" t="str">
        <f>IFERROR(_xlfn.XLOOKUP($B302,Transporte[DESCRIPCION],Transporte[VALOR],,0),"")</f>
        <v/>
      </c>
      <c r="F302" s="33"/>
      <c r="G302" s="34" t="str">
        <f>IFERROR(IF(F302&gt;=0,D302*E302*(1+F302/100),ABS(D302*E302/F302)),"")</f>
        <v/>
      </c>
      <c r="H302" s="43" t="str">
        <f>IFERROR(G302*E288,"")</f>
        <v/>
      </c>
    </row>
    <row r="303" spans="1:8">
      <c r="A303" s="21"/>
      <c r="B303" s="22" t="s">
        <v>3732</v>
      </c>
      <c r="C303" s="23"/>
      <c r="D303" s="24"/>
      <c r="E303" s="25"/>
      <c r="F303" s="26"/>
      <c r="G303" s="27">
        <f>SUM(G304:G306)</f>
        <v>29941.976275714293</v>
      </c>
      <c r="H303" s="44">
        <f>G303*E288</f>
        <v>0</v>
      </c>
    </row>
    <row r="304" spans="1:8">
      <c r="A304" s="28"/>
      <c r="B304" s="29" t="s">
        <v>3710</v>
      </c>
      <c r="C304" s="30" t="str">
        <f>IFERROR(_xlfn.XLOOKUP(B304,MObra[DESCRIPCION],MObra[UN],,0),"")</f>
        <v>día</v>
      </c>
      <c r="D304" s="31">
        <v>1</v>
      </c>
      <c r="E304" s="32">
        <f>IFERROR(_xlfn.XLOOKUP($B304,MObra[DESCRIPCION],MObra[VALOR UNIT],,0),"")</f>
        <v>314390.75089500006</v>
      </c>
      <c r="F304" s="33">
        <v>-10.5</v>
      </c>
      <c r="G304" s="34">
        <f>IFERROR(IF(F304&gt;=0,D304*E304*(1+F304/100),ABS(D304*E304/F304)),"")</f>
        <v>29941.976275714293</v>
      </c>
      <c r="H304" s="43">
        <f>IFERROR(G304*E288,"")</f>
        <v>0</v>
      </c>
    </row>
    <row r="305" spans="1:11">
      <c r="A305" s="28"/>
      <c r="B305" s="29"/>
      <c r="C305" s="30" t="str">
        <f t="array" ref="C305">IFERROR(_xlfn.XLOOKUP(B305,MObra[[#All],[DESCRIPCION]],MObra[[#All],[UN]],,0),"")</f>
        <v/>
      </c>
      <c r="D305" s="31"/>
      <c r="E305" s="32" t="str">
        <f>IFERROR(_xlfn.XLOOKUP($B305,MObra[DESCRIPCION],MObra[VALOR UNIT],,0),"")</f>
        <v/>
      </c>
      <c r="F305" s="33"/>
      <c r="G305" s="34" t="str">
        <f>IFERROR(IF(F305&gt;=0,D305*E305*(1+F305/100),ABS(D305*E305/F305)),"")</f>
        <v/>
      </c>
      <c r="H305" s="43" t="str">
        <f>IFERROR(G305*E288,"")</f>
        <v/>
      </c>
    </row>
    <row r="306" spans="1:11">
      <c r="A306" s="35"/>
      <c r="B306" s="36"/>
      <c r="C306" s="37" t="str">
        <f t="array" ref="C306">IFERROR(_xlfn.XLOOKUP(B306,MObra[[#All],[DESCRIPCION]],MObra[[#All],[UN]],,0),"")</f>
        <v/>
      </c>
      <c r="D306" s="38"/>
      <c r="E306" s="39" t="str">
        <f>IFERROR(_xlfn.XLOOKUP($B306,MObra[DESCRIPCION],MObra[VALOR UNIT],,0),"")</f>
        <v/>
      </c>
      <c r="F306" s="40"/>
      <c r="G306" s="41" t="str">
        <f>IFERROR(IF(F306&gt;=0,D306*E306*(1+F306/100),ABS(D306*E306/F306)),"")</f>
        <v/>
      </c>
      <c r="H306" s="42" t="str">
        <f>IFERROR(G306*E288,"")</f>
        <v/>
      </c>
    </row>
    <row r="308" spans="1:11">
      <c r="A308" s="6" t="s">
        <v>629</v>
      </c>
      <c r="B308" s="7" t="str">
        <f>VLOOKUP($A308,Presupuesto!$A:$D,2,FALSE())</f>
        <v>Corta gotera revoque fileteado</v>
      </c>
      <c r="C308" s="8" t="str">
        <f>VLOOKUP($A308,Presupuesto!$A:$D,3,FALSE())</f>
        <v>M</v>
      </c>
      <c r="D308" s="9"/>
      <c r="E308" s="10">
        <f>VLOOKUP($A308,Presupuesto!$A:$D,4,FALSE())</f>
        <v>0</v>
      </c>
      <c r="F308" s="11" t="s">
        <v>2589</v>
      </c>
      <c r="G308" s="12">
        <f>SUM(G310:G326)/2</f>
        <v>17375.622728730719</v>
      </c>
      <c r="H308" s="13">
        <f>ROUND(SUM(H310:H326),0)/2</f>
        <v>0</v>
      </c>
      <c r="I308" s="10">
        <f>VLOOKUP(A308,Presupuesto!$A:$F,6,0)</f>
        <v>0</v>
      </c>
      <c r="J308" s="10">
        <f>+H308-I308</f>
        <v>0</v>
      </c>
      <c r="K308" s="46">
        <f>+H308-G308*E308</f>
        <v>0</v>
      </c>
    </row>
    <row r="309" spans="1:11">
      <c r="A309" s="14"/>
      <c r="B309" s="15" t="s">
        <v>2586</v>
      </c>
      <c r="C309" s="15" t="s">
        <v>5</v>
      </c>
      <c r="D309" s="16" t="s">
        <v>6</v>
      </c>
      <c r="E309" s="17" t="s">
        <v>7</v>
      </c>
      <c r="F309" s="18" t="s">
        <v>3728</v>
      </c>
      <c r="G309" s="19" t="s">
        <v>3729</v>
      </c>
      <c r="H309" s="20" t="s">
        <v>3797</v>
      </c>
    </row>
    <row r="310" spans="1:11">
      <c r="A310" s="21"/>
      <c r="B310" s="22" t="s">
        <v>3730</v>
      </c>
      <c r="C310" s="23"/>
      <c r="D310" s="24"/>
      <c r="E310" s="25"/>
      <c r="F310" s="26"/>
      <c r="G310" s="27">
        <f>SUM(G311:G315)</f>
        <v>8336.8886404994682</v>
      </c>
      <c r="H310" s="27">
        <f>IFERROR(G310*E308,"")</f>
        <v>0</v>
      </c>
    </row>
    <row r="311" spans="1:11">
      <c r="A311" s="28"/>
      <c r="B311" s="29" t="s">
        <v>3244</v>
      </c>
      <c r="C311" s="30" t="str">
        <f>IFERROR(_xlfn.XLOOKUP(B311,Insumo[DESCRIPCION],Insumo[UND],,0),"")</f>
        <v>M3</v>
      </c>
      <c r="D311" s="31">
        <v>6.0000000000000001E-3</v>
      </c>
      <c r="E311" s="32">
        <f>IFERROR(_xlfn.XLOOKUP($B311,Insumo[DESCRIPCION],Insumo[VALOR],,0),"")</f>
        <v>497765.65722213761</v>
      </c>
      <c r="F311" s="33">
        <v>5</v>
      </c>
      <c r="G311" s="34">
        <f>IFERROR(IF(F311&gt;=0,D311*E311*(1+F311/100),ABS(D311*E311/F311)),"")</f>
        <v>3135.9236404994672</v>
      </c>
      <c r="H311" s="43">
        <f>IFERROR(G311*E308,"")</f>
        <v>0</v>
      </c>
    </row>
    <row r="312" spans="1:11">
      <c r="A312" s="28"/>
      <c r="B312" s="29" t="s">
        <v>3337</v>
      </c>
      <c r="C312" s="30" t="str">
        <f>IFERROR(_xlfn.XLOOKUP(B312,Insumo[DESCRIPCION],Insumo[UND],,0),"")</f>
        <v>Un</v>
      </c>
      <c r="D312" s="31">
        <v>0.33</v>
      </c>
      <c r="E312" s="32">
        <f>IFERROR(_xlfn.XLOOKUP($B312,Insumo[DESCRIPCION],Insumo[VALOR],,0),"")</f>
        <v>12350.1</v>
      </c>
      <c r="F312" s="33"/>
      <c r="G312" s="34">
        <f>IFERROR(IF(F312&gt;=0,D312*E312*(1+F312/100),ABS(D312*E312/F312)),"")</f>
        <v>4075.5330000000004</v>
      </c>
      <c r="H312" s="43">
        <f>IFERROR(G312*E308,"")</f>
        <v>0</v>
      </c>
    </row>
    <row r="313" spans="1:11">
      <c r="A313" s="28"/>
      <c r="B313" s="29" t="s">
        <v>3544</v>
      </c>
      <c r="C313" s="30" t="str">
        <f>IFERROR(_xlfn.XLOOKUP(B313,Insumo[DESCRIPCION],Insumo[UND],,0),"")</f>
        <v>Un</v>
      </c>
      <c r="D313" s="31">
        <v>0.33</v>
      </c>
      <c r="E313" s="32">
        <f>IFERROR(_xlfn.XLOOKUP($B313,Insumo[DESCRIPCION],Insumo[VALOR],,0),"")</f>
        <v>3410.4</v>
      </c>
      <c r="F313" s="33"/>
      <c r="G313" s="34">
        <f>IFERROR(IF(F313&gt;=0,D313*E313*(1+F313/100),ABS(D313*E313/F313)),"")</f>
        <v>1125.432</v>
      </c>
      <c r="H313" s="43">
        <f>IFERROR(G313*E308,"")</f>
        <v>0</v>
      </c>
    </row>
    <row r="314" spans="1:11">
      <c r="A314" s="28"/>
      <c r="B314" s="29"/>
      <c r="C314" s="30" t="str">
        <f>IFERROR(_xlfn.XLOOKUP(B314,Insumo[DESCRIPCION],Insumo[UND],,0),"")</f>
        <v/>
      </c>
      <c r="D314" s="31"/>
      <c r="E314" s="32" t="str">
        <f>IFERROR(_xlfn.XLOOKUP($B314,Insumo[DESCRIPCION],Insumo[VALOR],,0),"")</f>
        <v/>
      </c>
      <c r="F314" s="33"/>
      <c r="G314" s="34" t="str">
        <f>IFERROR(IF(F314&gt;=0,D314*E314*(1+F314/100),ABS(D314*E314/F314)),"")</f>
        <v/>
      </c>
      <c r="H314" s="43" t="str">
        <f>IFERROR(G314*E308,"")</f>
        <v/>
      </c>
    </row>
    <row r="315" spans="1:11">
      <c r="A315" s="28"/>
      <c r="B315" s="29"/>
      <c r="C315" s="30" t="str">
        <f>IFERROR(_xlfn.XLOOKUP(B315,Insumo[DESCRIPCION],Insumo[UND],,0),"")</f>
        <v/>
      </c>
      <c r="D315" s="31"/>
      <c r="E315" s="32" t="str">
        <f>IFERROR(_xlfn.XLOOKUP($B315,Insumo[DESCRIPCION],Insumo[VALOR],,0),"")</f>
        <v/>
      </c>
      <c r="F315" s="33"/>
      <c r="G315" s="34" t="str">
        <f>IFERROR(IF(F315&gt;=0,D315*E315*(1+F315/100),ABS(D315*E315/F315)),"")</f>
        <v/>
      </c>
      <c r="H315" s="43" t="str">
        <f>IFERROR(G315*E308,"")</f>
        <v/>
      </c>
    </row>
    <row r="316" spans="1:11">
      <c r="A316" s="21"/>
      <c r="B316" s="22" t="s">
        <v>3731</v>
      </c>
      <c r="C316" s="23"/>
      <c r="D316" s="24"/>
      <c r="E316" s="25"/>
      <c r="F316" s="26"/>
      <c r="G316" s="27">
        <f>SUM(G317:G319)</f>
        <v>1178.9653158562503</v>
      </c>
      <c r="H316" s="44">
        <f>G316*E308</f>
        <v>0</v>
      </c>
    </row>
    <row r="317" spans="1:11">
      <c r="A317" s="28"/>
      <c r="B317" s="29" t="s">
        <v>3573</v>
      </c>
      <c r="C317" s="30" t="str">
        <f>IFERROR(_xlfn.XLOOKUP(B317,Equipo[DESCRIPCION],Equipo[UND],,0),"")</f>
        <v>%MO</v>
      </c>
      <c r="D317" s="31">
        <v>0.1</v>
      </c>
      <c r="E317" s="32">
        <f>IF(C317="%MO",G323,IFERROR(_xlfn.XLOOKUP($B317,Equipo[DESCRIPCION],Equipo[VALOR],,0),""))</f>
        <v>7859.7687723750014</v>
      </c>
      <c r="F317" s="33"/>
      <c r="G317" s="34">
        <f>IFERROR(IF(F317&gt;=0,D317*E317*(1+F317/100),ABS(D317*E317/F317)),"")</f>
        <v>785.97687723750016</v>
      </c>
      <c r="H317" s="43">
        <f>IFERROR(G317*E308,"")</f>
        <v>0</v>
      </c>
    </row>
    <row r="318" spans="1:11">
      <c r="A318" s="28"/>
      <c r="B318" s="29" t="s">
        <v>3626</v>
      </c>
      <c r="C318" s="30" t="str">
        <f>IFERROR(_xlfn.XLOOKUP(B318,Equipo[DESCRIPCION],Equipo[UND],,0),"")</f>
        <v>%MO</v>
      </c>
      <c r="D318" s="31">
        <v>0.05</v>
      </c>
      <c r="E318" s="32">
        <f>IF(C318="%MO",G323,IFERROR(_xlfn.XLOOKUP($B318,Equipo[DESCRIPCION],Equipo[VALOR],,0),""))</f>
        <v>7859.7687723750014</v>
      </c>
      <c r="F318" s="33"/>
      <c r="G318" s="34">
        <f>IFERROR(IF(F318&gt;=0,D318*E318*(1+F318/100),ABS(D318*E318/F318)),"")</f>
        <v>392.98843861875008</v>
      </c>
      <c r="H318" s="43">
        <f>IFERROR(G318*E308,"")</f>
        <v>0</v>
      </c>
    </row>
    <row r="319" spans="1:11">
      <c r="A319" s="28"/>
      <c r="B319" s="29"/>
      <c r="C319" s="30" t="str">
        <f>IFERROR(_xlfn.XLOOKUP(B319,Equipo[DESCRIPCION],Equipo[UND],,0),"")</f>
        <v/>
      </c>
      <c r="D319" s="31"/>
      <c r="E319" s="32" t="str">
        <f>IF(C319="%MO",G323,IFERROR(_xlfn.XLOOKUP($B319,Equipo[DESCRIPCION],Equipo[VALOR],,0),""))</f>
        <v/>
      </c>
      <c r="F319" s="33"/>
      <c r="G319" s="34" t="str">
        <f>IFERROR(IF(F319&gt;=0,D319*E319*(1+F319/100),ABS(D319*E319/F319)),"")</f>
        <v/>
      </c>
      <c r="H319" s="43" t="str">
        <f>IFERROR(G319*E308,"")</f>
        <v/>
      </c>
    </row>
    <row r="320" spans="1:11">
      <c r="A320" s="21"/>
      <c r="B320" s="22" t="s">
        <v>2533</v>
      </c>
      <c r="C320" s="23"/>
      <c r="D320" s="24"/>
      <c r="E320" s="25"/>
      <c r="F320" s="26"/>
      <c r="G320" s="27">
        <f>SUM(G321:G322)</f>
        <v>0</v>
      </c>
      <c r="H320" s="44">
        <f>G320*E308</f>
        <v>0</v>
      </c>
    </row>
    <row r="321" spans="1:11">
      <c r="A321" s="28"/>
      <c r="B321" s="29"/>
      <c r="C321" s="30" t="str">
        <f>IFERROR(_xlfn.XLOOKUP(B321,Transporte[DESCRIPCION],Transporte[UND],,0),"")</f>
        <v/>
      </c>
      <c r="D321" s="31"/>
      <c r="E321" s="32" t="str">
        <f>IFERROR(_xlfn.XLOOKUP($B321,Transporte[DESCRIPCION],Transporte[VALOR],,0),"")</f>
        <v/>
      </c>
      <c r="F321" s="33"/>
      <c r="G321" s="34" t="str">
        <f>IFERROR(IF(F321&gt;=0,D321*E321*(1+F321/100),ABS(D321*E321/F321)),"")</f>
        <v/>
      </c>
      <c r="H321" s="43" t="str">
        <f>IFERROR(G321*E308,"")</f>
        <v/>
      </c>
    </row>
    <row r="322" spans="1:11">
      <c r="A322" s="28"/>
      <c r="B322" s="29"/>
      <c r="C322" s="30" t="str">
        <f>IFERROR(_xlfn.XLOOKUP(B322,Transporte[DESCRIPCION],Transporte[UND],,0),"")</f>
        <v/>
      </c>
      <c r="D322" s="31"/>
      <c r="E322" s="32" t="str">
        <f>IFERROR(_xlfn.XLOOKUP($B322,Transporte[DESCRIPCION],Transporte[VALOR],,0),"")</f>
        <v/>
      </c>
      <c r="F322" s="33"/>
      <c r="G322" s="34" t="str">
        <f>IFERROR(IF(F322&gt;=0,D322*E322*(1+F322/100),ABS(D322*E322/F322)),"")</f>
        <v/>
      </c>
      <c r="H322" s="43" t="str">
        <f>IFERROR(G322*E308,"")</f>
        <v/>
      </c>
    </row>
    <row r="323" spans="1:11">
      <c r="A323" s="21"/>
      <c r="B323" s="22" t="s">
        <v>3732</v>
      </c>
      <c r="C323" s="23"/>
      <c r="D323" s="24"/>
      <c r="E323" s="25"/>
      <c r="F323" s="26"/>
      <c r="G323" s="27">
        <f>SUM(G324:G326)</f>
        <v>7859.7687723750014</v>
      </c>
      <c r="H323" s="44">
        <f>G323*E308</f>
        <v>0</v>
      </c>
    </row>
    <row r="324" spans="1:11">
      <c r="A324" s="28"/>
      <c r="B324" s="29" t="s">
        <v>3710</v>
      </c>
      <c r="C324" s="30" t="str">
        <f>IFERROR(_xlfn.XLOOKUP(B324,MObra[DESCRIPCION],MObra[UN],,0),"")</f>
        <v>día</v>
      </c>
      <c r="D324" s="31">
        <v>1</v>
      </c>
      <c r="E324" s="32">
        <f>IFERROR(_xlfn.XLOOKUP($B324,MObra[DESCRIPCION],MObra[VALOR UNIT],,0),"")</f>
        <v>314390.75089500006</v>
      </c>
      <c r="F324" s="33">
        <v>-40</v>
      </c>
      <c r="G324" s="34">
        <f>IFERROR(IF(F324&gt;=0,D324*E324*(1+F324/100),ABS(D324*E324/F324)),"")</f>
        <v>7859.7687723750014</v>
      </c>
      <c r="H324" s="43">
        <f>IFERROR(G324*E308,"")</f>
        <v>0</v>
      </c>
    </row>
    <row r="325" spans="1:11">
      <c r="A325" s="28"/>
      <c r="B325" s="29"/>
      <c r="C325" s="30" t="str">
        <f t="array" ref="C325">IFERROR(_xlfn.XLOOKUP(B325,MObra[[#All],[DESCRIPCION]],MObra[[#All],[UN]],,0),"")</f>
        <v/>
      </c>
      <c r="D325" s="31"/>
      <c r="E325" s="32" t="str">
        <f>IFERROR(_xlfn.XLOOKUP($B325,MObra[DESCRIPCION],MObra[VALOR UNIT],,0),"")</f>
        <v/>
      </c>
      <c r="F325" s="33"/>
      <c r="G325" s="34" t="str">
        <f>IFERROR(IF(F325&gt;=0,D325*E325*(1+F325/100),ABS(D325*E325/F325)),"")</f>
        <v/>
      </c>
      <c r="H325" s="43" t="str">
        <f>IFERROR(G325*E308,"")</f>
        <v/>
      </c>
    </row>
    <row r="326" spans="1:11">
      <c r="A326" s="35"/>
      <c r="B326" s="36"/>
      <c r="C326" s="37" t="str">
        <f t="array" ref="C326">IFERROR(_xlfn.XLOOKUP(B326,MObra[[#All],[DESCRIPCION]],MObra[[#All],[UN]],,0),"")</f>
        <v/>
      </c>
      <c r="D326" s="38"/>
      <c r="E326" s="39" t="str">
        <f>IFERROR(_xlfn.XLOOKUP($B326,MObra[DESCRIPCION],MObra[VALOR UNIT],,0),"")</f>
        <v/>
      </c>
      <c r="F326" s="40"/>
      <c r="G326" s="41" t="str">
        <f>IFERROR(IF(F326&gt;=0,D326*E326*(1+F326/100),ABS(D326*E326/F326)),"")</f>
        <v/>
      </c>
      <c r="H326" s="42" t="str">
        <f>IFERROR(G326*E308,"")</f>
        <v/>
      </c>
    </row>
    <row r="328" spans="1:11">
      <c r="A328" s="6" t="s">
        <v>631</v>
      </c>
      <c r="B328" s="7" t="str">
        <f>VLOOKUP($A328,Presupuesto!$A:$D,2,FALSE())</f>
        <v>Junta icopor E=1"</v>
      </c>
      <c r="C328" s="8" t="str">
        <f>VLOOKUP($A328,Presupuesto!$A:$D,3,FALSE())</f>
        <v>M2</v>
      </c>
      <c r="D328" s="9"/>
      <c r="E328" s="10">
        <f>VLOOKUP($A328,Presupuesto!$A:$D,4,FALSE())</f>
        <v>0</v>
      </c>
      <c r="F328" s="11" t="s">
        <v>2589</v>
      </c>
      <c r="G328" s="12">
        <f>SUM(G330:G346)/2</f>
        <v>14012.590621575002</v>
      </c>
      <c r="H328" s="13">
        <f>ROUND(SUM(H330:H346),0)/2</f>
        <v>0</v>
      </c>
      <c r="I328" s="10">
        <f>VLOOKUP(A328,Presupuesto!$A:$F,6,0)</f>
        <v>0</v>
      </c>
      <c r="J328" s="10">
        <f>+H328-I328</f>
        <v>0</v>
      </c>
      <c r="K328" s="46">
        <f>+H328-G328*E328</f>
        <v>0</v>
      </c>
    </row>
    <row r="329" spans="1:11">
      <c r="A329" s="14"/>
      <c r="B329" s="15" t="s">
        <v>2586</v>
      </c>
      <c r="C329" s="15" t="s">
        <v>5</v>
      </c>
      <c r="D329" s="16" t="s">
        <v>6</v>
      </c>
      <c r="E329" s="17" t="s">
        <v>7</v>
      </c>
      <c r="F329" s="18" t="s">
        <v>3728</v>
      </c>
      <c r="G329" s="19" t="s">
        <v>3729</v>
      </c>
      <c r="H329" s="20" t="s">
        <v>3797</v>
      </c>
    </row>
    <row r="330" spans="1:11">
      <c r="A330" s="21"/>
      <c r="B330" s="22" t="s">
        <v>3730</v>
      </c>
      <c r="C330" s="23"/>
      <c r="D330" s="24"/>
      <c r="E330" s="25"/>
      <c r="F330" s="26"/>
      <c r="G330" s="27">
        <f>SUM(G331:G335)</f>
        <v>7084.35</v>
      </c>
      <c r="H330" s="27">
        <f>IFERROR(G330*E328,"")</f>
        <v>0</v>
      </c>
    </row>
    <row r="331" spans="1:11">
      <c r="A331" s="28"/>
      <c r="B331" s="29" t="s">
        <v>2998</v>
      </c>
      <c r="C331" s="30" t="str">
        <f>IFERROR(_xlfn.XLOOKUP(B331,Insumo[DESCRIPCION],Insumo[UND],,0),"")</f>
        <v>M2</v>
      </c>
      <c r="D331" s="31">
        <v>1</v>
      </c>
      <c r="E331" s="32">
        <f>IFERROR(_xlfn.XLOOKUP($B331,Insumo[DESCRIPCION],Insumo[VALOR],,0),"")</f>
        <v>7084.35</v>
      </c>
      <c r="F331" s="33"/>
      <c r="G331" s="34">
        <f>IFERROR(IF(F331&gt;=0,D331*E331*(1+F331/100),ABS(D331*E331/F331)),"")</f>
        <v>7084.35</v>
      </c>
      <c r="H331" s="43">
        <f>IFERROR(G331*E328,"")</f>
        <v>0</v>
      </c>
    </row>
    <row r="332" spans="1:11">
      <c r="A332" s="28"/>
      <c r="B332" s="29"/>
      <c r="C332" s="30" t="str">
        <f>IFERROR(_xlfn.XLOOKUP(B332,Insumo[DESCRIPCION],Insumo[UND],,0),"")</f>
        <v/>
      </c>
      <c r="D332" s="31"/>
      <c r="E332" s="32" t="str">
        <f>IFERROR(_xlfn.XLOOKUP($B332,Insumo[DESCRIPCION],Insumo[VALOR],,0),"")</f>
        <v/>
      </c>
      <c r="F332" s="33"/>
      <c r="G332" s="34" t="str">
        <f>IFERROR(IF(F332&gt;=0,D332*E332*(1+F332/100),ABS(D332*E332/F332)),"")</f>
        <v/>
      </c>
      <c r="H332" s="43" t="str">
        <f>IFERROR(G332*E328,"")</f>
        <v/>
      </c>
    </row>
    <row r="333" spans="1:11">
      <c r="A333" s="28"/>
      <c r="B333" s="29"/>
      <c r="C333" s="30" t="str">
        <f>IFERROR(_xlfn.XLOOKUP(B333,Insumo[DESCRIPCION],Insumo[UND],,0),"")</f>
        <v/>
      </c>
      <c r="D333" s="31"/>
      <c r="E333" s="32" t="str">
        <f>IFERROR(_xlfn.XLOOKUP($B333,Insumo[DESCRIPCION],Insumo[VALOR],,0),"")</f>
        <v/>
      </c>
      <c r="F333" s="33"/>
      <c r="G333" s="34" t="str">
        <f>IFERROR(IF(F333&gt;=0,D333*E333*(1+F333/100),ABS(D333*E333/F333)),"")</f>
        <v/>
      </c>
      <c r="H333" s="43" t="str">
        <f>IFERROR(G333*E328,"")</f>
        <v/>
      </c>
    </row>
    <row r="334" spans="1:11">
      <c r="A334" s="28"/>
      <c r="B334" s="29"/>
      <c r="C334" s="30" t="str">
        <f>IFERROR(_xlfn.XLOOKUP(B334,Insumo[DESCRIPCION],Insumo[UND],,0),"")</f>
        <v/>
      </c>
      <c r="D334" s="31"/>
      <c r="E334" s="32" t="str">
        <f>IFERROR(_xlfn.XLOOKUP($B334,Insumo[DESCRIPCION],Insumo[VALOR],,0),"")</f>
        <v/>
      </c>
      <c r="F334" s="33"/>
      <c r="G334" s="34" t="str">
        <f>IFERROR(IF(F334&gt;=0,D334*E334*(1+F334/100),ABS(D334*E334/F334)),"")</f>
        <v/>
      </c>
      <c r="H334" s="43" t="str">
        <f>IFERROR(G334*E328,"")</f>
        <v/>
      </c>
    </row>
    <row r="335" spans="1:11">
      <c r="A335" s="28"/>
      <c r="B335" s="29"/>
      <c r="C335" s="30" t="str">
        <f>IFERROR(_xlfn.XLOOKUP(B335,Insumo[DESCRIPCION],Insumo[UND],,0),"")</f>
        <v/>
      </c>
      <c r="D335" s="31"/>
      <c r="E335" s="32" t="str">
        <f>IFERROR(_xlfn.XLOOKUP($B335,Insumo[DESCRIPCION],Insumo[VALOR],,0),"")</f>
        <v/>
      </c>
      <c r="F335" s="33"/>
      <c r="G335" s="34" t="str">
        <f>IFERROR(IF(F335&gt;=0,D335*E335*(1+F335/100),ABS(D335*E335/F335)),"")</f>
        <v/>
      </c>
      <c r="H335" s="43" t="str">
        <f>IFERROR(G335*E328,"")</f>
        <v/>
      </c>
    </row>
    <row r="336" spans="1:11">
      <c r="A336" s="21"/>
      <c r="B336" s="22" t="s">
        <v>3731</v>
      </c>
      <c r="C336" s="23"/>
      <c r="D336" s="24"/>
      <c r="E336" s="25"/>
      <c r="F336" s="26"/>
      <c r="G336" s="27">
        <f>SUM(G337:G339)</f>
        <v>329.91622007500007</v>
      </c>
      <c r="H336" s="44">
        <f>G336*E328</f>
        <v>0</v>
      </c>
    </row>
    <row r="337" spans="1:11">
      <c r="A337" s="28"/>
      <c r="B337" s="29" t="s">
        <v>3626</v>
      </c>
      <c r="C337" s="30" t="str">
        <f>IFERROR(_xlfn.XLOOKUP(B337,Equipo[DESCRIPCION],Equipo[UND],,0),"")</f>
        <v>%MO</v>
      </c>
      <c r="D337" s="31">
        <v>0.05</v>
      </c>
      <c r="E337" s="32">
        <f>IF(C337="%MO",G343,IFERROR(_xlfn.XLOOKUP($B337,Equipo[DESCRIPCION],Equipo[VALOR],,0),""))</f>
        <v>6598.3244015000009</v>
      </c>
      <c r="F337" s="33"/>
      <c r="G337" s="34">
        <f>IFERROR(IF(F337&gt;=0,D337*E337*(1+F337/100),ABS(D337*E337/F337)),"")</f>
        <v>329.91622007500007</v>
      </c>
      <c r="H337" s="43">
        <f>IFERROR(G337*E328,"")</f>
        <v>0</v>
      </c>
    </row>
    <row r="338" spans="1:11">
      <c r="A338" s="28"/>
      <c r="B338" s="29"/>
      <c r="C338" s="30" t="str">
        <f>IFERROR(_xlfn.XLOOKUP(B338,Equipo[DESCRIPCION],Equipo[UND],,0),"")</f>
        <v/>
      </c>
      <c r="D338" s="31"/>
      <c r="E338" s="32" t="str">
        <f>IF(C338="%MO",G343,IFERROR(_xlfn.XLOOKUP($B338,Equipo[DESCRIPCION],Equipo[VALOR],,0),""))</f>
        <v/>
      </c>
      <c r="F338" s="33"/>
      <c r="G338" s="34" t="str">
        <f>IFERROR(IF(F338&gt;=0,D338*E338*(1+F338/100),ABS(D338*E338/F338)),"")</f>
        <v/>
      </c>
      <c r="H338" s="43" t="str">
        <f>IFERROR(G338*E328,"")</f>
        <v/>
      </c>
    </row>
    <row r="339" spans="1:11">
      <c r="A339" s="28"/>
      <c r="B339" s="29"/>
      <c r="C339" s="30" t="str">
        <f>IFERROR(_xlfn.XLOOKUP(B339,Equipo[DESCRIPCION],Equipo[UND],,0),"")</f>
        <v/>
      </c>
      <c r="D339" s="31"/>
      <c r="E339" s="32" t="str">
        <f>IF(C339="%MO",G343,IFERROR(_xlfn.XLOOKUP($B339,Equipo[DESCRIPCION],Equipo[VALOR],,0),""))</f>
        <v/>
      </c>
      <c r="F339" s="33"/>
      <c r="G339" s="34" t="str">
        <f>IFERROR(IF(F339&gt;=0,D339*E339*(1+F339/100),ABS(D339*E339/F339)),"")</f>
        <v/>
      </c>
      <c r="H339" s="43" t="str">
        <f>IFERROR(G339*E328,"")</f>
        <v/>
      </c>
    </row>
    <row r="340" spans="1:11">
      <c r="A340" s="21"/>
      <c r="B340" s="22" t="s">
        <v>2533</v>
      </c>
      <c r="C340" s="23"/>
      <c r="D340" s="24"/>
      <c r="E340" s="25"/>
      <c r="F340" s="26"/>
      <c r="G340" s="27">
        <f>SUM(G341:G342)</f>
        <v>0</v>
      </c>
      <c r="H340" s="44">
        <f>G340*E328</f>
        <v>0</v>
      </c>
    </row>
    <row r="341" spans="1:11">
      <c r="A341" s="28"/>
      <c r="B341" s="29"/>
      <c r="C341" s="30" t="str">
        <f>IFERROR(_xlfn.XLOOKUP(B341,Transporte[DESCRIPCION],Transporte[UND],,0),"")</f>
        <v/>
      </c>
      <c r="D341" s="31"/>
      <c r="E341" s="32" t="str">
        <f>IFERROR(_xlfn.XLOOKUP($B341,Transporte[DESCRIPCION],Transporte[VALOR],,0),"")</f>
        <v/>
      </c>
      <c r="F341" s="33"/>
      <c r="G341" s="34" t="str">
        <f>IFERROR(IF(F341&gt;=0,D341*E341*(1+F341/100),ABS(D341*E341/F341)),"")</f>
        <v/>
      </c>
      <c r="H341" s="43" t="str">
        <f>IFERROR(G341*E328,"")</f>
        <v/>
      </c>
    </row>
    <row r="342" spans="1:11">
      <c r="A342" s="28"/>
      <c r="B342" s="29"/>
      <c r="C342" s="30" t="str">
        <f>IFERROR(_xlfn.XLOOKUP(B342,Transporte[DESCRIPCION],Transporte[UND],,0),"")</f>
        <v/>
      </c>
      <c r="D342" s="31"/>
      <c r="E342" s="32" t="str">
        <f>IFERROR(_xlfn.XLOOKUP($B342,Transporte[DESCRIPCION],Transporte[VALOR],,0),"")</f>
        <v/>
      </c>
      <c r="F342" s="33"/>
      <c r="G342" s="34" t="str">
        <f>IFERROR(IF(F342&gt;=0,D342*E342*(1+F342/100),ABS(D342*E342/F342)),"")</f>
        <v/>
      </c>
      <c r="H342" s="43" t="str">
        <f>IFERROR(G342*E328,"")</f>
        <v/>
      </c>
    </row>
    <row r="343" spans="1:11">
      <c r="A343" s="21"/>
      <c r="B343" s="22" t="s">
        <v>3732</v>
      </c>
      <c r="C343" s="23"/>
      <c r="D343" s="24"/>
      <c r="E343" s="25"/>
      <c r="F343" s="26"/>
      <c r="G343" s="27">
        <f>SUM(G344:G346)</f>
        <v>6598.3244015000009</v>
      </c>
      <c r="H343" s="44">
        <f>G343*E328</f>
        <v>0</v>
      </c>
    </row>
    <row r="344" spans="1:11">
      <c r="A344" s="28"/>
      <c r="B344" s="29" t="s">
        <v>3705</v>
      </c>
      <c r="C344" s="30" t="str">
        <f>IFERROR(_xlfn.XLOOKUP(B344,MObra[DESCRIPCION],MObra[UN],,0),"")</f>
        <v>día</v>
      </c>
      <c r="D344" s="31">
        <v>1</v>
      </c>
      <c r="E344" s="32">
        <f>IFERROR(_xlfn.XLOOKUP($B344,MObra[DESCRIPCION],MObra[VALOR UNIT],,0),"")</f>
        <v>197949.73204500004</v>
      </c>
      <c r="F344" s="33">
        <v>-30</v>
      </c>
      <c r="G344" s="34">
        <f>IFERROR(IF(F344&gt;=0,D344*E344*(1+F344/100),ABS(D344*E344/F344)),"")</f>
        <v>6598.3244015000009</v>
      </c>
      <c r="H344" s="43">
        <f>IFERROR(G344*E328,"")</f>
        <v>0</v>
      </c>
    </row>
    <row r="345" spans="1:11">
      <c r="A345" s="28"/>
      <c r="B345" s="29"/>
      <c r="C345" s="30" t="str">
        <f t="array" ref="C345">IFERROR(_xlfn.XLOOKUP(B345,MObra[[#All],[DESCRIPCION]],MObra[[#All],[UN]],,0),"")</f>
        <v/>
      </c>
      <c r="D345" s="31"/>
      <c r="E345" s="32" t="str">
        <f>IFERROR(_xlfn.XLOOKUP($B345,MObra[DESCRIPCION],MObra[VALOR UNIT],,0),"")</f>
        <v/>
      </c>
      <c r="F345" s="33"/>
      <c r="G345" s="34" t="str">
        <f>IFERROR(IF(F345&gt;=0,D345*E345*(1+F345/100),ABS(D345*E345/F345)),"")</f>
        <v/>
      </c>
      <c r="H345" s="43" t="str">
        <f>IFERROR(G345*E328,"")</f>
        <v/>
      </c>
    </row>
    <row r="346" spans="1:11">
      <c r="A346" s="35"/>
      <c r="B346" s="36"/>
      <c r="C346" s="37" t="str">
        <f t="array" ref="C346">IFERROR(_xlfn.XLOOKUP(B346,MObra[[#All],[DESCRIPCION]],MObra[[#All],[UN]],,0),"")</f>
        <v/>
      </c>
      <c r="D346" s="38"/>
      <c r="E346" s="39" t="str">
        <f>IFERROR(_xlfn.XLOOKUP($B346,MObra[DESCRIPCION],MObra[VALOR UNIT],,0),"")</f>
        <v/>
      </c>
      <c r="F346" s="40"/>
      <c r="G346" s="41" t="str">
        <f>IFERROR(IF(F346&gt;=0,D346*E346*(1+F346/100),ABS(D346*E346/F346)),"")</f>
        <v/>
      </c>
      <c r="H346" s="42" t="str">
        <f>IFERROR(G346*E328,"")</f>
        <v/>
      </c>
    </row>
    <row r="348" spans="1:11">
      <c r="A348" s="6" t="s">
        <v>633</v>
      </c>
      <c r="B348" s="7" t="str">
        <f>VLOOKUP($A348,Presupuesto!$A:$D,2,FALSE())</f>
        <v>Muro bloque cemento 10x19x39 cm</v>
      </c>
      <c r="C348" s="8" t="str">
        <f>VLOOKUP($A348,Presupuesto!$A:$D,3,FALSE())</f>
        <v>M2</v>
      </c>
      <c r="D348" s="9"/>
      <c r="E348" s="10">
        <f>VLOOKUP($A348,Presupuesto!$A:$D,4,FALSE())</f>
        <v>0</v>
      </c>
      <c r="F348" s="11" t="s">
        <v>2589</v>
      </c>
      <c r="G348" s="12">
        <f>SUM(G350:G366)/2</f>
        <v>92871.493112058</v>
      </c>
      <c r="H348" s="13">
        <f>ROUND(SUM(H350:H366),0)/2</f>
        <v>0</v>
      </c>
      <c r="I348" s="10">
        <f>VLOOKUP(A348,Presupuesto!$A:$F,6,0)</f>
        <v>0</v>
      </c>
      <c r="J348" s="10">
        <f>+H348-I348</f>
        <v>0</v>
      </c>
      <c r="K348" s="46">
        <f>+H348-G348*E348</f>
        <v>0</v>
      </c>
    </row>
    <row r="349" spans="1:11">
      <c r="A349" s="14"/>
      <c r="B349" s="15" t="s">
        <v>2586</v>
      </c>
      <c r="C349" s="15" t="s">
        <v>5</v>
      </c>
      <c r="D349" s="16" t="s">
        <v>6</v>
      </c>
      <c r="E349" s="17" t="s">
        <v>7</v>
      </c>
      <c r="F349" s="18" t="s">
        <v>3728</v>
      </c>
      <c r="G349" s="19" t="s">
        <v>3729</v>
      </c>
      <c r="H349" s="20" t="s">
        <v>3797</v>
      </c>
    </row>
    <row r="350" spans="1:11">
      <c r="A350" s="21"/>
      <c r="B350" s="22" t="s">
        <v>3730</v>
      </c>
      <c r="C350" s="23"/>
      <c r="D350" s="24"/>
      <c r="E350" s="25"/>
      <c r="F350" s="26"/>
      <c r="G350" s="27">
        <f>SUM(G351:G355)</f>
        <v>46263.328930553449</v>
      </c>
      <c r="H350" s="27">
        <f>IFERROR(G350*E348,"")</f>
        <v>0</v>
      </c>
    </row>
    <row r="351" spans="1:11">
      <c r="A351" s="28"/>
      <c r="B351" s="29" t="s">
        <v>2753</v>
      </c>
      <c r="C351" s="30" t="str">
        <f>IFERROR(_xlfn.XLOOKUP(B351,Insumo[DESCRIPCION],Insumo[UND],,0),"")</f>
        <v>Un</v>
      </c>
      <c r="D351" s="31">
        <v>12.5</v>
      </c>
      <c r="E351" s="32">
        <f>IFERROR(_xlfn.XLOOKUP($B351,Insumo[DESCRIPCION],Insumo[VALOR],,0),"")</f>
        <v>2576.7000000000003</v>
      </c>
      <c r="F351" s="33">
        <v>5</v>
      </c>
      <c r="G351" s="34">
        <f>IFERROR(IF(F351&gt;=0,D351*E351*(1+F351/100),ABS(D351*E351/F351)),"")</f>
        <v>33819.187500000007</v>
      </c>
      <c r="H351" s="43">
        <f>IFERROR(G351*E348,"")</f>
        <v>0</v>
      </c>
    </row>
    <row r="352" spans="1:11">
      <c r="A352" s="28"/>
      <c r="B352" s="29" t="s">
        <v>3244</v>
      </c>
      <c r="C352" s="30" t="str">
        <f>IFERROR(_xlfn.XLOOKUP(B352,Insumo[DESCRIPCION],Insumo[UND],,0),"")</f>
        <v>M3</v>
      </c>
      <c r="D352" s="31">
        <v>2.5000000000000001E-2</v>
      </c>
      <c r="E352" s="32">
        <f>IFERROR(_xlfn.XLOOKUP($B352,Insumo[DESCRIPCION],Insumo[VALOR],,0),"")</f>
        <v>497765.65722213761</v>
      </c>
      <c r="F352" s="33"/>
      <c r="G352" s="34">
        <f>IFERROR(IF(F352&gt;=0,D352*E352*(1+F352/100),ABS(D352*E352/F352)),"")</f>
        <v>12444.141430553442</v>
      </c>
      <c r="H352" s="43">
        <f>IFERROR(G352*E348,"")</f>
        <v>0</v>
      </c>
    </row>
    <row r="353" spans="1:11">
      <c r="A353" s="28"/>
      <c r="B353" s="29"/>
      <c r="C353" s="30" t="str">
        <f>IFERROR(_xlfn.XLOOKUP(B353,Insumo[DESCRIPCION],Insumo[UND],,0),"")</f>
        <v/>
      </c>
      <c r="D353" s="31"/>
      <c r="E353" s="32" t="str">
        <f>IFERROR(_xlfn.XLOOKUP($B353,Insumo[DESCRIPCION],Insumo[VALOR],,0),"")</f>
        <v/>
      </c>
      <c r="F353" s="33"/>
      <c r="G353" s="34" t="str">
        <f>IFERROR(IF(F353&gt;=0,D353*E353*(1+F353/100),ABS(D353*E353/F353)),"")</f>
        <v/>
      </c>
      <c r="H353" s="43" t="str">
        <f>IFERROR(G353*E348,"")</f>
        <v/>
      </c>
    </row>
    <row r="354" spans="1:11">
      <c r="A354" s="28"/>
      <c r="B354" s="29"/>
      <c r="C354" s="30" t="str">
        <f>IFERROR(_xlfn.XLOOKUP(B354,Insumo[DESCRIPCION],Insumo[UND],,0),"")</f>
        <v/>
      </c>
      <c r="D354" s="31"/>
      <c r="E354" s="32" t="str">
        <f>IFERROR(_xlfn.XLOOKUP($B354,Insumo[DESCRIPCION],Insumo[VALOR],,0),"")</f>
        <v/>
      </c>
      <c r="F354" s="33"/>
      <c r="G354" s="34" t="str">
        <f>IFERROR(IF(F354&gt;=0,D354*E354*(1+F354/100),ABS(D354*E354/F354)),"")</f>
        <v/>
      </c>
      <c r="H354" s="43" t="str">
        <f>IFERROR(G354*E348,"")</f>
        <v/>
      </c>
    </row>
    <row r="355" spans="1:11">
      <c r="A355" s="28"/>
      <c r="B355" s="29"/>
      <c r="C355" s="30" t="str">
        <f>IFERROR(_xlfn.XLOOKUP(B355,Insumo[DESCRIPCION],Insumo[UND],,0),"")</f>
        <v/>
      </c>
      <c r="D355" s="31"/>
      <c r="E355" s="32" t="str">
        <f>IFERROR(_xlfn.XLOOKUP($B355,Insumo[DESCRIPCION],Insumo[VALOR],,0),"")</f>
        <v/>
      </c>
      <c r="F355" s="33"/>
      <c r="G355" s="34" t="str">
        <f>IFERROR(IF(F355&gt;=0,D355*E355*(1+F355/100),ABS(D355*E355/F355)),"")</f>
        <v/>
      </c>
      <c r="H355" s="43" t="str">
        <f>IFERROR(G355*E348,"")</f>
        <v/>
      </c>
    </row>
    <row r="356" spans="1:11">
      <c r="A356" s="21"/>
      <c r="B356" s="22" t="s">
        <v>3731</v>
      </c>
      <c r="C356" s="23"/>
      <c r="D356" s="24"/>
      <c r="E356" s="25"/>
      <c r="F356" s="26"/>
      <c r="G356" s="27">
        <f>SUM(G357:G359)</f>
        <v>7441.6396592318197</v>
      </c>
      <c r="H356" s="44">
        <f>G356*E348</f>
        <v>0</v>
      </c>
    </row>
    <row r="357" spans="1:11">
      <c r="A357" s="28"/>
      <c r="B357" s="29" t="s">
        <v>3573</v>
      </c>
      <c r="C357" s="30" t="str">
        <f>IFERROR(_xlfn.XLOOKUP(B357,Equipo[DESCRIPCION],Equipo[UND],,0),"")</f>
        <v>%MO</v>
      </c>
      <c r="D357" s="31">
        <v>0.1</v>
      </c>
      <c r="E357" s="32">
        <f>IF(C357="%MO",G363,IFERROR(_xlfn.XLOOKUP($B357,Equipo[DESCRIPCION],Equipo[VALOR],,0),""))</f>
        <v>39166.524522272732</v>
      </c>
      <c r="F357" s="33"/>
      <c r="G357" s="34">
        <f>IFERROR(IF(F357&gt;=0,D357*E357*(1+F357/100),ABS(D357*E357/F357)),"")</f>
        <v>3916.6524522272734</v>
      </c>
      <c r="H357" s="43">
        <f>IFERROR(G357*E348,"")</f>
        <v>0</v>
      </c>
    </row>
    <row r="358" spans="1:11">
      <c r="A358" s="28"/>
      <c r="B358" s="29" t="s">
        <v>3570</v>
      </c>
      <c r="C358" s="30" t="str">
        <f>IFERROR(_xlfn.XLOOKUP(B358,Equipo[DESCRIPCION],Equipo[UND],,0),"")</f>
        <v>%MO</v>
      </c>
      <c r="D358" s="31">
        <v>0.04</v>
      </c>
      <c r="E358" s="32">
        <f>IF(C358="%MO",G363,IFERROR(_xlfn.XLOOKUP($B358,Equipo[DESCRIPCION],Equipo[VALOR],,0),""))</f>
        <v>39166.524522272732</v>
      </c>
      <c r="F358" s="33"/>
      <c r="G358" s="34">
        <f>IFERROR(IF(F358&gt;=0,D358*E358*(1+F358/100),ABS(D358*E358/F358)),"")</f>
        <v>1566.6609808909093</v>
      </c>
      <c r="H358" s="43">
        <f>IFERROR(G358*E348,"")</f>
        <v>0</v>
      </c>
    </row>
    <row r="359" spans="1:11">
      <c r="A359" s="28"/>
      <c r="B359" s="29" t="s">
        <v>3626</v>
      </c>
      <c r="C359" s="30" t="str">
        <f>IFERROR(_xlfn.XLOOKUP(B359,Equipo[DESCRIPCION],Equipo[UND],,0),"")</f>
        <v>%MO</v>
      </c>
      <c r="D359" s="31">
        <v>0.05</v>
      </c>
      <c r="E359" s="32">
        <f>IF(C359="%MO",G363,IFERROR(_xlfn.XLOOKUP($B359,Equipo[DESCRIPCION],Equipo[VALOR],,0),""))</f>
        <v>39166.524522272732</v>
      </c>
      <c r="F359" s="33"/>
      <c r="G359" s="34">
        <f>IFERROR(IF(F359&gt;=0,D359*E359*(1+F359/100),ABS(D359*E359/F359)),"")</f>
        <v>1958.3262261136367</v>
      </c>
      <c r="H359" s="43">
        <f>IFERROR(G359*E348,"")</f>
        <v>0</v>
      </c>
    </row>
    <row r="360" spans="1:11">
      <c r="A360" s="21"/>
      <c r="B360" s="22" t="s">
        <v>2533</v>
      </c>
      <c r="C360" s="23"/>
      <c r="D360" s="24"/>
      <c r="E360" s="25"/>
      <c r="F360" s="26"/>
      <c r="G360" s="27">
        <f>SUM(G361:G362)</f>
        <v>0</v>
      </c>
      <c r="H360" s="44">
        <f>G360*E348</f>
        <v>0</v>
      </c>
    </row>
    <row r="361" spans="1:11">
      <c r="A361" s="28"/>
      <c r="B361" s="29"/>
      <c r="C361" s="30" t="str">
        <f>IFERROR(_xlfn.XLOOKUP(B361,Transporte[DESCRIPCION],Transporte[UND],,0),"")</f>
        <v/>
      </c>
      <c r="D361" s="31"/>
      <c r="E361" s="32" t="str">
        <f>IFERROR(_xlfn.XLOOKUP($B361,Transporte[DESCRIPCION],Transporte[VALOR],,0),"")</f>
        <v/>
      </c>
      <c r="F361" s="33"/>
      <c r="G361" s="34" t="str">
        <f>IFERROR(IF(F361&gt;=0,D361*E361*(1+F361/100),ABS(D361*E361/F361)),"")</f>
        <v/>
      </c>
      <c r="H361" s="43" t="str">
        <f>IFERROR(G361*E348,"")</f>
        <v/>
      </c>
    </row>
    <row r="362" spans="1:11">
      <c r="A362" s="28"/>
      <c r="B362" s="29"/>
      <c r="C362" s="30" t="str">
        <f>IFERROR(_xlfn.XLOOKUP(B362,Transporte[DESCRIPCION],Transporte[UND],,0),"")</f>
        <v/>
      </c>
      <c r="D362" s="31"/>
      <c r="E362" s="32" t="str">
        <f>IFERROR(_xlfn.XLOOKUP($B362,Transporte[DESCRIPCION],Transporte[VALOR],,0),"")</f>
        <v/>
      </c>
      <c r="F362" s="33"/>
      <c r="G362" s="34" t="str">
        <f>IFERROR(IF(F362&gt;=0,D362*E362*(1+F362/100),ABS(D362*E362/F362)),"")</f>
        <v/>
      </c>
      <c r="H362" s="43" t="str">
        <f>IFERROR(G362*E348,"")</f>
        <v/>
      </c>
    </row>
    <row r="363" spans="1:11">
      <c r="A363" s="21"/>
      <c r="B363" s="22" t="s">
        <v>3732</v>
      </c>
      <c r="C363" s="23"/>
      <c r="D363" s="24"/>
      <c r="E363" s="25"/>
      <c r="F363" s="26"/>
      <c r="G363" s="27">
        <f>SUM(G364:G366)</f>
        <v>39166.524522272732</v>
      </c>
      <c r="H363" s="44">
        <f>G363*E348</f>
        <v>0</v>
      </c>
    </row>
    <row r="364" spans="1:11">
      <c r="A364" s="28"/>
      <c r="B364" s="29" t="s">
        <v>3711</v>
      </c>
      <c r="C364" s="30" t="str">
        <f>IFERROR(_xlfn.XLOOKUP(B364,MObra[DESCRIPCION],MObra[UN],,0),"")</f>
        <v>día</v>
      </c>
      <c r="D364" s="31">
        <v>1</v>
      </c>
      <c r="E364" s="32">
        <f>IFERROR(_xlfn.XLOOKUP($B364,MObra[DESCRIPCION],MObra[VALOR UNIT],,0),"")</f>
        <v>430831.76974500006</v>
      </c>
      <c r="F364" s="33">
        <v>-11</v>
      </c>
      <c r="G364" s="34">
        <f>IFERROR(IF(F364&gt;=0,D364*E364*(1+F364/100),ABS(D364*E364/F364)),"")</f>
        <v>39166.524522272732</v>
      </c>
      <c r="H364" s="43">
        <f>IFERROR(G364*E348,"")</f>
        <v>0</v>
      </c>
    </row>
    <row r="365" spans="1:11">
      <c r="A365" s="28"/>
      <c r="B365" s="29"/>
      <c r="C365" s="30" t="str">
        <f t="array" ref="C365">IFERROR(_xlfn.XLOOKUP(B365,MObra[[#All],[DESCRIPCION]],MObra[[#All],[UN]],,0),"")</f>
        <v/>
      </c>
      <c r="D365" s="31"/>
      <c r="E365" s="32" t="str">
        <f>IFERROR(_xlfn.XLOOKUP($B365,MObra[DESCRIPCION],MObra[VALOR UNIT],,0),"")</f>
        <v/>
      </c>
      <c r="F365" s="33"/>
      <c r="G365" s="34" t="str">
        <f>IFERROR(IF(F365&gt;=0,D365*E365*(1+F365/100),ABS(D365*E365/F365)),"")</f>
        <v/>
      </c>
      <c r="H365" s="43" t="str">
        <f>IFERROR(G365*E348,"")</f>
        <v/>
      </c>
    </row>
    <row r="366" spans="1:11">
      <c r="A366" s="35"/>
      <c r="B366" s="36"/>
      <c r="C366" s="37" t="str">
        <f t="array" ref="C366">IFERROR(_xlfn.XLOOKUP(B366,MObra[[#All],[DESCRIPCION]],MObra[[#All],[UN]],,0),"")</f>
        <v/>
      </c>
      <c r="D366" s="38"/>
      <c r="E366" s="39" t="str">
        <f>IFERROR(_xlfn.XLOOKUP($B366,MObra[DESCRIPCION],MObra[VALOR UNIT],,0),"")</f>
        <v/>
      </c>
      <c r="F366" s="40"/>
      <c r="G366" s="41" t="str">
        <f>IFERROR(IF(F366&gt;=0,D366*E366*(1+F366/100),ABS(D366*E366/F366)),"")</f>
        <v/>
      </c>
      <c r="H366" s="42" t="str">
        <f>IFERROR(G366*E348,"")</f>
        <v/>
      </c>
    </row>
    <row r="368" spans="1:11">
      <c r="A368" s="6" t="s">
        <v>635</v>
      </c>
      <c r="B368" s="7" t="str">
        <f>VLOOKUP($A368,Presupuesto!$A:$D,2,FALSE())</f>
        <v>Muro bloque cemento 14x19x39 cm</v>
      </c>
      <c r="C368" s="8" t="str">
        <f>VLOOKUP($A368,Presupuesto!$A:$D,3,FALSE())</f>
        <v>M2</v>
      </c>
      <c r="D368" s="9"/>
      <c r="E368" s="10">
        <f>VLOOKUP($A368,Presupuesto!$A:$D,4,FALSE())</f>
        <v>0</v>
      </c>
      <c r="F368" s="11" t="s">
        <v>2589</v>
      </c>
      <c r="G368" s="12">
        <f>SUM(G370:G386)/2</f>
        <v>107025.49200165345</v>
      </c>
      <c r="H368" s="13">
        <f>ROUND(SUM(H370:H386),0)/2</f>
        <v>0</v>
      </c>
      <c r="I368" s="10">
        <f>VLOOKUP(A368,Presupuesto!$A:$F,6,0)</f>
        <v>0</v>
      </c>
      <c r="J368" s="10">
        <f>+H368-I368</f>
        <v>0</v>
      </c>
      <c r="K368" s="46">
        <f>+H368-G368*E368</f>
        <v>0</v>
      </c>
    </row>
    <row r="369" spans="1:8">
      <c r="A369" s="14"/>
      <c r="B369" s="15" t="s">
        <v>2586</v>
      </c>
      <c r="C369" s="15" t="s">
        <v>5</v>
      </c>
      <c r="D369" s="16" t="s">
        <v>6</v>
      </c>
      <c r="E369" s="17" t="s">
        <v>7</v>
      </c>
      <c r="F369" s="18" t="s">
        <v>3728</v>
      </c>
      <c r="G369" s="19" t="s">
        <v>3729</v>
      </c>
      <c r="H369" s="20" t="s">
        <v>3797</v>
      </c>
    </row>
    <row r="370" spans="1:8">
      <c r="A370" s="21"/>
      <c r="B370" s="22" t="s">
        <v>3730</v>
      </c>
      <c r="C370" s="23"/>
      <c r="D370" s="24"/>
      <c r="E370" s="25"/>
      <c r="F370" s="26"/>
      <c r="G370" s="27">
        <f>SUM(G371:G375)</f>
        <v>58197.891430553442</v>
      </c>
      <c r="H370" s="27">
        <f>IFERROR(G370*E368,"")</f>
        <v>0</v>
      </c>
    </row>
    <row r="371" spans="1:8">
      <c r="A371" s="28"/>
      <c r="B371" s="29" t="s">
        <v>2754</v>
      </c>
      <c r="C371" s="30" t="str">
        <f>IFERROR(_xlfn.XLOOKUP(B371,Insumo[DESCRIPCION],Insumo[UND],,0),"")</f>
        <v>Un</v>
      </c>
      <c r="D371" s="31">
        <v>12.5</v>
      </c>
      <c r="E371" s="32">
        <f>IFERROR(_xlfn.XLOOKUP($B371,Insumo[DESCRIPCION],Insumo[VALOR],,0),"")</f>
        <v>3486</v>
      </c>
      <c r="F371" s="33">
        <v>5</v>
      </c>
      <c r="G371" s="34">
        <f>IFERROR(IF(F371&gt;=0,D371*E371*(1+F371/100),ABS(D371*E371/F371)),"")</f>
        <v>45753.75</v>
      </c>
      <c r="H371" s="43">
        <f>IFERROR(G371*E368,"")</f>
        <v>0</v>
      </c>
    </row>
    <row r="372" spans="1:8">
      <c r="A372" s="28"/>
      <c r="B372" s="29" t="s">
        <v>3244</v>
      </c>
      <c r="C372" s="30" t="str">
        <f>IFERROR(_xlfn.XLOOKUP(B372,Insumo[DESCRIPCION],Insumo[UND],,0),"")</f>
        <v>M3</v>
      </c>
      <c r="D372" s="31">
        <v>2.5000000000000001E-2</v>
      </c>
      <c r="E372" s="32">
        <f>IFERROR(_xlfn.XLOOKUP($B372,Insumo[DESCRIPCION],Insumo[VALOR],,0),"")</f>
        <v>497765.65722213761</v>
      </c>
      <c r="F372" s="33"/>
      <c r="G372" s="34">
        <f>IFERROR(IF(F372&gt;=0,D372*E372*(1+F372/100),ABS(D372*E372/F372)),"")</f>
        <v>12444.141430553442</v>
      </c>
      <c r="H372" s="43">
        <f>IFERROR(G372*E368,"")</f>
        <v>0</v>
      </c>
    </row>
    <row r="373" spans="1:8">
      <c r="A373" s="28"/>
      <c r="B373" s="29"/>
      <c r="C373" s="30" t="str">
        <f>IFERROR(_xlfn.XLOOKUP(B373,Insumo[DESCRIPCION],Insumo[UND],,0),"")</f>
        <v/>
      </c>
      <c r="D373" s="31"/>
      <c r="E373" s="32" t="str">
        <f>IFERROR(_xlfn.XLOOKUP($B373,Insumo[DESCRIPCION],Insumo[VALOR],,0),"")</f>
        <v/>
      </c>
      <c r="F373" s="33"/>
      <c r="G373" s="34" t="str">
        <f>IFERROR(IF(F373&gt;=0,D373*E373*(1+F373/100),ABS(D373*E373/F373)),"")</f>
        <v/>
      </c>
      <c r="H373" s="43" t="str">
        <f>IFERROR(G373*E368,"")</f>
        <v/>
      </c>
    </row>
    <row r="374" spans="1:8">
      <c r="A374" s="28"/>
      <c r="B374" s="29"/>
      <c r="C374" s="30" t="str">
        <f>IFERROR(_xlfn.XLOOKUP(B374,Insumo[DESCRIPCION],Insumo[UND],,0),"")</f>
        <v/>
      </c>
      <c r="D374" s="31"/>
      <c r="E374" s="32" t="str">
        <f>IFERROR(_xlfn.XLOOKUP($B374,Insumo[DESCRIPCION],Insumo[VALOR],,0),"")</f>
        <v/>
      </c>
      <c r="F374" s="33"/>
      <c r="G374" s="34" t="str">
        <f>IFERROR(IF(F374&gt;=0,D374*E374*(1+F374/100),ABS(D374*E374/F374)),"")</f>
        <v/>
      </c>
      <c r="H374" s="43" t="str">
        <f>IFERROR(G374*E368,"")</f>
        <v/>
      </c>
    </row>
    <row r="375" spans="1:8">
      <c r="A375" s="28"/>
      <c r="B375" s="29"/>
      <c r="C375" s="30" t="str">
        <f>IFERROR(_xlfn.XLOOKUP(B375,Insumo[DESCRIPCION],Insumo[UND],,0),"")</f>
        <v/>
      </c>
      <c r="D375" s="31"/>
      <c r="E375" s="32" t="str">
        <f>IFERROR(_xlfn.XLOOKUP($B375,Insumo[DESCRIPCION],Insumo[VALOR],,0),"")</f>
        <v/>
      </c>
      <c r="F375" s="33"/>
      <c r="G375" s="34" t="str">
        <f>IFERROR(IF(F375&gt;=0,D375*E375*(1+F375/100),ABS(D375*E375/F375)),"")</f>
        <v/>
      </c>
      <c r="H375" s="43" t="str">
        <f>IFERROR(G375*E368,"")</f>
        <v/>
      </c>
    </row>
    <row r="376" spans="1:8">
      <c r="A376" s="21"/>
      <c r="B376" s="22" t="s">
        <v>3731</v>
      </c>
      <c r="C376" s="23"/>
      <c r="D376" s="24"/>
      <c r="E376" s="25"/>
      <c r="F376" s="26"/>
      <c r="G376" s="27">
        <f>SUM(G377:G379)</f>
        <v>7796.0034525285737</v>
      </c>
      <c r="H376" s="44">
        <f>G376*E368</f>
        <v>0</v>
      </c>
    </row>
    <row r="377" spans="1:8">
      <c r="A377" s="28"/>
      <c r="B377" s="29" t="s">
        <v>3573</v>
      </c>
      <c r="C377" s="30" t="str">
        <f>IFERROR(_xlfn.XLOOKUP(B377,Equipo[DESCRIPCION],Equipo[UND],,0),"")</f>
        <v>%MO</v>
      </c>
      <c r="D377" s="31">
        <v>0.1</v>
      </c>
      <c r="E377" s="32">
        <f>IF(C377="%MO",G383,IFERROR(_xlfn.XLOOKUP($B377,Equipo[DESCRIPCION],Equipo[VALOR],,0),""))</f>
        <v>41031.597118571437</v>
      </c>
      <c r="F377" s="33"/>
      <c r="G377" s="34">
        <f>IFERROR(IF(F377&gt;=0,D377*E377*(1+F377/100),ABS(D377*E377/F377)),"")</f>
        <v>4103.1597118571435</v>
      </c>
      <c r="H377" s="43">
        <f>IFERROR(G377*E368,"")</f>
        <v>0</v>
      </c>
    </row>
    <row r="378" spans="1:8">
      <c r="A378" s="28"/>
      <c r="B378" s="29" t="s">
        <v>3570</v>
      </c>
      <c r="C378" s="30" t="str">
        <f>IFERROR(_xlfn.XLOOKUP(B378,Equipo[DESCRIPCION],Equipo[UND],,0),"")</f>
        <v>%MO</v>
      </c>
      <c r="D378" s="31">
        <v>0.04</v>
      </c>
      <c r="E378" s="32">
        <f>IF(C378="%MO",G383,IFERROR(_xlfn.XLOOKUP($B378,Equipo[DESCRIPCION],Equipo[VALOR],,0),""))</f>
        <v>41031.597118571437</v>
      </c>
      <c r="F378" s="33"/>
      <c r="G378" s="34">
        <f>IFERROR(IF(F378&gt;=0,D378*E378*(1+F378/100),ABS(D378*E378/F378)),"")</f>
        <v>1641.2638847428575</v>
      </c>
      <c r="H378" s="43">
        <f>IFERROR(G378*E368,"")</f>
        <v>0</v>
      </c>
    </row>
    <row r="379" spans="1:8">
      <c r="A379" s="28"/>
      <c r="B379" s="29" t="s">
        <v>3626</v>
      </c>
      <c r="C379" s="30" t="str">
        <f>IFERROR(_xlfn.XLOOKUP(B379,Equipo[DESCRIPCION],Equipo[UND],,0),"")</f>
        <v>%MO</v>
      </c>
      <c r="D379" s="31">
        <v>0.05</v>
      </c>
      <c r="E379" s="32">
        <f>IF(C379="%MO",G383,IFERROR(_xlfn.XLOOKUP($B379,Equipo[DESCRIPCION],Equipo[VALOR],,0),""))</f>
        <v>41031.597118571437</v>
      </c>
      <c r="F379" s="33"/>
      <c r="G379" s="34">
        <f>IFERROR(IF(F379&gt;=0,D379*E379*(1+F379/100),ABS(D379*E379/F379)),"")</f>
        <v>2051.5798559285718</v>
      </c>
      <c r="H379" s="43">
        <f>IFERROR(G379*E368,"")</f>
        <v>0</v>
      </c>
    </row>
    <row r="380" spans="1:8">
      <c r="A380" s="21"/>
      <c r="B380" s="22" t="s">
        <v>2533</v>
      </c>
      <c r="C380" s="23"/>
      <c r="D380" s="24"/>
      <c r="E380" s="25"/>
      <c r="F380" s="26"/>
      <c r="G380" s="27">
        <f>SUM(G381:G382)</f>
        <v>0</v>
      </c>
      <c r="H380" s="44">
        <f>G380*E368</f>
        <v>0</v>
      </c>
    </row>
    <row r="381" spans="1:8">
      <c r="A381" s="28"/>
      <c r="B381" s="29"/>
      <c r="C381" s="30" t="str">
        <f>IFERROR(_xlfn.XLOOKUP(B381,Transporte[DESCRIPCION],Transporte[UND],,0),"")</f>
        <v/>
      </c>
      <c r="D381" s="31"/>
      <c r="E381" s="32" t="str">
        <f>IFERROR(_xlfn.XLOOKUP($B381,Transporte[DESCRIPCION],Transporte[VALOR],,0),"")</f>
        <v/>
      </c>
      <c r="F381" s="33"/>
      <c r="G381" s="34" t="str">
        <f>IFERROR(IF(F381&gt;=0,D381*E381*(1+F381/100),ABS(D381*E381/F381)),"")</f>
        <v/>
      </c>
      <c r="H381" s="43" t="str">
        <f>IFERROR(G381*E368,"")</f>
        <v/>
      </c>
    </row>
    <row r="382" spans="1:8">
      <c r="A382" s="28"/>
      <c r="B382" s="29"/>
      <c r="C382" s="30" t="str">
        <f>IFERROR(_xlfn.XLOOKUP(B382,Transporte[DESCRIPCION],Transporte[UND],,0),"")</f>
        <v/>
      </c>
      <c r="D382" s="31"/>
      <c r="E382" s="32" t="str">
        <f>IFERROR(_xlfn.XLOOKUP($B382,Transporte[DESCRIPCION],Transporte[VALOR],,0),"")</f>
        <v/>
      </c>
      <c r="F382" s="33"/>
      <c r="G382" s="34" t="str">
        <f>IFERROR(IF(F382&gt;=0,D382*E382*(1+F382/100),ABS(D382*E382/F382)),"")</f>
        <v/>
      </c>
      <c r="H382" s="43" t="str">
        <f>IFERROR(G382*E368,"")</f>
        <v/>
      </c>
    </row>
    <row r="383" spans="1:8">
      <c r="A383" s="21"/>
      <c r="B383" s="22" t="s">
        <v>3732</v>
      </c>
      <c r="C383" s="23"/>
      <c r="D383" s="24"/>
      <c r="E383" s="25"/>
      <c r="F383" s="26"/>
      <c r="G383" s="27">
        <f>SUM(G384:G386)</f>
        <v>41031.597118571437</v>
      </c>
      <c r="H383" s="44">
        <f>G383*E368</f>
        <v>0</v>
      </c>
    </row>
    <row r="384" spans="1:8">
      <c r="A384" s="28"/>
      <c r="B384" s="29" t="s">
        <v>3711</v>
      </c>
      <c r="C384" s="30" t="str">
        <f>IFERROR(_xlfn.XLOOKUP(B384,MObra[DESCRIPCION],MObra[UN],,0),"")</f>
        <v>día</v>
      </c>
      <c r="D384" s="31">
        <v>1</v>
      </c>
      <c r="E384" s="32">
        <f>IFERROR(_xlfn.XLOOKUP($B384,MObra[DESCRIPCION],MObra[VALOR UNIT],,0),"")</f>
        <v>430831.76974500006</v>
      </c>
      <c r="F384" s="33">
        <v>-10.5</v>
      </c>
      <c r="G384" s="34">
        <f>IFERROR(IF(F384&gt;=0,D384*E384*(1+F384/100),ABS(D384*E384/F384)),"")</f>
        <v>41031.597118571437</v>
      </c>
      <c r="H384" s="43">
        <f>IFERROR(G384*E368,"")</f>
        <v>0</v>
      </c>
    </row>
    <row r="385" spans="1:11">
      <c r="A385" s="28"/>
      <c r="B385" s="29"/>
      <c r="C385" s="30" t="str">
        <f t="array" ref="C385">IFERROR(_xlfn.XLOOKUP(B385,MObra[[#All],[DESCRIPCION]],MObra[[#All],[UN]],,0),"")</f>
        <v/>
      </c>
      <c r="D385" s="31"/>
      <c r="E385" s="32" t="str">
        <f>IFERROR(_xlfn.XLOOKUP($B385,MObra[DESCRIPCION],MObra[VALOR UNIT],,0),"")</f>
        <v/>
      </c>
      <c r="F385" s="33"/>
      <c r="G385" s="34" t="str">
        <f>IFERROR(IF(F385&gt;=0,D385*E385*(1+F385/100),ABS(D385*E385/F385)),"")</f>
        <v/>
      </c>
      <c r="H385" s="43" t="str">
        <f>IFERROR(G385*E368,"")</f>
        <v/>
      </c>
    </row>
    <row r="386" spans="1:11">
      <c r="A386" s="35"/>
      <c r="B386" s="36"/>
      <c r="C386" s="37" t="str">
        <f t="array" ref="C386">IFERROR(_xlfn.XLOOKUP(B386,MObra[[#All],[DESCRIPCION]],MObra[[#All],[UN]],,0),"")</f>
        <v/>
      </c>
      <c r="D386" s="38"/>
      <c r="E386" s="39" t="str">
        <f>IFERROR(_xlfn.XLOOKUP($B386,MObra[DESCRIPCION],MObra[VALOR UNIT],,0),"")</f>
        <v/>
      </c>
      <c r="F386" s="40"/>
      <c r="G386" s="41" t="str">
        <f>IFERROR(IF(F386&gt;=0,D386*E386*(1+F386/100),ABS(D386*E386/F386)),"")</f>
        <v/>
      </c>
      <c r="H386" s="42" t="str">
        <f>IFERROR(G386*E368,"")</f>
        <v/>
      </c>
    </row>
    <row r="388" spans="1:11">
      <c r="A388" s="6" t="s">
        <v>637</v>
      </c>
      <c r="B388" s="7" t="str">
        <f>VLOOKUP($A388,Presupuesto!$A:$D,2,FALSE())</f>
        <v>Muro bloque cemento texturizado 14x19x39 cm</v>
      </c>
      <c r="C388" s="8" t="str">
        <f>VLOOKUP($A388,Presupuesto!$A:$D,3,FALSE())</f>
        <v>M2</v>
      </c>
      <c r="D388" s="9"/>
      <c r="E388" s="10">
        <f>VLOOKUP($A388,Presupuesto!$A:$D,4,FALSE())</f>
        <v>0</v>
      </c>
      <c r="F388" s="11" t="s">
        <v>2589</v>
      </c>
      <c r="G388" s="12">
        <f>SUM(G390:G406)/2</f>
        <v>135828.30450165347</v>
      </c>
      <c r="H388" s="13">
        <f>ROUND(SUM(H390:H406),0)/2</f>
        <v>0</v>
      </c>
      <c r="I388" s="10">
        <f>VLOOKUP(A388,Presupuesto!$A:$F,6,0)</f>
        <v>0</v>
      </c>
      <c r="J388" s="10">
        <f>+H388-I388</f>
        <v>0</v>
      </c>
      <c r="K388" s="46">
        <f>+H388-G388*E388</f>
        <v>0</v>
      </c>
    </row>
    <row r="389" spans="1:11">
      <c r="A389" s="14"/>
      <c r="B389" s="15" t="s">
        <v>2586</v>
      </c>
      <c r="C389" s="15" t="s">
        <v>5</v>
      </c>
      <c r="D389" s="16" t="s">
        <v>6</v>
      </c>
      <c r="E389" s="17" t="s">
        <v>7</v>
      </c>
      <c r="F389" s="18" t="s">
        <v>3728</v>
      </c>
      <c r="G389" s="19" t="s">
        <v>3729</v>
      </c>
      <c r="H389" s="20" t="s">
        <v>3797</v>
      </c>
    </row>
    <row r="390" spans="1:11">
      <c r="A390" s="21"/>
      <c r="B390" s="22" t="s">
        <v>3730</v>
      </c>
      <c r="C390" s="23"/>
      <c r="D390" s="24"/>
      <c r="E390" s="25"/>
      <c r="F390" s="26"/>
      <c r="G390" s="27">
        <f>SUM(G391:G395)</f>
        <v>87000.703930553442</v>
      </c>
      <c r="H390" s="27">
        <f>IFERROR(G390*E388,"")</f>
        <v>0</v>
      </c>
    </row>
    <row r="391" spans="1:11">
      <c r="A391" s="28"/>
      <c r="B391" s="29" t="s">
        <v>2756</v>
      </c>
      <c r="C391" s="30" t="str">
        <f>IFERROR(_xlfn.XLOOKUP(B391,Insumo[DESCRIPCION],Insumo[UND],,0),"")</f>
        <v xml:space="preserve"> Un </v>
      </c>
      <c r="D391" s="31">
        <v>12.5</v>
      </c>
      <c r="E391" s="32">
        <f>IFERROR(_xlfn.XLOOKUP($B391,Insumo[DESCRIPCION],Insumo[VALOR],,0),"")</f>
        <v>5680.5</v>
      </c>
      <c r="F391" s="33">
        <v>5</v>
      </c>
      <c r="G391" s="34">
        <f>IFERROR(IF(F391&gt;=0,D391*E391*(1+F391/100),ABS(D391*E391/F391)),"")</f>
        <v>74556.5625</v>
      </c>
      <c r="H391" s="43">
        <f>IFERROR(G391*E388,"")</f>
        <v>0</v>
      </c>
    </row>
    <row r="392" spans="1:11">
      <c r="A392" s="28"/>
      <c r="B392" s="29" t="s">
        <v>3244</v>
      </c>
      <c r="C392" s="30" t="str">
        <f>IFERROR(_xlfn.XLOOKUP(B392,Insumo[DESCRIPCION],Insumo[UND],,0),"")</f>
        <v>M3</v>
      </c>
      <c r="D392" s="31">
        <v>2.5000000000000001E-2</v>
      </c>
      <c r="E392" s="32">
        <f>IFERROR(_xlfn.XLOOKUP($B392,Insumo[DESCRIPCION],Insumo[VALOR],,0),"")</f>
        <v>497765.65722213761</v>
      </c>
      <c r="F392" s="33"/>
      <c r="G392" s="34">
        <f>IFERROR(IF(F392&gt;=0,D392*E392*(1+F392/100),ABS(D392*E392/F392)),"")</f>
        <v>12444.141430553442</v>
      </c>
      <c r="H392" s="43">
        <f>IFERROR(G392*E388,"")</f>
        <v>0</v>
      </c>
    </row>
    <row r="393" spans="1:11">
      <c r="A393" s="28"/>
      <c r="B393" s="29"/>
      <c r="C393" s="30" t="str">
        <f>IFERROR(_xlfn.XLOOKUP(B393,Insumo[DESCRIPCION],Insumo[UND],,0),"")</f>
        <v/>
      </c>
      <c r="D393" s="31"/>
      <c r="E393" s="32" t="str">
        <f>IFERROR(_xlfn.XLOOKUP($B393,Insumo[DESCRIPCION],Insumo[VALOR],,0),"")</f>
        <v/>
      </c>
      <c r="F393" s="33"/>
      <c r="G393" s="34" t="str">
        <f>IFERROR(IF(F393&gt;=0,D393*E393*(1+F393/100),ABS(D393*E393/F393)),"")</f>
        <v/>
      </c>
      <c r="H393" s="43" t="str">
        <f>IFERROR(G393*E388,"")</f>
        <v/>
      </c>
    </row>
    <row r="394" spans="1:11">
      <c r="A394" s="28"/>
      <c r="B394" s="29"/>
      <c r="C394" s="30" t="str">
        <f>IFERROR(_xlfn.XLOOKUP(B394,Insumo[DESCRIPCION],Insumo[UND],,0),"")</f>
        <v/>
      </c>
      <c r="D394" s="31"/>
      <c r="E394" s="32" t="str">
        <f>IFERROR(_xlfn.XLOOKUP($B394,Insumo[DESCRIPCION],Insumo[VALOR],,0),"")</f>
        <v/>
      </c>
      <c r="F394" s="33"/>
      <c r="G394" s="34" t="str">
        <f>IFERROR(IF(F394&gt;=0,D394*E394*(1+F394/100),ABS(D394*E394/F394)),"")</f>
        <v/>
      </c>
      <c r="H394" s="43" t="str">
        <f>IFERROR(G394*E388,"")</f>
        <v/>
      </c>
    </row>
    <row r="395" spans="1:11">
      <c r="A395" s="28"/>
      <c r="B395" s="29"/>
      <c r="C395" s="30" t="str">
        <f>IFERROR(_xlfn.XLOOKUP(B395,Insumo[DESCRIPCION],Insumo[UND],,0),"")</f>
        <v/>
      </c>
      <c r="D395" s="31"/>
      <c r="E395" s="32" t="str">
        <f>IFERROR(_xlfn.XLOOKUP($B395,Insumo[DESCRIPCION],Insumo[VALOR],,0),"")</f>
        <v/>
      </c>
      <c r="F395" s="33"/>
      <c r="G395" s="34" t="str">
        <f>IFERROR(IF(F395&gt;=0,D395*E395*(1+F395/100),ABS(D395*E395/F395)),"")</f>
        <v/>
      </c>
      <c r="H395" s="43" t="str">
        <f>IFERROR(G395*E388,"")</f>
        <v/>
      </c>
    </row>
    <row r="396" spans="1:11">
      <c r="A396" s="21"/>
      <c r="B396" s="22" t="s">
        <v>3731</v>
      </c>
      <c r="C396" s="23"/>
      <c r="D396" s="24"/>
      <c r="E396" s="25"/>
      <c r="F396" s="26"/>
      <c r="G396" s="27">
        <f>SUM(G397:G399)</f>
        <v>7796.0034525285737</v>
      </c>
      <c r="H396" s="44">
        <f>G396*E388</f>
        <v>0</v>
      </c>
    </row>
    <row r="397" spans="1:11">
      <c r="A397" s="28"/>
      <c r="B397" s="29" t="s">
        <v>3573</v>
      </c>
      <c r="C397" s="30" t="str">
        <f>IFERROR(_xlfn.XLOOKUP(B397,Equipo[DESCRIPCION],Equipo[UND],,0),"")</f>
        <v>%MO</v>
      </c>
      <c r="D397" s="31">
        <v>0.1</v>
      </c>
      <c r="E397" s="32">
        <f>IF(C397="%MO",G403,IFERROR(_xlfn.XLOOKUP($B397,Equipo[DESCRIPCION],Equipo[VALOR],,0),""))</f>
        <v>41031.597118571437</v>
      </c>
      <c r="F397" s="33"/>
      <c r="G397" s="34">
        <f>IFERROR(IF(F397&gt;=0,D397*E397*(1+F397/100),ABS(D397*E397/F397)),"")</f>
        <v>4103.1597118571435</v>
      </c>
      <c r="H397" s="43">
        <f>IFERROR(G397*E388,"")</f>
        <v>0</v>
      </c>
    </row>
    <row r="398" spans="1:11">
      <c r="A398" s="28"/>
      <c r="B398" s="29" t="s">
        <v>3570</v>
      </c>
      <c r="C398" s="30" t="str">
        <f>IFERROR(_xlfn.XLOOKUP(B398,Equipo[DESCRIPCION],Equipo[UND],,0),"")</f>
        <v>%MO</v>
      </c>
      <c r="D398" s="31">
        <v>0.04</v>
      </c>
      <c r="E398" s="32">
        <f>IF(C398="%MO",G403,IFERROR(_xlfn.XLOOKUP($B398,Equipo[DESCRIPCION],Equipo[VALOR],,0),""))</f>
        <v>41031.597118571437</v>
      </c>
      <c r="F398" s="33"/>
      <c r="G398" s="34">
        <f>IFERROR(IF(F398&gt;=0,D398*E398*(1+F398/100),ABS(D398*E398/F398)),"")</f>
        <v>1641.2638847428575</v>
      </c>
      <c r="H398" s="43">
        <f>IFERROR(G398*E388,"")</f>
        <v>0</v>
      </c>
    </row>
    <row r="399" spans="1:11">
      <c r="A399" s="28"/>
      <c r="B399" s="29" t="s">
        <v>3626</v>
      </c>
      <c r="C399" s="30" t="str">
        <f>IFERROR(_xlfn.XLOOKUP(B399,Equipo[DESCRIPCION],Equipo[UND],,0),"")</f>
        <v>%MO</v>
      </c>
      <c r="D399" s="31">
        <v>0.05</v>
      </c>
      <c r="E399" s="32">
        <f>IF(C399="%MO",G403,IFERROR(_xlfn.XLOOKUP($B399,Equipo[DESCRIPCION],Equipo[VALOR],,0),""))</f>
        <v>41031.597118571437</v>
      </c>
      <c r="F399" s="33"/>
      <c r="G399" s="34">
        <f>IFERROR(IF(F399&gt;=0,D399*E399*(1+F399/100),ABS(D399*E399/F399)),"")</f>
        <v>2051.5798559285718</v>
      </c>
      <c r="H399" s="43">
        <f>IFERROR(G399*E388,"")</f>
        <v>0</v>
      </c>
    </row>
    <row r="400" spans="1:11">
      <c r="A400" s="21"/>
      <c r="B400" s="22" t="s">
        <v>2533</v>
      </c>
      <c r="C400" s="23"/>
      <c r="D400" s="24"/>
      <c r="E400" s="25"/>
      <c r="F400" s="26"/>
      <c r="G400" s="27">
        <f>SUM(G401:G402)</f>
        <v>0</v>
      </c>
      <c r="H400" s="44">
        <f>G400*E388</f>
        <v>0</v>
      </c>
    </row>
    <row r="401" spans="1:11">
      <c r="A401" s="28"/>
      <c r="B401" s="29"/>
      <c r="C401" s="30" t="str">
        <f>IFERROR(_xlfn.XLOOKUP(B401,Transporte[DESCRIPCION],Transporte[UND],,0),"")</f>
        <v/>
      </c>
      <c r="D401" s="31"/>
      <c r="E401" s="32" t="str">
        <f>IFERROR(_xlfn.XLOOKUP($B401,Transporte[DESCRIPCION],Transporte[VALOR],,0),"")</f>
        <v/>
      </c>
      <c r="F401" s="33"/>
      <c r="G401" s="34" t="str">
        <f>IFERROR(IF(F401&gt;=0,D401*E401*(1+F401/100),ABS(D401*E401/F401)),"")</f>
        <v/>
      </c>
      <c r="H401" s="43" t="str">
        <f>IFERROR(G401*E388,"")</f>
        <v/>
      </c>
    </row>
    <row r="402" spans="1:11">
      <c r="A402" s="28"/>
      <c r="B402" s="29"/>
      <c r="C402" s="30" t="str">
        <f>IFERROR(_xlfn.XLOOKUP(B402,Transporte[DESCRIPCION],Transporte[UND],,0),"")</f>
        <v/>
      </c>
      <c r="D402" s="31"/>
      <c r="E402" s="32" t="str">
        <f>IFERROR(_xlfn.XLOOKUP($B402,Transporte[DESCRIPCION],Transporte[VALOR],,0),"")</f>
        <v/>
      </c>
      <c r="F402" s="33"/>
      <c r="G402" s="34" t="str">
        <f>IFERROR(IF(F402&gt;=0,D402*E402*(1+F402/100),ABS(D402*E402/F402)),"")</f>
        <v/>
      </c>
      <c r="H402" s="43" t="str">
        <f>IFERROR(G402*E388,"")</f>
        <v/>
      </c>
    </row>
    <row r="403" spans="1:11">
      <c r="A403" s="21"/>
      <c r="B403" s="22" t="s">
        <v>3732</v>
      </c>
      <c r="C403" s="23"/>
      <c r="D403" s="24"/>
      <c r="E403" s="25"/>
      <c r="F403" s="26"/>
      <c r="G403" s="27">
        <f>SUM(G404:G406)</f>
        <v>41031.597118571437</v>
      </c>
      <c r="H403" s="44">
        <f>G403*E388</f>
        <v>0</v>
      </c>
    </row>
    <row r="404" spans="1:11">
      <c r="A404" s="28"/>
      <c r="B404" s="29" t="s">
        <v>3711</v>
      </c>
      <c r="C404" s="30" t="str">
        <f>IFERROR(_xlfn.XLOOKUP(B404,MObra[DESCRIPCION],MObra[UN],,0),"")</f>
        <v>día</v>
      </c>
      <c r="D404" s="31">
        <v>1</v>
      </c>
      <c r="E404" s="32">
        <f>IFERROR(_xlfn.XLOOKUP($B404,MObra[DESCRIPCION],MObra[VALOR UNIT],,0),"")</f>
        <v>430831.76974500006</v>
      </c>
      <c r="F404" s="33">
        <v>-10.5</v>
      </c>
      <c r="G404" s="34">
        <f>IFERROR(IF(F404&gt;=0,D404*E404*(1+F404/100),ABS(D404*E404/F404)),"")</f>
        <v>41031.597118571437</v>
      </c>
      <c r="H404" s="43">
        <f>IFERROR(G404*E388,"")</f>
        <v>0</v>
      </c>
    </row>
    <row r="405" spans="1:11">
      <c r="A405" s="28"/>
      <c r="B405" s="29"/>
      <c r="C405" s="30" t="str">
        <f t="array" ref="C405">IFERROR(_xlfn.XLOOKUP(B405,MObra[[#All],[DESCRIPCION]],MObra[[#All],[UN]],,0),"")</f>
        <v/>
      </c>
      <c r="D405" s="31"/>
      <c r="E405" s="32" t="str">
        <f>IFERROR(_xlfn.XLOOKUP($B405,MObra[DESCRIPCION],MObra[VALOR UNIT],,0),"")</f>
        <v/>
      </c>
      <c r="F405" s="33"/>
      <c r="G405" s="34" t="str">
        <f>IFERROR(IF(F405&gt;=0,D405*E405*(1+F405/100),ABS(D405*E405/F405)),"")</f>
        <v/>
      </c>
      <c r="H405" s="43" t="str">
        <f>IFERROR(G405*E388,"")</f>
        <v/>
      </c>
    </row>
    <row r="406" spans="1:11">
      <c r="A406" s="35"/>
      <c r="B406" s="36"/>
      <c r="C406" s="37" t="str">
        <f t="array" ref="C406">IFERROR(_xlfn.XLOOKUP(B406,MObra[[#All],[DESCRIPCION]],MObra[[#All],[UN]],,0),"")</f>
        <v/>
      </c>
      <c r="D406" s="38"/>
      <c r="E406" s="39" t="str">
        <f>IFERROR(_xlfn.XLOOKUP($B406,MObra[DESCRIPCION],MObra[VALOR UNIT],,0),"")</f>
        <v/>
      </c>
      <c r="F406" s="40"/>
      <c r="G406" s="41" t="str">
        <f>IFERROR(IF(F406&gt;=0,D406*E406*(1+F406/100),ABS(D406*E406/F406)),"")</f>
        <v/>
      </c>
      <c r="H406" s="42" t="str">
        <f>IFERROR(G406*E388,"")</f>
        <v/>
      </c>
    </row>
    <row r="408" spans="1:11">
      <c r="A408" s="6" t="s">
        <v>639</v>
      </c>
      <c r="B408" s="7" t="str">
        <f>VLOOKUP($A408,Presupuesto!$A:$D,2,FALSE())</f>
        <v>Muro bloque estructural 14x19x39 cm + acero + Grafil</v>
      </c>
      <c r="C408" s="8" t="str">
        <f>VLOOKUP($A408,Presupuesto!$A:$D,3,FALSE())</f>
        <v>M2</v>
      </c>
      <c r="D408" s="9"/>
      <c r="E408" s="10">
        <f>VLOOKUP($A408,Presupuesto!$A:$D,4,FALSE())</f>
        <v>0</v>
      </c>
      <c r="F408" s="11" t="s">
        <v>2589</v>
      </c>
      <c r="G408" s="12">
        <f>SUM(G410:G426)/2</f>
        <v>108805.24200165345</v>
      </c>
      <c r="H408" s="13">
        <f>ROUND(SUM(H410:H426),0)/2</f>
        <v>0</v>
      </c>
      <c r="I408" s="10">
        <f>VLOOKUP(A408,Presupuesto!$A:$F,6,0)</f>
        <v>0</v>
      </c>
      <c r="J408" s="10">
        <f>+H408-I408</f>
        <v>0</v>
      </c>
      <c r="K408" s="46">
        <f>+H408-G408*E408</f>
        <v>0</v>
      </c>
    </row>
    <row r="409" spans="1:11">
      <c r="A409" s="14"/>
      <c r="B409" s="15" t="s">
        <v>2586</v>
      </c>
      <c r="C409" s="15" t="s">
        <v>5</v>
      </c>
      <c r="D409" s="16" t="s">
        <v>6</v>
      </c>
      <c r="E409" s="17" t="s">
        <v>7</v>
      </c>
      <c r="F409" s="18" t="s">
        <v>3728</v>
      </c>
      <c r="G409" s="19" t="s">
        <v>3729</v>
      </c>
      <c r="H409" s="20" t="s">
        <v>3797</v>
      </c>
    </row>
    <row r="410" spans="1:11">
      <c r="A410" s="21"/>
      <c r="B410" s="22" t="s">
        <v>3730</v>
      </c>
      <c r="C410" s="23"/>
      <c r="D410" s="24"/>
      <c r="E410" s="25"/>
      <c r="F410" s="26"/>
      <c r="G410" s="27">
        <f>SUM(G411:G415)</f>
        <v>59977.641430553442</v>
      </c>
      <c r="H410" s="27">
        <f>IFERROR(G410*E408,"")</f>
        <v>0</v>
      </c>
    </row>
    <row r="411" spans="1:11">
      <c r="A411" s="28"/>
      <c r="B411" s="29" t="s">
        <v>2754</v>
      </c>
      <c r="C411" s="30" t="str">
        <f>IFERROR(_xlfn.XLOOKUP(B411,Insumo[DESCRIPCION],Insumo[UND],,0),"")</f>
        <v>Un</v>
      </c>
      <c r="D411" s="31">
        <v>12.5</v>
      </c>
      <c r="E411" s="32">
        <f>IFERROR(_xlfn.XLOOKUP($B411,Insumo[DESCRIPCION],Insumo[VALOR],,0),"")</f>
        <v>3486</v>
      </c>
      <c r="F411" s="33">
        <v>5</v>
      </c>
      <c r="G411" s="34">
        <f>IFERROR(IF(F411&gt;=0,D411*E411*(1+F411/100),ABS(D411*E411/F411)),"")</f>
        <v>45753.75</v>
      </c>
      <c r="H411" s="43">
        <f>IFERROR(G411*E408,"")</f>
        <v>0</v>
      </c>
    </row>
    <row r="412" spans="1:11">
      <c r="A412" s="28"/>
      <c r="B412" s="29" t="s">
        <v>3244</v>
      </c>
      <c r="C412" s="30" t="str">
        <f>IFERROR(_xlfn.XLOOKUP(B412,Insumo[DESCRIPCION],Insumo[UND],,0),"")</f>
        <v>M3</v>
      </c>
      <c r="D412" s="31">
        <v>2.5000000000000001E-2</v>
      </c>
      <c r="E412" s="32">
        <f>IFERROR(_xlfn.XLOOKUP($B412,Insumo[DESCRIPCION],Insumo[VALOR],,0),"")</f>
        <v>497765.65722213761</v>
      </c>
      <c r="F412" s="33"/>
      <c r="G412" s="34">
        <f>IFERROR(IF(F412&gt;=0,D412*E412*(1+F412/100),ABS(D412*E412/F412)),"")</f>
        <v>12444.141430553442</v>
      </c>
      <c r="H412" s="43">
        <f>IFERROR(G412*E408,"")</f>
        <v>0</v>
      </c>
    </row>
    <row r="413" spans="1:11">
      <c r="A413" s="28"/>
      <c r="B413" s="29" t="s">
        <v>2977</v>
      </c>
      <c r="C413" s="30" t="str">
        <f>IFERROR(_xlfn.XLOOKUP(B413,Insumo[DESCRIPCION],Insumo[UND],,0),"")</f>
        <v>Kg</v>
      </c>
      <c r="D413" s="31">
        <v>1</v>
      </c>
      <c r="E413" s="32">
        <f>IFERROR(_xlfn.XLOOKUP($B413,Insumo[DESCRIPCION],Insumo[VALOR],,0),"")</f>
        <v>1779.75</v>
      </c>
      <c r="F413" s="33"/>
      <c r="G413" s="34">
        <f>IFERROR(IF(F413&gt;=0,D413*E413*(1+F413/100),ABS(D413*E413/F413)),"")</f>
        <v>1779.75</v>
      </c>
      <c r="H413" s="43">
        <f>IFERROR(G413*E408,"")</f>
        <v>0</v>
      </c>
    </row>
    <row r="414" spans="1:11">
      <c r="A414" s="28"/>
      <c r="B414" s="29"/>
      <c r="C414" s="30" t="str">
        <f>IFERROR(_xlfn.XLOOKUP(B414,Insumo[DESCRIPCION],Insumo[UND],,0),"")</f>
        <v/>
      </c>
      <c r="D414" s="31"/>
      <c r="E414" s="32" t="str">
        <f>IFERROR(_xlfn.XLOOKUP($B414,Insumo[DESCRIPCION],Insumo[VALOR],,0),"")</f>
        <v/>
      </c>
      <c r="F414" s="33"/>
      <c r="G414" s="34" t="str">
        <f>IFERROR(IF(F414&gt;=0,D414*E414*(1+F414/100),ABS(D414*E414/F414)),"")</f>
        <v/>
      </c>
      <c r="H414" s="43" t="str">
        <f>IFERROR(G414*E408,"")</f>
        <v/>
      </c>
    </row>
    <row r="415" spans="1:11">
      <c r="A415" s="28"/>
      <c r="B415" s="29"/>
      <c r="C415" s="30" t="str">
        <f>IFERROR(_xlfn.XLOOKUP(B415,Insumo[DESCRIPCION],Insumo[UND],,0),"")</f>
        <v/>
      </c>
      <c r="D415" s="31"/>
      <c r="E415" s="32" t="str">
        <f>IFERROR(_xlfn.XLOOKUP($B415,Insumo[DESCRIPCION],Insumo[VALOR],,0),"")</f>
        <v/>
      </c>
      <c r="F415" s="33"/>
      <c r="G415" s="34" t="str">
        <f>IFERROR(IF(F415&gt;=0,D415*E415*(1+F415/100),ABS(D415*E415/F415)),"")</f>
        <v/>
      </c>
      <c r="H415" s="43" t="str">
        <f>IFERROR(G415*E408,"")</f>
        <v/>
      </c>
    </row>
    <row r="416" spans="1:11">
      <c r="A416" s="21"/>
      <c r="B416" s="22" t="s">
        <v>3731</v>
      </c>
      <c r="C416" s="23"/>
      <c r="D416" s="24"/>
      <c r="E416" s="25"/>
      <c r="F416" s="26"/>
      <c r="G416" s="27">
        <f>SUM(G417:G419)</f>
        <v>7796.0034525285737</v>
      </c>
      <c r="H416" s="44">
        <f>G416*E408</f>
        <v>0</v>
      </c>
    </row>
    <row r="417" spans="1:11">
      <c r="A417" s="28"/>
      <c r="B417" s="29" t="s">
        <v>3573</v>
      </c>
      <c r="C417" s="30" t="str">
        <f>IFERROR(_xlfn.XLOOKUP(B417,Equipo[DESCRIPCION],Equipo[UND],,0),"")</f>
        <v>%MO</v>
      </c>
      <c r="D417" s="31">
        <v>0.1</v>
      </c>
      <c r="E417" s="32">
        <f>IF(C417="%MO",G423,IFERROR(_xlfn.XLOOKUP($B417,Equipo[DESCRIPCION],Equipo[VALOR],,0),""))</f>
        <v>41031.597118571437</v>
      </c>
      <c r="F417" s="33"/>
      <c r="G417" s="34">
        <f>IFERROR(IF(F417&gt;=0,D417*E417*(1+F417/100),ABS(D417*E417/F417)),"")</f>
        <v>4103.1597118571435</v>
      </c>
      <c r="H417" s="43">
        <f>IFERROR(G417*E408,"")</f>
        <v>0</v>
      </c>
    </row>
    <row r="418" spans="1:11">
      <c r="A418" s="28"/>
      <c r="B418" s="29" t="s">
        <v>3570</v>
      </c>
      <c r="C418" s="30" t="str">
        <f>IFERROR(_xlfn.XLOOKUP(B418,Equipo[DESCRIPCION],Equipo[UND],,0),"")</f>
        <v>%MO</v>
      </c>
      <c r="D418" s="31">
        <v>0.04</v>
      </c>
      <c r="E418" s="32">
        <f>IF(C418="%MO",G423,IFERROR(_xlfn.XLOOKUP($B418,Equipo[DESCRIPCION],Equipo[VALOR],,0),""))</f>
        <v>41031.597118571437</v>
      </c>
      <c r="F418" s="33"/>
      <c r="G418" s="34">
        <f>IFERROR(IF(F418&gt;=0,D418*E418*(1+F418/100),ABS(D418*E418/F418)),"")</f>
        <v>1641.2638847428575</v>
      </c>
      <c r="H418" s="43">
        <f>IFERROR(G418*E408,"")</f>
        <v>0</v>
      </c>
    </row>
    <row r="419" spans="1:11">
      <c r="A419" s="28"/>
      <c r="B419" s="29" t="s">
        <v>3626</v>
      </c>
      <c r="C419" s="30" t="str">
        <f>IFERROR(_xlfn.XLOOKUP(B419,Equipo[DESCRIPCION],Equipo[UND],,0),"")</f>
        <v>%MO</v>
      </c>
      <c r="D419" s="31">
        <v>0.05</v>
      </c>
      <c r="E419" s="32">
        <f>IF(C419="%MO",G423,IFERROR(_xlfn.XLOOKUP($B419,Equipo[DESCRIPCION],Equipo[VALOR],,0),""))</f>
        <v>41031.597118571437</v>
      </c>
      <c r="F419" s="33"/>
      <c r="G419" s="34">
        <f>IFERROR(IF(F419&gt;=0,D419*E419*(1+F419/100),ABS(D419*E419/F419)),"")</f>
        <v>2051.5798559285718</v>
      </c>
      <c r="H419" s="43">
        <f>IFERROR(G419*E408,"")</f>
        <v>0</v>
      </c>
    </row>
    <row r="420" spans="1:11">
      <c r="A420" s="21"/>
      <c r="B420" s="22" t="s">
        <v>2533</v>
      </c>
      <c r="C420" s="23"/>
      <c r="D420" s="24"/>
      <c r="E420" s="25"/>
      <c r="F420" s="26"/>
      <c r="G420" s="27">
        <f>SUM(G421:G422)</f>
        <v>0</v>
      </c>
      <c r="H420" s="44">
        <f>G420*E408</f>
        <v>0</v>
      </c>
    </row>
    <row r="421" spans="1:11">
      <c r="A421" s="28"/>
      <c r="B421" s="29"/>
      <c r="C421" s="30" t="str">
        <f>IFERROR(_xlfn.XLOOKUP(B421,Transporte[DESCRIPCION],Transporte[UND],,0),"")</f>
        <v/>
      </c>
      <c r="D421" s="31"/>
      <c r="E421" s="32" t="str">
        <f>IFERROR(_xlfn.XLOOKUP($B421,Transporte[DESCRIPCION],Transporte[VALOR],,0),"")</f>
        <v/>
      </c>
      <c r="F421" s="33"/>
      <c r="G421" s="34" t="str">
        <f>IFERROR(IF(F421&gt;=0,D421*E421*(1+F421/100),ABS(D421*E421/F421)),"")</f>
        <v/>
      </c>
      <c r="H421" s="43" t="str">
        <f>IFERROR(G421*E408,"")</f>
        <v/>
      </c>
    </row>
    <row r="422" spans="1:11">
      <c r="A422" s="28"/>
      <c r="B422" s="29"/>
      <c r="C422" s="30" t="str">
        <f>IFERROR(_xlfn.XLOOKUP(B422,Transporte[DESCRIPCION],Transporte[UND],,0),"")</f>
        <v/>
      </c>
      <c r="D422" s="31"/>
      <c r="E422" s="32" t="str">
        <f>IFERROR(_xlfn.XLOOKUP($B422,Transporte[DESCRIPCION],Transporte[VALOR],,0),"")</f>
        <v/>
      </c>
      <c r="F422" s="33"/>
      <c r="G422" s="34" t="str">
        <f>IFERROR(IF(F422&gt;=0,D422*E422*(1+F422/100),ABS(D422*E422/F422)),"")</f>
        <v/>
      </c>
      <c r="H422" s="43" t="str">
        <f>IFERROR(G422*E408,"")</f>
        <v/>
      </c>
    </row>
    <row r="423" spans="1:11">
      <c r="A423" s="21"/>
      <c r="B423" s="22" t="s">
        <v>3732</v>
      </c>
      <c r="C423" s="23"/>
      <c r="D423" s="24"/>
      <c r="E423" s="25"/>
      <c r="F423" s="26"/>
      <c r="G423" s="27">
        <f>SUM(G424:G426)</f>
        <v>41031.597118571437</v>
      </c>
      <c r="H423" s="44">
        <f>G423*E408</f>
        <v>0</v>
      </c>
    </row>
    <row r="424" spans="1:11">
      <c r="A424" s="28"/>
      <c r="B424" s="29" t="s">
        <v>3711</v>
      </c>
      <c r="C424" s="30" t="str">
        <f>IFERROR(_xlfn.XLOOKUP(B424,MObra[DESCRIPCION],MObra[UN],,0),"")</f>
        <v>día</v>
      </c>
      <c r="D424" s="31">
        <v>1</v>
      </c>
      <c r="E424" s="32">
        <f>IFERROR(_xlfn.XLOOKUP($B424,MObra[DESCRIPCION],MObra[VALOR UNIT],,0),"")</f>
        <v>430831.76974500006</v>
      </c>
      <c r="F424" s="33">
        <v>-10.5</v>
      </c>
      <c r="G424" s="34">
        <f>IFERROR(IF(F424&gt;=0,D424*E424*(1+F424/100),ABS(D424*E424/F424)),"")</f>
        <v>41031.597118571437</v>
      </c>
      <c r="H424" s="43">
        <f>IFERROR(G424*E408,"")</f>
        <v>0</v>
      </c>
    </row>
    <row r="425" spans="1:11">
      <c r="A425" s="28"/>
      <c r="B425" s="29"/>
      <c r="C425" s="30" t="str">
        <f t="array" ref="C425">IFERROR(_xlfn.XLOOKUP(B425,MObra[[#All],[DESCRIPCION]],MObra[[#All],[UN]],,0),"")</f>
        <v/>
      </c>
      <c r="D425" s="31"/>
      <c r="E425" s="32" t="str">
        <f>IFERROR(_xlfn.XLOOKUP($B425,MObra[DESCRIPCION],MObra[VALOR UNIT],,0),"")</f>
        <v/>
      </c>
      <c r="F425" s="33"/>
      <c r="G425" s="34" t="str">
        <f>IFERROR(IF(F425&gt;=0,D425*E425*(1+F425/100),ABS(D425*E425/F425)),"")</f>
        <v/>
      </c>
      <c r="H425" s="43" t="str">
        <f>IFERROR(G425*E408,"")</f>
        <v/>
      </c>
    </row>
    <row r="426" spans="1:11">
      <c r="A426" s="35"/>
      <c r="B426" s="36"/>
      <c r="C426" s="37" t="str">
        <f t="array" ref="C426">IFERROR(_xlfn.XLOOKUP(B426,MObra[[#All],[DESCRIPCION]],MObra[[#All],[UN]],,0),"")</f>
        <v/>
      </c>
      <c r="D426" s="38"/>
      <c r="E426" s="39" t="str">
        <f>IFERROR(_xlfn.XLOOKUP($B426,MObra[DESCRIPCION],MObra[VALOR UNIT],,0),"")</f>
        <v/>
      </c>
      <c r="F426" s="40"/>
      <c r="G426" s="41" t="str">
        <f>IFERROR(IF(F426&gt;=0,D426*E426*(1+F426/100),ABS(D426*E426/F426)),"")</f>
        <v/>
      </c>
      <c r="H426" s="42" t="str">
        <f>IFERROR(G426*E408,"")</f>
        <v/>
      </c>
    </row>
    <row r="428" spans="1:11">
      <c r="A428" s="6" t="s">
        <v>641</v>
      </c>
      <c r="B428" s="7" t="str">
        <f>VLOOKUP($A428,Presupuesto!$A:$D,2,FALSE())</f>
        <v>Muro bloque estructural 20x19x39 cm + acero + Grafil</v>
      </c>
      <c r="C428" s="8" t="str">
        <f>VLOOKUP($A428,Presupuesto!$A:$D,3,FALSE())</f>
        <v>M2</v>
      </c>
      <c r="D428" s="9"/>
      <c r="E428" s="10">
        <f>VLOOKUP($A428,Presupuesto!$A:$D,4,FALSE())</f>
        <v>0</v>
      </c>
      <c r="F428" s="11" t="s">
        <v>2589</v>
      </c>
      <c r="G428" s="12">
        <f>SUM(G430:G446)/2</f>
        <v>115268.64825165346</v>
      </c>
      <c r="H428" s="13">
        <f>ROUND(SUM(H430:H446),0)/2</f>
        <v>0</v>
      </c>
      <c r="I428" s="10">
        <f>VLOOKUP(A428,Presupuesto!$A:$F,6,0)</f>
        <v>0</v>
      </c>
      <c r="J428" s="10">
        <f>+H428-I428</f>
        <v>0</v>
      </c>
      <c r="K428" s="46">
        <f>+H428-G428*E428</f>
        <v>0</v>
      </c>
    </row>
    <row r="429" spans="1:11">
      <c r="A429" s="14"/>
      <c r="B429" s="15" t="s">
        <v>2586</v>
      </c>
      <c r="C429" s="15" t="s">
        <v>5</v>
      </c>
      <c r="D429" s="16" t="s">
        <v>6</v>
      </c>
      <c r="E429" s="17" t="s">
        <v>7</v>
      </c>
      <c r="F429" s="18" t="s">
        <v>3728</v>
      </c>
      <c r="G429" s="19" t="s">
        <v>3729</v>
      </c>
      <c r="H429" s="20" t="s">
        <v>3797</v>
      </c>
    </row>
    <row r="430" spans="1:11">
      <c r="A430" s="21"/>
      <c r="B430" s="22" t="s">
        <v>3730</v>
      </c>
      <c r="C430" s="23"/>
      <c r="D430" s="24"/>
      <c r="E430" s="25"/>
      <c r="F430" s="26"/>
      <c r="G430" s="27">
        <f>SUM(G431:G435)</f>
        <v>66441.047680553442</v>
      </c>
      <c r="H430" s="27">
        <f>IFERROR(G430*E428,"")</f>
        <v>0</v>
      </c>
    </row>
    <row r="431" spans="1:11">
      <c r="A431" s="28"/>
      <c r="B431" s="29" t="s">
        <v>2755</v>
      </c>
      <c r="C431" s="30" t="str">
        <f>IFERROR(_xlfn.XLOOKUP(B431,Insumo[DESCRIPCION],Insumo[UND],,0),"")</f>
        <v>Un</v>
      </c>
      <c r="D431" s="31">
        <v>12.5</v>
      </c>
      <c r="E431" s="32">
        <f>IFERROR(_xlfn.XLOOKUP($B431,Insumo[DESCRIPCION],Insumo[VALOR],,0),"")</f>
        <v>3978.4500000000003</v>
      </c>
      <c r="F431" s="33">
        <v>5</v>
      </c>
      <c r="G431" s="34">
        <f>IFERROR(IF(F431&gt;=0,D431*E431*(1+F431/100),ABS(D431*E431/F431)),"")</f>
        <v>52217.15625</v>
      </c>
      <c r="H431" s="43">
        <f>IFERROR(G431*E428,"")</f>
        <v>0</v>
      </c>
    </row>
    <row r="432" spans="1:11">
      <c r="A432" s="28"/>
      <c r="B432" s="29" t="s">
        <v>3244</v>
      </c>
      <c r="C432" s="30" t="str">
        <f>IFERROR(_xlfn.XLOOKUP(B432,Insumo[DESCRIPCION],Insumo[UND],,0),"")</f>
        <v>M3</v>
      </c>
      <c r="D432" s="31">
        <v>2.5000000000000001E-2</v>
      </c>
      <c r="E432" s="32">
        <f>IFERROR(_xlfn.XLOOKUP($B432,Insumo[DESCRIPCION],Insumo[VALOR],,0),"")</f>
        <v>497765.65722213761</v>
      </c>
      <c r="F432" s="33"/>
      <c r="G432" s="34">
        <f>IFERROR(IF(F432&gt;=0,D432*E432*(1+F432/100),ABS(D432*E432/F432)),"")</f>
        <v>12444.141430553442</v>
      </c>
      <c r="H432" s="43">
        <f>IFERROR(G432*E428,"")</f>
        <v>0</v>
      </c>
    </row>
    <row r="433" spans="1:11">
      <c r="A433" s="28"/>
      <c r="B433" s="29" t="s">
        <v>2977</v>
      </c>
      <c r="C433" s="30" t="str">
        <f>IFERROR(_xlfn.XLOOKUP(B433,Insumo[DESCRIPCION],Insumo[UND],,0),"")</f>
        <v>Kg</v>
      </c>
      <c r="D433" s="31">
        <v>1</v>
      </c>
      <c r="E433" s="32">
        <f>IFERROR(_xlfn.XLOOKUP($B433,Insumo[DESCRIPCION],Insumo[VALOR],,0),"")</f>
        <v>1779.75</v>
      </c>
      <c r="F433" s="33"/>
      <c r="G433" s="34">
        <f>IFERROR(IF(F433&gt;=0,D433*E433*(1+F433/100),ABS(D433*E433/F433)),"")</f>
        <v>1779.75</v>
      </c>
      <c r="H433" s="43">
        <f>IFERROR(G433*E428,"")</f>
        <v>0</v>
      </c>
    </row>
    <row r="434" spans="1:11">
      <c r="A434" s="28"/>
      <c r="B434" s="29"/>
      <c r="C434" s="30" t="str">
        <f>IFERROR(_xlfn.XLOOKUP(B434,Insumo[DESCRIPCION],Insumo[UND],,0),"")</f>
        <v/>
      </c>
      <c r="D434" s="31"/>
      <c r="E434" s="32" t="str">
        <f>IFERROR(_xlfn.XLOOKUP($B434,Insumo[DESCRIPCION],Insumo[VALOR],,0),"")</f>
        <v/>
      </c>
      <c r="F434" s="33"/>
      <c r="G434" s="34" t="str">
        <f>IFERROR(IF(F434&gt;=0,D434*E434*(1+F434/100),ABS(D434*E434/F434)),"")</f>
        <v/>
      </c>
      <c r="H434" s="43" t="str">
        <f>IFERROR(G434*E428,"")</f>
        <v/>
      </c>
    </row>
    <row r="435" spans="1:11">
      <c r="A435" s="28"/>
      <c r="B435" s="29"/>
      <c r="C435" s="30" t="str">
        <f>IFERROR(_xlfn.XLOOKUP(B435,Insumo[DESCRIPCION],Insumo[UND],,0),"")</f>
        <v/>
      </c>
      <c r="D435" s="31"/>
      <c r="E435" s="32" t="str">
        <f>IFERROR(_xlfn.XLOOKUP($B435,Insumo[DESCRIPCION],Insumo[VALOR],,0),"")</f>
        <v/>
      </c>
      <c r="F435" s="33"/>
      <c r="G435" s="34" t="str">
        <f>IFERROR(IF(F435&gt;=0,D435*E435*(1+F435/100),ABS(D435*E435/F435)),"")</f>
        <v/>
      </c>
      <c r="H435" s="43" t="str">
        <f>IFERROR(G435*E428,"")</f>
        <v/>
      </c>
    </row>
    <row r="436" spans="1:11">
      <c r="A436" s="21"/>
      <c r="B436" s="22" t="s">
        <v>3731</v>
      </c>
      <c r="C436" s="23"/>
      <c r="D436" s="24"/>
      <c r="E436" s="25"/>
      <c r="F436" s="26"/>
      <c r="G436" s="27">
        <f>SUM(G437:G439)</f>
        <v>7796.0034525285737</v>
      </c>
      <c r="H436" s="44">
        <f>G436*E428</f>
        <v>0</v>
      </c>
    </row>
    <row r="437" spans="1:11">
      <c r="A437" s="28"/>
      <c r="B437" s="29" t="s">
        <v>3573</v>
      </c>
      <c r="C437" s="30" t="str">
        <f>IFERROR(_xlfn.XLOOKUP(B437,Equipo[DESCRIPCION],Equipo[UND],,0),"")</f>
        <v>%MO</v>
      </c>
      <c r="D437" s="31">
        <v>0.1</v>
      </c>
      <c r="E437" s="32">
        <f>IF(C437="%MO",G443,IFERROR(_xlfn.XLOOKUP($B437,Equipo[DESCRIPCION],Equipo[VALOR],,0),""))</f>
        <v>41031.597118571437</v>
      </c>
      <c r="F437" s="33"/>
      <c r="G437" s="34">
        <f>IFERROR(IF(F437&gt;=0,D437*E437*(1+F437/100),ABS(D437*E437/F437)),"")</f>
        <v>4103.1597118571435</v>
      </c>
      <c r="H437" s="43">
        <f>IFERROR(G437*E428,"")</f>
        <v>0</v>
      </c>
    </row>
    <row r="438" spans="1:11">
      <c r="A438" s="28"/>
      <c r="B438" s="29" t="s">
        <v>3570</v>
      </c>
      <c r="C438" s="30" t="str">
        <f>IFERROR(_xlfn.XLOOKUP(B438,Equipo[DESCRIPCION],Equipo[UND],,0),"")</f>
        <v>%MO</v>
      </c>
      <c r="D438" s="31">
        <v>0.04</v>
      </c>
      <c r="E438" s="32">
        <f>IF(C438="%MO",G443,IFERROR(_xlfn.XLOOKUP($B438,Equipo[DESCRIPCION],Equipo[VALOR],,0),""))</f>
        <v>41031.597118571437</v>
      </c>
      <c r="F438" s="33"/>
      <c r="G438" s="34">
        <f>IFERROR(IF(F438&gt;=0,D438*E438*(1+F438/100),ABS(D438*E438/F438)),"")</f>
        <v>1641.2638847428575</v>
      </c>
      <c r="H438" s="43">
        <f>IFERROR(G438*E428,"")</f>
        <v>0</v>
      </c>
    </row>
    <row r="439" spans="1:11">
      <c r="A439" s="28"/>
      <c r="B439" s="29" t="s">
        <v>3626</v>
      </c>
      <c r="C439" s="30" t="str">
        <f>IFERROR(_xlfn.XLOOKUP(B439,Equipo[DESCRIPCION],Equipo[UND],,0),"")</f>
        <v>%MO</v>
      </c>
      <c r="D439" s="31">
        <v>0.05</v>
      </c>
      <c r="E439" s="32">
        <f>IF(C439="%MO",G443,IFERROR(_xlfn.XLOOKUP($B439,Equipo[DESCRIPCION],Equipo[VALOR],,0),""))</f>
        <v>41031.597118571437</v>
      </c>
      <c r="F439" s="33"/>
      <c r="G439" s="34">
        <f>IFERROR(IF(F439&gt;=0,D439*E439*(1+F439/100),ABS(D439*E439/F439)),"")</f>
        <v>2051.5798559285718</v>
      </c>
      <c r="H439" s="43">
        <f>IFERROR(G439*E428,"")</f>
        <v>0</v>
      </c>
    </row>
    <row r="440" spans="1:11">
      <c r="A440" s="21"/>
      <c r="B440" s="22" t="s">
        <v>2533</v>
      </c>
      <c r="C440" s="23"/>
      <c r="D440" s="24"/>
      <c r="E440" s="25"/>
      <c r="F440" s="26"/>
      <c r="G440" s="27">
        <f>SUM(G441:G442)</f>
        <v>0</v>
      </c>
      <c r="H440" s="44">
        <f>G440*E428</f>
        <v>0</v>
      </c>
    </row>
    <row r="441" spans="1:11">
      <c r="A441" s="28"/>
      <c r="B441" s="29"/>
      <c r="C441" s="30" t="str">
        <f>IFERROR(_xlfn.XLOOKUP(B441,Transporte[DESCRIPCION],Transporte[UND],,0),"")</f>
        <v/>
      </c>
      <c r="D441" s="31"/>
      <c r="E441" s="32" t="str">
        <f>IFERROR(_xlfn.XLOOKUP($B441,Transporte[DESCRIPCION],Transporte[VALOR],,0),"")</f>
        <v/>
      </c>
      <c r="F441" s="33"/>
      <c r="G441" s="34" t="str">
        <f>IFERROR(IF(F441&gt;=0,D441*E441*(1+F441/100),ABS(D441*E441/F441)),"")</f>
        <v/>
      </c>
      <c r="H441" s="43" t="str">
        <f>IFERROR(G441*E428,"")</f>
        <v/>
      </c>
    </row>
    <row r="442" spans="1:11">
      <c r="A442" s="28"/>
      <c r="B442" s="29"/>
      <c r="C442" s="30" t="str">
        <f>IFERROR(_xlfn.XLOOKUP(B442,Transporte[DESCRIPCION],Transporte[UND],,0),"")</f>
        <v/>
      </c>
      <c r="D442" s="31"/>
      <c r="E442" s="32" t="str">
        <f>IFERROR(_xlfn.XLOOKUP($B442,Transporte[DESCRIPCION],Transporte[VALOR],,0),"")</f>
        <v/>
      </c>
      <c r="F442" s="33"/>
      <c r="G442" s="34" t="str">
        <f>IFERROR(IF(F442&gt;=0,D442*E442*(1+F442/100),ABS(D442*E442/F442)),"")</f>
        <v/>
      </c>
      <c r="H442" s="43" t="str">
        <f>IFERROR(G442*E428,"")</f>
        <v/>
      </c>
    </row>
    <row r="443" spans="1:11">
      <c r="A443" s="21"/>
      <c r="B443" s="22" t="s">
        <v>3732</v>
      </c>
      <c r="C443" s="23"/>
      <c r="D443" s="24"/>
      <c r="E443" s="25"/>
      <c r="F443" s="26"/>
      <c r="G443" s="27">
        <f>SUM(G444:G446)</f>
        <v>41031.597118571437</v>
      </c>
      <c r="H443" s="44">
        <f>G443*E428</f>
        <v>0</v>
      </c>
    </row>
    <row r="444" spans="1:11">
      <c r="A444" s="28"/>
      <c r="B444" s="29" t="s">
        <v>3711</v>
      </c>
      <c r="C444" s="30" t="str">
        <f>IFERROR(_xlfn.XLOOKUP(B444,MObra[DESCRIPCION],MObra[UN],,0),"")</f>
        <v>día</v>
      </c>
      <c r="D444" s="31">
        <v>1</v>
      </c>
      <c r="E444" s="32">
        <f>IFERROR(_xlfn.XLOOKUP($B444,MObra[DESCRIPCION],MObra[VALOR UNIT],,0),"")</f>
        <v>430831.76974500006</v>
      </c>
      <c r="F444" s="33">
        <v>-10.5</v>
      </c>
      <c r="G444" s="34">
        <f>IFERROR(IF(F444&gt;=0,D444*E444*(1+F444/100),ABS(D444*E444/F444)),"")</f>
        <v>41031.597118571437</v>
      </c>
      <c r="H444" s="43">
        <f>IFERROR(G444*E428,"")</f>
        <v>0</v>
      </c>
    </row>
    <row r="445" spans="1:11">
      <c r="A445" s="28"/>
      <c r="B445" s="29"/>
      <c r="C445" s="30" t="str">
        <f t="array" ref="C445">IFERROR(_xlfn.XLOOKUP(B445,MObra[[#All],[DESCRIPCION]],MObra[[#All],[UN]],,0),"")</f>
        <v/>
      </c>
      <c r="D445" s="31"/>
      <c r="E445" s="32" t="str">
        <f>IFERROR(_xlfn.XLOOKUP($B445,MObra[DESCRIPCION],MObra[VALOR UNIT],,0),"")</f>
        <v/>
      </c>
      <c r="F445" s="33"/>
      <c r="G445" s="34" t="str">
        <f>IFERROR(IF(F445&gt;=0,D445*E445*(1+F445/100),ABS(D445*E445/F445)),"")</f>
        <v/>
      </c>
      <c r="H445" s="43" t="str">
        <f>IFERROR(G445*E428,"")</f>
        <v/>
      </c>
    </row>
    <row r="446" spans="1:11">
      <c r="A446" s="35"/>
      <c r="B446" s="36"/>
      <c r="C446" s="37" t="str">
        <f t="array" ref="C446">IFERROR(_xlfn.XLOOKUP(B446,MObra[[#All],[DESCRIPCION]],MObra[[#All],[UN]],,0),"")</f>
        <v/>
      </c>
      <c r="D446" s="38"/>
      <c r="E446" s="39" t="str">
        <f>IFERROR(_xlfn.XLOOKUP($B446,MObra[DESCRIPCION],MObra[VALOR UNIT],,0),"")</f>
        <v/>
      </c>
      <c r="F446" s="40"/>
      <c r="G446" s="41" t="str">
        <f>IFERROR(IF(F446&gt;=0,D446*E446*(1+F446/100),ABS(D446*E446/F446)),"")</f>
        <v/>
      </c>
      <c r="H446" s="42" t="str">
        <f>IFERROR(G446*E428,"")</f>
        <v/>
      </c>
    </row>
    <row r="448" spans="1:11">
      <c r="A448" s="6" t="s">
        <v>643</v>
      </c>
      <c r="B448" s="7" t="str">
        <f>VLOOKUP($A448,Presupuesto!$A:$D,2,FALSE())</f>
        <v>Muro en Gyplac 1 cara</v>
      </c>
      <c r="C448" s="8" t="str">
        <f>VLOOKUP($A448,Presupuesto!$A:$D,3,FALSE())</f>
        <v>M2</v>
      </c>
      <c r="D448" s="9"/>
      <c r="E448" s="10">
        <f>VLOOKUP($A448,Presupuesto!$A:$D,4,FALSE())</f>
        <v>0</v>
      </c>
      <c r="F448" s="11" t="s">
        <v>2589</v>
      </c>
      <c r="G448" s="12">
        <f>SUM(G450:G469)/2</f>
        <v>95007.257854500014</v>
      </c>
      <c r="H448" s="13">
        <f>ROUND(SUM(H450:H469),0)/2</f>
        <v>0</v>
      </c>
      <c r="I448" s="10">
        <f>VLOOKUP(A448,Presupuesto!$A:$F,6,0)</f>
        <v>0</v>
      </c>
      <c r="J448" s="10">
        <f>+H448-I448</f>
        <v>0</v>
      </c>
      <c r="K448" s="46">
        <f>+H448-G448*E448</f>
        <v>0</v>
      </c>
    </row>
    <row r="449" spans="1:8">
      <c r="A449" s="14"/>
      <c r="B449" s="15" t="s">
        <v>2586</v>
      </c>
      <c r="C449" s="15" t="s">
        <v>5</v>
      </c>
      <c r="D449" s="16" t="s">
        <v>6</v>
      </c>
      <c r="E449" s="17" t="s">
        <v>7</v>
      </c>
      <c r="F449" s="18" t="s">
        <v>3728</v>
      </c>
      <c r="G449" s="19" t="s">
        <v>3729</v>
      </c>
      <c r="H449" s="20" t="s">
        <v>3797</v>
      </c>
    </row>
    <row r="450" spans="1:8">
      <c r="A450" s="21"/>
      <c r="B450" s="22" t="s">
        <v>3730</v>
      </c>
      <c r="C450" s="23"/>
      <c r="D450" s="24"/>
      <c r="E450" s="25"/>
      <c r="F450" s="26"/>
      <c r="G450" s="27">
        <f>SUM(G451:G458)</f>
        <v>39384.278850000002</v>
      </c>
      <c r="H450" s="27">
        <f>IFERROR(G450*E448,"")</f>
        <v>0</v>
      </c>
    </row>
    <row r="451" spans="1:8">
      <c r="A451" s="28"/>
      <c r="B451" s="29" t="s">
        <v>3030</v>
      </c>
      <c r="C451" s="30" t="str">
        <f>IFERROR(_xlfn.XLOOKUP(B451,Insumo[DESCRIPCION],Insumo[UND],,0),"")</f>
        <v>Un</v>
      </c>
      <c r="D451" s="31">
        <v>0.34</v>
      </c>
      <c r="E451" s="32">
        <f>IFERROR(_xlfn.XLOOKUP($B451,Insumo[DESCRIPCION],Insumo[VALOR],,0),"")</f>
        <v>50715</v>
      </c>
      <c r="F451" s="33">
        <v>5</v>
      </c>
      <c r="G451" s="34">
        <f t="shared" ref="G451:G458" si="4">IFERROR(IF(F451&gt;=0,D451*E451*(1+F451/100),ABS(D451*E451/F451)),"")</f>
        <v>18105.255000000005</v>
      </c>
      <c r="H451" s="43">
        <f>IFERROR(G451*E448,"")</f>
        <v>0</v>
      </c>
    </row>
    <row r="452" spans="1:8">
      <c r="A452" s="28"/>
      <c r="B452" s="29" t="s">
        <v>2814</v>
      </c>
      <c r="C452" s="30" t="str">
        <f>IFERROR(_xlfn.XLOOKUP(B452,Insumo[DESCRIPCION],Insumo[UND],,0),"")</f>
        <v>Un</v>
      </c>
      <c r="D452" s="31">
        <v>0.34</v>
      </c>
      <c r="E452" s="32">
        <f>IFERROR(_xlfn.XLOOKUP($B452,Insumo[DESCRIPCION],Insumo[VALOR],,0),"")</f>
        <v>10343.550000000001</v>
      </c>
      <c r="F452" s="33">
        <v>5</v>
      </c>
      <c r="G452" s="34">
        <f t="shared" si="4"/>
        <v>3692.6473500000011</v>
      </c>
      <c r="H452" s="43">
        <f>IFERROR(G452*E448,"")</f>
        <v>0</v>
      </c>
    </row>
    <row r="453" spans="1:8">
      <c r="A453" s="28"/>
      <c r="B453" s="29" t="s">
        <v>3187</v>
      </c>
      <c r="C453" s="30" t="str">
        <f>IFERROR(_xlfn.XLOOKUP(B453,Insumo[DESCRIPCION],Insumo[UND],,0),"")</f>
        <v>Un</v>
      </c>
      <c r="D453" s="31">
        <v>0.76</v>
      </c>
      <c r="E453" s="32">
        <f>IFERROR(_xlfn.XLOOKUP($B453,Insumo[DESCRIPCION],Insumo[VALOR],,0),"")</f>
        <v>12332.25</v>
      </c>
      <c r="F453" s="33">
        <v>5</v>
      </c>
      <c r="G453" s="34">
        <f t="shared" si="4"/>
        <v>9841.1355000000003</v>
      </c>
      <c r="H453" s="43">
        <f>IFERROR(G453*E448,"")</f>
        <v>0</v>
      </c>
    </row>
    <row r="454" spans="1:8">
      <c r="A454" s="28"/>
      <c r="B454" s="29" t="s">
        <v>2850</v>
      </c>
      <c r="C454" s="30" t="str">
        <f>IFERROR(_xlfn.XLOOKUP(B454,Insumo[DESCRIPCION],Insumo[UND],,0),"")</f>
        <v>M</v>
      </c>
      <c r="D454" s="31">
        <v>1</v>
      </c>
      <c r="E454" s="32">
        <f>IFERROR(_xlfn.XLOOKUP($B454,Insumo[DESCRIPCION],Insumo[VALOR],,0),"")</f>
        <v>511.35</v>
      </c>
      <c r="F454" s="33"/>
      <c r="G454" s="34">
        <f t="shared" si="4"/>
        <v>511.35</v>
      </c>
      <c r="H454" s="43">
        <f>IFERROR(G454*E448,"")</f>
        <v>0</v>
      </c>
    </row>
    <row r="455" spans="1:8">
      <c r="A455" s="28"/>
      <c r="B455" s="29" t="s">
        <v>3309</v>
      </c>
      <c r="C455" s="30" t="str">
        <f>IFERROR(_xlfn.XLOOKUP(B455,Insumo[DESCRIPCION],Insumo[UND],,0),"")</f>
        <v>Un</v>
      </c>
      <c r="D455" s="31">
        <v>0.09</v>
      </c>
      <c r="E455" s="32">
        <f>IFERROR(_xlfn.XLOOKUP($B455,Insumo[DESCRIPCION],Insumo[VALOR],,0),"")</f>
        <v>56717.850000000006</v>
      </c>
      <c r="F455" s="33"/>
      <c r="G455" s="34">
        <f t="shared" si="4"/>
        <v>5104.6065000000008</v>
      </c>
      <c r="H455" s="43">
        <f>IFERROR(G455*E448,"")</f>
        <v>0</v>
      </c>
    </row>
    <row r="456" spans="1:8">
      <c r="A456" s="28"/>
      <c r="B456" s="29" t="s">
        <v>3404</v>
      </c>
      <c r="C456" s="30" t="str">
        <f>IFERROR(_xlfn.XLOOKUP(B456,Insumo[DESCRIPCION],Insumo[UND],,0),"")</f>
        <v>Un</v>
      </c>
      <c r="D456" s="31">
        <v>9</v>
      </c>
      <c r="E456" s="32">
        <f>IFERROR(_xlfn.XLOOKUP($B456,Insumo[DESCRIPCION],Insumo[VALOR],,0),"")</f>
        <v>43.050000000000004</v>
      </c>
      <c r="F456" s="33"/>
      <c r="G456" s="34">
        <f t="shared" si="4"/>
        <v>387.45000000000005</v>
      </c>
      <c r="H456" s="43">
        <f>IFERROR(G456*E448,"")</f>
        <v>0</v>
      </c>
    </row>
    <row r="457" spans="1:8">
      <c r="A457" s="28"/>
      <c r="B457" s="29" t="s">
        <v>3406</v>
      </c>
      <c r="C457" s="30" t="str">
        <f>IFERROR(_xlfn.XLOOKUP(B457,Insumo[DESCRIPCION],Insumo[UND],,0),"")</f>
        <v>Un</v>
      </c>
      <c r="D457" s="31">
        <v>3</v>
      </c>
      <c r="E457" s="32">
        <f>IFERROR(_xlfn.XLOOKUP($B457,Insumo[DESCRIPCION],Insumo[VALOR],,0),"")</f>
        <v>44.1</v>
      </c>
      <c r="F457" s="33"/>
      <c r="G457" s="34">
        <f t="shared" si="4"/>
        <v>132.30000000000001</v>
      </c>
      <c r="H457" s="43">
        <f>IFERROR(G457*E448,"")</f>
        <v>0</v>
      </c>
    </row>
    <row r="458" spans="1:8">
      <c r="A458" s="28"/>
      <c r="B458" s="29" t="s">
        <v>3159</v>
      </c>
      <c r="C458" s="30" t="str">
        <f>IFERROR(_xlfn.XLOOKUP(B458,Insumo[DESCRIPCION],Insumo[UND],,0),"")</f>
        <v>Kg</v>
      </c>
      <c r="D458" s="31">
        <v>0.17</v>
      </c>
      <c r="E458" s="32">
        <f>IFERROR(_xlfn.XLOOKUP($B458,Insumo[DESCRIPCION],Insumo[VALOR],,0),"")</f>
        <v>9467.85</v>
      </c>
      <c r="F458" s="33"/>
      <c r="G458" s="34">
        <f t="shared" si="4"/>
        <v>1609.5345000000002</v>
      </c>
      <c r="H458" s="43">
        <f>IFERROR(G458*E448,"")</f>
        <v>0</v>
      </c>
    </row>
    <row r="459" spans="1:8">
      <c r="A459" s="21"/>
      <c r="B459" s="22" t="s">
        <v>3731</v>
      </c>
      <c r="C459" s="23"/>
      <c r="D459" s="24"/>
      <c r="E459" s="25"/>
      <c r="F459" s="26"/>
      <c r="G459" s="27">
        <f>SUM(G460:G462)</f>
        <v>7255.1711745000011</v>
      </c>
      <c r="H459" s="44">
        <f>G459*E448</f>
        <v>0</v>
      </c>
    </row>
    <row r="460" spans="1:8">
      <c r="A460" s="28"/>
      <c r="B460" s="29" t="s">
        <v>3573</v>
      </c>
      <c r="C460" s="30" t="str">
        <f>IFERROR(_xlfn.XLOOKUP(B460,Equipo[DESCRIPCION],Equipo[UND],,0),"")</f>
        <v>%MO</v>
      </c>
      <c r="D460" s="31">
        <v>0.1</v>
      </c>
      <c r="E460" s="32">
        <f>IF(C460="%MO",G466,IFERROR(_xlfn.XLOOKUP($B460,Equipo[DESCRIPCION],Equipo[VALOR],,0),""))</f>
        <v>48367.807830000012</v>
      </c>
      <c r="F460" s="33"/>
      <c r="G460" s="34">
        <f>IFERROR(IF(F460&gt;=0,D460*E460*(1+F460/100),ABS(D460*E460/F460)),"")</f>
        <v>4836.7807830000011</v>
      </c>
      <c r="H460" s="43">
        <f>IFERROR(G460*E448,"")</f>
        <v>0</v>
      </c>
    </row>
    <row r="461" spans="1:8">
      <c r="A461" s="28"/>
      <c r="B461" s="29" t="s">
        <v>3626</v>
      </c>
      <c r="C461" s="30" t="str">
        <f>IFERROR(_xlfn.XLOOKUP(B461,Equipo[DESCRIPCION],Equipo[UND],,0),"")</f>
        <v>%MO</v>
      </c>
      <c r="D461" s="31">
        <v>0.05</v>
      </c>
      <c r="E461" s="32">
        <f>IF(C461="%MO",G466,IFERROR(_xlfn.XLOOKUP($B461,Equipo[DESCRIPCION],Equipo[VALOR],,0),""))</f>
        <v>48367.807830000012</v>
      </c>
      <c r="F461" s="33"/>
      <c r="G461" s="34">
        <f>IFERROR(IF(F461&gt;=0,D461*E461*(1+F461/100),ABS(D461*E461/F461)),"")</f>
        <v>2418.3903915000005</v>
      </c>
      <c r="H461" s="43">
        <f>IFERROR(G461*E448,"")</f>
        <v>0</v>
      </c>
    </row>
    <row r="462" spans="1:8">
      <c r="A462" s="28"/>
      <c r="B462" s="29"/>
      <c r="C462" s="30" t="str">
        <f>IFERROR(_xlfn.XLOOKUP(B462,Equipo[DESCRIPCION],Equipo[UND],,0),"")</f>
        <v/>
      </c>
      <c r="D462" s="31"/>
      <c r="E462" s="32" t="str">
        <f>IF(C462="%MO",G466,IFERROR(_xlfn.XLOOKUP($B462,Equipo[DESCRIPCION],Equipo[VALOR],,0),""))</f>
        <v/>
      </c>
      <c r="F462" s="33"/>
      <c r="G462" s="34" t="str">
        <f>IFERROR(IF(F462&gt;=0,D462*E462*(1+F462/100),ABS(D462*E462/F462)),"")</f>
        <v/>
      </c>
      <c r="H462" s="43" t="str">
        <f>IFERROR(G462*E448,"")</f>
        <v/>
      </c>
    </row>
    <row r="463" spans="1:8">
      <c r="A463" s="21"/>
      <c r="B463" s="22" t="s">
        <v>2533</v>
      </c>
      <c r="C463" s="23"/>
      <c r="D463" s="24"/>
      <c r="E463" s="25"/>
      <c r="F463" s="26"/>
      <c r="G463" s="27">
        <f>SUM(G464:G465)</f>
        <v>0</v>
      </c>
      <c r="H463" s="44">
        <f>G463*E448</f>
        <v>0</v>
      </c>
    </row>
    <row r="464" spans="1:8">
      <c r="A464" s="28"/>
      <c r="B464" s="29"/>
      <c r="C464" s="30" t="str">
        <f>IFERROR(_xlfn.XLOOKUP(B464,Transporte[DESCRIPCION],Transporte[UND],,0),"")</f>
        <v/>
      </c>
      <c r="D464" s="31"/>
      <c r="E464" s="32" t="str">
        <f>IFERROR(_xlfn.XLOOKUP($B464,Transporte[DESCRIPCION],Transporte[VALOR],,0),"")</f>
        <v/>
      </c>
      <c r="F464" s="33"/>
      <c r="G464" s="34" t="str">
        <f>IFERROR(IF(F464&gt;=0,D464*E464*(1+F464/100),ABS(D464*E464/F464)),"")</f>
        <v/>
      </c>
      <c r="H464" s="43" t="str">
        <f>IFERROR(G464*E448,"")</f>
        <v/>
      </c>
    </row>
    <row r="465" spans="1:11">
      <c r="A465" s="28"/>
      <c r="B465" s="29"/>
      <c r="C465" s="30" t="str">
        <f>IFERROR(_xlfn.XLOOKUP(B465,Transporte[DESCRIPCION],Transporte[UND],,0),"")</f>
        <v/>
      </c>
      <c r="D465" s="31"/>
      <c r="E465" s="32" t="str">
        <f>IFERROR(_xlfn.XLOOKUP($B465,Transporte[DESCRIPCION],Transporte[VALOR],,0),"")</f>
        <v/>
      </c>
      <c r="F465" s="33"/>
      <c r="G465" s="34" t="str">
        <f>IFERROR(IF(F465&gt;=0,D465*E465*(1+F465/100),ABS(D465*E465/F465)),"")</f>
        <v/>
      </c>
      <c r="H465" s="43" t="str">
        <f>IFERROR(G465*E448,"")</f>
        <v/>
      </c>
    </row>
    <row r="466" spans="1:11">
      <c r="A466" s="21"/>
      <c r="B466" s="22" t="s">
        <v>3732</v>
      </c>
      <c r="C466" s="23"/>
      <c r="D466" s="24"/>
      <c r="E466" s="25"/>
      <c r="F466" s="26"/>
      <c r="G466" s="27">
        <f>SUM(G467:G469)</f>
        <v>48367.807830000012</v>
      </c>
      <c r="H466" s="44">
        <f>G466*E448</f>
        <v>0</v>
      </c>
    </row>
    <row r="467" spans="1:11">
      <c r="A467" s="28"/>
      <c r="B467" s="29" t="s">
        <v>3710</v>
      </c>
      <c r="C467" s="30" t="str">
        <f>IFERROR(_xlfn.XLOOKUP(B467,MObra[DESCRIPCION],MObra[UN],,0),"")</f>
        <v>día</v>
      </c>
      <c r="D467" s="31">
        <v>1</v>
      </c>
      <c r="E467" s="32">
        <f>IFERROR(_xlfn.XLOOKUP($B467,MObra[DESCRIPCION],MObra[VALOR UNIT],,0),"")</f>
        <v>314390.75089500006</v>
      </c>
      <c r="F467" s="33">
        <v>-6.5</v>
      </c>
      <c r="G467" s="34">
        <f>IFERROR(IF(F467&gt;=0,D467*E467*(1+F467/100),ABS(D467*E467/F467)),"")</f>
        <v>48367.807830000012</v>
      </c>
      <c r="H467" s="43">
        <f>IFERROR(G467*E448,"")</f>
        <v>0</v>
      </c>
    </row>
    <row r="468" spans="1:11">
      <c r="A468" s="28"/>
      <c r="B468" s="29"/>
      <c r="C468" s="30" t="str">
        <f t="array" ref="C468">IFERROR(_xlfn.XLOOKUP(B468,MObra[[#All],[DESCRIPCION]],MObra[[#All],[UN]],,0),"")</f>
        <v/>
      </c>
      <c r="D468" s="31"/>
      <c r="E468" s="32" t="str">
        <f>IFERROR(_xlfn.XLOOKUP($B468,MObra[DESCRIPCION],MObra[VALOR UNIT],,0),"")</f>
        <v/>
      </c>
      <c r="F468" s="33"/>
      <c r="G468" s="34" t="str">
        <f>IFERROR(IF(F468&gt;=0,D468*E468*(1+F468/100),ABS(D468*E468/F468)),"")</f>
        <v/>
      </c>
      <c r="H468" s="43" t="str">
        <f>IFERROR(G468*E448,"")</f>
        <v/>
      </c>
    </row>
    <row r="469" spans="1:11">
      <c r="A469" s="35"/>
      <c r="B469" s="36"/>
      <c r="C469" s="37" t="str">
        <f t="array" ref="C469">IFERROR(_xlfn.XLOOKUP(B469,MObra[[#All],[DESCRIPCION]],MObra[[#All],[UN]],,0),"")</f>
        <v/>
      </c>
      <c r="D469" s="38"/>
      <c r="E469" s="39" t="str">
        <f>IFERROR(_xlfn.XLOOKUP($B469,MObra[DESCRIPCION],MObra[VALOR UNIT],,0),"")</f>
        <v/>
      </c>
      <c r="F469" s="40"/>
      <c r="G469" s="41" t="str">
        <f>IFERROR(IF(F469&gt;=0,D469*E469*(1+F469/100),ABS(D469*E469/F469)),"")</f>
        <v/>
      </c>
      <c r="H469" s="42" t="str">
        <f>IFERROR(G469*E448,"")</f>
        <v/>
      </c>
    </row>
    <row r="471" spans="1:11">
      <c r="A471" s="6" t="s">
        <v>645</v>
      </c>
      <c r="B471" s="7" t="str">
        <f>VLOOKUP($A471,Presupuesto!$A:$D,2,FALSE())</f>
        <v>Muro en Gyplac 2 caras</v>
      </c>
      <c r="C471" s="8" t="str">
        <f>VLOOKUP($A471,Presupuesto!$A:$D,3,FALSE())</f>
        <v>M2</v>
      </c>
      <c r="D471" s="9"/>
      <c r="E471" s="10">
        <f>VLOOKUP($A471,Presupuesto!$A:$D,4,FALSE())</f>
        <v>0</v>
      </c>
      <c r="F471" s="11" t="s">
        <v>2589</v>
      </c>
      <c r="G471" s="12">
        <f>SUM(G473:G492)/2</f>
        <v>130438.51526440913</v>
      </c>
      <c r="H471" s="13">
        <f>ROUND(SUM(H473:H492),0)/2</f>
        <v>0</v>
      </c>
      <c r="I471" s="10">
        <f>VLOOKUP(A471,Presupuesto!$A:$F,6,0)</f>
        <v>0</v>
      </c>
      <c r="J471" s="10">
        <f>+H471-I471</f>
        <v>0</v>
      </c>
      <c r="K471" s="46">
        <f>+H471-G471*E471</f>
        <v>0</v>
      </c>
    </row>
    <row r="472" spans="1:11">
      <c r="A472" s="14"/>
      <c r="B472" s="15" t="s">
        <v>2586</v>
      </c>
      <c r="C472" s="15" t="s">
        <v>5</v>
      </c>
      <c r="D472" s="16" t="s">
        <v>6</v>
      </c>
      <c r="E472" s="17" t="s">
        <v>7</v>
      </c>
      <c r="F472" s="18" t="s">
        <v>3728</v>
      </c>
      <c r="G472" s="19" t="s">
        <v>3729</v>
      </c>
      <c r="H472" s="20" t="s">
        <v>3797</v>
      </c>
    </row>
    <row r="473" spans="1:11">
      <c r="A473" s="21"/>
      <c r="B473" s="22" t="s">
        <v>3730</v>
      </c>
      <c r="C473" s="23"/>
      <c r="D473" s="24"/>
      <c r="E473" s="25"/>
      <c r="F473" s="26"/>
      <c r="G473" s="27">
        <f>SUM(G474:G481)</f>
        <v>64702.267350000009</v>
      </c>
      <c r="H473" s="27">
        <f>IFERROR(G473*E471,"")</f>
        <v>0</v>
      </c>
    </row>
    <row r="474" spans="1:11">
      <c r="A474" s="28"/>
      <c r="B474" s="29" t="s">
        <v>3030</v>
      </c>
      <c r="C474" s="30" t="str">
        <f>IFERROR(_xlfn.XLOOKUP(B474,Insumo[DESCRIPCION],Insumo[UND],,0),"")</f>
        <v>Un</v>
      </c>
      <c r="D474" s="31">
        <v>0.67</v>
      </c>
      <c r="E474" s="32">
        <f>IFERROR(_xlfn.XLOOKUP($B474,Insumo[DESCRIPCION],Insumo[VALOR],,0),"")</f>
        <v>50715</v>
      </c>
      <c r="F474" s="33">
        <v>5</v>
      </c>
      <c r="G474" s="34">
        <f t="shared" ref="G474:G481" si="5">IFERROR(IF(F474&gt;=0,D474*E474*(1+F474/100),ABS(D474*E474/F474)),"")</f>
        <v>35678.002500000002</v>
      </c>
      <c r="H474" s="43">
        <f>IFERROR(G474*E471,"")</f>
        <v>0</v>
      </c>
    </row>
    <row r="475" spans="1:11">
      <c r="A475" s="28"/>
      <c r="B475" s="29" t="s">
        <v>2814</v>
      </c>
      <c r="C475" s="30" t="str">
        <f>IFERROR(_xlfn.XLOOKUP(B475,Insumo[DESCRIPCION],Insumo[UND],,0),"")</f>
        <v>Un</v>
      </c>
      <c r="D475" s="31">
        <v>0.34</v>
      </c>
      <c r="E475" s="32">
        <f>IFERROR(_xlfn.XLOOKUP($B475,Insumo[DESCRIPCION],Insumo[VALOR],,0),"")</f>
        <v>10343.550000000001</v>
      </c>
      <c r="F475" s="33">
        <v>5</v>
      </c>
      <c r="G475" s="34">
        <f t="shared" si="5"/>
        <v>3692.6473500000011</v>
      </c>
      <c r="H475" s="43">
        <f>IFERROR(G475*E471,"")</f>
        <v>0</v>
      </c>
    </row>
    <row r="476" spans="1:11">
      <c r="A476" s="28"/>
      <c r="B476" s="29" t="s">
        <v>3187</v>
      </c>
      <c r="C476" s="30" t="str">
        <f>IFERROR(_xlfn.XLOOKUP(B476,Insumo[DESCRIPCION],Insumo[UND],,0),"")</f>
        <v>Un</v>
      </c>
      <c r="D476" s="31">
        <v>0.76</v>
      </c>
      <c r="E476" s="32">
        <f>IFERROR(_xlfn.XLOOKUP($B476,Insumo[DESCRIPCION],Insumo[VALOR],,0),"")</f>
        <v>12332.25</v>
      </c>
      <c r="F476" s="33">
        <v>5</v>
      </c>
      <c r="G476" s="34">
        <f t="shared" si="5"/>
        <v>9841.1355000000003</v>
      </c>
      <c r="H476" s="43">
        <f>IFERROR(G476*E471,"")</f>
        <v>0</v>
      </c>
    </row>
    <row r="477" spans="1:11">
      <c r="A477" s="28"/>
      <c r="B477" s="29" t="s">
        <v>2850</v>
      </c>
      <c r="C477" s="30" t="str">
        <f>IFERROR(_xlfn.XLOOKUP(B477,Insumo[DESCRIPCION],Insumo[UND],,0),"")</f>
        <v>M</v>
      </c>
      <c r="D477" s="31">
        <v>2</v>
      </c>
      <c r="E477" s="32">
        <f>IFERROR(_xlfn.XLOOKUP($B477,Insumo[DESCRIPCION],Insumo[VALOR],,0),"")</f>
        <v>511.35</v>
      </c>
      <c r="F477" s="33"/>
      <c r="G477" s="34">
        <f t="shared" si="5"/>
        <v>1022.7</v>
      </c>
      <c r="H477" s="43">
        <f>IFERROR(G477*E471,"")</f>
        <v>0</v>
      </c>
    </row>
    <row r="478" spans="1:11">
      <c r="A478" s="28"/>
      <c r="B478" s="29" t="s">
        <v>3309</v>
      </c>
      <c r="C478" s="30" t="str">
        <f>IFERROR(_xlfn.XLOOKUP(B478,Insumo[DESCRIPCION],Insumo[UND],,0),"")</f>
        <v>Un</v>
      </c>
      <c r="D478" s="31">
        <v>0.18</v>
      </c>
      <c r="E478" s="32">
        <f>IFERROR(_xlfn.XLOOKUP($B478,Insumo[DESCRIPCION],Insumo[VALOR],,0),"")</f>
        <v>56717.850000000006</v>
      </c>
      <c r="F478" s="33"/>
      <c r="G478" s="34">
        <f t="shared" si="5"/>
        <v>10209.213000000002</v>
      </c>
      <c r="H478" s="43">
        <f>IFERROR(G478*E471,"")</f>
        <v>0</v>
      </c>
    </row>
    <row r="479" spans="1:11">
      <c r="A479" s="28"/>
      <c r="B479" s="29" t="s">
        <v>3404</v>
      </c>
      <c r="C479" s="30" t="str">
        <f>IFERROR(_xlfn.XLOOKUP(B479,Insumo[DESCRIPCION],Insumo[UND],,0),"")</f>
        <v>Un</v>
      </c>
      <c r="D479" s="31">
        <v>18</v>
      </c>
      <c r="E479" s="32">
        <f>IFERROR(_xlfn.XLOOKUP($B479,Insumo[DESCRIPCION],Insumo[VALOR],,0),"")</f>
        <v>43.050000000000004</v>
      </c>
      <c r="F479" s="33"/>
      <c r="G479" s="34">
        <f t="shared" si="5"/>
        <v>774.90000000000009</v>
      </c>
      <c r="H479" s="43">
        <f>IFERROR(G479*E471,"")</f>
        <v>0</v>
      </c>
    </row>
    <row r="480" spans="1:11">
      <c r="A480" s="28"/>
      <c r="B480" s="29" t="s">
        <v>3406</v>
      </c>
      <c r="C480" s="30" t="str">
        <f>IFERROR(_xlfn.XLOOKUP(B480,Insumo[DESCRIPCION],Insumo[UND],,0),"")</f>
        <v>Un</v>
      </c>
      <c r="D480" s="31">
        <v>6</v>
      </c>
      <c r="E480" s="32">
        <f>IFERROR(_xlfn.XLOOKUP($B480,Insumo[DESCRIPCION],Insumo[VALOR],,0),"")</f>
        <v>44.1</v>
      </c>
      <c r="F480" s="33"/>
      <c r="G480" s="34">
        <f t="shared" si="5"/>
        <v>264.60000000000002</v>
      </c>
      <c r="H480" s="43">
        <f>IFERROR(G480*E471,"")</f>
        <v>0</v>
      </c>
    </row>
    <row r="481" spans="1:11">
      <c r="A481" s="28"/>
      <c r="B481" s="29" t="s">
        <v>3159</v>
      </c>
      <c r="C481" s="30" t="str">
        <f>IFERROR(_xlfn.XLOOKUP(B481,Insumo[DESCRIPCION],Insumo[UND],,0),"")</f>
        <v>Kg</v>
      </c>
      <c r="D481" s="31">
        <v>0.34</v>
      </c>
      <c r="E481" s="32">
        <f>IFERROR(_xlfn.XLOOKUP($B481,Insumo[DESCRIPCION],Insumo[VALOR],,0),"")</f>
        <v>9467.85</v>
      </c>
      <c r="F481" s="33"/>
      <c r="G481" s="34">
        <f t="shared" si="5"/>
        <v>3219.0690000000004</v>
      </c>
      <c r="H481" s="43">
        <f>IFERROR(G481*E471,"")</f>
        <v>0</v>
      </c>
    </row>
    <row r="482" spans="1:11">
      <c r="A482" s="21"/>
      <c r="B482" s="22" t="s">
        <v>3731</v>
      </c>
      <c r="C482" s="23"/>
      <c r="D482" s="24"/>
      <c r="E482" s="25"/>
      <c r="F482" s="26"/>
      <c r="G482" s="27">
        <f>SUM(G483:G485)</f>
        <v>8574.2932062272757</v>
      </c>
      <c r="H482" s="44">
        <f>G482*E471</f>
        <v>0</v>
      </c>
    </row>
    <row r="483" spans="1:11">
      <c r="A483" s="28"/>
      <c r="B483" s="29" t="s">
        <v>3573</v>
      </c>
      <c r="C483" s="30" t="str">
        <f>IFERROR(_xlfn.XLOOKUP(B483,Equipo[DESCRIPCION],Equipo[UND],,0),"")</f>
        <v>%MO</v>
      </c>
      <c r="D483" s="31">
        <v>0.1</v>
      </c>
      <c r="E483" s="32">
        <f>IF(C483="%MO",G489,IFERROR(_xlfn.XLOOKUP($B483,Equipo[DESCRIPCION],Equipo[VALOR],,0),""))</f>
        <v>57161.954708181831</v>
      </c>
      <c r="F483" s="33"/>
      <c r="G483" s="34">
        <f>IFERROR(IF(F483&gt;=0,D483*E483*(1+F483/100),ABS(D483*E483/F483)),"")</f>
        <v>5716.1954708181838</v>
      </c>
      <c r="H483" s="43">
        <f>IFERROR(G483*E471,"")</f>
        <v>0</v>
      </c>
    </row>
    <row r="484" spans="1:11">
      <c r="A484" s="28"/>
      <c r="B484" s="29" t="s">
        <v>3626</v>
      </c>
      <c r="C484" s="30" t="str">
        <f>IFERROR(_xlfn.XLOOKUP(B484,Equipo[DESCRIPCION],Equipo[UND],,0),"")</f>
        <v>%MO</v>
      </c>
      <c r="D484" s="31">
        <v>0.05</v>
      </c>
      <c r="E484" s="32">
        <f>IF(C484="%MO",G489,IFERROR(_xlfn.XLOOKUP($B484,Equipo[DESCRIPCION],Equipo[VALOR],,0),""))</f>
        <v>57161.954708181831</v>
      </c>
      <c r="F484" s="33"/>
      <c r="G484" s="34">
        <f>IFERROR(IF(F484&gt;=0,D484*E484*(1+F484/100),ABS(D484*E484/F484)),"")</f>
        <v>2858.0977354090919</v>
      </c>
      <c r="H484" s="43">
        <f>IFERROR(G484*E471,"")</f>
        <v>0</v>
      </c>
    </row>
    <row r="485" spans="1:11">
      <c r="A485" s="28"/>
      <c r="B485" s="29"/>
      <c r="C485" s="30" t="str">
        <f>IFERROR(_xlfn.XLOOKUP(B485,Equipo[DESCRIPCION],Equipo[UND],,0),"")</f>
        <v/>
      </c>
      <c r="D485" s="31"/>
      <c r="E485" s="32" t="str">
        <f>IF(C485="%MO",G489,IFERROR(_xlfn.XLOOKUP($B485,Equipo[DESCRIPCION],Equipo[VALOR],,0),""))</f>
        <v/>
      </c>
      <c r="F485" s="33"/>
      <c r="G485" s="34" t="str">
        <f>IFERROR(IF(F485&gt;=0,D485*E485*(1+F485/100),ABS(D485*E485/F485)),"")</f>
        <v/>
      </c>
      <c r="H485" s="43" t="str">
        <f>IFERROR(G485*E471,"")</f>
        <v/>
      </c>
    </row>
    <row r="486" spans="1:11">
      <c r="A486" s="21"/>
      <c r="B486" s="22" t="s">
        <v>2533</v>
      </c>
      <c r="C486" s="23"/>
      <c r="D486" s="24"/>
      <c r="E486" s="25"/>
      <c r="F486" s="26"/>
      <c r="G486" s="27">
        <f>SUM(G487:G488)</f>
        <v>0</v>
      </c>
      <c r="H486" s="44">
        <f>G486*E471</f>
        <v>0</v>
      </c>
    </row>
    <row r="487" spans="1:11">
      <c r="A487" s="28"/>
      <c r="B487" s="29"/>
      <c r="C487" s="30" t="str">
        <f>IFERROR(_xlfn.XLOOKUP(B487,Transporte[DESCRIPCION],Transporte[UND],,0),"")</f>
        <v/>
      </c>
      <c r="D487" s="31"/>
      <c r="E487" s="32" t="str">
        <f>IFERROR(_xlfn.XLOOKUP($B487,Transporte[DESCRIPCION],Transporte[VALOR],,0),"")</f>
        <v/>
      </c>
      <c r="F487" s="33"/>
      <c r="G487" s="34" t="str">
        <f>IFERROR(IF(F487&gt;=0,D487*E487*(1+F487/100),ABS(D487*E487/F487)),"")</f>
        <v/>
      </c>
      <c r="H487" s="43" t="str">
        <f>IFERROR(G487*E471,"")</f>
        <v/>
      </c>
    </row>
    <row r="488" spans="1:11">
      <c r="A488" s="28"/>
      <c r="B488" s="29"/>
      <c r="C488" s="30" t="str">
        <f>IFERROR(_xlfn.XLOOKUP(B488,Transporte[DESCRIPCION],Transporte[UND],,0),"")</f>
        <v/>
      </c>
      <c r="D488" s="31"/>
      <c r="E488" s="32" t="str">
        <f>IFERROR(_xlfn.XLOOKUP($B488,Transporte[DESCRIPCION],Transporte[VALOR],,0),"")</f>
        <v/>
      </c>
      <c r="F488" s="33"/>
      <c r="G488" s="34" t="str">
        <f>IFERROR(IF(F488&gt;=0,D488*E488*(1+F488/100),ABS(D488*E488/F488)),"")</f>
        <v/>
      </c>
      <c r="H488" s="43" t="str">
        <f>IFERROR(G488*E471,"")</f>
        <v/>
      </c>
    </row>
    <row r="489" spans="1:11">
      <c r="A489" s="21"/>
      <c r="B489" s="22" t="s">
        <v>3732</v>
      </c>
      <c r="C489" s="23"/>
      <c r="D489" s="24"/>
      <c r="E489" s="25"/>
      <c r="F489" s="26"/>
      <c r="G489" s="27">
        <f>SUM(G490:G492)</f>
        <v>57161.954708181831</v>
      </c>
      <c r="H489" s="44">
        <f>G489*E471</f>
        <v>0</v>
      </c>
    </row>
    <row r="490" spans="1:11">
      <c r="A490" s="28"/>
      <c r="B490" s="29" t="s">
        <v>3710</v>
      </c>
      <c r="C490" s="30" t="str">
        <f>IFERROR(_xlfn.XLOOKUP(B490,MObra[DESCRIPCION],MObra[UN],,0),"")</f>
        <v>día</v>
      </c>
      <c r="D490" s="31">
        <v>1</v>
      </c>
      <c r="E490" s="32">
        <f>IFERROR(_xlfn.XLOOKUP($B490,MObra[DESCRIPCION],MObra[VALOR UNIT],,0),"")</f>
        <v>314390.75089500006</v>
      </c>
      <c r="F490" s="33">
        <v>-5.5</v>
      </c>
      <c r="G490" s="34">
        <f>IFERROR(IF(F490&gt;=0,D490*E490*(1+F490/100),ABS(D490*E490/F490)),"")</f>
        <v>57161.954708181831</v>
      </c>
      <c r="H490" s="43">
        <f>IFERROR(G490*E471,"")</f>
        <v>0</v>
      </c>
    </row>
    <row r="491" spans="1:11">
      <c r="A491" s="28"/>
      <c r="B491" s="29"/>
      <c r="C491" s="30" t="str">
        <f t="array" ref="C491">IFERROR(_xlfn.XLOOKUP(B491,MObra[[#All],[DESCRIPCION]],MObra[[#All],[UN]],,0),"")</f>
        <v/>
      </c>
      <c r="D491" s="31"/>
      <c r="E491" s="32" t="str">
        <f>IFERROR(_xlfn.XLOOKUP($B491,MObra[DESCRIPCION],MObra[VALOR UNIT],,0),"")</f>
        <v/>
      </c>
      <c r="F491" s="33"/>
      <c r="G491" s="34" t="str">
        <f>IFERROR(IF(F491&gt;=0,D491*E491*(1+F491/100),ABS(D491*E491/F491)),"")</f>
        <v/>
      </c>
      <c r="H491" s="43" t="str">
        <f>IFERROR(G491*E471,"")</f>
        <v/>
      </c>
    </row>
    <row r="492" spans="1:11">
      <c r="A492" s="35"/>
      <c r="B492" s="36"/>
      <c r="C492" s="37" t="str">
        <f t="array" ref="C492">IFERROR(_xlfn.XLOOKUP(B492,MObra[[#All],[DESCRIPCION]],MObra[[#All],[UN]],,0),"")</f>
        <v/>
      </c>
      <c r="D492" s="38"/>
      <c r="E492" s="39" t="str">
        <f>IFERROR(_xlfn.XLOOKUP($B492,MObra[DESCRIPCION],MObra[VALOR UNIT],,0),"")</f>
        <v/>
      </c>
      <c r="F492" s="40"/>
      <c r="G492" s="41" t="str">
        <f>IFERROR(IF(F492&gt;=0,D492*E492*(1+F492/100),ABS(D492*E492/F492)),"")</f>
        <v/>
      </c>
      <c r="H492" s="42" t="str">
        <f>IFERROR(G492*E471,"")</f>
        <v/>
      </c>
    </row>
    <row r="494" spans="1:11">
      <c r="A494" s="6" t="s">
        <v>647</v>
      </c>
      <c r="B494" s="7" t="str">
        <f>VLOOKUP($A494,Presupuesto!$A:$D,2,FALSE())</f>
        <v>Muro en Superboard 6 mm (1 cara)</v>
      </c>
      <c r="C494" s="8" t="str">
        <f>VLOOKUP($A494,Presupuesto!$A:$D,3,FALSE())</f>
        <v>M2</v>
      </c>
      <c r="D494" s="9"/>
      <c r="E494" s="10">
        <f>VLOOKUP($A494,Presupuesto!$A:$D,4,FALSE())</f>
        <v>0</v>
      </c>
      <c r="F494" s="11" t="s">
        <v>2589</v>
      </c>
      <c r="G494" s="12">
        <f>SUM(G496:G515)/2</f>
        <v>99205.577854500007</v>
      </c>
      <c r="H494" s="13">
        <f>ROUND(SUM(H496:H515),0)/2</f>
        <v>0</v>
      </c>
      <c r="I494" s="10">
        <f>VLOOKUP(A494,Presupuesto!$A:$F,6,0)</f>
        <v>0</v>
      </c>
      <c r="J494" s="10">
        <f>+H494-I494</f>
        <v>0</v>
      </c>
      <c r="K494" s="46">
        <f>+H494-G494*E494</f>
        <v>0</v>
      </c>
    </row>
    <row r="495" spans="1:11">
      <c r="A495" s="14"/>
      <c r="B495" s="15" t="s">
        <v>2586</v>
      </c>
      <c r="C495" s="15" t="s">
        <v>5</v>
      </c>
      <c r="D495" s="16" t="s">
        <v>6</v>
      </c>
      <c r="E495" s="17" t="s">
        <v>7</v>
      </c>
      <c r="F495" s="18" t="s">
        <v>3728</v>
      </c>
      <c r="G495" s="19" t="s">
        <v>3729</v>
      </c>
      <c r="H495" s="20" t="s">
        <v>3797</v>
      </c>
    </row>
    <row r="496" spans="1:11">
      <c r="A496" s="21"/>
      <c r="B496" s="22" t="s">
        <v>3730</v>
      </c>
      <c r="C496" s="23"/>
      <c r="D496" s="24"/>
      <c r="E496" s="25"/>
      <c r="F496" s="26"/>
      <c r="G496" s="27">
        <f>SUM(G497:G504)</f>
        <v>43582.598850000002</v>
      </c>
      <c r="H496" s="27">
        <f>IFERROR(G496*E494,"")</f>
        <v>0</v>
      </c>
    </row>
    <row r="497" spans="1:8">
      <c r="A497" s="28"/>
      <c r="B497" s="29" t="s">
        <v>3028</v>
      </c>
      <c r="C497" s="30" t="str">
        <f>IFERROR(_xlfn.XLOOKUP(B497,Insumo[DESCRIPCION],Insumo[UND],,0),"")</f>
        <v>Un</v>
      </c>
      <c r="D497" s="31">
        <v>0.34</v>
      </c>
      <c r="E497" s="32">
        <f>IFERROR(_xlfn.XLOOKUP($B497,Insumo[DESCRIPCION],Insumo[VALOR],,0),"")</f>
        <v>62475</v>
      </c>
      <c r="F497" s="33">
        <v>5</v>
      </c>
      <c r="G497" s="34">
        <f t="shared" ref="G497:G504" si="6">IFERROR(IF(F497&gt;=0,D497*E497*(1+F497/100),ABS(D497*E497/F497)),"")</f>
        <v>22303.575000000001</v>
      </c>
      <c r="H497" s="43">
        <f>IFERROR(G497*E494,"")</f>
        <v>0</v>
      </c>
    </row>
    <row r="498" spans="1:8">
      <c r="A498" s="28"/>
      <c r="B498" s="29" t="s">
        <v>2814</v>
      </c>
      <c r="C498" s="30" t="str">
        <f>IFERROR(_xlfn.XLOOKUP(B498,Insumo[DESCRIPCION],Insumo[UND],,0),"")</f>
        <v>Un</v>
      </c>
      <c r="D498" s="31">
        <v>0.34</v>
      </c>
      <c r="E498" s="32">
        <f>IFERROR(_xlfn.XLOOKUP($B498,Insumo[DESCRIPCION],Insumo[VALOR],,0),"")</f>
        <v>10343.550000000001</v>
      </c>
      <c r="F498" s="33">
        <v>5</v>
      </c>
      <c r="G498" s="34">
        <f t="shared" si="6"/>
        <v>3692.6473500000011</v>
      </c>
      <c r="H498" s="43">
        <f>IFERROR(G498*E494,"")</f>
        <v>0</v>
      </c>
    </row>
    <row r="499" spans="1:8">
      <c r="A499" s="28"/>
      <c r="B499" s="29" t="s">
        <v>3187</v>
      </c>
      <c r="C499" s="30" t="str">
        <f>IFERROR(_xlfn.XLOOKUP(B499,Insumo[DESCRIPCION],Insumo[UND],,0),"")</f>
        <v>Un</v>
      </c>
      <c r="D499" s="31">
        <v>0.76</v>
      </c>
      <c r="E499" s="32">
        <f>IFERROR(_xlfn.XLOOKUP($B499,Insumo[DESCRIPCION],Insumo[VALOR],,0),"")</f>
        <v>12332.25</v>
      </c>
      <c r="F499" s="33">
        <v>5</v>
      </c>
      <c r="G499" s="34">
        <f t="shared" si="6"/>
        <v>9841.1355000000003</v>
      </c>
      <c r="H499" s="43">
        <f>IFERROR(G499*E494,"")</f>
        <v>0</v>
      </c>
    </row>
    <row r="500" spans="1:8">
      <c r="A500" s="28"/>
      <c r="B500" s="29" t="s">
        <v>2850</v>
      </c>
      <c r="C500" s="30" t="str">
        <f>IFERROR(_xlfn.XLOOKUP(B500,Insumo[DESCRIPCION],Insumo[UND],,0),"")</f>
        <v>M</v>
      </c>
      <c r="D500" s="31">
        <v>1</v>
      </c>
      <c r="E500" s="32">
        <f>IFERROR(_xlfn.XLOOKUP($B500,Insumo[DESCRIPCION],Insumo[VALOR],,0),"")</f>
        <v>511.35</v>
      </c>
      <c r="F500" s="33"/>
      <c r="G500" s="34">
        <f t="shared" si="6"/>
        <v>511.35</v>
      </c>
      <c r="H500" s="43">
        <f>IFERROR(G500*E494,"")</f>
        <v>0</v>
      </c>
    </row>
    <row r="501" spans="1:8">
      <c r="A501" s="28"/>
      <c r="B501" s="29" t="s">
        <v>3309</v>
      </c>
      <c r="C501" s="30" t="str">
        <f>IFERROR(_xlfn.XLOOKUP(B501,Insumo[DESCRIPCION],Insumo[UND],,0),"")</f>
        <v>Un</v>
      </c>
      <c r="D501" s="31">
        <v>0.09</v>
      </c>
      <c r="E501" s="32">
        <f>IFERROR(_xlfn.XLOOKUP($B501,Insumo[DESCRIPCION],Insumo[VALOR],,0),"")</f>
        <v>56717.850000000006</v>
      </c>
      <c r="F501" s="33"/>
      <c r="G501" s="34">
        <f t="shared" si="6"/>
        <v>5104.6065000000008</v>
      </c>
      <c r="H501" s="43">
        <f>IFERROR(G501*E494,"")</f>
        <v>0</v>
      </c>
    </row>
    <row r="502" spans="1:8">
      <c r="A502" s="28"/>
      <c r="B502" s="29" t="s">
        <v>3404</v>
      </c>
      <c r="C502" s="30" t="str">
        <f>IFERROR(_xlfn.XLOOKUP(B502,Insumo[DESCRIPCION],Insumo[UND],,0),"")</f>
        <v>Un</v>
      </c>
      <c r="D502" s="31">
        <v>9</v>
      </c>
      <c r="E502" s="32">
        <f>IFERROR(_xlfn.XLOOKUP($B502,Insumo[DESCRIPCION],Insumo[VALOR],,0),"")</f>
        <v>43.050000000000004</v>
      </c>
      <c r="F502" s="33"/>
      <c r="G502" s="34">
        <f t="shared" si="6"/>
        <v>387.45000000000005</v>
      </c>
      <c r="H502" s="43">
        <f>IFERROR(G502*E494,"")</f>
        <v>0</v>
      </c>
    </row>
    <row r="503" spans="1:8">
      <c r="A503" s="28"/>
      <c r="B503" s="29" t="s">
        <v>3406</v>
      </c>
      <c r="C503" s="30" t="str">
        <f>IFERROR(_xlfn.XLOOKUP(B503,Insumo[DESCRIPCION],Insumo[UND],,0),"")</f>
        <v>Un</v>
      </c>
      <c r="D503" s="31">
        <v>3</v>
      </c>
      <c r="E503" s="32">
        <f>IFERROR(_xlfn.XLOOKUP($B503,Insumo[DESCRIPCION],Insumo[VALOR],,0),"")</f>
        <v>44.1</v>
      </c>
      <c r="F503" s="33"/>
      <c r="G503" s="34">
        <f t="shared" si="6"/>
        <v>132.30000000000001</v>
      </c>
      <c r="H503" s="43">
        <f>IFERROR(G503*E494,"")</f>
        <v>0</v>
      </c>
    </row>
    <row r="504" spans="1:8">
      <c r="A504" s="28"/>
      <c r="B504" s="29" t="s">
        <v>3159</v>
      </c>
      <c r="C504" s="30" t="str">
        <f>IFERROR(_xlfn.XLOOKUP(B504,Insumo[DESCRIPCION],Insumo[UND],,0),"")</f>
        <v>Kg</v>
      </c>
      <c r="D504" s="31">
        <v>0.17</v>
      </c>
      <c r="E504" s="32">
        <f>IFERROR(_xlfn.XLOOKUP($B504,Insumo[DESCRIPCION],Insumo[VALOR],,0),"")</f>
        <v>9467.85</v>
      </c>
      <c r="F504" s="33"/>
      <c r="G504" s="34">
        <f t="shared" si="6"/>
        <v>1609.5345000000002</v>
      </c>
      <c r="H504" s="43">
        <f>IFERROR(G504*E494,"")</f>
        <v>0</v>
      </c>
    </row>
    <row r="505" spans="1:8">
      <c r="A505" s="21"/>
      <c r="B505" s="22" t="s">
        <v>3731</v>
      </c>
      <c r="C505" s="23"/>
      <c r="D505" s="24"/>
      <c r="E505" s="25"/>
      <c r="F505" s="26"/>
      <c r="G505" s="27">
        <f>SUM(G506:G508)</f>
        <v>7255.1711745000011</v>
      </c>
      <c r="H505" s="44">
        <f>G505*E494</f>
        <v>0</v>
      </c>
    </row>
    <row r="506" spans="1:8">
      <c r="A506" s="28"/>
      <c r="B506" s="29" t="s">
        <v>3573</v>
      </c>
      <c r="C506" s="30" t="str">
        <f>IFERROR(_xlfn.XLOOKUP(B506,Equipo[DESCRIPCION],Equipo[UND],,0),"")</f>
        <v>%MO</v>
      </c>
      <c r="D506" s="31">
        <v>0.1</v>
      </c>
      <c r="E506" s="32">
        <f>IF(C506="%MO",G512,IFERROR(_xlfn.XLOOKUP($B506,Equipo[DESCRIPCION],Equipo[VALOR],,0),""))</f>
        <v>48367.807830000012</v>
      </c>
      <c r="F506" s="33"/>
      <c r="G506" s="34">
        <f>IFERROR(IF(F506&gt;=0,D506*E506*(1+F506/100),ABS(D506*E506/F506)),"")</f>
        <v>4836.7807830000011</v>
      </c>
      <c r="H506" s="43">
        <f>IFERROR(G506*E494,"")</f>
        <v>0</v>
      </c>
    </row>
    <row r="507" spans="1:8">
      <c r="A507" s="28"/>
      <c r="B507" s="29" t="s">
        <v>3626</v>
      </c>
      <c r="C507" s="30" t="str">
        <f>IFERROR(_xlfn.XLOOKUP(B507,Equipo[DESCRIPCION],Equipo[UND],,0),"")</f>
        <v>%MO</v>
      </c>
      <c r="D507" s="31">
        <v>0.05</v>
      </c>
      <c r="E507" s="32">
        <f>IF(C507="%MO",G512,IFERROR(_xlfn.XLOOKUP($B507,Equipo[DESCRIPCION],Equipo[VALOR],,0),""))</f>
        <v>48367.807830000012</v>
      </c>
      <c r="F507" s="33"/>
      <c r="G507" s="34">
        <f>IFERROR(IF(F507&gt;=0,D507*E507*(1+F507/100),ABS(D507*E507/F507)),"")</f>
        <v>2418.3903915000005</v>
      </c>
      <c r="H507" s="43">
        <f>IFERROR(G507*E494,"")</f>
        <v>0</v>
      </c>
    </row>
    <row r="508" spans="1:8">
      <c r="A508" s="28"/>
      <c r="B508" s="29"/>
      <c r="C508" s="30" t="str">
        <f>IFERROR(_xlfn.XLOOKUP(B508,Equipo[DESCRIPCION],Equipo[UND],,0),"")</f>
        <v/>
      </c>
      <c r="D508" s="31"/>
      <c r="E508" s="32" t="str">
        <f>IF(C508="%MO",G512,IFERROR(_xlfn.XLOOKUP($B508,Equipo[DESCRIPCION],Equipo[VALOR],,0),""))</f>
        <v/>
      </c>
      <c r="F508" s="33"/>
      <c r="G508" s="34" t="str">
        <f>IFERROR(IF(F508&gt;=0,D508*E508*(1+F508/100),ABS(D508*E508/F508)),"")</f>
        <v/>
      </c>
      <c r="H508" s="43" t="str">
        <f>IFERROR(G508*E494,"")</f>
        <v/>
      </c>
    </row>
    <row r="509" spans="1:8">
      <c r="A509" s="21"/>
      <c r="B509" s="22" t="s">
        <v>2533</v>
      </c>
      <c r="C509" s="23"/>
      <c r="D509" s="24"/>
      <c r="E509" s="25"/>
      <c r="F509" s="26"/>
      <c r="G509" s="27">
        <f>SUM(G510:G511)</f>
        <v>0</v>
      </c>
      <c r="H509" s="44">
        <f>G509*E494</f>
        <v>0</v>
      </c>
    </row>
    <row r="510" spans="1:8">
      <c r="A510" s="28"/>
      <c r="B510" s="29"/>
      <c r="C510" s="30" t="str">
        <f>IFERROR(_xlfn.XLOOKUP(B510,Transporte[DESCRIPCION],Transporte[UND],,0),"")</f>
        <v/>
      </c>
      <c r="D510" s="31"/>
      <c r="E510" s="32" t="str">
        <f>IFERROR(_xlfn.XLOOKUP($B510,Transporte[DESCRIPCION],Transporte[VALOR],,0),"")</f>
        <v/>
      </c>
      <c r="F510" s="33"/>
      <c r="G510" s="34" t="str">
        <f>IFERROR(IF(F510&gt;=0,D510*E510*(1+F510/100),ABS(D510*E510/F510)),"")</f>
        <v/>
      </c>
      <c r="H510" s="43" t="str">
        <f>IFERROR(G510*E494,"")</f>
        <v/>
      </c>
    </row>
    <row r="511" spans="1:8">
      <c r="A511" s="28"/>
      <c r="B511" s="29"/>
      <c r="C511" s="30" t="str">
        <f>IFERROR(_xlfn.XLOOKUP(B511,Transporte[DESCRIPCION],Transporte[UND],,0),"")</f>
        <v/>
      </c>
      <c r="D511" s="31"/>
      <c r="E511" s="32" t="str">
        <f>IFERROR(_xlfn.XLOOKUP($B511,Transporte[DESCRIPCION],Transporte[VALOR],,0),"")</f>
        <v/>
      </c>
      <c r="F511" s="33"/>
      <c r="G511" s="34" t="str">
        <f>IFERROR(IF(F511&gt;=0,D511*E511*(1+F511/100),ABS(D511*E511/F511)),"")</f>
        <v/>
      </c>
      <c r="H511" s="43" t="str">
        <f>IFERROR(G511*E494,"")</f>
        <v/>
      </c>
    </row>
    <row r="512" spans="1:8">
      <c r="A512" s="21"/>
      <c r="B512" s="22" t="s">
        <v>3732</v>
      </c>
      <c r="C512" s="23"/>
      <c r="D512" s="24"/>
      <c r="E512" s="25"/>
      <c r="F512" s="26"/>
      <c r="G512" s="27">
        <f>SUM(G513:G515)</f>
        <v>48367.807830000012</v>
      </c>
      <c r="H512" s="44">
        <f>G512*E494</f>
        <v>0</v>
      </c>
    </row>
    <row r="513" spans="1:11">
      <c r="A513" s="28"/>
      <c r="B513" s="29" t="s">
        <v>3710</v>
      </c>
      <c r="C513" s="30" t="str">
        <f>IFERROR(_xlfn.XLOOKUP(B513,MObra[DESCRIPCION],MObra[UN],,0),"")</f>
        <v>día</v>
      </c>
      <c r="D513" s="31">
        <v>1</v>
      </c>
      <c r="E513" s="32">
        <f>IFERROR(_xlfn.XLOOKUP($B513,MObra[DESCRIPCION],MObra[VALOR UNIT],,0),"")</f>
        <v>314390.75089500006</v>
      </c>
      <c r="F513" s="33">
        <v>-6.5</v>
      </c>
      <c r="G513" s="34">
        <f>IFERROR(IF(F513&gt;=0,D513*E513*(1+F513/100),ABS(D513*E513/F513)),"")</f>
        <v>48367.807830000012</v>
      </c>
      <c r="H513" s="43">
        <f>IFERROR(G513*E494,"")</f>
        <v>0</v>
      </c>
    </row>
    <row r="514" spans="1:11">
      <c r="A514" s="28"/>
      <c r="B514" s="29"/>
      <c r="C514" s="30" t="str">
        <f t="array" ref="C514">IFERROR(_xlfn.XLOOKUP(B514,MObra[[#All],[DESCRIPCION]],MObra[[#All],[UN]],,0),"")</f>
        <v/>
      </c>
      <c r="D514" s="31"/>
      <c r="E514" s="32" t="str">
        <f>IFERROR(_xlfn.XLOOKUP($B514,MObra[DESCRIPCION],MObra[VALOR UNIT],,0),"")</f>
        <v/>
      </c>
      <c r="F514" s="33"/>
      <c r="G514" s="34" t="str">
        <f>IFERROR(IF(F514&gt;=0,D514*E514*(1+F514/100),ABS(D514*E514/F514)),"")</f>
        <v/>
      </c>
      <c r="H514" s="43" t="str">
        <f>IFERROR(G514*E494,"")</f>
        <v/>
      </c>
    </row>
    <row r="515" spans="1:11">
      <c r="A515" s="35"/>
      <c r="B515" s="36"/>
      <c r="C515" s="37" t="str">
        <f t="array" ref="C515">IFERROR(_xlfn.XLOOKUP(B515,MObra[[#All],[DESCRIPCION]],MObra[[#All],[UN]],,0),"")</f>
        <v/>
      </c>
      <c r="D515" s="38"/>
      <c r="E515" s="39" t="str">
        <f>IFERROR(_xlfn.XLOOKUP($B515,MObra[DESCRIPCION],MObra[VALOR UNIT],,0),"")</f>
        <v/>
      </c>
      <c r="F515" s="40"/>
      <c r="G515" s="41" t="str">
        <f>IFERROR(IF(F515&gt;=0,D515*E515*(1+F515/100),ABS(D515*E515/F515)),"")</f>
        <v/>
      </c>
      <c r="H515" s="42" t="str">
        <f>IFERROR(G515*E494,"")</f>
        <v/>
      </c>
    </row>
    <row r="517" spans="1:11">
      <c r="A517" s="6" t="s">
        <v>649</v>
      </c>
      <c r="B517" s="7" t="str">
        <f>VLOOKUP($A517,Presupuesto!$A:$D,2,FALSE())</f>
        <v>Muro en Superboard 6 mm (2 caras)</v>
      </c>
      <c r="C517" s="8" t="str">
        <f>VLOOKUP($A517,Presupuesto!$A:$D,3,FALSE())</f>
        <v>M2</v>
      </c>
      <c r="D517" s="9"/>
      <c r="E517" s="10">
        <f>VLOOKUP($A517,Presupuesto!$A:$D,4,FALSE())</f>
        <v>0</v>
      </c>
      <c r="F517" s="11" t="s">
        <v>2589</v>
      </c>
      <c r="G517" s="12">
        <f>SUM(G519:G538)/2</f>
        <v>138711.6752644091</v>
      </c>
      <c r="H517" s="13">
        <f>ROUND(SUM(H519:H538),0)/2</f>
        <v>0</v>
      </c>
      <c r="I517" s="10">
        <f>VLOOKUP(A517,Presupuesto!$A:$F,6,0)</f>
        <v>0</v>
      </c>
      <c r="J517" s="10">
        <f>+H517-I517</f>
        <v>0</v>
      </c>
      <c r="K517" s="46">
        <f>+H517-G517*E517</f>
        <v>0</v>
      </c>
    </row>
    <row r="518" spans="1:11">
      <c r="A518" s="14"/>
      <c r="B518" s="15" t="s">
        <v>2586</v>
      </c>
      <c r="C518" s="15" t="s">
        <v>5</v>
      </c>
      <c r="D518" s="16" t="s">
        <v>6</v>
      </c>
      <c r="E518" s="17" t="s">
        <v>7</v>
      </c>
      <c r="F518" s="18" t="s">
        <v>3728</v>
      </c>
      <c r="G518" s="19" t="s">
        <v>3729</v>
      </c>
      <c r="H518" s="20" t="s">
        <v>3797</v>
      </c>
    </row>
    <row r="519" spans="1:11">
      <c r="A519" s="21"/>
      <c r="B519" s="22" t="s">
        <v>3730</v>
      </c>
      <c r="C519" s="23"/>
      <c r="D519" s="24"/>
      <c r="E519" s="25"/>
      <c r="F519" s="26"/>
      <c r="G519" s="27">
        <f>SUM(G520:G527)</f>
        <v>72975.427349999998</v>
      </c>
      <c r="H519" s="27">
        <f>IFERROR(G519*E517,"")</f>
        <v>0</v>
      </c>
    </row>
    <row r="520" spans="1:11">
      <c r="A520" s="28"/>
      <c r="B520" s="29" t="s">
        <v>3028</v>
      </c>
      <c r="C520" s="30" t="str">
        <f>IFERROR(_xlfn.XLOOKUP(B520,Insumo[DESCRIPCION],Insumo[UND],,0),"")</f>
        <v>Un</v>
      </c>
      <c r="D520" s="31">
        <v>0.67</v>
      </c>
      <c r="E520" s="32">
        <f>IFERROR(_xlfn.XLOOKUP($B520,Insumo[DESCRIPCION],Insumo[VALOR],,0),"")</f>
        <v>62475</v>
      </c>
      <c r="F520" s="33">
        <v>5</v>
      </c>
      <c r="G520" s="34">
        <f t="shared" ref="G520:G527" si="7">IFERROR(IF(F520&gt;=0,D520*E520*(1+F520/100),ABS(D520*E520/F520)),"")</f>
        <v>43951.162499999999</v>
      </c>
      <c r="H520" s="43">
        <f>IFERROR(G520*E517,"")</f>
        <v>0</v>
      </c>
    </row>
    <row r="521" spans="1:11">
      <c r="A521" s="28"/>
      <c r="B521" s="29" t="s">
        <v>2814</v>
      </c>
      <c r="C521" s="30" t="str">
        <f>IFERROR(_xlfn.XLOOKUP(B521,Insumo[DESCRIPCION],Insumo[UND],,0),"")</f>
        <v>Un</v>
      </c>
      <c r="D521" s="31">
        <v>0.34</v>
      </c>
      <c r="E521" s="32">
        <f>IFERROR(_xlfn.XLOOKUP($B521,Insumo[DESCRIPCION],Insumo[VALOR],,0),"")</f>
        <v>10343.550000000001</v>
      </c>
      <c r="F521" s="33">
        <v>5</v>
      </c>
      <c r="G521" s="34">
        <f t="shared" si="7"/>
        <v>3692.6473500000011</v>
      </c>
      <c r="H521" s="43">
        <f>IFERROR(G521*E517,"")</f>
        <v>0</v>
      </c>
    </row>
    <row r="522" spans="1:11">
      <c r="A522" s="28"/>
      <c r="B522" s="29" t="s">
        <v>3187</v>
      </c>
      <c r="C522" s="30" t="str">
        <f>IFERROR(_xlfn.XLOOKUP(B522,Insumo[DESCRIPCION],Insumo[UND],,0),"")</f>
        <v>Un</v>
      </c>
      <c r="D522" s="31">
        <v>0.76</v>
      </c>
      <c r="E522" s="32">
        <f>IFERROR(_xlfn.XLOOKUP($B522,Insumo[DESCRIPCION],Insumo[VALOR],,0),"")</f>
        <v>12332.25</v>
      </c>
      <c r="F522" s="33">
        <v>5</v>
      </c>
      <c r="G522" s="34">
        <f t="shared" si="7"/>
        <v>9841.1355000000003</v>
      </c>
      <c r="H522" s="43">
        <f>IFERROR(G522*E517,"")</f>
        <v>0</v>
      </c>
    </row>
    <row r="523" spans="1:11">
      <c r="A523" s="28"/>
      <c r="B523" s="29" t="s">
        <v>2850</v>
      </c>
      <c r="C523" s="30" t="str">
        <f>IFERROR(_xlfn.XLOOKUP(B523,Insumo[DESCRIPCION],Insumo[UND],,0),"")</f>
        <v>M</v>
      </c>
      <c r="D523" s="31">
        <v>2</v>
      </c>
      <c r="E523" s="32">
        <f>IFERROR(_xlfn.XLOOKUP($B523,Insumo[DESCRIPCION],Insumo[VALOR],,0),"")</f>
        <v>511.35</v>
      </c>
      <c r="F523" s="33"/>
      <c r="G523" s="34">
        <f t="shared" si="7"/>
        <v>1022.7</v>
      </c>
      <c r="H523" s="43">
        <f>IFERROR(G523*E517,"")</f>
        <v>0</v>
      </c>
    </row>
    <row r="524" spans="1:11">
      <c r="A524" s="28"/>
      <c r="B524" s="29" t="s">
        <v>3309</v>
      </c>
      <c r="C524" s="30" t="str">
        <f>IFERROR(_xlfn.XLOOKUP(B524,Insumo[DESCRIPCION],Insumo[UND],,0),"")</f>
        <v>Un</v>
      </c>
      <c r="D524" s="31">
        <v>0.18</v>
      </c>
      <c r="E524" s="32">
        <f>IFERROR(_xlfn.XLOOKUP($B524,Insumo[DESCRIPCION],Insumo[VALOR],,0),"")</f>
        <v>56717.850000000006</v>
      </c>
      <c r="F524" s="33"/>
      <c r="G524" s="34">
        <f t="shared" si="7"/>
        <v>10209.213000000002</v>
      </c>
      <c r="H524" s="43">
        <f>IFERROR(G524*E517,"")</f>
        <v>0</v>
      </c>
    </row>
    <row r="525" spans="1:11">
      <c r="A525" s="28"/>
      <c r="B525" s="29" t="s">
        <v>3404</v>
      </c>
      <c r="C525" s="30" t="str">
        <f>IFERROR(_xlfn.XLOOKUP(B525,Insumo[DESCRIPCION],Insumo[UND],,0),"")</f>
        <v>Un</v>
      </c>
      <c r="D525" s="31">
        <v>18</v>
      </c>
      <c r="E525" s="32">
        <f>IFERROR(_xlfn.XLOOKUP($B525,Insumo[DESCRIPCION],Insumo[VALOR],,0),"")</f>
        <v>43.050000000000004</v>
      </c>
      <c r="F525" s="33"/>
      <c r="G525" s="34">
        <f t="shared" si="7"/>
        <v>774.90000000000009</v>
      </c>
      <c r="H525" s="43">
        <f>IFERROR(G525*E517,"")</f>
        <v>0</v>
      </c>
    </row>
    <row r="526" spans="1:11">
      <c r="A526" s="28"/>
      <c r="B526" s="29" t="s">
        <v>3406</v>
      </c>
      <c r="C526" s="30" t="str">
        <f>IFERROR(_xlfn.XLOOKUP(B526,Insumo[DESCRIPCION],Insumo[UND],,0),"")</f>
        <v>Un</v>
      </c>
      <c r="D526" s="31">
        <v>6</v>
      </c>
      <c r="E526" s="32">
        <f>IFERROR(_xlfn.XLOOKUP($B526,Insumo[DESCRIPCION],Insumo[VALOR],,0),"")</f>
        <v>44.1</v>
      </c>
      <c r="F526" s="33"/>
      <c r="G526" s="34">
        <f t="shared" si="7"/>
        <v>264.60000000000002</v>
      </c>
      <c r="H526" s="43">
        <f>IFERROR(G526*E517,"")</f>
        <v>0</v>
      </c>
    </row>
    <row r="527" spans="1:11">
      <c r="A527" s="28"/>
      <c r="B527" s="29" t="s">
        <v>3159</v>
      </c>
      <c r="C527" s="30" t="str">
        <f>IFERROR(_xlfn.XLOOKUP(B527,Insumo[DESCRIPCION],Insumo[UND],,0),"")</f>
        <v>Kg</v>
      </c>
      <c r="D527" s="31">
        <v>0.34</v>
      </c>
      <c r="E527" s="32">
        <f>IFERROR(_xlfn.XLOOKUP($B527,Insumo[DESCRIPCION],Insumo[VALOR],,0),"")</f>
        <v>9467.85</v>
      </c>
      <c r="F527" s="33"/>
      <c r="G527" s="34">
        <f t="shared" si="7"/>
        <v>3219.0690000000004</v>
      </c>
      <c r="H527" s="43">
        <f>IFERROR(G527*E517,"")</f>
        <v>0</v>
      </c>
    </row>
    <row r="528" spans="1:11">
      <c r="A528" s="21"/>
      <c r="B528" s="22" t="s">
        <v>3731</v>
      </c>
      <c r="C528" s="23"/>
      <c r="D528" s="24"/>
      <c r="E528" s="25"/>
      <c r="F528" s="26"/>
      <c r="G528" s="27">
        <f>SUM(G529:G531)</f>
        <v>8574.2932062272757</v>
      </c>
      <c r="H528" s="44">
        <f>G528*E517</f>
        <v>0</v>
      </c>
    </row>
    <row r="529" spans="1:11">
      <c r="A529" s="28"/>
      <c r="B529" s="29" t="s">
        <v>3573</v>
      </c>
      <c r="C529" s="30" t="str">
        <f>IFERROR(_xlfn.XLOOKUP(B529,Equipo[DESCRIPCION],Equipo[UND],,0),"")</f>
        <v>%MO</v>
      </c>
      <c r="D529" s="31">
        <v>0.1</v>
      </c>
      <c r="E529" s="32">
        <f>IF(C529="%MO",G535,IFERROR(_xlfn.XLOOKUP($B529,Equipo[DESCRIPCION],Equipo[VALOR],,0),""))</f>
        <v>57161.954708181831</v>
      </c>
      <c r="F529" s="33"/>
      <c r="G529" s="34">
        <f>IFERROR(IF(F529&gt;=0,D529*E529*(1+F529/100),ABS(D529*E529/F529)),"")</f>
        <v>5716.1954708181838</v>
      </c>
      <c r="H529" s="43">
        <f>IFERROR(G529*E517,"")</f>
        <v>0</v>
      </c>
    </row>
    <row r="530" spans="1:11">
      <c r="A530" s="28"/>
      <c r="B530" s="29" t="s">
        <v>3626</v>
      </c>
      <c r="C530" s="30" t="str">
        <f>IFERROR(_xlfn.XLOOKUP(B530,Equipo[DESCRIPCION],Equipo[UND],,0),"")</f>
        <v>%MO</v>
      </c>
      <c r="D530" s="31">
        <v>0.05</v>
      </c>
      <c r="E530" s="32">
        <f>IF(C530="%MO",G535,IFERROR(_xlfn.XLOOKUP($B530,Equipo[DESCRIPCION],Equipo[VALOR],,0),""))</f>
        <v>57161.954708181831</v>
      </c>
      <c r="F530" s="33"/>
      <c r="G530" s="34">
        <f>IFERROR(IF(F530&gt;=0,D530*E530*(1+F530/100),ABS(D530*E530/F530)),"")</f>
        <v>2858.0977354090919</v>
      </c>
      <c r="H530" s="43">
        <f>IFERROR(G530*E517,"")</f>
        <v>0</v>
      </c>
    </row>
    <row r="531" spans="1:11">
      <c r="A531" s="28"/>
      <c r="B531" s="29"/>
      <c r="C531" s="30" t="str">
        <f>IFERROR(_xlfn.XLOOKUP(B531,Equipo[DESCRIPCION],Equipo[UND],,0),"")</f>
        <v/>
      </c>
      <c r="D531" s="31"/>
      <c r="E531" s="32" t="str">
        <f>IF(C531="%MO",G535,IFERROR(_xlfn.XLOOKUP($B531,Equipo[DESCRIPCION],Equipo[VALOR],,0),""))</f>
        <v/>
      </c>
      <c r="F531" s="33"/>
      <c r="G531" s="34" t="str">
        <f>IFERROR(IF(F531&gt;=0,D531*E531*(1+F531/100),ABS(D531*E531/F531)),"")</f>
        <v/>
      </c>
      <c r="H531" s="43" t="str">
        <f>IFERROR(G531*E517,"")</f>
        <v/>
      </c>
    </row>
    <row r="532" spans="1:11">
      <c r="A532" s="21"/>
      <c r="B532" s="22" t="s">
        <v>2533</v>
      </c>
      <c r="C532" s="23"/>
      <c r="D532" s="24"/>
      <c r="E532" s="25"/>
      <c r="F532" s="26"/>
      <c r="G532" s="27">
        <f>SUM(G533:G534)</f>
        <v>0</v>
      </c>
      <c r="H532" s="44">
        <f>G532*E517</f>
        <v>0</v>
      </c>
    </row>
    <row r="533" spans="1:11">
      <c r="A533" s="28"/>
      <c r="B533" s="29"/>
      <c r="C533" s="30" t="str">
        <f>IFERROR(_xlfn.XLOOKUP(B533,Transporte[DESCRIPCION],Transporte[UND],,0),"")</f>
        <v/>
      </c>
      <c r="D533" s="31"/>
      <c r="E533" s="32" t="str">
        <f>IFERROR(_xlfn.XLOOKUP($B533,Transporte[DESCRIPCION],Transporte[VALOR],,0),"")</f>
        <v/>
      </c>
      <c r="F533" s="33"/>
      <c r="G533" s="34" t="str">
        <f>IFERROR(IF(F533&gt;=0,D533*E533*(1+F533/100),ABS(D533*E533/F533)),"")</f>
        <v/>
      </c>
      <c r="H533" s="43" t="str">
        <f>IFERROR(G533*E517,"")</f>
        <v/>
      </c>
    </row>
    <row r="534" spans="1:11">
      <c r="A534" s="28"/>
      <c r="B534" s="29"/>
      <c r="C534" s="30" t="str">
        <f>IFERROR(_xlfn.XLOOKUP(B534,Transporte[DESCRIPCION],Transporte[UND],,0),"")</f>
        <v/>
      </c>
      <c r="D534" s="31"/>
      <c r="E534" s="32" t="str">
        <f>IFERROR(_xlfn.XLOOKUP($B534,Transporte[DESCRIPCION],Transporte[VALOR],,0),"")</f>
        <v/>
      </c>
      <c r="F534" s="33"/>
      <c r="G534" s="34" t="str">
        <f>IFERROR(IF(F534&gt;=0,D534*E534*(1+F534/100),ABS(D534*E534/F534)),"")</f>
        <v/>
      </c>
      <c r="H534" s="43" t="str">
        <f>IFERROR(G534*E517,"")</f>
        <v/>
      </c>
    </row>
    <row r="535" spans="1:11">
      <c r="A535" s="21"/>
      <c r="B535" s="22" t="s">
        <v>3732</v>
      </c>
      <c r="C535" s="23"/>
      <c r="D535" s="24"/>
      <c r="E535" s="25"/>
      <c r="F535" s="26"/>
      <c r="G535" s="27">
        <f>SUM(G536:G538)</f>
        <v>57161.954708181831</v>
      </c>
      <c r="H535" s="44">
        <f>G535*E517</f>
        <v>0</v>
      </c>
    </row>
    <row r="536" spans="1:11">
      <c r="A536" s="28"/>
      <c r="B536" s="29" t="s">
        <v>3710</v>
      </c>
      <c r="C536" s="30" t="str">
        <f>IFERROR(_xlfn.XLOOKUP(B536,MObra[DESCRIPCION],MObra[UN],,0),"")</f>
        <v>día</v>
      </c>
      <c r="D536" s="31">
        <v>1</v>
      </c>
      <c r="E536" s="32">
        <f>IFERROR(_xlfn.XLOOKUP($B536,MObra[DESCRIPCION],MObra[VALOR UNIT],,0),"")</f>
        <v>314390.75089500006</v>
      </c>
      <c r="F536" s="33">
        <v>-5.5</v>
      </c>
      <c r="G536" s="34">
        <f>IFERROR(IF(F536&gt;=0,D536*E536*(1+F536/100),ABS(D536*E536/F536)),"")</f>
        <v>57161.954708181831</v>
      </c>
      <c r="H536" s="43">
        <f>IFERROR(G536*E517,"")</f>
        <v>0</v>
      </c>
    </row>
    <row r="537" spans="1:11">
      <c r="A537" s="28"/>
      <c r="B537" s="29"/>
      <c r="C537" s="30" t="str">
        <f t="array" ref="C537">IFERROR(_xlfn.XLOOKUP(B537,MObra[[#All],[DESCRIPCION]],MObra[[#All],[UN]],,0),"")</f>
        <v/>
      </c>
      <c r="D537" s="31"/>
      <c r="E537" s="32" t="str">
        <f>IFERROR(_xlfn.XLOOKUP($B537,MObra[DESCRIPCION],MObra[VALOR UNIT],,0),"")</f>
        <v/>
      </c>
      <c r="F537" s="33"/>
      <c r="G537" s="34" t="str">
        <f>IFERROR(IF(F537&gt;=0,D537*E537*(1+F537/100),ABS(D537*E537/F537)),"")</f>
        <v/>
      </c>
      <c r="H537" s="43" t="str">
        <f>IFERROR(G537*E517,"")</f>
        <v/>
      </c>
    </row>
    <row r="538" spans="1:11">
      <c r="A538" s="35"/>
      <c r="B538" s="36"/>
      <c r="C538" s="37" t="str">
        <f t="array" ref="C538">IFERROR(_xlfn.XLOOKUP(B538,MObra[[#All],[DESCRIPCION]],MObra[[#All],[UN]],,0),"")</f>
        <v/>
      </c>
      <c r="D538" s="38"/>
      <c r="E538" s="39" t="str">
        <f>IFERROR(_xlfn.XLOOKUP($B538,MObra[DESCRIPCION],MObra[VALOR UNIT],,0),"")</f>
        <v/>
      </c>
      <c r="F538" s="40"/>
      <c r="G538" s="41" t="str">
        <f>IFERROR(IF(F538&gt;=0,D538*E538*(1+F538/100),ABS(D538*E538/F538)),"")</f>
        <v/>
      </c>
      <c r="H538" s="42" t="str">
        <f>IFERROR(G538*E517,"")</f>
        <v/>
      </c>
    </row>
    <row r="540" spans="1:11">
      <c r="A540" s="6" t="s">
        <v>651</v>
      </c>
      <c r="B540" s="7" t="str">
        <f>VLOOKUP($A540,Presupuesto!$A:$D,2,FALSE())</f>
        <v>Muro en Superboard 8 mm (1 cara)</v>
      </c>
      <c r="C540" s="8" t="str">
        <f>VLOOKUP($A540,Presupuesto!$A:$D,3,FALSE())</f>
        <v>M2</v>
      </c>
      <c r="D540" s="9"/>
      <c r="E540" s="10">
        <f>VLOOKUP($A540,Presupuesto!$A:$D,4,FALSE())</f>
        <v>0</v>
      </c>
      <c r="F540" s="11" t="s">
        <v>2589</v>
      </c>
      <c r="G540" s="12">
        <f>SUM(G542:G561)/2</f>
        <v>106477.66785450002</v>
      </c>
      <c r="H540" s="13">
        <f>ROUND(SUM(H542:H561),0)/2</f>
        <v>0</v>
      </c>
      <c r="I540" s="10">
        <f>VLOOKUP(A540,Presupuesto!$A:$F,6,0)</f>
        <v>0</v>
      </c>
      <c r="J540" s="10">
        <f>+H540-I540</f>
        <v>0</v>
      </c>
      <c r="K540" s="46">
        <f>+H540-G540*E540</f>
        <v>0</v>
      </c>
    </row>
    <row r="541" spans="1:11">
      <c r="A541" s="14"/>
      <c r="B541" s="15" t="s">
        <v>2586</v>
      </c>
      <c r="C541" s="15" t="s">
        <v>5</v>
      </c>
      <c r="D541" s="16" t="s">
        <v>6</v>
      </c>
      <c r="E541" s="17" t="s">
        <v>7</v>
      </c>
      <c r="F541" s="18" t="s">
        <v>3728</v>
      </c>
      <c r="G541" s="19" t="s">
        <v>3729</v>
      </c>
      <c r="H541" s="20" t="s">
        <v>3797</v>
      </c>
    </row>
    <row r="542" spans="1:11">
      <c r="A542" s="21"/>
      <c r="B542" s="22" t="s">
        <v>3730</v>
      </c>
      <c r="C542" s="23"/>
      <c r="D542" s="24"/>
      <c r="E542" s="25"/>
      <c r="F542" s="26"/>
      <c r="G542" s="27">
        <f>SUM(G543:G550)</f>
        <v>50854.688850000013</v>
      </c>
      <c r="H542" s="27">
        <f>IFERROR(G542*E540,"")</f>
        <v>0</v>
      </c>
    </row>
    <row r="543" spans="1:11">
      <c r="A543" s="28"/>
      <c r="B543" s="29" t="s">
        <v>3029</v>
      </c>
      <c r="C543" s="30" t="str">
        <f>IFERROR(_xlfn.XLOOKUP(B543,Insumo[DESCRIPCION],Insumo[UND],,0),"")</f>
        <v>Un</v>
      </c>
      <c r="D543" s="31">
        <v>0.34</v>
      </c>
      <c r="E543" s="32">
        <f>IFERROR(_xlfn.XLOOKUP($B543,Insumo[DESCRIPCION],Insumo[VALOR],,0),"")</f>
        <v>82845</v>
      </c>
      <c r="F543" s="33">
        <v>5</v>
      </c>
      <c r="G543" s="34">
        <f t="shared" ref="G543:G550" si="8">IFERROR(IF(F543&gt;=0,D543*E543*(1+F543/100),ABS(D543*E543/F543)),"")</f>
        <v>29575.665000000005</v>
      </c>
      <c r="H543" s="43">
        <f>IFERROR(G543*E540,"")</f>
        <v>0</v>
      </c>
    </row>
    <row r="544" spans="1:11">
      <c r="A544" s="28"/>
      <c r="B544" s="29" t="s">
        <v>2814</v>
      </c>
      <c r="C544" s="30" t="str">
        <f>IFERROR(_xlfn.XLOOKUP(B544,Insumo[DESCRIPCION],Insumo[UND],,0),"")</f>
        <v>Un</v>
      </c>
      <c r="D544" s="31">
        <v>0.34</v>
      </c>
      <c r="E544" s="32">
        <f>IFERROR(_xlfn.XLOOKUP($B544,Insumo[DESCRIPCION],Insumo[VALOR],,0),"")</f>
        <v>10343.550000000001</v>
      </c>
      <c r="F544" s="33">
        <v>5</v>
      </c>
      <c r="G544" s="34">
        <f t="shared" si="8"/>
        <v>3692.6473500000011</v>
      </c>
      <c r="H544" s="43">
        <f>IFERROR(G544*E540,"")</f>
        <v>0</v>
      </c>
    </row>
    <row r="545" spans="1:8">
      <c r="A545" s="28"/>
      <c r="B545" s="29" t="s">
        <v>3187</v>
      </c>
      <c r="C545" s="30" t="str">
        <f>IFERROR(_xlfn.XLOOKUP(B545,Insumo[DESCRIPCION],Insumo[UND],,0),"")</f>
        <v>Un</v>
      </c>
      <c r="D545" s="31">
        <v>0.76</v>
      </c>
      <c r="E545" s="32">
        <f>IFERROR(_xlfn.XLOOKUP($B545,Insumo[DESCRIPCION],Insumo[VALOR],,0),"")</f>
        <v>12332.25</v>
      </c>
      <c r="F545" s="33">
        <v>5</v>
      </c>
      <c r="G545" s="34">
        <f t="shared" si="8"/>
        <v>9841.1355000000003</v>
      </c>
      <c r="H545" s="43">
        <f>IFERROR(G545*E540,"")</f>
        <v>0</v>
      </c>
    </row>
    <row r="546" spans="1:8">
      <c r="A546" s="28"/>
      <c r="B546" s="29" t="s">
        <v>2850</v>
      </c>
      <c r="C546" s="30" t="str">
        <f>IFERROR(_xlfn.XLOOKUP(B546,Insumo[DESCRIPCION],Insumo[UND],,0),"")</f>
        <v>M</v>
      </c>
      <c r="D546" s="31">
        <v>1</v>
      </c>
      <c r="E546" s="32">
        <f>IFERROR(_xlfn.XLOOKUP($B546,Insumo[DESCRIPCION],Insumo[VALOR],,0),"")</f>
        <v>511.35</v>
      </c>
      <c r="F546" s="33"/>
      <c r="G546" s="34">
        <f t="shared" si="8"/>
        <v>511.35</v>
      </c>
      <c r="H546" s="43">
        <f>IFERROR(G546*E540,"")</f>
        <v>0</v>
      </c>
    </row>
    <row r="547" spans="1:8">
      <c r="A547" s="28"/>
      <c r="B547" s="29" t="s">
        <v>3309</v>
      </c>
      <c r="C547" s="30" t="str">
        <f>IFERROR(_xlfn.XLOOKUP(B547,Insumo[DESCRIPCION],Insumo[UND],,0),"")</f>
        <v>Un</v>
      </c>
      <c r="D547" s="31">
        <v>0.09</v>
      </c>
      <c r="E547" s="32">
        <f>IFERROR(_xlfn.XLOOKUP($B547,Insumo[DESCRIPCION],Insumo[VALOR],,0),"")</f>
        <v>56717.850000000006</v>
      </c>
      <c r="F547" s="33"/>
      <c r="G547" s="34">
        <f t="shared" si="8"/>
        <v>5104.6065000000008</v>
      </c>
      <c r="H547" s="43">
        <f>IFERROR(G547*E540,"")</f>
        <v>0</v>
      </c>
    </row>
    <row r="548" spans="1:8">
      <c r="A548" s="28"/>
      <c r="B548" s="29" t="s">
        <v>3404</v>
      </c>
      <c r="C548" s="30" t="str">
        <f>IFERROR(_xlfn.XLOOKUP(B548,Insumo[DESCRIPCION],Insumo[UND],,0),"")</f>
        <v>Un</v>
      </c>
      <c r="D548" s="31">
        <v>9</v>
      </c>
      <c r="E548" s="32">
        <f>IFERROR(_xlfn.XLOOKUP($B548,Insumo[DESCRIPCION],Insumo[VALOR],,0),"")</f>
        <v>43.050000000000004</v>
      </c>
      <c r="F548" s="33"/>
      <c r="G548" s="34">
        <f t="shared" si="8"/>
        <v>387.45000000000005</v>
      </c>
      <c r="H548" s="43">
        <f>IFERROR(G548*E540,"")</f>
        <v>0</v>
      </c>
    </row>
    <row r="549" spans="1:8">
      <c r="A549" s="28"/>
      <c r="B549" s="29" t="s">
        <v>3406</v>
      </c>
      <c r="C549" s="30" t="str">
        <f>IFERROR(_xlfn.XLOOKUP(B549,Insumo[DESCRIPCION],Insumo[UND],,0),"")</f>
        <v>Un</v>
      </c>
      <c r="D549" s="31">
        <v>3</v>
      </c>
      <c r="E549" s="32">
        <f>IFERROR(_xlfn.XLOOKUP($B549,Insumo[DESCRIPCION],Insumo[VALOR],,0),"")</f>
        <v>44.1</v>
      </c>
      <c r="F549" s="33"/>
      <c r="G549" s="34">
        <f t="shared" si="8"/>
        <v>132.30000000000001</v>
      </c>
      <c r="H549" s="43">
        <f>IFERROR(G549*E540,"")</f>
        <v>0</v>
      </c>
    </row>
    <row r="550" spans="1:8">
      <c r="A550" s="28"/>
      <c r="B550" s="29" t="s">
        <v>3159</v>
      </c>
      <c r="C550" s="30" t="str">
        <f>IFERROR(_xlfn.XLOOKUP(B550,Insumo[DESCRIPCION],Insumo[UND],,0),"")</f>
        <v>Kg</v>
      </c>
      <c r="D550" s="31">
        <v>0.17</v>
      </c>
      <c r="E550" s="32">
        <f>IFERROR(_xlfn.XLOOKUP($B550,Insumo[DESCRIPCION],Insumo[VALOR],,0),"")</f>
        <v>9467.85</v>
      </c>
      <c r="F550" s="33"/>
      <c r="G550" s="34">
        <f t="shared" si="8"/>
        <v>1609.5345000000002</v>
      </c>
      <c r="H550" s="43">
        <f>IFERROR(G550*E540,"")</f>
        <v>0</v>
      </c>
    </row>
    <row r="551" spans="1:8">
      <c r="A551" s="21"/>
      <c r="B551" s="22" t="s">
        <v>3731</v>
      </c>
      <c r="C551" s="23"/>
      <c r="D551" s="24"/>
      <c r="E551" s="25"/>
      <c r="F551" s="26"/>
      <c r="G551" s="27">
        <f>SUM(G552:G554)</f>
        <v>7255.1711745000011</v>
      </c>
      <c r="H551" s="44">
        <f>G551*E540</f>
        <v>0</v>
      </c>
    </row>
    <row r="552" spans="1:8">
      <c r="A552" s="28"/>
      <c r="B552" s="29" t="s">
        <v>3573</v>
      </c>
      <c r="C552" s="30" t="str">
        <f>IFERROR(_xlfn.XLOOKUP(B552,Equipo[DESCRIPCION],Equipo[UND],,0),"")</f>
        <v>%MO</v>
      </c>
      <c r="D552" s="31">
        <v>0.1</v>
      </c>
      <c r="E552" s="32">
        <f>IF(C552="%MO",G558,IFERROR(_xlfn.XLOOKUP($B552,Equipo[DESCRIPCION],Equipo[VALOR],,0),""))</f>
        <v>48367.807830000012</v>
      </c>
      <c r="F552" s="33"/>
      <c r="G552" s="34">
        <f>IFERROR(IF(F552&gt;=0,D552*E552*(1+F552/100),ABS(D552*E552/F552)),"")</f>
        <v>4836.7807830000011</v>
      </c>
      <c r="H552" s="43">
        <f>IFERROR(G552*E540,"")</f>
        <v>0</v>
      </c>
    </row>
    <row r="553" spans="1:8">
      <c r="A553" s="28"/>
      <c r="B553" s="29" t="s">
        <v>3626</v>
      </c>
      <c r="C553" s="30" t="str">
        <f>IFERROR(_xlfn.XLOOKUP(B553,Equipo[DESCRIPCION],Equipo[UND],,0),"")</f>
        <v>%MO</v>
      </c>
      <c r="D553" s="31">
        <v>0.05</v>
      </c>
      <c r="E553" s="32">
        <f>IF(C553="%MO",G558,IFERROR(_xlfn.XLOOKUP($B553,Equipo[DESCRIPCION],Equipo[VALOR],,0),""))</f>
        <v>48367.807830000012</v>
      </c>
      <c r="F553" s="33"/>
      <c r="G553" s="34">
        <f>IFERROR(IF(F553&gt;=0,D553*E553*(1+F553/100),ABS(D553*E553/F553)),"")</f>
        <v>2418.3903915000005</v>
      </c>
      <c r="H553" s="43">
        <f>IFERROR(G553*E540,"")</f>
        <v>0</v>
      </c>
    </row>
    <row r="554" spans="1:8">
      <c r="A554" s="28"/>
      <c r="B554" s="29"/>
      <c r="C554" s="30" t="str">
        <f>IFERROR(_xlfn.XLOOKUP(B554,Equipo[DESCRIPCION],Equipo[UND],,0),"")</f>
        <v/>
      </c>
      <c r="D554" s="31"/>
      <c r="E554" s="32" t="str">
        <f>IF(C554="%MO",G558,IFERROR(_xlfn.XLOOKUP($B554,Equipo[DESCRIPCION],Equipo[VALOR],,0),""))</f>
        <v/>
      </c>
      <c r="F554" s="33"/>
      <c r="G554" s="34" t="str">
        <f>IFERROR(IF(F554&gt;=0,D554*E554*(1+F554/100),ABS(D554*E554/F554)),"")</f>
        <v/>
      </c>
      <c r="H554" s="43" t="str">
        <f>IFERROR(G554*E540,"")</f>
        <v/>
      </c>
    </row>
    <row r="555" spans="1:8">
      <c r="A555" s="21"/>
      <c r="B555" s="22" t="s">
        <v>2533</v>
      </c>
      <c r="C555" s="23"/>
      <c r="D555" s="24"/>
      <c r="E555" s="25"/>
      <c r="F555" s="26"/>
      <c r="G555" s="27">
        <f>SUM(G556:G557)</f>
        <v>0</v>
      </c>
      <c r="H555" s="44">
        <f>G555*E540</f>
        <v>0</v>
      </c>
    </row>
    <row r="556" spans="1:8">
      <c r="A556" s="28"/>
      <c r="B556" s="29"/>
      <c r="C556" s="30" t="str">
        <f>IFERROR(_xlfn.XLOOKUP(B556,Transporte[DESCRIPCION],Transporte[UND],,0),"")</f>
        <v/>
      </c>
      <c r="D556" s="31"/>
      <c r="E556" s="32" t="str">
        <f>IFERROR(_xlfn.XLOOKUP($B556,Transporte[DESCRIPCION],Transporte[VALOR],,0),"")</f>
        <v/>
      </c>
      <c r="F556" s="33"/>
      <c r="G556" s="34" t="str">
        <f>IFERROR(IF(F556&gt;=0,D556*E556*(1+F556/100),ABS(D556*E556/F556)),"")</f>
        <v/>
      </c>
      <c r="H556" s="43" t="str">
        <f>IFERROR(G556*E540,"")</f>
        <v/>
      </c>
    </row>
    <row r="557" spans="1:8">
      <c r="A557" s="28"/>
      <c r="B557" s="29"/>
      <c r="C557" s="30" t="str">
        <f>IFERROR(_xlfn.XLOOKUP(B557,Transporte[DESCRIPCION],Transporte[UND],,0),"")</f>
        <v/>
      </c>
      <c r="D557" s="31"/>
      <c r="E557" s="32" t="str">
        <f>IFERROR(_xlfn.XLOOKUP($B557,Transporte[DESCRIPCION],Transporte[VALOR],,0),"")</f>
        <v/>
      </c>
      <c r="F557" s="33"/>
      <c r="G557" s="34" t="str">
        <f>IFERROR(IF(F557&gt;=0,D557*E557*(1+F557/100),ABS(D557*E557/F557)),"")</f>
        <v/>
      </c>
      <c r="H557" s="43" t="str">
        <f>IFERROR(G557*E540,"")</f>
        <v/>
      </c>
    </row>
    <row r="558" spans="1:8">
      <c r="A558" s="21"/>
      <c r="B558" s="22" t="s">
        <v>3732</v>
      </c>
      <c r="C558" s="23"/>
      <c r="D558" s="24"/>
      <c r="E558" s="25"/>
      <c r="F558" s="26"/>
      <c r="G558" s="27">
        <f>SUM(G559:G561)</f>
        <v>48367.807830000012</v>
      </c>
      <c r="H558" s="44">
        <f>G558*E540</f>
        <v>0</v>
      </c>
    </row>
    <row r="559" spans="1:8">
      <c r="A559" s="28"/>
      <c r="B559" s="29" t="s">
        <v>3710</v>
      </c>
      <c r="C559" s="30" t="str">
        <f>IFERROR(_xlfn.XLOOKUP(B559,MObra[DESCRIPCION],MObra[UN],,0),"")</f>
        <v>día</v>
      </c>
      <c r="D559" s="31">
        <v>1</v>
      </c>
      <c r="E559" s="32">
        <f>IFERROR(_xlfn.XLOOKUP($B559,MObra[DESCRIPCION],MObra[VALOR UNIT],,0),"")</f>
        <v>314390.75089500006</v>
      </c>
      <c r="F559" s="33">
        <v>-6.5</v>
      </c>
      <c r="G559" s="34">
        <f>IFERROR(IF(F559&gt;=0,D559*E559*(1+F559/100),ABS(D559*E559/F559)),"")</f>
        <v>48367.807830000012</v>
      </c>
      <c r="H559" s="43">
        <f>IFERROR(G559*E540,"")</f>
        <v>0</v>
      </c>
    </row>
    <row r="560" spans="1:8">
      <c r="A560" s="28"/>
      <c r="B560" s="29"/>
      <c r="C560" s="30" t="str">
        <f t="array" ref="C560">IFERROR(_xlfn.XLOOKUP(B560,MObra[[#All],[DESCRIPCION]],MObra[[#All],[UN]],,0),"")</f>
        <v/>
      </c>
      <c r="D560" s="31"/>
      <c r="E560" s="32" t="str">
        <f>IFERROR(_xlfn.XLOOKUP($B560,MObra[DESCRIPCION],MObra[VALOR UNIT],,0),"")</f>
        <v/>
      </c>
      <c r="F560" s="33"/>
      <c r="G560" s="34" t="str">
        <f>IFERROR(IF(F560&gt;=0,D560*E560*(1+F560/100),ABS(D560*E560/F560)),"")</f>
        <v/>
      </c>
      <c r="H560" s="43" t="str">
        <f>IFERROR(G560*E540,"")</f>
        <v/>
      </c>
    </row>
    <row r="561" spans="1:11">
      <c r="A561" s="35"/>
      <c r="B561" s="36"/>
      <c r="C561" s="37" t="str">
        <f t="array" ref="C561">IFERROR(_xlfn.XLOOKUP(B561,MObra[[#All],[DESCRIPCION]],MObra[[#All],[UN]],,0),"")</f>
        <v/>
      </c>
      <c r="D561" s="38"/>
      <c r="E561" s="39" t="str">
        <f>IFERROR(_xlfn.XLOOKUP($B561,MObra[DESCRIPCION],MObra[VALOR UNIT],,0),"")</f>
        <v/>
      </c>
      <c r="F561" s="40"/>
      <c r="G561" s="41" t="str">
        <f>IFERROR(IF(F561&gt;=0,D561*E561*(1+F561/100),ABS(D561*E561/F561)),"")</f>
        <v/>
      </c>
      <c r="H561" s="42" t="str">
        <f>IFERROR(G561*E540,"")</f>
        <v/>
      </c>
    </row>
    <row r="563" spans="1:11">
      <c r="A563" s="6" t="s">
        <v>653</v>
      </c>
      <c r="B563" s="7" t="str">
        <f>VLOOKUP($A563,Presupuesto!$A:$D,2,FALSE())</f>
        <v>Muro en Superboard 8 mm (1 cara) + Gyplac (1 cara)</v>
      </c>
      <c r="C563" s="8" t="str">
        <f>VLOOKUP($A563,Presupuesto!$A:$D,3,FALSE())</f>
        <v>M2</v>
      </c>
      <c r="D563" s="9"/>
      <c r="E563" s="10">
        <f>VLOOKUP($A563,Presupuesto!$A:$D,4,FALSE())</f>
        <v>0</v>
      </c>
      <c r="F563" s="11" t="s">
        <v>2589</v>
      </c>
      <c r="G563" s="12">
        <f>SUM(G565:G585)/2</f>
        <v>133091.18276440911</v>
      </c>
      <c r="H563" s="13">
        <f>ROUND(SUM(H565:H585),0)/2</f>
        <v>0</v>
      </c>
      <c r="I563" s="10">
        <f>VLOOKUP(A563,Presupuesto!$A:$F,6,0)</f>
        <v>0</v>
      </c>
      <c r="J563" s="10">
        <f>+H563-I563</f>
        <v>0</v>
      </c>
      <c r="K563" s="46">
        <f>+H563-G563*E563</f>
        <v>0</v>
      </c>
    </row>
    <row r="564" spans="1:11">
      <c r="A564" s="14"/>
      <c r="B564" s="15" t="s">
        <v>2586</v>
      </c>
      <c r="C564" s="15" t="s">
        <v>5</v>
      </c>
      <c r="D564" s="16" t="s">
        <v>6</v>
      </c>
      <c r="E564" s="17" t="s">
        <v>7</v>
      </c>
      <c r="F564" s="18" t="s">
        <v>3728</v>
      </c>
      <c r="G564" s="19" t="s">
        <v>3729</v>
      </c>
      <c r="H564" s="20" t="s">
        <v>3797</v>
      </c>
    </row>
    <row r="565" spans="1:11">
      <c r="A565" s="21"/>
      <c r="B565" s="22" t="s">
        <v>3730</v>
      </c>
      <c r="C565" s="23"/>
      <c r="D565" s="24"/>
      <c r="E565" s="25"/>
      <c r="F565" s="26"/>
      <c r="G565" s="27">
        <f>SUM(G566:G574)</f>
        <v>67354.934850000005</v>
      </c>
      <c r="H565" s="27">
        <f>IFERROR(G565*E563,"")</f>
        <v>0</v>
      </c>
    </row>
    <row r="566" spans="1:11">
      <c r="A566" s="28"/>
      <c r="B566" s="29" t="s">
        <v>3028</v>
      </c>
      <c r="C566" s="30" t="str">
        <f>IFERROR(_xlfn.XLOOKUP(B566,Insumo[DESCRIPCION],Insumo[UND],,0),"")</f>
        <v>Un</v>
      </c>
      <c r="D566" s="31">
        <v>0.34</v>
      </c>
      <c r="E566" s="32">
        <f>IFERROR(_xlfn.XLOOKUP($B566,Insumo[DESCRIPCION],Insumo[VALOR],,0),"")</f>
        <v>62475</v>
      </c>
      <c r="F566" s="33">
        <v>5</v>
      </c>
      <c r="G566" s="34">
        <f t="shared" ref="G566:G574" si="9">IFERROR(IF(F566&gt;=0,D566*E566*(1+F566/100),ABS(D566*E566/F566)),"")</f>
        <v>22303.575000000001</v>
      </c>
      <c r="H566" s="43">
        <f>IFERROR(G566*E563,"")</f>
        <v>0</v>
      </c>
    </row>
    <row r="567" spans="1:11">
      <c r="A567" s="28"/>
      <c r="B567" s="29" t="s">
        <v>3030</v>
      </c>
      <c r="C567" s="30" t="str">
        <f>IFERROR(_xlfn.XLOOKUP(B567,Insumo[DESCRIPCION],Insumo[UND],,0),"")</f>
        <v>Un</v>
      </c>
      <c r="D567" s="31">
        <v>0.34</v>
      </c>
      <c r="E567" s="32">
        <f>IFERROR(_xlfn.XLOOKUP($B567,Insumo[DESCRIPCION],Insumo[VALOR],,0),"")</f>
        <v>50715</v>
      </c>
      <c r="F567" s="33">
        <v>5</v>
      </c>
      <c r="G567" s="34">
        <f t="shared" si="9"/>
        <v>18105.255000000005</v>
      </c>
      <c r="H567" s="43">
        <f>IFERROR(G567*E563,"")</f>
        <v>0</v>
      </c>
    </row>
    <row r="568" spans="1:11">
      <c r="A568" s="28"/>
      <c r="B568" s="29" t="s">
        <v>2814</v>
      </c>
      <c r="C568" s="30" t="str">
        <f>IFERROR(_xlfn.XLOOKUP(B568,Insumo[DESCRIPCION],Insumo[UND],,0),"")</f>
        <v>Un</v>
      </c>
      <c r="D568" s="31">
        <v>0.34</v>
      </c>
      <c r="E568" s="32">
        <f>IFERROR(_xlfn.XLOOKUP($B568,Insumo[DESCRIPCION],Insumo[VALOR],,0),"")</f>
        <v>10343.550000000001</v>
      </c>
      <c r="F568" s="33">
        <v>5</v>
      </c>
      <c r="G568" s="34">
        <f t="shared" si="9"/>
        <v>3692.6473500000011</v>
      </c>
      <c r="H568" s="43">
        <f>IFERROR(G568*E563,"")</f>
        <v>0</v>
      </c>
    </row>
    <row r="569" spans="1:11">
      <c r="A569" s="28"/>
      <c r="B569" s="29" t="s">
        <v>3187</v>
      </c>
      <c r="C569" s="30" t="str">
        <f>IFERROR(_xlfn.XLOOKUP(B569,Insumo[DESCRIPCION],Insumo[UND],,0),"")</f>
        <v>Un</v>
      </c>
      <c r="D569" s="31">
        <v>0.76</v>
      </c>
      <c r="E569" s="32">
        <f>IFERROR(_xlfn.XLOOKUP($B569,Insumo[DESCRIPCION],Insumo[VALOR],,0),"")</f>
        <v>12332.25</v>
      </c>
      <c r="F569" s="33"/>
      <c r="G569" s="34">
        <f t="shared" si="9"/>
        <v>9372.51</v>
      </c>
      <c r="H569" s="43">
        <f>IFERROR(G569*E563,"")</f>
        <v>0</v>
      </c>
    </row>
    <row r="570" spans="1:11">
      <c r="A570" s="28"/>
      <c r="B570" s="29" t="s">
        <v>2850</v>
      </c>
      <c r="C570" s="30" t="str">
        <f>IFERROR(_xlfn.XLOOKUP(B570,Insumo[DESCRIPCION],Insumo[UND],,0),"")</f>
        <v>M</v>
      </c>
      <c r="D570" s="31">
        <v>2</v>
      </c>
      <c r="E570" s="32">
        <f>IFERROR(_xlfn.XLOOKUP($B570,Insumo[DESCRIPCION],Insumo[VALOR],,0),"")</f>
        <v>511.35</v>
      </c>
      <c r="F570" s="33"/>
      <c r="G570" s="34">
        <f t="shared" si="9"/>
        <v>1022.7</v>
      </c>
      <c r="H570" s="43">
        <f>IFERROR(G570*E563,"")</f>
        <v>0</v>
      </c>
    </row>
    <row r="571" spans="1:11">
      <c r="A571" s="28"/>
      <c r="B571" s="29" t="s">
        <v>3309</v>
      </c>
      <c r="C571" s="30" t="str">
        <f>IFERROR(_xlfn.XLOOKUP(B571,Insumo[DESCRIPCION],Insumo[UND],,0),"")</f>
        <v>Un</v>
      </c>
      <c r="D571" s="31">
        <v>0.18</v>
      </c>
      <c r="E571" s="32">
        <f>IFERROR(_xlfn.XLOOKUP($B571,Insumo[DESCRIPCION],Insumo[VALOR],,0),"")</f>
        <v>56717.850000000006</v>
      </c>
      <c r="F571" s="33"/>
      <c r="G571" s="34">
        <f t="shared" si="9"/>
        <v>10209.213000000002</v>
      </c>
      <c r="H571" s="43">
        <f>IFERROR(G571*E563,"")</f>
        <v>0</v>
      </c>
    </row>
    <row r="572" spans="1:11">
      <c r="A572" s="28"/>
      <c r="B572" s="29" t="s">
        <v>3404</v>
      </c>
      <c r="C572" s="30" t="str">
        <f>IFERROR(_xlfn.XLOOKUP(B572,Insumo[DESCRIPCION],Insumo[UND],,0),"")</f>
        <v>Un</v>
      </c>
      <c r="D572" s="31">
        <v>18</v>
      </c>
      <c r="E572" s="32">
        <f>IFERROR(_xlfn.XLOOKUP($B572,Insumo[DESCRIPCION],Insumo[VALOR],,0),"")</f>
        <v>43.050000000000004</v>
      </c>
      <c r="F572" s="33"/>
      <c r="G572" s="34">
        <f t="shared" si="9"/>
        <v>774.90000000000009</v>
      </c>
      <c r="H572" s="43">
        <f>IFERROR(G572*E563,"")</f>
        <v>0</v>
      </c>
    </row>
    <row r="573" spans="1:11">
      <c r="A573" s="28"/>
      <c r="B573" s="29" t="s">
        <v>3406</v>
      </c>
      <c r="C573" s="30" t="str">
        <f>IFERROR(_xlfn.XLOOKUP(B573,Insumo[DESCRIPCION],Insumo[UND],,0),"")</f>
        <v>Un</v>
      </c>
      <c r="D573" s="31">
        <v>6</v>
      </c>
      <c r="E573" s="32">
        <f>IFERROR(_xlfn.XLOOKUP($B573,Insumo[DESCRIPCION],Insumo[VALOR],,0),"")</f>
        <v>44.1</v>
      </c>
      <c r="F573" s="33"/>
      <c r="G573" s="34">
        <f t="shared" si="9"/>
        <v>264.60000000000002</v>
      </c>
      <c r="H573" s="43">
        <f>IFERROR(G573*E563,"")</f>
        <v>0</v>
      </c>
    </row>
    <row r="574" spans="1:11">
      <c r="A574" s="28"/>
      <c r="B574" s="29" t="s">
        <v>3159</v>
      </c>
      <c r="C574" s="30" t="str">
        <f>IFERROR(_xlfn.XLOOKUP(B574,Insumo[DESCRIPCION],Insumo[UND],,0),"")</f>
        <v>Kg</v>
      </c>
      <c r="D574" s="31">
        <v>0.17</v>
      </c>
      <c r="E574" s="32">
        <f>IFERROR(_xlfn.XLOOKUP($B574,Insumo[DESCRIPCION],Insumo[VALOR],,0),"")</f>
        <v>9467.85</v>
      </c>
      <c r="F574" s="33"/>
      <c r="G574" s="34">
        <f t="shared" si="9"/>
        <v>1609.5345000000002</v>
      </c>
      <c r="H574" s="43">
        <f>IFERROR(G574*E563,"")</f>
        <v>0</v>
      </c>
    </row>
    <row r="575" spans="1:11">
      <c r="A575" s="21"/>
      <c r="B575" s="22" t="s">
        <v>3731</v>
      </c>
      <c r="C575" s="23"/>
      <c r="D575" s="24"/>
      <c r="E575" s="25"/>
      <c r="F575" s="26"/>
      <c r="G575" s="27">
        <f>SUM(G576:G578)</f>
        <v>8574.2932062272757</v>
      </c>
      <c r="H575" s="44">
        <f>G575*E563</f>
        <v>0</v>
      </c>
    </row>
    <row r="576" spans="1:11">
      <c r="A576" s="28"/>
      <c r="B576" s="29" t="s">
        <v>3573</v>
      </c>
      <c r="C576" s="30" t="str">
        <f>IFERROR(_xlfn.XLOOKUP(B576,Equipo[DESCRIPCION],Equipo[UND],,0),"")</f>
        <v>%MO</v>
      </c>
      <c r="D576" s="31">
        <v>0.1</v>
      </c>
      <c r="E576" s="32">
        <f>IF(C576="%MO",G582,IFERROR(_xlfn.XLOOKUP($B576,Equipo[DESCRIPCION],Equipo[VALOR],,0),""))</f>
        <v>57161.954708181831</v>
      </c>
      <c r="F576" s="33"/>
      <c r="G576" s="34">
        <f>IFERROR(IF(F576&gt;=0,D576*E576*(1+F576/100),ABS(D576*E576/F576)),"")</f>
        <v>5716.1954708181838</v>
      </c>
      <c r="H576" s="43">
        <f>IFERROR(G576*E563,"")</f>
        <v>0</v>
      </c>
    </row>
    <row r="577" spans="1:11">
      <c r="A577" s="28"/>
      <c r="B577" s="29" t="s">
        <v>3626</v>
      </c>
      <c r="C577" s="30" t="str">
        <f>IFERROR(_xlfn.XLOOKUP(B577,Equipo[DESCRIPCION],Equipo[UND],,0),"")</f>
        <v>%MO</v>
      </c>
      <c r="D577" s="31">
        <v>0.05</v>
      </c>
      <c r="E577" s="32">
        <f>IF(C577="%MO",G582,IFERROR(_xlfn.XLOOKUP($B577,Equipo[DESCRIPCION],Equipo[VALOR],,0),""))</f>
        <v>57161.954708181831</v>
      </c>
      <c r="F577" s="33"/>
      <c r="G577" s="34">
        <f>IFERROR(IF(F577&gt;=0,D577*E577*(1+F577/100),ABS(D577*E577/F577)),"")</f>
        <v>2858.0977354090919</v>
      </c>
      <c r="H577" s="43">
        <f>IFERROR(G577*E563,"")</f>
        <v>0</v>
      </c>
    </row>
    <row r="578" spans="1:11">
      <c r="A578" s="28"/>
      <c r="B578" s="29"/>
      <c r="C578" s="30" t="str">
        <f>IFERROR(_xlfn.XLOOKUP(B578,Equipo[DESCRIPCION],Equipo[UND],,0),"")</f>
        <v/>
      </c>
      <c r="D578" s="31"/>
      <c r="E578" s="32" t="str">
        <f>IF(C578="%MO",G582,IFERROR(_xlfn.XLOOKUP($B578,Equipo[DESCRIPCION],Equipo[VALOR],,0),""))</f>
        <v/>
      </c>
      <c r="F578" s="33"/>
      <c r="G578" s="34" t="str">
        <f>IFERROR(IF(F578&gt;=0,D578*E578*(1+F578/100),ABS(D578*E578/F578)),"")</f>
        <v/>
      </c>
      <c r="H578" s="43" t="str">
        <f>IFERROR(G578*E563,"")</f>
        <v/>
      </c>
    </row>
    <row r="579" spans="1:11">
      <c r="A579" s="21"/>
      <c r="B579" s="22" t="s">
        <v>2533</v>
      </c>
      <c r="C579" s="23"/>
      <c r="D579" s="24"/>
      <c r="E579" s="25"/>
      <c r="F579" s="26"/>
      <c r="G579" s="27">
        <f>SUM(G580:G581)</f>
        <v>0</v>
      </c>
      <c r="H579" s="44">
        <f>G579*E563</f>
        <v>0</v>
      </c>
    </row>
    <row r="580" spans="1:11">
      <c r="A580" s="28"/>
      <c r="B580" s="29"/>
      <c r="C580" s="30" t="str">
        <f>IFERROR(_xlfn.XLOOKUP(B580,Transporte[DESCRIPCION],Transporte[UND],,0),"")</f>
        <v/>
      </c>
      <c r="D580" s="31"/>
      <c r="E580" s="32" t="str">
        <f>IFERROR(_xlfn.XLOOKUP($B580,Transporte[DESCRIPCION],Transporte[VALOR],,0),"")</f>
        <v/>
      </c>
      <c r="F580" s="33"/>
      <c r="G580" s="34" t="str">
        <f>IFERROR(IF(F580&gt;=0,D580*E580*(1+F580/100),ABS(D580*E580/F580)),"")</f>
        <v/>
      </c>
      <c r="H580" s="43" t="str">
        <f>IFERROR(G580*E563,"")</f>
        <v/>
      </c>
    </row>
    <row r="581" spans="1:11">
      <c r="A581" s="28"/>
      <c r="B581" s="29"/>
      <c r="C581" s="30" t="str">
        <f>IFERROR(_xlfn.XLOOKUP(B581,Transporte[DESCRIPCION],Transporte[UND],,0),"")</f>
        <v/>
      </c>
      <c r="D581" s="31"/>
      <c r="E581" s="32" t="str">
        <f>IFERROR(_xlfn.XLOOKUP($B581,Transporte[DESCRIPCION],Transporte[VALOR],,0),"")</f>
        <v/>
      </c>
      <c r="F581" s="33"/>
      <c r="G581" s="34" t="str">
        <f>IFERROR(IF(F581&gt;=0,D581*E581*(1+F581/100),ABS(D581*E581/F581)),"")</f>
        <v/>
      </c>
      <c r="H581" s="43" t="str">
        <f>IFERROR(G581*E563,"")</f>
        <v/>
      </c>
    </row>
    <row r="582" spans="1:11">
      <c r="A582" s="21"/>
      <c r="B582" s="22" t="s">
        <v>3732</v>
      </c>
      <c r="C582" s="23"/>
      <c r="D582" s="24"/>
      <c r="E582" s="25"/>
      <c r="F582" s="26"/>
      <c r="G582" s="27">
        <f>SUM(G583:G585)</f>
        <v>57161.954708181831</v>
      </c>
      <c r="H582" s="44">
        <f>G582*E563</f>
        <v>0</v>
      </c>
    </row>
    <row r="583" spans="1:11">
      <c r="A583" s="28"/>
      <c r="B583" s="29" t="s">
        <v>3710</v>
      </c>
      <c r="C583" s="30" t="str">
        <f>IFERROR(_xlfn.XLOOKUP(B583,MObra[DESCRIPCION],MObra[UN],,0),"")</f>
        <v>día</v>
      </c>
      <c r="D583" s="31">
        <v>1</v>
      </c>
      <c r="E583" s="32">
        <f>IFERROR(_xlfn.XLOOKUP($B583,MObra[DESCRIPCION],MObra[VALOR UNIT],,0),"")</f>
        <v>314390.75089500006</v>
      </c>
      <c r="F583" s="33">
        <v>-5.5</v>
      </c>
      <c r="G583" s="34">
        <f>IFERROR(IF(F583&gt;=0,D583*E583*(1+F583/100),ABS(D583*E583/F583)),"")</f>
        <v>57161.954708181831</v>
      </c>
      <c r="H583" s="43">
        <f>IFERROR(G583*E563,"")</f>
        <v>0</v>
      </c>
    </row>
    <row r="584" spans="1:11">
      <c r="A584" s="28"/>
      <c r="B584" s="29"/>
      <c r="C584" s="30" t="str">
        <f t="array" ref="C584">IFERROR(_xlfn.XLOOKUP(B584,MObra[[#All],[DESCRIPCION]],MObra[[#All],[UN]],,0),"")</f>
        <v/>
      </c>
      <c r="D584" s="31"/>
      <c r="E584" s="32" t="str">
        <f>IFERROR(_xlfn.XLOOKUP($B584,MObra[DESCRIPCION],MObra[VALOR UNIT],,0),"")</f>
        <v/>
      </c>
      <c r="F584" s="33"/>
      <c r="G584" s="34" t="str">
        <f>IFERROR(IF(F584&gt;=0,D584*E584*(1+F584/100),ABS(D584*E584/F584)),"")</f>
        <v/>
      </c>
      <c r="H584" s="43" t="str">
        <f>IFERROR(G584*E563,"")</f>
        <v/>
      </c>
    </row>
    <row r="585" spans="1:11">
      <c r="A585" s="35"/>
      <c r="B585" s="36"/>
      <c r="C585" s="37" t="str">
        <f t="array" ref="C585">IFERROR(_xlfn.XLOOKUP(B585,MObra[[#All],[DESCRIPCION]],MObra[[#All],[UN]],,0),"")</f>
        <v/>
      </c>
      <c r="D585" s="38"/>
      <c r="E585" s="39" t="str">
        <f>IFERROR(_xlfn.XLOOKUP($B585,MObra[DESCRIPCION],MObra[VALOR UNIT],,0),"")</f>
        <v/>
      </c>
      <c r="F585" s="40"/>
      <c r="G585" s="41" t="str">
        <f>IFERROR(IF(F585&gt;=0,D585*E585*(1+F585/100),ABS(D585*E585/F585)),"")</f>
        <v/>
      </c>
      <c r="H585" s="42" t="str">
        <f>IFERROR(G585*E563,"")</f>
        <v/>
      </c>
    </row>
    <row r="587" spans="1:11">
      <c r="A587" s="6" t="s">
        <v>655</v>
      </c>
      <c r="B587" s="7" t="str">
        <f>VLOOKUP($A587,Presupuesto!$A:$D,2,FALSE())</f>
        <v>Muro en Superboard 8 mm (2 caras)</v>
      </c>
      <c r="C587" s="8" t="str">
        <f>VLOOKUP($A587,Presupuesto!$A:$D,3,FALSE())</f>
        <v>M2</v>
      </c>
      <c r="D587" s="9"/>
      <c r="E587" s="10">
        <f>VLOOKUP($A587,Presupuesto!$A:$D,4,FALSE())</f>
        <v>0</v>
      </c>
      <c r="F587" s="11" t="s">
        <v>2589</v>
      </c>
      <c r="G587" s="12">
        <f>SUM(G589:G608)/2</f>
        <v>159615.59505585002</v>
      </c>
      <c r="H587" s="13">
        <f>ROUND(SUM(H589:H608),0)/2</f>
        <v>0</v>
      </c>
      <c r="I587" s="10">
        <f>VLOOKUP(A587,Presupuesto!$A:$F,6,0)</f>
        <v>0</v>
      </c>
      <c r="J587" s="10">
        <f>+H587-I587</f>
        <v>0</v>
      </c>
      <c r="K587" s="46">
        <f>+H587-G587*E587</f>
        <v>0</v>
      </c>
    </row>
    <row r="588" spans="1:11">
      <c r="A588" s="14"/>
      <c r="B588" s="15" t="s">
        <v>2586</v>
      </c>
      <c r="C588" s="15" t="s">
        <v>5</v>
      </c>
      <c r="D588" s="16" t="s">
        <v>6</v>
      </c>
      <c r="E588" s="17" t="s">
        <v>7</v>
      </c>
      <c r="F588" s="18" t="s">
        <v>3728</v>
      </c>
      <c r="G588" s="19" t="s">
        <v>3729</v>
      </c>
      <c r="H588" s="20" t="s">
        <v>3797</v>
      </c>
    </row>
    <row r="589" spans="1:11">
      <c r="A589" s="21"/>
      <c r="B589" s="22" t="s">
        <v>3730</v>
      </c>
      <c r="C589" s="23"/>
      <c r="D589" s="24"/>
      <c r="E589" s="25"/>
      <c r="F589" s="26"/>
      <c r="G589" s="27">
        <f>SUM(G590:G597)</f>
        <v>87305.722350000011</v>
      </c>
      <c r="H589" s="27">
        <f>IFERROR(G589*E587,"")</f>
        <v>0</v>
      </c>
    </row>
    <row r="590" spans="1:11">
      <c r="A590" s="28"/>
      <c r="B590" s="29" t="s">
        <v>3029</v>
      </c>
      <c r="C590" s="30" t="str">
        <f>IFERROR(_xlfn.XLOOKUP(B590,Insumo[DESCRIPCION],Insumo[UND],,0),"")</f>
        <v>Un</v>
      </c>
      <c r="D590" s="31">
        <v>0.67</v>
      </c>
      <c r="E590" s="32">
        <f>IFERROR(_xlfn.XLOOKUP($B590,Insumo[DESCRIPCION],Insumo[VALOR],,0),"")</f>
        <v>82845</v>
      </c>
      <c r="F590" s="33">
        <v>5</v>
      </c>
      <c r="G590" s="34">
        <f t="shared" ref="G590:G597" si="10">IFERROR(IF(F590&gt;=0,D590*E590*(1+F590/100),ABS(D590*E590/F590)),"")</f>
        <v>58281.457500000004</v>
      </c>
      <c r="H590" s="43">
        <f>IFERROR(G590*E587,"")</f>
        <v>0</v>
      </c>
    </row>
    <row r="591" spans="1:11">
      <c r="A591" s="28"/>
      <c r="B591" s="29" t="s">
        <v>2814</v>
      </c>
      <c r="C591" s="30" t="str">
        <f>IFERROR(_xlfn.XLOOKUP(B591,Insumo[DESCRIPCION],Insumo[UND],,0),"")</f>
        <v>Un</v>
      </c>
      <c r="D591" s="31">
        <v>0.34</v>
      </c>
      <c r="E591" s="32">
        <f>IFERROR(_xlfn.XLOOKUP($B591,Insumo[DESCRIPCION],Insumo[VALOR],,0),"")</f>
        <v>10343.550000000001</v>
      </c>
      <c r="F591" s="33">
        <v>5</v>
      </c>
      <c r="G591" s="34">
        <f t="shared" si="10"/>
        <v>3692.6473500000011</v>
      </c>
      <c r="H591" s="43">
        <f>IFERROR(G591*E587,"")</f>
        <v>0</v>
      </c>
    </row>
    <row r="592" spans="1:11">
      <c r="A592" s="28"/>
      <c r="B592" s="29" t="s">
        <v>3187</v>
      </c>
      <c r="C592" s="30" t="str">
        <f>IFERROR(_xlfn.XLOOKUP(B592,Insumo[DESCRIPCION],Insumo[UND],,0),"")</f>
        <v>Un</v>
      </c>
      <c r="D592" s="31">
        <v>0.76</v>
      </c>
      <c r="E592" s="32">
        <f>IFERROR(_xlfn.XLOOKUP($B592,Insumo[DESCRIPCION],Insumo[VALOR],,0),"")</f>
        <v>12332.25</v>
      </c>
      <c r="F592" s="33">
        <v>5</v>
      </c>
      <c r="G592" s="34">
        <f t="shared" si="10"/>
        <v>9841.1355000000003</v>
      </c>
      <c r="H592" s="43">
        <f>IFERROR(G592*E587,"")</f>
        <v>0</v>
      </c>
    </row>
    <row r="593" spans="1:8">
      <c r="A593" s="28"/>
      <c r="B593" s="29" t="s">
        <v>2850</v>
      </c>
      <c r="C593" s="30" t="str">
        <f>IFERROR(_xlfn.XLOOKUP(B593,Insumo[DESCRIPCION],Insumo[UND],,0),"")</f>
        <v>M</v>
      </c>
      <c r="D593" s="31">
        <v>2</v>
      </c>
      <c r="E593" s="32">
        <f>IFERROR(_xlfn.XLOOKUP($B593,Insumo[DESCRIPCION],Insumo[VALOR],,0),"")</f>
        <v>511.35</v>
      </c>
      <c r="F593" s="33"/>
      <c r="G593" s="34">
        <f t="shared" si="10"/>
        <v>1022.7</v>
      </c>
      <c r="H593" s="43">
        <f>IFERROR(G593*E587,"")</f>
        <v>0</v>
      </c>
    </row>
    <row r="594" spans="1:8">
      <c r="A594" s="28"/>
      <c r="B594" s="29" t="s">
        <v>3309</v>
      </c>
      <c r="C594" s="30" t="str">
        <f>IFERROR(_xlfn.XLOOKUP(B594,Insumo[DESCRIPCION],Insumo[UND],,0),"")</f>
        <v>Un</v>
      </c>
      <c r="D594" s="31">
        <v>0.18</v>
      </c>
      <c r="E594" s="32">
        <f>IFERROR(_xlfn.XLOOKUP($B594,Insumo[DESCRIPCION],Insumo[VALOR],,0),"")</f>
        <v>56717.850000000006</v>
      </c>
      <c r="F594" s="33"/>
      <c r="G594" s="34">
        <f t="shared" si="10"/>
        <v>10209.213000000002</v>
      </c>
      <c r="H594" s="43">
        <f>IFERROR(G594*E587,"")</f>
        <v>0</v>
      </c>
    </row>
    <row r="595" spans="1:8">
      <c r="A595" s="28"/>
      <c r="B595" s="29" t="s">
        <v>3404</v>
      </c>
      <c r="C595" s="30" t="str">
        <f>IFERROR(_xlfn.XLOOKUP(B595,Insumo[DESCRIPCION],Insumo[UND],,0),"")</f>
        <v>Un</v>
      </c>
      <c r="D595" s="31">
        <v>18</v>
      </c>
      <c r="E595" s="32">
        <f>IFERROR(_xlfn.XLOOKUP($B595,Insumo[DESCRIPCION],Insumo[VALOR],,0),"")</f>
        <v>43.050000000000004</v>
      </c>
      <c r="F595" s="33"/>
      <c r="G595" s="34">
        <f t="shared" si="10"/>
        <v>774.90000000000009</v>
      </c>
      <c r="H595" s="43">
        <f>IFERROR(G595*E587,"")</f>
        <v>0</v>
      </c>
    </row>
    <row r="596" spans="1:8">
      <c r="A596" s="28"/>
      <c r="B596" s="29" t="s">
        <v>3406</v>
      </c>
      <c r="C596" s="30" t="str">
        <f>IFERROR(_xlfn.XLOOKUP(B596,Insumo[DESCRIPCION],Insumo[UND],,0),"")</f>
        <v>Un</v>
      </c>
      <c r="D596" s="31">
        <v>6</v>
      </c>
      <c r="E596" s="32">
        <f>IFERROR(_xlfn.XLOOKUP($B596,Insumo[DESCRIPCION],Insumo[VALOR],,0),"")</f>
        <v>44.1</v>
      </c>
      <c r="F596" s="33"/>
      <c r="G596" s="34">
        <f t="shared" si="10"/>
        <v>264.60000000000002</v>
      </c>
      <c r="H596" s="43">
        <f>IFERROR(G596*E587,"")</f>
        <v>0</v>
      </c>
    </row>
    <row r="597" spans="1:8">
      <c r="A597" s="28"/>
      <c r="B597" s="29" t="s">
        <v>3159</v>
      </c>
      <c r="C597" s="30" t="str">
        <f>IFERROR(_xlfn.XLOOKUP(B597,Insumo[DESCRIPCION],Insumo[UND],,0),"")</f>
        <v>Kg</v>
      </c>
      <c r="D597" s="31">
        <v>0.34</v>
      </c>
      <c r="E597" s="32">
        <f>IFERROR(_xlfn.XLOOKUP($B597,Insumo[DESCRIPCION],Insumo[VALOR],,0),"")</f>
        <v>9467.85</v>
      </c>
      <c r="F597" s="33"/>
      <c r="G597" s="34">
        <f t="shared" si="10"/>
        <v>3219.0690000000004</v>
      </c>
      <c r="H597" s="43">
        <f>IFERROR(G597*E587,"")</f>
        <v>0</v>
      </c>
    </row>
    <row r="598" spans="1:8">
      <c r="A598" s="21"/>
      <c r="B598" s="22" t="s">
        <v>3731</v>
      </c>
      <c r="C598" s="23"/>
      <c r="D598" s="24"/>
      <c r="E598" s="25"/>
      <c r="F598" s="26"/>
      <c r="G598" s="27">
        <f>SUM(G599:G601)</f>
        <v>9431.7225268500024</v>
      </c>
      <c r="H598" s="44">
        <f>G598*E587</f>
        <v>0</v>
      </c>
    </row>
    <row r="599" spans="1:8">
      <c r="A599" s="28"/>
      <c r="B599" s="29" t="s">
        <v>3573</v>
      </c>
      <c r="C599" s="30" t="str">
        <f>IFERROR(_xlfn.XLOOKUP(B599,Equipo[DESCRIPCION],Equipo[UND],,0),"")</f>
        <v>%MO</v>
      </c>
      <c r="D599" s="31">
        <v>0.1</v>
      </c>
      <c r="E599" s="32">
        <f>IF(C599="%MO",G605,IFERROR(_xlfn.XLOOKUP($B599,Equipo[DESCRIPCION],Equipo[VALOR],,0),""))</f>
        <v>62878.150179000011</v>
      </c>
      <c r="F599" s="33"/>
      <c r="G599" s="34">
        <f>IFERROR(IF(F599&gt;=0,D599*E599*(1+F599/100),ABS(D599*E599/F599)),"")</f>
        <v>6287.8150179000013</v>
      </c>
      <c r="H599" s="43">
        <f>IFERROR(G599*E587,"")</f>
        <v>0</v>
      </c>
    </row>
    <row r="600" spans="1:8">
      <c r="A600" s="28"/>
      <c r="B600" s="29" t="s">
        <v>3626</v>
      </c>
      <c r="C600" s="30" t="str">
        <f>IFERROR(_xlfn.XLOOKUP(B600,Equipo[DESCRIPCION],Equipo[UND],,0),"")</f>
        <v>%MO</v>
      </c>
      <c r="D600" s="31">
        <v>0.05</v>
      </c>
      <c r="E600" s="32">
        <f>IF(C600="%MO",G605,IFERROR(_xlfn.XLOOKUP($B600,Equipo[DESCRIPCION],Equipo[VALOR],,0),""))</f>
        <v>62878.150179000011</v>
      </c>
      <c r="F600" s="33"/>
      <c r="G600" s="34">
        <f>IFERROR(IF(F600&gt;=0,D600*E600*(1+F600/100),ABS(D600*E600/F600)),"")</f>
        <v>3143.9075089500006</v>
      </c>
      <c r="H600" s="43">
        <f>IFERROR(G600*E587,"")</f>
        <v>0</v>
      </c>
    </row>
    <row r="601" spans="1:8">
      <c r="A601" s="28"/>
      <c r="B601" s="29"/>
      <c r="C601" s="30" t="str">
        <f>IFERROR(_xlfn.XLOOKUP(B601,Equipo[DESCRIPCION],Equipo[UND],,0),"")</f>
        <v/>
      </c>
      <c r="D601" s="31"/>
      <c r="E601" s="32" t="str">
        <f>IF(C601="%MO",G605,IFERROR(_xlfn.XLOOKUP($B601,Equipo[DESCRIPCION],Equipo[VALOR],,0),""))</f>
        <v/>
      </c>
      <c r="F601" s="33"/>
      <c r="G601" s="34" t="str">
        <f>IFERROR(IF(F601&gt;=0,D601*E601*(1+F601/100),ABS(D601*E601/F601)),"")</f>
        <v/>
      </c>
      <c r="H601" s="43" t="str">
        <f>IFERROR(G601*E587,"")</f>
        <v/>
      </c>
    </row>
    <row r="602" spans="1:8">
      <c r="A602" s="21"/>
      <c r="B602" s="22" t="s">
        <v>2533</v>
      </c>
      <c r="C602" s="23"/>
      <c r="D602" s="24"/>
      <c r="E602" s="25"/>
      <c r="F602" s="26"/>
      <c r="G602" s="27">
        <f>SUM(G603:G604)</f>
        <v>0</v>
      </c>
      <c r="H602" s="44">
        <f>G602*E587</f>
        <v>0</v>
      </c>
    </row>
    <row r="603" spans="1:8">
      <c r="A603" s="28"/>
      <c r="B603" s="29"/>
      <c r="C603" s="30" t="str">
        <f>IFERROR(_xlfn.XLOOKUP(B603,Transporte[DESCRIPCION],Transporte[UND],,0),"")</f>
        <v/>
      </c>
      <c r="D603" s="31"/>
      <c r="E603" s="32" t="str">
        <f>IFERROR(_xlfn.XLOOKUP($B603,Transporte[DESCRIPCION],Transporte[VALOR],,0),"")</f>
        <v/>
      </c>
      <c r="F603" s="33"/>
      <c r="G603" s="34" t="str">
        <f>IFERROR(IF(F603&gt;=0,D603*E603*(1+F603/100),ABS(D603*E603/F603)),"")</f>
        <v/>
      </c>
      <c r="H603" s="43" t="str">
        <f>IFERROR(G603*E587,"")</f>
        <v/>
      </c>
    </row>
    <row r="604" spans="1:8">
      <c r="A604" s="28"/>
      <c r="B604" s="29"/>
      <c r="C604" s="30" t="str">
        <f>IFERROR(_xlfn.XLOOKUP(B604,Transporte[DESCRIPCION],Transporte[UND],,0),"")</f>
        <v/>
      </c>
      <c r="D604" s="31"/>
      <c r="E604" s="32" t="str">
        <f>IFERROR(_xlfn.XLOOKUP($B604,Transporte[DESCRIPCION],Transporte[VALOR],,0),"")</f>
        <v/>
      </c>
      <c r="F604" s="33"/>
      <c r="G604" s="34" t="str">
        <f>IFERROR(IF(F604&gt;=0,D604*E604*(1+F604/100),ABS(D604*E604/F604)),"")</f>
        <v/>
      </c>
      <c r="H604" s="43" t="str">
        <f>IFERROR(G604*E587,"")</f>
        <v/>
      </c>
    </row>
    <row r="605" spans="1:8">
      <c r="A605" s="21"/>
      <c r="B605" s="22" t="s">
        <v>3732</v>
      </c>
      <c r="C605" s="23"/>
      <c r="D605" s="24"/>
      <c r="E605" s="25"/>
      <c r="F605" s="26"/>
      <c r="G605" s="27">
        <f>SUM(G606:G608)</f>
        <v>62878.150179000011</v>
      </c>
      <c r="H605" s="44">
        <f>G605*E587</f>
        <v>0</v>
      </c>
    </row>
    <row r="606" spans="1:8">
      <c r="A606" s="28"/>
      <c r="B606" s="29" t="s">
        <v>3710</v>
      </c>
      <c r="C606" s="30" t="str">
        <f>IFERROR(_xlfn.XLOOKUP(B606,MObra[DESCRIPCION],MObra[UN],,0),"")</f>
        <v>día</v>
      </c>
      <c r="D606" s="31">
        <v>1</v>
      </c>
      <c r="E606" s="32">
        <f>IFERROR(_xlfn.XLOOKUP($B606,MObra[DESCRIPCION],MObra[VALOR UNIT],,0),"")</f>
        <v>314390.75089500006</v>
      </c>
      <c r="F606" s="33">
        <v>-5</v>
      </c>
      <c r="G606" s="34">
        <f>IFERROR(IF(F606&gt;=0,D606*E606*(1+F606/100),ABS(D606*E606/F606)),"")</f>
        <v>62878.150179000011</v>
      </c>
      <c r="H606" s="43">
        <f>IFERROR(G606*E587,"")</f>
        <v>0</v>
      </c>
    </row>
    <row r="607" spans="1:8">
      <c r="A607" s="28"/>
      <c r="B607" s="29"/>
      <c r="C607" s="30" t="str">
        <f t="array" ref="C607">IFERROR(_xlfn.XLOOKUP(B607,MObra[[#All],[DESCRIPCION]],MObra[[#All],[UN]],,0),"")</f>
        <v/>
      </c>
      <c r="D607" s="31"/>
      <c r="E607" s="32" t="str">
        <f>IFERROR(_xlfn.XLOOKUP($B607,MObra[DESCRIPCION],MObra[VALOR UNIT],,0),"")</f>
        <v/>
      </c>
      <c r="F607" s="33"/>
      <c r="G607" s="34" t="str">
        <f>IFERROR(IF(F607&gt;=0,D607*E607*(1+F607/100),ABS(D607*E607/F607)),"")</f>
        <v/>
      </c>
      <c r="H607" s="43" t="str">
        <f>IFERROR(G607*E587,"")</f>
        <v/>
      </c>
    </row>
    <row r="608" spans="1:8">
      <c r="A608" s="35"/>
      <c r="B608" s="36"/>
      <c r="C608" s="37" t="str">
        <f t="array" ref="C608">IFERROR(_xlfn.XLOOKUP(B608,MObra[[#All],[DESCRIPCION]],MObra[[#All],[UN]],,0),"")</f>
        <v/>
      </c>
      <c r="D608" s="38"/>
      <c r="E608" s="39" t="str">
        <f>IFERROR(_xlfn.XLOOKUP($B608,MObra[DESCRIPCION],MObra[VALOR UNIT],,0),"")</f>
        <v/>
      </c>
      <c r="F608" s="40"/>
      <c r="G608" s="41" t="str">
        <f>IFERROR(IF(F608&gt;=0,D608*E608*(1+F608/100),ABS(D608*E608/F608)),"")</f>
        <v/>
      </c>
      <c r="H608" s="42" t="str">
        <f>IFERROR(G608*E587,"")</f>
        <v/>
      </c>
    </row>
    <row r="610" spans="1:11">
      <c r="A610" s="6" t="s">
        <v>657</v>
      </c>
      <c r="B610" s="7" t="str">
        <f>VLOOKUP($A610,Presupuesto!$A:$D,2,FALSE())</f>
        <v>Muro en Superboard 10 mm (1 cara)</v>
      </c>
      <c r="C610" s="8" t="str">
        <f>VLOOKUP($A610,Presupuesto!$A:$D,3,FALSE())</f>
        <v>M2</v>
      </c>
      <c r="D610" s="9"/>
      <c r="E610" s="10">
        <f>VLOOKUP($A610,Presupuesto!$A:$D,4,FALSE())</f>
        <v>0</v>
      </c>
      <c r="F610" s="11" t="s">
        <v>2589</v>
      </c>
      <c r="G610" s="12">
        <f>SUM(G612:G631)/2</f>
        <v>125025.06176440913</v>
      </c>
      <c r="H610" s="13">
        <f>ROUND(SUM(H612:H631),0)/2</f>
        <v>0</v>
      </c>
      <c r="I610" s="10">
        <f>VLOOKUP(A610,Presupuesto!$A:$F,6,0)</f>
        <v>0</v>
      </c>
      <c r="J610" s="10">
        <f>+H610-I610</f>
        <v>0</v>
      </c>
      <c r="K610" s="46">
        <f>+H610-G610*E610</f>
        <v>0</v>
      </c>
    </row>
    <row r="611" spans="1:11">
      <c r="A611" s="14"/>
      <c r="B611" s="15" t="s">
        <v>2586</v>
      </c>
      <c r="C611" s="15" t="s">
        <v>5</v>
      </c>
      <c r="D611" s="16" t="s">
        <v>6</v>
      </c>
      <c r="E611" s="17" t="s">
        <v>7</v>
      </c>
      <c r="F611" s="18" t="s">
        <v>3728</v>
      </c>
      <c r="G611" s="19" t="s">
        <v>3729</v>
      </c>
      <c r="H611" s="20" t="s">
        <v>3797</v>
      </c>
    </row>
    <row r="612" spans="1:11">
      <c r="A612" s="21"/>
      <c r="B612" s="22" t="s">
        <v>3730</v>
      </c>
      <c r="C612" s="23"/>
      <c r="D612" s="24"/>
      <c r="E612" s="25"/>
      <c r="F612" s="26"/>
      <c r="G612" s="27">
        <f>SUM(G613:G620)</f>
        <v>59288.813850000013</v>
      </c>
      <c r="H612" s="27">
        <f>IFERROR(G612*E610,"")</f>
        <v>0</v>
      </c>
    </row>
    <row r="613" spans="1:11">
      <c r="A613" s="28"/>
      <c r="B613" s="29" t="s">
        <v>3026</v>
      </c>
      <c r="C613" s="30" t="str">
        <f>IFERROR(_xlfn.XLOOKUP(B613,Insumo[DESCRIPCION],Insumo[UND],,0),"")</f>
        <v>Un</v>
      </c>
      <c r="D613" s="31">
        <v>0.34</v>
      </c>
      <c r="E613" s="32">
        <f>IFERROR(_xlfn.XLOOKUP($B613,Insumo[DESCRIPCION],Insumo[VALOR],,0),"")</f>
        <v>106470</v>
      </c>
      <c r="F613" s="33">
        <v>5</v>
      </c>
      <c r="G613" s="34">
        <f t="shared" ref="G613:G620" si="11">IFERROR(IF(F613&gt;=0,D613*E613*(1+F613/100),ABS(D613*E613/F613)),"")</f>
        <v>38009.790000000008</v>
      </c>
      <c r="H613" s="43">
        <f>IFERROR(G613*E610,"")</f>
        <v>0</v>
      </c>
    </row>
    <row r="614" spans="1:11">
      <c r="A614" s="28"/>
      <c r="B614" s="29" t="s">
        <v>2814</v>
      </c>
      <c r="C614" s="30" t="str">
        <f>IFERROR(_xlfn.XLOOKUP(B614,Insumo[DESCRIPCION],Insumo[UND],,0),"")</f>
        <v>Un</v>
      </c>
      <c r="D614" s="31">
        <v>0.34</v>
      </c>
      <c r="E614" s="32">
        <f>IFERROR(_xlfn.XLOOKUP($B614,Insumo[DESCRIPCION],Insumo[VALOR],,0),"")</f>
        <v>10343.550000000001</v>
      </c>
      <c r="F614" s="33">
        <v>5</v>
      </c>
      <c r="G614" s="34">
        <f t="shared" si="11"/>
        <v>3692.6473500000011</v>
      </c>
      <c r="H614" s="43">
        <f>IFERROR(G614*E610,"")</f>
        <v>0</v>
      </c>
    </row>
    <row r="615" spans="1:11">
      <c r="A615" s="28"/>
      <c r="B615" s="29" t="s">
        <v>3187</v>
      </c>
      <c r="C615" s="30" t="str">
        <f>IFERROR(_xlfn.XLOOKUP(B615,Insumo[DESCRIPCION],Insumo[UND],,0),"")</f>
        <v>Un</v>
      </c>
      <c r="D615" s="31">
        <v>0.76</v>
      </c>
      <c r="E615" s="32">
        <f>IFERROR(_xlfn.XLOOKUP($B615,Insumo[DESCRIPCION],Insumo[VALOR],,0),"")</f>
        <v>12332.25</v>
      </c>
      <c r="F615" s="33">
        <v>5</v>
      </c>
      <c r="G615" s="34">
        <f t="shared" si="11"/>
        <v>9841.1355000000003</v>
      </c>
      <c r="H615" s="43">
        <f>IFERROR(G615*E610,"")</f>
        <v>0</v>
      </c>
    </row>
    <row r="616" spans="1:11">
      <c r="A616" s="28"/>
      <c r="B616" s="29" t="s">
        <v>2850</v>
      </c>
      <c r="C616" s="30" t="str">
        <f>IFERROR(_xlfn.XLOOKUP(B616,Insumo[DESCRIPCION],Insumo[UND],,0),"")</f>
        <v>M</v>
      </c>
      <c r="D616" s="31">
        <v>1</v>
      </c>
      <c r="E616" s="32">
        <f>IFERROR(_xlfn.XLOOKUP($B616,Insumo[DESCRIPCION],Insumo[VALOR],,0),"")</f>
        <v>511.35</v>
      </c>
      <c r="F616" s="33"/>
      <c r="G616" s="34">
        <f t="shared" si="11"/>
        <v>511.35</v>
      </c>
      <c r="H616" s="43">
        <f>IFERROR(G616*E610,"")</f>
        <v>0</v>
      </c>
    </row>
    <row r="617" spans="1:11">
      <c r="A617" s="28"/>
      <c r="B617" s="29" t="s">
        <v>3309</v>
      </c>
      <c r="C617" s="30" t="str">
        <f>IFERROR(_xlfn.XLOOKUP(B617,Insumo[DESCRIPCION],Insumo[UND],,0),"")</f>
        <v>Un</v>
      </c>
      <c r="D617" s="31">
        <v>0.09</v>
      </c>
      <c r="E617" s="32">
        <f>IFERROR(_xlfn.XLOOKUP($B617,Insumo[DESCRIPCION],Insumo[VALOR],,0),"")</f>
        <v>56717.850000000006</v>
      </c>
      <c r="F617" s="33"/>
      <c r="G617" s="34">
        <f t="shared" si="11"/>
        <v>5104.6065000000008</v>
      </c>
      <c r="H617" s="43">
        <f>IFERROR(G617*E610,"")</f>
        <v>0</v>
      </c>
    </row>
    <row r="618" spans="1:11">
      <c r="A618" s="28"/>
      <c r="B618" s="29" t="s">
        <v>3404</v>
      </c>
      <c r="C618" s="30" t="str">
        <f>IFERROR(_xlfn.XLOOKUP(B618,Insumo[DESCRIPCION],Insumo[UND],,0),"")</f>
        <v>Un</v>
      </c>
      <c r="D618" s="31">
        <v>9</v>
      </c>
      <c r="E618" s="32">
        <f>IFERROR(_xlfn.XLOOKUP($B618,Insumo[DESCRIPCION],Insumo[VALOR],,0),"")</f>
        <v>43.050000000000004</v>
      </c>
      <c r="F618" s="33"/>
      <c r="G618" s="34">
        <f t="shared" si="11"/>
        <v>387.45000000000005</v>
      </c>
      <c r="H618" s="43">
        <f>IFERROR(G618*E610,"")</f>
        <v>0</v>
      </c>
    </row>
    <row r="619" spans="1:11">
      <c r="A619" s="28"/>
      <c r="B619" s="29" t="s">
        <v>3406</v>
      </c>
      <c r="C619" s="30" t="str">
        <f>IFERROR(_xlfn.XLOOKUP(B619,Insumo[DESCRIPCION],Insumo[UND],,0),"")</f>
        <v>Un</v>
      </c>
      <c r="D619" s="31">
        <v>3</v>
      </c>
      <c r="E619" s="32">
        <f>IFERROR(_xlfn.XLOOKUP($B619,Insumo[DESCRIPCION],Insumo[VALOR],,0),"")</f>
        <v>44.1</v>
      </c>
      <c r="F619" s="33"/>
      <c r="G619" s="34">
        <f t="shared" si="11"/>
        <v>132.30000000000001</v>
      </c>
      <c r="H619" s="43">
        <f>IFERROR(G619*E610,"")</f>
        <v>0</v>
      </c>
    </row>
    <row r="620" spans="1:11">
      <c r="A620" s="28"/>
      <c r="B620" s="29" t="s">
        <v>3159</v>
      </c>
      <c r="C620" s="30" t="str">
        <f>IFERROR(_xlfn.XLOOKUP(B620,Insumo[DESCRIPCION],Insumo[UND],,0),"")</f>
        <v>Kg</v>
      </c>
      <c r="D620" s="31">
        <v>0.17</v>
      </c>
      <c r="E620" s="32">
        <f>IFERROR(_xlfn.XLOOKUP($B620,Insumo[DESCRIPCION],Insumo[VALOR],,0),"")</f>
        <v>9467.85</v>
      </c>
      <c r="F620" s="33"/>
      <c r="G620" s="34">
        <f t="shared" si="11"/>
        <v>1609.5345000000002</v>
      </c>
      <c r="H620" s="43">
        <f>IFERROR(G620*E610,"")</f>
        <v>0</v>
      </c>
    </row>
    <row r="621" spans="1:11">
      <c r="A621" s="21"/>
      <c r="B621" s="22" t="s">
        <v>3731</v>
      </c>
      <c r="C621" s="23"/>
      <c r="D621" s="24"/>
      <c r="E621" s="25"/>
      <c r="F621" s="26"/>
      <c r="G621" s="27">
        <f>SUM(G622:G624)</f>
        <v>8574.2932062272757</v>
      </c>
      <c r="H621" s="44">
        <f>G621*E610</f>
        <v>0</v>
      </c>
    </row>
    <row r="622" spans="1:11">
      <c r="A622" s="28"/>
      <c r="B622" s="29" t="s">
        <v>3573</v>
      </c>
      <c r="C622" s="30" t="str">
        <f>IFERROR(_xlfn.XLOOKUP(B622,Equipo[DESCRIPCION],Equipo[UND],,0),"")</f>
        <v>%MO</v>
      </c>
      <c r="D622" s="31">
        <v>0.1</v>
      </c>
      <c r="E622" s="32">
        <f>IF(C622="%MO",G628,IFERROR(_xlfn.XLOOKUP($B622,Equipo[DESCRIPCION],Equipo[VALOR],,0),""))</f>
        <v>57161.954708181831</v>
      </c>
      <c r="F622" s="33"/>
      <c r="G622" s="34">
        <f>IFERROR(IF(F622&gt;=0,D622*E622*(1+F622/100),ABS(D622*E622/F622)),"")</f>
        <v>5716.1954708181838</v>
      </c>
      <c r="H622" s="43">
        <f>IFERROR(G622*E610,"")</f>
        <v>0</v>
      </c>
    </row>
    <row r="623" spans="1:11">
      <c r="A623" s="28"/>
      <c r="B623" s="29" t="s">
        <v>3626</v>
      </c>
      <c r="C623" s="30" t="str">
        <f>IFERROR(_xlfn.XLOOKUP(B623,Equipo[DESCRIPCION],Equipo[UND],,0),"")</f>
        <v>%MO</v>
      </c>
      <c r="D623" s="31">
        <v>0.05</v>
      </c>
      <c r="E623" s="32">
        <f>IF(C623="%MO",G628,IFERROR(_xlfn.XLOOKUP($B623,Equipo[DESCRIPCION],Equipo[VALOR],,0),""))</f>
        <v>57161.954708181831</v>
      </c>
      <c r="F623" s="33"/>
      <c r="G623" s="34">
        <f>IFERROR(IF(F623&gt;=0,D623*E623*(1+F623/100),ABS(D623*E623/F623)),"")</f>
        <v>2858.0977354090919</v>
      </c>
      <c r="H623" s="43">
        <f>IFERROR(G623*E610,"")</f>
        <v>0</v>
      </c>
    </row>
    <row r="624" spans="1:11">
      <c r="A624" s="28"/>
      <c r="B624" s="29"/>
      <c r="C624" s="30" t="str">
        <f>IFERROR(_xlfn.XLOOKUP(B624,Equipo[DESCRIPCION],Equipo[UND],,0),"")</f>
        <v/>
      </c>
      <c r="D624" s="31"/>
      <c r="E624" s="32" t="str">
        <f>IF(C624="%MO",G628,IFERROR(_xlfn.XLOOKUP($B624,Equipo[DESCRIPCION],Equipo[VALOR],,0),""))</f>
        <v/>
      </c>
      <c r="F624" s="33"/>
      <c r="G624" s="34" t="str">
        <f>IFERROR(IF(F624&gt;=0,D624*E624*(1+F624/100),ABS(D624*E624/F624)),"")</f>
        <v/>
      </c>
      <c r="H624" s="43" t="str">
        <f>IFERROR(G624*E610,"")</f>
        <v/>
      </c>
    </row>
    <row r="625" spans="1:11">
      <c r="A625" s="21"/>
      <c r="B625" s="22" t="s">
        <v>2533</v>
      </c>
      <c r="C625" s="23"/>
      <c r="D625" s="24"/>
      <c r="E625" s="25"/>
      <c r="F625" s="26"/>
      <c r="G625" s="27">
        <f>SUM(G626:G627)</f>
        <v>0</v>
      </c>
      <c r="H625" s="44">
        <f>G625*E610</f>
        <v>0</v>
      </c>
    </row>
    <row r="626" spans="1:11">
      <c r="A626" s="28"/>
      <c r="B626" s="29"/>
      <c r="C626" s="30" t="str">
        <f>IFERROR(_xlfn.XLOOKUP(B626,Transporte[DESCRIPCION],Transporte[UND],,0),"")</f>
        <v/>
      </c>
      <c r="D626" s="31"/>
      <c r="E626" s="32" t="str">
        <f>IFERROR(_xlfn.XLOOKUP($B626,Transporte[DESCRIPCION],Transporte[VALOR],,0),"")</f>
        <v/>
      </c>
      <c r="F626" s="33"/>
      <c r="G626" s="34" t="str">
        <f>IFERROR(IF(F626&gt;=0,D626*E626*(1+F626/100),ABS(D626*E626/F626)),"")</f>
        <v/>
      </c>
      <c r="H626" s="43" t="str">
        <f>IFERROR(G626*E610,"")</f>
        <v/>
      </c>
    </row>
    <row r="627" spans="1:11">
      <c r="A627" s="28"/>
      <c r="B627" s="29"/>
      <c r="C627" s="30" t="str">
        <f>IFERROR(_xlfn.XLOOKUP(B627,Transporte[DESCRIPCION],Transporte[UND],,0),"")</f>
        <v/>
      </c>
      <c r="D627" s="31"/>
      <c r="E627" s="32" t="str">
        <f>IFERROR(_xlfn.XLOOKUP($B627,Transporte[DESCRIPCION],Transporte[VALOR],,0),"")</f>
        <v/>
      </c>
      <c r="F627" s="33"/>
      <c r="G627" s="34" t="str">
        <f>IFERROR(IF(F627&gt;=0,D627*E627*(1+F627/100),ABS(D627*E627/F627)),"")</f>
        <v/>
      </c>
      <c r="H627" s="43" t="str">
        <f>IFERROR(G627*E610,"")</f>
        <v/>
      </c>
    </row>
    <row r="628" spans="1:11">
      <c r="A628" s="21"/>
      <c r="B628" s="22" t="s">
        <v>3732</v>
      </c>
      <c r="C628" s="23"/>
      <c r="D628" s="24"/>
      <c r="E628" s="25"/>
      <c r="F628" s="26"/>
      <c r="G628" s="27">
        <f>SUM(G629:G631)</f>
        <v>57161.954708181831</v>
      </c>
      <c r="H628" s="44">
        <f>G628*E610</f>
        <v>0</v>
      </c>
    </row>
    <row r="629" spans="1:11">
      <c r="A629" s="28"/>
      <c r="B629" s="29" t="s">
        <v>3710</v>
      </c>
      <c r="C629" s="30" t="str">
        <f>IFERROR(_xlfn.XLOOKUP(B629,MObra[DESCRIPCION],MObra[UN],,0),"")</f>
        <v>día</v>
      </c>
      <c r="D629" s="31">
        <v>1</v>
      </c>
      <c r="E629" s="32">
        <f>IFERROR(_xlfn.XLOOKUP($B629,MObra[DESCRIPCION],MObra[VALOR UNIT],,0),"")</f>
        <v>314390.75089500006</v>
      </c>
      <c r="F629" s="33">
        <v>-5.5</v>
      </c>
      <c r="G629" s="34">
        <f>IFERROR(IF(F629&gt;=0,D629*E629*(1+F629/100),ABS(D629*E629/F629)),"")</f>
        <v>57161.954708181831</v>
      </c>
      <c r="H629" s="43">
        <f>IFERROR(G629*E610,"")</f>
        <v>0</v>
      </c>
    </row>
    <row r="630" spans="1:11">
      <c r="A630" s="28"/>
      <c r="B630" s="29"/>
      <c r="C630" s="30" t="str">
        <f t="array" ref="C630">IFERROR(_xlfn.XLOOKUP(B630,MObra[[#All],[DESCRIPCION]],MObra[[#All],[UN]],,0),"")</f>
        <v/>
      </c>
      <c r="D630" s="31"/>
      <c r="E630" s="32" t="str">
        <f>IFERROR(_xlfn.XLOOKUP($B630,MObra[DESCRIPCION],MObra[VALOR UNIT],,0),"")</f>
        <v/>
      </c>
      <c r="F630" s="33"/>
      <c r="G630" s="34" t="str">
        <f>IFERROR(IF(F630&gt;=0,D630*E630*(1+F630/100),ABS(D630*E630/F630)),"")</f>
        <v/>
      </c>
      <c r="H630" s="43" t="str">
        <f>IFERROR(G630*E610,"")</f>
        <v/>
      </c>
    </row>
    <row r="631" spans="1:11">
      <c r="A631" s="35"/>
      <c r="B631" s="36"/>
      <c r="C631" s="37" t="str">
        <f t="array" ref="C631">IFERROR(_xlfn.XLOOKUP(B631,MObra[[#All],[DESCRIPCION]],MObra[[#All],[UN]],,0),"")</f>
        <v/>
      </c>
      <c r="D631" s="38"/>
      <c r="E631" s="39" t="str">
        <f>IFERROR(_xlfn.XLOOKUP($B631,MObra[DESCRIPCION],MObra[VALOR UNIT],,0),"")</f>
        <v/>
      </c>
      <c r="F631" s="40"/>
      <c r="G631" s="41" t="str">
        <f>IFERROR(IF(F631&gt;=0,D631*E631*(1+F631/100),ABS(D631*E631/F631)),"")</f>
        <v/>
      </c>
      <c r="H631" s="42" t="str">
        <f>IFERROR(G631*E610,"")</f>
        <v/>
      </c>
    </row>
    <row r="633" spans="1:11">
      <c r="A633" s="6" t="s">
        <v>659</v>
      </c>
      <c r="B633" s="7" t="str">
        <f>VLOOKUP($A633,Presupuesto!$A:$D,2,FALSE())</f>
        <v>Muro en Superboard 10 mm (1 cara) + Superboard 8 mm (1 cara)</v>
      </c>
      <c r="C633" s="8" t="str">
        <f>VLOOKUP($A633,Presupuesto!$A:$D,3,FALSE())</f>
        <v>M2</v>
      </c>
      <c r="D633" s="9"/>
      <c r="E633" s="10">
        <f>VLOOKUP($A633,Presupuesto!$A:$D,4,FALSE())</f>
        <v>0</v>
      </c>
      <c r="F633" s="11" t="s">
        <v>2589</v>
      </c>
      <c r="G633" s="12">
        <f>SUM(G635:G655)/2</f>
        <v>168450.96705585002</v>
      </c>
      <c r="H633" s="13">
        <f>ROUND(SUM(H635:H655),0)/2</f>
        <v>0</v>
      </c>
      <c r="I633" s="10">
        <f>VLOOKUP(A633,Presupuesto!$A:$F,6,0)</f>
        <v>0</v>
      </c>
      <c r="J633" s="10">
        <f>+H633-I633</f>
        <v>0</v>
      </c>
      <c r="K633" s="46">
        <f>+H633-G633*E633</f>
        <v>0</v>
      </c>
    </row>
    <row r="634" spans="1:11">
      <c r="A634" s="14"/>
      <c r="B634" s="15" t="s">
        <v>2586</v>
      </c>
      <c r="C634" s="15" t="s">
        <v>5</v>
      </c>
      <c r="D634" s="16" t="s">
        <v>6</v>
      </c>
      <c r="E634" s="17" t="s">
        <v>7</v>
      </c>
      <c r="F634" s="18" t="s">
        <v>3728</v>
      </c>
      <c r="G634" s="19" t="s">
        <v>3729</v>
      </c>
      <c r="H634" s="20" t="s">
        <v>3797</v>
      </c>
    </row>
    <row r="635" spans="1:11">
      <c r="A635" s="21"/>
      <c r="B635" s="22" t="s">
        <v>3730</v>
      </c>
      <c r="C635" s="23"/>
      <c r="D635" s="24"/>
      <c r="E635" s="25"/>
      <c r="F635" s="26"/>
      <c r="G635" s="27">
        <f>SUM(G636:G644)</f>
        <v>96141.094350000014</v>
      </c>
      <c r="H635" s="27">
        <f>IFERROR(G635*E633,"")</f>
        <v>0</v>
      </c>
    </row>
    <row r="636" spans="1:11">
      <c r="A636" s="28"/>
      <c r="B636" s="29" t="s">
        <v>3029</v>
      </c>
      <c r="C636" s="30" t="str">
        <f>IFERROR(_xlfn.XLOOKUP(B636,Insumo[DESCRIPCION],Insumo[UND],,0),"")</f>
        <v>Un</v>
      </c>
      <c r="D636" s="31">
        <v>0.34</v>
      </c>
      <c r="E636" s="32">
        <f>IFERROR(_xlfn.XLOOKUP($B636,Insumo[DESCRIPCION],Insumo[VALOR],,0),"")</f>
        <v>82845</v>
      </c>
      <c r="F636" s="33">
        <v>5</v>
      </c>
      <c r="G636" s="34">
        <f t="shared" ref="G636:G644" si="12">IFERROR(IF(F636&gt;=0,D636*E636*(1+F636/100),ABS(D636*E636/F636)),"")</f>
        <v>29575.665000000005</v>
      </c>
      <c r="H636" s="43">
        <f>IFERROR(G636*E633,"")</f>
        <v>0</v>
      </c>
    </row>
    <row r="637" spans="1:11">
      <c r="A637" s="28"/>
      <c r="B637" s="29" t="s">
        <v>3026</v>
      </c>
      <c r="C637" s="30" t="str">
        <f>IFERROR(_xlfn.XLOOKUP(B637,Insumo[DESCRIPCION],Insumo[UND],,0),"")</f>
        <v>Un</v>
      </c>
      <c r="D637" s="31">
        <v>0.34</v>
      </c>
      <c r="E637" s="32">
        <f>IFERROR(_xlfn.XLOOKUP($B637,Insumo[DESCRIPCION],Insumo[VALOR],,0),"")</f>
        <v>106470</v>
      </c>
      <c r="F637" s="33">
        <v>5</v>
      </c>
      <c r="G637" s="34">
        <f t="shared" si="12"/>
        <v>38009.790000000008</v>
      </c>
      <c r="H637" s="43">
        <f>IFERROR(G637*E633,"")</f>
        <v>0</v>
      </c>
    </row>
    <row r="638" spans="1:11">
      <c r="A638" s="28"/>
      <c r="B638" s="29" t="s">
        <v>2814</v>
      </c>
      <c r="C638" s="30" t="str">
        <f>IFERROR(_xlfn.XLOOKUP(B638,Insumo[DESCRIPCION],Insumo[UND],,0),"")</f>
        <v>Un</v>
      </c>
      <c r="D638" s="31">
        <v>0.34</v>
      </c>
      <c r="E638" s="32">
        <f>IFERROR(_xlfn.XLOOKUP($B638,Insumo[DESCRIPCION],Insumo[VALOR],,0),"")</f>
        <v>10343.550000000001</v>
      </c>
      <c r="F638" s="33">
        <v>5</v>
      </c>
      <c r="G638" s="34">
        <f t="shared" si="12"/>
        <v>3692.6473500000011</v>
      </c>
      <c r="H638" s="43">
        <f>IFERROR(G638*E633,"")</f>
        <v>0</v>
      </c>
    </row>
    <row r="639" spans="1:11">
      <c r="A639" s="28"/>
      <c r="B639" s="29" t="s">
        <v>3187</v>
      </c>
      <c r="C639" s="30" t="str">
        <f>IFERROR(_xlfn.XLOOKUP(B639,Insumo[DESCRIPCION],Insumo[UND],,0),"")</f>
        <v>Un</v>
      </c>
      <c r="D639" s="31">
        <v>0.76</v>
      </c>
      <c r="E639" s="32">
        <f>IFERROR(_xlfn.XLOOKUP($B639,Insumo[DESCRIPCION],Insumo[VALOR],,0),"")</f>
        <v>12332.25</v>
      </c>
      <c r="F639" s="33"/>
      <c r="G639" s="34">
        <f t="shared" si="12"/>
        <v>9372.51</v>
      </c>
      <c r="H639" s="43">
        <f>IFERROR(G639*E633,"")</f>
        <v>0</v>
      </c>
    </row>
    <row r="640" spans="1:11">
      <c r="A640" s="28"/>
      <c r="B640" s="29" t="s">
        <v>2850</v>
      </c>
      <c r="C640" s="30" t="str">
        <f>IFERROR(_xlfn.XLOOKUP(B640,Insumo[DESCRIPCION],Insumo[UND],,0),"")</f>
        <v>M</v>
      </c>
      <c r="D640" s="31">
        <v>2</v>
      </c>
      <c r="E640" s="32">
        <f>IFERROR(_xlfn.XLOOKUP($B640,Insumo[DESCRIPCION],Insumo[VALOR],,0),"")</f>
        <v>511.35</v>
      </c>
      <c r="F640" s="33"/>
      <c r="G640" s="34">
        <f t="shared" si="12"/>
        <v>1022.7</v>
      </c>
      <c r="H640" s="43">
        <f>IFERROR(G640*E633,"")</f>
        <v>0</v>
      </c>
    </row>
    <row r="641" spans="1:8">
      <c r="A641" s="28"/>
      <c r="B641" s="29" t="s">
        <v>3309</v>
      </c>
      <c r="C641" s="30" t="str">
        <f>IFERROR(_xlfn.XLOOKUP(B641,Insumo[DESCRIPCION],Insumo[UND],,0),"")</f>
        <v>Un</v>
      </c>
      <c r="D641" s="31">
        <v>0.18</v>
      </c>
      <c r="E641" s="32">
        <f>IFERROR(_xlfn.XLOOKUP($B641,Insumo[DESCRIPCION],Insumo[VALOR],,0),"")</f>
        <v>56717.850000000006</v>
      </c>
      <c r="F641" s="33"/>
      <c r="G641" s="34">
        <f t="shared" si="12"/>
        <v>10209.213000000002</v>
      </c>
      <c r="H641" s="43">
        <f>IFERROR(G641*E633,"")</f>
        <v>0</v>
      </c>
    </row>
    <row r="642" spans="1:8">
      <c r="A642" s="28"/>
      <c r="B642" s="29" t="s">
        <v>3404</v>
      </c>
      <c r="C642" s="30" t="str">
        <f>IFERROR(_xlfn.XLOOKUP(B642,Insumo[DESCRIPCION],Insumo[UND],,0),"")</f>
        <v>Un</v>
      </c>
      <c r="D642" s="31">
        <v>18</v>
      </c>
      <c r="E642" s="32">
        <f>IFERROR(_xlfn.XLOOKUP($B642,Insumo[DESCRIPCION],Insumo[VALOR],,0),"")</f>
        <v>43.050000000000004</v>
      </c>
      <c r="F642" s="33"/>
      <c r="G642" s="34">
        <f t="shared" si="12"/>
        <v>774.90000000000009</v>
      </c>
      <c r="H642" s="43">
        <f>IFERROR(G642*E633,"")</f>
        <v>0</v>
      </c>
    </row>
    <row r="643" spans="1:8">
      <c r="A643" s="28"/>
      <c r="B643" s="29" t="s">
        <v>3406</v>
      </c>
      <c r="C643" s="30" t="str">
        <f>IFERROR(_xlfn.XLOOKUP(B643,Insumo[DESCRIPCION],Insumo[UND],,0),"")</f>
        <v>Un</v>
      </c>
      <c r="D643" s="31">
        <v>6</v>
      </c>
      <c r="E643" s="32">
        <f>IFERROR(_xlfn.XLOOKUP($B643,Insumo[DESCRIPCION],Insumo[VALOR],,0),"")</f>
        <v>44.1</v>
      </c>
      <c r="F643" s="33"/>
      <c r="G643" s="34">
        <f t="shared" si="12"/>
        <v>264.60000000000002</v>
      </c>
      <c r="H643" s="43">
        <f>IFERROR(G643*E633,"")</f>
        <v>0</v>
      </c>
    </row>
    <row r="644" spans="1:8">
      <c r="A644" s="28"/>
      <c r="B644" s="29" t="s">
        <v>3159</v>
      </c>
      <c r="C644" s="30" t="str">
        <f>IFERROR(_xlfn.XLOOKUP(B644,Insumo[DESCRIPCION],Insumo[UND],,0),"")</f>
        <v>Kg</v>
      </c>
      <c r="D644" s="31">
        <v>0.34</v>
      </c>
      <c r="E644" s="32">
        <f>IFERROR(_xlfn.XLOOKUP($B644,Insumo[DESCRIPCION],Insumo[VALOR],,0),"")</f>
        <v>9467.85</v>
      </c>
      <c r="F644" s="33"/>
      <c r="G644" s="34">
        <f t="shared" si="12"/>
        <v>3219.0690000000004</v>
      </c>
      <c r="H644" s="43">
        <f>IFERROR(G644*E633,"")</f>
        <v>0</v>
      </c>
    </row>
    <row r="645" spans="1:8">
      <c r="A645" s="21"/>
      <c r="B645" s="22" t="s">
        <v>3731</v>
      </c>
      <c r="C645" s="23"/>
      <c r="D645" s="24"/>
      <c r="E645" s="25"/>
      <c r="F645" s="26"/>
      <c r="G645" s="27">
        <f>SUM(G646:G648)</f>
        <v>9431.7225268500024</v>
      </c>
      <c r="H645" s="44">
        <f>G645*E633</f>
        <v>0</v>
      </c>
    </row>
    <row r="646" spans="1:8">
      <c r="A646" s="28"/>
      <c r="B646" s="29" t="s">
        <v>3573</v>
      </c>
      <c r="C646" s="30" t="str">
        <f>IFERROR(_xlfn.XLOOKUP(B646,Equipo[DESCRIPCION],Equipo[UND],,0),"")</f>
        <v>%MO</v>
      </c>
      <c r="D646" s="31">
        <v>0.1</v>
      </c>
      <c r="E646" s="32">
        <f>IF(C646="%MO",G652,IFERROR(_xlfn.XLOOKUP($B646,Equipo[DESCRIPCION],Equipo[VALOR],,0),""))</f>
        <v>62878.150179000011</v>
      </c>
      <c r="F646" s="33"/>
      <c r="G646" s="34">
        <f>IFERROR(IF(F646&gt;=0,D646*E646*(1+F646/100),ABS(D646*E646/F646)),"")</f>
        <v>6287.8150179000013</v>
      </c>
      <c r="H646" s="43">
        <f>IFERROR(G646*E633,"")</f>
        <v>0</v>
      </c>
    </row>
    <row r="647" spans="1:8">
      <c r="A647" s="28"/>
      <c r="B647" s="29" t="s">
        <v>3626</v>
      </c>
      <c r="C647" s="30" t="str">
        <f>IFERROR(_xlfn.XLOOKUP(B647,Equipo[DESCRIPCION],Equipo[UND],,0),"")</f>
        <v>%MO</v>
      </c>
      <c r="D647" s="31">
        <v>0.05</v>
      </c>
      <c r="E647" s="32">
        <f>IF(C647="%MO",G652,IFERROR(_xlfn.XLOOKUP($B647,Equipo[DESCRIPCION],Equipo[VALOR],,0),""))</f>
        <v>62878.150179000011</v>
      </c>
      <c r="F647" s="33"/>
      <c r="G647" s="34">
        <f>IFERROR(IF(F647&gt;=0,D647*E647*(1+F647/100),ABS(D647*E647/F647)),"")</f>
        <v>3143.9075089500006</v>
      </c>
      <c r="H647" s="43">
        <f>IFERROR(G647*E633,"")</f>
        <v>0</v>
      </c>
    </row>
    <row r="648" spans="1:8">
      <c r="A648" s="28"/>
      <c r="B648" s="29"/>
      <c r="C648" s="30" t="str">
        <f>IFERROR(_xlfn.XLOOKUP(B648,Equipo[DESCRIPCION],Equipo[UND],,0),"")</f>
        <v/>
      </c>
      <c r="D648" s="31"/>
      <c r="E648" s="32" t="str">
        <f>IF(C648="%MO",G652,IFERROR(_xlfn.XLOOKUP($B648,Equipo[DESCRIPCION],Equipo[VALOR],,0),""))</f>
        <v/>
      </c>
      <c r="F648" s="33"/>
      <c r="G648" s="34" t="str">
        <f>IFERROR(IF(F648&gt;=0,D648*E648*(1+F648/100),ABS(D648*E648/F648)),"")</f>
        <v/>
      </c>
      <c r="H648" s="43" t="str">
        <f>IFERROR(G648*E633,"")</f>
        <v/>
      </c>
    </row>
    <row r="649" spans="1:8">
      <c r="A649" s="21"/>
      <c r="B649" s="22" t="s">
        <v>2533</v>
      </c>
      <c r="C649" s="23"/>
      <c r="D649" s="24"/>
      <c r="E649" s="25"/>
      <c r="F649" s="26"/>
      <c r="G649" s="27">
        <f>SUM(G650:G651)</f>
        <v>0</v>
      </c>
      <c r="H649" s="44">
        <f>G649*E633</f>
        <v>0</v>
      </c>
    </row>
    <row r="650" spans="1:8">
      <c r="A650" s="28"/>
      <c r="B650" s="29"/>
      <c r="C650" s="30" t="str">
        <f>IFERROR(_xlfn.XLOOKUP(B650,Transporte[DESCRIPCION],Transporte[UND],,0),"")</f>
        <v/>
      </c>
      <c r="D650" s="31"/>
      <c r="E650" s="32" t="str">
        <f>IFERROR(_xlfn.XLOOKUP($B650,Transporte[DESCRIPCION],Transporte[VALOR],,0),"")</f>
        <v/>
      </c>
      <c r="F650" s="33"/>
      <c r="G650" s="34" t="str">
        <f>IFERROR(IF(F650&gt;=0,D650*E650*(1+F650/100),ABS(D650*E650/F650)),"")</f>
        <v/>
      </c>
      <c r="H650" s="43" t="str">
        <f>IFERROR(G650*E633,"")</f>
        <v/>
      </c>
    </row>
    <row r="651" spans="1:8">
      <c r="A651" s="28"/>
      <c r="B651" s="29"/>
      <c r="C651" s="30" t="str">
        <f>IFERROR(_xlfn.XLOOKUP(B651,Transporte[DESCRIPCION],Transporte[UND],,0),"")</f>
        <v/>
      </c>
      <c r="D651" s="31"/>
      <c r="E651" s="32" t="str">
        <f>IFERROR(_xlfn.XLOOKUP($B651,Transporte[DESCRIPCION],Transporte[VALOR],,0),"")</f>
        <v/>
      </c>
      <c r="F651" s="33"/>
      <c r="G651" s="34" t="str">
        <f>IFERROR(IF(F651&gt;=0,D651*E651*(1+F651/100),ABS(D651*E651/F651)),"")</f>
        <v/>
      </c>
      <c r="H651" s="43" t="str">
        <f>IFERROR(G651*E633,"")</f>
        <v/>
      </c>
    </row>
    <row r="652" spans="1:8">
      <c r="A652" s="21"/>
      <c r="B652" s="22" t="s">
        <v>3732</v>
      </c>
      <c r="C652" s="23"/>
      <c r="D652" s="24"/>
      <c r="E652" s="25"/>
      <c r="F652" s="26"/>
      <c r="G652" s="27">
        <f>SUM(G653:G655)</f>
        <v>62878.150179000011</v>
      </c>
      <c r="H652" s="44">
        <f>G652*E633</f>
        <v>0</v>
      </c>
    </row>
    <row r="653" spans="1:8">
      <c r="A653" s="28"/>
      <c r="B653" s="29" t="s">
        <v>3710</v>
      </c>
      <c r="C653" s="30" t="str">
        <f>IFERROR(_xlfn.XLOOKUP(B653,MObra[DESCRIPCION],MObra[UN],,0),"")</f>
        <v>día</v>
      </c>
      <c r="D653" s="31">
        <v>1</v>
      </c>
      <c r="E653" s="32">
        <f>IFERROR(_xlfn.XLOOKUP($B653,MObra[DESCRIPCION],MObra[VALOR UNIT],,0),"")</f>
        <v>314390.75089500006</v>
      </c>
      <c r="F653" s="33">
        <v>-5</v>
      </c>
      <c r="G653" s="34">
        <f>IFERROR(IF(F653&gt;=0,D653*E653*(1+F653/100),ABS(D653*E653/F653)),"")</f>
        <v>62878.150179000011</v>
      </c>
      <c r="H653" s="43">
        <f>IFERROR(G653*E633,"")</f>
        <v>0</v>
      </c>
    </row>
    <row r="654" spans="1:8">
      <c r="A654" s="28"/>
      <c r="B654" s="29"/>
      <c r="C654" s="30" t="str">
        <f t="array" ref="C654">IFERROR(_xlfn.XLOOKUP(B654,MObra[[#All],[DESCRIPCION]],MObra[[#All],[UN]],,0),"")</f>
        <v/>
      </c>
      <c r="D654" s="31"/>
      <c r="E654" s="32" t="str">
        <f>IFERROR(_xlfn.XLOOKUP($B654,MObra[DESCRIPCION],MObra[VALOR UNIT],,0),"")</f>
        <v/>
      </c>
      <c r="F654" s="33"/>
      <c r="G654" s="34" t="str">
        <f>IFERROR(IF(F654&gt;=0,D654*E654*(1+F654/100),ABS(D654*E654/F654)),"")</f>
        <v/>
      </c>
      <c r="H654" s="43" t="str">
        <f>IFERROR(G654*E633,"")</f>
        <v/>
      </c>
    </row>
    <row r="655" spans="1:8">
      <c r="A655" s="35"/>
      <c r="B655" s="36"/>
      <c r="C655" s="37" t="str">
        <f t="array" ref="C655">IFERROR(_xlfn.XLOOKUP(B655,MObra[[#All],[DESCRIPCION]],MObra[[#All],[UN]],,0),"")</f>
        <v/>
      </c>
      <c r="D655" s="38"/>
      <c r="E655" s="39" t="str">
        <f>IFERROR(_xlfn.XLOOKUP($B655,MObra[DESCRIPCION],MObra[VALOR UNIT],,0),"")</f>
        <v/>
      </c>
      <c r="F655" s="40"/>
      <c r="G655" s="41" t="str">
        <f>IFERROR(IF(F655&gt;=0,D655*E655*(1+F655/100),ABS(D655*E655/F655)),"")</f>
        <v/>
      </c>
      <c r="H655" s="42" t="str">
        <f>IFERROR(G655*E633,"")</f>
        <v/>
      </c>
    </row>
    <row r="657" spans="1:11">
      <c r="A657" s="6" t="s">
        <v>661</v>
      </c>
      <c r="B657" s="7" t="str">
        <f>VLOOKUP($A657,Presupuesto!$A:$D,2,FALSE())</f>
        <v>Muro en Superboard 10 mm (2 caras)</v>
      </c>
      <c r="C657" s="8" t="str">
        <f>VLOOKUP($A657,Presupuesto!$A:$D,3,FALSE())</f>
        <v>M3</v>
      </c>
      <c r="D657" s="9"/>
      <c r="E657" s="10">
        <f>VLOOKUP($A657,Presupuesto!$A:$D,4,FALSE())</f>
        <v>0</v>
      </c>
      <c r="F657" s="11" t="s">
        <v>2589</v>
      </c>
      <c r="G657" s="12">
        <f>SUM(G659:G678)/2</f>
        <v>159548.88885450002</v>
      </c>
      <c r="H657" s="13">
        <f>ROUND(SUM(H659:H678),0)/2</f>
        <v>0</v>
      </c>
      <c r="I657" s="10">
        <f>VLOOKUP(A657,Presupuesto!$A:$F,6,0)</f>
        <v>0</v>
      </c>
      <c r="J657" s="10">
        <f>+H657-I657</f>
        <v>0</v>
      </c>
      <c r="K657" s="46">
        <f>+H657-G657*E657</f>
        <v>0</v>
      </c>
    </row>
    <row r="658" spans="1:11">
      <c r="A658" s="14"/>
      <c r="B658" s="15" t="s">
        <v>2586</v>
      </c>
      <c r="C658" s="15" t="s">
        <v>5</v>
      </c>
      <c r="D658" s="16" t="s">
        <v>6</v>
      </c>
      <c r="E658" s="17" t="s">
        <v>7</v>
      </c>
      <c r="F658" s="18" t="s">
        <v>3728</v>
      </c>
      <c r="G658" s="19" t="s">
        <v>3729</v>
      </c>
      <c r="H658" s="20" t="s">
        <v>3797</v>
      </c>
    </row>
    <row r="659" spans="1:11">
      <c r="A659" s="21"/>
      <c r="B659" s="22" t="s">
        <v>3730</v>
      </c>
      <c r="C659" s="23"/>
      <c r="D659" s="24"/>
      <c r="E659" s="25"/>
      <c r="F659" s="26"/>
      <c r="G659" s="27">
        <f>SUM(G660:G667)</f>
        <v>103925.90985000003</v>
      </c>
      <c r="H659" s="27">
        <f>IFERROR(G659*E657,"")</f>
        <v>0</v>
      </c>
    </row>
    <row r="660" spans="1:11">
      <c r="A660" s="28"/>
      <c r="B660" s="29" t="s">
        <v>3026</v>
      </c>
      <c r="C660" s="30" t="str">
        <f>IFERROR(_xlfn.XLOOKUP(B660,Insumo[DESCRIPCION],Insumo[UND],,0),"")</f>
        <v>Un</v>
      </c>
      <c r="D660" s="31">
        <v>0.67</v>
      </c>
      <c r="E660" s="32">
        <f>IFERROR(_xlfn.XLOOKUP($B660,Insumo[DESCRIPCION],Insumo[VALOR],,0),"")</f>
        <v>106470</v>
      </c>
      <c r="F660" s="33">
        <v>5</v>
      </c>
      <c r="G660" s="34">
        <f t="shared" ref="G660:G667" si="13">IFERROR(IF(F660&gt;=0,D660*E660*(1+F660/100),ABS(D660*E660/F660)),"")</f>
        <v>74901.645000000019</v>
      </c>
      <c r="H660" s="43">
        <f>IFERROR(G660*E657,"")</f>
        <v>0</v>
      </c>
    </row>
    <row r="661" spans="1:11">
      <c r="A661" s="28"/>
      <c r="B661" s="29" t="s">
        <v>2814</v>
      </c>
      <c r="C661" s="30" t="str">
        <f>IFERROR(_xlfn.XLOOKUP(B661,Insumo[DESCRIPCION],Insumo[UND],,0),"")</f>
        <v>Un</v>
      </c>
      <c r="D661" s="31">
        <v>0.34</v>
      </c>
      <c r="E661" s="32">
        <f>IFERROR(_xlfn.XLOOKUP($B661,Insumo[DESCRIPCION],Insumo[VALOR],,0),"")</f>
        <v>10343.550000000001</v>
      </c>
      <c r="F661" s="33">
        <v>5</v>
      </c>
      <c r="G661" s="34">
        <f t="shared" si="13"/>
        <v>3692.6473500000011</v>
      </c>
      <c r="H661" s="43">
        <f>IFERROR(G661*E657,"")</f>
        <v>0</v>
      </c>
    </row>
    <row r="662" spans="1:11">
      <c r="A662" s="28"/>
      <c r="B662" s="29" t="s">
        <v>3187</v>
      </c>
      <c r="C662" s="30" t="str">
        <f>IFERROR(_xlfn.XLOOKUP(B662,Insumo[DESCRIPCION],Insumo[UND],,0),"")</f>
        <v>Un</v>
      </c>
      <c r="D662" s="31">
        <v>0.76</v>
      </c>
      <c r="E662" s="32">
        <f>IFERROR(_xlfn.XLOOKUP($B662,Insumo[DESCRIPCION],Insumo[VALOR],,0),"")</f>
        <v>12332.25</v>
      </c>
      <c r="F662" s="33">
        <v>5</v>
      </c>
      <c r="G662" s="34">
        <f t="shared" si="13"/>
        <v>9841.1355000000003</v>
      </c>
      <c r="H662" s="43">
        <f>IFERROR(G662*E657,"")</f>
        <v>0</v>
      </c>
    </row>
    <row r="663" spans="1:11">
      <c r="A663" s="28"/>
      <c r="B663" s="29" t="s">
        <v>2850</v>
      </c>
      <c r="C663" s="30" t="str">
        <f>IFERROR(_xlfn.XLOOKUP(B663,Insumo[DESCRIPCION],Insumo[UND],,0),"")</f>
        <v>M</v>
      </c>
      <c r="D663" s="31">
        <v>2</v>
      </c>
      <c r="E663" s="32">
        <f>IFERROR(_xlfn.XLOOKUP($B663,Insumo[DESCRIPCION],Insumo[VALOR],,0),"")</f>
        <v>511.35</v>
      </c>
      <c r="F663" s="33"/>
      <c r="G663" s="34">
        <f t="shared" si="13"/>
        <v>1022.7</v>
      </c>
      <c r="H663" s="43">
        <f>IFERROR(G663*E657,"")</f>
        <v>0</v>
      </c>
    </row>
    <row r="664" spans="1:11">
      <c r="A664" s="28"/>
      <c r="B664" s="29" t="s">
        <v>3309</v>
      </c>
      <c r="C664" s="30" t="str">
        <f>IFERROR(_xlfn.XLOOKUP(B664,Insumo[DESCRIPCION],Insumo[UND],,0),"")</f>
        <v>Un</v>
      </c>
      <c r="D664" s="31">
        <v>0.18</v>
      </c>
      <c r="E664" s="32">
        <f>IFERROR(_xlfn.XLOOKUP($B664,Insumo[DESCRIPCION],Insumo[VALOR],,0),"")</f>
        <v>56717.850000000006</v>
      </c>
      <c r="F664" s="33"/>
      <c r="G664" s="34">
        <f t="shared" si="13"/>
        <v>10209.213000000002</v>
      </c>
      <c r="H664" s="43">
        <f>IFERROR(G664*E657,"")</f>
        <v>0</v>
      </c>
    </row>
    <row r="665" spans="1:11">
      <c r="A665" s="28"/>
      <c r="B665" s="29" t="s">
        <v>3404</v>
      </c>
      <c r="C665" s="30" t="str">
        <f>IFERROR(_xlfn.XLOOKUP(B665,Insumo[DESCRIPCION],Insumo[UND],,0),"")</f>
        <v>Un</v>
      </c>
      <c r="D665" s="31">
        <v>18</v>
      </c>
      <c r="E665" s="32">
        <f>IFERROR(_xlfn.XLOOKUP($B665,Insumo[DESCRIPCION],Insumo[VALOR],,0),"")</f>
        <v>43.050000000000004</v>
      </c>
      <c r="F665" s="33"/>
      <c r="G665" s="34">
        <f t="shared" si="13"/>
        <v>774.90000000000009</v>
      </c>
      <c r="H665" s="43">
        <f>IFERROR(G665*E657,"")</f>
        <v>0</v>
      </c>
    </row>
    <row r="666" spans="1:11">
      <c r="A666" s="28"/>
      <c r="B666" s="29" t="s">
        <v>3406</v>
      </c>
      <c r="C666" s="30" t="str">
        <f>IFERROR(_xlfn.XLOOKUP(B666,Insumo[DESCRIPCION],Insumo[UND],,0),"")</f>
        <v>Un</v>
      </c>
      <c r="D666" s="31">
        <v>6</v>
      </c>
      <c r="E666" s="32">
        <f>IFERROR(_xlfn.XLOOKUP($B666,Insumo[DESCRIPCION],Insumo[VALOR],,0),"")</f>
        <v>44.1</v>
      </c>
      <c r="F666" s="33"/>
      <c r="G666" s="34">
        <f t="shared" si="13"/>
        <v>264.60000000000002</v>
      </c>
      <c r="H666" s="43">
        <f>IFERROR(G666*E657,"")</f>
        <v>0</v>
      </c>
    </row>
    <row r="667" spans="1:11">
      <c r="A667" s="28"/>
      <c r="B667" s="29" t="s">
        <v>3159</v>
      </c>
      <c r="C667" s="30" t="str">
        <f>IFERROR(_xlfn.XLOOKUP(B667,Insumo[DESCRIPCION],Insumo[UND],,0),"")</f>
        <v>Kg</v>
      </c>
      <c r="D667" s="31">
        <v>0.34</v>
      </c>
      <c r="E667" s="32">
        <f>IFERROR(_xlfn.XLOOKUP($B667,Insumo[DESCRIPCION],Insumo[VALOR],,0),"")</f>
        <v>9467.85</v>
      </c>
      <c r="F667" s="33"/>
      <c r="G667" s="34">
        <f t="shared" si="13"/>
        <v>3219.0690000000004</v>
      </c>
      <c r="H667" s="43">
        <f>IFERROR(G667*E657,"")</f>
        <v>0</v>
      </c>
    </row>
    <row r="668" spans="1:11">
      <c r="A668" s="21"/>
      <c r="B668" s="22" t="s">
        <v>3731</v>
      </c>
      <c r="C668" s="23"/>
      <c r="D668" s="24"/>
      <c r="E668" s="25"/>
      <c r="F668" s="26"/>
      <c r="G668" s="27">
        <f>SUM(G669:G671)</f>
        <v>7255.1711745000011</v>
      </c>
      <c r="H668" s="44">
        <f>G668*E657</f>
        <v>0</v>
      </c>
    </row>
    <row r="669" spans="1:11">
      <c r="A669" s="28"/>
      <c r="B669" s="29" t="s">
        <v>3573</v>
      </c>
      <c r="C669" s="30" t="str">
        <f>IFERROR(_xlfn.XLOOKUP(B669,Equipo[DESCRIPCION],Equipo[UND],,0),"")</f>
        <v>%MO</v>
      </c>
      <c r="D669" s="31">
        <v>0.1</v>
      </c>
      <c r="E669" s="32">
        <f>IF(C669="%MO",G675,IFERROR(_xlfn.XLOOKUP($B669,Equipo[DESCRIPCION],Equipo[VALOR],,0),""))</f>
        <v>48367.807830000012</v>
      </c>
      <c r="F669" s="33"/>
      <c r="G669" s="34">
        <f>IFERROR(IF(F669&gt;=0,D669*E669*(1+F669/100),ABS(D669*E669/F669)),"")</f>
        <v>4836.7807830000011</v>
      </c>
      <c r="H669" s="43">
        <f>IFERROR(G669*E657,"")</f>
        <v>0</v>
      </c>
    </row>
    <row r="670" spans="1:11">
      <c r="A670" s="28"/>
      <c r="B670" s="29" t="s">
        <v>3626</v>
      </c>
      <c r="C670" s="30" t="str">
        <f>IFERROR(_xlfn.XLOOKUP(B670,Equipo[DESCRIPCION],Equipo[UND],,0),"")</f>
        <v>%MO</v>
      </c>
      <c r="D670" s="31">
        <v>0.05</v>
      </c>
      <c r="E670" s="32">
        <f>IF(C670="%MO",G675,IFERROR(_xlfn.XLOOKUP($B670,Equipo[DESCRIPCION],Equipo[VALOR],,0),""))</f>
        <v>48367.807830000012</v>
      </c>
      <c r="F670" s="33"/>
      <c r="G670" s="34">
        <f>IFERROR(IF(F670&gt;=0,D670*E670*(1+F670/100),ABS(D670*E670/F670)),"")</f>
        <v>2418.3903915000005</v>
      </c>
      <c r="H670" s="43">
        <f>IFERROR(G670*E657,"")</f>
        <v>0</v>
      </c>
    </row>
    <row r="671" spans="1:11">
      <c r="A671" s="28"/>
      <c r="B671" s="29"/>
      <c r="C671" s="30" t="str">
        <f>IFERROR(_xlfn.XLOOKUP(B671,Equipo[DESCRIPCION],Equipo[UND],,0),"")</f>
        <v/>
      </c>
      <c r="D671" s="31"/>
      <c r="E671" s="32" t="str">
        <f>IF(C671="%MO",G675,IFERROR(_xlfn.XLOOKUP($B671,Equipo[DESCRIPCION],Equipo[VALOR],,0),""))</f>
        <v/>
      </c>
      <c r="F671" s="33"/>
      <c r="G671" s="34" t="str">
        <f>IFERROR(IF(F671&gt;=0,D671*E671*(1+F671/100),ABS(D671*E671/F671)),"")</f>
        <v/>
      </c>
      <c r="H671" s="43" t="str">
        <f>IFERROR(G671*E657,"")</f>
        <v/>
      </c>
    </row>
    <row r="672" spans="1:11">
      <c r="A672" s="21"/>
      <c r="B672" s="22" t="s">
        <v>2533</v>
      </c>
      <c r="C672" s="23"/>
      <c r="D672" s="24"/>
      <c r="E672" s="25"/>
      <c r="F672" s="26"/>
      <c r="G672" s="27">
        <f>SUM(G673:G674)</f>
        <v>0</v>
      </c>
      <c r="H672" s="44">
        <f>G672*E657</f>
        <v>0</v>
      </c>
    </row>
    <row r="673" spans="1:11">
      <c r="A673" s="28"/>
      <c r="B673" s="29"/>
      <c r="C673" s="30" t="str">
        <f>IFERROR(_xlfn.XLOOKUP(B673,Transporte[DESCRIPCION],Transporte[UND],,0),"")</f>
        <v/>
      </c>
      <c r="D673" s="31"/>
      <c r="E673" s="32" t="str">
        <f>IFERROR(_xlfn.XLOOKUP($B673,Transporte[DESCRIPCION],Transporte[VALOR],,0),"")</f>
        <v/>
      </c>
      <c r="F673" s="33"/>
      <c r="G673" s="34" t="str">
        <f>IFERROR(IF(F673&gt;=0,D673*E673*(1+F673/100),ABS(D673*E673/F673)),"")</f>
        <v/>
      </c>
      <c r="H673" s="43" t="str">
        <f>IFERROR(G673*E657,"")</f>
        <v/>
      </c>
    </row>
    <row r="674" spans="1:11">
      <c r="A674" s="28"/>
      <c r="B674" s="29"/>
      <c r="C674" s="30" t="str">
        <f>IFERROR(_xlfn.XLOOKUP(B674,Transporte[DESCRIPCION],Transporte[UND],,0),"")</f>
        <v/>
      </c>
      <c r="D674" s="31"/>
      <c r="E674" s="32" t="str">
        <f>IFERROR(_xlfn.XLOOKUP($B674,Transporte[DESCRIPCION],Transporte[VALOR],,0),"")</f>
        <v/>
      </c>
      <c r="F674" s="33"/>
      <c r="G674" s="34" t="str">
        <f>IFERROR(IF(F674&gt;=0,D674*E674*(1+F674/100),ABS(D674*E674/F674)),"")</f>
        <v/>
      </c>
      <c r="H674" s="43" t="str">
        <f>IFERROR(G674*E657,"")</f>
        <v/>
      </c>
    </row>
    <row r="675" spans="1:11">
      <c r="A675" s="21"/>
      <c r="B675" s="22" t="s">
        <v>3732</v>
      </c>
      <c r="C675" s="23"/>
      <c r="D675" s="24"/>
      <c r="E675" s="25"/>
      <c r="F675" s="26"/>
      <c r="G675" s="27">
        <f>SUM(G676:G678)</f>
        <v>48367.807830000012</v>
      </c>
      <c r="H675" s="44">
        <f>G675*E657</f>
        <v>0</v>
      </c>
    </row>
    <row r="676" spans="1:11">
      <c r="A676" s="28"/>
      <c r="B676" s="29" t="s">
        <v>3710</v>
      </c>
      <c r="C676" s="30" t="str">
        <f>IFERROR(_xlfn.XLOOKUP(B676,MObra[DESCRIPCION],MObra[UN],,0),"")</f>
        <v>día</v>
      </c>
      <c r="D676" s="31">
        <v>1</v>
      </c>
      <c r="E676" s="32">
        <f>IFERROR(_xlfn.XLOOKUP($B676,MObra[DESCRIPCION],MObra[VALOR UNIT],,0),"")</f>
        <v>314390.75089500006</v>
      </c>
      <c r="F676" s="33">
        <v>-6.5</v>
      </c>
      <c r="G676" s="34">
        <f>IFERROR(IF(F676&gt;=0,D676*E676*(1+F676/100),ABS(D676*E676/F676)),"")</f>
        <v>48367.807830000012</v>
      </c>
      <c r="H676" s="43">
        <f>IFERROR(G676*E657,"")</f>
        <v>0</v>
      </c>
    </row>
    <row r="677" spans="1:11">
      <c r="A677" s="28"/>
      <c r="B677" s="29"/>
      <c r="C677" s="30" t="str">
        <f t="array" ref="C677">IFERROR(_xlfn.XLOOKUP(B677,MObra[[#All],[DESCRIPCION]],MObra[[#All],[UN]],,0),"")</f>
        <v/>
      </c>
      <c r="D677" s="31"/>
      <c r="E677" s="32" t="str">
        <f>IFERROR(_xlfn.XLOOKUP($B677,MObra[DESCRIPCION],MObra[VALOR UNIT],,0),"")</f>
        <v/>
      </c>
      <c r="F677" s="33"/>
      <c r="G677" s="34" t="str">
        <f>IFERROR(IF(F677&gt;=0,D677*E677*(1+F677/100),ABS(D677*E677/F677)),"")</f>
        <v/>
      </c>
      <c r="H677" s="43" t="str">
        <f>IFERROR(G677*E657,"")</f>
        <v/>
      </c>
    </row>
    <row r="678" spans="1:11">
      <c r="A678" s="35"/>
      <c r="B678" s="36"/>
      <c r="C678" s="37" t="str">
        <f t="array" ref="C678">IFERROR(_xlfn.XLOOKUP(B678,MObra[[#All],[DESCRIPCION]],MObra[[#All],[UN]],,0),"")</f>
        <v/>
      </c>
      <c r="D678" s="38"/>
      <c r="E678" s="39" t="str">
        <f>IFERROR(_xlfn.XLOOKUP($B678,MObra[DESCRIPCION],MObra[VALOR UNIT],,0),"")</f>
        <v/>
      </c>
      <c r="F678" s="40"/>
      <c r="G678" s="41" t="str">
        <f>IFERROR(IF(F678&gt;=0,D678*E678*(1+F678/100),ABS(D678*E678/F678)),"")</f>
        <v/>
      </c>
      <c r="H678" s="42" t="str">
        <f>IFERROR(G678*E657,"")</f>
        <v/>
      </c>
    </row>
    <row r="680" spans="1:11">
      <c r="A680" s="6" t="s">
        <v>663</v>
      </c>
      <c r="B680" s="7" t="str">
        <f>VLOOKUP($A680,Presupuesto!$A:$D,2,FALSE())</f>
        <v>Muro ladrillo arcilla estructural 12x20x30 cm</v>
      </c>
      <c r="C680" s="8" t="str">
        <f>VLOOKUP($A680,Presupuesto!$A:$D,3,FALSE())</f>
        <v>M2</v>
      </c>
      <c r="D680" s="9"/>
      <c r="E680" s="10">
        <f>VLOOKUP($A680,Presupuesto!$A:$D,4,FALSE())</f>
        <v>0</v>
      </c>
      <c r="F680" s="11" t="s">
        <v>2589</v>
      </c>
      <c r="G680" s="12">
        <f>SUM(G682:G698)/2</f>
        <v>104090.70631490347</v>
      </c>
      <c r="H680" s="13">
        <f>ROUND(SUM(H682:H698),0)/2</f>
        <v>0</v>
      </c>
      <c r="I680" s="10">
        <f>VLOOKUP(A680,Presupuesto!$A:$F,6,0)</f>
        <v>0</v>
      </c>
      <c r="J680" s="10">
        <f>+H680-I680</f>
        <v>0</v>
      </c>
      <c r="K680" s="46">
        <f>+H680-G680*E680</f>
        <v>0</v>
      </c>
    </row>
    <row r="681" spans="1:11">
      <c r="A681" s="14"/>
      <c r="B681" s="15" t="s">
        <v>2586</v>
      </c>
      <c r="C681" s="15" t="s">
        <v>5</v>
      </c>
      <c r="D681" s="16" t="s">
        <v>6</v>
      </c>
      <c r="E681" s="17" t="s">
        <v>7</v>
      </c>
      <c r="F681" s="18" t="s">
        <v>3728</v>
      </c>
      <c r="G681" s="19" t="s">
        <v>3729</v>
      </c>
      <c r="H681" s="20" t="s">
        <v>3797</v>
      </c>
    </row>
    <row r="682" spans="1:11">
      <c r="A682" s="21"/>
      <c r="B682" s="22" t="s">
        <v>3730</v>
      </c>
      <c r="C682" s="23"/>
      <c r="D682" s="24"/>
      <c r="E682" s="25"/>
      <c r="F682" s="26"/>
      <c r="G682" s="27">
        <f>SUM(G683:G687)</f>
        <v>64653.028930553446</v>
      </c>
      <c r="H682" s="27">
        <f>IFERROR(G682*E680,"")</f>
        <v>0</v>
      </c>
    </row>
    <row r="683" spans="1:11">
      <c r="A683" s="28"/>
      <c r="B683" s="29" t="s">
        <v>3015</v>
      </c>
      <c r="C683" s="30" t="str">
        <f>IFERROR(_xlfn.XLOOKUP(B683,Insumo[DESCRIPCION],Insumo[UND],,0),"")</f>
        <v>Un</v>
      </c>
      <c r="D683" s="31">
        <v>17.5</v>
      </c>
      <c r="E683" s="32">
        <f>IFERROR(_xlfn.XLOOKUP($B683,Insumo[DESCRIPCION],Insumo[VALOR],,0),"")</f>
        <v>2841.3</v>
      </c>
      <c r="F683" s="33">
        <v>5</v>
      </c>
      <c r="G683" s="34">
        <f>IFERROR(IF(F683&gt;=0,D683*E683*(1+F683/100),ABS(D683*E683/F683)),"")</f>
        <v>52208.887500000004</v>
      </c>
      <c r="H683" s="43">
        <f>IFERROR(G683*E680,"")</f>
        <v>0</v>
      </c>
    </row>
    <row r="684" spans="1:11">
      <c r="A684" s="28"/>
      <c r="B684" s="29" t="s">
        <v>3244</v>
      </c>
      <c r="C684" s="30" t="str">
        <f>IFERROR(_xlfn.XLOOKUP(B684,Insumo[DESCRIPCION],Insumo[UND],,0),"")</f>
        <v>M3</v>
      </c>
      <c r="D684" s="31">
        <v>2.5000000000000001E-2</v>
      </c>
      <c r="E684" s="32">
        <f>IFERROR(_xlfn.XLOOKUP($B684,Insumo[DESCRIPCION],Insumo[VALOR],,0),"")</f>
        <v>497765.65722213761</v>
      </c>
      <c r="F684" s="33"/>
      <c r="G684" s="34">
        <f>IFERROR(IF(F684&gt;=0,D684*E684*(1+F684/100),ABS(D684*E684/F684)),"")</f>
        <v>12444.141430553442</v>
      </c>
      <c r="H684" s="43">
        <f>IFERROR(G684*E680,"")</f>
        <v>0</v>
      </c>
    </row>
    <row r="685" spans="1:11">
      <c r="A685" s="28"/>
      <c r="B685" s="29"/>
      <c r="C685" s="30" t="str">
        <f>IFERROR(_xlfn.XLOOKUP(B685,Insumo[DESCRIPCION],Insumo[UND],,0),"")</f>
        <v/>
      </c>
      <c r="D685" s="31"/>
      <c r="E685" s="32" t="str">
        <f>IFERROR(_xlfn.XLOOKUP($B685,Insumo[DESCRIPCION],Insumo[VALOR],,0),"")</f>
        <v/>
      </c>
      <c r="F685" s="33"/>
      <c r="G685" s="34" t="str">
        <f>IFERROR(IF(F685&gt;=0,D685*E685*(1+F685/100),ABS(D685*E685/F685)),"")</f>
        <v/>
      </c>
      <c r="H685" s="43" t="str">
        <f>IFERROR(G685*E680,"")</f>
        <v/>
      </c>
    </row>
    <row r="686" spans="1:11">
      <c r="A686" s="28"/>
      <c r="B686" s="29"/>
      <c r="C686" s="30" t="str">
        <f>IFERROR(_xlfn.XLOOKUP(B686,Insumo[DESCRIPCION],Insumo[UND],,0),"")</f>
        <v/>
      </c>
      <c r="D686" s="31"/>
      <c r="E686" s="32" t="str">
        <f>IFERROR(_xlfn.XLOOKUP($B686,Insumo[DESCRIPCION],Insumo[VALOR],,0),"")</f>
        <v/>
      </c>
      <c r="F686" s="33"/>
      <c r="G686" s="34" t="str">
        <f>IFERROR(IF(F686&gt;=0,D686*E686*(1+F686/100),ABS(D686*E686/F686)),"")</f>
        <v/>
      </c>
      <c r="H686" s="43" t="str">
        <f>IFERROR(G686*E680,"")</f>
        <v/>
      </c>
    </row>
    <row r="687" spans="1:11">
      <c r="A687" s="28"/>
      <c r="B687" s="29"/>
      <c r="C687" s="30" t="str">
        <f>IFERROR(_xlfn.XLOOKUP(B687,Insumo[DESCRIPCION],Insumo[UND],,0),"")</f>
        <v/>
      </c>
      <c r="D687" s="31"/>
      <c r="E687" s="32" t="str">
        <f>IFERROR(_xlfn.XLOOKUP($B687,Insumo[DESCRIPCION],Insumo[VALOR],,0),"")</f>
        <v/>
      </c>
      <c r="F687" s="33"/>
      <c r="G687" s="34" t="str">
        <f>IFERROR(IF(F687&gt;=0,D687*E687*(1+F687/100),ABS(D687*E687/F687)),"")</f>
        <v/>
      </c>
      <c r="H687" s="43" t="str">
        <f>IFERROR(G687*E680,"")</f>
        <v/>
      </c>
    </row>
    <row r="688" spans="1:11">
      <c r="A688" s="21"/>
      <c r="B688" s="22" t="s">
        <v>3731</v>
      </c>
      <c r="C688" s="23"/>
      <c r="D688" s="24"/>
      <c r="E688" s="25"/>
      <c r="F688" s="26"/>
      <c r="G688" s="27">
        <f>SUM(G689:G691)</f>
        <v>6296.7720193500008</v>
      </c>
      <c r="H688" s="44">
        <f>G688*E680</f>
        <v>0</v>
      </c>
    </row>
    <row r="689" spans="1:11">
      <c r="A689" s="28"/>
      <c r="B689" s="29" t="s">
        <v>3573</v>
      </c>
      <c r="C689" s="30" t="str">
        <f>IFERROR(_xlfn.XLOOKUP(B689,Equipo[DESCRIPCION],Equipo[UND],,0),"")</f>
        <v>%MO</v>
      </c>
      <c r="D689" s="31">
        <v>0.1</v>
      </c>
      <c r="E689" s="32">
        <f>IF(C689="%MO",G695,IFERROR(_xlfn.XLOOKUP($B689,Equipo[DESCRIPCION],Equipo[VALOR],,0),""))</f>
        <v>33140.905365000006</v>
      </c>
      <c r="F689" s="33"/>
      <c r="G689" s="34">
        <f>IFERROR(IF(F689&gt;=0,D689*E689*(1+F689/100),ABS(D689*E689/F689)),"")</f>
        <v>3314.0905365000008</v>
      </c>
      <c r="H689" s="43">
        <f>IFERROR(G689*E680,"")</f>
        <v>0</v>
      </c>
    </row>
    <row r="690" spans="1:11">
      <c r="A690" s="28"/>
      <c r="B690" s="29" t="s">
        <v>3570</v>
      </c>
      <c r="C690" s="30" t="str">
        <f>IFERROR(_xlfn.XLOOKUP(B690,Equipo[DESCRIPCION],Equipo[UND],,0),"")</f>
        <v>%MO</v>
      </c>
      <c r="D690" s="31">
        <v>0.04</v>
      </c>
      <c r="E690" s="32">
        <f>IF(C690="%MO",G695,IFERROR(_xlfn.XLOOKUP($B690,Equipo[DESCRIPCION],Equipo[VALOR],,0),""))</f>
        <v>33140.905365000006</v>
      </c>
      <c r="F690" s="33"/>
      <c r="G690" s="34">
        <f>IFERROR(IF(F690&gt;=0,D690*E690*(1+F690/100),ABS(D690*E690/F690)),"")</f>
        <v>1325.6362146000004</v>
      </c>
      <c r="H690" s="43">
        <f>IFERROR(G690*E680,"")</f>
        <v>0</v>
      </c>
    </row>
    <row r="691" spans="1:11">
      <c r="A691" s="28"/>
      <c r="B691" s="29" t="s">
        <v>3626</v>
      </c>
      <c r="C691" s="30" t="str">
        <f>IFERROR(_xlfn.XLOOKUP(B691,Equipo[DESCRIPCION],Equipo[UND],,0),"")</f>
        <v>%MO</v>
      </c>
      <c r="D691" s="31">
        <v>0.05</v>
      </c>
      <c r="E691" s="32">
        <f>IF(C691="%MO",G695,IFERROR(_xlfn.XLOOKUP($B691,Equipo[DESCRIPCION],Equipo[VALOR],,0),""))</f>
        <v>33140.905365000006</v>
      </c>
      <c r="F691" s="33"/>
      <c r="G691" s="34">
        <f>IFERROR(IF(F691&gt;=0,D691*E691*(1+F691/100),ABS(D691*E691/F691)),"")</f>
        <v>1657.0452682500004</v>
      </c>
      <c r="H691" s="43">
        <f>IFERROR(G691*E680,"")</f>
        <v>0</v>
      </c>
    </row>
    <row r="692" spans="1:11">
      <c r="A692" s="21"/>
      <c r="B692" s="22" t="s">
        <v>2533</v>
      </c>
      <c r="C692" s="23"/>
      <c r="D692" s="24"/>
      <c r="E692" s="25"/>
      <c r="F692" s="26"/>
      <c r="G692" s="27">
        <f>SUM(G693:G694)</f>
        <v>0</v>
      </c>
      <c r="H692" s="44">
        <f>G692*E680</f>
        <v>0</v>
      </c>
    </row>
    <row r="693" spans="1:11">
      <c r="A693" s="28"/>
      <c r="B693" s="29"/>
      <c r="C693" s="30" t="str">
        <f>IFERROR(_xlfn.XLOOKUP(B693,Transporte[DESCRIPCION],Transporte[UND],,0),"")</f>
        <v/>
      </c>
      <c r="D693" s="31"/>
      <c r="E693" s="32" t="str">
        <f>IFERROR(_xlfn.XLOOKUP($B693,Transporte[DESCRIPCION],Transporte[VALOR],,0),"")</f>
        <v/>
      </c>
      <c r="F693" s="33"/>
      <c r="G693" s="34" t="str">
        <f>IFERROR(IF(F693&gt;=0,D693*E693*(1+F693/100),ABS(D693*E693/F693)),"")</f>
        <v/>
      </c>
      <c r="H693" s="43" t="str">
        <f>IFERROR(G693*E680,"")</f>
        <v/>
      </c>
    </row>
    <row r="694" spans="1:11">
      <c r="A694" s="28"/>
      <c r="B694" s="29"/>
      <c r="C694" s="30" t="str">
        <f>IFERROR(_xlfn.XLOOKUP(B694,Transporte[DESCRIPCION],Transporte[UND],,0),"")</f>
        <v/>
      </c>
      <c r="D694" s="31"/>
      <c r="E694" s="32" t="str">
        <f>IFERROR(_xlfn.XLOOKUP($B694,Transporte[DESCRIPCION],Transporte[VALOR],,0),"")</f>
        <v/>
      </c>
      <c r="F694" s="33"/>
      <c r="G694" s="34" t="str">
        <f>IFERROR(IF(F694&gt;=0,D694*E694*(1+F694/100),ABS(D694*E694/F694)),"")</f>
        <v/>
      </c>
      <c r="H694" s="43" t="str">
        <f>IFERROR(G694*E680,"")</f>
        <v/>
      </c>
    </row>
    <row r="695" spans="1:11">
      <c r="A695" s="21"/>
      <c r="B695" s="22" t="s">
        <v>3732</v>
      </c>
      <c r="C695" s="23"/>
      <c r="D695" s="24"/>
      <c r="E695" s="25"/>
      <c r="F695" s="26"/>
      <c r="G695" s="27">
        <f>SUM(G696:G698)</f>
        <v>33140.905365000006</v>
      </c>
      <c r="H695" s="44">
        <f>G695*E680</f>
        <v>0</v>
      </c>
    </row>
    <row r="696" spans="1:11">
      <c r="A696" s="28"/>
      <c r="B696" s="29" t="s">
        <v>3711</v>
      </c>
      <c r="C696" s="30" t="str">
        <f>IFERROR(_xlfn.XLOOKUP(B696,MObra[DESCRIPCION],MObra[UN],,0),"")</f>
        <v>día</v>
      </c>
      <c r="D696" s="31">
        <v>1</v>
      </c>
      <c r="E696" s="32">
        <f>IFERROR(_xlfn.XLOOKUP($B696,MObra[DESCRIPCION],MObra[VALOR UNIT],,0),"")</f>
        <v>430831.76974500006</v>
      </c>
      <c r="F696" s="33">
        <v>-13</v>
      </c>
      <c r="G696" s="34">
        <f>IFERROR(IF(F696&gt;=0,D696*E696*(1+F696/100),ABS(D696*E696/F696)),"")</f>
        <v>33140.905365000006</v>
      </c>
      <c r="H696" s="43">
        <f>IFERROR(G696*E680,"")</f>
        <v>0</v>
      </c>
    </row>
    <row r="697" spans="1:11">
      <c r="A697" s="28"/>
      <c r="B697" s="29"/>
      <c r="C697" s="30" t="str">
        <f t="array" ref="C697">IFERROR(_xlfn.XLOOKUP(B697,MObra[[#All],[DESCRIPCION]],MObra[[#All],[UN]],,0),"")</f>
        <v/>
      </c>
      <c r="D697" s="31"/>
      <c r="E697" s="32" t="str">
        <f>IFERROR(_xlfn.XLOOKUP($B697,MObra[DESCRIPCION],MObra[VALOR UNIT],,0),"")</f>
        <v/>
      </c>
      <c r="F697" s="33"/>
      <c r="G697" s="34" t="str">
        <f>IFERROR(IF(F697&gt;=0,D697*E697*(1+F697/100),ABS(D697*E697/F697)),"")</f>
        <v/>
      </c>
      <c r="H697" s="43" t="str">
        <f>IFERROR(G697*E680,"")</f>
        <v/>
      </c>
    </row>
    <row r="698" spans="1:11">
      <c r="A698" s="35"/>
      <c r="B698" s="36"/>
      <c r="C698" s="37" t="str">
        <f t="array" ref="C698">IFERROR(_xlfn.XLOOKUP(B698,MObra[[#All],[DESCRIPCION]],MObra[[#All],[UN]],,0),"")</f>
        <v/>
      </c>
      <c r="D698" s="38"/>
      <c r="E698" s="39" t="str">
        <f>IFERROR(_xlfn.XLOOKUP($B698,MObra[DESCRIPCION],MObra[VALOR UNIT],,0),"")</f>
        <v/>
      </c>
      <c r="F698" s="40"/>
      <c r="G698" s="41" t="str">
        <f>IFERROR(IF(F698&gt;=0,D698*E698*(1+F698/100),ABS(D698*E698/F698)),"")</f>
        <v/>
      </c>
      <c r="H698" s="42" t="str">
        <f>IFERROR(G698*E680,"")</f>
        <v/>
      </c>
    </row>
    <row r="700" spans="1:11">
      <c r="A700" s="6" t="s">
        <v>665</v>
      </c>
      <c r="B700" s="7" t="str">
        <f>VLOOKUP($A700,Presupuesto!$A:$D,2,FALSE())</f>
        <v>Muro ladrillo farol pandereta revitado E=0.10 m</v>
      </c>
      <c r="C700" s="8" t="str">
        <f>VLOOKUP($A700,Presupuesto!$A:$D,3,FALSE())</f>
        <v>M2</v>
      </c>
      <c r="D700" s="9"/>
      <c r="E700" s="10">
        <f>VLOOKUP($A700,Presupuesto!$A:$D,4,FALSE())</f>
        <v>0</v>
      </c>
      <c r="F700" s="11" t="s">
        <v>2589</v>
      </c>
      <c r="G700" s="12">
        <f>SUM(G702:G718)/2</f>
        <v>82173.006314903454</v>
      </c>
      <c r="H700" s="13">
        <f>ROUND(SUM(H702:H718),0)/2</f>
        <v>0</v>
      </c>
      <c r="I700" s="10">
        <f>VLOOKUP(A700,Presupuesto!$A:$F,6,0)</f>
        <v>0</v>
      </c>
      <c r="J700" s="10">
        <f>+H700-I700</f>
        <v>0</v>
      </c>
      <c r="K700" s="46">
        <f>+H700-G700*E700</f>
        <v>0</v>
      </c>
    </row>
    <row r="701" spans="1:11">
      <c r="A701" s="14"/>
      <c r="B701" s="15" t="s">
        <v>2586</v>
      </c>
      <c r="C701" s="15" t="s">
        <v>5</v>
      </c>
      <c r="D701" s="16" t="s">
        <v>6</v>
      </c>
      <c r="E701" s="17" t="s">
        <v>7</v>
      </c>
      <c r="F701" s="18" t="s">
        <v>3728</v>
      </c>
      <c r="G701" s="19" t="s">
        <v>3729</v>
      </c>
      <c r="H701" s="20" t="s">
        <v>3797</v>
      </c>
    </row>
    <row r="702" spans="1:11">
      <c r="A702" s="21"/>
      <c r="B702" s="22" t="s">
        <v>3730</v>
      </c>
      <c r="C702" s="23"/>
      <c r="D702" s="24"/>
      <c r="E702" s="25"/>
      <c r="F702" s="26"/>
      <c r="G702" s="27">
        <f>SUM(G703:G707)</f>
        <v>42735.328930553442</v>
      </c>
      <c r="H702" s="27">
        <f>IFERROR(G702*E700,"")</f>
        <v>0</v>
      </c>
    </row>
    <row r="703" spans="1:11">
      <c r="A703" s="28"/>
      <c r="B703" s="29" t="s">
        <v>3016</v>
      </c>
      <c r="C703" s="30" t="str">
        <f>IFERROR(_xlfn.XLOOKUP(B703,Insumo[DESCRIPCION],Insumo[UND],,0),"")</f>
        <v>Un</v>
      </c>
      <c r="D703" s="31">
        <v>17.5</v>
      </c>
      <c r="E703" s="32">
        <f>IFERROR(_xlfn.XLOOKUP($B703,Insumo[DESCRIPCION],Insumo[VALOR],,0),"")</f>
        <v>1648.5</v>
      </c>
      <c r="F703" s="33">
        <v>5</v>
      </c>
      <c r="G703" s="34">
        <f>IFERROR(IF(F703&gt;=0,D703*E703*(1+F703/100),ABS(D703*E703/F703)),"")</f>
        <v>30291.1875</v>
      </c>
      <c r="H703" s="43">
        <f>IFERROR(G703*E700,"")</f>
        <v>0</v>
      </c>
    </row>
    <row r="704" spans="1:11">
      <c r="A704" s="28"/>
      <c r="B704" s="29" t="s">
        <v>3244</v>
      </c>
      <c r="C704" s="30" t="str">
        <f>IFERROR(_xlfn.XLOOKUP(B704,Insumo[DESCRIPCION],Insumo[UND],,0),"")</f>
        <v>M3</v>
      </c>
      <c r="D704" s="31">
        <v>2.5000000000000001E-2</v>
      </c>
      <c r="E704" s="32">
        <f>IFERROR(_xlfn.XLOOKUP($B704,Insumo[DESCRIPCION],Insumo[VALOR],,0),"")</f>
        <v>497765.65722213761</v>
      </c>
      <c r="F704" s="33"/>
      <c r="G704" s="34">
        <f>IFERROR(IF(F704&gt;=0,D704*E704*(1+F704/100),ABS(D704*E704/F704)),"")</f>
        <v>12444.141430553442</v>
      </c>
      <c r="H704" s="43">
        <f>IFERROR(G704*E700,"")</f>
        <v>0</v>
      </c>
    </row>
    <row r="705" spans="1:11">
      <c r="A705" s="28"/>
      <c r="B705" s="29"/>
      <c r="C705" s="30" t="str">
        <f>IFERROR(_xlfn.XLOOKUP(B705,Insumo[DESCRIPCION],Insumo[UND],,0),"")</f>
        <v/>
      </c>
      <c r="D705" s="31"/>
      <c r="E705" s="32" t="str">
        <f>IFERROR(_xlfn.XLOOKUP($B705,Insumo[DESCRIPCION],Insumo[VALOR],,0),"")</f>
        <v/>
      </c>
      <c r="F705" s="33"/>
      <c r="G705" s="34" t="str">
        <f>IFERROR(IF(F705&gt;=0,D705*E705*(1+F705/100),ABS(D705*E705/F705)),"")</f>
        <v/>
      </c>
      <c r="H705" s="43" t="str">
        <f>IFERROR(G705*E700,"")</f>
        <v/>
      </c>
    </row>
    <row r="706" spans="1:11">
      <c r="A706" s="28"/>
      <c r="B706" s="29"/>
      <c r="C706" s="30" t="str">
        <f>IFERROR(_xlfn.XLOOKUP(B706,Insumo[DESCRIPCION],Insumo[UND],,0),"")</f>
        <v/>
      </c>
      <c r="D706" s="31"/>
      <c r="E706" s="32" t="str">
        <f>IFERROR(_xlfn.XLOOKUP($B706,Insumo[DESCRIPCION],Insumo[VALOR],,0),"")</f>
        <v/>
      </c>
      <c r="F706" s="33"/>
      <c r="G706" s="34" t="str">
        <f>IFERROR(IF(F706&gt;=0,D706*E706*(1+F706/100),ABS(D706*E706/F706)),"")</f>
        <v/>
      </c>
      <c r="H706" s="43" t="str">
        <f>IFERROR(G706*E700,"")</f>
        <v/>
      </c>
    </row>
    <row r="707" spans="1:11">
      <c r="A707" s="28"/>
      <c r="B707" s="29"/>
      <c r="C707" s="30" t="str">
        <f>IFERROR(_xlfn.XLOOKUP(B707,Insumo[DESCRIPCION],Insumo[UND],,0),"")</f>
        <v/>
      </c>
      <c r="D707" s="31"/>
      <c r="E707" s="32" t="str">
        <f>IFERROR(_xlfn.XLOOKUP($B707,Insumo[DESCRIPCION],Insumo[VALOR],,0),"")</f>
        <v/>
      </c>
      <c r="F707" s="33"/>
      <c r="G707" s="34" t="str">
        <f>IFERROR(IF(F707&gt;=0,D707*E707*(1+F707/100),ABS(D707*E707/F707)),"")</f>
        <v/>
      </c>
      <c r="H707" s="43" t="str">
        <f>IFERROR(G707*E700,"")</f>
        <v/>
      </c>
    </row>
    <row r="708" spans="1:11">
      <c r="A708" s="21"/>
      <c r="B708" s="22" t="s">
        <v>3731</v>
      </c>
      <c r="C708" s="23"/>
      <c r="D708" s="24"/>
      <c r="E708" s="25"/>
      <c r="F708" s="26"/>
      <c r="G708" s="27">
        <f>SUM(G709:G711)</f>
        <v>6296.7720193500008</v>
      </c>
      <c r="H708" s="44">
        <f>G708*E700</f>
        <v>0</v>
      </c>
    </row>
    <row r="709" spans="1:11">
      <c r="A709" s="28"/>
      <c r="B709" s="29" t="s">
        <v>3573</v>
      </c>
      <c r="C709" s="30" t="str">
        <f>IFERROR(_xlfn.XLOOKUP(B709,Equipo[DESCRIPCION],Equipo[UND],,0),"")</f>
        <v>%MO</v>
      </c>
      <c r="D709" s="31">
        <v>0.1</v>
      </c>
      <c r="E709" s="32">
        <f>IF(C709="%MO",G715,IFERROR(_xlfn.XLOOKUP($B709,Equipo[DESCRIPCION],Equipo[VALOR],,0),""))</f>
        <v>33140.905365000006</v>
      </c>
      <c r="F709" s="33"/>
      <c r="G709" s="34">
        <f>IFERROR(IF(F709&gt;=0,D709*E709*(1+F709/100),ABS(D709*E709/F709)),"")</f>
        <v>3314.0905365000008</v>
      </c>
      <c r="H709" s="43">
        <f>IFERROR(G709*E700,"")</f>
        <v>0</v>
      </c>
    </row>
    <row r="710" spans="1:11">
      <c r="A710" s="28"/>
      <c r="B710" s="29" t="s">
        <v>3570</v>
      </c>
      <c r="C710" s="30" t="str">
        <f>IFERROR(_xlfn.XLOOKUP(B710,Equipo[DESCRIPCION],Equipo[UND],,0),"")</f>
        <v>%MO</v>
      </c>
      <c r="D710" s="31">
        <v>0.04</v>
      </c>
      <c r="E710" s="32">
        <f>IF(C710="%MO",G715,IFERROR(_xlfn.XLOOKUP($B710,Equipo[DESCRIPCION],Equipo[VALOR],,0),""))</f>
        <v>33140.905365000006</v>
      </c>
      <c r="F710" s="33"/>
      <c r="G710" s="34">
        <f>IFERROR(IF(F710&gt;=0,D710*E710*(1+F710/100),ABS(D710*E710/F710)),"")</f>
        <v>1325.6362146000004</v>
      </c>
      <c r="H710" s="43">
        <f>IFERROR(G710*E700,"")</f>
        <v>0</v>
      </c>
    </row>
    <row r="711" spans="1:11">
      <c r="A711" s="28"/>
      <c r="B711" s="29" t="s">
        <v>3626</v>
      </c>
      <c r="C711" s="30" t="str">
        <f>IFERROR(_xlfn.XLOOKUP(B711,Equipo[DESCRIPCION],Equipo[UND],,0),"")</f>
        <v>%MO</v>
      </c>
      <c r="D711" s="31">
        <v>0.05</v>
      </c>
      <c r="E711" s="32">
        <f>IF(C711="%MO",G715,IFERROR(_xlfn.XLOOKUP($B711,Equipo[DESCRIPCION],Equipo[VALOR],,0),""))</f>
        <v>33140.905365000006</v>
      </c>
      <c r="F711" s="33"/>
      <c r="G711" s="34">
        <f>IFERROR(IF(F711&gt;=0,D711*E711*(1+F711/100),ABS(D711*E711/F711)),"")</f>
        <v>1657.0452682500004</v>
      </c>
      <c r="H711" s="43">
        <f>IFERROR(G711*E700,"")</f>
        <v>0</v>
      </c>
    </row>
    <row r="712" spans="1:11">
      <c r="A712" s="21"/>
      <c r="B712" s="22" t="s">
        <v>2533</v>
      </c>
      <c r="C712" s="23"/>
      <c r="D712" s="24"/>
      <c r="E712" s="25"/>
      <c r="F712" s="26"/>
      <c r="G712" s="27">
        <f>SUM(G713:G714)</f>
        <v>0</v>
      </c>
      <c r="H712" s="44">
        <f>G712*E700</f>
        <v>0</v>
      </c>
    </row>
    <row r="713" spans="1:11">
      <c r="A713" s="28"/>
      <c r="B713" s="29"/>
      <c r="C713" s="30" t="str">
        <f>IFERROR(_xlfn.XLOOKUP(B713,Transporte[DESCRIPCION],Transporte[UND],,0),"")</f>
        <v/>
      </c>
      <c r="D713" s="31"/>
      <c r="E713" s="32" t="str">
        <f>IFERROR(_xlfn.XLOOKUP($B713,Transporte[DESCRIPCION],Transporte[VALOR],,0),"")</f>
        <v/>
      </c>
      <c r="F713" s="33"/>
      <c r="G713" s="34" t="str">
        <f>IFERROR(IF(F713&gt;=0,D713*E713*(1+F713/100),ABS(D713*E713/F713)),"")</f>
        <v/>
      </c>
      <c r="H713" s="43" t="str">
        <f>IFERROR(G713*E700,"")</f>
        <v/>
      </c>
    </row>
    <row r="714" spans="1:11">
      <c r="A714" s="28"/>
      <c r="B714" s="29"/>
      <c r="C714" s="30" t="str">
        <f>IFERROR(_xlfn.XLOOKUP(B714,Transporte[DESCRIPCION],Transporte[UND],,0),"")</f>
        <v/>
      </c>
      <c r="D714" s="31"/>
      <c r="E714" s="32" t="str">
        <f>IFERROR(_xlfn.XLOOKUP($B714,Transporte[DESCRIPCION],Transporte[VALOR],,0),"")</f>
        <v/>
      </c>
      <c r="F714" s="33"/>
      <c r="G714" s="34" t="str">
        <f>IFERROR(IF(F714&gt;=0,D714*E714*(1+F714/100),ABS(D714*E714/F714)),"")</f>
        <v/>
      </c>
      <c r="H714" s="43" t="str">
        <f>IFERROR(G714*E700,"")</f>
        <v/>
      </c>
    </row>
    <row r="715" spans="1:11">
      <c r="A715" s="21"/>
      <c r="B715" s="22" t="s">
        <v>3732</v>
      </c>
      <c r="C715" s="23"/>
      <c r="D715" s="24"/>
      <c r="E715" s="25"/>
      <c r="F715" s="26"/>
      <c r="G715" s="27">
        <f>SUM(G716:G718)</f>
        <v>33140.905365000006</v>
      </c>
      <c r="H715" s="44">
        <f>G715*E700</f>
        <v>0</v>
      </c>
    </row>
    <row r="716" spans="1:11">
      <c r="A716" s="28"/>
      <c r="B716" s="29" t="s">
        <v>3711</v>
      </c>
      <c r="C716" s="30" t="str">
        <f>IFERROR(_xlfn.XLOOKUP(B716,MObra[DESCRIPCION],MObra[UN],,0),"")</f>
        <v>día</v>
      </c>
      <c r="D716" s="31">
        <v>1</v>
      </c>
      <c r="E716" s="32">
        <f>IFERROR(_xlfn.XLOOKUP($B716,MObra[DESCRIPCION],MObra[VALOR UNIT],,0),"")</f>
        <v>430831.76974500006</v>
      </c>
      <c r="F716" s="33">
        <v>-13</v>
      </c>
      <c r="G716" s="34">
        <f>IFERROR(IF(F716&gt;=0,D716*E716*(1+F716/100),ABS(D716*E716/F716)),"")</f>
        <v>33140.905365000006</v>
      </c>
      <c r="H716" s="43">
        <f>IFERROR(G716*E700,"")</f>
        <v>0</v>
      </c>
    </row>
    <row r="717" spans="1:11">
      <c r="A717" s="28"/>
      <c r="B717" s="29"/>
      <c r="C717" s="30" t="str">
        <f t="array" ref="C717">IFERROR(_xlfn.XLOOKUP(B717,MObra[[#All],[DESCRIPCION]],MObra[[#All],[UN]],,0),"")</f>
        <v/>
      </c>
      <c r="D717" s="31"/>
      <c r="E717" s="32" t="str">
        <f>IFERROR(_xlfn.XLOOKUP($B717,MObra[DESCRIPCION],MObra[VALOR UNIT],,0),"")</f>
        <v/>
      </c>
      <c r="F717" s="33"/>
      <c r="G717" s="34" t="str">
        <f>IFERROR(IF(F717&gt;=0,D717*E717*(1+F717/100),ABS(D717*E717/F717)),"")</f>
        <v/>
      </c>
      <c r="H717" s="43" t="str">
        <f>IFERROR(G717*E700,"")</f>
        <v/>
      </c>
    </row>
    <row r="718" spans="1:11">
      <c r="A718" s="35"/>
      <c r="B718" s="36"/>
      <c r="C718" s="37" t="str">
        <f t="array" ref="C718">IFERROR(_xlfn.XLOOKUP(B718,MObra[[#All],[DESCRIPCION]],MObra[[#All],[UN]],,0),"")</f>
        <v/>
      </c>
      <c r="D718" s="38"/>
      <c r="E718" s="39" t="str">
        <f>IFERROR(_xlfn.XLOOKUP($B718,MObra[DESCRIPCION],MObra[VALOR UNIT],,0),"")</f>
        <v/>
      </c>
      <c r="F718" s="40"/>
      <c r="G718" s="41" t="str">
        <f>IFERROR(IF(F718&gt;=0,D718*E718*(1+F718/100),ABS(D718*E718/F718)),"")</f>
        <v/>
      </c>
      <c r="H718" s="42" t="str">
        <f>IFERROR(G718*E700,"")</f>
        <v/>
      </c>
    </row>
    <row r="720" spans="1:11">
      <c r="A720" s="6" t="s">
        <v>667</v>
      </c>
      <c r="B720" s="7" t="str">
        <f>VLOOKUP($A720,Presupuesto!$A:$D,2,FALSE())</f>
        <v>Muro ladrillo farol pandereta revitado E=0.12 m</v>
      </c>
      <c r="C720" s="8" t="str">
        <f>VLOOKUP($A720,Presupuesto!$A:$D,3,FALSE())</f>
        <v>M2</v>
      </c>
      <c r="D720" s="9"/>
      <c r="E720" s="10">
        <f>VLOOKUP($A720,Presupuesto!$A:$D,4,FALSE())</f>
        <v>0</v>
      </c>
      <c r="F720" s="11" t="s">
        <v>2589</v>
      </c>
      <c r="G720" s="12">
        <f>SUM(G722:G738)/2</f>
        <v>91569.062564903463</v>
      </c>
      <c r="H720" s="13">
        <f>ROUND(SUM(H722:H738),0)/2</f>
        <v>0</v>
      </c>
      <c r="I720" s="10">
        <f>VLOOKUP(A720,Presupuesto!$A:$F,6,0)</f>
        <v>0</v>
      </c>
      <c r="J720" s="10">
        <f>+H720-I720</f>
        <v>0</v>
      </c>
      <c r="K720" s="46">
        <f>+H720-G720*E720</f>
        <v>0</v>
      </c>
    </row>
    <row r="721" spans="1:8">
      <c r="A721" s="14"/>
      <c r="B721" s="15" t="s">
        <v>2586</v>
      </c>
      <c r="C721" s="15" t="s">
        <v>5</v>
      </c>
      <c r="D721" s="16" t="s">
        <v>6</v>
      </c>
      <c r="E721" s="17" t="s">
        <v>7</v>
      </c>
      <c r="F721" s="18" t="s">
        <v>3728</v>
      </c>
      <c r="G721" s="19" t="s">
        <v>3729</v>
      </c>
      <c r="H721" s="20" t="s">
        <v>3797</v>
      </c>
    </row>
    <row r="722" spans="1:8">
      <c r="A722" s="21"/>
      <c r="B722" s="22" t="s">
        <v>3730</v>
      </c>
      <c r="C722" s="23"/>
      <c r="D722" s="24"/>
      <c r="E722" s="25"/>
      <c r="F722" s="26"/>
      <c r="G722" s="27">
        <f>SUM(G723:G727)</f>
        <v>52131.385180553443</v>
      </c>
      <c r="H722" s="27">
        <f>IFERROR(G722*E720,"")</f>
        <v>0</v>
      </c>
    </row>
    <row r="723" spans="1:8">
      <c r="A723" s="28"/>
      <c r="B723" s="29" t="s">
        <v>3017</v>
      </c>
      <c r="C723" s="30" t="str">
        <f>IFERROR(_xlfn.XLOOKUP(B723,Insumo[DESCRIPCION],Insumo[UND],,0),"")</f>
        <v>Un</v>
      </c>
      <c r="D723" s="31">
        <v>17.5</v>
      </c>
      <c r="E723" s="32">
        <f>IFERROR(_xlfn.XLOOKUP($B723,Insumo[DESCRIPCION],Insumo[VALOR],,0),"")</f>
        <v>2159.85</v>
      </c>
      <c r="F723" s="33">
        <v>5</v>
      </c>
      <c r="G723" s="34">
        <f>IFERROR(IF(F723&gt;=0,D723*E723*(1+F723/100),ABS(D723*E723/F723)),"")</f>
        <v>39687.243750000001</v>
      </c>
      <c r="H723" s="43">
        <f>IFERROR(G723*E720,"")</f>
        <v>0</v>
      </c>
    </row>
    <row r="724" spans="1:8">
      <c r="A724" s="28"/>
      <c r="B724" s="29" t="s">
        <v>3244</v>
      </c>
      <c r="C724" s="30" t="str">
        <f>IFERROR(_xlfn.XLOOKUP(B724,Insumo[DESCRIPCION],Insumo[UND],,0),"")</f>
        <v>M3</v>
      </c>
      <c r="D724" s="31">
        <v>2.5000000000000001E-2</v>
      </c>
      <c r="E724" s="32">
        <f>IFERROR(_xlfn.XLOOKUP($B724,Insumo[DESCRIPCION],Insumo[VALOR],,0),"")</f>
        <v>497765.65722213761</v>
      </c>
      <c r="F724" s="33"/>
      <c r="G724" s="34">
        <f>IFERROR(IF(F724&gt;=0,D724*E724*(1+F724/100),ABS(D724*E724/F724)),"")</f>
        <v>12444.141430553442</v>
      </c>
      <c r="H724" s="43">
        <f>IFERROR(G724*E720,"")</f>
        <v>0</v>
      </c>
    </row>
    <row r="725" spans="1:8">
      <c r="A725" s="28"/>
      <c r="B725" s="29"/>
      <c r="C725" s="30" t="str">
        <f>IFERROR(_xlfn.XLOOKUP(B725,Insumo[DESCRIPCION],Insumo[UND],,0),"")</f>
        <v/>
      </c>
      <c r="D725" s="31"/>
      <c r="E725" s="32" t="str">
        <f>IFERROR(_xlfn.XLOOKUP($B725,Insumo[DESCRIPCION],Insumo[VALOR],,0),"")</f>
        <v/>
      </c>
      <c r="F725" s="33"/>
      <c r="G725" s="34" t="str">
        <f>IFERROR(IF(F725&gt;=0,D725*E725*(1+F725/100),ABS(D725*E725/F725)),"")</f>
        <v/>
      </c>
      <c r="H725" s="43" t="str">
        <f>IFERROR(G725*E720,"")</f>
        <v/>
      </c>
    </row>
    <row r="726" spans="1:8">
      <c r="A726" s="28"/>
      <c r="B726" s="29"/>
      <c r="C726" s="30" t="str">
        <f>IFERROR(_xlfn.XLOOKUP(B726,Insumo[DESCRIPCION],Insumo[UND],,0),"")</f>
        <v/>
      </c>
      <c r="D726" s="31"/>
      <c r="E726" s="32" t="str">
        <f>IFERROR(_xlfn.XLOOKUP($B726,Insumo[DESCRIPCION],Insumo[VALOR],,0),"")</f>
        <v/>
      </c>
      <c r="F726" s="33"/>
      <c r="G726" s="34" t="str">
        <f>IFERROR(IF(F726&gt;=0,D726*E726*(1+F726/100),ABS(D726*E726/F726)),"")</f>
        <v/>
      </c>
      <c r="H726" s="43" t="str">
        <f>IFERROR(G726*E720,"")</f>
        <v/>
      </c>
    </row>
    <row r="727" spans="1:8">
      <c r="A727" s="28"/>
      <c r="B727" s="29"/>
      <c r="C727" s="30" t="str">
        <f>IFERROR(_xlfn.XLOOKUP(B727,Insumo[DESCRIPCION],Insumo[UND],,0),"")</f>
        <v/>
      </c>
      <c r="D727" s="31"/>
      <c r="E727" s="32" t="str">
        <f>IFERROR(_xlfn.XLOOKUP($B727,Insumo[DESCRIPCION],Insumo[VALOR],,0),"")</f>
        <v/>
      </c>
      <c r="F727" s="33"/>
      <c r="G727" s="34" t="str">
        <f>IFERROR(IF(F727&gt;=0,D727*E727*(1+F727/100),ABS(D727*E727/F727)),"")</f>
        <v/>
      </c>
      <c r="H727" s="43" t="str">
        <f>IFERROR(G727*E720,"")</f>
        <v/>
      </c>
    </row>
    <row r="728" spans="1:8">
      <c r="A728" s="21"/>
      <c r="B728" s="22" t="s">
        <v>3731</v>
      </c>
      <c r="C728" s="23"/>
      <c r="D728" s="24"/>
      <c r="E728" s="25"/>
      <c r="F728" s="26"/>
      <c r="G728" s="27">
        <f>SUM(G729:G731)</f>
        <v>6296.7720193500008</v>
      </c>
      <c r="H728" s="44">
        <f>G728*E720</f>
        <v>0</v>
      </c>
    </row>
    <row r="729" spans="1:8">
      <c r="A729" s="28"/>
      <c r="B729" s="29" t="s">
        <v>3573</v>
      </c>
      <c r="C729" s="30" t="str">
        <f>IFERROR(_xlfn.XLOOKUP(B729,Equipo[DESCRIPCION],Equipo[UND],,0),"")</f>
        <v>%MO</v>
      </c>
      <c r="D729" s="31">
        <v>0.1</v>
      </c>
      <c r="E729" s="32">
        <f>IF(C729="%MO",G735,IFERROR(_xlfn.XLOOKUP($B729,Equipo[DESCRIPCION],Equipo[VALOR],,0),""))</f>
        <v>33140.905365000006</v>
      </c>
      <c r="F729" s="33"/>
      <c r="G729" s="34">
        <f>IFERROR(IF(F729&gt;=0,D729*E729*(1+F729/100),ABS(D729*E729/F729)),"")</f>
        <v>3314.0905365000008</v>
      </c>
      <c r="H729" s="43">
        <f>IFERROR(G729*E720,"")</f>
        <v>0</v>
      </c>
    </row>
    <row r="730" spans="1:8">
      <c r="A730" s="28"/>
      <c r="B730" s="29" t="s">
        <v>3570</v>
      </c>
      <c r="C730" s="30" t="str">
        <f>IFERROR(_xlfn.XLOOKUP(B730,Equipo[DESCRIPCION],Equipo[UND],,0),"")</f>
        <v>%MO</v>
      </c>
      <c r="D730" s="31">
        <v>0.04</v>
      </c>
      <c r="E730" s="32">
        <f>IF(C730="%MO",G735,IFERROR(_xlfn.XLOOKUP($B730,Equipo[DESCRIPCION],Equipo[VALOR],,0),""))</f>
        <v>33140.905365000006</v>
      </c>
      <c r="F730" s="33"/>
      <c r="G730" s="34">
        <f>IFERROR(IF(F730&gt;=0,D730*E730*(1+F730/100),ABS(D730*E730/F730)),"")</f>
        <v>1325.6362146000004</v>
      </c>
      <c r="H730" s="43">
        <f>IFERROR(G730*E720,"")</f>
        <v>0</v>
      </c>
    </row>
    <row r="731" spans="1:8">
      <c r="A731" s="28"/>
      <c r="B731" s="29" t="s">
        <v>3626</v>
      </c>
      <c r="C731" s="30" t="str">
        <f>IFERROR(_xlfn.XLOOKUP(B731,Equipo[DESCRIPCION],Equipo[UND],,0),"")</f>
        <v>%MO</v>
      </c>
      <c r="D731" s="31">
        <v>0.05</v>
      </c>
      <c r="E731" s="32">
        <f>IF(C731="%MO",G735,IFERROR(_xlfn.XLOOKUP($B731,Equipo[DESCRIPCION],Equipo[VALOR],,0),""))</f>
        <v>33140.905365000006</v>
      </c>
      <c r="F731" s="33"/>
      <c r="G731" s="34">
        <f>IFERROR(IF(F731&gt;=0,D731*E731*(1+F731/100),ABS(D731*E731/F731)),"")</f>
        <v>1657.0452682500004</v>
      </c>
      <c r="H731" s="43">
        <f>IFERROR(G731*E720,"")</f>
        <v>0</v>
      </c>
    </row>
    <row r="732" spans="1:8">
      <c r="A732" s="21"/>
      <c r="B732" s="22" t="s">
        <v>2533</v>
      </c>
      <c r="C732" s="23"/>
      <c r="D732" s="24"/>
      <c r="E732" s="25"/>
      <c r="F732" s="26"/>
      <c r="G732" s="27">
        <f>SUM(G733:G734)</f>
        <v>0</v>
      </c>
      <c r="H732" s="44">
        <f>G732*E720</f>
        <v>0</v>
      </c>
    </row>
    <row r="733" spans="1:8">
      <c r="A733" s="28"/>
      <c r="B733" s="29"/>
      <c r="C733" s="30" t="str">
        <f>IFERROR(_xlfn.XLOOKUP(B733,Transporte[DESCRIPCION],Transporte[UND],,0),"")</f>
        <v/>
      </c>
      <c r="D733" s="31"/>
      <c r="E733" s="32" t="str">
        <f>IFERROR(_xlfn.XLOOKUP($B733,Transporte[DESCRIPCION],Transporte[VALOR],,0),"")</f>
        <v/>
      </c>
      <c r="F733" s="33"/>
      <c r="G733" s="34" t="str">
        <f>IFERROR(IF(F733&gt;=0,D733*E733*(1+F733/100),ABS(D733*E733/F733)),"")</f>
        <v/>
      </c>
      <c r="H733" s="43" t="str">
        <f>IFERROR(G733*E720,"")</f>
        <v/>
      </c>
    </row>
    <row r="734" spans="1:8">
      <c r="A734" s="28"/>
      <c r="B734" s="29"/>
      <c r="C734" s="30" t="str">
        <f>IFERROR(_xlfn.XLOOKUP(B734,Transporte[DESCRIPCION],Transporte[UND],,0),"")</f>
        <v/>
      </c>
      <c r="D734" s="31"/>
      <c r="E734" s="32" t="str">
        <f>IFERROR(_xlfn.XLOOKUP($B734,Transporte[DESCRIPCION],Transporte[VALOR],,0),"")</f>
        <v/>
      </c>
      <c r="F734" s="33"/>
      <c r="G734" s="34" t="str">
        <f>IFERROR(IF(F734&gt;=0,D734*E734*(1+F734/100),ABS(D734*E734/F734)),"")</f>
        <v/>
      </c>
      <c r="H734" s="43" t="str">
        <f>IFERROR(G734*E720,"")</f>
        <v/>
      </c>
    </row>
    <row r="735" spans="1:8">
      <c r="A735" s="21"/>
      <c r="B735" s="22" t="s">
        <v>3732</v>
      </c>
      <c r="C735" s="23"/>
      <c r="D735" s="24"/>
      <c r="E735" s="25"/>
      <c r="F735" s="26"/>
      <c r="G735" s="27">
        <f>SUM(G736:G738)</f>
        <v>33140.905365000006</v>
      </c>
      <c r="H735" s="44">
        <f>G735*E720</f>
        <v>0</v>
      </c>
    </row>
    <row r="736" spans="1:8">
      <c r="A736" s="28"/>
      <c r="B736" s="29" t="s">
        <v>3711</v>
      </c>
      <c r="C736" s="30" t="str">
        <f>IFERROR(_xlfn.XLOOKUP(B736,MObra[DESCRIPCION],MObra[UN],,0),"")</f>
        <v>día</v>
      </c>
      <c r="D736" s="31">
        <v>1</v>
      </c>
      <c r="E736" s="32">
        <f>IFERROR(_xlfn.XLOOKUP($B736,MObra[DESCRIPCION],MObra[VALOR UNIT],,0),"")</f>
        <v>430831.76974500006</v>
      </c>
      <c r="F736" s="33">
        <v>-13</v>
      </c>
      <c r="G736" s="34">
        <f>IFERROR(IF(F736&gt;=0,D736*E736*(1+F736/100),ABS(D736*E736/F736)),"")</f>
        <v>33140.905365000006</v>
      </c>
      <c r="H736" s="43">
        <f>IFERROR(G736*E720,"")</f>
        <v>0</v>
      </c>
    </row>
    <row r="737" spans="1:11">
      <c r="A737" s="28"/>
      <c r="B737" s="29"/>
      <c r="C737" s="30" t="str">
        <f t="array" ref="C737">IFERROR(_xlfn.XLOOKUP(B737,MObra[[#All],[DESCRIPCION]],MObra[[#All],[UN]],,0),"")</f>
        <v/>
      </c>
      <c r="D737" s="31"/>
      <c r="E737" s="32" t="str">
        <f>IFERROR(_xlfn.XLOOKUP($B737,MObra[DESCRIPCION],MObra[VALOR UNIT],,0),"")</f>
        <v/>
      </c>
      <c r="F737" s="33"/>
      <c r="G737" s="34" t="str">
        <f>IFERROR(IF(F737&gt;=0,D737*E737*(1+F737/100),ABS(D737*E737/F737)),"")</f>
        <v/>
      </c>
      <c r="H737" s="43" t="str">
        <f>IFERROR(G737*E720,"")</f>
        <v/>
      </c>
    </row>
    <row r="738" spans="1:11">
      <c r="A738" s="35"/>
      <c r="B738" s="36"/>
      <c r="C738" s="37" t="str">
        <f t="array" ref="C738">IFERROR(_xlfn.XLOOKUP(B738,MObra[[#All],[DESCRIPCION]],MObra[[#All],[UN]],,0),"")</f>
        <v/>
      </c>
      <c r="D738" s="38"/>
      <c r="E738" s="39" t="str">
        <f>IFERROR(_xlfn.XLOOKUP($B738,MObra[DESCRIPCION],MObra[VALOR UNIT],,0),"")</f>
        <v/>
      </c>
      <c r="F738" s="40"/>
      <c r="G738" s="41" t="str">
        <f>IFERROR(IF(F738&gt;=0,D738*E738*(1+F738/100),ABS(D738*E738/F738)),"")</f>
        <v/>
      </c>
      <c r="H738" s="42" t="str">
        <f>IFERROR(G738*E720,"")</f>
        <v/>
      </c>
    </row>
    <row r="740" spans="1:11">
      <c r="A740" s="6" t="s">
        <v>669</v>
      </c>
      <c r="B740" s="7" t="str">
        <f>VLOOKUP($A740,Presupuesto!$A:$D,2,FALSE())</f>
        <v>Muro ladrillo tolete pandereta</v>
      </c>
      <c r="C740" s="8" t="str">
        <f>VLOOKUP($A740,Presupuesto!$A:$D,3,FALSE())</f>
        <v>M2</v>
      </c>
      <c r="D740" s="9"/>
      <c r="E740" s="10">
        <f>VLOOKUP($A740,Presupuesto!$A:$D,4,FALSE())</f>
        <v>0</v>
      </c>
      <c r="F740" s="11" t="s">
        <v>2589</v>
      </c>
      <c r="G740" s="12">
        <f>SUM(G742:G758)/2</f>
        <v>77707.791858878452</v>
      </c>
      <c r="H740" s="13">
        <f>ROUND(SUM(H742:H758),0)/2</f>
        <v>0</v>
      </c>
      <c r="I740" s="10">
        <f>VLOOKUP(A740,Presupuesto!$A:$F,6,0)</f>
        <v>0</v>
      </c>
      <c r="J740" s="10">
        <f>+H740-I740</f>
        <v>0</v>
      </c>
      <c r="K740" s="46">
        <f>+H740-G740*E740</f>
        <v>0</v>
      </c>
    </row>
    <row r="741" spans="1:11">
      <c r="A741" s="14"/>
      <c r="B741" s="15" t="s">
        <v>2586</v>
      </c>
      <c r="C741" s="15" t="s">
        <v>5</v>
      </c>
      <c r="D741" s="16" t="s">
        <v>6</v>
      </c>
      <c r="E741" s="17" t="s">
        <v>7</v>
      </c>
      <c r="F741" s="18" t="s">
        <v>3728</v>
      </c>
      <c r="G741" s="19" t="s">
        <v>3729</v>
      </c>
      <c r="H741" s="20" t="s">
        <v>3797</v>
      </c>
    </row>
    <row r="742" spans="1:11">
      <c r="A742" s="21"/>
      <c r="B742" s="22" t="s">
        <v>3730</v>
      </c>
      <c r="C742" s="23"/>
      <c r="D742" s="24"/>
      <c r="E742" s="25"/>
      <c r="F742" s="26"/>
      <c r="G742" s="27">
        <f>SUM(G743:G747)</f>
        <v>41087.091430553446</v>
      </c>
      <c r="H742" s="27">
        <f>IFERROR(G742*E740,"")</f>
        <v>0</v>
      </c>
    </row>
    <row r="743" spans="1:11">
      <c r="A743" s="28"/>
      <c r="B743" s="29" t="s">
        <v>3020</v>
      </c>
      <c r="C743" s="30" t="str">
        <f>IFERROR(_xlfn.XLOOKUP(B743,Insumo[DESCRIPCION],Insumo[UND],,0),"")</f>
        <v>Un</v>
      </c>
      <c r="D743" s="31">
        <v>30</v>
      </c>
      <c r="E743" s="32">
        <f>IFERROR(_xlfn.XLOOKUP($B743,Insumo[DESCRIPCION],Insumo[VALOR],,0),"")</f>
        <v>909.30000000000007</v>
      </c>
      <c r="F743" s="33">
        <v>5</v>
      </c>
      <c r="G743" s="34">
        <f>IFERROR(IF(F743&gt;=0,D743*E743*(1+F743/100),ABS(D743*E743/F743)),"")</f>
        <v>28642.950000000004</v>
      </c>
      <c r="H743" s="43">
        <f>IFERROR(G743*E740,"")</f>
        <v>0</v>
      </c>
    </row>
    <row r="744" spans="1:11">
      <c r="A744" s="28"/>
      <c r="B744" s="29" t="s">
        <v>3244</v>
      </c>
      <c r="C744" s="30" t="str">
        <f>IFERROR(_xlfn.XLOOKUP(B744,Insumo[DESCRIPCION],Insumo[UND],,0),"")</f>
        <v>M3</v>
      </c>
      <c r="D744" s="31">
        <v>2.5000000000000001E-2</v>
      </c>
      <c r="E744" s="32">
        <f>IFERROR(_xlfn.XLOOKUP($B744,Insumo[DESCRIPCION],Insumo[VALOR],,0),"")</f>
        <v>497765.65722213761</v>
      </c>
      <c r="F744" s="33"/>
      <c r="G744" s="34">
        <f>IFERROR(IF(F744&gt;=0,D744*E744*(1+F744/100),ABS(D744*E744/F744)),"")</f>
        <v>12444.141430553442</v>
      </c>
      <c r="H744" s="43">
        <f>IFERROR(G744*E740,"")</f>
        <v>0</v>
      </c>
    </row>
    <row r="745" spans="1:11">
      <c r="A745" s="28"/>
      <c r="B745" s="29"/>
      <c r="C745" s="30" t="str">
        <f>IFERROR(_xlfn.XLOOKUP(B745,Insumo[DESCRIPCION],Insumo[UND],,0),"")</f>
        <v/>
      </c>
      <c r="D745" s="31"/>
      <c r="E745" s="32" t="str">
        <f>IFERROR(_xlfn.XLOOKUP($B745,Insumo[DESCRIPCION],Insumo[VALOR],,0),"")</f>
        <v/>
      </c>
      <c r="F745" s="33"/>
      <c r="G745" s="34" t="str">
        <f>IFERROR(IF(F745&gt;=0,D745*E745*(1+F745/100),ABS(D745*E745/F745)),"")</f>
        <v/>
      </c>
      <c r="H745" s="43" t="str">
        <f>IFERROR(G745*E740,"")</f>
        <v/>
      </c>
    </row>
    <row r="746" spans="1:11">
      <c r="A746" s="28"/>
      <c r="B746" s="29"/>
      <c r="C746" s="30" t="str">
        <f>IFERROR(_xlfn.XLOOKUP(B746,Insumo[DESCRIPCION],Insumo[UND],,0),"")</f>
        <v/>
      </c>
      <c r="D746" s="31"/>
      <c r="E746" s="32" t="str">
        <f>IFERROR(_xlfn.XLOOKUP($B746,Insumo[DESCRIPCION],Insumo[VALOR],,0),"")</f>
        <v/>
      </c>
      <c r="F746" s="33"/>
      <c r="G746" s="34" t="str">
        <f>IFERROR(IF(F746&gt;=0,D746*E746*(1+F746/100),ABS(D746*E746/F746)),"")</f>
        <v/>
      </c>
      <c r="H746" s="43" t="str">
        <f>IFERROR(G746*E740,"")</f>
        <v/>
      </c>
    </row>
    <row r="747" spans="1:11">
      <c r="A747" s="28"/>
      <c r="B747" s="29"/>
      <c r="C747" s="30" t="str">
        <f>IFERROR(_xlfn.XLOOKUP(B747,Insumo[DESCRIPCION],Insumo[UND],,0),"")</f>
        <v/>
      </c>
      <c r="D747" s="31"/>
      <c r="E747" s="32" t="str">
        <f>IFERROR(_xlfn.XLOOKUP($B747,Insumo[DESCRIPCION],Insumo[VALOR],,0),"")</f>
        <v/>
      </c>
      <c r="F747" s="33"/>
      <c r="G747" s="34" t="str">
        <f>IFERROR(IF(F747&gt;=0,D747*E747*(1+F747/100),ABS(D747*E747/F747)),"")</f>
        <v/>
      </c>
      <c r="H747" s="43" t="str">
        <f>IFERROR(G747*E740,"")</f>
        <v/>
      </c>
    </row>
    <row r="748" spans="1:11">
      <c r="A748" s="21"/>
      <c r="B748" s="22" t="s">
        <v>3731</v>
      </c>
      <c r="C748" s="23"/>
      <c r="D748" s="24"/>
      <c r="E748" s="25"/>
      <c r="F748" s="26"/>
      <c r="G748" s="27">
        <f>SUM(G749:G751)</f>
        <v>5847.0025893964303</v>
      </c>
      <c r="H748" s="44">
        <f>G748*E740</f>
        <v>0</v>
      </c>
    </row>
    <row r="749" spans="1:11">
      <c r="A749" s="28"/>
      <c r="B749" s="29" t="s">
        <v>3573</v>
      </c>
      <c r="C749" s="30" t="str">
        <f>IFERROR(_xlfn.XLOOKUP(B749,Equipo[DESCRIPCION],Equipo[UND],,0),"")</f>
        <v>%MO</v>
      </c>
      <c r="D749" s="31">
        <v>0.1</v>
      </c>
      <c r="E749" s="32">
        <f>IF(C749="%MO",G755,IFERROR(_xlfn.XLOOKUP($B749,Equipo[DESCRIPCION],Equipo[VALOR],,0),""))</f>
        <v>30773.697838928576</v>
      </c>
      <c r="F749" s="33"/>
      <c r="G749" s="34">
        <f>IFERROR(IF(F749&gt;=0,D749*E749*(1+F749/100),ABS(D749*E749/F749)),"")</f>
        <v>3077.3697838928579</v>
      </c>
      <c r="H749" s="43">
        <f>IFERROR(G749*E740,"")</f>
        <v>0</v>
      </c>
    </row>
    <row r="750" spans="1:11">
      <c r="A750" s="28"/>
      <c r="B750" s="29" t="s">
        <v>3570</v>
      </c>
      <c r="C750" s="30" t="str">
        <f>IFERROR(_xlfn.XLOOKUP(B750,Equipo[DESCRIPCION],Equipo[UND],,0),"")</f>
        <v>%MO</v>
      </c>
      <c r="D750" s="31">
        <v>0.04</v>
      </c>
      <c r="E750" s="32">
        <f>IF(C750="%MO",G755,IFERROR(_xlfn.XLOOKUP($B750,Equipo[DESCRIPCION],Equipo[VALOR],,0),""))</f>
        <v>30773.697838928576</v>
      </c>
      <c r="F750" s="33"/>
      <c r="G750" s="34">
        <f>IFERROR(IF(F750&gt;=0,D750*E750*(1+F750/100),ABS(D750*E750/F750)),"")</f>
        <v>1230.947913557143</v>
      </c>
      <c r="H750" s="43">
        <f>IFERROR(G750*E740,"")</f>
        <v>0</v>
      </c>
    </row>
    <row r="751" spans="1:11">
      <c r="A751" s="28"/>
      <c r="B751" s="29" t="s">
        <v>3626</v>
      </c>
      <c r="C751" s="30" t="str">
        <f>IFERROR(_xlfn.XLOOKUP(B751,Equipo[DESCRIPCION],Equipo[UND],,0),"")</f>
        <v>%MO</v>
      </c>
      <c r="D751" s="31">
        <v>0.05</v>
      </c>
      <c r="E751" s="32">
        <f>IF(C751="%MO",G755,IFERROR(_xlfn.XLOOKUP($B751,Equipo[DESCRIPCION],Equipo[VALOR],,0),""))</f>
        <v>30773.697838928576</v>
      </c>
      <c r="F751" s="33"/>
      <c r="G751" s="34">
        <f>IFERROR(IF(F751&gt;=0,D751*E751*(1+F751/100),ABS(D751*E751/F751)),"")</f>
        <v>1538.6848919464289</v>
      </c>
      <c r="H751" s="43">
        <f>IFERROR(G751*E740,"")</f>
        <v>0</v>
      </c>
    </row>
    <row r="752" spans="1:11">
      <c r="A752" s="21"/>
      <c r="B752" s="22" t="s">
        <v>2533</v>
      </c>
      <c r="C752" s="23"/>
      <c r="D752" s="24"/>
      <c r="E752" s="25"/>
      <c r="F752" s="26"/>
      <c r="G752" s="27">
        <f>SUM(G753:G754)</f>
        <v>0</v>
      </c>
      <c r="H752" s="44">
        <f>G752*E740</f>
        <v>0</v>
      </c>
    </row>
    <row r="753" spans="1:11">
      <c r="A753" s="28"/>
      <c r="B753" s="29"/>
      <c r="C753" s="30" t="str">
        <f>IFERROR(_xlfn.XLOOKUP(B753,Transporte[DESCRIPCION],Transporte[UND],,0),"")</f>
        <v/>
      </c>
      <c r="D753" s="31"/>
      <c r="E753" s="32" t="str">
        <f>IFERROR(_xlfn.XLOOKUP($B753,Transporte[DESCRIPCION],Transporte[VALOR],,0),"")</f>
        <v/>
      </c>
      <c r="F753" s="33"/>
      <c r="G753" s="34" t="str">
        <f>IFERROR(IF(F753&gt;=0,D753*E753*(1+F753/100),ABS(D753*E753/F753)),"")</f>
        <v/>
      </c>
      <c r="H753" s="43" t="str">
        <f>IFERROR(G753*E740,"")</f>
        <v/>
      </c>
    </row>
    <row r="754" spans="1:11">
      <c r="A754" s="28"/>
      <c r="B754" s="29"/>
      <c r="C754" s="30" t="str">
        <f>IFERROR(_xlfn.XLOOKUP(B754,Transporte[DESCRIPCION],Transporte[UND],,0),"")</f>
        <v/>
      </c>
      <c r="D754" s="31"/>
      <c r="E754" s="32" t="str">
        <f>IFERROR(_xlfn.XLOOKUP($B754,Transporte[DESCRIPCION],Transporte[VALOR],,0),"")</f>
        <v/>
      </c>
      <c r="F754" s="33"/>
      <c r="G754" s="34" t="str">
        <f>IFERROR(IF(F754&gt;=0,D754*E754*(1+F754/100),ABS(D754*E754/F754)),"")</f>
        <v/>
      </c>
      <c r="H754" s="43" t="str">
        <f>IFERROR(G754*E740,"")</f>
        <v/>
      </c>
    </row>
    <row r="755" spans="1:11">
      <c r="A755" s="21"/>
      <c r="B755" s="22" t="s">
        <v>3732</v>
      </c>
      <c r="C755" s="23"/>
      <c r="D755" s="24"/>
      <c r="E755" s="25"/>
      <c r="F755" s="26"/>
      <c r="G755" s="27">
        <f>SUM(G756:G758)</f>
        <v>30773.697838928576</v>
      </c>
      <c r="H755" s="44">
        <f>G755*E740</f>
        <v>0</v>
      </c>
    </row>
    <row r="756" spans="1:11">
      <c r="A756" s="28"/>
      <c r="B756" s="29" t="s">
        <v>3711</v>
      </c>
      <c r="C756" s="30" t="str">
        <f>IFERROR(_xlfn.XLOOKUP(B756,MObra[DESCRIPCION],MObra[UN],,0),"")</f>
        <v>día</v>
      </c>
      <c r="D756" s="31">
        <v>1</v>
      </c>
      <c r="E756" s="32">
        <f>IFERROR(_xlfn.XLOOKUP($B756,MObra[DESCRIPCION],MObra[VALOR UNIT],,0),"")</f>
        <v>430831.76974500006</v>
      </c>
      <c r="F756" s="33">
        <v>-14</v>
      </c>
      <c r="G756" s="34">
        <f>IFERROR(IF(F756&gt;=0,D756*E756*(1+F756/100),ABS(D756*E756/F756)),"")</f>
        <v>30773.697838928576</v>
      </c>
      <c r="H756" s="43">
        <f>IFERROR(G756*E740,"")</f>
        <v>0</v>
      </c>
    </row>
    <row r="757" spans="1:11">
      <c r="A757" s="28"/>
      <c r="B757" s="29"/>
      <c r="C757" s="30" t="str">
        <f t="array" ref="C757">IFERROR(_xlfn.XLOOKUP(B757,MObra[[#All],[DESCRIPCION]],MObra[[#All],[UN]],,0),"")</f>
        <v/>
      </c>
      <c r="D757" s="31"/>
      <c r="E757" s="32" t="str">
        <f>IFERROR(_xlfn.XLOOKUP($B757,MObra[DESCRIPCION],MObra[VALOR UNIT],,0),"")</f>
        <v/>
      </c>
      <c r="F757" s="33"/>
      <c r="G757" s="34" t="str">
        <f>IFERROR(IF(F757&gt;=0,D757*E757*(1+F757/100),ABS(D757*E757/F757)),"")</f>
        <v/>
      </c>
      <c r="H757" s="43" t="str">
        <f>IFERROR(G757*E740,"")</f>
        <v/>
      </c>
    </row>
    <row r="758" spans="1:11">
      <c r="A758" s="35"/>
      <c r="B758" s="36"/>
      <c r="C758" s="37" t="str">
        <f t="array" ref="C758">IFERROR(_xlfn.XLOOKUP(B758,MObra[[#All],[DESCRIPCION]],MObra[[#All],[UN]],,0),"")</f>
        <v/>
      </c>
      <c r="D758" s="38"/>
      <c r="E758" s="39" t="str">
        <f>IFERROR(_xlfn.XLOOKUP($B758,MObra[DESCRIPCION],MObra[VALOR UNIT],,0),"")</f>
        <v/>
      </c>
      <c r="F758" s="40"/>
      <c r="G758" s="41" t="str">
        <f>IFERROR(IF(F758&gt;=0,D758*E758*(1+F758/100),ABS(D758*E758/F758)),"")</f>
        <v/>
      </c>
      <c r="H758" s="42" t="str">
        <f>IFERROR(G758*E740,"")</f>
        <v/>
      </c>
    </row>
    <row r="760" spans="1:11">
      <c r="A760" s="6" t="s">
        <v>671</v>
      </c>
      <c r="B760" s="7" t="str">
        <f>VLOOKUP($A760,Presupuesto!$A:$D,2,FALSE())</f>
        <v>Muro ladrillo tolete soga limpio</v>
      </c>
      <c r="C760" s="8" t="str">
        <f>VLOOKUP($A760,Presupuesto!$A:$D,3,FALSE())</f>
        <v>M2</v>
      </c>
      <c r="D760" s="9"/>
      <c r="E760" s="10">
        <f>VLOOKUP($A760,Presupuesto!$A:$D,4,FALSE())</f>
        <v>0</v>
      </c>
      <c r="F760" s="11" t="s">
        <v>2589</v>
      </c>
      <c r="G760" s="12">
        <f>SUM(G762:G778)/2</f>
        <v>115146.85178859803</v>
      </c>
      <c r="H760" s="13">
        <f>ROUND(SUM(H762:H778),0)/2</f>
        <v>0</v>
      </c>
      <c r="I760" s="10">
        <f>VLOOKUP(A760,Presupuesto!$A:$F,6,0)</f>
        <v>0</v>
      </c>
      <c r="J760" s="10">
        <f>+H760-I760</f>
        <v>0</v>
      </c>
      <c r="K760" s="46">
        <f>+H760-G760*E760</f>
        <v>0</v>
      </c>
    </row>
    <row r="761" spans="1:11">
      <c r="A761" s="14"/>
      <c r="B761" s="15" t="s">
        <v>2586</v>
      </c>
      <c r="C761" s="15" t="s">
        <v>5</v>
      </c>
      <c r="D761" s="16" t="s">
        <v>6</v>
      </c>
      <c r="E761" s="17" t="s">
        <v>7</v>
      </c>
      <c r="F761" s="18" t="s">
        <v>3728</v>
      </c>
      <c r="G761" s="19" t="s">
        <v>3729</v>
      </c>
      <c r="H761" s="20" t="s">
        <v>3797</v>
      </c>
    </row>
    <row r="762" spans="1:11">
      <c r="A762" s="21"/>
      <c r="B762" s="22" t="s">
        <v>3730</v>
      </c>
      <c r="C762" s="23"/>
      <c r="D762" s="24"/>
      <c r="E762" s="25"/>
      <c r="F762" s="26"/>
      <c r="G762" s="27">
        <f>SUM(G763:G767)</f>
        <v>72422.701288885524</v>
      </c>
      <c r="H762" s="27">
        <f>IFERROR(G762*E760,"")</f>
        <v>0</v>
      </c>
    </row>
    <row r="763" spans="1:11">
      <c r="A763" s="28"/>
      <c r="B763" s="29" t="s">
        <v>3020</v>
      </c>
      <c r="C763" s="30" t="str">
        <f>IFERROR(_xlfn.XLOOKUP(B763,Insumo[DESCRIPCION],Insumo[UND],,0),"")</f>
        <v>Un</v>
      </c>
      <c r="D763" s="31">
        <v>55</v>
      </c>
      <c r="E763" s="32">
        <f>IFERROR(_xlfn.XLOOKUP($B763,Insumo[DESCRIPCION],Insumo[VALOR],,0),"")</f>
        <v>909.30000000000007</v>
      </c>
      <c r="F763" s="33">
        <v>5</v>
      </c>
      <c r="G763" s="34">
        <f>IFERROR(IF(F763&gt;=0,D763*E763*(1+F763/100),ABS(D763*E763/F763)),"")</f>
        <v>52512.075000000012</v>
      </c>
      <c r="H763" s="43">
        <f>IFERROR(G763*E760,"")</f>
        <v>0</v>
      </c>
    </row>
    <row r="764" spans="1:11">
      <c r="A764" s="28"/>
      <c r="B764" s="29" t="s">
        <v>3244</v>
      </c>
      <c r="C764" s="30" t="str">
        <f>IFERROR(_xlfn.XLOOKUP(B764,Insumo[DESCRIPCION],Insumo[UND],,0),"")</f>
        <v>M3</v>
      </c>
      <c r="D764" s="31">
        <v>0.04</v>
      </c>
      <c r="E764" s="32">
        <f>IFERROR(_xlfn.XLOOKUP($B764,Insumo[DESCRIPCION],Insumo[VALOR],,0),"")</f>
        <v>497765.65722213761</v>
      </c>
      <c r="F764" s="33"/>
      <c r="G764" s="34">
        <f>IFERROR(IF(F764&gt;=0,D764*E764*(1+F764/100),ABS(D764*E764/F764)),"")</f>
        <v>19910.626288885505</v>
      </c>
      <c r="H764" s="43">
        <f>IFERROR(G764*E760,"")</f>
        <v>0</v>
      </c>
    </row>
    <row r="765" spans="1:11">
      <c r="A765" s="28"/>
      <c r="B765" s="29"/>
      <c r="C765" s="30" t="str">
        <f>IFERROR(_xlfn.XLOOKUP(B765,Insumo[DESCRIPCION],Insumo[UND],,0),"")</f>
        <v/>
      </c>
      <c r="D765" s="31"/>
      <c r="E765" s="32" t="str">
        <f>IFERROR(_xlfn.XLOOKUP($B765,Insumo[DESCRIPCION],Insumo[VALOR],,0),"")</f>
        <v/>
      </c>
      <c r="F765" s="33"/>
      <c r="G765" s="34" t="str">
        <f>IFERROR(IF(F765&gt;=0,D765*E765*(1+F765/100),ABS(D765*E765/F765)),"")</f>
        <v/>
      </c>
      <c r="H765" s="43" t="str">
        <f>IFERROR(G765*E760,"")</f>
        <v/>
      </c>
    </row>
    <row r="766" spans="1:11">
      <c r="A766" s="28"/>
      <c r="B766" s="29"/>
      <c r="C766" s="30" t="str">
        <f>IFERROR(_xlfn.XLOOKUP(B766,Insumo[DESCRIPCION],Insumo[UND],,0),"")</f>
        <v/>
      </c>
      <c r="D766" s="31"/>
      <c r="E766" s="32" t="str">
        <f>IFERROR(_xlfn.XLOOKUP($B766,Insumo[DESCRIPCION],Insumo[VALOR],,0),"")</f>
        <v/>
      </c>
      <c r="F766" s="33"/>
      <c r="G766" s="34" t="str">
        <f>IFERROR(IF(F766&gt;=0,D766*E766*(1+F766/100),ABS(D766*E766/F766)),"")</f>
        <v/>
      </c>
      <c r="H766" s="43" t="str">
        <f>IFERROR(G766*E760,"")</f>
        <v/>
      </c>
    </row>
    <row r="767" spans="1:11">
      <c r="A767" s="28"/>
      <c r="B767" s="29"/>
      <c r="C767" s="30" t="str">
        <f>IFERROR(_xlfn.XLOOKUP(B767,Insumo[DESCRIPCION],Insumo[UND],,0),"")</f>
        <v/>
      </c>
      <c r="D767" s="31"/>
      <c r="E767" s="32" t="str">
        <f>IFERROR(_xlfn.XLOOKUP($B767,Insumo[DESCRIPCION],Insumo[VALOR],,0),"")</f>
        <v/>
      </c>
      <c r="F767" s="33"/>
      <c r="G767" s="34" t="str">
        <f>IFERROR(IF(F767&gt;=0,D767*E767*(1+F767/100),ABS(D767*E767/F767)),"")</f>
        <v/>
      </c>
      <c r="H767" s="43" t="str">
        <f>IFERROR(G767*E760,"")</f>
        <v/>
      </c>
    </row>
    <row r="768" spans="1:11">
      <c r="A768" s="21"/>
      <c r="B768" s="22" t="s">
        <v>3731</v>
      </c>
      <c r="C768" s="23"/>
      <c r="D768" s="24"/>
      <c r="E768" s="25"/>
      <c r="F768" s="26"/>
      <c r="G768" s="27">
        <f>SUM(G769:G771)</f>
        <v>6821.5030209625011</v>
      </c>
      <c r="H768" s="44">
        <f>G768*E760</f>
        <v>0</v>
      </c>
    </row>
    <row r="769" spans="1:11">
      <c r="A769" s="28"/>
      <c r="B769" s="29" t="s">
        <v>3573</v>
      </c>
      <c r="C769" s="30" t="str">
        <f>IFERROR(_xlfn.XLOOKUP(B769,Equipo[DESCRIPCION],Equipo[UND],,0),"")</f>
        <v>%MO</v>
      </c>
      <c r="D769" s="31">
        <v>0.1</v>
      </c>
      <c r="E769" s="32">
        <f>IF(C769="%MO",G775,IFERROR(_xlfn.XLOOKUP($B769,Equipo[DESCRIPCION],Equipo[VALOR],,0),""))</f>
        <v>35902.647478750005</v>
      </c>
      <c r="F769" s="33"/>
      <c r="G769" s="34">
        <f>IFERROR(IF(F769&gt;=0,D769*E769*(1+F769/100),ABS(D769*E769/F769)),"")</f>
        <v>3590.2647478750005</v>
      </c>
      <c r="H769" s="43">
        <f>IFERROR(G769*E760,"")</f>
        <v>0</v>
      </c>
    </row>
    <row r="770" spans="1:11">
      <c r="A770" s="28"/>
      <c r="B770" s="29" t="s">
        <v>3570</v>
      </c>
      <c r="C770" s="30" t="str">
        <f>IFERROR(_xlfn.XLOOKUP(B770,Equipo[DESCRIPCION],Equipo[UND],,0),"")</f>
        <v>%MO</v>
      </c>
      <c r="D770" s="31">
        <v>0.04</v>
      </c>
      <c r="E770" s="32">
        <f>IF(C770="%MO",G775,IFERROR(_xlfn.XLOOKUP($B770,Equipo[DESCRIPCION],Equipo[VALOR],,0),""))</f>
        <v>35902.647478750005</v>
      </c>
      <c r="F770" s="33"/>
      <c r="G770" s="34">
        <f>IFERROR(IF(F770&gt;=0,D770*E770*(1+F770/100),ABS(D770*E770/F770)),"")</f>
        <v>1436.1058991500001</v>
      </c>
      <c r="H770" s="43">
        <f>IFERROR(G770*E760,"")</f>
        <v>0</v>
      </c>
    </row>
    <row r="771" spans="1:11">
      <c r="A771" s="28"/>
      <c r="B771" s="29" t="s">
        <v>3626</v>
      </c>
      <c r="C771" s="30" t="str">
        <f>IFERROR(_xlfn.XLOOKUP(B771,Equipo[DESCRIPCION],Equipo[UND],,0),"")</f>
        <v>%MO</v>
      </c>
      <c r="D771" s="31">
        <v>0.05</v>
      </c>
      <c r="E771" s="32">
        <f>IF(C771="%MO",G775,IFERROR(_xlfn.XLOOKUP($B771,Equipo[DESCRIPCION],Equipo[VALOR],,0),""))</f>
        <v>35902.647478750005</v>
      </c>
      <c r="F771" s="33"/>
      <c r="G771" s="34">
        <f>IFERROR(IF(F771&gt;=0,D771*E771*(1+F771/100),ABS(D771*E771/F771)),"")</f>
        <v>1795.1323739375002</v>
      </c>
      <c r="H771" s="43">
        <f>IFERROR(G771*E760,"")</f>
        <v>0</v>
      </c>
    </row>
    <row r="772" spans="1:11">
      <c r="A772" s="21"/>
      <c r="B772" s="22" t="s">
        <v>2533</v>
      </c>
      <c r="C772" s="23"/>
      <c r="D772" s="24"/>
      <c r="E772" s="25"/>
      <c r="F772" s="26"/>
      <c r="G772" s="27">
        <f>SUM(G773:G774)</f>
        <v>0</v>
      </c>
      <c r="H772" s="44">
        <f>G772*E760</f>
        <v>0</v>
      </c>
    </row>
    <row r="773" spans="1:11">
      <c r="A773" s="28"/>
      <c r="B773" s="29"/>
      <c r="C773" s="30" t="str">
        <f>IFERROR(_xlfn.XLOOKUP(B773,Transporte[DESCRIPCION],Transporte[UND],,0),"")</f>
        <v/>
      </c>
      <c r="D773" s="31"/>
      <c r="E773" s="32" t="str">
        <f>IFERROR(_xlfn.XLOOKUP($B773,Transporte[DESCRIPCION],Transporte[VALOR],,0),"")</f>
        <v/>
      </c>
      <c r="F773" s="33"/>
      <c r="G773" s="34" t="str">
        <f>IFERROR(IF(F773&gt;=0,D773*E773*(1+F773/100),ABS(D773*E773/F773)),"")</f>
        <v/>
      </c>
      <c r="H773" s="43" t="str">
        <f>IFERROR(G773*E760,"")</f>
        <v/>
      </c>
    </row>
    <row r="774" spans="1:11">
      <c r="A774" s="28"/>
      <c r="B774" s="29"/>
      <c r="C774" s="30" t="str">
        <f>IFERROR(_xlfn.XLOOKUP(B774,Transporte[DESCRIPCION],Transporte[UND],,0),"")</f>
        <v/>
      </c>
      <c r="D774" s="31"/>
      <c r="E774" s="32" t="str">
        <f>IFERROR(_xlfn.XLOOKUP($B774,Transporte[DESCRIPCION],Transporte[VALOR],,0),"")</f>
        <v/>
      </c>
      <c r="F774" s="33"/>
      <c r="G774" s="34" t="str">
        <f>IFERROR(IF(F774&gt;=0,D774*E774*(1+F774/100),ABS(D774*E774/F774)),"")</f>
        <v/>
      </c>
      <c r="H774" s="43" t="str">
        <f>IFERROR(G774*E760,"")</f>
        <v/>
      </c>
    </row>
    <row r="775" spans="1:11">
      <c r="A775" s="21"/>
      <c r="B775" s="22" t="s">
        <v>3732</v>
      </c>
      <c r="C775" s="23"/>
      <c r="D775" s="24"/>
      <c r="E775" s="25"/>
      <c r="F775" s="26"/>
      <c r="G775" s="27">
        <f>SUM(G776:G778)</f>
        <v>35902.647478750005</v>
      </c>
      <c r="H775" s="44">
        <f>G775*E760</f>
        <v>0</v>
      </c>
    </row>
    <row r="776" spans="1:11">
      <c r="A776" s="28"/>
      <c r="B776" s="29" t="s">
        <v>3711</v>
      </c>
      <c r="C776" s="30" t="str">
        <f>IFERROR(_xlfn.XLOOKUP(B776,MObra[DESCRIPCION],MObra[UN],,0),"")</f>
        <v>día</v>
      </c>
      <c r="D776" s="31">
        <v>1</v>
      </c>
      <c r="E776" s="32">
        <f>IFERROR(_xlfn.XLOOKUP($B776,MObra[DESCRIPCION],MObra[VALOR UNIT],,0),"")</f>
        <v>430831.76974500006</v>
      </c>
      <c r="F776" s="33">
        <v>-12</v>
      </c>
      <c r="G776" s="34">
        <f>IFERROR(IF(F776&gt;=0,D776*E776*(1+F776/100),ABS(D776*E776/F776)),"")</f>
        <v>35902.647478750005</v>
      </c>
      <c r="H776" s="43">
        <f>IFERROR(G776*E760,"")</f>
        <v>0</v>
      </c>
    </row>
    <row r="777" spans="1:11">
      <c r="A777" s="28"/>
      <c r="B777" s="29"/>
      <c r="C777" s="30" t="str">
        <f t="array" ref="C777">IFERROR(_xlfn.XLOOKUP(B777,MObra[[#All],[DESCRIPCION]],MObra[[#All],[UN]],,0),"")</f>
        <v/>
      </c>
      <c r="D777" s="31"/>
      <c r="E777" s="32" t="str">
        <f>IFERROR(_xlfn.XLOOKUP($B777,MObra[DESCRIPCION],MObra[VALOR UNIT],,0),"")</f>
        <v/>
      </c>
      <c r="F777" s="33"/>
      <c r="G777" s="34" t="str">
        <f>IFERROR(IF(F777&gt;=0,D777*E777*(1+F777/100),ABS(D777*E777/F777)),"")</f>
        <v/>
      </c>
      <c r="H777" s="43" t="str">
        <f>IFERROR(G777*E760,"")</f>
        <v/>
      </c>
    </row>
    <row r="778" spans="1:11">
      <c r="A778" s="35"/>
      <c r="B778" s="36"/>
      <c r="C778" s="37" t="str">
        <f t="array" ref="C778">IFERROR(_xlfn.XLOOKUP(B778,MObra[[#All],[DESCRIPCION]],MObra[[#All],[UN]],,0),"")</f>
        <v/>
      </c>
      <c r="D778" s="38"/>
      <c r="E778" s="39" t="str">
        <f>IFERROR(_xlfn.XLOOKUP($B778,MObra[DESCRIPCION],MObra[VALOR UNIT],,0),"")</f>
        <v/>
      </c>
      <c r="F778" s="40"/>
      <c r="G778" s="41" t="str">
        <f>IFERROR(IF(F778&gt;=0,D778*E778*(1+F778/100),ABS(D778*E778/F778)),"")</f>
        <v/>
      </c>
      <c r="H778" s="42" t="str">
        <f>IFERROR(G778*E760,"")</f>
        <v/>
      </c>
    </row>
    <row r="780" spans="1:11">
      <c r="A780" s="6" t="s">
        <v>673</v>
      </c>
      <c r="B780" s="7" t="str">
        <f>VLOOKUP($A780,Presupuesto!$A:$D,2,FALSE())</f>
        <v>Muro ladrillo vista soga 1 cara</v>
      </c>
      <c r="C780" s="8" t="str">
        <f>VLOOKUP($A780,Presupuesto!$A:$D,3,FALSE())</f>
        <v>M2</v>
      </c>
      <c r="D780" s="9"/>
      <c r="E780" s="10">
        <f>VLOOKUP($A780,Presupuesto!$A:$D,4,FALSE())</f>
        <v>0</v>
      </c>
      <c r="F780" s="11" t="s">
        <v>2589</v>
      </c>
      <c r="G780" s="12">
        <f>SUM(G782:G798)/2</f>
        <v>130240.53188854051</v>
      </c>
      <c r="H780" s="13">
        <f>ROUND(SUM(H782:H798),0)/2</f>
        <v>0</v>
      </c>
      <c r="I780" s="10">
        <f>VLOOKUP(A780,Presupuesto!$A:$F,6,0)</f>
        <v>0</v>
      </c>
      <c r="J780" s="10">
        <f>+H780-I780</f>
        <v>0</v>
      </c>
      <c r="K780" s="46">
        <f>+H780-G780*E780</f>
        <v>0</v>
      </c>
    </row>
    <row r="781" spans="1:11">
      <c r="A781" s="14"/>
      <c r="B781" s="15" t="s">
        <v>2586</v>
      </c>
      <c r="C781" s="15" t="s">
        <v>5</v>
      </c>
      <c r="D781" s="16" t="s">
        <v>6</v>
      </c>
      <c r="E781" s="17" t="s">
        <v>7</v>
      </c>
      <c r="F781" s="18" t="s">
        <v>3728</v>
      </c>
      <c r="G781" s="19" t="s">
        <v>3729</v>
      </c>
      <c r="H781" s="20" t="s">
        <v>3797</v>
      </c>
    </row>
    <row r="782" spans="1:11">
      <c r="A782" s="21"/>
      <c r="B782" s="22" t="s">
        <v>3730</v>
      </c>
      <c r="C782" s="23"/>
      <c r="D782" s="24"/>
      <c r="E782" s="25"/>
      <c r="F782" s="26"/>
      <c r="G782" s="27">
        <f>SUM(G783:G787)</f>
        <v>78971.551288885501</v>
      </c>
      <c r="H782" s="27">
        <f>IFERROR(G782*E780,"")</f>
        <v>0</v>
      </c>
    </row>
    <row r="783" spans="1:11">
      <c r="A783" s="28"/>
      <c r="B783" s="29" t="s">
        <v>3021</v>
      </c>
      <c r="C783" s="30" t="str">
        <f>IFERROR(_xlfn.XLOOKUP(B783,Insumo[DESCRIPCION],Insumo[UND],,0),"")</f>
        <v>Un</v>
      </c>
      <c r="D783" s="31">
        <v>55</v>
      </c>
      <c r="E783" s="32">
        <f>IFERROR(_xlfn.XLOOKUP($B783,Insumo[DESCRIPCION],Insumo[VALOR],,0),"")</f>
        <v>1022.7</v>
      </c>
      <c r="F783" s="33">
        <v>5</v>
      </c>
      <c r="G783" s="34">
        <f>IFERROR(IF(F783&gt;=0,D783*E783*(1+F783/100),ABS(D783*E783/F783)),"")</f>
        <v>59060.925000000003</v>
      </c>
      <c r="H783" s="43">
        <f>IFERROR(G783*E780,"")</f>
        <v>0</v>
      </c>
    </row>
    <row r="784" spans="1:11">
      <c r="A784" s="28"/>
      <c r="B784" s="29" t="s">
        <v>3244</v>
      </c>
      <c r="C784" s="30" t="str">
        <f>IFERROR(_xlfn.XLOOKUP(B784,Insumo[DESCRIPCION],Insumo[UND],,0),"")</f>
        <v>M3</v>
      </c>
      <c r="D784" s="31">
        <v>0.04</v>
      </c>
      <c r="E784" s="32">
        <f>IFERROR(_xlfn.XLOOKUP($B784,Insumo[DESCRIPCION],Insumo[VALOR],,0),"")</f>
        <v>497765.65722213761</v>
      </c>
      <c r="F784" s="33"/>
      <c r="G784" s="34">
        <f>IFERROR(IF(F784&gt;=0,D784*E784*(1+F784/100),ABS(D784*E784/F784)),"")</f>
        <v>19910.626288885505</v>
      </c>
      <c r="H784" s="43">
        <f>IFERROR(G784*E780,"")</f>
        <v>0</v>
      </c>
    </row>
    <row r="785" spans="1:11">
      <c r="A785" s="28"/>
      <c r="B785" s="29"/>
      <c r="C785" s="30" t="str">
        <f>IFERROR(_xlfn.XLOOKUP(B785,Insumo[DESCRIPCION],Insumo[UND],,0),"")</f>
        <v/>
      </c>
      <c r="D785" s="31"/>
      <c r="E785" s="32" t="str">
        <f>IFERROR(_xlfn.XLOOKUP($B785,Insumo[DESCRIPCION],Insumo[VALOR],,0),"")</f>
        <v/>
      </c>
      <c r="F785" s="33"/>
      <c r="G785" s="34" t="str">
        <f>IFERROR(IF(F785&gt;=0,D785*E785*(1+F785/100),ABS(D785*E785/F785)),"")</f>
        <v/>
      </c>
      <c r="H785" s="43" t="str">
        <f>IFERROR(G785*E780,"")</f>
        <v/>
      </c>
    </row>
    <row r="786" spans="1:11">
      <c r="A786" s="28"/>
      <c r="B786" s="29"/>
      <c r="C786" s="30" t="str">
        <f>IFERROR(_xlfn.XLOOKUP(B786,Insumo[DESCRIPCION],Insumo[UND],,0),"")</f>
        <v/>
      </c>
      <c r="D786" s="31"/>
      <c r="E786" s="32" t="str">
        <f>IFERROR(_xlfn.XLOOKUP($B786,Insumo[DESCRIPCION],Insumo[VALOR],,0),"")</f>
        <v/>
      </c>
      <c r="F786" s="33"/>
      <c r="G786" s="34" t="str">
        <f>IFERROR(IF(F786&gt;=0,D786*E786*(1+F786/100),ABS(D786*E786/F786)),"")</f>
        <v/>
      </c>
      <c r="H786" s="43" t="str">
        <f>IFERROR(G786*E780,"")</f>
        <v/>
      </c>
    </row>
    <row r="787" spans="1:11">
      <c r="A787" s="28"/>
      <c r="B787" s="29"/>
      <c r="C787" s="30" t="str">
        <f>IFERROR(_xlfn.XLOOKUP(B787,Insumo[DESCRIPCION],Insumo[UND],,0),"")</f>
        <v/>
      </c>
      <c r="D787" s="31"/>
      <c r="E787" s="32" t="str">
        <f>IFERROR(_xlfn.XLOOKUP($B787,Insumo[DESCRIPCION],Insumo[VALOR],,0),"")</f>
        <v/>
      </c>
      <c r="F787" s="33"/>
      <c r="G787" s="34" t="str">
        <f>IFERROR(IF(F787&gt;=0,D787*E787*(1+F787/100),ABS(D787*E787/F787)),"")</f>
        <v/>
      </c>
      <c r="H787" s="43" t="str">
        <f>IFERROR(G787*E780,"")</f>
        <v/>
      </c>
    </row>
    <row r="788" spans="1:11">
      <c r="A788" s="21"/>
      <c r="B788" s="22" t="s">
        <v>3731</v>
      </c>
      <c r="C788" s="23"/>
      <c r="D788" s="24"/>
      <c r="E788" s="25"/>
      <c r="F788" s="26"/>
      <c r="G788" s="27">
        <f>SUM(G789:G791)</f>
        <v>8185.803625155002</v>
      </c>
      <c r="H788" s="44">
        <f>G788*E780</f>
        <v>0</v>
      </c>
    </row>
    <row r="789" spans="1:11">
      <c r="A789" s="28"/>
      <c r="B789" s="29" t="s">
        <v>3573</v>
      </c>
      <c r="C789" s="30" t="str">
        <f>IFERROR(_xlfn.XLOOKUP(B789,Equipo[DESCRIPCION],Equipo[UND],,0),"")</f>
        <v>%MO</v>
      </c>
      <c r="D789" s="31">
        <v>0.1</v>
      </c>
      <c r="E789" s="32">
        <f>IF(C789="%MO",G795,IFERROR(_xlfn.XLOOKUP($B789,Equipo[DESCRIPCION],Equipo[VALOR],,0),""))</f>
        <v>43083.176974500006</v>
      </c>
      <c r="F789" s="33"/>
      <c r="G789" s="34">
        <f>IFERROR(IF(F789&gt;=0,D789*E789*(1+F789/100),ABS(D789*E789/F789)),"")</f>
        <v>4308.3176974500011</v>
      </c>
      <c r="H789" s="43">
        <f>IFERROR(G789*E780,"")</f>
        <v>0</v>
      </c>
    </row>
    <row r="790" spans="1:11">
      <c r="A790" s="28"/>
      <c r="B790" s="29" t="s">
        <v>3570</v>
      </c>
      <c r="C790" s="30" t="str">
        <f>IFERROR(_xlfn.XLOOKUP(B790,Equipo[DESCRIPCION],Equipo[UND],,0),"")</f>
        <v>%MO</v>
      </c>
      <c r="D790" s="31">
        <v>0.04</v>
      </c>
      <c r="E790" s="32">
        <f>IF(C790="%MO",G795,IFERROR(_xlfn.XLOOKUP($B790,Equipo[DESCRIPCION],Equipo[VALOR],,0),""))</f>
        <v>43083.176974500006</v>
      </c>
      <c r="F790" s="33"/>
      <c r="G790" s="34">
        <f>IFERROR(IF(F790&gt;=0,D790*E790*(1+F790/100),ABS(D790*E790/F790)),"")</f>
        <v>1723.3270789800004</v>
      </c>
      <c r="H790" s="43">
        <f>IFERROR(G790*E780,"")</f>
        <v>0</v>
      </c>
    </row>
    <row r="791" spans="1:11">
      <c r="A791" s="28"/>
      <c r="B791" s="29" t="s">
        <v>3626</v>
      </c>
      <c r="C791" s="30" t="str">
        <f>IFERROR(_xlfn.XLOOKUP(B791,Equipo[DESCRIPCION],Equipo[UND],,0),"")</f>
        <v>%MO</v>
      </c>
      <c r="D791" s="31">
        <v>0.05</v>
      </c>
      <c r="E791" s="32">
        <f>IF(C791="%MO",G795,IFERROR(_xlfn.XLOOKUP($B791,Equipo[DESCRIPCION],Equipo[VALOR],,0),""))</f>
        <v>43083.176974500006</v>
      </c>
      <c r="F791" s="33"/>
      <c r="G791" s="34">
        <f>IFERROR(IF(F791&gt;=0,D791*E791*(1+F791/100),ABS(D791*E791/F791)),"")</f>
        <v>2154.1588487250006</v>
      </c>
      <c r="H791" s="43">
        <f>IFERROR(G791*E780,"")</f>
        <v>0</v>
      </c>
    </row>
    <row r="792" spans="1:11">
      <c r="A792" s="21"/>
      <c r="B792" s="22" t="s">
        <v>2533</v>
      </c>
      <c r="C792" s="23"/>
      <c r="D792" s="24"/>
      <c r="E792" s="25"/>
      <c r="F792" s="26"/>
      <c r="G792" s="27">
        <f>SUM(G793:G794)</f>
        <v>0</v>
      </c>
      <c r="H792" s="44">
        <f>G792*E780</f>
        <v>0</v>
      </c>
    </row>
    <row r="793" spans="1:11">
      <c r="A793" s="28"/>
      <c r="B793" s="29"/>
      <c r="C793" s="30" t="str">
        <f>IFERROR(_xlfn.XLOOKUP(B793,Transporte[DESCRIPCION],Transporte[UND],,0),"")</f>
        <v/>
      </c>
      <c r="D793" s="31"/>
      <c r="E793" s="32" t="str">
        <f>IFERROR(_xlfn.XLOOKUP($B793,Transporte[DESCRIPCION],Transporte[VALOR],,0),"")</f>
        <v/>
      </c>
      <c r="F793" s="33"/>
      <c r="G793" s="34" t="str">
        <f>IFERROR(IF(F793&gt;=0,D793*E793*(1+F793/100),ABS(D793*E793/F793)),"")</f>
        <v/>
      </c>
      <c r="H793" s="43" t="str">
        <f>IFERROR(G793*E780,"")</f>
        <v/>
      </c>
    </row>
    <row r="794" spans="1:11">
      <c r="A794" s="28"/>
      <c r="B794" s="29"/>
      <c r="C794" s="30" t="str">
        <f>IFERROR(_xlfn.XLOOKUP(B794,Transporte[DESCRIPCION],Transporte[UND],,0),"")</f>
        <v/>
      </c>
      <c r="D794" s="31"/>
      <c r="E794" s="32" t="str">
        <f>IFERROR(_xlfn.XLOOKUP($B794,Transporte[DESCRIPCION],Transporte[VALOR],,0),"")</f>
        <v/>
      </c>
      <c r="F794" s="33"/>
      <c r="G794" s="34" t="str">
        <f>IFERROR(IF(F794&gt;=0,D794*E794*(1+F794/100),ABS(D794*E794/F794)),"")</f>
        <v/>
      </c>
      <c r="H794" s="43" t="str">
        <f>IFERROR(G794*E780,"")</f>
        <v/>
      </c>
    </row>
    <row r="795" spans="1:11">
      <c r="A795" s="21"/>
      <c r="B795" s="22" t="s">
        <v>3732</v>
      </c>
      <c r="C795" s="23"/>
      <c r="D795" s="24"/>
      <c r="E795" s="25"/>
      <c r="F795" s="26"/>
      <c r="G795" s="27">
        <f>SUM(G796:G798)</f>
        <v>43083.176974500006</v>
      </c>
      <c r="H795" s="44">
        <f>G795*E780</f>
        <v>0</v>
      </c>
    </row>
    <row r="796" spans="1:11">
      <c r="A796" s="28"/>
      <c r="B796" s="29" t="s">
        <v>3711</v>
      </c>
      <c r="C796" s="30" t="str">
        <f>IFERROR(_xlfn.XLOOKUP(B796,MObra[DESCRIPCION],MObra[UN],,0),"")</f>
        <v>día</v>
      </c>
      <c r="D796" s="31">
        <v>1</v>
      </c>
      <c r="E796" s="32">
        <f>IFERROR(_xlfn.XLOOKUP($B796,MObra[DESCRIPCION],MObra[VALOR UNIT],,0),"")</f>
        <v>430831.76974500006</v>
      </c>
      <c r="F796" s="33">
        <v>-10</v>
      </c>
      <c r="G796" s="34">
        <f>IFERROR(IF(F796&gt;=0,D796*E796*(1+F796/100),ABS(D796*E796/F796)),"")</f>
        <v>43083.176974500006</v>
      </c>
      <c r="H796" s="43">
        <f>IFERROR(G796*E780,"")</f>
        <v>0</v>
      </c>
    </row>
    <row r="797" spans="1:11">
      <c r="A797" s="28"/>
      <c r="B797" s="29"/>
      <c r="C797" s="30" t="str">
        <f t="array" ref="C797">IFERROR(_xlfn.XLOOKUP(B797,MObra[[#All],[DESCRIPCION]],MObra[[#All],[UN]],,0),"")</f>
        <v/>
      </c>
      <c r="D797" s="31"/>
      <c r="E797" s="32" t="str">
        <f>IFERROR(_xlfn.XLOOKUP($B797,MObra[DESCRIPCION],MObra[VALOR UNIT],,0),"")</f>
        <v/>
      </c>
      <c r="F797" s="33"/>
      <c r="G797" s="34" t="str">
        <f>IFERROR(IF(F797&gt;=0,D797*E797*(1+F797/100),ABS(D797*E797/F797)),"")</f>
        <v/>
      </c>
      <c r="H797" s="43" t="str">
        <f>IFERROR(G797*E780,"")</f>
        <v/>
      </c>
    </row>
    <row r="798" spans="1:11">
      <c r="A798" s="35"/>
      <c r="B798" s="36"/>
      <c r="C798" s="37" t="str">
        <f t="array" ref="C798">IFERROR(_xlfn.XLOOKUP(B798,MObra[[#All],[DESCRIPCION]],MObra[[#All],[UN]],,0),"")</f>
        <v/>
      </c>
      <c r="D798" s="38"/>
      <c r="E798" s="39" t="str">
        <f>IFERROR(_xlfn.XLOOKUP($B798,MObra[DESCRIPCION],MObra[VALOR UNIT],,0),"")</f>
        <v/>
      </c>
      <c r="F798" s="40"/>
      <c r="G798" s="41" t="str">
        <f>IFERROR(IF(F798&gt;=0,D798*E798*(1+F798/100),ABS(D798*E798/F798)),"")</f>
        <v/>
      </c>
      <c r="H798" s="42" t="str">
        <f>IFERROR(G798*E780,"")</f>
        <v/>
      </c>
    </row>
    <row r="800" spans="1:11">
      <c r="A800" s="6" t="s">
        <v>675</v>
      </c>
      <c r="B800" s="7" t="str">
        <f>VLOOKUP($A800,Presupuesto!$A:$D,2,FALSE())</f>
        <v>Muro ladrillo vista soga 2 caras</v>
      </c>
      <c r="C800" s="8" t="str">
        <f>VLOOKUP($A800,Presupuesto!$A:$D,3,FALSE())</f>
        <v>M2</v>
      </c>
      <c r="D800" s="9"/>
      <c r="E800" s="10">
        <f>VLOOKUP($A800,Presupuesto!$A:$D,4,FALSE())</f>
        <v>0</v>
      </c>
      <c r="F800" s="11" t="s">
        <v>2589</v>
      </c>
      <c r="G800" s="12">
        <f>SUM(G802:G818)/2</f>
        <v>143057.77703845428</v>
      </c>
      <c r="H800" s="13">
        <f>ROUND(SUM(H802:H818),0)/2</f>
        <v>0</v>
      </c>
      <c r="I800" s="10">
        <f>VLOOKUP(A800,Presupuesto!$A:$F,6,0)</f>
        <v>0</v>
      </c>
      <c r="J800" s="10">
        <f>+H800-I800</f>
        <v>0</v>
      </c>
      <c r="K800" s="46">
        <f>+H800-G800*E800</f>
        <v>0</v>
      </c>
    </row>
    <row r="801" spans="1:8">
      <c r="A801" s="14"/>
      <c r="B801" s="15" t="s">
        <v>2586</v>
      </c>
      <c r="C801" s="15" t="s">
        <v>5</v>
      </c>
      <c r="D801" s="16" t="s">
        <v>6</v>
      </c>
      <c r="E801" s="17" t="s">
        <v>7</v>
      </c>
      <c r="F801" s="18" t="s">
        <v>3728</v>
      </c>
      <c r="G801" s="19" t="s">
        <v>3729</v>
      </c>
      <c r="H801" s="20" t="s">
        <v>3797</v>
      </c>
    </row>
    <row r="802" spans="1:8">
      <c r="A802" s="21"/>
      <c r="B802" s="22" t="s">
        <v>3730</v>
      </c>
      <c r="C802" s="23"/>
      <c r="D802" s="24"/>
      <c r="E802" s="25"/>
      <c r="F802" s="26"/>
      <c r="G802" s="27">
        <f>SUM(G803:G807)</f>
        <v>78971.551288885501</v>
      </c>
      <c r="H802" s="27">
        <f>IFERROR(G802*E800,"")</f>
        <v>0</v>
      </c>
    </row>
    <row r="803" spans="1:8">
      <c r="A803" s="28"/>
      <c r="B803" s="29" t="s">
        <v>3021</v>
      </c>
      <c r="C803" s="30" t="str">
        <f>IFERROR(_xlfn.XLOOKUP(B803,Insumo[DESCRIPCION],Insumo[UND],,0),"")</f>
        <v>Un</v>
      </c>
      <c r="D803" s="31">
        <v>55</v>
      </c>
      <c r="E803" s="32">
        <f>IFERROR(_xlfn.XLOOKUP($B803,Insumo[DESCRIPCION],Insumo[VALOR],,0),"")</f>
        <v>1022.7</v>
      </c>
      <c r="F803" s="33">
        <v>5</v>
      </c>
      <c r="G803" s="34">
        <f>IFERROR(IF(F803&gt;=0,D803*E803*(1+F803/100),ABS(D803*E803/F803)),"")</f>
        <v>59060.925000000003</v>
      </c>
      <c r="H803" s="43">
        <f>IFERROR(G803*E800,"")</f>
        <v>0</v>
      </c>
    </row>
    <row r="804" spans="1:8">
      <c r="A804" s="28"/>
      <c r="B804" s="29" t="s">
        <v>3244</v>
      </c>
      <c r="C804" s="30" t="str">
        <f>IFERROR(_xlfn.XLOOKUP(B804,Insumo[DESCRIPCION],Insumo[UND],,0),"")</f>
        <v>M3</v>
      </c>
      <c r="D804" s="31">
        <v>0.04</v>
      </c>
      <c r="E804" s="32">
        <f>IFERROR(_xlfn.XLOOKUP($B804,Insumo[DESCRIPCION],Insumo[VALOR],,0),"")</f>
        <v>497765.65722213761</v>
      </c>
      <c r="F804" s="33"/>
      <c r="G804" s="34">
        <f>IFERROR(IF(F804&gt;=0,D804*E804*(1+F804/100),ABS(D804*E804/F804)),"")</f>
        <v>19910.626288885505</v>
      </c>
      <c r="H804" s="43">
        <f>IFERROR(G804*E800,"")</f>
        <v>0</v>
      </c>
    </row>
    <row r="805" spans="1:8">
      <c r="A805" s="28"/>
      <c r="B805" s="29"/>
      <c r="C805" s="30" t="str">
        <f>IFERROR(_xlfn.XLOOKUP(B805,Insumo[DESCRIPCION],Insumo[UND],,0),"")</f>
        <v/>
      </c>
      <c r="D805" s="31"/>
      <c r="E805" s="32" t="str">
        <f>IFERROR(_xlfn.XLOOKUP($B805,Insumo[DESCRIPCION],Insumo[VALOR],,0),"")</f>
        <v/>
      </c>
      <c r="F805" s="33"/>
      <c r="G805" s="34" t="str">
        <f>IFERROR(IF(F805&gt;=0,D805*E805*(1+F805/100),ABS(D805*E805/F805)),"")</f>
        <v/>
      </c>
      <c r="H805" s="43" t="str">
        <f>IFERROR(G805*E800,"")</f>
        <v/>
      </c>
    </row>
    <row r="806" spans="1:8">
      <c r="A806" s="28"/>
      <c r="B806" s="29"/>
      <c r="C806" s="30" t="str">
        <f>IFERROR(_xlfn.XLOOKUP(B806,Insumo[DESCRIPCION],Insumo[UND],,0),"")</f>
        <v/>
      </c>
      <c r="D806" s="31"/>
      <c r="E806" s="32" t="str">
        <f>IFERROR(_xlfn.XLOOKUP($B806,Insumo[DESCRIPCION],Insumo[VALOR],,0),"")</f>
        <v/>
      </c>
      <c r="F806" s="33"/>
      <c r="G806" s="34" t="str">
        <f>IFERROR(IF(F806&gt;=0,D806*E806*(1+F806/100),ABS(D806*E806/F806)),"")</f>
        <v/>
      </c>
      <c r="H806" s="43" t="str">
        <f>IFERROR(G806*E800,"")</f>
        <v/>
      </c>
    </row>
    <row r="807" spans="1:8">
      <c r="A807" s="28"/>
      <c r="B807" s="29"/>
      <c r="C807" s="30" t="str">
        <f>IFERROR(_xlfn.XLOOKUP(B807,Insumo[DESCRIPCION],Insumo[UND],,0),"")</f>
        <v/>
      </c>
      <c r="D807" s="31"/>
      <c r="E807" s="32" t="str">
        <f>IFERROR(_xlfn.XLOOKUP($B807,Insumo[DESCRIPCION],Insumo[VALOR],,0),"")</f>
        <v/>
      </c>
      <c r="F807" s="33"/>
      <c r="G807" s="34" t="str">
        <f>IFERROR(IF(F807&gt;=0,D807*E807*(1+F807/100),ABS(D807*E807/F807)),"")</f>
        <v/>
      </c>
      <c r="H807" s="43" t="str">
        <f>IFERROR(G807*E800,"")</f>
        <v/>
      </c>
    </row>
    <row r="808" spans="1:8">
      <c r="A808" s="21"/>
      <c r="B808" s="22" t="s">
        <v>3731</v>
      </c>
      <c r="C808" s="23"/>
      <c r="D808" s="24"/>
      <c r="E808" s="25"/>
      <c r="F808" s="26"/>
      <c r="G808" s="27">
        <f>SUM(G809:G811)</f>
        <v>10232.254531443752</v>
      </c>
      <c r="H808" s="44">
        <f>G808*E800</f>
        <v>0</v>
      </c>
    </row>
    <row r="809" spans="1:8">
      <c r="A809" s="28"/>
      <c r="B809" s="29" t="s">
        <v>3573</v>
      </c>
      <c r="C809" s="30" t="str">
        <f>IFERROR(_xlfn.XLOOKUP(B809,Equipo[DESCRIPCION],Equipo[UND],,0),"")</f>
        <v>%MO</v>
      </c>
      <c r="D809" s="31">
        <v>0.1</v>
      </c>
      <c r="E809" s="32">
        <f>IF(C809="%MO",G815,IFERROR(_xlfn.XLOOKUP($B809,Equipo[DESCRIPCION],Equipo[VALOR],,0),""))</f>
        <v>53853.971218125007</v>
      </c>
      <c r="F809" s="33"/>
      <c r="G809" s="34">
        <f>IFERROR(IF(F809&gt;=0,D809*E809*(1+F809/100),ABS(D809*E809/F809)),"")</f>
        <v>5385.3971218125007</v>
      </c>
      <c r="H809" s="43">
        <f>IFERROR(G809*E800,"")</f>
        <v>0</v>
      </c>
    </row>
    <row r="810" spans="1:8">
      <c r="A810" s="28"/>
      <c r="B810" s="29" t="s">
        <v>3570</v>
      </c>
      <c r="C810" s="30" t="str">
        <f>IFERROR(_xlfn.XLOOKUP(B810,Equipo[DESCRIPCION],Equipo[UND],,0),"")</f>
        <v>%MO</v>
      </c>
      <c r="D810" s="31">
        <v>0.04</v>
      </c>
      <c r="E810" s="32">
        <f>IF(C810="%MO",G815,IFERROR(_xlfn.XLOOKUP($B810,Equipo[DESCRIPCION],Equipo[VALOR],,0),""))</f>
        <v>53853.971218125007</v>
      </c>
      <c r="F810" s="33"/>
      <c r="G810" s="34">
        <f>IFERROR(IF(F810&gt;=0,D810*E810*(1+F810/100),ABS(D810*E810/F810)),"")</f>
        <v>2154.1588487250001</v>
      </c>
      <c r="H810" s="43">
        <f>IFERROR(G810*E800,"")</f>
        <v>0</v>
      </c>
    </row>
    <row r="811" spans="1:8">
      <c r="A811" s="28"/>
      <c r="B811" s="29" t="s">
        <v>3626</v>
      </c>
      <c r="C811" s="30" t="str">
        <f>IFERROR(_xlfn.XLOOKUP(B811,Equipo[DESCRIPCION],Equipo[UND],,0),"")</f>
        <v>%MO</v>
      </c>
      <c r="D811" s="31">
        <v>0.05</v>
      </c>
      <c r="E811" s="32">
        <f>IF(C811="%MO",G815,IFERROR(_xlfn.XLOOKUP($B811,Equipo[DESCRIPCION],Equipo[VALOR],,0),""))</f>
        <v>53853.971218125007</v>
      </c>
      <c r="F811" s="33"/>
      <c r="G811" s="34">
        <f>IFERROR(IF(F811&gt;=0,D811*E811*(1+F811/100),ABS(D811*E811/F811)),"")</f>
        <v>2692.6985609062503</v>
      </c>
      <c r="H811" s="43">
        <f>IFERROR(G811*E800,"")</f>
        <v>0</v>
      </c>
    </row>
    <row r="812" spans="1:8">
      <c r="A812" s="21"/>
      <c r="B812" s="22" t="s">
        <v>2533</v>
      </c>
      <c r="C812" s="23"/>
      <c r="D812" s="24"/>
      <c r="E812" s="25"/>
      <c r="F812" s="26"/>
      <c r="G812" s="27">
        <f>SUM(G813:G814)</f>
        <v>0</v>
      </c>
      <c r="H812" s="44">
        <f>G812*E800</f>
        <v>0</v>
      </c>
    </row>
    <row r="813" spans="1:8">
      <c r="A813" s="28"/>
      <c r="B813" s="29"/>
      <c r="C813" s="30" t="str">
        <f>IFERROR(_xlfn.XLOOKUP(B813,Transporte[DESCRIPCION],Transporte[UND],,0),"")</f>
        <v/>
      </c>
      <c r="D813" s="31"/>
      <c r="E813" s="32" t="str">
        <f>IFERROR(_xlfn.XLOOKUP($B813,Transporte[DESCRIPCION],Transporte[VALOR],,0),"")</f>
        <v/>
      </c>
      <c r="F813" s="33"/>
      <c r="G813" s="34" t="str">
        <f>IFERROR(IF(F813&gt;=0,D813*E813*(1+F813/100),ABS(D813*E813/F813)),"")</f>
        <v/>
      </c>
      <c r="H813" s="43" t="str">
        <f>IFERROR(G813*E800,"")</f>
        <v/>
      </c>
    </row>
    <row r="814" spans="1:8">
      <c r="A814" s="28"/>
      <c r="B814" s="29"/>
      <c r="C814" s="30" t="str">
        <f>IFERROR(_xlfn.XLOOKUP(B814,Transporte[DESCRIPCION],Transporte[UND],,0),"")</f>
        <v/>
      </c>
      <c r="D814" s="31"/>
      <c r="E814" s="32" t="str">
        <f>IFERROR(_xlfn.XLOOKUP($B814,Transporte[DESCRIPCION],Transporte[VALOR],,0),"")</f>
        <v/>
      </c>
      <c r="F814" s="33"/>
      <c r="G814" s="34" t="str">
        <f>IFERROR(IF(F814&gt;=0,D814*E814*(1+F814/100),ABS(D814*E814/F814)),"")</f>
        <v/>
      </c>
      <c r="H814" s="43" t="str">
        <f>IFERROR(G814*E800,"")</f>
        <v/>
      </c>
    </row>
    <row r="815" spans="1:8">
      <c r="A815" s="21"/>
      <c r="B815" s="22" t="s">
        <v>3732</v>
      </c>
      <c r="C815" s="23"/>
      <c r="D815" s="24"/>
      <c r="E815" s="25"/>
      <c r="F815" s="26"/>
      <c r="G815" s="27">
        <f>SUM(G816:G818)</f>
        <v>53853.971218125007</v>
      </c>
      <c r="H815" s="44">
        <f>G815*E800</f>
        <v>0</v>
      </c>
    </row>
    <row r="816" spans="1:8">
      <c r="A816" s="28"/>
      <c r="B816" s="29" t="s">
        <v>3711</v>
      </c>
      <c r="C816" s="30" t="str">
        <f>IFERROR(_xlfn.XLOOKUP(B816,MObra[DESCRIPCION],MObra[UN],,0),"")</f>
        <v>día</v>
      </c>
      <c r="D816" s="31">
        <v>1</v>
      </c>
      <c r="E816" s="32">
        <f>IFERROR(_xlfn.XLOOKUP($B816,MObra[DESCRIPCION],MObra[VALOR UNIT],,0),"")</f>
        <v>430831.76974500006</v>
      </c>
      <c r="F816" s="33">
        <v>-8</v>
      </c>
      <c r="G816" s="34">
        <f>IFERROR(IF(F816&gt;=0,D816*E816*(1+F816/100),ABS(D816*E816/F816)),"")</f>
        <v>53853.971218125007</v>
      </c>
      <c r="H816" s="43">
        <f>IFERROR(G816*E800,"")</f>
        <v>0</v>
      </c>
    </row>
    <row r="817" spans="1:11">
      <c r="A817" s="28"/>
      <c r="B817" s="29"/>
      <c r="C817" s="30" t="str">
        <f t="array" ref="C817">IFERROR(_xlfn.XLOOKUP(B817,MObra[[#All],[DESCRIPCION]],MObra[[#All],[UN]],,0),"")</f>
        <v/>
      </c>
      <c r="D817" s="31"/>
      <c r="E817" s="32" t="str">
        <f>IFERROR(_xlfn.XLOOKUP($B817,MObra[DESCRIPCION],MObra[VALOR UNIT],,0),"")</f>
        <v/>
      </c>
      <c r="F817" s="33"/>
      <c r="G817" s="34" t="str">
        <f>IFERROR(IF(F817&gt;=0,D817*E817*(1+F817/100),ABS(D817*E817/F817)),"")</f>
        <v/>
      </c>
      <c r="H817" s="43" t="str">
        <f>IFERROR(G817*E800,"")</f>
        <v/>
      </c>
    </row>
    <row r="818" spans="1:11">
      <c r="A818" s="35"/>
      <c r="B818" s="36"/>
      <c r="C818" s="37" t="str">
        <f t="array" ref="C818">IFERROR(_xlfn.XLOOKUP(B818,MObra[[#All],[DESCRIPCION]],MObra[[#All],[UN]],,0),"")</f>
        <v/>
      </c>
      <c r="D818" s="38"/>
      <c r="E818" s="39" t="str">
        <f>IFERROR(_xlfn.XLOOKUP($B818,MObra[DESCRIPCION],MObra[VALOR UNIT],,0),"")</f>
        <v/>
      </c>
      <c r="F818" s="40"/>
      <c r="G818" s="41" t="str">
        <f>IFERROR(IF(F818&gt;=0,D818*E818*(1+F818/100),ABS(D818*E818/F818)),"")</f>
        <v/>
      </c>
      <c r="H818" s="42" t="str">
        <f>IFERROR(G818*E800,"")</f>
        <v/>
      </c>
    </row>
    <row r="820" spans="1:11">
      <c r="A820" s="6" t="s">
        <v>677</v>
      </c>
      <c r="B820" s="7" t="str">
        <f>VLOOKUP($A820,Presupuesto!$A:$D,2,FALSE())</f>
        <v>Muro traslúcido Vitroblock B=0.14 m</v>
      </c>
      <c r="C820" s="8" t="str">
        <f>VLOOKUP($A820,Presupuesto!$A:$D,3,FALSE())</f>
        <v>M2</v>
      </c>
      <c r="D820" s="9"/>
      <c r="E820" s="10">
        <f>VLOOKUP($A820,Presupuesto!$A:$D,4,FALSE())</f>
        <v>0</v>
      </c>
      <c r="F820" s="11" t="s">
        <v>2589</v>
      </c>
      <c r="G820" s="12">
        <f>SUM(G822:G838)/2</f>
        <v>441502.11018795002</v>
      </c>
      <c r="H820" s="13">
        <f>ROUND(SUM(H822:H838),0)/2</f>
        <v>0</v>
      </c>
      <c r="I820" s="10">
        <f>VLOOKUP(A820,Presupuesto!$A:$F,6,0)</f>
        <v>0</v>
      </c>
      <c r="J820" s="10">
        <f>+H820-I820</f>
        <v>0</v>
      </c>
      <c r="K820" s="46">
        <f>+H820-G820*E820</f>
        <v>0</v>
      </c>
    </row>
    <row r="821" spans="1:11">
      <c r="A821" s="14"/>
      <c r="B821" s="15" t="s">
        <v>2586</v>
      </c>
      <c r="C821" s="15" t="s">
        <v>5</v>
      </c>
      <c r="D821" s="16" t="s">
        <v>6</v>
      </c>
      <c r="E821" s="17" t="s">
        <v>7</v>
      </c>
      <c r="F821" s="18" t="s">
        <v>3728</v>
      </c>
      <c r="G821" s="19" t="s">
        <v>3729</v>
      </c>
      <c r="H821" s="20" t="s">
        <v>3797</v>
      </c>
    </row>
    <row r="822" spans="1:11">
      <c r="A822" s="21"/>
      <c r="B822" s="22" t="s">
        <v>3730</v>
      </c>
      <c r="C822" s="23"/>
      <c r="D822" s="24"/>
      <c r="E822" s="25"/>
      <c r="F822" s="26"/>
      <c r="G822" s="27">
        <f>SUM(G823:G827)</f>
        <v>375480.05249999999</v>
      </c>
      <c r="H822" s="27">
        <f>IFERROR(G822*E820,"")</f>
        <v>0</v>
      </c>
    </row>
    <row r="823" spans="1:11">
      <c r="A823" s="28"/>
      <c r="B823" s="29" t="s">
        <v>3555</v>
      </c>
      <c r="C823" s="30" t="str">
        <f>IFERROR(_xlfn.XLOOKUP(B823,Insumo[DESCRIPCION],Insumo[UND],,0),"")</f>
        <v>Un</v>
      </c>
      <c r="D823" s="31">
        <v>25</v>
      </c>
      <c r="E823" s="32">
        <f>IFERROR(_xlfn.XLOOKUP($B823,Insumo[DESCRIPCION],Insumo[VALOR],,0),"")</f>
        <v>14207.550000000001</v>
      </c>
      <c r="F823" s="33">
        <v>5</v>
      </c>
      <c r="G823" s="34">
        <f>IFERROR(IF(F823&gt;=0,D823*E823*(1+F823/100),ABS(D823*E823/F823)),"")</f>
        <v>372948.1875</v>
      </c>
      <c r="H823" s="43">
        <f>IFERROR(G823*E820,"")</f>
        <v>0</v>
      </c>
    </row>
    <row r="824" spans="1:11">
      <c r="A824" s="28"/>
      <c r="B824" s="29" t="s">
        <v>2823</v>
      </c>
      <c r="C824" s="30" t="str">
        <f>IFERROR(_xlfn.XLOOKUP(B824,Insumo[DESCRIPCION],Insumo[UND],,0),"")</f>
        <v>Kg</v>
      </c>
      <c r="D824" s="31">
        <v>0.1</v>
      </c>
      <c r="E824" s="32">
        <f>IFERROR(_xlfn.XLOOKUP($B824,Insumo[DESCRIPCION],Insumo[VALOR],,0),"")</f>
        <v>1680</v>
      </c>
      <c r="F824" s="33"/>
      <c r="G824" s="34">
        <f>IFERROR(IF(F824&gt;=0,D824*E824*(1+F824/100),ABS(D824*E824/F824)),"")</f>
        <v>168</v>
      </c>
      <c r="H824" s="43">
        <f>IFERROR(G824*E820,"")</f>
        <v>0</v>
      </c>
    </row>
    <row r="825" spans="1:11">
      <c r="A825" s="28"/>
      <c r="B825" s="29" t="s">
        <v>3156</v>
      </c>
      <c r="C825" s="30" t="str">
        <f>IFERROR(_xlfn.XLOOKUP(B825,Insumo[DESCRIPCION],Insumo[UND],,0),"")</f>
        <v>Kg</v>
      </c>
      <c r="D825" s="31">
        <v>0.1</v>
      </c>
      <c r="E825" s="32">
        <f>IFERROR(_xlfn.XLOOKUP($B825,Insumo[DESCRIPCION],Insumo[VALOR],,0),"")</f>
        <v>1363.95</v>
      </c>
      <c r="F825" s="33"/>
      <c r="G825" s="34">
        <f>IFERROR(IF(F825&gt;=0,D825*E825*(1+F825/100),ABS(D825*E825/F825)),"")</f>
        <v>136.39500000000001</v>
      </c>
      <c r="H825" s="43">
        <f>IFERROR(G825*E820,"")</f>
        <v>0</v>
      </c>
    </row>
    <row r="826" spans="1:11">
      <c r="A826" s="28"/>
      <c r="B826" s="29" t="s">
        <v>2752</v>
      </c>
      <c r="C826" s="30" t="str">
        <f>IFERROR(_xlfn.XLOOKUP(B826,Insumo[DESCRIPCION],Insumo[UND],,0),"")</f>
        <v>Kg</v>
      </c>
      <c r="D826" s="31">
        <v>0.1</v>
      </c>
      <c r="E826" s="32">
        <f>IFERROR(_xlfn.XLOOKUP($B826,Insumo[DESCRIPCION],Insumo[VALOR],,0),"")</f>
        <v>16935.45</v>
      </c>
      <c r="F826" s="33"/>
      <c r="G826" s="34">
        <f>IFERROR(IF(F826&gt;=0,D826*E826*(1+F826/100),ABS(D826*E826/F826)),"")</f>
        <v>1693.5450000000001</v>
      </c>
      <c r="H826" s="43">
        <f>IFERROR(G826*E820,"")</f>
        <v>0</v>
      </c>
    </row>
    <row r="827" spans="1:11">
      <c r="A827" s="28"/>
      <c r="B827" s="29" t="s">
        <v>2977</v>
      </c>
      <c r="C827" s="30" t="str">
        <f>IFERROR(_xlfn.XLOOKUP(B827,Insumo[DESCRIPCION],Insumo[UND],,0),"")</f>
        <v>Kg</v>
      </c>
      <c r="D827" s="31">
        <v>0.3</v>
      </c>
      <c r="E827" s="32">
        <f>IFERROR(_xlfn.XLOOKUP($B827,Insumo[DESCRIPCION],Insumo[VALOR],,0),"")</f>
        <v>1779.75</v>
      </c>
      <c r="F827" s="33"/>
      <c r="G827" s="34">
        <f>IFERROR(IF(F827&gt;=0,D827*E827*(1+F827/100),ABS(D827*E827/F827)),"")</f>
        <v>533.92499999999995</v>
      </c>
      <c r="H827" s="43">
        <f>IFERROR(G827*E820,"")</f>
        <v>0</v>
      </c>
    </row>
    <row r="828" spans="1:11">
      <c r="A828" s="21"/>
      <c r="B828" s="22" t="s">
        <v>3731</v>
      </c>
      <c r="C828" s="23"/>
      <c r="D828" s="24"/>
      <c r="E828" s="25"/>
      <c r="F828" s="26"/>
      <c r="G828" s="27">
        <f>SUM(G829:G831)</f>
        <v>3143.9075089500006</v>
      </c>
      <c r="H828" s="44">
        <f>G828*E820</f>
        <v>0</v>
      </c>
    </row>
    <row r="829" spans="1:11">
      <c r="A829" s="28"/>
      <c r="B829" s="29" t="s">
        <v>3626</v>
      </c>
      <c r="C829" s="30" t="str">
        <f>IFERROR(_xlfn.XLOOKUP(B829,Equipo[DESCRIPCION],Equipo[UND],,0),"")</f>
        <v>%MO</v>
      </c>
      <c r="D829" s="31">
        <v>0.05</v>
      </c>
      <c r="E829" s="32">
        <f>IF(C829="%MO",G835,IFERROR(_xlfn.XLOOKUP($B829,Equipo[DESCRIPCION],Equipo[VALOR],,0),""))</f>
        <v>62878.150179000011</v>
      </c>
      <c r="F829" s="33"/>
      <c r="G829" s="34">
        <f>IFERROR(IF(F829&gt;=0,D829*E829*(1+F829/100),ABS(D829*E829/F829)),"")</f>
        <v>3143.9075089500006</v>
      </c>
      <c r="H829" s="43">
        <f>IFERROR(G829*E820,"")</f>
        <v>0</v>
      </c>
    </row>
    <row r="830" spans="1:11">
      <c r="A830" s="28"/>
      <c r="B830" s="29"/>
      <c r="C830" s="30" t="str">
        <f>IFERROR(_xlfn.XLOOKUP(B830,Equipo[DESCRIPCION],Equipo[UND],,0),"")</f>
        <v/>
      </c>
      <c r="D830" s="31"/>
      <c r="E830" s="32" t="str">
        <f>IF(C830="%MO",G835,IFERROR(_xlfn.XLOOKUP($B830,Equipo[DESCRIPCION],Equipo[VALOR],,0),""))</f>
        <v/>
      </c>
      <c r="F830" s="33"/>
      <c r="G830" s="34" t="str">
        <f>IFERROR(IF(F830&gt;=0,D830*E830*(1+F830/100),ABS(D830*E830/F830)),"")</f>
        <v/>
      </c>
      <c r="H830" s="43" t="str">
        <f>IFERROR(G830*E820,"")</f>
        <v/>
      </c>
    </row>
    <row r="831" spans="1:11">
      <c r="A831" s="28"/>
      <c r="B831" s="29"/>
      <c r="C831" s="30" t="str">
        <f>IFERROR(_xlfn.XLOOKUP(B831,Equipo[DESCRIPCION],Equipo[UND],,0),"")</f>
        <v/>
      </c>
      <c r="D831" s="31"/>
      <c r="E831" s="32" t="str">
        <f>IF(C831="%MO",G835,IFERROR(_xlfn.XLOOKUP($B831,Equipo[DESCRIPCION],Equipo[VALOR],,0),""))</f>
        <v/>
      </c>
      <c r="F831" s="33"/>
      <c r="G831" s="34" t="str">
        <f>IFERROR(IF(F831&gt;=0,D831*E831*(1+F831/100),ABS(D831*E831/F831)),"")</f>
        <v/>
      </c>
      <c r="H831" s="43" t="str">
        <f>IFERROR(G831*E820,"")</f>
        <v/>
      </c>
    </row>
    <row r="832" spans="1:11">
      <c r="A832" s="21"/>
      <c r="B832" s="22" t="s">
        <v>2533</v>
      </c>
      <c r="C832" s="23"/>
      <c r="D832" s="24"/>
      <c r="E832" s="25"/>
      <c r="F832" s="26"/>
      <c r="G832" s="27">
        <f>SUM(G833:G834)</f>
        <v>0</v>
      </c>
      <c r="H832" s="44">
        <f>G832*E820</f>
        <v>0</v>
      </c>
    </row>
    <row r="833" spans="1:11">
      <c r="A833" s="28"/>
      <c r="B833" s="29"/>
      <c r="C833" s="30" t="str">
        <f>IFERROR(_xlfn.XLOOKUP(B833,Transporte[DESCRIPCION],Transporte[UND],,0),"")</f>
        <v/>
      </c>
      <c r="D833" s="31"/>
      <c r="E833" s="32" t="str">
        <f>IFERROR(_xlfn.XLOOKUP($B833,Transporte[DESCRIPCION],Transporte[VALOR],,0),"")</f>
        <v/>
      </c>
      <c r="F833" s="33"/>
      <c r="G833" s="34" t="str">
        <f>IFERROR(IF(F833&gt;=0,D833*E833*(1+F833/100),ABS(D833*E833/F833)),"")</f>
        <v/>
      </c>
      <c r="H833" s="43" t="str">
        <f>IFERROR(G833*E820,"")</f>
        <v/>
      </c>
    </row>
    <row r="834" spans="1:11">
      <c r="A834" s="28"/>
      <c r="B834" s="29"/>
      <c r="C834" s="30" t="str">
        <f>IFERROR(_xlfn.XLOOKUP(B834,Transporte[DESCRIPCION],Transporte[UND],,0),"")</f>
        <v/>
      </c>
      <c r="D834" s="31"/>
      <c r="E834" s="32" t="str">
        <f>IFERROR(_xlfn.XLOOKUP($B834,Transporte[DESCRIPCION],Transporte[VALOR],,0),"")</f>
        <v/>
      </c>
      <c r="F834" s="33"/>
      <c r="G834" s="34" t="str">
        <f>IFERROR(IF(F834&gt;=0,D834*E834*(1+F834/100),ABS(D834*E834/F834)),"")</f>
        <v/>
      </c>
      <c r="H834" s="43" t="str">
        <f>IFERROR(G834*E820,"")</f>
        <v/>
      </c>
    </row>
    <row r="835" spans="1:11">
      <c r="A835" s="21"/>
      <c r="B835" s="22" t="s">
        <v>3732</v>
      </c>
      <c r="C835" s="23"/>
      <c r="D835" s="24"/>
      <c r="E835" s="25"/>
      <c r="F835" s="26"/>
      <c r="G835" s="27">
        <f>SUM(G836:G838)</f>
        <v>62878.150179000011</v>
      </c>
      <c r="H835" s="44">
        <f>G835*E820</f>
        <v>0</v>
      </c>
    </row>
    <row r="836" spans="1:11">
      <c r="A836" s="28"/>
      <c r="B836" s="29" t="s">
        <v>3710</v>
      </c>
      <c r="C836" s="30" t="str">
        <f>IFERROR(_xlfn.XLOOKUP(B836,MObra[DESCRIPCION],MObra[UN],,0),"")</f>
        <v>día</v>
      </c>
      <c r="D836" s="31">
        <v>1</v>
      </c>
      <c r="E836" s="32">
        <f>IFERROR(_xlfn.XLOOKUP($B836,MObra[DESCRIPCION],MObra[VALOR UNIT],,0),"")</f>
        <v>314390.75089500006</v>
      </c>
      <c r="F836" s="33">
        <v>-5</v>
      </c>
      <c r="G836" s="34">
        <f>IFERROR(IF(F836&gt;=0,D836*E836*(1+F836/100),ABS(D836*E836/F836)),"")</f>
        <v>62878.150179000011</v>
      </c>
      <c r="H836" s="43">
        <f>IFERROR(G836*E820,"")</f>
        <v>0</v>
      </c>
    </row>
    <row r="837" spans="1:11">
      <c r="A837" s="28"/>
      <c r="B837" s="29"/>
      <c r="C837" s="30" t="str">
        <f t="array" ref="C837">IFERROR(_xlfn.XLOOKUP(B837,MObra[[#All],[DESCRIPCION]],MObra[[#All],[UN]],,0),"")</f>
        <v/>
      </c>
      <c r="D837" s="31"/>
      <c r="E837" s="32" t="str">
        <f>IFERROR(_xlfn.XLOOKUP($B837,MObra[DESCRIPCION],MObra[VALOR UNIT],,0),"")</f>
        <v/>
      </c>
      <c r="F837" s="33"/>
      <c r="G837" s="34" t="str">
        <f>IFERROR(IF(F837&gt;=0,D837*E837*(1+F837/100),ABS(D837*E837/F837)),"")</f>
        <v/>
      </c>
      <c r="H837" s="43" t="str">
        <f>IFERROR(G837*E820,"")</f>
        <v/>
      </c>
    </row>
    <row r="838" spans="1:11">
      <c r="A838" s="35"/>
      <c r="B838" s="36"/>
      <c r="C838" s="37" t="str">
        <f t="array" ref="C838">IFERROR(_xlfn.XLOOKUP(B838,MObra[[#All],[DESCRIPCION]],MObra[[#All],[UN]],,0),"")</f>
        <v/>
      </c>
      <c r="D838" s="38"/>
      <c r="E838" s="39" t="str">
        <f>IFERROR(_xlfn.XLOOKUP($B838,MObra[DESCRIPCION],MObra[VALOR UNIT],,0),"")</f>
        <v/>
      </c>
      <c r="F838" s="40"/>
      <c r="G838" s="41" t="str">
        <f>IFERROR(IF(F838&gt;=0,D838*E838*(1+F838/100),ABS(D838*E838/F838)),"")</f>
        <v/>
      </c>
      <c r="H838" s="42" t="str">
        <f>IFERROR(G838*E820,"")</f>
        <v/>
      </c>
    </row>
    <row r="840" spans="1:11">
      <c r="A840" s="6" t="s">
        <v>679</v>
      </c>
      <c r="B840" s="7" t="str">
        <f>VLOOKUP($A840,Presupuesto!$A:$D,2,FALSE())</f>
        <v>Remate piña ladrillo visto medios</v>
      </c>
      <c r="C840" s="8" t="str">
        <f>VLOOKUP($A840,Presupuesto!$A:$D,3,FALSE())</f>
        <v>M</v>
      </c>
      <c r="D840" s="9"/>
      <c r="E840" s="10">
        <f>VLOOKUP($A840,Presupuesto!$A:$D,4,FALSE())</f>
        <v>0</v>
      </c>
      <c r="F840" s="11" t="s">
        <v>2589</v>
      </c>
      <c r="G840" s="12">
        <f>SUM(G842:G858)/2</f>
        <v>35877.146970591384</v>
      </c>
      <c r="H840" s="13">
        <f>ROUND(SUM(H842:H858),0)/2</f>
        <v>0</v>
      </c>
      <c r="I840" s="10">
        <f>VLOOKUP(A840,Presupuesto!$A:$F,6,0)</f>
        <v>0</v>
      </c>
      <c r="J840" s="10">
        <f>+H840-I840</f>
        <v>0</v>
      </c>
      <c r="K840" s="46">
        <f>+H840-G840*E840</f>
        <v>0</v>
      </c>
    </row>
    <row r="841" spans="1:11">
      <c r="A841" s="14"/>
      <c r="B841" s="15" t="s">
        <v>2586</v>
      </c>
      <c r="C841" s="15" t="s">
        <v>5</v>
      </c>
      <c r="D841" s="16" t="s">
        <v>6</v>
      </c>
      <c r="E841" s="17" t="s">
        <v>7</v>
      </c>
      <c r="F841" s="18" t="s">
        <v>3728</v>
      </c>
      <c r="G841" s="19" t="s">
        <v>3729</v>
      </c>
      <c r="H841" s="20" t="s">
        <v>3797</v>
      </c>
    </row>
    <row r="842" spans="1:11">
      <c r="A842" s="21"/>
      <c r="B842" s="22" t="s">
        <v>3730</v>
      </c>
      <c r="C842" s="23"/>
      <c r="D842" s="24"/>
      <c r="E842" s="25"/>
      <c r="F842" s="26"/>
      <c r="G842" s="27">
        <f>SUM(G843:G847)</f>
        <v>13031.419072221377</v>
      </c>
      <c r="H842" s="27">
        <f>IFERROR(G842*E840,"")</f>
        <v>0</v>
      </c>
    </row>
    <row r="843" spans="1:11">
      <c r="A843" s="28"/>
      <c r="B843" s="29" t="s">
        <v>3021</v>
      </c>
      <c r="C843" s="30" t="str">
        <f>IFERROR(_xlfn.XLOOKUP(B843,Insumo[DESCRIPCION],Insumo[UND],,0),"")</f>
        <v>Un</v>
      </c>
      <c r="D843" s="31">
        <v>7.5</v>
      </c>
      <c r="E843" s="32">
        <f>IFERROR(_xlfn.XLOOKUP($B843,Insumo[DESCRIPCION],Insumo[VALOR],,0),"")</f>
        <v>1022.7</v>
      </c>
      <c r="F843" s="33">
        <v>5</v>
      </c>
      <c r="G843" s="34">
        <f>IFERROR(IF(F843&gt;=0,D843*E843*(1+F843/100),ABS(D843*E843/F843)),"")</f>
        <v>8053.7625000000007</v>
      </c>
      <c r="H843" s="43">
        <f>IFERROR(G843*E840,"")</f>
        <v>0</v>
      </c>
    </row>
    <row r="844" spans="1:11">
      <c r="A844" s="28"/>
      <c r="B844" s="29" t="s">
        <v>3244</v>
      </c>
      <c r="C844" s="30" t="str">
        <f>IFERROR(_xlfn.XLOOKUP(B844,Insumo[DESCRIPCION],Insumo[UND],,0),"")</f>
        <v>M3</v>
      </c>
      <c r="D844" s="31">
        <v>0.01</v>
      </c>
      <c r="E844" s="32">
        <f>IFERROR(_xlfn.XLOOKUP($B844,Insumo[DESCRIPCION],Insumo[VALOR],,0),"")</f>
        <v>497765.65722213761</v>
      </c>
      <c r="F844" s="33"/>
      <c r="G844" s="34">
        <f>IFERROR(IF(F844&gt;=0,D844*E844*(1+F844/100),ABS(D844*E844/F844)),"")</f>
        <v>4977.6565722213763</v>
      </c>
      <c r="H844" s="43">
        <f>IFERROR(G844*E840,"")</f>
        <v>0</v>
      </c>
    </row>
    <row r="845" spans="1:11">
      <c r="A845" s="28"/>
      <c r="B845" s="29"/>
      <c r="C845" s="30" t="str">
        <f>IFERROR(_xlfn.XLOOKUP(B845,Insumo[DESCRIPCION],Insumo[UND],,0),"")</f>
        <v/>
      </c>
      <c r="D845" s="31"/>
      <c r="E845" s="32" t="str">
        <f>IFERROR(_xlfn.XLOOKUP($B845,Insumo[DESCRIPCION],Insumo[VALOR],,0),"")</f>
        <v/>
      </c>
      <c r="F845" s="33"/>
      <c r="G845" s="34" t="str">
        <f>IFERROR(IF(F845&gt;=0,D845*E845*(1+F845/100),ABS(D845*E845/F845)),"")</f>
        <v/>
      </c>
      <c r="H845" s="43" t="str">
        <f>IFERROR(G845*E840,"")</f>
        <v/>
      </c>
    </row>
    <row r="846" spans="1:11">
      <c r="A846" s="28"/>
      <c r="B846" s="29"/>
      <c r="C846" s="30" t="str">
        <f>IFERROR(_xlfn.XLOOKUP(B846,Insumo[DESCRIPCION],Insumo[UND],,0),"")</f>
        <v/>
      </c>
      <c r="D846" s="31"/>
      <c r="E846" s="32" t="str">
        <f>IFERROR(_xlfn.XLOOKUP($B846,Insumo[DESCRIPCION],Insumo[VALOR],,0),"")</f>
        <v/>
      </c>
      <c r="F846" s="33"/>
      <c r="G846" s="34" t="str">
        <f>IFERROR(IF(F846&gt;=0,D846*E846*(1+F846/100),ABS(D846*E846/F846)),"")</f>
        <v/>
      </c>
      <c r="H846" s="43" t="str">
        <f>IFERROR(G846*E840,"")</f>
        <v/>
      </c>
    </row>
    <row r="847" spans="1:11">
      <c r="A847" s="28"/>
      <c r="B847" s="29"/>
      <c r="C847" s="30" t="str">
        <f>IFERROR(_xlfn.XLOOKUP(B847,Insumo[DESCRIPCION],Insumo[UND],,0),"")</f>
        <v/>
      </c>
      <c r="D847" s="31"/>
      <c r="E847" s="32" t="str">
        <f>IFERROR(_xlfn.XLOOKUP($B847,Insumo[DESCRIPCION],Insumo[VALOR],,0),"")</f>
        <v/>
      </c>
      <c r="F847" s="33"/>
      <c r="G847" s="34" t="str">
        <f>IFERROR(IF(F847&gt;=0,D847*E847*(1+F847/100),ABS(D847*E847/F847)),"")</f>
        <v/>
      </c>
      <c r="H847" s="43" t="str">
        <f>IFERROR(G847*E840,"")</f>
        <v/>
      </c>
    </row>
    <row r="848" spans="1:11">
      <c r="A848" s="21"/>
      <c r="B848" s="22" t="s">
        <v>3731</v>
      </c>
      <c r="C848" s="23"/>
      <c r="D848" s="24"/>
      <c r="E848" s="25"/>
      <c r="F848" s="26"/>
      <c r="G848" s="27">
        <f>SUM(G849:G851)</f>
        <v>1886.3445053700002</v>
      </c>
      <c r="H848" s="44">
        <f>G848*E840</f>
        <v>0</v>
      </c>
    </row>
    <row r="849" spans="1:11">
      <c r="A849" s="28"/>
      <c r="B849" s="29" t="s">
        <v>3570</v>
      </c>
      <c r="C849" s="30" t="str">
        <f>IFERROR(_xlfn.XLOOKUP(B849,Equipo[DESCRIPCION],Equipo[UND],,0),"")</f>
        <v>%MO</v>
      </c>
      <c r="D849" s="31">
        <v>0.04</v>
      </c>
      <c r="E849" s="32">
        <f>IF(C849="%MO",G855,IFERROR(_xlfn.XLOOKUP($B849,Equipo[DESCRIPCION],Equipo[VALOR],,0),""))</f>
        <v>20959.383393000004</v>
      </c>
      <c r="F849" s="33"/>
      <c r="G849" s="34">
        <f>IFERROR(IF(F849&gt;=0,D849*E849*(1+F849/100),ABS(D849*E849/F849)),"")</f>
        <v>838.37533572000018</v>
      </c>
      <c r="H849" s="43">
        <f>IFERROR(G849*E840,"")</f>
        <v>0</v>
      </c>
    </row>
    <row r="850" spans="1:11">
      <c r="A850" s="28"/>
      <c r="B850" s="29" t="s">
        <v>3626</v>
      </c>
      <c r="C850" s="30" t="str">
        <f>IFERROR(_xlfn.XLOOKUP(B850,Equipo[DESCRIPCION],Equipo[UND],,0),"")</f>
        <v>%MO</v>
      </c>
      <c r="D850" s="31">
        <v>0.05</v>
      </c>
      <c r="E850" s="32">
        <f>IF(C850="%MO",G855,IFERROR(_xlfn.XLOOKUP($B850,Equipo[DESCRIPCION],Equipo[VALOR],,0),""))</f>
        <v>20959.383393000004</v>
      </c>
      <c r="F850" s="33"/>
      <c r="G850" s="34">
        <f>IFERROR(IF(F850&gt;=0,D850*E850*(1+F850/100),ABS(D850*E850/F850)),"")</f>
        <v>1047.9691696500001</v>
      </c>
      <c r="H850" s="43">
        <f>IFERROR(G850*E840,"")</f>
        <v>0</v>
      </c>
    </row>
    <row r="851" spans="1:11">
      <c r="A851" s="28"/>
      <c r="B851" s="29"/>
      <c r="C851" s="30" t="str">
        <f>IFERROR(_xlfn.XLOOKUP(B851,Equipo[DESCRIPCION],Equipo[UND],,0),"")</f>
        <v/>
      </c>
      <c r="D851" s="31"/>
      <c r="E851" s="32" t="str">
        <f>IF(C851="%MO",G855,IFERROR(_xlfn.XLOOKUP($B851,Equipo[DESCRIPCION],Equipo[VALOR],,0),""))</f>
        <v/>
      </c>
      <c r="F851" s="33"/>
      <c r="G851" s="34" t="str">
        <f>IFERROR(IF(F851&gt;=0,D851*E851*(1+F851/100),ABS(D851*E851/F851)),"")</f>
        <v/>
      </c>
      <c r="H851" s="43" t="str">
        <f>IFERROR(G851*E840,"")</f>
        <v/>
      </c>
    </row>
    <row r="852" spans="1:11">
      <c r="A852" s="21"/>
      <c r="B852" s="22" t="s">
        <v>2533</v>
      </c>
      <c r="C852" s="23"/>
      <c r="D852" s="24"/>
      <c r="E852" s="25"/>
      <c r="F852" s="26"/>
      <c r="G852" s="27">
        <f>SUM(G853:G854)</f>
        <v>0</v>
      </c>
      <c r="H852" s="44">
        <f>G852*E840</f>
        <v>0</v>
      </c>
    </row>
    <row r="853" spans="1:11">
      <c r="A853" s="28"/>
      <c r="B853" s="29"/>
      <c r="C853" s="30" t="str">
        <f>IFERROR(_xlfn.XLOOKUP(B853,Transporte[DESCRIPCION],Transporte[UND],,0),"")</f>
        <v/>
      </c>
      <c r="D853" s="31"/>
      <c r="E853" s="32" t="str">
        <f>IFERROR(_xlfn.XLOOKUP($B853,Transporte[DESCRIPCION],Transporte[VALOR],,0),"")</f>
        <v/>
      </c>
      <c r="F853" s="33"/>
      <c r="G853" s="34" t="str">
        <f>IFERROR(IF(F853&gt;=0,D853*E853*(1+F853/100),ABS(D853*E853/F853)),"")</f>
        <v/>
      </c>
      <c r="H853" s="43" t="str">
        <f>IFERROR(G853*E840,"")</f>
        <v/>
      </c>
    </row>
    <row r="854" spans="1:11">
      <c r="A854" s="28"/>
      <c r="B854" s="29"/>
      <c r="C854" s="30" t="str">
        <f>IFERROR(_xlfn.XLOOKUP(B854,Transporte[DESCRIPCION],Transporte[UND],,0),"")</f>
        <v/>
      </c>
      <c r="D854" s="31"/>
      <c r="E854" s="32" t="str">
        <f>IFERROR(_xlfn.XLOOKUP($B854,Transporte[DESCRIPCION],Transporte[VALOR],,0),"")</f>
        <v/>
      </c>
      <c r="F854" s="33"/>
      <c r="G854" s="34" t="str">
        <f>IFERROR(IF(F854&gt;=0,D854*E854*(1+F854/100),ABS(D854*E854/F854)),"")</f>
        <v/>
      </c>
      <c r="H854" s="43" t="str">
        <f>IFERROR(G854*E840,"")</f>
        <v/>
      </c>
    </row>
    <row r="855" spans="1:11">
      <c r="A855" s="21"/>
      <c r="B855" s="22" t="s">
        <v>3732</v>
      </c>
      <c r="C855" s="23"/>
      <c r="D855" s="24"/>
      <c r="E855" s="25"/>
      <c r="F855" s="26"/>
      <c r="G855" s="27">
        <f>SUM(G856:G858)</f>
        <v>20959.383393000004</v>
      </c>
      <c r="H855" s="44">
        <f>G855*E840</f>
        <v>0</v>
      </c>
    </row>
    <row r="856" spans="1:11">
      <c r="A856" s="28"/>
      <c r="B856" s="29" t="s">
        <v>3710</v>
      </c>
      <c r="C856" s="30" t="str">
        <f>IFERROR(_xlfn.XLOOKUP(B856,MObra[DESCRIPCION],MObra[UN],,0),"")</f>
        <v>día</v>
      </c>
      <c r="D856" s="31">
        <v>1</v>
      </c>
      <c r="E856" s="32">
        <f>IFERROR(_xlfn.XLOOKUP($B856,MObra[DESCRIPCION],MObra[VALOR UNIT],,0),"")</f>
        <v>314390.75089500006</v>
      </c>
      <c r="F856" s="33">
        <v>-15</v>
      </c>
      <c r="G856" s="34">
        <f>IFERROR(IF(F856&gt;=0,D856*E856*(1+F856/100),ABS(D856*E856/F856)),"")</f>
        <v>20959.383393000004</v>
      </c>
      <c r="H856" s="43">
        <f>IFERROR(G856*E840,"")</f>
        <v>0</v>
      </c>
    </row>
    <row r="857" spans="1:11">
      <c r="A857" s="28"/>
      <c r="B857" s="29"/>
      <c r="C857" s="30" t="str">
        <f t="array" ref="C857">IFERROR(_xlfn.XLOOKUP(B857,MObra[[#All],[DESCRIPCION]],MObra[[#All],[UN]],,0),"")</f>
        <v/>
      </c>
      <c r="D857" s="31"/>
      <c r="E857" s="32" t="str">
        <f>IFERROR(_xlfn.XLOOKUP($B857,MObra[DESCRIPCION],MObra[VALOR UNIT],,0),"")</f>
        <v/>
      </c>
      <c r="F857" s="33"/>
      <c r="G857" s="34" t="str">
        <f>IFERROR(IF(F857&gt;=0,D857*E857*(1+F857/100),ABS(D857*E857/F857)),"")</f>
        <v/>
      </c>
      <c r="H857" s="43" t="str">
        <f>IFERROR(G857*E840,"")</f>
        <v/>
      </c>
    </row>
    <row r="858" spans="1:11">
      <c r="A858" s="35"/>
      <c r="B858" s="36"/>
      <c r="C858" s="37" t="str">
        <f t="array" ref="C858">IFERROR(_xlfn.XLOOKUP(B858,MObra[[#All],[DESCRIPCION]],MObra[[#All],[UN]],,0),"")</f>
        <v/>
      </c>
      <c r="D858" s="38"/>
      <c r="E858" s="39" t="str">
        <f>IFERROR(_xlfn.XLOOKUP($B858,MObra[DESCRIPCION],MObra[VALOR UNIT],,0),"")</f>
        <v/>
      </c>
      <c r="F858" s="40"/>
      <c r="G858" s="41" t="str">
        <f>IFERROR(IF(F858&gt;=0,D858*E858*(1+F858/100),ABS(D858*E858/F858)),"")</f>
        <v/>
      </c>
      <c r="H858" s="42" t="str">
        <f>IFERROR(G858*E840,"")</f>
        <v/>
      </c>
    </row>
    <row r="860" spans="1:11">
      <c r="A860" s="6" t="s">
        <v>681</v>
      </c>
      <c r="B860" s="7" t="str">
        <f>VLOOKUP($A860,Presupuesto!$A:$D,2,FALSE())</f>
        <v>Revoque bajantes</v>
      </c>
      <c r="C860" s="8" t="str">
        <f>VLOOKUP($A860,Presupuesto!$A:$D,3,FALSE())</f>
        <v>M</v>
      </c>
      <c r="D860" s="9"/>
      <c r="E860" s="10">
        <f>VLOOKUP($A860,Presupuesto!$A:$D,4,FALSE())</f>
        <v>0</v>
      </c>
      <c r="F860" s="11" t="s">
        <v>2589</v>
      </c>
      <c r="G860" s="12">
        <f>SUM(G862:G878)/2</f>
        <v>15666.942102651377</v>
      </c>
      <c r="H860" s="13">
        <f>ROUND(SUM(H862:H878),0)/2</f>
        <v>0</v>
      </c>
      <c r="I860" s="10">
        <f>VLOOKUP(A860,Presupuesto!$A:$F,6,0)</f>
        <v>0</v>
      </c>
      <c r="J860" s="10">
        <f>+H860-I860</f>
        <v>0</v>
      </c>
      <c r="K860" s="46">
        <f>+H860-G860*E860</f>
        <v>0</v>
      </c>
    </row>
    <row r="861" spans="1:11">
      <c r="A861" s="14"/>
      <c r="B861" s="15" t="s">
        <v>2586</v>
      </c>
      <c r="C861" s="15" t="s">
        <v>5</v>
      </c>
      <c r="D861" s="16" t="s">
        <v>6</v>
      </c>
      <c r="E861" s="17" t="s">
        <v>7</v>
      </c>
      <c r="F861" s="18" t="s">
        <v>3728</v>
      </c>
      <c r="G861" s="19" t="s">
        <v>3729</v>
      </c>
      <c r="H861" s="20" t="s">
        <v>3797</v>
      </c>
    </row>
    <row r="862" spans="1:11">
      <c r="A862" s="21"/>
      <c r="B862" s="22" t="s">
        <v>3730</v>
      </c>
      <c r="C862" s="23"/>
      <c r="D862" s="24"/>
      <c r="E862" s="25"/>
      <c r="F862" s="26"/>
      <c r="G862" s="27">
        <f>SUM(G863:G867)</f>
        <v>4977.6565722213763</v>
      </c>
      <c r="H862" s="27">
        <f>IFERROR(G862*E860,"")</f>
        <v>0</v>
      </c>
    </row>
    <row r="863" spans="1:11">
      <c r="A863" s="28"/>
      <c r="B863" s="29" t="s">
        <v>3244</v>
      </c>
      <c r="C863" s="30" t="str">
        <f>IFERROR(_xlfn.XLOOKUP(B863,Insumo[DESCRIPCION],Insumo[UND],,0),"")</f>
        <v>M3</v>
      </c>
      <c r="D863" s="31">
        <v>0.01</v>
      </c>
      <c r="E863" s="32">
        <f>IFERROR(_xlfn.XLOOKUP($B863,Insumo[DESCRIPCION],Insumo[VALOR],,0),"")</f>
        <v>497765.65722213761</v>
      </c>
      <c r="F863" s="33"/>
      <c r="G863" s="34">
        <f>IFERROR(IF(F863&gt;=0,D863*E863*(1+F863/100),ABS(D863*E863/F863)),"")</f>
        <v>4977.6565722213763</v>
      </c>
      <c r="H863" s="43">
        <f>IFERROR(G863*E860,"")</f>
        <v>0</v>
      </c>
    </row>
    <row r="864" spans="1:11">
      <c r="A864" s="28"/>
      <c r="B864" s="29"/>
      <c r="C864" s="30" t="str">
        <f>IFERROR(_xlfn.XLOOKUP(B864,Insumo[DESCRIPCION],Insumo[UND],,0),"")</f>
        <v/>
      </c>
      <c r="D864" s="31"/>
      <c r="E864" s="32" t="str">
        <f>IFERROR(_xlfn.XLOOKUP($B864,Insumo[DESCRIPCION],Insumo[VALOR],,0),"")</f>
        <v/>
      </c>
      <c r="F864" s="33"/>
      <c r="G864" s="34" t="str">
        <f>IFERROR(IF(F864&gt;=0,D864*E864*(1+F864/100),ABS(D864*E864/F864)),"")</f>
        <v/>
      </c>
      <c r="H864" s="43" t="str">
        <f>IFERROR(G864*E860,"")</f>
        <v/>
      </c>
    </row>
    <row r="865" spans="1:11">
      <c r="A865" s="28"/>
      <c r="B865" s="29"/>
      <c r="C865" s="30" t="str">
        <f>IFERROR(_xlfn.XLOOKUP(B865,Insumo[DESCRIPCION],Insumo[UND],,0),"")</f>
        <v/>
      </c>
      <c r="D865" s="31"/>
      <c r="E865" s="32" t="str">
        <f>IFERROR(_xlfn.XLOOKUP($B865,Insumo[DESCRIPCION],Insumo[VALOR],,0),"")</f>
        <v/>
      </c>
      <c r="F865" s="33"/>
      <c r="G865" s="34" t="str">
        <f>IFERROR(IF(F865&gt;=0,D865*E865*(1+F865/100),ABS(D865*E865/F865)),"")</f>
        <v/>
      </c>
      <c r="H865" s="43" t="str">
        <f>IFERROR(G865*E860,"")</f>
        <v/>
      </c>
    </row>
    <row r="866" spans="1:11">
      <c r="A866" s="28"/>
      <c r="B866" s="29"/>
      <c r="C866" s="30" t="str">
        <f>IFERROR(_xlfn.XLOOKUP(B866,Insumo[DESCRIPCION],Insumo[UND],,0),"")</f>
        <v/>
      </c>
      <c r="D866" s="31"/>
      <c r="E866" s="32" t="str">
        <f>IFERROR(_xlfn.XLOOKUP($B866,Insumo[DESCRIPCION],Insumo[VALOR],,0),"")</f>
        <v/>
      </c>
      <c r="F866" s="33"/>
      <c r="G866" s="34" t="str">
        <f>IFERROR(IF(F866&gt;=0,D866*E866*(1+F866/100),ABS(D866*E866/F866)),"")</f>
        <v/>
      </c>
      <c r="H866" s="43" t="str">
        <f>IFERROR(G866*E860,"")</f>
        <v/>
      </c>
    </row>
    <row r="867" spans="1:11">
      <c r="A867" s="28"/>
      <c r="B867" s="29"/>
      <c r="C867" s="30" t="str">
        <f>IFERROR(_xlfn.XLOOKUP(B867,Insumo[DESCRIPCION],Insumo[UND],,0),"")</f>
        <v/>
      </c>
      <c r="D867" s="31"/>
      <c r="E867" s="32" t="str">
        <f>IFERROR(_xlfn.XLOOKUP($B867,Insumo[DESCRIPCION],Insumo[VALOR],,0),"")</f>
        <v/>
      </c>
      <c r="F867" s="33"/>
      <c r="G867" s="34" t="str">
        <f>IFERROR(IF(F867&gt;=0,D867*E867*(1+F867/100),ABS(D867*E867/F867)),"")</f>
        <v/>
      </c>
      <c r="H867" s="43" t="str">
        <f>IFERROR(G867*E860,"")</f>
        <v/>
      </c>
    </row>
    <row r="868" spans="1:11">
      <c r="A868" s="21"/>
      <c r="B868" s="22" t="s">
        <v>3731</v>
      </c>
      <c r="C868" s="23"/>
      <c r="D868" s="24"/>
      <c r="E868" s="25"/>
      <c r="F868" s="26"/>
      <c r="G868" s="27">
        <f>SUM(G869:G871)</f>
        <v>1706.6926477157147</v>
      </c>
      <c r="H868" s="44">
        <f>G868*E860</f>
        <v>0</v>
      </c>
    </row>
    <row r="869" spans="1:11">
      <c r="A869" s="28"/>
      <c r="B869" s="29" t="s">
        <v>3573</v>
      </c>
      <c r="C869" s="30" t="str">
        <f>IFERROR(_xlfn.XLOOKUP(B869,Equipo[DESCRIPCION],Equipo[UND],,0),"")</f>
        <v>%MO</v>
      </c>
      <c r="D869" s="31">
        <v>0.1</v>
      </c>
      <c r="E869" s="32">
        <f>IF(C869="%MO",G875,IFERROR(_xlfn.XLOOKUP($B869,Equipo[DESCRIPCION],Equipo[VALOR],,0),""))</f>
        <v>8982.592882714287</v>
      </c>
      <c r="F869" s="33"/>
      <c r="G869" s="34">
        <f>IFERROR(IF(F869&gt;=0,D869*E869*(1+F869/100),ABS(D869*E869/F869)),"")</f>
        <v>898.25928827142877</v>
      </c>
      <c r="H869" s="43">
        <f>IFERROR(G869*E860,"")</f>
        <v>0</v>
      </c>
    </row>
    <row r="870" spans="1:11">
      <c r="A870" s="28"/>
      <c r="B870" s="29" t="s">
        <v>3570</v>
      </c>
      <c r="C870" s="30" t="str">
        <f>IFERROR(_xlfn.XLOOKUP(B870,Equipo[DESCRIPCION],Equipo[UND],,0),"")</f>
        <v>%MO</v>
      </c>
      <c r="D870" s="31">
        <v>0.04</v>
      </c>
      <c r="E870" s="32">
        <f>IF(C870="%MO",G875,IFERROR(_xlfn.XLOOKUP($B870,Equipo[DESCRIPCION],Equipo[VALOR],,0),""))</f>
        <v>8982.592882714287</v>
      </c>
      <c r="F870" s="33"/>
      <c r="G870" s="34">
        <f>IFERROR(IF(F870&gt;=0,D870*E870*(1+F870/100),ABS(D870*E870/F870)),"")</f>
        <v>359.3037153085715</v>
      </c>
      <c r="H870" s="43">
        <f>IFERROR(G870*E860,"")</f>
        <v>0</v>
      </c>
    </row>
    <row r="871" spans="1:11">
      <c r="A871" s="28"/>
      <c r="B871" s="29" t="s">
        <v>3626</v>
      </c>
      <c r="C871" s="30" t="str">
        <f>IFERROR(_xlfn.XLOOKUP(B871,Equipo[DESCRIPCION],Equipo[UND],,0),"")</f>
        <v>%MO</v>
      </c>
      <c r="D871" s="31">
        <v>0.05</v>
      </c>
      <c r="E871" s="32">
        <f>IF(C871="%MO",G875,IFERROR(_xlfn.XLOOKUP($B871,Equipo[DESCRIPCION],Equipo[VALOR],,0),""))</f>
        <v>8982.592882714287</v>
      </c>
      <c r="F871" s="33"/>
      <c r="G871" s="34">
        <f>IFERROR(IF(F871&gt;=0,D871*E871*(1+F871/100),ABS(D871*E871/F871)),"")</f>
        <v>449.12964413571439</v>
      </c>
      <c r="H871" s="43">
        <f>IFERROR(G871*E860,"")</f>
        <v>0</v>
      </c>
    </row>
    <row r="872" spans="1:11">
      <c r="A872" s="21"/>
      <c r="B872" s="22" t="s">
        <v>2533</v>
      </c>
      <c r="C872" s="23"/>
      <c r="D872" s="24"/>
      <c r="E872" s="25"/>
      <c r="F872" s="26"/>
      <c r="G872" s="27">
        <f>SUM(G873:G874)</f>
        <v>0</v>
      </c>
      <c r="H872" s="44">
        <f>G872*E860</f>
        <v>0</v>
      </c>
    </row>
    <row r="873" spans="1:11">
      <c r="A873" s="28"/>
      <c r="B873" s="29"/>
      <c r="C873" s="30" t="str">
        <f>IFERROR(_xlfn.XLOOKUP(B873,Transporte[DESCRIPCION],Transporte[UND],,0),"")</f>
        <v/>
      </c>
      <c r="D873" s="31"/>
      <c r="E873" s="32" t="str">
        <f>IFERROR(_xlfn.XLOOKUP($B873,Transporte[DESCRIPCION],Transporte[VALOR],,0),"")</f>
        <v/>
      </c>
      <c r="F873" s="33"/>
      <c r="G873" s="34" t="str">
        <f>IFERROR(IF(F873&gt;=0,D873*E873*(1+F873/100),ABS(D873*E873/F873)),"")</f>
        <v/>
      </c>
      <c r="H873" s="43" t="str">
        <f>IFERROR(G873*E860,"")</f>
        <v/>
      </c>
    </row>
    <row r="874" spans="1:11">
      <c r="A874" s="28"/>
      <c r="B874" s="29"/>
      <c r="C874" s="30" t="str">
        <f>IFERROR(_xlfn.XLOOKUP(B874,Transporte[DESCRIPCION],Transporte[UND],,0),"")</f>
        <v/>
      </c>
      <c r="D874" s="31"/>
      <c r="E874" s="32" t="str">
        <f>IFERROR(_xlfn.XLOOKUP($B874,Transporte[DESCRIPCION],Transporte[VALOR],,0),"")</f>
        <v/>
      </c>
      <c r="F874" s="33"/>
      <c r="G874" s="34" t="str">
        <f>IFERROR(IF(F874&gt;=0,D874*E874*(1+F874/100),ABS(D874*E874/F874)),"")</f>
        <v/>
      </c>
      <c r="H874" s="43" t="str">
        <f>IFERROR(G874*E860,"")</f>
        <v/>
      </c>
    </row>
    <row r="875" spans="1:11">
      <c r="A875" s="21"/>
      <c r="B875" s="22" t="s">
        <v>3732</v>
      </c>
      <c r="C875" s="23"/>
      <c r="D875" s="24"/>
      <c r="E875" s="25"/>
      <c r="F875" s="26"/>
      <c r="G875" s="27">
        <f>SUM(G876:G878)</f>
        <v>8982.592882714287</v>
      </c>
      <c r="H875" s="44">
        <f>G875*E860</f>
        <v>0</v>
      </c>
    </row>
    <row r="876" spans="1:11">
      <c r="A876" s="28"/>
      <c r="B876" s="29" t="s">
        <v>3710</v>
      </c>
      <c r="C876" s="30" t="str">
        <f>IFERROR(_xlfn.XLOOKUP(B876,MObra[DESCRIPCION],MObra[UN],,0),"")</f>
        <v>día</v>
      </c>
      <c r="D876" s="31">
        <v>1</v>
      </c>
      <c r="E876" s="32">
        <f>IFERROR(_xlfn.XLOOKUP($B876,MObra[DESCRIPCION],MObra[VALOR UNIT],,0),"")</f>
        <v>314390.75089500006</v>
      </c>
      <c r="F876" s="33">
        <v>-35</v>
      </c>
      <c r="G876" s="34">
        <f>IFERROR(IF(F876&gt;=0,D876*E876*(1+F876/100),ABS(D876*E876/F876)),"")</f>
        <v>8982.592882714287</v>
      </c>
      <c r="H876" s="43">
        <f>IFERROR(G876*E860,"")</f>
        <v>0</v>
      </c>
    </row>
    <row r="877" spans="1:11">
      <c r="A877" s="28"/>
      <c r="B877" s="29"/>
      <c r="C877" s="30" t="str">
        <f t="array" ref="C877">IFERROR(_xlfn.XLOOKUP(B877,MObra[[#All],[DESCRIPCION]],MObra[[#All],[UN]],,0),"")</f>
        <v/>
      </c>
      <c r="D877" s="31"/>
      <c r="E877" s="32" t="str">
        <f>IFERROR(_xlfn.XLOOKUP($B877,MObra[DESCRIPCION],MObra[VALOR UNIT],,0),"")</f>
        <v/>
      </c>
      <c r="F877" s="33"/>
      <c r="G877" s="34" t="str">
        <f>IFERROR(IF(F877&gt;=0,D877*E877*(1+F877/100),ABS(D877*E877/F877)),"")</f>
        <v/>
      </c>
      <c r="H877" s="43" t="str">
        <f>IFERROR(G877*E860,"")</f>
        <v/>
      </c>
    </row>
    <row r="878" spans="1:11">
      <c r="A878" s="35"/>
      <c r="B878" s="36"/>
      <c r="C878" s="37" t="str">
        <f t="array" ref="C878">IFERROR(_xlfn.XLOOKUP(B878,MObra[[#All],[DESCRIPCION]],MObra[[#All],[UN]],,0),"")</f>
        <v/>
      </c>
      <c r="D878" s="38"/>
      <c r="E878" s="39" t="str">
        <f>IFERROR(_xlfn.XLOOKUP($B878,MObra[DESCRIPCION],MObra[VALOR UNIT],,0),"")</f>
        <v/>
      </c>
      <c r="F878" s="40"/>
      <c r="G878" s="41" t="str">
        <f>IFERROR(IF(F878&gt;=0,D878*E878*(1+F878/100),ABS(D878*E878/F878)),"")</f>
        <v/>
      </c>
      <c r="H878" s="42" t="str">
        <f>IFERROR(G878*E860,"")</f>
        <v/>
      </c>
    </row>
    <row r="880" spans="1:11">
      <c r="A880" s="6" t="s">
        <v>683</v>
      </c>
      <c r="B880" s="7" t="str">
        <f>VLOOKUP($A880,Presupuesto!$A:$D,2,FALSE())</f>
        <v>Revoque carteras de muros W&lt;=0.30 m</v>
      </c>
      <c r="C880" s="8" t="str">
        <f>VLOOKUP($A880,Presupuesto!$A:$D,3,FALSE())</f>
        <v>M</v>
      </c>
      <c r="D880" s="9"/>
      <c r="E880" s="10">
        <f>VLOOKUP($A880,Presupuesto!$A:$D,4,FALSE())</f>
        <v>0</v>
      </c>
      <c r="F880" s="11" t="s">
        <v>2589</v>
      </c>
      <c r="G880" s="12">
        <f>SUM(G882:G898)/2</f>
        <v>20327.43478703779</v>
      </c>
      <c r="H880" s="13">
        <f>ROUND(SUM(H882:H898),0)/2</f>
        <v>0</v>
      </c>
      <c r="I880" s="10">
        <f>VLOOKUP(A880,Presupuesto!$A:$F,6,0)</f>
        <v>0</v>
      </c>
      <c r="J880" s="10">
        <f>+H880-I880</f>
        <v>0</v>
      </c>
      <c r="K880" s="46">
        <f>+H880-G880*E880</f>
        <v>0</v>
      </c>
    </row>
    <row r="881" spans="1:8">
      <c r="A881" s="14"/>
      <c r="B881" s="15" t="s">
        <v>2586</v>
      </c>
      <c r="C881" s="15" t="s">
        <v>5</v>
      </c>
      <c r="D881" s="16" t="s">
        <v>6</v>
      </c>
      <c r="E881" s="17" t="s">
        <v>7</v>
      </c>
      <c r="F881" s="18" t="s">
        <v>3728</v>
      </c>
      <c r="G881" s="19" t="s">
        <v>3729</v>
      </c>
      <c r="H881" s="20" t="s">
        <v>3797</v>
      </c>
    </row>
    <row r="882" spans="1:8">
      <c r="A882" s="21"/>
      <c r="B882" s="22" t="s">
        <v>3730</v>
      </c>
      <c r="C882" s="23"/>
      <c r="D882" s="24"/>
      <c r="E882" s="25"/>
      <c r="F882" s="26"/>
      <c r="G882" s="27">
        <f>SUM(G883:G887)</f>
        <v>6470.9535438877883</v>
      </c>
      <c r="H882" s="27">
        <f>IFERROR(G882*E880,"")</f>
        <v>0</v>
      </c>
    </row>
    <row r="883" spans="1:8">
      <c r="A883" s="28"/>
      <c r="B883" s="29" t="s">
        <v>3244</v>
      </c>
      <c r="C883" s="30" t="str">
        <f>IFERROR(_xlfn.XLOOKUP(B883,Insumo[DESCRIPCION],Insumo[UND],,0),"")</f>
        <v>M3</v>
      </c>
      <c r="D883" s="31">
        <v>1.2999999999999999E-2</v>
      </c>
      <c r="E883" s="32">
        <f>IFERROR(_xlfn.XLOOKUP($B883,Insumo[DESCRIPCION],Insumo[VALOR],,0),"")</f>
        <v>497765.65722213761</v>
      </c>
      <c r="F883" s="33"/>
      <c r="G883" s="34">
        <f>IFERROR(IF(F883&gt;=0,D883*E883*(1+F883/100),ABS(D883*E883/F883)),"")</f>
        <v>6470.9535438877883</v>
      </c>
      <c r="H883" s="43">
        <f>IFERROR(G883*E880,"")</f>
        <v>0</v>
      </c>
    </row>
    <row r="884" spans="1:8">
      <c r="A884" s="28"/>
      <c r="B884" s="29"/>
      <c r="C884" s="30" t="str">
        <f>IFERROR(_xlfn.XLOOKUP(B884,Insumo[DESCRIPCION],Insumo[UND],,0),"")</f>
        <v/>
      </c>
      <c r="D884" s="31"/>
      <c r="E884" s="32" t="str">
        <f>IFERROR(_xlfn.XLOOKUP($B884,Insumo[DESCRIPCION],Insumo[VALOR],,0),"")</f>
        <v/>
      </c>
      <c r="F884" s="33"/>
      <c r="G884" s="34" t="str">
        <f>IFERROR(IF(F884&gt;=0,D884*E884*(1+F884/100),ABS(D884*E884/F884)),"")</f>
        <v/>
      </c>
      <c r="H884" s="43" t="str">
        <f>IFERROR(G884*E880,"")</f>
        <v/>
      </c>
    </row>
    <row r="885" spans="1:8">
      <c r="A885" s="28"/>
      <c r="B885" s="29"/>
      <c r="C885" s="30" t="str">
        <f>IFERROR(_xlfn.XLOOKUP(B885,Insumo[DESCRIPCION],Insumo[UND],,0),"")</f>
        <v/>
      </c>
      <c r="D885" s="31"/>
      <c r="E885" s="32" t="str">
        <f>IFERROR(_xlfn.XLOOKUP($B885,Insumo[DESCRIPCION],Insumo[VALOR],,0),"")</f>
        <v/>
      </c>
      <c r="F885" s="33"/>
      <c r="G885" s="34" t="str">
        <f>IFERROR(IF(F885&gt;=0,D885*E885*(1+F885/100),ABS(D885*E885/F885)),"")</f>
        <v/>
      </c>
      <c r="H885" s="43" t="str">
        <f>IFERROR(G885*E880,"")</f>
        <v/>
      </c>
    </row>
    <row r="886" spans="1:8">
      <c r="A886" s="28"/>
      <c r="B886" s="29"/>
      <c r="C886" s="30" t="str">
        <f>IFERROR(_xlfn.XLOOKUP(B886,Insumo[DESCRIPCION],Insumo[UND],,0),"")</f>
        <v/>
      </c>
      <c r="D886" s="31"/>
      <c r="E886" s="32" t="str">
        <f>IFERROR(_xlfn.XLOOKUP($B886,Insumo[DESCRIPCION],Insumo[VALOR],,0),"")</f>
        <v/>
      </c>
      <c r="F886" s="33"/>
      <c r="G886" s="34" t="str">
        <f>IFERROR(IF(F886&gt;=0,D886*E886*(1+F886/100),ABS(D886*E886/F886)),"")</f>
        <v/>
      </c>
      <c r="H886" s="43" t="str">
        <f>IFERROR(G886*E880,"")</f>
        <v/>
      </c>
    </row>
    <row r="887" spans="1:8">
      <c r="A887" s="28"/>
      <c r="B887" s="29"/>
      <c r="C887" s="30" t="str">
        <f>IFERROR(_xlfn.XLOOKUP(B887,Insumo[DESCRIPCION],Insumo[UND],,0),"")</f>
        <v/>
      </c>
      <c r="D887" s="31"/>
      <c r="E887" s="32" t="str">
        <f>IFERROR(_xlfn.XLOOKUP($B887,Insumo[DESCRIPCION],Insumo[VALOR],,0),"")</f>
        <v/>
      </c>
      <c r="F887" s="33"/>
      <c r="G887" s="34" t="str">
        <f>IFERROR(IF(F887&gt;=0,D887*E887*(1+F887/100),ABS(D887*E887/F887)),"")</f>
        <v/>
      </c>
      <c r="H887" s="43" t="str">
        <f>IFERROR(G887*E880,"")</f>
        <v/>
      </c>
    </row>
    <row r="888" spans="1:8">
      <c r="A888" s="21"/>
      <c r="B888" s="22" t="s">
        <v>3731</v>
      </c>
      <c r="C888" s="23"/>
      <c r="D888" s="24"/>
      <c r="E888" s="25"/>
      <c r="F888" s="26"/>
      <c r="G888" s="27">
        <f>SUM(G889:G891)</f>
        <v>2212.3793581500004</v>
      </c>
      <c r="H888" s="44">
        <f>G888*E880</f>
        <v>0</v>
      </c>
    </row>
    <row r="889" spans="1:8">
      <c r="A889" s="28"/>
      <c r="B889" s="29" t="s">
        <v>3573</v>
      </c>
      <c r="C889" s="30" t="str">
        <f>IFERROR(_xlfn.XLOOKUP(B889,Equipo[DESCRIPCION],Equipo[UND],,0),"")</f>
        <v>%MO</v>
      </c>
      <c r="D889" s="31">
        <v>0.1</v>
      </c>
      <c r="E889" s="32">
        <f>IF(C889="%MO",G895,IFERROR(_xlfn.XLOOKUP($B889,Equipo[DESCRIPCION],Equipo[VALOR],,0),""))</f>
        <v>11644.101885000002</v>
      </c>
      <c r="F889" s="33"/>
      <c r="G889" s="34">
        <f>IFERROR(IF(F889&gt;=0,D889*E889*(1+F889/100),ABS(D889*E889/F889)),"")</f>
        <v>1164.4101885000002</v>
      </c>
      <c r="H889" s="43">
        <f>IFERROR(G889*E880,"")</f>
        <v>0</v>
      </c>
    </row>
    <row r="890" spans="1:8">
      <c r="A890" s="28"/>
      <c r="B890" s="29" t="s">
        <v>3570</v>
      </c>
      <c r="C890" s="30" t="str">
        <f>IFERROR(_xlfn.XLOOKUP(B890,Equipo[DESCRIPCION],Equipo[UND],,0),"")</f>
        <v>%MO</v>
      </c>
      <c r="D890" s="31">
        <v>0.04</v>
      </c>
      <c r="E890" s="32">
        <f>IF(C890="%MO",G895,IFERROR(_xlfn.XLOOKUP($B890,Equipo[DESCRIPCION],Equipo[VALOR],,0),""))</f>
        <v>11644.101885000002</v>
      </c>
      <c r="F890" s="33"/>
      <c r="G890" s="34">
        <f>IFERROR(IF(F890&gt;=0,D890*E890*(1+F890/100),ABS(D890*E890/F890)),"")</f>
        <v>465.76407540000008</v>
      </c>
      <c r="H890" s="43">
        <f>IFERROR(G890*E880,"")</f>
        <v>0</v>
      </c>
    </row>
    <row r="891" spans="1:8">
      <c r="A891" s="28"/>
      <c r="B891" s="29" t="s">
        <v>3626</v>
      </c>
      <c r="C891" s="30" t="str">
        <f>IFERROR(_xlfn.XLOOKUP(B891,Equipo[DESCRIPCION],Equipo[UND],,0),"")</f>
        <v>%MO</v>
      </c>
      <c r="D891" s="31">
        <v>0.05</v>
      </c>
      <c r="E891" s="32">
        <f>IF(C891="%MO",G895,IFERROR(_xlfn.XLOOKUP($B891,Equipo[DESCRIPCION],Equipo[VALOR],,0),""))</f>
        <v>11644.101885000002</v>
      </c>
      <c r="F891" s="33"/>
      <c r="G891" s="34">
        <f>IFERROR(IF(F891&gt;=0,D891*E891*(1+F891/100),ABS(D891*E891/F891)),"")</f>
        <v>582.20509425000012</v>
      </c>
      <c r="H891" s="43">
        <f>IFERROR(G891*E880,"")</f>
        <v>0</v>
      </c>
    </row>
    <row r="892" spans="1:8">
      <c r="A892" s="21"/>
      <c r="B892" s="22" t="s">
        <v>2533</v>
      </c>
      <c r="C892" s="23"/>
      <c r="D892" s="24"/>
      <c r="E892" s="25"/>
      <c r="F892" s="26"/>
      <c r="G892" s="27">
        <f>SUM(G893:G894)</f>
        <v>0</v>
      </c>
      <c r="H892" s="44">
        <f>G892*E880</f>
        <v>0</v>
      </c>
    </row>
    <row r="893" spans="1:8">
      <c r="A893" s="28"/>
      <c r="B893" s="29"/>
      <c r="C893" s="30" t="str">
        <f>IFERROR(_xlfn.XLOOKUP(B893,Transporte[DESCRIPCION],Transporte[UND],,0),"")</f>
        <v/>
      </c>
      <c r="D893" s="31"/>
      <c r="E893" s="32" t="str">
        <f>IFERROR(_xlfn.XLOOKUP($B893,Transporte[DESCRIPCION],Transporte[VALOR],,0),"")</f>
        <v/>
      </c>
      <c r="F893" s="33"/>
      <c r="G893" s="34" t="str">
        <f>IFERROR(IF(F893&gt;=0,D893*E893*(1+F893/100),ABS(D893*E893/F893)),"")</f>
        <v/>
      </c>
      <c r="H893" s="43" t="str">
        <f>IFERROR(G893*E880,"")</f>
        <v/>
      </c>
    </row>
    <row r="894" spans="1:8">
      <c r="A894" s="28"/>
      <c r="B894" s="29"/>
      <c r="C894" s="30" t="str">
        <f>IFERROR(_xlfn.XLOOKUP(B894,Transporte[DESCRIPCION],Transporte[UND],,0),"")</f>
        <v/>
      </c>
      <c r="D894" s="31"/>
      <c r="E894" s="32" t="str">
        <f>IFERROR(_xlfn.XLOOKUP($B894,Transporte[DESCRIPCION],Transporte[VALOR],,0),"")</f>
        <v/>
      </c>
      <c r="F894" s="33"/>
      <c r="G894" s="34" t="str">
        <f>IFERROR(IF(F894&gt;=0,D894*E894*(1+F894/100),ABS(D894*E894/F894)),"")</f>
        <v/>
      </c>
      <c r="H894" s="43" t="str">
        <f>IFERROR(G894*E880,"")</f>
        <v/>
      </c>
    </row>
    <row r="895" spans="1:8">
      <c r="A895" s="21"/>
      <c r="B895" s="22" t="s">
        <v>3732</v>
      </c>
      <c r="C895" s="23"/>
      <c r="D895" s="24"/>
      <c r="E895" s="25"/>
      <c r="F895" s="26"/>
      <c r="G895" s="27">
        <f>SUM(G896:G898)</f>
        <v>11644.101885000002</v>
      </c>
      <c r="H895" s="44">
        <f>G895*E880</f>
        <v>0</v>
      </c>
    </row>
    <row r="896" spans="1:8">
      <c r="A896" s="28"/>
      <c r="B896" s="29" t="s">
        <v>3710</v>
      </c>
      <c r="C896" s="30" t="str">
        <f>IFERROR(_xlfn.XLOOKUP(B896,MObra[DESCRIPCION],MObra[UN],,0),"")</f>
        <v>día</v>
      </c>
      <c r="D896" s="31">
        <v>1</v>
      </c>
      <c r="E896" s="32">
        <f>IFERROR(_xlfn.XLOOKUP($B896,MObra[DESCRIPCION],MObra[VALOR UNIT],,0),"")</f>
        <v>314390.75089500006</v>
      </c>
      <c r="F896" s="33">
        <v>-27</v>
      </c>
      <c r="G896" s="34">
        <f>IFERROR(IF(F896&gt;=0,D896*E896*(1+F896/100),ABS(D896*E896/F896)),"")</f>
        <v>11644.101885000002</v>
      </c>
      <c r="H896" s="43">
        <f>IFERROR(G896*E880,"")</f>
        <v>0</v>
      </c>
    </row>
    <row r="897" spans="1:11">
      <c r="A897" s="28"/>
      <c r="B897" s="29"/>
      <c r="C897" s="30" t="str">
        <f t="array" ref="C897">IFERROR(_xlfn.XLOOKUP(B897,MObra[[#All],[DESCRIPCION]],MObra[[#All],[UN]],,0),"")</f>
        <v/>
      </c>
      <c r="D897" s="31"/>
      <c r="E897" s="32" t="str">
        <f>IFERROR(_xlfn.XLOOKUP($B897,MObra[DESCRIPCION],MObra[VALOR UNIT],,0),"")</f>
        <v/>
      </c>
      <c r="F897" s="33"/>
      <c r="G897" s="34" t="str">
        <f>IFERROR(IF(F897&gt;=0,D897*E897*(1+F897/100),ABS(D897*E897/F897)),"")</f>
        <v/>
      </c>
      <c r="H897" s="43" t="str">
        <f>IFERROR(G897*E880,"")</f>
        <v/>
      </c>
    </row>
    <row r="898" spans="1:11">
      <c r="A898" s="35"/>
      <c r="B898" s="36"/>
      <c r="C898" s="37" t="str">
        <f t="array" ref="C898">IFERROR(_xlfn.XLOOKUP(B898,MObra[[#All],[DESCRIPCION]],MObra[[#All],[UN]],,0),"")</f>
        <v/>
      </c>
      <c r="D898" s="38"/>
      <c r="E898" s="39" t="str">
        <f>IFERROR(_xlfn.XLOOKUP($B898,MObra[DESCRIPCION],MObra[VALOR UNIT],,0),"")</f>
        <v/>
      </c>
      <c r="F898" s="40"/>
      <c r="G898" s="41" t="str">
        <f>IFERROR(IF(F898&gt;=0,D898*E898*(1+F898/100),ABS(D898*E898/F898)),"")</f>
        <v/>
      </c>
      <c r="H898" s="42" t="str">
        <f>IFERROR(G898*E880,"")</f>
        <v/>
      </c>
    </row>
    <row r="900" spans="1:11">
      <c r="A900" s="6" t="s">
        <v>685</v>
      </c>
      <c r="B900" s="7" t="str">
        <f>VLOOKUP($A900,Presupuesto!$A:$D,2,FALSE())</f>
        <v>Revoque cielo raso e=0.03 m</v>
      </c>
      <c r="C900" s="8" t="str">
        <f>VLOOKUP($A900,Presupuesto!$A:$D,3,FALSE())</f>
        <v>M2</v>
      </c>
      <c r="D900" s="9"/>
      <c r="E900" s="10">
        <f>VLOOKUP($A900,Presupuesto!$A:$D,4,FALSE())</f>
        <v>0</v>
      </c>
      <c r="F900" s="11" t="s">
        <v>2589</v>
      </c>
      <c r="G900" s="12">
        <f>SUM(G902:G918)/2</f>
        <v>46110.052513751638</v>
      </c>
      <c r="H900" s="13">
        <f>ROUND(SUM(H902:H918),0)/2</f>
        <v>0</v>
      </c>
      <c r="I900" s="10">
        <f>VLOOKUP(A900,Presupuesto!$A:$F,6,0)</f>
        <v>0</v>
      </c>
      <c r="J900" s="10">
        <f>+H900-I900</f>
        <v>0</v>
      </c>
      <c r="K900" s="46">
        <f>+H900-G900*E900</f>
        <v>0</v>
      </c>
    </row>
    <row r="901" spans="1:11">
      <c r="A901" s="14"/>
      <c r="B901" s="15" t="s">
        <v>2586</v>
      </c>
      <c r="C901" s="15" t="s">
        <v>5</v>
      </c>
      <c r="D901" s="16" t="s">
        <v>6</v>
      </c>
      <c r="E901" s="17" t="s">
        <v>7</v>
      </c>
      <c r="F901" s="18" t="s">
        <v>3728</v>
      </c>
      <c r="G901" s="19" t="s">
        <v>3729</v>
      </c>
      <c r="H901" s="20" t="s">
        <v>3797</v>
      </c>
    </row>
    <row r="902" spans="1:11">
      <c r="A902" s="21"/>
      <c r="B902" s="22" t="s">
        <v>3730</v>
      </c>
      <c r="C902" s="23"/>
      <c r="D902" s="24"/>
      <c r="E902" s="25"/>
      <c r="F902" s="26"/>
      <c r="G902" s="27">
        <f>SUM(G903:G907)</f>
        <v>14932.969716664127</v>
      </c>
      <c r="H902" s="27">
        <f>IFERROR(G902*E900,"")</f>
        <v>0</v>
      </c>
    </row>
    <row r="903" spans="1:11">
      <c r="A903" s="28"/>
      <c r="B903" s="29" t="s">
        <v>3244</v>
      </c>
      <c r="C903" s="30" t="str">
        <f>IFERROR(_xlfn.XLOOKUP(B903,Insumo[DESCRIPCION],Insumo[UND],,0),"")</f>
        <v>M3</v>
      </c>
      <c r="D903" s="31">
        <v>0.03</v>
      </c>
      <c r="E903" s="32">
        <f>IFERROR(_xlfn.XLOOKUP($B903,Insumo[DESCRIPCION],Insumo[VALOR],,0),"")</f>
        <v>497765.65722213761</v>
      </c>
      <c r="F903" s="33"/>
      <c r="G903" s="34">
        <f>IFERROR(IF(F903&gt;=0,D903*E903*(1+F903/100),ABS(D903*E903/F903)),"")</f>
        <v>14932.969716664127</v>
      </c>
      <c r="H903" s="43">
        <f>IFERROR(G903*E900,"")</f>
        <v>0</v>
      </c>
    </row>
    <row r="904" spans="1:11">
      <c r="A904" s="28"/>
      <c r="B904" s="29"/>
      <c r="C904" s="30" t="str">
        <f>IFERROR(_xlfn.XLOOKUP(B904,Insumo[DESCRIPCION],Insumo[UND],,0),"")</f>
        <v/>
      </c>
      <c r="D904" s="31"/>
      <c r="E904" s="32" t="str">
        <f>IFERROR(_xlfn.XLOOKUP($B904,Insumo[DESCRIPCION],Insumo[VALOR],,0),"")</f>
        <v/>
      </c>
      <c r="F904" s="33"/>
      <c r="G904" s="34" t="str">
        <f>IFERROR(IF(F904&gt;=0,D904*E904*(1+F904/100),ABS(D904*E904/F904)),"")</f>
        <v/>
      </c>
      <c r="H904" s="43" t="str">
        <f>IFERROR(G904*E900,"")</f>
        <v/>
      </c>
    </row>
    <row r="905" spans="1:11">
      <c r="A905" s="28"/>
      <c r="B905" s="29"/>
      <c r="C905" s="30" t="str">
        <f>IFERROR(_xlfn.XLOOKUP(B905,Insumo[DESCRIPCION],Insumo[UND],,0),"")</f>
        <v/>
      </c>
      <c r="D905" s="31"/>
      <c r="E905" s="32" t="str">
        <f>IFERROR(_xlfn.XLOOKUP($B905,Insumo[DESCRIPCION],Insumo[VALOR],,0),"")</f>
        <v/>
      </c>
      <c r="F905" s="33"/>
      <c r="G905" s="34" t="str">
        <f>IFERROR(IF(F905&gt;=0,D905*E905*(1+F905/100),ABS(D905*E905/F905)),"")</f>
        <v/>
      </c>
      <c r="H905" s="43" t="str">
        <f>IFERROR(G905*E900,"")</f>
        <v/>
      </c>
    </row>
    <row r="906" spans="1:11">
      <c r="A906" s="28"/>
      <c r="B906" s="29"/>
      <c r="C906" s="30" t="str">
        <f>IFERROR(_xlfn.XLOOKUP(B906,Insumo[DESCRIPCION],Insumo[UND],,0),"")</f>
        <v/>
      </c>
      <c r="D906" s="31"/>
      <c r="E906" s="32" t="str">
        <f>IFERROR(_xlfn.XLOOKUP($B906,Insumo[DESCRIPCION],Insumo[VALOR],,0),"")</f>
        <v/>
      </c>
      <c r="F906" s="33"/>
      <c r="G906" s="34" t="str">
        <f>IFERROR(IF(F906&gt;=0,D906*E906*(1+F906/100),ABS(D906*E906/F906)),"")</f>
        <v/>
      </c>
      <c r="H906" s="43" t="str">
        <f>IFERROR(G906*E900,"")</f>
        <v/>
      </c>
    </row>
    <row r="907" spans="1:11">
      <c r="A907" s="28"/>
      <c r="B907" s="29"/>
      <c r="C907" s="30" t="str">
        <f>IFERROR(_xlfn.XLOOKUP(B907,Insumo[DESCRIPCION],Insumo[UND],,0),"")</f>
        <v/>
      </c>
      <c r="D907" s="31"/>
      <c r="E907" s="32" t="str">
        <f>IFERROR(_xlfn.XLOOKUP($B907,Insumo[DESCRIPCION],Insumo[VALOR],,0),"")</f>
        <v/>
      </c>
      <c r="F907" s="33"/>
      <c r="G907" s="34" t="str">
        <f>IFERROR(IF(F907&gt;=0,D907*E907*(1+F907/100),ABS(D907*E907/F907)),"")</f>
        <v/>
      </c>
      <c r="H907" s="43" t="str">
        <f>IFERROR(G907*E900,"")</f>
        <v/>
      </c>
    </row>
    <row r="908" spans="1:11">
      <c r="A908" s="21"/>
      <c r="B908" s="22" t="s">
        <v>3731</v>
      </c>
      <c r="C908" s="23"/>
      <c r="D908" s="24"/>
      <c r="E908" s="25"/>
      <c r="F908" s="26"/>
      <c r="G908" s="27">
        <f>SUM(G909:G911)</f>
        <v>4977.8535558375015</v>
      </c>
      <c r="H908" s="44">
        <f>G908*E900</f>
        <v>0</v>
      </c>
    </row>
    <row r="909" spans="1:11">
      <c r="A909" s="28"/>
      <c r="B909" s="29" t="s">
        <v>3573</v>
      </c>
      <c r="C909" s="30" t="str">
        <f>IFERROR(_xlfn.XLOOKUP(B909,Equipo[DESCRIPCION],Equipo[UND],,0),"")</f>
        <v>%MO</v>
      </c>
      <c r="D909" s="31">
        <v>0.1</v>
      </c>
      <c r="E909" s="32">
        <f>IF(C909="%MO",G915,IFERROR(_xlfn.XLOOKUP($B909,Equipo[DESCRIPCION],Equipo[VALOR],,0),""))</f>
        <v>26199.229241250006</v>
      </c>
      <c r="F909" s="33"/>
      <c r="G909" s="34">
        <f>IFERROR(IF(F909&gt;=0,D909*E909*(1+F909/100),ABS(D909*E909/F909)),"")</f>
        <v>2619.9229241250009</v>
      </c>
      <c r="H909" s="43">
        <f>IFERROR(G909*E900,"")</f>
        <v>0</v>
      </c>
    </row>
    <row r="910" spans="1:11">
      <c r="A910" s="28"/>
      <c r="B910" s="29" t="s">
        <v>3570</v>
      </c>
      <c r="C910" s="30" t="str">
        <f>IFERROR(_xlfn.XLOOKUP(B910,Equipo[DESCRIPCION],Equipo[UND],,0),"")</f>
        <v>%MO</v>
      </c>
      <c r="D910" s="31">
        <v>0.04</v>
      </c>
      <c r="E910" s="32">
        <f>IF(C910="%MO",G915,IFERROR(_xlfn.XLOOKUP($B910,Equipo[DESCRIPCION],Equipo[VALOR],,0),""))</f>
        <v>26199.229241250006</v>
      </c>
      <c r="F910" s="33"/>
      <c r="G910" s="34">
        <f>IFERROR(IF(F910&gt;=0,D910*E910*(1+F910/100),ABS(D910*E910/F910)),"")</f>
        <v>1047.9691696500004</v>
      </c>
      <c r="H910" s="43">
        <f>IFERROR(G910*E900,"")</f>
        <v>0</v>
      </c>
    </row>
    <row r="911" spans="1:11">
      <c r="A911" s="28"/>
      <c r="B911" s="29" t="s">
        <v>3626</v>
      </c>
      <c r="C911" s="30" t="str">
        <f>IFERROR(_xlfn.XLOOKUP(B911,Equipo[DESCRIPCION],Equipo[UND],,0),"")</f>
        <v>%MO</v>
      </c>
      <c r="D911" s="31">
        <v>0.05</v>
      </c>
      <c r="E911" s="32">
        <f>IF(C911="%MO",G915,IFERROR(_xlfn.XLOOKUP($B911,Equipo[DESCRIPCION],Equipo[VALOR],,0),""))</f>
        <v>26199.229241250006</v>
      </c>
      <c r="F911" s="33"/>
      <c r="G911" s="34">
        <f>IFERROR(IF(F911&gt;=0,D911*E911*(1+F911/100),ABS(D911*E911/F911)),"")</f>
        <v>1309.9614620625005</v>
      </c>
      <c r="H911" s="43">
        <f>IFERROR(G911*E900,"")</f>
        <v>0</v>
      </c>
    </row>
    <row r="912" spans="1:11">
      <c r="A912" s="21"/>
      <c r="B912" s="22" t="s">
        <v>2533</v>
      </c>
      <c r="C912" s="23"/>
      <c r="D912" s="24"/>
      <c r="E912" s="25"/>
      <c r="F912" s="26"/>
      <c r="G912" s="27">
        <f>SUM(G913:G914)</f>
        <v>0</v>
      </c>
      <c r="H912" s="44">
        <f>G912*E900</f>
        <v>0</v>
      </c>
    </row>
    <row r="913" spans="1:11">
      <c r="A913" s="28"/>
      <c r="B913" s="29"/>
      <c r="C913" s="30" t="str">
        <f>IFERROR(_xlfn.XLOOKUP(B913,Transporte[DESCRIPCION],Transporte[UND],,0),"")</f>
        <v/>
      </c>
      <c r="D913" s="31"/>
      <c r="E913" s="32" t="str">
        <f>IFERROR(_xlfn.XLOOKUP($B913,Transporte[DESCRIPCION],Transporte[VALOR],,0),"")</f>
        <v/>
      </c>
      <c r="F913" s="33"/>
      <c r="G913" s="34" t="str">
        <f>IFERROR(IF(F913&gt;=0,D913*E913*(1+F913/100),ABS(D913*E913/F913)),"")</f>
        <v/>
      </c>
      <c r="H913" s="43" t="str">
        <f>IFERROR(G913*E900,"")</f>
        <v/>
      </c>
    </row>
    <row r="914" spans="1:11">
      <c r="A914" s="28"/>
      <c r="B914" s="29"/>
      <c r="C914" s="30" t="str">
        <f>IFERROR(_xlfn.XLOOKUP(B914,Transporte[DESCRIPCION],Transporte[UND],,0),"")</f>
        <v/>
      </c>
      <c r="D914" s="31"/>
      <c r="E914" s="32" t="str">
        <f>IFERROR(_xlfn.XLOOKUP($B914,Transporte[DESCRIPCION],Transporte[VALOR],,0),"")</f>
        <v/>
      </c>
      <c r="F914" s="33"/>
      <c r="G914" s="34" t="str">
        <f>IFERROR(IF(F914&gt;=0,D914*E914*(1+F914/100),ABS(D914*E914/F914)),"")</f>
        <v/>
      </c>
      <c r="H914" s="43" t="str">
        <f>IFERROR(G914*E900,"")</f>
        <v/>
      </c>
    </row>
    <row r="915" spans="1:11">
      <c r="A915" s="21"/>
      <c r="B915" s="22" t="s">
        <v>3732</v>
      </c>
      <c r="C915" s="23"/>
      <c r="D915" s="24"/>
      <c r="E915" s="25"/>
      <c r="F915" s="26"/>
      <c r="G915" s="27">
        <f>SUM(G916:G918)</f>
        <v>26199.229241250006</v>
      </c>
      <c r="H915" s="44">
        <f>G915*E900</f>
        <v>0</v>
      </c>
    </row>
    <row r="916" spans="1:11">
      <c r="A916" s="28"/>
      <c r="B916" s="29" t="s">
        <v>3710</v>
      </c>
      <c r="C916" s="30" t="str">
        <f>IFERROR(_xlfn.XLOOKUP(B916,MObra[DESCRIPCION],MObra[UN],,0),"")</f>
        <v>día</v>
      </c>
      <c r="D916" s="31">
        <v>1</v>
      </c>
      <c r="E916" s="32">
        <f>IFERROR(_xlfn.XLOOKUP($B916,MObra[DESCRIPCION],MObra[VALOR UNIT],,0),"")</f>
        <v>314390.75089500006</v>
      </c>
      <c r="F916" s="33">
        <v>-12</v>
      </c>
      <c r="G916" s="34">
        <f>IFERROR(IF(F916&gt;=0,D916*E916*(1+F916/100),ABS(D916*E916/F916)),"")</f>
        <v>26199.229241250006</v>
      </c>
      <c r="H916" s="43">
        <f>IFERROR(G916*E900,"")</f>
        <v>0</v>
      </c>
    </row>
    <row r="917" spans="1:11">
      <c r="A917" s="28"/>
      <c r="B917" s="29"/>
      <c r="C917" s="30" t="str">
        <f t="array" ref="C917">IFERROR(_xlfn.XLOOKUP(B917,MObra[[#All],[DESCRIPCION]],MObra[[#All],[UN]],,0),"")</f>
        <v/>
      </c>
      <c r="D917" s="31"/>
      <c r="E917" s="32" t="str">
        <f>IFERROR(_xlfn.XLOOKUP($B917,MObra[DESCRIPCION],MObra[VALOR UNIT],,0),"")</f>
        <v/>
      </c>
      <c r="F917" s="33"/>
      <c r="G917" s="34" t="str">
        <f>IFERROR(IF(F917&gt;=0,D917*E917*(1+F917/100),ABS(D917*E917/F917)),"")</f>
        <v/>
      </c>
      <c r="H917" s="43" t="str">
        <f>IFERROR(G917*E900,"")</f>
        <v/>
      </c>
    </row>
    <row r="918" spans="1:11">
      <c r="A918" s="35"/>
      <c r="B918" s="36"/>
      <c r="C918" s="37" t="str">
        <f t="array" ref="C918">IFERROR(_xlfn.XLOOKUP(B918,MObra[[#All],[DESCRIPCION]],MObra[[#All],[UN]],,0),"")</f>
        <v/>
      </c>
      <c r="D918" s="38"/>
      <c r="E918" s="39" t="str">
        <f>IFERROR(_xlfn.XLOOKUP($B918,MObra[DESCRIPCION],MObra[VALOR UNIT],,0),"")</f>
        <v/>
      </c>
      <c r="F918" s="40"/>
      <c r="G918" s="41" t="str">
        <f>IFERROR(IF(F918&gt;=0,D918*E918*(1+F918/100),ABS(D918*E918/F918)),"")</f>
        <v/>
      </c>
      <c r="H918" s="42" t="str">
        <f>IFERROR(G918*E900,"")</f>
        <v/>
      </c>
    </row>
    <row r="920" spans="1:11">
      <c r="A920" s="6" t="s">
        <v>687</v>
      </c>
      <c r="B920" s="7" t="str">
        <f>VLOOKUP($A920,Presupuesto!$A:$D,2,FALSE())</f>
        <v>Revoque impermeabilizado e=0.03 m + filos y dilataciones</v>
      </c>
      <c r="C920" s="8" t="str">
        <f>VLOOKUP($A920,Presupuesto!$A:$D,3,FALSE())</f>
        <v>M2</v>
      </c>
      <c r="D920" s="9"/>
      <c r="E920" s="10">
        <f>VLOOKUP($A920,Presupuesto!$A:$D,4,FALSE())</f>
        <v>0</v>
      </c>
      <c r="F920" s="11" t="s">
        <v>2589</v>
      </c>
      <c r="G920" s="12">
        <f>SUM(G922:G938)/2</f>
        <v>53952.922513751633</v>
      </c>
      <c r="H920" s="13">
        <f>ROUND(SUM(H922:H938),0)/2</f>
        <v>0</v>
      </c>
      <c r="I920" s="10">
        <f>VLOOKUP(A920,Presupuesto!$A:$F,6,0)</f>
        <v>0</v>
      </c>
      <c r="J920" s="10">
        <f>+H920-I920</f>
        <v>0</v>
      </c>
      <c r="K920" s="46">
        <f>+H920-G920*E920</f>
        <v>0</v>
      </c>
    </row>
    <row r="921" spans="1:11">
      <c r="A921" s="14"/>
      <c r="B921" s="15" t="s">
        <v>2586</v>
      </c>
      <c r="C921" s="15" t="s">
        <v>5</v>
      </c>
      <c r="D921" s="16" t="s">
        <v>6</v>
      </c>
      <c r="E921" s="17" t="s">
        <v>7</v>
      </c>
      <c r="F921" s="18" t="s">
        <v>3728</v>
      </c>
      <c r="G921" s="19" t="s">
        <v>3729</v>
      </c>
      <c r="H921" s="20" t="s">
        <v>3797</v>
      </c>
    </row>
    <row r="922" spans="1:11">
      <c r="A922" s="21"/>
      <c r="B922" s="22" t="s">
        <v>3730</v>
      </c>
      <c r="C922" s="23"/>
      <c r="D922" s="24"/>
      <c r="E922" s="25"/>
      <c r="F922" s="26"/>
      <c r="G922" s="27">
        <f>SUM(G923:G927)</f>
        <v>22775.839716664126</v>
      </c>
      <c r="H922" s="27">
        <f>IFERROR(G922*E920,"")</f>
        <v>0</v>
      </c>
    </row>
    <row r="923" spans="1:11">
      <c r="A923" s="28"/>
      <c r="B923" s="29" t="s">
        <v>3244</v>
      </c>
      <c r="C923" s="30" t="str">
        <f>IFERROR(_xlfn.XLOOKUP(B923,Insumo[DESCRIPCION],Insumo[UND],,0),"")</f>
        <v>M3</v>
      </c>
      <c r="D923" s="31">
        <v>0.03</v>
      </c>
      <c r="E923" s="32">
        <f>IFERROR(_xlfn.XLOOKUP($B923,Insumo[DESCRIPCION],Insumo[VALOR],,0),"")</f>
        <v>497765.65722213761</v>
      </c>
      <c r="F923" s="33"/>
      <c r="G923" s="34">
        <f>IFERROR(IF(F923&gt;=0,D923*E923*(1+F923/100),ABS(D923*E923/F923)),"")</f>
        <v>14932.969716664127</v>
      </c>
      <c r="H923" s="43">
        <f>IFERROR(G923*E920,"")</f>
        <v>0</v>
      </c>
    </row>
    <row r="924" spans="1:11">
      <c r="A924" s="28"/>
      <c r="B924" s="29" t="s">
        <v>3302</v>
      </c>
      <c r="C924" s="30" t="str">
        <f>IFERROR(_xlfn.XLOOKUP(B924,Insumo[DESCRIPCION],Insumo[UND],,0),"")</f>
        <v>Kg</v>
      </c>
      <c r="D924" s="31">
        <v>0.3</v>
      </c>
      <c r="E924" s="32">
        <f>IFERROR(_xlfn.XLOOKUP($B924,Insumo[DESCRIPCION],Insumo[VALOR],,0),"")</f>
        <v>26142.9</v>
      </c>
      <c r="F924" s="33"/>
      <c r="G924" s="34">
        <f>IFERROR(IF(F924&gt;=0,D924*E924*(1+F924/100),ABS(D924*E924/F924)),"")</f>
        <v>7842.87</v>
      </c>
      <c r="H924" s="43">
        <f>IFERROR(G924*E920,"")</f>
        <v>0</v>
      </c>
    </row>
    <row r="925" spans="1:11">
      <c r="A925" s="28"/>
      <c r="B925" s="29"/>
      <c r="C925" s="30" t="str">
        <f>IFERROR(_xlfn.XLOOKUP(B925,Insumo[DESCRIPCION],Insumo[UND],,0),"")</f>
        <v/>
      </c>
      <c r="D925" s="31"/>
      <c r="E925" s="32" t="str">
        <f>IFERROR(_xlfn.XLOOKUP($B925,Insumo[DESCRIPCION],Insumo[VALOR],,0),"")</f>
        <v/>
      </c>
      <c r="F925" s="33"/>
      <c r="G925" s="34" t="str">
        <f>IFERROR(IF(F925&gt;=0,D925*E925*(1+F925/100),ABS(D925*E925/F925)),"")</f>
        <v/>
      </c>
      <c r="H925" s="43" t="str">
        <f>IFERROR(G925*E920,"")</f>
        <v/>
      </c>
    </row>
    <row r="926" spans="1:11">
      <c r="A926" s="28"/>
      <c r="B926" s="29"/>
      <c r="C926" s="30" t="str">
        <f>IFERROR(_xlfn.XLOOKUP(B926,Insumo[DESCRIPCION],Insumo[UND],,0),"")</f>
        <v/>
      </c>
      <c r="D926" s="31"/>
      <c r="E926" s="32" t="str">
        <f>IFERROR(_xlfn.XLOOKUP($B926,Insumo[DESCRIPCION],Insumo[VALOR],,0),"")</f>
        <v/>
      </c>
      <c r="F926" s="33"/>
      <c r="G926" s="34" t="str">
        <f>IFERROR(IF(F926&gt;=0,D926*E926*(1+F926/100),ABS(D926*E926/F926)),"")</f>
        <v/>
      </c>
      <c r="H926" s="43" t="str">
        <f>IFERROR(G926*E920,"")</f>
        <v/>
      </c>
    </row>
    <row r="927" spans="1:11">
      <c r="A927" s="28"/>
      <c r="B927" s="29"/>
      <c r="C927" s="30" t="str">
        <f>IFERROR(_xlfn.XLOOKUP(B927,Insumo[DESCRIPCION],Insumo[UND],,0),"")</f>
        <v/>
      </c>
      <c r="D927" s="31"/>
      <c r="E927" s="32" t="str">
        <f>IFERROR(_xlfn.XLOOKUP($B927,Insumo[DESCRIPCION],Insumo[VALOR],,0),"")</f>
        <v/>
      </c>
      <c r="F927" s="33"/>
      <c r="G927" s="34" t="str">
        <f>IFERROR(IF(F927&gt;=0,D927*E927*(1+F927/100),ABS(D927*E927/F927)),"")</f>
        <v/>
      </c>
      <c r="H927" s="43" t="str">
        <f>IFERROR(G927*E920,"")</f>
        <v/>
      </c>
    </row>
    <row r="928" spans="1:11">
      <c r="A928" s="21"/>
      <c r="B928" s="22" t="s">
        <v>3731</v>
      </c>
      <c r="C928" s="23"/>
      <c r="D928" s="24"/>
      <c r="E928" s="25"/>
      <c r="F928" s="26"/>
      <c r="G928" s="27">
        <f>SUM(G929:G931)</f>
        <v>4977.8535558375015</v>
      </c>
      <c r="H928" s="44">
        <f>G928*E920</f>
        <v>0</v>
      </c>
    </row>
    <row r="929" spans="1:11">
      <c r="A929" s="28"/>
      <c r="B929" s="29" t="s">
        <v>3573</v>
      </c>
      <c r="C929" s="30" t="str">
        <f>IFERROR(_xlfn.XLOOKUP(B929,Equipo[DESCRIPCION],Equipo[UND],,0),"")</f>
        <v>%MO</v>
      </c>
      <c r="D929" s="31">
        <v>0.1</v>
      </c>
      <c r="E929" s="32">
        <f>IF(C929="%MO",G935,IFERROR(_xlfn.XLOOKUP($B929,Equipo[DESCRIPCION],Equipo[VALOR],,0),""))</f>
        <v>26199.229241250006</v>
      </c>
      <c r="F929" s="33"/>
      <c r="G929" s="34">
        <f>IFERROR(IF(F929&gt;=0,D929*E929*(1+F929/100),ABS(D929*E929/F929)),"")</f>
        <v>2619.9229241250009</v>
      </c>
      <c r="H929" s="43">
        <f>IFERROR(G929*E920,"")</f>
        <v>0</v>
      </c>
    </row>
    <row r="930" spans="1:11">
      <c r="A930" s="28"/>
      <c r="B930" s="29" t="s">
        <v>3570</v>
      </c>
      <c r="C930" s="30" t="str">
        <f>IFERROR(_xlfn.XLOOKUP(B930,Equipo[DESCRIPCION],Equipo[UND],,0),"")</f>
        <v>%MO</v>
      </c>
      <c r="D930" s="31">
        <v>0.04</v>
      </c>
      <c r="E930" s="32">
        <f>IF(C930="%MO",G935,IFERROR(_xlfn.XLOOKUP($B930,Equipo[DESCRIPCION],Equipo[VALOR],,0),""))</f>
        <v>26199.229241250006</v>
      </c>
      <c r="F930" s="33"/>
      <c r="G930" s="34">
        <f>IFERROR(IF(F930&gt;=0,D930*E930*(1+F930/100),ABS(D930*E930/F930)),"")</f>
        <v>1047.9691696500004</v>
      </c>
      <c r="H930" s="43">
        <f>IFERROR(G930*E920,"")</f>
        <v>0</v>
      </c>
    </row>
    <row r="931" spans="1:11">
      <c r="A931" s="28"/>
      <c r="B931" s="29" t="s">
        <v>3626</v>
      </c>
      <c r="C931" s="30" t="str">
        <f>IFERROR(_xlfn.XLOOKUP(B931,Equipo[DESCRIPCION],Equipo[UND],,0),"")</f>
        <v>%MO</v>
      </c>
      <c r="D931" s="31">
        <v>0.05</v>
      </c>
      <c r="E931" s="32">
        <f>IF(C931="%MO",G935,IFERROR(_xlfn.XLOOKUP($B931,Equipo[DESCRIPCION],Equipo[VALOR],,0),""))</f>
        <v>26199.229241250006</v>
      </c>
      <c r="F931" s="33"/>
      <c r="G931" s="34">
        <f>IFERROR(IF(F931&gt;=0,D931*E931*(1+F931/100),ABS(D931*E931/F931)),"")</f>
        <v>1309.9614620625005</v>
      </c>
      <c r="H931" s="43">
        <f>IFERROR(G931*E920,"")</f>
        <v>0</v>
      </c>
    </row>
    <row r="932" spans="1:11">
      <c r="A932" s="21"/>
      <c r="B932" s="22" t="s">
        <v>2533</v>
      </c>
      <c r="C932" s="23"/>
      <c r="D932" s="24"/>
      <c r="E932" s="25"/>
      <c r="F932" s="26"/>
      <c r="G932" s="27">
        <f>SUM(G933:G934)</f>
        <v>0</v>
      </c>
      <c r="H932" s="44">
        <f>G932*E920</f>
        <v>0</v>
      </c>
    </row>
    <row r="933" spans="1:11">
      <c r="A933" s="28"/>
      <c r="B933" s="29"/>
      <c r="C933" s="30" t="str">
        <f>IFERROR(_xlfn.XLOOKUP(B933,Transporte[DESCRIPCION],Transporte[UND],,0),"")</f>
        <v/>
      </c>
      <c r="D933" s="31"/>
      <c r="E933" s="32" t="str">
        <f>IFERROR(_xlfn.XLOOKUP($B933,Transporte[DESCRIPCION],Transporte[VALOR],,0),"")</f>
        <v/>
      </c>
      <c r="F933" s="33"/>
      <c r="G933" s="34" t="str">
        <f>IFERROR(IF(F933&gt;=0,D933*E933*(1+F933/100),ABS(D933*E933/F933)),"")</f>
        <v/>
      </c>
      <c r="H933" s="43" t="str">
        <f>IFERROR(G933*E920,"")</f>
        <v/>
      </c>
    </row>
    <row r="934" spans="1:11">
      <c r="A934" s="28"/>
      <c r="B934" s="29"/>
      <c r="C934" s="30" t="str">
        <f>IFERROR(_xlfn.XLOOKUP(B934,Transporte[DESCRIPCION],Transporte[UND],,0),"")</f>
        <v/>
      </c>
      <c r="D934" s="31"/>
      <c r="E934" s="32" t="str">
        <f>IFERROR(_xlfn.XLOOKUP($B934,Transporte[DESCRIPCION],Transporte[VALOR],,0),"")</f>
        <v/>
      </c>
      <c r="F934" s="33"/>
      <c r="G934" s="34" t="str">
        <f>IFERROR(IF(F934&gt;=0,D934*E934*(1+F934/100),ABS(D934*E934/F934)),"")</f>
        <v/>
      </c>
      <c r="H934" s="43" t="str">
        <f>IFERROR(G934*E920,"")</f>
        <v/>
      </c>
    </row>
    <row r="935" spans="1:11">
      <c r="A935" s="21"/>
      <c r="B935" s="22" t="s">
        <v>3732</v>
      </c>
      <c r="C935" s="23"/>
      <c r="D935" s="24"/>
      <c r="E935" s="25"/>
      <c r="F935" s="26"/>
      <c r="G935" s="27">
        <f>SUM(G936:G938)</f>
        <v>26199.229241250006</v>
      </c>
      <c r="H935" s="44">
        <f>G935*E920</f>
        <v>0</v>
      </c>
    </row>
    <row r="936" spans="1:11">
      <c r="A936" s="28"/>
      <c r="B936" s="29" t="s">
        <v>3710</v>
      </c>
      <c r="C936" s="30" t="str">
        <f>IFERROR(_xlfn.XLOOKUP(B936,MObra[DESCRIPCION],MObra[UN],,0),"")</f>
        <v>día</v>
      </c>
      <c r="D936" s="31">
        <v>1</v>
      </c>
      <c r="E936" s="32">
        <f>IFERROR(_xlfn.XLOOKUP($B936,MObra[DESCRIPCION],MObra[VALOR UNIT],,0),"")</f>
        <v>314390.75089500006</v>
      </c>
      <c r="F936" s="33">
        <v>-12</v>
      </c>
      <c r="G936" s="34">
        <f>IFERROR(IF(F936&gt;=0,D936*E936*(1+F936/100),ABS(D936*E936/F936)),"")</f>
        <v>26199.229241250006</v>
      </c>
      <c r="H936" s="43">
        <f>IFERROR(G936*E920,"")</f>
        <v>0</v>
      </c>
    </row>
    <row r="937" spans="1:11">
      <c r="A937" s="28"/>
      <c r="B937" s="29"/>
      <c r="C937" s="30" t="str">
        <f t="array" ref="C937">IFERROR(_xlfn.XLOOKUP(B937,MObra[[#All],[DESCRIPCION]],MObra[[#All],[UN]],,0),"")</f>
        <v/>
      </c>
      <c r="D937" s="31"/>
      <c r="E937" s="32" t="str">
        <f>IFERROR(_xlfn.XLOOKUP($B937,MObra[DESCRIPCION],MObra[VALOR UNIT],,0),"")</f>
        <v/>
      </c>
      <c r="F937" s="33"/>
      <c r="G937" s="34" t="str">
        <f>IFERROR(IF(F937&gt;=0,D937*E937*(1+F937/100),ABS(D937*E937/F937)),"")</f>
        <v/>
      </c>
      <c r="H937" s="43" t="str">
        <f>IFERROR(G937*E920,"")</f>
        <v/>
      </c>
    </row>
    <row r="938" spans="1:11">
      <c r="A938" s="35"/>
      <c r="B938" s="36"/>
      <c r="C938" s="37" t="str">
        <f t="array" ref="C938">IFERROR(_xlfn.XLOOKUP(B938,MObra[[#All],[DESCRIPCION]],MObra[[#All],[UN]],,0),"")</f>
        <v/>
      </c>
      <c r="D938" s="38"/>
      <c r="E938" s="39" t="str">
        <f>IFERROR(_xlfn.XLOOKUP($B938,MObra[DESCRIPCION],MObra[VALOR UNIT],,0),"")</f>
        <v/>
      </c>
      <c r="F938" s="40"/>
      <c r="G938" s="41" t="str">
        <f>IFERROR(IF(F938&gt;=0,D938*E938*(1+F938/100),ABS(D938*E938/F938)),"")</f>
        <v/>
      </c>
      <c r="H938" s="42" t="str">
        <f>IFERROR(G938*E920,"")</f>
        <v/>
      </c>
    </row>
    <row r="940" spans="1:11">
      <c r="A940" s="6" t="s">
        <v>689</v>
      </c>
      <c r="B940" s="7" t="str">
        <f>VLOOKUP($A940,Presupuesto!$A:$D,2,FALSE())</f>
        <v>Revoque muro exterior fachada</v>
      </c>
      <c r="C940" s="8" t="str">
        <f>VLOOKUP($A940,Presupuesto!$A:$D,3,FALSE())</f>
        <v>M2</v>
      </c>
      <c r="D940" s="9"/>
      <c r="E940" s="10">
        <f>VLOOKUP($A940,Presupuesto!$A:$D,4,FALSE())</f>
        <v>0</v>
      </c>
      <c r="F940" s="11" t="s">
        <v>2589</v>
      </c>
      <c r="G940" s="12">
        <f>SUM(G942:G958)/2</f>
        <v>64345.283446114132</v>
      </c>
      <c r="H940" s="13">
        <f>ROUND(SUM(H942:H958),0)/2</f>
        <v>0</v>
      </c>
      <c r="I940" s="10">
        <f>VLOOKUP(A940,Presupuesto!$A:$F,6,0)</f>
        <v>0</v>
      </c>
      <c r="J940" s="10">
        <f>+H940-I940</f>
        <v>0</v>
      </c>
      <c r="K940" s="46">
        <f>+H940-G940*E940</f>
        <v>0</v>
      </c>
    </row>
    <row r="941" spans="1:11">
      <c r="A941" s="14"/>
      <c r="B941" s="15" t="s">
        <v>2586</v>
      </c>
      <c r="C941" s="15" t="s">
        <v>5</v>
      </c>
      <c r="D941" s="16" t="s">
        <v>6</v>
      </c>
      <c r="E941" s="17" t="s">
        <v>7</v>
      </c>
      <c r="F941" s="18" t="s">
        <v>3728</v>
      </c>
      <c r="G941" s="19" t="s">
        <v>3729</v>
      </c>
      <c r="H941" s="20" t="s">
        <v>3797</v>
      </c>
    </row>
    <row r="942" spans="1:11">
      <c r="A942" s="21"/>
      <c r="B942" s="22" t="s">
        <v>3730</v>
      </c>
      <c r="C942" s="23"/>
      <c r="D942" s="24"/>
      <c r="E942" s="25"/>
      <c r="F942" s="26"/>
      <c r="G942" s="27">
        <f>SUM(G943:G947)</f>
        <v>22775.839716664126</v>
      </c>
      <c r="H942" s="27">
        <f>IFERROR(G942*E940,"")</f>
        <v>0</v>
      </c>
    </row>
    <row r="943" spans="1:11">
      <c r="A943" s="28"/>
      <c r="B943" s="29" t="s">
        <v>3244</v>
      </c>
      <c r="C943" s="30" t="str">
        <f>IFERROR(_xlfn.XLOOKUP(B943,Insumo[DESCRIPCION],Insumo[UND],,0),"")</f>
        <v>M3</v>
      </c>
      <c r="D943" s="31">
        <v>0.03</v>
      </c>
      <c r="E943" s="32">
        <f>IFERROR(_xlfn.XLOOKUP($B943,Insumo[DESCRIPCION],Insumo[VALOR],,0),"")</f>
        <v>497765.65722213761</v>
      </c>
      <c r="F943" s="33"/>
      <c r="G943" s="34">
        <f>IFERROR(IF(F943&gt;=0,D943*E943*(1+F943/100),ABS(D943*E943/F943)),"")</f>
        <v>14932.969716664127</v>
      </c>
      <c r="H943" s="43">
        <f>IFERROR(G943*E940,"")</f>
        <v>0</v>
      </c>
    </row>
    <row r="944" spans="1:11">
      <c r="A944" s="28"/>
      <c r="B944" s="29" t="s">
        <v>3302</v>
      </c>
      <c r="C944" s="30" t="str">
        <f>IFERROR(_xlfn.XLOOKUP(B944,Insumo[DESCRIPCION],Insumo[UND],,0),"")</f>
        <v>Kg</v>
      </c>
      <c r="D944" s="31">
        <v>0.3</v>
      </c>
      <c r="E944" s="32">
        <f>IFERROR(_xlfn.XLOOKUP($B944,Insumo[DESCRIPCION],Insumo[VALOR],,0),"")</f>
        <v>26142.9</v>
      </c>
      <c r="F944" s="33"/>
      <c r="G944" s="34">
        <f>IFERROR(IF(F944&gt;=0,D944*E944*(1+F944/100),ABS(D944*E944/F944)),"")</f>
        <v>7842.87</v>
      </c>
      <c r="H944" s="43">
        <f>IFERROR(G944*E940,"")</f>
        <v>0</v>
      </c>
    </row>
    <row r="945" spans="1:11">
      <c r="A945" s="28"/>
      <c r="B945" s="29"/>
      <c r="C945" s="30" t="str">
        <f>IFERROR(_xlfn.XLOOKUP(B945,Insumo[DESCRIPCION],Insumo[UND],,0),"")</f>
        <v/>
      </c>
      <c r="D945" s="31"/>
      <c r="E945" s="32" t="str">
        <f>IFERROR(_xlfn.XLOOKUP($B945,Insumo[DESCRIPCION],Insumo[VALOR],,0),"")</f>
        <v/>
      </c>
      <c r="F945" s="33"/>
      <c r="G945" s="34" t="str">
        <f>IFERROR(IF(F945&gt;=0,D945*E945*(1+F945/100),ABS(D945*E945/F945)),"")</f>
        <v/>
      </c>
      <c r="H945" s="43" t="str">
        <f>IFERROR(G945*E940,"")</f>
        <v/>
      </c>
    </row>
    <row r="946" spans="1:11">
      <c r="A946" s="28"/>
      <c r="B946" s="29"/>
      <c r="C946" s="30" t="str">
        <f>IFERROR(_xlfn.XLOOKUP(B946,Insumo[DESCRIPCION],Insumo[UND],,0),"")</f>
        <v/>
      </c>
      <c r="D946" s="31"/>
      <c r="E946" s="32" t="str">
        <f>IFERROR(_xlfn.XLOOKUP($B946,Insumo[DESCRIPCION],Insumo[VALOR],,0),"")</f>
        <v/>
      </c>
      <c r="F946" s="33"/>
      <c r="G946" s="34" t="str">
        <f>IFERROR(IF(F946&gt;=0,D946*E946*(1+F946/100),ABS(D946*E946/F946)),"")</f>
        <v/>
      </c>
      <c r="H946" s="43" t="str">
        <f>IFERROR(G946*E940,"")</f>
        <v/>
      </c>
    </row>
    <row r="947" spans="1:11">
      <c r="A947" s="28"/>
      <c r="B947" s="29"/>
      <c r="C947" s="30" t="str">
        <f>IFERROR(_xlfn.XLOOKUP(B947,Insumo[DESCRIPCION],Insumo[UND],,0),"")</f>
        <v/>
      </c>
      <c r="D947" s="31"/>
      <c r="E947" s="32" t="str">
        <f>IFERROR(_xlfn.XLOOKUP($B947,Insumo[DESCRIPCION],Insumo[VALOR],,0),"")</f>
        <v/>
      </c>
      <c r="F947" s="33"/>
      <c r="G947" s="34" t="str">
        <f>IFERROR(IF(F947&gt;=0,D947*E947*(1+F947/100),ABS(D947*E947/F947)),"")</f>
        <v/>
      </c>
      <c r="H947" s="43" t="str">
        <f>IFERROR(G947*E940,"")</f>
        <v/>
      </c>
    </row>
    <row r="948" spans="1:11">
      <c r="A948" s="21"/>
      <c r="B948" s="22" t="s">
        <v>3731</v>
      </c>
      <c r="C948" s="23"/>
      <c r="D948" s="24"/>
      <c r="E948" s="25"/>
      <c r="F948" s="26"/>
      <c r="G948" s="27">
        <f>SUM(G949:G951)</f>
        <v>6637.1380744500011</v>
      </c>
      <c r="H948" s="44">
        <f>G948*E940</f>
        <v>0</v>
      </c>
    </row>
    <row r="949" spans="1:11">
      <c r="A949" s="28"/>
      <c r="B949" s="29" t="s">
        <v>3573</v>
      </c>
      <c r="C949" s="30" t="str">
        <f>IFERROR(_xlfn.XLOOKUP(B949,Equipo[DESCRIPCION],Equipo[UND],,0),"")</f>
        <v>%MO</v>
      </c>
      <c r="D949" s="31">
        <v>0.1</v>
      </c>
      <c r="E949" s="32">
        <f>IF(C949="%MO",G955,IFERROR(_xlfn.XLOOKUP($B949,Equipo[DESCRIPCION],Equipo[VALOR],,0),""))</f>
        <v>34932.305655000004</v>
      </c>
      <c r="F949" s="33"/>
      <c r="G949" s="34">
        <f>IFERROR(IF(F949&gt;=0,D949*E949*(1+F949/100),ABS(D949*E949/F949)),"")</f>
        <v>3493.2305655000005</v>
      </c>
      <c r="H949" s="43">
        <f>IFERROR(G949*E940,"")</f>
        <v>0</v>
      </c>
    </row>
    <row r="950" spans="1:11">
      <c r="A950" s="28"/>
      <c r="B950" s="29" t="s">
        <v>3570</v>
      </c>
      <c r="C950" s="30" t="str">
        <f>IFERROR(_xlfn.XLOOKUP(B950,Equipo[DESCRIPCION],Equipo[UND],,0),"")</f>
        <v>%MO</v>
      </c>
      <c r="D950" s="31">
        <v>0.04</v>
      </c>
      <c r="E950" s="32">
        <f>IF(C950="%MO",G955,IFERROR(_xlfn.XLOOKUP($B950,Equipo[DESCRIPCION],Equipo[VALOR],,0),""))</f>
        <v>34932.305655000004</v>
      </c>
      <c r="F950" s="33"/>
      <c r="G950" s="34">
        <f>IFERROR(IF(F950&gt;=0,D950*E950*(1+F950/100),ABS(D950*E950/F950)),"")</f>
        <v>1397.2922262000002</v>
      </c>
      <c r="H950" s="43">
        <f>IFERROR(G950*E940,"")</f>
        <v>0</v>
      </c>
    </row>
    <row r="951" spans="1:11">
      <c r="A951" s="28"/>
      <c r="B951" s="29" t="s">
        <v>3626</v>
      </c>
      <c r="C951" s="30" t="str">
        <f>IFERROR(_xlfn.XLOOKUP(B951,Equipo[DESCRIPCION],Equipo[UND],,0),"")</f>
        <v>%MO</v>
      </c>
      <c r="D951" s="31">
        <v>0.05</v>
      </c>
      <c r="E951" s="32">
        <f>IF(C951="%MO",G955,IFERROR(_xlfn.XLOOKUP($B951,Equipo[DESCRIPCION],Equipo[VALOR],,0),""))</f>
        <v>34932.305655000004</v>
      </c>
      <c r="F951" s="33"/>
      <c r="G951" s="34">
        <f>IFERROR(IF(F951&gt;=0,D951*E951*(1+F951/100),ABS(D951*E951/F951)),"")</f>
        <v>1746.6152827500002</v>
      </c>
      <c r="H951" s="43">
        <f>IFERROR(G951*E940,"")</f>
        <v>0</v>
      </c>
    </row>
    <row r="952" spans="1:11">
      <c r="A952" s="21"/>
      <c r="B952" s="22" t="s">
        <v>2533</v>
      </c>
      <c r="C952" s="23"/>
      <c r="D952" s="24"/>
      <c r="E952" s="25"/>
      <c r="F952" s="26"/>
      <c r="G952" s="27">
        <f>SUM(G953:G954)</f>
        <v>0</v>
      </c>
      <c r="H952" s="44">
        <f>G952*E940</f>
        <v>0</v>
      </c>
    </row>
    <row r="953" spans="1:11">
      <c r="A953" s="28"/>
      <c r="B953" s="29"/>
      <c r="C953" s="30" t="str">
        <f>IFERROR(_xlfn.XLOOKUP(B953,Transporte[DESCRIPCION],Transporte[UND],,0),"")</f>
        <v/>
      </c>
      <c r="D953" s="31"/>
      <c r="E953" s="32" t="str">
        <f>IFERROR(_xlfn.XLOOKUP($B953,Transporte[DESCRIPCION],Transporte[VALOR],,0),"")</f>
        <v/>
      </c>
      <c r="F953" s="33"/>
      <c r="G953" s="34" t="str">
        <f>IFERROR(IF(F953&gt;=0,D953*E953*(1+F953/100),ABS(D953*E953/F953)),"")</f>
        <v/>
      </c>
      <c r="H953" s="43" t="str">
        <f>IFERROR(G953*E940,"")</f>
        <v/>
      </c>
    </row>
    <row r="954" spans="1:11">
      <c r="A954" s="28"/>
      <c r="B954" s="29"/>
      <c r="C954" s="30" t="str">
        <f>IFERROR(_xlfn.XLOOKUP(B954,Transporte[DESCRIPCION],Transporte[UND],,0),"")</f>
        <v/>
      </c>
      <c r="D954" s="31"/>
      <c r="E954" s="32" t="str">
        <f>IFERROR(_xlfn.XLOOKUP($B954,Transporte[DESCRIPCION],Transporte[VALOR],,0),"")</f>
        <v/>
      </c>
      <c r="F954" s="33"/>
      <c r="G954" s="34" t="str">
        <f>IFERROR(IF(F954&gt;=0,D954*E954*(1+F954/100),ABS(D954*E954/F954)),"")</f>
        <v/>
      </c>
      <c r="H954" s="43" t="str">
        <f>IFERROR(G954*E940,"")</f>
        <v/>
      </c>
    </row>
    <row r="955" spans="1:11">
      <c r="A955" s="21"/>
      <c r="B955" s="22" t="s">
        <v>3732</v>
      </c>
      <c r="C955" s="23"/>
      <c r="D955" s="24"/>
      <c r="E955" s="25"/>
      <c r="F955" s="26"/>
      <c r="G955" s="27">
        <f>SUM(G956:G958)</f>
        <v>34932.305655000004</v>
      </c>
      <c r="H955" s="44">
        <f>G955*E940</f>
        <v>0</v>
      </c>
    </row>
    <row r="956" spans="1:11">
      <c r="A956" s="28"/>
      <c r="B956" s="29" t="s">
        <v>3710</v>
      </c>
      <c r="C956" s="30" t="str">
        <f>IFERROR(_xlfn.XLOOKUP(B956,MObra[DESCRIPCION],MObra[UN],,0),"")</f>
        <v>día</v>
      </c>
      <c r="D956" s="31">
        <v>1</v>
      </c>
      <c r="E956" s="32">
        <f>IFERROR(_xlfn.XLOOKUP($B956,MObra[DESCRIPCION],MObra[VALOR UNIT],,0),"")</f>
        <v>314390.75089500006</v>
      </c>
      <c r="F956" s="33">
        <v>-9</v>
      </c>
      <c r="G956" s="34">
        <f>IFERROR(IF(F956&gt;=0,D956*E956*(1+F956/100),ABS(D956*E956/F956)),"")</f>
        <v>34932.305655000004</v>
      </c>
      <c r="H956" s="43">
        <f>IFERROR(G956*E940,"")</f>
        <v>0</v>
      </c>
    </row>
    <row r="957" spans="1:11">
      <c r="A957" s="28"/>
      <c r="B957" s="29"/>
      <c r="C957" s="30" t="str">
        <f t="array" ref="C957">IFERROR(_xlfn.XLOOKUP(B957,MObra[[#All],[DESCRIPCION]],MObra[[#All],[UN]],,0),"")</f>
        <v/>
      </c>
      <c r="D957" s="31"/>
      <c r="E957" s="32" t="str">
        <f>IFERROR(_xlfn.XLOOKUP($B957,MObra[DESCRIPCION],MObra[VALOR UNIT],,0),"")</f>
        <v/>
      </c>
      <c r="F957" s="33"/>
      <c r="G957" s="34" t="str">
        <f>IFERROR(IF(F957&gt;=0,D957*E957*(1+F957/100),ABS(D957*E957/F957)),"")</f>
        <v/>
      </c>
      <c r="H957" s="43" t="str">
        <f>IFERROR(G957*E940,"")</f>
        <v/>
      </c>
    </row>
    <row r="958" spans="1:11">
      <c r="A958" s="35"/>
      <c r="B958" s="36"/>
      <c r="C958" s="37" t="str">
        <f t="array" ref="C958">IFERROR(_xlfn.XLOOKUP(B958,MObra[[#All],[DESCRIPCION]],MObra[[#All],[UN]],,0),"")</f>
        <v/>
      </c>
      <c r="D958" s="38"/>
      <c r="E958" s="39" t="str">
        <f>IFERROR(_xlfn.XLOOKUP($B958,MObra[DESCRIPCION],MObra[VALOR UNIT],,0),"")</f>
        <v/>
      </c>
      <c r="F958" s="40"/>
      <c r="G958" s="41" t="str">
        <f>IFERROR(IF(F958&gt;=0,D958*E958*(1+F958/100),ABS(D958*E958/F958)),"")</f>
        <v/>
      </c>
      <c r="H958" s="42" t="str">
        <f>IFERROR(G958*E940,"")</f>
        <v/>
      </c>
    </row>
    <row r="960" spans="1:11">
      <c r="A960" s="6" t="s">
        <v>691</v>
      </c>
      <c r="B960" s="7" t="str">
        <f>VLOOKUP($A960,Presupuesto!$A:$D,2,FALSE())</f>
        <v>Revoque muro interior + filos + dilatación</v>
      </c>
      <c r="C960" s="8" t="str">
        <f>VLOOKUP($A960,Presupuesto!$A:$D,3,FALSE())</f>
        <v>M2</v>
      </c>
      <c r="D960" s="9"/>
      <c r="E960" s="10">
        <f>VLOOKUP($A960,Presupuesto!$A:$D,4,FALSE())</f>
        <v>0</v>
      </c>
      <c r="F960" s="11" t="s">
        <v>2589</v>
      </c>
      <c r="G960" s="12">
        <f>SUM(G962:G978)/2</f>
        <v>43711.815375514132</v>
      </c>
      <c r="H960" s="13">
        <f>ROUND(SUM(H962:H978),0)/2</f>
        <v>0</v>
      </c>
      <c r="I960" s="10">
        <f>VLOOKUP(A960,Presupuesto!$A:$F,6,0)</f>
        <v>0</v>
      </c>
      <c r="J960" s="10">
        <f>+H960-I960</f>
        <v>0</v>
      </c>
      <c r="K960" s="46">
        <f>+H960-G960*E960</f>
        <v>0</v>
      </c>
    </row>
    <row r="961" spans="1:8">
      <c r="A961" s="14"/>
      <c r="B961" s="15" t="s">
        <v>2586</v>
      </c>
      <c r="C961" s="15" t="s">
        <v>5</v>
      </c>
      <c r="D961" s="16" t="s">
        <v>6</v>
      </c>
      <c r="E961" s="17" t="s">
        <v>7</v>
      </c>
      <c r="F961" s="18" t="s">
        <v>3728</v>
      </c>
      <c r="G961" s="19" t="s">
        <v>3729</v>
      </c>
      <c r="H961" s="20" t="s">
        <v>3797</v>
      </c>
    </row>
    <row r="962" spans="1:8">
      <c r="A962" s="21"/>
      <c r="B962" s="22" t="s">
        <v>3730</v>
      </c>
      <c r="C962" s="23"/>
      <c r="D962" s="24"/>
      <c r="E962" s="25"/>
      <c r="F962" s="26"/>
      <c r="G962" s="27">
        <f>SUM(G963:G967)</f>
        <v>14932.969716664127</v>
      </c>
      <c r="H962" s="27">
        <f>IFERROR(G962*E960,"")</f>
        <v>0</v>
      </c>
    </row>
    <row r="963" spans="1:8">
      <c r="A963" s="28"/>
      <c r="B963" s="29" t="s">
        <v>3244</v>
      </c>
      <c r="C963" s="30" t="str">
        <f>IFERROR(_xlfn.XLOOKUP(B963,Insumo[DESCRIPCION],Insumo[UND],,0),"")</f>
        <v>M3</v>
      </c>
      <c r="D963" s="31">
        <v>0.03</v>
      </c>
      <c r="E963" s="32">
        <f>IFERROR(_xlfn.XLOOKUP($B963,Insumo[DESCRIPCION],Insumo[VALOR],,0),"")</f>
        <v>497765.65722213761</v>
      </c>
      <c r="F963" s="33"/>
      <c r="G963" s="34">
        <f>IFERROR(IF(F963&gt;=0,D963*E963*(1+F963/100),ABS(D963*E963/F963)),"")</f>
        <v>14932.969716664127</v>
      </c>
      <c r="H963" s="43">
        <f>IFERROR(G963*E960,"")</f>
        <v>0</v>
      </c>
    </row>
    <row r="964" spans="1:8">
      <c r="A964" s="28"/>
      <c r="B964" s="29"/>
      <c r="C964" s="30" t="str">
        <f>IFERROR(_xlfn.XLOOKUP(B964,Insumo[DESCRIPCION],Insumo[UND],,0),"")</f>
        <v/>
      </c>
      <c r="D964" s="31"/>
      <c r="E964" s="32" t="str">
        <f>IFERROR(_xlfn.XLOOKUP($B964,Insumo[DESCRIPCION],Insumo[VALOR],,0),"")</f>
        <v/>
      </c>
      <c r="F964" s="33"/>
      <c r="G964" s="34" t="str">
        <f>IFERROR(IF(F964&gt;=0,D964*E964*(1+F964/100),ABS(D964*E964/F964)),"")</f>
        <v/>
      </c>
      <c r="H964" s="43" t="str">
        <f>IFERROR(G964*E960,"")</f>
        <v/>
      </c>
    </row>
    <row r="965" spans="1:8">
      <c r="A965" s="28"/>
      <c r="B965" s="29"/>
      <c r="C965" s="30" t="str">
        <f>IFERROR(_xlfn.XLOOKUP(B965,Insumo[DESCRIPCION],Insumo[UND],,0),"")</f>
        <v/>
      </c>
      <c r="D965" s="31"/>
      <c r="E965" s="32" t="str">
        <f>IFERROR(_xlfn.XLOOKUP($B965,Insumo[DESCRIPCION],Insumo[VALOR],,0),"")</f>
        <v/>
      </c>
      <c r="F965" s="33"/>
      <c r="G965" s="34" t="str">
        <f>IFERROR(IF(F965&gt;=0,D965*E965*(1+F965/100),ABS(D965*E965/F965)),"")</f>
        <v/>
      </c>
      <c r="H965" s="43" t="str">
        <f>IFERROR(G965*E960,"")</f>
        <v/>
      </c>
    </row>
    <row r="966" spans="1:8">
      <c r="A966" s="28"/>
      <c r="B966" s="29"/>
      <c r="C966" s="30" t="str">
        <f>IFERROR(_xlfn.XLOOKUP(B966,Insumo[DESCRIPCION],Insumo[UND],,0),"")</f>
        <v/>
      </c>
      <c r="D966" s="31"/>
      <c r="E966" s="32" t="str">
        <f>IFERROR(_xlfn.XLOOKUP($B966,Insumo[DESCRIPCION],Insumo[VALOR],,0),"")</f>
        <v/>
      </c>
      <c r="F966" s="33"/>
      <c r="G966" s="34" t="str">
        <f>IFERROR(IF(F966&gt;=0,D966*E966*(1+F966/100),ABS(D966*E966/F966)),"")</f>
        <v/>
      </c>
      <c r="H966" s="43" t="str">
        <f>IFERROR(G966*E960,"")</f>
        <v/>
      </c>
    </row>
    <row r="967" spans="1:8">
      <c r="A967" s="28"/>
      <c r="B967" s="29"/>
      <c r="C967" s="30" t="str">
        <f>IFERROR(_xlfn.XLOOKUP(B967,Insumo[DESCRIPCION],Insumo[UND],,0),"")</f>
        <v/>
      </c>
      <c r="D967" s="31"/>
      <c r="E967" s="32" t="str">
        <f>IFERROR(_xlfn.XLOOKUP($B967,Insumo[DESCRIPCION],Insumo[VALOR],,0),"")</f>
        <v/>
      </c>
      <c r="F967" s="33"/>
      <c r="G967" s="34" t="str">
        <f>IFERROR(IF(F967&gt;=0,D967*E967*(1+F967/100),ABS(D967*E967/F967)),"")</f>
        <v/>
      </c>
      <c r="H967" s="43" t="str">
        <f>IFERROR(G967*E960,"")</f>
        <v/>
      </c>
    </row>
    <row r="968" spans="1:8">
      <c r="A968" s="21"/>
      <c r="B968" s="22" t="s">
        <v>3731</v>
      </c>
      <c r="C968" s="23"/>
      <c r="D968" s="24"/>
      <c r="E968" s="25"/>
      <c r="F968" s="26"/>
      <c r="G968" s="27">
        <f>SUM(G969:G971)</f>
        <v>4594.9417438500013</v>
      </c>
      <c r="H968" s="44">
        <f>G968*E960</f>
        <v>0</v>
      </c>
    </row>
    <row r="969" spans="1:8">
      <c r="A969" s="28"/>
      <c r="B969" s="29" t="s">
        <v>3573</v>
      </c>
      <c r="C969" s="30" t="str">
        <f>IFERROR(_xlfn.XLOOKUP(B969,Equipo[DESCRIPCION],Equipo[UND],,0),"")</f>
        <v>%MO</v>
      </c>
      <c r="D969" s="31">
        <v>0.1</v>
      </c>
      <c r="E969" s="32">
        <f>IF(C969="%MO",G975,IFERROR(_xlfn.XLOOKUP($B969,Equipo[DESCRIPCION],Equipo[VALOR],,0),""))</f>
        <v>24183.903915000006</v>
      </c>
      <c r="F969" s="33"/>
      <c r="G969" s="34">
        <f>IFERROR(IF(F969&gt;=0,D969*E969*(1+F969/100),ABS(D969*E969/F969)),"")</f>
        <v>2418.3903915000005</v>
      </c>
      <c r="H969" s="43">
        <f>IFERROR(G969*E960,"")</f>
        <v>0</v>
      </c>
    </row>
    <row r="970" spans="1:8">
      <c r="A970" s="28"/>
      <c r="B970" s="29" t="s">
        <v>3570</v>
      </c>
      <c r="C970" s="30" t="str">
        <f>IFERROR(_xlfn.XLOOKUP(B970,Equipo[DESCRIPCION],Equipo[UND],,0),"")</f>
        <v>%MO</v>
      </c>
      <c r="D970" s="31">
        <v>0.04</v>
      </c>
      <c r="E970" s="32">
        <f>IF(C970="%MO",G975,IFERROR(_xlfn.XLOOKUP($B970,Equipo[DESCRIPCION],Equipo[VALOR],,0),""))</f>
        <v>24183.903915000006</v>
      </c>
      <c r="F970" s="33"/>
      <c r="G970" s="34">
        <f>IFERROR(IF(F970&gt;=0,D970*E970*(1+F970/100),ABS(D970*E970/F970)),"")</f>
        <v>967.3561566000003</v>
      </c>
      <c r="H970" s="43">
        <f>IFERROR(G970*E960,"")</f>
        <v>0</v>
      </c>
    </row>
    <row r="971" spans="1:8">
      <c r="A971" s="28"/>
      <c r="B971" s="29" t="s">
        <v>3626</v>
      </c>
      <c r="C971" s="30" t="str">
        <f>IFERROR(_xlfn.XLOOKUP(B971,Equipo[DESCRIPCION],Equipo[UND],,0),"")</f>
        <v>%MO</v>
      </c>
      <c r="D971" s="31">
        <v>0.05</v>
      </c>
      <c r="E971" s="32">
        <f>IF(C971="%MO",G975,IFERROR(_xlfn.XLOOKUP($B971,Equipo[DESCRIPCION],Equipo[VALOR],,0),""))</f>
        <v>24183.903915000006</v>
      </c>
      <c r="F971" s="33"/>
      <c r="G971" s="34">
        <f>IFERROR(IF(F971&gt;=0,D971*E971*(1+F971/100),ABS(D971*E971/F971)),"")</f>
        <v>1209.1951957500003</v>
      </c>
      <c r="H971" s="43">
        <f>IFERROR(G971*E960,"")</f>
        <v>0</v>
      </c>
    </row>
    <row r="972" spans="1:8">
      <c r="A972" s="21"/>
      <c r="B972" s="22" t="s">
        <v>2533</v>
      </c>
      <c r="C972" s="23"/>
      <c r="D972" s="24"/>
      <c r="E972" s="25"/>
      <c r="F972" s="26"/>
      <c r="G972" s="27">
        <f>SUM(G973:G974)</f>
        <v>0</v>
      </c>
      <c r="H972" s="44">
        <f>G972*E960</f>
        <v>0</v>
      </c>
    </row>
    <row r="973" spans="1:8">
      <c r="A973" s="28"/>
      <c r="B973" s="29"/>
      <c r="C973" s="30" t="str">
        <f>IFERROR(_xlfn.XLOOKUP(B973,Transporte[DESCRIPCION],Transporte[UND],,0),"")</f>
        <v/>
      </c>
      <c r="D973" s="31"/>
      <c r="E973" s="32" t="str">
        <f>IFERROR(_xlfn.XLOOKUP($B973,Transporte[DESCRIPCION],Transporte[VALOR],,0),"")</f>
        <v/>
      </c>
      <c r="F973" s="33"/>
      <c r="G973" s="34" t="str">
        <f>IFERROR(IF(F973&gt;=0,D973*E973*(1+F973/100),ABS(D973*E973/F973)),"")</f>
        <v/>
      </c>
      <c r="H973" s="43" t="str">
        <f>IFERROR(G973*E960,"")</f>
        <v/>
      </c>
    </row>
    <row r="974" spans="1:8">
      <c r="A974" s="28"/>
      <c r="B974" s="29"/>
      <c r="C974" s="30" t="str">
        <f>IFERROR(_xlfn.XLOOKUP(B974,Transporte[DESCRIPCION],Transporte[UND],,0),"")</f>
        <v/>
      </c>
      <c r="D974" s="31"/>
      <c r="E974" s="32" t="str">
        <f>IFERROR(_xlfn.XLOOKUP($B974,Transporte[DESCRIPCION],Transporte[VALOR],,0),"")</f>
        <v/>
      </c>
      <c r="F974" s="33"/>
      <c r="G974" s="34" t="str">
        <f>IFERROR(IF(F974&gt;=0,D974*E974*(1+F974/100),ABS(D974*E974/F974)),"")</f>
        <v/>
      </c>
      <c r="H974" s="43" t="str">
        <f>IFERROR(G974*E960,"")</f>
        <v/>
      </c>
    </row>
    <row r="975" spans="1:8">
      <c r="A975" s="21"/>
      <c r="B975" s="22" t="s">
        <v>3732</v>
      </c>
      <c r="C975" s="23"/>
      <c r="D975" s="24"/>
      <c r="E975" s="25"/>
      <c r="F975" s="26"/>
      <c r="G975" s="27">
        <f>SUM(G976:G978)</f>
        <v>24183.903915000006</v>
      </c>
      <c r="H975" s="44">
        <f>G975*E960</f>
        <v>0</v>
      </c>
    </row>
    <row r="976" spans="1:8">
      <c r="A976" s="28"/>
      <c r="B976" s="29" t="s">
        <v>3710</v>
      </c>
      <c r="C976" s="30" t="str">
        <f>IFERROR(_xlfn.XLOOKUP(B976,MObra[DESCRIPCION],MObra[UN],,0),"")</f>
        <v>día</v>
      </c>
      <c r="D976" s="31">
        <v>1</v>
      </c>
      <c r="E976" s="32">
        <f>IFERROR(_xlfn.XLOOKUP($B976,MObra[DESCRIPCION],MObra[VALOR UNIT],,0),"")</f>
        <v>314390.75089500006</v>
      </c>
      <c r="F976" s="33">
        <v>-13</v>
      </c>
      <c r="G976" s="34">
        <f>IFERROR(IF(F976&gt;=0,D976*E976*(1+F976/100),ABS(D976*E976/F976)),"")</f>
        <v>24183.903915000006</v>
      </c>
      <c r="H976" s="43">
        <f>IFERROR(G976*E960,"")</f>
        <v>0</v>
      </c>
    </row>
    <row r="977" spans="1:11">
      <c r="A977" s="28"/>
      <c r="B977" s="29"/>
      <c r="C977" s="30" t="str">
        <f t="array" ref="C977">IFERROR(_xlfn.XLOOKUP(B977,MObra[[#All],[DESCRIPCION]],MObra[[#All],[UN]],,0),"")</f>
        <v/>
      </c>
      <c r="D977" s="31"/>
      <c r="E977" s="32" t="str">
        <f>IFERROR(_xlfn.XLOOKUP($B977,MObra[DESCRIPCION],MObra[VALOR UNIT],,0),"")</f>
        <v/>
      </c>
      <c r="F977" s="33"/>
      <c r="G977" s="34" t="str">
        <f>IFERROR(IF(F977&gt;=0,D977*E977*(1+F977/100),ABS(D977*E977/F977)),"")</f>
        <v/>
      </c>
      <c r="H977" s="43" t="str">
        <f>IFERROR(G977*E960,"")</f>
        <v/>
      </c>
    </row>
    <row r="978" spans="1:11">
      <c r="A978" s="35"/>
      <c r="B978" s="36"/>
      <c r="C978" s="37" t="str">
        <f t="array" ref="C978">IFERROR(_xlfn.XLOOKUP(B978,MObra[[#All],[DESCRIPCION]],MObra[[#All],[UN]],,0),"")</f>
        <v/>
      </c>
      <c r="D978" s="38"/>
      <c r="E978" s="39" t="str">
        <f>IFERROR(_xlfn.XLOOKUP($B978,MObra[DESCRIPCION],MObra[VALOR UNIT],,0),"")</f>
        <v/>
      </c>
      <c r="F978" s="40"/>
      <c r="G978" s="41" t="str">
        <f>IFERROR(IF(F978&gt;=0,D978*E978*(1+F978/100),ABS(D978*E978/F978)),"")</f>
        <v/>
      </c>
      <c r="H978" s="42" t="str">
        <f>IFERROR(G978*E960,"")</f>
        <v/>
      </c>
    </row>
    <row r="980" spans="1:11">
      <c r="A980" s="6" t="s">
        <v>693</v>
      </c>
      <c r="B980" s="7" t="str">
        <f>VLOOKUP($A980,Presupuesto!$A:$D,2,FALSE())</f>
        <v>Sobrecimiento ladrillo tolete H&lt;=0.5 m soga</v>
      </c>
      <c r="C980" s="8" t="str">
        <f>VLOOKUP($A980,Presupuesto!$A:$D,3,FALSE())</f>
        <v>M</v>
      </c>
      <c r="D980" s="9"/>
      <c r="E980" s="10">
        <f>VLOOKUP($A980,Presupuesto!$A:$D,4,FALSE())</f>
        <v>0</v>
      </c>
      <c r="F980" s="11" t="s">
        <v>2589</v>
      </c>
      <c r="G980" s="12">
        <f>SUM(G982:G998)/2</f>
        <v>59596.373584542758</v>
      </c>
      <c r="H980" s="13">
        <f>ROUND(SUM(H982:H998),0)/2</f>
        <v>0</v>
      </c>
      <c r="I980" s="10">
        <f>VLOOKUP(A980,Presupuesto!$A:$F,6,0)</f>
        <v>0</v>
      </c>
      <c r="J980" s="10">
        <f>+H980-I980</f>
        <v>0</v>
      </c>
      <c r="K980" s="46">
        <f>+H980-G980*E980</f>
        <v>0</v>
      </c>
    </row>
    <row r="981" spans="1:11">
      <c r="A981" s="14"/>
      <c r="B981" s="15" t="s">
        <v>2586</v>
      </c>
      <c r="C981" s="15" t="s">
        <v>5</v>
      </c>
      <c r="D981" s="16" t="s">
        <v>6</v>
      </c>
      <c r="E981" s="17" t="s">
        <v>7</v>
      </c>
      <c r="F981" s="18" t="s">
        <v>3728</v>
      </c>
      <c r="G981" s="19" t="s">
        <v>3729</v>
      </c>
      <c r="H981" s="20" t="s">
        <v>3797</v>
      </c>
    </row>
    <row r="982" spans="1:11">
      <c r="A982" s="21"/>
      <c r="B982" s="22" t="s">
        <v>3730</v>
      </c>
      <c r="C982" s="23"/>
      <c r="D982" s="24"/>
      <c r="E982" s="25"/>
      <c r="F982" s="26"/>
      <c r="G982" s="27">
        <f>SUM(G983:G987)</f>
        <v>36688.733144442755</v>
      </c>
      <c r="H982" s="27">
        <f>IFERROR(G982*E980,"")</f>
        <v>0</v>
      </c>
    </row>
    <row r="983" spans="1:11">
      <c r="A983" s="28"/>
      <c r="B983" s="29" t="s">
        <v>3020</v>
      </c>
      <c r="C983" s="30" t="str">
        <f>IFERROR(_xlfn.XLOOKUP(B983,Insumo[DESCRIPCION],Insumo[UND],,0),"")</f>
        <v>Un</v>
      </c>
      <c r="D983" s="31">
        <v>28</v>
      </c>
      <c r="E983" s="32">
        <f>IFERROR(_xlfn.XLOOKUP($B983,Insumo[DESCRIPCION],Insumo[VALOR],,0),"")</f>
        <v>909.30000000000007</v>
      </c>
      <c r="F983" s="33">
        <v>5</v>
      </c>
      <c r="G983" s="34">
        <f>IFERROR(IF(F983&gt;=0,D983*E983*(1+F983/100),ABS(D983*E983/F983)),"")</f>
        <v>26733.420000000002</v>
      </c>
      <c r="H983" s="43">
        <f>IFERROR(G983*E980,"")</f>
        <v>0</v>
      </c>
    </row>
    <row r="984" spans="1:11">
      <c r="A984" s="28"/>
      <c r="B984" s="29" t="s">
        <v>3244</v>
      </c>
      <c r="C984" s="30" t="str">
        <f>IFERROR(_xlfn.XLOOKUP(B984,Insumo[DESCRIPCION],Insumo[UND],,0),"")</f>
        <v>M3</v>
      </c>
      <c r="D984" s="31">
        <v>0.02</v>
      </c>
      <c r="E984" s="32">
        <f>IFERROR(_xlfn.XLOOKUP($B984,Insumo[DESCRIPCION],Insumo[VALOR],,0),"")</f>
        <v>497765.65722213761</v>
      </c>
      <c r="F984" s="33"/>
      <c r="G984" s="34">
        <f>IFERROR(IF(F984&gt;=0,D984*E984*(1+F984/100),ABS(D984*E984/F984)),"")</f>
        <v>9955.3131444427527</v>
      </c>
      <c r="H984" s="43">
        <f>IFERROR(G984*E980,"")</f>
        <v>0</v>
      </c>
    </row>
    <row r="985" spans="1:11">
      <c r="A985" s="28"/>
      <c r="B985" s="29"/>
      <c r="C985" s="30" t="str">
        <f>IFERROR(_xlfn.XLOOKUP(B985,Insumo[DESCRIPCION],Insumo[UND],,0),"")</f>
        <v/>
      </c>
      <c r="D985" s="31"/>
      <c r="E985" s="32" t="str">
        <f>IFERROR(_xlfn.XLOOKUP($B985,Insumo[DESCRIPCION],Insumo[VALOR],,0),"")</f>
        <v/>
      </c>
      <c r="F985" s="33"/>
      <c r="G985" s="34" t="str">
        <f>IFERROR(IF(F985&gt;=0,D985*E985*(1+F985/100),ABS(D985*E985/F985)),"")</f>
        <v/>
      </c>
      <c r="H985" s="43" t="str">
        <f>IFERROR(G985*E980,"")</f>
        <v/>
      </c>
    </row>
    <row r="986" spans="1:11">
      <c r="A986" s="28"/>
      <c r="B986" s="29"/>
      <c r="C986" s="30" t="str">
        <f>IFERROR(_xlfn.XLOOKUP(B986,Insumo[DESCRIPCION],Insumo[UND],,0),"")</f>
        <v/>
      </c>
      <c r="D986" s="31"/>
      <c r="E986" s="32" t="str">
        <f>IFERROR(_xlfn.XLOOKUP($B986,Insumo[DESCRIPCION],Insumo[VALOR],,0),"")</f>
        <v/>
      </c>
      <c r="F986" s="33"/>
      <c r="G986" s="34" t="str">
        <f>IFERROR(IF(F986&gt;=0,D986*E986*(1+F986/100),ABS(D986*E986/F986)),"")</f>
        <v/>
      </c>
      <c r="H986" s="43" t="str">
        <f>IFERROR(G986*E980,"")</f>
        <v/>
      </c>
    </row>
    <row r="987" spans="1:11">
      <c r="A987" s="28"/>
      <c r="B987" s="29"/>
      <c r="C987" s="30" t="str">
        <f>IFERROR(_xlfn.XLOOKUP(B987,Insumo[DESCRIPCION],Insumo[UND],,0),"")</f>
        <v/>
      </c>
      <c r="D987" s="31"/>
      <c r="E987" s="32" t="str">
        <f>IFERROR(_xlfn.XLOOKUP($B987,Insumo[DESCRIPCION],Insumo[VALOR],,0),"")</f>
        <v/>
      </c>
      <c r="F987" s="33"/>
      <c r="G987" s="34" t="str">
        <f>IFERROR(IF(F987&gt;=0,D987*E987*(1+F987/100),ABS(D987*E987/F987)),"")</f>
        <v/>
      </c>
      <c r="H987" s="43" t="str">
        <f>IFERROR(G987*E980,"")</f>
        <v/>
      </c>
    </row>
    <row r="988" spans="1:11">
      <c r="A988" s="21"/>
      <c r="B988" s="22" t="s">
        <v>3731</v>
      </c>
      <c r="C988" s="23"/>
      <c r="D988" s="24"/>
      <c r="E988" s="25"/>
      <c r="F988" s="26"/>
      <c r="G988" s="27">
        <f>SUM(G989:G991)</f>
        <v>1891.4565501000006</v>
      </c>
      <c r="H988" s="44">
        <f>G988*E980</f>
        <v>0</v>
      </c>
    </row>
    <row r="989" spans="1:11">
      <c r="A989" s="28"/>
      <c r="B989" s="29" t="s">
        <v>3570</v>
      </c>
      <c r="C989" s="30" t="str">
        <f>IFERROR(_xlfn.XLOOKUP(B989,Equipo[DESCRIPCION],Equipo[UND],,0),"")</f>
        <v>%MO</v>
      </c>
      <c r="D989" s="31">
        <v>0.04</v>
      </c>
      <c r="E989" s="32">
        <f>IF(C989="%MO",G995,IFERROR(_xlfn.XLOOKUP($B989,Equipo[DESCRIPCION],Equipo[VALOR],,0),""))</f>
        <v>21016.183890000004</v>
      </c>
      <c r="F989" s="33"/>
      <c r="G989" s="34">
        <f>IFERROR(IF(F989&gt;=0,D989*E989*(1+F989/100),ABS(D989*E989/F989)),"")</f>
        <v>840.6473556000002</v>
      </c>
      <c r="H989" s="43">
        <f>IFERROR(G989*E980,"")</f>
        <v>0</v>
      </c>
    </row>
    <row r="990" spans="1:11">
      <c r="A990" s="28"/>
      <c r="B990" s="29" t="s">
        <v>3626</v>
      </c>
      <c r="C990" s="30" t="str">
        <f>IFERROR(_xlfn.XLOOKUP(B990,Equipo[DESCRIPCION],Equipo[UND],,0),"")</f>
        <v>%MO</v>
      </c>
      <c r="D990" s="31">
        <v>0.05</v>
      </c>
      <c r="E990" s="32">
        <f>IF(C990="%MO",G995,IFERROR(_xlfn.XLOOKUP($B990,Equipo[DESCRIPCION],Equipo[VALOR],,0),""))</f>
        <v>21016.183890000004</v>
      </c>
      <c r="F990" s="33"/>
      <c r="G990" s="34">
        <f>IFERROR(IF(F990&gt;=0,D990*E990*(1+F990/100),ABS(D990*E990/F990)),"")</f>
        <v>1050.8091945000003</v>
      </c>
      <c r="H990" s="43">
        <f>IFERROR(G990*E980,"")</f>
        <v>0</v>
      </c>
    </row>
    <row r="991" spans="1:11">
      <c r="A991" s="28"/>
      <c r="B991" s="29"/>
      <c r="C991" s="30" t="str">
        <f>IFERROR(_xlfn.XLOOKUP(B991,Equipo[DESCRIPCION],Equipo[UND],,0),"")</f>
        <v/>
      </c>
      <c r="D991" s="31"/>
      <c r="E991" s="32" t="str">
        <f>IF(C991="%MO",G995,IFERROR(_xlfn.XLOOKUP($B991,Equipo[DESCRIPCION],Equipo[VALOR],,0),""))</f>
        <v/>
      </c>
      <c r="F991" s="33"/>
      <c r="G991" s="34" t="str">
        <f>IFERROR(IF(F991&gt;=0,D991*E991*(1+F991/100),ABS(D991*E991/F991)),"")</f>
        <v/>
      </c>
      <c r="H991" s="43" t="str">
        <f>IFERROR(G991*E980,"")</f>
        <v/>
      </c>
    </row>
    <row r="992" spans="1:11">
      <c r="A992" s="21"/>
      <c r="B992" s="22" t="s">
        <v>2533</v>
      </c>
      <c r="C992" s="23"/>
      <c r="D992" s="24"/>
      <c r="E992" s="25"/>
      <c r="F992" s="26"/>
      <c r="G992" s="27">
        <f>SUM(G993:G994)</f>
        <v>0</v>
      </c>
      <c r="H992" s="44">
        <f>G992*E980</f>
        <v>0</v>
      </c>
    </row>
    <row r="993" spans="1:11">
      <c r="A993" s="28"/>
      <c r="B993" s="29"/>
      <c r="C993" s="30" t="str">
        <f>IFERROR(_xlfn.XLOOKUP(B993,Transporte[DESCRIPCION],Transporte[UND],,0),"")</f>
        <v/>
      </c>
      <c r="D993" s="31"/>
      <c r="E993" s="32" t="str">
        <f>IFERROR(_xlfn.XLOOKUP($B993,Transporte[DESCRIPCION],Transporte[VALOR],,0),"")</f>
        <v/>
      </c>
      <c r="F993" s="33"/>
      <c r="G993" s="34" t="str">
        <f>IFERROR(IF(F993&gt;=0,D993*E993*(1+F993/100),ABS(D993*E993/F993)),"")</f>
        <v/>
      </c>
      <c r="H993" s="43" t="str">
        <f>IFERROR(G993*E980,"")</f>
        <v/>
      </c>
    </row>
    <row r="994" spans="1:11">
      <c r="A994" s="28"/>
      <c r="B994" s="29"/>
      <c r="C994" s="30" t="str">
        <f>IFERROR(_xlfn.XLOOKUP(B994,Transporte[DESCRIPCION],Transporte[UND],,0),"")</f>
        <v/>
      </c>
      <c r="D994" s="31"/>
      <c r="E994" s="32" t="str">
        <f>IFERROR(_xlfn.XLOOKUP($B994,Transporte[DESCRIPCION],Transporte[VALOR],,0),"")</f>
        <v/>
      </c>
      <c r="F994" s="33"/>
      <c r="G994" s="34" t="str">
        <f>IFERROR(IF(F994&gt;=0,D994*E994*(1+F994/100),ABS(D994*E994/F994)),"")</f>
        <v/>
      </c>
      <c r="H994" s="43" t="str">
        <f>IFERROR(G994*E980,"")</f>
        <v/>
      </c>
    </row>
    <row r="995" spans="1:11">
      <c r="A995" s="21"/>
      <c r="B995" s="22" t="s">
        <v>3732</v>
      </c>
      <c r="C995" s="23"/>
      <c r="D995" s="24"/>
      <c r="E995" s="25"/>
      <c r="F995" s="26"/>
      <c r="G995" s="27">
        <f>SUM(G996:G998)</f>
        <v>21016.183890000004</v>
      </c>
      <c r="H995" s="44">
        <f>G995*E980</f>
        <v>0</v>
      </c>
    </row>
    <row r="996" spans="1:11">
      <c r="A996" s="28"/>
      <c r="B996" s="29" t="s">
        <v>3711</v>
      </c>
      <c r="C996" s="30" t="str">
        <f>IFERROR(_xlfn.XLOOKUP(B996,MObra[DESCRIPCION],MObra[UN],,0),"")</f>
        <v>día</v>
      </c>
      <c r="D996" s="31">
        <v>1</v>
      </c>
      <c r="E996" s="32">
        <f>IFERROR(_xlfn.XLOOKUP($B996,MObra[DESCRIPCION],MObra[VALOR UNIT],,0),"")</f>
        <v>430831.76974500006</v>
      </c>
      <c r="F996" s="33">
        <v>-20.5</v>
      </c>
      <c r="G996" s="34">
        <f>IFERROR(IF(F996&gt;=0,D996*E996*(1+F996/100),ABS(D996*E996/F996)),"")</f>
        <v>21016.183890000004</v>
      </c>
      <c r="H996" s="43">
        <f>IFERROR(G996*E980,"")</f>
        <v>0</v>
      </c>
    </row>
    <row r="997" spans="1:11">
      <c r="A997" s="28"/>
      <c r="B997" s="29"/>
      <c r="C997" s="30" t="str">
        <f t="array" ref="C997">IFERROR(_xlfn.XLOOKUP(B997,MObra[[#All],[DESCRIPCION]],MObra[[#All],[UN]],,0),"")</f>
        <v/>
      </c>
      <c r="D997" s="31"/>
      <c r="E997" s="32" t="str">
        <f>IFERROR(_xlfn.XLOOKUP($B997,MObra[DESCRIPCION],MObra[VALOR UNIT],,0),"")</f>
        <v/>
      </c>
      <c r="F997" s="33"/>
      <c r="G997" s="34" t="str">
        <f>IFERROR(IF(F997&gt;=0,D997*E997*(1+F997/100),ABS(D997*E997/F997)),"")</f>
        <v/>
      </c>
      <c r="H997" s="43" t="str">
        <f>IFERROR(G997*E980,"")</f>
        <v/>
      </c>
    </row>
    <row r="998" spans="1:11">
      <c r="A998" s="35"/>
      <c r="B998" s="36"/>
      <c r="C998" s="37" t="str">
        <f t="array" ref="C998">IFERROR(_xlfn.XLOOKUP(B998,MObra[[#All],[DESCRIPCION]],MObra[[#All],[UN]],,0),"")</f>
        <v/>
      </c>
      <c r="D998" s="38"/>
      <c r="E998" s="39" t="str">
        <f>IFERROR(_xlfn.XLOOKUP($B998,MObra[DESCRIPCION],MObra[VALOR UNIT],,0),"")</f>
        <v/>
      </c>
      <c r="F998" s="40"/>
      <c r="G998" s="41" t="str">
        <f>IFERROR(IF(F998&gt;=0,D998*E998*(1+F998/100),ABS(D998*E998/F998)),"")</f>
        <v/>
      </c>
      <c r="H998" s="42" t="str">
        <f>IFERROR(G998*E980,"")</f>
        <v/>
      </c>
    </row>
    <row r="1000" spans="1:11">
      <c r="A1000" s="6" t="s">
        <v>695</v>
      </c>
      <c r="B1000" s="7" t="str">
        <f>VLOOKUP($A1000,Presupuesto!$A:$D,2,FALSE())</f>
        <v>Sobrecimiento ladrillo tolete tizón + soga</v>
      </c>
      <c r="C1000" s="8" t="str">
        <f>VLOOKUP($A1000,Presupuesto!$A:$D,3,FALSE())</f>
        <v>M2</v>
      </c>
      <c r="D1000" s="9"/>
      <c r="E1000" s="10">
        <f>VLOOKUP($A1000,Presupuesto!$A:$D,4,FALSE())</f>
        <v>0</v>
      </c>
      <c r="F1000" s="11" t="s">
        <v>2589</v>
      </c>
      <c r="G1000" s="12">
        <f>SUM(G1002:G1018)/2</f>
        <v>149562.22506404691</v>
      </c>
      <c r="H1000" s="13">
        <f>ROUND(SUM(H1002:H1018),0)/2</f>
        <v>0</v>
      </c>
      <c r="I1000" s="10">
        <f>VLOOKUP(A1000,Presupuesto!$A:$F,6,0)</f>
        <v>0</v>
      </c>
      <c r="J1000" s="10">
        <f>+H1000-I1000</f>
        <v>0</v>
      </c>
      <c r="K1000" s="46">
        <f>+H1000-G1000*E1000</f>
        <v>0</v>
      </c>
    </row>
    <row r="1001" spans="1:11">
      <c r="A1001" s="14"/>
      <c r="B1001" s="15" t="s">
        <v>2586</v>
      </c>
      <c r="C1001" s="15" t="s">
        <v>5</v>
      </c>
      <c r="D1001" s="16" t="s">
        <v>6</v>
      </c>
      <c r="E1001" s="17" t="s">
        <v>7</v>
      </c>
      <c r="F1001" s="18" t="s">
        <v>3728</v>
      </c>
      <c r="G1001" s="19" t="s">
        <v>3729</v>
      </c>
      <c r="H1001" s="20" t="s">
        <v>3797</v>
      </c>
    </row>
    <row r="1002" spans="1:11">
      <c r="A1002" s="21"/>
      <c r="B1002" s="22" t="s">
        <v>3730</v>
      </c>
      <c r="C1002" s="23"/>
      <c r="D1002" s="24"/>
      <c r="E1002" s="25"/>
      <c r="F1002" s="26"/>
      <c r="G1002" s="27">
        <f>SUM(G1003:G1007)</f>
        <v>86948.007861106889</v>
      </c>
      <c r="H1002" s="27">
        <f>IFERROR(G1002*E1000,"")</f>
        <v>0</v>
      </c>
    </row>
    <row r="1003" spans="1:11">
      <c r="A1003" s="28"/>
      <c r="B1003" s="29" t="s">
        <v>3020</v>
      </c>
      <c r="C1003" s="30" t="str">
        <f>IFERROR(_xlfn.XLOOKUP(B1003,Insumo[DESCRIPCION],Insumo[UND],,0),"")</f>
        <v>Un</v>
      </c>
      <c r="D1003" s="31">
        <v>65</v>
      </c>
      <c r="E1003" s="32">
        <f>IFERROR(_xlfn.XLOOKUP($B1003,Insumo[DESCRIPCION],Insumo[VALOR],,0),"")</f>
        <v>909.30000000000007</v>
      </c>
      <c r="F1003" s="33">
        <v>5</v>
      </c>
      <c r="G1003" s="34">
        <f>IFERROR(IF(F1003&gt;=0,D1003*E1003*(1+F1003/100),ABS(D1003*E1003/F1003)),"")</f>
        <v>62059.725000000013</v>
      </c>
      <c r="H1003" s="43">
        <f>IFERROR(G1003*E1000,"")</f>
        <v>0</v>
      </c>
    </row>
    <row r="1004" spans="1:11">
      <c r="A1004" s="28"/>
      <c r="B1004" s="29" t="s">
        <v>3244</v>
      </c>
      <c r="C1004" s="30" t="str">
        <f>IFERROR(_xlfn.XLOOKUP(B1004,Insumo[DESCRIPCION],Insumo[UND],,0),"")</f>
        <v>M3</v>
      </c>
      <c r="D1004" s="31">
        <v>0.05</v>
      </c>
      <c r="E1004" s="32">
        <f>IFERROR(_xlfn.XLOOKUP($B1004,Insumo[DESCRIPCION],Insumo[VALOR],,0),"")</f>
        <v>497765.65722213761</v>
      </c>
      <c r="F1004" s="33"/>
      <c r="G1004" s="34">
        <f>IFERROR(IF(F1004&gt;=0,D1004*E1004*(1+F1004/100),ABS(D1004*E1004/F1004)),"")</f>
        <v>24888.282861106884</v>
      </c>
      <c r="H1004" s="43">
        <f>IFERROR(G1004*E1000,"")</f>
        <v>0</v>
      </c>
    </row>
    <row r="1005" spans="1:11">
      <c r="A1005" s="28"/>
      <c r="B1005" s="29"/>
      <c r="C1005" s="30" t="str">
        <f>IFERROR(_xlfn.XLOOKUP(B1005,Insumo[DESCRIPCION],Insumo[UND],,0),"")</f>
        <v/>
      </c>
      <c r="D1005" s="31"/>
      <c r="E1005" s="32" t="str">
        <f>IFERROR(_xlfn.XLOOKUP($B1005,Insumo[DESCRIPCION],Insumo[VALOR],,0),"")</f>
        <v/>
      </c>
      <c r="F1005" s="33"/>
      <c r="G1005" s="34" t="str">
        <f>IFERROR(IF(F1005&gt;=0,D1005*E1005*(1+F1005/100),ABS(D1005*E1005/F1005)),"")</f>
        <v/>
      </c>
      <c r="H1005" s="43" t="str">
        <f>IFERROR(G1005*E1000,"")</f>
        <v/>
      </c>
    </row>
    <row r="1006" spans="1:11">
      <c r="A1006" s="28"/>
      <c r="B1006" s="29"/>
      <c r="C1006" s="30" t="str">
        <f>IFERROR(_xlfn.XLOOKUP(B1006,Insumo[DESCRIPCION],Insumo[UND],,0),"")</f>
        <v/>
      </c>
      <c r="D1006" s="31"/>
      <c r="E1006" s="32" t="str">
        <f>IFERROR(_xlfn.XLOOKUP($B1006,Insumo[DESCRIPCION],Insumo[VALOR],,0),"")</f>
        <v/>
      </c>
      <c r="F1006" s="33"/>
      <c r="G1006" s="34" t="str">
        <f>IFERROR(IF(F1006&gt;=0,D1006*E1006*(1+F1006/100),ABS(D1006*E1006/F1006)),"")</f>
        <v/>
      </c>
      <c r="H1006" s="43" t="str">
        <f>IFERROR(G1006*E1000,"")</f>
        <v/>
      </c>
    </row>
    <row r="1007" spans="1:11">
      <c r="A1007" s="28"/>
      <c r="B1007" s="29"/>
      <c r="C1007" s="30" t="str">
        <f>IFERROR(_xlfn.XLOOKUP(B1007,Insumo[DESCRIPCION],Insumo[UND],,0),"")</f>
        <v/>
      </c>
      <c r="D1007" s="31"/>
      <c r="E1007" s="32" t="str">
        <f>IFERROR(_xlfn.XLOOKUP($B1007,Insumo[DESCRIPCION],Insumo[VALOR],,0),"")</f>
        <v/>
      </c>
      <c r="F1007" s="33"/>
      <c r="G1007" s="34" t="str">
        <f>IFERROR(IF(F1007&gt;=0,D1007*E1007*(1+F1007/100),ABS(D1007*E1007/F1007)),"")</f>
        <v/>
      </c>
      <c r="H1007" s="43" t="str">
        <f>IFERROR(G1007*E1000,"")</f>
        <v/>
      </c>
    </row>
    <row r="1008" spans="1:11">
      <c r="A1008" s="21"/>
      <c r="B1008" s="22" t="s">
        <v>3731</v>
      </c>
      <c r="C1008" s="23"/>
      <c r="D1008" s="24"/>
      <c r="E1008" s="25"/>
      <c r="F1008" s="26"/>
      <c r="G1008" s="27">
        <f>SUM(G1009:G1011)</f>
        <v>5169.9812369400006</v>
      </c>
      <c r="H1008" s="44">
        <f>G1008*E1000</f>
        <v>0</v>
      </c>
    </row>
    <row r="1009" spans="1:11">
      <c r="A1009" s="28"/>
      <c r="B1009" s="29" t="s">
        <v>3570</v>
      </c>
      <c r="C1009" s="30" t="str">
        <f>IFERROR(_xlfn.XLOOKUP(B1009,Equipo[DESCRIPCION],Equipo[UND],,0),"")</f>
        <v>%MO</v>
      </c>
      <c r="D1009" s="31">
        <v>0.04</v>
      </c>
      <c r="E1009" s="32">
        <f>IF(C1009="%MO",G1015,IFERROR(_xlfn.XLOOKUP($B1009,Equipo[DESCRIPCION],Equipo[VALOR],,0),""))</f>
        <v>57444.235966000007</v>
      </c>
      <c r="F1009" s="33"/>
      <c r="G1009" s="34">
        <f>IFERROR(IF(F1009&gt;=0,D1009*E1009*(1+F1009/100),ABS(D1009*E1009/F1009)),"")</f>
        <v>2297.7694386400003</v>
      </c>
      <c r="H1009" s="43">
        <f>IFERROR(G1009*E1000,"")</f>
        <v>0</v>
      </c>
    </row>
    <row r="1010" spans="1:11">
      <c r="A1010" s="28"/>
      <c r="B1010" s="29" t="s">
        <v>3626</v>
      </c>
      <c r="C1010" s="30" t="str">
        <f>IFERROR(_xlfn.XLOOKUP(B1010,Equipo[DESCRIPCION],Equipo[UND],,0),"")</f>
        <v>%MO</v>
      </c>
      <c r="D1010" s="31">
        <v>0.05</v>
      </c>
      <c r="E1010" s="32">
        <f>IF(C1010="%MO",G1015,IFERROR(_xlfn.XLOOKUP($B1010,Equipo[DESCRIPCION],Equipo[VALOR],,0),""))</f>
        <v>57444.235966000007</v>
      </c>
      <c r="F1010" s="33"/>
      <c r="G1010" s="34">
        <f>IFERROR(IF(F1010&gt;=0,D1010*E1010*(1+F1010/100),ABS(D1010*E1010/F1010)),"")</f>
        <v>2872.2117983000007</v>
      </c>
      <c r="H1010" s="43">
        <f>IFERROR(G1010*E1000,"")</f>
        <v>0</v>
      </c>
    </row>
    <row r="1011" spans="1:11">
      <c r="A1011" s="28"/>
      <c r="B1011" s="29"/>
      <c r="C1011" s="30" t="str">
        <f>IFERROR(_xlfn.XLOOKUP(B1011,Equipo[DESCRIPCION],Equipo[UND],,0),"")</f>
        <v/>
      </c>
      <c r="D1011" s="31"/>
      <c r="E1011" s="32" t="str">
        <f>IF(C1011="%MO",G1015,IFERROR(_xlfn.XLOOKUP($B1011,Equipo[DESCRIPCION],Equipo[VALOR],,0),""))</f>
        <v/>
      </c>
      <c r="F1011" s="33"/>
      <c r="G1011" s="34" t="str">
        <f>IFERROR(IF(F1011&gt;=0,D1011*E1011*(1+F1011/100),ABS(D1011*E1011/F1011)),"")</f>
        <v/>
      </c>
      <c r="H1011" s="43" t="str">
        <f>IFERROR(G1011*E1000,"")</f>
        <v/>
      </c>
    </row>
    <row r="1012" spans="1:11">
      <c r="A1012" s="21"/>
      <c r="B1012" s="22" t="s">
        <v>2533</v>
      </c>
      <c r="C1012" s="23"/>
      <c r="D1012" s="24"/>
      <c r="E1012" s="25"/>
      <c r="F1012" s="26"/>
      <c r="G1012" s="27">
        <f>SUM(G1013:G1014)</f>
        <v>0</v>
      </c>
      <c r="H1012" s="44">
        <f>G1012*E1000</f>
        <v>0</v>
      </c>
    </row>
    <row r="1013" spans="1:11">
      <c r="A1013" s="28"/>
      <c r="B1013" s="29"/>
      <c r="C1013" s="30" t="str">
        <f>IFERROR(_xlfn.XLOOKUP(B1013,Transporte[DESCRIPCION],Transporte[UND],,0),"")</f>
        <v/>
      </c>
      <c r="D1013" s="31"/>
      <c r="E1013" s="32" t="str">
        <f>IFERROR(_xlfn.XLOOKUP($B1013,Transporte[DESCRIPCION],Transporte[VALOR],,0),"")</f>
        <v/>
      </c>
      <c r="F1013" s="33"/>
      <c r="G1013" s="34" t="str">
        <f>IFERROR(IF(F1013&gt;=0,D1013*E1013*(1+F1013/100),ABS(D1013*E1013/F1013)),"")</f>
        <v/>
      </c>
      <c r="H1013" s="43" t="str">
        <f>IFERROR(G1013*E1000,"")</f>
        <v/>
      </c>
    </row>
    <row r="1014" spans="1:11">
      <c r="A1014" s="28"/>
      <c r="B1014" s="29"/>
      <c r="C1014" s="30" t="str">
        <f>IFERROR(_xlfn.XLOOKUP(B1014,Transporte[DESCRIPCION],Transporte[UND],,0),"")</f>
        <v/>
      </c>
      <c r="D1014" s="31"/>
      <c r="E1014" s="32" t="str">
        <f>IFERROR(_xlfn.XLOOKUP($B1014,Transporte[DESCRIPCION],Transporte[VALOR],,0),"")</f>
        <v/>
      </c>
      <c r="F1014" s="33"/>
      <c r="G1014" s="34" t="str">
        <f>IFERROR(IF(F1014&gt;=0,D1014*E1014*(1+F1014/100),ABS(D1014*E1014/F1014)),"")</f>
        <v/>
      </c>
      <c r="H1014" s="43" t="str">
        <f>IFERROR(G1014*E1000,"")</f>
        <v/>
      </c>
    </row>
    <row r="1015" spans="1:11">
      <c r="A1015" s="21"/>
      <c r="B1015" s="22" t="s">
        <v>3732</v>
      </c>
      <c r="C1015" s="23"/>
      <c r="D1015" s="24"/>
      <c r="E1015" s="25"/>
      <c r="F1015" s="26"/>
      <c r="G1015" s="27">
        <f>SUM(G1016:G1018)</f>
        <v>57444.235966000007</v>
      </c>
      <c r="H1015" s="44">
        <f>G1015*E1000</f>
        <v>0</v>
      </c>
    </row>
    <row r="1016" spans="1:11">
      <c r="A1016" s="28"/>
      <c r="B1016" s="29" t="s">
        <v>3711</v>
      </c>
      <c r="C1016" s="30" t="str">
        <f>IFERROR(_xlfn.XLOOKUP(B1016,MObra[DESCRIPCION],MObra[UN],,0),"")</f>
        <v>día</v>
      </c>
      <c r="D1016" s="31">
        <v>1</v>
      </c>
      <c r="E1016" s="32">
        <f>IFERROR(_xlfn.XLOOKUP($B1016,MObra[DESCRIPCION],MObra[VALOR UNIT],,0),"")</f>
        <v>430831.76974500006</v>
      </c>
      <c r="F1016" s="33">
        <v>-7.5</v>
      </c>
      <c r="G1016" s="34">
        <f>IFERROR(IF(F1016&gt;=0,D1016*E1016*(1+F1016/100),ABS(D1016*E1016/F1016)),"")</f>
        <v>57444.235966000007</v>
      </c>
      <c r="H1016" s="43">
        <f>IFERROR(G1016*E1000,"")</f>
        <v>0</v>
      </c>
    </row>
    <row r="1017" spans="1:11">
      <c r="A1017" s="28"/>
      <c r="B1017" s="29"/>
      <c r="C1017" s="30" t="str">
        <f t="array" ref="C1017">IFERROR(_xlfn.XLOOKUP(B1017,MObra[[#All],[DESCRIPCION]],MObra[[#All],[UN]],,0),"")</f>
        <v/>
      </c>
      <c r="D1017" s="31"/>
      <c r="E1017" s="32" t="str">
        <f>IFERROR(_xlfn.XLOOKUP($B1017,MObra[DESCRIPCION],MObra[VALOR UNIT],,0),"")</f>
        <v/>
      </c>
      <c r="F1017" s="33"/>
      <c r="G1017" s="34" t="str">
        <f>IFERROR(IF(F1017&gt;=0,D1017*E1017*(1+F1017/100),ABS(D1017*E1017/F1017)),"")</f>
        <v/>
      </c>
      <c r="H1017" s="43" t="str">
        <f>IFERROR(G1017*E1000,"")</f>
        <v/>
      </c>
    </row>
    <row r="1018" spans="1:11" ht="13.15" thickBot="1">
      <c r="A1018" s="35"/>
      <c r="B1018" s="36"/>
      <c r="C1018" s="37" t="str">
        <f t="array" ref="C1018">IFERROR(_xlfn.XLOOKUP(B1018,MObra[[#All],[DESCRIPCION]],MObra[[#All],[UN]],,0),"")</f>
        <v/>
      </c>
      <c r="D1018" s="38"/>
      <c r="E1018" s="39" t="str">
        <f>IFERROR(_xlfn.XLOOKUP($B1018,MObra[DESCRIPCION],MObra[VALOR UNIT],,0),"")</f>
        <v/>
      </c>
      <c r="F1018" s="40"/>
      <c r="G1018" s="41" t="str">
        <f>IFERROR(IF(F1018&gt;=0,D1018*E1018*(1+F1018/100),ABS(D1018*E1018/F1018)),"")</f>
        <v/>
      </c>
      <c r="H1018" s="42" t="str">
        <f>IFERROR(G1018*E1000,"")</f>
        <v/>
      </c>
    </row>
    <row r="1019" spans="1:11" ht="12.75" customHeight="1" thickTop="1" thickBot="1"/>
    <row r="1020" spans="1:11" ht="12.75" customHeight="1" thickTop="1" thickBot="1">
      <c r="A1020" s="6" t="s">
        <v>699</v>
      </c>
      <c r="B1020" s="7" t="str">
        <f>VLOOKUP($A1020,Presupuesto!$A:$D,2,FALSE())</f>
        <v>Acometida hidráulica domicilio PF+UAD todo costo</v>
      </c>
      <c r="C1020" s="8" t="str">
        <f>VLOOKUP($A1020,Presupuesto!$A:$D,3,FALSE())</f>
        <v>Un</v>
      </c>
      <c r="D1020" s="9"/>
      <c r="E1020" s="10">
        <f>VLOOKUP($A1020,Presupuesto!$A:$D,4,FALSE())</f>
        <v>0</v>
      </c>
      <c r="F1020" s="11" t="s">
        <v>2589</v>
      </c>
      <c r="G1020" s="12">
        <f>SUM(G1022:G1038)/2</f>
        <v>91477.128843975006</v>
      </c>
      <c r="H1020" s="13">
        <f>ROUND(SUM(H1022:H1038),0)/2</f>
        <v>0</v>
      </c>
      <c r="I1020" s="10">
        <f>VLOOKUP(A1020,Presupuesto!$A:$F,6,0)</f>
        <v>0</v>
      </c>
      <c r="J1020" s="10">
        <f>+H1020-I1020</f>
        <v>0</v>
      </c>
      <c r="K1020" s="46">
        <f>+H1020-G1020*E1020</f>
        <v>0</v>
      </c>
    </row>
    <row r="1021" spans="1:11" ht="12.75" customHeight="1" thickTop="1">
      <c r="A1021" s="14"/>
      <c r="B1021" s="15" t="s">
        <v>2586</v>
      </c>
      <c r="C1021" s="15" t="s">
        <v>5</v>
      </c>
      <c r="D1021" s="16" t="s">
        <v>6</v>
      </c>
      <c r="E1021" s="17" t="s">
        <v>7</v>
      </c>
      <c r="F1021" s="18" t="s">
        <v>3728</v>
      </c>
      <c r="G1021" s="19" t="s">
        <v>3729</v>
      </c>
      <c r="H1021" s="20" t="s">
        <v>3797</v>
      </c>
    </row>
    <row r="1022" spans="1:11" ht="12.75" customHeight="1">
      <c r="A1022" s="21"/>
      <c r="B1022" s="22" t="s">
        <v>3730</v>
      </c>
      <c r="C1022" s="23"/>
      <c r="D1022" s="24"/>
      <c r="E1022" s="25"/>
      <c r="F1022" s="26"/>
      <c r="G1022" s="27">
        <f>SUM(G1023:G1027)</f>
        <v>58466.100000000006</v>
      </c>
      <c r="H1022" s="27">
        <f>IFERROR(G1022*E1020,"")</f>
        <v>0</v>
      </c>
    </row>
    <row r="1023" spans="1:11" ht="12.75" customHeight="1">
      <c r="A1023" s="28"/>
      <c r="B1023" s="29" t="s">
        <v>3469</v>
      </c>
      <c r="C1023" s="30" t="str">
        <f>IFERROR(_xlfn.XLOOKUP(B1023,Insumo[DESCRIPCION],Insumo[UND],,0),"")</f>
        <v>M</v>
      </c>
      <c r="D1023" s="31">
        <v>4</v>
      </c>
      <c r="E1023" s="32">
        <f>IFERROR(_xlfn.XLOOKUP($B1023,Insumo[DESCRIPCION],Insumo[VALOR],,0),"")</f>
        <v>14244.300000000001</v>
      </c>
      <c r="F1023" s="33"/>
      <c r="G1023" s="34">
        <f>IFERROR(IF(F1023&gt;=0,D1023*E1023*(1+F1023/100),ABS(D1023*E1023/F1023)),"")</f>
        <v>56977.200000000004</v>
      </c>
      <c r="H1023" s="43">
        <f>IFERROR(G1023*E1020,"")</f>
        <v>0</v>
      </c>
    </row>
    <row r="1024" spans="1:11" ht="12.75" customHeight="1">
      <c r="A1024" s="28"/>
      <c r="B1024" s="29" t="s">
        <v>2664</v>
      </c>
      <c r="C1024" s="30" t="str">
        <f>IFERROR(_xlfn.XLOOKUP(B1024,Insumo[DESCRIPCION],Insumo[UND],,0),"")</f>
        <v>Un</v>
      </c>
      <c r="D1024" s="31">
        <v>2</v>
      </c>
      <c r="E1024" s="32">
        <f>IFERROR(_xlfn.XLOOKUP($B1024,Insumo[DESCRIPCION],Insumo[VALOR],,0),"")</f>
        <v>744.45</v>
      </c>
      <c r="F1024" s="33"/>
      <c r="G1024" s="34">
        <f>IFERROR(IF(F1024&gt;=0,D1024*E1024*(1+F1024/100),ABS(D1024*E1024/F1024)),"")</f>
        <v>1488.9</v>
      </c>
      <c r="H1024" s="43">
        <f>IFERROR(G1024*E1020,"")</f>
        <v>0</v>
      </c>
    </row>
    <row r="1025" spans="1:11" ht="12.75" customHeight="1">
      <c r="A1025" s="28"/>
      <c r="B1025" s="29"/>
      <c r="C1025" s="30" t="str">
        <f>IFERROR(_xlfn.XLOOKUP(B1025,Insumo[DESCRIPCION],Insumo[UND],,0),"")</f>
        <v/>
      </c>
      <c r="D1025" s="31"/>
      <c r="E1025" s="32" t="str">
        <f>IFERROR(_xlfn.XLOOKUP($B1025,Insumo[DESCRIPCION],Insumo[VALOR],,0),"")</f>
        <v/>
      </c>
      <c r="F1025" s="33"/>
      <c r="G1025" s="34" t="str">
        <f>IFERROR(IF(F1025&gt;=0,D1025*E1025*(1+F1025/100),ABS(D1025*E1025/F1025)),"")</f>
        <v/>
      </c>
      <c r="H1025" s="43" t="str">
        <f>IFERROR(G1025*E1020,"")</f>
        <v/>
      </c>
    </row>
    <row r="1026" spans="1:11" ht="12.75" customHeight="1">
      <c r="A1026" s="28"/>
      <c r="B1026" s="29"/>
      <c r="C1026" s="30" t="str">
        <f>IFERROR(_xlfn.XLOOKUP(B1026,Insumo[DESCRIPCION],Insumo[UND],,0),"")</f>
        <v/>
      </c>
      <c r="D1026" s="31"/>
      <c r="E1026" s="32" t="str">
        <f>IFERROR(_xlfn.XLOOKUP($B1026,Insumo[DESCRIPCION],Insumo[VALOR],,0),"")</f>
        <v/>
      </c>
      <c r="F1026" s="33"/>
      <c r="G1026" s="34" t="str">
        <f>IFERROR(IF(F1026&gt;=0,D1026*E1026*(1+F1026/100),ABS(D1026*E1026/F1026)),"")</f>
        <v/>
      </c>
      <c r="H1026" s="43" t="str">
        <f>IFERROR(G1026*E1020,"")</f>
        <v/>
      </c>
    </row>
    <row r="1027" spans="1:11" ht="12.75" customHeight="1">
      <c r="A1027" s="28"/>
      <c r="B1027" s="29"/>
      <c r="C1027" s="30" t="str">
        <f>IFERROR(_xlfn.XLOOKUP(B1027,Insumo[DESCRIPCION],Insumo[UND],,0),"")</f>
        <v/>
      </c>
      <c r="D1027" s="31"/>
      <c r="E1027" s="32" t="str">
        <f>IFERROR(_xlfn.XLOOKUP($B1027,Insumo[DESCRIPCION],Insumo[VALOR],,0),"")</f>
        <v/>
      </c>
      <c r="F1027" s="33"/>
      <c r="G1027" s="34" t="str">
        <f>IFERROR(IF(F1027&gt;=0,D1027*E1027*(1+F1027/100),ABS(D1027*E1027/F1027)),"")</f>
        <v/>
      </c>
      <c r="H1027" s="43" t="str">
        <f>IFERROR(G1027*E1020,"")</f>
        <v/>
      </c>
    </row>
    <row r="1028" spans="1:11" ht="12.75" customHeight="1">
      <c r="A1028" s="21"/>
      <c r="B1028" s="22" t="s">
        <v>3731</v>
      </c>
      <c r="C1028" s="23"/>
      <c r="D1028" s="24"/>
      <c r="E1028" s="25"/>
      <c r="F1028" s="26"/>
      <c r="G1028" s="27">
        <f>SUM(G1029:G1031)</f>
        <v>1571.9537544750003</v>
      </c>
      <c r="H1028" s="44">
        <f>G1028*E1020</f>
        <v>0</v>
      </c>
    </row>
    <row r="1029" spans="1:11" ht="12.75" customHeight="1">
      <c r="A1029" s="28"/>
      <c r="B1029" s="29" t="s">
        <v>3626</v>
      </c>
      <c r="C1029" s="30" t="str">
        <f>IFERROR(_xlfn.XLOOKUP(B1029,Equipo[DESCRIPCION],Equipo[UND],,0),"")</f>
        <v>%MO</v>
      </c>
      <c r="D1029" s="31">
        <v>0.05</v>
      </c>
      <c r="E1029" s="32">
        <f>IF(C1029="%MO",G1035,IFERROR(_xlfn.XLOOKUP($B1029,Equipo[DESCRIPCION],Equipo[VALOR],,0),""))</f>
        <v>31439.075089500006</v>
      </c>
      <c r="F1029" s="33"/>
      <c r="G1029" s="34">
        <f>IFERROR(IF(F1029&gt;=0,D1029*E1029*(1+F1029/100),ABS(D1029*E1029/F1029)),"")</f>
        <v>1571.9537544750003</v>
      </c>
      <c r="H1029" s="43">
        <f>IFERROR(G1029*E1020,"")</f>
        <v>0</v>
      </c>
    </row>
    <row r="1030" spans="1:11" ht="12.75" customHeight="1">
      <c r="A1030" s="28"/>
      <c r="B1030" s="29"/>
      <c r="C1030" s="30" t="str">
        <f>IFERROR(_xlfn.XLOOKUP(B1030,Equipo[DESCRIPCION],Equipo[UND],,0),"")</f>
        <v/>
      </c>
      <c r="D1030" s="31"/>
      <c r="E1030" s="32" t="str">
        <f>IF(C1030="%MO",G1035,IFERROR(_xlfn.XLOOKUP($B1030,Equipo[DESCRIPCION],Equipo[VALOR],,0),""))</f>
        <v/>
      </c>
      <c r="F1030" s="33"/>
      <c r="G1030" s="34" t="str">
        <f>IFERROR(IF(F1030&gt;=0,D1030*E1030*(1+F1030/100),ABS(D1030*E1030/F1030)),"")</f>
        <v/>
      </c>
      <c r="H1030" s="43" t="str">
        <f>IFERROR(G1030*E1020,"")</f>
        <v/>
      </c>
    </row>
    <row r="1031" spans="1:11" ht="12.75" customHeight="1">
      <c r="A1031" s="28"/>
      <c r="B1031" s="29"/>
      <c r="C1031" s="30" t="str">
        <f>IFERROR(_xlfn.XLOOKUP(B1031,Equipo[DESCRIPCION],Equipo[UND],,0),"")</f>
        <v/>
      </c>
      <c r="D1031" s="31"/>
      <c r="E1031" s="32" t="str">
        <f>IF(C1031="%MO",G1035,IFERROR(_xlfn.XLOOKUP($B1031,Equipo[DESCRIPCION],Equipo[VALOR],,0),""))</f>
        <v/>
      </c>
      <c r="F1031" s="33"/>
      <c r="G1031" s="34" t="str">
        <f>IFERROR(IF(F1031&gt;=0,D1031*E1031*(1+F1031/100),ABS(D1031*E1031/F1031)),"")</f>
        <v/>
      </c>
      <c r="H1031" s="43" t="str">
        <f>IFERROR(G1031*E1020,"")</f>
        <v/>
      </c>
    </row>
    <row r="1032" spans="1:11" ht="12.75" customHeight="1">
      <c r="A1032" s="21"/>
      <c r="B1032" s="22" t="s">
        <v>2533</v>
      </c>
      <c r="C1032" s="23"/>
      <c r="D1032" s="24"/>
      <c r="E1032" s="25"/>
      <c r="F1032" s="26"/>
      <c r="G1032" s="27">
        <f>SUM(G1033:G1034)</f>
        <v>0</v>
      </c>
      <c r="H1032" s="44">
        <f>G1032*E1020</f>
        <v>0</v>
      </c>
    </row>
    <row r="1033" spans="1:11" ht="12.75" customHeight="1">
      <c r="A1033" s="28"/>
      <c r="B1033" s="29"/>
      <c r="C1033" s="30" t="str">
        <f>IFERROR(_xlfn.XLOOKUP(B1033,Transporte[DESCRIPCION],Transporte[UND],,0),"")</f>
        <v/>
      </c>
      <c r="D1033" s="31"/>
      <c r="E1033" s="32" t="str">
        <f>IFERROR(_xlfn.XLOOKUP($B1033,Transporte[DESCRIPCION],Transporte[VALOR],,0),"")</f>
        <v/>
      </c>
      <c r="F1033" s="33"/>
      <c r="G1033" s="34" t="str">
        <f>IFERROR(IF(F1033&gt;=0,D1033*E1033*(1+F1033/100),ABS(D1033*E1033/F1033)),"")</f>
        <v/>
      </c>
      <c r="H1033" s="43" t="str">
        <f>IFERROR(G1033*E1020,"")</f>
        <v/>
      </c>
    </row>
    <row r="1034" spans="1:11" ht="12.75" customHeight="1">
      <c r="A1034" s="28"/>
      <c r="B1034" s="29"/>
      <c r="C1034" s="30" t="str">
        <f>IFERROR(_xlfn.XLOOKUP(B1034,Transporte[DESCRIPCION],Transporte[UND],,0),"")</f>
        <v/>
      </c>
      <c r="D1034" s="31"/>
      <c r="E1034" s="32" t="str">
        <f>IFERROR(_xlfn.XLOOKUP($B1034,Transporte[DESCRIPCION],Transporte[VALOR],,0),"")</f>
        <v/>
      </c>
      <c r="F1034" s="33"/>
      <c r="G1034" s="34" t="str">
        <f>IFERROR(IF(F1034&gt;=0,D1034*E1034*(1+F1034/100),ABS(D1034*E1034/F1034)),"")</f>
        <v/>
      </c>
      <c r="H1034" s="43" t="str">
        <f>IFERROR(G1034*E1020,"")</f>
        <v/>
      </c>
    </row>
    <row r="1035" spans="1:11" ht="12.75" customHeight="1">
      <c r="A1035" s="21"/>
      <c r="B1035" s="22" t="s">
        <v>3732</v>
      </c>
      <c r="C1035" s="23"/>
      <c r="D1035" s="24"/>
      <c r="E1035" s="25"/>
      <c r="F1035" s="26"/>
      <c r="G1035" s="27">
        <f>SUM(G1036:G1038)</f>
        <v>31439.075089500006</v>
      </c>
      <c r="H1035" s="44">
        <f>G1035*E1020</f>
        <v>0</v>
      </c>
    </row>
    <row r="1036" spans="1:11" ht="12.75" customHeight="1">
      <c r="A1036" s="28"/>
      <c r="B1036" s="29" t="s">
        <v>3710</v>
      </c>
      <c r="C1036" s="30" t="str">
        <f>IFERROR(_xlfn.XLOOKUP(B1036,MObra[DESCRIPCION],MObra[UN],,0),"")</f>
        <v>día</v>
      </c>
      <c r="D1036" s="31">
        <v>1</v>
      </c>
      <c r="E1036" s="32">
        <f>IFERROR(_xlfn.XLOOKUP($B1036,MObra[DESCRIPCION],MObra[VALOR UNIT],,0),"")</f>
        <v>314390.75089500006</v>
      </c>
      <c r="F1036" s="33">
        <v>-10</v>
      </c>
      <c r="G1036" s="34">
        <f>IFERROR(IF(F1036&gt;=0,D1036*E1036*(1+F1036/100),ABS(D1036*E1036/F1036)),"")</f>
        <v>31439.075089500006</v>
      </c>
      <c r="H1036" s="43">
        <f>IFERROR(G1036*E1020,"")</f>
        <v>0</v>
      </c>
    </row>
    <row r="1037" spans="1:11" ht="12.75" customHeight="1">
      <c r="A1037" s="28"/>
      <c r="B1037" s="29"/>
      <c r="C1037" s="30" t="str">
        <f t="array" ref="C1037">IFERROR(_xlfn.XLOOKUP(B1037,MObra[[#All],[DESCRIPCION]],MObra[[#All],[UN]],,0),"")</f>
        <v/>
      </c>
      <c r="D1037" s="31"/>
      <c r="E1037" s="32" t="str">
        <f>IFERROR(_xlfn.XLOOKUP($B1037,MObra[DESCRIPCION],MObra[VALOR UNIT],,0),"")</f>
        <v/>
      </c>
      <c r="F1037" s="33"/>
      <c r="G1037" s="34" t="str">
        <f>IFERROR(IF(F1037&gt;=0,D1037*E1037*(1+F1037/100),ABS(D1037*E1037/F1037)),"")</f>
        <v/>
      </c>
      <c r="H1037" s="43" t="str">
        <f>IFERROR(G1037*E1020,"")</f>
        <v/>
      </c>
    </row>
    <row r="1038" spans="1:11" ht="12.75" customHeight="1" thickBot="1">
      <c r="A1038" s="35"/>
      <c r="B1038" s="36"/>
      <c r="C1038" s="37" t="str">
        <f t="array" ref="C1038">IFERROR(_xlfn.XLOOKUP(B1038,MObra[[#All],[DESCRIPCION]],MObra[[#All],[UN]],,0),"")</f>
        <v/>
      </c>
      <c r="D1038" s="38"/>
      <c r="E1038" s="39" t="str">
        <f>IFERROR(_xlfn.XLOOKUP($B1038,MObra[DESCRIPCION],MObra[VALOR UNIT],,0),"")</f>
        <v/>
      </c>
      <c r="F1038" s="40"/>
      <c r="G1038" s="41" t="str">
        <f>IFERROR(IF(F1038&gt;=0,D1038*E1038*(1+F1038/100),ABS(D1038*E1038/F1038)),"")</f>
        <v/>
      </c>
      <c r="H1038" s="42" t="str">
        <f>IFERROR(G1038*E1020,"")</f>
        <v/>
      </c>
    </row>
    <row r="1039" spans="1:11" ht="12.75" customHeight="1" thickTop="1" thickBot="1"/>
    <row r="1040" spans="1:11" ht="12.75" customHeight="1" thickTop="1" thickBot="1">
      <c r="A1040" s="6" t="s">
        <v>701</v>
      </c>
      <c r="B1040" s="7" t="str">
        <f>VLOOKUP($A1040,Presupuesto!$A:$D,2,FALSE())</f>
        <v>Abrazadera de fijación tuberia de presión</v>
      </c>
      <c r="C1040" s="8" t="str">
        <f>VLOOKUP($A1040,Presupuesto!$A:$D,3,FALSE())</f>
        <v>Un</v>
      </c>
      <c r="D1040" s="9"/>
      <c r="E1040" s="10">
        <f>VLOOKUP($A1040,Presupuesto!$A:$D,4,FALSE())</f>
        <v>0</v>
      </c>
      <c r="F1040" s="11" t="s">
        <v>2589</v>
      </c>
      <c r="G1040" s="12">
        <f>SUM(G1042:G1058)/2</f>
        <v>40467.795450974998</v>
      </c>
      <c r="H1040" s="13">
        <f>ROUND(SUM(H1042:H1058),0)/2</f>
        <v>0</v>
      </c>
      <c r="I1040" s="10">
        <f>VLOOKUP(A1040,Presupuesto!$A:$F,6,0)</f>
        <v>0</v>
      </c>
      <c r="J1040" s="10">
        <f>+H1040-I1040</f>
        <v>0</v>
      </c>
      <c r="K1040" s="46">
        <f>+H1040-G1040*E1040</f>
        <v>0</v>
      </c>
    </row>
    <row r="1041" spans="1:8" ht="12.75" customHeight="1" thickTop="1">
      <c r="A1041" s="14"/>
      <c r="B1041" s="15" t="s">
        <v>2586</v>
      </c>
      <c r="C1041" s="15" t="s">
        <v>5</v>
      </c>
      <c r="D1041" s="16" t="s">
        <v>6</v>
      </c>
      <c r="E1041" s="17" t="s">
        <v>7</v>
      </c>
      <c r="F1041" s="18" t="s">
        <v>3728</v>
      </c>
      <c r="G1041" s="19" t="s">
        <v>3729</v>
      </c>
      <c r="H1041" s="20" t="s">
        <v>3797</v>
      </c>
    </row>
    <row r="1042" spans="1:8" ht="12.75" customHeight="1">
      <c r="A1042" s="21"/>
      <c r="B1042" s="22" t="s">
        <v>3730</v>
      </c>
      <c r="C1042" s="23"/>
      <c r="D1042" s="24"/>
      <c r="E1042" s="25"/>
      <c r="F1042" s="26"/>
      <c r="G1042" s="27">
        <f>SUM(G1043:G1047)</f>
        <v>28416.15</v>
      </c>
      <c r="H1042" s="27">
        <f>IFERROR(G1042*E1040,"")</f>
        <v>0</v>
      </c>
    </row>
    <row r="1043" spans="1:8" ht="12.75" customHeight="1">
      <c r="A1043" s="28"/>
      <c r="B1043" s="29" t="s">
        <v>2603</v>
      </c>
      <c r="C1043" s="30" t="str">
        <f>IFERROR(_xlfn.XLOOKUP(B1043,Insumo[DESCRIPCION],Insumo[UND],,0),"")</f>
        <v>Un</v>
      </c>
      <c r="D1043" s="31">
        <v>1</v>
      </c>
      <c r="E1043" s="32">
        <f>IFERROR(_xlfn.XLOOKUP($B1043,Insumo[DESCRIPCION],Insumo[VALOR],,0),"")</f>
        <v>28416.15</v>
      </c>
      <c r="F1043" s="33"/>
      <c r="G1043" s="34">
        <f>IFERROR(IF(F1043&gt;=0,D1043*E1043*(1+F1043/100),ABS(D1043*E1043/F1043)),"")</f>
        <v>28416.15</v>
      </c>
      <c r="H1043" s="43">
        <f>IFERROR(G1043*E1040,"")</f>
        <v>0</v>
      </c>
    </row>
    <row r="1044" spans="1:8" ht="12.75" customHeight="1">
      <c r="A1044" s="28"/>
      <c r="B1044" s="29"/>
      <c r="C1044" s="30" t="str">
        <f>IFERROR(_xlfn.XLOOKUP(B1044,Insumo[DESCRIPCION],Insumo[UND],,0),"")</f>
        <v/>
      </c>
      <c r="D1044" s="31"/>
      <c r="E1044" s="32" t="str">
        <f>IFERROR(_xlfn.XLOOKUP($B1044,Insumo[DESCRIPCION],Insumo[VALOR],,0),"")</f>
        <v/>
      </c>
      <c r="F1044" s="33"/>
      <c r="G1044" s="34" t="str">
        <f>IFERROR(IF(F1044&gt;=0,D1044*E1044*(1+F1044/100),ABS(D1044*E1044/F1044)),"")</f>
        <v/>
      </c>
      <c r="H1044" s="43" t="str">
        <f>IFERROR(G1044*E1040,"")</f>
        <v/>
      </c>
    </row>
    <row r="1045" spans="1:8" ht="12.75" customHeight="1">
      <c r="A1045" s="28"/>
      <c r="B1045" s="29"/>
      <c r="C1045" s="30" t="str">
        <f>IFERROR(_xlfn.XLOOKUP(B1045,Insumo[DESCRIPCION],Insumo[UND],,0),"")</f>
        <v/>
      </c>
      <c r="D1045" s="31"/>
      <c r="E1045" s="32" t="str">
        <f>IFERROR(_xlfn.XLOOKUP($B1045,Insumo[DESCRIPCION],Insumo[VALOR],,0),"")</f>
        <v/>
      </c>
      <c r="F1045" s="33"/>
      <c r="G1045" s="34" t="str">
        <f>IFERROR(IF(F1045&gt;=0,D1045*E1045*(1+F1045/100),ABS(D1045*E1045/F1045)),"")</f>
        <v/>
      </c>
      <c r="H1045" s="43" t="str">
        <f>IFERROR(G1045*E1040,"")</f>
        <v/>
      </c>
    </row>
    <row r="1046" spans="1:8" ht="12.75" customHeight="1">
      <c r="A1046" s="28"/>
      <c r="B1046" s="29"/>
      <c r="C1046" s="30" t="str">
        <f>IFERROR(_xlfn.XLOOKUP(B1046,Insumo[DESCRIPCION],Insumo[UND],,0),"")</f>
        <v/>
      </c>
      <c r="D1046" s="31"/>
      <c r="E1046" s="32" t="str">
        <f>IFERROR(_xlfn.XLOOKUP($B1046,Insumo[DESCRIPCION],Insumo[VALOR],,0),"")</f>
        <v/>
      </c>
      <c r="F1046" s="33"/>
      <c r="G1046" s="34" t="str">
        <f>IFERROR(IF(F1046&gt;=0,D1046*E1046*(1+F1046/100),ABS(D1046*E1046/F1046)),"")</f>
        <v/>
      </c>
      <c r="H1046" s="43" t="str">
        <f>IFERROR(G1046*E1040,"")</f>
        <v/>
      </c>
    </row>
    <row r="1047" spans="1:8" ht="12.75" customHeight="1">
      <c r="A1047" s="28"/>
      <c r="B1047" s="29"/>
      <c r="C1047" s="30" t="str">
        <f>IFERROR(_xlfn.XLOOKUP(B1047,Insumo[DESCRIPCION],Insumo[UND],,0),"")</f>
        <v/>
      </c>
      <c r="D1047" s="31"/>
      <c r="E1047" s="32" t="str">
        <f>IFERROR(_xlfn.XLOOKUP($B1047,Insumo[DESCRIPCION],Insumo[VALOR],,0),"")</f>
        <v/>
      </c>
      <c r="F1047" s="33"/>
      <c r="G1047" s="34" t="str">
        <f>IFERROR(IF(F1047&gt;=0,D1047*E1047*(1+F1047/100),ABS(D1047*E1047/F1047)),"")</f>
        <v/>
      </c>
      <c r="H1047" s="43" t="str">
        <f>IFERROR(G1047*E1040,"")</f>
        <v/>
      </c>
    </row>
    <row r="1048" spans="1:8" ht="12.75" customHeight="1">
      <c r="A1048" s="21"/>
      <c r="B1048" s="22" t="s">
        <v>3731</v>
      </c>
      <c r="C1048" s="23"/>
      <c r="D1048" s="24"/>
      <c r="E1048" s="25"/>
      <c r="F1048" s="26"/>
      <c r="G1048" s="27">
        <f>SUM(G1049:G1051)</f>
        <v>1571.9537544750001</v>
      </c>
      <c r="H1048" s="44">
        <f>G1048*E1040</f>
        <v>0</v>
      </c>
    </row>
    <row r="1049" spans="1:8" ht="12.75" customHeight="1">
      <c r="A1049" s="28"/>
      <c r="B1049" s="29" t="s">
        <v>3573</v>
      </c>
      <c r="C1049" s="30" t="str">
        <f>IFERROR(_xlfn.XLOOKUP(B1049,Equipo[DESCRIPCION],Equipo[UND],,0),"")</f>
        <v>%MO</v>
      </c>
      <c r="D1049" s="31">
        <v>0.1</v>
      </c>
      <c r="E1049" s="32">
        <f>IF(C1049="%MO",G1055,IFERROR(_xlfn.XLOOKUP($B1049,Equipo[DESCRIPCION],Equipo[VALOR],,0),""))</f>
        <v>10479.691696500002</v>
      </c>
      <c r="F1049" s="33"/>
      <c r="G1049" s="34">
        <f>IFERROR(IF(F1049&gt;=0,D1049*E1049*(1+F1049/100),ABS(D1049*E1049/F1049)),"")</f>
        <v>1047.9691696500001</v>
      </c>
      <c r="H1049" s="43">
        <f>IFERROR(G1049*E1040,"")</f>
        <v>0</v>
      </c>
    </row>
    <row r="1050" spans="1:8" ht="12.75" customHeight="1">
      <c r="A1050" s="28"/>
      <c r="B1050" s="29" t="s">
        <v>3626</v>
      </c>
      <c r="C1050" s="30" t="str">
        <f>IFERROR(_xlfn.XLOOKUP(B1050,Equipo[DESCRIPCION],Equipo[UND],,0),"")</f>
        <v>%MO</v>
      </c>
      <c r="D1050" s="31">
        <v>0.05</v>
      </c>
      <c r="E1050" s="32">
        <f>IF(C1050="%MO",G1055,IFERROR(_xlfn.XLOOKUP($B1050,Equipo[DESCRIPCION],Equipo[VALOR],,0),""))</f>
        <v>10479.691696500002</v>
      </c>
      <c r="F1050" s="33"/>
      <c r="G1050" s="34">
        <f>IFERROR(IF(F1050&gt;=0,D1050*E1050*(1+F1050/100),ABS(D1050*E1050/F1050)),"")</f>
        <v>523.98458482500007</v>
      </c>
      <c r="H1050" s="43">
        <f>IFERROR(G1050*E1040,"")</f>
        <v>0</v>
      </c>
    </row>
    <row r="1051" spans="1:8" ht="12.75" customHeight="1">
      <c r="A1051" s="28"/>
      <c r="B1051" s="29"/>
      <c r="C1051" s="30" t="str">
        <f>IFERROR(_xlfn.XLOOKUP(B1051,Equipo[DESCRIPCION],Equipo[UND],,0),"")</f>
        <v/>
      </c>
      <c r="D1051" s="31"/>
      <c r="E1051" s="32" t="str">
        <f>IF(C1051="%MO",G1055,IFERROR(_xlfn.XLOOKUP($B1051,Equipo[DESCRIPCION],Equipo[VALOR],,0),""))</f>
        <v/>
      </c>
      <c r="F1051" s="33"/>
      <c r="G1051" s="34" t="str">
        <f>IFERROR(IF(F1051&gt;=0,D1051*E1051*(1+F1051/100),ABS(D1051*E1051/F1051)),"")</f>
        <v/>
      </c>
      <c r="H1051" s="43" t="str">
        <f>IFERROR(G1051*E1040,"")</f>
        <v/>
      </c>
    </row>
    <row r="1052" spans="1:8" ht="12.75" customHeight="1">
      <c r="A1052" s="21"/>
      <c r="B1052" s="22" t="s">
        <v>2533</v>
      </c>
      <c r="C1052" s="23"/>
      <c r="D1052" s="24"/>
      <c r="E1052" s="25"/>
      <c r="F1052" s="26"/>
      <c r="G1052" s="27">
        <f>SUM(G1053:G1054)</f>
        <v>0</v>
      </c>
      <c r="H1052" s="44">
        <f>G1052*E1040</f>
        <v>0</v>
      </c>
    </row>
    <row r="1053" spans="1:8" ht="12.75" customHeight="1">
      <c r="A1053" s="28"/>
      <c r="B1053" s="29"/>
      <c r="C1053" s="30" t="str">
        <f>IFERROR(_xlfn.XLOOKUP(B1053,Transporte[DESCRIPCION],Transporte[UND],,0),"")</f>
        <v/>
      </c>
      <c r="D1053" s="31"/>
      <c r="E1053" s="32" t="str">
        <f>IFERROR(_xlfn.XLOOKUP($B1053,Transporte[DESCRIPCION],Transporte[VALOR],,0),"")</f>
        <v/>
      </c>
      <c r="F1053" s="33"/>
      <c r="G1053" s="34" t="str">
        <f>IFERROR(IF(F1053&gt;=0,D1053*E1053*(1+F1053/100),ABS(D1053*E1053/F1053)),"")</f>
        <v/>
      </c>
      <c r="H1053" s="43" t="str">
        <f>IFERROR(G1053*E1040,"")</f>
        <v/>
      </c>
    </row>
    <row r="1054" spans="1:8" ht="12.75" customHeight="1">
      <c r="A1054" s="28"/>
      <c r="B1054" s="29"/>
      <c r="C1054" s="30" t="str">
        <f>IFERROR(_xlfn.XLOOKUP(B1054,Transporte[DESCRIPCION],Transporte[UND],,0),"")</f>
        <v/>
      </c>
      <c r="D1054" s="31"/>
      <c r="E1054" s="32" t="str">
        <f>IFERROR(_xlfn.XLOOKUP($B1054,Transporte[DESCRIPCION],Transporte[VALOR],,0),"")</f>
        <v/>
      </c>
      <c r="F1054" s="33"/>
      <c r="G1054" s="34" t="str">
        <f>IFERROR(IF(F1054&gt;=0,D1054*E1054*(1+F1054/100),ABS(D1054*E1054/F1054)),"")</f>
        <v/>
      </c>
      <c r="H1054" s="43" t="str">
        <f>IFERROR(G1054*E1040,"")</f>
        <v/>
      </c>
    </row>
    <row r="1055" spans="1:8" ht="12.75" customHeight="1">
      <c r="A1055" s="21"/>
      <c r="B1055" s="22" t="s">
        <v>3732</v>
      </c>
      <c r="C1055" s="23"/>
      <c r="D1055" s="24"/>
      <c r="E1055" s="25"/>
      <c r="F1055" s="26"/>
      <c r="G1055" s="27">
        <f>SUM(G1056:G1058)</f>
        <v>10479.691696500002</v>
      </c>
      <c r="H1055" s="44">
        <f>G1055*E1040</f>
        <v>0</v>
      </c>
    </row>
    <row r="1056" spans="1:8" ht="12.75" customHeight="1">
      <c r="A1056" s="28"/>
      <c r="B1056" s="29" t="s">
        <v>3710</v>
      </c>
      <c r="C1056" s="30" t="str">
        <f>IFERROR(_xlfn.XLOOKUP(B1056,MObra[DESCRIPCION],MObra[UN],,0),"")</f>
        <v>día</v>
      </c>
      <c r="D1056" s="31">
        <v>1</v>
      </c>
      <c r="E1056" s="32">
        <f>IFERROR(_xlfn.XLOOKUP($B1056,MObra[DESCRIPCION],MObra[VALOR UNIT],,0),"")</f>
        <v>314390.75089500006</v>
      </c>
      <c r="F1056" s="33">
        <v>-30</v>
      </c>
      <c r="G1056" s="34">
        <f>IFERROR(IF(F1056&gt;=0,D1056*E1056*(1+F1056/100),ABS(D1056*E1056/F1056)),"")</f>
        <v>10479.691696500002</v>
      </c>
      <c r="H1056" s="43">
        <f>IFERROR(G1056*E1040,"")</f>
        <v>0</v>
      </c>
    </row>
    <row r="1057" spans="1:11" ht="12.75" customHeight="1">
      <c r="A1057" s="28"/>
      <c r="B1057" s="29"/>
      <c r="C1057" s="30" t="str">
        <f t="array" ref="C1057">IFERROR(_xlfn.XLOOKUP(B1057,MObra[[#All],[DESCRIPCION]],MObra[[#All],[UN]],,0),"")</f>
        <v/>
      </c>
      <c r="D1057" s="31"/>
      <c r="E1057" s="32" t="str">
        <f>IFERROR(_xlfn.XLOOKUP($B1057,MObra[DESCRIPCION],MObra[VALOR UNIT],,0),"")</f>
        <v/>
      </c>
      <c r="F1057" s="33"/>
      <c r="G1057" s="34" t="str">
        <f>IFERROR(IF(F1057&gt;=0,D1057*E1057*(1+F1057/100),ABS(D1057*E1057/F1057)),"")</f>
        <v/>
      </c>
      <c r="H1057" s="43" t="str">
        <f>IFERROR(G1057*E1040,"")</f>
        <v/>
      </c>
    </row>
    <row r="1058" spans="1:11" ht="12.75" customHeight="1" thickBot="1">
      <c r="A1058" s="35"/>
      <c r="B1058" s="36"/>
      <c r="C1058" s="37" t="str">
        <f t="array" ref="C1058">IFERROR(_xlfn.XLOOKUP(B1058,MObra[[#All],[DESCRIPCION]],MObra[[#All],[UN]],,0),"")</f>
        <v/>
      </c>
      <c r="D1058" s="38"/>
      <c r="E1058" s="39" t="str">
        <f>IFERROR(_xlfn.XLOOKUP($B1058,MObra[DESCRIPCION],MObra[VALOR UNIT],,0),"")</f>
        <v/>
      </c>
      <c r="F1058" s="40"/>
      <c r="G1058" s="41" t="str">
        <f>IFERROR(IF(F1058&gt;=0,D1058*E1058*(1+F1058/100),ABS(D1058*E1058/F1058)),"")</f>
        <v/>
      </c>
      <c r="H1058" s="42" t="str">
        <f>IFERROR(G1058*E1040,"")</f>
        <v/>
      </c>
    </row>
    <row r="1059" spans="1:11" ht="12.75" customHeight="1" thickTop="1" thickBot="1"/>
    <row r="1060" spans="1:11" ht="12.75" customHeight="1" thickTop="1" thickBot="1">
      <c r="A1060" s="6" t="s">
        <v>703</v>
      </c>
      <c r="B1060" s="7" t="str">
        <f>VLOOKUP($A1060,Presupuesto!$A:$D,2,FALSE())</f>
        <v>Abrazadera de fijación tuberia sanitaria</v>
      </c>
      <c r="C1060" s="8" t="str">
        <f>VLOOKUP($A1060,Presupuesto!$A:$D,3,FALSE())</f>
        <v>Un</v>
      </c>
      <c r="D1060" s="9"/>
      <c r="E1060" s="10">
        <f>VLOOKUP($A1060,Presupuesto!$A:$D,4,FALSE())</f>
        <v>0</v>
      </c>
      <c r="F1060" s="11" t="s">
        <v>2589</v>
      </c>
      <c r="G1060" s="12">
        <f>SUM(G1062:G1078)/2</f>
        <v>65610.624541170007</v>
      </c>
      <c r="H1060" s="13">
        <f>ROUND(SUM(H1062:H1078),0)/2</f>
        <v>0</v>
      </c>
      <c r="I1060" s="10">
        <f>VLOOKUP(A1060,Presupuesto!$A:$F,6,0)</f>
        <v>0</v>
      </c>
      <c r="J1060" s="10">
        <f>+H1060-I1060</f>
        <v>0</v>
      </c>
      <c r="K1060" s="46">
        <f>+H1060-G1060*E1060</f>
        <v>0</v>
      </c>
    </row>
    <row r="1061" spans="1:11" ht="12.75" customHeight="1" thickTop="1">
      <c r="A1061" s="14"/>
      <c r="B1061" s="15" t="s">
        <v>2586</v>
      </c>
      <c r="C1061" s="15" t="s">
        <v>5</v>
      </c>
      <c r="D1061" s="16" t="s">
        <v>6</v>
      </c>
      <c r="E1061" s="17" t="s">
        <v>7</v>
      </c>
      <c r="F1061" s="18" t="s">
        <v>3728</v>
      </c>
      <c r="G1061" s="19" t="s">
        <v>3729</v>
      </c>
      <c r="H1061" s="20" t="s">
        <v>3797</v>
      </c>
    </row>
    <row r="1062" spans="1:11" ht="12.75" customHeight="1">
      <c r="A1062" s="21"/>
      <c r="B1062" s="22" t="s">
        <v>3730</v>
      </c>
      <c r="C1062" s="23"/>
      <c r="D1062" s="24"/>
      <c r="E1062" s="25"/>
      <c r="F1062" s="26"/>
      <c r="G1062" s="27">
        <f>SUM(G1063:G1067)</f>
        <v>51148.65</v>
      </c>
      <c r="H1062" s="27">
        <f>IFERROR(G1062*E1060,"")</f>
        <v>0</v>
      </c>
    </row>
    <row r="1063" spans="1:11" ht="12.75" customHeight="1">
      <c r="A1063" s="28"/>
      <c r="B1063" s="29" t="s">
        <v>2604</v>
      </c>
      <c r="C1063" s="30" t="str">
        <f>IFERROR(_xlfn.XLOOKUP(B1063,Insumo[DESCRIPCION],Insumo[UND],,0),"")</f>
        <v>Un</v>
      </c>
      <c r="D1063" s="31">
        <v>1</v>
      </c>
      <c r="E1063" s="32">
        <f>IFERROR(_xlfn.XLOOKUP($B1063,Insumo[DESCRIPCION],Insumo[VALOR],,0),"")</f>
        <v>51148.65</v>
      </c>
      <c r="F1063" s="33"/>
      <c r="G1063" s="34">
        <f>IFERROR(IF(F1063&gt;=0,D1063*E1063*(1+F1063/100),ABS(D1063*E1063/F1063)),"")</f>
        <v>51148.65</v>
      </c>
      <c r="H1063" s="43">
        <f>IFERROR(G1063*E1060,"")</f>
        <v>0</v>
      </c>
    </row>
    <row r="1064" spans="1:11" ht="12.75" customHeight="1">
      <c r="A1064" s="28"/>
      <c r="B1064" s="29"/>
      <c r="C1064" s="30" t="str">
        <f>IFERROR(_xlfn.XLOOKUP(B1064,Insumo[DESCRIPCION],Insumo[UND],,0),"")</f>
        <v/>
      </c>
      <c r="D1064" s="31"/>
      <c r="E1064" s="32" t="str">
        <f>IFERROR(_xlfn.XLOOKUP($B1064,Insumo[DESCRIPCION],Insumo[VALOR],,0),"")</f>
        <v/>
      </c>
      <c r="F1064" s="33"/>
      <c r="G1064" s="34" t="str">
        <f>IFERROR(IF(F1064&gt;=0,D1064*E1064*(1+F1064/100),ABS(D1064*E1064/F1064)),"")</f>
        <v/>
      </c>
      <c r="H1064" s="43" t="str">
        <f>IFERROR(G1064*E1060,"")</f>
        <v/>
      </c>
    </row>
    <row r="1065" spans="1:11" ht="12.75" customHeight="1">
      <c r="A1065" s="28"/>
      <c r="B1065" s="29"/>
      <c r="C1065" s="30" t="str">
        <f>IFERROR(_xlfn.XLOOKUP(B1065,Insumo[DESCRIPCION],Insumo[UND],,0),"")</f>
        <v/>
      </c>
      <c r="D1065" s="31"/>
      <c r="E1065" s="32" t="str">
        <f>IFERROR(_xlfn.XLOOKUP($B1065,Insumo[DESCRIPCION],Insumo[VALOR],,0),"")</f>
        <v/>
      </c>
      <c r="F1065" s="33"/>
      <c r="G1065" s="34" t="str">
        <f>IFERROR(IF(F1065&gt;=0,D1065*E1065*(1+F1065/100),ABS(D1065*E1065/F1065)),"")</f>
        <v/>
      </c>
      <c r="H1065" s="43" t="str">
        <f>IFERROR(G1065*E1060,"")</f>
        <v/>
      </c>
    </row>
    <row r="1066" spans="1:11" ht="12.75" customHeight="1">
      <c r="A1066" s="28"/>
      <c r="B1066" s="29"/>
      <c r="C1066" s="30" t="str">
        <f>IFERROR(_xlfn.XLOOKUP(B1066,Insumo[DESCRIPCION],Insumo[UND],,0),"")</f>
        <v/>
      </c>
      <c r="D1066" s="31"/>
      <c r="E1066" s="32" t="str">
        <f>IFERROR(_xlfn.XLOOKUP($B1066,Insumo[DESCRIPCION],Insumo[VALOR],,0),"")</f>
        <v/>
      </c>
      <c r="F1066" s="33"/>
      <c r="G1066" s="34" t="str">
        <f>IFERROR(IF(F1066&gt;=0,D1066*E1066*(1+F1066/100),ABS(D1066*E1066/F1066)),"")</f>
        <v/>
      </c>
      <c r="H1066" s="43" t="str">
        <f>IFERROR(G1066*E1060,"")</f>
        <v/>
      </c>
    </row>
    <row r="1067" spans="1:11" ht="12.75" customHeight="1">
      <c r="A1067" s="28"/>
      <c r="B1067" s="29"/>
      <c r="C1067" s="30" t="str">
        <f>IFERROR(_xlfn.XLOOKUP(B1067,Insumo[DESCRIPCION],Insumo[UND],,0),"")</f>
        <v/>
      </c>
      <c r="D1067" s="31"/>
      <c r="E1067" s="32" t="str">
        <f>IFERROR(_xlfn.XLOOKUP($B1067,Insumo[DESCRIPCION],Insumo[VALOR],,0),"")</f>
        <v/>
      </c>
      <c r="F1067" s="33"/>
      <c r="G1067" s="34" t="str">
        <f>IFERROR(IF(F1067&gt;=0,D1067*E1067*(1+F1067/100),ABS(D1067*E1067/F1067)),"")</f>
        <v/>
      </c>
      <c r="H1067" s="43" t="str">
        <f>IFERROR(G1067*E1060,"")</f>
        <v/>
      </c>
    </row>
    <row r="1068" spans="1:11" ht="12.75" customHeight="1">
      <c r="A1068" s="21"/>
      <c r="B1068" s="22" t="s">
        <v>3731</v>
      </c>
      <c r="C1068" s="23"/>
      <c r="D1068" s="24"/>
      <c r="E1068" s="25"/>
      <c r="F1068" s="26"/>
      <c r="G1068" s="27">
        <f>SUM(G1069:G1071)</f>
        <v>1886.3445053700007</v>
      </c>
      <c r="H1068" s="44">
        <f>G1068*E1060</f>
        <v>0</v>
      </c>
    </row>
    <row r="1069" spans="1:11" ht="12.75" customHeight="1">
      <c r="A1069" s="28"/>
      <c r="B1069" s="29" t="s">
        <v>3573</v>
      </c>
      <c r="C1069" s="30" t="str">
        <f>IFERROR(_xlfn.XLOOKUP(B1069,Equipo[DESCRIPCION],Equipo[UND],,0),"")</f>
        <v>%MO</v>
      </c>
      <c r="D1069" s="31">
        <v>0.1</v>
      </c>
      <c r="E1069" s="32">
        <f>IF(C1069="%MO",G1075,IFERROR(_xlfn.XLOOKUP($B1069,Equipo[DESCRIPCION],Equipo[VALOR],,0),""))</f>
        <v>12575.630035800003</v>
      </c>
      <c r="F1069" s="33"/>
      <c r="G1069" s="34">
        <f>IFERROR(IF(F1069&gt;=0,D1069*E1069*(1+F1069/100),ABS(D1069*E1069/F1069)),"")</f>
        <v>1257.5630035800004</v>
      </c>
      <c r="H1069" s="43">
        <f>IFERROR(G1069*E1060,"")</f>
        <v>0</v>
      </c>
    </row>
    <row r="1070" spans="1:11" ht="12.75" customHeight="1">
      <c r="A1070" s="28"/>
      <c r="B1070" s="29" t="s">
        <v>3626</v>
      </c>
      <c r="C1070" s="30" t="str">
        <f>IFERROR(_xlfn.XLOOKUP(B1070,Equipo[DESCRIPCION],Equipo[UND],,0),"")</f>
        <v>%MO</v>
      </c>
      <c r="D1070" s="31">
        <v>0.05</v>
      </c>
      <c r="E1070" s="32">
        <f>IF(C1070="%MO",G1075,IFERROR(_xlfn.XLOOKUP($B1070,Equipo[DESCRIPCION],Equipo[VALOR],,0),""))</f>
        <v>12575.630035800003</v>
      </c>
      <c r="F1070" s="33"/>
      <c r="G1070" s="34">
        <f>IFERROR(IF(F1070&gt;=0,D1070*E1070*(1+F1070/100),ABS(D1070*E1070/F1070)),"")</f>
        <v>628.78150179000022</v>
      </c>
      <c r="H1070" s="43">
        <f>IFERROR(G1070*E1060,"")</f>
        <v>0</v>
      </c>
    </row>
    <row r="1071" spans="1:11" ht="12.75" customHeight="1">
      <c r="A1071" s="28"/>
      <c r="B1071" s="29"/>
      <c r="C1071" s="30" t="str">
        <f>IFERROR(_xlfn.XLOOKUP(B1071,Equipo[DESCRIPCION],Equipo[UND],,0),"")</f>
        <v/>
      </c>
      <c r="D1071" s="31"/>
      <c r="E1071" s="32" t="str">
        <f>IF(C1071="%MO",G1075,IFERROR(_xlfn.XLOOKUP($B1071,Equipo[DESCRIPCION],Equipo[VALOR],,0),""))</f>
        <v/>
      </c>
      <c r="F1071" s="33"/>
      <c r="G1071" s="34" t="str">
        <f>IFERROR(IF(F1071&gt;=0,D1071*E1071*(1+F1071/100),ABS(D1071*E1071/F1071)),"")</f>
        <v/>
      </c>
      <c r="H1071" s="43" t="str">
        <f>IFERROR(G1071*E1060,"")</f>
        <v/>
      </c>
    </row>
    <row r="1072" spans="1:11" ht="12.75" customHeight="1">
      <c r="A1072" s="21"/>
      <c r="B1072" s="22" t="s">
        <v>2533</v>
      </c>
      <c r="C1072" s="23"/>
      <c r="D1072" s="24"/>
      <c r="E1072" s="25"/>
      <c r="F1072" s="26"/>
      <c r="G1072" s="27">
        <f>SUM(G1073:G1074)</f>
        <v>0</v>
      </c>
      <c r="H1072" s="44">
        <f>G1072*E1060</f>
        <v>0</v>
      </c>
    </row>
    <row r="1073" spans="1:11" ht="12.75" customHeight="1">
      <c r="A1073" s="28"/>
      <c r="B1073" s="29"/>
      <c r="C1073" s="30" t="str">
        <f>IFERROR(_xlfn.XLOOKUP(B1073,Transporte[DESCRIPCION],Transporte[UND],,0),"")</f>
        <v/>
      </c>
      <c r="D1073" s="31"/>
      <c r="E1073" s="32" t="str">
        <f>IFERROR(_xlfn.XLOOKUP($B1073,Transporte[DESCRIPCION],Transporte[VALOR],,0),"")</f>
        <v/>
      </c>
      <c r="F1073" s="33"/>
      <c r="G1073" s="34" t="str">
        <f>IFERROR(IF(F1073&gt;=0,D1073*E1073*(1+F1073/100),ABS(D1073*E1073/F1073)),"")</f>
        <v/>
      </c>
      <c r="H1073" s="43" t="str">
        <f>IFERROR(G1073*E1060,"")</f>
        <v/>
      </c>
    </row>
    <row r="1074" spans="1:11" ht="12.75" customHeight="1">
      <c r="A1074" s="28"/>
      <c r="B1074" s="29"/>
      <c r="C1074" s="30" t="str">
        <f>IFERROR(_xlfn.XLOOKUP(B1074,Transporte[DESCRIPCION],Transporte[UND],,0),"")</f>
        <v/>
      </c>
      <c r="D1074" s="31"/>
      <c r="E1074" s="32" t="str">
        <f>IFERROR(_xlfn.XLOOKUP($B1074,Transporte[DESCRIPCION],Transporte[VALOR],,0),"")</f>
        <v/>
      </c>
      <c r="F1074" s="33"/>
      <c r="G1074" s="34" t="str">
        <f>IFERROR(IF(F1074&gt;=0,D1074*E1074*(1+F1074/100),ABS(D1074*E1074/F1074)),"")</f>
        <v/>
      </c>
      <c r="H1074" s="43" t="str">
        <f>IFERROR(G1074*E1060,"")</f>
        <v/>
      </c>
    </row>
    <row r="1075" spans="1:11" ht="12.75" customHeight="1">
      <c r="A1075" s="21"/>
      <c r="B1075" s="22" t="s">
        <v>3732</v>
      </c>
      <c r="C1075" s="23"/>
      <c r="D1075" s="24"/>
      <c r="E1075" s="25"/>
      <c r="F1075" s="26"/>
      <c r="G1075" s="27">
        <f>SUM(G1076:G1078)</f>
        <v>12575.630035800003</v>
      </c>
      <c r="H1075" s="44">
        <f>G1075*E1060</f>
        <v>0</v>
      </c>
    </row>
    <row r="1076" spans="1:11" ht="12.75" customHeight="1">
      <c r="A1076" s="28"/>
      <c r="B1076" s="29" t="s">
        <v>3710</v>
      </c>
      <c r="C1076" s="30" t="str">
        <f>IFERROR(_xlfn.XLOOKUP(B1076,MObra[DESCRIPCION],MObra[UN],,0),"")</f>
        <v>día</v>
      </c>
      <c r="D1076" s="31">
        <v>1</v>
      </c>
      <c r="E1076" s="32">
        <f>IFERROR(_xlfn.XLOOKUP($B1076,MObra[DESCRIPCION],MObra[VALOR UNIT],,0),"")</f>
        <v>314390.75089500006</v>
      </c>
      <c r="F1076" s="33">
        <v>-25</v>
      </c>
      <c r="G1076" s="34">
        <f>IFERROR(IF(F1076&gt;=0,D1076*E1076*(1+F1076/100),ABS(D1076*E1076/F1076)),"")</f>
        <v>12575.630035800003</v>
      </c>
      <c r="H1076" s="43">
        <f>IFERROR(G1076*E1060,"")</f>
        <v>0</v>
      </c>
    </row>
    <row r="1077" spans="1:11" ht="12.75" customHeight="1">
      <c r="A1077" s="28"/>
      <c r="B1077" s="29"/>
      <c r="C1077" s="30" t="str">
        <f t="array" ref="C1077">IFERROR(_xlfn.XLOOKUP(B1077,MObra[[#All],[DESCRIPCION]],MObra[[#All],[UN]],,0),"")</f>
        <v/>
      </c>
      <c r="D1077" s="31"/>
      <c r="E1077" s="32" t="str">
        <f>IFERROR(_xlfn.XLOOKUP($B1077,MObra[DESCRIPCION],MObra[VALOR UNIT],,0),"")</f>
        <v/>
      </c>
      <c r="F1077" s="33"/>
      <c r="G1077" s="34" t="str">
        <f>IFERROR(IF(F1077&gt;=0,D1077*E1077*(1+F1077/100),ABS(D1077*E1077/F1077)),"")</f>
        <v/>
      </c>
      <c r="H1077" s="43" t="str">
        <f>IFERROR(G1077*E1060,"")</f>
        <v/>
      </c>
    </row>
    <row r="1078" spans="1:11" ht="12.75" customHeight="1" thickBot="1">
      <c r="A1078" s="35"/>
      <c r="B1078" s="36"/>
      <c r="C1078" s="37" t="str">
        <f t="array" ref="C1078">IFERROR(_xlfn.XLOOKUP(B1078,MObra[[#All],[DESCRIPCION]],MObra[[#All],[UN]],,0),"")</f>
        <v/>
      </c>
      <c r="D1078" s="38"/>
      <c r="E1078" s="39" t="str">
        <f>IFERROR(_xlfn.XLOOKUP($B1078,MObra[DESCRIPCION],MObra[VALOR UNIT],,0),"")</f>
        <v/>
      </c>
      <c r="F1078" s="40"/>
      <c r="G1078" s="41" t="str">
        <f>IFERROR(IF(F1078&gt;=0,D1078*E1078*(1+F1078/100),ABS(D1078*E1078/F1078)),"")</f>
        <v/>
      </c>
      <c r="H1078" s="42" t="str">
        <f>IFERROR(G1078*E1060,"")</f>
        <v/>
      </c>
    </row>
    <row r="1079" spans="1:11" ht="12.75" customHeight="1" thickTop="1" thickBot="1"/>
    <row r="1080" spans="1:11" ht="12.75" customHeight="1" thickTop="1" thickBot="1">
      <c r="A1080" s="6" t="s">
        <v>705</v>
      </c>
      <c r="B1080" s="7" t="str">
        <f>VLOOKUP($A1080,Presupuesto!$A:$D,2,FALSE())</f>
        <v>Bajante PVC 3" aguas negras + accesorios</v>
      </c>
      <c r="C1080" s="8" t="str">
        <f>VLOOKUP($A1080,Presupuesto!$A:$D,3,FALSE())</f>
        <v>M</v>
      </c>
      <c r="D1080" s="9"/>
      <c r="E1080" s="10">
        <f>VLOOKUP($A1080,Presupuesto!$A:$D,4,FALSE())</f>
        <v>0</v>
      </c>
      <c r="F1080" s="11" t="s">
        <v>2589</v>
      </c>
      <c r="G1080" s="12">
        <f>SUM(G1082:G1098)/2</f>
        <v>40679.305640662504</v>
      </c>
      <c r="H1080" s="13">
        <f>ROUND(SUM(H1082:H1098),0)/2</f>
        <v>0</v>
      </c>
      <c r="I1080" s="10">
        <f>VLOOKUP(A1080,Presupuesto!$A:$F,6,0)</f>
        <v>0</v>
      </c>
      <c r="J1080" s="10">
        <f>+H1080-I1080</f>
        <v>0</v>
      </c>
      <c r="K1080" s="46">
        <f>+H1080-G1080*E1080</f>
        <v>0</v>
      </c>
    </row>
    <row r="1081" spans="1:11" ht="12.75" customHeight="1" thickTop="1">
      <c r="A1081" s="14"/>
      <c r="B1081" s="15" t="s">
        <v>2586</v>
      </c>
      <c r="C1081" s="15" t="s">
        <v>5</v>
      </c>
      <c r="D1081" s="16" t="s">
        <v>6</v>
      </c>
      <c r="E1081" s="17" t="s">
        <v>7</v>
      </c>
      <c r="F1081" s="18" t="s">
        <v>3728</v>
      </c>
      <c r="G1081" s="19" t="s">
        <v>3729</v>
      </c>
      <c r="H1081" s="20" t="s">
        <v>3797</v>
      </c>
    </row>
    <row r="1082" spans="1:11" ht="12.75" customHeight="1">
      <c r="A1082" s="21"/>
      <c r="B1082" s="22" t="s">
        <v>3730</v>
      </c>
      <c r="C1082" s="23"/>
      <c r="D1082" s="24"/>
      <c r="E1082" s="25"/>
      <c r="F1082" s="26"/>
      <c r="G1082" s="27">
        <f>SUM(G1083:G1087)</f>
        <v>35177.467500000006</v>
      </c>
      <c r="H1082" s="27">
        <f>IFERROR(G1082*E1080,"")</f>
        <v>0</v>
      </c>
    </row>
    <row r="1083" spans="1:11" ht="12.75" customHeight="1">
      <c r="A1083" s="28"/>
      <c r="B1083" s="29" t="s">
        <v>3504</v>
      </c>
      <c r="C1083" s="30" t="str">
        <f>IFERROR(_xlfn.XLOOKUP(B1083,Insumo[DESCRIPCION],Insumo[UND],,0),"")</f>
        <v>M</v>
      </c>
      <c r="D1083" s="31">
        <v>1</v>
      </c>
      <c r="E1083" s="32">
        <f>IFERROR(_xlfn.XLOOKUP($B1083,Insumo[DESCRIPCION],Insumo[VALOR],,0),"")</f>
        <v>31049.550000000003</v>
      </c>
      <c r="F1083" s="33">
        <v>5</v>
      </c>
      <c r="G1083" s="34">
        <f>IFERROR(IF(F1083&gt;=0,D1083*E1083*(1+F1083/100),ABS(D1083*E1083/F1083)),"")</f>
        <v>32602.027500000004</v>
      </c>
      <c r="H1083" s="43">
        <f>IFERROR(G1083*E1080,"")</f>
        <v>0</v>
      </c>
    </row>
    <row r="1084" spans="1:11" ht="12.75" customHeight="1">
      <c r="A1084" s="28"/>
      <c r="B1084" s="29" t="s">
        <v>2649</v>
      </c>
      <c r="C1084" s="30" t="str">
        <f>IFERROR(_xlfn.XLOOKUP(B1084,Insumo[DESCRIPCION],Insumo[UND],,0),"")</f>
        <v>Un</v>
      </c>
      <c r="D1084" s="31">
        <v>0.2</v>
      </c>
      <c r="E1084" s="32">
        <f>IFERROR(_xlfn.XLOOKUP($B1084,Insumo[DESCRIPCION],Insumo[VALOR],,0),"")</f>
        <v>12877.2</v>
      </c>
      <c r="F1084" s="33"/>
      <c r="G1084" s="34">
        <f>IFERROR(IF(F1084&gt;=0,D1084*E1084*(1+F1084/100),ABS(D1084*E1084/F1084)),"")</f>
        <v>2575.4400000000005</v>
      </c>
      <c r="H1084" s="43">
        <f>IFERROR(G1084*E1080,"")</f>
        <v>0</v>
      </c>
    </row>
    <row r="1085" spans="1:11" ht="12.75" customHeight="1">
      <c r="A1085" s="28"/>
      <c r="B1085" s="29"/>
      <c r="C1085" s="30" t="str">
        <f>IFERROR(_xlfn.XLOOKUP(B1085,Insumo[DESCRIPCION],Insumo[UND],,0),"")</f>
        <v/>
      </c>
      <c r="D1085" s="31"/>
      <c r="E1085" s="32" t="str">
        <f>IFERROR(_xlfn.XLOOKUP($B1085,Insumo[DESCRIPCION],Insumo[VALOR],,0),"")</f>
        <v/>
      </c>
      <c r="F1085" s="33"/>
      <c r="G1085" s="34" t="str">
        <f>IFERROR(IF(F1085&gt;=0,D1085*E1085*(1+F1085/100),ABS(D1085*E1085/F1085)),"")</f>
        <v/>
      </c>
      <c r="H1085" s="43" t="str">
        <f>IFERROR(G1085*E1080,"")</f>
        <v/>
      </c>
    </row>
    <row r="1086" spans="1:11" ht="12.75" customHeight="1">
      <c r="A1086" s="28"/>
      <c r="B1086" s="29"/>
      <c r="C1086" s="30" t="str">
        <f>IFERROR(_xlfn.XLOOKUP(B1086,Insumo[DESCRIPCION],Insumo[UND],,0),"")</f>
        <v/>
      </c>
      <c r="D1086" s="31"/>
      <c r="E1086" s="32" t="str">
        <f>IFERROR(_xlfn.XLOOKUP($B1086,Insumo[DESCRIPCION],Insumo[VALOR],,0),"")</f>
        <v/>
      </c>
      <c r="F1086" s="33"/>
      <c r="G1086" s="34" t="str">
        <f>IFERROR(IF(F1086&gt;=0,D1086*E1086*(1+F1086/100),ABS(D1086*E1086/F1086)),"")</f>
        <v/>
      </c>
      <c r="H1086" s="43" t="str">
        <f>IFERROR(G1086*E1080,"")</f>
        <v/>
      </c>
    </row>
    <row r="1087" spans="1:11" ht="12.75" customHeight="1">
      <c r="A1087" s="28"/>
      <c r="B1087" s="29"/>
      <c r="C1087" s="30" t="str">
        <f>IFERROR(_xlfn.XLOOKUP(B1087,Insumo[DESCRIPCION],Insumo[UND],,0),"")</f>
        <v/>
      </c>
      <c r="D1087" s="31"/>
      <c r="E1087" s="32" t="str">
        <f>IFERROR(_xlfn.XLOOKUP($B1087,Insumo[DESCRIPCION],Insumo[VALOR],,0),"")</f>
        <v/>
      </c>
      <c r="F1087" s="33"/>
      <c r="G1087" s="34" t="str">
        <f>IFERROR(IF(F1087&gt;=0,D1087*E1087*(1+F1087/100),ABS(D1087*E1087/F1087)),"")</f>
        <v/>
      </c>
      <c r="H1087" s="43" t="str">
        <f>IFERROR(G1087*E1080,"")</f>
        <v/>
      </c>
    </row>
    <row r="1088" spans="1:11" ht="12.75" customHeight="1">
      <c r="A1088" s="21"/>
      <c r="B1088" s="22" t="s">
        <v>3731</v>
      </c>
      <c r="C1088" s="23"/>
      <c r="D1088" s="24"/>
      <c r="E1088" s="25"/>
      <c r="F1088" s="26"/>
      <c r="G1088" s="27">
        <f>SUM(G1089:G1091)</f>
        <v>261.99229241250003</v>
      </c>
      <c r="H1088" s="44">
        <f>G1088*E1080</f>
        <v>0</v>
      </c>
    </row>
    <row r="1089" spans="1:11" ht="12.75" customHeight="1">
      <c r="A1089" s="28"/>
      <c r="B1089" s="29" t="s">
        <v>3626</v>
      </c>
      <c r="C1089" s="30" t="str">
        <f>IFERROR(_xlfn.XLOOKUP(B1089,Equipo[DESCRIPCION],Equipo[UND],,0),"")</f>
        <v>%MO</v>
      </c>
      <c r="D1089" s="31">
        <v>0.05</v>
      </c>
      <c r="E1089" s="32">
        <f>IF(C1089="%MO",G1095,IFERROR(_xlfn.XLOOKUP($B1089,Equipo[DESCRIPCION],Equipo[VALOR],,0),""))</f>
        <v>5239.8458482500009</v>
      </c>
      <c r="F1089" s="33"/>
      <c r="G1089" s="34">
        <f>IFERROR(IF(F1089&gt;=0,D1089*E1089*(1+F1089/100),ABS(D1089*E1089/F1089)),"")</f>
        <v>261.99229241250003</v>
      </c>
      <c r="H1089" s="43">
        <f>IFERROR(G1089*E1080,"")</f>
        <v>0</v>
      </c>
    </row>
    <row r="1090" spans="1:11" ht="12.75" customHeight="1">
      <c r="A1090" s="28"/>
      <c r="B1090" s="29"/>
      <c r="C1090" s="30" t="str">
        <f>IFERROR(_xlfn.XLOOKUP(B1090,Equipo[DESCRIPCION],Equipo[UND],,0),"")</f>
        <v/>
      </c>
      <c r="D1090" s="31"/>
      <c r="E1090" s="32" t="str">
        <f>IF(C1090="%MO",G1095,IFERROR(_xlfn.XLOOKUP($B1090,Equipo[DESCRIPCION],Equipo[VALOR],,0),""))</f>
        <v/>
      </c>
      <c r="F1090" s="33"/>
      <c r="G1090" s="34" t="str">
        <f>IFERROR(IF(F1090&gt;=0,D1090*E1090*(1+F1090/100),ABS(D1090*E1090/F1090)),"")</f>
        <v/>
      </c>
      <c r="H1090" s="43" t="str">
        <f>IFERROR(G1090*E1080,"")</f>
        <v/>
      </c>
    </row>
    <row r="1091" spans="1:11" ht="12.75" customHeight="1">
      <c r="A1091" s="28"/>
      <c r="B1091" s="29"/>
      <c r="C1091" s="30" t="str">
        <f>IFERROR(_xlfn.XLOOKUP(B1091,Equipo[DESCRIPCION],Equipo[UND],,0),"")</f>
        <v/>
      </c>
      <c r="D1091" s="31"/>
      <c r="E1091" s="32" t="str">
        <f>IF(C1091="%MO",G1095,IFERROR(_xlfn.XLOOKUP($B1091,Equipo[DESCRIPCION],Equipo[VALOR],,0),""))</f>
        <v/>
      </c>
      <c r="F1091" s="33"/>
      <c r="G1091" s="34" t="str">
        <f>IFERROR(IF(F1091&gt;=0,D1091*E1091*(1+F1091/100),ABS(D1091*E1091/F1091)),"")</f>
        <v/>
      </c>
      <c r="H1091" s="43" t="str">
        <f>IFERROR(G1091*E1080,"")</f>
        <v/>
      </c>
    </row>
    <row r="1092" spans="1:11" ht="12.75" customHeight="1">
      <c r="A1092" s="21"/>
      <c r="B1092" s="22" t="s">
        <v>2533</v>
      </c>
      <c r="C1092" s="23"/>
      <c r="D1092" s="24"/>
      <c r="E1092" s="25"/>
      <c r="F1092" s="26"/>
      <c r="G1092" s="27">
        <f>SUM(G1093:G1094)</f>
        <v>0</v>
      </c>
      <c r="H1092" s="44">
        <f>G1092*E1080</f>
        <v>0</v>
      </c>
    </row>
    <row r="1093" spans="1:11" ht="12.75" customHeight="1">
      <c r="A1093" s="28"/>
      <c r="B1093" s="29"/>
      <c r="C1093" s="30" t="str">
        <f>IFERROR(_xlfn.XLOOKUP(B1093,Transporte[DESCRIPCION],Transporte[UND],,0),"")</f>
        <v/>
      </c>
      <c r="D1093" s="31"/>
      <c r="E1093" s="32" t="str">
        <f>IFERROR(_xlfn.XLOOKUP($B1093,Transporte[DESCRIPCION],Transporte[VALOR],,0),"")</f>
        <v/>
      </c>
      <c r="F1093" s="33"/>
      <c r="G1093" s="34" t="str">
        <f>IFERROR(IF(F1093&gt;=0,D1093*E1093*(1+F1093/100),ABS(D1093*E1093/F1093)),"")</f>
        <v/>
      </c>
      <c r="H1093" s="43" t="str">
        <f>IFERROR(G1093*E1080,"")</f>
        <v/>
      </c>
    </row>
    <row r="1094" spans="1:11" ht="12.75" customHeight="1">
      <c r="A1094" s="28"/>
      <c r="B1094" s="29"/>
      <c r="C1094" s="30" t="str">
        <f>IFERROR(_xlfn.XLOOKUP(B1094,Transporte[DESCRIPCION],Transporte[UND],,0),"")</f>
        <v/>
      </c>
      <c r="D1094" s="31"/>
      <c r="E1094" s="32" t="str">
        <f>IFERROR(_xlfn.XLOOKUP($B1094,Transporte[DESCRIPCION],Transporte[VALOR],,0),"")</f>
        <v/>
      </c>
      <c r="F1094" s="33"/>
      <c r="G1094" s="34" t="str">
        <f>IFERROR(IF(F1094&gt;=0,D1094*E1094*(1+F1094/100),ABS(D1094*E1094/F1094)),"")</f>
        <v/>
      </c>
      <c r="H1094" s="43" t="str">
        <f>IFERROR(G1094*E1080,"")</f>
        <v/>
      </c>
    </row>
    <row r="1095" spans="1:11" ht="12.75" customHeight="1">
      <c r="A1095" s="21"/>
      <c r="B1095" s="22" t="s">
        <v>3732</v>
      </c>
      <c r="C1095" s="23"/>
      <c r="D1095" s="24"/>
      <c r="E1095" s="25"/>
      <c r="F1095" s="26"/>
      <c r="G1095" s="27">
        <f>SUM(G1096:G1098)</f>
        <v>5239.8458482500009</v>
      </c>
      <c r="H1095" s="44">
        <f>G1095*E1080</f>
        <v>0</v>
      </c>
    </row>
    <row r="1096" spans="1:11" ht="12.75" customHeight="1">
      <c r="A1096" s="28"/>
      <c r="B1096" s="29" t="s">
        <v>3710</v>
      </c>
      <c r="C1096" s="30" t="str">
        <f>IFERROR(_xlfn.XLOOKUP(B1096,MObra[DESCRIPCION],MObra[UN],,0),"")</f>
        <v>día</v>
      </c>
      <c r="D1096" s="31">
        <v>1</v>
      </c>
      <c r="E1096" s="32">
        <f>IFERROR(_xlfn.XLOOKUP($B1096,MObra[DESCRIPCION],MObra[VALOR UNIT],,0),"")</f>
        <v>314390.75089500006</v>
      </c>
      <c r="F1096" s="33">
        <v>-60</v>
      </c>
      <c r="G1096" s="34">
        <f>IFERROR(IF(F1096&gt;=0,D1096*E1096*(1+F1096/100),ABS(D1096*E1096/F1096)),"")</f>
        <v>5239.8458482500009</v>
      </c>
      <c r="H1096" s="43">
        <f>IFERROR(G1096*E1080,"")</f>
        <v>0</v>
      </c>
    </row>
    <row r="1097" spans="1:11" ht="12.75" customHeight="1">
      <c r="A1097" s="28"/>
      <c r="B1097" s="29"/>
      <c r="C1097" s="30" t="str">
        <f t="array" ref="C1097">IFERROR(_xlfn.XLOOKUP(B1097,MObra[[#All],[DESCRIPCION]],MObra[[#All],[UN]],,0),"")</f>
        <v/>
      </c>
      <c r="D1097" s="31"/>
      <c r="E1097" s="32" t="str">
        <f>IFERROR(_xlfn.XLOOKUP($B1097,MObra[DESCRIPCION],MObra[VALOR UNIT],,0),"")</f>
        <v/>
      </c>
      <c r="F1097" s="33"/>
      <c r="G1097" s="34" t="str">
        <f>IFERROR(IF(F1097&gt;=0,D1097*E1097*(1+F1097/100),ABS(D1097*E1097/F1097)),"")</f>
        <v/>
      </c>
      <c r="H1097" s="43" t="str">
        <f>IFERROR(G1097*E1080,"")</f>
        <v/>
      </c>
    </row>
    <row r="1098" spans="1:11" ht="12.75" customHeight="1" thickBot="1">
      <c r="A1098" s="35"/>
      <c r="B1098" s="36"/>
      <c r="C1098" s="37" t="str">
        <f t="array" ref="C1098">IFERROR(_xlfn.XLOOKUP(B1098,MObra[[#All],[DESCRIPCION]],MObra[[#All],[UN]],,0),"")</f>
        <v/>
      </c>
      <c r="D1098" s="38"/>
      <c r="E1098" s="39" t="str">
        <f>IFERROR(_xlfn.XLOOKUP($B1098,MObra[DESCRIPCION],MObra[VALOR UNIT],,0),"")</f>
        <v/>
      </c>
      <c r="F1098" s="40"/>
      <c r="G1098" s="41" t="str">
        <f>IFERROR(IF(F1098&gt;=0,D1098*E1098*(1+F1098/100),ABS(D1098*E1098/F1098)),"")</f>
        <v/>
      </c>
      <c r="H1098" s="42" t="str">
        <f>IFERROR(G1098*E1080,"")</f>
        <v/>
      </c>
    </row>
    <row r="1099" spans="1:11" ht="12.75" customHeight="1" thickTop="1" thickBot="1"/>
    <row r="1100" spans="1:11" ht="12.75" customHeight="1" thickTop="1" thickBot="1">
      <c r="A1100" s="6" t="s">
        <v>707</v>
      </c>
      <c r="B1100" s="7" t="str">
        <f>VLOOKUP($A1100,Presupuesto!$A:$D,2,FALSE())</f>
        <v>Bajante PVC 4" aguas negras + accesorios</v>
      </c>
      <c r="C1100" s="8" t="str">
        <f>VLOOKUP($A1100,Presupuesto!$A:$D,3,FALSE())</f>
        <v>M</v>
      </c>
      <c r="D1100" s="9"/>
      <c r="E1100" s="10">
        <f>VLOOKUP($A1100,Presupuesto!$A:$D,4,FALSE())</f>
        <v>0</v>
      </c>
      <c r="F1100" s="11" t="s">
        <v>2589</v>
      </c>
      <c r="G1100" s="12">
        <f>SUM(G1102:G1118)/2</f>
        <v>56378.485244359101</v>
      </c>
      <c r="H1100" s="13">
        <f>ROUND(SUM(H1102:H1118),0)/2</f>
        <v>0</v>
      </c>
      <c r="I1100" s="10">
        <f>VLOOKUP(A1100,Presupuesto!$A:$F,6,0)</f>
        <v>0</v>
      </c>
      <c r="J1100" s="10">
        <f>+H1100-I1100</f>
        <v>0</v>
      </c>
      <c r="K1100" s="46">
        <f>+H1100-G1100*E1100</f>
        <v>0</v>
      </c>
    </row>
    <row r="1101" spans="1:11" ht="12.75" customHeight="1" thickTop="1">
      <c r="A1101" s="14"/>
      <c r="B1101" s="15" t="s">
        <v>2586</v>
      </c>
      <c r="C1101" s="15" t="s">
        <v>5</v>
      </c>
      <c r="D1101" s="16" t="s">
        <v>6</v>
      </c>
      <c r="E1101" s="17" t="s">
        <v>7</v>
      </c>
      <c r="F1101" s="18" t="s">
        <v>3728</v>
      </c>
      <c r="G1101" s="19" t="s">
        <v>3729</v>
      </c>
      <c r="H1101" s="20" t="s">
        <v>3797</v>
      </c>
    </row>
    <row r="1102" spans="1:11" ht="12.75" customHeight="1">
      <c r="A1102" s="21"/>
      <c r="B1102" s="22" t="s">
        <v>3730</v>
      </c>
      <c r="C1102" s="23"/>
      <c r="D1102" s="24"/>
      <c r="E1102" s="25"/>
      <c r="F1102" s="26"/>
      <c r="G1102" s="27">
        <f>SUM(G1103:G1107)</f>
        <v>50376.480000000003</v>
      </c>
      <c r="H1102" s="27">
        <f>IFERROR(G1102*E1100,"")</f>
        <v>0</v>
      </c>
    </row>
    <row r="1103" spans="1:11" ht="12.75" customHeight="1">
      <c r="A1103" s="28"/>
      <c r="B1103" s="29" t="s">
        <v>3505</v>
      </c>
      <c r="C1103" s="30" t="str">
        <f>IFERROR(_xlfn.XLOOKUP(B1103,Insumo[DESCRIPCION],Insumo[UND],,0),"")</f>
        <v>M</v>
      </c>
      <c r="D1103" s="31">
        <v>1</v>
      </c>
      <c r="E1103" s="32">
        <f>IFERROR(_xlfn.XLOOKUP($B1103,Insumo[DESCRIPCION],Insumo[VALOR],,0),"")</f>
        <v>43738.8</v>
      </c>
      <c r="F1103" s="33">
        <v>5</v>
      </c>
      <c r="G1103" s="34">
        <f>IFERROR(IF(F1103&gt;=0,D1103*E1103*(1+F1103/100),ABS(D1103*E1103/F1103)),"")</f>
        <v>45925.740000000005</v>
      </c>
      <c r="H1103" s="43">
        <f>IFERROR(G1103*E1100,"")</f>
        <v>0</v>
      </c>
    </row>
    <row r="1104" spans="1:11" ht="12.75" customHeight="1">
      <c r="A1104" s="28"/>
      <c r="B1104" s="29" t="s">
        <v>2650</v>
      </c>
      <c r="C1104" s="30" t="str">
        <f>IFERROR(_xlfn.XLOOKUP(B1104,Insumo[DESCRIPCION],Insumo[UND],,0),"")</f>
        <v>Un</v>
      </c>
      <c r="D1104" s="31">
        <v>0.2</v>
      </c>
      <c r="E1104" s="32">
        <f>IFERROR(_xlfn.XLOOKUP($B1104,Insumo[DESCRIPCION],Insumo[VALOR],,0),"")</f>
        <v>22253.7</v>
      </c>
      <c r="F1104" s="33"/>
      <c r="G1104" s="34">
        <f>IFERROR(IF(F1104&gt;=0,D1104*E1104*(1+F1104/100),ABS(D1104*E1104/F1104)),"")</f>
        <v>4450.7400000000007</v>
      </c>
      <c r="H1104" s="43">
        <f>IFERROR(G1104*E1100,"")</f>
        <v>0</v>
      </c>
    </row>
    <row r="1105" spans="1:11" ht="12.75" customHeight="1">
      <c r="A1105" s="28"/>
      <c r="B1105" s="29"/>
      <c r="C1105" s="30" t="str">
        <f>IFERROR(_xlfn.XLOOKUP(B1105,Insumo[DESCRIPCION],Insumo[UND],,0),"")</f>
        <v/>
      </c>
      <c r="D1105" s="31"/>
      <c r="E1105" s="32" t="str">
        <f>IFERROR(_xlfn.XLOOKUP($B1105,Insumo[DESCRIPCION],Insumo[VALOR],,0),"")</f>
        <v/>
      </c>
      <c r="F1105" s="33"/>
      <c r="G1105" s="34" t="str">
        <f>IFERROR(IF(F1105&gt;=0,D1105*E1105*(1+F1105/100),ABS(D1105*E1105/F1105)),"")</f>
        <v/>
      </c>
      <c r="H1105" s="43" t="str">
        <f>IFERROR(G1105*E1100,"")</f>
        <v/>
      </c>
    </row>
    <row r="1106" spans="1:11" ht="12.75" customHeight="1">
      <c r="A1106" s="28"/>
      <c r="B1106" s="29"/>
      <c r="C1106" s="30" t="str">
        <f>IFERROR(_xlfn.XLOOKUP(B1106,Insumo[DESCRIPCION],Insumo[UND],,0),"")</f>
        <v/>
      </c>
      <c r="D1106" s="31"/>
      <c r="E1106" s="32" t="str">
        <f>IFERROR(_xlfn.XLOOKUP($B1106,Insumo[DESCRIPCION],Insumo[VALOR],,0),"")</f>
        <v/>
      </c>
      <c r="F1106" s="33"/>
      <c r="G1106" s="34" t="str">
        <f>IFERROR(IF(F1106&gt;=0,D1106*E1106*(1+F1106/100),ABS(D1106*E1106/F1106)),"")</f>
        <v/>
      </c>
      <c r="H1106" s="43" t="str">
        <f>IFERROR(G1106*E1100,"")</f>
        <v/>
      </c>
    </row>
    <row r="1107" spans="1:11" ht="12.75" customHeight="1">
      <c r="A1107" s="28"/>
      <c r="B1107" s="29"/>
      <c r="C1107" s="30" t="str">
        <f>IFERROR(_xlfn.XLOOKUP(B1107,Insumo[DESCRIPCION],Insumo[UND],,0),"")</f>
        <v/>
      </c>
      <c r="D1107" s="31"/>
      <c r="E1107" s="32" t="str">
        <f>IFERROR(_xlfn.XLOOKUP($B1107,Insumo[DESCRIPCION],Insumo[VALOR],,0),"")</f>
        <v/>
      </c>
      <c r="F1107" s="33"/>
      <c r="G1107" s="34" t="str">
        <f>IFERROR(IF(F1107&gt;=0,D1107*E1107*(1+F1107/100),ABS(D1107*E1107/F1107)),"")</f>
        <v/>
      </c>
      <c r="H1107" s="43" t="str">
        <f>IFERROR(G1107*E1100,"")</f>
        <v/>
      </c>
    </row>
    <row r="1108" spans="1:11" ht="12.75" customHeight="1">
      <c r="A1108" s="21"/>
      <c r="B1108" s="22" t="s">
        <v>3731</v>
      </c>
      <c r="C1108" s="23"/>
      <c r="D1108" s="24"/>
      <c r="E1108" s="25"/>
      <c r="F1108" s="26"/>
      <c r="G1108" s="27">
        <f>SUM(G1109:G1111)</f>
        <v>285.80977354090913</v>
      </c>
      <c r="H1108" s="44">
        <f>G1108*E1100</f>
        <v>0</v>
      </c>
    </row>
    <row r="1109" spans="1:11" ht="12.75" customHeight="1">
      <c r="A1109" s="28"/>
      <c r="B1109" s="29" t="s">
        <v>3626</v>
      </c>
      <c r="C1109" s="30" t="str">
        <f>IFERROR(_xlfn.XLOOKUP(B1109,Equipo[DESCRIPCION],Equipo[UND],,0),"")</f>
        <v>%MO</v>
      </c>
      <c r="D1109" s="31">
        <v>0.05</v>
      </c>
      <c r="E1109" s="32">
        <f>IF(C1109="%MO",G1115,IFERROR(_xlfn.XLOOKUP($B1109,Equipo[DESCRIPCION],Equipo[VALOR],,0),""))</f>
        <v>5716.1954708181829</v>
      </c>
      <c r="F1109" s="33"/>
      <c r="G1109" s="34">
        <f>IFERROR(IF(F1109&gt;=0,D1109*E1109*(1+F1109/100),ABS(D1109*E1109/F1109)),"")</f>
        <v>285.80977354090913</v>
      </c>
      <c r="H1109" s="43">
        <f>IFERROR(G1109*E1100,"")</f>
        <v>0</v>
      </c>
    </row>
    <row r="1110" spans="1:11" ht="12.75" customHeight="1">
      <c r="A1110" s="28"/>
      <c r="B1110" s="29"/>
      <c r="C1110" s="30" t="str">
        <f>IFERROR(_xlfn.XLOOKUP(B1110,Equipo[DESCRIPCION],Equipo[UND],,0),"")</f>
        <v/>
      </c>
      <c r="D1110" s="31"/>
      <c r="E1110" s="32" t="str">
        <f>IF(C1110="%MO",G1115,IFERROR(_xlfn.XLOOKUP($B1110,Equipo[DESCRIPCION],Equipo[VALOR],,0),""))</f>
        <v/>
      </c>
      <c r="F1110" s="33"/>
      <c r="G1110" s="34" t="str">
        <f>IFERROR(IF(F1110&gt;=0,D1110*E1110*(1+F1110/100),ABS(D1110*E1110/F1110)),"")</f>
        <v/>
      </c>
      <c r="H1110" s="43" t="str">
        <f>IFERROR(G1110*E1100,"")</f>
        <v/>
      </c>
    </row>
    <row r="1111" spans="1:11" ht="12.75" customHeight="1">
      <c r="A1111" s="28"/>
      <c r="B1111" s="29"/>
      <c r="C1111" s="30" t="str">
        <f>IFERROR(_xlfn.XLOOKUP(B1111,Equipo[DESCRIPCION],Equipo[UND],,0),"")</f>
        <v/>
      </c>
      <c r="D1111" s="31"/>
      <c r="E1111" s="32" t="str">
        <f>IF(C1111="%MO",G1115,IFERROR(_xlfn.XLOOKUP($B1111,Equipo[DESCRIPCION],Equipo[VALOR],,0),""))</f>
        <v/>
      </c>
      <c r="F1111" s="33"/>
      <c r="G1111" s="34" t="str">
        <f>IFERROR(IF(F1111&gt;=0,D1111*E1111*(1+F1111/100),ABS(D1111*E1111/F1111)),"")</f>
        <v/>
      </c>
      <c r="H1111" s="43" t="str">
        <f>IFERROR(G1111*E1100,"")</f>
        <v/>
      </c>
    </row>
    <row r="1112" spans="1:11" ht="12.75" customHeight="1">
      <c r="A1112" s="21"/>
      <c r="B1112" s="22" t="s">
        <v>2533</v>
      </c>
      <c r="C1112" s="23"/>
      <c r="D1112" s="24"/>
      <c r="E1112" s="25"/>
      <c r="F1112" s="26"/>
      <c r="G1112" s="27">
        <f>SUM(G1113:G1114)</f>
        <v>0</v>
      </c>
      <c r="H1112" s="44">
        <f>G1112*E1100</f>
        <v>0</v>
      </c>
    </row>
    <row r="1113" spans="1:11" ht="12.75" customHeight="1">
      <c r="A1113" s="28"/>
      <c r="B1113" s="29"/>
      <c r="C1113" s="30" t="str">
        <f>IFERROR(_xlfn.XLOOKUP(B1113,Transporte[DESCRIPCION],Transporte[UND],,0),"")</f>
        <v/>
      </c>
      <c r="D1113" s="31"/>
      <c r="E1113" s="32" t="str">
        <f>IFERROR(_xlfn.XLOOKUP($B1113,Transporte[DESCRIPCION],Transporte[VALOR],,0),"")</f>
        <v/>
      </c>
      <c r="F1113" s="33"/>
      <c r="G1113" s="34" t="str">
        <f>IFERROR(IF(F1113&gt;=0,D1113*E1113*(1+F1113/100),ABS(D1113*E1113/F1113)),"")</f>
        <v/>
      </c>
      <c r="H1113" s="43" t="str">
        <f>IFERROR(G1113*E1100,"")</f>
        <v/>
      </c>
    </row>
    <row r="1114" spans="1:11" ht="12.75" customHeight="1">
      <c r="A1114" s="28"/>
      <c r="B1114" s="29"/>
      <c r="C1114" s="30" t="str">
        <f>IFERROR(_xlfn.XLOOKUP(B1114,Transporte[DESCRIPCION],Transporte[UND],,0),"")</f>
        <v/>
      </c>
      <c r="D1114" s="31"/>
      <c r="E1114" s="32" t="str">
        <f>IFERROR(_xlfn.XLOOKUP($B1114,Transporte[DESCRIPCION],Transporte[VALOR],,0),"")</f>
        <v/>
      </c>
      <c r="F1114" s="33"/>
      <c r="G1114" s="34" t="str">
        <f>IFERROR(IF(F1114&gt;=0,D1114*E1114*(1+F1114/100),ABS(D1114*E1114/F1114)),"")</f>
        <v/>
      </c>
      <c r="H1114" s="43" t="str">
        <f>IFERROR(G1114*E1100,"")</f>
        <v/>
      </c>
    </row>
    <row r="1115" spans="1:11" ht="12.75" customHeight="1">
      <c r="A1115" s="21"/>
      <c r="B1115" s="22" t="s">
        <v>3732</v>
      </c>
      <c r="C1115" s="23"/>
      <c r="D1115" s="24"/>
      <c r="E1115" s="25"/>
      <c r="F1115" s="26"/>
      <c r="G1115" s="27">
        <f>SUM(G1116:G1118)</f>
        <v>5716.1954708181829</v>
      </c>
      <c r="H1115" s="44">
        <f>G1115*E1100</f>
        <v>0</v>
      </c>
    </row>
    <row r="1116" spans="1:11" ht="12.75" customHeight="1">
      <c r="A1116" s="28"/>
      <c r="B1116" s="29" t="s">
        <v>3710</v>
      </c>
      <c r="C1116" s="30" t="str">
        <f>IFERROR(_xlfn.XLOOKUP(B1116,MObra[DESCRIPCION],MObra[UN],,0),"")</f>
        <v>día</v>
      </c>
      <c r="D1116" s="31">
        <v>1</v>
      </c>
      <c r="E1116" s="32">
        <f>IFERROR(_xlfn.XLOOKUP($B1116,MObra[DESCRIPCION],MObra[VALOR UNIT],,0),"")</f>
        <v>314390.75089500006</v>
      </c>
      <c r="F1116" s="33">
        <v>-55</v>
      </c>
      <c r="G1116" s="34">
        <f>IFERROR(IF(F1116&gt;=0,D1116*E1116*(1+F1116/100),ABS(D1116*E1116/F1116)),"")</f>
        <v>5716.1954708181829</v>
      </c>
      <c r="H1116" s="43">
        <f>IFERROR(G1116*E1100,"")</f>
        <v>0</v>
      </c>
    </row>
    <row r="1117" spans="1:11" ht="12.75" customHeight="1">
      <c r="A1117" s="28"/>
      <c r="B1117" s="29"/>
      <c r="C1117" s="30" t="str">
        <f t="array" ref="C1117">IFERROR(_xlfn.XLOOKUP(B1117,MObra[[#All],[DESCRIPCION]],MObra[[#All],[UN]],,0),"")</f>
        <v/>
      </c>
      <c r="D1117" s="31"/>
      <c r="E1117" s="32" t="str">
        <f>IFERROR(_xlfn.XLOOKUP($B1117,MObra[DESCRIPCION],MObra[VALOR UNIT],,0),"")</f>
        <v/>
      </c>
      <c r="F1117" s="33"/>
      <c r="G1117" s="34" t="str">
        <f>IFERROR(IF(F1117&gt;=0,D1117*E1117*(1+F1117/100),ABS(D1117*E1117/F1117)),"")</f>
        <v/>
      </c>
      <c r="H1117" s="43" t="str">
        <f>IFERROR(G1117*E1100,"")</f>
        <v/>
      </c>
    </row>
    <row r="1118" spans="1:11" ht="12.75" customHeight="1" thickBot="1">
      <c r="A1118" s="35"/>
      <c r="B1118" s="36"/>
      <c r="C1118" s="37" t="str">
        <f t="array" ref="C1118">IFERROR(_xlfn.XLOOKUP(B1118,MObra[[#All],[DESCRIPCION]],MObra[[#All],[UN]],,0),"")</f>
        <v/>
      </c>
      <c r="D1118" s="38"/>
      <c r="E1118" s="39" t="str">
        <f>IFERROR(_xlfn.XLOOKUP($B1118,MObra[DESCRIPCION],MObra[VALOR UNIT],,0),"")</f>
        <v/>
      </c>
      <c r="F1118" s="40"/>
      <c r="G1118" s="41" t="str">
        <f>IFERROR(IF(F1118&gt;=0,D1118*E1118*(1+F1118/100),ABS(D1118*E1118/F1118)),"")</f>
        <v/>
      </c>
      <c r="H1118" s="42" t="str">
        <f>IFERROR(G1118*E1100,"")</f>
        <v/>
      </c>
    </row>
    <row r="1119" spans="1:11" ht="12.75" customHeight="1" thickTop="1" thickBot="1"/>
    <row r="1120" spans="1:11" ht="12.75" customHeight="1" thickTop="1" thickBot="1">
      <c r="A1120" s="6" t="s">
        <v>709</v>
      </c>
      <c r="B1120" s="7" t="str">
        <f>VLOOKUP($A1120,Presupuesto!$A:$D,2,FALSE())</f>
        <v>Bajante PVC 3" aguas lluvias + accesorios</v>
      </c>
      <c r="C1120" s="8" t="str">
        <f>VLOOKUP($A1120,Presupuesto!$A:$D,3,FALSE())</f>
        <v>M</v>
      </c>
      <c r="D1120" s="9"/>
      <c r="E1120" s="10">
        <f>VLOOKUP($A1120,Presupuesto!$A:$D,4,FALSE())</f>
        <v>0</v>
      </c>
      <c r="F1120" s="11" t="s">
        <v>2589</v>
      </c>
      <c r="G1120" s="12">
        <f>SUM(G1122:G1138)/2</f>
        <v>28404.070640662503</v>
      </c>
      <c r="H1120" s="13">
        <f>ROUND(SUM(H1122:H1138),0)/2</f>
        <v>0</v>
      </c>
      <c r="I1120" s="10">
        <f>VLOOKUP(A1120,Presupuesto!$A:$F,6,0)</f>
        <v>0</v>
      </c>
      <c r="J1120" s="10">
        <f>+H1120-I1120</f>
        <v>0</v>
      </c>
      <c r="K1120" s="46">
        <f>+H1120-G1120*E1120</f>
        <v>0</v>
      </c>
    </row>
    <row r="1121" spans="1:8" ht="12.75" customHeight="1" thickTop="1">
      <c r="A1121" s="14"/>
      <c r="B1121" s="15" t="s">
        <v>2586</v>
      </c>
      <c r="C1121" s="15" t="s">
        <v>5</v>
      </c>
      <c r="D1121" s="16" t="s">
        <v>6</v>
      </c>
      <c r="E1121" s="17" t="s">
        <v>7</v>
      </c>
      <c r="F1121" s="18" t="s">
        <v>3728</v>
      </c>
      <c r="G1121" s="19" t="s">
        <v>3729</v>
      </c>
      <c r="H1121" s="20" t="s">
        <v>3797</v>
      </c>
    </row>
    <row r="1122" spans="1:8" ht="12.75" customHeight="1">
      <c r="A1122" s="21"/>
      <c r="B1122" s="22" t="s">
        <v>3730</v>
      </c>
      <c r="C1122" s="23"/>
      <c r="D1122" s="24"/>
      <c r="E1122" s="25"/>
      <c r="F1122" s="26"/>
      <c r="G1122" s="27">
        <f>SUM(G1123:G1127)</f>
        <v>22902.232500000006</v>
      </c>
      <c r="H1122" s="27">
        <f>IFERROR(G1122*E1120,"")</f>
        <v>0</v>
      </c>
    </row>
    <row r="1123" spans="1:8" ht="12.75" customHeight="1">
      <c r="A1123" s="28"/>
      <c r="B1123" s="29" t="s">
        <v>3509</v>
      </c>
      <c r="C1123" s="30" t="str">
        <f>IFERROR(_xlfn.XLOOKUP(B1123,Insumo[DESCRIPCION],Insumo[UND],,0),"")</f>
        <v>M</v>
      </c>
      <c r="D1123" s="31">
        <v>1</v>
      </c>
      <c r="E1123" s="32">
        <f>IFERROR(_xlfn.XLOOKUP($B1123,Insumo[DESCRIPCION],Insumo[VALOR],,0),"")</f>
        <v>19358.850000000002</v>
      </c>
      <c r="F1123" s="33">
        <v>5</v>
      </c>
      <c r="G1123" s="34">
        <f>IFERROR(IF(F1123&gt;=0,D1123*E1123*(1+F1123/100),ABS(D1123*E1123/F1123)),"")</f>
        <v>20326.792500000003</v>
      </c>
      <c r="H1123" s="43">
        <f>IFERROR(G1123*E1120,"")</f>
        <v>0</v>
      </c>
    </row>
    <row r="1124" spans="1:8" ht="12.75" customHeight="1">
      <c r="A1124" s="28"/>
      <c r="B1124" s="29" t="s">
        <v>2649</v>
      </c>
      <c r="C1124" s="30" t="str">
        <f>IFERROR(_xlfn.XLOOKUP(B1124,Insumo[DESCRIPCION],Insumo[UND],,0),"")</f>
        <v>Un</v>
      </c>
      <c r="D1124" s="31">
        <v>0.2</v>
      </c>
      <c r="E1124" s="32">
        <f>IFERROR(_xlfn.XLOOKUP($B1124,Insumo[DESCRIPCION],Insumo[VALOR],,0),"")</f>
        <v>12877.2</v>
      </c>
      <c r="F1124" s="33"/>
      <c r="G1124" s="34">
        <f>IFERROR(IF(F1124&gt;=0,D1124*E1124*(1+F1124/100),ABS(D1124*E1124/F1124)),"")</f>
        <v>2575.4400000000005</v>
      </c>
      <c r="H1124" s="43">
        <f>IFERROR(G1124*E1120,"")</f>
        <v>0</v>
      </c>
    </row>
    <row r="1125" spans="1:8" ht="12.75" customHeight="1">
      <c r="A1125" s="28"/>
      <c r="B1125" s="29"/>
      <c r="C1125" s="30" t="str">
        <f>IFERROR(_xlfn.XLOOKUP(B1125,Insumo[DESCRIPCION],Insumo[UND],,0),"")</f>
        <v/>
      </c>
      <c r="D1125" s="31"/>
      <c r="E1125" s="32" t="str">
        <f>IFERROR(_xlfn.XLOOKUP($B1125,Insumo[DESCRIPCION],Insumo[VALOR],,0),"")</f>
        <v/>
      </c>
      <c r="F1125" s="33"/>
      <c r="G1125" s="34" t="str">
        <f>IFERROR(IF(F1125&gt;=0,D1125*E1125*(1+F1125/100),ABS(D1125*E1125/F1125)),"")</f>
        <v/>
      </c>
      <c r="H1125" s="43" t="str">
        <f>IFERROR(G1125*E1120,"")</f>
        <v/>
      </c>
    </row>
    <row r="1126" spans="1:8" ht="12.75" customHeight="1">
      <c r="A1126" s="28"/>
      <c r="B1126" s="29"/>
      <c r="C1126" s="30" t="str">
        <f>IFERROR(_xlfn.XLOOKUP(B1126,Insumo[DESCRIPCION],Insumo[UND],,0),"")</f>
        <v/>
      </c>
      <c r="D1126" s="31"/>
      <c r="E1126" s="32" t="str">
        <f>IFERROR(_xlfn.XLOOKUP($B1126,Insumo[DESCRIPCION],Insumo[VALOR],,0),"")</f>
        <v/>
      </c>
      <c r="F1126" s="33"/>
      <c r="G1126" s="34" t="str">
        <f>IFERROR(IF(F1126&gt;=0,D1126*E1126*(1+F1126/100),ABS(D1126*E1126/F1126)),"")</f>
        <v/>
      </c>
      <c r="H1126" s="43" t="str">
        <f>IFERROR(G1126*E1120,"")</f>
        <v/>
      </c>
    </row>
    <row r="1127" spans="1:8" ht="12.75" customHeight="1">
      <c r="A1127" s="28"/>
      <c r="B1127" s="29"/>
      <c r="C1127" s="30" t="str">
        <f>IFERROR(_xlfn.XLOOKUP(B1127,Insumo[DESCRIPCION],Insumo[UND],,0),"")</f>
        <v/>
      </c>
      <c r="D1127" s="31"/>
      <c r="E1127" s="32" t="str">
        <f>IFERROR(_xlfn.XLOOKUP($B1127,Insumo[DESCRIPCION],Insumo[VALOR],,0),"")</f>
        <v/>
      </c>
      <c r="F1127" s="33"/>
      <c r="G1127" s="34" t="str">
        <f>IFERROR(IF(F1127&gt;=0,D1127*E1127*(1+F1127/100),ABS(D1127*E1127/F1127)),"")</f>
        <v/>
      </c>
      <c r="H1127" s="43" t="str">
        <f>IFERROR(G1127*E1120,"")</f>
        <v/>
      </c>
    </row>
    <row r="1128" spans="1:8" ht="12.75" customHeight="1">
      <c r="A1128" s="21"/>
      <c r="B1128" s="22" t="s">
        <v>3731</v>
      </c>
      <c r="C1128" s="23"/>
      <c r="D1128" s="24"/>
      <c r="E1128" s="25"/>
      <c r="F1128" s="26"/>
      <c r="G1128" s="27">
        <f>SUM(G1129:G1131)</f>
        <v>261.99229241250003</v>
      </c>
      <c r="H1128" s="44">
        <f>G1128*E1120</f>
        <v>0</v>
      </c>
    </row>
    <row r="1129" spans="1:8" ht="12.75" customHeight="1">
      <c r="A1129" s="28"/>
      <c r="B1129" s="29" t="s">
        <v>3626</v>
      </c>
      <c r="C1129" s="30" t="str">
        <f>IFERROR(_xlfn.XLOOKUP(B1129,Equipo[DESCRIPCION],Equipo[UND],,0),"")</f>
        <v>%MO</v>
      </c>
      <c r="D1129" s="31">
        <v>0.05</v>
      </c>
      <c r="E1129" s="32">
        <f>IF(C1129="%MO",G1135,IFERROR(_xlfn.XLOOKUP($B1129,Equipo[DESCRIPCION],Equipo[VALOR],,0),""))</f>
        <v>5239.8458482500009</v>
      </c>
      <c r="F1129" s="33"/>
      <c r="G1129" s="34">
        <f>IFERROR(IF(F1129&gt;=0,D1129*E1129*(1+F1129/100),ABS(D1129*E1129/F1129)),"")</f>
        <v>261.99229241250003</v>
      </c>
      <c r="H1129" s="43">
        <f>IFERROR(G1129*E1120,"")</f>
        <v>0</v>
      </c>
    </row>
    <row r="1130" spans="1:8" ht="12.75" customHeight="1">
      <c r="A1130" s="28"/>
      <c r="B1130" s="29"/>
      <c r="C1130" s="30" t="str">
        <f>IFERROR(_xlfn.XLOOKUP(B1130,Equipo[DESCRIPCION],Equipo[UND],,0),"")</f>
        <v/>
      </c>
      <c r="D1130" s="31"/>
      <c r="E1130" s="32" t="str">
        <f>IF(C1130="%MO",G1135,IFERROR(_xlfn.XLOOKUP($B1130,Equipo[DESCRIPCION],Equipo[VALOR],,0),""))</f>
        <v/>
      </c>
      <c r="F1130" s="33"/>
      <c r="G1130" s="34" t="str">
        <f>IFERROR(IF(F1130&gt;=0,D1130*E1130*(1+F1130/100),ABS(D1130*E1130/F1130)),"")</f>
        <v/>
      </c>
      <c r="H1130" s="43" t="str">
        <f>IFERROR(G1130*E1120,"")</f>
        <v/>
      </c>
    </row>
    <row r="1131" spans="1:8" ht="12.75" customHeight="1">
      <c r="A1131" s="28"/>
      <c r="B1131" s="29"/>
      <c r="C1131" s="30" t="str">
        <f>IFERROR(_xlfn.XLOOKUP(B1131,Equipo[DESCRIPCION],Equipo[UND],,0),"")</f>
        <v/>
      </c>
      <c r="D1131" s="31"/>
      <c r="E1131" s="32" t="str">
        <f>IF(C1131="%MO",G1135,IFERROR(_xlfn.XLOOKUP($B1131,Equipo[DESCRIPCION],Equipo[VALOR],,0),""))</f>
        <v/>
      </c>
      <c r="F1131" s="33"/>
      <c r="G1131" s="34" t="str">
        <f>IFERROR(IF(F1131&gt;=0,D1131*E1131*(1+F1131/100),ABS(D1131*E1131/F1131)),"")</f>
        <v/>
      </c>
      <c r="H1131" s="43" t="str">
        <f>IFERROR(G1131*E1120,"")</f>
        <v/>
      </c>
    </row>
    <row r="1132" spans="1:8" ht="12.75" customHeight="1">
      <c r="A1132" s="21"/>
      <c r="B1132" s="22" t="s">
        <v>2533</v>
      </c>
      <c r="C1132" s="23"/>
      <c r="D1132" s="24"/>
      <c r="E1132" s="25"/>
      <c r="F1132" s="26"/>
      <c r="G1132" s="27">
        <f>SUM(G1133:G1134)</f>
        <v>0</v>
      </c>
      <c r="H1132" s="44">
        <f>G1132*E1120</f>
        <v>0</v>
      </c>
    </row>
    <row r="1133" spans="1:8" ht="12.75" customHeight="1">
      <c r="A1133" s="28"/>
      <c r="B1133" s="29"/>
      <c r="C1133" s="30" t="str">
        <f>IFERROR(_xlfn.XLOOKUP(B1133,Transporte[DESCRIPCION],Transporte[UND],,0),"")</f>
        <v/>
      </c>
      <c r="D1133" s="31"/>
      <c r="E1133" s="32" t="str">
        <f>IFERROR(_xlfn.XLOOKUP($B1133,Transporte[DESCRIPCION],Transporte[VALOR],,0),"")</f>
        <v/>
      </c>
      <c r="F1133" s="33"/>
      <c r="G1133" s="34" t="str">
        <f>IFERROR(IF(F1133&gt;=0,D1133*E1133*(1+F1133/100),ABS(D1133*E1133/F1133)),"")</f>
        <v/>
      </c>
      <c r="H1133" s="43" t="str">
        <f>IFERROR(G1133*E1120,"")</f>
        <v/>
      </c>
    </row>
    <row r="1134" spans="1:8" ht="12.75" customHeight="1">
      <c r="A1134" s="28"/>
      <c r="B1134" s="29"/>
      <c r="C1134" s="30" t="str">
        <f>IFERROR(_xlfn.XLOOKUP(B1134,Transporte[DESCRIPCION],Transporte[UND],,0),"")</f>
        <v/>
      </c>
      <c r="D1134" s="31"/>
      <c r="E1134" s="32" t="str">
        <f>IFERROR(_xlfn.XLOOKUP($B1134,Transporte[DESCRIPCION],Transporte[VALOR],,0),"")</f>
        <v/>
      </c>
      <c r="F1134" s="33"/>
      <c r="G1134" s="34" t="str">
        <f>IFERROR(IF(F1134&gt;=0,D1134*E1134*(1+F1134/100),ABS(D1134*E1134/F1134)),"")</f>
        <v/>
      </c>
      <c r="H1134" s="43" t="str">
        <f>IFERROR(G1134*E1120,"")</f>
        <v/>
      </c>
    </row>
    <row r="1135" spans="1:8" ht="12.75" customHeight="1">
      <c r="A1135" s="21"/>
      <c r="B1135" s="22" t="s">
        <v>3732</v>
      </c>
      <c r="C1135" s="23"/>
      <c r="D1135" s="24"/>
      <c r="E1135" s="25"/>
      <c r="F1135" s="26"/>
      <c r="G1135" s="27">
        <f>SUM(G1136:G1138)</f>
        <v>5239.8458482500009</v>
      </c>
      <c r="H1135" s="44">
        <f>G1135*E1120</f>
        <v>0</v>
      </c>
    </row>
    <row r="1136" spans="1:8" ht="12.75" customHeight="1">
      <c r="A1136" s="28"/>
      <c r="B1136" s="29" t="s">
        <v>3710</v>
      </c>
      <c r="C1136" s="30" t="str">
        <f>IFERROR(_xlfn.XLOOKUP(B1136,MObra[DESCRIPCION],MObra[UN],,0),"")</f>
        <v>día</v>
      </c>
      <c r="D1136" s="31">
        <v>1</v>
      </c>
      <c r="E1136" s="32">
        <f>IFERROR(_xlfn.XLOOKUP($B1136,MObra[DESCRIPCION],MObra[VALOR UNIT],,0),"")</f>
        <v>314390.75089500006</v>
      </c>
      <c r="F1136" s="33">
        <v>-60</v>
      </c>
      <c r="G1136" s="34">
        <f>IFERROR(IF(F1136&gt;=0,D1136*E1136*(1+F1136/100),ABS(D1136*E1136/F1136)),"")</f>
        <v>5239.8458482500009</v>
      </c>
      <c r="H1136" s="43">
        <f>IFERROR(G1136*E1120,"")</f>
        <v>0</v>
      </c>
    </row>
    <row r="1137" spans="1:11" ht="12.75" customHeight="1">
      <c r="A1137" s="28"/>
      <c r="B1137" s="29"/>
      <c r="C1137" s="30" t="str">
        <f t="array" ref="C1137">IFERROR(_xlfn.XLOOKUP(B1137,MObra[[#All],[DESCRIPCION]],MObra[[#All],[UN]],,0),"")</f>
        <v/>
      </c>
      <c r="D1137" s="31"/>
      <c r="E1137" s="32" t="str">
        <f>IFERROR(_xlfn.XLOOKUP($B1137,MObra[DESCRIPCION],MObra[VALOR UNIT],,0),"")</f>
        <v/>
      </c>
      <c r="F1137" s="33"/>
      <c r="G1137" s="34" t="str">
        <f>IFERROR(IF(F1137&gt;=0,D1137*E1137*(1+F1137/100),ABS(D1137*E1137/F1137)),"")</f>
        <v/>
      </c>
      <c r="H1137" s="43" t="str">
        <f>IFERROR(G1137*E1120,"")</f>
        <v/>
      </c>
    </row>
    <row r="1138" spans="1:11" ht="12.75" customHeight="1" thickBot="1">
      <c r="A1138" s="35"/>
      <c r="B1138" s="36"/>
      <c r="C1138" s="37" t="str">
        <f t="array" ref="C1138">IFERROR(_xlfn.XLOOKUP(B1138,MObra[[#All],[DESCRIPCION]],MObra[[#All],[UN]],,0),"")</f>
        <v/>
      </c>
      <c r="D1138" s="38"/>
      <c r="E1138" s="39" t="str">
        <f>IFERROR(_xlfn.XLOOKUP($B1138,MObra[DESCRIPCION],MObra[VALOR UNIT],,0),"")</f>
        <v/>
      </c>
      <c r="F1138" s="40"/>
      <c r="G1138" s="41" t="str">
        <f>IFERROR(IF(F1138&gt;=0,D1138*E1138*(1+F1138/100),ABS(D1138*E1138/F1138)),"")</f>
        <v/>
      </c>
      <c r="H1138" s="42" t="str">
        <f>IFERROR(G1138*E1120,"")</f>
        <v/>
      </c>
    </row>
    <row r="1139" spans="1:11" ht="12.75" customHeight="1" thickTop="1" thickBot="1"/>
    <row r="1140" spans="1:11" ht="12.75" customHeight="1" thickTop="1" thickBot="1">
      <c r="A1140" s="6" t="s">
        <v>711</v>
      </c>
      <c r="B1140" s="7" t="str">
        <f>VLOOKUP($A1140,Presupuesto!$A:$D,2,FALSE())</f>
        <v>Bajante PVC 4" aguas lluvias + accesorios</v>
      </c>
      <c r="C1140" s="8" t="str">
        <f>VLOOKUP($A1140,Presupuesto!$A:$D,3,FALSE())</f>
        <v>M</v>
      </c>
      <c r="D1140" s="9"/>
      <c r="E1140" s="10">
        <f>VLOOKUP($A1140,Presupuesto!$A:$D,4,FALSE())</f>
        <v>0</v>
      </c>
      <c r="F1140" s="11" t="s">
        <v>2589</v>
      </c>
      <c r="G1140" s="12">
        <f>SUM(G1142:G1158)/2</f>
        <v>45000.685244359098</v>
      </c>
      <c r="H1140" s="13">
        <f>ROUND(SUM(H1142:H1158),0)/2</f>
        <v>0</v>
      </c>
      <c r="I1140" s="10">
        <f>VLOOKUP(A1140,Presupuesto!$A:$F,6,0)</f>
        <v>0</v>
      </c>
      <c r="J1140" s="10">
        <f>+H1140-I1140</f>
        <v>0</v>
      </c>
      <c r="K1140" s="46">
        <f>+H1140-G1140*E1140</f>
        <v>0</v>
      </c>
    </row>
    <row r="1141" spans="1:11" ht="12.75" customHeight="1" thickTop="1">
      <c r="A1141" s="14"/>
      <c r="B1141" s="15" t="s">
        <v>2586</v>
      </c>
      <c r="C1141" s="15" t="s">
        <v>5</v>
      </c>
      <c r="D1141" s="16" t="s">
        <v>6</v>
      </c>
      <c r="E1141" s="17" t="s">
        <v>7</v>
      </c>
      <c r="F1141" s="18" t="s">
        <v>3728</v>
      </c>
      <c r="G1141" s="19" t="s">
        <v>3729</v>
      </c>
      <c r="H1141" s="20" t="s">
        <v>3797</v>
      </c>
    </row>
    <row r="1142" spans="1:11" ht="12.75" customHeight="1">
      <c r="A1142" s="21"/>
      <c r="B1142" s="22" t="s">
        <v>3730</v>
      </c>
      <c r="C1142" s="23"/>
      <c r="D1142" s="24"/>
      <c r="E1142" s="25"/>
      <c r="F1142" s="26"/>
      <c r="G1142" s="27">
        <f>SUM(G1143:G1147)</f>
        <v>38998.68</v>
      </c>
      <c r="H1142" s="27">
        <f>IFERROR(G1142*E1140,"")</f>
        <v>0</v>
      </c>
    </row>
    <row r="1143" spans="1:11" ht="12.75" customHeight="1">
      <c r="A1143" s="28"/>
      <c r="B1143" s="29" t="s">
        <v>3510</v>
      </c>
      <c r="C1143" s="30" t="str">
        <f>IFERROR(_xlfn.XLOOKUP(B1143,Insumo[DESCRIPCION],Insumo[UND],,0),"")</f>
        <v>M</v>
      </c>
      <c r="D1143" s="31">
        <v>1</v>
      </c>
      <c r="E1143" s="32">
        <f>IFERROR(_xlfn.XLOOKUP($B1143,Insumo[DESCRIPCION],Insumo[VALOR],,0),"")</f>
        <v>32902.800000000003</v>
      </c>
      <c r="F1143" s="33">
        <v>5</v>
      </c>
      <c r="G1143" s="34">
        <f>IFERROR(IF(F1143&gt;=0,D1143*E1143*(1+F1143/100),ABS(D1143*E1143/F1143)),"")</f>
        <v>34547.94</v>
      </c>
      <c r="H1143" s="43">
        <f>IFERROR(G1143*E1140,"")</f>
        <v>0</v>
      </c>
    </row>
    <row r="1144" spans="1:11" ht="12.75" customHeight="1">
      <c r="A1144" s="28"/>
      <c r="B1144" s="29" t="s">
        <v>2650</v>
      </c>
      <c r="C1144" s="30" t="str">
        <f>IFERROR(_xlfn.XLOOKUP(B1144,Insumo[DESCRIPCION],Insumo[UND],,0),"")</f>
        <v>Un</v>
      </c>
      <c r="D1144" s="31">
        <v>0.2</v>
      </c>
      <c r="E1144" s="32">
        <f>IFERROR(_xlfn.XLOOKUP($B1144,Insumo[DESCRIPCION],Insumo[VALOR],,0),"")</f>
        <v>22253.7</v>
      </c>
      <c r="F1144" s="33"/>
      <c r="G1144" s="34">
        <f>IFERROR(IF(F1144&gt;=0,D1144*E1144*(1+F1144/100),ABS(D1144*E1144/F1144)),"")</f>
        <v>4450.7400000000007</v>
      </c>
      <c r="H1144" s="43">
        <f>IFERROR(G1144*E1140,"")</f>
        <v>0</v>
      </c>
    </row>
    <row r="1145" spans="1:11" ht="12.75" customHeight="1">
      <c r="A1145" s="28"/>
      <c r="B1145" s="29"/>
      <c r="C1145" s="30" t="str">
        <f>IFERROR(_xlfn.XLOOKUP(B1145,Insumo[DESCRIPCION],Insumo[UND],,0),"")</f>
        <v/>
      </c>
      <c r="D1145" s="31"/>
      <c r="E1145" s="32" t="str">
        <f>IFERROR(_xlfn.XLOOKUP($B1145,Insumo[DESCRIPCION],Insumo[VALOR],,0),"")</f>
        <v/>
      </c>
      <c r="F1145" s="33"/>
      <c r="G1145" s="34" t="str">
        <f>IFERROR(IF(F1145&gt;=0,D1145*E1145*(1+F1145/100),ABS(D1145*E1145/F1145)),"")</f>
        <v/>
      </c>
      <c r="H1145" s="43" t="str">
        <f>IFERROR(G1145*E1140,"")</f>
        <v/>
      </c>
    </row>
    <row r="1146" spans="1:11" ht="12.75" customHeight="1">
      <c r="A1146" s="28"/>
      <c r="B1146" s="29"/>
      <c r="C1146" s="30" t="str">
        <f>IFERROR(_xlfn.XLOOKUP(B1146,Insumo[DESCRIPCION],Insumo[UND],,0),"")</f>
        <v/>
      </c>
      <c r="D1146" s="31"/>
      <c r="E1146" s="32" t="str">
        <f>IFERROR(_xlfn.XLOOKUP($B1146,Insumo[DESCRIPCION],Insumo[VALOR],,0),"")</f>
        <v/>
      </c>
      <c r="F1146" s="33"/>
      <c r="G1146" s="34" t="str">
        <f>IFERROR(IF(F1146&gt;=0,D1146*E1146*(1+F1146/100),ABS(D1146*E1146/F1146)),"")</f>
        <v/>
      </c>
      <c r="H1146" s="43" t="str">
        <f>IFERROR(G1146*E1140,"")</f>
        <v/>
      </c>
    </row>
    <row r="1147" spans="1:11" ht="12.75" customHeight="1">
      <c r="A1147" s="28"/>
      <c r="B1147" s="29"/>
      <c r="C1147" s="30" t="str">
        <f>IFERROR(_xlfn.XLOOKUP(B1147,Insumo[DESCRIPCION],Insumo[UND],,0),"")</f>
        <v/>
      </c>
      <c r="D1147" s="31"/>
      <c r="E1147" s="32" t="str">
        <f>IFERROR(_xlfn.XLOOKUP($B1147,Insumo[DESCRIPCION],Insumo[VALOR],,0),"")</f>
        <v/>
      </c>
      <c r="F1147" s="33"/>
      <c r="G1147" s="34" t="str">
        <f>IFERROR(IF(F1147&gt;=0,D1147*E1147*(1+F1147/100),ABS(D1147*E1147/F1147)),"")</f>
        <v/>
      </c>
      <c r="H1147" s="43" t="str">
        <f>IFERROR(G1147*E1140,"")</f>
        <v/>
      </c>
    </row>
    <row r="1148" spans="1:11" ht="12.75" customHeight="1">
      <c r="A1148" s="21"/>
      <c r="B1148" s="22" t="s">
        <v>3731</v>
      </c>
      <c r="C1148" s="23"/>
      <c r="D1148" s="24"/>
      <c r="E1148" s="25"/>
      <c r="F1148" s="26"/>
      <c r="G1148" s="27">
        <f>SUM(G1149:G1151)</f>
        <v>285.80977354090913</v>
      </c>
      <c r="H1148" s="44">
        <f>G1148*E1140</f>
        <v>0</v>
      </c>
    </row>
    <row r="1149" spans="1:11" ht="12.75" customHeight="1">
      <c r="A1149" s="28"/>
      <c r="B1149" s="29" t="s">
        <v>3626</v>
      </c>
      <c r="C1149" s="30" t="str">
        <f>IFERROR(_xlfn.XLOOKUP(B1149,Equipo[DESCRIPCION],Equipo[UND],,0),"")</f>
        <v>%MO</v>
      </c>
      <c r="D1149" s="31">
        <v>0.05</v>
      </c>
      <c r="E1149" s="32">
        <f>IF(C1149="%MO",G1155,IFERROR(_xlfn.XLOOKUP($B1149,Equipo[DESCRIPCION],Equipo[VALOR],,0),""))</f>
        <v>5716.1954708181829</v>
      </c>
      <c r="F1149" s="33"/>
      <c r="G1149" s="34">
        <f>IFERROR(IF(F1149&gt;=0,D1149*E1149*(1+F1149/100),ABS(D1149*E1149/F1149)),"")</f>
        <v>285.80977354090913</v>
      </c>
      <c r="H1149" s="43">
        <f>IFERROR(G1149*E1140,"")</f>
        <v>0</v>
      </c>
    </row>
    <row r="1150" spans="1:11" ht="12.75" customHeight="1">
      <c r="A1150" s="28"/>
      <c r="B1150" s="29"/>
      <c r="C1150" s="30" t="str">
        <f>IFERROR(_xlfn.XLOOKUP(B1150,Equipo[DESCRIPCION],Equipo[UND],,0),"")</f>
        <v/>
      </c>
      <c r="D1150" s="31"/>
      <c r="E1150" s="32" t="str">
        <f>IF(C1150="%MO",G1155,IFERROR(_xlfn.XLOOKUP($B1150,Equipo[DESCRIPCION],Equipo[VALOR],,0),""))</f>
        <v/>
      </c>
      <c r="F1150" s="33"/>
      <c r="G1150" s="34" t="str">
        <f>IFERROR(IF(F1150&gt;=0,D1150*E1150*(1+F1150/100),ABS(D1150*E1150/F1150)),"")</f>
        <v/>
      </c>
      <c r="H1150" s="43" t="str">
        <f>IFERROR(G1150*E1140,"")</f>
        <v/>
      </c>
    </row>
    <row r="1151" spans="1:11" ht="12.75" customHeight="1">
      <c r="A1151" s="28"/>
      <c r="B1151" s="29"/>
      <c r="C1151" s="30" t="str">
        <f>IFERROR(_xlfn.XLOOKUP(B1151,Equipo[DESCRIPCION],Equipo[UND],,0),"")</f>
        <v/>
      </c>
      <c r="D1151" s="31"/>
      <c r="E1151" s="32" t="str">
        <f>IF(C1151="%MO",G1155,IFERROR(_xlfn.XLOOKUP($B1151,Equipo[DESCRIPCION],Equipo[VALOR],,0),""))</f>
        <v/>
      </c>
      <c r="F1151" s="33"/>
      <c r="G1151" s="34" t="str">
        <f>IFERROR(IF(F1151&gt;=0,D1151*E1151*(1+F1151/100),ABS(D1151*E1151/F1151)),"")</f>
        <v/>
      </c>
      <c r="H1151" s="43" t="str">
        <f>IFERROR(G1151*E1140,"")</f>
        <v/>
      </c>
    </row>
    <row r="1152" spans="1:11" ht="12.75" customHeight="1">
      <c r="A1152" s="21"/>
      <c r="B1152" s="22" t="s">
        <v>2533</v>
      </c>
      <c r="C1152" s="23"/>
      <c r="D1152" s="24"/>
      <c r="E1152" s="25"/>
      <c r="F1152" s="26"/>
      <c r="G1152" s="27">
        <f>SUM(G1153:G1154)</f>
        <v>0</v>
      </c>
      <c r="H1152" s="44">
        <f>G1152*E1140</f>
        <v>0</v>
      </c>
    </row>
    <row r="1153" spans="1:11" ht="12.75" customHeight="1">
      <c r="A1153" s="28"/>
      <c r="B1153" s="29"/>
      <c r="C1153" s="30" t="str">
        <f>IFERROR(_xlfn.XLOOKUP(B1153,Transporte[DESCRIPCION],Transporte[UND],,0),"")</f>
        <v/>
      </c>
      <c r="D1153" s="31"/>
      <c r="E1153" s="32" t="str">
        <f>IFERROR(_xlfn.XLOOKUP($B1153,Transporte[DESCRIPCION],Transporte[VALOR],,0),"")</f>
        <v/>
      </c>
      <c r="F1153" s="33"/>
      <c r="G1153" s="34" t="str">
        <f>IFERROR(IF(F1153&gt;=0,D1153*E1153*(1+F1153/100),ABS(D1153*E1153/F1153)),"")</f>
        <v/>
      </c>
      <c r="H1153" s="43" t="str">
        <f>IFERROR(G1153*E1140,"")</f>
        <v/>
      </c>
    </row>
    <row r="1154" spans="1:11" ht="12.75" customHeight="1">
      <c r="A1154" s="28"/>
      <c r="B1154" s="29"/>
      <c r="C1154" s="30" t="str">
        <f>IFERROR(_xlfn.XLOOKUP(B1154,Transporte[DESCRIPCION],Transporte[UND],,0),"")</f>
        <v/>
      </c>
      <c r="D1154" s="31"/>
      <c r="E1154" s="32" t="str">
        <f>IFERROR(_xlfn.XLOOKUP($B1154,Transporte[DESCRIPCION],Transporte[VALOR],,0),"")</f>
        <v/>
      </c>
      <c r="F1154" s="33"/>
      <c r="G1154" s="34" t="str">
        <f>IFERROR(IF(F1154&gt;=0,D1154*E1154*(1+F1154/100),ABS(D1154*E1154/F1154)),"")</f>
        <v/>
      </c>
      <c r="H1154" s="43" t="str">
        <f>IFERROR(G1154*E1140,"")</f>
        <v/>
      </c>
    </row>
    <row r="1155" spans="1:11" ht="12.75" customHeight="1">
      <c r="A1155" s="21"/>
      <c r="B1155" s="22" t="s">
        <v>3732</v>
      </c>
      <c r="C1155" s="23"/>
      <c r="D1155" s="24"/>
      <c r="E1155" s="25"/>
      <c r="F1155" s="26"/>
      <c r="G1155" s="27">
        <f>SUM(G1156:G1158)</f>
        <v>5716.1954708181829</v>
      </c>
      <c r="H1155" s="44">
        <f>G1155*E1140</f>
        <v>0</v>
      </c>
    </row>
    <row r="1156" spans="1:11" ht="12.75" customHeight="1">
      <c r="A1156" s="28"/>
      <c r="B1156" s="29" t="s">
        <v>3710</v>
      </c>
      <c r="C1156" s="30" t="str">
        <f>IFERROR(_xlfn.XLOOKUP(B1156,MObra[DESCRIPCION],MObra[UN],,0),"")</f>
        <v>día</v>
      </c>
      <c r="D1156" s="31">
        <v>1</v>
      </c>
      <c r="E1156" s="32">
        <f>IFERROR(_xlfn.XLOOKUP($B1156,MObra[DESCRIPCION],MObra[VALOR UNIT],,0),"")</f>
        <v>314390.75089500006</v>
      </c>
      <c r="F1156" s="33">
        <v>-55</v>
      </c>
      <c r="G1156" s="34">
        <f>IFERROR(IF(F1156&gt;=0,D1156*E1156*(1+F1156/100),ABS(D1156*E1156/F1156)),"")</f>
        <v>5716.1954708181829</v>
      </c>
      <c r="H1156" s="43">
        <f>IFERROR(G1156*E1140,"")</f>
        <v>0</v>
      </c>
    </row>
    <row r="1157" spans="1:11" ht="12.75" customHeight="1">
      <c r="A1157" s="28"/>
      <c r="B1157" s="29"/>
      <c r="C1157" s="30" t="str">
        <f t="array" ref="C1157">IFERROR(_xlfn.XLOOKUP(B1157,MObra[[#All],[DESCRIPCION]],MObra[[#All],[UN]],,0),"")</f>
        <v/>
      </c>
      <c r="D1157" s="31"/>
      <c r="E1157" s="32" t="str">
        <f>IFERROR(_xlfn.XLOOKUP($B1157,MObra[DESCRIPCION],MObra[VALOR UNIT],,0),"")</f>
        <v/>
      </c>
      <c r="F1157" s="33"/>
      <c r="G1157" s="34" t="str">
        <f>IFERROR(IF(F1157&gt;=0,D1157*E1157*(1+F1157/100),ABS(D1157*E1157/F1157)),"")</f>
        <v/>
      </c>
      <c r="H1157" s="43" t="str">
        <f>IFERROR(G1157*E1140,"")</f>
        <v/>
      </c>
    </row>
    <row r="1158" spans="1:11" ht="12.75" customHeight="1" thickBot="1">
      <c r="A1158" s="35"/>
      <c r="B1158" s="36"/>
      <c r="C1158" s="37" t="str">
        <f t="array" ref="C1158">IFERROR(_xlfn.XLOOKUP(B1158,MObra[[#All],[DESCRIPCION]],MObra[[#All],[UN]],,0),"")</f>
        <v/>
      </c>
      <c r="D1158" s="38"/>
      <c r="E1158" s="39" t="str">
        <f>IFERROR(_xlfn.XLOOKUP($B1158,MObra[DESCRIPCION],MObra[VALOR UNIT],,0),"")</f>
        <v/>
      </c>
      <c r="F1158" s="40"/>
      <c r="G1158" s="41" t="str">
        <f>IFERROR(IF(F1158&gt;=0,D1158*E1158*(1+F1158/100),ABS(D1158*E1158/F1158)),"")</f>
        <v/>
      </c>
      <c r="H1158" s="42" t="str">
        <f>IFERROR(G1158*E1140,"")</f>
        <v/>
      </c>
    </row>
    <row r="1159" spans="1:11" ht="12.75" customHeight="1" thickTop="1" thickBot="1"/>
    <row r="1160" spans="1:11" ht="12.75" customHeight="1" thickTop="1" thickBot="1">
      <c r="A1160" s="6" t="s">
        <v>713</v>
      </c>
      <c r="B1160" s="7" t="str">
        <f>VLOOKUP($A1160,Presupuesto!$A:$D,2,FALSE())</f>
        <v>Bajante PVC aguas lluvias cuadrado</v>
      </c>
      <c r="C1160" s="8" t="str">
        <f>VLOOKUP($A1160,Presupuesto!$A:$D,3,FALSE())</f>
        <v>M</v>
      </c>
      <c r="D1160" s="9"/>
      <c r="E1160" s="10">
        <f>VLOOKUP($A1160,Presupuesto!$A:$D,4,FALSE())</f>
        <v>0</v>
      </c>
      <c r="F1160" s="11" t="s">
        <v>2589</v>
      </c>
      <c r="G1160" s="12">
        <f>SUM(G1162:G1178)/2</f>
        <v>31397.115768795004</v>
      </c>
      <c r="H1160" s="13">
        <f>ROUND(SUM(H1162:H1178),0)/2</f>
        <v>0</v>
      </c>
      <c r="I1160" s="10">
        <f>VLOOKUP(A1160,Presupuesto!$A:$F,6,0)</f>
        <v>0</v>
      </c>
      <c r="J1160" s="10">
        <f>+H1160-I1160</f>
        <v>0</v>
      </c>
      <c r="K1160" s="46">
        <f>+H1160-G1160*E1160</f>
        <v>0</v>
      </c>
    </row>
    <row r="1161" spans="1:11" ht="12.75" customHeight="1" thickTop="1">
      <c r="A1161" s="14"/>
      <c r="B1161" s="15" t="s">
        <v>2586</v>
      </c>
      <c r="C1161" s="15" t="s">
        <v>5</v>
      </c>
      <c r="D1161" s="16" t="s">
        <v>6</v>
      </c>
      <c r="E1161" s="17" t="s">
        <v>7</v>
      </c>
      <c r="F1161" s="18" t="s">
        <v>3728</v>
      </c>
      <c r="G1161" s="19" t="s">
        <v>3729</v>
      </c>
      <c r="H1161" s="20" t="s">
        <v>3797</v>
      </c>
    </row>
    <row r="1162" spans="1:11" ht="12.75" customHeight="1">
      <c r="A1162" s="21"/>
      <c r="B1162" s="22" t="s">
        <v>3730</v>
      </c>
      <c r="C1162" s="23"/>
      <c r="D1162" s="24"/>
      <c r="E1162" s="25"/>
      <c r="F1162" s="26"/>
      <c r="G1162" s="27">
        <f>SUM(G1163:G1167)</f>
        <v>24794.91</v>
      </c>
      <c r="H1162" s="27">
        <f>IFERROR(G1162*E1160,"")</f>
        <v>0</v>
      </c>
    </row>
    <row r="1163" spans="1:11" ht="12.75" customHeight="1">
      <c r="A1163" s="28"/>
      <c r="B1163" s="29" t="s">
        <v>3470</v>
      </c>
      <c r="C1163" s="30" t="str">
        <f>IFERROR(_xlfn.XLOOKUP(B1163,Insumo[DESCRIPCION],Insumo[UND],,0),"")</f>
        <v>M</v>
      </c>
      <c r="D1163" s="31">
        <v>1</v>
      </c>
      <c r="E1163" s="32">
        <f>IFERROR(_xlfn.XLOOKUP($B1163,Insumo[DESCRIPCION],Insumo[VALOR],,0),"")</f>
        <v>21000</v>
      </c>
      <c r="F1163" s="33">
        <v>5</v>
      </c>
      <c r="G1163" s="34">
        <f>IFERROR(IF(F1163&gt;=0,D1163*E1163*(1+F1163/100),ABS(D1163*E1163/F1163)),"")</f>
        <v>22050</v>
      </c>
      <c r="H1163" s="43">
        <f>IFERROR(G1163*E1160,"")</f>
        <v>0</v>
      </c>
    </row>
    <row r="1164" spans="1:11" ht="12.75" customHeight="1">
      <c r="A1164" s="28"/>
      <c r="B1164" s="29" t="s">
        <v>2652</v>
      </c>
      <c r="C1164" s="30" t="str">
        <f>IFERROR(_xlfn.XLOOKUP(B1164,Insumo[DESCRIPCION],Insumo[UND],,0),"")</f>
        <v>Un</v>
      </c>
      <c r="D1164" s="31">
        <v>0.3</v>
      </c>
      <c r="E1164" s="32">
        <f>IFERROR(_xlfn.XLOOKUP($B1164,Insumo[DESCRIPCION],Insumo[VALOR],,0),"")</f>
        <v>9149.7000000000007</v>
      </c>
      <c r="F1164" s="33"/>
      <c r="G1164" s="34">
        <f>IFERROR(IF(F1164&gt;=0,D1164*E1164*(1+F1164/100),ABS(D1164*E1164/F1164)),"")</f>
        <v>2744.9100000000003</v>
      </c>
      <c r="H1164" s="43">
        <f>IFERROR(G1164*E1160,"")</f>
        <v>0</v>
      </c>
    </row>
    <row r="1165" spans="1:11" ht="12.75" customHeight="1">
      <c r="A1165" s="28"/>
      <c r="B1165" s="29"/>
      <c r="C1165" s="30" t="str">
        <f>IFERROR(_xlfn.XLOOKUP(B1165,Insumo[DESCRIPCION],Insumo[UND],,0),"")</f>
        <v/>
      </c>
      <c r="D1165" s="31"/>
      <c r="E1165" s="32" t="str">
        <f>IFERROR(_xlfn.XLOOKUP($B1165,Insumo[DESCRIPCION],Insumo[VALOR],,0),"")</f>
        <v/>
      </c>
      <c r="F1165" s="33"/>
      <c r="G1165" s="34" t="str">
        <f>IFERROR(IF(F1165&gt;=0,D1165*E1165*(1+F1165/100),ABS(D1165*E1165/F1165)),"")</f>
        <v/>
      </c>
      <c r="H1165" s="43" t="str">
        <f>IFERROR(G1165*E1160,"")</f>
        <v/>
      </c>
    </row>
    <row r="1166" spans="1:11" ht="12.75" customHeight="1">
      <c r="A1166" s="28"/>
      <c r="B1166" s="29"/>
      <c r="C1166" s="30" t="str">
        <f>IFERROR(_xlfn.XLOOKUP(B1166,Insumo[DESCRIPCION],Insumo[UND],,0),"")</f>
        <v/>
      </c>
      <c r="D1166" s="31"/>
      <c r="E1166" s="32" t="str">
        <f>IFERROR(_xlfn.XLOOKUP($B1166,Insumo[DESCRIPCION],Insumo[VALOR],,0),"")</f>
        <v/>
      </c>
      <c r="F1166" s="33"/>
      <c r="G1166" s="34" t="str">
        <f>IFERROR(IF(F1166&gt;=0,D1166*E1166*(1+F1166/100),ABS(D1166*E1166/F1166)),"")</f>
        <v/>
      </c>
      <c r="H1166" s="43" t="str">
        <f>IFERROR(G1166*E1160,"")</f>
        <v/>
      </c>
    </row>
    <row r="1167" spans="1:11" ht="12.75" customHeight="1">
      <c r="A1167" s="28"/>
      <c r="B1167" s="29"/>
      <c r="C1167" s="30" t="str">
        <f>IFERROR(_xlfn.XLOOKUP(B1167,Insumo[DESCRIPCION],Insumo[UND],,0),"")</f>
        <v/>
      </c>
      <c r="D1167" s="31"/>
      <c r="E1167" s="32" t="str">
        <f>IFERROR(_xlfn.XLOOKUP($B1167,Insumo[DESCRIPCION],Insumo[VALOR],,0),"")</f>
        <v/>
      </c>
      <c r="F1167" s="33"/>
      <c r="G1167" s="34" t="str">
        <f>IFERROR(IF(F1167&gt;=0,D1167*E1167*(1+F1167/100),ABS(D1167*E1167/F1167)),"")</f>
        <v/>
      </c>
      <c r="H1167" s="43" t="str">
        <f>IFERROR(G1167*E1160,"")</f>
        <v/>
      </c>
    </row>
    <row r="1168" spans="1:11" ht="12.75" customHeight="1">
      <c r="A1168" s="21"/>
      <c r="B1168" s="22" t="s">
        <v>3731</v>
      </c>
      <c r="C1168" s="23"/>
      <c r="D1168" s="24"/>
      <c r="E1168" s="25"/>
      <c r="F1168" s="26"/>
      <c r="G1168" s="27">
        <f>SUM(G1169:G1171)</f>
        <v>314.39075089500011</v>
      </c>
      <c r="H1168" s="44">
        <f>G1168*E1160</f>
        <v>0</v>
      </c>
    </row>
    <row r="1169" spans="1:11" ht="12.75" customHeight="1">
      <c r="A1169" s="28"/>
      <c r="B1169" s="29" t="s">
        <v>3626</v>
      </c>
      <c r="C1169" s="30" t="str">
        <f>IFERROR(_xlfn.XLOOKUP(B1169,Equipo[DESCRIPCION],Equipo[UND],,0),"")</f>
        <v>%MO</v>
      </c>
      <c r="D1169" s="31">
        <v>0.05</v>
      </c>
      <c r="E1169" s="32">
        <f>IF(C1169="%MO",G1175,IFERROR(_xlfn.XLOOKUP($B1169,Equipo[DESCRIPCION],Equipo[VALOR],,0),""))</f>
        <v>6287.8150179000013</v>
      </c>
      <c r="F1169" s="33"/>
      <c r="G1169" s="34">
        <f>IFERROR(IF(F1169&gt;=0,D1169*E1169*(1+F1169/100),ABS(D1169*E1169/F1169)),"")</f>
        <v>314.39075089500011</v>
      </c>
      <c r="H1169" s="43">
        <f>IFERROR(G1169*E1160,"")</f>
        <v>0</v>
      </c>
    </row>
    <row r="1170" spans="1:11" ht="12.75" customHeight="1">
      <c r="A1170" s="28"/>
      <c r="B1170" s="29"/>
      <c r="C1170" s="30" t="str">
        <f>IFERROR(_xlfn.XLOOKUP(B1170,Equipo[DESCRIPCION],Equipo[UND],,0),"")</f>
        <v/>
      </c>
      <c r="D1170" s="31"/>
      <c r="E1170" s="32" t="str">
        <f>IF(C1170="%MO",G1175,IFERROR(_xlfn.XLOOKUP($B1170,Equipo[DESCRIPCION],Equipo[VALOR],,0),""))</f>
        <v/>
      </c>
      <c r="F1170" s="33"/>
      <c r="G1170" s="34" t="str">
        <f>IFERROR(IF(F1170&gt;=0,D1170*E1170*(1+F1170/100),ABS(D1170*E1170/F1170)),"")</f>
        <v/>
      </c>
      <c r="H1170" s="43" t="str">
        <f>IFERROR(G1170*E1160,"")</f>
        <v/>
      </c>
    </row>
    <row r="1171" spans="1:11" ht="12.75" customHeight="1">
      <c r="A1171" s="28"/>
      <c r="B1171" s="29"/>
      <c r="C1171" s="30" t="str">
        <f>IFERROR(_xlfn.XLOOKUP(B1171,Equipo[DESCRIPCION],Equipo[UND],,0),"")</f>
        <v/>
      </c>
      <c r="D1171" s="31"/>
      <c r="E1171" s="32" t="str">
        <f>IF(C1171="%MO",G1175,IFERROR(_xlfn.XLOOKUP($B1171,Equipo[DESCRIPCION],Equipo[VALOR],,0),""))</f>
        <v/>
      </c>
      <c r="F1171" s="33"/>
      <c r="G1171" s="34" t="str">
        <f>IFERROR(IF(F1171&gt;=0,D1171*E1171*(1+F1171/100),ABS(D1171*E1171/F1171)),"")</f>
        <v/>
      </c>
      <c r="H1171" s="43" t="str">
        <f>IFERROR(G1171*E1160,"")</f>
        <v/>
      </c>
    </row>
    <row r="1172" spans="1:11" ht="12.75" customHeight="1">
      <c r="A1172" s="21"/>
      <c r="B1172" s="22" t="s">
        <v>2533</v>
      </c>
      <c r="C1172" s="23"/>
      <c r="D1172" s="24"/>
      <c r="E1172" s="25"/>
      <c r="F1172" s="26"/>
      <c r="G1172" s="27">
        <f>SUM(G1173:G1174)</f>
        <v>0</v>
      </c>
      <c r="H1172" s="44">
        <f>G1172*E1160</f>
        <v>0</v>
      </c>
    </row>
    <row r="1173" spans="1:11" ht="12.75" customHeight="1">
      <c r="A1173" s="28"/>
      <c r="B1173" s="29"/>
      <c r="C1173" s="30" t="str">
        <f>IFERROR(_xlfn.XLOOKUP(B1173,Transporte[DESCRIPCION],Transporte[UND],,0),"")</f>
        <v/>
      </c>
      <c r="D1173" s="31"/>
      <c r="E1173" s="32" t="str">
        <f>IFERROR(_xlfn.XLOOKUP($B1173,Transporte[DESCRIPCION],Transporte[VALOR],,0),"")</f>
        <v/>
      </c>
      <c r="F1173" s="33"/>
      <c r="G1173" s="34" t="str">
        <f>IFERROR(IF(F1173&gt;=0,D1173*E1173*(1+F1173/100),ABS(D1173*E1173/F1173)),"")</f>
        <v/>
      </c>
      <c r="H1173" s="43" t="str">
        <f>IFERROR(G1173*E1160,"")</f>
        <v/>
      </c>
    </row>
    <row r="1174" spans="1:11" ht="12.75" customHeight="1">
      <c r="A1174" s="28"/>
      <c r="B1174" s="29"/>
      <c r="C1174" s="30" t="str">
        <f>IFERROR(_xlfn.XLOOKUP(B1174,Transporte[DESCRIPCION],Transporte[UND],,0),"")</f>
        <v/>
      </c>
      <c r="D1174" s="31"/>
      <c r="E1174" s="32" t="str">
        <f>IFERROR(_xlfn.XLOOKUP($B1174,Transporte[DESCRIPCION],Transporte[VALOR],,0),"")</f>
        <v/>
      </c>
      <c r="F1174" s="33"/>
      <c r="G1174" s="34" t="str">
        <f>IFERROR(IF(F1174&gt;=0,D1174*E1174*(1+F1174/100),ABS(D1174*E1174/F1174)),"")</f>
        <v/>
      </c>
      <c r="H1174" s="43" t="str">
        <f>IFERROR(G1174*E1160,"")</f>
        <v/>
      </c>
    </row>
    <row r="1175" spans="1:11" ht="12.75" customHeight="1">
      <c r="A1175" s="21"/>
      <c r="B1175" s="22" t="s">
        <v>3732</v>
      </c>
      <c r="C1175" s="23"/>
      <c r="D1175" s="24"/>
      <c r="E1175" s="25"/>
      <c r="F1175" s="26"/>
      <c r="G1175" s="27">
        <f>SUM(G1176:G1178)</f>
        <v>6287.8150179000013</v>
      </c>
      <c r="H1175" s="44">
        <f>G1175*E1160</f>
        <v>0</v>
      </c>
    </row>
    <row r="1176" spans="1:11" ht="12.75" customHeight="1">
      <c r="A1176" s="28"/>
      <c r="B1176" s="29" t="s">
        <v>3710</v>
      </c>
      <c r="C1176" s="30" t="str">
        <f>IFERROR(_xlfn.XLOOKUP(B1176,MObra[DESCRIPCION],MObra[UN],,0),"")</f>
        <v>día</v>
      </c>
      <c r="D1176" s="31">
        <v>1</v>
      </c>
      <c r="E1176" s="32">
        <f>IFERROR(_xlfn.XLOOKUP($B1176,MObra[DESCRIPCION],MObra[VALOR UNIT],,0),"")</f>
        <v>314390.75089500006</v>
      </c>
      <c r="F1176" s="33">
        <v>-50</v>
      </c>
      <c r="G1176" s="34">
        <f>IFERROR(IF(F1176&gt;=0,D1176*E1176*(1+F1176/100),ABS(D1176*E1176/F1176)),"")</f>
        <v>6287.8150179000013</v>
      </c>
      <c r="H1176" s="43">
        <f>IFERROR(G1176*E1160,"")</f>
        <v>0</v>
      </c>
    </row>
    <row r="1177" spans="1:11" ht="12.75" customHeight="1">
      <c r="A1177" s="28"/>
      <c r="B1177" s="29"/>
      <c r="C1177" s="30" t="str">
        <f t="array" ref="C1177">IFERROR(_xlfn.XLOOKUP(B1177,MObra[[#All],[DESCRIPCION]],MObra[[#All],[UN]],,0),"")</f>
        <v/>
      </c>
      <c r="D1177" s="31"/>
      <c r="E1177" s="32" t="str">
        <f>IFERROR(_xlfn.XLOOKUP($B1177,MObra[DESCRIPCION],MObra[VALOR UNIT],,0),"")</f>
        <v/>
      </c>
      <c r="F1177" s="33"/>
      <c r="G1177" s="34" t="str">
        <f>IFERROR(IF(F1177&gt;=0,D1177*E1177*(1+F1177/100),ABS(D1177*E1177/F1177)),"")</f>
        <v/>
      </c>
      <c r="H1177" s="43" t="str">
        <f>IFERROR(G1177*E1160,"")</f>
        <v/>
      </c>
    </row>
    <row r="1178" spans="1:11" ht="12.75" customHeight="1" thickBot="1">
      <c r="A1178" s="35"/>
      <c r="B1178" s="36"/>
      <c r="C1178" s="37" t="str">
        <f t="array" ref="C1178">IFERROR(_xlfn.XLOOKUP(B1178,MObra[[#All],[DESCRIPCION]],MObra[[#All],[UN]],,0),"")</f>
        <v/>
      </c>
      <c r="D1178" s="38"/>
      <c r="E1178" s="39" t="str">
        <f>IFERROR(_xlfn.XLOOKUP($B1178,MObra[DESCRIPCION],MObra[VALOR UNIT],,0),"")</f>
        <v/>
      </c>
      <c r="F1178" s="40"/>
      <c r="G1178" s="41" t="str">
        <f>IFERROR(IF(F1178&gt;=0,D1178*E1178*(1+F1178/100),ABS(D1178*E1178/F1178)),"")</f>
        <v/>
      </c>
      <c r="H1178" s="42" t="str">
        <f>IFERROR(G1178*E1160,"")</f>
        <v/>
      </c>
    </row>
    <row r="1179" spans="1:11" ht="12.75" customHeight="1" thickTop="1" thickBot="1"/>
    <row r="1180" spans="1:11" ht="12.75" customHeight="1" thickTop="1" thickBot="1">
      <c r="A1180" s="6" t="s">
        <v>715</v>
      </c>
      <c r="B1180" s="7" t="str">
        <f>VLOOKUP($A1180,Presupuesto!$A:$D,2,FALSE())</f>
        <v>Cámaras de aire</v>
      </c>
      <c r="C1180" s="8" t="str">
        <f>VLOOKUP($A1180,Presupuesto!$A:$D,3,FALSE())</f>
        <v>Un</v>
      </c>
      <c r="D1180" s="9"/>
      <c r="E1180" s="10">
        <f>VLOOKUP($A1180,Presupuesto!$A:$D,4,FALSE())</f>
        <v>0</v>
      </c>
      <c r="F1180" s="11" t="s">
        <v>2589</v>
      </c>
      <c r="G1180" s="12">
        <f>SUM(G1182:G1198)/2</f>
        <v>19922.643763425003</v>
      </c>
      <c r="H1180" s="13">
        <f>ROUND(SUM(H1182:H1198),0)/2</f>
        <v>0</v>
      </c>
      <c r="I1180" s="10">
        <f>VLOOKUP(A1180,Presupuesto!$A:$F,6,0)</f>
        <v>0</v>
      </c>
      <c r="J1180" s="10">
        <f>+H1180-I1180</f>
        <v>0</v>
      </c>
      <c r="K1180" s="46">
        <f>+H1180-G1180*E1180</f>
        <v>0</v>
      </c>
    </row>
    <row r="1181" spans="1:11" ht="12.75" customHeight="1" thickTop="1">
      <c r="A1181" s="14"/>
      <c r="B1181" s="15" t="s">
        <v>2586</v>
      </c>
      <c r="C1181" s="15" t="s">
        <v>5</v>
      </c>
      <c r="D1181" s="16" t="s">
        <v>6</v>
      </c>
      <c r="E1181" s="17" t="s">
        <v>7</v>
      </c>
      <c r="F1181" s="18" t="s">
        <v>3728</v>
      </c>
      <c r="G1181" s="19" t="s">
        <v>3729</v>
      </c>
      <c r="H1181" s="20" t="s">
        <v>3797</v>
      </c>
    </row>
    <row r="1182" spans="1:11" ht="12.75" customHeight="1">
      <c r="A1182" s="21"/>
      <c r="B1182" s="22" t="s">
        <v>3730</v>
      </c>
      <c r="C1182" s="23"/>
      <c r="D1182" s="24"/>
      <c r="E1182" s="25"/>
      <c r="F1182" s="26"/>
      <c r="G1182" s="27">
        <f>SUM(G1183:G1187)</f>
        <v>15206.782500000003</v>
      </c>
      <c r="H1182" s="27">
        <f>IFERROR(G1182*E1180,"")</f>
        <v>0</v>
      </c>
    </row>
    <row r="1183" spans="1:11" ht="12.75" customHeight="1">
      <c r="A1183" s="28"/>
      <c r="B1183" s="29" t="s">
        <v>3508</v>
      </c>
      <c r="C1183" s="30" t="str">
        <f>IFERROR(_xlfn.XLOOKUP(B1183,Insumo[DESCRIPCION],Insumo[UND],,0),"")</f>
        <v>M</v>
      </c>
      <c r="D1183" s="31">
        <v>1</v>
      </c>
      <c r="E1183" s="32">
        <f>IFERROR(_xlfn.XLOOKUP($B1183,Insumo[DESCRIPCION],Insumo[VALOR],,0),"")</f>
        <v>14482.650000000001</v>
      </c>
      <c r="F1183" s="33">
        <v>5</v>
      </c>
      <c r="G1183" s="34">
        <f>IFERROR(IF(F1183&gt;=0,D1183*E1183*(1+F1183/100),ABS(D1183*E1183/F1183)),"")</f>
        <v>15206.782500000003</v>
      </c>
      <c r="H1183" s="43">
        <f>IFERROR(G1183*E1180,"")</f>
        <v>0</v>
      </c>
    </row>
    <row r="1184" spans="1:11" ht="12.75" customHeight="1">
      <c r="A1184" s="28"/>
      <c r="B1184" s="29"/>
      <c r="C1184" s="30" t="str">
        <f>IFERROR(_xlfn.XLOOKUP(B1184,Insumo[DESCRIPCION],Insumo[UND],,0),"")</f>
        <v/>
      </c>
      <c r="D1184" s="31"/>
      <c r="E1184" s="32" t="str">
        <f>IFERROR(_xlfn.XLOOKUP($B1184,Insumo[DESCRIPCION],Insumo[VALOR],,0),"")</f>
        <v/>
      </c>
      <c r="F1184" s="33"/>
      <c r="G1184" s="34" t="str">
        <f>IFERROR(IF(F1184&gt;=0,D1184*E1184*(1+F1184/100),ABS(D1184*E1184/F1184)),"")</f>
        <v/>
      </c>
      <c r="H1184" s="43" t="str">
        <f>IFERROR(G1184*E1180,"")</f>
        <v/>
      </c>
    </row>
    <row r="1185" spans="1:11" ht="12.75" customHeight="1">
      <c r="A1185" s="28"/>
      <c r="B1185" s="29"/>
      <c r="C1185" s="30" t="str">
        <f>IFERROR(_xlfn.XLOOKUP(B1185,Insumo[DESCRIPCION],Insumo[UND],,0),"")</f>
        <v/>
      </c>
      <c r="D1185" s="31"/>
      <c r="E1185" s="32" t="str">
        <f>IFERROR(_xlfn.XLOOKUP($B1185,Insumo[DESCRIPCION],Insumo[VALOR],,0),"")</f>
        <v/>
      </c>
      <c r="F1185" s="33"/>
      <c r="G1185" s="34" t="str">
        <f>IFERROR(IF(F1185&gt;=0,D1185*E1185*(1+F1185/100),ABS(D1185*E1185/F1185)),"")</f>
        <v/>
      </c>
      <c r="H1185" s="43" t="str">
        <f>IFERROR(G1185*E1180,"")</f>
        <v/>
      </c>
    </row>
    <row r="1186" spans="1:11" ht="12.75" customHeight="1">
      <c r="A1186" s="28"/>
      <c r="B1186" s="29"/>
      <c r="C1186" s="30" t="str">
        <f>IFERROR(_xlfn.XLOOKUP(B1186,Insumo[DESCRIPCION],Insumo[UND],,0),"")</f>
        <v/>
      </c>
      <c r="D1186" s="31"/>
      <c r="E1186" s="32" t="str">
        <f>IFERROR(_xlfn.XLOOKUP($B1186,Insumo[DESCRIPCION],Insumo[VALOR],,0),"")</f>
        <v/>
      </c>
      <c r="F1186" s="33"/>
      <c r="G1186" s="34" t="str">
        <f>IFERROR(IF(F1186&gt;=0,D1186*E1186*(1+F1186/100),ABS(D1186*E1186/F1186)),"")</f>
        <v/>
      </c>
      <c r="H1186" s="43" t="str">
        <f>IFERROR(G1186*E1180,"")</f>
        <v/>
      </c>
    </row>
    <row r="1187" spans="1:11" ht="12.75" customHeight="1">
      <c r="A1187" s="28"/>
      <c r="B1187" s="29"/>
      <c r="C1187" s="30" t="str">
        <f>IFERROR(_xlfn.XLOOKUP(B1187,Insumo[DESCRIPCION],Insumo[UND],,0),"")</f>
        <v/>
      </c>
      <c r="D1187" s="31"/>
      <c r="E1187" s="32" t="str">
        <f>IFERROR(_xlfn.XLOOKUP($B1187,Insumo[DESCRIPCION],Insumo[VALOR],,0),"")</f>
        <v/>
      </c>
      <c r="F1187" s="33"/>
      <c r="G1187" s="34" t="str">
        <f>IFERROR(IF(F1187&gt;=0,D1187*E1187*(1+F1187/100),ABS(D1187*E1187/F1187)),"")</f>
        <v/>
      </c>
      <c r="H1187" s="43" t="str">
        <f>IFERROR(G1187*E1180,"")</f>
        <v/>
      </c>
    </row>
    <row r="1188" spans="1:11" ht="12.75" customHeight="1">
      <c r="A1188" s="21"/>
      <c r="B1188" s="22" t="s">
        <v>3731</v>
      </c>
      <c r="C1188" s="23"/>
      <c r="D1188" s="24"/>
      <c r="E1188" s="25"/>
      <c r="F1188" s="26"/>
      <c r="G1188" s="27">
        <f>SUM(G1189:G1191)</f>
        <v>224.56482206785719</v>
      </c>
      <c r="H1188" s="44">
        <f>G1188*E1180</f>
        <v>0</v>
      </c>
    </row>
    <row r="1189" spans="1:11" ht="12.75" customHeight="1">
      <c r="A1189" s="28"/>
      <c r="B1189" s="29" t="s">
        <v>3626</v>
      </c>
      <c r="C1189" s="30" t="str">
        <f>IFERROR(_xlfn.XLOOKUP(B1189,Equipo[DESCRIPCION],Equipo[UND],,0),"")</f>
        <v>%MO</v>
      </c>
      <c r="D1189" s="31">
        <v>0.05</v>
      </c>
      <c r="E1189" s="32">
        <f>IF(C1189="%MO",G1195,IFERROR(_xlfn.XLOOKUP($B1189,Equipo[DESCRIPCION],Equipo[VALOR],,0),""))</f>
        <v>4491.2964413571435</v>
      </c>
      <c r="F1189" s="33"/>
      <c r="G1189" s="34">
        <f>IFERROR(IF(F1189&gt;=0,D1189*E1189*(1+F1189/100),ABS(D1189*E1189/F1189)),"")</f>
        <v>224.56482206785719</v>
      </c>
      <c r="H1189" s="43">
        <f>IFERROR(G1189*E1180,"")</f>
        <v>0</v>
      </c>
    </row>
    <row r="1190" spans="1:11" ht="12.75" customHeight="1">
      <c r="A1190" s="28"/>
      <c r="B1190" s="29"/>
      <c r="C1190" s="30" t="str">
        <f>IFERROR(_xlfn.XLOOKUP(B1190,Equipo[DESCRIPCION],Equipo[UND],,0),"")</f>
        <v/>
      </c>
      <c r="D1190" s="31"/>
      <c r="E1190" s="32" t="str">
        <f>IF(C1190="%MO",G1195,IFERROR(_xlfn.XLOOKUP($B1190,Equipo[DESCRIPCION],Equipo[VALOR],,0),""))</f>
        <v/>
      </c>
      <c r="F1190" s="33"/>
      <c r="G1190" s="34" t="str">
        <f>IFERROR(IF(F1190&gt;=0,D1190*E1190*(1+F1190/100),ABS(D1190*E1190/F1190)),"")</f>
        <v/>
      </c>
      <c r="H1190" s="43" t="str">
        <f>IFERROR(G1190*E1180,"")</f>
        <v/>
      </c>
    </row>
    <row r="1191" spans="1:11" ht="12.75" customHeight="1">
      <c r="A1191" s="28"/>
      <c r="B1191" s="29"/>
      <c r="C1191" s="30" t="str">
        <f>IFERROR(_xlfn.XLOOKUP(B1191,Equipo[DESCRIPCION],Equipo[UND],,0),"")</f>
        <v/>
      </c>
      <c r="D1191" s="31"/>
      <c r="E1191" s="32" t="str">
        <f>IF(C1191="%MO",G1195,IFERROR(_xlfn.XLOOKUP($B1191,Equipo[DESCRIPCION],Equipo[VALOR],,0),""))</f>
        <v/>
      </c>
      <c r="F1191" s="33"/>
      <c r="G1191" s="34" t="str">
        <f>IFERROR(IF(F1191&gt;=0,D1191*E1191*(1+F1191/100),ABS(D1191*E1191/F1191)),"")</f>
        <v/>
      </c>
      <c r="H1191" s="43" t="str">
        <f>IFERROR(G1191*E1180,"")</f>
        <v/>
      </c>
    </row>
    <row r="1192" spans="1:11" ht="12.75" customHeight="1">
      <c r="A1192" s="21"/>
      <c r="B1192" s="22" t="s">
        <v>2533</v>
      </c>
      <c r="C1192" s="23"/>
      <c r="D1192" s="24"/>
      <c r="E1192" s="25"/>
      <c r="F1192" s="26"/>
      <c r="G1192" s="27">
        <f>SUM(G1193:G1194)</f>
        <v>0</v>
      </c>
      <c r="H1192" s="44">
        <f>G1192*E1180</f>
        <v>0</v>
      </c>
    </row>
    <row r="1193" spans="1:11" ht="12.75" customHeight="1">
      <c r="A1193" s="28"/>
      <c r="B1193" s="29"/>
      <c r="C1193" s="30" t="str">
        <f>IFERROR(_xlfn.XLOOKUP(B1193,Transporte[DESCRIPCION],Transporte[UND],,0),"")</f>
        <v/>
      </c>
      <c r="D1193" s="31"/>
      <c r="E1193" s="32" t="str">
        <f>IFERROR(_xlfn.XLOOKUP($B1193,Transporte[DESCRIPCION],Transporte[VALOR],,0),"")</f>
        <v/>
      </c>
      <c r="F1193" s="33"/>
      <c r="G1193" s="34" t="str">
        <f>IFERROR(IF(F1193&gt;=0,D1193*E1193*(1+F1193/100),ABS(D1193*E1193/F1193)),"")</f>
        <v/>
      </c>
      <c r="H1193" s="43" t="str">
        <f>IFERROR(G1193*E1180,"")</f>
        <v/>
      </c>
    </row>
    <row r="1194" spans="1:11" ht="12.75" customHeight="1">
      <c r="A1194" s="28"/>
      <c r="B1194" s="29"/>
      <c r="C1194" s="30" t="str">
        <f>IFERROR(_xlfn.XLOOKUP(B1194,Transporte[DESCRIPCION],Transporte[UND],,0),"")</f>
        <v/>
      </c>
      <c r="D1194" s="31"/>
      <c r="E1194" s="32" t="str">
        <f>IFERROR(_xlfn.XLOOKUP($B1194,Transporte[DESCRIPCION],Transporte[VALOR],,0),"")</f>
        <v/>
      </c>
      <c r="F1194" s="33"/>
      <c r="G1194" s="34" t="str">
        <f>IFERROR(IF(F1194&gt;=0,D1194*E1194*(1+F1194/100),ABS(D1194*E1194/F1194)),"")</f>
        <v/>
      </c>
      <c r="H1194" s="43" t="str">
        <f>IFERROR(G1194*E1180,"")</f>
        <v/>
      </c>
    </row>
    <row r="1195" spans="1:11" ht="12.75" customHeight="1">
      <c r="A1195" s="21"/>
      <c r="B1195" s="22" t="s">
        <v>3732</v>
      </c>
      <c r="C1195" s="23"/>
      <c r="D1195" s="24"/>
      <c r="E1195" s="25"/>
      <c r="F1195" s="26"/>
      <c r="G1195" s="27">
        <f>SUM(G1196:G1198)</f>
        <v>4491.2964413571435</v>
      </c>
      <c r="H1195" s="44">
        <f>G1195*E1180</f>
        <v>0</v>
      </c>
    </row>
    <row r="1196" spans="1:11" ht="12.75" customHeight="1">
      <c r="A1196" s="28"/>
      <c r="B1196" s="29" t="s">
        <v>3710</v>
      </c>
      <c r="C1196" s="30" t="str">
        <f>IFERROR(_xlfn.XLOOKUP(B1196,MObra[DESCRIPCION],MObra[UN],,0),"")</f>
        <v>día</v>
      </c>
      <c r="D1196" s="31">
        <v>1</v>
      </c>
      <c r="E1196" s="32">
        <f>IFERROR(_xlfn.XLOOKUP($B1196,MObra[DESCRIPCION],MObra[VALOR UNIT],,0),"")</f>
        <v>314390.75089500006</v>
      </c>
      <c r="F1196" s="33">
        <v>-70</v>
      </c>
      <c r="G1196" s="34">
        <f>IFERROR(IF(F1196&gt;=0,D1196*E1196*(1+F1196/100),ABS(D1196*E1196/F1196)),"")</f>
        <v>4491.2964413571435</v>
      </c>
      <c r="H1196" s="43">
        <f>IFERROR(G1196*E1180,"")</f>
        <v>0</v>
      </c>
    </row>
    <row r="1197" spans="1:11" ht="12.75" customHeight="1">
      <c r="A1197" s="28"/>
      <c r="B1197" s="29"/>
      <c r="C1197" s="30" t="str">
        <f t="array" ref="C1197">IFERROR(_xlfn.XLOOKUP(B1197,MObra[[#All],[DESCRIPCION]],MObra[[#All],[UN]],,0),"")</f>
        <v/>
      </c>
      <c r="D1197" s="31"/>
      <c r="E1197" s="32" t="str">
        <f>IFERROR(_xlfn.XLOOKUP($B1197,MObra[DESCRIPCION],MObra[VALOR UNIT],,0),"")</f>
        <v/>
      </c>
      <c r="F1197" s="33"/>
      <c r="G1197" s="34" t="str">
        <f>IFERROR(IF(F1197&gt;=0,D1197*E1197*(1+F1197/100),ABS(D1197*E1197/F1197)),"")</f>
        <v/>
      </c>
      <c r="H1197" s="43" t="str">
        <f>IFERROR(G1197*E1180,"")</f>
        <v/>
      </c>
    </row>
    <row r="1198" spans="1:11" ht="12.75" customHeight="1" thickBot="1">
      <c r="A1198" s="35"/>
      <c r="B1198" s="36"/>
      <c r="C1198" s="37" t="str">
        <f t="array" ref="C1198">IFERROR(_xlfn.XLOOKUP(B1198,MObra[[#All],[DESCRIPCION]],MObra[[#All],[UN]],,0),"")</f>
        <v/>
      </c>
      <c r="D1198" s="38"/>
      <c r="E1198" s="39" t="str">
        <f>IFERROR(_xlfn.XLOOKUP($B1198,MObra[DESCRIPCION],MObra[VALOR UNIT],,0),"")</f>
        <v/>
      </c>
      <c r="F1198" s="40"/>
      <c r="G1198" s="41" t="str">
        <f>IFERROR(IF(F1198&gt;=0,D1198*E1198*(1+F1198/100),ABS(D1198*E1198/F1198)),"")</f>
        <v/>
      </c>
      <c r="H1198" s="42" t="str">
        <f>IFERROR(G1198*E1180,"")</f>
        <v/>
      </c>
    </row>
    <row r="1199" spans="1:11" ht="12.75" customHeight="1" thickTop="1" thickBot="1"/>
    <row r="1200" spans="1:11" ht="12.75" customHeight="1" thickTop="1" thickBot="1">
      <c r="A1200" s="6" t="s">
        <v>717</v>
      </c>
      <c r="B1200" s="7" t="str">
        <f>VLOOKUP($A1200,Presupuesto!$A:$D,2,FALSE())</f>
        <v>Canalización + resane para ducto D&lt;=1-1/2"</v>
      </c>
      <c r="C1200" s="8" t="str">
        <f>VLOOKUP($A1200,Presupuesto!$A:$D,3,FALSE())</f>
        <v>M</v>
      </c>
      <c r="D1200" s="9"/>
      <c r="E1200" s="10">
        <f>VLOOKUP($A1200,Presupuesto!$A:$D,4,FALSE())</f>
        <v>0</v>
      </c>
      <c r="F1200" s="11" t="s">
        <v>2589</v>
      </c>
      <c r="G1200" s="12">
        <f>SUM(G1202:G1218)/2</f>
        <v>9842.8475328130189</v>
      </c>
      <c r="H1200" s="13">
        <f>ROUND(SUM(H1202:H1218),0)/2</f>
        <v>0</v>
      </c>
      <c r="I1200" s="10">
        <f>VLOOKUP(A1200,Presupuesto!$A:$F,6,0)</f>
        <v>0</v>
      </c>
      <c r="J1200" s="10">
        <f>+H1200-I1200</f>
        <v>0</v>
      </c>
      <c r="K1200" s="46">
        <f>+H1200-G1200*E1200</f>
        <v>0</v>
      </c>
    </row>
    <row r="1201" spans="1:8" ht="12.75" customHeight="1" thickTop="1">
      <c r="A1201" s="14"/>
      <c r="B1201" s="15" t="s">
        <v>2586</v>
      </c>
      <c r="C1201" s="15" t="s">
        <v>5</v>
      </c>
      <c r="D1201" s="16" t="s">
        <v>6</v>
      </c>
      <c r="E1201" s="17" t="s">
        <v>7</v>
      </c>
      <c r="F1201" s="18" t="s">
        <v>3728</v>
      </c>
      <c r="G1201" s="19" t="s">
        <v>3729</v>
      </c>
      <c r="H1201" s="20" t="s">
        <v>3797</v>
      </c>
    </row>
    <row r="1202" spans="1:8" ht="12.75" customHeight="1">
      <c r="A1202" s="21"/>
      <c r="B1202" s="22" t="s">
        <v>3730</v>
      </c>
      <c r="C1202" s="23"/>
      <c r="D1202" s="24"/>
      <c r="E1202" s="25"/>
      <c r="F1202" s="26"/>
      <c r="G1202" s="27">
        <f>SUM(G1203:G1207)</f>
        <v>5126.9862693880177</v>
      </c>
      <c r="H1202" s="27">
        <f>IFERROR(G1202*E1200,"")</f>
        <v>0</v>
      </c>
    </row>
    <row r="1203" spans="1:8" ht="12.75" customHeight="1">
      <c r="A1203" s="28"/>
      <c r="B1203" s="29" t="s">
        <v>3244</v>
      </c>
      <c r="C1203" s="30" t="str">
        <f>IFERROR(_xlfn.XLOOKUP(B1203,Insumo[DESCRIPCION],Insumo[UND],,0),"")</f>
        <v>M3</v>
      </c>
      <c r="D1203" s="31">
        <v>0.01</v>
      </c>
      <c r="E1203" s="32">
        <f>IFERROR(_xlfn.XLOOKUP($B1203,Insumo[DESCRIPCION],Insumo[VALOR],,0),"")</f>
        <v>497765.65722213761</v>
      </c>
      <c r="F1203" s="33">
        <v>3</v>
      </c>
      <c r="G1203" s="34">
        <f>IFERROR(IF(F1203&gt;=0,D1203*E1203*(1+F1203/100),ABS(D1203*E1203/F1203)),"")</f>
        <v>5126.9862693880177</v>
      </c>
      <c r="H1203" s="43">
        <f>IFERROR(G1203*E1200,"")</f>
        <v>0</v>
      </c>
    </row>
    <row r="1204" spans="1:8" ht="12.75" customHeight="1">
      <c r="A1204" s="28"/>
      <c r="B1204" s="29"/>
      <c r="C1204" s="30" t="str">
        <f>IFERROR(_xlfn.XLOOKUP(B1204,Insumo[DESCRIPCION],Insumo[UND],,0),"")</f>
        <v/>
      </c>
      <c r="D1204" s="31"/>
      <c r="E1204" s="32" t="str">
        <f>IFERROR(_xlfn.XLOOKUP($B1204,Insumo[DESCRIPCION],Insumo[VALOR],,0),"")</f>
        <v/>
      </c>
      <c r="F1204" s="33"/>
      <c r="G1204" s="34" t="str">
        <f>IFERROR(IF(F1204&gt;=0,D1204*E1204*(1+F1204/100),ABS(D1204*E1204/F1204)),"")</f>
        <v/>
      </c>
      <c r="H1204" s="43" t="str">
        <f>IFERROR(G1204*E1200,"")</f>
        <v/>
      </c>
    </row>
    <row r="1205" spans="1:8" ht="12.75" customHeight="1">
      <c r="A1205" s="28"/>
      <c r="B1205" s="29"/>
      <c r="C1205" s="30" t="str">
        <f>IFERROR(_xlfn.XLOOKUP(B1205,Insumo[DESCRIPCION],Insumo[UND],,0),"")</f>
        <v/>
      </c>
      <c r="D1205" s="31"/>
      <c r="E1205" s="32" t="str">
        <f>IFERROR(_xlfn.XLOOKUP($B1205,Insumo[DESCRIPCION],Insumo[VALOR],,0),"")</f>
        <v/>
      </c>
      <c r="F1205" s="33"/>
      <c r="G1205" s="34" t="str">
        <f>IFERROR(IF(F1205&gt;=0,D1205*E1205*(1+F1205/100),ABS(D1205*E1205/F1205)),"")</f>
        <v/>
      </c>
      <c r="H1205" s="43" t="str">
        <f>IFERROR(G1205*E1200,"")</f>
        <v/>
      </c>
    </row>
    <row r="1206" spans="1:8" ht="12.75" customHeight="1">
      <c r="A1206" s="28"/>
      <c r="B1206" s="29"/>
      <c r="C1206" s="30" t="str">
        <f>IFERROR(_xlfn.XLOOKUP(B1206,Insumo[DESCRIPCION],Insumo[UND],,0),"")</f>
        <v/>
      </c>
      <c r="D1206" s="31"/>
      <c r="E1206" s="32" t="str">
        <f>IFERROR(_xlfn.XLOOKUP($B1206,Insumo[DESCRIPCION],Insumo[VALOR],,0),"")</f>
        <v/>
      </c>
      <c r="F1206" s="33"/>
      <c r="G1206" s="34" t="str">
        <f>IFERROR(IF(F1206&gt;=0,D1206*E1206*(1+F1206/100),ABS(D1206*E1206/F1206)),"")</f>
        <v/>
      </c>
      <c r="H1206" s="43" t="str">
        <f>IFERROR(G1206*E1200,"")</f>
        <v/>
      </c>
    </row>
    <row r="1207" spans="1:8" ht="12.75" customHeight="1">
      <c r="A1207" s="28"/>
      <c r="B1207" s="29"/>
      <c r="C1207" s="30" t="str">
        <f>IFERROR(_xlfn.XLOOKUP(B1207,Insumo[DESCRIPCION],Insumo[UND],,0),"")</f>
        <v/>
      </c>
      <c r="D1207" s="31"/>
      <c r="E1207" s="32" t="str">
        <f>IFERROR(_xlfn.XLOOKUP($B1207,Insumo[DESCRIPCION],Insumo[VALOR],,0),"")</f>
        <v/>
      </c>
      <c r="F1207" s="33"/>
      <c r="G1207" s="34" t="str">
        <f>IFERROR(IF(F1207&gt;=0,D1207*E1207*(1+F1207/100),ABS(D1207*E1207/F1207)),"")</f>
        <v/>
      </c>
      <c r="H1207" s="43" t="str">
        <f>IFERROR(G1207*E1200,"")</f>
        <v/>
      </c>
    </row>
    <row r="1208" spans="1:8" ht="12.75" customHeight="1">
      <c r="A1208" s="21"/>
      <c r="B1208" s="22" t="s">
        <v>3731</v>
      </c>
      <c r="C1208" s="23"/>
      <c r="D1208" s="24"/>
      <c r="E1208" s="25"/>
      <c r="F1208" s="26"/>
      <c r="G1208" s="27">
        <f>SUM(G1209:G1211)</f>
        <v>224.56482206785719</v>
      </c>
      <c r="H1208" s="44">
        <f>G1208*E1200</f>
        <v>0</v>
      </c>
    </row>
    <row r="1209" spans="1:8" ht="12.75" customHeight="1">
      <c r="A1209" s="28"/>
      <c r="B1209" s="29" t="s">
        <v>3626</v>
      </c>
      <c r="C1209" s="30" t="str">
        <f>IFERROR(_xlfn.XLOOKUP(B1209,Equipo[DESCRIPCION],Equipo[UND],,0),"")</f>
        <v>%MO</v>
      </c>
      <c r="D1209" s="31">
        <v>0.05</v>
      </c>
      <c r="E1209" s="32">
        <f>IF(C1209="%MO",G1215,IFERROR(_xlfn.XLOOKUP($B1209,Equipo[DESCRIPCION],Equipo[VALOR],,0),""))</f>
        <v>4491.2964413571435</v>
      </c>
      <c r="F1209" s="33"/>
      <c r="G1209" s="34">
        <f>IFERROR(IF(F1209&gt;=0,D1209*E1209*(1+F1209/100),ABS(D1209*E1209/F1209)),"")</f>
        <v>224.56482206785719</v>
      </c>
      <c r="H1209" s="43">
        <f>IFERROR(G1209*E1200,"")</f>
        <v>0</v>
      </c>
    </row>
    <row r="1210" spans="1:8" ht="12.75" customHeight="1">
      <c r="A1210" s="28"/>
      <c r="B1210" s="29"/>
      <c r="C1210" s="30" t="str">
        <f>IFERROR(_xlfn.XLOOKUP(B1210,Equipo[DESCRIPCION],Equipo[UND],,0),"")</f>
        <v/>
      </c>
      <c r="D1210" s="31"/>
      <c r="E1210" s="32" t="str">
        <f>IF(C1210="%MO",G1215,IFERROR(_xlfn.XLOOKUP($B1210,Equipo[DESCRIPCION],Equipo[VALOR],,0),""))</f>
        <v/>
      </c>
      <c r="F1210" s="33"/>
      <c r="G1210" s="34" t="str">
        <f>IFERROR(IF(F1210&gt;=0,D1210*E1210*(1+F1210/100),ABS(D1210*E1210/F1210)),"")</f>
        <v/>
      </c>
      <c r="H1210" s="43" t="str">
        <f>IFERROR(G1210*E1200,"")</f>
        <v/>
      </c>
    </row>
    <row r="1211" spans="1:8" ht="12.75" customHeight="1">
      <c r="A1211" s="28"/>
      <c r="B1211" s="29"/>
      <c r="C1211" s="30" t="str">
        <f>IFERROR(_xlfn.XLOOKUP(B1211,Equipo[DESCRIPCION],Equipo[UND],,0),"")</f>
        <v/>
      </c>
      <c r="D1211" s="31"/>
      <c r="E1211" s="32" t="str">
        <f>IF(C1211="%MO",G1215,IFERROR(_xlfn.XLOOKUP($B1211,Equipo[DESCRIPCION],Equipo[VALOR],,0),""))</f>
        <v/>
      </c>
      <c r="F1211" s="33"/>
      <c r="G1211" s="34" t="str">
        <f>IFERROR(IF(F1211&gt;=0,D1211*E1211*(1+F1211/100),ABS(D1211*E1211/F1211)),"")</f>
        <v/>
      </c>
      <c r="H1211" s="43" t="str">
        <f>IFERROR(G1211*E1200,"")</f>
        <v/>
      </c>
    </row>
    <row r="1212" spans="1:8" ht="12.75" customHeight="1">
      <c r="A1212" s="21"/>
      <c r="B1212" s="22" t="s">
        <v>2533</v>
      </c>
      <c r="C1212" s="23"/>
      <c r="D1212" s="24"/>
      <c r="E1212" s="25"/>
      <c r="F1212" s="26"/>
      <c r="G1212" s="27">
        <f>SUM(G1213:G1214)</f>
        <v>0</v>
      </c>
      <c r="H1212" s="44">
        <f>G1212*E1200</f>
        <v>0</v>
      </c>
    </row>
    <row r="1213" spans="1:8" ht="12.75" customHeight="1">
      <c r="A1213" s="28"/>
      <c r="B1213" s="29"/>
      <c r="C1213" s="30" t="str">
        <f>IFERROR(_xlfn.XLOOKUP(B1213,Transporte[DESCRIPCION],Transporte[UND],,0),"")</f>
        <v/>
      </c>
      <c r="D1213" s="31"/>
      <c r="E1213" s="32" t="str">
        <f>IFERROR(_xlfn.XLOOKUP($B1213,Transporte[DESCRIPCION],Transporte[VALOR],,0),"")</f>
        <v/>
      </c>
      <c r="F1213" s="33"/>
      <c r="G1213" s="34" t="str">
        <f>IFERROR(IF(F1213&gt;=0,D1213*E1213*(1+F1213/100),ABS(D1213*E1213/F1213)),"")</f>
        <v/>
      </c>
      <c r="H1213" s="43" t="str">
        <f>IFERROR(G1213*E1200,"")</f>
        <v/>
      </c>
    </row>
    <row r="1214" spans="1:8" ht="12.75" customHeight="1">
      <c r="A1214" s="28"/>
      <c r="B1214" s="29"/>
      <c r="C1214" s="30" t="str">
        <f>IFERROR(_xlfn.XLOOKUP(B1214,Transporte[DESCRIPCION],Transporte[UND],,0),"")</f>
        <v/>
      </c>
      <c r="D1214" s="31"/>
      <c r="E1214" s="32" t="str">
        <f>IFERROR(_xlfn.XLOOKUP($B1214,Transporte[DESCRIPCION],Transporte[VALOR],,0),"")</f>
        <v/>
      </c>
      <c r="F1214" s="33"/>
      <c r="G1214" s="34" t="str">
        <f>IFERROR(IF(F1214&gt;=0,D1214*E1214*(1+F1214/100),ABS(D1214*E1214/F1214)),"")</f>
        <v/>
      </c>
      <c r="H1214" s="43" t="str">
        <f>IFERROR(G1214*E1200,"")</f>
        <v/>
      </c>
    </row>
    <row r="1215" spans="1:8" ht="12.75" customHeight="1">
      <c r="A1215" s="21"/>
      <c r="B1215" s="22" t="s">
        <v>3732</v>
      </c>
      <c r="C1215" s="23"/>
      <c r="D1215" s="24"/>
      <c r="E1215" s="25"/>
      <c r="F1215" s="26"/>
      <c r="G1215" s="27">
        <f>SUM(G1216:G1218)</f>
        <v>4491.2964413571435</v>
      </c>
      <c r="H1215" s="44">
        <f>G1215*E1200</f>
        <v>0</v>
      </c>
    </row>
    <row r="1216" spans="1:8" ht="12.75" customHeight="1">
      <c r="A1216" s="28"/>
      <c r="B1216" s="29" t="s">
        <v>3710</v>
      </c>
      <c r="C1216" s="30" t="str">
        <f>IFERROR(_xlfn.XLOOKUP(B1216,MObra[DESCRIPCION],MObra[UN],,0),"")</f>
        <v>día</v>
      </c>
      <c r="D1216" s="31">
        <v>1</v>
      </c>
      <c r="E1216" s="32">
        <f>IFERROR(_xlfn.XLOOKUP($B1216,MObra[DESCRIPCION],MObra[VALOR UNIT],,0),"")</f>
        <v>314390.75089500006</v>
      </c>
      <c r="F1216" s="33">
        <v>-70</v>
      </c>
      <c r="G1216" s="34">
        <f>IFERROR(IF(F1216&gt;=0,D1216*E1216*(1+F1216/100),ABS(D1216*E1216/F1216)),"")</f>
        <v>4491.2964413571435</v>
      </c>
      <c r="H1216" s="43">
        <f>IFERROR(G1216*E1200,"")</f>
        <v>0</v>
      </c>
    </row>
    <row r="1217" spans="1:11" ht="12.75" customHeight="1">
      <c r="A1217" s="28"/>
      <c r="B1217" s="29"/>
      <c r="C1217" s="30" t="str">
        <f t="array" ref="C1217">IFERROR(_xlfn.XLOOKUP(B1217,MObra[[#All],[DESCRIPCION]],MObra[[#All],[UN]],,0),"")</f>
        <v/>
      </c>
      <c r="D1217" s="31"/>
      <c r="E1217" s="32" t="str">
        <f>IFERROR(_xlfn.XLOOKUP($B1217,MObra[DESCRIPCION],MObra[VALOR UNIT],,0),"")</f>
        <v/>
      </c>
      <c r="F1217" s="33"/>
      <c r="G1217" s="34" t="str">
        <f>IFERROR(IF(F1217&gt;=0,D1217*E1217*(1+F1217/100),ABS(D1217*E1217/F1217)),"")</f>
        <v/>
      </c>
      <c r="H1217" s="43" t="str">
        <f>IFERROR(G1217*E1200,"")</f>
        <v/>
      </c>
    </row>
    <row r="1218" spans="1:11" ht="12.75" customHeight="1" thickBot="1">
      <c r="A1218" s="35"/>
      <c r="B1218" s="36"/>
      <c r="C1218" s="37" t="str">
        <f t="array" ref="C1218">IFERROR(_xlfn.XLOOKUP(B1218,MObra[[#All],[DESCRIPCION]],MObra[[#All],[UN]],,0),"")</f>
        <v/>
      </c>
      <c r="D1218" s="38"/>
      <c r="E1218" s="39" t="str">
        <f>IFERROR(_xlfn.XLOOKUP($B1218,MObra[DESCRIPCION],MObra[VALOR UNIT],,0),"")</f>
        <v/>
      </c>
      <c r="F1218" s="40"/>
      <c r="G1218" s="41" t="str">
        <f>IFERROR(IF(F1218&gt;=0,D1218*E1218*(1+F1218/100),ABS(D1218*E1218/F1218)),"")</f>
        <v/>
      </c>
      <c r="H1218" s="42" t="str">
        <f>IFERROR(G1218*E1200,"")</f>
        <v/>
      </c>
    </row>
    <row r="1219" spans="1:11" ht="12.75" customHeight="1" thickTop="1" thickBot="1"/>
    <row r="1220" spans="1:11" ht="12.75" customHeight="1" thickTop="1" thickBot="1">
      <c r="A1220" s="6" t="s">
        <v>719</v>
      </c>
      <c r="B1220" s="7" t="str">
        <f>VLOOKUP($A1220,Presupuesto!$A:$D,2,FALSE())</f>
        <v>Cheque 1/2"</v>
      </c>
      <c r="C1220" s="8" t="str">
        <f>VLOOKUP($A1220,Presupuesto!$A:$D,3,FALSE())</f>
        <v>Un</v>
      </c>
      <c r="D1220" s="9"/>
      <c r="E1220" s="10">
        <f>VLOOKUP($A1220,Presupuesto!$A:$D,4,FALSE())</f>
        <v>0</v>
      </c>
      <c r="F1220" s="11" t="s">
        <v>2589</v>
      </c>
      <c r="G1220" s="12">
        <f>SUM(G1222:G1238)/2</f>
        <v>86068.111537590041</v>
      </c>
      <c r="H1220" s="13">
        <f>ROUND(SUM(H1222:H1238),0)/2</f>
        <v>0</v>
      </c>
      <c r="I1220" s="10">
        <f>VLOOKUP(A1220,Presupuesto!$A:$F,6,0)</f>
        <v>0</v>
      </c>
      <c r="J1220" s="10">
        <f>+H1220-I1220</f>
        <v>0</v>
      </c>
      <c r="K1220" s="46">
        <f>+H1220-G1220*E1220</f>
        <v>0</v>
      </c>
    </row>
    <row r="1221" spans="1:11" ht="12.75" customHeight="1" thickTop="1">
      <c r="A1221" s="14"/>
      <c r="B1221" s="15" t="s">
        <v>2586</v>
      </c>
      <c r="C1221" s="15" t="s">
        <v>5</v>
      </c>
      <c r="D1221" s="16" t="s">
        <v>6</v>
      </c>
      <c r="E1221" s="17" t="s">
        <v>7</v>
      </c>
      <c r="F1221" s="18" t="s">
        <v>3728</v>
      </c>
      <c r="G1221" s="19" t="s">
        <v>3729</v>
      </c>
      <c r="H1221" s="20" t="s">
        <v>3797</v>
      </c>
    </row>
    <row r="1222" spans="1:11" ht="12.75" customHeight="1">
      <c r="A1222" s="21"/>
      <c r="B1222" s="22" t="s">
        <v>3730</v>
      </c>
      <c r="C1222" s="23"/>
      <c r="D1222" s="24"/>
      <c r="E1222" s="25"/>
      <c r="F1222" s="26"/>
      <c r="G1222" s="27">
        <f>SUM(G1223:G1227)</f>
        <v>72863.700000000012</v>
      </c>
      <c r="H1222" s="27">
        <f>IFERROR(G1222*E1220,"")</f>
        <v>0</v>
      </c>
    </row>
    <row r="1223" spans="1:11" ht="12.75" customHeight="1">
      <c r="A1223" s="28"/>
      <c r="B1223" s="29" t="s">
        <v>2838</v>
      </c>
      <c r="C1223" s="30" t="str">
        <f>IFERROR(_xlfn.XLOOKUP(B1223,Insumo[DESCRIPCION],Insumo[UND],,0),"")</f>
        <v>Un</v>
      </c>
      <c r="D1223" s="31">
        <v>1</v>
      </c>
      <c r="E1223" s="32">
        <f>IFERROR(_xlfn.XLOOKUP($B1223,Insumo[DESCRIPCION],Insumo[VALOR],,0),"")</f>
        <v>70016.100000000006</v>
      </c>
      <c r="F1223" s="33"/>
      <c r="G1223" s="34">
        <f>IFERROR(IF(F1223&gt;=0,D1223*E1223*(1+F1223/100),ABS(D1223*E1223/F1223)),"")</f>
        <v>70016.100000000006</v>
      </c>
      <c r="H1223" s="43">
        <f>IFERROR(G1223*E1220,"")</f>
        <v>0</v>
      </c>
    </row>
    <row r="1224" spans="1:11" ht="12.75" customHeight="1">
      <c r="A1224" s="28"/>
      <c r="B1224" s="29" t="s">
        <v>2640</v>
      </c>
      <c r="C1224" s="30" t="str">
        <f>IFERROR(_xlfn.XLOOKUP(B1224,Insumo[DESCRIPCION],Insumo[UND],,0),"")</f>
        <v>Un</v>
      </c>
      <c r="D1224" s="31">
        <v>2</v>
      </c>
      <c r="E1224" s="32">
        <f>IFERROR(_xlfn.XLOOKUP($B1224,Insumo[DESCRIPCION],Insumo[VALOR],,0),"")</f>
        <v>1423.8</v>
      </c>
      <c r="F1224" s="33"/>
      <c r="G1224" s="34">
        <f>IFERROR(IF(F1224&gt;=0,D1224*E1224*(1+F1224/100),ABS(D1224*E1224/F1224)),"")</f>
        <v>2847.6</v>
      </c>
      <c r="H1224" s="43">
        <f>IFERROR(G1224*E1220,"")</f>
        <v>0</v>
      </c>
    </row>
    <row r="1225" spans="1:11" ht="12.75" customHeight="1">
      <c r="A1225" s="28"/>
      <c r="B1225" s="29"/>
      <c r="C1225" s="30" t="str">
        <f>IFERROR(_xlfn.XLOOKUP(B1225,Insumo[DESCRIPCION],Insumo[UND],,0),"")</f>
        <v/>
      </c>
      <c r="D1225" s="31"/>
      <c r="E1225" s="32" t="str">
        <f>IFERROR(_xlfn.XLOOKUP($B1225,Insumo[DESCRIPCION],Insumo[VALOR],,0),"")</f>
        <v/>
      </c>
      <c r="F1225" s="33"/>
      <c r="G1225" s="34" t="str">
        <f>IFERROR(IF(F1225&gt;=0,D1225*E1225*(1+F1225/100),ABS(D1225*E1225/F1225)),"")</f>
        <v/>
      </c>
      <c r="H1225" s="43" t="str">
        <f>IFERROR(G1225*E1220,"")</f>
        <v/>
      </c>
    </row>
    <row r="1226" spans="1:11" ht="12.75" customHeight="1">
      <c r="A1226" s="28"/>
      <c r="B1226" s="29"/>
      <c r="C1226" s="30" t="str">
        <f>IFERROR(_xlfn.XLOOKUP(B1226,Insumo[DESCRIPCION],Insumo[UND],,0),"")</f>
        <v/>
      </c>
      <c r="D1226" s="31"/>
      <c r="E1226" s="32" t="str">
        <f>IFERROR(_xlfn.XLOOKUP($B1226,Insumo[DESCRIPCION],Insumo[VALOR],,0),"")</f>
        <v/>
      </c>
      <c r="F1226" s="33"/>
      <c r="G1226" s="34" t="str">
        <f>IFERROR(IF(F1226&gt;=0,D1226*E1226*(1+F1226/100),ABS(D1226*E1226/F1226)),"")</f>
        <v/>
      </c>
      <c r="H1226" s="43" t="str">
        <f>IFERROR(G1226*E1220,"")</f>
        <v/>
      </c>
    </row>
    <row r="1227" spans="1:11" ht="12.75" customHeight="1">
      <c r="A1227" s="28"/>
      <c r="B1227" s="29"/>
      <c r="C1227" s="30" t="str">
        <f>IFERROR(_xlfn.XLOOKUP(B1227,Insumo[DESCRIPCION],Insumo[UND],,0),"")</f>
        <v/>
      </c>
      <c r="D1227" s="31"/>
      <c r="E1227" s="32" t="str">
        <f>IFERROR(_xlfn.XLOOKUP($B1227,Insumo[DESCRIPCION],Insumo[VALOR],,0),"")</f>
        <v/>
      </c>
      <c r="F1227" s="33"/>
      <c r="G1227" s="34" t="str">
        <f>IFERROR(IF(F1227&gt;=0,D1227*E1227*(1+F1227/100),ABS(D1227*E1227/F1227)),"")</f>
        <v/>
      </c>
      <c r="H1227" s="43" t="str">
        <f>IFERROR(G1227*E1220,"")</f>
        <v/>
      </c>
    </row>
    <row r="1228" spans="1:11" ht="12.75" customHeight="1">
      <c r="A1228" s="21"/>
      <c r="B1228" s="22" t="s">
        <v>3731</v>
      </c>
      <c r="C1228" s="23"/>
      <c r="D1228" s="24"/>
      <c r="E1228" s="25"/>
      <c r="F1228" s="26"/>
      <c r="G1228" s="27">
        <f>SUM(G1229:G1231)</f>
        <v>628.78150179000022</v>
      </c>
      <c r="H1228" s="44">
        <f>G1228*E1220</f>
        <v>0</v>
      </c>
    </row>
    <row r="1229" spans="1:11" ht="12.75" customHeight="1">
      <c r="A1229" s="28"/>
      <c r="B1229" s="29" t="s">
        <v>3626</v>
      </c>
      <c r="C1229" s="30" t="str">
        <f>IFERROR(_xlfn.XLOOKUP(B1229,Equipo[DESCRIPCION],Equipo[UND],,0),"")</f>
        <v>%MO</v>
      </c>
      <c r="D1229" s="31">
        <v>0.05</v>
      </c>
      <c r="E1229" s="32">
        <f>IF(C1229="%MO",G1235,IFERROR(_xlfn.XLOOKUP($B1229,Equipo[DESCRIPCION],Equipo[VALOR],,0),""))</f>
        <v>12575.630035800003</v>
      </c>
      <c r="F1229" s="33"/>
      <c r="G1229" s="34">
        <f>IFERROR(IF(F1229&gt;=0,D1229*E1229*(1+F1229/100),ABS(D1229*E1229/F1229)),"")</f>
        <v>628.78150179000022</v>
      </c>
      <c r="H1229" s="43">
        <f>IFERROR(G1229*E1220,"")</f>
        <v>0</v>
      </c>
    </row>
    <row r="1230" spans="1:11" ht="12.75" customHeight="1">
      <c r="A1230" s="28"/>
      <c r="B1230" s="29"/>
      <c r="C1230" s="30" t="str">
        <f>IFERROR(_xlfn.XLOOKUP(B1230,Equipo[DESCRIPCION],Equipo[UND],,0),"")</f>
        <v/>
      </c>
      <c r="D1230" s="31"/>
      <c r="E1230" s="32" t="str">
        <f>IF(C1230="%MO",G1235,IFERROR(_xlfn.XLOOKUP($B1230,Equipo[DESCRIPCION],Equipo[VALOR],,0),""))</f>
        <v/>
      </c>
      <c r="F1230" s="33"/>
      <c r="G1230" s="34" t="str">
        <f>IFERROR(IF(F1230&gt;=0,D1230*E1230*(1+F1230/100),ABS(D1230*E1230/F1230)),"")</f>
        <v/>
      </c>
      <c r="H1230" s="43" t="str">
        <f>IFERROR(G1230*E1220,"")</f>
        <v/>
      </c>
    </row>
    <row r="1231" spans="1:11" ht="12.75" customHeight="1">
      <c r="A1231" s="28"/>
      <c r="B1231" s="29"/>
      <c r="C1231" s="30" t="str">
        <f>IFERROR(_xlfn.XLOOKUP(B1231,Equipo[DESCRIPCION],Equipo[UND],,0),"")</f>
        <v/>
      </c>
      <c r="D1231" s="31"/>
      <c r="E1231" s="32" t="str">
        <f>IF(C1231="%MO",G1235,IFERROR(_xlfn.XLOOKUP($B1231,Equipo[DESCRIPCION],Equipo[VALOR],,0),""))</f>
        <v/>
      </c>
      <c r="F1231" s="33"/>
      <c r="G1231" s="34" t="str">
        <f>IFERROR(IF(F1231&gt;=0,D1231*E1231*(1+F1231/100),ABS(D1231*E1231/F1231)),"")</f>
        <v/>
      </c>
      <c r="H1231" s="43" t="str">
        <f>IFERROR(G1231*E1220,"")</f>
        <v/>
      </c>
    </row>
    <row r="1232" spans="1:11" ht="12.75" customHeight="1">
      <c r="A1232" s="21"/>
      <c r="B1232" s="22" t="s">
        <v>2533</v>
      </c>
      <c r="C1232" s="23"/>
      <c r="D1232" s="24"/>
      <c r="E1232" s="25"/>
      <c r="F1232" s="26"/>
      <c r="G1232" s="27">
        <f>SUM(G1233:G1234)</f>
        <v>0</v>
      </c>
      <c r="H1232" s="44">
        <f>G1232*E1220</f>
        <v>0</v>
      </c>
    </row>
    <row r="1233" spans="1:11" ht="12.75" customHeight="1">
      <c r="A1233" s="28"/>
      <c r="B1233" s="29"/>
      <c r="C1233" s="30" t="str">
        <f>IFERROR(_xlfn.XLOOKUP(B1233,Transporte[DESCRIPCION],Transporte[UND],,0),"")</f>
        <v/>
      </c>
      <c r="D1233" s="31"/>
      <c r="E1233" s="32" t="str">
        <f>IFERROR(_xlfn.XLOOKUP($B1233,Transporte[DESCRIPCION],Transporte[VALOR],,0),"")</f>
        <v/>
      </c>
      <c r="F1233" s="33"/>
      <c r="G1233" s="34" t="str">
        <f>IFERROR(IF(F1233&gt;=0,D1233*E1233*(1+F1233/100),ABS(D1233*E1233/F1233)),"")</f>
        <v/>
      </c>
      <c r="H1233" s="43" t="str">
        <f>IFERROR(G1233*E1220,"")</f>
        <v/>
      </c>
    </row>
    <row r="1234" spans="1:11" ht="12.75" customHeight="1">
      <c r="A1234" s="28"/>
      <c r="B1234" s="29"/>
      <c r="C1234" s="30" t="str">
        <f>IFERROR(_xlfn.XLOOKUP(B1234,Transporte[DESCRIPCION],Transporte[UND],,0),"")</f>
        <v/>
      </c>
      <c r="D1234" s="31"/>
      <c r="E1234" s="32" t="str">
        <f>IFERROR(_xlfn.XLOOKUP($B1234,Transporte[DESCRIPCION],Transporte[VALOR],,0),"")</f>
        <v/>
      </c>
      <c r="F1234" s="33"/>
      <c r="G1234" s="34" t="str">
        <f>IFERROR(IF(F1234&gt;=0,D1234*E1234*(1+F1234/100),ABS(D1234*E1234/F1234)),"")</f>
        <v/>
      </c>
      <c r="H1234" s="43" t="str">
        <f>IFERROR(G1234*E1220,"")</f>
        <v/>
      </c>
    </row>
    <row r="1235" spans="1:11" ht="12.75" customHeight="1">
      <c r="A1235" s="21"/>
      <c r="B1235" s="22" t="s">
        <v>3732</v>
      </c>
      <c r="C1235" s="23"/>
      <c r="D1235" s="24"/>
      <c r="E1235" s="25"/>
      <c r="F1235" s="26"/>
      <c r="G1235" s="27">
        <f>SUM(G1236:G1238)</f>
        <v>12575.630035800003</v>
      </c>
      <c r="H1235" s="44">
        <f>G1235*E1220</f>
        <v>0</v>
      </c>
    </row>
    <row r="1236" spans="1:11" ht="12.75" customHeight="1">
      <c r="A1236" s="28"/>
      <c r="B1236" s="29" t="s">
        <v>3710</v>
      </c>
      <c r="C1236" s="30" t="str">
        <f>IFERROR(_xlfn.XLOOKUP(B1236,MObra[DESCRIPCION],MObra[UN],,0),"")</f>
        <v>día</v>
      </c>
      <c r="D1236" s="31">
        <v>1</v>
      </c>
      <c r="E1236" s="32">
        <f>IFERROR(_xlfn.XLOOKUP($B1236,MObra[DESCRIPCION],MObra[VALOR UNIT],,0),"")</f>
        <v>314390.75089500006</v>
      </c>
      <c r="F1236" s="33">
        <v>-25</v>
      </c>
      <c r="G1236" s="34">
        <f>IFERROR(IF(F1236&gt;=0,D1236*E1236*(1+F1236/100),ABS(D1236*E1236/F1236)),"")</f>
        <v>12575.630035800003</v>
      </c>
      <c r="H1236" s="43">
        <f>IFERROR(G1236*E1220,"")</f>
        <v>0</v>
      </c>
    </row>
    <row r="1237" spans="1:11" ht="12.75" customHeight="1">
      <c r="A1237" s="28"/>
      <c r="B1237" s="29"/>
      <c r="C1237" s="30" t="str">
        <f t="array" ref="C1237">IFERROR(_xlfn.XLOOKUP(B1237,MObra[[#All],[DESCRIPCION]],MObra[[#All],[UN]],,0),"")</f>
        <v/>
      </c>
      <c r="D1237" s="31"/>
      <c r="E1237" s="32" t="str">
        <f>IFERROR(_xlfn.XLOOKUP($B1237,MObra[DESCRIPCION],MObra[VALOR UNIT],,0),"")</f>
        <v/>
      </c>
      <c r="F1237" s="33"/>
      <c r="G1237" s="34" t="str">
        <f>IFERROR(IF(F1237&gt;=0,D1237*E1237*(1+F1237/100),ABS(D1237*E1237/F1237)),"")</f>
        <v/>
      </c>
      <c r="H1237" s="43" t="str">
        <f>IFERROR(G1237*E1220,"")</f>
        <v/>
      </c>
    </row>
    <row r="1238" spans="1:11" ht="12.75" customHeight="1" thickBot="1">
      <c r="A1238" s="35"/>
      <c r="B1238" s="36"/>
      <c r="C1238" s="37" t="str">
        <f t="array" ref="C1238">IFERROR(_xlfn.XLOOKUP(B1238,MObra[[#All],[DESCRIPCION]],MObra[[#All],[UN]],,0),"")</f>
        <v/>
      </c>
      <c r="D1238" s="38"/>
      <c r="E1238" s="39" t="str">
        <f>IFERROR(_xlfn.XLOOKUP($B1238,MObra[DESCRIPCION],MObra[VALOR UNIT],,0),"")</f>
        <v/>
      </c>
      <c r="F1238" s="40"/>
      <c r="G1238" s="41" t="str">
        <f>IFERROR(IF(F1238&gt;=0,D1238*E1238*(1+F1238/100),ABS(D1238*E1238/F1238)),"")</f>
        <v/>
      </c>
      <c r="H1238" s="42" t="str">
        <f>IFERROR(G1238*E1220,"")</f>
        <v/>
      </c>
    </row>
    <row r="1239" spans="1:11" ht="12.75" customHeight="1" thickTop="1" thickBot="1"/>
    <row r="1240" spans="1:11" ht="12.75" customHeight="1" thickTop="1" thickBot="1">
      <c r="A1240" s="6" t="s">
        <v>721</v>
      </c>
      <c r="B1240" s="7" t="str">
        <f>VLOOKUP($A1240,Presupuesto!$A:$D,2,FALSE())</f>
        <v>Cheque 3/4"</v>
      </c>
      <c r="C1240" s="8" t="str">
        <f>VLOOKUP($A1240,Presupuesto!$A:$D,3,FALSE())</f>
        <v>Un</v>
      </c>
      <c r="D1240" s="9"/>
      <c r="E1240" s="10">
        <f>VLOOKUP($A1240,Presupuesto!$A:$D,4,FALSE())</f>
        <v>0</v>
      </c>
      <c r="F1240" s="11" t="s">
        <v>2589</v>
      </c>
      <c r="G1240" s="12">
        <f>SUM(G1242:G1258)/2</f>
        <v>120708.17123651087</v>
      </c>
      <c r="H1240" s="13">
        <f>ROUND(SUM(H1242:H1258),0)/2</f>
        <v>0</v>
      </c>
      <c r="I1240" s="10">
        <f>VLOOKUP(A1240,Presupuesto!$A:$F,6,0)</f>
        <v>0</v>
      </c>
      <c r="J1240" s="10">
        <f>+H1240-I1240</f>
        <v>0</v>
      </c>
      <c r="K1240" s="46">
        <f>+H1240-G1240*E1240</f>
        <v>0</v>
      </c>
    </row>
    <row r="1241" spans="1:11" ht="12.75" customHeight="1" thickTop="1">
      <c r="A1241" s="14"/>
      <c r="B1241" s="15" t="s">
        <v>2586</v>
      </c>
      <c r="C1241" s="15" t="s">
        <v>5</v>
      </c>
      <c r="D1241" s="16" t="s">
        <v>6</v>
      </c>
      <c r="E1241" s="17" t="s">
        <v>7</v>
      </c>
      <c r="F1241" s="18" t="s">
        <v>3728</v>
      </c>
      <c r="G1241" s="19" t="s">
        <v>3729</v>
      </c>
      <c r="H1241" s="20" t="s">
        <v>3797</v>
      </c>
    </row>
    <row r="1242" spans="1:11" ht="12.75" customHeight="1">
      <c r="A1242" s="21"/>
      <c r="B1242" s="22" t="s">
        <v>3730</v>
      </c>
      <c r="C1242" s="23"/>
      <c r="D1242" s="24"/>
      <c r="E1242" s="25"/>
      <c r="F1242" s="26"/>
      <c r="G1242" s="27">
        <f>SUM(G1243:G1247)</f>
        <v>106355.55</v>
      </c>
      <c r="H1242" s="27">
        <f>IFERROR(G1242*E1240,"")</f>
        <v>0</v>
      </c>
    </row>
    <row r="1243" spans="1:11" ht="12.75" customHeight="1">
      <c r="A1243" s="28"/>
      <c r="B1243" s="29" t="s">
        <v>2840</v>
      </c>
      <c r="C1243" s="30" t="str">
        <f>IFERROR(_xlfn.XLOOKUP(B1243,Insumo[DESCRIPCION],Insumo[UND],,0),"")</f>
        <v>Un</v>
      </c>
      <c r="D1243" s="31">
        <v>1</v>
      </c>
      <c r="E1243" s="32">
        <f>IFERROR(_xlfn.XLOOKUP($B1243,Insumo[DESCRIPCION],Insumo[VALOR],,0),"")</f>
        <v>101557.05</v>
      </c>
      <c r="F1243" s="33"/>
      <c r="G1243" s="34">
        <f>IFERROR(IF(F1243&gt;=0,D1243*E1243*(1+F1243/100),ABS(D1243*E1243/F1243)),"")</f>
        <v>101557.05</v>
      </c>
      <c r="H1243" s="43">
        <f>IFERROR(G1243*E1240,"")</f>
        <v>0</v>
      </c>
    </row>
    <row r="1244" spans="1:11" ht="12.75" customHeight="1">
      <c r="A1244" s="28"/>
      <c r="B1244" s="29" t="s">
        <v>2644</v>
      </c>
      <c r="C1244" s="30" t="str">
        <f>IFERROR(_xlfn.XLOOKUP(B1244,Insumo[DESCRIPCION],Insumo[UND],,0),"")</f>
        <v>Un</v>
      </c>
      <c r="D1244" s="31">
        <v>2</v>
      </c>
      <c r="E1244" s="32">
        <f>IFERROR(_xlfn.XLOOKUP($B1244,Insumo[DESCRIPCION],Insumo[VALOR],,0),"")</f>
        <v>2399.25</v>
      </c>
      <c r="F1244" s="33"/>
      <c r="G1244" s="34">
        <f>IFERROR(IF(F1244&gt;=0,D1244*E1244*(1+F1244/100),ABS(D1244*E1244/F1244)),"")</f>
        <v>4798.5</v>
      </c>
      <c r="H1244" s="43">
        <f>IFERROR(G1244*E1240,"")</f>
        <v>0</v>
      </c>
    </row>
    <row r="1245" spans="1:11" ht="12.75" customHeight="1">
      <c r="A1245" s="28"/>
      <c r="B1245" s="29"/>
      <c r="C1245" s="30" t="str">
        <f>IFERROR(_xlfn.XLOOKUP(B1245,Insumo[DESCRIPCION],Insumo[UND],,0),"")</f>
        <v/>
      </c>
      <c r="D1245" s="31"/>
      <c r="E1245" s="32" t="str">
        <f>IFERROR(_xlfn.XLOOKUP($B1245,Insumo[DESCRIPCION],Insumo[VALOR],,0),"")</f>
        <v/>
      </c>
      <c r="F1245" s="33"/>
      <c r="G1245" s="34" t="str">
        <f>IFERROR(IF(F1245&gt;=0,D1245*E1245*(1+F1245/100),ABS(D1245*E1245/F1245)),"")</f>
        <v/>
      </c>
      <c r="H1245" s="43" t="str">
        <f>IFERROR(G1245*E1240,"")</f>
        <v/>
      </c>
    </row>
    <row r="1246" spans="1:11" ht="12.75" customHeight="1">
      <c r="A1246" s="28"/>
      <c r="B1246" s="29"/>
      <c r="C1246" s="30" t="str">
        <f>IFERROR(_xlfn.XLOOKUP(B1246,Insumo[DESCRIPCION],Insumo[UND],,0),"")</f>
        <v/>
      </c>
      <c r="D1246" s="31"/>
      <c r="E1246" s="32" t="str">
        <f>IFERROR(_xlfn.XLOOKUP($B1246,Insumo[DESCRIPCION],Insumo[VALOR],,0),"")</f>
        <v/>
      </c>
      <c r="F1246" s="33"/>
      <c r="G1246" s="34" t="str">
        <f>IFERROR(IF(F1246&gt;=0,D1246*E1246*(1+F1246/100),ABS(D1246*E1246/F1246)),"")</f>
        <v/>
      </c>
      <c r="H1246" s="43" t="str">
        <f>IFERROR(G1246*E1240,"")</f>
        <v/>
      </c>
    </row>
    <row r="1247" spans="1:11" ht="12.75" customHeight="1">
      <c r="A1247" s="28"/>
      <c r="B1247" s="29"/>
      <c r="C1247" s="30" t="str">
        <f>IFERROR(_xlfn.XLOOKUP(B1247,Insumo[DESCRIPCION],Insumo[UND],,0),"")</f>
        <v/>
      </c>
      <c r="D1247" s="31"/>
      <c r="E1247" s="32" t="str">
        <f>IFERROR(_xlfn.XLOOKUP($B1247,Insumo[DESCRIPCION],Insumo[VALOR],,0),"")</f>
        <v/>
      </c>
      <c r="F1247" s="33"/>
      <c r="G1247" s="34" t="str">
        <f>IFERROR(IF(F1247&gt;=0,D1247*E1247*(1+F1247/100),ABS(D1247*E1247/F1247)),"")</f>
        <v/>
      </c>
      <c r="H1247" s="43" t="str">
        <f>IFERROR(G1247*E1240,"")</f>
        <v/>
      </c>
    </row>
    <row r="1248" spans="1:11" ht="12.75" customHeight="1">
      <c r="A1248" s="21"/>
      <c r="B1248" s="22" t="s">
        <v>3731</v>
      </c>
      <c r="C1248" s="23"/>
      <c r="D1248" s="24"/>
      <c r="E1248" s="25"/>
      <c r="F1248" s="26"/>
      <c r="G1248" s="27">
        <f>SUM(G1249:G1251)</f>
        <v>683.45815411956539</v>
      </c>
      <c r="H1248" s="44">
        <f>G1248*E1240</f>
        <v>0</v>
      </c>
    </row>
    <row r="1249" spans="1:11" ht="12.75" customHeight="1">
      <c r="A1249" s="28"/>
      <c r="B1249" s="29" t="s">
        <v>3626</v>
      </c>
      <c r="C1249" s="30" t="str">
        <f>IFERROR(_xlfn.XLOOKUP(B1249,Equipo[DESCRIPCION],Equipo[UND],,0),"")</f>
        <v>%MO</v>
      </c>
      <c r="D1249" s="31">
        <v>0.05</v>
      </c>
      <c r="E1249" s="32">
        <f>IF(C1249="%MO",G1255,IFERROR(_xlfn.XLOOKUP($B1249,Equipo[DESCRIPCION],Equipo[VALOR],,0),""))</f>
        <v>13669.163082391307</v>
      </c>
      <c r="F1249" s="33"/>
      <c r="G1249" s="34">
        <f>IFERROR(IF(F1249&gt;=0,D1249*E1249*(1+F1249/100),ABS(D1249*E1249/F1249)),"")</f>
        <v>683.45815411956539</v>
      </c>
      <c r="H1249" s="43">
        <f>IFERROR(G1249*E1240,"")</f>
        <v>0</v>
      </c>
    </row>
    <row r="1250" spans="1:11" ht="12.75" customHeight="1">
      <c r="A1250" s="28"/>
      <c r="B1250" s="29"/>
      <c r="C1250" s="30" t="str">
        <f>IFERROR(_xlfn.XLOOKUP(B1250,Equipo[DESCRIPCION],Equipo[UND],,0),"")</f>
        <v/>
      </c>
      <c r="D1250" s="31"/>
      <c r="E1250" s="32" t="str">
        <f>IF(C1250="%MO",G1255,IFERROR(_xlfn.XLOOKUP($B1250,Equipo[DESCRIPCION],Equipo[VALOR],,0),""))</f>
        <v/>
      </c>
      <c r="F1250" s="33"/>
      <c r="G1250" s="34" t="str">
        <f>IFERROR(IF(F1250&gt;=0,D1250*E1250*(1+F1250/100),ABS(D1250*E1250/F1250)),"")</f>
        <v/>
      </c>
      <c r="H1250" s="43" t="str">
        <f>IFERROR(G1250*E1240,"")</f>
        <v/>
      </c>
    </row>
    <row r="1251" spans="1:11" ht="12.75" customHeight="1">
      <c r="A1251" s="28"/>
      <c r="B1251" s="29"/>
      <c r="C1251" s="30" t="str">
        <f>IFERROR(_xlfn.XLOOKUP(B1251,Equipo[DESCRIPCION],Equipo[UND],,0),"")</f>
        <v/>
      </c>
      <c r="D1251" s="31"/>
      <c r="E1251" s="32" t="str">
        <f>IF(C1251="%MO",G1255,IFERROR(_xlfn.XLOOKUP($B1251,Equipo[DESCRIPCION],Equipo[VALOR],,0),""))</f>
        <v/>
      </c>
      <c r="F1251" s="33"/>
      <c r="G1251" s="34" t="str">
        <f>IFERROR(IF(F1251&gt;=0,D1251*E1251*(1+F1251/100),ABS(D1251*E1251/F1251)),"")</f>
        <v/>
      </c>
      <c r="H1251" s="43" t="str">
        <f>IFERROR(G1251*E1240,"")</f>
        <v/>
      </c>
    </row>
    <row r="1252" spans="1:11" ht="12.75" customHeight="1">
      <c r="A1252" s="21"/>
      <c r="B1252" s="22" t="s">
        <v>2533</v>
      </c>
      <c r="C1252" s="23"/>
      <c r="D1252" s="24"/>
      <c r="E1252" s="25"/>
      <c r="F1252" s="26"/>
      <c r="G1252" s="27">
        <f>SUM(G1253:G1254)</f>
        <v>0</v>
      </c>
      <c r="H1252" s="44">
        <f>G1252*E1240</f>
        <v>0</v>
      </c>
    </row>
    <row r="1253" spans="1:11" ht="12.75" customHeight="1">
      <c r="A1253" s="28"/>
      <c r="B1253" s="29"/>
      <c r="C1253" s="30" t="str">
        <f>IFERROR(_xlfn.XLOOKUP(B1253,Transporte[DESCRIPCION],Transporte[UND],,0),"")</f>
        <v/>
      </c>
      <c r="D1253" s="31"/>
      <c r="E1253" s="32" t="str">
        <f>IFERROR(_xlfn.XLOOKUP($B1253,Transporte[DESCRIPCION],Transporte[VALOR],,0),"")</f>
        <v/>
      </c>
      <c r="F1253" s="33"/>
      <c r="G1253" s="34" t="str">
        <f>IFERROR(IF(F1253&gt;=0,D1253*E1253*(1+F1253/100),ABS(D1253*E1253/F1253)),"")</f>
        <v/>
      </c>
      <c r="H1253" s="43" t="str">
        <f>IFERROR(G1253*E1240,"")</f>
        <v/>
      </c>
    </row>
    <row r="1254" spans="1:11" ht="12.75" customHeight="1">
      <c r="A1254" s="28"/>
      <c r="B1254" s="29"/>
      <c r="C1254" s="30" t="str">
        <f>IFERROR(_xlfn.XLOOKUP(B1254,Transporte[DESCRIPCION],Transporte[UND],,0),"")</f>
        <v/>
      </c>
      <c r="D1254" s="31"/>
      <c r="E1254" s="32" t="str">
        <f>IFERROR(_xlfn.XLOOKUP($B1254,Transporte[DESCRIPCION],Transporte[VALOR],,0),"")</f>
        <v/>
      </c>
      <c r="F1254" s="33"/>
      <c r="G1254" s="34" t="str">
        <f>IFERROR(IF(F1254&gt;=0,D1254*E1254*(1+F1254/100),ABS(D1254*E1254/F1254)),"")</f>
        <v/>
      </c>
      <c r="H1254" s="43" t="str">
        <f>IFERROR(G1254*E1240,"")</f>
        <v/>
      </c>
    </row>
    <row r="1255" spans="1:11" ht="12.75" customHeight="1">
      <c r="A1255" s="21"/>
      <c r="B1255" s="22" t="s">
        <v>3732</v>
      </c>
      <c r="C1255" s="23"/>
      <c r="D1255" s="24"/>
      <c r="E1255" s="25"/>
      <c r="F1255" s="26"/>
      <c r="G1255" s="27">
        <f>SUM(G1256:G1258)</f>
        <v>13669.163082391307</v>
      </c>
      <c r="H1255" s="44">
        <f>G1255*E1240</f>
        <v>0</v>
      </c>
    </row>
    <row r="1256" spans="1:11" ht="12.75" customHeight="1">
      <c r="A1256" s="28"/>
      <c r="B1256" s="29" t="s">
        <v>3710</v>
      </c>
      <c r="C1256" s="30" t="str">
        <f>IFERROR(_xlfn.XLOOKUP(B1256,MObra[DESCRIPCION],MObra[UN],,0),"")</f>
        <v>día</v>
      </c>
      <c r="D1256" s="31">
        <v>1</v>
      </c>
      <c r="E1256" s="32">
        <f>IFERROR(_xlfn.XLOOKUP($B1256,MObra[DESCRIPCION],MObra[VALOR UNIT],,0),"")</f>
        <v>314390.75089500006</v>
      </c>
      <c r="F1256" s="33">
        <v>-23</v>
      </c>
      <c r="G1256" s="34">
        <f>IFERROR(IF(F1256&gt;=0,D1256*E1256*(1+F1256/100),ABS(D1256*E1256/F1256)),"")</f>
        <v>13669.163082391307</v>
      </c>
      <c r="H1256" s="43">
        <f>IFERROR(G1256*E1240,"")</f>
        <v>0</v>
      </c>
    </row>
    <row r="1257" spans="1:11" ht="12.75" customHeight="1">
      <c r="A1257" s="28"/>
      <c r="B1257" s="29"/>
      <c r="C1257" s="30" t="str">
        <f t="array" ref="C1257">IFERROR(_xlfn.XLOOKUP(B1257,MObra[[#All],[DESCRIPCION]],MObra[[#All],[UN]],,0),"")</f>
        <v/>
      </c>
      <c r="D1257" s="31"/>
      <c r="E1257" s="32" t="str">
        <f>IFERROR(_xlfn.XLOOKUP($B1257,MObra[DESCRIPCION],MObra[VALOR UNIT],,0),"")</f>
        <v/>
      </c>
      <c r="F1257" s="33"/>
      <c r="G1257" s="34" t="str">
        <f>IFERROR(IF(F1257&gt;=0,D1257*E1257*(1+F1257/100),ABS(D1257*E1257/F1257)),"")</f>
        <v/>
      </c>
      <c r="H1257" s="43" t="str">
        <f>IFERROR(G1257*E1240,"")</f>
        <v/>
      </c>
    </row>
    <row r="1258" spans="1:11" ht="12.75" customHeight="1" thickBot="1">
      <c r="A1258" s="35"/>
      <c r="B1258" s="36"/>
      <c r="C1258" s="37" t="str">
        <f t="array" ref="C1258">IFERROR(_xlfn.XLOOKUP(B1258,MObra[[#All],[DESCRIPCION]],MObra[[#All],[UN]],,0),"")</f>
        <v/>
      </c>
      <c r="D1258" s="38"/>
      <c r="E1258" s="39" t="str">
        <f>IFERROR(_xlfn.XLOOKUP($B1258,MObra[DESCRIPCION],MObra[VALOR UNIT],,0),"")</f>
        <v/>
      </c>
      <c r="F1258" s="40"/>
      <c r="G1258" s="41" t="str">
        <f>IFERROR(IF(F1258&gt;=0,D1258*E1258*(1+F1258/100),ABS(D1258*E1258/F1258)),"")</f>
        <v/>
      </c>
      <c r="H1258" s="42" t="str">
        <f>IFERROR(G1258*E1240,"")</f>
        <v/>
      </c>
    </row>
    <row r="1259" spans="1:11" ht="12.75" customHeight="1" thickTop="1" thickBot="1"/>
    <row r="1260" spans="1:11" ht="12.75" customHeight="1" thickTop="1" thickBot="1">
      <c r="A1260" s="6" t="s">
        <v>723</v>
      </c>
      <c r="B1260" s="7" t="str">
        <f>VLOOKUP($A1260,Presupuesto!$A:$D,2,FALSE())</f>
        <v>Cheque 1"</v>
      </c>
      <c r="C1260" s="8" t="str">
        <f>VLOOKUP($A1260,Presupuesto!$A:$D,3,FALSE())</f>
        <v>Un</v>
      </c>
      <c r="D1260" s="9"/>
      <c r="E1260" s="10">
        <f>VLOOKUP($A1260,Presupuesto!$A:$D,4,FALSE())</f>
        <v>0</v>
      </c>
      <c r="F1260" s="11" t="s">
        <v>2589</v>
      </c>
      <c r="G1260" s="12">
        <f>SUM(G1262:G1278)/2</f>
        <v>175358.38754475003</v>
      </c>
      <c r="H1260" s="13">
        <f>ROUND(SUM(H1262:H1278),0)/2</f>
        <v>0</v>
      </c>
      <c r="I1260" s="10">
        <f>VLOOKUP(A1260,Presupuesto!$A:$F,6,0)</f>
        <v>0</v>
      </c>
      <c r="J1260" s="10">
        <f>+H1260-I1260</f>
        <v>0</v>
      </c>
      <c r="K1260" s="46">
        <f>+H1260-G1260*E1260</f>
        <v>0</v>
      </c>
    </row>
    <row r="1261" spans="1:11" ht="12.75" customHeight="1" thickTop="1">
      <c r="A1261" s="14"/>
      <c r="B1261" s="15" t="s">
        <v>2586</v>
      </c>
      <c r="C1261" s="15" t="s">
        <v>5</v>
      </c>
      <c r="D1261" s="16" t="s">
        <v>6</v>
      </c>
      <c r="E1261" s="17" t="s">
        <v>7</v>
      </c>
      <c r="F1261" s="18" t="s">
        <v>3728</v>
      </c>
      <c r="G1261" s="19" t="s">
        <v>3729</v>
      </c>
      <c r="H1261" s="20" t="s">
        <v>3797</v>
      </c>
    </row>
    <row r="1262" spans="1:11" ht="12.75" customHeight="1">
      <c r="A1262" s="21"/>
      <c r="B1262" s="22" t="s">
        <v>3730</v>
      </c>
      <c r="C1262" s="23"/>
      <c r="D1262" s="24"/>
      <c r="E1262" s="25"/>
      <c r="F1262" s="26"/>
      <c r="G1262" s="27">
        <f>SUM(G1263:G1267)</f>
        <v>159638.85</v>
      </c>
      <c r="H1262" s="27">
        <f>IFERROR(G1262*E1260,"")</f>
        <v>0</v>
      </c>
    </row>
    <row r="1263" spans="1:11" ht="12.75" customHeight="1">
      <c r="A1263" s="28"/>
      <c r="B1263" s="29" t="s">
        <v>2837</v>
      </c>
      <c r="C1263" s="30" t="str">
        <f>IFERROR(_xlfn.XLOOKUP(B1263,Insumo[DESCRIPCION],Insumo[UND],,0),"")</f>
        <v>Un</v>
      </c>
      <c r="D1263" s="31">
        <v>1</v>
      </c>
      <c r="E1263" s="32">
        <f>IFERROR(_xlfn.XLOOKUP($B1263,Insumo[DESCRIPCION],Insumo[VALOR],,0),"")</f>
        <v>150262.35</v>
      </c>
      <c r="F1263" s="33"/>
      <c r="G1263" s="34">
        <f>IFERROR(IF(F1263&gt;=0,D1263*E1263*(1+F1263/100),ABS(D1263*E1263/F1263)),"")</f>
        <v>150262.35</v>
      </c>
      <c r="H1263" s="43">
        <f>IFERROR(G1263*E1260,"")</f>
        <v>0</v>
      </c>
    </row>
    <row r="1264" spans="1:11" ht="12.75" customHeight="1">
      <c r="A1264" s="28"/>
      <c r="B1264" s="29" t="s">
        <v>2639</v>
      </c>
      <c r="C1264" s="30" t="str">
        <f>IFERROR(_xlfn.XLOOKUP(B1264,Insumo[DESCRIPCION],Insumo[UND],,0),"")</f>
        <v>Un</v>
      </c>
      <c r="D1264" s="31">
        <v>2</v>
      </c>
      <c r="E1264" s="32">
        <f>IFERROR(_xlfn.XLOOKUP($B1264,Insumo[DESCRIPCION],Insumo[VALOR],,0),"")</f>
        <v>4688.25</v>
      </c>
      <c r="F1264" s="33"/>
      <c r="G1264" s="34">
        <f>IFERROR(IF(F1264&gt;=0,D1264*E1264*(1+F1264/100),ABS(D1264*E1264/F1264)),"")</f>
        <v>9376.5</v>
      </c>
      <c r="H1264" s="43">
        <f>IFERROR(G1264*E1260,"")</f>
        <v>0</v>
      </c>
    </row>
    <row r="1265" spans="1:11" ht="12.75" customHeight="1">
      <c r="A1265" s="28"/>
      <c r="B1265" s="29"/>
      <c r="C1265" s="30" t="str">
        <f>IFERROR(_xlfn.XLOOKUP(B1265,Insumo[DESCRIPCION],Insumo[UND],,0),"")</f>
        <v/>
      </c>
      <c r="D1265" s="31"/>
      <c r="E1265" s="32" t="str">
        <f>IFERROR(_xlfn.XLOOKUP($B1265,Insumo[DESCRIPCION],Insumo[VALOR],,0),"")</f>
        <v/>
      </c>
      <c r="F1265" s="33"/>
      <c r="G1265" s="34" t="str">
        <f>IFERROR(IF(F1265&gt;=0,D1265*E1265*(1+F1265/100),ABS(D1265*E1265/F1265)),"")</f>
        <v/>
      </c>
      <c r="H1265" s="43" t="str">
        <f>IFERROR(G1265*E1260,"")</f>
        <v/>
      </c>
    </row>
    <row r="1266" spans="1:11" ht="12.75" customHeight="1">
      <c r="A1266" s="28"/>
      <c r="B1266" s="29"/>
      <c r="C1266" s="30" t="str">
        <f>IFERROR(_xlfn.XLOOKUP(B1266,Insumo[DESCRIPCION],Insumo[UND],,0),"")</f>
        <v/>
      </c>
      <c r="D1266" s="31"/>
      <c r="E1266" s="32" t="str">
        <f>IFERROR(_xlfn.XLOOKUP($B1266,Insumo[DESCRIPCION],Insumo[VALOR],,0),"")</f>
        <v/>
      </c>
      <c r="F1266" s="33"/>
      <c r="G1266" s="34" t="str">
        <f>IFERROR(IF(F1266&gt;=0,D1266*E1266*(1+F1266/100),ABS(D1266*E1266/F1266)),"")</f>
        <v/>
      </c>
      <c r="H1266" s="43" t="str">
        <f>IFERROR(G1266*E1260,"")</f>
        <v/>
      </c>
    </row>
    <row r="1267" spans="1:11" ht="12.75" customHeight="1">
      <c r="A1267" s="28"/>
      <c r="B1267" s="29"/>
      <c r="C1267" s="30" t="str">
        <f>IFERROR(_xlfn.XLOOKUP(B1267,Insumo[DESCRIPCION],Insumo[UND],,0),"")</f>
        <v/>
      </c>
      <c r="D1267" s="31"/>
      <c r="E1267" s="32" t="str">
        <f>IFERROR(_xlfn.XLOOKUP($B1267,Insumo[DESCRIPCION],Insumo[VALOR],,0),"")</f>
        <v/>
      </c>
      <c r="F1267" s="33"/>
      <c r="G1267" s="34" t="str">
        <f>IFERROR(IF(F1267&gt;=0,D1267*E1267*(1+F1267/100),ABS(D1267*E1267/F1267)),"")</f>
        <v/>
      </c>
      <c r="H1267" s="43" t="str">
        <f>IFERROR(G1267*E1260,"")</f>
        <v/>
      </c>
    </row>
    <row r="1268" spans="1:11" ht="12.75" customHeight="1">
      <c r="A1268" s="21"/>
      <c r="B1268" s="22" t="s">
        <v>3731</v>
      </c>
      <c r="C1268" s="23"/>
      <c r="D1268" s="24"/>
      <c r="E1268" s="25"/>
      <c r="F1268" s="26"/>
      <c r="G1268" s="27">
        <f>SUM(G1269:G1271)</f>
        <v>748.54940689285741</v>
      </c>
      <c r="H1268" s="44">
        <f>G1268*E1260</f>
        <v>0</v>
      </c>
    </row>
    <row r="1269" spans="1:11" ht="12.75" customHeight="1">
      <c r="A1269" s="28"/>
      <c r="B1269" s="29" t="s">
        <v>3626</v>
      </c>
      <c r="C1269" s="30" t="str">
        <f>IFERROR(_xlfn.XLOOKUP(B1269,Equipo[DESCRIPCION],Equipo[UND],,0),"")</f>
        <v>%MO</v>
      </c>
      <c r="D1269" s="31">
        <v>0.05</v>
      </c>
      <c r="E1269" s="32">
        <f>IF(C1269="%MO",G1275,IFERROR(_xlfn.XLOOKUP($B1269,Equipo[DESCRIPCION],Equipo[VALOR],,0),""))</f>
        <v>14970.988137857146</v>
      </c>
      <c r="F1269" s="33"/>
      <c r="G1269" s="34">
        <f>IFERROR(IF(F1269&gt;=0,D1269*E1269*(1+F1269/100),ABS(D1269*E1269/F1269)),"")</f>
        <v>748.54940689285741</v>
      </c>
      <c r="H1269" s="43">
        <f>IFERROR(G1269*E1260,"")</f>
        <v>0</v>
      </c>
    </row>
    <row r="1270" spans="1:11" ht="12.75" customHeight="1">
      <c r="A1270" s="28"/>
      <c r="B1270" s="29"/>
      <c r="C1270" s="30" t="str">
        <f>IFERROR(_xlfn.XLOOKUP(B1270,Equipo[DESCRIPCION],Equipo[UND],,0),"")</f>
        <v/>
      </c>
      <c r="D1270" s="31"/>
      <c r="E1270" s="32" t="str">
        <f>IF(C1270="%MO",G1275,IFERROR(_xlfn.XLOOKUP($B1270,Equipo[DESCRIPCION],Equipo[VALOR],,0),""))</f>
        <v/>
      </c>
      <c r="F1270" s="33"/>
      <c r="G1270" s="34" t="str">
        <f>IFERROR(IF(F1270&gt;=0,D1270*E1270*(1+F1270/100),ABS(D1270*E1270/F1270)),"")</f>
        <v/>
      </c>
      <c r="H1270" s="43" t="str">
        <f>IFERROR(G1270*E1260,"")</f>
        <v/>
      </c>
    </row>
    <row r="1271" spans="1:11" ht="12.75" customHeight="1">
      <c r="A1271" s="28"/>
      <c r="B1271" s="29"/>
      <c r="C1271" s="30" t="str">
        <f>IFERROR(_xlfn.XLOOKUP(B1271,Equipo[DESCRIPCION],Equipo[UND],,0),"")</f>
        <v/>
      </c>
      <c r="D1271" s="31"/>
      <c r="E1271" s="32" t="str">
        <f>IF(C1271="%MO",G1275,IFERROR(_xlfn.XLOOKUP($B1271,Equipo[DESCRIPCION],Equipo[VALOR],,0),""))</f>
        <v/>
      </c>
      <c r="F1271" s="33"/>
      <c r="G1271" s="34" t="str">
        <f>IFERROR(IF(F1271&gt;=0,D1271*E1271*(1+F1271/100),ABS(D1271*E1271/F1271)),"")</f>
        <v/>
      </c>
      <c r="H1271" s="43" t="str">
        <f>IFERROR(G1271*E1260,"")</f>
        <v/>
      </c>
    </row>
    <row r="1272" spans="1:11" ht="12.75" customHeight="1">
      <c r="A1272" s="21"/>
      <c r="B1272" s="22" t="s">
        <v>2533</v>
      </c>
      <c r="C1272" s="23"/>
      <c r="D1272" s="24"/>
      <c r="E1272" s="25"/>
      <c r="F1272" s="26"/>
      <c r="G1272" s="27">
        <f>SUM(G1273:G1274)</f>
        <v>0</v>
      </c>
      <c r="H1272" s="44">
        <f>G1272*E1260</f>
        <v>0</v>
      </c>
    </row>
    <row r="1273" spans="1:11" ht="12.75" customHeight="1">
      <c r="A1273" s="28"/>
      <c r="B1273" s="29"/>
      <c r="C1273" s="30" t="str">
        <f>IFERROR(_xlfn.XLOOKUP(B1273,Transporte[DESCRIPCION],Transporte[UND],,0),"")</f>
        <v/>
      </c>
      <c r="D1273" s="31"/>
      <c r="E1273" s="32" t="str">
        <f>IFERROR(_xlfn.XLOOKUP($B1273,Transporte[DESCRIPCION],Transporte[VALOR],,0),"")</f>
        <v/>
      </c>
      <c r="F1273" s="33"/>
      <c r="G1273" s="34" t="str">
        <f>IFERROR(IF(F1273&gt;=0,D1273*E1273*(1+F1273/100),ABS(D1273*E1273/F1273)),"")</f>
        <v/>
      </c>
      <c r="H1273" s="43" t="str">
        <f>IFERROR(G1273*E1260,"")</f>
        <v/>
      </c>
    </row>
    <row r="1274" spans="1:11" ht="12.75" customHeight="1">
      <c r="A1274" s="28"/>
      <c r="B1274" s="29"/>
      <c r="C1274" s="30" t="str">
        <f>IFERROR(_xlfn.XLOOKUP(B1274,Transporte[DESCRIPCION],Transporte[UND],,0),"")</f>
        <v/>
      </c>
      <c r="D1274" s="31"/>
      <c r="E1274" s="32" t="str">
        <f>IFERROR(_xlfn.XLOOKUP($B1274,Transporte[DESCRIPCION],Transporte[VALOR],,0),"")</f>
        <v/>
      </c>
      <c r="F1274" s="33"/>
      <c r="G1274" s="34" t="str">
        <f>IFERROR(IF(F1274&gt;=0,D1274*E1274*(1+F1274/100),ABS(D1274*E1274/F1274)),"")</f>
        <v/>
      </c>
      <c r="H1274" s="43" t="str">
        <f>IFERROR(G1274*E1260,"")</f>
        <v/>
      </c>
    </row>
    <row r="1275" spans="1:11" ht="12.75" customHeight="1">
      <c r="A1275" s="21"/>
      <c r="B1275" s="22" t="s">
        <v>3732</v>
      </c>
      <c r="C1275" s="23"/>
      <c r="D1275" s="24"/>
      <c r="E1275" s="25"/>
      <c r="F1275" s="26"/>
      <c r="G1275" s="27">
        <f>SUM(G1276:G1278)</f>
        <v>14970.988137857146</v>
      </c>
      <c r="H1275" s="44">
        <f>G1275*E1260</f>
        <v>0</v>
      </c>
    </row>
    <row r="1276" spans="1:11" ht="12.75" customHeight="1">
      <c r="A1276" s="28"/>
      <c r="B1276" s="29" t="s">
        <v>3710</v>
      </c>
      <c r="C1276" s="30" t="str">
        <f>IFERROR(_xlfn.XLOOKUP(B1276,MObra[DESCRIPCION],MObra[UN],,0),"")</f>
        <v>día</v>
      </c>
      <c r="D1276" s="31">
        <v>1</v>
      </c>
      <c r="E1276" s="32">
        <f>IFERROR(_xlfn.XLOOKUP($B1276,MObra[DESCRIPCION],MObra[VALOR UNIT],,0),"")</f>
        <v>314390.75089500006</v>
      </c>
      <c r="F1276" s="33">
        <v>-21</v>
      </c>
      <c r="G1276" s="34">
        <f>IFERROR(IF(F1276&gt;=0,D1276*E1276*(1+F1276/100),ABS(D1276*E1276/F1276)),"")</f>
        <v>14970.988137857146</v>
      </c>
      <c r="H1276" s="43">
        <f>IFERROR(G1276*E1260,"")</f>
        <v>0</v>
      </c>
    </row>
    <row r="1277" spans="1:11" ht="12.75" customHeight="1">
      <c r="A1277" s="28"/>
      <c r="B1277" s="29"/>
      <c r="C1277" s="30" t="str">
        <f t="array" ref="C1277">IFERROR(_xlfn.XLOOKUP(B1277,MObra[[#All],[DESCRIPCION]],MObra[[#All],[UN]],,0),"")</f>
        <v/>
      </c>
      <c r="D1277" s="31"/>
      <c r="E1277" s="32" t="str">
        <f>IFERROR(_xlfn.XLOOKUP($B1277,MObra[DESCRIPCION],MObra[VALOR UNIT],,0),"")</f>
        <v/>
      </c>
      <c r="F1277" s="33"/>
      <c r="G1277" s="34" t="str">
        <f>IFERROR(IF(F1277&gt;=0,D1277*E1277*(1+F1277/100),ABS(D1277*E1277/F1277)),"")</f>
        <v/>
      </c>
      <c r="H1277" s="43" t="str">
        <f>IFERROR(G1277*E1260,"")</f>
        <v/>
      </c>
    </row>
    <row r="1278" spans="1:11" ht="12.75" customHeight="1" thickBot="1">
      <c r="A1278" s="35"/>
      <c r="B1278" s="36"/>
      <c r="C1278" s="37" t="str">
        <f t="array" ref="C1278">IFERROR(_xlfn.XLOOKUP(B1278,MObra[[#All],[DESCRIPCION]],MObra[[#All],[UN]],,0),"")</f>
        <v/>
      </c>
      <c r="D1278" s="38"/>
      <c r="E1278" s="39" t="str">
        <f>IFERROR(_xlfn.XLOOKUP($B1278,MObra[DESCRIPCION],MObra[VALOR UNIT],,0),"")</f>
        <v/>
      </c>
      <c r="F1278" s="40"/>
      <c r="G1278" s="41" t="str">
        <f>IFERROR(IF(F1278&gt;=0,D1278*E1278*(1+F1278/100),ABS(D1278*E1278/F1278)),"")</f>
        <v/>
      </c>
      <c r="H1278" s="42" t="str">
        <f>IFERROR(G1278*E1260,"")</f>
        <v/>
      </c>
    </row>
    <row r="1279" spans="1:11" ht="12.75" customHeight="1" thickTop="1" thickBot="1"/>
    <row r="1280" spans="1:11" ht="12.75" customHeight="1" thickTop="1" thickBot="1">
      <c r="A1280" s="6" t="s">
        <v>725</v>
      </c>
      <c r="B1280" s="7" t="str">
        <f>VLOOKUP($A1280,Presupuesto!$A:$D,2,FALSE())</f>
        <v>Cheque 1 - 1/4"</v>
      </c>
      <c r="C1280" s="8" t="str">
        <f>VLOOKUP($A1280,Presupuesto!$A:$D,3,FALSE())</f>
        <v>Un</v>
      </c>
      <c r="D1280" s="9"/>
      <c r="E1280" s="10">
        <f>VLOOKUP($A1280,Presupuesto!$A:$D,4,FALSE())</f>
        <v>0</v>
      </c>
      <c r="F1280" s="11" t="s">
        <v>2589</v>
      </c>
      <c r="G1280" s="12">
        <f>SUM(G1282:G1298)/2</f>
        <v>279939.32570735528</v>
      </c>
      <c r="H1280" s="13">
        <f>ROUND(SUM(H1282:H1298),0)/2</f>
        <v>0</v>
      </c>
      <c r="I1280" s="10">
        <f>VLOOKUP(A1280,Presupuesto!$A:$F,6,0)</f>
        <v>0</v>
      </c>
      <c r="J1280" s="10">
        <f>+H1280-I1280</f>
        <v>0</v>
      </c>
      <c r="K1280" s="46">
        <f>+H1280-G1280*E1280</f>
        <v>0</v>
      </c>
    </row>
    <row r="1281" spans="1:8" ht="12.75" customHeight="1" thickTop="1">
      <c r="A1281" s="14"/>
      <c r="B1281" s="15" t="s">
        <v>2586</v>
      </c>
      <c r="C1281" s="15" t="s">
        <v>5</v>
      </c>
      <c r="D1281" s="16" t="s">
        <v>6</v>
      </c>
      <c r="E1281" s="17" t="s">
        <v>7</v>
      </c>
      <c r="F1281" s="18" t="s">
        <v>3728</v>
      </c>
      <c r="G1281" s="19" t="s">
        <v>3729</v>
      </c>
      <c r="H1281" s="20" t="s">
        <v>3797</v>
      </c>
    </row>
    <row r="1282" spans="1:8" ht="12.75" customHeight="1">
      <c r="A1282" s="21"/>
      <c r="B1282" s="22" t="s">
        <v>3730</v>
      </c>
      <c r="C1282" s="23"/>
      <c r="D1282" s="24"/>
      <c r="E1282" s="25"/>
      <c r="F1282" s="26"/>
      <c r="G1282" s="27">
        <f>SUM(G1283:G1287)</f>
        <v>262565.09999999998</v>
      </c>
      <c r="H1282" s="27">
        <f>IFERROR(G1282*E1280,"")</f>
        <v>0</v>
      </c>
    </row>
    <row r="1283" spans="1:8" ht="12.75" customHeight="1">
      <c r="A1283" s="28"/>
      <c r="B1283" s="29" t="s">
        <v>2836</v>
      </c>
      <c r="C1283" s="30" t="str">
        <f>IFERROR(_xlfn.XLOOKUP(B1283,Insumo[DESCRIPCION],Insumo[UND],,0),"")</f>
        <v>Un</v>
      </c>
      <c r="D1283" s="31">
        <v>1</v>
      </c>
      <c r="E1283" s="32">
        <f>IFERROR(_xlfn.XLOOKUP($B1283,Insumo[DESCRIPCION],Insumo[VALOR],,0),"")</f>
        <v>238236.6</v>
      </c>
      <c r="F1283" s="33"/>
      <c r="G1283" s="34">
        <f>IFERROR(IF(F1283&gt;=0,D1283*E1283*(1+F1283/100),ABS(D1283*E1283/F1283)),"")</f>
        <v>238236.6</v>
      </c>
      <c r="H1283" s="43">
        <f>IFERROR(G1283*E1280,"")</f>
        <v>0</v>
      </c>
    </row>
    <row r="1284" spans="1:8" ht="12.75" customHeight="1">
      <c r="A1284" s="28"/>
      <c r="B1284" s="29" t="s">
        <v>2638</v>
      </c>
      <c r="C1284" s="30" t="str">
        <f>IFERROR(_xlfn.XLOOKUP(B1284,Insumo[DESCRIPCION],Insumo[UND],,0),"")</f>
        <v>Un</v>
      </c>
      <c r="D1284" s="31">
        <v>2</v>
      </c>
      <c r="E1284" s="32">
        <f>IFERROR(_xlfn.XLOOKUP($B1284,Insumo[DESCRIPCION],Insumo[VALOR],,0),"")</f>
        <v>12164.25</v>
      </c>
      <c r="F1284" s="33"/>
      <c r="G1284" s="34">
        <f>IFERROR(IF(F1284&gt;=0,D1284*E1284*(1+F1284/100),ABS(D1284*E1284/F1284)),"")</f>
        <v>24328.5</v>
      </c>
      <c r="H1284" s="43">
        <f>IFERROR(G1284*E1280,"")</f>
        <v>0</v>
      </c>
    </row>
    <row r="1285" spans="1:8" ht="12.75" customHeight="1">
      <c r="A1285" s="28"/>
      <c r="B1285" s="29"/>
      <c r="C1285" s="30" t="str">
        <f>IFERROR(_xlfn.XLOOKUP(B1285,Insumo[DESCRIPCION],Insumo[UND],,0),"")</f>
        <v/>
      </c>
      <c r="D1285" s="31"/>
      <c r="E1285" s="32" t="str">
        <f>IFERROR(_xlfn.XLOOKUP($B1285,Insumo[DESCRIPCION],Insumo[VALOR],,0),"")</f>
        <v/>
      </c>
      <c r="F1285" s="33"/>
      <c r="G1285" s="34" t="str">
        <f>IFERROR(IF(F1285&gt;=0,D1285*E1285*(1+F1285/100),ABS(D1285*E1285/F1285)),"")</f>
        <v/>
      </c>
      <c r="H1285" s="43" t="str">
        <f>IFERROR(G1285*E1280,"")</f>
        <v/>
      </c>
    </row>
    <row r="1286" spans="1:8" ht="12.75" customHeight="1">
      <c r="A1286" s="28"/>
      <c r="B1286" s="29"/>
      <c r="C1286" s="30" t="str">
        <f>IFERROR(_xlfn.XLOOKUP(B1286,Insumo[DESCRIPCION],Insumo[UND],,0),"")</f>
        <v/>
      </c>
      <c r="D1286" s="31"/>
      <c r="E1286" s="32" t="str">
        <f>IFERROR(_xlfn.XLOOKUP($B1286,Insumo[DESCRIPCION],Insumo[VALOR],,0),"")</f>
        <v/>
      </c>
      <c r="F1286" s="33"/>
      <c r="G1286" s="34" t="str">
        <f>IFERROR(IF(F1286&gt;=0,D1286*E1286*(1+F1286/100),ABS(D1286*E1286/F1286)),"")</f>
        <v/>
      </c>
      <c r="H1286" s="43" t="str">
        <f>IFERROR(G1286*E1280,"")</f>
        <v/>
      </c>
    </row>
    <row r="1287" spans="1:8" ht="12.75" customHeight="1">
      <c r="A1287" s="28"/>
      <c r="B1287" s="29"/>
      <c r="C1287" s="30" t="str">
        <f>IFERROR(_xlfn.XLOOKUP(B1287,Insumo[DESCRIPCION],Insumo[UND],,0),"")</f>
        <v/>
      </c>
      <c r="D1287" s="31"/>
      <c r="E1287" s="32" t="str">
        <f>IFERROR(_xlfn.XLOOKUP($B1287,Insumo[DESCRIPCION],Insumo[VALOR],,0),"")</f>
        <v/>
      </c>
      <c r="F1287" s="33"/>
      <c r="G1287" s="34" t="str">
        <f>IFERROR(IF(F1287&gt;=0,D1287*E1287*(1+F1287/100),ABS(D1287*E1287/F1287)),"")</f>
        <v/>
      </c>
      <c r="H1287" s="43" t="str">
        <f>IFERROR(G1287*E1280,"")</f>
        <v/>
      </c>
    </row>
    <row r="1288" spans="1:8" ht="12.75" customHeight="1">
      <c r="A1288" s="21"/>
      <c r="B1288" s="22" t="s">
        <v>3731</v>
      </c>
      <c r="C1288" s="23"/>
      <c r="D1288" s="24"/>
      <c r="E1288" s="25"/>
      <c r="F1288" s="26"/>
      <c r="G1288" s="27">
        <f>SUM(G1289:G1291)</f>
        <v>827.34408130263182</v>
      </c>
      <c r="H1288" s="44">
        <f>G1288*E1280</f>
        <v>0</v>
      </c>
    </row>
    <row r="1289" spans="1:8" ht="12.75" customHeight="1">
      <c r="A1289" s="28"/>
      <c r="B1289" s="29" t="s">
        <v>3626</v>
      </c>
      <c r="C1289" s="30" t="str">
        <f>IFERROR(_xlfn.XLOOKUP(B1289,Equipo[DESCRIPCION],Equipo[UND],,0),"")</f>
        <v>%MO</v>
      </c>
      <c r="D1289" s="31">
        <v>0.05</v>
      </c>
      <c r="E1289" s="32">
        <f>IF(C1289="%MO",G1295,IFERROR(_xlfn.XLOOKUP($B1289,Equipo[DESCRIPCION],Equipo[VALOR],,0),""))</f>
        <v>16546.881626052636</v>
      </c>
      <c r="F1289" s="33"/>
      <c r="G1289" s="34">
        <f>IFERROR(IF(F1289&gt;=0,D1289*E1289*(1+F1289/100),ABS(D1289*E1289/F1289)),"")</f>
        <v>827.34408130263182</v>
      </c>
      <c r="H1289" s="43">
        <f>IFERROR(G1289*E1280,"")</f>
        <v>0</v>
      </c>
    </row>
    <row r="1290" spans="1:8" ht="12.75" customHeight="1">
      <c r="A1290" s="28"/>
      <c r="B1290" s="29"/>
      <c r="C1290" s="30" t="str">
        <f>IFERROR(_xlfn.XLOOKUP(B1290,Equipo[DESCRIPCION],Equipo[UND],,0),"")</f>
        <v/>
      </c>
      <c r="D1290" s="31"/>
      <c r="E1290" s="32" t="str">
        <f>IF(C1290="%MO",G1295,IFERROR(_xlfn.XLOOKUP($B1290,Equipo[DESCRIPCION],Equipo[VALOR],,0),""))</f>
        <v/>
      </c>
      <c r="F1290" s="33"/>
      <c r="G1290" s="34" t="str">
        <f>IFERROR(IF(F1290&gt;=0,D1290*E1290*(1+F1290/100),ABS(D1290*E1290/F1290)),"")</f>
        <v/>
      </c>
      <c r="H1290" s="43" t="str">
        <f>IFERROR(G1290*E1280,"")</f>
        <v/>
      </c>
    </row>
    <row r="1291" spans="1:8" ht="12.75" customHeight="1">
      <c r="A1291" s="28"/>
      <c r="B1291" s="29"/>
      <c r="C1291" s="30" t="str">
        <f>IFERROR(_xlfn.XLOOKUP(B1291,Equipo[DESCRIPCION],Equipo[UND],,0),"")</f>
        <v/>
      </c>
      <c r="D1291" s="31"/>
      <c r="E1291" s="32" t="str">
        <f>IF(C1291="%MO",G1295,IFERROR(_xlfn.XLOOKUP($B1291,Equipo[DESCRIPCION],Equipo[VALOR],,0),""))</f>
        <v/>
      </c>
      <c r="F1291" s="33"/>
      <c r="G1291" s="34" t="str">
        <f>IFERROR(IF(F1291&gt;=0,D1291*E1291*(1+F1291/100),ABS(D1291*E1291/F1291)),"")</f>
        <v/>
      </c>
      <c r="H1291" s="43" t="str">
        <f>IFERROR(G1291*E1280,"")</f>
        <v/>
      </c>
    </row>
    <row r="1292" spans="1:8" ht="12.75" customHeight="1">
      <c r="A1292" s="21"/>
      <c r="B1292" s="22" t="s">
        <v>2533</v>
      </c>
      <c r="C1292" s="23"/>
      <c r="D1292" s="24"/>
      <c r="E1292" s="25"/>
      <c r="F1292" s="26"/>
      <c r="G1292" s="27">
        <f>SUM(G1293:G1294)</f>
        <v>0</v>
      </c>
      <c r="H1292" s="44">
        <f>G1292*E1280</f>
        <v>0</v>
      </c>
    </row>
    <row r="1293" spans="1:8" ht="12.75" customHeight="1">
      <c r="A1293" s="28"/>
      <c r="B1293" s="29"/>
      <c r="C1293" s="30" t="str">
        <f>IFERROR(_xlfn.XLOOKUP(B1293,Transporte[DESCRIPCION],Transporte[UND],,0),"")</f>
        <v/>
      </c>
      <c r="D1293" s="31"/>
      <c r="E1293" s="32" t="str">
        <f>IFERROR(_xlfn.XLOOKUP($B1293,Transporte[DESCRIPCION],Transporte[VALOR],,0),"")</f>
        <v/>
      </c>
      <c r="F1293" s="33"/>
      <c r="G1293" s="34" t="str">
        <f>IFERROR(IF(F1293&gt;=0,D1293*E1293*(1+F1293/100),ABS(D1293*E1293/F1293)),"")</f>
        <v/>
      </c>
      <c r="H1293" s="43" t="str">
        <f>IFERROR(G1293*E1280,"")</f>
        <v/>
      </c>
    </row>
    <row r="1294" spans="1:8" ht="12.75" customHeight="1">
      <c r="A1294" s="28"/>
      <c r="B1294" s="29"/>
      <c r="C1294" s="30" t="str">
        <f>IFERROR(_xlfn.XLOOKUP(B1294,Transporte[DESCRIPCION],Transporte[UND],,0),"")</f>
        <v/>
      </c>
      <c r="D1294" s="31"/>
      <c r="E1294" s="32" t="str">
        <f>IFERROR(_xlfn.XLOOKUP($B1294,Transporte[DESCRIPCION],Transporte[VALOR],,0),"")</f>
        <v/>
      </c>
      <c r="F1294" s="33"/>
      <c r="G1294" s="34" t="str">
        <f>IFERROR(IF(F1294&gt;=0,D1294*E1294*(1+F1294/100),ABS(D1294*E1294/F1294)),"")</f>
        <v/>
      </c>
      <c r="H1294" s="43" t="str">
        <f>IFERROR(G1294*E1280,"")</f>
        <v/>
      </c>
    </row>
    <row r="1295" spans="1:8" ht="12.75" customHeight="1">
      <c r="A1295" s="21"/>
      <c r="B1295" s="22" t="s">
        <v>3732</v>
      </c>
      <c r="C1295" s="23"/>
      <c r="D1295" s="24"/>
      <c r="E1295" s="25"/>
      <c r="F1295" s="26"/>
      <c r="G1295" s="27">
        <f>SUM(G1296:G1298)</f>
        <v>16546.881626052636</v>
      </c>
      <c r="H1295" s="44">
        <f>G1295*E1280</f>
        <v>0</v>
      </c>
    </row>
    <row r="1296" spans="1:8" ht="12.75" customHeight="1">
      <c r="A1296" s="28"/>
      <c r="B1296" s="29" t="s">
        <v>3710</v>
      </c>
      <c r="C1296" s="30" t="str">
        <f>IFERROR(_xlfn.XLOOKUP(B1296,MObra[DESCRIPCION],MObra[UN],,0),"")</f>
        <v>día</v>
      </c>
      <c r="D1296" s="31">
        <v>1</v>
      </c>
      <c r="E1296" s="32">
        <f>IFERROR(_xlfn.XLOOKUP($B1296,MObra[DESCRIPCION],MObra[VALOR UNIT],,0),"")</f>
        <v>314390.75089500006</v>
      </c>
      <c r="F1296" s="33">
        <v>-19</v>
      </c>
      <c r="G1296" s="34">
        <f>IFERROR(IF(F1296&gt;=0,D1296*E1296*(1+F1296/100),ABS(D1296*E1296/F1296)),"")</f>
        <v>16546.881626052636</v>
      </c>
      <c r="H1296" s="43">
        <f>IFERROR(G1296*E1280,"")</f>
        <v>0</v>
      </c>
    </row>
    <row r="1297" spans="1:11" ht="12.75" customHeight="1">
      <c r="A1297" s="28"/>
      <c r="B1297" s="29"/>
      <c r="C1297" s="30" t="str">
        <f t="array" ref="C1297">IFERROR(_xlfn.XLOOKUP(B1297,MObra[[#All],[DESCRIPCION]],MObra[[#All],[UN]],,0),"")</f>
        <v/>
      </c>
      <c r="D1297" s="31"/>
      <c r="E1297" s="32" t="str">
        <f>IFERROR(_xlfn.XLOOKUP($B1297,MObra[DESCRIPCION],MObra[VALOR UNIT],,0),"")</f>
        <v/>
      </c>
      <c r="F1297" s="33"/>
      <c r="G1297" s="34" t="str">
        <f>IFERROR(IF(F1297&gt;=0,D1297*E1297*(1+F1297/100),ABS(D1297*E1297/F1297)),"")</f>
        <v/>
      </c>
      <c r="H1297" s="43" t="str">
        <f>IFERROR(G1297*E1280,"")</f>
        <v/>
      </c>
    </row>
    <row r="1298" spans="1:11" ht="12.75" customHeight="1" thickBot="1">
      <c r="A1298" s="35"/>
      <c r="B1298" s="36"/>
      <c r="C1298" s="37" t="str">
        <f t="array" ref="C1298">IFERROR(_xlfn.XLOOKUP(B1298,MObra[[#All],[DESCRIPCION]],MObra[[#All],[UN]],,0),"")</f>
        <v/>
      </c>
      <c r="D1298" s="38"/>
      <c r="E1298" s="39" t="str">
        <f>IFERROR(_xlfn.XLOOKUP($B1298,MObra[DESCRIPCION],MObra[VALOR UNIT],,0),"")</f>
        <v/>
      </c>
      <c r="F1298" s="40"/>
      <c r="G1298" s="41" t="str">
        <f>IFERROR(IF(F1298&gt;=0,D1298*E1298*(1+F1298/100),ABS(D1298*E1298/F1298)),"")</f>
        <v/>
      </c>
      <c r="H1298" s="42" t="str">
        <f>IFERROR(G1298*E1280,"")</f>
        <v/>
      </c>
    </row>
    <row r="1299" spans="1:11" ht="12.75" customHeight="1" thickTop="1" thickBot="1"/>
    <row r="1300" spans="1:11" ht="12.75" customHeight="1" thickTop="1" thickBot="1">
      <c r="A1300" s="6" t="s">
        <v>727</v>
      </c>
      <c r="B1300" s="7" t="str">
        <f>VLOOKUP($A1300,Presupuesto!$A:$D,2,FALSE())</f>
        <v>Cheque 1 - 1/2"</v>
      </c>
      <c r="C1300" s="8" t="str">
        <f>VLOOKUP($A1300,Presupuesto!$A:$D,3,FALSE())</f>
        <v>Un</v>
      </c>
      <c r="D1300" s="9"/>
      <c r="E1300" s="10">
        <f>VLOOKUP($A1300,Presupuesto!$A:$D,4,FALSE())</f>
        <v>0</v>
      </c>
      <c r="F1300" s="11" t="s">
        <v>2589</v>
      </c>
      <c r="G1300" s="12">
        <f>SUM(G1302:G1318)/2</f>
        <v>372609.90226116171</v>
      </c>
      <c r="H1300" s="13">
        <f>ROUND(SUM(H1302:H1318),0)/2</f>
        <v>0</v>
      </c>
      <c r="I1300" s="10">
        <f>VLOOKUP(A1300,Presupuesto!$A:$F,6,0)</f>
        <v>0</v>
      </c>
      <c r="J1300" s="10">
        <f>+H1300-I1300</f>
        <v>0</v>
      </c>
      <c r="K1300" s="46">
        <f>+H1300-G1300*E1300</f>
        <v>0</v>
      </c>
    </row>
    <row r="1301" spans="1:11" ht="12.75" customHeight="1" thickTop="1">
      <c r="A1301" s="14"/>
      <c r="B1301" s="15" t="s">
        <v>2586</v>
      </c>
      <c r="C1301" s="15" t="s">
        <v>5</v>
      </c>
      <c r="D1301" s="16" t="s">
        <v>6</v>
      </c>
      <c r="E1301" s="17" t="s">
        <v>7</v>
      </c>
      <c r="F1301" s="18" t="s">
        <v>3728</v>
      </c>
      <c r="G1301" s="19" t="s">
        <v>3729</v>
      </c>
      <c r="H1301" s="20" t="s">
        <v>3797</v>
      </c>
    </row>
    <row r="1302" spans="1:11" ht="12.75" customHeight="1">
      <c r="A1302" s="21"/>
      <c r="B1302" s="22" t="s">
        <v>3730</v>
      </c>
      <c r="C1302" s="23"/>
      <c r="D1302" s="24"/>
      <c r="E1302" s="25"/>
      <c r="F1302" s="26"/>
      <c r="G1302" s="27">
        <f>SUM(G1303:G1307)</f>
        <v>353191.65</v>
      </c>
      <c r="H1302" s="27">
        <f>IFERROR(G1302*E1300,"")</f>
        <v>0</v>
      </c>
    </row>
    <row r="1303" spans="1:11" ht="12.75" customHeight="1">
      <c r="A1303" s="28"/>
      <c r="B1303" s="29" t="s">
        <v>2835</v>
      </c>
      <c r="C1303" s="30" t="str">
        <f>IFERROR(_xlfn.XLOOKUP(B1303,Insumo[DESCRIPCION],Insumo[UND],,0),"")</f>
        <v>Un</v>
      </c>
      <c r="D1303" s="31">
        <v>1</v>
      </c>
      <c r="E1303" s="32">
        <f>IFERROR(_xlfn.XLOOKUP($B1303,Insumo[DESCRIPCION],Insumo[VALOR],,0),"")</f>
        <v>321210.75</v>
      </c>
      <c r="F1303" s="33"/>
      <c r="G1303" s="34">
        <f>IFERROR(IF(F1303&gt;=0,D1303*E1303*(1+F1303/100),ABS(D1303*E1303/F1303)),"")</f>
        <v>321210.75</v>
      </c>
      <c r="H1303" s="43">
        <f>IFERROR(G1303*E1300,"")</f>
        <v>0</v>
      </c>
    </row>
    <row r="1304" spans="1:11" ht="12.75" customHeight="1">
      <c r="A1304" s="28"/>
      <c r="B1304" s="29" t="s">
        <v>2637</v>
      </c>
      <c r="C1304" s="30" t="str">
        <f>IFERROR(_xlfn.XLOOKUP(B1304,Insumo[DESCRIPCION],Insumo[UND],,0),"")</f>
        <v>Un</v>
      </c>
      <c r="D1304" s="31">
        <v>2</v>
      </c>
      <c r="E1304" s="32">
        <f>IFERROR(_xlfn.XLOOKUP($B1304,Insumo[DESCRIPCION],Insumo[VALOR],,0),"")</f>
        <v>15990.45</v>
      </c>
      <c r="F1304" s="33"/>
      <c r="G1304" s="34">
        <f>IFERROR(IF(F1304&gt;=0,D1304*E1304*(1+F1304/100),ABS(D1304*E1304/F1304)),"")</f>
        <v>31980.9</v>
      </c>
      <c r="H1304" s="43">
        <f>IFERROR(G1304*E1300,"")</f>
        <v>0</v>
      </c>
    </row>
    <row r="1305" spans="1:11" ht="12.75" customHeight="1">
      <c r="A1305" s="28"/>
      <c r="B1305" s="29"/>
      <c r="C1305" s="30" t="str">
        <f>IFERROR(_xlfn.XLOOKUP(B1305,Insumo[DESCRIPCION],Insumo[UND],,0),"")</f>
        <v/>
      </c>
      <c r="D1305" s="31"/>
      <c r="E1305" s="32" t="str">
        <f>IFERROR(_xlfn.XLOOKUP($B1305,Insumo[DESCRIPCION],Insumo[VALOR],,0),"")</f>
        <v/>
      </c>
      <c r="F1305" s="33"/>
      <c r="G1305" s="34" t="str">
        <f>IFERROR(IF(F1305&gt;=0,D1305*E1305*(1+F1305/100),ABS(D1305*E1305/F1305)),"")</f>
        <v/>
      </c>
      <c r="H1305" s="43" t="str">
        <f>IFERROR(G1305*E1300,"")</f>
        <v/>
      </c>
    </row>
    <row r="1306" spans="1:11" ht="12.75" customHeight="1">
      <c r="A1306" s="28"/>
      <c r="B1306" s="29"/>
      <c r="C1306" s="30" t="str">
        <f>IFERROR(_xlfn.XLOOKUP(B1306,Insumo[DESCRIPCION],Insumo[UND],,0),"")</f>
        <v/>
      </c>
      <c r="D1306" s="31"/>
      <c r="E1306" s="32" t="str">
        <f>IFERROR(_xlfn.XLOOKUP($B1306,Insumo[DESCRIPCION],Insumo[VALOR],,0),"")</f>
        <v/>
      </c>
      <c r="F1306" s="33"/>
      <c r="G1306" s="34" t="str">
        <f>IFERROR(IF(F1306&gt;=0,D1306*E1306*(1+F1306/100),ABS(D1306*E1306/F1306)),"")</f>
        <v/>
      </c>
      <c r="H1306" s="43" t="str">
        <f>IFERROR(G1306*E1300,"")</f>
        <v/>
      </c>
    </row>
    <row r="1307" spans="1:11" ht="12.75" customHeight="1">
      <c r="A1307" s="28"/>
      <c r="B1307" s="29"/>
      <c r="C1307" s="30" t="str">
        <f>IFERROR(_xlfn.XLOOKUP(B1307,Insumo[DESCRIPCION],Insumo[UND],,0),"")</f>
        <v/>
      </c>
      <c r="D1307" s="31"/>
      <c r="E1307" s="32" t="str">
        <f>IFERROR(_xlfn.XLOOKUP($B1307,Insumo[DESCRIPCION],Insumo[VALOR],,0),"")</f>
        <v/>
      </c>
      <c r="F1307" s="33"/>
      <c r="G1307" s="34" t="str">
        <f>IFERROR(IF(F1307&gt;=0,D1307*E1307*(1+F1307/100),ABS(D1307*E1307/F1307)),"")</f>
        <v/>
      </c>
      <c r="H1307" s="43" t="str">
        <f>IFERROR(G1307*E1300,"")</f>
        <v/>
      </c>
    </row>
    <row r="1308" spans="1:11" ht="12.75" customHeight="1">
      <c r="A1308" s="21"/>
      <c r="B1308" s="22" t="s">
        <v>3731</v>
      </c>
      <c r="C1308" s="23"/>
      <c r="D1308" s="24"/>
      <c r="E1308" s="25"/>
      <c r="F1308" s="26"/>
      <c r="G1308" s="27">
        <f>SUM(G1309:G1311)</f>
        <v>924.67867910294137</v>
      </c>
      <c r="H1308" s="44">
        <f>G1308*E1300</f>
        <v>0</v>
      </c>
    </row>
    <row r="1309" spans="1:11" ht="12.75" customHeight="1">
      <c r="A1309" s="28"/>
      <c r="B1309" s="29" t="s">
        <v>3626</v>
      </c>
      <c r="C1309" s="30" t="str">
        <f>IFERROR(_xlfn.XLOOKUP(B1309,Equipo[DESCRIPCION],Equipo[UND],,0),"")</f>
        <v>%MO</v>
      </c>
      <c r="D1309" s="31">
        <v>0.05</v>
      </c>
      <c r="E1309" s="32">
        <f>IF(C1309="%MO",G1315,IFERROR(_xlfn.XLOOKUP($B1309,Equipo[DESCRIPCION],Equipo[VALOR],,0),""))</f>
        <v>18493.573582058827</v>
      </c>
      <c r="F1309" s="33"/>
      <c r="G1309" s="34">
        <f>IFERROR(IF(F1309&gt;=0,D1309*E1309*(1+F1309/100),ABS(D1309*E1309/F1309)),"")</f>
        <v>924.67867910294137</v>
      </c>
      <c r="H1309" s="43">
        <f>IFERROR(G1309*E1300,"")</f>
        <v>0</v>
      </c>
    </row>
    <row r="1310" spans="1:11" ht="12.75" customHeight="1">
      <c r="A1310" s="28"/>
      <c r="B1310" s="29"/>
      <c r="C1310" s="30" t="str">
        <f>IFERROR(_xlfn.XLOOKUP(B1310,Equipo[DESCRIPCION],Equipo[UND],,0),"")</f>
        <v/>
      </c>
      <c r="D1310" s="31"/>
      <c r="E1310" s="32" t="str">
        <f>IF(C1310="%MO",G1315,IFERROR(_xlfn.XLOOKUP($B1310,Equipo[DESCRIPCION],Equipo[VALOR],,0),""))</f>
        <v/>
      </c>
      <c r="F1310" s="33"/>
      <c r="G1310" s="34" t="str">
        <f>IFERROR(IF(F1310&gt;=0,D1310*E1310*(1+F1310/100),ABS(D1310*E1310/F1310)),"")</f>
        <v/>
      </c>
      <c r="H1310" s="43" t="str">
        <f>IFERROR(G1310*E1300,"")</f>
        <v/>
      </c>
    </row>
    <row r="1311" spans="1:11" ht="12.75" customHeight="1">
      <c r="A1311" s="28"/>
      <c r="B1311" s="29"/>
      <c r="C1311" s="30" t="str">
        <f>IFERROR(_xlfn.XLOOKUP(B1311,Equipo[DESCRIPCION],Equipo[UND],,0),"")</f>
        <v/>
      </c>
      <c r="D1311" s="31"/>
      <c r="E1311" s="32" t="str">
        <f>IF(C1311="%MO",G1315,IFERROR(_xlfn.XLOOKUP($B1311,Equipo[DESCRIPCION],Equipo[VALOR],,0),""))</f>
        <v/>
      </c>
      <c r="F1311" s="33"/>
      <c r="G1311" s="34" t="str">
        <f>IFERROR(IF(F1311&gt;=0,D1311*E1311*(1+F1311/100),ABS(D1311*E1311/F1311)),"")</f>
        <v/>
      </c>
      <c r="H1311" s="43" t="str">
        <f>IFERROR(G1311*E1300,"")</f>
        <v/>
      </c>
    </row>
    <row r="1312" spans="1:11" ht="12.75" customHeight="1">
      <c r="A1312" s="21"/>
      <c r="B1312" s="22" t="s">
        <v>2533</v>
      </c>
      <c r="C1312" s="23"/>
      <c r="D1312" s="24"/>
      <c r="E1312" s="25"/>
      <c r="F1312" s="26"/>
      <c r="G1312" s="27">
        <f>SUM(G1313:G1314)</f>
        <v>0</v>
      </c>
      <c r="H1312" s="44">
        <f>G1312*E1300</f>
        <v>0</v>
      </c>
    </row>
    <row r="1313" spans="1:11" ht="12.75" customHeight="1">
      <c r="A1313" s="28"/>
      <c r="B1313" s="29"/>
      <c r="C1313" s="30" t="str">
        <f>IFERROR(_xlfn.XLOOKUP(B1313,Transporte[DESCRIPCION],Transporte[UND],,0),"")</f>
        <v/>
      </c>
      <c r="D1313" s="31"/>
      <c r="E1313" s="32" t="str">
        <f>IFERROR(_xlfn.XLOOKUP($B1313,Transporte[DESCRIPCION],Transporte[VALOR],,0),"")</f>
        <v/>
      </c>
      <c r="F1313" s="33"/>
      <c r="G1313" s="34" t="str">
        <f>IFERROR(IF(F1313&gt;=0,D1313*E1313*(1+F1313/100),ABS(D1313*E1313/F1313)),"")</f>
        <v/>
      </c>
      <c r="H1313" s="43" t="str">
        <f>IFERROR(G1313*E1300,"")</f>
        <v/>
      </c>
    </row>
    <row r="1314" spans="1:11" ht="12.75" customHeight="1">
      <c r="A1314" s="28"/>
      <c r="B1314" s="29"/>
      <c r="C1314" s="30" t="str">
        <f>IFERROR(_xlfn.XLOOKUP(B1314,Transporte[DESCRIPCION],Transporte[UND],,0),"")</f>
        <v/>
      </c>
      <c r="D1314" s="31"/>
      <c r="E1314" s="32" t="str">
        <f>IFERROR(_xlfn.XLOOKUP($B1314,Transporte[DESCRIPCION],Transporte[VALOR],,0),"")</f>
        <v/>
      </c>
      <c r="F1314" s="33"/>
      <c r="G1314" s="34" t="str">
        <f>IFERROR(IF(F1314&gt;=0,D1314*E1314*(1+F1314/100),ABS(D1314*E1314/F1314)),"")</f>
        <v/>
      </c>
      <c r="H1314" s="43" t="str">
        <f>IFERROR(G1314*E1300,"")</f>
        <v/>
      </c>
    </row>
    <row r="1315" spans="1:11" ht="12.75" customHeight="1">
      <c r="A1315" s="21"/>
      <c r="B1315" s="22" t="s">
        <v>3732</v>
      </c>
      <c r="C1315" s="23"/>
      <c r="D1315" s="24"/>
      <c r="E1315" s="25"/>
      <c r="F1315" s="26"/>
      <c r="G1315" s="27">
        <f>SUM(G1316:G1318)</f>
        <v>18493.573582058827</v>
      </c>
      <c r="H1315" s="44">
        <f>G1315*E1300</f>
        <v>0</v>
      </c>
    </row>
    <row r="1316" spans="1:11" ht="12.75" customHeight="1">
      <c r="A1316" s="28"/>
      <c r="B1316" s="29" t="s">
        <v>3710</v>
      </c>
      <c r="C1316" s="30" t="str">
        <f>IFERROR(_xlfn.XLOOKUP(B1316,MObra[DESCRIPCION],MObra[UN],,0),"")</f>
        <v>día</v>
      </c>
      <c r="D1316" s="31">
        <v>1</v>
      </c>
      <c r="E1316" s="32">
        <f>IFERROR(_xlfn.XLOOKUP($B1316,MObra[DESCRIPCION],MObra[VALOR UNIT],,0),"")</f>
        <v>314390.75089500006</v>
      </c>
      <c r="F1316" s="33">
        <v>-17</v>
      </c>
      <c r="G1316" s="34">
        <f>IFERROR(IF(F1316&gt;=0,D1316*E1316*(1+F1316/100),ABS(D1316*E1316/F1316)),"")</f>
        <v>18493.573582058827</v>
      </c>
      <c r="H1316" s="43">
        <f>IFERROR(G1316*E1300,"")</f>
        <v>0</v>
      </c>
    </row>
    <row r="1317" spans="1:11" ht="12.75" customHeight="1">
      <c r="A1317" s="28"/>
      <c r="B1317" s="29"/>
      <c r="C1317" s="30" t="str">
        <f t="array" ref="C1317">IFERROR(_xlfn.XLOOKUP(B1317,MObra[[#All],[DESCRIPCION]],MObra[[#All],[UN]],,0),"")</f>
        <v/>
      </c>
      <c r="D1317" s="31"/>
      <c r="E1317" s="32" t="str">
        <f>IFERROR(_xlfn.XLOOKUP($B1317,MObra[DESCRIPCION],MObra[VALOR UNIT],,0),"")</f>
        <v/>
      </c>
      <c r="F1317" s="33"/>
      <c r="G1317" s="34" t="str">
        <f>IFERROR(IF(F1317&gt;=0,D1317*E1317*(1+F1317/100),ABS(D1317*E1317/F1317)),"")</f>
        <v/>
      </c>
      <c r="H1317" s="43" t="str">
        <f>IFERROR(G1317*E1300,"")</f>
        <v/>
      </c>
    </row>
    <row r="1318" spans="1:11" ht="12.75" customHeight="1" thickBot="1">
      <c r="A1318" s="35"/>
      <c r="B1318" s="36"/>
      <c r="C1318" s="37" t="str">
        <f t="array" ref="C1318">IFERROR(_xlfn.XLOOKUP(B1318,MObra[[#All],[DESCRIPCION]],MObra[[#All],[UN]],,0),"")</f>
        <v/>
      </c>
      <c r="D1318" s="38"/>
      <c r="E1318" s="39" t="str">
        <f>IFERROR(_xlfn.XLOOKUP($B1318,MObra[DESCRIPCION],MObra[VALOR UNIT],,0),"")</f>
        <v/>
      </c>
      <c r="F1318" s="40"/>
      <c r="G1318" s="41" t="str">
        <f>IFERROR(IF(F1318&gt;=0,D1318*E1318*(1+F1318/100),ABS(D1318*E1318/F1318)),"")</f>
        <v/>
      </c>
      <c r="H1318" s="42" t="str">
        <f>IFERROR(G1318*E1300,"")</f>
        <v/>
      </c>
    </row>
    <row r="1319" spans="1:11" ht="12.75" customHeight="1" thickTop="1" thickBot="1"/>
    <row r="1320" spans="1:11" ht="12.75" customHeight="1" thickTop="1" thickBot="1">
      <c r="A1320" s="6" t="s">
        <v>729</v>
      </c>
      <c r="B1320" s="7" t="str">
        <f>VLOOKUP($A1320,Presupuesto!$A:$D,2,FALSE())</f>
        <v>Cheque 2"</v>
      </c>
      <c r="C1320" s="8" t="str">
        <f>VLOOKUP($A1320,Presupuesto!$A:$D,3,FALSE())</f>
        <v>Un</v>
      </c>
      <c r="D1320" s="9"/>
      <c r="E1320" s="10">
        <f>VLOOKUP($A1320,Presupuesto!$A:$D,4,FALSE())</f>
        <v>0</v>
      </c>
      <c r="F1320" s="11" t="s">
        <v>2589</v>
      </c>
      <c r="G1320" s="12">
        <f>SUM(G1322:G1338)/2</f>
        <v>498976.15256265004</v>
      </c>
      <c r="H1320" s="13">
        <f>ROUND(SUM(H1322:H1338),0)/2</f>
        <v>0</v>
      </c>
      <c r="I1320" s="10">
        <f>VLOOKUP(A1320,Presupuesto!$A:$F,6,0)</f>
        <v>0</v>
      </c>
      <c r="J1320" s="10">
        <f>+H1320-I1320</f>
        <v>0</v>
      </c>
      <c r="K1320" s="46">
        <f>+H1320-G1320*E1320</f>
        <v>0</v>
      </c>
    </row>
    <row r="1321" spans="1:11" ht="12.75" customHeight="1" thickTop="1">
      <c r="A1321" s="14"/>
      <c r="B1321" s="15" t="s">
        <v>2586</v>
      </c>
      <c r="C1321" s="15" t="s">
        <v>5</v>
      </c>
      <c r="D1321" s="16" t="s">
        <v>6</v>
      </c>
      <c r="E1321" s="17" t="s">
        <v>7</v>
      </c>
      <c r="F1321" s="18" t="s">
        <v>3728</v>
      </c>
      <c r="G1321" s="19" t="s">
        <v>3729</v>
      </c>
      <c r="H1321" s="20" t="s">
        <v>3797</v>
      </c>
    </row>
    <row r="1322" spans="1:11" ht="12.75" customHeight="1">
      <c r="A1322" s="21"/>
      <c r="B1322" s="22" t="s">
        <v>3730</v>
      </c>
      <c r="C1322" s="23"/>
      <c r="D1322" s="24"/>
      <c r="E1322" s="25"/>
      <c r="F1322" s="26"/>
      <c r="G1322" s="27">
        <f>SUM(G1323:G1327)</f>
        <v>476968.80000000005</v>
      </c>
      <c r="H1322" s="27">
        <f>IFERROR(G1322*E1320,"")</f>
        <v>0</v>
      </c>
    </row>
    <row r="1323" spans="1:11" ht="12.75" customHeight="1">
      <c r="A1323" s="28"/>
      <c r="B1323" s="29" t="s">
        <v>2839</v>
      </c>
      <c r="C1323" s="30" t="str">
        <f>IFERROR(_xlfn.XLOOKUP(B1323,Insumo[DESCRIPCION],Insumo[UND],,0),"")</f>
        <v>Un</v>
      </c>
      <c r="D1323" s="31">
        <v>1</v>
      </c>
      <c r="E1323" s="32">
        <f>IFERROR(_xlfn.XLOOKUP($B1323,Insumo[DESCRIPCION],Insumo[VALOR],,0),"")</f>
        <v>426234.9</v>
      </c>
      <c r="F1323" s="33"/>
      <c r="G1323" s="34">
        <f>IFERROR(IF(F1323&gt;=0,D1323*E1323*(1+F1323/100),ABS(D1323*E1323/F1323)),"")</f>
        <v>426234.9</v>
      </c>
      <c r="H1323" s="43">
        <f>IFERROR(G1323*E1320,"")</f>
        <v>0</v>
      </c>
    </row>
    <row r="1324" spans="1:11" ht="12.75" customHeight="1">
      <c r="A1324" s="28"/>
      <c r="B1324" s="29" t="s">
        <v>2642</v>
      </c>
      <c r="C1324" s="30" t="str">
        <f>IFERROR(_xlfn.XLOOKUP(B1324,Insumo[DESCRIPCION],Insumo[UND],,0),"")</f>
        <v>Un</v>
      </c>
      <c r="D1324" s="31">
        <v>2</v>
      </c>
      <c r="E1324" s="32">
        <f>IFERROR(_xlfn.XLOOKUP($B1324,Insumo[DESCRIPCION],Insumo[VALOR],,0),"")</f>
        <v>25366.95</v>
      </c>
      <c r="F1324" s="33"/>
      <c r="G1324" s="34">
        <f>IFERROR(IF(F1324&gt;=0,D1324*E1324*(1+F1324/100),ABS(D1324*E1324/F1324)),"")</f>
        <v>50733.9</v>
      </c>
      <c r="H1324" s="43">
        <f>IFERROR(G1324*E1320,"")</f>
        <v>0</v>
      </c>
    </row>
    <row r="1325" spans="1:11" ht="12.75" customHeight="1">
      <c r="A1325" s="28"/>
      <c r="B1325" s="29"/>
      <c r="C1325" s="30" t="str">
        <f>IFERROR(_xlfn.XLOOKUP(B1325,Insumo[DESCRIPCION],Insumo[UND],,0),"")</f>
        <v/>
      </c>
      <c r="D1325" s="31"/>
      <c r="E1325" s="32" t="str">
        <f>IFERROR(_xlfn.XLOOKUP($B1325,Insumo[DESCRIPCION],Insumo[VALOR],,0),"")</f>
        <v/>
      </c>
      <c r="F1325" s="33"/>
      <c r="G1325" s="34" t="str">
        <f>IFERROR(IF(F1325&gt;=0,D1325*E1325*(1+F1325/100),ABS(D1325*E1325/F1325)),"")</f>
        <v/>
      </c>
      <c r="H1325" s="43" t="str">
        <f>IFERROR(G1325*E1320,"")</f>
        <v/>
      </c>
    </row>
    <row r="1326" spans="1:11" ht="12.75" customHeight="1">
      <c r="A1326" s="28"/>
      <c r="B1326" s="29"/>
      <c r="C1326" s="30" t="str">
        <f>IFERROR(_xlfn.XLOOKUP(B1326,Insumo[DESCRIPCION],Insumo[UND],,0),"")</f>
        <v/>
      </c>
      <c r="D1326" s="31"/>
      <c r="E1326" s="32" t="str">
        <f>IFERROR(_xlfn.XLOOKUP($B1326,Insumo[DESCRIPCION],Insumo[VALOR],,0),"")</f>
        <v/>
      </c>
      <c r="F1326" s="33"/>
      <c r="G1326" s="34" t="str">
        <f>IFERROR(IF(F1326&gt;=0,D1326*E1326*(1+F1326/100),ABS(D1326*E1326/F1326)),"")</f>
        <v/>
      </c>
      <c r="H1326" s="43" t="str">
        <f>IFERROR(G1326*E1320,"")</f>
        <v/>
      </c>
    </row>
    <row r="1327" spans="1:11" ht="12.75" customHeight="1">
      <c r="A1327" s="28"/>
      <c r="B1327" s="29"/>
      <c r="C1327" s="30" t="str">
        <f>IFERROR(_xlfn.XLOOKUP(B1327,Insumo[DESCRIPCION],Insumo[UND],,0),"")</f>
        <v/>
      </c>
      <c r="D1327" s="31"/>
      <c r="E1327" s="32" t="str">
        <f>IFERROR(_xlfn.XLOOKUP($B1327,Insumo[DESCRIPCION],Insumo[VALOR],,0),"")</f>
        <v/>
      </c>
      <c r="F1327" s="33"/>
      <c r="G1327" s="34" t="str">
        <f>IFERROR(IF(F1327&gt;=0,D1327*E1327*(1+F1327/100),ABS(D1327*E1327/F1327)),"")</f>
        <v/>
      </c>
      <c r="H1327" s="43" t="str">
        <f>IFERROR(G1327*E1320,"")</f>
        <v/>
      </c>
    </row>
    <row r="1328" spans="1:11" ht="12.75" customHeight="1">
      <c r="A1328" s="21"/>
      <c r="B1328" s="22" t="s">
        <v>3731</v>
      </c>
      <c r="C1328" s="23"/>
      <c r="D1328" s="24"/>
      <c r="E1328" s="25"/>
      <c r="F1328" s="26"/>
      <c r="G1328" s="27">
        <f>SUM(G1329:G1331)</f>
        <v>1047.9691696500001</v>
      </c>
      <c r="H1328" s="44">
        <f>G1328*E1320</f>
        <v>0</v>
      </c>
    </row>
    <row r="1329" spans="1:11" ht="12.75" customHeight="1">
      <c r="A1329" s="28"/>
      <c r="B1329" s="29" t="s">
        <v>3626</v>
      </c>
      <c r="C1329" s="30" t="str">
        <f>IFERROR(_xlfn.XLOOKUP(B1329,Equipo[DESCRIPCION],Equipo[UND],,0),"")</f>
        <v>%MO</v>
      </c>
      <c r="D1329" s="31">
        <v>0.05</v>
      </c>
      <c r="E1329" s="32">
        <f>IF(C1329="%MO",G1335,IFERROR(_xlfn.XLOOKUP($B1329,Equipo[DESCRIPCION],Equipo[VALOR],,0),""))</f>
        <v>20959.383393000004</v>
      </c>
      <c r="F1329" s="33"/>
      <c r="G1329" s="34">
        <f>IFERROR(IF(F1329&gt;=0,D1329*E1329*(1+F1329/100),ABS(D1329*E1329/F1329)),"")</f>
        <v>1047.9691696500001</v>
      </c>
      <c r="H1329" s="43">
        <f>IFERROR(G1329*E1320,"")</f>
        <v>0</v>
      </c>
    </row>
    <row r="1330" spans="1:11" ht="12.75" customHeight="1">
      <c r="A1330" s="28"/>
      <c r="B1330" s="29"/>
      <c r="C1330" s="30" t="str">
        <f>IFERROR(_xlfn.XLOOKUP(B1330,Equipo[DESCRIPCION],Equipo[UND],,0),"")</f>
        <v/>
      </c>
      <c r="D1330" s="31"/>
      <c r="E1330" s="32" t="str">
        <f>IF(C1330="%MO",G1335,IFERROR(_xlfn.XLOOKUP($B1330,Equipo[DESCRIPCION],Equipo[VALOR],,0),""))</f>
        <v/>
      </c>
      <c r="F1330" s="33"/>
      <c r="G1330" s="34" t="str">
        <f>IFERROR(IF(F1330&gt;=0,D1330*E1330*(1+F1330/100),ABS(D1330*E1330/F1330)),"")</f>
        <v/>
      </c>
      <c r="H1330" s="43" t="str">
        <f>IFERROR(G1330*E1320,"")</f>
        <v/>
      </c>
    </row>
    <row r="1331" spans="1:11" ht="12.75" customHeight="1">
      <c r="A1331" s="28"/>
      <c r="B1331" s="29"/>
      <c r="C1331" s="30" t="str">
        <f>IFERROR(_xlfn.XLOOKUP(B1331,Equipo[DESCRIPCION],Equipo[UND],,0),"")</f>
        <v/>
      </c>
      <c r="D1331" s="31"/>
      <c r="E1331" s="32" t="str">
        <f>IF(C1331="%MO",G1335,IFERROR(_xlfn.XLOOKUP($B1331,Equipo[DESCRIPCION],Equipo[VALOR],,0),""))</f>
        <v/>
      </c>
      <c r="F1331" s="33"/>
      <c r="G1331" s="34" t="str">
        <f>IFERROR(IF(F1331&gt;=0,D1331*E1331*(1+F1331/100),ABS(D1331*E1331/F1331)),"")</f>
        <v/>
      </c>
      <c r="H1331" s="43" t="str">
        <f>IFERROR(G1331*E1320,"")</f>
        <v/>
      </c>
    </row>
    <row r="1332" spans="1:11" ht="12.75" customHeight="1">
      <c r="A1332" s="21"/>
      <c r="B1332" s="22" t="s">
        <v>2533</v>
      </c>
      <c r="C1332" s="23"/>
      <c r="D1332" s="24"/>
      <c r="E1332" s="25"/>
      <c r="F1332" s="26"/>
      <c r="G1332" s="27">
        <f>SUM(G1333:G1334)</f>
        <v>0</v>
      </c>
      <c r="H1332" s="44">
        <f>G1332*E1320</f>
        <v>0</v>
      </c>
    </row>
    <row r="1333" spans="1:11" ht="12.75" customHeight="1">
      <c r="A1333" s="28"/>
      <c r="B1333" s="29"/>
      <c r="C1333" s="30" t="str">
        <f>IFERROR(_xlfn.XLOOKUP(B1333,Transporte[DESCRIPCION],Transporte[UND],,0),"")</f>
        <v/>
      </c>
      <c r="D1333" s="31"/>
      <c r="E1333" s="32" t="str">
        <f>IFERROR(_xlfn.XLOOKUP($B1333,Transporte[DESCRIPCION],Transporte[VALOR],,0),"")</f>
        <v/>
      </c>
      <c r="F1333" s="33"/>
      <c r="G1333" s="34" t="str">
        <f>IFERROR(IF(F1333&gt;=0,D1333*E1333*(1+F1333/100),ABS(D1333*E1333/F1333)),"")</f>
        <v/>
      </c>
      <c r="H1333" s="43" t="str">
        <f>IFERROR(G1333*E1320,"")</f>
        <v/>
      </c>
    </row>
    <row r="1334" spans="1:11" ht="12.75" customHeight="1">
      <c r="A1334" s="28"/>
      <c r="B1334" s="29"/>
      <c r="C1334" s="30" t="str">
        <f>IFERROR(_xlfn.XLOOKUP(B1334,Transporte[DESCRIPCION],Transporte[UND],,0),"")</f>
        <v/>
      </c>
      <c r="D1334" s="31"/>
      <c r="E1334" s="32" t="str">
        <f>IFERROR(_xlfn.XLOOKUP($B1334,Transporte[DESCRIPCION],Transporte[VALOR],,0),"")</f>
        <v/>
      </c>
      <c r="F1334" s="33"/>
      <c r="G1334" s="34" t="str">
        <f>IFERROR(IF(F1334&gt;=0,D1334*E1334*(1+F1334/100),ABS(D1334*E1334/F1334)),"")</f>
        <v/>
      </c>
      <c r="H1334" s="43" t="str">
        <f>IFERROR(G1334*E1320,"")</f>
        <v/>
      </c>
    </row>
    <row r="1335" spans="1:11" ht="12.75" customHeight="1">
      <c r="A1335" s="21"/>
      <c r="B1335" s="22" t="s">
        <v>3732</v>
      </c>
      <c r="C1335" s="23"/>
      <c r="D1335" s="24"/>
      <c r="E1335" s="25"/>
      <c r="F1335" s="26"/>
      <c r="G1335" s="27">
        <f>SUM(G1336:G1338)</f>
        <v>20959.383393000004</v>
      </c>
      <c r="H1335" s="44">
        <f>G1335*E1320</f>
        <v>0</v>
      </c>
    </row>
    <row r="1336" spans="1:11" ht="12.75" customHeight="1">
      <c r="A1336" s="28"/>
      <c r="B1336" s="29" t="s">
        <v>3710</v>
      </c>
      <c r="C1336" s="30" t="str">
        <f>IFERROR(_xlfn.XLOOKUP(B1336,MObra[DESCRIPCION],MObra[UN],,0),"")</f>
        <v>día</v>
      </c>
      <c r="D1336" s="31">
        <v>1</v>
      </c>
      <c r="E1336" s="32">
        <f>IFERROR(_xlfn.XLOOKUP($B1336,MObra[DESCRIPCION],MObra[VALOR UNIT],,0),"")</f>
        <v>314390.75089500006</v>
      </c>
      <c r="F1336" s="33">
        <v>-15</v>
      </c>
      <c r="G1336" s="34">
        <f>IFERROR(IF(F1336&gt;=0,D1336*E1336*(1+F1336/100),ABS(D1336*E1336/F1336)),"")</f>
        <v>20959.383393000004</v>
      </c>
      <c r="H1336" s="43">
        <f>IFERROR(G1336*E1320,"")</f>
        <v>0</v>
      </c>
    </row>
    <row r="1337" spans="1:11" ht="12.75" customHeight="1">
      <c r="A1337" s="28"/>
      <c r="B1337" s="29"/>
      <c r="C1337" s="30" t="str">
        <f t="array" ref="C1337">IFERROR(_xlfn.XLOOKUP(B1337,MObra[[#All],[DESCRIPCION]],MObra[[#All],[UN]],,0),"")</f>
        <v/>
      </c>
      <c r="D1337" s="31"/>
      <c r="E1337" s="32" t="str">
        <f>IFERROR(_xlfn.XLOOKUP($B1337,MObra[DESCRIPCION],MObra[VALOR UNIT],,0),"")</f>
        <v/>
      </c>
      <c r="F1337" s="33"/>
      <c r="G1337" s="34" t="str">
        <f>IFERROR(IF(F1337&gt;=0,D1337*E1337*(1+F1337/100),ABS(D1337*E1337/F1337)),"")</f>
        <v/>
      </c>
      <c r="H1337" s="43" t="str">
        <f>IFERROR(G1337*E1320,"")</f>
        <v/>
      </c>
    </row>
    <row r="1338" spans="1:11" ht="12.75" customHeight="1" thickBot="1">
      <c r="A1338" s="35"/>
      <c r="B1338" s="36"/>
      <c r="C1338" s="37" t="str">
        <f t="array" ref="C1338">IFERROR(_xlfn.XLOOKUP(B1338,MObra[[#All],[DESCRIPCION]],MObra[[#All],[UN]],,0),"")</f>
        <v/>
      </c>
      <c r="D1338" s="38"/>
      <c r="E1338" s="39" t="str">
        <f>IFERROR(_xlfn.XLOOKUP($B1338,MObra[DESCRIPCION],MObra[VALOR UNIT],,0),"")</f>
        <v/>
      </c>
      <c r="F1338" s="40"/>
      <c r="G1338" s="41" t="str">
        <f>IFERROR(IF(F1338&gt;=0,D1338*E1338*(1+F1338/100),ABS(D1338*E1338/F1338)),"")</f>
        <v/>
      </c>
      <c r="H1338" s="42" t="str">
        <f>IFERROR(G1338*E1320,"")</f>
        <v/>
      </c>
    </row>
    <row r="1339" spans="1:11" ht="12.75" customHeight="1" thickTop="1" thickBot="1"/>
    <row r="1340" spans="1:11" ht="12.75" customHeight="1" thickTop="1" thickBot="1">
      <c r="A1340" s="6" t="s">
        <v>731</v>
      </c>
      <c r="B1340" s="7" t="str">
        <f>VLOOKUP($A1340,Presupuesto!$A:$D,2,FALSE())</f>
        <v>Instalación medidor 1/2" tipo Kent</v>
      </c>
      <c r="C1340" s="8" t="str">
        <f>VLOOKUP($A1340,Presupuesto!$A:$D,3,FALSE())</f>
        <v>Un</v>
      </c>
      <c r="D1340" s="9"/>
      <c r="E1340" s="10">
        <f>VLOOKUP($A1340,Presupuesto!$A:$D,4,FALSE())</f>
        <v>0</v>
      </c>
      <c r="F1340" s="11" t="s">
        <v>2589</v>
      </c>
      <c r="G1340" s="12">
        <f>SUM(G1342:G1358)/2</f>
        <v>753692.25768795004</v>
      </c>
      <c r="H1340" s="13">
        <f>ROUND(SUM(H1342:H1358),0)/2</f>
        <v>0</v>
      </c>
      <c r="I1340" s="10">
        <f>VLOOKUP(A1340,Presupuesto!$A:$F,6,0)</f>
        <v>0</v>
      </c>
      <c r="J1340" s="10">
        <f>+H1340-I1340</f>
        <v>0</v>
      </c>
      <c r="K1340" s="46">
        <f>+H1340-G1340*E1340</f>
        <v>0</v>
      </c>
    </row>
    <row r="1341" spans="1:11" ht="12.75" customHeight="1" thickTop="1">
      <c r="A1341" s="14"/>
      <c r="B1341" s="15" t="s">
        <v>2586</v>
      </c>
      <c r="C1341" s="15" t="s">
        <v>5</v>
      </c>
      <c r="D1341" s="16" t="s">
        <v>6</v>
      </c>
      <c r="E1341" s="17" t="s">
        <v>7</v>
      </c>
      <c r="F1341" s="18" t="s">
        <v>3728</v>
      </c>
      <c r="G1341" s="19" t="s">
        <v>3729</v>
      </c>
      <c r="H1341" s="20" t="s">
        <v>3797</v>
      </c>
    </row>
    <row r="1342" spans="1:11" ht="12.75" customHeight="1">
      <c r="A1342" s="21"/>
      <c r="B1342" s="22" t="s">
        <v>3730</v>
      </c>
      <c r="C1342" s="23"/>
      <c r="D1342" s="24"/>
      <c r="E1342" s="25"/>
      <c r="F1342" s="26"/>
      <c r="G1342" s="27">
        <f>SUM(G1343:G1347)</f>
        <v>687670.2</v>
      </c>
      <c r="H1342" s="27">
        <f>IFERROR(G1342*E1340,"")</f>
        <v>0</v>
      </c>
    </row>
    <row r="1343" spans="1:11" ht="12.75" customHeight="1">
      <c r="A1343" s="28"/>
      <c r="B1343" s="29" t="s">
        <v>3165</v>
      </c>
      <c r="C1343" s="30" t="str">
        <f>IFERROR(_xlfn.XLOOKUP(B1343,Insumo[DESCRIPCION],Insumo[UND],,0),"")</f>
        <v>Un</v>
      </c>
      <c r="D1343" s="31">
        <v>1</v>
      </c>
      <c r="E1343" s="32">
        <f>IFERROR(_xlfn.XLOOKUP($B1343,Insumo[DESCRIPCION],Insumo[VALOR],,0),"")</f>
        <v>681975</v>
      </c>
      <c r="F1343" s="33"/>
      <c r="G1343" s="34">
        <f>IFERROR(IF(F1343&gt;=0,D1343*E1343*(1+F1343/100),ABS(D1343*E1343/F1343)),"")</f>
        <v>681975</v>
      </c>
      <c r="H1343" s="43">
        <f>IFERROR(G1343*E1340,"")</f>
        <v>0</v>
      </c>
    </row>
    <row r="1344" spans="1:11" ht="12.75" customHeight="1">
      <c r="A1344" s="28"/>
      <c r="B1344" s="29" t="s">
        <v>2640</v>
      </c>
      <c r="C1344" s="30" t="str">
        <f>IFERROR(_xlfn.XLOOKUP(B1344,Insumo[DESCRIPCION],Insumo[UND],,0),"")</f>
        <v>Un</v>
      </c>
      <c r="D1344" s="31">
        <v>4</v>
      </c>
      <c r="E1344" s="32">
        <f>IFERROR(_xlfn.XLOOKUP($B1344,Insumo[DESCRIPCION],Insumo[VALOR],,0),"")</f>
        <v>1423.8</v>
      </c>
      <c r="F1344" s="33"/>
      <c r="G1344" s="34">
        <f>IFERROR(IF(F1344&gt;=0,D1344*E1344*(1+F1344/100),ABS(D1344*E1344/F1344)),"")</f>
        <v>5695.2</v>
      </c>
      <c r="H1344" s="43">
        <f>IFERROR(G1344*E1340,"")</f>
        <v>0</v>
      </c>
    </row>
    <row r="1345" spans="1:11" ht="12.75" customHeight="1">
      <c r="A1345" s="28"/>
      <c r="B1345" s="29"/>
      <c r="C1345" s="30" t="str">
        <f>IFERROR(_xlfn.XLOOKUP(B1345,Insumo[DESCRIPCION],Insumo[UND],,0),"")</f>
        <v/>
      </c>
      <c r="D1345" s="31"/>
      <c r="E1345" s="32" t="str">
        <f>IFERROR(_xlfn.XLOOKUP($B1345,Insumo[DESCRIPCION],Insumo[VALOR],,0),"")</f>
        <v/>
      </c>
      <c r="F1345" s="33"/>
      <c r="G1345" s="34" t="str">
        <f>IFERROR(IF(F1345&gt;=0,D1345*E1345*(1+F1345/100),ABS(D1345*E1345/F1345)),"")</f>
        <v/>
      </c>
      <c r="H1345" s="43" t="str">
        <f>IFERROR(G1345*E1340,"")</f>
        <v/>
      </c>
    </row>
    <row r="1346" spans="1:11" ht="12.75" customHeight="1">
      <c r="A1346" s="28"/>
      <c r="B1346" s="29"/>
      <c r="C1346" s="30" t="str">
        <f>IFERROR(_xlfn.XLOOKUP(B1346,Insumo[DESCRIPCION],Insumo[UND],,0),"")</f>
        <v/>
      </c>
      <c r="D1346" s="31"/>
      <c r="E1346" s="32" t="str">
        <f>IFERROR(_xlfn.XLOOKUP($B1346,Insumo[DESCRIPCION],Insumo[VALOR],,0),"")</f>
        <v/>
      </c>
      <c r="F1346" s="33"/>
      <c r="G1346" s="34" t="str">
        <f>IFERROR(IF(F1346&gt;=0,D1346*E1346*(1+F1346/100),ABS(D1346*E1346/F1346)),"")</f>
        <v/>
      </c>
      <c r="H1346" s="43" t="str">
        <f>IFERROR(G1346*E1340,"")</f>
        <v/>
      </c>
    </row>
    <row r="1347" spans="1:11" ht="12.75" customHeight="1">
      <c r="A1347" s="28"/>
      <c r="B1347" s="29"/>
      <c r="C1347" s="30" t="str">
        <f>IFERROR(_xlfn.XLOOKUP(B1347,Insumo[DESCRIPCION],Insumo[UND],,0),"")</f>
        <v/>
      </c>
      <c r="D1347" s="31"/>
      <c r="E1347" s="32" t="str">
        <f>IFERROR(_xlfn.XLOOKUP($B1347,Insumo[DESCRIPCION],Insumo[VALOR],,0),"")</f>
        <v/>
      </c>
      <c r="F1347" s="33"/>
      <c r="G1347" s="34" t="str">
        <f>IFERROR(IF(F1347&gt;=0,D1347*E1347*(1+F1347/100),ABS(D1347*E1347/F1347)),"")</f>
        <v/>
      </c>
      <c r="H1347" s="43" t="str">
        <f>IFERROR(G1347*E1340,"")</f>
        <v/>
      </c>
    </row>
    <row r="1348" spans="1:11" ht="12.75" customHeight="1">
      <c r="A1348" s="21"/>
      <c r="B1348" s="22" t="s">
        <v>3731</v>
      </c>
      <c r="C1348" s="23"/>
      <c r="D1348" s="24"/>
      <c r="E1348" s="25"/>
      <c r="F1348" s="26"/>
      <c r="G1348" s="27">
        <f>SUM(G1349:G1351)</f>
        <v>3143.9075089500006</v>
      </c>
      <c r="H1348" s="44">
        <f>G1348*E1340</f>
        <v>0</v>
      </c>
    </row>
    <row r="1349" spans="1:11" ht="12.75" customHeight="1">
      <c r="A1349" s="28"/>
      <c r="B1349" s="29" t="s">
        <v>3626</v>
      </c>
      <c r="C1349" s="30" t="str">
        <f>IFERROR(_xlfn.XLOOKUP(B1349,Equipo[DESCRIPCION],Equipo[UND],,0),"")</f>
        <v>%MO</v>
      </c>
      <c r="D1349" s="31">
        <v>0.05</v>
      </c>
      <c r="E1349" s="32">
        <f>IF(C1349="%MO",G1355,IFERROR(_xlfn.XLOOKUP($B1349,Equipo[DESCRIPCION],Equipo[VALOR],,0),""))</f>
        <v>62878.150179000011</v>
      </c>
      <c r="F1349" s="33"/>
      <c r="G1349" s="34">
        <f>IFERROR(IF(F1349&gt;=0,D1349*E1349*(1+F1349/100),ABS(D1349*E1349/F1349)),"")</f>
        <v>3143.9075089500006</v>
      </c>
      <c r="H1349" s="43">
        <f>IFERROR(G1349*E1340,"")</f>
        <v>0</v>
      </c>
    </row>
    <row r="1350" spans="1:11" ht="12.75" customHeight="1">
      <c r="A1350" s="28"/>
      <c r="B1350" s="29"/>
      <c r="C1350" s="30" t="str">
        <f>IFERROR(_xlfn.XLOOKUP(B1350,Equipo[DESCRIPCION],Equipo[UND],,0),"")</f>
        <v/>
      </c>
      <c r="D1350" s="31"/>
      <c r="E1350" s="32" t="str">
        <f>IF(C1350="%MO",G1355,IFERROR(_xlfn.XLOOKUP($B1350,Equipo[DESCRIPCION],Equipo[VALOR],,0),""))</f>
        <v/>
      </c>
      <c r="F1350" s="33"/>
      <c r="G1350" s="34" t="str">
        <f>IFERROR(IF(F1350&gt;=0,D1350*E1350*(1+F1350/100),ABS(D1350*E1350/F1350)),"")</f>
        <v/>
      </c>
      <c r="H1350" s="43" t="str">
        <f>IFERROR(G1350*E1340,"")</f>
        <v/>
      </c>
    </row>
    <row r="1351" spans="1:11" ht="12.75" customHeight="1">
      <c r="A1351" s="28"/>
      <c r="B1351" s="29"/>
      <c r="C1351" s="30" t="str">
        <f>IFERROR(_xlfn.XLOOKUP(B1351,Equipo[DESCRIPCION],Equipo[UND],,0),"")</f>
        <v/>
      </c>
      <c r="D1351" s="31"/>
      <c r="E1351" s="32" t="str">
        <f>IF(C1351="%MO",G1355,IFERROR(_xlfn.XLOOKUP($B1351,Equipo[DESCRIPCION],Equipo[VALOR],,0),""))</f>
        <v/>
      </c>
      <c r="F1351" s="33"/>
      <c r="G1351" s="34" t="str">
        <f>IFERROR(IF(F1351&gt;=0,D1351*E1351*(1+F1351/100),ABS(D1351*E1351/F1351)),"")</f>
        <v/>
      </c>
      <c r="H1351" s="43" t="str">
        <f>IFERROR(G1351*E1340,"")</f>
        <v/>
      </c>
    </row>
    <row r="1352" spans="1:11" ht="12.75" customHeight="1">
      <c r="A1352" s="21"/>
      <c r="B1352" s="22" t="s">
        <v>2533</v>
      </c>
      <c r="C1352" s="23"/>
      <c r="D1352" s="24"/>
      <c r="E1352" s="25"/>
      <c r="F1352" s="26"/>
      <c r="G1352" s="27">
        <f>SUM(G1353:G1354)</f>
        <v>0</v>
      </c>
      <c r="H1352" s="44">
        <f>G1352*E1340</f>
        <v>0</v>
      </c>
    </row>
    <row r="1353" spans="1:11" ht="12.75" customHeight="1">
      <c r="A1353" s="28"/>
      <c r="B1353" s="29"/>
      <c r="C1353" s="30" t="str">
        <f>IFERROR(_xlfn.XLOOKUP(B1353,Transporte[DESCRIPCION],Transporte[UND],,0),"")</f>
        <v/>
      </c>
      <c r="D1353" s="31"/>
      <c r="E1353" s="32" t="str">
        <f>IFERROR(_xlfn.XLOOKUP($B1353,Transporte[DESCRIPCION],Transporte[VALOR],,0),"")</f>
        <v/>
      </c>
      <c r="F1353" s="33"/>
      <c r="G1353" s="34" t="str">
        <f>IFERROR(IF(F1353&gt;=0,D1353*E1353*(1+F1353/100),ABS(D1353*E1353/F1353)),"")</f>
        <v/>
      </c>
      <c r="H1353" s="43" t="str">
        <f>IFERROR(G1353*E1340,"")</f>
        <v/>
      </c>
    </row>
    <row r="1354" spans="1:11" ht="12.75" customHeight="1">
      <c r="A1354" s="28"/>
      <c r="B1354" s="29"/>
      <c r="C1354" s="30" t="str">
        <f>IFERROR(_xlfn.XLOOKUP(B1354,Transporte[DESCRIPCION],Transporte[UND],,0),"")</f>
        <v/>
      </c>
      <c r="D1354" s="31"/>
      <c r="E1354" s="32" t="str">
        <f>IFERROR(_xlfn.XLOOKUP($B1354,Transporte[DESCRIPCION],Transporte[VALOR],,0),"")</f>
        <v/>
      </c>
      <c r="F1354" s="33"/>
      <c r="G1354" s="34" t="str">
        <f>IFERROR(IF(F1354&gt;=0,D1354*E1354*(1+F1354/100),ABS(D1354*E1354/F1354)),"")</f>
        <v/>
      </c>
      <c r="H1354" s="43" t="str">
        <f>IFERROR(G1354*E1340,"")</f>
        <v/>
      </c>
    </row>
    <row r="1355" spans="1:11" ht="12.75" customHeight="1">
      <c r="A1355" s="21"/>
      <c r="B1355" s="22" t="s">
        <v>3732</v>
      </c>
      <c r="C1355" s="23"/>
      <c r="D1355" s="24"/>
      <c r="E1355" s="25"/>
      <c r="F1355" s="26"/>
      <c r="G1355" s="27">
        <f>SUM(G1356:G1358)</f>
        <v>62878.150179000011</v>
      </c>
      <c r="H1355" s="44">
        <f>G1355*E1340</f>
        <v>0</v>
      </c>
    </row>
    <row r="1356" spans="1:11" ht="12.75" customHeight="1">
      <c r="A1356" s="28"/>
      <c r="B1356" s="29" t="s">
        <v>3710</v>
      </c>
      <c r="C1356" s="30" t="str">
        <f>IFERROR(_xlfn.XLOOKUP(B1356,MObra[DESCRIPCION],MObra[UN],,0),"")</f>
        <v>día</v>
      </c>
      <c r="D1356" s="31">
        <v>1</v>
      </c>
      <c r="E1356" s="32">
        <f>IFERROR(_xlfn.XLOOKUP($B1356,MObra[DESCRIPCION],MObra[VALOR UNIT],,0),"")</f>
        <v>314390.75089500006</v>
      </c>
      <c r="F1356" s="33">
        <v>-5</v>
      </c>
      <c r="G1356" s="34">
        <f>IFERROR(IF(F1356&gt;=0,D1356*E1356*(1+F1356/100),ABS(D1356*E1356/F1356)),"")</f>
        <v>62878.150179000011</v>
      </c>
      <c r="H1356" s="43">
        <f>IFERROR(G1356*E1340,"")</f>
        <v>0</v>
      </c>
    </row>
    <row r="1357" spans="1:11" ht="12.75" customHeight="1">
      <c r="A1357" s="28"/>
      <c r="B1357" s="29"/>
      <c r="C1357" s="30" t="str">
        <f t="array" ref="C1357">IFERROR(_xlfn.XLOOKUP(B1357,MObra[[#All],[DESCRIPCION]],MObra[[#All],[UN]],,0),"")</f>
        <v/>
      </c>
      <c r="D1357" s="31"/>
      <c r="E1357" s="32" t="str">
        <f>IFERROR(_xlfn.XLOOKUP($B1357,MObra[DESCRIPCION],MObra[VALOR UNIT],,0),"")</f>
        <v/>
      </c>
      <c r="F1357" s="33"/>
      <c r="G1357" s="34" t="str">
        <f>IFERROR(IF(F1357&gt;=0,D1357*E1357*(1+F1357/100),ABS(D1357*E1357/F1357)),"")</f>
        <v/>
      </c>
      <c r="H1357" s="43" t="str">
        <f>IFERROR(G1357*E1340,"")</f>
        <v/>
      </c>
    </row>
    <row r="1358" spans="1:11" ht="12.75" customHeight="1" thickBot="1">
      <c r="A1358" s="35"/>
      <c r="B1358" s="36"/>
      <c r="C1358" s="37" t="str">
        <f t="array" ref="C1358">IFERROR(_xlfn.XLOOKUP(B1358,MObra[[#All],[DESCRIPCION]],MObra[[#All],[UN]],,0),"")</f>
        <v/>
      </c>
      <c r="D1358" s="38"/>
      <c r="E1358" s="39" t="str">
        <f>IFERROR(_xlfn.XLOOKUP($B1358,MObra[DESCRIPCION],MObra[VALOR UNIT],,0),"")</f>
        <v/>
      </c>
      <c r="F1358" s="40"/>
      <c r="G1358" s="41" t="str">
        <f>IFERROR(IF(F1358&gt;=0,D1358*E1358*(1+F1358/100),ABS(D1358*E1358/F1358)),"")</f>
        <v/>
      </c>
      <c r="H1358" s="42" t="str">
        <f>IFERROR(G1358*E1340,"")</f>
        <v/>
      </c>
    </row>
    <row r="1359" spans="1:11" ht="12.75" customHeight="1" thickTop="1" thickBot="1"/>
    <row r="1360" spans="1:11" ht="12.75" customHeight="1" thickTop="1" thickBot="1">
      <c r="A1360" s="6" t="s">
        <v>733</v>
      </c>
      <c r="B1360" s="7" t="str">
        <f>VLOOKUP($A1360,Presupuesto!$A:$D,2,FALSE())</f>
        <v>Llave paso 1/2" tipo bola</v>
      </c>
      <c r="C1360" s="8" t="str">
        <f>VLOOKUP($A1360,Presupuesto!$A:$D,3,FALSE())</f>
        <v>Un</v>
      </c>
      <c r="D1360" s="9"/>
      <c r="E1360" s="10">
        <f>VLOOKUP($A1360,Presupuesto!$A:$D,4,FALSE())</f>
        <v>0</v>
      </c>
      <c r="F1360" s="11" t="s">
        <v>2589</v>
      </c>
      <c r="G1360" s="12">
        <f>SUM(G1362:G1378)/2</f>
        <v>58330.261537590006</v>
      </c>
      <c r="H1360" s="13">
        <f>ROUND(SUM(H1362:H1378),0)/2</f>
        <v>0</v>
      </c>
      <c r="I1360" s="10">
        <f>VLOOKUP(A1360,Presupuesto!$A:$F,6,0)</f>
        <v>0</v>
      </c>
      <c r="J1360" s="10">
        <f>+H1360-I1360</f>
        <v>0</v>
      </c>
      <c r="K1360" s="46">
        <f>+H1360-G1360*E1360</f>
        <v>0</v>
      </c>
    </row>
    <row r="1361" spans="1:8" ht="12.75" customHeight="1" thickTop="1">
      <c r="A1361" s="14"/>
      <c r="B1361" s="15" t="s">
        <v>2586</v>
      </c>
      <c r="C1361" s="15" t="s">
        <v>5</v>
      </c>
      <c r="D1361" s="16" t="s">
        <v>6</v>
      </c>
      <c r="E1361" s="17" t="s">
        <v>7</v>
      </c>
      <c r="F1361" s="18" t="s">
        <v>3728</v>
      </c>
      <c r="G1361" s="19" t="s">
        <v>3729</v>
      </c>
      <c r="H1361" s="20" t="s">
        <v>3797</v>
      </c>
    </row>
    <row r="1362" spans="1:8" ht="12.75" customHeight="1">
      <c r="A1362" s="21"/>
      <c r="B1362" s="22" t="s">
        <v>3730</v>
      </c>
      <c r="C1362" s="23"/>
      <c r="D1362" s="24"/>
      <c r="E1362" s="25"/>
      <c r="F1362" s="26"/>
      <c r="G1362" s="27">
        <f>SUM(G1363:G1367)</f>
        <v>45125.85</v>
      </c>
      <c r="H1362" s="27">
        <f>IFERROR(G1362*E1360,"")</f>
        <v>0</v>
      </c>
    </row>
    <row r="1363" spans="1:8" ht="12.75" customHeight="1">
      <c r="A1363" s="28"/>
      <c r="B1363" s="29" t="s">
        <v>3050</v>
      </c>
      <c r="C1363" s="30" t="str">
        <f>IFERROR(_xlfn.XLOOKUP(B1363,Insumo[DESCRIPCION],Insumo[UND],,0),"")</f>
        <v>Un</v>
      </c>
      <c r="D1363" s="31">
        <v>1</v>
      </c>
      <c r="E1363" s="32">
        <f>IFERROR(_xlfn.XLOOKUP($B1363,Insumo[DESCRIPCION],Insumo[VALOR],,0),"")</f>
        <v>42278.25</v>
      </c>
      <c r="F1363" s="33"/>
      <c r="G1363" s="34">
        <f>IFERROR(IF(F1363&gt;=0,D1363*E1363*(1+F1363/100),ABS(D1363*E1363/F1363)),"")</f>
        <v>42278.25</v>
      </c>
      <c r="H1363" s="43">
        <f>IFERROR(G1363*E1360,"")</f>
        <v>0</v>
      </c>
    </row>
    <row r="1364" spans="1:8" ht="12.75" customHeight="1">
      <c r="A1364" s="28"/>
      <c r="B1364" s="29" t="s">
        <v>2640</v>
      </c>
      <c r="C1364" s="30" t="str">
        <f>IFERROR(_xlfn.XLOOKUP(B1364,Insumo[DESCRIPCION],Insumo[UND],,0),"")</f>
        <v>Un</v>
      </c>
      <c r="D1364" s="31">
        <v>2</v>
      </c>
      <c r="E1364" s="32">
        <f>IFERROR(_xlfn.XLOOKUP($B1364,Insumo[DESCRIPCION],Insumo[VALOR],,0),"")</f>
        <v>1423.8</v>
      </c>
      <c r="F1364" s="33"/>
      <c r="G1364" s="34">
        <f>IFERROR(IF(F1364&gt;=0,D1364*E1364*(1+F1364/100),ABS(D1364*E1364/F1364)),"")</f>
        <v>2847.6</v>
      </c>
      <c r="H1364" s="43">
        <f>IFERROR(G1364*E1360,"")</f>
        <v>0</v>
      </c>
    </row>
    <row r="1365" spans="1:8" ht="12.75" customHeight="1">
      <c r="A1365" s="28"/>
      <c r="B1365" s="29"/>
      <c r="C1365" s="30" t="str">
        <f>IFERROR(_xlfn.XLOOKUP(B1365,Insumo[DESCRIPCION],Insumo[UND],,0),"")</f>
        <v/>
      </c>
      <c r="D1365" s="31"/>
      <c r="E1365" s="32" t="str">
        <f>IFERROR(_xlfn.XLOOKUP($B1365,Insumo[DESCRIPCION],Insumo[VALOR],,0),"")</f>
        <v/>
      </c>
      <c r="F1365" s="33"/>
      <c r="G1365" s="34" t="str">
        <f>IFERROR(IF(F1365&gt;=0,D1365*E1365*(1+F1365/100),ABS(D1365*E1365/F1365)),"")</f>
        <v/>
      </c>
      <c r="H1365" s="43" t="str">
        <f>IFERROR(G1365*E1360,"")</f>
        <v/>
      </c>
    </row>
    <row r="1366" spans="1:8" ht="12.75" customHeight="1">
      <c r="A1366" s="28"/>
      <c r="B1366" s="29"/>
      <c r="C1366" s="30" t="str">
        <f>IFERROR(_xlfn.XLOOKUP(B1366,Insumo[DESCRIPCION],Insumo[UND],,0),"")</f>
        <v/>
      </c>
      <c r="D1366" s="31"/>
      <c r="E1366" s="32" t="str">
        <f>IFERROR(_xlfn.XLOOKUP($B1366,Insumo[DESCRIPCION],Insumo[VALOR],,0),"")</f>
        <v/>
      </c>
      <c r="F1366" s="33"/>
      <c r="G1366" s="34" t="str">
        <f>IFERROR(IF(F1366&gt;=0,D1366*E1366*(1+F1366/100),ABS(D1366*E1366/F1366)),"")</f>
        <v/>
      </c>
      <c r="H1366" s="43" t="str">
        <f>IFERROR(G1366*E1360,"")</f>
        <v/>
      </c>
    </row>
    <row r="1367" spans="1:8" ht="12.75" customHeight="1">
      <c r="A1367" s="28"/>
      <c r="B1367" s="29"/>
      <c r="C1367" s="30" t="str">
        <f>IFERROR(_xlfn.XLOOKUP(B1367,Insumo[DESCRIPCION],Insumo[UND],,0),"")</f>
        <v/>
      </c>
      <c r="D1367" s="31"/>
      <c r="E1367" s="32" t="str">
        <f>IFERROR(_xlfn.XLOOKUP($B1367,Insumo[DESCRIPCION],Insumo[VALOR],,0),"")</f>
        <v/>
      </c>
      <c r="F1367" s="33"/>
      <c r="G1367" s="34" t="str">
        <f>IFERROR(IF(F1367&gt;=0,D1367*E1367*(1+F1367/100),ABS(D1367*E1367/F1367)),"")</f>
        <v/>
      </c>
      <c r="H1367" s="43" t="str">
        <f>IFERROR(G1367*E1360,"")</f>
        <v/>
      </c>
    </row>
    <row r="1368" spans="1:8" ht="12.75" customHeight="1">
      <c r="A1368" s="21"/>
      <c r="B1368" s="22" t="s">
        <v>3731</v>
      </c>
      <c r="C1368" s="23"/>
      <c r="D1368" s="24"/>
      <c r="E1368" s="25"/>
      <c r="F1368" s="26"/>
      <c r="G1368" s="27">
        <f>SUM(G1369:G1371)</f>
        <v>628.78150179000022</v>
      </c>
      <c r="H1368" s="44">
        <f>G1368*E1360</f>
        <v>0</v>
      </c>
    </row>
    <row r="1369" spans="1:8" ht="12.75" customHeight="1">
      <c r="A1369" s="28"/>
      <c r="B1369" s="29" t="s">
        <v>3626</v>
      </c>
      <c r="C1369" s="30" t="str">
        <f>IFERROR(_xlfn.XLOOKUP(B1369,Equipo[DESCRIPCION],Equipo[UND],,0),"")</f>
        <v>%MO</v>
      </c>
      <c r="D1369" s="31">
        <v>0.05</v>
      </c>
      <c r="E1369" s="32">
        <f>IF(C1369="%MO",G1375,IFERROR(_xlfn.XLOOKUP($B1369,Equipo[DESCRIPCION],Equipo[VALOR],,0),""))</f>
        <v>12575.630035800003</v>
      </c>
      <c r="F1369" s="33"/>
      <c r="G1369" s="34">
        <f>IFERROR(IF(F1369&gt;=0,D1369*E1369*(1+F1369/100),ABS(D1369*E1369/F1369)),"")</f>
        <v>628.78150179000022</v>
      </c>
      <c r="H1369" s="43">
        <f>IFERROR(G1369*E1360,"")</f>
        <v>0</v>
      </c>
    </row>
    <row r="1370" spans="1:8" ht="12.75" customHeight="1">
      <c r="A1370" s="28"/>
      <c r="B1370" s="29"/>
      <c r="C1370" s="30" t="str">
        <f>IFERROR(_xlfn.XLOOKUP(B1370,Equipo[DESCRIPCION],Equipo[UND],,0),"")</f>
        <v/>
      </c>
      <c r="D1370" s="31"/>
      <c r="E1370" s="32" t="str">
        <f>IF(C1370="%MO",G1375,IFERROR(_xlfn.XLOOKUP($B1370,Equipo[DESCRIPCION],Equipo[VALOR],,0),""))</f>
        <v/>
      </c>
      <c r="F1370" s="33"/>
      <c r="G1370" s="34" t="str">
        <f>IFERROR(IF(F1370&gt;=0,D1370*E1370*(1+F1370/100),ABS(D1370*E1370/F1370)),"")</f>
        <v/>
      </c>
      <c r="H1370" s="43" t="str">
        <f>IFERROR(G1370*E1360,"")</f>
        <v/>
      </c>
    </row>
    <row r="1371" spans="1:8" ht="12.75" customHeight="1">
      <c r="A1371" s="28"/>
      <c r="B1371" s="29"/>
      <c r="C1371" s="30" t="str">
        <f>IFERROR(_xlfn.XLOOKUP(B1371,Equipo[DESCRIPCION],Equipo[UND],,0),"")</f>
        <v/>
      </c>
      <c r="D1371" s="31"/>
      <c r="E1371" s="32" t="str">
        <f>IF(C1371="%MO",G1375,IFERROR(_xlfn.XLOOKUP($B1371,Equipo[DESCRIPCION],Equipo[VALOR],,0),""))</f>
        <v/>
      </c>
      <c r="F1371" s="33"/>
      <c r="G1371" s="34" t="str">
        <f>IFERROR(IF(F1371&gt;=0,D1371*E1371*(1+F1371/100),ABS(D1371*E1371/F1371)),"")</f>
        <v/>
      </c>
      <c r="H1371" s="43" t="str">
        <f>IFERROR(G1371*E1360,"")</f>
        <v/>
      </c>
    </row>
    <row r="1372" spans="1:8" ht="12.75" customHeight="1">
      <c r="A1372" s="21"/>
      <c r="B1372" s="22" t="s">
        <v>2533</v>
      </c>
      <c r="C1372" s="23"/>
      <c r="D1372" s="24"/>
      <c r="E1372" s="25"/>
      <c r="F1372" s="26"/>
      <c r="G1372" s="27">
        <f>SUM(G1373:G1374)</f>
        <v>0</v>
      </c>
      <c r="H1372" s="44">
        <f>G1372*E1360</f>
        <v>0</v>
      </c>
    </row>
    <row r="1373" spans="1:8" ht="12.75" customHeight="1">
      <c r="A1373" s="28"/>
      <c r="B1373" s="29"/>
      <c r="C1373" s="30" t="str">
        <f>IFERROR(_xlfn.XLOOKUP(B1373,Transporte[DESCRIPCION],Transporte[UND],,0),"")</f>
        <v/>
      </c>
      <c r="D1373" s="31"/>
      <c r="E1373" s="32" t="str">
        <f>IFERROR(_xlfn.XLOOKUP($B1373,Transporte[DESCRIPCION],Transporte[VALOR],,0),"")</f>
        <v/>
      </c>
      <c r="F1373" s="33"/>
      <c r="G1373" s="34" t="str">
        <f>IFERROR(IF(F1373&gt;=0,D1373*E1373*(1+F1373/100),ABS(D1373*E1373/F1373)),"")</f>
        <v/>
      </c>
      <c r="H1373" s="43" t="str">
        <f>IFERROR(G1373*E1360,"")</f>
        <v/>
      </c>
    </row>
    <row r="1374" spans="1:8" ht="12.75" customHeight="1">
      <c r="A1374" s="28"/>
      <c r="B1374" s="29"/>
      <c r="C1374" s="30" t="str">
        <f>IFERROR(_xlfn.XLOOKUP(B1374,Transporte[DESCRIPCION],Transporte[UND],,0),"")</f>
        <v/>
      </c>
      <c r="D1374" s="31"/>
      <c r="E1374" s="32" t="str">
        <f>IFERROR(_xlfn.XLOOKUP($B1374,Transporte[DESCRIPCION],Transporte[VALOR],,0),"")</f>
        <v/>
      </c>
      <c r="F1374" s="33"/>
      <c r="G1374" s="34" t="str">
        <f>IFERROR(IF(F1374&gt;=0,D1374*E1374*(1+F1374/100),ABS(D1374*E1374/F1374)),"")</f>
        <v/>
      </c>
      <c r="H1374" s="43" t="str">
        <f>IFERROR(G1374*E1360,"")</f>
        <v/>
      </c>
    </row>
    <row r="1375" spans="1:8" ht="12.75" customHeight="1">
      <c r="A1375" s="21"/>
      <c r="B1375" s="22" t="s">
        <v>3732</v>
      </c>
      <c r="C1375" s="23"/>
      <c r="D1375" s="24"/>
      <c r="E1375" s="25"/>
      <c r="F1375" s="26"/>
      <c r="G1375" s="27">
        <f>SUM(G1376:G1378)</f>
        <v>12575.630035800003</v>
      </c>
      <c r="H1375" s="44">
        <f>G1375*E1360</f>
        <v>0</v>
      </c>
    </row>
    <row r="1376" spans="1:8" ht="12.75" customHeight="1">
      <c r="A1376" s="28"/>
      <c r="B1376" s="29" t="s">
        <v>3710</v>
      </c>
      <c r="C1376" s="30" t="str">
        <f>IFERROR(_xlfn.XLOOKUP(B1376,MObra[DESCRIPCION],MObra[UN],,0),"")</f>
        <v>día</v>
      </c>
      <c r="D1376" s="31">
        <v>1</v>
      </c>
      <c r="E1376" s="32">
        <f>IFERROR(_xlfn.XLOOKUP($B1376,MObra[DESCRIPCION],MObra[VALOR UNIT],,0),"")</f>
        <v>314390.75089500006</v>
      </c>
      <c r="F1376" s="33">
        <v>-25</v>
      </c>
      <c r="G1376" s="34">
        <f>IFERROR(IF(F1376&gt;=0,D1376*E1376*(1+F1376/100),ABS(D1376*E1376/F1376)),"")</f>
        <v>12575.630035800003</v>
      </c>
      <c r="H1376" s="43">
        <f>IFERROR(G1376*E1360,"")</f>
        <v>0</v>
      </c>
    </row>
    <row r="1377" spans="1:11" ht="12.75" customHeight="1">
      <c r="A1377" s="28"/>
      <c r="B1377" s="29"/>
      <c r="C1377" s="30" t="str">
        <f t="array" ref="C1377">IFERROR(_xlfn.XLOOKUP(B1377,MObra[[#All],[DESCRIPCION]],MObra[[#All],[UN]],,0),"")</f>
        <v/>
      </c>
      <c r="D1377" s="31"/>
      <c r="E1377" s="32" t="str">
        <f>IFERROR(_xlfn.XLOOKUP($B1377,MObra[DESCRIPCION],MObra[VALOR UNIT],,0),"")</f>
        <v/>
      </c>
      <c r="F1377" s="33"/>
      <c r="G1377" s="34" t="str">
        <f>IFERROR(IF(F1377&gt;=0,D1377*E1377*(1+F1377/100),ABS(D1377*E1377/F1377)),"")</f>
        <v/>
      </c>
      <c r="H1377" s="43" t="str">
        <f>IFERROR(G1377*E1360,"")</f>
        <v/>
      </c>
    </row>
    <row r="1378" spans="1:11" ht="12.75" customHeight="1" thickBot="1">
      <c r="A1378" s="35"/>
      <c r="B1378" s="36"/>
      <c r="C1378" s="37" t="str">
        <f t="array" ref="C1378">IFERROR(_xlfn.XLOOKUP(B1378,MObra[[#All],[DESCRIPCION]],MObra[[#All],[UN]],,0),"")</f>
        <v/>
      </c>
      <c r="D1378" s="38"/>
      <c r="E1378" s="39" t="str">
        <f>IFERROR(_xlfn.XLOOKUP($B1378,MObra[DESCRIPCION],MObra[VALOR UNIT],,0),"")</f>
        <v/>
      </c>
      <c r="F1378" s="40"/>
      <c r="G1378" s="41" t="str">
        <f>IFERROR(IF(F1378&gt;=0,D1378*E1378*(1+F1378/100),ABS(D1378*E1378/F1378)),"")</f>
        <v/>
      </c>
      <c r="H1378" s="42" t="str">
        <f>IFERROR(G1378*E1360,"")</f>
        <v/>
      </c>
    </row>
    <row r="1379" spans="1:11" ht="12.75" customHeight="1" thickTop="1" thickBot="1"/>
    <row r="1380" spans="1:11" ht="12.75" customHeight="1" thickTop="1" thickBot="1">
      <c r="A1380" s="6" t="s">
        <v>735</v>
      </c>
      <c r="B1380" s="7" t="str">
        <f>VLOOKUP($A1380,Presupuesto!$A:$D,2,FALSE())</f>
        <v>Llave paso 1/2" tipo RW</v>
      </c>
      <c r="C1380" s="8" t="str">
        <f>VLOOKUP($A1380,Presupuesto!$A:$D,3,FALSE())</f>
        <v>Un</v>
      </c>
      <c r="D1380" s="9"/>
      <c r="E1380" s="10">
        <f>VLOOKUP($A1380,Presupuesto!$A:$D,4,FALSE())</f>
        <v>0</v>
      </c>
      <c r="F1380" s="11" t="s">
        <v>2589</v>
      </c>
      <c r="G1380" s="12">
        <f>SUM(G1382:G1398)/2</f>
        <v>134886.81153759002</v>
      </c>
      <c r="H1380" s="13">
        <f>ROUND(SUM(H1382:H1398),0)/2</f>
        <v>0</v>
      </c>
      <c r="I1380" s="10">
        <f>VLOOKUP(A1380,Presupuesto!$A:$F,6,0)</f>
        <v>0</v>
      </c>
      <c r="J1380" s="10">
        <f>+H1380-I1380</f>
        <v>0</v>
      </c>
      <c r="K1380" s="46">
        <f>+H1380-G1380*E1380</f>
        <v>0</v>
      </c>
    </row>
    <row r="1381" spans="1:11" ht="12.75" customHeight="1" thickTop="1">
      <c r="A1381" s="14"/>
      <c r="B1381" s="15" t="s">
        <v>2586</v>
      </c>
      <c r="C1381" s="15" t="s">
        <v>5</v>
      </c>
      <c r="D1381" s="16" t="s">
        <v>6</v>
      </c>
      <c r="E1381" s="17" t="s">
        <v>7</v>
      </c>
      <c r="F1381" s="18" t="s">
        <v>3728</v>
      </c>
      <c r="G1381" s="19" t="s">
        <v>3729</v>
      </c>
      <c r="H1381" s="20" t="s">
        <v>3797</v>
      </c>
    </row>
    <row r="1382" spans="1:11" ht="12.75" customHeight="1">
      <c r="A1382" s="21"/>
      <c r="B1382" s="22" t="s">
        <v>3730</v>
      </c>
      <c r="C1382" s="23"/>
      <c r="D1382" s="24"/>
      <c r="E1382" s="25"/>
      <c r="F1382" s="26"/>
      <c r="G1382" s="27">
        <f>SUM(G1383:G1387)</f>
        <v>121682.40000000001</v>
      </c>
      <c r="H1382" s="27">
        <f>IFERROR(G1382*E1380,"")</f>
        <v>0</v>
      </c>
    </row>
    <row r="1383" spans="1:11" ht="12.75" customHeight="1">
      <c r="A1383" s="28"/>
      <c r="B1383" s="29" t="s">
        <v>3052</v>
      </c>
      <c r="C1383" s="30" t="str">
        <f>IFERROR(_xlfn.XLOOKUP(B1383,Insumo[DESCRIPCION],Insumo[UND],,0),"")</f>
        <v>Un</v>
      </c>
      <c r="D1383" s="31">
        <v>1</v>
      </c>
      <c r="E1383" s="32">
        <f>IFERROR(_xlfn.XLOOKUP($B1383,Insumo[DESCRIPCION],Insumo[VALOR],,0),"")</f>
        <v>118834.8</v>
      </c>
      <c r="F1383" s="33"/>
      <c r="G1383" s="34">
        <f>IFERROR(IF(F1383&gt;=0,D1383*E1383*(1+F1383/100),ABS(D1383*E1383/F1383)),"")</f>
        <v>118834.8</v>
      </c>
      <c r="H1383" s="43">
        <f>IFERROR(G1383*E1380,"")</f>
        <v>0</v>
      </c>
    </row>
    <row r="1384" spans="1:11" ht="12.75" customHeight="1">
      <c r="A1384" s="28"/>
      <c r="B1384" s="29" t="s">
        <v>2640</v>
      </c>
      <c r="C1384" s="30" t="str">
        <f>IFERROR(_xlfn.XLOOKUP(B1384,Insumo[DESCRIPCION],Insumo[UND],,0),"")</f>
        <v>Un</v>
      </c>
      <c r="D1384" s="31">
        <v>2</v>
      </c>
      <c r="E1384" s="32">
        <f>IFERROR(_xlfn.XLOOKUP($B1384,Insumo[DESCRIPCION],Insumo[VALOR],,0),"")</f>
        <v>1423.8</v>
      </c>
      <c r="F1384" s="33"/>
      <c r="G1384" s="34">
        <f>IFERROR(IF(F1384&gt;=0,D1384*E1384*(1+F1384/100),ABS(D1384*E1384/F1384)),"")</f>
        <v>2847.6</v>
      </c>
      <c r="H1384" s="43">
        <f>IFERROR(G1384*E1380,"")</f>
        <v>0</v>
      </c>
    </row>
    <row r="1385" spans="1:11" ht="12.75" customHeight="1">
      <c r="A1385" s="28"/>
      <c r="B1385" s="29"/>
      <c r="C1385" s="30" t="str">
        <f>IFERROR(_xlfn.XLOOKUP(B1385,Insumo[DESCRIPCION],Insumo[UND],,0),"")</f>
        <v/>
      </c>
      <c r="D1385" s="31"/>
      <c r="E1385" s="32" t="str">
        <f>IFERROR(_xlfn.XLOOKUP($B1385,Insumo[DESCRIPCION],Insumo[VALOR],,0),"")</f>
        <v/>
      </c>
      <c r="F1385" s="33"/>
      <c r="G1385" s="34" t="str">
        <f>IFERROR(IF(F1385&gt;=0,D1385*E1385*(1+F1385/100),ABS(D1385*E1385/F1385)),"")</f>
        <v/>
      </c>
      <c r="H1385" s="43" t="str">
        <f>IFERROR(G1385*E1380,"")</f>
        <v/>
      </c>
    </row>
    <row r="1386" spans="1:11" ht="12.75" customHeight="1">
      <c r="A1386" s="28"/>
      <c r="B1386" s="29"/>
      <c r="C1386" s="30" t="str">
        <f>IFERROR(_xlfn.XLOOKUP(B1386,Insumo[DESCRIPCION],Insumo[UND],,0),"")</f>
        <v/>
      </c>
      <c r="D1386" s="31"/>
      <c r="E1386" s="32" t="str">
        <f>IFERROR(_xlfn.XLOOKUP($B1386,Insumo[DESCRIPCION],Insumo[VALOR],,0),"")</f>
        <v/>
      </c>
      <c r="F1386" s="33"/>
      <c r="G1386" s="34" t="str">
        <f>IFERROR(IF(F1386&gt;=0,D1386*E1386*(1+F1386/100),ABS(D1386*E1386/F1386)),"")</f>
        <v/>
      </c>
      <c r="H1386" s="43" t="str">
        <f>IFERROR(G1386*E1380,"")</f>
        <v/>
      </c>
    </row>
    <row r="1387" spans="1:11" ht="12.75" customHeight="1">
      <c r="A1387" s="28"/>
      <c r="B1387" s="29"/>
      <c r="C1387" s="30" t="str">
        <f>IFERROR(_xlfn.XLOOKUP(B1387,Insumo[DESCRIPCION],Insumo[UND],,0),"")</f>
        <v/>
      </c>
      <c r="D1387" s="31"/>
      <c r="E1387" s="32" t="str">
        <f>IFERROR(_xlfn.XLOOKUP($B1387,Insumo[DESCRIPCION],Insumo[VALOR],,0),"")</f>
        <v/>
      </c>
      <c r="F1387" s="33"/>
      <c r="G1387" s="34" t="str">
        <f>IFERROR(IF(F1387&gt;=0,D1387*E1387*(1+F1387/100),ABS(D1387*E1387/F1387)),"")</f>
        <v/>
      </c>
      <c r="H1387" s="43" t="str">
        <f>IFERROR(G1387*E1380,"")</f>
        <v/>
      </c>
    </row>
    <row r="1388" spans="1:11" ht="12.75" customHeight="1">
      <c r="A1388" s="21"/>
      <c r="B1388" s="22" t="s">
        <v>3731</v>
      </c>
      <c r="C1388" s="23"/>
      <c r="D1388" s="24"/>
      <c r="E1388" s="25"/>
      <c r="F1388" s="26"/>
      <c r="G1388" s="27">
        <f>SUM(G1389:G1391)</f>
        <v>628.78150179000022</v>
      </c>
      <c r="H1388" s="44">
        <f>G1388*E1380</f>
        <v>0</v>
      </c>
    </row>
    <row r="1389" spans="1:11" ht="12.75" customHeight="1">
      <c r="A1389" s="28"/>
      <c r="B1389" s="29" t="s">
        <v>3626</v>
      </c>
      <c r="C1389" s="30" t="str">
        <f>IFERROR(_xlfn.XLOOKUP(B1389,Equipo[DESCRIPCION],Equipo[UND],,0),"")</f>
        <v>%MO</v>
      </c>
      <c r="D1389" s="31">
        <v>0.05</v>
      </c>
      <c r="E1389" s="32">
        <f>IF(C1389="%MO",G1395,IFERROR(_xlfn.XLOOKUP($B1389,Equipo[DESCRIPCION],Equipo[VALOR],,0),""))</f>
        <v>12575.630035800003</v>
      </c>
      <c r="F1389" s="33"/>
      <c r="G1389" s="34">
        <f>IFERROR(IF(F1389&gt;=0,D1389*E1389*(1+F1389/100),ABS(D1389*E1389/F1389)),"")</f>
        <v>628.78150179000022</v>
      </c>
      <c r="H1389" s="43">
        <f>IFERROR(G1389*E1380,"")</f>
        <v>0</v>
      </c>
    </row>
    <row r="1390" spans="1:11" ht="12.75" customHeight="1">
      <c r="A1390" s="28"/>
      <c r="B1390" s="29"/>
      <c r="C1390" s="30" t="str">
        <f>IFERROR(_xlfn.XLOOKUP(B1390,Equipo[DESCRIPCION],Equipo[UND],,0),"")</f>
        <v/>
      </c>
      <c r="D1390" s="31"/>
      <c r="E1390" s="32" t="str">
        <f>IF(C1390="%MO",G1395,IFERROR(_xlfn.XLOOKUP($B1390,Equipo[DESCRIPCION],Equipo[VALOR],,0),""))</f>
        <v/>
      </c>
      <c r="F1390" s="33"/>
      <c r="G1390" s="34" t="str">
        <f>IFERROR(IF(F1390&gt;=0,D1390*E1390*(1+F1390/100),ABS(D1390*E1390/F1390)),"")</f>
        <v/>
      </c>
      <c r="H1390" s="43" t="str">
        <f>IFERROR(G1390*E1380,"")</f>
        <v/>
      </c>
    </row>
    <row r="1391" spans="1:11" ht="12.75" customHeight="1">
      <c r="A1391" s="28"/>
      <c r="B1391" s="29"/>
      <c r="C1391" s="30" t="str">
        <f>IFERROR(_xlfn.XLOOKUP(B1391,Equipo[DESCRIPCION],Equipo[UND],,0),"")</f>
        <v/>
      </c>
      <c r="D1391" s="31"/>
      <c r="E1391" s="32" t="str">
        <f>IF(C1391="%MO",G1395,IFERROR(_xlfn.XLOOKUP($B1391,Equipo[DESCRIPCION],Equipo[VALOR],,0),""))</f>
        <v/>
      </c>
      <c r="F1391" s="33"/>
      <c r="G1391" s="34" t="str">
        <f>IFERROR(IF(F1391&gt;=0,D1391*E1391*(1+F1391/100),ABS(D1391*E1391/F1391)),"")</f>
        <v/>
      </c>
      <c r="H1391" s="43" t="str">
        <f>IFERROR(G1391*E1380,"")</f>
        <v/>
      </c>
    </row>
    <row r="1392" spans="1:11" ht="12.75" customHeight="1">
      <c r="A1392" s="21"/>
      <c r="B1392" s="22" t="s">
        <v>2533</v>
      </c>
      <c r="C1392" s="23"/>
      <c r="D1392" s="24"/>
      <c r="E1392" s="25"/>
      <c r="F1392" s="26"/>
      <c r="G1392" s="27">
        <f>SUM(G1393:G1394)</f>
        <v>0</v>
      </c>
      <c r="H1392" s="44">
        <f>G1392*E1380</f>
        <v>0</v>
      </c>
    </row>
    <row r="1393" spans="1:11" ht="12.75" customHeight="1">
      <c r="A1393" s="28"/>
      <c r="B1393" s="29"/>
      <c r="C1393" s="30" t="str">
        <f>IFERROR(_xlfn.XLOOKUP(B1393,Transporte[DESCRIPCION],Transporte[UND],,0),"")</f>
        <v/>
      </c>
      <c r="D1393" s="31"/>
      <c r="E1393" s="32" t="str">
        <f>IFERROR(_xlfn.XLOOKUP($B1393,Transporte[DESCRIPCION],Transporte[VALOR],,0),"")</f>
        <v/>
      </c>
      <c r="F1393" s="33"/>
      <c r="G1393" s="34" t="str">
        <f>IFERROR(IF(F1393&gt;=0,D1393*E1393*(1+F1393/100),ABS(D1393*E1393/F1393)),"")</f>
        <v/>
      </c>
      <c r="H1393" s="43" t="str">
        <f>IFERROR(G1393*E1380,"")</f>
        <v/>
      </c>
    </row>
    <row r="1394" spans="1:11" ht="12.75" customHeight="1">
      <c r="A1394" s="28"/>
      <c r="B1394" s="29"/>
      <c r="C1394" s="30" t="str">
        <f>IFERROR(_xlfn.XLOOKUP(B1394,Transporte[DESCRIPCION],Transporte[UND],,0),"")</f>
        <v/>
      </c>
      <c r="D1394" s="31"/>
      <c r="E1394" s="32" t="str">
        <f>IFERROR(_xlfn.XLOOKUP($B1394,Transporte[DESCRIPCION],Transporte[VALOR],,0),"")</f>
        <v/>
      </c>
      <c r="F1394" s="33"/>
      <c r="G1394" s="34" t="str">
        <f>IFERROR(IF(F1394&gt;=0,D1394*E1394*(1+F1394/100),ABS(D1394*E1394/F1394)),"")</f>
        <v/>
      </c>
      <c r="H1394" s="43" t="str">
        <f>IFERROR(G1394*E1380,"")</f>
        <v/>
      </c>
    </row>
    <row r="1395" spans="1:11" ht="12.75" customHeight="1">
      <c r="A1395" s="21"/>
      <c r="B1395" s="22" t="s">
        <v>3732</v>
      </c>
      <c r="C1395" s="23"/>
      <c r="D1395" s="24"/>
      <c r="E1395" s="25"/>
      <c r="F1395" s="26"/>
      <c r="G1395" s="27">
        <f>SUM(G1396:G1398)</f>
        <v>12575.630035800003</v>
      </c>
      <c r="H1395" s="44">
        <f>G1395*E1380</f>
        <v>0</v>
      </c>
    </row>
    <row r="1396" spans="1:11" ht="12.75" customHeight="1">
      <c r="A1396" s="28"/>
      <c r="B1396" s="29" t="s">
        <v>3710</v>
      </c>
      <c r="C1396" s="30" t="str">
        <f>IFERROR(_xlfn.XLOOKUP(B1396,MObra[DESCRIPCION],MObra[UN],,0),"")</f>
        <v>día</v>
      </c>
      <c r="D1396" s="31">
        <v>1</v>
      </c>
      <c r="E1396" s="32">
        <f>IFERROR(_xlfn.XLOOKUP($B1396,MObra[DESCRIPCION],MObra[VALOR UNIT],,0),"")</f>
        <v>314390.75089500006</v>
      </c>
      <c r="F1396" s="33">
        <v>-25</v>
      </c>
      <c r="G1396" s="34">
        <f>IFERROR(IF(F1396&gt;=0,D1396*E1396*(1+F1396/100),ABS(D1396*E1396/F1396)),"")</f>
        <v>12575.630035800003</v>
      </c>
      <c r="H1396" s="43">
        <f>IFERROR(G1396*E1380,"")</f>
        <v>0</v>
      </c>
    </row>
    <row r="1397" spans="1:11" ht="12.75" customHeight="1">
      <c r="A1397" s="28"/>
      <c r="B1397" s="29"/>
      <c r="C1397" s="30" t="str">
        <f t="array" ref="C1397">IFERROR(_xlfn.XLOOKUP(B1397,MObra[[#All],[DESCRIPCION]],MObra[[#All],[UN]],,0),"")</f>
        <v/>
      </c>
      <c r="D1397" s="31"/>
      <c r="E1397" s="32" t="str">
        <f>IFERROR(_xlfn.XLOOKUP($B1397,MObra[DESCRIPCION],MObra[VALOR UNIT],,0),"")</f>
        <v/>
      </c>
      <c r="F1397" s="33"/>
      <c r="G1397" s="34" t="str">
        <f>IFERROR(IF(F1397&gt;=0,D1397*E1397*(1+F1397/100),ABS(D1397*E1397/F1397)),"")</f>
        <v/>
      </c>
      <c r="H1397" s="43" t="str">
        <f>IFERROR(G1397*E1380,"")</f>
        <v/>
      </c>
    </row>
    <row r="1398" spans="1:11" ht="12.75" customHeight="1" thickBot="1">
      <c r="A1398" s="35"/>
      <c r="B1398" s="36"/>
      <c r="C1398" s="37" t="str">
        <f t="array" ref="C1398">IFERROR(_xlfn.XLOOKUP(B1398,MObra[[#All],[DESCRIPCION]],MObra[[#All],[UN]],,0),"")</f>
        <v/>
      </c>
      <c r="D1398" s="38"/>
      <c r="E1398" s="39" t="str">
        <f>IFERROR(_xlfn.XLOOKUP($B1398,MObra[DESCRIPCION],MObra[VALOR UNIT],,0),"")</f>
        <v/>
      </c>
      <c r="F1398" s="40"/>
      <c r="G1398" s="41" t="str">
        <f>IFERROR(IF(F1398&gt;=0,D1398*E1398*(1+F1398/100),ABS(D1398*E1398/F1398)),"")</f>
        <v/>
      </c>
      <c r="H1398" s="42" t="str">
        <f>IFERROR(G1398*E1380,"")</f>
        <v/>
      </c>
    </row>
    <row r="1399" spans="1:11" ht="12.75" customHeight="1" thickTop="1" thickBot="1"/>
    <row r="1400" spans="1:11" ht="12.75" customHeight="1" thickTop="1" thickBot="1">
      <c r="A1400" s="6" t="s">
        <v>737</v>
      </c>
      <c r="B1400" s="7" t="str">
        <f>VLOOKUP($A1400,Presupuesto!$A:$D,2,FALSE())</f>
        <v>Llave paso 3/4" tipo RW</v>
      </c>
      <c r="C1400" s="8" t="str">
        <f>VLOOKUP($A1400,Presupuesto!$A:$D,3,FALSE())</f>
        <v>Un</v>
      </c>
      <c r="D1400" s="9"/>
      <c r="E1400" s="10">
        <f>VLOOKUP($A1400,Presupuesto!$A:$D,4,FALSE())</f>
        <v>0</v>
      </c>
      <c r="F1400" s="11" t="s">
        <v>2589</v>
      </c>
      <c r="G1400" s="12">
        <f>SUM(G1402:G1418)/2</f>
        <v>172904.72123651087</v>
      </c>
      <c r="H1400" s="13">
        <f>ROUND(SUM(H1402:H1418),0)/2</f>
        <v>0</v>
      </c>
      <c r="I1400" s="10">
        <f>VLOOKUP(A1400,Presupuesto!$A:$F,6,0)</f>
        <v>0</v>
      </c>
      <c r="J1400" s="10">
        <f>+H1400-I1400</f>
        <v>0</v>
      </c>
      <c r="K1400" s="46">
        <f>+H1400-G1400*E1400</f>
        <v>0</v>
      </c>
    </row>
    <row r="1401" spans="1:11" ht="12.75" customHeight="1" thickTop="1">
      <c r="A1401" s="14"/>
      <c r="B1401" s="15" t="s">
        <v>2586</v>
      </c>
      <c r="C1401" s="15" t="s">
        <v>5</v>
      </c>
      <c r="D1401" s="16" t="s">
        <v>6</v>
      </c>
      <c r="E1401" s="17" t="s">
        <v>7</v>
      </c>
      <c r="F1401" s="18" t="s">
        <v>3728</v>
      </c>
      <c r="G1401" s="19" t="s">
        <v>3729</v>
      </c>
      <c r="H1401" s="20" t="s">
        <v>3797</v>
      </c>
    </row>
    <row r="1402" spans="1:11" ht="12.75" customHeight="1">
      <c r="A1402" s="21"/>
      <c r="B1402" s="22" t="s">
        <v>3730</v>
      </c>
      <c r="C1402" s="23"/>
      <c r="D1402" s="24"/>
      <c r="E1402" s="25"/>
      <c r="F1402" s="26"/>
      <c r="G1402" s="27">
        <f>SUM(G1403:G1407)</f>
        <v>158552.1</v>
      </c>
      <c r="H1402" s="27">
        <f>IFERROR(G1402*E1400,"")</f>
        <v>0</v>
      </c>
    </row>
    <row r="1403" spans="1:11" ht="12.75" customHeight="1">
      <c r="A1403" s="28"/>
      <c r="B1403" s="29" t="s">
        <v>3054</v>
      </c>
      <c r="C1403" s="30" t="str">
        <f>IFERROR(_xlfn.XLOOKUP(B1403,Insumo[DESCRIPCION],Insumo[UND],,0),"")</f>
        <v>Un</v>
      </c>
      <c r="D1403" s="31">
        <v>1</v>
      </c>
      <c r="E1403" s="32">
        <f>IFERROR(_xlfn.XLOOKUP($B1403,Insumo[DESCRIPCION],Insumo[VALOR],,0),"")</f>
        <v>153753.60000000001</v>
      </c>
      <c r="F1403" s="33"/>
      <c r="G1403" s="34">
        <f>IFERROR(IF(F1403&gt;=0,D1403*E1403*(1+F1403/100),ABS(D1403*E1403/F1403)),"")</f>
        <v>153753.60000000001</v>
      </c>
      <c r="H1403" s="43">
        <f>IFERROR(G1403*E1400,"")</f>
        <v>0</v>
      </c>
    </row>
    <row r="1404" spans="1:11" ht="12.75" customHeight="1">
      <c r="A1404" s="28"/>
      <c r="B1404" s="29" t="s">
        <v>2644</v>
      </c>
      <c r="C1404" s="30" t="str">
        <f>IFERROR(_xlfn.XLOOKUP(B1404,Insumo[DESCRIPCION],Insumo[UND],,0),"")</f>
        <v>Un</v>
      </c>
      <c r="D1404" s="31">
        <v>2</v>
      </c>
      <c r="E1404" s="32">
        <f>IFERROR(_xlfn.XLOOKUP($B1404,Insumo[DESCRIPCION],Insumo[VALOR],,0),"")</f>
        <v>2399.25</v>
      </c>
      <c r="F1404" s="33"/>
      <c r="G1404" s="34">
        <f>IFERROR(IF(F1404&gt;=0,D1404*E1404*(1+F1404/100),ABS(D1404*E1404/F1404)),"")</f>
        <v>4798.5</v>
      </c>
      <c r="H1404" s="43">
        <f>IFERROR(G1404*E1400,"")</f>
        <v>0</v>
      </c>
    </row>
    <row r="1405" spans="1:11" ht="12.75" customHeight="1">
      <c r="A1405" s="28"/>
      <c r="B1405" s="29"/>
      <c r="C1405" s="30" t="str">
        <f>IFERROR(_xlfn.XLOOKUP(B1405,Insumo[DESCRIPCION],Insumo[UND],,0),"")</f>
        <v/>
      </c>
      <c r="D1405" s="31"/>
      <c r="E1405" s="32" t="str">
        <f>IFERROR(_xlfn.XLOOKUP($B1405,Insumo[DESCRIPCION],Insumo[VALOR],,0),"")</f>
        <v/>
      </c>
      <c r="F1405" s="33"/>
      <c r="G1405" s="34" t="str">
        <f>IFERROR(IF(F1405&gt;=0,D1405*E1405*(1+F1405/100),ABS(D1405*E1405/F1405)),"")</f>
        <v/>
      </c>
      <c r="H1405" s="43" t="str">
        <f>IFERROR(G1405*E1400,"")</f>
        <v/>
      </c>
    </row>
    <row r="1406" spans="1:11" ht="12.75" customHeight="1">
      <c r="A1406" s="28"/>
      <c r="B1406" s="29"/>
      <c r="C1406" s="30" t="str">
        <f>IFERROR(_xlfn.XLOOKUP(B1406,Insumo[DESCRIPCION],Insumo[UND],,0),"")</f>
        <v/>
      </c>
      <c r="D1406" s="31"/>
      <c r="E1406" s="32" t="str">
        <f>IFERROR(_xlfn.XLOOKUP($B1406,Insumo[DESCRIPCION],Insumo[VALOR],,0),"")</f>
        <v/>
      </c>
      <c r="F1406" s="33"/>
      <c r="G1406" s="34" t="str">
        <f>IFERROR(IF(F1406&gt;=0,D1406*E1406*(1+F1406/100),ABS(D1406*E1406/F1406)),"")</f>
        <v/>
      </c>
      <c r="H1406" s="43" t="str">
        <f>IFERROR(G1406*E1400,"")</f>
        <v/>
      </c>
    </row>
    <row r="1407" spans="1:11" ht="12.75" customHeight="1">
      <c r="A1407" s="28"/>
      <c r="B1407" s="29"/>
      <c r="C1407" s="30" t="str">
        <f>IFERROR(_xlfn.XLOOKUP(B1407,Insumo[DESCRIPCION],Insumo[UND],,0),"")</f>
        <v/>
      </c>
      <c r="D1407" s="31"/>
      <c r="E1407" s="32" t="str">
        <f>IFERROR(_xlfn.XLOOKUP($B1407,Insumo[DESCRIPCION],Insumo[VALOR],,0),"")</f>
        <v/>
      </c>
      <c r="F1407" s="33"/>
      <c r="G1407" s="34" t="str">
        <f>IFERROR(IF(F1407&gt;=0,D1407*E1407*(1+F1407/100),ABS(D1407*E1407/F1407)),"")</f>
        <v/>
      </c>
      <c r="H1407" s="43" t="str">
        <f>IFERROR(G1407*E1400,"")</f>
        <v/>
      </c>
    </row>
    <row r="1408" spans="1:11" ht="12.75" customHeight="1">
      <c r="A1408" s="21"/>
      <c r="B1408" s="22" t="s">
        <v>3731</v>
      </c>
      <c r="C1408" s="23"/>
      <c r="D1408" s="24"/>
      <c r="E1408" s="25"/>
      <c r="F1408" s="26"/>
      <c r="G1408" s="27">
        <f>SUM(G1409:G1411)</f>
        <v>683.45815411956539</v>
      </c>
      <c r="H1408" s="44">
        <f>G1408*E1400</f>
        <v>0</v>
      </c>
    </row>
    <row r="1409" spans="1:11" ht="12.75" customHeight="1">
      <c r="A1409" s="28"/>
      <c r="B1409" s="29" t="s">
        <v>3626</v>
      </c>
      <c r="C1409" s="30" t="str">
        <f>IFERROR(_xlfn.XLOOKUP(B1409,Equipo[DESCRIPCION],Equipo[UND],,0),"")</f>
        <v>%MO</v>
      </c>
      <c r="D1409" s="31">
        <v>0.05</v>
      </c>
      <c r="E1409" s="32">
        <f>IF(C1409="%MO",G1415,IFERROR(_xlfn.XLOOKUP($B1409,Equipo[DESCRIPCION],Equipo[VALOR],,0),""))</f>
        <v>13669.163082391307</v>
      </c>
      <c r="F1409" s="33"/>
      <c r="G1409" s="34">
        <f>IFERROR(IF(F1409&gt;=0,D1409*E1409*(1+F1409/100),ABS(D1409*E1409/F1409)),"")</f>
        <v>683.45815411956539</v>
      </c>
      <c r="H1409" s="43">
        <f>IFERROR(G1409*E1400,"")</f>
        <v>0</v>
      </c>
    </row>
    <row r="1410" spans="1:11" ht="12.75" customHeight="1">
      <c r="A1410" s="28"/>
      <c r="B1410" s="29"/>
      <c r="C1410" s="30" t="str">
        <f>IFERROR(_xlfn.XLOOKUP(B1410,Equipo[DESCRIPCION],Equipo[UND],,0),"")</f>
        <v/>
      </c>
      <c r="D1410" s="31"/>
      <c r="E1410" s="32" t="str">
        <f>IF(C1410="%MO",G1415,IFERROR(_xlfn.XLOOKUP($B1410,Equipo[DESCRIPCION],Equipo[VALOR],,0),""))</f>
        <v/>
      </c>
      <c r="F1410" s="33"/>
      <c r="G1410" s="34" t="str">
        <f>IFERROR(IF(F1410&gt;=0,D1410*E1410*(1+F1410/100),ABS(D1410*E1410/F1410)),"")</f>
        <v/>
      </c>
      <c r="H1410" s="43" t="str">
        <f>IFERROR(G1410*E1400,"")</f>
        <v/>
      </c>
    </row>
    <row r="1411" spans="1:11" ht="12.75" customHeight="1">
      <c r="A1411" s="28"/>
      <c r="B1411" s="29"/>
      <c r="C1411" s="30" t="str">
        <f>IFERROR(_xlfn.XLOOKUP(B1411,Equipo[DESCRIPCION],Equipo[UND],,0),"")</f>
        <v/>
      </c>
      <c r="D1411" s="31"/>
      <c r="E1411" s="32" t="str">
        <f>IF(C1411="%MO",G1415,IFERROR(_xlfn.XLOOKUP($B1411,Equipo[DESCRIPCION],Equipo[VALOR],,0),""))</f>
        <v/>
      </c>
      <c r="F1411" s="33"/>
      <c r="G1411" s="34" t="str">
        <f>IFERROR(IF(F1411&gt;=0,D1411*E1411*(1+F1411/100),ABS(D1411*E1411/F1411)),"")</f>
        <v/>
      </c>
      <c r="H1411" s="43" t="str">
        <f>IFERROR(G1411*E1400,"")</f>
        <v/>
      </c>
    </row>
    <row r="1412" spans="1:11" ht="12.75" customHeight="1">
      <c r="A1412" s="21"/>
      <c r="B1412" s="22" t="s">
        <v>2533</v>
      </c>
      <c r="C1412" s="23"/>
      <c r="D1412" s="24"/>
      <c r="E1412" s="25"/>
      <c r="F1412" s="26"/>
      <c r="G1412" s="27">
        <f>SUM(G1413:G1414)</f>
        <v>0</v>
      </c>
      <c r="H1412" s="44">
        <f>G1412*E1400</f>
        <v>0</v>
      </c>
    </row>
    <row r="1413" spans="1:11" ht="12.75" customHeight="1">
      <c r="A1413" s="28"/>
      <c r="B1413" s="29"/>
      <c r="C1413" s="30" t="str">
        <f>IFERROR(_xlfn.XLOOKUP(B1413,Transporte[DESCRIPCION],Transporte[UND],,0),"")</f>
        <v/>
      </c>
      <c r="D1413" s="31"/>
      <c r="E1413" s="32" t="str">
        <f>IFERROR(_xlfn.XLOOKUP($B1413,Transporte[DESCRIPCION],Transporte[VALOR],,0),"")</f>
        <v/>
      </c>
      <c r="F1413" s="33"/>
      <c r="G1413" s="34" t="str">
        <f>IFERROR(IF(F1413&gt;=0,D1413*E1413*(1+F1413/100),ABS(D1413*E1413/F1413)),"")</f>
        <v/>
      </c>
      <c r="H1413" s="43" t="str">
        <f>IFERROR(G1413*E1400,"")</f>
        <v/>
      </c>
    </row>
    <row r="1414" spans="1:11" ht="12.75" customHeight="1">
      <c r="A1414" s="28"/>
      <c r="B1414" s="29"/>
      <c r="C1414" s="30" t="str">
        <f>IFERROR(_xlfn.XLOOKUP(B1414,Transporte[DESCRIPCION],Transporte[UND],,0),"")</f>
        <v/>
      </c>
      <c r="D1414" s="31"/>
      <c r="E1414" s="32" t="str">
        <f>IFERROR(_xlfn.XLOOKUP($B1414,Transporte[DESCRIPCION],Transporte[VALOR],,0),"")</f>
        <v/>
      </c>
      <c r="F1414" s="33"/>
      <c r="G1414" s="34" t="str">
        <f>IFERROR(IF(F1414&gt;=0,D1414*E1414*(1+F1414/100),ABS(D1414*E1414/F1414)),"")</f>
        <v/>
      </c>
      <c r="H1414" s="43" t="str">
        <f>IFERROR(G1414*E1400,"")</f>
        <v/>
      </c>
    </row>
    <row r="1415" spans="1:11" ht="12.75" customHeight="1">
      <c r="A1415" s="21"/>
      <c r="B1415" s="22" t="s">
        <v>3732</v>
      </c>
      <c r="C1415" s="23"/>
      <c r="D1415" s="24"/>
      <c r="E1415" s="25"/>
      <c r="F1415" s="26"/>
      <c r="G1415" s="27">
        <f>SUM(G1416:G1418)</f>
        <v>13669.163082391307</v>
      </c>
      <c r="H1415" s="44">
        <f>G1415*E1400</f>
        <v>0</v>
      </c>
    </row>
    <row r="1416" spans="1:11" ht="12.75" customHeight="1">
      <c r="A1416" s="28"/>
      <c r="B1416" s="29" t="s">
        <v>3710</v>
      </c>
      <c r="C1416" s="30" t="str">
        <f>IFERROR(_xlfn.XLOOKUP(B1416,MObra[DESCRIPCION],MObra[UN],,0),"")</f>
        <v>día</v>
      </c>
      <c r="D1416" s="31">
        <v>1</v>
      </c>
      <c r="E1416" s="32">
        <f>IFERROR(_xlfn.XLOOKUP($B1416,MObra[DESCRIPCION],MObra[VALOR UNIT],,0),"")</f>
        <v>314390.75089500006</v>
      </c>
      <c r="F1416" s="33">
        <v>-23</v>
      </c>
      <c r="G1416" s="34">
        <f>IFERROR(IF(F1416&gt;=0,D1416*E1416*(1+F1416/100),ABS(D1416*E1416/F1416)),"")</f>
        <v>13669.163082391307</v>
      </c>
      <c r="H1416" s="43">
        <f>IFERROR(G1416*E1400,"")</f>
        <v>0</v>
      </c>
    </row>
    <row r="1417" spans="1:11" ht="12.75" customHeight="1">
      <c r="A1417" s="28"/>
      <c r="B1417" s="29"/>
      <c r="C1417" s="30" t="str">
        <f t="array" ref="C1417">IFERROR(_xlfn.XLOOKUP(B1417,MObra[[#All],[DESCRIPCION]],MObra[[#All],[UN]],,0),"")</f>
        <v/>
      </c>
      <c r="D1417" s="31"/>
      <c r="E1417" s="32" t="str">
        <f>IFERROR(_xlfn.XLOOKUP($B1417,MObra[DESCRIPCION],MObra[VALOR UNIT],,0),"")</f>
        <v/>
      </c>
      <c r="F1417" s="33"/>
      <c r="G1417" s="34" t="str">
        <f>IFERROR(IF(F1417&gt;=0,D1417*E1417*(1+F1417/100),ABS(D1417*E1417/F1417)),"")</f>
        <v/>
      </c>
      <c r="H1417" s="43" t="str">
        <f>IFERROR(G1417*E1400,"")</f>
        <v/>
      </c>
    </row>
    <row r="1418" spans="1:11" ht="12.75" customHeight="1" thickBot="1">
      <c r="A1418" s="35"/>
      <c r="B1418" s="36"/>
      <c r="C1418" s="37" t="str">
        <f t="array" ref="C1418">IFERROR(_xlfn.XLOOKUP(B1418,MObra[[#All],[DESCRIPCION]],MObra[[#All],[UN]],,0),"")</f>
        <v/>
      </c>
      <c r="D1418" s="38"/>
      <c r="E1418" s="39" t="str">
        <f>IFERROR(_xlfn.XLOOKUP($B1418,MObra[DESCRIPCION],MObra[VALOR UNIT],,0),"")</f>
        <v/>
      </c>
      <c r="F1418" s="40"/>
      <c r="G1418" s="41" t="str">
        <f>IFERROR(IF(F1418&gt;=0,D1418*E1418*(1+F1418/100),ABS(D1418*E1418/F1418)),"")</f>
        <v/>
      </c>
      <c r="H1418" s="42" t="str">
        <f>IFERROR(G1418*E1400,"")</f>
        <v/>
      </c>
    </row>
    <row r="1419" spans="1:11" ht="12.75" customHeight="1" thickTop="1" thickBot="1"/>
    <row r="1420" spans="1:11" ht="12.75" customHeight="1" thickTop="1" thickBot="1">
      <c r="A1420" s="6" t="s">
        <v>739</v>
      </c>
      <c r="B1420" s="7" t="str">
        <f>VLOOKUP($A1420,Presupuesto!$A:$D,2,FALSE())</f>
        <v>Llave paso 1" tipo RW</v>
      </c>
      <c r="C1420" s="8" t="str">
        <f>VLOOKUP($A1420,Presupuesto!$A:$D,3,FALSE())</f>
        <v>Un</v>
      </c>
      <c r="D1420" s="9"/>
      <c r="E1420" s="10">
        <f>VLOOKUP($A1420,Presupuesto!$A:$D,4,FALSE())</f>
        <v>0</v>
      </c>
      <c r="F1420" s="11" t="s">
        <v>2589</v>
      </c>
      <c r="G1420" s="12">
        <f>SUM(G1422:G1438)/2</f>
        <v>220312.03754475003</v>
      </c>
      <c r="H1420" s="13">
        <f>ROUND(SUM(H1422:H1438),0)/2</f>
        <v>0</v>
      </c>
      <c r="I1420" s="10">
        <f>VLOOKUP(A1420,Presupuesto!$A:$F,6,0)</f>
        <v>0</v>
      </c>
      <c r="J1420" s="10">
        <f>+H1420-I1420</f>
        <v>0</v>
      </c>
      <c r="K1420" s="46">
        <f>+H1420-G1420*E1420</f>
        <v>0</v>
      </c>
    </row>
    <row r="1421" spans="1:11" ht="12.75" customHeight="1" thickTop="1">
      <c r="A1421" s="14"/>
      <c r="B1421" s="15" t="s">
        <v>2586</v>
      </c>
      <c r="C1421" s="15" t="s">
        <v>5</v>
      </c>
      <c r="D1421" s="16" t="s">
        <v>6</v>
      </c>
      <c r="E1421" s="17" t="s">
        <v>7</v>
      </c>
      <c r="F1421" s="18" t="s">
        <v>3728</v>
      </c>
      <c r="G1421" s="19" t="s">
        <v>3729</v>
      </c>
      <c r="H1421" s="20" t="s">
        <v>3797</v>
      </c>
    </row>
    <row r="1422" spans="1:11" ht="12.75" customHeight="1">
      <c r="A1422" s="21"/>
      <c r="B1422" s="22" t="s">
        <v>3730</v>
      </c>
      <c r="C1422" s="23"/>
      <c r="D1422" s="24"/>
      <c r="E1422" s="25"/>
      <c r="F1422" s="26"/>
      <c r="G1422" s="27">
        <f>SUM(G1423:G1427)</f>
        <v>204592.5</v>
      </c>
      <c r="H1422" s="27">
        <f>IFERROR(G1422*E1420,"")</f>
        <v>0</v>
      </c>
    </row>
    <row r="1423" spans="1:11" ht="12.75" customHeight="1">
      <c r="A1423" s="28"/>
      <c r="B1423" s="29" t="s">
        <v>3051</v>
      </c>
      <c r="C1423" s="30" t="str">
        <f>IFERROR(_xlfn.XLOOKUP(B1423,Insumo[DESCRIPCION],Insumo[UND],,0),"")</f>
        <v>Un</v>
      </c>
      <c r="D1423" s="31">
        <v>1</v>
      </c>
      <c r="E1423" s="32">
        <f>IFERROR(_xlfn.XLOOKUP($B1423,Insumo[DESCRIPCION],Insumo[VALOR],,0),"")</f>
        <v>195216</v>
      </c>
      <c r="F1423" s="33"/>
      <c r="G1423" s="34">
        <f>IFERROR(IF(F1423&gt;=0,D1423*E1423*(1+F1423/100),ABS(D1423*E1423/F1423)),"")</f>
        <v>195216</v>
      </c>
      <c r="H1423" s="43">
        <f>IFERROR(G1423*E1420,"")</f>
        <v>0</v>
      </c>
    </row>
    <row r="1424" spans="1:11" ht="12.75" customHeight="1">
      <c r="A1424" s="28"/>
      <c r="B1424" s="29" t="s">
        <v>2639</v>
      </c>
      <c r="C1424" s="30" t="str">
        <f>IFERROR(_xlfn.XLOOKUP(B1424,Insumo[DESCRIPCION],Insumo[UND],,0),"")</f>
        <v>Un</v>
      </c>
      <c r="D1424" s="31">
        <v>2</v>
      </c>
      <c r="E1424" s="32">
        <f>IFERROR(_xlfn.XLOOKUP($B1424,Insumo[DESCRIPCION],Insumo[VALOR],,0),"")</f>
        <v>4688.25</v>
      </c>
      <c r="F1424" s="33"/>
      <c r="G1424" s="34">
        <f>IFERROR(IF(F1424&gt;=0,D1424*E1424*(1+F1424/100),ABS(D1424*E1424/F1424)),"")</f>
        <v>9376.5</v>
      </c>
      <c r="H1424" s="43">
        <f>IFERROR(G1424*E1420,"")</f>
        <v>0</v>
      </c>
    </row>
    <row r="1425" spans="1:11" ht="12.75" customHeight="1">
      <c r="A1425" s="28"/>
      <c r="B1425" s="29"/>
      <c r="C1425" s="30" t="str">
        <f>IFERROR(_xlfn.XLOOKUP(B1425,Insumo[DESCRIPCION],Insumo[UND],,0),"")</f>
        <v/>
      </c>
      <c r="D1425" s="31"/>
      <c r="E1425" s="32" t="str">
        <f>IFERROR(_xlfn.XLOOKUP($B1425,Insumo[DESCRIPCION],Insumo[VALOR],,0),"")</f>
        <v/>
      </c>
      <c r="F1425" s="33"/>
      <c r="G1425" s="34" t="str">
        <f>IFERROR(IF(F1425&gt;=0,D1425*E1425*(1+F1425/100),ABS(D1425*E1425/F1425)),"")</f>
        <v/>
      </c>
      <c r="H1425" s="43" t="str">
        <f>IFERROR(G1425*E1420,"")</f>
        <v/>
      </c>
    </row>
    <row r="1426" spans="1:11" ht="12.75" customHeight="1">
      <c r="A1426" s="28"/>
      <c r="B1426" s="29"/>
      <c r="C1426" s="30" t="str">
        <f>IFERROR(_xlfn.XLOOKUP(B1426,Insumo[DESCRIPCION],Insumo[UND],,0),"")</f>
        <v/>
      </c>
      <c r="D1426" s="31"/>
      <c r="E1426" s="32" t="str">
        <f>IFERROR(_xlfn.XLOOKUP($B1426,Insumo[DESCRIPCION],Insumo[VALOR],,0),"")</f>
        <v/>
      </c>
      <c r="F1426" s="33"/>
      <c r="G1426" s="34" t="str">
        <f>IFERROR(IF(F1426&gt;=0,D1426*E1426*(1+F1426/100),ABS(D1426*E1426/F1426)),"")</f>
        <v/>
      </c>
      <c r="H1426" s="43" t="str">
        <f>IFERROR(G1426*E1420,"")</f>
        <v/>
      </c>
    </row>
    <row r="1427" spans="1:11" ht="12.75" customHeight="1">
      <c r="A1427" s="28"/>
      <c r="B1427" s="29"/>
      <c r="C1427" s="30" t="str">
        <f>IFERROR(_xlfn.XLOOKUP(B1427,Insumo[DESCRIPCION],Insumo[UND],,0),"")</f>
        <v/>
      </c>
      <c r="D1427" s="31"/>
      <c r="E1427" s="32" t="str">
        <f>IFERROR(_xlfn.XLOOKUP($B1427,Insumo[DESCRIPCION],Insumo[VALOR],,0),"")</f>
        <v/>
      </c>
      <c r="F1427" s="33"/>
      <c r="G1427" s="34" t="str">
        <f>IFERROR(IF(F1427&gt;=0,D1427*E1427*(1+F1427/100),ABS(D1427*E1427/F1427)),"")</f>
        <v/>
      </c>
      <c r="H1427" s="43" t="str">
        <f>IFERROR(G1427*E1420,"")</f>
        <v/>
      </c>
    </row>
    <row r="1428" spans="1:11" ht="12.75" customHeight="1">
      <c r="A1428" s="21"/>
      <c r="B1428" s="22" t="s">
        <v>3731</v>
      </c>
      <c r="C1428" s="23"/>
      <c r="D1428" s="24"/>
      <c r="E1428" s="25"/>
      <c r="F1428" s="26"/>
      <c r="G1428" s="27">
        <f>SUM(G1429:G1431)</f>
        <v>748.54940689285741</v>
      </c>
      <c r="H1428" s="44">
        <f>G1428*E1420</f>
        <v>0</v>
      </c>
    </row>
    <row r="1429" spans="1:11" ht="12.75" customHeight="1">
      <c r="A1429" s="28"/>
      <c r="B1429" s="29" t="s">
        <v>3626</v>
      </c>
      <c r="C1429" s="30" t="str">
        <f>IFERROR(_xlfn.XLOOKUP(B1429,Equipo[DESCRIPCION],Equipo[UND],,0),"")</f>
        <v>%MO</v>
      </c>
      <c r="D1429" s="31">
        <v>0.05</v>
      </c>
      <c r="E1429" s="32">
        <f>IF(C1429="%MO",G1435,IFERROR(_xlfn.XLOOKUP($B1429,Equipo[DESCRIPCION],Equipo[VALOR],,0),""))</f>
        <v>14970.988137857146</v>
      </c>
      <c r="F1429" s="33"/>
      <c r="G1429" s="34">
        <f>IFERROR(IF(F1429&gt;=0,D1429*E1429*(1+F1429/100),ABS(D1429*E1429/F1429)),"")</f>
        <v>748.54940689285741</v>
      </c>
      <c r="H1429" s="43">
        <f>IFERROR(G1429*E1420,"")</f>
        <v>0</v>
      </c>
    </row>
    <row r="1430" spans="1:11" ht="12.75" customHeight="1">
      <c r="A1430" s="28"/>
      <c r="B1430" s="29"/>
      <c r="C1430" s="30" t="str">
        <f>IFERROR(_xlfn.XLOOKUP(B1430,Equipo[DESCRIPCION],Equipo[UND],,0),"")</f>
        <v/>
      </c>
      <c r="D1430" s="31"/>
      <c r="E1430" s="32" t="str">
        <f>IF(C1430="%MO",G1435,IFERROR(_xlfn.XLOOKUP($B1430,Equipo[DESCRIPCION],Equipo[VALOR],,0),""))</f>
        <v/>
      </c>
      <c r="F1430" s="33"/>
      <c r="G1430" s="34" t="str">
        <f>IFERROR(IF(F1430&gt;=0,D1430*E1430*(1+F1430/100),ABS(D1430*E1430/F1430)),"")</f>
        <v/>
      </c>
      <c r="H1430" s="43" t="str">
        <f>IFERROR(G1430*E1420,"")</f>
        <v/>
      </c>
    </row>
    <row r="1431" spans="1:11" ht="12.75" customHeight="1">
      <c r="A1431" s="28"/>
      <c r="B1431" s="29"/>
      <c r="C1431" s="30" t="str">
        <f>IFERROR(_xlfn.XLOOKUP(B1431,Equipo[DESCRIPCION],Equipo[UND],,0),"")</f>
        <v/>
      </c>
      <c r="D1431" s="31"/>
      <c r="E1431" s="32" t="str">
        <f>IF(C1431="%MO",G1435,IFERROR(_xlfn.XLOOKUP($B1431,Equipo[DESCRIPCION],Equipo[VALOR],,0),""))</f>
        <v/>
      </c>
      <c r="F1431" s="33"/>
      <c r="G1431" s="34" t="str">
        <f>IFERROR(IF(F1431&gt;=0,D1431*E1431*(1+F1431/100),ABS(D1431*E1431/F1431)),"")</f>
        <v/>
      </c>
      <c r="H1431" s="43" t="str">
        <f>IFERROR(G1431*E1420,"")</f>
        <v/>
      </c>
    </row>
    <row r="1432" spans="1:11" ht="12.75" customHeight="1">
      <c r="A1432" s="21"/>
      <c r="B1432" s="22" t="s">
        <v>2533</v>
      </c>
      <c r="C1432" s="23"/>
      <c r="D1432" s="24"/>
      <c r="E1432" s="25"/>
      <c r="F1432" s="26"/>
      <c r="G1432" s="27">
        <f>SUM(G1433:G1434)</f>
        <v>0</v>
      </c>
      <c r="H1432" s="44">
        <f>G1432*E1420</f>
        <v>0</v>
      </c>
    </row>
    <row r="1433" spans="1:11" ht="12.75" customHeight="1">
      <c r="A1433" s="28"/>
      <c r="B1433" s="29"/>
      <c r="C1433" s="30" t="str">
        <f>IFERROR(_xlfn.XLOOKUP(B1433,Transporte[DESCRIPCION],Transporte[UND],,0),"")</f>
        <v/>
      </c>
      <c r="D1433" s="31"/>
      <c r="E1433" s="32" t="str">
        <f>IFERROR(_xlfn.XLOOKUP($B1433,Transporte[DESCRIPCION],Transporte[VALOR],,0),"")</f>
        <v/>
      </c>
      <c r="F1433" s="33"/>
      <c r="G1433" s="34" t="str">
        <f>IFERROR(IF(F1433&gt;=0,D1433*E1433*(1+F1433/100),ABS(D1433*E1433/F1433)),"")</f>
        <v/>
      </c>
      <c r="H1433" s="43" t="str">
        <f>IFERROR(G1433*E1420,"")</f>
        <v/>
      </c>
    </row>
    <row r="1434" spans="1:11" ht="12.75" customHeight="1">
      <c r="A1434" s="28"/>
      <c r="B1434" s="29"/>
      <c r="C1434" s="30" t="str">
        <f>IFERROR(_xlfn.XLOOKUP(B1434,Transporte[DESCRIPCION],Transporte[UND],,0),"")</f>
        <v/>
      </c>
      <c r="D1434" s="31"/>
      <c r="E1434" s="32" t="str">
        <f>IFERROR(_xlfn.XLOOKUP($B1434,Transporte[DESCRIPCION],Transporte[VALOR],,0),"")</f>
        <v/>
      </c>
      <c r="F1434" s="33"/>
      <c r="G1434" s="34" t="str">
        <f>IFERROR(IF(F1434&gt;=0,D1434*E1434*(1+F1434/100),ABS(D1434*E1434/F1434)),"")</f>
        <v/>
      </c>
      <c r="H1434" s="43" t="str">
        <f>IFERROR(G1434*E1420,"")</f>
        <v/>
      </c>
    </row>
    <row r="1435" spans="1:11" ht="12.75" customHeight="1">
      <c r="A1435" s="21"/>
      <c r="B1435" s="22" t="s">
        <v>3732</v>
      </c>
      <c r="C1435" s="23"/>
      <c r="D1435" s="24"/>
      <c r="E1435" s="25"/>
      <c r="F1435" s="26"/>
      <c r="G1435" s="27">
        <f>SUM(G1436:G1438)</f>
        <v>14970.988137857146</v>
      </c>
      <c r="H1435" s="44">
        <f>G1435*E1420</f>
        <v>0</v>
      </c>
    </row>
    <row r="1436" spans="1:11" ht="12.75" customHeight="1">
      <c r="A1436" s="28"/>
      <c r="B1436" s="29" t="s">
        <v>3710</v>
      </c>
      <c r="C1436" s="30" t="str">
        <f>IFERROR(_xlfn.XLOOKUP(B1436,MObra[DESCRIPCION],MObra[UN],,0),"")</f>
        <v>día</v>
      </c>
      <c r="D1436" s="31">
        <v>1</v>
      </c>
      <c r="E1436" s="32">
        <f>IFERROR(_xlfn.XLOOKUP($B1436,MObra[DESCRIPCION],MObra[VALOR UNIT],,0),"")</f>
        <v>314390.75089500006</v>
      </c>
      <c r="F1436" s="33">
        <v>-21</v>
      </c>
      <c r="G1436" s="34">
        <f>IFERROR(IF(F1436&gt;=0,D1436*E1436*(1+F1436/100),ABS(D1436*E1436/F1436)),"")</f>
        <v>14970.988137857146</v>
      </c>
      <c r="H1436" s="43">
        <f>IFERROR(G1436*E1420,"")</f>
        <v>0</v>
      </c>
    </row>
    <row r="1437" spans="1:11" ht="12.75" customHeight="1">
      <c r="A1437" s="28"/>
      <c r="B1437" s="29"/>
      <c r="C1437" s="30" t="str">
        <f t="array" ref="C1437">IFERROR(_xlfn.XLOOKUP(B1437,MObra[[#All],[DESCRIPCION]],MObra[[#All],[UN]],,0),"")</f>
        <v/>
      </c>
      <c r="D1437" s="31"/>
      <c r="E1437" s="32" t="str">
        <f>IFERROR(_xlfn.XLOOKUP($B1437,MObra[DESCRIPCION],MObra[VALOR UNIT],,0),"")</f>
        <v/>
      </c>
      <c r="F1437" s="33"/>
      <c r="G1437" s="34" t="str">
        <f>IFERROR(IF(F1437&gt;=0,D1437*E1437*(1+F1437/100),ABS(D1437*E1437/F1437)),"")</f>
        <v/>
      </c>
      <c r="H1437" s="43" t="str">
        <f>IFERROR(G1437*E1420,"")</f>
        <v/>
      </c>
    </row>
    <row r="1438" spans="1:11" ht="12.75" customHeight="1" thickBot="1">
      <c r="A1438" s="35"/>
      <c r="B1438" s="36"/>
      <c r="C1438" s="37" t="str">
        <f t="array" ref="C1438">IFERROR(_xlfn.XLOOKUP(B1438,MObra[[#All],[DESCRIPCION]],MObra[[#All],[UN]],,0),"")</f>
        <v/>
      </c>
      <c r="D1438" s="38"/>
      <c r="E1438" s="39" t="str">
        <f>IFERROR(_xlfn.XLOOKUP($B1438,MObra[DESCRIPCION],MObra[VALOR UNIT],,0),"")</f>
        <v/>
      </c>
      <c r="F1438" s="40"/>
      <c r="G1438" s="41" t="str">
        <f>IFERROR(IF(F1438&gt;=0,D1438*E1438*(1+F1438/100),ABS(D1438*E1438/F1438)),"")</f>
        <v/>
      </c>
      <c r="H1438" s="42" t="str">
        <f>IFERROR(G1438*E1420,"")</f>
        <v/>
      </c>
    </row>
    <row r="1439" spans="1:11" ht="12.75" customHeight="1" thickTop="1" thickBot="1"/>
    <row r="1440" spans="1:11" ht="12.75" customHeight="1" thickTop="1" thickBot="1">
      <c r="A1440" s="6" t="s">
        <v>741</v>
      </c>
      <c r="B1440" s="7" t="str">
        <f>VLOOKUP($A1440,Presupuesto!$A:$D,2,FALSE())</f>
        <v>Medidor 1/2" volumétrico clase C</v>
      </c>
      <c r="C1440" s="8" t="str">
        <f>VLOOKUP($A1440,Presupuesto!$A:$D,3,FALSE())</f>
        <v>Un</v>
      </c>
      <c r="D1440" s="9"/>
      <c r="E1440" s="10">
        <f>VLOOKUP($A1440,Presupuesto!$A:$D,4,FALSE())</f>
        <v>0</v>
      </c>
      <c r="F1440" s="11" t="s">
        <v>2589</v>
      </c>
      <c r="G1440" s="12">
        <f>SUM(G1442:G1458)/2</f>
        <v>753692.25768795004</v>
      </c>
      <c r="H1440" s="13">
        <f>ROUND(SUM(H1442:H1458),0)/2</f>
        <v>0</v>
      </c>
      <c r="I1440" s="10">
        <f>VLOOKUP(A1440,Presupuesto!$A:$F,6,0)</f>
        <v>0</v>
      </c>
      <c r="J1440" s="10">
        <f>+H1440-I1440</f>
        <v>0</v>
      </c>
      <c r="K1440" s="46">
        <f>+H1440-G1440*E1440</f>
        <v>0</v>
      </c>
    </row>
    <row r="1441" spans="1:8" ht="12.75" customHeight="1" thickTop="1">
      <c r="A1441" s="14"/>
      <c r="B1441" s="15" t="s">
        <v>2586</v>
      </c>
      <c r="C1441" s="15" t="s">
        <v>5</v>
      </c>
      <c r="D1441" s="16" t="s">
        <v>6</v>
      </c>
      <c r="E1441" s="17" t="s">
        <v>7</v>
      </c>
      <c r="F1441" s="18" t="s">
        <v>3728</v>
      </c>
      <c r="G1441" s="19" t="s">
        <v>3729</v>
      </c>
      <c r="H1441" s="20" t="s">
        <v>3797</v>
      </c>
    </row>
    <row r="1442" spans="1:8" ht="12.75" customHeight="1">
      <c r="A1442" s="21"/>
      <c r="B1442" s="22" t="s">
        <v>3730</v>
      </c>
      <c r="C1442" s="23"/>
      <c r="D1442" s="24"/>
      <c r="E1442" s="25"/>
      <c r="F1442" s="26"/>
      <c r="G1442" s="27">
        <f>SUM(G1443:G1447)</f>
        <v>687670.2</v>
      </c>
      <c r="H1442" s="27">
        <f>IFERROR(G1442*E1440,"")</f>
        <v>0</v>
      </c>
    </row>
    <row r="1443" spans="1:8" ht="12.75" customHeight="1">
      <c r="A1443" s="28"/>
      <c r="B1443" s="29" t="s">
        <v>3165</v>
      </c>
      <c r="C1443" s="30" t="str">
        <f>IFERROR(_xlfn.XLOOKUP(B1443,Insumo[DESCRIPCION],Insumo[UND],,0),"")</f>
        <v>Un</v>
      </c>
      <c r="D1443" s="31">
        <v>1</v>
      </c>
      <c r="E1443" s="32">
        <f>IFERROR(_xlfn.XLOOKUP($B1443,Insumo[DESCRIPCION],Insumo[VALOR],,0),"")</f>
        <v>681975</v>
      </c>
      <c r="F1443" s="33"/>
      <c r="G1443" s="34">
        <f>IFERROR(IF(F1443&gt;=0,D1443*E1443*(1+F1443/100),ABS(D1443*E1443/F1443)),"")</f>
        <v>681975</v>
      </c>
      <c r="H1443" s="43">
        <f>IFERROR(G1443*E1440,"")</f>
        <v>0</v>
      </c>
    </row>
    <row r="1444" spans="1:8" ht="12.75" customHeight="1">
      <c r="A1444" s="28"/>
      <c r="B1444" s="29" t="s">
        <v>2640</v>
      </c>
      <c r="C1444" s="30" t="str">
        <f>IFERROR(_xlfn.XLOOKUP(B1444,Insumo[DESCRIPCION],Insumo[UND],,0),"")</f>
        <v>Un</v>
      </c>
      <c r="D1444" s="31">
        <v>4</v>
      </c>
      <c r="E1444" s="32">
        <f>IFERROR(_xlfn.XLOOKUP($B1444,Insumo[DESCRIPCION],Insumo[VALOR],,0),"")</f>
        <v>1423.8</v>
      </c>
      <c r="F1444" s="33"/>
      <c r="G1444" s="34">
        <f>IFERROR(IF(F1444&gt;=0,D1444*E1444*(1+F1444/100),ABS(D1444*E1444/F1444)),"")</f>
        <v>5695.2</v>
      </c>
      <c r="H1444" s="43">
        <f>IFERROR(G1444*E1440,"")</f>
        <v>0</v>
      </c>
    </row>
    <row r="1445" spans="1:8" ht="12.75" customHeight="1">
      <c r="A1445" s="28"/>
      <c r="B1445" s="29"/>
      <c r="C1445" s="30" t="str">
        <f>IFERROR(_xlfn.XLOOKUP(B1445,Insumo[DESCRIPCION],Insumo[UND],,0),"")</f>
        <v/>
      </c>
      <c r="D1445" s="31"/>
      <c r="E1445" s="32" t="str">
        <f>IFERROR(_xlfn.XLOOKUP($B1445,Insumo[DESCRIPCION],Insumo[VALOR],,0),"")</f>
        <v/>
      </c>
      <c r="F1445" s="33"/>
      <c r="G1445" s="34" t="str">
        <f>IFERROR(IF(F1445&gt;=0,D1445*E1445*(1+F1445/100),ABS(D1445*E1445/F1445)),"")</f>
        <v/>
      </c>
      <c r="H1445" s="43" t="str">
        <f>IFERROR(G1445*E1440,"")</f>
        <v/>
      </c>
    </row>
    <row r="1446" spans="1:8" ht="12.75" customHeight="1">
      <c r="A1446" s="28"/>
      <c r="B1446" s="29"/>
      <c r="C1446" s="30" t="str">
        <f>IFERROR(_xlfn.XLOOKUP(B1446,Insumo[DESCRIPCION],Insumo[UND],,0),"")</f>
        <v/>
      </c>
      <c r="D1446" s="31"/>
      <c r="E1446" s="32" t="str">
        <f>IFERROR(_xlfn.XLOOKUP($B1446,Insumo[DESCRIPCION],Insumo[VALOR],,0),"")</f>
        <v/>
      </c>
      <c r="F1446" s="33"/>
      <c r="G1446" s="34" t="str">
        <f>IFERROR(IF(F1446&gt;=0,D1446*E1446*(1+F1446/100),ABS(D1446*E1446/F1446)),"")</f>
        <v/>
      </c>
      <c r="H1446" s="43" t="str">
        <f>IFERROR(G1446*E1440,"")</f>
        <v/>
      </c>
    </row>
    <row r="1447" spans="1:8" ht="12.75" customHeight="1">
      <c r="A1447" s="28"/>
      <c r="B1447" s="29"/>
      <c r="C1447" s="30" t="str">
        <f>IFERROR(_xlfn.XLOOKUP(B1447,Insumo[DESCRIPCION],Insumo[UND],,0),"")</f>
        <v/>
      </c>
      <c r="D1447" s="31"/>
      <c r="E1447" s="32" t="str">
        <f>IFERROR(_xlfn.XLOOKUP($B1447,Insumo[DESCRIPCION],Insumo[VALOR],,0),"")</f>
        <v/>
      </c>
      <c r="F1447" s="33"/>
      <c r="G1447" s="34" t="str">
        <f>IFERROR(IF(F1447&gt;=0,D1447*E1447*(1+F1447/100),ABS(D1447*E1447/F1447)),"")</f>
        <v/>
      </c>
      <c r="H1447" s="43" t="str">
        <f>IFERROR(G1447*E1440,"")</f>
        <v/>
      </c>
    </row>
    <row r="1448" spans="1:8" ht="12.75" customHeight="1">
      <c r="A1448" s="21"/>
      <c r="B1448" s="22" t="s">
        <v>3731</v>
      </c>
      <c r="C1448" s="23"/>
      <c r="D1448" s="24"/>
      <c r="E1448" s="25"/>
      <c r="F1448" s="26"/>
      <c r="G1448" s="27">
        <f>SUM(G1449:G1451)</f>
        <v>3143.9075089500006</v>
      </c>
      <c r="H1448" s="44">
        <f>G1448*E1440</f>
        <v>0</v>
      </c>
    </row>
    <row r="1449" spans="1:8" ht="12.75" customHeight="1">
      <c r="A1449" s="28"/>
      <c r="B1449" s="29" t="s">
        <v>3626</v>
      </c>
      <c r="C1449" s="30" t="str">
        <f>IFERROR(_xlfn.XLOOKUP(B1449,Equipo[DESCRIPCION],Equipo[UND],,0),"")</f>
        <v>%MO</v>
      </c>
      <c r="D1449" s="31">
        <v>0.05</v>
      </c>
      <c r="E1449" s="32">
        <f>IF(C1449="%MO",G1455,IFERROR(_xlfn.XLOOKUP($B1449,Equipo[DESCRIPCION],Equipo[VALOR],,0),""))</f>
        <v>62878.150179000011</v>
      </c>
      <c r="F1449" s="33"/>
      <c r="G1449" s="34">
        <f>IFERROR(IF(F1449&gt;=0,D1449*E1449*(1+F1449/100),ABS(D1449*E1449/F1449)),"")</f>
        <v>3143.9075089500006</v>
      </c>
      <c r="H1449" s="43">
        <f>IFERROR(G1449*E1440,"")</f>
        <v>0</v>
      </c>
    </row>
    <row r="1450" spans="1:8" ht="12.75" customHeight="1">
      <c r="A1450" s="28"/>
      <c r="B1450" s="29"/>
      <c r="C1450" s="30" t="str">
        <f>IFERROR(_xlfn.XLOOKUP(B1450,Equipo[DESCRIPCION],Equipo[UND],,0),"")</f>
        <v/>
      </c>
      <c r="D1450" s="31"/>
      <c r="E1450" s="32" t="str">
        <f>IF(C1450="%MO",G1455,IFERROR(_xlfn.XLOOKUP($B1450,Equipo[DESCRIPCION],Equipo[VALOR],,0),""))</f>
        <v/>
      </c>
      <c r="F1450" s="33"/>
      <c r="G1450" s="34" t="str">
        <f>IFERROR(IF(F1450&gt;=0,D1450*E1450*(1+F1450/100),ABS(D1450*E1450/F1450)),"")</f>
        <v/>
      </c>
      <c r="H1450" s="43" t="str">
        <f>IFERROR(G1450*E1440,"")</f>
        <v/>
      </c>
    </row>
    <row r="1451" spans="1:8" ht="12.75" customHeight="1">
      <c r="A1451" s="28"/>
      <c r="B1451" s="29"/>
      <c r="C1451" s="30" t="str">
        <f>IFERROR(_xlfn.XLOOKUP(B1451,Equipo[DESCRIPCION],Equipo[UND],,0),"")</f>
        <v/>
      </c>
      <c r="D1451" s="31"/>
      <c r="E1451" s="32" t="str">
        <f>IF(C1451="%MO",G1455,IFERROR(_xlfn.XLOOKUP($B1451,Equipo[DESCRIPCION],Equipo[VALOR],,0),""))</f>
        <v/>
      </c>
      <c r="F1451" s="33"/>
      <c r="G1451" s="34" t="str">
        <f>IFERROR(IF(F1451&gt;=0,D1451*E1451*(1+F1451/100),ABS(D1451*E1451/F1451)),"")</f>
        <v/>
      </c>
      <c r="H1451" s="43" t="str">
        <f>IFERROR(G1451*E1440,"")</f>
        <v/>
      </c>
    </row>
    <row r="1452" spans="1:8" ht="12.75" customHeight="1">
      <c r="A1452" s="21"/>
      <c r="B1452" s="22" t="s">
        <v>2533</v>
      </c>
      <c r="C1452" s="23"/>
      <c r="D1452" s="24"/>
      <c r="E1452" s="25"/>
      <c r="F1452" s="26"/>
      <c r="G1452" s="27">
        <f>SUM(G1453:G1454)</f>
        <v>0</v>
      </c>
      <c r="H1452" s="44">
        <f>G1452*E1440</f>
        <v>0</v>
      </c>
    </row>
    <row r="1453" spans="1:8" ht="12.75" customHeight="1">
      <c r="A1453" s="28"/>
      <c r="B1453" s="29"/>
      <c r="C1453" s="30" t="str">
        <f>IFERROR(_xlfn.XLOOKUP(B1453,Transporte[DESCRIPCION],Transporte[UND],,0),"")</f>
        <v/>
      </c>
      <c r="D1453" s="31"/>
      <c r="E1453" s="32" t="str">
        <f>IFERROR(_xlfn.XLOOKUP($B1453,Transporte[DESCRIPCION],Transporte[VALOR],,0),"")</f>
        <v/>
      </c>
      <c r="F1453" s="33"/>
      <c r="G1453" s="34" t="str">
        <f>IFERROR(IF(F1453&gt;=0,D1453*E1453*(1+F1453/100),ABS(D1453*E1453/F1453)),"")</f>
        <v/>
      </c>
      <c r="H1453" s="43" t="str">
        <f>IFERROR(G1453*E1440,"")</f>
        <v/>
      </c>
    </row>
    <row r="1454" spans="1:8" ht="12.75" customHeight="1">
      <c r="A1454" s="28"/>
      <c r="B1454" s="29"/>
      <c r="C1454" s="30" t="str">
        <f>IFERROR(_xlfn.XLOOKUP(B1454,Transporte[DESCRIPCION],Transporte[UND],,0),"")</f>
        <v/>
      </c>
      <c r="D1454" s="31"/>
      <c r="E1454" s="32" t="str">
        <f>IFERROR(_xlfn.XLOOKUP($B1454,Transporte[DESCRIPCION],Transporte[VALOR],,0),"")</f>
        <v/>
      </c>
      <c r="F1454" s="33"/>
      <c r="G1454" s="34" t="str">
        <f>IFERROR(IF(F1454&gt;=0,D1454*E1454*(1+F1454/100),ABS(D1454*E1454/F1454)),"")</f>
        <v/>
      </c>
      <c r="H1454" s="43" t="str">
        <f>IFERROR(G1454*E1440,"")</f>
        <v/>
      </c>
    </row>
    <row r="1455" spans="1:8" ht="12.75" customHeight="1">
      <c r="A1455" s="21"/>
      <c r="B1455" s="22" t="s">
        <v>3732</v>
      </c>
      <c r="C1455" s="23"/>
      <c r="D1455" s="24"/>
      <c r="E1455" s="25"/>
      <c r="F1455" s="26"/>
      <c r="G1455" s="27">
        <f>SUM(G1456:G1458)</f>
        <v>62878.150179000011</v>
      </c>
      <c r="H1455" s="44">
        <f>G1455*E1440</f>
        <v>0</v>
      </c>
    </row>
    <row r="1456" spans="1:8" ht="12.75" customHeight="1">
      <c r="A1456" s="28"/>
      <c r="B1456" s="29" t="s">
        <v>3710</v>
      </c>
      <c r="C1456" s="30" t="str">
        <f>IFERROR(_xlfn.XLOOKUP(B1456,MObra[DESCRIPCION],MObra[UN],,0),"")</f>
        <v>día</v>
      </c>
      <c r="D1456" s="31">
        <v>1</v>
      </c>
      <c r="E1456" s="32">
        <f>IFERROR(_xlfn.XLOOKUP($B1456,MObra[DESCRIPCION],MObra[VALOR UNIT],,0),"")</f>
        <v>314390.75089500006</v>
      </c>
      <c r="F1456" s="33">
        <v>-5</v>
      </c>
      <c r="G1456" s="34">
        <f>IFERROR(IF(F1456&gt;=0,D1456*E1456*(1+F1456/100),ABS(D1456*E1456/F1456)),"")</f>
        <v>62878.150179000011</v>
      </c>
      <c r="H1456" s="43">
        <f>IFERROR(G1456*E1440,"")</f>
        <v>0</v>
      </c>
    </row>
    <row r="1457" spans="1:11" ht="12.75" customHeight="1">
      <c r="A1457" s="28"/>
      <c r="B1457" s="29"/>
      <c r="C1457" s="30" t="str">
        <f t="array" ref="C1457">IFERROR(_xlfn.XLOOKUP(B1457,MObra[[#All],[DESCRIPCION]],MObra[[#All],[UN]],,0),"")</f>
        <v/>
      </c>
      <c r="D1457" s="31"/>
      <c r="E1457" s="32" t="str">
        <f>IFERROR(_xlfn.XLOOKUP($B1457,MObra[DESCRIPCION],MObra[VALOR UNIT],,0),"")</f>
        <v/>
      </c>
      <c r="F1457" s="33"/>
      <c r="G1457" s="34" t="str">
        <f>IFERROR(IF(F1457&gt;=0,D1457*E1457*(1+F1457/100),ABS(D1457*E1457/F1457)),"")</f>
        <v/>
      </c>
      <c r="H1457" s="43" t="str">
        <f>IFERROR(G1457*E1440,"")</f>
        <v/>
      </c>
    </row>
    <row r="1458" spans="1:11" ht="12.75" customHeight="1" thickBot="1">
      <c r="A1458" s="35"/>
      <c r="B1458" s="36"/>
      <c r="C1458" s="37" t="str">
        <f t="array" ref="C1458">IFERROR(_xlfn.XLOOKUP(B1458,MObra[[#All],[DESCRIPCION]],MObra[[#All],[UN]],,0),"")</f>
        <v/>
      </c>
      <c r="D1458" s="38"/>
      <c r="E1458" s="39" t="str">
        <f>IFERROR(_xlfn.XLOOKUP($B1458,MObra[DESCRIPCION],MObra[VALOR UNIT],,0),"")</f>
        <v/>
      </c>
      <c r="F1458" s="40"/>
      <c r="G1458" s="41" t="str">
        <f>IFERROR(IF(F1458&gt;=0,D1458*E1458*(1+F1458/100),ABS(D1458*E1458/F1458)),"")</f>
        <v/>
      </c>
      <c r="H1458" s="42" t="str">
        <f>IFERROR(G1458*E1440,"")</f>
        <v/>
      </c>
    </row>
    <row r="1459" spans="1:11" ht="12.75" customHeight="1" thickTop="1" thickBot="1"/>
    <row r="1460" spans="1:11" ht="12.75" customHeight="1" thickTop="1" thickBot="1">
      <c r="A1460" s="6" t="s">
        <v>743</v>
      </c>
      <c r="B1460" s="7" t="str">
        <f>VLOOKUP($A1460,Presupuesto!$A:$D,2,FALSE())</f>
        <v>Medidor 3/4" volumétrico clase C</v>
      </c>
      <c r="C1460" s="8" t="str">
        <f>VLOOKUP($A1460,Presupuesto!$A:$D,3,FALSE())</f>
        <v>Un</v>
      </c>
      <c r="D1460" s="9"/>
      <c r="E1460" s="10">
        <f>VLOOKUP($A1460,Presupuesto!$A:$D,4,FALSE())</f>
        <v>0</v>
      </c>
      <c r="F1460" s="11" t="s">
        <v>2589</v>
      </c>
      <c r="G1460" s="12">
        <f>SUM(G1462:G1478)/2</f>
        <v>1058255.8221099374</v>
      </c>
      <c r="H1460" s="13">
        <f>ROUND(SUM(H1462:H1478),0)/2</f>
        <v>0</v>
      </c>
      <c r="I1460" s="10">
        <f>VLOOKUP(A1460,Presupuesto!$A:$F,6,0)</f>
        <v>0</v>
      </c>
      <c r="J1460" s="10">
        <f>+H1460-I1460</f>
        <v>0</v>
      </c>
      <c r="K1460" s="46">
        <f>+H1460-G1460*E1460</f>
        <v>0</v>
      </c>
    </row>
    <row r="1461" spans="1:11" ht="12.75" customHeight="1" thickTop="1">
      <c r="A1461" s="14"/>
      <c r="B1461" s="15" t="s">
        <v>2586</v>
      </c>
      <c r="C1461" s="15" t="s">
        <v>5</v>
      </c>
      <c r="D1461" s="16" t="s">
        <v>6</v>
      </c>
      <c r="E1461" s="17" t="s">
        <v>7</v>
      </c>
      <c r="F1461" s="18" t="s">
        <v>3728</v>
      </c>
      <c r="G1461" s="19" t="s">
        <v>3729</v>
      </c>
      <c r="H1461" s="20" t="s">
        <v>3797</v>
      </c>
    </row>
    <row r="1462" spans="1:11" ht="12.75" customHeight="1">
      <c r="A1462" s="21"/>
      <c r="B1462" s="22" t="s">
        <v>3730</v>
      </c>
      <c r="C1462" s="23"/>
      <c r="D1462" s="24"/>
      <c r="E1462" s="25"/>
      <c r="F1462" s="26"/>
      <c r="G1462" s="27">
        <f>SUM(G1463:G1467)</f>
        <v>975728.25</v>
      </c>
      <c r="H1462" s="27">
        <f>IFERROR(G1462*E1460,"")</f>
        <v>0</v>
      </c>
    </row>
    <row r="1463" spans="1:11" ht="12.75" customHeight="1">
      <c r="A1463" s="28"/>
      <c r="B1463" s="29" t="s">
        <v>3168</v>
      </c>
      <c r="C1463" s="30" t="str">
        <f>IFERROR(_xlfn.XLOOKUP(B1463,Insumo[DESCRIPCION],Insumo[UND],,0),"")</f>
        <v>Un</v>
      </c>
      <c r="D1463" s="31">
        <v>1</v>
      </c>
      <c r="E1463" s="32">
        <f>IFERROR(_xlfn.XLOOKUP($B1463,Insumo[DESCRIPCION],Insumo[VALOR],,0),"")</f>
        <v>966131.25</v>
      </c>
      <c r="F1463" s="33"/>
      <c r="G1463" s="34">
        <f>IFERROR(IF(F1463&gt;=0,D1463*E1463*(1+F1463/100),ABS(D1463*E1463/F1463)),"")</f>
        <v>966131.25</v>
      </c>
      <c r="H1463" s="43">
        <f>IFERROR(G1463*E1460,"")</f>
        <v>0</v>
      </c>
    </row>
    <row r="1464" spans="1:11" ht="12.75" customHeight="1">
      <c r="A1464" s="28"/>
      <c r="B1464" s="29" t="s">
        <v>2644</v>
      </c>
      <c r="C1464" s="30" t="str">
        <f>IFERROR(_xlfn.XLOOKUP(B1464,Insumo[DESCRIPCION],Insumo[UND],,0),"")</f>
        <v>Un</v>
      </c>
      <c r="D1464" s="31">
        <v>4</v>
      </c>
      <c r="E1464" s="32">
        <f>IFERROR(_xlfn.XLOOKUP($B1464,Insumo[DESCRIPCION],Insumo[VALOR],,0),"")</f>
        <v>2399.25</v>
      </c>
      <c r="F1464" s="33"/>
      <c r="G1464" s="34">
        <f>IFERROR(IF(F1464&gt;=0,D1464*E1464*(1+F1464/100),ABS(D1464*E1464/F1464)),"")</f>
        <v>9597</v>
      </c>
      <c r="H1464" s="43">
        <f>IFERROR(G1464*E1460,"")</f>
        <v>0</v>
      </c>
    </row>
    <row r="1465" spans="1:11" ht="12.75" customHeight="1">
      <c r="A1465" s="28"/>
      <c r="B1465" s="29"/>
      <c r="C1465" s="30" t="str">
        <f>IFERROR(_xlfn.XLOOKUP(B1465,Insumo[DESCRIPCION],Insumo[UND],,0),"")</f>
        <v/>
      </c>
      <c r="D1465" s="31"/>
      <c r="E1465" s="32" t="str">
        <f>IFERROR(_xlfn.XLOOKUP($B1465,Insumo[DESCRIPCION],Insumo[VALOR],,0),"")</f>
        <v/>
      </c>
      <c r="F1465" s="33"/>
      <c r="G1465" s="34" t="str">
        <f>IFERROR(IF(F1465&gt;=0,D1465*E1465*(1+F1465/100),ABS(D1465*E1465/F1465)),"")</f>
        <v/>
      </c>
      <c r="H1465" s="43" t="str">
        <f>IFERROR(G1465*E1460,"")</f>
        <v/>
      </c>
    </row>
    <row r="1466" spans="1:11" ht="12.75" customHeight="1">
      <c r="A1466" s="28"/>
      <c r="B1466" s="29"/>
      <c r="C1466" s="30" t="str">
        <f>IFERROR(_xlfn.XLOOKUP(B1466,Insumo[DESCRIPCION],Insumo[UND],,0),"")</f>
        <v/>
      </c>
      <c r="D1466" s="31"/>
      <c r="E1466" s="32" t="str">
        <f>IFERROR(_xlfn.XLOOKUP($B1466,Insumo[DESCRIPCION],Insumo[VALOR],,0),"")</f>
        <v/>
      </c>
      <c r="F1466" s="33"/>
      <c r="G1466" s="34" t="str">
        <f>IFERROR(IF(F1466&gt;=0,D1466*E1466*(1+F1466/100),ABS(D1466*E1466/F1466)),"")</f>
        <v/>
      </c>
      <c r="H1466" s="43" t="str">
        <f>IFERROR(G1466*E1460,"")</f>
        <v/>
      </c>
    </row>
    <row r="1467" spans="1:11" ht="12.75" customHeight="1">
      <c r="A1467" s="28"/>
      <c r="B1467" s="29"/>
      <c r="C1467" s="30" t="str">
        <f>IFERROR(_xlfn.XLOOKUP(B1467,Insumo[DESCRIPCION],Insumo[UND],,0),"")</f>
        <v/>
      </c>
      <c r="D1467" s="31"/>
      <c r="E1467" s="32" t="str">
        <f>IFERROR(_xlfn.XLOOKUP($B1467,Insumo[DESCRIPCION],Insumo[VALOR],,0),"")</f>
        <v/>
      </c>
      <c r="F1467" s="33"/>
      <c r="G1467" s="34" t="str">
        <f>IFERROR(IF(F1467&gt;=0,D1467*E1467*(1+F1467/100),ABS(D1467*E1467/F1467)),"")</f>
        <v/>
      </c>
      <c r="H1467" s="43" t="str">
        <f>IFERROR(G1467*E1460,"")</f>
        <v/>
      </c>
    </row>
    <row r="1468" spans="1:11" ht="12.75" customHeight="1">
      <c r="A1468" s="21"/>
      <c r="B1468" s="22" t="s">
        <v>3731</v>
      </c>
      <c r="C1468" s="23"/>
      <c r="D1468" s="24"/>
      <c r="E1468" s="25"/>
      <c r="F1468" s="26"/>
      <c r="G1468" s="27">
        <f>SUM(G1469:G1471)</f>
        <v>3929.8843861875011</v>
      </c>
      <c r="H1468" s="44">
        <f>G1468*E1460</f>
        <v>0</v>
      </c>
    </row>
    <row r="1469" spans="1:11" ht="12.75" customHeight="1">
      <c r="A1469" s="28"/>
      <c r="B1469" s="29" t="s">
        <v>3626</v>
      </c>
      <c r="C1469" s="30" t="str">
        <f>IFERROR(_xlfn.XLOOKUP(B1469,Equipo[DESCRIPCION],Equipo[UND],,0),"")</f>
        <v>%MO</v>
      </c>
      <c r="D1469" s="31">
        <v>0.05</v>
      </c>
      <c r="E1469" s="32">
        <f>IF(C1469="%MO",G1475,IFERROR(_xlfn.XLOOKUP($B1469,Equipo[DESCRIPCION],Equipo[VALOR],,0),""))</f>
        <v>78597.687723750016</v>
      </c>
      <c r="F1469" s="33"/>
      <c r="G1469" s="34">
        <f>IFERROR(IF(F1469&gt;=0,D1469*E1469*(1+F1469/100),ABS(D1469*E1469/F1469)),"")</f>
        <v>3929.8843861875011</v>
      </c>
      <c r="H1469" s="43">
        <f>IFERROR(G1469*E1460,"")</f>
        <v>0</v>
      </c>
    </row>
    <row r="1470" spans="1:11" ht="12.75" customHeight="1">
      <c r="A1470" s="28"/>
      <c r="B1470" s="29"/>
      <c r="C1470" s="30" t="str">
        <f>IFERROR(_xlfn.XLOOKUP(B1470,Equipo[DESCRIPCION],Equipo[UND],,0),"")</f>
        <v/>
      </c>
      <c r="D1470" s="31"/>
      <c r="E1470" s="32" t="str">
        <f>IF(C1470="%MO",G1475,IFERROR(_xlfn.XLOOKUP($B1470,Equipo[DESCRIPCION],Equipo[VALOR],,0),""))</f>
        <v/>
      </c>
      <c r="F1470" s="33"/>
      <c r="G1470" s="34" t="str">
        <f>IFERROR(IF(F1470&gt;=0,D1470*E1470*(1+F1470/100),ABS(D1470*E1470/F1470)),"")</f>
        <v/>
      </c>
      <c r="H1470" s="43" t="str">
        <f>IFERROR(G1470*E1460,"")</f>
        <v/>
      </c>
    </row>
    <row r="1471" spans="1:11" ht="12.75" customHeight="1">
      <c r="A1471" s="28"/>
      <c r="B1471" s="29"/>
      <c r="C1471" s="30" t="str">
        <f>IFERROR(_xlfn.XLOOKUP(B1471,Equipo[DESCRIPCION],Equipo[UND],,0),"")</f>
        <v/>
      </c>
      <c r="D1471" s="31"/>
      <c r="E1471" s="32" t="str">
        <f>IF(C1471="%MO",G1475,IFERROR(_xlfn.XLOOKUP($B1471,Equipo[DESCRIPCION],Equipo[VALOR],,0),""))</f>
        <v/>
      </c>
      <c r="F1471" s="33"/>
      <c r="G1471" s="34" t="str">
        <f>IFERROR(IF(F1471&gt;=0,D1471*E1471*(1+F1471/100),ABS(D1471*E1471/F1471)),"")</f>
        <v/>
      </c>
      <c r="H1471" s="43" t="str">
        <f>IFERROR(G1471*E1460,"")</f>
        <v/>
      </c>
    </row>
    <row r="1472" spans="1:11" ht="12.75" customHeight="1">
      <c r="A1472" s="21"/>
      <c r="B1472" s="22" t="s">
        <v>2533</v>
      </c>
      <c r="C1472" s="23"/>
      <c r="D1472" s="24"/>
      <c r="E1472" s="25"/>
      <c r="F1472" s="26"/>
      <c r="G1472" s="27">
        <f>SUM(G1473:G1474)</f>
        <v>0</v>
      </c>
      <c r="H1472" s="44">
        <f>G1472*E1460</f>
        <v>0</v>
      </c>
    </row>
    <row r="1473" spans="1:11" ht="12.75" customHeight="1">
      <c r="A1473" s="28"/>
      <c r="B1473" s="29"/>
      <c r="C1473" s="30" t="str">
        <f>IFERROR(_xlfn.XLOOKUP(B1473,Transporte[DESCRIPCION],Transporte[UND],,0),"")</f>
        <v/>
      </c>
      <c r="D1473" s="31"/>
      <c r="E1473" s="32" t="str">
        <f>IFERROR(_xlfn.XLOOKUP($B1473,Transporte[DESCRIPCION],Transporte[VALOR],,0),"")</f>
        <v/>
      </c>
      <c r="F1473" s="33"/>
      <c r="G1473" s="34" t="str">
        <f>IFERROR(IF(F1473&gt;=0,D1473*E1473*(1+F1473/100),ABS(D1473*E1473/F1473)),"")</f>
        <v/>
      </c>
      <c r="H1473" s="43" t="str">
        <f>IFERROR(G1473*E1460,"")</f>
        <v/>
      </c>
    </row>
    <row r="1474" spans="1:11" ht="12.75" customHeight="1">
      <c r="A1474" s="28"/>
      <c r="B1474" s="29"/>
      <c r="C1474" s="30" t="str">
        <f>IFERROR(_xlfn.XLOOKUP(B1474,Transporte[DESCRIPCION],Transporte[UND],,0),"")</f>
        <v/>
      </c>
      <c r="D1474" s="31"/>
      <c r="E1474" s="32" t="str">
        <f>IFERROR(_xlfn.XLOOKUP($B1474,Transporte[DESCRIPCION],Transporte[VALOR],,0),"")</f>
        <v/>
      </c>
      <c r="F1474" s="33"/>
      <c r="G1474" s="34" t="str">
        <f>IFERROR(IF(F1474&gt;=0,D1474*E1474*(1+F1474/100),ABS(D1474*E1474/F1474)),"")</f>
        <v/>
      </c>
      <c r="H1474" s="43" t="str">
        <f>IFERROR(G1474*E1460,"")</f>
        <v/>
      </c>
    </row>
    <row r="1475" spans="1:11" ht="12.75" customHeight="1">
      <c r="A1475" s="21"/>
      <c r="B1475" s="22" t="s">
        <v>3732</v>
      </c>
      <c r="C1475" s="23"/>
      <c r="D1475" s="24"/>
      <c r="E1475" s="25"/>
      <c r="F1475" s="26"/>
      <c r="G1475" s="27">
        <f>SUM(G1476:G1478)</f>
        <v>78597.687723750016</v>
      </c>
      <c r="H1475" s="44">
        <f>G1475*E1460</f>
        <v>0</v>
      </c>
    </row>
    <row r="1476" spans="1:11" ht="12.75" customHeight="1">
      <c r="A1476" s="28"/>
      <c r="B1476" s="29" t="s">
        <v>3710</v>
      </c>
      <c r="C1476" s="30" t="str">
        <f>IFERROR(_xlfn.XLOOKUP(B1476,MObra[DESCRIPCION],MObra[UN],,0),"")</f>
        <v>día</v>
      </c>
      <c r="D1476" s="31">
        <v>1</v>
      </c>
      <c r="E1476" s="32">
        <f>IFERROR(_xlfn.XLOOKUP($B1476,MObra[DESCRIPCION],MObra[VALOR UNIT],,0),"")</f>
        <v>314390.75089500006</v>
      </c>
      <c r="F1476" s="33">
        <v>-4</v>
      </c>
      <c r="G1476" s="34">
        <f>IFERROR(IF(F1476&gt;=0,D1476*E1476*(1+F1476/100),ABS(D1476*E1476/F1476)),"")</f>
        <v>78597.687723750016</v>
      </c>
      <c r="H1476" s="43">
        <f>IFERROR(G1476*E1460,"")</f>
        <v>0</v>
      </c>
    </row>
    <row r="1477" spans="1:11" ht="12.75" customHeight="1">
      <c r="A1477" s="28"/>
      <c r="B1477" s="29"/>
      <c r="C1477" s="30" t="str">
        <f t="array" ref="C1477">IFERROR(_xlfn.XLOOKUP(B1477,MObra[[#All],[DESCRIPCION]],MObra[[#All],[UN]],,0),"")</f>
        <v/>
      </c>
      <c r="D1477" s="31"/>
      <c r="E1477" s="32" t="str">
        <f>IFERROR(_xlfn.XLOOKUP($B1477,MObra[DESCRIPCION],MObra[VALOR UNIT],,0),"")</f>
        <v/>
      </c>
      <c r="F1477" s="33"/>
      <c r="G1477" s="34" t="str">
        <f>IFERROR(IF(F1477&gt;=0,D1477*E1477*(1+F1477/100),ABS(D1477*E1477/F1477)),"")</f>
        <v/>
      </c>
      <c r="H1477" s="43" t="str">
        <f>IFERROR(G1477*E1460,"")</f>
        <v/>
      </c>
    </row>
    <row r="1478" spans="1:11" ht="12.75" customHeight="1" thickBot="1">
      <c r="A1478" s="35"/>
      <c r="B1478" s="36"/>
      <c r="C1478" s="37" t="str">
        <f t="array" ref="C1478">IFERROR(_xlfn.XLOOKUP(B1478,MObra[[#All],[DESCRIPCION]],MObra[[#All],[UN]],,0),"")</f>
        <v/>
      </c>
      <c r="D1478" s="38"/>
      <c r="E1478" s="39" t="str">
        <f>IFERROR(_xlfn.XLOOKUP($B1478,MObra[DESCRIPCION],MObra[VALOR UNIT],,0),"")</f>
        <v/>
      </c>
      <c r="F1478" s="40"/>
      <c r="G1478" s="41" t="str">
        <f>IFERROR(IF(F1478&gt;=0,D1478*E1478*(1+F1478/100),ABS(D1478*E1478/F1478)),"")</f>
        <v/>
      </c>
      <c r="H1478" s="42" t="str">
        <f>IFERROR(G1478*E1460,"")</f>
        <v/>
      </c>
    </row>
    <row r="1479" spans="1:11" ht="12.75" customHeight="1" thickTop="1" thickBot="1"/>
    <row r="1480" spans="1:11" ht="12.75" customHeight="1" thickTop="1" thickBot="1">
      <c r="A1480" s="6" t="s">
        <v>745</v>
      </c>
      <c r="B1480" s="7" t="str">
        <f>VLOOKUP($A1480,Presupuesto!$A:$D,2,FALSE())</f>
        <v>Medidor 1" volumétrico clase C</v>
      </c>
      <c r="C1480" s="8" t="str">
        <f>VLOOKUP($A1480,Presupuesto!$A:$D,3,FALSE())</f>
        <v>Un</v>
      </c>
      <c r="D1480" s="9"/>
      <c r="E1480" s="10">
        <f>VLOOKUP($A1480,Presupuesto!$A:$D,4,FALSE())</f>
        <v>0</v>
      </c>
      <c r="F1480" s="11" t="s">
        <v>2589</v>
      </c>
      <c r="G1480" s="12">
        <f>SUM(G1482:G1498)/2</f>
        <v>1477020.2252684999</v>
      </c>
      <c r="H1480" s="13">
        <f>ROUND(SUM(H1482:H1498),0)/2</f>
        <v>0</v>
      </c>
      <c r="I1480" s="10">
        <f>VLOOKUP(A1480,Presupuesto!$A:$F,6,0)</f>
        <v>0</v>
      </c>
      <c r="J1480" s="10">
        <f>+H1480-I1480</f>
        <v>0</v>
      </c>
      <c r="K1480" s="46">
        <f>+H1480-G1480*E1480</f>
        <v>0</v>
      </c>
    </row>
    <row r="1481" spans="1:11" ht="12.75" customHeight="1" thickTop="1">
      <c r="A1481" s="14"/>
      <c r="B1481" s="15" t="s">
        <v>2586</v>
      </c>
      <c r="C1481" s="15" t="s">
        <v>5</v>
      </c>
      <c r="D1481" s="16" t="s">
        <v>6</v>
      </c>
      <c r="E1481" s="17" t="s">
        <v>7</v>
      </c>
      <c r="F1481" s="18" t="s">
        <v>3728</v>
      </c>
      <c r="G1481" s="19" t="s">
        <v>3729</v>
      </c>
      <c r="H1481" s="20" t="s">
        <v>3797</v>
      </c>
    </row>
    <row r="1482" spans="1:11" ht="12.75" customHeight="1">
      <c r="A1482" s="21"/>
      <c r="B1482" s="22" t="s">
        <v>3730</v>
      </c>
      <c r="C1482" s="23"/>
      <c r="D1482" s="24"/>
      <c r="E1482" s="25"/>
      <c r="F1482" s="26"/>
      <c r="G1482" s="27">
        <f>SUM(G1483:G1487)</f>
        <v>1382703</v>
      </c>
      <c r="H1482" s="27">
        <f>IFERROR(G1482*E1480,"")</f>
        <v>0</v>
      </c>
    </row>
    <row r="1483" spans="1:11" ht="12.75" customHeight="1">
      <c r="A1483" s="28"/>
      <c r="B1483" s="29" t="s">
        <v>3164</v>
      </c>
      <c r="C1483" s="30" t="str">
        <f>IFERROR(_xlfn.XLOOKUP(B1483,Insumo[DESCRIPCION],Insumo[UND],,0),"")</f>
        <v>Un</v>
      </c>
      <c r="D1483" s="31">
        <v>1</v>
      </c>
      <c r="E1483" s="32">
        <f>IFERROR(_xlfn.XLOOKUP($B1483,Insumo[DESCRIPCION],Insumo[VALOR],,0),"")</f>
        <v>1363950</v>
      </c>
      <c r="F1483" s="33"/>
      <c r="G1483" s="34">
        <f>IFERROR(IF(F1483&gt;=0,D1483*E1483*(1+F1483/100),ABS(D1483*E1483/F1483)),"")</f>
        <v>1363950</v>
      </c>
      <c r="H1483" s="43">
        <f>IFERROR(G1483*E1480,"")</f>
        <v>0</v>
      </c>
    </row>
    <row r="1484" spans="1:11" ht="12.75" customHeight="1">
      <c r="A1484" s="28"/>
      <c r="B1484" s="29" t="s">
        <v>2639</v>
      </c>
      <c r="C1484" s="30" t="str">
        <f>IFERROR(_xlfn.XLOOKUP(B1484,Insumo[DESCRIPCION],Insumo[UND],,0),"")</f>
        <v>Un</v>
      </c>
      <c r="D1484" s="31">
        <v>4</v>
      </c>
      <c r="E1484" s="32">
        <f>IFERROR(_xlfn.XLOOKUP($B1484,Insumo[DESCRIPCION],Insumo[VALOR],,0),"")</f>
        <v>4688.25</v>
      </c>
      <c r="F1484" s="33"/>
      <c r="G1484" s="34">
        <f>IFERROR(IF(F1484&gt;=0,D1484*E1484*(1+F1484/100),ABS(D1484*E1484/F1484)),"")</f>
        <v>18753</v>
      </c>
      <c r="H1484" s="43">
        <f>IFERROR(G1484*E1480,"")</f>
        <v>0</v>
      </c>
    </row>
    <row r="1485" spans="1:11" ht="12.75" customHeight="1">
      <c r="A1485" s="28"/>
      <c r="B1485" s="29"/>
      <c r="C1485" s="30" t="str">
        <f>IFERROR(_xlfn.XLOOKUP(B1485,Insumo[DESCRIPCION],Insumo[UND],,0),"")</f>
        <v/>
      </c>
      <c r="D1485" s="31"/>
      <c r="E1485" s="32" t="str">
        <f>IFERROR(_xlfn.XLOOKUP($B1485,Insumo[DESCRIPCION],Insumo[VALOR],,0),"")</f>
        <v/>
      </c>
      <c r="F1485" s="33"/>
      <c r="G1485" s="34" t="str">
        <f>IFERROR(IF(F1485&gt;=0,D1485*E1485*(1+F1485/100),ABS(D1485*E1485/F1485)),"")</f>
        <v/>
      </c>
      <c r="H1485" s="43" t="str">
        <f>IFERROR(G1485*E1480,"")</f>
        <v/>
      </c>
    </row>
    <row r="1486" spans="1:11" ht="12.75" customHeight="1">
      <c r="A1486" s="28"/>
      <c r="B1486" s="29"/>
      <c r="C1486" s="30" t="str">
        <f>IFERROR(_xlfn.XLOOKUP(B1486,Insumo[DESCRIPCION],Insumo[UND],,0),"")</f>
        <v/>
      </c>
      <c r="D1486" s="31"/>
      <c r="E1486" s="32" t="str">
        <f>IFERROR(_xlfn.XLOOKUP($B1486,Insumo[DESCRIPCION],Insumo[VALOR],,0),"")</f>
        <v/>
      </c>
      <c r="F1486" s="33"/>
      <c r="G1486" s="34" t="str">
        <f>IFERROR(IF(F1486&gt;=0,D1486*E1486*(1+F1486/100),ABS(D1486*E1486/F1486)),"")</f>
        <v/>
      </c>
      <c r="H1486" s="43" t="str">
        <f>IFERROR(G1486*E1480,"")</f>
        <v/>
      </c>
    </row>
    <row r="1487" spans="1:11" ht="12.75" customHeight="1">
      <c r="A1487" s="28"/>
      <c r="B1487" s="29"/>
      <c r="C1487" s="30" t="str">
        <f>IFERROR(_xlfn.XLOOKUP(B1487,Insumo[DESCRIPCION],Insumo[UND],,0),"")</f>
        <v/>
      </c>
      <c r="D1487" s="31"/>
      <c r="E1487" s="32" t="str">
        <f>IFERROR(_xlfn.XLOOKUP($B1487,Insumo[DESCRIPCION],Insumo[VALOR],,0),"")</f>
        <v/>
      </c>
      <c r="F1487" s="33"/>
      <c r="G1487" s="34" t="str">
        <f>IFERROR(IF(F1487&gt;=0,D1487*E1487*(1+F1487/100),ABS(D1487*E1487/F1487)),"")</f>
        <v/>
      </c>
      <c r="H1487" s="43" t="str">
        <f>IFERROR(G1487*E1480,"")</f>
        <v/>
      </c>
    </row>
    <row r="1488" spans="1:11" ht="12.75" customHeight="1">
      <c r="A1488" s="21"/>
      <c r="B1488" s="22" t="s">
        <v>3731</v>
      </c>
      <c r="C1488" s="23"/>
      <c r="D1488" s="24"/>
      <c r="E1488" s="25"/>
      <c r="F1488" s="26"/>
      <c r="G1488" s="27">
        <f>SUM(G1489:G1491)</f>
        <v>4491.2964413571444</v>
      </c>
      <c r="H1488" s="44">
        <f>G1488*E1480</f>
        <v>0</v>
      </c>
    </row>
    <row r="1489" spans="1:11" ht="12.75" customHeight="1">
      <c r="A1489" s="28"/>
      <c r="B1489" s="29" t="s">
        <v>3626</v>
      </c>
      <c r="C1489" s="30" t="str">
        <f>IFERROR(_xlfn.XLOOKUP(B1489,Equipo[DESCRIPCION],Equipo[UND],,0),"")</f>
        <v>%MO</v>
      </c>
      <c r="D1489" s="31">
        <v>0.05</v>
      </c>
      <c r="E1489" s="32">
        <f>IF(C1489="%MO",G1495,IFERROR(_xlfn.XLOOKUP($B1489,Equipo[DESCRIPCION],Equipo[VALOR],,0),""))</f>
        <v>89825.928827142881</v>
      </c>
      <c r="F1489" s="33"/>
      <c r="G1489" s="34">
        <f>IFERROR(IF(F1489&gt;=0,D1489*E1489*(1+F1489/100),ABS(D1489*E1489/F1489)),"")</f>
        <v>4491.2964413571444</v>
      </c>
      <c r="H1489" s="43">
        <f>IFERROR(G1489*E1480,"")</f>
        <v>0</v>
      </c>
    </row>
    <row r="1490" spans="1:11" ht="12.75" customHeight="1">
      <c r="A1490" s="28"/>
      <c r="B1490" s="29"/>
      <c r="C1490" s="30" t="str">
        <f>IFERROR(_xlfn.XLOOKUP(B1490,Equipo[DESCRIPCION],Equipo[UND],,0),"")</f>
        <v/>
      </c>
      <c r="D1490" s="31"/>
      <c r="E1490" s="32" t="str">
        <f>IF(C1490="%MO",G1495,IFERROR(_xlfn.XLOOKUP($B1490,Equipo[DESCRIPCION],Equipo[VALOR],,0),""))</f>
        <v/>
      </c>
      <c r="F1490" s="33"/>
      <c r="G1490" s="34" t="str">
        <f>IFERROR(IF(F1490&gt;=0,D1490*E1490*(1+F1490/100),ABS(D1490*E1490/F1490)),"")</f>
        <v/>
      </c>
      <c r="H1490" s="43" t="str">
        <f>IFERROR(G1490*E1480,"")</f>
        <v/>
      </c>
    </row>
    <row r="1491" spans="1:11" ht="12.75" customHeight="1">
      <c r="A1491" s="28"/>
      <c r="B1491" s="29"/>
      <c r="C1491" s="30" t="str">
        <f>IFERROR(_xlfn.XLOOKUP(B1491,Equipo[DESCRIPCION],Equipo[UND],,0),"")</f>
        <v/>
      </c>
      <c r="D1491" s="31"/>
      <c r="E1491" s="32" t="str">
        <f>IF(C1491="%MO",G1495,IFERROR(_xlfn.XLOOKUP($B1491,Equipo[DESCRIPCION],Equipo[VALOR],,0),""))</f>
        <v/>
      </c>
      <c r="F1491" s="33"/>
      <c r="G1491" s="34" t="str">
        <f>IFERROR(IF(F1491&gt;=0,D1491*E1491*(1+F1491/100),ABS(D1491*E1491/F1491)),"")</f>
        <v/>
      </c>
      <c r="H1491" s="43" t="str">
        <f>IFERROR(G1491*E1480,"")</f>
        <v/>
      </c>
    </row>
    <row r="1492" spans="1:11" ht="12.75" customHeight="1">
      <c r="A1492" s="21"/>
      <c r="B1492" s="22" t="s">
        <v>2533</v>
      </c>
      <c r="C1492" s="23"/>
      <c r="D1492" s="24"/>
      <c r="E1492" s="25"/>
      <c r="F1492" s="26"/>
      <c r="G1492" s="27">
        <f>SUM(G1493:G1494)</f>
        <v>0</v>
      </c>
      <c r="H1492" s="44">
        <f>G1492*E1480</f>
        <v>0</v>
      </c>
    </row>
    <row r="1493" spans="1:11" ht="12.75" customHeight="1">
      <c r="A1493" s="28"/>
      <c r="B1493" s="29"/>
      <c r="C1493" s="30" t="str">
        <f>IFERROR(_xlfn.XLOOKUP(B1493,Transporte[DESCRIPCION],Transporte[UND],,0),"")</f>
        <v/>
      </c>
      <c r="D1493" s="31"/>
      <c r="E1493" s="32" t="str">
        <f>IFERROR(_xlfn.XLOOKUP($B1493,Transporte[DESCRIPCION],Transporte[VALOR],,0),"")</f>
        <v/>
      </c>
      <c r="F1493" s="33"/>
      <c r="G1493" s="34" t="str">
        <f>IFERROR(IF(F1493&gt;=0,D1493*E1493*(1+F1493/100),ABS(D1493*E1493/F1493)),"")</f>
        <v/>
      </c>
      <c r="H1493" s="43" t="str">
        <f>IFERROR(G1493*E1480,"")</f>
        <v/>
      </c>
    </row>
    <row r="1494" spans="1:11" ht="12.75" customHeight="1">
      <c r="A1494" s="28"/>
      <c r="B1494" s="29"/>
      <c r="C1494" s="30" t="str">
        <f>IFERROR(_xlfn.XLOOKUP(B1494,Transporte[DESCRIPCION],Transporte[UND],,0),"")</f>
        <v/>
      </c>
      <c r="D1494" s="31"/>
      <c r="E1494" s="32" t="str">
        <f>IFERROR(_xlfn.XLOOKUP($B1494,Transporte[DESCRIPCION],Transporte[VALOR],,0),"")</f>
        <v/>
      </c>
      <c r="F1494" s="33"/>
      <c r="G1494" s="34" t="str">
        <f>IFERROR(IF(F1494&gt;=0,D1494*E1494*(1+F1494/100),ABS(D1494*E1494/F1494)),"")</f>
        <v/>
      </c>
      <c r="H1494" s="43" t="str">
        <f>IFERROR(G1494*E1480,"")</f>
        <v/>
      </c>
    </row>
    <row r="1495" spans="1:11" ht="12.75" customHeight="1">
      <c r="A1495" s="21"/>
      <c r="B1495" s="22" t="s">
        <v>3732</v>
      </c>
      <c r="C1495" s="23"/>
      <c r="D1495" s="24"/>
      <c r="E1495" s="25"/>
      <c r="F1495" s="26"/>
      <c r="G1495" s="27">
        <f>SUM(G1496:G1498)</f>
        <v>89825.928827142881</v>
      </c>
      <c r="H1495" s="44">
        <f>G1495*E1480</f>
        <v>0</v>
      </c>
    </row>
    <row r="1496" spans="1:11" ht="12.75" customHeight="1">
      <c r="A1496" s="28"/>
      <c r="B1496" s="29" t="s">
        <v>3710</v>
      </c>
      <c r="C1496" s="30" t="str">
        <f>IFERROR(_xlfn.XLOOKUP(B1496,MObra[DESCRIPCION],MObra[UN],,0),"")</f>
        <v>día</v>
      </c>
      <c r="D1496" s="31">
        <v>1</v>
      </c>
      <c r="E1496" s="32">
        <f>IFERROR(_xlfn.XLOOKUP($B1496,MObra[DESCRIPCION],MObra[VALOR UNIT],,0),"")</f>
        <v>314390.75089500006</v>
      </c>
      <c r="F1496" s="33">
        <v>-3.5</v>
      </c>
      <c r="G1496" s="34">
        <f>IFERROR(IF(F1496&gt;=0,D1496*E1496*(1+F1496/100),ABS(D1496*E1496/F1496)),"")</f>
        <v>89825.928827142881</v>
      </c>
      <c r="H1496" s="43">
        <f>IFERROR(G1496*E1480,"")</f>
        <v>0</v>
      </c>
    </row>
    <row r="1497" spans="1:11" ht="12.75" customHeight="1">
      <c r="A1497" s="28"/>
      <c r="B1497" s="29"/>
      <c r="C1497" s="30" t="str">
        <f t="array" ref="C1497">IFERROR(_xlfn.XLOOKUP(B1497,MObra[[#All],[DESCRIPCION]],MObra[[#All],[UN]],,0),"")</f>
        <v/>
      </c>
      <c r="D1497" s="31"/>
      <c r="E1497" s="32" t="str">
        <f>IFERROR(_xlfn.XLOOKUP($B1497,MObra[DESCRIPCION],MObra[VALOR UNIT],,0),"")</f>
        <v/>
      </c>
      <c r="F1497" s="33"/>
      <c r="G1497" s="34" t="str">
        <f>IFERROR(IF(F1497&gt;=0,D1497*E1497*(1+F1497/100),ABS(D1497*E1497/F1497)),"")</f>
        <v/>
      </c>
      <c r="H1497" s="43" t="str">
        <f>IFERROR(G1497*E1480,"")</f>
        <v/>
      </c>
    </row>
    <row r="1498" spans="1:11" ht="12.75" customHeight="1" thickBot="1">
      <c r="A1498" s="35"/>
      <c r="B1498" s="36"/>
      <c r="C1498" s="37" t="str">
        <f t="array" ref="C1498">IFERROR(_xlfn.XLOOKUP(B1498,MObra[[#All],[DESCRIPCION]],MObra[[#All],[UN]],,0),"")</f>
        <v/>
      </c>
      <c r="D1498" s="38"/>
      <c r="E1498" s="39" t="str">
        <f>IFERROR(_xlfn.XLOOKUP($B1498,MObra[DESCRIPCION],MObra[VALOR UNIT],,0),"")</f>
        <v/>
      </c>
      <c r="F1498" s="40"/>
      <c r="G1498" s="41" t="str">
        <f>IFERROR(IF(F1498&gt;=0,D1498*E1498*(1+F1498/100),ABS(D1498*E1498/F1498)),"")</f>
        <v/>
      </c>
      <c r="H1498" s="42" t="str">
        <f>IFERROR(G1498*E1480,"")</f>
        <v/>
      </c>
    </row>
    <row r="1499" spans="1:11" ht="12.75" customHeight="1" thickTop="1" thickBot="1"/>
    <row r="1500" spans="1:11" ht="12.75" customHeight="1" thickTop="1" thickBot="1">
      <c r="A1500" s="6" t="s">
        <v>747</v>
      </c>
      <c r="B1500" s="7" t="str">
        <f>VLOOKUP($A1500,Presupuesto!$A:$D,2,FALSE())</f>
        <v>Medidor 1-1/2" volumétrico clase B</v>
      </c>
      <c r="C1500" s="8" t="str">
        <f>VLOOKUP($A1500,Presupuesto!$A:$D,3,FALSE())</f>
        <v>Un</v>
      </c>
      <c r="D1500" s="9"/>
      <c r="E1500" s="10">
        <f>VLOOKUP($A1500,Presupuesto!$A:$D,4,FALSE())</f>
        <v>0</v>
      </c>
      <c r="F1500" s="11" t="s">
        <v>2589</v>
      </c>
      <c r="G1500" s="12">
        <f>SUM(G1502:G1518)/2</f>
        <v>2173692.0628132503</v>
      </c>
      <c r="H1500" s="13">
        <f>ROUND(SUM(H1502:H1518),0)/2</f>
        <v>0</v>
      </c>
      <c r="I1500" s="10">
        <f>VLOOKUP(A1500,Presupuesto!$A:$F,6,0)</f>
        <v>0</v>
      </c>
      <c r="J1500" s="10">
        <f>+H1500-I1500</f>
        <v>0</v>
      </c>
      <c r="K1500" s="46">
        <f>+H1500-G1500*E1500</f>
        <v>0</v>
      </c>
    </row>
    <row r="1501" spans="1:11" ht="12.75" customHeight="1" thickTop="1">
      <c r="A1501" s="14"/>
      <c r="B1501" s="15" t="s">
        <v>2586</v>
      </c>
      <c r="C1501" s="15" t="s">
        <v>5</v>
      </c>
      <c r="D1501" s="16" t="s">
        <v>6</v>
      </c>
      <c r="E1501" s="17" t="s">
        <v>7</v>
      </c>
      <c r="F1501" s="18" t="s">
        <v>3728</v>
      </c>
      <c r="G1501" s="19" t="s">
        <v>3729</v>
      </c>
      <c r="H1501" s="20" t="s">
        <v>3797</v>
      </c>
    </row>
    <row r="1502" spans="1:11" ht="12.75" customHeight="1">
      <c r="A1502" s="21"/>
      <c r="B1502" s="22" t="s">
        <v>3730</v>
      </c>
      <c r="C1502" s="23"/>
      <c r="D1502" s="24"/>
      <c r="E1502" s="25"/>
      <c r="F1502" s="26"/>
      <c r="G1502" s="27">
        <f>SUM(G1503:G1507)</f>
        <v>2063655.3</v>
      </c>
      <c r="H1502" s="27">
        <f>IFERROR(G1502*E1500,"")</f>
        <v>0</v>
      </c>
    </row>
    <row r="1503" spans="1:11" ht="12.75" customHeight="1">
      <c r="A1503" s="28"/>
      <c r="B1503" s="29" t="s">
        <v>3163</v>
      </c>
      <c r="C1503" s="30" t="str">
        <f>IFERROR(_xlfn.XLOOKUP(B1503,Insumo[DESCRIPCION],Insumo[UND],,0),"")</f>
        <v>Un</v>
      </c>
      <c r="D1503" s="31">
        <v>1</v>
      </c>
      <c r="E1503" s="32">
        <f>IFERROR(_xlfn.XLOOKUP($B1503,Insumo[DESCRIPCION],Insumo[VALOR],,0),"")</f>
        <v>1999693.5</v>
      </c>
      <c r="F1503" s="33"/>
      <c r="G1503" s="34">
        <f>IFERROR(IF(F1503&gt;=0,D1503*E1503*(1+F1503/100),ABS(D1503*E1503/F1503)),"")</f>
        <v>1999693.5</v>
      </c>
      <c r="H1503" s="43">
        <f>IFERROR(G1503*E1500,"")</f>
        <v>0</v>
      </c>
    </row>
    <row r="1504" spans="1:11" ht="12.75" customHeight="1">
      <c r="A1504" s="28"/>
      <c r="B1504" s="29" t="s">
        <v>2637</v>
      </c>
      <c r="C1504" s="30" t="str">
        <f>IFERROR(_xlfn.XLOOKUP(B1504,Insumo[DESCRIPCION],Insumo[UND],,0),"")</f>
        <v>Un</v>
      </c>
      <c r="D1504" s="31">
        <v>4</v>
      </c>
      <c r="E1504" s="32">
        <f>IFERROR(_xlfn.XLOOKUP($B1504,Insumo[DESCRIPCION],Insumo[VALOR],,0),"")</f>
        <v>15990.45</v>
      </c>
      <c r="F1504" s="33"/>
      <c r="G1504" s="34">
        <f>IFERROR(IF(F1504&gt;=0,D1504*E1504*(1+F1504/100),ABS(D1504*E1504/F1504)),"")</f>
        <v>63961.8</v>
      </c>
      <c r="H1504" s="43">
        <f>IFERROR(G1504*E1500,"")</f>
        <v>0</v>
      </c>
    </row>
    <row r="1505" spans="1:11" ht="12.75" customHeight="1">
      <c r="A1505" s="28"/>
      <c r="B1505" s="29"/>
      <c r="C1505" s="30" t="str">
        <f>IFERROR(_xlfn.XLOOKUP(B1505,Insumo[DESCRIPCION],Insumo[UND],,0),"")</f>
        <v/>
      </c>
      <c r="D1505" s="31"/>
      <c r="E1505" s="32" t="str">
        <f>IFERROR(_xlfn.XLOOKUP($B1505,Insumo[DESCRIPCION],Insumo[VALOR],,0),"")</f>
        <v/>
      </c>
      <c r="F1505" s="33"/>
      <c r="G1505" s="34" t="str">
        <f>IFERROR(IF(F1505&gt;=0,D1505*E1505*(1+F1505/100),ABS(D1505*E1505/F1505)),"")</f>
        <v/>
      </c>
      <c r="H1505" s="43" t="str">
        <f>IFERROR(G1505*E1500,"")</f>
        <v/>
      </c>
    </row>
    <row r="1506" spans="1:11" ht="12.75" customHeight="1">
      <c r="A1506" s="28"/>
      <c r="B1506" s="29"/>
      <c r="C1506" s="30" t="str">
        <f>IFERROR(_xlfn.XLOOKUP(B1506,Insumo[DESCRIPCION],Insumo[UND],,0),"")</f>
        <v/>
      </c>
      <c r="D1506" s="31"/>
      <c r="E1506" s="32" t="str">
        <f>IFERROR(_xlfn.XLOOKUP($B1506,Insumo[DESCRIPCION],Insumo[VALOR],,0),"")</f>
        <v/>
      </c>
      <c r="F1506" s="33"/>
      <c r="G1506" s="34" t="str">
        <f>IFERROR(IF(F1506&gt;=0,D1506*E1506*(1+F1506/100),ABS(D1506*E1506/F1506)),"")</f>
        <v/>
      </c>
      <c r="H1506" s="43" t="str">
        <f>IFERROR(G1506*E1500,"")</f>
        <v/>
      </c>
    </row>
    <row r="1507" spans="1:11" ht="12.75" customHeight="1">
      <c r="A1507" s="28"/>
      <c r="B1507" s="29"/>
      <c r="C1507" s="30" t="str">
        <f>IFERROR(_xlfn.XLOOKUP(B1507,Insumo[DESCRIPCION],Insumo[UND],,0),"")</f>
        <v/>
      </c>
      <c r="D1507" s="31"/>
      <c r="E1507" s="32" t="str">
        <f>IFERROR(_xlfn.XLOOKUP($B1507,Insumo[DESCRIPCION],Insumo[VALOR],,0),"")</f>
        <v/>
      </c>
      <c r="F1507" s="33"/>
      <c r="G1507" s="34" t="str">
        <f>IFERROR(IF(F1507&gt;=0,D1507*E1507*(1+F1507/100),ABS(D1507*E1507/F1507)),"")</f>
        <v/>
      </c>
      <c r="H1507" s="43" t="str">
        <f>IFERROR(G1507*E1500,"")</f>
        <v/>
      </c>
    </row>
    <row r="1508" spans="1:11" ht="12.75" customHeight="1">
      <c r="A1508" s="21"/>
      <c r="B1508" s="22" t="s">
        <v>3731</v>
      </c>
      <c r="C1508" s="23"/>
      <c r="D1508" s="24"/>
      <c r="E1508" s="25"/>
      <c r="F1508" s="26"/>
      <c r="G1508" s="27">
        <f>SUM(G1509:G1511)</f>
        <v>5239.8458482500018</v>
      </c>
      <c r="H1508" s="44">
        <f>G1508*E1500</f>
        <v>0</v>
      </c>
    </row>
    <row r="1509" spans="1:11" ht="12.75" customHeight="1">
      <c r="A1509" s="28"/>
      <c r="B1509" s="29" t="s">
        <v>3626</v>
      </c>
      <c r="C1509" s="30" t="str">
        <f>IFERROR(_xlfn.XLOOKUP(B1509,Equipo[DESCRIPCION],Equipo[UND],,0),"")</f>
        <v>%MO</v>
      </c>
      <c r="D1509" s="31">
        <v>0.05</v>
      </c>
      <c r="E1509" s="32">
        <f>IF(C1509="%MO",G1515,IFERROR(_xlfn.XLOOKUP($B1509,Equipo[DESCRIPCION],Equipo[VALOR],,0),""))</f>
        <v>104796.91696500003</v>
      </c>
      <c r="F1509" s="33"/>
      <c r="G1509" s="34">
        <f>IFERROR(IF(F1509&gt;=0,D1509*E1509*(1+F1509/100),ABS(D1509*E1509/F1509)),"")</f>
        <v>5239.8458482500018</v>
      </c>
      <c r="H1509" s="43">
        <f>IFERROR(G1509*E1500,"")</f>
        <v>0</v>
      </c>
    </row>
    <row r="1510" spans="1:11" ht="12.75" customHeight="1">
      <c r="A1510" s="28"/>
      <c r="B1510" s="29"/>
      <c r="C1510" s="30" t="str">
        <f>IFERROR(_xlfn.XLOOKUP(B1510,Equipo[DESCRIPCION],Equipo[UND],,0),"")</f>
        <v/>
      </c>
      <c r="D1510" s="31"/>
      <c r="E1510" s="32" t="str">
        <f>IF(C1510="%MO",G1515,IFERROR(_xlfn.XLOOKUP($B1510,Equipo[DESCRIPCION],Equipo[VALOR],,0),""))</f>
        <v/>
      </c>
      <c r="F1510" s="33"/>
      <c r="G1510" s="34" t="str">
        <f>IFERROR(IF(F1510&gt;=0,D1510*E1510*(1+F1510/100),ABS(D1510*E1510/F1510)),"")</f>
        <v/>
      </c>
      <c r="H1510" s="43" t="str">
        <f>IFERROR(G1510*E1500,"")</f>
        <v/>
      </c>
    </row>
    <row r="1511" spans="1:11" ht="12.75" customHeight="1">
      <c r="A1511" s="28"/>
      <c r="B1511" s="29"/>
      <c r="C1511" s="30" t="str">
        <f>IFERROR(_xlfn.XLOOKUP(B1511,Equipo[DESCRIPCION],Equipo[UND],,0),"")</f>
        <v/>
      </c>
      <c r="D1511" s="31"/>
      <c r="E1511" s="32" t="str">
        <f>IF(C1511="%MO",G1515,IFERROR(_xlfn.XLOOKUP($B1511,Equipo[DESCRIPCION],Equipo[VALOR],,0),""))</f>
        <v/>
      </c>
      <c r="F1511" s="33"/>
      <c r="G1511" s="34" t="str">
        <f>IFERROR(IF(F1511&gt;=0,D1511*E1511*(1+F1511/100),ABS(D1511*E1511/F1511)),"")</f>
        <v/>
      </c>
      <c r="H1511" s="43" t="str">
        <f>IFERROR(G1511*E1500,"")</f>
        <v/>
      </c>
    </row>
    <row r="1512" spans="1:11" ht="12.75" customHeight="1">
      <c r="A1512" s="21"/>
      <c r="B1512" s="22" t="s">
        <v>2533</v>
      </c>
      <c r="C1512" s="23"/>
      <c r="D1512" s="24"/>
      <c r="E1512" s="25"/>
      <c r="F1512" s="26"/>
      <c r="G1512" s="27">
        <f>SUM(G1513:G1514)</f>
        <v>0</v>
      </c>
      <c r="H1512" s="44">
        <f>G1512*E1500</f>
        <v>0</v>
      </c>
    </row>
    <row r="1513" spans="1:11" ht="12.75" customHeight="1">
      <c r="A1513" s="28"/>
      <c r="B1513" s="29"/>
      <c r="C1513" s="30" t="str">
        <f>IFERROR(_xlfn.XLOOKUP(B1513,Transporte[DESCRIPCION],Transporte[UND],,0),"")</f>
        <v/>
      </c>
      <c r="D1513" s="31"/>
      <c r="E1513" s="32" t="str">
        <f>IFERROR(_xlfn.XLOOKUP($B1513,Transporte[DESCRIPCION],Transporte[VALOR],,0),"")</f>
        <v/>
      </c>
      <c r="F1513" s="33"/>
      <c r="G1513" s="34" t="str">
        <f>IFERROR(IF(F1513&gt;=0,D1513*E1513*(1+F1513/100),ABS(D1513*E1513/F1513)),"")</f>
        <v/>
      </c>
      <c r="H1513" s="43" t="str">
        <f>IFERROR(G1513*E1500,"")</f>
        <v/>
      </c>
    </row>
    <row r="1514" spans="1:11" ht="12.75" customHeight="1">
      <c r="A1514" s="28"/>
      <c r="B1514" s="29"/>
      <c r="C1514" s="30" t="str">
        <f>IFERROR(_xlfn.XLOOKUP(B1514,Transporte[DESCRIPCION],Transporte[UND],,0),"")</f>
        <v/>
      </c>
      <c r="D1514" s="31"/>
      <c r="E1514" s="32" t="str">
        <f>IFERROR(_xlfn.XLOOKUP($B1514,Transporte[DESCRIPCION],Transporte[VALOR],,0),"")</f>
        <v/>
      </c>
      <c r="F1514" s="33"/>
      <c r="G1514" s="34" t="str">
        <f>IFERROR(IF(F1514&gt;=0,D1514*E1514*(1+F1514/100),ABS(D1514*E1514/F1514)),"")</f>
        <v/>
      </c>
      <c r="H1514" s="43" t="str">
        <f>IFERROR(G1514*E1500,"")</f>
        <v/>
      </c>
    </row>
    <row r="1515" spans="1:11" ht="12.75" customHeight="1">
      <c r="A1515" s="21"/>
      <c r="B1515" s="22" t="s">
        <v>3732</v>
      </c>
      <c r="C1515" s="23"/>
      <c r="D1515" s="24"/>
      <c r="E1515" s="25"/>
      <c r="F1515" s="26"/>
      <c r="G1515" s="27">
        <f>SUM(G1516:G1518)</f>
        <v>104796.91696500003</v>
      </c>
      <c r="H1515" s="44">
        <f>G1515*E1500</f>
        <v>0</v>
      </c>
    </row>
    <row r="1516" spans="1:11" ht="12.75" customHeight="1">
      <c r="A1516" s="28"/>
      <c r="B1516" s="29" t="s">
        <v>3710</v>
      </c>
      <c r="C1516" s="30" t="str">
        <f>IFERROR(_xlfn.XLOOKUP(B1516,MObra[DESCRIPCION],MObra[UN],,0),"")</f>
        <v>día</v>
      </c>
      <c r="D1516" s="31">
        <v>1</v>
      </c>
      <c r="E1516" s="32">
        <f>IFERROR(_xlfn.XLOOKUP($B1516,MObra[DESCRIPCION],MObra[VALOR UNIT],,0),"")</f>
        <v>314390.75089500006</v>
      </c>
      <c r="F1516" s="33">
        <v>-3</v>
      </c>
      <c r="G1516" s="34">
        <f>IFERROR(IF(F1516&gt;=0,D1516*E1516*(1+F1516/100),ABS(D1516*E1516/F1516)),"")</f>
        <v>104796.91696500003</v>
      </c>
      <c r="H1516" s="43">
        <f>IFERROR(G1516*E1500,"")</f>
        <v>0</v>
      </c>
    </row>
    <row r="1517" spans="1:11" ht="12.75" customHeight="1">
      <c r="A1517" s="28"/>
      <c r="B1517" s="29"/>
      <c r="C1517" s="30" t="str">
        <f t="array" ref="C1517">IFERROR(_xlfn.XLOOKUP(B1517,MObra[[#All],[DESCRIPCION]],MObra[[#All],[UN]],,0),"")</f>
        <v/>
      </c>
      <c r="D1517" s="31"/>
      <c r="E1517" s="32" t="str">
        <f>IFERROR(_xlfn.XLOOKUP($B1517,MObra[DESCRIPCION],MObra[VALOR UNIT],,0),"")</f>
        <v/>
      </c>
      <c r="F1517" s="33"/>
      <c r="G1517" s="34" t="str">
        <f>IFERROR(IF(F1517&gt;=0,D1517*E1517*(1+F1517/100),ABS(D1517*E1517/F1517)),"")</f>
        <v/>
      </c>
      <c r="H1517" s="43" t="str">
        <f>IFERROR(G1517*E1500,"")</f>
        <v/>
      </c>
    </row>
    <row r="1518" spans="1:11" ht="12.75" customHeight="1" thickBot="1">
      <c r="A1518" s="35"/>
      <c r="B1518" s="36"/>
      <c r="C1518" s="37" t="str">
        <f t="array" ref="C1518">IFERROR(_xlfn.XLOOKUP(B1518,MObra[[#All],[DESCRIPCION]],MObra[[#All],[UN]],,0),"")</f>
        <v/>
      </c>
      <c r="D1518" s="38"/>
      <c r="E1518" s="39" t="str">
        <f>IFERROR(_xlfn.XLOOKUP($B1518,MObra[DESCRIPCION],MObra[VALOR UNIT],,0),"")</f>
        <v/>
      </c>
      <c r="F1518" s="40"/>
      <c r="G1518" s="41" t="str">
        <f>IFERROR(IF(F1518&gt;=0,D1518*E1518*(1+F1518/100),ABS(D1518*E1518/F1518)),"")</f>
        <v/>
      </c>
      <c r="H1518" s="42" t="str">
        <f>IFERROR(G1518*E1500,"")</f>
        <v/>
      </c>
    </row>
    <row r="1519" spans="1:11" ht="12.75" customHeight="1" thickTop="1" thickBot="1"/>
    <row r="1520" spans="1:11" ht="12.75" customHeight="1" thickTop="1" thickBot="1">
      <c r="A1520" s="6" t="s">
        <v>749</v>
      </c>
      <c r="B1520" s="7" t="str">
        <f>VLOOKUP($A1520,Presupuesto!$A:$D,2,FALSE())</f>
        <v>Medidor totalizador 2" volumétrico clase B</v>
      </c>
      <c r="C1520" s="8" t="str">
        <f>VLOOKUP($A1520,Presupuesto!$A:$D,3,FALSE())</f>
        <v>Un</v>
      </c>
      <c r="D1520" s="9"/>
      <c r="E1520" s="10">
        <f>VLOOKUP($A1520,Presupuesto!$A:$D,4,FALSE())</f>
        <v>0</v>
      </c>
      <c r="F1520" s="11" t="s">
        <v>2589</v>
      </c>
      <c r="G1520" s="12">
        <f>SUM(G1522:G1538)/2</f>
        <v>2620424.4153759005</v>
      </c>
      <c r="H1520" s="13">
        <f>ROUND(SUM(H1522:H1538),0)/2</f>
        <v>0</v>
      </c>
      <c r="I1520" s="10">
        <f>VLOOKUP(A1520,Presupuesto!$A:$F,6,0)</f>
        <v>0</v>
      </c>
      <c r="J1520" s="10">
        <f>+H1520-I1520</f>
        <v>0</v>
      </c>
      <c r="K1520" s="46">
        <f>+H1520-G1520*E1520</f>
        <v>0</v>
      </c>
    </row>
    <row r="1521" spans="1:8" ht="12.75" customHeight="1" thickTop="1">
      <c r="A1521" s="14"/>
      <c r="B1521" s="15" t="s">
        <v>2586</v>
      </c>
      <c r="C1521" s="15" t="s">
        <v>5</v>
      </c>
      <c r="D1521" s="16" t="s">
        <v>6</v>
      </c>
      <c r="E1521" s="17" t="s">
        <v>7</v>
      </c>
      <c r="F1521" s="18" t="s">
        <v>3728</v>
      </c>
      <c r="G1521" s="19" t="s">
        <v>3729</v>
      </c>
      <c r="H1521" s="20" t="s">
        <v>3797</v>
      </c>
    </row>
    <row r="1522" spans="1:8" ht="12.75" customHeight="1">
      <c r="A1522" s="21"/>
      <c r="B1522" s="22" t="s">
        <v>3730</v>
      </c>
      <c r="C1522" s="23"/>
      <c r="D1522" s="24"/>
      <c r="E1522" s="25"/>
      <c r="F1522" s="26"/>
      <c r="G1522" s="27">
        <f>SUM(G1523:G1527)</f>
        <v>2488380.2999999998</v>
      </c>
      <c r="H1522" s="27">
        <f>IFERROR(G1522*E1520,"")</f>
        <v>0</v>
      </c>
    </row>
    <row r="1523" spans="1:8" ht="12.75" customHeight="1">
      <c r="A1523" s="28"/>
      <c r="B1523" s="29" t="s">
        <v>3166</v>
      </c>
      <c r="C1523" s="30" t="str">
        <f>IFERROR(_xlfn.XLOOKUP(B1523,Insumo[DESCRIPCION],Insumo[UND],,0),"")</f>
        <v>Un</v>
      </c>
      <c r="D1523" s="31">
        <v>1</v>
      </c>
      <c r="E1523" s="32">
        <f>IFERROR(_xlfn.XLOOKUP($B1523,Insumo[DESCRIPCION],Insumo[VALOR],,0),"")</f>
        <v>2386912.5</v>
      </c>
      <c r="F1523" s="33"/>
      <c r="G1523" s="34">
        <f>IFERROR(IF(F1523&gt;=0,D1523*E1523*(1+F1523/100),ABS(D1523*E1523/F1523)),"")</f>
        <v>2386912.5</v>
      </c>
      <c r="H1523" s="43">
        <f>IFERROR(G1523*E1520,"")</f>
        <v>0</v>
      </c>
    </row>
    <row r="1524" spans="1:8" ht="12.75" customHeight="1">
      <c r="A1524" s="28"/>
      <c r="B1524" s="29" t="s">
        <v>2642</v>
      </c>
      <c r="C1524" s="30" t="str">
        <f>IFERROR(_xlfn.XLOOKUP(B1524,Insumo[DESCRIPCION],Insumo[UND],,0),"")</f>
        <v>Un</v>
      </c>
      <c r="D1524" s="31">
        <v>4</v>
      </c>
      <c r="E1524" s="32">
        <f>IFERROR(_xlfn.XLOOKUP($B1524,Insumo[DESCRIPCION],Insumo[VALOR],,0),"")</f>
        <v>25366.95</v>
      </c>
      <c r="F1524" s="33"/>
      <c r="G1524" s="34">
        <f>IFERROR(IF(F1524&gt;=0,D1524*E1524*(1+F1524/100),ABS(D1524*E1524/F1524)),"")</f>
        <v>101467.8</v>
      </c>
      <c r="H1524" s="43">
        <f>IFERROR(G1524*E1520,"")</f>
        <v>0</v>
      </c>
    </row>
    <row r="1525" spans="1:8" ht="12.75" customHeight="1">
      <c r="A1525" s="28"/>
      <c r="B1525" s="29"/>
      <c r="C1525" s="30" t="str">
        <f>IFERROR(_xlfn.XLOOKUP(B1525,Insumo[DESCRIPCION],Insumo[UND],,0),"")</f>
        <v/>
      </c>
      <c r="D1525" s="31"/>
      <c r="E1525" s="32" t="str">
        <f>IFERROR(_xlfn.XLOOKUP($B1525,Insumo[DESCRIPCION],Insumo[VALOR],,0),"")</f>
        <v/>
      </c>
      <c r="F1525" s="33"/>
      <c r="G1525" s="34" t="str">
        <f>IFERROR(IF(F1525&gt;=0,D1525*E1525*(1+F1525/100),ABS(D1525*E1525/F1525)),"")</f>
        <v/>
      </c>
      <c r="H1525" s="43" t="str">
        <f>IFERROR(G1525*E1520,"")</f>
        <v/>
      </c>
    </row>
    <row r="1526" spans="1:8" ht="12.75" customHeight="1">
      <c r="A1526" s="28"/>
      <c r="B1526" s="29"/>
      <c r="C1526" s="30" t="str">
        <f>IFERROR(_xlfn.XLOOKUP(B1526,Insumo[DESCRIPCION],Insumo[UND],,0),"")</f>
        <v/>
      </c>
      <c r="D1526" s="31"/>
      <c r="E1526" s="32" t="str">
        <f>IFERROR(_xlfn.XLOOKUP($B1526,Insumo[DESCRIPCION],Insumo[VALOR],,0),"")</f>
        <v/>
      </c>
      <c r="F1526" s="33"/>
      <c r="G1526" s="34" t="str">
        <f>IFERROR(IF(F1526&gt;=0,D1526*E1526*(1+F1526/100),ABS(D1526*E1526/F1526)),"")</f>
        <v/>
      </c>
      <c r="H1526" s="43" t="str">
        <f>IFERROR(G1526*E1520,"")</f>
        <v/>
      </c>
    </row>
    <row r="1527" spans="1:8" ht="12.75" customHeight="1">
      <c r="A1527" s="28"/>
      <c r="B1527" s="29"/>
      <c r="C1527" s="30" t="str">
        <f>IFERROR(_xlfn.XLOOKUP(B1527,Insumo[DESCRIPCION],Insumo[UND],,0),"")</f>
        <v/>
      </c>
      <c r="D1527" s="31"/>
      <c r="E1527" s="32" t="str">
        <f>IFERROR(_xlfn.XLOOKUP($B1527,Insumo[DESCRIPCION],Insumo[VALOR],,0),"")</f>
        <v/>
      </c>
      <c r="F1527" s="33"/>
      <c r="G1527" s="34" t="str">
        <f>IFERROR(IF(F1527&gt;=0,D1527*E1527*(1+F1527/100),ABS(D1527*E1527/F1527)),"")</f>
        <v/>
      </c>
      <c r="H1527" s="43" t="str">
        <f>IFERROR(G1527*E1520,"")</f>
        <v/>
      </c>
    </row>
    <row r="1528" spans="1:8" ht="12.75" customHeight="1">
      <c r="A1528" s="21"/>
      <c r="B1528" s="22" t="s">
        <v>3731</v>
      </c>
      <c r="C1528" s="23"/>
      <c r="D1528" s="24"/>
      <c r="E1528" s="25"/>
      <c r="F1528" s="26"/>
      <c r="G1528" s="27">
        <f>SUM(G1529:G1531)</f>
        <v>6287.8150179000013</v>
      </c>
      <c r="H1528" s="44">
        <f>G1528*E1520</f>
        <v>0</v>
      </c>
    </row>
    <row r="1529" spans="1:8" ht="12.75" customHeight="1">
      <c r="A1529" s="28"/>
      <c r="B1529" s="29" t="s">
        <v>3626</v>
      </c>
      <c r="C1529" s="30" t="str">
        <f>IFERROR(_xlfn.XLOOKUP(B1529,Equipo[DESCRIPCION],Equipo[UND],,0),"")</f>
        <v>%MO</v>
      </c>
      <c r="D1529" s="31">
        <v>0.05</v>
      </c>
      <c r="E1529" s="32">
        <f>IF(C1529="%MO",G1535,IFERROR(_xlfn.XLOOKUP($B1529,Equipo[DESCRIPCION],Equipo[VALOR],,0),""))</f>
        <v>125756.30035800002</v>
      </c>
      <c r="F1529" s="33"/>
      <c r="G1529" s="34">
        <f>IFERROR(IF(F1529&gt;=0,D1529*E1529*(1+F1529/100),ABS(D1529*E1529/F1529)),"")</f>
        <v>6287.8150179000013</v>
      </c>
      <c r="H1529" s="43">
        <f>IFERROR(G1529*E1520,"")</f>
        <v>0</v>
      </c>
    </row>
    <row r="1530" spans="1:8" ht="12.75" customHeight="1">
      <c r="A1530" s="28"/>
      <c r="B1530" s="29"/>
      <c r="C1530" s="30" t="str">
        <f>IFERROR(_xlfn.XLOOKUP(B1530,Equipo[DESCRIPCION],Equipo[UND],,0),"")</f>
        <v/>
      </c>
      <c r="D1530" s="31"/>
      <c r="E1530" s="32" t="str">
        <f>IF(C1530="%MO",G1535,IFERROR(_xlfn.XLOOKUP($B1530,Equipo[DESCRIPCION],Equipo[VALOR],,0),""))</f>
        <v/>
      </c>
      <c r="F1530" s="33"/>
      <c r="G1530" s="34" t="str">
        <f>IFERROR(IF(F1530&gt;=0,D1530*E1530*(1+F1530/100),ABS(D1530*E1530/F1530)),"")</f>
        <v/>
      </c>
      <c r="H1530" s="43" t="str">
        <f>IFERROR(G1530*E1520,"")</f>
        <v/>
      </c>
    </row>
    <row r="1531" spans="1:8" ht="12.75" customHeight="1">
      <c r="A1531" s="28"/>
      <c r="B1531" s="29"/>
      <c r="C1531" s="30" t="str">
        <f>IFERROR(_xlfn.XLOOKUP(B1531,Equipo[DESCRIPCION],Equipo[UND],,0),"")</f>
        <v/>
      </c>
      <c r="D1531" s="31"/>
      <c r="E1531" s="32" t="str">
        <f>IF(C1531="%MO",G1535,IFERROR(_xlfn.XLOOKUP($B1531,Equipo[DESCRIPCION],Equipo[VALOR],,0),""))</f>
        <v/>
      </c>
      <c r="F1531" s="33"/>
      <c r="G1531" s="34" t="str">
        <f>IFERROR(IF(F1531&gt;=0,D1531*E1531*(1+F1531/100),ABS(D1531*E1531/F1531)),"")</f>
        <v/>
      </c>
      <c r="H1531" s="43" t="str">
        <f>IFERROR(G1531*E1520,"")</f>
        <v/>
      </c>
    </row>
    <row r="1532" spans="1:8" ht="12.75" customHeight="1">
      <c r="A1532" s="21"/>
      <c r="B1532" s="22" t="s">
        <v>2533</v>
      </c>
      <c r="C1532" s="23"/>
      <c r="D1532" s="24"/>
      <c r="E1532" s="25"/>
      <c r="F1532" s="26"/>
      <c r="G1532" s="27">
        <f>SUM(G1533:G1534)</f>
        <v>0</v>
      </c>
      <c r="H1532" s="44">
        <f>G1532*E1520</f>
        <v>0</v>
      </c>
    </row>
    <row r="1533" spans="1:8" ht="12.75" customHeight="1">
      <c r="A1533" s="28"/>
      <c r="B1533" s="29"/>
      <c r="C1533" s="30" t="str">
        <f>IFERROR(_xlfn.XLOOKUP(B1533,Transporte[DESCRIPCION],Transporte[UND],,0),"")</f>
        <v/>
      </c>
      <c r="D1533" s="31"/>
      <c r="E1533" s="32" t="str">
        <f>IFERROR(_xlfn.XLOOKUP($B1533,Transporte[DESCRIPCION],Transporte[VALOR],,0),"")</f>
        <v/>
      </c>
      <c r="F1533" s="33"/>
      <c r="G1533" s="34" t="str">
        <f>IFERROR(IF(F1533&gt;=0,D1533*E1533*(1+F1533/100),ABS(D1533*E1533/F1533)),"")</f>
        <v/>
      </c>
      <c r="H1533" s="43" t="str">
        <f>IFERROR(G1533*E1520,"")</f>
        <v/>
      </c>
    </row>
    <row r="1534" spans="1:8" ht="12.75" customHeight="1">
      <c r="A1534" s="28"/>
      <c r="B1534" s="29"/>
      <c r="C1534" s="30" t="str">
        <f>IFERROR(_xlfn.XLOOKUP(B1534,Transporte[DESCRIPCION],Transporte[UND],,0),"")</f>
        <v/>
      </c>
      <c r="D1534" s="31"/>
      <c r="E1534" s="32" t="str">
        <f>IFERROR(_xlfn.XLOOKUP($B1534,Transporte[DESCRIPCION],Transporte[VALOR],,0),"")</f>
        <v/>
      </c>
      <c r="F1534" s="33"/>
      <c r="G1534" s="34" t="str">
        <f>IFERROR(IF(F1534&gt;=0,D1534*E1534*(1+F1534/100),ABS(D1534*E1534/F1534)),"")</f>
        <v/>
      </c>
      <c r="H1534" s="43" t="str">
        <f>IFERROR(G1534*E1520,"")</f>
        <v/>
      </c>
    </row>
    <row r="1535" spans="1:8" ht="12.75" customHeight="1">
      <c r="A1535" s="21"/>
      <c r="B1535" s="22" t="s">
        <v>3732</v>
      </c>
      <c r="C1535" s="23"/>
      <c r="D1535" s="24"/>
      <c r="E1535" s="25"/>
      <c r="F1535" s="26"/>
      <c r="G1535" s="27">
        <f>SUM(G1536:G1538)</f>
        <v>125756.30035800002</v>
      </c>
      <c r="H1535" s="44">
        <f>G1535*E1520</f>
        <v>0</v>
      </c>
    </row>
    <row r="1536" spans="1:8" ht="12.75" customHeight="1">
      <c r="A1536" s="28"/>
      <c r="B1536" s="29" t="s">
        <v>3710</v>
      </c>
      <c r="C1536" s="30" t="str">
        <f>IFERROR(_xlfn.XLOOKUP(B1536,MObra[DESCRIPCION],MObra[UN],,0),"")</f>
        <v>día</v>
      </c>
      <c r="D1536" s="31">
        <v>1</v>
      </c>
      <c r="E1536" s="32">
        <f>IFERROR(_xlfn.XLOOKUP($B1536,MObra[DESCRIPCION],MObra[VALOR UNIT],,0),"")</f>
        <v>314390.75089500006</v>
      </c>
      <c r="F1536" s="33">
        <v>-2.5</v>
      </c>
      <c r="G1536" s="34">
        <f>IFERROR(IF(F1536&gt;=0,D1536*E1536*(1+F1536/100),ABS(D1536*E1536/F1536)),"")</f>
        <v>125756.30035800002</v>
      </c>
      <c r="H1536" s="43">
        <f>IFERROR(G1536*E1520,"")</f>
        <v>0</v>
      </c>
    </row>
    <row r="1537" spans="1:11" ht="12.75" customHeight="1">
      <c r="A1537" s="28"/>
      <c r="B1537" s="29"/>
      <c r="C1537" s="30" t="str">
        <f t="array" ref="C1537">IFERROR(_xlfn.XLOOKUP(B1537,MObra[[#All],[DESCRIPCION]],MObra[[#All],[UN]],,0),"")</f>
        <v/>
      </c>
      <c r="D1537" s="31"/>
      <c r="E1537" s="32" t="str">
        <f>IFERROR(_xlfn.XLOOKUP($B1537,MObra[DESCRIPCION],MObra[VALOR UNIT],,0),"")</f>
        <v/>
      </c>
      <c r="F1537" s="33"/>
      <c r="G1537" s="34" t="str">
        <f>IFERROR(IF(F1537&gt;=0,D1537*E1537*(1+F1537/100),ABS(D1537*E1537/F1537)),"")</f>
        <v/>
      </c>
      <c r="H1537" s="43" t="str">
        <f>IFERROR(G1537*E1520,"")</f>
        <v/>
      </c>
    </row>
    <row r="1538" spans="1:11" ht="12.75" customHeight="1" thickBot="1">
      <c r="A1538" s="35"/>
      <c r="B1538" s="36"/>
      <c r="C1538" s="37" t="str">
        <f t="array" ref="C1538">IFERROR(_xlfn.XLOOKUP(B1538,MObra[[#All],[DESCRIPCION]],MObra[[#All],[UN]],,0),"")</f>
        <v/>
      </c>
      <c r="D1538" s="38"/>
      <c r="E1538" s="39" t="str">
        <f>IFERROR(_xlfn.XLOOKUP($B1538,MObra[DESCRIPCION],MObra[VALOR UNIT],,0),"")</f>
        <v/>
      </c>
      <c r="F1538" s="40"/>
      <c r="G1538" s="41" t="str">
        <f>IFERROR(IF(F1538&gt;=0,D1538*E1538*(1+F1538/100),ABS(D1538*E1538/F1538)),"")</f>
        <v/>
      </c>
      <c r="H1538" s="42" t="str">
        <f>IFERROR(G1538*E1520,"")</f>
        <v/>
      </c>
    </row>
    <row r="1539" spans="1:11" ht="12.75" customHeight="1" thickTop="1" thickBot="1"/>
    <row r="1540" spans="1:11" ht="12.75" customHeight="1" thickTop="1" thickBot="1">
      <c r="A1540" s="6" t="s">
        <v>751</v>
      </c>
      <c r="B1540" s="7" t="str">
        <f>VLOOKUP($A1540,Presupuesto!$A:$D,2,FALSE())</f>
        <v>Medidor totalizador 3" volumétrico clase B</v>
      </c>
      <c r="C1540" s="8" t="str">
        <f>VLOOKUP($A1540,Presupuesto!$A:$D,3,FALSE())</f>
        <v>Un</v>
      </c>
      <c r="D1540" s="9"/>
      <c r="E1540" s="10">
        <f>VLOOKUP($A1540,Presupuesto!$A:$D,4,FALSE())</f>
        <v>0</v>
      </c>
      <c r="F1540" s="11" t="s">
        <v>2589</v>
      </c>
      <c r="G1540" s="12">
        <f>SUM(G1542:G1558)/2</f>
        <v>3356193.015375901</v>
      </c>
      <c r="H1540" s="13">
        <f>ROUND(SUM(H1542:H1558),0)/2</f>
        <v>0</v>
      </c>
      <c r="I1540" s="10">
        <f>VLOOKUP(A1540,Presupuesto!$A:$F,6,0)</f>
        <v>0</v>
      </c>
      <c r="J1540" s="10">
        <f>+H1540-I1540</f>
        <v>0</v>
      </c>
      <c r="K1540" s="46">
        <f>+H1540-G1540*E1540</f>
        <v>0</v>
      </c>
    </row>
    <row r="1541" spans="1:11" ht="12.75" customHeight="1" thickTop="1">
      <c r="A1541" s="14"/>
      <c r="B1541" s="15" t="s">
        <v>2586</v>
      </c>
      <c r="C1541" s="15" t="s">
        <v>5</v>
      </c>
      <c r="D1541" s="16" t="s">
        <v>6</v>
      </c>
      <c r="E1541" s="17" t="s">
        <v>7</v>
      </c>
      <c r="F1541" s="18" t="s">
        <v>3728</v>
      </c>
      <c r="G1541" s="19" t="s">
        <v>3729</v>
      </c>
      <c r="H1541" s="20" t="s">
        <v>3797</v>
      </c>
    </row>
    <row r="1542" spans="1:11" ht="12.75" customHeight="1">
      <c r="A1542" s="21"/>
      <c r="B1542" s="22" t="s">
        <v>3730</v>
      </c>
      <c r="C1542" s="23"/>
      <c r="D1542" s="24"/>
      <c r="E1542" s="25"/>
      <c r="F1542" s="26"/>
      <c r="G1542" s="27">
        <f>SUM(G1543:G1547)</f>
        <v>3224148.9</v>
      </c>
      <c r="H1542" s="27">
        <f>IFERROR(G1542*E1540,"")</f>
        <v>0</v>
      </c>
    </row>
    <row r="1543" spans="1:11" ht="12.75" customHeight="1">
      <c r="A1543" s="28"/>
      <c r="B1543" s="29" t="s">
        <v>3167</v>
      </c>
      <c r="C1543" s="30" t="str">
        <f>IFERROR(_xlfn.XLOOKUP(B1543,Insumo[DESCRIPCION],Insumo[UND],,0),"")</f>
        <v>Un</v>
      </c>
      <c r="D1543" s="31">
        <v>1</v>
      </c>
      <c r="E1543" s="32">
        <f>IFERROR(_xlfn.XLOOKUP($B1543,Insumo[DESCRIPCION],Insumo[VALOR],,0),"")</f>
        <v>2841562.5</v>
      </c>
      <c r="F1543" s="33"/>
      <c r="G1543" s="34">
        <f>IFERROR(IF(F1543&gt;=0,D1543*E1543*(1+F1543/100),ABS(D1543*E1543/F1543)),"")</f>
        <v>2841562.5</v>
      </c>
      <c r="H1543" s="43">
        <f>IFERROR(G1543*E1540,"")</f>
        <v>0</v>
      </c>
    </row>
    <row r="1544" spans="1:11" ht="12.75" customHeight="1">
      <c r="A1544" s="28"/>
      <c r="B1544" s="29" t="s">
        <v>2643</v>
      </c>
      <c r="C1544" s="30" t="str">
        <f>IFERROR(_xlfn.XLOOKUP(B1544,Insumo[DESCRIPCION],Insumo[UND],,0),"")</f>
        <v>Un</v>
      </c>
      <c r="D1544" s="31">
        <v>4</v>
      </c>
      <c r="E1544" s="32">
        <f>IFERROR(_xlfn.XLOOKUP($B1544,Insumo[DESCRIPCION],Insumo[VALOR],,0),"")</f>
        <v>95646.6</v>
      </c>
      <c r="F1544" s="33"/>
      <c r="G1544" s="34">
        <f>IFERROR(IF(F1544&gt;=0,D1544*E1544*(1+F1544/100),ABS(D1544*E1544/F1544)),"")</f>
        <v>382586.4</v>
      </c>
      <c r="H1544" s="43">
        <f>IFERROR(G1544*E1540,"")</f>
        <v>0</v>
      </c>
    </row>
    <row r="1545" spans="1:11" ht="12.75" customHeight="1">
      <c r="A1545" s="28"/>
      <c r="B1545" s="29"/>
      <c r="C1545" s="30" t="str">
        <f>IFERROR(_xlfn.XLOOKUP(B1545,Insumo[DESCRIPCION],Insumo[UND],,0),"")</f>
        <v/>
      </c>
      <c r="D1545" s="31"/>
      <c r="E1545" s="32" t="str">
        <f>IFERROR(_xlfn.XLOOKUP($B1545,Insumo[DESCRIPCION],Insumo[VALOR],,0),"")</f>
        <v/>
      </c>
      <c r="F1545" s="33"/>
      <c r="G1545" s="34" t="str">
        <f>IFERROR(IF(F1545&gt;=0,D1545*E1545*(1+F1545/100),ABS(D1545*E1545/F1545)),"")</f>
        <v/>
      </c>
      <c r="H1545" s="43" t="str">
        <f>IFERROR(G1545*E1540,"")</f>
        <v/>
      </c>
    </row>
    <row r="1546" spans="1:11" ht="12.75" customHeight="1">
      <c r="A1546" s="28"/>
      <c r="B1546" s="29"/>
      <c r="C1546" s="30" t="str">
        <f>IFERROR(_xlfn.XLOOKUP(B1546,Insumo[DESCRIPCION],Insumo[UND],,0),"")</f>
        <v/>
      </c>
      <c r="D1546" s="31"/>
      <c r="E1546" s="32" t="str">
        <f>IFERROR(_xlfn.XLOOKUP($B1546,Insumo[DESCRIPCION],Insumo[VALOR],,0),"")</f>
        <v/>
      </c>
      <c r="F1546" s="33"/>
      <c r="G1546" s="34" t="str">
        <f>IFERROR(IF(F1546&gt;=0,D1546*E1546*(1+F1546/100),ABS(D1546*E1546/F1546)),"")</f>
        <v/>
      </c>
      <c r="H1546" s="43" t="str">
        <f>IFERROR(G1546*E1540,"")</f>
        <v/>
      </c>
    </row>
    <row r="1547" spans="1:11" ht="12.75" customHeight="1">
      <c r="A1547" s="28"/>
      <c r="B1547" s="29"/>
      <c r="C1547" s="30" t="str">
        <f>IFERROR(_xlfn.XLOOKUP(B1547,Insumo[DESCRIPCION],Insumo[UND],,0),"")</f>
        <v/>
      </c>
      <c r="D1547" s="31"/>
      <c r="E1547" s="32" t="str">
        <f>IFERROR(_xlfn.XLOOKUP($B1547,Insumo[DESCRIPCION],Insumo[VALOR],,0),"")</f>
        <v/>
      </c>
      <c r="F1547" s="33"/>
      <c r="G1547" s="34" t="str">
        <f>IFERROR(IF(F1547&gt;=0,D1547*E1547*(1+F1547/100),ABS(D1547*E1547/F1547)),"")</f>
        <v/>
      </c>
      <c r="H1547" s="43" t="str">
        <f>IFERROR(G1547*E1540,"")</f>
        <v/>
      </c>
    </row>
    <row r="1548" spans="1:11" ht="12.75" customHeight="1">
      <c r="A1548" s="21"/>
      <c r="B1548" s="22" t="s">
        <v>3731</v>
      </c>
      <c r="C1548" s="23"/>
      <c r="D1548" s="24"/>
      <c r="E1548" s="25"/>
      <c r="F1548" s="26"/>
      <c r="G1548" s="27">
        <f>SUM(G1549:G1551)</f>
        <v>6287.8150179000013</v>
      </c>
      <c r="H1548" s="44">
        <f>G1548*E1540</f>
        <v>0</v>
      </c>
    </row>
    <row r="1549" spans="1:11" ht="12.75" customHeight="1">
      <c r="A1549" s="28"/>
      <c r="B1549" s="29" t="s">
        <v>3626</v>
      </c>
      <c r="C1549" s="30" t="str">
        <f>IFERROR(_xlfn.XLOOKUP(B1549,Equipo[DESCRIPCION],Equipo[UND],,0),"")</f>
        <v>%MO</v>
      </c>
      <c r="D1549" s="31">
        <v>0.05</v>
      </c>
      <c r="E1549" s="32">
        <f>IF(C1549="%MO",G1555,IFERROR(_xlfn.XLOOKUP($B1549,Equipo[DESCRIPCION],Equipo[VALOR],,0),""))</f>
        <v>125756.30035800002</v>
      </c>
      <c r="F1549" s="33"/>
      <c r="G1549" s="34">
        <f>IFERROR(IF(F1549&gt;=0,D1549*E1549*(1+F1549/100),ABS(D1549*E1549/F1549)),"")</f>
        <v>6287.8150179000013</v>
      </c>
      <c r="H1549" s="43">
        <f>IFERROR(G1549*E1540,"")</f>
        <v>0</v>
      </c>
    </row>
    <row r="1550" spans="1:11" ht="12.75" customHeight="1">
      <c r="A1550" s="28"/>
      <c r="B1550" s="29"/>
      <c r="C1550" s="30" t="str">
        <f>IFERROR(_xlfn.XLOOKUP(B1550,Equipo[DESCRIPCION],Equipo[UND],,0),"")</f>
        <v/>
      </c>
      <c r="D1550" s="31"/>
      <c r="E1550" s="32" t="str">
        <f>IF(C1550="%MO",G1555,IFERROR(_xlfn.XLOOKUP($B1550,Equipo[DESCRIPCION],Equipo[VALOR],,0),""))</f>
        <v/>
      </c>
      <c r="F1550" s="33"/>
      <c r="G1550" s="34" t="str">
        <f>IFERROR(IF(F1550&gt;=0,D1550*E1550*(1+F1550/100),ABS(D1550*E1550/F1550)),"")</f>
        <v/>
      </c>
      <c r="H1550" s="43" t="str">
        <f>IFERROR(G1550*E1540,"")</f>
        <v/>
      </c>
    </row>
    <row r="1551" spans="1:11" ht="12.75" customHeight="1">
      <c r="A1551" s="28"/>
      <c r="B1551" s="29"/>
      <c r="C1551" s="30" t="str">
        <f>IFERROR(_xlfn.XLOOKUP(B1551,Equipo[DESCRIPCION],Equipo[UND],,0),"")</f>
        <v/>
      </c>
      <c r="D1551" s="31"/>
      <c r="E1551" s="32" t="str">
        <f>IF(C1551="%MO",G1555,IFERROR(_xlfn.XLOOKUP($B1551,Equipo[DESCRIPCION],Equipo[VALOR],,0),""))</f>
        <v/>
      </c>
      <c r="F1551" s="33"/>
      <c r="G1551" s="34" t="str">
        <f>IFERROR(IF(F1551&gt;=0,D1551*E1551*(1+F1551/100),ABS(D1551*E1551/F1551)),"")</f>
        <v/>
      </c>
      <c r="H1551" s="43" t="str">
        <f>IFERROR(G1551*E1540,"")</f>
        <v/>
      </c>
    </row>
    <row r="1552" spans="1:11" ht="12.75" customHeight="1">
      <c r="A1552" s="21"/>
      <c r="B1552" s="22" t="s">
        <v>2533</v>
      </c>
      <c r="C1552" s="23"/>
      <c r="D1552" s="24"/>
      <c r="E1552" s="25"/>
      <c r="F1552" s="26"/>
      <c r="G1552" s="27">
        <f>SUM(G1553:G1554)</f>
        <v>0</v>
      </c>
      <c r="H1552" s="44">
        <f>G1552*E1540</f>
        <v>0</v>
      </c>
    </row>
    <row r="1553" spans="1:11" ht="12.75" customHeight="1">
      <c r="A1553" s="28"/>
      <c r="B1553" s="29"/>
      <c r="C1553" s="30" t="str">
        <f>IFERROR(_xlfn.XLOOKUP(B1553,Transporte[DESCRIPCION],Transporte[UND],,0),"")</f>
        <v/>
      </c>
      <c r="D1553" s="31"/>
      <c r="E1553" s="32" t="str">
        <f>IFERROR(_xlfn.XLOOKUP($B1553,Transporte[DESCRIPCION],Transporte[VALOR],,0),"")</f>
        <v/>
      </c>
      <c r="F1553" s="33"/>
      <c r="G1553" s="34" t="str">
        <f>IFERROR(IF(F1553&gt;=0,D1553*E1553*(1+F1553/100),ABS(D1553*E1553/F1553)),"")</f>
        <v/>
      </c>
      <c r="H1553" s="43" t="str">
        <f>IFERROR(G1553*E1540,"")</f>
        <v/>
      </c>
    </row>
    <row r="1554" spans="1:11" ht="12.75" customHeight="1">
      <c r="A1554" s="28"/>
      <c r="B1554" s="29"/>
      <c r="C1554" s="30" t="str">
        <f>IFERROR(_xlfn.XLOOKUP(B1554,Transporte[DESCRIPCION],Transporte[UND],,0),"")</f>
        <v/>
      </c>
      <c r="D1554" s="31"/>
      <c r="E1554" s="32" t="str">
        <f>IFERROR(_xlfn.XLOOKUP($B1554,Transporte[DESCRIPCION],Transporte[VALOR],,0),"")</f>
        <v/>
      </c>
      <c r="F1554" s="33"/>
      <c r="G1554" s="34" t="str">
        <f>IFERROR(IF(F1554&gt;=0,D1554*E1554*(1+F1554/100),ABS(D1554*E1554/F1554)),"")</f>
        <v/>
      </c>
      <c r="H1554" s="43" t="str">
        <f>IFERROR(G1554*E1540,"")</f>
        <v/>
      </c>
    </row>
    <row r="1555" spans="1:11" ht="12.75" customHeight="1">
      <c r="A1555" s="21"/>
      <c r="B1555" s="22" t="s">
        <v>3732</v>
      </c>
      <c r="C1555" s="23"/>
      <c r="D1555" s="24"/>
      <c r="E1555" s="25"/>
      <c r="F1555" s="26"/>
      <c r="G1555" s="27">
        <f>SUM(G1556:G1558)</f>
        <v>125756.30035800002</v>
      </c>
      <c r="H1555" s="44">
        <f>G1555*E1540</f>
        <v>0</v>
      </c>
    </row>
    <row r="1556" spans="1:11" ht="12.75" customHeight="1">
      <c r="A1556" s="28"/>
      <c r="B1556" s="29" t="s">
        <v>3710</v>
      </c>
      <c r="C1556" s="30" t="str">
        <f>IFERROR(_xlfn.XLOOKUP(B1556,MObra[DESCRIPCION],MObra[UN],,0),"")</f>
        <v>día</v>
      </c>
      <c r="D1556" s="31">
        <v>1</v>
      </c>
      <c r="E1556" s="32">
        <f>IFERROR(_xlfn.XLOOKUP($B1556,MObra[DESCRIPCION],MObra[VALOR UNIT],,0),"")</f>
        <v>314390.75089500006</v>
      </c>
      <c r="F1556" s="33">
        <v>-2.5</v>
      </c>
      <c r="G1556" s="34">
        <f>IFERROR(IF(F1556&gt;=0,D1556*E1556*(1+F1556/100),ABS(D1556*E1556/F1556)),"")</f>
        <v>125756.30035800002</v>
      </c>
      <c r="H1556" s="43">
        <f>IFERROR(G1556*E1540,"")</f>
        <v>0</v>
      </c>
    </row>
    <row r="1557" spans="1:11" ht="12.75" customHeight="1">
      <c r="A1557" s="28"/>
      <c r="B1557" s="29"/>
      <c r="C1557" s="30" t="str">
        <f t="array" ref="C1557">IFERROR(_xlfn.XLOOKUP(B1557,MObra[[#All],[DESCRIPCION]],MObra[[#All],[UN]],,0),"")</f>
        <v/>
      </c>
      <c r="D1557" s="31"/>
      <c r="E1557" s="32" t="str">
        <f>IFERROR(_xlfn.XLOOKUP($B1557,MObra[DESCRIPCION],MObra[VALOR UNIT],,0),"")</f>
        <v/>
      </c>
      <c r="F1557" s="33"/>
      <c r="G1557" s="34" t="str">
        <f>IFERROR(IF(F1557&gt;=0,D1557*E1557*(1+F1557/100),ABS(D1557*E1557/F1557)),"")</f>
        <v/>
      </c>
      <c r="H1557" s="43" t="str">
        <f>IFERROR(G1557*E1540,"")</f>
        <v/>
      </c>
    </row>
    <row r="1558" spans="1:11" ht="12.75" customHeight="1" thickBot="1">
      <c r="A1558" s="35"/>
      <c r="B1558" s="36"/>
      <c r="C1558" s="37" t="str">
        <f t="array" ref="C1558">IFERROR(_xlfn.XLOOKUP(B1558,MObra[[#All],[DESCRIPCION]],MObra[[#All],[UN]],,0),"")</f>
        <v/>
      </c>
      <c r="D1558" s="38"/>
      <c r="E1558" s="39" t="str">
        <f>IFERROR(_xlfn.XLOOKUP($B1558,MObra[DESCRIPCION],MObra[VALOR UNIT],,0),"")</f>
        <v/>
      </c>
      <c r="F1558" s="40"/>
      <c r="G1558" s="41" t="str">
        <f>IFERROR(IF(F1558&gt;=0,D1558*E1558*(1+F1558/100),ABS(D1558*E1558/F1558)),"")</f>
        <v/>
      </c>
      <c r="H1558" s="42" t="str">
        <f>IFERROR(G1558*E1540,"")</f>
        <v/>
      </c>
    </row>
    <row r="1559" spans="1:11" ht="12.75" customHeight="1" thickTop="1" thickBot="1"/>
    <row r="1560" spans="1:11" ht="12.75" customHeight="1" thickTop="1" thickBot="1">
      <c r="A1560" s="6" t="s">
        <v>753</v>
      </c>
      <c r="B1560" s="7" t="str">
        <f>VLOOKUP($A1560,Presupuesto!$A:$D,2,FALSE())</f>
        <v>Punto aguas lluvias PVC 3"</v>
      </c>
      <c r="C1560" s="8" t="str">
        <f>VLOOKUP($A1560,Presupuesto!$A:$D,3,FALSE())</f>
        <v>Un</v>
      </c>
      <c r="D1560" s="9"/>
      <c r="E1560" s="10">
        <f>VLOOKUP($A1560,Presupuesto!$A:$D,4,FALSE())</f>
        <v>0</v>
      </c>
      <c r="F1560" s="11" t="s">
        <v>2589</v>
      </c>
      <c r="G1560" s="12">
        <f>SUM(G1562:G1578)/2</f>
        <v>115917.31663424999</v>
      </c>
      <c r="H1560" s="13">
        <f>ROUND(SUM(H1562:H1578),0)/2</f>
        <v>0</v>
      </c>
      <c r="I1560" s="10">
        <f>VLOOKUP(A1560,Presupuesto!$A:$F,6,0)</f>
        <v>0</v>
      </c>
      <c r="J1560" s="10">
        <f>+H1560-I1560</f>
        <v>0</v>
      </c>
      <c r="K1560" s="46">
        <f>+H1560-G1560*E1560</f>
        <v>0</v>
      </c>
    </row>
    <row r="1561" spans="1:11" ht="12.75" customHeight="1" thickTop="1">
      <c r="A1561" s="14"/>
      <c r="B1561" s="15" t="s">
        <v>2586</v>
      </c>
      <c r="C1561" s="15" t="s">
        <v>5</v>
      </c>
      <c r="D1561" s="16" t="s">
        <v>6</v>
      </c>
      <c r="E1561" s="17" t="s">
        <v>7</v>
      </c>
      <c r="F1561" s="18" t="s">
        <v>3728</v>
      </c>
      <c r="G1561" s="19" t="s">
        <v>3729</v>
      </c>
      <c r="H1561" s="20" t="s">
        <v>3797</v>
      </c>
    </row>
    <row r="1562" spans="1:11" ht="12.75" customHeight="1">
      <c r="A1562" s="21"/>
      <c r="B1562" s="22" t="s">
        <v>3730</v>
      </c>
      <c r="C1562" s="23"/>
      <c r="D1562" s="24"/>
      <c r="E1562" s="25"/>
      <c r="F1562" s="26"/>
      <c r="G1562" s="27">
        <f>SUM(G1563:G1567)</f>
        <v>68758.703999999998</v>
      </c>
      <c r="H1562" s="27">
        <f>IFERROR(G1562*E1560,"")</f>
        <v>0</v>
      </c>
    </row>
    <row r="1563" spans="1:11" ht="12.75" customHeight="1">
      <c r="A1563" s="28"/>
      <c r="B1563" s="29" t="s">
        <v>3509</v>
      </c>
      <c r="C1563" s="30" t="str">
        <f>IFERROR(_xlfn.XLOOKUP(B1563,Insumo[DESCRIPCION],Insumo[UND],,0),"")</f>
        <v>M</v>
      </c>
      <c r="D1563" s="31">
        <v>3</v>
      </c>
      <c r="E1563" s="32">
        <f>IFERROR(_xlfn.XLOOKUP($B1563,Insumo[DESCRIPCION],Insumo[VALOR],,0),"")</f>
        <v>19358.850000000002</v>
      </c>
      <c r="F1563" s="33">
        <v>3</v>
      </c>
      <c r="G1563" s="34">
        <f>IFERROR(IF(F1563&gt;=0,D1563*E1563*(1+F1563/100),ABS(D1563*E1563/F1563)),"")</f>
        <v>59818.846500000007</v>
      </c>
      <c r="H1563" s="43">
        <f>IFERROR(G1563*E1560,"")</f>
        <v>0</v>
      </c>
    </row>
    <row r="1564" spans="1:11" ht="12.75" customHeight="1">
      <c r="A1564" s="28"/>
      <c r="B1564" s="29" t="s">
        <v>2649</v>
      </c>
      <c r="C1564" s="30" t="str">
        <f>IFERROR(_xlfn.XLOOKUP(B1564,Insumo[DESCRIPCION],Insumo[UND],,0),"")</f>
        <v>Un</v>
      </c>
      <c r="D1564" s="31">
        <f>0.15*3</f>
        <v>0.44999999999999996</v>
      </c>
      <c r="E1564" s="32">
        <f>IFERROR(_xlfn.XLOOKUP($B1564,Insumo[DESCRIPCION],Insumo[VALOR],,0),"")</f>
        <v>12877.2</v>
      </c>
      <c r="F1564" s="33"/>
      <c r="G1564" s="34">
        <f>IFERROR(IF(F1564&gt;=0,D1564*E1564*(1+F1564/100),ABS(D1564*E1564/F1564)),"")</f>
        <v>5794.74</v>
      </c>
      <c r="H1564" s="43">
        <f>IFERROR(G1564*E1560,"")</f>
        <v>0</v>
      </c>
    </row>
    <row r="1565" spans="1:11" ht="12.75" customHeight="1">
      <c r="A1565" s="28"/>
      <c r="B1565" s="29" t="s">
        <v>3046</v>
      </c>
      <c r="C1565" s="30" t="str">
        <f>IFERROR(_xlfn.XLOOKUP(B1565,Insumo[DESCRIPCION],Insumo[UND],,0),"")</f>
        <v>Un</v>
      </c>
      <c r="D1565" s="31">
        <v>0.03</v>
      </c>
      <c r="E1565" s="32">
        <f>IFERROR(_xlfn.XLOOKUP($B1565,Insumo[DESCRIPCION],Insumo[VALOR],,0),"")</f>
        <v>62413.05</v>
      </c>
      <c r="F1565" s="33"/>
      <c r="G1565" s="34">
        <f>IFERROR(IF(F1565&gt;=0,D1565*E1565*(1+F1565/100),ABS(D1565*E1565/F1565)),"")</f>
        <v>1872.3915</v>
      </c>
      <c r="H1565" s="43">
        <f>IFERROR(G1565*E1560,"")</f>
        <v>0</v>
      </c>
    </row>
    <row r="1566" spans="1:11" ht="12.75" customHeight="1">
      <c r="A1566" s="28"/>
      <c r="B1566" s="29" t="s">
        <v>3329</v>
      </c>
      <c r="C1566" s="30" t="str">
        <f>IFERROR(_xlfn.XLOOKUP(B1566,Insumo[DESCRIPCION],Insumo[UND],,0),"")</f>
        <v>Un</v>
      </c>
      <c r="D1566" s="31">
        <v>0.03</v>
      </c>
      <c r="E1566" s="32">
        <f>IFERROR(_xlfn.XLOOKUP($B1566,Insumo[DESCRIPCION],Insumo[VALOR],,0),"")</f>
        <v>42424.200000000004</v>
      </c>
      <c r="F1566" s="33"/>
      <c r="G1566" s="34">
        <f>IFERROR(IF(F1566&gt;=0,D1566*E1566*(1+F1566/100),ABS(D1566*E1566/F1566)),"")</f>
        <v>1272.7260000000001</v>
      </c>
      <c r="H1566" s="43">
        <f>IFERROR(G1566*E1560,"")</f>
        <v>0</v>
      </c>
    </row>
    <row r="1567" spans="1:11" ht="12.75" customHeight="1">
      <c r="A1567" s="28"/>
      <c r="B1567" s="29"/>
      <c r="C1567" s="30" t="str">
        <f>IFERROR(_xlfn.XLOOKUP(B1567,Insumo[DESCRIPCION],Insumo[UND],,0),"")</f>
        <v/>
      </c>
      <c r="D1567" s="31"/>
      <c r="E1567" s="32" t="str">
        <f>IFERROR(_xlfn.XLOOKUP($B1567,Insumo[DESCRIPCION],Insumo[VALOR],,0),"")</f>
        <v/>
      </c>
      <c r="F1567" s="33"/>
      <c r="G1567" s="34" t="str">
        <f>IFERROR(IF(F1567&gt;=0,D1567*E1567*(1+F1567/100),ABS(D1567*E1567/F1567)),"")</f>
        <v/>
      </c>
      <c r="H1567" s="43" t="str">
        <f>IFERROR(G1567*E1560,"")</f>
        <v/>
      </c>
    </row>
    <row r="1568" spans="1:11" ht="12.75" customHeight="1">
      <c r="A1568" s="21"/>
      <c r="B1568" s="22" t="s">
        <v>3731</v>
      </c>
      <c r="C1568" s="23"/>
      <c r="D1568" s="24"/>
      <c r="E1568" s="25"/>
      <c r="F1568" s="26"/>
      <c r="G1568" s="27">
        <f>SUM(G1569:G1571)</f>
        <v>2245.6482206785722</v>
      </c>
      <c r="H1568" s="44">
        <f>G1568*E1560</f>
        <v>0</v>
      </c>
    </row>
    <row r="1569" spans="1:11" ht="12.75" customHeight="1">
      <c r="A1569" s="28"/>
      <c r="B1569" s="29" t="s">
        <v>3626</v>
      </c>
      <c r="C1569" s="30" t="str">
        <f>IFERROR(_xlfn.XLOOKUP(B1569,Equipo[DESCRIPCION],Equipo[UND],,0),"")</f>
        <v>%MO</v>
      </c>
      <c r="D1569" s="31">
        <v>0.05</v>
      </c>
      <c r="E1569" s="32">
        <f>IF(C1569="%MO",G1575,IFERROR(_xlfn.XLOOKUP($B1569,Equipo[DESCRIPCION],Equipo[VALOR],,0),""))</f>
        <v>44912.964413571441</v>
      </c>
      <c r="F1569" s="33"/>
      <c r="G1569" s="34">
        <f>IFERROR(IF(F1569&gt;=0,D1569*E1569*(1+F1569/100),ABS(D1569*E1569/F1569)),"")</f>
        <v>2245.6482206785722</v>
      </c>
      <c r="H1569" s="43">
        <f>IFERROR(G1569*E1560,"")</f>
        <v>0</v>
      </c>
    </row>
    <row r="1570" spans="1:11" ht="12.75" customHeight="1">
      <c r="A1570" s="28"/>
      <c r="B1570" s="29"/>
      <c r="C1570" s="30" t="str">
        <f>IFERROR(_xlfn.XLOOKUP(B1570,Equipo[DESCRIPCION],Equipo[UND],,0),"")</f>
        <v/>
      </c>
      <c r="D1570" s="31"/>
      <c r="E1570" s="32" t="str">
        <f>IF(C1570="%MO",G1575,IFERROR(_xlfn.XLOOKUP($B1570,Equipo[DESCRIPCION],Equipo[VALOR],,0),""))</f>
        <v/>
      </c>
      <c r="F1570" s="33"/>
      <c r="G1570" s="34" t="str">
        <f>IFERROR(IF(F1570&gt;=0,D1570*E1570*(1+F1570/100),ABS(D1570*E1570/F1570)),"")</f>
        <v/>
      </c>
      <c r="H1570" s="43" t="str">
        <f>IFERROR(G1570*E1560,"")</f>
        <v/>
      </c>
    </row>
    <row r="1571" spans="1:11" ht="12.75" customHeight="1">
      <c r="A1571" s="28"/>
      <c r="B1571" s="29"/>
      <c r="C1571" s="30" t="str">
        <f>IFERROR(_xlfn.XLOOKUP(B1571,Equipo[DESCRIPCION],Equipo[UND],,0),"")</f>
        <v/>
      </c>
      <c r="D1571" s="31"/>
      <c r="E1571" s="32" t="str">
        <f>IF(C1571="%MO",G1575,IFERROR(_xlfn.XLOOKUP($B1571,Equipo[DESCRIPCION],Equipo[VALOR],,0),""))</f>
        <v/>
      </c>
      <c r="F1571" s="33"/>
      <c r="G1571" s="34" t="str">
        <f>IFERROR(IF(F1571&gt;=0,D1571*E1571*(1+F1571/100),ABS(D1571*E1571/F1571)),"")</f>
        <v/>
      </c>
      <c r="H1571" s="43" t="str">
        <f>IFERROR(G1571*E1560,"")</f>
        <v/>
      </c>
    </row>
    <row r="1572" spans="1:11" ht="12.75" customHeight="1">
      <c r="A1572" s="21"/>
      <c r="B1572" s="22" t="s">
        <v>2533</v>
      </c>
      <c r="C1572" s="23"/>
      <c r="D1572" s="24"/>
      <c r="E1572" s="25"/>
      <c r="F1572" s="26"/>
      <c r="G1572" s="27">
        <f>SUM(G1573:G1574)</f>
        <v>0</v>
      </c>
      <c r="H1572" s="44">
        <f>G1572*E1560</f>
        <v>0</v>
      </c>
    </row>
    <row r="1573" spans="1:11" ht="12.75" customHeight="1">
      <c r="A1573" s="28"/>
      <c r="B1573" s="29"/>
      <c r="C1573" s="30" t="str">
        <f>IFERROR(_xlfn.XLOOKUP(B1573,Transporte[DESCRIPCION],Transporte[UND],,0),"")</f>
        <v/>
      </c>
      <c r="D1573" s="31"/>
      <c r="E1573" s="32" t="str">
        <f>IFERROR(_xlfn.XLOOKUP($B1573,Transporte[DESCRIPCION],Transporte[VALOR],,0),"")</f>
        <v/>
      </c>
      <c r="F1573" s="33"/>
      <c r="G1573" s="34" t="str">
        <f>IFERROR(IF(F1573&gt;=0,D1573*E1573*(1+F1573/100),ABS(D1573*E1573/F1573)),"")</f>
        <v/>
      </c>
      <c r="H1573" s="43" t="str">
        <f>IFERROR(G1573*E1560,"")</f>
        <v/>
      </c>
    </row>
    <row r="1574" spans="1:11" ht="12.75" customHeight="1">
      <c r="A1574" s="28"/>
      <c r="B1574" s="29"/>
      <c r="C1574" s="30" t="str">
        <f>IFERROR(_xlfn.XLOOKUP(B1574,Transporte[DESCRIPCION],Transporte[UND],,0),"")</f>
        <v/>
      </c>
      <c r="D1574" s="31"/>
      <c r="E1574" s="32" t="str">
        <f>IFERROR(_xlfn.XLOOKUP($B1574,Transporte[DESCRIPCION],Transporte[VALOR],,0),"")</f>
        <v/>
      </c>
      <c r="F1574" s="33"/>
      <c r="G1574" s="34" t="str">
        <f>IFERROR(IF(F1574&gt;=0,D1574*E1574*(1+F1574/100),ABS(D1574*E1574/F1574)),"")</f>
        <v/>
      </c>
      <c r="H1574" s="43" t="str">
        <f>IFERROR(G1574*E1560,"")</f>
        <v/>
      </c>
    </row>
    <row r="1575" spans="1:11" ht="12.75" customHeight="1">
      <c r="A1575" s="21"/>
      <c r="B1575" s="22" t="s">
        <v>3732</v>
      </c>
      <c r="C1575" s="23"/>
      <c r="D1575" s="24"/>
      <c r="E1575" s="25"/>
      <c r="F1575" s="26"/>
      <c r="G1575" s="27">
        <f>SUM(G1576:G1578)</f>
        <v>44912.964413571441</v>
      </c>
      <c r="H1575" s="44">
        <f>G1575*E1560</f>
        <v>0</v>
      </c>
    </row>
    <row r="1576" spans="1:11" ht="12.75" customHeight="1">
      <c r="A1576" s="28"/>
      <c r="B1576" s="29" t="s">
        <v>3710</v>
      </c>
      <c r="C1576" s="30" t="str">
        <f>IFERROR(_xlfn.XLOOKUP(B1576,MObra[DESCRIPCION],MObra[UN],,0),"")</f>
        <v>día</v>
      </c>
      <c r="D1576" s="31">
        <v>1</v>
      </c>
      <c r="E1576" s="32">
        <f>IFERROR(_xlfn.XLOOKUP($B1576,MObra[DESCRIPCION],MObra[VALOR UNIT],,0),"")</f>
        <v>314390.75089500006</v>
      </c>
      <c r="F1576" s="33">
        <v>-7</v>
      </c>
      <c r="G1576" s="34">
        <f>IFERROR(IF(F1576&gt;=0,D1576*E1576*(1+F1576/100),ABS(D1576*E1576/F1576)),"")</f>
        <v>44912.964413571441</v>
      </c>
      <c r="H1576" s="43">
        <f>IFERROR(G1576*E1560,"")</f>
        <v>0</v>
      </c>
    </row>
    <row r="1577" spans="1:11" ht="12.75" customHeight="1">
      <c r="A1577" s="28"/>
      <c r="B1577" s="29"/>
      <c r="C1577" s="30" t="str">
        <f t="array" ref="C1577">IFERROR(_xlfn.XLOOKUP(B1577,MObra[[#All],[DESCRIPCION]],MObra[[#All],[UN]],,0),"")</f>
        <v/>
      </c>
      <c r="D1577" s="31"/>
      <c r="E1577" s="32" t="str">
        <f>IFERROR(_xlfn.XLOOKUP($B1577,MObra[DESCRIPCION],MObra[VALOR UNIT],,0),"")</f>
        <v/>
      </c>
      <c r="F1577" s="33"/>
      <c r="G1577" s="34" t="str">
        <f>IFERROR(IF(F1577&gt;=0,D1577*E1577*(1+F1577/100),ABS(D1577*E1577/F1577)),"")</f>
        <v/>
      </c>
      <c r="H1577" s="43" t="str">
        <f>IFERROR(G1577*E1560,"")</f>
        <v/>
      </c>
    </row>
    <row r="1578" spans="1:11" ht="12.75" customHeight="1" thickBot="1">
      <c r="A1578" s="35"/>
      <c r="B1578" s="36"/>
      <c r="C1578" s="37" t="str">
        <f t="array" ref="C1578">IFERROR(_xlfn.XLOOKUP(B1578,MObra[[#All],[DESCRIPCION]],MObra[[#All],[UN]],,0),"")</f>
        <v/>
      </c>
      <c r="D1578" s="38"/>
      <c r="E1578" s="39" t="str">
        <f>IFERROR(_xlfn.XLOOKUP($B1578,MObra[DESCRIPCION],MObra[VALOR UNIT],,0),"")</f>
        <v/>
      </c>
      <c r="F1578" s="40"/>
      <c r="G1578" s="41" t="str">
        <f>IFERROR(IF(F1578&gt;=0,D1578*E1578*(1+F1578/100),ABS(D1578*E1578/F1578)),"")</f>
        <v/>
      </c>
      <c r="H1578" s="42" t="str">
        <f>IFERROR(G1578*E1560,"")</f>
        <v/>
      </c>
    </row>
    <row r="1579" spans="1:11" ht="12.75" customHeight="1" thickTop="1" thickBot="1"/>
    <row r="1580" spans="1:11" ht="12.75" customHeight="1" thickTop="1" thickBot="1">
      <c r="A1580" s="6" t="s">
        <v>755</v>
      </c>
      <c r="B1580" s="7" t="str">
        <f>VLOOKUP($A1580,Presupuesto!$A:$D,2,FALSE())</f>
        <v>Punto aguas lluvias PVC 4"</v>
      </c>
      <c r="C1580" s="8" t="str">
        <f>VLOOKUP($A1580,Presupuesto!$A:$D,3,FALSE())</f>
        <v>Un</v>
      </c>
      <c r="D1580" s="9"/>
      <c r="E1580" s="10">
        <f>VLOOKUP($A1580,Presupuesto!$A:$D,4,FALSE())</f>
        <v>0</v>
      </c>
      <c r="F1580" s="11" t="s">
        <v>2589</v>
      </c>
      <c r="G1580" s="12">
        <f>SUM(G1582:G1598)/2</f>
        <v>165615.13272150003</v>
      </c>
      <c r="H1580" s="13">
        <f>ROUND(SUM(H1582:H1598),0)/2</f>
        <v>0</v>
      </c>
      <c r="I1580" s="10">
        <f>VLOOKUP(A1580,Presupuesto!$A:$F,6,0)</f>
        <v>0</v>
      </c>
      <c r="J1580" s="10">
        <f>+H1580-I1580</f>
        <v>0</v>
      </c>
      <c r="K1580" s="46">
        <f>+H1580-G1580*E1580</f>
        <v>0</v>
      </c>
    </row>
    <row r="1581" spans="1:11" ht="12.75" customHeight="1" thickTop="1">
      <c r="A1581" s="14"/>
      <c r="B1581" s="15" t="s">
        <v>2586</v>
      </c>
      <c r="C1581" s="15" t="s">
        <v>5</v>
      </c>
      <c r="D1581" s="16" t="s">
        <v>6</v>
      </c>
      <c r="E1581" s="17" t="s">
        <v>7</v>
      </c>
      <c r="F1581" s="18" t="s">
        <v>3728</v>
      </c>
      <c r="G1581" s="19" t="s">
        <v>3729</v>
      </c>
      <c r="H1581" s="20" t="s">
        <v>3797</v>
      </c>
    </row>
    <row r="1582" spans="1:11" ht="12.75" customHeight="1">
      <c r="A1582" s="21"/>
      <c r="B1582" s="22" t="s">
        <v>3730</v>
      </c>
      <c r="C1582" s="23"/>
      <c r="D1582" s="24"/>
      <c r="E1582" s="25"/>
      <c r="F1582" s="26"/>
      <c r="G1582" s="27">
        <f>SUM(G1583:G1587)</f>
        <v>114828.9345</v>
      </c>
      <c r="H1582" s="27">
        <f>IFERROR(G1582*E1580,"")</f>
        <v>0</v>
      </c>
    </row>
    <row r="1583" spans="1:11" ht="12.75" customHeight="1">
      <c r="A1583" s="28"/>
      <c r="B1583" s="29" t="s">
        <v>3510</v>
      </c>
      <c r="C1583" s="30" t="str">
        <f>IFERROR(_xlfn.XLOOKUP(B1583,Insumo[DESCRIPCION],Insumo[UND],,0),"")</f>
        <v>M</v>
      </c>
      <c r="D1583" s="31">
        <v>3</v>
      </c>
      <c r="E1583" s="32">
        <f>IFERROR(_xlfn.XLOOKUP($B1583,Insumo[DESCRIPCION],Insumo[VALOR],,0),"")</f>
        <v>32902.800000000003</v>
      </c>
      <c r="F1583" s="33">
        <v>3</v>
      </c>
      <c r="G1583" s="34">
        <f>IFERROR(IF(F1583&gt;=0,D1583*E1583*(1+F1583/100),ABS(D1583*E1583/F1583)),"")</f>
        <v>101669.65200000002</v>
      </c>
      <c r="H1583" s="43">
        <f>IFERROR(G1583*E1580,"")</f>
        <v>0</v>
      </c>
    </row>
    <row r="1584" spans="1:11" ht="12.75" customHeight="1">
      <c r="A1584" s="28"/>
      <c r="B1584" s="29" t="s">
        <v>2650</v>
      </c>
      <c r="C1584" s="30" t="str">
        <f>IFERROR(_xlfn.XLOOKUP(B1584,Insumo[DESCRIPCION],Insumo[UND],,0),"")</f>
        <v>Un</v>
      </c>
      <c r="D1584" s="31">
        <f>0.15*3</f>
        <v>0.44999999999999996</v>
      </c>
      <c r="E1584" s="32">
        <f>IFERROR(_xlfn.XLOOKUP($B1584,Insumo[DESCRIPCION],Insumo[VALOR],,0),"")</f>
        <v>22253.7</v>
      </c>
      <c r="F1584" s="33"/>
      <c r="G1584" s="34">
        <f>IFERROR(IF(F1584&gt;=0,D1584*E1584*(1+F1584/100),ABS(D1584*E1584/F1584)),"")</f>
        <v>10014.164999999999</v>
      </c>
      <c r="H1584" s="43">
        <f>IFERROR(G1584*E1580,"")</f>
        <v>0</v>
      </c>
    </row>
    <row r="1585" spans="1:11" ht="12.75" customHeight="1">
      <c r="A1585" s="28"/>
      <c r="B1585" s="29" t="s">
        <v>3046</v>
      </c>
      <c r="C1585" s="30" t="str">
        <f>IFERROR(_xlfn.XLOOKUP(B1585,Insumo[DESCRIPCION],Insumo[UND],,0),"")</f>
        <v>Un</v>
      </c>
      <c r="D1585" s="31">
        <v>0.03</v>
      </c>
      <c r="E1585" s="32">
        <f>IFERROR(_xlfn.XLOOKUP($B1585,Insumo[DESCRIPCION],Insumo[VALOR],,0),"")</f>
        <v>62413.05</v>
      </c>
      <c r="F1585" s="33"/>
      <c r="G1585" s="34">
        <f>IFERROR(IF(F1585&gt;=0,D1585*E1585*(1+F1585/100),ABS(D1585*E1585/F1585)),"")</f>
        <v>1872.3915</v>
      </c>
      <c r="H1585" s="43">
        <f>IFERROR(G1585*E1580,"")</f>
        <v>0</v>
      </c>
    </row>
    <row r="1586" spans="1:11" ht="12.75" customHeight="1">
      <c r="A1586" s="28"/>
      <c r="B1586" s="29" t="s">
        <v>3329</v>
      </c>
      <c r="C1586" s="30" t="str">
        <f>IFERROR(_xlfn.XLOOKUP(B1586,Insumo[DESCRIPCION],Insumo[UND],,0),"")</f>
        <v>Un</v>
      </c>
      <c r="D1586" s="31">
        <v>0.03</v>
      </c>
      <c r="E1586" s="32">
        <f>IFERROR(_xlfn.XLOOKUP($B1586,Insumo[DESCRIPCION],Insumo[VALOR],,0),"")</f>
        <v>42424.200000000004</v>
      </c>
      <c r="F1586" s="33"/>
      <c r="G1586" s="34">
        <f>IFERROR(IF(F1586&gt;=0,D1586*E1586*(1+F1586/100),ABS(D1586*E1586/F1586)),"")</f>
        <v>1272.7260000000001</v>
      </c>
      <c r="H1586" s="43">
        <f>IFERROR(G1586*E1580,"")</f>
        <v>0</v>
      </c>
    </row>
    <row r="1587" spans="1:11" ht="12.75" customHeight="1">
      <c r="A1587" s="28"/>
      <c r="B1587" s="29"/>
      <c r="C1587" s="30" t="str">
        <f>IFERROR(_xlfn.XLOOKUP(B1587,Insumo[DESCRIPCION],Insumo[UND],,0),"")</f>
        <v/>
      </c>
      <c r="D1587" s="31"/>
      <c r="E1587" s="32" t="str">
        <f>IFERROR(_xlfn.XLOOKUP($B1587,Insumo[DESCRIPCION],Insumo[VALOR],,0),"")</f>
        <v/>
      </c>
      <c r="F1587" s="33"/>
      <c r="G1587" s="34" t="str">
        <f>IFERROR(IF(F1587&gt;=0,D1587*E1587*(1+F1587/100),ABS(D1587*E1587/F1587)),"")</f>
        <v/>
      </c>
      <c r="H1587" s="43" t="str">
        <f>IFERROR(G1587*E1580,"")</f>
        <v/>
      </c>
    </row>
    <row r="1588" spans="1:11" ht="12.75" customHeight="1">
      <c r="A1588" s="21"/>
      <c r="B1588" s="22" t="s">
        <v>3731</v>
      </c>
      <c r="C1588" s="23"/>
      <c r="D1588" s="24"/>
      <c r="E1588" s="25"/>
      <c r="F1588" s="26"/>
      <c r="G1588" s="27">
        <f>SUM(G1589:G1591)</f>
        <v>2418.3903915000005</v>
      </c>
      <c r="H1588" s="44">
        <f>G1588*E1580</f>
        <v>0</v>
      </c>
    </row>
    <row r="1589" spans="1:11" ht="12.75" customHeight="1">
      <c r="A1589" s="28"/>
      <c r="B1589" s="29" t="s">
        <v>3626</v>
      </c>
      <c r="C1589" s="30" t="str">
        <f>IFERROR(_xlfn.XLOOKUP(B1589,Equipo[DESCRIPCION],Equipo[UND],,0),"")</f>
        <v>%MO</v>
      </c>
      <c r="D1589" s="31">
        <v>0.05</v>
      </c>
      <c r="E1589" s="32">
        <f>IF(C1589="%MO",G1595,IFERROR(_xlfn.XLOOKUP($B1589,Equipo[DESCRIPCION],Equipo[VALOR],,0),""))</f>
        <v>48367.807830000012</v>
      </c>
      <c r="F1589" s="33"/>
      <c r="G1589" s="34">
        <f>IFERROR(IF(F1589&gt;=0,D1589*E1589*(1+F1589/100),ABS(D1589*E1589/F1589)),"")</f>
        <v>2418.3903915000005</v>
      </c>
      <c r="H1589" s="43">
        <f>IFERROR(G1589*E1580,"")</f>
        <v>0</v>
      </c>
    </row>
    <row r="1590" spans="1:11" ht="12.75" customHeight="1">
      <c r="A1590" s="28"/>
      <c r="B1590" s="29"/>
      <c r="C1590" s="30" t="str">
        <f>IFERROR(_xlfn.XLOOKUP(B1590,Equipo[DESCRIPCION],Equipo[UND],,0),"")</f>
        <v/>
      </c>
      <c r="D1590" s="31"/>
      <c r="E1590" s="32" t="str">
        <f>IF(C1590="%MO",G1595,IFERROR(_xlfn.XLOOKUP($B1590,Equipo[DESCRIPCION],Equipo[VALOR],,0),""))</f>
        <v/>
      </c>
      <c r="F1590" s="33"/>
      <c r="G1590" s="34" t="str">
        <f>IFERROR(IF(F1590&gt;=0,D1590*E1590*(1+F1590/100),ABS(D1590*E1590/F1590)),"")</f>
        <v/>
      </c>
      <c r="H1590" s="43" t="str">
        <f>IFERROR(G1590*E1580,"")</f>
        <v/>
      </c>
    </row>
    <row r="1591" spans="1:11" ht="12.75" customHeight="1">
      <c r="A1591" s="28"/>
      <c r="B1591" s="29"/>
      <c r="C1591" s="30" t="str">
        <f>IFERROR(_xlfn.XLOOKUP(B1591,Equipo[DESCRIPCION],Equipo[UND],,0),"")</f>
        <v/>
      </c>
      <c r="D1591" s="31"/>
      <c r="E1591" s="32" t="str">
        <f>IF(C1591="%MO",G1595,IFERROR(_xlfn.XLOOKUP($B1591,Equipo[DESCRIPCION],Equipo[VALOR],,0),""))</f>
        <v/>
      </c>
      <c r="F1591" s="33"/>
      <c r="G1591" s="34" t="str">
        <f>IFERROR(IF(F1591&gt;=0,D1591*E1591*(1+F1591/100),ABS(D1591*E1591/F1591)),"")</f>
        <v/>
      </c>
      <c r="H1591" s="43" t="str">
        <f>IFERROR(G1591*E1580,"")</f>
        <v/>
      </c>
    </row>
    <row r="1592" spans="1:11" ht="12.75" customHeight="1">
      <c r="A1592" s="21"/>
      <c r="B1592" s="22" t="s">
        <v>2533</v>
      </c>
      <c r="C1592" s="23"/>
      <c r="D1592" s="24"/>
      <c r="E1592" s="25"/>
      <c r="F1592" s="26"/>
      <c r="G1592" s="27">
        <f>SUM(G1593:G1594)</f>
        <v>0</v>
      </c>
      <c r="H1592" s="44">
        <f>G1592*E1580</f>
        <v>0</v>
      </c>
    </row>
    <row r="1593" spans="1:11" ht="12.75" customHeight="1">
      <c r="A1593" s="28"/>
      <c r="B1593" s="29"/>
      <c r="C1593" s="30" t="str">
        <f>IFERROR(_xlfn.XLOOKUP(B1593,Transporte[DESCRIPCION],Transporte[UND],,0),"")</f>
        <v/>
      </c>
      <c r="D1593" s="31"/>
      <c r="E1593" s="32" t="str">
        <f>IFERROR(_xlfn.XLOOKUP($B1593,Transporte[DESCRIPCION],Transporte[VALOR],,0),"")</f>
        <v/>
      </c>
      <c r="F1593" s="33"/>
      <c r="G1593" s="34" t="str">
        <f>IFERROR(IF(F1593&gt;=0,D1593*E1593*(1+F1593/100),ABS(D1593*E1593/F1593)),"")</f>
        <v/>
      </c>
      <c r="H1593" s="43" t="str">
        <f>IFERROR(G1593*E1580,"")</f>
        <v/>
      </c>
    </row>
    <row r="1594" spans="1:11" ht="12.75" customHeight="1">
      <c r="A1594" s="28"/>
      <c r="B1594" s="29"/>
      <c r="C1594" s="30" t="str">
        <f>IFERROR(_xlfn.XLOOKUP(B1594,Transporte[DESCRIPCION],Transporte[UND],,0),"")</f>
        <v/>
      </c>
      <c r="D1594" s="31"/>
      <c r="E1594" s="32" t="str">
        <f>IFERROR(_xlfn.XLOOKUP($B1594,Transporte[DESCRIPCION],Transporte[VALOR],,0),"")</f>
        <v/>
      </c>
      <c r="F1594" s="33"/>
      <c r="G1594" s="34" t="str">
        <f>IFERROR(IF(F1594&gt;=0,D1594*E1594*(1+F1594/100),ABS(D1594*E1594/F1594)),"")</f>
        <v/>
      </c>
      <c r="H1594" s="43" t="str">
        <f>IFERROR(G1594*E1580,"")</f>
        <v/>
      </c>
    </row>
    <row r="1595" spans="1:11" ht="12.75" customHeight="1">
      <c r="A1595" s="21"/>
      <c r="B1595" s="22" t="s">
        <v>3732</v>
      </c>
      <c r="C1595" s="23"/>
      <c r="D1595" s="24"/>
      <c r="E1595" s="25"/>
      <c r="F1595" s="26"/>
      <c r="G1595" s="27">
        <f>SUM(G1596:G1598)</f>
        <v>48367.807830000012</v>
      </c>
      <c r="H1595" s="44">
        <f>G1595*E1580</f>
        <v>0</v>
      </c>
    </row>
    <row r="1596" spans="1:11" ht="12.75" customHeight="1">
      <c r="A1596" s="28"/>
      <c r="B1596" s="29" t="s">
        <v>3710</v>
      </c>
      <c r="C1596" s="30" t="str">
        <f>IFERROR(_xlfn.XLOOKUP(B1596,MObra[DESCRIPCION],MObra[UN],,0),"")</f>
        <v>día</v>
      </c>
      <c r="D1596" s="31">
        <v>1</v>
      </c>
      <c r="E1596" s="32">
        <f>IFERROR(_xlfn.XLOOKUP($B1596,MObra[DESCRIPCION],MObra[VALOR UNIT],,0),"")</f>
        <v>314390.75089500006</v>
      </c>
      <c r="F1596" s="33">
        <v>-6.5</v>
      </c>
      <c r="G1596" s="34">
        <f>IFERROR(IF(F1596&gt;=0,D1596*E1596*(1+F1596/100),ABS(D1596*E1596/F1596)),"")</f>
        <v>48367.807830000012</v>
      </c>
      <c r="H1596" s="43">
        <f>IFERROR(G1596*E1580,"")</f>
        <v>0</v>
      </c>
    </row>
    <row r="1597" spans="1:11" ht="12.75" customHeight="1">
      <c r="A1597" s="28"/>
      <c r="B1597" s="29"/>
      <c r="C1597" s="30" t="str">
        <f t="array" ref="C1597">IFERROR(_xlfn.XLOOKUP(B1597,MObra[[#All],[DESCRIPCION]],MObra[[#All],[UN]],,0),"")</f>
        <v/>
      </c>
      <c r="D1597" s="31"/>
      <c r="E1597" s="32" t="str">
        <f>IFERROR(_xlfn.XLOOKUP($B1597,MObra[DESCRIPCION],MObra[VALOR UNIT],,0),"")</f>
        <v/>
      </c>
      <c r="F1597" s="33"/>
      <c r="G1597" s="34" t="str">
        <f>IFERROR(IF(F1597&gt;=0,D1597*E1597*(1+F1597/100),ABS(D1597*E1597/F1597)),"")</f>
        <v/>
      </c>
      <c r="H1597" s="43" t="str">
        <f>IFERROR(G1597*E1580,"")</f>
        <v/>
      </c>
    </row>
    <row r="1598" spans="1:11" ht="12.75" customHeight="1" thickBot="1">
      <c r="A1598" s="35"/>
      <c r="B1598" s="36"/>
      <c r="C1598" s="37" t="str">
        <f t="array" ref="C1598">IFERROR(_xlfn.XLOOKUP(B1598,MObra[[#All],[DESCRIPCION]],MObra[[#All],[UN]],,0),"")</f>
        <v/>
      </c>
      <c r="D1598" s="38"/>
      <c r="E1598" s="39" t="str">
        <f>IFERROR(_xlfn.XLOOKUP($B1598,MObra[DESCRIPCION],MObra[VALOR UNIT],,0),"")</f>
        <v/>
      </c>
      <c r="F1598" s="40"/>
      <c r="G1598" s="41" t="str">
        <f>IFERROR(IF(F1598&gt;=0,D1598*E1598*(1+F1598/100),ABS(D1598*E1598/F1598)),"")</f>
        <v/>
      </c>
      <c r="H1598" s="42" t="str">
        <f>IFERROR(G1598*E1580,"")</f>
        <v/>
      </c>
    </row>
    <row r="1599" spans="1:11" ht="12.75" customHeight="1" thickTop="1" thickBot="1"/>
    <row r="1600" spans="1:11" ht="12.75" customHeight="1" thickTop="1" thickBot="1">
      <c r="A1600" s="6" t="s">
        <v>757</v>
      </c>
      <c r="B1600" s="7" t="str">
        <f>VLOOKUP($A1600,Presupuesto!$A:$D,2,FALSE())</f>
        <v>Punto hidráulico CPVC 1/2"</v>
      </c>
      <c r="C1600" s="8" t="str">
        <f>VLOOKUP($A1600,Presupuesto!$A:$D,3,FALSE())</f>
        <v>Un</v>
      </c>
      <c r="D1600" s="9"/>
      <c r="E1600" s="10">
        <f>VLOOKUP($A1600,Presupuesto!$A:$D,4,FALSE())</f>
        <v>0</v>
      </c>
      <c r="F1600" s="11" t="s">
        <v>2589</v>
      </c>
      <c r="G1600" s="12">
        <f>SUM(G1602:G1618)/2</f>
        <v>65425.252634250006</v>
      </c>
      <c r="H1600" s="13">
        <f>ROUND(SUM(H1602:H1618),0)/2</f>
        <v>0</v>
      </c>
      <c r="I1600" s="10">
        <f>VLOOKUP(A1600,Presupuesto!$A:$F,6,0)</f>
        <v>0</v>
      </c>
      <c r="J1600" s="10">
        <f>+H1600-I1600</f>
        <v>0</v>
      </c>
      <c r="K1600" s="46">
        <f>+H1600-G1600*E1600</f>
        <v>0</v>
      </c>
    </row>
    <row r="1601" spans="1:8" ht="12.75" customHeight="1" thickTop="1">
      <c r="A1601" s="14"/>
      <c r="B1601" s="15" t="s">
        <v>2586</v>
      </c>
      <c r="C1601" s="15" t="s">
        <v>5</v>
      </c>
      <c r="D1601" s="16" t="s">
        <v>6</v>
      </c>
      <c r="E1601" s="17" t="s">
        <v>7</v>
      </c>
      <c r="F1601" s="18" t="s">
        <v>3728</v>
      </c>
      <c r="G1601" s="19" t="s">
        <v>3729</v>
      </c>
      <c r="H1601" s="20" t="s">
        <v>3797</v>
      </c>
    </row>
    <row r="1602" spans="1:8" ht="12.75" customHeight="1">
      <c r="A1602" s="21"/>
      <c r="B1602" s="22" t="s">
        <v>3730</v>
      </c>
      <c r="C1602" s="23"/>
      <c r="D1602" s="24"/>
      <c r="E1602" s="25"/>
      <c r="F1602" s="26"/>
      <c r="G1602" s="27">
        <f>SUM(G1603:G1607)</f>
        <v>18266.64</v>
      </c>
      <c r="H1602" s="27">
        <f>IFERROR(G1602*E1600,"")</f>
        <v>0</v>
      </c>
    </row>
    <row r="1603" spans="1:8" ht="12.75" customHeight="1">
      <c r="A1603" s="28"/>
      <c r="B1603" s="29" t="s">
        <v>3439</v>
      </c>
      <c r="C1603" s="30" t="str">
        <f>IFERROR(_xlfn.XLOOKUP(B1603,Insumo[DESCRIPCION],Insumo[UND],,0),"")</f>
        <v>M</v>
      </c>
      <c r="D1603" s="31">
        <v>3</v>
      </c>
      <c r="E1603" s="32">
        <f>IFERROR(_xlfn.XLOOKUP($B1603,Insumo[DESCRIPCION],Insumo[VALOR],,0),"")</f>
        <v>4725</v>
      </c>
      <c r="F1603" s="33">
        <v>3</v>
      </c>
      <c r="G1603" s="34">
        <f>IFERROR(IF(F1603&gt;=0,D1603*E1603*(1+F1603/100),ABS(D1603*E1603/F1603)),"")</f>
        <v>14600.25</v>
      </c>
      <c r="H1603" s="43">
        <f>IFERROR(G1603*E1600,"")</f>
        <v>0</v>
      </c>
    </row>
    <row r="1604" spans="1:8" ht="12.75" customHeight="1">
      <c r="A1604" s="28"/>
      <c r="B1604" s="29" t="s">
        <v>2625</v>
      </c>
      <c r="C1604" s="30" t="str">
        <f>IFERROR(_xlfn.XLOOKUP(B1604,Insumo[DESCRIPCION],Insumo[UND],,0),"")</f>
        <v>Un</v>
      </c>
      <c r="D1604" s="31">
        <f>0.15*3</f>
        <v>0.44999999999999996</v>
      </c>
      <c r="E1604" s="32">
        <f>IFERROR(_xlfn.XLOOKUP($B1604,Insumo[DESCRIPCION],Insumo[VALOR],,0),"")</f>
        <v>3488.1000000000004</v>
      </c>
      <c r="F1604" s="33"/>
      <c r="G1604" s="34">
        <f>IFERROR(IF(F1604&gt;=0,D1604*E1604*(1+F1604/100),ABS(D1604*E1604/F1604)),"")</f>
        <v>1569.645</v>
      </c>
      <c r="H1604" s="43">
        <f>IFERROR(G1604*E1600,"")</f>
        <v>0</v>
      </c>
    </row>
    <row r="1605" spans="1:8" ht="12.75" customHeight="1">
      <c r="A1605" s="28"/>
      <c r="B1605" s="29" t="s">
        <v>3046</v>
      </c>
      <c r="C1605" s="30" t="str">
        <f>IFERROR(_xlfn.XLOOKUP(B1605,Insumo[DESCRIPCION],Insumo[UND],,0),"")</f>
        <v>Un</v>
      </c>
      <c r="D1605" s="31">
        <v>0.02</v>
      </c>
      <c r="E1605" s="32">
        <f>IFERROR(_xlfn.XLOOKUP($B1605,Insumo[DESCRIPCION],Insumo[VALOR],,0),"")</f>
        <v>62413.05</v>
      </c>
      <c r="F1605" s="33"/>
      <c r="G1605" s="34">
        <f>IFERROR(IF(F1605&gt;=0,D1605*E1605*(1+F1605/100),ABS(D1605*E1605/F1605)),"")</f>
        <v>1248.2610000000002</v>
      </c>
      <c r="H1605" s="43">
        <f>IFERROR(G1605*E1600,"")</f>
        <v>0</v>
      </c>
    </row>
    <row r="1606" spans="1:8" ht="12.75" customHeight="1">
      <c r="A1606" s="28"/>
      <c r="B1606" s="29" t="s">
        <v>3329</v>
      </c>
      <c r="C1606" s="30" t="str">
        <f>IFERROR(_xlfn.XLOOKUP(B1606,Insumo[DESCRIPCION],Insumo[UND],,0),"")</f>
        <v>Un</v>
      </c>
      <c r="D1606" s="31">
        <v>0.02</v>
      </c>
      <c r="E1606" s="32">
        <f>IFERROR(_xlfn.XLOOKUP($B1606,Insumo[DESCRIPCION],Insumo[VALOR],,0),"")</f>
        <v>42424.200000000004</v>
      </c>
      <c r="F1606" s="33"/>
      <c r="G1606" s="34">
        <f>IFERROR(IF(F1606&gt;=0,D1606*E1606*(1+F1606/100),ABS(D1606*E1606/F1606)),"")</f>
        <v>848.48400000000015</v>
      </c>
      <c r="H1606" s="43">
        <f>IFERROR(G1606*E1600,"")</f>
        <v>0</v>
      </c>
    </row>
    <row r="1607" spans="1:8" ht="12.75" customHeight="1">
      <c r="A1607" s="28"/>
      <c r="B1607" s="29"/>
      <c r="C1607" s="30" t="str">
        <f>IFERROR(_xlfn.XLOOKUP(B1607,Insumo[DESCRIPCION],Insumo[UND],,0),"")</f>
        <v/>
      </c>
      <c r="D1607" s="31"/>
      <c r="E1607" s="32" t="str">
        <f>IFERROR(_xlfn.XLOOKUP($B1607,Insumo[DESCRIPCION],Insumo[VALOR],,0),"")</f>
        <v/>
      </c>
      <c r="F1607" s="33"/>
      <c r="G1607" s="34" t="str">
        <f>IFERROR(IF(F1607&gt;=0,D1607*E1607*(1+F1607/100),ABS(D1607*E1607/F1607)),"")</f>
        <v/>
      </c>
      <c r="H1607" s="43" t="str">
        <f>IFERROR(G1607*E1600,"")</f>
        <v/>
      </c>
    </row>
    <row r="1608" spans="1:8" ht="12.75" customHeight="1">
      <c r="A1608" s="21"/>
      <c r="B1608" s="22" t="s">
        <v>3731</v>
      </c>
      <c r="C1608" s="23"/>
      <c r="D1608" s="24"/>
      <c r="E1608" s="25"/>
      <c r="F1608" s="26"/>
      <c r="G1608" s="27">
        <f>SUM(G1609:G1611)</f>
        <v>2245.6482206785722</v>
      </c>
      <c r="H1608" s="44">
        <f>G1608*E1600</f>
        <v>0</v>
      </c>
    </row>
    <row r="1609" spans="1:8" ht="12.75" customHeight="1">
      <c r="A1609" s="28"/>
      <c r="B1609" s="29" t="s">
        <v>3626</v>
      </c>
      <c r="C1609" s="30" t="str">
        <f>IFERROR(_xlfn.XLOOKUP(B1609,Equipo[DESCRIPCION],Equipo[UND],,0),"")</f>
        <v>%MO</v>
      </c>
      <c r="D1609" s="31">
        <v>0.05</v>
      </c>
      <c r="E1609" s="32">
        <f>IF(C1609="%MO",G1615,IFERROR(_xlfn.XLOOKUP($B1609,Equipo[DESCRIPCION],Equipo[VALOR],,0),""))</f>
        <v>44912.964413571441</v>
      </c>
      <c r="F1609" s="33"/>
      <c r="G1609" s="34">
        <f>IFERROR(IF(F1609&gt;=0,D1609*E1609*(1+F1609/100),ABS(D1609*E1609/F1609)),"")</f>
        <v>2245.6482206785722</v>
      </c>
      <c r="H1609" s="43">
        <f>IFERROR(G1609*E1600,"")</f>
        <v>0</v>
      </c>
    </row>
    <row r="1610" spans="1:8" ht="12.75" customHeight="1">
      <c r="A1610" s="28"/>
      <c r="B1610" s="29"/>
      <c r="C1610" s="30" t="str">
        <f>IFERROR(_xlfn.XLOOKUP(B1610,Equipo[DESCRIPCION],Equipo[UND],,0),"")</f>
        <v/>
      </c>
      <c r="D1610" s="31"/>
      <c r="E1610" s="32" t="str">
        <f>IF(C1610="%MO",G1615,IFERROR(_xlfn.XLOOKUP($B1610,Equipo[DESCRIPCION],Equipo[VALOR],,0),""))</f>
        <v/>
      </c>
      <c r="F1610" s="33"/>
      <c r="G1610" s="34" t="str">
        <f>IFERROR(IF(F1610&gt;=0,D1610*E1610*(1+F1610/100),ABS(D1610*E1610/F1610)),"")</f>
        <v/>
      </c>
      <c r="H1610" s="43" t="str">
        <f>IFERROR(G1610*E1600,"")</f>
        <v/>
      </c>
    </row>
    <row r="1611" spans="1:8" ht="12.75" customHeight="1">
      <c r="A1611" s="28"/>
      <c r="B1611" s="29"/>
      <c r="C1611" s="30" t="str">
        <f>IFERROR(_xlfn.XLOOKUP(B1611,Equipo[DESCRIPCION],Equipo[UND],,0),"")</f>
        <v/>
      </c>
      <c r="D1611" s="31"/>
      <c r="E1611" s="32" t="str">
        <f>IF(C1611="%MO",G1615,IFERROR(_xlfn.XLOOKUP($B1611,Equipo[DESCRIPCION],Equipo[VALOR],,0),""))</f>
        <v/>
      </c>
      <c r="F1611" s="33"/>
      <c r="G1611" s="34" t="str">
        <f>IFERROR(IF(F1611&gt;=0,D1611*E1611*(1+F1611/100),ABS(D1611*E1611/F1611)),"")</f>
        <v/>
      </c>
      <c r="H1611" s="43" t="str">
        <f>IFERROR(G1611*E1600,"")</f>
        <v/>
      </c>
    </row>
    <row r="1612" spans="1:8" ht="12.75" customHeight="1">
      <c r="A1612" s="21"/>
      <c r="B1612" s="22" t="s">
        <v>2533</v>
      </c>
      <c r="C1612" s="23"/>
      <c r="D1612" s="24"/>
      <c r="E1612" s="25"/>
      <c r="F1612" s="26"/>
      <c r="G1612" s="27">
        <f>SUM(G1613:G1614)</f>
        <v>0</v>
      </c>
      <c r="H1612" s="44">
        <f>G1612*E1600</f>
        <v>0</v>
      </c>
    </row>
    <row r="1613" spans="1:8" ht="12.75" customHeight="1">
      <c r="A1613" s="28"/>
      <c r="B1613" s="29"/>
      <c r="C1613" s="30" t="str">
        <f>IFERROR(_xlfn.XLOOKUP(B1613,Transporte[DESCRIPCION],Transporte[UND],,0),"")</f>
        <v/>
      </c>
      <c r="D1613" s="31"/>
      <c r="E1613" s="32" t="str">
        <f>IFERROR(_xlfn.XLOOKUP($B1613,Transporte[DESCRIPCION],Transporte[VALOR],,0),"")</f>
        <v/>
      </c>
      <c r="F1613" s="33"/>
      <c r="G1613" s="34" t="str">
        <f>IFERROR(IF(F1613&gt;=0,D1613*E1613*(1+F1613/100),ABS(D1613*E1613/F1613)),"")</f>
        <v/>
      </c>
      <c r="H1613" s="43" t="str">
        <f>IFERROR(G1613*E1600,"")</f>
        <v/>
      </c>
    </row>
    <row r="1614" spans="1:8" ht="12.75" customHeight="1">
      <c r="A1614" s="28"/>
      <c r="B1614" s="29"/>
      <c r="C1614" s="30" t="str">
        <f>IFERROR(_xlfn.XLOOKUP(B1614,Transporte[DESCRIPCION],Transporte[UND],,0),"")</f>
        <v/>
      </c>
      <c r="D1614" s="31"/>
      <c r="E1614" s="32" t="str">
        <f>IFERROR(_xlfn.XLOOKUP($B1614,Transporte[DESCRIPCION],Transporte[VALOR],,0),"")</f>
        <v/>
      </c>
      <c r="F1614" s="33"/>
      <c r="G1614" s="34" t="str">
        <f>IFERROR(IF(F1614&gt;=0,D1614*E1614*(1+F1614/100),ABS(D1614*E1614/F1614)),"")</f>
        <v/>
      </c>
      <c r="H1614" s="43" t="str">
        <f>IFERROR(G1614*E1600,"")</f>
        <v/>
      </c>
    </row>
    <row r="1615" spans="1:8" ht="12.75" customHeight="1">
      <c r="A1615" s="21"/>
      <c r="B1615" s="22" t="s">
        <v>3732</v>
      </c>
      <c r="C1615" s="23"/>
      <c r="D1615" s="24"/>
      <c r="E1615" s="25"/>
      <c r="F1615" s="26"/>
      <c r="G1615" s="27">
        <f>SUM(G1616:G1618)</f>
        <v>44912.964413571441</v>
      </c>
      <c r="H1615" s="44">
        <f>G1615*E1600</f>
        <v>0</v>
      </c>
    </row>
    <row r="1616" spans="1:8" ht="12.75" customHeight="1">
      <c r="A1616" s="28"/>
      <c r="B1616" s="29" t="s">
        <v>3710</v>
      </c>
      <c r="C1616" s="30" t="str">
        <f>IFERROR(_xlfn.XLOOKUP(B1616,MObra[DESCRIPCION],MObra[UN],,0),"")</f>
        <v>día</v>
      </c>
      <c r="D1616" s="31">
        <v>1</v>
      </c>
      <c r="E1616" s="32">
        <f>IFERROR(_xlfn.XLOOKUP($B1616,MObra[DESCRIPCION],MObra[VALOR UNIT],,0),"")</f>
        <v>314390.75089500006</v>
      </c>
      <c r="F1616" s="33">
        <v>-7</v>
      </c>
      <c r="G1616" s="34">
        <f>IFERROR(IF(F1616&gt;=0,D1616*E1616*(1+F1616/100),ABS(D1616*E1616/F1616)),"")</f>
        <v>44912.964413571441</v>
      </c>
      <c r="H1616" s="43">
        <f>IFERROR(G1616*E1600,"")</f>
        <v>0</v>
      </c>
    </row>
    <row r="1617" spans="1:11" ht="12.75" customHeight="1">
      <c r="A1617" s="28"/>
      <c r="B1617" s="29"/>
      <c r="C1617" s="30" t="str">
        <f t="array" ref="C1617">IFERROR(_xlfn.XLOOKUP(B1617,MObra[[#All],[DESCRIPCION]],MObra[[#All],[UN]],,0),"")</f>
        <v/>
      </c>
      <c r="D1617" s="31"/>
      <c r="E1617" s="32" t="str">
        <f>IFERROR(_xlfn.XLOOKUP($B1617,MObra[DESCRIPCION],MObra[VALOR UNIT],,0),"")</f>
        <v/>
      </c>
      <c r="F1617" s="33"/>
      <c r="G1617" s="34" t="str">
        <f>IFERROR(IF(F1617&gt;=0,D1617*E1617*(1+F1617/100),ABS(D1617*E1617/F1617)),"")</f>
        <v/>
      </c>
      <c r="H1617" s="43" t="str">
        <f>IFERROR(G1617*E1600,"")</f>
        <v/>
      </c>
    </row>
    <row r="1618" spans="1:11" ht="12.75" customHeight="1" thickBot="1">
      <c r="A1618" s="35"/>
      <c r="B1618" s="36"/>
      <c r="C1618" s="37" t="str">
        <f t="array" ref="C1618">IFERROR(_xlfn.XLOOKUP(B1618,MObra[[#All],[DESCRIPCION]],MObra[[#All],[UN]],,0),"")</f>
        <v/>
      </c>
      <c r="D1618" s="38"/>
      <c r="E1618" s="39" t="str">
        <f>IFERROR(_xlfn.XLOOKUP($B1618,MObra[DESCRIPCION],MObra[VALOR UNIT],,0),"")</f>
        <v/>
      </c>
      <c r="F1618" s="40"/>
      <c r="G1618" s="41" t="str">
        <f>IFERROR(IF(F1618&gt;=0,D1618*E1618*(1+F1618/100),ABS(D1618*E1618/F1618)),"")</f>
        <v/>
      </c>
      <c r="H1618" s="42" t="str">
        <f>IFERROR(G1618*E1600,"")</f>
        <v/>
      </c>
    </row>
    <row r="1619" spans="1:11" ht="12.75" customHeight="1" thickTop="1" thickBot="1"/>
    <row r="1620" spans="1:11" ht="12.75" customHeight="1" thickTop="1" thickBot="1">
      <c r="A1620" s="6" t="s">
        <v>759</v>
      </c>
      <c r="B1620" s="7" t="str">
        <f>VLOOKUP($A1620,Presupuesto!$A:$D,2,FALSE())</f>
        <v>Punto hidráulico CPVC 3/4"</v>
      </c>
      <c r="C1620" s="8" t="str">
        <f>VLOOKUP($A1620,Presupuesto!$A:$D,3,FALSE())</f>
        <v>Un</v>
      </c>
      <c r="D1620" s="9"/>
      <c r="E1620" s="10">
        <f>VLOOKUP($A1620,Presupuesto!$A:$D,4,FALSE())</f>
        <v>0</v>
      </c>
      <c r="F1620" s="11" t="s">
        <v>2589</v>
      </c>
      <c r="G1620" s="12">
        <f>SUM(G1622:G1638)/2</f>
        <v>81337.050721499996</v>
      </c>
      <c r="H1620" s="13">
        <f>ROUND(SUM(H1622:H1638),0)/2</f>
        <v>0</v>
      </c>
      <c r="I1620" s="10">
        <f>VLOOKUP(A1620,Presupuesto!$A:$F,6,0)</f>
        <v>0</v>
      </c>
      <c r="J1620" s="10">
        <f>+H1620-I1620</f>
        <v>0</v>
      </c>
      <c r="K1620" s="46">
        <f>+H1620-G1620*E1620</f>
        <v>0</v>
      </c>
    </row>
    <row r="1621" spans="1:11" ht="12.75" customHeight="1" thickTop="1">
      <c r="A1621" s="14"/>
      <c r="B1621" s="15" t="s">
        <v>2586</v>
      </c>
      <c r="C1621" s="15" t="s">
        <v>5</v>
      </c>
      <c r="D1621" s="16" t="s">
        <v>6</v>
      </c>
      <c r="E1621" s="17" t="s">
        <v>7</v>
      </c>
      <c r="F1621" s="18" t="s">
        <v>3728</v>
      </c>
      <c r="G1621" s="19" t="s">
        <v>3729</v>
      </c>
      <c r="H1621" s="20" t="s">
        <v>3797</v>
      </c>
    </row>
    <row r="1622" spans="1:11" ht="12.75" customHeight="1">
      <c r="A1622" s="21"/>
      <c r="B1622" s="22" t="s">
        <v>3730</v>
      </c>
      <c r="C1622" s="23"/>
      <c r="D1622" s="24"/>
      <c r="E1622" s="25"/>
      <c r="F1622" s="26"/>
      <c r="G1622" s="27">
        <f>SUM(G1623:G1627)</f>
        <v>30550.852499999997</v>
      </c>
      <c r="H1622" s="27">
        <f>IFERROR(G1622*E1620,"")</f>
        <v>0</v>
      </c>
    </row>
    <row r="1623" spans="1:11" ht="12.75" customHeight="1">
      <c r="A1623" s="28"/>
      <c r="B1623" s="29" t="s">
        <v>3440</v>
      </c>
      <c r="C1623" s="30" t="str">
        <f>IFERROR(_xlfn.XLOOKUP(B1623,Insumo[DESCRIPCION],Insumo[UND],,0),"")</f>
        <v>M</v>
      </c>
      <c r="D1623" s="31">
        <v>3</v>
      </c>
      <c r="E1623" s="32">
        <f>IFERROR(_xlfn.XLOOKUP($B1623,Insumo[DESCRIPCION],Insumo[VALOR],,0),"")</f>
        <v>8400</v>
      </c>
      <c r="F1623" s="33">
        <v>3</v>
      </c>
      <c r="G1623" s="34">
        <f>IFERROR(IF(F1623&gt;=0,D1623*E1623*(1+F1623/100),ABS(D1623*E1623/F1623)),"")</f>
        <v>25956</v>
      </c>
      <c r="H1623" s="43">
        <f>IFERROR(G1623*E1620,"")</f>
        <v>0</v>
      </c>
    </row>
    <row r="1624" spans="1:11" ht="12.75" customHeight="1">
      <c r="A1624" s="28"/>
      <c r="B1624" s="29" t="s">
        <v>2626</v>
      </c>
      <c r="C1624" s="30" t="str">
        <f>IFERROR(_xlfn.XLOOKUP(B1624,Insumo[DESCRIPCION],Insumo[UND],,0),"")</f>
        <v>Un</v>
      </c>
      <c r="D1624" s="31">
        <f>0.15*3</f>
        <v>0.44999999999999996</v>
      </c>
      <c r="E1624" s="32">
        <f>IFERROR(_xlfn.XLOOKUP($B1624,Insumo[DESCRIPCION],Insumo[VALOR],,0),"")</f>
        <v>5551.35</v>
      </c>
      <c r="F1624" s="33"/>
      <c r="G1624" s="34">
        <f>IFERROR(IF(F1624&gt;=0,D1624*E1624*(1+F1624/100),ABS(D1624*E1624/F1624)),"")</f>
        <v>2498.1075000000001</v>
      </c>
      <c r="H1624" s="43">
        <f>IFERROR(G1624*E1620,"")</f>
        <v>0</v>
      </c>
    </row>
    <row r="1625" spans="1:11" ht="12.75" customHeight="1">
      <c r="A1625" s="28"/>
      <c r="B1625" s="29" t="s">
        <v>3046</v>
      </c>
      <c r="C1625" s="30" t="str">
        <f>IFERROR(_xlfn.XLOOKUP(B1625,Insumo[DESCRIPCION],Insumo[UND],,0),"")</f>
        <v>Un</v>
      </c>
      <c r="D1625" s="31">
        <v>0.02</v>
      </c>
      <c r="E1625" s="32">
        <f>IFERROR(_xlfn.XLOOKUP($B1625,Insumo[DESCRIPCION],Insumo[VALOR],,0),"")</f>
        <v>62413.05</v>
      </c>
      <c r="F1625" s="33"/>
      <c r="G1625" s="34">
        <f>IFERROR(IF(F1625&gt;=0,D1625*E1625*(1+F1625/100),ABS(D1625*E1625/F1625)),"")</f>
        <v>1248.2610000000002</v>
      </c>
      <c r="H1625" s="43">
        <f>IFERROR(G1625*E1620,"")</f>
        <v>0</v>
      </c>
    </row>
    <row r="1626" spans="1:11" ht="12.75" customHeight="1">
      <c r="A1626" s="28"/>
      <c r="B1626" s="29" t="s">
        <v>3329</v>
      </c>
      <c r="C1626" s="30" t="str">
        <f>IFERROR(_xlfn.XLOOKUP(B1626,Insumo[DESCRIPCION],Insumo[UND],,0),"")</f>
        <v>Un</v>
      </c>
      <c r="D1626" s="31">
        <v>0.02</v>
      </c>
      <c r="E1626" s="32">
        <f>IFERROR(_xlfn.XLOOKUP($B1626,Insumo[DESCRIPCION],Insumo[VALOR],,0),"")</f>
        <v>42424.200000000004</v>
      </c>
      <c r="F1626" s="33"/>
      <c r="G1626" s="34">
        <f>IFERROR(IF(F1626&gt;=0,D1626*E1626*(1+F1626/100),ABS(D1626*E1626/F1626)),"")</f>
        <v>848.48400000000015</v>
      </c>
      <c r="H1626" s="43">
        <f>IFERROR(G1626*E1620,"")</f>
        <v>0</v>
      </c>
    </row>
    <row r="1627" spans="1:11" ht="12.75" customHeight="1">
      <c r="A1627" s="28"/>
      <c r="B1627" s="29"/>
      <c r="C1627" s="30" t="str">
        <f>IFERROR(_xlfn.XLOOKUP(B1627,Insumo[DESCRIPCION],Insumo[UND],,0),"")</f>
        <v/>
      </c>
      <c r="D1627" s="31"/>
      <c r="E1627" s="32" t="str">
        <f>IFERROR(_xlfn.XLOOKUP($B1627,Insumo[DESCRIPCION],Insumo[VALOR],,0),"")</f>
        <v/>
      </c>
      <c r="F1627" s="33"/>
      <c r="G1627" s="34" t="str">
        <f>IFERROR(IF(F1627&gt;=0,D1627*E1627*(1+F1627/100),ABS(D1627*E1627/F1627)),"")</f>
        <v/>
      </c>
      <c r="H1627" s="43" t="str">
        <f>IFERROR(G1627*E1620,"")</f>
        <v/>
      </c>
    </row>
    <row r="1628" spans="1:11" ht="12.75" customHeight="1">
      <c r="A1628" s="21"/>
      <c r="B1628" s="22" t="s">
        <v>3731</v>
      </c>
      <c r="C1628" s="23"/>
      <c r="D1628" s="24"/>
      <c r="E1628" s="25"/>
      <c r="F1628" s="26"/>
      <c r="G1628" s="27">
        <f>SUM(G1629:G1631)</f>
        <v>2418.3903915000005</v>
      </c>
      <c r="H1628" s="44">
        <f>G1628*E1620</f>
        <v>0</v>
      </c>
    </row>
    <row r="1629" spans="1:11" ht="12.75" customHeight="1">
      <c r="A1629" s="28"/>
      <c r="B1629" s="29" t="s">
        <v>3626</v>
      </c>
      <c r="C1629" s="30" t="str">
        <f>IFERROR(_xlfn.XLOOKUP(B1629,Equipo[DESCRIPCION],Equipo[UND],,0),"")</f>
        <v>%MO</v>
      </c>
      <c r="D1629" s="31">
        <v>0.05</v>
      </c>
      <c r="E1629" s="32">
        <f>IF(C1629="%MO",G1635,IFERROR(_xlfn.XLOOKUP($B1629,Equipo[DESCRIPCION],Equipo[VALOR],,0),""))</f>
        <v>48367.807830000012</v>
      </c>
      <c r="F1629" s="33"/>
      <c r="G1629" s="34">
        <f>IFERROR(IF(F1629&gt;=0,D1629*E1629*(1+F1629/100),ABS(D1629*E1629/F1629)),"")</f>
        <v>2418.3903915000005</v>
      </c>
      <c r="H1629" s="43">
        <f>IFERROR(G1629*E1620,"")</f>
        <v>0</v>
      </c>
    </row>
    <row r="1630" spans="1:11" ht="12.75" customHeight="1">
      <c r="A1630" s="28"/>
      <c r="B1630" s="29"/>
      <c r="C1630" s="30" t="str">
        <f>IFERROR(_xlfn.XLOOKUP(B1630,Equipo[DESCRIPCION],Equipo[UND],,0),"")</f>
        <v/>
      </c>
      <c r="D1630" s="31"/>
      <c r="E1630" s="32" t="str">
        <f>IF(C1630="%MO",G1635,IFERROR(_xlfn.XLOOKUP($B1630,Equipo[DESCRIPCION],Equipo[VALOR],,0),""))</f>
        <v/>
      </c>
      <c r="F1630" s="33"/>
      <c r="G1630" s="34" t="str">
        <f>IFERROR(IF(F1630&gt;=0,D1630*E1630*(1+F1630/100),ABS(D1630*E1630/F1630)),"")</f>
        <v/>
      </c>
      <c r="H1630" s="43" t="str">
        <f>IFERROR(G1630*E1620,"")</f>
        <v/>
      </c>
    </row>
    <row r="1631" spans="1:11" ht="12.75" customHeight="1">
      <c r="A1631" s="28"/>
      <c r="B1631" s="29"/>
      <c r="C1631" s="30" t="str">
        <f>IFERROR(_xlfn.XLOOKUP(B1631,Equipo[DESCRIPCION],Equipo[UND],,0),"")</f>
        <v/>
      </c>
      <c r="D1631" s="31"/>
      <c r="E1631" s="32" t="str">
        <f>IF(C1631="%MO",G1635,IFERROR(_xlfn.XLOOKUP($B1631,Equipo[DESCRIPCION],Equipo[VALOR],,0),""))</f>
        <v/>
      </c>
      <c r="F1631" s="33"/>
      <c r="G1631" s="34" t="str">
        <f>IFERROR(IF(F1631&gt;=0,D1631*E1631*(1+F1631/100),ABS(D1631*E1631/F1631)),"")</f>
        <v/>
      </c>
      <c r="H1631" s="43" t="str">
        <f>IFERROR(G1631*E1620,"")</f>
        <v/>
      </c>
    </row>
    <row r="1632" spans="1:11" ht="12.75" customHeight="1">
      <c r="A1632" s="21"/>
      <c r="B1632" s="22" t="s">
        <v>2533</v>
      </c>
      <c r="C1632" s="23"/>
      <c r="D1632" s="24"/>
      <c r="E1632" s="25"/>
      <c r="F1632" s="26"/>
      <c r="G1632" s="27">
        <f>SUM(G1633:G1634)</f>
        <v>0</v>
      </c>
      <c r="H1632" s="44">
        <f>G1632*E1620</f>
        <v>0</v>
      </c>
    </row>
    <row r="1633" spans="1:11" ht="12.75" customHeight="1">
      <c r="A1633" s="28"/>
      <c r="B1633" s="29"/>
      <c r="C1633" s="30" t="str">
        <f>IFERROR(_xlfn.XLOOKUP(B1633,Transporte[DESCRIPCION],Transporte[UND],,0),"")</f>
        <v/>
      </c>
      <c r="D1633" s="31"/>
      <c r="E1633" s="32" t="str">
        <f>IFERROR(_xlfn.XLOOKUP($B1633,Transporte[DESCRIPCION],Transporte[VALOR],,0),"")</f>
        <v/>
      </c>
      <c r="F1633" s="33"/>
      <c r="G1633" s="34" t="str">
        <f>IFERROR(IF(F1633&gt;=0,D1633*E1633*(1+F1633/100),ABS(D1633*E1633/F1633)),"")</f>
        <v/>
      </c>
      <c r="H1633" s="43" t="str">
        <f>IFERROR(G1633*E1620,"")</f>
        <v/>
      </c>
    </row>
    <row r="1634" spans="1:11" ht="12.75" customHeight="1">
      <c r="A1634" s="28"/>
      <c r="B1634" s="29"/>
      <c r="C1634" s="30" t="str">
        <f>IFERROR(_xlfn.XLOOKUP(B1634,Transporte[DESCRIPCION],Transporte[UND],,0),"")</f>
        <v/>
      </c>
      <c r="D1634" s="31"/>
      <c r="E1634" s="32" t="str">
        <f>IFERROR(_xlfn.XLOOKUP($B1634,Transporte[DESCRIPCION],Transporte[VALOR],,0),"")</f>
        <v/>
      </c>
      <c r="F1634" s="33"/>
      <c r="G1634" s="34" t="str">
        <f>IFERROR(IF(F1634&gt;=0,D1634*E1634*(1+F1634/100),ABS(D1634*E1634/F1634)),"")</f>
        <v/>
      </c>
      <c r="H1634" s="43" t="str">
        <f>IFERROR(G1634*E1620,"")</f>
        <v/>
      </c>
    </row>
    <row r="1635" spans="1:11" ht="12.75" customHeight="1">
      <c r="A1635" s="21"/>
      <c r="B1635" s="22" t="s">
        <v>3732</v>
      </c>
      <c r="C1635" s="23"/>
      <c r="D1635" s="24"/>
      <c r="E1635" s="25"/>
      <c r="F1635" s="26"/>
      <c r="G1635" s="27">
        <f>SUM(G1636:G1638)</f>
        <v>48367.807830000012</v>
      </c>
      <c r="H1635" s="44">
        <f>G1635*E1620</f>
        <v>0</v>
      </c>
    </row>
    <row r="1636" spans="1:11" ht="12.75" customHeight="1">
      <c r="A1636" s="28"/>
      <c r="B1636" s="29" t="s">
        <v>3710</v>
      </c>
      <c r="C1636" s="30" t="str">
        <f>IFERROR(_xlfn.XLOOKUP(B1636,MObra[DESCRIPCION],MObra[UN],,0),"")</f>
        <v>día</v>
      </c>
      <c r="D1636" s="31">
        <v>1</v>
      </c>
      <c r="E1636" s="32">
        <f>IFERROR(_xlfn.XLOOKUP($B1636,MObra[DESCRIPCION],MObra[VALOR UNIT],,0),"")</f>
        <v>314390.75089500006</v>
      </c>
      <c r="F1636" s="33">
        <v>-6.5</v>
      </c>
      <c r="G1636" s="34">
        <f>IFERROR(IF(F1636&gt;=0,D1636*E1636*(1+F1636/100),ABS(D1636*E1636/F1636)),"")</f>
        <v>48367.807830000012</v>
      </c>
      <c r="H1636" s="43">
        <f>IFERROR(G1636*E1620,"")</f>
        <v>0</v>
      </c>
    </row>
    <row r="1637" spans="1:11" ht="12.75" customHeight="1">
      <c r="A1637" s="28"/>
      <c r="B1637" s="29"/>
      <c r="C1637" s="30" t="str">
        <f t="array" ref="C1637">IFERROR(_xlfn.XLOOKUP(B1637,MObra[[#All],[DESCRIPCION]],MObra[[#All],[UN]],,0),"")</f>
        <v/>
      </c>
      <c r="D1637" s="31"/>
      <c r="E1637" s="32" t="str">
        <f>IFERROR(_xlfn.XLOOKUP($B1637,MObra[DESCRIPCION],MObra[VALOR UNIT],,0),"")</f>
        <v/>
      </c>
      <c r="F1637" s="33"/>
      <c r="G1637" s="34" t="str">
        <f>IFERROR(IF(F1637&gt;=0,D1637*E1637*(1+F1637/100),ABS(D1637*E1637/F1637)),"")</f>
        <v/>
      </c>
      <c r="H1637" s="43" t="str">
        <f>IFERROR(G1637*E1620,"")</f>
        <v/>
      </c>
    </row>
    <row r="1638" spans="1:11" ht="12.75" customHeight="1" thickBot="1">
      <c r="A1638" s="35"/>
      <c r="B1638" s="36"/>
      <c r="C1638" s="37" t="str">
        <f t="array" ref="C1638">IFERROR(_xlfn.XLOOKUP(B1638,MObra[[#All],[DESCRIPCION]],MObra[[#All],[UN]],,0),"")</f>
        <v/>
      </c>
      <c r="D1638" s="38"/>
      <c r="E1638" s="39" t="str">
        <f>IFERROR(_xlfn.XLOOKUP($B1638,MObra[DESCRIPCION],MObra[VALOR UNIT],,0),"")</f>
        <v/>
      </c>
      <c r="F1638" s="40"/>
      <c r="G1638" s="41" t="str">
        <f>IFERROR(IF(F1638&gt;=0,D1638*E1638*(1+F1638/100),ABS(D1638*E1638/F1638)),"")</f>
        <v/>
      </c>
      <c r="H1638" s="42" t="str">
        <f>IFERROR(G1638*E1620,"")</f>
        <v/>
      </c>
    </row>
    <row r="1639" spans="1:11" ht="12.75" customHeight="1" thickTop="1" thickBot="1"/>
    <row r="1640" spans="1:11" ht="12.75" customHeight="1" thickTop="1" thickBot="1">
      <c r="A1640" s="6" t="s">
        <v>761</v>
      </c>
      <c r="B1640" s="7" t="str">
        <f>VLOOKUP($A1640,Presupuesto!$A:$D,2,FALSE())</f>
        <v>Punto hidráulico CPVC 1"</v>
      </c>
      <c r="C1640" s="8" t="str">
        <f>VLOOKUP($A1640,Presupuesto!$A:$D,3,FALSE())</f>
        <v>Un</v>
      </c>
      <c r="D1640" s="9"/>
      <c r="E1640" s="10">
        <f>VLOOKUP($A1640,Presupuesto!$A:$D,4,FALSE())</f>
        <v>0</v>
      </c>
      <c r="F1640" s="11" t="s">
        <v>2589</v>
      </c>
      <c r="G1640" s="12">
        <f>SUM(G1642:G1658)/2</f>
        <v>134904.37572150002</v>
      </c>
      <c r="H1640" s="13">
        <f>ROUND(SUM(H1642:H1658),0)/2</f>
        <v>0</v>
      </c>
      <c r="I1640" s="10">
        <f>VLOOKUP(A1640,Presupuesto!$A:$F,6,0)</f>
        <v>0</v>
      </c>
      <c r="J1640" s="10">
        <f>+H1640-I1640</f>
        <v>0</v>
      </c>
      <c r="K1640" s="46">
        <f>+H1640-G1640*E1640</f>
        <v>0</v>
      </c>
    </row>
    <row r="1641" spans="1:11" ht="12.75" customHeight="1" thickTop="1">
      <c r="A1641" s="14"/>
      <c r="B1641" s="15" t="s">
        <v>2586</v>
      </c>
      <c r="C1641" s="15" t="s">
        <v>5</v>
      </c>
      <c r="D1641" s="16" t="s">
        <v>6</v>
      </c>
      <c r="E1641" s="17" t="s">
        <v>7</v>
      </c>
      <c r="F1641" s="18" t="s">
        <v>3728</v>
      </c>
      <c r="G1641" s="19" t="s">
        <v>3729</v>
      </c>
      <c r="H1641" s="20" t="s">
        <v>3797</v>
      </c>
    </row>
    <row r="1642" spans="1:11" ht="12.75" customHeight="1">
      <c r="A1642" s="21"/>
      <c r="B1642" s="22" t="s">
        <v>3730</v>
      </c>
      <c r="C1642" s="23"/>
      <c r="D1642" s="24"/>
      <c r="E1642" s="25"/>
      <c r="F1642" s="26"/>
      <c r="G1642" s="27">
        <f>SUM(G1643:G1647)</f>
        <v>84118.177500000005</v>
      </c>
      <c r="H1642" s="27">
        <f>IFERROR(G1642*E1640,"")</f>
        <v>0</v>
      </c>
    </row>
    <row r="1643" spans="1:11" ht="12.75" customHeight="1">
      <c r="A1643" s="28"/>
      <c r="B1643" s="29" t="s">
        <v>3438</v>
      </c>
      <c r="C1643" s="30" t="str">
        <f>IFERROR(_xlfn.XLOOKUP(B1643,Insumo[DESCRIPCION],Insumo[UND],,0),"")</f>
        <v>M</v>
      </c>
      <c r="D1643" s="31">
        <v>3</v>
      </c>
      <c r="E1643" s="32">
        <f>IFERROR(_xlfn.XLOOKUP($B1643,Insumo[DESCRIPCION],Insumo[VALOR],,0),"")</f>
        <v>21315</v>
      </c>
      <c r="F1643" s="33">
        <v>3</v>
      </c>
      <c r="G1643" s="34">
        <f>IFERROR(IF(F1643&gt;=0,D1643*E1643*(1+F1643/100),ABS(D1643*E1643/F1643)),"")</f>
        <v>65863.350000000006</v>
      </c>
      <c r="H1643" s="43">
        <f>IFERROR(G1643*E1640,"")</f>
        <v>0</v>
      </c>
    </row>
    <row r="1644" spans="1:11" ht="12.75" customHeight="1">
      <c r="A1644" s="28"/>
      <c r="B1644" s="29" t="s">
        <v>2624</v>
      </c>
      <c r="C1644" s="30" t="str">
        <f>IFERROR(_xlfn.XLOOKUP(B1644,Insumo[DESCRIPCION],Insumo[UND],,0),"")</f>
        <v>Un</v>
      </c>
      <c r="D1644" s="31">
        <f>0.15*3</f>
        <v>0.44999999999999996</v>
      </c>
      <c r="E1644" s="32">
        <f>IFERROR(_xlfn.XLOOKUP($B1644,Insumo[DESCRIPCION],Insumo[VALOR],,0),"")</f>
        <v>35906.85</v>
      </c>
      <c r="F1644" s="33"/>
      <c r="G1644" s="34">
        <f>IFERROR(IF(F1644&gt;=0,D1644*E1644*(1+F1644/100),ABS(D1644*E1644/F1644)),"")</f>
        <v>16158.082499999999</v>
      </c>
      <c r="H1644" s="43">
        <f>IFERROR(G1644*E1640,"")</f>
        <v>0</v>
      </c>
    </row>
    <row r="1645" spans="1:11" ht="12.75" customHeight="1">
      <c r="A1645" s="28"/>
      <c r="B1645" s="29" t="s">
        <v>3046</v>
      </c>
      <c r="C1645" s="30" t="str">
        <f>IFERROR(_xlfn.XLOOKUP(B1645,Insumo[DESCRIPCION],Insumo[UND],,0),"")</f>
        <v>Un</v>
      </c>
      <c r="D1645" s="31">
        <v>0.02</v>
      </c>
      <c r="E1645" s="32">
        <f>IFERROR(_xlfn.XLOOKUP($B1645,Insumo[DESCRIPCION],Insumo[VALOR],,0),"")</f>
        <v>62413.05</v>
      </c>
      <c r="F1645" s="33"/>
      <c r="G1645" s="34">
        <f>IFERROR(IF(F1645&gt;=0,D1645*E1645*(1+F1645/100),ABS(D1645*E1645/F1645)),"")</f>
        <v>1248.2610000000002</v>
      </c>
      <c r="H1645" s="43">
        <f>IFERROR(G1645*E1640,"")</f>
        <v>0</v>
      </c>
    </row>
    <row r="1646" spans="1:11" ht="12.75" customHeight="1">
      <c r="A1646" s="28"/>
      <c r="B1646" s="29" t="s">
        <v>3329</v>
      </c>
      <c r="C1646" s="30" t="str">
        <f>IFERROR(_xlfn.XLOOKUP(B1646,Insumo[DESCRIPCION],Insumo[UND],,0),"")</f>
        <v>Un</v>
      </c>
      <c r="D1646" s="31">
        <v>0.02</v>
      </c>
      <c r="E1646" s="32">
        <f>IFERROR(_xlfn.XLOOKUP($B1646,Insumo[DESCRIPCION],Insumo[VALOR],,0),"")</f>
        <v>42424.200000000004</v>
      </c>
      <c r="F1646" s="33"/>
      <c r="G1646" s="34">
        <f>IFERROR(IF(F1646&gt;=0,D1646*E1646*(1+F1646/100),ABS(D1646*E1646/F1646)),"")</f>
        <v>848.48400000000015</v>
      </c>
      <c r="H1646" s="43">
        <f>IFERROR(G1646*E1640,"")</f>
        <v>0</v>
      </c>
    </row>
    <row r="1647" spans="1:11" ht="12.75" customHeight="1">
      <c r="A1647" s="28"/>
      <c r="B1647" s="29"/>
      <c r="C1647" s="30" t="str">
        <f>IFERROR(_xlfn.XLOOKUP(B1647,Insumo[DESCRIPCION],Insumo[UND],,0),"")</f>
        <v/>
      </c>
      <c r="D1647" s="31"/>
      <c r="E1647" s="32" t="str">
        <f>IFERROR(_xlfn.XLOOKUP($B1647,Insumo[DESCRIPCION],Insumo[VALOR],,0),"")</f>
        <v/>
      </c>
      <c r="F1647" s="33"/>
      <c r="G1647" s="34" t="str">
        <f>IFERROR(IF(F1647&gt;=0,D1647*E1647*(1+F1647/100),ABS(D1647*E1647/F1647)),"")</f>
        <v/>
      </c>
      <c r="H1647" s="43" t="str">
        <f>IFERROR(G1647*E1640,"")</f>
        <v/>
      </c>
    </row>
    <row r="1648" spans="1:11" ht="12.75" customHeight="1">
      <c r="A1648" s="21"/>
      <c r="B1648" s="22" t="s">
        <v>3731</v>
      </c>
      <c r="C1648" s="23"/>
      <c r="D1648" s="24"/>
      <c r="E1648" s="25"/>
      <c r="F1648" s="26"/>
      <c r="G1648" s="27">
        <f>SUM(G1649:G1651)</f>
        <v>2418.3903915000005</v>
      </c>
      <c r="H1648" s="44">
        <f>G1648*E1640</f>
        <v>0</v>
      </c>
    </row>
    <row r="1649" spans="1:11" ht="12.75" customHeight="1">
      <c r="A1649" s="28"/>
      <c r="B1649" s="29" t="s">
        <v>3626</v>
      </c>
      <c r="C1649" s="30" t="str">
        <f>IFERROR(_xlfn.XLOOKUP(B1649,Equipo[DESCRIPCION],Equipo[UND],,0),"")</f>
        <v>%MO</v>
      </c>
      <c r="D1649" s="31">
        <v>0.05</v>
      </c>
      <c r="E1649" s="32">
        <f>IF(C1649="%MO",G1655,IFERROR(_xlfn.XLOOKUP($B1649,Equipo[DESCRIPCION],Equipo[VALOR],,0),""))</f>
        <v>48367.807830000012</v>
      </c>
      <c r="F1649" s="33"/>
      <c r="G1649" s="34">
        <f>IFERROR(IF(F1649&gt;=0,D1649*E1649*(1+F1649/100),ABS(D1649*E1649/F1649)),"")</f>
        <v>2418.3903915000005</v>
      </c>
      <c r="H1649" s="43">
        <f>IFERROR(G1649*E1640,"")</f>
        <v>0</v>
      </c>
    </row>
    <row r="1650" spans="1:11" ht="12.75" customHeight="1">
      <c r="A1650" s="28"/>
      <c r="B1650" s="29"/>
      <c r="C1650" s="30" t="str">
        <f>IFERROR(_xlfn.XLOOKUP(B1650,Equipo[DESCRIPCION],Equipo[UND],,0),"")</f>
        <v/>
      </c>
      <c r="D1650" s="31"/>
      <c r="E1650" s="32" t="str">
        <f>IF(C1650="%MO",G1655,IFERROR(_xlfn.XLOOKUP($B1650,Equipo[DESCRIPCION],Equipo[VALOR],,0),""))</f>
        <v/>
      </c>
      <c r="F1650" s="33"/>
      <c r="G1650" s="34" t="str">
        <f>IFERROR(IF(F1650&gt;=0,D1650*E1650*(1+F1650/100),ABS(D1650*E1650/F1650)),"")</f>
        <v/>
      </c>
      <c r="H1650" s="43" t="str">
        <f>IFERROR(G1650*E1640,"")</f>
        <v/>
      </c>
    </row>
    <row r="1651" spans="1:11" ht="12.75" customHeight="1">
      <c r="A1651" s="28"/>
      <c r="B1651" s="29"/>
      <c r="C1651" s="30" t="str">
        <f>IFERROR(_xlfn.XLOOKUP(B1651,Equipo[DESCRIPCION],Equipo[UND],,0),"")</f>
        <v/>
      </c>
      <c r="D1651" s="31"/>
      <c r="E1651" s="32" t="str">
        <f>IF(C1651="%MO",G1655,IFERROR(_xlfn.XLOOKUP($B1651,Equipo[DESCRIPCION],Equipo[VALOR],,0),""))</f>
        <v/>
      </c>
      <c r="F1651" s="33"/>
      <c r="G1651" s="34" t="str">
        <f>IFERROR(IF(F1651&gt;=0,D1651*E1651*(1+F1651/100),ABS(D1651*E1651/F1651)),"")</f>
        <v/>
      </c>
      <c r="H1651" s="43" t="str">
        <f>IFERROR(G1651*E1640,"")</f>
        <v/>
      </c>
    </row>
    <row r="1652" spans="1:11" ht="12.75" customHeight="1">
      <c r="A1652" s="21"/>
      <c r="B1652" s="22" t="s">
        <v>2533</v>
      </c>
      <c r="C1652" s="23"/>
      <c r="D1652" s="24"/>
      <c r="E1652" s="25"/>
      <c r="F1652" s="26"/>
      <c r="G1652" s="27">
        <f>SUM(G1653:G1654)</f>
        <v>0</v>
      </c>
      <c r="H1652" s="44">
        <f>G1652*E1640</f>
        <v>0</v>
      </c>
    </row>
    <row r="1653" spans="1:11" ht="12.75" customHeight="1">
      <c r="A1653" s="28"/>
      <c r="B1653" s="29"/>
      <c r="C1653" s="30" t="str">
        <f>IFERROR(_xlfn.XLOOKUP(B1653,Transporte[DESCRIPCION],Transporte[UND],,0),"")</f>
        <v/>
      </c>
      <c r="D1653" s="31"/>
      <c r="E1653" s="32" t="str">
        <f>IFERROR(_xlfn.XLOOKUP($B1653,Transporte[DESCRIPCION],Transporte[VALOR],,0),"")</f>
        <v/>
      </c>
      <c r="F1653" s="33"/>
      <c r="G1653" s="34" t="str">
        <f>IFERROR(IF(F1653&gt;=0,D1653*E1653*(1+F1653/100),ABS(D1653*E1653/F1653)),"")</f>
        <v/>
      </c>
      <c r="H1653" s="43" t="str">
        <f>IFERROR(G1653*E1640,"")</f>
        <v/>
      </c>
    </row>
    <row r="1654" spans="1:11" ht="12.75" customHeight="1">
      <c r="A1654" s="28"/>
      <c r="B1654" s="29"/>
      <c r="C1654" s="30" t="str">
        <f>IFERROR(_xlfn.XLOOKUP(B1654,Transporte[DESCRIPCION],Transporte[UND],,0),"")</f>
        <v/>
      </c>
      <c r="D1654" s="31"/>
      <c r="E1654" s="32" t="str">
        <f>IFERROR(_xlfn.XLOOKUP($B1654,Transporte[DESCRIPCION],Transporte[VALOR],,0),"")</f>
        <v/>
      </c>
      <c r="F1654" s="33"/>
      <c r="G1654" s="34" t="str">
        <f>IFERROR(IF(F1654&gt;=0,D1654*E1654*(1+F1654/100),ABS(D1654*E1654/F1654)),"")</f>
        <v/>
      </c>
      <c r="H1654" s="43" t="str">
        <f>IFERROR(G1654*E1640,"")</f>
        <v/>
      </c>
    </row>
    <row r="1655" spans="1:11" ht="12.75" customHeight="1">
      <c r="A1655" s="21"/>
      <c r="B1655" s="22" t="s">
        <v>3732</v>
      </c>
      <c r="C1655" s="23"/>
      <c r="D1655" s="24"/>
      <c r="E1655" s="25"/>
      <c r="F1655" s="26"/>
      <c r="G1655" s="27">
        <f>SUM(G1656:G1658)</f>
        <v>48367.807830000012</v>
      </c>
      <c r="H1655" s="44">
        <f>G1655*E1640</f>
        <v>0</v>
      </c>
    </row>
    <row r="1656" spans="1:11" ht="12.75" customHeight="1">
      <c r="A1656" s="28"/>
      <c r="B1656" s="29" t="s">
        <v>3710</v>
      </c>
      <c r="C1656" s="30" t="str">
        <f>IFERROR(_xlfn.XLOOKUP(B1656,MObra[DESCRIPCION],MObra[UN],,0),"")</f>
        <v>día</v>
      </c>
      <c r="D1656" s="31">
        <v>1</v>
      </c>
      <c r="E1656" s="32">
        <f>IFERROR(_xlfn.XLOOKUP($B1656,MObra[DESCRIPCION],MObra[VALOR UNIT],,0),"")</f>
        <v>314390.75089500006</v>
      </c>
      <c r="F1656" s="33">
        <v>-6.5</v>
      </c>
      <c r="G1656" s="34">
        <f>IFERROR(IF(F1656&gt;=0,D1656*E1656*(1+F1656/100),ABS(D1656*E1656/F1656)),"")</f>
        <v>48367.807830000012</v>
      </c>
      <c r="H1656" s="43">
        <f>IFERROR(G1656*E1640,"")</f>
        <v>0</v>
      </c>
    </row>
    <row r="1657" spans="1:11" ht="12.75" customHeight="1">
      <c r="A1657" s="28"/>
      <c r="B1657" s="29"/>
      <c r="C1657" s="30" t="str">
        <f t="array" ref="C1657">IFERROR(_xlfn.XLOOKUP(B1657,MObra[[#All],[DESCRIPCION]],MObra[[#All],[UN]],,0),"")</f>
        <v/>
      </c>
      <c r="D1657" s="31"/>
      <c r="E1657" s="32" t="str">
        <f>IFERROR(_xlfn.XLOOKUP($B1657,MObra[DESCRIPCION],MObra[VALOR UNIT],,0),"")</f>
        <v/>
      </c>
      <c r="F1657" s="33"/>
      <c r="G1657" s="34" t="str">
        <f>IFERROR(IF(F1657&gt;=0,D1657*E1657*(1+F1657/100),ABS(D1657*E1657/F1657)),"")</f>
        <v/>
      </c>
      <c r="H1657" s="43" t="str">
        <f>IFERROR(G1657*E1640,"")</f>
        <v/>
      </c>
    </row>
    <row r="1658" spans="1:11" ht="12.75" customHeight="1" thickBot="1">
      <c r="A1658" s="35"/>
      <c r="B1658" s="36"/>
      <c r="C1658" s="37" t="str">
        <f t="array" ref="C1658">IFERROR(_xlfn.XLOOKUP(B1658,MObra[[#All],[DESCRIPCION]],MObra[[#All],[UN]],,0),"")</f>
        <v/>
      </c>
      <c r="D1658" s="38"/>
      <c r="E1658" s="39" t="str">
        <f>IFERROR(_xlfn.XLOOKUP($B1658,MObra[DESCRIPCION],MObra[VALOR UNIT],,0),"")</f>
        <v/>
      </c>
      <c r="F1658" s="40"/>
      <c r="G1658" s="41" t="str">
        <f>IFERROR(IF(F1658&gt;=0,D1658*E1658*(1+F1658/100),ABS(D1658*E1658/F1658)),"")</f>
        <v/>
      </c>
      <c r="H1658" s="42" t="str">
        <f>IFERROR(G1658*E1640,"")</f>
        <v/>
      </c>
    </row>
    <row r="1659" spans="1:11" ht="12.75" customHeight="1" thickTop="1" thickBot="1"/>
    <row r="1660" spans="1:11" ht="12.75" customHeight="1" thickTop="1" thickBot="1">
      <c r="A1660" s="6" t="s">
        <v>763</v>
      </c>
      <c r="B1660" s="7" t="str">
        <f>VLOOKUP($A1660,Presupuesto!$A:$D,2,FALSE())</f>
        <v>Punto hidráulico PVC 1/2"</v>
      </c>
      <c r="C1660" s="8" t="str">
        <f>VLOOKUP($A1660,Presupuesto!$A:$D,3,FALSE())</f>
        <v>Un</v>
      </c>
      <c r="D1660" s="9"/>
      <c r="E1660" s="10">
        <f>VLOOKUP($A1660,Presupuesto!$A:$D,4,FALSE())</f>
        <v>0</v>
      </c>
      <c r="F1660" s="11" t="s">
        <v>2589</v>
      </c>
      <c r="G1660" s="12">
        <f>SUM(G1662:G1678)/2</f>
        <v>64249.735634250013</v>
      </c>
      <c r="H1660" s="13">
        <f>ROUND(SUM(H1662:H1678),0)/2</f>
        <v>0</v>
      </c>
      <c r="I1660" s="10">
        <f>VLOOKUP(A1660,Presupuesto!$A:$F,6,0)</f>
        <v>0</v>
      </c>
      <c r="J1660" s="10">
        <f>+H1660-I1660</f>
        <v>0</v>
      </c>
      <c r="K1660" s="46">
        <f>+H1660-G1660*E1660</f>
        <v>0</v>
      </c>
    </row>
    <row r="1661" spans="1:11" ht="12.75" customHeight="1" thickTop="1">
      <c r="A1661" s="14"/>
      <c r="B1661" s="15" t="s">
        <v>2586</v>
      </c>
      <c r="C1661" s="15" t="s">
        <v>5</v>
      </c>
      <c r="D1661" s="16" t="s">
        <v>6</v>
      </c>
      <c r="E1661" s="17" t="s">
        <v>7</v>
      </c>
      <c r="F1661" s="18" t="s">
        <v>3728</v>
      </c>
      <c r="G1661" s="19" t="s">
        <v>3729</v>
      </c>
      <c r="H1661" s="20" t="s">
        <v>3797</v>
      </c>
    </row>
    <row r="1662" spans="1:11" ht="12.75" customHeight="1">
      <c r="A1662" s="21"/>
      <c r="B1662" s="22" t="s">
        <v>3730</v>
      </c>
      <c r="C1662" s="23"/>
      <c r="D1662" s="24"/>
      <c r="E1662" s="25"/>
      <c r="F1662" s="26"/>
      <c r="G1662" s="27">
        <f>SUM(G1663:G1667)</f>
        <v>17091.123</v>
      </c>
      <c r="H1662" s="27">
        <f>IFERROR(G1662*E1660,"")</f>
        <v>0</v>
      </c>
    </row>
    <row r="1663" spans="1:11" ht="12.75" customHeight="1">
      <c r="A1663" s="28"/>
      <c r="B1663" s="29" t="s">
        <v>3495</v>
      </c>
      <c r="C1663" s="30" t="str">
        <f>IFERROR(_xlfn.XLOOKUP(B1663,Insumo[DESCRIPCION],Insumo[UND],,0),"")</f>
        <v>M</v>
      </c>
      <c r="D1663" s="31">
        <v>3</v>
      </c>
      <c r="E1663" s="32">
        <f>IFERROR(_xlfn.XLOOKUP($B1663,Insumo[DESCRIPCION],Insumo[VALOR],,0),"")</f>
        <v>4645.2</v>
      </c>
      <c r="F1663" s="33">
        <v>3</v>
      </c>
      <c r="G1663" s="34">
        <f>IFERROR(IF(F1663&gt;=0,D1663*E1663*(1+F1663/100),ABS(D1663*E1663/F1663)),"")</f>
        <v>14353.668</v>
      </c>
      <c r="H1663" s="43">
        <f>IFERROR(G1663*E1660,"")</f>
        <v>0</v>
      </c>
    </row>
    <row r="1664" spans="1:11" ht="12.75" customHeight="1">
      <c r="A1664" s="28"/>
      <c r="B1664" s="29" t="s">
        <v>2640</v>
      </c>
      <c r="C1664" s="30" t="str">
        <f>IFERROR(_xlfn.XLOOKUP(B1664,Insumo[DESCRIPCION],Insumo[UND],,0),"")</f>
        <v>Un</v>
      </c>
      <c r="D1664" s="31">
        <f>0.15*3</f>
        <v>0.44999999999999996</v>
      </c>
      <c r="E1664" s="32">
        <f>IFERROR(_xlfn.XLOOKUP($B1664,Insumo[DESCRIPCION],Insumo[VALOR],,0),"")</f>
        <v>1423.8</v>
      </c>
      <c r="F1664" s="33"/>
      <c r="G1664" s="34">
        <f>IFERROR(IF(F1664&gt;=0,D1664*E1664*(1+F1664/100),ABS(D1664*E1664/F1664)),"")</f>
        <v>640.70999999999992</v>
      </c>
      <c r="H1664" s="43">
        <f>IFERROR(G1664*E1660,"")</f>
        <v>0</v>
      </c>
    </row>
    <row r="1665" spans="1:11" ht="12.75" customHeight="1">
      <c r="A1665" s="28"/>
      <c r="B1665" s="29" t="s">
        <v>3046</v>
      </c>
      <c r="C1665" s="30" t="str">
        <f>IFERROR(_xlfn.XLOOKUP(B1665,Insumo[DESCRIPCION],Insumo[UND],,0),"")</f>
        <v>Un</v>
      </c>
      <c r="D1665" s="31">
        <v>0.02</v>
      </c>
      <c r="E1665" s="32">
        <f>IFERROR(_xlfn.XLOOKUP($B1665,Insumo[DESCRIPCION],Insumo[VALOR],,0),"")</f>
        <v>62413.05</v>
      </c>
      <c r="F1665" s="33"/>
      <c r="G1665" s="34">
        <f>IFERROR(IF(F1665&gt;=0,D1665*E1665*(1+F1665/100),ABS(D1665*E1665/F1665)),"")</f>
        <v>1248.2610000000002</v>
      </c>
      <c r="H1665" s="43">
        <f>IFERROR(G1665*E1660,"")</f>
        <v>0</v>
      </c>
    </row>
    <row r="1666" spans="1:11" ht="12.75" customHeight="1">
      <c r="A1666" s="28"/>
      <c r="B1666" s="29" t="s">
        <v>3329</v>
      </c>
      <c r="C1666" s="30" t="str">
        <f>IFERROR(_xlfn.XLOOKUP(B1666,Insumo[DESCRIPCION],Insumo[UND],,0),"")</f>
        <v>Un</v>
      </c>
      <c r="D1666" s="31">
        <v>0.02</v>
      </c>
      <c r="E1666" s="32">
        <f>IFERROR(_xlfn.XLOOKUP($B1666,Insumo[DESCRIPCION],Insumo[VALOR],,0),"")</f>
        <v>42424.200000000004</v>
      </c>
      <c r="F1666" s="33"/>
      <c r="G1666" s="34">
        <f>IFERROR(IF(F1666&gt;=0,D1666*E1666*(1+F1666/100),ABS(D1666*E1666/F1666)),"")</f>
        <v>848.48400000000015</v>
      </c>
      <c r="H1666" s="43">
        <f>IFERROR(G1666*E1660,"")</f>
        <v>0</v>
      </c>
    </row>
    <row r="1667" spans="1:11" ht="12.75" customHeight="1">
      <c r="A1667" s="28"/>
      <c r="B1667" s="29"/>
      <c r="C1667" s="30" t="str">
        <f>IFERROR(_xlfn.XLOOKUP(B1667,Insumo[DESCRIPCION],Insumo[UND],,0),"")</f>
        <v/>
      </c>
      <c r="D1667" s="31"/>
      <c r="E1667" s="32" t="str">
        <f>IFERROR(_xlfn.XLOOKUP($B1667,Insumo[DESCRIPCION],Insumo[VALOR],,0),"")</f>
        <v/>
      </c>
      <c r="F1667" s="33"/>
      <c r="G1667" s="34" t="str">
        <f>IFERROR(IF(F1667&gt;=0,D1667*E1667*(1+F1667/100),ABS(D1667*E1667/F1667)),"")</f>
        <v/>
      </c>
      <c r="H1667" s="43" t="str">
        <f>IFERROR(G1667*E1660,"")</f>
        <v/>
      </c>
    </row>
    <row r="1668" spans="1:11" ht="12.75" customHeight="1">
      <c r="A1668" s="21"/>
      <c r="B1668" s="22" t="s">
        <v>3731</v>
      </c>
      <c r="C1668" s="23"/>
      <c r="D1668" s="24"/>
      <c r="E1668" s="25"/>
      <c r="F1668" s="26"/>
      <c r="G1668" s="27">
        <f>SUM(G1669:G1671)</f>
        <v>2245.6482206785722</v>
      </c>
      <c r="H1668" s="44">
        <f>G1668*E1660</f>
        <v>0</v>
      </c>
    </row>
    <row r="1669" spans="1:11" ht="12.75" customHeight="1">
      <c r="A1669" s="28"/>
      <c r="B1669" s="29" t="s">
        <v>3626</v>
      </c>
      <c r="C1669" s="30" t="str">
        <f>IFERROR(_xlfn.XLOOKUP(B1669,Equipo[DESCRIPCION],Equipo[UND],,0),"")</f>
        <v>%MO</v>
      </c>
      <c r="D1669" s="31">
        <v>0.05</v>
      </c>
      <c r="E1669" s="32">
        <f>IF(C1669="%MO",G1675,IFERROR(_xlfn.XLOOKUP($B1669,Equipo[DESCRIPCION],Equipo[VALOR],,0),""))</f>
        <v>44912.964413571441</v>
      </c>
      <c r="F1669" s="33"/>
      <c r="G1669" s="34">
        <f>IFERROR(IF(F1669&gt;=0,D1669*E1669*(1+F1669/100),ABS(D1669*E1669/F1669)),"")</f>
        <v>2245.6482206785722</v>
      </c>
      <c r="H1669" s="43">
        <f>IFERROR(G1669*E1660,"")</f>
        <v>0</v>
      </c>
    </row>
    <row r="1670" spans="1:11" ht="12.75" customHeight="1">
      <c r="A1670" s="28"/>
      <c r="B1670" s="29"/>
      <c r="C1670" s="30" t="str">
        <f>IFERROR(_xlfn.XLOOKUP(B1670,Equipo[DESCRIPCION],Equipo[UND],,0),"")</f>
        <v/>
      </c>
      <c r="D1670" s="31"/>
      <c r="E1670" s="32" t="str">
        <f>IF(C1670="%MO",G1675,IFERROR(_xlfn.XLOOKUP($B1670,Equipo[DESCRIPCION],Equipo[VALOR],,0),""))</f>
        <v/>
      </c>
      <c r="F1670" s="33"/>
      <c r="G1670" s="34" t="str">
        <f>IFERROR(IF(F1670&gt;=0,D1670*E1670*(1+F1670/100),ABS(D1670*E1670/F1670)),"")</f>
        <v/>
      </c>
      <c r="H1670" s="43" t="str">
        <f>IFERROR(G1670*E1660,"")</f>
        <v/>
      </c>
    </row>
    <row r="1671" spans="1:11" ht="12.75" customHeight="1">
      <c r="A1671" s="28"/>
      <c r="B1671" s="29"/>
      <c r="C1671" s="30" t="str">
        <f>IFERROR(_xlfn.XLOOKUP(B1671,Equipo[DESCRIPCION],Equipo[UND],,0),"")</f>
        <v/>
      </c>
      <c r="D1671" s="31"/>
      <c r="E1671" s="32" t="str">
        <f>IF(C1671="%MO",G1675,IFERROR(_xlfn.XLOOKUP($B1671,Equipo[DESCRIPCION],Equipo[VALOR],,0),""))</f>
        <v/>
      </c>
      <c r="F1671" s="33"/>
      <c r="G1671" s="34" t="str">
        <f>IFERROR(IF(F1671&gt;=0,D1671*E1671*(1+F1671/100),ABS(D1671*E1671/F1671)),"")</f>
        <v/>
      </c>
      <c r="H1671" s="43" t="str">
        <f>IFERROR(G1671*E1660,"")</f>
        <v/>
      </c>
    </row>
    <row r="1672" spans="1:11" ht="12.75" customHeight="1">
      <c r="A1672" s="21"/>
      <c r="B1672" s="22" t="s">
        <v>2533</v>
      </c>
      <c r="C1672" s="23"/>
      <c r="D1672" s="24"/>
      <c r="E1672" s="25"/>
      <c r="F1672" s="26"/>
      <c r="G1672" s="27">
        <f>SUM(G1673:G1674)</f>
        <v>0</v>
      </c>
      <c r="H1672" s="44">
        <f>G1672*E1660</f>
        <v>0</v>
      </c>
    </row>
    <row r="1673" spans="1:11" ht="12.75" customHeight="1">
      <c r="A1673" s="28"/>
      <c r="B1673" s="29"/>
      <c r="C1673" s="30" t="str">
        <f>IFERROR(_xlfn.XLOOKUP(B1673,Transporte[DESCRIPCION],Transporte[UND],,0),"")</f>
        <v/>
      </c>
      <c r="D1673" s="31"/>
      <c r="E1673" s="32" t="str">
        <f>IFERROR(_xlfn.XLOOKUP($B1673,Transporte[DESCRIPCION],Transporte[VALOR],,0),"")</f>
        <v/>
      </c>
      <c r="F1673" s="33"/>
      <c r="G1673" s="34" t="str">
        <f>IFERROR(IF(F1673&gt;=0,D1673*E1673*(1+F1673/100),ABS(D1673*E1673/F1673)),"")</f>
        <v/>
      </c>
      <c r="H1673" s="43" t="str">
        <f>IFERROR(G1673*E1660,"")</f>
        <v/>
      </c>
    </row>
    <row r="1674" spans="1:11" ht="12.75" customHeight="1">
      <c r="A1674" s="28"/>
      <c r="B1674" s="29"/>
      <c r="C1674" s="30" t="str">
        <f>IFERROR(_xlfn.XLOOKUP(B1674,Transporte[DESCRIPCION],Transporte[UND],,0),"")</f>
        <v/>
      </c>
      <c r="D1674" s="31"/>
      <c r="E1674" s="32" t="str">
        <f>IFERROR(_xlfn.XLOOKUP($B1674,Transporte[DESCRIPCION],Transporte[VALOR],,0),"")</f>
        <v/>
      </c>
      <c r="F1674" s="33"/>
      <c r="G1674" s="34" t="str">
        <f>IFERROR(IF(F1674&gt;=0,D1674*E1674*(1+F1674/100),ABS(D1674*E1674/F1674)),"")</f>
        <v/>
      </c>
      <c r="H1674" s="43" t="str">
        <f>IFERROR(G1674*E1660,"")</f>
        <v/>
      </c>
    </row>
    <row r="1675" spans="1:11" ht="12.75" customHeight="1">
      <c r="A1675" s="21"/>
      <c r="B1675" s="22" t="s">
        <v>3732</v>
      </c>
      <c r="C1675" s="23"/>
      <c r="D1675" s="24"/>
      <c r="E1675" s="25"/>
      <c r="F1675" s="26"/>
      <c r="G1675" s="27">
        <f>SUM(G1676:G1678)</f>
        <v>44912.964413571441</v>
      </c>
      <c r="H1675" s="44">
        <f>G1675*E1660</f>
        <v>0</v>
      </c>
    </row>
    <row r="1676" spans="1:11" ht="12.75" customHeight="1">
      <c r="A1676" s="28"/>
      <c r="B1676" s="29" t="s">
        <v>3710</v>
      </c>
      <c r="C1676" s="30" t="str">
        <f>IFERROR(_xlfn.XLOOKUP(B1676,MObra[DESCRIPCION],MObra[UN],,0),"")</f>
        <v>día</v>
      </c>
      <c r="D1676" s="31">
        <v>1</v>
      </c>
      <c r="E1676" s="32">
        <f>IFERROR(_xlfn.XLOOKUP($B1676,MObra[DESCRIPCION],MObra[VALOR UNIT],,0),"")</f>
        <v>314390.75089500006</v>
      </c>
      <c r="F1676" s="33">
        <v>-7</v>
      </c>
      <c r="G1676" s="34">
        <f>IFERROR(IF(F1676&gt;=0,D1676*E1676*(1+F1676/100),ABS(D1676*E1676/F1676)),"")</f>
        <v>44912.964413571441</v>
      </c>
      <c r="H1676" s="43">
        <f>IFERROR(G1676*E1660,"")</f>
        <v>0</v>
      </c>
    </row>
    <row r="1677" spans="1:11" ht="12.75" customHeight="1">
      <c r="A1677" s="28"/>
      <c r="B1677" s="29"/>
      <c r="C1677" s="30" t="str">
        <f t="array" ref="C1677">IFERROR(_xlfn.XLOOKUP(B1677,MObra[[#All],[DESCRIPCION]],MObra[[#All],[UN]],,0),"")</f>
        <v/>
      </c>
      <c r="D1677" s="31"/>
      <c r="E1677" s="32" t="str">
        <f>IFERROR(_xlfn.XLOOKUP($B1677,MObra[DESCRIPCION],MObra[VALOR UNIT],,0),"")</f>
        <v/>
      </c>
      <c r="F1677" s="33"/>
      <c r="G1677" s="34" t="str">
        <f>IFERROR(IF(F1677&gt;=0,D1677*E1677*(1+F1677/100),ABS(D1677*E1677/F1677)),"")</f>
        <v/>
      </c>
      <c r="H1677" s="43" t="str">
        <f>IFERROR(G1677*E1660,"")</f>
        <v/>
      </c>
    </row>
    <row r="1678" spans="1:11" ht="12.75" customHeight="1" thickBot="1">
      <c r="A1678" s="35"/>
      <c r="B1678" s="36"/>
      <c r="C1678" s="37" t="str">
        <f t="array" ref="C1678">IFERROR(_xlfn.XLOOKUP(B1678,MObra[[#All],[DESCRIPCION]],MObra[[#All],[UN]],,0),"")</f>
        <v/>
      </c>
      <c r="D1678" s="38"/>
      <c r="E1678" s="39" t="str">
        <f>IFERROR(_xlfn.XLOOKUP($B1678,MObra[DESCRIPCION],MObra[VALOR UNIT],,0),"")</f>
        <v/>
      </c>
      <c r="F1678" s="40"/>
      <c r="G1678" s="41" t="str">
        <f>IFERROR(IF(F1678&gt;=0,D1678*E1678*(1+F1678/100),ABS(D1678*E1678/F1678)),"")</f>
        <v/>
      </c>
      <c r="H1678" s="42" t="str">
        <f>IFERROR(G1678*E1660,"")</f>
        <v/>
      </c>
    </row>
    <row r="1679" spans="1:11" ht="12.75" customHeight="1" thickTop="1" thickBot="1"/>
    <row r="1680" spans="1:11" ht="12.75" customHeight="1" thickTop="1" thickBot="1">
      <c r="A1680" s="6" t="s">
        <v>765</v>
      </c>
      <c r="B1680" s="7" t="str">
        <f>VLOOKUP($A1680,Presupuesto!$A:$D,2,FALSE())</f>
        <v>Punto hidráulico PVC 3/4"</v>
      </c>
      <c r="C1680" s="8" t="str">
        <f>VLOOKUP($A1680,Presupuesto!$A:$D,3,FALSE())</f>
        <v>Un</v>
      </c>
      <c r="D1680" s="9"/>
      <c r="E1680" s="10">
        <f>VLOOKUP($A1680,Presupuesto!$A:$D,4,FALSE())</f>
        <v>0</v>
      </c>
      <c r="F1680" s="11" t="s">
        <v>2589</v>
      </c>
      <c r="G1680" s="12">
        <f>SUM(G1682:G1698)/2</f>
        <v>79009.321304440309</v>
      </c>
      <c r="H1680" s="13">
        <f>ROUND(SUM(H1682:H1698),0)/2</f>
        <v>0</v>
      </c>
      <c r="I1680" s="10">
        <f>VLOOKUP(A1680,Presupuesto!$A:$F,6,0)</f>
        <v>0</v>
      </c>
      <c r="J1680" s="10">
        <f>+H1680-I1680</f>
        <v>0</v>
      </c>
      <c r="K1680" s="46">
        <f>+H1680-G1680*E1680</f>
        <v>0</v>
      </c>
    </row>
    <row r="1681" spans="1:8" ht="12.75" customHeight="1" thickTop="1">
      <c r="A1681" s="14"/>
      <c r="B1681" s="15" t="s">
        <v>2586</v>
      </c>
      <c r="C1681" s="15" t="s">
        <v>5</v>
      </c>
      <c r="D1681" s="16" t="s">
        <v>6</v>
      </c>
      <c r="E1681" s="17" t="s">
        <v>7</v>
      </c>
      <c r="F1681" s="18" t="s">
        <v>3728</v>
      </c>
      <c r="G1681" s="19" t="s">
        <v>3729</v>
      </c>
      <c r="H1681" s="20" t="s">
        <v>3797</v>
      </c>
    </row>
    <row r="1682" spans="1:8" ht="12.75" customHeight="1">
      <c r="A1682" s="21"/>
      <c r="B1682" s="22" t="s">
        <v>3730</v>
      </c>
      <c r="C1682" s="23"/>
      <c r="D1682" s="24"/>
      <c r="E1682" s="25"/>
      <c r="F1682" s="26"/>
      <c r="G1682" s="27">
        <f>SUM(G1683:G1687)</f>
        <v>29739.129000000001</v>
      </c>
      <c r="H1682" s="27">
        <f>IFERROR(G1682*E1680,"")</f>
        <v>0</v>
      </c>
    </row>
    <row r="1683" spans="1:8" ht="12.75" customHeight="1">
      <c r="A1683" s="28"/>
      <c r="B1683" s="29" t="s">
        <v>3499</v>
      </c>
      <c r="C1683" s="30" t="str">
        <f>IFERROR(_xlfn.XLOOKUP(B1683,Insumo[DESCRIPCION],Insumo[UND],,0),"")</f>
        <v>M</v>
      </c>
      <c r="D1683" s="31">
        <v>3</v>
      </c>
      <c r="E1683" s="32">
        <f>IFERROR(_xlfn.XLOOKUP($B1683,Insumo[DESCRIPCION],Insumo[VALOR],,0),"")</f>
        <v>8596.35</v>
      </c>
      <c r="F1683" s="33">
        <v>3</v>
      </c>
      <c r="G1683" s="34">
        <f>IFERROR(IF(F1683&gt;=0,D1683*E1683*(1+F1683/100),ABS(D1683*E1683/F1683)),"")</f>
        <v>26562.721500000003</v>
      </c>
      <c r="H1683" s="43">
        <f>IFERROR(G1683*E1680,"")</f>
        <v>0</v>
      </c>
    </row>
    <row r="1684" spans="1:8" ht="12.75" customHeight="1">
      <c r="A1684" s="28"/>
      <c r="B1684" s="29" t="s">
        <v>2644</v>
      </c>
      <c r="C1684" s="30" t="str">
        <f>IFERROR(_xlfn.XLOOKUP(B1684,Insumo[DESCRIPCION],Insumo[UND],,0),"")</f>
        <v>Un</v>
      </c>
      <c r="D1684" s="31">
        <f>0.15*3</f>
        <v>0.44999999999999996</v>
      </c>
      <c r="E1684" s="32">
        <f>IFERROR(_xlfn.XLOOKUP($B1684,Insumo[DESCRIPCION],Insumo[VALOR],,0),"")</f>
        <v>2399.25</v>
      </c>
      <c r="F1684" s="33"/>
      <c r="G1684" s="34">
        <f>IFERROR(IF(F1684&gt;=0,D1684*E1684*(1+F1684/100),ABS(D1684*E1684/F1684)),"")</f>
        <v>1079.6624999999999</v>
      </c>
      <c r="H1684" s="43">
        <f>IFERROR(G1684*E1680,"")</f>
        <v>0</v>
      </c>
    </row>
    <row r="1685" spans="1:8" ht="12.75" customHeight="1">
      <c r="A1685" s="28"/>
      <c r="B1685" s="29" t="s">
        <v>3046</v>
      </c>
      <c r="C1685" s="30" t="str">
        <f>IFERROR(_xlfn.XLOOKUP(B1685,Insumo[DESCRIPCION],Insumo[UND],,0),"")</f>
        <v>Un</v>
      </c>
      <c r="D1685" s="31">
        <v>0.02</v>
      </c>
      <c r="E1685" s="32">
        <f>IFERROR(_xlfn.XLOOKUP($B1685,Insumo[DESCRIPCION],Insumo[VALOR],,0),"")</f>
        <v>62413.05</v>
      </c>
      <c r="F1685" s="33"/>
      <c r="G1685" s="34">
        <f>IFERROR(IF(F1685&gt;=0,D1685*E1685*(1+F1685/100),ABS(D1685*E1685/F1685)),"")</f>
        <v>1248.2610000000002</v>
      </c>
      <c r="H1685" s="43">
        <f>IFERROR(G1685*E1680,"")</f>
        <v>0</v>
      </c>
    </row>
    <row r="1686" spans="1:8" ht="12.75" customHeight="1">
      <c r="A1686" s="28"/>
      <c r="B1686" s="29" t="s">
        <v>3329</v>
      </c>
      <c r="C1686" s="30" t="str">
        <f>IFERROR(_xlfn.XLOOKUP(B1686,Insumo[DESCRIPCION],Insumo[UND],,0),"")</f>
        <v>Un</v>
      </c>
      <c r="D1686" s="31">
        <v>0.02</v>
      </c>
      <c r="E1686" s="32">
        <f>IFERROR(_xlfn.XLOOKUP($B1686,Insumo[DESCRIPCION],Insumo[VALOR],,0),"")</f>
        <v>42424.200000000004</v>
      </c>
      <c r="F1686" s="33"/>
      <c r="G1686" s="34">
        <f>IFERROR(IF(F1686&gt;=0,D1686*E1686*(1+F1686/100),ABS(D1686*E1686/F1686)),"")</f>
        <v>848.48400000000015</v>
      </c>
      <c r="H1686" s="43">
        <f>IFERROR(G1686*E1680,"")</f>
        <v>0</v>
      </c>
    </row>
    <row r="1687" spans="1:8" ht="12.75" customHeight="1">
      <c r="A1687" s="28"/>
      <c r="B1687" s="29"/>
      <c r="C1687" s="30" t="str">
        <f>IFERROR(_xlfn.XLOOKUP(B1687,Insumo[DESCRIPCION],Insumo[UND],,0),"")</f>
        <v/>
      </c>
      <c r="D1687" s="31"/>
      <c r="E1687" s="32" t="str">
        <f>IFERROR(_xlfn.XLOOKUP($B1687,Insumo[DESCRIPCION],Insumo[VALOR],,0),"")</f>
        <v/>
      </c>
      <c r="F1687" s="33"/>
      <c r="G1687" s="34" t="str">
        <f>IFERROR(IF(F1687&gt;=0,D1687*E1687*(1+F1687/100),ABS(D1687*E1687/F1687)),"")</f>
        <v/>
      </c>
      <c r="H1687" s="43" t="str">
        <f>IFERROR(G1687*E1680,"")</f>
        <v/>
      </c>
    </row>
    <row r="1688" spans="1:8" ht="12.75" customHeight="1">
      <c r="A1688" s="21"/>
      <c r="B1688" s="22" t="s">
        <v>3731</v>
      </c>
      <c r="C1688" s="23"/>
      <c r="D1688" s="24"/>
      <c r="E1688" s="25"/>
      <c r="F1688" s="26"/>
      <c r="G1688" s="27">
        <f>SUM(G1689:G1691)</f>
        <v>2346.1996335447766</v>
      </c>
      <c r="H1688" s="44">
        <f>G1688*E1680</f>
        <v>0</v>
      </c>
    </row>
    <row r="1689" spans="1:8" ht="12.75" customHeight="1">
      <c r="A1689" s="28"/>
      <c r="B1689" s="29" t="s">
        <v>3626</v>
      </c>
      <c r="C1689" s="30" t="str">
        <f>IFERROR(_xlfn.XLOOKUP(B1689,Equipo[DESCRIPCION],Equipo[UND],,0),"")</f>
        <v>%MO</v>
      </c>
      <c r="D1689" s="31">
        <v>0.05</v>
      </c>
      <c r="E1689" s="32">
        <f>IF(C1689="%MO",G1695,IFERROR(_xlfn.XLOOKUP($B1689,Equipo[DESCRIPCION],Equipo[VALOR],,0),""))</f>
        <v>46923.992670895532</v>
      </c>
      <c r="F1689" s="33"/>
      <c r="G1689" s="34">
        <f>IFERROR(IF(F1689&gt;=0,D1689*E1689*(1+F1689/100),ABS(D1689*E1689/F1689)),"")</f>
        <v>2346.1996335447766</v>
      </c>
      <c r="H1689" s="43">
        <f>IFERROR(G1689*E1680,"")</f>
        <v>0</v>
      </c>
    </row>
    <row r="1690" spans="1:8" ht="12.75" customHeight="1">
      <c r="A1690" s="28"/>
      <c r="B1690" s="29"/>
      <c r="C1690" s="30" t="str">
        <f>IFERROR(_xlfn.XLOOKUP(B1690,Equipo[DESCRIPCION],Equipo[UND],,0),"")</f>
        <v/>
      </c>
      <c r="D1690" s="31"/>
      <c r="E1690" s="32" t="str">
        <f>IF(C1690="%MO",G1695,IFERROR(_xlfn.XLOOKUP($B1690,Equipo[DESCRIPCION],Equipo[VALOR],,0),""))</f>
        <v/>
      </c>
      <c r="F1690" s="33"/>
      <c r="G1690" s="34" t="str">
        <f>IFERROR(IF(F1690&gt;=0,D1690*E1690*(1+F1690/100),ABS(D1690*E1690/F1690)),"")</f>
        <v/>
      </c>
      <c r="H1690" s="43" t="str">
        <f>IFERROR(G1690*E1680,"")</f>
        <v/>
      </c>
    </row>
    <row r="1691" spans="1:8" ht="12.75" customHeight="1">
      <c r="A1691" s="28"/>
      <c r="B1691" s="29"/>
      <c r="C1691" s="30" t="str">
        <f>IFERROR(_xlfn.XLOOKUP(B1691,Equipo[DESCRIPCION],Equipo[UND],,0),"")</f>
        <v/>
      </c>
      <c r="D1691" s="31"/>
      <c r="E1691" s="32" t="str">
        <f>IF(C1691="%MO",G1695,IFERROR(_xlfn.XLOOKUP($B1691,Equipo[DESCRIPCION],Equipo[VALOR],,0),""))</f>
        <v/>
      </c>
      <c r="F1691" s="33"/>
      <c r="G1691" s="34" t="str">
        <f>IFERROR(IF(F1691&gt;=0,D1691*E1691*(1+F1691/100),ABS(D1691*E1691/F1691)),"")</f>
        <v/>
      </c>
      <c r="H1691" s="43" t="str">
        <f>IFERROR(G1691*E1680,"")</f>
        <v/>
      </c>
    </row>
    <row r="1692" spans="1:8" ht="12.75" customHeight="1">
      <c r="A1692" s="21"/>
      <c r="B1692" s="22" t="s">
        <v>2533</v>
      </c>
      <c r="C1692" s="23"/>
      <c r="D1692" s="24"/>
      <c r="E1692" s="25"/>
      <c r="F1692" s="26"/>
      <c r="G1692" s="27">
        <f>SUM(G1693:G1694)</f>
        <v>0</v>
      </c>
      <c r="H1692" s="44">
        <f>G1692*E1680</f>
        <v>0</v>
      </c>
    </row>
    <row r="1693" spans="1:8" ht="12.75" customHeight="1">
      <c r="A1693" s="28"/>
      <c r="B1693" s="29"/>
      <c r="C1693" s="30" t="str">
        <f>IFERROR(_xlfn.XLOOKUP(B1693,Transporte[DESCRIPCION],Transporte[UND],,0),"")</f>
        <v/>
      </c>
      <c r="D1693" s="31"/>
      <c r="E1693" s="32" t="str">
        <f>IFERROR(_xlfn.XLOOKUP($B1693,Transporte[DESCRIPCION],Transporte[VALOR],,0),"")</f>
        <v/>
      </c>
      <c r="F1693" s="33"/>
      <c r="G1693" s="34" t="str">
        <f>IFERROR(IF(F1693&gt;=0,D1693*E1693*(1+F1693/100),ABS(D1693*E1693/F1693)),"")</f>
        <v/>
      </c>
      <c r="H1693" s="43" t="str">
        <f>IFERROR(G1693*E1680,"")</f>
        <v/>
      </c>
    </row>
    <row r="1694" spans="1:8" ht="12.75" customHeight="1">
      <c r="A1694" s="28"/>
      <c r="B1694" s="29"/>
      <c r="C1694" s="30" t="str">
        <f>IFERROR(_xlfn.XLOOKUP(B1694,Transporte[DESCRIPCION],Transporte[UND],,0),"")</f>
        <v/>
      </c>
      <c r="D1694" s="31"/>
      <c r="E1694" s="32" t="str">
        <f>IFERROR(_xlfn.XLOOKUP($B1694,Transporte[DESCRIPCION],Transporte[VALOR],,0),"")</f>
        <v/>
      </c>
      <c r="F1694" s="33"/>
      <c r="G1694" s="34" t="str">
        <f>IFERROR(IF(F1694&gt;=0,D1694*E1694*(1+F1694/100),ABS(D1694*E1694/F1694)),"")</f>
        <v/>
      </c>
      <c r="H1694" s="43" t="str">
        <f>IFERROR(G1694*E1680,"")</f>
        <v/>
      </c>
    </row>
    <row r="1695" spans="1:8" ht="12.75" customHeight="1">
      <c r="A1695" s="21"/>
      <c r="B1695" s="22" t="s">
        <v>3732</v>
      </c>
      <c r="C1695" s="23"/>
      <c r="D1695" s="24"/>
      <c r="E1695" s="25"/>
      <c r="F1695" s="26"/>
      <c r="G1695" s="27">
        <f>SUM(G1696:G1698)</f>
        <v>46923.992670895532</v>
      </c>
      <c r="H1695" s="44">
        <f>G1695*E1680</f>
        <v>0</v>
      </c>
    </row>
    <row r="1696" spans="1:8" ht="12.75" customHeight="1">
      <c r="A1696" s="28"/>
      <c r="B1696" s="29" t="s">
        <v>3710</v>
      </c>
      <c r="C1696" s="30" t="str">
        <f>IFERROR(_xlfn.XLOOKUP(B1696,MObra[DESCRIPCION],MObra[UN],,0),"")</f>
        <v>día</v>
      </c>
      <c r="D1696" s="31">
        <v>1</v>
      </c>
      <c r="E1696" s="32">
        <f>IFERROR(_xlfn.XLOOKUP($B1696,MObra[DESCRIPCION],MObra[VALOR UNIT],,0),"")</f>
        <v>314390.75089500006</v>
      </c>
      <c r="F1696" s="33">
        <v>-6.7</v>
      </c>
      <c r="G1696" s="34">
        <f>IFERROR(IF(F1696&gt;=0,D1696*E1696*(1+F1696/100),ABS(D1696*E1696/F1696)),"")</f>
        <v>46923.992670895532</v>
      </c>
      <c r="H1696" s="43">
        <f>IFERROR(G1696*E1680,"")</f>
        <v>0</v>
      </c>
    </row>
    <row r="1697" spans="1:11" ht="12.75" customHeight="1">
      <c r="A1697" s="28"/>
      <c r="B1697" s="29"/>
      <c r="C1697" s="30" t="str">
        <f t="array" ref="C1697">IFERROR(_xlfn.XLOOKUP(B1697,MObra[[#All],[DESCRIPCION]],MObra[[#All],[UN]],,0),"")</f>
        <v/>
      </c>
      <c r="D1697" s="31"/>
      <c r="E1697" s="32" t="str">
        <f>IFERROR(_xlfn.XLOOKUP($B1697,MObra[DESCRIPCION],MObra[VALOR UNIT],,0),"")</f>
        <v/>
      </c>
      <c r="F1697" s="33"/>
      <c r="G1697" s="34" t="str">
        <f>IFERROR(IF(F1697&gt;=0,D1697*E1697*(1+F1697/100),ABS(D1697*E1697/F1697)),"")</f>
        <v/>
      </c>
      <c r="H1697" s="43" t="str">
        <f>IFERROR(G1697*E1680,"")</f>
        <v/>
      </c>
    </row>
    <row r="1698" spans="1:11" ht="12.75" customHeight="1" thickBot="1">
      <c r="A1698" s="35"/>
      <c r="B1698" s="36"/>
      <c r="C1698" s="37" t="str">
        <f t="array" ref="C1698">IFERROR(_xlfn.XLOOKUP(B1698,MObra[[#All],[DESCRIPCION]],MObra[[#All],[UN]],,0),"")</f>
        <v/>
      </c>
      <c r="D1698" s="38"/>
      <c r="E1698" s="39" t="str">
        <f>IFERROR(_xlfn.XLOOKUP($B1698,MObra[DESCRIPCION],MObra[VALOR UNIT],,0),"")</f>
        <v/>
      </c>
      <c r="F1698" s="40"/>
      <c r="G1698" s="41" t="str">
        <f>IFERROR(IF(F1698&gt;=0,D1698*E1698*(1+F1698/100),ABS(D1698*E1698/F1698)),"")</f>
        <v/>
      </c>
      <c r="H1698" s="42" t="str">
        <f>IFERROR(G1698*E1680,"")</f>
        <v/>
      </c>
    </row>
    <row r="1699" spans="1:11" ht="12.75" customHeight="1" thickTop="1" thickBot="1"/>
    <row r="1700" spans="1:11" ht="12.75" customHeight="1" thickTop="1" thickBot="1">
      <c r="A1700" s="6" t="s">
        <v>767</v>
      </c>
      <c r="B1700" s="7" t="str">
        <f>VLOOKUP($A1700,Presupuesto!$A:$D,2,FALSE())</f>
        <v>Punto hidráulico PVC 1"</v>
      </c>
      <c r="C1700" s="8" t="str">
        <f>VLOOKUP($A1700,Presupuesto!$A:$D,3,FALSE())</f>
        <v>Un</v>
      </c>
      <c r="D1700" s="9"/>
      <c r="E1700" s="10">
        <f>VLOOKUP($A1700,Presupuesto!$A:$D,4,FALSE())</f>
        <v>0</v>
      </c>
      <c r="F1700" s="11" t="s">
        <v>2589</v>
      </c>
      <c r="G1700" s="12">
        <f>SUM(G1702:G1718)/2</f>
        <v>91777.428568710951</v>
      </c>
      <c r="H1700" s="13">
        <f>ROUND(SUM(H1702:H1718),0)/2</f>
        <v>0</v>
      </c>
      <c r="I1700" s="10">
        <f>VLOOKUP(A1700,Presupuesto!$A:$F,6,0)</f>
        <v>0</v>
      </c>
      <c r="J1700" s="10">
        <f>+H1700-I1700</f>
        <v>0</v>
      </c>
      <c r="K1700" s="46">
        <f>+H1700-G1700*E1700</f>
        <v>0</v>
      </c>
    </row>
    <row r="1701" spans="1:11" ht="12.75" customHeight="1" thickTop="1">
      <c r="A1701" s="14"/>
      <c r="B1701" s="15" t="s">
        <v>2586</v>
      </c>
      <c r="C1701" s="15" t="s">
        <v>5</v>
      </c>
      <c r="D1701" s="16" t="s">
        <v>6</v>
      </c>
      <c r="E1701" s="17" t="s">
        <v>7</v>
      </c>
      <c r="F1701" s="18" t="s">
        <v>3728</v>
      </c>
      <c r="G1701" s="19" t="s">
        <v>3729</v>
      </c>
      <c r="H1701" s="20" t="s">
        <v>3797</v>
      </c>
    </row>
    <row r="1702" spans="1:11" ht="12.75" customHeight="1">
      <c r="A1702" s="21"/>
      <c r="B1702" s="22" t="s">
        <v>3730</v>
      </c>
      <c r="C1702" s="23"/>
      <c r="D1702" s="24"/>
      <c r="E1702" s="25"/>
      <c r="F1702" s="26"/>
      <c r="G1702" s="27">
        <f>SUM(G1703:G1707)</f>
        <v>40197.695999999996</v>
      </c>
      <c r="H1702" s="27">
        <f>IFERROR(G1702*E1700,"")</f>
        <v>0</v>
      </c>
    </row>
    <row r="1703" spans="1:11" ht="12.75" customHeight="1">
      <c r="A1703" s="28"/>
      <c r="B1703" s="29" t="s">
        <v>3494</v>
      </c>
      <c r="C1703" s="30" t="str">
        <f>IFERROR(_xlfn.XLOOKUP(B1703,Insumo[DESCRIPCION],Insumo[UND],,0),"")</f>
        <v>M</v>
      </c>
      <c r="D1703" s="31">
        <v>3</v>
      </c>
      <c r="E1703" s="32">
        <f>IFERROR(_xlfn.XLOOKUP($B1703,Insumo[DESCRIPCION],Insumo[VALOR],,0),"")</f>
        <v>11647.65</v>
      </c>
      <c r="F1703" s="33">
        <v>3</v>
      </c>
      <c r="G1703" s="34">
        <f>IFERROR(IF(F1703&gt;=0,D1703*E1703*(1+F1703/100),ABS(D1703*E1703/F1703)),"")</f>
        <v>35991.238499999999</v>
      </c>
      <c r="H1703" s="43">
        <f>IFERROR(G1703*E1700,"")</f>
        <v>0</v>
      </c>
    </row>
    <row r="1704" spans="1:11" ht="12.75" customHeight="1">
      <c r="A1704" s="28"/>
      <c r="B1704" s="29" t="s">
        <v>2639</v>
      </c>
      <c r="C1704" s="30" t="str">
        <f>IFERROR(_xlfn.XLOOKUP(B1704,Insumo[DESCRIPCION],Insumo[UND],,0),"")</f>
        <v>Un</v>
      </c>
      <c r="D1704" s="31">
        <f>0.15*3</f>
        <v>0.44999999999999996</v>
      </c>
      <c r="E1704" s="32">
        <f>IFERROR(_xlfn.XLOOKUP($B1704,Insumo[DESCRIPCION],Insumo[VALOR],,0),"")</f>
        <v>4688.25</v>
      </c>
      <c r="F1704" s="33"/>
      <c r="G1704" s="34">
        <f>IFERROR(IF(F1704&gt;=0,D1704*E1704*(1+F1704/100),ABS(D1704*E1704/F1704)),"")</f>
        <v>2109.7124999999996</v>
      </c>
      <c r="H1704" s="43">
        <f>IFERROR(G1704*E1700,"")</f>
        <v>0</v>
      </c>
    </row>
    <row r="1705" spans="1:11" ht="12.75" customHeight="1">
      <c r="A1705" s="28"/>
      <c r="B1705" s="29" t="s">
        <v>3046</v>
      </c>
      <c r="C1705" s="30" t="str">
        <f>IFERROR(_xlfn.XLOOKUP(B1705,Insumo[DESCRIPCION],Insumo[UND],,0),"")</f>
        <v>Un</v>
      </c>
      <c r="D1705" s="31">
        <v>0.02</v>
      </c>
      <c r="E1705" s="32">
        <f>IFERROR(_xlfn.XLOOKUP($B1705,Insumo[DESCRIPCION],Insumo[VALOR],,0),"")</f>
        <v>62413.05</v>
      </c>
      <c r="F1705" s="33"/>
      <c r="G1705" s="34">
        <f>IFERROR(IF(F1705&gt;=0,D1705*E1705*(1+F1705/100),ABS(D1705*E1705/F1705)),"")</f>
        <v>1248.2610000000002</v>
      </c>
      <c r="H1705" s="43">
        <f>IFERROR(G1705*E1700,"")</f>
        <v>0</v>
      </c>
    </row>
    <row r="1706" spans="1:11" ht="12.75" customHeight="1">
      <c r="A1706" s="28"/>
      <c r="B1706" s="29" t="s">
        <v>3329</v>
      </c>
      <c r="C1706" s="30" t="str">
        <f>IFERROR(_xlfn.XLOOKUP(B1706,Insumo[DESCRIPCION],Insumo[UND],,0),"")</f>
        <v>Un</v>
      </c>
      <c r="D1706" s="31">
        <v>0.02</v>
      </c>
      <c r="E1706" s="32">
        <f>IFERROR(_xlfn.XLOOKUP($B1706,Insumo[DESCRIPCION],Insumo[VALOR],,0),"")</f>
        <v>42424.200000000004</v>
      </c>
      <c r="F1706" s="33"/>
      <c r="G1706" s="34">
        <f>IFERROR(IF(F1706&gt;=0,D1706*E1706*(1+F1706/100),ABS(D1706*E1706/F1706)),"")</f>
        <v>848.48400000000015</v>
      </c>
      <c r="H1706" s="43">
        <f>IFERROR(G1706*E1700,"")</f>
        <v>0</v>
      </c>
    </row>
    <row r="1707" spans="1:11" ht="12.75" customHeight="1">
      <c r="A1707" s="28"/>
      <c r="B1707" s="29"/>
      <c r="C1707" s="30" t="str">
        <f>IFERROR(_xlfn.XLOOKUP(B1707,Insumo[DESCRIPCION],Insumo[UND],,0),"")</f>
        <v/>
      </c>
      <c r="D1707" s="31"/>
      <c r="E1707" s="32" t="str">
        <f>IFERROR(_xlfn.XLOOKUP($B1707,Insumo[DESCRIPCION],Insumo[VALOR],,0),"")</f>
        <v/>
      </c>
      <c r="F1707" s="33"/>
      <c r="G1707" s="34" t="str">
        <f>IFERROR(IF(F1707&gt;=0,D1707*E1707*(1+F1707/100),ABS(D1707*E1707/F1707)),"")</f>
        <v/>
      </c>
      <c r="H1707" s="43" t="str">
        <f>IFERROR(G1707*E1700,"")</f>
        <v/>
      </c>
    </row>
    <row r="1708" spans="1:11" ht="12.75" customHeight="1">
      <c r="A1708" s="21"/>
      <c r="B1708" s="22" t="s">
        <v>3731</v>
      </c>
      <c r="C1708" s="23"/>
      <c r="D1708" s="24"/>
      <c r="E1708" s="25"/>
      <c r="F1708" s="26"/>
      <c r="G1708" s="27">
        <f>SUM(G1709:G1711)</f>
        <v>2456.177741367188</v>
      </c>
      <c r="H1708" s="44">
        <f>G1708*E1700</f>
        <v>0</v>
      </c>
    </row>
    <row r="1709" spans="1:11" ht="12.75" customHeight="1">
      <c r="A1709" s="28"/>
      <c r="B1709" s="29" t="s">
        <v>3626</v>
      </c>
      <c r="C1709" s="30" t="str">
        <f>IFERROR(_xlfn.XLOOKUP(B1709,Equipo[DESCRIPCION],Equipo[UND],,0),"")</f>
        <v>%MO</v>
      </c>
      <c r="D1709" s="31">
        <v>0.05</v>
      </c>
      <c r="E1709" s="32">
        <f>IF(C1709="%MO",G1715,IFERROR(_xlfn.XLOOKUP($B1709,Equipo[DESCRIPCION],Equipo[VALOR],,0),""))</f>
        <v>49123.55482734376</v>
      </c>
      <c r="F1709" s="33"/>
      <c r="G1709" s="34">
        <f>IFERROR(IF(F1709&gt;=0,D1709*E1709*(1+F1709/100),ABS(D1709*E1709/F1709)),"")</f>
        <v>2456.177741367188</v>
      </c>
      <c r="H1709" s="43">
        <f>IFERROR(G1709*E1700,"")</f>
        <v>0</v>
      </c>
    </row>
    <row r="1710" spans="1:11" ht="12.75" customHeight="1">
      <c r="A1710" s="28"/>
      <c r="B1710" s="29"/>
      <c r="C1710" s="30" t="str">
        <f>IFERROR(_xlfn.XLOOKUP(B1710,Equipo[DESCRIPCION],Equipo[UND],,0),"")</f>
        <v/>
      </c>
      <c r="D1710" s="31"/>
      <c r="E1710" s="32" t="str">
        <f>IF(C1710="%MO",G1715,IFERROR(_xlfn.XLOOKUP($B1710,Equipo[DESCRIPCION],Equipo[VALOR],,0),""))</f>
        <v/>
      </c>
      <c r="F1710" s="33"/>
      <c r="G1710" s="34" t="str">
        <f>IFERROR(IF(F1710&gt;=0,D1710*E1710*(1+F1710/100),ABS(D1710*E1710/F1710)),"")</f>
        <v/>
      </c>
      <c r="H1710" s="43" t="str">
        <f>IFERROR(G1710*E1700,"")</f>
        <v/>
      </c>
    </row>
    <row r="1711" spans="1:11" ht="12.75" customHeight="1">
      <c r="A1711" s="28"/>
      <c r="B1711" s="29"/>
      <c r="C1711" s="30" t="str">
        <f>IFERROR(_xlfn.XLOOKUP(B1711,Equipo[DESCRIPCION],Equipo[UND],,0),"")</f>
        <v/>
      </c>
      <c r="D1711" s="31"/>
      <c r="E1711" s="32" t="str">
        <f>IF(C1711="%MO",G1715,IFERROR(_xlfn.XLOOKUP($B1711,Equipo[DESCRIPCION],Equipo[VALOR],,0),""))</f>
        <v/>
      </c>
      <c r="F1711" s="33"/>
      <c r="G1711" s="34" t="str">
        <f>IFERROR(IF(F1711&gt;=0,D1711*E1711*(1+F1711/100),ABS(D1711*E1711/F1711)),"")</f>
        <v/>
      </c>
      <c r="H1711" s="43" t="str">
        <f>IFERROR(G1711*E1700,"")</f>
        <v/>
      </c>
    </row>
    <row r="1712" spans="1:11" ht="12.75" customHeight="1">
      <c r="A1712" s="21"/>
      <c r="B1712" s="22" t="s">
        <v>2533</v>
      </c>
      <c r="C1712" s="23"/>
      <c r="D1712" s="24"/>
      <c r="E1712" s="25"/>
      <c r="F1712" s="26"/>
      <c r="G1712" s="27">
        <f>SUM(G1713:G1714)</f>
        <v>0</v>
      </c>
      <c r="H1712" s="44">
        <f>G1712*E1700</f>
        <v>0</v>
      </c>
    </row>
    <row r="1713" spans="1:11" ht="12.75" customHeight="1">
      <c r="A1713" s="28"/>
      <c r="B1713" s="29"/>
      <c r="C1713" s="30" t="str">
        <f>IFERROR(_xlfn.XLOOKUP(B1713,Transporte[DESCRIPCION],Transporte[UND],,0),"")</f>
        <v/>
      </c>
      <c r="D1713" s="31"/>
      <c r="E1713" s="32" t="str">
        <f>IFERROR(_xlfn.XLOOKUP($B1713,Transporte[DESCRIPCION],Transporte[VALOR],,0),"")</f>
        <v/>
      </c>
      <c r="F1713" s="33"/>
      <c r="G1713" s="34" t="str">
        <f>IFERROR(IF(F1713&gt;=0,D1713*E1713*(1+F1713/100),ABS(D1713*E1713/F1713)),"")</f>
        <v/>
      </c>
      <c r="H1713" s="43" t="str">
        <f>IFERROR(G1713*E1700,"")</f>
        <v/>
      </c>
    </row>
    <row r="1714" spans="1:11" ht="12.75" customHeight="1">
      <c r="A1714" s="28"/>
      <c r="B1714" s="29"/>
      <c r="C1714" s="30" t="str">
        <f>IFERROR(_xlfn.XLOOKUP(B1714,Transporte[DESCRIPCION],Transporte[UND],,0),"")</f>
        <v/>
      </c>
      <c r="D1714" s="31"/>
      <c r="E1714" s="32" t="str">
        <f>IFERROR(_xlfn.XLOOKUP($B1714,Transporte[DESCRIPCION],Transporte[VALOR],,0),"")</f>
        <v/>
      </c>
      <c r="F1714" s="33"/>
      <c r="G1714" s="34" t="str">
        <f>IFERROR(IF(F1714&gt;=0,D1714*E1714*(1+F1714/100),ABS(D1714*E1714/F1714)),"")</f>
        <v/>
      </c>
      <c r="H1714" s="43" t="str">
        <f>IFERROR(G1714*E1700,"")</f>
        <v/>
      </c>
    </row>
    <row r="1715" spans="1:11" ht="12.75" customHeight="1">
      <c r="A1715" s="21"/>
      <c r="B1715" s="22" t="s">
        <v>3732</v>
      </c>
      <c r="C1715" s="23"/>
      <c r="D1715" s="24"/>
      <c r="E1715" s="25"/>
      <c r="F1715" s="26"/>
      <c r="G1715" s="27">
        <f>SUM(G1716:G1718)</f>
        <v>49123.55482734376</v>
      </c>
      <c r="H1715" s="44">
        <f>G1715*E1700</f>
        <v>0</v>
      </c>
    </row>
    <row r="1716" spans="1:11" ht="12.75" customHeight="1">
      <c r="A1716" s="28"/>
      <c r="B1716" s="29" t="s">
        <v>3710</v>
      </c>
      <c r="C1716" s="30" t="str">
        <f>IFERROR(_xlfn.XLOOKUP(B1716,MObra[DESCRIPCION],MObra[UN],,0),"")</f>
        <v>día</v>
      </c>
      <c r="D1716" s="31">
        <v>1</v>
      </c>
      <c r="E1716" s="32">
        <f>IFERROR(_xlfn.XLOOKUP($B1716,MObra[DESCRIPCION],MObra[VALOR UNIT],,0),"")</f>
        <v>314390.75089500006</v>
      </c>
      <c r="F1716" s="33">
        <v>-6.4</v>
      </c>
      <c r="G1716" s="34">
        <f>IFERROR(IF(F1716&gt;=0,D1716*E1716*(1+F1716/100),ABS(D1716*E1716/F1716)),"")</f>
        <v>49123.55482734376</v>
      </c>
      <c r="H1716" s="43">
        <f>IFERROR(G1716*E1700,"")</f>
        <v>0</v>
      </c>
    </row>
    <row r="1717" spans="1:11" ht="12.75" customHeight="1">
      <c r="A1717" s="28"/>
      <c r="B1717" s="29"/>
      <c r="C1717" s="30" t="str">
        <f t="array" ref="C1717">IFERROR(_xlfn.XLOOKUP(B1717,MObra[[#All],[DESCRIPCION]],MObra[[#All],[UN]],,0),"")</f>
        <v/>
      </c>
      <c r="D1717" s="31"/>
      <c r="E1717" s="32" t="str">
        <f>IFERROR(_xlfn.XLOOKUP($B1717,MObra[DESCRIPCION],MObra[VALOR UNIT],,0),"")</f>
        <v/>
      </c>
      <c r="F1717" s="33"/>
      <c r="G1717" s="34" t="str">
        <f>IFERROR(IF(F1717&gt;=0,D1717*E1717*(1+F1717/100),ABS(D1717*E1717/F1717)),"")</f>
        <v/>
      </c>
      <c r="H1717" s="43" t="str">
        <f>IFERROR(G1717*E1700,"")</f>
        <v/>
      </c>
    </row>
    <row r="1718" spans="1:11" ht="12.75" customHeight="1" thickBot="1">
      <c r="A1718" s="35"/>
      <c r="B1718" s="36"/>
      <c r="C1718" s="37" t="str">
        <f t="array" ref="C1718">IFERROR(_xlfn.XLOOKUP(B1718,MObra[[#All],[DESCRIPCION]],MObra[[#All],[UN]],,0),"")</f>
        <v/>
      </c>
      <c r="D1718" s="38"/>
      <c r="E1718" s="39" t="str">
        <f>IFERROR(_xlfn.XLOOKUP($B1718,MObra[DESCRIPCION],MObra[VALOR UNIT],,0),"")</f>
        <v/>
      </c>
      <c r="F1718" s="40"/>
      <c r="G1718" s="41" t="str">
        <f>IFERROR(IF(F1718&gt;=0,D1718*E1718*(1+F1718/100),ABS(D1718*E1718/F1718)),"")</f>
        <v/>
      </c>
      <c r="H1718" s="42" t="str">
        <f>IFERROR(G1718*E1700,"")</f>
        <v/>
      </c>
    </row>
    <row r="1719" spans="1:11" ht="12.75" customHeight="1" thickTop="1" thickBot="1"/>
    <row r="1720" spans="1:11" ht="12.75" customHeight="1" thickTop="1" thickBot="1">
      <c r="A1720" s="6" t="s">
        <v>769</v>
      </c>
      <c r="B1720" s="7" t="str">
        <f>VLOOKUP($A1720,Presupuesto!$A:$D,2,FALSE())</f>
        <v>Punto hidráulico PVC 1 - 1/4"</v>
      </c>
      <c r="C1720" s="8" t="str">
        <f>VLOOKUP($A1720,Presupuesto!$A:$D,3,FALSE())</f>
        <v>Un</v>
      </c>
      <c r="D1720" s="9"/>
      <c r="E1720" s="10">
        <f>VLOOKUP($A1720,Presupuesto!$A:$D,4,FALSE())</f>
        <v>0</v>
      </c>
      <c r="F1720" s="11" t="s">
        <v>2589</v>
      </c>
      <c r="G1720" s="12">
        <f>SUM(G1722:G1738)/2</f>
        <v>105565.64090963712</v>
      </c>
      <c r="H1720" s="13">
        <f>ROUND(SUM(H1722:H1738),0)/2</f>
        <v>0</v>
      </c>
      <c r="I1720" s="10">
        <f>VLOOKUP(A1720,Presupuesto!$A:$F,6,0)</f>
        <v>0</v>
      </c>
      <c r="J1720" s="10">
        <f>+H1720-I1720</f>
        <v>0</v>
      </c>
      <c r="K1720" s="46">
        <f>+H1720-G1720*E1720</f>
        <v>0</v>
      </c>
    </row>
    <row r="1721" spans="1:11" ht="12.75" customHeight="1" thickTop="1">
      <c r="A1721" s="14"/>
      <c r="B1721" s="15" t="s">
        <v>2586</v>
      </c>
      <c r="C1721" s="15" t="s">
        <v>5</v>
      </c>
      <c r="D1721" s="16" t="s">
        <v>6</v>
      </c>
      <c r="E1721" s="17" t="s">
        <v>7</v>
      </c>
      <c r="F1721" s="18" t="s">
        <v>3728</v>
      </c>
      <c r="G1721" s="19" t="s">
        <v>3729</v>
      </c>
      <c r="H1721" s="20" t="s">
        <v>3797</v>
      </c>
    </row>
    <row r="1722" spans="1:11" ht="12.75" customHeight="1">
      <c r="A1722" s="21"/>
      <c r="B1722" s="22" t="s">
        <v>3730</v>
      </c>
      <c r="C1722" s="23"/>
      <c r="D1722" s="24"/>
      <c r="E1722" s="25"/>
      <c r="F1722" s="26"/>
      <c r="G1722" s="27">
        <f>SUM(G1723:G1727)</f>
        <v>52322.046000000002</v>
      </c>
      <c r="H1722" s="27">
        <f>IFERROR(G1722*E1720,"")</f>
        <v>0</v>
      </c>
    </row>
    <row r="1723" spans="1:11" ht="12.75" customHeight="1">
      <c r="A1723" s="28"/>
      <c r="B1723" s="29" t="s">
        <v>3493</v>
      </c>
      <c r="C1723" s="30" t="str">
        <f>IFERROR(_xlfn.XLOOKUP(B1723,Insumo[DESCRIPCION],Insumo[UND],,0),"")</f>
        <v>M</v>
      </c>
      <c r="D1723" s="31">
        <v>3</v>
      </c>
      <c r="E1723" s="32">
        <f>IFERROR(_xlfn.XLOOKUP($B1723,Insumo[DESCRIPCION],Insumo[VALOR],,0),"")</f>
        <v>14482.650000000001</v>
      </c>
      <c r="F1723" s="33">
        <v>3</v>
      </c>
      <c r="G1723" s="34">
        <f>IFERROR(IF(F1723&gt;=0,D1723*E1723*(1+F1723/100),ABS(D1723*E1723/F1723)),"")</f>
        <v>44751.388500000008</v>
      </c>
      <c r="H1723" s="43">
        <f>IFERROR(G1723*E1720,"")</f>
        <v>0</v>
      </c>
    </row>
    <row r="1724" spans="1:11" ht="12.75" customHeight="1">
      <c r="A1724" s="28"/>
      <c r="B1724" s="29" t="s">
        <v>2638</v>
      </c>
      <c r="C1724" s="30" t="str">
        <f>IFERROR(_xlfn.XLOOKUP(B1724,Insumo[DESCRIPCION],Insumo[UND],,0),"")</f>
        <v>Un</v>
      </c>
      <c r="D1724" s="31">
        <f>0.15*3</f>
        <v>0.44999999999999996</v>
      </c>
      <c r="E1724" s="32">
        <f>IFERROR(_xlfn.XLOOKUP($B1724,Insumo[DESCRIPCION],Insumo[VALOR],,0),"")</f>
        <v>12164.25</v>
      </c>
      <c r="F1724" s="33"/>
      <c r="G1724" s="34">
        <f>IFERROR(IF(F1724&gt;=0,D1724*E1724*(1+F1724/100),ABS(D1724*E1724/F1724)),"")</f>
        <v>5473.9124999999995</v>
      </c>
      <c r="H1724" s="43">
        <f>IFERROR(G1724*E1720,"")</f>
        <v>0</v>
      </c>
    </row>
    <row r="1725" spans="1:11" ht="12.75" customHeight="1">
      <c r="A1725" s="28"/>
      <c r="B1725" s="29" t="s">
        <v>3046</v>
      </c>
      <c r="C1725" s="30" t="str">
        <f>IFERROR(_xlfn.XLOOKUP(B1725,Insumo[DESCRIPCION],Insumo[UND],,0),"")</f>
        <v>Un</v>
      </c>
      <c r="D1725" s="31">
        <v>0.02</v>
      </c>
      <c r="E1725" s="32">
        <f>IFERROR(_xlfn.XLOOKUP($B1725,Insumo[DESCRIPCION],Insumo[VALOR],,0),"")</f>
        <v>62413.05</v>
      </c>
      <c r="F1725" s="33"/>
      <c r="G1725" s="34">
        <f>IFERROR(IF(F1725&gt;=0,D1725*E1725*(1+F1725/100),ABS(D1725*E1725/F1725)),"")</f>
        <v>1248.2610000000002</v>
      </c>
      <c r="H1725" s="43">
        <f>IFERROR(G1725*E1720,"")</f>
        <v>0</v>
      </c>
    </row>
    <row r="1726" spans="1:11" ht="12.75" customHeight="1">
      <c r="A1726" s="28"/>
      <c r="B1726" s="29" t="s">
        <v>3329</v>
      </c>
      <c r="C1726" s="30" t="str">
        <f>IFERROR(_xlfn.XLOOKUP(B1726,Insumo[DESCRIPCION],Insumo[UND],,0),"")</f>
        <v>Un</v>
      </c>
      <c r="D1726" s="31">
        <v>0.02</v>
      </c>
      <c r="E1726" s="32">
        <f>IFERROR(_xlfn.XLOOKUP($B1726,Insumo[DESCRIPCION],Insumo[VALOR],,0),"")</f>
        <v>42424.200000000004</v>
      </c>
      <c r="F1726" s="33"/>
      <c r="G1726" s="34">
        <f>IFERROR(IF(F1726&gt;=0,D1726*E1726*(1+F1726/100),ABS(D1726*E1726/F1726)),"")</f>
        <v>848.48400000000015</v>
      </c>
      <c r="H1726" s="43">
        <f>IFERROR(G1726*E1720,"")</f>
        <v>0</v>
      </c>
    </row>
    <row r="1727" spans="1:11" ht="12.75" customHeight="1">
      <c r="A1727" s="28"/>
      <c r="B1727" s="29"/>
      <c r="C1727" s="30" t="str">
        <f>IFERROR(_xlfn.XLOOKUP(B1727,Insumo[DESCRIPCION],Insumo[UND],,0),"")</f>
        <v/>
      </c>
      <c r="D1727" s="31"/>
      <c r="E1727" s="32" t="str">
        <f>IFERROR(_xlfn.XLOOKUP($B1727,Insumo[DESCRIPCION],Insumo[VALOR],,0),"")</f>
        <v/>
      </c>
      <c r="F1727" s="33"/>
      <c r="G1727" s="34" t="str">
        <f>IFERROR(IF(F1727&gt;=0,D1727*E1727*(1+F1727/100),ABS(D1727*E1727/F1727)),"")</f>
        <v/>
      </c>
      <c r="H1727" s="43" t="str">
        <f>IFERROR(G1727*E1720,"")</f>
        <v/>
      </c>
    </row>
    <row r="1728" spans="1:11" ht="12.75" customHeight="1">
      <c r="A1728" s="21"/>
      <c r="B1728" s="22" t="s">
        <v>3731</v>
      </c>
      <c r="C1728" s="23"/>
      <c r="D1728" s="24"/>
      <c r="E1728" s="25"/>
      <c r="F1728" s="26"/>
      <c r="G1728" s="27">
        <f>SUM(G1729:G1731)</f>
        <v>2535.409281411291</v>
      </c>
      <c r="H1728" s="44">
        <f>G1728*E1720</f>
        <v>0</v>
      </c>
    </row>
    <row r="1729" spans="1:11" ht="12.75" customHeight="1">
      <c r="A1729" s="28"/>
      <c r="B1729" s="29" t="s">
        <v>3626</v>
      </c>
      <c r="C1729" s="30" t="str">
        <f>IFERROR(_xlfn.XLOOKUP(B1729,Equipo[DESCRIPCION],Equipo[UND],,0),"")</f>
        <v>%MO</v>
      </c>
      <c r="D1729" s="31">
        <v>0.05</v>
      </c>
      <c r="E1729" s="32">
        <f>IF(C1729="%MO",G1735,IFERROR(_xlfn.XLOOKUP($B1729,Equipo[DESCRIPCION],Equipo[VALOR],,0),""))</f>
        <v>50708.185628225816</v>
      </c>
      <c r="F1729" s="33"/>
      <c r="G1729" s="34">
        <f>IFERROR(IF(F1729&gt;=0,D1729*E1729*(1+F1729/100),ABS(D1729*E1729/F1729)),"")</f>
        <v>2535.409281411291</v>
      </c>
      <c r="H1729" s="43">
        <f>IFERROR(G1729*E1720,"")</f>
        <v>0</v>
      </c>
    </row>
    <row r="1730" spans="1:11" ht="12.75" customHeight="1">
      <c r="A1730" s="28"/>
      <c r="B1730" s="29"/>
      <c r="C1730" s="30" t="str">
        <f>IFERROR(_xlfn.XLOOKUP(B1730,Equipo[DESCRIPCION],Equipo[UND],,0),"")</f>
        <v/>
      </c>
      <c r="D1730" s="31"/>
      <c r="E1730" s="32" t="str">
        <f>IF(C1730="%MO",G1735,IFERROR(_xlfn.XLOOKUP($B1730,Equipo[DESCRIPCION],Equipo[VALOR],,0),""))</f>
        <v/>
      </c>
      <c r="F1730" s="33"/>
      <c r="G1730" s="34" t="str">
        <f>IFERROR(IF(F1730&gt;=0,D1730*E1730*(1+F1730/100),ABS(D1730*E1730/F1730)),"")</f>
        <v/>
      </c>
      <c r="H1730" s="43" t="str">
        <f>IFERROR(G1730*E1720,"")</f>
        <v/>
      </c>
    </row>
    <row r="1731" spans="1:11" ht="12.75" customHeight="1">
      <c r="A1731" s="28"/>
      <c r="B1731" s="29"/>
      <c r="C1731" s="30" t="str">
        <f>IFERROR(_xlfn.XLOOKUP(B1731,Equipo[DESCRIPCION],Equipo[UND],,0),"")</f>
        <v/>
      </c>
      <c r="D1731" s="31"/>
      <c r="E1731" s="32" t="str">
        <f>IF(C1731="%MO",G1735,IFERROR(_xlfn.XLOOKUP($B1731,Equipo[DESCRIPCION],Equipo[VALOR],,0),""))</f>
        <v/>
      </c>
      <c r="F1731" s="33"/>
      <c r="G1731" s="34" t="str">
        <f>IFERROR(IF(F1731&gt;=0,D1731*E1731*(1+F1731/100),ABS(D1731*E1731/F1731)),"")</f>
        <v/>
      </c>
      <c r="H1731" s="43" t="str">
        <f>IFERROR(G1731*E1720,"")</f>
        <v/>
      </c>
    </row>
    <row r="1732" spans="1:11" ht="12.75" customHeight="1">
      <c r="A1732" s="21"/>
      <c r="B1732" s="22" t="s">
        <v>2533</v>
      </c>
      <c r="C1732" s="23"/>
      <c r="D1732" s="24"/>
      <c r="E1732" s="25"/>
      <c r="F1732" s="26"/>
      <c r="G1732" s="27">
        <f>SUM(G1733:G1734)</f>
        <v>0</v>
      </c>
      <c r="H1732" s="44">
        <f>G1732*E1720</f>
        <v>0</v>
      </c>
    </row>
    <row r="1733" spans="1:11" ht="12.75" customHeight="1">
      <c r="A1733" s="28"/>
      <c r="B1733" s="29"/>
      <c r="C1733" s="30" t="str">
        <f>IFERROR(_xlfn.XLOOKUP(B1733,Transporte[DESCRIPCION],Transporte[UND],,0),"")</f>
        <v/>
      </c>
      <c r="D1733" s="31"/>
      <c r="E1733" s="32" t="str">
        <f>IFERROR(_xlfn.XLOOKUP($B1733,Transporte[DESCRIPCION],Transporte[VALOR],,0),"")</f>
        <v/>
      </c>
      <c r="F1733" s="33"/>
      <c r="G1733" s="34" t="str">
        <f>IFERROR(IF(F1733&gt;=0,D1733*E1733*(1+F1733/100),ABS(D1733*E1733/F1733)),"")</f>
        <v/>
      </c>
      <c r="H1733" s="43" t="str">
        <f>IFERROR(G1733*E1720,"")</f>
        <v/>
      </c>
    </row>
    <row r="1734" spans="1:11" ht="12.75" customHeight="1">
      <c r="A1734" s="28"/>
      <c r="B1734" s="29"/>
      <c r="C1734" s="30" t="str">
        <f>IFERROR(_xlfn.XLOOKUP(B1734,Transporte[DESCRIPCION],Transporte[UND],,0),"")</f>
        <v/>
      </c>
      <c r="D1734" s="31"/>
      <c r="E1734" s="32" t="str">
        <f>IFERROR(_xlfn.XLOOKUP($B1734,Transporte[DESCRIPCION],Transporte[VALOR],,0),"")</f>
        <v/>
      </c>
      <c r="F1734" s="33"/>
      <c r="G1734" s="34" t="str">
        <f>IFERROR(IF(F1734&gt;=0,D1734*E1734*(1+F1734/100),ABS(D1734*E1734/F1734)),"")</f>
        <v/>
      </c>
      <c r="H1734" s="43" t="str">
        <f>IFERROR(G1734*E1720,"")</f>
        <v/>
      </c>
    </row>
    <row r="1735" spans="1:11" ht="12.75" customHeight="1">
      <c r="A1735" s="21"/>
      <c r="B1735" s="22" t="s">
        <v>3732</v>
      </c>
      <c r="C1735" s="23"/>
      <c r="D1735" s="24"/>
      <c r="E1735" s="25"/>
      <c r="F1735" s="26"/>
      <c r="G1735" s="27">
        <f>SUM(G1736:G1738)</f>
        <v>50708.185628225816</v>
      </c>
      <c r="H1735" s="44">
        <f>G1735*E1720</f>
        <v>0</v>
      </c>
    </row>
    <row r="1736" spans="1:11" ht="12.75" customHeight="1">
      <c r="A1736" s="28"/>
      <c r="B1736" s="29" t="s">
        <v>3710</v>
      </c>
      <c r="C1736" s="30" t="str">
        <f>IFERROR(_xlfn.XLOOKUP(B1736,MObra[DESCRIPCION],MObra[UN],,0),"")</f>
        <v>día</v>
      </c>
      <c r="D1736" s="31">
        <v>1</v>
      </c>
      <c r="E1736" s="32">
        <f>IFERROR(_xlfn.XLOOKUP($B1736,MObra[DESCRIPCION],MObra[VALOR UNIT],,0),"")</f>
        <v>314390.75089500006</v>
      </c>
      <c r="F1736" s="33">
        <v>-6.2</v>
      </c>
      <c r="G1736" s="34">
        <f>IFERROR(IF(F1736&gt;=0,D1736*E1736*(1+F1736/100),ABS(D1736*E1736/F1736)),"")</f>
        <v>50708.185628225816</v>
      </c>
      <c r="H1736" s="43">
        <f>IFERROR(G1736*E1720,"")</f>
        <v>0</v>
      </c>
    </row>
    <row r="1737" spans="1:11" ht="12.75" customHeight="1">
      <c r="A1737" s="28"/>
      <c r="B1737" s="29"/>
      <c r="C1737" s="30" t="str">
        <f t="array" ref="C1737">IFERROR(_xlfn.XLOOKUP(B1737,MObra[[#All],[DESCRIPCION]],MObra[[#All],[UN]],,0),"")</f>
        <v/>
      </c>
      <c r="D1737" s="31"/>
      <c r="E1737" s="32" t="str">
        <f>IFERROR(_xlfn.XLOOKUP($B1737,MObra[DESCRIPCION],MObra[VALOR UNIT],,0),"")</f>
        <v/>
      </c>
      <c r="F1737" s="33"/>
      <c r="G1737" s="34" t="str">
        <f>IFERROR(IF(F1737&gt;=0,D1737*E1737*(1+F1737/100),ABS(D1737*E1737/F1737)),"")</f>
        <v/>
      </c>
      <c r="H1737" s="43" t="str">
        <f>IFERROR(G1737*E1720,"")</f>
        <v/>
      </c>
    </row>
    <row r="1738" spans="1:11" ht="12.75" customHeight="1" thickBot="1">
      <c r="A1738" s="35"/>
      <c r="B1738" s="36"/>
      <c r="C1738" s="37" t="str">
        <f t="array" ref="C1738">IFERROR(_xlfn.XLOOKUP(B1738,MObra[[#All],[DESCRIPCION]],MObra[[#All],[UN]],,0),"")</f>
        <v/>
      </c>
      <c r="D1738" s="38"/>
      <c r="E1738" s="39" t="str">
        <f>IFERROR(_xlfn.XLOOKUP($B1738,MObra[DESCRIPCION],MObra[VALOR UNIT],,0),"")</f>
        <v/>
      </c>
      <c r="F1738" s="40"/>
      <c r="G1738" s="41" t="str">
        <f>IFERROR(IF(F1738&gt;=0,D1738*E1738*(1+F1738/100),ABS(D1738*E1738/F1738)),"")</f>
        <v/>
      </c>
      <c r="H1738" s="42" t="str">
        <f>IFERROR(G1738*E1720,"")</f>
        <v/>
      </c>
    </row>
    <row r="1739" spans="1:11" ht="12.75" customHeight="1" thickTop="1" thickBot="1"/>
    <row r="1740" spans="1:11" ht="12.75" customHeight="1" thickTop="1" thickBot="1">
      <c r="A1740" s="6" t="s">
        <v>771</v>
      </c>
      <c r="B1740" s="7" t="str">
        <f>VLOOKUP($A1740,Presupuesto!$A:$D,2,FALSE())</f>
        <v>Punto hidráulico PVC 1 - 1/2"</v>
      </c>
      <c r="C1740" s="8" t="str">
        <f>VLOOKUP($A1740,Presupuesto!$A:$D,3,FALSE())</f>
        <v>Un</v>
      </c>
      <c r="D1740" s="9"/>
      <c r="E1740" s="10">
        <f>VLOOKUP($A1740,Presupuesto!$A:$D,4,FALSE())</f>
        <v>0</v>
      </c>
      <c r="F1740" s="11" t="s">
        <v>2589</v>
      </c>
      <c r="G1740" s="12">
        <f>SUM(G1742:G1758)/2</f>
        <v>123424.19615662505</v>
      </c>
      <c r="H1740" s="13">
        <f>ROUND(SUM(H1742:H1758),0)/2</f>
        <v>0</v>
      </c>
      <c r="I1740" s="10">
        <f>VLOOKUP(A1740,Presupuesto!$A:$F,6,0)</f>
        <v>0</v>
      </c>
      <c r="J1740" s="10">
        <f>+H1740-I1740</f>
        <v>0</v>
      </c>
      <c r="K1740" s="46">
        <f>+H1740-G1740*E1740</f>
        <v>0</v>
      </c>
    </row>
    <row r="1741" spans="1:11" ht="12.75" customHeight="1" thickTop="1">
      <c r="A1741" s="14"/>
      <c r="B1741" s="15" t="s">
        <v>2586</v>
      </c>
      <c r="C1741" s="15" t="s">
        <v>5</v>
      </c>
      <c r="D1741" s="16" t="s">
        <v>6</v>
      </c>
      <c r="E1741" s="17" t="s">
        <v>7</v>
      </c>
      <c r="F1741" s="18" t="s">
        <v>3728</v>
      </c>
      <c r="G1741" s="19" t="s">
        <v>3729</v>
      </c>
      <c r="H1741" s="20" t="s">
        <v>3797</v>
      </c>
    </row>
    <row r="1742" spans="1:11" ht="12.75" customHeight="1">
      <c r="A1742" s="21"/>
      <c r="B1742" s="22" t="s">
        <v>3730</v>
      </c>
      <c r="C1742" s="23"/>
      <c r="D1742" s="24"/>
      <c r="E1742" s="25"/>
      <c r="F1742" s="26"/>
      <c r="G1742" s="27">
        <f>SUM(G1743:G1747)</f>
        <v>68405.81474999999</v>
      </c>
      <c r="H1742" s="27">
        <f>IFERROR(G1742*E1740,"")</f>
        <v>0</v>
      </c>
    </row>
    <row r="1743" spans="1:11" ht="12.75" customHeight="1">
      <c r="A1743" s="28"/>
      <c r="B1743" s="29" t="s">
        <v>3492</v>
      </c>
      <c r="C1743" s="30" t="str">
        <f>IFERROR(_xlfn.XLOOKUP(B1743,Insumo[DESCRIPCION],Insumo[UND],,0),"")</f>
        <v>M</v>
      </c>
      <c r="D1743" s="31">
        <v>3</v>
      </c>
      <c r="E1743" s="32">
        <f>IFERROR(_xlfn.XLOOKUP($B1743,Insumo[DESCRIPCION],Insumo[VALOR],,0),"")</f>
        <v>18960.900000000001</v>
      </c>
      <c r="F1743" s="33">
        <v>3</v>
      </c>
      <c r="G1743" s="34">
        <f>IFERROR(IF(F1743&gt;=0,D1743*E1743*(1+F1743/100),ABS(D1743*E1743/F1743)),"")</f>
        <v>58589.181000000004</v>
      </c>
      <c r="H1743" s="43">
        <f>IFERROR(G1743*E1740,"")</f>
        <v>0</v>
      </c>
    </row>
    <row r="1744" spans="1:11" ht="12.75" customHeight="1">
      <c r="A1744" s="28"/>
      <c r="B1744" s="29" t="s">
        <v>2637</v>
      </c>
      <c r="C1744" s="30" t="str">
        <f>IFERROR(_xlfn.XLOOKUP(B1744,Insumo[DESCRIPCION],Insumo[UND],,0),"")</f>
        <v>Un</v>
      </c>
      <c r="D1744" s="31">
        <f>0.15*3</f>
        <v>0.44999999999999996</v>
      </c>
      <c r="E1744" s="32">
        <f>IFERROR(_xlfn.XLOOKUP($B1744,Insumo[DESCRIPCION],Insumo[VALOR],,0),"")</f>
        <v>15990.45</v>
      </c>
      <c r="F1744" s="33"/>
      <c r="G1744" s="34">
        <f>IFERROR(IF(F1744&gt;=0,D1744*E1744*(1+F1744/100),ABS(D1744*E1744/F1744)),"")</f>
        <v>7195.7024999999994</v>
      </c>
      <c r="H1744" s="43">
        <f>IFERROR(G1744*E1740,"")</f>
        <v>0</v>
      </c>
    </row>
    <row r="1745" spans="1:11" ht="12.75" customHeight="1">
      <c r="A1745" s="28"/>
      <c r="B1745" s="29" t="s">
        <v>3046</v>
      </c>
      <c r="C1745" s="30" t="str">
        <f>IFERROR(_xlfn.XLOOKUP(B1745,Insumo[DESCRIPCION],Insumo[UND],,0),"")</f>
        <v>Un</v>
      </c>
      <c r="D1745" s="31">
        <v>2.5000000000000001E-2</v>
      </c>
      <c r="E1745" s="32">
        <f>IFERROR(_xlfn.XLOOKUP($B1745,Insumo[DESCRIPCION],Insumo[VALOR],,0),"")</f>
        <v>62413.05</v>
      </c>
      <c r="F1745" s="33"/>
      <c r="G1745" s="34">
        <f>IFERROR(IF(F1745&gt;=0,D1745*E1745*(1+F1745/100),ABS(D1745*E1745/F1745)),"")</f>
        <v>1560.3262500000001</v>
      </c>
      <c r="H1745" s="43">
        <f>IFERROR(G1745*E1740,"")</f>
        <v>0</v>
      </c>
    </row>
    <row r="1746" spans="1:11" ht="12.75" customHeight="1">
      <c r="A1746" s="28"/>
      <c r="B1746" s="29" t="s">
        <v>3329</v>
      </c>
      <c r="C1746" s="30" t="str">
        <f>IFERROR(_xlfn.XLOOKUP(B1746,Insumo[DESCRIPCION],Insumo[UND],,0),"")</f>
        <v>Un</v>
      </c>
      <c r="D1746" s="31">
        <v>2.5000000000000001E-2</v>
      </c>
      <c r="E1746" s="32">
        <f>IFERROR(_xlfn.XLOOKUP($B1746,Insumo[DESCRIPCION],Insumo[VALOR],,0),"")</f>
        <v>42424.200000000004</v>
      </c>
      <c r="F1746" s="33"/>
      <c r="G1746" s="34">
        <f>IFERROR(IF(F1746&gt;=0,D1746*E1746*(1+F1746/100),ABS(D1746*E1746/F1746)),"")</f>
        <v>1060.6050000000002</v>
      </c>
      <c r="H1746" s="43">
        <f>IFERROR(G1746*E1740,"")</f>
        <v>0</v>
      </c>
    </row>
    <row r="1747" spans="1:11" ht="12.75" customHeight="1">
      <c r="A1747" s="28"/>
      <c r="B1747" s="29"/>
      <c r="C1747" s="30" t="str">
        <f>IFERROR(_xlfn.XLOOKUP(B1747,Insumo[DESCRIPCION],Insumo[UND],,0),"")</f>
        <v/>
      </c>
      <c r="D1747" s="31"/>
      <c r="E1747" s="32" t="str">
        <f>IFERROR(_xlfn.XLOOKUP($B1747,Insumo[DESCRIPCION],Insumo[VALOR],,0),"")</f>
        <v/>
      </c>
      <c r="F1747" s="33"/>
      <c r="G1747" s="34" t="str">
        <f>IFERROR(IF(F1747&gt;=0,D1747*E1747*(1+F1747/100),ABS(D1747*E1747/F1747)),"")</f>
        <v/>
      </c>
      <c r="H1747" s="43" t="str">
        <f>IFERROR(G1747*E1740,"")</f>
        <v/>
      </c>
    </row>
    <row r="1748" spans="1:11" ht="12.75" customHeight="1">
      <c r="A1748" s="21"/>
      <c r="B1748" s="22" t="s">
        <v>3731</v>
      </c>
      <c r="C1748" s="23"/>
      <c r="D1748" s="24"/>
      <c r="E1748" s="25"/>
      <c r="F1748" s="26"/>
      <c r="G1748" s="27">
        <f>SUM(G1749:G1751)</f>
        <v>2619.9229241250009</v>
      </c>
      <c r="H1748" s="44">
        <f>G1748*E1740</f>
        <v>0</v>
      </c>
    </row>
    <row r="1749" spans="1:11" ht="12.75" customHeight="1">
      <c r="A1749" s="28"/>
      <c r="B1749" s="29" t="s">
        <v>3626</v>
      </c>
      <c r="C1749" s="30" t="str">
        <f>IFERROR(_xlfn.XLOOKUP(B1749,Equipo[DESCRIPCION],Equipo[UND],,0),"")</f>
        <v>%MO</v>
      </c>
      <c r="D1749" s="31">
        <v>0.05</v>
      </c>
      <c r="E1749" s="32">
        <f>IF(C1749="%MO",G1755,IFERROR(_xlfn.XLOOKUP($B1749,Equipo[DESCRIPCION],Equipo[VALOR],,0),""))</f>
        <v>52398.458482500013</v>
      </c>
      <c r="F1749" s="33"/>
      <c r="G1749" s="34">
        <f>IFERROR(IF(F1749&gt;=0,D1749*E1749*(1+F1749/100),ABS(D1749*E1749/F1749)),"")</f>
        <v>2619.9229241250009</v>
      </c>
      <c r="H1749" s="43">
        <f>IFERROR(G1749*E1740,"")</f>
        <v>0</v>
      </c>
    </row>
    <row r="1750" spans="1:11" ht="12.75" customHeight="1">
      <c r="A1750" s="28"/>
      <c r="B1750" s="29"/>
      <c r="C1750" s="30" t="str">
        <f>IFERROR(_xlfn.XLOOKUP(B1750,Equipo[DESCRIPCION],Equipo[UND],,0),"")</f>
        <v/>
      </c>
      <c r="D1750" s="31"/>
      <c r="E1750" s="32" t="str">
        <f>IF(C1750="%MO",G1755,IFERROR(_xlfn.XLOOKUP($B1750,Equipo[DESCRIPCION],Equipo[VALOR],,0),""))</f>
        <v/>
      </c>
      <c r="F1750" s="33"/>
      <c r="G1750" s="34" t="str">
        <f>IFERROR(IF(F1750&gt;=0,D1750*E1750*(1+F1750/100),ABS(D1750*E1750/F1750)),"")</f>
        <v/>
      </c>
      <c r="H1750" s="43" t="str">
        <f>IFERROR(G1750*E1740,"")</f>
        <v/>
      </c>
    </row>
    <row r="1751" spans="1:11" ht="12.75" customHeight="1">
      <c r="A1751" s="28"/>
      <c r="B1751" s="29"/>
      <c r="C1751" s="30" t="str">
        <f>IFERROR(_xlfn.XLOOKUP(B1751,Equipo[DESCRIPCION],Equipo[UND],,0),"")</f>
        <v/>
      </c>
      <c r="D1751" s="31"/>
      <c r="E1751" s="32" t="str">
        <f>IF(C1751="%MO",G1755,IFERROR(_xlfn.XLOOKUP($B1751,Equipo[DESCRIPCION],Equipo[VALOR],,0),""))</f>
        <v/>
      </c>
      <c r="F1751" s="33"/>
      <c r="G1751" s="34" t="str">
        <f>IFERROR(IF(F1751&gt;=0,D1751*E1751*(1+F1751/100),ABS(D1751*E1751/F1751)),"")</f>
        <v/>
      </c>
      <c r="H1751" s="43" t="str">
        <f>IFERROR(G1751*E1740,"")</f>
        <v/>
      </c>
    </row>
    <row r="1752" spans="1:11" ht="12.75" customHeight="1">
      <c r="A1752" s="21"/>
      <c r="B1752" s="22" t="s">
        <v>2533</v>
      </c>
      <c r="C1752" s="23"/>
      <c r="D1752" s="24"/>
      <c r="E1752" s="25"/>
      <c r="F1752" s="26"/>
      <c r="G1752" s="27">
        <f>SUM(G1753:G1754)</f>
        <v>0</v>
      </c>
      <c r="H1752" s="44">
        <f>G1752*E1740</f>
        <v>0</v>
      </c>
    </row>
    <row r="1753" spans="1:11" ht="12.75" customHeight="1">
      <c r="A1753" s="28"/>
      <c r="B1753" s="29"/>
      <c r="C1753" s="30" t="str">
        <f>IFERROR(_xlfn.XLOOKUP(B1753,Transporte[DESCRIPCION],Transporte[UND],,0),"")</f>
        <v/>
      </c>
      <c r="D1753" s="31"/>
      <c r="E1753" s="32" t="str">
        <f>IFERROR(_xlfn.XLOOKUP($B1753,Transporte[DESCRIPCION],Transporte[VALOR],,0),"")</f>
        <v/>
      </c>
      <c r="F1753" s="33"/>
      <c r="G1753" s="34" t="str">
        <f>IFERROR(IF(F1753&gt;=0,D1753*E1753*(1+F1753/100),ABS(D1753*E1753/F1753)),"")</f>
        <v/>
      </c>
      <c r="H1753" s="43" t="str">
        <f>IFERROR(G1753*E1740,"")</f>
        <v/>
      </c>
    </row>
    <row r="1754" spans="1:11" ht="12.75" customHeight="1">
      <c r="A1754" s="28"/>
      <c r="B1754" s="29"/>
      <c r="C1754" s="30" t="str">
        <f>IFERROR(_xlfn.XLOOKUP(B1754,Transporte[DESCRIPCION],Transporte[UND],,0),"")</f>
        <v/>
      </c>
      <c r="D1754" s="31"/>
      <c r="E1754" s="32" t="str">
        <f>IFERROR(_xlfn.XLOOKUP($B1754,Transporte[DESCRIPCION],Transporte[VALOR],,0),"")</f>
        <v/>
      </c>
      <c r="F1754" s="33"/>
      <c r="G1754" s="34" t="str">
        <f>IFERROR(IF(F1754&gt;=0,D1754*E1754*(1+F1754/100),ABS(D1754*E1754/F1754)),"")</f>
        <v/>
      </c>
      <c r="H1754" s="43" t="str">
        <f>IFERROR(G1754*E1740,"")</f>
        <v/>
      </c>
    </row>
    <row r="1755" spans="1:11" ht="12.75" customHeight="1">
      <c r="A1755" s="21"/>
      <c r="B1755" s="22" t="s">
        <v>3732</v>
      </c>
      <c r="C1755" s="23"/>
      <c r="D1755" s="24"/>
      <c r="E1755" s="25"/>
      <c r="F1755" s="26"/>
      <c r="G1755" s="27">
        <f>SUM(G1756:G1758)</f>
        <v>52398.458482500013</v>
      </c>
      <c r="H1755" s="44">
        <f>G1755*E1740</f>
        <v>0</v>
      </c>
    </row>
    <row r="1756" spans="1:11" ht="12.75" customHeight="1">
      <c r="A1756" s="28"/>
      <c r="B1756" s="29" t="s">
        <v>3710</v>
      </c>
      <c r="C1756" s="30" t="str">
        <f>IFERROR(_xlfn.XLOOKUP(B1756,MObra[DESCRIPCION],MObra[UN],,0),"")</f>
        <v>día</v>
      </c>
      <c r="D1756" s="31">
        <v>1</v>
      </c>
      <c r="E1756" s="32">
        <f>IFERROR(_xlfn.XLOOKUP($B1756,MObra[DESCRIPCION],MObra[VALOR UNIT],,0),"")</f>
        <v>314390.75089500006</v>
      </c>
      <c r="F1756" s="33">
        <v>-6</v>
      </c>
      <c r="G1756" s="34">
        <f>IFERROR(IF(F1756&gt;=0,D1756*E1756*(1+F1756/100),ABS(D1756*E1756/F1756)),"")</f>
        <v>52398.458482500013</v>
      </c>
      <c r="H1756" s="43">
        <f>IFERROR(G1756*E1740,"")</f>
        <v>0</v>
      </c>
    </row>
    <row r="1757" spans="1:11" ht="12.75" customHeight="1">
      <c r="A1757" s="28"/>
      <c r="B1757" s="29"/>
      <c r="C1757" s="30" t="str">
        <f t="array" ref="C1757">IFERROR(_xlfn.XLOOKUP(B1757,MObra[[#All],[DESCRIPCION]],MObra[[#All],[UN]],,0),"")</f>
        <v/>
      </c>
      <c r="D1757" s="31"/>
      <c r="E1757" s="32" t="str">
        <f>IFERROR(_xlfn.XLOOKUP($B1757,MObra[DESCRIPCION],MObra[VALOR UNIT],,0),"")</f>
        <v/>
      </c>
      <c r="F1757" s="33"/>
      <c r="G1757" s="34" t="str">
        <f>IFERROR(IF(F1757&gt;=0,D1757*E1757*(1+F1757/100),ABS(D1757*E1757/F1757)),"")</f>
        <v/>
      </c>
      <c r="H1757" s="43" t="str">
        <f>IFERROR(G1757*E1740,"")</f>
        <v/>
      </c>
    </row>
    <row r="1758" spans="1:11" ht="12.75" customHeight="1" thickBot="1">
      <c r="A1758" s="35"/>
      <c r="B1758" s="36"/>
      <c r="C1758" s="37" t="str">
        <f t="array" ref="C1758">IFERROR(_xlfn.XLOOKUP(B1758,MObra[[#All],[DESCRIPCION]],MObra[[#All],[UN]],,0),"")</f>
        <v/>
      </c>
      <c r="D1758" s="38"/>
      <c r="E1758" s="39" t="str">
        <f>IFERROR(_xlfn.XLOOKUP($B1758,MObra[DESCRIPCION],MObra[VALOR UNIT],,0),"")</f>
        <v/>
      </c>
      <c r="F1758" s="40"/>
      <c r="G1758" s="41" t="str">
        <f>IFERROR(IF(F1758&gt;=0,D1758*E1758*(1+F1758/100),ABS(D1758*E1758/F1758)),"")</f>
        <v/>
      </c>
      <c r="H1758" s="42" t="str">
        <f>IFERROR(G1758*E1740,"")</f>
        <v/>
      </c>
    </row>
    <row r="1759" spans="1:11" ht="12.75" customHeight="1" thickTop="1" thickBot="1"/>
    <row r="1760" spans="1:11" ht="12.75" customHeight="1" thickTop="1" thickBot="1">
      <c r="A1760" s="6" t="s">
        <v>773</v>
      </c>
      <c r="B1760" s="7" t="str">
        <f>VLOOKUP($A1760,Presupuesto!$A:$D,2,FALSE())</f>
        <v>Punto hidráulico PVC 2"</v>
      </c>
      <c r="C1760" s="8" t="str">
        <f>VLOOKUP($A1760,Presupuesto!$A:$D,3,FALSE())</f>
        <v>Un</v>
      </c>
      <c r="D1760" s="9"/>
      <c r="E1760" s="10">
        <f>VLOOKUP($A1760,Presupuesto!$A:$D,4,FALSE())</f>
        <v>0</v>
      </c>
      <c r="F1760" s="11" t="s">
        <v>2589</v>
      </c>
      <c r="G1760" s="12">
        <f>SUM(G1762:G1778)/2</f>
        <v>161105.12447237069</v>
      </c>
      <c r="H1760" s="13">
        <f>ROUND(SUM(H1762:H1778),0)/2</f>
        <v>0</v>
      </c>
      <c r="I1760" s="10">
        <f>VLOOKUP(A1760,Presupuesto!$A:$F,6,0)</f>
        <v>0</v>
      </c>
      <c r="J1760" s="10">
        <f>+H1760-I1760</f>
        <v>0</v>
      </c>
      <c r="K1760" s="46">
        <f>+H1760-G1760*E1760</f>
        <v>0</v>
      </c>
    </row>
    <row r="1761" spans="1:8" ht="12.75" customHeight="1" thickTop="1">
      <c r="A1761" s="14"/>
      <c r="B1761" s="15" t="s">
        <v>2586</v>
      </c>
      <c r="C1761" s="15" t="s">
        <v>5</v>
      </c>
      <c r="D1761" s="16" t="s">
        <v>6</v>
      </c>
      <c r="E1761" s="17" t="s">
        <v>7</v>
      </c>
      <c r="F1761" s="18" t="s">
        <v>3728</v>
      </c>
      <c r="G1761" s="19" t="s">
        <v>3729</v>
      </c>
      <c r="H1761" s="20" t="s">
        <v>3797</v>
      </c>
    </row>
    <row r="1762" spans="1:8" ht="12.75" customHeight="1">
      <c r="A1762" s="21"/>
      <c r="B1762" s="22" t="s">
        <v>3730</v>
      </c>
      <c r="C1762" s="23"/>
      <c r="D1762" s="24"/>
      <c r="E1762" s="25"/>
      <c r="F1762" s="26"/>
      <c r="G1762" s="27">
        <f>SUM(G1763:G1767)</f>
        <v>104189.5575</v>
      </c>
      <c r="H1762" s="27">
        <f>IFERROR(G1762*E1760,"")</f>
        <v>0</v>
      </c>
    </row>
    <row r="1763" spans="1:8" ht="12.75" customHeight="1">
      <c r="A1763" s="28"/>
      <c r="B1763" s="29" t="s">
        <v>3497</v>
      </c>
      <c r="C1763" s="30" t="str">
        <f>IFERROR(_xlfn.XLOOKUP(B1763,Insumo[DESCRIPCION],Insumo[UND],,0),"")</f>
        <v>M</v>
      </c>
      <c r="D1763" s="31">
        <v>3</v>
      </c>
      <c r="E1763" s="32">
        <f>IFERROR(_xlfn.XLOOKUP($B1763,Insumo[DESCRIPCION],Insumo[VALOR],,0),"")</f>
        <v>29006.25</v>
      </c>
      <c r="F1763" s="33">
        <v>3</v>
      </c>
      <c r="G1763" s="34">
        <f>IFERROR(IF(F1763&gt;=0,D1763*E1763*(1+F1763/100),ABS(D1763*E1763/F1763)),"")</f>
        <v>89629.3125</v>
      </c>
      <c r="H1763" s="43">
        <f>IFERROR(G1763*E1760,"")</f>
        <v>0</v>
      </c>
    </row>
    <row r="1764" spans="1:8" ht="12.75" customHeight="1">
      <c r="A1764" s="28"/>
      <c r="B1764" s="29" t="s">
        <v>2642</v>
      </c>
      <c r="C1764" s="30" t="str">
        <f>IFERROR(_xlfn.XLOOKUP(B1764,Insumo[DESCRIPCION],Insumo[UND],,0),"")</f>
        <v>Un</v>
      </c>
      <c r="D1764" s="31">
        <f>0.15*3</f>
        <v>0.44999999999999996</v>
      </c>
      <c r="E1764" s="32">
        <f>IFERROR(_xlfn.XLOOKUP($B1764,Insumo[DESCRIPCION],Insumo[VALOR],,0),"")</f>
        <v>25366.95</v>
      </c>
      <c r="F1764" s="33"/>
      <c r="G1764" s="34">
        <f>IFERROR(IF(F1764&gt;=0,D1764*E1764*(1+F1764/100),ABS(D1764*E1764/F1764)),"")</f>
        <v>11415.127499999999</v>
      </c>
      <c r="H1764" s="43">
        <f>IFERROR(G1764*E1760,"")</f>
        <v>0</v>
      </c>
    </row>
    <row r="1765" spans="1:8" ht="12.75" customHeight="1">
      <c r="A1765" s="28"/>
      <c r="B1765" s="29" t="s">
        <v>3046</v>
      </c>
      <c r="C1765" s="30" t="str">
        <f>IFERROR(_xlfn.XLOOKUP(B1765,Insumo[DESCRIPCION],Insumo[UND],,0),"")</f>
        <v>Un</v>
      </c>
      <c r="D1765" s="31">
        <v>0.03</v>
      </c>
      <c r="E1765" s="32">
        <f>IFERROR(_xlfn.XLOOKUP($B1765,Insumo[DESCRIPCION],Insumo[VALOR],,0),"")</f>
        <v>62413.05</v>
      </c>
      <c r="F1765" s="33"/>
      <c r="G1765" s="34">
        <f>IFERROR(IF(F1765&gt;=0,D1765*E1765*(1+F1765/100),ABS(D1765*E1765/F1765)),"")</f>
        <v>1872.3915</v>
      </c>
      <c r="H1765" s="43">
        <f>IFERROR(G1765*E1760,"")</f>
        <v>0</v>
      </c>
    </row>
    <row r="1766" spans="1:8" ht="12.75" customHeight="1">
      <c r="A1766" s="28"/>
      <c r="B1766" s="29" t="s">
        <v>3329</v>
      </c>
      <c r="C1766" s="30" t="str">
        <f>IFERROR(_xlfn.XLOOKUP(B1766,Insumo[DESCRIPCION],Insumo[UND],,0),"")</f>
        <v>Un</v>
      </c>
      <c r="D1766" s="31">
        <v>0.03</v>
      </c>
      <c r="E1766" s="32">
        <f>IFERROR(_xlfn.XLOOKUP($B1766,Insumo[DESCRIPCION],Insumo[VALOR],,0),"")</f>
        <v>42424.200000000004</v>
      </c>
      <c r="F1766" s="33"/>
      <c r="G1766" s="34">
        <f>IFERROR(IF(F1766&gt;=0,D1766*E1766*(1+F1766/100),ABS(D1766*E1766/F1766)),"")</f>
        <v>1272.7260000000001</v>
      </c>
      <c r="H1766" s="43">
        <f>IFERROR(G1766*E1760,"")</f>
        <v>0</v>
      </c>
    </row>
    <row r="1767" spans="1:8" ht="12.75" customHeight="1">
      <c r="A1767" s="28"/>
      <c r="B1767" s="29"/>
      <c r="C1767" s="30" t="str">
        <f>IFERROR(_xlfn.XLOOKUP(B1767,Insumo[DESCRIPCION],Insumo[UND],,0),"")</f>
        <v/>
      </c>
      <c r="D1767" s="31"/>
      <c r="E1767" s="32" t="str">
        <f>IFERROR(_xlfn.XLOOKUP($B1767,Insumo[DESCRIPCION],Insumo[VALOR],,0),"")</f>
        <v/>
      </c>
      <c r="F1767" s="33"/>
      <c r="G1767" s="34" t="str">
        <f>IFERROR(IF(F1767&gt;=0,D1767*E1767*(1+F1767/100),ABS(D1767*E1767/F1767)),"")</f>
        <v/>
      </c>
      <c r="H1767" s="43" t="str">
        <f>IFERROR(G1767*E1760,"")</f>
        <v/>
      </c>
    </row>
    <row r="1768" spans="1:8" ht="12.75" customHeight="1">
      <c r="A1768" s="21"/>
      <c r="B1768" s="22" t="s">
        <v>3731</v>
      </c>
      <c r="C1768" s="23"/>
      <c r="D1768" s="24"/>
      <c r="E1768" s="25"/>
      <c r="F1768" s="26"/>
      <c r="G1768" s="27">
        <f>SUM(G1769:G1771)</f>
        <v>2710.265093922415</v>
      </c>
      <c r="H1768" s="44">
        <f>G1768*E1760</f>
        <v>0</v>
      </c>
    </row>
    <row r="1769" spans="1:8" ht="12.75" customHeight="1">
      <c r="A1769" s="28"/>
      <c r="B1769" s="29" t="s">
        <v>3626</v>
      </c>
      <c r="C1769" s="30" t="str">
        <f>IFERROR(_xlfn.XLOOKUP(B1769,Equipo[DESCRIPCION],Equipo[UND],,0),"")</f>
        <v>%MO</v>
      </c>
      <c r="D1769" s="31">
        <v>0.05</v>
      </c>
      <c r="E1769" s="32">
        <f>IF(C1769="%MO",G1775,IFERROR(_xlfn.XLOOKUP($B1769,Equipo[DESCRIPCION],Equipo[VALOR],,0),""))</f>
        <v>54205.301878448292</v>
      </c>
      <c r="F1769" s="33"/>
      <c r="G1769" s="34">
        <f>IFERROR(IF(F1769&gt;=0,D1769*E1769*(1+F1769/100),ABS(D1769*E1769/F1769)),"")</f>
        <v>2710.265093922415</v>
      </c>
      <c r="H1769" s="43">
        <f>IFERROR(G1769*E1760,"")</f>
        <v>0</v>
      </c>
    </row>
    <row r="1770" spans="1:8" ht="12.75" customHeight="1">
      <c r="A1770" s="28"/>
      <c r="B1770" s="29"/>
      <c r="C1770" s="30" t="str">
        <f>IFERROR(_xlfn.XLOOKUP(B1770,Equipo[DESCRIPCION],Equipo[UND],,0),"")</f>
        <v/>
      </c>
      <c r="D1770" s="31"/>
      <c r="E1770" s="32" t="str">
        <f>IF(C1770="%MO",G1775,IFERROR(_xlfn.XLOOKUP($B1770,Equipo[DESCRIPCION],Equipo[VALOR],,0),""))</f>
        <v/>
      </c>
      <c r="F1770" s="33"/>
      <c r="G1770" s="34" t="str">
        <f>IFERROR(IF(F1770&gt;=0,D1770*E1770*(1+F1770/100),ABS(D1770*E1770/F1770)),"")</f>
        <v/>
      </c>
      <c r="H1770" s="43" t="str">
        <f>IFERROR(G1770*E1760,"")</f>
        <v/>
      </c>
    </row>
    <row r="1771" spans="1:8" ht="12.75" customHeight="1">
      <c r="A1771" s="28"/>
      <c r="B1771" s="29"/>
      <c r="C1771" s="30" t="str">
        <f>IFERROR(_xlfn.XLOOKUP(B1771,Equipo[DESCRIPCION],Equipo[UND],,0),"")</f>
        <v/>
      </c>
      <c r="D1771" s="31"/>
      <c r="E1771" s="32" t="str">
        <f>IF(C1771="%MO",G1775,IFERROR(_xlfn.XLOOKUP($B1771,Equipo[DESCRIPCION],Equipo[VALOR],,0),""))</f>
        <v/>
      </c>
      <c r="F1771" s="33"/>
      <c r="G1771" s="34" t="str">
        <f>IFERROR(IF(F1771&gt;=0,D1771*E1771*(1+F1771/100),ABS(D1771*E1771/F1771)),"")</f>
        <v/>
      </c>
      <c r="H1771" s="43" t="str">
        <f>IFERROR(G1771*E1760,"")</f>
        <v/>
      </c>
    </row>
    <row r="1772" spans="1:8" ht="12.75" customHeight="1">
      <c r="A1772" s="21"/>
      <c r="B1772" s="22" t="s">
        <v>2533</v>
      </c>
      <c r="C1772" s="23"/>
      <c r="D1772" s="24"/>
      <c r="E1772" s="25"/>
      <c r="F1772" s="26"/>
      <c r="G1772" s="27">
        <f>SUM(G1773:G1774)</f>
        <v>0</v>
      </c>
      <c r="H1772" s="44">
        <f>G1772*E1760</f>
        <v>0</v>
      </c>
    </row>
    <row r="1773" spans="1:8" ht="12.75" customHeight="1">
      <c r="A1773" s="28"/>
      <c r="B1773" s="29"/>
      <c r="C1773" s="30" t="str">
        <f>IFERROR(_xlfn.XLOOKUP(B1773,Transporte[DESCRIPCION],Transporte[UND],,0),"")</f>
        <v/>
      </c>
      <c r="D1773" s="31"/>
      <c r="E1773" s="32" t="str">
        <f>IFERROR(_xlfn.XLOOKUP($B1773,Transporte[DESCRIPCION],Transporte[VALOR],,0),"")</f>
        <v/>
      </c>
      <c r="F1773" s="33"/>
      <c r="G1773" s="34" t="str">
        <f>IFERROR(IF(F1773&gt;=0,D1773*E1773*(1+F1773/100),ABS(D1773*E1773/F1773)),"")</f>
        <v/>
      </c>
      <c r="H1773" s="43" t="str">
        <f>IFERROR(G1773*E1760,"")</f>
        <v/>
      </c>
    </row>
    <row r="1774" spans="1:8" ht="12.75" customHeight="1">
      <c r="A1774" s="28"/>
      <c r="B1774" s="29"/>
      <c r="C1774" s="30" t="str">
        <f>IFERROR(_xlfn.XLOOKUP(B1774,Transporte[DESCRIPCION],Transporte[UND],,0),"")</f>
        <v/>
      </c>
      <c r="D1774" s="31"/>
      <c r="E1774" s="32" t="str">
        <f>IFERROR(_xlfn.XLOOKUP($B1774,Transporte[DESCRIPCION],Transporte[VALOR],,0),"")</f>
        <v/>
      </c>
      <c r="F1774" s="33"/>
      <c r="G1774" s="34" t="str">
        <f>IFERROR(IF(F1774&gt;=0,D1774*E1774*(1+F1774/100),ABS(D1774*E1774/F1774)),"")</f>
        <v/>
      </c>
      <c r="H1774" s="43" t="str">
        <f>IFERROR(G1774*E1760,"")</f>
        <v/>
      </c>
    </row>
    <row r="1775" spans="1:8" ht="12.75" customHeight="1">
      <c r="A1775" s="21"/>
      <c r="B1775" s="22" t="s">
        <v>3732</v>
      </c>
      <c r="C1775" s="23"/>
      <c r="D1775" s="24"/>
      <c r="E1775" s="25"/>
      <c r="F1775" s="26"/>
      <c r="G1775" s="27">
        <f>SUM(G1776:G1778)</f>
        <v>54205.301878448292</v>
      </c>
      <c r="H1775" s="44">
        <f>G1775*E1760</f>
        <v>0</v>
      </c>
    </row>
    <row r="1776" spans="1:8" ht="12.75" customHeight="1">
      <c r="A1776" s="28"/>
      <c r="B1776" s="29" t="s">
        <v>3710</v>
      </c>
      <c r="C1776" s="30" t="str">
        <f>IFERROR(_xlfn.XLOOKUP(B1776,MObra[DESCRIPCION],MObra[UN],,0),"")</f>
        <v>día</v>
      </c>
      <c r="D1776" s="31">
        <v>1</v>
      </c>
      <c r="E1776" s="32">
        <f>IFERROR(_xlfn.XLOOKUP($B1776,MObra[DESCRIPCION],MObra[VALOR UNIT],,0),"")</f>
        <v>314390.75089500006</v>
      </c>
      <c r="F1776" s="33">
        <v>-5.8</v>
      </c>
      <c r="G1776" s="34">
        <f>IFERROR(IF(F1776&gt;=0,D1776*E1776*(1+F1776/100),ABS(D1776*E1776/F1776)),"")</f>
        <v>54205.301878448292</v>
      </c>
      <c r="H1776" s="43">
        <f>IFERROR(G1776*E1760,"")</f>
        <v>0</v>
      </c>
    </row>
    <row r="1777" spans="1:11" ht="12.75" customHeight="1">
      <c r="A1777" s="28"/>
      <c r="B1777" s="29"/>
      <c r="C1777" s="30" t="str">
        <f t="array" ref="C1777">IFERROR(_xlfn.XLOOKUP(B1777,MObra[[#All],[DESCRIPCION]],MObra[[#All],[UN]],,0),"")</f>
        <v/>
      </c>
      <c r="D1777" s="31"/>
      <c r="E1777" s="32" t="str">
        <f>IFERROR(_xlfn.XLOOKUP($B1777,MObra[DESCRIPCION],MObra[VALOR UNIT],,0),"")</f>
        <v/>
      </c>
      <c r="F1777" s="33"/>
      <c r="G1777" s="34" t="str">
        <f>IFERROR(IF(F1777&gt;=0,D1777*E1777*(1+F1777/100),ABS(D1777*E1777/F1777)),"")</f>
        <v/>
      </c>
      <c r="H1777" s="43" t="str">
        <f>IFERROR(G1777*E1760,"")</f>
        <v/>
      </c>
    </row>
    <row r="1778" spans="1:11" ht="12.75" customHeight="1" thickBot="1">
      <c r="A1778" s="35"/>
      <c r="B1778" s="36"/>
      <c r="C1778" s="37" t="str">
        <f t="array" ref="C1778">IFERROR(_xlfn.XLOOKUP(B1778,MObra[[#All],[DESCRIPCION]],MObra[[#All],[UN]],,0),"")</f>
        <v/>
      </c>
      <c r="D1778" s="38"/>
      <c r="E1778" s="39" t="str">
        <f>IFERROR(_xlfn.XLOOKUP($B1778,MObra[DESCRIPCION],MObra[VALOR UNIT],,0),"")</f>
        <v/>
      </c>
      <c r="F1778" s="40"/>
      <c r="G1778" s="41" t="str">
        <f>IFERROR(IF(F1778&gt;=0,D1778*E1778*(1+F1778/100),ABS(D1778*E1778/F1778)),"")</f>
        <v/>
      </c>
      <c r="H1778" s="42" t="str">
        <f>IFERROR(G1778*E1760,"")</f>
        <v/>
      </c>
    </row>
    <row r="1779" spans="1:11" ht="12.75" customHeight="1" thickTop="1" thickBot="1"/>
    <row r="1780" spans="1:11" ht="12.75" customHeight="1" thickTop="1" thickBot="1">
      <c r="A1780" s="6" t="s">
        <v>775</v>
      </c>
      <c r="B1780" s="7" t="str">
        <f>VLOOKUP($A1780,Presupuesto!$A:$D,2,FALSE())</f>
        <v>Punto hidráulico PVC 2 - 1/2"</v>
      </c>
      <c r="C1780" s="8" t="str">
        <f>VLOOKUP($A1780,Presupuesto!$A:$D,3,FALSE())</f>
        <v>Un</v>
      </c>
      <c r="D1780" s="9"/>
      <c r="E1780" s="10">
        <f>VLOOKUP($A1780,Presupuesto!$A:$D,4,FALSE())</f>
        <v>0</v>
      </c>
      <c r="F1780" s="11" t="s">
        <v>2589</v>
      </c>
      <c r="G1780" s="12">
        <f>SUM(G1782:G1798)/2</f>
        <v>239592.57054281252</v>
      </c>
      <c r="H1780" s="13">
        <f>ROUND(SUM(H1782:H1798),0)/2</f>
        <v>0</v>
      </c>
      <c r="I1780" s="10">
        <f>VLOOKUP(A1780,Presupuesto!$A:$F,6,0)</f>
        <v>0</v>
      </c>
      <c r="J1780" s="10">
        <f>+H1780-I1780</f>
        <v>0</v>
      </c>
      <c r="K1780" s="46">
        <f>+H1780-G1780*E1780</f>
        <v>0</v>
      </c>
    </row>
    <row r="1781" spans="1:11" ht="12.75" customHeight="1" thickTop="1">
      <c r="A1781" s="14"/>
      <c r="B1781" s="15" t="s">
        <v>2586</v>
      </c>
      <c r="C1781" s="15" t="s">
        <v>5</v>
      </c>
      <c r="D1781" s="16" t="s">
        <v>6</v>
      </c>
      <c r="E1781" s="17" t="s">
        <v>7</v>
      </c>
      <c r="F1781" s="18" t="s">
        <v>3728</v>
      </c>
      <c r="G1781" s="19" t="s">
        <v>3729</v>
      </c>
      <c r="H1781" s="20" t="s">
        <v>3797</v>
      </c>
    </row>
    <row r="1782" spans="1:11" ht="12.75" customHeight="1">
      <c r="A1782" s="21"/>
      <c r="B1782" s="22" t="s">
        <v>3730</v>
      </c>
      <c r="C1782" s="23"/>
      <c r="D1782" s="24"/>
      <c r="E1782" s="25"/>
      <c r="F1782" s="26"/>
      <c r="G1782" s="27">
        <f>SUM(G1783:G1787)</f>
        <v>180644.30475000001</v>
      </c>
      <c r="H1782" s="27">
        <f>IFERROR(G1782*E1780,"")</f>
        <v>0</v>
      </c>
    </row>
    <row r="1783" spans="1:11" ht="12.75" customHeight="1">
      <c r="A1783" s="28"/>
      <c r="B1783" s="29" t="s">
        <v>3496</v>
      </c>
      <c r="C1783" s="30" t="str">
        <f>IFERROR(_xlfn.XLOOKUP(B1783,Insumo[DESCRIPCION],Insumo[UND],,0),"")</f>
        <v>M</v>
      </c>
      <c r="D1783" s="31">
        <v>3</v>
      </c>
      <c r="E1783" s="32">
        <f>IFERROR(_xlfn.XLOOKUP($B1783,Insumo[DESCRIPCION],Insumo[VALOR],,0),"")</f>
        <v>46948.65</v>
      </c>
      <c r="F1783" s="33">
        <v>3</v>
      </c>
      <c r="G1783" s="34">
        <f>IFERROR(IF(F1783&gt;=0,D1783*E1783*(1+F1783/100),ABS(D1783*E1783/F1783)),"")</f>
        <v>145071.3285</v>
      </c>
      <c r="H1783" s="43">
        <f>IFERROR(G1783*E1780,"")</f>
        <v>0</v>
      </c>
    </row>
    <row r="1784" spans="1:11" ht="12.75" customHeight="1">
      <c r="A1784" s="28"/>
      <c r="B1784" s="29" t="s">
        <v>2641</v>
      </c>
      <c r="C1784" s="30" t="str">
        <f>IFERROR(_xlfn.XLOOKUP(B1784,Insumo[DESCRIPCION],Insumo[UND],,0),"")</f>
        <v>Un</v>
      </c>
      <c r="D1784" s="31">
        <f>0.15*3</f>
        <v>0.44999999999999996</v>
      </c>
      <c r="E1784" s="32">
        <f>IFERROR(_xlfn.XLOOKUP($B1784,Insumo[DESCRIPCION],Insumo[VALOR],,0),"")</f>
        <v>70897.05</v>
      </c>
      <c r="F1784" s="33"/>
      <c r="G1784" s="34">
        <f>IFERROR(IF(F1784&gt;=0,D1784*E1784*(1+F1784/100),ABS(D1784*E1784/F1784)),"")</f>
        <v>31903.672499999997</v>
      </c>
      <c r="H1784" s="43">
        <f>IFERROR(G1784*E1780,"")</f>
        <v>0</v>
      </c>
    </row>
    <row r="1785" spans="1:11" ht="12.75" customHeight="1">
      <c r="A1785" s="28"/>
      <c r="B1785" s="29" t="s">
        <v>3046</v>
      </c>
      <c r="C1785" s="30" t="str">
        <f>IFERROR(_xlfn.XLOOKUP(B1785,Insumo[DESCRIPCION],Insumo[UND],,0),"")</f>
        <v>Un</v>
      </c>
      <c r="D1785" s="31">
        <v>3.5000000000000003E-2</v>
      </c>
      <c r="E1785" s="32">
        <f>IFERROR(_xlfn.XLOOKUP($B1785,Insumo[DESCRIPCION],Insumo[VALOR],,0),"")</f>
        <v>62413.05</v>
      </c>
      <c r="F1785" s="33"/>
      <c r="G1785" s="34">
        <f>IFERROR(IF(F1785&gt;=0,D1785*E1785*(1+F1785/100),ABS(D1785*E1785/F1785)),"")</f>
        <v>2184.4567500000003</v>
      </c>
      <c r="H1785" s="43">
        <f>IFERROR(G1785*E1780,"")</f>
        <v>0</v>
      </c>
    </row>
    <row r="1786" spans="1:11" ht="12.75" customHeight="1">
      <c r="A1786" s="28"/>
      <c r="B1786" s="29" t="s">
        <v>3329</v>
      </c>
      <c r="C1786" s="30" t="str">
        <f>IFERROR(_xlfn.XLOOKUP(B1786,Insumo[DESCRIPCION],Insumo[UND],,0),"")</f>
        <v>Un</v>
      </c>
      <c r="D1786" s="31">
        <v>3.5000000000000003E-2</v>
      </c>
      <c r="E1786" s="32">
        <f>IFERROR(_xlfn.XLOOKUP($B1786,Insumo[DESCRIPCION],Insumo[VALOR],,0),"")</f>
        <v>42424.200000000004</v>
      </c>
      <c r="F1786" s="33"/>
      <c r="G1786" s="34">
        <f>IFERROR(IF(F1786&gt;=0,D1786*E1786*(1+F1786/100),ABS(D1786*E1786/F1786)),"")</f>
        <v>1484.8470000000002</v>
      </c>
      <c r="H1786" s="43">
        <f>IFERROR(G1786*E1780,"")</f>
        <v>0</v>
      </c>
    </row>
    <row r="1787" spans="1:11" ht="12.75" customHeight="1">
      <c r="A1787" s="28"/>
      <c r="B1787" s="29"/>
      <c r="C1787" s="30" t="str">
        <f>IFERROR(_xlfn.XLOOKUP(B1787,Insumo[DESCRIPCION],Insumo[UND],,0),"")</f>
        <v/>
      </c>
      <c r="D1787" s="31"/>
      <c r="E1787" s="32" t="str">
        <f>IFERROR(_xlfn.XLOOKUP($B1787,Insumo[DESCRIPCION],Insumo[VALOR],,0),"")</f>
        <v/>
      </c>
      <c r="F1787" s="33"/>
      <c r="G1787" s="34" t="str">
        <f>IFERROR(IF(F1787&gt;=0,D1787*E1787*(1+F1787/100),ABS(D1787*E1787/F1787)),"")</f>
        <v/>
      </c>
      <c r="H1787" s="43" t="str">
        <f>IFERROR(G1787*E1780,"")</f>
        <v/>
      </c>
    </row>
    <row r="1788" spans="1:11" ht="12.75" customHeight="1">
      <c r="A1788" s="21"/>
      <c r="B1788" s="22" t="s">
        <v>3731</v>
      </c>
      <c r="C1788" s="23"/>
      <c r="D1788" s="24"/>
      <c r="E1788" s="25"/>
      <c r="F1788" s="26"/>
      <c r="G1788" s="27">
        <f>SUM(G1789:G1791)</f>
        <v>2807.060275848215</v>
      </c>
      <c r="H1788" s="44">
        <f>G1788*E1780</f>
        <v>0</v>
      </c>
    </row>
    <row r="1789" spans="1:11" ht="12.75" customHeight="1">
      <c r="A1789" s="28"/>
      <c r="B1789" s="29" t="s">
        <v>3626</v>
      </c>
      <c r="C1789" s="30" t="str">
        <f>IFERROR(_xlfn.XLOOKUP(B1789,Equipo[DESCRIPCION],Equipo[UND],,0),"")</f>
        <v>%MO</v>
      </c>
      <c r="D1789" s="31">
        <v>0.05</v>
      </c>
      <c r="E1789" s="32">
        <f>IF(C1789="%MO",G1795,IFERROR(_xlfn.XLOOKUP($B1789,Equipo[DESCRIPCION],Equipo[VALOR],,0),""))</f>
        <v>56141.205516964299</v>
      </c>
      <c r="F1789" s="33"/>
      <c r="G1789" s="34">
        <f>IFERROR(IF(F1789&gt;=0,D1789*E1789*(1+F1789/100),ABS(D1789*E1789/F1789)),"")</f>
        <v>2807.060275848215</v>
      </c>
      <c r="H1789" s="43">
        <f>IFERROR(G1789*E1780,"")</f>
        <v>0</v>
      </c>
    </row>
    <row r="1790" spans="1:11" ht="12.75" customHeight="1">
      <c r="A1790" s="28"/>
      <c r="B1790" s="29"/>
      <c r="C1790" s="30" t="str">
        <f>IFERROR(_xlfn.XLOOKUP(B1790,Equipo[DESCRIPCION],Equipo[UND],,0),"")</f>
        <v/>
      </c>
      <c r="D1790" s="31"/>
      <c r="E1790" s="32" t="str">
        <f>IF(C1790="%MO",G1795,IFERROR(_xlfn.XLOOKUP($B1790,Equipo[DESCRIPCION],Equipo[VALOR],,0),""))</f>
        <v/>
      </c>
      <c r="F1790" s="33"/>
      <c r="G1790" s="34" t="str">
        <f>IFERROR(IF(F1790&gt;=0,D1790*E1790*(1+F1790/100),ABS(D1790*E1790/F1790)),"")</f>
        <v/>
      </c>
      <c r="H1790" s="43" t="str">
        <f>IFERROR(G1790*E1780,"")</f>
        <v/>
      </c>
    </row>
    <row r="1791" spans="1:11" ht="12.75" customHeight="1">
      <c r="A1791" s="28"/>
      <c r="B1791" s="29"/>
      <c r="C1791" s="30" t="str">
        <f>IFERROR(_xlfn.XLOOKUP(B1791,Equipo[DESCRIPCION],Equipo[UND],,0),"")</f>
        <v/>
      </c>
      <c r="D1791" s="31"/>
      <c r="E1791" s="32" t="str">
        <f>IF(C1791="%MO",G1795,IFERROR(_xlfn.XLOOKUP($B1791,Equipo[DESCRIPCION],Equipo[VALOR],,0),""))</f>
        <v/>
      </c>
      <c r="F1791" s="33"/>
      <c r="G1791" s="34" t="str">
        <f>IFERROR(IF(F1791&gt;=0,D1791*E1791*(1+F1791/100),ABS(D1791*E1791/F1791)),"")</f>
        <v/>
      </c>
      <c r="H1791" s="43" t="str">
        <f>IFERROR(G1791*E1780,"")</f>
        <v/>
      </c>
    </row>
    <row r="1792" spans="1:11" ht="12.75" customHeight="1">
      <c r="A1792" s="21"/>
      <c r="B1792" s="22" t="s">
        <v>2533</v>
      </c>
      <c r="C1792" s="23"/>
      <c r="D1792" s="24"/>
      <c r="E1792" s="25"/>
      <c r="F1792" s="26"/>
      <c r="G1792" s="27">
        <f>SUM(G1793:G1794)</f>
        <v>0</v>
      </c>
      <c r="H1792" s="44">
        <f>G1792*E1780</f>
        <v>0</v>
      </c>
    </row>
    <row r="1793" spans="1:11" ht="12.75" customHeight="1">
      <c r="A1793" s="28"/>
      <c r="B1793" s="29"/>
      <c r="C1793" s="30" t="str">
        <f>IFERROR(_xlfn.XLOOKUP(B1793,Transporte[DESCRIPCION],Transporte[UND],,0),"")</f>
        <v/>
      </c>
      <c r="D1793" s="31"/>
      <c r="E1793" s="32" t="str">
        <f>IFERROR(_xlfn.XLOOKUP($B1793,Transporte[DESCRIPCION],Transporte[VALOR],,0),"")</f>
        <v/>
      </c>
      <c r="F1793" s="33"/>
      <c r="G1793" s="34" t="str">
        <f>IFERROR(IF(F1793&gt;=0,D1793*E1793*(1+F1793/100),ABS(D1793*E1793/F1793)),"")</f>
        <v/>
      </c>
      <c r="H1793" s="43" t="str">
        <f>IFERROR(G1793*E1780,"")</f>
        <v/>
      </c>
    </row>
    <row r="1794" spans="1:11" ht="12.75" customHeight="1">
      <c r="A1794" s="28"/>
      <c r="B1794" s="29"/>
      <c r="C1794" s="30" t="str">
        <f>IFERROR(_xlfn.XLOOKUP(B1794,Transporte[DESCRIPCION],Transporte[UND],,0),"")</f>
        <v/>
      </c>
      <c r="D1794" s="31"/>
      <c r="E1794" s="32" t="str">
        <f>IFERROR(_xlfn.XLOOKUP($B1794,Transporte[DESCRIPCION],Transporte[VALOR],,0),"")</f>
        <v/>
      </c>
      <c r="F1794" s="33"/>
      <c r="G1794" s="34" t="str">
        <f>IFERROR(IF(F1794&gt;=0,D1794*E1794*(1+F1794/100),ABS(D1794*E1794/F1794)),"")</f>
        <v/>
      </c>
      <c r="H1794" s="43" t="str">
        <f>IFERROR(G1794*E1780,"")</f>
        <v/>
      </c>
    </row>
    <row r="1795" spans="1:11" ht="12.75" customHeight="1">
      <c r="A1795" s="21"/>
      <c r="B1795" s="22" t="s">
        <v>3732</v>
      </c>
      <c r="C1795" s="23"/>
      <c r="D1795" s="24"/>
      <c r="E1795" s="25"/>
      <c r="F1795" s="26"/>
      <c r="G1795" s="27">
        <f>SUM(G1796:G1798)</f>
        <v>56141.205516964299</v>
      </c>
      <c r="H1795" s="44">
        <f>G1795*E1780</f>
        <v>0</v>
      </c>
    </row>
    <row r="1796" spans="1:11" ht="12.75" customHeight="1">
      <c r="A1796" s="28"/>
      <c r="B1796" s="29" t="s">
        <v>3710</v>
      </c>
      <c r="C1796" s="30" t="str">
        <f>IFERROR(_xlfn.XLOOKUP(B1796,MObra[DESCRIPCION],MObra[UN],,0),"")</f>
        <v>día</v>
      </c>
      <c r="D1796" s="31">
        <v>1</v>
      </c>
      <c r="E1796" s="32">
        <f>IFERROR(_xlfn.XLOOKUP($B1796,MObra[DESCRIPCION],MObra[VALOR UNIT],,0),"")</f>
        <v>314390.75089500006</v>
      </c>
      <c r="F1796" s="33">
        <v>-5.6</v>
      </c>
      <c r="G1796" s="34">
        <f>IFERROR(IF(F1796&gt;=0,D1796*E1796*(1+F1796/100),ABS(D1796*E1796/F1796)),"")</f>
        <v>56141.205516964299</v>
      </c>
      <c r="H1796" s="43">
        <f>IFERROR(G1796*E1780,"")</f>
        <v>0</v>
      </c>
    </row>
    <row r="1797" spans="1:11" ht="12.75" customHeight="1">
      <c r="A1797" s="28"/>
      <c r="B1797" s="29"/>
      <c r="C1797" s="30" t="str">
        <f t="array" ref="C1797">IFERROR(_xlfn.XLOOKUP(B1797,MObra[[#All],[DESCRIPCION]],MObra[[#All],[UN]],,0),"")</f>
        <v/>
      </c>
      <c r="D1797" s="31"/>
      <c r="E1797" s="32" t="str">
        <f>IFERROR(_xlfn.XLOOKUP($B1797,MObra[DESCRIPCION],MObra[VALOR UNIT],,0),"")</f>
        <v/>
      </c>
      <c r="F1797" s="33"/>
      <c r="G1797" s="34" t="str">
        <f>IFERROR(IF(F1797&gt;=0,D1797*E1797*(1+F1797/100),ABS(D1797*E1797/F1797)),"")</f>
        <v/>
      </c>
      <c r="H1797" s="43" t="str">
        <f>IFERROR(G1797*E1780,"")</f>
        <v/>
      </c>
    </row>
    <row r="1798" spans="1:11" ht="12.75" customHeight="1" thickBot="1">
      <c r="A1798" s="35"/>
      <c r="B1798" s="36"/>
      <c r="C1798" s="37" t="str">
        <f t="array" ref="C1798">IFERROR(_xlfn.XLOOKUP(B1798,MObra[[#All],[DESCRIPCION]],MObra[[#All],[UN]],,0),"")</f>
        <v/>
      </c>
      <c r="D1798" s="38"/>
      <c r="E1798" s="39" t="str">
        <f>IFERROR(_xlfn.XLOOKUP($B1798,MObra[DESCRIPCION],MObra[VALOR UNIT],,0),"")</f>
        <v/>
      </c>
      <c r="F1798" s="40"/>
      <c r="G1798" s="41" t="str">
        <f>IFERROR(IF(F1798&gt;=0,D1798*E1798*(1+F1798/100),ABS(D1798*E1798/F1798)),"")</f>
        <v/>
      </c>
      <c r="H1798" s="42" t="str">
        <f>IFERROR(G1798*E1780,"")</f>
        <v/>
      </c>
    </row>
    <row r="1799" spans="1:11" ht="12.75" customHeight="1" thickTop="1" thickBot="1"/>
    <row r="1800" spans="1:11" ht="12.75" customHeight="1" thickTop="1" thickBot="1">
      <c r="A1800" s="6" t="s">
        <v>777</v>
      </c>
      <c r="B1800" s="7" t="str">
        <f>VLOOKUP($A1800,Presupuesto!$A:$D,2,FALSE())</f>
        <v>Punto sanitario PVC 1 - 1/2"</v>
      </c>
      <c r="C1800" s="8" t="str">
        <f>VLOOKUP($A1800,Presupuesto!$A:$D,3,FALSE())</f>
        <v>Un</v>
      </c>
      <c r="D1800" s="9"/>
      <c r="E1800" s="10">
        <f>VLOOKUP($A1800,Presupuesto!$A:$D,4,FALSE())</f>
        <v>0</v>
      </c>
      <c r="F1800" s="11" t="s">
        <v>2589</v>
      </c>
      <c r="G1800" s="12">
        <f>SUM(G1802:G1818)/2</f>
        <v>104264.11213425</v>
      </c>
      <c r="H1800" s="13">
        <f>ROUND(SUM(H1802:H1818),0)/2</f>
        <v>0</v>
      </c>
      <c r="I1800" s="10">
        <f>VLOOKUP(A1800,Presupuesto!$A:$F,6,0)</f>
        <v>0</v>
      </c>
      <c r="J1800" s="10">
        <f>+H1800-I1800</f>
        <v>0</v>
      </c>
      <c r="K1800" s="46">
        <f>+H1800-G1800*E1800</f>
        <v>0</v>
      </c>
    </row>
    <row r="1801" spans="1:11" ht="12.75" customHeight="1" thickTop="1">
      <c r="A1801" s="14"/>
      <c r="B1801" s="15" t="s">
        <v>2586</v>
      </c>
      <c r="C1801" s="15" t="s">
        <v>5</v>
      </c>
      <c r="D1801" s="16" t="s">
        <v>6</v>
      </c>
      <c r="E1801" s="17" t="s">
        <v>7</v>
      </c>
      <c r="F1801" s="18" t="s">
        <v>3728</v>
      </c>
      <c r="G1801" s="19" t="s">
        <v>3729</v>
      </c>
      <c r="H1801" s="20" t="s">
        <v>3797</v>
      </c>
    </row>
    <row r="1802" spans="1:11" ht="12.75" customHeight="1">
      <c r="A1802" s="21"/>
      <c r="B1802" s="22" t="s">
        <v>3730</v>
      </c>
      <c r="C1802" s="23"/>
      <c r="D1802" s="24"/>
      <c r="E1802" s="25"/>
      <c r="F1802" s="26"/>
      <c r="G1802" s="27">
        <f>SUM(G1803:G1807)</f>
        <v>57105.499499999998</v>
      </c>
      <c r="H1802" s="27">
        <f>IFERROR(G1802*E1800,"")</f>
        <v>0</v>
      </c>
    </row>
    <row r="1803" spans="1:11" ht="12.75" customHeight="1">
      <c r="A1803" s="28"/>
      <c r="B1803" s="29" t="s">
        <v>3502</v>
      </c>
      <c r="C1803" s="30" t="str">
        <f>IFERROR(_xlfn.XLOOKUP(B1803,Insumo[DESCRIPCION],Insumo[UND],,0),"")</f>
        <v>M</v>
      </c>
      <c r="D1803" s="31">
        <v>3</v>
      </c>
      <c r="E1803" s="32">
        <f>IFERROR(_xlfn.XLOOKUP($B1803,Insumo[DESCRIPCION],Insumo[VALOR],,0),"")</f>
        <v>16774.8</v>
      </c>
      <c r="F1803" s="33">
        <v>3</v>
      </c>
      <c r="G1803" s="34">
        <f>IFERROR(IF(F1803&gt;=0,D1803*E1803*(1+F1803/100),ABS(D1803*E1803/F1803)),"")</f>
        <v>51834.131999999998</v>
      </c>
      <c r="H1803" s="43">
        <f>IFERROR(G1803*E1800,"")</f>
        <v>0</v>
      </c>
    </row>
    <row r="1804" spans="1:11" ht="12.75" customHeight="1">
      <c r="A1804" s="28"/>
      <c r="B1804" s="29" t="s">
        <v>2647</v>
      </c>
      <c r="C1804" s="30" t="str">
        <f>IFERROR(_xlfn.XLOOKUP(B1804,Insumo[DESCRIPCION],Insumo[UND],,0),"")</f>
        <v>Un</v>
      </c>
      <c r="D1804" s="31">
        <f>0.15*3</f>
        <v>0.44999999999999996</v>
      </c>
      <c r="E1804" s="32">
        <f>IFERROR(_xlfn.XLOOKUP($B1804,Insumo[DESCRIPCION],Insumo[VALOR],,0),"")</f>
        <v>4725</v>
      </c>
      <c r="F1804" s="33"/>
      <c r="G1804" s="34">
        <f>IFERROR(IF(F1804&gt;=0,D1804*E1804*(1+F1804/100),ABS(D1804*E1804/F1804)),"")</f>
        <v>2126.25</v>
      </c>
      <c r="H1804" s="43">
        <f>IFERROR(G1804*E1800,"")</f>
        <v>0</v>
      </c>
    </row>
    <row r="1805" spans="1:11" ht="12.75" customHeight="1">
      <c r="A1805" s="28"/>
      <c r="B1805" s="29" t="s">
        <v>3046</v>
      </c>
      <c r="C1805" s="30" t="str">
        <f>IFERROR(_xlfn.XLOOKUP(B1805,Insumo[DESCRIPCION],Insumo[UND],,0),"")</f>
        <v>Un</v>
      </c>
      <c r="D1805" s="31">
        <v>0.03</v>
      </c>
      <c r="E1805" s="32">
        <f>IFERROR(_xlfn.XLOOKUP($B1805,Insumo[DESCRIPCION],Insumo[VALOR],,0),"")</f>
        <v>62413.05</v>
      </c>
      <c r="F1805" s="33"/>
      <c r="G1805" s="34">
        <f>IFERROR(IF(F1805&gt;=0,D1805*E1805*(1+F1805/100),ABS(D1805*E1805/F1805)),"")</f>
        <v>1872.3915</v>
      </c>
      <c r="H1805" s="43">
        <f>IFERROR(G1805*E1800,"")</f>
        <v>0</v>
      </c>
    </row>
    <row r="1806" spans="1:11" ht="12.75" customHeight="1">
      <c r="A1806" s="28"/>
      <c r="B1806" s="29" t="s">
        <v>3329</v>
      </c>
      <c r="C1806" s="30" t="str">
        <f>IFERROR(_xlfn.XLOOKUP(B1806,Insumo[DESCRIPCION],Insumo[UND],,0),"")</f>
        <v>Un</v>
      </c>
      <c r="D1806" s="31">
        <v>0.03</v>
      </c>
      <c r="E1806" s="32">
        <f>IFERROR(_xlfn.XLOOKUP($B1806,Insumo[DESCRIPCION],Insumo[VALOR],,0),"")</f>
        <v>42424.200000000004</v>
      </c>
      <c r="F1806" s="33"/>
      <c r="G1806" s="34">
        <f>IFERROR(IF(F1806&gt;=0,D1806*E1806*(1+F1806/100),ABS(D1806*E1806/F1806)),"")</f>
        <v>1272.7260000000001</v>
      </c>
      <c r="H1806" s="43">
        <f>IFERROR(G1806*E1800,"")</f>
        <v>0</v>
      </c>
    </row>
    <row r="1807" spans="1:11" ht="12.75" customHeight="1">
      <c r="A1807" s="28"/>
      <c r="B1807" s="29"/>
      <c r="C1807" s="30" t="str">
        <f>IFERROR(_xlfn.XLOOKUP(B1807,Insumo[DESCRIPCION],Insumo[UND],,0),"")</f>
        <v/>
      </c>
      <c r="D1807" s="31"/>
      <c r="E1807" s="32" t="str">
        <f>IFERROR(_xlfn.XLOOKUP($B1807,Insumo[DESCRIPCION],Insumo[VALOR],,0),"")</f>
        <v/>
      </c>
      <c r="F1807" s="33"/>
      <c r="G1807" s="34" t="str">
        <f>IFERROR(IF(F1807&gt;=0,D1807*E1807*(1+F1807/100),ABS(D1807*E1807/F1807)),"")</f>
        <v/>
      </c>
      <c r="H1807" s="43" t="str">
        <f>IFERROR(G1807*E1800,"")</f>
        <v/>
      </c>
    </row>
    <row r="1808" spans="1:11" ht="12.75" customHeight="1">
      <c r="A1808" s="21"/>
      <c r="B1808" s="22" t="s">
        <v>3731</v>
      </c>
      <c r="C1808" s="23"/>
      <c r="D1808" s="24"/>
      <c r="E1808" s="25"/>
      <c r="F1808" s="26"/>
      <c r="G1808" s="27">
        <f>SUM(G1809:G1811)</f>
        <v>2245.6482206785722</v>
      </c>
      <c r="H1808" s="44">
        <f>G1808*E1800</f>
        <v>0</v>
      </c>
    </row>
    <row r="1809" spans="1:11" ht="12.75" customHeight="1">
      <c r="A1809" s="28"/>
      <c r="B1809" s="29" t="s">
        <v>3626</v>
      </c>
      <c r="C1809" s="30" t="str">
        <f>IFERROR(_xlfn.XLOOKUP(B1809,Equipo[DESCRIPCION],Equipo[UND],,0),"")</f>
        <v>%MO</v>
      </c>
      <c r="D1809" s="31">
        <v>0.05</v>
      </c>
      <c r="E1809" s="32">
        <f>IF(C1809="%MO",G1815,IFERROR(_xlfn.XLOOKUP($B1809,Equipo[DESCRIPCION],Equipo[VALOR],,0),""))</f>
        <v>44912.964413571441</v>
      </c>
      <c r="F1809" s="33"/>
      <c r="G1809" s="34">
        <f>IFERROR(IF(F1809&gt;=0,D1809*E1809*(1+F1809/100),ABS(D1809*E1809/F1809)),"")</f>
        <v>2245.6482206785722</v>
      </c>
      <c r="H1809" s="43">
        <f>IFERROR(G1809*E1800,"")</f>
        <v>0</v>
      </c>
    </row>
    <row r="1810" spans="1:11" ht="12.75" customHeight="1">
      <c r="A1810" s="28"/>
      <c r="B1810" s="29"/>
      <c r="C1810" s="30" t="str">
        <f>IFERROR(_xlfn.XLOOKUP(B1810,Equipo[DESCRIPCION],Equipo[UND],,0),"")</f>
        <v/>
      </c>
      <c r="D1810" s="31"/>
      <c r="E1810" s="32" t="str">
        <f>IF(C1810="%MO",G1815,IFERROR(_xlfn.XLOOKUP($B1810,Equipo[DESCRIPCION],Equipo[VALOR],,0),""))</f>
        <v/>
      </c>
      <c r="F1810" s="33"/>
      <c r="G1810" s="34" t="str">
        <f>IFERROR(IF(F1810&gt;=0,D1810*E1810*(1+F1810/100),ABS(D1810*E1810/F1810)),"")</f>
        <v/>
      </c>
      <c r="H1810" s="43" t="str">
        <f>IFERROR(G1810*E1800,"")</f>
        <v/>
      </c>
    </row>
    <row r="1811" spans="1:11" ht="12.75" customHeight="1">
      <c r="A1811" s="28"/>
      <c r="B1811" s="29"/>
      <c r="C1811" s="30" t="str">
        <f>IFERROR(_xlfn.XLOOKUP(B1811,Equipo[DESCRIPCION],Equipo[UND],,0),"")</f>
        <v/>
      </c>
      <c r="D1811" s="31"/>
      <c r="E1811" s="32" t="str">
        <f>IF(C1811="%MO",G1815,IFERROR(_xlfn.XLOOKUP($B1811,Equipo[DESCRIPCION],Equipo[VALOR],,0),""))</f>
        <v/>
      </c>
      <c r="F1811" s="33"/>
      <c r="G1811" s="34" t="str">
        <f>IFERROR(IF(F1811&gt;=0,D1811*E1811*(1+F1811/100),ABS(D1811*E1811/F1811)),"")</f>
        <v/>
      </c>
      <c r="H1811" s="43" t="str">
        <f>IFERROR(G1811*E1800,"")</f>
        <v/>
      </c>
    </row>
    <row r="1812" spans="1:11" ht="12.75" customHeight="1">
      <c r="A1812" s="21"/>
      <c r="B1812" s="22" t="s">
        <v>2533</v>
      </c>
      <c r="C1812" s="23"/>
      <c r="D1812" s="24"/>
      <c r="E1812" s="25"/>
      <c r="F1812" s="26"/>
      <c r="G1812" s="27">
        <f>SUM(G1813:G1814)</f>
        <v>0</v>
      </c>
      <c r="H1812" s="44">
        <f>G1812*E1800</f>
        <v>0</v>
      </c>
    </row>
    <row r="1813" spans="1:11" ht="12.75" customHeight="1">
      <c r="A1813" s="28"/>
      <c r="B1813" s="29"/>
      <c r="C1813" s="30" t="str">
        <f>IFERROR(_xlfn.XLOOKUP(B1813,Transporte[DESCRIPCION],Transporte[UND],,0),"")</f>
        <v/>
      </c>
      <c r="D1813" s="31"/>
      <c r="E1813" s="32" t="str">
        <f>IFERROR(_xlfn.XLOOKUP($B1813,Transporte[DESCRIPCION],Transporte[VALOR],,0),"")</f>
        <v/>
      </c>
      <c r="F1813" s="33"/>
      <c r="G1813" s="34" t="str">
        <f>IFERROR(IF(F1813&gt;=0,D1813*E1813*(1+F1813/100),ABS(D1813*E1813/F1813)),"")</f>
        <v/>
      </c>
      <c r="H1813" s="43" t="str">
        <f>IFERROR(G1813*E1800,"")</f>
        <v/>
      </c>
    </row>
    <row r="1814" spans="1:11" ht="12.75" customHeight="1">
      <c r="A1814" s="28"/>
      <c r="B1814" s="29"/>
      <c r="C1814" s="30" t="str">
        <f>IFERROR(_xlfn.XLOOKUP(B1814,Transporte[DESCRIPCION],Transporte[UND],,0),"")</f>
        <v/>
      </c>
      <c r="D1814" s="31"/>
      <c r="E1814" s="32" t="str">
        <f>IFERROR(_xlfn.XLOOKUP($B1814,Transporte[DESCRIPCION],Transporte[VALOR],,0),"")</f>
        <v/>
      </c>
      <c r="F1814" s="33"/>
      <c r="G1814" s="34" t="str">
        <f>IFERROR(IF(F1814&gt;=0,D1814*E1814*(1+F1814/100),ABS(D1814*E1814/F1814)),"")</f>
        <v/>
      </c>
      <c r="H1814" s="43" t="str">
        <f>IFERROR(G1814*E1800,"")</f>
        <v/>
      </c>
    </row>
    <row r="1815" spans="1:11" ht="12.75" customHeight="1">
      <c r="A1815" s="21"/>
      <c r="B1815" s="22" t="s">
        <v>3732</v>
      </c>
      <c r="C1815" s="23"/>
      <c r="D1815" s="24"/>
      <c r="E1815" s="25"/>
      <c r="F1815" s="26"/>
      <c r="G1815" s="27">
        <f>SUM(G1816:G1818)</f>
        <v>44912.964413571441</v>
      </c>
      <c r="H1815" s="44">
        <f>G1815*E1800</f>
        <v>0</v>
      </c>
    </row>
    <row r="1816" spans="1:11" ht="12.75" customHeight="1">
      <c r="A1816" s="28"/>
      <c r="B1816" s="29" t="s">
        <v>3710</v>
      </c>
      <c r="C1816" s="30" t="str">
        <f>IFERROR(_xlfn.XLOOKUP(B1816,MObra[DESCRIPCION],MObra[UN],,0),"")</f>
        <v>día</v>
      </c>
      <c r="D1816" s="31">
        <v>1</v>
      </c>
      <c r="E1816" s="32">
        <f>IFERROR(_xlfn.XLOOKUP($B1816,MObra[DESCRIPCION],MObra[VALOR UNIT],,0),"")</f>
        <v>314390.75089500006</v>
      </c>
      <c r="F1816" s="33">
        <v>-7</v>
      </c>
      <c r="G1816" s="34">
        <f>IFERROR(IF(F1816&gt;=0,D1816*E1816*(1+F1816/100),ABS(D1816*E1816/F1816)),"")</f>
        <v>44912.964413571441</v>
      </c>
      <c r="H1816" s="43">
        <f>IFERROR(G1816*E1800,"")</f>
        <v>0</v>
      </c>
    </row>
    <row r="1817" spans="1:11" ht="12.75" customHeight="1">
      <c r="A1817" s="28"/>
      <c r="B1817" s="29"/>
      <c r="C1817" s="30" t="str">
        <f t="array" ref="C1817">IFERROR(_xlfn.XLOOKUP(B1817,MObra[[#All],[DESCRIPCION]],MObra[[#All],[UN]],,0),"")</f>
        <v/>
      </c>
      <c r="D1817" s="31"/>
      <c r="E1817" s="32" t="str">
        <f>IFERROR(_xlfn.XLOOKUP($B1817,MObra[DESCRIPCION],MObra[VALOR UNIT],,0),"")</f>
        <v/>
      </c>
      <c r="F1817" s="33"/>
      <c r="G1817" s="34" t="str">
        <f>IFERROR(IF(F1817&gt;=0,D1817*E1817*(1+F1817/100),ABS(D1817*E1817/F1817)),"")</f>
        <v/>
      </c>
      <c r="H1817" s="43" t="str">
        <f>IFERROR(G1817*E1800,"")</f>
        <v/>
      </c>
    </row>
    <row r="1818" spans="1:11" ht="12.75" customHeight="1" thickBot="1">
      <c r="A1818" s="35"/>
      <c r="B1818" s="36"/>
      <c r="C1818" s="37" t="str">
        <f t="array" ref="C1818">IFERROR(_xlfn.XLOOKUP(B1818,MObra[[#All],[DESCRIPCION]],MObra[[#All],[UN]],,0),"")</f>
        <v/>
      </c>
      <c r="D1818" s="38"/>
      <c r="E1818" s="39" t="str">
        <f>IFERROR(_xlfn.XLOOKUP($B1818,MObra[DESCRIPCION],MObra[VALOR UNIT],,0),"")</f>
        <v/>
      </c>
      <c r="F1818" s="40"/>
      <c r="G1818" s="41" t="str">
        <f>IFERROR(IF(F1818&gt;=0,D1818*E1818*(1+F1818/100),ABS(D1818*E1818/F1818)),"")</f>
        <v/>
      </c>
      <c r="H1818" s="42" t="str">
        <f>IFERROR(G1818*E1800,"")</f>
        <v/>
      </c>
    </row>
    <row r="1819" spans="1:11" ht="12.75" customHeight="1" thickTop="1" thickBot="1"/>
    <row r="1820" spans="1:11" ht="12.75" customHeight="1" thickTop="1" thickBot="1">
      <c r="A1820" s="6" t="s">
        <v>779</v>
      </c>
      <c r="B1820" s="7" t="str">
        <f>VLOOKUP($A1820,Presupuesto!$A:$D,2,FALSE())</f>
        <v>Punto sanitario PVC 2"</v>
      </c>
      <c r="C1820" s="8" t="str">
        <f>VLOOKUP($A1820,Presupuesto!$A:$D,3,FALSE())</f>
        <v>Un</v>
      </c>
      <c r="D1820" s="9"/>
      <c r="E1820" s="10">
        <f>VLOOKUP($A1820,Presupuesto!$A:$D,4,FALSE())</f>
        <v>0</v>
      </c>
      <c r="F1820" s="11" t="s">
        <v>2589</v>
      </c>
      <c r="G1820" s="12">
        <f>SUM(G1822:G1838)/2</f>
        <v>119243.5993044403</v>
      </c>
      <c r="H1820" s="13">
        <f>ROUND(SUM(H1822:H1838),0)/2</f>
        <v>0</v>
      </c>
      <c r="I1820" s="10">
        <f>VLOOKUP(A1820,Presupuesto!$A:$F,6,0)</f>
        <v>0</v>
      </c>
      <c r="J1820" s="10">
        <f>+H1820-I1820</f>
        <v>0</v>
      </c>
      <c r="K1820" s="46">
        <f>+H1820-G1820*E1820</f>
        <v>0</v>
      </c>
    </row>
    <row r="1821" spans="1:11" ht="12.75" customHeight="1" thickTop="1">
      <c r="A1821" s="14"/>
      <c r="B1821" s="15" t="s">
        <v>2586</v>
      </c>
      <c r="C1821" s="15" t="s">
        <v>5</v>
      </c>
      <c r="D1821" s="16" t="s">
        <v>6</v>
      </c>
      <c r="E1821" s="17" t="s">
        <v>7</v>
      </c>
      <c r="F1821" s="18" t="s">
        <v>3728</v>
      </c>
      <c r="G1821" s="19" t="s">
        <v>3729</v>
      </c>
      <c r="H1821" s="20" t="s">
        <v>3797</v>
      </c>
    </row>
    <row r="1822" spans="1:11" ht="12.75" customHeight="1">
      <c r="A1822" s="21"/>
      <c r="B1822" s="22" t="s">
        <v>3730</v>
      </c>
      <c r="C1822" s="23"/>
      <c r="D1822" s="24"/>
      <c r="E1822" s="25"/>
      <c r="F1822" s="26"/>
      <c r="G1822" s="27">
        <f>SUM(G1823:G1827)</f>
        <v>69973.406999999992</v>
      </c>
      <c r="H1822" s="27">
        <f>IFERROR(G1822*E1820,"")</f>
        <v>0</v>
      </c>
    </row>
    <row r="1823" spans="1:11" ht="12.75" customHeight="1">
      <c r="A1823" s="28"/>
      <c r="B1823" s="29" t="s">
        <v>3503</v>
      </c>
      <c r="C1823" s="30" t="str">
        <f>IFERROR(_xlfn.XLOOKUP(B1823,Insumo[DESCRIPCION],Insumo[UND],,0),"")</f>
        <v>M</v>
      </c>
      <c r="D1823" s="31">
        <v>3</v>
      </c>
      <c r="E1823" s="32">
        <f>IFERROR(_xlfn.XLOOKUP($B1823,Insumo[DESCRIPCION],Insumo[VALOR],,0),"")</f>
        <v>20817.3</v>
      </c>
      <c r="F1823" s="33">
        <v>3</v>
      </c>
      <c r="G1823" s="34">
        <f>IFERROR(IF(F1823&gt;=0,D1823*E1823*(1+F1823/100),ABS(D1823*E1823/F1823)),"")</f>
        <v>64325.456999999995</v>
      </c>
      <c r="H1823" s="43">
        <f>IFERROR(G1823*E1820,"")</f>
        <v>0</v>
      </c>
    </row>
    <row r="1824" spans="1:11" ht="12.75" customHeight="1">
      <c r="A1824" s="28"/>
      <c r="B1824" s="29" t="s">
        <v>2648</v>
      </c>
      <c r="C1824" s="30" t="str">
        <f>IFERROR(_xlfn.XLOOKUP(B1824,Insumo[DESCRIPCION],Insumo[UND],,0),"")</f>
        <v>Un</v>
      </c>
      <c r="D1824" s="31">
        <f>0.15*3</f>
        <v>0.44999999999999996</v>
      </c>
      <c r="E1824" s="32">
        <f>IFERROR(_xlfn.XLOOKUP($B1824,Insumo[DESCRIPCION],Insumo[VALOR],,0),"")</f>
        <v>5561.85</v>
      </c>
      <c r="F1824" s="33"/>
      <c r="G1824" s="34">
        <f>IFERROR(IF(F1824&gt;=0,D1824*E1824*(1+F1824/100),ABS(D1824*E1824/F1824)),"")</f>
        <v>2502.8325</v>
      </c>
      <c r="H1824" s="43">
        <f>IFERROR(G1824*E1820,"")</f>
        <v>0</v>
      </c>
    </row>
    <row r="1825" spans="1:11" ht="12.75" customHeight="1">
      <c r="A1825" s="28"/>
      <c r="B1825" s="29" t="s">
        <v>3046</v>
      </c>
      <c r="C1825" s="30" t="str">
        <f>IFERROR(_xlfn.XLOOKUP(B1825,Insumo[DESCRIPCION],Insumo[UND],,0),"")</f>
        <v>Un</v>
      </c>
      <c r="D1825" s="31">
        <v>0.03</v>
      </c>
      <c r="E1825" s="32">
        <f>IFERROR(_xlfn.XLOOKUP($B1825,Insumo[DESCRIPCION],Insumo[VALOR],,0),"")</f>
        <v>62413.05</v>
      </c>
      <c r="F1825" s="33"/>
      <c r="G1825" s="34">
        <f>IFERROR(IF(F1825&gt;=0,D1825*E1825*(1+F1825/100),ABS(D1825*E1825/F1825)),"")</f>
        <v>1872.3915</v>
      </c>
      <c r="H1825" s="43">
        <f>IFERROR(G1825*E1820,"")</f>
        <v>0</v>
      </c>
    </row>
    <row r="1826" spans="1:11" ht="12.75" customHeight="1">
      <c r="A1826" s="28"/>
      <c r="B1826" s="29" t="s">
        <v>3329</v>
      </c>
      <c r="C1826" s="30" t="str">
        <f>IFERROR(_xlfn.XLOOKUP(B1826,Insumo[DESCRIPCION],Insumo[UND],,0),"")</f>
        <v>Un</v>
      </c>
      <c r="D1826" s="31">
        <v>0.03</v>
      </c>
      <c r="E1826" s="32">
        <f>IFERROR(_xlfn.XLOOKUP($B1826,Insumo[DESCRIPCION],Insumo[VALOR],,0),"")</f>
        <v>42424.200000000004</v>
      </c>
      <c r="F1826" s="33"/>
      <c r="G1826" s="34">
        <f>IFERROR(IF(F1826&gt;=0,D1826*E1826*(1+F1826/100),ABS(D1826*E1826/F1826)),"")</f>
        <v>1272.7260000000001</v>
      </c>
      <c r="H1826" s="43">
        <f>IFERROR(G1826*E1820,"")</f>
        <v>0</v>
      </c>
    </row>
    <row r="1827" spans="1:11" ht="12.75" customHeight="1">
      <c r="A1827" s="28"/>
      <c r="B1827" s="29"/>
      <c r="C1827" s="30" t="str">
        <f>IFERROR(_xlfn.XLOOKUP(B1827,Insumo[DESCRIPCION],Insumo[UND],,0),"")</f>
        <v/>
      </c>
      <c r="D1827" s="31"/>
      <c r="E1827" s="32" t="str">
        <f>IFERROR(_xlfn.XLOOKUP($B1827,Insumo[DESCRIPCION],Insumo[VALOR],,0),"")</f>
        <v/>
      </c>
      <c r="F1827" s="33"/>
      <c r="G1827" s="34" t="str">
        <f>IFERROR(IF(F1827&gt;=0,D1827*E1827*(1+F1827/100),ABS(D1827*E1827/F1827)),"")</f>
        <v/>
      </c>
      <c r="H1827" s="43" t="str">
        <f>IFERROR(G1827*E1820,"")</f>
        <v/>
      </c>
    </row>
    <row r="1828" spans="1:11" ht="12.75" customHeight="1">
      <c r="A1828" s="21"/>
      <c r="B1828" s="22" t="s">
        <v>3731</v>
      </c>
      <c r="C1828" s="23"/>
      <c r="D1828" s="24"/>
      <c r="E1828" s="25"/>
      <c r="F1828" s="26"/>
      <c r="G1828" s="27">
        <f>SUM(G1829:G1831)</f>
        <v>2346.1996335447766</v>
      </c>
      <c r="H1828" s="44">
        <f>G1828*E1820</f>
        <v>0</v>
      </c>
    </row>
    <row r="1829" spans="1:11" ht="12.75" customHeight="1">
      <c r="A1829" s="28"/>
      <c r="B1829" s="29" t="s">
        <v>3626</v>
      </c>
      <c r="C1829" s="30" t="str">
        <f>IFERROR(_xlfn.XLOOKUP(B1829,Equipo[DESCRIPCION],Equipo[UND],,0),"")</f>
        <v>%MO</v>
      </c>
      <c r="D1829" s="31">
        <v>0.05</v>
      </c>
      <c r="E1829" s="32">
        <f>IF(C1829="%MO",G1835,IFERROR(_xlfn.XLOOKUP($B1829,Equipo[DESCRIPCION],Equipo[VALOR],,0),""))</f>
        <v>46923.992670895532</v>
      </c>
      <c r="F1829" s="33"/>
      <c r="G1829" s="34">
        <f>IFERROR(IF(F1829&gt;=0,D1829*E1829*(1+F1829/100),ABS(D1829*E1829/F1829)),"")</f>
        <v>2346.1996335447766</v>
      </c>
      <c r="H1829" s="43">
        <f>IFERROR(G1829*E1820,"")</f>
        <v>0</v>
      </c>
    </row>
    <row r="1830" spans="1:11" ht="12.75" customHeight="1">
      <c r="A1830" s="28"/>
      <c r="B1830" s="29"/>
      <c r="C1830" s="30" t="str">
        <f>IFERROR(_xlfn.XLOOKUP(B1830,Equipo[DESCRIPCION],Equipo[UND],,0),"")</f>
        <v/>
      </c>
      <c r="D1830" s="31"/>
      <c r="E1830" s="32" t="str">
        <f>IF(C1830="%MO",G1835,IFERROR(_xlfn.XLOOKUP($B1830,Equipo[DESCRIPCION],Equipo[VALOR],,0),""))</f>
        <v/>
      </c>
      <c r="F1830" s="33"/>
      <c r="G1830" s="34" t="str">
        <f>IFERROR(IF(F1830&gt;=0,D1830*E1830*(1+F1830/100),ABS(D1830*E1830/F1830)),"")</f>
        <v/>
      </c>
      <c r="H1830" s="43" t="str">
        <f>IFERROR(G1830*E1820,"")</f>
        <v/>
      </c>
    </row>
    <row r="1831" spans="1:11" ht="12.75" customHeight="1">
      <c r="A1831" s="28"/>
      <c r="B1831" s="29"/>
      <c r="C1831" s="30" t="str">
        <f>IFERROR(_xlfn.XLOOKUP(B1831,Equipo[DESCRIPCION],Equipo[UND],,0),"")</f>
        <v/>
      </c>
      <c r="D1831" s="31"/>
      <c r="E1831" s="32" t="str">
        <f>IF(C1831="%MO",G1835,IFERROR(_xlfn.XLOOKUP($B1831,Equipo[DESCRIPCION],Equipo[VALOR],,0),""))</f>
        <v/>
      </c>
      <c r="F1831" s="33"/>
      <c r="G1831" s="34" t="str">
        <f>IFERROR(IF(F1831&gt;=0,D1831*E1831*(1+F1831/100),ABS(D1831*E1831/F1831)),"")</f>
        <v/>
      </c>
      <c r="H1831" s="43" t="str">
        <f>IFERROR(G1831*E1820,"")</f>
        <v/>
      </c>
    </row>
    <row r="1832" spans="1:11" ht="12.75" customHeight="1">
      <c r="A1832" s="21"/>
      <c r="B1832" s="22" t="s">
        <v>2533</v>
      </c>
      <c r="C1832" s="23"/>
      <c r="D1832" s="24"/>
      <c r="E1832" s="25"/>
      <c r="F1832" s="26"/>
      <c r="G1832" s="27">
        <f>SUM(G1833:G1834)</f>
        <v>0</v>
      </c>
      <c r="H1832" s="44">
        <f>G1832*E1820</f>
        <v>0</v>
      </c>
    </row>
    <row r="1833" spans="1:11" ht="12.75" customHeight="1">
      <c r="A1833" s="28"/>
      <c r="B1833" s="29"/>
      <c r="C1833" s="30" t="str">
        <f>IFERROR(_xlfn.XLOOKUP(B1833,Transporte[DESCRIPCION],Transporte[UND],,0),"")</f>
        <v/>
      </c>
      <c r="D1833" s="31"/>
      <c r="E1833" s="32" t="str">
        <f>IFERROR(_xlfn.XLOOKUP($B1833,Transporte[DESCRIPCION],Transporte[VALOR],,0),"")</f>
        <v/>
      </c>
      <c r="F1833" s="33"/>
      <c r="G1833" s="34" t="str">
        <f>IFERROR(IF(F1833&gt;=0,D1833*E1833*(1+F1833/100),ABS(D1833*E1833/F1833)),"")</f>
        <v/>
      </c>
      <c r="H1833" s="43" t="str">
        <f>IFERROR(G1833*E1820,"")</f>
        <v/>
      </c>
    </row>
    <row r="1834" spans="1:11" ht="12.75" customHeight="1">
      <c r="A1834" s="28"/>
      <c r="B1834" s="29"/>
      <c r="C1834" s="30" t="str">
        <f>IFERROR(_xlfn.XLOOKUP(B1834,Transporte[DESCRIPCION],Transporte[UND],,0),"")</f>
        <v/>
      </c>
      <c r="D1834" s="31"/>
      <c r="E1834" s="32" t="str">
        <f>IFERROR(_xlfn.XLOOKUP($B1834,Transporte[DESCRIPCION],Transporte[VALOR],,0),"")</f>
        <v/>
      </c>
      <c r="F1834" s="33"/>
      <c r="G1834" s="34" t="str">
        <f>IFERROR(IF(F1834&gt;=0,D1834*E1834*(1+F1834/100),ABS(D1834*E1834/F1834)),"")</f>
        <v/>
      </c>
      <c r="H1834" s="43" t="str">
        <f>IFERROR(G1834*E1820,"")</f>
        <v/>
      </c>
    </row>
    <row r="1835" spans="1:11" ht="12.75" customHeight="1">
      <c r="A1835" s="21"/>
      <c r="B1835" s="22" t="s">
        <v>3732</v>
      </c>
      <c r="C1835" s="23"/>
      <c r="D1835" s="24"/>
      <c r="E1835" s="25"/>
      <c r="F1835" s="26"/>
      <c r="G1835" s="27">
        <f>SUM(G1836:G1838)</f>
        <v>46923.992670895532</v>
      </c>
      <c r="H1835" s="44">
        <f>G1835*E1820</f>
        <v>0</v>
      </c>
    </row>
    <row r="1836" spans="1:11" ht="12.75" customHeight="1">
      <c r="A1836" s="28"/>
      <c r="B1836" s="29" t="s">
        <v>3710</v>
      </c>
      <c r="C1836" s="30" t="str">
        <f>IFERROR(_xlfn.XLOOKUP(B1836,MObra[DESCRIPCION],MObra[UN],,0),"")</f>
        <v>día</v>
      </c>
      <c r="D1836" s="31">
        <v>1</v>
      </c>
      <c r="E1836" s="32">
        <f>IFERROR(_xlfn.XLOOKUP($B1836,MObra[DESCRIPCION],MObra[VALOR UNIT],,0),"")</f>
        <v>314390.75089500006</v>
      </c>
      <c r="F1836" s="33">
        <v>-6.7</v>
      </c>
      <c r="G1836" s="34">
        <f>IFERROR(IF(F1836&gt;=0,D1836*E1836*(1+F1836/100),ABS(D1836*E1836/F1836)),"")</f>
        <v>46923.992670895532</v>
      </c>
      <c r="H1836" s="43">
        <f>IFERROR(G1836*E1820,"")</f>
        <v>0</v>
      </c>
    </row>
    <row r="1837" spans="1:11" ht="12.75" customHeight="1">
      <c r="A1837" s="28"/>
      <c r="B1837" s="29"/>
      <c r="C1837" s="30" t="str">
        <f t="array" ref="C1837">IFERROR(_xlfn.XLOOKUP(B1837,MObra[[#All],[DESCRIPCION]],MObra[[#All],[UN]],,0),"")</f>
        <v/>
      </c>
      <c r="D1837" s="31"/>
      <c r="E1837" s="32" t="str">
        <f>IFERROR(_xlfn.XLOOKUP($B1837,MObra[DESCRIPCION],MObra[VALOR UNIT],,0),"")</f>
        <v/>
      </c>
      <c r="F1837" s="33"/>
      <c r="G1837" s="34" t="str">
        <f>IFERROR(IF(F1837&gt;=0,D1837*E1837*(1+F1837/100),ABS(D1837*E1837/F1837)),"")</f>
        <v/>
      </c>
      <c r="H1837" s="43" t="str">
        <f>IFERROR(G1837*E1820,"")</f>
        <v/>
      </c>
    </row>
    <row r="1838" spans="1:11" ht="12.75" customHeight="1" thickBot="1">
      <c r="A1838" s="35"/>
      <c r="B1838" s="36"/>
      <c r="C1838" s="37" t="str">
        <f t="array" ref="C1838">IFERROR(_xlfn.XLOOKUP(B1838,MObra[[#All],[DESCRIPCION]],MObra[[#All],[UN]],,0),"")</f>
        <v/>
      </c>
      <c r="D1838" s="38"/>
      <c r="E1838" s="39" t="str">
        <f>IFERROR(_xlfn.XLOOKUP($B1838,MObra[DESCRIPCION],MObra[VALOR UNIT],,0),"")</f>
        <v/>
      </c>
      <c r="F1838" s="40"/>
      <c r="G1838" s="41" t="str">
        <f>IFERROR(IF(F1838&gt;=0,D1838*E1838*(1+F1838/100),ABS(D1838*E1838/F1838)),"")</f>
        <v/>
      </c>
      <c r="H1838" s="42" t="str">
        <f>IFERROR(G1838*E1820,"")</f>
        <v/>
      </c>
    </row>
    <row r="1839" spans="1:11" ht="12.75" customHeight="1" thickTop="1" thickBot="1"/>
    <row r="1840" spans="1:11" ht="12.75" customHeight="1" thickTop="1" thickBot="1">
      <c r="A1840" s="6" t="s">
        <v>781</v>
      </c>
      <c r="B1840" s="7" t="str">
        <f>VLOOKUP($A1840,Presupuesto!$A:$D,2,FALSE())</f>
        <v>Punto sanitario PVC 3"</v>
      </c>
      <c r="C1840" s="8" t="str">
        <f>VLOOKUP($A1840,Presupuesto!$A:$D,3,FALSE())</f>
        <v>Un</v>
      </c>
      <c r="D1840" s="9"/>
      <c r="E1840" s="10">
        <f>VLOOKUP($A1840,Presupuesto!$A:$D,4,FALSE())</f>
        <v>0</v>
      </c>
      <c r="F1840" s="11" t="s">
        <v>2589</v>
      </c>
      <c r="G1840" s="12">
        <f>SUM(G1842:G1858)/2</f>
        <v>155669.16522150001</v>
      </c>
      <c r="H1840" s="13">
        <f>ROUND(SUM(H1842:H1858),0)/2</f>
        <v>0</v>
      </c>
      <c r="I1840" s="10">
        <f>VLOOKUP(A1840,Presupuesto!$A:$F,6,0)</f>
        <v>0</v>
      </c>
      <c r="J1840" s="10">
        <f>+H1840-I1840</f>
        <v>0</v>
      </c>
      <c r="K1840" s="46">
        <f>+H1840-G1840*E1840</f>
        <v>0</v>
      </c>
    </row>
    <row r="1841" spans="1:8" ht="12.75" customHeight="1" thickTop="1">
      <c r="A1841" s="14"/>
      <c r="B1841" s="15" t="s">
        <v>2586</v>
      </c>
      <c r="C1841" s="15" t="s">
        <v>5</v>
      </c>
      <c r="D1841" s="16" t="s">
        <v>6</v>
      </c>
      <c r="E1841" s="17" t="s">
        <v>7</v>
      </c>
      <c r="F1841" s="18" t="s">
        <v>3728</v>
      </c>
      <c r="G1841" s="19" t="s">
        <v>3729</v>
      </c>
      <c r="H1841" s="20" t="s">
        <v>3797</v>
      </c>
    </row>
    <row r="1842" spans="1:8" ht="12.75" customHeight="1">
      <c r="A1842" s="21"/>
      <c r="B1842" s="22" t="s">
        <v>3730</v>
      </c>
      <c r="C1842" s="23"/>
      <c r="D1842" s="24"/>
      <c r="E1842" s="25"/>
      <c r="F1842" s="26"/>
      <c r="G1842" s="27">
        <f>SUM(G1843:G1847)</f>
        <v>104882.967</v>
      </c>
      <c r="H1842" s="27">
        <f>IFERROR(G1842*E1840,"")</f>
        <v>0</v>
      </c>
    </row>
    <row r="1843" spans="1:8" ht="12.75" customHeight="1">
      <c r="A1843" s="28"/>
      <c r="B1843" s="29" t="s">
        <v>3504</v>
      </c>
      <c r="C1843" s="30" t="str">
        <f>IFERROR(_xlfn.XLOOKUP(B1843,Insumo[DESCRIPCION],Insumo[UND],,0),"")</f>
        <v>M</v>
      </c>
      <c r="D1843" s="31">
        <v>3</v>
      </c>
      <c r="E1843" s="32">
        <f>IFERROR(_xlfn.XLOOKUP($B1843,Insumo[DESCRIPCION],Insumo[VALOR],,0),"")</f>
        <v>31049.550000000003</v>
      </c>
      <c r="F1843" s="33">
        <v>3</v>
      </c>
      <c r="G1843" s="34">
        <f>IFERROR(IF(F1843&gt;=0,D1843*E1843*(1+F1843/100),ABS(D1843*E1843/F1843)),"")</f>
        <v>95943.109500000006</v>
      </c>
      <c r="H1843" s="43">
        <f>IFERROR(G1843*E1840,"")</f>
        <v>0</v>
      </c>
    </row>
    <row r="1844" spans="1:8" ht="12.75" customHeight="1">
      <c r="A1844" s="28"/>
      <c r="B1844" s="29" t="s">
        <v>2649</v>
      </c>
      <c r="C1844" s="30" t="str">
        <f>IFERROR(_xlfn.XLOOKUP(B1844,Insumo[DESCRIPCION],Insumo[UND],,0),"")</f>
        <v>Un</v>
      </c>
      <c r="D1844" s="31">
        <f>0.15*3</f>
        <v>0.44999999999999996</v>
      </c>
      <c r="E1844" s="32">
        <f>IFERROR(_xlfn.XLOOKUP($B1844,Insumo[DESCRIPCION],Insumo[VALOR],,0),"")</f>
        <v>12877.2</v>
      </c>
      <c r="F1844" s="33"/>
      <c r="G1844" s="34">
        <f>IFERROR(IF(F1844&gt;=0,D1844*E1844*(1+F1844/100),ABS(D1844*E1844/F1844)),"")</f>
        <v>5794.74</v>
      </c>
      <c r="H1844" s="43">
        <f>IFERROR(G1844*E1840,"")</f>
        <v>0</v>
      </c>
    </row>
    <row r="1845" spans="1:8" ht="12.75" customHeight="1">
      <c r="A1845" s="28"/>
      <c r="B1845" s="29" t="s">
        <v>3046</v>
      </c>
      <c r="C1845" s="30" t="str">
        <f>IFERROR(_xlfn.XLOOKUP(B1845,Insumo[DESCRIPCION],Insumo[UND],,0),"")</f>
        <v>Un</v>
      </c>
      <c r="D1845" s="31">
        <v>0.03</v>
      </c>
      <c r="E1845" s="32">
        <f>IFERROR(_xlfn.XLOOKUP($B1845,Insumo[DESCRIPCION],Insumo[VALOR],,0),"")</f>
        <v>62413.05</v>
      </c>
      <c r="F1845" s="33"/>
      <c r="G1845" s="34">
        <f>IFERROR(IF(F1845&gt;=0,D1845*E1845*(1+F1845/100),ABS(D1845*E1845/F1845)),"")</f>
        <v>1872.3915</v>
      </c>
      <c r="H1845" s="43">
        <f>IFERROR(G1845*E1840,"")</f>
        <v>0</v>
      </c>
    </row>
    <row r="1846" spans="1:8" ht="12.75" customHeight="1">
      <c r="A1846" s="28"/>
      <c r="B1846" s="29" t="s">
        <v>3329</v>
      </c>
      <c r="C1846" s="30" t="str">
        <f>IFERROR(_xlfn.XLOOKUP(B1846,Insumo[DESCRIPCION],Insumo[UND],,0),"")</f>
        <v>Un</v>
      </c>
      <c r="D1846" s="31">
        <v>0.03</v>
      </c>
      <c r="E1846" s="32">
        <f>IFERROR(_xlfn.XLOOKUP($B1846,Insumo[DESCRIPCION],Insumo[VALOR],,0),"")</f>
        <v>42424.200000000004</v>
      </c>
      <c r="F1846" s="33"/>
      <c r="G1846" s="34">
        <f>IFERROR(IF(F1846&gt;=0,D1846*E1846*(1+F1846/100),ABS(D1846*E1846/F1846)),"")</f>
        <v>1272.7260000000001</v>
      </c>
      <c r="H1846" s="43">
        <f>IFERROR(G1846*E1840,"")</f>
        <v>0</v>
      </c>
    </row>
    <row r="1847" spans="1:8" ht="12.75" customHeight="1">
      <c r="A1847" s="28"/>
      <c r="B1847" s="29"/>
      <c r="C1847" s="30" t="str">
        <f>IFERROR(_xlfn.XLOOKUP(B1847,Insumo[DESCRIPCION],Insumo[UND],,0),"")</f>
        <v/>
      </c>
      <c r="D1847" s="31"/>
      <c r="E1847" s="32" t="str">
        <f>IFERROR(_xlfn.XLOOKUP($B1847,Insumo[DESCRIPCION],Insumo[VALOR],,0),"")</f>
        <v/>
      </c>
      <c r="F1847" s="33"/>
      <c r="G1847" s="34" t="str">
        <f>IFERROR(IF(F1847&gt;=0,D1847*E1847*(1+F1847/100),ABS(D1847*E1847/F1847)),"")</f>
        <v/>
      </c>
      <c r="H1847" s="43" t="str">
        <f>IFERROR(G1847*E1840,"")</f>
        <v/>
      </c>
    </row>
    <row r="1848" spans="1:8" ht="12.75" customHeight="1">
      <c r="A1848" s="21"/>
      <c r="B1848" s="22" t="s">
        <v>3731</v>
      </c>
      <c r="C1848" s="23"/>
      <c r="D1848" s="24"/>
      <c r="E1848" s="25"/>
      <c r="F1848" s="26"/>
      <c r="G1848" s="27">
        <f>SUM(G1849:G1851)</f>
        <v>2418.3903915000005</v>
      </c>
      <c r="H1848" s="44">
        <f>G1848*E1840</f>
        <v>0</v>
      </c>
    </row>
    <row r="1849" spans="1:8" ht="12.75" customHeight="1">
      <c r="A1849" s="28"/>
      <c r="B1849" s="29" t="s">
        <v>3626</v>
      </c>
      <c r="C1849" s="30" t="str">
        <f>IFERROR(_xlfn.XLOOKUP(B1849,Equipo[DESCRIPCION],Equipo[UND],,0),"")</f>
        <v>%MO</v>
      </c>
      <c r="D1849" s="31">
        <v>0.05</v>
      </c>
      <c r="E1849" s="32">
        <f>IF(C1849="%MO",G1855,IFERROR(_xlfn.XLOOKUP($B1849,Equipo[DESCRIPCION],Equipo[VALOR],,0),""))</f>
        <v>48367.807830000012</v>
      </c>
      <c r="F1849" s="33"/>
      <c r="G1849" s="34">
        <f>IFERROR(IF(F1849&gt;=0,D1849*E1849*(1+F1849/100),ABS(D1849*E1849/F1849)),"")</f>
        <v>2418.3903915000005</v>
      </c>
      <c r="H1849" s="43">
        <f>IFERROR(G1849*E1840,"")</f>
        <v>0</v>
      </c>
    </row>
    <row r="1850" spans="1:8" ht="12.75" customHeight="1">
      <c r="A1850" s="28"/>
      <c r="B1850" s="29"/>
      <c r="C1850" s="30" t="str">
        <f>IFERROR(_xlfn.XLOOKUP(B1850,Equipo[DESCRIPCION],Equipo[UND],,0),"")</f>
        <v/>
      </c>
      <c r="D1850" s="31"/>
      <c r="E1850" s="32" t="str">
        <f>IF(C1850="%MO",G1855,IFERROR(_xlfn.XLOOKUP($B1850,Equipo[DESCRIPCION],Equipo[VALOR],,0),""))</f>
        <v/>
      </c>
      <c r="F1850" s="33"/>
      <c r="G1850" s="34" t="str">
        <f>IFERROR(IF(F1850&gt;=0,D1850*E1850*(1+F1850/100),ABS(D1850*E1850/F1850)),"")</f>
        <v/>
      </c>
      <c r="H1850" s="43" t="str">
        <f>IFERROR(G1850*E1840,"")</f>
        <v/>
      </c>
    </row>
    <row r="1851" spans="1:8" ht="12.75" customHeight="1">
      <c r="A1851" s="28"/>
      <c r="B1851" s="29"/>
      <c r="C1851" s="30" t="str">
        <f>IFERROR(_xlfn.XLOOKUP(B1851,Equipo[DESCRIPCION],Equipo[UND],,0),"")</f>
        <v/>
      </c>
      <c r="D1851" s="31"/>
      <c r="E1851" s="32" t="str">
        <f>IF(C1851="%MO",G1855,IFERROR(_xlfn.XLOOKUP($B1851,Equipo[DESCRIPCION],Equipo[VALOR],,0),""))</f>
        <v/>
      </c>
      <c r="F1851" s="33"/>
      <c r="G1851" s="34" t="str">
        <f>IFERROR(IF(F1851&gt;=0,D1851*E1851*(1+F1851/100),ABS(D1851*E1851/F1851)),"")</f>
        <v/>
      </c>
      <c r="H1851" s="43" t="str">
        <f>IFERROR(G1851*E1840,"")</f>
        <v/>
      </c>
    </row>
    <row r="1852" spans="1:8" ht="12.75" customHeight="1">
      <c r="A1852" s="21"/>
      <c r="B1852" s="22" t="s">
        <v>2533</v>
      </c>
      <c r="C1852" s="23"/>
      <c r="D1852" s="24"/>
      <c r="E1852" s="25"/>
      <c r="F1852" s="26"/>
      <c r="G1852" s="27">
        <f>SUM(G1853:G1854)</f>
        <v>0</v>
      </c>
      <c r="H1852" s="44">
        <f>G1852*E1840</f>
        <v>0</v>
      </c>
    </row>
    <row r="1853" spans="1:8" ht="12.75" customHeight="1">
      <c r="A1853" s="28"/>
      <c r="B1853" s="29"/>
      <c r="C1853" s="30" t="str">
        <f>IFERROR(_xlfn.XLOOKUP(B1853,Transporte[DESCRIPCION],Transporte[UND],,0),"")</f>
        <v/>
      </c>
      <c r="D1853" s="31"/>
      <c r="E1853" s="32" t="str">
        <f>IFERROR(_xlfn.XLOOKUP($B1853,Transporte[DESCRIPCION],Transporte[VALOR],,0),"")</f>
        <v/>
      </c>
      <c r="F1853" s="33"/>
      <c r="G1853" s="34" t="str">
        <f>IFERROR(IF(F1853&gt;=0,D1853*E1853*(1+F1853/100),ABS(D1853*E1853/F1853)),"")</f>
        <v/>
      </c>
      <c r="H1853" s="43" t="str">
        <f>IFERROR(G1853*E1840,"")</f>
        <v/>
      </c>
    </row>
    <row r="1854" spans="1:8" ht="12.75" customHeight="1">
      <c r="A1854" s="28"/>
      <c r="B1854" s="29"/>
      <c r="C1854" s="30" t="str">
        <f>IFERROR(_xlfn.XLOOKUP(B1854,Transporte[DESCRIPCION],Transporte[UND],,0),"")</f>
        <v/>
      </c>
      <c r="D1854" s="31"/>
      <c r="E1854" s="32" t="str">
        <f>IFERROR(_xlfn.XLOOKUP($B1854,Transporte[DESCRIPCION],Transporte[VALOR],,0),"")</f>
        <v/>
      </c>
      <c r="F1854" s="33"/>
      <c r="G1854" s="34" t="str">
        <f>IFERROR(IF(F1854&gt;=0,D1854*E1854*(1+F1854/100),ABS(D1854*E1854/F1854)),"")</f>
        <v/>
      </c>
      <c r="H1854" s="43" t="str">
        <f>IFERROR(G1854*E1840,"")</f>
        <v/>
      </c>
    </row>
    <row r="1855" spans="1:8" ht="12.75" customHeight="1">
      <c r="A1855" s="21"/>
      <c r="B1855" s="22" t="s">
        <v>3732</v>
      </c>
      <c r="C1855" s="23"/>
      <c r="D1855" s="24"/>
      <c r="E1855" s="25"/>
      <c r="F1855" s="26"/>
      <c r="G1855" s="27">
        <f>SUM(G1856:G1858)</f>
        <v>48367.807830000012</v>
      </c>
      <c r="H1855" s="44">
        <f>G1855*E1840</f>
        <v>0</v>
      </c>
    </row>
    <row r="1856" spans="1:8" ht="12.75" customHeight="1">
      <c r="A1856" s="28"/>
      <c r="B1856" s="29" t="s">
        <v>3710</v>
      </c>
      <c r="C1856" s="30" t="str">
        <f>IFERROR(_xlfn.XLOOKUP(B1856,MObra[DESCRIPCION],MObra[UN],,0),"")</f>
        <v>día</v>
      </c>
      <c r="D1856" s="31">
        <v>1</v>
      </c>
      <c r="E1856" s="32">
        <f>IFERROR(_xlfn.XLOOKUP($B1856,MObra[DESCRIPCION],MObra[VALOR UNIT],,0),"")</f>
        <v>314390.75089500006</v>
      </c>
      <c r="F1856" s="33">
        <v>-6.5</v>
      </c>
      <c r="G1856" s="34">
        <f>IFERROR(IF(F1856&gt;=0,D1856*E1856*(1+F1856/100),ABS(D1856*E1856/F1856)),"")</f>
        <v>48367.807830000012</v>
      </c>
      <c r="H1856" s="43">
        <f>IFERROR(G1856*E1840,"")</f>
        <v>0</v>
      </c>
    </row>
    <row r="1857" spans="1:11" ht="12.75" customHeight="1">
      <c r="A1857" s="28"/>
      <c r="B1857" s="29"/>
      <c r="C1857" s="30" t="str">
        <f t="array" ref="C1857">IFERROR(_xlfn.XLOOKUP(B1857,MObra[[#All],[DESCRIPCION]],MObra[[#All],[UN]],,0),"")</f>
        <v/>
      </c>
      <c r="D1857" s="31"/>
      <c r="E1857" s="32" t="str">
        <f>IFERROR(_xlfn.XLOOKUP($B1857,MObra[DESCRIPCION],MObra[VALOR UNIT],,0),"")</f>
        <v/>
      </c>
      <c r="F1857" s="33"/>
      <c r="G1857" s="34" t="str">
        <f>IFERROR(IF(F1857&gt;=0,D1857*E1857*(1+F1857/100),ABS(D1857*E1857/F1857)),"")</f>
        <v/>
      </c>
      <c r="H1857" s="43" t="str">
        <f>IFERROR(G1857*E1840,"")</f>
        <v/>
      </c>
    </row>
    <row r="1858" spans="1:11" ht="12.75" customHeight="1" thickBot="1">
      <c r="A1858" s="35"/>
      <c r="B1858" s="36"/>
      <c r="C1858" s="37" t="str">
        <f t="array" ref="C1858">IFERROR(_xlfn.XLOOKUP(B1858,MObra[[#All],[DESCRIPCION]],MObra[[#All],[UN]],,0),"")</f>
        <v/>
      </c>
      <c r="D1858" s="38"/>
      <c r="E1858" s="39" t="str">
        <f>IFERROR(_xlfn.XLOOKUP($B1858,MObra[DESCRIPCION],MObra[VALOR UNIT],,0),"")</f>
        <v/>
      </c>
      <c r="F1858" s="40"/>
      <c r="G1858" s="41" t="str">
        <f>IFERROR(IF(F1858&gt;=0,D1858*E1858*(1+F1858/100),ABS(D1858*E1858/F1858)),"")</f>
        <v/>
      </c>
      <c r="H1858" s="42" t="str">
        <f>IFERROR(G1858*E1840,"")</f>
        <v/>
      </c>
    </row>
    <row r="1859" spans="1:11" ht="12.75" customHeight="1" thickTop="1" thickBot="1"/>
    <row r="1860" spans="1:11" ht="12.75" customHeight="1" thickTop="1" thickBot="1">
      <c r="A1860" s="6" t="s">
        <v>783</v>
      </c>
      <c r="B1860" s="7" t="str">
        <f>VLOOKUP($A1860,Presupuesto!$A:$D,2,FALSE())</f>
        <v>Punto sanitario PVC 4"</v>
      </c>
      <c r="C1860" s="8" t="str">
        <f>VLOOKUP($A1860,Presupuesto!$A:$D,3,FALSE())</f>
        <v>Un</v>
      </c>
      <c r="D1860" s="9"/>
      <c r="E1860" s="10">
        <f>VLOOKUP($A1860,Presupuesto!$A:$D,4,FALSE())</f>
        <v>0</v>
      </c>
      <c r="F1860" s="11" t="s">
        <v>2589</v>
      </c>
      <c r="G1860" s="12">
        <f>SUM(G1862:G1878)/2</f>
        <v>200710.63298250004</v>
      </c>
      <c r="H1860" s="13">
        <f>ROUND(SUM(H1862:H1878),0)/2</f>
        <v>0</v>
      </c>
      <c r="I1860" s="10">
        <f>VLOOKUP(A1860,Presupuesto!$A:$F,6,0)</f>
        <v>0</v>
      </c>
      <c r="J1860" s="10">
        <f>+H1860-I1860</f>
        <v>0</v>
      </c>
      <c r="K1860" s="46">
        <f>+H1860-G1860*E1860</f>
        <v>0</v>
      </c>
    </row>
    <row r="1861" spans="1:11" ht="12.75" customHeight="1" thickTop="1">
      <c r="A1861" s="14"/>
      <c r="B1861" s="15" t="s">
        <v>2586</v>
      </c>
      <c r="C1861" s="15" t="s">
        <v>5</v>
      </c>
      <c r="D1861" s="16" t="s">
        <v>6</v>
      </c>
      <c r="E1861" s="17" t="s">
        <v>7</v>
      </c>
      <c r="F1861" s="18" t="s">
        <v>3728</v>
      </c>
      <c r="G1861" s="19" t="s">
        <v>3729</v>
      </c>
      <c r="H1861" s="20" t="s">
        <v>3797</v>
      </c>
    </row>
    <row r="1862" spans="1:11" ht="12.75" customHeight="1">
      <c r="A1862" s="21"/>
      <c r="B1862" s="22" t="s">
        <v>3730</v>
      </c>
      <c r="C1862" s="23"/>
      <c r="D1862" s="24"/>
      <c r="E1862" s="25"/>
      <c r="F1862" s="26"/>
      <c r="G1862" s="27">
        <f>SUM(G1863:G1867)</f>
        <v>148312.17450000002</v>
      </c>
      <c r="H1862" s="27">
        <f>IFERROR(G1862*E1860,"")</f>
        <v>0</v>
      </c>
    </row>
    <row r="1863" spans="1:11" ht="12.75" customHeight="1">
      <c r="A1863" s="28"/>
      <c r="B1863" s="29" t="s">
        <v>3505</v>
      </c>
      <c r="C1863" s="30" t="str">
        <f>IFERROR(_xlfn.XLOOKUP(B1863,Insumo[DESCRIPCION],Insumo[UND],,0),"")</f>
        <v>M</v>
      </c>
      <c r="D1863" s="31">
        <v>3</v>
      </c>
      <c r="E1863" s="32">
        <f>IFERROR(_xlfn.XLOOKUP($B1863,Insumo[DESCRIPCION],Insumo[VALOR],,0),"")</f>
        <v>43738.8</v>
      </c>
      <c r="F1863" s="33">
        <v>3</v>
      </c>
      <c r="G1863" s="34">
        <f>IFERROR(IF(F1863&gt;=0,D1863*E1863*(1+F1863/100),ABS(D1863*E1863/F1863)),"")</f>
        <v>135152.89200000002</v>
      </c>
      <c r="H1863" s="43">
        <f>IFERROR(G1863*E1860,"")</f>
        <v>0</v>
      </c>
    </row>
    <row r="1864" spans="1:11" ht="12.75" customHeight="1">
      <c r="A1864" s="28"/>
      <c r="B1864" s="29" t="s">
        <v>2650</v>
      </c>
      <c r="C1864" s="30" t="str">
        <f>IFERROR(_xlfn.XLOOKUP(B1864,Insumo[DESCRIPCION],Insumo[UND],,0),"")</f>
        <v>Un</v>
      </c>
      <c r="D1864" s="31">
        <f>0.15*3</f>
        <v>0.44999999999999996</v>
      </c>
      <c r="E1864" s="32">
        <f>IFERROR(_xlfn.XLOOKUP($B1864,Insumo[DESCRIPCION],Insumo[VALOR],,0),"")</f>
        <v>22253.7</v>
      </c>
      <c r="F1864" s="33"/>
      <c r="G1864" s="34">
        <f>IFERROR(IF(F1864&gt;=0,D1864*E1864*(1+F1864/100),ABS(D1864*E1864/F1864)),"")</f>
        <v>10014.164999999999</v>
      </c>
      <c r="H1864" s="43">
        <f>IFERROR(G1864*E1860,"")</f>
        <v>0</v>
      </c>
    </row>
    <row r="1865" spans="1:11" ht="12.75" customHeight="1">
      <c r="A1865" s="28"/>
      <c r="B1865" s="29" t="s">
        <v>3046</v>
      </c>
      <c r="C1865" s="30" t="str">
        <f>IFERROR(_xlfn.XLOOKUP(B1865,Insumo[DESCRIPCION],Insumo[UND],,0),"")</f>
        <v>Un</v>
      </c>
      <c r="D1865" s="31">
        <v>0.03</v>
      </c>
      <c r="E1865" s="32">
        <f>IFERROR(_xlfn.XLOOKUP($B1865,Insumo[DESCRIPCION],Insumo[VALOR],,0),"")</f>
        <v>62413.05</v>
      </c>
      <c r="F1865" s="33"/>
      <c r="G1865" s="34">
        <f>IFERROR(IF(F1865&gt;=0,D1865*E1865*(1+F1865/100),ABS(D1865*E1865/F1865)),"")</f>
        <v>1872.3915</v>
      </c>
      <c r="H1865" s="43">
        <f>IFERROR(G1865*E1860,"")</f>
        <v>0</v>
      </c>
    </row>
    <row r="1866" spans="1:11" ht="12.75" customHeight="1">
      <c r="A1866" s="28"/>
      <c r="B1866" s="29" t="s">
        <v>3329</v>
      </c>
      <c r="C1866" s="30" t="str">
        <f>IFERROR(_xlfn.XLOOKUP(B1866,Insumo[DESCRIPCION],Insumo[UND],,0),"")</f>
        <v>Un</v>
      </c>
      <c r="D1866" s="31">
        <v>0.03</v>
      </c>
      <c r="E1866" s="32">
        <f>IFERROR(_xlfn.XLOOKUP($B1866,Insumo[DESCRIPCION],Insumo[VALOR],,0),"")</f>
        <v>42424.200000000004</v>
      </c>
      <c r="F1866" s="33"/>
      <c r="G1866" s="34">
        <f>IFERROR(IF(F1866&gt;=0,D1866*E1866*(1+F1866/100),ABS(D1866*E1866/F1866)),"")</f>
        <v>1272.7260000000001</v>
      </c>
      <c r="H1866" s="43">
        <f>IFERROR(G1866*E1860,"")</f>
        <v>0</v>
      </c>
    </row>
    <row r="1867" spans="1:11" ht="12.75" customHeight="1">
      <c r="A1867" s="28"/>
      <c r="B1867" s="29"/>
      <c r="C1867" s="30" t="str">
        <f>IFERROR(_xlfn.XLOOKUP(B1867,Insumo[DESCRIPCION],Insumo[UND],,0),"")</f>
        <v/>
      </c>
      <c r="D1867" s="31"/>
      <c r="E1867" s="32" t="str">
        <f>IFERROR(_xlfn.XLOOKUP($B1867,Insumo[DESCRIPCION],Insumo[VALOR],,0),"")</f>
        <v/>
      </c>
      <c r="F1867" s="33"/>
      <c r="G1867" s="34" t="str">
        <f>IFERROR(IF(F1867&gt;=0,D1867*E1867*(1+F1867/100),ABS(D1867*E1867/F1867)),"")</f>
        <v/>
      </c>
      <c r="H1867" s="43" t="str">
        <f>IFERROR(G1867*E1860,"")</f>
        <v/>
      </c>
    </row>
    <row r="1868" spans="1:11" ht="12.75" customHeight="1">
      <c r="A1868" s="21"/>
      <c r="B1868" s="22" t="s">
        <v>3731</v>
      </c>
      <c r="C1868" s="23"/>
      <c r="D1868" s="24"/>
      <c r="E1868" s="25"/>
      <c r="F1868" s="26"/>
      <c r="G1868" s="27">
        <f>SUM(G1869:G1871)</f>
        <v>2495.1646896428579</v>
      </c>
      <c r="H1868" s="44">
        <f>G1868*E1860</f>
        <v>0</v>
      </c>
    </row>
    <row r="1869" spans="1:11" ht="12.75" customHeight="1">
      <c r="A1869" s="28"/>
      <c r="B1869" s="29" t="s">
        <v>3626</v>
      </c>
      <c r="C1869" s="30" t="str">
        <f>IFERROR(_xlfn.XLOOKUP(B1869,Equipo[DESCRIPCION],Equipo[UND],,0),"")</f>
        <v>%MO</v>
      </c>
      <c r="D1869" s="31">
        <v>0.05</v>
      </c>
      <c r="E1869" s="32">
        <f>IF(C1869="%MO",G1875,IFERROR(_xlfn.XLOOKUP($B1869,Equipo[DESCRIPCION],Equipo[VALOR],,0),""))</f>
        <v>49903.293792857155</v>
      </c>
      <c r="F1869" s="33"/>
      <c r="G1869" s="34">
        <f>IFERROR(IF(F1869&gt;=0,D1869*E1869*(1+F1869/100),ABS(D1869*E1869/F1869)),"")</f>
        <v>2495.1646896428579</v>
      </c>
      <c r="H1869" s="43">
        <f>IFERROR(G1869*E1860,"")</f>
        <v>0</v>
      </c>
    </row>
    <row r="1870" spans="1:11" ht="12.75" customHeight="1">
      <c r="A1870" s="28"/>
      <c r="B1870" s="29"/>
      <c r="C1870" s="30" t="str">
        <f>IFERROR(_xlfn.XLOOKUP(B1870,Equipo[DESCRIPCION],Equipo[UND],,0),"")</f>
        <v/>
      </c>
      <c r="D1870" s="31"/>
      <c r="E1870" s="32" t="str">
        <f>IF(C1870="%MO",G1875,IFERROR(_xlfn.XLOOKUP($B1870,Equipo[DESCRIPCION],Equipo[VALOR],,0),""))</f>
        <v/>
      </c>
      <c r="F1870" s="33"/>
      <c r="G1870" s="34" t="str">
        <f>IFERROR(IF(F1870&gt;=0,D1870*E1870*(1+F1870/100),ABS(D1870*E1870/F1870)),"")</f>
        <v/>
      </c>
      <c r="H1870" s="43" t="str">
        <f>IFERROR(G1870*E1860,"")</f>
        <v/>
      </c>
    </row>
    <row r="1871" spans="1:11" ht="12.75" customHeight="1">
      <c r="A1871" s="28"/>
      <c r="B1871" s="29"/>
      <c r="C1871" s="30" t="str">
        <f>IFERROR(_xlfn.XLOOKUP(B1871,Equipo[DESCRIPCION],Equipo[UND],,0),"")</f>
        <v/>
      </c>
      <c r="D1871" s="31"/>
      <c r="E1871" s="32" t="str">
        <f>IF(C1871="%MO",G1875,IFERROR(_xlfn.XLOOKUP($B1871,Equipo[DESCRIPCION],Equipo[VALOR],,0),""))</f>
        <v/>
      </c>
      <c r="F1871" s="33"/>
      <c r="G1871" s="34" t="str">
        <f>IFERROR(IF(F1871&gt;=0,D1871*E1871*(1+F1871/100),ABS(D1871*E1871/F1871)),"")</f>
        <v/>
      </c>
      <c r="H1871" s="43" t="str">
        <f>IFERROR(G1871*E1860,"")</f>
        <v/>
      </c>
    </row>
    <row r="1872" spans="1:11" ht="12.75" customHeight="1">
      <c r="A1872" s="21"/>
      <c r="B1872" s="22" t="s">
        <v>2533</v>
      </c>
      <c r="C1872" s="23"/>
      <c r="D1872" s="24"/>
      <c r="E1872" s="25"/>
      <c r="F1872" s="26"/>
      <c r="G1872" s="27">
        <f>SUM(G1873:G1874)</f>
        <v>0</v>
      </c>
      <c r="H1872" s="44">
        <f>G1872*E1860</f>
        <v>0</v>
      </c>
    </row>
    <row r="1873" spans="1:11" ht="12.75" customHeight="1">
      <c r="A1873" s="28"/>
      <c r="B1873" s="29"/>
      <c r="C1873" s="30" t="str">
        <f>IFERROR(_xlfn.XLOOKUP(B1873,Transporte[DESCRIPCION],Transporte[UND],,0),"")</f>
        <v/>
      </c>
      <c r="D1873" s="31"/>
      <c r="E1873" s="32" t="str">
        <f>IFERROR(_xlfn.XLOOKUP($B1873,Transporte[DESCRIPCION],Transporte[VALOR],,0),"")</f>
        <v/>
      </c>
      <c r="F1873" s="33"/>
      <c r="G1873" s="34" t="str">
        <f>IFERROR(IF(F1873&gt;=0,D1873*E1873*(1+F1873/100),ABS(D1873*E1873/F1873)),"")</f>
        <v/>
      </c>
      <c r="H1873" s="43" t="str">
        <f>IFERROR(G1873*E1860,"")</f>
        <v/>
      </c>
    </row>
    <row r="1874" spans="1:11" ht="12.75" customHeight="1">
      <c r="A1874" s="28"/>
      <c r="B1874" s="29"/>
      <c r="C1874" s="30" t="str">
        <f>IFERROR(_xlfn.XLOOKUP(B1874,Transporte[DESCRIPCION],Transporte[UND],,0),"")</f>
        <v/>
      </c>
      <c r="D1874" s="31"/>
      <c r="E1874" s="32" t="str">
        <f>IFERROR(_xlfn.XLOOKUP($B1874,Transporte[DESCRIPCION],Transporte[VALOR],,0),"")</f>
        <v/>
      </c>
      <c r="F1874" s="33"/>
      <c r="G1874" s="34" t="str">
        <f>IFERROR(IF(F1874&gt;=0,D1874*E1874*(1+F1874/100),ABS(D1874*E1874/F1874)),"")</f>
        <v/>
      </c>
      <c r="H1874" s="43" t="str">
        <f>IFERROR(G1874*E1860,"")</f>
        <v/>
      </c>
    </row>
    <row r="1875" spans="1:11" ht="12.75" customHeight="1">
      <c r="A1875" s="21"/>
      <c r="B1875" s="22" t="s">
        <v>3732</v>
      </c>
      <c r="C1875" s="23"/>
      <c r="D1875" s="24"/>
      <c r="E1875" s="25"/>
      <c r="F1875" s="26"/>
      <c r="G1875" s="27">
        <f>SUM(G1876:G1878)</f>
        <v>49903.293792857155</v>
      </c>
      <c r="H1875" s="44">
        <f>G1875*E1860</f>
        <v>0</v>
      </c>
    </row>
    <row r="1876" spans="1:11" ht="12.75" customHeight="1">
      <c r="A1876" s="28"/>
      <c r="B1876" s="29" t="s">
        <v>3710</v>
      </c>
      <c r="C1876" s="30" t="str">
        <f>IFERROR(_xlfn.XLOOKUP(B1876,MObra[DESCRIPCION],MObra[UN],,0),"")</f>
        <v>día</v>
      </c>
      <c r="D1876" s="31">
        <v>1</v>
      </c>
      <c r="E1876" s="32">
        <f>IFERROR(_xlfn.XLOOKUP($B1876,MObra[DESCRIPCION],MObra[VALOR UNIT],,0),"")</f>
        <v>314390.75089500006</v>
      </c>
      <c r="F1876" s="33">
        <v>-6.3</v>
      </c>
      <c r="G1876" s="34">
        <f>IFERROR(IF(F1876&gt;=0,D1876*E1876*(1+F1876/100),ABS(D1876*E1876/F1876)),"")</f>
        <v>49903.293792857155</v>
      </c>
      <c r="H1876" s="43">
        <f>IFERROR(G1876*E1860,"")</f>
        <v>0</v>
      </c>
    </row>
    <row r="1877" spans="1:11" ht="12.75" customHeight="1">
      <c r="A1877" s="28"/>
      <c r="B1877" s="29"/>
      <c r="C1877" s="30" t="str">
        <f t="array" ref="C1877">IFERROR(_xlfn.XLOOKUP(B1877,MObra[[#All],[DESCRIPCION]],MObra[[#All],[UN]],,0),"")</f>
        <v/>
      </c>
      <c r="D1877" s="31"/>
      <c r="E1877" s="32" t="str">
        <f>IFERROR(_xlfn.XLOOKUP($B1877,MObra[DESCRIPCION],MObra[VALOR UNIT],,0),"")</f>
        <v/>
      </c>
      <c r="F1877" s="33"/>
      <c r="G1877" s="34" t="str">
        <f>IFERROR(IF(F1877&gt;=0,D1877*E1877*(1+F1877/100),ABS(D1877*E1877/F1877)),"")</f>
        <v/>
      </c>
      <c r="H1877" s="43" t="str">
        <f>IFERROR(G1877*E1860,"")</f>
        <v/>
      </c>
    </row>
    <row r="1878" spans="1:11" ht="12.75" customHeight="1" thickBot="1">
      <c r="A1878" s="35"/>
      <c r="B1878" s="36"/>
      <c r="C1878" s="37" t="str">
        <f t="array" ref="C1878">IFERROR(_xlfn.XLOOKUP(B1878,MObra[[#All],[DESCRIPCION]],MObra[[#All],[UN]],,0),"")</f>
        <v/>
      </c>
      <c r="D1878" s="38"/>
      <c r="E1878" s="39" t="str">
        <f>IFERROR(_xlfn.XLOOKUP($B1878,MObra[DESCRIPCION],MObra[VALOR UNIT],,0),"")</f>
        <v/>
      </c>
      <c r="F1878" s="40"/>
      <c r="G1878" s="41" t="str">
        <f>IFERROR(IF(F1878&gt;=0,D1878*E1878*(1+F1878/100),ABS(D1878*E1878/F1878)),"")</f>
        <v/>
      </c>
      <c r="H1878" s="42" t="str">
        <f>IFERROR(G1878*E1860,"")</f>
        <v/>
      </c>
    </row>
    <row r="1879" spans="1:11" ht="12.75" customHeight="1" thickTop="1" thickBot="1"/>
    <row r="1880" spans="1:11" ht="12.75" customHeight="1" thickTop="1" thickBot="1">
      <c r="A1880" s="6" t="s">
        <v>785</v>
      </c>
      <c r="B1880" s="7" t="str">
        <f>VLOOKUP($A1880,Presupuesto!$A:$D,2,FALSE())</f>
        <v>Punto sanitario PVC 6"</v>
      </c>
      <c r="C1880" s="8" t="str">
        <f>VLOOKUP($A1880,Presupuesto!$A:$D,3,FALSE())</f>
        <v>Un</v>
      </c>
      <c r="D1880" s="9"/>
      <c r="E1880" s="10">
        <f>VLOOKUP($A1880,Presupuesto!$A:$D,4,FALSE())</f>
        <v>0</v>
      </c>
      <c r="F1880" s="11" t="s">
        <v>2589</v>
      </c>
      <c r="G1880" s="12">
        <f>SUM(G1882:G1898)/2</f>
        <v>426365.61290662515</v>
      </c>
      <c r="H1880" s="13">
        <f>ROUND(SUM(H1882:H1898),0)/2</f>
        <v>0</v>
      </c>
      <c r="I1880" s="10">
        <f>VLOOKUP(A1880,Presupuesto!$A:$F,6,0)</f>
        <v>0</v>
      </c>
      <c r="J1880" s="10">
        <f>+H1880-I1880</f>
        <v>0</v>
      </c>
      <c r="K1880" s="46">
        <f>+H1880-G1880*E1880</f>
        <v>0</v>
      </c>
    </row>
    <row r="1881" spans="1:11" ht="12.75" customHeight="1" thickTop="1">
      <c r="A1881" s="14"/>
      <c r="B1881" s="15" t="s">
        <v>2586</v>
      </c>
      <c r="C1881" s="15" t="s">
        <v>5</v>
      </c>
      <c r="D1881" s="16" t="s">
        <v>6</v>
      </c>
      <c r="E1881" s="17" t="s">
        <v>7</v>
      </c>
      <c r="F1881" s="18" t="s">
        <v>3728</v>
      </c>
      <c r="G1881" s="19" t="s">
        <v>3729</v>
      </c>
      <c r="H1881" s="20" t="s">
        <v>3797</v>
      </c>
    </row>
    <row r="1882" spans="1:11" ht="12.75" customHeight="1">
      <c r="A1882" s="21"/>
      <c r="B1882" s="22" t="s">
        <v>3730</v>
      </c>
      <c r="C1882" s="23"/>
      <c r="D1882" s="24"/>
      <c r="E1882" s="25"/>
      <c r="F1882" s="26"/>
      <c r="G1882" s="27">
        <f>SUM(G1883:G1887)</f>
        <v>371347.23150000011</v>
      </c>
      <c r="H1882" s="27">
        <f>IFERROR(G1882*E1880,"")</f>
        <v>0</v>
      </c>
    </row>
    <row r="1883" spans="1:11" ht="12.75" customHeight="1">
      <c r="A1883" s="28"/>
      <c r="B1883" s="29" t="s">
        <v>3506</v>
      </c>
      <c r="C1883" s="30" t="str">
        <f>IFERROR(_xlfn.XLOOKUP(B1883,Insumo[DESCRIPCION],Insumo[UND],,0),"")</f>
        <v>M</v>
      </c>
      <c r="D1883" s="31">
        <v>3</v>
      </c>
      <c r="E1883" s="32">
        <f>IFERROR(_xlfn.XLOOKUP($B1883,Insumo[DESCRIPCION],Insumo[VALOR],,0),"")</f>
        <v>91667.1</v>
      </c>
      <c r="F1883" s="33">
        <v>3</v>
      </c>
      <c r="G1883" s="34">
        <f>IFERROR(IF(F1883&gt;=0,D1883*E1883*(1+F1883/100),ABS(D1883*E1883/F1883)),"")</f>
        <v>283251.33900000004</v>
      </c>
      <c r="H1883" s="43">
        <f>IFERROR(G1883*E1880,"")</f>
        <v>0</v>
      </c>
    </row>
    <row r="1884" spans="1:11" ht="12.75" customHeight="1">
      <c r="A1884" s="28"/>
      <c r="B1884" s="29" t="s">
        <v>2651</v>
      </c>
      <c r="C1884" s="30" t="str">
        <f>IFERROR(_xlfn.XLOOKUP(B1884,Insumo[DESCRIPCION],Insumo[UND],,0),"")</f>
        <v>Un</v>
      </c>
      <c r="D1884" s="31">
        <f>0.15*3</f>
        <v>0.44999999999999996</v>
      </c>
      <c r="E1884" s="32">
        <f>IFERROR(_xlfn.XLOOKUP($B1884,Insumo[DESCRIPCION],Insumo[VALOR],,0),"")</f>
        <v>188779.5</v>
      </c>
      <c r="F1884" s="33"/>
      <c r="G1884" s="34">
        <f>IFERROR(IF(F1884&gt;=0,D1884*E1884*(1+F1884/100),ABS(D1884*E1884/F1884)),"")</f>
        <v>84950.774999999994</v>
      </c>
      <c r="H1884" s="43">
        <f>IFERROR(G1884*E1880,"")</f>
        <v>0</v>
      </c>
    </row>
    <row r="1885" spans="1:11" ht="12.75" customHeight="1">
      <c r="A1885" s="28"/>
      <c r="B1885" s="29" t="s">
        <v>3046</v>
      </c>
      <c r="C1885" s="30" t="str">
        <f>IFERROR(_xlfn.XLOOKUP(B1885,Insumo[DESCRIPCION],Insumo[UND],,0),"")</f>
        <v>Un</v>
      </c>
      <c r="D1885" s="31">
        <v>0.03</v>
      </c>
      <c r="E1885" s="32">
        <f>IFERROR(_xlfn.XLOOKUP($B1885,Insumo[DESCRIPCION],Insumo[VALOR],,0),"")</f>
        <v>62413.05</v>
      </c>
      <c r="F1885" s="33"/>
      <c r="G1885" s="34">
        <f>IFERROR(IF(F1885&gt;=0,D1885*E1885*(1+F1885/100),ABS(D1885*E1885/F1885)),"")</f>
        <v>1872.3915</v>
      </c>
      <c r="H1885" s="43">
        <f>IFERROR(G1885*E1880,"")</f>
        <v>0</v>
      </c>
    </row>
    <row r="1886" spans="1:11" ht="12.75" customHeight="1">
      <c r="A1886" s="28"/>
      <c r="B1886" s="29" t="s">
        <v>3329</v>
      </c>
      <c r="C1886" s="30" t="str">
        <f>IFERROR(_xlfn.XLOOKUP(B1886,Insumo[DESCRIPCION],Insumo[UND],,0),"")</f>
        <v>Un</v>
      </c>
      <c r="D1886" s="31">
        <v>0.03</v>
      </c>
      <c r="E1886" s="32">
        <f>IFERROR(_xlfn.XLOOKUP($B1886,Insumo[DESCRIPCION],Insumo[VALOR],,0),"")</f>
        <v>42424.200000000004</v>
      </c>
      <c r="F1886" s="33"/>
      <c r="G1886" s="34">
        <f>IFERROR(IF(F1886&gt;=0,D1886*E1886*(1+F1886/100),ABS(D1886*E1886/F1886)),"")</f>
        <v>1272.7260000000001</v>
      </c>
      <c r="H1886" s="43">
        <f>IFERROR(G1886*E1880,"")</f>
        <v>0</v>
      </c>
    </row>
    <row r="1887" spans="1:11" ht="12.75" customHeight="1">
      <c r="A1887" s="28"/>
      <c r="B1887" s="29"/>
      <c r="C1887" s="30" t="str">
        <f>IFERROR(_xlfn.XLOOKUP(B1887,Insumo[DESCRIPCION],Insumo[UND],,0),"")</f>
        <v/>
      </c>
      <c r="D1887" s="31"/>
      <c r="E1887" s="32" t="str">
        <f>IFERROR(_xlfn.XLOOKUP($B1887,Insumo[DESCRIPCION],Insumo[VALOR],,0),"")</f>
        <v/>
      </c>
      <c r="F1887" s="33"/>
      <c r="G1887" s="34" t="str">
        <f>IFERROR(IF(F1887&gt;=0,D1887*E1887*(1+F1887/100),ABS(D1887*E1887/F1887)),"")</f>
        <v/>
      </c>
      <c r="H1887" s="43" t="str">
        <f>IFERROR(G1887*E1880,"")</f>
        <v/>
      </c>
    </row>
    <row r="1888" spans="1:11" ht="12.75" customHeight="1">
      <c r="A1888" s="21"/>
      <c r="B1888" s="22" t="s">
        <v>3731</v>
      </c>
      <c r="C1888" s="23"/>
      <c r="D1888" s="24"/>
      <c r="E1888" s="25"/>
      <c r="F1888" s="26"/>
      <c r="G1888" s="27">
        <f>SUM(G1889:G1891)</f>
        <v>2619.9229241250009</v>
      </c>
      <c r="H1888" s="44">
        <f>G1888*E1880</f>
        <v>0</v>
      </c>
    </row>
    <row r="1889" spans="1:11" ht="12.75" customHeight="1">
      <c r="A1889" s="28"/>
      <c r="B1889" s="29" t="s">
        <v>3626</v>
      </c>
      <c r="C1889" s="30" t="str">
        <f>IFERROR(_xlfn.XLOOKUP(B1889,Equipo[DESCRIPCION],Equipo[UND],,0),"")</f>
        <v>%MO</v>
      </c>
      <c r="D1889" s="31">
        <v>0.05</v>
      </c>
      <c r="E1889" s="32">
        <f>IF(C1889="%MO",G1895,IFERROR(_xlfn.XLOOKUP($B1889,Equipo[DESCRIPCION],Equipo[VALOR],,0),""))</f>
        <v>52398.458482500013</v>
      </c>
      <c r="F1889" s="33"/>
      <c r="G1889" s="34">
        <f>IFERROR(IF(F1889&gt;=0,D1889*E1889*(1+F1889/100),ABS(D1889*E1889/F1889)),"")</f>
        <v>2619.9229241250009</v>
      </c>
      <c r="H1889" s="43">
        <f>IFERROR(G1889*E1880,"")</f>
        <v>0</v>
      </c>
    </row>
    <row r="1890" spans="1:11" ht="12.75" customHeight="1">
      <c r="A1890" s="28"/>
      <c r="B1890" s="29"/>
      <c r="C1890" s="30" t="str">
        <f>IFERROR(_xlfn.XLOOKUP(B1890,Equipo[DESCRIPCION],Equipo[UND],,0),"")</f>
        <v/>
      </c>
      <c r="D1890" s="31"/>
      <c r="E1890" s="32" t="str">
        <f>IF(C1890="%MO",G1895,IFERROR(_xlfn.XLOOKUP($B1890,Equipo[DESCRIPCION],Equipo[VALOR],,0),""))</f>
        <v/>
      </c>
      <c r="F1890" s="33"/>
      <c r="G1890" s="34" t="str">
        <f>IFERROR(IF(F1890&gt;=0,D1890*E1890*(1+F1890/100),ABS(D1890*E1890/F1890)),"")</f>
        <v/>
      </c>
      <c r="H1890" s="43" t="str">
        <f>IFERROR(G1890*E1880,"")</f>
        <v/>
      </c>
    </row>
    <row r="1891" spans="1:11" ht="12.75" customHeight="1">
      <c r="A1891" s="28"/>
      <c r="B1891" s="29"/>
      <c r="C1891" s="30" t="str">
        <f>IFERROR(_xlfn.XLOOKUP(B1891,Equipo[DESCRIPCION],Equipo[UND],,0),"")</f>
        <v/>
      </c>
      <c r="D1891" s="31"/>
      <c r="E1891" s="32" t="str">
        <f>IF(C1891="%MO",G1895,IFERROR(_xlfn.XLOOKUP($B1891,Equipo[DESCRIPCION],Equipo[VALOR],,0),""))</f>
        <v/>
      </c>
      <c r="F1891" s="33"/>
      <c r="G1891" s="34" t="str">
        <f>IFERROR(IF(F1891&gt;=0,D1891*E1891*(1+F1891/100),ABS(D1891*E1891/F1891)),"")</f>
        <v/>
      </c>
      <c r="H1891" s="43" t="str">
        <f>IFERROR(G1891*E1880,"")</f>
        <v/>
      </c>
    </row>
    <row r="1892" spans="1:11" ht="12.75" customHeight="1">
      <c r="A1892" s="21"/>
      <c r="B1892" s="22" t="s">
        <v>2533</v>
      </c>
      <c r="C1892" s="23"/>
      <c r="D1892" s="24"/>
      <c r="E1892" s="25"/>
      <c r="F1892" s="26"/>
      <c r="G1892" s="27">
        <f>SUM(G1893:G1894)</f>
        <v>0</v>
      </c>
      <c r="H1892" s="44">
        <f>G1892*E1880</f>
        <v>0</v>
      </c>
    </row>
    <row r="1893" spans="1:11" ht="12.75" customHeight="1">
      <c r="A1893" s="28"/>
      <c r="B1893" s="29"/>
      <c r="C1893" s="30" t="str">
        <f>IFERROR(_xlfn.XLOOKUP(B1893,Transporte[DESCRIPCION],Transporte[UND],,0),"")</f>
        <v/>
      </c>
      <c r="D1893" s="31"/>
      <c r="E1893" s="32" t="str">
        <f>IFERROR(_xlfn.XLOOKUP($B1893,Transporte[DESCRIPCION],Transporte[VALOR],,0),"")</f>
        <v/>
      </c>
      <c r="F1893" s="33"/>
      <c r="G1893" s="34" t="str">
        <f>IFERROR(IF(F1893&gt;=0,D1893*E1893*(1+F1893/100),ABS(D1893*E1893/F1893)),"")</f>
        <v/>
      </c>
      <c r="H1893" s="43" t="str">
        <f>IFERROR(G1893*E1880,"")</f>
        <v/>
      </c>
    </row>
    <row r="1894" spans="1:11" ht="12.75" customHeight="1">
      <c r="A1894" s="28"/>
      <c r="B1894" s="29"/>
      <c r="C1894" s="30" t="str">
        <f>IFERROR(_xlfn.XLOOKUP(B1894,Transporte[DESCRIPCION],Transporte[UND],,0),"")</f>
        <v/>
      </c>
      <c r="D1894" s="31"/>
      <c r="E1894" s="32" t="str">
        <f>IFERROR(_xlfn.XLOOKUP($B1894,Transporte[DESCRIPCION],Transporte[VALOR],,0),"")</f>
        <v/>
      </c>
      <c r="F1894" s="33"/>
      <c r="G1894" s="34" t="str">
        <f>IFERROR(IF(F1894&gt;=0,D1894*E1894*(1+F1894/100),ABS(D1894*E1894/F1894)),"")</f>
        <v/>
      </c>
      <c r="H1894" s="43" t="str">
        <f>IFERROR(G1894*E1880,"")</f>
        <v/>
      </c>
    </row>
    <row r="1895" spans="1:11" ht="12.75" customHeight="1">
      <c r="A1895" s="21"/>
      <c r="B1895" s="22" t="s">
        <v>3732</v>
      </c>
      <c r="C1895" s="23"/>
      <c r="D1895" s="24"/>
      <c r="E1895" s="25"/>
      <c r="F1895" s="26"/>
      <c r="G1895" s="27">
        <f>SUM(G1896:G1898)</f>
        <v>52398.458482500013</v>
      </c>
      <c r="H1895" s="44">
        <f>G1895*E1880</f>
        <v>0</v>
      </c>
    </row>
    <row r="1896" spans="1:11" ht="12.75" customHeight="1">
      <c r="A1896" s="28"/>
      <c r="B1896" s="29" t="s">
        <v>3710</v>
      </c>
      <c r="C1896" s="30" t="str">
        <f>IFERROR(_xlfn.XLOOKUP(B1896,MObra[DESCRIPCION],MObra[UN],,0),"")</f>
        <v>día</v>
      </c>
      <c r="D1896" s="31">
        <v>1</v>
      </c>
      <c r="E1896" s="32">
        <f>IFERROR(_xlfn.XLOOKUP($B1896,MObra[DESCRIPCION],MObra[VALOR UNIT],,0),"")</f>
        <v>314390.75089500006</v>
      </c>
      <c r="F1896" s="33">
        <v>-6</v>
      </c>
      <c r="G1896" s="34">
        <f>IFERROR(IF(F1896&gt;=0,D1896*E1896*(1+F1896/100),ABS(D1896*E1896/F1896)),"")</f>
        <v>52398.458482500013</v>
      </c>
      <c r="H1896" s="43">
        <f>IFERROR(G1896*E1880,"")</f>
        <v>0</v>
      </c>
    </row>
    <row r="1897" spans="1:11" ht="12.75" customHeight="1">
      <c r="A1897" s="28"/>
      <c r="B1897" s="29"/>
      <c r="C1897" s="30" t="str">
        <f t="array" ref="C1897">IFERROR(_xlfn.XLOOKUP(B1897,MObra[[#All],[DESCRIPCION]],MObra[[#All],[UN]],,0),"")</f>
        <v/>
      </c>
      <c r="D1897" s="31"/>
      <c r="E1897" s="32" t="str">
        <f>IFERROR(_xlfn.XLOOKUP($B1897,MObra[DESCRIPCION],MObra[VALOR UNIT],,0),"")</f>
        <v/>
      </c>
      <c r="F1897" s="33"/>
      <c r="G1897" s="34" t="str">
        <f>IFERROR(IF(F1897&gt;=0,D1897*E1897*(1+F1897/100),ABS(D1897*E1897/F1897)),"")</f>
        <v/>
      </c>
      <c r="H1897" s="43" t="str">
        <f>IFERROR(G1897*E1880,"")</f>
        <v/>
      </c>
    </row>
    <row r="1898" spans="1:11" ht="12.75" customHeight="1" thickBot="1">
      <c r="A1898" s="35"/>
      <c r="B1898" s="36"/>
      <c r="C1898" s="37" t="str">
        <f t="array" ref="C1898">IFERROR(_xlfn.XLOOKUP(B1898,MObra[[#All],[DESCRIPCION]],MObra[[#All],[UN]],,0),"")</f>
        <v/>
      </c>
      <c r="D1898" s="38"/>
      <c r="E1898" s="39" t="str">
        <f>IFERROR(_xlfn.XLOOKUP($B1898,MObra[DESCRIPCION],MObra[VALOR UNIT],,0),"")</f>
        <v/>
      </c>
      <c r="F1898" s="40"/>
      <c r="G1898" s="41" t="str">
        <f>IFERROR(IF(F1898&gt;=0,D1898*E1898*(1+F1898/100),ABS(D1898*E1898/F1898)),"")</f>
        <v/>
      </c>
      <c r="H1898" s="42" t="str">
        <f>IFERROR(G1898*E1880,"")</f>
        <v/>
      </c>
    </row>
    <row r="1899" spans="1:11" ht="12.75" customHeight="1" thickTop="1" thickBot="1"/>
    <row r="1900" spans="1:11" ht="12.75" customHeight="1" thickTop="1" thickBot="1">
      <c r="A1900" s="6" t="s">
        <v>787</v>
      </c>
      <c r="B1900" s="7" t="str">
        <f>VLOOKUP($A1900,Presupuesto!$A:$D,2,FALSE())</f>
        <v>Sifón sanitario PVC 2"</v>
      </c>
      <c r="C1900" s="8" t="str">
        <f>VLOOKUP($A1900,Presupuesto!$A:$D,3,FALSE())</f>
        <v>Un</v>
      </c>
      <c r="D1900" s="9"/>
      <c r="E1900" s="10">
        <f>VLOOKUP($A1900,Presupuesto!$A:$D,4,FALSE())</f>
        <v>0</v>
      </c>
      <c r="F1900" s="11" t="s">
        <v>2589</v>
      </c>
      <c r="G1900" s="12">
        <f>SUM(G1902:G1918)/2</f>
        <v>18489.679710993754</v>
      </c>
      <c r="H1900" s="13">
        <f>ROUND(SUM(H1902:H1918),0)/2</f>
        <v>0</v>
      </c>
      <c r="I1900" s="10">
        <f>VLOOKUP(A1900,Presupuesto!$A:$F,6,0)</f>
        <v>0</v>
      </c>
      <c r="J1900" s="10">
        <f>+H1900-I1900</f>
        <v>0</v>
      </c>
      <c r="K1900" s="46">
        <f>+H1900-G1900*E1900</f>
        <v>0</v>
      </c>
    </row>
    <row r="1901" spans="1:11" ht="12.75" customHeight="1" thickTop="1">
      <c r="A1901" s="14"/>
      <c r="B1901" s="15" t="s">
        <v>2586</v>
      </c>
      <c r="C1901" s="15" t="s">
        <v>5</v>
      </c>
      <c r="D1901" s="16" t="s">
        <v>6</v>
      </c>
      <c r="E1901" s="17" t="s">
        <v>7</v>
      </c>
      <c r="F1901" s="18" t="s">
        <v>3728</v>
      </c>
      <c r="G1901" s="19" t="s">
        <v>3729</v>
      </c>
      <c r="H1901" s="20" t="s">
        <v>3797</v>
      </c>
    </row>
    <row r="1902" spans="1:11" ht="12.75" customHeight="1">
      <c r="A1902" s="21"/>
      <c r="B1902" s="22" t="s">
        <v>3730</v>
      </c>
      <c r="C1902" s="23"/>
      <c r="D1902" s="24"/>
      <c r="E1902" s="25"/>
      <c r="F1902" s="26"/>
      <c r="G1902" s="27">
        <f>SUM(G1903:G1907)</f>
        <v>10236.922500000001</v>
      </c>
      <c r="H1902" s="27">
        <f>IFERROR(G1902*E1900,"")</f>
        <v>0</v>
      </c>
    </row>
    <row r="1903" spans="1:11" ht="12.75" customHeight="1">
      <c r="A1903" s="28"/>
      <c r="B1903" s="29" t="s">
        <v>3299</v>
      </c>
      <c r="C1903" s="30" t="str">
        <f>IFERROR(_xlfn.XLOOKUP(B1903,Insumo[DESCRIPCION],Insumo[UND],,0),"")</f>
        <v>Un</v>
      </c>
      <c r="D1903" s="31">
        <v>1</v>
      </c>
      <c r="E1903" s="32">
        <f>IFERROR(_xlfn.XLOOKUP($B1903,Insumo[DESCRIPCION],Insumo[VALOR],,0),"")</f>
        <v>9188.5500000000011</v>
      </c>
      <c r="F1903" s="33"/>
      <c r="G1903" s="34">
        <f>IFERROR(IF(F1903&gt;=0,D1903*E1903*(1+F1903/100),ABS(D1903*E1903/F1903)),"")</f>
        <v>9188.5500000000011</v>
      </c>
      <c r="H1903" s="43">
        <f>IFERROR(G1903*E1900,"")</f>
        <v>0</v>
      </c>
    </row>
    <row r="1904" spans="1:11" ht="12.75" customHeight="1">
      <c r="A1904" s="28"/>
      <c r="B1904" s="29" t="s">
        <v>3046</v>
      </c>
      <c r="C1904" s="30" t="str">
        <f>IFERROR(_xlfn.XLOOKUP(B1904,Insumo[DESCRIPCION],Insumo[UND],,0),"")</f>
        <v>Un</v>
      </c>
      <c r="D1904" s="31">
        <v>0.01</v>
      </c>
      <c r="E1904" s="32">
        <f>IFERROR(_xlfn.XLOOKUP($B1904,Insumo[DESCRIPCION],Insumo[VALOR],,0),"")</f>
        <v>62413.05</v>
      </c>
      <c r="F1904" s="33"/>
      <c r="G1904" s="34">
        <f>IFERROR(IF(F1904&gt;=0,D1904*E1904*(1+F1904/100),ABS(D1904*E1904/F1904)),"")</f>
        <v>624.1305000000001</v>
      </c>
      <c r="H1904" s="43">
        <f>IFERROR(G1904*E1900,"")</f>
        <v>0</v>
      </c>
    </row>
    <row r="1905" spans="1:11" ht="12.75" customHeight="1">
      <c r="A1905" s="28"/>
      <c r="B1905" s="29" t="s">
        <v>3329</v>
      </c>
      <c r="C1905" s="30" t="str">
        <f>IFERROR(_xlfn.XLOOKUP(B1905,Insumo[DESCRIPCION],Insumo[UND],,0),"")</f>
        <v>Un</v>
      </c>
      <c r="D1905" s="31">
        <v>0.01</v>
      </c>
      <c r="E1905" s="32">
        <f>IFERROR(_xlfn.XLOOKUP($B1905,Insumo[DESCRIPCION],Insumo[VALOR],,0),"")</f>
        <v>42424.200000000004</v>
      </c>
      <c r="F1905" s="33"/>
      <c r="G1905" s="34">
        <f>IFERROR(IF(F1905&gt;=0,D1905*E1905*(1+F1905/100),ABS(D1905*E1905/F1905)),"")</f>
        <v>424.24200000000008</v>
      </c>
      <c r="H1905" s="43">
        <f>IFERROR(G1905*E1900,"")</f>
        <v>0</v>
      </c>
    </row>
    <row r="1906" spans="1:11" ht="12.75" customHeight="1">
      <c r="A1906" s="28"/>
      <c r="B1906" s="29"/>
      <c r="C1906" s="30" t="str">
        <f>IFERROR(_xlfn.XLOOKUP(B1906,Insumo[DESCRIPCION],Insumo[UND],,0),"")</f>
        <v/>
      </c>
      <c r="D1906" s="31"/>
      <c r="E1906" s="32" t="str">
        <f>IFERROR(_xlfn.XLOOKUP($B1906,Insumo[DESCRIPCION],Insumo[VALOR],,0),"")</f>
        <v/>
      </c>
      <c r="F1906" s="33"/>
      <c r="G1906" s="34" t="str">
        <f>IFERROR(IF(F1906&gt;=0,D1906*E1906*(1+F1906/100),ABS(D1906*E1906/F1906)),"")</f>
        <v/>
      </c>
      <c r="H1906" s="43" t="str">
        <f>IFERROR(G1906*E1900,"")</f>
        <v/>
      </c>
    </row>
    <row r="1907" spans="1:11" ht="12.75" customHeight="1">
      <c r="A1907" s="28"/>
      <c r="B1907" s="29"/>
      <c r="C1907" s="30" t="str">
        <f>IFERROR(_xlfn.XLOOKUP(B1907,Insumo[DESCRIPCION],Insumo[UND],,0),"")</f>
        <v/>
      </c>
      <c r="D1907" s="31"/>
      <c r="E1907" s="32" t="str">
        <f>IFERROR(_xlfn.XLOOKUP($B1907,Insumo[DESCRIPCION],Insumo[VALOR],,0),"")</f>
        <v/>
      </c>
      <c r="F1907" s="33"/>
      <c r="G1907" s="34" t="str">
        <f>IFERROR(IF(F1907&gt;=0,D1907*E1907*(1+F1907/100),ABS(D1907*E1907/F1907)),"")</f>
        <v/>
      </c>
      <c r="H1907" s="43" t="str">
        <f>IFERROR(G1907*E1900,"")</f>
        <v/>
      </c>
    </row>
    <row r="1908" spans="1:11" ht="12.75" customHeight="1">
      <c r="A1908" s="21"/>
      <c r="B1908" s="22" t="s">
        <v>3731</v>
      </c>
      <c r="C1908" s="23"/>
      <c r="D1908" s="24"/>
      <c r="E1908" s="25"/>
      <c r="F1908" s="26"/>
      <c r="G1908" s="27">
        <f>SUM(G1909:G1911)</f>
        <v>392.98843861875008</v>
      </c>
      <c r="H1908" s="44">
        <f>G1908*E1900</f>
        <v>0</v>
      </c>
    </row>
    <row r="1909" spans="1:11" ht="12.75" customHeight="1">
      <c r="A1909" s="28"/>
      <c r="B1909" s="29" t="s">
        <v>3626</v>
      </c>
      <c r="C1909" s="30" t="str">
        <f>IFERROR(_xlfn.XLOOKUP(B1909,Equipo[DESCRIPCION],Equipo[UND],,0),"")</f>
        <v>%MO</v>
      </c>
      <c r="D1909" s="31">
        <v>0.05</v>
      </c>
      <c r="E1909" s="32">
        <f>IF(C1909="%MO",G1915,IFERROR(_xlfn.XLOOKUP($B1909,Equipo[DESCRIPCION],Equipo[VALOR],,0),""))</f>
        <v>7859.7687723750014</v>
      </c>
      <c r="F1909" s="33"/>
      <c r="G1909" s="34">
        <f>IFERROR(IF(F1909&gt;=0,D1909*E1909*(1+F1909/100),ABS(D1909*E1909/F1909)),"")</f>
        <v>392.98843861875008</v>
      </c>
      <c r="H1909" s="43">
        <f>IFERROR(G1909*E1900,"")</f>
        <v>0</v>
      </c>
    </row>
    <row r="1910" spans="1:11" ht="12.75" customHeight="1">
      <c r="A1910" s="28"/>
      <c r="B1910" s="29"/>
      <c r="C1910" s="30" t="str">
        <f>IFERROR(_xlfn.XLOOKUP(B1910,Equipo[DESCRIPCION],Equipo[UND],,0),"")</f>
        <v/>
      </c>
      <c r="D1910" s="31"/>
      <c r="E1910" s="32" t="str">
        <f>IF(C1910="%MO",G1915,IFERROR(_xlfn.XLOOKUP($B1910,Equipo[DESCRIPCION],Equipo[VALOR],,0),""))</f>
        <v/>
      </c>
      <c r="F1910" s="33"/>
      <c r="G1910" s="34" t="str">
        <f>IFERROR(IF(F1910&gt;=0,D1910*E1910*(1+F1910/100),ABS(D1910*E1910/F1910)),"")</f>
        <v/>
      </c>
      <c r="H1910" s="43" t="str">
        <f>IFERROR(G1910*E1900,"")</f>
        <v/>
      </c>
    </row>
    <row r="1911" spans="1:11" ht="12.75" customHeight="1">
      <c r="A1911" s="28"/>
      <c r="B1911" s="29"/>
      <c r="C1911" s="30" t="str">
        <f>IFERROR(_xlfn.XLOOKUP(B1911,Equipo[DESCRIPCION],Equipo[UND],,0),"")</f>
        <v/>
      </c>
      <c r="D1911" s="31"/>
      <c r="E1911" s="32" t="str">
        <f>IF(C1911="%MO",G1915,IFERROR(_xlfn.XLOOKUP($B1911,Equipo[DESCRIPCION],Equipo[VALOR],,0),""))</f>
        <v/>
      </c>
      <c r="F1911" s="33"/>
      <c r="G1911" s="34" t="str">
        <f>IFERROR(IF(F1911&gt;=0,D1911*E1911*(1+F1911/100),ABS(D1911*E1911/F1911)),"")</f>
        <v/>
      </c>
      <c r="H1911" s="43" t="str">
        <f>IFERROR(G1911*E1900,"")</f>
        <v/>
      </c>
    </row>
    <row r="1912" spans="1:11" ht="12.75" customHeight="1">
      <c r="A1912" s="21"/>
      <c r="B1912" s="22" t="s">
        <v>2533</v>
      </c>
      <c r="C1912" s="23"/>
      <c r="D1912" s="24"/>
      <c r="E1912" s="25"/>
      <c r="F1912" s="26"/>
      <c r="G1912" s="27">
        <f>SUM(G1913:G1914)</f>
        <v>0</v>
      </c>
      <c r="H1912" s="44">
        <f>G1912*E1900</f>
        <v>0</v>
      </c>
    </row>
    <row r="1913" spans="1:11" ht="12.75" customHeight="1">
      <c r="A1913" s="28"/>
      <c r="B1913" s="29"/>
      <c r="C1913" s="30" t="str">
        <f>IFERROR(_xlfn.XLOOKUP(B1913,Transporte[DESCRIPCION],Transporte[UND],,0),"")</f>
        <v/>
      </c>
      <c r="D1913" s="31"/>
      <c r="E1913" s="32" t="str">
        <f>IFERROR(_xlfn.XLOOKUP($B1913,Transporte[DESCRIPCION],Transporte[VALOR],,0),"")</f>
        <v/>
      </c>
      <c r="F1913" s="33"/>
      <c r="G1913" s="34" t="str">
        <f>IFERROR(IF(F1913&gt;=0,D1913*E1913*(1+F1913/100),ABS(D1913*E1913/F1913)),"")</f>
        <v/>
      </c>
      <c r="H1913" s="43" t="str">
        <f>IFERROR(G1913*E1900,"")</f>
        <v/>
      </c>
    </row>
    <row r="1914" spans="1:11" ht="12.75" customHeight="1">
      <c r="A1914" s="28"/>
      <c r="B1914" s="29"/>
      <c r="C1914" s="30" t="str">
        <f>IFERROR(_xlfn.XLOOKUP(B1914,Transporte[DESCRIPCION],Transporte[UND],,0),"")</f>
        <v/>
      </c>
      <c r="D1914" s="31"/>
      <c r="E1914" s="32" t="str">
        <f>IFERROR(_xlfn.XLOOKUP($B1914,Transporte[DESCRIPCION],Transporte[VALOR],,0),"")</f>
        <v/>
      </c>
      <c r="F1914" s="33"/>
      <c r="G1914" s="34" t="str">
        <f>IFERROR(IF(F1914&gt;=0,D1914*E1914*(1+F1914/100),ABS(D1914*E1914/F1914)),"")</f>
        <v/>
      </c>
      <c r="H1914" s="43" t="str">
        <f>IFERROR(G1914*E1900,"")</f>
        <v/>
      </c>
    </row>
    <row r="1915" spans="1:11" ht="12.75" customHeight="1">
      <c r="A1915" s="21"/>
      <c r="B1915" s="22" t="s">
        <v>3732</v>
      </c>
      <c r="C1915" s="23"/>
      <c r="D1915" s="24"/>
      <c r="E1915" s="25"/>
      <c r="F1915" s="26"/>
      <c r="G1915" s="27">
        <f>SUM(G1916:G1918)</f>
        <v>7859.7687723750014</v>
      </c>
      <c r="H1915" s="44">
        <f>G1915*E1900</f>
        <v>0</v>
      </c>
    </row>
    <row r="1916" spans="1:11" ht="12.75" customHeight="1">
      <c r="A1916" s="28"/>
      <c r="B1916" s="29" t="s">
        <v>3710</v>
      </c>
      <c r="C1916" s="30" t="str">
        <f>IFERROR(_xlfn.XLOOKUP(B1916,MObra[DESCRIPCION],MObra[UN],,0),"")</f>
        <v>día</v>
      </c>
      <c r="D1916" s="31">
        <v>1</v>
      </c>
      <c r="E1916" s="32">
        <f>IFERROR(_xlfn.XLOOKUP($B1916,MObra[DESCRIPCION],MObra[VALOR UNIT],,0),"")</f>
        <v>314390.75089500006</v>
      </c>
      <c r="F1916" s="33">
        <v>-40</v>
      </c>
      <c r="G1916" s="34">
        <f>IFERROR(IF(F1916&gt;=0,D1916*E1916*(1+F1916/100),ABS(D1916*E1916/F1916)),"")</f>
        <v>7859.7687723750014</v>
      </c>
      <c r="H1916" s="43">
        <f>IFERROR(G1916*E1900,"")</f>
        <v>0</v>
      </c>
    </row>
    <row r="1917" spans="1:11" ht="12.75" customHeight="1">
      <c r="A1917" s="28"/>
      <c r="B1917" s="29"/>
      <c r="C1917" s="30" t="str">
        <f t="array" ref="C1917">IFERROR(_xlfn.XLOOKUP(B1917,MObra[[#All],[DESCRIPCION]],MObra[[#All],[UN]],,0),"")</f>
        <v/>
      </c>
      <c r="D1917" s="31"/>
      <c r="E1917" s="32" t="str">
        <f>IFERROR(_xlfn.XLOOKUP($B1917,MObra[DESCRIPCION],MObra[VALOR UNIT],,0),"")</f>
        <v/>
      </c>
      <c r="F1917" s="33"/>
      <c r="G1917" s="34" t="str">
        <f>IFERROR(IF(F1917&gt;=0,D1917*E1917*(1+F1917/100),ABS(D1917*E1917/F1917)),"")</f>
        <v/>
      </c>
      <c r="H1917" s="43" t="str">
        <f>IFERROR(G1917*E1900,"")</f>
        <v/>
      </c>
    </row>
    <row r="1918" spans="1:11" ht="12.75" customHeight="1" thickBot="1">
      <c r="A1918" s="35"/>
      <c r="B1918" s="36"/>
      <c r="C1918" s="37" t="str">
        <f t="array" ref="C1918">IFERROR(_xlfn.XLOOKUP(B1918,MObra[[#All],[DESCRIPCION]],MObra[[#All],[UN]],,0),"")</f>
        <v/>
      </c>
      <c r="D1918" s="38"/>
      <c r="E1918" s="39" t="str">
        <f>IFERROR(_xlfn.XLOOKUP($B1918,MObra[DESCRIPCION],MObra[VALOR UNIT],,0),"")</f>
        <v/>
      </c>
      <c r="F1918" s="40"/>
      <c r="G1918" s="41" t="str">
        <f>IFERROR(IF(F1918&gt;=0,D1918*E1918*(1+F1918/100),ABS(D1918*E1918/F1918)),"")</f>
        <v/>
      </c>
      <c r="H1918" s="42" t="str">
        <f>IFERROR(G1918*E1900,"")</f>
        <v/>
      </c>
    </row>
    <row r="1919" spans="1:11" ht="12.75" customHeight="1" thickTop="1" thickBot="1"/>
    <row r="1920" spans="1:11" ht="12.75" customHeight="1" thickTop="1" thickBot="1">
      <c r="A1920" s="6" t="s">
        <v>789</v>
      </c>
      <c r="B1920" s="7" t="str">
        <f>VLOOKUP($A1920,Presupuesto!$A:$D,2,FALSE())</f>
        <v>Sifón sanitario PVC 3"</v>
      </c>
      <c r="C1920" s="8" t="str">
        <f>VLOOKUP($A1920,Presupuesto!$A:$D,3,FALSE())</f>
        <v>Un</v>
      </c>
      <c r="D1920" s="9"/>
      <c r="E1920" s="10">
        <f>VLOOKUP($A1920,Presupuesto!$A:$D,4,FALSE())</f>
        <v>0</v>
      </c>
      <c r="F1920" s="11" t="s">
        <v>2589</v>
      </c>
      <c r="G1920" s="12">
        <f>SUM(G1922:G1938)/2</f>
        <v>30383.081276849996</v>
      </c>
      <c r="H1920" s="13">
        <f>ROUND(SUM(H1922:H1938),0)/2</f>
        <v>0</v>
      </c>
      <c r="I1920" s="10">
        <f>VLOOKUP(A1920,Presupuesto!$A:$F,6,0)</f>
        <v>0</v>
      </c>
      <c r="J1920" s="10">
        <f>+H1920-I1920</f>
        <v>0</v>
      </c>
      <c r="K1920" s="46">
        <f>+H1920-G1920*E1920</f>
        <v>0</v>
      </c>
    </row>
    <row r="1921" spans="1:8" ht="12.75" customHeight="1" thickTop="1">
      <c r="A1921" s="14"/>
      <c r="B1921" s="15" t="s">
        <v>2586</v>
      </c>
      <c r="C1921" s="15" t="s">
        <v>5</v>
      </c>
      <c r="D1921" s="16" t="s">
        <v>6</v>
      </c>
      <c r="E1921" s="17" t="s">
        <v>7</v>
      </c>
      <c r="F1921" s="18" t="s">
        <v>3728</v>
      </c>
      <c r="G1921" s="19" t="s">
        <v>3729</v>
      </c>
      <c r="H1921" s="20" t="s">
        <v>3797</v>
      </c>
    </row>
    <row r="1922" spans="1:8" ht="12.75" customHeight="1">
      <c r="A1922" s="21"/>
      <c r="B1922" s="22" t="s">
        <v>3730</v>
      </c>
      <c r="C1922" s="23"/>
      <c r="D1922" s="24"/>
      <c r="E1922" s="25"/>
      <c r="F1922" s="26"/>
      <c r="G1922" s="27">
        <f>SUM(G1923:G1927)</f>
        <v>20951.358749999999</v>
      </c>
      <c r="H1922" s="27">
        <f>IFERROR(G1922*E1920,"")</f>
        <v>0</v>
      </c>
    </row>
    <row r="1923" spans="1:8" ht="12.75" customHeight="1">
      <c r="A1923" s="28"/>
      <c r="B1923" s="29" t="s">
        <v>3300</v>
      </c>
      <c r="C1923" s="30" t="str">
        <f>IFERROR(_xlfn.XLOOKUP(B1923,Insumo[DESCRIPCION],Insumo[UND],,0),"")</f>
        <v>Un</v>
      </c>
      <c r="D1923" s="31">
        <v>1</v>
      </c>
      <c r="E1923" s="32">
        <f>IFERROR(_xlfn.XLOOKUP($B1923,Insumo[DESCRIPCION],Insumo[VALOR],,0),"")</f>
        <v>19378.8</v>
      </c>
      <c r="F1923" s="33"/>
      <c r="G1923" s="34">
        <f>IFERROR(IF(F1923&gt;=0,D1923*E1923*(1+F1923/100),ABS(D1923*E1923/F1923)),"")</f>
        <v>19378.8</v>
      </c>
      <c r="H1923" s="43">
        <f>IFERROR(G1923*E1920,"")</f>
        <v>0</v>
      </c>
    </row>
    <row r="1924" spans="1:8" ht="12.75" customHeight="1">
      <c r="A1924" s="28"/>
      <c r="B1924" s="29" t="s">
        <v>3046</v>
      </c>
      <c r="C1924" s="30" t="str">
        <f>IFERROR(_xlfn.XLOOKUP(B1924,Insumo[DESCRIPCION],Insumo[UND],,0),"")</f>
        <v>Un</v>
      </c>
      <c r="D1924" s="31">
        <v>1.4999999999999999E-2</v>
      </c>
      <c r="E1924" s="32">
        <f>IFERROR(_xlfn.XLOOKUP($B1924,Insumo[DESCRIPCION],Insumo[VALOR],,0),"")</f>
        <v>62413.05</v>
      </c>
      <c r="F1924" s="33"/>
      <c r="G1924" s="34">
        <f>IFERROR(IF(F1924&gt;=0,D1924*E1924*(1+F1924/100),ABS(D1924*E1924/F1924)),"")</f>
        <v>936.19574999999998</v>
      </c>
      <c r="H1924" s="43">
        <f>IFERROR(G1924*E1920,"")</f>
        <v>0</v>
      </c>
    </row>
    <row r="1925" spans="1:8" ht="12.75" customHeight="1">
      <c r="A1925" s="28"/>
      <c r="B1925" s="29" t="s">
        <v>3329</v>
      </c>
      <c r="C1925" s="30" t="str">
        <f>IFERROR(_xlfn.XLOOKUP(B1925,Insumo[DESCRIPCION],Insumo[UND],,0),"")</f>
        <v>Un</v>
      </c>
      <c r="D1925" s="31">
        <v>1.4999999999999999E-2</v>
      </c>
      <c r="E1925" s="32">
        <f>IFERROR(_xlfn.XLOOKUP($B1925,Insumo[DESCRIPCION],Insumo[VALOR],,0),"")</f>
        <v>42424.200000000004</v>
      </c>
      <c r="F1925" s="33"/>
      <c r="G1925" s="34">
        <f>IFERROR(IF(F1925&gt;=0,D1925*E1925*(1+F1925/100),ABS(D1925*E1925/F1925)),"")</f>
        <v>636.36300000000006</v>
      </c>
      <c r="H1925" s="43">
        <f>IFERROR(G1925*E1920,"")</f>
        <v>0</v>
      </c>
    </row>
    <row r="1926" spans="1:8" ht="12.75" customHeight="1">
      <c r="A1926" s="28"/>
      <c r="B1926" s="29"/>
      <c r="C1926" s="30" t="str">
        <f>IFERROR(_xlfn.XLOOKUP(B1926,Insumo[DESCRIPCION],Insumo[UND],,0),"")</f>
        <v/>
      </c>
      <c r="D1926" s="31"/>
      <c r="E1926" s="32" t="str">
        <f>IFERROR(_xlfn.XLOOKUP($B1926,Insumo[DESCRIPCION],Insumo[VALOR],,0),"")</f>
        <v/>
      </c>
      <c r="F1926" s="33"/>
      <c r="G1926" s="34" t="str">
        <f>IFERROR(IF(F1926&gt;=0,D1926*E1926*(1+F1926/100),ABS(D1926*E1926/F1926)),"")</f>
        <v/>
      </c>
      <c r="H1926" s="43" t="str">
        <f>IFERROR(G1926*E1920,"")</f>
        <v/>
      </c>
    </row>
    <row r="1927" spans="1:8" ht="12.75" customHeight="1">
      <c r="A1927" s="28"/>
      <c r="B1927" s="29"/>
      <c r="C1927" s="30" t="str">
        <f>IFERROR(_xlfn.XLOOKUP(B1927,Insumo[DESCRIPCION],Insumo[UND],,0),"")</f>
        <v/>
      </c>
      <c r="D1927" s="31"/>
      <c r="E1927" s="32" t="str">
        <f>IFERROR(_xlfn.XLOOKUP($B1927,Insumo[DESCRIPCION],Insumo[VALOR],,0),"")</f>
        <v/>
      </c>
      <c r="F1927" s="33"/>
      <c r="G1927" s="34" t="str">
        <f>IFERROR(IF(F1927&gt;=0,D1927*E1927*(1+F1927/100),ABS(D1927*E1927/F1927)),"")</f>
        <v/>
      </c>
      <c r="H1927" s="43" t="str">
        <f>IFERROR(G1927*E1920,"")</f>
        <v/>
      </c>
    </row>
    <row r="1928" spans="1:8" ht="12.75" customHeight="1">
      <c r="A1928" s="21"/>
      <c r="B1928" s="22" t="s">
        <v>3731</v>
      </c>
      <c r="C1928" s="23"/>
      <c r="D1928" s="24"/>
      <c r="E1928" s="25"/>
      <c r="F1928" s="26"/>
      <c r="G1928" s="27">
        <f>SUM(G1929:G1931)</f>
        <v>449.12964413571439</v>
      </c>
      <c r="H1928" s="44">
        <f>G1928*E1920</f>
        <v>0</v>
      </c>
    </row>
    <row r="1929" spans="1:8" ht="12.75" customHeight="1">
      <c r="A1929" s="28"/>
      <c r="B1929" s="29" t="s">
        <v>3626</v>
      </c>
      <c r="C1929" s="30" t="str">
        <f>IFERROR(_xlfn.XLOOKUP(B1929,Equipo[DESCRIPCION],Equipo[UND],,0),"")</f>
        <v>%MO</v>
      </c>
      <c r="D1929" s="31">
        <v>0.05</v>
      </c>
      <c r="E1929" s="32">
        <f>IF(C1929="%MO",G1935,IFERROR(_xlfn.XLOOKUP($B1929,Equipo[DESCRIPCION],Equipo[VALOR],,0),""))</f>
        <v>8982.592882714287</v>
      </c>
      <c r="F1929" s="33"/>
      <c r="G1929" s="34">
        <f>IFERROR(IF(F1929&gt;=0,D1929*E1929*(1+F1929/100),ABS(D1929*E1929/F1929)),"")</f>
        <v>449.12964413571439</v>
      </c>
      <c r="H1929" s="43">
        <f>IFERROR(G1929*E1920,"")</f>
        <v>0</v>
      </c>
    </row>
    <row r="1930" spans="1:8" ht="12.75" customHeight="1">
      <c r="A1930" s="28"/>
      <c r="B1930" s="29"/>
      <c r="C1930" s="30" t="str">
        <f>IFERROR(_xlfn.XLOOKUP(B1930,Equipo[DESCRIPCION],Equipo[UND],,0),"")</f>
        <v/>
      </c>
      <c r="D1930" s="31"/>
      <c r="E1930" s="32" t="str">
        <f>IF(C1930="%MO",G1935,IFERROR(_xlfn.XLOOKUP($B1930,Equipo[DESCRIPCION],Equipo[VALOR],,0),""))</f>
        <v/>
      </c>
      <c r="F1930" s="33"/>
      <c r="G1930" s="34" t="str">
        <f>IFERROR(IF(F1930&gt;=0,D1930*E1930*(1+F1930/100),ABS(D1930*E1930/F1930)),"")</f>
        <v/>
      </c>
      <c r="H1930" s="43" t="str">
        <f>IFERROR(G1930*E1920,"")</f>
        <v/>
      </c>
    </row>
    <row r="1931" spans="1:8" ht="12.75" customHeight="1">
      <c r="A1931" s="28"/>
      <c r="B1931" s="29"/>
      <c r="C1931" s="30" t="str">
        <f>IFERROR(_xlfn.XLOOKUP(B1931,Equipo[DESCRIPCION],Equipo[UND],,0),"")</f>
        <v/>
      </c>
      <c r="D1931" s="31"/>
      <c r="E1931" s="32" t="str">
        <f>IF(C1931="%MO",G1935,IFERROR(_xlfn.XLOOKUP($B1931,Equipo[DESCRIPCION],Equipo[VALOR],,0),""))</f>
        <v/>
      </c>
      <c r="F1931" s="33"/>
      <c r="G1931" s="34" t="str">
        <f>IFERROR(IF(F1931&gt;=0,D1931*E1931*(1+F1931/100),ABS(D1931*E1931/F1931)),"")</f>
        <v/>
      </c>
      <c r="H1931" s="43" t="str">
        <f>IFERROR(G1931*E1920,"")</f>
        <v/>
      </c>
    </row>
    <row r="1932" spans="1:8" ht="12.75" customHeight="1">
      <c r="A1932" s="21"/>
      <c r="B1932" s="22" t="s">
        <v>2533</v>
      </c>
      <c r="C1932" s="23"/>
      <c r="D1932" s="24"/>
      <c r="E1932" s="25"/>
      <c r="F1932" s="26"/>
      <c r="G1932" s="27">
        <f>SUM(G1933:G1934)</f>
        <v>0</v>
      </c>
      <c r="H1932" s="44">
        <f>G1932*E1920</f>
        <v>0</v>
      </c>
    </row>
    <row r="1933" spans="1:8" ht="12.75" customHeight="1">
      <c r="A1933" s="28"/>
      <c r="B1933" s="29"/>
      <c r="C1933" s="30" t="str">
        <f>IFERROR(_xlfn.XLOOKUP(B1933,Transporte[DESCRIPCION],Transporte[UND],,0),"")</f>
        <v/>
      </c>
      <c r="D1933" s="31"/>
      <c r="E1933" s="32" t="str">
        <f>IFERROR(_xlfn.XLOOKUP($B1933,Transporte[DESCRIPCION],Transporte[VALOR],,0),"")</f>
        <v/>
      </c>
      <c r="F1933" s="33"/>
      <c r="G1933" s="34" t="str">
        <f>IFERROR(IF(F1933&gt;=0,D1933*E1933*(1+F1933/100),ABS(D1933*E1933/F1933)),"")</f>
        <v/>
      </c>
      <c r="H1933" s="43" t="str">
        <f>IFERROR(G1933*E1920,"")</f>
        <v/>
      </c>
    </row>
    <row r="1934" spans="1:8" ht="12.75" customHeight="1">
      <c r="A1934" s="28"/>
      <c r="B1934" s="29"/>
      <c r="C1934" s="30" t="str">
        <f>IFERROR(_xlfn.XLOOKUP(B1934,Transporte[DESCRIPCION],Transporte[UND],,0),"")</f>
        <v/>
      </c>
      <c r="D1934" s="31"/>
      <c r="E1934" s="32" t="str">
        <f>IFERROR(_xlfn.XLOOKUP($B1934,Transporte[DESCRIPCION],Transporte[VALOR],,0),"")</f>
        <v/>
      </c>
      <c r="F1934" s="33"/>
      <c r="G1934" s="34" t="str">
        <f>IFERROR(IF(F1934&gt;=0,D1934*E1934*(1+F1934/100),ABS(D1934*E1934/F1934)),"")</f>
        <v/>
      </c>
      <c r="H1934" s="43" t="str">
        <f>IFERROR(G1934*E1920,"")</f>
        <v/>
      </c>
    </row>
    <row r="1935" spans="1:8" ht="12.75" customHeight="1">
      <c r="A1935" s="21"/>
      <c r="B1935" s="22" t="s">
        <v>3732</v>
      </c>
      <c r="C1935" s="23"/>
      <c r="D1935" s="24"/>
      <c r="E1935" s="25"/>
      <c r="F1935" s="26"/>
      <c r="G1935" s="27">
        <f>SUM(G1936:G1938)</f>
        <v>8982.592882714287</v>
      </c>
      <c r="H1935" s="44">
        <f>G1935*E1920</f>
        <v>0</v>
      </c>
    </row>
    <row r="1936" spans="1:8" ht="12.75" customHeight="1">
      <c r="A1936" s="28"/>
      <c r="B1936" s="29" t="s">
        <v>3710</v>
      </c>
      <c r="C1936" s="30" t="str">
        <f>IFERROR(_xlfn.XLOOKUP(B1936,MObra[DESCRIPCION],MObra[UN],,0),"")</f>
        <v>día</v>
      </c>
      <c r="D1936" s="31">
        <v>1</v>
      </c>
      <c r="E1936" s="32">
        <f>IFERROR(_xlfn.XLOOKUP($B1936,MObra[DESCRIPCION],MObra[VALOR UNIT],,0),"")</f>
        <v>314390.75089500006</v>
      </c>
      <c r="F1936" s="33">
        <v>-35</v>
      </c>
      <c r="G1936" s="34">
        <f>IFERROR(IF(F1936&gt;=0,D1936*E1936*(1+F1936/100),ABS(D1936*E1936/F1936)),"")</f>
        <v>8982.592882714287</v>
      </c>
      <c r="H1936" s="43">
        <f>IFERROR(G1936*E1920,"")</f>
        <v>0</v>
      </c>
    </row>
    <row r="1937" spans="1:11" ht="12.75" customHeight="1">
      <c r="A1937" s="28"/>
      <c r="B1937" s="29"/>
      <c r="C1937" s="30" t="str">
        <f t="array" ref="C1937">IFERROR(_xlfn.XLOOKUP(B1937,MObra[[#All],[DESCRIPCION]],MObra[[#All],[UN]],,0),"")</f>
        <v/>
      </c>
      <c r="D1937" s="31"/>
      <c r="E1937" s="32" t="str">
        <f>IFERROR(_xlfn.XLOOKUP($B1937,MObra[DESCRIPCION],MObra[VALOR UNIT],,0),"")</f>
        <v/>
      </c>
      <c r="F1937" s="33"/>
      <c r="G1937" s="34" t="str">
        <f>IFERROR(IF(F1937&gt;=0,D1937*E1937*(1+F1937/100),ABS(D1937*E1937/F1937)),"")</f>
        <v/>
      </c>
      <c r="H1937" s="43" t="str">
        <f>IFERROR(G1937*E1920,"")</f>
        <v/>
      </c>
    </row>
    <row r="1938" spans="1:11" ht="12.75" customHeight="1" thickBot="1">
      <c r="A1938" s="35"/>
      <c r="B1938" s="36"/>
      <c r="C1938" s="37" t="str">
        <f t="array" ref="C1938">IFERROR(_xlfn.XLOOKUP(B1938,MObra[[#All],[DESCRIPCION]],MObra[[#All],[UN]],,0),"")</f>
        <v/>
      </c>
      <c r="D1938" s="38"/>
      <c r="E1938" s="39" t="str">
        <f>IFERROR(_xlfn.XLOOKUP($B1938,MObra[DESCRIPCION],MObra[VALOR UNIT],,0),"")</f>
        <v/>
      </c>
      <c r="F1938" s="40"/>
      <c r="G1938" s="41" t="str">
        <f>IFERROR(IF(F1938&gt;=0,D1938*E1938*(1+F1938/100),ABS(D1938*E1938/F1938)),"")</f>
        <v/>
      </c>
      <c r="H1938" s="42" t="str">
        <f>IFERROR(G1938*E1920,"")</f>
        <v/>
      </c>
    </row>
    <row r="1939" spans="1:11" ht="12.75" customHeight="1" thickTop="1" thickBot="1"/>
    <row r="1940" spans="1:11" ht="12.75" customHeight="1" thickTop="1" thickBot="1">
      <c r="A1940" s="6" t="s">
        <v>791</v>
      </c>
      <c r="B1940" s="7" t="str">
        <f>VLOOKUP($A1940,Presupuesto!$A:$D,2,FALSE())</f>
        <v>Sifón sanitario PVC 4"</v>
      </c>
      <c r="C1940" s="8" t="str">
        <f>VLOOKUP($A1940,Presupuesto!$A:$D,3,FALSE())</f>
        <v>Un</v>
      </c>
      <c r="D1940" s="9"/>
      <c r="E1940" s="10">
        <f>VLOOKUP($A1940,Presupuesto!$A:$D,4,FALSE())</f>
        <v>0</v>
      </c>
      <c r="F1940" s="11" t="s">
        <v>2589</v>
      </c>
      <c r="G1940" s="12">
        <f>SUM(G1942:G1958)/2</f>
        <v>53470.821281324992</v>
      </c>
      <c r="H1940" s="13">
        <f>ROUND(SUM(H1942:H1958),0)/2</f>
        <v>0</v>
      </c>
      <c r="I1940" s="10">
        <f>VLOOKUP(A1940,Presupuesto!$A:$F,6,0)</f>
        <v>0</v>
      </c>
      <c r="J1940" s="10">
        <f>+H1940-I1940</f>
        <v>0</v>
      </c>
      <c r="K1940" s="46">
        <f>+H1940-G1940*E1940</f>
        <v>0</v>
      </c>
    </row>
    <row r="1941" spans="1:11" ht="12.75" customHeight="1" thickTop="1">
      <c r="A1941" s="14"/>
      <c r="B1941" s="15" t="s">
        <v>2586</v>
      </c>
      <c r="C1941" s="15" t="s">
        <v>5</v>
      </c>
      <c r="D1941" s="16" t="s">
        <v>6</v>
      </c>
      <c r="E1941" s="17" t="s">
        <v>7</v>
      </c>
      <c r="F1941" s="18" t="s">
        <v>3728</v>
      </c>
      <c r="G1941" s="19" t="s">
        <v>3729</v>
      </c>
      <c r="H1941" s="20" t="s">
        <v>3797</v>
      </c>
    </row>
    <row r="1942" spans="1:11" ht="12.75" customHeight="1">
      <c r="A1942" s="21"/>
      <c r="B1942" s="22" t="s">
        <v>3730</v>
      </c>
      <c r="C1942" s="23"/>
      <c r="D1942" s="24"/>
      <c r="E1942" s="25"/>
      <c r="F1942" s="26"/>
      <c r="G1942" s="27">
        <f>SUM(G1943:G1947)</f>
        <v>42467.144999999997</v>
      </c>
      <c r="H1942" s="27">
        <f>IFERROR(G1942*E1940,"")</f>
        <v>0</v>
      </c>
    </row>
    <row r="1943" spans="1:11" ht="12.75" customHeight="1">
      <c r="A1943" s="28"/>
      <c r="B1943" s="29" t="s">
        <v>3301</v>
      </c>
      <c r="C1943" s="30" t="str">
        <f>IFERROR(_xlfn.XLOOKUP(B1943,Insumo[DESCRIPCION],Insumo[UND],,0),"")</f>
        <v>Un</v>
      </c>
      <c r="D1943" s="31">
        <v>1</v>
      </c>
      <c r="E1943" s="32">
        <f>IFERROR(_xlfn.XLOOKUP($B1943,Insumo[DESCRIPCION],Insumo[VALOR],,0),"")</f>
        <v>40370.400000000001</v>
      </c>
      <c r="F1943" s="33"/>
      <c r="G1943" s="34">
        <f>IFERROR(IF(F1943&gt;=0,D1943*E1943*(1+F1943/100),ABS(D1943*E1943/F1943)),"")</f>
        <v>40370.400000000001</v>
      </c>
      <c r="H1943" s="43">
        <f>IFERROR(G1943*E1940,"")</f>
        <v>0</v>
      </c>
    </row>
    <row r="1944" spans="1:11" ht="12.75" customHeight="1">
      <c r="A1944" s="28"/>
      <c r="B1944" s="29" t="s">
        <v>3046</v>
      </c>
      <c r="C1944" s="30" t="str">
        <f>IFERROR(_xlfn.XLOOKUP(B1944,Insumo[DESCRIPCION],Insumo[UND],,0),"")</f>
        <v>Un</v>
      </c>
      <c r="D1944" s="31">
        <v>0.02</v>
      </c>
      <c r="E1944" s="32">
        <f>IFERROR(_xlfn.XLOOKUP($B1944,Insumo[DESCRIPCION],Insumo[VALOR],,0),"")</f>
        <v>62413.05</v>
      </c>
      <c r="F1944" s="33"/>
      <c r="G1944" s="34">
        <f>IFERROR(IF(F1944&gt;=0,D1944*E1944*(1+F1944/100),ABS(D1944*E1944/F1944)),"")</f>
        <v>1248.2610000000002</v>
      </c>
      <c r="H1944" s="43">
        <f>IFERROR(G1944*E1940,"")</f>
        <v>0</v>
      </c>
    </row>
    <row r="1945" spans="1:11" ht="12.75" customHeight="1">
      <c r="A1945" s="28"/>
      <c r="B1945" s="29" t="s">
        <v>3329</v>
      </c>
      <c r="C1945" s="30" t="str">
        <f>IFERROR(_xlfn.XLOOKUP(B1945,Insumo[DESCRIPCION],Insumo[UND],,0),"")</f>
        <v>Un</v>
      </c>
      <c r="D1945" s="31">
        <v>0.02</v>
      </c>
      <c r="E1945" s="32">
        <f>IFERROR(_xlfn.XLOOKUP($B1945,Insumo[DESCRIPCION],Insumo[VALOR],,0),"")</f>
        <v>42424.200000000004</v>
      </c>
      <c r="F1945" s="33"/>
      <c r="G1945" s="34">
        <f>IFERROR(IF(F1945&gt;=0,D1945*E1945*(1+F1945/100),ABS(D1945*E1945/F1945)),"")</f>
        <v>848.48400000000015</v>
      </c>
      <c r="H1945" s="43">
        <f>IFERROR(G1945*E1940,"")</f>
        <v>0</v>
      </c>
    </row>
    <row r="1946" spans="1:11" ht="12.75" customHeight="1">
      <c r="A1946" s="28"/>
      <c r="B1946" s="29"/>
      <c r="C1946" s="30" t="str">
        <f>IFERROR(_xlfn.XLOOKUP(B1946,Insumo[DESCRIPCION],Insumo[UND],,0),"")</f>
        <v/>
      </c>
      <c r="D1946" s="31"/>
      <c r="E1946" s="32" t="str">
        <f>IFERROR(_xlfn.XLOOKUP($B1946,Insumo[DESCRIPCION],Insumo[VALOR],,0),"")</f>
        <v/>
      </c>
      <c r="F1946" s="33"/>
      <c r="G1946" s="34" t="str">
        <f>IFERROR(IF(F1946&gt;=0,D1946*E1946*(1+F1946/100),ABS(D1946*E1946/F1946)),"")</f>
        <v/>
      </c>
      <c r="H1946" s="43" t="str">
        <f>IFERROR(G1946*E1940,"")</f>
        <v/>
      </c>
    </row>
    <row r="1947" spans="1:11" ht="12.75" customHeight="1">
      <c r="A1947" s="28"/>
      <c r="B1947" s="29"/>
      <c r="C1947" s="30" t="str">
        <f>IFERROR(_xlfn.XLOOKUP(B1947,Insumo[DESCRIPCION],Insumo[UND],,0),"")</f>
        <v/>
      </c>
      <c r="D1947" s="31"/>
      <c r="E1947" s="32" t="str">
        <f>IFERROR(_xlfn.XLOOKUP($B1947,Insumo[DESCRIPCION],Insumo[VALOR],,0),"")</f>
        <v/>
      </c>
      <c r="F1947" s="33"/>
      <c r="G1947" s="34" t="str">
        <f>IFERROR(IF(F1947&gt;=0,D1947*E1947*(1+F1947/100),ABS(D1947*E1947/F1947)),"")</f>
        <v/>
      </c>
      <c r="H1947" s="43" t="str">
        <f>IFERROR(G1947*E1940,"")</f>
        <v/>
      </c>
    </row>
    <row r="1948" spans="1:11" ht="12.75" customHeight="1">
      <c r="A1948" s="21"/>
      <c r="B1948" s="22" t="s">
        <v>3731</v>
      </c>
      <c r="C1948" s="23"/>
      <c r="D1948" s="24"/>
      <c r="E1948" s="25"/>
      <c r="F1948" s="26"/>
      <c r="G1948" s="27">
        <f>SUM(G1949:G1951)</f>
        <v>523.98458482500007</v>
      </c>
      <c r="H1948" s="44">
        <f>G1948*E1940</f>
        <v>0</v>
      </c>
    </row>
    <row r="1949" spans="1:11" ht="12.75" customHeight="1">
      <c r="A1949" s="28"/>
      <c r="B1949" s="29" t="s">
        <v>3626</v>
      </c>
      <c r="C1949" s="30" t="str">
        <f>IFERROR(_xlfn.XLOOKUP(B1949,Equipo[DESCRIPCION],Equipo[UND],,0),"")</f>
        <v>%MO</v>
      </c>
      <c r="D1949" s="31">
        <v>0.05</v>
      </c>
      <c r="E1949" s="32">
        <f>IF(C1949="%MO",G1955,IFERROR(_xlfn.XLOOKUP($B1949,Equipo[DESCRIPCION],Equipo[VALOR],,0),""))</f>
        <v>10479.691696500002</v>
      </c>
      <c r="F1949" s="33"/>
      <c r="G1949" s="34">
        <f>IFERROR(IF(F1949&gt;=0,D1949*E1949*(1+F1949/100),ABS(D1949*E1949/F1949)),"")</f>
        <v>523.98458482500007</v>
      </c>
      <c r="H1949" s="43">
        <f>IFERROR(G1949*E1940,"")</f>
        <v>0</v>
      </c>
    </row>
    <row r="1950" spans="1:11" ht="12.75" customHeight="1">
      <c r="A1950" s="28"/>
      <c r="B1950" s="29"/>
      <c r="C1950" s="30" t="str">
        <f>IFERROR(_xlfn.XLOOKUP(B1950,Equipo[DESCRIPCION],Equipo[UND],,0),"")</f>
        <v/>
      </c>
      <c r="D1950" s="31"/>
      <c r="E1950" s="32" t="str">
        <f>IF(C1950="%MO",G1955,IFERROR(_xlfn.XLOOKUP($B1950,Equipo[DESCRIPCION],Equipo[VALOR],,0),""))</f>
        <v/>
      </c>
      <c r="F1950" s="33"/>
      <c r="G1950" s="34" t="str">
        <f>IFERROR(IF(F1950&gt;=0,D1950*E1950*(1+F1950/100),ABS(D1950*E1950/F1950)),"")</f>
        <v/>
      </c>
      <c r="H1950" s="43" t="str">
        <f>IFERROR(G1950*E1940,"")</f>
        <v/>
      </c>
    </row>
    <row r="1951" spans="1:11" ht="12.75" customHeight="1">
      <c r="A1951" s="28"/>
      <c r="B1951" s="29"/>
      <c r="C1951" s="30" t="str">
        <f>IFERROR(_xlfn.XLOOKUP(B1951,Equipo[DESCRIPCION],Equipo[UND],,0),"")</f>
        <v/>
      </c>
      <c r="D1951" s="31"/>
      <c r="E1951" s="32" t="str">
        <f>IF(C1951="%MO",G1955,IFERROR(_xlfn.XLOOKUP($B1951,Equipo[DESCRIPCION],Equipo[VALOR],,0),""))</f>
        <v/>
      </c>
      <c r="F1951" s="33"/>
      <c r="G1951" s="34" t="str">
        <f>IFERROR(IF(F1951&gt;=0,D1951*E1951*(1+F1951/100),ABS(D1951*E1951/F1951)),"")</f>
        <v/>
      </c>
      <c r="H1951" s="43" t="str">
        <f>IFERROR(G1951*E1940,"")</f>
        <v/>
      </c>
    </row>
    <row r="1952" spans="1:11" ht="12.75" customHeight="1">
      <c r="A1952" s="21"/>
      <c r="B1952" s="22" t="s">
        <v>2533</v>
      </c>
      <c r="C1952" s="23"/>
      <c r="D1952" s="24"/>
      <c r="E1952" s="25"/>
      <c r="F1952" s="26"/>
      <c r="G1952" s="27">
        <f>SUM(G1953:G1954)</f>
        <v>0</v>
      </c>
      <c r="H1952" s="44">
        <f>G1952*E1940</f>
        <v>0</v>
      </c>
    </row>
    <row r="1953" spans="1:11" ht="12.75" customHeight="1">
      <c r="A1953" s="28"/>
      <c r="B1953" s="29"/>
      <c r="C1953" s="30" t="str">
        <f>IFERROR(_xlfn.XLOOKUP(B1953,Transporte[DESCRIPCION],Transporte[UND],,0),"")</f>
        <v/>
      </c>
      <c r="D1953" s="31"/>
      <c r="E1953" s="32" t="str">
        <f>IFERROR(_xlfn.XLOOKUP($B1953,Transporte[DESCRIPCION],Transporte[VALOR],,0),"")</f>
        <v/>
      </c>
      <c r="F1953" s="33"/>
      <c r="G1953" s="34" t="str">
        <f>IFERROR(IF(F1953&gt;=0,D1953*E1953*(1+F1953/100),ABS(D1953*E1953/F1953)),"")</f>
        <v/>
      </c>
      <c r="H1953" s="43" t="str">
        <f>IFERROR(G1953*E1940,"")</f>
        <v/>
      </c>
    </row>
    <row r="1954" spans="1:11" ht="12.75" customHeight="1">
      <c r="A1954" s="28"/>
      <c r="B1954" s="29"/>
      <c r="C1954" s="30" t="str">
        <f>IFERROR(_xlfn.XLOOKUP(B1954,Transporte[DESCRIPCION],Transporte[UND],,0),"")</f>
        <v/>
      </c>
      <c r="D1954" s="31"/>
      <c r="E1954" s="32" t="str">
        <f>IFERROR(_xlfn.XLOOKUP($B1954,Transporte[DESCRIPCION],Transporte[VALOR],,0),"")</f>
        <v/>
      </c>
      <c r="F1954" s="33"/>
      <c r="G1954" s="34" t="str">
        <f>IFERROR(IF(F1954&gt;=0,D1954*E1954*(1+F1954/100),ABS(D1954*E1954/F1954)),"")</f>
        <v/>
      </c>
      <c r="H1954" s="43" t="str">
        <f>IFERROR(G1954*E1940,"")</f>
        <v/>
      </c>
    </row>
    <row r="1955" spans="1:11" ht="12.75" customHeight="1">
      <c r="A1955" s="21"/>
      <c r="B1955" s="22" t="s">
        <v>3732</v>
      </c>
      <c r="C1955" s="23"/>
      <c r="D1955" s="24"/>
      <c r="E1955" s="25"/>
      <c r="F1955" s="26"/>
      <c r="G1955" s="27">
        <f>SUM(G1956:G1958)</f>
        <v>10479.691696500002</v>
      </c>
      <c r="H1955" s="44">
        <f>G1955*E1940</f>
        <v>0</v>
      </c>
    </row>
    <row r="1956" spans="1:11" ht="12.75" customHeight="1">
      <c r="A1956" s="28"/>
      <c r="B1956" s="29" t="s">
        <v>3710</v>
      </c>
      <c r="C1956" s="30" t="str">
        <f>IFERROR(_xlfn.XLOOKUP(B1956,MObra[DESCRIPCION],MObra[UN],,0),"")</f>
        <v>día</v>
      </c>
      <c r="D1956" s="31">
        <v>1</v>
      </c>
      <c r="E1956" s="32">
        <f>IFERROR(_xlfn.XLOOKUP($B1956,MObra[DESCRIPCION],MObra[VALOR UNIT],,0),"")</f>
        <v>314390.75089500006</v>
      </c>
      <c r="F1956" s="33">
        <v>-30</v>
      </c>
      <c r="G1956" s="34">
        <f>IFERROR(IF(F1956&gt;=0,D1956*E1956*(1+F1956/100),ABS(D1956*E1956/F1956)),"")</f>
        <v>10479.691696500002</v>
      </c>
      <c r="H1956" s="43">
        <f>IFERROR(G1956*E1940,"")</f>
        <v>0</v>
      </c>
    </row>
    <row r="1957" spans="1:11" ht="12.75" customHeight="1">
      <c r="A1957" s="28"/>
      <c r="B1957" s="29"/>
      <c r="C1957" s="30" t="str">
        <f t="array" ref="C1957">IFERROR(_xlfn.XLOOKUP(B1957,MObra[[#All],[DESCRIPCION]],MObra[[#All],[UN]],,0),"")</f>
        <v/>
      </c>
      <c r="D1957" s="31"/>
      <c r="E1957" s="32" t="str">
        <f>IFERROR(_xlfn.XLOOKUP($B1957,MObra[DESCRIPCION],MObra[VALOR UNIT],,0),"")</f>
        <v/>
      </c>
      <c r="F1957" s="33"/>
      <c r="G1957" s="34" t="str">
        <f>IFERROR(IF(F1957&gt;=0,D1957*E1957*(1+F1957/100),ABS(D1957*E1957/F1957)),"")</f>
        <v/>
      </c>
      <c r="H1957" s="43" t="str">
        <f>IFERROR(G1957*E1940,"")</f>
        <v/>
      </c>
    </row>
    <row r="1958" spans="1:11" ht="12.75" customHeight="1" thickBot="1">
      <c r="A1958" s="35"/>
      <c r="B1958" s="36"/>
      <c r="C1958" s="37" t="str">
        <f t="array" ref="C1958">IFERROR(_xlfn.XLOOKUP(B1958,MObra[[#All],[DESCRIPCION]],MObra[[#All],[UN]],,0),"")</f>
        <v/>
      </c>
      <c r="D1958" s="38"/>
      <c r="E1958" s="39" t="str">
        <f>IFERROR(_xlfn.XLOOKUP($B1958,MObra[DESCRIPCION],MObra[VALOR UNIT],,0),"")</f>
        <v/>
      </c>
      <c r="F1958" s="40"/>
      <c r="G1958" s="41" t="str">
        <f>IFERROR(IF(F1958&gt;=0,D1958*E1958*(1+F1958/100),ABS(D1958*E1958/F1958)),"")</f>
        <v/>
      </c>
      <c r="H1958" s="42" t="str">
        <f>IFERROR(G1958*E1940,"")</f>
        <v/>
      </c>
    </row>
    <row r="1959" spans="1:11" ht="12.75" customHeight="1" thickTop="1" thickBot="1"/>
    <row r="1960" spans="1:11" ht="12.75" customHeight="1" thickTop="1" thickBot="1">
      <c r="A1960" s="6" t="s">
        <v>793</v>
      </c>
      <c r="B1960" s="7" t="str">
        <f>VLOOKUP($A1960,Presupuesto!$A:$D,2,FALSE())</f>
        <v>Tanque agua 250 Lt</v>
      </c>
      <c r="C1960" s="8" t="str">
        <f>VLOOKUP($A1960,Presupuesto!$A:$D,3,FALSE())</f>
        <v>Un</v>
      </c>
      <c r="D1960" s="9"/>
      <c r="E1960" s="10">
        <f>VLOOKUP($A1960,Presupuesto!$A:$D,4,FALSE())</f>
        <v>0</v>
      </c>
      <c r="F1960" s="11" t="s">
        <v>2589</v>
      </c>
      <c r="G1960" s="12">
        <f>SUM(G1962:G1978)/2</f>
        <v>288263.59184755507</v>
      </c>
      <c r="H1960" s="13">
        <f>ROUND(SUM(H1962:H1978),0)/2</f>
        <v>0</v>
      </c>
      <c r="I1960" s="10">
        <f>VLOOKUP(A1960,Presupuesto!$A:$F,6,0)</f>
        <v>0</v>
      </c>
      <c r="J1960" s="10">
        <f>+H1960-I1960</f>
        <v>0</v>
      </c>
      <c r="K1960" s="46">
        <f>+H1960-G1960*E1960</f>
        <v>0</v>
      </c>
    </row>
    <row r="1961" spans="1:11" ht="12.75" customHeight="1" thickTop="1">
      <c r="A1961" s="14"/>
      <c r="B1961" s="15" t="s">
        <v>2586</v>
      </c>
      <c r="C1961" s="15" t="s">
        <v>5</v>
      </c>
      <c r="D1961" s="16" t="s">
        <v>6</v>
      </c>
      <c r="E1961" s="17" t="s">
        <v>7</v>
      </c>
      <c r="F1961" s="18" t="s">
        <v>3728</v>
      </c>
      <c r="G1961" s="19" t="s">
        <v>3729</v>
      </c>
      <c r="H1961" s="20" t="s">
        <v>3797</v>
      </c>
    </row>
    <row r="1962" spans="1:11" ht="12.75" customHeight="1">
      <c r="A1962" s="21"/>
      <c r="B1962" s="22" t="s">
        <v>3730</v>
      </c>
      <c r="C1962" s="23"/>
      <c r="D1962" s="24"/>
      <c r="E1962" s="25"/>
      <c r="F1962" s="26"/>
      <c r="G1962" s="27">
        <f>SUM(G1963:G1967)</f>
        <v>253995</v>
      </c>
      <c r="H1962" s="27">
        <f>IFERROR(G1962*E1960,"")</f>
        <v>0</v>
      </c>
    </row>
    <row r="1963" spans="1:11" ht="12.75" customHeight="1">
      <c r="A1963" s="28"/>
      <c r="B1963" s="29" t="s">
        <v>3361</v>
      </c>
      <c r="C1963" s="30" t="str">
        <f>IFERROR(_xlfn.XLOOKUP(B1963,Insumo[DESCRIPCION],Insumo[UND],,0),"")</f>
        <v>Un</v>
      </c>
      <c r="D1963" s="31">
        <v>1</v>
      </c>
      <c r="E1963" s="32">
        <f>IFERROR(_xlfn.XLOOKUP($B1963,Insumo[DESCRIPCION],Insumo[VALOR],,0),"")</f>
        <v>253995</v>
      </c>
      <c r="F1963" s="33"/>
      <c r="G1963" s="34">
        <f>IFERROR(IF(F1963&gt;=0,D1963*E1963*(1+F1963/100),ABS(D1963*E1963/F1963)),"")</f>
        <v>253995</v>
      </c>
      <c r="H1963" s="43">
        <f>IFERROR(G1963*E1960,"")</f>
        <v>0</v>
      </c>
    </row>
    <row r="1964" spans="1:11" ht="12.75" customHeight="1">
      <c r="A1964" s="28"/>
      <c r="B1964" s="29"/>
      <c r="C1964" s="30" t="str">
        <f>IFERROR(_xlfn.XLOOKUP(B1964,Insumo[DESCRIPCION],Insumo[UND],,0),"")</f>
        <v/>
      </c>
      <c r="D1964" s="31"/>
      <c r="E1964" s="32" t="str">
        <f>IFERROR(_xlfn.XLOOKUP($B1964,Insumo[DESCRIPCION],Insumo[VALOR],,0),"")</f>
        <v/>
      </c>
      <c r="F1964" s="33"/>
      <c r="G1964" s="34" t="str">
        <f>IFERROR(IF(F1964&gt;=0,D1964*E1964*(1+F1964/100),ABS(D1964*E1964/F1964)),"")</f>
        <v/>
      </c>
      <c r="H1964" s="43" t="str">
        <f>IFERROR(G1964*E1960,"")</f>
        <v/>
      </c>
    </row>
    <row r="1965" spans="1:11" ht="12.75" customHeight="1">
      <c r="A1965" s="28"/>
      <c r="B1965" s="29"/>
      <c r="C1965" s="30" t="str">
        <f>IFERROR(_xlfn.XLOOKUP(B1965,Insumo[DESCRIPCION],Insumo[UND],,0),"")</f>
        <v/>
      </c>
      <c r="D1965" s="31"/>
      <c r="E1965" s="32" t="str">
        <f>IFERROR(_xlfn.XLOOKUP($B1965,Insumo[DESCRIPCION],Insumo[VALOR],,0),"")</f>
        <v/>
      </c>
      <c r="F1965" s="33"/>
      <c r="G1965" s="34" t="str">
        <f>IFERROR(IF(F1965&gt;=0,D1965*E1965*(1+F1965/100),ABS(D1965*E1965/F1965)),"")</f>
        <v/>
      </c>
      <c r="H1965" s="43" t="str">
        <f>IFERROR(G1965*E1960,"")</f>
        <v/>
      </c>
    </row>
    <row r="1966" spans="1:11" ht="12.75" customHeight="1">
      <c r="A1966" s="28"/>
      <c r="B1966" s="29"/>
      <c r="C1966" s="30" t="str">
        <f>IFERROR(_xlfn.XLOOKUP(B1966,Insumo[DESCRIPCION],Insumo[UND],,0),"")</f>
        <v/>
      </c>
      <c r="D1966" s="31"/>
      <c r="E1966" s="32" t="str">
        <f>IFERROR(_xlfn.XLOOKUP($B1966,Insumo[DESCRIPCION],Insumo[VALOR],,0),"")</f>
        <v/>
      </c>
      <c r="F1966" s="33"/>
      <c r="G1966" s="34" t="str">
        <f>IFERROR(IF(F1966&gt;=0,D1966*E1966*(1+F1966/100),ABS(D1966*E1966/F1966)),"")</f>
        <v/>
      </c>
      <c r="H1966" s="43" t="str">
        <f>IFERROR(G1966*E1960,"")</f>
        <v/>
      </c>
    </row>
    <row r="1967" spans="1:11" ht="12.75" customHeight="1">
      <c r="A1967" s="28"/>
      <c r="B1967" s="29"/>
      <c r="C1967" s="30" t="str">
        <f>IFERROR(_xlfn.XLOOKUP(B1967,Insumo[DESCRIPCION],Insumo[UND],,0),"")</f>
        <v/>
      </c>
      <c r="D1967" s="31"/>
      <c r="E1967" s="32" t="str">
        <f>IFERROR(_xlfn.XLOOKUP($B1967,Insumo[DESCRIPCION],Insumo[VALOR],,0),"")</f>
        <v/>
      </c>
      <c r="F1967" s="33"/>
      <c r="G1967" s="34" t="str">
        <f>IFERROR(IF(F1967&gt;=0,D1967*E1967*(1+F1967/100),ABS(D1967*E1967/F1967)),"")</f>
        <v/>
      </c>
      <c r="H1967" s="43" t="str">
        <f>IFERROR(G1967*E1960,"")</f>
        <v/>
      </c>
    </row>
    <row r="1968" spans="1:11" ht="12.75" customHeight="1">
      <c r="A1968" s="21"/>
      <c r="B1968" s="22" t="s">
        <v>3731</v>
      </c>
      <c r="C1968" s="23"/>
      <c r="D1968" s="24"/>
      <c r="E1968" s="25"/>
      <c r="F1968" s="26"/>
      <c r="G1968" s="27">
        <f>SUM(G1969:G1971)</f>
        <v>2829.5167580550005</v>
      </c>
      <c r="H1968" s="44">
        <f>G1968*E1960</f>
        <v>0</v>
      </c>
    </row>
    <row r="1969" spans="1:11" ht="12.75" customHeight="1">
      <c r="A1969" s="28"/>
      <c r="B1969" s="29" t="s">
        <v>3570</v>
      </c>
      <c r="C1969" s="30" t="str">
        <f>IFERROR(_xlfn.XLOOKUP(B1969,Equipo[DESCRIPCION],Equipo[UND],,0),"")</f>
        <v>%MO</v>
      </c>
      <c r="D1969" s="31">
        <v>0.04</v>
      </c>
      <c r="E1969" s="32">
        <f>IF(C1969="%MO",G1975,IFERROR(_xlfn.XLOOKUP($B1969,Equipo[DESCRIPCION],Equipo[VALOR],,0),""))</f>
        <v>31439.075089500006</v>
      </c>
      <c r="F1969" s="33"/>
      <c r="G1969" s="34">
        <f>IFERROR(IF(F1969&gt;=0,D1969*E1969*(1+F1969/100),ABS(D1969*E1969/F1969)),"")</f>
        <v>1257.5630035800002</v>
      </c>
      <c r="H1969" s="43">
        <f>IFERROR(G1969*E1960,"")</f>
        <v>0</v>
      </c>
    </row>
    <row r="1970" spans="1:11" ht="12.75" customHeight="1">
      <c r="A1970" s="28"/>
      <c r="B1970" s="29" t="s">
        <v>3626</v>
      </c>
      <c r="C1970" s="30" t="str">
        <f>IFERROR(_xlfn.XLOOKUP(B1970,Equipo[DESCRIPCION],Equipo[UND],,0),"")</f>
        <v>%MO</v>
      </c>
      <c r="D1970" s="31">
        <v>0.05</v>
      </c>
      <c r="E1970" s="32">
        <f>IF(C1970="%MO",G1975,IFERROR(_xlfn.XLOOKUP($B1970,Equipo[DESCRIPCION],Equipo[VALOR],,0),""))</f>
        <v>31439.075089500006</v>
      </c>
      <c r="F1970" s="33"/>
      <c r="G1970" s="34">
        <f>IFERROR(IF(F1970&gt;=0,D1970*E1970*(1+F1970/100),ABS(D1970*E1970/F1970)),"")</f>
        <v>1571.9537544750003</v>
      </c>
      <c r="H1970" s="43">
        <f>IFERROR(G1970*E1960,"")</f>
        <v>0</v>
      </c>
    </row>
    <row r="1971" spans="1:11" ht="12.75" customHeight="1">
      <c r="A1971" s="28"/>
      <c r="B1971" s="29"/>
      <c r="C1971" s="30" t="str">
        <f>IFERROR(_xlfn.XLOOKUP(B1971,Equipo[DESCRIPCION],Equipo[UND],,0),"")</f>
        <v/>
      </c>
      <c r="D1971" s="31"/>
      <c r="E1971" s="32" t="str">
        <f>IF(C1971="%MO",G1975,IFERROR(_xlfn.XLOOKUP($B1971,Equipo[DESCRIPCION],Equipo[VALOR],,0),""))</f>
        <v/>
      </c>
      <c r="F1971" s="33"/>
      <c r="G1971" s="34" t="str">
        <f>IFERROR(IF(F1971&gt;=0,D1971*E1971*(1+F1971/100),ABS(D1971*E1971/F1971)),"")</f>
        <v/>
      </c>
      <c r="H1971" s="43" t="str">
        <f>IFERROR(G1971*E1960,"")</f>
        <v/>
      </c>
    </row>
    <row r="1972" spans="1:11" ht="12.75" customHeight="1">
      <c r="A1972" s="21"/>
      <c r="B1972" s="22" t="s">
        <v>2533</v>
      </c>
      <c r="C1972" s="23"/>
      <c r="D1972" s="24"/>
      <c r="E1972" s="25"/>
      <c r="F1972" s="26"/>
      <c r="G1972" s="27">
        <f>SUM(G1973:G1974)</f>
        <v>0</v>
      </c>
      <c r="H1972" s="44">
        <f>G1972*E1960</f>
        <v>0</v>
      </c>
    </row>
    <row r="1973" spans="1:11" ht="12.75" customHeight="1">
      <c r="A1973" s="28"/>
      <c r="B1973" s="29"/>
      <c r="C1973" s="30" t="str">
        <f>IFERROR(_xlfn.XLOOKUP(B1973,Transporte[DESCRIPCION],Transporte[UND],,0),"")</f>
        <v/>
      </c>
      <c r="D1973" s="31"/>
      <c r="E1973" s="32" t="str">
        <f>IFERROR(_xlfn.XLOOKUP($B1973,Transporte[DESCRIPCION],Transporte[VALOR],,0),"")</f>
        <v/>
      </c>
      <c r="F1973" s="33"/>
      <c r="G1973" s="34" t="str">
        <f>IFERROR(IF(F1973&gt;=0,D1973*E1973*(1+F1973/100),ABS(D1973*E1973/F1973)),"")</f>
        <v/>
      </c>
      <c r="H1973" s="43" t="str">
        <f>IFERROR(G1973*E1960,"")</f>
        <v/>
      </c>
    </row>
    <row r="1974" spans="1:11" ht="12.75" customHeight="1">
      <c r="A1974" s="28"/>
      <c r="B1974" s="29"/>
      <c r="C1974" s="30" t="str">
        <f>IFERROR(_xlfn.XLOOKUP(B1974,Transporte[DESCRIPCION],Transporte[UND],,0),"")</f>
        <v/>
      </c>
      <c r="D1974" s="31"/>
      <c r="E1974" s="32" t="str">
        <f>IFERROR(_xlfn.XLOOKUP($B1974,Transporte[DESCRIPCION],Transporte[VALOR],,0),"")</f>
        <v/>
      </c>
      <c r="F1974" s="33"/>
      <c r="G1974" s="34" t="str">
        <f>IFERROR(IF(F1974&gt;=0,D1974*E1974*(1+F1974/100),ABS(D1974*E1974/F1974)),"")</f>
        <v/>
      </c>
      <c r="H1974" s="43" t="str">
        <f>IFERROR(G1974*E1960,"")</f>
        <v/>
      </c>
    </row>
    <row r="1975" spans="1:11" ht="12.75" customHeight="1">
      <c r="A1975" s="21"/>
      <c r="B1975" s="22" t="s">
        <v>3732</v>
      </c>
      <c r="C1975" s="23"/>
      <c r="D1975" s="24"/>
      <c r="E1975" s="25"/>
      <c r="F1975" s="26"/>
      <c r="G1975" s="27">
        <f>SUM(G1976:G1978)</f>
        <v>31439.075089500006</v>
      </c>
      <c r="H1975" s="44">
        <f>G1975*E1960</f>
        <v>0</v>
      </c>
    </row>
    <row r="1976" spans="1:11" ht="12.75" customHeight="1">
      <c r="A1976" s="28"/>
      <c r="B1976" s="29" t="s">
        <v>3710</v>
      </c>
      <c r="C1976" s="30" t="str">
        <f>IFERROR(_xlfn.XLOOKUP(B1976,MObra[DESCRIPCION],MObra[UN],,0),"")</f>
        <v>día</v>
      </c>
      <c r="D1976" s="31">
        <v>1</v>
      </c>
      <c r="E1976" s="32">
        <f>IFERROR(_xlfn.XLOOKUP($B1976,MObra[DESCRIPCION],MObra[VALOR UNIT],,0),"")</f>
        <v>314390.75089500006</v>
      </c>
      <c r="F1976" s="33">
        <v>-10</v>
      </c>
      <c r="G1976" s="34">
        <f>IFERROR(IF(F1976&gt;=0,D1976*E1976*(1+F1976/100),ABS(D1976*E1976/F1976)),"")</f>
        <v>31439.075089500006</v>
      </c>
      <c r="H1976" s="43">
        <f>IFERROR(G1976*E1960,"")</f>
        <v>0</v>
      </c>
    </row>
    <row r="1977" spans="1:11" ht="12.75" customHeight="1">
      <c r="A1977" s="28"/>
      <c r="B1977" s="29"/>
      <c r="C1977" s="30" t="str">
        <f t="array" ref="C1977">IFERROR(_xlfn.XLOOKUP(B1977,MObra[[#All],[DESCRIPCION]],MObra[[#All],[UN]],,0),"")</f>
        <v/>
      </c>
      <c r="D1977" s="31"/>
      <c r="E1977" s="32" t="str">
        <f>IFERROR(_xlfn.XLOOKUP($B1977,MObra[DESCRIPCION],MObra[VALOR UNIT],,0),"")</f>
        <v/>
      </c>
      <c r="F1977" s="33"/>
      <c r="G1977" s="34" t="str">
        <f>IFERROR(IF(F1977&gt;=0,D1977*E1977*(1+F1977/100),ABS(D1977*E1977/F1977)),"")</f>
        <v/>
      </c>
      <c r="H1977" s="43" t="str">
        <f>IFERROR(G1977*E1960,"")</f>
        <v/>
      </c>
    </row>
    <row r="1978" spans="1:11" ht="12.75" customHeight="1" thickBot="1">
      <c r="A1978" s="35"/>
      <c r="B1978" s="36"/>
      <c r="C1978" s="37" t="str">
        <f t="array" ref="C1978">IFERROR(_xlfn.XLOOKUP(B1978,MObra[[#All],[DESCRIPCION]],MObra[[#All],[UN]],,0),"")</f>
        <v/>
      </c>
      <c r="D1978" s="38"/>
      <c r="E1978" s="39" t="str">
        <f>IFERROR(_xlfn.XLOOKUP($B1978,MObra[DESCRIPCION],MObra[VALOR UNIT],,0),"")</f>
        <v/>
      </c>
      <c r="F1978" s="40"/>
      <c r="G1978" s="41" t="str">
        <f>IFERROR(IF(F1978&gt;=0,D1978*E1978*(1+F1978/100),ABS(D1978*E1978/F1978)),"")</f>
        <v/>
      </c>
      <c r="H1978" s="42" t="str">
        <f>IFERROR(G1978*E1960,"")</f>
        <v/>
      </c>
    </row>
    <row r="1979" spans="1:11" ht="12.75" customHeight="1" thickTop="1" thickBot="1"/>
    <row r="1980" spans="1:11" ht="12.75" customHeight="1" thickTop="1" thickBot="1">
      <c r="A1980" s="6" t="s">
        <v>795</v>
      </c>
      <c r="B1980" s="7" t="str">
        <f>VLOOKUP($A1980,Presupuesto!$A:$D,2,FALSE())</f>
        <v>Tanque agua 500 Lt</v>
      </c>
      <c r="C1980" s="8" t="str">
        <f>VLOOKUP($A1980,Presupuesto!$A:$D,3,FALSE())</f>
        <v>Un</v>
      </c>
      <c r="D1980" s="9"/>
      <c r="E1980" s="10">
        <f>VLOOKUP($A1980,Presupuesto!$A:$D,4,FALSE())</f>
        <v>0</v>
      </c>
      <c r="F1980" s="11" t="s">
        <v>2589</v>
      </c>
      <c r="G1980" s="12">
        <f>SUM(G1982:G1998)/2</f>
        <v>323571.21316395001</v>
      </c>
      <c r="H1980" s="13">
        <f>ROUND(SUM(H1982:H1998),0)/2</f>
        <v>0</v>
      </c>
      <c r="I1980" s="10">
        <f>VLOOKUP(A1980,Presupuesto!$A:$F,6,0)</f>
        <v>0</v>
      </c>
      <c r="J1980" s="10">
        <f>+H1980-I1980</f>
        <v>0</v>
      </c>
      <c r="K1980" s="46">
        <f>+H1980-G1980*E1980</f>
        <v>0</v>
      </c>
    </row>
    <row r="1981" spans="1:11" ht="12.75" customHeight="1" thickTop="1">
      <c r="A1981" s="14"/>
      <c r="B1981" s="15" t="s">
        <v>2586</v>
      </c>
      <c r="C1981" s="15" t="s">
        <v>5</v>
      </c>
      <c r="D1981" s="16" t="s">
        <v>6</v>
      </c>
      <c r="E1981" s="17" t="s">
        <v>7</v>
      </c>
      <c r="F1981" s="18" t="s">
        <v>3728</v>
      </c>
      <c r="G1981" s="19" t="s">
        <v>3729</v>
      </c>
      <c r="H1981" s="20" t="s">
        <v>3797</v>
      </c>
    </row>
    <row r="1982" spans="1:11" ht="12.75" customHeight="1">
      <c r="A1982" s="21"/>
      <c r="B1982" s="22" t="s">
        <v>3730</v>
      </c>
      <c r="C1982" s="23"/>
      <c r="D1982" s="24"/>
      <c r="E1982" s="25"/>
      <c r="F1982" s="26"/>
      <c r="G1982" s="27">
        <f>SUM(G1983:G1987)</f>
        <v>285495</v>
      </c>
      <c r="H1982" s="27">
        <f>IFERROR(G1982*E1980,"")</f>
        <v>0</v>
      </c>
    </row>
    <row r="1983" spans="1:11" ht="12.75" customHeight="1">
      <c r="A1983" s="28"/>
      <c r="B1983" s="29" t="s">
        <v>3362</v>
      </c>
      <c r="C1983" s="30" t="str">
        <f>IFERROR(_xlfn.XLOOKUP(B1983,Insumo[DESCRIPCION],Insumo[UND],,0),"")</f>
        <v>Un</v>
      </c>
      <c r="D1983" s="31">
        <v>1</v>
      </c>
      <c r="E1983" s="32">
        <f>IFERROR(_xlfn.XLOOKUP($B1983,Insumo[DESCRIPCION],Insumo[VALOR],,0),"")</f>
        <v>285495</v>
      </c>
      <c r="F1983" s="33"/>
      <c r="G1983" s="34">
        <f>IFERROR(IF(F1983&gt;=0,D1983*E1983*(1+F1983/100),ABS(D1983*E1983/F1983)),"")</f>
        <v>285495</v>
      </c>
      <c r="H1983" s="43">
        <f>IFERROR(G1983*E1980,"")</f>
        <v>0</v>
      </c>
    </row>
    <row r="1984" spans="1:11" ht="12.75" customHeight="1">
      <c r="A1984" s="28"/>
      <c r="B1984" s="29"/>
      <c r="C1984" s="30" t="str">
        <f>IFERROR(_xlfn.XLOOKUP(B1984,Insumo[DESCRIPCION],Insumo[UND],,0),"")</f>
        <v/>
      </c>
      <c r="D1984" s="31"/>
      <c r="E1984" s="32" t="str">
        <f>IFERROR(_xlfn.XLOOKUP($B1984,Insumo[DESCRIPCION],Insumo[VALOR],,0),"")</f>
        <v/>
      </c>
      <c r="F1984" s="33"/>
      <c r="G1984" s="34" t="str">
        <f>IFERROR(IF(F1984&gt;=0,D1984*E1984*(1+F1984/100),ABS(D1984*E1984/F1984)),"")</f>
        <v/>
      </c>
      <c r="H1984" s="43" t="str">
        <f>IFERROR(G1984*E1980,"")</f>
        <v/>
      </c>
    </row>
    <row r="1985" spans="1:11" ht="12.75" customHeight="1">
      <c r="A1985" s="28"/>
      <c r="B1985" s="29"/>
      <c r="C1985" s="30" t="str">
        <f>IFERROR(_xlfn.XLOOKUP(B1985,Insumo[DESCRIPCION],Insumo[UND],,0),"")</f>
        <v/>
      </c>
      <c r="D1985" s="31"/>
      <c r="E1985" s="32" t="str">
        <f>IFERROR(_xlfn.XLOOKUP($B1985,Insumo[DESCRIPCION],Insumo[VALOR],,0),"")</f>
        <v/>
      </c>
      <c r="F1985" s="33"/>
      <c r="G1985" s="34" t="str">
        <f>IFERROR(IF(F1985&gt;=0,D1985*E1985*(1+F1985/100),ABS(D1985*E1985/F1985)),"")</f>
        <v/>
      </c>
      <c r="H1985" s="43" t="str">
        <f>IFERROR(G1985*E1980,"")</f>
        <v/>
      </c>
    </row>
    <row r="1986" spans="1:11" ht="12.75" customHeight="1">
      <c r="A1986" s="28"/>
      <c r="B1986" s="29"/>
      <c r="C1986" s="30" t="str">
        <f>IFERROR(_xlfn.XLOOKUP(B1986,Insumo[DESCRIPCION],Insumo[UND],,0),"")</f>
        <v/>
      </c>
      <c r="D1986" s="31"/>
      <c r="E1986" s="32" t="str">
        <f>IFERROR(_xlfn.XLOOKUP($B1986,Insumo[DESCRIPCION],Insumo[VALOR],,0),"")</f>
        <v/>
      </c>
      <c r="F1986" s="33"/>
      <c r="G1986" s="34" t="str">
        <f>IFERROR(IF(F1986&gt;=0,D1986*E1986*(1+F1986/100),ABS(D1986*E1986/F1986)),"")</f>
        <v/>
      </c>
      <c r="H1986" s="43" t="str">
        <f>IFERROR(G1986*E1980,"")</f>
        <v/>
      </c>
    </row>
    <row r="1987" spans="1:11" ht="12.75" customHeight="1">
      <c r="A1987" s="28"/>
      <c r="B1987" s="29"/>
      <c r="C1987" s="30" t="str">
        <f>IFERROR(_xlfn.XLOOKUP(B1987,Insumo[DESCRIPCION],Insumo[UND],,0),"")</f>
        <v/>
      </c>
      <c r="D1987" s="31"/>
      <c r="E1987" s="32" t="str">
        <f>IFERROR(_xlfn.XLOOKUP($B1987,Insumo[DESCRIPCION],Insumo[VALOR],,0),"")</f>
        <v/>
      </c>
      <c r="F1987" s="33"/>
      <c r="G1987" s="34" t="str">
        <f>IFERROR(IF(F1987&gt;=0,D1987*E1987*(1+F1987/100),ABS(D1987*E1987/F1987)),"")</f>
        <v/>
      </c>
      <c r="H1987" s="43" t="str">
        <f>IFERROR(G1987*E1980,"")</f>
        <v/>
      </c>
    </row>
    <row r="1988" spans="1:11" ht="12.75" customHeight="1">
      <c r="A1988" s="21"/>
      <c r="B1988" s="22" t="s">
        <v>3731</v>
      </c>
      <c r="C1988" s="23"/>
      <c r="D1988" s="24"/>
      <c r="E1988" s="25"/>
      <c r="F1988" s="26"/>
      <c r="G1988" s="27">
        <f>SUM(G1989:G1991)</f>
        <v>3143.9075089500002</v>
      </c>
      <c r="H1988" s="44">
        <f>G1988*E1980</f>
        <v>0</v>
      </c>
    </row>
    <row r="1989" spans="1:11" ht="12.75" customHeight="1">
      <c r="A1989" s="28"/>
      <c r="B1989" s="29" t="s">
        <v>3570</v>
      </c>
      <c r="C1989" s="30" t="str">
        <f>IFERROR(_xlfn.XLOOKUP(B1989,Equipo[DESCRIPCION],Equipo[UND],,0),"")</f>
        <v>%MO</v>
      </c>
      <c r="D1989" s="31">
        <v>0.04</v>
      </c>
      <c r="E1989" s="32">
        <f>IF(C1989="%MO",G1995,IFERROR(_xlfn.XLOOKUP($B1989,Equipo[DESCRIPCION],Equipo[VALOR],,0),""))</f>
        <v>34932.305655000004</v>
      </c>
      <c r="F1989" s="33"/>
      <c r="G1989" s="34">
        <f>IFERROR(IF(F1989&gt;=0,D1989*E1989*(1+F1989/100),ABS(D1989*E1989/F1989)),"")</f>
        <v>1397.2922262000002</v>
      </c>
      <c r="H1989" s="43">
        <f>IFERROR(G1989*E1980,"")</f>
        <v>0</v>
      </c>
    </row>
    <row r="1990" spans="1:11" ht="12.75" customHeight="1">
      <c r="A1990" s="28"/>
      <c r="B1990" s="29" t="s">
        <v>3626</v>
      </c>
      <c r="C1990" s="30" t="str">
        <f>IFERROR(_xlfn.XLOOKUP(B1990,Equipo[DESCRIPCION],Equipo[UND],,0),"")</f>
        <v>%MO</v>
      </c>
      <c r="D1990" s="31">
        <v>0.05</v>
      </c>
      <c r="E1990" s="32">
        <f>IF(C1990="%MO",G1995,IFERROR(_xlfn.XLOOKUP($B1990,Equipo[DESCRIPCION],Equipo[VALOR],,0),""))</f>
        <v>34932.305655000004</v>
      </c>
      <c r="F1990" s="33"/>
      <c r="G1990" s="34">
        <f>IFERROR(IF(F1990&gt;=0,D1990*E1990*(1+F1990/100),ABS(D1990*E1990/F1990)),"")</f>
        <v>1746.6152827500002</v>
      </c>
      <c r="H1990" s="43">
        <f>IFERROR(G1990*E1980,"")</f>
        <v>0</v>
      </c>
    </row>
    <row r="1991" spans="1:11" ht="12.75" customHeight="1">
      <c r="A1991" s="28"/>
      <c r="B1991" s="29"/>
      <c r="C1991" s="30" t="str">
        <f>IFERROR(_xlfn.XLOOKUP(B1991,Equipo[DESCRIPCION],Equipo[UND],,0),"")</f>
        <v/>
      </c>
      <c r="D1991" s="31"/>
      <c r="E1991" s="32" t="str">
        <f>IF(C1991="%MO",G1995,IFERROR(_xlfn.XLOOKUP($B1991,Equipo[DESCRIPCION],Equipo[VALOR],,0),""))</f>
        <v/>
      </c>
      <c r="F1991" s="33"/>
      <c r="G1991" s="34" t="str">
        <f>IFERROR(IF(F1991&gt;=0,D1991*E1991*(1+F1991/100),ABS(D1991*E1991/F1991)),"")</f>
        <v/>
      </c>
      <c r="H1991" s="43" t="str">
        <f>IFERROR(G1991*E1980,"")</f>
        <v/>
      </c>
    </row>
    <row r="1992" spans="1:11" ht="12.75" customHeight="1">
      <c r="A1992" s="21"/>
      <c r="B1992" s="22" t="s">
        <v>2533</v>
      </c>
      <c r="C1992" s="23"/>
      <c r="D1992" s="24"/>
      <c r="E1992" s="25"/>
      <c r="F1992" s="26"/>
      <c r="G1992" s="27">
        <f>SUM(G1993:G1994)</f>
        <v>0</v>
      </c>
      <c r="H1992" s="44">
        <f>G1992*E1980</f>
        <v>0</v>
      </c>
    </row>
    <row r="1993" spans="1:11" ht="12.75" customHeight="1">
      <c r="A1993" s="28"/>
      <c r="B1993" s="29"/>
      <c r="C1993" s="30" t="str">
        <f>IFERROR(_xlfn.XLOOKUP(B1993,Transporte[DESCRIPCION],Transporte[UND],,0),"")</f>
        <v/>
      </c>
      <c r="D1993" s="31"/>
      <c r="E1993" s="32" t="str">
        <f>IFERROR(_xlfn.XLOOKUP($B1993,Transporte[DESCRIPCION],Transporte[VALOR],,0),"")</f>
        <v/>
      </c>
      <c r="F1993" s="33"/>
      <c r="G1993" s="34" t="str">
        <f>IFERROR(IF(F1993&gt;=0,D1993*E1993*(1+F1993/100),ABS(D1993*E1993/F1993)),"")</f>
        <v/>
      </c>
      <c r="H1993" s="43" t="str">
        <f>IFERROR(G1993*E1980,"")</f>
        <v/>
      </c>
    </row>
    <row r="1994" spans="1:11" ht="12.75" customHeight="1">
      <c r="A1994" s="28"/>
      <c r="B1994" s="29"/>
      <c r="C1994" s="30" t="str">
        <f>IFERROR(_xlfn.XLOOKUP(B1994,Transporte[DESCRIPCION],Transporte[UND],,0),"")</f>
        <v/>
      </c>
      <c r="D1994" s="31"/>
      <c r="E1994" s="32" t="str">
        <f>IFERROR(_xlfn.XLOOKUP($B1994,Transporte[DESCRIPCION],Transporte[VALOR],,0),"")</f>
        <v/>
      </c>
      <c r="F1994" s="33"/>
      <c r="G1994" s="34" t="str">
        <f>IFERROR(IF(F1994&gt;=0,D1994*E1994*(1+F1994/100),ABS(D1994*E1994/F1994)),"")</f>
        <v/>
      </c>
      <c r="H1994" s="43" t="str">
        <f>IFERROR(G1994*E1980,"")</f>
        <v/>
      </c>
    </row>
    <row r="1995" spans="1:11" ht="12.75" customHeight="1">
      <c r="A1995" s="21"/>
      <c r="B1995" s="22" t="s">
        <v>3732</v>
      </c>
      <c r="C1995" s="23"/>
      <c r="D1995" s="24"/>
      <c r="E1995" s="25"/>
      <c r="F1995" s="26"/>
      <c r="G1995" s="27">
        <f>SUM(G1996:G1998)</f>
        <v>34932.305655000004</v>
      </c>
      <c r="H1995" s="44">
        <f>G1995*E1980</f>
        <v>0</v>
      </c>
    </row>
    <row r="1996" spans="1:11" ht="12.75" customHeight="1">
      <c r="A1996" s="28"/>
      <c r="B1996" s="29" t="s">
        <v>3710</v>
      </c>
      <c r="C1996" s="30" t="str">
        <f>IFERROR(_xlfn.XLOOKUP(B1996,MObra[DESCRIPCION],MObra[UN],,0),"")</f>
        <v>día</v>
      </c>
      <c r="D1996" s="31">
        <v>1</v>
      </c>
      <c r="E1996" s="32">
        <f>IFERROR(_xlfn.XLOOKUP($B1996,MObra[DESCRIPCION],MObra[VALOR UNIT],,0),"")</f>
        <v>314390.75089500006</v>
      </c>
      <c r="F1996" s="33">
        <v>-9</v>
      </c>
      <c r="G1996" s="34">
        <f>IFERROR(IF(F1996&gt;=0,D1996*E1996*(1+F1996/100),ABS(D1996*E1996/F1996)),"")</f>
        <v>34932.305655000004</v>
      </c>
      <c r="H1996" s="43">
        <f>IFERROR(G1996*E1980,"")</f>
        <v>0</v>
      </c>
    </row>
    <row r="1997" spans="1:11" ht="12.75" customHeight="1">
      <c r="A1997" s="28"/>
      <c r="B1997" s="29"/>
      <c r="C1997" s="30" t="str">
        <f t="array" ref="C1997">IFERROR(_xlfn.XLOOKUP(B1997,MObra[[#All],[DESCRIPCION]],MObra[[#All],[UN]],,0),"")</f>
        <v/>
      </c>
      <c r="D1997" s="31"/>
      <c r="E1997" s="32" t="str">
        <f>IFERROR(_xlfn.XLOOKUP($B1997,MObra[DESCRIPCION],MObra[VALOR UNIT],,0),"")</f>
        <v/>
      </c>
      <c r="F1997" s="33"/>
      <c r="G1997" s="34" t="str">
        <f>IFERROR(IF(F1997&gt;=0,D1997*E1997*(1+F1997/100),ABS(D1997*E1997/F1997)),"")</f>
        <v/>
      </c>
      <c r="H1997" s="43" t="str">
        <f>IFERROR(G1997*E1980,"")</f>
        <v/>
      </c>
    </row>
    <row r="1998" spans="1:11" ht="12.75" customHeight="1" thickBot="1">
      <c r="A1998" s="35"/>
      <c r="B1998" s="36"/>
      <c r="C1998" s="37" t="str">
        <f t="array" ref="C1998">IFERROR(_xlfn.XLOOKUP(B1998,MObra[[#All],[DESCRIPCION]],MObra[[#All],[UN]],,0),"")</f>
        <v/>
      </c>
      <c r="D1998" s="38"/>
      <c r="E1998" s="39" t="str">
        <f>IFERROR(_xlfn.XLOOKUP($B1998,MObra[DESCRIPCION],MObra[VALOR UNIT],,0),"")</f>
        <v/>
      </c>
      <c r="F1998" s="40"/>
      <c r="G1998" s="41" t="str">
        <f>IFERROR(IF(F1998&gt;=0,D1998*E1998*(1+F1998/100),ABS(D1998*E1998/F1998)),"")</f>
        <v/>
      </c>
      <c r="H1998" s="42" t="str">
        <f>IFERROR(G1998*E1980,"")</f>
        <v/>
      </c>
    </row>
    <row r="1999" spans="1:11" ht="12.75" customHeight="1" thickTop="1" thickBot="1"/>
    <row r="2000" spans="1:11" ht="12.75" customHeight="1" thickTop="1" thickBot="1">
      <c r="A2000" s="6" t="s">
        <v>797</v>
      </c>
      <c r="B2000" s="7" t="str">
        <f>VLOOKUP($A2000,Presupuesto!$A:$D,2,FALSE())</f>
        <v>Tanque agua 1000 Lt</v>
      </c>
      <c r="C2000" s="8" t="str">
        <f>VLOOKUP($A2000,Presupuesto!$A:$D,3,FALSE())</f>
        <v>Un</v>
      </c>
      <c r="D2000" s="9"/>
      <c r="E2000" s="10">
        <f>VLOOKUP($A2000,Presupuesto!$A:$D,4,FALSE())</f>
        <v>0</v>
      </c>
      <c r="F2000" s="11" t="s">
        <v>2589</v>
      </c>
      <c r="G2000" s="12">
        <f>SUM(G2002:G2018)/2</f>
        <v>536230.73980944371</v>
      </c>
      <c r="H2000" s="13">
        <f>ROUND(SUM(H2002:H2018),0)/2</f>
        <v>0</v>
      </c>
      <c r="I2000" s="10">
        <f>VLOOKUP(A2000,Presupuesto!$A:$F,6,0)</f>
        <v>0</v>
      </c>
      <c r="J2000" s="10">
        <f>+H2000-I2000</f>
        <v>0</v>
      </c>
      <c r="K2000" s="46">
        <f>+H2000-G2000*E2000</f>
        <v>0</v>
      </c>
    </row>
    <row r="2001" spans="1:8" ht="12.75" customHeight="1" thickTop="1">
      <c r="A2001" s="14"/>
      <c r="B2001" s="15" t="s">
        <v>2586</v>
      </c>
      <c r="C2001" s="15" t="s">
        <v>5</v>
      </c>
      <c r="D2001" s="16" t="s">
        <v>6</v>
      </c>
      <c r="E2001" s="17" t="s">
        <v>7</v>
      </c>
      <c r="F2001" s="18" t="s">
        <v>3728</v>
      </c>
      <c r="G2001" s="19" t="s">
        <v>3729</v>
      </c>
      <c r="H2001" s="20" t="s">
        <v>3797</v>
      </c>
    </row>
    <row r="2002" spans="1:8" ht="12.75" customHeight="1">
      <c r="A2002" s="21"/>
      <c r="B2002" s="22" t="s">
        <v>3730</v>
      </c>
      <c r="C2002" s="23"/>
      <c r="D2002" s="24"/>
      <c r="E2002" s="25"/>
      <c r="F2002" s="26"/>
      <c r="G2002" s="27">
        <f>SUM(G2003:G2007)</f>
        <v>493395</v>
      </c>
      <c r="H2002" s="27">
        <f>IFERROR(G2002*E2000,"")</f>
        <v>0</v>
      </c>
    </row>
    <row r="2003" spans="1:8" ht="12.75" customHeight="1">
      <c r="A2003" s="28"/>
      <c r="B2003" s="29" t="s">
        <v>3359</v>
      </c>
      <c r="C2003" s="30" t="str">
        <f>IFERROR(_xlfn.XLOOKUP(B2003,Insumo[DESCRIPCION],Insumo[UND],,0),"")</f>
        <v>Un</v>
      </c>
      <c r="D2003" s="31">
        <v>1</v>
      </c>
      <c r="E2003" s="32">
        <f>IFERROR(_xlfn.XLOOKUP($B2003,Insumo[DESCRIPCION],Insumo[VALOR],,0),"")</f>
        <v>493395</v>
      </c>
      <c r="F2003" s="33"/>
      <c r="G2003" s="34">
        <f>IFERROR(IF(F2003&gt;=0,D2003*E2003*(1+F2003/100),ABS(D2003*E2003/F2003)),"")</f>
        <v>493395</v>
      </c>
      <c r="H2003" s="43">
        <f>IFERROR(G2003*E2000,"")</f>
        <v>0</v>
      </c>
    </row>
    <row r="2004" spans="1:8" ht="12.75" customHeight="1">
      <c r="A2004" s="28"/>
      <c r="B2004" s="29"/>
      <c r="C2004" s="30" t="str">
        <f>IFERROR(_xlfn.XLOOKUP(B2004,Insumo[DESCRIPCION],Insumo[UND],,0),"")</f>
        <v/>
      </c>
      <c r="D2004" s="31"/>
      <c r="E2004" s="32" t="str">
        <f>IFERROR(_xlfn.XLOOKUP($B2004,Insumo[DESCRIPCION],Insumo[VALOR],,0),"")</f>
        <v/>
      </c>
      <c r="F2004" s="33"/>
      <c r="G2004" s="34" t="str">
        <f>IFERROR(IF(F2004&gt;=0,D2004*E2004*(1+F2004/100),ABS(D2004*E2004/F2004)),"")</f>
        <v/>
      </c>
      <c r="H2004" s="43" t="str">
        <f>IFERROR(G2004*E2000,"")</f>
        <v/>
      </c>
    </row>
    <row r="2005" spans="1:8" ht="12.75" customHeight="1">
      <c r="A2005" s="28"/>
      <c r="B2005" s="29"/>
      <c r="C2005" s="30" t="str">
        <f>IFERROR(_xlfn.XLOOKUP(B2005,Insumo[DESCRIPCION],Insumo[UND],,0),"")</f>
        <v/>
      </c>
      <c r="D2005" s="31"/>
      <c r="E2005" s="32" t="str">
        <f>IFERROR(_xlfn.XLOOKUP($B2005,Insumo[DESCRIPCION],Insumo[VALOR],,0),"")</f>
        <v/>
      </c>
      <c r="F2005" s="33"/>
      <c r="G2005" s="34" t="str">
        <f>IFERROR(IF(F2005&gt;=0,D2005*E2005*(1+F2005/100),ABS(D2005*E2005/F2005)),"")</f>
        <v/>
      </c>
      <c r="H2005" s="43" t="str">
        <f>IFERROR(G2005*E2000,"")</f>
        <v/>
      </c>
    </row>
    <row r="2006" spans="1:8" ht="12.75" customHeight="1">
      <c r="A2006" s="28"/>
      <c r="B2006" s="29"/>
      <c r="C2006" s="30" t="str">
        <f>IFERROR(_xlfn.XLOOKUP(B2006,Insumo[DESCRIPCION],Insumo[UND],,0),"")</f>
        <v/>
      </c>
      <c r="D2006" s="31"/>
      <c r="E2006" s="32" t="str">
        <f>IFERROR(_xlfn.XLOOKUP($B2006,Insumo[DESCRIPCION],Insumo[VALOR],,0),"")</f>
        <v/>
      </c>
      <c r="F2006" s="33"/>
      <c r="G2006" s="34" t="str">
        <f>IFERROR(IF(F2006&gt;=0,D2006*E2006*(1+F2006/100),ABS(D2006*E2006/F2006)),"")</f>
        <v/>
      </c>
      <c r="H2006" s="43" t="str">
        <f>IFERROR(G2006*E2000,"")</f>
        <v/>
      </c>
    </row>
    <row r="2007" spans="1:8" ht="12.75" customHeight="1">
      <c r="A2007" s="28"/>
      <c r="B2007" s="29"/>
      <c r="C2007" s="30" t="str">
        <f>IFERROR(_xlfn.XLOOKUP(B2007,Insumo[DESCRIPCION],Insumo[UND],,0),"")</f>
        <v/>
      </c>
      <c r="D2007" s="31"/>
      <c r="E2007" s="32" t="str">
        <f>IFERROR(_xlfn.XLOOKUP($B2007,Insumo[DESCRIPCION],Insumo[VALOR],,0),"")</f>
        <v/>
      </c>
      <c r="F2007" s="33"/>
      <c r="G2007" s="34" t="str">
        <f>IFERROR(IF(F2007&gt;=0,D2007*E2007*(1+F2007/100),ABS(D2007*E2007/F2007)),"")</f>
        <v/>
      </c>
      <c r="H2007" s="43" t="str">
        <f>IFERROR(G2007*E2000,"")</f>
        <v/>
      </c>
    </row>
    <row r="2008" spans="1:8" ht="12.75" customHeight="1">
      <c r="A2008" s="21"/>
      <c r="B2008" s="22" t="s">
        <v>3731</v>
      </c>
      <c r="C2008" s="23"/>
      <c r="D2008" s="24"/>
      <c r="E2008" s="25"/>
      <c r="F2008" s="26"/>
      <c r="G2008" s="27">
        <f>SUM(G2009:G2011)</f>
        <v>3536.8959475687507</v>
      </c>
      <c r="H2008" s="44">
        <f>G2008*E2000</f>
        <v>0</v>
      </c>
    </row>
    <row r="2009" spans="1:8" ht="12.75" customHeight="1">
      <c r="A2009" s="28"/>
      <c r="B2009" s="29" t="s">
        <v>3570</v>
      </c>
      <c r="C2009" s="30" t="str">
        <f>IFERROR(_xlfn.XLOOKUP(B2009,Equipo[DESCRIPCION],Equipo[UND],,0),"")</f>
        <v>%MO</v>
      </c>
      <c r="D2009" s="31">
        <v>0.04</v>
      </c>
      <c r="E2009" s="32">
        <f>IF(C2009="%MO",G2015,IFERROR(_xlfn.XLOOKUP($B2009,Equipo[DESCRIPCION],Equipo[VALOR],,0),""))</f>
        <v>39298.843861875008</v>
      </c>
      <c r="F2009" s="33"/>
      <c r="G2009" s="34">
        <f>IFERROR(IF(F2009&gt;=0,D2009*E2009*(1+F2009/100),ABS(D2009*E2009/F2009)),"")</f>
        <v>1571.9537544750003</v>
      </c>
      <c r="H2009" s="43">
        <f>IFERROR(G2009*E2000,"")</f>
        <v>0</v>
      </c>
    </row>
    <row r="2010" spans="1:8" ht="12.75" customHeight="1">
      <c r="A2010" s="28"/>
      <c r="B2010" s="29" t="s">
        <v>3626</v>
      </c>
      <c r="C2010" s="30" t="str">
        <f>IFERROR(_xlfn.XLOOKUP(B2010,Equipo[DESCRIPCION],Equipo[UND],,0),"")</f>
        <v>%MO</v>
      </c>
      <c r="D2010" s="31">
        <v>0.05</v>
      </c>
      <c r="E2010" s="32">
        <f>IF(C2010="%MO",G2015,IFERROR(_xlfn.XLOOKUP($B2010,Equipo[DESCRIPCION],Equipo[VALOR],,0),""))</f>
        <v>39298.843861875008</v>
      </c>
      <c r="F2010" s="33"/>
      <c r="G2010" s="34">
        <f>IFERROR(IF(F2010&gt;=0,D2010*E2010*(1+F2010/100),ABS(D2010*E2010/F2010)),"")</f>
        <v>1964.9421930937506</v>
      </c>
      <c r="H2010" s="43">
        <f>IFERROR(G2010*E2000,"")</f>
        <v>0</v>
      </c>
    </row>
    <row r="2011" spans="1:8" ht="12.75" customHeight="1">
      <c r="A2011" s="28"/>
      <c r="B2011" s="29"/>
      <c r="C2011" s="30" t="str">
        <f>IFERROR(_xlfn.XLOOKUP(B2011,Equipo[DESCRIPCION],Equipo[UND],,0),"")</f>
        <v/>
      </c>
      <c r="D2011" s="31"/>
      <c r="E2011" s="32" t="str">
        <f>IF(C2011="%MO",G2015,IFERROR(_xlfn.XLOOKUP($B2011,Equipo[DESCRIPCION],Equipo[VALOR],,0),""))</f>
        <v/>
      </c>
      <c r="F2011" s="33"/>
      <c r="G2011" s="34" t="str">
        <f>IFERROR(IF(F2011&gt;=0,D2011*E2011*(1+F2011/100),ABS(D2011*E2011/F2011)),"")</f>
        <v/>
      </c>
      <c r="H2011" s="43" t="str">
        <f>IFERROR(G2011*E2000,"")</f>
        <v/>
      </c>
    </row>
    <row r="2012" spans="1:8" ht="12.75" customHeight="1">
      <c r="A2012" s="21"/>
      <c r="B2012" s="22" t="s">
        <v>2533</v>
      </c>
      <c r="C2012" s="23"/>
      <c r="D2012" s="24"/>
      <c r="E2012" s="25"/>
      <c r="F2012" s="26"/>
      <c r="G2012" s="27">
        <f>SUM(G2013:G2014)</f>
        <v>0</v>
      </c>
      <c r="H2012" s="44">
        <f>G2012*E2000</f>
        <v>0</v>
      </c>
    </row>
    <row r="2013" spans="1:8" ht="12.75" customHeight="1">
      <c r="A2013" s="28"/>
      <c r="B2013" s="29"/>
      <c r="C2013" s="30" t="str">
        <f>IFERROR(_xlfn.XLOOKUP(B2013,Transporte[DESCRIPCION],Transporte[UND],,0),"")</f>
        <v/>
      </c>
      <c r="D2013" s="31"/>
      <c r="E2013" s="32" t="str">
        <f>IFERROR(_xlfn.XLOOKUP($B2013,Transporte[DESCRIPCION],Transporte[VALOR],,0),"")</f>
        <v/>
      </c>
      <c r="F2013" s="33"/>
      <c r="G2013" s="34" t="str">
        <f>IFERROR(IF(F2013&gt;=0,D2013*E2013*(1+F2013/100),ABS(D2013*E2013/F2013)),"")</f>
        <v/>
      </c>
      <c r="H2013" s="43" t="str">
        <f>IFERROR(G2013*E2000,"")</f>
        <v/>
      </c>
    </row>
    <row r="2014" spans="1:8" ht="12.75" customHeight="1">
      <c r="A2014" s="28"/>
      <c r="B2014" s="29"/>
      <c r="C2014" s="30" t="str">
        <f>IFERROR(_xlfn.XLOOKUP(B2014,Transporte[DESCRIPCION],Transporte[UND],,0),"")</f>
        <v/>
      </c>
      <c r="D2014" s="31"/>
      <c r="E2014" s="32" t="str">
        <f>IFERROR(_xlfn.XLOOKUP($B2014,Transporte[DESCRIPCION],Transporte[VALOR],,0),"")</f>
        <v/>
      </c>
      <c r="F2014" s="33"/>
      <c r="G2014" s="34" t="str">
        <f>IFERROR(IF(F2014&gt;=0,D2014*E2014*(1+F2014/100),ABS(D2014*E2014/F2014)),"")</f>
        <v/>
      </c>
      <c r="H2014" s="43" t="str">
        <f>IFERROR(G2014*E2000,"")</f>
        <v/>
      </c>
    </row>
    <row r="2015" spans="1:8" ht="12.75" customHeight="1">
      <c r="A2015" s="21"/>
      <c r="B2015" s="22" t="s">
        <v>3732</v>
      </c>
      <c r="C2015" s="23"/>
      <c r="D2015" s="24"/>
      <c r="E2015" s="25"/>
      <c r="F2015" s="26"/>
      <c r="G2015" s="27">
        <f>SUM(G2016:G2018)</f>
        <v>39298.843861875008</v>
      </c>
      <c r="H2015" s="44">
        <f>G2015*E2000</f>
        <v>0</v>
      </c>
    </row>
    <row r="2016" spans="1:8" ht="12.75" customHeight="1">
      <c r="A2016" s="28"/>
      <c r="B2016" s="29" t="s">
        <v>3710</v>
      </c>
      <c r="C2016" s="30" t="str">
        <f>IFERROR(_xlfn.XLOOKUP(B2016,MObra[DESCRIPCION],MObra[UN],,0),"")</f>
        <v>día</v>
      </c>
      <c r="D2016" s="31">
        <v>1</v>
      </c>
      <c r="E2016" s="32">
        <f>IFERROR(_xlfn.XLOOKUP($B2016,MObra[DESCRIPCION],MObra[VALOR UNIT],,0),"")</f>
        <v>314390.75089500006</v>
      </c>
      <c r="F2016" s="33">
        <v>-8</v>
      </c>
      <c r="G2016" s="34">
        <f>IFERROR(IF(F2016&gt;=0,D2016*E2016*(1+F2016/100),ABS(D2016*E2016/F2016)),"")</f>
        <v>39298.843861875008</v>
      </c>
      <c r="H2016" s="43">
        <f>IFERROR(G2016*E2000,"")</f>
        <v>0</v>
      </c>
    </row>
    <row r="2017" spans="1:11" ht="12.75" customHeight="1">
      <c r="A2017" s="28"/>
      <c r="B2017" s="29"/>
      <c r="C2017" s="30" t="str">
        <f t="array" ref="C2017">IFERROR(_xlfn.XLOOKUP(B2017,MObra[[#All],[DESCRIPCION]],MObra[[#All],[UN]],,0),"")</f>
        <v/>
      </c>
      <c r="D2017" s="31"/>
      <c r="E2017" s="32" t="str">
        <f>IFERROR(_xlfn.XLOOKUP($B2017,MObra[DESCRIPCION],MObra[VALOR UNIT],,0),"")</f>
        <v/>
      </c>
      <c r="F2017" s="33"/>
      <c r="G2017" s="34" t="str">
        <f>IFERROR(IF(F2017&gt;=0,D2017*E2017*(1+F2017/100),ABS(D2017*E2017/F2017)),"")</f>
        <v/>
      </c>
      <c r="H2017" s="43" t="str">
        <f>IFERROR(G2017*E2000,"")</f>
        <v/>
      </c>
    </row>
    <row r="2018" spans="1:11" ht="12.75" customHeight="1" thickBot="1">
      <c r="A2018" s="35"/>
      <c r="B2018" s="36"/>
      <c r="C2018" s="37" t="str">
        <f t="array" ref="C2018">IFERROR(_xlfn.XLOOKUP(B2018,MObra[[#All],[DESCRIPCION]],MObra[[#All],[UN]],,0),"")</f>
        <v/>
      </c>
      <c r="D2018" s="38"/>
      <c r="E2018" s="39" t="str">
        <f>IFERROR(_xlfn.XLOOKUP($B2018,MObra[DESCRIPCION],MObra[VALOR UNIT],,0),"")</f>
        <v/>
      </c>
      <c r="F2018" s="40"/>
      <c r="G2018" s="41" t="str">
        <f>IFERROR(IF(F2018&gt;=0,D2018*E2018*(1+F2018/100),ABS(D2018*E2018/F2018)),"")</f>
        <v/>
      </c>
      <c r="H2018" s="42" t="str">
        <f>IFERROR(G2018*E2000,"")</f>
        <v/>
      </c>
    </row>
    <row r="2019" spans="1:11" ht="12.75" customHeight="1" thickTop="1" thickBot="1"/>
    <row r="2020" spans="1:11" ht="12.75" customHeight="1" thickTop="1" thickBot="1">
      <c r="A2020" s="6" t="s">
        <v>799</v>
      </c>
      <c r="B2020" s="7" t="str">
        <f>VLOOKUP($A2020,Presupuesto!$A:$D,2,FALSE())</f>
        <v>Tanque agua 2000 Lt</v>
      </c>
      <c r="C2020" s="8" t="str">
        <f>VLOOKUP($A2020,Presupuesto!$A:$D,3,FALSE())</f>
        <v>Un</v>
      </c>
      <c r="D2020" s="9"/>
      <c r="E2020" s="10">
        <f>VLOOKUP($A2020,Presupuesto!$A:$D,4,FALSE())</f>
        <v>0</v>
      </c>
      <c r="F2020" s="11" t="s">
        <v>2589</v>
      </c>
      <c r="G2020" s="12">
        <f>SUM(G2022:G2038)/2</f>
        <v>977050.13121079281</v>
      </c>
      <c r="H2020" s="13">
        <f>ROUND(SUM(H2022:H2038),0)/2</f>
        <v>0</v>
      </c>
      <c r="I2020" s="10">
        <f>VLOOKUP(A2020,Presupuesto!$A:$F,6,0)</f>
        <v>0</v>
      </c>
      <c r="J2020" s="10">
        <f>+H2020-I2020</f>
        <v>0</v>
      </c>
      <c r="K2020" s="46">
        <f>+H2020-G2020*E2020</f>
        <v>0</v>
      </c>
    </row>
    <row r="2021" spans="1:11" ht="12.75" customHeight="1" thickTop="1">
      <c r="A2021" s="14"/>
      <c r="B2021" s="15" t="s">
        <v>2586</v>
      </c>
      <c r="C2021" s="15" t="s">
        <v>5</v>
      </c>
      <c r="D2021" s="16" t="s">
        <v>6</v>
      </c>
      <c r="E2021" s="17" t="s">
        <v>7</v>
      </c>
      <c r="F2021" s="18" t="s">
        <v>3728</v>
      </c>
      <c r="G2021" s="19" t="s">
        <v>3729</v>
      </c>
      <c r="H2021" s="20" t="s">
        <v>3797</v>
      </c>
    </row>
    <row r="2022" spans="1:11" ht="12.75" customHeight="1">
      <c r="A2022" s="21"/>
      <c r="B2022" s="22" t="s">
        <v>3730</v>
      </c>
      <c r="C2022" s="23"/>
      <c r="D2022" s="24"/>
      <c r="E2022" s="25"/>
      <c r="F2022" s="26"/>
      <c r="G2022" s="27">
        <f>SUM(G2023:G2027)</f>
        <v>928095</v>
      </c>
      <c r="H2022" s="27">
        <f>IFERROR(G2022*E2020,"")</f>
        <v>0</v>
      </c>
    </row>
    <row r="2023" spans="1:11" ht="12.75" customHeight="1">
      <c r="A2023" s="28"/>
      <c r="B2023" s="29" t="s">
        <v>3360</v>
      </c>
      <c r="C2023" s="30" t="str">
        <f>IFERROR(_xlfn.XLOOKUP(B2023,Insumo[DESCRIPCION],Insumo[UND],,0),"")</f>
        <v>Un</v>
      </c>
      <c r="D2023" s="31">
        <v>1</v>
      </c>
      <c r="E2023" s="32">
        <f>IFERROR(_xlfn.XLOOKUP($B2023,Insumo[DESCRIPCION],Insumo[VALOR],,0),"")</f>
        <v>928095</v>
      </c>
      <c r="F2023" s="33"/>
      <c r="G2023" s="34">
        <f>IFERROR(IF(F2023&gt;=0,D2023*E2023*(1+F2023/100),ABS(D2023*E2023/F2023)),"")</f>
        <v>928095</v>
      </c>
      <c r="H2023" s="43">
        <f>IFERROR(G2023*E2020,"")</f>
        <v>0</v>
      </c>
    </row>
    <row r="2024" spans="1:11" ht="12.75" customHeight="1">
      <c r="A2024" s="28"/>
      <c r="B2024" s="29"/>
      <c r="C2024" s="30" t="str">
        <f>IFERROR(_xlfn.XLOOKUP(B2024,Insumo[DESCRIPCION],Insumo[UND],,0),"")</f>
        <v/>
      </c>
      <c r="D2024" s="31"/>
      <c r="E2024" s="32" t="str">
        <f>IFERROR(_xlfn.XLOOKUP($B2024,Insumo[DESCRIPCION],Insumo[VALOR],,0),"")</f>
        <v/>
      </c>
      <c r="F2024" s="33"/>
      <c r="G2024" s="34" t="str">
        <f>IFERROR(IF(F2024&gt;=0,D2024*E2024*(1+F2024/100),ABS(D2024*E2024/F2024)),"")</f>
        <v/>
      </c>
      <c r="H2024" s="43" t="str">
        <f>IFERROR(G2024*E2020,"")</f>
        <v/>
      </c>
    </row>
    <row r="2025" spans="1:11" ht="12.75" customHeight="1">
      <c r="A2025" s="28"/>
      <c r="B2025" s="29"/>
      <c r="C2025" s="30" t="str">
        <f>IFERROR(_xlfn.XLOOKUP(B2025,Insumo[DESCRIPCION],Insumo[UND],,0),"")</f>
        <v/>
      </c>
      <c r="D2025" s="31"/>
      <c r="E2025" s="32" t="str">
        <f>IFERROR(_xlfn.XLOOKUP($B2025,Insumo[DESCRIPCION],Insumo[VALOR],,0),"")</f>
        <v/>
      </c>
      <c r="F2025" s="33"/>
      <c r="G2025" s="34" t="str">
        <f>IFERROR(IF(F2025&gt;=0,D2025*E2025*(1+F2025/100),ABS(D2025*E2025/F2025)),"")</f>
        <v/>
      </c>
      <c r="H2025" s="43" t="str">
        <f>IFERROR(G2025*E2020,"")</f>
        <v/>
      </c>
    </row>
    <row r="2026" spans="1:11" ht="12.75" customHeight="1">
      <c r="A2026" s="28"/>
      <c r="B2026" s="29"/>
      <c r="C2026" s="30" t="str">
        <f>IFERROR(_xlfn.XLOOKUP(B2026,Insumo[DESCRIPCION],Insumo[UND],,0),"")</f>
        <v/>
      </c>
      <c r="D2026" s="31"/>
      <c r="E2026" s="32" t="str">
        <f>IFERROR(_xlfn.XLOOKUP($B2026,Insumo[DESCRIPCION],Insumo[VALOR],,0),"")</f>
        <v/>
      </c>
      <c r="F2026" s="33"/>
      <c r="G2026" s="34" t="str">
        <f>IFERROR(IF(F2026&gt;=0,D2026*E2026*(1+F2026/100),ABS(D2026*E2026/F2026)),"")</f>
        <v/>
      </c>
      <c r="H2026" s="43" t="str">
        <f>IFERROR(G2026*E2020,"")</f>
        <v/>
      </c>
    </row>
    <row r="2027" spans="1:11" ht="12.75" customHeight="1">
      <c r="A2027" s="28"/>
      <c r="B2027" s="29"/>
      <c r="C2027" s="30" t="str">
        <f>IFERROR(_xlfn.XLOOKUP(B2027,Insumo[DESCRIPCION],Insumo[UND],,0),"")</f>
        <v/>
      </c>
      <c r="D2027" s="31"/>
      <c r="E2027" s="32" t="str">
        <f>IFERROR(_xlfn.XLOOKUP($B2027,Insumo[DESCRIPCION],Insumo[VALOR],,0),"")</f>
        <v/>
      </c>
      <c r="F2027" s="33"/>
      <c r="G2027" s="34" t="str">
        <f>IFERROR(IF(F2027&gt;=0,D2027*E2027*(1+F2027/100),ABS(D2027*E2027/F2027)),"")</f>
        <v/>
      </c>
      <c r="H2027" s="43" t="str">
        <f>IFERROR(G2027*E2020,"")</f>
        <v/>
      </c>
    </row>
    <row r="2028" spans="1:11" ht="12.75" customHeight="1">
      <c r="A2028" s="21"/>
      <c r="B2028" s="22" t="s">
        <v>3731</v>
      </c>
      <c r="C2028" s="23"/>
      <c r="D2028" s="24"/>
      <c r="E2028" s="25"/>
      <c r="F2028" s="26"/>
      <c r="G2028" s="27">
        <f>SUM(G2029:G2031)</f>
        <v>4042.16679722143</v>
      </c>
      <c r="H2028" s="44">
        <f>G2028*E2020</f>
        <v>0</v>
      </c>
    </row>
    <row r="2029" spans="1:11" ht="12.75" customHeight="1">
      <c r="A2029" s="28"/>
      <c r="B2029" s="29" t="s">
        <v>3570</v>
      </c>
      <c r="C2029" s="30" t="str">
        <f>IFERROR(_xlfn.XLOOKUP(B2029,Equipo[DESCRIPCION],Equipo[UND],,0),"")</f>
        <v>%MO</v>
      </c>
      <c r="D2029" s="31">
        <v>0.04</v>
      </c>
      <c r="E2029" s="32">
        <f>IF(C2029="%MO",G2035,IFERROR(_xlfn.XLOOKUP($B2029,Equipo[DESCRIPCION],Equipo[VALOR],,0),""))</f>
        <v>44912.964413571441</v>
      </c>
      <c r="F2029" s="33"/>
      <c r="G2029" s="34">
        <f>IFERROR(IF(F2029&gt;=0,D2029*E2029*(1+F2029/100),ABS(D2029*E2029/F2029)),"")</f>
        <v>1796.5185765428578</v>
      </c>
      <c r="H2029" s="43">
        <f>IFERROR(G2029*E2020,"")</f>
        <v>0</v>
      </c>
    </row>
    <row r="2030" spans="1:11" ht="12.75" customHeight="1">
      <c r="A2030" s="28"/>
      <c r="B2030" s="29" t="s">
        <v>3626</v>
      </c>
      <c r="C2030" s="30" t="str">
        <f>IFERROR(_xlfn.XLOOKUP(B2030,Equipo[DESCRIPCION],Equipo[UND],,0),"")</f>
        <v>%MO</v>
      </c>
      <c r="D2030" s="31">
        <v>0.05</v>
      </c>
      <c r="E2030" s="32">
        <f>IF(C2030="%MO",G2035,IFERROR(_xlfn.XLOOKUP($B2030,Equipo[DESCRIPCION],Equipo[VALOR],,0),""))</f>
        <v>44912.964413571441</v>
      </c>
      <c r="F2030" s="33"/>
      <c r="G2030" s="34">
        <f>IFERROR(IF(F2030&gt;=0,D2030*E2030*(1+F2030/100),ABS(D2030*E2030/F2030)),"")</f>
        <v>2245.6482206785722</v>
      </c>
      <c r="H2030" s="43">
        <f>IFERROR(G2030*E2020,"")</f>
        <v>0</v>
      </c>
    </row>
    <row r="2031" spans="1:11" ht="12.75" customHeight="1">
      <c r="A2031" s="28"/>
      <c r="B2031" s="29"/>
      <c r="C2031" s="30" t="str">
        <f>IFERROR(_xlfn.XLOOKUP(B2031,Equipo[DESCRIPCION],Equipo[UND],,0),"")</f>
        <v/>
      </c>
      <c r="D2031" s="31"/>
      <c r="E2031" s="32" t="str">
        <f>IF(C2031="%MO",G2035,IFERROR(_xlfn.XLOOKUP($B2031,Equipo[DESCRIPCION],Equipo[VALOR],,0),""))</f>
        <v/>
      </c>
      <c r="F2031" s="33"/>
      <c r="G2031" s="34" t="str">
        <f>IFERROR(IF(F2031&gt;=0,D2031*E2031*(1+F2031/100),ABS(D2031*E2031/F2031)),"")</f>
        <v/>
      </c>
      <c r="H2031" s="43" t="str">
        <f>IFERROR(G2031*E2020,"")</f>
        <v/>
      </c>
    </row>
    <row r="2032" spans="1:11" ht="12.75" customHeight="1">
      <c r="A2032" s="21"/>
      <c r="B2032" s="22" t="s">
        <v>2533</v>
      </c>
      <c r="C2032" s="23"/>
      <c r="D2032" s="24"/>
      <c r="E2032" s="25"/>
      <c r="F2032" s="26"/>
      <c r="G2032" s="27">
        <f>SUM(G2033:G2034)</f>
        <v>0</v>
      </c>
      <c r="H2032" s="44">
        <f>G2032*E2020</f>
        <v>0</v>
      </c>
    </row>
    <row r="2033" spans="1:11" ht="12.75" customHeight="1">
      <c r="A2033" s="28"/>
      <c r="B2033" s="29"/>
      <c r="C2033" s="30" t="str">
        <f>IFERROR(_xlfn.XLOOKUP(B2033,Transporte[DESCRIPCION],Transporte[UND],,0),"")</f>
        <v/>
      </c>
      <c r="D2033" s="31"/>
      <c r="E2033" s="32" t="str">
        <f>IFERROR(_xlfn.XLOOKUP($B2033,Transporte[DESCRIPCION],Transporte[VALOR],,0),"")</f>
        <v/>
      </c>
      <c r="F2033" s="33"/>
      <c r="G2033" s="34" t="str">
        <f>IFERROR(IF(F2033&gt;=0,D2033*E2033*(1+F2033/100),ABS(D2033*E2033/F2033)),"")</f>
        <v/>
      </c>
      <c r="H2033" s="43" t="str">
        <f>IFERROR(G2033*E2020,"")</f>
        <v/>
      </c>
    </row>
    <row r="2034" spans="1:11" ht="12.75" customHeight="1">
      <c r="A2034" s="28"/>
      <c r="B2034" s="29"/>
      <c r="C2034" s="30" t="str">
        <f>IFERROR(_xlfn.XLOOKUP(B2034,Transporte[DESCRIPCION],Transporte[UND],,0),"")</f>
        <v/>
      </c>
      <c r="D2034" s="31"/>
      <c r="E2034" s="32" t="str">
        <f>IFERROR(_xlfn.XLOOKUP($B2034,Transporte[DESCRIPCION],Transporte[VALOR],,0),"")</f>
        <v/>
      </c>
      <c r="F2034" s="33"/>
      <c r="G2034" s="34" t="str">
        <f>IFERROR(IF(F2034&gt;=0,D2034*E2034*(1+F2034/100),ABS(D2034*E2034/F2034)),"")</f>
        <v/>
      </c>
      <c r="H2034" s="43" t="str">
        <f>IFERROR(G2034*E2020,"")</f>
        <v/>
      </c>
    </row>
    <row r="2035" spans="1:11" ht="12.75" customHeight="1">
      <c r="A2035" s="21"/>
      <c r="B2035" s="22" t="s">
        <v>3732</v>
      </c>
      <c r="C2035" s="23"/>
      <c r="D2035" s="24"/>
      <c r="E2035" s="25"/>
      <c r="F2035" s="26"/>
      <c r="G2035" s="27">
        <f>SUM(G2036:G2038)</f>
        <v>44912.964413571441</v>
      </c>
      <c r="H2035" s="44">
        <f>G2035*E2020</f>
        <v>0</v>
      </c>
    </row>
    <row r="2036" spans="1:11" ht="12.75" customHeight="1">
      <c r="A2036" s="28"/>
      <c r="B2036" s="29" t="s">
        <v>3710</v>
      </c>
      <c r="C2036" s="30" t="str">
        <f>IFERROR(_xlfn.XLOOKUP(B2036,MObra[DESCRIPCION],MObra[UN],,0),"")</f>
        <v>día</v>
      </c>
      <c r="D2036" s="31">
        <v>1</v>
      </c>
      <c r="E2036" s="32">
        <f>IFERROR(_xlfn.XLOOKUP($B2036,MObra[DESCRIPCION],MObra[VALOR UNIT],,0),"")</f>
        <v>314390.75089500006</v>
      </c>
      <c r="F2036" s="33">
        <v>-7</v>
      </c>
      <c r="G2036" s="34">
        <f>IFERROR(IF(F2036&gt;=0,D2036*E2036*(1+F2036/100),ABS(D2036*E2036/F2036)),"")</f>
        <v>44912.964413571441</v>
      </c>
      <c r="H2036" s="43">
        <f>IFERROR(G2036*E2020,"")</f>
        <v>0</v>
      </c>
    </row>
    <row r="2037" spans="1:11" ht="12.75" customHeight="1">
      <c r="A2037" s="28"/>
      <c r="B2037" s="29"/>
      <c r="C2037" s="30" t="str">
        <f t="array" ref="C2037">IFERROR(_xlfn.XLOOKUP(B2037,MObra[[#All],[DESCRIPCION]],MObra[[#All],[UN]],,0),"")</f>
        <v/>
      </c>
      <c r="D2037" s="31"/>
      <c r="E2037" s="32" t="str">
        <f>IFERROR(_xlfn.XLOOKUP($B2037,MObra[DESCRIPCION],MObra[VALOR UNIT],,0),"")</f>
        <v/>
      </c>
      <c r="F2037" s="33"/>
      <c r="G2037" s="34" t="str">
        <f>IFERROR(IF(F2037&gt;=0,D2037*E2037*(1+F2037/100),ABS(D2037*E2037/F2037)),"")</f>
        <v/>
      </c>
      <c r="H2037" s="43" t="str">
        <f>IFERROR(G2037*E2020,"")</f>
        <v/>
      </c>
    </row>
    <row r="2038" spans="1:11" ht="12.75" customHeight="1" thickBot="1">
      <c r="A2038" s="35"/>
      <c r="B2038" s="36"/>
      <c r="C2038" s="37" t="str">
        <f t="array" ref="C2038">IFERROR(_xlfn.XLOOKUP(B2038,MObra[[#All],[DESCRIPCION]],MObra[[#All],[UN]],,0),"")</f>
        <v/>
      </c>
      <c r="D2038" s="38"/>
      <c r="E2038" s="39" t="str">
        <f>IFERROR(_xlfn.XLOOKUP($B2038,MObra[DESCRIPCION],MObra[VALOR UNIT],,0),"")</f>
        <v/>
      </c>
      <c r="F2038" s="40"/>
      <c r="G2038" s="41" t="str">
        <f>IFERROR(IF(F2038&gt;=0,D2038*E2038*(1+F2038/100),ABS(D2038*E2038/F2038)),"")</f>
        <v/>
      </c>
      <c r="H2038" s="42" t="str">
        <f>IFERROR(G2038*E2020,"")</f>
        <v/>
      </c>
    </row>
    <row r="2039" spans="1:11" ht="12.75" customHeight="1" thickTop="1" thickBot="1"/>
    <row r="2040" spans="1:11" ht="12.75" customHeight="1" thickTop="1" thickBot="1">
      <c r="A2040" s="6" t="s">
        <v>801</v>
      </c>
      <c r="B2040" s="7" t="str">
        <f>VLOOKUP($A2040,Presupuesto!$A:$D,2,FALSE())</f>
        <v>Tubería CPVC 1/2" + accesorios</v>
      </c>
      <c r="C2040" s="8" t="str">
        <f>VLOOKUP($A2040,Presupuesto!$A:$D,3,FALSE())</f>
        <v>M</v>
      </c>
      <c r="D2040" s="9"/>
      <c r="E2040" s="10">
        <f>VLOOKUP($A2040,Presupuesto!$A:$D,4,FALSE())</f>
        <v>0</v>
      </c>
      <c r="F2040" s="11" t="s">
        <v>2589</v>
      </c>
      <c r="G2040" s="12">
        <f>SUM(G2042:G2058)/2</f>
        <v>14691.094710993752</v>
      </c>
      <c r="H2040" s="13">
        <f>ROUND(SUM(H2042:H2058),0)/2</f>
        <v>0</v>
      </c>
      <c r="I2040" s="10">
        <f>VLOOKUP(A2040,Presupuesto!$A:$F,6,0)</f>
        <v>0</v>
      </c>
      <c r="J2040" s="10">
        <f>+H2040-I2040</f>
        <v>0</v>
      </c>
      <c r="K2040" s="46">
        <f>+H2040-G2040*E2040</f>
        <v>0</v>
      </c>
    </row>
    <row r="2041" spans="1:11" ht="12.75" customHeight="1" thickTop="1">
      <c r="A2041" s="14"/>
      <c r="B2041" s="15" t="s">
        <v>2586</v>
      </c>
      <c r="C2041" s="15" t="s">
        <v>5</v>
      </c>
      <c r="D2041" s="16" t="s">
        <v>6</v>
      </c>
      <c r="E2041" s="17" t="s">
        <v>7</v>
      </c>
      <c r="F2041" s="18" t="s">
        <v>3728</v>
      </c>
      <c r="G2041" s="19" t="s">
        <v>3729</v>
      </c>
      <c r="H2041" s="20" t="s">
        <v>3797</v>
      </c>
    </row>
    <row r="2042" spans="1:11" ht="12.75" customHeight="1">
      <c r="A2042" s="21"/>
      <c r="B2042" s="22" t="s">
        <v>3730</v>
      </c>
      <c r="C2042" s="23"/>
      <c r="D2042" s="24"/>
      <c r="E2042" s="25"/>
      <c r="F2042" s="26"/>
      <c r="G2042" s="27">
        <f>SUM(G2043:G2047)</f>
        <v>6438.3375000000005</v>
      </c>
      <c r="H2042" s="27">
        <f>IFERROR(G2042*E2040,"")</f>
        <v>0</v>
      </c>
    </row>
    <row r="2043" spans="1:11" ht="12.75" customHeight="1">
      <c r="A2043" s="28"/>
      <c r="B2043" s="29" t="s">
        <v>3439</v>
      </c>
      <c r="C2043" s="30" t="str">
        <f>IFERROR(_xlfn.XLOOKUP(B2043,Insumo[DESCRIPCION],Insumo[UND],,0),"")</f>
        <v>M</v>
      </c>
      <c r="D2043" s="31">
        <v>1</v>
      </c>
      <c r="E2043" s="32">
        <f>IFERROR(_xlfn.XLOOKUP($B2043,Insumo[DESCRIPCION],Insumo[VALOR],,0),"")</f>
        <v>4725</v>
      </c>
      <c r="F2043" s="33">
        <v>3</v>
      </c>
      <c r="G2043" s="34">
        <f>IFERROR(IF(F2043&gt;=0,D2043*E2043*(1+F2043/100),ABS(D2043*E2043/F2043)),"")</f>
        <v>4866.75</v>
      </c>
      <c r="H2043" s="43">
        <f>IFERROR(G2043*E2040,"")</f>
        <v>0</v>
      </c>
    </row>
    <row r="2044" spans="1:11" ht="12.75" customHeight="1">
      <c r="A2044" s="28"/>
      <c r="B2044" s="29" t="s">
        <v>2625</v>
      </c>
      <c r="C2044" s="30" t="str">
        <f>IFERROR(_xlfn.XLOOKUP(B2044,Insumo[DESCRIPCION],Insumo[UND],,0),"")</f>
        <v>Un</v>
      </c>
      <c r="D2044" s="31">
        <v>0.15</v>
      </c>
      <c r="E2044" s="32">
        <f>IFERROR(_xlfn.XLOOKUP($B2044,Insumo[DESCRIPCION],Insumo[VALOR],,0),"")</f>
        <v>3488.1000000000004</v>
      </c>
      <c r="F2044" s="33"/>
      <c r="G2044" s="34">
        <f>IFERROR(IF(F2044&gt;=0,D2044*E2044*(1+F2044/100),ABS(D2044*E2044/F2044)),"")</f>
        <v>523.21500000000003</v>
      </c>
      <c r="H2044" s="43">
        <f>IFERROR(G2044*E2040,"")</f>
        <v>0</v>
      </c>
    </row>
    <row r="2045" spans="1:11" ht="12.75" customHeight="1">
      <c r="A2045" s="28"/>
      <c r="B2045" s="29" t="s">
        <v>3046</v>
      </c>
      <c r="C2045" s="30" t="str">
        <f>IFERROR(_xlfn.XLOOKUP(B2045,Insumo[DESCRIPCION],Insumo[UND],,0),"")</f>
        <v>Un</v>
      </c>
      <c r="D2045" s="31">
        <v>0.01</v>
      </c>
      <c r="E2045" s="32">
        <f>IFERROR(_xlfn.XLOOKUP($B2045,Insumo[DESCRIPCION],Insumo[VALOR],,0),"")</f>
        <v>62413.05</v>
      </c>
      <c r="F2045" s="33"/>
      <c r="G2045" s="34">
        <f>IFERROR(IF(F2045&gt;=0,D2045*E2045*(1+F2045/100),ABS(D2045*E2045/F2045)),"")</f>
        <v>624.1305000000001</v>
      </c>
      <c r="H2045" s="43">
        <f>IFERROR(G2045*E2040,"")</f>
        <v>0</v>
      </c>
    </row>
    <row r="2046" spans="1:11" ht="12.75" customHeight="1">
      <c r="A2046" s="28"/>
      <c r="B2046" s="29" t="s">
        <v>3329</v>
      </c>
      <c r="C2046" s="30" t="str">
        <f>IFERROR(_xlfn.XLOOKUP(B2046,Insumo[DESCRIPCION],Insumo[UND],,0),"")</f>
        <v>Un</v>
      </c>
      <c r="D2046" s="31">
        <v>0.01</v>
      </c>
      <c r="E2046" s="32">
        <f>IFERROR(_xlfn.XLOOKUP($B2046,Insumo[DESCRIPCION],Insumo[VALOR],,0),"")</f>
        <v>42424.200000000004</v>
      </c>
      <c r="F2046" s="33"/>
      <c r="G2046" s="34">
        <f>IFERROR(IF(F2046&gt;=0,D2046*E2046*(1+F2046/100),ABS(D2046*E2046/F2046)),"")</f>
        <v>424.24200000000008</v>
      </c>
      <c r="H2046" s="43">
        <f>IFERROR(G2046*E2040,"")</f>
        <v>0</v>
      </c>
    </row>
    <row r="2047" spans="1:11" ht="12.75" customHeight="1">
      <c r="A2047" s="28"/>
      <c r="B2047" s="29"/>
      <c r="C2047" s="30" t="str">
        <f>IFERROR(_xlfn.XLOOKUP(B2047,Insumo[DESCRIPCION],Insumo[UND],,0),"")</f>
        <v/>
      </c>
      <c r="D2047" s="31"/>
      <c r="E2047" s="32" t="str">
        <f>IFERROR(_xlfn.XLOOKUP($B2047,Insumo[DESCRIPCION],Insumo[VALOR],,0),"")</f>
        <v/>
      </c>
      <c r="F2047" s="33"/>
      <c r="G2047" s="34" t="str">
        <f>IFERROR(IF(F2047&gt;=0,D2047*E2047*(1+F2047/100),ABS(D2047*E2047/F2047)),"")</f>
        <v/>
      </c>
      <c r="H2047" s="43" t="str">
        <f>IFERROR(G2047*E2040,"")</f>
        <v/>
      </c>
    </row>
    <row r="2048" spans="1:11" ht="12.75" customHeight="1">
      <c r="A2048" s="21"/>
      <c r="B2048" s="22" t="s">
        <v>3731</v>
      </c>
      <c r="C2048" s="23"/>
      <c r="D2048" s="24"/>
      <c r="E2048" s="25"/>
      <c r="F2048" s="26"/>
      <c r="G2048" s="27">
        <f>SUM(G2049:G2051)</f>
        <v>392.98843861875008</v>
      </c>
      <c r="H2048" s="44">
        <f>G2048*E2040</f>
        <v>0</v>
      </c>
    </row>
    <row r="2049" spans="1:11" ht="12.75" customHeight="1">
      <c r="A2049" s="28"/>
      <c r="B2049" s="29" t="s">
        <v>3626</v>
      </c>
      <c r="C2049" s="30" t="str">
        <f>IFERROR(_xlfn.XLOOKUP(B2049,Equipo[DESCRIPCION],Equipo[UND],,0),"")</f>
        <v>%MO</v>
      </c>
      <c r="D2049" s="31">
        <v>0.05</v>
      </c>
      <c r="E2049" s="32">
        <f>IF(C2049="%MO",G2055,IFERROR(_xlfn.XLOOKUP($B2049,Equipo[DESCRIPCION],Equipo[VALOR],,0),""))</f>
        <v>7859.7687723750014</v>
      </c>
      <c r="F2049" s="33"/>
      <c r="G2049" s="34">
        <f>IFERROR(IF(F2049&gt;=0,D2049*E2049*(1+F2049/100),ABS(D2049*E2049/F2049)),"")</f>
        <v>392.98843861875008</v>
      </c>
      <c r="H2049" s="43">
        <f>IFERROR(G2049*E2040,"")</f>
        <v>0</v>
      </c>
    </row>
    <row r="2050" spans="1:11" ht="12.75" customHeight="1">
      <c r="A2050" s="28"/>
      <c r="B2050" s="29"/>
      <c r="C2050" s="30" t="str">
        <f>IFERROR(_xlfn.XLOOKUP(B2050,Equipo[DESCRIPCION],Equipo[UND],,0),"")</f>
        <v/>
      </c>
      <c r="D2050" s="31"/>
      <c r="E2050" s="32" t="str">
        <f>IF(C2050="%MO",G2055,IFERROR(_xlfn.XLOOKUP($B2050,Equipo[DESCRIPCION],Equipo[VALOR],,0),""))</f>
        <v/>
      </c>
      <c r="F2050" s="33"/>
      <c r="G2050" s="34" t="str">
        <f>IFERROR(IF(F2050&gt;=0,D2050*E2050*(1+F2050/100),ABS(D2050*E2050/F2050)),"")</f>
        <v/>
      </c>
      <c r="H2050" s="43" t="str">
        <f>IFERROR(G2050*E2040,"")</f>
        <v/>
      </c>
    </row>
    <row r="2051" spans="1:11" ht="12.75" customHeight="1">
      <c r="A2051" s="28"/>
      <c r="B2051" s="29"/>
      <c r="C2051" s="30" t="str">
        <f>IFERROR(_xlfn.XLOOKUP(B2051,Equipo[DESCRIPCION],Equipo[UND],,0),"")</f>
        <v/>
      </c>
      <c r="D2051" s="31"/>
      <c r="E2051" s="32" t="str">
        <f>IF(C2051="%MO",G2055,IFERROR(_xlfn.XLOOKUP($B2051,Equipo[DESCRIPCION],Equipo[VALOR],,0),""))</f>
        <v/>
      </c>
      <c r="F2051" s="33"/>
      <c r="G2051" s="34" t="str">
        <f>IFERROR(IF(F2051&gt;=0,D2051*E2051*(1+F2051/100),ABS(D2051*E2051/F2051)),"")</f>
        <v/>
      </c>
      <c r="H2051" s="43" t="str">
        <f>IFERROR(G2051*E2040,"")</f>
        <v/>
      </c>
    </row>
    <row r="2052" spans="1:11" ht="12.75" customHeight="1">
      <c r="A2052" s="21"/>
      <c r="B2052" s="22" t="s">
        <v>2533</v>
      </c>
      <c r="C2052" s="23"/>
      <c r="D2052" s="24"/>
      <c r="E2052" s="25"/>
      <c r="F2052" s="26"/>
      <c r="G2052" s="27">
        <f>SUM(G2053:G2054)</f>
        <v>0</v>
      </c>
      <c r="H2052" s="44">
        <f>G2052*E2040</f>
        <v>0</v>
      </c>
    </row>
    <row r="2053" spans="1:11" ht="12.75" customHeight="1">
      <c r="A2053" s="28"/>
      <c r="B2053" s="29"/>
      <c r="C2053" s="30" t="str">
        <f>IFERROR(_xlfn.XLOOKUP(B2053,Transporte[DESCRIPCION],Transporte[UND],,0),"")</f>
        <v/>
      </c>
      <c r="D2053" s="31"/>
      <c r="E2053" s="32" t="str">
        <f>IFERROR(_xlfn.XLOOKUP($B2053,Transporte[DESCRIPCION],Transporte[VALOR],,0),"")</f>
        <v/>
      </c>
      <c r="F2053" s="33"/>
      <c r="G2053" s="34" t="str">
        <f>IFERROR(IF(F2053&gt;=0,D2053*E2053*(1+F2053/100),ABS(D2053*E2053/F2053)),"")</f>
        <v/>
      </c>
      <c r="H2053" s="43" t="str">
        <f>IFERROR(G2053*E2040,"")</f>
        <v/>
      </c>
    </row>
    <row r="2054" spans="1:11" ht="12.75" customHeight="1">
      <c r="A2054" s="28"/>
      <c r="B2054" s="29"/>
      <c r="C2054" s="30" t="str">
        <f>IFERROR(_xlfn.XLOOKUP(B2054,Transporte[DESCRIPCION],Transporte[UND],,0),"")</f>
        <v/>
      </c>
      <c r="D2054" s="31"/>
      <c r="E2054" s="32" t="str">
        <f>IFERROR(_xlfn.XLOOKUP($B2054,Transporte[DESCRIPCION],Transporte[VALOR],,0),"")</f>
        <v/>
      </c>
      <c r="F2054" s="33"/>
      <c r="G2054" s="34" t="str">
        <f>IFERROR(IF(F2054&gt;=0,D2054*E2054*(1+F2054/100),ABS(D2054*E2054/F2054)),"")</f>
        <v/>
      </c>
      <c r="H2054" s="43" t="str">
        <f>IFERROR(G2054*E2040,"")</f>
        <v/>
      </c>
    </row>
    <row r="2055" spans="1:11" ht="12.75" customHeight="1">
      <c r="A2055" s="21"/>
      <c r="B2055" s="22" t="s">
        <v>3732</v>
      </c>
      <c r="C2055" s="23"/>
      <c r="D2055" s="24"/>
      <c r="E2055" s="25"/>
      <c r="F2055" s="26"/>
      <c r="G2055" s="27">
        <f>SUM(G2056:G2058)</f>
        <v>7859.7687723750014</v>
      </c>
      <c r="H2055" s="44">
        <f>G2055*E2040</f>
        <v>0</v>
      </c>
    </row>
    <row r="2056" spans="1:11" ht="12.75" customHeight="1">
      <c r="A2056" s="28"/>
      <c r="B2056" s="29" t="s">
        <v>3710</v>
      </c>
      <c r="C2056" s="30" t="str">
        <f>IFERROR(_xlfn.XLOOKUP(B2056,MObra[DESCRIPCION],MObra[UN],,0),"")</f>
        <v>día</v>
      </c>
      <c r="D2056" s="31">
        <v>1</v>
      </c>
      <c r="E2056" s="32">
        <f>IFERROR(_xlfn.XLOOKUP($B2056,MObra[DESCRIPCION],MObra[VALOR UNIT],,0),"")</f>
        <v>314390.75089500006</v>
      </c>
      <c r="F2056" s="33">
        <v>-40</v>
      </c>
      <c r="G2056" s="34">
        <f>IFERROR(IF(F2056&gt;=0,D2056*E2056*(1+F2056/100),ABS(D2056*E2056/F2056)),"")</f>
        <v>7859.7687723750014</v>
      </c>
      <c r="H2056" s="43">
        <f>IFERROR(G2056*E2040,"")</f>
        <v>0</v>
      </c>
    </row>
    <row r="2057" spans="1:11" ht="12.75" customHeight="1">
      <c r="A2057" s="28"/>
      <c r="B2057" s="29"/>
      <c r="C2057" s="30" t="str">
        <f t="array" ref="C2057">IFERROR(_xlfn.XLOOKUP(B2057,MObra[[#All],[DESCRIPCION]],MObra[[#All],[UN]],,0),"")</f>
        <v/>
      </c>
      <c r="D2057" s="31"/>
      <c r="E2057" s="32" t="str">
        <f>IFERROR(_xlfn.XLOOKUP($B2057,MObra[DESCRIPCION],MObra[VALOR UNIT],,0),"")</f>
        <v/>
      </c>
      <c r="F2057" s="33"/>
      <c r="G2057" s="34" t="str">
        <f>IFERROR(IF(F2057&gt;=0,D2057*E2057*(1+F2057/100),ABS(D2057*E2057/F2057)),"")</f>
        <v/>
      </c>
      <c r="H2057" s="43" t="str">
        <f>IFERROR(G2057*E2040,"")</f>
        <v/>
      </c>
    </row>
    <row r="2058" spans="1:11" ht="12.75" customHeight="1" thickBot="1">
      <c r="A2058" s="35"/>
      <c r="B2058" s="36"/>
      <c r="C2058" s="37" t="str">
        <f t="array" ref="C2058">IFERROR(_xlfn.XLOOKUP(B2058,MObra[[#All],[DESCRIPCION]],MObra[[#All],[UN]],,0),"")</f>
        <v/>
      </c>
      <c r="D2058" s="38"/>
      <c r="E2058" s="39" t="str">
        <f>IFERROR(_xlfn.XLOOKUP($B2058,MObra[DESCRIPCION],MObra[VALOR UNIT],,0),"")</f>
        <v/>
      </c>
      <c r="F2058" s="40"/>
      <c r="G2058" s="41" t="str">
        <f>IFERROR(IF(F2058&gt;=0,D2058*E2058*(1+F2058/100),ABS(D2058*E2058/F2058)),"")</f>
        <v/>
      </c>
      <c r="H2058" s="42" t="str">
        <f>IFERROR(G2058*E2040,"")</f>
        <v/>
      </c>
    </row>
    <row r="2059" spans="1:11" ht="12.75" customHeight="1" thickTop="1" thickBot="1"/>
    <row r="2060" spans="1:11" ht="12.75" customHeight="1" thickTop="1" thickBot="1">
      <c r="A2060" s="6" t="s">
        <v>803</v>
      </c>
      <c r="B2060" s="7" t="str">
        <f>VLOOKUP($A2060,Presupuesto!$A:$D,2,FALSE())</f>
        <v>Tubería CPVC 3/4" + accesorios</v>
      </c>
      <c r="C2060" s="8" t="str">
        <f>VLOOKUP($A2060,Presupuesto!$A:$D,3,FALSE())</f>
        <v>M</v>
      </c>
      <c r="D2060" s="9"/>
      <c r="E2060" s="10">
        <f>VLOOKUP($A2060,Presupuesto!$A:$D,4,FALSE())</f>
        <v>0</v>
      </c>
      <c r="F2060" s="11" t="s">
        <v>2589</v>
      </c>
      <c r="G2060" s="12">
        <f>SUM(G2062:G2078)/2</f>
        <v>19964.797526849998</v>
      </c>
      <c r="H2060" s="13">
        <f>ROUND(SUM(H2062:H2078),0)/2</f>
        <v>0</v>
      </c>
      <c r="I2060" s="10">
        <f>VLOOKUP(A2060,Presupuesto!$A:$F,6,0)</f>
        <v>0</v>
      </c>
      <c r="J2060" s="10">
        <f>+H2060-I2060</f>
        <v>0</v>
      </c>
      <c r="K2060" s="46">
        <f>+H2060-G2060*E2060</f>
        <v>0</v>
      </c>
    </row>
    <row r="2061" spans="1:11" ht="12.75" customHeight="1" thickTop="1">
      <c r="A2061" s="14"/>
      <c r="B2061" s="15" t="s">
        <v>2586</v>
      </c>
      <c r="C2061" s="15" t="s">
        <v>5</v>
      </c>
      <c r="D2061" s="16" t="s">
        <v>6</v>
      </c>
      <c r="E2061" s="17" t="s">
        <v>7</v>
      </c>
      <c r="F2061" s="18" t="s">
        <v>3728</v>
      </c>
      <c r="G2061" s="19" t="s">
        <v>3729</v>
      </c>
      <c r="H2061" s="20" t="s">
        <v>3797</v>
      </c>
    </row>
    <row r="2062" spans="1:11" ht="12.75" customHeight="1">
      <c r="A2062" s="21"/>
      <c r="B2062" s="22" t="s">
        <v>3730</v>
      </c>
      <c r="C2062" s="23"/>
      <c r="D2062" s="24"/>
      <c r="E2062" s="25"/>
      <c r="F2062" s="26"/>
      <c r="G2062" s="27">
        <f>SUM(G2063:G2067)</f>
        <v>10533.074999999999</v>
      </c>
      <c r="H2062" s="27">
        <f>IFERROR(G2062*E2060,"")</f>
        <v>0</v>
      </c>
    </row>
    <row r="2063" spans="1:11" ht="12.75" customHeight="1">
      <c r="A2063" s="28"/>
      <c r="B2063" s="29" t="s">
        <v>3440</v>
      </c>
      <c r="C2063" s="30" t="str">
        <f>IFERROR(_xlfn.XLOOKUP(B2063,Insumo[DESCRIPCION],Insumo[UND],,0),"")</f>
        <v>M</v>
      </c>
      <c r="D2063" s="31">
        <v>1</v>
      </c>
      <c r="E2063" s="32">
        <f>IFERROR(_xlfn.XLOOKUP($B2063,Insumo[DESCRIPCION],Insumo[VALOR],,0),"")</f>
        <v>8400</v>
      </c>
      <c r="F2063" s="33">
        <v>3</v>
      </c>
      <c r="G2063" s="34">
        <f>IFERROR(IF(F2063&gt;=0,D2063*E2063*(1+F2063/100),ABS(D2063*E2063/F2063)),"")</f>
        <v>8652</v>
      </c>
      <c r="H2063" s="43">
        <f>IFERROR(G2063*E2060,"")</f>
        <v>0</v>
      </c>
    </row>
    <row r="2064" spans="1:11" ht="12.75" customHeight="1">
      <c r="A2064" s="28"/>
      <c r="B2064" s="29" t="s">
        <v>2626</v>
      </c>
      <c r="C2064" s="30" t="str">
        <f>IFERROR(_xlfn.XLOOKUP(B2064,Insumo[DESCRIPCION],Insumo[UND],,0),"")</f>
        <v>Un</v>
      </c>
      <c r="D2064" s="31">
        <v>0.15</v>
      </c>
      <c r="E2064" s="32">
        <f>IFERROR(_xlfn.XLOOKUP($B2064,Insumo[DESCRIPCION],Insumo[VALOR],,0),"")</f>
        <v>5551.35</v>
      </c>
      <c r="F2064" s="33"/>
      <c r="G2064" s="34">
        <f>IFERROR(IF(F2064&gt;=0,D2064*E2064*(1+F2064/100),ABS(D2064*E2064/F2064)),"")</f>
        <v>832.70249999999999</v>
      </c>
      <c r="H2064" s="43">
        <f>IFERROR(G2064*E2060,"")</f>
        <v>0</v>
      </c>
    </row>
    <row r="2065" spans="1:11" ht="12.75" customHeight="1">
      <c r="A2065" s="28"/>
      <c r="B2065" s="29" t="s">
        <v>3046</v>
      </c>
      <c r="C2065" s="30" t="str">
        <f>IFERROR(_xlfn.XLOOKUP(B2065,Insumo[DESCRIPCION],Insumo[UND],,0),"")</f>
        <v>Un</v>
      </c>
      <c r="D2065" s="31">
        <v>0.01</v>
      </c>
      <c r="E2065" s="32">
        <f>IFERROR(_xlfn.XLOOKUP($B2065,Insumo[DESCRIPCION],Insumo[VALOR],,0),"")</f>
        <v>62413.05</v>
      </c>
      <c r="F2065" s="33"/>
      <c r="G2065" s="34">
        <f>IFERROR(IF(F2065&gt;=0,D2065*E2065*(1+F2065/100),ABS(D2065*E2065/F2065)),"")</f>
        <v>624.1305000000001</v>
      </c>
      <c r="H2065" s="43">
        <f>IFERROR(G2065*E2060,"")</f>
        <v>0</v>
      </c>
    </row>
    <row r="2066" spans="1:11" ht="12.75" customHeight="1">
      <c r="A2066" s="28"/>
      <c r="B2066" s="29" t="s">
        <v>3329</v>
      </c>
      <c r="C2066" s="30" t="str">
        <f>IFERROR(_xlfn.XLOOKUP(B2066,Insumo[DESCRIPCION],Insumo[UND],,0),"")</f>
        <v>Un</v>
      </c>
      <c r="D2066" s="31">
        <v>0.01</v>
      </c>
      <c r="E2066" s="32">
        <f>IFERROR(_xlfn.XLOOKUP($B2066,Insumo[DESCRIPCION],Insumo[VALOR],,0),"")</f>
        <v>42424.200000000004</v>
      </c>
      <c r="F2066" s="33"/>
      <c r="G2066" s="34">
        <f>IFERROR(IF(F2066&gt;=0,D2066*E2066*(1+F2066/100),ABS(D2066*E2066/F2066)),"")</f>
        <v>424.24200000000008</v>
      </c>
      <c r="H2066" s="43">
        <f>IFERROR(G2066*E2060,"")</f>
        <v>0</v>
      </c>
    </row>
    <row r="2067" spans="1:11" ht="12.75" customHeight="1">
      <c r="A2067" s="28"/>
      <c r="B2067" s="29"/>
      <c r="C2067" s="30" t="str">
        <f>IFERROR(_xlfn.XLOOKUP(B2067,Insumo[DESCRIPCION],Insumo[UND],,0),"")</f>
        <v/>
      </c>
      <c r="D2067" s="31"/>
      <c r="E2067" s="32" t="str">
        <f>IFERROR(_xlfn.XLOOKUP($B2067,Insumo[DESCRIPCION],Insumo[VALOR],,0),"")</f>
        <v/>
      </c>
      <c r="F2067" s="33"/>
      <c r="G2067" s="34" t="str">
        <f>IFERROR(IF(F2067&gt;=0,D2067*E2067*(1+F2067/100),ABS(D2067*E2067/F2067)),"")</f>
        <v/>
      </c>
      <c r="H2067" s="43" t="str">
        <f>IFERROR(G2067*E2060,"")</f>
        <v/>
      </c>
    </row>
    <row r="2068" spans="1:11" ht="12.75" customHeight="1">
      <c r="A2068" s="21"/>
      <c r="B2068" s="22" t="s">
        <v>3731</v>
      </c>
      <c r="C2068" s="23"/>
      <c r="D2068" s="24"/>
      <c r="E2068" s="25"/>
      <c r="F2068" s="26"/>
      <c r="G2068" s="27">
        <f>SUM(G2069:G2071)</f>
        <v>449.12964413571439</v>
      </c>
      <c r="H2068" s="44">
        <f>G2068*E2060</f>
        <v>0</v>
      </c>
    </row>
    <row r="2069" spans="1:11" ht="12.75" customHeight="1">
      <c r="A2069" s="28"/>
      <c r="B2069" s="29" t="s">
        <v>3626</v>
      </c>
      <c r="C2069" s="30" t="str">
        <f>IFERROR(_xlfn.XLOOKUP(B2069,Equipo[DESCRIPCION],Equipo[UND],,0),"")</f>
        <v>%MO</v>
      </c>
      <c r="D2069" s="31">
        <v>0.05</v>
      </c>
      <c r="E2069" s="32">
        <f>IF(C2069="%MO",G2075,IFERROR(_xlfn.XLOOKUP($B2069,Equipo[DESCRIPCION],Equipo[VALOR],,0),""))</f>
        <v>8982.592882714287</v>
      </c>
      <c r="F2069" s="33"/>
      <c r="G2069" s="34">
        <f>IFERROR(IF(F2069&gt;=0,D2069*E2069*(1+F2069/100),ABS(D2069*E2069/F2069)),"")</f>
        <v>449.12964413571439</v>
      </c>
      <c r="H2069" s="43">
        <f>IFERROR(G2069*E2060,"")</f>
        <v>0</v>
      </c>
    </row>
    <row r="2070" spans="1:11" ht="12.75" customHeight="1">
      <c r="A2070" s="28"/>
      <c r="B2070" s="29"/>
      <c r="C2070" s="30" t="str">
        <f>IFERROR(_xlfn.XLOOKUP(B2070,Equipo[DESCRIPCION],Equipo[UND],,0),"")</f>
        <v/>
      </c>
      <c r="D2070" s="31"/>
      <c r="E2070" s="32" t="str">
        <f>IF(C2070="%MO",G2075,IFERROR(_xlfn.XLOOKUP($B2070,Equipo[DESCRIPCION],Equipo[VALOR],,0),""))</f>
        <v/>
      </c>
      <c r="F2070" s="33"/>
      <c r="G2070" s="34" t="str">
        <f>IFERROR(IF(F2070&gt;=0,D2070*E2070*(1+F2070/100),ABS(D2070*E2070/F2070)),"")</f>
        <v/>
      </c>
      <c r="H2070" s="43" t="str">
        <f>IFERROR(G2070*E2060,"")</f>
        <v/>
      </c>
    </row>
    <row r="2071" spans="1:11" ht="12.75" customHeight="1">
      <c r="A2071" s="28"/>
      <c r="B2071" s="29"/>
      <c r="C2071" s="30" t="str">
        <f>IFERROR(_xlfn.XLOOKUP(B2071,Equipo[DESCRIPCION],Equipo[UND],,0),"")</f>
        <v/>
      </c>
      <c r="D2071" s="31"/>
      <c r="E2071" s="32" t="str">
        <f>IF(C2071="%MO",G2075,IFERROR(_xlfn.XLOOKUP($B2071,Equipo[DESCRIPCION],Equipo[VALOR],,0),""))</f>
        <v/>
      </c>
      <c r="F2071" s="33"/>
      <c r="G2071" s="34" t="str">
        <f>IFERROR(IF(F2071&gt;=0,D2071*E2071*(1+F2071/100),ABS(D2071*E2071/F2071)),"")</f>
        <v/>
      </c>
      <c r="H2071" s="43" t="str">
        <f>IFERROR(G2071*E2060,"")</f>
        <v/>
      </c>
    </row>
    <row r="2072" spans="1:11" ht="12.75" customHeight="1">
      <c r="A2072" s="21"/>
      <c r="B2072" s="22" t="s">
        <v>2533</v>
      </c>
      <c r="C2072" s="23"/>
      <c r="D2072" s="24"/>
      <c r="E2072" s="25"/>
      <c r="F2072" s="26"/>
      <c r="G2072" s="27">
        <f>SUM(G2073:G2074)</f>
        <v>0</v>
      </c>
      <c r="H2072" s="44">
        <f>G2072*E2060</f>
        <v>0</v>
      </c>
    </row>
    <row r="2073" spans="1:11" ht="12.75" customHeight="1">
      <c r="A2073" s="28"/>
      <c r="B2073" s="29"/>
      <c r="C2073" s="30" t="str">
        <f>IFERROR(_xlfn.XLOOKUP(B2073,Transporte[DESCRIPCION],Transporte[UND],,0),"")</f>
        <v/>
      </c>
      <c r="D2073" s="31"/>
      <c r="E2073" s="32" t="str">
        <f>IFERROR(_xlfn.XLOOKUP($B2073,Transporte[DESCRIPCION],Transporte[VALOR],,0),"")</f>
        <v/>
      </c>
      <c r="F2073" s="33"/>
      <c r="G2073" s="34" t="str">
        <f>IFERROR(IF(F2073&gt;=0,D2073*E2073*(1+F2073/100),ABS(D2073*E2073/F2073)),"")</f>
        <v/>
      </c>
      <c r="H2073" s="43" t="str">
        <f>IFERROR(G2073*E2060,"")</f>
        <v/>
      </c>
    </row>
    <row r="2074" spans="1:11" ht="12.75" customHeight="1">
      <c r="A2074" s="28"/>
      <c r="B2074" s="29"/>
      <c r="C2074" s="30" t="str">
        <f>IFERROR(_xlfn.XLOOKUP(B2074,Transporte[DESCRIPCION],Transporte[UND],,0),"")</f>
        <v/>
      </c>
      <c r="D2074" s="31"/>
      <c r="E2074" s="32" t="str">
        <f>IFERROR(_xlfn.XLOOKUP($B2074,Transporte[DESCRIPCION],Transporte[VALOR],,0),"")</f>
        <v/>
      </c>
      <c r="F2074" s="33"/>
      <c r="G2074" s="34" t="str">
        <f>IFERROR(IF(F2074&gt;=0,D2074*E2074*(1+F2074/100),ABS(D2074*E2074/F2074)),"")</f>
        <v/>
      </c>
      <c r="H2074" s="43" t="str">
        <f>IFERROR(G2074*E2060,"")</f>
        <v/>
      </c>
    </row>
    <row r="2075" spans="1:11" ht="12.75" customHeight="1">
      <c r="A2075" s="21"/>
      <c r="B2075" s="22" t="s">
        <v>3732</v>
      </c>
      <c r="C2075" s="23"/>
      <c r="D2075" s="24"/>
      <c r="E2075" s="25"/>
      <c r="F2075" s="26"/>
      <c r="G2075" s="27">
        <f>SUM(G2076:G2078)</f>
        <v>8982.592882714287</v>
      </c>
      <c r="H2075" s="44">
        <f>G2075*E2060</f>
        <v>0</v>
      </c>
    </row>
    <row r="2076" spans="1:11" ht="12.75" customHeight="1">
      <c r="A2076" s="28"/>
      <c r="B2076" s="29" t="s">
        <v>3710</v>
      </c>
      <c r="C2076" s="30" t="str">
        <f>IFERROR(_xlfn.XLOOKUP(B2076,MObra[DESCRIPCION],MObra[UN],,0),"")</f>
        <v>día</v>
      </c>
      <c r="D2076" s="31">
        <v>1</v>
      </c>
      <c r="E2076" s="32">
        <f>IFERROR(_xlfn.XLOOKUP($B2076,MObra[DESCRIPCION],MObra[VALOR UNIT],,0),"")</f>
        <v>314390.75089500006</v>
      </c>
      <c r="F2076" s="33">
        <v>-35</v>
      </c>
      <c r="G2076" s="34">
        <f>IFERROR(IF(F2076&gt;=0,D2076*E2076*(1+F2076/100),ABS(D2076*E2076/F2076)),"")</f>
        <v>8982.592882714287</v>
      </c>
      <c r="H2076" s="43">
        <f>IFERROR(G2076*E2060,"")</f>
        <v>0</v>
      </c>
    </row>
    <row r="2077" spans="1:11" ht="12.75" customHeight="1">
      <c r="A2077" s="28"/>
      <c r="B2077" s="29"/>
      <c r="C2077" s="30" t="str">
        <f t="array" ref="C2077">IFERROR(_xlfn.XLOOKUP(B2077,MObra[[#All],[DESCRIPCION]],MObra[[#All],[UN]],,0),"")</f>
        <v/>
      </c>
      <c r="D2077" s="31"/>
      <c r="E2077" s="32" t="str">
        <f>IFERROR(_xlfn.XLOOKUP($B2077,MObra[DESCRIPCION],MObra[VALOR UNIT],,0),"")</f>
        <v/>
      </c>
      <c r="F2077" s="33"/>
      <c r="G2077" s="34" t="str">
        <f>IFERROR(IF(F2077&gt;=0,D2077*E2077*(1+F2077/100),ABS(D2077*E2077/F2077)),"")</f>
        <v/>
      </c>
      <c r="H2077" s="43" t="str">
        <f>IFERROR(G2077*E2060,"")</f>
        <v/>
      </c>
    </row>
    <row r="2078" spans="1:11" ht="12.75" customHeight="1" thickBot="1">
      <c r="A2078" s="35"/>
      <c r="B2078" s="36"/>
      <c r="C2078" s="37" t="str">
        <f t="array" ref="C2078">IFERROR(_xlfn.XLOOKUP(B2078,MObra[[#All],[DESCRIPCION]],MObra[[#All],[UN]],,0),"")</f>
        <v/>
      </c>
      <c r="D2078" s="38"/>
      <c r="E2078" s="39" t="str">
        <f>IFERROR(_xlfn.XLOOKUP($B2078,MObra[DESCRIPCION],MObra[VALOR UNIT],,0),"")</f>
        <v/>
      </c>
      <c r="F2078" s="40"/>
      <c r="G2078" s="41" t="str">
        <f>IFERROR(IF(F2078&gt;=0,D2078*E2078*(1+F2078/100),ABS(D2078*E2078/F2078)),"")</f>
        <v/>
      </c>
      <c r="H2078" s="42" t="str">
        <f>IFERROR(G2078*E2060,"")</f>
        <v/>
      </c>
    </row>
    <row r="2079" spans="1:11" ht="12.75" customHeight="1" thickTop="1" thickBot="1"/>
    <row r="2080" spans="1:11" ht="12.75" customHeight="1" thickTop="1" thickBot="1">
      <c r="A2080" s="6" t="s">
        <v>805</v>
      </c>
      <c r="B2080" s="7" t="str">
        <f>VLOOKUP($A2080,Presupuesto!$A:$D,2,FALSE())</f>
        <v>Tubería CPVC 1" +accesorios</v>
      </c>
      <c r="C2080" s="8" t="str">
        <f>VLOOKUP($A2080,Presupuesto!$A:$D,3,FALSE())</f>
        <v>M</v>
      </c>
      <c r="D2080" s="9"/>
      <c r="E2080" s="10">
        <f>VLOOKUP($A2080,Presupuesto!$A:$D,4,FALSE())</f>
        <v>0</v>
      </c>
      <c r="F2080" s="11" t="s">
        <v>2589</v>
      </c>
      <c r="G2080" s="12">
        <f>SUM(G2082:G2098)/2</f>
        <v>39392.526281324994</v>
      </c>
      <c r="H2080" s="13">
        <f>ROUND(SUM(H2082:H2098),0)/2</f>
        <v>0</v>
      </c>
      <c r="I2080" s="10">
        <f>VLOOKUP(A2080,Presupuesto!$A:$F,6,0)</f>
        <v>0</v>
      </c>
      <c r="J2080" s="10">
        <f>+H2080-I2080</f>
        <v>0</v>
      </c>
      <c r="K2080" s="46">
        <f>+H2080-G2080*E2080</f>
        <v>0</v>
      </c>
    </row>
    <row r="2081" spans="1:8" ht="12.75" customHeight="1" thickTop="1">
      <c r="A2081" s="14"/>
      <c r="B2081" s="15" t="s">
        <v>2586</v>
      </c>
      <c r="C2081" s="15" t="s">
        <v>5</v>
      </c>
      <c r="D2081" s="16" t="s">
        <v>6</v>
      </c>
      <c r="E2081" s="17" t="s">
        <v>7</v>
      </c>
      <c r="F2081" s="18" t="s">
        <v>3728</v>
      </c>
      <c r="G2081" s="19" t="s">
        <v>3729</v>
      </c>
      <c r="H2081" s="20" t="s">
        <v>3797</v>
      </c>
    </row>
    <row r="2082" spans="1:8" ht="12.75" customHeight="1">
      <c r="A2082" s="21"/>
      <c r="B2082" s="22" t="s">
        <v>3730</v>
      </c>
      <c r="C2082" s="23"/>
      <c r="D2082" s="24"/>
      <c r="E2082" s="25"/>
      <c r="F2082" s="26"/>
      <c r="G2082" s="27">
        <f>SUM(G2083:G2087)</f>
        <v>28388.85</v>
      </c>
      <c r="H2082" s="27">
        <f>IFERROR(G2082*E2080,"")</f>
        <v>0</v>
      </c>
    </row>
    <row r="2083" spans="1:8" ht="12.75" customHeight="1">
      <c r="A2083" s="28"/>
      <c r="B2083" s="29" t="s">
        <v>3438</v>
      </c>
      <c r="C2083" s="30" t="str">
        <f>IFERROR(_xlfn.XLOOKUP(B2083,Insumo[DESCRIPCION],Insumo[UND],,0),"")</f>
        <v>M</v>
      </c>
      <c r="D2083" s="31">
        <v>1</v>
      </c>
      <c r="E2083" s="32">
        <f>IFERROR(_xlfn.XLOOKUP($B2083,Insumo[DESCRIPCION],Insumo[VALOR],,0),"")</f>
        <v>21315</v>
      </c>
      <c r="F2083" s="33">
        <v>3</v>
      </c>
      <c r="G2083" s="34">
        <f>IFERROR(IF(F2083&gt;=0,D2083*E2083*(1+F2083/100),ABS(D2083*E2083/F2083)),"")</f>
        <v>21954.45</v>
      </c>
      <c r="H2083" s="43">
        <f>IFERROR(G2083*E2080,"")</f>
        <v>0</v>
      </c>
    </row>
    <row r="2084" spans="1:8" ht="12.75" customHeight="1">
      <c r="A2084" s="28"/>
      <c r="B2084" s="29" t="s">
        <v>2624</v>
      </c>
      <c r="C2084" s="30" t="str">
        <f>IFERROR(_xlfn.XLOOKUP(B2084,Insumo[DESCRIPCION],Insumo[UND],,0),"")</f>
        <v>Un</v>
      </c>
      <c r="D2084" s="31">
        <v>0.15</v>
      </c>
      <c r="E2084" s="32">
        <f>IFERROR(_xlfn.XLOOKUP($B2084,Insumo[DESCRIPCION],Insumo[VALOR],,0),"")</f>
        <v>35906.85</v>
      </c>
      <c r="F2084" s="33"/>
      <c r="G2084" s="34">
        <f>IFERROR(IF(F2084&gt;=0,D2084*E2084*(1+F2084/100),ABS(D2084*E2084/F2084)),"")</f>
        <v>5386.0274999999992</v>
      </c>
      <c r="H2084" s="43">
        <f>IFERROR(G2084*E2080,"")</f>
        <v>0</v>
      </c>
    </row>
    <row r="2085" spans="1:8" ht="12.75" customHeight="1">
      <c r="A2085" s="28"/>
      <c r="B2085" s="29" t="s">
        <v>3046</v>
      </c>
      <c r="C2085" s="30" t="str">
        <f>IFERROR(_xlfn.XLOOKUP(B2085,Insumo[DESCRIPCION],Insumo[UND],,0),"")</f>
        <v>Un</v>
      </c>
      <c r="D2085" s="31">
        <v>0.01</v>
      </c>
      <c r="E2085" s="32">
        <f>IFERROR(_xlfn.XLOOKUP($B2085,Insumo[DESCRIPCION],Insumo[VALOR],,0),"")</f>
        <v>62413.05</v>
      </c>
      <c r="F2085" s="33"/>
      <c r="G2085" s="34">
        <f>IFERROR(IF(F2085&gt;=0,D2085*E2085*(1+F2085/100),ABS(D2085*E2085/F2085)),"")</f>
        <v>624.1305000000001</v>
      </c>
      <c r="H2085" s="43">
        <f>IFERROR(G2085*E2080,"")</f>
        <v>0</v>
      </c>
    </row>
    <row r="2086" spans="1:8" ht="12.75" customHeight="1">
      <c r="A2086" s="28"/>
      <c r="B2086" s="29" t="s">
        <v>3329</v>
      </c>
      <c r="C2086" s="30" t="str">
        <f>IFERROR(_xlfn.XLOOKUP(B2086,Insumo[DESCRIPCION],Insumo[UND],,0),"")</f>
        <v>Un</v>
      </c>
      <c r="D2086" s="31">
        <v>0.01</v>
      </c>
      <c r="E2086" s="32">
        <f>IFERROR(_xlfn.XLOOKUP($B2086,Insumo[DESCRIPCION],Insumo[VALOR],,0),"")</f>
        <v>42424.200000000004</v>
      </c>
      <c r="F2086" s="33"/>
      <c r="G2086" s="34">
        <f>IFERROR(IF(F2086&gt;=0,D2086*E2086*(1+F2086/100),ABS(D2086*E2086/F2086)),"")</f>
        <v>424.24200000000008</v>
      </c>
      <c r="H2086" s="43">
        <f>IFERROR(G2086*E2080,"")</f>
        <v>0</v>
      </c>
    </row>
    <row r="2087" spans="1:8" ht="12.75" customHeight="1">
      <c r="A2087" s="28"/>
      <c r="B2087" s="29"/>
      <c r="C2087" s="30" t="str">
        <f>IFERROR(_xlfn.XLOOKUP(B2087,Insumo[DESCRIPCION],Insumo[UND],,0),"")</f>
        <v/>
      </c>
      <c r="D2087" s="31"/>
      <c r="E2087" s="32" t="str">
        <f>IFERROR(_xlfn.XLOOKUP($B2087,Insumo[DESCRIPCION],Insumo[VALOR],,0),"")</f>
        <v/>
      </c>
      <c r="F2087" s="33"/>
      <c r="G2087" s="34" t="str">
        <f>IFERROR(IF(F2087&gt;=0,D2087*E2087*(1+F2087/100),ABS(D2087*E2087/F2087)),"")</f>
        <v/>
      </c>
      <c r="H2087" s="43" t="str">
        <f>IFERROR(G2087*E2080,"")</f>
        <v/>
      </c>
    </row>
    <row r="2088" spans="1:8" ht="12.75" customHeight="1">
      <c r="A2088" s="21"/>
      <c r="B2088" s="22" t="s">
        <v>3731</v>
      </c>
      <c r="C2088" s="23"/>
      <c r="D2088" s="24"/>
      <c r="E2088" s="25"/>
      <c r="F2088" s="26"/>
      <c r="G2088" s="27">
        <f>SUM(G2089:G2091)</f>
        <v>523.98458482500007</v>
      </c>
      <c r="H2088" s="44">
        <f>G2088*E2080</f>
        <v>0</v>
      </c>
    </row>
    <row r="2089" spans="1:8" ht="12.75" customHeight="1">
      <c r="A2089" s="28"/>
      <c r="B2089" s="29" t="s">
        <v>3626</v>
      </c>
      <c r="C2089" s="30" t="str">
        <f>IFERROR(_xlfn.XLOOKUP(B2089,Equipo[DESCRIPCION],Equipo[UND],,0),"")</f>
        <v>%MO</v>
      </c>
      <c r="D2089" s="31">
        <v>0.05</v>
      </c>
      <c r="E2089" s="32">
        <f>IF(C2089="%MO",G2095,IFERROR(_xlfn.XLOOKUP($B2089,Equipo[DESCRIPCION],Equipo[VALOR],,0),""))</f>
        <v>10479.691696500002</v>
      </c>
      <c r="F2089" s="33"/>
      <c r="G2089" s="34">
        <f>IFERROR(IF(F2089&gt;=0,D2089*E2089*(1+F2089/100),ABS(D2089*E2089/F2089)),"")</f>
        <v>523.98458482500007</v>
      </c>
      <c r="H2089" s="43">
        <f>IFERROR(G2089*E2080,"")</f>
        <v>0</v>
      </c>
    </row>
    <row r="2090" spans="1:8" ht="12.75" customHeight="1">
      <c r="A2090" s="28"/>
      <c r="B2090" s="29"/>
      <c r="C2090" s="30" t="str">
        <f>IFERROR(_xlfn.XLOOKUP(B2090,Equipo[DESCRIPCION],Equipo[UND],,0),"")</f>
        <v/>
      </c>
      <c r="D2090" s="31"/>
      <c r="E2090" s="32" t="str">
        <f>IF(C2090="%MO",G2095,IFERROR(_xlfn.XLOOKUP($B2090,Equipo[DESCRIPCION],Equipo[VALOR],,0),""))</f>
        <v/>
      </c>
      <c r="F2090" s="33"/>
      <c r="G2090" s="34" t="str">
        <f>IFERROR(IF(F2090&gt;=0,D2090*E2090*(1+F2090/100),ABS(D2090*E2090/F2090)),"")</f>
        <v/>
      </c>
      <c r="H2090" s="43" t="str">
        <f>IFERROR(G2090*E2080,"")</f>
        <v/>
      </c>
    </row>
    <row r="2091" spans="1:8" ht="12.75" customHeight="1">
      <c r="A2091" s="28"/>
      <c r="B2091" s="29"/>
      <c r="C2091" s="30" t="str">
        <f>IFERROR(_xlfn.XLOOKUP(B2091,Equipo[DESCRIPCION],Equipo[UND],,0),"")</f>
        <v/>
      </c>
      <c r="D2091" s="31"/>
      <c r="E2091" s="32" t="str">
        <f>IF(C2091="%MO",G2095,IFERROR(_xlfn.XLOOKUP($B2091,Equipo[DESCRIPCION],Equipo[VALOR],,0),""))</f>
        <v/>
      </c>
      <c r="F2091" s="33"/>
      <c r="G2091" s="34" t="str">
        <f>IFERROR(IF(F2091&gt;=0,D2091*E2091*(1+F2091/100),ABS(D2091*E2091/F2091)),"")</f>
        <v/>
      </c>
      <c r="H2091" s="43" t="str">
        <f>IFERROR(G2091*E2080,"")</f>
        <v/>
      </c>
    </row>
    <row r="2092" spans="1:8" ht="12.75" customHeight="1">
      <c r="A2092" s="21"/>
      <c r="B2092" s="22" t="s">
        <v>2533</v>
      </c>
      <c r="C2092" s="23"/>
      <c r="D2092" s="24"/>
      <c r="E2092" s="25"/>
      <c r="F2092" s="26"/>
      <c r="G2092" s="27">
        <f>SUM(G2093:G2094)</f>
        <v>0</v>
      </c>
      <c r="H2092" s="44">
        <f>G2092*E2080</f>
        <v>0</v>
      </c>
    </row>
    <row r="2093" spans="1:8" ht="12.75" customHeight="1">
      <c r="A2093" s="28"/>
      <c r="B2093" s="29"/>
      <c r="C2093" s="30" t="str">
        <f>IFERROR(_xlfn.XLOOKUP(B2093,Transporte[DESCRIPCION],Transporte[UND],,0),"")</f>
        <v/>
      </c>
      <c r="D2093" s="31"/>
      <c r="E2093" s="32" t="str">
        <f>IFERROR(_xlfn.XLOOKUP($B2093,Transporte[DESCRIPCION],Transporte[VALOR],,0),"")</f>
        <v/>
      </c>
      <c r="F2093" s="33"/>
      <c r="G2093" s="34" t="str">
        <f>IFERROR(IF(F2093&gt;=0,D2093*E2093*(1+F2093/100),ABS(D2093*E2093/F2093)),"")</f>
        <v/>
      </c>
      <c r="H2093" s="43" t="str">
        <f>IFERROR(G2093*E2080,"")</f>
        <v/>
      </c>
    </row>
    <row r="2094" spans="1:8" ht="12.75" customHeight="1">
      <c r="A2094" s="28"/>
      <c r="B2094" s="29"/>
      <c r="C2094" s="30" t="str">
        <f>IFERROR(_xlfn.XLOOKUP(B2094,Transporte[DESCRIPCION],Transporte[UND],,0),"")</f>
        <v/>
      </c>
      <c r="D2094" s="31"/>
      <c r="E2094" s="32" t="str">
        <f>IFERROR(_xlfn.XLOOKUP($B2094,Transporte[DESCRIPCION],Transporte[VALOR],,0),"")</f>
        <v/>
      </c>
      <c r="F2094" s="33"/>
      <c r="G2094" s="34" t="str">
        <f>IFERROR(IF(F2094&gt;=0,D2094*E2094*(1+F2094/100),ABS(D2094*E2094/F2094)),"")</f>
        <v/>
      </c>
      <c r="H2094" s="43" t="str">
        <f>IFERROR(G2094*E2080,"")</f>
        <v/>
      </c>
    </row>
    <row r="2095" spans="1:8" ht="12.75" customHeight="1">
      <c r="A2095" s="21"/>
      <c r="B2095" s="22" t="s">
        <v>3732</v>
      </c>
      <c r="C2095" s="23"/>
      <c r="D2095" s="24"/>
      <c r="E2095" s="25"/>
      <c r="F2095" s="26"/>
      <c r="G2095" s="27">
        <f>SUM(G2096:G2098)</f>
        <v>10479.691696500002</v>
      </c>
      <c r="H2095" s="44">
        <f>G2095*E2080</f>
        <v>0</v>
      </c>
    </row>
    <row r="2096" spans="1:8" ht="12.75" customHeight="1">
      <c r="A2096" s="28"/>
      <c r="B2096" s="29" t="s">
        <v>3710</v>
      </c>
      <c r="C2096" s="30" t="str">
        <f>IFERROR(_xlfn.XLOOKUP(B2096,MObra[DESCRIPCION],MObra[UN],,0),"")</f>
        <v>día</v>
      </c>
      <c r="D2096" s="31">
        <v>1</v>
      </c>
      <c r="E2096" s="32">
        <f>IFERROR(_xlfn.XLOOKUP($B2096,MObra[DESCRIPCION],MObra[VALOR UNIT],,0),"")</f>
        <v>314390.75089500006</v>
      </c>
      <c r="F2096" s="33">
        <v>-30</v>
      </c>
      <c r="G2096" s="34">
        <f>IFERROR(IF(F2096&gt;=0,D2096*E2096*(1+F2096/100),ABS(D2096*E2096/F2096)),"")</f>
        <v>10479.691696500002</v>
      </c>
      <c r="H2096" s="43">
        <f>IFERROR(G2096*E2080,"")</f>
        <v>0</v>
      </c>
    </row>
    <row r="2097" spans="1:11" ht="12.75" customHeight="1">
      <c r="A2097" s="28"/>
      <c r="B2097" s="29"/>
      <c r="C2097" s="30" t="str">
        <f t="array" ref="C2097">IFERROR(_xlfn.XLOOKUP(B2097,MObra[[#All],[DESCRIPCION]],MObra[[#All],[UN]],,0),"")</f>
        <v/>
      </c>
      <c r="D2097" s="31"/>
      <c r="E2097" s="32" t="str">
        <f>IFERROR(_xlfn.XLOOKUP($B2097,MObra[DESCRIPCION],MObra[VALOR UNIT],,0),"")</f>
        <v/>
      </c>
      <c r="F2097" s="33"/>
      <c r="G2097" s="34" t="str">
        <f>IFERROR(IF(F2097&gt;=0,D2097*E2097*(1+F2097/100),ABS(D2097*E2097/F2097)),"")</f>
        <v/>
      </c>
      <c r="H2097" s="43" t="str">
        <f>IFERROR(G2097*E2080,"")</f>
        <v/>
      </c>
    </row>
    <row r="2098" spans="1:11" ht="12.75" customHeight="1" thickBot="1">
      <c r="A2098" s="35"/>
      <c r="B2098" s="36"/>
      <c r="C2098" s="37" t="str">
        <f t="array" ref="C2098">IFERROR(_xlfn.XLOOKUP(B2098,MObra[[#All],[DESCRIPCION]],MObra[[#All],[UN]],,0),"")</f>
        <v/>
      </c>
      <c r="D2098" s="38"/>
      <c r="E2098" s="39" t="str">
        <f>IFERROR(_xlfn.XLOOKUP($B2098,MObra[DESCRIPCION],MObra[VALOR UNIT],,0),"")</f>
        <v/>
      </c>
      <c r="F2098" s="40"/>
      <c r="G2098" s="41" t="str">
        <f>IFERROR(IF(F2098&gt;=0,D2098*E2098*(1+F2098/100),ABS(D2098*E2098/F2098)),"")</f>
        <v/>
      </c>
      <c r="H2098" s="42" t="str">
        <f>IFERROR(G2098*E2080,"")</f>
        <v/>
      </c>
    </row>
    <row r="2099" spans="1:11" ht="12.75" customHeight="1" thickTop="1" thickBot="1"/>
    <row r="2100" spans="1:11" ht="12.75" customHeight="1" thickTop="1" thickBot="1">
      <c r="A2100" s="6" t="s">
        <v>807</v>
      </c>
      <c r="B2100" s="7" t="str">
        <f>VLOOKUP($A2100,Presupuesto!$A:$D,2,FALSE())</f>
        <v>Tubería Hg 3/8" + accesorios</v>
      </c>
      <c r="C2100" s="8" t="str">
        <f>VLOOKUP($A2100,Presupuesto!$A:$D,3,FALSE())</f>
        <v>M</v>
      </c>
      <c r="D2100" s="9"/>
      <c r="E2100" s="10">
        <f>VLOOKUP($A2100,Presupuesto!$A:$D,4,FALSE())</f>
        <v>0</v>
      </c>
      <c r="F2100" s="11" t="s">
        <v>2589</v>
      </c>
      <c r="G2100" s="12">
        <f>SUM(G2102:G2118)/2</f>
        <v>19277.652210993754</v>
      </c>
      <c r="H2100" s="13">
        <f>ROUND(SUM(H2102:H2118),0)/2</f>
        <v>0</v>
      </c>
      <c r="I2100" s="10">
        <f>VLOOKUP(A2100,Presupuesto!$A:$F,6,0)</f>
        <v>0</v>
      </c>
      <c r="J2100" s="10">
        <f>+H2100-I2100</f>
        <v>0</v>
      </c>
      <c r="K2100" s="46">
        <f>+H2100-G2100*E2100</f>
        <v>0</v>
      </c>
    </row>
    <row r="2101" spans="1:11" ht="12.75" customHeight="1" thickTop="1">
      <c r="A2101" s="14"/>
      <c r="B2101" s="15" t="s">
        <v>2586</v>
      </c>
      <c r="C2101" s="15" t="s">
        <v>5</v>
      </c>
      <c r="D2101" s="16" t="s">
        <v>6</v>
      </c>
      <c r="E2101" s="17" t="s">
        <v>7</v>
      </c>
      <c r="F2101" s="18" t="s">
        <v>3728</v>
      </c>
      <c r="G2101" s="19" t="s">
        <v>3729</v>
      </c>
      <c r="H2101" s="20" t="s">
        <v>3797</v>
      </c>
    </row>
    <row r="2102" spans="1:11" ht="12.75" customHeight="1">
      <c r="A2102" s="21"/>
      <c r="B2102" s="22" t="s">
        <v>3730</v>
      </c>
      <c r="C2102" s="23"/>
      <c r="D2102" s="24"/>
      <c r="E2102" s="25"/>
      <c r="F2102" s="26"/>
      <c r="G2102" s="27">
        <f>SUM(G2103:G2107)</f>
        <v>11024.895</v>
      </c>
      <c r="H2102" s="27">
        <f>IFERROR(G2102*E2100,"")</f>
        <v>0</v>
      </c>
    </row>
    <row r="2103" spans="1:11" ht="12.75" customHeight="1">
      <c r="A2103" s="28"/>
      <c r="B2103" s="29" t="s">
        <v>3452</v>
      </c>
      <c r="C2103" s="30" t="str">
        <f>IFERROR(_xlfn.XLOOKUP(B2103,Insumo[DESCRIPCION],Insumo[UND],,0),"")</f>
        <v>M</v>
      </c>
      <c r="D2103" s="31">
        <v>1</v>
      </c>
      <c r="E2103" s="32">
        <f>IFERROR(_xlfn.XLOOKUP($B2103,Insumo[DESCRIPCION],Insumo[VALOR],,0),"")</f>
        <v>10290</v>
      </c>
      <c r="F2103" s="33">
        <v>3</v>
      </c>
      <c r="G2103" s="34">
        <f>IFERROR(IF(F2103&gt;=0,D2103*E2103*(1+F2103/100),ABS(D2103*E2103/F2103)),"")</f>
        <v>10598.7</v>
      </c>
      <c r="H2103" s="43">
        <f>IFERROR(G2103*E2100,"")</f>
        <v>0</v>
      </c>
    </row>
    <row r="2104" spans="1:11" ht="12.75" customHeight="1">
      <c r="A2104" s="28"/>
      <c r="B2104" s="29" t="s">
        <v>2635</v>
      </c>
      <c r="C2104" s="30" t="str">
        <f>IFERROR(_xlfn.XLOOKUP(B2104,Insumo[DESCRIPCION],Insumo[UND],,0),"")</f>
        <v>Un</v>
      </c>
      <c r="D2104" s="31">
        <v>0.15</v>
      </c>
      <c r="E2104" s="32">
        <f>IFERROR(_xlfn.XLOOKUP($B2104,Insumo[DESCRIPCION],Insumo[VALOR],,0),"")</f>
        <v>2841.3</v>
      </c>
      <c r="F2104" s="33"/>
      <c r="G2104" s="34">
        <f>IFERROR(IF(F2104&gt;=0,D2104*E2104*(1+F2104/100),ABS(D2104*E2104/F2104)),"")</f>
        <v>426.19499999999999</v>
      </c>
      <c r="H2104" s="43">
        <f>IFERROR(G2104*E2100,"")</f>
        <v>0</v>
      </c>
    </row>
    <row r="2105" spans="1:11" ht="12.75" customHeight="1">
      <c r="A2105" s="28"/>
      <c r="B2105" s="29"/>
      <c r="C2105" s="30" t="str">
        <f>IFERROR(_xlfn.XLOOKUP(B2105,Insumo[DESCRIPCION],Insumo[UND],,0),"")</f>
        <v/>
      </c>
      <c r="D2105" s="31"/>
      <c r="E2105" s="32" t="str">
        <f>IFERROR(_xlfn.XLOOKUP($B2105,Insumo[DESCRIPCION],Insumo[VALOR],,0),"")</f>
        <v/>
      </c>
      <c r="F2105" s="33"/>
      <c r="G2105" s="34" t="str">
        <f>IFERROR(IF(F2105&gt;=0,D2105*E2105*(1+F2105/100),ABS(D2105*E2105/F2105)),"")</f>
        <v/>
      </c>
      <c r="H2105" s="43" t="str">
        <f>IFERROR(G2105*E2100,"")</f>
        <v/>
      </c>
    </row>
    <row r="2106" spans="1:11" ht="12.75" customHeight="1">
      <c r="A2106" s="28"/>
      <c r="B2106" s="29"/>
      <c r="C2106" s="30" t="str">
        <f>IFERROR(_xlfn.XLOOKUP(B2106,Insumo[DESCRIPCION],Insumo[UND],,0),"")</f>
        <v/>
      </c>
      <c r="D2106" s="31"/>
      <c r="E2106" s="32" t="str">
        <f>IFERROR(_xlfn.XLOOKUP($B2106,Insumo[DESCRIPCION],Insumo[VALOR],,0),"")</f>
        <v/>
      </c>
      <c r="F2106" s="33"/>
      <c r="G2106" s="34" t="str">
        <f>IFERROR(IF(F2106&gt;=0,D2106*E2106*(1+F2106/100),ABS(D2106*E2106/F2106)),"")</f>
        <v/>
      </c>
      <c r="H2106" s="43" t="str">
        <f>IFERROR(G2106*E2100,"")</f>
        <v/>
      </c>
    </row>
    <row r="2107" spans="1:11" ht="12.75" customHeight="1">
      <c r="A2107" s="28"/>
      <c r="B2107" s="29"/>
      <c r="C2107" s="30" t="str">
        <f>IFERROR(_xlfn.XLOOKUP(B2107,Insumo[DESCRIPCION],Insumo[UND],,0),"")</f>
        <v/>
      </c>
      <c r="D2107" s="31"/>
      <c r="E2107" s="32" t="str">
        <f>IFERROR(_xlfn.XLOOKUP($B2107,Insumo[DESCRIPCION],Insumo[VALOR],,0),"")</f>
        <v/>
      </c>
      <c r="F2107" s="33"/>
      <c r="G2107" s="34" t="str">
        <f>IFERROR(IF(F2107&gt;=0,D2107*E2107*(1+F2107/100),ABS(D2107*E2107/F2107)),"")</f>
        <v/>
      </c>
      <c r="H2107" s="43" t="str">
        <f>IFERROR(G2107*E2100,"")</f>
        <v/>
      </c>
    </row>
    <row r="2108" spans="1:11" ht="12.75" customHeight="1">
      <c r="A2108" s="21"/>
      <c r="B2108" s="22" t="s">
        <v>3731</v>
      </c>
      <c r="C2108" s="23"/>
      <c r="D2108" s="24"/>
      <c r="E2108" s="25"/>
      <c r="F2108" s="26"/>
      <c r="G2108" s="27">
        <f>SUM(G2109:G2111)</f>
        <v>392.98843861875008</v>
      </c>
      <c r="H2108" s="44">
        <f>G2108*E2100</f>
        <v>0</v>
      </c>
    </row>
    <row r="2109" spans="1:11" ht="12.75" customHeight="1">
      <c r="A2109" s="28"/>
      <c r="B2109" s="29" t="s">
        <v>3626</v>
      </c>
      <c r="C2109" s="30" t="str">
        <f>IFERROR(_xlfn.XLOOKUP(B2109,Equipo[DESCRIPCION],Equipo[UND],,0),"")</f>
        <v>%MO</v>
      </c>
      <c r="D2109" s="31">
        <v>0.05</v>
      </c>
      <c r="E2109" s="32">
        <f>IF(C2109="%MO",G2115,IFERROR(_xlfn.XLOOKUP($B2109,Equipo[DESCRIPCION],Equipo[VALOR],,0),""))</f>
        <v>7859.7687723750014</v>
      </c>
      <c r="F2109" s="33"/>
      <c r="G2109" s="34">
        <f>IFERROR(IF(F2109&gt;=0,D2109*E2109*(1+F2109/100),ABS(D2109*E2109/F2109)),"")</f>
        <v>392.98843861875008</v>
      </c>
      <c r="H2109" s="43">
        <f>IFERROR(G2109*E2100,"")</f>
        <v>0</v>
      </c>
    </row>
    <row r="2110" spans="1:11" ht="12.75" customHeight="1">
      <c r="A2110" s="28"/>
      <c r="B2110" s="29"/>
      <c r="C2110" s="30" t="str">
        <f>IFERROR(_xlfn.XLOOKUP(B2110,Equipo[DESCRIPCION],Equipo[UND],,0),"")</f>
        <v/>
      </c>
      <c r="D2110" s="31"/>
      <c r="E2110" s="32" t="str">
        <f>IF(C2110="%MO",G2115,IFERROR(_xlfn.XLOOKUP($B2110,Equipo[DESCRIPCION],Equipo[VALOR],,0),""))</f>
        <v/>
      </c>
      <c r="F2110" s="33"/>
      <c r="G2110" s="34" t="str">
        <f>IFERROR(IF(F2110&gt;=0,D2110*E2110*(1+F2110/100),ABS(D2110*E2110/F2110)),"")</f>
        <v/>
      </c>
      <c r="H2110" s="43" t="str">
        <f>IFERROR(G2110*E2100,"")</f>
        <v/>
      </c>
    </row>
    <row r="2111" spans="1:11" ht="12.75" customHeight="1">
      <c r="A2111" s="28"/>
      <c r="B2111" s="29"/>
      <c r="C2111" s="30" t="str">
        <f>IFERROR(_xlfn.XLOOKUP(B2111,Equipo[DESCRIPCION],Equipo[UND],,0),"")</f>
        <v/>
      </c>
      <c r="D2111" s="31"/>
      <c r="E2111" s="32" t="str">
        <f>IF(C2111="%MO",G2115,IFERROR(_xlfn.XLOOKUP($B2111,Equipo[DESCRIPCION],Equipo[VALOR],,0),""))</f>
        <v/>
      </c>
      <c r="F2111" s="33"/>
      <c r="G2111" s="34" t="str">
        <f>IFERROR(IF(F2111&gt;=0,D2111*E2111*(1+F2111/100),ABS(D2111*E2111/F2111)),"")</f>
        <v/>
      </c>
      <c r="H2111" s="43" t="str">
        <f>IFERROR(G2111*E2100,"")</f>
        <v/>
      </c>
    </row>
    <row r="2112" spans="1:11" ht="12.75" customHeight="1">
      <c r="A2112" s="21"/>
      <c r="B2112" s="22" t="s">
        <v>2533</v>
      </c>
      <c r="C2112" s="23"/>
      <c r="D2112" s="24"/>
      <c r="E2112" s="25"/>
      <c r="F2112" s="26"/>
      <c r="G2112" s="27">
        <f>SUM(G2113:G2114)</f>
        <v>0</v>
      </c>
      <c r="H2112" s="44">
        <f>G2112*E2100</f>
        <v>0</v>
      </c>
    </row>
    <row r="2113" spans="1:11" ht="12.75" customHeight="1">
      <c r="A2113" s="28"/>
      <c r="B2113" s="29"/>
      <c r="C2113" s="30" t="str">
        <f>IFERROR(_xlfn.XLOOKUP(B2113,Transporte[DESCRIPCION],Transporte[UND],,0),"")</f>
        <v/>
      </c>
      <c r="D2113" s="31"/>
      <c r="E2113" s="32" t="str">
        <f>IFERROR(_xlfn.XLOOKUP($B2113,Transporte[DESCRIPCION],Transporte[VALOR],,0),"")</f>
        <v/>
      </c>
      <c r="F2113" s="33"/>
      <c r="G2113" s="34" t="str">
        <f>IFERROR(IF(F2113&gt;=0,D2113*E2113*(1+F2113/100),ABS(D2113*E2113/F2113)),"")</f>
        <v/>
      </c>
      <c r="H2113" s="43" t="str">
        <f>IFERROR(G2113*E2100,"")</f>
        <v/>
      </c>
    </row>
    <row r="2114" spans="1:11" ht="12.75" customHeight="1">
      <c r="A2114" s="28"/>
      <c r="B2114" s="29"/>
      <c r="C2114" s="30" t="str">
        <f>IFERROR(_xlfn.XLOOKUP(B2114,Transporte[DESCRIPCION],Transporte[UND],,0),"")</f>
        <v/>
      </c>
      <c r="D2114" s="31"/>
      <c r="E2114" s="32" t="str">
        <f>IFERROR(_xlfn.XLOOKUP($B2114,Transporte[DESCRIPCION],Transporte[VALOR],,0),"")</f>
        <v/>
      </c>
      <c r="F2114" s="33"/>
      <c r="G2114" s="34" t="str">
        <f>IFERROR(IF(F2114&gt;=0,D2114*E2114*(1+F2114/100),ABS(D2114*E2114/F2114)),"")</f>
        <v/>
      </c>
      <c r="H2114" s="43" t="str">
        <f>IFERROR(G2114*E2100,"")</f>
        <v/>
      </c>
    </row>
    <row r="2115" spans="1:11" ht="12.75" customHeight="1">
      <c r="A2115" s="21"/>
      <c r="B2115" s="22" t="s">
        <v>3732</v>
      </c>
      <c r="C2115" s="23"/>
      <c r="D2115" s="24"/>
      <c r="E2115" s="25"/>
      <c r="F2115" s="26"/>
      <c r="G2115" s="27">
        <f>SUM(G2116:G2118)</f>
        <v>7859.7687723750014</v>
      </c>
      <c r="H2115" s="44">
        <f>G2115*E2100</f>
        <v>0</v>
      </c>
    </row>
    <row r="2116" spans="1:11" ht="12.75" customHeight="1">
      <c r="A2116" s="28"/>
      <c r="B2116" s="29" t="s">
        <v>3710</v>
      </c>
      <c r="C2116" s="30" t="str">
        <f>IFERROR(_xlfn.XLOOKUP(B2116,MObra[DESCRIPCION],MObra[UN],,0),"")</f>
        <v>día</v>
      </c>
      <c r="D2116" s="31">
        <v>1</v>
      </c>
      <c r="E2116" s="32">
        <f>IFERROR(_xlfn.XLOOKUP($B2116,MObra[DESCRIPCION],MObra[VALOR UNIT],,0),"")</f>
        <v>314390.75089500006</v>
      </c>
      <c r="F2116" s="33">
        <v>-40</v>
      </c>
      <c r="G2116" s="34">
        <f>IFERROR(IF(F2116&gt;=0,D2116*E2116*(1+F2116/100),ABS(D2116*E2116/F2116)),"")</f>
        <v>7859.7687723750014</v>
      </c>
      <c r="H2116" s="43">
        <f>IFERROR(G2116*E2100,"")</f>
        <v>0</v>
      </c>
    </row>
    <row r="2117" spans="1:11" ht="12.75" customHeight="1">
      <c r="A2117" s="28"/>
      <c r="B2117" s="29"/>
      <c r="C2117" s="30" t="str">
        <f t="array" ref="C2117">IFERROR(_xlfn.XLOOKUP(B2117,MObra[[#All],[DESCRIPCION]],MObra[[#All],[UN]],,0),"")</f>
        <v/>
      </c>
      <c r="D2117" s="31"/>
      <c r="E2117" s="32" t="str">
        <f>IFERROR(_xlfn.XLOOKUP($B2117,MObra[DESCRIPCION],MObra[VALOR UNIT],,0),"")</f>
        <v/>
      </c>
      <c r="F2117" s="33"/>
      <c r="G2117" s="34" t="str">
        <f>IFERROR(IF(F2117&gt;=0,D2117*E2117*(1+F2117/100),ABS(D2117*E2117/F2117)),"")</f>
        <v/>
      </c>
      <c r="H2117" s="43" t="str">
        <f>IFERROR(G2117*E2100,"")</f>
        <v/>
      </c>
    </row>
    <row r="2118" spans="1:11" ht="12.75" customHeight="1" thickBot="1">
      <c r="A2118" s="35"/>
      <c r="B2118" s="36"/>
      <c r="C2118" s="37" t="str">
        <f t="array" ref="C2118">IFERROR(_xlfn.XLOOKUP(B2118,MObra[[#All],[DESCRIPCION]],MObra[[#All],[UN]],,0),"")</f>
        <v/>
      </c>
      <c r="D2118" s="38"/>
      <c r="E2118" s="39" t="str">
        <f>IFERROR(_xlfn.XLOOKUP($B2118,MObra[DESCRIPCION],MObra[VALOR UNIT],,0),"")</f>
        <v/>
      </c>
      <c r="F2118" s="40"/>
      <c r="G2118" s="41" t="str">
        <f>IFERROR(IF(F2118&gt;=0,D2118*E2118*(1+F2118/100),ABS(D2118*E2118/F2118)),"")</f>
        <v/>
      </c>
      <c r="H2118" s="42" t="str">
        <f>IFERROR(G2118*E2100,"")</f>
        <v/>
      </c>
    </row>
    <row r="2119" spans="1:11" ht="12.75" customHeight="1" thickTop="1" thickBot="1"/>
    <row r="2120" spans="1:11" ht="12.75" customHeight="1" thickTop="1" thickBot="1">
      <c r="A2120" s="6" t="s">
        <v>809</v>
      </c>
      <c r="B2120" s="7" t="str">
        <f>VLOOKUP($A2120,Presupuesto!$A:$D,2,FALSE())</f>
        <v>Tubería Hg 1/2" + accesorios</v>
      </c>
      <c r="C2120" s="8" t="str">
        <f>VLOOKUP($A2120,Presupuesto!$A:$D,3,FALSE())</f>
        <v>M</v>
      </c>
      <c r="D2120" s="9"/>
      <c r="E2120" s="10">
        <f>VLOOKUP($A2120,Presupuesto!$A:$D,4,FALSE())</f>
        <v>0</v>
      </c>
      <c r="F2120" s="11" t="s">
        <v>2589</v>
      </c>
      <c r="G2120" s="12">
        <f>SUM(G2122:G2138)/2</f>
        <v>20302.970210993753</v>
      </c>
      <c r="H2120" s="13">
        <f>ROUND(SUM(H2122:H2138),0)/2</f>
        <v>0</v>
      </c>
      <c r="I2120" s="10">
        <f>VLOOKUP(A2120,Presupuesto!$A:$F,6,0)</f>
        <v>0</v>
      </c>
      <c r="J2120" s="10">
        <f>+H2120-I2120</f>
        <v>0</v>
      </c>
      <c r="K2120" s="46">
        <f>+H2120-G2120*E2120</f>
        <v>0</v>
      </c>
    </row>
    <row r="2121" spans="1:11" ht="12.75" customHeight="1" thickTop="1">
      <c r="A2121" s="14"/>
      <c r="B2121" s="15" t="s">
        <v>2586</v>
      </c>
      <c r="C2121" s="15" t="s">
        <v>5</v>
      </c>
      <c r="D2121" s="16" t="s">
        <v>6</v>
      </c>
      <c r="E2121" s="17" t="s">
        <v>7</v>
      </c>
      <c r="F2121" s="18" t="s">
        <v>3728</v>
      </c>
      <c r="G2121" s="19" t="s">
        <v>3729</v>
      </c>
      <c r="H2121" s="20" t="s">
        <v>3797</v>
      </c>
    </row>
    <row r="2122" spans="1:11" ht="12.75" customHeight="1">
      <c r="A2122" s="21"/>
      <c r="B2122" s="22" t="s">
        <v>3730</v>
      </c>
      <c r="C2122" s="23"/>
      <c r="D2122" s="24"/>
      <c r="E2122" s="25"/>
      <c r="F2122" s="26"/>
      <c r="G2122" s="27">
        <f>SUM(G2123:G2127)</f>
        <v>12050.213</v>
      </c>
      <c r="H2122" s="27">
        <f>IFERROR(G2122*E2120,"")</f>
        <v>0</v>
      </c>
    </row>
    <row r="2123" spans="1:11" ht="12.75" customHeight="1">
      <c r="A2123" s="28"/>
      <c r="B2123" s="29" t="s">
        <v>3447</v>
      </c>
      <c r="C2123" s="30" t="str">
        <f>IFERROR(_xlfn.XLOOKUP(B2123,Insumo[DESCRIPCION],Insumo[UND],,0),"")</f>
        <v>M</v>
      </c>
      <c r="D2123" s="31">
        <v>1</v>
      </c>
      <c r="E2123" s="32">
        <f>IFERROR(_xlfn.XLOOKUP($B2123,Insumo[DESCRIPCION],Insumo[VALOR],,0),"")</f>
        <v>11119.85</v>
      </c>
      <c r="F2123" s="33">
        <v>3</v>
      </c>
      <c r="G2123" s="34">
        <f>IFERROR(IF(F2123&gt;=0,D2123*E2123*(1+F2123/100),ABS(D2123*E2123/F2123)),"")</f>
        <v>11453.4455</v>
      </c>
      <c r="H2123" s="43">
        <f>IFERROR(G2123*E2120,"")</f>
        <v>0</v>
      </c>
    </row>
    <row r="2124" spans="1:11" ht="12.75" customHeight="1">
      <c r="A2124" s="28"/>
      <c r="B2124" s="29" t="s">
        <v>2630</v>
      </c>
      <c r="C2124" s="30" t="str">
        <f>IFERROR(_xlfn.XLOOKUP(B2124,Insumo[DESCRIPCION],Insumo[UND],,0),"")</f>
        <v>Un</v>
      </c>
      <c r="D2124" s="31">
        <v>0.15</v>
      </c>
      <c r="E2124" s="32">
        <f>IFERROR(_xlfn.XLOOKUP($B2124,Insumo[DESCRIPCION],Insumo[VALOR],,0),"")</f>
        <v>3978.4500000000003</v>
      </c>
      <c r="F2124" s="33"/>
      <c r="G2124" s="34">
        <f>IFERROR(IF(F2124&gt;=0,D2124*E2124*(1+F2124/100),ABS(D2124*E2124/F2124)),"")</f>
        <v>596.76750000000004</v>
      </c>
      <c r="H2124" s="43">
        <f>IFERROR(G2124*E2120,"")</f>
        <v>0</v>
      </c>
    </row>
    <row r="2125" spans="1:11" ht="12.75" customHeight="1">
      <c r="A2125" s="28"/>
      <c r="B2125" s="29"/>
      <c r="C2125" s="30" t="str">
        <f>IFERROR(_xlfn.XLOOKUP(B2125,Insumo[DESCRIPCION],Insumo[UND],,0),"")</f>
        <v/>
      </c>
      <c r="D2125" s="31"/>
      <c r="E2125" s="32" t="str">
        <f>IFERROR(_xlfn.XLOOKUP($B2125,Insumo[DESCRIPCION],Insumo[VALOR],,0),"")</f>
        <v/>
      </c>
      <c r="F2125" s="33"/>
      <c r="G2125" s="34" t="str">
        <f>IFERROR(IF(F2125&gt;=0,D2125*E2125*(1+F2125/100),ABS(D2125*E2125/F2125)),"")</f>
        <v/>
      </c>
      <c r="H2125" s="43" t="str">
        <f>IFERROR(G2125*E2120,"")</f>
        <v/>
      </c>
    </row>
    <row r="2126" spans="1:11" ht="12.75" customHeight="1">
      <c r="A2126" s="28"/>
      <c r="B2126" s="29"/>
      <c r="C2126" s="30" t="str">
        <f>IFERROR(_xlfn.XLOOKUP(B2126,Insumo[DESCRIPCION],Insumo[UND],,0),"")</f>
        <v/>
      </c>
      <c r="D2126" s="31"/>
      <c r="E2126" s="32" t="str">
        <f>IFERROR(_xlfn.XLOOKUP($B2126,Insumo[DESCRIPCION],Insumo[VALOR],,0),"")</f>
        <v/>
      </c>
      <c r="F2126" s="33"/>
      <c r="G2126" s="34" t="str">
        <f>IFERROR(IF(F2126&gt;=0,D2126*E2126*(1+F2126/100),ABS(D2126*E2126/F2126)),"")</f>
        <v/>
      </c>
      <c r="H2126" s="43" t="str">
        <f>IFERROR(G2126*E2120,"")</f>
        <v/>
      </c>
    </row>
    <row r="2127" spans="1:11" ht="12.75" customHeight="1">
      <c r="A2127" s="28"/>
      <c r="B2127" s="29"/>
      <c r="C2127" s="30" t="str">
        <f>IFERROR(_xlfn.XLOOKUP(B2127,Insumo[DESCRIPCION],Insumo[UND],,0),"")</f>
        <v/>
      </c>
      <c r="D2127" s="31"/>
      <c r="E2127" s="32" t="str">
        <f>IFERROR(_xlfn.XLOOKUP($B2127,Insumo[DESCRIPCION],Insumo[VALOR],,0),"")</f>
        <v/>
      </c>
      <c r="F2127" s="33"/>
      <c r="G2127" s="34" t="str">
        <f>IFERROR(IF(F2127&gt;=0,D2127*E2127*(1+F2127/100),ABS(D2127*E2127/F2127)),"")</f>
        <v/>
      </c>
      <c r="H2127" s="43" t="str">
        <f>IFERROR(G2127*E2120,"")</f>
        <v/>
      </c>
    </row>
    <row r="2128" spans="1:11" ht="12.75" customHeight="1">
      <c r="A2128" s="21"/>
      <c r="B2128" s="22" t="s">
        <v>3731</v>
      </c>
      <c r="C2128" s="23"/>
      <c r="D2128" s="24"/>
      <c r="E2128" s="25"/>
      <c r="F2128" s="26"/>
      <c r="G2128" s="27">
        <f>SUM(G2129:G2131)</f>
        <v>392.98843861875008</v>
      </c>
      <c r="H2128" s="44">
        <f>G2128*E2120</f>
        <v>0</v>
      </c>
    </row>
    <row r="2129" spans="1:11" ht="12.75" customHeight="1">
      <c r="A2129" s="28"/>
      <c r="B2129" s="29" t="s">
        <v>3626</v>
      </c>
      <c r="C2129" s="30" t="str">
        <f>IFERROR(_xlfn.XLOOKUP(B2129,Equipo[DESCRIPCION],Equipo[UND],,0),"")</f>
        <v>%MO</v>
      </c>
      <c r="D2129" s="31">
        <v>0.05</v>
      </c>
      <c r="E2129" s="32">
        <f>IF(C2129="%MO",G2135,IFERROR(_xlfn.XLOOKUP($B2129,Equipo[DESCRIPCION],Equipo[VALOR],,0),""))</f>
        <v>7859.7687723750014</v>
      </c>
      <c r="F2129" s="33"/>
      <c r="G2129" s="34">
        <f>IFERROR(IF(F2129&gt;=0,D2129*E2129*(1+F2129/100),ABS(D2129*E2129/F2129)),"")</f>
        <v>392.98843861875008</v>
      </c>
      <c r="H2129" s="43">
        <f>IFERROR(G2129*E2120,"")</f>
        <v>0</v>
      </c>
    </row>
    <row r="2130" spans="1:11" ht="12.75" customHeight="1">
      <c r="A2130" s="28"/>
      <c r="B2130" s="29"/>
      <c r="C2130" s="30" t="str">
        <f>IFERROR(_xlfn.XLOOKUP(B2130,Equipo[DESCRIPCION],Equipo[UND],,0),"")</f>
        <v/>
      </c>
      <c r="D2130" s="31"/>
      <c r="E2130" s="32" t="str">
        <f>IF(C2130="%MO",G2135,IFERROR(_xlfn.XLOOKUP($B2130,Equipo[DESCRIPCION],Equipo[VALOR],,0),""))</f>
        <v/>
      </c>
      <c r="F2130" s="33"/>
      <c r="G2130" s="34" t="str">
        <f>IFERROR(IF(F2130&gt;=0,D2130*E2130*(1+F2130/100),ABS(D2130*E2130/F2130)),"")</f>
        <v/>
      </c>
      <c r="H2130" s="43" t="str">
        <f>IFERROR(G2130*E2120,"")</f>
        <v/>
      </c>
    </row>
    <row r="2131" spans="1:11" ht="12.75" customHeight="1">
      <c r="A2131" s="28"/>
      <c r="B2131" s="29"/>
      <c r="C2131" s="30" t="str">
        <f>IFERROR(_xlfn.XLOOKUP(B2131,Equipo[DESCRIPCION],Equipo[UND],,0),"")</f>
        <v/>
      </c>
      <c r="D2131" s="31"/>
      <c r="E2131" s="32" t="str">
        <f>IF(C2131="%MO",G2135,IFERROR(_xlfn.XLOOKUP($B2131,Equipo[DESCRIPCION],Equipo[VALOR],,0),""))</f>
        <v/>
      </c>
      <c r="F2131" s="33"/>
      <c r="G2131" s="34" t="str">
        <f>IFERROR(IF(F2131&gt;=0,D2131*E2131*(1+F2131/100),ABS(D2131*E2131/F2131)),"")</f>
        <v/>
      </c>
      <c r="H2131" s="43" t="str">
        <f>IFERROR(G2131*E2120,"")</f>
        <v/>
      </c>
    </row>
    <row r="2132" spans="1:11" ht="12.75" customHeight="1">
      <c r="A2132" s="21"/>
      <c r="B2132" s="22" t="s">
        <v>2533</v>
      </c>
      <c r="C2132" s="23"/>
      <c r="D2132" s="24"/>
      <c r="E2132" s="25"/>
      <c r="F2132" s="26"/>
      <c r="G2132" s="27">
        <f>SUM(G2133:G2134)</f>
        <v>0</v>
      </c>
      <c r="H2132" s="44">
        <f>G2132*E2120</f>
        <v>0</v>
      </c>
    </row>
    <row r="2133" spans="1:11" ht="12.75" customHeight="1">
      <c r="A2133" s="28"/>
      <c r="B2133" s="29"/>
      <c r="C2133" s="30" t="str">
        <f>IFERROR(_xlfn.XLOOKUP(B2133,Transporte[DESCRIPCION],Transporte[UND],,0),"")</f>
        <v/>
      </c>
      <c r="D2133" s="31"/>
      <c r="E2133" s="32" t="str">
        <f>IFERROR(_xlfn.XLOOKUP($B2133,Transporte[DESCRIPCION],Transporte[VALOR],,0),"")</f>
        <v/>
      </c>
      <c r="F2133" s="33"/>
      <c r="G2133" s="34" t="str">
        <f>IFERROR(IF(F2133&gt;=0,D2133*E2133*(1+F2133/100),ABS(D2133*E2133/F2133)),"")</f>
        <v/>
      </c>
      <c r="H2133" s="43" t="str">
        <f>IFERROR(G2133*E2120,"")</f>
        <v/>
      </c>
    </row>
    <row r="2134" spans="1:11" ht="12.75" customHeight="1">
      <c r="A2134" s="28"/>
      <c r="B2134" s="29"/>
      <c r="C2134" s="30" t="str">
        <f>IFERROR(_xlfn.XLOOKUP(B2134,Transporte[DESCRIPCION],Transporte[UND],,0),"")</f>
        <v/>
      </c>
      <c r="D2134" s="31"/>
      <c r="E2134" s="32" t="str">
        <f>IFERROR(_xlfn.XLOOKUP($B2134,Transporte[DESCRIPCION],Transporte[VALOR],,0),"")</f>
        <v/>
      </c>
      <c r="F2134" s="33"/>
      <c r="G2134" s="34" t="str">
        <f>IFERROR(IF(F2134&gt;=0,D2134*E2134*(1+F2134/100),ABS(D2134*E2134/F2134)),"")</f>
        <v/>
      </c>
      <c r="H2134" s="43" t="str">
        <f>IFERROR(G2134*E2120,"")</f>
        <v/>
      </c>
    </row>
    <row r="2135" spans="1:11" ht="12.75" customHeight="1">
      <c r="A2135" s="21"/>
      <c r="B2135" s="22" t="s">
        <v>3732</v>
      </c>
      <c r="C2135" s="23"/>
      <c r="D2135" s="24"/>
      <c r="E2135" s="25"/>
      <c r="F2135" s="26"/>
      <c r="G2135" s="27">
        <f>SUM(G2136:G2138)</f>
        <v>7859.7687723750014</v>
      </c>
      <c r="H2135" s="44">
        <f>G2135*E2120</f>
        <v>0</v>
      </c>
    </row>
    <row r="2136" spans="1:11" ht="12.75" customHeight="1">
      <c r="A2136" s="28"/>
      <c r="B2136" s="29" t="s">
        <v>3710</v>
      </c>
      <c r="C2136" s="30" t="str">
        <f>IFERROR(_xlfn.XLOOKUP(B2136,MObra[DESCRIPCION],MObra[UN],,0),"")</f>
        <v>día</v>
      </c>
      <c r="D2136" s="31">
        <v>1</v>
      </c>
      <c r="E2136" s="32">
        <f>IFERROR(_xlfn.XLOOKUP($B2136,MObra[DESCRIPCION],MObra[VALOR UNIT],,0),"")</f>
        <v>314390.75089500006</v>
      </c>
      <c r="F2136" s="33">
        <v>-40</v>
      </c>
      <c r="G2136" s="34">
        <f>IFERROR(IF(F2136&gt;=0,D2136*E2136*(1+F2136/100),ABS(D2136*E2136/F2136)),"")</f>
        <v>7859.7687723750014</v>
      </c>
      <c r="H2136" s="43">
        <f>IFERROR(G2136*E2120,"")</f>
        <v>0</v>
      </c>
    </row>
    <row r="2137" spans="1:11" ht="12.75" customHeight="1">
      <c r="A2137" s="28"/>
      <c r="B2137" s="29"/>
      <c r="C2137" s="30" t="str">
        <f t="array" ref="C2137">IFERROR(_xlfn.XLOOKUP(B2137,MObra[[#All],[DESCRIPCION]],MObra[[#All],[UN]],,0),"")</f>
        <v/>
      </c>
      <c r="D2137" s="31"/>
      <c r="E2137" s="32" t="str">
        <f>IFERROR(_xlfn.XLOOKUP($B2137,MObra[DESCRIPCION],MObra[VALOR UNIT],,0),"")</f>
        <v/>
      </c>
      <c r="F2137" s="33"/>
      <c r="G2137" s="34" t="str">
        <f>IFERROR(IF(F2137&gt;=0,D2137*E2137*(1+F2137/100),ABS(D2137*E2137/F2137)),"")</f>
        <v/>
      </c>
      <c r="H2137" s="43" t="str">
        <f>IFERROR(G2137*E2120,"")</f>
        <v/>
      </c>
    </row>
    <row r="2138" spans="1:11" ht="12.75" customHeight="1" thickBot="1">
      <c r="A2138" s="35"/>
      <c r="B2138" s="36"/>
      <c r="C2138" s="37" t="str">
        <f t="array" ref="C2138">IFERROR(_xlfn.XLOOKUP(B2138,MObra[[#All],[DESCRIPCION]],MObra[[#All],[UN]],,0),"")</f>
        <v/>
      </c>
      <c r="D2138" s="38"/>
      <c r="E2138" s="39" t="str">
        <f>IFERROR(_xlfn.XLOOKUP($B2138,MObra[DESCRIPCION],MObra[VALOR UNIT],,0),"")</f>
        <v/>
      </c>
      <c r="F2138" s="40"/>
      <c r="G2138" s="41" t="str">
        <f>IFERROR(IF(F2138&gt;=0,D2138*E2138*(1+F2138/100),ABS(D2138*E2138/F2138)),"")</f>
        <v/>
      </c>
      <c r="H2138" s="42" t="str">
        <f>IFERROR(G2138*E2120,"")</f>
        <v/>
      </c>
    </row>
    <row r="2139" spans="1:11" ht="12.75" customHeight="1" thickTop="1" thickBot="1"/>
    <row r="2140" spans="1:11" ht="12.75" customHeight="1" thickTop="1" thickBot="1">
      <c r="A2140" s="6" t="s">
        <v>811</v>
      </c>
      <c r="B2140" s="7" t="str">
        <f>VLOOKUP($A2140,Presupuesto!$A:$D,2,FALSE())</f>
        <v>Tubería Hg 3/4" + accesorios</v>
      </c>
      <c r="C2140" s="8" t="str">
        <f>VLOOKUP($A2140,Presupuesto!$A:$D,3,FALSE())</f>
        <v>M</v>
      </c>
      <c r="D2140" s="9"/>
      <c r="E2140" s="10">
        <f>VLOOKUP($A2140,Presupuesto!$A:$D,4,FALSE())</f>
        <v>0</v>
      </c>
      <c r="F2140" s="11" t="s">
        <v>2589</v>
      </c>
      <c r="G2140" s="12">
        <f>SUM(G2142:G2158)/2</f>
        <v>21562.205687560814</v>
      </c>
      <c r="H2140" s="13">
        <f>ROUND(SUM(H2142:H2158),0)/2</f>
        <v>0</v>
      </c>
      <c r="I2140" s="10">
        <f>VLOOKUP(A2140,Presupuesto!$A:$F,6,0)</f>
        <v>0</v>
      </c>
      <c r="J2140" s="10">
        <f>+H2140-I2140</f>
        <v>0</v>
      </c>
      <c r="K2140" s="46">
        <f>+H2140-G2140*E2140</f>
        <v>0</v>
      </c>
    </row>
    <row r="2141" spans="1:11" ht="12.75" customHeight="1" thickTop="1">
      <c r="A2141" s="14"/>
      <c r="B2141" s="15" t="s">
        <v>2586</v>
      </c>
      <c r="C2141" s="15" t="s">
        <v>5</v>
      </c>
      <c r="D2141" s="16" t="s">
        <v>6</v>
      </c>
      <c r="E2141" s="17" t="s">
        <v>7</v>
      </c>
      <c r="F2141" s="18" t="s">
        <v>3728</v>
      </c>
      <c r="G2141" s="19" t="s">
        <v>3729</v>
      </c>
      <c r="H2141" s="20" t="s">
        <v>3797</v>
      </c>
    </row>
    <row r="2142" spans="1:11" ht="12.75" customHeight="1">
      <c r="A2142" s="21"/>
      <c r="B2142" s="22" t="s">
        <v>3730</v>
      </c>
      <c r="C2142" s="23"/>
      <c r="D2142" s="24"/>
      <c r="E2142" s="25"/>
      <c r="F2142" s="26"/>
      <c r="G2142" s="27">
        <f>SUM(G2143:G2147)</f>
        <v>12640.306</v>
      </c>
      <c r="H2142" s="27">
        <f>IFERROR(G2142*E2140,"")</f>
        <v>0</v>
      </c>
    </row>
    <row r="2143" spans="1:11" ht="12.75" customHeight="1">
      <c r="A2143" s="28"/>
      <c r="B2143" s="29" t="s">
        <v>3451</v>
      </c>
      <c r="C2143" s="30" t="str">
        <f>IFERROR(_xlfn.XLOOKUP(B2143,Insumo[DESCRIPCION],Insumo[UND],,0),"")</f>
        <v>M</v>
      </c>
      <c r="D2143" s="31">
        <v>1</v>
      </c>
      <c r="E2143" s="32">
        <f>IFERROR(_xlfn.XLOOKUP($B2143,Insumo[DESCRIPCION],Insumo[VALOR],,0),"")</f>
        <v>11361.7</v>
      </c>
      <c r="F2143" s="33">
        <v>3</v>
      </c>
      <c r="G2143" s="34">
        <f>IFERROR(IF(F2143&gt;=0,D2143*E2143*(1+F2143/100),ABS(D2143*E2143/F2143)),"")</f>
        <v>11702.551000000001</v>
      </c>
      <c r="H2143" s="43">
        <f>IFERROR(G2143*E2140,"")</f>
        <v>0</v>
      </c>
    </row>
    <row r="2144" spans="1:11" ht="12.75" customHeight="1">
      <c r="A2144" s="28"/>
      <c r="B2144" s="29" t="s">
        <v>2634</v>
      </c>
      <c r="C2144" s="30" t="str">
        <f>IFERROR(_xlfn.XLOOKUP(B2144,Insumo[DESCRIPCION],Insumo[UND],,0),"")</f>
        <v>Un</v>
      </c>
      <c r="D2144" s="31">
        <v>0.15</v>
      </c>
      <c r="E2144" s="32">
        <f>IFERROR(_xlfn.XLOOKUP($B2144,Insumo[DESCRIPCION],Insumo[VALOR],,0),"")</f>
        <v>6251.7</v>
      </c>
      <c r="F2144" s="33"/>
      <c r="G2144" s="34">
        <f>IFERROR(IF(F2144&gt;=0,D2144*E2144*(1+F2144/100),ABS(D2144*E2144/F2144)),"")</f>
        <v>937.75499999999988</v>
      </c>
      <c r="H2144" s="43">
        <f>IFERROR(G2144*E2140,"")</f>
        <v>0</v>
      </c>
    </row>
    <row r="2145" spans="1:11" ht="12.75" customHeight="1">
      <c r="A2145" s="28"/>
      <c r="B2145" s="29"/>
      <c r="C2145" s="30" t="str">
        <f>IFERROR(_xlfn.XLOOKUP(B2145,Insumo[DESCRIPCION],Insumo[UND],,0),"")</f>
        <v/>
      </c>
      <c r="D2145" s="31"/>
      <c r="E2145" s="32" t="str">
        <f>IFERROR(_xlfn.XLOOKUP($B2145,Insumo[DESCRIPCION],Insumo[VALOR],,0),"")</f>
        <v/>
      </c>
      <c r="F2145" s="33"/>
      <c r="G2145" s="34" t="str">
        <f>IFERROR(IF(F2145&gt;=0,D2145*E2145*(1+F2145/100),ABS(D2145*E2145/F2145)),"")</f>
        <v/>
      </c>
      <c r="H2145" s="43" t="str">
        <f>IFERROR(G2145*E2140,"")</f>
        <v/>
      </c>
    </row>
    <row r="2146" spans="1:11" ht="12.75" customHeight="1">
      <c r="A2146" s="28"/>
      <c r="B2146" s="29"/>
      <c r="C2146" s="30" t="str">
        <f>IFERROR(_xlfn.XLOOKUP(B2146,Insumo[DESCRIPCION],Insumo[UND],,0),"")</f>
        <v/>
      </c>
      <c r="D2146" s="31"/>
      <c r="E2146" s="32" t="str">
        <f>IFERROR(_xlfn.XLOOKUP($B2146,Insumo[DESCRIPCION],Insumo[VALOR],,0),"")</f>
        <v/>
      </c>
      <c r="F2146" s="33"/>
      <c r="G2146" s="34" t="str">
        <f>IFERROR(IF(F2146&gt;=0,D2146*E2146*(1+F2146/100),ABS(D2146*E2146/F2146)),"")</f>
        <v/>
      </c>
      <c r="H2146" s="43" t="str">
        <f>IFERROR(G2146*E2140,"")</f>
        <v/>
      </c>
    </row>
    <row r="2147" spans="1:11" ht="12.75" customHeight="1">
      <c r="A2147" s="28"/>
      <c r="B2147" s="29"/>
      <c r="C2147" s="30" t="str">
        <f>IFERROR(_xlfn.XLOOKUP(B2147,Insumo[DESCRIPCION],Insumo[UND],,0),"")</f>
        <v/>
      </c>
      <c r="D2147" s="31"/>
      <c r="E2147" s="32" t="str">
        <f>IFERROR(_xlfn.XLOOKUP($B2147,Insumo[DESCRIPCION],Insumo[VALOR],,0),"")</f>
        <v/>
      </c>
      <c r="F2147" s="33"/>
      <c r="G2147" s="34" t="str">
        <f>IFERROR(IF(F2147&gt;=0,D2147*E2147*(1+F2147/100),ABS(D2147*E2147/F2147)),"")</f>
        <v/>
      </c>
      <c r="H2147" s="43" t="str">
        <f>IFERROR(G2147*E2140,"")</f>
        <v/>
      </c>
    </row>
    <row r="2148" spans="1:11" ht="12.75" customHeight="1">
      <c r="A2148" s="21"/>
      <c r="B2148" s="22" t="s">
        <v>3731</v>
      </c>
      <c r="C2148" s="23"/>
      <c r="D2148" s="24"/>
      <c r="E2148" s="25"/>
      <c r="F2148" s="26"/>
      <c r="G2148" s="27">
        <f>SUM(G2149:G2151)</f>
        <v>424.85236607432444</v>
      </c>
      <c r="H2148" s="44">
        <f>G2148*E2140</f>
        <v>0</v>
      </c>
    </row>
    <row r="2149" spans="1:11" ht="12.75" customHeight="1">
      <c r="A2149" s="28"/>
      <c r="B2149" s="29" t="s">
        <v>3626</v>
      </c>
      <c r="C2149" s="30" t="str">
        <f>IFERROR(_xlfn.XLOOKUP(B2149,Equipo[DESCRIPCION],Equipo[UND],,0),"")</f>
        <v>%MO</v>
      </c>
      <c r="D2149" s="31">
        <v>0.05</v>
      </c>
      <c r="E2149" s="32">
        <f>IF(C2149="%MO",G2155,IFERROR(_xlfn.XLOOKUP($B2149,Equipo[DESCRIPCION],Equipo[VALOR],,0),""))</f>
        <v>8497.0473214864887</v>
      </c>
      <c r="F2149" s="33"/>
      <c r="G2149" s="34">
        <f>IFERROR(IF(F2149&gt;=0,D2149*E2149*(1+F2149/100),ABS(D2149*E2149/F2149)),"")</f>
        <v>424.85236607432444</v>
      </c>
      <c r="H2149" s="43">
        <f>IFERROR(G2149*E2140,"")</f>
        <v>0</v>
      </c>
    </row>
    <row r="2150" spans="1:11" ht="12.75" customHeight="1">
      <c r="A2150" s="28"/>
      <c r="B2150" s="29"/>
      <c r="C2150" s="30" t="str">
        <f>IFERROR(_xlfn.XLOOKUP(B2150,Equipo[DESCRIPCION],Equipo[UND],,0),"")</f>
        <v/>
      </c>
      <c r="D2150" s="31"/>
      <c r="E2150" s="32" t="str">
        <f>IF(C2150="%MO",G2155,IFERROR(_xlfn.XLOOKUP($B2150,Equipo[DESCRIPCION],Equipo[VALOR],,0),""))</f>
        <v/>
      </c>
      <c r="F2150" s="33"/>
      <c r="G2150" s="34" t="str">
        <f>IFERROR(IF(F2150&gt;=0,D2150*E2150*(1+F2150/100),ABS(D2150*E2150/F2150)),"")</f>
        <v/>
      </c>
      <c r="H2150" s="43" t="str">
        <f>IFERROR(G2150*E2140,"")</f>
        <v/>
      </c>
    </row>
    <row r="2151" spans="1:11" ht="12.75" customHeight="1">
      <c r="A2151" s="28"/>
      <c r="B2151" s="29"/>
      <c r="C2151" s="30" t="str">
        <f>IFERROR(_xlfn.XLOOKUP(B2151,Equipo[DESCRIPCION],Equipo[UND],,0),"")</f>
        <v/>
      </c>
      <c r="D2151" s="31"/>
      <c r="E2151" s="32" t="str">
        <f>IF(C2151="%MO",G2155,IFERROR(_xlfn.XLOOKUP($B2151,Equipo[DESCRIPCION],Equipo[VALOR],,0),""))</f>
        <v/>
      </c>
      <c r="F2151" s="33"/>
      <c r="G2151" s="34" t="str">
        <f>IFERROR(IF(F2151&gt;=0,D2151*E2151*(1+F2151/100),ABS(D2151*E2151/F2151)),"")</f>
        <v/>
      </c>
      <c r="H2151" s="43" t="str">
        <f>IFERROR(G2151*E2140,"")</f>
        <v/>
      </c>
    </row>
    <row r="2152" spans="1:11" ht="12.75" customHeight="1">
      <c r="A2152" s="21"/>
      <c r="B2152" s="22" t="s">
        <v>2533</v>
      </c>
      <c r="C2152" s="23"/>
      <c r="D2152" s="24"/>
      <c r="E2152" s="25"/>
      <c r="F2152" s="26"/>
      <c r="G2152" s="27">
        <f>SUM(G2153:G2154)</f>
        <v>0</v>
      </c>
      <c r="H2152" s="44">
        <f>G2152*E2140</f>
        <v>0</v>
      </c>
    </row>
    <row r="2153" spans="1:11" ht="12.75" customHeight="1">
      <c r="A2153" s="28"/>
      <c r="B2153" s="29"/>
      <c r="C2153" s="30" t="str">
        <f>IFERROR(_xlfn.XLOOKUP(B2153,Transporte[DESCRIPCION],Transporte[UND],,0),"")</f>
        <v/>
      </c>
      <c r="D2153" s="31"/>
      <c r="E2153" s="32" t="str">
        <f>IFERROR(_xlfn.XLOOKUP($B2153,Transporte[DESCRIPCION],Transporte[VALOR],,0),"")</f>
        <v/>
      </c>
      <c r="F2153" s="33"/>
      <c r="G2153" s="34" t="str">
        <f>IFERROR(IF(F2153&gt;=0,D2153*E2153*(1+F2153/100),ABS(D2153*E2153/F2153)),"")</f>
        <v/>
      </c>
      <c r="H2153" s="43" t="str">
        <f>IFERROR(G2153*E2140,"")</f>
        <v/>
      </c>
    </row>
    <row r="2154" spans="1:11" ht="12.75" customHeight="1">
      <c r="A2154" s="28"/>
      <c r="B2154" s="29"/>
      <c r="C2154" s="30" t="str">
        <f>IFERROR(_xlfn.XLOOKUP(B2154,Transporte[DESCRIPCION],Transporte[UND],,0),"")</f>
        <v/>
      </c>
      <c r="D2154" s="31"/>
      <c r="E2154" s="32" t="str">
        <f>IFERROR(_xlfn.XLOOKUP($B2154,Transporte[DESCRIPCION],Transporte[VALOR],,0),"")</f>
        <v/>
      </c>
      <c r="F2154" s="33"/>
      <c r="G2154" s="34" t="str">
        <f>IFERROR(IF(F2154&gt;=0,D2154*E2154*(1+F2154/100),ABS(D2154*E2154/F2154)),"")</f>
        <v/>
      </c>
      <c r="H2154" s="43" t="str">
        <f>IFERROR(G2154*E2140,"")</f>
        <v/>
      </c>
    </row>
    <row r="2155" spans="1:11" ht="12.75" customHeight="1">
      <c r="A2155" s="21"/>
      <c r="B2155" s="22" t="s">
        <v>3732</v>
      </c>
      <c r="C2155" s="23"/>
      <c r="D2155" s="24"/>
      <c r="E2155" s="25"/>
      <c r="F2155" s="26"/>
      <c r="G2155" s="27">
        <f>SUM(G2156:G2158)</f>
        <v>8497.0473214864887</v>
      </c>
      <c r="H2155" s="44">
        <f>G2155*E2140</f>
        <v>0</v>
      </c>
    </row>
    <row r="2156" spans="1:11" ht="12.75" customHeight="1">
      <c r="A2156" s="28"/>
      <c r="B2156" s="29" t="s">
        <v>3710</v>
      </c>
      <c r="C2156" s="30" t="str">
        <f>IFERROR(_xlfn.XLOOKUP(B2156,MObra[DESCRIPCION],MObra[UN],,0),"")</f>
        <v>día</v>
      </c>
      <c r="D2156" s="31">
        <v>1</v>
      </c>
      <c r="E2156" s="32">
        <f>IFERROR(_xlfn.XLOOKUP($B2156,MObra[DESCRIPCION],MObra[VALOR UNIT],,0),"")</f>
        <v>314390.75089500006</v>
      </c>
      <c r="F2156" s="33">
        <v>-37</v>
      </c>
      <c r="G2156" s="34">
        <f>IFERROR(IF(F2156&gt;=0,D2156*E2156*(1+F2156/100),ABS(D2156*E2156/F2156)),"")</f>
        <v>8497.0473214864887</v>
      </c>
      <c r="H2156" s="43">
        <f>IFERROR(G2156*E2140,"")</f>
        <v>0</v>
      </c>
    </row>
    <row r="2157" spans="1:11" ht="12.75" customHeight="1">
      <c r="A2157" s="28"/>
      <c r="B2157" s="29"/>
      <c r="C2157" s="30" t="str">
        <f t="array" ref="C2157">IFERROR(_xlfn.XLOOKUP(B2157,MObra[[#All],[DESCRIPCION]],MObra[[#All],[UN]],,0),"")</f>
        <v/>
      </c>
      <c r="D2157" s="31"/>
      <c r="E2157" s="32" t="str">
        <f>IFERROR(_xlfn.XLOOKUP($B2157,MObra[DESCRIPCION],MObra[VALOR UNIT],,0),"")</f>
        <v/>
      </c>
      <c r="F2157" s="33"/>
      <c r="G2157" s="34" t="str">
        <f>IFERROR(IF(F2157&gt;=0,D2157*E2157*(1+F2157/100),ABS(D2157*E2157/F2157)),"")</f>
        <v/>
      </c>
      <c r="H2157" s="43" t="str">
        <f>IFERROR(G2157*E2140,"")</f>
        <v/>
      </c>
    </row>
    <row r="2158" spans="1:11" ht="12.75" customHeight="1" thickBot="1">
      <c r="A2158" s="35"/>
      <c r="B2158" s="36"/>
      <c r="C2158" s="37" t="str">
        <f t="array" ref="C2158">IFERROR(_xlfn.XLOOKUP(B2158,MObra[[#All],[DESCRIPCION]],MObra[[#All],[UN]],,0),"")</f>
        <v/>
      </c>
      <c r="D2158" s="38"/>
      <c r="E2158" s="39" t="str">
        <f>IFERROR(_xlfn.XLOOKUP($B2158,MObra[DESCRIPCION],MObra[VALOR UNIT],,0),"")</f>
        <v/>
      </c>
      <c r="F2158" s="40"/>
      <c r="G2158" s="41" t="str">
        <f>IFERROR(IF(F2158&gt;=0,D2158*E2158*(1+F2158/100),ABS(D2158*E2158/F2158)),"")</f>
        <v/>
      </c>
      <c r="H2158" s="42" t="str">
        <f>IFERROR(G2158*E2140,"")</f>
        <v/>
      </c>
    </row>
    <row r="2159" spans="1:11" ht="12.75" customHeight="1" thickTop="1" thickBot="1"/>
    <row r="2160" spans="1:11" ht="12.75" customHeight="1" thickTop="1" thickBot="1">
      <c r="A2160" s="6" t="s">
        <v>813</v>
      </c>
      <c r="B2160" s="7" t="str">
        <f>VLOOKUP($A2160,Presupuesto!$A:$D,2,FALSE())</f>
        <v>Tubería Hg 1" + accesorios</v>
      </c>
      <c r="C2160" s="8" t="str">
        <f>VLOOKUP($A2160,Presupuesto!$A:$D,3,FALSE())</f>
        <v>M</v>
      </c>
      <c r="D2160" s="9"/>
      <c r="E2160" s="10">
        <f>VLOOKUP($A2160,Presupuesto!$A:$D,4,FALSE())</f>
        <v>0</v>
      </c>
      <c r="F2160" s="11" t="s">
        <v>2589</v>
      </c>
      <c r="G2160" s="12">
        <f>SUM(G2162:G2178)/2</f>
        <v>26320.889687560812</v>
      </c>
      <c r="H2160" s="13">
        <f>ROUND(SUM(H2162:H2178),0)/2</f>
        <v>0</v>
      </c>
      <c r="I2160" s="10">
        <f>VLOOKUP(A2160,Presupuesto!$A:$F,6,0)</f>
        <v>0</v>
      </c>
      <c r="J2160" s="10">
        <f>+H2160-I2160</f>
        <v>0</v>
      </c>
      <c r="K2160" s="46">
        <f>+H2160-G2160*E2160</f>
        <v>0</v>
      </c>
    </row>
    <row r="2161" spans="1:8" ht="12.75" customHeight="1" thickTop="1">
      <c r="A2161" s="14"/>
      <c r="B2161" s="15" t="s">
        <v>2586</v>
      </c>
      <c r="C2161" s="15" t="s">
        <v>5</v>
      </c>
      <c r="D2161" s="16" t="s">
        <v>6</v>
      </c>
      <c r="E2161" s="17" t="s">
        <v>7</v>
      </c>
      <c r="F2161" s="18" t="s">
        <v>3728</v>
      </c>
      <c r="G2161" s="19" t="s">
        <v>3729</v>
      </c>
      <c r="H2161" s="20" t="s">
        <v>3797</v>
      </c>
    </row>
    <row r="2162" spans="1:8" ht="12.75" customHeight="1">
      <c r="A2162" s="21"/>
      <c r="B2162" s="22" t="s">
        <v>3730</v>
      </c>
      <c r="C2162" s="23"/>
      <c r="D2162" s="24"/>
      <c r="E2162" s="25"/>
      <c r="F2162" s="26"/>
      <c r="G2162" s="27">
        <f>SUM(G2163:G2167)</f>
        <v>17398.990000000002</v>
      </c>
      <c r="H2162" s="27">
        <f>IFERROR(G2162*E2160,"")</f>
        <v>0</v>
      </c>
    </row>
    <row r="2163" spans="1:8" ht="12.75" customHeight="1">
      <c r="A2163" s="28"/>
      <c r="B2163" s="29" t="s">
        <v>3446</v>
      </c>
      <c r="C2163" s="30" t="str">
        <f>IFERROR(_xlfn.XLOOKUP(B2163,Insumo[DESCRIPCION],Insumo[UND],,0),"")</f>
        <v>M</v>
      </c>
      <c r="D2163" s="31">
        <v>1</v>
      </c>
      <c r="E2163" s="32">
        <f>IFERROR(_xlfn.XLOOKUP($B2163,Insumo[DESCRIPCION],Insumo[VALOR],,0),"")</f>
        <v>15568</v>
      </c>
      <c r="F2163" s="33">
        <v>3</v>
      </c>
      <c r="G2163" s="34">
        <f>IFERROR(IF(F2163&gt;=0,D2163*E2163*(1+F2163/100),ABS(D2163*E2163/F2163)),"")</f>
        <v>16035.04</v>
      </c>
      <c r="H2163" s="43">
        <f>IFERROR(G2163*E2160,"")</f>
        <v>0</v>
      </c>
    </row>
    <row r="2164" spans="1:8" ht="12.75" customHeight="1">
      <c r="A2164" s="28"/>
      <c r="B2164" s="29" t="s">
        <v>2629</v>
      </c>
      <c r="C2164" s="30" t="str">
        <f>IFERROR(_xlfn.XLOOKUP(B2164,Insumo[DESCRIPCION],Insumo[UND],,0),"")</f>
        <v>Un</v>
      </c>
      <c r="D2164" s="31">
        <v>0.15</v>
      </c>
      <c r="E2164" s="32">
        <f>IFERROR(_xlfn.XLOOKUP($B2164,Insumo[DESCRIPCION],Insumo[VALOR],,0),"")</f>
        <v>9093</v>
      </c>
      <c r="F2164" s="33"/>
      <c r="G2164" s="34">
        <f>IFERROR(IF(F2164&gt;=0,D2164*E2164*(1+F2164/100),ABS(D2164*E2164/F2164)),"")</f>
        <v>1363.95</v>
      </c>
      <c r="H2164" s="43">
        <f>IFERROR(G2164*E2160,"")</f>
        <v>0</v>
      </c>
    </row>
    <row r="2165" spans="1:8" ht="12.75" customHeight="1">
      <c r="A2165" s="28"/>
      <c r="B2165" s="29"/>
      <c r="C2165" s="30" t="str">
        <f>IFERROR(_xlfn.XLOOKUP(B2165,Insumo[DESCRIPCION],Insumo[UND],,0),"")</f>
        <v/>
      </c>
      <c r="D2165" s="31"/>
      <c r="E2165" s="32" t="str">
        <f>IFERROR(_xlfn.XLOOKUP($B2165,Insumo[DESCRIPCION],Insumo[VALOR],,0),"")</f>
        <v/>
      </c>
      <c r="F2165" s="33"/>
      <c r="G2165" s="34" t="str">
        <f>IFERROR(IF(F2165&gt;=0,D2165*E2165*(1+F2165/100),ABS(D2165*E2165/F2165)),"")</f>
        <v/>
      </c>
      <c r="H2165" s="43" t="str">
        <f>IFERROR(G2165*E2160,"")</f>
        <v/>
      </c>
    </row>
    <row r="2166" spans="1:8" ht="12.75" customHeight="1">
      <c r="A2166" s="28"/>
      <c r="B2166" s="29"/>
      <c r="C2166" s="30" t="str">
        <f>IFERROR(_xlfn.XLOOKUP(B2166,Insumo[DESCRIPCION],Insumo[UND],,0),"")</f>
        <v/>
      </c>
      <c r="D2166" s="31"/>
      <c r="E2166" s="32" t="str">
        <f>IFERROR(_xlfn.XLOOKUP($B2166,Insumo[DESCRIPCION],Insumo[VALOR],,0),"")</f>
        <v/>
      </c>
      <c r="F2166" s="33"/>
      <c r="G2166" s="34" t="str">
        <f>IFERROR(IF(F2166&gt;=0,D2166*E2166*(1+F2166/100),ABS(D2166*E2166/F2166)),"")</f>
        <v/>
      </c>
      <c r="H2166" s="43" t="str">
        <f>IFERROR(G2166*E2160,"")</f>
        <v/>
      </c>
    </row>
    <row r="2167" spans="1:8" ht="12.75" customHeight="1">
      <c r="A2167" s="28"/>
      <c r="B2167" s="29"/>
      <c r="C2167" s="30" t="str">
        <f>IFERROR(_xlfn.XLOOKUP(B2167,Insumo[DESCRIPCION],Insumo[UND],,0),"")</f>
        <v/>
      </c>
      <c r="D2167" s="31"/>
      <c r="E2167" s="32" t="str">
        <f>IFERROR(_xlfn.XLOOKUP($B2167,Insumo[DESCRIPCION],Insumo[VALOR],,0),"")</f>
        <v/>
      </c>
      <c r="F2167" s="33"/>
      <c r="G2167" s="34" t="str">
        <f>IFERROR(IF(F2167&gt;=0,D2167*E2167*(1+F2167/100),ABS(D2167*E2167/F2167)),"")</f>
        <v/>
      </c>
      <c r="H2167" s="43" t="str">
        <f>IFERROR(G2167*E2160,"")</f>
        <v/>
      </c>
    </row>
    <row r="2168" spans="1:8" ht="12.75" customHeight="1">
      <c r="A2168" s="21"/>
      <c r="B2168" s="22" t="s">
        <v>3731</v>
      </c>
      <c r="C2168" s="23"/>
      <c r="D2168" s="24"/>
      <c r="E2168" s="25"/>
      <c r="F2168" s="26"/>
      <c r="G2168" s="27">
        <f>SUM(G2169:G2171)</f>
        <v>424.85236607432444</v>
      </c>
      <c r="H2168" s="44">
        <f>G2168*E2160</f>
        <v>0</v>
      </c>
    </row>
    <row r="2169" spans="1:8" ht="12.75" customHeight="1">
      <c r="A2169" s="28"/>
      <c r="B2169" s="29" t="s">
        <v>3626</v>
      </c>
      <c r="C2169" s="30" t="str">
        <f>IFERROR(_xlfn.XLOOKUP(B2169,Equipo[DESCRIPCION],Equipo[UND],,0),"")</f>
        <v>%MO</v>
      </c>
      <c r="D2169" s="31">
        <v>0.05</v>
      </c>
      <c r="E2169" s="32">
        <f>IF(C2169="%MO",G2175,IFERROR(_xlfn.XLOOKUP($B2169,Equipo[DESCRIPCION],Equipo[VALOR],,0),""))</f>
        <v>8497.0473214864887</v>
      </c>
      <c r="F2169" s="33"/>
      <c r="G2169" s="34">
        <f>IFERROR(IF(F2169&gt;=0,D2169*E2169*(1+F2169/100),ABS(D2169*E2169/F2169)),"")</f>
        <v>424.85236607432444</v>
      </c>
      <c r="H2169" s="43">
        <f>IFERROR(G2169*E2160,"")</f>
        <v>0</v>
      </c>
    </row>
    <row r="2170" spans="1:8" ht="12.75" customHeight="1">
      <c r="A2170" s="28"/>
      <c r="B2170" s="29"/>
      <c r="C2170" s="30" t="str">
        <f>IFERROR(_xlfn.XLOOKUP(B2170,Equipo[DESCRIPCION],Equipo[UND],,0),"")</f>
        <v/>
      </c>
      <c r="D2170" s="31"/>
      <c r="E2170" s="32" t="str">
        <f>IF(C2170="%MO",G2175,IFERROR(_xlfn.XLOOKUP($B2170,Equipo[DESCRIPCION],Equipo[VALOR],,0),""))</f>
        <v/>
      </c>
      <c r="F2170" s="33"/>
      <c r="G2170" s="34" t="str">
        <f>IFERROR(IF(F2170&gt;=0,D2170*E2170*(1+F2170/100),ABS(D2170*E2170/F2170)),"")</f>
        <v/>
      </c>
      <c r="H2170" s="43" t="str">
        <f>IFERROR(G2170*E2160,"")</f>
        <v/>
      </c>
    </row>
    <row r="2171" spans="1:8" ht="12.75" customHeight="1">
      <c r="A2171" s="28"/>
      <c r="B2171" s="29"/>
      <c r="C2171" s="30" t="str">
        <f>IFERROR(_xlfn.XLOOKUP(B2171,Equipo[DESCRIPCION],Equipo[UND],,0),"")</f>
        <v/>
      </c>
      <c r="D2171" s="31"/>
      <c r="E2171" s="32" t="str">
        <f>IF(C2171="%MO",G2175,IFERROR(_xlfn.XLOOKUP($B2171,Equipo[DESCRIPCION],Equipo[VALOR],,0),""))</f>
        <v/>
      </c>
      <c r="F2171" s="33"/>
      <c r="G2171" s="34" t="str">
        <f>IFERROR(IF(F2171&gt;=0,D2171*E2171*(1+F2171/100),ABS(D2171*E2171/F2171)),"")</f>
        <v/>
      </c>
      <c r="H2171" s="43" t="str">
        <f>IFERROR(G2171*E2160,"")</f>
        <v/>
      </c>
    </row>
    <row r="2172" spans="1:8" ht="12.75" customHeight="1">
      <c r="A2172" s="21"/>
      <c r="B2172" s="22" t="s">
        <v>2533</v>
      </c>
      <c r="C2172" s="23"/>
      <c r="D2172" s="24"/>
      <c r="E2172" s="25"/>
      <c r="F2172" s="26"/>
      <c r="G2172" s="27">
        <f>SUM(G2173:G2174)</f>
        <v>0</v>
      </c>
      <c r="H2172" s="44">
        <f>G2172*E2160</f>
        <v>0</v>
      </c>
    </row>
    <row r="2173" spans="1:8" ht="12.75" customHeight="1">
      <c r="A2173" s="28"/>
      <c r="B2173" s="29"/>
      <c r="C2173" s="30" t="str">
        <f>IFERROR(_xlfn.XLOOKUP(B2173,Transporte[DESCRIPCION],Transporte[UND],,0),"")</f>
        <v/>
      </c>
      <c r="D2173" s="31"/>
      <c r="E2173" s="32" t="str">
        <f>IFERROR(_xlfn.XLOOKUP($B2173,Transporte[DESCRIPCION],Transporte[VALOR],,0),"")</f>
        <v/>
      </c>
      <c r="F2173" s="33"/>
      <c r="G2173" s="34" t="str">
        <f>IFERROR(IF(F2173&gt;=0,D2173*E2173*(1+F2173/100),ABS(D2173*E2173/F2173)),"")</f>
        <v/>
      </c>
      <c r="H2173" s="43" t="str">
        <f>IFERROR(G2173*E2160,"")</f>
        <v/>
      </c>
    </row>
    <row r="2174" spans="1:8" ht="12.75" customHeight="1">
      <c r="A2174" s="28"/>
      <c r="B2174" s="29"/>
      <c r="C2174" s="30" t="str">
        <f>IFERROR(_xlfn.XLOOKUP(B2174,Transporte[DESCRIPCION],Transporte[UND],,0),"")</f>
        <v/>
      </c>
      <c r="D2174" s="31"/>
      <c r="E2174" s="32" t="str">
        <f>IFERROR(_xlfn.XLOOKUP($B2174,Transporte[DESCRIPCION],Transporte[VALOR],,0),"")</f>
        <v/>
      </c>
      <c r="F2174" s="33"/>
      <c r="G2174" s="34" t="str">
        <f>IFERROR(IF(F2174&gt;=0,D2174*E2174*(1+F2174/100),ABS(D2174*E2174/F2174)),"")</f>
        <v/>
      </c>
      <c r="H2174" s="43" t="str">
        <f>IFERROR(G2174*E2160,"")</f>
        <v/>
      </c>
    </row>
    <row r="2175" spans="1:8" ht="12.75" customHeight="1">
      <c r="A2175" s="21"/>
      <c r="B2175" s="22" t="s">
        <v>3732</v>
      </c>
      <c r="C2175" s="23"/>
      <c r="D2175" s="24"/>
      <c r="E2175" s="25"/>
      <c r="F2175" s="26"/>
      <c r="G2175" s="27">
        <f>SUM(G2176:G2178)</f>
        <v>8497.0473214864887</v>
      </c>
      <c r="H2175" s="44">
        <f>G2175*E2160</f>
        <v>0</v>
      </c>
    </row>
    <row r="2176" spans="1:8" ht="12.75" customHeight="1">
      <c r="A2176" s="28"/>
      <c r="B2176" s="29" t="s">
        <v>3710</v>
      </c>
      <c r="C2176" s="30" t="str">
        <f>IFERROR(_xlfn.XLOOKUP(B2176,MObra[DESCRIPCION],MObra[UN],,0),"")</f>
        <v>día</v>
      </c>
      <c r="D2176" s="31">
        <v>1</v>
      </c>
      <c r="E2176" s="32">
        <f>IFERROR(_xlfn.XLOOKUP($B2176,MObra[DESCRIPCION],MObra[VALOR UNIT],,0),"")</f>
        <v>314390.75089500006</v>
      </c>
      <c r="F2176" s="33">
        <v>-37</v>
      </c>
      <c r="G2176" s="34">
        <f>IFERROR(IF(F2176&gt;=0,D2176*E2176*(1+F2176/100),ABS(D2176*E2176/F2176)),"")</f>
        <v>8497.0473214864887</v>
      </c>
      <c r="H2176" s="43">
        <f>IFERROR(G2176*E2160,"")</f>
        <v>0</v>
      </c>
    </row>
    <row r="2177" spans="1:11" ht="12.75" customHeight="1">
      <c r="A2177" s="28"/>
      <c r="B2177" s="29"/>
      <c r="C2177" s="30" t="str">
        <f t="array" ref="C2177">IFERROR(_xlfn.XLOOKUP(B2177,MObra[[#All],[DESCRIPCION]],MObra[[#All],[UN]],,0),"")</f>
        <v/>
      </c>
      <c r="D2177" s="31"/>
      <c r="E2177" s="32" t="str">
        <f>IFERROR(_xlfn.XLOOKUP($B2177,MObra[DESCRIPCION],MObra[VALOR UNIT],,0),"")</f>
        <v/>
      </c>
      <c r="F2177" s="33"/>
      <c r="G2177" s="34" t="str">
        <f>IFERROR(IF(F2177&gt;=0,D2177*E2177*(1+F2177/100),ABS(D2177*E2177/F2177)),"")</f>
        <v/>
      </c>
      <c r="H2177" s="43" t="str">
        <f>IFERROR(G2177*E2160,"")</f>
        <v/>
      </c>
    </row>
    <row r="2178" spans="1:11" ht="12.75" customHeight="1" thickBot="1">
      <c r="A2178" s="35"/>
      <c r="B2178" s="36"/>
      <c r="C2178" s="37" t="str">
        <f t="array" ref="C2178">IFERROR(_xlfn.XLOOKUP(B2178,MObra[[#All],[DESCRIPCION]],MObra[[#All],[UN]],,0),"")</f>
        <v/>
      </c>
      <c r="D2178" s="38"/>
      <c r="E2178" s="39" t="str">
        <f>IFERROR(_xlfn.XLOOKUP($B2178,MObra[DESCRIPCION],MObra[VALOR UNIT],,0),"")</f>
        <v/>
      </c>
      <c r="F2178" s="40"/>
      <c r="G2178" s="41" t="str">
        <f>IFERROR(IF(F2178&gt;=0,D2178*E2178*(1+F2178/100),ABS(D2178*E2178/F2178)),"")</f>
        <v/>
      </c>
      <c r="H2178" s="42" t="str">
        <f>IFERROR(G2178*E2160,"")</f>
        <v/>
      </c>
    </row>
    <row r="2179" spans="1:11" ht="12.75" customHeight="1" thickTop="1" thickBot="1"/>
    <row r="2180" spans="1:11" ht="12.75" customHeight="1" thickTop="1" thickBot="1">
      <c r="A2180" s="6" t="s">
        <v>815</v>
      </c>
      <c r="B2180" s="7" t="str">
        <f>VLOOKUP($A2180,Presupuesto!$A:$D,2,FALSE())</f>
        <v>Tubería Hg 1 - 1/4" + accesorios</v>
      </c>
      <c r="C2180" s="8" t="str">
        <f>VLOOKUP($A2180,Presupuesto!$A:$D,3,FALSE())</f>
        <v>M</v>
      </c>
      <c r="D2180" s="9"/>
      <c r="E2180" s="10">
        <f>VLOOKUP($A2180,Presupuesto!$A:$D,4,FALSE())</f>
        <v>0</v>
      </c>
      <c r="F2180" s="11" t="s">
        <v>2589</v>
      </c>
      <c r="G2180" s="12">
        <f>SUM(G2182:G2198)/2</f>
        <v>32342.846776849998</v>
      </c>
      <c r="H2180" s="13">
        <f>ROUND(SUM(H2182:H2198),0)/2</f>
        <v>0</v>
      </c>
      <c r="I2180" s="10">
        <f>VLOOKUP(A2180,Presupuesto!$A:$F,6,0)</f>
        <v>0</v>
      </c>
      <c r="J2180" s="10">
        <f>+H2180-I2180</f>
        <v>0</v>
      </c>
      <c r="K2180" s="46">
        <f>+H2180-G2180*E2180</f>
        <v>0</v>
      </c>
    </row>
    <row r="2181" spans="1:11" ht="12.75" customHeight="1" thickTop="1">
      <c r="A2181" s="14"/>
      <c r="B2181" s="15" t="s">
        <v>2586</v>
      </c>
      <c r="C2181" s="15" t="s">
        <v>5</v>
      </c>
      <c r="D2181" s="16" t="s">
        <v>6</v>
      </c>
      <c r="E2181" s="17" t="s">
        <v>7</v>
      </c>
      <c r="F2181" s="18" t="s">
        <v>3728</v>
      </c>
      <c r="G2181" s="19" t="s">
        <v>3729</v>
      </c>
      <c r="H2181" s="20" t="s">
        <v>3797</v>
      </c>
    </row>
    <row r="2182" spans="1:11" ht="12.75" customHeight="1">
      <c r="A2182" s="21"/>
      <c r="B2182" s="22" t="s">
        <v>3730</v>
      </c>
      <c r="C2182" s="23"/>
      <c r="D2182" s="24"/>
      <c r="E2182" s="25"/>
      <c r="F2182" s="26"/>
      <c r="G2182" s="27">
        <f>SUM(G2183:G2187)</f>
        <v>22911.124249999997</v>
      </c>
      <c r="H2182" s="27">
        <f>IFERROR(G2182*E2180,"")</f>
        <v>0</v>
      </c>
    </row>
    <row r="2183" spans="1:11" ht="12.75" customHeight="1">
      <c r="A2183" s="28"/>
      <c r="B2183" s="29" t="s">
        <v>3445</v>
      </c>
      <c r="C2183" s="30" t="str">
        <f>IFERROR(_xlfn.XLOOKUP(B2183,Insumo[DESCRIPCION],Insumo[UND],,0),"")</f>
        <v>M</v>
      </c>
      <c r="D2183" s="31">
        <v>1</v>
      </c>
      <c r="E2183" s="32">
        <f>IFERROR(_xlfn.XLOOKUP($B2183,Insumo[DESCRIPCION],Insumo[VALOR],,0),"")</f>
        <v>20257.474999999999</v>
      </c>
      <c r="F2183" s="33">
        <v>3</v>
      </c>
      <c r="G2183" s="34">
        <f>IFERROR(IF(F2183&gt;=0,D2183*E2183*(1+F2183/100),ABS(D2183*E2183/F2183)),"")</f>
        <v>20865.199249999998</v>
      </c>
      <c r="H2183" s="43">
        <f>IFERROR(G2183*E2180,"")</f>
        <v>0</v>
      </c>
    </row>
    <row r="2184" spans="1:11" ht="12.75" customHeight="1">
      <c r="A2184" s="28"/>
      <c r="B2184" s="29" t="s">
        <v>2628</v>
      </c>
      <c r="C2184" s="30" t="str">
        <f>IFERROR(_xlfn.XLOOKUP(B2184,Insumo[DESCRIPCION],Insumo[UND],,0),"")</f>
        <v>Un</v>
      </c>
      <c r="D2184" s="31">
        <v>0.15</v>
      </c>
      <c r="E2184" s="32">
        <f>IFERROR(_xlfn.XLOOKUP($B2184,Insumo[DESCRIPCION],Insumo[VALOR],,0),"")</f>
        <v>13639.5</v>
      </c>
      <c r="F2184" s="33"/>
      <c r="G2184" s="34">
        <f>IFERROR(IF(F2184&gt;=0,D2184*E2184*(1+F2184/100),ABS(D2184*E2184/F2184)),"")</f>
        <v>2045.925</v>
      </c>
      <c r="H2184" s="43">
        <f>IFERROR(G2184*E2180,"")</f>
        <v>0</v>
      </c>
    </row>
    <row r="2185" spans="1:11" ht="12.75" customHeight="1">
      <c r="A2185" s="28"/>
      <c r="B2185" s="29"/>
      <c r="C2185" s="30" t="str">
        <f>IFERROR(_xlfn.XLOOKUP(B2185,Insumo[DESCRIPCION],Insumo[UND],,0),"")</f>
        <v/>
      </c>
      <c r="D2185" s="31"/>
      <c r="E2185" s="32" t="str">
        <f>IFERROR(_xlfn.XLOOKUP($B2185,Insumo[DESCRIPCION],Insumo[VALOR],,0),"")</f>
        <v/>
      </c>
      <c r="F2185" s="33"/>
      <c r="G2185" s="34" t="str">
        <f>IFERROR(IF(F2185&gt;=0,D2185*E2185*(1+F2185/100),ABS(D2185*E2185/F2185)),"")</f>
        <v/>
      </c>
      <c r="H2185" s="43" t="str">
        <f>IFERROR(G2185*E2180,"")</f>
        <v/>
      </c>
    </row>
    <row r="2186" spans="1:11" ht="12.75" customHeight="1">
      <c r="A2186" s="28"/>
      <c r="B2186" s="29"/>
      <c r="C2186" s="30" t="str">
        <f>IFERROR(_xlfn.XLOOKUP(B2186,Insumo[DESCRIPCION],Insumo[UND],,0),"")</f>
        <v/>
      </c>
      <c r="D2186" s="31"/>
      <c r="E2186" s="32" t="str">
        <f>IFERROR(_xlfn.XLOOKUP($B2186,Insumo[DESCRIPCION],Insumo[VALOR],,0),"")</f>
        <v/>
      </c>
      <c r="F2186" s="33"/>
      <c r="G2186" s="34" t="str">
        <f>IFERROR(IF(F2186&gt;=0,D2186*E2186*(1+F2186/100),ABS(D2186*E2186/F2186)),"")</f>
        <v/>
      </c>
      <c r="H2186" s="43" t="str">
        <f>IFERROR(G2186*E2180,"")</f>
        <v/>
      </c>
    </row>
    <row r="2187" spans="1:11" ht="12.75" customHeight="1">
      <c r="A2187" s="28"/>
      <c r="B2187" s="29"/>
      <c r="C2187" s="30" t="str">
        <f>IFERROR(_xlfn.XLOOKUP(B2187,Insumo[DESCRIPCION],Insumo[UND],,0),"")</f>
        <v/>
      </c>
      <c r="D2187" s="31"/>
      <c r="E2187" s="32" t="str">
        <f>IFERROR(_xlfn.XLOOKUP($B2187,Insumo[DESCRIPCION],Insumo[VALOR],,0),"")</f>
        <v/>
      </c>
      <c r="F2187" s="33"/>
      <c r="G2187" s="34" t="str">
        <f>IFERROR(IF(F2187&gt;=0,D2187*E2187*(1+F2187/100),ABS(D2187*E2187/F2187)),"")</f>
        <v/>
      </c>
      <c r="H2187" s="43" t="str">
        <f>IFERROR(G2187*E2180,"")</f>
        <v/>
      </c>
    </row>
    <row r="2188" spans="1:11" ht="12.75" customHeight="1">
      <c r="A2188" s="21"/>
      <c r="B2188" s="22" t="s">
        <v>3731</v>
      </c>
      <c r="C2188" s="23"/>
      <c r="D2188" s="24"/>
      <c r="E2188" s="25"/>
      <c r="F2188" s="26"/>
      <c r="G2188" s="27">
        <f>SUM(G2189:G2191)</f>
        <v>449.12964413571439</v>
      </c>
      <c r="H2188" s="44">
        <f>G2188*E2180</f>
        <v>0</v>
      </c>
    </row>
    <row r="2189" spans="1:11" ht="12.75" customHeight="1">
      <c r="A2189" s="28"/>
      <c r="B2189" s="29" t="s">
        <v>3626</v>
      </c>
      <c r="C2189" s="30" t="str">
        <f>IFERROR(_xlfn.XLOOKUP(B2189,Equipo[DESCRIPCION],Equipo[UND],,0),"")</f>
        <v>%MO</v>
      </c>
      <c r="D2189" s="31">
        <v>0.05</v>
      </c>
      <c r="E2189" s="32">
        <f>IF(C2189="%MO",G2195,IFERROR(_xlfn.XLOOKUP($B2189,Equipo[DESCRIPCION],Equipo[VALOR],,0),""))</f>
        <v>8982.592882714287</v>
      </c>
      <c r="F2189" s="33"/>
      <c r="G2189" s="34">
        <f>IFERROR(IF(F2189&gt;=0,D2189*E2189*(1+F2189/100),ABS(D2189*E2189/F2189)),"")</f>
        <v>449.12964413571439</v>
      </c>
      <c r="H2189" s="43">
        <f>IFERROR(G2189*E2180,"")</f>
        <v>0</v>
      </c>
    </row>
    <row r="2190" spans="1:11" ht="12.75" customHeight="1">
      <c r="A2190" s="28"/>
      <c r="B2190" s="29"/>
      <c r="C2190" s="30" t="str">
        <f>IFERROR(_xlfn.XLOOKUP(B2190,Equipo[DESCRIPCION],Equipo[UND],,0),"")</f>
        <v/>
      </c>
      <c r="D2190" s="31"/>
      <c r="E2190" s="32" t="str">
        <f>IF(C2190="%MO",G2195,IFERROR(_xlfn.XLOOKUP($B2190,Equipo[DESCRIPCION],Equipo[VALOR],,0),""))</f>
        <v/>
      </c>
      <c r="F2190" s="33"/>
      <c r="G2190" s="34" t="str">
        <f>IFERROR(IF(F2190&gt;=0,D2190*E2190*(1+F2190/100),ABS(D2190*E2190/F2190)),"")</f>
        <v/>
      </c>
      <c r="H2190" s="43" t="str">
        <f>IFERROR(G2190*E2180,"")</f>
        <v/>
      </c>
    </row>
    <row r="2191" spans="1:11" ht="12.75" customHeight="1">
      <c r="A2191" s="28"/>
      <c r="B2191" s="29"/>
      <c r="C2191" s="30" t="str">
        <f>IFERROR(_xlfn.XLOOKUP(B2191,Equipo[DESCRIPCION],Equipo[UND],,0),"")</f>
        <v/>
      </c>
      <c r="D2191" s="31"/>
      <c r="E2191" s="32" t="str">
        <f>IF(C2191="%MO",G2195,IFERROR(_xlfn.XLOOKUP($B2191,Equipo[DESCRIPCION],Equipo[VALOR],,0),""))</f>
        <v/>
      </c>
      <c r="F2191" s="33"/>
      <c r="G2191" s="34" t="str">
        <f>IFERROR(IF(F2191&gt;=0,D2191*E2191*(1+F2191/100),ABS(D2191*E2191/F2191)),"")</f>
        <v/>
      </c>
      <c r="H2191" s="43" t="str">
        <f>IFERROR(G2191*E2180,"")</f>
        <v/>
      </c>
    </row>
    <row r="2192" spans="1:11" ht="12.75" customHeight="1">
      <c r="A2192" s="21"/>
      <c r="B2192" s="22" t="s">
        <v>2533</v>
      </c>
      <c r="C2192" s="23"/>
      <c r="D2192" s="24"/>
      <c r="E2192" s="25"/>
      <c r="F2192" s="26"/>
      <c r="G2192" s="27">
        <f>SUM(G2193:G2194)</f>
        <v>0</v>
      </c>
      <c r="H2192" s="44">
        <f>G2192*E2180</f>
        <v>0</v>
      </c>
    </row>
    <row r="2193" spans="1:11" ht="12.75" customHeight="1">
      <c r="A2193" s="28"/>
      <c r="B2193" s="29"/>
      <c r="C2193" s="30" t="str">
        <f>IFERROR(_xlfn.XLOOKUP(B2193,Transporte[DESCRIPCION],Transporte[UND],,0),"")</f>
        <v/>
      </c>
      <c r="D2193" s="31"/>
      <c r="E2193" s="32" t="str">
        <f>IFERROR(_xlfn.XLOOKUP($B2193,Transporte[DESCRIPCION],Transporte[VALOR],,0),"")</f>
        <v/>
      </c>
      <c r="F2193" s="33"/>
      <c r="G2193" s="34" t="str">
        <f>IFERROR(IF(F2193&gt;=0,D2193*E2193*(1+F2193/100),ABS(D2193*E2193/F2193)),"")</f>
        <v/>
      </c>
      <c r="H2193" s="43" t="str">
        <f>IFERROR(G2193*E2180,"")</f>
        <v/>
      </c>
    </row>
    <row r="2194" spans="1:11" ht="12.75" customHeight="1">
      <c r="A2194" s="28"/>
      <c r="B2194" s="29"/>
      <c r="C2194" s="30" t="str">
        <f>IFERROR(_xlfn.XLOOKUP(B2194,Transporte[DESCRIPCION],Transporte[UND],,0),"")</f>
        <v/>
      </c>
      <c r="D2194" s="31"/>
      <c r="E2194" s="32" t="str">
        <f>IFERROR(_xlfn.XLOOKUP($B2194,Transporte[DESCRIPCION],Transporte[VALOR],,0),"")</f>
        <v/>
      </c>
      <c r="F2194" s="33"/>
      <c r="G2194" s="34" t="str">
        <f>IFERROR(IF(F2194&gt;=0,D2194*E2194*(1+F2194/100),ABS(D2194*E2194/F2194)),"")</f>
        <v/>
      </c>
      <c r="H2194" s="43" t="str">
        <f>IFERROR(G2194*E2180,"")</f>
        <v/>
      </c>
    </row>
    <row r="2195" spans="1:11" ht="12.75" customHeight="1">
      <c r="A2195" s="21"/>
      <c r="B2195" s="22" t="s">
        <v>3732</v>
      </c>
      <c r="C2195" s="23"/>
      <c r="D2195" s="24"/>
      <c r="E2195" s="25"/>
      <c r="F2195" s="26"/>
      <c r="G2195" s="27">
        <f>SUM(G2196:G2198)</f>
        <v>8982.592882714287</v>
      </c>
      <c r="H2195" s="44">
        <f>G2195*E2180</f>
        <v>0</v>
      </c>
    </row>
    <row r="2196" spans="1:11" ht="12.75" customHeight="1">
      <c r="A2196" s="28"/>
      <c r="B2196" s="29" t="s">
        <v>3710</v>
      </c>
      <c r="C2196" s="30" t="str">
        <f>IFERROR(_xlfn.XLOOKUP(B2196,MObra[DESCRIPCION],MObra[UN],,0),"")</f>
        <v>día</v>
      </c>
      <c r="D2196" s="31">
        <v>1</v>
      </c>
      <c r="E2196" s="32">
        <f>IFERROR(_xlfn.XLOOKUP($B2196,MObra[DESCRIPCION],MObra[VALOR UNIT],,0),"")</f>
        <v>314390.75089500006</v>
      </c>
      <c r="F2196" s="33">
        <v>-35</v>
      </c>
      <c r="G2196" s="34">
        <f>IFERROR(IF(F2196&gt;=0,D2196*E2196*(1+F2196/100),ABS(D2196*E2196/F2196)),"")</f>
        <v>8982.592882714287</v>
      </c>
      <c r="H2196" s="43">
        <f>IFERROR(G2196*E2180,"")</f>
        <v>0</v>
      </c>
    </row>
    <row r="2197" spans="1:11" ht="12.75" customHeight="1">
      <c r="A2197" s="28"/>
      <c r="B2197" s="29"/>
      <c r="C2197" s="30" t="str">
        <f t="array" ref="C2197">IFERROR(_xlfn.XLOOKUP(B2197,MObra[[#All],[DESCRIPCION]],MObra[[#All],[UN]],,0),"")</f>
        <v/>
      </c>
      <c r="D2197" s="31"/>
      <c r="E2197" s="32" t="str">
        <f>IFERROR(_xlfn.XLOOKUP($B2197,MObra[DESCRIPCION],MObra[VALOR UNIT],,0),"")</f>
        <v/>
      </c>
      <c r="F2197" s="33"/>
      <c r="G2197" s="34" t="str">
        <f>IFERROR(IF(F2197&gt;=0,D2197*E2197*(1+F2197/100),ABS(D2197*E2197/F2197)),"")</f>
        <v/>
      </c>
      <c r="H2197" s="43" t="str">
        <f>IFERROR(G2197*E2180,"")</f>
        <v/>
      </c>
    </row>
    <row r="2198" spans="1:11" ht="12.75" customHeight="1" thickBot="1">
      <c r="A2198" s="35"/>
      <c r="B2198" s="36"/>
      <c r="C2198" s="37" t="str">
        <f t="array" ref="C2198">IFERROR(_xlfn.XLOOKUP(B2198,MObra[[#All],[DESCRIPCION]],MObra[[#All],[UN]],,0),"")</f>
        <v/>
      </c>
      <c r="D2198" s="38"/>
      <c r="E2198" s="39" t="str">
        <f>IFERROR(_xlfn.XLOOKUP($B2198,MObra[DESCRIPCION],MObra[VALOR UNIT],,0),"")</f>
        <v/>
      </c>
      <c r="F2198" s="40"/>
      <c r="G2198" s="41" t="str">
        <f>IFERROR(IF(F2198&gt;=0,D2198*E2198*(1+F2198/100),ABS(D2198*E2198/F2198)),"")</f>
        <v/>
      </c>
      <c r="H2198" s="42" t="str">
        <f>IFERROR(G2198*E2180,"")</f>
        <v/>
      </c>
    </row>
    <row r="2199" spans="1:11" ht="12.75" customHeight="1" thickTop="1" thickBot="1"/>
    <row r="2200" spans="1:11" ht="12.75" customHeight="1" thickTop="1" thickBot="1">
      <c r="A2200" s="6" t="s">
        <v>817</v>
      </c>
      <c r="B2200" s="7" t="str">
        <f>VLOOKUP($A2200,Presupuesto!$A:$D,2,FALSE())</f>
        <v>Tubería Hg 1 - 1/2" + accesorios</v>
      </c>
      <c r="C2200" s="8" t="str">
        <f>VLOOKUP($A2200,Presupuesto!$A:$D,3,FALSE())</f>
        <v>M</v>
      </c>
      <c r="D2200" s="9"/>
      <c r="E2200" s="10">
        <f>VLOOKUP($A2200,Presupuesto!$A:$D,4,FALSE())</f>
        <v>0</v>
      </c>
      <c r="F2200" s="11" t="s">
        <v>2589</v>
      </c>
      <c r="G2200" s="12">
        <f>SUM(G2202:G2218)/2</f>
        <v>36486.657776849999</v>
      </c>
      <c r="H2200" s="13">
        <f>ROUND(SUM(H2202:H2218),0)/2</f>
        <v>0</v>
      </c>
      <c r="I2200" s="10">
        <f>VLOOKUP(A2200,Presupuesto!$A:$F,6,0)</f>
        <v>0</v>
      </c>
      <c r="J2200" s="10">
        <f>+H2200-I2200</f>
        <v>0</v>
      </c>
      <c r="K2200" s="46">
        <f>+H2200-G2200*E2200</f>
        <v>0</v>
      </c>
    </row>
    <row r="2201" spans="1:11" ht="12.75" customHeight="1" thickTop="1">
      <c r="A2201" s="14"/>
      <c r="B2201" s="15" t="s">
        <v>2586</v>
      </c>
      <c r="C2201" s="15" t="s">
        <v>5</v>
      </c>
      <c r="D2201" s="16" t="s">
        <v>6</v>
      </c>
      <c r="E2201" s="17" t="s">
        <v>7</v>
      </c>
      <c r="F2201" s="18" t="s">
        <v>3728</v>
      </c>
      <c r="G2201" s="19" t="s">
        <v>3729</v>
      </c>
      <c r="H2201" s="20" t="s">
        <v>3797</v>
      </c>
    </row>
    <row r="2202" spans="1:11" ht="12.75" customHeight="1">
      <c r="A2202" s="21"/>
      <c r="B2202" s="22" t="s">
        <v>3730</v>
      </c>
      <c r="C2202" s="23"/>
      <c r="D2202" s="24"/>
      <c r="E2202" s="25"/>
      <c r="F2202" s="26"/>
      <c r="G2202" s="27">
        <f>SUM(G2203:G2207)</f>
        <v>27054.935250000002</v>
      </c>
      <c r="H2202" s="27">
        <f>IFERROR(G2202*E2200,"")</f>
        <v>0</v>
      </c>
    </row>
    <row r="2203" spans="1:11" ht="12.75" customHeight="1">
      <c r="A2203" s="28"/>
      <c r="B2203" s="29" t="s">
        <v>3443</v>
      </c>
      <c r="C2203" s="30" t="str">
        <f>IFERROR(_xlfn.XLOOKUP(B2203,Insumo[DESCRIPCION],Insumo[UND],,0),"")</f>
        <v>M</v>
      </c>
      <c r="D2203" s="31">
        <v>1</v>
      </c>
      <c r="E2203" s="32">
        <f>IFERROR(_xlfn.XLOOKUP($B2203,Insumo[DESCRIPCION],Insumo[VALOR],,0),"")</f>
        <v>23287.424999999999</v>
      </c>
      <c r="F2203" s="33">
        <v>3</v>
      </c>
      <c r="G2203" s="34">
        <f>IFERROR(IF(F2203&gt;=0,D2203*E2203*(1+F2203/100),ABS(D2203*E2203/F2203)),"")</f>
        <v>23986.047750000002</v>
      </c>
      <c r="H2203" s="43">
        <f>IFERROR(G2203*E2200,"")</f>
        <v>0</v>
      </c>
    </row>
    <row r="2204" spans="1:11" ht="12.75" customHeight="1">
      <c r="A2204" s="28"/>
      <c r="B2204" s="29" t="s">
        <v>2627</v>
      </c>
      <c r="C2204" s="30" t="str">
        <f>IFERROR(_xlfn.XLOOKUP(B2204,Insumo[DESCRIPCION],Insumo[UND],,0),"")</f>
        <v>Un</v>
      </c>
      <c r="D2204" s="31">
        <v>0.15</v>
      </c>
      <c r="E2204" s="32">
        <f>IFERROR(_xlfn.XLOOKUP($B2204,Insumo[DESCRIPCION],Insumo[VALOR],,0),"")</f>
        <v>20459.25</v>
      </c>
      <c r="F2204" s="33"/>
      <c r="G2204" s="34">
        <f>IFERROR(IF(F2204&gt;=0,D2204*E2204*(1+F2204/100),ABS(D2204*E2204/F2204)),"")</f>
        <v>3068.8874999999998</v>
      </c>
      <c r="H2204" s="43">
        <f>IFERROR(G2204*E2200,"")</f>
        <v>0</v>
      </c>
    </row>
    <row r="2205" spans="1:11" ht="12.75" customHeight="1">
      <c r="A2205" s="28"/>
      <c r="B2205" s="29"/>
      <c r="C2205" s="30" t="str">
        <f>IFERROR(_xlfn.XLOOKUP(B2205,Insumo[DESCRIPCION],Insumo[UND],,0),"")</f>
        <v/>
      </c>
      <c r="D2205" s="31"/>
      <c r="E2205" s="32" t="str">
        <f>IFERROR(_xlfn.XLOOKUP($B2205,Insumo[DESCRIPCION],Insumo[VALOR],,0),"")</f>
        <v/>
      </c>
      <c r="F2205" s="33"/>
      <c r="G2205" s="34" t="str">
        <f>IFERROR(IF(F2205&gt;=0,D2205*E2205*(1+F2205/100),ABS(D2205*E2205/F2205)),"")</f>
        <v/>
      </c>
      <c r="H2205" s="43" t="str">
        <f>IFERROR(G2205*E2200,"")</f>
        <v/>
      </c>
    </row>
    <row r="2206" spans="1:11" ht="12.75" customHeight="1">
      <c r="A2206" s="28"/>
      <c r="B2206" s="29"/>
      <c r="C2206" s="30" t="str">
        <f>IFERROR(_xlfn.XLOOKUP(B2206,Insumo[DESCRIPCION],Insumo[UND],,0),"")</f>
        <v/>
      </c>
      <c r="D2206" s="31"/>
      <c r="E2206" s="32" t="str">
        <f>IFERROR(_xlfn.XLOOKUP($B2206,Insumo[DESCRIPCION],Insumo[VALOR],,0),"")</f>
        <v/>
      </c>
      <c r="F2206" s="33"/>
      <c r="G2206" s="34" t="str">
        <f>IFERROR(IF(F2206&gt;=0,D2206*E2206*(1+F2206/100),ABS(D2206*E2206/F2206)),"")</f>
        <v/>
      </c>
      <c r="H2206" s="43" t="str">
        <f>IFERROR(G2206*E2200,"")</f>
        <v/>
      </c>
    </row>
    <row r="2207" spans="1:11" ht="12.75" customHeight="1">
      <c r="A2207" s="28"/>
      <c r="B2207" s="29"/>
      <c r="C2207" s="30" t="str">
        <f>IFERROR(_xlfn.XLOOKUP(B2207,Insumo[DESCRIPCION],Insumo[UND],,0),"")</f>
        <v/>
      </c>
      <c r="D2207" s="31"/>
      <c r="E2207" s="32" t="str">
        <f>IFERROR(_xlfn.XLOOKUP($B2207,Insumo[DESCRIPCION],Insumo[VALOR],,0),"")</f>
        <v/>
      </c>
      <c r="F2207" s="33"/>
      <c r="G2207" s="34" t="str">
        <f>IFERROR(IF(F2207&gt;=0,D2207*E2207*(1+F2207/100),ABS(D2207*E2207/F2207)),"")</f>
        <v/>
      </c>
      <c r="H2207" s="43" t="str">
        <f>IFERROR(G2207*E2200,"")</f>
        <v/>
      </c>
    </row>
    <row r="2208" spans="1:11" ht="12.75" customHeight="1">
      <c r="A2208" s="21"/>
      <c r="B2208" s="22" t="s">
        <v>3731</v>
      </c>
      <c r="C2208" s="23"/>
      <c r="D2208" s="24"/>
      <c r="E2208" s="25"/>
      <c r="F2208" s="26"/>
      <c r="G2208" s="27">
        <f>SUM(G2209:G2211)</f>
        <v>449.12964413571439</v>
      </c>
      <c r="H2208" s="44">
        <f>G2208*E2200</f>
        <v>0</v>
      </c>
    </row>
    <row r="2209" spans="1:11" ht="12.75" customHeight="1">
      <c r="A2209" s="28"/>
      <c r="B2209" s="29" t="s">
        <v>3626</v>
      </c>
      <c r="C2209" s="30" t="str">
        <f>IFERROR(_xlfn.XLOOKUP(B2209,Equipo[DESCRIPCION],Equipo[UND],,0),"")</f>
        <v>%MO</v>
      </c>
      <c r="D2209" s="31">
        <v>0.05</v>
      </c>
      <c r="E2209" s="32">
        <f>IF(C2209="%MO",G2215,IFERROR(_xlfn.XLOOKUP($B2209,Equipo[DESCRIPCION],Equipo[VALOR],,0),""))</f>
        <v>8982.592882714287</v>
      </c>
      <c r="F2209" s="33"/>
      <c r="G2209" s="34">
        <f>IFERROR(IF(F2209&gt;=0,D2209*E2209*(1+F2209/100),ABS(D2209*E2209/F2209)),"")</f>
        <v>449.12964413571439</v>
      </c>
      <c r="H2209" s="43">
        <f>IFERROR(G2209*E2200,"")</f>
        <v>0</v>
      </c>
    </row>
    <row r="2210" spans="1:11" ht="12.75" customHeight="1">
      <c r="A2210" s="28"/>
      <c r="B2210" s="29"/>
      <c r="C2210" s="30" t="str">
        <f>IFERROR(_xlfn.XLOOKUP(B2210,Equipo[DESCRIPCION],Equipo[UND],,0),"")</f>
        <v/>
      </c>
      <c r="D2210" s="31"/>
      <c r="E2210" s="32" t="str">
        <f>IF(C2210="%MO",G2215,IFERROR(_xlfn.XLOOKUP($B2210,Equipo[DESCRIPCION],Equipo[VALOR],,0),""))</f>
        <v/>
      </c>
      <c r="F2210" s="33"/>
      <c r="G2210" s="34" t="str">
        <f>IFERROR(IF(F2210&gt;=0,D2210*E2210*(1+F2210/100),ABS(D2210*E2210/F2210)),"")</f>
        <v/>
      </c>
      <c r="H2210" s="43" t="str">
        <f>IFERROR(G2210*E2200,"")</f>
        <v/>
      </c>
    </row>
    <row r="2211" spans="1:11" ht="12.75" customHeight="1">
      <c r="A2211" s="28"/>
      <c r="B2211" s="29"/>
      <c r="C2211" s="30" t="str">
        <f>IFERROR(_xlfn.XLOOKUP(B2211,Equipo[DESCRIPCION],Equipo[UND],,0),"")</f>
        <v/>
      </c>
      <c r="D2211" s="31"/>
      <c r="E2211" s="32" t="str">
        <f>IF(C2211="%MO",G2215,IFERROR(_xlfn.XLOOKUP($B2211,Equipo[DESCRIPCION],Equipo[VALOR],,0),""))</f>
        <v/>
      </c>
      <c r="F2211" s="33"/>
      <c r="G2211" s="34" t="str">
        <f>IFERROR(IF(F2211&gt;=0,D2211*E2211*(1+F2211/100),ABS(D2211*E2211/F2211)),"")</f>
        <v/>
      </c>
      <c r="H2211" s="43" t="str">
        <f>IFERROR(G2211*E2200,"")</f>
        <v/>
      </c>
    </row>
    <row r="2212" spans="1:11" ht="12.75" customHeight="1">
      <c r="A2212" s="21"/>
      <c r="B2212" s="22" t="s">
        <v>2533</v>
      </c>
      <c r="C2212" s="23"/>
      <c r="D2212" s="24"/>
      <c r="E2212" s="25"/>
      <c r="F2212" s="26"/>
      <c r="G2212" s="27">
        <f>SUM(G2213:G2214)</f>
        <v>0</v>
      </c>
      <c r="H2212" s="44">
        <f>G2212*E2200</f>
        <v>0</v>
      </c>
    </row>
    <row r="2213" spans="1:11" ht="12.75" customHeight="1">
      <c r="A2213" s="28"/>
      <c r="B2213" s="29"/>
      <c r="C2213" s="30" t="str">
        <f>IFERROR(_xlfn.XLOOKUP(B2213,Transporte[DESCRIPCION],Transporte[UND],,0),"")</f>
        <v/>
      </c>
      <c r="D2213" s="31"/>
      <c r="E2213" s="32" t="str">
        <f>IFERROR(_xlfn.XLOOKUP($B2213,Transporte[DESCRIPCION],Transporte[VALOR],,0),"")</f>
        <v/>
      </c>
      <c r="F2213" s="33"/>
      <c r="G2213" s="34" t="str">
        <f>IFERROR(IF(F2213&gt;=0,D2213*E2213*(1+F2213/100),ABS(D2213*E2213/F2213)),"")</f>
        <v/>
      </c>
      <c r="H2213" s="43" t="str">
        <f>IFERROR(G2213*E2200,"")</f>
        <v/>
      </c>
    </row>
    <row r="2214" spans="1:11" ht="12.75" customHeight="1">
      <c r="A2214" s="28"/>
      <c r="B2214" s="29"/>
      <c r="C2214" s="30" t="str">
        <f>IFERROR(_xlfn.XLOOKUP(B2214,Transporte[DESCRIPCION],Transporte[UND],,0),"")</f>
        <v/>
      </c>
      <c r="D2214" s="31"/>
      <c r="E2214" s="32" t="str">
        <f>IFERROR(_xlfn.XLOOKUP($B2214,Transporte[DESCRIPCION],Transporte[VALOR],,0),"")</f>
        <v/>
      </c>
      <c r="F2214" s="33"/>
      <c r="G2214" s="34" t="str">
        <f>IFERROR(IF(F2214&gt;=0,D2214*E2214*(1+F2214/100),ABS(D2214*E2214/F2214)),"")</f>
        <v/>
      </c>
      <c r="H2214" s="43" t="str">
        <f>IFERROR(G2214*E2200,"")</f>
        <v/>
      </c>
    </row>
    <row r="2215" spans="1:11" ht="12.75" customHeight="1">
      <c r="A2215" s="21"/>
      <c r="B2215" s="22" t="s">
        <v>3732</v>
      </c>
      <c r="C2215" s="23"/>
      <c r="D2215" s="24"/>
      <c r="E2215" s="25"/>
      <c r="F2215" s="26"/>
      <c r="G2215" s="27">
        <f>SUM(G2216:G2218)</f>
        <v>8982.592882714287</v>
      </c>
      <c r="H2215" s="44">
        <f>G2215*E2200</f>
        <v>0</v>
      </c>
    </row>
    <row r="2216" spans="1:11" ht="12.75" customHeight="1">
      <c r="A2216" s="28"/>
      <c r="B2216" s="29" t="s">
        <v>3710</v>
      </c>
      <c r="C2216" s="30" t="str">
        <f>IFERROR(_xlfn.XLOOKUP(B2216,MObra[DESCRIPCION],MObra[UN],,0),"")</f>
        <v>día</v>
      </c>
      <c r="D2216" s="31">
        <v>1</v>
      </c>
      <c r="E2216" s="32">
        <f>IFERROR(_xlfn.XLOOKUP($B2216,MObra[DESCRIPCION],MObra[VALOR UNIT],,0),"")</f>
        <v>314390.75089500006</v>
      </c>
      <c r="F2216" s="33">
        <v>-35</v>
      </c>
      <c r="G2216" s="34">
        <f>IFERROR(IF(F2216&gt;=0,D2216*E2216*(1+F2216/100),ABS(D2216*E2216/F2216)),"")</f>
        <v>8982.592882714287</v>
      </c>
      <c r="H2216" s="43">
        <f>IFERROR(G2216*E2200,"")</f>
        <v>0</v>
      </c>
    </row>
    <row r="2217" spans="1:11" ht="12.75" customHeight="1">
      <c r="A2217" s="28"/>
      <c r="B2217" s="29"/>
      <c r="C2217" s="30" t="str">
        <f t="array" ref="C2217">IFERROR(_xlfn.XLOOKUP(B2217,MObra[[#All],[DESCRIPCION]],MObra[[#All],[UN]],,0),"")</f>
        <v/>
      </c>
      <c r="D2217" s="31"/>
      <c r="E2217" s="32" t="str">
        <f>IFERROR(_xlfn.XLOOKUP($B2217,MObra[DESCRIPCION],MObra[VALOR UNIT],,0),"")</f>
        <v/>
      </c>
      <c r="F2217" s="33"/>
      <c r="G2217" s="34" t="str">
        <f>IFERROR(IF(F2217&gt;=0,D2217*E2217*(1+F2217/100),ABS(D2217*E2217/F2217)),"")</f>
        <v/>
      </c>
      <c r="H2217" s="43" t="str">
        <f>IFERROR(G2217*E2200,"")</f>
        <v/>
      </c>
    </row>
    <row r="2218" spans="1:11" ht="12.75" customHeight="1" thickBot="1">
      <c r="A2218" s="35"/>
      <c r="B2218" s="36"/>
      <c r="C2218" s="37" t="str">
        <f t="array" ref="C2218">IFERROR(_xlfn.XLOOKUP(B2218,MObra[[#All],[DESCRIPCION]],MObra[[#All],[UN]],,0),"")</f>
        <v/>
      </c>
      <c r="D2218" s="38"/>
      <c r="E2218" s="39" t="str">
        <f>IFERROR(_xlfn.XLOOKUP($B2218,MObra[DESCRIPCION],MObra[VALOR UNIT],,0),"")</f>
        <v/>
      </c>
      <c r="F2218" s="40"/>
      <c r="G2218" s="41" t="str">
        <f>IFERROR(IF(F2218&gt;=0,D2218*E2218*(1+F2218/100),ABS(D2218*E2218/F2218)),"")</f>
        <v/>
      </c>
      <c r="H2218" s="42" t="str">
        <f>IFERROR(G2218*E2200,"")</f>
        <v/>
      </c>
    </row>
    <row r="2219" spans="1:11" ht="12.75" customHeight="1" thickTop="1" thickBot="1"/>
    <row r="2220" spans="1:11" ht="12.75" customHeight="1" thickTop="1" thickBot="1">
      <c r="A2220" s="6" t="s">
        <v>819</v>
      </c>
      <c r="B2220" s="7" t="str">
        <f>VLOOKUP($A2220,Presupuesto!$A:$D,2,FALSE())</f>
        <v>Tubería Hg 2" + accesorios</v>
      </c>
      <c r="C2220" s="8" t="str">
        <f>VLOOKUP($A2220,Presupuesto!$A:$D,3,FALSE())</f>
        <v>M</v>
      </c>
      <c r="D2220" s="9"/>
      <c r="E2220" s="10">
        <f>VLOOKUP($A2220,Presupuesto!$A:$D,4,FALSE())</f>
        <v>0</v>
      </c>
      <c r="F2220" s="11" t="s">
        <v>2589</v>
      </c>
      <c r="G2220" s="12">
        <f>SUM(G2222:G2238)/2</f>
        <v>36923.730323931821</v>
      </c>
      <c r="H2220" s="13">
        <f>ROUND(SUM(H2222:H2238),0)/2</f>
        <v>0</v>
      </c>
      <c r="I2220" s="10">
        <f>VLOOKUP(A2220,Presupuesto!$A:$F,6,0)</f>
        <v>0</v>
      </c>
      <c r="J2220" s="10">
        <f>+H2220-I2220</f>
        <v>0</v>
      </c>
      <c r="K2220" s="46">
        <f>+H2220-G2220*E2220</f>
        <v>0</v>
      </c>
    </row>
    <row r="2221" spans="1:11" ht="12.75" customHeight="1" thickTop="1">
      <c r="A2221" s="14"/>
      <c r="B2221" s="15" t="s">
        <v>2586</v>
      </c>
      <c r="C2221" s="15" t="s">
        <v>5</v>
      </c>
      <c r="D2221" s="16" t="s">
        <v>6</v>
      </c>
      <c r="E2221" s="17" t="s">
        <v>7</v>
      </c>
      <c r="F2221" s="18" t="s">
        <v>3728</v>
      </c>
      <c r="G2221" s="19" t="s">
        <v>3729</v>
      </c>
      <c r="H2221" s="20" t="s">
        <v>3797</v>
      </c>
    </row>
    <row r="2222" spans="1:11" ht="12.75" customHeight="1">
      <c r="A2222" s="21"/>
      <c r="B2222" s="22" t="s">
        <v>3730</v>
      </c>
      <c r="C2222" s="23"/>
      <c r="D2222" s="24"/>
      <c r="E2222" s="25"/>
      <c r="F2222" s="26"/>
      <c r="G2222" s="27">
        <f>SUM(G2223:G2227)</f>
        <v>26920.388250000004</v>
      </c>
      <c r="H2222" s="27">
        <f>IFERROR(G2222*E2220,"")</f>
        <v>0</v>
      </c>
    </row>
    <row r="2223" spans="1:11" ht="12.75" customHeight="1">
      <c r="A2223" s="28"/>
      <c r="B2223" s="29" t="s">
        <v>3449</v>
      </c>
      <c r="C2223" s="30" t="str">
        <f>IFERROR(_xlfn.XLOOKUP(B2223,Insumo[DESCRIPCION],Insumo[UND],,0),"")</f>
        <v>M</v>
      </c>
      <c r="D2223" s="31">
        <v>1</v>
      </c>
      <c r="E2223" s="32">
        <f>IFERROR(_xlfn.XLOOKUP($B2223,Insumo[DESCRIPCION],Insumo[VALOR],,0),"")</f>
        <v>21998.025000000001</v>
      </c>
      <c r="F2223" s="33">
        <v>3</v>
      </c>
      <c r="G2223" s="34">
        <f>IFERROR(IF(F2223&gt;=0,D2223*E2223*(1+F2223/100),ABS(D2223*E2223/F2223)),"")</f>
        <v>22657.965750000003</v>
      </c>
      <c r="H2223" s="43">
        <f>IFERROR(G2223*E2220,"")</f>
        <v>0</v>
      </c>
    </row>
    <row r="2224" spans="1:11" ht="12.75" customHeight="1">
      <c r="A2224" s="28"/>
      <c r="B2224" s="29" t="s">
        <v>2632</v>
      </c>
      <c r="C2224" s="30" t="str">
        <f>IFERROR(_xlfn.XLOOKUP(B2224,Insumo[DESCRIPCION],Insumo[UND],,0),"")</f>
        <v>Un</v>
      </c>
      <c r="D2224" s="31">
        <v>0.15</v>
      </c>
      <c r="E2224" s="32">
        <f>IFERROR(_xlfn.XLOOKUP($B2224,Insumo[DESCRIPCION],Insumo[VALOR],,0),"")</f>
        <v>28416.15</v>
      </c>
      <c r="F2224" s="33"/>
      <c r="G2224" s="34">
        <f>IFERROR(IF(F2224&gt;=0,D2224*E2224*(1+F2224/100),ABS(D2224*E2224/F2224)),"")</f>
        <v>4262.4224999999997</v>
      </c>
      <c r="H2224" s="43">
        <f>IFERROR(G2224*E2220,"")</f>
        <v>0</v>
      </c>
    </row>
    <row r="2225" spans="1:11" ht="12.75" customHeight="1">
      <c r="A2225" s="28"/>
      <c r="B2225" s="29"/>
      <c r="C2225" s="30" t="str">
        <f>IFERROR(_xlfn.XLOOKUP(B2225,Insumo[DESCRIPCION],Insumo[UND],,0),"")</f>
        <v/>
      </c>
      <c r="D2225" s="31"/>
      <c r="E2225" s="32" t="str">
        <f>IFERROR(_xlfn.XLOOKUP($B2225,Insumo[DESCRIPCION],Insumo[VALOR],,0),"")</f>
        <v/>
      </c>
      <c r="F2225" s="33"/>
      <c r="G2225" s="34" t="str">
        <f>IFERROR(IF(F2225&gt;=0,D2225*E2225*(1+F2225/100),ABS(D2225*E2225/F2225)),"")</f>
        <v/>
      </c>
      <c r="H2225" s="43" t="str">
        <f>IFERROR(G2225*E2220,"")</f>
        <v/>
      </c>
    </row>
    <row r="2226" spans="1:11" ht="12.75" customHeight="1">
      <c r="A2226" s="28"/>
      <c r="B2226" s="29"/>
      <c r="C2226" s="30" t="str">
        <f>IFERROR(_xlfn.XLOOKUP(B2226,Insumo[DESCRIPCION],Insumo[UND],,0),"")</f>
        <v/>
      </c>
      <c r="D2226" s="31"/>
      <c r="E2226" s="32" t="str">
        <f>IFERROR(_xlfn.XLOOKUP($B2226,Insumo[DESCRIPCION],Insumo[VALOR],,0),"")</f>
        <v/>
      </c>
      <c r="F2226" s="33"/>
      <c r="G2226" s="34" t="str">
        <f>IFERROR(IF(F2226&gt;=0,D2226*E2226*(1+F2226/100),ABS(D2226*E2226/F2226)),"")</f>
        <v/>
      </c>
      <c r="H2226" s="43" t="str">
        <f>IFERROR(G2226*E2220,"")</f>
        <v/>
      </c>
    </row>
    <row r="2227" spans="1:11" ht="12.75" customHeight="1">
      <c r="A2227" s="28"/>
      <c r="B2227" s="29"/>
      <c r="C2227" s="30" t="str">
        <f>IFERROR(_xlfn.XLOOKUP(B2227,Insumo[DESCRIPCION],Insumo[UND],,0),"")</f>
        <v/>
      </c>
      <c r="D2227" s="31"/>
      <c r="E2227" s="32" t="str">
        <f>IFERROR(_xlfn.XLOOKUP($B2227,Insumo[DESCRIPCION],Insumo[VALOR],,0),"")</f>
        <v/>
      </c>
      <c r="F2227" s="33"/>
      <c r="G2227" s="34" t="str">
        <f>IFERROR(IF(F2227&gt;=0,D2227*E2227*(1+F2227/100),ABS(D2227*E2227/F2227)),"")</f>
        <v/>
      </c>
      <c r="H2227" s="43" t="str">
        <f>IFERROR(G2227*E2220,"")</f>
        <v/>
      </c>
    </row>
    <row r="2228" spans="1:11" ht="12.75" customHeight="1">
      <c r="A2228" s="21"/>
      <c r="B2228" s="22" t="s">
        <v>3731</v>
      </c>
      <c r="C2228" s="23"/>
      <c r="D2228" s="24"/>
      <c r="E2228" s="25"/>
      <c r="F2228" s="26"/>
      <c r="G2228" s="27">
        <f>SUM(G2229:G2231)</f>
        <v>476.34962256818193</v>
      </c>
      <c r="H2228" s="44">
        <f>G2228*E2220</f>
        <v>0</v>
      </c>
    </row>
    <row r="2229" spans="1:11" ht="12.75" customHeight="1">
      <c r="A2229" s="28"/>
      <c r="B2229" s="29" t="s">
        <v>3626</v>
      </c>
      <c r="C2229" s="30" t="str">
        <f>IFERROR(_xlfn.XLOOKUP(B2229,Equipo[DESCRIPCION],Equipo[UND],,0),"")</f>
        <v>%MO</v>
      </c>
      <c r="D2229" s="31">
        <v>0.05</v>
      </c>
      <c r="E2229" s="32">
        <f>IF(C2229="%MO",G2235,IFERROR(_xlfn.XLOOKUP($B2229,Equipo[DESCRIPCION],Equipo[VALOR],,0),""))</f>
        <v>9526.9924513636379</v>
      </c>
      <c r="F2229" s="33"/>
      <c r="G2229" s="34">
        <f>IFERROR(IF(F2229&gt;=0,D2229*E2229*(1+F2229/100),ABS(D2229*E2229/F2229)),"")</f>
        <v>476.34962256818193</v>
      </c>
      <c r="H2229" s="43">
        <f>IFERROR(G2229*E2220,"")</f>
        <v>0</v>
      </c>
    </row>
    <row r="2230" spans="1:11" ht="12.75" customHeight="1">
      <c r="A2230" s="28"/>
      <c r="B2230" s="29"/>
      <c r="C2230" s="30" t="str">
        <f>IFERROR(_xlfn.XLOOKUP(B2230,Equipo[DESCRIPCION],Equipo[UND],,0),"")</f>
        <v/>
      </c>
      <c r="D2230" s="31"/>
      <c r="E2230" s="32" t="str">
        <f>IF(C2230="%MO",G2235,IFERROR(_xlfn.XLOOKUP($B2230,Equipo[DESCRIPCION],Equipo[VALOR],,0),""))</f>
        <v/>
      </c>
      <c r="F2230" s="33"/>
      <c r="G2230" s="34" t="str">
        <f>IFERROR(IF(F2230&gt;=0,D2230*E2230*(1+F2230/100),ABS(D2230*E2230/F2230)),"")</f>
        <v/>
      </c>
      <c r="H2230" s="43" t="str">
        <f>IFERROR(G2230*E2220,"")</f>
        <v/>
      </c>
    </row>
    <row r="2231" spans="1:11" ht="12.75" customHeight="1">
      <c r="A2231" s="28"/>
      <c r="B2231" s="29"/>
      <c r="C2231" s="30" t="str">
        <f>IFERROR(_xlfn.XLOOKUP(B2231,Equipo[DESCRIPCION],Equipo[UND],,0),"")</f>
        <v/>
      </c>
      <c r="D2231" s="31"/>
      <c r="E2231" s="32" t="str">
        <f>IF(C2231="%MO",G2235,IFERROR(_xlfn.XLOOKUP($B2231,Equipo[DESCRIPCION],Equipo[VALOR],,0),""))</f>
        <v/>
      </c>
      <c r="F2231" s="33"/>
      <c r="G2231" s="34" t="str">
        <f>IFERROR(IF(F2231&gt;=0,D2231*E2231*(1+F2231/100),ABS(D2231*E2231/F2231)),"")</f>
        <v/>
      </c>
      <c r="H2231" s="43" t="str">
        <f>IFERROR(G2231*E2220,"")</f>
        <v/>
      </c>
    </row>
    <row r="2232" spans="1:11" ht="12.75" customHeight="1">
      <c r="A2232" s="21"/>
      <c r="B2232" s="22" t="s">
        <v>2533</v>
      </c>
      <c r="C2232" s="23"/>
      <c r="D2232" s="24"/>
      <c r="E2232" s="25"/>
      <c r="F2232" s="26"/>
      <c r="G2232" s="27">
        <f>SUM(G2233:G2234)</f>
        <v>0</v>
      </c>
      <c r="H2232" s="44">
        <f>G2232*E2220</f>
        <v>0</v>
      </c>
    </row>
    <row r="2233" spans="1:11" ht="12.75" customHeight="1">
      <c r="A2233" s="28"/>
      <c r="B2233" s="29"/>
      <c r="C2233" s="30" t="str">
        <f>IFERROR(_xlfn.XLOOKUP(B2233,Transporte[DESCRIPCION],Transporte[UND],,0),"")</f>
        <v/>
      </c>
      <c r="D2233" s="31"/>
      <c r="E2233" s="32" t="str">
        <f>IFERROR(_xlfn.XLOOKUP($B2233,Transporte[DESCRIPCION],Transporte[VALOR],,0),"")</f>
        <v/>
      </c>
      <c r="F2233" s="33"/>
      <c r="G2233" s="34" t="str">
        <f>IFERROR(IF(F2233&gt;=0,D2233*E2233*(1+F2233/100),ABS(D2233*E2233/F2233)),"")</f>
        <v/>
      </c>
      <c r="H2233" s="43" t="str">
        <f>IFERROR(G2233*E2220,"")</f>
        <v/>
      </c>
    </row>
    <row r="2234" spans="1:11" ht="12.75" customHeight="1">
      <c r="A2234" s="28"/>
      <c r="B2234" s="29"/>
      <c r="C2234" s="30" t="str">
        <f>IFERROR(_xlfn.XLOOKUP(B2234,Transporte[DESCRIPCION],Transporte[UND],,0),"")</f>
        <v/>
      </c>
      <c r="D2234" s="31"/>
      <c r="E2234" s="32" t="str">
        <f>IFERROR(_xlfn.XLOOKUP($B2234,Transporte[DESCRIPCION],Transporte[VALOR],,0),"")</f>
        <v/>
      </c>
      <c r="F2234" s="33"/>
      <c r="G2234" s="34" t="str">
        <f>IFERROR(IF(F2234&gt;=0,D2234*E2234*(1+F2234/100),ABS(D2234*E2234/F2234)),"")</f>
        <v/>
      </c>
      <c r="H2234" s="43" t="str">
        <f>IFERROR(G2234*E2220,"")</f>
        <v/>
      </c>
    </row>
    <row r="2235" spans="1:11" ht="12.75" customHeight="1">
      <c r="A2235" s="21"/>
      <c r="B2235" s="22" t="s">
        <v>3732</v>
      </c>
      <c r="C2235" s="23"/>
      <c r="D2235" s="24"/>
      <c r="E2235" s="25"/>
      <c r="F2235" s="26"/>
      <c r="G2235" s="27">
        <f>SUM(G2236:G2238)</f>
        <v>9526.9924513636379</v>
      </c>
      <c r="H2235" s="44">
        <f>G2235*E2220</f>
        <v>0</v>
      </c>
    </row>
    <row r="2236" spans="1:11" ht="12.75" customHeight="1">
      <c r="A2236" s="28"/>
      <c r="B2236" s="29" t="s">
        <v>3710</v>
      </c>
      <c r="C2236" s="30" t="str">
        <f>IFERROR(_xlfn.XLOOKUP(B2236,MObra[DESCRIPCION],MObra[UN],,0),"")</f>
        <v>día</v>
      </c>
      <c r="D2236" s="31">
        <v>1</v>
      </c>
      <c r="E2236" s="32">
        <f>IFERROR(_xlfn.XLOOKUP($B2236,MObra[DESCRIPCION],MObra[VALOR UNIT],,0),"")</f>
        <v>314390.75089500006</v>
      </c>
      <c r="F2236" s="33">
        <v>-33</v>
      </c>
      <c r="G2236" s="34">
        <f>IFERROR(IF(F2236&gt;=0,D2236*E2236*(1+F2236/100),ABS(D2236*E2236/F2236)),"")</f>
        <v>9526.9924513636379</v>
      </c>
      <c r="H2236" s="43">
        <f>IFERROR(G2236*E2220,"")</f>
        <v>0</v>
      </c>
    </row>
    <row r="2237" spans="1:11" ht="12.75" customHeight="1">
      <c r="A2237" s="28"/>
      <c r="B2237" s="29"/>
      <c r="C2237" s="30" t="str">
        <f t="array" ref="C2237">IFERROR(_xlfn.XLOOKUP(B2237,MObra[[#All],[DESCRIPCION]],MObra[[#All],[UN]],,0),"")</f>
        <v/>
      </c>
      <c r="D2237" s="31"/>
      <c r="E2237" s="32" t="str">
        <f>IFERROR(_xlfn.XLOOKUP($B2237,MObra[DESCRIPCION],MObra[VALOR UNIT],,0),"")</f>
        <v/>
      </c>
      <c r="F2237" s="33"/>
      <c r="G2237" s="34" t="str">
        <f>IFERROR(IF(F2237&gt;=0,D2237*E2237*(1+F2237/100),ABS(D2237*E2237/F2237)),"")</f>
        <v/>
      </c>
      <c r="H2237" s="43" t="str">
        <f>IFERROR(G2237*E2220,"")</f>
        <v/>
      </c>
    </row>
    <row r="2238" spans="1:11" ht="12.75" customHeight="1" thickBot="1">
      <c r="A2238" s="35"/>
      <c r="B2238" s="36"/>
      <c r="C2238" s="37" t="str">
        <f t="array" ref="C2238">IFERROR(_xlfn.XLOOKUP(B2238,MObra[[#All],[DESCRIPCION]],MObra[[#All],[UN]],,0),"")</f>
        <v/>
      </c>
      <c r="D2238" s="38"/>
      <c r="E2238" s="39" t="str">
        <f>IFERROR(_xlfn.XLOOKUP($B2238,MObra[DESCRIPCION],MObra[VALOR UNIT],,0),"")</f>
        <v/>
      </c>
      <c r="F2238" s="40"/>
      <c r="G2238" s="41" t="str">
        <f>IFERROR(IF(F2238&gt;=0,D2238*E2238*(1+F2238/100),ABS(D2238*E2238/F2238)),"")</f>
        <v/>
      </c>
      <c r="H2238" s="42" t="str">
        <f>IFERROR(G2238*E2220,"")</f>
        <v/>
      </c>
    </row>
    <row r="2239" spans="1:11" ht="12.75" customHeight="1" thickTop="1" thickBot="1"/>
    <row r="2240" spans="1:11" ht="12.75" customHeight="1" thickTop="1" thickBot="1">
      <c r="A2240" s="6" t="s">
        <v>821</v>
      </c>
      <c r="B2240" s="7" t="str">
        <f>VLOOKUP($A2240,Presupuesto!$A:$D,2,FALSE())</f>
        <v>Tubería Hg 2 - 1/2" + accesorios</v>
      </c>
      <c r="C2240" s="8" t="str">
        <f>VLOOKUP($A2240,Presupuesto!$A:$D,3,FALSE())</f>
        <v>M</v>
      </c>
      <c r="D2240" s="9"/>
      <c r="E2240" s="10">
        <f>VLOOKUP($A2240,Presupuesto!$A:$D,4,FALSE())</f>
        <v>0</v>
      </c>
      <c r="F2240" s="11" t="s">
        <v>2589</v>
      </c>
      <c r="G2240" s="12">
        <f>SUM(G2242:G2258)/2</f>
        <v>56393.015823931826</v>
      </c>
      <c r="H2240" s="13">
        <f>ROUND(SUM(H2242:H2258),0)/2</f>
        <v>0</v>
      </c>
      <c r="I2240" s="10">
        <f>VLOOKUP(A2240,Presupuesto!$A:$F,6,0)</f>
        <v>0</v>
      </c>
      <c r="J2240" s="10">
        <f>+H2240-I2240</f>
        <v>0</v>
      </c>
      <c r="K2240" s="46">
        <f>+H2240-G2240*E2240</f>
        <v>0</v>
      </c>
    </row>
    <row r="2241" spans="1:8" ht="12.75" customHeight="1" thickTop="1">
      <c r="A2241" s="14"/>
      <c r="B2241" s="15" t="s">
        <v>2586</v>
      </c>
      <c r="C2241" s="15" t="s">
        <v>5</v>
      </c>
      <c r="D2241" s="16" t="s">
        <v>6</v>
      </c>
      <c r="E2241" s="17" t="s">
        <v>7</v>
      </c>
      <c r="F2241" s="18" t="s">
        <v>3728</v>
      </c>
      <c r="G2241" s="19" t="s">
        <v>3729</v>
      </c>
      <c r="H2241" s="20" t="s">
        <v>3797</v>
      </c>
    </row>
    <row r="2242" spans="1:8" ht="12.75" customHeight="1">
      <c r="A2242" s="21"/>
      <c r="B2242" s="22" t="s">
        <v>3730</v>
      </c>
      <c r="C2242" s="23"/>
      <c r="D2242" s="24"/>
      <c r="E2242" s="25"/>
      <c r="F2242" s="26"/>
      <c r="G2242" s="27">
        <f>SUM(G2243:G2247)</f>
        <v>46389.673750000002</v>
      </c>
      <c r="H2242" s="27">
        <f>IFERROR(G2242*E2240,"")</f>
        <v>0</v>
      </c>
    </row>
    <row r="2243" spans="1:8" ht="12.75" customHeight="1">
      <c r="A2243" s="28"/>
      <c r="B2243" s="29" t="s">
        <v>3448</v>
      </c>
      <c r="C2243" s="30" t="str">
        <f>IFERROR(_xlfn.XLOOKUP(B2243,Insumo[DESCRIPCION],Insumo[UND],,0),"")</f>
        <v>M</v>
      </c>
      <c r="D2243" s="31">
        <v>1</v>
      </c>
      <c r="E2243" s="32">
        <f>IFERROR(_xlfn.XLOOKUP($B2243,Insumo[DESCRIPCION],Insumo[VALOR],,0),"")</f>
        <v>39741.625</v>
      </c>
      <c r="F2243" s="33">
        <v>3</v>
      </c>
      <c r="G2243" s="34">
        <f>IFERROR(IF(F2243&gt;=0,D2243*E2243*(1+F2243/100),ABS(D2243*E2243/F2243)),"")</f>
        <v>40933.873749999999</v>
      </c>
      <c r="H2243" s="43">
        <f>IFERROR(G2243*E2240,"")</f>
        <v>0</v>
      </c>
    </row>
    <row r="2244" spans="1:8" ht="12.75" customHeight="1">
      <c r="A2244" s="28"/>
      <c r="B2244" s="29" t="s">
        <v>2631</v>
      </c>
      <c r="C2244" s="30" t="str">
        <f>IFERROR(_xlfn.XLOOKUP(B2244,Insumo[DESCRIPCION],Insumo[UND],,0),"")</f>
        <v>Un</v>
      </c>
      <c r="D2244" s="31">
        <v>0.15</v>
      </c>
      <c r="E2244" s="32">
        <f>IFERROR(_xlfn.XLOOKUP($B2244,Insumo[DESCRIPCION],Insumo[VALOR],,0),"")</f>
        <v>36372</v>
      </c>
      <c r="F2244" s="33"/>
      <c r="G2244" s="34">
        <f>IFERROR(IF(F2244&gt;=0,D2244*E2244*(1+F2244/100),ABS(D2244*E2244/F2244)),"")</f>
        <v>5455.8</v>
      </c>
      <c r="H2244" s="43">
        <f>IFERROR(G2244*E2240,"")</f>
        <v>0</v>
      </c>
    </row>
    <row r="2245" spans="1:8" ht="12.75" customHeight="1">
      <c r="A2245" s="28"/>
      <c r="B2245" s="29"/>
      <c r="C2245" s="30" t="str">
        <f>IFERROR(_xlfn.XLOOKUP(B2245,Insumo[DESCRIPCION],Insumo[UND],,0),"")</f>
        <v/>
      </c>
      <c r="D2245" s="31"/>
      <c r="E2245" s="32" t="str">
        <f>IFERROR(_xlfn.XLOOKUP($B2245,Insumo[DESCRIPCION],Insumo[VALOR],,0),"")</f>
        <v/>
      </c>
      <c r="F2245" s="33"/>
      <c r="G2245" s="34" t="str">
        <f>IFERROR(IF(F2245&gt;=0,D2245*E2245*(1+F2245/100),ABS(D2245*E2245/F2245)),"")</f>
        <v/>
      </c>
      <c r="H2245" s="43" t="str">
        <f>IFERROR(G2245*E2240,"")</f>
        <v/>
      </c>
    </row>
    <row r="2246" spans="1:8" ht="12.75" customHeight="1">
      <c r="A2246" s="28"/>
      <c r="B2246" s="29"/>
      <c r="C2246" s="30" t="str">
        <f>IFERROR(_xlfn.XLOOKUP(B2246,Insumo[DESCRIPCION],Insumo[UND],,0),"")</f>
        <v/>
      </c>
      <c r="D2246" s="31"/>
      <c r="E2246" s="32" t="str">
        <f>IFERROR(_xlfn.XLOOKUP($B2246,Insumo[DESCRIPCION],Insumo[VALOR],,0),"")</f>
        <v/>
      </c>
      <c r="F2246" s="33"/>
      <c r="G2246" s="34" t="str">
        <f>IFERROR(IF(F2246&gt;=0,D2246*E2246*(1+F2246/100),ABS(D2246*E2246/F2246)),"")</f>
        <v/>
      </c>
      <c r="H2246" s="43" t="str">
        <f>IFERROR(G2246*E2240,"")</f>
        <v/>
      </c>
    </row>
    <row r="2247" spans="1:8" ht="12.75" customHeight="1">
      <c r="A2247" s="28"/>
      <c r="B2247" s="29"/>
      <c r="C2247" s="30" t="str">
        <f>IFERROR(_xlfn.XLOOKUP(B2247,Insumo[DESCRIPCION],Insumo[UND],,0),"")</f>
        <v/>
      </c>
      <c r="D2247" s="31"/>
      <c r="E2247" s="32" t="str">
        <f>IFERROR(_xlfn.XLOOKUP($B2247,Insumo[DESCRIPCION],Insumo[VALOR],,0),"")</f>
        <v/>
      </c>
      <c r="F2247" s="33"/>
      <c r="G2247" s="34" t="str">
        <f>IFERROR(IF(F2247&gt;=0,D2247*E2247*(1+F2247/100),ABS(D2247*E2247/F2247)),"")</f>
        <v/>
      </c>
      <c r="H2247" s="43" t="str">
        <f>IFERROR(G2247*E2240,"")</f>
        <v/>
      </c>
    </row>
    <row r="2248" spans="1:8" ht="12.75" customHeight="1">
      <c r="A2248" s="21"/>
      <c r="B2248" s="22" t="s">
        <v>3731</v>
      </c>
      <c r="C2248" s="23"/>
      <c r="D2248" s="24"/>
      <c r="E2248" s="25"/>
      <c r="F2248" s="26"/>
      <c r="G2248" s="27">
        <f>SUM(G2249:G2251)</f>
        <v>476.34962256818193</v>
      </c>
      <c r="H2248" s="44">
        <f>G2248*E2240</f>
        <v>0</v>
      </c>
    </row>
    <row r="2249" spans="1:8" ht="12.75" customHeight="1">
      <c r="A2249" s="28"/>
      <c r="B2249" s="29" t="s">
        <v>3626</v>
      </c>
      <c r="C2249" s="30" t="str">
        <f>IFERROR(_xlfn.XLOOKUP(B2249,Equipo[DESCRIPCION],Equipo[UND],,0),"")</f>
        <v>%MO</v>
      </c>
      <c r="D2249" s="31">
        <v>0.05</v>
      </c>
      <c r="E2249" s="32">
        <f>IF(C2249="%MO",G2255,IFERROR(_xlfn.XLOOKUP($B2249,Equipo[DESCRIPCION],Equipo[VALOR],,0),""))</f>
        <v>9526.9924513636379</v>
      </c>
      <c r="F2249" s="33"/>
      <c r="G2249" s="34">
        <f>IFERROR(IF(F2249&gt;=0,D2249*E2249*(1+F2249/100),ABS(D2249*E2249/F2249)),"")</f>
        <v>476.34962256818193</v>
      </c>
      <c r="H2249" s="43">
        <f>IFERROR(G2249*E2240,"")</f>
        <v>0</v>
      </c>
    </row>
    <row r="2250" spans="1:8" ht="12.75" customHeight="1">
      <c r="A2250" s="28"/>
      <c r="B2250" s="29"/>
      <c r="C2250" s="30" t="str">
        <f>IFERROR(_xlfn.XLOOKUP(B2250,Equipo[DESCRIPCION],Equipo[UND],,0),"")</f>
        <v/>
      </c>
      <c r="D2250" s="31"/>
      <c r="E2250" s="32" t="str">
        <f>IF(C2250="%MO",G2255,IFERROR(_xlfn.XLOOKUP($B2250,Equipo[DESCRIPCION],Equipo[VALOR],,0),""))</f>
        <v/>
      </c>
      <c r="F2250" s="33"/>
      <c r="G2250" s="34" t="str">
        <f>IFERROR(IF(F2250&gt;=0,D2250*E2250*(1+F2250/100),ABS(D2250*E2250/F2250)),"")</f>
        <v/>
      </c>
      <c r="H2250" s="43" t="str">
        <f>IFERROR(G2250*E2240,"")</f>
        <v/>
      </c>
    </row>
    <row r="2251" spans="1:8" ht="12.75" customHeight="1">
      <c r="A2251" s="28"/>
      <c r="B2251" s="29"/>
      <c r="C2251" s="30" t="str">
        <f>IFERROR(_xlfn.XLOOKUP(B2251,Equipo[DESCRIPCION],Equipo[UND],,0),"")</f>
        <v/>
      </c>
      <c r="D2251" s="31"/>
      <c r="E2251" s="32" t="str">
        <f>IF(C2251="%MO",G2255,IFERROR(_xlfn.XLOOKUP($B2251,Equipo[DESCRIPCION],Equipo[VALOR],,0),""))</f>
        <v/>
      </c>
      <c r="F2251" s="33"/>
      <c r="G2251" s="34" t="str">
        <f>IFERROR(IF(F2251&gt;=0,D2251*E2251*(1+F2251/100),ABS(D2251*E2251/F2251)),"")</f>
        <v/>
      </c>
      <c r="H2251" s="43" t="str">
        <f>IFERROR(G2251*E2240,"")</f>
        <v/>
      </c>
    </row>
    <row r="2252" spans="1:8" ht="12.75" customHeight="1">
      <c r="A2252" s="21"/>
      <c r="B2252" s="22" t="s">
        <v>2533</v>
      </c>
      <c r="C2252" s="23"/>
      <c r="D2252" s="24"/>
      <c r="E2252" s="25"/>
      <c r="F2252" s="26"/>
      <c r="G2252" s="27">
        <f>SUM(G2253:G2254)</f>
        <v>0</v>
      </c>
      <c r="H2252" s="44">
        <f>G2252*E2240</f>
        <v>0</v>
      </c>
    </row>
    <row r="2253" spans="1:8" ht="12.75" customHeight="1">
      <c r="A2253" s="28"/>
      <c r="B2253" s="29"/>
      <c r="C2253" s="30" t="str">
        <f>IFERROR(_xlfn.XLOOKUP(B2253,Transporte[DESCRIPCION],Transporte[UND],,0),"")</f>
        <v/>
      </c>
      <c r="D2253" s="31"/>
      <c r="E2253" s="32" t="str">
        <f>IFERROR(_xlfn.XLOOKUP($B2253,Transporte[DESCRIPCION],Transporte[VALOR],,0),"")</f>
        <v/>
      </c>
      <c r="F2253" s="33"/>
      <c r="G2253" s="34" t="str">
        <f>IFERROR(IF(F2253&gt;=0,D2253*E2253*(1+F2253/100),ABS(D2253*E2253/F2253)),"")</f>
        <v/>
      </c>
      <c r="H2253" s="43" t="str">
        <f>IFERROR(G2253*E2240,"")</f>
        <v/>
      </c>
    </row>
    <row r="2254" spans="1:8" ht="12.75" customHeight="1">
      <c r="A2254" s="28"/>
      <c r="B2254" s="29"/>
      <c r="C2254" s="30" t="str">
        <f>IFERROR(_xlfn.XLOOKUP(B2254,Transporte[DESCRIPCION],Transporte[UND],,0),"")</f>
        <v/>
      </c>
      <c r="D2254" s="31"/>
      <c r="E2254" s="32" t="str">
        <f>IFERROR(_xlfn.XLOOKUP($B2254,Transporte[DESCRIPCION],Transporte[VALOR],,0),"")</f>
        <v/>
      </c>
      <c r="F2254" s="33"/>
      <c r="G2254" s="34" t="str">
        <f>IFERROR(IF(F2254&gt;=0,D2254*E2254*(1+F2254/100),ABS(D2254*E2254/F2254)),"")</f>
        <v/>
      </c>
      <c r="H2254" s="43" t="str">
        <f>IFERROR(G2254*E2240,"")</f>
        <v/>
      </c>
    </row>
    <row r="2255" spans="1:8" ht="12.75" customHeight="1">
      <c r="A2255" s="21"/>
      <c r="B2255" s="22" t="s">
        <v>3732</v>
      </c>
      <c r="C2255" s="23"/>
      <c r="D2255" s="24"/>
      <c r="E2255" s="25"/>
      <c r="F2255" s="26"/>
      <c r="G2255" s="27">
        <f>SUM(G2256:G2258)</f>
        <v>9526.9924513636379</v>
      </c>
      <c r="H2255" s="44">
        <f>G2255*E2240</f>
        <v>0</v>
      </c>
    </row>
    <row r="2256" spans="1:8" ht="12.75" customHeight="1">
      <c r="A2256" s="28"/>
      <c r="B2256" s="29" t="s">
        <v>3710</v>
      </c>
      <c r="C2256" s="30" t="str">
        <f>IFERROR(_xlfn.XLOOKUP(B2256,MObra[DESCRIPCION],MObra[UN],,0),"")</f>
        <v>día</v>
      </c>
      <c r="D2256" s="31">
        <v>1</v>
      </c>
      <c r="E2256" s="32">
        <f>IFERROR(_xlfn.XLOOKUP($B2256,MObra[DESCRIPCION],MObra[VALOR UNIT],,0),"")</f>
        <v>314390.75089500006</v>
      </c>
      <c r="F2256" s="33">
        <v>-33</v>
      </c>
      <c r="G2256" s="34">
        <f>IFERROR(IF(F2256&gt;=0,D2256*E2256*(1+F2256/100),ABS(D2256*E2256/F2256)),"")</f>
        <v>9526.9924513636379</v>
      </c>
      <c r="H2256" s="43">
        <f>IFERROR(G2256*E2240,"")</f>
        <v>0</v>
      </c>
    </row>
    <row r="2257" spans="1:11" ht="12.75" customHeight="1">
      <c r="A2257" s="28"/>
      <c r="B2257" s="29"/>
      <c r="C2257" s="30" t="str">
        <f t="array" ref="C2257">IFERROR(_xlfn.XLOOKUP(B2257,MObra[[#All],[DESCRIPCION]],MObra[[#All],[UN]],,0),"")</f>
        <v/>
      </c>
      <c r="D2257" s="31"/>
      <c r="E2257" s="32" t="str">
        <f>IFERROR(_xlfn.XLOOKUP($B2257,MObra[DESCRIPCION],MObra[VALOR UNIT],,0),"")</f>
        <v/>
      </c>
      <c r="F2257" s="33"/>
      <c r="G2257" s="34" t="str">
        <f>IFERROR(IF(F2257&gt;=0,D2257*E2257*(1+F2257/100),ABS(D2257*E2257/F2257)),"")</f>
        <v/>
      </c>
      <c r="H2257" s="43" t="str">
        <f>IFERROR(G2257*E2240,"")</f>
        <v/>
      </c>
    </row>
    <row r="2258" spans="1:11" ht="12.75" customHeight="1" thickBot="1">
      <c r="A2258" s="35"/>
      <c r="B2258" s="36"/>
      <c r="C2258" s="37" t="str">
        <f t="array" ref="C2258">IFERROR(_xlfn.XLOOKUP(B2258,MObra[[#All],[DESCRIPCION]],MObra[[#All],[UN]],,0),"")</f>
        <v/>
      </c>
      <c r="D2258" s="38"/>
      <c r="E2258" s="39" t="str">
        <f>IFERROR(_xlfn.XLOOKUP($B2258,MObra[DESCRIPCION],MObra[VALOR UNIT],,0),"")</f>
        <v/>
      </c>
      <c r="F2258" s="40"/>
      <c r="G2258" s="41" t="str">
        <f>IFERROR(IF(F2258&gt;=0,D2258*E2258*(1+F2258/100),ABS(D2258*E2258/F2258)),"")</f>
        <v/>
      </c>
      <c r="H2258" s="42" t="str">
        <f>IFERROR(G2258*E2240,"")</f>
        <v/>
      </c>
    </row>
    <row r="2259" spans="1:11" ht="12.75" customHeight="1" thickTop="1" thickBot="1"/>
    <row r="2260" spans="1:11" ht="12.75" customHeight="1" thickTop="1" thickBot="1">
      <c r="A2260" s="6" t="s">
        <v>823</v>
      </c>
      <c r="B2260" s="7" t="str">
        <f>VLOOKUP($A2260,Presupuesto!$A:$D,2,FALSE())</f>
        <v>Tubería Hg 3" + accesorios</v>
      </c>
      <c r="C2260" s="8" t="str">
        <f>VLOOKUP($A2260,Presupuesto!$A:$D,3,FALSE())</f>
        <v>M</v>
      </c>
      <c r="D2260" s="9"/>
      <c r="E2260" s="10">
        <f>VLOOKUP($A2260,Presupuesto!$A:$D,4,FALSE())</f>
        <v>0</v>
      </c>
      <c r="F2260" s="11" t="s">
        <v>2589</v>
      </c>
      <c r="G2260" s="12">
        <f>SUM(G2262:G2278)/2</f>
        <v>87772.503031325003</v>
      </c>
      <c r="H2260" s="13">
        <f>ROUND(SUM(H2262:H2278),0)/2</f>
        <v>0</v>
      </c>
      <c r="I2260" s="10">
        <f>VLOOKUP(A2260,Presupuesto!$A:$F,6,0)</f>
        <v>0</v>
      </c>
      <c r="J2260" s="10">
        <f>+H2260-I2260</f>
        <v>0</v>
      </c>
      <c r="K2260" s="46">
        <f>+H2260-G2260*E2260</f>
        <v>0</v>
      </c>
    </row>
    <row r="2261" spans="1:11" ht="12.75" customHeight="1" thickTop="1">
      <c r="A2261" s="14"/>
      <c r="B2261" s="15" t="s">
        <v>2586</v>
      </c>
      <c r="C2261" s="15" t="s">
        <v>5</v>
      </c>
      <c r="D2261" s="16" t="s">
        <v>6</v>
      </c>
      <c r="E2261" s="17" t="s">
        <v>7</v>
      </c>
      <c r="F2261" s="18" t="s">
        <v>3728</v>
      </c>
      <c r="G2261" s="19" t="s">
        <v>3729</v>
      </c>
      <c r="H2261" s="20" t="s">
        <v>3797</v>
      </c>
    </row>
    <row r="2262" spans="1:11" ht="12.75" customHeight="1">
      <c r="A2262" s="21"/>
      <c r="B2262" s="22" t="s">
        <v>3730</v>
      </c>
      <c r="C2262" s="23"/>
      <c r="D2262" s="24"/>
      <c r="E2262" s="25"/>
      <c r="F2262" s="26"/>
      <c r="G2262" s="27">
        <f>SUM(G2263:G2267)</f>
        <v>76768.826750000007</v>
      </c>
      <c r="H2262" s="27">
        <f>IFERROR(G2262*E2260,"")</f>
        <v>0</v>
      </c>
    </row>
    <row r="2263" spans="1:11" ht="12.75" customHeight="1">
      <c r="A2263" s="28"/>
      <c r="B2263" s="29" t="s">
        <v>3450</v>
      </c>
      <c r="C2263" s="30" t="str">
        <f>IFERROR(_xlfn.XLOOKUP(B2263,Insumo[DESCRIPCION],Insumo[UND],,0),"")</f>
        <v>M</v>
      </c>
      <c r="D2263" s="31">
        <v>1</v>
      </c>
      <c r="E2263" s="32">
        <f>IFERROR(_xlfn.XLOOKUP($B2263,Insumo[DESCRIPCION],Insumo[VALOR],,0),"")</f>
        <v>67911.725000000006</v>
      </c>
      <c r="F2263" s="33">
        <v>3</v>
      </c>
      <c r="G2263" s="34">
        <f>IFERROR(IF(F2263&gt;=0,D2263*E2263*(1+F2263/100),ABS(D2263*E2263/F2263)),"")</f>
        <v>69949.076750000007</v>
      </c>
      <c r="H2263" s="43">
        <f>IFERROR(G2263*E2260,"")</f>
        <v>0</v>
      </c>
    </row>
    <row r="2264" spans="1:11" ht="12.75" customHeight="1">
      <c r="A2264" s="28"/>
      <c r="B2264" s="29" t="s">
        <v>2633</v>
      </c>
      <c r="C2264" s="30" t="str">
        <f>IFERROR(_xlfn.XLOOKUP(B2264,Insumo[DESCRIPCION],Insumo[UND],,0),"")</f>
        <v>Un</v>
      </c>
      <c r="D2264" s="31">
        <v>0.15</v>
      </c>
      <c r="E2264" s="32">
        <f>IFERROR(_xlfn.XLOOKUP($B2264,Insumo[DESCRIPCION],Insumo[VALOR],,0),"")</f>
        <v>45465</v>
      </c>
      <c r="F2264" s="33"/>
      <c r="G2264" s="34">
        <f>IFERROR(IF(F2264&gt;=0,D2264*E2264*(1+F2264/100),ABS(D2264*E2264/F2264)),"")</f>
        <v>6819.75</v>
      </c>
      <c r="H2264" s="43">
        <f>IFERROR(G2264*E2260,"")</f>
        <v>0</v>
      </c>
    </row>
    <row r="2265" spans="1:11" ht="12.75" customHeight="1">
      <c r="A2265" s="28"/>
      <c r="B2265" s="29"/>
      <c r="C2265" s="30" t="str">
        <f>IFERROR(_xlfn.XLOOKUP(B2265,Insumo[DESCRIPCION],Insumo[UND],,0),"")</f>
        <v/>
      </c>
      <c r="D2265" s="31"/>
      <c r="E2265" s="32" t="str">
        <f>IFERROR(_xlfn.XLOOKUP($B2265,Insumo[DESCRIPCION],Insumo[VALOR],,0),"")</f>
        <v/>
      </c>
      <c r="F2265" s="33"/>
      <c r="G2265" s="34" t="str">
        <f>IFERROR(IF(F2265&gt;=0,D2265*E2265*(1+F2265/100),ABS(D2265*E2265/F2265)),"")</f>
        <v/>
      </c>
      <c r="H2265" s="43" t="str">
        <f>IFERROR(G2265*E2260,"")</f>
        <v/>
      </c>
    </row>
    <row r="2266" spans="1:11" ht="12.75" customHeight="1">
      <c r="A2266" s="28"/>
      <c r="B2266" s="29"/>
      <c r="C2266" s="30" t="str">
        <f>IFERROR(_xlfn.XLOOKUP(B2266,Insumo[DESCRIPCION],Insumo[UND],,0),"")</f>
        <v/>
      </c>
      <c r="D2266" s="31"/>
      <c r="E2266" s="32" t="str">
        <f>IFERROR(_xlfn.XLOOKUP($B2266,Insumo[DESCRIPCION],Insumo[VALOR],,0),"")</f>
        <v/>
      </c>
      <c r="F2266" s="33"/>
      <c r="G2266" s="34" t="str">
        <f>IFERROR(IF(F2266&gt;=0,D2266*E2266*(1+F2266/100),ABS(D2266*E2266/F2266)),"")</f>
        <v/>
      </c>
      <c r="H2266" s="43" t="str">
        <f>IFERROR(G2266*E2260,"")</f>
        <v/>
      </c>
    </row>
    <row r="2267" spans="1:11" ht="12.75" customHeight="1">
      <c r="A2267" s="28"/>
      <c r="B2267" s="29"/>
      <c r="C2267" s="30" t="str">
        <f>IFERROR(_xlfn.XLOOKUP(B2267,Insumo[DESCRIPCION],Insumo[UND],,0),"")</f>
        <v/>
      </c>
      <c r="D2267" s="31"/>
      <c r="E2267" s="32" t="str">
        <f>IFERROR(_xlfn.XLOOKUP($B2267,Insumo[DESCRIPCION],Insumo[VALOR],,0),"")</f>
        <v/>
      </c>
      <c r="F2267" s="33"/>
      <c r="G2267" s="34" t="str">
        <f>IFERROR(IF(F2267&gt;=0,D2267*E2267*(1+F2267/100),ABS(D2267*E2267/F2267)),"")</f>
        <v/>
      </c>
      <c r="H2267" s="43" t="str">
        <f>IFERROR(G2267*E2260,"")</f>
        <v/>
      </c>
    </row>
    <row r="2268" spans="1:11" ht="12.75" customHeight="1">
      <c r="A2268" s="21"/>
      <c r="B2268" s="22" t="s">
        <v>3731</v>
      </c>
      <c r="C2268" s="23"/>
      <c r="D2268" s="24"/>
      <c r="E2268" s="25"/>
      <c r="F2268" s="26"/>
      <c r="G2268" s="27">
        <f>SUM(G2269:G2271)</f>
        <v>523.98458482500007</v>
      </c>
      <c r="H2268" s="44">
        <f>G2268*E2260</f>
        <v>0</v>
      </c>
    </row>
    <row r="2269" spans="1:11" ht="12.75" customHeight="1">
      <c r="A2269" s="28"/>
      <c r="B2269" s="29" t="s">
        <v>3626</v>
      </c>
      <c r="C2269" s="30" t="str">
        <f>IFERROR(_xlfn.XLOOKUP(B2269,Equipo[DESCRIPCION],Equipo[UND],,0),"")</f>
        <v>%MO</v>
      </c>
      <c r="D2269" s="31">
        <v>0.05</v>
      </c>
      <c r="E2269" s="32">
        <f>IF(C2269="%MO",G2275,IFERROR(_xlfn.XLOOKUP($B2269,Equipo[DESCRIPCION],Equipo[VALOR],,0),""))</f>
        <v>10479.691696500002</v>
      </c>
      <c r="F2269" s="33"/>
      <c r="G2269" s="34">
        <f>IFERROR(IF(F2269&gt;=0,D2269*E2269*(1+F2269/100),ABS(D2269*E2269/F2269)),"")</f>
        <v>523.98458482500007</v>
      </c>
      <c r="H2269" s="43">
        <f>IFERROR(G2269*E2260,"")</f>
        <v>0</v>
      </c>
    </row>
    <row r="2270" spans="1:11" ht="12.75" customHeight="1">
      <c r="A2270" s="28"/>
      <c r="B2270" s="29"/>
      <c r="C2270" s="30" t="str">
        <f>IFERROR(_xlfn.XLOOKUP(B2270,Equipo[DESCRIPCION],Equipo[UND],,0),"")</f>
        <v/>
      </c>
      <c r="D2270" s="31"/>
      <c r="E2270" s="32" t="str">
        <f>IF(C2270="%MO",G2275,IFERROR(_xlfn.XLOOKUP($B2270,Equipo[DESCRIPCION],Equipo[VALOR],,0),""))</f>
        <v/>
      </c>
      <c r="F2270" s="33"/>
      <c r="G2270" s="34" t="str">
        <f>IFERROR(IF(F2270&gt;=0,D2270*E2270*(1+F2270/100),ABS(D2270*E2270/F2270)),"")</f>
        <v/>
      </c>
      <c r="H2270" s="43" t="str">
        <f>IFERROR(G2270*E2260,"")</f>
        <v/>
      </c>
    </row>
    <row r="2271" spans="1:11" ht="12.75" customHeight="1">
      <c r="A2271" s="28"/>
      <c r="B2271" s="29"/>
      <c r="C2271" s="30" t="str">
        <f>IFERROR(_xlfn.XLOOKUP(B2271,Equipo[DESCRIPCION],Equipo[UND],,0),"")</f>
        <v/>
      </c>
      <c r="D2271" s="31"/>
      <c r="E2271" s="32" t="str">
        <f>IF(C2271="%MO",G2275,IFERROR(_xlfn.XLOOKUP($B2271,Equipo[DESCRIPCION],Equipo[VALOR],,0),""))</f>
        <v/>
      </c>
      <c r="F2271" s="33"/>
      <c r="G2271" s="34" t="str">
        <f>IFERROR(IF(F2271&gt;=0,D2271*E2271*(1+F2271/100),ABS(D2271*E2271/F2271)),"")</f>
        <v/>
      </c>
      <c r="H2271" s="43" t="str">
        <f>IFERROR(G2271*E2260,"")</f>
        <v/>
      </c>
    </row>
    <row r="2272" spans="1:11" ht="12.75" customHeight="1">
      <c r="A2272" s="21"/>
      <c r="B2272" s="22" t="s">
        <v>2533</v>
      </c>
      <c r="C2272" s="23"/>
      <c r="D2272" s="24"/>
      <c r="E2272" s="25"/>
      <c r="F2272" s="26"/>
      <c r="G2272" s="27">
        <f>SUM(G2273:G2274)</f>
        <v>0</v>
      </c>
      <c r="H2272" s="44">
        <f>G2272*E2260</f>
        <v>0</v>
      </c>
    </row>
    <row r="2273" spans="1:11" ht="12.75" customHeight="1">
      <c r="A2273" s="28"/>
      <c r="B2273" s="29"/>
      <c r="C2273" s="30" t="str">
        <f>IFERROR(_xlfn.XLOOKUP(B2273,Transporte[DESCRIPCION],Transporte[UND],,0),"")</f>
        <v/>
      </c>
      <c r="D2273" s="31"/>
      <c r="E2273" s="32" t="str">
        <f>IFERROR(_xlfn.XLOOKUP($B2273,Transporte[DESCRIPCION],Transporte[VALOR],,0),"")</f>
        <v/>
      </c>
      <c r="F2273" s="33"/>
      <c r="G2273" s="34" t="str">
        <f>IFERROR(IF(F2273&gt;=0,D2273*E2273*(1+F2273/100),ABS(D2273*E2273/F2273)),"")</f>
        <v/>
      </c>
      <c r="H2273" s="43" t="str">
        <f>IFERROR(G2273*E2260,"")</f>
        <v/>
      </c>
    </row>
    <row r="2274" spans="1:11" ht="12.75" customHeight="1">
      <c r="A2274" s="28"/>
      <c r="B2274" s="29"/>
      <c r="C2274" s="30" t="str">
        <f>IFERROR(_xlfn.XLOOKUP(B2274,Transporte[DESCRIPCION],Transporte[UND],,0),"")</f>
        <v/>
      </c>
      <c r="D2274" s="31"/>
      <c r="E2274" s="32" t="str">
        <f>IFERROR(_xlfn.XLOOKUP($B2274,Transporte[DESCRIPCION],Transporte[VALOR],,0),"")</f>
        <v/>
      </c>
      <c r="F2274" s="33"/>
      <c r="G2274" s="34" t="str">
        <f>IFERROR(IF(F2274&gt;=0,D2274*E2274*(1+F2274/100),ABS(D2274*E2274/F2274)),"")</f>
        <v/>
      </c>
      <c r="H2274" s="43" t="str">
        <f>IFERROR(G2274*E2260,"")</f>
        <v/>
      </c>
    </row>
    <row r="2275" spans="1:11" ht="12.75" customHeight="1">
      <c r="A2275" s="21"/>
      <c r="B2275" s="22" t="s">
        <v>3732</v>
      </c>
      <c r="C2275" s="23"/>
      <c r="D2275" s="24"/>
      <c r="E2275" s="25"/>
      <c r="F2275" s="26"/>
      <c r="G2275" s="27">
        <f>SUM(G2276:G2278)</f>
        <v>10479.691696500002</v>
      </c>
      <c r="H2275" s="44">
        <f>G2275*E2260</f>
        <v>0</v>
      </c>
    </row>
    <row r="2276" spans="1:11" ht="12.75" customHeight="1">
      <c r="A2276" s="28"/>
      <c r="B2276" s="29" t="s">
        <v>3710</v>
      </c>
      <c r="C2276" s="30" t="str">
        <f>IFERROR(_xlfn.XLOOKUP(B2276,MObra[DESCRIPCION],MObra[UN],,0),"")</f>
        <v>día</v>
      </c>
      <c r="D2276" s="31">
        <v>1</v>
      </c>
      <c r="E2276" s="32">
        <f>IFERROR(_xlfn.XLOOKUP($B2276,MObra[DESCRIPCION],MObra[VALOR UNIT],,0),"")</f>
        <v>314390.75089500006</v>
      </c>
      <c r="F2276" s="33">
        <v>-30</v>
      </c>
      <c r="G2276" s="34">
        <f>IFERROR(IF(F2276&gt;=0,D2276*E2276*(1+F2276/100),ABS(D2276*E2276/F2276)),"")</f>
        <v>10479.691696500002</v>
      </c>
      <c r="H2276" s="43">
        <f>IFERROR(G2276*E2260,"")</f>
        <v>0</v>
      </c>
    </row>
    <row r="2277" spans="1:11" ht="12.75" customHeight="1">
      <c r="A2277" s="28"/>
      <c r="B2277" s="29"/>
      <c r="C2277" s="30" t="str">
        <f t="array" ref="C2277">IFERROR(_xlfn.XLOOKUP(B2277,MObra[[#All],[DESCRIPCION]],MObra[[#All],[UN]],,0),"")</f>
        <v/>
      </c>
      <c r="D2277" s="31"/>
      <c r="E2277" s="32" t="str">
        <f>IFERROR(_xlfn.XLOOKUP($B2277,MObra[DESCRIPCION],MObra[VALOR UNIT],,0),"")</f>
        <v/>
      </c>
      <c r="F2277" s="33"/>
      <c r="G2277" s="34" t="str">
        <f>IFERROR(IF(F2277&gt;=0,D2277*E2277*(1+F2277/100),ABS(D2277*E2277/F2277)),"")</f>
        <v/>
      </c>
      <c r="H2277" s="43" t="str">
        <f>IFERROR(G2277*E2260,"")</f>
        <v/>
      </c>
    </row>
    <row r="2278" spans="1:11" ht="12.75" customHeight="1" thickBot="1">
      <c r="A2278" s="35"/>
      <c r="B2278" s="36"/>
      <c r="C2278" s="37" t="str">
        <f t="array" ref="C2278">IFERROR(_xlfn.XLOOKUP(B2278,MObra[[#All],[DESCRIPCION]],MObra[[#All],[UN]],,0),"")</f>
        <v/>
      </c>
      <c r="D2278" s="38"/>
      <c r="E2278" s="39" t="str">
        <f>IFERROR(_xlfn.XLOOKUP($B2278,MObra[DESCRIPCION],MObra[VALOR UNIT],,0),"")</f>
        <v/>
      </c>
      <c r="F2278" s="40"/>
      <c r="G2278" s="41" t="str">
        <f>IFERROR(IF(F2278&gt;=0,D2278*E2278*(1+F2278/100),ABS(D2278*E2278/F2278)),"")</f>
        <v/>
      </c>
      <c r="H2278" s="42" t="str">
        <f>IFERROR(G2278*E2260,"")</f>
        <v/>
      </c>
    </row>
    <row r="2279" spans="1:11" ht="12.75" customHeight="1" thickTop="1" thickBot="1"/>
    <row r="2280" spans="1:11" ht="12.75" customHeight="1" thickTop="1" thickBot="1">
      <c r="A2280" s="6" t="s">
        <v>825</v>
      </c>
      <c r="B2280" s="7" t="str">
        <f>VLOOKUP($A2280,Presupuesto!$A:$D,2,FALSE())</f>
        <v>Tubería PVC presión 1/2" + accesorios</v>
      </c>
      <c r="C2280" s="8" t="str">
        <f>VLOOKUP($A2280,Presupuesto!$A:$D,3,FALSE())</f>
        <v>M</v>
      </c>
      <c r="D2280" s="9"/>
      <c r="E2280" s="10">
        <f>VLOOKUP($A2280,Presupuesto!$A:$D,4,FALSE())</f>
        <v>0</v>
      </c>
      <c r="F2280" s="11" t="s">
        <v>2589</v>
      </c>
      <c r="G2280" s="12">
        <f>SUM(G2282:G2298)/2</f>
        <v>9319.1253843974991</v>
      </c>
      <c r="H2280" s="13">
        <f>ROUND(SUM(H2282:H2298),0)/2</f>
        <v>0</v>
      </c>
      <c r="I2280" s="10">
        <f>VLOOKUP(A2280,Presupuesto!$A:$F,6,0)</f>
        <v>0</v>
      </c>
      <c r="J2280" s="10">
        <f>+H2280-I2280</f>
        <v>0</v>
      </c>
      <c r="K2280" s="46">
        <f>+H2280-G2280*E2280</f>
        <v>0</v>
      </c>
    </row>
    <row r="2281" spans="1:11" ht="12.75" customHeight="1" thickTop="1">
      <c r="A2281" s="14"/>
      <c r="B2281" s="15" t="s">
        <v>2586</v>
      </c>
      <c r="C2281" s="15" t="s">
        <v>5</v>
      </c>
      <c r="D2281" s="16" t="s">
        <v>6</v>
      </c>
      <c r="E2281" s="17" t="s">
        <v>7</v>
      </c>
      <c r="F2281" s="18" t="s">
        <v>3728</v>
      </c>
      <c r="G2281" s="19" t="s">
        <v>3729</v>
      </c>
      <c r="H2281" s="20" t="s">
        <v>3797</v>
      </c>
    </row>
    <row r="2282" spans="1:11" ht="12.75" customHeight="1">
      <c r="A2282" s="21"/>
      <c r="B2282" s="22" t="s">
        <v>3730</v>
      </c>
      <c r="C2282" s="23"/>
      <c r="D2282" s="24"/>
      <c r="E2282" s="25"/>
      <c r="F2282" s="26"/>
      <c r="G2282" s="27">
        <f>SUM(G2283:G2287)</f>
        <v>6018.0225</v>
      </c>
      <c r="H2282" s="27">
        <f>IFERROR(G2282*E2280,"")</f>
        <v>0</v>
      </c>
    </row>
    <row r="2283" spans="1:11" ht="12.75" customHeight="1">
      <c r="A2283" s="28"/>
      <c r="B2283" s="29" t="s">
        <v>3495</v>
      </c>
      <c r="C2283" s="30" t="str">
        <f>IFERROR(_xlfn.XLOOKUP(B2283,Insumo[DESCRIPCION],Insumo[UND],,0),"")</f>
        <v>M</v>
      </c>
      <c r="D2283" s="31">
        <v>1</v>
      </c>
      <c r="E2283" s="32">
        <f>IFERROR(_xlfn.XLOOKUP($B2283,Insumo[DESCRIPCION],Insumo[VALOR],,0),"")</f>
        <v>4645.2</v>
      </c>
      <c r="F2283" s="33">
        <v>3</v>
      </c>
      <c r="G2283" s="34">
        <f>IFERROR(IF(F2283&gt;=0,D2283*E2283*(1+F2283/100),ABS(D2283*E2283/F2283)),"")</f>
        <v>4784.5559999999996</v>
      </c>
      <c r="H2283" s="43">
        <f>IFERROR(G2283*E2280,"")</f>
        <v>0</v>
      </c>
    </row>
    <row r="2284" spans="1:11" ht="12.75" customHeight="1">
      <c r="A2284" s="28"/>
      <c r="B2284" s="29" t="s">
        <v>2640</v>
      </c>
      <c r="C2284" s="30" t="str">
        <f>IFERROR(_xlfn.XLOOKUP(B2284,Insumo[DESCRIPCION],Insumo[UND],,0),"")</f>
        <v>Un</v>
      </c>
      <c r="D2284" s="31">
        <v>0.13</v>
      </c>
      <c r="E2284" s="32">
        <f>IFERROR(_xlfn.XLOOKUP($B2284,Insumo[DESCRIPCION],Insumo[VALOR],,0),"")</f>
        <v>1423.8</v>
      </c>
      <c r="F2284" s="33"/>
      <c r="G2284" s="34">
        <f>IFERROR(IF(F2284&gt;=0,D2284*E2284*(1+F2284/100),ABS(D2284*E2284/F2284)),"")</f>
        <v>185.09399999999999</v>
      </c>
      <c r="H2284" s="43">
        <f>IFERROR(G2284*E2280,"")</f>
        <v>0</v>
      </c>
    </row>
    <row r="2285" spans="1:11" ht="12.75" customHeight="1">
      <c r="A2285" s="28"/>
      <c r="B2285" s="29" t="s">
        <v>3046</v>
      </c>
      <c r="C2285" s="30" t="str">
        <f>IFERROR(_xlfn.XLOOKUP(B2285,Insumo[DESCRIPCION],Insumo[UND],,0),"")</f>
        <v>Un</v>
      </c>
      <c r="D2285" s="31">
        <v>0.01</v>
      </c>
      <c r="E2285" s="32">
        <f>IFERROR(_xlfn.XLOOKUP($B2285,Insumo[DESCRIPCION],Insumo[VALOR],,0),"")</f>
        <v>62413.05</v>
      </c>
      <c r="F2285" s="33"/>
      <c r="G2285" s="34">
        <f>IFERROR(IF(F2285&gt;=0,D2285*E2285*(1+F2285/100),ABS(D2285*E2285/F2285)),"")</f>
        <v>624.1305000000001</v>
      </c>
      <c r="H2285" s="43">
        <f>IFERROR(G2285*E2280,"")</f>
        <v>0</v>
      </c>
    </row>
    <row r="2286" spans="1:11" ht="12.75" customHeight="1">
      <c r="A2286" s="28"/>
      <c r="B2286" s="29" t="s">
        <v>3329</v>
      </c>
      <c r="C2286" s="30" t="str">
        <f>IFERROR(_xlfn.XLOOKUP(B2286,Insumo[DESCRIPCION],Insumo[UND],,0),"")</f>
        <v>Un</v>
      </c>
      <c r="D2286" s="31">
        <v>0.01</v>
      </c>
      <c r="E2286" s="32">
        <f>IFERROR(_xlfn.XLOOKUP($B2286,Insumo[DESCRIPCION],Insumo[VALOR],,0),"")</f>
        <v>42424.200000000004</v>
      </c>
      <c r="F2286" s="33"/>
      <c r="G2286" s="34">
        <f>IFERROR(IF(F2286&gt;=0,D2286*E2286*(1+F2286/100),ABS(D2286*E2286/F2286)),"")</f>
        <v>424.24200000000008</v>
      </c>
      <c r="H2286" s="43">
        <f>IFERROR(G2286*E2280,"")</f>
        <v>0</v>
      </c>
    </row>
    <row r="2287" spans="1:11" ht="12.75" customHeight="1">
      <c r="A2287" s="28"/>
      <c r="B2287" s="29"/>
      <c r="C2287" s="30" t="str">
        <f>IFERROR(_xlfn.XLOOKUP(B2287,Insumo[DESCRIPCION],Insumo[UND],,0),"")</f>
        <v/>
      </c>
      <c r="D2287" s="31"/>
      <c r="E2287" s="32" t="str">
        <f>IFERROR(_xlfn.XLOOKUP($B2287,Insumo[DESCRIPCION],Insumo[VALOR],,0),"")</f>
        <v/>
      </c>
      <c r="F2287" s="33"/>
      <c r="G2287" s="34" t="str">
        <f>IFERROR(IF(F2287&gt;=0,D2287*E2287*(1+F2287/100),ABS(D2287*E2287/F2287)),"")</f>
        <v/>
      </c>
      <c r="H2287" s="43" t="str">
        <f>IFERROR(G2287*E2280,"")</f>
        <v/>
      </c>
    </row>
    <row r="2288" spans="1:11" ht="12.75" customHeight="1">
      <c r="A2288" s="21"/>
      <c r="B2288" s="22" t="s">
        <v>3731</v>
      </c>
      <c r="C2288" s="23"/>
      <c r="D2288" s="24"/>
      <c r="E2288" s="25"/>
      <c r="F2288" s="26"/>
      <c r="G2288" s="27">
        <f>SUM(G2289:G2291)</f>
        <v>157.19537544750006</v>
      </c>
      <c r="H2288" s="44">
        <f>G2288*E2280</f>
        <v>0</v>
      </c>
    </row>
    <row r="2289" spans="1:11" ht="12.75" customHeight="1">
      <c r="A2289" s="28"/>
      <c r="B2289" s="29" t="s">
        <v>3626</v>
      </c>
      <c r="C2289" s="30" t="str">
        <f>IFERROR(_xlfn.XLOOKUP(B2289,Equipo[DESCRIPCION],Equipo[UND],,0),"")</f>
        <v>%MO</v>
      </c>
      <c r="D2289" s="31">
        <v>0.05</v>
      </c>
      <c r="E2289" s="32">
        <f>IF(C2289="%MO",G2295,IFERROR(_xlfn.XLOOKUP($B2289,Equipo[DESCRIPCION],Equipo[VALOR],,0),""))</f>
        <v>3143.9075089500006</v>
      </c>
      <c r="F2289" s="33"/>
      <c r="G2289" s="34">
        <f>IFERROR(IF(F2289&gt;=0,D2289*E2289*(1+F2289/100),ABS(D2289*E2289/F2289)),"")</f>
        <v>157.19537544750006</v>
      </c>
      <c r="H2289" s="43">
        <f>IFERROR(G2289*E2280,"")</f>
        <v>0</v>
      </c>
    </row>
    <row r="2290" spans="1:11" ht="12.75" customHeight="1">
      <c r="A2290" s="28"/>
      <c r="B2290" s="29"/>
      <c r="C2290" s="30" t="str">
        <f>IFERROR(_xlfn.XLOOKUP(B2290,Equipo[DESCRIPCION],Equipo[UND],,0),"")</f>
        <v/>
      </c>
      <c r="D2290" s="31"/>
      <c r="E2290" s="32" t="str">
        <f>IF(C2290="%MO",G2295,IFERROR(_xlfn.XLOOKUP($B2290,Equipo[DESCRIPCION],Equipo[VALOR],,0),""))</f>
        <v/>
      </c>
      <c r="F2290" s="33"/>
      <c r="G2290" s="34" t="str">
        <f>IFERROR(IF(F2290&gt;=0,D2290*E2290*(1+F2290/100),ABS(D2290*E2290/F2290)),"")</f>
        <v/>
      </c>
      <c r="H2290" s="43" t="str">
        <f>IFERROR(G2290*E2280,"")</f>
        <v/>
      </c>
    </row>
    <row r="2291" spans="1:11" ht="12.75" customHeight="1">
      <c r="A2291" s="28"/>
      <c r="B2291" s="29"/>
      <c r="C2291" s="30" t="str">
        <f>IFERROR(_xlfn.XLOOKUP(B2291,Equipo[DESCRIPCION],Equipo[UND],,0),"")</f>
        <v/>
      </c>
      <c r="D2291" s="31"/>
      <c r="E2291" s="32" t="str">
        <f>IF(C2291="%MO",G2295,IFERROR(_xlfn.XLOOKUP($B2291,Equipo[DESCRIPCION],Equipo[VALOR],,0),""))</f>
        <v/>
      </c>
      <c r="F2291" s="33"/>
      <c r="G2291" s="34" t="str">
        <f>IFERROR(IF(F2291&gt;=0,D2291*E2291*(1+F2291/100),ABS(D2291*E2291/F2291)),"")</f>
        <v/>
      </c>
      <c r="H2291" s="43" t="str">
        <f>IFERROR(G2291*E2280,"")</f>
        <v/>
      </c>
    </row>
    <row r="2292" spans="1:11" ht="12.75" customHeight="1">
      <c r="A2292" s="21"/>
      <c r="B2292" s="22" t="s">
        <v>2533</v>
      </c>
      <c r="C2292" s="23"/>
      <c r="D2292" s="24"/>
      <c r="E2292" s="25"/>
      <c r="F2292" s="26"/>
      <c r="G2292" s="27">
        <f>SUM(G2293:G2294)</f>
        <v>0</v>
      </c>
      <c r="H2292" s="44">
        <f>G2292*E2280</f>
        <v>0</v>
      </c>
    </row>
    <row r="2293" spans="1:11" ht="12.75" customHeight="1">
      <c r="A2293" s="28"/>
      <c r="B2293" s="29"/>
      <c r="C2293" s="30" t="str">
        <f>IFERROR(_xlfn.XLOOKUP(B2293,Transporte[DESCRIPCION],Transporte[UND],,0),"")</f>
        <v/>
      </c>
      <c r="D2293" s="31"/>
      <c r="E2293" s="32" t="str">
        <f>IFERROR(_xlfn.XLOOKUP($B2293,Transporte[DESCRIPCION],Transporte[VALOR],,0),"")</f>
        <v/>
      </c>
      <c r="F2293" s="33"/>
      <c r="G2293" s="34" t="str">
        <f>IFERROR(IF(F2293&gt;=0,D2293*E2293*(1+F2293/100),ABS(D2293*E2293/F2293)),"")</f>
        <v/>
      </c>
      <c r="H2293" s="43" t="str">
        <f>IFERROR(G2293*E2280,"")</f>
        <v/>
      </c>
    </row>
    <row r="2294" spans="1:11" ht="12.75" customHeight="1">
      <c r="A2294" s="28"/>
      <c r="B2294" s="29"/>
      <c r="C2294" s="30" t="str">
        <f>IFERROR(_xlfn.XLOOKUP(B2294,Transporte[DESCRIPCION],Transporte[UND],,0),"")</f>
        <v/>
      </c>
      <c r="D2294" s="31"/>
      <c r="E2294" s="32" t="str">
        <f>IFERROR(_xlfn.XLOOKUP($B2294,Transporte[DESCRIPCION],Transporte[VALOR],,0),"")</f>
        <v/>
      </c>
      <c r="F2294" s="33"/>
      <c r="G2294" s="34" t="str">
        <f>IFERROR(IF(F2294&gt;=0,D2294*E2294*(1+F2294/100),ABS(D2294*E2294/F2294)),"")</f>
        <v/>
      </c>
      <c r="H2294" s="43" t="str">
        <f>IFERROR(G2294*E2280,"")</f>
        <v/>
      </c>
    </row>
    <row r="2295" spans="1:11" ht="12.75" customHeight="1">
      <c r="A2295" s="21"/>
      <c r="B2295" s="22" t="s">
        <v>3732</v>
      </c>
      <c r="C2295" s="23"/>
      <c r="D2295" s="24"/>
      <c r="E2295" s="25"/>
      <c r="F2295" s="26"/>
      <c r="G2295" s="27">
        <f>SUM(G2296:G2298)</f>
        <v>3143.9075089500006</v>
      </c>
      <c r="H2295" s="44">
        <f>G2295*E2280</f>
        <v>0</v>
      </c>
    </row>
    <row r="2296" spans="1:11" ht="12.75" customHeight="1">
      <c r="A2296" s="28"/>
      <c r="B2296" s="29" t="s">
        <v>3710</v>
      </c>
      <c r="C2296" s="30" t="str">
        <f>IFERROR(_xlfn.XLOOKUP(B2296,MObra[DESCRIPCION],MObra[UN],,0),"")</f>
        <v>día</v>
      </c>
      <c r="D2296" s="31">
        <v>1</v>
      </c>
      <c r="E2296" s="32">
        <f>IFERROR(_xlfn.XLOOKUP($B2296,MObra[DESCRIPCION],MObra[VALOR UNIT],,0),"")</f>
        <v>314390.75089500006</v>
      </c>
      <c r="F2296" s="33">
        <v>-100</v>
      </c>
      <c r="G2296" s="34">
        <f>IFERROR(IF(F2296&gt;=0,D2296*E2296*(1+F2296/100),ABS(D2296*E2296/F2296)),"")</f>
        <v>3143.9075089500006</v>
      </c>
      <c r="H2296" s="43">
        <f>IFERROR(G2296*E2280,"")</f>
        <v>0</v>
      </c>
    </row>
    <row r="2297" spans="1:11" ht="12.75" customHeight="1">
      <c r="A2297" s="28"/>
      <c r="B2297" s="29"/>
      <c r="C2297" s="30" t="str">
        <f t="array" ref="C2297">IFERROR(_xlfn.XLOOKUP(B2297,MObra[[#All],[DESCRIPCION]],MObra[[#All],[UN]],,0),"")</f>
        <v/>
      </c>
      <c r="D2297" s="31"/>
      <c r="E2297" s="32" t="str">
        <f>IFERROR(_xlfn.XLOOKUP($B2297,MObra[DESCRIPCION],MObra[VALOR UNIT],,0),"")</f>
        <v/>
      </c>
      <c r="F2297" s="33"/>
      <c r="G2297" s="34" t="str">
        <f>IFERROR(IF(F2297&gt;=0,D2297*E2297*(1+F2297/100),ABS(D2297*E2297/F2297)),"")</f>
        <v/>
      </c>
      <c r="H2297" s="43" t="str">
        <f>IFERROR(G2297*E2280,"")</f>
        <v/>
      </c>
    </row>
    <row r="2298" spans="1:11" ht="12.75" customHeight="1" thickBot="1">
      <c r="A2298" s="35"/>
      <c r="B2298" s="36"/>
      <c r="C2298" s="37" t="str">
        <f t="array" ref="C2298">IFERROR(_xlfn.XLOOKUP(B2298,MObra[[#All],[DESCRIPCION]],MObra[[#All],[UN]],,0),"")</f>
        <v/>
      </c>
      <c r="D2298" s="38"/>
      <c r="E2298" s="39" t="str">
        <f>IFERROR(_xlfn.XLOOKUP($B2298,MObra[DESCRIPCION],MObra[VALOR UNIT],,0),"")</f>
        <v/>
      </c>
      <c r="F2298" s="40"/>
      <c r="G2298" s="41" t="str">
        <f>IFERROR(IF(F2298&gt;=0,D2298*E2298*(1+F2298/100),ABS(D2298*E2298/F2298)),"")</f>
        <v/>
      </c>
      <c r="H2298" s="42" t="str">
        <f>IFERROR(G2298*E2280,"")</f>
        <v/>
      </c>
    </row>
    <row r="2299" spans="1:11" ht="12.75" customHeight="1" thickTop="1" thickBot="1"/>
    <row r="2300" spans="1:11" ht="12.75" customHeight="1" thickTop="1" thickBot="1">
      <c r="A2300" s="6" t="s">
        <v>827</v>
      </c>
      <c r="B2300" s="7" t="str">
        <f>VLOOKUP($A2300,Presupuesto!$A:$D,2,FALSE())</f>
        <v>Tubería PVC presión 3/4" + accesorios</v>
      </c>
      <c r="C2300" s="8" t="str">
        <f>VLOOKUP($A2300,Presupuesto!$A:$D,3,FALSE())</f>
        <v>M</v>
      </c>
      <c r="D2300" s="9"/>
      <c r="E2300" s="10">
        <f>VLOOKUP($A2300,Presupuesto!$A:$D,4,FALSE())</f>
        <v>0</v>
      </c>
      <c r="F2300" s="11" t="s">
        <v>2589</v>
      </c>
      <c r="G2300" s="12">
        <f>SUM(G2302:G2318)/2</f>
        <v>13882.407593775</v>
      </c>
      <c r="H2300" s="13">
        <f>ROUND(SUM(H2302:H2318),0)/2</f>
        <v>0</v>
      </c>
      <c r="I2300" s="10">
        <f>VLOOKUP(A2300,Presupuesto!$A:$F,6,0)</f>
        <v>0</v>
      </c>
      <c r="J2300" s="10">
        <f>+H2300-I2300</f>
        <v>0</v>
      </c>
      <c r="K2300" s="46">
        <f>+H2300-G2300*E2300</f>
        <v>0</v>
      </c>
    </row>
    <row r="2301" spans="1:11" ht="12.75" customHeight="1" thickTop="1">
      <c r="A2301" s="14"/>
      <c r="B2301" s="15" t="s">
        <v>2586</v>
      </c>
      <c r="C2301" s="15" t="s">
        <v>5</v>
      </c>
      <c r="D2301" s="16" t="s">
        <v>6</v>
      </c>
      <c r="E2301" s="17" t="s">
        <v>7</v>
      </c>
      <c r="F2301" s="18" t="s">
        <v>3728</v>
      </c>
      <c r="G2301" s="19" t="s">
        <v>3729</v>
      </c>
      <c r="H2301" s="20" t="s">
        <v>3797</v>
      </c>
    </row>
    <row r="2302" spans="1:11" ht="12.75" customHeight="1">
      <c r="A2302" s="21"/>
      <c r="B2302" s="22" t="s">
        <v>3730</v>
      </c>
      <c r="C2302" s="23"/>
      <c r="D2302" s="24"/>
      <c r="E2302" s="25"/>
      <c r="F2302" s="26"/>
      <c r="G2302" s="27">
        <f>SUM(G2303:G2307)</f>
        <v>10214.5155</v>
      </c>
      <c r="H2302" s="27">
        <f>IFERROR(G2302*E2300,"")</f>
        <v>0</v>
      </c>
    </row>
    <row r="2303" spans="1:11" ht="12.75" customHeight="1">
      <c r="A2303" s="28"/>
      <c r="B2303" s="29" t="s">
        <v>3499</v>
      </c>
      <c r="C2303" s="30" t="str">
        <f>IFERROR(_xlfn.XLOOKUP(B2303,Insumo[DESCRIPCION],Insumo[UND],,0),"")</f>
        <v>M</v>
      </c>
      <c r="D2303" s="31">
        <v>1</v>
      </c>
      <c r="E2303" s="32">
        <f>IFERROR(_xlfn.XLOOKUP($B2303,Insumo[DESCRIPCION],Insumo[VALOR],,0),"")</f>
        <v>8596.35</v>
      </c>
      <c r="F2303" s="33">
        <v>3</v>
      </c>
      <c r="G2303" s="34">
        <f>IFERROR(IF(F2303&gt;=0,D2303*E2303*(1+F2303/100),ABS(D2303*E2303/F2303)),"")</f>
        <v>8854.2404999999999</v>
      </c>
      <c r="H2303" s="43">
        <f>IFERROR(G2303*E2300,"")</f>
        <v>0</v>
      </c>
    </row>
    <row r="2304" spans="1:11" ht="12.75" customHeight="1">
      <c r="A2304" s="28"/>
      <c r="B2304" s="29" t="s">
        <v>2644</v>
      </c>
      <c r="C2304" s="30" t="str">
        <f>IFERROR(_xlfn.XLOOKUP(B2304,Insumo[DESCRIPCION],Insumo[UND],,0),"")</f>
        <v>Un</v>
      </c>
      <c r="D2304" s="31">
        <v>0.13</v>
      </c>
      <c r="E2304" s="32">
        <f>IFERROR(_xlfn.XLOOKUP($B2304,Insumo[DESCRIPCION],Insumo[VALOR],,0),"")</f>
        <v>2399.25</v>
      </c>
      <c r="F2304" s="33"/>
      <c r="G2304" s="34">
        <f>IFERROR(IF(F2304&gt;=0,D2304*E2304*(1+F2304/100),ABS(D2304*E2304/F2304)),"")</f>
        <v>311.90250000000003</v>
      </c>
      <c r="H2304" s="43">
        <f>IFERROR(G2304*E2300,"")</f>
        <v>0</v>
      </c>
    </row>
    <row r="2305" spans="1:11" ht="12.75" customHeight="1">
      <c r="A2305" s="28"/>
      <c r="B2305" s="29" t="s">
        <v>3046</v>
      </c>
      <c r="C2305" s="30" t="str">
        <f>IFERROR(_xlfn.XLOOKUP(B2305,Insumo[DESCRIPCION],Insumo[UND],,0),"")</f>
        <v>Un</v>
      </c>
      <c r="D2305" s="31">
        <v>0.01</v>
      </c>
      <c r="E2305" s="32">
        <f>IFERROR(_xlfn.XLOOKUP($B2305,Insumo[DESCRIPCION],Insumo[VALOR],,0),"")</f>
        <v>62413.05</v>
      </c>
      <c r="F2305" s="33"/>
      <c r="G2305" s="34">
        <f>IFERROR(IF(F2305&gt;=0,D2305*E2305*(1+F2305/100),ABS(D2305*E2305/F2305)),"")</f>
        <v>624.1305000000001</v>
      </c>
      <c r="H2305" s="43">
        <f>IFERROR(G2305*E2300,"")</f>
        <v>0</v>
      </c>
    </row>
    <row r="2306" spans="1:11" ht="12.75" customHeight="1">
      <c r="A2306" s="28"/>
      <c r="B2306" s="29" t="s">
        <v>3329</v>
      </c>
      <c r="C2306" s="30" t="str">
        <f>IFERROR(_xlfn.XLOOKUP(B2306,Insumo[DESCRIPCION],Insumo[UND],,0),"")</f>
        <v>Un</v>
      </c>
      <c r="D2306" s="31">
        <v>0.01</v>
      </c>
      <c r="E2306" s="32">
        <f>IFERROR(_xlfn.XLOOKUP($B2306,Insumo[DESCRIPCION],Insumo[VALOR],,0),"")</f>
        <v>42424.200000000004</v>
      </c>
      <c r="F2306" s="33"/>
      <c r="G2306" s="34">
        <f>IFERROR(IF(F2306&gt;=0,D2306*E2306*(1+F2306/100),ABS(D2306*E2306/F2306)),"")</f>
        <v>424.24200000000008</v>
      </c>
      <c r="H2306" s="43">
        <f>IFERROR(G2306*E2300,"")</f>
        <v>0</v>
      </c>
    </row>
    <row r="2307" spans="1:11" ht="12.75" customHeight="1">
      <c r="A2307" s="28"/>
      <c r="B2307" s="29"/>
      <c r="C2307" s="30" t="str">
        <f>IFERROR(_xlfn.XLOOKUP(B2307,Insumo[DESCRIPCION],Insumo[UND],,0),"")</f>
        <v/>
      </c>
      <c r="D2307" s="31"/>
      <c r="E2307" s="32" t="str">
        <f>IFERROR(_xlfn.XLOOKUP($B2307,Insumo[DESCRIPCION],Insumo[VALOR],,0),"")</f>
        <v/>
      </c>
      <c r="F2307" s="33"/>
      <c r="G2307" s="34" t="str">
        <f>IFERROR(IF(F2307&gt;=0,D2307*E2307*(1+F2307/100),ABS(D2307*E2307/F2307)),"")</f>
        <v/>
      </c>
      <c r="H2307" s="43" t="str">
        <f>IFERROR(G2307*E2300,"")</f>
        <v/>
      </c>
    </row>
    <row r="2308" spans="1:11" ht="12.75" customHeight="1">
      <c r="A2308" s="21"/>
      <c r="B2308" s="22" t="s">
        <v>3731</v>
      </c>
      <c r="C2308" s="23"/>
      <c r="D2308" s="24"/>
      <c r="E2308" s="25"/>
      <c r="F2308" s="26"/>
      <c r="G2308" s="27">
        <f>SUM(G2309:G2311)</f>
        <v>174.66152827500005</v>
      </c>
      <c r="H2308" s="44">
        <f>G2308*E2300</f>
        <v>0</v>
      </c>
    </row>
    <row r="2309" spans="1:11" ht="12.75" customHeight="1">
      <c r="A2309" s="28"/>
      <c r="B2309" s="29" t="s">
        <v>3626</v>
      </c>
      <c r="C2309" s="30" t="str">
        <f>IFERROR(_xlfn.XLOOKUP(B2309,Equipo[DESCRIPCION],Equipo[UND],,0),"")</f>
        <v>%MO</v>
      </c>
      <c r="D2309" s="31">
        <v>0.05</v>
      </c>
      <c r="E2309" s="32">
        <f>IF(C2309="%MO",G2315,IFERROR(_xlfn.XLOOKUP($B2309,Equipo[DESCRIPCION],Equipo[VALOR],,0),""))</f>
        <v>3493.2305655000009</v>
      </c>
      <c r="F2309" s="33"/>
      <c r="G2309" s="34">
        <f>IFERROR(IF(F2309&gt;=0,D2309*E2309*(1+F2309/100),ABS(D2309*E2309/F2309)),"")</f>
        <v>174.66152827500005</v>
      </c>
      <c r="H2309" s="43">
        <f>IFERROR(G2309*E2300,"")</f>
        <v>0</v>
      </c>
    </row>
    <row r="2310" spans="1:11" ht="12.75" customHeight="1">
      <c r="A2310" s="28"/>
      <c r="B2310" s="29"/>
      <c r="C2310" s="30" t="str">
        <f>IFERROR(_xlfn.XLOOKUP(B2310,Equipo[DESCRIPCION],Equipo[UND],,0),"")</f>
        <v/>
      </c>
      <c r="D2310" s="31"/>
      <c r="E2310" s="32" t="str">
        <f>IF(C2310="%MO",G2315,IFERROR(_xlfn.XLOOKUP($B2310,Equipo[DESCRIPCION],Equipo[VALOR],,0),""))</f>
        <v/>
      </c>
      <c r="F2310" s="33"/>
      <c r="G2310" s="34" t="str">
        <f>IFERROR(IF(F2310&gt;=0,D2310*E2310*(1+F2310/100),ABS(D2310*E2310/F2310)),"")</f>
        <v/>
      </c>
      <c r="H2310" s="43" t="str">
        <f>IFERROR(G2310*E2300,"")</f>
        <v/>
      </c>
    </row>
    <row r="2311" spans="1:11" ht="12.75" customHeight="1">
      <c r="A2311" s="28"/>
      <c r="B2311" s="29"/>
      <c r="C2311" s="30" t="str">
        <f>IFERROR(_xlfn.XLOOKUP(B2311,Equipo[DESCRIPCION],Equipo[UND],,0),"")</f>
        <v/>
      </c>
      <c r="D2311" s="31"/>
      <c r="E2311" s="32" t="str">
        <f>IF(C2311="%MO",G2315,IFERROR(_xlfn.XLOOKUP($B2311,Equipo[DESCRIPCION],Equipo[VALOR],,0),""))</f>
        <v/>
      </c>
      <c r="F2311" s="33"/>
      <c r="G2311" s="34" t="str">
        <f>IFERROR(IF(F2311&gt;=0,D2311*E2311*(1+F2311/100),ABS(D2311*E2311/F2311)),"")</f>
        <v/>
      </c>
      <c r="H2311" s="43" t="str">
        <f>IFERROR(G2311*E2300,"")</f>
        <v/>
      </c>
    </row>
    <row r="2312" spans="1:11" ht="12.75" customHeight="1">
      <c r="A2312" s="21"/>
      <c r="B2312" s="22" t="s">
        <v>2533</v>
      </c>
      <c r="C2312" s="23"/>
      <c r="D2312" s="24"/>
      <c r="E2312" s="25"/>
      <c r="F2312" s="26"/>
      <c r="G2312" s="27">
        <f>SUM(G2313:G2314)</f>
        <v>0</v>
      </c>
      <c r="H2312" s="44">
        <f>G2312*E2300</f>
        <v>0</v>
      </c>
    </row>
    <row r="2313" spans="1:11" ht="12.75" customHeight="1">
      <c r="A2313" s="28"/>
      <c r="B2313" s="29"/>
      <c r="C2313" s="30" t="str">
        <f>IFERROR(_xlfn.XLOOKUP(B2313,Transporte[DESCRIPCION],Transporte[UND],,0),"")</f>
        <v/>
      </c>
      <c r="D2313" s="31"/>
      <c r="E2313" s="32" t="str">
        <f>IFERROR(_xlfn.XLOOKUP($B2313,Transporte[DESCRIPCION],Transporte[VALOR],,0),"")</f>
        <v/>
      </c>
      <c r="F2313" s="33"/>
      <c r="G2313" s="34" t="str">
        <f>IFERROR(IF(F2313&gt;=0,D2313*E2313*(1+F2313/100),ABS(D2313*E2313/F2313)),"")</f>
        <v/>
      </c>
      <c r="H2313" s="43" t="str">
        <f>IFERROR(G2313*E2300,"")</f>
        <v/>
      </c>
    </row>
    <row r="2314" spans="1:11" ht="12.75" customHeight="1">
      <c r="A2314" s="28"/>
      <c r="B2314" s="29"/>
      <c r="C2314" s="30" t="str">
        <f>IFERROR(_xlfn.XLOOKUP(B2314,Transporte[DESCRIPCION],Transporte[UND],,0),"")</f>
        <v/>
      </c>
      <c r="D2314" s="31"/>
      <c r="E2314" s="32" t="str">
        <f>IFERROR(_xlfn.XLOOKUP($B2314,Transporte[DESCRIPCION],Transporte[VALOR],,0),"")</f>
        <v/>
      </c>
      <c r="F2314" s="33"/>
      <c r="G2314" s="34" t="str">
        <f>IFERROR(IF(F2314&gt;=0,D2314*E2314*(1+F2314/100),ABS(D2314*E2314/F2314)),"")</f>
        <v/>
      </c>
      <c r="H2314" s="43" t="str">
        <f>IFERROR(G2314*E2300,"")</f>
        <v/>
      </c>
    </row>
    <row r="2315" spans="1:11" ht="12.75" customHeight="1">
      <c r="A2315" s="21"/>
      <c r="B2315" s="22" t="s">
        <v>3732</v>
      </c>
      <c r="C2315" s="23"/>
      <c r="D2315" s="24"/>
      <c r="E2315" s="25"/>
      <c r="F2315" s="26"/>
      <c r="G2315" s="27">
        <f>SUM(G2316:G2318)</f>
        <v>3493.2305655000009</v>
      </c>
      <c r="H2315" s="44">
        <f>G2315*E2300</f>
        <v>0</v>
      </c>
    </row>
    <row r="2316" spans="1:11" ht="12.75" customHeight="1">
      <c r="A2316" s="28"/>
      <c r="B2316" s="29" t="s">
        <v>3710</v>
      </c>
      <c r="C2316" s="30" t="str">
        <f>IFERROR(_xlfn.XLOOKUP(B2316,MObra[DESCRIPCION],MObra[UN],,0),"")</f>
        <v>día</v>
      </c>
      <c r="D2316" s="31">
        <v>1</v>
      </c>
      <c r="E2316" s="32">
        <f>IFERROR(_xlfn.XLOOKUP($B2316,MObra[DESCRIPCION],MObra[VALOR UNIT],,0),"")</f>
        <v>314390.75089500006</v>
      </c>
      <c r="F2316" s="33">
        <v>-90</v>
      </c>
      <c r="G2316" s="34">
        <f>IFERROR(IF(F2316&gt;=0,D2316*E2316*(1+F2316/100),ABS(D2316*E2316/F2316)),"")</f>
        <v>3493.2305655000009</v>
      </c>
      <c r="H2316" s="43">
        <f>IFERROR(G2316*E2300,"")</f>
        <v>0</v>
      </c>
    </row>
    <row r="2317" spans="1:11" ht="12.75" customHeight="1">
      <c r="A2317" s="28"/>
      <c r="B2317" s="29"/>
      <c r="C2317" s="30" t="str">
        <f t="array" ref="C2317">IFERROR(_xlfn.XLOOKUP(B2317,MObra[[#All],[DESCRIPCION]],MObra[[#All],[UN]],,0),"")</f>
        <v/>
      </c>
      <c r="D2317" s="31"/>
      <c r="E2317" s="32" t="str">
        <f>IFERROR(_xlfn.XLOOKUP($B2317,MObra[DESCRIPCION],MObra[VALOR UNIT],,0),"")</f>
        <v/>
      </c>
      <c r="F2317" s="33"/>
      <c r="G2317" s="34" t="str">
        <f>IFERROR(IF(F2317&gt;=0,D2317*E2317*(1+F2317/100),ABS(D2317*E2317/F2317)),"")</f>
        <v/>
      </c>
      <c r="H2317" s="43" t="str">
        <f>IFERROR(G2317*E2300,"")</f>
        <v/>
      </c>
    </row>
    <row r="2318" spans="1:11" ht="12.75" customHeight="1" thickBot="1">
      <c r="A2318" s="35"/>
      <c r="B2318" s="36"/>
      <c r="C2318" s="37" t="str">
        <f t="array" ref="C2318">IFERROR(_xlfn.XLOOKUP(B2318,MObra[[#All],[DESCRIPCION]],MObra[[#All],[UN]],,0),"")</f>
        <v/>
      </c>
      <c r="D2318" s="38"/>
      <c r="E2318" s="39" t="str">
        <f>IFERROR(_xlfn.XLOOKUP($B2318,MObra[DESCRIPCION],MObra[VALOR UNIT],,0),"")</f>
        <v/>
      </c>
      <c r="F2318" s="40"/>
      <c r="G2318" s="41" t="str">
        <f>IFERROR(IF(F2318&gt;=0,D2318*E2318*(1+F2318/100),ABS(D2318*E2318/F2318)),"")</f>
        <v/>
      </c>
      <c r="H2318" s="42" t="str">
        <f>IFERROR(G2318*E2300,"")</f>
        <v/>
      </c>
    </row>
    <row r="2319" spans="1:11" ht="12.75" customHeight="1" thickTop="1" thickBot="1"/>
    <row r="2320" spans="1:11" ht="12.75" customHeight="1" thickTop="1" thickBot="1">
      <c r="A2320" s="6" t="s">
        <v>829</v>
      </c>
      <c r="B2320" s="7" t="str">
        <f>VLOOKUP($A2320,Presupuesto!$A:$D,2,FALSE())</f>
        <v>Tubería PVC presión 1" + accesorios</v>
      </c>
      <c r="C2320" s="8" t="str">
        <f>VLOOKUP($A2320,Presupuesto!$A:$D,3,FALSE())</f>
        <v>M</v>
      </c>
      <c r="D2320" s="9"/>
      <c r="E2320" s="10">
        <f>VLOOKUP($A2320,Presupuesto!$A:$D,4,FALSE())</f>
        <v>0</v>
      </c>
      <c r="F2320" s="11" t="s">
        <v>2589</v>
      </c>
      <c r="G2320" s="12">
        <f>SUM(G2322:G2338)/2</f>
        <v>17781.303105496874</v>
      </c>
      <c r="H2320" s="13">
        <f>ROUND(SUM(H2322:H2338),0)/2</f>
        <v>0</v>
      </c>
      <c r="I2320" s="10">
        <f>VLOOKUP(A2320,Presupuesto!$A:$F,6,0)</f>
        <v>0</v>
      </c>
      <c r="J2320" s="10">
        <f>+H2320-I2320</f>
        <v>0</v>
      </c>
      <c r="K2320" s="46">
        <f>+H2320-G2320*E2320</f>
        <v>0</v>
      </c>
    </row>
    <row r="2321" spans="1:8" ht="12.75" customHeight="1" thickTop="1">
      <c r="A2321" s="14"/>
      <c r="B2321" s="15" t="s">
        <v>2586</v>
      </c>
      <c r="C2321" s="15" t="s">
        <v>5</v>
      </c>
      <c r="D2321" s="16" t="s">
        <v>6</v>
      </c>
      <c r="E2321" s="17" t="s">
        <v>7</v>
      </c>
      <c r="F2321" s="18" t="s">
        <v>3728</v>
      </c>
      <c r="G2321" s="19" t="s">
        <v>3729</v>
      </c>
      <c r="H2321" s="20" t="s">
        <v>3797</v>
      </c>
    </row>
    <row r="2322" spans="1:8" ht="12.75" customHeight="1">
      <c r="A2322" s="21"/>
      <c r="B2322" s="22" t="s">
        <v>3730</v>
      </c>
      <c r="C2322" s="23"/>
      <c r="D2322" s="24"/>
      <c r="E2322" s="25"/>
      <c r="F2322" s="26"/>
      <c r="G2322" s="27">
        <f>SUM(G2323:G2327)</f>
        <v>13654.924499999999</v>
      </c>
      <c r="H2322" s="27">
        <f>IFERROR(G2322*E2320,"")</f>
        <v>0</v>
      </c>
    </row>
    <row r="2323" spans="1:8" ht="12.75" customHeight="1">
      <c r="A2323" s="28"/>
      <c r="B2323" s="29" t="s">
        <v>3494</v>
      </c>
      <c r="C2323" s="30" t="str">
        <f>IFERROR(_xlfn.XLOOKUP(B2323,Insumo[DESCRIPCION],Insumo[UND],,0),"")</f>
        <v>M</v>
      </c>
      <c r="D2323" s="31">
        <v>1</v>
      </c>
      <c r="E2323" s="32">
        <f>IFERROR(_xlfn.XLOOKUP($B2323,Insumo[DESCRIPCION],Insumo[VALOR],,0),"")</f>
        <v>11647.65</v>
      </c>
      <c r="F2323" s="33">
        <v>3</v>
      </c>
      <c r="G2323" s="34">
        <f>IFERROR(IF(F2323&gt;=0,D2323*E2323*(1+F2323/100),ABS(D2323*E2323/F2323)),"")</f>
        <v>11997.0795</v>
      </c>
      <c r="H2323" s="43">
        <f>IFERROR(G2323*E2320,"")</f>
        <v>0</v>
      </c>
    </row>
    <row r="2324" spans="1:8" ht="12.75" customHeight="1">
      <c r="A2324" s="28"/>
      <c r="B2324" s="29" t="s">
        <v>2639</v>
      </c>
      <c r="C2324" s="30" t="str">
        <f>IFERROR(_xlfn.XLOOKUP(B2324,Insumo[DESCRIPCION],Insumo[UND],,0),"")</f>
        <v>Un</v>
      </c>
      <c r="D2324" s="31">
        <v>0.13</v>
      </c>
      <c r="E2324" s="32">
        <f>IFERROR(_xlfn.XLOOKUP($B2324,Insumo[DESCRIPCION],Insumo[VALOR],,0),"")</f>
        <v>4688.25</v>
      </c>
      <c r="F2324" s="33"/>
      <c r="G2324" s="34">
        <f>IFERROR(IF(F2324&gt;=0,D2324*E2324*(1+F2324/100),ABS(D2324*E2324/F2324)),"")</f>
        <v>609.47249999999997</v>
      </c>
      <c r="H2324" s="43">
        <f>IFERROR(G2324*E2320,"")</f>
        <v>0</v>
      </c>
    </row>
    <row r="2325" spans="1:8" ht="12.75" customHeight="1">
      <c r="A2325" s="28"/>
      <c r="B2325" s="29" t="s">
        <v>3046</v>
      </c>
      <c r="C2325" s="30" t="str">
        <f>IFERROR(_xlfn.XLOOKUP(B2325,Insumo[DESCRIPCION],Insumo[UND],,0),"")</f>
        <v>Un</v>
      </c>
      <c r="D2325" s="31">
        <v>0.01</v>
      </c>
      <c r="E2325" s="32">
        <f>IFERROR(_xlfn.XLOOKUP($B2325,Insumo[DESCRIPCION],Insumo[VALOR],,0),"")</f>
        <v>62413.05</v>
      </c>
      <c r="F2325" s="33"/>
      <c r="G2325" s="34">
        <f>IFERROR(IF(F2325&gt;=0,D2325*E2325*(1+F2325/100),ABS(D2325*E2325/F2325)),"")</f>
        <v>624.1305000000001</v>
      </c>
      <c r="H2325" s="43">
        <f>IFERROR(G2325*E2320,"")</f>
        <v>0</v>
      </c>
    </row>
    <row r="2326" spans="1:8" ht="12.75" customHeight="1">
      <c r="A2326" s="28"/>
      <c r="B2326" s="29" t="s">
        <v>3329</v>
      </c>
      <c r="C2326" s="30" t="str">
        <f>IFERROR(_xlfn.XLOOKUP(B2326,Insumo[DESCRIPCION],Insumo[UND],,0),"")</f>
        <v>Un</v>
      </c>
      <c r="D2326" s="31">
        <v>0.01</v>
      </c>
      <c r="E2326" s="32">
        <f>IFERROR(_xlfn.XLOOKUP($B2326,Insumo[DESCRIPCION],Insumo[VALOR],,0),"")</f>
        <v>42424.200000000004</v>
      </c>
      <c r="F2326" s="33"/>
      <c r="G2326" s="34">
        <f>IFERROR(IF(F2326&gt;=0,D2326*E2326*(1+F2326/100),ABS(D2326*E2326/F2326)),"")</f>
        <v>424.24200000000008</v>
      </c>
      <c r="H2326" s="43">
        <f>IFERROR(G2326*E2320,"")</f>
        <v>0</v>
      </c>
    </row>
    <row r="2327" spans="1:8" ht="12.75" customHeight="1">
      <c r="A2327" s="28"/>
      <c r="B2327" s="29"/>
      <c r="C2327" s="30" t="str">
        <f>IFERROR(_xlfn.XLOOKUP(B2327,Insumo[DESCRIPCION],Insumo[UND],,0),"")</f>
        <v/>
      </c>
      <c r="D2327" s="31"/>
      <c r="E2327" s="32" t="str">
        <f>IFERROR(_xlfn.XLOOKUP($B2327,Insumo[DESCRIPCION],Insumo[VALOR],,0),"")</f>
        <v/>
      </c>
      <c r="F2327" s="33"/>
      <c r="G2327" s="34" t="str">
        <f>IFERROR(IF(F2327&gt;=0,D2327*E2327*(1+F2327/100),ABS(D2327*E2327/F2327)),"")</f>
        <v/>
      </c>
      <c r="H2327" s="43" t="str">
        <f>IFERROR(G2327*E2320,"")</f>
        <v/>
      </c>
    </row>
    <row r="2328" spans="1:8" ht="12.75" customHeight="1">
      <c r="A2328" s="21"/>
      <c r="B2328" s="22" t="s">
        <v>3731</v>
      </c>
      <c r="C2328" s="23"/>
      <c r="D2328" s="24"/>
      <c r="E2328" s="25"/>
      <c r="F2328" s="26"/>
      <c r="G2328" s="27">
        <f>SUM(G2329:G2331)</f>
        <v>196.49421930937504</v>
      </c>
      <c r="H2328" s="44">
        <f>G2328*E2320</f>
        <v>0</v>
      </c>
    </row>
    <row r="2329" spans="1:8" ht="12.75" customHeight="1">
      <c r="A2329" s="28"/>
      <c r="B2329" s="29" t="s">
        <v>3626</v>
      </c>
      <c r="C2329" s="30" t="str">
        <f>IFERROR(_xlfn.XLOOKUP(B2329,Equipo[DESCRIPCION],Equipo[UND],,0),"")</f>
        <v>%MO</v>
      </c>
      <c r="D2329" s="31">
        <v>0.05</v>
      </c>
      <c r="E2329" s="32">
        <f>IF(C2329="%MO",G2335,IFERROR(_xlfn.XLOOKUP($B2329,Equipo[DESCRIPCION],Equipo[VALOR],,0),""))</f>
        <v>3929.8843861875007</v>
      </c>
      <c r="F2329" s="33"/>
      <c r="G2329" s="34">
        <f>IFERROR(IF(F2329&gt;=0,D2329*E2329*(1+F2329/100),ABS(D2329*E2329/F2329)),"")</f>
        <v>196.49421930937504</v>
      </c>
      <c r="H2329" s="43">
        <f>IFERROR(G2329*E2320,"")</f>
        <v>0</v>
      </c>
    </row>
    <row r="2330" spans="1:8" ht="12.75" customHeight="1">
      <c r="A2330" s="28"/>
      <c r="B2330" s="29"/>
      <c r="C2330" s="30" t="str">
        <f>IFERROR(_xlfn.XLOOKUP(B2330,Equipo[DESCRIPCION],Equipo[UND],,0),"")</f>
        <v/>
      </c>
      <c r="D2330" s="31"/>
      <c r="E2330" s="32" t="str">
        <f>IF(C2330="%MO",G2335,IFERROR(_xlfn.XLOOKUP($B2330,Equipo[DESCRIPCION],Equipo[VALOR],,0),""))</f>
        <v/>
      </c>
      <c r="F2330" s="33"/>
      <c r="G2330" s="34" t="str">
        <f>IFERROR(IF(F2330&gt;=0,D2330*E2330*(1+F2330/100),ABS(D2330*E2330/F2330)),"")</f>
        <v/>
      </c>
      <c r="H2330" s="43" t="str">
        <f>IFERROR(G2330*E2320,"")</f>
        <v/>
      </c>
    </row>
    <row r="2331" spans="1:8" ht="12.75" customHeight="1">
      <c r="A2331" s="28"/>
      <c r="B2331" s="29"/>
      <c r="C2331" s="30" t="str">
        <f>IFERROR(_xlfn.XLOOKUP(B2331,Equipo[DESCRIPCION],Equipo[UND],,0),"")</f>
        <v/>
      </c>
      <c r="D2331" s="31"/>
      <c r="E2331" s="32" t="str">
        <f>IF(C2331="%MO",G2335,IFERROR(_xlfn.XLOOKUP($B2331,Equipo[DESCRIPCION],Equipo[VALOR],,0),""))</f>
        <v/>
      </c>
      <c r="F2331" s="33"/>
      <c r="G2331" s="34" t="str">
        <f>IFERROR(IF(F2331&gt;=0,D2331*E2331*(1+F2331/100),ABS(D2331*E2331/F2331)),"")</f>
        <v/>
      </c>
      <c r="H2331" s="43" t="str">
        <f>IFERROR(G2331*E2320,"")</f>
        <v/>
      </c>
    </row>
    <row r="2332" spans="1:8" ht="12.75" customHeight="1">
      <c r="A2332" s="21"/>
      <c r="B2332" s="22" t="s">
        <v>2533</v>
      </c>
      <c r="C2332" s="23"/>
      <c r="D2332" s="24"/>
      <c r="E2332" s="25"/>
      <c r="F2332" s="26"/>
      <c r="G2332" s="27">
        <f>SUM(G2333:G2334)</f>
        <v>0</v>
      </c>
      <c r="H2332" s="44">
        <f>G2332*E2320</f>
        <v>0</v>
      </c>
    </row>
    <row r="2333" spans="1:8" ht="12.75" customHeight="1">
      <c r="A2333" s="28"/>
      <c r="B2333" s="29"/>
      <c r="C2333" s="30" t="str">
        <f>IFERROR(_xlfn.XLOOKUP(B2333,Transporte[DESCRIPCION],Transporte[UND],,0),"")</f>
        <v/>
      </c>
      <c r="D2333" s="31"/>
      <c r="E2333" s="32" t="str">
        <f>IFERROR(_xlfn.XLOOKUP($B2333,Transporte[DESCRIPCION],Transporte[VALOR],,0),"")</f>
        <v/>
      </c>
      <c r="F2333" s="33"/>
      <c r="G2333" s="34" t="str">
        <f>IFERROR(IF(F2333&gt;=0,D2333*E2333*(1+F2333/100),ABS(D2333*E2333/F2333)),"")</f>
        <v/>
      </c>
      <c r="H2333" s="43" t="str">
        <f>IFERROR(G2333*E2320,"")</f>
        <v/>
      </c>
    </row>
    <row r="2334" spans="1:8" ht="12.75" customHeight="1">
      <c r="A2334" s="28"/>
      <c r="B2334" s="29"/>
      <c r="C2334" s="30" t="str">
        <f>IFERROR(_xlfn.XLOOKUP(B2334,Transporte[DESCRIPCION],Transporte[UND],,0),"")</f>
        <v/>
      </c>
      <c r="D2334" s="31"/>
      <c r="E2334" s="32" t="str">
        <f>IFERROR(_xlfn.XLOOKUP($B2334,Transporte[DESCRIPCION],Transporte[VALOR],,0),"")</f>
        <v/>
      </c>
      <c r="F2334" s="33"/>
      <c r="G2334" s="34" t="str">
        <f>IFERROR(IF(F2334&gt;=0,D2334*E2334*(1+F2334/100),ABS(D2334*E2334/F2334)),"")</f>
        <v/>
      </c>
      <c r="H2334" s="43" t="str">
        <f>IFERROR(G2334*E2320,"")</f>
        <v/>
      </c>
    </row>
    <row r="2335" spans="1:8" ht="12.75" customHeight="1">
      <c r="A2335" s="21"/>
      <c r="B2335" s="22" t="s">
        <v>3732</v>
      </c>
      <c r="C2335" s="23"/>
      <c r="D2335" s="24"/>
      <c r="E2335" s="25"/>
      <c r="F2335" s="26"/>
      <c r="G2335" s="27">
        <f>SUM(G2336:G2338)</f>
        <v>3929.8843861875007</v>
      </c>
      <c r="H2335" s="44">
        <f>G2335*E2320</f>
        <v>0</v>
      </c>
    </row>
    <row r="2336" spans="1:8" ht="12.75" customHeight="1">
      <c r="A2336" s="28"/>
      <c r="B2336" s="29" t="s">
        <v>3710</v>
      </c>
      <c r="C2336" s="30" t="str">
        <f>IFERROR(_xlfn.XLOOKUP(B2336,MObra[DESCRIPCION],MObra[UN],,0),"")</f>
        <v>día</v>
      </c>
      <c r="D2336" s="31">
        <v>1</v>
      </c>
      <c r="E2336" s="32">
        <f>IFERROR(_xlfn.XLOOKUP($B2336,MObra[DESCRIPCION],MObra[VALOR UNIT],,0),"")</f>
        <v>314390.75089500006</v>
      </c>
      <c r="F2336" s="33">
        <v>-80</v>
      </c>
      <c r="G2336" s="34">
        <f>IFERROR(IF(F2336&gt;=0,D2336*E2336*(1+F2336/100),ABS(D2336*E2336/F2336)),"")</f>
        <v>3929.8843861875007</v>
      </c>
      <c r="H2336" s="43">
        <f>IFERROR(G2336*E2320,"")</f>
        <v>0</v>
      </c>
    </row>
    <row r="2337" spans="1:11" ht="12.75" customHeight="1">
      <c r="A2337" s="28"/>
      <c r="B2337" s="29"/>
      <c r="C2337" s="30" t="str">
        <f t="array" ref="C2337">IFERROR(_xlfn.XLOOKUP(B2337,MObra[[#All],[DESCRIPCION]],MObra[[#All],[UN]],,0),"")</f>
        <v/>
      </c>
      <c r="D2337" s="31"/>
      <c r="E2337" s="32" t="str">
        <f>IFERROR(_xlfn.XLOOKUP($B2337,MObra[DESCRIPCION],MObra[VALOR UNIT],,0),"")</f>
        <v/>
      </c>
      <c r="F2337" s="33"/>
      <c r="G2337" s="34" t="str">
        <f>IFERROR(IF(F2337&gt;=0,D2337*E2337*(1+F2337/100),ABS(D2337*E2337/F2337)),"")</f>
        <v/>
      </c>
      <c r="H2337" s="43" t="str">
        <f>IFERROR(G2337*E2320,"")</f>
        <v/>
      </c>
    </row>
    <row r="2338" spans="1:11" ht="12.75" customHeight="1" thickBot="1">
      <c r="A2338" s="35"/>
      <c r="B2338" s="36"/>
      <c r="C2338" s="37" t="str">
        <f t="array" ref="C2338">IFERROR(_xlfn.XLOOKUP(B2338,MObra[[#All],[DESCRIPCION]],MObra[[#All],[UN]],,0),"")</f>
        <v/>
      </c>
      <c r="D2338" s="38"/>
      <c r="E2338" s="39" t="str">
        <f>IFERROR(_xlfn.XLOOKUP($B2338,MObra[DESCRIPCION],MObra[VALOR UNIT],,0),"")</f>
        <v/>
      </c>
      <c r="F2338" s="40"/>
      <c r="G2338" s="41" t="str">
        <f>IFERROR(IF(F2338&gt;=0,D2338*E2338*(1+F2338/100),ABS(D2338*E2338/F2338)),"")</f>
        <v/>
      </c>
      <c r="H2338" s="42" t="str">
        <f>IFERROR(G2338*E2320,"")</f>
        <v/>
      </c>
    </row>
    <row r="2339" spans="1:11" ht="12.75" customHeight="1" thickTop="1" thickBot="1"/>
    <row r="2340" spans="1:11" ht="12.75" customHeight="1" thickTop="1" thickBot="1">
      <c r="A2340" s="6" t="s">
        <v>831</v>
      </c>
      <c r="B2340" s="7" t="str">
        <f>VLOOKUP($A2340,Presupuesto!$A:$D,2,FALSE())</f>
        <v>Tubería PVC presión 1 - 1/4" + accesorios</v>
      </c>
      <c r="C2340" s="8" t="str">
        <f>VLOOKUP($A2340,Presupuesto!$A:$D,3,FALSE())</f>
        <v>M</v>
      </c>
      <c r="D2340" s="9"/>
      <c r="E2340" s="10">
        <f>VLOOKUP($A2340,Presupuesto!$A:$D,4,FALSE())</f>
        <v>0</v>
      </c>
      <c r="F2340" s="11" t="s">
        <v>2589</v>
      </c>
      <c r="G2340" s="12">
        <f>SUM(G2342:G2358)/2</f>
        <v>21948.325012529996</v>
      </c>
      <c r="H2340" s="13">
        <f>ROUND(SUM(H2342:H2358),0)/2</f>
        <v>0</v>
      </c>
      <c r="I2340" s="10">
        <f>VLOOKUP(A2340,Presupuesto!$A:$F,6,0)</f>
        <v>0</v>
      </c>
      <c r="J2340" s="10">
        <f>+H2340-I2340</f>
        <v>0</v>
      </c>
      <c r="K2340" s="46">
        <f>+H2340-G2340*E2340</f>
        <v>0</v>
      </c>
    </row>
    <row r="2341" spans="1:11" ht="12.75" customHeight="1" thickTop="1">
      <c r="A2341" s="14"/>
      <c r="B2341" s="15" t="s">
        <v>2586</v>
      </c>
      <c r="C2341" s="15" t="s">
        <v>5</v>
      </c>
      <c r="D2341" s="16" t="s">
        <v>6</v>
      </c>
      <c r="E2341" s="17" t="s">
        <v>7</v>
      </c>
      <c r="F2341" s="18" t="s">
        <v>3728</v>
      </c>
      <c r="G2341" s="19" t="s">
        <v>3729</v>
      </c>
      <c r="H2341" s="20" t="s">
        <v>3797</v>
      </c>
    </row>
    <row r="2342" spans="1:11" ht="12.75" customHeight="1">
      <c r="A2342" s="21"/>
      <c r="B2342" s="22" t="s">
        <v>3730</v>
      </c>
      <c r="C2342" s="23"/>
      <c r="D2342" s="24"/>
      <c r="E2342" s="25"/>
      <c r="F2342" s="26"/>
      <c r="G2342" s="27">
        <f>SUM(G2343:G2347)</f>
        <v>17546.854500000001</v>
      </c>
      <c r="H2342" s="27">
        <f>IFERROR(G2342*E2340,"")</f>
        <v>0</v>
      </c>
    </row>
    <row r="2343" spans="1:11" ht="12.75" customHeight="1">
      <c r="A2343" s="28"/>
      <c r="B2343" s="29" t="s">
        <v>3493</v>
      </c>
      <c r="C2343" s="30" t="str">
        <f>IFERROR(_xlfn.XLOOKUP(B2343,Insumo[DESCRIPCION],Insumo[UND],,0),"")</f>
        <v>M</v>
      </c>
      <c r="D2343" s="31">
        <v>1</v>
      </c>
      <c r="E2343" s="32">
        <f>IFERROR(_xlfn.XLOOKUP($B2343,Insumo[DESCRIPCION],Insumo[VALOR],,0),"")</f>
        <v>14482.650000000001</v>
      </c>
      <c r="F2343" s="33">
        <v>3</v>
      </c>
      <c r="G2343" s="34">
        <f>IFERROR(IF(F2343&gt;=0,D2343*E2343*(1+F2343/100),ABS(D2343*E2343/F2343)),"")</f>
        <v>14917.129500000003</v>
      </c>
      <c r="H2343" s="43">
        <f>IFERROR(G2343*E2340,"")</f>
        <v>0</v>
      </c>
    </row>
    <row r="2344" spans="1:11" ht="12.75" customHeight="1">
      <c r="A2344" s="28"/>
      <c r="B2344" s="29" t="s">
        <v>2638</v>
      </c>
      <c r="C2344" s="30" t="str">
        <f>IFERROR(_xlfn.XLOOKUP(B2344,Insumo[DESCRIPCION],Insumo[UND],,0),"")</f>
        <v>Un</v>
      </c>
      <c r="D2344" s="31">
        <v>0.13</v>
      </c>
      <c r="E2344" s="32">
        <f>IFERROR(_xlfn.XLOOKUP($B2344,Insumo[DESCRIPCION],Insumo[VALOR],,0),"")</f>
        <v>12164.25</v>
      </c>
      <c r="F2344" s="33"/>
      <c r="G2344" s="34">
        <f>IFERROR(IF(F2344&gt;=0,D2344*E2344*(1+F2344/100),ABS(D2344*E2344/F2344)),"")</f>
        <v>1581.3525</v>
      </c>
      <c r="H2344" s="43">
        <f>IFERROR(G2344*E2340,"")</f>
        <v>0</v>
      </c>
    </row>
    <row r="2345" spans="1:11" ht="12.75" customHeight="1">
      <c r="A2345" s="28"/>
      <c r="B2345" s="29" t="s">
        <v>3046</v>
      </c>
      <c r="C2345" s="30" t="str">
        <f>IFERROR(_xlfn.XLOOKUP(B2345,Insumo[DESCRIPCION],Insumo[UND],,0),"")</f>
        <v>Un</v>
      </c>
      <c r="D2345" s="31">
        <v>0.01</v>
      </c>
      <c r="E2345" s="32">
        <f>IFERROR(_xlfn.XLOOKUP($B2345,Insumo[DESCRIPCION],Insumo[VALOR],,0),"")</f>
        <v>62413.05</v>
      </c>
      <c r="F2345" s="33"/>
      <c r="G2345" s="34">
        <f>IFERROR(IF(F2345&gt;=0,D2345*E2345*(1+F2345/100),ABS(D2345*E2345/F2345)),"")</f>
        <v>624.1305000000001</v>
      </c>
      <c r="H2345" s="43">
        <f>IFERROR(G2345*E2340,"")</f>
        <v>0</v>
      </c>
    </row>
    <row r="2346" spans="1:11" ht="12.75" customHeight="1">
      <c r="A2346" s="28"/>
      <c r="B2346" s="29" t="s">
        <v>3329</v>
      </c>
      <c r="C2346" s="30" t="str">
        <f>IFERROR(_xlfn.XLOOKUP(B2346,Insumo[DESCRIPCION],Insumo[UND],,0),"")</f>
        <v>Un</v>
      </c>
      <c r="D2346" s="31">
        <v>0.01</v>
      </c>
      <c r="E2346" s="32">
        <f>IFERROR(_xlfn.XLOOKUP($B2346,Insumo[DESCRIPCION],Insumo[VALOR],,0),"")</f>
        <v>42424.200000000004</v>
      </c>
      <c r="F2346" s="33"/>
      <c r="G2346" s="34">
        <f>IFERROR(IF(F2346&gt;=0,D2346*E2346*(1+F2346/100),ABS(D2346*E2346/F2346)),"")</f>
        <v>424.24200000000008</v>
      </c>
      <c r="H2346" s="43">
        <f>IFERROR(G2346*E2340,"")</f>
        <v>0</v>
      </c>
    </row>
    <row r="2347" spans="1:11" ht="12.75" customHeight="1">
      <c r="A2347" s="28"/>
      <c r="B2347" s="29"/>
      <c r="C2347" s="30" t="str">
        <f>IFERROR(_xlfn.XLOOKUP(B2347,Insumo[DESCRIPCION],Insumo[UND],,0),"")</f>
        <v/>
      </c>
      <c r="D2347" s="31"/>
      <c r="E2347" s="32" t="str">
        <f>IFERROR(_xlfn.XLOOKUP($B2347,Insumo[DESCRIPCION],Insumo[VALOR],,0),"")</f>
        <v/>
      </c>
      <c r="F2347" s="33"/>
      <c r="G2347" s="34" t="str">
        <f>IFERROR(IF(F2347&gt;=0,D2347*E2347*(1+F2347/100),ABS(D2347*E2347/F2347)),"")</f>
        <v/>
      </c>
      <c r="H2347" s="43" t="str">
        <f>IFERROR(G2347*E2340,"")</f>
        <v/>
      </c>
    </row>
    <row r="2348" spans="1:11" ht="12.75" customHeight="1">
      <c r="A2348" s="21"/>
      <c r="B2348" s="22" t="s">
        <v>3731</v>
      </c>
      <c r="C2348" s="23"/>
      <c r="D2348" s="24"/>
      <c r="E2348" s="25"/>
      <c r="F2348" s="26"/>
      <c r="G2348" s="27">
        <f>SUM(G2349:G2351)</f>
        <v>209.59383393000005</v>
      </c>
      <c r="H2348" s="44">
        <f>G2348*E2340</f>
        <v>0</v>
      </c>
    </row>
    <row r="2349" spans="1:11" ht="12.75" customHeight="1">
      <c r="A2349" s="28"/>
      <c r="B2349" s="29" t="s">
        <v>3626</v>
      </c>
      <c r="C2349" s="30" t="str">
        <f>IFERROR(_xlfn.XLOOKUP(B2349,Equipo[DESCRIPCION],Equipo[UND],,0),"")</f>
        <v>%MO</v>
      </c>
      <c r="D2349" s="31">
        <v>0.05</v>
      </c>
      <c r="E2349" s="32">
        <f>IF(C2349="%MO",G2355,IFERROR(_xlfn.XLOOKUP($B2349,Equipo[DESCRIPCION],Equipo[VALOR],,0),""))</f>
        <v>4191.8766786000006</v>
      </c>
      <c r="F2349" s="33"/>
      <c r="G2349" s="34">
        <f>IFERROR(IF(F2349&gt;=0,D2349*E2349*(1+F2349/100),ABS(D2349*E2349/F2349)),"")</f>
        <v>209.59383393000005</v>
      </c>
      <c r="H2349" s="43">
        <f>IFERROR(G2349*E2340,"")</f>
        <v>0</v>
      </c>
    </row>
    <row r="2350" spans="1:11" ht="12.75" customHeight="1">
      <c r="A2350" s="28"/>
      <c r="B2350" s="29"/>
      <c r="C2350" s="30" t="str">
        <f>IFERROR(_xlfn.XLOOKUP(B2350,Equipo[DESCRIPCION],Equipo[UND],,0),"")</f>
        <v/>
      </c>
      <c r="D2350" s="31"/>
      <c r="E2350" s="32" t="str">
        <f>IF(C2350="%MO",G2355,IFERROR(_xlfn.XLOOKUP($B2350,Equipo[DESCRIPCION],Equipo[VALOR],,0),""))</f>
        <v/>
      </c>
      <c r="F2350" s="33"/>
      <c r="G2350" s="34" t="str">
        <f>IFERROR(IF(F2350&gt;=0,D2350*E2350*(1+F2350/100),ABS(D2350*E2350/F2350)),"")</f>
        <v/>
      </c>
      <c r="H2350" s="43" t="str">
        <f>IFERROR(G2350*E2340,"")</f>
        <v/>
      </c>
    </row>
    <row r="2351" spans="1:11" ht="12.75" customHeight="1">
      <c r="A2351" s="28"/>
      <c r="B2351" s="29"/>
      <c r="C2351" s="30" t="str">
        <f>IFERROR(_xlfn.XLOOKUP(B2351,Equipo[DESCRIPCION],Equipo[UND],,0),"")</f>
        <v/>
      </c>
      <c r="D2351" s="31"/>
      <c r="E2351" s="32" t="str">
        <f>IF(C2351="%MO",G2355,IFERROR(_xlfn.XLOOKUP($B2351,Equipo[DESCRIPCION],Equipo[VALOR],,0),""))</f>
        <v/>
      </c>
      <c r="F2351" s="33"/>
      <c r="G2351" s="34" t="str">
        <f>IFERROR(IF(F2351&gt;=0,D2351*E2351*(1+F2351/100),ABS(D2351*E2351/F2351)),"")</f>
        <v/>
      </c>
      <c r="H2351" s="43" t="str">
        <f>IFERROR(G2351*E2340,"")</f>
        <v/>
      </c>
    </row>
    <row r="2352" spans="1:11" ht="12.75" customHeight="1">
      <c r="A2352" s="21"/>
      <c r="B2352" s="22" t="s">
        <v>2533</v>
      </c>
      <c r="C2352" s="23"/>
      <c r="D2352" s="24"/>
      <c r="E2352" s="25"/>
      <c r="F2352" s="26"/>
      <c r="G2352" s="27">
        <f>SUM(G2353:G2354)</f>
        <v>0</v>
      </c>
      <c r="H2352" s="44">
        <f>G2352*E2340</f>
        <v>0</v>
      </c>
    </row>
    <row r="2353" spans="1:11" ht="12.75" customHeight="1">
      <c r="A2353" s="28"/>
      <c r="B2353" s="29"/>
      <c r="C2353" s="30" t="str">
        <f>IFERROR(_xlfn.XLOOKUP(B2353,Transporte[DESCRIPCION],Transporte[UND],,0),"")</f>
        <v/>
      </c>
      <c r="D2353" s="31"/>
      <c r="E2353" s="32" t="str">
        <f>IFERROR(_xlfn.XLOOKUP($B2353,Transporte[DESCRIPCION],Transporte[VALOR],,0),"")</f>
        <v/>
      </c>
      <c r="F2353" s="33"/>
      <c r="G2353" s="34" t="str">
        <f>IFERROR(IF(F2353&gt;=0,D2353*E2353*(1+F2353/100),ABS(D2353*E2353/F2353)),"")</f>
        <v/>
      </c>
      <c r="H2353" s="43" t="str">
        <f>IFERROR(G2353*E2340,"")</f>
        <v/>
      </c>
    </row>
    <row r="2354" spans="1:11" ht="12.75" customHeight="1">
      <c r="A2354" s="28"/>
      <c r="B2354" s="29"/>
      <c r="C2354" s="30" t="str">
        <f>IFERROR(_xlfn.XLOOKUP(B2354,Transporte[DESCRIPCION],Transporte[UND],,0),"")</f>
        <v/>
      </c>
      <c r="D2354" s="31"/>
      <c r="E2354" s="32" t="str">
        <f>IFERROR(_xlfn.XLOOKUP($B2354,Transporte[DESCRIPCION],Transporte[VALOR],,0),"")</f>
        <v/>
      </c>
      <c r="F2354" s="33"/>
      <c r="G2354" s="34" t="str">
        <f>IFERROR(IF(F2354&gt;=0,D2354*E2354*(1+F2354/100),ABS(D2354*E2354/F2354)),"")</f>
        <v/>
      </c>
      <c r="H2354" s="43" t="str">
        <f>IFERROR(G2354*E2340,"")</f>
        <v/>
      </c>
    </row>
    <row r="2355" spans="1:11" ht="12.75" customHeight="1">
      <c r="A2355" s="21"/>
      <c r="B2355" s="22" t="s">
        <v>3732</v>
      </c>
      <c r="C2355" s="23"/>
      <c r="D2355" s="24"/>
      <c r="E2355" s="25"/>
      <c r="F2355" s="26"/>
      <c r="G2355" s="27">
        <f>SUM(G2356:G2358)</f>
        <v>4191.8766786000006</v>
      </c>
      <c r="H2355" s="44">
        <f>G2355*E2340</f>
        <v>0</v>
      </c>
    </row>
    <row r="2356" spans="1:11" ht="12.75" customHeight="1">
      <c r="A2356" s="28"/>
      <c r="B2356" s="29" t="s">
        <v>3710</v>
      </c>
      <c r="C2356" s="30" t="str">
        <f>IFERROR(_xlfn.XLOOKUP(B2356,MObra[DESCRIPCION],MObra[UN],,0),"")</f>
        <v>día</v>
      </c>
      <c r="D2356" s="31">
        <v>1</v>
      </c>
      <c r="E2356" s="32">
        <f>IFERROR(_xlfn.XLOOKUP($B2356,MObra[DESCRIPCION],MObra[VALOR UNIT],,0),"")</f>
        <v>314390.75089500006</v>
      </c>
      <c r="F2356" s="33">
        <v>-75</v>
      </c>
      <c r="G2356" s="34">
        <f>IFERROR(IF(F2356&gt;=0,D2356*E2356*(1+F2356/100),ABS(D2356*E2356/F2356)),"")</f>
        <v>4191.8766786000006</v>
      </c>
      <c r="H2356" s="43">
        <f>IFERROR(G2356*E2340,"")</f>
        <v>0</v>
      </c>
    </row>
    <row r="2357" spans="1:11" ht="12.75" customHeight="1">
      <c r="A2357" s="28"/>
      <c r="B2357" s="29"/>
      <c r="C2357" s="30" t="str">
        <f t="array" ref="C2357">IFERROR(_xlfn.XLOOKUP(B2357,MObra[[#All],[DESCRIPCION]],MObra[[#All],[UN]],,0),"")</f>
        <v/>
      </c>
      <c r="D2357" s="31"/>
      <c r="E2357" s="32" t="str">
        <f>IFERROR(_xlfn.XLOOKUP($B2357,MObra[DESCRIPCION],MObra[VALOR UNIT],,0),"")</f>
        <v/>
      </c>
      <c r="F2357" s="33"/>
      <c r="G2357" s="34" t="str">
        <f>IFERROR(IF(F2357&gt;=0,D2357*E2357*(1+F2357/100),ABS(D2357*E2357/F2357)),"")</f>
        <v/>
      </c>
      <c r="H2357" s="43" t="str">
        <f>IFERROR(G2357*E2340,"")</f>
        <v/>
      </c>
    </row>
    <row r="2358" spans="1:11" ht="12.75" customHeight="1" thickBot="1">
      <c r="A2358" s="35"/>
      <c r="B2358" s="36"/>
      <c r="C2358" s="37" t="str">
        <f t="array" ref="C2358">IFERROR(_xlfn.XLOOKUP(B2358,MObra[[#All],[DESCRIPCION]],MObra[[#All],[UN]],,0),"")</f>
        <v/>
      </c>
      <c r="D2358" s="38"/>
      <c r="E2358" s="39" t="str">
        <f>IFERROR(_xlfn.XLOOKUP($B2358,MObra[DESCRIPCION],MObra[VALOR UNIT],,0),"")</f>
        <v/>
      </c>
      <c r="F2358" s="40"/>
      <c r="G2358" s="41" t="str">
        <f>IFERROR(IF(F2358&gt;=0,D2358*E2358*(1+F2358/100),ABS(D2358*E2358/F2358)),"")</f>
        <v/>
      </c>
      <c r="H2358" s="42" t="str">
        <f>IFERROR(G2358*E2340,"")</f>
        <v/>
      </c>
    </row>
    <row r="2359" spans="1:11" ht="12.75" customHeight="1" thickTop="1" thickBot="1"/>
    <row r="2360" spans="1:11" ht="12.75" customHeight="1" thickTop="1" thickBot="1">
      <c r="A2360" s="6" t="s">
        <v>833</v>
      </c>
      <c r="B2360" s="7" t="str">
        <f>VLOOKUP($A2360,Presupuesto!$A:$D,2,FALSE())</f>
        <v>Tubería PVC presión 1 - 1/2" + accesorios</v>
      </c>
      <c r="C2360" s="8" t="str">
        <f>VLOOKUP($A2360,Presupuesto!$A:$D,3,FALSE())</f>
        <v>M</v>
      </c>
      <c r="D2360" s="9"/>
      <c r="E2360" s="10">
        <f>VLOOKUP($A2360,Presupuesto!$A:$D,4,FALSE())</f>
        <v>0</v>
      </c>
      <c r="F2360" s="11" t="s">
        <v>2589</v>
      </c>
      <c r="G2360" s="12">
        <f>SUM(G2362:G2378)/2</f>
        <v>27372.719263425006</v>
      </c>
      <c r="H2360" s="13">
        <f>ROUND(SUM(H2362:H2378),0)/2</f>
        <v>0</v>
      </c>
      <c r="I2360" s="10">
        <f>VLOOKUP(A2360,Presupuesto!$A:$F,6,0)</f>
        <v>0</v>
      </c>
      <c r="J2360" s="10">
        <f>+H2360-I2360</f>
        <v>0</v>
      </c>
      <c r="K2360" s="46">
        <f>+H2360-G2360*E2360</f>
        <v>0</v>
      </c>
    </row>
    <row r="2361" spans="1:11" ht="12.75" customHeight="1" thickTop="1">
      <c r="A2361" s="14"/>
      <c r="B2361" s="15" t="s">
        <v>2586</v>
      </c>
      <c r="C2361" s="15" t="s">
        <v>5</v>
      </c>
      <c r="D2361" s="16" t="s">
        <v>6</v>
      </c>
      <c r="E2361" s="17" t="s">
        <v>7</v>
      </c>
      <c r="F2361" s="18" t="s">
        <v>3728</v>
      </c>
      <c r="G2361" s="19" t="s">
        <v>3729</v>
      </c>
      <c r="H2361" s="20" t="s">
        <v>3797</v>
      </c>
    </row>
    <row r="2362" spans="1:11" ht="12.75" customHeight="1">
      <c r="A2362" s="21"/>
      <c r="B2362" s="22" t="s">
        <v>3730</v>
      </c>
      <c r="C2362" s="23"/>
      <c r="D2362" s="24"/>
      <c r="E2362" s="25"/>
      <c r="F2362" s="26"/>
      <c r="G2362" s="27">
        <f>SUM(G2363:G2367)</f>
        <v>22656.858</v>
      </c>
      <c r="H2362" s="27">
        <f>IFERROR(G2362*E2360,"")</f>
        <v>0</v>
      </c>
    </row>
    <row r="2363" spans="1:11" ht="12.75" customHeight="1">
      <c r="A2363" s="28"/>
      <c r="B2363" s="29" t="s">
        <v>3492</v>
      </c>
      <c r="C2363" s="30" t="str">
        <f>IFERROR(_xlfn.XLOOKUP(B2363,Insumo[DESCRIPCION],Insumo[UND],,0),"")</f>
        <v>M</v>
      </c>
      <c r="D2363" s="31">
        <v>1</v>
      </c>
      <c r="E2363" s="32">
        <f>IFERROR(_xlfn.XLOOKUP($B2363,Insumo[DESCRIPCION],Insumo[VALOR],,0),"")</f>
        <v>18960.900000000001</v>
      </c>
      <c r="F2363" s="33">
        <v>3</v>
      </c>
      <c r="G2363" s="34">
        <f>IFERROR(IF(F2363&gt;=0,D2363*E2363*(1+F2363/100),ABS(D2363*E2363/F2363)),"")</f>
        <v>19529.727000000003</v>
      </c>
      <c r="H2363" s="43">
        <f>IFERROR(G2363*E2360,"")</f>
        <v>0</v>
      </c>
    </row>
    <row r="2364" spans="1:11" ht="12.75" customHeight="1">
      <c r="A2364" s="28"/>
      <c r="B2364" s="29" t="s">
        <v>2637</v>
      </c>
      <c r="C2364" s="30" t="str">
        <f>IFERROR(_xlfn.XLOOKUP(B2364,Insumo[DESCRIPCION],Insumo[UND],,0),"")</f>
        <v>Un</v>
      </c>
      <c r="D2364" s="31">
        <v>0.13</v>
      </c>
      <c r="E2364" s="32">
        <f>IFERROR(_xlfn.XLOOKUP($B2364,Insumo[DESCRIPCION],Insumo[VALOR],,0),"")</f>
        <v>15990.45</v>
      </c>
      <c r="F2364" s="33"/>
      <c r="G2364" s="34">
        <f>IFERROR(IF(F2364&gt;=0,D2364*E2364*(1+F2364/100),ABS(D2364*E2364/F2364)),"")</f>
        <v>2078.7585000000004</v>
      </c>
      <c r="H2364" s="43">
        <f>IFERROR(G2364*E2360,"")</f>
        <v>0</v>
      </c>
    </row>
    <row r="2365" spans="1:11" ht="12.75" customHeight="1">
      <c r="A2365" s="28"/>
      <c r="B2365" s="29" t="s">
        <v>3046</v>
      </c>
      <c r="C2365" s="30" t="str">
        <f>IFERROR(_xlfn.XLOOKUP(B2365,Insumo[DESCRIPCION],Insumo[UND],,0),"")</f>
        <v>Un</v>
      </c>
      <c r="D2365" s="31">
        <v>0.01</v>
      </c>
      <c r="E2365" s="32">
        <f>IFERROR(_xlfn.XLOOKUP($B2365,Insumo[DESCRIPCION],Insumo[VALOR],,0),"")</f>
        <v>62413.05</v>
      </c>
      <c r="F2365" s="33"/>
      <c r="G2365" s="34">
        <f>IFERROR(IF(F2365&gt;=0,D2365*E2365*(1+F2365/100),ABS(D2365*E2365/F2365)),"")</f>
        <v>624.1305000000001</v>
      </c>
      <c r="H2365" s="43">
        <f>IFERROR(G2365*E2360,"")</f>
        <v>0</v>
      </c>
    </row>
    <row r="2366" spans="1:11" ht="12.75" customHeight="1">
      <c r="A2366" s="28"/>
      <c r="B2366" s="29" t="s">
        <v>3329</v>
      </c>
      <c r="C2366" s="30" t="str">
        <f>IFERROR(_xlfn.XLOOKUP(B2366,Insumo[DESCRIPCION],Insumo[UND],,0),"")</f>
        <v>Un</v>
      </c>
      <c r="D2366" s="31">
        <v>0.01</v>
      </c>
      <c r="E2366" s="32">
        <f>IFERROR(_xlfn.XLOOKUP($B2366,Insumo[DESCRIPCION],Insumo[VALOR],,0),"")</f>
        <v>42424.200000000004</v>
      </c>
      <c r="F2366" s="33"/>
      <c r="G2366" s="34">
        <f>IFERROR(IF(F2366&gt;=0,D2366*E2366*(1+F2366/100),ABS(D2366*E2366/F2366)),"")</f>
        <v>424.24200000000008</v>
      </c>
      <c r="H2366" s="43">
        <f>IFERROR(G2366*E2360,"")</f>
        <v>0</v>
      </c>
    </row>
    <row r="2367" spans="1:11" ht="12.75" customHeight="1">
      <c r="A2367" s="28"/>
      <c r="B2367" s="29"/>
      <c r="C2367" s="30" t="str">
        <f>IFERROR(_xlfn.XLOOKUP(B2367,Insumo[DESCRIPCION],Insumo[UND],,0),"")</f>
        <v/>
      </c>
      <c r="D2367" s="31"/>
      <c r="E2367" s="32" t="str">
        <f>IFERROR(_xlfn.XLOOKUP($B2367,Insumo[DESCRIPCION],Insumo[VALOR],,0),"")</f>
        <v/>
      </c>
      <c r="F2367" s="33"/>
      <c r="G2367" s="34" t="str">
        <f>IFERROR(IF(F2367&gt;=0,D2367*E2367*(1+F2367/100),ABS(D2367*E2367/F2367)),"")</f>
        <v/>
      </c>
      <c r="H2367" s="43" t="str">
        <f>IFERROR(G2367*E2360,"")</f>
        <v/>
      </c>
    </row>
    <row r="2368" spans="1:11" ht="12.75" customHeight="1">
      <c r="A2368" s="21"/>
      <c r="B2368" s="22" t="s">
        <v>3731</v>
      </c>
      <c r="C2368" s="23"/>
      <c r="D2368" s="24"/>
      <c r="E2368" s="25"/>
      <c r="F2368" s="26"/>
      <c r="G2368" s="27">
        <f>SUM(G2369:G2371)</f>
        <v>224.56482206785719</v>
      </c>
      <c r="H2368" s="44">
        <f>G2368*E2360</f>
        <v>0</v>
      </c>
    </row>
    <row r="2369" spans="1:11" ht="12.75" customHeight="1">
      <c r="A2369" s="28"/>
      <c r="B2369" s="29" t="s">
        <v>3626</v>
      </c>
      <c r="C2369" s="30" t="str">
        <f>IFERROR(_xlfn.XLOOKUP(B2369,Equipo[DESCRIPCION],Equipo[UND],,0),"")</f>
        <v>%MO</v>
      </c>
      <c r="D2369" s="31">
        <v>0.05</v>
      </c>
      <c r="E2369" s="32">
        <f>IF(C2369="%MO",G2375,IFERROR(_xlfn.XLOOKUP($B2369,Equipo[DESCRIPCION],Equipo[VALOR],,0),""))</f>
        <v>4491.2964413571435</v>
      </c>
      <c r="F2369" s="33"/>
      <c r="G2369" s="34">
        <f>IFERROR(IF(F2369&gt;=0,D2369*E2369*(1+F2369/100),ABS(D2369*E2369/F2369)),"")</f>
        <v>224.56482206785719</v>
      </c>
      <c r="H2369" s="43">
        <f>IFERROR(G2369*E2360,"")</f>
        <v>0</v>
      </c>
    </row>
    <row r="2370" spans="1:11" ht="12.75" customHeight="1">
      <c r="A2370" s="28"/>
      <c r="B2370" s="29"/>
      <c r="C2370" s="30" t="str">
        <f>IFERROR(_xlfn.XLOOKUP(B2370,Equipo[DESCRIPCION],Equipo[UND],,0),"")</f>
        <v/>
      </c>
      <c r="D2370" s="31"/>
      <c r="E2370" s="32" t="str">
        <f>IF(C2370="%MO",G2375,IFERROR(_xlfn.XLOOKUP($B2370,Equipo[DESCRIPCION],Equipo[VALOR],,0),""))</f>
        <v/>
      </c>
      <c r="F2370" s="33"/>
      <c r="G2370" s="34" t="str">
        <f>IFERROR(IF(F2370&gt;=0,D2370*E2370*(1+F2370/100),ABS(D2370*E2370/F2370)),"")</f>
        <v/>
      </c>
      <c r="H2370" s="43" t="str">
        <f>IFERROR(G2370*E2360,"")</f>
        <v/>
      </c>
    </row>
    <row r="2371" spans="1:11" ht="12.75" customHeight="1">
      <c r="A2371" s="28"/>
      <c r="B2371" s="29"/>
      <c r="C2371" s="30" t="str">
        <f>IFERROR(_xlfn.XLOOKUP(B2371,Equipo[DESCRIPCION],Equipo[UND],,0),"")</f>
        <v/>
      </c>
      <c r="D2371" s="31"/>
      <c r="E2371" s="32" t="str">
        <f>IF(C2371="%MO",G2375,IFERROR(_xlfn.XLOOKUP($B2371,Equipo[DESCRIPCION],Equipo[VALOR],,0),""))</f>
        <v/>
      </c>
      <c r="F2371" s="33"/>
      <c r="G2371" s="34" t="str">
        <f>IFERROR(IF(F2371&gt;=0,D2371*E2371*(1+F2371/100),ABS(D2371*E2371/F2371)),"")</f>
        <v/>
      </c>
      <c r="H2371" s="43" t="str">
        <f>IFERROR(G2371*E2360,"")</f>
        <v/>
      </c>
    </row>
    <row r="2372" spans="1:11" ht="12.75" customHeight="1">
      <c r="A2372" s="21"/>
      <c r="B2372" s="22" t="s">
        <v>2533</v>
      </c>
      <c r="C2372" s="23"/>
      <c r="D2372" s="24"/>
      <c r="E2372" s="25"/>
      <c r="F2372" s="26"/>
      <c r="G2372" s="27">
        <f>SUM(G2373:G2374)</f>
        <v>0</v>
      </c>
      <c r="H2372" s="44">
        <f>G2372*E2360</f>
        <v>0</v>
      </c>
    </row>
    <row r="2373" spans="1:11" ht="12.75" customHeight="1">
      <c r="A2373" s="28"/>
      <c r="B2373" s="29"/>
      <c r="C2373" s="30" t="str">
        <f>IFERROR(_xlfn.XLOOKUP(B2373,Transporte[DESCRIPCION],Transporte[UND],,0),"")</f>
        <v/>
      </c>
      <c r="D2373" s="31"/>
      <c r="E2373" s="32" t="str">
        <f>IFERROR(_xlfn.XLOOKUP($B2373,Transporte[DESCRIPCION],Transporte[VALOR],,0),"")</f>
        <v/>
      </c>
      <c r="F2373" s="33"/>
      <c r="G2373" s="34" t="str">
        <f>IFERROR(IF(F2373&gt;=0,D2373*E2373*(1+F2373/100),ABS(D2373*E2373/F2373)),"")</f>
        <v/>
      </c>
      <c r="H2373" s="43" t="str">
        <f>IFERROR(G2373*E2360,"")</f>
        <v/>
      </c>
    </row>
    <row r="2374" spans="1:11" ht="12.75" customHeight="1">
      <c r="A2374" s="28"/>
      <c r="B2374" s="29"/>
      <c r="C2374" s="30" t="str">
        <f>IFERROR(_xlfn.XLOOKUP(B2374,Transporte[DESCRIPCION],Transporte[UND],,0),"")</f>
        <v/>
      </c>
      <c r="D2374" s="31"/>
      <c r="E2374" s="32" t="str">
        <f>IFERROR(_xlfn.XLOOKUP($B2374,Transporte[DESCRIPCION],Transporte[VALOR],,0),"")</f>
        <v/>
      </c>
      <c r="F2374" s="33"/>
      <c r="G2374" s="34" t="str">
        <f>IFERROR(IF(F2374&gt;=0,D2374*E2374*(1+F2374/100),ABS(D2374*E2374/F2374)),"")</f>
        <v/>
      </c>
      <c r="H2374" s="43" t="str">
        <f>IFERROR(G2374*E2360,"")</f>
        <v/>
      </c>
    </row>
    <row r="2375" spans="1:11" ht="12.75" customHeight="1">
      <c r="A2375" s="21"/>
      <c r="B2375" s="22" t="s">
        <v>3732</v>
      </c>
      <c r="C2375" s="23"/>
      <c r="D2375" s="24"/>
      <c r="E2375" s="25"/>
      <c r="F2375" s="26"/>
      <c r="G2375" s="27">
        <f>SUM(G2376:G2378)</f>
        <v>4491.2964413571435</v>
      </c>
      <c r="H2375" s="44">
        <f>G2375*E2360</f>
        <v>0</v>
      </c>
    </row>
    <row r="2376" spans="1:11" ht="12.75" customHeight="1">
      <c r="A2376" s="28"/>
      <c r="B2376" s="29" t="s">
        <v>3710</v>
      </c>
      <c r="C2376" s="30" t="str">
        <f>IFERROR(_xlfn.XLOOKUP(B2376,MObra[DESCRIPCION],MObra[UN],,0),"")</f>
        <v>día</v>
      </c>
      <c r="D2376" s="31">
        <v>1</v>
      </c>
      <c r="E2376" s="32">
        <f>IFERROR(_xlfn.XLOOKUP($B2376,MObra[DESCRIPCION],MObra[VALOR UNIT],,0),"")</f>
        <v>314390.75089500006</v>
      </c>
      <c r="F2376" s="33">
        <v>-70</v>
      </c>
      <c r="G2376" s="34">
        <f>IFERROR(IF(F2376&gt;=0,D2376*E2376*(1+F2376/100),ABS(D2376*E2376/F2376)),"")</f>
        <v>4491.2964413571435</v>
      </c>
      <c r="H2376" s="43">
        <f>IFERROR(G2376*E2360,"")</f>
        <v>0</v>
      </c>
    </row>
    <row r="2377" spans="1:11" ht="12.75" customHeight="1">
      <c r="A2377" s="28"/>
      <c r="B2377" s="29"/>
      <c r="C2377" s="30" t="str">
        <f t="array" ref="C2377">IFERROR(_xlfn.XLOOKUP(B2377,MObra[[#All],[DESCRIPCION]],MObra[[#All],[UN]],,0),"")</f>
        <v/>
      </c>
      <c r="D2377" s="31"/>
      <c r="E2377" s="32" t="str">
        <f>IFERROR(_xlfn.XLOOKUP($B2377,MObra[DESCRIPCION],MObra[VALOR UNIT],,0),"")</f>
        <v/>
      </c>
      <c r="F2377" s="33"/>
      <c r="G2377" s="34" t="str">
        <f>IFERROR(IF(F2377&gt;=0,D2377*E2377*(1+F2377/100),ABS(D2377*E2377/F2377)),"")</f>
        <v/>
      </c>
      <c r="H2377" s="43" t="str">
        <f>IFERROR(G2377*E2360,"")</f>
        <v/>
      </c>
    </row>
    <row r="2378" spans="1:11" ht="12.75" customHeight="1" thickBot="1">
      <c r="A2378" s="35"/>
      <c r="B2378" s="36"/>
      <c r="C2378" s="37" t="str">
        <f t="array" ref="C2378">IFERROR(_xlfn.XLOOKUP(B2378,MObra[[#All],[DESCRIPCION]],MObra[[#All],[UN]],,0),"")</f>
        <v/>
      </c>
      <c r="D2378" s="38"/>
      <c r="E2378" s="39" t="str">
        <f>IFERROR(_xlfn.XLOOKUP($B2378,MObra[DESCRIPCION],MObra[VALOR UNIT],,0),"")</f>
        <v/>
      </c>
      <c r="F2378" s="40"/>
      <c r="G2378" s="41" t="str">
        <f>IFERROR(IF(F2378&gt;=0,D2378*E2378*(1+F2378/100),ABS(D2378*E2378/F2378)),"")</f>
        <v/>
      </c>
      <c r="H2378" s="42" t="str">
        <f>IFERROR(G2378*E2360,"")</f>
        <v/>
      </c>
    </row>
    <row r="2379" spans="1:11" ht="12.75" customHeight="1" thickTop="1" thickBot="1"/>
    <row r="2380" spans="1:11" ht="12.75" customHeight="1" thickTop="1" thickBot="1">
      <c r="A2380" s="6" t="s">
        <v>835</v>
      </c>
      <c r="B2380" s="7" t="str">
        <f>VLOOKUP($A2380,Presupuesto!$A:$D,2,FALSE())</f>
        <v>Tubería PVC presión 2" + accesorios</v>
      </c>
      <c r="C2380" s="8" t="str">
        <f>VLOOKUP($A2380,Presupuesto!$A:$D,3,FALSE())</f>
        <v>M</v>
      </c>
      <c r="D2380" s="9"/>
      <c r="E2380" s="10">
        <f>VLOOKUP($A2380,Presupuesto!$A:$D,4,FALSE())</f>
        <v>0</v>
      </c>
      <c r="F2380" s="11" t="s">
        <v>2589</v>
      </c>
      <c r="G2380" s="12">
        <f>SUM(G2382:G2398)/2</f>
        <v>39301.133322149995</v>
      </c>
      <c r="H2380" s="13">
        <f>ROUND(SUM(H2382:H2398),0)/2</f>
        <v>0</v>
      </c>
      <c r="I2380" s="10">
        <f>VLOOKUP(A2380,Presupuesto!$A:$F,6,0)</f>
        <v>0</v>
      </c>
      <c r="J2380" s="10">
        <f>+H2380-I2380</f>
        <v>0</v>
      </c>
      <c r="K2380" s="46">
        <f>+H2380-G2380*E2380</f>
        <v>0</v>
      </c>
    </row>
    <row r="2381" spans="1:11" ht="12.75" customHeight="1" thickTop="1">
      <c r="A2381" s="14"/>
      <c r="B2381" s="15" t="s">
        <v>2586</v>
      </c>
      <c r="C2381" s="15" t="s">
        <v>5</v>
      </c>
      <c r="D2381" s="16" t="s">
        <v>6</v>
      </c>
      <c r="E2381" s="17" t="s">
        <v>7</v>
      </c>
      <c r="F2381" s="18" t="s">
        <v>3728</v>
      </c>
      <c r="G2381" s="19" t="s">
        <v>3729</v>
      </c>
      <c r="H2381" s="20" t="s">
        <v>3797</v>
      </c>
    </row>
    <row r="2382" spans="1:11" ht="12.75" customHeight="1">
      <c r="A2382" s="21"/>
      <c r="B2382" s="22" t="s">
        <v>3730</v>
      </c>
      <c r="C2382" s="23"/>
      <c r="D2382" s="24"/>
      <c r="E2382" s="25"/>
      <c r="F2382" s="26"/>
      <c r="G2382" s="27">
        <f>SUM(G2383:G2387)</f>
        <v>34222.513500000001</v>
      </c>
      <c r="H2382" s="27">
        <f>IFERROR(G2382*E2380,"")</f>
        <v>0</v>
      </c>
    </row>
    <row r="2383" spans="1:11" ht="12.75" customHeight="1">
      <c r="A2383" s="28"/>
      <c r="B2383" s="29" t="s">
        <v>3497</v>
      </c>
      <c r="C2383" s="30" t="str">
        <f>IFERROR(_xlfn.XLOOKUP(B2383,Insumo[DESCRIPCION],Insumo[UND],,0),"")</f>
        <v>M</v>
      </c>
      <c r="D2383" s="31">
        <v>1</v>
      </c>
      <c r="E2383" s="32">
        <f>IFERROR(_xlfn.XLOOKUP($B2383,Insumo[DESCRIPCION],Insumo[VALOR],,0),"")</f>
        <v>29006.25</v>
      </c>
      <c r="F2383" s="33">
        <v>3</v>
      </c>
      <c r="G2383" s="34">
        <f>IFERROR(IF(F2383&gt;=0,D2383*E2383*(1+F2383/100),ABS(D2383*E2383/F2383)),"")</f>
        <v>29876.4375</v>
      </c>
      <c r="H2383" s="43">
        <f>IFERROR(G2383*E2380,"")</f>
        <v>0</v>
      </c>
    </row>
    <row r="2384" spans="1:11" ht="12.75" customHeight="1">
      <c r="A2384" s="28"/>
      <c r="B2384" s="29" t="s">
        <v>2642</v>
      </c>
      <c r="C2384" s="30" t="str">
        <f>IFERROR(_xlfn.XLOOKUP(B2384,Insumo[DESCRIPCION],Insumo[UND],,0),"")</f>
        <v>Un</v>
      </c>
      <c r="D2384" s="31">
        <v>0.13</v>
      </c>
      <c r="E2384" s="32">
        <f>IFERROR(_xlfn.XLOOKUP($B2384,Insumo[DESCRIPCION],Insumo[VALOR],,0),"")</f>
        <v>25366.95</v>
      </c>
      <c r="F2384" s="33"/>
      <c r="G2384" s="34">
        <f>IFERROR(IF(F2384&gt;=0,D2384*E2384*(1+F2384/100),ABS(D2384*E2384/F2384)),"")</f>
        <v>3297.7035000000001</v>
      </c>
      <c r="H2384" s="43">
        <f>IFERROR(G2384*E2380,"")</f>
        <v>0</v>
      </c>
    </row>
    <row r="2385" spans="1:11" ht="12.75" customHeight="1">
      <c r="A2385" s="28"/>
      <c r="B2385" s="29" t="s">
        <v>3046</v>
      </c>
      <c r="C2385" s="30" t="str">
        <f>IFERROR(_xlfn.XLOOKUP(B2385,Insumo[DESCRIPCION],Insumo[UND],,0),"")</f>
        <v>Un</v>
      </c>
      <c r="D2385" s="31">
        <v>0.01</v>
      </c>
      <c r="E2385" s="32">
        <f>IFERROR(_xlfn.XLOOKUP($B2385,Insumo[DESCRIPCION],Insumo[VALOR],,0),"")</f>
        <v>62413.05</v>
      </c>
      <c r="F2385" s="33"/>
      <c r="G2385" s="34">
        <f>IFERROR(IF(F2385&gt;=0,D2385*E2385*(1+F2385/100),ABS(D2385*E2385/F2385)),"")</f>
        <v>624.1305000000001</v>
      </c>
      <c r="H2385" s="43">
        <f>IFERROR(G2385*E2380,"")</f>
        <v>0</v>
      </c>
    </row>
    <row r="2386" spans="1:11" ht="12.75" customHeight="1">
      <c r="A2386" s="28"/>
      <c r="B2386" s="29" t="s">
        <v>3329</v>
      </c>
      <c r="C2386" s="30" t="str">
        <f>IFERROR(_xlfn.XLOOKUP(B2386,Insumo[DESCRIPCION],Insumo[UND],,0),"")</f>
        <v>Un</v>
      </c>
      <c r="D2386" s="31">
        <v>0.01</v>
      </c>
      <c r="E2386" s="32">
        <f>IFERROR(_xlfn.XLOOKUP($B2386,Insumo[DESCRIPCION],Insumo[VALOR],,0),"")</f>
        <v>42424.200000000004</v>
      </c>
      <c r="F2386" s="33"/>
      <c r="G2386" s="34">
        <f>IFERROR(IF(F2386&gt;=0,D2386*E2386*(1+F2386/100),ABS(D2386*E2386/F2386)),"")</f>
        <v>424.24200000000008</v>
      </c>
      <c r="H2386" s="43">
        <f>IFERROR(G2386*E2380,"")</f>
        <v>0</v>
      </c>
    </row>
    <row r="2387" spans="1:11" ht="12.75" customHeight="1">
      <c r="A2387" s="28"/>
      <c r="B2387" s="29"/>
      <c r="C2387" s="30" t="str">
        <f>IFERROR(_xlfn.XLOOKUP(B2387,Insumo[DESCRIPCION],Insumo[UND],,0),"")</f>
        <v/>
      </c>
      <c r="D2387" s="31"/>
      <c r="E2387" s="32" t="str">
        <f>IFERROR(_xlfn.XLOOKUP($B2387,Insumo[DESCRIPCION],Insumo[VALOR],,0),"")</f>
        <v/>
      </c>
      <c r="F2387" s="33"/>
      <c r="G2387" s="34" t="str">
        <f>IFERROR(IF(F2387&gt;=0,D2387*E2387*(1+F2387/100),ABS(D2387*E2387/F2387)),"")</f>
        <v/>
      </c>
      <c r="H2387" s="43" t="str">
        <f>IFERROR(G2387*E2380,"")</f>
        <v/>
      </c>
    </row>
    <row r="2388" spans="1:11" ht="12.75" customHeight="1">
      <c r="A2388" s="21"/>
      <c r="B2388" s="22" t="s">
        <v>3731</v>
      </c>
      <c r="C2388" s="23"/>
      <c r="D2388" s="24"/>
      <c r="E2388" s="25"/>
      <c r="F2388" s="26"/>
      <c r="G2388" s="27">
        <f>SUM(G2389:G2391)</f>
        <v>241.83903915000008</v>
      </c>
      <c r="H2388" s="44">
        <f>G2388*E2380</f>
        <v>0</v>
      </c>
    </row>
    <row r="2389" spans="1:11" ht="12.75" customHeight="1">
      <c r="A2389" s="28"/>
      <c r="B2389" s="29" t="s">
        <v>3626</v>
      </c>
      <c r="C2389" s="30" t="str">
        <f>IFERROR(_xlfn.XLOOKUP(B2389,Equipo[DESCRIPCION],Equipo[UND],,0),"")</f>
        <v>%MO</v>
      </c>
      <c r="D2389" s="31">
        <v>0.05</v>
      </c>
      <c r="E2389" s="32">
        <f>IF(C2389="%MO",G2395,IFERROR(_xlfn.XLOOKUP($B2389,Equipo[DESCRIPCION],Equipo[VALOR],,0),""))</f>
        <v>4836.7807830000011</v>
      </c>
      <c r="F2389" s="33"/>
      <c r="G2389" s="34">
        <f>IFERROR(IF(F2389&gt;=0,D2389*E2389*(1+F2389/100),ABS(D2389*E2389/F2389)),"")</f>
        <v>241.83903915000008</v>
      </c>
      <c r="H2389" s="43">
        <f>IFERROR(G2389*E2380,"")</f>
        <v>0</v>
      </c>
    </row>
    <row r="2390" spans="1:11" ht="12.75" customHeight="1">
      <c r="A2390" s="28"/>
      <c r="B2390" s="29"/>
      <c r="C2390" s="30" t="str">
        <f>IFERROR(_xlfn.XLOOKUP(B2390,Equipo[DESCRIPCION],Equipo[UND],,0),"")</f>
        <v/>
      </c>
      <c r="D2390" s="31"/>
      <c r="E2390" s="32" t="str">
        <f>IF(C2390="%MO",G2395,IFERROR(_xlfn.XLOOKUP($B2390,Equipo[DESCRIPCION],Equipo[VALOR],,0),""))</f>
        <v/>
      </c>
      <c r="F2390" s="33"/>
      <c r="G2390" s="34" t="str">
        <f>IFERROR(IF(F2390&gt;=0,D2390*E2390*(1+F2390/100),ABS(D2390*E2390/F2390)),"")</f>
        <v/>
      </c>
      <c r="H2390" s="43" t="str">
        <f>IFERROR(G2390*E2380,"")</f>
        <v/>
      </c>
    </row>
    <row r="2391" spans="1:11" ht="12.75" customHeight="1">
      <c r="A2391" s="28"/>
      <c r="B2391" s="29"/>
      <c r="C2391" s="30" t="str">
        <f>IFERROR(_xlfn.XLOOKUP(B2391,Equipo[DESCRIPCION],Equipo[UND],,0),"")</f>
        <v/>
      </c>
      <c r="D2391" s="31"/>
      <c r="E2391" s="32" t="str">
        <f>IF(C2391="%MO",G2395,IFERROR(_xlfn.XLOOKUP($B2391,Equipo[DESCRIPCION],Equipo[VALOR],,0),""))</f>
        <v/>
      </c>
      <c r="F2391" s="33"/>
      <c r="G2391" s="34" t="str">
        <f>IFERROR(IF(F2391&gt;=0,D2391*E2391*(1+F2391/100),ABS(D2391*E2391/F2391)),"")</f>
        <v/>
      </c>
      <c r="H2391" s="43" t="str">
        <f>IFERROR(G2391*E2380,"")</f>
        <v/>
      </c>
    </row>
    <row r="2392" spans="1:11" ht="12.75" customHeight="1">
      <c r="A2392" s="21"/>
      <c r="B2392" s="22" t="s">
        <v>2533</v>
      </c>
      <c r="C2392" s="23"/>
      <c r="D2392" s="24"/>
      <c r="E2392" s="25"/>
      <c r="F2392" s="26"/>
      <c r="G2392" s="27">
        <f>SUM(G2393:G2394)</f>
        <v>0</v>
      </c>
      <c r="H2392" s="44">
        <f>G2392*E2380</f>
        <v>0</v>
      </c>
    </row>
    <row r="2393" spans="1:11" ht="12.75" customHeight="1">
      <c r="A2393" s="28"/>
      <c r="B2393" s="29"/>
      <c r="C2393" s="30" t="str">
        <f>IFERROR(_xlfn.XLOOKUP(B2393,Transporte[DESCRIPCION],Transporte[UND],,0),"")</f>
        <v/>
      </c>
      <c r="D2393" s="31"/>
      <c r="E2393" s="32" t="str">
        <f>IFERROR(_xlfn.XLOOKUP($B2393,Transporte[DESCRIPCION],Transporte[VALOR],,0),"")</f>
        <v/>
      </c>
      <c r="F2393" s="33"/>
      <c r="G2393" s="34" t="str">
        <f>IFERROR(IF(F2393&gt;=0,D2393*E2393*(1+F2393/100),ABS(D2393*E2393/F2393)),"")</f>
        <v/>
      </c>
      <c r="H2393" s="43" t="str">
        <f>IFERROR(G2393*E2380,"")</f>
        <v/>
      </c>
    </row>
    <row r="2394" spans="1:11" ht="12.75" customHeight="1">
      <c r="A2394" s="28"/>
      <c r="B2394" s="29"/>
      <c r="C2394" s="30" t="str">
        <f>IFERROR(_xlfn.XLOOKUP(B2394,Transporte[DESCRIPCION],Transporte[UND],,0),"")</f>
        <v/>
      </c>
      <c r="D2394" s="31"/>
      <c r="E2394" s="32" t="str">
        <f>IFERROR(_xlfn.XLOOKUP($B2394,Transporte[DESCRIPCION],Transporte[VALOR],,0),"")</f>
        <v/>
      </c>
      <c r="F2394" s="33"/>
      <c r="G2394" s="34" t="str">
        <f>IFERROR(IF(F2394&gt;=0,D2394*E2394*(1+F2394/100),ABS(D2394*E2394/F2394)),"")</f>
        <v/>
      </c>
      <c r="H2394" s="43" t="str">
        <f>IFERROR(G2394*E2380,"")</f>
        <v/>
      </c>
    </row>
    <row r="2395" spans="1:11" ht="12.75" customHeight="1">
      <c r="A2395" s="21"/>
      <c r="B2395" s="22" t="s">
        <v>3732</v>
      </c>
      <c r="C2395" s="23"/>
      <c r="D2395" s="24"/>
      <c r="E2395" s="25"/>
      <c r="F2395" s="26"/>
      <c r="G2395" s="27">
        <f>SUM(G2396:G2398)</f>
        <v>4836.7807830000011</v>
      </c>
      <c r="H2395" s="44">
        <f>G2395*E2380</f>
        <v>0</v>
      </c>
    </row>
    <row r="2396" spans="1:11" ht="12.75" customHeight="1">
      <c r="A2396" s="28"/>
      <c r="B2396" s="29" t="s">
        <v>3710</v>
      </c>
      <c r="C2396" s="30" t="str">
        <f>IFERROR(_xlfn.XLOOKUP(B2396,MObra[DESCRIPCION],MObra[UN],,0),"")</f>
        <v>día</v>
      </c>
      <c r="D2396" s="31">
        <v>1</v>
      </c>
      <c r="E2396" s="32">
        <f>IFERROR(_xlfn.XLOOKUP($B2396,MObra[DESCRIPCION],MObra[VALOR UNIT],,0),"")</f>
        <v>314390.75089500006</v>
      </c>
      <c r="F2396" s="33">
        <v>-65</v>
      </c>
      <c r="G2396" s="34">
        <f>IFERROR(IF(F2396&gt;=0,D2396*E2396*(1+F2396/100),ABS(D2396*E2396/F2396)),"")</f>
        <v>4836.7807830000011</v>
      </c>
      <c r="H2396" s="43">
        <f>IFERROR(G2396*E2380,"")</f>
        <v>0</v>
      </c>
    </row>
    <row r="2397" spans="1:11" ht="12.75" customHeight="1">
      <c r="A2397" s="28"/>
      <c r="B2397" s="29"/>
      <c r="C2397" s="30" t="str">
        <f t="array" ref="C2397">IFERROR(_xlfn.XLOOKUP(B2397,MObra[[#All],[DESCRIPCION]],MObra[[#All],[UN]],,0),"")</f>
        <v/>
      </c>
      <c r="D2397" s="31"/>
      <c r="E2397" s="32" t="str">
        <f>IFERROR(_xlfn.XLOOKUP($B2397,MObra[DESCRIPCION],MObra[VALOR UNIT],,0),"")</f>
        <v/>
      </c>
      <c r="F2397" s="33"/>
      <c r="G2397" s="34" t="str">
        <f>IFERROR(IF(F2397&gt;=0,D2397*E2397*(1+F2397/100),ABS(D2397*E2397/F2397)),"")</f>
        <v/>
      </c>
      <c r="H2397" s="43" t="str">
        <f>IFERROR(G2397*E2380,"")</f>
        <v/>
      </c>
    </row>
    <row r="2398" spans="1:11" ht="12.75" customHeight="1" thickBot="1">
      <c r="A2398" s="35"/>
      <c r="B2398" s="36"/>
      <c r="C2398" s="37" t="str">
        <f t="array" ref="C2398">IFERROR(_xlfn.XLOOKUP(B2398,MObra[[#All],[DESCRIPCION]],MObra[[#All],[UN]],,0),"")</f>
        <v/>
      </c>
      <c r="D2398" s="38"/>
      <c r="E2398" s="39" t="str">
        <f>IFERROR(_xlfn.XLOOKUP($B2398,MObra[DESCRIPCION],MObra[VALOR UNIT],,0),"")</f>
        <v/>
      </c>
      <c r="F2398" s="40"/>
      <c r="G2398" s="41" t="str">
        <f>IFERROR(IF(F2398&gt;=0,D2398*E2398*(1+F2398/100),ABS(D2398*E2398/F2398)),"")</f>
        <v/>
      </c>
      <c r="H2398" s="42" t="str">
        <f>IFERROR(G2398*E2380,"")</f>
        <v/>
      </c>
    </row>
    <row r="2399" spans="1:11" ht="12.75" customHeight="1" thickTop="1" thickBot="1"/>
    <row r="2400" spans="1:11" ht="12.75" customHeight="1" thickTop="1" thickBot="1">
      <c r="A2400" s="6" t="s">
        <v>837</v>
      </c>
      <c r="B2400" s="7" t="str">
        <f>VLOOKUP($A2400,Presupuesto!$A:$D,2,FALSE())</f>
        <v>Tubería PVC presión 2 - 1/2" + accesorios</v>
      </c>
      <c r="C2400" s="8" t="str">
        <f>VLOOKUP($A2400,Presupuesto!$A:$D,3,FALSE())</f>
        <v>M</v>
      </c>
      <c r="D2400" s="9"/>
      <c r="E2400" s="10">
        <f>VLOOKUP($A2400,Presupuesto!$A:$D,4,FALSE())</f>
        <v>0</v>
      </c>
      <c r="F2400" s="11" t="s">
        <v>2589</v>
      </c>
      <c r="G2400" s="12">
        <f>SUM(G2402:G2418)/2</f>
        <v>64123.936640662505</v>
      </c>
      <c r="H2400" s="13">
        <f>ROUND(SUM(H2402:H2418),0)/2</f>
        <v>0</v>
      </c>
      <c r="I2400" s="10">
        <f>VLOOKUP(A2400,Presupuesto!$A:$F,6,0)</f>
        <v>0</v>
      </c>
      <c r="J2400" s="10">
        <f>+H2400-I2400</f>
        <v>0</v>
      </c>
      <c r="K2400" s="46">
        <f>+H2400-G2400*E2400</f>
        <v>0</v>
      </c>
    </row>
    <row r="2401" spans="1:8" ht="12.75" customHeight="1" thickTop="1">
      <c r="A2401" s="14"/>
      <c r="B2401" s="15" t="s">
        <v>2586</v>
      </c>
      <c r="C2401" s="15" t="s">
        <v>5</v>
      </c>
      <c r="D2401" s="16" t="s">
        <v>6</v>
      </c>
      <c r="E2401" s="17" t="s">
        <v>7</v>
      </c>
      <c r="F2401" s="18" t="s">
        <v>3728</v>
      </c>
      <c r="G2401" s="19" t="s">
        <v>3729</v>
      </c>
      <c r="H2401" s="20" t="s">
        <v>3797</v>
      </c>
    </row>
    <row r="2402" spans="1:8" ht="12.75" customHeight="1">
      <c r="A2402" s="21"/>
      <c r="B2402" s="22" t="s">
        <v>3730</v>
      </c>
      <c r="C2402" s="23"/>
      <c r="D2402" s="24"/>
      <c r="E2402" s="25"/>
      <c r="F2402" s="26"/>
      <c r="G2402" s="27">
        <f>SUM(G2403:G2407)</f>
        <v>58622.098500000007</v>
      </c>
      <c r="H2402" s="27">
        <f>IFERROR(G2402*E2400,"")</f>
        <v>0</v>
      </c>
    </row>
    <row r="2403" spans="1:8" ht="12.75" customHeight="1">
      <c r="A2403" s="28"/>
      <c r="B2403" s="29" t="s">
        <v>3496</v>
      </c>
      <c r="C2403" s="30" t="str">
        <f>IFERROR(_xlfn.XLOOKUP(B2403,Insumo[DESCRIPCION],Insumo[UND],,0),"")</f>
        <v>M</v>
      </c>
      <c r="D2403" s="31">
        <v>1</v>
      </c>
      <c r="E2403" s="32">
        <f>IFERROR(_xlfn.XLOOKUP($B2403,Insumo[DESCRIPCION],Insumo[VALOR],,0),"")</f>
        <v>46948.65</v>
      </c>
      <c r="F2403" s="33">
        <v>3</v>
      </c>
      <c r="G2403" s="34">
        <f>IFERROR(IF(F2403&gt;=0,D2403*E2403*(1+F2403/100),ABS(D2403*E2403/F2403)),"")</f>
        <v>48357.109500000006</v>
      </c>
      <c r="H2403" s="43">
        <f>IFERROR(G2403*E2400,"")</f>
        <v>0</v>
      </c>
    </row>
    <row r="2404" spans="1:8" ht="12.75" customHeight="1">
      <c r="A2404" s="28"/>
      <c r="B2404" s="29" t="s">
        <v>2641</v>
      </c>
      <c r="C2404" s="30" t="str">
        <f>IFERROR(_xlfn.XLOOKUP(B2404,Insumo[DESCRIPCION],Insumo[UND],,0),"")</f>
        <v>Un</v>
      </c>
      <c r="D2404" s="31">
        <v>0.13</v>
      </c>
      <c r="E2404" s="32">
        <f>IFERROR(_xlfn.XLOOKUP($B2404,Insumo[DESCRIPCION],Insumo[VALOR],,0),"")</f>
        <v>70897.05</v>
      </c>
      <c r="F2404" s="33"/>
      <c r="G2404" s="34">
        <f>IFERROR(IF(F2404&gt;=0,D2404*E2404*(1+F2404/100),ABS(D2404*E2404/F2404)),"")</f>
        <v>9216.6165000000001</v>
      </c>
      <c r="H2404" s="43">
        <f>IFERROR(G2404*E2400,"")</f>
        <v>0</v>
      </c>
    </row>
    <row r="2405" spans="1:8" ht="12.75" customHeight="1">
      <c r="A2405" s="28"/>
      <c r="B2405" s="29" t="s">
        <v>3046</v>
      </c>
      <c r="C2405" s="30" t="str">
        <f>IFERROR(_xlfn.XLOOKUP(B2405,Insumo[DESCRIPCION],Insumo[UND],,0),"")</f>
        <v>Un</v>
      </c>
      <c r="D2405" s="31">
        <v>0.01</v>
      </c>
      <c r="E2405" s="32">
        <f>IFERROR(_xlfn.XLOOKUP($B2405,Insumo[DESCRIPCION],Insumo[VALOR],,0),"")</f>
        <v>62413.05</v>
      </c>
      <c r="F2405" s="33"/>
      <c r="G2405" s="34">
        <f>IFERROR(IF(F2405&gt;=0,D2405*E2405*(1+F2405/100),ABS(D2405*E2405/F2405)),"")</f>
        <v>624.1305000000001</v>
      </c>
      <c r="H2405" s="43">
        <f>IFERROR(G2405*E2400,"")</f>
        <v>0</v>
      </c>
    </row>
    <row r="2406" spans="1:8" ht="12.75" customHeight="1">
      <c r="A2406" s="28"/>
      <c r="B2406" s="29" t="s">
        <v>3329</v>
      </c>
      <c r="C2406" s="30" t="str">
        <f>IFERROR(_xlfn.XLOOKUP(B2406,Insumo[DESCRIPCION],Insumo[UND],,0),"")</f>
        <v>Un</v>
      </c>
      <c r="D2406" s="31">
        <v>0.01</v>
      </c>
      <c r="E2406" s="32">
        <f>IFERROR(_xlfn.XLOOKUP($B2406,Insumo[DESCRIPCION],Insumo[VALOR],,0),"")</f>
        <v>42424.200000000004</v>
      </c>
      <c r="F2406" s="33"/>
      <c r="G2406" s="34">
        <f>IFERROR(IF(F2406&gt;=0,D2406*E2406*(1+F2406/100),ABS(D2406*E2406/F2406)),"")</f>
        <v>424.24200000000008</v>
      </c>
      <c r="H2406" s="43">
        <f>IFERROR(G2406*E2400,"")</f>
        <v>0</v>
      </c>
    </row>
    <row r="2407" spans="1:8" ht="12.75" customHeight="1">
      <c r="A2407" s="28"/>
      <c r="B2407" s="29"/>
      <c r="C2407" s="30" t="str">
        <f>IFERROR(_xlfn.XLOOKUP(B2407,Insumo[DESCRIPCION],Insumo[UND],,0),"")</f>
        <v/>
      </c>
      <c r="D2407" s="31"/>
      <c r="E2407" s="32" t="str">
        <f>IFERROR(_xlfn.XLOOKUP($B2407,Insumo[DESCRIPCION],Insumo[VALOR],,0),"")</f>
        <v/>
      </c>
      <c r="F2407" s="33"/>
      <c r="G2407" s="34" t="str">
        <f>IFERROR(IF(F2407&gt;=0,D2407*E2407*(1+F2407/100),ABS(D2407*E2407/F2407)),"")</f>
        <v/>
      </c>
      <c r="H2407" s="43" t="str">
        <f>IFERROR(G2407*E2400,"")</f>
        <v/>
      </c>
    </row>
    <row r="2408" spans="1:8" ht="12.75" customHeight="1">
      <c r="A2408" s="21"/>
      <c r="B2408" s="22" t="s">
        <v>3731</v>
      </c>
      <c r="C2408" s="23"/>
      <c r="D2408" s="24"/>
      <c r="E2408" s="25"/>
      <c r="F2408" s="26"/>
      <c r="G2408" s="27">
        <f>SUM(G2409:G2411)</f>
        <v>261.99229241250003</v>
      </c>
      <c r="H2408" s="44">
        <f>G2408*E2400</f>
        <v>0</v>
      </c>
    </row>
    <row r="2409" spans="1:8" ht="12.75" customHeight="1">
      <c r="A2409" s="28"/>
      <c r="B2409" s="29" t="s">
        <v>3626</v>
      </c>
      <c r="C2409" s="30" t="str">
        <f>IFERROR(_xlfn.XLOOKUP(B2409,Equipo[DESCRIPCION],Equipo[UND],,0),"")</f>
        <v>%MO</v>
      </c>
      <c r="D2409" s="31">
        <v>0.05</v>
      </c>
      <c r="E2409" s="32">
        <f>IF(C2409="%MO",G2415,IFERROR(_xlfn.XLOOKUP($B2409,Equipo[DESCRIPCION],Equipo[VALOR],,0),""))</f>
        <v>5239.8458482500009</v>
      </c>
      <c r="F2409" s="33"/>
      <c r="G2409" s="34">
        <f>IFERROR(IF(F2409&gt;=0,D2409*E2409*(1+F2409/100),ABS(D2409*E2409/F2409)),"")</f>
        <v>261.99229241250003</v>
      </c>
      <c r="H2409" s="43">
        <f>IFERROR(G2409*E2400,"")</f>
        <v>0</v>
      </c>
    </row>
    <row r="2410" spans="1:8" ht="12.75" customHeight="1">
      <c r="A2410" s="28"/>
      <c r="B2410" s="29"/>
      <c r="C2410" s="30" t="str">
        <f>IFERROR(_xlfn.XLOOKUP(B2410,Equipo[DESCRIPCION],Equipo[UND],,0),"")</f>
        <v/>
      </c>
      <c r="D2410" s="31"/>
      <c r="E2410" s="32" t="str">
        <f>IF(C2410="%MO",G2415,IFERROR(_xlfn.XLOOKUP($B2410,Equipo[DESCRIPCION],Equipo[VALOR],,0),""))</f>
        <v/>
      </c>
      <c r="F2410" s="33"/>
      <c r="G2410" s="34" t="str">
        <f>IFERROR(IF(F2410&gt;=0,D2410*E2410*(1+F2410/100),ABS(D2410*E2410/F2410)),"")</f>
        <v/>
      </c>
      <c r="H2410" s="43" t="str">
        <f>IFERROR(G2410*E2400,"")</f>
        <v/>
      </c>
    </row>
    <row r="2411" spans="1:8" ht="12.75" customHeight="1">
      <c r="A2411" s="28"/>
      <c r="B2411" s="29"/>
      <c r="C2411" s="30" t="str">
        <f>IFERROR(_xlfn.XLOOKUP(B2411,Equipo[DESCRIPCION],Equipo[UND],,0),"")</f>
        <v/>
      </c>
      <c r="D2411" s="31"/>
      <c r="E2411" s="32" t="str">
        <f>IF(C2411="%MO",G2415,IFERROR(_xlfn.XLOOKUP($B2411,Equipo[DESCRIPCION],Equipo[VALOR],,0),""))</f>
        <v/>
      </c>
      <c r="F2411" s="33"/>
      <c r="G2411" s="34" t="str">
        <f>IFERROR(IF(F2411&gt;=0,D2411*E2411*(1+F2411/100),ABS(D2411*E2411/F2411)),"")</f>
        <v/>
      </c>
      <c r="H2411" s="43" t="str">
        <f>IFERROR(G2411*E2400,"")</f>
        <v/>
      </c>
    </row>
    <row r="2412" spans="1:8" ht="12.75" customHeight="1">
      <c r="A2412" s="21"/>
      <c r="B2412" s="22" t="s">
        <v>2533</v>
      </c>
      <c r="C2412" s="23"/>
      <c r="D2412" s="24"/>
      <c r="E2412" s="25"/>
      <c r="F2412" s="26"/>
      <c r="G2412" s="27">
        <f>SUM(G2413:G2414)</f>
        <v>0</v>
      </c>
      <c r="H2412" s="44">
        <f>G2412*E2400</f>
        <v>0</v>
      </c>
    </row>
    <row r="2413" spans="1:8" ht="12.75" customHeight="1">
      <c r="A2413" s="28"/>
      <c r="B2413" s="29"/>
      <c r="C2413" s="30" t="str">
        <f>IFERROR(_xlfn.XLOOKUP(B2413,Transporte[DESCRIPCION],Transporte[UND],,0),"")</f>
        <v/>
      </c>
      <c r="D2413" s="31"/>
      <c r="E2413" s="32" t="str">
        <f>IFERROR(_xlfn.XLOOKUP($B2413,Transporte[DESCRIPCION],Transporte[VALOR],,0),"")</f>
        <v/>
      </c>
      <c r="F2413" s="33"/>
      <c r="G2413" s="34" t="str">
        <f>IFERROR(IF(F2413&gt;=0,D2413*E2413*(1+F2413/100),ABS(D2413*E2413/F2413)),"")</f>
        <v/>
      </c>
      <c r="H2413" s="43" t="str">
        <f>IFERROR(G2413*E2400,"")</f>
        <v/>
      </c>
    </row>
    <row r="2414" spans="1:8" ht="12.75" customHeight="1">
      <c r="A2414" s="28"/>
      <c r="B2414" s="29"/>
      <c r="C2414" s="30" t="str">
        <f>IFERROR(_xlfn.XLOOKUP(B2414,Transporte[DESCRIPCION],Transporte[UND],,0),"")</f>
        <v/>
      </c>
      <c r="D2414" s="31"/>
      <c r="E2414" s="32" t="str">
        <f>IFERROR(_xlfn.XLOOKUP($B2414,Transporte[DESCRIPCION],Transporte[VALOR],,0),"")</f>
        <v/>
      </c>
      <c r="F2414" s="33"/>
      <c r="G2414" s="34" t="str">
        <f>IFERROR(IF(F2414&gt;=0,D2414*E2414*(1+F2414/100),ABS(D2414*E2414/F2414)),"")</f>
        <v/>
      </c>
      <c r="H2414" s="43" t="str">
        <f>IFERROR(G2414*E2400,"")</f>
        <v/>
      </c>
    </row>
    <row r="2415" spans="1:8" ht="12.75" customHeight="1">
      <c r="A2415" s="21"/>
      <c r="B2415" s="22" t="s">
        <v>3732</v>
      </c>
      <c r="C2415" s="23"/>
      <c r="D2415" s="24"/>
      <c r="E2415" s="25"/>
      <c r="F2415" s="26"/>
      <c r="G2415" s="27">
        <f>SUM(G2416:G2418)</f>
        <v>5239.8458482500009</v>
      </c>
      <c r="H2415" s="44">
        <f>G2415*E2400</f>
        <v>0</v>
      </c>
    </row>
    <row r="2416" spans="1:8" ht="12.75" customHeight="1">
      <c r="A2416" s="28"/>
      <c r="B2416" s="29" t="s">
        <v>3710</v>
      </c>
      <c r="C2416" s="30" t="str">
        <f>IFERROR(_xlfn.XLOOKUP(B2416,MObra[DESCRIPCION],MObra[UN],,0),"")</f>
        <v>día</v>
      </c>
      <c r="D2416" s="31">
        <v>1</v>
      </c>
      <c r="E2416" s="32">
        <f>IFERROR(_xlfn.XLOOKUP($B2416,MObra[DESCRIPCION],MObra[VALOR UNIT],,0),"")</f>
        <v>314390.75089500006</v>
      </c>
      <c r="F2416" s="33">
        <v>-60</v>
      </c>
      <c r="G2416" s="34">
        <f>IFERROR(IF(F2416&gt;=0,D2416*E2416*(1+F2416/100),ABS(D2416*E2416/F2416)),"")</f>
        <v>5239.8458482500009</v>
      </c>
      <c r="H2416" s="43">
        <f>IFERROR(G2416*E2400,"")</f>
        <v>0</v>
      </c>
    </row>
    <row r="2417" spans="1:11" ht="12.75" customHeight="1">
      <c r="A2417" s="28"/>
      <c r="B2417" s="29"/>
      <c r="C2417" s="30" t="str">
        <f t="array" ref="C2417">IFERROR(_xlfn.XLOOKUP(B2417,MObra[[#All],[DESCRIPCION]],MObra[[#All],[UN]],,0),"")</f>
        <v/>
      </c>
      <c r="D2417" s="31"/>
      <c r="E2417" s="32" t="str">
        <f>IFERROR(_xlfn.XLOOKUP($B2417,MObra[DESCRIPCION],MObra[VALOR UNIT],,0),"")</f>
        <v/>
      </c>
      <c r="F2417" s="33"/>
      <c r="G2417" s="34" t="str">
        <f>IFERROR(IF(F2417&gt;=0,D2417*E2417*(1+F2417/100),ABS(D2417*E2417/F2417)),"")</f>
        <v/>
      </c>
      <c r="H2417" s="43" t="str">
        <f>IFERROR(G2417*E2400,"")</f>
        <v/>
      </c>
    </row>
    <row r="2418" spans="1:11" ht="12.75" customHeight="1" thickBot="1">
      <c r="A2418" s="35"/>
      <c r="B2418" s="36"/>
      <c r="C2418" s="37" t="str">
        <f t="array" ref="C2418">IFERROR(_xlfn.XLOOKUP(B2418,MObra[[#All],[DESCRIPCION]],MObra[[#All],[UN]],,0),"")</f>
        <v/>
      </c>
      <c r="D2418" s="38"/>
      <c r="E2418" s="39" t="str">
        <f>IFERROR(_xlfn.XLOOKUP($B2418,MObra[DESCRIPCION],MObra[VALOR UNIT],,0),"")</f>
        <v/>
      </c>
      <c r="F2418" s="40"/>
      <c r="G2418" s="41" t="str">
        <f>IFERROR(IF(F2418&gt;=0,D2418*E2418*(1+F2418/100),ABS(D2418*E2418/F2418)),"")</f>
        <v/>
      </c>
      <c r="H2418" s="42" t="str">
        <f>IFERROR(G2418*E2400,"")</f>
        <v/>
      </c>
    </row>
    <row r="2419" spans="1:11" ht="12.75" customHeight="1" thickTop="1" thickBot="1"/>
    <row r="2420" spans="1:11" ht="12.75" customHeight="1" thickTop="1" thickBot="1">
      <c r="A2420" s="6" t="s">
        <v>839</v>
      </c>
      <c r="B2420" s="7" t="str">
        <f>VLOOKUP($A2420,Presupuesto!$A:$D,2,FALSE())</f>
        <v>Tubería PVC presión 3" + accesorios</v>
      </c>
      <c r="C2420" s="8" t="str">
        <f>VLOOKUP($A2420,Presupuesto!$A:$D,3,FALSE())</f>
        <v>M</v>
      </c>
      <c r="D2420" s="9"/>
      <c r="E2420" s="10">
        <f>VLOOKUP($A2420,Presupuesto!$A:$D,4,FALSE())</f>
        <v>0</v>
      </c>
      <c r="F2420" s="11" t="s">
        <v>2589</v>
      </c>
      <c r="G2420" s="12">
        <f>SUM(G2422:G2438)/2</f>
        <v>84152.728244359081</v>
      </c>
      <c r="H2420" s="13">
        <f>ROUND(SUM(H2422:H2438),0)/2</f>
        <v>0</v>
      </c>
      <c r="I2420" s="10">
        <f>VLOOKUP(A2420,Presupuesto!$A:$F,6,0)</f>
        <v>0</v>
      </c>
      <c r="J2420" s="10">
        <f>+H2420-I2420</f>
        <v>0</v>
      </c>
      <c r="K2420" s="46">
        <f>+H2420-G2420*E2420</f>
        <v>0</v>
      </c>
    </row>
    <row r="2421" spans="1:11" ht="12.75" customHeight="1" thickTop="1">
      <c r="A2421" s="14"/>
      <c r="B2421" s="15" t="s">
        <v>2586</v>
      </c>
      <c r="C2421" s="15" t="s">
        <v>5</v>
      </c>
      <c r="D2421" s="16" t="s">
        <v>6</v>
      </c>
      <c r="E2421" s="17" t="s">
        <v>7</v>
      </c>
      <c r="F2421" s="18" t="s">
        <v>3728</v>
      </c>
      <c r="G2421" s="19" t="s">
        <v>3729</v>
      </c>
      <c r="H2421" s="20" t="s">
        <v>3797</v>
      </c>
    </row>
    <row r="2422" spans="1:11" ht="12.75" customHeight="1">
      <c r="A2422" s="21"/>
      <c r="B2422" s="22" t="s">
        <v>3730</v>
      </c>
      <c r="C2422" s="23"/>
      <c r="D2422" s="24"/>
      <c r="E2422" s="25"/>
      <c r="F2422" s="26"/>
      <c r="G2422" s="27">
        <f>SUM(G2423:G2427)</f>
        <v>78150.722999999998</v>
      </c>
      <c r="H2422" s="27">
        <f>IFERROR(G2422*E2420,"")</f>
        <v>0</v>
      </c>
    </row>
    <row r="2423" spans="1:11" ht="12.75" customHeight="1">
      <c r="A2423" s="28"/>
      <c r="B2423" s="29" t="s">
        <v>3498</v>
      </c>
      <c r="C2423" s="30" t="str">
        <f>IFERROR(_xlfn.XLOOKUP(B2423,Insumo[DESCRIPCION],Insumo[UND],,0),"")</f>
        <v>M</v>
      </c>
      <c r="D2423" s="31">
        <v>1</v>
      </c>
      <c r="E2423" s="32">
        <f>IFERROR(_xlfn.XLOOKUP($B2423,Insumo[DESCRIPCION],Insumo[VALOR],,0),"")</f>
        <v>62784.75</v>
      </c>
      <c r="F2423" s="33">
        <v>3</v>
      </c>
      <c r="G2423" s="34">
        <f>IFERROR(IF(F2423&gt;=0,D2423*E2423*(1+F2423/100),ABS(D2423*E2423/F2423)),"")</f>
        <v>64668.292500000003</v>
      </c>
      <c r="H2423" s="43">
        <f>IFERROR(G2423*E2420,"")</f>
        <v>0</v>
      </c>
    </row>
    <row r="2424" spans="1:11" ht="12.75" customHeight="1">
      <c r="A2424" s="28"/>
      <c r="B2424" s="29" t="s">
        <v>2643</v>
      </c>
      <c r="C2424" s="30" t="str">
        <f>IFERROR(_xlfn.XLOOKUP(B2424,Insumo[DESCRIPCION],Insumo[UND],,0),"")</f>
        <v>Un</v>
      </c>
      <c r="D2424" s="31">
        <v>0.13</v>
      </c>
      <c r="E2424" s="32">
        <f>IFERROR(_xlfn.XLOOKUP($B2424,Insumo[DESCRIPCION],Insumo[VALOR],,0),"")</f>
        <v>95646.6</v>
      </c>
      <c r="F2424" s="33"/>
      <c r="G2424" s="34">
        <f>IFERROR(IF(F2424&gt;=0,D2424*E2424*(1+F2424/100),ABS(D2424*E2424/F2424)),"")</f>
        <v>12434.058000000001</v>
      </c>
      <c r="H2424" s="43">
        <f>IFERROR(G2424*E2420,"")</f>
        <v>0</v>
      </c>
    </row>
    <row r="2425" spans="1:11" ht="12.75" customHeight="1">
      <c r="A2425" s="28"/>
      <c r="B2425" s="29" t="s">
        <v>3046</v>
      </c>
      <c r="C2425" s="30" t="str">
        <f>IFERROR(_xlfn.XLOOKUP(B2425,Insumo[DESCRIPCION],Insumo[UND],,0),"")</f>
        <v>Un</v>
      </c>
      <c r="D2425" s="31">
        <v>0.01</v>
      </c>
      <c r="E2425" s="32">
        <f>IFERROR(_xlfn.XLOOKUP($B2425,Insumo[DESCRIPCION],Insumo[VALOR],,0),"")</f>
        <v>62413.05</v>
      </c>
      <c r="F2425" s="33"/>
      <c r="G2425" s="34">
        <f>IFERROR(IF(F2425&gt;=0,D2425*E2425*(1+F2425/100),ABS(D2425*E2425/F2425)),"")</f>
        <v>624.1305000000001</v>
      </c>
      <c r="H2425" s="43">
        <f>IFERROR(G2425*E2420,"")</f>
        <v>0</v>
      </c>
    </row>
    <row r="2426" spans="1:11" ht="12.75" customHeight="1">
      <c r="A2426" s="28"/>
      <c r="B2426" s="29" t="s">
        <v>3329</v>
      </c>
      <c r="C2426" s="30" t="str">
        <f>IFERROR(_xlfn.XLOOKUP(B2426,Insumo[DESCRIPCION],Insumo[UND],,0),"")</f>
        <v>Un</v>
      </c>
      <c r="D2426" s="31">
        <v>0.01</v>
      </c>
      <c r="E2426" s="32">
        <f>IFERROR(_xlfn.XLOOKUP($B2426,Insumo[DESCRIPCION],Insumo[VALOR],,0),"")</f>
        <v>42424.200000000004</v>
      </c>
      <c r="F2426" s="33"/>
      <c r="G2426" s="34">
        <f>IFERROR(IF(F2426&gt;=0,D2426*E2426*(1+F2426/100),ABS(D2426*E2426/F2426)),"")</f>
        <v>424.24200000000008</v>
      </c>
      <c r="H2426" s="43">
        <f>IFERROR(G2426*E2420,"")</f>
        <v>0</v>
      </c>
    </row>
    <row r="2427" spans="1:11" ht="12.75" customHeight="1">
      <c r="A2427" s="28"/>
      <c r="B2427" s="29"/>
      <c r="C2427" s="30" t="str">
        <f>IFERROR(_xlfn.XLOOKUP(B2427,Insumo[DESCRIPCION],Insumo[UND],,0),"")</f>
        <v/>
      </c>
      <c r="D2427" s="31"/>
      <c r="E2427" s="32" t="str">
        <f>IFERROR(_xlfn.XLOOKUP($B2427,Insumo[DESCRIPCION],Insumo[VALOR],,0),"")</f>
        <v/>
      </c>
      <c r="F2427" s="33"/>
      <c r="G2427" s="34" t="str">
        <f>IFERROR(IF(F2427&gt;=0,D2427*E2427*(1+F2427/100),ABS(D2427*E2427/F2427)),"")</f>
        <v/>
      </c>
      <c r="H2427" s="43" t="str">
        <f>IFERROR(G2427*E2420,"")</f>
        <v/>
      </c>
    </row>
    <row r="2428" spans="1:11" ht="12.75" customHeight="1">
      <c r="A2428" s="21"/>
      <c r="B2428" s="22" t="s">
        <v>3731</v>
      </c>
      <c r="C2428" s="23"/>
      <c r="D2428" s="24"/>
      <c r="E2428" s="25"/>
      <c r="F2428" s="26"/>
      <c r="G2428" s="27">
        <f>SUM(G2429:G2431)</f>
        <v>285.80977354090913</v>
      </c>
      <c r="H2428" s="44">
        <f>G2428*E2420</f>
        <v>0</v>
      </c>
    </row>
    <row r="2429" spans="1:11" ht="12.75" customHeight="1">
      <c r="A2429" s="28"/>
      <c r="B2429" s="29" t="s">
        <v>3626</v>
      </c>
      <c r="C2429" s="30" t="str">
        <f>IFERROR(_xlfn.XLOOKUP(B2429,Equipo[DESCRIPCION],Equipo[UND],,0),"")</f>
        <v>%MO</v>
      </c>
      <c r="D2429" s="31">
        <v>0.05</v>
      </c>
      <c r="E2429" s="32">
        <f>IF(C2429="%MO",G2435,IFERROR(_xlfn.XLOOKUP($B2429,Equipo[DESCRIPCION],Equipo[VALOR],,0),""))</f>
        <v>5716.1954708181829</v>
      </c>
      <c r="F2429" s="33"/>
      <c r="G2429" s="34">
        <f>IFERROR(IF(F2429&gt;=0,D2429*E2429*(1+F2429/100),ABS(D2429*E2429/F2429)),"")</f>
        <v>285.80977354090913</v>
      </c>
      <c r="H2429" s="43">
        <f>IFERROR(G2429*E2420,"")</f>
        <v>0</v>
      </c>
    </row>
    <row r="2430" spans="1:11" ht="12.75" customHeight="1">
      <c r="A2430" s="28"/>
      <c r="B2430" s="29"/>
      <c r="C2430" s="30" t="str">
        <f>IFERROR(_xlfn.XLOOKUP(B2430,Equipo[DESCRIPCION],Equipo[UND],,0),"")</f>
        <v/>
      </c>
      <c r="D2430" s="31"/>
      <c r="E2430" s="32" t="str">
        <f>IF(C2430="%MO",G2435,IFERROR(_xlfn.XLOOKUP($B2430,Equipo[DESCRIPCION],Equipo[VALOR],,0),""))</f>
        <v/>
      </c>
      <c r="F2430" s="33"/>
      <c r="G2430" s="34" t="str">
        <f>IFERROR(IF(F2430&gt;=0,D2430*E2430*(1+F2430/100),ABS(D2430*E2430/F2430)),"")</f>
        <v/>
      </c>
      <c r="H2430" s="43" t="str">
        <f>IFERROR(G2430*E2420,"")</f>
        <v/>
      </c>
    </row>
    <row r="2431" spans="1:11" ht="12.75" customHeight="1">
      <c r="A2431" s="28"/>
      <c r="B2431" s="29"/>
      <c r="C2431" s="30" t="str">
        <f>IFERROR(_xlfn.XLOOKUP(B2431,Equipo[DESCRIPCION],Equipo[UND],,0),"")</f>
        <v/>
      </c>
      <c r="D2431" s="31"/>
      <c r="E2431" s="32" t="str">
        <f>IF(C2431="%MO",G2435,IFERROR(_xlfn.XLOOKUP($B2431,Equipo[DESCRIPCION],Equipo[VALOR],,0),""))</f>
        <v/>
      </c>
      <c r="F2431" s="33"/>
      <c r="G2431" s="34" t="str">
        <f>IFERROR(IF(F2431&gt;=0,D2431*E2431*(1+F2431/100),ABS(D2431*E2431/F2431)),"")</f>
        <v/>
      </c>
      <c r="H2431" s="43" t="str">
        <f>IFERROR(G2431*E2420,"")</f>
        <v/>
      </c>
    </row>
    <row r="2432" spans="1:11" ht="12.75" customHeight="1">
      <c r="A2432" s="21"/>
      <c r="B2432" s="22" t="s">
        <v>2533</v>
      </c>
      <c r="C2432" s="23"/>
      <c r="D2432" s="24"/>
      <c r="E2432" s="25"/>
      <c r="F2432" s="26"/>
      <c r="G2432" s="27">
        <f>SUM(G2433:G2434)</f>
        <v>0</v>
      </c>
      <c r="H2432" s="44">
        <f>G2432*E2420</f>
        <v>0</v>
      </c>
    </row>
    <row r="2433" spans="1:11" ht="12.75" customHeight="1">
      <c r="A2433" s="28"/>
      <c r="B2433" s="29"/>
      <c r="C2433" s="30" t="str">
        <f>IFERROR(_xlfn.XLOOKUP(B2433,Transporte[DESCRIPCION],Transporte[UND],,0),"")</f>
        <v/>
      </c>
      <c r="D2433" s="31"/>
      <c r="E2433" s="32" t="str">
        <f>IFERROR(_xlfn.XLOOKUP($B2433,Transporte[DESCRIPCION],Transporte[VALOR],,0),"")</f>
        <v/>
      </c>
      <c r="F2433" s="33"/>
      <c r="G2433" s="34" t="str">
        <f>IFERROR(IF(F2433&gt;=0,D2433*E2433*(1+F2433/100),ABS(D2433*E2433/F2433)),"")</f>
        <v/>
      </c>
      <c r="H2433" s="43" t="str">
        <f>IFERROR(G2433*E2420,"")</f>
        <v/>
      </c>
    </row>
    <row r="2434" spans="1:11" ht="12.75" customHeight="1">
      <c r="A2434" s="28"/>
      <c r="B2434" s="29"/>
      <c r="C2434" s="30" t="str">
        <f>IFERROR(_xlfn.XLOOKUP(B2434,Transporte[DESCRIPCION],Transporte[UND],,0),"")</f>
        <v/>
      </c>
      <c r="D2434" s="31"/>
      <c r="E2434" s="32" t="str">
        <f>IFERROR(_xlfn.XLOOKUP($B2434,Transporte[DESCRIPCION],Transporte[VALOR],,0),"")</f>
        <v/>
      </c>
      <c r="F2434" s="33"/>
      <c r="G2434" s="34" t="str">
        <f>IFERROR(IF(F2434&gt;=0,D2434*E2434*(1+F2434/100),ABS(D2434*E2434/F2434)),"")</f>
        <v/>
      </c>
      <c r="H2434" s="43" t="str">
        <f>IFERROR(G2434*E2420,"")</f>
        <v/>
      </c>
    </row>
    <row r="2435" spans="1:11" ht="12.75" customHeight="1">
      <c r="A2435" s="21"/>
      <c r="B2435" s="22" t="s">
        <v>3732</v>
      </c>
      <c r="C2435" s="23"/>
      <c r="D2435" s="24"/>
      <c r="E2435" s="25"/>
      <c r="F2435" s="26"/>
      <c r="G2435" s="27">
        <f>SUM(G2436:G2438)</f>
        <v>5716.1954708181829</v>
      </c>
      <c r="H2435" s="44">
        <f>G2435*E2420</f>
        <v>0</v>
      </c>
    </row>
    <row r="2436" spans="1:11" ht="12.75" customHeight="1">
      <c r="A2436" s="28"/>
      <c r="B2436" s="29" t="s">
        <v>3710</v>
      </c>
      <c r="C2436" s="30" t="str">
        <f>IFERROR(_xlfn.XLOOKUP(B2436,MObra[DESCRIPCION],MObra[UN],,0),"")</f>
        <v>día</v>
      </c>
      <c r="D2436" s="31">
        <v>1</v>
      </c>
      <c r="E2436" s="32">
        <f>IFERROR(_xlfn.XLOOKUP($B2436,MObra[DESCRIPCION],MObra[VALOR UNIT],,0),"")</f>
        <v>314390.75089500006</v>
      </c>
      <c r="F2436" s="33">
        <v>-55</v>
      </c>
      <c r="G2436" s="34">
        <f>IFERROR(IF(F2436&gt;=0,D2436*E2436*(1+F2436/100),ABS(D2436*E2436/F2436)),"")</f>
        <v>5716.1954708181829</v>
      </c>
      <c r="H2436" s="43">
        <f>IFERROR(G2436*E2420,"")</f>
        <v>0</v>
      </c>
    </row>
    <row r="2437" spans="1:11" ht="12.75" customHeight="1">
      <c r="A2437" s="28"/>
      <c r="B2437" s="29"/>
      <c r="C2437" s="30" t="str">
        <f t="array" ref="C2437">IFERROR(_xlfn.XLOOKUP(B2437,MObra[[#All],[DESCRIPCION]],MObra[[#All],[UN]],,0),"")</f>
        <v/>
      </c>
      <c r="D2437" s="31"/>
      <c r="E2437" s="32" t="str">
        <f>IFERROR(_xlfn.XLOOKUP($B2437,MObra[DESCRIPCION],MObra[VALOR UNIT],,0),"")</f>
        <v/>
      </c>
      <c r="F2437" s="33"/>
      <c r="G2437" s="34" t="str">
        <f>IFERROR(IF(F2437&gt;=0,D2437*E2437*(1+F2437/100),ABS(D2437*E2437/F2437)),"")</f>
        <v/>
      </c>
      <c r="H2437" s="43" t="str">
        <f>IFERROR(G2437*E2420,"")</f>
        <v/>
      </c>
    </row>
    <row r="2438" spans="1:11" ht="12.75" customHeight="1" thickBot="1">
      <c r="A2438" s="35"/>
      <c r="B2438" s="36"/>
      <c r="C2438" s="37" t="str">
        <f t="array" ref="C2438">IFERROR(_xlfn.XLOOKUP(B2438,MObra[[#All],[DESCRIPCION]],MObra[[#All],[UN]],,0),"")</f>
        <v/>
      </c>
      <c r="D2438" s="38"/>
      <c r="E2438" s="39" t="str">
        <f>IFERROR(_xlfn.XLOOKUP($B2438,MObra[DESCRIPCION],MObra[VALOR UNIT],,0),"")</f>
        <v/>
      </c>
      <c r="F2438" s="40"/>
      <c r="G2438" s="41" t="str">
        <f>IFERROR(IF(F2438&gt;=0,D2438*E2438*(1+F2438/100),ABS(D2438*E2438/F2438)),"")</f>
        <v/>
      </c>
      <c r="H2438" s="42" t="str">
        <f>IFERROR(G2438*E2420,"")</f>
        <v/>
      </c>
    </row>
    <row r="2439" spans="1:11" ht="12.75" customHeight="1" thickTop="1" thickBot="1"/>
    <row r="2440" spans="1:11" ht="12.75" customHeight="1" thickTop="1" thickBot="1">
      <c r="A2440" s="6" t="s">
        <v>841</v>
      </c>
      <c r="B2440" s="7" t="str">
        <f>VLOOKUP($A2440,Presupuesto!$A:$D,2,FALSE())</f>
        <v>Tubería PVC presión 4" + accesorios</v>
      </c>
      <c r="C2440" s="8" t="str">
        <f>VLOOKUP($A2440,Presupuesto!$A:$D,3,FALSE())</f>
        <v>M</v>
      </c>
      <c r="D2440" s="9"/>
      <c r="E2440" s="10">
        <f>VLOOKUP($A2440,Presupuesto!$A:$D,4,FALSE())</f>
        <v>0</v>
      </c>
      <c r="F2440" s="11" t="s">
        <v>2589</v>
      </c>
      <c r="G2440" s="12">
        <f>SUM(G2442:G2458)/2</f>
        <v>122025.891768795</v>
      </c>
      <c r="H2440" s="13">
        <f>ROUND(SUM(H2442:H2458),0)/2</f>
        <v>0</v>
      </c>
      <c r="I2440" s="10">
        <f>VLOOKUP(A2440,Presupuesto!$A:$F,6,0)</f>
        <v>0</v>
      </c>
      <c r="J2440" s="10">
        <f>+H2440-I2440</f>
        <v>0</v>
      </c>
      <c r="K2440" s="46">
        <f>+H2440-G2440*E2440</f>
        <v>0</v>
      </c>
    </row>
    <row r="2441" spans="1:11" ht="12.75" customHeight="1" thickTop="1">
      <c r="A2441" s="14"/>
      <c r="B2441" s="15" t="s">
        <v>2586</v>
      </c>
      <c r="C2441" s="15" t="s">
        <v>5</v>
      </c>
      <c r="D2441" s="16" t="s">
        <v>6</v>
      </c>
      <c r="E2441" s="17" t="s">
        <v>7</v>
      </c>
      <c r="F2441" s="18" t="s">
        <v>3728</v>
      </c>
      <c r="G2441" s="19" t="s">
        <v>3729</v>
      </c>
      <c r="H2441" s="20" t="s">
        <v>3797</v>
      </c>
    </row>
    <row r="2442" spans="1:11" ht="12.75" customHeight="1">
      <c r="A2442" s="21"/>
      <c r="B2442" s="22" t="s">
        <v>3730</v>
      </c>
      <c r="C2442" s="23"/>
      <c r="D2442" s="24"/>
      <c r="E2442" s="25"/>
      <c r="F2442" s="26"/>
      <c r="G2442" s="27">
        <f>SUM(G2443:G2447)</f>
        <v>115423.68600000002</v>
      </c>
      <c r="H2442" s="27">
        <f>IFERROR(G2442*E2440,"")</f>
        <v>0</v>
      </c>
    </row>
    <row r="2443" spans="1:11" ht="12.75" customHeight="1">
      <c r="A2443" s="28"/>
      <c r="B2443" s="29" t="s">
        <v>3500</v>
      </c>
      <c r="C2443" s="30" t="str">
        <f>IFERROR(_xlfn.XLOOKUP(B2443,Insumo[DESCRIPCION],Insumo[UND],,0),"")</f>
        <v>M</v>
      </c>
      <c r="D2443" s="31">
        <v>1</v>
      </c>
      <c r="E2443" s="32">
        <f>IFERROR(_xlfn.XLOOKUP($B2443,Insumo[DESCRIPCION],Insumo[VALOR],,0),"")</f>
        <v>84706.650000000009</v>
      </c>
      <c r="F2443" s="33">
        <v>3</v>
      </c>
      <c r="G2443" s="34">
        <f>IFERROR(IF(F2443&gt;=0,D2443*E2443*(1+F2443/100),ABS(D2443*E2443/F2443)),"")</f>
        <v>87247.849500000011</v>
      </c>
      <c r="H2443" s="43">
        <f>IFERROR(G2443*E2440,"")</f>
        <v>0</v>
      </c>
    </row>
    <row r="2444" spans="1:11" ht="12.75" customHeight="1">
      <c r="A2444" s="28"/>
      <c r="B2444" s="29" t="s">
        <v>2645</v>
      </c>
      <c r="C2444" s="30" t="str">
        <f>IFERROR(_xlfn.XLOOKUP(B2444,Insumo[DESCRIPCION],Insumo[UND],,0),"")</f>
        <v>Un</v>
      </c>
      <c r="D2444" s="31">
        <v>0.13</v>
      </c>
      <c r="E2444" s="32">
        <f>IFERROR(_xlfn.XLOOKUP($B2444,Insumo[DESCRIPCION],Insumo[VALOR],,0),"")</f>
        <v>208672.80000000002</v>
      </c>
      <c r="F2444" s="33"/>
      <c r="G2444" s="34">
        <f>IFERROR(IF(F2444&gt;=0,D2444*E2444*(1+F2444/100),ABS(D2444*E2444/F2444)),"")</f>
        <v>27127.464000000004</v>
      </c>
      <c r="H2444" s="43">
        <f>IFERROR(G2444*E2440,"")</f>
        <v>0</v>
      </c>
    </row>
    <row r="2445" spans="1:11" ht="12.75" customHeight="1">
      <c r="A2445" s="28"/>
      <c r="B2445" s="29" t="s">
        <v>3046</v>
      </c>
      <c r="C2445" s="30" t="str">
        <f>IFERROR(_xlfn.XLOOKUP(B2445,Insumo[DESCRIPCION],Insumo[UND],,0),"")</f>
        <v>Un</v>
      </c>
      <c r="D2445" s="31">
        <v>0.01</v>
      </c>
      <c r="E2445" s="32">
        <f>IFERROR(_xlfn.XLOOKUP($B2445,Insumo[DESCRIPCION],Insumo[VALOR],,0),"")</f>
        <v>62413.05</v>
      </c>
      <c r="F2445" s="33"/>
      <c r="G2445" s="34">
        <f>IFERROR(IF(F2445&gt;=0,D2445*E2445*(1+F2445/100),ABS(D2445*E2445/F2445)),"")</f>
        <v>624.1305000000001</v>
      </c>
      <c r="H2445" s="43">
        <f>IFERROR(G2445*E2440,"")</f>
        <v>0</v>
      </c>
    </row>
    <row r="2446" spans="1:11" ht="12.75" customHeight="1">
      <c r="A2446" s="28"/>
      <c r="B2446" s="29" t="s">
        <v>3329</v>
      </c>
      <c r="C2446" s="30" t="str">
        <f>IFERROR(_xlfn.XLOOKUP(B2446,Insumo[DESCRIPCION],Insumo[UND],,0),"")</f>
        <v>Un</v>
      </c>
      <c r="D2446" s="31">
        <v>0.01</v>
      </c>
      <c r="E2446" s="32">
        <f>IFERROR(_xlfn.XLOOKUP($B2446,Insumo[DESCRIPCION],Insumo[VALOR],,0),"")</f>
        <v>42424.200000000004</v>
      </c>
      <c r="F2446" s="33"/>
      <c r="G2446" s="34">
        <f>IFERROR(IF(F2446&gt;=0,D2446*E2446*(1+F2446/100),ABS(D2446*E2446/F2446)),"")</f>
        <v>424.24200000000008</v>
      </c>
      <c r="H2446" s="43">
        <f>IFERROR(G2446*E2440,"")</f>
        <v>0</v>
      </c>
    </row>
    <row r="2447" spans="1:11" ht="12.75" customHeight="1">
      <c r="A2447" s="28"/>
      <c r="B2447" s="29"/>
      <c r="C2447" s="30" t="str">
        <f>IFERROR(_xlfn.XLOOKUP(B2447,Insumo[DESCRIPCION],Insumo[UND],,0),"")</f>
        <v/>
      </c>
      <c r="D2447" s="31"/>
      <c r="E2447" s="32" t="str">
        <f>IFERROR(_xlfn.XLOOKUP($B2447,Insumo[DESCRIPCION],Insumo[VALOR],,0),"")</f>
        <v/>
      </c>
      <c r="F2447" s="33"/>
      <c r="G2447" s="34" t="str">
        <f>IFERROR(IF(F2447&gt;=0,D2447*E2447*(1+F2447/100),ABS(D2447*E2447/F2447)),"")</f>
        <v/>
      </c>
      <c r="H2447" s="43" t="str">
        <f>IFERROR(G2447*E2440,"")</f>
        <v/>
      </c>
    </row>
    <row r="2448" spans="1:11" ht="12.75" customHeight="1">
      <c r="A2448" s="21"/>
      <c r="B2448" s="22" t="s">
        <v>3731</v>
      </c>
      <c r="C2448" s="23"/>
      <c r="D2448" s="24"/>
      <c r="E2448" s="25"/>
      <c r="F2448" s="26"/>
      <c r="G2448" s="27">
        <f>SUM(G2449:G2451)</f>
        <v>314.39075089500011</v>
      </c>
      <c r="H2448" s="44">
        <f>G2448*E2440</f>
        <v>0</v>
      </c>
    </row>
    <row r="2449" spans="1:11" ht="12.75" customHeight="1">
      <c r="A2449" s="28"/>
      <c r="B2449" s="29" t="s">
        <v>3626</v>
      </c>
      <c r="C2449" s="30" t="str">
        <f>IFERROR(_xlfn.XLOOKUP(B2449,Equipo[DESCRIPCION],Equipo[UND],,0),"")</f>
        <v>%MO</v>
      </c>
      <c r="D2449" s="31">
        <v>0.05</v>
      </c>
      <c r="E2449" s="32">
        <f>IF(C2449="%MO",G2455,IFERROR(_xlfn.XLOOKUP($B2449,Equipo[DESCRIPCION],Equipo[VALOR],,0),""))</f>
        <v>6287.8150179000013</v>
      </c>
      <c r="F2449" s="33"/>
      <c r="G2449" s="34">
        <f>IFERROR(IF(F2449&gt;=0,D2449*E2449*(1+F2449/100),ABS(D2449*E2449/F2449)),"")</f>
        <v>314.39075089500011</v>
      </c>
      <c r="H2449" s="43">
        <f>IFERROR(G2449*E2440,"")</f>
        <v>0</v>
      </c>
    </row>
    <row r="2450" spans="1:11" ht="12.75" customHeight="1">
      <c r="A2450" s="28"/>
      <c r="B2450" s="29"/>
      <c r="C2450" s="30" t="str">
        <f>IFERROR(_xlfn.XLOOKUP(B2450,Equipo[DESCRIPCION],Equipo[UND],,0),"")</f>
        <v/>
      </c>
      <c r="D2450" s="31"/>
      <c r="E2450" s="32" t="str">
        <f>IF(C2450="%MO",G2455,IFERROR(_xlfn.XLOOKUP($B2450,Equipo[DESCRIPCION],Equipo[VALOR],,0),""))</f>
        <v/>
      </c>
      <c r="F2450" s="33"/>
      <c r="G2450" s="34" t="str">
        <f>IFERROR(IF(F2450&gt;=0,D2450*E2450*(1+F2450/100),ABS(D2450*E2450/F2450)),"")</f>
        <v/>
      </c>
      <c r="H2450" s="43" t="str">
        <f>IFERROR(G2450*E2440,"")</f>
        <v/>
      </c>
    </row>
    <row r="2451" spans="1:11" ht="12.75" customHeight="1">
      <c r="A2451" s="28"/>
      <c r="B2451" s="29"/>
      <c r="C2451" s="30" t="str">
        <f>IFERROR(_xlfn.XLOOKUP(B2451,Equipo[DESCRIPCION],Equipo[UND],,0),"")</f>
        <v/>
      </c>
      <c r="D2451" s="31"/>
      <c r="E2451" s="32" t="str">
        <f>IF(C2451="%MO",G2455,IFERROR(_xlfn.XLOOKUP($B2451,Equipo[DESCRIPCION],Equipo[VALOR],,0),""))</f>
        <v/>
      </c>
      <c r="F2451" s="33"/>
      <c r="G2451" s="34" t="str">
        <f>IFERROR(IF(F2451&gt;=0,D2451*E2451*(1+F2451/100),ABS(D2451*E2451/F2451)),"")</f>
        <v/>
      </c>
      <c r="H2451" s="43" t="str">
        <f>IFERROR(G2451*E2440,"")</f>
        <v/>
      </c>
    </row>
    <row r="2452" spans="1:11" ht="12.75" customHeight="1">
      <c r="A2452" s="21"/>
      <c r="B2452" s="22" t="s">
        <v>2533</v>
      </c>
      <c r="C2452" s="23"/>
      <c r="D2452" s="24"/>
      <c r="E2452" s="25"/>
      <c r="F2452" s="26"/>
      <c r="G2452" s="27">
        <f>SUM(G2453:G2454)</f>
        <v>0</v>
      </c>
      <c r="H2452" s="44">
        <f>G2452*E2440</f>
        <v>0</v>
      </c>
    </row>
    <row r="2453" spans="1:11" ht="12.75" customHeight="1">
      <c r="A2453" s="28"/>
      <c r="B2453" s="29"/>
      <c r="C2453" s="30" t="str">
        <f>IFERROR(_xlfn.XLOOKUP(B2453,Transporte[DESCRIPCION],Transporte[UND],,0),"")</f>
        <v/>
      </c>
      <c r="D2453" s="31"/>
      <c r="E2453" s="32" t="str">
        <f>IFERROR(_xlfn.XLOOKUP($B2453,Transporte[DESCRIPCION],Transporte[VALOR],,0),"")</f>
        <v/>
      </c>
      <c r="F2453" s="33"/>
      <c r="G2453" s="34" t="str">
        <f>IFERROR(IF(F2453&gt;=0,D2453*E2453*(1+F2453/100),ABS(D2453*E2453/F2453)),"")</f>
        <v/>
      </c>
      <c r="H2453" s="43" t="str">
        <f>IFERROR(G2453*E2440,"")</f>
        <v/>
      </c>
    </row>
    <row r="2454" spans="1:11" ht="12.75" customHeight="1">
      <c r="A2454" s="28"/>
      <c r="B2454" s="29"/>
      <c r="C2454" s="30" t="str">
        <f>IFERROR(_xlfn.XLOOKUP(B2454,Transporte[DESCRIPCION],Transporte[UND],,0),"")</f>
        <v/>
      </c>
      <c r="D2454" s="31"/>
      <c r="E2454" s="32" t="str">
        <f>IFERROR(_xlfn.XLOOKUP($B2454,Transporte[DESCRIPCION],Transporte[VALOR],,0),"")</f>
        <v/>
      </c>
      <c r="F2454" s="33"/>
      <c r="G2454" s="34" t="str">
        <f>IFERROR(IF(F2454&gt;=0,D2454*E2454*(1+F2454/100),ABS(D2454*E2454/F2454)),"")</f>
        <v/>
      </c>
      <c r="H2454" s="43" t="str">
        <f>IFERROR(G2454*E2440,"")</f>
        <v/>
      </c>
    </row>
    <row r="2455" spans="1:11" ht="12.75" customHeight="1">
      <c r="A2455" s="21"/>
      <c r="B2455" s="22" t="s">
        <v>3732</v>
      </c>
      <c r="C2455" s="23"/>
      <c r="D2455" s="24"/>
      <c r="E2455" s="25"/>
      <c r="F2455" s="26"/>
      <c r="G2455" s="27">
        <f>SUM(G2456:G2458)</f>
        <v>6287.8150179000013</v>
      </c>
      <c r="H2455" s="44">
        <f>G2455*E2440</f>
        <v>0</v>
      </c>
    </row>
    <row r="2456" spans="1:11" ht="12.75" customHeight="1">
      <c r="A2456" s="28"/>
      <c r="B2456" s="29" t="s">
        <v>3710</v>
      </c>
      <c r="C2456" s="30" t="str">
        <f>IFERROR(_xlfn.XLOOKUP(B2456,MObra[DESCRIPCION],MObra[UN],,0),"")</f>
        <v>día</v>
      </c>
      <c r="D2456" s="31">
        <v>1</v>
      </c>
      <c r="E2456" s="32">
        <f>IFERROR(_xlfn.XLOOKUP($B2456,MObra[DESCRIPCION],MObra[VALOR UNIT],,0),"")</f>
        <v>314390.75089500006</v>
      </c>
      <c r="F2456" s="33">
        <v>-50</v>
      </c>
      <c r="G2456" s="34">
        <f>IFERROR(IF(F2456&gt;=0,D2456*E2456*(1+F2456/100),ABS(D2456*E2456/F2456)),"")</f>
        <v>6287.8150179000013</v>
      </c>
      <c r="H2456" s="43">
        <f>IFERROR(G2456*E2440,"")</f>
        <v>0</v>
      </c>
    </row>
    <row r="2457" spans="1:11" ht="12.75" customHeight="1">
      <c r="A2457" s="28"/>
      <c r="B2457" s="29"/>
      <c r="C2457" s="30" t="str">
        <f t="array" ref="C2457">IFERROR(_xlfn.XLOOKUP(B2457,MObra[[#All],[DESCRIPCION]],MObra[[#All],[UN]],,0),"")</f>
        <v/>
      </c>
      <c r="D2457" s="31"/>
      <c r="E2457" s="32" t="str">
        <f>IFERROR(_xlfn.XLOOKUP($B2457,MObra[DESCRIPCION],MObra[VALOR UNIT],,0),"")</f>
        <v/>
      </c>
      <c r="F2457" s="33"/>
      <c r="G2457" s="34" t="str">
        <f>IFERROR(IF(F2457&gt;=0,D2457*E2457*(1+F2457/100),ABS(D2457*E2457/F2457)),"")</f>
        <v/>
      </c>
      <c r="H2457" s="43" t="str">
        <f>IFERROR(G2457*E2440,"")</f>
        <v/>
      </c>
    </row>
    <row r="2458" spans="1:11" ht="12.75" customHeight="1" thickBot="1">
      <c r="A2458" s="35"/>
      <c r="B2458" s="36"/>
      <c r="C2458" s="37" t="str">
        <f t="array" ref="C2458">IFERROR(_xlfn.XLOOKUP(B2458,MObra[[#All],[DESCRIPCION]],MObra[[#All],[UN]],,0),"")</f>
        <v/>
      </c>
      <c r="D2458" s="38"/>
      <c r="E2458" s="39" t="str">
        <f>IFERROR(_xlfn.XLOOKUP($B2458,MObra[DESCRIPCION],MObra[VALOR UNIT],,0),"")</f>
        <v/>
      </c>
      <c r="F2458" s="40"/>
      <c r="G2458" s="41" t="str">
        <f>IFERROR(IF(F2458&gt;=0,D2458*E2458*(1+F2458/100),ABS(D2458*E2458/F2458)),"")</f>
        <v/>
      </c>
      <c r="H2458" s="42" t="str">
        <f>IFERROR(G2458*E2440,"")</f>
        <v/>
      </c>
    </row>
    <row r="2459" spans="1:11" ht="12.75" customHeight="1" thickTop="1" thickBot="1"/>
    <row r="2460" spans="1:11" ht="12.75" customHeight="1" thickTop="1" thickBot="1">
      <c r="A2460" s="6" t="s">
        <v>843</v>
      </c>
      <c r="B2460" s="7" t="str">
        <f>VLOOKUP($A2460,Presupuesto!$A:$D,2,FALSE())</f>
        <v>Tubería PVC sanitaria 2" + accesorios</v>
      </c>
      <c r="C2460" s="8" t="str">
        <f>VLOOKUP($A2460,Presupuesto!$A:$D,3,FALSE())</f>
        <v>M</v>
      </c>
      <c r="D2460" s="9"/>
      <c r="E2460" s="10">
        <f>VLOOKUP($A2460,Presupuesto!$A:$D,4,FALSE())</f>
        <v>0</v>
      </c>
      <c r="F2460" s="11" t="s">
        <v>2589</v>
      </c>
      <c r="G2460" s="12">
        <f>SUM(G2462:G2478)/2</f>
        <v>28040.330263424999</v>
      </c>
      <c r="H2460" s="13">
        <f>ROUND(SUM(H2462:H2478),0)/2</f>
        <v>0</v>
      </c>
      <c r="I2460" s="10">
        <f>VLOOKUP(A2460,Presupuesto!$A:$F,6,0)</f>
        <v>0</v>
      </c>
      <c r="J2460" s="10">
        <f>+H2460-I2460</f>
        <v>0</v>
      </c>
      <c r="K2460" s="46">
        <f>+H2460-G2460*E2460</f>
        <v>0</v>
      </c>
    </row>
    <row r="2461" spans="1:11" ht="12.75" customHeight="1" thickTop="1">
      <c r="A2461" s="14"/>
      <c r="B2461" s="15" t="s">
        <v>2586</v>
      </c>
      <c r="C2461" s="15" t="s">
        <v>5</v>
      </c>
      <c r="D2461" s="16" t="s">
        <v>6</v>
      </c>
      <c r="E2461" s="17" t="s">
        <v>7</v>
      </c>
      <c r="F2461" s="18" t="s">
        <v>3728</v>
      </c>
      <c r="G2461" s="19" t="s">
        <v>3729</v>
      </c>
      <c r="H2461" s="20" t="s">
        <v>3797</v>
      </c>
    </row>
    <row r="2462" spans="1:11" ht="12.75" customHeight="1">
      <c r="A2462" s="21"/>
      <c r="B2462" s="22" t="s">
        <v>3730</v>
      </c>
      <c r="C2462" s="23"/>
      <c r="D2462" s="24"/>
      <c r="E2462" s="25"/>
      <c r="F2462" s="26"/>
      <c r="G2462" s="27">
        <f>SUM(G2463:G2467)</f>
        <v>23324.468999999997</v>
      </c>
      <c r="H2462" s="27">
        <f>IFERROR(G2462*E2460,"")</f>
        <v>0</v>
      </c>
    </row>
    <row r="2463" spans="1:11" ht="12.75" customHeight="1">
      <c r="A2463" s="28"/>
      <c r="B2463" s="29" t="s">
        <v>3503</v>
      </c>
      <c r="C2463" s="30" t="str">
        <f>IFERROR(_xlfn.XLOOKUP(B2463,Insumo[DESCRIPCION],Insumo[UND],,0),"")</f>
        <v>M</v>
      </c>
      <c r="D2463" s="31">
        <v>1</v>
      </c>
      <c r="E2463" s="32">
        <f>IFERROR(_xlfn.XLOOKUP($B2463,Insumo[DESCRIPCION],Insumo[VALOR],,0),"")</f>
        <v>20817.3</v>
      </c>
      <c r="F2463" s="33">
        <v>3</v>
      </c>
      <c r="G2463" s="34">
        <f>IFERROR(IF(F2463&gt;=0,D2463*E2463*(1+F2463/100),ABS(D2463*E2463/F2463)),"")</f>
        <v>21441.819</v>
      </c>
      <c r="H2463" s="43">
        <f>IFERROR(G2463*E2460,"")</f>
        <v>0</v>
      </c>
    </row>
    <row r="2464" spans="1:11" ht="12.75" customHeight="1">
      <c r="A2464" s="28"/>
      <c r="B2464" s="29" t="s">
        <v>2648</v>
      </c>
      <c r="C2464" s="30" t="str">
        <f>IFERROR(_xlfn.XLOOKUP(B2464,Insumo[DESCRIPCION],Insumo[UND],,0),"")</f>
        <v>Un</v>
      </c>
      <c r="D2464" s="31">
        <v>0.15</v>
      </c>
      <c r="E2464" s="32">
        <f>IFERROR(_xlfn.XLOOKUP($B2464,Insumo[DESCRIPCION],Insumo[VALOR],,0),"")</f>
        <v>5561.85</v>
      </c>
      <c r="F2464" s="33"/>
      <c r="G2464" s="34">
        <f>IFERROR(IF(F2464&gt;=0,D2464*E2464*(1+F2464/100),ABS(D2464*E2464/F2464)),"")</f>
        <v>834.27750000000003</v>
      </c>
      <c r="H2464" s="43">
        <f>IFERROR(G2464*E2460,"")</f>
        <v>0</v>
      </c>
    </row>
    <row r="2465" spans="1:11" ht="12.75" customHeight="1">
      <c r="A2465" s="28"/>
      <c r="B2465" s="29" t="s">
        <v>3046</v>
      </c>
      <c r="C2465" s="30" t="str">
        <f>IFERROR(_xlfn.XLOOKUP(B2465,Insumo[DESCRIPCION],Insumo[UND],,0),"")</f>
        <v>Un</v>
      </c>
      <c r="D2465" s="31">
        <v>0.01</v>
      </c>
      <c r="E2465" s="32">
        <f>IFERROR(_xlfn.XLOOKUP($B2465,Insumo[DESCRIPCION],Insumo[VALOR],,0),"")</f>
        <v>62413.05</v>
      </c>
      <c r="F2465" s="33"/>
      <c r="G2465" s="34">
        <f>IFERROR(IF(F2465&gt;=0,D2465*E2465*(1+F2465/100),ABS(D2465*E2465/F2465)),"")</f>
        <v>624.1305000000001</v>
      </c>
      <c r="H2465" s="43">
        <f>IFERROR(G2465*E2460,"")</f>
        <v>0</v>
      </c>
    </row>
    <row r="2466" spans="1:11" ht="12.75" customHeight="1">
      <c r="A2466" s="28"/>
      <c r="B2466" s="29" t="s">
        <v>3329</v>
      </c>
      <c r="C2466" s="30" t="str">
        <f>IFERROR(_xlfn.XLOOKUP(B2466,Insumo[DESCRIPCION],Insumo[UND],,0),"")</f>
        <v>Un</v>
      </c>
      <c r="D2466" s="31">
        <v>0.01</v>
      </c>
      <c r="E2466" s="32">
        <f>IFERROR(_xlfn.XLOOKUP($B2466,Insumo[DESCRIPCION],Insumo[VALOR],,0),"")</f>
        <v>42424.200000000004</v>
      </c>
      <c r="F2466" s="33"/>
      <c r="G2466" s="34">
        <f>IFERROR(IF(F2466&gt;=0,D2466*E2466*(1+F2466/100),ABS(D2466*E2466/F2466)),"")</f>
        <v>424.24200000000008</v>
      </c>
      <c r="H2466" s="43">
        <f>IFERROR(G2466*E2460,"")</f>
        <v>0</v>
      </c>
    </row>
    <row r="2467" spans="1:11" ht="12.75" customHeight="1">
      <c r="A2467" s="28"/>
      <c r="B2467" s="29"/>
      <c r="C2467" s="30" t="str">
        <f>IFERROR(_xlfn.XLOOKUP(B2467,Insumo[DESCRIPCION],Insumo[UND],,0),"")</f>
        <v/>
      </c>
      <c r="D2467" s="31"/>
      <c r="E2467" s="32" t="str">
        <f>IFERROR(_xlfn.XLOOKUP($B2467,Insumo[DESCRIPCION],Insumo[VALOR],,0),"")</f>
        <v/>
      </c>
      <c r="F2467" s="33"/>
      <c r="G2467" s="34" t="str">
        <f>IFERROR(IF(F2467&gt;=0,D2467*E2467*(1+F2467/100),ABS(D2467*E2467/F2467)),"")</f>
        <v/>
      </c>
      <c r="H2467" s="43" t="str">
        <f>IFERROR(G2467*E2460,"")</f>
        <v/>
      </c>
    </row>
    <row r="2468" spans="1:11" ht="12.75" customHeight="1">
      <c r="A2468" s="21"/>
      <c r="B2468" s="22" t="s">
        <v>3731</v>
      </c>
      <c r="C2468" s="23"/>
      <c r="D2468" s="24"/>
      <c r="E2468" s="25"/>
      <c r="F2468" s="26"/>
      <c r="G2468" s="27">
        <f>SUM(G2469:G2471)</f>
        <v>224.56482206785719</v>
      </c>
      <c r="H2468" s="44">
        <f>G2468*E2460</f>
        <v>0</v>
      </c>
    </row>
    <row r="2469" spans="1:11" ht="12.75" customHeight="1">
      <c r="A2469" s="28"/>
      <c r="B2469" s="29" t="s">
        <v>3626</v>
      </c>
      <c r="C2469" s="30" t="str">
        <f>IFERROR(_xlfn.XLOOKUP(B2469,Equipo[DESCRIPCION],Equipo[UND],,0),"")</f>
        <v>%MO</v>
      </c>
      <c r="D2469" s="31">
        <v>0.05</v>
      </c>
      <c r="E2469" s="32">
        <f>IF(C2469="%MO",G2475,IFERROR(_xlfn.XLOOKUP($B2469,Equipo[DESCRIPCION],Equipo[VALOR],,0),""))</f>
        <v>4491.2964413571435</v>
      </c>
      <c r="F2469" s="33"/>
      <c r="G2469" s="34">
        <f>IFERROR(IF(F2469&gt;=0,D2469*E2469*(1+F2469/100),ABS(D2469*E2469/F2469)),"")</f>
        <v>224.56482206785719</v>
      </c>
      <c r="H2469" s="43">
        <f>IFERROR(G2469*E2460,"")</f>
        <v>0</v>
      </c>
    </row>
    <row r="2470" spans="1:11" ht="12.75" customHeight="1">
      <c r="A2470" s="28"/>
      <c r="B2470" s="29"/>
      <c r="C2470" s="30" t="str">
        <f>IFERROR(_xlfn.XLOOKUP(B2470,Equipo[DESCRIPCION],Equipo[UND],,0),"")</f>
        <v/>
      </c>
      <c r="D2470" s="31"/>
      <c r="E2470" s="32" t="str">
        <f>IF(C2470="%MO",G2475,IFERROR(_xlfn.XLOOKUP($B2470,Equipo[DESCRIPCION],Equipo[VALOR],,0),""))</f>
        <v/>
      </c>
      <c r="F2470" s="33"/>
      <c r="G2470" s="34" t="str">
        <f>IFERROR(IF(F2470&gt;=0,D2470*E2470*(1+F2470/100),ABS(D2470*E2470/F2470)),"")</f>
        <v/>
      </c>
      <c r="H2470" s="43" t="str">
        <f>IFERROR(G2470*E2460,"")</f>
        <v/>
      </c>
    </row>
    <row r="2471" spans="1:11" ht="12.75" customHeight="1">
      <c r="A2471" s="28"/>
      <c r="B2471" s="29"/>
      <c r="C2471" s="30" t="str">
        <f>IFERROR(_xlfn.XLOOKUP(B2471,Equipo[DESCRIPCION],Equipo[UND],,0),"")</f>
        <v/>
      </c>
      <c r="D2471" s="31"/>
      <c r="E2471" s="32" t="str">
        <f>IF(C2471="%MO",G2475,IFERROR(_xlfn.XLOOKUP($B2471,Equipo[DESCRIPCION],Equipo[VALOR],,0),""))</f>
        <v/>
      </c>
      <c r="F2471" s="33"/>
      <c r="G2471" s="34" t="str">
        <f>IFERROR(IF(F2471&gt;=0,D2471*E2471*(1+F2471/100),ABS(D2471*E2471/F2471)),"")</f>
        <v/>
      </c>
      <c r="H2471" s="43" t="str">
        <f>IFERROR(G2471*E2460,"")</f>
        <v/>
      </c>
    </row>
    <row r="2472" spans="1:11" ht="12.75" customHeight="1">
      <c r="A2472" s="21"/>
      <c r="B2472" s="22" t="s">
        <v>2533</v>
      </c>
      <c r="C2472" s="23"/>
      <c r="D2472" s="24"/>
      <c r="E2472" s="25"/>
      <c r="F2472" s="26"/>
      <c r="G2472" s="27">
        <f>SUM(G2473:G2474)</f>
        <v>0</v>
      </c>
      <c r="H2472" s="44">
        <f>G2472*E2460</f>
        <v>0</v>
      </c>
    </row>
    <row r="2473" spans="1:11" ht="12.75" customHeight="1">
      <c r="A2473" s="28"/>
      <c r="B2473" s="29"/>
      <c r="C2473" s="30" t="str">
        <f>IFERROR(_xlfn.XLOOKUP(B2473,Transporte[DESCRIPCION],Transporte[UND],,0),"")</f>
        <v/>
      </c>
      <c r="D2473" s="31"/>
      <c r="E2473" s="32" t="str">
        <f>IFERROR(_xlfn.XLOOKUP($B2473,Transporte[DESCRIPCION],Transporte[VALOR],,0),"")</f>
        <v/>
      </c>
      <c r="F2473" s="33"/>
      <c r="G2473" s="34" t="str">
        <f>IFERROR(IF(F2473&gt;=0,D2473*E2473*(1+F2473/100),ABS(D2473*E2473/F2473)),"")</f>
        <v/>
      </c>
      <c r="H2473" s="43" t="str">
        <f>IFERROR(G2473*E2460,"")</f>
        <v/>
      </c>
    </row>
    <row r="2474" spans="1:11" ht="12.75" customHeight="1">
      <c r="A2474" s="28"/>
      <c r="B2474" s="29"/>
      <c r="C2474" s="30" t="str">
        <f>IFERROR(_xlfn.XLOOKUP(B2474,Transporte[DESCRIPCION],Transporte[UND],,0),"")</f>
        <v/>
      </c>
      <c r="D2474" s="31"/>
      <c r="E2474" s="32" t="str">
        <f>IFERROR(_xlfn.XLOOKUP($B2474,Transporte[DESCRIPCION],Transporte[VALOR],,0),"")</f>
        <v/>
      </c>
      <c r="F2474" s="33"/>
      <c r="G2474" s="34" t="str">
        <f>IFERROR(IF(F2474&gt;=0,D2474*E2474*(1+F2474/100),ABS(D2474*E2474/F2474)),"")</f>
        <v/>
      </c>
      <c r="H2474" s="43" t="str">
        <f>IFERROR(G2474*E2460,"")</f>
        <v/>
      </c>
    </row>
    <row r="2475" spans="1:11" ht="12.75" customHeight="1">
      <c r="A2475" s="21"/>
      <c r="B2475" s="22" t="s">
        <v>3732</v>
      </c>
      <c r="C2475" s="23"/>
      <c r="D2475" s="24"/>
      <c r="E2475" s="25"/>
      <c r="F2475" s="26"/>
      <c r="G2475" s="27">
        <f>SUM(G2476:G2478)</f>
        <v>4491.2964413571435</v>
      </c>
      <c r="H2475" s="44">
        <f>G2475*E2460</f>
        <v>0</v>
      </c>
    </row>
    <row r="2476" spans="1:11" ht="12.75" customHeight="1">
      <c r="A2476" s="28"/>
      <c r="B2476" s="29" t="s">
        <v>3710</v>
      </c>
      <c r="C2476" s="30" t="str">
        <f>IFERROR(_xlfn.XLOOKUP(B2476,MObra[DESCRIPCION],MObra[UN],,0),"")</f>
        <v>día</v>
      </c>
      <c r="D2476" s="31">
        <v>1</v>
      </c>
      <c r="E2476" s="32">
        <f>IFERROR(_xlfn.XLOOKUP($B2476,MObra[DESCRIPCION],MObra[VALOR UNIT],,0),"")</f>
        <v>314390.75089500006</v>
      </c>
      <c r="F2476" s="33">
        <v>-70</v>
      </c>
      <c r="G2476" s="34">
        <f>IFERROR(IF(F2476&gt;=0,D2476*E2476*(1+F2476/100),ABS(D2476*E2476/F2476)),"")</f>
        <v>4491.2964413571435</v>
      </c>
      <c r="H2476" s="43">
        <f>IFERROR(G2476*E2460,"")</f>
        <v>0</v>
      </c>
    </row>
    <row r="2477" spans="1:11" ht="12.75" customHeight="1">
      <c r="A2477" s="28"/>
      <c r="B2477" s="29"/>
      <c r="C2477" s="30" t="str">
        <f t="array" ref="C2477">IFERROR(_xlfn.XLOOKUP(B2477,MObra[[#All],[DESCRIPCION]],MObra[[#All],[UN]],,0),"")</f>
        <v/>
      </c>
      <c r="D2477" s="31"/>
      <c r="E2477" s="32" t="str">
        <f>IFERROR(_xlfn.XLOOKUP($B2477,MObra[DESCRIPCION],MObra[VALOR UNIT],,0),"")</f>
        <v/>
      </c>
      <c r="F2477" s="33"/>
      <c r="G2477" s="34" t="str">
        <f>IFERROR(IF(F2477&gt;=0,D2477*E2477*(1+F2477/100),ABS(D2477*E2477/F2477)),"")</f>
        <v/>
      </c>
      <c r="H2477" s="43" t="str">
        <f>IFERROR(G2477*E2460,"")</f>
        <v/>
      </c>
    </row>
    <row r="2478" spans="1:11" ht="12.75" customHeight="1" thickBot="1">
      <c r="A2478" s="35"/>
      <c r="B2478" s="36"/>
      <c r="C2478" s="37" t="str">
        <f t="array" ref="C2478">IFERROR(_xlfn.XLOOKUP(B2478,MObra[[#All],[DESCRIPCION]],MObra[[#All],[UN]],,0),"")</f>
        <v/>
      </c>
      <c r="D2478" s="38"/>
      <c r="E2478" s="39" t="str">
        <f>IFERROR(_xlfn.XLOOKUP($B2478,MObra[DESCRIPCION],MObra[VALOR UNIT],,0),"")</f>
        <v/>
      </c>
      <c r="F2478" s="40"/>
      <c r="G2478" s="41" t="str">
        <f>IFERROR(IF(F2478&gt;=0,D2478*E2478*(1+F2478/100),ABS(D2478*E2478/F2478)),"")</f>
        <v/>
      </c>
      <c r="H2478" s="42" t="str">
        <f>IFERROR(G2478*E2460,"")</f>
        <v/>
      </c>
    </row>
    <row r="2479" spans="1:11" ht="12.75" customHeight="1" thickTop="1" thickBot="1"/>
    <row r="2480" spans="1:11" ht="12.75" customHeight="1" thickTop="1" thickBot="1">
      <c r="A2480" s="6" t="s">
        <v>845</v>
      </c>
      <c r="B2480" s="7" t="str">
        <f>VLOOKUP($A2480,Presupuesto!$A:$D,2,FALSE())</f>
        <v>Tubería PVC sanitaria 3" + accesorios</v>
      </c>
      <c r="C2480" s="8" t="str">
        <f>VLOOKUP($A2480,Presupuesto!$A:$D,3,FALSE())</f>
        <v>M</v>
      </c>
      <c r="D2480" s="9"/>
      <c r="E2480" s="10">
        <f>VLOOKUP($A2480,Presupuesto!$A:$D,4,FALSE())</f>
        <v>0</v>
      </c>
      <c r="F2480" s="11" t="s">
        <v>2589</v>
      </c>
      <c r="G2480" s="12">
        <f>SUM(G2482:G2498)/2</f>
        <v>40039.608822149996</v>
      </c>
      <c r="H2480" s="13">
        <f>ROUND(SUM(H2482:H2498),0)/2</f>
        <v>0</v>
      </c>
      <c r="I2480" s="10">
        <f>VLOOKUP(A2480,Presupuesto!$A:$F,6,0)</f>
        <v>0</v>
      </c>
      <c r="J2480" s="10">
        <f>+H2480-I2480</f>
        <v>0</v>
      </c>
      <c r="K2480" s="46">
        <f>+H2480-G2480*E2480</f>
        <v>0</v>
      </c>
    </row>
    <row r="2481" spans="1:8" ht="12.75" customHeight="1" thickTop="1">
      <c r="A2481" s="14"/>
      <c r="B2481" s="15" t="s">
        <v>2586</v>
      </c>
      <c r="C2481" s="15" t="s">
        <v>5</v>
      </c>
      <c r="D2481" s="16" t="s">
        <v>6</v>
      </c>
      <c r="E2481" s="17" t="s">
        <v>7</v>
      </c>
      <c r="F2481" s="18" t="s">
        <v>3728</v>
      </c>
      <c r="G2481" s="19" t="s">
        <v>3729</v>
      </c>
      <c r="H2481" s="20" t="s">
        <v>3797</v>
      </c>
    </row>
    <row r="2482" spans="1:8" ht="12.75" customHeight="1">
      <c r="A2482" s="21"/>
      <c r="B2482" s="22" t="s">
        <v>3730</v>
      </c>
      <c r="C2482" s="23"/>
      <c r="D2482" s="24"/>
      <c r="E2482" s="25"/>
      <c r="F2482" s="26"/>
      <c r="G2482" s="27">
        <f>SUM(G2483:G2487)</f>
        <v>34960.989000000001</v>
      </c>
      <c r="H2482" s="27">
        <f>IFERROR(G2482*E2480,"")</f>
        <v>0</v>
      </c>
    </row>
    <row r="2483" spans="1:8" ht="12.75" customHeight="1">
      <c r="A2483" s="28"/>
      <c r="B2483" s="29" t="s">
        <v>3504</v>
      </c>
      <c r="C2483" s="30" t="str">
        <f>IFERROR(_xlfn.XLOOKUP(B2483,Insumo[DESCRIPCION],Insumo[UND],,0),"")</f>
        <v>M</v>
      </c>
      <c r="D2483" s="31">
        <v>1</v>
      </c>
      <c r="E2483" s="32">
        <f>IFERROR(_xlfn.XLOOKUP($B2483,Insumo[DESCRIPCION],Insumo[VALOR],,0),"")</f>
        <v>31049.550000000003</v>
      </c>
      <c r="F2483" s="33">
        <v>3</v>
      </c>
      <c r="G2483" s="34">
        <f>IFERROR(IF(F2483&gt;=0,D2483*E2483*(1+F2483/100),ABS(D2483*E2483/F2483)),"")</f>
        <v>31981.036500000006</v>
      </c>
      <c r="H2483" s="43">
        <f>IFERROR(G2483*E2480,"")</f>
        <v>0</v>
      </c>
    </row>
    <row r="2484" spans="1:8" ht="12.75" customHeight="1">
      <c r="A2484" s="28"/>
      <c r="B2484" s="29" t="s">
        <v>2649</v>
      </c>
      <c r="C2484" s="30" t="str">
        <f>IFERROR(_xlfn.XLOOKUP(B2484,Insumo[DESCRIPCION],Insumo[UND],,0),"")</f>
        <v>Un</v>
      </c>
      <c r="D2484" s="31">
        <v>0.15</v>
      </c>
      <c r="E2484" s="32">
        <f>IFERROR(_xlfn.XLOOKUP($B2484,Insumo[DESCRIPCION],Insumo[VALOR],,0),"")</f>
        <v>12877.2</v>
      </c>
      <c r="F2484" s="33"/>
      <c r="G2484" s="34">
        <f>IFERROR(IF(F2484&gt;=0,D2484*E2484*(1+F2484/100),ABS(D2484*E2484/F2484)),"")</f>
        <v>1931.58</v>
      </c>
      <c r="H2484" s="43">
        <f>IFERROR(G2484*E2480,"")</f>
        <v>0</v>
      </c>
    </row>
    <row r="2485" spans="1:8" ht="12.75" customHeight="1">
      <c r="A2485" s="28"/>
      <c r="B2485" s="29" t="s">
        <v>3046</v>
      </c>
      <c r="C2485" s="30" t="str">
        <f>IFERROR(_xlfn.XLOOKUP(B2485,Insumo[DESCRIPCION],Insumo[UND],,0),"")</f>
        <v>Un</v>
      </c>
      <c r="D2485" s="31">
        <v>0.01</v>
      </c>
      <c r="E2485" s="32">
        <f>IFERROR(_xlfn.XLOOKUP($B2485,Insumo[DESCRIPCION],Insumo[VALOR],,0),"")</f>
        <v>62413.05</v>
      </c>
      <c r="F2485" s="33"/>
      <c r="G2485" s="34">
        <f>IFERROR(IF(F2485&gt;=0,D2485*E2485*(1+F2485/100),ABS(D2485*E2485/F2485)),"")</f>
        <v>624.1305000000001</v>
      </c>
      <c r="H2485" s="43">
        <f>IFERROR(G2485*E2480,"")</f>
        <v>0</v>
      </c>
    </row>
    <row r="2486" spans="1:8" ht="12.75" customHeight="1">
      <c r="A2486" s="28"/>
      <c r="B2486" s="29" t="s">
        <v>3329</v>
      </c>
      <c r="C2486" s="30" t="str">
        <f>IFERROR(_xlfn.XLOOKUP(B2486,Insumo[DESCRIPCION],Insumo[UND],,0),"")</f>
        <v>Un</v>
      </c>
      <c r="D2486" s="31">
        <v>0.01</v>
      </c>
      <c r="E2486" s="32">
        <f>IFERROR(_xlfn.XLOOKUP($B2486,Insumo[DESCRIPCION],Insumo[VALOR],,0),"")</f>
        <v>42424.200000000004</v>
      </c>
      <c r="F2486" s="33"/>
      <c r="G2486" s="34">
        <f>IFERROR(IF(F2486&gt;=0,D2486*E2486*(1+F2486/100),ABS(D2486*E2486/F2486)),"")</f>
        <v>424.24200000000008</v>
      </c>
      <c r="H2486" s="43">
        <f>IFERROR(G2486*E2480,"")</f>
        <v>0</v>
      </c>
    </row>
    <row r="2487" spans="1:8" ht="12.75" customHeight="1">
      <c r="A2487" s="28"/>
      <c r="B2487" s="29"/>
      <c r="C2487" s="30" t="str">
        <f>IFERROR(_xlfn.XLOOKUP(B2487,Insumo[DESCRIPCION],Insumo[UND],,0),"")</f>
        <v/>
      </c>
      <c r="D2487" s="31"/>
      <c r="E2487" s="32" t="str">
        <f>IFERROR(_xlfn.XLOOKUP($B2487,Insumo[DESCRIPCION],Insumo[VALOR],,0),"")</f>
        <v/>
      </c>
      <c r="F2487" s="33"/>
      <c r="G2487" s="34" t="str">
        <f>IFERROR(IF(F2487&gt;=0,D2487*E2487*(1+F2487/100),ABS(D2487*E2487/F2487)),"")</f>
        <v/>
      </c>
      <c r="H2487" s="43" t="str">
        <f>IFERROR(G2487*E2480,"")</f>
        <v/>
      </c>
    </row>
    <row r="2488" spans="1:8" ht="12.75" customHeight="1">
      <c r="A2488" s="21"/>
      <c r="B2488" s="22" t="s">
        <v>3731</v>
      </c>
      <c r="C2488" s="23"/>
      <c r="D2488" s="24"/>
      <c r="E2488" s="25"/>
      <c r="F2488" s="26"/>
      <c r="G2488" s="27">
        <f>SUM(G2489:G2491)</f>
        <v>241.83903915000008</v>
      </c>
      <c r="H2488" s="44">
        <f>G2488*E2480</f>
        <v>0</v>
      </c>
    </row>
    <row r="2489" spans="1:8" ht="12.75" customHeight="1">
      <c r="A2489" s="28"/>
      <c r="B2489" s="29" t="s">
        <v>3626</v>
      </c>
      <c r="C2489" s="30" t="str">
        <f>IFERROR(_xlfn.XLOOKUP(B2489,Equipo[DESCRIPCION],Equipo[UND],,0),"")</f>
        <v>%MO</v>
      </c>
      <c r="D2489" s="31">
        <v>0.05</v>
      </c>
      <c r="E2489" s="32">
        <f>IF(C2489="%MO",G2495,IFERROR(_xlfn.XLOOKUP($B2489,Equipo[DESCRIPCION],Equipo[VALOR],,0),""))</f>
        <v>4836.7807830000011</v>
      </c>
      <c r="F2489" s="33"/>
      <c r="G2489" s="34">
        <f>IFERROR(IF(F2489&gt;=0,D2489*E2489*(1+F2489/100),ABS(D2489*E2489/F2489)),"")</f>
        <v>241.83903915000008</v>
      </c>
      <c r="H2489" s="43">
        <f>IFERROR(G2489*E2480,"")</f>
        <v>0</v>
      </c>
    </row>
    <row r="2490" spans="1:8" ht="12.75" customHeight="1">
      <c r="A2490" s="28"/>
      <c r="B2490" s="29"/>
      <c r="C2490" s="30" t="str">
        <f>IFERROR(_xlfn.XLOOKUP(B2490,Equipo[DESCRIPCION],Equipo[UND],,0),"")</f>
        <v/>
      </c>
      <c r="D2490" s="31"/>
      <c r="E2490" s="32" t="str">
        <f>IF(C2490="%MO",G2495,IFERROR(_xlfn.XLOOKUP($B2490,Equipo[DESCRIPCION],Equipo[VALOR],,0),""))</f>
        <v/>
      </c>
      <c r="F2490" s="33"/>
      <c r="G2490" s="34" t="str">
        <f>IFERROR(IF(F2490&gt;=0,D2490*E2490*(1+F2490/100),ABS(D2490*E2490/F2490)),"")</f>
        <v/>
      </c>
      <c r="H2490" s="43" t="str">
        <f>IFERROR(G2490*E2480,"")</f>
        <v/>
      </c>
    </row>
    <row r="2491" spans="1:8" ht="12.75" customHeight="1">
      <c r="A2491" s="28"/>
      <c r="B2491" s="29"/>
      <c r="C2491" s="30" t="str">
        <f>IFERROR(_xlfn.XLOOKUP(B2491,Equipo[DESCRIPCION],Equipo[UND],,0),"")</f>
        <v/>
      </c>
      <c r="D2491" s="31"/>
      <c r="E2491" s="32" t="str">
        <f>IF(C2491="%MO",G2495,IFERROR(_xlfn.XLOOKUP($B2491,Equipo[DESCRIPCION],Equipo[VALOR],,0),""))</f>
        <v/>
      </c>
      <c r="F2491" s="33"/>
      <c r="G2491" s="34" t="str">
        <f>IFERROR(IF(F2491&gt;=0,D2491*E2491*(1+F2491/100),ABS(D2491*E2491/F2491)),"")</f>
        <v/>
      </c>
      <c r="H2491" s="43" t="str">
        <f>IFERROR(G2491*E2480,"")</f>
        <v/>
      </c>
    </row>
    <row r="2492" spans="1:8" ht="12.75" customHeight="1">
      <c r="A2492" s="21"/>
      <c r="B2492" s="22" t="s">
        <v>2533</v>
      </c>
      <c r="C2492" s="23"/>
      <c r="D2492" s="24"/>
      <c r="E2492" s="25"/>
      <c r="F2492" s="26"/>
      <c r="G2492" s="27">
        <f>SUM(G2493:G2494)</f>
        <v>0</v>
      </c>
      <c r="H2492" s="44">
        <f>G2492*E2480</f>
        <v>0</v>
      </c>
    </row>
    <row r="2493" spans="1:8" ht="12.75" customHeight="1">
      <c r="A2493" s="28"/>
      <c r="B2493" s="29"/>
      <c r="C2493" s="30" t="str">
        <f>IFERROR(_xlfn.XLOOKUP(B2493,Transporte[DESCRIPCION],Transporte[UND],,0),"")</f>
        <v/>
      </c>
      <c r="D2493" s="31"/>
      <c r="E2493" s="32" t="str">
        <f>IFERROR(_xlfn.XLOOKUP($B2493,Transporte[DESCRIPCION],Transporte[VALOR],,0),"")</f>
        <v/>
      </c>
      <c r="F2493" s="33"/>
      <c r="G2493" s="34" t="str">
        <f>IFERROR(IF(F2493&gt;=0,D2493*E2493*(1+F2493/100),ABS(D2493*E2493/F2493)),"")</f>
        <v/>
      </c>
      <c r="H2493" s="43" t="str">
        <f>IFERROR(G2493*E2480,"")</f>
        <v/>
      </c>
    </row>
    <row r="2494" spans="1:8" ht="12.75" customHeight="1">
      <c r="A2494" s="28"/>
      <c r="B2494" s="29"/>
      <c r="C2494" s="30" t="str">
        <f>IFERROR(_xlfn.XLOOKUP(B2494,Transporte[DESCRIPCION],Transporte[UND],,0),"")</f>
        <v/>
      </c>
      <c r="D2494" s="31"/>
      <c r="E2494" s="32" t="str">
        <f>IFERROR(_xlfn.XLOOKUP($B2494,Transporte[DESCRIPCION],Transporte[VALOR],,0),"")</f>
        <v/>
      </c>
      <c r="F2494" s="33"/>
      <c r="G2494" s="34" t="str">
        <f>IFERROR(IF(F2494&gt;=0,D2494*E2494*(1+F2494/100),ABS(D2494*E2494/F2494)),"")</f>
        <v/>
      </c>
      <c r="H2494" s="43" t="str">
        <f>IFERROR(G2494*E2480,"")</f>
        <v/>
      </c>
    </row>
    <row r="2495" spans="1:8" ht="12.75" customHeight="1">
      <c r="A2495" s="21"/>
      <c r="B2495" s="22" t="s">
        <v>3732</v>
      </c>
      <c r="C2495" s="23"/>
      <c r="D2495" s="24"/>
      <c r="E2495" s="25"/>
      <c r="F2495" s="26"/>
      <c r="G2495" s="27">
        <f>SUM(G2496:G2498)</f>
        <v>4836.7807830000011</v>
      </c>
      <c r="H2495" s="44">
        <f>G2495*E2480</f>
        <v>0</v>
      </c>
    </row>
    <row r="2496" spans="1:8" ht="12.75" customHeight="1">
      <c r="A2496" s="28"/>
      <c r="B2496" s="29" t="s">
        <v>3710</v>
      </c>
      <c r="C2496" s="30" t="str">
        <f>IFERROR(_xlfn.XLOOKUP(B2496,MObra[DESCRIPCION],MObra[UN],,0),"")</f>
        <v>día</v>
      </c>
      <c r="D2496" s="31">
        <v>1</v>
      </c>
      <c r="E2496" s="32">
        <f>IFERROR(_xlfn.XLOOKUP($B2496,MObra[DESCRIPCION],MObra[VALOR UNIT],,0),"")</f>
        <v>314390.75089500006</v>
      </c>
      <c r="F2496" s="33">
        <v>-65</v>
      </c>
      <c r="G2496" s="34">
        <f>IFERROR(IF(F2496&gt;=0,D2496*E2496*(1+F2496/100),ABS(D2496*E2496/F2496)),"")</f>
        <v>4836.7807830000011</v>
      </c>
      <c r="H2496" s="43">
        <f>IFERROR(G2496*E2480,"")</f>
        <v>0</v>
      </c>
    </row>
    <row r="2497" spans="1:11" ht="12.75" customHeight="1">
      <c r="A2497" s="28"/>
      <c r="B2497" s="29"/>
      <c r="C2497" s="30" t="str">
        <f t="array" ref="C2497">IFERROR(_xlfn.XLOOKUP(B2497,MObra[[#All],[DESCRIPCION]],MObra[[#All],[UN]],,0),"")</f>
        <v/>
      </c>
      <c r="D2497" s="31"/>
      <c r="E2497" s="32" t="str">
        <f>IFERROR(_xlfn.XLOOKUP($B2497,MObra[DESCRIPCION],MObra[VALOR UNIT],,0),"")</f>
        <v/>
      </c>
      <c r="F2497" s="33"/>
      <c r="G2497" s="34" t="str">
        <f>IFERROR(IF(F2497&gt;=0,D2497*E2497*(1+F2497/100),ABS(D2497*E2497/F2497)),"")</f>
        <v/>
      </c>
      <c r="H2497" s="43" t="str">
        <f>IFERROR(G2497*E2480,"")</f>
        <v/>
      </c>
    </row>
    <row r="2498" spans="1:11" ht="12.75" customHeight="1" thickBot="1">
      <c r="A2498" s="35"/>
      <c r="B2498" s="36"/>
      <c r="C2498" s="37" t="str">
        <f t="array" ref="C2498">IFERROR(_xlfn.XLOOKUP(B2498,MObra[[#All],[DESCRIPCION]],MObra[[#All],[UN]],,0),"")</f>
        <v/>
      </c>
      <c r="D2498" s="38"/>
      <c r="E2498" s="39" t="str">
        <f>IFERROR(_xlfn.XLOOKUP($B2498,MObra[DESCRIPCION],MObra[VALOR UNIT],,0),"")</f>
        <v/>
      </c>
      <c r="F2498" s="40"/>
      <c r="G2498" s="41" t="str">
        <f>IFERROR(IF(F2498&gt;=0,D2498*E2498*(1+F2498/100),ABS(D2498*E2498/F2498)),"")</f>
        <v/>
      </c>
      <c r="H2498" s="42" t="str">
        <f>IFERROR(G2498*E2480,"")</f>
        <v/>
      </c>
    </row>
    <row r="2499" spans="1:11" ht="12.75" customHeight="1" thickTop="1" thickBot="1"/>
    <row r="2500" spans="1:11" ht="12.75" customHeight="1" thickTop="1" thickBot="1">
      <c r="A2500" s="6" t="s">
        <v>847</v>
      </c>
      <c r="B2500" s="7" t="str">
        <f>VLOOKUP($A2500,Presupuesto!$A:$D,2,FALSE())</f>
        <v>Tubería PVC sanitaria 4" + accesorios</v>
      </c>
      <c r="C2500" s="8" t="str">
        <f>VLOOKUP($A2500,Presupuesto!$A:$D,3,FALSE())</f>
        <v>M</v>
      </c>
      <c r="D2500" s="9"/>
      <c r="E2500" s="10">
        <f>VLOOKUP($A2500,Presupuesto!$A:$D,4,FALSE())</f>
        <v>0</v>
      </c>
      <c r="F2500" s="11" t="s">
        <v>2589</v>
      </c>
      <c r="G2500" s="12">
        <f>SUM(G2502:G2518)/2</f>
        <v>55987.602140662493</v>
      </c>
      <c r="H2500" s="13">
        <f>ROUND(SUM(H2502:H2518),0)/2</f>
        <v>0</v>
      </c>
      <c r="I2500" s="10">
        <f>VLOOKUP(A2500,Presupuesto!$A:$F,6,0)</f>
        <v>0</v>
      </c>
      <c r="J2500" s="10">
        <f>+H2500-I2500</f>
        <v>0</v>
      </c>
      <c r="K2500" s="46">
        <f>+H2500-G2500*E2500</f>
        <v>0</v>
      </c>
    </row>
    <row r="2501" spans="1:11" ht="12.75" customHeight="1" thickTop="1">
      <c r="A2501" s="14"/>
      <c r="B2501" s="15" t="s">
        <v>2586</v>
      </c>
      <c r="C2501" s="15" t="s">
        <v>5</v>
      </c>
      <c r="D2501" s="16" t="s">
        <v>6</v>
      </c>
      <c r="E2501" s="17" t="s">
        <v>7</v>
      </c>
      <c r="F2501" s="18" t="s">
        <v>3728</v>
      </c>
      <c r="G2501" s="19" t="s">
        <v>3729</v>
      </c>
      <c r="H2501" s="20" t="s">
        <v>3797</v>
      </c>
    </row>
    <row r="2502" spans="1:11" ht="12.75" customHeight="1">
      <c r="A2502" s="21"/>
      <c r="B2502" s="22" t="s">
        <v>3730</v>
      </c>
      <c r="C2502" s="23"/>
      <c r="D2502" s="24"/>
      <c r="E2502" s="25"/>
      <c r="F2502" s="26"/>
      <c r="G2502" s="27">
        <f>SUM(G2503:G2507)</f>
        <v>50485.764000000003</v>
      </c>
      <c r="H2502" s="27">
        <f>IFERROR(G2502*E2500,"")</f>
        <v>0</v>
      </c>
    </row>
    <row r="2503" spans="1:11" ht="12.75" customHeight="1">
      <c r="A2503" s="28"/>
      <c r="B2503" s="29" t="s">
        <v>3505</v>
      </c>
      <c r="C2503" s="30" t="str">
        <f>IFERROR(_xlfn.XLOOKUP(B2503,Insumo[DESCRIPCION],Insumo[UND],,0),"")</f>
        <v>M</v>
      </c>
      <c r="D2503" s="31">
        <v>1</v>
      </c>
      <c r="E2503" s="32">
        <f>IFERROR(_xlfn.XLOOKUP($B2503,Insumo[DESCRIPCION],Insumo[VALOR],,0),"")</f>
        <v>43738.8</v>
      </c>
      <c r="F2503" s="33">
        <v>3</v>
      </c>
      <c r="G2503" s="34">
        <f>IFERROR(IF(F2503&gt;=0,D2503*E2503*(1+F2503/100),ABS(D2503*E2503/F2503)),"")</f>
        <v>45050.964000000007</v>
      </c>
      <c r="H2503" s="43">
        <f>IFERROR(G2503*E2500,"")</f>
        <v>0</v>
      </c>
    </row>
    <row r="2504" spans="1:11" ht="12.75" customHeight="1">
      <c r="A2504" s="28"/>
      <c r="B2504" s="29" t="s">
        <v>2650</v>
      </c>
      <c r="C2504" s="30" t="str">
        <f>IFERROR(_xlfn.XLOOKUP(B2504,Insumo[DESCRIPCION],Insumo[UND],,0),"")</f>
        <v>Un</v>
      </c>
      <c r="D2504" s="31">
        <v>0.15</v>
      </c>
      <c r="E2504" s="32">
        <f>IFERROR(_xlfn.XLOOKUP($B2504,Insumo[DESCRIPCION],Insumo[VALOR],,0),"")</f>
        <v>22253.7</v>
      </c>
      <c r="F2504" s="33"/>
      <c r="G2504" s="34">
        <f>IFERROR(IF(F2504&gt;=0,D2504*E2504*(1+F2504/100),ABS(D2504*E2504/F2504)),"")</f>
        <v>3338.0549999999998</v>
      </c>
      <c r="H2504" s="43">
        <f>IFERROR(G2504*E2500,"")</f>
        <v>0</v>
      </c>
    </row>
    <row r="2505" spans="1:11" ht="12.75" customHeight="1">
      <c r="A2505" s="28"/>
      <c r="B2505" s="29" t="s">
        <v>3046</v>
      </c>
      <c r="C2505" s="30" t="str">
        <f>IFERROR(_xlfn.XLOOKUP(B2505,Insumo[DESCRIPCION],Insumo[UND],,0),"")</f>
        <v>Un</v>
      </c>
      <c r="D2505" s="31">
        <v>0.02</v>
      </c>
      <c r="E2505" s="32">
        <f>IFERROR(_xlfn.XLOOKUP($B2505,Insumo[DESCRIPCION],Insumo[VALOR],,0),"")</f>
        <v>62413.05</v>
      </c>
      <c r="F2505" s="33"/>
      <c r="G2505" s="34">
        <f>IFERROR(IF(F2505&gt;=0,D2505*E2505*(1+F2505/100),ABS(D2505*E2505/F2505)),"")</f>
        <v>1248.2610000000002</v>
      </c>
      <c r="H2505" s="43">
        <f>IFERROR(G2505*E2500,"")</f>
        <v>0</v>
      </c>
    </row>
    <row r="2506" spans="1:11" ht="12.75" customHeight="1">
      <c r="A2506" s="28"/>
      <c r="B2506" s="29" t="s">
        <v>3329</v>
      </c>
      <c r="C2506" s="30" t="str">
        <f>IFERROR(_xlfn.XLOOKUP(B2506,Insumo[DESCRIPCION],Insumo[UND],,0),"")</f>
        <v>Un</v>
      </c>
      <c r="D2506" s="31">
        <v>0.02</v>
      </c>
      <c r="E2506" s="32">
        <f>IFERROR(_xlfn.XLOOKUP($B2506,Insumo[DESCRIPCION],Insumo[VALOR],,0),"")</f>
        <v>42424.200000000004</v>
      </c>
      <c r="F2506" s="33"/>
      <c r="G2506" s="34">
        <f>IFERROR(IF(F2506&gt;=0,D2506*E2506*(1+F2506/100),ABS(D2506*E2506/F2506)),"")</f>
        <v>848.48400000000015</v>
      </c>
      <c r="H2506" s="43">
        <f>IFERROR(G2506*E2500,"")</f>
        <v>0</v>
      </c>
    </row>
    <row r="2507" spans="1:11" ht="12.75" customHeight="1">
      <c r="A2507" s="28"/>
      <c r="B2507" s="29"/>
      <c r="C2507" s="30" t="str">
        <f>IFERROR(_xlfn.XLOOKUP(B2507,Insumo[DESCRIPCION],Insumo[UND],,0),"")</f>
        <v/>
      </c>
      <c r="D2507" s="31"/>
      <c r="E2507" s="32" t="str">
        <f>IFERROR(_xlfn.XLOOKUP($B2507,Insumo[DESCRIPCION],Insumo[VALOR],,0),"")</f>
        <v/>
      </c>
      <c r="F2507" s="33"/>
      <c r="G2507" s="34" t="str">
        <f>IFERROR(IF(F2507&gt;=0,D2507*E2507*(1+F2507/100),ABS(D2507*E2507/F2507)),"")</f>
        <v/>
      </c>
      <c r="H2507" s="43" t="str">
        <f>IFERROR(G2507*E2500,"")</f>
        <v/>
      </c>
    </row>
    <row r="2508" spans="1:11" ht="12.75" customHeight="1">
      <c r="A2508" s="21"/>
      <c r="B2508" s="22" t="s">
        <v>3731</v>
      </c>
      <c r="C2508" s="23"/>
      <c r="D2508" s="24"/>
      <c r="E2508" s="25"/>
      <c r="F2508" s="26"/>
      <c r="G2508" s="27">
        <f>SUM(G2509:G2511)</f>
        <v>261.99229241250003</v>
      </c>
      <c r="H2508" s="44">
        <f>G2508*E2500</f>
        <v>0</v>
      </c>
    </row>
    <row r="2509" spans="1:11" ht="12.75" customHeight="1">
      <c r="A2509" s="28"/>
      <c r="B2509" s="29" t="s">
        <v>3626</v>
      </c>
      <c r="C2509" s="30" t="str">
        <f>IFERROR(_xlfn.XLOOKUP(B2509,Equipo[DESCRIPCION],Equipo[UND],,0),"")</f>
        <v>%MO</v>
      </c>
      <c r="D2509" s="31">
        <v>0.05</v>
      </c>
      <c r="E2509" s="32">
        <f>IF(C2509="%MO",G2515,IFERROR(_xlfn.XLOOKUP($B2509,Equipo[DESCRIPCION],Equipo[VALOR],,0),""))</f>
        <v>5239.8458482500009</v>
      </c>
      <c r="F2509" s="33"/>
      <c r="G2509" s="34">
        <f>IFERROR(IF(F2509&gt;=0,D2509*E2509*(1+F2509/100),ABS(D2509*E2509/F2509)),"")</f>
        <v>261.99229241250003</v>
      </c>
      <c r="H2509" s="43">
        <f>IFERROR(G2509*E2500,"")</f>
        <v>0</v>
      </c>
    </row>
    <row r="2510" spans="1:11" ht="12.75" customHeight="1">
      <c r="A2510" s="28"/>
      <c r="B2510" s="29"/>
      <c r="C2510" s="30" t="str">
        <f>IFERROR(_xlfn.XLOOKUP(B2510,Equipo[DESCRIPCION],Equipo[UND],,0),"")</f>
        <v/>
      </c>
      <c r="D2510" s="31"/>
      <c r="E2510" s="32" t="str">
        <f>IF(C2510="%MO",G2515,IFERROR(_xlfn.XLOOKUP($B2510,Equipo[DESCRIPCION],Equipo[VALOR],,0),""))</f>
        <v/>
      </c>
      <c r="F2510" s="33"/>
      <c r="G2510" s="34" t="str">
        <f>IFERROR(IF(F2510&gt;=0,D2510*E2510*(1+F2510/100),ABS(D2510*E2510/F2510)),"")</f>
        <v/>
      </c>
      <c r="H2510" s="43" t="str">
        <f>IFERROR(G2510*E2500,"")</f>
        <v/>
      </c>
    </row>
    <row r="2511" spans="1:11" ht="12.75" customHeight="1">
      <c r="A2511" s="28"/>
      <c r="B2511" s="29"/>
      <c r="C2511" s="30" t="str">
        <f>IFERROR(_xlfn.XLOOKUP(B2511,Equipo[DESCRIPCION],Equipo[UND],,0),"")</f>
        <v/>
      </c>
      <c r="D2511" s="31"/>
      <c r="E2511" s="32" t="str">
        <f>IF(C2511="%MO",G2515,IFERROR(_xlfn.XLOOKUP($B2511,Equipo[DESCRIPCION],Equipo[VALOR],,0),""))</f>
        <v/>
      </c>
      <c r="F2511" s="33"/>
      <c r="G2511" s="34" t="str">
        <f>IFERROR(IF(F2511&gt;=0,D2511*E2511*(1+F2511/100),ABS(D2511*E2511/F2511)),"")</f>
        <v/>
      </c>
      <c r="H2511" s="43" t="str">
        <f>IFERROR(G2511*E2500,"")</f>
        <v/>
      </c>
    </row>
    <row r="2512" spans="1:11" ht="12.75" customHeight="1">
      <c r="A2512" s="21"/>
      <c r="B2512" s="22" t="s">
        <v>2533</v>
      </c>
      <c r="C2512" s="23"/>
      <c r="D2512" s="24"/>
      <c r="E2512" s="25"/>
      <c r="F2512" s="26"/>
      <c r="G2512" s="27">
        <f>SUM(G2513:G2514)</f>
        <v>0</v>
      </c>
      <c r="H2512" s="44">
        <f>G2512*E2500</f>
        <v>0</v>
      </c>
    </row>
    <row r="2513" spans="1:11" ht="12.75" customHeight="1">
      <c r="A2513" s="28"/>
      <c r="B2513" s="29"/>
      <c r="C2513" s="30" t="str">
        <f>IFERROR(_xlfn.XLOOKUP(B2513,Transporte[DESCRIPCION],Transporte[UND],,0),"")</f>
        <v/>
      </c>
      <c r="D2513" s="31"/>
      <c r="E2513" s="32" t="str">
        <f>IFERROR(_xlfn.XLOOKUP($B2513,Transporte[DESCRIPCION],Transporte[VALOR],,0),"")</f>
        <v/>
      </c>
      <c r="F2513" s="33"/>
      <c r="G2513" s="34" t="str">
        <f>IFERROR(IF(F2513&gt;=0,D2513*E2513*(1+F2513/100),ABS(D2513*E2513/F2513)),"")</f>
        <v/>
      </c>
      <c r="H2513" s="43" t="str">
        <f>IFERROR(G2513*E2500,"")</f>
        <v/>
      </c>
    </row>
    <row r="2514" spans="1:11" ht="12.75" customHeight="1">
      <c r="A2514" s="28"/>
      <c r="B2514" s="29"/>
      <c r="C2514" s="30" t="str">
        <f>IFERROR(_xlfn.XLOOKUP(B2514,Transporte[DESCRIPCION],Transporte[UND],,0),"")</f>
        <v/>
      </c>
      <c r="D2514" s="31"/>
      <c r="E2514" s="32" t="str">
        <f>IFERROR(_xlfn.XLOOKUP($B2514,Transporte[DESCRIPCION],Transporte[VALOR],,0),"")</f>
        <v/>
      </c>
      <c r="F2514" s="33"/>
      <c r="G2514" s="34" t="str">
        <f>IFERROR(IF(F2514&gt;=0,D2514*E2514*(1+F2514/100),ABS(D2514*E2514/F2514)),"")</f>
        <v/>
      </c>
      <c r="H2514" s="43" t="str">
        <f>IFERROR(G2514*E2500,"")</f>
        <v/>
      </c>
    </row>
    <row r="2515" spans="1:11" ht="12.75" customHeight="1">
      <c r="A2515" s="21"/>
      <c r="B2515" s="22" t="s">
        <v>3732</v>
      </c>
      <c r="C2515" s="23"/>
      <c r="D2515" s="24"/>
      <c r="E2515" s="25"/>
      <c r="F2515" s="26"/>
      <c r="G2515" s="27">
        <f>SUM(G2516:G2518)</f>
        <v>5239.8458482500009</v>
      </c>
      <c r="H2515" s="44">
        <f>G2515*E2500</f>
        <v>0</v>
      </c>
    </row>
    <row r="2516" spans="1:11" ht="12.75" customHeight="1">
      <c r="A2516" s="28"/>
      <c r="B2516" s="29" t="s">
        <v>3710</v>
      </c>
      <c r="C2516" s="30" t="str">
        <f>IFERROR(_xlfn.XLOOKUP(B2516,MObra[DESCRIPCION],MObra[UN],,0),"")</f>
        <v>día</v>
      </c>
      <c r="D2516" s="31">
        <v>1</v>
      </c>
      <c r="E2516" s="32">
        <f>IFERROR(_xlfn.XLOOKUP($B2516,MObra[DESCRIPCION],MObra[VALOR UNIT],,0),"")</f>
        <v>314390.75089500006</v>
      </c>
      <c r="F2516" s="33">
        <v>-60</v>
      </c>
      <c r="G2516" s="34">
        <f>IFERROR(IF(F2516&gt;=0,D2516*E2516*(1+F2516/100),ABS(D2516*E2516/F2516)),"")</f>
        <v>5239.8458482500009</v>
      </c>
      <c r="H2516" s="43">
        <f>IFERROR(G2516*E2500,"")</f>
        <v>0</v>
      </c>
    </row>
    <row r="2517" spans="1:11" ht="12.75" customHeight="1">
      <c r="A2517" s="28"/>
      <c r="B2517" s="29"/>
      <c r="C2517" s="30" t="str">
        <f t="array" ref="C2517">IFERROR(_xlfn.XLOOKUP(B2517,MObra[[#All],[DESCRIPCION]],MObra[[#All],[UN]],,0),"")</f>
        <v/>
      </c>
      <c r="D2517" s="31"/>
      <c r="E2517" s="32" t="str">
        <f>IFERROR(_xlfn.XLOOKUP($B2517,MObra[DESCRIPCION],MObra[VALOR UNIT],,0),"")</f>
        <v/>
      </c>
      <c r="F2517" s="33"/>
      <c r="G2517" s="34" t="str">
        <f>IFERROR(IF(F2517&gt;=0,D2517*E2517*(1+F2517/100),ABS(D2517*E2517/F2517)),"")</f>
        <v/>
      </c>
      <c r="H2517" s="43" t="str">
        <f>IFERROR(G2517*E2500,"")</f>
        <v/>
      </c>
    </row>
    <row r="2518" spans="1:11" ht="12.75" customHeight="1" thickBot="1">
      <c r="A2518" s="35"/>
      <c r="B2518" s="36"/>
      <c r="C2518" s="37" t="str">
        <f t="array" ref="C2518">IFERROR(_xlfn.XLOOKUP(B2518,MObra[[#All],[DESCRIPCION]],MObra[[#All],[UN]],,0),"")</f>
        <v/>
      </c>
      <c r="D2518" s="38"/>
      <c r="E2518" s="39" t="str">
        <f>IFERROR(_xlfn.XLOOKUP($B2518,MObra[DESCRIPCION],MObra[VALOR UNIT],,0),"")</f>
        <v/>
      </c>
      <c r="F2518" s="40"/>
      <c r="G2518" s="41" t="str">
        <f>IFERROR(IF(F2518&gt;=0,D2518*E2518*(1+F2518/100),ABS(D2518*E2518/F2518)),"")</f>
        <v/>
      </c>
      <c r="H2518" s="42" t="str">
        <f>IFERROR(G2518*E2500,"")</f>
        <v/>
      </c>
    </row>
    <row r="2519" spans="1:11" ht="12.75" customHeight="1" thickTop="1" thickBot="1"/>
    <row r="2520" spans="1:11" ht="12.75" customHeight="1" thickTop="1" thickBot="1">
      <c r="A2520" s="6" t="s">
        <v>849</v>
      </c>
      <c r="B2520" s="7" t="str">
        <f>VLOOKUP($A2520,Presupuesto!$A:$D,2,FALSE())</f>
        <v>Tubería PVC sanitaria 6" + accesorios</v>
      </c>
      <c r="C2520" s="8" t="str">
        <f>VLOOKUP($A2520,Presupuesto!$A:$D,3,FALSE())</f>
        <v>M</v>
      </c>
      <c r="D2520" s="9"/>
      <c r="E2520" s="10">
        <f>VLOOKUP($A2520,Presupuesto!$A:$D,4,FALSE())</f>
        <v>0</v>
      </c>
      <c r="F2520" s="11" t="s">
        <v>2589</v>
      </c>
      <c r="G2520" s="12">
        <f>SUM(G2522:G2538)/2</f>
        <v>131432.98876879498</v>
      </c>
      <c r="H2520" s="13">
        <f>ROUND(SUM(H2522:H2538),0)/2</f>
        <v>0</v>
      </c>
      <c r="I2520" s="10">
        <f>VLOOKUP(A2520,Presupuesto!$A:$F,6,0)</f>
        <v>0</v>
      </c>
      <c r="J2520" s="10">
        <f>+H2520-I2520</f>
        <v>0</v>
      </c>
      <c r="K2520" s="46">
        <f>+H2520-G2520*E2520</f>
        <v>0</v>
      </c>
    </row>
    <row r="2521" spans="1:11" ht="12.75" customHeight="1" thickTop="1">
      <c r="A2521" s="14"/>
      <c r="B2521" s="15" t="s">
        <v>2586</v>
      </c>
      <c r="C2521" s="15" t="s">
        <v>5</v>
      </c>
      <c r="D2521" s="16" t="s">
        <v>6</v>
      </c>
      <c r="E2521" s="17" t="s">
        <v>7</v>
      </c>
      <c r="F2521" s="18" t="s">
        <v>3728</v>
      </c>
      <c r="G2521" s="19" t="s">
        <v>3729</v>
      </c>
      <c r="H2521" s="20" t="s">
        <v>3797</v>
      </c>
    </row>
    <row r="2522" spans="1:11" ht="12.75" customHeight="1">
      <c r="A2522" s="21"/>
      <c r="B2522" s="22" t="s">
        <v>3730</v>
      </c>
      <c r="C2522" s="23"/>
      <c r="D2522" s="24"/>
      <c r="E2522" s="25"/>
      <c r="F2522" s="26"/>
      <c r="G2522" s="27">
        <f>SUM(G2523:G2527)</f>
        <v>124830.78300000001</v>
      </c>
      <c r="H2522" s="27">
        <f>IFERROR(G2522*E2520,"")</f>
        <v>0</v>
      </c>
    </row>
    <row r="2523" spans="1:11" ht="12.75" customHeight="1">
      <c r="A2523" s="28"/>
      <c r="B2523" s="29" t="s">
        <v>3506</v>
      </c>
      <c r="C2523" s="30" t="str">
        <f>IFERROR(_xlfn.XLOOKUP(B2523,Insumo[DESCRIPCION],Insumo[UND],,0),"")</f>
        <v>M</v>
      </c>
      <c r="D2523" s="31">
        <v>1</v>
      </c>
      <c r="E2523" s="32">
        <f>IFERROR(_xlfn.XLOOKUP($B2523,Insumo[DESCRIPCION],Insumo[VALOR],,0),"")</f>
        <v>91667.1</v>
      </c>
      <c r="F2523" s="33">
        <v>3</v>
      </c>
      <c r="G2523" s="34">
        <f>IFERROR(IF(F2523&gt;=0,D2523*E2523*(1+F2523/100),ABS(D2523*E2523/F2523)),"")</f>
        <v>94417.113000000012</v>
      </c>
      <c r="H2523" s="43">
        <f>IFERROR(G2523*E2520,"")</f>
        <v>0</v>
      </c>
    </row>
    <row r="2524" spans="1:11" ht="12.75" customHeight="1">
      <c r="A2524" s="28"/>
      <c r="B2524" s="29" t="s">
        <v>2651</v>
      </c>
      <c r="C2524" s="30" t="str">
        <f>IFERROR(_xlfn.XLOOKUP(B2524,Insumo[DESCRIPCION],Insumo[UND],,0),"")</f>
        <v>Un</v>
      </c>
      <c r="D2524" s="31">
        <v>0.15</v>
      </c>
      <c r="E2524" s="32">
        <f>IFERROR(_xlfn.XLOOKUP($B2524,Insumo[DESCRIPCION],Insumo[VALOR],,0),"")</f>
        <v>188779.5</v>
      </c>
      <c r="F2524" s="33"/>
      <c r="G2524" s="34">
        <f>IFERROR(IF(F2524&gt;=0,D2524*E2524*(1+F2524/100),ABS(D2524*E2524/F2524)),"")</f>
        <v>28316.924999999999</v>
      </c>
      <c r="H2524" s="43">
        <f>IFERROR(G2524*E2520,"")</f>
        <v>0</v>
      </c>
    </row>
    <row r="2525" spans="1:11" ht="12.75" customHeight="1">
      <c r="A2525" s="28"/>
      <c r="B2525" s="29" t="s">
        <v>3046</v>
      </c>
      <c r="C2525" s="30" t="str">
        <f>IFERROR(_xlfn.XLOOKUP(B2525,Insumo[DESCRIPCION],Insumo[UND],,0),"")</f>
        <v>Un</v>
      </c>
      <c r="D2525" s="31">
        <v>0.02</v>
      </c>
      <c r="E2525" s="32">
        <f>IFERROR(_xlfn.XLOOKUP($B2525,Insumo[DESCRIPCION],Insumo[VALOR],,0),"")</f>
        <v>62413.05</v>
      </c>
      <c r="F2525" s="33"/>
      <c r="G2525" s="34">
        <f>IFERROR(IF(F2525&gt;=0,D2525*E2525*(1+F2525/100),ABS(D2525*E2525/F2525)),"")</f>
        <v>1248.2610000000002</v>
      </c>
      <c r="H2525" s="43">
        <f>IFERROR(G2525*E2520,"")</f>
        <v>0</v>
      </c>
    </row>
    <row r="2526" spans="1:11" ht="12.75" customHeight="1">
      <c r="A2526" s="28"/>
      <c r="B2526" s="29" t="s">
        <v>3329</v>
      </c>
      <c r="C2526" s="30" t="str">
        <f>IFERROR(_xlfn.XLOOKUP(B2526,Insumo[DESCRIPCION],Insumo[UND],,0),"")</f>
        <v>Un</v>
      </c>
      <c r="D2526" s="31">
        <v>0.02</v>
      </c>
      <c r="E2526" s="32">
        <f>IFERROR(_xlfn.XLOOKUP($B2526,Insumo[DESCRIPCION],Insumo[VALOR],,0),"")</f>
        <v>42424.200000000004</v>
      </c>
      <c r="F2526" s="33"/>
      <c r="G2526" s="34">
        <f>IFERROR(IF(F2526&gt;=0,D2526*E2526*(1+F2526/100),ABS(D2526*E2526/F2526)),"")</f>
        <v>848.48400000000015</v>
      </c>
      <c r="H2526" s="43">
        <f>IFERROR(G2526*E2520,"")</f>
        <v>0</v>
      </c>
    </row>
    <row r="2527" spans="1:11" ht="12.75" customHeight="1">
      <c r="A2527" s="28"/>
      <c r="B2527" s="29"/>
      <c r="C2527" s="30" t="str">
        <f>IFERROR(_xlfn.XLOOKUP(B2527,Insumo[DESCRIPCION],Insumo[UND],,0),"")</f>
        <v/>
      </c>
      <c r="D2527" s="31"/>
      <c r="E2527" s="32" t="str">
        <f>IFERROR(_xlfn.XLOOKUP($B2527,Insumo[DESCRIPCION],Insumo[VALOR],,0),"")</f>
        <v/>
      </c>
      <c r="F2527" s="33"/>
      <c r="G2527" s="34" t="str">
        <f>IFERROR(IF(F2527&gt;=0,D2527*E2527*(1+F2527/100),ABS(D2527*E2527/F2527)),"")</f>
        <v/>
      </c>
      <c r="H2527" s="43" t="str">
        <f>IFERROR(G2527*E2520,"")</f>
        <v/>
      </c>
    </row>
    <row r="2528" spans="1:11" ht="12.75" customHeight="1">
      <c r="A2528" s="21"/>
      <c r="B2528" s="22" t="s">
        <v>3731</v>
      </c>
      <c r="C2528" s="23"/>
      <c r="D2528" s="24"/>
      <c r="E2528" s="25"/>
      <c r="F2528" s="26"/>
      <c r="G2528" s="27">
        <f>SUM(G2529:G2531)</f>
        <v>314.39075089500011</v>
      </c>
      <c r="H2528" s="44">
        <f>G2528*E2520</f>
        <v>0</v>
      </c>
    </row>
    <row r="2529" spans="1:11" ht="12.75" customHeight="1">
      <c r="A2529" s="28"/>
      <c r="B2529" s="29" t="s">
        <v>3626</v>
      </c>
      <c r="C2529" s="30" t="str">
        <f>IFERROR(_xlfn.XLOOKUP(B2529,Equipo[DESCRIPCION],Equipo[UND],,0),"")</f>
        <v>%MO</v>
      </c>
      <c r="D2529" s="31">
        <v>0.05</v>
      </c>
      <c r="E2529" s="32">
        <f>IF(C2529="%MO",G2535,IFERROR(_xlfn.XLOOKUP($B2529,Equipo[DESCRIPCION],Equipo[VALOR],,0),""))</f>
        <v>6287.8150179000013</v>
      </c>
      <c r="F2529" s="33"/>
      <c r="G2529" s="34">
        <f>IFERROR(IF(F2529&gt;=0,D2529*E2529*(1+F2529/100),ABS(D2529*E2529/F2529)),"")</f>
        <v>314.39075089500011</v>
      </c>
      <c r="H2529" s="43">
        <f>IFERROR(G2529*E2520,"")</f>
        <v>0</v>
      </c>
    </row>
    <row r="2530" spans="1:11" ht="12.75" customHeight="1">
      <c r="A2530" s="28"/>
      <c r="B2530" s="29"/>
      <c r="C2530" s="30" t="str">
        <f>IFERROR(_xlfn.XLOOKUP(B2530,Equipo[DESCRIPCION],Equipo[UND],,0),"")</f>
        <v/>
      </c>
      <c r="D2530" s="31"/>
      <c r="E2530" s="32" t="str">
        <f>IF(C2530="%MO",G2535,IFERROR(_xlfn.XLOOKUP($B2530,Equipo[DESCRIPCION],Equipo[VALOR],,0),""))</f>
        <v/>
      </c>
      <c r="F2530" s="33"/>
      <c r="G2530" s="34" t="str">
        <f>IFERROR(IF(F2530&gt;=0,D2530*E2530*(1+F2530/100),ABS(D2530*E2530/F2530)),"")</f>
        <v/>
      </c>
      <c r="H2530" s="43" t="str">
        <f>IFERROR(G2530*E2520,"")</f>
        <v/>
      </c>
    </row>
    <row r="2531" spans="1:11" ht="12.75" customHeight="1">
      <c r="A2531" s="28"/>
      <c r="B2531" s="29"/>
      <c r="C2531" s="30" t="str">
        <f>IFERROR(_xlfn.XLOOKUP(B2531,Equipo[DESCRIPCION],Equipo[UND],,0),"")</f>
        <v/>
      </c>
      <c r="D2531" s="31"/>
      <c r="E2531" s="32" t="str">
        <f>IF(C2531="%MO",G2535,IFERROR(_xlfn.XLOOKUP($B2531,Equipo[DESCRIPCION],Equipo[VALOR],,0),""))</f>
        <v/>
      </c>
      <c r="F2531" s="33"/>
      <c r="G2531" s="34" t="str">
        <f>IFERROR(IF(F2531&gt;=0,D2531*E2531*(1+F2531/100),ABS(D2531*E2531/F2531)),"")</f>
        <v/>
      </c>
      <c r="H2531" s="43" t="str">
        <f>IFERROR(G2531*E2520,"")</f>
        <v/>
      </c>
    </row>
    <row r="2532" spans="1:11" ht="12.75" customHeight="1">
      <c r="A2532" s="21"/>
      <c r="B2532" s="22" t="s">
        <v>2533</v>
      </c>
      <c r="C2532" s="23"/>
      <c r="D2532" s="24"/>
      <c r="E2532" s="25"/>
      <c r="F2532" s="26"/>
      <c r="G2532" s="27">
        <f>SUM(G2533:G2534)</f>
        <v>0</v>
      </c>
      <c r="H2532" s="44">
        <f>G2532*E2520</f>
        <v>0</v>
      </c>
    </row>
    <row r="2533" spans="1:11" ht="12.75" customHeight="1">
      <c r="A2533" s="28"/>
      <c r="B2533" s="29"/>
      <c r="C2533" s="30" t="str">
        <f>IFERROR(_xlfn.XLOOKUP(B2533,Transporte[DESCRIPCION],Transporte[UND],,0),"")</f>
        <v/>
      </c>
      <c r="D2533" s="31"/>
      <c r="E2533" s="32" t="str">
        <f>IFERROR(_xlfn.XLOOKUP($B2533,Transporte[DESCRIPCION],Transporte[VALOR],,0),"")</f>
        <v/>
      </c>
      <c r="F2533" s="33"/>
      <c r="G2533" s="34" t="str">
        <f>IFERROR(IF(F2533&gt;=0,D2533*E2533*(1+F2533/100),ABS(D2533*E2533/F2533)),"")</f>
        <v/>
      </c>
      <c r="H2533" s="43" t="str">
        <f>IFERROR(G2533*E2520,"")</f>
        <v/>
      </c>
    </row>
    <row r="2534" spans="1:11" ht="12.75" customHeight="1">
      <c r="A2534" s="28"/>
      <c r="B2534" s="29"/>
      <c r="C2534" s="30" t="str">
        <f>IFERROR(_xlfn.XLOOKUP(B2534,Transporte[DESCRIPCION],Transporte[UND],,0),"")</f>
        <v/>
      </c>
      <c r="D2534" s="31"/>
      <c r="E2534" s="32" t="str">
        <f>IFERROR(_xlfn.XLOOKUP($B2534,Transporte[DESCRIPCION],Transporte[VALOR],,0),"")</f>
        <v/>
      </c>
      <c r="F2534" s="33"/>
      <c r="G2534" s="34" t="str">
        <f>IFERROR(IF(F2534&gt;=0,D2534*E2534*(1+F2534/100),ABS(D2534*E2534/F2534)),"")</f>
        <v/>
      </c>
      <c r="H2534" s="43" t="str">
        <f>IFERROR(G2534*E2520,"")</f>
        <v/>
      </c>
    </row>
    <row r="2535" spans="1:11" ht="12.75" customHeight="1">
      <c r="A2535" s="21"/>
      <c r="B2535" s="22" t="s">
        <v>3732</v>
      </c>
      <c r="C2535" s="23"/>
      <c r="D2535" s="24"/>
      <c r="E2535" s="25"/>
      <c r="F2535" s="26"/>
      <c r="G2535" s="27">
        <f>SUM(G2536:G2538)</f>
        <v>6287.8150179000013</v>
      </c>
      <c r="H2535" s="44">
        <f>G2535*E2520</f>
        <v>0</v>
      </c>
    </row>
    <row r="2536" spans="1:11" ht="12.75" customHeight="1">
      <c r="A2536" s="28"/>
      <c r="B2536" s="29" t="s">
        <v>3710</v>
      </c>
      <c r="C2536" s="30" t="str">
        <f>IFERROR(_xlfn.XLOOKUP(B2536,MObra[DESCRIPCION],MObra[UN],,0),"")</f>
        <v>día</v>
      </c>
      <c r="D2536" s="31">
        <v>1</v>
      </c>
      <c r="E2536" s="32">
        <f>IFERROR(_xlfn.XLOOKUP($B2536,MObra[DESCRIPCION],MObra[VALOR UNIT],,0),"")</f>
        <v>314390.75089500006</v>
      </c>
      <c r="F2536" s="33">
        <v>-50</v>
      </c>
      <c r="G2536" s="34">
        <f>IFERROR(IF(F2536&gt;=0,D2536*E2536*(1+F2536/100),ABS(D2536*E2536/F2536)),"")</f>
        <v>6287.8150179000013</v>
      </c>
      <c r="H2536" s="43">
        <f>IFERROR(G2536*E2520,"")</f>
        <v>0</v>
      </c>
    </row>
    <row r="2537" spans="1:11" ht="12.75" customHeight="1">
      <c r="A2537" s="28"/>
      <c r="B2537" s="29"/>
      <c r="C2537" s="30" t="str">
        <f t="array" ref="C2537">IFERROR(_xlfn.XLOOKUP(B2537,MObra[[#All],[DESCRIPCION]],MObra[[#All],[UN]],,0),"")</f>
        <v/>
      </c>
      <c r="D2537" s="31"/>
      <c r="E2537" s="32" t="str">
        <f>IFERROR(_xlfn.XLOOKUP($B2537,MObra[DESCRIPCION],MObra[VALOR UNIT],,0),"")</f>
        <v/>
      </c>
      <c r="F2537" s="33"/>
      <c r="G2537" s="34" t="str">
        <f>IFERROR(IF(F2537&gt;=0,D2537*E2537*(1+F2537/100),ABS(D2537*E2537/F2537)),"")</f>
        <v/>
      </c>
      <c r="H2537" s="43" t="str">
        <f>IFERROR(G2537*E2520,"")</f>
        <v/>
      </c>
    </row>
    <row r="2538" spans="1:11" ht="12.75" customHeight="1" thickBot="1">
      <c r="A2538" s="35"/>
      <c r="B2538" s="36"/>
      <c r="C2538" s="37" t="str">
        <f t="array" ref="C2538">IFERROR(_xlfn.XLOOKUP(B2538,MObra[[#All],[DESCRIPCION]],MObra[[#All],[UN]],,0),"")</f>
        <v/>
      </c>
      <c r="D2538" s="38"/>
      <c r="E2538" s="39" t="str">
        <f>IFERROR(_xlfn.XLOOKUP($B2538,MObra[DESCRIPCION],MObra[VALOR UNIT],,0),"")</f>
        <v/>
      </c>
      <c r="F2538" s="40"/>
      <c r="G2538" s="41" t="str">
        <f>IFERROR(IF(F2538&gt;=0,D2538*E2538*(1+F2538/100),ABS(D2538*E2538/F2538)),"")</f>
        <v/>
      </c>
      <c r="H2538" s="42" t="str">
        <f>IFERROR(G2538*E2520,"")</f>
        <v/>
      </c>
    </row>
    <row r="2539" spans="1:11" ht="12.75" customHeight="1" thickTop="1" thickBot="1"/>
    <row r="2540" spans="1:11" ht="12.75" customHeight="1" thickTop="1" thickBot="1">
      <c r="A2540" s="6" t="s">
        <v>851</v>
      </c>
      <c r="B2540" s="7" t="str">
        <f>VLOOKUP($A2540,Presupuesto!$A:$D,2,FALSE())</f>
        <v>Tubería PVC ventilación 1 1/2" + accesorios</v>
      </c>
      <c r="C2540" s="8" t="str">
        <f>VLOOKUP($A2540,Presupuesto!$A:$D,3,FALSE())</f>
        <v>M</v>
      </c>
      <c r="D2540" s="9"/>
      <c r="E2540" s="10">
        <f>VLOOKUP($A2540,Presupuesto!$A:$D,4,FALSE())</f>
        <v>0</v>
      </c>
      <c r="F2540" s="11" t="s">
        <v>2589</v>
      </c>
      <c r="G2540" s="12">
        <f>SUM(G2542:G2558)/2</f>
        <v>16967.859763424996</v>
      </c>
      <c r="H2540" s="13">
        <f>ROUND(SUM(H2542:H2558),0)/2</f>
        <v>0</v>
      </c>
      <c r="I2540" s="10">
        <f>VLOOKUP(A2540,Presupuesto!$A:$F,6,0)</f>
        <v>0</v>
      </c>
      <c r="J2540" s="10">
        <f>+H2540-I2540</f>
        <v>0</v>
      </c>
      <c r="K2540" s="46">
        <f>+H2540-G2540*E2540</f>
        <v>0</v>
      </c>
    </row>
    <row r="2541" spans="1:11" ht="12.75" customHeight="1" thickTop="1">
      <c r="A2541" s="14"/>
      <c r="B2541" s="15" t="s">
        <v>2586</v>
      </c>
      <c r="C2541" s="15" t="s">
        <v>5</v>
      </c>
      <c r="D2541" s="16" t="s">
        <v>6</v>
      </c>
      <c r="E2541" s="17" t="s">
        <v>7</v>
      </c>
      <c r="F2541" s="18" t="s">
        <v>3728</v>
      </c>
      <c r="G2541" s="19" t="s">
        <v>3729</v>
      </c>
      <c r="H2541" s="20" t="s">
        <v>3797</v>
      </c>
    </row>
    <row r="2542" spans="1:11" ht="12.75" customHeight="1">
      <c r="A2542" s="21"/>
      <c r="B2542" s="22" t="s">
        <v>3730</v>
      </c>
      <c r="C2542" s="23"/>
      <c r="D2542" s="24"/>
      <c r="E2542" s="25"/>
      <c r="F2542" s="26"/>
      <c r="G2542" s="27">
        <f>SUM(G2543:G2547)</f>
        <v>12251.9985</v>
      </c>
      <c r="H2542" s="27">
        <f>IFERROR(G2542*E2540,"")</f>
        <v>0</v>
      </c>
    </row>
    <row r="2543" spans="1:11" ht="12.75" customHeight="1">
      <c r="A2543" s="28"/>
      <c r="B2543" s="29" t="s">
        <v>3507</v>
      </c>
      <c r="C2543" s="30" t="str">
        <f>IFERROR(_xlfn.XLOOKUP(B2543,Insumo[DESCRIPCION],Insumo[UND],,0),"")</f>
        <v>M</v>
      </c>
      <c r="D2543" s="31">
        <v>1</v>
      </c>
      <c r="E2543" s="32">
        <f>IFERROR(_xlfn.XLOOKUP($B2543,Insumo[DESCRIPCION],Insumo[VALOR],,0),"")</f>
        <v>10189.200000000001</v>
      </c>
      <c r="F2543" s="33">
        <v>3</v>
      </c>
      <c r="G2543" s="34">
        <f>IFERROR(IF(F2543&gt;=0,D2543*E2543*(1+F2543/100),ABS(D2543*E2543/F2543)),"")</f>
        <v>10494.876</v>
      </c>
      <c r="H2543" s="43">
        <f>IFERROR(G2543*E2540,"")</f>
        <v>0</v>
      </c>
    </row>
    <row r="2544" spans="1:11" ht="12.75" customHeight="1">
      <c r="A2544" s="28"/>
      <c r="B2544" s="29" t="s">
        <v>2647</v>
      </c>
      <c r="C2544" s="30" t="str">
        <f>IFERROR(_xlfn.XLOOKUP(B2544,Insumo[DESCRIPCION],Insumo[UND],,0),"")</f>
        <v>Un</v>
      </c>
      <c r="D2544" s="31">
        <v>0.15</v>
      </c>
      <c r="E2544" s="32">
        <f>IFERROR(_xlfn.XLOOKUP($B2544,Insumo[DESCRIPCION],Insumo[VALOR],,0),"")</f>
        <v>4725</v>
      </c>
      <c r="F2544" s="33"/>
      <c r="G2544" s="34">
        <f>IFERROR(IF(F2544&gt;=0,D2544*E2544*(1+F2544/100),ABS(D2544*E2544/F2544)),"")</f>
        <v>708.75</v>
      </c>
      <c r="H2544" s="43">
        <f>IFERROR(G2544*E2540,"")</f>
        <v>0</v>
      </c>
    </row>
    <row r="2545" spans="1:11" ht="12.75" customHeight="1">
      <c r="A2545" s="28"/>
      <c r="B2545" s="29" t="s">
        <v>3046</v>
      </c>
      <c r="C2545" s="30" t="str">
        <f>IFERROR(_xlfn.XLOOKUP(B2545,Insumo[DESCRIPCION],Insumo[UND],,0),"")</f>
        <v>Un</v>
      </c>
      <c r="D2545" s="31">
        <v>0.01</v>
      </c>
      <c r="E2545" s="32">
        <f>IFERROR(_xlfn.XLOOKUP($B2545,Insumo[DESCRIPCION],Insumo[VALOR],,0),"")</f>
        <v>62413.05</v>
      </c>
      <c r="F2545" s="33"/>
      <c r="G2545" s="34">
        <f>IFERROR(IF(F2545&gt;=0,D2545*E2545*(1+F2545/100),ABS(D2545*E2545/F2545)),"")</f>
        <v>624.1305000000001</v>
      </c>
      <c r="H2545" s="43">
        <f>IFERROR(G2545*E2540,"")</f>
        <v>0</v>
      </c>
    </row>
    <row r="2546" spans="1:11" ht="12.75" customHeight="1">
      <c r="A2546" s="28"/>
      <c r="B2546" s="29" t="s">
        <v>3329</v>
      </c>
      <c r="C2546" s="30" t="str">
        <f>IFERROR(_xlfn.XLOOKUP(B2546,Insumo[DESCRIPCION],Insumo[UND],,0),"")</f>
        <v>Un</v>
      </c>
      <c r="D2546" s="31">
        <v>0.01</v>
      </c>
      <c r="E2546" s="32">
        <f>IFERROR(_xlfn.XLOOKUP($B2546,Insumo[DESCRIPCION],Insumo[VALOR],,0),"")</f>
        <v>42424.200000000004</v>
      </c>
      <c r="F2546" s="33"/>
      <c r="G2546" s="34">
        <f>IFERROR(IF(F2546&gt;=0,D2546*E2546*(1+F2546/100),ABS(D2546*E2546/F2546)),"")</f>
        <v>424.24200000000008</v>
      </c>
      <c r="H2546" s="43">
        <f>IFERROR(G2546*E2540,"")</f>
        <v>0</v>
      </c>
    </row>
    <row r="2547" spans="1:11" ht="12.75" customHeight="1">
      <c r="A2547" s="28"/>
      <c r="B2547" s="29"/>
      <c r="C2547" s="30" t="str">
        <f>IFERROR(_xlfn.XLOOKUP(B2547,Insumo[DESCRIPCION],Insumo[UND],,0),"")</f>
        <v/>
      </c>
      <c r="D2547" s="31"/>
      <c r="E2547" s="32" t="str">
        <f>IFERROR(_xlfn.XLOOKUP($B2547,Insumo[DESCRIPCION],Insumo[VALOR],,0),"")</f>
        <v/>
      </c>
      <c r="F2547" s="33"/>
      <c r="G2547" s="34" t="str">
        <f>IFERROR(IF(F2547&gt;=0,D2547*E2547*(1+F2547/100),ABS(D2547*E2547/F2547)),"")</f>
        <v/>
      </c>
      <c r="H2547" s="43" t="str">
        <f>IFERROR(G2547*E2540,"")</f>
        <v/>
      </c>
    </row>
    <row r="2548" spans="1:11" ht="12.75" customHeight="1">
      <c r="A2548" s="21"/>
      <c r="B2548" s="22" t="s">
        <v>3731</v>
      </c>
      <c r="C2548" s="23"/>
      <c r="D2548" s="24"/>
      <c r="E2548" s="25"/>
      <c r="F2548" s="26"/>
      <c r="G2548" s="27">
        <f>SUM(G2549:G2551)</f>
        <v>224.56482206785719</v>
      </c>
      <c r="H2548" s="44">
        <f>G2548*E2540</f>
        <v>0</v>
      </c>
    </row>
    <row r="2549" spans="1:11" ht="12.75" customHeight="1">
      <c r="A2549" s="28"/>
      <c r="B2549" s="29" t="s">
        <v>3626</v>
      </c>
      <c r="C2549" s="30" t="str">
        <f>IFERROR(_xlfn.XLOOKUP(B2549,Equipo[DESCRIPCION],Equipo[UND],,0),"")</f>
        <v>%MO</v>
      </c>
      <c r="D2549" s="31">
        <v>0.05</v>
      </c>
      <c r="E2549" s="32">
        <f>IF(C2549="%MO",G2555,IFERROR(_xlfn.XLOOKUP($B2549,Equipo[DESCRIPCION],Equipo[VALOR],,0),""))</f>
        <v>4491.2964413571435</v>
      </c>
      <c r="F2549" s="33"/>
      <c r="G2549" s="34">
        <f>IFERROR(IF(F2549&gt;=0,D2549*E2549*(1+F2549/100),ABS(D2549*E2549/F2549)),"")</f>
        <v>224.56482206785719</v>
      </c>
      <c r="H2549" s="43">
        <f>IFERROR(G2549*E2540,"")</f>
        <v>0</v>
      </c>
    </row>
    <row r="2550" spans="1:11" ht="12.75" customHeight="1">
      <c r="A2550" s="28"/>
      <c r="B2550" s="29"/>
      <c r="C2550" s="30" t="str">
        <f>IFERROR(_xlfn.XLOOKUP(B2550,Equipo[DESCRIPCION],Equipo[UND],,0),"")</f>
        <v/>
      </c>
      <c r="D2550" s="31"/>
      <c r="E2550" s="32" t="str">
        <f>IF(C2550="%MO",G2555,IFERROR(_xlfn.XLOOKUP($B2550,Equipo[DESCRIPCION],Equipo[VALOR],,0),""))</f>
        <v/>
      </c>
      <c r="F2550" s="33"/>
      <c r="G2550" s="34" t="str">
        <f>IFERROR(IF(F2550&gt;=0,D2550*E2550*(1+F2550/100),ABS(D2550*E2550/F2550)),"")</f>
        <v/>
      </c>
      <c r="H2550" s="43" t="str">
        <f>IFERROR(G2550*E2540,"")</f>
        <v/>
      </c>
    </row>
    <row r="2551" spans="1:11" ht="12.75" customHeight="1">
      <c r="A2551" s="28"/>
      <c r="B2551" s="29"/>
      <c r="C2551" s="30" t="str">
        <f>IFERROR(_xlfn.XLOOKUP(B2551,Equipo[DESCRIPCION],Equipo[UND],,0),"")</f>
        <v/>
      </c>
      <c r="D2551" s="31"/>
      <c r="E2551" s="32" t="str">
        <f>IF(C2551="%MO",G2555,IFERROR(_xlfn.XLOOKUP($B2551,Equipo[DESCRIPCION],Equipo[VALOR],,0),""))</f>
        <v/>
      </c>
      <c r="F2551" s="33"/>
      <c r="G2551" s="34" t="str">
        <f>IFERROR(IF(F2551&gt;=0,D2551*E2551*(1+F2551/100),ABS(D2551*E2551/F2551)),"")</f>
        <v/>
      </c>
      <c r="H2551" s="43" t="str">
        <f>IFERROR(G2551*E2540,"")</f>
        <v/>
      </c>
    </row>
    <row r="2552" spans="1:11" ht="12.75" customHeight="1">
      <c r="A2552" s="21"/>
      <c r="B2552" s="22" t="s">
        <v>2533</v>
      </c>
      <c r="C2552" s="23"/>
      <c r="D2552" s="24"/>
      <c r="E2552" s="25"/>
      <c r="F2552" s="26"/>
      <c r="G2552" s="27">
        <f>SUM(G2553:G2554)</f>
        <v>0</v>
      </c>
      <c r="H2552" s="44">
        <f>G2552*E2540</f>
        <v>0</v>
      </c>
    </row>
    <row r="2553" spans="1:11" ht="12.75" customHeight="1">
      <c r="A2553" s="28"/>
      <c r="B2553" s="29"/>
      <c r="C2553" s="30" t="str">
        <f>IFERROR(_xlfn.XLOOKUP(B2553,Transporte[DESCRIPCION],Transporte[UND],,0),"")</f>
        <v/>
      </c>
      <c r="D2553" s="31"/>
      <c r="E2553" s="32" t="str">
        <f>IFERROR(_xlfn.XLOOKUP($B2553,Transporte[DESCRIPCION],Transporte[VALOR],,0),"")</f>
        <v/>
      </c>
      <c r="F2553" s="33"/>
      <c r="G2553" s="34" t="str">
        <f>IFERROR(IF(F2553&gt;=0,D2553*E2553*(1+F2553/100),ABS(D2553*E2553/F2553)),"")</f>
        <v/>
      </c>
      <c r="H2553" s="43" t="str">
        <f>IFERROR(G2553*E2540,"")</f>
        <v/>
      </c>
    </row>
    <row r="2554" spans="1:11" ht="12.75" customHeight="1">
      <c r="A2554" s="28"/>
      <c r="B2554" s="29"/>
      <c r="C2554" s="30" t="str">
        <f>IFERROR(_xlfn.XLOOKUP(B2554,Transporte[DESCRIPCION],Transporte[UND],,0),"")</f>
        <v/>
      </c>
      <c r="D2554" s="31"/>
      <c r="E2554" s="32" t="str">
        <f>IFERROR(_xlfn.XLOOKUP($B2554,Transporte[DESCRIPCION],Transporte[VALOR],,0),"")</f>
        <v/>
      </c>
      <c r="F2554" s="33"/>
      <c r="G2554" s="34" t="str">
        <f>IFERROR(IF(F2554&gt;=0,D2554*E2554*(1+F2554/100),ABS(D2554*E2554/F2554)),"")</f>
        <v/>
      </c>
      <c r="H2554" s="43" t="str">
        <f>IFERROR(G2554*E2540,"")</f>
        <v/>
      </c>
    </row>
    <row r="2555" spans="1:11" ht="12.75" customHeight="1">
      <c r="A2555" s="21"/>
      <c r="B2555" s="22" t="s">
        <v>3732</v>
      </c>
      <c r="C2555" s="23"/>
      <c r="D2555" s="24"/>
      <c r="E2555" s="25"/>
      <c r="F2555" s="26"/>
      <c r="G2555" s="27">
        <f>SUM(G2556:G2558)</f>
        <v>4491.2964413571435</v>
      </c>
      <c r="H2555" s="44">
        <f>G2555*E2540</f>
        <v>0</v>
      </c>
    </row>
    <row r="2556" spans="1:11" ht="12.75" customHeight="1">
      <c r="A2556" s="28"/>
      <c r="B2556" s="29" t="s">
        <v>3710</v>
      </c>
      <c r="C2556" s="30" t="str">
        <f>IFERROR(_xlfn.XLOOKUP(B2556,MObra[DESCRIPCION],MObra[UN],,0),"")</f>
        <v>día</v>
      </c>
      <c r="D2556" s="31">
        <v>1</v>
      </c>
      <c r="E2556" s="32">
        <f>IFERROR(_xlfn.XLOOKUP($B2556,MObra[DESCRIPCION],MObra[VALOR UNIT],,0),"")</f>
        <v>314390.75089500006</v>
      </c>
      <c r="F2556" s="33">
        <v>-70</v>
      </c>
      <c r="G2556" s="34">
        <f>IFERROR(IF(F2556&gt;=0,D2556*E2556*(1+F2556/100),ABS(D2556*E2556/F2556)),"")</f>
        <v>4491.2964413571435</v>
      </c>
      <c r="H2556" s="43">
        <f>IFERROR(G2556*E2540,"")</f>
        <v>0</v>
      </c>
    </row>
    <row r="2557" spans="1:11" ht="12.75" customHeight="1">
      <c r="A2557" s="28"/>
      <c r="B2557" s="29"/>
      <c r="C2557" s="30" t="str">
        <f t="array" ref="C2557">IFERROR(_xlfn.XLOOKUP(B2557,MObra[[#All],[DESCRIPCION]],MObra[[#All],[UN]],,0),"")</f>
        <v/>
      </c>
      <c r="D2557" s="31"/>
      <c r="E2557" s="32" t="str">
        <f>IFERROR(_xlfn.XLOOKUP($B2557,MObra[DESCRIPCION],MObra[VALOR UNIT],,0),"")</f>
        <v/>
      </c>
      <c r="F2557" s="33"/>
      <c r="G2557" s="34" t="str">
        <f>IFERROR(IF(F2557&gt;=0,D2557*E2557*(1+F2557/100),ABS(D2557*E2557/F2557)),"")</f>
        <v/>
      </c>
      <c r="H2557" s="43" t="str">
        <f>IFERROR(G2557*E2540,"")</f>
        <v/>
      </c>
    </row>
    <row r="2558" spans="1:11" ht="12.75" customHeight="1" thickBot="1">
      <c r="A2558" s="35"/>
      <c r="B2558" s="36"/>
      <c r="C2558" s="37" t="str">
        <f t="array" ref="C2558">IFERROR(_xlfn.XLOOKUP(B2558,MObra[[#All],[DESCRIPCION]],MObra[[#All],[UN]],,0),"")</f>
        <v/>
      </c>
      <c r="D2558" s="38"/>
      <c r="E2558" s="39" t="str">
        <f>IFERROR(_xlfn.XLOOKUP($B2558,MObra[DESCRIPCION],MObra[VALOR UNIT],,0),"")</f>
        <v/>
      </c>
      <c r="F2558" s="40"/>
      <c r="G2558" s="41" t="str">
        <f>IFERROR(IF(F2558&gt;=0,D2558*E2558*(1+F2558/100),ABS(D2558*E2558/F2558)),"")</f>
        <v/>
      </c>
      <c r="H2558" s="42" t="str">
        <f>IFERROR(G2558*E2540,"")</f>
        <v/>
      </c>
    </row>
    <row r="2559" spans="1:11" ht="12.75" customHeight="1" thickTop="1" thickBot="1"/>
    <row r="2560" spans="1:11" ht="12.75" customHeight="1" thickTop="1" thickBot="1">
      <c r="A2560" s="6" t="s">
        <v>853</v>
      </c>
      <c r="B2560" s="7" t="str">
        <f>VLOOKUP($A2560,Presupuesto!$A:$D,2,FALSE())</f>
        <v>Tubería PVC ventilación 2" + accesorios</v>
      </c>
      <c r="C2560" s="8" t="str">
        <f>VLOOKUP($A2560,Presupuesto!$A:$D,3,FALSE())</f>
        <v>M</v>
      </c>
      <c r="D2560" s="9"/>
      <c r="E2560" s="10">
        <f>VLOOKUP($A2560,Presupuesto!$A:$D,4,FALSE())</f>
        <v>0</v>
      </c>
      <c r="F2560" s="11" t="s">
        <v>2589</v>
      </c>
      <c r="G2560" s="12">
        <f>SUM(G2562:G2578)/2</f>
        <v>21515.640763425003</v>
      </c>
      <c r="H2560" s="13">
        <f>ROUND(SUM(H2562:H2578),0)/2</f>
        <v>0</v>
      </c>
      <c r="I2560" s="10">
        <f>VLOOKUP(A2560,Presupuesto!$A:$F,6,0)</f>
        <v>0</v>
      </c>
      <c r="J2560" s="10">
        <f>+H2560-I2560</f>
        <v>0</v>
      </c>
      <c r="K2560" s="46">
        <f>+H2560-G2560*E2560</f>
        <v>0</v>
      </c>
    </row>
    <row r="2561" spans="1:8" ht="12.75" customHeight="1" thickTop="1">
      <c r="A2561" s="14"/>
      <c r="B2561" s="15" t="s">
        <v>2586</v>
      </c>
      <c r="C2561" s="15" t="s">
        <v>5</v>
      </c>
      <c r="D2561" s="16" t="s">
        <v>6</v>
      </c>
      <c r="E2561" s="17" t="s">
        <v>7</v>
      </c>
      <c r="F2561" s="18" t="s">
        <v>3728</v>
      </c>
      <c r="G2561" s="19" t="s">
        <v>3729</v>
      </c>
      <c r="H2561" s="20" t="s">
        <v>3797</v>
      </c>
    </row>
    <row r="2562" spans="1:8" ht="12.75" customHeight="1">
      <c r="A2562" s="21"/>
      <c r="B2562" s="22" t="s">
        <v>3730</v>
      </c>
      <c r="C2562" s="23"/>
      <c r="D2562" s="24"/>
      <c r="E2562" s="25"/>
      <c r="F2562" s="26"/>
      <c r="G2562" s="27">
        <f>SUM(G2563:G2567)</f>
        <v>16799.779500000001</v>
      </c>
      <c r="H2562" s="27">
        <f>IFERROR(G2562*E2560,"")</f>
        <v>0</v>
      </c>
    </row>
    <row r="2563" spans="1:8" ht="12.75" customHeight="1">
      <c r="A2563" s="28"/>
      <c r="B2563" s="29" t="s">
        <v>3508</v>
      </c>
      <c r="C2563" s="30" t="str">
        <f>IFERROR(_xlfn.XLOOKUP(B2563,Insumo[DESCRIPCION],Insumo[UND],,0),"")</f>
        <v>M</v>
      </c>
      <c r="D2563" s="31">
        <v>1</v>
      </c>
      <c r="E2563" s="32">
        <f>IFERROR(_xlfn.XLOOKUP($B2563,Insumo[DESCRIPCION],Insumo[VALOR],,0),"")</f>
        <v>14482.650000000001</v>
      </c>
      <c r="F2563" s="33">
        <v>3</v>
      </c>
      <c r="G2563" s="34">
        <f>IFERROR(IF(F2563&gt;=0,D2563*E2563*(1+F2563/100),ABS(D2563*E2563/F2563)),"")</f>
        <v>14917.129500000003</v>
      </c>
      <c r="H2563" s="43">
        <f>IFERROR(G2563*E2560,"")</f>
        <v>0</v>
      </c>
    </row>
    <row r="2564" spans="1:8" ht="12.75" customHeight="1">
      <c r="A2564" s="28"/>
      <c r="B2564" s="29" t="s">
        <v>2648</v>
      </c>
      <c r="C2564" s="30" t="str">
        <f>IFERROR(_xlfn.XLOOKUP(B2564,Insumo[DESCRIPCION],Insumo[UND],,0),"")</f>
        <v>Un</v>
      </c>
      <c r="D2564" s="31">
        <v>0.15</v>
      </c>
      <c r="E2564" s="32">
        <f>IFERROR(_xlfn.XLOOKUP($B2564,Insumo[DESCRIPCION],Insumo[VALOR],,0),"")</f>
        <v>5561.85</v>
      </c>
      <c r="F2564" s="33"/>
      <c r="G2564" s="34">
        <f>IFERROR(IF(F2564&gt;=0,D2564*E2564*(1+F2564/100),ABS(D2564*E2564/F2564)),"")</f>
        <v>834.27750000000003</v>
      </c>
      <c r="H2564" s="43">
        <f>IFERROR(G2564*E2560,"")</f>
        <v>0</v>
      </c>
    </row>
    <row r="2565" spans="1:8" ht="12.75" customHeight="1">
      <c r="A2565" s="28"/>
      <c r="B2565" s="29" t="s">
        <v>3046</v>
      </c>
      <c r="C2565" s="30" t="str">
        <f>IFERROR(_xlfn.XLOOKUP(B2565,Insumo[DESCRIPCION],Insumo[UND],,0),"")</f>
        <v>Un</v>
      </c>
      <c r="D2565" s="31">
        <v>0.01</v>
      </c>
      <c r="E2565" s="32">
        <f>IFERROR(_xlfn.XLOOKUP($B2565,Insumo[DESCRIPCION],Insumo[VALOR],,0),"")</f>
        <v>62413.05</v>
      </c>
      <c r="F2565" s="33"/>
      <c r="G2565" s="34">
        <f>IFERROR(IF(F2565&gt;=0,D2565*E2565*(1+F2565/100),ABS(D2565*E2565/F2565)),"")</f>
        <v>624.1305000000001</v>
      </c>
      <c r="H2565" s="43">
        <f>IFERROR(G2565*E2560,"")</f>
        <v>0</v>
      </c>
    </row>
    <row r="2566" spans="1:8" ht="12.75" customHeight="1">
      <c r="A2566" s="28"/>
      <c r="B2566" s="29" t="s">
        <v>3329</v>
      </c>
      <c r="C2566" s="30" t="str">
        <f>IFERROR(_xlfn.XLOOKUP(B2566,Insumo[DESCRIPCION],Insumo[UND],,0),"")</f>
        <v>Un</v>
      </c>
      <c r="D2566" s="31">
        <v>0.01</v>
      </c>
      <c r="E2566" s="32">
        <f>IFERROR(_xlfn.XLOOKUP($B2566,Insumo[DESCRIPCION],Insumo[VALOR],,0),"")</f>
        <v>42424.200000000004</v>
      </c>
      <c r="F2566" s="33"/>
      <c r="G2566" s="34">
        <f>IFERROR(IF(F2566&gt;=0,D2566*E2566*(1+F2566/100),ABS(D2566*E2566/F2566)),"")</f>
        <v>424.24200000000008</v>
      </c>
      <c r="H2566" s="43">
        <f>IFERROR(G2566*E2560,"")</f>
        <v>0</v>
      </c>
    </row>
    <row r="2567" spans="1:8" ht="12.75" customHeight="1">
      <c r="A2567" s="28"/>
      <c r="B2567" s="29"/>
      <c r="C2567" s="30" t="str">
        <f>IFERROR(_xlfn.XLOOKUP(B2567,Insumo[DESCRIPCION],Insumo[UND],,0),"")</f>
        <v/>
      </c>
      <c r="D2567" s="31"/>
      <c r="E2567" s="32" t="str">
        <f>IFERROR(_xlfn.XLOOKUP($B2567,Insumo[DESCRIPCION],Insumo[VALOR],,0),"")</f>
        <v/>
      </c>
      <c r="F2567" s="33"/>
      <c r="G2567" s="34" t="str">
        <f>IFERROR(IF(F2567&gt;=0,D2567*E2567*(1+F2567/100),ABS(D2567*E2567/F2567)),"")</f>
        <v/>
      </c>
      <c r="H2567" s="43" t="str">
        <f>IFERROR(G2567*E2560,"")</f>
        <v/>
      </c>
    </row>
    <row r="2568" spans="1:8" ht="12.75" customHeight="1">
      <c r="A2568" s="21"/>
      <c r="B2568" s="22" t="s">
        <v>3731</v>
      </c>
      <c r="C2568" s="23"/>
      <c r="D2568" s="24"/>
      <c r="E2568" s="25"/>
      <c r="F2568" s="26"/>
      <c r="G2568" s="27">
        <f>SUM(G2569:G2571)</f>
        <v>224.56482206785719</v>
      </c>
      <c r="H2568" s="44">
        <f>G2568*E2560</f>
        <v>0</v>
      </c>
    </row>
    <row r="2569" spans="1:8" ht="12.75" customHeight="1">
      <c r="A2569" s="28"/>
      <c r="B2569" s="29" t="s">
        <v>3626</v>
      </c>
      <c r="C2569" s="30" t="str">
        <f>IFERROR(_xlfn.XLOOKUP(B2569,Equipo[DESCRIPCION],Equipo[UND],,0),"")</f>
        <v>%MO</v>
      </c>
      <c r="D2569" s="31">
        <v>0.05</v>
      </c>
      <c r="E2569" s="32">
        <f>IF(C2569="%MO",G2575,IFERROR(_xlfn.XLOOKUP($B2569,Equipo[DESCRIPCION],Equipo[VALOR],,0),""))</f>
        <v>4491.2964413571435</v>
      </c>
      <c r="F2569" s="33"/>
      <c r="G2569" s="34">
        <f>IFERROR(IF(F2569&gt;=0,D2569*E2569*(1+F2569/100),ABS(D2569*E2569/F2569)),"")</f>
        <v>224.56482206785719</v>
      </c>
      <c r="H2569" s="43">
        <f>IFERROR(G2569*E2560,"")</f>
        <v>0</v>
      </c>
    </row>
    <row r="2570" spans="1:8" ht="12.75" customHeight="1">
      <c r="A2570" s="28"/>
      <c r="B2570" s="29"/>
      <c r="C2570" s="30" t="str">
        <f>IFERROR(_xlfn.XLOOKUP(B2570,Equipo[DESCRIPCION],Equipo[UND],,0),"")</f>
        <v/>
      </c>
      <c r="D2570" s="31"/>
      <c r="E2570" s="32" t="str">
        <f>IF(C2570="%MO",G2575,IFERROR(_xlfn.XLOOKUP($B2570,Equipo[DESCRIPCION],Equipo[VALOR],,0),""))</f>
        <v/>
      </c>
      <c r="F2570" s="33"/>
      <c r="G2570" s="34" t="str">
        <f>IFERROR(IF(F2570&gt;=0,D2570*E2570*(1+F2570/100),ABS(D2570*E2570/F2570)),"")</f>
        <v/>
      </c>
      <c r="H2570" s="43" t="str">
        <f>IFERROR(G2570*E2560,"")</f>
        <v/>
      </c>
    </row>
    <row r="2571" spans="1:8" ht="12.75" customHeight="1">
      <c r="A2571" s="28"/>
      <c r="B2571" s="29"/>
      <c r="C2571" s="30" t="str">
        <f>IFERROR(_xlfn.XLOOKUP(B2571,Equipo[DESCRIPCION],Equipo[UND],,0),"")</f>
        <v/>
      </c>
      <c r="D2571" s="31"/>
      <c r="E2571" s="32" t="str">
        <f>IF(C2571="%MO",G2575,IFERROR(_xlfn.XLOOKUP($B2571,Equipo[DESCRIPCION],Equipo[VALOR],,0),""))</f>
        <v/>
      </c>
      <c r="F2571" s="33"/>
      <c r="G2571" s="34" t="str">
        <f>IFERROR(IF(F2571&gt;=0,D2571*E2571*(1+F2571/100),ABS(D2571*E2571/F2571)),"")</f>
        <v/>
      </c>
      <c r="H2571" s="43" t="str">
        <f>IFERROR(G2571*E2560,"")</f>
        <v/>
      </c>
    </row>
    <row r="2572" spans="1:8" ht="12.75" customHeight="1">
      <c r="A2572" s="21"/>
      <c r="B2572" s="22" t="s">
        <v>2533</v>
      </c>
      <c r="C2572" s="23"/>
      <c r="D2572" s="24"/>
      <c r="E2572" s="25"/>
      <c r="F2572" s="26"/>
      <c r="G2572" s="27">
        <f>SUM(G2573:G2574)</f>
        <v>0</v>
      </c>
      <c r="H2572" s="44">
        <f>G2572*E2560</f>
        <v>0</v>
      </c>
    </row>
    <row r="2573" spans="1:8" ht="12.75" customHeight="1">
      <c r="A2573" s="28"/>
      <c r="B2573" s="29"/>
      <c r="C2573" s="30" t="str">
        <f>IFERROR(_xlfn.XLOOKUP(B2573,Transporte[DESCRIPCION],Transporte[UND],,0),"")</f>
        <v/>
      </c>
      <c r="D2573" s="31"/>
      <c r="E2573" s="32" t="str">
        <f>IFERROR(_xlfn.XLOOKUP($B2573,Transporte[DESCRIPCION],Transporte[VALOR],,0),"")</f>
        <v/>
      </c>
      <c r="F2573" s="33"/>
      <c r="G2573" s="34" t="str">
        <f>IFERROR(IF(F2573&gt;=0,D2573*E2573*(1+F2573/100),ABS(D2573*E2573/F2573)),"")</f>
        <v/>
      </c>
      <c r="H2573" s="43" t="str">
        <f>IFERROR(G2573*E2560,"")</f>
        <v/>
      </c>
    </row>
    <row r="2574" spans="1:8" ht="12.75" customHeight="1">
      <c r="A2574" s="28"/>
      <c r="B2574" s="29"/>
      <c r="C2574" s="30" t="str">
        <f>IFERROR(_xlfn.XLOOKUP(B2574,Transporte[DESCRIPCION],Transporte[UND],,0),"")</f>
        <v/>
      </c>
      <c r="D2574" s="31"/>
      <c r="E2574" s="32" t="str">
        <f>IFERROR(_xlfn.XLOOKUP($B2574,Transporte[DESCRIPCION],Transporte[VALOR],,0),"")</f>
        <v/>
      </c>
      <c r="F2574" s="33"/>
      <c r="G2574" s="34" t="str">
        <f>IFERROR(IF(F2574&gt;=0,D2574*E2574*(1+F2574/100),ABS(D2574*E2574/F2574)),"")</f>
        <v/>
      </c>
      <c r="H2574" s="43" t="str">
        <f>IFERROR(G2574*E2560,"")</f>
        <v/>
      </c>
    </row>
    <row r="2575" spans="1:8" ht="12.75" customHeight="1">
      <c r="A2575" s="21"/>
      <c r="B2575" s="22" t="s">
        <v>3732</v>
      </c>
      <c r="C2575" s="23"/>
      <c r="D2575" s="24"/>
      <c r="E2575" s="25"/>
      <c r="F2575" s="26"/>
      <c r="G2575" s="27">
        <f>SUM(G2576:G2578)</f>
        <v>4491.2964413571435</v>
      </c>
      <c r="H2575" s="44">
        <f>G2575*E2560</f>
        <v>0</v>
      </c>
    </row>
    <row r="2576" spans="1:8" ht="12.75" customHeight="1">
      <c r="A2576" s="28"/>
      <c r="B2576" s="29" t="s">
        <v>3710</v>
      </c>
      <c r="C2576" s="30" t="str">
        <f>IFERROR(_xlfn.XLOOKUP(B2576,MObra[DESCRIPCION],MObra[UN],,0),"")</f>
        <v>día</v>
      </c>
      <c r="D2576" s="31">
        <v>1</v>
      </c>
      <c r="E2576" s="32">
        <f>IFERROR(_xlfn.XLOOKUP($B2576,MObra[DESCRIPCION],MObra[VALOR UNIT],,0),"")</f>
        <v>314390.75089500006</v>
      </c>
      <c r="F2576" s="33">
        <v>-70</v>
      </c>
      <c r="G2576" s="34">
        <f>IFERROR(IF(F2576&gt;=0,D2576*E2576*(1+F2576/100),ABS(D2576*E2576/F2576)),"")</f>
        <v>4491.2964413571435</v>
      </c>
      <c r="H2576" s="43">
        <f>IFERROR(G2576*E2560,"")</f>
        <v>0</v>
      </c>
    </row>
    <row r="2577" spans="1:11" ht="12.75" customHeight="1">
      <c r="A2577" s="28"/>
      <c r="B2577" s="29"/>
      <c r="C2577" s="30" t="str">
        <f t="array" ref="C2577">IFERROR(_xlfn.XLOOKUP(B2577,MObra[[#All],[DESCRIPCION]],MObra[[#All],[UN]],,0),"")</f>
        <v/>
      </c>
      <c r="D2577" s="31"/>
      <c r="E2577" s="32" t="str">
        <f>IFERROR(_xlfn.XLOOKUP($B2577,MObra[DESCRIPCION],MObra[VALOR UNIT],,0),"")</f>
        <v/>
      </c>
      <c r="F2577" s="33"/>
      <c r="G2577" s="34" t="str">
        <f>IFERROR(IF(F2577&gt;=0,D2577*E2577*(1+F2577/100),ABS(D2577*E2577/F2577)),"")</f>
        <v/>
      </c>
      <c r="H2577" s="43" t="str">
        <f>IFERROR(G2577*E2560,"")</f>
        <v/>
      </c>
    </row>
    <row r="2578" spans="1:11" ht="12.75" customHeight="1" thickBot="1">
      <c r="A2578" s="35"/>
      <c r="B2578" s="36"/>
      <c r="C2578" s="37" t="str">
        <f t="array" ref="C2578">IFERROR(_xlfn.XLOOKUP(B2578,MObra[[#All],[DESCRIPCION]],MObra[[#All],[UN]],,0),"")</f>
        <v/>
      </c>
      <c r="D2578" s="38"/>
      <c r="E2578" s="39" t="str">
        <f>IFERROR(_xlfn.XLOOKUP($B2578,MObra[DESCRIPCION],MObra[VALOR UNIT],,0),"")</f>
        <v/>
      </c>
      <c r="F2578" s="40"/>
      <c r="G2578" s="41" t="str">
        <f>IFERROR(IF(F2578&gt;=0,D2578*E2578*(1+F2578/100),ABS(D2578*E2578/F2578)),"")</f>
        <v/>
      </c>
      <c r="H2578" s="42" t="str">
        <f>IFERROR(G2578*E2560,"")</f>
        <v/>
      </c>
    </row>
    <row r="2579" spans="1:11" ht="12.75" customHeight="1" thickTop="1" thickBot="1"/>
    <row r="2580" spans="1:11" ht="12.75" customHeight="1" thickTop="1" thickBot="1">
      <c r="A2580" s="6" t="s">
        <v>855</v>
      </c>
      <c r="B2580" s="7" t="str">
        <f>VLOOKUP($A2580,Presupuesto!$A:$D,2,FALSE())</f>
        <v>Tubería PVC ventilación 3" + accesorios</v>
      </c>
      <c r="C2580" s="8" t="str">
        <f>VLOOKUP($A2580,Presupuesto!$A:$D,3,FALSE())</f>
        <v>M</v>
      </c>
      <c r="D2580" s="9"/>
      <c r="E2580" s="10">
        <f>VLOOKUP($A2580,Presupuesto!$A:$D,4,FALSE())</f>
        <v>0</v>
      </c>
      <c r="F2580" s="11" t="s">
        <v>2589</v>
      </c>
      <c r="G2580" s="12">
        <f>SUM(G2582:G2598)/2</f>
        <v>27998.187822150001</v>
      </c>
      <c r="H2580" s="13">
        <f>ROUND(SUM(H2582:H2598),0)/2</f>
        <v>0</v>
      </c>
      <c r="I2580" s="10">
        <f>VLOOKUP(A2580,Presupuesto!$A:$F,6,0)</f>
        <v>0</v>
      </c>
      <c r="J2580" s="10">
        <f>+H2580-I2580</f>
        <v>0</v>
      </c>
      <c r="K2580" s="46">
        <f>+H2580-G2580*E2580</f>
        <v>0</v>
      </c>
    </row>
    <row r="2581" spans="1:11" ht="12.75" customHeight="1" thickTop="1">
      <c r="A2581" s="14"/>
      <c r="B2581" s="15" t="s">
        <v>2586</v>
      </c>
      <c r="C2581" s="15" t="s">
        <v>5</v>
      </c>
      <c r="D2581" s="16" t="s">
        <v>6</v>
      </c>
      <c r="E2581" s="17" t="s">
        <v>7</v>
      </c>
      <c r="F2581" s="18" t="s">
        <v>3728</v>
      </c>
      <c r="G2581" s="19" t="s">
        <v>3729</v>
      </c>
      <c r="H2581" s="20" t="s">
        <v>3797</v>
      </c>
    </row>
    <row r="2582" spans="1:11" ht="12.75" customHeight="1">
      <c r="A2582" s="21"/>
      <c r="B2582" s="22" t="s">
        <v>3730</v>
      </c>
      <c r="C2582" s="23"/>
      <c r="D2582" s="24"/>
      <c r="E2582" s="25"/>
      <c r="F2582" s="26"/>
      <c r="G2582" s="27">
        <f>SUM(G2583:G2587)</f>
        <v>22919.567999999999</v>
      </c>
      <c r="H2582" s="27">
        <f>IFERROR(G2582*E2580,"")</f>
        <v>0</v>
      </c>
    </row>
    <row r="2583" spans="1:11" ht="12.75" customHeight="1">
      <c r="A2583" s="28"/>
      <c r="B2583" s="29" t="s">
        <v>3509</v>
      </c>
      <c r="C2583" s="30" t="str">
        <f>IFERROR(_xlfn.XLOOKUP(B2583,Insumo[DESCRIPCION],Insumo[UND],,0),"")</f>
        <v>M</v>
      </c>
      <c r="D2583" s="31">
        <v>1</v>
      </c>
      <c r="E2583" s="32">
        <f>IFERROR(_xlfn.XLOOKUP($B2583,Insumo[DESCRIPCION],Insumo[VALOR],,0),"")</f>
        <v>19358.850000000002</v>
      </c>
      <c r="F2583" s="33">
        <v>3</v>
      </c>
      <c r="G2583" s="34">
        <f>IFERROR(IF(F2583&gt;=0,D2583*E2583*(1+F2583/100),ABS(D2583*E2583/F2583)),"")</f>
        <v>19939.615500000004</v>
      </c>
      <c r="H2583" s="43">
        <f>IFERROR(G2583*E2580,"")</f>
        <v>0</v>
      </c>
    </row>
    <row r="2584" spans="1:11" ht="12.75" customHeight="1">
      <c r="A2584" s="28"/>
      <c r="B2584" s="29" t="s">
        <v>2649</v>
      </c>
      <c r="C2584" s="30" t="str">
        <f>IFERROR(_xlfn.XLOOKUP(B2584,Insumo[DESCRIPCION],Insumo[UND],,0),"")</f>
        <v>Un</v>
      </c>
      <c r="D2584" s="31">
        <v>0.15</v>
      </c>
      <c r="E2584" s="32">
        <f>IFERROR(_xlfn.XLOOKUP($B2584,Insumo[DESCRIPCION],Insumo[VALOR],,0),"")</f>
        <v>12877.2</v>
      </c>
      <c r="F2584" s="33"/>
      <c r="G2584" s="34">
        <f>IFERROR(IF(F2584&gt;=0,D2584*E2584*(1+F2584/100),ABS(D2584*E2584/F2584)),"")</f>
        <v>1931.58</v>
      </c>
      <c r="H2584" s="43">
        <f>IFERROR(G2584*E2580,"")</f>
        <v>0</v>
      </c>
    </row>
    <row r="2585" spans="1:11" ht="12.75" customHeight="1">
      <c r="A2585" s="28"/>
      <c r="B2585" s="29" t="s">
        <v>3046</v>
      </c>
      <c r="C2585" s="30" t="str">
        <f>IFERROR(_xlfn.XLOOKUP(B2585,Insumo[DESCRIPCION],Insumo[UND],,0),"")</f>
        <v>Un</v>
      </c>
      <c r="D2585" s="31">
        <v>0.01</v>
      </c>
      <c r="E2585" s="32">
        <f>IFERROR(_xlfn.XLOOKUP($B2585,Insumo[DESCRIPCION],Insumo[VALOR],,0),"")</f>
        <v>62413.05</v>
      </c>
      <c r="F2585" s="33"/>
      <c r="G2585" s="34">
        <f>IFERROR(IF(F2585&gt;=0,D2585*E2585*(1+F2585/100),ABS(D2585*E2585/F2585)),"")</f>
        <v>624.1305000000001</v>
      </c>
      <c r="H2585" s="43">
        <f>IFERROR(G2585*E2580,"")</f>
        <v>0</v>
      </c>
    </row>
    <row r="2586" spans="1:11" ht="12.75" customHeight="1">
      <c r="A2586" s="28"/>
      <c r="B2586" s="29" t="s">
        <v>3329</v>
      </c>
      <c r="C2586" s="30" t="str">
        <f>IFERROR(_xlfn.XLOOKUP(B2586,Insumo[DESCRIPCION],Insumo[UND],,0),"")</f>
        <v>Un</v>
      </c>
      <c r="D2586" s="31">
        <v>0.01</v>
      </c>
      <c r="E2586" s="32">
        <f>IFERROR(_xlfn.XLOOKUP($B2586,Insumo[DESCRIPCION],Insumo[VALOR],,0),"")</f>
        <v>42424.200000000004</v>
      </c>
      <c r="F2586" s="33"/>
      <c r="G2586" s="34">
        <f>IFERROR(IF(F2586&gt;=0,D2586*E2586*(1+F2586/100),ABS(D2586*E2586/F2586)),"")</f>
        <v>424.24200000000008</v>
      </c>
      <c r="H2586" s="43">
        <f>IFERROR(G2586*E2580,"")</f>
        <v>0</v>
      </c>
    </row>
    <row r="2587" spans="1:11" ht="12.75" customHeight="1">
      <c r="A2587" s="28"/>
      <c r="B2587" s="29"/>
      <c r="C2587" s="30" t="str">
        <f>IFERROR(_xlfn.XLOOKUP(B2587,Insumo[DESCRIPCION],Insumo[UND],,0),"")</f>
        <v/>
      </c>
      <c r="D2587" s="31"/>
      <c r="E2587" s="32" t="str">
        <f>IFERROR(_xlfn.XLOOKUP($B2587,Insumo[DESCRIPCION],Insumo[VALOR],,0),"")</f>
        <v/>
      </c>
      <c r="F2587" s="33"/>
      <c r="G2587" s="34" t="str">
        <f>IFERROR(IF(F2587&gt;=0,D2587*E2587*(1+F2587/100),ABS(D2587*E2587/F2587)),"")</f>
        <v/>
      </c>
      <c r="H2587" s="43" t="str">
        <f>IFERROR(G2587*E2580,"")</f>
        <v/>
      </c>
    </row>
    <row r="2588" spans="1:11" ht="12.75" customHeight="1">
      <c r="A2588" s="21"/>
      <c r="B2588" s="22" t="s">
        <v>3731</v>
      </c>
      <c r="C2588" s="23"/>
      <c r="D2588" s="24"/>
      <c r="E2588" s="25"/>
      <c r="F2588" s="26"/>
      <c r="G2588" s="27">
        <f>SUM(G2589:G2591)</f>
        <v>241.83903915000008</v>
      </c>
      <c r="H2588" s="44">
        <f>G2588*E2580</f>
        <v>0</v>
      </c>
    </row>
    <row r="2589" spans="1:11" ht="12.75" customHeight="1">
      <c r="A2589" s="28"/>
      <c r="B2589" s="29" t="s">
        <v>3626</v>
      </c>
      <c r="C2589" s="30" t="str">
        <f>IFERROR(_xlfn.XLOOKUP(B2589,Equipo[DESCRIPCION],Equipo[UND],,0),"")</f>
        <v>%MO</v>
      </c>
      <c r="D2589" s="31">
        <v>0.05</v>
      </c>
      <c r="E2589" s="32">
        <f>IF(C2589="%MO",G2595,IFERROR(_xlfn.XLOOKUP($B2589,Equipo[DESCRIPCION],Equipo[VALOR],,0),""))</f>
        <v>4836.7807830000011</v>
      </c>
      <c r="F2589" s="33"/>
      <c r="G2589" s="34">
        <f>IFERROR(IF(F2589&gt;=0,D2589*E2589*(1+F2589/100),ABS(D2589*E2589/F2589)),"")</f>
        <v>241.83903915000008</v>
      </c>
      <c r="H2589" s="43">
        <f>IFERROR(G2589*E2580,"")</f>
        <v>0</v>
      </c>
    </row>
    <row r="2590" spans="1:11" ht="12.75" customHeight="1">
      <c r="A2590" s="28"/>
      <c r="B2590" s="29"/>
      <c r="C2590" s="30" t="str">
        <f>IFERROR(_xlfn.XLOOKUP(B2590,Equipo[DESCRIPCION],Equipo[UND],,0),"")</f>
        <v/>
      </c>
      <c r="D2590" s="31"/>
      <c r="E2590" s="32" t="str">
        <f>IF(C2590="%MO",G2595,IFERROR(_xlfn.XLOOKUP($B2590,Equipo[DESCRIPCION],Equipo[VALOR],,0),""))</f>
        <v/>
      </c>
      <c r="F2590" s="33"/>
      <c r="G2590" s="34" t="str">
        <f>IFERROR(IF(F2590&gt;=0,D2590*E2590*(1+F2590/100),ABS(D2590*E2590/F2590)),"")</f>
        <v/>
      </c>
      <c r="H2590" s="43" t="str">
        <f>IFERROR(G2590*E2580,"")</f>
        <v/>
      </c>
    </row>
    <row r="2591" spans="1:11" ht="12.75" customHeight="1">
      <c r="A2591" s="28"/>
      <c r="B2591" s="29"/>
      <c r="C2591" s="30" t="str">
        <f>IFERROR(_xlfn.XLOOKUP(B2591,Equipo[DESCRIPCION],Equipo[UND],,0),"")</f>
        <v/>
      </c>
      <c r="D2591" s="31"/>
      <c r="E2591" s="32" t="str">
        <f>IF(C2591="%MO",G2595,IFERROR(_xlfn.XLOOKUP($B2591,Equipo[DESCRIPCION],Equipo[VALOR],,0),""))</f>
        <v/>
      </c>
      <c r="F2591" s="33"/>
      <c r="G2591" s="34" t="str">
        <f>IFERROR(IF(F2591&gt;=0,D2591*E2591*(1+F2591/100),ABS(D2591*E2591/F2591)),"")</f>
        <v/>
      </c>
      <c r="H2591" s="43" t="str">
        <f>IFERROR(G2591*E2580,"")</f>
        <v/>
      </c>
    </row>
    <row r="2592" spans="1:11" ht="12.75" customHeight="1">
      <c r="A2592" s="21"/>
      <c r="B2592" s="22" t="s">
        <v>2533</v>
      </c>
      <c r="C2592" s="23"/>
      <c r="D2592" s="24"/>
      <c r="E2592" s="25"/>
      <c r="F2592" s="26"/>
      <c r="G2592" s="27">
        <f>SUM(G2593:G2594)</f>
        <v>0</v>
      </c>
      <c r="H2592" s="44">
        <f>G2592*E2580</f>
        <v>0</v>
      </c>
    </row>
    <row r="2593" spans="1:11" ht="12.75" customHeight="1">
      <c r="A2593" s="28"/>
      <c r="B2593" s="29"/>
      <c r="C2593" s="30" t="str">
        <f>IFERROR(_xlfn.XLOOKUP(B2593,Transporte[DESCRIPCION],Transporte[UND],,0),"")</f>
        <v/>
      </c>
      <c r="D2593" s="31"/>
      <c r="E2593" s="32" t="str">
        <f>IFERROR(_xlfn.XLOOKUP($B2593,Transporte[DESCRIPCION],Transporte[VALOR],,0),"")</f>
        <v/>
      </c>
      <c r="F2593" s="33"/>
      <c r="G2593" s="34" t="str">
        <f>IFERROR(IF(F2593&gt;=0,D2593*E2593*(1+F2593/100),ABS(D2593*E2593/F2593)),"")</f>
        <v/>
      </c>
      <c r="H2593" s="43" t="str">
        <f>IFERROR(G2593*E2580,"")</f>
        <v/>
      </c>
    </row>
    <row r="2594" spans="1:11" ht="12.75" customHeight="1">
      <c r="A2594" s="28"/>
      <c r="B2594" s="29"/>
      <c r="C2594" s="30" t="str">
        <f>IFERROR(_xlfn.XLOOKUP(B2594,Transporte[DESCRIPCION],Transporte[UND],,0),"")</f>
        <v/>
      </c>
      <c r="D2594" s="31"/>
      <c r="E2594" s="32" t="str">
        <f>IFERROR(_xlfn.XLOOKUP($B2594,Transporte[DESCRIPCION],Transporte[VALOR],,0),"")</f>
        <v/>
      </c>
      <c r="F2594" s="33"/>
      <c r="G2594" s="34" t="str">
        <f>IFERROR(IF(F2594&gt;=0,D2594*E2594*(1+F2594/100),ABS(D2594*E2594/F2594)),"")</f>
        <v/>
      </c>
      <c r="H2594" s="43" t="str">
        <f>IFERROR(G2594*E2580,"")</f>
        <v/>
      </c>
    </row>
    <row r="2595" spans="1:11" ht="12.75" customHeight="1">
      <c r="A2595" s="21"/>
      <c r="B2595" s="22" t="s">
        <v>3732</v>
      </c>
      <c r="C2595" s="23"/>
      <c r="D2595" s="24"/>
      <c r="E2595" s="25"/>
      <c r="F2595" s="26"/>
      <c r="G2595" s="27">
        <f>SUM(G2596:G2598)</f>
        <v>4836.7807830000011</v>
      </c>
      <c r="H2595" s="44">
        <f>G2595*E2580</f>
        <v>0</v>
      </c>
    </row>
    <row r="2596" spans="1:11" ht="12.75" customHeight="1">
      <c r="A2596" s="28"/>
      <c r="B2596" s="29" t="s">
        <v>3710</v>
      </c>
      <c r="C2596" s="30" t="str">
        <f>IFERROR(_xlfn.XLOOKUP(B2596,MObra[DESCRIPCION],MObra[UN],,0),"")</f>
        <v>día</v>
      </c>
      <c r="D2596" s="31">
        <v>1</v>
      </c>
      <c r="E2596" s="32">
        <f>IFERROR(_xlfn.XLOOKUP($B2596,MObra[DESCRIPCION],MObra[VALOR UNIT],,0),"")</f>
        <v>314390.75089500006</v>
      </c>
      <c r="F2596" s="33">
        <v>-65</v>
      </c>
      <c r="G2596" s="34">
        <f>IFERROR(IF(F2596&gt;=0,D2596*E2596*(1+F2596/100),ABS(D2596*E2596/F2596)),"")</f>
        <v>4836.7807830000011</v>
      </c>
      <c r="H2596" s="43">
        <f>IFERROR(G2596*E2580,"")</f>
        <v>0</v>
      </c>
    </row>
    <row r="2597" spans="1:11" ht="12.75" customHeight="1">
      <c r="A2597" s="28"/>
      <c r="B2597" s="29"/>
      <c r="C2597" s="30" t="str">
        <f t="array" ref="C2597">IFERROR(_xlfn.XLOOKUP(B2597,MObra[[#All],[DESCRIPCION]],MObra[[#All],[UN]],,0),"")</f>
        <v/>
      </c>
      <c r="D2597" s="31"/>
      <c r="E2597" s="32" t="str">
        <f>IFERROR(_xlfn.XLOOKUP($B2597,MObra[DESCRIPCION],MObra[VALOR UNIT],,0),"")</f>
        <v/>
      </c>
      <c r="F2597" s="33"/>
      <c r="G2597" s="34" t="str">
        <f>IFERROR(IF(F2597&gt;=0,D2597*E2597*(1+F2597/100),ABS(D2597*E2597/F2597)),"")</f>
        <v/>
      </c>
      <c r="H2597" s="43" t="str">
        <f>IFERROR(G2597*E2580,"")</f>
        <v/>
      </c>
    </row>
    <row r="2598" spans="1:11" ht="12.75" customHeight="1" thickBot="1">
      <c r="A2598" s="35"/>
      <c r="B2598" s="36"/>
      <c r="C2598" s="37" t="str">
        <f t="array" ref="C2598">IFERROR(_xlfn.XLOOKUP(B2598,MObra[[#All],[DESCRIPCION]],MObra[[#All],[UN]],,0),"")</f>
        <v/>
      </c>
      <c r="D2598" s="38"/>
      <c r="E2598" s="39" t="str">
        <f>IFERROR(_xlfn.XLOOKUP($B2598,MObra[DESCRIPCION],MObra[VALOR UNIT],,0),"")</f>
        <v/>
      </c>
      <c r="F2598" s="40"/>
      <c r="G2598" s="41" t="str">
        <f>IFERROR(IF(F2598&gt;=0,D2598*E2598*(1+F2598/100),ABS(D2598*E2598/F2598)),"")</f>
        <v/>
      </c>
      <c r="H2598" s="42" t="str">
        <f>IFERROR(G2598*E2580,"")</f>
        <v/>
      </c>
    </row>
    <row r="2599" spans="1:11" ht="12.75" customHeight="1" thickTop="1" thickBot="1"/>
    <row r="2600" spans="1:11" ht="12.75" customHeight="1" thickTop="1" thickBot="1">
      <c r="A2600" s="6" t="s">
        <v>857</v>
      </c>
      <c r="B2600" s="7" t="str">
        <f>VLOOKUP($A2600,Presupuesto!$A:$D,2,FALSE())</f>
        <v>Tubería PVC ventilación 4" + accesorios</v>
      </c>
      <c r="C2600" s="8" t="str">
        <f>VLOOKUP($A2600,Presupuesto!$A:$D,3,FALSE())</f>
        <v>M</v>
      </c>
      <c r="D2600" s="9"/>
      <c r="E2600" s="10">
        <f>VLOOKUP($A2600,Presupuesto!$A:$D,4,FALSE())</f>
        <v>0</v>
      </c>
      <c r="F2600" s="11" t="s">
        <v>2589</v>
      </c>
      <c r="G2600" s="12">
        <f>SUM(G2602:G2618)/2</f>
        <v>43354.931322149991</v>
      </c>
      <c r="H2600" s="13">
        <f>ROUND(SUM(H2602:H2618),0)/2</f>
        <v>0</v>
      </c>
      <c r="I2600" s="10">
        <f>VLOOKUP(A2600,Presupuesto!$A:$F,6,0)</f>
        <v>0</v>
      </c>
      <c r="J2600" s="10">
        <f>+H2600-I2600</f>
        <v>0</v>
      </c>
      <c r="K2600" s="46">
        <f>+H2600-G2600*E2600</f>
        <v>0</v>
      </c>
    </row>
    <row r="2601" spans="1:11" ht="12.75" customHeight="1" thickTop="1">
      <c r="A2601" s="14"/>
      <c r="B2601" s="15" t="s">
        <v>2586</v>
      </c>
      <c r="C2601" s="15" t="s">
        <v>5</v>
      </c>
      <c r="D2601" s="16" t="s">
        <v>6</v>
      </c>
      <c r="E2601" s="17" t="s">
        <v>7</v>
      </c>
      <c r="F2601" s="18" t="s">
        <v>3728</v>
      </c>
      <c r="G2601" s="19" t="s">
        <v>3729</v>
      </c>
      <c r="H2601" s="20" t="s">
        <v>3797</v>
      </c>
    </row>
    <row r="2602" spans="1:11" ht="12.75" customHeight="1">
      <c r="A2602" s="21"/>
      <c r="B2602" s="22" t="s">
        <v>3730</v>
      </c>
      <c r="C2602" s="23"/>
      <c r="D2602" s="24"/>
      <c r="E2602" s="25"/>
      <c r="F2602" s="26"/>
      <c r="G2602" s="27">
        <f>SUM(G2603:G2607)</f>
        <v>38276.311500000003</v>
      </c>
      <c r="H2602" s="27">
        <f>IFERROR(G2602*E2600,"")</f>
        <v>0</v>
      </c>
    </row>
    <row r="2603" spans="1:11" ht="12.75" customHeight="1">
      <c r="A2603" s="28"/>
      <c r="B2603" s="29" t="s">
        <v>3510</v>
      </c>
      <c r="C2603" s="30" t="str">
        <f>IFERROR(_xlfn.XLOOKUP(B2603,Insumo[DESCRIPCION],Insumo[UND],,0),"")</f>
        <v>M</v>
      </c>
      <c r="D2603" s="31">
        <v>1</v>
      </c>
      <c r="E2603" s="32">
        <f>IFERROR(_xlfn.XLOOKUP($B2603,Insumo[DESCRIPCION],Insumo[VALOR],,0),"")</f>
        <v>32902.800000000003</v>
      </c>
      <c r="F2603" s="33">
        <v>3</v>
      </c>
      <c r="G2603" s="34">
        <f>IFERROR(IF(F2603&gt;=0,D2603*E2603*(1+F2603/100),ABS(D2603*E2603/F2603)),"")</f>
        <v>33889.884000000005</v>
      </c>
      <c r="H2603" s="43">
        <f>IFERROR(G2603*E2600,"")</f>
        <v>0</v>
      </c>
    </row>
    <row r="2604" spans="1:11" ht="12.75" customHeight="1">
      <c r="A2604" s="28"/>
      <c r="B2604" s="29" t="s">
        <v>2650</v>
      </c>
      <c r="C2604" s="30" t="str">
        <f>IFERROR(_xlfn.XLOOKUP(B2604,Insumo[DESCRIPCION],Insumo[UND],,0),"")</f>
        <v>Un</v>
      </c>
      <c r="D2604" s="31">
        <v>0.15</v>
      </c>
      <c r="E2604" s="32">
        <f>IFERROR(_xlfn.XLOOKUP($B2604,Insumo[DESCRIPCION],Insumo[VALOR],,0),"")</f>
        <v>22253.7</v>
      </c>
      <c r="F2604" s="33"/>
      <c r="G2604" s="34">
        <f>IFERROR(IF(F2604&gt;=0,D2604*E2604*(1+F2604/100),ABS(D2604*E2604/F2604)),"")</f>
        <v>3338.0549999999998</v>
      </c>
      <c r="H2604" s="43">
        <f>IFERROR(G2604*E2600,"")</f>
        <v>0</v>
      </c>
    </row>
    <row r="2605" spans="1:11" ht="12.75" customHeight="1">
      <c r="A2605" s="28"/>
      <c r="B2605" s="29" t="s">
        <v>3046</v>
      </c>
      <c r="C2605" s="30" t="str">
        <f>IFERROR(_xlfn.XLOOKUP(B2605,Insumo[DESCRIPCION],Insumo[UND],,0),"")</f>
        <v>Un</v>
      </c>
      <c r="D2605" s="31">
        <v>0.01</v>
      </c>
      <c r="E2605" s="32">
        <f>IFERROR(_xlfn.XLOOKUP($B2605,Insumo[DESCRIPCION],Insumo[VALOR],,0),"")</f>
        <v>62413.05</v>
      </c>
      <c r="F2605" s="33"/>
      <c r="G2605" s="34">
        <f>IFERROR(IF(F2605&gt;=0,D2605*E2605*(1+F2605/100),ABS(D2605*E2605/F2605)),"")</f>
        <v>624.1305000000001</v>
      </c>
      <c r="H2605" s="43">
        <f>IFERROR(G2605*E2600,"")</f>
        <v>0</v>
      </c>
    </row>
    <row r="2606" spans="1:11" ht="12.75" customHeight="1">
      <c r="A2606" s="28"/>
      <c r="B2606" s="29" t="s">
        <v>3329</v>
      </c>
      <c r="C2606" s="30" t="str">
        <f>IFERROR(_xlfn.XLOOKUP(B2606,Insumo[DESCRIPCION],Insumo[UND],,0),"")</f>
        <v>Un</v>
      </c>
      <c r="D2606" s="31">
        <v>0.01</v>
      </c>
      <c r="E2606" s="32">
        <f>IFERROR(_xlfn.XLOOKUP($B2606,Insumo[DESCRIPCION],Insumo[VALOR],,0),"")</f>
        <v>42424.200000000004</v>
      </c>
      <c r="F2606" s="33"/>
      <c r="G2606" s="34">
        <f>IFERROR(IF(F2606&gt;=0,D2606*E2606*(1+F2606/100),ABS(D2606*E2606/F2606)),"")</f>
        <v>424.24200000000008</v>
      </c>
      <c r="H2606" s="43">
        <f>IFERROR(G2606*E2600,"")</f>
        <v>0</v>
      </c>
    </row>
    <row r="2607" spans="1:11" ht="12.75" customHeight="1">
      <c r="A2607" s="28"/>
      <c r="B2607" s="29"/>
      <c r="C2607" s="30" t="str">
        <f>IFERROR(_xlfn.XLOOKUP(B2607,Insumo[DESCRIPCION],Insumo[UND],,0),"")</f>
        <v/>
      </c>
      <c r="D2607" s="31"/>
      <c r="E2607" s="32" t="str">
        <f>IFERROR(_xlfn.XLOOKUP($B2607,Insumo[DESCRIPCION],Insumo[VALOR],,0),"")</f>
        <v/>
      </c>
      <c r="F2607" s="33"/>
      <c r="G2607" s="34" t="str">
        <f>IFERROR(IF(F2607&gt;=0,D2607*E2607*(1+F2607/100),ABS(D2607*E2607/F2607)),"")</f>
        <v/>
      </c>
      <c r="H2607" s="43" t="str">
        <f>IFERROR(G2607*E2600,"")</f>
        <v/>
      </c>
    </row>
    <row r="2608" spans="1:11" ht="12.75" customHeight="1">
      <c r="A2608" s="21"/>
      <c r="B2608" s="22" t="s">
        <v>3731</v>
      </c>
      <c r="C2608" s="23"/>
      <c r="D2608" s="24"/>
      <c r="E2608" s="25"/>
      <c r="F2608" s="26"/>
      <c r="G2608" s="27">
        <f>SUM(G2609:G2611)</f>
        <v>241.83903915000008</v>
      </c>
      <c r="H2608" s="44">
        <f>G2608*E2600</f>
        <v>0</v>
      </c>
    </row>
    <row r="2609" spans="1:11" ht="12.75" customHeight="1">
      <c r="A2609" s="28"/>
      <c r="B2609" s="29" t="s">
        <v>3626</v>
      </c>
      <c r="C2609" s="30" t="str">
        <f>IFERROR(_xlfn.XLOOKUP(B2609,Equipo[DESCRIPCION],Equipo[UND],,0),"")</f>
        <v>%MO</v>
      </c>
      <c r="D2609" s="31">
        <v>0.05</v>
      </c>
      <c r="E2609" s="32">
        <f>IF(C2609="%MO",G2615,IFERROR(_xlfn.XLOOKUP($B2609,Equipo[DESCRIPCION],Equipo[VALOR],,0),""))</f>
        <v>4836.7807830000011</v>
      </c>
      <c r="F2609" s="33"/>
      <c r="G2609" s="34">
        <f>IFERROR(IF(F2609&gt;=0,D2609*E2609*(1+F2609/100),ABS(D2609*E2609/F2609)),"")</f>
        <v>241.83903915000008</v>
      </c>
      <c r="H2609" s="43">
        <f>IFERROR(G2609*E2600,"")</f>
        <v>0</v>
      </c>
    </row>
    <row r="2610" spans="1:11" ht="12.75" customHeight="1">
      <c r="A2610" s="28"/>
      <c r="B2610" s="29"/>
      <c r="C2610" s="30" t="str">
        <f>IFERROR(_xlfn.XLOOKUP(B2610,Equipo[DESCRIPCION],Equipo[UND],,0),"")</f>
        <v/>
      </c>
      <c r="D2610" s="31"/>
      <c r="E2610" s="32" t="str">
        <f>IF(C2610="%MO",G2615,IFERROR(_xlfn.XLOOKUP($B2610,Equipo[DESCRIPCION],Equipo[VALOR],,0),""))</f>
        <v/>
      </c>
      <c r="F2610" s="33"/>
      <c r="G2610" s="34" t="str">
        <f>IFERROR(IF(F2610&gt;=0,D2610*E2610*(1+F2610/100),ABS(D2610*E2610/F2610)),"")</f>
        <v/>
      </c>
      <c r="H2610" s="43" t="str">
        <f>IFERROR(G2610*E2600,"")</f>
        <v/>
      </c>
    </row>
    <row r="2611" spans="1:11" ht="12.75" customHeight="1">
      <c r="A2611" s="28"/>
      <c r="B2611" s="29"/>
      <c r="C2611" s="30" t="str">
        <f>IFERROR(_xlfn.XLOOKUP(B2611,Equipo[DESCRIPCION],Equipo[UND],,0),"")</f>
        <v/>
      </c>
      <c r="D2611" s="31"/>
      <c r="E2611" s="32" t="str">
        <f>IF(C2611="%MO",G2615,IFERROR(_xlfn.XLOOKUP($B2611,Equipo[DESCRIPCION],Equipo[VALOR],,0),""))</f>
        <v/>
      </c>
      <c r="F2611" s="33"/>
      <c r="G2611" s="34" t="str">
        <f>IFERROR(IF(F2611&gt;=0,D2611*E2611*(1+F2611/100),ABS(D2611*E2611/F2611)),"")</f>
        <v/>
      </c>
      <c r="H2611" s="43" t="str">
        <f>IFERROR(G2611*E2600,"")</f>
        <v/>
      </c>
    </row>
    <row r="2612" spans="1:11" ht="12.75" customHeight="1">
      <c r="A2612" s="21"/>
      <c r="B2612" s="22" t="s">
        <v>2533</v>
      </c>
      <c r="C2612" s="23"/>
      <c r="D2612" s="24"/>
      <c r="E2612" s="25"/>
      <c r="F2612" s="26"/>
      <c r="G2612" s="27">
        <f>SUM(G2613:G2614)</f>
        <v>0</v>
      </c>
      <c r="H2612" s="44">
        <f>G2612*E2600</f>
        <v>0</v>
      </c>
    </row>
    <row r="2613" spans="1:11" ht="12.75" customHeight="1">
      <c r="A2613" s="28"/>
      <c r="B2613" s="29"/>
      <c r="C2613" s="30" t="str">
        <f>IFERROR(_xlfn.XLOOKUP(B2613,Transporte[DESCRIPCION],Transporte[UND],,0),"")</f>
        <v/>
      </c>
      <c r="D2613" s="31"/>
      <c r="E2613" s="32" t="str">
        <f>IFERROR(_xlfn.XLOOKUP($B2613,Transporte[DESCRIPCION],Transporte[VALOR],,0),"")</f>
        <v/>
      </c>
      <c r="F2613" s="33"/>
      <c r="G2613" s="34" t="str">
        <f>IFERROR(IF(F2613&gt;=0,D2613*E2613*(1+F2613/100),ABS(D2613*E2613/F2613)),"")</f>
        <v/>
      </c>
      <c r="H2613" s="43" t="str">
        <f>IFERROR(G2613*E2600,"")</f>
        <v/>
      </c>
    </row>
    <row r="2614" spans="1:11" ht="12.75" customHeight="1">
      <c r="A2614" s="28"/>
      <c r="B2614" s="29"/>
      <c r="C2614" s="30" t="str">
        <f>IFERROR(_xlfn.XLOOKUP(B2614,Transporte[DESCRIPCION],Transporte[UND],,0),"")</f>
        <v/>
      </c>
      <c r="D2614" s="31"/>
      <c r="E2614" s="32" t="str">
        <f>IFERROR(_xlfn.XLOOKUP($B2614,Transporte[DESCRIPCION],Transporte[VALOR],,0),"")</f>
        <v/>
      </c>
      <c r="F2614" s="33"/>
      <c r="G2614" s="34" t="str">
        <f>IFERROR(IF(F2614&gt;=0,D2614*E2614*(1+F2614/100),ABS(D2614*E2614/F2614)),"")</f>
        <v/>
      </c>
      <c r="H2614" s="43" t="str">
        <f>IFERROR(G2614*E2600,"")</f>
        <v/>
      </c>
    </row>
    <row r="2615" spans="1:11" ht="12.75" customHeight="1">
      <c r="A2615" s="21"/>
      <c r="B2615" s="22" t="s">
        <v>3732</v>
      </c>
      <c r="C2615" s="23"/>
      <c r="D2615" s="24"/>
      <c r="E2615" s="25"/>
      <c r="F2615" s="26"/>
      <c r="G2615" s="27">
        <f>SUM(G2616:G2618)</f>
        <v>4836.7807830000011</v>
      </c>
      <c r="H2615" s="44">
        <f>G2615*E2600</f>
        <v>0</v>
      </c>
    </row>
    <row r="2616" spans="1:11" ht="12.75" customHeight="1">
      <c r="A2616" s="28"/>
      <c r="B2616" s="29" t="s">
        <v>3710</v>
      </c>
      <c r="C2616" s="30" t="str">
        <f>IFERROR(_xlfn.XLOOKUP(B2616,MObra[DESCRIPCION],MObra[UN],,0),"")</f>
        <v>día</v>
      </c>
      <c r="D2616" s="31">
        <v>1</v>
      </c>
      <c r="E2616" s="32">
        <f>IFERROR(_xlfn.XLOOKUP($B2616,MObra[DESCRIPCION],MObra[VALOR UNIT],,0),"")</f>
        <v>314390.75089500006</v>
      </c>
      <c r="F2616" s="33">
        <v>-65</v>
      </c>
      <c r="G2616" s="34">
        <f>IFERROR(IF(F2616&gt;=0,D2616*E2616*(1+F2616/100),ABS(D2616*E2616/F2616)),"")</f>
        <v>4836.7807830000011</v>
      </c>
      <c r="H2616" s="43">
        <f>IFERROR(G2616*E2600,"")</f>
        <v>0</v>
      </c>
    </row>
    <row r="2617" spans="1:11" ht="12.75" customHeight="1">
      <c r="A2617" s="28"/>
      <c r="B2617" s="29"/>
      <c r="C2617" s="30" t="str">
        <f t="array" ref="C2617">IFERROR(_xlfn.XLOOKUP(B2617,MObra[[#All],[DESCRIPCION]],MObra[[#All],[UN]],,0),"")</f>
        <v/>
      </c>
      <c r="D2617" s="31"/>
      <c r="E2617" s="32" t="str">
        <f>IFERROR(_xlfn.XLOOKUP($B2617,MObra[DESCRIPCION],MObra[VALOR UNIT],,0),"")</f>
        <v/>
      </c>
      <c r="F2617" s="33"/>
      <c r="G2617" s="34" t="str">
        <f>IFERROR(IF(F2617&gt;=0,D2617*E2617*(1+F2617/100),ABS(D2617*E2617/F2617)),"")</f>
        <v/>
      </c>
      <c r="H2617" s="43" t="str">
        <f>IFERROR(G2617*E2600,"")</f>
        <v/>
      </c>
    </row>
    <row r="2618" spans="1:11" ht="12.75" customHeight="1" thickBot="1">
      <c r="A2618" s="35"/>
      <c r="B2618" s="36"/>
      <c r="C2618" s="37" t="str">
        <f t="array" ref="C2618">IFERROR(_xlfn.XLOOKUP(B2618,MObra[[#All],[DESCRIPCION]],MObra[[#All],[UN]],,0),"")</f>
        <v/>
      </c>
      <c r="D2618" s="38"/>
      <c r="E2618" s="39" t="str">
        <f>IFERROR(_xlfn.XLOOKUP($B2618,MObra[DESCRIPCION],MObra[VALOR UNIT],,0),"")</f>
        <v/>
      </c>
      <c r="F2618" s="40"/>
      <c r="G2618" s="41" t="str">
        <f>IFERROR(IF(F2618&gt;=0,D2618*E2618*(1+F2618/100),ABS(D2618*E2618/F2618)),"")</f>
        <v/>
      </c>
      <c r="H2618" s="42" t="str">
        <f>IFERROR(G2618*E2600,"")</f>
        <v/>
      </c>
    </row>
    <row r="2619" spans="1:11" ht="12.75" customHeight="1" thickTop="1" thickBot="1"/>
    <row r="2620" spans="1:11" ht="12.75" customHeight="1" thickTop="1" thickBot="1">
      <c r="A2620" s="6" t="s">
        <v>859</v>
      </c>
      <c r="B2620" s="7" t="str">
        <f>VLOOKUP($A2620,Presupuesto!$A:$D,2,FALSE())</f>
        <v>Valvula cortina bronce de 1/2"</v>
      </c>
      <c r="C2620" s="8" t="str">
        <f>VLOOKUP($A2620,Presupuesto!$A:$D,3,FALSE())</f>
        <v>Un</v>
      </c>
      <c r="D2620" s="9"/>
      <c r="E2620" s="10">
        <f>VLOOKUP($A2620,Presupuesto!$A:$D,4,FALSE())</f>
        <v>0</v>
      </c>
      <c r="F2620" s="11" t="s">
        <v>2589</v>
      </c>
      <c r="G2620" s="12">
        <f>SUM(G2622:G2638)/2</f>
        <v>175851.52605496877</v>
      </c>
      <c r="H2620" s="13">
        <f>ROUND(SUM(H2622:H2638),0)/2</f>
        <v>0</v>
      </c>
      <c r="I2620" s="10">
        <f>VLOOKUP(A2620,Presupuesto!$A:$F,6,0)</f>
        <v>0</v>
      </c>
      <c r="J2620" s="10">
        <f>+H2620-I2620</f>
        <v>0</v>
      </c>
      <c r="K2620" s="46">
        <f>+H2620-G2620*E2620</f>
        <v>0</v>
      </c>
    </row>
    <row r="2621" spans="1:11" ht="12.75" customHeight="1" thickTop="1">
      <c r="A2621" s="14"/>
      <c r="B2621" s="15" t="s">
        <v>2586</v>
      </c>
      <c r="C2621" s="15" t="s">
        <v>5</v>
      </c>
      <c r="D2621" s="16" t="s">
        <v>6</v>
      </c>
      <c r="E2621" s="17" t="s">
        <v>7</v>
      </c>
      <c r="F2621" s="18" t="s">
        <v>3728</v>
      </c>
      <c r="G2621" s="19" t="s">
        <v>3729</v>
      </c>
      <c r="H2621" s="20" t="s">
        <v>3797</v>
      </c>
    </row>
    <row r="2622" spans="1:11" ht="12.75" customHeight="1">
      <c r="A2622" s="21"/>
      <c r="B2622" s="22" t="s">
        <v>3730</v>
      </c>
      <c r="C2622" s="23"/>
      <c r="D2622" s="24"/>
      <c r="E2622" s="25"/>
      <c r="F2622" s="26"/>
      <c r="G2622" s="27">
        <f>SUM(G2623:G2627)</f>
        <v>134587.74</v>
      </c>
      <c r="H2622" s="27">
        <f>IFERROR(G2622*E2620,"")</f>
        <v>0</v>
      </c>
    </row>
    <row r="2623" spans="1:11" ht="12.75" customHeight="1">
      <c r="A2623" s="28"/>
      <c r="B2623" s="29" t="s">
        <v>3532</v>
      </c>
      <c r="C2623" s="30" t="str">
        <f>IFERROR(_xlfn.XLOOKUP(B2623,Insumo[DESCRIPCION],Insumo[UND],,0),"")</f>
        <v>Un</v>
      </c>
      <c r="D2623" s="31">
        <v>1</v>
      </c>
      <c r="E2623" s="32">
        <f>IFERROR(_xlfn.XLOOKUP($B2623,Insumo[DESCRIPCION],Insumo[VALOR],,0),"")</f>
        <v>129575.25</v>
      </c>
      <c r="F2623" s="33"/>
      <c r="G2623" s="34">
        <f>IFERROR(IF(F2623&gt;=0,D2623*E2623*(1+F2623/100),ABS(D2623*E2623/F2623)),"")</f>
        <v>129575.25</v>
      </c>
      <c r="H2623" s="43">
        <f>IFERROR(G2623*E2620,"")</f>
        <v>0</v>
      </c>
    </row>
    <row r="2624" spans="1:11" ht="12.75" customHeight="1">
      <c r="A2624" s="28"/>
      <c r="B2624" s="29" t="s">
        <v>2640</v>
      </c>
      <c r="C2624" s="30" t="str">
        <f>IFERROR(_xlfn.XLOOKUP(B2624,Insumo[DESCRIPCION],Insumo[UND],,0),"")</f>
        <v>Un</v>
      </c>
      <c r="D2624" s="31">
        <v>2</v>
      </c>
      <c r="E2624" s="32">
        <f>IFERROR(_xlfn.XLOOKUP($B2624,Insumo[DESCRIPCION],Insumo[VALOR],,0),"")</f>
        <v>1423.8</v>
      </c>
      <c r="F2624" s="33"/>
      <c r="G2624" s="34">
        <f>IFERROR(IF(F2624&gt;=0,D2624*E2624*(1+F2624/100),ABS(D2624*E2624/F2624)),"")</f>
        <v>2847.6</v>
      </c>
      <c r="H2624" s="43">
        <f>IFERROR(G2624*E2620,"")</f>
        <v>0</v>
      </c>
    </row>
    <row r="2625" spans="1:11" ht="12.75" customHeight="1">
      <c r="A2625" s="28"/>
      <c r="B2625" s="29" t="s">
        <v>3046</v>
      </c>
      <c r="C2625" s="30" t="str">
        <f>IFERROR(_xlfn.XLOOKUP(B2625,Insumo[DESCRIPCION],Insumo[UND],,0),"")</f>
        <v>Un</v>
      </c>
      <c r="D2625" s="31">
        <v>0.02</v>
      </c>
      <c r="E2625" s="32">
        <f>IFERROR(_xlfn.XLOOKUP($B2625,Insumo[DESCRIPCION],Insumo[VALOR],,0),"")</f>
        <v>62413.05</v>
      </c>
      <c r="F2625" s="33"/>
      <c r="G2625" s="34">
        <f>IFERROR(IF(F2625&gt;=0,D2625*E2625*(1+F2625/100),ABS(D2625*E2625/F2625)),"")</f>
        <v>1248.2610000000002</v>
      </c>
      <c r="H2625" s="43">
        <f>IFERROR(G2625*E2620,"")</f>
        <v>0</v>
      </c>
    </row>
    <row r="2626" spans="1:11" ht="12.75" customHeight="1">
      <c r="A2626" s="28"/>
      <c r="B2626" s="29" t="s">
        <v>3329</v>
      </c>
      <c r="C2626" s="30" t="str">
        <f>IFERROR(_xlfn.XLOOKUP(B2626,Insumo[DESCRIPCION],Insumo[UND],,0),"")</f>
        <v>Un</v>
      </c>
      <c r="D2626" s="31">
        <v>0.02</v>
      </c>
      <c r="E2626" s="32">
        <f>IFERROR(_xlfn.XLOOKUP($B2626,Insumo[DESCRIPCION],Insumo[VALOR],,0),"")</f>
        <v>42424.200000000004</v>
      </c>
      <c r="F2626" s="33"/>
      <c r="G2626" s="34">
        <f>IFERROR(IF(F2626&gt;=0,D2626*E2626*(1+F2626/100),ABS(D2626*E2626/F2626)),"")</f>
        <v>848.48400000000015</v>
      </c>
      <c r="H2626" s="43">
        <f>IFERROR(G2626*E2620,"")</f>
        <v>0</v>
      </c>
    </row>
    <row r="2627" spans="1:11" ht="12.75" customHeight="1">
      <c r="A2627" s="28"/>
      <c r="B2627" s="29" t="s">
        <v>2847</v>
      </c>
      <c r="C2627" s="30" t="str">
        <f>IFERROR(_xlfn.XLOOKUP(B2627,Insumo[DESCRIPCION],Insumo[UND],,0),"")</f>
        <v>Un</v>
      </c>
      <c r="D2627" s="31">
        <v>0.05</v>
      </c>
      <c r="E2627" s="32">
        <f>IFERROR(_xlfn.XLOOKUP($B2627,Insumo[DESCRIPCION],Insumo[VALOR],,0),"")</f>
        <v>1362.9</v>
      </c>
      <c r="F2627" s="33"/>
      <c r="G2627" s="34">
        <f>IFERROR(IF(F2627&gt;=0,D2627*E2627*(1+F2627/100),ABS(D2627*E2627/F2627)),"")</f>
        <v>68.14500000000001</v>
      </c>
      <c r="H2627" s="43">
        <f>IFERROR(G2627*E2620,"")</f>
        <v>0</v>
      </c>
    </row>
    <row r="2628" spans="1:11" ht="12.75" customHeight="1">
      <c r="A2628" s="21"/>
      <c r="B2628" s="22" t="s">
        <v>3731</v>
      </c>
      <c r="C2628" s="23"/>
      <c r="D2628" s="24"/>
      <c r="E2628" s="25"/>
      <c r="F2628" s="26"/>
      <c r="G2628" s="27">
        <f>SUM(G2629:G2631)</f>
        <v>1964.9421930937506</v>
      </c>
      <c r="H2628" s="44">
        <f>G2628*E2620</f>
        <v>0</v>
      </c>
    </row>
    <row r="2629" spans="1:11" ht="12.75" customHeight="1">
      <c r="A2629" s="28"/>
      <c r="B2629" s="29" t="s">
        <v>3626</v>
      </c>
      <c r="C2629" s="30" t="str">
        <f>IFERROR(_xlfn.XLOOKUP(B2629,Equipo[DESCRIPCION],Equipo[UND],,0),"")</f>
        <v>%MO</v>
      </c>
      <c r="D2629" s="31">
        <v>0.05</v>
      </c>
      <c r="E2629" s="32">
        <f>IF(C2629="%MO",G2635,IFERROR(_xlfn.XLOOKUP($B2629,Equipo[DESCRIPCION],Equipo[VALOR],,0),""))</f>
        <v>39298.843861875008</v>
      </c>
      <c r="F2629" s="33"/>
      <c r="G2629" s="34">
        <f>IFERROR(IF(F2629&gt;=0,D2629*E2629*(1+F2629/100),ABS(D2629*E2629/F2629)),"")</f>
        <v>1964.9421930937506</v>
      </c>
      <c r="H2629" s="43">
        <f>IFERROR(G2629*E2620,"")</f>
        <v>0</v>
      </c>
    </row>
    <row r="2630" spans="1:11" ht="12.75" customHeight="1">
      <c r="A2630" s="28"/>
      <c r="B2630" s="29"/>
      <c r="C2630" s="30" t="str">
        <f>IFERROR(_xlfn.XLOOKUP(B2630,Equipo[DESCRIPCION],Equipo[UND],,0),"")</f>
        <v/>
      </c>
      <c r="D2630" s="31"/>
      <c r="E2630" s="32" t="str">
        <f>IF(C2630="%MO",G2635,IFERROR(_xlfn.XLOOKUP($B2630,Equipo[DESCRIPCION],Equipo[VALOR],,0),""))</f>
        <v/>
      </c>
      <c r="F2630" s="33"/>
      <c r="G2630" s="34" t="str">
        <f>IFERROR(IF(F2630&gt;=0,D2630*E2630*(1+F2630/100),ABS(D2630*E2630/F2630)),"")</f>
        <v/>
      </c>
      <c r="H2630" s="43" t="str">
        <f>IFERROR(G2630*E2620,"")</f>
        <v/>
      </c>
    </row>
    <row r="2631" spans="1:11" ht="12.75" customHeight="1">
      <c r="A2631" s="28"/>
      <c r="B2631" s="29"/>
      <c r="C2631" s="30" t="str">
        <f>IFERROR(_xlfn.XLOOKUP(B2631,Equipo[DESCRIPCION],Equipo[UND],,0),"")</f>
        <v/>
      </c>
      <c r="D2631" s="31"/>
      <c r="E2631" s="32" t="str">
        <f>IF(C2631="%MO",G2635,IFERROR(_xlfn.XLOOKUP($B2631,Equipo[DESCRIPCION],Equipo[VALOR],,0),""))</f>
        <v/>
      </c>
      <c r="F2631" s="33"/>
      <c r="G2631" s="34" t="str">
        <f>IFERROR(IF(F2631&gt;=0,D2631*E2631*(1+F2631/100),ABS(D2631*E2631/F2631)),"")</f>
        <v/>
      </c>
      <c r="H2631" s="43" t="str">
        <f>IFERROR(G2631*E2620,"")</f>
        <v/>
      </c>
    </row>
    <row r="2632" spans="1:11" ht="12.75" customHeight="1">
      <c r="A2632" s="21"/>
      <c r="B2632" s="22" t="s">
        <v>2533</v>
      </c>
      <c r="C2632" s="23"/>
      <c r="D2632" s="24"/>
      <c r="E2632" s="25"/>
      <c r="F2632" s="26"/>
      <c r="G2632" s="27">
        <f>SUM(G2633:G2634)</f>
        <v>0</v>
      </c>
      <c r="H2632" s="44">
        <f>G2632*E2620</f>
        <v>0</v>
      </c>
    </row>
    <row r="2633" spans="1:11" ht="12.75" customHeight="1">
      <c r="A2633" s="28"/>
      <c r="B2633" s="29"/>
      <c r="C2633" s="30" t="str">
        <f>IFERROR(_xlfn.XLOOKUP(B2633,Transporte[DESCRIPCION],Transporte[UND],,0),"")</f>
        <v/>
      </c>
      <c r="D2633" s="31"/>
      <c r="E2633" s="32" t="str">
        <f>IFERROR(_xlfn.XLOOKUP($B2633,Transporte[DESCRIPCION],Transporte[VALOR],,0),"")</f>
        <v/>
      </c>
      <c r="F2633" s="33"/>
      <c r="G2633" s="34" t="str">
        <f>IFERROR(IF(F2633&gt;=0,D2633*E2633*(1+F2633/100),ABS(D2633*E2633/F2633)),"")</f>
        <v/>
      </c>
      <c r="H2633" s="43" t="str">
        <f>IFERROR(G2633*E2620,"")</f>
        <v/>
      </c>
    </row>
    <row r="2634" spans="1:11" ht="12.75" customHeight="1">
      <c r="A2634" s="28"/>
      <c r="B2634" s="29"/>
      <c r="C2634" s="30" t="str">
        <f>IFERROR(_xlfn.XLOOKUP(B2634,Transporte[DESCRIPCION],Transporte[UND],,0),"")</f>
        <v/>
      </c>
      <c r="D2634" s="31"/>
      <c r="E2634" s="32" t="str">
        <f>IFERROR(_xlfn.XLOOKUP($B2634,Transporte[DESCRIPCION],Transporte[VALOR],,0),"")</f>
        <v/>
      </c>
      <c r="F2634" s="33"/>
      <c r="G2634" s="34" t="str">
        <f>IFERROR(IF(F2634&gt;=0,D2634*E2634*(1+F2634/100),ABS(D2634*E2634/F2634)),"")</f>
        <v/>
      </c>
      <c r="H2634" s="43" t="str">
        <f>IFERROR(G2634*E2620,"")</f>
        <v/>
      </c>
    </row>
    <row r="2635" spans="1:11" ht="12.75" customHeight="1">
      <c r="A2635" s="21"/>
      <c r="B2635" s="22" t="s">
        <v>3732</v>
      </c>
      <c r="C2635" s="23"/>
      <c r="D2635" s="24"/>
      <c r="E2635" s="25"/>
      <c r="F2635" s="26"/>
      <c r="G2635" s="27">
        <f>SUM(G2636:G2638)</f>
        <v>39298.843861875008</v>
      </c>
      <c r="H2635" s="44">
        <f>G2635*E2620</f>
        <v>0</v>
      </c>
    </row>
    <row r="2636" spans="1:11" ht="12.75" customHeight="1">
      <c r="A2636" s="28"/>
      <c r="B2636" s="29" t="s">
        <v>3710</v>
      </c>
      <c r="C2636" s="30" t="str">
        <f>IFERROR(_xlfn.XLOOKUP(B2636,MObra[DESCRIPCION],MObra[UN],,0),"")</f>
        <v>día</v>
      </c>
      <c r="D2636" s="31">
        <v>1</v>
      </c>
      <c r="E2636" s="32">
        <f>IFERROR(_xlfn.XLOOKUP($B2636,MObra[DESCRIPCION],MObra[VALOR UNIT],,0),"")</f>
        <v>314390.75089500006</v>
      </c>
      <c r="F2636" s="33">
        <v>-8</v>
      </c>
      <c r="G2636" s="34">
        <f>IFERROR(IF(F2636&gt;=0,D2636*E2636*(1+F2636/100),ABS(D2636*E2636/F2636)),"")</f>
        <v>39298.843861875008</v>
      </c>
      <c r="H2636" s="43">
        <f>IFERROR(G2636*E2620,"")</f>
        <v>0</v>
      </c>
    </row>
    <row r="2637" spans="1:11" ht="12.75" customHeight="1">
      <c r="A2637" s="28"/>
      <c r="B2637" s="29"/>
      <c r="C2637" s="30" t="str">
        <f t="array" ref="C2637">IFERROR(_xlfn.XLOOKUP(B2637,MObra[[#All],[DESCRIPCION]],MObra[[#All],[UN]],,0),"")</f>
        <v/>
      </c>
      <c r="D2637" s="31"/>
      <c r="E2637" s="32" t="str">
        <f>IFERROR(_xlfn.XLOOKUP($B2637,MObra[DESCRIPCION],MObra[VALOR UNIT],,0),"")</f>
        <v/>
      </c>
      <c r="F2637" s="33"/>
      <c r="G2637" s="34" t="str">
        <f>IFERROR(IF(F2637&gt;=0,D2637*E2637*(1+F2637/100),ABS(D2637*E2637/F2637)),"")</f>
        <v/>
      </c>
      <c r="H2637" s="43" t="str">
        <f>IFERROR(G2637*E2620,"")</f>
        <v/>
      </c>
    </row>
    <row r="2638" spans="1:11" ht="12.75" customHeight="1" thickBot="1">
      <c r="A2638" s="35"/>
      <c r="B2638" s="36"/>
      <c r="C2638" s="37" t="str">
        <f t="array" ref="C2638">IFERROR(_xlfn.XLOOKUP(B2638,MObra[[#All],[DESCRIPCION]],MObra[[#All],[UN]],,0),"")</f>
        <v/>
      </c>
      <c r="D2638" s="38"/>
      <c r="E2638" s="39" t="str">
        <f>IFERROR(_xlfn.XLOOKUP($B2638,MObra[DESCRIPCION],MObra[VALOR UNIT],,0),"")</f>
        <v/>
      </c>
      <c r="F2638" s="40"/>
      <c r="G2638" s="41" t="str">
        <f>IFERROR(IF(F2638&gt;=0,D2638*E2638*(1+F2638/100),ABS(D2638*E2638/F2638)),"")</f>
        <v/>
      </c>
      <c r="H2638" s="42" t="str">
        <f>IFERROR(G2638*E2620,"")</f>
        <v/>
      </c>
    </row>
    <row r="2639" spans="1:11" ht="12.75" customHeight="1" thickTop="1" thickBot="1"/>
    <row r="2640" spans="1:11" ht="12.75" customHeight="1" thickTop="1" thickBot="1">
      <c r="A2640" s="6" t="s">
        <v>861</v>
      </c>
      <c r="B2640" s="7" t="str">
        <f>VLOOKUP($A2640,Presupuesto!$A:$D,2,FALSE())</f>
        <v>Valvula cortina bronce de 3/4"</v>
      </c>
      <c r="C2640" s="8" t="str">
        <f>VLOOKUP($A2640,Presupuesto!$A:$D,3,FALSE())</f>
        <v>Un</v>
      </c>
      <c r="D2640" s="9"/>
      <c r="E2640" s="10">
        <f>VLOOKUP($A2640,Presupuesto!$A:$D,4,FALSE())</f>
        <v>0</v>
      </c>
      <c r="F2640" s="11" t="s">
        <v>2589</v>
      </c>
      <c r="G2640" s="12">
        <f>SUM(G2642:G2658)/2</f>
        <v>187373.09512529999</v>
      </c>
      <c r="H2640" s="13">
        <f>ROUND(SUM(H2642:H2658),0)/2</f>
        <v>0</v>
      </c>
      <c r="I2640" s="10">
        <f>VLOOKUP(A2640,Presupuesto!$A:$F,6,0)</f>
        <v>0</v>
      </c>
      <c r="J2640" s="10">
        <f>+H2640-I2640</f>
        <v>0</v>
      </c>
      <c r="K2640" s="46">
        <f>+H2640-G2640*E2640</f>
        <v>0</v>
      </c>
    </row>
    <row r="2641" spans="1:8" ht="12.75" customHeight="1" thickTop="1">
      <c r="A2641" s="14"/>
      <c r="B2641" s="15" t="s">
        <v>2586</v>
      </c>
      <c r="C2641" s="15" t="s">
        <v>5</v>
      </c>
      <c r="D2641" s="16" t="s">
        <v>6</v>
      </c>
      <c r="E2641" s="17" t="s">
        <v>7</v>
      </c>
      <c r="F2641" s="18" t="s">
        <v>3728</v>
      </c>
      <c r="G2641" s="19" t="s">
        <v>3729</v>
      </c>
      <c r="H2641" s="20" t="s">
        <v>3797</v>
      </c>
    </row>
    <row r="2642" spans="1:8" ht="12.75" customHeight="1">
      <c r="A2642" s="21"/>
      <c r="B2642" s="22" t="s">
        <v>3730</v>
      </c>
      <c r="C2642" s="23"/>
      <c r="D2642" s="24"/>
      <c r="E2642" s="25"/>
      <c r="F2642" s="26"/>
      <c r="G2642" s="27">
        <f>SUM(G2643:G2647)</f>
        <v>143358.38999999998</v>
      </c>
      <c r="H2642" s="27">
        <f>IFERROR(G2642*E2640,"")</f>
        <v>0</v>
      </c>
    </row>
    <row r="2643" spans="1:8" ht="12.75" customHeight="1">
      <c r="A2643" s="28"/>
      <c r="B2643" s="29" t="s">
        <v>3534</v>
      </c>
      <c r="C2643" s="30" t="str">
        <f>IFERROR(_xlfn.XLOOKUP(B2643,Insumo[DESCRIPCION],Insumo[UND],,0),"")</f>
        <v>Un</v>
      </c>
      <c r="D2643" s="31">
        <v>1</v>
      </c>
      <c r="E2643" s="32">
        <f>IFERROR(_xlfn.XLOOKUP($B2643,Insumo[DESCRIPCION],Insumo[VALOR],,0),"")</f>
        <v>136395</v>
      </c>
      <c r="F2643" s="33"/>
      <c r="G2643" s="34">
        <f>IFERROR(IF(F2643&gt;=0,D2643*E2643*(1+F2643/100),ABS(D2643*E2643/F2643)),"")</f>
        <v>136395</v>
      </c>
      <c r="H2643" s="43">
        <f>IFERROR(G2643*E2640,"")</f>
        <v>0</v>
      </c>
    </row>
    <row r="2644" spans="1:8" ht="12.75" customHeight="1">
      <c r="A2644" s="28"/>
      <c r="B2644" s="29" t="s">
        <v>2644</v>
      </c>
      <c r="C2644" s="30" t="str">
        <f>IFERROR(_xlfn.XLOOKUP(B2644,Insumo[DESCRIPCION],Insumo[UND],,0),"")</f>
        <v>Un</v>
      </c>
      <c r="D2644" s="31">
        <v>2</v>
      </c>
      <c r="E2644" s="32">
        <f>IFERROR(_xlfn.XLOOKUP($B2644,Insumo[DESCRIPCION],Insumo[VALOR],,0),"")</f>
        <v>2399.25</v>
      </c>
      <c r="F2644" s="33"/>
      <c r="G2644" s="34">
        <f>IFERROR(IF(F2644&gt;=0,D2644*E2644*(1+F2644/100),ABS(D2644*E2644/F2644)),"")</f>
        <v>4798.5</v>
      </c>
      <c r="H2644" s="43">
        <f>IFERROR(G2644*E2640,"")</f>
        <v>0</v>
      </c>
    </row>
    <row r="2645" spans="1:8" ht="12.75" customHeight="1">
      <c r="A2645" s="28"/>
      <c r="B2645" s="29" t="s">
        <v>3046</v>
      </c>
      <c r="C2645" s="30" t="str">
        <f>IFERROR(_xlfn.XLOOKUP(B2645,Insumo[DESCRIPCION],Insumo[UND],,0),"")</f>
        <v>Un</v>
      </c>
      <c r="D2645" s="31">
        <v>0.02</v>
      </c>
      <c r="E2645" s="32">
        <f>IFERROR(_xlfn.XLOOKUP($B2645,Insumo[DESCRIPCION],Insumo[VALOR],,0),"")</f>
        <v>62413.05</v>
      </c>
      <c r="F2645" s="33"/>
      <c r="G2645" s="34">
        <f>IFERROR(IF(F2645&gt;=0,D2645*E2645*(1+F2645/100),ABS(D2645*E2645/F2645)),"")</f>
        <v>1248.2610000000002</v>
      </c>
      <c r="H2645" s="43">
        <f>IFERROR(G2645*E2640,"")</f>
        <v>0</v>
      </c>
    </row>
    <row r="2646" spans="1:8" ht="12.75" customHeight="1">
      <c r="A2646" s="28"/>
      <c r="B2646" s="29" t="s">
        <v>3329</v>
      </c>
      <c r="C2646" s="30" t="str">
        <f>IFERROR(_xlfn.XLOOKUP(B2646,Insumo[DESCRIPCION],Insumo[UND],,0),"")</f>
        <v>Un</v>
      </c>
      <c r="D2646" s="31">
        <v>0.02</v>
      </c>
      <c r="E2646" s="32">
        <f>IFERROR(_xlfn.XLOOKUP($B2646,Insumo[DESCRIPCION],Insumo[VALOR],,0),"")</f>
        <v>42424.200000000004</v>
      </c>
      <c r="F2646" s="33"/>
      <c r="G2646" s="34">
        <f>IFERROR(IF(F2646&gt;=0,D2646*E2646*(1+F2646/100),ABS(D2646*E2646/F2646)),"")</f>
        <v>848.48400000000015</v>
      </c>
      <c r="H2646" s="43">
        <f>IFERROR(G2646*E2640,"")</f>
        <v>0</v>
      </c>
    </row>
    <row r="2647" spans="1:8" ht="12.75" customHeight="1">
      <c r="A2647" s="28"/>
      <c r="B2647" s="29" t="s">
        <v>2847</v>
      </c>
      <c r="C2647" s="30" t="str">
        <f>IFERROR(_xlfn.XLOOKUP(B2647,Insumo[DESCRIPCION],Insumo[UND],,0),"")</f>
        <v>Un</v>
      </c>
      <c r="D2647" s="31">
        <v>0.05</v>
      </c>
      <c r="E2647" s="32">
        <f>IFERROR(_xlfn.XLOOKUP($B2647,Insumo[DESCRIPCION],Insumo[VALOR],,0),"")</f>
        <v>1362.9</v>
      </c>
      <c r="F2647" s="33"/>
      <c r="G2647" s="34">
        <f>IFERROR(IF(F2647&gt;=0,D2647*E2647*(1+F2647/100),ABS(D2647*E2647/F2647)),"")</f>
        <v>68.14500000000001</v>
      </c>
      <c r="H2647" s="43">
        <f>IFERROR(G2647*E2640,"")</f>
        <v>0</v>
      </c>
    </row>
    <row r="2648" spans="1:8" ht="12.75" customHeight="1">
      <c r="A2648" s="21"/>
      <c r="B2648" s="22" t="s">
        <v>3731</v>
      </c>
      <c r="C2648" s="23"/>
      <c r="D2648" s="24"/>
      <c r="E2648" s="25"/>
      <c r="F2648" s="26"/>
      <c r="G2648" s="27">
        <f>SUM(G2649:G2651)</f>
        <v>2095.9383393000003</v>
      </c>
      <c r="H2648" s="44">
        <f>G2648*E2640</f>
        <v>0</v>
      </c>
    </row>
    <row r="2649" spans="1:8" ht="12.75" customHeight="1">
      <c r="A2649" s="28"/>
      <c r="B2649" s="29" t="s">
        <v>3626</v>
      </c>
      <c r="C2649" s="30" t="str">
        <f>IFERROR(_xlfn.XLOOKUP(B2649,Equipo[DESCRIPCION],Equipo[UND],,0),"")</f>
        <v>%MO</v>
      </c>
      <c r="D2649" s="31">
        <v>0.05</v>
      </c>
      <c r="E2649" s="32">
        <f>IF(C2649="%MO",G2655,IFERROR(_xlfn.XLOOKUP($B2649,Equipo[DESCRIPCION],Equipo[VALOR],,0),""))</f>
        <v>41918.766786000007</v>
      </c>
      <c r="F2649" s="33"/>
      <c r="G2649" s="34">
        <f>IFERROR(IF(F2649&gt;=0,D2649*E2649*(1+F2649/100),ABS(D2649*E2649/F2649)),"")</f>
        <v>2095.9383393000003</v>
      </c>
      <c r="H2649" s="43">
        <f>IFERROR(G2649*E2640,"")</f>
        <v>0</v>
      </c>
    </row>
    <row r="2650" spans="1:8" ht="12.75" customHeight="1">
      <c r="A2650" s="28"/>
      <c r="B2650" s="29"/>
      <c r="C2650" s="30" t="str">
        <f>IFERROR(_xlfn.XLOOKUP(B2650,Equipo[DESCRIPCION],Equipo[UND],,0),"")</f>
        <v/>
      </c>
      <c r="D2650" s="31"/>
      <c r="E2650" s="32" t="str">
        <f>IF(C2650="%MO",G2655,IFERROR(_xlfn.XLOOKUP($B2650,Equipo[DESCRIPCION],Equipo[VALOR],,0),""))</f>
        <v/>
      </c>
      <c r="F2650" s="33"/>
      <c r="G2650" s="34" t="str">
        <f>IFERROR(IF(F2650&gt;=0,D2650*E2650*(1+F2650/100),ABS(D2650*E2650/F2650)),"")</f>
        <v/>
      </c>
      <c r="H2650" s="43" t="str">
        <f>IFERROR(G2650*E2640,"")</f>
        <v/>
      </c>
    </row>
    <row r="2651" spans="1:8" ht="12.75" customHeight="1">
      <c r="A2651" s="28"/>
      <c r="B2651" s="29"/>
      <c r="C2651" s="30" t="str">
        <f>IFERROR(_xlfn.XLOOKUP(B2651,Equipo[DESCRIPCION],Equipo[UND],,0),"")</f>
        <v/>
      </c>
      <c r="D2651" s="31"/>
      <c r="E2651" s="32" t="str">
        <f>IF(C2651="%MO",G2655,IFERROR(_xlfn.XLOOKUP($B2651,Equipo[DESCRIPCION],Equipo[VALOR],,0),""))</f>
        <v/>
      </c>
      <c r="F2651" s="33"/>
      <c r="G2651" s="34" t="str">
        <f>IFERROR(IF(F2651&gt;=0,D2651*E2651*(1+F2651/100),ABS(D2651*E2651/F2651)),"")</f>
        <v/>
      </c>
      <c r="H2651" s="43" t="str">
        <f>IFERROR(G2651*E2640,"")</f>
        <v/>
      </c>
    </row>
    <row r="2652" spans="1:8" ht="12.75" customHeight="1">
      <c r="A2652" s="21"/>
      <c r="B2652" s="22" t="s">
        <v>2533</v>
      </c>
      <c r="C2652" s="23"/>
      <c r="D2652" s="24"/>
      <c r="E2652" s="25"/>
      <c r="F2652" s="26"/>
      <c r="G2652" s="27">
        <f>SUM(G2653:G2654)</f>
        <v>0</v>
      </c>
      <c r="H2652" s="44">
        <f>G2652*E2640</f>
        <v>0</v>
      </c>
    </row>
    <row r="2653" spans="1:8" ht="12.75" customHeight="1">
      <c r="A2653" s="28"/>
      <c r="B2653" s="29"/>
      <c r="C2653" s="30" t="str">
        <f>IFERROR(_xlfn.XLOOKUP(B2653,Transporte[DESCRIPCION],Transporte[UND],,0),"")</f>
        <v/>
      </c>
      <c r="D2653" s="31"/>
      <c r="E2653" s="32" t="str">
        <f>IFERROR(_xlfn.XLOOKUP($B2653,Transporte[DESCRIPCION],Transporte[VALOR],,0),"")</f>
        <v/>
      </c>
      <c r="F2653" s="33"/>
      <c r="G2653" s="34" t="str">
        <f>IFERROR(IF(F2653&gt;=0,D2653*E2653*(1+F2653/100),ABS(D2653*E2653/F2653)),"")</f>
        <v/>
      </c>
      <c r="H2653" s="43" t="str">
        <f>IFERROR(G2653*E2640,"")</f>
        <v/>
      </c>
    </row>
    <row r="2654" spans="1:8" ht="12.75" customHeight="1">
      <c r="A2654" s="28"/>
      <c r="B2654" s="29"/>
      <c r="C2654" s="30" t="str">
        <f>IFERROR(_xlfn.XLOOKUP(B2654,Transporte[DESCRIPCION],Transporte[UND],,0),"")</f>
        <v/>
      </c>
      <c r="D2654" s="31"/>
      <c r="E2654" s="32" t="str">
        <f>IFERROR(_xlfn.XLOOKUP($B2654,Transporte[DESCRIPCION],Transporte[VALOR],,0),"")</f>
        <v/>
      </c>
      <c r="F2654" s="33"/>
      <c r="G2654" s="34" t="str">
        <f>IFERROR(IF(F2654&gt;=0,D2654*E2654*(1+F2654/100),ABS(D2654*E2654/F2654)),"")</f>
        <v/>
      </c>
      <c r="H2654" s="43" t="str">
        <f>IFERROR(G2654*E2640,"")</f>
        <v/>
      </c>
    </row>
    <row r="2655" spans="1:8" ht="12.75" customHeight="1">
      <c r="A2655" s="21"/>
      <c r="B2655" s="22" t="s">
        <v>3732</v>
      </c>
      <c r="C2655" s="23"/>
      <c r="D2655" s="24"/>
      <c r="E2655" s="25"/>
      <c r="F2655" s="26"/>
      <c r="G2655" s="27">
        <f>SUM(G2656:G2658)</f>
        <v>41918.766786000007</v>
      </c>
      <c r="H2655" s="44">
        <f>G2655*E2640</f>
        <v>0</v>
      </c>
    </row>
    <row r="2656" spans="1:8" ht="12.75" customHeight="1">
      <c r="A2656" s="28"/>
      <c r="B2656" s="29" t="s">
        <v>3710</v>
      </c>
      <c r="C2656" s="30" t="str">
        <f>IFERROR(_xlfn.XLOOKUP(B2656,MObra[DESCRIPCION],MObra[UN],,0),"")</f>
        <v>día</v>
      </c>
      <c r="D2656" s="31">
        <v>1</v>
      </c>
      <c r="E2656" s="32">
        <f>IFERROR(_xlfn.XLOOKUP($B2656,MObra[DESCRIPCION],MObra[VALOR UNIT],,0),"")</f>
        <v>314390.75089500006</v>
      </c>
      <c r="F2656" s="33">
        <v>-7.5</v>
      </c>
      <c r="G2656" s="34">
        <f>IFERROR(IF(F2656&gt;=0,D2656*E2656*(1+F2656/100),ABS(D2656*E2656/F2656)),"")</f>
        <v>41918.766786000007</v>
      </c>
      <c r="H2656" s="43">
        <f>IFERROR(G2656*E2640,"")</f>
        <v>0</v>
      </c>
    </row>
    <row r="2657" spans="1:11" ht="12.75" customHeight="1">
      <c r="A2657" s="28"/>
      <c r="B2657" s="29"/>
      <c r="C2657" s="30" t="str">
        <f t="array" ref="C2657">IFERROR(_xlfn.XLOOKUP(B2657,MObra[[#All],[DESCRIPCION]],MObra[[#All],[UN]],,0),"")</f>
        <v/>
      </c>
      <c r="D2657" s="31"/>
      <c r="E2657" s="32" t="str">
        <f>IFERROR(_xlfn.XLOOKUP($B2657,MObra[DESCRIPCION],MObra[VALOR UNIT],,0),"")</f>
        <v/>
      </c>
      <c r="F2657" s="33"/>
      <c r="G2657" s="34" t="str">
        <f>IFERROR(IF(F2657&gt;=0,D2657*E2657*(1+F2657/100),ABS(D2657*E2657/F2657)),"")</f>
        <v/>
      </c>
      <c r="H2657" s="43" t="str">
        <f>IFERROR(G2657*E2640,"")</f>
        <v/>
      </c>
    </row>
    <row r="2658" spans="1:11" ht="12.75" customHeight="1" thickBot="1">
      <c r="A2658" s="35"/>
      <c r="B2658" s="36"/>
      <c r="C2658" s="37" t="str">
        <f t="array" ref="C2658">IFERROR(_xlfn.XLOOKUP(B2658,MObra[[#All],[DESCRIPCION]],MObra[[#All],[UN]],,0),"")</f>
        <v/>
      </c>
      <c r="D2658" s="38"/>
      <c r="E2658" s="39" t="str">
        <f>IFERROR(_xlfn.XLOOKUP($B2658,MObra[DESCRIPCION],MObra[VALOR UNIT],,0),"")</f>
        <v/>
      </c>
      <c r="F2658" s="40"/>
      <c r="G2658" s="41" t="str">
        <f>IFERROR(IF(F2658&gt;=0,D2658*E2658*(1+F2658/100),ABS(D2658*E2658/F2658)),"")</f>
        <v/>
      </c>
      <c r="H2658" s="42" t="str">
        <f>IFERROR(G2658*E2640,"")</f>
        <v/>
      </c>
    </row>
    <row r="2659" spans="1:11" ht="12.75" customHeight="1" thickTop="1" thickBot="1"/>
    <row r="2660" spans="1:11" ht="12.75" customHeight="1" thickTop="1" thickBot="1">
      <c r="A2660" s="6" t="s">
        <v>863</v>
      </c>
      <c r="B2660" s="7" t="str">
        <f>VLOOKUP($A2660,Presupuesto!$A:$D,2,FALSE())</f>
        <v>Valvula cortina bronce de 1"</v>
      </c>
      <c r="C2660" s="8" t="str">
        <f>VLOOKUP($A2660,Presupuesto!$A:$D,3,FALSE())</f>
        <v>Un</v>
      </c>
      <c r="D2660" s="9"/>
      <c r="E2660" s="10">
        <f>VLOOKUP($A2660,Presupuesto!$A:$D,4,FALSE())</f>
        <v>0</v>
      </c>
      <c r="F2660" s="11" t="s">
        <v>2589</v>
      </c>
      <c r="G2660" s="12">
        <f>SUM(G2662:G2678)/2</f>
        <v>225722.88313425003</v>
      </c>
      <c r="H2660" s="13">
        <f>ROUND(SUM(H2662:H2678),0)/2</f>
        <v>0</v>
      </c>
      <c r="I2660" s="10">
        <f>VLOOKUP(A2660,Presupuesto!$A:$F,6,0)</f>
        <v>0</v>
      </c>
      <c r="J2660" s="10">
        <f>+H2660-I2660</f>
        <v>0</v>
      </c>
      <c r="K2660" s="46">
        <f>+H2660-G2660*E2660</f>
        <v>0</v>
      </c>
    </row>
    <row r="2661" spans="1:11" ht="12.75" customHeight="1" thickTop="1">
      <c r="A2661" s="14"/>
      <c r="B2661" s="15" t="s">
        <v>2586</v>
      </c>
      <c r="C2661" s="15" t="s">
        <v>5</v>
      </c>
      <c r="D2661" s="16" t="s">
        <v>6</v>
      </c>
      <c r="E2661" s="17" t="s">
        <v>7</v>
      </c>
      <c r="F2661" s="18" t="s">
        <v>3728</v>
      </c>
      <c r="G2661" s="19" t="s">
        <v>3729</v>
      </c>
      <c r="H2661" s="20" t="s">
        <v>3797</v>
      </c>
    </row>
    <row r="2662" spans="1:11" ht="12.75" customHeight="1">
      <c r="A2662" s="21"/>
      <c r="B2662" s="22" t="s">
        <v>3730</v>
      </c>
      <c r="C2662" s="23"/>
      <c r="D2662" s="24"/>
      <c r="E2662" s="25"/>
      <c r="F2662" s="26"/>
      <c r="G2662" s="27">
        <f>SUM(G2663:G2667)</f>
        <v>178564.27049999998</v>
      </c>
      <c r="H2662" s="27">
        <f>IFERROR(G2662*E2660,"")</f>
        <v>0</v>
      </c>
    </row>
    <row r="2663" spans="1:11" ht="12.75" customHeight="1">
      <c r="A2663" s="28"/>
      <c r="B2663" s="29" t="s">
        <v>3531</v>
      </c>
      <c r="C2663" s="30" t="str">
        <f>IFERROR(_xlfn.XLOOKUP(B2663,Insumo[DESCRIPCION],Insumo[UND],,0),"")</f>
        <v>Un</v>
      </c>
      <c r="D2663" s="31">
        <v>1</v>
      </c>
      <c r="E2663" s="32">
        <f>IFERROR(_xlfn.XLOOKUP($B2663,Insumo[DESCRIPCION],Insumo[VALOR],,0),"")</f>
        <v>165947.25</v>
      </c>
      <c r="F2663" s="33"/>
      <c r="G2663" s="34">
        <f>IFERROR(IF(F2663&gt;=0,D2663*E2663*(1+F2663/100),ABS(D2663*E2663/F2663)),"")</f>
        <v>165947.25</v>
      </c>
      <c r="H2663" s="43">
        <f>IFERROR(G2663*E2660,"")</f>
        <v>0</v>
      </c>
    </row>
    <row r="2664" spans="1:11" ht="12.75" customHeight="1">
      <c r="A2664" s="28"/>
      <c r="B2664" s="29" t="s">
        <v>2639</v>
      </c>
      <c r="C2664" s="30" t="str">
        <f>IFERROR(_xlfn.XLOOKUP(B2664,Insumo[DESCRIPCION],Insumo[UND],,0),"")</f>
        <v>Un</v>
      </c>
      <c r="D2664" s="31">
        <v>2</v>
      </c>
      <c r="E2664" s="32">
        <f>IFERROR(_xlfn.XLOOKUP($B2664,Insumo[DESCRIPCION],Insumo[VALOR],,0),"")</f>
        <v>4688.25</v>
      </c>
      <c r="F2664" s="33"/>
      <c r="G2664" s="34">
        <f>IFERROR(IF(F2664&gt;=0,D2664*E2664*(1+F2664/100),ABS(D2664*E2664/F2664)),"")</f>
        <v>9376.5</v>
      </c>
      <c r="H2664" s="43">
        <f>IFERROR(G2664*E2660,"")</f>
        <v>0</v>
      </c>
    </row>
    <row r="2665" spans="1:11" ht="12.75" customHeight="1">
      <c r="A2665" s="28"/>
      <c r="B2665" s="29" t="s">
        <v>3046</v>
      </c>
      <c r="C2665" s="30" t="str">
        <f>IFERROR(_xlfn.XLOOKUP(B2665,Insumo[DESCRIPCION],Insumo[UND],,0),"")</f>
        <v>Un</v>
      </c>
      <c r="D2665" s="31">
        <v>0.03</v>
      </c>
      <c r="E2665" s="32">
        <f>IFERROR(_xlfn.XLOOKUP($B2665,Insumo[DESCRIPCION],Insumo[VALOR],,0),"")</f>
        <v>62413.05</v>
      </c>
      <c r="F2665" s="33"/>
      <c r="G2665" s="34">
        <f>IFERROR(IF(F2665&gt;=0,D2665*E2665*(1+F2665/100),ABS(D2665*E2665/F2665)),"")</f>
        <v>1872.3915</v>
      </c>
      <c r="H2665" s="43">
        <f>IFERROR(G2665*E2660,"")</f>
        <v>0</v>
      </c>
    </row>
    <row r="2666" spans="1:11" ht="12.75" customHeight="1">
      <c r="A2666" s="28"/>
      <c r="B2666" s="29" t="s">
        <v>3329</v>
      </c>
      <c r="C2666" s="30" t="str">
        <f>IFERROR(_xlfn.XLOOKUP(B2666,Insumo[DESCRIPCION],Insumo[UND],,0),"")</f>
        <v>Un</v>
      </c>
      <c r="D2666" s="31">
        <v>0.03</v>
      </c>
      <c r="E2666" s="32">
        <f>IFERROR(_xlfn.XLOOKUP($B2666,Insumo[DESCRIPCION],Insumo[VALOR],,0),"")</f>
        <v>42424.200000000004</v>
      </c>
      <c r="F2666" s="33"/>
      <c r="G2666" s="34">
        <f>IFERROR(IF(F2666&gt;=0,D2666*E2666*(1+F2666/100),ABS(D2666*E2666/F2666)),"")</f>
        <v>1272.7260000000001</v>
      </c>
      <c r="H2666" s="43">
        <f>IFERROR(G2666*E2660,"")</f>
        <v>0</v>
      </c>
    </row>
    <row r="2667" spans="1:11" ht="12.75" customHeight="1">
      <c r="A2667" s="28"/>
      <c r="B2667" s="29" t="s">
        <v>2847</v>
      </c>
      <c r="C2667" s="30" t="str">
        <f>IFERROR(_xlfn.XLOOKUP(B2667,Insumo[DESCRIPCION],Insumo[UND],,0),"")</f>
        <v>Un</v>
      </c>
      <c r="D2667" s="31">
        <v>7.0000000000000007E-2</v>
      </c>
      <c r="E2667" s="32">
        <f>IFERROR(_xlfn.XLOOKUP($B2667,Insumo[DESCRIPCION],Insumo[VALOR],,0),"")</f>
        <v>1362.9</v>
      </c>
      <c r="F2667" s="33"/>
      <c r="G2667" s="34">
        <f>IFERROR(IF(F2667&gt;=0,D2667*E2667*(1+F2667/100),ABS(D2667*E2667/F2667)),"")</f>
        <v>95.40300000000002</v>
      </c>
      <c r="H2667" s="43">
        <f>IFERROR(G2667*E2660,"")</f>
        <v>0</v>
      </c>
    </row>
    <row r="2668" spans="1:11" ht="12.75" customHeight="1">
      <c r="A2668" s="21"/>
      <c r="B2668" s="22" t="s">
        <v>3731</v>
      </c>
      <c r="C2668" s="23"/>
      <c r="D2668" s="24"/>
      <c r="E2668" s="25"/>
      <c r="F2668" s="26"/>
      <c r="G2668" s="27">
        <f>SUM(G2669:G2671)</f>
        <v>2245.6482206785722</v>
      </c>
      <c r="H2668" s="44">
        <f>G2668*E2660</f>
        <v>0</v>
      </c>
    </row>
    <row r="2669" spans="1:11" ht="12.75" customHeight="1">
      <c r="A2669" s="28"/>
      <c r="B2669" s="29" t="s">
        <v>3626</v>
      </c>
      <c r="C2669" s="30" t="str">
        <f>IFERROR(_xlfn.XLOOKUP(B2669,Equipo[DESCRIPCION],Equipo[UND],,0),"")</f>
        <v>%MO</v>
      </c>
      <c r="D2669" s="31">
        <v>0.05</v>
      </c>
      <c r="E2669" s="32">
        <f>IF(C2669="%MO",G2675,IFERROR(_xlfn.XLOOKUP($B2669,Equipo[DESCRIPCION],Equipo[VALOR],,0),""))</f>
        <v>44912.964413571441</v>
      </c>
      <c r="F2669" s="33"/>
      <c r="G2669" s="34">
        <f>IFERROR(IF(F2669&gt;=0,D2669*E2669*(1+F2669/100),ABS(D2669*E2669/F2669)),"")</f>
        <v>2245.6482206785722</v>
      </c>
      <c r="H2669" s="43">
        <f>IFERROR(G2669*E2660,"")</f>
        <v>0</v>
      </c>
    </row>
    <row r="2670" spans="1:11" ht="12.75" customHeight="1">
      <c r="A2670" s="28"/>
      <c r="B2670" s="29"/>
      <c r="C2670" s="30" t="str">
        <f>IFERROR(_xlfn.XLOOKUP(B2670,Equipo[DESCRIPCION],Equipo[UND],,0),"")</f>
        <v/>
      </c>
      <c r="D2670" s="31"/>
      <c r="E2670" s="32" t="str">
        <f>IF(C2670="%MO",G2675,IFERROR(_xlfn.XLOOKUP($B2670,Equipo[DESCRIPCION],Equipo[VALOR],,0),""))</f>
        <v/>
      </c>
      <c r="F2670" s="33"/>
      <c r="G2670" s="34" t="str">
        <f>IFERROR(IF(F2670&gt;=0,D2670*E2670*(1+F2670/100),ABS(D2670*E2670/F2670)),"")</f>
        <v/>
      </c>
      <c r="H2670" s="43" t="str">
        <f>IFERROR(G2670*E2660,"")</f>
        <v/>
      </c>
    </row>
    <row r="2671" spans="1:11" ht="12.75" customHeight="1">
      <c r="A2671" s="28"/>
      <c r="B2671" s="29"/>
      <c r="C2671" s="30" t="str">
        <f>IFERROR(_xlfn.XLOOKUP(B2671,Equipo[DESCRIPCION],Equipo[UND],,0),"")</f>
        <v/>
      </c>
      <c r="D2671" s="31"/>
      <c r="E2671" s="32" t="str">
        <f>IF(C2671="%MO",G2675,IFERROR(_xlfn.XLOOKUP($B2671,Equipo[DESCRIPCION],Equipo[VALOR],,0),""))</f>
        <v/>
      </c>
      <c r="F2671" s="33"/>
      <c r="G2671" s="34" t="str">
        <f>IFERROR(IF(F2671&gt;=0,D2671*E2671*(1+F2671/100),ABS(D2671*E2671/F2671)),"")</f>
        <v/>
      </c>
      <c r="H2671" s="43" t="str">
        <f>IFERROR(G2671*E2660,"")</f>
        <v/>
      </c>
    </row>
    <row r="2672" spans="1:11" ht="12.75" customHeight="1">
      <c r="A2672" s="21"/>
      <c r="B2672" s="22" t="s">
        <v>2533</v>
      </c>
      <c r="C2672" s="23"/>
      <c r="D2672" s="24"/>
      <c r="E2672" s="25"/>
      <c r="F2672" s="26"/>
      <c r="G2672" s="27">
        <f>SUM(G2673:G2674)</f>
        <v>0</v>
      </c>
      <c r="H2672" s="44">
        <f>G2672*E2660</f>
        <v>0</v>
      </c>
    </row>
    <row r="2673" spans="1:11" ht="12.75" customHeight="1">
      <c r="A2673" s="28"/>
      <c r="B2673" s="29"/>
      <c r="C2673" s="30" t="str">
        <f>IFERROR(_xlfn.XLOOKUP(B2673,Transporte[DESCRIPCION],Transporte[UND],,0),"")</f>
        <v/>
      </c>
      <c r="D2673" s="31"/>
      <c r="E2673" s="32" t="str">
        <f>IFERROR(_xlfn.XLOOKUP($B2673,Transporte[DESCRIPCION],Transporte[VALOR],,0),"")</f>
        <v/>
      </c>
      <c r="F2673" s="33"/>
      <c r="G2673" s="34" t="str">
        <f>IFERROR(IF(F2673&gt;=0,D2673*E2673*(1+F2673/100),ABS(D2673*E2673/F2673)),"")</f>
        <v/>
      </c>
      <c r="H2673" s="43" t="str">
        <f>IFERROR(G2673*E2660,"")</f>
        <v/>
      </c>
    </row>
    <row r="2674" spans="1:11" ht="12.75" customHeight="1">
      <c r="A2674" s="28"/>
      <c r="B2674" s="29"/>
      <c r="C2674" s="30" t="str">
        <f>IFERROR(_xlfn.XLOOKUP(B2674,Transporte[DESCRIPCION],Transporte[UND],,0),"")</f>
        <v/>
      </c>
      <c r="D2674" s="31"/>
      <c r="E2674" s="32" t="str">
        <f>IFERROR(_xlfn.XLOOKUP($B2674,Transporte[DESCRIPCION],Transporte[VALOR],,0),"")</f>
        <v/>
      </c>
      <c r="F2674" s="33"/>
      <c r="G2674" s="34" t="str">
        <f>IFERROR(IF(F2674&gt;=0,D2674*E2674*(1+F2674/100),ABS(D2674*E2674/F2674)),"")</f>
        <v/>
      </c>
      <c r="H2674" s="43" t="str">
        <f>IFERROR(G2674*E2660,"")</f>
        <v/>
      </c>
    </row>
    <row r="2675" spans="1:11" ht="12.75" customHeight="1">
      <c r="A2675" s="21"/>
      <c r="B2675" s="22" t="s">
        <v>3732</v>
      </c>
      <c r="C2675" s="23"/>
      <c r="D2675" s="24"/>
      <c r="E2675" s="25"/>
      <c r="F2675" s="26"/>
      <c r="G2675" s="27">
        <f>SUM(G2676:G2678)</f>
        <v>44912.964413571441</v>
      </c>
      <c r="H2675" s="44">
        <f>G2675*E2660</f>
        <v>0</v>
      </c>
    </row>
    <row r="2676" spans="1:11" ht="12.75" customHeight="1">
      <c r="A2676" s="28"/>
      <c r="B2676" s="29" t="s">
        <v>3710</v>
      </c>
      <c r="C2676" s="30" t="str">
        <f>IFERROR(_xlfn.XLOOKUP(B2676,MObra[DESCRIPCION],MObra[UN],,0),"")</f>
        <v>día</v>
      </c>
      <c r="D2676" s="31">
        <v>1</v>
      </c>
      <c r="E2676" s="32">
        <f>IFERROR(_xlfn.XLOOKUP($B2676,MObra[DESCRIPCION],MObra[VALOR UNIT],,0),"")</f>
        <v>314390.75089500006</v>
      </c>
      <c r="F2676" s="33">
        <v>-7</v>
      </c>
      <c r="G2676" s="34">
        <f>IFERROR(IF(F2676&gt;=0,D2676*E2676*(1+F2676/100),ABS(D2676*E2676/F2676)),"")</f>
        <v>44912.964413571441</v>
      </c>
      <c r="H2676" s="43">
        <f>IFERROR(G2676*E2660,"")</f>
        <v>0</v>
      </c>
    </row>
    <row r="2677" spans="1:11" ht="12.75" customHeight="1">
      <c r="A2677" s="28"/>
      <c r="B2677" s="29"/>
      <c r="C2677" s="30" t="str">
        <f t="array" ref="C2677">IFERROR(_xlfn.XLOOKUP(B2677,MObra[[#All],[DESCRIPCION]],MObra[[#All],[UN]],,0),"")</f>
        <v/>
      </c>
      <c r="D2677" s="31"/>
      <c r="E2677" s="32" t="str">
        <f>IFERROR(_xlfn.XLOOKUP($B2677,MObra[DESCRIPCION],MObra[VALOR UNIT],,0),"")</f>
        <v/>
      </c>
      <c r="F2677" s="33"/>
      <c r="G2677" s="34" t="str">
        <f>IFERROR(IF(F2677&gt;=0,D2677*E2677*(1+F2677/100),ABS(D2677*E2677/F2677)),"")</f>
        <v/>
      </c>
      <c r="H2677" s="43" t="str">
        <f>IFERROR(G2677*E2660,"")</f>
        <v/>
      </c>
    </row>
    <row r="2678" spans="1:11" ht="12.75" customHeight="1" thickBot="1">
      <c r="A2678" s="35"/>
      <c r="B2678" s="36"/>
      <c r="C2678" s="37" t="str">
        <f t="array" ref="C2678">IFERROR(_xlfn.XLOOKUP(B2678,MObra[[#All],[DESCRIPCION]],MObra[[#All],[UN]],,0),"")</f>
        <v/>
      </c>
      <c r="D2678" s="38"/>
      <c r="E2678" s="39" t="str">
        <f>IFERROR(_xlfn.XLOOKUP($B2678,MObra[DESCRIPCION],MObra[VALOR UNIT],,0),"")</f>
        <v/>
      </c>
      <c r="F2678" s="40"/>
      <c r="G2678" s="41" t="str">
        <f>IFERROR(IF(F2678&gt;=0,D2678*E2678*(1+F2678/100),ABS(D2678*E2678/F2678)),"")</f>
        <v/>
      </c>
      <c r="H2678" s="42" t="str">
        <f>IFERROR(G2678*E2660,"")</f>
        <v/>
      </c>
    </row>
    <row r="2679" spans="1:11" ht="12.75" customHeight="1" thickTop="1" thickBot="1"/>
    <row r="2680" spans="1:11" ht="12.75" customHeight="1" thickTop="1" thickBot="1">
      <c r="A2680" s="6" t="s">
        <v>865</v>
      </c>
      <c r="B2680" s="7" t="str">
        <f>VLOOKUP($A2680,Presupuesto!$A:$D,2,FALSE())</f>
        <v>Valvula cortina bronce de 1 1/4"</v>
      </c>
      <c r="C2680" s="8" t="str">
        <f>VLOOKUP($A2680,Presupuesto!$A:$D,3,FALSE())</f>
        <v>Un</v>
      </c>
      <c r="D2680" s="9"/>
      <c r="E2680" s="10">
        <f>VLOOKUP($A2680,Presupuesto!$A:$D,4,FALSE())</f>
        <v>0</v>
      </c>
      <c r="F2680" s="11" t="s">
        <v>2589</v>
      </c>
      <c r="G2680" s="12">
        <f>SUM(G2682:G2698)/2</f>
        <v>254532.61872150004</v>
      </c>
      <c r="H2680" s="13">
        <f>ROUND(SUM(H2682:H2698),0)/2</f>
        <v>0</v>
      </c>
      <c r="I2680" s="10">
        <f>VLOOKUP(A2680,Presupuesto!$A:$F,6,0)</f>
        <v>0</v>
      </c>
      <c r="J2680" s="10">
        <f>+H2680-I2680</f>
        <v>0</v>
      </c>
      <c r="K2680" s="46">
        <f>+H2680-G2680*E2680</f>
        <v>0</v>
      </c>
    </row>
    <row r="2681" spans="1:11" ht="12.75" customHeight="1" thickTop="1">
      <c r="A2681" s="14"/>
      <c r="B2681" s="15" t="s">
        <v>2586</v>
      </c>
      <c r="C2681" s="15" t="s">
        <v>5</v>
      </c>
      <c r="D2681" s="16" t="s">
        <v>6</v>
      </c>
      <c r="E2681" s="17" t="s">
        <v>7</v>
      </c>
      <c r="F2681" s="18" t="s">
        <v>3728</v>
      </c>
      <c r="G2681" s="19" t="s">
        <v>3729</v>
      </c>
      <c r="H2681" s="20" t="s">
        <v>3797</v>
      </c>
    </row>
    <row r="2682" spans="1:11" ht="12.75" customHeight="1">
      <c r="A2682" s="21"/>
      <c r="B2682" s="22" t="s">
        <v>3730</v>
      </c>
      <c r="C2682" s="23"/>
      <c r="D2682" s="24"/>
      <c r="E2682" s="25"/>
      <c r="F2682" s="26"/>
      <c r="G2682" s="27">
        <f>SUM(G2683:G2687)</f>
        <v>203746.42049999998</v>
      </c>
      <c r="H2682" s="27">
        <f>IFERROR(G2682*E2680,"")</f>
        <v>0</v>
      </c>
    </row>
    <row r="2683" spans="1:11" ht="12.75" customHeight="1">
      <c r="A2683" s="28"/>
      <c r="B2683" s="29" t="s">
        <v>3530</v>
      </c>
      <c r="C2683" s="30" t="str">
        <f>IFERROR(_xlfn.XLOOKUP(B2683,Insumo[DESCRIPCION],Insumo[UND],,0),"")</f>
        <v>Un</v>
      </c>
      <c r="D2683" s="31">
        <v>1</v>
      </c>
      <c r="E2683" s="32">
        <f>IFERROR(_xlfn.XLOOKUP($B2683,Insumo[DESCRIPCION],Insumo[VALOR],,0),"")</f>
        <v>176177.4</v>
      </c>
      <c r="F2683" s="33"/>
      <c r="G2683" s="34">
        <f>IFERROR(IF(F2683&gt;=0,D2683*E2683*(1+F2683/100),ABS(D2683*E2683/F2683)),"")</f>
        <v>176177.4</v>
      </c>
      <c r="H2683" s="43">
        <f>IFERROR(G2683*E2680,"")</f>
        <v>0</v>
      </c>
    </row>
    <row r="2684" spans="1:11" ht="12.75" customHeight="1">
      <c r="A2684" s="28"/>
      <c r="B2684" s="29" t="s">
        <v>2638</v>
      </c>
      <c r="C2684" s="30" t="str">
        <f>IFERROR(_xlfn.XLOOKUP(B2684,Insumo[DESCRIPCION],Insumo[UND],,0),"")</f>
        <v>Un</v>
      </c>
      <c r="D2684" s="31">
        <v>2</v>
      </c>
      <c r="E2684" s="32">
        <f>IFERROR(_xlfn.XLOOKUP($B2684,Insumo[DESCRIPCION],Insumo[VALOR],,0),"")</f>
        <v>12164.25</v>
      </c>
      <c r="F2684" s="33"/>
      <c r="G2684" s="34">
        <f>IFERROR(IF(F2684&gt;=0,D2684*E2684*(1+F2684/100),ABS(D2684*E2684/F2684)),"")</f>
        <v>24328.5</v>
      </c>
      <c r="H2684" s="43">
        <f>IFERROR(G2684*E2680,"")</f>
        <v>0</v>
      </c>
    </row>
    <row r="2685" spans="1:11" ht="12.75" customHeight="1">
      <c r="A2685" s="28"/>
      <c r="B2685" s="29" t="s">
        <v>3046</v>
      </c>
      <c r="C2685" s="30" t="str">
        <f>IFERROR(_xlfn.XLOOKUP(B2685,Insumo[DESCRIPCION],Insumo[UND],,0),"")</f>
        <v>Un</v>
      </c>
      <c r="D2685" s="31">
        <v>0.03</v>
      </c>
      <c r="E2685" s="32">
        <f>IFERROR(_xlfn.XLOOKUP($B2685,Insumo[DESCRIPCION],Insumo[VALOR],,0),"")</f>
        <v>62413.05</v>
      </c>
      <c r="F2685" s="33"/>
      <c r="G2685" s="34">
        <f>IFERROR(IF(F2685&gt;=0,D2685*E2685*(1+F2685/100),ABS(D2685*E2685/F2685)),"")</f>
        <v>1872.3915</v>
      </c>
      <c r="H2685" s="43">
        <f>IFERROR(G2685*E2680,"")</f>
        <v>0</v>
      </c>
    </row>
    <row r="2686" spans="1:11" ht="12.75" customHeight="1">
      <c r="A2686" s="28"/>
      <c r="B2686" s="29" t="s">
        <v>3329</v>
      </c>
      <c r="C2686" s="30" t="str">
        <f>IFERROR(_xlfn.XLOOKUP(B2686,Insumo[DESCRIPCION],Insumo[UND],,0),"")</f>
        <v>Un</v>
      </c>
      <c r="D2686" s="31">
        <v>0.03</v>
      </c>
      <c r="E2686" s="32">
        <f>IFERROR(_xlfn.XLOOKUP($B2686,Insumo[DESCRIPCION],Insumo[VALOR],,0),"")</f>
        <v>42424.200000000004</v>
      </c>
      <c r="F2686" s="33"/>
      <c r="G2686" s="34">
        <f>IFERROR(IF(F2686&gt;=0,D2686*E2686*(1+F2686/100),ABS(D2686*E2686/F2686)),"")</f>
        <v>1272.7260000000001</v>
      </c>
      <c r="H2686" s="43">
        <f>IFERROR(G2686*E2680,"")</f>
        <v>0</v>
      </c>
    </row>
    <row r="2687" spans="1:11" ht="12.75" customHeight="1">
      <c r="A2687" s="28"/>
      <c r="B2687" s="29" t="s">
        <v>2847</v>
      </c>
      <c r="C2687" s="30" t="str">
        <f>IFERROR(_xlfn.XLOOKUP(B2687,Insumo[DESCRIPCION],Insumo[UND],,0),"")</f>
        <v>Un</v>
      </c>
      <c r="D2687" s="31">
        <v>7.0000000000000007E-2</v>
      </c>
      <c r="E2687" s="32">
        <f>IFERROR(_xlfn.XLOOKUP($B2687,Insumo[DESCRIPCION],Insumo[VALOR],,0),"")</f>
        <v>1362.9</v>
      </c>
      <c r="F2687" s="33"/>
      <c r="G2687" s="34">
        <f>IFERROR(IF(F2687&gt;=0,D2687*E2687*(1+F2687/100),ABS(D2687*E2687/F2687)),"")</f>
        <v>95.40300000000002</v>
      </c>
      <c r="H2687" s="43">
        <f>IFERROR(G2687*E2680,"")</f>
        <v>0</v>
      </c>
    </row>
    <row r="2688" spans="1:11" ht="12.75" customHeight="1">
      <c r="A2688" s="21"/>
      <c r="B2688" s="22" t="s">
        <v>3731</v>
      </c>
      <c r="C2688" s="23"/>
      <c r="D2688" s="24"/>
      <c r="E2688" s="25"/>
      <c r="F2688" s="26"/>
      <c r="G2688" s="27">
        <f>SUM(G2689:G2691)</f>
        <v>2418.3903915000005</v>
      </c>
      <c r="H2688" s="44">
        <f>G2688*E2680</f>
        <v>0</v>
      </c>
    </row>
    <row r="2689" spans="1:11" ht="12.75" customHeight="1">
      <c r="A2689" s="28"/>
      <c r="B2689" s="29" t="s">
        <v>3626</v>
      </c>
      <c r="C2689" s="30" t="str">
        <f>IFERROR(_xlfn.XLOOKUP(B2689,Equipo[DESCRIPCION],Equipo[UND],,0),"")</f>
        <v>%MO</v>
      </c>
      <c r="D2689" s="31">
        <v>0.05</v>
      </c>
      <c r="E2689" s="32">
        <f>IF(C2689="%MO",G2695,IFERROR(_xlfn.XLOOKUP($B2689,Equipo[DESCRIPCION],Equipo[VALOR],,0),""))</f>
        <v>48367.807830000012</v>
      </c>
      <c r="F2689" s="33"/>
      <c r="G2689" s="34">
        <f>IFERROR(IF(F2689&gt;=0,D2689*E2689*(1+F2689/100),ABS(D2689*E2689/F2689)),"")</f>
        <v>2418.3903915000005</v>
      </c>
      <c r="H2689" s="43">
        <f>IFERROR(G2689*E2680,"")</f>
        <v>0</v>
      </c>
    </row>
    <row r="2690" spans="1:11" ht="12.75" customHeight="1">
      <c r="A2690" s="28"/>
      <c r="B2690" s="29"/>
      <c r="C2690" s="30" t="str">
        <f>IFERROR(_xlfn.XLOOKUP(B2690,Equipo[DESCRIPCION],Equipo[UND],,0),"")</f>
        <v/>
      </c>
      <c r="D2690" s="31"/>
      <c r="E2690" s="32" t="str">
        <f>IF(C2690="%MO",G2695,IFERROR(_xlfn.XLOOKUP($B2690,Equipo[DESCRIPCION],Equipo[VALOR],,0),""))</f>
        <v/>
      </c>
      <c r="F2690" s="33"/>
      <c r="G2690" s="34" t="str">
        <f>IFERROR(IF(F2690&gt;=0,D2690*E2690*(1+F2690/100),ABS(D2690*E2690/F2690)),"")</f>
        <v/>
      </c>
      <c r="H2690" s="43" t="str">
        <f>IFERROR(G2690*E2680,"")</f>
        <v/>
      </c>
    </row>
    <row r="2691" spans="1:11" ht="12.75" customHeight="1">
      <c r="A2691" s="28"/>
      <c r="B2691" s="29"/>
      <c r="C2691" s="30" t="str">
        <f>IFERROR(_xlfn.XLOOKUP(B2691,Equipo[DESCRIPCION],Equipo[UND],,0),"")</f>
        <v/>
      </c>
      <c r="D2691" s="31"/>
      <c r="E2691" s="32" t="str">
        <f>IF(C2691="%MO",G2695,IFERROR(_xlfn.XLOOKUP($B2691,Equipo[DESCRIPCION],Equipo[VALOR],,0),""))</f>
        <v/>
      </c>
      <c r="F2691" s="33"/>
      <c r="G2691" s="34" t="str">
        <f>IFERROR(IF(F2691&gt;=0,D2691*E2691*(1+F2691/100),ABS(D2691*E2691/F2691)),"")</f>
        <v/>
      </c>
      <c r="H2691" s="43" t="str">
        <f>IFERROR(G2691*E2680,"")</f>
        <v/>
      </c>
    </row>
    <row r="2692" spans="1:11" ht="12.75" customHeight="1">
      <c r="A2692" s="21"/>
      <c r="B2692" s="22" t="s">
        <v>2533</v>
      </c>
      <c r="C2692" s="23"/>
      <c r="D2692" s="24"/>
      <c r="E2692" s="25"/>
      <c r="F2692" s="26"/>
      <c r="G2692" s="27">
        <f>SUM(G2693:G2694)</f>
        <v>0</v>
      </c>
      <c r="H2692" s="44">
        <f>G2692*E2680</f>
        <v>0</v>
      </c>
    </row>
    <row r="2693" spans="1:11" ht="12.75" customHeight="1">
      <c r="A2693" s="28"/>
      <c r="B2693" s="29"/>
      <c r="C2693" s="30" t="str">
        <f>IFERROR(_xlfn.XLOOKUP(B2693,Transporte[DESCRIPCION],Transporte[UND],,0),"")</f>
        <v/>
      </c>
      <c r="D2693" s="31"/>
      <c r="E2693" s="32" t="str">
        <f>IFERROR(_xlfn.XLOOKUP($B2693,Transporte[DESCRIPCION],Transporte[VALOR],,0),"")</f>
        <v/>
      </c>
      <c r="F2693" s="33"/>
      <c r="G2693" s="34" t="str">
        <f>IFERROR(IF(F2693&gt;=0,D2693*E2693*(1+F2693/100),ABS(D2693*E2693/F2693)),"")</f>
        <v/>
      </c>
      <c r="H2693" s="43" t="str">
        <f>IFERROR(G2693*E2680,"")</f>
        <v/>
      </c>
    </row>
    <row r="2694" spans="1:11" ht="12.75" customHeight="1">
      <c r="A2694" s="28"/>
      <c r="B2694" s="29"/>
      <c r="C2694" s="30" t="str">
        <f>IFERROR(_xlfn.XLOOKUP(B2694,Transporte[DESCRIPCION],Transporte[UND],,0),"")</f>
        <v/>
      </c>
      <c r="D2694" s="31"/>
      <c r="E2694" s="32" t="str">
        <f>IFERROR(_xlfn.XLOOKUP($B2694,Transporte[DESCRIPCION],Transporte[VALOR],,0),"")</f>
        <v/>
      </c>
      <c r="F2694" s="33"/>
      <c r="G2694" s="34" t="str">
        <f>IFERROR(IF(F2694&gt;=0,D2694*E2694*(1+F2694/100),ABS(D2694*E2694/F2694)),"")</f>
        <v/>
      </c>
      <c r="H2694" s="43" t="str">
        <f>IFERROR(G2694*E2680,"")</f>
        <v/>
      </c>
    </row>
    <row r="2695" spans="1:11" ht="12.75" customHeight="1">
      <c r="A2695" s="21"/>
      <c r="B2695" s="22" t="s">
        <v>3732</v>
      </c>
      <c r="C2695" s="23"/>
      <c r="D2695" s="24"/>
      <c r="E2695" s="25"/>
      <c r="F2695" s="26"/>
      <c r="G2695" s="27">
        <f>SUM(G2696:G2698)</f>
        <v>48367.807830000012</v>
      </c>
      <c r="H2695" s="44">
        <f>G2695*E2680</f>
        <v>0</v>
      </c>
    </row>
    <row r="2696" spans="1:11" ht="12.75" customHeight="1">
      <c r="A2696" s="28"/>
      <c r="B2696" s="29" t="s">
        <v>3710</v>
      </c>
      <c r="C2696" s="30" t="str">
        <f>IFERROR(_xlfn.XLOOKUP(B2696,MObra[DESCRIPCION],MObra[UN],,0),"")</f>
        <v>día</v>
      </c>
      <c r="D2696" s="31">
        <v>1</v>
      </c>
      <c r="E2696" s="32">
        <f>IFERROR(_xlfn.XLOOKUP($B2696,MObra[DESCRIPCION],MObra[VALOR UNIT],,0),"")</f>
        <v>314390.75089500006</v>
      </c>
      <c r="F2696" s="33">
        <v>-6.5</v>
      </c>
      <c r="G2696" s="34">
        <f>IFERROR(IF(F2696&gt;=0,D2696*E2696*(1+F2696/100),ABS(D2696*E2696/F2696)),"")</f>
        <v>48367.807830000012</v>
      </c>
      <c r="H2696" s="43">
        <f>IFERROR(G2696*E2680,"")</f>
        <v>0</v>
      </c>
    </row>
    <row r="2697" spans="1:11" ht="12.75" customHeight="1">
      <c r="A2697" s="28"/>
      <c r="B2697" s="29"/>
      <c r="C2697" s="30" t="str">
        <f t="array" ref="C2697">IFERROR(_xlfn.XLOOKUP(B2697,MObra[[#All],[DESCRIPCION]],MObra[[#All],[UN]],,0),"")</f>
        <v/>
      </c>
      <c r="D2697" s="31"/>
      <c r="E2697" s="32" t="str">
        <f>IFERROR(_xlfn.XLOOKUP($B2697,MObra[DESCRIPCION],MObra[VALOR UNIT],,0),"")</f>
        <v/>
      </c>
      <c r="F2697" s="33"/>
      <c r="G2697" s="34" t="str">
        <f>IFERROR(IF(F2697&gt;=0,D2697*E2697*(1+F2697/100),ABS(D2697*E2697/F2697)),"")</f>
        <v/>
      </c>
      <c r="H2697" s="43" t="str">
        <f>IFERROR(G2697*E2680,"")</f>
        <v/>
      </c>
    </row>
    <row r="2698" spans="1:11" ht="12.75" customHeight="1" thickBot="1">
      <c r="A2698" s="35"/>
      <c r="B2698" s="36"/>
      <c r="C2698" s="37" t="str">
        <f t="array" ref="C2698">IFERROR(_xlfn.XLOOKUP(B2698,MObra[[#All],[DESCRIPCION]],MObra[[#All],[UN]],,0),"")</f>
        <v/>
      </c>
      <c r="D2698" s="38"/>
      <c r="E2698" s="39" t="str">
        <f>IFERROR(_xlfn.XLOOKUP($B2698,MObra[DESCRIPCION],MObra[VALOR UNIT],,0),"")</f>
        <v/>
      </c>
      <c r="F2698" s="40"/>
      <c r="G2698" s="41" t="str">
        <f>IFERROR(IF(F2698&gt;=0,D2698*E2698*(1+F2698/100),ABS(D2698*E2698/F2698)),"")</f>
        <v/>
      </c>
      <c r="H2698" s="42" t="str">
        <f>IFERROR(G2698*E2680,"")</f>
        <v/>
      </c>
    </row>
    <row r="2699" spans="1:11" ht="12.75" customHeight="1" thickTop="1" thickBot="1"/>
    <row r="2700" spans="1:11" ht="12.75" customHeight="1" thickTop="1" thickBot="1">
      <c r="A2700" s="6" t="s">
        <v>867</v>
      </c>
      <c r="B2700" s="7" t="str">
        <f>VLOOKUP($A2700,Presupuesto!$A:$D,2,FALSE())</f>
        <v>Valvula cortina bronce de 1 1/2"</v>
      </c>
      <c r="C2700" s="8" t="str">
        <f>VLOOKUP($A2700,Presupuesto!$A:$D,3,FALSE())</f>
        <v>Un</v>
      </c>
      <c r="D2700" s="9"/>
      <c r="E2700" s="10">
        <f>VLOOKUP($A2700,Presupuesto!$A:$D,4,FALSE())</f>
        <v>0</v>
      </c>
      <c r="F2700" s="11" t="s">
        <v>2589</v>
      </c>
      <c r="G2700" s="12">
        <f>SUM(G2702:G2718)/2</f>
        <v>290238.96140662499</v>
      </c>
      <c r="H2700" s="13">
        <f>ROUND(SUM(H2702:H2718),0)/2</f>
        <v>0</v>
      </c>
      <c r="I2700" s="10">
        <f>VLOOKUP(A2700,Presupuesto!$A:$F,6,0)</f>
        <v>0</v>
      </c>
      <c r="J2700" s="10">
        <f>+H2700-I2700</f>
        <v>0</v>
      </c>
      <c r="K2700" s="46">
        <f>+H2700-G2700*E2700</f>
        <v>0</v>
      </c>
    </row>
    <row r="2701" spans="1:11" ht="12.75" customHeight="1" thickTop="1">
      <c r="A2701" s="14"/>
      <c r="B2701" s="15" t="s">
        <v>2586</v>
      </c>
      <c r="C2701" s="15" t="s">
        <v>5</v>
      </c>
      <c r="D2701" s="16" t="s">
        <v>6</v>
      </c>
      <c r="E2701" s="17" t="s">
        <v>7</v>
      </c>
      <c r="F2701" s="18" t="s">
        <v>3728</v>
      </c>
      <c r="G2701" s="19" t="s">
        <v>3729</v>
      </c>
      <c r="H2701" s="20" t="s">
        <v>3797</v>
      </c>
    </row>
    <row r="2702" spans="1:11" ht="12.75" customHeight="1">
      <c r="A2702" s="21"/>
      <c r="B2702" s="22" t="s">
        <v>3730</v>
      </c>
      <c r="C2702" s="23"/>
      <c r="D2702" s="24"/>
      <c r="E2702" s="25"/>
      <c r="F2702" s="26"/>
      <c r="G2702" s="27">
        <f>SUM(G2703:G2707)</f>
        <v>235220.58</v>
      </c>
      <c r="H2702" s="27">
        <f>IFERROR(G2702*E2700,"")</f>
        <v>0</v>
      </c>
    </row>
    <row r="2703" spans="1:11" ht="12.75" customHeight="1">
      <c r="A2703" s="28"/>
      <c r="B2703" s="29" t="s">
        <v>3529</v>
      </c>
      <c r="C2703" s="30" t="str">
        <f>IFERROR(_xlfn.XLOOKUP(B2703,Insumo[DESCRIPCION],Insumo[UND],,0),"")</f>
        <v>Un</v>
      </c>
      <c r="D2703" s="31">
        <v>1</v>
      </c>
      <c r="E2703" s="32">
        <f>IFERROR(_xlfn.XLOOKUP($B2703,Insumo[DESCRIPCION],Insumo[VALOR],,0),"")</f>
        <v>198909.9</v>
      </c>
      <c r="F2703" s="33"/>
      <c r="G2703" s="34">
        <f>IFERROR(IF(F2703&gt;=0,D2703*E2703*(1+F2703/100),ABS(D2703*E2703/F2703)),"")</f>
        <v>198909.9</v>
      </c>
      <c r="H2703" s="43">
        <f>IFERROR(G2703*E2700,"")</f>
        <v>0</v>
      </c>
    </row>
    <row r="2704" spans="1:11" ht="12.75" customHeight="1">
      <c r="A2704" s="28"/>
      <c r="B2704" s="29" t="s">
        <v>2637</v>
      </c>
      <c r="C2704" s="30" t="str">
        <f>IFERROR(_xlfn.XLOOKUP(B2704,Insumo[DESCRIPCION],Insumo[UND],,0),"")</f>
        <v>Un</v>
      </c>
      <c r="D2704" s="31">
        <v>2</v>
      </c>
      <c r="E2704" s="32">
        <f>IFERROR(_xlfn.XLOOKUP($B2704,Insumo[DESCRIPCION],Insumo[VALOR],,0),"")</f>
        <v>15990.45</v>
      </c>
      <c r="F2704" s="33"/>
      <c r="G2704" s="34">
        <f>IFERROR(IF(F2704&gt;=0,D2704*E2704*(1+F2704/100),ABS(D2704*E2704/F2704)),"")</f>
        <v>31980.9</v>
      </c>
      <c r="H2704" s="43">
        <f>IFERROR(G2704*E2700,"")</f>
        <v>0</v>
      </c>
    </row>
    <row r="2705" spans="1:11" ht="12.75" customHeight="1">
      <c r="A2705" s="28"/>
      <c r="B2705" s="29" t="s">
        <v>3046</v>
      </c>
      <c r="C2705" s="30" t="str">
        <f>IFERROR(_xlfn.XLOOKUP(B2705,Insumo[DESCRIPCION],Insumo[UND],,0),"")</f>
        <v>Un</v>
      </c>
      <c r="D2705" s="31">
        <v>0.04</v>
      </c>
      <c r="E2705" s="32">
        <f>IFERROR(_xlfn.XLOOKUP($B2705,Insumo[DESCRIPCION],Insumo[VALOR],,0),"")</f>
        <v>62413.05</v>
      </c>
      <c r="F2705" s="33"/>
      <c r="G2705" s="34">
        <f>IFERROR(IF(F2705&gt;=0,D2705*E2705*(1+F2705/100),ABS(D2705*E2705/F2705)),"")</f>
        <v>2496.5220000000004</v>
      </c>
      <c r="H2705" s="43">
        <f>IFERROR(G2705*E2700,"")</f>
        <v>0</v>
      </c>
    </row>
    <row r="2706" spans="1:11" ht="12.75" customHeight="1">
      <c r="A2706" s="28"/>
      <c r="B2706" s="29" t="s">
        <v>3329</v>
      </c>
      <c r="C2706" s="30" t="str">
        <f>IFERROR(_xlfn.XLOOKUP(B2706,Insumo[DESCRIPCION],Insumo[UND],,0),"")</f>
        <v>Un</v>
      </c>
      <c r="D2706" s="31">
        <v>0.04</v>
      </c>
      <c r="E2706" s="32">
        <f>IFERROR(_xlfn.XLOOKUP($B2706,Insumo[DESCRIPCION],Insumo[VALOR],,0),"")</f>
        <v>42424.200000000004</v>
      </c>
      <c r="F2706" s="33"/>
      <c r="G2706" s="34">
        <f>IFERROR(IF(F2706&gt;=0,D2706*E2706*(1+F2706/100),ABS(D2706*E2706/F2706)),"")</f>
        <v>1696.9680000000003</v>
      </c>
      <c r="H2706" s="43">
        <f>IFERROR(G2706*E2700,"")</f>
        <v>0</v>
      </c>
    </row>
    <row r="2707" spans="1:11" ht="12.75" customHeight="1">
      <c r="A2707" s="28"/>
      <c r="B2707" s="29" t="s">
        <v>2847</v>
      </c>
      <c r="C2707" s="30" t="str">
        <f>IFERROR(_xlfn.XLOOKUP(B2707,Insumo[DESCRIPCION],Insumo[UND],,0),"")</f>
        <v>Un</v>
      </c>
      <c r="D2707" s="31">
        <v>0.1</v>
      </c>
      <c r="E2707" s="32">
        <f>IFERROR(_xlfn.XLOOKUP($B2707,Insumo[DESCRIPCION],Insumo[VALOR],,0),"")</f>
        <v>1362.9</v>
      </c>
      <c r="F2707" s="33"/>
      <c r="G2707" s="34">
        <f>IFERROR(IF(F2707&gt;=0,D2707*E2707*(1+F2707/100),ABS(D2707*E2707/F2707)),"")</f>
        <v>136.29000000000002</v>
      </c>
      <c r="H2707" s="43">
        <f>IFERROR(G2707*E2700,"")</f>
        <v>0</v>
      </c>
    </row>
    <row r="2708" spans="1:11" ht="12.75" customHeight="1">
      <c r="A2708" s="21"/>
      <c r="B2708" s="22" t="s">
        <v>3731</v>
      </c>
      <c r="C2708" s="23"/>
      <c r="D2708" s="24"/>
      <c r="E2708" s="25"/>
      <c r="F2708" s="26"/>
      <c r="G2708" s="27">
        <f>SUM(G2709:G2711)</f>
        <v>2619.9229241250009</v>
      </c>
      <c r="H2708" s="44">
        <f>G2708*E2700</f>
        <v>0</v>
      </c>
    </row>
    <row r="2709" spans="1:11" ht="12.75" customHeight="1">
      <c r="A2709" s="28"/>
      <c r="B2709" s="29" t="s">
        <v>3626</v>
      </c>
      <c r="C2709" s="30" t="str">
        <f>IFERROR(_xlfn.XLOOKUP(B2709,Equipo[DESCRIPCION],Equipo[UND],,0),"")</f>
        <v>%MO</v>
      </c>
      <c r="D2709" s="31">
        <v>0.05</v>
      </c>
      <c r="E2709" s="32">
        <f>IF(C2709="%MO",G2715,IFERROR(_xlfn.XLOOKUP($B2709,Equipo[DESCRIPCION],Equipo[VALOR],,0),""))</f>
        <v>52398.458482500013</v>
      </c>
      <c r="F2709" s="33"/>
      <c r="G2709" s="34">
        <f>IFERROR(IF(F2709&gt;=0,D2709*E2709*(1+F2709/100),ABS(D2709*E2709/F2709)),"")</f>
        <v>2619.9229241250009</v>
      </c>
      <c r="H2709" s="43">
        <f>IFERROR(G2709*E2700,"")</f>
        <v>0</v>
      </c>
    </row>
    <row r="2710" spans="1:11" ht="12.75" customHeight="1">
      <c r="A2710" s="28"/>
      <c r="B2710" s="29"/>
      <c r="C2710" s="30" t="str">
        <f>IFERROR(_xlfn.XLOOKUP(B2710,Equipo[DESCRIPCION],Equipo[UND],,0),"")</f>
        <v/>
      </c>
      <c r="D2710" s="31"/>
      <c r="E2710" s="32" t="str">
        <f>IF(C2710="%MO",G2715,IFERROR(_xlfn.XLOOKUP($B2710,Equipo[DESCRIPCION],Equipo[VALOR],,0),""))</f>
        <v/>
      </c>
      <c r="F2710" s="33"/>
      <c r="G2710" s="34" t="str">
        <f>IFERROR(IF(F2710&gt;=0,D2710*E2710*(1+F2710/100),ABS(D2710*E2710/F2710)),"")</f>
        <v/>
      </c>
      <c r="H2710" s="43" t="str">
        <f>IFERROR(G2710*E2700,"")</f>
        <v/>
      </c>
    </row>
    <row r="2711" spans="1:11" ht="12.75" customHeight="1">
      <c r="A2711" s="28"/>
      <c r="B2711" s="29"/>
      <c r="C2711" s="30" t="str">
        <f>IFERROR(_xlfn.XLOOKUP(B2711,Equipo[DESCRIPCION],Equipo[UND],,0),"")</f>
        <v/>
      </c>
      <c r="D2711" s="31"/>
      <c r="E2711" s="32" t="str">
        <f>IF(C2711="%MO",G2715,IFERROR(_xlfn.XLOOKUP($B2711,Equipo[DESCRIPCION],Equipo[VALOR],,0),""))</f>
        <v/>
      </c>
      <c r="F2711" s="33"/>
      <c r="G2711" s="34" t="str">
        <f>IFERROR(IF(F2711&gt;=0,D2711*E2711*(1+F2711/100),ABS(D2711*E2711/F2711)),"")</f>
        <v/>
      </c>
      <c r="H2711" s="43" t="str">
        <f>IFERROR(G2711*E2700,"")</f>
        <v/>
      </c>
    </row>
    <row r="2712" spans="1:11" ht="12.75" customHeight="1">
      <c r="A2712" s="21"/>
      <c r="B2712" s="22" t="s">
        <v>2533</v>
      </c>
      <c r="C2712" s="23"/>
      <c r="D2712" s="24"/>
      <c r="E2712" s="25"/>
      <c r="F2712" s="26"/>
      <c r="G2712" s="27">
        <f>SUM(G2713:G2714)</f>
        <v>0</v>
      </c>
      <c r="H2712" s="44">
        <f>G2712*E2700</f>
        <v>0</v>
      </c>
    </row>
    <row r="2713" spans="1:11" ht="12.75" customHeight="1">
      <c r="A2713" s="28"/>
      <c r="B2713" s="29"/>
      <c r="C2713" s="30" t="str">
        <f>IFERROR(_xlfn.XLOOKUP(B2713,Transporte[DESCRIPCION],Transporte[UND],,0),"")</f>
        <v/>
      </c>
      <c r="D2713" s="31"/>
      <c r="E2713" s="32" t="str">
        <f>IFERROR(_xlfn.XLOOKUP($B2713,Transporte[DESCRIPCION],Transporte[VALOR],,0),"")</f>
        <v/>
      </c>
      <c r="F2713" s="33"/>
      <c r="G2713" s="34" t="str">
        <f>IFERROR(IF(F2713&gt;=0,D2713*E2713*(1+F2713/100),ABS(D2713*E2713/F2713)),"")</f>
        <v/>
      </c>
      <c r="H2713" s="43" t="str">
        <f>IFERROR(G2713*E2700,"")</f>
        <v/>
      </c>
    </row>
    <row r="2714" spans="1:11" ht="12.75" customHeight="1">
      <c r="A2714" s="28"/>
      <c r="B2714" s="29"/>
      <c r="C2714" s="30" t="str">
        <f>IFERROR(_xlfn.XLOOKUP(B2714,Transporte[DESCRIPCION],Transporte[UND],,0),"")</f>
        <v/>
      </c>
      <c r="D2714" s="31"/>
      <c r="E2714" s="32" t="str">
        <f>IFERROR(_xlfn.XLOOKUP($B2714,Transporte[DESCRIPCION],Transporte[VALOR],,0),"")</f>
        <v/>
      </c>
      <c r="F2714" s="33"/>
      <c r="G2714" s="34" t="str">
        <f>IFERROR(IF(F2714&gt;=0,D2714*E2714*(1+F2714/100),ABS(D2714*E2714/F2714)),"")</f>
        <v/>
      </c>
      <c r="H2714" s="43" t="str">
        <f>IFERROR(G2714*E2700,"")</f>
        <v/>
      </c>
    </row>
    <row r="2715" spans="1:11" ht="12.75" customHeight="1">
      <c r="A2715" s="21"/>
      <c r="B2715" s="22" t="s">
        <v>3732</v>
      </c>
      <c r="C2715" s="23"/>
      <c r="D2715" s="24"/>
      <c r="E2715" s="25"/>
      <c r="F2715" s="26"/>
      <c r="G2715" s="27">
        <f>SUM(G2716:G2718)</f>
        <v>52398.458482500013</v>
      </c>
      <c r="H2715" s="44">
        <f>G2715*E2700</f>
        <v>0</v>
      </c>
    </row>
    <row r="2716" spans="1:11" ht="12.75" customHeight="1">
      <c r="A2716" s="28"/>
      <c r="B2716" s="29" t="s">
        <v>3710</v>
      </c>
      <c r="C2716" s="30" t="str">
        <f>IFERROR(_xlfn.XLOOKUP(B2716,MObra[DESCRIPCION],MObra[UN],,0),"")</f>
        <v>día</v>
      </c>
      <c r="D2716" s="31">
        <v>1</v>
      </c>
      <c r="E2716" s="32">
        <f>IFERROR(_xlfn.XLOOKUP($B2716,MObra[DESCRIPCION],MObra[VALOR UNIT],,0),"")</f>
        <v>314390.75089500006</v>
      </c>
      <c r="F2716" s="33">
        <v>-6</v>
      </c>
      <c r="G2716" s="34">
        <f>IFERROR(IF(F2716&gt;=0,D2716*E2716*(1+F2716/100),ABS(D2716*E2716/F2716)),"")</f>
        <v>52398.458482500013</v>
      </c>
      <c r="H2716" s="43">
        <f>IFERROR(G2716*E2700,"")</f>
        <v>0</v>
      </c>
    </row>
    <row r="2717" spans="1:11" ht="12.75" customHeight="1">
      <c r="A2717" s="28"/>
      <c r="B2717" s="29"/>
      <c r="C2717" s="30" t="str">
        <f t="array" ref="C2717">IFERROR(_xlfn.XLOOKUP(B2717,MObra[[#All],[DESCRIPCION]],MObra[[#All],[UN]],,0),"")</f>
        <v/>
      </c>
      <c r="D2717" s="31"/>
      <c r="E2717" s="32" t="str">
        <f>IFERROR(_xlfn.XLOOKUP($B2717,MObra[DESCRIPCION],MObra[VALOR UNIT],,0),"")</f>
        <v/>
      </c>
      <c r="F2717" s="33"/>
      <c r="G2717" s="34" t="str">
        <f>IFERROR(IF(F2717&gt;=0,D2717*E2717*(1+F2717/100),ABS(D2717*E2717/F2717)),"")</f>
        <v/>
      </c>
      <c r="H2717" s="43" t="str">
        <f>IFERROR(G2717*E2700,"")</f>
        <v/>
      </c>
    </row>
    <row r="2718" spans="1:11" ht="12.75" customHeight="1" thickBot="1">
      <c r="A2718" s="35"/>
      <c r="B2718" s="36"/>
      <c r="C2718" s="37" t="str">
        <f t="array" ref="C2718">IFERROR(_xlfn.XLOOKUP(B2718,MObra[[#All],[DESCRIPCION]],MObra[[#All],[UN]],,0),"")</f>
        <v/>
      </c>
      <c r="D2718" s="38"/>
      <c r="E2718" s="39" t="str">
        <f>IFERROR(_xlfn.XLOOKUP($B2718,MObra[DESCRIPCION],MObra[VALOR UNIT],,0),"")</f>
        <v/>
      </c>
      <c r="F2718" s="40"/>
      <c r="G2718" s="41" t="str">
        <f>IFERROR(IF(F2718&gt;=0,D2718*E2718*(1+F2718/100),ABS(D2718*E2718/F2718)),"")</f>
        <v/>
      </c>
      <c r="H2718" s="42" t="str">
        <f>IFERROR(G2718*E2700,"")</f>
        <v/>
      </c>
    </row>
    <row r="2719" spans="1:11" ht="12.75" customHeight="1" thickTop="1" thickBot="1"/>
    <row r="2720" spans="1:11" ht="12.75" customHeight="1" thickTop="1" thickBot="1">
      <c r="A2720" s="6" t="s">
        <v>869</v>
      </c>
      <c r="B2720" s="7" t="str">
        <f>VLOOKUP($A2720,Presupuesto!$A:$D,2,FALSE())</f>
        <v>Valvula cortina bronce de 2"</v>
      </c>
      <c r="C2720" s="8" t="str">
        <f>VLOOKUP($A2720,Presupuesto!$A:$D,3,FALSE())</f>
        <v>Un</v>
      </c>
      <c r="D2720" s="9"/>
      <c r="E2720" s="10">
        <f>VLOOKUP($A2720,Presupuesto!$A:$D,4,FALSE())</f>
        <v>0</v>
      </c>
      <c r="F2720" s="11" t="s">
        <v>2589</v>
      </c>
      <c r="G2720" s="12">
        <f>SUM(G2722:G2738)/2</f>
        <v>433658.13768794999</v>
      </c>
      <c r="H2720" s="13">
        <f>ROUND(SUM(H2722:H2738),0)/2</f>
        <v>0</v>
      </c>
      <c r="I2720" s="10">
        <f>VLOOKUP(A2720,Presupuesto!$A:$F,6,0)</f>
        <v>0</v>
      </c>
      <c r="J2720" s="10">
        <f>+H2720-I2720</f>
        <v>0</v>
      </c>
      <c r="K2720" s="46">
        <f>+H2720-G2720*E2720</f>
        <v>0</v>
      </c>
    </row>
    <row r="2721" spans="1:8" ht="12.75" customHeight="1" thickTop="1">
      <c r="A2721" s="14"/>
      <c r="B2721" s="15" t="s">
        <v>2586</v>
      </c>
      <c r="C2721" s="15" t="s">
        <v>5</v>
      </c>
      <c r="D2721" s="16" t="s">
        <v>6</v>
      </c>
      <c r="E2721" s="17" t="s">
        <v>7</v>
      </c>
      <c r="F2721" s="18" t="s">
        <v>3728</v>
      </c>
      <c r="G2721" s="19" t="s">
        <v>3729</v>
      </c>
      <c r="H2721" s="20" t="s">
        <v>3797</v>
      </c>
    </row>
    <row r="2722" spans="1:8" ht="12.75" customHeight="1">
      <c r="A2722" s="21"/>
      <c r="B2722" s="22" t="s">
        <v>3730</v>
      </c>
      <c r="C2722" s="23"/>
      <c r="D2722" s="24"/>
      <c r="E2722" s="25"/>
      <c r="F2722" s="26"/>
      <c r="G2722" s="27">
        <f>SUM(G2723:G2727)</f>
        <v>367636.08</v>
      </c>
      <c r="H2722" s="27">
        <f>IFERROR(G2722*E2720,"")</f>
        <v>0</v>
      </c>
    </row>
    <row r="2723" spans="1:8" ht="12.75" customHeight="1">
      <c r="A2723" s="28"/>
      <c r="B2723" s="29" t="s">
        <v>3533</v>
      </c>
      <c r="C2723" s="30" t="str">
        <f>IFERROR(_xlfn.XLOOKUP(B2723,Insumo[DESCRIPCION],Insumo[UND],,0),"")</f>
        <v>Un</v>
      </c>
      <c r="D2723" s="31">
        <v>1</v>
      </c>
      <c r="E2723" s="32">
        <f>IFERROR(_xlfn.XLOOKUP($B2723,Insumo[DESCRIPCION],Insumo[VALOR],,0),"")</f>
        <v>312572.40000000002</v>
      </c>
      <c r="F2723" s="33"/>
      <c r="G2723" s="34">
        <f>IFERROR(IF(F2723&gt;=0,D2723*E2723*(1+F2723/100),ABS(D2723*E2723/F2723)),"")</f>
        <v>312572.40000000002</v>
      </c>
      <c r="H2723" s="43">
        <f>IFERROR(G2723*E2720,"")</f>
        <v>0</v>
      </c>
    </row>
    <row r="2724" spans="1:8" ht="12.75" customHeight="1">
      <c r="A2724" s="28"/>
      <c r="B2724" s="29" t="s">
        <v>2642</v>
      </c>
      <c r="C2724" s="30" t="str">
        <f>IFERROR(_xlfn.XLOOKUP(B2724,Insumo[DESCRIPCION],Insumo[UND],,0),"")</f>
        <v>Un</v>
      </c>
      <c r="D2724" s="31">
        <v>2</v>
      </c>
      <c r="E2724" s="32">
        <f>IFERROR(_xlfn.XLOOKUP($B2724,Insumo[DESCRIPCION],Insumo[VALOR],,0),"")</f>
        <v>25366.95</v>
      </c>
      <c r="F2724" s="33"/>
      <c r="G2724" s="34">
        <f>IFERROR(IF(F2724&gt;=0,D2724*E2724*(1+F2724/100),ABS(D2724*E2724/F2724)),"")</f>
        <v>50733.9</v>
      </c>
      <c r="H2724" s="43">
        <f>IFERROR(G2724*E2720,"")</f>
        <v>0</v>
      </c>
    </row>
    <row r="2725" spans="1:8" ht="12.75" customHeight="1">
      <c r="A2725" s="28"/>
      <c r="B2725" s="29" t="s">
        <v>3046</v>
      </c>
      <c r="C2725" s="30" t="str">
        <f>IFERROR(_xlfn.XLOOKUP(B2725,Insumo[DESCRIPCION],Insumo[UND],,0),"")</f>
        <v>Un</v>
      </c>
      <c r="D2725" s="31">
        <v>0.04</v>
      </c>
      <c r="E2725" s="32">
        <f>IFERROR(_xlfn.XLOOKUP($B2725,Insumo[DESCRIPCION],Insumo[VALOR],,0),"")</f>
        <v>62413.05</v>
      </c>
      <c r="F2725" s="33"/>
      <c r="G2725" s="34">
        <f>IFERROR(IF(F2725&gt;=0,D2725*E2725*(1+F2725/100),ABS(D2725*E2725/F2725)),"")</f>
        <v>2496.5220000000004</v>
      </c>
      <c r="H2725" s="43">
        <f>IFERROR(G2725*E2720,"")</f>
        <v>0</v>
      </c>
    </row>
    <row r="2726" spans="1:8" ht="12.75" customHeight="1">
      <c r="A2726" s="28"/>
      <c r="B2726" s="29" t="s">
        <v>3329</v>
      </c>
      <c r="C2726" s="30" t="str">
        <f>IFERROR(_xlfn.XLOOKUP(B2726,Insumo[DESCRIPCION],Insumo[UND],,0),"")</f>
        <v>Un</v>
      </c>
      <c r="D2726" s="31">
        <v>0.04</v>
      </c>
      <c r="E2726" s="32">
        <f>IFERROR(_xlfn.XLOOKUP($B2726,Insumo[DESCRIPCION],Insumo[VALOR],,0),"")</f>
        <v>42424.200000000004</v>
      </c>
      <c r="F2726" s="33"/>
      <c r="G2726" s="34">
        <f>IFERROR(IF(F2726&gt;=0,D2726*E2726*(1+F2726/100),ABS(D2726*E2726/F2726)),"")</f>
        <v>1696.9680000000003</v>
      </c>
      <c r="H2726" s="43">
        <f>IFERROR(G2726*E2720,"")</f>
        <v>0</v>
      </c>
    </row>
    <row r="2727" spans="1:8" ht="12.75" customHeight="1">
      <c r="A2727" s="28"/>
      <c r="B2727" s="29" t="s">
        <v>2847</v>
      </c>
      <c r="C2727" s="30" t="str">
        <f>IFERROR(_xlfn.XLOOKUP(B2727,Insumo[DESCRIPCION],Insumo[UND],,0),"")</f>
        <v>Un</v>
      </c>
      <c r="D2727" s="31">
        <v>0.1</v>
      </c>
      <c r="E2727" s="32">
        <f>IFERROR(_xlfn.XLOOKUP($B2727,Insumo[DESCRIPCION],Insumo[VALOR],,0),"")</f>
        <v>1362.9</v>
      </c>
      <c r="F2727" s="33"/>
      <c r="G2727" s="34">
        <f>IFERROR(IF(F2727&gt;=0,D2727*E2727*(1+F2727/100),ABS(D2727*E2727/F2727)),"")</f>
        <v>136.29000000000002</v>
      </c>
      <c r="H2727" s="43">
        <f>IFERROR(G2727*E2720,"")</f>
        <v>0</v>
      </c>
    </row>
    <row r="2728" spans="1:8" ht="12.75" customHeight="1">
      <c r="A2728" s="21"/>
      <c r="B2728" s="22" t="s">
        <v>3731</v>
      </c>
      <c r="C2728" s="23"/>
      <c r="D2728" s="24"/>
      <c r="E2728" s="25"/>
      <c r="F2728" s="26"/>
      <c r="G2728" s="27">
        <f>SUM(G2729:G2731)</f>
        <v>3143.9075089500006</v>
      </c>
      <c r="H2728" s="44">
        <f>G2728*E2720</f>
        <v>0</v>
      </c>
    </row>
    <row r="2729" spans="1:8" ht="12.75" customHeight="1">
      <c r="A2729" s="28"/>
      <c r="B2729" s="29" t="s">
        <v>3626</v>
      </c>
      <c r="C2729" s="30" t="str">
        <f>IFERROR(_xlfn.XLOOKUP(B2729,Equipo[DESCRIPCION],Equipo[UND],,0),"")</f>
        <v>%MO</v>
      </c>
      <c r="D2729" s="31">
        <v>0.05</v>
      </c>
      <c r="E2729" s="32">
        <f>IF(C2729="%MO",G2735,IFERROR(_xlfn.XLOOKUP($B2729,Equipo[DESCRIPCION],Equipo[VALOR],,0),""))</f>
        <v>62878.150179000011</v>
      </c>
      <c r="F2729" s="33"/>
      <c r="G2729" s="34">
        <f>IFERROR(IF(F2729&gt;=0,D2729*E2729*(1+F2729/100),ABS(D2729*E2729/F2729)),"")</f>
        <v>3143.9075089500006</v>
      </c>
      <c r="H2729" s="43">
        <f>IFERROR(G2729*E2720,"")</f>
        <v>0</v>
      </c>
    </row>
    <row r="2730" spans="1:8" ht="12.75" customHeight="1">
      <c r="A2730" s="28"/>
      <c r="B2730" s="29"/>
      <c r="C2730" s="30" t="str">
        <f>IFERROR(_xlfn.XLOOKUP(B2730,Equipo[DESCRIPCION],Equipo[UND],,0),"")</f>
        <v/>
      </c>
      <c r="D2730" s="31"/>
      <c r="E2730" s="32" t="str">
        <f>IF(C2730="%MO",G2735,IFERROR(_xlfn.XLOOKUP($B2730,Equipo[DESCRIPCION],Equipo[VALOR],,0),""))</f>
        <v/>
      </c>
      <c r="F2730" s="33"/>
      <c r="G2730" s="34" t="str">
        <f>IFERROR(IF(F2730&gt;=0,D2730*E2730*(1+F2730/100),ABS(D2730*E2730/F2730)),"")</f>
        <v/>
      </c>
      <c r="H2730" s="43" t="str">
        <f>IFERROR(G2730*E2720,"")</f>
        <v/>
      </c>
    </row>
    <row r="2731" spans="1:8" ht="12.75" customHeight="1">
      <c r="A2731" s="28"/>
      <c r="B2731" s="29"/>
      <c r="C2731" s="30" t="str">
        <f>IFERROR(_xlfn.XLOOKUP(B2731,Equipo[DESCRIPCION],Equipo[UND],,0),"")</f>
        <v/>
      </c>
      <c r="D2731" s="31"/>
      <c r="E2731" s="32" t="str">
        <f>IF(C2731="%MO",G2735,IFERROR(_xlfn.XLOOKUP($B2731,Equipo[DESCRIPCION],Equipo[VALOR],,0),""))</f>
        <v/>
      </c>
      <c r="F2731" s="33"/>
      <c r="G2731" s="34" t="str">
        <f>IFERROR(IF(F2731&gt;=0,D2731*E2731*(1+F2731/100),ABS(D2731*E2731/F2731)),"")</f>
        <v/>
      </c>
      <c r="H2731" s="43" t="str">
        <f>IFERROR(G2731*E2720,"")</f>
        <v/>
      </c>
    </row>
    <row r="2732" spans="1:8" ht="12.75" customHeight="1">
      <c r="A2732" s="21"/>
      <c r="B2732" s="22" t="s">
        <v>2533</v>
      </c>
      <c r="C2732" s="23"/>
      <c r="D2732" s="24"/>
      <c r="E2732" s="25"/>
      <c r="F2732" s="26"/>
      <c r="G2732" s="27">
        <f>SUM(G2733:G2734)</f>
        <v>0</v>
      </c>
      <c r="H2732" s="44">
        <f>G2732*E2720</f>
        <v>0</v>
      </c>
    </row>
    <row r="2733" spans="1:8" ht="12.75" customHeight="1">
      <c r="A2733" s="28"/>
      <c r="B2733" s="29"/>
      <c r="C2733" s="30" t="str">
        <f>IFERROR(_xlfn.XLOOKUP(B2733,Transporte[DESCRIPCION],Transporte[UND],,0),"")</f>
        <v/>
      </c>
      <c r="D2733" s="31"/>
      <c r="E2733" s="32" t="str">
        <f>IFERROR(_xlfn.XLOOKUP($B2733,Transporte[DESCRIPCION],Transporte[VALOR],,0),"")</f>
        <v/>
      </c>
      <c r="F2733" s="33"/>
      <c r="G2733" s="34" t="str">
        <f>IFERROR(IF(F2733&gt;=0,D2733*E2733*(1+F2733/100),ABS(D2733*E2733/F2733)),"")</f>
        <v/>
      </c>
      <c r="H2733" s="43" t="str">
        <f>IFERROR(G2733*E2720,"")</f>
        <v/>
      </c>
    </row>
    <row r="2734" spans="1:8" ht="12.75" customHeight="1">
      <c r="A2734" s="28"/>
      <c r="B2734" s="29"/>
      <c r="C2734" s="30" t="str">
        <f>IFERROR(_xlfn.XLOOKUP(B2734,Transporte[DESCRIPCION],Transporte[UND],,0),"")</f>
        <v/>
      </c>
      <c r="D2734" s="31"/>
      <c r="E2734" s="32" t="str">
        <f>IFERROR(_xlfn.XLOOKUP($B2734,Transporte[DESCRIPCION],Transporte[VALOR],,0),"")</f>
        <v/>
      </c>
      <c r="F2734" s="33"/>
      <c r="G2734" s="34" t="str">
        <f>IFERROR(IF(F2734&gt;=0,D2734*E2734*(1+F2734/100),ABS(D2734*E2734/F2734)),"")</f>
        <v/>
      </c>
      <c r="H2734" s="43" t="str">
        <f>IFERROR(G2734*E2720,"")</f>
        <v/>
      </c>
    </row>
    <row r="2735" spans="1:8" ht="12.75" customHeight="1">
      <c r="A2735" s="21"/>
      <c r="B2735" s="22" t="s">
        <v>3732</v>
      </c>
      <c r="C2735" s="23"/>
      <c r="D2735" s="24"/>
      <c r="E2735" s="25"/>
      <c r="F2735" s="26"/>
      <c r="G2735" s="27">
        <f>SUM(G2736:G2738)</f>
        <v>62878.150179000011</v>
      </c>
      <c r="H2735" s="44">
        <f>G2735*E2720</f>
        <v>0</v>
      </c>
    </row>
    <row r="2736" spans="1:8" ht="12.75" customHeight="1">
      <c r="A2736" s="28"/>
      <c r="B2736" s="29" t="s">
        <v>3710</v>
      </c>
      <c r="C2736" s="30" t="str">
        <f>IFERROR(_xlfn.XLOOKUP(B2736,MObra[DESCRIPCION],MObra[UN],,0),"")</f>
        <v>día</v>
      </c>
      <c r="D2736" s="31">
        <v>1</v>
      </c>
      <c r="E2736" s="32">
        <f>IFERROR(_xlfn.XLOOKUP($B2736,MObra[DESCRIPCION],MObra[VALOR UNIT],,0),"")</f>
        <v>314390.75089500006</v>
      </c>
      <c r="F2736" s="33">
        <v>-5</v>
      </c>
      <c r="G2736" s="34">
        <f>IFERROR(IF(F2736&gt;=0,D2736*E2736*(1+F2736/100),ABS(D2736*E2736/F2736)),"")</f>
        <v>62878.150179000011</v>
      </c>
      <c r="H2736" s="43">
        <f>IFERROR(G2736*E2720,"")</f>
        <v>0</v>
      </c>
    </row>
    <row r="2737" spans="1:11" ht="12.75" customHeight="1">
      <c r="A2737" s="28"/>
      <c r="B2737" s="29"/>
      <c r="C2737" s="30" t="str">
        <f t="array" ref="C2737">IFERROR(_xlfn.XLOOKUP(B2737,MObra[[#All],[DESCRIPCION]],MObra[[#All],[UN]],,0),"")</f>
        <v/>
      </c>
      <c r="D2737" s="31"/>
      <c r="E2737" s="32" t="str">
        <f>IFERROR(_xlfn.XLOOKUP($B2737,MObra[DESCRIPCION],MObra[VALOR UNIT],,0),"")</f>
        <v/>
      </c>
      <c r="F2737" s="33"/>
      <c r="G2737" s="34" t="str">
        <f>IFERROR(IF(F2737&gt;=0,D2737*E2737*(1+F2737/100),ABS(D2737*E2737/F2737)),"")</f>
        <v/>
      </c>
      <c r="H2737" s="43" t="str">
        <f>IFERROR(G2737*E2720,"")</f>
        <v/>
      </c>
    </row>
    <row r="2738" spans="1:11" ht="12.75" customHeight="1" thickBot="1">
      <c r="A2738" s="35"/>
      <c r="B2738" s="36"/>
      <c r="C2738" s="37" t="str">
        <f t="array" ref="C2738">IFERROR(_xlfn.XLOOKUP(B2738,MObra[[#All],[DESCRIPCION]],MObra[[#All],[UN]],,0),"")</f>
        <v/>
      </c>
      <c r="D2738" s="38"/>
      <c r="E2738" s="39" t="str">
        <f>IFERROR(_xlfn.XLOOKUP($B2738,MObra[DESCRIPCION],MObra[VALOR UNIT],,0),"")</f>
        <v/>
      </c>
      <c r="F2738" s="40"/>
      <c r="G2738" s="41" t="str">
        <f>IFERROR(IF(F2738&gt;=0,D2738*E2738*(1+F2738/100),ABS(D2738*E2738/F2738)),"")</f>
        <v/>
      </c>
      <c r="H2738" s="42" t="str">
        <f>IFERROR(G2738*E2720,"")</f>
        <v/>
      </c>
    </row>
    <row r="2739" spans="1:11" ht="12.75" customHeight="1" thickTop="1" thickBot="1"/>
    <row r="2740" spans="1:11" ht="12.75" customHeight="1" thickTop="1" thickBot="1">
      <c r="A2740" s="6" t="s">
        <v>871</v>
      </c>
      <c r="B2740" s="7" t="str">
        <f>VLOOKUP($A2740,Presupuesto!$A:$D,2,FALSE())</f>
        <v>Válvula flotador + acople tanque sanitario</v>
      </c>
      <c r="C2740" s="8" t="str">
        <f>VLOOKUP($A2740,Presupuesto!$A:$D,3,FALSE())</f>
        <v>Un</v>
      </c>
      <c r="D2740" s="9"/>
      <c r="E2740" s="10">
        <f>VLOOKUP($A2740,Presupuesto!$A:$D,4,FALSE())</f>
        <v>0</v>
      </c>
      <c r="F2740" s="11" t="s">
        <v>2589</v>
      </c>
      <c r="G2740" s="12">
        <f>SUM(G2742:G2758)/2</f>
        <v>73156.002562649999</v>
      </c>
      <c r="H2740" s="13">
        <f>ROUND(SUM(H2742:H2758),0)/2</f>
        <v>0</v>
      </c>
      <c r="I2740" s="10">
        <f>VLOOKUP(A2740,Presupuesto!$A:$F,6,0)</f>
        <v>0</v>
      </c>
      <c r="J2740" s="10">
        <f>+H2740-I2740</f>
        <v>0</v>
      </c>
      <c r="K2740" s="46">
        <f>+H2740-G2740*E2740</f>
        <v>0</v>
      </c>
    </row>
    <row r="2741" spans="1:11" ht="12.75" customHeight="1" thickTop="1">
      <c r="A2741" s="14"/>
      <c r="B2741" s="15" t="s">
        <v>2586</v>
      </c>
      <c r="C2741" s="15" t="s">
        <v>5</v>
      </c>
      <c r="D2741" s="16" t="s">
        <v>6</v>
      </c>
      <c r="E2741" s="17" t="s">
        <v>7</v>
      </c>
      <c r="F2741" s="18" t="s">
        <v>3728</v>
      </c>
      <c r="G2741" s="19" t="s">
        <v>3729</v>
      </c>
      <c r="H2741" s="20" t="s">
        <v>3797</v>
      </c>
    </row>
    <row r="2742" spans="1:11" ht="12.75" customHeight="1">
      <c r="A2742" s="21"/>
      <c r="B2742" s="22" t="s">
        <v>3730</v>
      </c>
      <c r="C2742" s="23"/>
      <c r="D2742" s="24"/>
      <c r="E2742" s="25"/>
      <c r="F2742" s="26"/>
      <c r="G2742" s="27">
        <f>SUM(G2743:G2747)</f>
        <v>51148.65</v>
      </c>
      <c r="H2742" s="27">
        <f>IFERROR(G2742*E2740,"")</f>
        <v>0</v>
      </c>
    </row>
    <row r="2743" spans="1:11" ht="12.75" customHeight="1">
      <c r="A2743" s="28"/>
      <c r="B2743" s="29" t="s">
        <v>3535</v>
      </c>
      <c r="C2743" s="30" t="str">
        <f>IFERROR(_xlfn.XLOOKUP(B2743,Insumo[DESCRIPCION],Insumo[UND],,0),"")</f>
        <v>Un</v>
      </c>
      <c r="D2743" s="31">
        <v>1</v>
      </c>
      <c r="E2743" s="32">
        <f>IFERROR(_xlfn.XLOOKUP($B2743,Insumo[DESCRIPCION],Insumo[VALOR],,0),"")</f>
        <v>51148.65</v>
      </c>
      <c r="F2743" s="33"/>
      <c r="G2743" s="34">
        <f>IFERROR(IF(F2743&gt;=0,D2743*E2743*(1+F2743/100),ABS(D2743*E2743/F2743)),"")</f>
        <v>51148.65</v>
      </c>
      <c r="H2743" s="43">
        <f>IFERROR(G2743*E2740,"")</f>
        <v>0</v>
      </c>
    </row>
    <row r="2744" spans="1:11" ht="12.75" customHeight="1">
      <c r="A2744" s="28"/>
      <c r="B2744" s="29"/>
      <c r="C2744" s="30" t="str">
        <f>IFERROR(_xlfn.XLOOKUP(B2744,Insumo[DESCRIPCION],Insumo[UND],,0),"")</f>
        <v/>
      </c>
      <c r="D2744" s="31"/>
      <c r="E2744" s="32" t="str">
        <f>IFERROR(_xlfn.XLOOKUP($B2744,Insumo[DESCRIPCION],Insumo[VALOR],,0),"")</f>
        <v/>
      </c>
      <c r="F2744" s="33"/>
      <c r="G2744" s="34" t="str">
        <f>IFERROR(IF(F2744&gt;=0,D2744*E2744*(1+F2744/100),ABS(D2744*E2744/F2744)),"")</f>
        <v/>
      </c>
      <c r="H2744" s="43" t="str">
        <f>IFERROR(G2744*E2740,"")</f>
        <v/>
      </c>
    </row>
    <row r="2745" spans="1:11" ht="12.75" customHeight="1">
      <c r="A2745" s="28"/>
      <c r="B2745" s="29"/>
      <c r="C2745" s="30" t="str">
        <f>IFERROR(_xlfn.XLOOKUP(B2745,Insumo[DESCRIPCION],Insumo[UND],,0),"")</f>
        <v/>
      </c>
      <c r="D2745" s="31"/>
      <c r="E2745" s="32" t="str">
        <f>IFERROR(_xlfn.XLOOKUP($B2745,Insumo[DESCRIPCION],Insumo[VALOR],,0),"")</f>
        <v/>
      </c>
      <c r="F2745" s="33"/>
      <c r="G2745" s="34" t="str">
        <f>IFERROR(IF(F2745&gt;=0,D2745*E2745*(1+F2745/100),ABS(D2745*E2745/F2745)),"")</f>
        <v/>
      </c>
      <c r="H2745" s="43" t="str">
        <f>IFERROR(G2745*E2740,"")</f>
        <v/>
      </c>
    </row>
    <row r="2746" spans="1:11" ht="12.75" customHeight="1">
      <c r="A2746" s="28"/>
      <c r="B2746" s="29"/>
      <c r="C2746" s="30" t="str">
        <f>IFERROR(_xlfn.XLOOKUP(B2746,Insumo[DESCRIPCION],Insumo[UND],,0),"")</f>
        <v/>
      </c>
      <c r="D2746" s="31"/>
      <c r="E2746" s="32" t="str">
        <f>IFERROR(_xlfn.XLOOKUP($B2746,Insumo[DESCRIPCION],Insumo[VALOR],,0),"")</f>
        <v/>
      </c>
      <c r="F2746" s="33"/>
      <c r="G2746" s="34" t="str">
        <f>IFERROR(IF(F2746&gt;=0,D2746*E2746*(1+F2746/100),ABS(D2746*E2746/F2746)),"")</f>
        <v/>
      </c>
      <c r="H2746" s="43" t="str">
        <f>IFERROR(G2746*E2740,"")</f>
        <v/>
      </c>
    </row>
    <row r="2747" spans="1:11" ht="12.75" customHeight="1">
      <c r="A2747" s="28"/>
      <c r="B2747" s="29"/>
      <c r="C2747" s="30" t="str">
        <f>IFERROR(_xlfn.XLOOKUP(B2747,Insumo[DESCRIPCION],Insumo[UND],,0),"")</f>
        <v/>
      </c>
      <c r="D2747" s="31"/>
      <c r="E2747" s="32" t="str">
        <f>IFERROR(_xlfn.XLOOKUP($B2747,Insumo[DESCRIPCION],Insumo[VALOR],,0),"")</f>
        <v/>
      </c>
      <c r="F2747" s="33"/>
      <c r="G2747" s="34" t="str">
        <f>IFERROR(IF(F2747&gt;=0,D2747*E2747*(1+F2747/100),ABS(D2747*E2747/F2747)),"")</f>
        <v/>
      </c>
      <c r="H2747" s="43" t="str">
        <f>IFERROR(G2747*E2740,"")</f>
        <v/>
      </c>
    </row>
    <row r="2748" spans="1:11" ht="12.75" customHeight="1">
      <c r="A2748" s="21"/>
      <c r="B2748" s="22" t="s">
        <v>3731</v>
      </c>
      <c r="C2748" s="23"/>
      <c r="D2748" s="24"/>
      <c r="E2748" s="25"/>
      <c r="F2748" s="26"/>
      <c r="G2748" s="27">
        <f>SUM(G2749:G2751)</f>
        <v>1047.9691696500001</v>
      </c>
      <c r="H2748" s="44">
        <f>G2748*E2740</f>
        <v>0</v>
      </c>
    </row>
    <row r="2749" spans="1:11" ht="12.75" customHeight="1">
      <c r="A2749" s="28"/>
      <c r="B2749" s="29" t="s">
        <v>3626</v>
      </c>
      <c r="C2749" s="30" t="str">
        <f>IFERROR(_xlfn.XLOOKUP(B2749,Equipo[DESCRIPCION],Equipo[UND],,0),"")</f>
        <v>%MO</v>
      </c>
      <c r="D2749" s="31">
        <v>0.05</v>
      </c>
      <c r="E2749" s="32">
        <f>IF(C2749="%MO",G2755,IFERROR(_xlfn.XLOOKUP($B2749,Equipo[DESCRIPCION],Equipo[VALOR],,0),""))</f>
        <v>20959.383393000004</v>
      </c>
      <c r="F2749" s="33"/>
      <c r="G2749" s="34">
        <f>IFERROR(IF(F2749&gt;=0,D2749*E2749*(1+F2749/100),ABS(D2749*E2749/F2749)),"")</f>
        <v>1047.9691696500001</v>
      </c>
      <c r="H2749" s="43">
        <f>IFERROR(G2749*E2740,"")</f>
        <v>0</v>
      </c>
    </row>
    <row r="2750" spans="1:11" ht="12.75" customHeight="1">
      <c r="A2750" s="28"/>
      <c r="B2750" s="29"/>
      <c r="C2750" s="30" t="str">
        <f>IFERROR(_xlfn.XLOOKUP(B2750,Equipo[DESCRIPCION],Equipo[UND],,0),"")</f>
        <v/>
      </c>
      <c r="D2750" s="31"/>
      <c r="E2750" s="32" t="str">
        <f>IF(C2750="%MO",G2755,IFERROR(_xlfn.XLOOKUP($B2750,Equipo[DESCRIPCION],Equipo[VALOR],,0),""))</f>
        <v/>
      </c>
      <c r="F2750" s="33"/>
      <c r="G2750" s="34" t="str">
        <f>IFERROR(IF(F2750&gt;=0,D2750*E2750*(1+F2750/100),ABS(D2750*E2750/F2750)),"")</f>
        <v/>
      </c>
      <c r="H2750" s="43" t="str">
        <f>IFERROR(G2750*E2740,"")</f>
        <v/>
      </c>
    </row>
    <row r="2751" spans="1:11" ht="12.75" customHeight="1">
      <c r="A2751" s="28"/>
      <c r="B2751" s="29"/>
      <c r="C2751" s="30" t="str">
        <f>IFERROR(_xlfn.XLOOKUP(B2751,Equipo[DESCRIPCION],Equipo[UND],,0),"")</f>
        <v/>
      </c>
      <c r="D2751" s="31"/>
      <c r="E2751" s="32" t="str">
        <f>IF(C2751="%MO",G2755,IFERROR(_xlfn.XLOOKUP($B2751,Equipo[DESCRIPCION],Equipo[VALOR],,0),""))</f>
        <v/>
      </c>
      <c r="F2751" s="33"/>
      <c r="G2751" s="34" t="str">
        <f>IFERROR(IF(F2751&gt;=0,D2751*E2751*(1+F2751/100),ABS(D2751*E2751/F2751)),"")</f>
        <v/>
      </c>
      <c r="H2751" s="43" t="str">
        <f>IFERROR(G2751*E2740,"")</f>
        <v/>
      </c>
    </row>
    <row r="2752" spans="1:11" ht="12.75" customHeight="1">
      <c r="A2752" s="21"/>
      <c r="B2752" s="22" t="s">
        <v>2533</v>
      </c>
      <c r="C2752" s="23"/>
      <c r="D2752" s="24"/>
      <c r="E2752" s="25"/>
      <c r="F2752" s="26"/>
      <c r="G2752" s="27">
        <f>SUM(G2753:G2754)</f>
        <v>0</v>
      </c>
      <c r="H2752" s="44">
        <f>G2752*E2740</f>
        <v>0</v>
      </c>
    </row>
    <row r="2753" spans="1:11" ht="12.75" customHeight="1">
      <c r="A2753" s="28"/>
      <c r="B2753" s="29"/>
      <c r="C2753" s="30" t="str">
        <f>IFERROR(_xlfn.XLOOKUP(B2753,Transporte[DESCRIPCION],Transporte[UND],,0),"")</f>
        <v/>
      </c>
      <c r="D2753" s="31"/>
      <c r="E2753" s="32" t="str">
        <f>IFERROR(_xlfn.XLOOKUP($B2753,Transporte[DESCRIPCION],Transporte[VALOR],,0),"")</f>
        <v/>
      </c>
      <c r="F2753" s="33"/>
      <c r="G2753" s="34" t="str">
        <f>IFERROR(IF(F2753&gt;=0,D2753*E2753*(1+F2753/100),ABS(D2753*E2753/F2753)),"")</f>
        <v/>
      </c>
      <c r="H2753" s="43" t="str">
        <f>IFERROR(G2753*E2740,"")</f>
        <v/>
      </c>
    </row>
    <row r="2754" spans="1:11" ht="12.75" customHeight="1">
      <c r="A2754" s="28"/>
      <c r="B2754" s="29"/>
      <c r="C2754" s="30" t="str">
        <f>IFERROR(_xlfn.XLOOKUP(B2754,Transporte[DESCRIPCION],Transporte[UND],,0),"")</f>
        <v/>
      </c>
      <c r="D2754" s="31"/>
      <c r="E2754" s="32" t="str">
        <f>IFERROR(_xlfn.XLOOKUP($B2754,Transporte[DESCRIPCION],Transporte[VALOR],,0),"")</f>
        <v/>
      </c>
      <c r="F2754" s="33"/>
      <c r="G2754" s="34" t="str">
        <f>IFERROR(IF(F2754&gt;=0,D2754*E2754*(1+F2754/100),ABS(D2754*E2754/F2754)),"")</f>
        <v/>
      </c>
      <c r="H2754" s="43" t="str">
        <f>IFERROR(G2754*E2740,"")</f>
        <v/>
      </c>
    </row>
    <row r="2755" spans="1:11" ht="12.75" customHeight="1">
      <c r="A2755" s="21"/>
      <c r="B2755" s="22" t="s">
        <v>3732</v>
      </c>
      <c r="C2755" s="23"/>
      <c r="D2755" s="24"/>
      <c r="E2755" s="25"/>
      <c r="F2755" s="26"/>
      <c r="G2755" s="27">
        <f>SUM(G2756:G2758)</f>
        <v>20959.383393000004</v>
      </c>
      <c r="H2755" s="44">
        <f>G2755*E2740</f>
        <v>0</v>
      </c>
    </row>
    <row r="2756" spans="1:11" ht="12.75" customHeight="1">
      <c r="A2756" s="28"/>
      <c r="B2756" s="29" t="s">
        <v>3710</v>
      </c>
      <c r="C2756" s="30" t="str">
        <f>IFERROR(_xlfn.XLOOKUP(B2756,MObra[DESCRIPCION],MObra[UN],,0),"")</f>
        <v>día</v>
      </c>
      <c r="D2756" s="31">
        <v>1</v>
      </c>
      <c r="E2756" s="32">
        <f>IFERROR(_xlfn.XLOOKUP($B2756,MObra[DESCRIPCION],MObra[VALOR UNIT],,0),"")</f>
        <v>314390.75089500006</v>
      </c>
      <c r="F2756" s="33">
        <v>-15</v>
      </c>
      <c r="G2756" s="34">
        <f>IFERROR(IF(F2756&gt;=0,D2756*E2756*(1+F2756/100),ABS(D2756*E2756/F2756)),"")</f>
        <v>20959.383393000004</v>
      </c>
      <c r="H2756" s="43">
        <f>IFERROR(G2756*E2740,"")</f>
        <v>0</v>
      </c>
    </row>
    <row r="2757" spans="1:11" ht="12.75" customHeight="1">
      <c r="A2757" s="28"/>
      <c r="B2757" s="29"/>
      <c r="C2757" s="30" t="str">
        <f t="array" ref="C2757">IFERROR(_xlfn.XLOOKUP(B2757,MObra[[#All],[DESCRIPCION]],MObra[[#All],[UN]],,0),"")</f>
        <v/>
      </c>
      <c r="D2757" s="31"/>
      <c r="E2757" s="32" t="str">
        <f>IFERROR(_xlfn.XLOOKUP($B2757,MObra[DESCRIPCION],MObra[VALOR UNIT],,0),"")</f>
        <v/>
      </c>
      <c r="F2757" s="33"/>
      <c r="G2757" s="34" t="str">
        <f>IFERROR(IF(F2757&gt;=0,D2757*E2757*(1+F2757/100),ABS(D2757*E2757/F2757)),"")</f>
        <v/>
      </c>
      <c r="H2757" s="43" t="str">
        <f>IFERROR(G2757*E2740,"")</f>
        <v/>
      </c>
    </row>
    <row r="2758" spans="1:11" ht="12.75" customHeight="1" thickBot="1">
      <c r="A2758" s="35"/>
      <c r="B2758" s="36"/>
      <c r="C2758" s="37" t="str">
        <f t="array" ref="C2758">IFERROR(_xlfn.XLOOKUP(B2758,MObra[[#All],[DESCRIPCION]],MObra[[#All],[UN]],,0),"")</f>
        <v/>
      </c>
      <c r="D2758" s="38"/>
      <c r="E2758" s="39" t="str">
        <f>IFERROR(_xlfn.XLOOKUP($B2758,MObra[DESCRIPCION],MObra[VALOR UNIT],,0),"")</f>
        <v/>
      </c>
      <c r="F2758" s="40"/>
      <c r="G2758" s="41" t="str">
        <f>IFERROR(IF(F2758&gt;=0,D2758*E2758*(1+F2758/100),ABS(D2758*E2758/F2758)),"")</f>
        <v/>
      </c>
      <c r="H2758" s="42" t="str">
        <f>IFERROR(G2758*E2740,"")</f>
        <v/>
      </c>
    </row>
    <row r="2759" spans="1:11" ht="12.75" customHeight="1" thickTop="1" thickBot="1"/>
    <row r="2760" spans="1:11" ht="12.75" customHeight="1" thickTop="1" thickBot="1">
      <c r="A2760" s="6" t="s">
        <v>873</v>
      </c>
      <c r="B2760" s="7" t="str">
        <f>VLOOKUP($A2760,Presupuesto!$A:$D,2,FALSE())</f>
        <v>Válvula flotador tanque reserva</v>
      </c>
      <c r="C2760" s="8" t="str">
        <f>VLOOKUP($A2760,Presupuesto!$A:$D,3,FALSE())</f>
        <v>Un</v>
      </c>
      <c r="D2760" s="9"/>
      <c r="E2760" s="10">
        <f>VLOOKUP($A2760,Presupuesto!$A:$D,4,FALSE())</f>
        <v>0</v>
      </c>
      <c r="F2760" s="11" t="s">
        <v>2589</v>
      </c>
      <c r="G2760" s="12">
        <f>SUM(G2762:G2778)/2</f>
        <v>95888.502562649999</v>
      </c>
      <c r="H2760" s="13">
        <f>ROUND(SUM(H2762:H2778),0)/2</f>
        <v>0</v>
      </c>
      <c r="I2760" s="10">
        <f>VLOOKUP(A2760,Presupuesto!$A:$F,6,0)</f>
        <v>0</v>
      </c>
      <c r="J2760" s="10">
        <f>+H2760-I2760</f>
        <v>0</v>
      </c>
      <c r="K2760" s="46">
        <f>+H2760-G2760*E2760</f>
        <v>0</v>
      </c>
    </row>
    <row r="2761" spans="1:11" ht="12.75" customHeight="1" thickTop="1">
      <c r="A2761" s="14"/>
      <c r="B2761" s="15" t="s">
        <v>2586</v>
      </c>
      <c r="C2761" s="15" t="s">
        <v>5</v>
      </c>
      <c r="D2761" s="16" t="s">
        <v>6</v>
      </c>
      <c r="E2761" s="17" t="s">
        <v>7</v>
      </c>
      <c r="F2761" s="18" t="s">
        <v>3728</v>
      </c>
      <c r="G2761" s="19" t="s">
        <v>3729</v>
      </c>
      <c r="H2761" s="20" t="s">
        <v>3797</v>
      </c>
    </row>
    <row r="2762" spans="1:11" ht="12.75" customHeight="1">
      <c r="A2762" s="21"/>
      <c r="B2762" s="22" t="s">
        <v>3730</v>
      </c>
      <c r="C2762" s="23"/>
      <c r="D2762" s="24"/>
      <c r="E2762" s="25"/>
      <c r="F2762" s="26"/>
      <c r="G2762" s="27">
        <f>SUM(G2763:G2767)</f>
        <v>73881.150000000009</v>
      </c>
      <c r="H2762" s="27">
        <f>IFERROR(G2762*E2760,"")</f>
        <v>0</v>
      </c>
    </row>
    <row r="2763" spans="1:11" ht="12.75" customHeight="1">
      <c r="A2763" s="28"/>
      <c r="B2763" s="29" t="s">
        <v>3536</v>
      </c>
      <c r="C2763" s="30" t="str">
        <f>IFERROR(_xlfn.XLOOKUP(B2763,Insumo[DESCRIPCION],Insumo[UND],,0),"")</f>
        <v>Un</v>
      </c>
      <c r="D2763" s="31">
        <v>1</v>
      </c>
      <c r="E2763" s="32">
        <f>IFERROR(_xlfn.XLOOKUP($B2763,Insumo[DESCRIPCION],Insumo[VALOR],,0),"")</f>
        <v>73881.150000000009</v>
      </c>
      <c r="F2763" s="33"/>
      <c r="G2763" s="34">
        <f>IFERROR(IF(F2763&gt;=0,D2763*E2763*(1+F2763/100),ABS(D2763*E2763/F2763)),"")</f>
        <v>73881.150000000009</v>
      </c>
      <c r="H2763" s="43">
        <f>IFERROR(G2763*E2760,"")</f>
        <v>0</v>
      </c>
    </row>
    <row r="2764" spans="1:11" ht="12.75" customHeight="1">
      <c r="A2764" s="28"/>
      <c r="B2764" s="29"/>
      <c r="C2764" s="30" t="str">
        <f>IFERROR(_xlfn.XLOOKUP(B2764,Insumo[DESCRIPCION],Insumo[UND],,0),"")</f>
        <v/>
      </c>
      <c r="D2764" s="31"/>
      <c r="E2764" s="32" t="str">
        <f>IFERROR(_xlfn.XLOOKUP($B2764,Insumo[DESCRIPCION],Insumo[VALOR],,0),"")</f>
        <v/>
      </c>
      <c r="F2764" s="33"/>
      <c r="G2764" s="34" t="str">
        <f>IFERROR(IF(F2764&gt;=0,D2764*E2764*(1+F2764/100),ABS(D2764*E2764/F2764)),"")</f>
        <v/>
      </c>
      <c r="H2764" s="43" t="str">
        <f>IFERROR(G2764*E2760,"")</f>
        <v/>
      </c>
    </row>
    <row r="2765" spans="1:11" ht="12.75" customHeight="1">
      <c r="A2765" s="28"/>
      <c r="B2765" s="29"/>
      <c r="C2765" s="30" t="str">
        <f>IFERROR(_xlfn.XLOOKUP(B2765,Insumo[DESCRIPCION],Insumo[UND],,0),"")</f>
        <v/>
      </c>
      <c r="D2765" s="31"/>
      <c r="E2765" s="32" t="str">
        <f>IFERROR(_xlfn.XLOOKUP($B2765,Insumo[DESCRIPCION],Insumo[VALOR],,0),"")</f>
        <v/>
      </c>
      <c r="F2765" s="33"/>
      <c r="G2765" s="34" t="str">
        <f>IFERROR(IF(F2765&gt;=0,D2765*E2765*(1+F2765/100),ABS(D2765*E2765/F2765)),"")</f>
        <v/>
      </c>
      <c r="H2765" s="43" t="str">
        <f>IFERROR(G2765*E2760,"")</f>
        <v/>
      </c>
    </row>
    <row r="2766" spans="1:11" ht="12.75" customHeight="1">
      <c r="A2766" s="28"/>
      <c r="B2766" s="29"/>
      <c r="C2766" s="30" t="str">
        <f>IFERROR(_xlfn.XLOOKUP(B2766,Insumo[DESCRIPCION],Insumo[UND],,0),"")</f>
        <v/>
      </c>
      <c r="D2766" s="31"/>
      <c r="E2766" s="32" t="str">
        <f>IFERROR(_xlfn.XLOOKUP($B2766,Insumo[DESCRIPCION],Insumo[VALOR],,0),"")</f>
        <v/>
      </c>
      <c r="F2766" s="33"/>
      <c r="G2766" s="34" t="str">
        <f>IFERROR(IF(F2766&gt;=0,D2766*E2766*(1+F2766/100),ABS(D2766*E2766/F2766)),"")</f>
        <v/>
      </c>
      <c r="H2766" s="43" t="str">
        <f>IFERROR(G2766*E2760,"")</f>
        <v/>
      </c>
    </row>
    <row r="2767" spans="1:11" ht="12.75" customHeight="1">
      <c r="A2767" s="28"/>
      <c r="B2767" s="29"/>
      <c r="C2767" s="30" t="str">
        <f>IFERROR(_xlfn.XLOOKUP(B2767,Insumo[DESCRIPCION],Insumo[UND],,0),"")</f>
        <v/>
      </c>
      <c r="D2767" s="31"/>
      <c r="E2767" s="32" t="str">
        <f>IFERROR(_xlfn.XLOOKUP($B2767,Insumo[DESCRIPCION],Insumo[VALOR],,0),"")</f>
        <v/>
      </c>
      <c r="F2767" s="33"/>
      <c r="G2767" s="34" t="str">
        <f>IFERROR(IF(F2767&gt;=0,D2767*E2767*(1+F2767/100),ABS(D2767*E2767/F2767)),"")</f>
        <v/>
      </c>
      <c r="H2767" s="43" t="str">
        <f>IFERROR(G2767*E2760,"")</f>
        <v/>
      </c>
    </row>
    <row r="2768" spans="1:11" ht="12.75" customHeight="1">
      <c r="A2768" s="21"/>
      <c r="B2768" s="22" t="s">
        <v>3731</v>
      </c>
      <c r="C2768" s="23"/>
      <c r="D2768" s="24"/>
      <c r="E2768" s="25"/>
      <c r="F2768" s="26"/>
      <c r="G2768" s="27">
        <f>SUM(G2769:G2771)</f>
        <v>1047.9691696500001</v>
      </c>
      <c r="H2768" s="44">
        <f>G2768*E2760</f>
        <v>0</v>
      </c>
    </row>
    <row r="2769" spans="1:8" ht="12.75" customHeight="1">
      <c r="A2769" s="28"/>
      <c r="B2769" s="29" t="s">
        <v>3626</v>
      </c>
      <c r="C2769" s="30" t="str">
        <f>IFERROR(_xlfn.XLOOKUP(B2769,Equipo[DESCRIPCION],Equipo[UND],,0),"")</f>
        <v>%MO</v>
      </c>
      <c r="D2769" s="31">
        <v>0.05</v>
      </c>
      <c r="E2769" s="32">
        <f>IF(C2769="%MO",G2775,IFERROR(_xlfn.XLOOKUP($B2769,Equipo[DESCRIPCION],Equipo[VALOR],,0),""))</f>
        <v>20959.383393000004</v>
      </c>
      <c r="F2769" s="33"/>
      <c r="G2769" s="34">
        <f>IFERROR(IF(F2769&gt;=0,D2769*E2769*(1+F2769/100),ABS(D2769*E2769/F2769)),"")</f>
        <v>1047.9691696500001</v>
      </c>
      <c r="H2769" s="43">
        <f>IFERROR(G2769*E2760,"")</f>
        <v>0</v>
      </c>
    </row>
    <row r="2770" spans="1:8" ht="12.75" customHeight="1">
      <c r="A2770" s="28"/>
      <c r="B2770" s="29"/>
      <c r="C2770" s="30" t="str">
        <f>IFERROR(_xlfn.XLOOKUP(B2770,Equipo[DESCRIPCION],Equipo[UND],,0),"")</f>
        <v/>
      </c>
      <c r="D2770" s="31"/>
      <c r="E2770" s="32" t="str">
        <f>IF(C2770="%MO",G2775,IFERROR(_xlfn.XLOOKUP($B2770,Equipo[DESCRIPCION],Equipo[VALOR],,0),""))</f>
        <v/>
      </c>
      <c r="F2770" s="33"/>
      <c r="G2770" s="34" t="str">
        <f>IFERROR(IF(F2770&gt;=0,D2770*E2770*(1+F2770/100),ABS(D2770*E2770/F2770)),"")</f>
        <v/>
      </c>
      <c r="H2770" s="43" t="str">
        <f>IFERROR(G2770*E2760,"")</f>
        <v/>
      </c>
    </row>
    <row r="2771" spans="1:8" ht="12.75" customHeight="1">
      <c r="A2771" s="28"/>
      <c r="B2771" s="29"/>
      <c r="C2771" s="30" t="str">
        <f>IFERROR(_xlfn.XLOOKUP(B2771,Equipo[DESCRIPCION],Equipo[UND],,0),"")</f>
        <v/>
      </c>
      <c r="D2771" s="31"/>
      <c r="E2771" s="32" t="str">
        <f>IF(C2771="%MO",G2775,IFERROR(_xlfn.XLOOKUP($B2771,Equipo[DESCRIPCION],Equipo[VALOR],,0),""))</f>
        <v/>
      </c>
      <c r="F2771" s="33"/>
      <c r="G2771" s="34" t="str">
        <f>IFERROR(IF(F2771&gt;=0,D2771*E2771*(1+F2771/100),ABS(D2771*E2771/F2771)),"")</f>
        <v/>
      </c>
      <c r="H2771" s="43" t="str">
        <f>IFERROR(G2771*E2760,"")</f>
        <v/>
      </c>
    </row>
    <row r="2772" spans="1:8" ht="12.75" customHeight="1">
      <c r="A2772" s="21"/>
      <c r="B2772" s="22" t="s">
        <v>2533</v>
      </c>
      <c r="C2772" s="23"/>
      <c r="D2772" s="24"/>
      <c r="E2772" s="25"/>
      <c r="F2772" s="26"/>
      <c r="G2772" s="27">
        <f>SUM(G2773:G2774)</f>
        <v>0</v>
      </c>
      <c r="H2772" s="44">
        <f>G2772*E2760</f>
        <v>0</v>
      </c>
    </row>
    <row r="2773" spans="1:8" ht="12.75" customHeight="1">
      <c r="A2773" s="28"/>
      <c r="B2773" s="29"/>
      <c r="C2773" s="30" t="str">
        <f>IFERROR(_xlfn.XLOOKUP(B2773,Transporte[DESCRIPCION],Transporte[UND],,0),"")</f>
        <v/>
      </c>
      <c r="D2773" s="31"/>
      <c r="E2773" s="32" t="str">
        <f>IFERROR(_xlfn.XLOOKUP($B2773,Transporte[DESCRIPCION],Transporte[VALOR],,0),"")</f>
        <v/>
      </c>
      <c r="F2773" s="33"/>
      <c r="G2773" s="34" t="str">
        <f>IFERROR(IF(F2773&gt;=0,D2773*E2773*(1+F2773/100),ABS(D2773*E2773/F2773)),"")</f>
        <v/>
      </c>
      <c r="H2773" s="43" t="str">
        <f>IFERROR(G2773*E2760,"")</f>
        <v/>
      </c>
    </row>
    <row r="2774" spans="1:8" ht="12.75" customHeight="1">
      <c r="A2774" s="28"/>
      <c r="B2774" s="29"/>
      <c r="C2774" s="30" t="str">
        <f>IFERROR(_xlfn.XLOOKUP(B2774,Transporte[DESCRIPCION],Transporte[UND],,0),"")</f>
        <v/>
      </c>
      <c r="D2774" s="31"/>
      <c r="E2774" s="32" t="str">
        <f>IFERROR(_xlfn.XLOOKUP($B2774,Transporte[DESCRIPCION],Transporte[VALOR],,0),"")</f>
        <v/>
      </c>
      <c r="F2774" s="33"/>
      <c r="G2774" s="34" t="str">
        <f>IFERROR(IF(F2774&gt;=0,D2774*E2774*(1+F2774/100),ABS(D2774*E2774/F2774)),"")</f>
        <v/>
      </c>
      <c r="H2774" s="43" t="str">
        <f>IFERROR(G2774*E2760,"")</f>
        <v/>
      </c>
    </row>
    <row r="2775" spans="1:8" ht="12.75" customHeight="1">
      <c r="A2775" s="21"/>
      <c r="B2775" s="22" t="s">
        <v>3732</v>
      </c>
      <c r="C2775" s="23"/>
      <c r="D2775" s="24"/>
      <c r="E2775" s="25"/>
      <c r="F2775" s="26"/>
      <c r="G2775" s="27">
        <f>SUM(G2776:G2778)</f>
        <v>20959.383393000004</v>
      </c>
      <c r="H2775" s="44">
        <f>G2775*E2760</f>
        <v>0</v>
      </c>
    </row>
    <row r="2776" spans="1:8" ht="12.75" customHeight="1">
      <c r="A2776" s="28"/>
      <c r="B2776" s="29" t="s">
        <v>3710</v>
      </c>
      <c r="C2776" s="30" t="str">
        <f>IFERROR(_xlfn.XLOOKUP(B2776,MObra[DESCRIPCION],MObra[UN],,0),"")</f>
        <v>día</v>
      </c>
      <c r="D2776" s="31">
        <v>1</v>
      </c>
      <c r="E2776" s="32">
        <f>IFERROR(_xlfn.XLOOKUP($B2776,MObra[DESCRIPCION],MObra[VALOR UNIT],,0),"")</f>
        <v>314390.75089500006</v>
      </c>
      <c r="F2776" s="33">
        <v>-15</v>
      </c>
      <c r="G2776" s="34">
        <f>IFERROR(IF(F2776&gt;=0,D2776*E2776*(1+F2776/100),ABS(D2776*E2776/F2776)),"")</f>
        <v>20959.383393000004</v>
      </c>
      <c r="H2776" s="43">
        <f>IFERROR(G2776*E2760,"")</f>
        <v>0</v>
      </c>
    </row>
    <row r="2777" spans="1:8" ht="12.75" customHeight="1">
      <c r="A2777" s="28"/>
      <c r="B2777" s="29"/>
      <c r="C2777" s="30" t="str">
        <f t="array" ref="C2777">IFERROR(_xlfn.XLOOKUP(B2777,MObra[[#All],[DESCRIPCION]],MObra[[#All],[UN]],,0),"")</f>
        <v/>
      </c>
      <c r="D2777" s="31"/>
      <c r="E2777" s="32" t="str">
        <f>IFERROR(_xlfn.XLOOKUP($B2777,MObra[DESCRIPCION],MObra[VALOR UNIT],,0),"")</f>
        <v/>
      </c>
      <c r="F2777" s="33"/>
      <c r="G2777" s="34" t="str">
        <f>IFERROR(IF(F2777&gt;=0,D2777*E2777*(1+F2777/100),ABS(D2777*E2777/F2777)),"")</f>
        <v/>
      </c>
      <c r="H2777" s="43" t="str">
        <f>IFERROR(G2777*E2760,"")</f>
        <v/>
      </c>
    </row>
    <row r="2778" spans="1:8" ht="12.75" customHeight="1" thickBot="1">
      <c r="A2778" s="35"/>
      <c r="B2778" s="36"/>
      <c r="C2778" s="37" t="str">
        <f t="array" ref="C2778">IFERROR(_xlfn.XLOOKUP(B2778,MObra[[#All],[DESCRIPCION]],MObra[[#All],[UN]],,0),"")</f>
        <v/>
      </c>
      <c r="D2778" s="38"/>
      <c r="E2778" s="39" t="str">
        <f>IFERROR(_xlfn.XLOOKUP($B2778,MObra[DESCRIPCION],MObra[VALOR UNIT],,0),"")</f>
        <v/>
      </c>
      <c r="F2778" s="40"/>
      <c r="G2778" s="41" t="str">
        <f>IFERROR(IF(F2778&gt;=0,D2778*E2778*(1+F2778/100),ABS(D2778*E2778/F2778)),"")</f>
        <v/>
      </c>
      <c r="H2778" s="42" t="str">
        <f>IFERROR(G2778*E2760,"")</f>
        <v/>
      </c>
    </row>
    <row r="2779" spans="1:8" ht="12.75" customHeight="1" thickTop="1"/>
  </sheetData>
  <mergeCells count="3">
    <mergeCell ref="B1:G1"/>
    <mergeCell ref="B2:G2"/>
    <mergeCell ref="B3:G3"/>
  </mergeCells>
  <dataValidations count="1">
    <dataValidation type="list" allowBlank="1" showInputMessage="1" showErrorMessage="1" sqref="B7:B11 B27:B31 B47:B51 B67:B72 B88:B93 B109:B114 B130:B135 B147 B151:B155 B171:B175 B191:B195 B211:B215 B227 B231:B235 B251:B255 B271:B275 B291:B295 B311:B315 B331:B335 B347 B351:B355 B371:B375 B391:B395 B411:B415 B431:B435 B447 B451:B458 B474:B481 B497:B504 B520:B527 B543:B550 B566:B574 B590:B597 B613:B620 B632 B636:B644 B660:B667 B683:B687 B703:B707 B719 B723:B727 B743:B747 B763:B767 B783:B787 B803:B807 B823:B827 B839 B843:B847 B863:B867 B883:B887 B903:B907 B923:B927 B939 B943:B947 B963:B967 B979 B983:B987 B1003:B1007 B1023:B1027 B1043:B1047 B1063:B1067 B1083:B1087 B1103:B1107 B1123:B1127 B1143:B1147 B1163:B1167 B1183:B1187 B1199 B1203:B1207 B1223:B1227 B1243:B1247 B1263:B1267 B1279 B1283:B1287 B1303:B1307 B1323:B1327 B1343:B1347 B1363:B1367 B1379 B1383:B1387 B1403:B1407 B1423:B1427 B1443:B1447 B1463:B1467 B1479 B1483:B1487 B1503:B1507 B1523:B1527 B1543:B1547 B1563:B1567 B1583:B1587 B1603:B1607 B1623:B1627 B1639 B1643:B1647 B1663:B1667 B1683:B1687 B1703:B1707 B1719 B1723:B1727 B1743:B1747 B1763:B1767 B1783:B1787 B1803:B1807 B1823:B1827 B1839 B1843:B1847 B1863:B1867 B1883:B1887 B1903:B1907 B1923:B1927 B1939 B1943:B1947 B1963:B1967 B1983:B1987 B2003:B2007 B2023:B2027 B2043:B2047 B2063:B2067 B2083:B2087 B2099 B2103:B2107 B2123:B2127 B2143:B2147 B2163:B2167 B2179 B2183:B2187 B2203:B2207 B2223:B2227 B2243:B2247 B2263:B2267 B2283:B2287 B2299 B2303:B2307 B2323:B2327 B2343:B2347 B2363:B2367 B2383:B2387 B2399 B2403:B2407 B2423:B2427 B2443:B2447 B2463:B2467 B2483:B2487 B2503:B2507 B2523:B2527 B2543:B2547 B2559 B2563:B2567 B2583:B2587 B2603:B2607 B2623:B2627 B2639 B2643:B2647 B2663:B2667 B2683:B2687 B2703:B2707 B2723:B2727 B2743:B2747 B2763:B2767" xr:uid="{00000000-0002-0000-0C00-000000000000}">
      <formula1>Desinsum</formula1>
      <formula2>0</formula2>
    </dataValidation>
  </dataValidations>
  <printOptions horizontalCentered="1"/>
  <pageMargins left="0.59055118110236227" right="0.59055118110236227" top="0.59055118110236227" bottom="0.59055118110236227" header="0.51181102362204722" footer="0.51181102362204722"/>
  <pageSetup scale="65" orientation="portrait" horizontalDpi="300" verticalDpi="300" r:id="rId1"/>
  <rowBreaks count="35" manualBreakCount="35">
    <brk id="83" max="6" man="1"/>
    <brk id="166" max="6" man="1"/>
    <brk id="246" max="6" man="1"/>
    <brk id="326" max="6" man="1"/>
    <brk id="406" max="6" man="1"/>
    <brk id="469" max="6" man="1"/>
    <brk id="538" max="6" man="1"/>
    <brk id="608" max="6" man="1"/>
    <brk id="678" max="6" man="1"/>
    <brk id="758" max="6" man="1"/>
    <brk id="838" max="6" man="1"/>
    <brk id="918" max="6" man="1"/>
    <brk id="998" max="6" man="1"/>
    <brk id="1078" max="6" man="1"/>
    <brk id="1158" max="6" man="1"/>
    <brk id="1238" max="6" man="1"/>
    <brk id="1318" max="6" man="1"/>
    <brk id="1398" max="6" man="1"/>
    <brk id="1478" max="6" man="1"/>
    <brk id="1558" max="6" man="1"/>
    <brk id="1638" max="6" man="1"/>
    <brk id="1718" max="6" man="1"/>
    <brk id="1798" max="6" man="1"/>
    <brk id="1878" max="6" man="1"/>
    <brk id="1958" max="6" man="1"/>
    <brk id="2038" max="6" man="1"/>
    <brk id="2118" max="6" man="1"/>
    <brk id="2198" max="6" man="1"/>
    <brk id="2278" max="6" man="1"/>
    <brk id="2358" max="6" man="1"/>
    <brk id="2438" max="6" man="1"/>
    <brk id="2518" max="6" man="1"/>
    <brk id="2598" max="6" man="1"/>
    <brk id="2678" max="6" man="1"/>
    <brk id="2758" max="6" man="1"/>
  </rowBreaks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C00-000001000000}">
          <x14:formula1>
            <xm:f>'Mano de obra'!$B$31:$B$58</xm:f>
          </x14:formula1>
          <x14:formula2>
            <xm:f>0</xm:f>
          </x14:formula2>
          <xm:sqref>B20:B22 B40:B42 B60:B62 B81:B83 B102:B104 B123:B125 B144:B146 B164:B166 B184:B186 B204:B206 B224:B226 B244:B246 B264:B266 B284:B286 B304:B306 B324:B326 B344:B346 B364:B366 B384:B386 B404:B406 B424:B426 B444:B446 B467:B469 B490:B492 B513:B515 B536:B538 B559:B561 B583:B585 B606:B608 B629:B631 B653:B655 B676:B678 B696:B698 B716:B718 B736:B738 B756:B758 B776:B778 B796:B798 B816:B818 B836:B838 B856:B858 B876:B878 B896:B898 B916:B918 B936:B938 B956:B958 B976:B978 B996:B998 B1016:B1018 B1036:B1038 B1056:B1058 B1076:B1078 B1096:B1098 B1116:B1118 B1136:B1138 B1156:B1158 B1176:B1178 B1196:B1198 B1216:B1218 B1236:B1238 B1256:B1258 B1276:B1278 B1296:B1298 B1316:B1318 B1336:B1338 B1356:B1358 B1376:B1378 B1396:B1398 B1416:B1418 B1436:B1438 B1456:B1458 B1476:B1478 B1496:B1498 B1516:B1518 B1536:B1538 B1556:B1558 B1576:B1578 B1596:B1598 B1616:B1618 B1636:B1638 B1656:B1658 B1676:B1678 B1696:B1698 B1716:B1718 B1736:B1738 B1756:B1758 B1776:B1778 B1796:B1798 B1816:B1818 B1836:B1838 B1856:B1858 B1876:B1878 B1896:B1898 B1916:B1918 B1936:B1938 B1956:B1958 B1976:B1978 B1996:B1998 B2016:B2018 B2036:B2038 B2056:B2058 B2076:B2078 B2096:B2098 B2116:B2118 B2136:B2138 B2156:B2158 B2176:B2178 B2196:B2198 B2216:B2218 B2236:B2238 B2256:B2258 B2276:B2278 B2296:B2298 B2316:B2318 B2336:B2338 B2356:B2358 B2376:B2378 B2396:B2398 B2416:B2418 B2436:B2438 B2456:B2458 B2476:B2478 B2496:B2498 B2516:B2518 B2536:B2538 B2556:B2558 B2576:B2578 B2596:B2598 B2616:B2618 B2636:B2638 B2656:B2658 B2676:B2678 B2696:B2698 B2716:B2718 B2736:B2738 B2756:B2758 B2776:B2778</xm:sqref>
        </x14:dataValidation>
        <x14:dataValidation type="list" allowBlank="1" showInputMessage="1" showErrorMessage="1" xr:uid="{00000000-0002-0000-0C00-000002000000}">
          <x14:formula1>
            <xm:f>Transporte!$A$4:$A$9</xm:f>
          </x14:formula1>
          <x14:formula2>
            <xm:f>0</xm:f>
          </x14:formula2>
          <xm:sqref>B17:B18 B37:B38 B57:B58 B78:B79 B99:B100 B120:B121 B141:B142 B161:B162 B181:B182 B201:B202 B221:B222 B241:B242 B261:B262 B281:B282 B301:B302 B321:B322 B341:B342 B361:B362 B381:B382 B401:B402 B421:B422 B441:B442 B464:B465 B487:B488 B510:B511 B533:B534 B556:B557 B580:B581 B603:B604 B626:B627 B650:B651 B673:B674 B693:B694 B713:B714 B733:B734 B753:B754 B773:B774 B793:B794 B813:B814 B833:B834 B853:B854 B873:B874 B893:B894 B913:B914 B933:B934 B953:B954 B973:B974 B993:B994 B1013:B1014 B1033:B1034 B1053:B1054 B1073:B1074 B1093:B1094 B1113:B1114 B1133:B1134 B1153:B1154 B1173:B1174 B1193:B1194 B1213:B1214 B1233:B1234 B1253:B1254 B1273:B1274 B1293:B1294 B1313:B1314 B1333:B1334 B1353:B1354 B1373:B1374 B1393:B1394 B1413:B1414 B1433:B1434 B1453:B1454 B1473:B1474 B1493:B1494 B1513:B1514 B1533:B1534 B1553:B1554 B1573:B1574 B1593:B1594 B1613:B1614 B1633:B1634 B1653:B1654 B1673:B1674 B1693:B1694 B1713:B1714 B1733:B1734 B1753:B1754 B1773:B1774 B1793:B1794 B1813:B1814 B1833:B1834 B1853:B1854 B1873:B1874 B1893:B1894 B1913:B1914 B1933:B1934 B1953:B1954 B1973:B1974 B1993:B1994 B2013:B2014 B2033:B2034 B2053:B2054 B2073:B2074 B2093:B2094 B2113:B2114 B2133:B2134 B2153:B2154 B2173:B2174 B2193:B2194 B2213:B2214 B2233:B2234 B2253:B2254 B2273:B2274 B2293:B2294 B2313:B2314 B2333:B2334 B2353:B2354 B2373:B2374 B2393:B2394 B2413:B2414 B2433:B2434 B2453:B2454 B2473:B2474 B2493:B2494 B2513:B2514 B2533:B2534 B2553:B2554 B2573:B2574 B2593:B2594 B2613:B2614 B2633:B2634 B2653:B2654 B2673:B2674 B2693:B2694 B2713:B2714 B2733:B2734 B2753:B2754 B2773:B2774</xm:sqref>
        </x14:dataValidation>
        <x14:dataValidation type="list" allowBlank="1" showInputMessage="1" showErrorMessage="1" xr:uid="{00000000-0002-0000-0C00-000003000000}">
          <x14:formula1>
            <xm:f>Equipo!$A$4:$A$90</xm:f>
          </x14:formula1>
          <x14:formula2>
            <xm:f>0</xm:f>
          </x14:formula2>
          <xm:sqref>B13:B15 B1009:B1011 B989:B991 B969:B971 B949:B951 B929:B931 B909:B911 B889:B891 B869:B871 B849:B851 B829:B831 B809:B811 B789:B791 B769:B771 B749:B751 B729:B731 B709:B711 B689:B691 B669:B671 B646:B648 B622:B624 B599:B601 B576:B578 B552:B554 B529:B531 B506:B508 B483:B485 B460:B462 B437:B439 B417:B419 B397:B399 B377:B379 B357:B359 B337:B339 B317:B319 B297:B299 B277:B279 B257:B259 B237:B239 B217:B219 B197:B199 B177:B179 B157:B159 B137:B139 B116:B118 B95:B97 B74:B76 B53:B55 B33:B35 B1029:B1031 B2769:B2771 B2749:B2751 B2729:B2731 B2709:B2711 B2689:B2691 B2669:B2671 B2649:B2651 B2629:B2631 B2609:B2611 B2589:B2591 B2569:B2571 B2549:B2551 B2529:B2531 B2509:B2511 B2489:B2491 B2469:B2471 B2449:B2451 B2429:B2431 B2409:B2411 B2389:B2391 B2369:B2371 B2349:B2351 B2329:B2331 B2309:B2311 B2289:B2291 B2269:B2271 B2249:B2251 B2229:B2231 B2209:B2211 B2189:B2191 B2169:B2171 B2149:B2151 B2129:B2131 B2109:B2111 B2089:B2091 B2069:B2071 B2049:B2051 B2029:B2031 B2009:B2011 B1989:B1991 B1969:B1971 B1949:B1951 B1929:B1931 B1909:B1911 B1889:B1891 B1869:B1871 B1849:B1851 B1829:B1831 B1809:B1811 B1789:B1791 B1769:B1771 B1749:B1751 B1729:B1731 B1709:B1711 B1689:B1691 B1669:B1671 B1649:B1651 B1629:B1631 B1609:B1611 B1589:B1591 B1569:B1571 B1549:B1551 B1529:B1531 B1509:B1511 B1489:B1491 B1469:B1471 B1449:B1451 B1429:B1431 B1409:B1411 B1389:B1391 B1369:B1371 B1349:B1351 B1329:B1331 B1309:B1311 B1289:B1291 B1269:B1271 B1249:B1251 B1229:B1231 B1209:B1211 B1189:B1191 B1169:B1171 B1149:B1151 B1129:B1131 B1109:B1111 B1089:B1091 B1069:B1071 B1049:B1051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92D050"/>
  </sheetPr>
  <dimension ref="A1:K2140"/>
  <sheetViews>
    <sheetView view="pageBreakPreview" topLeftCell="A2094" zoomScale="90" zoomScaleNormal="100" zoomScaleSheetLayoutView="90" workbookViewId="0">
      <selection activeCell="E2109" sqref="E2109"/>
    </sheetView>
  </sheetViews>
  <sheetFormatPr baseColWidth="10" defaultColWidth="10.73046875" defaultRowHeight="12.75"/>
  <cols>
    <col min="1" max="1" width="8.73046875" style="48" customWidth="1"/>
    <col min="2" max="2" width="65.73046875" style="3" customWidth="1"/>
    <col min="3" max="3" width="10.73046875" style="3" customWidth="1"/>
    <col min="4" max="4" width="11.73046875" style="3" customWidth="1"/>
    <col min="5" max="5" width="13.73046875" style="49" customWidth="1"/>
    <col min="6" max="6" width="12.73046875" style="3" customWidth="1"/>
    <col min="7" max="10" width="14.73046875" style="3" customWidth="1"/>
    <col min="11" max="11" width="10.73046875" style="3" customWidth="1"/>
    <col min="12" max="16384" width="10.73046875" style="3"/>
  </cols>
  <sheetData>
    <row r="1" spans="1:11">
      <c r="A1" s="1"/>
      <c r="B1" s="316" t="str">
        <f>Presupuesto!A1</f>
        <v>ALCALDIA DE PEREIRA</v>
      </c>
      <c r="C1" s="316"/>
      <c r="D1" s="316"/>
      <c r="E1" s="316"/>
      <c r="F1" s="316"/>
      <c r="G1" s="316"/>
      <c r="H1" s="2"/>
    </row>
    <row r="2" spans="1:11">
      <c r="A2" s="1"/>
      <c r="B2" s="316" t="str">
        <f>Presupuesto!A2</f>
        <v>VERSION O BASE DE DATOS ALCALDIA DE PEREIRA 2026</v>
      </c>
      <c r="C2" s="316"/>
      <c r="D2" s="316"/>
      <c r="E2" s="316"/>
      <c r="F2" s="316"/>
      <c r="G2" s="316"/>
      <c r="H2" s="2"/>
    </row>
    <row r="3" spans="1:11" ht="13.15" thickBot="1">
      <c r="A3" s="4"/>
      <c r="B3" s="323" t="s">
        <v>3796</v>
      </c>
      <c r="C3" s="323"/>
      <c r="D3" s="323"/>
      <c r="E3" s="323"/>
      <c r="F3" s="323"/>
      <c r="G3" s="323"/>
      <c r="H3" s="5"/>
    </row>
    <row r="4" spans="1:11" ht="13.5" thickTop="1" thickBot="1">
      <c r="A4" s="6" t="s">
        <v>877</v>
      </c>
      <c r="B4" s="7" t="str">
        <f>VLOOKUP($A4,Presupuesto!$A:$D,2,FALSE())</f>
        <v>Alimentador monofásico bifilar en cobre (1X6F+1X6N+1X8T) AWG LS HF</v>
      </c>
      <c r="C4" s="8" t="str">
        <f>VLOOKUP($A4,Presupuesto!$A:$D,3,FALSE())</f>
        <v>M</v>
      </c>
      <c r="D4" s="9"/>
      <c r="E4" s="10">
        <f>VLOOKUP($A4,Presupuesto!$A:$D,4,FALSE())</f>
        <v>0</v>
      </c>
      <c r="F4" s="11" t="s">
        <v>2589</v>
      </c>
      <c r="G4" s="12">
        <f>SUM(G6:G22)/2</f>
        <v>54288.112019494998</v>
      </c>
      <c r="H4" s="13">
        <f>ROUND(SUM(H6:H22),0)/2</f>
        <v>0</v>
      </c>
      <c r="I4" s="10">
        <f>VLOOKUP(A4,Presupuesto!$A:$F,6,0)</f>
        <v>0</v>
      </c>
      <c r="J4" s="10">
        <f>+H4-I4</f>
        <v>0</v>
      </c>
      <c r="K4" s="46">
        <f>+H4-G4*E4</f>
        <v>0</v>
      </c>
    </row>
    <row r="5" spans="1:11">
      <c r="A5" s="14"/>
      <c r="B5" s="15" t="s">
        <v>2586</v>
      </c>
      <c r="C5" s="15" t="s">
        <v>5</v>
      </c>
      <c r="D5" s="16" t="s">
        <v>6</v>
      </c>
      <c r="E5" s="17" t="s">
        <v>7</v>
      </c>
      <c r="F5" s="18" t="s">
        <v>3728</v>
      </c>
      <c r="G5" s="19" t="s">
        <v>3729</v>
      </c>
      <c r="H5" s="20" t="s">
        <v>3797</v>
      </c>
    </row>
    <row r="6" spans="1:11">
      <c r="A6" s="21"/>
      <c r="B6" s="22" t="s">
        <v>3730</v>
      </c>
      <c r="C6" s="23"/>
      <c r="D6" s="24"/>
      <c r="E6" s="25"/>
      <c r="F6" s="26"/>
      <c r="G6" s="27">
        <f>SUM(G7:G11)</f>
        <v>42019.11</v>
      </c>
      <c r="H6" s="27">
        <f>IFERROR(G6*E4,"")</f>
        <v>0</v>
      </c>
    </row>
    <row r="7" spans="1:11">
      <c r="A7" s="28"/>
      <c r="B7" s="29" t="s">
        <v>2690</v>
      </c>
      <c r="C7" s="30" t="str">
        <f>IFERROR(_xlfn.XLOOKUP(B7,Insumo[DESCRIPCION],Insumo[UND],,0),"")</f>
        <v>M</v>
      </c>
      <c r="D7" s="31">
        <v>2</v>
      </c>
      <c r="E7" s="32">
        <f>IFERROR(_xlfn.XLOOKUP($B7,Insumo[DESCRIPCION],Insumo[VALOR],,0),"")</f>
        <v>10867.5</v>
      </c>
      <c r="F7" s="33"/>
      <c r="G7" s="34">
        <f>IFERROR(IF(F7&gt;=0,D7*E7*(1+F7/100),ABS(D7*E7/F7)),"")</f>
        <v>21735</v>
      </c>
      <c r="H7" s="43">
        <f>IFERROR(G7*E4,"")</f>
        <v>0</v>
      </c>
    </row>
    <row r="8" spans="1:11">
      <c r="A8" s="28"/>
      <c r="B8" s="29" t="s">
        <v>2691</v>
      </c>
      <c r="C8" s="30" t="str">
        <f>IFERROR(_xlfn.XLOOKUP(B8,Insumo[DESCRIPCION],Insumo[UND],,0),"")</f>
        <v>M</v>
      </c>
      <c r="D8" s="31">
        <v>1</v>
      </c>
      <c r="E8" s="32">
        <f>IFERROR(_xlfn.XLOOKUP($B8,Insumo[DESCRIPCION],Insumo[VALOR],,0),"")</f>
        <v>6961.5</v>
      </c>
      <c r="F8" s="33"/>
      <c r="G8" s="34">
        <f>IFERROR(IF(F8&gt;=0,D8*E8*(1+F8/100),ABS(D8*E8/F8)),"")</f>
        <v>6961.5</v>
      </c>
      <c r="H8" s="43">
        <f>IFERROR(G8*E4,"")</f>
        <v>0</v>
      </c>
    </row>
    <row r="9" spans="1:11">
      <c r="A9" s="28"/>
      <c r="B9" s="29" t="s">
        <v>3798</v>
      </c>
      <c r="C9" s="30" t="str">
        <f>IFERROR(_xlfn.XLOOKUP(B9,Insumo[DESCRIPCION],Insumo[UND],,0),"")</f>
        <v>M</v>
      </c>
      <c r="D9" s="31">
        <v>1</v>
      </c>
      <c r="E9" s="32">
        <f>IFERROR(_xlfn.XLOOKUP($B9,Insumo[DESCRIPCION],Insumo[VALOR],,0),"")</f>
        <v>12075</v>
      </c>
      <c r="F9" s="33"/>
      <c r="G9" s="34">
        <f>IFERROR(IF(F9&gt;=0,D9*E9*(1+F9/100),ABS(D9*E9/F9)),"")</f>
        <v>12075</v>
      </c>
      <c r="H9" s="43">
        <f>IFERROR(G9*E4,"")</f>
        <v>0</v>
      </c>
    </row>
    <row r="10" spans="1:11">
      <c r="A10" s="28"/>
      <c r="B10" s="29" t="s">
        <v>2620</v>
      </c>
      <c r="C10" s="30" t="str">
        <f>IFERROR(_xlfn.XLOOKUP(B10,Insumo[DESCRIPCION],Insumo[UND],,0),"")</f>
        <v>Un</v>
      </c>
      <c r="D10" s="31">
        <v>0.2</v>
      </c>
      <c r="E10" s="32">
        <f>IFERROR(_xlfn.XLOOKUP($B10,Insumo[DESCRIPCION],Insumo[VALOR],,0),"")</f>
        <v>6238.05</v>
      </c>
      <c r="F10" s="33"/>
      <c r="G10" s="34">
        <f>IFERROR(IF(F10&gt;=0,D10*E10*(1+F10/100),ABS(D10*E10/F10)),"")</f>
        <v>1247.6100000000001</v>
      </c>
      <c r="H10" s="43">
        <f>IFERROR(G10*E4,"")</f>
        <v>0</v>
      </c>
    </row>
    <row r="11" spans="1:11">
      <c r="A11" s="28"/>
      <c r="B11" s="29"/>
      <c r="C11" s="30" t="str">
        <f>IFERROR(_xlfn.XLOOKUP(B11,Insumo[DESCRIPCION],Insumo[UND],,0),"")</f>
        <v/>
      </c>
      <c r="D11" s="31"/>
      <c r="E11" s="32" t="str">
        <f>IFERROR(_xlfn.XLOOKUP($B11,Insumo[DESCRIPCION],Insumo[VALOR],,0),"")</f>
        <v/>
      </c>
      <c r="F11" s="33"/>
      <c r="G11" s="34" t="str">
        <f>IFERROR(IF(F11&gt;=0,D11*E11*(1+F11/100),ABS(D11*E11/F11)),"")</f>
        <v/>
      </c>
      <c r="H11" s="43" t="str">
        <f>IFERROR(G11*E4,"")</f>
        <v/>
      </c>
    </row>
    <row r="12" spans="1:11">
      <c r="A12" s="21"/>
      <c r="B12" s="22" t="s">
        <v>3731</v>
      </c>
      <c r="C12" s="23"/>
      <c r="D12" s="24"/>
      <c r="E12" s="25"/>
      <c r="F12" s="26"/>
      <c r="G12" s="27">
        <f>SUM(G13:G15)</f>
        <v>1013.0368639950004</v>
      </c>
      <c r="H12" s="44">
        <f>G12*E4</f>
        <v>0</v>
      </c>
    </row>
    <row r="13" spans="1:11">
      <c r="A13" s="28"/>
      <c r="B13" s="29" t="s">
        <v>3570</v>
      </c>
      <c r="C13" s="30" t="str">
        <f>IFERROR(_xlfn.XLOOKUP(B13,Equipo[DESCRIPCION],Equipo[UND],,0),"")</f>
        <v>%MO</v>
      </c>
      <c r="D13" s="31">
        <v>0.04</v>
      </c>
      <c r="E13" s="32">
        <f>IF(C13="%MO",G19,IFERROR(_xlfn.XLOOKUP($B13,Equipo[DESCRIPCION],Equipo[VALOR],,0),""))</f>
        <v>11255.965155500004</v>
      </c>
      <c r="F13" s="33"/>
      <c r="G13" s="34">
        <f>IFERROR(IF(F13&gt;=0,D13*E13*(1+F13/100),ABS(D13*E13/F13)),"")</f>
        <v>450.23860622000018</v>
      </c>
      <c r="H13" s="43">
        <f>IFERROR(G13*E4,"")</f>
        <v>0</v>
      </c>
    </row>
    <row r="14" spans="1:11">
      <c r="A14" s="28"/>
      <c r="B14" s="29" t="s">
        <v>3626</v>
      </c>
      <c r="C14" s="30" t="str">
        <f>IFERROR(_xlfn.XLOOKUP(B14,Equipo[DESCRIPCION],Equipo[UND],,0),"")</f>
        <v>%MO</v>
      </c>
      <c r="D14" s="31">
        <v>0.05</v>
      </c>
      <c r="E14" s="32">
        <f>IF(C14="%MO",G19,IFERROR(_xlfn.XLOOKUP($B14,Equipo[DESCRIPCION],Equipo[VALOR],,0),""))</f>
        <v>11255.965155500004</v>
      </c>
      <c r="F14" s="33"/>
      <c r="G14" s="34">
        <f>IFERROR(IF(F14&gt;=0,D14*E14*(1+F14/100),ABS(D14*E14/F14)),"")</f>
        <v>562.79825777500025</v>
      </c>
      <c r="H14" s="43">
        <f>IFERROR(G14*E4,"")</f>
        <v>0</v>
      </c>
    </row>
    <row r="15" spans="1:11">
      <c r="A15" s="28"/>
      <c r="B15" s="29"/>
      <c r="C15" s="30" t="str">
        <f>IFERROR(_xlfn.XLOOKUP(B15,Equipo[DESCRIPCION],Equipo[UND],,0),"")</f>
        <v/>
      </c>
      <c r="D15" s="31"/>
      <c r="E15" s="32" t="str">
        <f>IF(C15="%MO",G19,IFERROR(_xlfn.XLOOKUP($B15,Equipo[DESCRIPCION],Equipo[VALOR],,0),""))</f>
        <v/>
      </c>
      <c r="F15" s="33"/>
      <c r="G15" s="34" t="str">
        <f>IFERROR(IF(F15&gt;=0,D15*E15*(1+F15/100),ABS(D15*E15/F15)),"")</f>
        <v/>
      </c>
      <c r="H15" s="43" t="str">
        <f>IFERROR(G15*E4,"")</f>
        <v/>
      </c>
    </row>
    <row r="16" spans="1:11">
      <c r="A16" s="21"/>
      <c r="B16" s="22" t="s">
        <v>2533</v>
      </c>
      <c r="C16" s="23"/>
      <c r="D16" s="24"/>
      <c r="E16" s="25"/>
      <c r="F16" s="26"/>
      <c r="G16" s="27">
        <f>SUM(G17:G18)</f>
        <v>0</v>
      </c>
      <c r="H16" s="44">
        <f>G16*E4</f>
        <v>0</v>
      </c>
    </row>
    <row r="17" spans="1:11">
      <c r="A17" s="28"/>
      <c r="B17" s="29"/>
      <c r="C17" s="30" t="str">
        <f>IFERROR(_xlfn.XLOOKUP(B17,Transporte[DESCRIPCION],Transporte[UND],,0),"")</f>
        <v/>
      </c>
      <c r="D17" s="31"/>
      <c r="E17" s="32" t="str">
        <f>IFERROR(_xlfn.XLOOKUP($B17,Transporte[DESCRIPCION],Transporte[VALOR],,0),"")</f>
        <v/>
      </c>
      <c r="F17" s="33"/>
      <c r="G17" s="34" t="str">
        <f>IFERROR(IF(F17&gt;=0,D17*E17*(1+F17/100),ABS(D17*E17/F17)),"")</f>
        <v/>
      </c>
      <c r="H17" s="43" t="str">
        <f>IFERROR(G17*E4,"")</f>
        <v/>
      </c>
    </row>
    <row r="18" spans="1:11">
      <c r="A18" s="28"/>
      <c r="B18" s="29"/>
      <c r="C18" s="30" t="str">
        <f>IFERROR(_xlfn.XLOOKUP(B18,Transporte[DESCRIPCION],Transporte[UND],,0),"")</f>
        <v/>
      </c>
      <c r="D18" s="31"/>
      <c r="E18" s="32" t="str">
        <f>IFERROR(_xlfn.XLOOKUP($B18,Transporte[DESCRIPCION],Transporte[VALOR],,0),"")</f>
        <v/>
      </c>
      <c r="F18" s="33"/>
      <c r="G18" s="34" t="str">
        <f>IFERROR(IF(F18&gt;=0,D18*E18*(1+F18/100),ABS(D18*E18/F18)),"")</f>
        <v/>
      </c>
      <c r="H18" s="43" t="str">
        <f>IFERROR(G18*E4,"")</f>
        <v/>
      </c>
    </row>
    <row r="19" spans="1:11">
      <c r="A19" s="21"/>
      <c r="B19" s="22" t="s">
        <v>3732</v>
      </c>
      <c r="C19" s="23"/>
      <c r="D19" s="24"/>
      <c r="E19" s="25"/>
      <c r="F19" s="26"/>
      <c r="G19" s="27">
        <f>SUM(G20:G22)</f>
        <v>11255.965155500004</v>
      </c>
      <c r="H19" s="44">
        <f>G19*E4</f>
        <v>0</v>
      </c>
    </row>
    <row r="20" spans="1:11">
      <c r="A20" s="28"/>
      <c r="B20" s="29" t="s">
        <v>3715</v>
      </c>
      <c r="C20" s="30" t="str">
        <f>IFERROR(_xlfn.XLOOKUP(B20,MObra[DESCRIPCION],MObra[UN],,0),"")</f>
        <v>día</v>
      </c>
      <c r="D20" s="31">
        <v>1</v>
      </c>
      <c r="E20" s="32">
        <f>IFERROR(_xlfn.XLOOKUP($B20,MObra[DESCRIPCION],MObra[VALOR UNIT],,0),"")</f>
        <v>337678.95466500008</v>
      </c>
      <c r="F20" s="33">
        <v>-30</v>
      </c>
      <c r="G20" s="34">
        <f>IFERROR(IF(F20&gt;=0,D20*E20*(1+F20/100),ABS(D20*E20/F20)),"")</f>
        <v>11255.965155500004</v>
      </c>
      <c r="H20" s="43">
        <f>IFERROR(G20*E4,"")</f>
        <v>0</v>
      </c>
    </row>
    <row r="21" spans="1:11">
      <c r="A21" s="28"/>
      <c r="B21" s="29"/>
      <c r="C21" s="30" t="str">
        <f t="array" ref="C21">IFERROR(_xlfn.XLOOKUP(B21,MObra[[#All],[DESCRIPCION]],MObra[[#All],[UN]],,0),"")</f>
        <v/>
      </c>
      <c r="D21" s="31"/>
      <c r="E21" s="32" t="str">
        <f>IFERROR(_xlfn.XLOOKUP($B21,MObra[DESCRIPCION],MObra[VALOR UNIT],,0),"")</f>
        <v/>
      </c>
      <c r="F21" s="33"/>
      <c r="G21" s="34" t="str">
        <f>IFERROR(IF(F21&gt;=0,D21*E21*(1+F21/100),ABS(D21*E21/F21)),"")</f>
        <v/>
      </c>
      <c r="H21" s="43" t="str">
        <f>IFERROR(G21*E4,"")</f>
        <v/>
      </c>
    </row>
    <row r="22" spans="1:11">
      <c r="A22" s="35"/>
      <c r="B22" s="36"/>
      <c r="C22" s="37" t="str">
        <f t="array" ref="C22">IFERROR(_xlfn.XLOOKUP(B22,MObra[[#All],[DESCRIPCION]],MObra[[#All],[UN]],,0),"")</f>
        <v/>
      </c>
      <c r="D22" s="38"/>
      <c r="E22" s="39" t="str">
        <f>IFERROR(_xlfn.XLOOKUP($B22,MObra[DESCRIPCION],MObra[VALOR UNIT],,0),"")</f>
        <v/>
      </c>
      <c r="F22" s="40"/>
      <c r="G22" s="41" t="str">
        <f>IFERROR(IF(F22&gt;=0,D22*E22*(1+F22/100),ABS(D22*E22/F22)),"")</f>
        <v/>
      </c>
      <c r="H22" s="42" t="str">
        <f>IFERROR(G22*E4,"")</f>
        <v/>
      </c>
    </row>
    <row r="23" spans="1:11" ht="13.5" thickTop="1" thickBot="1"/>
    <row r="24" spans="1:11" ht="13.5" thickTop="1" thickBot="1">
      <c r="A24" s="6" t="s">
        <v>879</v>
      </c>
      <c r="B24" s="7" t="str">
        <f>VLOOKUP($A24,Presupuesto!$A:$D,2,FALSE())</f>
        <v>Bajante de medidor al sistema de puesta a tierra</v>
      </c>
      <c r="C24" s="8" t="str">
        <f>VLOOKUP($A24,Presupuesto!$A:$D,3,FALSE())</f>
        <v>M</v>
      </c>
      <c r="D24" s="9"/>
      <c r="E24" s="10">
        <f>VLOOKUP($A24,Presupuesto!$A:$D,4,FALSE())</f>
        <v>0</v>
      </c>
      <c r="F24" s="11" t="s">
        <v>2589</v>
      </c>
      <c r="G24" s="12">
        <f>SUM(G26:G47)/2</f>
        <v>269213.54211697006</v>
      </c>
      <c r="H24" s="13">
        <f>ROUND(SUM(H26:H47),0)/2</f>
        <v>0</v>
      </c>
      <c r="I24" s="10">
        <f>VLOOKUP(A24,Presupuesto!$A:$F,6,0)</f>
        <v>0</v>
      </c>
      <c r="J24" s="10">
        <f>+H24-I24</f>
        <v>0</v>
      </c>
      <c r="K24" s="46">
        <f>+H24-G24*E24</f>
        <v>0</v>
      </c>
    </row>
    <row r="25" spans="1:11">
      <c r="A25" s="14"/>
      <c r="B25" s="15" t="s">
        <v>2586</v>
      </c>
      <c r="C25" s="15" t="s">
        <v>5</v>
      </c>
      <c r="D25" s="16" t="s">
        <v>6</v>
      </c>
      <c r="E25" s="17" t="s">
        <v>7</v>
      </c>
      <c r="F25" s="18" t="s">
        <v>3728</v>
      </c>
      <c r="G25" s="19" t="s">
        <v>3729</v>
      </c>
      <c r="H25" s="20" t="s">
        <v>3797</v>
      </c>
    </row>
    <row r="26" spans="1:11">
      <c r="A26" s="21"/>
      <c r="B26" s="22" t="s">
        <v>3730</v>
      </c>
      <c r="C26" s="23"/>
      <c r="D26" s="24"/>
      <c r="E26" s="25"/>
      <c r="F26" s="26"/>
      <c r="G26" s="27">
        <f>SUM(G27:G36)</f>
        <v>195599.53</v>
      </c>
      <c r="H26" s="27">
        <f>IFERROR(G26*E24,"")</f>
        <v>0</v>
      </c>
    </row>
    <row r="27" spans="1:11">
      <c r="A27" s="28"/>
      <c r="B27" s="29" t="s">
        <v>2691</v>
      </c>
      <c r="C27" s="30" t="str">
        <f>IFERROR(_xlfn.XLOOKUP(B27,Insumo[DESCRIPCION],Insumo[UND],,0),"")</f>
        <v>M</v>
      </c>
      <c r="D27" s="31">
        <v>3.5</v>
      </c>
      <c r="E27" s="32">
        <f>IFERROR(_xlfn.XLOOKUP($B27,Insumo[DESCRIPCION],Insumo[VALOR],,0),"")</f>
        <v>6961.5</v>
      </c>
      <c r="F27" s="33"/>
      <c r="G27" s="34">
        <f>IFERROR(IF(F27&gt;=0,D27*E27*(1+F27/100),ABS(D27*E27/F27)),"")</f>
        <v>24365.25</v>
      </c>
      <c r="H27" s="43">
        <f>IFERROR(G27*E24,"")</f>
        <v>0</v>
      </c>
    </row>
    <row r="28" spans="1:11">
      <c r="A28" s="28"/>
      <c r="B28" s="29" t="s">
        <v>2891</v>
      </c>
      <c r="C28" s="30" t="str">
        <f>IFERROR(_xlfn.XLOOKUP(B28,Insumo[DESCRIPCION],Insumo[UND],,0),"")</f>
        <v>Un</v>
      </c>
      <c r="D28" s="31">
        <v>1</v>
      </c>
      <c r="E28" s="32">
        <f>IFERROR(_xlfn.XLOOKUP($B28,Insumo[DESCRIPCION],Insumo[VALOR],,0),"")</f>
        <v>48079.5</v>
      </c>
      <c r="F28" s="33"/>
      <c r="G28" s="34">
        <f>IFERROR(IF(F28&gt;=0,D28*E28*(1+F28/100),ABS(D28*E28/F28)),"")</f>
        <v>48079.5</v>
      </c>
      <c r="H28" s="43">
        <f>IFERROR(G28*E24,"")</f>
        <v>0</v>
      </c>
    </row>
    <row r="29" spans="1:11">
      <c r="A29" s="28"/>
      <c r="B29" s="29" t="s">
        <v>2834</v>
      </c>
      <c r="C29" s="30" t="str">
        <f>IFERROR(_xlfn.XLOOKUP(B29,Insumo[DESCRIPCION],Insumo[UND],,0),"")</f>
        <v>Un</v>
      </c>
      <c r="D29" s="31">
        <v>2</v>
      </c>
      <c r="E29" s="32">
        <f>IFERROR(_xlfn.XLOOKUP($B29,Insumo[DESCRIPCION],Insumo[VALOR],,0),"")</f>
        <v>6592.9500000000007</v>
      </c>
      <c r="F29" s="33"/>
      <c r="G29" s="34">
        <f>IFERROR(IF(F29&gt;=0,D29*E29*(1+F29/100),ABS(D29*E29/F29)),"")</f>
        <v>13185.900000000001</v>
      </c>
      <c r="H29" s="43">
        <f>IFERROR(G29*E24,"")</f>
        <v>0</v>
      </c>
    </row>
    <row r="30" spans="1:11">
      <c r="A30" s="28"/>
      <c r="B30" s="29" t="s">
        <v>2761</v>
      </c>
      <c r="C30" s="30" t="str">
        <f>IFERROR(_xlfn.XLOOKUP(B30,Insumo[DESCRIPCION],Insumo[UND],,0),"")</f>
        <v>Un</v>
      </c>
      <c r="D30" s="31">
        <v>1</v>
      </c>
      <c r="E30" s="32">
        <f>IFERROR(_xlfn.XLOOKUP($B30,Insumo[DESCRIPCION],Insumo[VALOR],,0),"")</f>
        <v>1079.4000000000001</v>
      </c>
      <c r="F30" s="33"/>
      <c r="G30" s="34">
        <f t="shared" ref="G30:G35" si="0">IFERROR(IF(F30&gt;=0,D30*E30*(1+F30/100),ABS(D30*E30/F30)),"")</f>
        <v>1079.4000000000001</v>
      </c>
      <c r="H30" s="43">
        <f>IFERROR(G30*E24,"")</f>
        <v>0</v>
      </c>
    </row>
    <row r="31" spans="1:11">
      <c r="A31" s="28"/>
      <c r="B31" s="29" t="s">
        <v>3467</v>
      </c>
      <c r="C31" s="30" t="str">
        <f>IFERROR(_xlfn.XLOOKUP(B31,Insumo[DESCRIPCION],Insumo[UND],,0),"")</f>
        <v>M</v>
      </c>
      <c r="D31" s="31">
        <v>2</v>
      </c>
      <c r="E31" s="32">
        <f>IFERROR(_xlfn.XLOOKUP($B31,Insumo[DESCRIPCION],Insumo[VALOR],,0),"")</f>
        <v>44975.000000000007</v>
      </c>
      <c r="F31" s="33"/>
      <c r="G31" s="34">
        <f t="shared" si="0"/>
        <v>89950.000000000015</v>
      </c>
      <c r="H31" s="43">
        <f>IFERROR(G31*E24,"")</f>
        <v>0</v>
      </c>
    </row>
    <row r="32" spans="1:11">
      <c r="A32" s="28"/>
      <c r="B32" s="29" t="s">
        <v>3437</v>
      </c>
      <c r="C32" s="30" t="str">
        <f>IFERROR(_xlfn.XLOOKUP(B32,Insumo[DESCRIPCION],Insumo[UND],,0),"")</f>
        <v>M</v>
      </c>
      <c r="D32" s="31">
        <v>1</v>
      </c>
      <c r="E32" s="32">
        <f>IFERROR(_xlfn.XLOOKUP($B32,Insumo[DESCRIPCION],Insumo[VALOR],,0),"")</f>
        <v>3496.5</v>
      </c>
      <c r="F32" s="33"/>
      <c r="G32" s="34">
        <f t="shared" si="0"/>
        <v>3496.5</v>
      </c>
      <c r="H32" s="43">
        <f>IFERROR(G32*E24,"")</f>
        <v>0</v>
      </c>
    </row>
    <row r="33" spans="1:8">
      <c r="A33" s="28"/>
      <c r="B33" s="29" t="s">
        <v>2623</v>
      </c>
      <c r="C33" s="30" t="str">
        <f>IFERROR(_xlfn.XLOOKUP(B33,Insumo[DESCRIPCION],Insumo[UND],,0),"")</f>
        <v xml:space="preserve"> Un </v>
      </c>
      <c r="D33" s="31">
        <v>1</v>
      </c>
      <c r="E33" s="32">
        <f>IFERROR(_xlfn.XLOOKUP($B33,Insumo[DESCRIPCION],Insumo[VALOR],,0),"")</f>
        <v>2086.35</v>
      </c>
      <c r="F33" s="33"/>
      <c r="G33" s="34">
        <f t="shared" si="0"/>
        <v>2086.35</v>
      </c>
      <c r="H33" s="43">
        <f>IFERROR(G33*E24,"")</f>
        <v>0</v>
      </c>
    </row>
    <row r="34" spans="1:8">
      <c r="A34" s="28"/>
      <c r="B34" s="29" t="s">
        <v>3389</v>
      </c>
      <c r="C34" s="30" t="str">
        <f>IFERROR(_xlfn.XLOOKUP(B34,Insumo[DESCRIPCION],Insumo[UND],,0),"")</f>
        <v>Un</v>
      </c>
      <c r="D34" s="31">
        <v>1</v>
      </c>
      <c r="E34" s="32">
        <f>IFERROR(_xlfn.XLOOKUP($B34,Insumo[DESCRIPCION],Insumo[VALOR],,0),"")</f>
        <v>1193.8500000000001</v>
      </c>
      <c r="F34" s="33"/>
      <c r="G34" s="34">
        <f t="shared" si="0"/>
        <v>1193.8500000000001</v>
      </c>
      <c r="H34" s="43">
        <f>IFERROR(G34*E24,"")</f>
        <v>0</v>
      </c>
    </row>
    <row r="35" spans="1:8">
      <c r="A35" s="28"/>
      <c r="B35" s="29" t="s">
        <v>3273</v>
      </c>
      <c r="C35" s="30" t="str">
        <f>IFERROR(_xlfn.XLOOKUP(B35,Insumo[DESCRIPCION],Insumo[UND],,0),"")</f>
        <v>Un</v>
      </c>
      <c r="D35" s="31">
        <v>0.3</v>
      </c>
      <c r="E35" s="32">
        <f>IFERROR(_xlfn.XLOOKUP($B35,Insumo[DESCRIPCION],Insumo[VALOR],,0),"")</f>
        <v>14397.6</v>
      </c>
      <c r="F35" s="33"/>
      <c r="G35" s="34">
        <f t="shared" si="0"/>
        <v>4319.28</v>
      </c>
      <c r="H35" s="43">
        <f>IFERROR(G35*E24,"")</f>
        <v>0</v>
      </c>
    </row>
    <row r="36" spans="1:8">
      <c r="A36" s="28"/>
      <c r="B36" s="29" t="s">
        <v>2981</v>
      </c>
      <c r="C36" s="30" t="str">
        <f>IFERROR(_xlfn.XLOOKUP(B36,Insumo[DESCRIPCION],Insumo[UND],,0),"")</f>
        <v>Un</v>
      </c>
      <c r="D36" s="31">
        <v>2</v>
      </c>
      <c r="E36" s="32">
        <f>IFERROR(_xlfn.XLOOKUP($B36,Insumo[DESCRIPCION],Insumo[VALOR],,0),"")</f>
        <v>3921.75</v>
      </c>
      <c r="F36" s="33"/>
      <c r="G36" s="34">
        <f t="shared" ref="G36" si="1">IFERROR(IF(F36&gt;=0,D36*E36*(1+F36/100),ABS(D36*E36/F36)),"")</f>
        <v>7843.5</v>
      </c>
      <c r="H36" s="43">
        <f>IFERROR(G36*E24,"")</f>
        <v>0</v>
      </c>
    </row>
    <row r="37" spans="1:8">
      <c r="A37" s="21"/>
      <c r="B37" s="22" t="s">
        <v>3731</v>
      </c>
      <c r="C37" s="23"/>
      <c r="D37" s="24"/>
      <c r="E37" s="25"/>
      <c r="F37" s="26"/>
      <c r="G37" s="27">
        <f>SUM(G38:G40)</f>
        <v>6078.2211839700012</v>
      </c>
      <c r="H37" s="44">
        <f>G37*E24</f>
        <v>0</v>
      </c>
    </row>
    <row r="38" spans="1:8">
      <c r="A38" s="28"/>
      <c r="B38" s="29" t="s">
        <v>3570</v>
      </c>
      <c r="C38" s="30" t="str">
        <f>IFERROR(_xlfn.XLOOKUP(B38,Equipo[DESCRIPCION],Equipo[UND],,0),"")</f>
        <v>%MO</v>
      </c>
      <c r="D38" s="31">
        <v>0.04</v>
      </c>
      <c r="E38" s="32">
        <f>IF(C38="%MO",G44,IFERROR(_xlfn.XLOOKUP($B38,Equipo[DESCRIPCION],Equipo[VALOR],,0),""))</f>
        <v>67535.790933000011</v>
      </c>
      <c r="F38" s="33"/>
      <c r="G38" s="34">
        <f>IFERROR(IF(F38&gt;=0,D38*E38*(1+F38/100),ABS(D38*E38/F38)),"")</f>
        <v>2701.4316373200004</v>
      </c>
      <c r="H38" s="43">
        <f>IFERROR(G38*E24,"")</f>
        <v>0</v>
      </c>
    </row>
    <row r="39" spans="1:8">
      <c r="A39" s="28"/>
      <c r="B39" s="29" t="s">
        <v>3626</v>
      </c>
      <c r="C39" s="30" t="str">
        <f>IFERROR(_xlfn.XLOOKUP(B39,Equipo[DESCRIPCION],Equipo[UND],,0),"")</f>
        <v>%MO</v>
      </c>
      <c r="D39" s="31">
        <v>0.05</v>
      </c>
      <c r="E39" s="32">
        <f>IF(C39="%MO",G44,IFERROR(_xlfn.XLOOKUP($B39,Equipo[DESCRIPCION],Equipo[VALOR],,0),""))</f>
        <v>67535.790933000011</v>
      </c>
      <c r="F39" s="33"/>
      <c r="G39" s="34">
        <f>IFERROR(IF(F39&gt;=0,D39*E39*(1+F39/100),ABS(D39*E39/F39)),"")</f>
        <v>3376.7895466500008</v>
      </c>
      <c r="H39" s="43">
        <f>IFERROR(G39*E24,"")</f>
        <v>0</v>
      </c>
    </row>
    <row r="40" spans="1:8">
      <c r="A40" s="28"/>
      <c r="B40" s="29"/>
      <c r="C40" s="30" t="str">
        <f>IFERROR(_xlfn.XLOOKUP(B40,Equipo[DESCRIPCION],Equipo[UND],,0),"")</f>
        <v/>
      </c>
      <c r="D40" s="31"/>
      <c r="E40" s="32" t="str">
        <f>IF(C40="%MO",G44,IFERROR(_xlfn.XLOOKUP($B40,Equipo[DESCRIPCION],Equipo[VALOR],,0),""))</f>
        <v/>
      </c>
      <c r="F40" s="33"/>
      <c r="G40" s="34" t="str">
        <f>IFERROR(IF(F40&gt;=0,D40*E40*(1+F40/100),ABS(D40*E40/F40)),"")</f>
        <v/>
      </c>
      <c r="H40" s="43" t="str">
        <f>IFERROR(G40*E24,"")</f>
        <v/>
      </c>
    </row>
    <row r="41" spans="1:8">
      <c r="A41" s="21"/>
      <c r="B41" s="22" t="s">
        <v>2533</v>
      </c>
      <c r="C41" s="23"/>
      <c r="D41" s="24"/>
      <c r="E41" s="25"/>
      <c r="F41" s="26"/>
      <c r="G41" s="27">
        <f>SUM(G42:G43)</f>
        <v>0</v>
      </c>
      <c r="H41" s="44">
        <f>G41*E24</f>
        <v>0</v>
      </c>
    </row>
    <row r="42" spans="1:8">
      <c r="A42" s="28"/>
      <c r="B42" s="29"/>
      <c r="C42" s="30" t="str">
        <f>IFERROR(_xlfn.XLOOKUP(B42,Transporte[DESCRIPCION],Transporte[UND],,0),"")</f>
        <v/>
      </c>
      <c r="D42" s="31"/>
      <c r="E42" s="32" t="str">
        <f>IFERROR(_xlfn.XLOOKUP($B42,Transporte[DESCRIPCION],Transporte[VALOR],,0),"")</f>
        <v/>
      </c>
      <c r="F42" s="33"/>
      <c r="G42" s="34" t="str">
        <f>IFERROR(IF(F42&gt;=0,D42*E42*(1+F42/100),ABS(D42*E42/F42)),"")</f>
        <v/>
      </c>
      <c r="H42" s="43" t="str">
        <f>IFERROR(G42*E24,"")</f>
        <v/>
      </c>
    </row>
    <row r="43" spans="1:8">
      <c r="A43" s="28"/>
      <c r="B43" s="29"/>
      <c r="C43" s="30" t="str">
        <f>IFERROR(_xlfn.XLOOKUP(B43,Transporte[DESCRIPCION],Transporte[UND],,0),"")</f>
        <v/>
      </c>
      <c r="D43" s="31"/>
      <c r="E43" s="32" t="str">
        <f>IFERROR(_xlfn.XLOOKUP($B43,Transporte[DESCRIPCION],Transporte[VALOR],,0),"")</f>
        <v/>
      </c>
      <c r="F43" s="33"/>
      <c r="G43" s="34" t="str">
        <f>IFERROR(IF(F43&gt;=0,D43*E43*(1+F43/100),ABS(D43*E43/F43)),"")</f>
        <v/>
      </c>
      <c r="H43" s="43" t="str">
        <f>IFERROR(G43*E24,"")</f>
        <v/>
      </c>
    </row>
    <row r="44" spans="1:8">
      <c r="A44" s="21"/>
      <c r="B44" s="22" t="s">
        <v>3732</v>
      </c>
      <c r="C44" s="23"/>
      <c r="D44" s="24"/>
      <c r="E44" s="25"/>
      <c r="F44" s="26"/>
      <c r="G44" s="27">
        <f>SUM(G45:G47)</f>
        <v>67535.790933000011</v>
      </c>
      <c r="H44" s="44">
        <f>G44*E24</f>
        <v>0</v>
      </c>
    </row>
    <row r="45" spans="1:8">
      <c r="A45" s="28"/>
      <c r="B45" s="29" t="s">
        <v>3715</v>
      </c>
      <c r="C45" s="30" t="str">
        <f>IFERROR(_xlfn.XLOOKUP(B45,MObra[DESCRIPCION],MObra[UN],,0),"")</f>
        <v>día</v>
      </c>
      <c r="D45" s="31">
        <v>1</v>
      </c>
      <c r="E45" s="32">
        <f>IFERROR(_xlfn.XLOOKUP($B45,MObra[DESCRIPCION],MObra[VALOR UNIT],,0),"")</f>
        <v>337678.95466500008</v>
      </c>
      <c r="F45" s="33">
        <v>-5</v>
      </c>
      <c r="G45" s="34">
        <f>IFERROR(IF(F45&gt;=0,D45*E45*(1+F45/100),ABS(D45*E45/F45)),"")</f>
        <v>67535.790933000011</v>
      </c>
      <c r="H45" s="43">
        <f>IFERROR(G45*E24,"")</f>
        <v>0</v>
      </c>
    </row>
    <row r="46" spans="1:8">
      <c r="A46" s="28"/>
      <c r="B46" s="29"/>
      <c r="C46" s="30" t="str">
        <f t="array" ref="C46">IFERROR(_xlfn.XLOOKUP(B46,MObra[[#All],[DESCRIPCION]],MObra[[#All],[UN]],,0),"")</f>
        <v/>
      </c>
      <c r="D46" s="31"/>
      <c r="E46" s="32" t="str">
        <f>IFERROR(_xlfn.XLOOKUP($B46,MObra[DESCRIPCION],MObra[VALOR UNIT],,0),"")</f>
        <v/>
      </c>
      <c r="F46" s="33"/>
      <c r="G46" s="34" t="str">
        <f>IFERROR(IF(F46&gt;=0,D46*E46*(1+F46/100),ABS(D46*E46/F46)),"")</f>
        <v/>
      </c>
      <c r="H46" s="43" t="str">
        <f>IFERROR(G46*E24,"")</f>
        <v/>
      </c>
    </row>
    <row r="47" spans="1:8">
      <c r="A47" s="35"/>
      <c r="B47" s="36"/>
      <c r="C47" s="37" t="str">
        <f t="array" ref="C47">IFERROR(_xlfn.XLOOKUP(B47,MObra[[#All],[DESCRIPCION]],MObra[[#All],[UN]],,0),"")</f>
        <v/>
      </c>
      <c r="D47" s="38"/>
      <c r="E47" s="39" t="str">
        <f>IFERROR(_xlfn.XLOOKUP($B47,MObra[DESCRIPCION],MObra[VALOR UNIT],,0),"")</f>
        <v/>
      </c>
      <c r="F47" s="40"/>
      <c r="G47" s="41" t="str">
        <f>IFERROR(IF(F47&gt;=0,D47*E47*(1+F47/100),ABS(D47*E47/F47)),"")</f>
        <v/>
      </c>
      <c r="H47" s="42" t="str">
        <f>IFERROR(G47*E24,"")</f>
        <v/>
      </c>
    </row>
    <row r="48" spans="1:8" ht="13.5" thickTop="1" thickBot="1"/>
    <row r="49" spans="1:11" ht="13.5" thickTop="1" thickBot="1">
      <c r="A49" s="6" t="s">
        <v>881</v>
      </c>
      <c r="B49" s="7" t="str">
        <f>VLOOKUP($A49,Presupuesto!$A:$D,2,FALSE())</f>
        <v>Bandeja portacables semipesada 15 barrotes 10x8x2.4 m tipo escalera</v>
      </c>
      <c r="C49" s="8" t="str">
        <f>VLOOKUP($A49,Presupuesto!$A:$D,3,FALSE())</f>
        <v>M</v>
      </c>
      <c r="D49" s="9"/>
      <c r="E49" s="10">
        <f>VLOOKUP($A49,Presupuesto!$A:$D,4,FALSE())</f>
        <v>0</v>
      </c>
      <c r="F49" s="11" t="s">
        <v>2589</v>
      </c>
      <c r="G49" s="12">
        <f>SUM(G51:G67)/2</f>
        <v>139136.37081050003</v>
      </c>
      <c r="H49" s="13">
        <f>ROUND(SUM(H51:H67),0)/2</f>
        <v>0</v>
      </c>
      <c r="I49" s="10">
        <f>VLOOKUP(A49,Presupuesto!$A:$F,6,0)</f>
        <v>0</v>
      </c>
      <c r="J49" s="10">
        <f>+H49-I49</f>
        <v>0</v>
      </c>
      <c r="K49" s="46">
        <f>+H49-G49*E49</f>
        <v>0</v>
      </c>
    </row>
    <row r="50" spans="1:11" ht="13.15" thickTop="1">
      <c r="A50" s="14"/>
      <c r="B50" s="15" t="s">
        <v>2586</v>
      </c>
      <c r="C50" s="15" t="s">
        <v>5</v>
      </c>
      <c r="D50" s="16" t="s">
        <v>6</v>
      </c>
      <c r="E50" s="17" t="s">
        <v>7</v>
      </c>
      <c r="F50" s="18" t="s">
        <v>3728</v>
      </c>
      <c r="G50" s="19" t="s">
        <v>3729</v>
      </c>
      <c r="H50" s="20" t="s">
        <v>3797</v>
      </c>
    </row>
    <row r="51" spans="1:11">
      <c r="A51" s="21"/>
      <c r="B51" s="22" t="s">
        <v>3730</v>
      </c>
      <c r="C51" s="23"/>
      <c r="D51" s="24"/>
      <c r="E51" s="25"/>
      <c r="F51" s="26"/>
      <c r="G51" s="27">
        <f>SUM(G52:G56)</f>
        <v>92948.1</v>
      </c>
      <c r="H51" s="27">
        <f>IFERROR(G51*E49,"")</f>
        <v>0</v>
      </c>
    </row>
    <row r="52" spans="1:11">
      <c r="A52" s="28"/>
      <c r="B52" s="29" t="s">
        <v>2727</v>
      </c>
      <c r="C52" s="30" t="str">
        <f>IFERROR(_xlfn.XLOOKUP(B52,Insumo[DESCRIPCION],Insumo[UND],,0),"")</f>
        <v>Un</v>
      </c>
      <c r="D52" s="31">
        <v>0.41</v>
      </c>
      <c r="E52" s="32">
        <f>IFERROR(_xlfn.XLOOKUP($B52,Insumo[DESCRIPCION],Insumo[VALOR],,0),"")</f>
        <v>146160</v>
      </c>
      <c r="F52" s="33"/>
      <c r="G52" s="34">
        <f>IFERROR(IF(F52&gt;=0,D52*E52*(1+F52/100),ABS(D52*E52/F52)),"")</f>
        <v>59925.599999999999</v>
      </c>
      <c r="H52" s="43">
        <f>IFERROR(G52*E49,"")</f>
        <v>0</v>
      </c>
    </row>
    <row r="53" spans="1:11">
      <c r="A53" s="28"/>
      <c r="B53" s="29" t="s">
        <v>2611</v>
      </c>
      <c r="C53" s="30" t="str">
        <f>IFERROR(_xlfn.XLOOKUP(B53,Insumo[DESCRIPCION],Insumo[UND],,0),"")</f>
        <v>Un</v>
      </c>
      <c r="D53" s="31">
        <v>0.2</v>
      </c>
      <c r="E53" s="32">
        <f>IFERROR(_xlfn.XLOOKUP($B53,Insumo[DESCRIPCION],Insumo[VALOR],,0),"")</f>
        <v>75600</v>
      </c>
      <c r="F53" s="33"/>
      <c r="G53" s="34">
        <f>IFERROR(IF(F53&gt;=0,D53*E53*(1+F53/100),ABS(D53*E53/F53)),"")</f>
        <v>15120</v>
      </c>
      <c r="H53" s="43">
        <f>IFERROR(G53*E49,"")</f>
        <v>0</v>
      </c>
    </row>
    <row r="54" spans="1:11">
      <c r="A54" s="28"/>
      <c r="B54" s="29" t="s">
        <v>2833</v>
      </c>
      <c r="C54" s="30" t="str">
        <f>IFERROR(_xlfn.XLOOKUP(B54,Insumo[DESCRIPCION],Insumo[UND],,0),"")</f>
        <v>Un</v>
      </c>
      <c r="D54" s="31">
        <v>1</v>
      </c>
      <c r="E54" s="32">
        <f>IFERROR(_xlfn.XLOOKUP($B54,Insumo[DESCRIPCION],Insumo[VALOR],,0),"")</f>
        <v>682.5</v>
      </c>
      <c r="F54" s="33"/>
      <c r="G54" s="34">
        <f>IFERROR(IF(F54&gt;=0,D54*E54*(1+F54/100),ABS(D54*E54/F54)),"")</f>
        <v>682.5</v>
      </c>
      <c r="H54" s="43">
        <f>IFERROR(G54*E49,"")</f>
        <v>0</v>
      </c>
    </row>
    <row r="55" spans="1:11">
      <c r="A55" s="28"/>
      <c r="B55" s="29" t="s">
        <v>3330</v>
      </c>
      <c r="C55" s="30" t="str">
        <f>IFERROR(_xlfn.XLOOKUP(B55,Insumo[DESCRIPCION],Insumo[UND],,0),"")</f>
        <v>Un</v>
      </c>
      <c r="D55" s="31">
        <v>0.41</v>
      </c>
      <c r="E55" s="32">
        <f>IFERROR(_xlfn.XLOOKUP($B55,Insumo[DESCRIPCION],Insumo[VALOR],,0),"")</f>
        <v>42000</v>
      </c>
      <c r="F55" s="33"/>
      <c r="G55" s="34">
        <f>IFERROR(IF(F55&gt;=0,D55*E55*(1+F55/100),ABS(D55*E55/F55)),"")</f>
        <v>17220</v>
      </c>
      <c r="H55" s="43">
        <f>IFERROR(G55*E49,"")</f>
        <v>0</v>
      </c>
    </row>
    <row r="56" spans="1:11">
      <c r="A56" s="28"/>
      <c r="B56" s="29"/>
      <c r="C56" s="30" t="str">
        <f>IFERROR(_xlfn.XLOOKUP(B56,Insumo[DESCRIPCION],Insumo[UND],,0),"")</f>
        <v/>
      </c>
      <c r="D56" s="31"/>
      <c r="E56" s="32" t="str">
        <f>IFERROR(_xlfn.XLOOKUP($B56,Insumo[DESCRIPCION],Insumo[VALOR],,0),"")</f>
        <v/>
      </c>
      <c r="F56" s="33"/>
      <c r="G56" s="34" t="str">
        <f>IFERROR(IF(F56&gt;=0,D56*E56*(1+F56/100),ABS(D56*E56/F56)),"")</f>
        <v/>
      </c>
      <c r="H56" s="43" t="str">
        <f>IFERROR(G56*E49,"")</f>
        <v/>
      </c>
    </row>
    <row r="57" spans="1:11">
      <c r="A57" s="21"/>
      <c r="B57" s="22" t="s">
        <v>3731</v>
      </c>
      <c r="C57" s="23"/>
      <c r="D57" s="24"/>
      <c r="E57" s="25"/>
      <c r="F57" s="26"/>
      <c r="G57" s="27">
        <f>SUM(G58:G60)</f>
        <v>7374.5978605000018</v>
      </c>
      <c r="H57" s="44">
        <f>G57*E49</f>
        <v>0</v>
      </c>
    </row>
    <row r="58" spans="1:11">
      <c r="A58" s="28"/>
      <c r="B58" s="29" t="s">
        <v>3573</v>
      </c>
      <c r="C58" s="30" t="str">
        <f>IFERROR(_xlfn.XLOOKUP(B58,Equipo[DESCRIPCION],Equipo[UND],,0),"")</f>
        <v>%MO</v>
      </c>
      <c r="D58" s="31">
        <v>0.1</v>
      </c>
      <c r="E58" s="32">
        <f>IF(C58="%MO",G64,IFERROR(_xlfn.XLOOKUP($B58,Equipo[DESCRIPCION],Equipo[VALOR],,0),""))</f>
        <v>38813.672950000007</v>
      </c>
      <c r="F58" s="33"/>
      <c r="G58" s="34">
        <f>IFERROR(IF(F58&gt;=0,D58*E58*(1+F58/100),ABS(D58*E58/F58)),"")</f>
        <v>3881.3672950000009</v>
      </c>
      <c r="H58" s="43">
        <f>IFERROR(G58*E49,"")</f>
        <v>0</v>
      </c>
    </row>
    <row r="59" spans="1:11">
      <c r="A59" s="28"/>
      <c r="B59" s="29" t="s">
        <v>3570</v>
      </c>
      <c r="C59" s="30" t="str">
        <f>IFERROR(_xlfn.XLOOKUP(B59,Equipo[DESCRIPCION],Equipo[UND],,0),"")</f>
        <v>%MO</v>
      </c>
      <c r="D59" s="31">
        <v>0.04</v>
      </c>
      <c r="E59" s="32">
        <f>IF(C59="%MO",G64,IFERROR(_xlfn.XLOOKUP($B59,Equipo[DESCRIPCION],Equipo[VALOR],,0),""))</f>
        <v>38813.672950000007</v>
      </c>
      <c r="F59" s="33"/>
      <c r="G59" s="34">
        <f>IFERROR(IF(F59&gt;=0,D59*E59*(1+F59/100),ABS(D59*E59/F59)),"")</f>
        <v>1552.5469180000002</v>
      </c>
      <c r="H59" s="43">
        <f>IFERROR(G59*E49,"")</f>
        <v>0</v>
      </c>
    </row>
    <row r="60" spans="1:11">
      <c r="A60" s="28"/>
      <c r="B60" s="29" t="s">
        <v>3626</v>
      </c>
      <c r="C60" s="30" t="str">
        <f>IFERROR(_xlfn.XLOOKUP(B60,Equipo[DESCRIPCION],Equipo[UND],,0),"")</f>
        <v>%MO</v>
      </c>
      <c r="D60" s="31">
        <v>0.05</v>
      </c>
      <c r="E60" s="32">
        <f>IF(C60="%MO",G64,IFERROR(_xlfn.XLOOKUP($B60,Equipo[DESCRIPCION],Equipo[VALOR],,0),""))</f>
        <v>38813.672950000007</v>
      </c>
      <c r="F60" s="33"/>
      <c r="G60" s="34">
        <f>IFERROR(IF(F60&gt;=0,D60*E60*(1+F60/100),ABS(D60*E60/F60)),"")</f>
        <v>1940.6836475000005</v>
      </c>
      <c r="H60" s="43">
        <f>IFERROR(G60*E49,"")</f>
        <v>0</v>
      </c>
    </row>
    <row r="61" spans="1:11">
      <c r="A61" s="21"/>
      <c r="B61" s="22" t="s">
        <v>2533</v>
      </c>
      <c r="C61" s="23"/>
      <c r="D61" s="24"/>
      <c r="E61" s="25"/>
      <c r="F61" s="26"/>
      <c r="G61" s="27">
        <f>SUM(G62:G63)</f>
        <v>0</v>
      </c>
      <c r="H61" s="44">
        <f>G61*E49</f>
        <v>0</v>
      </c>
    </row>
    <row r="62" spans="1:11">
      <c r="A62" s="28"/>
      <c r="B62" s="29"/>
      <c r="C62" s="30" t="str">
        <f>IFERROR(_xlfn.XLOOKUP(B62,Transporte[DESCRIPCION],Transporte[UND],,0),"")</f>
        <v/>
      </c>
      <c r="D62" s="31"/>
      <c r="E62" s="32" t="str">
        <f>IFERROR(_xlfn.XLOOKUP($B62,Transporte[DESCRIPCION],Transporte[VALOR],,0),"")</f>
        <v/>
      </c>
      <c r="F62" s="33"/>
      <c r="G62" s="34" t="str">
        <f>IFERROR(IF(F62&gt;=0,D62*E62*(1+F62/100),ABS(D62*E62/F62)),"")</f>
        <v/>
      </c>
      <c r="H62" s="43" t="str">
        <f>IFERROR(G62*E49,"")</f>
        <v/>
      </c>
    </row>
    <row r="63" spans="1:11">
      <c r="A63" s="28"/>
      <c r="B63" s="29"/>
      <c r="C63" s="30" t="str">
        <f>IFERROR(_xlfn.XLOOKUP(B63,Transporte[DESCRIPCION],Transporte[UND],,0),"")</f>
        <v/>
      </c>
      <c r="D63" s="31"/>
      <c r="E63" s="32" t="str">
        <f>IFERROR(_xlfn.XLOOKUP($B63,Transporte[DESCRIPCION],Transporte[VALOR],,0),"")</f>
        <v/>
      </c>
      <c r="F63" s="33"/>
      <c r="G63" s="34" t="str">
        <f>IFERROR(IF(F63&gt;=0,D63*E63*(1+F63/100),ABS(D63*E63/F63)),"")</f>
        <v/>
      </c>
      <c r="H63" s="43" t="str">
        <f>IFERROR(G63*E49,"")</f>
        <v/>
      </c>
    </row>
    <row r="64" spans="1:11">
      <c r="A64" s="21"/>
      <c r="B64" s="22" t="s">
        <v>3732</v>
      </c>
      <c r="C64" s="23"/>
      <c r="D64" s="24"/>
      <c r="E64" s="25"/>
      <c r="F64" s="26"/>
      <c r="G64" s="27">
        <f>SUM(G65:G67)</f>
        <v>38813.672950000007</v>
      </c>
      <c r="H64" s="44">
        <f>G64*E49</f>
        <v>0</v>
      </c>
    </row>
    <row r="65" spans="1:11">
      <c r="A65" s="28"/>
      <c r="B65" s="29" t="s">
        <v>3716</v>
      </c>
      <c r="C65" s="30" t="str">
        <f>IFERROR(_xlfn.XLOOKUP(B65,MObra[DESCRIPCION],MObra[UN],,0),"")</f>
        <v>día</v>
      </c>
      <c r="D65" s="31">
        <v>1</v>
      </c>
      <c r="E65" s="32">
        <f>IFERROR(_xlfn.XLOOKUP($B65,MObra[DESCRIPCION],MObra[VALOR UNIT],,0),"")</f>
        <v>465764.07540000009</v>
      </c>
      <c r="F65" s="33">
        <v>-12</v>
      </c>
      <c r="G65" s="34">
        <f>IFERROR(IF(F65&gt;=0,D65*E65*(1+F65/100),ABS(D65*E65/F65)),"")</f>
        <v>38813.672950000007</v>
      </c>
      <c r="H65" s="43">
        <f>IFERROR(G65*E49,"")</f>
        <v>0</v>
      </c>
    </row>
    <row r="66" spans="1:11">
      <c r="A66" s="28"/>
      <c r="B66" s="29"/>
      <c r="C66" s="30" t="str">
        <f t="array" ref="C66">IFERROR(_xlfn.XLOOKUP(B66,MObra[[#All],[DESCRIPCION]],MObra[[#All],[UN]],,0),"")</f>
        <v/>
      </c>
      <c r="D66" s="31"/>
      <c r="E66" s="32" t="str">
        <f>IFERROR(_xlfn.XLOOKUP($B66,MObra[DESCRIPCION],MObra[VALOR UNIT],,0),"")</f>
        <v/>
      </c>
      <c r="F66" s="33"/>
      <c r="G66" s="34" t="str">
        <f>IFERROR(IF(F66&gt;=0,D66*E66*(1+F66/100),ABS(D66*E66/F66)),"")</f>
        <v/>
      </c>
      <c r="H66" s="43" t="str">
        <f>IFERROR(G66*E49,"")</f>
        <v/>
      </c>
    </row>
    <row r="67" spans="1:11" ht="13.15" thickBot="1">
      <c r="A67" s="35"/>
      <c r="B67" s="36"/>
      <c r="C67" s="37" t="str">
        <f t="array" ref="C67">IFERROR(_xlfn.XLOOKUP(B67,MObra[[#All],[DESCRIPCION]],MObra[[#All],[UN]],,0),"")</f>
        <v/>
      </c>
      <c r="D67" s="38"/>
      <c r="E67" s="39" t="str">
        <f>IFERROR(_xlfn.XLOOKUP($B67,MObra[DESCRIPCION],MObra[VALOR UNIT],,0),"")</f>
        <v/>
      </c>
      <c r="F67" s="40"/>
      <c r="G67" s="41" t="str">
        <f>IFERROR(IF(F67&gt;=0,D67*E67*(1+F67/100),ABS(D67*E67/F67)),"")</f>
        <v/>
      </c>
      <c r="H67" s="42" t="str">
        <f>IFERROR(G67*E49,"")</f>
        <v/>
      </c>
    </row>
    <row r="68" spans="1:11" ht="13.5" thickTop="1" thickBot="1"/>
    <row r="69" spans="1:11" ht="13.5" thickTop="1" thickBot="1">
      <c r="A69" s="6" t="s">
        <v>883</v>
      </c>
      <c r="B69" s="7" t="str">
        <f>VLOOKUP($A69,Presupuesto!$A:$D,2,FALSE())</f>
        <v>Bandeja portacables semipesada 15 barrotes 20x8x2.4 m tipo escalera</v>
      </c>
      <c r="C69" s="8" t="str">
        <f>VLOOKUP($A69,Presupuesto!$A:$D,3,FALSE())</f>
        <v>M</v>
      </c>
      <c r="D69" s="9"/>
      <c r="E69" s="10">
        <f>VLOOKUP($A69,Presupuesto!$A:$D,4,FALSE())</f>
        <v>0</v>
      </c>
      <c r="F69" s="11" t="s">
        <v>2589</v>
      </c>
      <c r="G69" s="12">
        <f>SUM(G71:G87)/2</f>
        <v>153087.70452054543</v>
      </c>
      <c r="H69" s="13">
        <f>ROUND(SUM(H71:H87),0)/2</f>
        <v>0</v>
      </c>
      <c r="I69" s="10">
        <f>VLOOKUP(A69,Presupuesto!$A:$F,6,0)</f>
        <v>0</v>
      </c>
      <c r="J69" s="10">
        <f>+H69-I69</f>
        <v>0</v>
      </c>
      <c r="K69" s="46">
        <f>+H69-G69*E69</f>
        <v>0</v>
      </c>
    </row>
    <row r="70" spans="1:11" ht="13.15" thickTop="1">
      <c r="A70" s="14"/>
      <c r="B70" s="15" t="s">
        <v>2586</v>
      </c>
      <c r="C70" s="15" t="s">
        <v>5</v>
      </c>
      <c r="D70" s="16" t="s">
        <v>6</v>
      </c>
      <c r="E70" s="17" t="s">
        <v>7</v>
      </c>
      <c r="F70" s="18" t="s">
        <v>3728</v>
      </c>
      <c r="G70" s="19" t="s">
        <v>3729</v>
      </c>
      <c r="H70" s="20" t="s">
        <v>3797</v>
      </c>
    </row>
    <row r="71" spans="1:11">
      <c r="A71" s="21"/>
      <c r="B71" s="22" t="s">
        <v>3730</v>
      </c>
      <c r="C71" s="23"/>
      <c r="D71" s="24"/>
      <c r="E71" s="25"/>
      <c r="F71" s="26"/>
      <c r="G71" s="27">
        <f>SUM(G72:G76)</f>
        <v>102700.5</v>
      </c>
      <c r="H71" s="27">
        <f>IFERROR(G71*E69,"")</f>
        <v>0</v>
      </c>
    </row>
    <row r="72" spans="1:11">
      <c r="A72" s="28"/>
      <c r="B72" s="29" t="s">
        <v>2728</v>
      </c>
      <c r="C72" s="30" t="str">
        <f>IFERROR(_xlfn.XLOOKUP(B72,Insumo[DESCRIPCION],Insumo[UND],,0),"")</f>
        <v>Un</v>
      </c>
      <c r="D72" s="31">
        <v>0.41</v>
      </c>
      <c r="E72" s="32">
        <f>IFERROR(_xlfn.XLOOKUP($B72,Insumo[DESCRIPCION],Insumo[VALOR],,0),"")</f>
        <v>163800</v>
      </c>
      <c r="F72" s="33"/>
      <c r="G72" s="34">
        <f>IFERROR(IF(F72&gt;=0,D72*E72*(1+F72/100),ABS(D72*E72/F72)),"")</f>
        <v>67158</v>
      </c>
      <c r="H72" s="43">
        <f>IFERROR(G72*E69,"")</f>
        <v>0</v>
      </c>
    </row>
    <row r="73" spans="1:11">
      <c r="A73" s="28"/>
      <c r="B73" s="29" t="s">
        <v>2612</v>
      </c>
      <c r="C73" s="30" t="str">
        <f>IFERROR(_xlfn.XLOOKUP(B73,Insumo[DESCRIPCION],Insumo[UND],,0),"")</f>
        <v>Un</v>
      </c>
      <c r="D73" s="31">
        <v>0.2</v>
      </c>
      <c r="E73" s="32">
        <f>IFERROR(_xlfn.XLOOKUP($B73,Insumo[DESCRIPCION],Insumo[VALOR],,0),"")</f>
        <v>88200</v>
      </c>
      <c r="F73" s="33"/>
      <c r="G73" s="34">
        <f>IFERROR(IF(F73&gt;=0,D73*E73*(1+F73/100),ABS(D73*E73/F73)),"")</f>
        <v>17640</v>
      </c>
      <c r="H73" s="43">
        <f>IFERROR(G73*E69,"")</f>
        <v>0</v>
      </c>
    </row>
    <row r="74" spans="1:11">
      <c r="A74" s="28"/>
      <c r="B74" s="29" t="s">
        <v>2833</v>
      </c>
      <c r="C74" s="30" t="str">
        <f>IFERROR(_xlfn.XLOOKUP(B74,Insumo[DESCRIPCION],Insumo[UND],,0),"")</f>
        <v>Un</v>
      </c>
      <c r="D74" s="31">
        <v>1</v>
      </c>
      <c r="E74" s="32">
        <f>IFERROR(_xlfn.XLOOKUP($B74,Insumo[DESCRIPCION],Insumo[VALOR],,0),"")</f>
        <v>682.5</v>
      </c>
      <c r="F74" s="33"/>
      <c r="G74" s="34">
        <f>IFERROR(IF(F74&gt;=0,D74*E74*(1+F74/100),ABS(D74*E74/F74)),"")</f>
        <v>682.5</v>
      </c>
      <c r="H74" s="43">
        <f>IFERROR(G74*E69,"")</f>
        <v>0</v>
      </c>
    </row>
    <row r="75" spans="1:11">
      <c r="A75" s="28"/>
      <c r="B75" s="29" t="s">
        <v>3330</v>
      </c>
      <c r="C75" s="30" t="str">
        <f>IFERROR(_xlfn.XLOOKUP(B75,Insumo[DESCRIPCION],Insumo[UND],,0),"")</f>
        <v>Un</v>
      </c>
      <c r="D75" s="31">
        <v>0.41</v>
      </c>
      <c r="E75" s="32">
        <f>IFERROR(_xlfn.XLOOKUP($B75,Insumo[DESCRIPCION],Insumo[VALOR],,0),"")</f>
        <v>42000</v>
      </c>
      <c r="F75" s="33"/>
      <c r="G75" s="34">
        <f>IFERROR(IF(F75&gt;=0,D75*E75*(1+F75/100),ABS(D75*E75/F75)),"")</f>
        <v>17220</v>
      </c>
      <c r="H75" s="43">
        <f>IFERROR(G75*E69,"")</f>
        <v>0</v>
      </c>
    </row>
    <row r="76" spans="1:11">
      <c r="A76" s="28"/>
      <c r="B76" s="29"/>
      <c r="C76" s="30" t="str">
        <f>IFERROR(_xlfn.XLOOKUP(B76,Insumo[DESCRIPCION],Insumo[UND],,0),"")</f>
        <v/>
      </c>
      <c r="D76" s="31"/>
      <c r="E76" s="32" t="str">
        <f>IFERROR(_xlfn.XLOOKUP($B76,Insumo[DESCRIPCION],Insumo[VALOR],,0),"")</f>
        <v/>
      </c>
      <c r="F76" s="33"/>
      <c r="G76" s="34" t="str">
        <f>IFERROR(IF(F76&gt;=0,D76*E76*(1+F76/100),ABS(D76*E76/F76)),"")</f>
        <v/>
      </c>
      <c r="H76" s="43" t="str">
        <f>IFERROR(G76*E69,"")</f>
        <v/>
      </c>
    </row>
    <row r="77" spans="1:11">
      <c r="A77" s="21"/>
      <c r="B77" s="22" t="s">
        <v>3731</v>
      </c>
      <c r="C77" s="23"/>
      <c r="D77" s="24"/>
      <c r="E77" s="25"/>
      <c r="F77" s="26"/>
      <c r="G77" s="27">
        <f>SUM(G78:G80)</f>
        <v>8045.0158478181829</v>
      </c>
      <c r="H77" s="44">
        <f>G77*E69</f>
        <v>0</v>
      </c>
    </row>
    <row r="78" spans="1:11">
      <c r="A78" s="28"/>
      <c r="B78" s="29" t="s">
        <v>3573</v>
      </c>
      <c r="C78" s="30" t="str">
        <f>IFERROR(_xlfn.XLOOKUP(B78,Equipo[DESCRIPCION],Equipo[UND],,0),"")</f>
        <v>%MO</v>
      </c>
      <c r="D78" s="31">
        <v>0.1</v>
      </c>
      <c r="E78" s="32">
        <f>IF(C78="%MO",G84,IFERROR(_xlfn.XLOOKUP($B78,Equipo[DESCRIPCION],Equipo[VALOR],,0),""))</f>
        <v>42342.188672727279</v>
      </c>
      <c r="F78" s="33"/>
      <c r="G78" s="34">
        <f>IFERROR(IF(F78&gt;=0,D78*E78*(1+F78/100),ABS(D78*E78/F78)),"")</f>
        <v>4234.2188672727279</v>
      </c>
      <c r="H78" s="43">
        <f>IFERROR(G78*E69,"")</f>
        <v>0</v>
      </c>
    </row>
    <row r="79" spans="1:11">
      <c r="A79" s="28"/>
      <c r="B79" s="29" t="s">
        <v>3570</v>
      </c>
      <c r="C79" s="30" t="str">
        <f>IFERROR(_xlfn.XLOOKUP(B79,Equipo[DESCRIPCION],Equipo[UND],,0),"")</f>
        <v>%MO</v>
      </c>
      <c r="D79" s="31">
        <v>0.04</v>
      </c>
      <c r="E79" s="32">
        <f>IF(C79="%MO",G84,IFERROR(_xlfn.XLOOKUP($B79,Equipo[DESCRIPCION],Equipo[VALOR],,0),""))</f>
        <v>42342.188672727279</v>
      </c>
      <c r="F79" s="33"/>
      <c r="G79" s="34">
        <f>IFERROR(IF(F79&gt;=0,D79*E79*(1+F79/100),ABS(D79*E79/F79)),"")</f>
        <v>1693.6875469090912</v>
      </c>
      <c r="H79" s="43">
        <f>IFERROR(G79*E69,"")</f>
        <v>0</v>
      </c>
    </row>
    <row r="80" spans="1:11">
      <c r="A80" s="28"/>
      <c r="B80" s="29" t="s">
        <v>3626</v>
      </c>
      <c r="C80" s="30" t="str">
        <f>IFERROR(_xlfn.XLOOKUP(B80,Equipo[DESCRIPCION],Equipo[UND],,0),"")</f>
        <v>%MO</v>
      </c>
      <c r="D80" s="31">
        <v>0.05</v>
      </c>
      <c r="E80" s="32">
        <f>IF(C80="%MO",G84,IFERROR(_xlfn.XLOOKUP($B80,Equipo[DESCRIPCION],Equipo[VALOR],,0),""))</f>
        <v>42342.188672727279</v>
      </c>
      <c r="F80" s="33"/>
      <c r="G80" s="34">
        <f>IFERROR(IF(F80&gt;=0,D80*E80*(1+F80/100),ABS(D80*E80/F80)),"")</f>
        <v>2117.109433636364</v>
      </c>
      <c r="H80" s="43">
        <f>IFERROR(G80*E69,"")</f>
        <v>0</v>
      </c>
    </row>
    <row r="81" spans="1:11">
      <c r="A81" s="21"/>
      <c r="B81" s="22" t="s">
        <v>2533</v>
      </c>
      <c r="C81" s="23"/>
      <c r="D81" s="24"/>
      <c r="E81" s="25"/>
      <c r="F81" s="26"/>
      <c r="G81" s="27">
        <f>SUM(G82:G83)</f>
        <v>0</v>
      </c>
      <c r="H81" s="44">
        <f>G81*E69</f>
        <v>0</v>
      </c>
    </row>
    <row r="82" spans="1:11">
      <c r="A82" s="28"/>
      <c r="B82" s="29"/>
      <c r="C82" s="30" t="str">
        <f>IFERROR(_xlfn.XLOOKUP(B82,Transporte[DESCRIPCION],Transporte[UND],,0),"")</f>
        <v/>
      </c>
      <c r="D82" s="31"/>
      <c r="E82" s="32" t="str">
        <f>IFERROR(_xlfn.XLOOKUP($B82,Transporte[DESCRIPCION],Transporte[VALOR],,0),"")</f>
        <v/>
      </c>
      <c r="F82" s="33"/>
      <c r="G82" s="34" t="str">
        <f>IFERROR(IF(F82&gt;=0,D82*E82*(1+F82/100),ABS(D82*E82/F82)),"")</f>
        <v/>
      </c>
      <c r="H82" s="43" t="str">
        <f>IFERROR(G82*E69,"")</f>
        <v/>
      </c>
    </row>
    <row r="83" spans="1:11">
      <c r="A83" s="28"/>
      <c r="B83" s="29"/>
      <c r="C83" s="30" t="str">
        <f>IFERROR(_xlfn.XLOOKUP(B83,Transporte[DESCRIPCION],Transporte[UND],,0),"")</f>
        <v/>
      </c>
      <c r="D83" s="31"/>
      <c r="E83" s="32" t="str">
        <f>IFERROR(_xlfn.XLOOKUP($B83,Transporte[DESCRIPCION],Transporte[VALOR],,0),"")</f>
        <v/>
      </c>
      <c r="F83" s="33"/>
      <c r="G83" s="34" t="str">
        <f>IFERROR(IF(F83&gt;=0,D83*E83*(1+F83/100),ABS(D83*E83/F83)),"")</f>
        <v/>
      </c>
      <c r="H83" s="43" t="str">
        <f>IFERROR(G83*E69,"")</f>
        <v/>
      </c>
    </row>
    <row r="84" spans="1:11">
      <c r="A84" s="21"/>
      <c r="B84" s="22" t="s">
        <v>3732</v>
      </c>
      <c r="C84" s="23"/>
      <c r="D84" s="24"/>
      <c r="E84" s="25"/>
      <c r="F84" s="26"/>
      <c r="G84" s="27">
        <f>SUM(G85:G87)</f>
        <v>42342.188672727279</v>
      </c>
      <c r="H84" s="44">
        <f>G84*E69</f>
        <v>0</v>
      </c>
    </row>
    <row r="85" spans="1:11">
      <c r="A85" s="28"/>
      <c r="B85" s="29" t="s">
        <v>3716</v>
      </c>
      <c r="C85" s="30" t="str">
        <f>IFERROR(_xlfn.XLOOKUP(B85,MObra[DESCRIPCION],MObra[UN],,0),"")</f>
        <v>día</v>
      </c>
      <c r="D85" s="31">
        <v>1</v>
      </c>
      <c r="E85" s="32">
        <f>IFERROR(_xlfn.XLOOKUP($B85,MObra[DESCRIPCION],MObra[VALOR UNIT],,0),"")</f>
        <v>465764.07540000009</v>
      </c>
      <c r="F85" s="33">
        <v>-11</v>
      </c>
      <c r="G85" s="34">
        <f>IFERROR(IF(F85&gt;=0,D85*E85*(1+F85/100),ABS(D85*E85/F85)),"")</f>
        <v>42342.188672727279</v>
      </c>
      <c r="H85" s="43">
        <f>IFERROR(G85*E69,"")</f>
        <v>0</v>
      </c>
    </row>
    <row r="86" spans="1:11">
      <c r="A86" s="28"/>
      <c r="B86" s="29"/>
      <c r="C86" s="30" t="str">
        <f t="array" ref="C86">IFERROR(_xlfn.XLOOKUP(B86,MObra[[#All],[DESCRIPCION]],MObra[[#All],[UN]],,0),"")</f>
        <v/>
      </c>
      <c r="D86" s="31"/>
      <c r="E86" s="32" t="str">
        <f>IFERROR(_xlfn.XLOOKUP($B86,MObra[DESCRIPCION],MObra[VALOR UNIT],,0),"")</f>
        <v/>
      </c>
      <c r="F86" s="33"/>
      <c r="G86" s="34" t="str">
        <f>IFERROR(IF(F86&gt;=0,D86*E86*(1+F86/100),ABS(D86*E86/F86)),"")</f>
        <v/>
      </c>
      <c r="H86" s="43" t="str">
        <f>IFERROR(G86*E69,"")</f>
        <v/>
      </c>
    </row>
    <row r="87" spans="1:11" ht="13.15" thickBot="1">
      <c r="A87" s="35"/>
      <c r="B87" s="36"/>
      <c r="C87" s="37" t="str">
        <f t="array" ref="C87">IFERROR(_xlfn.XLOOKUP(B87,MObra[[#All],[DESCRIPCION]],MObra[[#All],[UN]],,0),"")</f>
        <v/>
      </c>
      <c r="D87" s="38"/>
      <c r="E87" s="39" t="str">
        <f>IFERROR(_xlfn.XLOOKUP($B87,MObra[DESCRIPCION],MObra[VALOR UNIT],,0),"")</f>
        <v/>
      </c>
      <c r="F87" s="40"/>
      <c r="G87" s="41" t="str">
        <f>IFERROR(IF(F87&gt;=0,D87*E87*(1+F87/100),ABS(D87*E87/F87)),"")</f>
        <v/>
      </c>
      <c r="H87" s="42" t="str">
        <f>IFERROR(G87*E69,"")</f>
        <v/>
      </c>
    </row>
    <row r="88" spans="1:11" ht="13.5" thickTop="1" thickBot="1"/>
    <row r="89" spans="1:11" ht="13.5" thickTop="1" thickBot="1">
      <c r="A89" s="6" t="s">
        <v>885</v>
      </c>
      <c r="B89" s="7" t="str">
        <f>VLOOKUP($A89,Presupuesto!$A:$D,2,FALSE())</f>
        <v>Bandeja portacables semipesada 15 barrotes 30x8x2.4 m tipo escalera</v>
      </c>
      <c r="C89" s="8" t="str">
        <f>VLOOKUP($A89,Presupuesto!$A:$D,3,FALSE())</f>
        <v>M</v>
      </c>
      <c r="D89" s="9"/>
      <c r="E89" s="10">
        <f>VLOOKUP($A89,Presupuesto!$A:$D,4,FALSE())</f>
        <v>0</v>
      </c>
      <c r="F89" s="11" t="s">
        <v>2589</v>
      </c>
      <c r="G89" s="12">
        <f>SUM(G91:G107)/2</f>
        <v>167891.42497259998</v>
      </c>
      <c r="H89" s="13">
        <f>ROUND(SUM(H91:H107),0)/2</f>
        <v>0</v>
      </c>
      <c r="I89" s="10">
        <f>VLOOKUP(A89,Presupuesto!$A:$F,6,0)</f>
        <v>0</v>
      </c>
      <c r="J89" s="10">
        <f>+H89-I89</f>
        <v>0</v>
      </c>
      <c r="K89" s="46">
        <f>+H89-G89*E89</f>
        <v>0</v>
      </c>
    </row>
    <row r="90" spans="1:11" ht="13.15" thickTop="1">
      <c r="A90" s="14"/>
      <c r="B90" s="15" t="s">
        <v>2586</v>
      </c>
      <c r="C90" s="15" t="s">
        <v>5</v>
      </c>
      <c r="D90" s="16" t="s">
        <v>6</v>
      </c>
      <c r="E90" s="17" t="s">
        <v>7</v>
      </c>
      <c r="F90" s="18" t="s">
        <v>3728</v>
      </c>
      <c r="G90" s="19" t="s">
        <v>3729</v>
      </c>
      <c r="H90" s="20" t="s">
        <v>3797</v>
      </c>
    </row>
    <row r="91" spans="1:11">
      <c r="A91" s="21"/>
      <c r="B91" s="22" t="s">
        <v>3730</v>
      </c>
      <c r="C91" s="23"/>
      <c r="D91" s="24"/>
      <c r="E91" s="25"/>
      <c r="F91" s="26"/>
      <c r="G91" s="27">
        <f>SUM(G92:G96)</f>
        <v>112465.5</v>
      </c>
      <c r="H91" s="27">
        <f>IFERROR(G91*E89,"")</f>
        <v>0</v>
      </c>
    </row>
    <row r="92" spans="1:11">
      <c r="A92" s="28"/>
      <c r="B92" s="29" t="s">
        <v>2729</v>
      </c>
      <c r="C92" s="30" t="str">
        <f>IFERROR(_xlfn.XLOOKUP(B92,Insumo[DESCRIPCION],Insumo[UND],,0),"")</f>
        <v>Un</v>
      </c>
      <c r="D92" s="31">
        <v>0.41</v>
      </c>
      <c r="E92" s="32">
        <f>IFERROR(_xlfn.XLOOKUP($B92,Insumo[DESCRIPCION],Insumo[VALOR],,0),"")</f>
        <v>182700</v>
      </c>
      <c r="F92" s="33"/>
      <c r="G92" s="34">
        <f>IFERROR(IF(F92&gt;=0,D92*E92*(1+F92/100),ABS(D92*E92/F92)),"")</f>
        <v>74907</v>
      </c>
      <c r="H92" s="43">
        <f>IFERROR(G92*E89,"")</f>
        <v>0</v>
      </c>
    </row>
    <row r="93" spans="1:11">
      <c r="A93" s="28"/>
      <c r="B93" s="29" t="s">
        <v>2613</v>
      </c>
      <c r="C93" s="30" t="str">
        <f>IFERROR(_xlfn.XLOOKUP(B93,Insumo[DESCRIPCION],Insumo[UND],,0),"")</f>
        <v>Un</v>
      </c>
      <c r="D93" s="31">
        <v>0.2</v>
      </c>
      <c r="E93" s="32">
        <f>IFERROR(_xlfn.XLOOKUP($B93,Insumo[DESCRIPCION],Insumo[VALOR],,0),"")</f>
        <v>98280</v>
      </c>
      <c r="F93" s="33"/>
      <c r="G93" s="34">
        <f>IFERROR(IF(F93&gt;=0,D93*E93*(1+F93/100),ABS(D93*E93/F93)),"")</f>
        <v>19656</v>
      </c>
      <c r="H93" s="43">
        <f>IFERROR(G93*E89,"")</f>
        <v>0</v>
      </c>
    </row>
    <row r="94" spans="1:11">
      <c r="A94" s="28"/>
      <c r="B94" s="29" t="s">
        <v>2833</v>
      </c>
      <c r="C94" s="30" t="str">
        <f>IFERROR(_xlfn.XLOOKUP(B94,Insumo[DESCRIPCION],Insumo[UND],,0),"")</f>
        <v>Un</v>
      </c>
      <c r="D94" s="31">
        <v>1</v>
      </c>
      <c r="E94" s="32">
        <f>IFERROR(_xlfn.XLOOKUP($B94,Insumo[DESCRIPCION],Insumo[VALOR],,0),"")</f>
        <v>682.5</v>
      </c>
      <c r="F94" s="33"/>
      <c r="G94" s="34">
        <f>IFERROR(IF(F94&gt;=0,D94*E94*(1+F94/100),ABS(D94*E94/F94)),"")</f>
        <v>682.5</v>
      </c>
      <c r="H94" s="43">
        <f>IFERROR(G94*E89,"")</f>
        <v>0</v>
      </c>
    </row>
    <row r="95" spans="1:11">
      <c r="A95" s="28"/>
      <c r="B95" s="29" t="s">
        <v>3330</v>
      </c>
      <c r="C95" s="30" t="str">
        <f>IFERROR(_xlfn.XLOOKUP(B95,Insumo[DESCRIPCION],Insumo[UND],,0),"")</f>
        <v>Un</v>
      </c>
      <c r="D95" s="31">
        <v>0.41</v>
      </c>
      <c r="E95" s="32">
        <f>IFERROR(_xlfn.XLOOKUP($B95,Insumo[DESCRIPCION],Insumo[VALOR],,0),"")</f>
        <v>42000</v>
      </c>
      <c r="F95" s="33"/>
      <c r="G95" s="34">
        <f>IFERROR(IF(F95&gt;=0,D95*E95*(1+F95/100),ABS(D95*E95/F95)),"")</f>
        <v>17220</v>
      </c>
      <c r="H95" s="43">
        <f>IFERROR(G95*E89,"")</f>
        <v>0</v>
      </c>
    </row>
    <row r="96" spans="1:11">
      <c r="A96" s="28"/>
      <c r="B96" s="29"/>
      <c r="C96" s="30" t="str">
        <f>IFERROR(_xlfn.XLOOKUP(B96,Insumo[DESCRIPCION],Insumo[UND],,0),"")</f>
        <v/>
      </c>
      <c r="D96" s="31"/>
      <c r="E96" s="32" t="str">
        <f>IFERROR(_xlfn.XLOOKUP($B96,Insumo[DESCRIPCION],Insumo[VALOR],,0),"")</f>
        <v/>
      </c>
      <c r="F96" s="33"/>
      <c r="G96" s="34" t="str">
        <f>IFERROR(IF(F96&gt;=0,D96*E96*(1+F96/100),ABS(D96*E96/F96)),"")</f>
        <v/>
      </c>
      <c r="H96" s="43" t="str">
        <f>IFERROR(G96*E89,"")</f>
        <v/>
      </c>
    </row>
    <row r="97" spans="1:11">
      <c r="A97" s="21"/>
      <c r="B97" s="22" t="s">
        <v>3731</v>
      </c>
      <c r="C97" s="23"/>
      <c r="D97" s="24"/>
      <c r="E97" s="25"/>
      <c r="F97" s="26"/>
      <c r="G97" s="27">
        <f>SUM(G98:G100)</f>
        <v>8849.5174326000015</v>
      </c>
      <c r="H97" s="44">
        <f>G97*E89</f>
        <v>0</v>
      </c>
    </row>
    <row r="98" spans="1:11">
      <c r="A98" s="28"/>
      <c r="B98" s="29" t="s">
        <v>3573</v>
      </c>
      <c r="C98" s="30" t="str">
        <f>IFERROR(_xlfn.XLOOKUP(B98,Equipo[DESCRIPCION],Equipo[UND],,0),"")</f>
        <v>%MO</v>
      </c>
      <c r="D98" s="31">
        <v>0.1</v>
      </c>
      <c r="E98" s="32">
        <f>IF(C98="%MO",G104,IFERROR(_xlfn.XLOOKUP($B98,Equipo[DESCRIPCION],Equipo[VALOR],,0),""))</f>
        <v>46576.407540000007</v>
      </c>
      <c r="F98" s="33"/>
      <c r="G98" s="34">
        <f>IFERROR(IF(F98&gt;=0,D98*E98*(1+F98/100),ABS(D98*E98/F98)),"")</f>
        <v>4657.6407540000009</v>
      </c>
      <c r="H98" s="43">
        <f>IFERROR(G98*E89,"")</f>
        <v>0</v>
      </c>
    </row>
    <row r="99" spans="1:11">
      <c r="A99" s="28"/>
      <c r="B99" s="29" t="s">
        <v>3570</v>
      </c>
      <c r="C99" s="30" t="str">
        <f>IFERROR(_xlfn.XLOOKUP(B99,Equipo[DESCRIPCION],Equipo[UND],,0),"")</f>
        <v>%MO</v>
      </c>
      <c r="D99" s="31">
        <v>0.04</v>
      </c>
      <c r="E99" s="32">
        <f>IF(C99="%MO",G104,IFERROR(_xlfn.XLOOKUP($B99,Equipo[DESCRIPCION],Equipo[VALOR],,0),""))</f>
        <v>46576.407540000007</v>
      </c>
      <c r="F99" s="33"/>
      <c r="G99" s="34">
        <f>IFERROR(IF(F99&gt;=0,D99*E99*(1+F99/100),ABS(D99*E99/F99)),"")</f>
        <v>1863.0563016000003</v>
      </c>
      <c r="H99" s="43">
        <f>IFERROR(G99*E89,"")</f>
        <v>0</v>
      </c>
    </row>
    <row r="100" spans="1:11">
      <c r="A100" s="28"/>
      <c r="B100" s="29" t="s">
        <v>3626</v>
      </c>
      <c r="C100" s="30" t="str">
        <f>IFERROR(_xlfn.XLOOKUP(B100,Equipo[DESCRIPCION],Equipo[UND],,0),"")</f>
        <v>%MO</v>
      </c>
      <c r="D100" s="31">
        <v>0.05</v>
      </c>
      <c r="E100" s="32">
        <f>IF(C100="%MO",G104,IFERROR(_xlfn.XLOOKUP($B100,Equipo[DESCRIPCION],Equipo[VALOR],,0),""))</f>
        <v>46576.407540000007</v>
      </c>
      <c r="F100" s="33"/>
      <c r="G100" s="34">
        <f>IFERROR(IF(F100&gt;=0,D100*E100*(1+F100/100),ABS(D100*E100/F100)),"")</f>
        <v>2328.8203770000005</v>
      </c>
      <c r="H100" s="43">
        <f>IFERROR(G100*E89,"")</f>
        <v>0</v>
      </c>
    </row>
    <row r="101" spans="1:11">
      <c r="A101" s="21"/>
      <c r="B101" s="22" t="s">
        <v>2533</v>
      </c>
      <c r="C101" s="23"/>
      <c r="D101" s="24"/>
      <c r="E101" s="25"/>
      <c r="F101" s="26"/>
      <c r="G101" s="27">
        <f>SUM(G102:G103)</f>
        <v>0</v>
      </c>
      <c r="H101" s="44">
        <f>G101*E89</f>
        <v>0</v>
      </c>
    </row>
    <row r="102" spans="1:11">
      <c r="A102" s="28"/>
      <c r="B102" s="29"/>
      <c r="C102" s="30" t="str">
        <f>IFERROR(_xlfn.XLOOKUP(B102,Transporte[DESCRIPCION],Transporte[UND],,0),"")</f>
        <v/>
      </c>
      <c r="D102" s="31"/>
      <c r="E102" s="32" t="str">
        <f>IFERROR(_xlfn.XLOOKUP($B102,Transporte[DESCRIPCION],Transporte[VALOR],,0),"")</f>
        <v/>
      </c>
      <c r="F102" s="33"/>
      <c r="G102" s="34" t="str">
        <f>IFERROR(IF(F102&gt;=0,D102*E102*(1+F102/100),ABS(D102*E102/F102)),"")</f>
        <v/>
      </c>
      <c r="H102" s="43" t="str">
        <f>IFERROR(G102*E89,"")</f>
        <v/>
      </c>
    </row>
    <row r="103" spans="1:11">
      <c r="A103" s="28"/>
      <c r="B103" s="29"/>
      <c r="C103" s="30" t="str">
        <f>IFERROR(_xlfn.XLOOKUP(B103,Transporte[DESCRIPCION],Transporte[UND],,0),"")</f>
        <v/>
      </c>
      <c r="D103" s="31"/>
      <c r="E103" s="32" t="str">
        <f>IFERROR(_xlfn.XLOOKUP($B103,Transporte[DESCRIPCION],Transporte[VALOR],,0),"")</f>
        <v/>
      </c>
      <c r="F103" s="33"/>
      <c r="G103" s="34" t="str">
        <f>IFERROR(IF(F103&gt;=0,D103*E103*(1+F103/100),ABS(D103*E103/F103)),"")</f>
        <v/>
      </c>
      <c r="H103" s="43" t="str">
        <f>IFERROR(G103*E89,"")</f>
        <v/>
      </c>
    </row>
    <row r="104" spans="1:11">
      <c r="A104" s="21"/>
      <c r="B104" s="22" t="s">
        <v>3732</v>
      </c>
      <c r="C104" s="23"/>
      <c r="D104" s="24"/>
      <c r="E104" s="25"/>
      <c r="F104" s="26"/>
      <c r="G104" s="27">
        <f>SUM(G105:G107)</f>
        <v>46576.407540000007</v>
      </c>
      <c r="H104" s="44">
        <f>G104*E89</f>
        <v>0</v>
      </c>
    </row>
    <row r="105" spans="1:11">
      <c r="A105" s="28"/>
      <c r="B105" s="29" t="s">
        <v>3716</v>
      </c>
      <c r="C105" s="30" t="str">
        <f>IFERROR(_xlfn.XLOOKUP(B105,MObra[DESCRIPCION],MObra[UN],,0),"")</f>
        <v>día</v>
      </c>
      <c r="D105" s="31">
        <v>1</v>
      </c>
      <c r="E105" s="32">
        <f>IFERROR(_xlfn.XLOOKUP($B105,MObra[DESCRIPCION],MObra[VALOR UNIT],,0),"")</f>
        <v>465764.07540000009</v>
      </c>
      <c r="F105" s="33">
        <v>-10</v>
      </c>
      <c r="G105" s="34">
        <f>IFERROR(IF(F105&gt;=0,D105*E105*(1+F105/100),ABS(D105*E105/F105)),"")</f>
        <v>46576.407540000007</v>
      </c>
      <c r="H105" s="43">
        <f>IFERROR(G105*E89,"")</f>
        <v>0</v>
      </c>
    </row>
    <row r="106" spans="1:11">
      <c r="A106" s="28"/>
      <c r="B106" s="29"/>
      <c r="C106" s="30" t="str">
        <f t="array" ref="C106">IFERROR(_xlfn.XLOOKUP(B106,MObra[[#All],[DESCRIPCION]],MObra[[#All],[UN]],,0),"")</f>
        <v/>
      </c>
      <c r="D106" s="31"/>
      <c r="E106" s="32" t="str">
        <f>IFERROR(_xlfn.XLOOKUP($B106,MObra[DESCRIPCION],MObra[VALOR UNIT],,0),"")</f>
        <v/>
      </c>
      <c r="F106" s="33"/>
      <c r="G106" s="34" t="str">
        <f>IFERROR(IF(F106&gt;=0,D106*E106*(1+F106/100),ABS(D106*E106/F106)),"")</f>
        <v/>
      </c>
      <c r="H106" s="43" t="str">
        <f>IFERROR(G106*E89,"")</f>
        <v/>
      </c>
    </row>
    <row r="107" spans="1:11" ht="13.15" thickBot="1">
      <c r="A107" s="35"/>
      <c r="B107" s="36"/>
      <c r="C107" s="37" t="str">
        <f t="array" ref="C107">IFERROR(_xlfn.XLOOKUP(B107,MObra[[#All],[DESCRIPCION]],MObra[[#All],[UN]],,0),"")</f>
        <v/>
      </c>
      <c r="D107" s="38"/>
      <c r="E107" s="39" t="str">
        <f>IFERROR(_xlfn.XLOOKUP($B107,MObra[DESCRIPCION],MObra[VALOR UNIT],,0),"")</f>
        <v/>
      </c>
      <c r="F107" s="40"/>
      <c r="G107" s="41" t="str">
        <f>IFERROR(IF(F107&gt;=0,D107*E107*(1+F107/100),ABS(D107*E107/F107)),"")</f>
        <v/>
      </c>
      <c r="H107" s="42" t="str">
        <f>IFERROR(G107*E89,"")</f>
        <v/>
      </c>
    </row>
    <row r="108" spans="1:11" ht="13.5" thickTop="1" thickBot="1"/>
    <row r="109" spans="1:11" ht="13.5" thickTop="1" thickBot="1">
      <c r="A109" s="6" t="s">
        <v>887</v>
      </c>
      <c r="B109" s="7" t="str">
        <f>VLOOKUP($A109,Presupuesto!$A:$D,2,FALSE())</f>
        <v>Bandeja portacables semipesada 15 barrotes 40x8x2.4 m tipo escalera</v>
      </c>
      <c r="C109" s="8" t="str">
        <f>VLOOKUP($A109,Presupuesto!$A:$D,3,FALSE())</f>
        <v>M</v>
      </c>
      <c r="D109" s="9"/>
      <c r="E109" s="10">
        <f>VLOOKUP($A109,Presupuesto!$A:$D,4,FALSE())</f>
        <v>0</v>
      </c>
      <c r="F109" s="11" t="s">
        <v>2589</v>
      </c>
      <c r="G109" s="12">
        <f>SUM(G111:G127)/2</f>
        <v>183562.86108066665</v>
      </c>
      <c r="H109" s="13">
        <f>ROUND(SUM(H111:H127),0)/2</f>
        <v>0</v>
      </c>
      <c r="I109" s="10">
        <f>VLOOKUP(A109,Presupuesto!$A:$F,6,0)</f>
        <v>0</v>
      </c>
      <c r="J109" s="10">
        <f>+H109-I109</f>
        <v>0</v>
      </c>
      <c r="K109" s="46">
        <f>+H109-G109*E109</f>
        <v>0</v>
      </c>
    </row>
    <row r="110" spans="1:11" ht="13.15" thickTop="1">
      <c r="A110" s="14"/>
      <c r="B110" s="15" t="s">
        <v>2586</v>
      </c>
      <c r="C110" s="15" t="s">
        <v>5</v>
      </c>
      <c r="D110" s="16" t="s">
        <v>6</v>
      </c>
      <c r="E110" s="17" t="s">
        <v>7</v>
      </c>
      <c r="F110" s="18" t="s">
        <v>3728</v>
      </c>
      <c r="G110" s="19" t="s">
        <v>3729</v>
      </c>
      <c r="H110" s="20" t="s">
        <v>3797</v>
      </c>
    </row>
    <row r="111" spans="1:11">
      <c r="A111" s="21"/>
      <c r="B111" s="22" t="s">
        <v>3730</v>
      </c>
      <c r="C111" s="23"/>
      <c r="D111" s="24"/>
      <c r="E111" s="25"/>
      <c r="F111" s="26"/>
      <c r="G111" s="27">
        <f>SUM(G112:G116)</f>
        <v>121978.5</v>
      </c>
      <c r="H111" s="27">
        <f>IFERROR(G111*E109,"")</f>
        <v>0</v>
      </c>
    </row>
    <row r="112" spans="1:11">
      <c r="A112" s="28"/>
      <c r="B112" s="29" t="s">
        <v>2730</v>
      </c>
      <c r="C112" s="30" t="str">
        <f>IFERROR(_xlfn.XLOOKUP(B112,Insumo[DESCRIPCION],Insumo[UND],,0),"")</f>
        <v>Un</v>
      </c>
      <c r="D112" s="31">
        <v>0.41</v>
      </c>
      <c r="E112" s="32">
        <f>IFERROR(_xlfn.XLOOKUP($B112,Insumo[DESCRIPCION],Insumo[VALOR],,0),"")</f>
        <v>201600</v>
      </c>
      <c r="F112" s="33"/>
      <c r="G112" s="34">
        <f>IFERROR(IF(F112&gt;=0,D112*E112*(1+F112/100),ABS(D112*E112/F112)),"")</f>
        <v>82656</v>
      </c>
      <c r="H112" s="43">
        <f>IFERROR(G112*E109,"")</f>
        <v>0</v>
      </c>
    </row>
    <row r="113" spans="1:8">
      <c r="A113" s="28"/>
      <c r="B113" s="29" t="s">
        <v>2614</v>
      </c>
      <c r="C113" s="30" t="str">
        <f>IFERROR(_xlfn.XLOOKUP(B113,Insumo[DESCRIPCION],Insumo[UND],,0),"")</f>
        <v>Un</v>
      </c>
      <c r="D113" s="31">
        <v>0.2</v>
      </c>
      <c r="E113" s="32">
        <f>IFERROR(_xlfn.XLOOKUP($B113,Insumo[DESCRIPCION],Insumo[VALOR],,0),"")</f>
        <v>107100</v>
      </c>
      <c r="F113" s="33"/>
      <c r="G113" s="34">
        <f>IFERROR(IF(F113&gt;=0,D113*E113*(1+F113/100),ABS(D113*E113/F113)),"")</f>
        <v>21420</v>
      </c>
      <c r="H113" s="43">
        <f>IFERROR(G113*E109,"")</f>
        <v>0</v>
      </c>
    </row>
    <row r="114" spans="1:8">
      <c r="A114" s="28"/>
      <c r="B114" s="29" t="s">
        <v>2833</v>
      </c>
      <c r="C114" s="30" t="str">
        <f>IFERROR(_xlfn.XLOOKUP(B114,Insumo[DESCRIPCION],Insumo[UND],,0),"")</f>
        <v>Un</v>
      </c>
      <c r="D114" s="31">
        <v>1</v>
      </c>
      <c r="E114" s="32">
        <f>IFERROR(_xlfn.XLOOKUP($B114,Insumo[DESCRIPCION],Insumo[VALOR],,0),"")</f>
        <v>682.5</v>
      </c>
      <c r="F114" s="33"/>
      <c r="G114" s="34">
        <f>IFERROR(IF(F114&gt;=0,D114*E114*(1+F114/100),ABS(D114*E114/F114)),"")</f>
        <v>682.5</v>
      </c>
      <c r="H114" s="43">
        <f>IFERROR(G114*E109,"")</f>
        <v>0</v>
      </c>
    </row>
    <row r="115" spans="1:8">
      <c r="A115" s="28"/>
      <c r="B115" s="29" t="s">
        <v>3330</v>
      </c>
      <c r="C115" s="30" t="str">
        <f>IFERROR(_xlfn.XLOOKUP(B115,Insumo[DESCRIPCION],Insumo[UND],,0),"")</f>
        <v>Un</v>
      </c>
      <c r="D115" s="31">
        <v>0.41</v>
      </c>
      <c r="E115" s="32">
        <f>IFERROR(_xlfn.XLOOKUP($B115,Insumo[DESCRIPCION],Insumo[VALOR],,0),"")</f>
        <v>42000</v>
      </c>
      <c r="F115" s="33"/>
      <c r="G115" s="34">
        <f>IFERROR(IF(F115&gt;=0,D115*E115*(1+F115/100),ABS(D115*E115/F115)),"")</f>
        <v>17220</v>
      </c>
      <c r="H115" s="43">
        <f>IFERROR(G115*E109,"")</f>
        <v>0</v>
      </c>
    </row>
    <row r="116" spans="1:8">
      <c r="A116" s="28"/>
      <c r="B116" s="29"/>
      <c r="C116" s="30" t="str">
        <f>IFERROR(_xlfn.XLOOKUP(B116,Insumo[DESCRIPCION],Insumo[UND],,0),"")</f>
        <v/>
      </c>
      <c r="D116" s="31"/>
      <c r="E116" s="32" t="str">
        <f>IFERROR(_xlfn.XLOOKUP($B116,Insumo[DESCRIPCION],Insumo[VALOR],,0),"")</f>
        <v/>
      </c>
      <c r="F116" s="33"/>
      <c r="G116" s="34" t="str">
        <f>IFERROR(IF(F116&gt;=0,D116*E116*(1+F116/100),ABS(D116*E116/F116)),"")</f>
        <v/>
      </c>
      <c r="H116" s="43" t="str">
        <f>IFERROR(G116*E109,"")</f>
        <v/>
      </c>
    </row>
    <row r="117" spans="1:8">
      <c r="A117" s="21"/>
      <c r="B117" s="22" t="s">
        <v>3731</v>
      </c>
      <c r="C117" s="23"/>
      <c r="D117" s="24"/>
      <c r="E117" s="25"/>
      <c r="F117" s="26"/>
      <c r="G117" s="27">
        <f>SUM(G118:G120)</f>
        <v>9832.7971473333346</v>
      </c>
      <c r="H117" s="44">
        <f>G117*E109</f>
        <v>0</v>
      </c>
    </row>
    <row r="118" spans="1:8">
      <c r="A118" s="28"/>
      <c r="B118" s="29" t="s">
        <v>3573</v>
      </c>
      <c r="C118" s="30" t="str">
        <f>IFERROR(_xlfn.XLOOKUP(B118,Equipo[DESCRIPCION],Equipo[UND],,0),"")</f>
        <v>%MO</v>
      </c>
      <c r="D118" s="31">
        <v>0.1</v>
      </c>
      <c r="E118" s="32">
        <f>IF(C118="%MO",G124,IFERROR(_xlfn.XLOOKUP($B118,Equipo[DESCRIPCION],Equipo[VALOR],,0),""))</f>
        <v>51751.563933333346</v>
      </c>
      <c r="F118" s="33"/>
      <c r="G118" s="34">
        <f>IFERROR(IF(F118&gt;=0,D118*E118*(1+F118/100),ABS(D118*E118/F118)),"")</f>
        <v>5175.1563933333346</v>
      </c>
      <c r="H118" s="43">
        <f>IFERROR(G118*E109,"")</f>
        <v>0</v>
      </c>
    </row>
    <row r="119" spans="1:8">
      <c r="A119" s="28"/>
      <c r="B119" s="29" t="s">
        <v>3570</v>
      </c>
      <c r="C119" s="30" t="str">
        <f>IFERROR(_xlfn.XLOOKUP(B119,Equipo[DESCRIPCION],Equipo[UND],,0),"")</f>
        <v>%MO</v>
      </c>
      <c r="D119" s="31">
        <v>0.04</v>
      </c>
      <c r="E119" s="32">
        <f>IF(C119="%MO",G124,IFERROR(_xlfn.XLOOKUP($B119,Equipo[DESCRIPCION],Equipo[VALOR],,0),""))</f>
        <v>51751.563933333346</v>
      </c>
      <c r="F119" s="33"/>
      <c r="G119" s="34">
        <f>IFERROR(IF(F119&gt;=0,D119*E119*(1+F119/100),ABS(D119*E119/F119)),"")</f>
        <v>2070.0625573333336</v>
      </c>
      <c r="H119" s="43">
        <f>IFERROR(G119*E109,"")</f>
        <v>0</v>
      </c>
    </row>
    <row r="120" spans="1:8">
      <c r="A120" s="28"/>
      <c r="B120" s="29" t="s">
        <v>3626</v>
      </c>
      <c r="C120" s="30" t="str">
        <f>IFERROR(_xlfn.XLOOKUP(B120,Equipo[DESCRIPCION],Equipo[UND],,0),"")</f>
        <v>%MO</v>
      </c>
      <c r="D120" s="31">
        <v>0.05</v>
      </c>
      <c r="E120" s="32">
        <f>IF(C120="%MO",G124,IFERROR(_xlfn.XLOOKUP($B120,Equipo[DESCRIPCION],Equipo[VALOR],,0),""))</f>
        <v>51751.563933333346</v>
      </c>
      <c r="F120" s="33"/>
      <c r="G120" s="34">
        <f>IFERROR(IF(F120&gt;=0,D120*E120*(1+F120/100),ABS(D120*E120/F120)),"")</f>
        <v>2587.5781966666673</v>
      </c>
      <c r="H120" s="43">
        <f>IFERROR(G120*E109,"")</f>
        <v>0</v>
      </c>
    </row>
    <row r="121" spans="1:8">
      <c r="A121" s="21"/>
      <c r="B121" s="22" t="s">
        <v>2533</v>
      </c>
      <c r="C121" s="23"/>
      <c r="D121" s="24"/>
      <c r="E121" s="25"/>
      <c r="F121" s="26"/>
      <c r="G121" s="27">
        <f>SUM(G122:G123)</f>
        <v>0</v>
      </c>
      <c r="H121" s="44">
        <f>G121*E109</f>
        <v>0</v>
      </c>
    </row>
    <row r="122" spans="1:8">
      <c r="A122" s="28"/>
      <c r="B122" s="29"/>
      <c r="C122" s="30" t="str">
        <f>IFERROR(_xlfn.XLOOKUP(B122,Transporte[DESCRIPCION],Transporte[UND],,0),"")</f>
        <v/>
      </c>
      <c r="D122" s="31"/>
      <c r="E122" s="32" t="str">
        <f>IFERROR(_xlfn.XLOOKUP($B122,Transporte[DESCRIPCION],Transporte[VALOR],,0),"")</f>
        <v/>
      </c>
      <c r="F122" s="33"/>
      <c r="G122" s="34" t="str">
        <f>IFERROR(IF(F122&gt;=0,D122*E122*(1+F122/100),ABS(D122*E122/F122)),"")</f>
        <v/>
      </c>
      <c r="H122" s="43" t="str">
        <f>IFERROR(G122*E109,"")</f>
        <v/>
      </c>
    </row>
    <row r="123" spans="1:8">
      <c r="A123" s="28"/>
      <c r="B123" s="29"/>
      <c r="C123" s="30" t="str">
        <f>IFERROR(_xlfn.XLOOKUP(B123,Transporte[DESCRIPCION],Transporte[UND],,0),"")</f>
        <v/>
      </c>
      <c r="D123" s="31"/>
      <c r="E123" s="32" t="str">
        <f>IFERROR(_xlfn.XLOOKUP($B123,Transporte[DESCRIPCION],Transporte[VALOR],,0),"")</f>
        <v/>
      </c>
      <c r="F123" s="33"/>
      <c r="G123" s="34" t="str">
        <f>IFERROR(IF(F123&gt;=0,D123*E123*(1+F123/100),ABS(D123*E123/F123)),"")</f>
        <v/>
      </c>
      <c r="H123" s="43" t="str">
        <f>IFERROR(G123*E109,"")</f>
        <v/>
      </c>
    </row>
    <row r="124" spans="1:8">
      <c r="A124" s="21"/>
      <c r="B124" s="22" t="s">
        <v>3732</v>
      </c>
      <c r="C124" s="23"/>
      <c r="D124" s="24"/>
      <c r="E124" s="25"/>
      <c r="F124" s="26"/>
      <c r="G124" s="27">
        <f>SUM(G125:G127)</f>
        <v>51751.563933333346</v>
      </c>
      <c r="H124" s="44">
        <f>G124*E109</f>
        <v>0</v>
      </c>
    </row>
    <row r="125" spans="1:8">
      <c r="A125" s="28"/>
      <c r="B125" s="29" t="s">
        <v>3716</v>
      </c>
      <c r="C125" s="30" t="str">
        <f>IFERROR(_xlfn.XLOOKUP(B125,MObra[DESCRIPCION],MObra[UN],,0),"")</f>
        <v>día</v>
      </c>
      <c r="D125" s="31">
        <v>1</v>
      </c>
      <c r="E125" s="32">
        <f>IFERROR(_xlfn.XLOOKUP($B125,MObra[DESCRIPCION],MObra[VALOR UNIT],,0),"")</f>
        <v>465764.07540000009</v>
      </c>
      <c r="F125" s="33">
        <v>-9</v>
      </c>
      <c r="G125" s="34">
        <f>IFERROR(IF(F125&gt;=0,D125*E125*(1+F125/100),ABS(D125*E125/F125)),"")</f>
        <v>51751.563933333346</v>
      </c>
      <c r="H125" s="43">
        <f>IFERROR(G125*E109,"")</f>
        <v>0</v>
      </c>
    </row>
    <row r="126" spans="1:8">
      <c r="A126" s="28"/>
      <c r="B126" s="29"/>
      <c r="C126" s="30" t="str">
        <f t="array" ref="C126">IFERROR(_xlfn.XLOOKUP(B126,MObra[[#All],[DESCRIPCION]],MObra[[#All],[UN]],,0),"")</f>
        <v/>
      </c>
      <c r="D126" s="31"/>
      <c r="E126" s="32" t="str">
        <f>IFERROR(_xlfn.XLOOKUP($B126,MObra[DESCRIPCION],MObra[VALOR UNIT],,0),"")</f>
        <v/>
      </c>
      <c r="F126" s="33"/>
      <c r="G126" s="34" t="str">
        <f>IFERROR(IF(F126&gt;=0,D126*E126*(1+F126/100),ABS(D126*E126/F126)),"")</f>
        <v/>
      </c>
      <c r="H126" s="43" t="str">
        <f>IFERROR(G126*E109,"")</f>
        <v/>
      </c>
    </row>
    <row r="127" spans="1:8" ht="13.15" thickBot="1">
      <c r="A127" s="35"/>
      <c r="B127" s="36"/>
      <c r="C127" s="37" t="str">
        <f t="array" ref="C127">IFERROR(_xlfn.XLOOKUP(B127,MObra[[#All],[DESCRIPCION]],MObra[[#All],[UN]],,0),"")</f>
        <v/>
      </c>
      <c r="D127" s="38"/>
      <c r="E127" s="39" t="str">
        <f>IFERROR(_xlfn.XLOOKUP($B127,MObra[DESCRIPCION],MObra[VALOR UNIT],,0),"")</f>
        <v/>
      </c>
      <c r="F127" s="40"/>
      <c r="G127" s="41" t="str">
        <f>IFERROR(IF(F127&gt;=0,D127*E127*(1+F127/100),ABS(D127*E127/F127)),"")</f>
        <v/>
      </c>
      <c r="H127" s="42" t="str">
        <f>IFERROR(G127*E109,"")</f>
        <v/>
      </c>
    </row>
    <row r="128" spans="1:8" ht="13.5" thickTop="1" thickBot="1"/>
    <row r="129" spans="1:11" ht="13.5" thickTop="1" thickBot="1">
      <c r="A129" s="6" t="s">
        <v>889</v>
      </c>
      <c r="B129" s="7" t="str">
        <f>VLOOKUP($A129,Presupuesto!$A:$D,2,FALSE())</f>
        <v>Bandeja portacables tipo malla 20x5x3 m galvanizada</v>
      </c>
      <c r="C129" s="8" t="str">
        <f>VLOOKUP($A129,Presupuesto!$A:$D,3,FALSE())</f>
        <v>M</v>
      </c>
      <c r="D129" s="9"/>
      <c r="E129" s="10">
        <f>VLOOKUP($A129,Presupuesto!$A:$D,4,FALSE())</f>
        <v>0</v>
      </c>
      <c r="F129" s="11" t="s">
        <v>2589</v>
      </c>
      <c r="G129" s="12">
        <f>SUM(G131:G147)/2</f>
        <v>130326.07690200002</v>
      </c>
      <c r="H129" s="13">
        <f>ROUND(SUM(H131:H147),0)/2</f>
        <v>0</v>
      </c>
      <c r="I129" s="10">
        <f>VLOOKUP(A129,Presupuesto!$A:$F,6,0)</f>
        <v>0</v>
      </c>
      <c r="J129" s="10">
        <f>+H129-I129</f>
        <v>0</v>
      </c>
      <c r="K129" s="46">
        <f>+H129-G129*E129</f>
        <v>0</v>
      </c>
    </row>
    <row r="130" spans="1:11" ht="13.15" thickTop="1">
      <c r="A130" s="14"/>
      <c r="B130" s="15" t="s">
        <v>2586</v>
      </c>
      <c r="C130" s="15" t="s">
        <v>5</v>
      </c>
      <c r="D130" s="16" t="s">
        <v>6</v>
      </c>
      <c r="E130" s="17" t="s">
        <v>7</v>
      </c>
      <c r="F130" s="18" t="s">
        <v>3728</v>
      </c>
      <c r="G130" s="19" t="s">
        <v>3729</v>
      </c>
      <c r="H130" s="20" t="s">
        <v>3797</v>
      </c>
    </row>
    <row r="131" spans="1:11">
      <c r="A131" s="21"/>
      <c r="B131" s="22" t="s">
        <v>3730</v>
      </c>
      <c r="C131" s="23"/>
      <c r="D131" s="24"/>
      <c r="E131" s="25"/>
      <c r="F131" s="26"/>
      <c r="G131" s="27">
        <f>SUM(G132:G136)</f>
        <v>87690.75</v>
      </c>
      <c r="H131" s="27">
        <f>IFERROR(G131*E129,"")</f>
        <v>0</v>
      </c>
    </row>
    <row r="132" spans="1:11">
      <c r="A132" s="28"/>
      <c r="B132" s="29" t="s">
        <v>2731</v>
      </c>
      <c r="C132" s="30" t="str">
        <f>IFERROR(_xlfn.XLOOKUP(B132,Insumo[DESCRIPCION],Insumo[UND],,0),"")</f>
        <v>Un</v>
      </c>
      <c r="D132" s="31">
        <v>0.41</v>
      </c>
      <c r="E132" s="32">
        <f>IFERROR(_xlfn.XLOOKUP($B132,Insumo[DESCRIPCION],Insumo[VALOR],,0),"")</f>
        <v>126000</v>
      </c>
      <c r="F132" s="33"/>
      <c r="G132" s="34">
        <f>IFERROR(IF(F132&gt;=0,D132*E132*(1+F132/100),ABS(D132*E132/F132)),"")</f>
        <v>51660</v>
      </c>
      <c r="H132" s="43">
        <f>IFERROR(G132*E129,"")</f>
        <v>0</v>
      </c>
    </row>
    <row r="133" spans="1:11">
      <c r="A133" s="28"/>
      <c r="B133" s="29" t="s">
        <v>2616</v>
      </c>
      <c r="C133" s="30" t="str">
        <f>IFERROR(_xlfn.XLOOKUP(B133,Insumo[DESCRIPCION],Insumo[UND],,0),"")</f>
        <v>Un</v>
      </c>
      <c r="D133" s="31">
        <v>0.2</v>
      </c>
      <c r="E133" s="32">
        <f>IFERROR(_xlfn.XLOOKUP($B133,Insumo[DESCRIPCION],Insumo[VALOR],,0),"")</f>
        <v>60900</v>
      </c>
      <c r="F133" s="33"/>
      <c r="G133" s="34">
        <f>IFERROR(IF(F133&gt;=0,D133*E133*(1+F133/100),ABS(D133*E133/F133)),"")</f>
        <v>12180</v>
      </c>
      <c r="H133" s="43">
        <f>IFERROR(G133*E129,"")</f>
        <v>0</v>
      </c>
    </row>
    <row r="134" spans="1:11">
      <c r="A134" s="28"/>
      <c r="B134" s="29" t="s">
        <v>2833</v>
      </c>
      <c r="C134" s="30" t="str">
        <f>IFERROR(_xlfn.XLOOKUP(B134,Insumo[DESCRIPCION],Insumo[UND],,0),"")</f>
        <v>Un</v>
      </c>
      <c r="D134" s="31">
        <v>1.1000000000000001</v>
      </c>
      <c r="E134" s="32">
        <f>IFERROR(_xlfn.XLOOKUP($B134,Insumo[DESCRIPCION],Insumo[VALOR],,0),"")</f>
        <v>682.5</v>
      </c>
      <c r="F134" s="33"/>
      <c r="G134" s="34">
        <f>IFERROR(IF(F134&gt;=0,D134*E134*(1+F134/100),ABS(D134*E134/F134)),"")</f>
        <v>750.75000000000011</v>
      </c>
      <c r="H134" s="43">
        <f>IFERROR(G134*E129,"")</f>
        <v>0</v>
      </c>
    </row>
    <row r="135" spans="1:11">
      <c r="A135" s="28"/>
      <c r="B135" s="29" t="s">
        <v>3330</v>
      </c>
      <c r="C135" s="30" t="str">
        <f>IFERROR(_xlfn.XLOOKUP(B135,Insumo[DESCRIPCION],Insumo[UND],,0),"")</f>
        <v>Un</v>
      </c>
      <c r="D135" s="31">
        <v>0.55000000000000004</v>
      </c>
      <c r="E135" s="32">
        <f>IFERROR(_xlfn.XLOOKUP($B135,Insumo[DESCRIPCION],Insumo[VALOR],,0),"")</f>
        <v>42000</v>
      </c>
      <c r="F135" s="33"/>
      <c r="G135" s="34">
        <f>IFERROR(IF(F135&gt;=0,D135*E135*(1+F135/100),ABS(D135*E135/F135)),"")</f>
        <v>23100.000000000004</v>
      </c>
      <c r="H135" s="43">
        <f>IFERROR(G135*E129,"")</f>
        <v>0</v>
      </c>
    </row>
    <row r="136" spans="1:11">
      <c r="A136" s="28"/>
      <c r="B136" s="29"/>
      <c r="C136" s="30" t="str">
        <f>IFERROR(_xlfn.XLOOKUP(B136,Insumo[DESCRIPCION],Insumo[UND],,0),"")</f>
        <v/>
      </c>
      <c r="D136" s="31"/>
      <c r="E136" s="32" t="str">
        <f>IFERROR(_xlfn.XLOOKUP($B136,Insumo[DESCRIPCION],Insumo[VALOR],,0),"")</f>
        <v/>
      </c>
      <c r="F136" s="33"/>
      <c r="G136" s="34" t="str">
        <f>IFERROR(IF(F136&gt;=0,D136*E136*(1+F136/100),ABS(D136*E136/F136)),"")</f>
        <v/>
      </c>
      <c r="H136" s="43" t="str">
        <f>IFERROR(G136*E129,"")</f>
        <v/>
      </c>
    </row>
    <row r="137" spans="1:11">
      <c r="A137" s="21"/>
      <c r="B137" s="22" t="s">
        <v>3731</v>
      </c>
      <c r="C137" s="23"/>
      <c r="D137" s="24"/>
      <c r="E137" s="25"/>
      <c r="F137" s="26"/>
      <c r="G137" s="27">
        <f>SUM(G138:G140)</f>
        <v>6807.3211020000017</v>
      </c>
      <c r="H137" s="44">
        <f>G137*E129</f>
        <v>0</v>
      </c>
    </row>
    <row r="138" spans="1:11">
      <c r="A138" s="28"/>
      <c r="B138" s="29" t="s">
        <v>3573</v>
      </c>
      <c r="C138" s="30" t="str">
        <f>IFERROR(_xlfn.XLOOKUP(B138,Equipo[DESCRIPCION],Equipo[UND],,0),"")</f>
        <v>%MO</v>
      </c>
      <c r="D138" s="31">
        <v>0.1</v>
      </c>
      <c r="E138" s="32">
        <f>IF(C138="%MO",G144,IFERROR(_xlfn.XLOOKUP($B138,Equipo[DESCRIPCION],Equipo[VALOR],,0),""))</f>
        <v>35828.005800000006</v>
      </c>
      <c r="F138" s="33"/>
      <c r="G138" s="34">
        <f>IFERROR(IF(F138&gt;=0,D138*E138*(1+F138/100),ABS(D138*E138/F138)),"")</f>
        <v>3582.800580000001</v>
      </c>
      <c r="H138" s="43">
        <f>IFERROR(G138*E129,"")</f>
        <v>0</v>
      </c>
    </row>
    <row r="139" spans="1:11">
      <c r="A139" s="28"/>
      <c r="B139" s="29" t="s">
        <v>3570</v>
      </c>
      <c r="C139" s="30" t="str">
        <f>IFERROR(_xlfn.XLOOKUP(B139,Equipo[DESCRIPCION],Equipo[UND],,0),"")</f>
        <v>%MO</v>
      </c>
      <c r="D139" s="31">
        <v>0.04</v>
      </c>
      <c r="E139" s="32">
        <f>IF(C139="%MO",G144,IFERROR(_xlfn.XLOOKUP($B139,Equipo[DESCRIPCION],Equipo[VALOR],,0),""))</f>
        <v>35828.005800000006</v>
      </c>
      <c r="F139" s="33"/>
      <c r="G139" s="34">
        <f>IFERROR(IF(F139&gt;=0,D139*E139*(1+F139/100),ABS(D139*E139/F139)),"")</f>
        <v>1433.1202320000002</v>
      </c>
      <c r="H139" s="43">
        <f>IFERROR(G139*E129,"")</f>
        <v>0</v>
      </c>
    </row>
    <row r="140" spans="1:11">
      <c r="A140" s="28"/>
      <c r="B140" s="29" t="s">
        <v>3626</v>
      </c>
      <c r="C140" s="30" t="str">
        <f>IFERROR(_xlfn.XLOOKUP(B140,Equipo[DESCRIPCION],Equipo[UND],,0),"")</f>
        <v>%MO</v>
      </c>
      <c r="D140" s="31">
        <v>0.05</v>
      </c>
      <c r="E140" s="32">
        <f>IF(C140="%MO",G144,IFERROR(_xlfn.XLOOKUP($B140,Equipo[DESCRIPCION],Equipo[VALOR],,0),""))</f>
        <v>35828.005800000006</v>
      </c>
      <c r="F140" s="33"/>
      <c r="G140" s="34">
        <f>IFERROR(IF(F140&gt;=0,D140*E140*(1+F140/100),ABS(D140*E140/F140)),"")</f>
        <v>1791.4002900000005</v>
      </c>
      <c r="H140" s="43">
        <f>IFERROR(G140*E129,"")</f>
        <v>0</v>
      </c>
    </row>
    <row r="141" spans="1:11">
      <c r="A141" s="21"/>
      <c r="B141" s="22" t="s">
        <v>2533</v>
      </c>
      <c r="C141" s="23"/>
      <c r="D141" s="24"/>
      <c r="E141" s="25"/>
      <c r="F141" s="26"/>
      <c r="G141" s="27">
        <f>SUM(G142:G143)</f>
        <v>0</v>
      </c>
      <c r="H141" s="44">
        <f>G141*E129</f>
        <v>0</v>
      </c>
    </row>
    <row r="142" spans="1:11">
      <c r="A142" s="28"/>
      <c r="B142" s="29"/>
      <c r="C142" s="30" t="str">
        <f>IFERROR(_xlfn.XLOOKUP(B142,Transporte[DESCRIPCION],Transporte[UND],,0),"")</f>
        <v/>
      </c>
      <c r="D142" s="31"/>
      <c r="E142" s="32" t="str">
        <f>IFERROR(_xlfn.XLOOKUP($B142,Transporte[DESCRIPCION],Transporte[VALOR],,0),"")</f>
        <v/>
      </c>
      <c r="F142" s="33"/>
      <c r="G142" s="34" t="str">
        <f>IFERROR(IF(F142&gt;=0,D142*E142*(1+F142/100),ABS(D142*E142/F142)),"")</f>
        <v/>
      </c>
      <c r="H142" s="43" t="str">
        <f>IFERROR(G142*E129,"")</f>
        <v/>
      </c>
    </row>
    <row r="143" spans="1:11">
      <c r="A143" s="28"/>
      <c r="B143" s="29"/>
      <c r="C143" s="30" t="str">
        <f>IFERROR(_xlfn.XLOOKUP(B143,Transporte[DESCRIPCION],Transporte[UND],,0),"")</f>
        <v/>
      </c>
      <c r="D143" s="31"/>
      <c r="E143" s="32" t="str">
        <f>IFERROR(_xlfn.XLOOKUP($B143,Transporte[DESCRIPCION],Transporte[VALOR],,0),"")</f>
        <v/>
      </c>
      <c r="F143" s="33"/>
      <c r="G143" s="34" t="str">
        <f>IFERROR(IF(F143&gt;=0,D143*E143*(1+F143/100),ABS(D143*E143/F143)),"")</f>
        <v/>
      </c>
      <c r="H143" s="43" t="str">
        <f>IFERROR(G143*E129,"")</f>
        <v/>
      </c>
    </row>
    <row r="144" spans="1:11">
      <c r="A144" s="21"/>
      <c r="B144" s="22" t="s">
        <v>3732</v>
      </c>
      <c r="C144" s="23"/>
      <c r="D144" s="24"/>
      <c r="E144" s="25"/>
      <c r="F144" s="26"/>
      <c r="G144" s="27">
        <f>SUM(G145:G147)</f>
        <v>35828.005800000006</v>
      </c>
      <c r="H144" s="44">
        <f>G144*E129</f>
        <v>0</v>
      </c>
    </row>
    <row r="145" spans="1:11">
      <c r="A145" s="28"/>
      <c r="B145" s="29" t="s">
        <v>3716</v>
      </c>
      <c r="C145" s="30" t="str">
        <f>IFERROR(_xlfn.XLOOKUP(B145,MObra[DESCRIPCION],MObra[UN],,0),"")</f>
        <v>día</v>
      </c>
      <c r="D145" s="31">
        <v>1</v>
      </c>
      <c r="E145" s="32">
        <f>IFERROR(_xlfn.XLOOKUP($B145,MObra[DESCRIPCION],MObra[VALOR UNIT],,0),"")</f>
        <v>465764.07540000009</v>
      </c>
      <c r="F145" s="33">
        <v>-13</v>
      </c>
      <c r="G145" s="34">
        <f>IFERROR(IF(F145&gt;=0,D145*E145*(1+F145/100),ABS(D145*E145/F145)),"")</f>
        <v>35828.005800000006</v>
      </c>
      <c r="H145" s="43">
        <f>IFERROR(G145*E129,"")</f>
        <v>0</v>
      </c>
    </row>
    <row r="146" spans="1:11">
      <c r="A146" s="28"/>
      <c r="B146" s="29"/>
      <c r="C146" s="30" t="str">
        <f t="array" ref="C146">IFERROR(_xlfn.XLOOKUP(B146,MObra[[#All],[DESCRIPCION]],MObra[[#All],[UN]],,0),"")</f>
        <v/>
      </c>
      <c r="D146" s="31"/>
      <c r="E146" s="32" t="str">
        <f>IFERROR(_xlfn.XLOOKUP($B146,MObra[DESCRIPCION],MObra[VALOR UNIT],,0),"")</f>
        <v/>
      </c>
      <c r="F146" s="33"/>
      <c r="G146" s="34" t="str">
        <f>IFERROR(IF(F146&gt;=0,D146*E146*(1+F146/100),ABS(D146*E146/F146)),"")</f>
        <v/>
      </c>
      <c r="H146" s="43" t="str">
        <f>IFERROR(G146*E129,"")</f>
        <v/>
      </c>
    </row>
    <row r="147" spans="1:11" ht="13.15" thickBot="1">
      <c r="A147" s="35"/>
      <c r="B147" s="36"/>
      <c r="C147" s="37" t="str">
        <f t="array" ref="C147">IFERROR(_xlfn.XLOOKUP(B147,MObra[[#All],[DESCRIPCION]],MObra[[#All],[UN]],,0),"")</f>
        <v/>
      </c>
      <c r="D147" s="38"/>
      <c r="E147" s="39" t="str">
        <f>IFERROR(_xlfn.XLOOKUP($B147,MObra[DESCRIPCION],MObra[VALOR UNIT],,0),"")</f>
        <v/>
      </c>
      <c r="F147" s="40"/>
      <c r="G147" s="41" t="str">
        <f>IFERROR(IF(F147&gt;=0,D147*E147*(1+F147/100),ABS(D147*E147/F147)),"")</f>
        <v/>
      </c>
      <c r="H147" s="42" t="str">
        <f>IFERROR(G147*E129,"")</f>
        <v/>
      </c>
    </row>
    <row r="148" spans="1:11" ht="13.5" thickTop="1" thickBot="1"/>
    <row r="149" spans="1:11" ht="13.5" thickTop="1" thickBot="1">
      <c r="A149" s="6" t="s">
        <v>891</v>
      </c>
      <c r="B149" s="7" t="str">
        <f>VLOOKUP($A149,Presupuesto!$A:$D,2,FALSE())</f>
        <v>Bandeja portacables tipo malla 30x5x3 m galvanizada</v>
      </c>
      <c r="C149" s="8" t="str">
        <f>VLOOKUP($A149,Presupuesto!$A:$D,3,FALSE())</f>
        <v>M</v>
      </c>
      <c r="D149" s="9"/>
      <c r="E149" s="10">
        <f>VLOOKUP($A149,Presupuesto!$A:$D,4,FALSE())</f>
        <v>0</v>
      </c>
      <c r="F149" s="11" t="s">
        <v>2589</v>
      </c>
      <c r="G149" s="12">
        <f>SUM(G151:G167)/2</f>
        <v>141166.02081050002</v>
      </c>
      <c r="H149" s="13">
        <f>ROUND(SUM(H151:H167),0)/2</f>
        <v>0</v>
      </c>
      <c r="I149" s="10">
        <f>VLOOKUP(A149,Presupuesto!$A:$F,6,0)</f>
        <v>0</v>
      </c>
      <c r="J149" s="10">
        <f>+H149-I149</f>
        <v>0</v>
      </c>
      <c r="K149" s="46">
        <f>+H149-G149*E149</f>
        <v>0</v>
      </c>
    </row>
    <row r="150" spans="1:11" ht="13.15" thickTop="1">
      <c r="A150" s="14"/>
      <c r="B150" s="15" t="s">
        <v>2586</v>
      </c>
      <c r="C150" s="15" t="s">
        <v>5</v>
      </c>
      <c r="D150" s="16" t="s">
        <v>6</v>
      </c>
      <c r="E150" s="17" t="s">
        <v>7</v>
      </c>
      <c r="F150" s="18" t="s">
        <v>3728</v>
      </c>
      <c r="G150" s="19" t="s">
        <v>3729</v>
      </c>
      <c r="H150" s="20" t="s">
        <v>3797</v>
      </c>
    </row>
    <row r="151" spans="1:11">
      <c r="A151" s="21"/>
      <c r="B151" s="22" t="s">
        <v>3730</v>
      </c>
      <c r="C151" s="23"/>
      <c r="D151" s="24"/>
      <c r="E151" s="25"/>
      <c r="F151" s="26"/>
      <c r="G151" s="27">
        <f>SUM(G152:G156)</f>
        <v>94977.75</v>
      </c>
      <c r="H151" s="27">
        <f>IFERROR(G151*E149,"")</f>
        <v>0</v>
      </c>
    </row>
    <row r="152" spans="1:11">
      <c r="A152" s="28"/>
      <c r="B152" s="29" t="s">
        <v>2732</v>
      </c>
      <c r="C152" s="30" t="str">
        <f>IFERROR(_xlfn.XLOOKUP(B152,Insumo[DESCRIPCION],Insumo[UND],,0),"")</f>
        <v>Un</v>
      </c>
      <c r="D152" s="31">
        <v>0.41</v>
      </c>
      <c r="E152" s="32">
        <f>IFERROR(_xlfn.XLOOKUP($B152,Insumo[DESCRIPCION],Insumo[VALOR],,0),"")</f>
        <v>140700</v>
      </c>
      <c r="F152" s="33"/>
      <c r="G152" s="34">
        <f>IFERROR(IF(F152&gt;=0,D152*E152*(1+F152/100),ABS(D152*E152/F152)),"")</f>
        <v>57687</v>
      </c>
      <c r="H152" s="43">
        <f>IFERROR(G152*E149,"")</f>
        <v>0</v>
      </c>
    </row>
    <row r="153" spans="1:11">
      <c r="A153" s="28"/>
      <c r="B153" s="29" t="s">
        <v>2617</v>
      </c>
      <c r="C153" s="30" t="str">
        <f>IFERROR(_xlfn.XLOOKUP(B153,Insumo[DESCRIPCION],Insumo[UND],,0),"")</f>
        <v>Un</v>
      </c>
      <c r="D153" s="31">
        <v>0.2</v>
      </c>
      <c r="E153" s="32">
        <f>IFERROR(_xlfn.XLOOKUP($B153,Insumo[DESCRIPCION],Insumo[VALOR],,0),"")</f>
        <v>67200</v>
      </c>
      <c r="F153" s="33"/>
      <c r="G153" s="34">
        <f>IFERROR(IF(F153&gt;=0,D153*E153*(1+F153/100),ABS(D153*E153/F153)),"")</f>
        <v>13440</v>
      </c>
      <c r="H153" s="43">
        <f>IFERROR(G153*E149,"")</f>
        <v>0</v>
      </c>
    </row>
    <row r="154" spans="1:11">
      <c r="A154" s="28"/>
      <c r="B154" s="29" t="s">
        <v>2833</v>
      </c>
      <c r="C154" s="30" t="str">
        <f>IFERROR(_xlfn.XLOOKUP(B154,Insumo[DESCRIPCION],Insumo[UND],,0),"")</f>
        <v>Un</v>
      </c>
      <c r="D154" s="31">
        <v>1.1000000000000001</v>
      </c>
      <c r="E154" s="32">
        <f>IFERROR(_xlfn.XLOOKUP($B154,Insumo[DESCRIPCION],Insumo[VALOR],,0),"")</f>
        <v>682.5</v>
      </c>
      <c r="F154" s="33"/>
      <c r="G154" s="34">
        <f>IFERROR(IF(F154&gt;=0,D154*E154*(1+F154/100),ABS(D154*E154/F154)),"")</f>
        <v>750.75000000000011</v>
      </c>
      <c r="H154" s="43">
        <f>IFERROR(G154*E149,"")</f>
        <v>0</v>
      </c>
    </row>
    <row r="155" spans="1:11">
      <c r="A155" s="28"/>
      <c r="B155" s="29" t="s">
        <v>3330</v>
      </c>
      <c r="C155" s="30" t="str">
        <f>IFERROR(_xlfn.XLOOKUP(B155,Insumo[DESCRIPCION],Insumo[UND],,0),"")</f>
        <v>Un</v>
      </c>
      <c r="D155" s="31">
        <v>0.55000000000000004</v>
      </c>
      <c r="E155" s="32">
        <f>IFERROR(_xlfn.XLOOKUP($B155,Insumo[DESCRIPCION],Insumo[VALOR],,0),"")</f>
        <v>42000</v>
      </c>
      <c r="F155" s="33"/>
      <c r="G155" s="34">
        <f>IFERROR(IF(F155&gt;=0,D155*E155*(1+F155/100),ABS(D155*E155/F155)),"")</f>
        <v>23100.000000000004</v>
      </c>
      <c r="H155" s="43">
        <f>IFERROR(G155*E149,"")</f>
        <v>0</v>
      </c>
    </row>
    <row r="156" spans="1:11">
      <c r="A156" s="28"/>
      <c r="B156" s="29"/>
      <c r="C156" s="30" t="str">
        <f>IFERROR(_xlfn.XLOOKUP(B156,Insumo[DESCRIPCION],Insumo[UND],,0),"")</f>
        <v/>
      </c>
      <c r="D156" s="31"/>
      <c r="E156" s="32" t="str">
        <f>IFERROR(_xlfn.XLOOKUP($B156,Insumo[DESCRIPCION],Insumo[VALOR],,0),"")</f>
        <v/>
      </c>
      <c r="F156" s="33"/>
      <c r="G156" s="34" t="str">
        <f>IFERROR(IF(F156&gt;=0,D156*E156*(1+F156/100),ABS(D156*E156/F156)),"")</f>
        <v/>
      </c>
      <c r="H156" s="43" t="str">
        <f>IFERROR(G156*E149,"")</f>
        <v/>
      </c>
    </row>
    <row r="157" spans="1:11">
      <c r="A157" s="21"/>
      <c r="B157" s="22" t="s">
        <v>3731</v>
      </c>
      <c r="C157" s="23"/>
      <c r="D157" s="24"/>
      <c r="E157" s="25"/>
      <c r="F157" s="26"/>
      <c r="G157" s="27">
        <f>SUM(G158:G160)</f>
        <v>7374.5978605000018</v>
      </c>
      <c r="H157" s="44">
        <f>G157*E149</f>
        <v>0</v>
      </c>
    </row>
    <row r="158" spans="1:11">
      <c r="A158" s="28"/>
      <c r="B158" s="29" t="s">
        <v>3573</v>
      </c>
      <c r="C158" s="30" t="str">
        <f>IFERROR(_xlfn.XLOOKUP(B158,Equipo[DESCRIPCION],Equipo[UND],,0),"")</f>
        <v>%MO</v>
      </c>
      <c r="D158" s="31">
        <v>0.1</v>
      </c>
      <c r="E158" s="32">
        <f>IF(C158="%MO",G164,IFERROR(_xlfn.XLOOKUP($B158,Equipo[DESCRIPCION],Equipo[VALOR],,0),""))</f>
        <v>38813.672950000007</v>
      </c>
      <c r="F158" s="33"/>
      <c r="G158" s="34">
        <f>IFERROR(IF(F158&gt;=0,D158*E158*(1+F158/100),ABS(D158*E158/F158)),"")</f>
        <v>3881.3672950000009</v>
      </c>
      <c r="H158" s="43">
        <f>IFERROR(G158*E149,"")</f>
        <v>0</v>
      </c>
    </row>
    <row r="159" spans="1:11">
      <c r="A159" s="28"/>
      <c r="B159" s="29" t="s">
        <v>3570</v>
      </c>
      <c r="C159" s="30" t="str">
        <f>IFERROR(_xlfn.XLOOKUP(B159,Equipo[DESCRIPCION],Equipo[UND],,0),"")</f>
        <v>%MO</v>
      </c>
      <c r="D159" s="31">
        <v>0.04</v>
      </c>
      <c r="E159" s="32">
        <f>IF(C159="%MO",G164,IFERROR(_xlfn.XLOOKUP($B159,Equipo[DESCRIPCION],Equipo[VALOR],,0),""))</f>
        <v>38813.672950000007</v>
      </c>
      <c r="F159" s="33"/>
      <c r="G159" s="34">
        <f>IFERROR(IF(F159&gt;=0,D159*E159*(1+F159/100),ABS(D159*E159/F159)),"")</f>
        <v>1552.5469180000002</v>
      </c>
      <c r="H159" s="43">
        <f>IFERROR(G159*E149,"")</f>
        <v>0</v>
      </c>
    </row>
    <row r="160" spans="1:11">
      <c r="A160" s="28"/>
      <c r="B160" s="29" t="s">
        <v>3626</v>
      </c>
      <c r="C160" s="30" t="str">
        <f>IFERROR(_xlfn.XLOOKUP(B160,Equipo[DESCRIPCION],Equipo[UND],,0),"")</f>
        <v>%MO</v>
      </c>
      <c r="D160" s="31">
        <v>0.05</v>
      </c>
      <c r="E160" s="32">
        <f>IF(C160="%MO",G164,IFERROR(_xlfn.XLOOKUP($B160,Equipo[DESCRIPCION],Equipo[VALOR],,0),""))</f>
        <v>38813.672950000007</v>
      </c>
      <c r="F160" s="33"/>
      <c r="G160" s="34">
        <f>IFERROR(IF(F160&gt;=0,D160*E160*(1+F160/100),ABS(D160*E160/F160)),"")</f>
        <v>1940.6836475000005</v>
      </c>
      <c r="H160" s="43">
        <f>IFERROR(G160*E149,"")</f>
        <v>0</v>
      </c>
    </row>
    <row r="161" spans="1:11">
      <c r="A161" s="21"/>
      <c r="B161" s="22" t="s">
        <v>2533</v>
      </c>
      <c r="C161" s="23"/>
      <c r="D161" s="24"/>
      <c r="E161" s="25"/>
      <c r="F161" s="26"/>
      <c r="G161" s="27">
        <f>SUM(G162:G163)</f>
        <v>0</v>
      </c>
      <c r="H161" s="44">
        <f>G161*E149</f>
        <v>0</v>
      </c>
    </row>
    <row r="162" spans="1:11">
      <c r="A162" s="28"/>
      <c r="B162" s="29"/>
      <c r="C162" s="30" t="str">
        <f>IFERROR(_xlfn.XLOOKUP(B162,Transporte[DESCRIPCION],Transporte[UND],,0),"")</f>
        <v/>
      </c>
      <c r="D162" s="31"/>
      <c r="E162" s="32" t="str">
        <f>IFERROR(_xlfn.XLOOKUP($B162,Transporte[DESCRIPCION],Transporte[VALOR],,0),"")</f>
        <v/>
      </c>
      <c r="F162" s="33"/>
      <c r="G162" s="34" t="str">
        <f>IFERROR(IF(F162&gt;=0,D162*E162*(1+F162/100),ABS(D162*E162/F162)),"")</f>
        <v/>
      </c>
      <c r="H162" s="43" t="str">
        <f>IFERROR(G162*E149,"")</f>
        <v/>
      </c>
    </row>
    <row r="163" spans="1:11">
      <c r="A163" s="28"/>
      <c r="B163" s="29"/>
      <c r="C163" s="30" t="str">
        <f>IFERROR(_xlfn.XLOOKUP(B163,Transporte[DESCRIPCION],Transporte[UND],,0),"")</f>
        <v/>
      </c>
      <c r="D163" s="31"/>
      <c r="E163" s="32" t="str">
        <f>IFERROR(_xlfn.XLOOKUP($B163,Transporte[DESCRIPCION],Transporte[VALOR],,0),"")</f>
        <v/>
      </c>
      <c r="F163" s="33"/>
      <c r="G163" s="34" t="str">
        <f>IFERROR(IF(F163&gt;=0,D163*E163*(1+F163/100),ABS(D163*E163/F163)),"")</f>
        <v/>
      </c>
      <c r="H163" s="43" t="str">
        <f>IFERROR(G163*E149,"")</f>
        <v/>
      </c>
    </row>
    <row r="164" spans="1:11">
      <c r="A164" s="21"/>
      <c r="B164" s="22" t="s">
        <v>3732</v>
      </c>
      <c r="C164" s="23"/>
      <c r="D164" s="24"/>
      <c r="E164" s="25"/>
      <c r="F164" s="26"/>
      <c r="G164" s="27">
        <f>SUM(G165:G167)</f>
        <v>38813.672950000007</v>
      </c>
      <c r="H164" s="44">
        <f>G164*E149</f>
        <v>0</v>
      </c>
    </row>
    <row r="165" spans="1:11">
      <c r="A165" s="28"/>
      <c r="B165" s="29" t="s">
        <v>3716</v>
      </c>
      <c r="C165" s="30" t="str">
        <f>IFERROR(_xlfn.XLOOKUP(B165,MObra[DESCRIPCION],MObra[UN],,0),"")</f>
        <v>día</v>
      </c>
      <c r="D165" s="31">
        <v>1</v>
      </c>
      <c r="E165" s="32">
        <f>IFERROR(_xlfn.XLOOKUP($B165,MObra[DESCRIPCION],MObra[VALOR UNIT],,0),"")</f>
        <v>465764.07540000009</v>
      </c>
      <c r="F165" s="33">
        <v>-12</v>
      </c>
      <c r="G165" s="34">
        <f>IFERROR(IF(F165&gt;=0,D165*E165*(1+F165/100),ABS(D165*E165/F165)),"")</f>
        <v>38813.672950000007</v>
      </c>
      <c r="H165" s="43">
        <f>IFERROR(G165*E149,"")</f>
        <v>0</v>
      </c>
    </row>
    <row r="166" spans="1:11">
      <c r="A166" s="28"/>
      <c r="B166" s="29"/>
      <c r="C166" s="30" t="str">
        <f t="array" ref="C166">IFERROR(_xlfn.XLOOKUP(B166,MObra[[#All],[DESCRIPCION]],MObra[[#All],[UN]],,0),"")</f>
        <v/>
      </c>
      <c r="D166" s="31"/>
      <c r="E166" s="32" t="str">
        <f>IFERROR(_xlfn.XLOOKUP($B166,MObra[DESCRIPCION],MObra[VALOR UNIT],,0),"")</f>
        <v/>
      </c>
      <c r="F166" s="33"/>
      <c r="G166" s="34" t="str">
        <f>IFERROR(IF(F166&gt;=0,D166*E166*(1+F166/100),ABS(D166*E166/F166)),"")</f>
        <v/>
      </c>
      <c r="H166" s="43" t="str">
        <f>IFERROR(G166*E149,"")</f>
        <v/>
      </c>
    </row>
    <row r="167" spans="1:11" ht="13.15" thickBot="1">
      <c r="A167" s="35"/>
      <c r="B167" s="36"/>
      <c r="C167" s="37" t="str">
        <f t="array" ref="C167">IFERROR(_xlfn.XLOOKUP(B167,MObra[[#All],[DESCRIPCION]],MObra[[#All],[UN]],,0),"")</f>
        <v/>
      </c>
      <c r="D167" s="38"/>
      <c r="E167" s="39" t="str">
        <f>IFERROR(_xlfn.XLOOKUP($B167,MObra[DESCRIPCION],MObra[VALOR UNIT],,0),"")</f>
        <v/>
      </c>
      <c r="F167" s="40"/>
      <c r="G167" s="41" t="str">
        <f>IFERROR(IF(F167&gt;=0,D167*E167*(1+F167/100),ABS(D167*E167/F167)),"")</f>
        <v/>
      </c>
      <c r="H167" s="42" t="str">
        <f>IFERROR(G167*E149,"")</f>
        <v/>
      </c>
    </row>
    <row r="168" spans="1:11" ht="13.5" thickTop="1" thickBot="1"/>
    <row r="169" spans="1:11" ht="13.5" thickTop="1" thickBot="1">
      <c r="A169" s="6" t="s">
        <v>893</v>
      </c>
      <c r="B169" s="7" t="str">
        <f>VLOOKUP($A169,Presupuesto!$A:$D,2,FALSE())</f>
        <v>Bandeja portacables tipo malla 10x5x3 m Fil 10 electrozincada</v>
      </c>
      <c r="C169" s="8" t="str">
        <f>VLOOKUP($A169,Presupuesto!$A:$D,3,FALSE())</f>
        <v>M</v>
      </c>
      <c r="D169" s="9"/>
      <c r="E169" s="10">
        <f>VLOOKUP($A169,Presupuesto!$A:$D,4,FALSE())</f>
        <v>0</v>
      </c>
      <c r="F169" s="11" t="s">
        <v>2589</v>
      </c>
      <c r="G169" s="12">
        <f>SUM(G171:G187)/2</f>
        <v>129044.69640900003</v>
      </c>
      <c r="H169" s="13">
        <f>ROUND(SUM(H171:H187),0)/2</f>
        <v>0</v>
      </c>
      <c r="I169" s="10">
        <f>VLOOKUP(A169,Presupuesto!$A:$F,6,0)</f>
        <v>0</v>
      </c>
      <c r="J169" s="10">
        <f>+H169-I169</f>
        <v>0</v>
      </c>
      <c r="K169" s="46">
        <f>+H169-G169*E169</f>
        <v>0</v>
      </c>
    </row>
    <row r="170" spans="1:11" ht="13.15" thickTop="1">
      <c r="A170" s="14"/>
      <c r="B170" s="15" t="s">
        <v>2586</v>
      </c>
      <c r="C170" s="15" t="s">
        <v>5</v>
      </c>
      <c r="D170" s="16" t="s">
        <v>6</v>
      </c>
      <c r="E170" s="17" t="s">
        <v>7</v>
      </c>
      <c r="F170" s="18" t="s">
        <v>3728</v>
      </c>
      <c r="G170" s="19" t="s">
        <v>3729</v>
      </c>
      <c r="H170" s="20" t="s">
        <v>3797</v>
      </c>
    </row>
    <row r="171" spans="1:11">
      <c r="A171" s="21"/>
      <c r="B171" s="22" t="s">
        <v>3730</v>
      </c>
      <c r="C171" s="23"/>
      <c r="D171" s="24"/>
      <c r="E171" s="25"/>
      <c r="F171" s="26"/>
      <c r="G171" s="27">
        <f>SUM(G172:G176)</f>
        <v>89454.75</v>
      </c>
      <c r="H171" s="27">
        <f>IFERROR(G171*E169,"")</f>
        <v>0</v>
      </c>
    </row>
    <row r="172" spans="1:11">
      <c r="A172" s="28"/>
      <c r="B172" s="29" t="s">
        <v>2733</v>
      </c>
      <c r="C172" s="30" t="str">
        <f>IFERROR(_xlfn.XLOOKUP(B172,Insumo[DESCRIPCION],Insumo[UND],,0),"")</f>
        <v>Un</v>
      </c>
      <c r="D172" s="31">
        <v>0.41</v>
      </c>
      <c r="E172" s="32">
        <f>IFERROR(_xlfn.XLOOKUP($B172,Insumo[DESCRIPCION],Insumo[VALOR],,0),"")</f>
        <v>134400</v>
      </c>
      <c r="F172" s="33"/>
      <c r="G172" s="34">
        <f>IFERROR(IF(F172&gt;=0,D172*E172*(1+F172/100),ABS(D172*E172/F172)),"")</f>
        <v>55104</v>
      </c>
      <c r="H172" s="43">
        <f>IFERROR(G172*E169,"")</f>
        <v>0</v>
      </c>
    </row>
    <row r="173" spans="1:11">
      <c r="A173" s="28"/>
      <c r="B173" s="29" t="s">
        <v>2615</v>
      </c>
      <c r="C173" s="30" t="str">
        <f>IFERROR(_xlfn.XLOOKUP(B173,Insumo[DESCRIPCION],Insumo[UND],,0),"")</f>
        <v>Un</v>
      </c>
      <c r="D173" s="31">
        <v>0.2</v>
      </c>
      <c r="E173" s="32">
        <f>IFERROR(_xlfn.XLOOKUP($B173,Insumo[DESCRIPCION],Insumo[VALOR],,0),"")</f>
        <v>52500</v>
      </c>
      <c r="F173" s="33"/>
      <c r="G173" s="34">
        <f>IFERROR(IF(F173&gt;=0,D173*E173*(1+F173/100),ABS(D173*E173/F173)),"")</f>
        <v>10500</v>
      </c>
      <c r="H173" s="43">
        <f>IFERROR(G173*E169,"")</f>
        <v>0</v>
      </c>
    </row>
    <row r="174" spans="1:11">
      <c r="A174" s="28"/>
      <c r="B174" s="29" t="s">
        <v>2833</v>
      </c>
      <c r="C174" s="30" t="str">
        <f>IFERROR(_xlfn.XLOOKUP(B174,Insumo[DESCRIPCION],Insumo[UND],,0),"")</f>
        <v>Un</v>
      </c>
      <c r="D174" s="31">
        <v>1.1000000000000001</v>
      </c>
      <c r="E174" s="32">
        <f>IFERROR(_xlfn.XLOOKUP($B174,Insumo[DESCRIPCION],Insumo[VALOR],,0),"")</f>
        <v>682.5</v>
      </c>
      <c r="F174" s="33"/>
      <c r="G174" s="34">
        <f>IFERROR(IF(F174&gt;=0,D174*E174*(1+F174/100),ABS(D174*E174/F174)),"")</f>
        <v>750.75000000000011</v>
      </c>
      <c r="H174" s="43">
        <f>IFERROR(G174*E169,"")</f>
        <v>0</v>
      </c>
    </row>
    <row r="175" spans="1:11">
      <c r="A175" s="28"/>
      <c r="B175" s="29" t="s">
        <v>3330</v>
      </c>
      <c r="C175" s="30" t="str">
        <f>IFERROR(_xlfn.XLOOKUP(B175,Insumo[DESCRIPCION],Insumo[UND],,0),"")</f>
        <v>Un</v>
      </c>
      <c r="D175" s="31">
        <v>0.55000000000000004</v>
      </c>
      <c r="E175" s="32">
        <f>IFERROR(_xlfn.XLOOKUP($B175,Insumo[DESCRIPCION],Insumo[VALOR],,0),"")</f>
        <v>42000</v>
      </c>
      <c r="F175" s="33"/>
      <c r="G175" s="34">
        <f>IFERROR(IF(F175&gt;=0,D175*E175*(1+F175/100),ABS(D175*E175/F175)),"")</f>
        <v>23100.000000000004</v>
      </c>
      <c r="H175" s="43">
        <f>IFERROR(G175*E169,"")</f>
        <v>0</v>
      </c>
    </row>
    <row r="176" spans="1:11">
      <c r="A176" s="28"/>
      <c r="B176" s="29"/>
      <c r="C176" s="30" t="str">
        <f>IFERROR(_xlfn.XLOOKUP(B176,Insumo[DESCRIPCION],Insumo[UND],,0),"")</f>
        <v/>
      </c>
      <c r="D176" s="31"/>
      <c r="E176" s="32" t="str">
        <f>IFERROR(_xlfn.XLOOKUP($B176,Insumo[DESCRIPCION],Insumo[VALOR],,0),"")</f>
        <v/>
      </c>
      <c r="F176" s="33"/>
      <c r="G176" s="34" t="str">
        <f>IFERROR(IF(F176&gt;=0,D176*E176*(1+F176/100),ABS(D176*E176/F176)),"")</f>
        <v/>
      </c>
      <c r="H176" s="43" t="str">
        <f>IFERROR(G176*E169,"")</f>
        <v/>
      </c>
    </row>
    <row r="177" spans="1:11">
      <c r="A177" s="21"/>
      <c r="B177" s="22" t="s">
        <v>3731</v>
      </c>
      <c r="C177" s="23"/>
      <c r="D177" s="24"/>
      <c r="E177" s="25"/>
      <c r="F177" s="26"/>
      <c r="G177" s="27">
        <f>SUM(G178:G180)</f>
        <v>6321.083880428574</v>
      </c>
      <c r="H177" s="44">
        <f>G177*E169</f>
        <v>0</v>
      </c>
    </row>
    <row r="178" spans="1:11">
      <c r="A178" s="28"/>
      <c r="B178" s="29" t="s">
        <v>3573</v>
      </c>
      <c r="C178" s="30" t="str">
        <f>IFERROR(_xlfn.XLOOKUP(B178,Equipo[DESCRIPCION],Equipo[UND],,0),"")</f>
        <v>%MO</v>
      </c>
      <c r="D178" s="31">
        <v>0.1</v>
      </c>
      <c r="E178" s="32">
        <f>IF(C178="%MO",G184,IFERROR(_xlfn.XLOOKUP($B178,Equipo[DESCRIPCION],Equipo[VALOR],,0),""))</f>
        <v>33268.862528571437</v>
      </c>
      <c r="F178" s="33"/>
      <c r="G178" s="34">
        <f>IFERROR(IF(F178&gt;=0,D178*E178*(1+F178/100),ABS(D178*E178/F178)),"")</f>
        <v>3326.886252857144</v>
      </c>
      <c r="H178" s="43">
        <f>IFERROR(G178*E169,"")</f>
        <v>0</v>
      </c>
    </row>
    <row r="179" spans="1:11">
      <c r="A179" s="28"/>
      <c r="B179" s="29" t="s">
        <v>3570</v>
      </c>
      <c r="C179" s="30" t="str">
        <f>IFERROR(_xlfn.XLOOKUP(B179,Equipo[DESCRIPCION],Equipo[UND],,0),"")</f>
        <v>%MO</v>
      </c>
      <c r="D179" s="31">
        <v>0.04</v>
      </c>
      <c r="E179" s="32">
        <f>IF(C179="%MO",G184,IFERROR(_xlfn.XLOOKUP($B179,Equipo[DESCRIPCION],Equipo[VALOR],,0),""))</f>
        <v>33268.862528571437</v>
      </c>
      <c r="F179" s="33"/>
      <c r="G179" s="34">
        <f>IFERROR(IF(F179&gt;=0,D179*E179*(1+F179/100),ABS(D179*E179/F179)),"")</f>
        <v>1330.7545011428574</v>
      </c>
      <c r="H179" s="43">
        <f>IFERROR(G179*E169,"")</f>
        <v>0</v>
      </c>
    </row>
    <row r="180" spans="1:11">
      <c r="A180" s="28"/>
      <c r="B180" s="29" t="s">
        <v>3626</v>
      </c>
      <c r="C180" s="30" t="str">
        <f>IFERROR(_xlfn.XLOOKUP(B180,Equipo[DESCRIPCION],Equipo[UND],,0),"")</f>
        <v>%MO</v>
      </c>
      <c r="D180" s="31">
        <v>0.05</v>
      </c>
      <c r="E180" s="32">
        <f>IF(C180="%MO",G184,IFERROR(_xlfn.XLOOKUP($B180,Equipo[DESCRIPCION],Equipo[VALOR],,0),""))</f>
        <v>33268.862528571437</v>
      </c>
      <c r="F180" s="33"/>
      <c r="G180" s="34">
        <f>IFERROR(IF(F180&gt;=0,D180*E180*(1+F180/100),ABS(D180*E180/F180)),"")</f>
        <v>1663.443126428572</v>
      </c>
      <c r="H180" s="43">
        <f>IFERROR(G180*E169,"")</f>
        <v>0</v>
      </c>
    </row>
    <row r="181" spans="1:11">
      <c r="A181" s="21"/>
      <c r="B181" s="22" t="s">
        <v>2533</v>
      </c>
      <c r="C181" s="23"/>
      <c r="D181" s="24"/>
      <c r="E181" s="25"/>
      <c r="F181" s="26"/>
      <c r="G181" s="27">
        <f>SUM(G182:G183)</f>
        <v>0</v>
      </c>
      <c r="H181" s="44">
        <f>G181*E169</f>
        <v>0</v>
      </c>
    </row>
    <row r="182" spans="1:11">
      <c r="A182" s="28"/>
      <c r="B182" s="29"/>
      <c r="C182" s="30" t="str">
        <f>IFERROR(_xlfn.XLOOKUP(B182,Transporte[DESCRIPCION],Transporte[UND],,0),"")</f>
        <v/>
      </c>
      <c r="D182" s="31"/>
      <c r="E182" s="32" t="str">
        <f>IFERROR(_xlfn.XLOOKUP($B182,Transporte[DESCRIPCION],Transporte[VALOR],,0),"")</f>
        <v/>
      </c>
      <c r="F182" s="33"/>
      <c r="G182" s="34" t="str">
        <f>IFERROR(IF(F182&gt;=0,D182*E182*(1+F182/100),ABS(D182*E182/F182)),"")</f>
        <v/>
      </c>
      <c r="H182" s="43" t="str">
        <f>IFERROR(G182*E169,"")</f>
        <v/>
      </c>
    </row>
    <row r="183" spans="1:11">
      <c r="A183" s="28"/>
      <c r="B183" s="29"/>
      <c r="C183" s="30" t="str">
        <f>IFERROR(_xlfn.XLOOKUP(B183,Transporte[DESCRIPCION],Transporte[UND],,0),"")</f>
        <v/>
      </c>
      <c r="D183" s="31"/>
      <c r="E183" s="32" t="str">
        <f>IFERROR(_xlfn.XLOOKUP($B183,Transporte[DESCRIPCION],Transporte[VALOR],,0),"")</f>
        <v/>
      </c>
      <c r="F183" s="33"/>
      <c r="G183" s="34" t="str">
        <f>IFERROR(IF(F183&gt;=0,D183*E183*(1+F183/100),ABS(D183*E183/F183)),"")</f>
        <v/>
      </c>
      <c r="H183" s="43" t="str">
        <f>IFERROR(G183*E169,"")</f>
        <v/>
      </c>
    </row>
    <row r="184" spans="1:11">
      <c r="A184" s="21"/>
      <c r="B184" s="22" t="s">
        <v>3732</v>
      </c>
      <c r="C184" s="23"/>
      <c r="D184" s="24"/>
      <c r="E184" s="25"/>
      <c r="F184" s="26"/>
      <c r="G184" s="27">
        <f>SUM(G185:G187)</f>
        <v>33268.862528571437</v>
      </c>
      <c r="H184" s="44">
        <f>G184*E169</f>
        <v>0</v>
      </c>
    </row>
    <row r="185" spans="1:11">
      <c r="A185" s="28"/>
      <c r="B185" s="29" t="s">
        <v>3716</v>
      </c>
      <c r="C185" s="30" t="str">
        <f>IFERROR(_xlfn.XLOOKUP(B185,MObra[DESCRIPCION],MObra[UN],,0),"")</f>
        <v>día</v>
      </c>
      <c r="D185" s="31">
        <v>1</v>
      </c>
      <c r="E185" s="32">
        <f>IFERROR(_xlfn.XLOOKUP($B185,MObra[DESCRIPCION],MObra[VALOR UNIT],,0),"")</f>
        <v>465764.07540000009</v>
      </c>
      <c r="F185" s="33">
        <v>-14</v>
      </c>
      <c r="G185" s="34">
        <f>IFERROR(IF(F185&gt;=0,D185*E185*(1+F185/100),ABS(D185*E185/F185)),"")</f>
        <v>33268.862528571437</v>
      </c>
      <c r="H185" s="43">
        <f>IFERROR(G185*E169,"")</f>
        <v>0</v>
      </c>
    </row>
    <row r="186" spans="1:11">
      <c r="A186" s="28"/>
      <c r="B186" s="29"/>
      <c r="C186" s="30" t="str">
        <f t="array" ref="C186">IFERROR(_xlfn.XLOOKUP(B186,MObra[[#All],[DESCRIPCION]],MObra[[#All],[UN]],,0),"")</f>
        <v/>
      </c>
      <c r="D186" s="31"/>
      <c r="E186" s="32" t="str">
        <f>IFERROR(_xlfn.XLOOKUP($B186,MObra[DESCRIPCION],MObra[VALOR UNIT],,0),"")</f>
        <v/>
      </c>
      <c r="F186" s="33"/>
      <c r="G186" s="34" t="str">
        <f>IFERROR(IF(F186&gt;=0,D186*E186*(1+F186/100),ABS(D186*E186/F186)),"")</f>
        <v/>
      </c>
      <c r="H186" s="43" t="str">
        <f>IFERROR(G186*E169,"")</f>
        <v/>
      </c>
    </row>
    <row r="187" spans="1:11" ht="13.15" thickBot="1">
      <c r="A187" s="35"/>
      <c r="B187" s="36"/>
      <c r="C187" s="37" t="str">
        <f t="array" ref="C187">IFERROR(_xlfn.XLOOKUP(B187,MObra[[#All],[DESCRIPCION]],MObra[[#All],[UN]],,0),"")</f>
        <v/>
      </c>
      <c r="D187" s="38"/>
      <c r="E187" s="39" t="str">
        <f>IFERROR(_xlfn.XLOOKUP($B187,MObra[DESCRIPCION],MObra[VALOR UNIT],,0),"")</f>
        <v/>
      </c>
      <c r="F187" s="40"/>
      <c r="G187" s="41" t="str">
        <f>IFERROR(IF(F187&gt;=0,D187*E187*(1+F187/100),ABS(D187*E187/F187)),"")</f>
        <v/>
      </c>
      <c r="H187" s="42" t="str">
        <f>IFERROR(G187*E169,"")</f>
        <v/>
      </c>
    </row>
    <row r="188" spans="1:11" ht="13.5" thickTop="1" thickBot="1"/>
    <row r="189" spans="1:11" ht="13.5" thickTop="1" thickBot="1">
      <c r="A189" s="6" t="s">
        <v>895</v>
      </c>
      <c r="B189" s="7" t="str">
        <f>VLOOKUP($A189,Presupuesto!$A:$D,2,FALSE())</f>
        <v>Bandeja portacables tipo malla 20x5x3 m Fil 10 electrozincada</v>
      </c>
      <c r="C189" s="8" t="str">
        <f>VLOOKUP($A189,Presupuesto!$A:$D,3,FALSE())</f>
        <v>M</v>
      </c>
      <c r="D189" s="9"/>
      <c r="E189" s="10">
        <f>VLOOKUP($A189,Presupuesto!$A:$D,4,FALSE())</f>
        <v>0</v>
      </c>
      <c r="F189" s="11" t="s">
        <v>2589</v>
      </c>
      <c r="G189" s="12">
        <f>SUM(G191:G207)/2</f>
        <v>140227.576902</v>
      </c>
      <c r="H189" s="13">
        <f>ROUND(SUM(H191:H207),0)/2</f>
        <v>0</v>
      </c>
      <c r="I189" s="10">
        <f>VLOOKUP(A189,Presupuesto!$A:$F,6,0)</f>
        <v>0</v>
      </c>
      <c r="J189" s="10">
        <f>+H189-I189</f>
        <v>0</v>
      </c>
      <c r="K189" s="46">
        <f>+H189-G189*E189</f>
        <v>0</v>
      </c>
    </row>
    <row r="190" spans="1:11" ht="13.15" thickTop="1">
      <c r="A190" s="14"/>
      <c r="B190" s="15" t="s">
        <v>2586</v>
      </c>
      <c r="C190" s="15" t="s">
        <v>5</v>
      </c>
      <c r="D190" s="16" t="s">
        <v>6</v>
      </c>
      <c r="E190" s="17" t="s">
        <v>7</v>
      </c>
      <c r="F190" s="18" t="s">
        <v>3728</v>
      </c>
      <c r="G190" s="19" t="s">
        <v>3729</v>
      </c>
      <c r="H190" s="20" t="s">
        <v>3797</v>
      </c>
    </row>
    <row r="191" spans="1:11">
      <c r="A191" s="21"/>
      <c r="B191" s="22" t="s">
        <v>3730</v>
      </c>
      <c r="C191" s="23"/>
      <c r="D191" s="24"/>
      <c r="E191" s="25"/>
      <c r="F191" s="26"/>
      <c r="G191" s="27">
        <f>SUM(G192:G196)</f>
        <v>97592.25</v>
      </c>
      <c r="H191" s="27">
        <f>IFERROR(G191*E189,"")</f>
        <v>0</v>
      </c>
    </row>
    <row r="192" spans="1:11">
      <c r="A192" s="28"/>
      <c r="B192" s="29" t="s">
        <v>2734</v>
      </c>
      <c r="C192" s="30" t="str">
        <f>IFERROR(_xlfn.XLOOKUP(B192,Insumo[DESCRIPCION],Insumo[UND],,0),"")</f>
        <v>Un</v>
      </c>
      <c r="D192" s="31">
        <v>0.41</v>
      </c>
      <c r="E192" s="32">
        <f>IFERROR(_xlfn.XLOOKUP($B192,Insumo[DESCRIPCION],Insumo[VALOR],,0),"")</f>
        <v>150150</v>
      </c>
      <c r="F192" s="33"/>
      <c r="G192" s="34">
        <f>IFERROR(IF(F192&gt;=0,D192*E192*(1+F192/100),ABS(D192*E192/F192)),"")</f>
        <v>61561.499999999993</v>
      </c>
      <c r="H192" s="43">
        <f>IFERROR(G192*E189,"")</f>
        <v>0</v>
      </c>
    </row>
    <row r="193" spans="1:8">
      <c r="A193" s="28"/>
      <c r="B193" s="29" t="s">
        <v>2616</v>
      </c>
      <c r="C193" s="30" t="str">
        <f>IFERROR(_xlfn.XLOOKUP(B193,Insumo[DESCRIPCION],Insumo[UND],,0),"")</f>
        <v>Un</v>
      </c>
      <c r="D193" s="31">
        <v>0.2</v>
      </c>
      <c r="E193" s="32">
        <f>IFERROR(_xlfn.XLOOKUP($B193,Insumo[DESCRIPCION],Insumo[VALOR],,0),"")</f>
        <v>60900</v>
      </c>
      <c r="F193" s="33"/>
      <c r="G193" s="34">
        <f>IFERROR(IF(F193&gt;=0,D193*E193*(1+F193/100),ABS(D193*E193/F193)),"")</f>
        <v>12180</v>
      </c>
      <c r="H193" s="43">
        <f>IFERROR(G193*E189,"")</f>
        <v>0</v>
      </c>
    </row>
    <row r="194" spans="1:8">
      <c r="A194" s="28"/>
      <c r="B194" s="29" t="s">
        <v>2833</v>
      </c>
      <c r="C194" s="30" t="str">
        <f>IFERROR(_xlfn.XLOOKUP(B194,Insumo[DESCRIPCION],Insumo[UND],,0),"")</f>
        <v>Un</v>
      </c>
      <c r="D194" s="31">
        <v>1.1000000000000001</v>
      </c>
      <c r="E194" s="32">
        <f>IFERROR(_xlfn.XLOOKUP($B194,Insumo[DESCRIPCION],Insumo[VALOR],,0),"")</f>
        <v>682.5</v>
      </c>
      <c r="F194" s="33"/>
      <c r="G194" s="34">
        <f>IFERROR(IF(F194&gt;=0,D194*E194*(1+F194/100),ABS(D194*E194/F194)),"")</f>
        <v>750.75000000000011</v>
      </c>
      <c r="H194" s="43">
        <f>IFERROR(G194*E189,"")</f>
        <v>0</v>
      </c>
    </row>
    <row r="195" spans="1:8">
      <c r="A195" s="28"/>
      <c r="B195" s="29" t="s">
        <v>3330</v>
      </c>
      <c r="C195" s="30" t="str">
        <f>IFERROR(_xlfn.XLOOKUP(B195,Insumo[DESCRIPCION],Insumo[UND],,0),"")</f>
        <v>Un</v>
      </c>
      <c r="D195" s="31">
        <v>0.55000000000000004</v>
      </c>
      <c r="E195" s="32">
        <f>IFERROR(_xlfn.XLOOKUP($B195,Insumo[DESCRIPCION],Insumo[VALOR],,0),"")</f>
        <v>42000</v>
      </c>
      <c r="F195" s="33"/>
      <c r="G195" s="34">
        <f>IFERROR(IF(F195&gt;=0,D195*E195*(1+F195/100),ABS(D195*E195/F195)),"")</f>
        <v>23100.000000000004</v>
      </c>
      <c r="H195" s="43">
        <f>IFERROR(G195*E189,"")</f>
        <v>0</v>
      </c>
    </row>
    <row r="196" spans="1:8">
      <c r="A196" s="28"/>
      <c r="B196" s="29"/>
      <c r="C196" s="30" t="str">
        <f>IFERROR(_xlfn.XLOOKUP(B196,Insumo[DESCRIPCION],Insumo[UND],,0),"")</f>
        <v/>
      </c>
      <c r="D196" s="31"/>
      <c r="E196" s="32" t="str">
        <f>IFERROR(_xlfn.XLOOKUP($B196,Insumo[DESCRIPCION],Insumo[VALOR],,0),"")</f>
        <v/>
      </c>
      <c r="F196" s="33"/>
      <c r="G196" s="34" t="str">
        <f>IFERROR(IF(F196&gt;=0,D196*E196*(1+F196/100),ABS(D196*E196/F196)),"")</f>
        <v/>
      </c>
      <c r="H196" s="43" t="str">
        <f>IFERROR(G196*E189,"")</f>
        <v/>
      </c>
    </row>
    <row r="197" spans="1:8">
      <c r="A197" s="21"/>
      <c r="B197" s="22" t="s">
        <v>3731</v>
      </c>
      <c r="C197" s="23"/>
      <c r="D197" s="24"/>
      <c r="E197" s="25"/>
      <c r="F197" s="26"/>
      <c r="G197" s="27">
        <f>SUM(G198:G200)</f>
        <v>6807.3211020000017</v>
      </c>
      <c r="H197" s="44">
        <f>G197*E189</f>
        <v>0</v>
      </c>
    </row>
    <row r="198" spans="1:8">
      <c r="A198" s="28"/>
      <c r="B198" s="29" t="s">
        <v>3573</v>
      </c>
      <c r="C198" s="30" t="str">
        <f>IFERROR(_xlfn.XLOOKUP(B198,Equipo[DESCRIPCION],Equipo[UND],,0),"")</f>
        <v>%MO</v>
      </c>
      <c r="D198" s="31">
        <v>0.1</v>
      </c>
      <c r="E198" s="32">
        <f>IF(C198="%MO",G204,IFERROR(_xlfn.XLOOKUP($B198,Equipo[DESCRIPCION],Equipo[VALOR],,0),""))</f>
        <v>35828.005800000006</v>
      </c>
      <c r="F198" s="33"/>
      <c r="G198" s="34">
        <f>IFERROR(IF(F198&gt;=0,D198*E198*(1+F198/100),ABS(D198*E198/F198)),"")</f>
        <v>3582.800580000001</v>
      </c>
      <c r="H198" s="43">
        <f>IFERROR(G198*E189,"")</f>
        <v>0</v>
      </c>
    </row>
    <row r="199" spans="1:8">
      <c r="A199" s="28"/>
      <c r="B199" s="29" t="s">
        <v>3570</v>
      </c>
      <c r="C199" s="30" t="str">
        <f>IFERROR(_xlfn.XLOOKUP(B199,Equipo[DESCRIPCION],Equipo[UND],,0),"")</f>
        <v>%MO</v>
      </c>
      <c r="D199" s="31">
        <v>0.04</v>
      </c>
      <c r="E199" s="32">
        <f>IF(C199="%MO",G204,IFERROR(_xlfn.XLOOKUP($B199,Equipo[DESCRIPCION],Equipo[VALOR],,0),""))</f>
        <v>35828.005800000006</v>
      </c>
      <c r="F199" s="33"/>
      <c r="G199" s="34">
        <f>IFERROR(IF(F199&gt;=0,D199*E199*(1+F199/100),ABS(D199*E199/F199)),"")</f>
        <v>1433.1202320000002</v>
      </c>
      <c r="H199" s="43">
        <f>IFERROR(G199*E189,"")</f>
        <v>0</v>
      </c>
    </row>
    <row r="200" spans="1:8">
      <c r="A200" s="28"/>
      <c r="B200" s="29" t="s">
        <v>3626</v>
      </c>
      <c r="C200" s="30" t="str">
        <f>IFERROR(_xlfn.XLOOKUP(B200,Equipo[DESCRIPCION],Equipo[UND],,0),"")</f>
        <v>%MO</v>
      </c>
      <c r="D200" s="31">
        <v>0.05</v>
      </c>
      <c r="E200" s="32">
        <f>IF(C200="%MO",G204,IFERROR(_xlfn.XLOOKUP($B200,Equipo[DESCRIPCION],Equipo[VALOR],,0),""))</f>
        <v>35828.005800000006</v>
      </c>
      <c r="F200" s="33"/>
      <c r="G200" s="34">
        <f>IFERROR(IF(F200&gt;=0,D200*E200*(1+F200/100),ABS(D200*E200/F200)),"")</f>
        <v>1791.4002900000005</v>
      </c>
      <c r="H200" s="43">
        <f>IFERROR(G200*E189,"")</f>
        <v>0</v>
      </c>
    </row>
    <row r="201" spans="1:8">
      <c r="A201" s="21"/>
      <c r="B201" s="22" t="s">
        <v>2533</v>
      </c>
      <c r="C201" s="23"/>
      <c r="D201" s="24"/>
      <c r="E201" s="25"/>
      <c r="F201" s="26"/>
      <c r="G201" s="27">
        <f>SUM(G202:G203)</f>
        <v>0</v>
      </c>
      <c r="H201" s="44">
        <f>G201*E189</f>
        <v>0</v>
      </c>
    </row>
    <row r="202" spans="1:8">
      <c r="A202" s="28"/>
      <c r="B202" s="29"/>
      <c r="C202" s="30" t="str">
        <f>IFERROR(_xlfn.XLOOKUP(B202,Transporte[DESCRIPCION],Transporte[UND],,0),"")</f>
        <v/>
      </c>
      <c r="D202" s="31"/>
      <c r="E202" s="32" t="str">
        <f>IFERROR(_xlfn.XLOOKUP($B202,Transporte[DESCRIPCION],Transporte[VALOR],,0),"")</f>
        <v/>
      </c>
      <c r="F202" s="33"/>
      <c r="G202" s="34" t="str">
        <f>IFERROR(IF(F202&gt;=0,D202*E202*(1+F202/100),ABS(D202*E202/F202)),"")</f>
        <v/>
      </c>
      <c r="H202" s="43" t="str">
        <f>IFERROR(G202*E189,"")</f>
        <v/>
      </c>
    </row>
    <row r="203" spans="1:8">
      <c r="A203" s="28"/>
      <c r="B203" s="29"/>
      <c r="C203" s="30" t="str">
        <f>IFERROR(_xlfn.XLOOKUP(B203,Transporte[DESCRIPCION],Transporte[UND],,0),"")</f>
        <v/>
      </c>
      <c r="D203" s="31"/>
      <c r="E203" s="32" t="str">
        <f>IFERROR(_xlfn.XLOOKUP($B203,Transporte[DESCRIPCION],Transporte[VALOR],,0),"")</f>
        <v/>
      </c>
      <c r="F203" s="33"/>
      <c r="G203" s="34" t="str">
        <f>IFERROR(IF(F203&gt;=0,D203*E203*(1+F203/100),ABS(D203*E203/F203)),"")</f>
        <v/>
      </c>
      <c r="H203" s="43" t="str">
        <f>IFERROR(G203*E189,"")</f>
        <v/>
      </c>
    </row>
    <row r="204" spans="1:8">
      <c r="A204" s="21"/>
      <c r="B204" s="22" t="s">
        <v>3732</v>
      </c>
      <c r="C204" s="23"/>
      <c r="D204" s="24"/>
      <c r="E204" s="25"/>
      <c r="F204" s="26"/>
      <c r="G204" s="27">
        <f>SUM(G205:G207)</f>
        <v>35828.005800000006</v>
      </c>
      <c r="H204" s="44">
        <f>G204*E189</f>
        <v>0</v>
      </c>
    </row>
    <row r="205" spans="1:8">
      <c r="A205" s="28"/>
      <c r="B205" s="29" t="s">
        <v>3716</v>
      </c>
      <c r="C205" s="30" t="str">
        <f>IFERROR(_xlfn.XLOOKUP(B205,MObra[DESCRIPCION],MObra[UN],,0),"")</f>
        <v>día</v>
      </c>
      <c r="D205" s="31">
        <v>1</v>
      </c>
      <c r="E205" s="32">
        <f>IFERROR(_xlfn.XLOOKUP($B205,MObra[DESCRIPCION],MObra[VALOR UNIT],,0),"")</f>
        <v>465764.07540000009</v>
      </c>
      <c r="F205" s="33">
        <v>-13</v>
      </c>
      <c r="G205" s="34">
        <f>IFERROR(IF(F205&gt;=0,D205*E205*(1+F205/100),ABS(D205*E205/F205)),"")</f>
        <v>35828.005800000006</v>
      </c>
      <c r="H205" s="43">
        <f>IFERROR(G205*E189,"")</f>
        <v>0</v>
      </c>
    </row>
    <row r="206" spans="1:8">
      <c r="A206" s="28"/>
      <c r="B206" s="29"/>
      <c r="C206" s="30" t="str">
        <f t="array" ref="C206">IFERROR(_xlfn.XLOOKUP(B206,MObra[[#All],[DESCRIPCION]],MObra[[#All],[UN]],,0),"")</f>
        <v/>
      </c>
      <c r="D206" s="31"/>
      <c r="E206" s="32" t="str">
        <f>IFERROR(_xlfn.XLOOKUP($B206,MObra[DESCRIPCION],MObra[VALOR UNIT],,0),"")</f>
        <v/>
      </c>
      <c r="F206" s="33"/>
      <c r="G206" s="34" t="str">
        <f>IFERROR(IF(F206&gt;=0,D206*E206*(1+F206/100),ABS(D206*E206/F206)),"")</f>
        <v/>
      </c>
      <c r="H206" s="43" t="str">
        <f>IFERROR(G206*E189,"")</f>
        <v/>
      </c>
    </row>
    <row r="207" spans="1:8" ht="13.15" thickBot="1">
      <c r="A207" s="35"/>
      <c r="B207" s="36"/>
      <c r="C207" s="37" t="str">
        <f t="array" ref="C207">IFERROR(_xlfn.XLOOKUP(B207,MObra[[#All],[DESCRIPCION]],MObra[[#All],[UN]],,0),"")</f>
        <v/>
      </c>
      <c r="D207" s="38"/>
      <c r="E207" s="39" t="str">
        <f>IFERROR(_xlfn.XLOOKUP($B207,MObra[DESCRIPCION],MObra[VALOR UNIT],,0),"")</f>
        <v/>
      </c>
      <c r="F207" s="40"/>
      <c r="G207" s="41" t="str">
        <f>IFERROR(IF(F207&gt;=0,D207*E207*(1+F207/100),ABS(D207*E207/F207)),"")</f>
        <v/>
      </c>
      <c r="H207" s="42" t="str">
        <f>IFERROR(G207*E189,"")</f>
        <v/>
      </c>
    </row>
    <row r="208" spans="1:8" ht="13.5" thickTop="1" thickBot="1"/>
    <row r="209" spans="1:11" ht="13.5" thickTop="1" thickBot="1">
      <c r="A209" s="6" t="s">
        <v>897</v>
      </c>
      <c r="B209" s="7" t="str">
        <f>VLOOKUP($A209,Presupuesto!$A:$D,2,FALSE())</f>
        <v>Bandeja portacables tipo malla 30x5x3 m Fil 10 electrozincada</v>
      </c>
      <c r="C209" s="8" t="str">
        <f>VLOOKUP($A209,Presupuesto!$A:$D,3,FALSE())</f>
        <v>M</v>
      </c>
      <c r="D209" s="9"/>
      <c r="E209" s="10">
        <f>VLOOKUP($A209,Presupuesto!$A:$D,4,FALSE())</f>
        <v>0</v>
      </c>
      <c r="F209" s="11" t="s">
        <v>2589</v>
      </c>
      <c r="G209" s="12">
        <f>SUM(G211:G227)/2</f>
        <v>150637.02081050002</v>
      </c>
      <c r="H209" s="13">
        <f>ROUND(SUM(H211:H227),0)/2</f>
        <v>0</v>
      </c>
      <c r="I209" s="10">
        <f>VLOOKUP(A209,Presupuesto!$A:$F,6,0)</f>
        <v>0</v>
      </c>
      <c r="J209" s="10">
        <f>+H209-I209</f>
        <v>0</v>
      </c>
      <c r="K209" s="46">
        <f>+H209-G209*E209</f>
        <v>0</v>
      </c>
    </row>
    <row r="210" spans="1:11" ht="13.15" thickTop="1">
      <c r="A210" s="14"/>
      <c r="B210" s="15" t="s">
        <v>2586</v>
      </c>
      <c r="C210" s="15" t="s">
        <v>5</v>
      </c>
      <c r="D210" s="16" t="s">
        <v>6</v>
      </c>
      <c r="E210" s="17" t="s">
        <v>7</v>
      </c>
      <c r="F210" s="18" t="s">
        <v>3728</v>
      </c>
      <c r="G210" s="19" t="s">
        <v>3729</v>
      </c>
      <c r="H210" s="20" t="s">
        <v>3797</v>
      </c>
    </row>
    <row r="211" spans="1:11">
      <c r="A211" s="21"/>
      <c r="B211" s="22" t="s">
        <v>3730</v>
      </c>
      <c r="C211" s="23"/>
      <c r="D211" s="24"/>
      <c r="E211" s="25"/>
      <c r="F211" s="26"/>
      <c r="G211" s="27">
        <f>SUM(G212:G216)</f>
        <v>104448.75</v>
      </c>
      <c r="H211" s="27">
        <f>IFERROR(G211*E209,"")</f>
        <v>0</v>
      </c>
    </row>
    <row r="212" spans="1:11">
      <c r="A212" s="28"/>
      <c r="B212" s="29" t="s">
        <v>2735</v>
      </c>
      <c r="C212" s="30" t="str">
        <f>IFERROR(_xlfn.XLOOKUP(B212,Insumo[DESCRIPCION],Insumo[UND],,0),"")</f>
        <v>Un</v>
      </c>
      <c r="D212" s="31">
        <v>0.41</v>
      </c>
      <c r="E212" s="32">
        <f>IFERROR(_xlfn.XLOOKUP($B212,Insumo[DESCRIPCION],Insumo[VALOR],,0),"")</f>
        <v>163800</v>
      </c>
      <c r="F212" s="33"/>
      <c r="G212" s="34">
        <f>IFERROR(IF(F212&gt;=0,D212*E212*(1+F212/100),ABS(D212*E212/F212)),"")</f>
        <v>67158</v>
      </c>
      <c r="H212" s="43">
        <f>IFERROR(G212*E209,"")</f>
        <v>0</v>
      </c>
    </row>
    <row r="213" spans="1:11">
      <c r="A213" s="28"/>
      <c r="B213" s="29" t="s">
        <v>2617</v>
      </c>
      <c r="C213" s="30" t="str">
        <f>IFERROR(_xlfn.XLOOKUP(B213,Insumo[DESCRIPCION],Insumo[UND],,0),"")</f>
        <v>Un</v>
      </c>
      <c r="D213" s="31">
        <v>0.2</v>
      </c>
      <c r="E213" s="32">
        <f>IFERROR(_xlfn.XLOOKUP($B213,Insumo[DESCRIPCION],Insumo[VALOR],,0),"")</f>
        <v>67200</v>
      </c>
      <c r="F213" s="33"/>
      <c r="G213" s="34">
        <f>IFERROR(IF(F213&gt;=0,D213*E213*(1+F213/100),ABS(D213*E213/F213)),"")</f>
        <v>13440</v>
      </c>
      <c r="H213" s="43">
        <f>IFERROR(G213*E209,"")</f>
        <v>0</v>
      </c>
    </row>
    <row r="214" spans="1:11">
      <c r="A214" s="28"/>
      <c r="B214" s="29" t="s">
        <v>2833</v>
      </c>
      <c r="C214" s="30" t="str">
        <f>IFERROR(_xlfn.XLOOKUP(B214,Insumo[DESCRIPCION],Insumo[UND],,0),"")</f>
        <v>Un</v>
      </c>
      <c r="D214" s="31">
        <v>1.1000000000000001</v>
      </c>
      <c r="E214" s="32">
        <f>IFERROR(_xlfn.XLOOKUP($B214,Insumo[DESCRIPCION],Insumo[VALOR],,0),"")</f>
        <v>682.5</v>
      </c>
      <c r="F214" s="33"/>
      <c r="G214" s="34">
        <f>IFERROR(IF(F214&gt;=0,D214*E214*(1+F214/100),ABS(D214*E214/F214)),"")</f>
        <v>750.75000000000011</v>
      </c>
      <c r="H214" s="43">
        <f>IFERROR(G214*E209,"")</f>
        <v>0</v>
      </c>
    </row>
    <row r="215" spans="1:11">
      <c r="A215" s="28"/>
      <c r="B215" s="29" t="s">
        <v>3330</v>
      </c>
      <c r="C215" s="30" t="str">
        <f>IFERROR(_xlfn.XLOOKUP(B215,Insumo[DESCRIPCION],Insumo[UND],,0),"")</f>
        <v>Un</v>
      </c>
      <c r="D215" s="31">
        <v>0.55000000000000004</v>
      </c>
      <c r="E215" s="32">
        <f>IFERROR(_xlfn.XLOOKUP($B215,Insumo[DESCRIPCION],Insumo[VALOR],,0),"")</f>
        <v>42000</v>
      </c>
      <c r="F215" s="33"/>
      <c r="G215" s="34">
        <f>IFERROR(IF(F215&gt;=0,D215*E215*(1+F215/100),ABS(D215*E215/F215)),"")</f>
        <v>23100.000000000004</v>
      </c>
      <c r="H215" s="43">
        <f>IFERROR(G215*E209,"")</f>
        <v>0</v>
      </c>
    </row>
    <row r="216" spans="1:11">
      <c r="A216" s="28"/>
      <c r="B216" s="29"/>
      <c r="C216" s="30" t="str">
        <f>IFERROR(_xlfn.XLOOKUP(B216,Insumo[DESCRIPCION],Insumo[UND],,0),"")</f>
        <v/>
      </c>
      <c r="D216" s="31"/>
      <c r="E216" s="32" t="str">
        <f>IFERROR(_xlfn.XLOOKUP($B216,Insumo[DESCRIPCION],Insumo[VALOR],,0),"")</f>
        <v/>
      </c>
      <c r="F216" s="33"/>
      <c r="G216" s="34" t="str">
        <f>IFERROR(IF(F216&gt;=0,D216*E216*(1+F216/100),ABS(D216*E216/F216)),"")</f>
        <v/>
      </c>
      <c r="H216" s="43" t="str">
        <f>IFERROR(G216*E209,"")</f>
        <v/>
      </c>
    </row>
    <row r="217" spans="1:11">
      <c r="A217" s="21"/>
      <c r="B217" s="22" t="s">
        <v>3731</v>
      </c>
      <c r="C217" s="23"/>
      <c r="D217" s="24"/>
      <c r="E217" s="25"/>
      <c r="F217" s="26"/>
      <c r="G217" s="27">
        <f>SUM(G218:G220)</f>
        <v>7374.5978605000018</v>
      </c>
      <c r="H217" s="44">
        <f>G217*E209</f>
        <v>0</v>
      </c>
    </row>
    <row r="218" spans="1:11">
      <c r="A218" s="28"/>
      <c r="B218" s="29" t="s">
        <v>3573</v>
      </c>
      <c r="C218" s="30" t="str">
        <f>IFERROR(_xlfn.XLOOKUP(B218,Equipo[DESCRIPCION],Equipo[UND],,0),"")</f>
        <v>%MO</v>
      </c>
      <c r="D218" s="31">
        <v>0.1</v>
      </c>
      <c r="E218" s="32">
        <f>IF(C218="%MO",G224,IFERROR(_xlfn.XLOOKUP($B218,Equipo[DESCRIPCION],Equipo[VALOR],,0),""))</f>
        <v>38813.672950000007</v>
      </c>
      <c r="F218" s="33"/>
      <c r="G218" s="34">
        <f>IFERROR(IF(F218&gt;=0,D218*E218*(1+F218/100),ABS(D218*E218/F218)),"")</f>
        <v>3881.3672950000009</v>
      </c>
      <c r="H218" s="43">
        <f>IFERROR(G218*E209,"")</f>
        <v>0</v>
      </c>
    </row>
    <row r="219" spans="1:11">
      <c r="A219" s="28"/>
      <c r="B219" s="29" t="s">
        <v>3570</v>
      </c>
      <c r="C219" s="30" t="str">
        <f>IFERROR(_xlfn.XLOOKUP(B219,Equipo[DESCRIPCION],Equipo[UND],,0),"")</f>
        <v>%MO</v>
      </c>
      <c r="D219" s="31">
        <v>0.04</v>
      </c>
      <c r="E219" s="32">
        <f>IF(C219="%MO",G224,IFERROR(_xlfn.XLOOKUP($B219,Equipo[DESCRIPCION],Equipo[VALOR],,0),""))</f>
        <v>38813.672950000007</v>
      </c>
      <c r="F219" s="33"/>
      <c r="G219" s="34">
        <f>IFERROR(IF(F219&gt;=0,D219*E219*(1+F219/100),ABS(D219*E219/F219)),"")</f>
        <v>1552.5469180000002</v>
      </c>
      <c r="H219" s="43">
        <f>IFERROR(G219*E209,"")</f>
        <v>0</v>
      </c>
    </row>
    <row r="220" spans="1:11">
      <c r="A220" s="28"/>
      <c r="B220" s="29" t="s">
        <v>3626</v>
      </c>
      <c r="C220" s="30" t="str">
        <f>IFERROR(_xlfn.XLOOKUP(B220,Equipo[DESCRIPCION],Equipo[UND],,0),"")</f>
        <v>%MO</v>
      </c>
      <c r="D220" s="31">
        <v>0.05</v>
      </c>
      <c r="E220" s="32">
        <f>IF(C220="%MO",G224,IFERROR(_xlfn.XLOOKUP($B220,Equipo[DESCRIPCION],Equipo[VALOR],,0),""))</f>
        <v>38813.672950000007</v>
      </c>
      <c r="F220" s="33"/>
      <c r="G220" s="34">
        <f>IFERROR(IF(F220&gt;=0,D220*E220*(1+F220/100),ABS(D220*E220/F220)),"")</f>
        <v>1940.6836475000005</v>
      </c>
      <c r="H220" s="43">
        <f>IFERROR(G220*E209,"")</f>
        <v>0</v>
      </c>
    </row>
    <row r="221" spans="1:11">
      <c r="A221" s="21"/>
      <c r="B221" s="22" t="s">
        <v>2533</v>
      </c>
      <c r="C221" s="23"/>
      <c r="D221" s="24"/>
      <c r="E221" s="25"/>
      <c r="F221" s="26"/>
      <c r="G221" s="27">
        <f>SUM(G222:G223)</f>
        <v>0</v>
      </c>
      <c r="H221" s="44">
        <f>G221*E209</f>
        <v>0</v>
      </c>
    </row>
    <row r="222" spans="1:11">
      <c r="A222" s="28"/>
      <c r="B222" s="29"/>
      <c r="C222" s="30" t="str">
        <f>IFERROR(_xlfn.XLOOKUP(B222,Transporte[DESCRIPCION],Transporte[UND],,0),"")</f>
        <v/>
      </c>
      <c r="D222" s="31"/>
      <c r="E222" s="32" t="str">
        <f>IFERROR(_xlfn.XLOOKUP($B222,Transporte[DESCRIPCION],Transporte[VALOR],,0),"")</f>
        <v/>
      </c>
      <c r="F222" s="33"/>
      <c r="G222" s="34" t="str">
        <f>IFERROR(IF(F222&gt;=0,D222*E222*(1+F222/100),ABS(D222*E222/F222)),"")</f>
        <v/>
      </c>
      <c r="H222" s="43" t="str">
        <f>IFERROR(G222*E209,"")</f>
        <v/>
      </c>
    </row>
    <row r="223" spans="1:11">
      <c r="A223" s="28"/>
      <c r="B223" s="29"/>
      <c r="C223" s="30" t="str">
        <f>IFERROR(_xlfn.XLOOKUP(B223,Transporte[DESCRIPCION],Transporte[UND],,0),"")</f>
        <v/>
      </c>
      <c r="D223" s="31"/>
      <c r="E223" s="32" t="str">
        <f>IFERROR(_xlfn.XLOOKUP($B223,Transporte[DESCRIPCION],Transporte[VALOR],,0),"")</f>
        <v/>
      </c>
      <c r="F223" s="33"/>
      <c r="G223" s="34" t="str">
        <f>IFERROR(IF(F223&gt;=0,D223*E223*(1+F223/100),ABS(D223*E223/F223)),"")</f>
        <v/>
      </c>
      <c r="H223" s="43" t="str">
        <f>IFERROR(G223*E209,"")</f>
        <v/>
      </c>
    </row>
    <row r="224" spans="1:11">
      <c r="A224" s="21"/>
      <c r="B224" s="22" t="s">
        <v>3732</v>
      </c>
      <c r="C224" s="23"/>
      <c r="D224" s="24"/>
      <c r="E224" s="25"/>
      <c r="F224" s="26"/>
      <c r="G224" s="27">
        <f>SUM(G225:G227)</f>
        <v>38813.672950000007</v>
      </c>
      <c r="H224" s="44">
        <f>G224*E209</f>
        <v>0</v>
      </c>
    </row>
    <row r="225" spans="1:11">
      <c r="A225" s="28"/>
      <c r="B225" s="29" t="s">
        <v>3716</v>
      </c>
      <c r="C225" s="30" t="str">
        <f>IFERROR(_xlfn.XLOOKUP(B225,MObra[DESCRIPCION],MObra[UN],,0),"")</f>
        <v>día</v>
      </c>
      <c r="D225" s="31">
        <v>1</v>
      </c>
      <c r="E225" s="32">
        <f>IFERROR(_xlfn.XLOOKUP($B225,MObra[DESCRIPCION],MObra[VALOR UNIT],,0),"")</f>
        <v>465764.07540000009</v>
      </c>
      <c r="F225" s="33">
        <v>-12</v>
      </c>
      <c r="G225" s="34">
        <f>IFERROR(IF(F225&gt;=0,D225*E225*(1+F225/100),ABS(D225*E225/F225)),"")</f>
        <v>38813.672950000007</v>
      </c>
      <c r="H225" s="43">
        <f>IFERROR(G225*E209,"")</f>
        <v>0</v>
      </c>
    </row>
    <row r="226" spans="1:11">
      <c r="A226" s="28"/>
      <c r="B226" s="29"/>
      <c r="C226" s="30" t="str">
        <f t="array" ref="C226">IFERROR(_xlfn.XLOOKUP(B226,MObra[[#All],[DESCRIPCION]],MObra[[#All],[UN]],,0),"")</f>
        <v/>
      </c>
      <c r="D226" s="31"/>
      <c r="E226" s="32" t="str">
        <f>IFERROR(_xlfn.XLOOKUP($B226,MObra[DESCRIPCION],MObra[VALOR UNIT],,0),"")</f>
        <v/>
      </c>
      <c r="F226" s="33"/>
      <c r="G226" s="34" t="str">
        <f>IFERROR(IF(F226&gt;=0,D226*E226*(1+F226/100),ABS(D226*E226/F226)),"")</f>
        <v/>
      </c>
      <c r="H226" s="43" t="str">
        <f>IFERROR(G226*E209,"")</f>
        <v/>
      </c>
    </row>
    <row r="227" spans="1:11" ht="13.15" thickBot="1">
      <c r="A227" s="35"/>
      <c r="B227" s="36"/>
      <c r="C227" s="37" t="str">
        <f t="array" ref="C227">IFERROR(_xlfn.XLOOKUP(B227,MObra[[#All],[DESCRIPCION]],MObra[[#All],[UN]],,0),"")</f>
        <v/>
      </c>
      <c r="D227" s="38"/>
      <c r="E227" s="39" t="str">
        <f>IFERROR(_xlfn.XLOOKUP($B227,MObra[DESCRIPCION],MObra[VALOR UNIT],,0),"")</f>
        <v/>
      </c>
      <c r="F227" s="40"/>
      <c r="G227" s="41" t="str">
        <f>IFERROR(IF(F227&gt;=0,D227*E227*(1+F227/100),ABS(D227*E227/F227)),"")</f>
        <v/>
      </c>
      <c r="H227" s="42" t="str">
        <f>IFERROR(G227*E209,"")</f>
        <v/>
      </c>
    </row>
    <row r="228" spans="1:11" ht="13.5" thickTop="1" thickBot="1"/>
    <row r="229" spans="1:11" ht="13.5" thickTop="1" thickBot="1">
      <c r="A229" s="6" t="s">
        <v>899</v>
      </c>
      <c r="B229" s="7" t="str">
        <f>VLOOKUP($A229,Presupuesto!$A:$D,2,FALSE())</f>
        <v>Bandeja portacables tipo malla 40x5x3 m Fil 10 electrozincada</v>
      </c>
      <c r="C229" s="8" t="str">
        <f>VLOOKUP($A229,Presupuesto!$A:$D,3,FALSE())</f>
        <v>M</v>
      </c>
      <c r="D229" s="9"/>
      <c r="E229" s="10">
        <f>VLOOKUP($A229,Presupuesto!$A:$D,4,FALSE())</f>
        <v>0</v>
      </c>
      <c r="F229" s="11" t="s">
        <v>2589</v>
      </c>
      <c r="G229" s="12">
        <f>SUM(G231:G247)/2</f>
        <v>170449.45452054543</v>
      </c>
      <c r="H229" s="13">
        <f>ROUND(SUM(H231:H247),0)/2</f>
        <v>0</v>
      </c>
      <c r="I229" s="10">
        <f>VLOOKUP(A229,Presupuesto!$A:$F,6,0)</f>
        <v>0</v>
      </c>
      <c r="J229" s="10">
        <f>+H229-I229</f>
        <v>0</v>
      </c>
      <c r="K229" s="46">
        <f>+H229-G229*E229</f>
        <v>0</v>
      </c>
    </row>
    <row r="230" spans="1:11" ht="13.15" thickTop="1">
      <c r="A230" s="14"/>
      <c r="B230" s="15" t="s">
        <v>2586</v>
      </c>
      <c r="C230" s="15" t="s">
        <v>5</v>
      </c>
      <c r="D230" s="16" t="s">
        <v>6</v>
      </c>
      <c r="E230" s="17" t="s">
        <v>7</v>
      </c>
      <c r="F230" s="18" t="s">
        <v>3728</v>
      </c>
      <c r="G230" s="19" t="s">
        <v>3729</v>
      </c>
      <c r="H230" s="20" t="s">
        <v>3797</v>
      </c>
    </row>
    <row r="231" spans="1:11">
      <c r="A231" s="21"/>
      <c r="B231" s="22" t="s">
        <v>3730</v>
      </c>
      <c r="C231" s="23"/>
      <c r="D231" s="24"/>
      <c r="E231" s="25"/>
      <c r="F231" s="26"/>
      <c r="G231" s="27">
        <f>SUM(G232:G236)</f>
        <v>120062.25</v>
      </c>
      <c r="H231" s="27">
        <f>IFERROR(G231*E229,"")</f>
        <v>0</v>
      </c>
    </row>
    <row r="232" spans="1:11">
      <c r="A232" s="28"/>
      <c r="B232" s="29" t="s">
        <v>2736</v>
      </c>
      <c r="C232" s="30" t="str">
        <f>IFERROR(_xlfn.XLOOKUP(B232,Insumo[DESCRIPCION],Insumo[UND],,0),"")</f>
        <v>Un</v>
      </c>
      <c r="D232" s="31">
        <v>0.41</v>
      </c>
      <c r="E232" s="32">
        <f>IFERROR(_xlfn.XLOOKUP($B232,Insumo[DESCRIPCION],Insumo[VALOR],,0),"")</f>
        <v>192150</v>
      </c>
      <c r="F232" s="33"/>
      <c r="G232" s="34">
        <f>IFERROR(IF(F232&gt;=0,D232*E232*(1+F232/100),ABS(D232*E232/F232)),"")</f>
        <v>78781.5</v>
      </c>
      <c r="H232" s="43">
        <f>IFERROR(G232*E229,"")</f>
        <v>0</v>
      </c>
    </row>
    <row r="233" spans="1:11">
      <c r="A233" s="28"/>
      <c r="B233" s="29" t="s">
        <v>2618</v>
      </c>
      <c r="C233" s="30" t="str">
        <f>IFERROR(_xlfn.XLOOKUP(B233,Insumo[DESCRIPCION],Insumo[UND],,0),"")</f>
        <v>Un</v>
      </c>
      <c r="D233" s="31">
        <v>0.2</v>
      </c>
      <c r="E233" s="32">
        <f>IFERROR(_xlfn.XLOOKUP($B233,Insumo[DESCRIPCION],Insumo[VALOR],,0),"")</f>
        <v>87150</v>
      </c>
      <c r="F233" s="33"/>
      <c r="G233" s="34">
        <f>IFERROR(IF(F233&gt;=0,D233*E233*(1+F233/100),ABS(D233*E233/F233)),"")</f>
        <v>17430</v>
      </c>
      <c r="H233" s="43">
        <f>IFERROR(G233*E229,"")</f>
        <v>0</v>
      </c>
    </row>
    <row r="234" spans="1:11">
      <c r="A234" s="28"/>
      <c r="B234" s="29" t="s">
        <v>2833</v>
      </c>
      <c r="C234" s="30" t="str">
        <f>IFERROR(_xlfn.XLOOKUP(B234,Insumo[DESCRIPCION],Insumo[UND],,0),"")</f>
        <v>Un</v>
      </c>
      <c r="D234" s="31">
        <v>1.1000000000000001</v>
      </c>
      <c r="E234" s="32">
        <f>IFERROR(_xlfn.XLOOKUP($B234,Insumo[DESCRIPCION],Insumo[VALOR],,0),"")</f>
        <v>682.5</v>
      </c>
      <c r="F234" s="33"/>
      <c r="G234" s="34">
        <f>IFERROR(IF(F234&gt;=0,D234*E234*(1+F234/100),ABS(D234*E234/F234)),"")</f>
        <v>750.75000000000011</v>
      </c>
      <c r="H234" s="43">
        <f>IFERROR(G234*E229,"")</f>
        <v>0</v>
      </c>
    </row>
    <row r="235" spans="1:11">
      <c r="A235" s="28"/>
      <c r="B235" s="29" t="s">
        <v>3330</v>
      </c>
      <c r="C235" s="30" t="str">
        <f>IFERROR(_xlfn.XLOOKUP(B235,Insumo[DESCRIPCION],Insumo[UND],,0),"")</f>
        <v>Un</v>
      </c>
      <c r="D235" s="31">
        <v>0.55000000000000004</v>
      </c>
      <c r="E235" s="32">
        <f>IFERROR(_xlfn.XLOOKUP($B235,Insumo[DESCRIPCION],Insumo[VALOR],,0),"")</f>
        <v>42000</v>
      </c>
      <c r="F235" s="33"/>
      <c r="G235" s="34">
        <f>IFERROR(IF(F235&gt;=0,D235*E235*(1+F235/100),ABS(D235*E235/F235)),"")</f>
        <v>23100.000000000004</v>
      </c>
      <c r="H235" s="43">
        <f>IFERROR(G235*E229,"")</f>
        <v>0</v>
      </c>
    </row>
    <row r="236" spans="1:11">
      <c r="A236" s="28"/>
      <c r="B236" s="29"/>
      <c r="C236" s="30" t="str">
        <f>IFERROR(_xlfn.XLOOKUP(B236,Insumo[DESCRIPCION],Insumo[UND],,0),"")</f>
        <v/>
      </c>
      <c r="D236" s="31"/>
      <c r="E236" s="32" t="str">
        <f>IFERROR(_xlfn.XLOOKUP($B236,Insumo[DESCRIPCION],Insumo[VALOR],,0),"")</f>
        <v/>
      </c>
      <c r="F236" s="33"/>
      <c r="G236" s="34" t="str">
        <f>IFERROR(IF(F236&gt;=0,D236*E236*(1+F236/100),ABS(D236*E236/F236)),"")</f>
        <v/>
      </c>
      <c r="H236" s="43" t="str">
        <f>IFERROR(G236*E229,"")</f>
        <v/>
      </c>
    </row>
    <row r="237" spans="1:11">
      <c r="A237" s="21"/>
      <c r="B237" s="22" t="s">
        <v>3731</v>
      </c>
      <c r="C237" s="23"/>
      <c r="D237" s="24"/>
      <c r="E237" s="25"/>
      <c r="F237" s="26"/>
      <c r="G237" s="27">
        <f>SUM(G238:G240)</f>
        <v>8045.0158478181829</v>
      </c>
      <c r="H237" s="44">
        <f>G237*E229</f>
        <v>0</v>
      </c>
    </row>
    <row r="238" spans="1:11">
      <c r="A238" s="28"/>
      <c r="B238" s="29" t="s">
        <v>3573</v>
      </c>
      <c r="C238" s="30" t="str">
        <f>IFERROR(_xlfn.XLOOKUP(B238,Equipo[DESCRIPCION],Equipo[UND],,0),"")</f>
        <v>%MO</v>
      </c>
      <c r="D238" s="31">
        <v>0.1</v>
      </c>
      <c r="E238" s="32">
        <f>IF(C238="%MO",G244,IFERROR(_xlfn.XLOOKUP($B238,Equipo[DESCRIPCION],Equipo[VALOR],,0),""))</f>
        <v>42342.188672727279</v>
      </c>
      <c r="F238" s="33"/>
      <c r="G238" s="34">
        <f>IFERROR(IF(F238&gt;=0,D238*E238*(1+F238/100),ABS(D238*E238/F238)),"")</f>
        <v>4234.2188672727279</v>
      </c>
      <c r="H238" s="43">
        <f>IFERROR(G238*E229,"")</f>
        <v>0</v>
      </c>
    </row>
    <row r="239" spans="1:11">
      <c r="A239" s="28"/>
      <c r="B239" s="29" t="s">
        <v>3570</v>
      </c>
      <c r="C239" s="30" t="str">
        <f>IFERROR(_xlfn.XLOOKUP(B239,Equipo[DESCRIPCION],Equipo[UND],,0),"")</f>
        <v>%MO</v>
      </c>
      <c r="D239" s="31">
        <v>0.04</v>
      </c>
      <c r="E239" s="32">
        <f>IF(C239="%MO",G244,IFERROR(_xlfn.XLOOKUP($B239,Equipo[DESCRIPCION],Equipo[VALOR],,0),""))</f>
        <v>42342.188672727279</v>
      </c>
      <c r="F239" s="33"/>
      <c r="G239" s="34">
        <f>IFERROR(IF(F239&gt;=0,D239*E239*(1+F239/100),ABS(D239*E239/F239)),"")</f>
        <v>1693.6875469090912</v>
      </c>
      <c r="H239" s="43">
        <f>IFERROR(G239*E229,"")</f>
        <v>0</v>
      </c>
    </row>
    <row r="240" spans="1:11">
      <c r="A240" s="28"/>
      <c r="B240" s="29" t="s">
        <v>3626</v>
      </c>
      <c r="C240" s="30" t="str">
        <f>IFERROR(_xlfn.XLOOKUP(B240,Equipo[DESCRIPCION],Equipo[UND],,0),"")</f>
        <v>%MO</v>
      </c>
      <c r="D240" s="31">
        <v>0.05</v>
      </c>
      <c r="E240" s="32">
        <f>IF(C240="%MO",G244,IFERROR(_xlfn.XLOOKUP($B240,Equipo[DESCRIPCION],Equipo[VALOR],,0),""))</f>
        <v>42342.188672727279</v>
      </c>
      <c r="F240" s="33"/>
      <c r="G240" s="34">
        <f>IFERROR(IF(F240&gt;=0,D240*E240*(1+F240/100),ABS(D240*E240/F240)),"")</f>
        <v>2117.109433636364</v>
      </c>
      <c r="H240" s="43">
        <f>IFERROR(G240*E229,"")</f>
        <v>0</v>
      </c>
    </row>
    <row r="241" spans="1:11">
      <c r="A241" s="21"/>
      <c r="B241" s="22" t="s">
        <v>2533</v>
      </c>
      <c r="C241" s="23"/>
      <c r="D241" s="24"/>
      <c r="E241" s="25"/>
      <c r="F241" s="26"/>
      <c r="G241" s="27">
        <f>SUM(G242:G243)</f>
        <v>0</v>
      </c>
      <c r="H241" s="44">
        <f>G241*E229</f>
        <v>0</v>
      </c>
    </row>
    <row r="242" spans="1:11">
      <c r="A242" s="28"/>
      <c r="B242" s="29"/>
      <c r="C242" s="30" t="str">
        <f>IFERROR(_xlfn.XLOOKUP(B242,Transporte[DESCRIPCION],Transporte[UND],,0),"")</f>
        <v/>
      </c>
      <c r="D242" s="31"/>
      <c r="E242" s="32" t="str">
        <f>IFERROR(_xlfn.XLOOKUP($B242,Transporte[DESCRIPCION],Transporte[VALOR],,0),"")</f>
        <v/>
      </c>
      <c r="F242" s="33"/>
      <c r="G242" s="34" t="str">
        <f>IFERROR(IF(F242&gt;=0,D242*E242*(1+F242/100),ABS(D242*E242/F242)),"")</f>
        <v/>
      </c>
      <c r="H242" s="43" t="str">
        <f>IFERROR(G242*E229,"")</f>
        <v/>
      </c>
    </row>
    <row r="243" spans="1:11">
      <c r="A243" s="28"/>
      <c r="B243" s="29"/>
      <c r="C243" s="30" t="str">
        <f>IFERROR(_xlfn.XLOOKUP(B243,Transporte[DESCRIPCION],Transporte[UND],,0),"")</f>
        <v/>
      </c>
      <c r="D243" s="31"/>
      <c r="E243" s="32" t="str">
        <f>IFERROR(_xlfn.XLOOKUP($B243,Transporte[DESCRIPCION],Transporte[VALOR],,0),"")</f>
        <v/>
      </c>
      <c r="F243" s="33"/>
      <c r="G243" s="34" t="str">
        <f>IFERROR(IF(F243&gt;=0,D243*E243*(1+F243/100),ABS(D243*E243/F243)),"")</f>
        <v/>
      </c>
      <c r="H243" s="43" t="str">
        <f>IFERROR(G243*E229,"")</f>
        <v/>
      </c>
    </row>
    <row r="244" spans="1:11">
      <c r="A244" s="21"/>
      <c r="B244" s="22" t="s">
        <v>3732</v>
      </c>
      <c r="C244" s="23"/>
      <c r="D244" s="24"/>
      <c r="E244" s="25"/>
      <c r="F244" s="26"/>
      <c r="G244" s="27">
        <f>SUM(G245:G247)</f>
        <v>42342.188672727279</v>
      </c>
      <c r="H244" s="44">
        <f>G244*E229</f>
        <v>0</v>
      </c>
    </row>
    <row r="245" spans="1:11">
      <c r="A245" s="28"/>
      <c r="B245" s="29" t="s">
        <v>3716</v>
      </c>
      <c r="C245" s="30" t="str">
        <f>IFERROR(_xlfn.XLOOKUP(B245,MObra[DESCRIPCION],MObra[UN],,0),"")</f>
        <v>día</v>
      </c>
      <c r="D245" s="31">
        <v>1</v>
      </c>
      <c r="E245" s="32">
        <f>IFERROR(_xlfn.XLOOKUP($B245,MObra[DESCRIPCION],MObra[VALOR UNIT],,0),"")</f>
        <v>465764.07540000009</v>
      </c>
      <c r="F245" s="33">
        <v>-11</v>
      </c>
      <c r="G245" s="34">
        <f>IFERROR(IF(F245&gt;=0,D245*E245*(1+F245/100),ABS(D245*E245/F245)),"")</f>
        <v>42342.188672727279</v>
      </c>
      <c r="H245" s="43">
        <f>IFERROR(G245*E229,"")</f>
        <v>0</v>
      </c>
    </row>
    <row r="246" spans="1:11">
      <c r="A246" s="28"/>
      <c r="B246" s="29"/>
      <c r="C246" s="30" t="str">
        <f t="array" ref="C246">IFERROR(_xlfn.XLOOKUP(B246,MObra[[#All],[DESCRIPCION]],MObra[[#All],[UN]],,0),"")</f>
        <v/>
      </c>
      <c r="D246" s="31"/>
      <c r="E246" s="32" t="str">
        <f>IFERROR(_xlfn.XLOOKUP($B246,MObra[DESCRIPCION],MObra[VALOR UNIT],,0),"")</f>
        <v/>
      </c>
      <c r="F246" s="33"/>
      <c r="G246" s="34" t="str">
        <f>IFERROR(IF(F246&gt;=0,D246*E246*(1+F246/100),ABS(D246*E246/F246)),"")</f>
        <v/>
      </c>
      <c r="H246" s="43" t="str">
        <f>IFERROR(G246*E229,"")</f>
        <v/>
      </c>
    </row>
    <row r="247" spans="1:11" ht="13.15" thickBot="1">
      <c r="A247" s="35"/>
      <c r="B247" s="36"/>
      <c r="C247" s="37" t="str">
        <f t="array" ref="C247">IFERROR(_xlfn.XLOOKUP(B247,MObra[[#All],[DESCRIPCION]],MObra[[#All],[UN]],,0),"")</f>
        <v/>
      </c>
      <c r="D247" s="38"/>
      <c r="E247" s="39" t="str">
        <f>IFERROR(_xlfn.XLOOKUP($B247,MObra[DESCRIPCION],MObra[VALOR UNIT],,0),"")</f>
        <v/>
      </c>
      <c r="F247" s="40"/>
      <c r="G247" s="41" t="str">
        <f>IFERROR(IF(F247&gt;=0,D247*E247*(1+F247/100),ABS(D247*E247/F247)),"")</f>
        <v/>
      </c>
      <c r="H247" s="42" t="str">
        <f>IFERROR(G247*E229,"")</f>
        <v/>
      </c>
    </row>
    <row r="248" spans="1:11" ht="13.5" thickTop="1" thickBot="1"/>
    <row r="249" spans="1:11" ht="13.5" thickTop="1" thickBot="1">
      <c r="A249" s="6" t="s">
        <v>901</v>
      </c>
      <c r="B249" s="7" t="str">
        <f>VLOOKUP($A249,Presupuesto!$A:$D,2,FALSE())</f>
        <v>Bandeja portacables tipo malla 60x400x3 m electrozincada</v>
      </c>
      <c r="C249" s="8" t="str">
        <f>VLOOKUP($A249,Presupuesto!$A:$D,3,FALSE())</f>
        <v>M</v>
      </c>
      <c r="D249" s="9"/>
      <c r="E249" s="10">
        <f>VLOOKUP($A249,Presupuesto!$A:$D,4,FALSE())</f>
        <v>0</v>
      </c>
      <c r="F249" s="11" t="s">
        <v>2589</v>
      </c>
      <c r="G249" s="12">
        <f>SUM(G251:G267)/2</f>
        <v>184465.67497260001</v>
      </c>
      <c r="H249" s="13">
        <f>ROUND(SUM(H251:H267),0)/2</f>
        <v>0</v>
      </c>
      <c r="I249" s="10">
        <f>VLOOKUP(A249,Presupuesto!$A:$F,6,0)</f>
        <v>0</v>
      </c>
      <c r="J249" s="10">
        <f>+H249-I249</f>
        <v>0</v>
      </c>
      <c r="K249" s="46">
        <f>+H249-G249*E249</f>
        <v>0</v>
      </c>
    </row>
    <row r="250" spans="1:11" ht="13.15" thickTop="1">
      <c r="A250" s="14"/>
      <c r="B250" s="15" t="s">
        <v>2586</v>
      </c>
      <c r="C250" s="15" t="s">
        <v>5</v>
      </c>
      <c r="D250" s="16" t="s">
        <v>6</v>
      </c>
      <c r="E250" s="17" t="s">
        <v>7</v>
      </c>
      <c r="F250" s="18" t="s">
        <v>3728</v>
      </c>
      <c r="G250" s="19" t="s">
        <v>3729</v>
      </c>
      <c r="H250" s="20" t="s">
        <v>3797</v>
      </c>
    </row>
    <row r="251" spans="1:11">
      <c r="A251" s="21"/>
      <c r="B251" s="22" t="s">
        <v>3730</v>
      </c>
      <c r="C251" s="23"/>
      <c r="D251" s="24"/>
      <c r="E251" s="25"/>
      <c r="F251" s="26"/>
      <c r="G251" s="27">
        <f>SUM(G252:G256)</f>
        <v>129039.75</v>
      </c>
      <c r="H251" s="27">
        <f>IFERROR(G251*E249,"")</f>
        <v>0</v>
      </c>
    </row>
    <row r="252" spans="1:11">
      <c r="A252" s="28"/>
      <c r="B252" s="29" t="s">
        <v>2737</v>
      </c>
      <c r="C252" s="30" t="str">
        <f>IFERROR(_xlfn.XLOOKUP(B252,Insumo[DESCRIPCION],Insumo[UND],,0),"")</f>
        <v>Un</v>
      </c>
      <c r="D252" s="31">
        <v>0.41</v>
      </c>
      <c r="E252" s="32">
        <f>IFERROR(_xlfn.XLOOKUP($B252,Insumo[DESCRIPCION],Insumo[VALOR],,0),"")</f>
        <v>207900</v>
      </c>
      <c r="F252" s="33"/>
      <c r="G252" s="34">
        <f>IFERROR(IF(F252&gt;=0,D252*E252*(1+F252/100),ABS(D252*E252/F252)),"")</f>
        <v>85239</v>
      </c>
      <c r="H252" s="43">
        <f>IFERROR(G252*E249,"")</f>
        <v>0</v>
      </c>
    </row>
    <row r="253" spans="1:11">
      <c r="A253" s="28"/>
      <c r="B253" s="29" t="s">
        <v>2619</v>
      </c>
      <c r="C253" s="30" t="str">
        <f>IFERROR(_xlfn.XLOOKUP(B253,Insumo[DESCRIPCION],Insumo[UND],,0),"")</f>
        <v>Un</v>
      </c>
      <c r="D253" s="31">
        <v>0.2</v>
      </c>
      <c r="E253" s="32">
        <f>IFERROR(_xlfn.XLOOKUP($B253,Insumo[DESCRIPCION],Insumo[VALOR],,0),"")</f>
        <v>99750</v>
      </c>
      <c r="F253" s="33"/>
      <c r="G253" s="34">
        <f>IFERROR(IF(F253&gt;=0,D253*E253*(1+F253/100),ABS(D253*E253/F253)),"")</f>
        <v>19950</v>
      </c>
      <c r="H253" s="43">
        <f>IFERROR(G253*E249,"")</f>
        <v>0</v>
      </c>
    </row>
    <row r="254" spans="1:11">
      <c r="A254" s="28"/>
      <c r="B254" s="29" t="s">
        <v>2833</v>
      </c>
      <c r="C254" s="30" t="str">
        <f>IFERROR(_xlfn.XLOOKUP(B254,Insumo[DESCRIPCION],Insumo[UND],,0),"")</f>
        <v>Un</v>
      </c>
      <c r="D254" s="31">
        <v>1.1000000000000001</v>
      </c>
      <c r="E254" s="32">
        <f>IFERROR(_xlfn.XLOOKUP($B254,Insumo[DESCRIPCION],Insumo[VALOR],,0),"")</f>
        <v>682.5</v>
      </c>
      <c r="F254" s="33"/>
      <c r="G254" s="34">
        <f>IFERROR(IF(F254&gt;=0,D254*E254*(1+F254/100),ABS(D254*E254/F254)),"")</f>
        <v>750.75000000000011</v>
      </c>
      <c r="H254" s="43">
        <f>IFERROR(G254*E249,"")</f>
        <v>0</v>
      </c>
    </row>
    <row r="255" spans="1:11">
      <c r="A255" s="28"/>
      <c r="B255" s="29" t="s">
        <v>3330</v>
      </c>
      <c r="C255" s="30" t="str">
        <f>IFERROR(_xlfn.XLOOKUP(B255,Insumo[DESCRIPCION],Insumo[UND],,0),"")</f>
        <v>Un</v>
      </c>
      <c r="D255" s="31">
        <v>0.55000000000000004</v>
      </c>
      <c r="E255" s="32">
        <f>IFERROR(_xlfn.XLOOKUP($B255,Insumo[DESCRIPCION],Insumo[VALOR],,0),"")</f>
        <v>42000</v>
      </c>
      <c r="F255" s="33"/>
      <c r="G255" s="34">
        <f>IFERROR(IF(F255&gt;=0,D255*E255*(1+F255/100),ABS(D255*E255/F255)),"")</f>
        <v>23100.000000000004</v>
      </c>
      <c r="H255" s="43">
        <f>IFERROR(G255*E249,"")</f>
        <v>0</v>
      </c>
    </row>
    <row r="256" spans="1:11">
      <c r="A256" s="28"/>
      <c r="B256" s="29"/>
      <c r="C256" s="30" t="str">
        <f>IFERROR(_xlfn.XLOOKUP(B256,Insumo[DESCRIPCION],Insumo[UND],,0),"")</f>
        <v/>
      </c>
      <c r="D256" s="31"/>
      <c r="E256" s="32" t="str">
        <f>IFERROR(_xlfn.XLOOKUP($B256,Insumo[DESCRIPCION],Insumo[VALOR],,0),"")</f>
        <v/>
      </c>
      <c r="F256" s="33"/>
      <c r="G256" s="34" t="str">
        <f>IFERROR(IF(F256&gt;=0,D256*E256*(1+F256/100),ABS(D256*E256/F256)),"")</f>
        <v/>
      </c>
      <c r="H256" s="43" t="str">
        <f>IFERROR(G256*E249,"")</f>
        <v/>
      </c>
    </row>
    <row r="257" spans="1:11">
      <c r="A257" s="21"/>
      <c r="B257" s="22" t="s">
        <v>3731</v>
      </c>
      <c r="C257" s="23"/>
      <c r="D257" s="24"/>
      <c r="E257" s="25"/>
      <c r="F257" s="26"/>
      <c r="G257" s="27">
        <f>SUM(G258:G260)</f>
        <v>8849.5174326000015</v>
      </c>
      <c r="H257" s="44">
        <f>G257*E249</f>
        <v>0</v>
      </c>
    </row>
    <row r="258" spans="1:11">
      <c r="A258" s="28"/>
      <c r="B258" s="29" t="s">
        <v>3573</v>
      </c>
      <c r="C258" s="30" t="str">
        <f>IFERROR(_xlfn.XLOOKUP(B258,Equipo[DESCRIPCION],Equipo[UND],,0),"")</f>
        <v>%MO</v>
      </c>
      <c r="D258" s="31">
        <v>0.1</v>
      </c>
      <c r="E258" s="32">
        <f>IF(C258="%MO",G264,IFERROR(_xlfn.XLOOKUP($B258,Equipo[DESCRIPCION],Equipo[VALOR],,0),""))</f>
        <v>46576.407540000007</v>
      </c>
      <c r="F258" s="33"/>
      <c r="G258" s="34">
        <f>IFERROR(IF(F258&gt;=0,D258*E258*(1+F258/100),ABS(D258*E258/F258)),"")</f>
        <v>4657.6407540000009</v>
      </c>
      <c r="H258" s="43">
        <f>IFERROR(G258*E249,"")</f>
        <v>0</v>
      </c>
    </row>
    <row r="259" spans="1:11">
      <c r="A259" s="28"/>
      <c r="B259" s="29" t="s">
        <v>3570</v>
      </c>
      <c r="C259" s="30" t="str">
        <f>IFERROR(_xlfn.XLOOKUP(B259,Equipo[DESCRIPCION],Equipo[UND],,0),"")</f>
        <v>%MO</v>
      </c>
      <c r="D259" s="31">
        <v>0.04</v>
      </c>
      <c r="E259" s="32">
        <f>IF(C259="%MO",G264,IFERROR(_xlfn.XLOOKUP($B259,Equipo[DESCRIPCION],Equipo[VALOR],,0),""))</f>
        <v>46576.407540000007</v>
      </c>
      <c r="F259" s="33"/>
      <c r="G259" s="34">
        <f>IFERROR(IF(F259&gt;=0,D259*E259*(1+F259/100),ABS(D259*E259/F259)),"")</f>
        <v>1863.0563016000003</v>
      </c>
      <c r="H259" s="43">
        <f>IFERROR(G259*E249,"")</f>
        <v>0</v>
      </c>
    </row>
    <row r="260" spans="1:11">
      <c r="A260" s="28"/>
      <c r="B260" s="29" t="s">
        <v>3626</v>
      </c>
      <c r="C260" s="30" t="str">
        <f>IFERROR(_xlfn.XLOOKUP(B260,Equipo[DESCRIPCION],Equipo[UND],,0),"")</f>
        <v>%MO</v>
      </c>
      <c r="D260" s="31">
        <v>0.05</v>
      </c>
      <c r="E260" s="32">
        <f>IF(C260="%MO",G264,IFERROR(_xlfn.XLOOKUP($B260,Equipo[DESCRIPCION],Equipo[VALOR],,0),""))</f>
        <v>46576.407540000007</v>
      </c>
      <c r="F260" s="33"/>
      <c r="G260" s="34">
        <f>IFERROR(IF(F260&gt;=0,D260*E260*(1+F260/100),ABS(D260*E260/F260)),"")</f>
        <v>2328.8203770000005</v>
      </c>
      <c r="H260" s="43">
        <f>IFERROR(G260*E249,"")</f>
        <v>0</v>
      </c>
    </row>
    <row r="261" spans="1:11">
      <c r="A261" s="21"/>
      <c r="B261" s="22" t="s">
        <v>2533</v>
      </c>
      <c r="C261" s="23"/>
      <c r="D261" s="24"/>
      <c r="E261" s="25"/>
      <c r="F261" s="26"/>
      <c r="G261" s="27">
        <f>SUM(G262:G263)</f>
        <v>0</v>
      </c>
      <c r="H261" s="44">
        <f>G261*E249</f>
        <v>0</v>
      </c>
    </row>
    <row r="262" spans="1:11">
      <c r="A262" s="28"/>
      <c r="B262" s="29"/>
      <c r="C262" s="30" t="str">
        <f>IFERROR(_xlfn.XLOOKUP(B262,Transporte[DESCRIPCION],Transporte[UND],,0),"")</f>
        <v/>
      </c>
      <c r="D262" s="31"/>
      <c r="E262" s="32" t="str">
        <f>IFERROR(_xlfn.XLOOKUP($B262,Transporte[DESCRIPCION],Transporte[VALOR],,0),"")</f>
        <v/>
      </c>
      <c r="F262" s="33"/>
      <c r="G262" s="34" t="str">
        <f>IFERROR(IF(F262&gt;=0,D262*E262*(1+F262/100),ABS(D262*E262/F262)),"")</f>
        <v/>
      </c>
      <c r="H262" s="43" t="str">
        <f>IFERROR(G262*E249,"")</f>
        <v/>
      </c>
    </row>
    <row r="263" spans="1:11">
      <c r="A263" s="28"/>
      <c r="B263" s="29"/>
      <c r="C263" s="30" t="str">
        <f>IFERROR(_xlfn.XLOOKUP(B263,Transporte[DESCRIPCION],Transporte[UND],,0),"")</f>
        <v/>
      </c>
      <c r="D263" s="31"/>
      <c r="E263" s="32" t="str">
        <f>IFERROR(_xlfn.XLOOKUP($B263,Transporte[DESCRIPCION],Transporte[VALOR],,0),"")</f>
        <v/>
      </c>
      <c r="F263" s="33"/>
      <c r="G263" s="34" t="str">
        <f>IFERROR(IF(F263&gt;=0,D263*E263*(1+F263/100),ABS(D263*E263/F263)),"")</f>
        <v/>
      </c>
      <c r="H263" s="43" t="str">
        <f>IFERROR(G263*E249,"")</f>
        <v/>
      </c>
    </row>
    <row r="264" spans="1:11">
      <c r="A264" s="21"/>
      <c r="B264" s="22" t="s">
        <v>3732</v>
      </c>
      <c r="C264" s="23"/>
      <c r="D264" s="24"/>
      <c r="E264" s="25"/>
      <c r="F264" s="26"/>
      <c r="G264" s="27">
        <f>SUM(G265:G267)</f>
        <v>46576.407540000007</v>
      </c>
      <c r="H264" s="44">
        <f>G264*E249</f>
        <v>0</v>
      </c>
    </row>
    <row r="265" spans="1:11">
      <c r="A265" s="28"/>
      <c r="B265" s="29" t="s">
        <v>3716</v>
      </c>
      <c r="C265" s="30" t="str">
        <f>IFERROR(_xlfn.XLOOKUP(B265,MObra[DESCRIPCION],MObra[UN],,0),"")</f>
        <v>día</v>
      </c>
      <c r="D265" s="31">
        <v>1</v>
      </c>
      <c r="E265" s="32">
        <f>IFERROR(_xlfn.XLOOKUP($B265,MObra[DESCRIPCION],MObra[VALOR UNIT],,0),"")</f>
        <v>465764.07540000009</v>
      </c>
      <c r="F265" s="33">
        <v>-10</v>
      </c>
      <c r="G265" s="34">
        <f>IFERROR(IF(F265&gt;=0,D265*E265*(1+F265/100),ABS(D265*E265/F265)),"")</f>
        <v>46576.407540000007</v>
      </c>
      <c r="H265" s="43">
        <f>IFERROR(G265*E249,"")</f>
        <v>0</v>
      </c>
    </row>
    <row r="266" spans="1:11">
      <c r="A266" s="28"/>
      <c r="B266" s="29"/>
      <c r="C266" s="30" t="str">
        <f t="array" ref="C266">IFERROR(_xlfn.XLOOKUP(B266,MObra[[#All],[DESCRIPCION]],MObra[[#All],[UN]],,0),"")</f>
        <v/>
      </c>
      <c r="D266" s="31"/>
      <c r="E266" s="32" t="str">
        <f>IFERROR(_xlfn.XLOOKUP($B266,MObra[DESCRIPCION],MObra[VALOR UNIT],,0),"")</f>
        <v/>
      </c>
      <c r="F266" s="33"/>
      <c r="G266" s="34" t="str">
        <f>IFERROR(IF(F266&gt;=0,D266*E266*(1+F266/100),ABS(D266*E266/F266)),"")</f>
        <v/>
      </c>
      <c r="H266" s="43" t="str">
        <f>IFERROR(G266*E249,"")</f>
        <v/>
      </c>
    </row>
    <row r="267" spans="1:11" ht="13.15" thickBot="1">
      <c r="A267" s="35"/>
      <c r="B267" s="36"/>
      <c r="C267" s="37" t="str">
        <f t="array" ref="C267">IFERROR(_xlfn.XLOOKUP(B267,MObra[[#All],[DESCRIPCION]],MObra[[#All],[UN]],,0),"")</f>
        <v/>
      </c>
      <c r="D267" s="38"/>
      <c r="E267" s="39" t="str">
        <f>IFERROR(_xlfn.XLOOKUP($B267,MObra[DESCRIPCION],MObra[VALOR UNIT],,0),"")</f>
        <v/>
      </c>
      <c r="F267" s="40"/>
      <c r="G267" s="41" t="str">
        <f>IFERROR(IF(F267&gt;=0,D267*E267*(1+F267/100),ABS(D267*E267/F267)),"")</f>
        <v/>
      </c>
      <c r="H267" s="42" t="str">
        <f>IFERROR(G267*E249,"")</f>
        <v/>
      </c>
    </row>
    <row r="268" spans="1:11" ht="13.5" thickTop="1" thickBot="1"/>
    <row r="269" spans="1:11" ht="13.5" thickTop="1" thickBot="1">
      <c r="A269" s="6" t="s">
        <v>903</v>
      </c>
      <c r="B269" s="7" t="str">
        <f>VLOOKUP($A269,Presupuesto!$A:$D,2,FALSE())</f>
        <v>Breaker para tablero de distribución. Certificación RETIE</v>
      </c>
      <c r="C269" s="8" t="str">
        <f>VLOOKUP($A269,Presupuesto!$A:$D,3,FALSE())</f>
        <v>Un</v>
      </c>
      <c r="D269" s="9"/>
      <c r="E269" s="10">
        <f>VLOOKUP($A269,Presupuesto!$A:$D,4,FALSE())</f>
        <v>0</v>
      </c>
      <c r="F269" s="11" t="s">
        <v>2589</v>
      </c>
      <c r="G269" s="12">
        <f>SUM(G271:G287)/2</f>
        <v>35459.495119912506</v>
      </c>
      <c r="H269" s="13">
        <f>ROUND(SUM(H271:H287),0)/2</f>
        <v>0</v>
      </c>
      <c r="I269" s="10">
        <f>VLOOKUP(A269,Presupuesto!$A:$F,6,0)</f>
        <v>0</v>
      </c>
      <c r="J269" s="10">
        <f>+H269-I269</f>
        <v>0</v>
      </c>
      <c r="K269" s="46">
        <f>+H269-G269*E269</f>
        <v>0</v>
      </c>
    </row>
    <row r="270" spans="1:11">
      <c r="A270" s="14"/>
      <c r="B270" s="15" t="s">
        <v>2586</v>
      </c>
      <c r="C270" s="15" t="s">
        <v>5</v>
      </c>
      <c r="D270" s="16" t="s">
        <v>6</v>
      </c>
      <c r="E270" s="17" t="s">
        <v>7</v>
      </c>
      <c r="F270" s="18" t="s">
        <v>3728</v>
      </c>
      <c r="G270" s="19" t="s">
        <v>3729</v>
      </c>
      <c r="H270" s="20" t="s">
        <v>3797</v>
      </c>
    </row>
    <row r="271" spans="1:11">
      <c r="A271" s="21"/>
      <c r="B271" s="22" t="s">
        <v>3730</v>
      </c>
      <c r="C271" s="23"/>
      <c r="D271" s="24"/>
      <c r="E271" s="25"/>
      <c r="F271" s="26"/>
      <c r="G271" s="27">
        <f>SUM(G272:G276)</f>
        <v>17731.350000000002</v>
      </c>
      <c r="H271" s="27">
        <f>IFERROR(G271*E269,"")</f>
        <v>0</v>
      </c>
    </row>
    <row r="272" spans="1:11">
      <c r="A272" s="28"/>
      <c r="B272" s="29" t="s">
        <v>2763</v>
      </c>
      <c r="C272" s="30" t="str">
        <f>IFERROR(_xlfn.XLOOKUP(B272,Insumo[DESCRIPCION],Insumo[UND],,0),"")</f>
        <v>Un</v>
      </c>
      <c r="D272" s="31">
        <v>1</v>
      </c>
      <c r="E272" s="32">
        <f>IFERROR(_xlfn.XLOOKUP($B272,Insumo[DESCRIPCION],Insumo[VALOR],,0),"")</f>
        <v>17731.350000000002</v>
      </c>
      <c r="F272" s="33"/>
      <c r="G272" s="34">
        <f>IFERROR(IF(F272&gt;=0,D272*E272*(1+F272/100),ABS(D272*E272/F272)),"")</f>
        <v>17731.350000000002</v>
      </c>
      <c r="H272" s="43">
        <f>IFERROR(G272*E269,"")</f>
        <v>0</v>
      </c>
    </row>
    <row r="273" spans="1:8">
      <c r="A273" s="28"/>
      <c r="B273" s="29"/>
      <c r="C273" s="30" t="str">
        <f>IFERROR(_xlfn.XLOOKUP(B273,Insumo[DESCRIPCION],Insumo[UND],,0),"")</f>
        <v/>
      </c>
      <c r="D273" s="31"/>
      <c r="E273" s="32" t="str">
        <f>IFERROR(_xlfn.XLOOKUP($B273,Insumo[DESCRIPCION],Insumo[VALOR],,0),"")</f>
        <v/>
      </c>
      <c r="F273" s="33"/>
      <c r="G273" s="34" t="str">
        <f>IFERROR(IF(F273&gt;=0,D273*E273*(1+F273/100),ABS(D273*E273/F273)),"")</f>
        <v/>
      </c>
      <c r="H273" s="43" t="str">
        <f>IFERROR(G273*E269,"")</f>
        <v/>
      </c>
    </row>
    <row r="274" spans="1:8">
      <c r="A274" s="28"/>
      <c r="B274" s="29"/>
      <c r="C274" s="30" t="str">
        <f>IFERROR(_xlfn.XLOOKUP(B274,Insumo[DESCRIPCION],Insumo[UND],,0),"")</f>
        <v/>
      </c>
      <c r="D274" s="31"/>
      <c r="E274" s="32" t="str">
        <f>IFERROR(_xlfn.XLOOKUP($B274,Insumo[DESCRIPCION],Insumo[VALOR],,0),"")</f>
        <v/>
      </c>
      <c r="F274" s="33"/>
      <c r="G274" s="34" t="str">
        <f>IFERROR(IF(F274&gt;=0,D274*E274*(1+F274/100),ABS(D274*E274/F274)),"")</f>
        <v/>
      </c>
      <c r="H274" s="43" t="str">
        <f>IFERROR(G274*E269,"")</f>
        <v/>
      </c>
    </row>
    <row r="275" spans="1:8">
      <c r="A275" s="28"/>
      <c r="B275" s="29"/>
      <c r="C275" s="30" t="str">
        <f>IFERROR(_xlfn.XLOOKUP(B275,Insumo[DESCRIPCION],Insumo[UND],,0),"")</f>
        <v/>
      </c>
      <c r="D275" s="31"/>
      <c r="E275" s="32" t="str">
        <f>IFERROR(_xlfn.XLOOKUP($B275,Insumo[DESCRIPCION],Insumo[VALOR],,0),"")</f>
        <v/>
      </c>
      <c r="F275" s="33"/>
      <c r="G275" s="34" t="str">
        <f>IFERROR(IF(F275&gt;=0,D275*E275*(1+F275/100),ABS(D275*E275/F275)),"")</f>
        <v/>
      </c>
      <c r="H275" s="43" t="str">
        <f>IFERROR(G275*E269,"")</f>
        <v/>
      </c>
    </row>
    <row r="276" spans="1:8">
      <c r="A276" s="28"/>
      <c r="B276" s="29"/>
      <c r="C276" s="30" t="str">
        <f>IFERROR(_xlfn.XLOOKUP(B276,Insumo[DESCRIPCION],Insumo[UND],,0),"")</f>
        <v/>
      </c>
      <c r="D276" s="31"/>
      <c r="E276" s="32" t="str">
        <f>IFERROR(_xlfn.XLOOKUP($B276,Insumo[DESCRIPCION],Insumo[VALOR],,0),"")</f>
        <v/>
      </c>
      <c r="F276" s="33"/>
      <c r="G276" s="34" t="str">
        <f>IFERROR(IF(F276&gt;=0,D276*E276*(1+F276/100),ABS(D276*E276/F276)),"")</f>
        <v/>
      </c>
      <c r="H276" s="43" t="str">
        <f>IFERROR(G276*E269,"")</f>
        <v/>
      </c>
    </row>
    <row r="277" spans="1:8">
      <c r="A277" s="21"/>
      <c r="B277" s="22" t="s">
        <v>3731</v>
      </c>
      <c r="C277" s="23"/>
      <c r="D277" s="24"/>
      <c r="E277" s="25"/>
      <c r="F277" s="26"/>
      <c r="G277" s="27">
        <f>SUM(G278:G280)</f>
        <v>844.19738666250021</v>
      </c>
      <c r="H277" s="44">
        <f>G277*E269</f>
        <v>0</v>
      </c>
    </row>
    <row r="278" spans="1:8">
      <c r="A278" s="28"/>
      <c r="B278" s="29" t="s">
        <v>3626</v>
      </c>
      <c r="C278" s="30" t="str">
        <f>IFERROR(_xlfn.XLOOKUP(B278,Equipo[DESCRIPCION],Equipo[UND],,0),"")</f>
        <v>%MO</v>
      </c>
      <c r="D278" s="31">
        <v>0.05</v>
      </c>
      <c r="E278" s="32">
        <f>IF(C278="%MO",G284,IFERROR(_xlfn.XLOOKUP($B278,Equipo[DESCRIPCION],Equipo[VALOR],,0),""))</f>
        <v>16883.947733250003</v>
      </c>
      <c r="F278" s="33"/>
      <c r="G278" s="34">
        <f>IFERROR(IF(F278&gt;=0,D278*E278*(1+F278/100),ABS(D278*E278/F278)),"")</f>
        <v>844.19738666250021</v>
      </c>
      <c r="H278" s="43">
        <f>IFERROR(G278*E269,"")</f>
        <v>0</v>
      </c>
    </row>
    <row r="279" spans="1:8">
      <c r="A279" s="28"/>
      <c r="B279" s="29"/>
      <c r="C279" s="30" t="str">
        <f>IFERROR(_xlfn.XLOOKUP(B279,Equipo[DESCRIPCION],Equipo[UND],,0),"")</f>
        <v/>
      </c>
      <c r="D279" s="31"/>
      <c r="E279" s="32" t="str">
        <f>IF(C279="%MO",G284,IFERROR(_xlfn.XLOOKUP($B279,Equipo[DESCRIPCION],Equipo[VALOR],,0),""))</f>
        <v/>
      </c>
      <c r="F279" s="33"/>
      <c r="G279" s="34" t="str">
        <f>IFERROR(IF(F279&gt;=0,D279*E279*(1+F279/100),ABS(D279*E279/F279)),"")</f>
        <v/>
      </c>
      <c r="H279" s="43" t="str">
        <f>IFERROR(G279*E269,"")</f>
        <v/>
      </c>
    </row>
    <row r="280" spans="1:8">
      <c r="A280" s="28"/>
      <c r="B280" s="29"/>
      <c r="C280" s="30" t="str">
        <f>IFERROR(_xlfn.XLOOKUP(B280,Equipo[DESCRIPCION],Equipo[UND],,0),"")</f>
        <v/>
      </c>
      <c r="D280" s="31"/>
      <c r="E280" s="32" t="str">
        <f>IF(C280="%MO",G284,IFERROR(_xlfn.XLOOKUP($B280,Equipo[DESCRIPCION],Equipo[VALOR],,0),""))</f>
        <v/>
      </c>
      <c r="F280" s="33"/>
      <c r="G280" s="34" t="str">
        <f>IFERROR(IF(F280&gt;=0,D280*E280*(1+F280/100),ABS(D280*E280/F280)),"")</f>
        <v/>
      </c>
      <c r="H280" s="43" t="str">
        <f>IFERROR(G280*E269,"")</f>
        <v/>
      </c>
    </row>
    <row r="281" spans="1:8">
      <c r="A281" s="21"/>
      <c r="B281" s="22" t="s">
        <v>2533</v>
      </c>
      <c r="C281" s="23"/>
      <c r="D281" s="24"/>
      <c r="E281" s="25"/>
      <c r="F281" s="26"/>
      <c r="G281" s="27">
        <f>SUM(G282:G283)</f>
        <v>0</v>
      </c>
      <c r="H281" s="44">
        <f>G281*E269</f>
        <v>0</v>
      </c>
    </row>
    <row r="282" spans="1:8">
      <c r="A282" s="28"/>
      <c r="B282" s="29"/>
      <c r="C282" s="30" t="str">
        <f>IFERROR(_xlfn.XLOOKUP(B282,Transporte[DESCRIPCION],Transporte[UND],,0),"")</f>
        <v/>
      </c>
      <c r="D282" s="31"/>
      <c r="E282" s="32" t="str">
        <f>IFERROR(_xlfn.XLOOKUP($B282,Transporte[DESCRIPCION],Transporte[VALOR],,0),"")</f>
        <v/>
      </c>
      <c r="F282" s="33"/>
      <c r="G282" s="34" t="str">
        <f>IFERROR(IF(F282&gt;=0,D282*E282*(1+F282/100),ABS(D282*E282/F282)),"")</f>
        <v/>
      </c>
      <c r="H282" s="43" t="str">
        <f>IFERROR(G282*E269,"")</f>
        <v/>
      </c>
    </row>
    <row r="283" spans="1:8">
      <c r="A283" s="28"/>
      <c r="B283" s="29"/>
      <c r="C283" s="30" t="str">
        <f>IFERROR(_xlfn.XLOOKUP(B283,Transporte[DESCRIPCION],Transporte[UND],,0),"")</f>
        <v/>
      </c>
      <c r="D283" s="31"/>
      <c r="E283" s="32" t="str">
        <f>IFERROR(_xlfn.XLOOKUP($B283,Transporte[DESCRIPCION],Transporte[VALOR],,0),"")</f>
        <v/>
      </c>
      <c r="F283" s="33"/>
      <c r="G283" s="34" t="str">
        <f>IFERROR(IF(F283&gt;=0,D283*E283*(1+F283/100),ABS(D283*E283/F283)),"")</f>
        <v/>
      </c>
      <c r="H283" s="43" t="str">
        <f>IFERROR(G283*E269,"")</f>
        <v/>
      </c>
    </row>
    <row r="284" spans="1:8">
      <c r="A284" s="21"/>
      <c r="B284" s="22" t="s">
        <v>3732</v>
      </c>
      <c r="C284" s="23"/>
      <c r="D284" s="24"/>
      <c r="E284" s="25"/>
      <c r="F284" s="26"/>
      <c r="G284" s="27">
        <f>SUM(G285:G287)</f>
        <v>16883.947733250003</v>
      </c>
      <c r="H284" s="44">
        <f>G284*E269</f>
        <v>0</v>
      </c>
    </row>
    <row r="285" spans="1:8">
      <c r="A285" s="28"/>
      <c r="B285" s="29" t="s">
        <v>3715</v>
      </c>
      <c r="C285" s="30" t="str">
        <f>IFERROR(_xlfn.XLOOKUP(B285,MObra[DESCRIPCION],MObra[UN],,0),"")</f>
        <v>día</v>
      </c>
      <c r="D285" s="31">
        <v>1</v>
      </c>
      <c r="E285" s="32">
        <f>IFERROR(_xlfn.XLOOKUP($B285,MObra[DESCRIPCION],MObra[VALOR UNIT],,0),"")</f>
        <v>337678.95466500008</v>
      </c>
      <c r="F285" s="33">
        <v>-20</v>
      </c>
      <c r="G285" s="34">
        <f>IFERROR(IF(F285&gt;=0,D285*E285*(1+F285/100),ABS(D285*E285/F285)),"")</f>
        <v>16883.947733250003</v>
      </c>
      <c r="H285" s="43">
        <f>IFERROR(G285*E269,"")</f>
        <v>0</v>
      </c>
    </row>
    <row r="286" spans="1:8">
      <c r="A286" s="28"/>
      <c r="B286" s="29"/>
      <c r="C286" s="30" t="str">
        <f t="array" ref="C286">IFERROR(_xlfn.XLOOKUP(B286,MObra[[#All],[DESCRIPCION]],MObra[[#All],[UN]],,0),"")</f>
        <v/>
      </c>
      <c r="D286" s="31"/>
      <c r="E286" s="32" t="str">
        <f>IFERROR(_xlfn.XLOOKUP($B286,MObra[DESCRIPCION],MObra[VALOR UNIT],,0),"")</f>
        <v/>
      </c>
      <c r="F286" s="33"/>
      <c r="G286" s="34" t="str">
        <f>IFERROR(IF(F286&gt;=0,D286*E286*(1+F286/100),ABS(D286*E286/F286)),"")</f>
        <v/>
      </c>
      <c r="H286" s="43" t="str">
        <f>IFERROR(G286*E269,"")</f>
        <v/>
      </c>
    </row>
    <row r="287" spans="1:8">
      <c r="A287" s="35"/>
      <c r="B287" s="36"/>
      <c r="C287" s="37" t="str">
        <f t="array" ref="C287">IFERROR(_xlfn.XLOOKUP(B287,MObra[[#All],[DESCRIPCION]],MObra[[#All],[UN]],,0),"")</f>
        <v/>
      </c>
      <c r="D287" s="38"/>
      <c r="E287" s="39" t="str">
        <f>IFERROR(_xlfn.XLOOKUP($B287,MObra[DESCRIPCION],MObra[VALOR UNIT],,0),"")</f>
        <v/>
      </c>
      <c r="F287" s="40"/>
      <c r="G287" s="41" t="str">
        <f>IFERROR(IF(F287&gt;=0,D287*E287*(1+F287/100),ABS(D287*E287/F287)),"")</f>
        <v/>
      </c>
      <c r="H287" s="42" t="str">
        <f>IFERROR(G287*E269,"")</f>
        <v/>
      </c>
    </row>
    <row r="289" spans="1:11">
      <c r="A289" s="6" t="s">
        <v>905</v>
      </c>
      <c r="B289" s="7" t="str">
        <f>VLOOKUP($A289,Presupuesto!$A:$D,2,FALSE())</f>
        <v>Caja de paso y/o empalmes 4X2" Radwelt, salidas en 1/2" más accesorios</v>
      </c>
      <c r="C289" s="8" t="str">
        <f>VLOOKUP($A289,Presupuesto!$A:$D,3,FALSE())</f>
        <v>Un</v>
      </c>
      <c r="D289" s="9"/>
      <c r="E289" s="10">
        <f>VLOOKUP($A289,Presupuesto!$A:$D,4,FALSE())</f>
        <v>0</v>
      </c>
      <c r="F289" s="11" t="s">
        <v>2589</v>
      </c>
      <c r="G289" s="12">
        <f>SUM(G291:G307)/2</f>
        <v>44956.102517201471</v>
      </c>
      <c r="H289" s="13">
        <f>ROUND(SUM(H291:H307),0)/2</f>
        <v>0</v>
      </c>
      <c r="I289" s="10">
        <f>VLOOKUP(A289,Presupuesto!$A:$F,6,0)</f>
        <v>0</v>
      </c>
      <c r="J289" s="10">
        <f>+H289-I289</f>
        <v>0</v>
      </c>
      <c r="K289" s="46">
        <f>+H289-G289*E289</f>
        <v>0</v>
      </c>
    </row>
    <row r="290" spans="1:11">
      <c r="A290" s="14"/>
      <c r="B290" s="15" t="s">
        <v>2586</v>
      </c>
      <c r="C290" s="15" t="s">
        <v>5</v>
      </c>
      <c r="D290" s="16" t="s">
        <v>6</v>
      </c>
      <c r="E290" s="17" t="s">
        <v>7</v>
      </c>
      <c r="F290" s="18" t="s">
        <v>3728</v>
      </c>
      <c r="G290" s="19" t="s">
        <v>3729</v>
      </c>
      <c r="H290" s="20" t="s">
        <v>3797</v>
      </c>
    </row>
    <row r="291" spans="1:11">
      <c r="A291" s="21"/>
      <c r="B291" s="22" t="s">
        <v>3730</v>
      </c>
      <c r="C291" s="23"/>
      <c r="D291" s="24"/>
      <c r="E291" s="25"/>
      <c r="F291" s="26"/>
      <c r="G291" s="27">
        <f>SUM(G292:G296)</f>
        <v>34130.512500000004</v>
      </c>
      <c r="H291" s="27">
        <f>IFERROR(G291*E289,"")</f>
        <v>0</v>
      </c>
    </row>
    <row r="292" spans="1:11">
      <c r="A292" s="28"/>
      <c r="B292" s="29" t="s">
        <v>2801</v>
      </c>
      <c r="C292" s="30" t="str">
        <f>IFERROR(_xlfn.XLOOKUP(B292,Insumo[DESCRIPCION],Insumo[UND],,0),"")</f>
        <v>Un</v>
      </c>
      <c r="D292" s="31">
        <v>1</v>
      </c>
      <c r="E292" s="32">
        <f>IFERROR(_xlfn.XLOOKUP($B292,Insumo[DESCRIPCION],Insumo[VALOR],,0),"")</f>
        <v>22152.9</v>
      </c>
      <c r="F292" s="33"/>
      <c r="G292" s="34">
        <f>IFERROR(IF(F292&gt;=0,D292*E292*(1+F292/100),ABS(D292*E292/F292)),"")</f>
        <v>22152.9</v>
      </c>
      <c r="H292" s="43">
        <f>IFERROR(G292*E289,"")</f>
        <v>0</v>
      </c>
    </row>
    <row r="293" spans="1:11">
      <c r="A293" s="28"/>
      <c r="B293" s="29" t="s">
        <v>2833</v>
      </c>
      <c r="C293" s="30" t="str">
        <f>IFERROR(_xlfn.XLOOKUP(B293,Insumo[DESCRIPCION],Insumo[UND],,0),"")</f>
        <v>Un</v>
      </c>
      <c r="D293" s="31">
        <v>2</v>
      </c>
      <c r="E293" s="32">
        <f>IFERROR(_xlfn.XLOOKUP($B293,Insumo[DESCRIPCION],Insumo[VALOR],,0),"")</f>
        <v>682.5</v>
      </c>
      <c r="F293" s="33"/>
      <c r="G293" s="34">
        <f>IFERROR(IF(F293&gt;=0,D293*E293*(1+F293/100),ABS(D293*E293/F293)),"")</f>
        <v>1365</v>
      </c>
      <c r="H293" s="43">
        <f>IFERROR(G293*E289,"")</f>
        <v>0</v>
      </c>
    </row>
    <row r="294" spans="1:11">
      <c r="A294" s="28"/>
      <c r="B294" s="29" t="s">
        <v>3363</v>
      </c>
      <c r="C294" s="30" t="str">
        <f>IFERROR(_xlfn.XLOOKUP(B294,Insumo[DESCRIPCION],Insumo[UND],,0),"")</f>
        <v>Un</v>
      </c>
      <c r="D294" s="31">
        <v>1</v>
      </c>
      <c r="E294" s="32">
        <f>IFERROR(_xlfn.XLOOKUP($B294,Insumo[DESCRIPCION],Insumo[VALOR],,0),"")</f>
        <v>5604.9000000000005</v>
      </c>
      <c r="F294" s="33"/>
      <c r="G294" s="34">
        <f>IFERROR(IF(F294&gt;=0,D294*E294*(1+F294/100),ABS(D294*E294/F294)),"")</f>
        <v>5604.9000000000005</v>
      </c>
      <c r="H294" s="43">
        <f>IFERROR(G294*E289,"")</f>
        <v>0</v>
      </c>
    </row>
    <row r="295" spans="1:11">
      <c r="A295" s="28"/>
      <c r="B295" s="29" t="s">
        <v>2888</v>
      </c>
      <c r="C295" s="30" t="str">
        <f>IFERROR(_xlfn.XLOOKUP(B295,Insumo[DESCRIPCION],Insumo[UND],,0),"")</f>
        <v>Un</v>
      </c>
      <c r="D295" s="31">
        <v>3</v>
      </c>
      <c r="E295" s="32">
        <f>IFERROR(_xlfn.XLOOKUP($B295,Insumo[DESCRIPCION],Insumo[VALOR],,0),"")</f>
        <v>1648.5</v>
      </c>
      <c r="F295" s="33"/>
      <c r="G295" s="34">
        <f>IFERROR(IF(F295&gt;=0,D295*E295*(1+F295/100),ABS(D295*E295/F295)),"")</f>
        <v>4945.5</v>
      </c>
      <c r="H295" s="43">
        <f>IFERROR(G295*E289,"")</f>
        <v>0</v>
      </c>
    </row>
    <row r="296" spans="1:11">
      <c r="A296" s="28"/>
      <c r="B296" s="29" t="s">
        <v>2843</v>
      </c>
      <c r="C296" s="30" t="str">
        <f>IFERROR(_xlfn.XLOOKUP(B296,Insumo[DESCRIPCION],Insumo[UND],,0),"")</f>
        <v xml:space="preserve"> M </v>
      </c>
      <c r="D296" s="31">
        <v>0.05</v>
      </c>
      <c r="E296" s="32">
        <f>IFERROR(_xlfn.XLOOKUP($B296,Insumo[DESCRIPCION],Insumo[VALOR],,0),"")</f>
        <v>1244.25</v>
      </c>
      <c r="F296" s="33"/>
      <c r="G296" s="34">
        <f>IFERROR(IF(F296&gt;=0,D296*E296*(1+F296/100),ABS(D296*E296/F296)),"")</f>
        <v>62.212500000000006</v>
      </c>
      <c r="H296" s="43">
        <f>IFERROR(G296*E289,"")</f>
        <v>0</v>
      </c>
    </row>
    <row r="297" spans="1:11">
      <c r="A297" s="21"/>
      <c r="B297" s="22" t="s">
        <v>3731</v>
      </c>
      <c r="C297" s="23"/>
      <c r="D297" s="24"/>
      <c r="E297" s="25"/>
      <c r="F297" s="26"/>
      <c r="G297" s="27">
        <f>SUM(G298:G300)</f>
        <v>893.85605646617682</v>
      </c>
      <c r="H297" s="44">
        <f>G297*E289</f>
        <v>0</v>
      </c>
    </row>
    <row r="298" spans="1:11">
      <c r="A298" s="28"/>
      <c r="B298" s="29" t="s">
        <v>3570</v>
      </c>
      <c r="C298" s="30" t="str">
        <f>IFERROR(_xlfn.XLOOKUP(B298,Equipo[DESCRIPCION],Equipo[UND],,0),"")</f>
        <v>%MO</v>
      </c>
      <c r="D298" s="31">
        <v>0.04</v>
      </c>
      <c r="E298" s="32">
        <f>IF(C298="%MO",G304,IFERROR(_xlfn.XLOOKUP($B298,Equipo[DESCRIPCION],Equipo[VALOR],,0),""))</f>
        <v>9931.7339607352969</v>
      </c>
      <c r="F298" s="33"/>
      <c r="G298" s="34">
        <f>IFERROR(IF(F298&gt;=0,D298*E298*(1+F298/100),ABS(D298*E298/F298)),"")</f>
        <v>397.26935842941191</v>
      </c>
      <c r="H298" s="43">
        <f>IFERROR(G298*E289,"")</f>
        <v>0</v>
      </c>
    </row>
    <row r="299" spans="1:11">
      <c r="A299" s="28"/>
      <c r="B299" s="29" t="s">
        <v>3626</v>
      </c>
      <c r="C299" s="30" t="str">
        <f>IFERROR(_xlfn.XLOOKUP(B299,Equipo[DESCRIPCION],Equipo[UND],,0),"")</f>
        <v>%MO</v>
      </c>
      <c r="D299" s="31">
        <v>0.05</v>
      </c>
      <c r="E299" s="32">
        <f>IF(C299="%MO",G304,IFERROR(_xlfn.XLOOKUP($B299,Equipo[DESCRIPCION],Equipo[VALOR],,0),""))</f>
        <v>9931.7339607352969</v>
      </c>
      <c r="F299" s="33"/>
      <c r="G299" s="34">
        <f>IFERROR(IF(F299&gt;=0,D299*E299*(1+F299/100),ABS(D299*E299/F299)),"")</f>
        <v>496.58669803676486</v>
      </c>
      <c r="H299" s="43">
        <f>IFERROR(G299*E289,"")</f>
        <v>0</v>
      </c>
    </row>
    <row r="300" spans="1:11">
      <c r="A300" s="28"/>
      <c r="B300" s="29"/>
      <c r="C300" s="30" t="str">
        <f>IFERROR(_xlfn.XLOOKUP(B300,Equipo[DESCRIPCION],Equipo[UND],,0),"")</f>
        <v/>
      </c>
      <c r="D300" s="31"/>
      <c r="E300" s="32" t="str">
        <f>IF(C300="%MO",G304,IFERROR(_xlfn.XLOOKUP($B300,Equipo[DESCRIPCION],Equipo[VALOR],,0),""))</f>
        <v/>
      </c>
      <c r="F300" s="33"/>
      <c r="G300" s="34" t="str">
        <f>IFERROR(IF(F300&gt;=0,D300*E300*(1+F300/100),ABS(D300*E300/F300)),"")</f>
        <v/>
      </c>
      <c r="H300" s="43" t="str">
        <f>IFERROR(G300*E289,"")</f>
        <v/>
      </c>
    </row>
    <row r="301" spans="1:11">
      <c r="A301" s="21"/>
      <c r="B301" s="22" t="s">
        <v>2533</v>
      </c>
      <c r="C301" s="23"/>
      <c r="D301" s="24"/>
      <c r="E301" s="25"/>
      <c r="F301" s="26"/>
      <c r="G301" s="27">
        <f>SUM(G302:G303)</f>
        <v>0</v>
      </c>
      <c r="H301" s="44">
        <f>G301*E289</f>
        <v>0</v>
      </c>
    </row>
    <row r="302" spans="1:11">
      <c r="A302" s="28"/>
      <c r="B302" s="29"/>
      <c r="C302" s="30" t="str">
        <f>IFERROR(_xlfn.XLOOKUP(B302,Transporte[DESCRIPCION],Transporte[UND],,0),"")</f>
        <v/>
      </c>
      <c r="D302" s="31"/>
      <c r="E302" s="32" t="str">
        <f>IFERROR(_xlfn.XLOOKUP($B302,Transporte[DESCRIPCION],Transporte[VALOR],,0),"")</f>
        <v/>
      </c>
      <c r="F302" s="33"/>
      <c r="G302" s="34" t="str">
        <f>IFERROR(IF(F302&gt;=0,D302*E302*(1+F302/100),ABS(D302*E302/F302)),"")</f>
        <v/>
      </c>
      <c r="H302" s="43" t="str">
        <f>IFERROR(G302*E289,"")</f>
        <v/>
      </c>
    </row>
    <row r="303" spans="1:11">
      <c r="A303" s="28"/>
      <c r="B303" s="29"/>
      <c r="C303" s="30" t="str">
        <f>IFERROR(_xlfn.XLOOKUP(B303,Transporte[DESCRIPCION],Transporte[UND],,0),"")</f>
        <v/>
      </c>
      <c r="D303" s="31"/>
      <c r="E303" s="32" t="str">
        <f>IFERROR(_xlfn.XLOOKUP($B303,Transporte[DESCRIPCION],Transporte[VALOR],,0),"")</f>
        <v/>
      </c>
      <c r="F303" s="33"/>
      <c r="G303" s="34" t="str">
        <f>IFERROR(IF(F303&gt;=0,D303*E303*(1+F303/100),ABS(D303*E303/F303)),"")</f>
        <v/>
      </c>
      <c r="H303" s="43" t="str">
        <f>IFERROR(G303*E289,"")</f>
        <v/>
      </c>
    </row>
    <row r="304" spans="1:11">
      <c r="A304" s="21"/>
      <c r="B304" s="22" t="s">
        <v>3732</v>
      </c>
      <c r="C304" s="23"/>
      <c r="D304" s="24"/>
      <c r="E304" s="25"/>
      <c r="F304" s="26"/>
      <c r="G304" s="27">
        <f>SUM(G305:G307)</f>
        <v>9931.7339607352969</v>
      </c>
      <c r="H304" s="44">
        <f>G304*E289</f>
        <v>0</v>
      </c>
    </row>
    <row r="305" spans="1:11">
      <c r="A305" s="28"/>
      <c r="B305" s="29" t="s">
        <v>3715</v>
      </c>
      <c r="C305" s="30" t="str">
        <f>IFERROR(_xlfn.XLOOKUP(B305,MObra[DESCRIPCION],MObra[UN],,0),"")</f>
        <v>día</v>
      </c>
      <c r="D305" s="31">
        <v>1</v>
      </c>
      <c r="E305" s="32">
        <f>IFERROR(_xlfn.XLOOKUP($B305,MObra[DESCRIPCION],MObra[VALOR UNIT],,0),"")</f>
        <v>337678.95466500008</v>
      </c>
      <c r="F305" s="33">
        <v>-34</v>
      </c>
      <c r="G305" s="34">
        <f>IFERROR(IF(F305&gt;=0,D305*E305*(1+F305/100),ABS(D305*E305/F305)),"")</f>
        <v>9931.7339607352969</v>
      </c>
      <c r="H305" s="43">
        <f>IFERROR(G305*E289,"")</f>
        <v>0</v>
      </c>
    </row>
    <row r="306" spans="1:11">
      <c r="A306" s="28"/>
      <c r="B306" s="29"/>
      <c r="C306" s="30" t="str">
        <f t="array" ref="C306">IFERROR(_xlfn.XLOOKUP(B306,MObra[[#All],[DESCRIPCION]],MObra[[#All],[UN]],,0),"")</f>
        <v/>
      </c>
      <c r="D306" s="31"/>
      <c r="E306" s="32" t="str">
        <f>IFERROR(_xlfn.XLOOKUP($B306,MObra[DESCRIPCION],MObra[VALOR UNIT],,0),"")</f>
        <v/>
      </c>
      <c r="F306" s="33"/>
      <c r="G306" s="34" t="str">
        <f>IFERROR(IF(F306&gt;=0,D306*E306*(1+F306/100),ABS(D306*E306/F306)),"")</f>
        <v/>
      </c>
      <c r="H306" s="43" t="str">
        <f>IFERROR(G306*E289,"")</f>
        <v/>
      </c>
    </row>
    <row r="307" spans="1:11">
      <c r="A307" s="35"/>
      <c r="B307" s="36"/>
      <c r="C307" s="37" t="str">
        <f t="array" ref="C307">IFERROR(_xlfn.XLOOKUP(B307,MObra[[#All],[DESCRIPCION]],MObra[[#All],[UN]],,0),"")</f>
        <v/>
      </c>
      <c r="D307" s="38"/>
      <c r="E307" s="39" t="str">
        <f>IFERROR(_xlfn.XLOOKUP($B307,MObra[DESCRIPCION],MObra[VALOR UNIT],,0),"")</f>
        <v/>
      </c>
      <c r="F307" s="40"/>
      <c r="G307" s="41" t="str">
        <f>IFERROR(IF(F307&gt;=0,D307*E307*(1+F307/100),ABS(D307*E307/F307)),"")</f>
        <v/>
      </c>
      <c r="H307" s="42" t="str">
        <f>IFERROR(G307*E289,"")</f>
        <v/>
      </c>
    </row>
    <row r="309" spans="1:11">
      <c r="A309" s="6" t="s">
        <v>907</v>
      </c>
      <c r="B309" s="7" t="str">
        <f>VLOOKUP($A309,Presupuesto!$A:$D,2,FALSE())</f>
        <v>Caja de paso y/o empalmes 4X2" Radwelt, salidas en 3/4" mas accesorios</v>
      </c>
      <c r="C309" s="8" t="str">
        <f>VLOOKUP($A309,Presupuesto!$A:$D,3,FALSE())</f>
        <v>Un</v>
      </c>
      <c r="D309" s="9"/>
      <c r="E309" s="10">
        <f>VLOOKUP($A309,Presupuesto!$A:$D,4,FALSE())</f>
        <v>0</v>
      </c>
      <c r="F309" s="11" t="s">
        <v>2589</v>
      </c>
      <c r="G309" s="12">
        <f>SUM(G311:G327)/2</f>
        <v>52763.886966105558</v>
      </c>
      <c r="H309" s="13">
        <f>ROUND(SUM(H311:H327),0)/2</f>
        <v>0</v>
      </c>
      <c r="I309" s="10">
        <f>VLOOKUP(A309,Presupuesto!$A:$F,6,0)</f>
        <v>0</v>
      </c>
      <c r="J309" s="10">
        <f>+H309-I309</f>
        <v>0</v>
      </c>
      <c r="K309" s="46">
        <f>+H309-G309*E309</f>
        <v>0</v>
      </c>
    </row>
    <row r="310" spans="1:11">
      <c r="A310" s="14"/>
      <c r="B310" s="15" t="s">
        <v>2586</v>
      </c>
      <c r="C310" s="15" t="s">
        <v>5</v>
      </c>
      <c r="D310" s="16" t="s">
        <v>6</v>
      </c>
      <c r="E310" s="17" t="s">
        <v>7</v>
      </c>
      <c r="F310" s="18" t="s">
        <v>3728</v>
      </c>
      <c r="G310" s="19" t="s">
        <v>3729</v>
      </c>
      <c r="H310" s="20" t="s">
        <v>3797</v>
      </c>
    </row>
    <row r="311" spans="1:11">
      <c r="A311" s="21"/>
      <c r="B311" s="22" t="s">
        <v>3730</v>
      </c>
      <c r="C311" s="23"/>
      <c r="D311" s="24"/>
      <c r="E311" s="25"/>
      <c r="F311" s="26"/>
      <c r="G311" s="27">
        <f>SUM(G312:G316)</f>
        <v>39131.662500000006</v>
      </c>
      <c r="H311" s="27">
        <f>IFERROR(G311*E309,"")</f>
        <v>0</v>
      </c>
    </row>
    <row r="312" spans="1:11">
      <c r="A312" s="28"/>
      <c r="B312" s="29" t="s">
        <v>2802</v>
      </c>
      <c r="C312" s="30" t="str">
        <f>IFERROR(_xlfn.XLOOKUP(B312,Insumo[DESCRIPCION],Insumo[UND],,0),"")</f>
        <v>Un</v>
      </c>
      <c r="D312" s="31">
        <v>1</v>
      </c>
      <c r="E312" s="32">
        <f>IFERROR(_xlfn.XLOOKUP($B312,Insumo[DESCRIPCION],Insumo[VALOR],,0),"")</f>
        <v>27154.050000000003</v>
      </c>
      <c r="F312" s="33"/>
      <c r="G312" s="34">
        <f>IFERROR(IF(F312&gt;=0,D312*E312*(1+F312/100),ABS(D312*E312/F312)),"")</f>
        <v>27154.050000000003</v>
      </c>
      <c r="H312" s="43">
        <f>IFERROR(G312*E309,"")</f>
        <v>0</v>
      </c>
    </row>
    <row r="313" spans="1:11">
      <c r="A313" s="28"/>
      <c r="B313" s="29" t="s">
        <v>2833</v>
      </c>
      <c r="C313" s="30" t="str">
        <f>IFERROR(_xlfn.XLOOKUP(B313,Insumo[DESCRIPCION],Insumo[UND],,0),"")</f>
        <v>Un</v>
      </c>
      <c r="D313" s="31">
        <v>2</v>
      </c>
      <c r="E313" s="32">
        <f>IFERROR(_xlfn.XLOOKUP($B313,Insumo[DESCRIPCION],Insumo[VALOR],,0),"")</f>
        <v>682.5</v>
      </c>
      <c r="F313" s="33"/>
      <c r="G313" s="34">
        <f>IFERROR(IF(F313&gt;=0,D313*E313*(1+F313/100),ABS(D313*E313/F313)),"")</f>
        <v>1365</v>
      </c>
      <c r="H313" s="43">
        <f>IFERROR(G313*E309,"")</f>
        <v>0</v>
      </c>
    </row>
    <row r="314" spans="1:11">
      <c r="A314" s="28"/>
      <c r="B314" s="29" t="s">
        <v>3363</v>
      </c>
      <c r="C314" s="30" t="str">
        <f>IFERROR(_xlfn.XLOOKUP(B314,Insumo[DESCRIPCION],Insumo[UND],,0),"")</f>
        <v>Un</v>
      </c>
      <c r="D314" s="31">
        <v>1</v>
      </c>
      <c r="E314" s="32">
        <f>IFERROR(_xlfn.XLOOKUP($B314,Insumo[DESCRIPCION],Insumo[VALOR],,0),"")</f>
        <v>5604.9000000000005</v>
      </c>
      <c r="F314" s="33"/>
      <c r="G314" s="34">
        <f>IFERROR(IF(F314&gt;=0,D314*E314*(1+F314/100),ABS(D314*E314/F314)),"")</f>
        <v>5604.9000000000005</v>
      </c>
      <c r="H314" s="43">
        <f>IFERROR(G314*E309,"")</f>
        <v>0</v>
      </c>
    </row>
    <row r="315" spans="1:11">
      <c r="A315" s="28"/>
      <c r="B315" s="29" t="s">
        <v>2888</v>
      </c>
      <c r="C315" s="30" t="str">
        <f>IFERROR(_xlfn.XLOOKUP(B315,Insumo[DESCRIPCION],Insumo[UND],,0),"")</f>
        <v>Un</v>
      </c>
      <c r="D315" s="31">
        <v>3</v>
      </c>
      <c r="E315" s="32">
        <f>IFERROR(_xlfn.XLOOKUP($B315,Insumo[DESCRIPCION],Insumo[VALOR],,0),"")</f>
        <v>1648.5</v>
      </c>
      <c r="F315" s="33"/>
      <c r="G315" s="34">
        <f>IFERROR(IF(F315&gt;=0,D315*E315*(1+F315/100),ABS(D315*E315/F315)),"")</f>
        <v>4945.5</v>
      </c>
      <c r="H315" s="43">
        <f>IFERROR(G315*E309,"")</f>
        <v>0</v>
      </c>
    </row>
    <row r="316" spans="1:11">
      <c r="A316" s="28"/>
      <c r="B316" s="29" t="s">
        <v>2843</v>
      </c>
      <c r="C316" s="30" t="str">
        <f>IFERROR(_xlfn.XLOOKUP(B316,Insumo[DESCRIPCION],Insumo[UND],,0),"")</f>
        <v xml:space="preserve"> M </v>
      </c>
      <c r="D316" s="31">
        <v>0.05</v>
      </c>
      <c r="E316" s="32">
        <f>IFERROR(_xlfn.XLOOKUP($B316,Insumo[DESCRIPCION],Insumo[VALOR],,0),"")</f>
        <v>1244.25</v>
      </c>
      <c r="F316" s="33"/>
      <c r="G316" s="34">
        <f>IFERROR(IF(F316&gt;=0,D316*E316*(1+F316/100),ABS(D316*E316/F316)),"")</f>
        <v>62.212500000000006</v>
      </c>
      <c r="H316" s="43">
        <f>IFERROR(G316*E309,"")</f>
        <v>0</v>
      </c>
    </row>
    <row r="317" spans="1:11">
      <c r="A317" s="21"/>
      <c r="B317" s="22" t="s">
        <v>3731</v>
      </c>
      <c r="C317" s="23"/>
      <c r="D317" s="24"/>
      <c r="E317" s="25"/>
      <c r="F317" s="26"/>
      <c r="G317" s="27">
        <f>SUM(G318:G320)</f>
        <v>1125.5965155500003</v>
      </c>
      <c r="H317" s="44">
        <f>G317*E309</f>
        <v>0</v>
      </c>
    </row>
    <row r="318" spans="1:11">
      <c r="A318" s="28"/>
      <c r="B318" s="29" t="s">
        <v>3570</v>
      </c>
      <c r="C318" s="30" t="str">
        <f>IFERROR(_xlfn.XLOOKUP(B318,Equipo[DESCRIPCION],Equipo[UND],,0),"")</f>
        <v>%MO</v>
      </c>
      <c r="D318" s="31">
        <v>0.04</v>
      </c>
      <c r="E318" s="32">
        <f>IF(C318="%MO",G324,IFERROR(_xlfn.XLOOKUP($B318,Equipo[DESCRIPCION],Equipo[VALOR],,0),""))</f>
        <v>12506.627950555559</v>
      </c>
      <c r="F318" s="33"/>
      <c r="G318" s="34">
        <f>IFERROR(IF(F318&gt;=0,D318*E318*(1+F318/100),ABS(D318*E318/F318)),"")</f>
        <v>500.2651180222224</v>
      </c>
      <c r="H318" s="43">
        <f>IFERROR(G318*E309,"")</f>
        <v>0</v>
      </c>
    </row>
    <row r="319" spans="1:11">
      <c r="A319" s="28"/>
      <c r="B319" s="29" t="s">
        <v>3626</v>
      </c>
      <c r="C319" s="30" t="str">
        <f>IFERROR(_xlfn.XLOOKUP(B319,Equipo[DESCRIPCION],Equipo[UND],,0),"")</f>
        <v>%MO</v>
      </c>
      <c r="D319" s="31">
        <v>0.05</v>
      </c>
      <c r="E319" s="32">
        <f>IF(C319="%MO",G324,IFERROR(_xlfn.XLOOKUP($B319,Equipo[DESCRIPCION],Equipo[VALOR],,0),""))</f>
        <v>12506.627950555559</v>
      </c>
      <c r="F319" s="33"/>
      <c r="G319" s="34">
        <f>IFERROR(IF(F319&gt;=0,D319*E319*(1+F319/100),ABS(D319*E319/F319)),"")</f>
        <v>625.33139752777799</v>
      </c>
      <c r="H319" s="43">
        <f>IFERROR(G319*E309,"")</f>
        <v>0</v>
      </c>
    </row>
    <row r="320" spans="1:11">
      <c r="A320" s="28"/>
      <c r="B320" s="29"/>
      <c r="C320" s="30" t="str">
        <f>IFERROR(_xlfn.XLOOKUP(B320,Equipo[DESCRIPCION],Equipo[UND],,0),"")</f>
        <v/>
      </c>
      <c r="D320" s="31"/>
      <c r="E320" s="32" t="str">
        <f>IF(C320="%MO",G324,IFERROR(_xlfn.XLOOKUP($B320,Equipo[DESCRIPCION],Equipo[VALOR],,0),""))</f>
        <v/>
      </c>
      <c r="F320" s="33"/>
      <c r="G320" s="34" t="str">
        <f>IFERROR(IF(F320&gt;=0,D320*E320*(1+F320/100),ABS(D320*E320/F320)),"")</f>
        <v/>
      </c>
      <c r="H320" s="43" t="str">
        <f>IFERROR(G320*E309,"")</f>
        <v/>
      </c>
    </row>
    <row r="321" spans="1:11">
      <c r="A321" s="21"/>
      <c r="B321" s="22" t="s">
        <v>2533</v>
      </c>
      <c r="C321" s="23"/>
      <c r="D321" s="24"/>
      <c r="E321" s="25"/>
      <c r="F321" s="26"/>
      <c r="G321" s="27">
        <f>SUM(G322:G323)</f>
        <v>0</v>
      </c>
      <c r="H321" s="44">
        <f>G321*E309</f>
        <v>0</v>
      </c>
    </row>
    <row r="322" spans="1:11">
      <c r="A322" s="28"/>
      <c r="B322" s="29"/>
      <c r="C322" s="30" t="str">
        <f>IFERROR(_xlfn.XLOOKUP(B322,Transporte[DESCRIPCION],Transporte[UND],,0),"")</f>
        <v/>
      </c>
      <c r="D322" s="31"/>
      <c r="E322" s="32" t="str">
        <f>IFERROR(_xlfn.XLOOKUP($B322,Transporte[DESCRIPCION],Transporte[VALOR],,0),"")</f>
        <v/>
      </c>
      <c r="F322" s="33"/>
      <c r="G322" s="34" t="str">
        <f>IFERROR(IF(F322&gt;=0,D322*E322*(1+F322/100),ABS(D322*E322/F322)),"")</f>
        <v/>
      </c>
      <c r="H322" s="43" t="str">
        <f>IFERROR(G322*E309,"")</f>
        <v/>
      </c>
    </row>
    <row r="323" spans="1:11">
      <c r="A323" s="28"/>
      <c r="B323" s="29"/>
      <c r="C323" s="30" t="str">
        <f>IFERROR(_xlfn.XLOOKUP(B323,Transporte[DESCRIPCION],Transporte[UND],,0),"")</f>
        <v/>
      </c>
      <c r="D323" s="31"/>
      <c r="E323" s="32" t="str">
        <f>IFERROR(_xlfn.XLOOKUP($B323,Transporte[DESCRIPCION],Transporte[VALOR],,0),"")</f>
        <v/>
      </c>
      <c r="F323" s="33"/>
      <c r="G323" s="34" t="str">
        <f>IFERROR(IF(F323&gt;=0,D323*E323*(1+F323/100),ABS(D323*E323/F323)),"")</f>
        <v/>
      </c>
      <c r="H323" s="43" t="str">
        <f>IFERROR(G323*E309,"")</f>
        <v/>
      </c>
    </row>
    <row r="324" spans="1:11">
      <c r="A324" s="21"/>
      <c r="B324" s="22" t="s">
        <v>3732</v>
      </c>
      <c r="C324" s="23"/>
      <c r="D324" s="24"/>
      <c r="E324" s="25"/>
      <c r="F324" s="26"/>
      <c r="G324" s="27">
        <f>SUM(G325:G327)</f>
        <v>12506.627950555559</v>
      </c>
      <c r="H324" s="44">
        <f>G324*E309</f>
        <v>0</v>
      </c>
    </row>
    <row r="325" spans="1:11">
      <c r="A325" s="28"/>
      <c r="B325" s="29" t="s">
        <v>3715</v>
      </c>
      <c r="C325" s="30" t="str">
        <f>IFERROR(_xlfn.XLOOKUP(B325,MObra[DESCRIPCION],MObra[UN],,0),"")</f>
        <v>día</v>
      </c>
      <c r="D325" s="31">
        <v>1</v>
      </c>
      <c r="E325" s="32">
        <f>IFERROR(_xlfn.XLOOKUP($B325,MObra[DESCRIPCION],MObra[VALOR UNIT],,0),"")</f>
        <v>337678.95466500008</v>
      </c>
      <c r="F325" s="33">
        <v>-27</v>
      </c>
      <c r="G325" s="34">
        <f>IFERROR(IF(F325&gt;=0,D325*E325*(1+F325/100),ABS(D325*E325/F325)),"")</f>
        <v>12506.627950555559</v>
      </c>
      <c r="H325" s="43">
        <f>IFERROR(G325*E309,"")</f>
        <v>0</v>
      </c>
    </row>
    <row r="326" spans="1:11">
      <c r="A326" s="28"/>
      <c r="B326" s="29"/>
      <c r="C326" s="30" t="str">
        <f t="array" ref="C326">IFERROR(_xlfn.XLOOKUP(B326,MObra[[#All],[DESCRIPCION]],MObra[[#All],[UN]],,0),"")</f>
        <v/>
      </c>
      <c r="D326" s="31"/>
      <c r="E326" s="32" t="str">
        <f>IFERROR(_xlfn.XLOOKUP($B326,MObra[DESCRIPCION],MObra[VALOR UNIT],,0),"")</f>
        <v/>
      </c>
      <c r="F326" s="33"/>
      <c r="G326" s="34" t="str">
        <f>IFERROR(IF(F326&gt;=0,D326*E326*(1+F326/100),ABS(D326*E326/F326)),"")</f>
        <v/>
      </c>
      <c r="H326" s="43" t="str">
        <f>IFERROR(G326*E309,"")</f>
        <v/>
      </c>
    </row>
    <row r="327" spans="1:11">
      <c r="A327" s="35"/>
      <c r="B327" s="36"/>
      <c r="C327" s="37" t="str">
        <f t="array" ref="C327">IFERROR(_xlfn.XLOOKUP(B327,MObra[[#All],[DESCRIPCION]],MObra[[#All],[UN]],,0),"")</f>
        <v/>
      </c>
      <c r="D327" s="38"/>
      <c r="E327" s="39" t="str">
        <f>IFERROR(_xlfn.XLOOKUP($B327,MObra[DESCRIPCION],MObra[VALOR UNIT],,0),"")</f>
        <v/>
      </c>
      <c r="F327" s="40"/>
      <c r="G327" s="41" t="str">
        <f>IFERROR(IF(F327&gt;=0,D327*E327*(1+F327/100),ABS(D327*E327/F327)),"")</f>
        <v/>
      </c>
      <c r="H327" s="42" t="str">
        <f>IFERROR(G327*E309,"")</f>
        <v/>
      </c>
    </row>
    <row r="329" spans="1:11">
      <c r="A329" s="6" t="s">
        <v>909</v>
      </c>
      <c r="B329" s="7" t="str">
        <f>VLOOKUP($A329,Presupuesto!$A:$D,2,FALSE())</f>
        <v>Caja de paso y/o empalmes 4X4" Radwelt, salidas en 1/2" más accesorios</v>
      </c>
      <c r="C329" s="8" t="str">
        <f>VLOOKUP($A329,Presupuesto!$A:$D,3,FALSE())</f>
        <v>Un</v>
      </c>
      <c r="D329" s="9"/>
      <c r="E329" s="10">
        <f>VLOOKUP($A329,Presupuesto!$A:$D,4,FALSE())</f>
        <v>0</v>
      </c>
      <c r="F329" s="11" t="s">
        <v>2589</v>
      </c>
      <c r="G329" s="12">
        <f>SUM(G331:G347)/2</f>
        <v>58686.952517201469</v>
      </c>
      <c r="H329" s="13">
        <f>ROUND(SUM(H331:H347),0)/2</f>
        <v>0</v>
      </c>
      <c r="I329" s="10">
        <f>VLOOKUP(A329,Presupuesto!$A:$F,6,0)</f>
        <v>0</v>
      </c>
      <c r="J329" s="10">
        <f>+H329-I329</f>
        <v>0</v>
      </c>
      <c r="K329" s="46">
        <f>+H329-G329*E329</f>
        <v>0</v>
      </c>
    </row>
    <row r="330" spans="1:11">
      <c r="A330" s="14"/>
      <c r="B330" s="15" t="s">
        <v>2586</v>
      </c>
      <c r="C330" s="15" t="s">
        <v>5</v>
      </c>
      <c r="D330" s="16" t="s">
        <v>6</v>
      </c>
      <c r="E330" s="17" t="s">
        <v>7</v>
      </c>
      <c r="F330" s="18" t="s">
        <v>3728</v>
      </c>
      <c r="G330" s="19" t="s">
        <v>3729</v>
      </c>
      <c r="H330" s="20" t="s">
        <v>3797</v>
      </c>
    </row>
    <row r="331" spans="1:11">
      <c r="A331" s="21"/>
      <c r="B331" s="22" t="s">
        <v>3730</v>
      </c>
      <c r="C331" s="23"/>
      <c r="D331" s="24"/>
      <c r="E331" s="25"/>
      <c r="F331" s="26"/>
      <c r="G331" s="27">
        <f>SUM(G332:G336)</f>
        <v>47861.362500000003</v>
      </c>
      <c r="H331" s="27">
        <f>IFERROR(G331*E329,"")</f>
        <v>0</v>
      </c>
    </row>
    <row r="332" spans="1:11">
      <c r="A332" s="28"/>
      <c r="B332" s="29" t="s">
        <v>2803</v>
      </c>
      <c r="C332" s="30" t="str">
        <f>IFERROR(_xlfn.XLOOKUP(B332,Insumo[DESCRIPCION],Insumo[UND],,0),"")</f>
        <v>Un</v>
      </c>
      <c r="D332" s="31">
        <v>1</v>
      </c>
      <c r="E332" s="32">
        <f>IFERROR(_xlfn.XLOOKUP($B332,Insumo[DESCRIPCION],Insumo[VALOR],,0),"")</f>
        <v>35883.75</v>
      </c>
      <c r="F332" s="33"/>
      <c r="G332" s="34">
        <f>IFERROR(IF(F332&gt;=0,D332*E332*(1+F332/100),ABS(D332*E332/F332)),"")</f>
        <v>35883.75</v>
      </c>
      <c r="H332" s="43">
        <f>IFERROR(G332*E329,"")</f>
        <v>0</v>
      </c>
    </row>
    <row r="333" spans="1:11">
      <c r="A333" s="28"/>
      <c r="B333" s="29" t="s">
        <v>2833</v>
      </c>
      <c r="C333" s="30" t="str">
        <f>IFERROR(_xlfn.XLOOKUP(B333,Insumo[DESCRIPCION],Insumo[UND],,0),"")</f>
        <v>Un</v>
      </c>
      <c r="D333" s="31">
        <v>2</v>
      </c>
      <c r="E333" s="32">
        <f>IFERROR(_xlfn.XLOOKUP($B333,Insumo[DESCRIPCION],Insumo[VALOR],,0),"")</f>
        <v>682.5</v>
      </c>
      <c r="F333" s="33"/>
      <c r="G333" s="34">
        <f>IFERROR(IF(F333&gt;=0,D333*E333*(1+F333/100),ABS(D333*E333/F333)),"")</f>
        <v>1365</v>
      </c>
      <c r="H333" s="43">
        <f>IFERROR(G333*E329,"")</f>
        <v>0</v>
      </c>
    </row>
    <row r="334" spans="1:11">
      <c r="A334" s="28"/>
      <c r="B334" s="29" t="s">
        <v>3363</v>
      </c>
      <c r="C334" s="30" t="str">
        <f>IFERROR(_xlfn.XLOOKUP(B334,Insumo[DESCRIPCION],Insumo[UND],,0),"")</f>
        <v>Un</v>
      </c>
      <c r="D334" s="31">
        <v>1</v>
      </c>
      <c r="E334" s="32">
        <f>IFERROR(_xlfn.XLOOKUP($B334,Insumo[DESCRIPCION],Insumo[VALOR],,0),"")</f>
        <v>5604.9000000000005</v>
      </c>
      <c r="F334" s="33"/>
      <c r="G334" s="34">
        <f>IFERROR(IF(F334&gt;=0,D334*E334*(1+F334/100),ABS(D334*E334/F334)),"")</f>
        <v>5604.9000000000005</v>
      </c>
      <c r="H334" s="43">
        <f>IFERROR(G334*E329,"")</f>
        <v>0</v>
      </c>
    </row>
    <row r="335" spans="1:11">
      <c r="A335" s="28"/>
      <c r="B335" s="29" t="s">
        <v>2888</v>
      </c>
      <c r="C335" s="30" t="str">
        <f>IFERROR(_xlfn.XLOOKUP(B335,Insumo[DESCRIPCION],Insumo[UND],,0),"")</f>
        <v>Un</v>
      </c>
      <c r="D335" s="31">
        <v>3</v>
      </c>
      <c r="E335" s="32">
        <f>IFERROR(_xlfn.XLOOKUP($B335,Insumo[DESCRIPCION],Insumo[VALOR],,0),"")</f>
        <v>1648.5</v>
      </c>
      <c r="F335" s="33"/>
      <c r="G335" s="34">
        <f>IFERROR(IF(F335&gt;=0,D335*E335*(1+F335/100),ABS(D335*E335/F335)),"")</f>
        <v>4945.5</v>
      </c>
      <c r="H335" s="43">
        <f>IFERROR(G335*E329,"")</f>
        <v>0</v>
      </c>
    </row>
    <row r="336" spans="1:11">
      <c r="A336" s="28"/>
      <c r="B336" s="29" t="s">
        <v>2843</v>
      </c>
      <c r="C336" s="30" t="str">
        <f>IFERROR(_xlfn.XLOOKUP(B336,Insumo[DESCRIPCION],Insumo[UND],,0),"")</f>
        <v xml:space="preserve"> M </v>
      </c>
      <c r="D336" s="31">
        <v>0.05</v>
      </c>
      <c r="E336" s="32">
        <f>IFERROR(_xlfn.XLOOKUP($B336,Insumo[DESCRIPCION],Insumo[VALOR],,0),"")</f>
        <v>1244.25</v>
      </c>
      <c r="F336" s="33"/>
      <c r="G336" s="34">
        <f>IFERROR(IF(F336&gt;=0,D336*E336*(1+F336/100),ABS(D336*E336/F336)),"")</f>
        <v>62.212500000000006</v>
      </c>
      <c r="H336" s="43">
        <f>IFERROR(G336*E329,"")</f>
        <v>0</v>
      </c>
    </row>
    <row r="337" spans="1:11">
      <c r="A337" s="21"/>
      <c r="B337" s="22" t="s">
        <v>3731</v>
      </c>
      <c r="C337" s="23"/>
      <c r="D337" s="24"/>
      <c r="E337" s="25"/>
      <c r="F337" s="26"/>
      <c r="G337" s="27">
        <f>SUM(G338:G340)</f>
        <v>893.85605646617682</v>
      </c>
      <c r="H337" s="44">
        <f>G337*E329</f>
        <v>0</v>
      </c>
    </row>
    <row r="338" spans="1:11">
      <c r="A338" s="28"/>
      <c r="B338" s="29" t="s">
        <v>3570</v>
      </c>
      <c r="C338" s="30" t="str">
        <f>IFERROR(_xlfn.XLOOKUP(B338,Equipo[DESCRIPCION],Equipo[UND],,0),"")</f>
        <v>%MO</v>
      </c>
      <c r="D338" s="31">
        <v>0.04</v>
      </c>
      <c r="E338" s="32">
        <f>IF(C338="%MO",G344,IFERROR(_xlfn.XLOOKUP($B338,Equipo[DESCRIPCION],Equipo[VALOR],,0),""))</f>
        <v>9931.7339607352969</v>
      </c>
      <c r="F338" s="33"/>
      <c r="G338" s="34">
        <f>IFERROR(IF(F338&gt;=0,D338*E338*(1+F338/100),ABS(D338*E338/F338)),"")</f>
        <v>397.26935842941191</v>
      </c>
      <c r="H338" s="43">
        <f>IFERROR(G338*E329,"")</f>
        <v>0</v>
      </c>
    </row>
    <row r="339" spans="1:11">
      <c r="A339" s="28"/>
      <c r="B339" s="29" t="s">
        <v>3626</v>
      </c>
      <c r="C339" s="30" t="str">
        <f>IFERROR(_xlfn.XLOOKUP(B339,Equipo[DESCRIPCION],Equipo[UND],,0),"")</f>
        <v>%MO</v>
      </c>
      <c r="D339" s="31">
        <v>0.05</v>
      </c>
      <c r="E339" s="32">
        <f>IF(C339="%MO",G344,IFERROR(_xlfn.XLOOKUP($B339,Equipo[DESCRIPCION],Equipo[VALOR],,0),""))</f>
        <v>9931.7339607352969</v>
      </c>
      <c r="F339" s="33"/>
      <c r="G339" s="34">
        <f>IFERROR(IF(F339&gt;=0,D339*E339*(1+F339/100),ABS(D339*E339/F339)),"")</f>
        <v>496.58669803676486</v>
      </c>
      <c r="H339" s="43">
        <f>IFERROR(G339*E329,"")</f>
        <v>0</v>
      </c>
    </row>
    <row r="340" spans="1:11">
      <c r="A340" s="28"/>
      <c r="B340" s="29"/>
      <c r="C340" s="30" t="str">
        <f>IFERROR(_xlfn.XLOOKUP(B340,Equipo[DESCRIPCION],Equipo[UND],,0),"")</f>
        <v/>
      </c>
      <c r="D340" s="31"/>
      <c r="E340" s="32" t="str">
        <f>IF(C340="%MO",G344,IFERROR(_xlfn.XLOOKUP($B340,Equipo[DESCRIPCION],Equipo[VALOR],,0),""))</f>
        <v/>
      </c>
      <c r="F340" s="33"/>
      <c r="G340" s="34" t="str">
        <f>IFERROR(IF(F340&gt;=0,D340*E340*(1+F340/100),ABS(D340*E340/F340)),"")</f>
        <v/>
      </c>
      <c r="H340" s="43" t="str">
        <f>IFERROR(G340*E329,"")</f>
        <v/>
      </c>
    </row>
    <row r="341" spans="1:11">
      <c r="A341" s="21"/>
      <c r="B341" s="22" t="s">
        <v>2533</v>
      </c>
      <c r="C341" s="23"/>
      <c r="D341" s="24"/>
      <c r="E341" s="25"/>
      <c r="F341" s="26"/>
      <c r="G341" s="27">
        <f>SUM(G342:G343)</f>
        <v>0</v>
      </c>
      <c r="H341" s="44">
        <f>G341*E329</f>
        <v>0</v>
      </c>
    </row>
    <row r="342" spans="1:11">
      <c r="A342" s="28"/>
      <c r="B342" s="29"/>
      <c r="C342" s="30" t="str">
        <f>IFERROR(_xlfn.XLOOKUP(B342,Transporte[DESCRIPCION],Transporte[UND],,0),"")</f>
        <v/>
      </c>
      <c r="D342" s="31"/>
      <c r="E342" s="32" t="str">
        <f>IFERROR(_xlfn.XLOOKUP($B342,Transporte[DESCRIPCION],Transporte[VALOR],,0),"")</f>
        <v/>
      </c>
      <c r="F342" s="33"/>
      <c r="G342" s="34" t="str">
        <f>IFERROR(IF(F342&gt;=0,D342*E342*(1+F342/100),ABS(D342*E342/F342)),"")</f>
        <v/>
      </c>
      <c r="H342" s="43" t="str">
        <f>IFERROR(G342*E329,"")</f>
        <v/>
      </c>
    </row>
    <row r="343" spans="1:11">
      <c r="A343" s="28"/>
      <c r="B343" s="29"/>
      <c r="C343" s="30" t="str">
        <f>IFERROR(_xlfn.XLOOKUP(B343,Transporte[DESCRIPCION],Transporte[UND],,0),"")</f>
        <v/>
      </c>
      <c r="D343" s="31"/>
      <c r="E343" s="32" t="str">
        <f>IFERROR(_xlfn.XLOOKUP($B343,Transporte[DESCRIPCION],Transporte[VALOR],,0),"")</f>
        <v/>
      </c>
      <c r="F343" s="33"/>
      <c r="G343" s="34" t="str">
        <f>IFERROR(IF(F343&gt;=0,D343*E343*(1+F343/100),ABS(D343*E343/F343)),"")</f>
        <v/>
      </c>
      <c r="H343" s="43" t="str">
        <f>IFERROR(G343*E329,"")</f>
        <v/>
      </c>
    </row>
    <row r="344" spans="1:11">
      <c r="A344" s="21"/>
      <c r="B344" s="22" t="s">
        <v>3732</v>
      </c>
      <c r="C344" s="23"/>
      <c r="D344" s="24"/>
      <c r="E344" s="25"/>
      <c r="F344" s="26"/>
      <c r="G344" s="27">
        <f>SUM(G345:G347)</f>
        <v>9931.7339607352969</v>
      </c>
      <c r="H344" s="44">
        <f>G344*E329</f>
        <v>0</v>
      </c>
    </row>
    <row r="345" spans="1:11">
      <c r="A345" s="28"/>
      <c r="B345" s="29" t="s">
        <v>3715</v>
      </c>
      <c r="C345" s="30" t="str">
        <f>IFERROR(_xlfn.XLOOKUP(B345,MObra[DESCRIPCION],MObra[UN],,0),"")</f>
        <v>día</v>
      </c>
      <c r="D345" s="31">
        <v>1</v>
      </c>
      <c r="E345" s="32">
        <f>IFERROR(_xlfn.XLOOKUP($B345,MObra[DESCRIPCION],MObra[VALOR UNIT],,0),"")</f>
        <v>337678.95466500008</v>
      </c>
      <c r="F345" s="33">
        <v>-34</v>
      </c>
      <c r="G345" s="34">
        <f>IFERROR(IF(F345&gt;=0,D345*E345*(1+F345/100),ABS(D345*E345/F345)),"")</f>
        <v>9931.7339607352969</v>
      </c>
      <c r="H345" s="43">
        <f>IFERROR(G345*E329,"")</f>
        <v>0</v>
      </c>
    </row>
    <row r="346" spans="1:11">
      <c r="A346" s="28"/>
      <c r="B346" s="29"/>
      <c r="C346" s="30" t="str">
        <f t="array" ref="C346">IFERROR(_xlfn.XLOOKUP(B346,MObra[[#All],[DESCRIPCION]],MObra[[#All],[UN]],,0),"")</f>
        <v/>
      </c>
      <c r="D346" s="31"/>
      <c r="E346" s="32" t="str">
        <f>IFERROR(_xlfn.XLOOKUP($B346,MObra[DESCRIPCION],MObra[VALOR UNIT],,0),"")</f>
        <v/>
      </c>
      <c r="F346" s="33"/>
      <c r="G346" s="34" t="str">
        <f>IFERROR(IF(F346&gt;=0,D346*E346*(1+F346/100),ABS(D346*E346/F346)),"")</f>
        <v/>
      </c>
      <c r="H346" s="43" t="str">
        <f>IFERROR(G346*E329,"")</f>
        <v/>
      </c>
    </row>
    <row r="347" spans="1:11">
      <c r="A347" s="35"/>
      <c r="B347" s="36"/>
      <c r="C347" s="37" t="str">
        <f t="array" ref="C347">IFERROR(_xlfn.XLOOKUP(B347,MObra[[#All],[DESCRIPCION]],MObra[[#All],[UN]],,0),"")</f>
        <v/>
      </c>
      <c r="D347" s="38"/>
      <c r="E347" s="39" t="str">
        <f>IFERROR(_xlfn.XLOOKUP($B347,MObra[DESCRIPCION],MObra[VALOR UNIT],,0),"")</f>
        <v/>
      </c>
      <c r="F347" s="40"/>
      <c r="G347" s="41" t="str">
        <f>IFERROR(IF(F347&gt;=0,D347*E347*(1+F347/100),ABS(D347*E347/F347)),"")</f>
        <v/>
      </c>
      <c r="H347" s="42" t="str">
        <f>IFERROR(G347*E329,"")</f>
        <v/>
      </c>
    </row>
    <row r="349" spans="1:11">
      <c r="A349" s="6" t="s">
        <v>911</v>
      </c>
      <c r="B349" s="7" t="str">
        <f>VLOOKUP($A349,Presupuesto!$A:$D,2,FALSE())</f>
        <v xml:space="preserve">Caja de paso y/o empalmes 4X4" Radwelt, salidas en 3/4" más accesorios </v>
      </c>
      <c r="C349" s="8" t="str">
        <f>VLOOKUP($A349,Presupuesto!$A:$D,3,FALSE())</f>
        <v>Un</v>
      </c>
      <c r="D349" s="9"/>
      <c r="E349" s="10">
        <f>VLOOKUP($A349,Presupuesto!$A:$D,4,FALSE())</f>
        <v>0</v>
      </c>
      <c r="F349" s="11" t="s">
        <v>2589</v>
      </c>
      <c r="G349" s="12">
        <f>SUM(G351:G367)/2</f>
        <v>60860.436966105553</v>
      </c>
      <c r="H349" s="13">
        <f>ROUND(SUM(H351:H367),0)/2</f>
        <v>0</v>
      </c>
      <c r="I349" s="10">
        <f>VLOOKUP(A349,Presupuesto!$A:$F,6,0)</f>
        <v>0</v>
      </c>
      <c r="J349" s="10">
        <f>+H349-I349</f>
        <v>0</v>
      </c>
      <c r="K349" s="46">
        <f>+H349-G349*E349</f>
        <v>0</v>
      </c>
    </row>
    <row r="350" spans="1:11">
      <c r="A350" s="14"/>
      <c r="B350" s="15" t="s">
        <v>2586</v>
      </c>
      <c r="C350" s="15" t="s">
        <v>5</v>
      </c>
      <c r="D350" s="16" t="s">
        <v>6</v>
      </c>
      <c r="E350" s="17" t="s">
        <v>7</v>
      </c>
      <c r="F350" s="18" t="s">
        <v>3728</v>
      </c>
      <c r="G350" s="19" t="s">
        <v>3729</v>
      </c>
      <c r="H350" s="20" t="s">
        <v>3797</v>
      </c>
    </row>
    <row r="351" spans="1:11">
      <c r="A351" s="21"/>
      <c r="B351" s="22" t="s">
        <v>3730</v>
      </c>
      <c r="C351" s="23"/>
      <c r="D351" s="24"/>
      <c r="E351" s="25"/>
      <c r="F351" s="26"/>
      <c r="G351" s="27">
        <f>SUM(G352:G356)</f>
        <v>47228.212500000001</v>
      </c>
      <c r="H351" s="27">
        <f>IFERROR(G351*E349,"")</f>
        <v>0</v>
      </c>
    </row>
    <row r="352" spans="1:11">
      <c r="A352" s="28"/>
      <c r="B352" s="29" t="s">
        <v>2803</v>
      </c>
      <c r="C352" s="30" t="str">
        <f>IFERROR(_xlfn.XLOOKUP(B352,Insumo[DESCRIPCION],Insumo[UND],,0),"")</f>
        <v>Un</v>
      </c>
      <c r="D352" s="31">
        <v>1</v>
      </c>
      <c r="E352" s="32">
        <f>IFERROR(_xlfn.XLOOKUP($B352,Insumo[DESCRIPCION],Insumo[VALOR],,0),"")</f>
        <v>35883.75</v>
      </c>
      <c r="F352" s="33"/>
      <c r="G352" s="34">
        <f>IFERROR(IF(F352&gt;=0,D352*E352*(1+F352/100),ABS(D352*E352/F352)),"")</f>
        <v>35883.75</v>
      </c>
      <c r="H352" s="43">
        <f>IFERROR(G352*E349,"")</f>
        <v>0</v>
      </c>
    </row>
    <row r="353" spans="1:8">
      <c r="A353" s="28"/>
      <c r="B353" s="29" t="s">
        <v>2833</v>
      </c>
      <c r="C353" s="30" t="str">
        <f>IFERROR(_xlfn.XLOOKUP(B353,Insumo[DESCRIPCION],Insumo[UND],,0),"")</f>
        <v>Un</v>
      </c>
      <c r="D353" s="31">
        <v>2</v>
      </c>
      <c r="E353" s="32">
        <f>IFERROR(_xlfn.XLOOKUP($B353,Insumo[DESCRIPCION],Insumo[VALOR],,0),"")</f>
        <v>682.5</v>
      </c>
      <c r="F353" s="33"/>
      <c r="G353" s="34">
        <f>IFERROR(IF(F353&gt;=0,D353*E353*(1+F353/100),ABS(D353*E353/F353)),"")</f>
        <v>1365</v>
      </c>
      <c r="H353" s="43">
        <f>IFERROR(G353*E349,"")</f>
        <v>0</v>
      </c>
    </row>
    <row r="354" spans="1:8">
      <c r="A354" s="28"/>
      <c r="B354" s="29" t="s">
        <v>3363</v>
      </c>
      <c r="C354" s="30" t="str">
        <f>IFERROR(_xlfn.XLOOKUP(B354,Insumo[DESCRIPCION],Insumo[UND],,0),"")</f>
        <v>Un</v>
      </c>
      <c r="D354" s="31">
        <v>1</v>
      </c>
      <c r="E354" s="32">
        <f>IFERROR(_xlfn.XLOOKUP($B354,Insumo[DESCRIPCION],Insumo[VALOR],,0),"")</f>
        <v>5604.9000000000005</v>
      </c>
      <c r="F354" s="33"/>
      <c r="G354" s="34">
        <f>IFERROR(IF(F354&gt;=0,D354*E354*(1+F354/100),ABS(D354*E354/F354)),"")</f>
        <v>5604.9000000000005</v>
      </c>
      <c r="H354" s="43">
        <f>IFERROR(G354*E349,"")</f>
        <v>0</v>
      </c>
    </row>
    <row r="355" spans="1:8">
      <c r="A355" s="28"/>
      <c r="B355" s="29" t="s">
        <v>2887</v>
      </c>
      <c r="C355" s="30" t="str">
        <f>IFERROR(_xlfn.XLOOKUP(B355,Insumo[DESCRIPCION],Insumo[UND],,0),"")</f>
        <v>Un</v>
      </c>
      <c r="D355" s="31">
        <v>3</v>
      </c>
      <c r="E355" s="32">
        <f>IFERROR(_xlfn.XLOOKUP($B355,Insumo[DESCRIPCION],Insumo[VALOR],,0),"")</f>
        <v>1437.45</v>
      </c>
      <c r="F355" s="33"/>
      <c r="G355" s="34">
        <f>IFERROR(IF(F355&gt;=0,D355*E355*(1+F355/100),ABS(D355*E355/F355)),"")</f>
        <v>4312.3500000000004</v>
      </c>
      <c r="H355" s="43">
        <f>IFERROR(G355*E349,"")</f>
        <v>0</v>
      </c>
    </row>
    <row r="356" spans="1:8">
      <c r="A356" s="28"/>
      <c r="B356" s="29" t="s">
        <v>2843</v>
      </c>
      <c r="C356" s="30" t="str">
        <f>IFERROR(_xlfn.XLOOKUP(B356,Insumo[DESCRIPCION],Insumo[UND],,0),"")</f>
        <v xml:space="preserve"> M </v>
      </c>
      <c r="D356" s="31">
        <v>0.05</v>
      </c>
      <c r="E356" s="32">
        <f>IFERROR(_xlfn.XLOOKUP($B356,Insumo[DESCRIPCION],Insumo[VALOR],,0),"")</f>
        <v>1244.25</v>
      </c>
      <c r="F356" s="33"/>
      <c r="G356" s="34">
        <f>IFERROR(IF(F356&gt;=0,D356*E356*(1+F356/100),ABS(D356*E356/F356)),"")</f>
        <v>62.212500000000006</v>
      </c>
      <c r="H356" s="43">
        <f>IFERROR(G356*E349,"")</f>
        <v>0</v>
      </c>
    </row>
    <row r="357" spans="1:8">
      <c r="A357" s="21"/>
      <c r="B357" s="22" t="s">
        <v>3731</v>
      </c>
      <c r="C357" s="23"/>
      <c r="D357" s="24"/>
      <c r="E357" s="25"/>
      <c r="F357" s="26"/>
      <c r="G357" s="27">
        <f>SUM(G358:G360)</f>
        <v>1125.5965155500003</v>
      </c>
      <c r="H357" s="44">
        <f>G357*E349</f>
        <v>0</v>
      </c>
    </row>
    <row r="358" spans="1:8">
      <c r="A358" s="28"/>
      <c r="B358" s="29" t="s">
        <v>3570</v>
      </c>
      <c r="C358" s="30" t="str">
        <f>IFERROR(_xlfn.XLOOKUP(B358,Equipo[DESCRIPCION],Equipo[UND],,0),"")</f>
        <v>%MO</v>
      </c>
      <c r="D358" s="31">
        <v>0.04</v>
      </c>
      <c r="E358" s="32">
        <f>IF(C358="%MO",G364,IFERROR(_xlfn.XLOOKUP($B358,Equipo[DESCRIPCION],Equipo[VALOR],,0),""))</f>
        <v>12506.627950555559</v>
      </c>
      <c r="F358" s="33"/>
      <c r="G358" s="34">
        <f>IFERROR(IF(F358&gt;=0,D358*E358*(1+F358/100),ABS(D358*E358/F358)),"")</f>
        <v>500.2651180222224</v>
      </c>
      <c r="H358" s="43">
        <f>IFERROR(G358*E349,"")</f>
        <v>0</v>
      </c>
    </row>
    <row r="359" spans="1:8">
      <c r="A359" s="28"/>
      <c r="B359" s="29" t="s">
        <v>3626</v>
      </c>
      <c r="C359" s="30" t="str">
        <f>IFERROR(_xlfn.XLOOKUP(B359,Equipo[DESCRIPCION],Equipo[UND],,0),"")</f>
        <v>%MO</v>
      </c>
      <c r="D359" s="31">
        <v>0.05</v>
      </c>
      <c r="E359" s="32">
        <f>IF(C359="%MO",G364,IFERROR(_xlfn.XLOOKUP($B359,Equipo[DESCRIPCION],Equipo[VALOR],,0),""))</f>
        <v>12506.627950555559</v>
      </c>
      <c r="F359" s="33"/>
      <c r="G359" s="34">
        <f>IFERROR(IF(F359&gt;=0,D359*E359*(1+F359/100),ABS(D359*E359/F359)),"")</f>
        <v>625.33139752777799</v>
      </c>
      <c r="H359" s="43">
        <f>IFERROR(G359*E349,"")</f>
        <v>0</v>
      </c>
    </row>
    <row r="360" spans="1:8">
      <c r="A360" s="28"/>
      <c r="B360" s="29"/>
      <c r="C360" s="30" t="str">
        <f>IFERROR(_xlfn.XLOOKUP(B360,Equipo[DESCRIPCION],Equipo[UND],,0),"")</f>
        <v/>
      </c>
      <c r="D360" s="31"/>
      <c r="E360" s="32" t="str">
        <f>IF(C360="%MO",G364,IFERROR(_xlfn.XLOOKUP($B360,Equipo[DESCRIPCION],Equipo[VALOR],,0),""))</f>
        <v/>
      </c>
      <c r="F360" s="33"/>
      <c r="G360" s="34" t="str">
        <f>IFERROR(IF(F360&gt;=0,D360*E360*(1+F360/100),ABS(D360*E360/F360)),"")</f>
        <v/>
      </c>
      <c r="H360" s="43" t="str">
        <f>IFERROR(G360*E349,"")</f>
        <v/>
      </c>
    </row>
    <row r="361" spans="1:8">
      <c r="A361" s="21"/>
      <c r="B361" s="22" t="s">
        <v>2533</v>
      </c>
      <c r="C361" s="23"/>
      <c r="D361" s="24"/>
      <c r="E361" s="25"/>
      <c r="F361" s="26"/>
      <c r="G361" s="27">
        <f>SUM(G362:G363)</f>
        <v>0</v>
      </c>
      <c r="H361" s="44">
        <f>G361*E349</f>
        <v>0</v>
      </c>
    </row>
    <row r="362" spans="1:8">
      <c r="A362" s="28"/>
      <c r="B362" s="29"/>
      <c r="C362" s="30" t="str">
        <f>IFERROR(_xlfn.XLOOKUP(B362,Transporte[DESCRIPCION],Transporte[UND],,0),"")</f>
        <v/>
      </c>
      <c r="D362" s="31"/>
      <c r="E362" s="32" t="str">
        <f>IFERROR(_xlfn.XLOOKUP($B362,Transporte[DESCRIPCION],Transporte[VALOR],,0),"")</f>
        <v/>
      </c>
      <c r="F362" s="33"/>
      <c r="G362" s="34" t="str">
        <f>IFERROR(IF(F362&gt;=0,D362*E362*(1+F362/100),ABS(D362*E362/F362)),"")</f>
        <v/>
      </c>
      <c r="H362" s="43" t="str">
        <f>IFERROR(G362*E349,"")</f>
        <v/>
      </c>
    </row>
    <row r="363" spans="1:8">
      <c r="A363" s="28"/>
      <c r="B363" s="29"/>
      <c r="C363" s="30" t="str">
        <f>IFERROR(_xlfn.XLOOKUP(B363,Transporte[DESCRIPCION],Transporte[UND],,0),"")</f>
        <v/>
      </c>
      <c r="D363" s="31"/>
      <c r="E363" s="32" t="str">
        <f>IFERROR(_xlfn.XLOOKUP($B363,Transporte[DESCRIPCION],Transporte[VALOR],,0),"")</f>
        <v/>
      </c>
      <c r="F363" s="33"/>
      <c r="G363" s="34" t="str">
        <f>IFERROR(IF(F363&gt;=0,D363*E363*(1+F363/100),ABS(D363*E363/F363)),"")</f>
        <v/>
      </c>
      <c r="H363" s="43" t="str">
        <f>IFERROR(G363*E349,"")</f>
        <v/>
      </c>
    </row>
    <row r="364" spans="1:8">
      <c r="A364" s="21"/>
      <c r="B364" s="22" t="s">
        <v>3732</v>
      </c>
      <c r="C364" s="23"/>
      <c r="D364" s="24"/>
      <c r="E364" s="25"/>
      <c r="F364" s="26"/>
      <c r="G364" s="27">
        <f>SUM(G365:G367)</f>
        <v>12506.627950555559</v>
      </c>
      <c r="H364" s="44">
        <f>G364*E349</f>
        <v>0</v>
      </c>
    </row>
    <row r="365" spans="1:8">
      <c r="A365" s="28"/>
      <c r="B365" s="29" t="s">
        <v>3715</v>
      </c>
      <c r="C365" s="30" t="str">
        <f>IFERROR(_xlfn.XLOOKUP(B365,MObra[DESCRIPCION],MObra[UN],,0),"")</f>
        <v>día</v>
      </c>
      <c r="D365" s="31">
        <v>1</v>
      </c>
      <c r="E365" s="32">
        <f>IFERROR(_xlfn.XLOOKUP($B365,MObra[DESCRIPCION],MObra[VALOR UNIT],,0),"")</f>
        <v>337678.95466500008</v>
      </c>
      <c r="F365" s="33">
        <v>-27</v>
      </c>
      <c r="G365" s="34">
        <f>IFERROR(IF(F365&gt;=0,D365*E365*(1+F365/100),ABS(D365*E365/F365)),"")</f>
        <v>12506.627950555559</v>
      </c>
      <c r="H365" s="43">
        <f>IFERROR(G365*E349,"")</f>
        <v>0</v>
      </c>
    </row>
    <row r="366" spans="1:8">
      <c r="A366" s="28"/>
      <c r="B366" s="29"/>
      <c r="C366" s="30" t="str">
        <f t="array" ref="C366">IFERROR(_xlfn.XLOOKUP(B366,MObra[[#All],[DESCRIPCION]],MObra[[#All],[UN]],,0),"")</f>
        <v/>
      </c>
      <c r="D366" s="31"/>
      <c r="E366" s="32" t="str">
        <f>IFERROR(_xlfn.XLOOKUP($B366,MObra[DESCRIPCION],MObra[VALOR UNIT],,0),"")</f>
        <v/>
      </c>
      <c r="F366" s="33"/>
      <c r="G366" s="34" t="str">
        <f>IFERROR(IF(F366&gt;=0,D366*E366*(1+F366/100),ABS(D366*E366/F366)),"")</f>
        <v/>
      </c>
      <c r="H366" s="43" t="str">
        <f>IFERROR(G366*E349,"")</f>
        <v/>
      </c>
    </row>
    <row r="367" spans="1:8">
      <c r="A367" s="35"/>
      <c r="B367" s="36"/>
      <c r="C367" s="37" t="str">
        <f t="array" ref="C367">IFERROR(_xlfn.XLOOKUP(B367,MObra[[#All],[DESCRIPCION]],MObra[[#All],[UN]],,0),"")</f>
        <v/>
      </c>
      <c r="D367" s="38"/>
      <c r="E367" s="39" t="str">
        <f>IFERROR(_xlfn.XLOOKUP($B367,MObra[DESCRIPCION],MObra[VALOR UNIT],,0),"")</f>
        <v/>
      </c>
      <c r="F367" s="40"/>
      <c r="G367" s="41" t="str">
        <f>IFERROR(IF(F367&gt;=0,D367*E367*(1+F367/100),ABS(D367*E367/F367)),"")</f>
        <v/>
      </c>
      <c r="H367" s="42" t="str">
        <f>IFERROR(G367*E349,"")</f>
        <v/>
      </c>
    </row>
    <row r="368" spans="1:8" ht="13.5" thickTop="1" thickBot="1"/>
    <row r="369" spans="1:11" ht="26.25" thickTop="1" thickBot="1">
      <c r="A369" s="6" t="s">
        <v>913</v>
      </c>
      <c r="B369" s="7" t="str">
        <f>VLOOKUP($A369,Presupuesto!$A:$D,2,FALSE())</f>
        <v>Caja de Policarbonato con dispositivo de Corte y Barraje para tierra para medidor de energía Monofásico</v>
      </c>
      <c r="C369" s="8" t="str">
        <f>VLOOKUP($A369,Presupuesto!$A:$D,3,FALSE())</f>
        <v>Un</v>
      </c>
      <c r="D369" s="9"/>
      <c r="E369" s="10">
        <f>VLOOKUP($A369,Presupuesto!$A:$D,4,FALSE())</f>
        <v>0</v>
      </c>
      <c r="F369" s="11" t="s">
        <v>2589</v>
      </c>
      <c r="G369" s="12">
        <f>SUM(G371:G387)/2</f>
        <v>220370.48413275005</v>
      </c>
      <c r="H369" s="13">
        <f>ROUND(SUM(H371:H387),0)/2</f>
        <v>0</v>
      </c>
      <c r="I369" s="10">
        <f>VLOOKUP(A369,Presupuesto!$A:$F,6,0)</f>
        <v>0</v>
      </c>
      <c r="J369" s="10">
        <f>+H369-I369</f>
        <v>0</v>
      </c>
      <c r="K369" s="46">
        <f>+H369-G369*E369</f>
        <v>0</v>
      </c>
    </row>
    <row r="370" spans="1:11">
      <c r="A370" s="14"/>
      <c r="B370" s="15" t="s">
        <v>2586</v>
      </c>
      <c r="C370" s="15" t="s">
        <v>5</v>
      </c>
      <c r="D370" s="16" t="s">
        <v>6</v>
      </c>
      <c r="E370" s="17" t="s">
        <v>7</v>
      </c>
      <c r="F370" s="18" t="s">
        <v>3728</v>
      </c>
      <c r="G370" s="19" t="s">
        <v>3729</v>
      </c>
      <c r="H370" s="20" t="s">
        <v>3797</v>
      </c>
    </row>
    <row r="371" spans="1:11">
      <c r="A371" s="21"/>
      <c r="B371" s="22" t="s">
        <v>3730</v>
      </c>
      <c r="C371" s="23"/>
      <c r="D371" s="24"/>
      <c r="E371" s="25"/>
      <c r="F371" s="26"/>
      <c r="G371" s="27">
        <f>SUM(G372:G376)</f>
        <v>102182.85</v>
      </c>
      <c r="H371" s="27">
        <f>IFERROR(G371*E369,"")</f>
        <v>0</v>
      </c>
    </row>
    <row r="372" spans="1:11">
      <c r="A372" s="28"/>
      <c r="B372" s="29" t="s">
        <v>2805</v>
      </c>
      <c r="C372" s="30" t="str">
        <f>IFERROR(_xlfn.XLOOKUP(B372,Insumo[DESCRIPCION],Insumo[UND],,0),"")</f>
        <v>Un</v>
      </c>
      <c r="D372" s="31">
        <v>1</v>
      </c>
      <c r="E372" s="32">
        <f>IFERROR(_xlfn.XLOOKUP($B372,Insumo[DESCRIPCION],Insumo[VALOR],,0),"")</f>
        <v>53307.450000000004</v>
      </c>
      <c r="F372" s="33"/>
      <c r="G372" s="34">
        <f>IFERROR(IF(F372&gt;=0,D372*E372*(1+F372/100),ABS(D372*E372/F372)),"")</f>
        <v>53307.450000000004</v>
      </c>
      <c r="H372" s="43">
        <f>IFERROR(G372*E369,"")</f>
        <v>0</v>
      </c>
    </row>
    <row r="373" spans="1:11">
      <c r="A373" s="28"/>
      <c r="B373" s="29" t="s">
        <v>2771</v>
      </c>
      <c r="C373" s="30" t="str">
        <f>IFERROR(_xlfn.XLOOKUP(B373,Insumo[DESCRIPCION],Insumo[UND],,0),"")</f>
        <v>Un</v>
      </c>
      <c r="D373" s="31">
        <v>1</v>
      </c>
      <c r="E373" s="32">
        <f>IFERROR(_xlfn.XLOOKUP($B373,Insumo[DESCRIPCION],Insumo[VALOR],,0),"")</f>
        <v>48875.4</v>
      </c>
      <c r="F373" s="33"/>
      <c r="G373" s="34">
        <f>IFERROR(IF(F373&gt;=0,D373*E373*(1+F373/100),ABS(D373*E373/F373)),"")</f>
        <v>48875.4</v>
      </c>
      <c r="H373" s="43">
        <f>IFERROR(G373*E369,"")</f>
        <v>0</v>
      </c>
    </row>
    <row r="374" spans="1:11">
      <c r="A374" s="28"/>
      <c r="B374" s="29"/>
      <c r="C374" s="30" t="str">
        <f>IFERROR(_xlfn.XLOOKUP(B374,Insumo[DESCRIPCION],Insumo[UND],,0),"")</f>
        <v/>
      </c>
      <c r="D374" s="31"/>
      <c r="E374" s="32" t="str">
        <f>IFERROR(_xlfn.XLOOKUP($B374,Insumo[DESCRIPCION],Insumo[VALOR],,0),"")</f>
        <v/>
      </c>
      <c r="F374" s="33"/>
      <c r="G374" s="34" t="str">
        <f>IFERROR(IF(F374&gt;=0,D374*E374*(1+F374/100),ABS(D374*E374/F374)),"")</f>
        <v/>
      </c>
      <c r="H374" s="43" t="str">
        <f>IFERROR(G374*E369,"")</f>
        <v/>
      </c>
    </row>
    <row r="375" spans="1:11">
      <c r="A375" s="28"/>
      <c r="B375" s="29"/>
      <c r="C375" s="30" t="str">
        <f>IFERROR(_xlfn.XLOOKUP(B375,Insumo[DESCRIPCION],Insumo[UND],,0),"")</f>
        <v/>
      </c>
      <c r="D375" s="31"/>
      <c r="E375" s="32" t="str">
        <f>IFERROR(_xlfn.XLOOKUP($B375,Insumo[DESCRIPCION],Insumo[VALOR],,0),"")</f>
        <v/>
      </c>
      <c r="F375" s="33"/>
      <c r="G375" s="34" t="str">
        <f>IFERROR(IF(F375&gt;=0,D375*E375*(1+F375/100),ABS(D375*E375/F375)),"")</f>
        <v/>
      </c>
      <c r="H375" s="43" t="str">
        <f>IFERROR(G375*E369,"")</f>
        <v/>
      </c>
    </row>
    <row r="376" spans="1:11">
      <c r="A376" s="28"/>
      <c r="B376" s="29"/>
      <c r="C376" s="30" t="str">
        <f>IFERROR(_xlfn.XLOOKUP(B376,Insumo[DESCRIPCION],Insumo[UND],,0),"")</f>
        <v/>
      </c>
      <c r="D376" s="31"/>
      <c r="E376" s="32" t="str">
        <f>IFERROR(_xlfn.XLOOKUP($B376,Insumo[DESCRIPCION],Insumo[VALOR],,0),"")</f>
        <v/>
      </c>
      <c r="F376" s="33"/>
      <c r="G376" s="34" t="str">
        <f>IFERROR(IF(F376&gt;=0,D376*E376*(1+F376/100),ABS(D376*E376/F376)),"")</f>
        <v/>
      </c>
      <c r="H376" s="43" t="str">
        <f>IFERROR(G376*E369,"")</f>
        <v/>
      </c>
    </row>
    <row r="377" spans="1:11">
      <c r="A377" s="21"/>
      <c r="B377" s="22" t="s">
        <v>3731</v>
      </c>
      <c r="C377" s="23"/>
      <c r="D377" s="24"/>
      <c r="E377" s="25"/>
      <c r="F377" s="26"/>
      <c r="G377" s="27">
        <f>SUM(G378:G380)</f>
        <v>5627.9825777500018</v>
      </c>
      <c r="H377" s="44">
        <f>G377*E369</f>
        <v>0</v>
      </c>
    </row>
    <row r="378" spans="1:11">
      <c r="A378" s="28"/>
      <c r="B378" s="29" t="s">
        <v>3626</v>
      </c>
      <c r="C378" s="30" t="str">
        <f>IFERROR(_xlfn.XLOOKUP(B378,Equipo[DESCRIPCION],Equipo[UND],,0),"")</f>
        <v>%MO</v>
      </c>
      <c r="D378" s="31">
        <v>0.05</v>
      </c>
      <c r="E378" s="32">
        <f>IF(C378="%MO",G384,IFERROR(_xlfn.XLOOKUP($B378,Equipo[DESCRIPCION],Equipo[VALOR],,0),""))</f>
        <v>112559.65155500003</v>
      </c>
      <c r="F378" s="33"/>
      <c r="G378" s="34">
        <f>IFERROR(IF(F378&gt;=0,D378*E378*(1+F378/100),ABS(D378*E378/F378)),"")</f>
        <v>5627.9825777500018</v>
      </c>
      <c r="H378" s="43">
        <f>IFERROR(G378*E369,"")</f>
        <v>0</v>
      </c>
    </row>
    <row r="379" spans="1:11">
      <c r="A379" s="28"/>
      <c r="B379" s="29"/>
      <c r="C379" s="30" t="str">
        <f>IFERROR(_xlfn.XLOOKUP(B379,Equipo[DESCRIPCION],Equipo[UND],,0),"")</f>
        <v/>
      </c>
      <c r="D379" s="31"/>
      <c r="E379" s="32" t="str">
        <f>IF(C379="%MO",G384,IFERROR(_xlfn.XLOOKUP($B379,Equipo[DESCRIPCION],Equipo[VALOR],,0),""))</f>
        <v/>
      </c>
      <c r="F379" s="33"/>
      <c r="G379" s="34" t="str">
        <f>IFERROR(IF(F379&gt;=0,D379*E379*(1+F379/100),ABS(D379*E379/F379)),"")</f>
        <v/>
      </c>
      <c r="H379" s="43" t="str">
        <f>IFERROR(G379*E369,"")</f>
        <v/>
      </c>
    </row>
    <row r="380" spans="1:11">
      <c r="A380" s="28"/>
      <c r="B380" s="29"/>
      <c r="C380" s="30" t="str">
        <f>IFERROR(_xlfn.XLOOKUP(B380,Equipo[DESCRIPCION],Equipo[UND],,0),"")</f>
        <v/>
      </c>
      <c r="D380" s="31"/>
      <c r="E380" s="32" t="str">
        <f>IF(C380="%MO",G384,IFERROR(_xlfn.XLOOKUP($B380,Equipo[DESCRIPCION],Equipo[VALOR],,0),""))</f>
        <v/>
      </c>
      <c r="F380" s="33"/>
      <c r="G380" s="34" t="str">
        <f>IFERROR(IF(F380&gt;=0,D380*E380*(1+F380/100),ABS(D380*E380/F380)),"")</f>
        <v/>
      </c>
      <c r="H380" s="43" t="str">
        <f>IFERROR(G380*E369,"")</f>
        <v/>
      </c>
    </row>
    <row r="381" spans="1:11">
      <c r="A381" s="21"/>
      <c r="B381" s="22" t="s">
        <v>2533</v>
      </c>
      <c r="C381" s="23"/>
      <c r="D381" s="24"/>
      <c r="E381" s="25"/>
      <c r="F381" s="26"/>
      <c r="G381" s="27">
        <f>SUM(G382:G383)</f>
        <v>0</v>
      </c>
      <c r="H381" s="44">
        <f>G381*E369</f>
        <v>0</v>
      </c>
    </row>
    <row r="382" spans="1:11">
      <c r="A382" s="28"/>
      <c r="B382" s="29"/>
      <c r="C382" s="30" t="str">
        <f>IFERROR(_xlfn.XLOOKUP(B382,Transporte[DESCRIPCION],Transporte[UND],,0),"")</f>
        <v/>
      </c>
      <c r="D382" s="31"/>
      <c r="E382" s="32" t="str">
        <f>IFERROR(_xlfn.XLOOKUP($B382,Transporte[DESCRIPCION],Transporte[VALOR],,0),"")</f>
        <v/>
      </c>
      <c r="F382" s="33"/>
      <c r="G382" s="34" t="str">
        <f>IFERROR(IF(F382&gt;=0,D382*E382*(1+F382/100),ABS(D382*E382/F382)),"")</f>
        <v/>
      </c>
      <c r="H382" s="43" t="str">
        <f>IFERROR(G382*E369,"")</f>
        <v/>
      </c>
    </row>
    <row r="383" spans="1:11">
      <c r="A383" s="28"/>
      <c r="B383" s="29"/>
      <c r="C383" s="30" t="str">
        <f>IFERROR(_xlfn.XLOOKUP(B383,Transporte[DESCRIPCION],Transporte[UND],,0),"")</f>
        <v/>
      </c>
      <c r="D383" s="31"/>
      <c r="E383" s="32" t="str">
        <f>IFERROR(_xlfn.XLOOKUP($B383,Transporte[DESCRIPCION],Transporte[VALOR],,0),"")</f>
        <v/>
      </c>
      <c r="F383" s="33"/>
      <c r="G383" s="34" t="str">
        <f>IFERROR(IF(F383&gt;=0,D383*E383*(1+F383/100),ABS(D383*E383/F383)),"")</f>
        <v/>
      </c>
      <c r="H383" s="43" t="str">
        <f>IFERROR(G383*E369,"")</f>
        <v/>
      </c>
    </row>
    <row r="384" spans="1:11">
      <c r="A384" s="21"/>
      <c r="B384" s="22" t="s">
        <v>3732</v>
      </c>
      <c r="C384" s="23"/>
      <c r="D384" s="24"/>
      <c r="E384" s="25"/>
      <c r="F384" s="26"/>
      <c r="G384" s="27">
        <f>SUM(G385:G387)</f>
        <v>112559.65155500003</v>
      </c>
      <c r="H384" s="44">
        <f>G384*E369</f>
        <v>0</v>
      </c>
    </row>
    <row r="385" spans="1:11">
      <c r="A385" s="28"/>
      <c r="B385" s="29" t="s">
        <v>3715</v>
      </c>
      <c r="C385" s="30" t="str">
        <f>IFERROR(_xlfn.XLOOKUP(B385,MObra[DESCRIPCION],MObra[UN],,0),"")</f>
        <v>día</v>
      </c>
      <c r="D385" s="31">
        <v>1</v>
      </c>
      <c r="E385" s="32">
        <f>IFERROR(_xlfn.XLOOKUP($B385,MObra[DESCRIPCION],MObra[VALOR UNIT],,0),"")</f>
        <v>337678.95466500008</v>
      </c>
      <c r="F385" s="33">
        <v>-3</v>
      </c>
      <c r="G385" s="34">
        <f>IFERROR(IF(F385&gt;=0,D385*E385*(1+F385/100),ABS(D385*E385/F385)),"")</f>
        <v>112559.65155500003</v>
      </c>
      <c r="H385" s="43">
        <f>IFERROR(G385*E369,"")</f>
        <v>0</v>
      </c>
    </row>
    <row r="386" spans="1:11">
      <c r="A386" s="28"/>
      <c r="B386" s="29"/>
      <c r="C386" s="30" t="str">
        <f t="array" ref="C386">IFERROR(_xlfn.XLOOKUP(B386,MObra[[#All],[DESCRIPCION]],MObra[[#All],[UN]],,0),"")</f>
        <v/>
      </c>
      <c r="D386" s="31"/>
      <c r="E386" s="32" t="str">
        <f>IFERROR(_xlfn.XLOOKUP($B386,MObra[DESCRIPCION],MObra[VALOR UNIT],,0),"")</f>
        <v/>
      </c>
      <c r="F386" s="33"/>
      <c r="G386" s="34" t="str">
        <f>IFERROR(IF(F386&gt;=0,D386*E386*(1+F386/100),ABS(D386*E386/F386)),"")</f>
        <v/>
      </c>
      <c r="H386" s="43" t="str">
        <f>IFERROR(G386*E369,"")</f>
        <v/>
      </c>
    </row>
    <row r="387" spans="1:11">
      <c r="A387" s="35"/>
      <c r="B387" s="36"/>
      <c r="C387" s="37" t="str">
        <f t="array" ref="C387">IFERROR(_xlfn.XLOOKUP(B387,MObra[[#All],[DESCRIPCION]],MObra[[#All],[UN]],,0),"")</f>
        <v/>
      </c>
      <c r="D387" s="38"/>
      <c r="E387" s="39" t="str">
        <f>IFERROR(_xlfn.XLOOKUP($B387,MObra[DESCRIPCION],MObra[VALOR UNIT],,0),"")</f>
        <v/>
      </c>
      <c r="F387" s="40"/>
      <c r="G387" s="41" t="str">
        <f>IFERROR(IF(F387&gt;=0,D387*E387*(1+F387/100),ABS(D387*E387/F387)),"")</f>
        <v/>
      </c>
      <c r="H387" s="42" t="str">
        <f>IFERROR(G387*E369,"")</f>
        <v/>
      </c>
    </row>
    <row r="388" spans="1:11" ht="13.5" thickTop="1" thickBot="1"/>
    <row r="389" spans="1:11" ht="26.25" thickTop="1" thickBot="1">
      <c r="A389" s="6" t="s">
        <v>915</v>
      </c>
      <c r="B389" s="7" t="str">
        <f>VLOOKUP($A389,Presupuesto!$A:$D,2,FALSE())</f>
        <v>Calibración ante EEP de Medidor electrónico Monofásico de 5-100 amperios</v>
      </c>
      <c r="C389" s="8" t="str">
        <f>VLOOKUP($A389,Presupuesto!$A:$D,3,FALSE())</f>
        <v>Un</v>
      </c>
      <c r="D389" s="9"/>
      <c r="E389" s="10">
        <f>VLOOKUP($A389,Presupuesto!$A:$D,4,FALSE())</f>
        <v>0</v>
      </c>
      <c r="F389" s="11" t="s">
        <v>2589</v>
      </c>
      <c r="G389" s="12">
        <f>SUM(G391:G407)/2</f>
        <v>101950.72682654999</v>
      </c>
      <c r="H389" s="13">
        <f>ROUND(SUM(H391:H407),0)/2</f>
        <v>0</v>
      </c>
      <c r="I389" s="10">
        <f>VLOOKUP(A389,Presupuesto!$A:$F,6,0)</f>
        <v>0</v>
      </c>
      <c r="J389" s="10">
        <f>+H389-I389</f>
        <v>0</v>
      </c>
      <c r="K389" s="46">
        <f>+H389-G389*E389</f>
        <v>0</v>
      </c>
    </row>
    <row r="390" spans="1:11">
      <c r="A390" s="14"/>
      <c r="B390" s="15" t="s">
        <v>2586</v>
      </c>
      <c r="C390" s="15" t="s">
        <v>5</v>
      </c>
      <c r="D390" s="16" t="s">
        <v>6</v>
      </c>
      <c r="E390" s="17" t="s">
        <v>7</v>
      </c>
      <c r="F390" s="18" t="s">
        <v>3728</v>
      </c>
      <c r="G390" s="19" t="s">
        <v>3729</v>
      </c>
      <c r="H390" s="20" t="s">
        <v>3797</v>
      </c>
    </row>
    <row r="391" spans="1:11">
      <c r="A391" s="21"/>
      <c r="B391" s="22" t="s">
        <v>3730</v>
      </c>
      <c r="C391" s="23"/>
      <c r="D391" s="24"/>
      <c r="E391" s="25"/>
      <c r="F391" s="26"/>
      <c r="G391" s="27">
        <f>SUM(G392:G396)</f>
        <v>78313.2</v>
      </c>
      <c r="H391" s="27">
        <f>IFERROR(G391*E389,"")</f>
        <v>0</v>
      </c>
    </row>
    <row r="392" spans="1:11">
      <c r="A392" s="28"/>
      <c r="B392" s="29" t="s">
        <v>2813</v>
      </c>
      <c r="C392" s="30" t="str">
        <f>IFERROR(_xlfn.XLOOKUP(B392,Insumo[DESCRIPCION],Insumo[UND],,0),"")</f>
        <v>Un</v>
      </c>
      <c r="D392" s="31">
        <v>1</v>
      </c>
      <c r="E392" s="32">
        <f>IFERROR(_xlfn.XLOOKUP($B392,Insumo[DESCRIPCION],Insumo[VALOR],,0),"")</f>
        <v>78313.2</v>
      </c>
      <c r="F392" s="33"/>
      <c r="G392" s="34">
        <f>IFERROR(IF(F392&gt;=0,D392*E392*(1+F392/100),ABS(D392*E392/F392)),"")</f>
        <v>78313.2</v>
      </c>
      <c r="H392" s="43">
        <f>IFERROR(G392*E389,"")</f>
        <v>0</v>
      </c>
    </row>
    <row r="393" spans="1:11">
      <c r="A393" s="28"/>
      <c r="B393" s="29"/>
      <c r="C393" s="30" t="str">
        <f>IFERROR(_xlfn.XLOOKUP(B393,Insumo[DESCRIPCION],Insumo[UND],,0),"")</f>
        <v/>
      </c>
      <c r="D393" s="31"/>
      <c r="E393" s="32" t="str">
        <f>IFERROR(_xlfn.XLOOKUP($B393,Insumo[DESCRIPCION],Insumo[VALOR],,0),"")</f>
        <v/>
      </c>
      <c r="F393" s="33"/>
      <c r="G393" s="34" t="str">
        <f>IFERROR(IF(F393&gt;=0,D393*E393*(1+F393/100),ABS(D393*E393/F393)),"")</f>
        <v/>
      </c>
      <c r="H393" s="43" t="str">
        <f>IFERROR(G393*E389,"")</f>
        <v/>
      </c>
    </row>
    <row r="394" spans="1:11">
      <c r="A394" s="28"/>
      <c r="B394" s="29"/>
      <c r="C394" s="30" t="str">
        <f>IFERROR(_xlfn.XLOOKUP(B394,Insumo[DESCRIPCION],Insumo[UND],,0),"")</f>
        <v/>
      </c>
      <c r="D394" s="31"/>
      <c r="E394" s="32" t="str">
        <f>IFERROR(_xlfn.XLOOKUP($B394,Insumo[DESCRIPCION],Insumo[VALOR],,0),"")</f>
        <v/>
      </c>
      <c r="F394" s="33"/>
      <c r="G394" s="34" t="str">
        <f t="shared" ref="G394:G396" si="2">IFERROR(IF(F394&gt;=0,D394*E394*(1+F394/100),ABS(D394*E394/F394)),"")</f>
        <v/>
      </c>
      <c r="H394" s="43" t="str">
        <f>IFERROR(G394*E390,"")</f>
        <v/>
      </c>
    </row>
    <row r="395" spans="1:11">
      <c r="A395" s="28"/>
      <c r="B395" s="29"/>
      <c r="C395" s="30" t="str">
        <f>IFERROR(_xlfn.XLOOKUP(B395,Insumo[DESCRIPCION],Insumo[UND],,0),"")</f>
        <v/>
      </c>
      <c r="D395" s="31"/>
      <c r="E395" s="32" t="str">
        <f>IFERROR(_xlfn.XLOOKUP($B395,Insumo[DESCRIPCION],Insumo[VALOR],,0),"")</f>
        <v/>
      </c>
      <c r="F395" s="33"/>
      <c r="G395" s="34" t="str">
        <f t="shared" si="2"/>
        <v/>
      </c>
      <c r="H395" s="43" t="str">
        <f>IFERROR(G395*E391,"")</f>
        <v/>
      </c>
    </row>
    <row r="396" spans="1:11">
      <c r="A396" s="28"/>
      <c r="B396" s="29"/>
      <c r="C396" s="30" t="str">
        <f>IFERROR(_xlfn.XLOOKUP(B396,Insumo[DESCRIPCION],Insumo[UND],,0),"")</f>
        <v/>
      </c>
      <c r="D396" s="31"/>
      <c r="E396" s="32" t="str">
        <f>IFERROR(_xlfn.XLOOKUP($B396,Insumo[DESCRIPCION],Insumo[VALOR],,0),"")</f>
        <v/>
      </c>
      <c r="F396" s="33"/>
      <c r="G396" s="34" t="str">
        <f t="shared" si="2"/>
        <v/>
      </c>
      <c r="H396" s="43" t="str">
        <f>IFERROR(G396*E392,"")</f>
        <v/>
      </c>
    </row>
    <row r="397" spans="1:11">
      <c r="A397" s="21"/>
      <c r="B397" s="22" t="s">
        <v>3731</v>
      </c>
      <c r="C397" s="23"/>
      <c r="D397" s="24"/>
      <c r="E397" s="25"/>
      <c r="F397" s="26"/>
      <c r="G397" s="27">
        <f>SUM(G398:G400)</f>
        <v>1125.5965155500005</v>
      </c>
      <c r="H397" s="44">
        <f>G397*E389</f>
        <v>0</v>
      </c>
    </row>
    <row r="398" spans="1:11">
      <c r="A398" s="28"/>
      <c r="B398" s="29" t="s">
        <v>3626</v>
      </c>
      <c r="C398" s="30" t="str">
        <f>IFERROR(_xlfn.XLOOKUP(B398,Equipo[DESCRIPCION],Equipo[UND],,0),"")</f>
        <v>%MO</v>
      </c>
      <c r="D398" s="31">
        <v>0.05</v>
      </c>
      <c r="E398" s="32">
        <f>IF(C398="%MO",G404,IFERROR(_xlfn.XLOOKUP($B398,Equipo[DESCRIPCION],Equipo[VALOR],,0),""))</f>
        <v>22511.930311000007</v>
      </c>
      <c r="F398" s="33"/>
      <c r="G398" s="34">
        <f>IFERROR(IF(F398&gt;=0,D398*E398*(1+F398/100),ABS(D398*E398/F398)),"")</f>
        <v>1125.5965155500005</v>
      </c>
      <c r="H398" s="43">
        <f>IFERROR(G398*E389,"")</f>
        <v>0</v>
      </c>
    </row>
    <row r="399" spans="1:11">
      <c r="A399" s="28"/>
      <c r="B399" s="29"/>
      <c r="C399" s="30" t="str">
        <f>IFERROR(_xlfn.XLOOKUP(B399,Equipo[DESCRIPCION],Equipo[UND],,0),"")</f>
        <v/>
      </c>
      <c r="D399" s="31"/>
      <c r="E399" s="32" t="str">
        <f>IF(C399="%MO",G404,IFERROR(_xlfn.XLOOKUP($B399,Equipo[DESCRIPCION],Equipo[VALOR],,0),""))</f>
        <v/>
      </c>
      <c r="F399" s="33"/>
      <c r="G399" s="34" t="str">
        <f>IFERROR(IF(F399&gt;=0,D399*E399*(1+F399/100),ABS(D399*E399/F399)),"")</f>
        <v/>
      </c>
      <c r="H399" s="43" t="str">
        <f>IFERROR(G399*E389,"")</f>
        <v/>
      </c>
    </row>
    <row r="400" spans="1:11">
      <c r="A400" s="28"/>
      <c r="B400" s="29"/>
      <c r="C400" s="30" t="str">
        <f>IFERROR(_xlfn.XLOOKUP(B400,Equipo[DESCRIPCION],Equipo[UND],,0),"")</f>
        <v/>
      </c>
      <c r="D400" s="31"/>
      <c r="E400" s="32" t="str">
        <f>IF(C400="%MO",G404,IFERROR(_xlfn.XLOOKUP($B400,Equipo[DESCRIPCION],Equipo[VALOR],,0),""))</f>
        <v/>
      </c>
      <c r="F400" s="33"/>
      <c r="G400" s="34" t="str">
        <f>IFERROR(IF(F400&gt;=0,D400*E400*(1+F400/100),ABS(D400*E400/F400)),"")</f>
        <v/>
      </c>
      <c r="H400" s="43" t="str">
        <f>IFERROR(G400*E389,"")</f>
        <v/>
      </c>
    </row>
    <row r="401" spans="1:11">
      <c r="A401" s="21"/>
      <c r="B401" s="22" t="s">
        <v>2533</v>
      </c>
      <c r="C401" s="23"/>
      <c r="D401" s="24"/>
      <c r="E401" s="25"/>
      <c r="F401" s="26"/>
      <c r="G401" s="27">
        <f>SUM(G402:G403)</f>
        <v>0</v>
      </c>
      <c r="H401" s="44">
        <f>G401*E389</f>
        <v>0</v>
      </c>
    </row>
    <row r="402" spans="1:11">
      <c r="A402" s="28"/>
      <c r="B402" s="29"/>
      <c r="C402" s="30" t="str">
        <f>IFERROR(_xlfn.XLOOKUP(B402,Transporte[DESCRIPCION],Transporte[UND],,0),"")</f>
        <v/>
      </c>
      <c r="D402" s="31"/>
      <c r="E402" s="32" t="str">
        <f>IFERROR(_xlfn.XLOOKUP($B402,Transporte[DESCRIPCION],Transporte[VALOR],,0),"")</f>
        <v/>
      </c>
      <c r="F402" s="33"/>
      <c r="G402" s="34" t="str">
        <f>IFERROR(IF(F402&gt;=0,D402*E402*(1+F402/100),ABS(D402*E402/F402)),"")</f>
        <v/>
      </c>
      <c r="H402" s="43" t="str">
        <f>IFERROR(G402*E389,"")</f>
        <v/>
      </c>
    </row>
    <row r="403" spans="1:11">
      <c r="A403" s="28"/>
      <c r="B403" s="29"/>
      <c r="C403" s="30" t="str">
        <f>IFERROR(_xlfn.XLOOKUP(B403,Transporte[DESCRIPCION],Transporte[UND],,0),"")</f>
        <v/>
      </c>
      <c r="D403" s="31"/>
      <c r="E403" s="32" t="str">
        <f>IFERROR(_xlfn.XLOOKUP($B403,Transporte[DESCRIPCION],Transporte[VALOR],,0),"")</f>
        <v/>
      </c>
      <c r="F403" s="33"/>
      <c r="G403" s="34" t="str">
        <f>IFERROR(IF(F403&gt;=0,D403*E403*(1+F403/100),ABS(D403*E403/F403)),"")</f>
        <v/>
      </c>
      <c r="H403" s="43" t="str">
        <f>IFERROR(G403*E389,"")</f>
        <v/>
      </c>
    </row>
    <row r="404" spans="1:11">
      <c r="A404" s="21"/>
      <c r="B404" s="22" t="s">
        <v>3732</v>
      </c>
      <c r="C404" s="23"/>
      <c r="D404" s="24"/>
      <c r="E404" s="25"/>
      <c r="F404" s="26"/>
      <c r="G404" s="27">
        <f>SUM(G405:G407)</f>
        <v>22511.930311000007</v>
      </c>
      <c r="H404" s="44">
        <f>G404*E389</f>
        <v>0</v>
      </c>
    </row>
    <row r="405" spans="1:11">
      <c r="A405" s="28"/>
      <c r="B405" s="29" t="s">
        <v>3715</v>
      </c>
      <c r="C405" s="30" t="str">
        <f>IFERROR(_xlfn.XLOOKUP(B405,MObra[DESCRIPCION],MObra[UN],,0),"")</f>
        <v>día</v>
      </c>
      <c r="D405" s="31">
        <v>1</v>
      </c>
      <c r="E405" s="32">
        <f>IFERROR(_xlfn.XLOOKUP($B405,MObra[DESCRIPCION],MObra[VALOR UNIT],,0),"")</f>
        <v>337678.95466500008</v>
      </c>
      <c r="F405" s="33">
        <v>-15</v>
      </c>
      <c r="G405" s="34">
        <f>IFERROR(IF(F405&gt;=0,D405*E405*(1+F405/100),ABS(D405*E405/F405)),"")</f>
        <v>22511.930311000007</v>
      </c>
      <c r="H405" s="43">
        <f>IFERROR(G405*E389,"")</f>
        <v>0</v>
      </c>
    </row>
    <row r="406" spans="1:11">
      <c r="A406" s="28"/>
      <c r="B406" s="29"/>
      <c r="C406" s="30" t="str">
        <f t="array" ref="C406">IFERROR(_xlfn.XLOOKUP(B406,MObra[[#All],[DESCRIPCION]],MObra[[#All],[UN]],,0),"")</f>
        <v/>
      </c>
      <c r="D406" s="31"/>
      <c r="E406" s="32" t="str">
        <f>IFERROR(_xlfn.XLOOKUP($B406,MObra[DESCRIPCION],MObra[VALOR UNIT],,0),"")</f>
        <v/>
      </c>
      <c r="F406" s="33"/>
      <c r="G406" s="34" t="str">
        <f>IFERROR(IF(F406&gt;=0,D406*E406*(1+F406/100),ABS(D406*E406/F406)),"")</f>
        <v/>
      </c>
      <c r="H406" s="43" t="str">
        <f>IFERROR(G406*E389,"")</f>
        <v/>
      </c>
    </row>
    <row r="407" spans="1:11">
      <c r="A407" s="35"/>
      <c r="B407" s="36"/>
      <c r="C407" s="37" t="str">
        <f t="array" ref="C407">IFERROR(_xlfn.XLOOKUP(B407,MObra[[#All],[DESCRIPCION]],MObra[[#All],[UN]],,0),"")</f>
        <v/>
      </c>
      <c r="D407" s="38"/>
      <c r="E407" s="39" t="str">
        <f>IFERROR(_xlfn.XLOOKUP($B407,MObra[DESCRIPCION],MObra[VALOR UNIT],,0),"")</f>
        <v/>
      </c>
      <c r="F407" s="40"/>
      <c r="G407" s="41" t="str">
        <f>IFERROR(IF(F407&gt;=0,D407*E407*(1+F407/100),ABS(D407*E407/F407)),"")</f>
        <v/>
      </c>
      <c r="H407" s="42" t="str">
        <f>IFERROR(G407*E389,"")</f>
        <v/>
      </c>
    </row>
    <row r="408" spans="1:11" ht="13.5" thickTop="1" thickBot="1"/>
    <row r="409" spans="1:11" ht="26.25" thickTop="1" thickBot="1">
      <c r="A409" s="6" t="s">
        <v>917</v>
      </c>
      <c r="B409" s="7" t="str">
        <f>VLOOKUP($A409,Presupuesto!$A:$D,2,FALSE())</f>
        <v>Cinta Flexible LED 4000 K, 50 Lm/W. Para aplique en panel Arquitectónico o espejos</v>
      </c>
      <c r="C409" s="8" t="str">
        <f>VLOOKUP($A409,Presupuesto!$A:$D,3,FALSE())</f>
        <v>M</v>
      </c>
      <c r="D409" s="9"/>
      <c r="E409" s="10">
        <f>VLOOKUP($A409,Presupuesto!$A:$D,4,FALSE())</f>
        <v>0</v>
      </c>
      <c r="F409" s="11" t="s">
        <v>2589</v>
      </c>
      <c r="G409" s="12">
        <f>SUM(G411:G427)/2</f>
        <v>48193.702653278589</v>
      </c>
      <c r="H409" s="13">
        <f>ROUND(SUM(H411:H427),0)/2</f>
        <v>0</v>
      </c>
      <c r="I409" s="10">
        <f>VLOOKUP(A409,Presupuesto!$A:$F,6,0)</f>
        <v>0</v>
      </c>
      <c r="J409" s="10">
        <f>+H409-I409</f>
        <v>0</v>
      </c>
      <c r="K409" s="46">
        <f>+H409-G409*E409</f>
        <v>0</v>
      </c>
    </row>
    <row r="410" spans="1:11">
      <c r="A410" s="14"/>
      <c r="B410" s="15" t="s">
        <v>2586</v>
      </c>
      <c r="C410" s="15" t="s">
        <v>5</v>
      </c>
      <c r="D410" s="16" t="s">
        <v>6</v>
      </c>
      <c r="E410" s="17" t="s">
        <v>7</v>
      </c>
      <c r="F410" s="18" t="s">
        <v>3728</v>
      </c>
      <c r="G410" s="19" t="s">
        <v>3729</v>
      </c>
      <c r="H410" s="20" t="s">
        <v>3797</v>
      </c>
    </row>
    <row r="411" spans="1:11">
      <c r="A411" s="21"/>
      <c r="B411" s="22" t="s">
        <v>3730</v>
      </c>
      <c r="C411" s="23"/>
      <c r="D411" s="24"/>
      <c r="E411" s="25"/>
      <c r="F411" s="26"/>
      <c r="G411" s="27">
        <f>SUM(G412:G416)</f>
        <v>37098.537000000004</v>
      </c>
      <c r="H411" s="27">
        <f>IFERROR(G411*E409,"")</f>
        <v>0</v>
      </c>
    </row>
    <row r="412" spans="1:11">
      <c r="A412" s="28"/>
      <c r="B412" s="135" t="s">
        <v>2848</v>
      </c>
      <c r="C412" s="30" t="str">
        <f>IFERROR(_xlfn.XLOOKUP(B412,Insumo[DESCRIPCION],Insumo[UND],,0),"")</f>
        <v>M</v>
      </c>
      <c r="D412" s="31">
        <v>1</v>
      </c>
      <c r="E412" s="32">
        <f>IFERROR(_xlfn.XLOOKUP($B412,Insumo[DESCRIPCION],Insumo[VALOR],,0),"")</f>
        <v>37098.537000000004</v>
      </c>
      <c r="F412" s="33"/>
      <c r="G412" s="34">
        <f>IFERROR(IF(F412&gt;=0,D412*E412*(1+F412/100),ABS(D412*E412/F412)),"")</f>
        <v>37098.537000000004</v>
      </c>
      <c r="H412" s="43">
        <f>IFERROR(G412*E409,"")</f>
        <v>0</v>
      </c>
    </row>
    <row r="413" spans="1:11">
      <c r="A413" s="28"/>
      <c r="B413" s="29"/>
      <c r="C413" s="30" t="str">
        <f>IFERROR(_xlfn.XLOOKUP(B413,Insumo[DESCRIPCION],Insumo[UND],,0),"")</f>
        <v/>
      </c>
      <c r="D413" s="31"/>
      <c r="E413" s="32" t="str">
        <f>IFERROR(_xlfn.XLOOKUP($B413,Insumo[DESCRIPCION],Insumo[VALOR],,0),"")</f>
        <v/>
      </c>
      <c r="F413" s="33"/>
      <c r="G413" s="34" t="str">
        <f>IFERROR(IF(F413&gt;=0,D413*E413*(1+F413/100),ABS(D413*E413/F413)),"")</f>
        <v/>
      </c>
      <c r="H413" s="43" t="str">
        <f>IFERROR(G413*E409,"")</f>
        <v/>
      </c>
    </row>
    <row r="414" spans="1:11">
      <c r="A414" s="28"/>
      <c r="B414" s="29"/>
      <c r="C414" s="30" t="str">
        <f>IFERROR(_xlfn.XLOOKUP(B414,Insumo[DESCRIPCION],Insumo[UND],,0),"")</f>
        <v/>
      </c>
      <c r="D414" s="31"/>
      <c r="E414" s="32" t="str">
        <f>IFERROR(_xlfn.XLOOKUP($B414,Insumo[DESCRIPCION],Insumo[VALOR],,0),"")</f>
        <v/>
      </c>
      <c r="F414" s="33"/>
      <c r="G414" s="34" t="str">
        <f>IFERROR(IF(F414&gt;=0,D414*E414*(1+F414/100),ABS(D414*E414/F414)),"")</f>
        <v/>
      </c>
      <c r="H414" s="43" t="str">
        <f>IFERROR(G414*E409,"")</f>
        <v/>
      </c>
    </row>
    <row r="415" spans="1:11">
      <c r="A415" s="28"/>
      <c r="B415" s="29"/>
      <c r="C415" s="30" t="str">
        <f>IFERROR(_xlfn.XLOOKUP(B415,Insumo[DESCRIPCION],Insumo[UND],,0),"")</f>
        <v/>
      </c>
      <c r="D415" s="31"/>
      <c r="E415" s="32" t="str">
        <f>IFERROR(_xlfn.XLOOKUP($B415,Insumo[DESCRIPCION],Insumo[VALOR],,0),"")</f>
        <v/>
      </c>
      <c r="F415" s="33"/>
      <c r="G415" s="34" t="str">
        <f>IFERROR(IF(F415&gt;=0,D415*E415*(1+F415/100),ABS(D415*E415/F415)),"")</f>
        <v/>
      </c>
      <c r="H415" s="43" t="str">
        <f>IFERROR(G415*E409,"")</f>
        <v/>
      </c>
    </row>
    <row r="416" spans="1:11">
      <c r="A416" s="28"/>
      <c r="B416" s="29"/>
      <c r="C416" s="30" t="str">
        <f>IFERROR(_xlfn.XLOOKUP(B416,Insumo[DESCRIPCION],Insumo[UND],,0),"")</f>
        <v/>
      </c>
      <c r="D416" s="31"/>
      <c r="E416" s="32" t="str">
        <f>IFERROR(_xlfn.XLOOKUP($B416,Insumo[DESCRIPCION],Insumo[VALOR],,0),"")</f>
        <v/>
      </c>
      <c r="F416" s="33"/>
      <c r="G416" s="34" t="str">
        <f>IFERROR(IF(F416&gt;=0,D416*E416*(1+F416/100),ABS(D416*E416/F416)),"")</f>
        <v/>
      </c>
      <c r="H416" s="43" t="str">
        <f>IFERROR(G416*E409,"")</f>
        <v/>
      </c>
    </row>
    <row r="417" spans="1:11">
      <c r="A417" s="21"/>
      <c r="B417" s="22" t="s">
        <v>3731</v>
      </c>
      <c r="C417" s="23"/>
      <c r="D417" s="24"/>
      <c r="E417" s="25"/>
      <c r="F417" s="26"/>
      <c r="G417" s="27">
        <f>SUM(G418:G420)</f>
        <v>1447.1955199928575</v>
      </c>
      <c r="H417" s="44">
        <f>G417*E409</f>
        <v>0</v>
      </c>
    </row>
    <row r="418" spans="1:11">
      <c r="A418" s="28"/>
      <c r="B418" s="29" t="s">
        <v>3573</v>
      </c>
      <c r="C418" s="30" t="str">
        <f>IFERROR(_xlfn.XLOOKUP(B418,Equipo[DESCRIPCION],Equipo[UND],,0),"")</f>
        <v>%MO</v>
      </c>
      <c r="D418" s="31">
        <v>0.1</v>
      </c>
      <c r="E418" s="32">
        <f>IF(C418="%MO",G424,IFERROR(_xlfn.XLOOKUP($B418,Equipo[DESCRIPCION],Equipo[VALOR],,0),""))</f>
        <v>9647.9701332857167</v>
      </c>
      <c r="F418" s="33"/>
      <c r="G418" s="34">
        <f>IFERROR(IF(F418&gt;=0,D418*E418*(1+F418/100),ABS(D418*E418/F418)),"")</f>
        <v>964.79701332857167</v>
      </c>
      <c r="H418" s="43">
        <f>IFERROR(G418*E409,"")</f>
        <v>0</v>
      </c>
    </row>
    <row r="419" spans="1:11">
      <c r="A419" s="28"/>
      <c r="B419" s="29" t="s">
        <v>3626</v>
      </c>
      <c r="C419" s="30" t="str">
        <f>IFERROR(_xlfn.XLOOKUP(B419,Equipo[DESCRIPCION],Equipo[UND],,0),"")</f>
        <v>%MO</v>
      </c>
      <c r="D419" s="31">
        <v>0.05</v>
      </c>
      <c r="E419" s="32">
        <f>IF(C419="%MO",G424,IFERROR(_xlfn.XLOOKUP($B419,Equipo[DESCRIPCION],Equipo[VALOR],,0),""))</f>
        <v>9647.9701332857167</v>
      </c>
      <c r="F419" s="33"/>
      <c r="G419" s="34">
        <f>IFERROR(IF(F419&gt;=0,D419*E419*(1+F419/100),ABS(D419*E419/F419)),"")</f>
        <v>482.39850666428583</v>
      </c>
      <c r="H419" s="43">
        <f>IFERROR(G419*E409,"")</f>
        <v>0</v>
      </c>
    </row>
    <row r="420" spans="1:11">
      <c r="A420" s="28"/>
      <c r="B420" s="29"/>
      <c r="C420" s="30" t="str">
        <f>IFERROR(_xlfn.XLOOKUP(B420,Equipo[DESCRIPCION],Equipo[UND],,0),"")</f>
        <v/>
      </c>
      <c r="D420" s="31"/>
      <c r="E420" s="32" t="str">
        <f>IF(C420="%MO",G424,IFERROR(_xlfn.XLOOKUP($B420,Equipo[DESCRIPCION],Equipo[VALOR],,0),""))</f>
        <v/>
      </c>
      <c r="F420" s="33"/>
      <c r="G420" s="34" t="str">
        <f>IFERROR(IF(F420&gt;=0,D420*E420*(1+F420/100),ABS(D420*E420/F420)),"")</f>
        <v/>
      </c>
      <c r="H420" s="43" t="str">
        <f>IFERROR(G420*E409,"")</f>
        <v/>
      </c>
    </row>
    <row r="421" spans="1:11">
      <c r="A421" s="21"/>
      <c r="B421" s="22" t="s">
        <v>2533</v>
      </c>
      <c r="C421" s="23"/>
      <c r="D421" s="24"/>
      <c r="E421" s="25"/>
      <c r="F421" s="26"/>
      <c r="G421" s="27">
        <f>SUM(G422:G423)</f>
        <v>0</v>
      </c>
      <c r="H421" s="44">
        <f>G421*E409</f>
        <v>0</v>
      </c>
    </row>
    <row r="422" spans="1:11">
      <c r="A422" s="28"/>
      <c r="B422" s="29"/>
      <c r="C422" s="30" t="str">
        <f>IFERROR(_xlfn.XLOOKUP(B422,Transporte[DESCRIPCION],Transporte[UND],,0),"")</f>
        <v/>
      </c>
      <c r="D422" s="31"/>
      <c r="E422" s="32" t="str">
        <f>IFERROR(_xlfn.XLOOKUP($B422,Transporte[DESCRIPCION],Transporte[VALOR],,0),"")</f>
        <v/>
      </c>
      <c r="F422" s="33"/>
      <c r="G422" s="34" t="str">
        <f>IFERROR(IF(F422&gt;=0,D422*E422*(1+F422/100),ABS(D422*E422/F422)),"")</f>
        <v/>
      </c>
      <c r="H422" s="43" t="str">
        <f>IFERROR(G422*E409,"")</f>
        <v/>
      </c>
    </row>
    <row r="423" spans="1:11">
      <c r="A423" s="28"/>
      <c r="B423" s="29"/>
      <c r="C423" s="30" t="str">
        <f>IFERROR(_xlfn.XLOOKUP(B423,Transporte[DESCRIPCION],Transporte[UND],,0),"")</f>
        <v/>
      </c>
      <c r="D423" s="31"/>
      <c r="E423" s="32" t="str">
        <f>IFERROR(_xlfn.XLOOKUP($B423,Transporte[DESCRIPCION],Transporte[VALOR],,0),"")</f>
        <v/>
      </c>
      <c r="F423" s="33"/>
      <c r="G423" s="34" t="str">
        <f>IFERROR(IF(F423&gt;=0,D423*E423*(1+F423/100),ABS(D423*E423/F423)),"")</f>
        <v/>
      </c>
      <c r="H423" s="43" t="str">
        <f>IFERROR(G423*E409,"")</f>
        <v/>
      </c>
    </row>
    <row r="424" spans="1:11">
      <c r="A424" s="21"/>
      <c r="B424" s="22" t="s">
        <v>3732</v>
      </c>
      <c r="C424" s="23"/>
      <c r="D424" s="24"/>
      <c r="E424" s="25"/>
      <c r="F424" s="26"/>
      <c r="G424" s="27">
        <f>SUM(G425:G427)</f>
        <v>9647.9701332857167</v>
      </c>
      <c r="H424" s="44">
        <f>G424*E409</f>
        <v>0</v>
      </c>
    </row>
    <row r="425" spans="1:11">
      <c r="A425" s="28"/>
      <c r="B425" s="29" t="s">
        <v>3715</v>
      </c>
      <c r="C425" s="30" t="str">
        <f>IFERROR(_xlfn.XLOOKUP(B425,MObra[DESCRIPCION],MObra[UN],,0),"")</f>
        <v>día</v>
      </c>
      <c r="D425" s="31">
        <v>1</v>
      </c>
      <c r="E425" s="32">
        <f>IFERROR(_xlfn.XLOOKUP($B425,MObra[DESCRIPCION],MObra[VALOR UNIT],,0),"")</f>
        <v>337678.95466500008</v>
      </c>
      <c r="F425" s="33">
        <v>-35</v>
      </c>
      <c r="G425" s="34">
        <f>IFERROR(IF(F425&gt;=0,D425*E425*(1+F425/100),ABS(D425*E425/F425)),"")</f>
        <v>9647.9701332857167</v>
      </c>
      <c r="H425" s="43">
        <f>IFERROR(G425*E409,"")</f>
        <v>0</v>
      </c>
    </row>
    <row r="426" spans="1:11">
      <c r="A426" s="28"/>
      <c r="B426" s="29"/>
      <c r="C426" s="30" t="str">
        <f t="array" ref="C426">IFERROR(_xlfn.XLOOKUP(B426,MObra[[#All],[DESCRIPCION]],MObra[[#All],[UN]],,0),"")</f>
        <v/>
      </c>
      <c r="D426" s="31"/>
      <c r="E426" s="32" t="str">
        <f>IFERROR(_xlfn.XLOOKUP($B426,MObra[DESCRIPCION],MObra[VALOR UNIT],,0),"")</f>
        <v/>
      </c>
      <c r="F426" s="33"/>
      <c r="G426" s="34" t="str">
        <f>IFERROR(IF(F426&gt;=0,D426*E426*(1+F426/100),ABS(D426*E426/F426)),"")</f>
        <v/>
      </c>
      <c r="H426" s="43" t="str">
        <f>IFERROR(G426*E409,"")</f>
        <v/>
      </c>
    </row>
    <row r="427" spans="1:11">
      <c r="A427" s="35"/>
      <c r="B427" s="36"/>
      <c r="C427" s="37" t="str">
        <f t="array" ref="C427">IFERROR(_xlfn.XLOOKUP(B427,MObra[[#All],[DESCRIPCION]],MObra[[#All],[UN]],,0),"")</f>
        <v/>
      </c>
      <c r="D427" s="38"/>
      <c r="E427" s="39" t="str">
        <f>IFERROR(_xlfn.XLOOKUP($B427,MObra[DESCRIPCION],MObra[VALOR UNIT],,0),"")</f>
        <v/>
      </c>
      <c r="F427" s="40"/>
      <c r="G427" s="41" t="str">
        <f>IFERROR(IF(F427&gt;=0,D427*E427*(1+F427/100),ABS(D427*E427/F427)),"")</f>
        <v/>
      </c>
      <c r="H427" s="42" t="str">
        <f>IFERROR(G427*E409,"")</f>
        <v/>
      </c>
    </row>
    <row r="429" spans="1:11">
      <c r="A429" s="6" t="s">
        <v>919</v>
      </c>
      <c r="B429" s="7" t="str">
        <f>VLOOKUP($A429,Presupuesto!$A:$D,2,FALSE())</f>
        <v>Circuito ramal monofásico bifilar calibre 2/0 AWG 1F+1N+1T ó 2F+1T</v>
      </c>
      <c r="C429" s="8" t="str">
        <f>VLOOKUP($A429,Presupuesto!$A:$D,3,FALSE())</f>
        <v>M</v>
      </c>
      <c r="D429" s="9"/>
      <c r="E429" s="10">
        <f>VLOOKUP($A429,Presupuesto!$A:$D,4,FALSE())</f>
        <v>0</v>
      </c>
      <c r="F429" s="11" t="s">
        <v>2589</v>
      </c>
      <c r="G429" s="12">
        <f>SUM(G431:G447)/2</f>
        <v>167566.96694954092</v>
      </c>
      <c r="H429" s="13">
        <f>ROUND(SUM(H431:H447),0)/2</f>
        <v>0</v>
      </c>
      <c r="I429" s="10">
        <f>VLOOKUP(A429,Presupuesto!$A:$F,6,0)</f>
        <v>0</v>
      </c>
      <c r="J429" s="10">
        <f>+H429-I429</f>
        <v>0</v>
      </c>
      <c r="K429" s="46">
        <f>+H429-G429*E429</f>
        <v>0</v>
      </c>
    </row>
    <row r="430" spans="1:11">
      <c r="A430" s="14"/>
      <c r="B430" s="15" t="s">
        <v>2586</v>
      </c>
      <c r="C430" s="15" t="s">
        <v>5</v>
      </c>
      <c r="D430" s="16" t="s">
        <v>6</v>
      </c>
      <c r="E430" s="17" t="s">
        <v>7</v>
      </c>
      <c r="F430" s="18" t="s">
        <v>3728</v>
      </c>
      <c r="G430" s="19" t="s">
        <v>3729</v>
      </c>
      <c r="H430" s="20" t="s">
        <v>3797</v>
      </c>
    </row>
    <row r="431" spans="1:11">
      <c r="A431" s="21"/>
      <c r="B431" s="22" t="s">
        <v>3730</v>
      </c>
      <c r="C431" s="23"/>
      <c r="D431" s="24"/>
      <c r="E431" s="25"/>
      <c r="F431" s="26"/>
      <c r="G431" s="27">
        <f>SUM(G432:G436)</f>
        <v>156413.32875000002</v>
      </c>
      <c r="H431" s="27">
        <f>IFERROR(G431*E429,"")</f>
        <v>0</v>
      </c>
    </row>
    <row r="432" spans="1:11">
      <c r="A432" s="28"/>
      <c r="B432" s="29" t="s">
        <v>2794</v>
      </c>
      <c r="C432" s="30" t="str">
        <f>IFERROR(_xlfn.XLOOKUP(B432,Insumo[DESCRIPCION],Insumo[UND],,0),"")</f>
        <v>M</v>
      </c>
      <c r="D432" s="31">
        <v>3</v>
      </c>
      <c r="E432" s="32">
        <f>IFERROR(_xlfn.XLOOKUP($B432,Insumo[DESCRIPCION],Insumo[VALOR],,0),"")</f>
        <v>52137.776250000003</v>
      </c>
      <c r="F432" s="33"/>
      <c r="G432" s="34">
        <f>IFERROR(IF(F432&gt;=0,D432*E432*(1+F432/100),ABS(D432*E432/F432)),"")</f>
        <v>156413.32875000002</v>
      </c>
      <c r="H432" s="43">
        <f>IFERROR(G432*E429,"")</f>
        <v>0</v>
      </c>
    </row>
    <row r="433" spans="1:8">
      <c r="A433" s="28"/>
      <c r="B433" s="29"/>
      <c r="C433" s="30" t="str">
        <f>IFERROR(_xlfn.XLOOKUP(B433,Insumo[DESCRIPCION],Insumo[UND],,0),"")</f>
        <v/>
      </c>
      <c r="D433" s="31"/>
      <c r="E433" s="32" t="str">
        <f>IFERROR(_xlfn.XLOOKUP($B433,Insumo[DESCRIPCION],Insumo[VALOR],,0),"")</f>
        <v/>
      </c>
      <c r="F433" s="33"/>
      <c r="G433" s="34" t="str">
        <f>IFERROR(IF(F433&gt;=0,D433*E433*(1+F433/100),ABS(D433*E433/F433)),"")</f>
        <v/>
      </c>
      <c r="H433" s="43" t="str">
        <f>IFERROR(G433*E429,"")</f>
        <v/>
      </c>
    </row>
    <row r="434" spans="1:8">
      <c r="A434" s="28"/>
      <c r="B434" s="29"/>
      <c r="C434" s="30" t="str">
        <f>IFERROR(_xlfn.XLOOKUP(B434,Insumo[DESCRIPCION],Insumo[UND],,0),"")</f>
        <v/>
      </c>
      <c r="D434" s="31"/>
      <c r="E434" s="32" t="str">
        <f>IFERROR(_xlfn.XLOOKUP($B434,Insumo[DESCRIPCION],Insumo[VALOR],,0),"")</f>
        <v/>
      </c>
      <c r="F434" s="33"/>
      <c r="G434" s="34" t="str">
        <f>IFERROR(IF(F434&gt;=0,D434*E434*(1+F434/100),ABS(D434*E434/F434)),"")</f>
        <v/>
      </c>
      <c r="H434" s="43" t="str">
        <f>IFERROR(G434*E429,"")</f>
        <v/>
      </c>
    </row>
    <row r="435" spans="1:8">
      <c r="A435" s="28"/>
      <c r="B435" s="29"/>
      <c r="C435" s="30" t="str">
        <f>IFERROR(_xlfn.XLOOKUP(B435,Insumo[DESCRIPCION],Insumo[UND],,0),"")</f>
        <v/>
      </c>
      <c r="D435" s="31"/>
      <c r="E435" s="32" t="str">
        <f>IFERROR(_xlfn.XLOOKUP($B435,Insumo[DESCRIPCION],Insumo[VALOR],,0),"")</f>
        <v/>
      </c>
      <c r="F435" s="33"/>
      <c r="G435" s="34" t="str">
        <f>IFERROR(IF(F435&gt;=0,D435*E435*(1+F435/100),ABS(D435*E435/F435)),"")</f>
        <v/>
      </c>
      <c r="H435" s="43" t="str">
        <f>IFERROR(G435*E429,"")</f>
        <v/>
      </c>
    </row>
    <row r="436" spans="1:8">
      <c r="A436" s="28"/>
      <c r="B436" s="29"/>
      <c r="C436" s="30" t="str">
        <f>IFERROR(_xlfn.XLOOKUP(B436,Insumo[DESCRIPCION],Insumo[UND],,0),"")</f>
        <v/>
      </c>
      <c r="D436" s="31"/>
      <c r="E436" s="32" t="str">
        <f>IFERROR(_xlfn.XLOOKUP($B436,Insumo[DESCRIPCION],Insumo[VALOR],,0),"")</f>
        <v/>
      </c>
      <c r="F436" s="33"/>
      <c r="G436" s="34" t="str">
        <f>IFERROR(IF(F436&gt;=0,D436*E436*(1+F436/100),ABS(D436*E436/F436)),"")</f>
        <v/>
      </c>
      <c r="H436" s="43" t="str">
        <f>IFERROR(G436*E429,"")</f>
        <v/>
      </c>
    </row>
    <row r="437" spans="1:8">
      <c r="A437" s="21"/>
      <c r="B437" s="22" t="s">
        <v>3731</v>
      </c>
      <c r="C437" s="23"/>
      <c r="D437" s="24"/>
      <c r="E437" s="25"/>
      <c r="F437" s="26"/>
      <c r="G437" s="27">
        <f>SUM(G438:G440)</f>
        <v>920.94260363181843</v>
      </c>
      <c r="H437" s="44">
        <f>G437*E429</f>
        <v>0</v>
      </c>
    </row>
    <row r="438" spans="1:8">
      <c r="A438" s="28"/>
      <c r="B438" s="29" t="s">
        <v>3570</v>
      </c>
      <c r="C438" s="30" t="str">
        <f>IFERROR(_xlfn.XLOOKUP(B438,Equipo[DESCRIPCION],Equipo[UND],,0),"")</f>
        <v>%MO</v>
      </c>
      <c r="D438" s="31">
        <v>0.04</v>
      </c>
      <c r="E438" s="32">
        <f>IF(C438="%MO",G444,IFERROR(_xlfn.XLOOKUP($B438,Equipo[DESCRIPCION],Equipo[VALOR],,0),""))</f>
        <v>10232.695595909094</v>
      </c>
      <c r="F438" s="33"/>
      <c r="G438" s="34">
        <f>IFERROR(IF(F438&gt;=0,D438*E438*(1+F438/100),ABS(D438*E438/F438)),"")</f>
        <v>409.30782383636375</v>
      </c>
      <c r="H438" s="43">
        <f>IFERROR(G438*E429,"")</f>
        <v>0</v>
      </c>
    </row>
    <row r="439" spans="1:8">
      <c r="A439" s="28"/>
      <c r="B439" s="29" t="s">
        <v>3626</v>
      </c>
      <c r="C439" s="30" t="str">
        <f>IFERROR(_xlfn.XLOOKUP(B439,Equipo[DESCRIPCION],Equipo[UND],,0),"")</f>
        <v>%MO</v>
      </c>
      <c r="D439" s="31">
        <v>0.05</v>
      </c>
      <c r="E439" s="32">
        <f>IF(C439="%MO",G444,IFERROR(_xlfn.XLOOKUP($B439,Equipo[DESCRIPCION],Equipo[VALOR],,0),""))</f>
        <v>10232.695595909094</v>
      </c>
      <c r="F439" s="33"/>
      <c r="G439" s="34">
        <f>IFERROR(IF(F439&gt;=0,D439*E439*(1+F439/100),ABS(D439*E439/F439)),"")</f>
        <v>511.63477979545473</v>
      </c>
      <c r="H439" s="43">
        <f>IFERROR(G439*E429,"")</f>
        <v>0</v>
      </c>
    </row>
    <row r="440" spans="1:8">
      <c r="A440" s="28"/>
      <c r="B440" s="29"/>
      <c r="C440" s="30" t="str">
        <f>IFERROR(_xlfn.XLOOKUP(B440,Equipo[DESCRIPCION],Equipo[UND],,0),"")</f>
        <v/>
      </c>
      <c r="D440" s="31"/>
      <c r="E440" s="32" t="str">
        <f>IF(C440="%MO",G444,IFERROR(_xlfn.XLOOKUP($B440,Equipo[DESCRIPCION],Equipo[VALOR],,0),""))</f>
        <v/>
      </c>
      <c r="F440" s="33"/>
      <c r="G440" s="34" t="str">
        <f>IFERROR(IF(F440&gt;=0,D440*E440*(1+F440/100),ABS(D440*E440/F440)),"")</f>
        <v/>
      </c>
      <c r="H440" s="43" t="str">
        <f>IFERROR(G440*E429,"")</f>
        <v/>
      </c>
    </row>
    <row r="441" spans="1:8">
      <c r="A441" s="21"/>
      <c r="B441" s="22" t="s">
        <v>2533</v>
      </c>
      <c r="C441" s="23"/>
      <c r="D441" s="24"/>
      <c r="E441" s="25"/>
      <c r="F441" s="26"/>
      <c r="G441" s="27">
        <f>SUM(G442:G443)</f>
        <v>0</v>
      </c>
      <c r="H441" s="44">
        <f>G441*E429</f>
        <v>0</v>
      </c>
    </row>
    <row r="442" spans="1:8">
      <c r="A442" s="28"/>
      <c r="B442" s="29"/>
      <c r="C442" s="30" t="str">
        <f>IFERROR(_xlfn.XLOOKUP(B442,Transporte[DESCRIPCION],Transporte[UND],,0),"")</f>
        <v/>
      </c>
      <c r="D442" s="31"/>
      <c r="E442" s="32" t="str">
        <f>IFERROR(_xlfn.XLOOKUP($B442,Transporte[DESCRIPCION],Transporte[VALOR],,0),"")</f>
        <v/>
      </c>
      <c r="F442" s="33"/>
      <c r="G442" s="34" t="str">
        <f>IFERROR(IF(F442&gt;=0,D442*E442*(1+F442/100),ABS(D442*E442/F442)),"")</f>
        <v/>
      </c>
      <c r="H442" s="43" t="str">
        <f>IFERROR(G442*E429,"")</f>
        <v/>
      </c>
    </row>
    <row r="443" spans="1:8">
      <c r="A443" s="28"/>
      <c r="B443" s="29"/>
      <c r="C443" s="30" t="str">
        <f>IFERROR(_xlfn.XLOOKUP(B443,Transporte[DESCRIPCION],Transporte[UND],,0),"")</f>
        <v/>
      </c>
      <c r="D443" s="31"/>
      <c r="E443" s="32" t="str">
        <f>IFERROR(_xlfn.XLOOKUP($B443,Transporte[DESCRIPCION],Transporte[VALOR],,0),"")</f>
        <v/>
      </c>
      <c r="F443" s="33"/>
      <c r="G443" s="34" t="str">
        <f>IFERROR(IF(F443&gt;=0,D443*E443*(1+F443/100),ABS(D443*E443/F443)),"")</f>
        <v/>
      </c>
      <c r="H443" s="43" t="str">
        <f>IFERROR(G443*E429,"")</f>
        <v/>
      </c>
    </row>
    <row r="444" spans="1:8">
      <c r="A444" s="21"/>
      <c r="B444" s="22" t="s">
        <v>3732</v>
      </c>
      <c r="C444" s="23"/>
      <c r="D444" s="24"/>
      <c r="E444" s="25"/>
      <c r="F444" s="26"/>
      <c r="G444" s="27">
        <f>SUM(G445:G447)</f>
        <v>10232.695595909094</v>
      </c>
      <c r="H444" s="44">
        <f>G444*E429</f>
        <v>0</v>
      </c>
    </row>
    <row r="445" spans="1:8">
      <c r="A445" s="28"/>
      <c r="B445" s="29" t="s">
        <v>3715</v>
      </c>
      <c r="C445" s="30" t="str">
        <f>IFERROR(_xlfn.XLOOKUP(B445,MObra[DESCRIPCION],MObra[UN],,0),"")</f>
        <v>día</v>
      </c>
      <c r="D445" s="31">
        <v>1</v>
      </c>
      <c r="E445" s="32">
        <f>IFERROR(_xlfn.XLOOKUP($B445,MObra[DESCRIPCION],MObra[VALOR UNIT],,0),"")</f>
        <v>337678.95466500008</v>
      </c>
      <c r="F445" s="33">
        <v>-33</v>
      </c>
      <c r="G445" s="34">
        <f>IFERROR(IF(F445&gt;=0,D445*E445*(1+F445/100),ABS(D445*E445/F445)),"")</f>
        <v>10232.695595909094</v>
      </c>
      <c r="H445" s="43">
        <f>IFERROR(G445*E429,"")</f>
        <v>0</v>
      </c>
    </row>
    <row r="446" spans="1:8">
      <c r="A446" s="28"/>
      <c r="B446" s="29"/>
      <c r="C446" s="30" t="str">
        <f t="array" ref="C446">IFERROR(_xlfn.XLOOKUP(B446,MObra[[#All],[DESCRIPCION]],MObra[[#All],[UN]],,0),"")</f>
        <v/>
      </c>
      <c r="D446" s="31"/>
      <c r="E446" s="32" t="str">
        <f>IFERROR(_xlfn.XLOOKUP($B446,MObra[DESCRIPCION],MObra[VALOR UNIT],,0),"")</f>
        <v/>
      </c>
      <c r="F446" s="33"/>
      <c r="G446" s="34" t="str">
        <f>IFERROR(IF(F446&gt;=0,D446*E446*(1+F446/100),ABS(D446*E446/F446)),"")</f>
        <v/>
      </c>
      <c r="H446" s="43" t="str">
        <f>IFERROR(G446*E429,"")</f>
        <v/>
      </c>
    </row>
    <row r="447" spans="1:8">
      <c r="A447" s="35"/>
      <c r="B447" s="36"/>
      <c r="C447" s="37" t="str">
        <f t="array" ref="C447">IFERROR(_xlfn.XLOOKUP(B447,MObra[[#All],[DESCRIPCION]],MObra[[#All],[UN]],,0),"")</f>
        <v/>
      </c>
      <c r="D447" s="38"/>
      <c r="E447" s="39" t="str">
        <f>IFERROR(_xlfn.XLOOKUP($B447,MObra[DESCRIPCION],MObra[VALOR UNIT],,0),"")</f>
        <v/>
      </c>
      <c r="F447" s="40"/>
      <c r="G447" s="41" t="str">
        <f>IFERROR(IF(F447&gt;=0,D447*E447*(1+F447/100),ABS(D447*E447/F447)),"")</f>
        <v/>
      </c>
      <c r="H447" s="42" t="str">
        <f>IFERROR(G447*E429,"")</f>
        <v/>
      </c>
    </row>
    <row r="449" spans="1:11">
      <c r="A449" s="6" t="s">
        <v>921</v>
      </c>
      <c r="B449" s="7" t="str">
        <f>VLOOKUP($A449,Presupuesto!$A:$D,2,FALSE())</f>
        <v>Circuito ramal monofásico bifilar calibre 1/0 AWG 1F+1N+1T ó 2F+1T</v>
      </c>
      <c r="C449" s="8" t="str">
        <f>VLOOKUP($A449,Presupuesto!$A:$D,3,FALSE())</f>
        <v>M</v>
      </c>
      <c r="D449" s="9"/>
      <c r="E449" s="10">
        <f>VLOOKUP($A449,Presupuesto!$A:$D,4,FALSE())</f>
        <v>0</v>
      </c>
      <c r="F449" s="11" t="s">
        <v>2589</v>
      </c>
      <c r="G449" s="12">
        <f>SUM(G451:G467)/2</f>
        <v>136791.89669528144</v>
      </c>
      <c r="H449" s="13">
        <f>ROUND(SUM(H451:H467),0)/2</f>
        <v>0</v>
      </c>
      <c r="I449" s="10">
        <f>VLOOKUP(A449,Presupuesto!$A:$F,6,0)</f>
        <v>0</v>
      </c>
      <c r="J449" s="10">
        <f>+H449-I449</f>
        <v>0</v>
      </c>
      <c r="K449" s="46">
        <f>+H449-G449*E449</f>
        <v>0</v>
      </c>
    </row>
    <row r="450" spans="1:11">
      <c r="A450" s="14"/>
      <c r="B450" s="15" t="s">
        <v>2586</v>
      </c>
      <c r="C450" s="15" t="s">
        <v>5</v>
      </c>
      <c r="D450" s="16" t="s">
        <v>6</v>
      </c>
      <c r="E450" s="17" t="s">
        <v>7</v>
      </c>
      <c r="F450" s="18" t="s">
        <v>3728</v>
      </c>
      <c r="G450" s="19" t="s">
        <v>3729</v>
      </c>
      <c r="H450" s="20" t="s">
        <v>3797</v>
      </c>
    </row>
    <row r="451" spans="1:11">
      <c r="A451" s="21"/>
      <c r="B451" s="22" t="s">
        <v>3730</v>
      </c>
      <c r="C451" s="23"/>
      <c r="D451" s="24"/>
      <c r="E451" s="25"/>
      <c r="F451" s="26"/>
      <c r="G451" s="27">
        <f>SUM(G452:G456)</f>
        <v>126275.60924999999</v>
      </c>
      <c r="H451" s="27">
        <f>IFERROR(G451*E449,"")</f>
        <v>0</v>
      </c>
    </row>
    <row r="452" spans="1:11">
      <c r="A452" s="28"/>
      <c r="B452" s="29" t="s">
        <v>2793</v>
      </c>
      <c r="C452" s="30" t="str">
        <f>IFERROR(_xlfn.XLOOKUP(B452,Insumo[DESCRIPCION],Insumo[UND],,0),"")</f>
        <v>M</v>
      </c>
      <c r="D452" s="31">
        <v>3</v>
      </c>
      <c r="E452" s="32">
        <f>IFERROR(_xlfn.XLOOKUP($B452,Insumo[DESCRIPCION],Insumo[VALOR],,0),"")</f>
        <v>42091.869749999998</v>
      </c>
      <c r="F452" s="33"/>
      <c r="G452" s="34">
        <f>IFERROR(IF(F452&gt;=0,D452*E452*(1+F452/100),ABS(D452*E452/F452)),"")</f>
        <v>126275.60924999999</v>
      </c>
      <c r="H452" s="43">
        <f>IFERROR(G452*E449,"")</f>
        <v>0</v>
      </c>
    </row>
    <row r="453" spans="1:11">
      <c r="A453" s="28"/>
      <c r="B453" s="29"/>
      <c r="C453" s="30" t="str">
        <f>IFERROR(_xlfn.XLOOKUP(B453,Insumo[DESCRIPCION],Insumo[UND],,0),"")</f>
        <v/>
      </c>
      <c r="D453" s="31"/>
      <c r="E453" s="32" t="str">
        <f>IFERROR(_xlfn.XLOOKUP($B453,Insumo[DESCRIPCION],Insumo[VALOR],,0),"")</f>
        <v/>
      </c>
      <c r="F453" s="33"/>
      <c r="G453" s="34" t="str">
        <f>IFERROR(IF(F453&gt;=0,D453*E453*(1+F453/100),ABS(D453*E453/F453)),"")</f>
        <v/>
      </c>
      <c r="H453" s="43" t="str">
        <f>IFERROR(G453*E449,"")</f>
        <v/>
      </c>
    </row>
    <row r="454" spans="1:11">
      <c r="A454" s="28"/>
      <c r="B454" s="29"/>
      <c r="C454" s="30" t="str">
        <f>IFERROR(_xlfn.XLOOKUP(B454,Insumo[DESCRIPCION],Insumo[UND],,0),"")</f>
        <v/>
      </c>
      <c r="D454" s="31"/>
      <c r="E454" s="32" t="str">
        <f>IFERROR(_xlfn.XLOOKUP($B454,Insumo[DESCRIPCION],Insumo[VALOR],,0),"")</f>
        <v/>
      </c>
      <c r="F454" s="33"/>
      <c r="G454" s="34" t="str">
        <f>IFERROR(IF(F454&gt;=0,D454*E454*(1+F454/100),ABS(D454*E454/F454)),"")</f>
        <v/>
      </c>
      <c r="H454" s="43" t="str">
        <f>IFERROR(G454*E449,"")</f>
        <v/>
      </c>
    </row>
    <row r="455" spans="1:11">
      <c r="A455" s="28"/>
      <c r="B455" s="29"/>
      <c r="C455" s="30" t="str">
        <f>IFERROR(_xlfn.XLOOKUP(B455,Insumo[DESCRIPCION],Insumo[UND],,0),"")</f>
        <v/>
      </c>
      <c r="D455" s="31"/>
      <c r="E455" s="32" t="str">
        <f>IFERROR(_xlfn.XLOOKUP($B455,Insumo[DESCRIPCION],Insumo[VALOR],,0),"")</f>
        <v/>
      </c>
      <c r="F455" s="33"/>
      <c r="G455" s="34" t="str">
        <f>IFERROR(IF(F455&gt;=0,D455*E455*(1+F455/100),ABS(D455*E455/F455)),"")</f>
        <v/>
      </c>
      <c r="H455" s="43" t="str">
        <f>IFERROR(G455*E449,"")</f>
        <v/>
      </c>
    </row>
    <row r="456" spans="1:11">
      <c r="A456" s="28"/>
      <c r="B456" s="29"/>
      <c r="C456" s="30" t="str">
        <f>IFERROR(_xlfn.XLOOKUP(B456,Insumo[DESCRIPCION],Insumo[UND],,0),"")</f>
        <v/>
      </c>
      <c r="D456" s="31"/>
      <c r="E456" s="32" t="str">
        <f>IFERROR(_xlfn.XLOOKUP($B456,Insumo[DESCRIPCION],Insumo[VALOR],,0),"")</f>
        <v/>
      </c>
      <c r="F456" s="33"/>
      <c r="G456" s="34" t="str">
        <f>IFERROR(IF(F456&gt;=0,D456*E456*(1+F456/100),ABS(D456*E456/F456)),"")</f>
        <v/>
      </c>
      <c r="H456" s="43" t="str">
        <f>IFERROR(G456*E449,"")</f>
        <v/>
      </c>
    </row>
    <row r="457" spans="1:11">
      <c r="A457" s="21"/>
      <c r="B457" s="22" t="s">
        <v>3731</v>
      </c>
      <c r="C457" s="23"/>
      <c r="D457" s="24"/>
      <c r="E457" s="25"/>
      <c r="F457" s="26"/>
      <c r="G457" s="27">
        <f>SUM(G458:G460)</f>
        <v>868.31731199571459</v>
      </c>
      <c r="H457" s="44">
        <f>G457*E449</f>
        <v>0</v>
      </c>
    </row>
    <row r="458" spans="1:11">
      <c r="A458" s="28"/>
      <c r="B458" s="29" t="s">
        <v>3570</v>
      </c>
      <c r="C458" s="30" t="str">
        <f>IFERROR(_xlfn.XLOOKUP(B458,Equipo[DESCRIPCION],Equipo[UND],,0),"")</f>
        <v>%MO</v>
      </c>
      <c r="D458" s="31">
        <v>0.04</v>
      </c>
      <c r="E458" s="32">
        <f>IF(C458="%MO",G464,IFERROR(_xlfn.XLOOKUP($B458,Equipo[DESCRIPCION],Equipo[VALOR],,0),""))</f>
        <v>9647.9701332857167</v>
      </c>
      <c r="F458" s="33"/>
      <c r="G458" s="34">
        <f>IFERROR(IF(F458&gt;=0,D458*E458*(1+F458/100),ABS(D458*E458/F458)),"")</f>
        <v>385.9188053314287</v>
      </c>
      <c r="H458" s="43">
        <f>IFERROR(G458*E449,"")</f>
        <v>0</v>
      </c>
    </row>
    <row r="459" spans="1:11">
      <c r="A459" s="28"/>
      <c r="B459" s="29" t="s">
        <v>3626</v>
      </c>
      <c r="C459" s="30" t="str">
        <f>IFERROR(_xlfn.XLOOKUP(B459,Equipo[DESCRIPCION],Equipo[UND],,0),"")</f>
        <v>%MO</v>
      </c>
      <c r="D459" s="31">
        <v>0.05</v>
      </c>
      <c r="E459" s="32">
        <f>IF(C459="%MO",G464,IFERROR(_xlfn.XLOOKUP($B459,Equipo[DESCRIPCION],Equipo[VALOR],,0),""))</f>
        <v>9647.9701332857167</v>
      </c>
      <c r="F459" s="33"/>
      <c r="G459" s="34">
        <f>IFERROR(IF(F459&gt;=0,D459*E459*(1+F459/100),ABS(D459*E459/F459)),"")</f>
        <v>482.39850666428583</v>
      </c>
      <c r="H459" s="43">
        <f>IFERROR(G459*E449,"")</f>
        <v>0</v>
      </c>
    </row>
    <row r="460" spans="1:11">
      <c r="A460" s="28"/>
      <c r="B460" s="29"/>
      <c r="C460" s="30" t="str">
        <f>IFERROR(_xlfn.XLOOKUP(B460,Equipo[DESCRIPCION],Equipo[UND],,0),"")</f>
        <v/>
      </c>
      <c r="D460" s="31"/>
      <c r="E460" s="32" t="str">
        <f>IF(C460="%MO",G464,IFERROR(_xlfn.XLOOKUP($B460,Equipo[DESCRIPCION],Equipo[VALOR],,0),""))</f>
        <v/>
      </c>
      <c r="F460" s="33"/>
      <c r="G460" s="34" t="str">
        <f>IFERROR(IF(F460&gt;=0,D460*E460*(1+F460/100),ABS(D460*E460/F460)),"")</f>
        <v/>
      </c>
      <c r="H460" s="43" t="str">
        <f>IFERROR(G460*E449,"")</f>
        <v/>
      </c>
    </row>
    <row r="461" spans="1:11">
      <c r="A461" s="21"/>
      <c r="B461" s="22" t="s">
        <v>2533</v>
      </c>
      <c r="C461" s="23"/>
      <c r="D461" s="24"/>
      <c r="E461" s="25"/>
      <c r="F461" s="26"/>
      <c r="G461" s="27">
        <f>SUM(G462:G463)</f>
        <v>0</v>
      </c>
      <c r="H461" s="44">
        <f>G461*E449</f>
        <v>0</v>
      </c>
    </row>
    <row r="462" spans="1:11">
      <c r="A462" s="28"/>
      <c r="B462" s="29"/>
      <c r="C462" s="30" t="str">
        <f>IFERROR(_xlfn.XLOOKUP(B462,Transporte[DESCRIPCION],Transporte[UND],,0),"")</f>
        <v/>
      </c>
      <c r="D462" s="31"/>
      <c r="E462" s="32" t="str">
        <f>IFERROR(_xlfn.XLOOKUP($B462,Transporte[DESCRIPCION],Transporte[VALOR],,0),"")</f>
        <v/>
      </c>
      <c r="F462" s="33"/>
      <c r="G462" s="34" t="str">
        <f>IFERROR(IF(F462&gt;=0,D462*E462*(1+F462/100),ABS(D462*E462/F462)),"")</f>
        <v/>
      </c>
      <c r="H462" s="43" t="str">
        <f>IFERROR(G462*E449,"")</f>
        <v/>
      </c>
    </row>
    <row r="463" spans="1:11">
      <c r="A463" s="28"/>
      <c r="B463" s="29"/>
      <c r="C463" s="30" t="str">
        <f>IFERROR(_xlfn.XLOOKUP(B463,Transporte[DESCRIPCION],Transporte[UND],,0),"")</f>
        <v/>
      </c>
      <c r="D463" s="31"/>
      <c r="E463" s="32" t="str">
        <f>IFERROR(_xlfn.XLOOKUP($B463,Transporte[DESCRIPCION],Transporte[VALOR],,0),"")</f>
        <v/>
      </c>
      <c r="F463" s="33"/>
      <c r="G463" s="34" t="str">
        <f>IFERROR(IF(F463&gt;=0,D463*E463*(1+F463/100),ABS(D463*E463/F463)),"")</f>
        <v/>
      </c>
      <c r="H463" s="43" t="str">
        <f>IFERROR(G463*E449,"")</f>
        <v/>
      </c>
    </row>
    <row r="464" spans="1:11">
      <c r="A464" s="21"/>
      <c r="B464" s="22" t="s">
        <v>3732</v>
      </c>
      <c r="C464" s="23"/>
      <c r="D464" s="24"/>
      <c r="E464" s="25"/>
      <c r="F464" s="26"/>
      <c r="G464" s="27">
        <f>SUM(G465:G467)</f>
        <v>9647.9701332857167</v>
      </c>
      <c r="H464" s="44">
        <f>G464*E449</f>
        <v>0</v>
      </c>
    </row>
    <row r="465" spans="1:11">
      <c r="A465" s="28"/>
      <c r="B465" s="29" t="s">
        <v>3715</v>
      </c>
      <c r="C465" s="30" t="str">
        <f>IFERROR(_xlfn.XLOOKUP(B465,MObra[DESCRIPCION],MObra[UN],,0),"")</f>
        <v>día</v>
      </c>
      <c r="D465" s="31">
        <v>1</v>
      </c>
      <c r="E465" s="32">
        <f>IFERROR(_xlfn.XLOOKUP($B465,MObra[DESCRIPCION],MObra[VALOR UNIT],,0),"")</f>
        <v>337678.95466500008</v>
      </c>
      <c r="F465" s="33">
        <v>-35</v>
      </c>
      <c r="G465" s="34">
        <f>IFERROR(IF(F465&gt;=0,D465*E465*(1+F465/100),ABS(D465*E465/F465)),"")</f>
        <v>9647.9701332857167</v>
      </c>
      <c r="H465" s="43">
        <f>IFERROR(G465*E449,"")</f>
        <v>0</v>
      </c>
    </row>
    <row r="466" spans="1:11">
      <c r="A466" s="28"/>
      <c r="B466" s="29"/>
      <c r="C466" s="30" t="str">
        <f t="array" ref="C466">IFERROR(_xlfn.XLOOKUP(B466,MObra[[#All],[DESCRIPCION]],MObra[[#All],[UN]],,0),"")</f>
        <v/>
      </c>
      <c r="D466" s="31"/>
      <c r="E466" s="32" t="str">
        <f>IFERROR(_xlfn.XLOOKUP($B466,MObra[DESCRIPCION],MObra[VALOR UNIT],,0),"")</f>
        <v/>
      </c>
      <c r="F466" s="33"/>
      <c r="G466" s="34" t="str">
        <f>IFERROR(IF(F466&gt;=0,D466*E466*(1+F466/100),ABS(D466*E466/F466)),"")</f>
        <v/>
      </c>
      <c r="H466" s="43" t="str">
        <f>IFERROR(G466*E449,"")</f>
        <v/>
      </c>
    </row>
    <row r="467" spans="1:11">
      <c r="A467" s="35"/>
      <c r="B467" s="36"/>
      <c r="C467" s="37" t="str">
        <f t="array" ref="C467">IFERROR(_xlfn.XLOOKUP(B467,MObra[[#All],[DESCRIPCION]],MObra[[#All],[UN]],,0),"")</f>
        <v/>
      </c>
      <c r="D467" s="38"/>
      <c r="E467" s="39" t="str">
        <f>IFERROR(_xlfn.XLOOKUP($B467,MObra[DESCRIPCION],MObra[VALOR UNIT],,0),"")</f>
        <v/>
      </c>
      <c r="F467" s="40"/>
      <c r="G467" s="41" t="str">
        <f>IFERROR(IF(F467&gt;=0,D467*E467*(1+F467/100),ABS(D467*E467/F467)),"")</f>
        <v/>
      </c>
      <c r="H467" s="42" t="str">
        <f>IFERROR(G467*E449,"")</f>
        <v/>
      </c>
    </row>
    <row r="468" spans="1:11" ht="13.5" thickTop="1" thickBot="1"/>
    <row r="469" spans="1:11" ht="13.5" thickTop="1" thickBot="1">
      <c r="A469" s="6" t="s">
        <v>923</v>
      </c>
      <c r="B469" s="7" t="str">
        <f>VLOOKUP($A469,Presupuesto!$A:$D,2,FALSE())</f>
        <v>Circuito ramal monofásico bifilar calibre 2 AWG 1F+1N+1T ó 2F+1T</v>
      </c>
      <c r="C469" s="8" t="str">
        <f>VLOOKUP($A469,Presupuesto!$A:$D,3,FALSE())</f>
        <v>M</v>
      </c>
      <c r="D469" s="9"/>
      <c r="E469" s="10">
        <f>VLOOKUP($A469,Presupuesto!$A:$D,4,FALSE())</f>
        <v>0</v>
      </c>
      <c r="F469" s="11" t="s">
        <v>2589</v>
      </c>
      <c r="G469" s="12">
        <f>SUM(G471:G487)/2</f>
        <v>90264.42172264072</v>
      </c>
      <c r="H469" s="13">
        <f>ROUND(SUM(H471:H487),0)/2</f>
        <v>0</v>
      </c>
      <c r="I469" s="10">
        <f>VLOOKUP(A469,Presupuesto!$A:$F,6,0)</f>
        <v>0</v>
      </c>
      <c r="J469" s="10">
        <f>+H469-I469</f>
        <v>0</v>
      </c>
      <c r="K469" s="46">
        <f>+H469-G469*E469</f>
        <v>0</v>
      </c>
    </row>
    <row r="470" spans="1:11">
      <c r="A470" s="14"/>
      <c r="B470" s="15" t="s">
        <v>2586</v>
      </c>
      <c r="C470" s="15" t="s">
        <v>5</v>
      </c>
      <c r="D470" s="16" t="s">
        <v>6</v>
      </c>
      <c r="E470" s="17" t="s">
        <v>7</v>
      </c>
      <c r="F470" s="18" t="s">
        <v>3728</v>
      </c>
      <c r="G470" s="19" t="s">
        <v>3729</v>
      </c>
      <c r="H470" s="20" t="s">
        <v>3797</v>
      </c>
    </row>
    <row r="471" spans="1:11">
      <c r="A471" s="21"/>
      <c r="B471" s="22" t="s">
        <v>3730</v>
      </c>
      <c r="C471" s="23"/>
      <c r="D471" s="24"/>
      <c r="E471" s="25"/>
      <c r="F471" s="26"/>
      <c r="G471" s="27">
        <f>SUM(G472:G476)</f>
        <v>85006.277999999991</v>
      </c>
      <c r="H471" s="27">
        <f>IFERROR(G471*E469,"")</f>
        <v>0</v>
      </c>
    </row>
    <row r="472" spans="1:11">
      <c r="A472" s="28"/>
      <c r="B472" s="29" t="s">
        <v>2799</v>
      </c>
      <c r="C472" s="30" t="str">
        <f>IFERROR(_xlfn.XLOOKUP(B472,Insumo[DESCRIPCION],Insumo[UND],,0),"")</f>
        <v>M</v>
      </c>
      <c r="D472" s="31">
        <v>3</v>
      </c>
      <c r="E472" s="32">
        <f>IFERROR(_xlfn.XLOOKUP($B472,Insumo[DESCRIPCION],Insumo[VALOR],,0),"")</f>
        <v>28335.425999999999</v>
      </c>
      <c r="F472" s="33"/>
      <c r="G472" s="34">
        <f>IFERROR(IF(F472&gt;=0,D472*E472*(1+F472/100),ABS(D472*E472/F472)),"")</f>
        <v>85006.277999999991</v>
      </c>
      <c r="H472" s="43">
        <f>IFERROR(G472*E469,"")</f>
        <v>0</v>
      </c>
    </row>
    <row r="473" spans="1:11">
      <c r="A473" s="28"/>
      <c r="B473" s="29"/>
      <c r="C473" s="30" t="str">
        <f>IFERROR(_xlfn.XLOOKUP(B473,Insumo[DESCRIPCION],Insumo[UND],,0),"")</f>
        <v/>
      </c>
      <c r="D473" s="31"/>
      <c r="E473" s="32" t="str">
        <f>IFERROR(_xlfn.XLOOKUP($B473,Insumo[DESCRIPCION],Insumo[VALOR],,0),"")</f>
        <v/>
      </c>
      <c r="F473" s="33"/>
      <c r="G473" s="34" t="str">
        <f>IFERROR(IF(F473&gt;=0,D473*E473*(1+F473/100),ABS(D473*E473/F473)),"")</f>
        <v/>
      </c>
      <c r="H473" s="43" t="str">
        <f>IFERROR(G473*E469,"")</f>
        <v/>
      </c>
    </row>
    <row r="474" spans="1:11">
      <c r="A474" s="28"/>
      <c r="B474" s="29"/>
      <c r="C474" s="30" t="str">
        <f>IFERROR(_xlfn.XLOOKUP(B474,Insumo[DESCRIPCION],Insumo[UND],,0),"")</f>
        <v/>
      </c>
      <c r="D474" s="31"/>
      <c r="E474" s="32" t="str">
        <f>IFERROR(_xlfn.XLOOKUP($B474,Insumo[DESCRIPCION],Insumo[VALOR],,0),"")</f>
        <v/>
      </c>
      <c r="F474" s="33"/>
      <c r="G474" s="34" t="str">
        <f>IFERROR(IF(F474&gt;=0,D474*E474*(1+F474/100),ABS(D474*E474/F474)),"")</f>
        <v/>
      </c>
      <c r="H474" s="43" t="str">
        <f>IFERROR(G474*E469,"")</f>
        <v/>
      </c>
    </row>
    <row r="475" spans="1:11">
      <c r="A475" s="28"/>
      <c r="B475" s="29"/>
      <c r="C475" s="30" t="str">
        <f>IFERROR(_xlfn.XLOOKUP(B475,Insumo[DESCRIPCION],Insumo[UND],,0),"")</f>
        <v/>
      </c>
      <c r="D475" s="31"/>
      <c r="E475" s="32" t="str">
        <f>IFERROR(_xlfn.XLOOKUP($B475,Insumo[DESCRIPCION],Insumo[VALOR],,0),"")</f>
        <v/>
      </c>
      <c r="F475" s="33"/>
      <c r="G475" s="34" t="str">
        <f>IFERROR(IF(F475&gt;=0,D475*E475*(1+F475/100),ABS(D475*E475/F475)),"")</f>
        <v/>
      </c>
      <c r="H475" s="43" t="str">
        <f>IFERROR(G475*E469,"")</f>
        <v/>
      </c>
    </row>
    <row r="476" spans="1:11">
      <c r="A476" s="28"/>
      <c r="B476" s="29"/>
      <c r="C476" s="30" t="str">
        <f>IFERROR(_xlfn.XLOOKUP(B476,Insumo[DESCRIPCION],Insumo[UND],,0),"")</f>
        <v/>
      </c>
      <c r="D476" s="31"/>
      <c r="E476" s="32" t="str">
        <f>IFERROR(_xlfn.XLOOKUP($B476,Insumo[DESCRIPCION],Insumo[VALOR],,0),"")</f>
        <v/>
      </c>
      <c r="F476" s="33"/>
      <c r="G476" s="34" t="str">
        <f>IFERROR(IF(F476&gt;=0,D476*E476*(1+F476/100),ABS(D476*E476/F476)),"")</f>
        <v/>
      </c>
      <c r="H476" s="43" t="str">
        <f>IFERROR(G476*E469,"")</f>
        <v/>
      </c>
    </row>
    <row r="477" spans="1:11">
      <c r="A477" s="21"/>
      <c r="B477" s="22" t="s">
        <v>3731</v>
      </c>
      <c r="C477" s="23"/>
      <c r="D477" s="24"/>
      <c r="E477" s="25"/>
      <c r="F477" s="26"/>
      <c r="G477" s="27">
        <f>SUM(G478:G480)</f>
        <v>434.1586559978573</v>
      </c>
      <c r="H477" s="44">
        <f>G477*E469</f>
        <v>0</v>
      </c>
    </row>
    <row r="478" spans="1:11">
      <c r="A478" s="28"/>
      <c r="B478" s="29" t="s">
        <v>3570</v>
      </c>
      <c r="C478" s="30" t="str">
        <f>IFERROR(_xlfn.XLOOKUP(B478,Equipo[DESCRIPCION],Equipo[UND],,0),"")</f>
        <v>%MO</v>
      </c>
      <c r="D478" s="31">
        <v>0.04</v>
      </c>
      <c r="E478" s="32">
        <f>IF(C478="%MO",G484,IFERROR(_xlfn.XLOOKUP($B478,Equipo[DESCRIPCION],Equipo[VALOR],,0),""))</f>
        <v>4823.9850666428583</v>
      </c>
      <c r="F478" s="33"/>
      <c r="G478" s="34">
        <f>IFERROR(IF(F478&gt;=0,D478*E478*(1+F478/100),ABS(D478*E478/F478)),"")</f>
        <v>192.95940266571435</v>
      </c>
      <c r="H478" s="43">
        <f>IFERROR(G478*E469,"")</f>
        <v>0</v>
      </c>
    </row>
    <row r="479" spans="1:11">
      <c r="A479" s="28"/>
      <c r="B479" s="29" t="s">
        <v>3626</v>
      </c>
      <c r="C479" s="30" t="str">
        <f>IFERROR(_xlfn.XLOOKUP(B479,Equipo[DESCRIPCION],Equipo[UND],,0),"")</f>
        <v>%MO</v>
      </c>
      <c r="D479" s="31">
        <v>0.05</v>
      </c>
      <c r="E479" s="32">
        <f>IF(C479="%MO",G484,IFERROR(_xlfn.XLOOKUP($B479,Equipo[DESCRIPCION],Equipo[VALOR],,0),""))</f>
        <v>4823.9850666428583</v>
      </c>
      <c r="F479" s="33"/>
      <c r="G479" s="34">
        <f>IFERROR(IF(F479&gt;=0,D479*E479*(1+F479/100),ABS(D479*E479/F479)),"")</f>
        <v>241.19925333214292</v>
      </c>
      <c r="H479" s="43">
        <f>IFERROR(G479*E469,"")</f>
        <v>0</v>
      </c>
    </row>
    <row r="480" spans="1:11">
      <c r="A480" s="28"/>
      <c r="B480" s="29"/>
      <c r="C480" s="30" t="str">
        <f>IFERROR(_xlfn.XLOOKUP(B480,Equipo[DESCRIPCION],Equipo[UND],,0),"")</f>
        <v/>
      </c>
      <c r="D480" s="31"/>
      <c r="E480" s="32" t="str">
        <f>IF(C480="%MO",G484,IFERROR(_xlfn.XLOOKUP($B480,Equipo[DESCRIPCION],Equipo[VALOR],,0),""))</f>
        <v/>
      </c>
      <c r="F480" s="33"/>
      <c r="G480" s="34" t="str">
        <f>IFERROR(IF(F480&gt;=0,D480*E480*(1+F480/100),ABS(D480*E480/F480)),"")</f>
        <v/>
      </c>
      <c r="H480" s="43" t="str">
        <f>IFERROR(G480*E469,"")</f>
        <v/>
      </c>
    </row>
    <row r="481" spans="1:11">
      <c r="A481" s="21"/>
      <c r="B481" s="22" t="s">
        <v>2533</v>
      </c>
      <c r="C481" s="23"/>
      <c r="D481" s="24"/>
      <c r="E481" s="25"/>
      <c r="F481" s="26"/>
      <c r="G481" s="27">
        <f>SUM(G482:G483)</f>
        <v>0</v>
      </c>
      <c r="H481" s="44">
        <f>G481*E469</f>
        <v>0</v>
      </c>
    </row>
    <row r="482" spans="1:11">
      <c r="A482" s="28"/>
      <c r="B482" s="29"/>
      <c r="C482" s="30" t="str">
        <f>IFERROR(_xlfn.XLOOKUP(B482,Transporte[DESCRIPCION],Transporte[UND],,0),"")</f>
        <v/>
      </c>
      <c r="D482" s="31"/>
      <c r="E482" s="32" t="str">
        <f>IFERROR(_xlfn.XLOOKUP($B482,Transporte[DESCRIPCION],Transporte[VALOR],,0),"")</f>
        <v/>
      </c>
      <c r="F482" s="33"/>
      <c r="G482" s="34" t="str">
        <f>IFERROR(IF(F482&gt;=0,D482*E482*(1+F482/100),ABS(D482*E482/F482)),"")</f>
        <v/>
      </c>
      <c r="H482" s="43" t="str">
        <f>IFERROR(G482*E469,"")</f>
        <v/>
      </c>
    </row>
    <row r="483" spans="1:11">
      <c r="A483" s="28"/>
      <c r="B483" s="29"/>
      <c r="C483" s="30" t="str">
        <f>IFERROR(_xlfn.XLOOKUP(B483,Transporte[DESCRIPCION],Transporte[UND],,0),"")</f>
        <v/>
      </c>
      <c r="D483" s="31"/>
      <c r="E483" s="32" t="str">
        <f>IFERROR(_xlfn.XLOOKUP($B483,Transporte[DESCRIPCION],Transporte[VALOR],,0),"")</f>
        <v/>
      </c>
      <c r="F483" s="33"/>
      <c r="G483" s="34" t="str">
        <f>IFERROR(IF(F483&gt;=0,D483*E483*(1+F483/100),ABS(D483*E483/F483)),"")</f>
        <v/>
      </c>
      <c r="H483" s="43" t="str">
        <f>IFERROR(G483*E469,"")</f>
        <v/>
      </c>
    </row>
    <row r="484" spans="1:11">
      <c r="A484" s="21"/>
      <c r="B484" s="22" t="s">
        <v>3732</v>
      </c>
      <c r="C484" s="23"/>
      <c r="D484" s="24"/>
      <c r="E484" s="25"/>
      <c r="F484" s="26"/>
      <c r="G484" s="27">
        <f>SUM(G485:G487)</f>
        <v>4823.9850666428583</v>
      </c>
      <c r="H484" s="44">
        <f>G484*E469</f>
        <v>0</v>
      </c>
    </row>
    <row r="485" spans="1:11">
      <c r="A485" s="28"/>
      <c r="B485" s="29" t="s">
        <v>3715</v>
      </c>
      <c r="C485" s="30" t="str">
        <f>IFERROR(_xlfn.XLOOKUP(B485,MObra[DESCRIPCION],MObra[UN],,0),"")</f>
        <v>día</v>
      </c>
      <c r="D485" s="31">
        <v>1</v>
      </c>
      <c r="E485" s="32">
        <f>IFERROR(_xlfn.XLOOKUP($B485,MObra[DESCRIPCION],MObra[VALOR UNIT],,0),"")</f>
        <v>337678.95466500008</v>
      </c>
      <c r="F485" s="33">
        <v>-70</v>
      </c>
      <c r="G485" s="34">
        <f>IFERROR(IF(F485&gt;=0,D485*E485*(1+F485/100),ABS(D485*E485/F485)),"")</f>
        <v>4823.9850666428583</v>
      </c>
      <c r="H485" s="43">
        <f>IFERROR(G485*E469,"")</f>
        <v>0</v>
      </c>
    </row>
    <row r="486" spans="1:11">
      <c r="A486" s="28"/>
      <c r="B486" s="29"/>
      <c r="C486" s="30" t="str">
        <f t="array" ref="C486">IFERROR(_xlfn.XLOOKUP(B486,MObra[[#All],[DESCRIPCION]],MObra[[#All],[UN]],,0),"")</f>
        <v/>
      </c>
      <c r="D486" s="31"/>
      <c r="E486" s="32" t="str">
        <f>IFERROR(_xlfn.XLOOKUP($B486,MObra[DESCRIPCION],MObra[VALOR UNIT],,0),"")</f>
        <v/>
      </c>
      <c r="F486" s="33"/>
      <c r="G486" s="34" t="str">
        <f>IFERROR(IF(F486&gt;=0,D486*E486*(1+F486/100),ABS(D486*E486/F486)),"")</f>
        <v/>
      </c>
      <c r="H486" s="43" t="str">
        <f>IFERROR(G486*E469,"")</f>
        <v/>
      </c>
    </row>
    <row r="487" spans="1:11">
      <c r="A487" s="35"/>
      <c r="B487" s="36"/>
      <c r="C487" s="37" t="str">
        <f t="array" ref="C487">IFERROR(_xlfn.XLOOKUP(B487,MObra[[#All],[DESCRIPCION]],MObra[[#All],[UN]],,0),"")</f>
        <v/>
      </c>
      <c r="D487" s="38"/>
      <c r="E487" s="39" t="str">
        <f>IFERROR(_xlfn.XLOOKUP($B487,MObra[DESCRIPCION],MObra[VALOR UNIT],,0),"")</f>
        <v/>
      </c>
      <c r="F487" s="40"/>
      <c r="G487" s="41" t="str">
        <f>IFERROR(IF(F487&gt;=0,D487*E487*(1+F487/100),ABS(D487*E487/F487)),"")</f>
        <v/>
      </c>
      <c r="H487" s="42" t="str">
        <f>IFERROR(G487*E469,"")</f>
        <v/>
      </c>
    </row>
    <row r="488" spans="1:11" ht="13.5" thickTop="1" thickBot="1"/>
    <row r="489" spans="1:11" ht="13.5" thickTop="1" thickBot="1">
      <c r="A489" s="6" t="s">
        <v>925</v>
      </c>
      <c r="B489" s="7" t="str">
        <f>VLOOKUP($A489,Presupuesto!$A:$D,2,FALSE())</f>
        <v>Circuito ramal monofásico bifilar calibre 4 AWG 1F+1N+1T ó 2F+1T</v>
      </c>
      <c r="C489" s="8" t="str">
        <f>VLOOKUP($A489,Presupuesto!$A:$D,3,FALSE())</f>
        <v>M</v>
      </c>
      <c r="D489" s="9"/>
      <c r="E489" s="10">
        <f>VLOOKUP($A489,Presupuesto!$A:$D,4,FALSE())</f>
        <v>0</v>
      </c>
      <c r="F489" s="11" t="s">
        <v>2589</v>
      </c>
      <c r="G489" s="12">
        <f>SUM(G491:G507)/2</f>
        <v>58306.526807798014</v>
      </c>
      <c r="H489" s="13">
        <f>ROUND(SUM(H491:H507),0)/2</f>
        <v>0</v>
      </c>
      <c r="I489" s="10">
        <f>VLOOKUP(A489,Presupuesto!$A:$F,6,0)</f>
        <v>0</v>
      </c>
      <c r="J489" s="10">
        <f>+H489-I489</f>
        <v>0</v>
      </c>
      <c r="K489" s="46">
        <f>+H489-G489*E489</f>
        <v>0</v>
      </c>
    </row>
    <row r="490" spans="1:11">
      <c r="A490" s="14"/>
      <c r="B490" s="15" t="s">
        <v>2586</v>
      </c>
      <c r="C490" s="15" t="s">
        <v>5</v>
      </c>
      <c r="D490" s="16" t="s">
        <v>6</v>
      </c>
      <c r="E490" s="17" t="s">
        <v>7</v>
      </c>
      <c r="F490" s="18" t="s">
        <v>3728</v>
      </c>
      <c r="G490" s="19" t="s">
        <v>3729</v>
      </c>
      <c r="H490" s="20" t="s">
        <v>3797</v>
      </c>
    </row>
    <row r="491" spans="1:11">
      <c r="A491" s="21"/>
      <c r="B491" s="22" t="s">
        <v>3730</v>
      </c>
      <c r="C491" s="23"/>
      <c r="D491" s="24"/>
      <c r="E491" s="25"/>
      <c r="F491" s="26"/>
      <c r="G491" s="27">
        <f>SUM(G492:G496)</f>
        <v>53398.926000000007</v>
      </c>
      <c r="H491" s="27">
        <f>IFERROR(G491*E489,"")</f>
        <v>0</v>
      </c>
    </row>
    <row r="492" spans="1:11">
      <c r="A492" s="28"/>
      <c r="B492" s="29" t="s">
        <v>2798</v>
      </c>
      <c r="C492" s="30" t="str">
        <f>IFERROR(_xlfn.XLOOKUP(B492,Insumo[DESCRIPCION],Insumo[UND],,0),"")</f>
        <v>M</v>
      </c>
      <c r="D492" s="31">
        <v>3</v>
      </c>
      <c r="E492" s="32">
        <f>IFERROR(_xlfn.XLOOKUP($B492,Insumo[DESCRIPCION],Insumo[VALOR],,0),"")</f>
        <v>17799.642000000003</v>
      </c>
      <c r="F492" s="33"/>
      <c r="G492" s="34">
        <f>IFERROR(IF(F492&gt;=0,D492*E492*(1+F492/100),ABS(D492*E492/F492)),"")</f>
        <v>53398.926000000007</v>
      </c>
      <c r="H492" s="43">
        <f>IFERROR(G492*E489,"")</f>
        <v>0</v>
      </c>
    </row>
    <row r="493" spans="1:11">
      <c r="A493" s="28"/>
      <c r="B493" s="29"/>
      <c r="C493" s="30" t="str">
        <f>IFERROR(_xlfn.XLOOKUP(B493,Insumo[DESCRIPCION],Insumo[UND],,0),"")</f>
        <v/>
      </c>
      <c r="D493" s="31"/>
      <c r="E493" s="32" t="str">
        <f>IFERROR(_xlfn.XLOOKUP($B493,Insumo[DESCRIPCION],Insumo[VALOR],,0),"")</f>
        <v/>
      </c>
      <c r="F493" s="33"/>
      <c r="G493" s="34" t="str">
        <f>IFERROR(IF(F493&gt;=0,D493*E493*(1+F493/100),ABS(D493*E493/F493)),"")</f>
        <v/>
      </c>
      <c r="H493" s="43" t="str">
        <f>IFERROR(G493*E489,"")</f>
        <v/>
      </c>
    </row>
    <row r="494" spans="1:11">
      <c r="A494" s="28"/>
      <c r="B494" s="29"/>
      <c r="C494" s="30" t="str">
        <f>IFERROR(_xlfn.XLOOKUP(B494,Insumo[DESCRIPCION],Insumo[UND],,0),"")</f>
        <v/>
      </c>
      <c r="D494" s="31"/>
      <c r="E494" s="32" t="str">
        <f>IFERROR(_xlfn.XLOOKUP($B494,Insumo[DESCRIPCION],Insumo[VALOR],,0),"")</f>
        <v/>
      </c>
      <c r="F494" s="33"/>
      <c r="G494" s="34" t="str">
        <f>IFERROR(IF(F494&gt;=0,D494*E494*(1+F494/100),ABS(D494*E494/F494)),"")</f>
        <v/>
      </c>
      <c r="H494" s="43" t="str">
        <f>IFERROR(G494*E489,"")</f>
        <v/>
      </c>
    </row>
    <row r="495" spans="1:11">
      <c r="A495" s="28"/>
      <c r="B495" s="29"/>
      <c r="C495" s="30" t="str">
        <f>IFERROR(_xlfn.XLOOKUP(B495,Insumo[DESCRIPCION],Insumo[UND],,0),"")</f>
        <v/>
      </c>
      <c r="D495" s="31"/>
      <c r="E495" s="32" t="str">
        <f>IFERROR(_xlfn.XLOOKUP($B495,Insumo[DESCRIPCION],Insumo[VALOR],,0),"")</f>
        <v/>
      </c>
      <c r="F495" s="33"/>
      <c r="G495" s="34" t="str">
        <f>IFERROR(IF(F495&gt;=0,D495*E495*(1+F495/100),ABS(D495*E495/F495)),"")</f>
        <v/>
      </c>
      <c r="H495" s="43" t="str">
        <f>IFERROR(G495*E489,"")</f>
        <v/>
      </c>
    </row>
    <row r="496" spans="1:11">
      <c r="A496" s="28"/>
      <c r="B496" s="29"/>
      <c r="C496" s="30" t="str">
        <f>IFERROR(_xlfn.XLOOKUP(B496,Insumo[DESCRIPCION],Insumo[UND],,0),"")</f>
        <v/>
      </c>
      <c r="D496" s="31"/>
      <c r="E496" s="32" t="str">
        <f>IFERROR(_xlfn.XLOOKUP($B496,Insumo[DESCRIPCION],Insumo[VALOR],,0),"")</f>
        <v/>
      </c>
      <c r="F496" s="33"/>
      <c r="G496" s="34" t="str">
        <f>IFERROR(IF(F496&gt;=0,D496*E496*(1+F496/100),ABS(D496*E496/F496)),"")</f>
        <v/>
      </c>
      <c r="H496" s="43" t="str">
        <f>IFERROR(G496*E489,"")</f>
        <v/>
      </c>
    </row>
    <row r="497" spans="1:11">
      <c r="A497" s="21"/>
      <c r="B497" s="22" t="s">
        <v>3731</v>
      </c>
      <c r="C497" s="23"/>
      <c r="D497" s="24"/>
      <c r="E497" s="25"/>
      <c r="F497" s="26"/>
      <c r="G497" s="27">
        <f>SUM(G498:G500)</f>
        <v>405.21474559800015</v>
      </c>
      <c r="H497" s="44">
        <f>G497*E489</f>
        <v>0</v>
      </c>
    </row>
    <row r="498" spans="1:11">
      <c r="A498" s="28"/>
      <c r="B498" s="29" t="s">
        <v>3570</v>
      </c>
      <c r="C498" s="30" t="str">
        <f>IFERROR(_xlfn.XLOOKUP(B498,Equipo[DESCRIPCION],Equipo[UND],,0),"")</f>
        <v>%MO</v>
      </c>
      <c r="D498" s="31">
        <v>0.04</v>
      </c>
      <c r="E498" s="32">
        <f>IF(C498="%MO",G504,IFERROR(_xlfn.XLOOKUP($B498,Equipo[DESCRIPCION],Equipo[VALOR],,0),""))</f>
        <v>4502.3860622000011</v>
      </c>
      <c r="F498" s="33"/>
      <c r="G498" s="34">
        <f>IFERROR(IF(F498&gt;=0,D498*E498*(1+F498/100),ABS(D498*E498/F498)),"")</f>
        <v>180.09544248800006</v>
      </c>
      <c r="H498" s="43">
        <f>IFERROR(G498*E489,"")</f>
        <v>0</v>
      </c>
    </row>
    <row r="499" spans="1:11">
      <c r="A499" s="28"/>
      <c r="B499" s="29" t="s">
        <v>3626</v>
      </c>
      <c r="C499" s="30" t="str">
        <f>IFERROR(_xlfn.XLOOKUP(B499,Equipo[DESCRIPCION],Equipo[UND],,0),"")</f>
        <v>%MO</v>
      </c>
      <c r="D499" s="31">
        <v>0.05</v>
      </c>
      <c r="E499" s="32">
        <f>IF(C499="%MO",G504,IFERROR(_xlfn.XLOOKUP($B499,Equipo[DESCRIPCION],Equipo[VALOR],,0),""))</f>
        <v>4502.3860622000011</v>
      </c>
      <c r="F499" s="33"/>
      <c r="G499" s="34">
        <f>IFERROR(IF(F499&gt;=0,D499*E499*(1+F499/100),ABS(D499*E499/F499)),"")</f>
        <v>225.11930311000006</v>
      </c>
      <c r="H499" s="43">
        <f>IFERROR(G499*E489,"")</f>
        <v>0</v>
      </c>
    </row>
    <row r="500" spans="1:11">
      <c r="A500" s="28"/>
      <c r="B500" s="29"/>
      <c r="C500" s="30" t="str">
        <f>IFERROR(_xlfn.XLOOKUP(B500,Equipo[DESCRIPCION],Equipo[UND],,0),"")</f>
        <v/>
      </c>
      <c r="D500" s="31"/>
      <c r="E500" s="32" t="str">
        <f>IF(C500="%MO",G504,IFERROR(_xlfn.XLOOKUP($B500,Equipo[DESCRIPCION],Equipo[VALOR],,0),""))</f>
        <v/>
      </c>
      <c r="F500" s="33"/>
      <c r="G500" s="34" t="str">
        <f>IFERROR(IF(F500&gt;=0,D500*E500*(1+F500/100),ABS(D500*E500/F500)),"")</f>
        <v/>
      </c>
      <c r="H500" s="43" t="str">
        <f>IFERROR(G500*E489,"")</f>
        <v/>
      </c>
    </row>
    <row r="501" spans="1:11">
      <c r="A501" s="21"/>
      <c r="B501" s="22" t="s">
        <v>2533</v>
      </c>
      <c r="C501" s="23"/>
      <c r="D501" s="24"/>
      <c r="E501" s="25"/>
      <c r="F501" s="26"/>
      <c r="G501" s="27">
        <f>SUM(G502:G503)</f>
        <v>0</v>
      </c>
      <c r="H501" s="44">
        <f>G501*E489</f>
        <v>0</v>
      </c>
    </row>
    <row r="502" spans="1:11">
      <c r="A502" s="28"/>
      <c r="B502" s="29"/>
      <c r="C502" s="30" t="str">
        <f>IFERROR(_xlfn.XLOOKUP(B502,Transporte[DESCRIPCION],Transporte[UND],,0),"")</f>
        <v/>
      </c>
      <c r="D502" s="31"/>
      <c r="E502" s="32" t="str">
        <f>IFERROR(_xlfn.XLOOKUP($B502,Transporte[DESCRIPCION],Transporte[VALOR],,0),"")</f>
        <v/>
      </c>
      <c r="F502" s="33"/>
      <c r="G502" s="34" t="str">
        <f>IFERROR(IF(F502&gt;=0,D502*E502*(1+F502/100),ABS(D502*E502/F502)),"")</f>
        <v/>
      </c>
      <c r="H502" s="43" t="str">
        <f>IFERROR(G502*E489,"")</f>
        <v/>
      </c>
    </row>
    <row r="503" spans="1:11">
      <c r="A503" s="28"/>
      <c r="B503" s="29"/>
      <c r="C503" s="30" t="str">
        <f>IFERROR(_xlfn.XLOOKUP(B503,Transporte[DESCRIPCION],Transporte[UND],,0),"")</f>
        <v/>
      </c>
      <c r="D503" s="31"/>
      <c r="E503" s="32" t="str">
        <f>IFERROR(_xlfn.XLOOKUP($B503,Transporte[DESCRIPCION],Transporte[VALOR],,0),"")</f>
        <v/>
      </c>
      <c r="F503" s="33"/>
      <c r="G503" s="34" t="str">
        <f>IFERROR(IF(F503&gt;=0,D503*E503*(1+F503/100),ABS(D503*E503/F503)),"")</f>
        <v/>
      </c>
      <c r="H503" s="43" t="str">
        <f>IFERROR(G503*E489,"")</f>
        <v/>
      </c>
    </row>
    <row r="504" spans="1:11">
      <c r="A504" s="21"/>
      <c r="B504" s="22" t="s">
        <v>3732</v>
      </c>
      <c r="C504" s="23"/>
      <c r="D504" s="24"/>
      <c r="E504" s="25"/>
      <c r="F504" s="26"/>
      <c r="G504" s="27">
        <f>SUM(G505:G507)</f>
        <v>4502.3860622000011</v>
      </c>
      <c r="H504" s="44">
        <f>G504*E489</f>
        <v>0</v>
      </c>
    </row>
    <row r="505" spans="1:11">
      <c r="A505" s="28"/>
      <c r="B505" s="29" t="s">
        <v>3715</v>
      </c>
      <c r="C505" s="30" t="str">
        <f>IFERROR(_xlfn.XLOOKUP(B505,MObra[DESCRIPCION],MObra[UN],,0),"")</f>
        <v>día</v>
      </c>
      <c r="D505" s="31">
        <v>1</v>
      </c>
      <c r="E505" s="32">
        <f>IFERROR(_xlfn.XLOOKUP($B505,MObra[DESCRIPCION],MObra[VALOR UNIT],,0),"")</f>
        <v>337678.95466500008</v>
      </c>
      <c r="F505" s="33">
        <v>-75</v>
      </c>
      <c r="G505" s="34">
        <f>IFERROR(IF(F505&gt;=0,D505*E505*(1+F505/100),ABS(D505*E505/F505)),"")</f>
        <v>4502.3860622000011</v>
      </c>
      <c r="H505" s="43">
        <f>IFERROR(G505*E489,"")</f>
        <v>0</v>
      </c>
    </row>
    <row r="506" spans="1:11">
      <c r="A506" s="28"/>
      <c r="B506" s="29"/>
      <c r="C506" s="30" t="str">
        <f t="array" ref="C506">IFERROR(_xlfn.XLOOKUP(B506,MObra[[#All],[DESCRIPCION]],MObra[[#All],[UN]],,0),"")</f>
        <v/>
      </c>
      <c r="D506" s="31"/>
      <c r="E506" s="32" t="str">
        <f>IFERROR(_xlfn.XLOOKUP($B506,MObra[DESCRIPCION],MObra[VALOR UNIT],,0),"")</f>
        <v/>
      </c>
      <c r="F506" s="33"/>
      <c r="G506" s="34" t="str">
        <f>IFERROR(IF(F506&gt;=0,D506*E506*(1+F506/100),ABS(D506*E506/F506)),"")</f>
        <v/>
      </c>
      <c r="H506" s="43" t="str">
        <f>IFERROR(G506*E489,"")</f>
        <v/>
      </c>
    </row>
    <row r="507" spans="1:11">
      <c r="A507" s="35"/>
      <c r="B507" s="36"/>
      <c r="C507" s="37" t="str">
        <f t="array" ref="C507">IFERROR(_xlfn.XLOOKUP(B507,MObra[[#All],[DESCRIPCION]],MObra[[#All],[UN]],,0),"")</f>
        <v/>
      </c>
      <c r="D507" s="38"/>
      <c r="E507" s="39" t="str">
        <f>IFERROR(_xlfn.XLOOKUP($B507,MObra[DESCRIPCION],MObra[VALOR UNIT],,0),"")</f>
        <v/>
      </c>
      <c r="F507" s="40"/>
      <c r="G507" s="41" t="str">
        <f>IFERROR(IF(F507&gt;=0,D507*E507*(1+F507/100),ABS(D507*E507/F507)),"")</f>
        <v/>
      </c>
      <c r="H507" s="42" t="str">
        <f>IFERROR(G507*E489,"")</f>
        <v/>
      </c>
    </row>
    <row r="508" spans="1:11" ht="13.5" thickTop="1" thickBot="1"/>
    <row r="509" spans="1:11" ht="13.5" thickTop="1" thickBot="1">
      <c r="A509" s="6" t="s">
        <v>927</v>
      </c>
      <c r="B509" s="7" t="str">
        <f>VLOOKUP($A509,Presupuesto!$A:$D,2,FALSE())</f>
        <v>Circuito ramal monofásico bifilar calibre 6 AWG 1F+1N+1T ó 2F+1T</v>
      </c>
      <c r="C509" s="8" t="str">
        <f>VLOOKUP($A509,Presupuesto!$A:$D,3,FALSE())</f>
        <v>M</v>
      </c>
      <c r="D509" s="9"/>
      <c r="E509" s="10">
        <f>VLOOKUP($A509,Presupuesto!$A:$D,4,FALSE())</f>
        <v>0</v>
      </c>
      <c r="F509" s="11" t="s">
        <v>2589</v>
      </c>
      <c r="G509" s="12">
        <f>SUM(G511:G527)/2</f>
        <v>40569.276757310618</v>
      </c>
      <c r="H509" s="13">
        <f>ROUND(SUM(H511:H527),0)/2</f>
        <v>0</v>
      </c>
      <c r="I509" s="10">
        <f>VLOOKUP(A509,Presupuesto!$A:$F,6,0)</f>
        <v>0</v>
      </c>
      <c r="J509" s="10">
        <f>+H509-I509</f>
        <v>0</v>
      </c>
      <c r="K509" s="46">
        <f>+H509-G509*E509</f>
        <v>0</v>
      </c>
    </row>
    <row r="510" spans="1:11">
      <c r="A510" s="14"/>
      <c r="B510" s="15" t="s">
        <v>2586</v>
      </c>
      <c r="C510" s="15" t="s">
        <v>5</v>
      </c>
      <c r="D510" s="16" t="s">
        <v>6</v>
      </c>
      <c r="E510" s="17" t="s">
        <v>7</v>
      </c>
      <c r="F510" s="18" t="s">
        <v>3728</v>
      </c>
      <c r="G510" s="19" t="s">
        <v>3729</v>
      </c>
      <c r="H510" s="20" t="s">
        <v>3797</v>
      </c>
    </row>
    <row r="511" spans="1:11">
      <c r="A511" s="21"/>
      <c r="B511" s="22" t="s">
        <v>3730</v>
      </c>
      <c r="C511" s="23"/>
      <c r="D511" s="24"/>
      <c r="E511" s="25"/>
      <c r="F511" s="26"/>
      <c r="G511" s="27">
        <f>SUM(G512:G516)</f>
        <v>35968.400999999998</v>
      </c>
      <c r="H511" s="27">
        <f>IFERROR(G511*E509,"")</f>
        <v>0</v>
      </c>
    </row>
    <row r="512" spans="1:11">
      <c r="A512" s="28"/>
      <c r="B512" s="29" t="s">
        <v>2797</v>
      </c>
      <c r="C512" s="30" t="str">
        <f>IFERROR(_xlfn.XLOOKUP(B512,Insumo[DESCRIPCION],Insumo[UND],,0),"")</f>
        <v>M</v>
      </c>
      <c r="D512" s="31">
        <v>3</v>
      </c>
      <c r="E512" s="32">
        <f>IFERROR(_xlfn.XLOOKUP($B512,Insumo[DESCRIPCION],Insumo[VALOR],,0),"")</f>
        <v>11989.466999999999</v>
      </c>
      <c r="F512" s="33"/>
      <c r="G512" s="34">
        <f>IFERROR(IF(F512&gt;=0,D512*E512*(1+F512/100),ABS(D512*E512/F512)),"")</f>
        <v>35968.400999999998</v>
      </c>
      <c r="H512" s="43">
        <f>IFERROR(G512*E509,"")</f>
        <v>0</v>
      </c>
    </row>
    <row r="513" spans="1:8">
      <c r="A513" s="28"/>
      <c r="B513" s="29"/>
      <c r="C513" s="30" t="str">
        <f>IFERROR(_xlfn.XLOOKUP(B513,Insumo[DESCRIPCION],Insumo[UND],,0),"")</f>
        <v/>
      </c>
      <c r="D513" s="31"/>
      <c r="E513" s="32" t="str">
        <f>IFERROR(_xlfn.XLOOKUP($B513,Insumo[DESCRIPCION],Insumo[VALOR],,0),"")</f>
        <v/>
      </c>
      <c r="F513" s="33"/>
      <c r="G513" s="34" t="str">
        <f>IFERROR(IF(F513&gt;=0,D513*E513*(1+F513/100),ABS(D513*E513/F513)),"")</f>
        <v/>
      </c>
      <c r="H513" s="43" t="str">
        <f>IFERROR(G513*E509,"")</f>
        <v/>
      </c>
    </row>
    <row r="514" spans="1:8">
      <c r="A514" s="28"/>
      <c r="B514" s="29"/>
      <c r="C514" s="30" t="str">
        <f>IFERROR(_xlfn.XLOOKUP(B514,Insumo[DESCRIPCION],Insumo[UND],,0),"")</f>
        <v/>
      </c>
      <c r="D514" s="31"/>
      <c r="E514" s="32" t="str">
        <f>IFERROR(_xlfn.XLOOKUP($B514,Insumo[DESCRIPCION],Insumo[VALOR],,0),"")</f>
        <v/>
      </c>
      <c r="F514" s="33"/>
      <c r="G514" s="34" t="str">
        <f>IFERROR(IF(F514&gt;=0,D514*E514*(1+F514/100),ABS(D514*E514/F514)),"")</f>
        <v/>
      </c>
      <c r="H514" s="43" t="str">
        <f>IFERROR(G514*E509,"")</f>
        <v/>
      </c>
    </row>
    <row r="515" spans="1:8">
      <c r="A515" s="28"/>
      <c r="B515" s="29"/>
      <c r="C515" s="30" t="str">
        <f>IFERROR(_xlfn.XLOOKUP(B515,Insumo[DESCRIPCION],Insumo[UND],,0),"")</f>
        <v/>
      </c>
      <c r="D515" s="31"/>
      <c r="E515" s="32" t="str">
        <f>IFERROR(_xlfn.XLOOKUP($B515,Insumo[DESCRIPCION],Insumo[VALOR],,0),"")</f>
        <v/>
      </c>
      <c r="F515" s="33"/>
      <c r="G515" s="34" t="str">
        <f>IFERROR(IF(F515&gt;=0,D515*E515*(1+F515/100),ABS(D515*E515/F515)),"")</f>
        <v/>
      </c>
      <c r="H515" s="43" t="str">
        <f>IFERROR(G515*E509,"")</f>
        <v/>
      </c>
    </row>
    <row r="516" spans="1:8">
      <c r="A516" s="28"/>
      <c r="B516" s="29"/>
      <c r="C516" s="30" t="str">
        <f>IFERROR(_xlfn.XLOOKUP(B516,Insumo[DESCRIPCION],Insumo[UND],,0),"")</f>
        <v/>
      </c>
      <c r="D516" s="31"/>
      <c r="E516" s="32" t="str">
        <f>IFERROR(_xlfn.XLOOKUP($B516,Insumo[DESCRIPCION],Insumo[VALOR],,0),"")</f>
        <v/>
      </c>
      <c r="F516" s="33"/>
      <c r="G516" s="34" t="str">
        <f>IFERROR(IF(F516&gt;=0,D516*E516*(1+F516/100),ABS(D516*E516/F516)),"")</f>
        <v/>
      </c>
      <c r="H516" s="43" t="str">
        <f>IFERROR(G516*E509,"")</f>
        <v/>
      </c>
    </row>
    <row r="517" spans="1:8">
      <c r="A517" s="21"/>
      <c r="B517" s="22" t="s">
        <v>3731</v>
      </c>
      <c r="C517" s="23"/>
      <c r="D517" s="24"/>
      <c r="E517" s="25"/>
      <c r="F517" s="26"/>
      <c r="G517" s="27">
        <f>SUM(G518:G520)</f>
        <v>379.88882399812508</v>
      </c>
      <c r="H517" s="44">
        <f>G517*E509</f>
        <v>0</v>
      </c>
    </row>
    <row r="518" spans="1:8">
      <c r="A518" s="28"/>
      <c r="B518" s="29" t="s">
        <v>3570</v>
      </c>
      <c r="C518" s="30" t="str">
        <f>IFERROR(_xlfn.XLOOKUP(B518,Equipo[DESCRIPCION],Equipo[UND],,0),"")</f>
        <v>%MO</v>
      </c>
      <c r="D518" s="31">
        <v>0.04</v>
      </c>
      <c r="E518" s="32">
        <f>IF(C518="%MO",G524,IFERROR(_xlfn.XLOOKUP($B518,Equipo[DESCRIPCION],Equipo[VALOR],,0),""))</f>
        <v>4220.9869333125007</v>
      </c>
      <c r="F518" s="33"/>
      <c r="G518" s="34">
        <f>IFERROR(IF(F518&gt;=0,D518*E518*(1+F518/100),ABS(D518*E518/F518)),"")</f>
        <v>168.83947733250002</v>
      </c>
      <c r="H518" s="43">
        <f>IFERROR(G518*E509,"")</f>
        <v>0</v>
      </c>
    </row>
    <row r="519" spans="1:8">
      <c r="A519" s="28"/>
      <c r="B519" s="29" t="s">
        <v>3626</v>
      </c>
      <c r="C519" s="30" t="str">
        <f>IFERROR(_xlfn.XLOOKUP(B519,Equipo[DESCRIPCION],Equipo[UND],,0),"")</f>
        <v>%MO</v>
      </c>
      <c r="D519" s="31">
        <v>0.05</v>
      </c>
      <c r="E519" s="32">
        <f>IF(C519="%MO",G524,IFERROR(_xlfn.XLOOKUP($B519,Equipo[DESCRIPCION],Equipo[VALOR],,0),""))</f>
        <v>4220.9869333125007</v>
      </c>
      <c r="F519" s="33"/>
      <c r="G519" s="34">
        <f>IFERROR(IF(F519&gt;=0,D519*E519*(1+F519/100),ABS(D519*E519/F519)),"")</f>
        <v>211.04934666562505</v>
      </c>
      <c r="H519" s="43">
        <f>IFERROR(G519*E509,"")</f>
        <v>0</v>
      </c>
    </row>
    <row r="520" spans="1:8">
      <c r="A520" s="28"/>
      <c r="B520" s="29"/>
      <c r="C520" s="30" t="str">
        <f>IFERROR(_xlfn.XLOOKUP(B520,Equipo[DESCRIPCION],Equipo[UND],,0),"")</f>
        <v/>
      </c>
      <c r="D520" s="31"/>
      <c r="E520" s="32" t="str">
        <f>IF(C520="%MO",G524,IFERROR(_xlfn.XLOOKUP($B520,Equipo[DESCRIPCION],Equipo[VALOR],,0),""))</f>
        <v/>
      </c>
      <c r="F520" s="33"/>
      <c r="G520" s="34" t="str">
        <f>IFERROR(IF(F520&gt;=0,D520*E520*(1+F520/100),ABS(D520*E520/F520)),"")</f>
        <v/>
      </c>
      <c r="H520" s="43" t="str">
        <f>IFERROR(G520*E509,"")</f>
        <v/>
      </c>
    </row>
    <row r="521" spans="1:8">
      <c r="A521" s="21"/>
      <c r="B521" s="22" t="s">
        <v>2533</v>
      </c>
      <c r="C521" s="23"/>
      <c r="D521" s="24"/>
      <c r="E521" s="25"/>
      <c r="F521" s="26"/>
      <c r="G521" s="27">
        <f>SUM(G522:G523)</f>
        <v>0</v>
      </c>
      <c r="H521" s="44">
        <f>G521*E509</f>
        <v>0</v>
      </c>
    </row>
    <row r="522" spans="1:8">
      <c r="A522" s="28"/>
      <c r="B522" s="29"/>
      <c r="C522" s="30" t="str">
        <f>IFERROR(_xlfn.XLOOKUP(B522,Transporte[DESCRIPCION],Transporte[UND],,0),"")</f>
        <v/>
      </c>
      <c r="D522" s="31"/>
      <c r="E522" s="32" t="str">
        <f>IFERROR(_xlfn.XLOOKUP($B522,Transporte[DESCRIPCION],Transporte[VALOR],,0),"")</f>
        <v/>
      </c>
      <c r="F522" s="33"/>
      <c r="G522" s="34" t="str">
        <f>IFERROR(IF(F522&gt;=0,D522*E522*(1+F522/100),ABS(D522*E522/F522)),"")</f>
        <v/>
      </c>
      <c r="H522" s="43" t="str">
        <f>IFERROR(G522*E509,"")</f>
        <v/>
      </c>
    </row>
    <row r="523" spans="1:8">
      <c r="A523" s="28"/>
      <c r="B523" s="29"/>
      <c r="C523" s="30" t="str">
        <f>IFERROR(_xlfn.XLOOKUP(B523,Transporte[DESCRIPCION],Transporte[UND],,0),"")</f>
        <v/>
      </c>
      <c r="D523" s="31"/>
      <c r="E523" s="32" t="str">
        <f>IFERROR(_xlfn.XLOOKUP($B523,Transporte[DESCRIPCION],Transporte[VALOR],,0),"")</f>
        <v/>
      </c>
      <c r="F523" s="33"/>
      <c r="G523" s="34" t="str">
        <f>IFERROR(IF(F523&gt;=0,D523*E523*(1+F523/100),ABS(D523*E523/F523)),"")</f>
        <v/>
      </c>
      <c r="H523" s="43" t="str">
        <f>IFERROR(G523*E509,"")</f>
        <v/>
      </c>
    </row>
    <row r="524" spans="1:8">
      <c r="A524" s="21"/>
      <c r="B524" s="22" t="s">
        <v>3732</v>
      </c>
      <c r="C524" s="23"/>
      <c r="D524" s="24"/>
      <c r="E524" s="25"/>
      <c r="F524" s="26"/>
      <c r="G524" s="27">
        <f>SUM(G525:G527)</f>
        <v>4220.9869333125007</v>
      </c>
      <c r="H524" s="44">
        <f>G524*E509</f>
        <v>0</v>
      </c>
    </row>
    <row r="525" spans="1:8">
      <c r="A525" s="28"/>
      <c r="B525" s="29" t="s">
        <v>3715</v>
      </c>
      <c r="C525" s="30" t="str">
        <f>IFERROR(_xlfn.XLOOKUP(B525,MObra[DESCRIPCION],MObra[UN],,0),"")</f>
        <v>día</v>
      </c>
      <c r="D525" s="31">
        <v>1</v>
      </c>
      <c r="E525" s="32">
        <f>IFERROR(_xlfn.XLOOKUP($B525,MObra[DESCRIPCION],MObra[VALOR UNIT],,0),"")</f>
        <v>337678.95466500008</v>
      </c>
      <c r="F525" s="33">
        <v>-80</v>
      </c>
      <c r="G525" s="34">
        <f>IFERROR(IF(F525&gt;=0,D525*E525*(1+F525/100),ABS(D525*E525/F525)),"")</f>
        <v>4220.9869333125007</v>
      </c>
      <c r="H525" s="43">
        <f>IFERROR(G525*E509,"")</f>
        <v>0</v>
      </c>
    </row>
    <row r="526" spans="1:8">
      <c r="A526" s="28"/>
      <c r="B526" s="29"/>
      <c r="C526" s="30" t="str">
        <f t="array" ref="C526">IFERROR(_xlfn.XLOOKUP(B526,MObra[[#All],[DESCRIPCION]],MObra[[#All],[UN]],,0),"")</f>
        <v/>
      </c>
      <c r="D526" s="31"/>
      <c r="E526" s="32" t="str">
        <f>IFERROR(_xlfn.XLOOKUP($B526,MObra[DESCRIPCION],MObra[VALOR UNIT],,0),"")</f>
        <v/>
      </c>
      <c r="F526" s="33"/>
      <c r="G526" s="34" t="str">
        <f>IFERROR(IF(F526&gt;=0,D526*E526*(1+F526/100),ABS(D526*E526/F526)),"")</f>
        <v/>
      </c>
      <c r="H526" s="43" t="str">
        <f>IFERROR(G526*E509,"")</f>
        <v/>
      </c>
    </row>
    <row r="527" spans="1:8" ht="13.15" thickBot="1">
      <c r="A527" s="35"/>
      <c r="B527" s="36"/>
      <c r="C527" s="37" t="str">
        <f t="array" ref="C527">IFERROR(_xlfn.XLOOKUP(B527,MObra[[#All],[DESCRIPCION]],MObra[[#All],[UN]],,0),"")</f>
        <v/>
      </c>
      <c r="D527" s="38"/>
      <c r="E527" s="39" t="str">
        <f>IFERROR(_xlfn.XLOOKUP($B527,MObra[DESCRIPCION],MObra[VALOR UNIT],,0),"")</f>
        <v/>
      </c>
      <c r="F527" s="40"/>
      <c r="G527" s="41" t="str">
        <f>IFERROR(IF(F527&gt;=0,D527*E527*(1+F527/100),ABS(D527*E527/F527)),"")</f>
        <v/>
      </c>
      <c r="H527" s="42" t="str">
        <f>IFERROR(G527*E509,"")</f>
        <v/>
      </c>
    </row>
    <row r="528" spans="1:8" ht="13.5" thickTop="1" thickBot="1"/>
    <row r="529" spans="1:11" ht="13.5" thickTop="1" thickBot="1">
      <c r="A529" s="6" t="s">
        <v>929</v>
      </c>
      <c r="B529" s="7" t="str">
        <f>VLOOKUP($A529,Presupuesto!$A:$D,2,FALSE())</f>
        <v>Circuito ramal monofásico bifilar calibre 8 AWG 1F+1N+1T ó 2F+1T</v>
      </c>
      <c r="C529" s="8" t="str">
        <f>VLOOKUP($A529,Presupuesto!$A:$D,3,FALSE())</f>
        <v>M</v>
      </c>
      <c r="D529" s="9"/>
      <c r="E529" s="10">
        <f>VLOOKUP($A529,Presupuesto!$A:$D,4,FALSE())</f>
        <v>0</v>
      </c>
      <c r="F529" s="11" t="s">
        <v>2589</v>
      </c>
      <c r="G529" s="12">
        <f>SUM(G531:G547)/2</f>
        <v>27912.711006880589</v>
      </c>
      <c r="H529" s="13">
        <f>ROUND(SUM(H531:H547),0)/2</f>
        <v>0</v>
      </c>
      <c r="I529" s="10">
        <f>VLOOKUP(A529,Presupuesto!$A:$F,6,0)</f>
        <v>0</v>
      </c>
      <c r="J529" s="10">
        <f>+H529-I529</f>
        <v>0</v>
      </c>
      <c r="K529" s="46">
        <f>+H529-G529*E529</f>
        <v>0</v>
      </c>
    </row>
    <row r="530" spans="1:11">
      <c r="A530" s="14"/>
      <c r="B530" s="15" t="s">
        <v>2586</v>
      </c>
      <c r="C530" s="15" t="s">
        <v>5</v>
      </c>
      <c r="D530" s="16" t="s">
        <v>6</v>
      </c>
      <c r="E530" s="17" t="s">
        <v>7</v>
      </c>
      <c r="F530" s="18" t="s">
        <v>3728</v>
      </c>
      <c r="G530" s="19" t="s">
        <v>3729</v>
      </c>
      <c r="H530" s="20" t="s">
        <v>3797</v>
      </c>
    </row>
    <row r="531" spans="1:11">
      <c r="A531" s="21"/>
      <c r="B531" s="22" t="s">
        <v>3730</v>
      </c>
      <c r="C531" s="23"/>
      <c r="D531" s="24"/>
      <c r="E531" s="25"/>
      <c r="F531" s="26"/>
      <c r="G531" s="27">
        <f>SUM(G532:G536)</f>
        <v>23582.475000000002</v>
      </c>
      <c r="H531" s="27">
        <f>IFERROR(G531*E529,"")</f>
        <v>0</v>
      </c>
    </row>
    <row r="532" spans="1:11">
      <c r="A532" s="28"/>
      <c r="B532" s="29" t="s">
        <v>2796</v>
      </c>
      <c r="C532" s="30" t="str">
        <f>IFERROR(_xlfn.XLOOKUP(B532,Insumo[DESCRIPCION],Insumo[UND],,0),"")</f>
        <v>M</v>
      </c>
      <c r="D532" s="31">
        <v>3</v>
      </c>
      <c r="E532" s="32">
        <f>IFERROR(_xlfn.XLOOKUP($B532,Insumo[DESCRIPCION],Insumo[VALOR],,0),"")</f>
        <v>7860.8250000000007</v>
      </c>
      <c r="F532" s="33"/>
      <c r="G532" s="34">
        <f>IFERROR(IF(F532&gt;=0,D532*E532*(1+F532/100),ABS(D532*E532/F532)),"")</f>
        <v>23582.475000000002</v>
      </c>
      <c r="H532" s="43">
        <f>IFERROR(G532*E529,"")</f>
        <v>0</v>
      </c>
    </row>
    <row r="533" spans="1:11">
      <c r="A533" s="28"/>
      <c r="B533" s="29"/>
      <c r="C533" s="30" t="str">
        <f>IFERROR(_xlfn.XLOOKUP(B533,Insumo[DESCRIPCION],Insumo[UND],,0),"")</f>
        <v/>
      </c>
      <c r="D533" s="31"/>
      <c r="E533" s="32" t="str">
        <f>IFERROR(_xlfn.XLOOKUP($B533,Insumo[DESCRIPCION],Insumo[VALOR],,0),"")</f>
        <v/>
      </c>
      <c r="F533" s="33"/>
      <c r="G533" s="34" t="str">
        <f>IFERROR(IF(F533&gt;=0,D533*E533*(1+F533/100),ABS(D533*E533/F533)),"")</f>
        <v/>
      </c>
      <c r="H533" s="43" t="str">
        <f>IFERROR(G533*E529,"")</f>
        <v/>
      </c>
    </row>
    <row r="534" spans="1:11">
      <c r="A534" s="28"/>
      <c r="B534" s="29"/>
      <c r="C534" s="30" t="str">
        <f>IFERROR(_xlfn.XLOOKUP(B534,Insumo[DESCRIPCION],Insumo[UND],,0),"")</f>
        <v/>
      </c>
      <c r="D534" s="31"/>
      <c r="E534" s="32" t="str">
        <f>IFERROR(_xlfn.XLOOKUP($B534,Insumo[DESCRIPCION],Insumo[VALOR],,0),"")</f>
        <v/>
      </c>
      <c r="F534" s="33"/>
      <c r="G534" s="34" t="str">
        <f>IFERROR(IF(F534&gt;=0,D534*E534*(1+F534/100),ABS(D534*E534/F534)),"")</f>
        <v/>
      </c>
      <c r="H534" s="43" t="str">
        <f>IFERROR(G534*E529,"")</f>
        <v/>
      </c>
    </row>
    <row r="535" spans="1:11">
      <c r="A535" s="28"/>
      <c r="B535" s="29"/>
      <c r="C535" s="30" t="str">
        <f>IFERROR(_xlfn.XLOOKUP(B535,Insumo[DESCRIPCION],Insumo[UND],,0),"")</f>
        <v/>
      </c>
      <c r="D535" s="31"/>
      <c r="E535" s="32" t="str">
        <f>IFERROR(_xlfn.XLOOKUP($B535,Insumo[DESCRIPCION],Insumo[VALOR],,0),"")</f>
        <v/>
      </c>
      <c r="F535" s="33"/>
      <c r="G535" s="34" t="str">
        <f>IFERROR(IF(F535&gt;=0,D535*E535*(1+F535/100),ABS(D535*E535/F535)),"")</f>
        <v/>
      </c>
      <c r="H535" s="43" t="str">
        <f>IFERROR(G535*E529,"")</f>
        <v/>
      </c>
    </row>
    <row r="536" spans="1:11">
      <c r="A536" s="28"/>
      <c r="B536" s="29"/>
      <c r="C536" s="30" t="str">
        <f>IFERROR(_xlfn.XLOOKUP(B536,Insumo[DESCRIPCION],Insumo[UND],,0),"")</f>
        <v/>
      </c>
      <c r="D536" s="31"/>
      <c r="E536" s="32" t="str">
        <f>IFERROR(_xlfn.XLOOKUP($B536,Insumo[DESCRIPCION],Insumo[VALOR],,0),"")</f>
        <v/>
      </c>
      <c r="F536" s="33"/>
      <c r="G536" s="34" t="str">
        <f>IFERROR(IF(F536&gt;=0,D536*E536*(1+F536/100),ABS(D536*E536/F536)),"")</f>
        <v/>
      </c>
      <c r="H536" s="43" t="str">
        <f>IFERROR(G536*E529,"")</f>
        <v/>
      </c>
    </row>
    <row r="537" spans="1:11">
      <c r="A537" s="21"/>
      <c r="B537" s="22" t="s">
        <v>3731</v>
      </c>
      <c r="C537" s="23"/>
      <c r="D537" s="24"/>
      <c r="E537" s="25"/>
      <c r="F537" s="26"/>
      <c r="G537" s="27">
        <f>SUM(G538:G540)</f>
        <v>357.54242258647071</v>
      </c>
      <c r="H537" s="44">
        <f>G537*E529</f>
        <v>0</v>
      </c>
    </row>
    <row r="538" spans="1:11">
      <c r="A538" s="28"/>
      <c r="B538" s="29" t="s">
        <v>3570</v>
      </c>
      <c r="C538" s="30" t="str">
        <f>IFERROR(_xlfn.XLOOKUP(B538,Equipo[DESCRIPCION],Equipo[UND],,0),"")</f>
        <v>%MO</v>
      </c>
      <c r="D538" s="31">
        <v>0.04</v>
      </c>
      <c r="E538" s="32">
        <f>IF(C538="%MO",G544,IFERROR(_xlfn.XLOOKUP($B538,Equipo[DESCRIPCION],Equipo[VALOR],,0),""))</f>
        <v>3972.6935842941189</v>
      </c>
      <c r="F538" s="33"/>
      <c r="G538" s="34">
        <f>IFERROR(IF(F538&gt;=0,D538*E538*(1+F538/100),ABS(D538*E538/F538)),"")</f>
        <v>158.90774337176475</v>
      </c>
      <c r="H538" s="43">
        <f>IFERROR(G538*E529,"")</f>
        <v>0</v>
      </c>
    </row>
    <row r="539" spans="1:11">
      <c r="A539" s="28"/>
      <c r="B539" s="29" t="s">
        <v>3626</v>
      </c>
      <c r="C539" s="30" t="str">
        <f>IFERROR(_xlfn.XLOOKUP(B539,Equipo[DESCRIPCION],Equipo[UND],,0),"")</f>
        <v>%MO</v>
      </c>
      <c r="D539" s="31">
        <v>0.05</v>
      </c>
      <c r="E539" s="32">
        <f>IF(C539="%MO",G544,IFERROR(_xlfn.XLOOKUP($B539,Equipo[DESCRIPCION],Equipo[VALOR],,0),""))</f>
        <v>3972.6935842941189</v>
      </c>
      <c r="F539" s="33"/>
      <c r="G539" s="34">
        <f>IFERROR(IF(F539&gt;=0,D539*E539*(1+F539/100),ABS(D539*E539/F539)),"")</f>
        <v>198.63467921470595</v>
      </c>
      <c r="H539" s="43">
        <f>IFERROR(G539*E529,"")</f>
        <v>0</v>
      </c>
    </row>
    <row r="540" spans="1:11">
      <c r="A540" s="28"/>
      <c r="B540" s="29"/>
      <c r="C540" s="30" t="str">
        <f>IFERROR(_xlfn.XLOOKUP(B540,Equipo[DESCRIPCION],Equipo[UND],,0),"")</f>
        <v/>
      </c>
      <c r="D540" s="31"/>
      <c r="E540" s="32" t="str">
        <f>IF(C540="%MO",G544,IFERROR(_xlfn.XLOOKUP($B540,Equipo[DESCRIPCION],Equipo[VALOR],,0),""))</f>
        <v/>
      </c>
      <c r="F540" s="33"/>
      <c r="G540" s="34" t="str">
        <f>IFERROR(IF(F540&gt;=0,D540*E540*(1+F540/100),ABS(D540*E540/F540)),"")</f>
        <v/>
      </c>
      <c r="H540" s="43" t="str">
        <f>IFERROR(G540*E529,"")</f>
        <v/>
      </c>
    </row>
    <row r="541" spans="1:11">
      <c r="A541" s="21"/>
      <c r="B541" s="22" t="s">
        <v>2533</v>
      </c>
      <c r="C541" s="23"/>
      <c r="D541" s="24"/>
      <c r="E541" s="25"/>
      <c r="F541" s="26"/>
      <c r="G541" s="27">
        <f>SUM(G542:G543)</f>
        <v>0</v>
      </c>
      <c r="H541" s="44">
        <f>G541*E529</f>
        <v>0</v>
      </c>
    </row>
    <row r="542" spans="1:11">
      <c r="A542" s="28"/>
      <c r="B542" s="29"/>
      <c r="C542" s="30" t="str">
        <f>IFERROR(_xlfn.XLOOKUP(B542,Transporte[DESCRIPCION],Transporte[UND],,0),"")</f>
        <v/>
      </c>
      <c r="D542" s="31"/>
      <c r="E542" s="32" t="str">
        <f>IFERROR(_xlfn.XLOOKUP($B542,Transporte[DESCRIPCION],Transporte[VALOR],,0),"")</f>
        <v/>
      </c>
      <c r="F542" s="33"/>
      <c r="G542" s="34" t="str">
        <f>IFERROR(IF(F542&gt;=0,D542*E542*(1+F542/100),ABS(D542*E542/F542)),"")</f>
        <v/>
      </c>
      <c r="H542" s="43" t="str">
        <f>IFERROR(G542*E529,"")</f>
        <v/>
      </c>
    </row>
    <row r="543" spans="1:11">
      <c r="A543" s="28"/>
      <c r="B543" s="29"/>
      <c r="C543" s="30" t="str">
        <f>IFERROR(_xlfn.XLOOKUP(B543,Transporte[DESCRIPCION],Transporte[UND],,0),"")</f>
        <v/>
      </c>
      <c r="D543" s="31"/>
      <c r="E543" s="32" t="str">
        <f>IFERROR(_xlfn.XLOOKUP($B543,Transporte[DESCRIPCION],Transporte[VALOR],,0),"")</f>
        <v/>
      </c>
      <c r="F543" s="33"/>
      <c r="G543" s="34" t="str">
        <f>IFERROR(IF(F543&gt;=0,D543*E543*(1+F543/100),ABS(D543*E543/F543)),"")</f>
        <v/>
      </c>
      <c r="H543" s="43" t="str">
        <f>IFERROR(G543*E529,"")</f>
        <v/>
      </c>
    </row>
    <row r="544" spans="1:11">
      <c r="A544" s="21"/>
      <c r="B544" s="22" t="s">
        <v>3732</v>
      </c>
      <c r="C544" s="23"/>
      <c r="D544" s="24"/>
      <c r="E544" s="25"/>
      <c r="F544" s="26"/>
      <c r="G544" s="27">
        <f>SUM(G545:G547)</f>
        <v>3972.6935842941189</v>
      </c>
      <c r="H544" s="44">
        <f>G544*E529</f>
        <v>0</v>
      </c>
    </row>
    <row r="545" spans="1:11">
      <c r="A545" s="28"/>
      <c r="B545" s="29" t="s">
        <v>3715</v>
      </c>
      <c r="C545" s="30" t="str">
        <f>IFERROR(_xlfn.XLOOKUP(B545,MObra[DESCRIPCION],MObra[UN],,0),"")</f>
        <v>día</v>
      </c>
      <c r="D545" s="31">
        <v>1</v>
      </c>
      <c r="E545" s="32">
        <f>IFERROR(_xlfn.XLOOKUP($B545,MObra[DESCRIPCION],MObra[VALOR UNIT],,0),"")</f>
        <v>337678.95466500008</v>
      </c>
      <c r="F545" s="33">
        <v>-85</v>
      </c>
      <c r="G545" s="34">
        <f>IFERROR(IF(F545&gt;=0,D545*E545*(1+F545/100),ABS(D545*E545/F545)),"")</f>
        <v>3972.6935842941189</v>
      </c>
      <c r="H545" s="43">
        <f>IFERROR(G545*E529,"")</f>
        <v>0</v>
      </c>
    </row>
    <row r="546" spans="1:11">
      <c r="A546" s="28"/>
      <c r="B546" s="29"/>
      <c r="C546" s="30" t="str">
        <f t="array" ref="C546">IFERROR(_xlfn.XLOOKUP(B546,MObra[[#All],[DESCRIPCION]],MObra[[#All],[UN]],,0),"")</f>
        <v/>
      </c>
      <c r="D546" s="31"/>
      <c r="E546" s="32" t="str">
        <f>IFERROR(_xlfn.XLOOKUP($B546,MObra[DESCRIPCION],MObra[VALOR UNIT],,0),"")</f>
        <v/>
      </c>
      <c r="F546" s="33"/>
      <c r="G546" s="34" t="str">
        <f>IFERROR(IF(F546&gt;=0,D546*E546*(1+F546/100),ABS(D546*E546/F546)),"")</f>
        <v/>
      </c>
      <c r="H546" s="43" t="str">
        <f>IFERROR(G546*E529,"")</f>
        <v/>
      </c>
    </row>
    <row r="547" spans="1:11">
      <c r="A547" s="35"/>
      <c r="B547" s="36"/>
      <c r="C547" s="37" t="str">
        <f t="array" ref="C547">IFERROR(_xlfn.XLOOKUP(B547,MObra[[#All],[DESCRIPCION]],MObra[[#All],[UN]],,0),"")</f>
        <v/>
      </c>
      <c r="D547" s="38"/>
      <c r="E547" s="39" t="str">
        <f>IFERROR(_xlfn.XLOOKUP($B547,MObra[DESCRIPCION],MObra[VALOR UNIT],,0),"")</f>
        <v/>
      </c>
      <c r="F547" s="40"/>
      <c r="G547" s="41" t="str">
        <f>IFERROR(IF(F547&gt;=0,D547*E547*(1+F547/100),ABS(D547*E547/F547)),"")</f>
        <v/>
      </c>
      <c r="H547" s="42" t="str">
        <f>IFERROR(G547*E529,"")</f>
        <v/>
      </c>
    </row>
    <row r="548" spans="1:11" ht="13.5" thickTop="1" thickBot="1"/>
    <row r="549" spans="1:11" ht="13.5" thickTop="1" thickBot="1">
      <c r="A549" s="6" t="s">
        <v>931</v>
      </c>
      <c r="B549" s="7" t="str">
        <f>VLOOKUP($A549,Presupuesto!$A:$D,2,FALSE())</f>
        <v>Circuito ramal monofásico bifilar calibre 12 AWG 1F+1N+1T ó 2F+1T</v>
      </c>
      <c r="C549" s="8" t="str">
        <f>VLOOKUP($A549,Presupuesto!$A:$D,3,FALSE())</f>
        <v>M</v>
      </c>
      <c r="D549" s="9"/>
      <c r="E549" s="10">
        <f>VLOOKUP($A549,Presupuesto!$A:$D,4,FALSE())</f>
        <v>0</v>
      </c>
      <c r="F549" s="11" t="s">
        <v>2589</v>
      </c>
      <c r="G549" s="12">
        <f>SUM(G551:G567)/2</f>
        <v>13637.317339831669</v>
      </c>
      <c r="H549" s="13">
        <f>ROUND(SUM(H551:H567),0)/2</f>
        <v>0</v>
      </c>
      <c r="I549" s="10">
        <f>VLOOKUP(A549,Presupuesto!$A:$F,6,0)</f>
        <v>0</v>
      </c>
      <c r="J549" s="10">
        <f>+H549-I549</f>
        <v>0</v>
      </c>
      <c r="K549" s="46">
        <f>+H549-G549*E549</f>
        <v>0</v>
      </c>
    </row>
    <row r="550" spans="1:11">
      <c r="A550" s="14"/>
      <c r="B550" s="15" t="s">
        <v>2586</v>
      </c>
      <c r="C550" s="15" t="s">
        <v>5</v>
      </c>
      <c r="D550" s="16" t="s">
        <v>6</v>
      </c>
      <c r="E550" s="17" t="s">
        <v>7</v>
      </c>
      <c r="F550" s="18" t="s">
        <v>3728</v>
      </c>
      <c r="G550" s="19" t="s">
        <v>3729</v>
      </c>
      <c r="H550" s="20" t="s">
        <v>3797</v>
      </c>
    </row>
    <row r="551" spans="1:11">
      <c r="A551" s="21"/>
      <c r="B551" s="22" t="s">
        <v>3730</v>
      </c>
      <c r="C551" s="23"/>
      <c r="D551" s="24"/>
      <c r="E551" s="25"/>
      <c r="F551" s="26"/>
      <c r="G551" s="27">
        <f>SUM(G552:G556)</f>
        <v>9547.6500000000015</v>
      </c>
      <c r="H551" s="27">
        <f>IFERROR(G551*E549,"")</f>
        <v>0</v>
      </c>
    </row>
    <row r="552" spans="1:11">
      <c r="A552" s="28"/>
      <c r="B552" s="29" t="s">
        <v>2795</v>
      </c>
      <c r="C552" s="30" t="str">
        <f>IFERROR(_xlfn.XLOOKUP(B552,Insumo[DESCRIPCION],Insumo[UND],,0),"")</f>
        <v>M</v>
      </c>
      <c r="D552" s="31">
        <v>3</v>
      </c>
      <c r="E552" s="32">
        <f>IFERROR(_xlfn.XLOOKUP($B552,Insumo[DESCRIPCION],Insumo[VALOR],,0),"")</f>
        <v>3182.55</v>
      </c>
      <c r="F552" s="33"/>
      <c r="G552" s="34">
        <f>IFERROR(IF(F552&gt;=0,D552*E552*(1+F552/100),ABS(D552*E552/F552)),"")</f>
        <v>9547.6500000000015</v>
      </c>
      <c r="H552" s="43">
        <f>IFERROR(G552*E549,"")</f>
        <v>0</v>
      </c>
    </row>
    <row r="553" spans="1:11">
      <c r="A553" s="28"/>
      <c r="B553" s="29"/>
      <c r="C553" s="30" t="str">
        <f>IFERROR(_xlfn.XLOOKUP(B553,Insumo[DESCRIPCION],Insumo[UND],,0),"")</f>
        <v/>
      </c>
      <c r="D553" s="31"/>
      <c r="E553" s="32" t="str">
        <f>IFERROR(_xlfn.XLOOKUP($B553,Insumo[DESCRIPCION],Insumo[VALOR],,0),"")</f>
        <v/>
      </c>
      <c r="F553" s="33"/>
      <c r="G553" s="34" t="str">
        <f>IFERROR(IF(F553&gt;=0,D553*E553*(1+F553/100),ABS(D553*E553/F553)),"")</f>
        <v/>
      </c>
      <c r="H553" s="43" t="str">
        <f>IFERROR(G553*E549,"")</f>
        <v/>
      </c>
    </row>
    <row r="554" spans="1:11">
      <c r="A554" s="28"/>
      <c r="B554" s="29"/>
      <c r="C554" s="30" t="str">
        <f>IFERROR(_xlfn.XLOOKUP(B554,Insumo[DESCRIPCION],Insumo[UND],,0),"")</f>
        <v/>
      </c>
      <c r="D554" s="31"/>
      <c r="E554" s="32" t="str">
        <f>IFERROR(_xlfn.XLOOKUP($B554,Insumo[DESCRIPCION],Insumo[VALOR],,0),"")</f>
        <v/>
      </c>
      <c r="F554" s="33"/>
      <c r="G554" s="34" t="str">
        <f>IFERROR(IF(F554&gt;=0,D554*E554*(1+F554/100),ABS(D554*E554/F554)),"")</f>
        <v/>
      </c>
      <c r="H554" s="43" t="str">
        <f>IFERROR(G554*E549,"")</f>
        <v/>
      </c>
    </row>
    <row r="555" spans="1:11">
      <c r="A555" s="28"/>
      <c r="B555" s="29"/>
      <c r="C555" s="30" t="str">
        <f>IFERROR(_xlfn.XLOOKUP(B555,Insumo[DESCRIPCION],Insumo[UND],,0),"")</f>
        <v/>
      </c>
      <c r="D555" s="31"/>
      <c r="E555" s="32" t="str">
        <f>IFERROR(_xlfn.XLOOKUP($B555,Insumo[DESCRIPCION],Insumo[VALOR],,0),"")</f>
        <v/>
      </c>
      <c r="F555" s="33"/>
      <c r="G555" s="34" t="str">
        <f>IFERROR(IF(F555&gt;=0,D555*E555*(1+F555/100),ABS(D555*E555/F555)),"")</f>
        <v/>
      </c>
      <c r="H555" s="43" t="str">
        <f>IFERROR(G555*E549,"")</f>
        <v/>
      </c>
    </row>
    <row r="556" spans="1:11">
      <c r="A556" s="28"/>
      <c r="B556" s="29"/>
      <c r="C556" s="30" t="str">
        <f>IFERROR(_xlfn.XLOOKUP(B556,Insumo[DESCRIPCION],Insumo[UND],,0),"")</f>
        <v/>
      </c>
      <c r="D556" s="31"/>
      <c r="E556" s="32" t="str">
        <f>IFERROR(_xlfn.XLOOKUP($B556,Insumo[DESCRIPCION],Insumo[VALOR],,0),"")</f>
        <v/>
      </c>
      <c r="F556" s="33"/>
      <c r="G556" s="34" t="str">
        <f>IFERROR(IF(F556&gt;=0,D556*E556*(1+F556/100),ABS(D556*E556/F556)),"")</f>
        <v/>
      </c>
      <c r="H556" s="43" t="str">
        <f>IFERROR(G556*E549,"")</f>
        <v/>
      </c>
    </row>
    <row r="557" spans="1:11">
      <c r="A557" s="21"/>
      <c r="B557" s="22" t="s">
        <v>3731</v>
      </c>
      <c r="C557" s="23"/>
      <c r="D557" s="24"/>
      <c r="E557" s="25"/>
      <c r="F557" s="26"/>
      <c r="G557" s="27">
        <f>SUM(G558:G560)</f>
        <v>337.67895466500011</v>
      </c>
      <c r="H557" s="44">
        <f>G557*E549</f>
        <v>0</v>
      </c>
    </row>
    <row r="558" spans="1:11">
      <c r="A558" s="28"/>
      <c r="B558" s="29" t="s">
        <v>3570</v>
      </c>
      <c r="C558" s="30" t="str">
        <f>IFERROR(_xlfn.XLOOKUP(B558,Equipo[DESCRIPCION],Equipo[UND],,0),"")</f>
        <v>%MO</v>
      </c>
      <c r="D558" s="31">
        <v>0.04</v>
      </c>
      <c r="E558" s="32">
        <f>IF(C558="%MO",G564,IFERROR(_xlfn.XLOOKUP($B558,Equipo[DESCRIPCION],Equipo[VALOR],,0),""))</f>
        <v>3751.9883851666677</v>
      </c>
      <c r="F558" s="33"/>
      <c r="G558" s="34">
        <f>IFERROR(IF(F558&gt;=0,D558*E558*(1+F558/100),ABS(D558*E558/F558)),"")</f>
        <v>150.07953540666671</v>
      </c>
      <c r="H558" s="43">
        <f>IFERROR(G558*E549,"")</f>
        <v>0</v>
      </c>
    </row>
    <row r="559" spans="1:11">
      <c r="A559" s="28"/>
      <c r="B559" s="29" t="s">
        <v>3626</v>
      </c>
      <c r="C559" s="30" t="str">
        <f>IFERROR(_xlfn.XLOOKUP(B559,Equipo[DESCRIPCION],Equipo[UND],,0),"")</f>
        <v>%MO</v>
      </c>
      <c r="D559" s="31">
        <v>0.05</v>
      </c>
      <c r="E559" s="32">
        <f>IF(C559="%MO",G564,IFERROR(_xlfn.XLOOKUP($B559,Equipo[DESCRIPCION],Equipo[VALOR],,0),""))</f>
        <v>3751.9883851666677</v>
      </c>
      <c r="F559" s="33"/>
      <c r="G559" s="34">
        <f>IFERROR(IF(F559&gt;=0,D559*E559*(1+F559/100),ABS(D559*E559/F559)),"")</f>
        <v>187.5994192583334</v>
      </c>
      <c r="H559" s="43">
        <f>IFERROR(G559*E549,"")</f>
        <v>0</v>
      </c>
    </row>
    <row r="560" spans="1:11">
      <c r="A560" s="28"/>
      <c r="B560" s="29"/>
      <c r="C560" s="30" t="str">
        <f>IFERROR(_xlfn.XLOOKUP(B560,Equipo[DESCRIPCION],Equipo[UND],,0),"")</f>
        <v/>
      </c>
      <c r="D560" s="31"/>
      <c r="E560" s="32" t="str">
        <f>IF(C560="%MO",G564,IFERROR(_xlfn.XLOOKUP($B560,Equipo[DESCRIPCION],Equipo[VALOR],,0),""))</f>
        <v/>
      </c>
      <c r="F560" s="33"/>
      <c r="G560" s="34" t="str">
        <f>IFERROR(IF(F560&gt;=0,D560*E560*(1+F560/100),ABS(D560*E560/F560)),"")</f>
        <v/>
      </c>
      <c r="H560" s="43" t="str">
        <f>IFERROR(G560*E549,"")</f>
        <v/>
      </c>
    </row>
    <row r="561" spans="1:11">
      <c r="A561" s="21"/>
      <c r="B561" s="22" t="s">
        <v>2533</v>
      </c>
      <c r="C561" s="23"/>
      <c r="D561" s="24"/>
      <c r="E561" s="25"/>
      <c r="F561" s="26"/>
      <c r="G561" s="27">
        <f>SUM(G562:G563)</f>
        <v>0</v>
      </c>
      <c r="H561" s="44">
        <f>G561*E549</f>
        <v>0</v>
      </c>
    </row>
    <row r="562" spans="1:11">
      <c r="A562" s="28"/>
      <c r="B562" s="29"/>
      <c r="C562" s="30" t="str">
        <f>IFERROR(_xlfn.XLOOKUP(B562,Transporte[DESCRIPCION],Transporte[UND],,0),"")</f>
        <v/>
      </c>
      <c r="D562" s="31"/>
      <c r="E562" s="32" t="str">
        <f>IFERROR(_xlfn.XLOOKUP($B562,Transporte[DESCRIPCION],Transporte[VALOR],,0),"")</f>
        <v/>
      </c>
      <c r="F562" s="33"/>
      <c r="G562" s="34" t="str">
        <f>IFERROR(IF(F562&gt;=0,D562*E562*(1+F562/100),ABS(D562*E562/F562)),"")</f>
        <v/>
      </c>
      <c r="H562" s="43" t="str">
        <f>IFERROR(G562*E549,"")</f>
        <v/>
      </c>
    </row>
    <row r="563" spans="1:11">
      <c r="A563" s="28"/>
      <c r="B563" s="29"/>
      <c r="C563" s="30" t="str">
        <f>IFERROR(_xlfn.XLOOKUP(B563,Transporte[DESCRIPCION],Transporte[UND],,0),"")</f>
        <v/>
      </c>
      <c r="D563" s="31"/>
      <c r="E563" s="32" t="str">
        <f>IFERROR(_xlfn.XLOOKUP($B563,Transporte[DESCRIPCION],Transporte[VALOR],,0),"")</f>
        <v/>
      </c>
      <c r="F563" s="33"/>
      <c r="G563" s="34" t="str">
        <f>IFERROR(IF(F563&gt;=0,D563*E563*(1+F563/100),ABS(D563*E563/F563)),"")</f>
        <v/>
      </c>
      <c r="H563" s="43" t="str">
        <f>IFERROR(G563*E549,"")</f>
        <v/>
      </c>
    </row>
    <row r="564" spans="1:11">
      <c r="A564" s="21"/>
      <c r="B564" s="22" t="s">
        <v>3732</v>
      </c>
      <c r="C564" s="23"/>
      <c r="D564" s="24"/>
      <c r="E564" s="25"/>
      <c r="F564" s="26"/>
      <c r="G564" s="27">
        <f>SUM(G565:G567)</f>
        <v>3751.9883851666677</v>
      </c>
      <c r="H564" s="44">
        <f>G564*E549</f>
        <v>0</v>
      </c>
    </row>
    <row r="565" spans="1:11">
      <c r="A565" s="28"/>
      <c r="B565" s="29" t="s">
        <v>3715</v>
      </c>
      <c r="C565" s="30" t="str">
        <f>IFERROR(_xlfn.XLOOKUP(B565,MObra[DESCRIPCION],MObra[UN],,0),"")</f>
        <v>día</v>
      </c>
      <c r="D565" s="31">
        <v>1</v>
      </c>
      <c r="E565" s="32">
        <f>IFERROR(_xlfn.XLOOKUP($B565,MObra[DESCRIPCION],MObra[VALOR UNIT],,0),"")</f>
        <v>337678.95466500008</v>
      </c>
      <c r="F565" s="33">
        <v>-90</v>
      </c>
      <c r="G565" s="34">
        <f>IFERROR(IF(F565&gt;=0,D565*E565*(1+F565/100),ABS(D565*E565/F565)),"")</f>
        <v>3751.9883851666677</v>
      </c>
      <c r="H565" s="43">
        <f>IFERROR(G565*E549,"")</f>
        <v>0</v>
      </c>
    </row>
    <row r="566" spans="1:11">
      <c r="A566" s="28"/>
      <c r="B566" s="29"/>
      <c r="C566" s="30" t="str">
        <f t="array" ref="C566">IFERROR(_xlfn.XLOOKUP(B566,MObra[[#All],[DESCRIPCION]],MObra[[#All],[UN]],,0),"")</f>
        <v/>
      </c>
      <c r="D566" s="31"/>
      <c r="E566" s="32" t="str">
        <f>IFERROR(_xlfn.XLOOKUP($B566,MObra[DESCRIPCION],MObra[VALOR UNIT],,0),"")</f>
        <v/>
      </c>
      <c r="F566" s="33"/>
      <c r="G566" s="34" t="str">
        <f>IFERROR(IF(F566&gt;=0,D566*E566*(1+F566/100),ABS(D566*E566/F566)),"")</f>
        <v/>
      </c>
      <c r="H566" s="43" t="str">
        <f>IFERROR(G566*E549,"")</f>
        <v/>
      </c>
    </row>
    <row r="567" spans="1:11">
      <c r="A567" s="35"/>
      <c r="B567" s="36"/>
      <c r="C567" s="37" t="str">
        <f t="array" ref="C567">IFERROR(_xlfn.XLOOKUP(B567,MObra[[#All],[DESCRIPCION]],MObra[[#All],[UN]],,0),"")</f>
        <v/>
      </c>
      <c r="D567" s="38"/>
      <c r="E567" s="39" t="str">
        <f>IFERROR(_xlfn.XLOOKUP($B567,MObra[DESCRIPCION],MObra[VALOR UNIT],,0),"")</f>
        <v/>
      </c>
      <c r="F567" s="40"/>
      <c r="G567" s="41" t="str">
        <f>IFERROR(IF(F567&gt;=0,D567*E567*(1+F567/100),ABS(D567*E567/F567)),"")</f>
        <v/>
      </c>
      <c r="H567" s="42" t="str">
        <f>IFERROR(G567*E549,"")</f>
        <v/>
      </c>
    </row>
    <row r="568" spans="1:11" ht="13.5" thickTop="1" thickBot="1"/>
    <row r="569" spans="1:11" ht="26.25" thickTop="1" thickBot="1">
      <c r="A569" s="6" t="s">
        <v>933</v>
      </c>
      <c r="B569" s="7" t="str">
        <f>VLOOKUP($A569,Presupuesto!$A:$D,2,FALSE())</f>
        <v>Contador de energía electrónico monofásico bifilar energía activa clase 1, Amperaje 5(100) A 120V, 1 fase 2 hilos, pantalla LCD</v>
      </c>
      <c r="C569" s="8" t="str">
        <f>VLOOKUP($A569,Presupuesto!$A:$D,3,FALSE())</f>
        <v>Un</v>
      </c>
      <c r="D569" s="9"/>
      <c r="E569" s="10">
        <f>VLOOKUP($A569,Presupuesto!$A:$D,4,FALSE())</f>
        <v>0</v>
      </c>
      <c r="F569" s="11" t="s">
        <v>2589</v>
      </c>
      <c r="G569" s="12">
        <f>SUM(G571:G587)/2</f>
        <v>410554.28119912505</v>
      </c>
      <c r="H569" s="13">
        <f>ROUND(SUM(H571:H587),0)/2</f>
        <v>0</v>
      </c>
      <c r="I569" s="10">
        <f>VLOOKUP(A569,Presupuesto!$A:$F,6,0)</f>
        <v>0</v>
      </c>
      <c r="J569" s="10">
        <f>+H569-I569</f>
        <v>0</v>
      </c>
      <c r="K569" s="46">
        <f>+H569-G569*E569</f>
        <v>0</v>
      </c>
    </row>
    <row r="570" spans="1:11">
      <c r="A570" s="14"/>
      <c r="B570" s="15" t="s">
        <v>2586</v>
      </c>
      <c r="C570" s="15" t="s">
        <v>5</v>
      </c>
      <c r="D570" s="16" t="s">
        <v>6</v>
      </c>
      <c r="E570" s="17" t="s">
        <v>7</v>
      </c>
      <c r="F570" s="18" t="s">
        <v>3728</v>
      </c>
      <c r="G570" s="19" t="s">
        <v>3729</v>
      </c>
      <c r="H570" s="20" t="s">
        <v>3797</v>
      </c>
    </row>
    <row r="571" spans="1:11">
      <c r="A571" s="21"/>
      <c r="B571" s="22" t="s">
        <v>3730</v>
      </c>
      <c r="C571" s="23"/>
      <c r="D571" s="24"/>
      <c r="E571" s="25"/>
      <c r="F571" s="26"/>
      <c r="G571" s="27">
        <f>SUM(G572:G576)</f>
        <v>233272.83000000002</v>
      </c>
      <c r="H571" s="27">
        <f>IFERROR(G571*E569,"")</f>
        <v>0</v>
      </c>
    </row>
    <row r="572" spans="1:11" ht="25.5">
      <c r="A572" s="28"/>
      <c r="B572" s="29" t="s">
        <v>2895</v>
      </c>
      <c r="C572" s="30" t="str">
        <f>IFERROR(_xlfn.XLOOKUP(B572,Insumo[DESCRIPCION],Insumo[UND],,0),"")</f>
        <v>Un</v>
      </c>
      <c r="D572" s="31">
        <v>1</v>
      </c>
      <c r="E572" s="32">
        <f>IFERROR(_xlfn.XLOOKUP($B572,Insumo[DESCRIPCION],Insumo[VALOR],,0),"")</f>
        <v>230812.05000000002</v>
      </c>
      <c r="F572" s="33"/>
      <c r="G572" s="34">
        <f>IFERROR(IF(F572&gt;=0,D572*E572*(1+F572/100),ABS(D572*E572/F572)),"")</f>
        <v>230812.05000000002</v>
      </c>
      <c r="H572" s="43">
        <f>IFERROR(G572*E569,"")</f>
        <v>0</v>
      </c>
    </row>
    <row r="573" spans="1:11">
      <c r="A573" s="28"/>
      <c r="B573" s="29" t="s">
        <v>2792</v>
      </c>
      <c r="C573" s="30" t="str">
        <f>IFERROR(_xlfn.XLOOKUP(B573,Insumo[DESCRIPCION],Insumo[UND],,0),"")</f>
        <v>M</v>
      </c>
      <c r="D573" s="31">
        <v>0.2</v>
      </c>
      <c r="E573" s="32">
        <f>IFERROR(_xlfn.XLOOKUP($B573,Insumo[DESCRIPCION],Insumo[VALOR],,0),"")</f>
        <v>12303.9</v>
      </c>
      <c r="F573" s="33"/>
      <c r="G573" s="34">
        <f>IFERROR(IF(F573&gt;=0,D573*E573*(1+F573/100),ABS(D573*E573/F573)),"")</f>
        <v>2460.7800000000002</v>
      </c>
      <c r="H573" s="43">
        <f>IFERROR(G573*E569,"")</f>
        <v>0</v>
      </c>
    </row>
    <row r="574" spans="1:11">
      <c r="A574" s="28"/>
      <c r="B574" s="29"/>
      <c r="C574" s="30" t="str">
        <f>IFERROR(_xlfn.XLOOKUP(B574,Insumo[DESCRIPCION],Insumo[UND],,0),"")</f>
        <v/>
      </c>
      <c r="D574" s="31"/>
      <c r="E574" s="32" t="str">
        <f>IFERROR(_xlfn.XLOOKUP($B574,Insumo[DESCRIPCION],Insumo[VALOR],,0),"")</f>
        <v/>
      </c>
      <c r="F574" s="33"/>
      <c r="G574" s="34" t="str">
        <f>IFERROR(IF(F574&gt;=0,D574*E574*(1+F574/100),ABS(D574*E574/F574)),"")</f>
        <v/>
      </c>
      <c r="H574" s="43" t="str">
        <f>IFERROR(G574*E569,"")</f>
        <v/>
      </c>
    </row>
    <row r="575" spans="1:11">
      <c r="A575" s="28"/>
      <c r="B575" s="29"/>
      <c r="C575" s="30" t="str">
        <f>IFERROR(_xlfn.XLOOKUP(B575,Insumo[DESCRIPCION],Insumo[UND],,0),"")</f>
        <v/>
      </c>
      <c r="D575" s="31"/>
      <c r="E575" s="32" t="str">
        <f>IFERROR(_xlfn.XLOOKUP($B575,Insumo[DESCRIPCION],Insumo[VALOR],,0),"")</f>
        <v/>
      </c>
      <c r="F575" s="33"/>
      <c r="G575" s="34" t="str">
        <f>IFERROR(IF(F575&gt;=0,D575*E575*(1+F575/100),ABS(D575*E575/F575)),"")</f>
        <v/>
      </c>
      <c r="H575" s="43" t="str">
        <f>IFERROR(G575*E569,"")</f>
        <v/>
      </c>
    </row>
    <row r="576" spans="1:11">
      <c r="A576" s="28"/>
      <c r="B576" s="29"/>
      <c r="C576" s="30" t="str">
        <f>IFERROR(_xlfn.XLOOKUP(B576,Insumo[DESCRIPCION],Insumo[UND],,0),"")</f>
        <v/>
      </c>
      <c r="D576" s="31"/>
      <c r="E576" s="32" t="str">
        <f>IFERROR(_xlfn.XLOOKUP($B576,Insumo[DESCRIPCION],Insumo[VALOR],,0),"")</f>
        <v/>
      </c>
      <c r="F576" s="33"/>
      <c r="G576" s="34" t="str">
        <f>IFERROR(IF(F576&gt;=0,D576*E576*(1+F576/100),ABS(D576*E576/F576)),"")</f>
        <v/>
      </c>
      <c r="H576" s="43" t="str">
        <f>IFERROR(G576*E569,"")</f>
        <v/>
      </c>
    </row>
    <row r="577" spans="1:11">
      <c r="A577" s="21"/>
      <c r="B577" s="22" t="s">
        <v>3731</v>
      </c>
      <c r="C577" s="23"/>
      <c r="D577" s="24"/>
      <c r="E577" s="25"/>
      <c r="F577" s="26"/>
      <c r="G577" s="27">
        <f>SUM(G578:G580)</f>
        <v>8441.9738666250032</v>
      </c>
      <c r="H577" s="44">
        <f>G577*E569</f>
        <v>0</v>
      </c>
    </row>
    <row r="578" spans="1:11">
      <c r="A578" s="28"/>
      <c r="B578" s="29" t="s">
        <v>3626</v>
      </c>
      <c r="C578" s="30" t="str">
        <f>IFERROR(_xlfn.XLOOKUP(B578,Equipo[DESCRIPCION],Equipo[UND],,0),"")</f>
        <v>%MO</v>
      </c>
      <c r="D578" s="31">
        <v>0.05</v>
      </c>
      <c r="E578" s="32">
        <f>IF(C578="%MO",G584,IFERROR(_xlfn.XLOOKUP($B578,Equipo[DESCRIPCION],Equipo[VALOR],,0),""))</f>
        <v>168839.47733250004</v>
      </c>
      <c r="F578" s="33"/>
      <c r="G578" s="34">
        <f>IFERROR(IF(F578&gt;=0,D578*E578*(1+F578/100),ABS(D578*E578/F578)),"")</f>
        <v>8441.9738666250032</v>
      </c>
      <c r="H578" s="43">
        <f>IFERROR(G578*E569,"")</f>
        <v>0</v>
      </c>
    </row>
    <row r="579" spans="1:11">
      <c r="A579" s="28"/>
      <c r="B579" s="29"/>
      <c r="C579" s="30" t="str">
        <f>IFERROR(_xlfn.XLOOKUP(B579,Equipo[DESCRIPCION],Equipo[UND],,0),"")</f>
        <v/>
      </c>
      <c r="D579" s="31"/>
      <c r="E579" s="32" t="str">
        <f>IF(C579="%MO",G584,IFERROR(_xlfn.XLOOKUP($B579,Equipo[DESCRIPCION],Equipo[VALOR],,0),""))</f>
        <v/>
      </c>
      <c r="F579" s="33"/>
      <c r="G579" s="34" t="str">
        <f>IFERROR(IF(F579&gt;=0,D579*E579*(1+F579/100),ABS(D579*E579/F579)),"")</f>
        <v/>
      </c>
      <c r="H579" s="43" t="str">
        <f>IFERROR(G579*E569,"")</f>
        <v/>
      </c>
    </row>
    <row r="580" spans="1:11">
      <c r="A580" s="28"/>
      <c r="B580" s="29"/>
      <c r="C580" s="30" t="str">
        <f>IFERROR(_xlfn.XLOOKUP(B580,Equipo[DESCRIPCION],Equipo[UND],,0),"")</f>
        <v/>
      </c>
      <c r="D580" s="31"/>
      <c r="E580" s="32" t="str">
        <f>IF(C580="%MO",G584,IFERROR(_xlfn.XLOOKUP($B580,Equipo[DESCRIPCION],Equipo[VALOR],,0),""))</f>
        <v/>
      </c>
      <c r="F580" s="33"/>
      <c r="G580" s="34" t="str">
        <f>IFERROR(IF(F580&gt;=0,D580*E580*(1+F580/100),ABS(D580*E580/F580)),"")</f>
        <v/>
      </c>
      <c r="H580" s="43" t="str">
        <f>IFERROR(G580*E569,"")</f>
        <v/>
      </c>
    </row>
    <row r="581" spans="1:11">
      <c r="A581" s="21"/>
      <c r="B581" s="22" t="s">
        <v>2533</v>
      </c>
      <c r="C581" s="23"/>
      <c r="D581" s="24"/>
      <c r="E581" s="25"/>
      <c r="F581" s="26"/>
      <c r="G581" s="27">
        <f>SUM(G582:G583)</f>
        <v>0</v>
      </c>
      <c r="H581" s="44">
        <f>G581*E569</f>
        <v>0</v>
      </c>
    </row>
    <row r="582" spans="1:11">
      <c r="A582" s="28"/>
      <c r="B582" s="29"/>
      <c r="C582" s="30" t="str">
        <f>IFERROR(_xlfn.XLOOKUP(B582,Transporte[DESCRIPCION],Transporte[UND],,0),"")</f>
        <v/>
      </c>
      <c r="D582" s="31"/>
      <c r="E582" s="32" t="str">
        <f>IFERROR(_xlfn.XLOOKUP($B582,Transporte[DESCRIPCION],Transporte[VALOR],,0),"")</f>
        <v/>
      </c>
      <c r="F582" s="33"/>
      <c r="G582" s="34" t="str">
        <f>IFERROR(IF(F582&gt;=0,D582*E582*(1+F582/100),ABS(D582*E582/F582)),"")</f>
        <v/>
      </c>
      <c r="H582" s="43" t="str">
        <f>IFERROR(G582*E569,"")</f>
        <v/>
      </c>
    </row>
    <row r="583" spans="1:11">
      <c r="A583" s="28"/>
      <c r="B583" s="29"/>
      <c r="C583" s="30" t="str">
        <f>IFERROR(_xlfn.XLOOKUP(B583,Transporte[DESCRIPCION],Transporte[UND],,0),"")</f>
        <v/>
      </c>
      <c r="D583" s="31"/>
      <c r="E583" s="32" t="str">
        <f>IFERROR(_xlfn.XLOOKUP($B583,Transporte[DESCRIPCION],Transporte[VALOR],,0),"")</f>
        <v/>
      </c>
      <c r="F583" s="33"/>
      <c r="G583" s="34" t="str">
        <f>IFERROR(IF(F583&gt;=0,D583*E583*(1+F583/100),ABS(D583*E583/F583)),"")</f>
        <v/>
      </c>
      <c r="H583" s="43" t="str">
        <f>IFERROR(G583*E569,"")</f>
        <v/>
      </c>
    </row>
    <row r="584" spans="1:11">
      <c r="A584" s="21"/>
      <c r="B584" s="22" t="s">
        <v>3732</v>
      </c>
      <c r="C584" s="23"/>
      <c r="D584" s="24"/>
      <c r="E584" s="25"/>
      <c r="F584" s="26"/>
      <c r="G584" s="27">
        <f>SUM(G585:G587)</f>
        <v>168839.47733250004</v>
      </c>
      <c r="H584" s="44">
        <f>G584*E569</f>
        <v>0</v>
      </c>
    </row>
    <row r="585" spans="1:11">
      <c r="A585" s="28"/>
      <c r="B585" s="29" t="s">
        <v>3715</v>
      </c>
      <c r="C585" s="30" t="str">
        <f>IFERROR(_xlfn.XLOOKUP(B585,MObra[DESCRIPCION],MObra[UN],,0),"")</f>
        <v>día</v>
      </c>
      <c r="D585" s="31">
        <v>1</v>
      </c>
      <c r="E585" s="32">
        <f>IFERROR(_xlfn.XLOOKUP($B585,MObra[DESCRIPCION],MObra[VALOR UNIT],,0),"")</f>
        <v>337678.95466500008</v>
      </c>
      <c r="F585" s="33">
        <v>-2</v>
      </c>
      <c r="G585" s="34">
        <f>IFERROR(IF(F585&gt;=0,D585*E585*(1+F585/100),ABS(D585*E585/F585)),"")</f>
        <v>168839.47733250004</v>
      </c>
      <c r="H585" s="43">
        <f>IFERROR(G585*E569,"")</f>
        <v>0</v>
      </c>
    </row>
    <row r="586" spans="1:11">
      <c r="A586" s="28"/>
      <c r="B586" s="29"/>
      <c r="C586" s="30" t="str">
        <f t="array" ref="C586">IFERROR(_xlfn.XLOOKUP(B586,MObra[[#All],[DESCRIPCION]],MObra[[#All],[UN]],,0),"")</f>
        <v/>
      </c>
      <c r="D586" s="31"/>
      <c r="E586" s="32" t="str">
        <f>IFERROR(_xlfn.XLOOKUP($B586,MObra[DESCRIPCION],MObra[VALOR UNIT],,0),"")</f>
        <v/>
      </c>
      <c r="F586" s="33"/>
      <c r="G586" s="34" t="str">
        <f>IFERROR(IF(F586&gt;=0,D586*E586*(1+F586/100),ABS(D586*E586/F586)),"")</f>
        <v/>
      </c>
      <c r="H586" s="43" t="str">
        <f>IFERROR(G586*E569,"")</f>
        <v/>
      </c>
    </row>
    <row r="587" spans="1:11">
      <c r="A587" s="35"/>
      <c r="B587" s="36"/>
      <c r="C587" s="37" t="str">
        <f t="array" ref="C587">IFERROR(_xlfn.XLOOKUP(B587,MObra[[#All],[DESCRIPCION]],MObra[[#All],[UN]],,0),"")</f>
        <v/>
      </c>
      <c r="D587" s="38"/>
      <c r="E587" s="39" t="str">
        <f>IFERROR(_xlfn.XLOOKUP($B587,MObra[DESCRIPCION],MObra[VALOR UNIT],,0),"")</f>
        <v/>
      </c>
      <c r="F587" s="40"/>
      <c r="G587" s="41" t="str">
        <f>IFERROR(IF(F587&gt;=0,D587*E587*(1+F587/100),ABS(D587*E587/F587)),"")</f>
        <v/>
      </c>
      <c r="H587" s="42" t="str">
        <f>IFERROR(G587*E569,"")</f>
        <v/>
      </c>
    </row>
    <row r="588" spans="1:11" ht="13.5" thickTop="1" thickBot="1"/>
    <row r="589" spans="1:11" ht="13.5" thickTop="1" thickBot="1">
      <c r="A589" s="6" t="s">
        <v>935</v>
      </c>
      <c r="B589" s="7" t="str">
        <f>VLOOKUP($A589,Presupuesto!$A:$D,2,FALSE())</f>
        <v>Empalmes certificados 14-10 AWG, conectores certificados</v>
      </c>
      <c r="C589" s="8" t="str">
        <f>VLOOKUP($A589,Presupuesto!$A:$D,3,FALSE())</f>
        <v>Un</v>
      </c>
      <c r="D589" s="9"/>
      <c r="E589" s="10">
        <f>VLOOKUP($A589,Presupuesto!$A:$D,4,FALSE())</f>
        <v>0</v>
      </c>
      <c r="F589" s="11" t="s">
        <v>2589</v>
      </c>
      <c r="G589" s="12">
        <f>SUM(G591:G607)/2</f>
        <v>2830.3763413275001</v>
      </c>
      <c r="H589" s="13">
        <f>ROUND(SUM(H591:H607),0)/2</f>
        <v>0</v>
      </c>
      <c r="I589" s="10">
        <f>VLOOKUP(A589,Presupuesto!$A:$F,6,0)</f>
        <v>0</v>
      </c>
      <c r="J589" s="10">
        <f>+H589-I589</f>
        <v>0</v>
      </c>
      <c r="K589" s="46">
        <f>+H589-G589*E589</f>
        <v>0</v>
      </c>
    </row>
    <row r="590" spans="1:11">
      <c r="A590" s="14"/>
      <c r="B590" s="15" t="s">
        <v>2586</v>
      </c>
      <c r="C590" s="15" t="s">
        <v>5</v>
      </c>
      <c r="D590" s="16" t="s">
        <v>6</v>
      </c>
      <c r="E590" s="17" t="s">
        <v>7</v>
      </c>
      <c r="F590" s="18" t="s">
        <v>3728</v>
      </c>
      <c r="G590" s="19" t="s">
        <v>3729</v>
      </c>
      <c r="H590" s="20" t="s">
        <v>3797</v>
      </c>
    </row>
    <row r="591" spans="1:11">
      <c r="A591" s="21"/>
      <c r="B591" s="22" t="s">
        <v>3730</v>
      </c>
      <c r="C591" s="23"/>
      <c r="D591" s="24"/>
      <c r="E591" s="25"/>
      <c r="F591" s="26"/>
      <c r="G591" s="27">
        <f>SUM(G592:G596)</f>
        <v>1648.5</v>
      </c>
      <c r="H591" s="27">
        <f>IFERROR(G591*E589,"")</f>
        <v>0</v>
      </c>
    </row>
    <row r="592" spans="1:11">
      <c r="A592" s="28"/>
      <c r="B592" s="29" t="s">
        <v>2888</v>
      </c>
      <c r="C592" s="30" t="str">
        <f>IFERROR(_xlfn.XLOOKUP(B592,Insumo[DESCRIPCION],Insumo[UND],,0),"")</f>
        <v>Un</v>
      </c>
      <c r="D592" s="31">
        <v>1</v>
      </c>
      <c r="E592" s="32">
        <f>IFERROR(_xlfn.XLOOKUP($B592,Insumo[DESCRIPCION],Insumo[VALOR],,0),"")</f>
        <v>1648.5</v>
      </c>
      <c r="F592" s="33"/>
      <c r="G592" s="34">
        <f>IFERROR(IF(F592&gt;=0,D592*E592*(1+F592/100),ABS(D592*E592/F592)),"")</f>
        <v>1648.5</v>
      </c>
      <c r="H592" s="43">
        <f>IFERROR(G592*E589,"")</f>
        <v>0</v>
      </c>
    </row>
    <row r="593" spans="1:8">
      <c r="A593" s="28"/>
      <c r="B593" s="29"/>
      <c r="C593" s="30" t="str">
        <f>IFERROR(_xlfn.XLOOKUP(B593,Insumo[DESCRIPCION],Insumo[UND],,0),"")</f>
        <v/>
      </c>
      <c r="D593" s="31"/>
      <c r="E593" s="32" t="str">
        <f>IFERROR(_xlfn.XLOOKUP($B593,Insumo[DESCRIPCION],Insumo[VALOR],,0),"")</f>
        <v/>
      </c>
      <c r="F593" s="33"/>
      <c r="G593" s="34" t="str">
        <f>IFERROR(IF(F593&gt;=0,D593*E593*(1+F593/100),ABS(D593*E593/F593)),"")</f>
        <v/>
      </c>
      <c r="H593" s="43" t="str">
        <f>IFERROR(G593*E589,"")</f>
        <v/>
      </c>
    </row>
    <row r="594" spans="1:8">
      <c r="A594" s="28"/>
      <c r="B594" s="29"/>
      <c r="C594" s="30" t="str">
        <f>IFERROR(_xlfn.XLOOKUP(B594,Insumo[DESCRIPCION],Insumo[UND],,0),"")</f>
        <v/>
      </c>
      <c r="D594" s="31"/>
      <c r="E594" s="32" t="str">
        <f>IFERROR(_xlfn.XLOOKUP($B594,Insumo[DESCRIPCION],Insumo[VALOR],,0),"")</f>
        <v/>
      </c>
      <c r="F594" s="33"/>
      <c r="G594" s="34" t="str">
        <f>IFERROR(IF(F594&gt;=0,D594*E594*(1+F594/100),ABS(D594*E594/F594)),"")</f>
        <v/>
      </c>
      <c r="H594" s="43" t="str">
        <f>IFERROR(G594*E589,"")</f>
        <v/>
      </c>
    </row>
    <row r="595" spans="1:8">
      <c r="A595" s="28"/>
      <c r="B595" s="29"/>
      <c r="C595" s="30" t="str">
        <f>IFERROR(_xlfn.XLOOKUP(B595,Insumo[DESCRIPCION],Insumo[UND],,0),"")</f>
        <v/>
      </c>
      <c r="D595" s="31"/>
      <c r="E595" s="32" t="str">
        <f>IFERROR(_xlfn.XLOOKUP($B595,Insumo[DESCRIPCION],Insumo[VALOR],,0),"")</f>
        <v/>
      </c>
      <c r="F595" s="33"/>
      <c r="G595" s="34" t="str">
        <f>IFERROR(IF(F595&gt;=0,D595*E595*(1+F595/100),ABS(D595*E595/F595)),"")</f>
        <v/>
      </c>
      <c r="H595" s="43" t="str">
        <f>IFERROR(G595*E589,"")</f>
        <v/>
      </c>
    </row>
    <row r="596" spans="1:8">
      <c r="A596" s="28"/>
      <c r="B596" s="29"/>
      <c r="C596" s="30" t="str">
        <f>IFERROR(_xlfn.XLOOKUP(B596,Insumo[DESCRIPCION],Insumo[UND],,0),"")</f>
        <v/>
      </c>
      <c r="D596" s="31"/>
      <c r="E596" s="32" t="str">
        <f>IFERROR(_xlfn.XLOOKUP($B596,Insumo[DESCRIPCION],Insumo[VALOR],,0),"")</f>
        <v/>
      </c>
      <c r="F596" s="33"/>
      <c r="G596" s="34" t="str">
        <f>IFERROR(IF(F596&gt;=0,D596*E596*(1+F596/100),ABS(D596*E596/F596)),"")</f>
        <v/>
      </c>
      <c r="H596" s="43" t="str">
        <f>IFERROR(G596*E589,"")</f>
        <v/>
      </c>
    </row>
    <row r="597" spans="1:8">
      <c r="A597" s="21"/>
      <c r="B597" s="22" t="s">
        <v>3731</v>
      </c>
      <c r="C597" s="23"/>
      <c r="D597" s="24"/>
      <c r="E597" s="25"/>
      <c r="F597" s="26"/>
      <c r="G597" s="27">
        <f>SUM(G598:G600)</f>
        <v>56.279825777500015</v>
      </c>
      <c r="H597" s="44">
        <f>G597*E589</f>
        <v>0</v>
      </c>
    </row>
    <row r="598" spans="1:8">
      <c r="A598" s="28"/>
      <c r="B598" s="29" t="s">
        <v>3626</v>
      </c>
      <c r="C598" s="30" t="str">
        <f>IFERROR(_xlfn.XLOOKUP(B598,Equipo[DESCRIPCION],Equipo[UND],,0),"")</f>
        <v>%MO</v>
      </c>
      <c r="D598" s="31">
        <v>0.05</v>
      </c>
      <c r="E598" s="32">
        <f>IF(C598="%MO",G604,IFERROR(_xlfn.XLOOKUP($B598,Equipo[DESCRIPCION],Equipo[VALOR],,0),""))</f>
        <v>1125.5965155500003</v>
      </c>
      <c r="F598" s="33"/>
      <c r="G598" s="34">
        <f>IFERROR(IF(F598&gt;=0,D598*E598*(1+F598/100),ABS(D598*E598/F598)),"")</f>
        <v>56.279825777500015</v>
      </c>
      <c r="H598" s="43">
        <f>IFERROR(G598*E589,"")</f>
        <v>0</v>
      </c>
    </row>
    <row r="599" spans="1:8">
      <c r="A599" s="28"/>
      <c r="B599" s="29"/>
      <c r="C599" s="30" t="str">
        <f>IFERROR(_xlfn.XLOOKUP(B599,Equipo[DESCRIPCION],Equipo[UND],,0),"")</f>
        <v/>
      </c>
      <c r="D599" s="31"/>
      <c r="E599" s="32" t="str">
        <f>IF(C599="%MO",G604,IFERROR(_xlfn.XLOOKUP($B599,Equipo[DESCRIPCION],Equipo[VALOR],,0),""))</f>
        <v/>
      </c>
      <c r="F599" s="33"/>
      <c r="G599" s="34" t="str">
        <f>IFERROR(IF(F599&gt;=0,D599*E599*(1+F599/100),ABS(D599*E599/F599)),"")</f>
        <v/>
      </c>
      <c r="H599" s="43" t="str">
        <f>IFERROR(G599*E589,"")</f>
        <v/>
      </c>
    </row>
    <row r="600" spans="1:8">
      <c r="A600" s="28"/>
      <c r="B600" s="29"/>
      <c r="C600" s="30" t="str">
        <f>IFERROR(_xlfn.XLOOKUP(B600,Equipo[DESCRIPCION],Equipo[UND],,0),"")</f>
        <v/>
      </c>
      <c r="D600" s="31"/>
      <c r="E600" s="32" t="str">
        <f>IF(C600="%MO",G604,IFERROR(_xlfn.XLOOKUP($B600,Equipo[DESCRIPCION],Equipo[VALOR],,0),""))</f>
        <v/>
      </c>
      <c r="F600" s="33"/>
      <c r="G600" s="34" t="str">
        <f>IFERROR(IF(F600&gt;=0,D600*E600*(1+F600/100),ABS(D600*E600/F600)),"")</f>
        <v/>
      </c>
      <c r="H600" s="43" t="str">
        <f>IFERROR(G600*E589,"")</f>
        <v/>
      </c>
    </row>
    <row r="601" spans="1:8">
      <c r="A601" s="21"/>
      <c r="B601" s="22" t="s">
        <v>2533</v>
      </c>
      <c r="C601" s="23"/>
      <c r="D601" s="24"/>
      <c r="E601" s="25"/>
      <c r="F601" s="26"/>
      <c r="G601" s="27">
        <f>SUM(G602:G603)</f>
        <v>0</v>
      </c>
      <c r="H601" s="44">
        <f>G601*E589</f>
        <v>0</v>
      </c>
    </row>
    <row r="602" spans="1:8">
      <c r="A602" s="28"/>
      <c r="B602" s="29"/>
      <c r="C602" s="30" t="str">
        <f>IFERROR(_xlfn.XLOOKUP(B602,Transporte[DESCRIPCION],Transporte[UND],,0),"")</f>
        <v/>
      </c>
      <c r="D602" s="31"/>
      <c r="E602" s="32" t="str">
        <f>IFERROR(_xlfn.XLOOKUP($B602,Transporte[DESCRIPCION],Transporte[VALOR],,0),"")</f>
        <v/>
      </c>
      <c r="F602" s="33"/>
      <c r="G602" s="34" t="str">
        <f>IFERROR(IF(F602&gt;=0,D602*E602*(1+F602/100),ABS(D602*E602/F602)),"")</f>
        <v/>
      </c>
      <c r="H602" s="43" t="str">
        <f>IFERROR(G602*E589,"")</f>
        <v/>
      </c>
    </row>
    <row r="603" spans="1:8">
      <c r="A603" s="28"/>
      <c r="B603" s="29"/>
      <c r="C603" s="30" t="str">
        <f>IFERROR(_xlfn.XLOOKUP(B603,Transporte[DESCRIPCION],Transporte[UND],,0),"")</f>
        <v/>
      </c>
      <c r="D603" s="31"/>
      <c r="E603" s="32" t="str">
        <f>IFERROR(_xlfn.XLOOKUP($B603,Transporte[DESCRIPCION],Transporte[VALOR],,0),"")</f>
        <v/>
      </c>
      <c r="F603" s="33"/>
      <c r="G603" s="34" t="str">
        <f>IFERROR(IF(F603&gt;=0,D603*E603*(1+F603/100),ABS(D603*E603/F603)),"")</f>
        <v/>
      </c>
      <c r="H603" s="43" t="str">
        <f>IFERROR(G603*E589,"")</f>
        <v/>
      </c>
    </row>
    <row r="604" spans="1:8">
      <c r="A604" s="21"/>
      <c r="B604" s="22" t="s">
        <v>3732</v>
      </c>
      <c r="C604" s="23"/>
      <c r="D604" s="24"/>
      <c r="E604" s="25"/>
      <c r="F604" s="26"/>
      <c r="G604" s="27">
        <f>SUM(G605:G607)</f>
        <v>1125.5965155500003</v>
      </c>
      <c r="H604" s="44">
        <f>G604*E589</f>
        <v>0</v>
      </c>
    </row>
    <row r="605" spans="1:8">
      <c r="A605" s="28"/>
      <c r="B605" s="29" t="s">
        <v>3715</v>
      </c>
      <c r="C605" s="30" t="str">
        <f>IFERROR(_xlfn.XLOOKUP(B605,MObra[DESCRIPCION],MObra[UN],,0),"")</f>
        <v>día</v>
      </c>
      <c r="D605" s="31">
        <v>1</v>
      </c>
      <c r="E605" s="32">
        <f>IFERROR(_xlfn.XLOOKUP($B605,MObra[DESCRIPCION],MObra[VALOR UNIT],,0),"")</f>
        <v>337678.95466500008</v>
      </c>
      <c r="F605" s="33">
        <v>-300</v>
      </c>
      <c r="G605" s="34">
        <f>IFERROR(IF(F605&gt;=0,D605*E605*(1+F605/100),ABS(D605*E605/F605)),"")</f>
        <v>1125.5965155500003</v>
      </c>
      <c r="H605" s="43">
        <f>IFERROR(G605*E589,"")</f>
        <v>0</v>
      </c>
    </row>
    <row r="606" spans="1:8">
      <c r="A606" s="28"/>
      <c r="B606" s="29"/>
      <c r="C606" s="30" t="str">
        <f t="array" ref="C606">IFERROR(_xlfn.XLOOKUP(B606,MObra[[#All],[DESCRIPCION]],MObra[[#All],[UN]],,0),"")</f>
        <v/>
      </c>
      <c r="D606" s="31"/>
      <c r="E606" s="32" t="str">
        <f>IFERROR(_xlfn.XLOOKUP($B606,MObra[DESCRIPCION],MObra[VALOR UNIT],,0),"")</f>
        <v/>
      </c>
      <c r="F606" s="33"/>
      <c r="G606" s="34" t="str">
        <f>IFERROR(IF(F606&gt;=0,D606*E606*(1+F606/100),ABS(D606*E606/F606)),"")</f>
        <v/>
      </c>
      <c r="H606" s="43" t="str">
        <f>IFERROR(G606*E589,"")</f>
        <v/>
      </c>
    </row>
    <row r="607" spans="1:8">
      <c r="A607" s="35"/>
      <c r="B607" s="36"/>
      <c r="C607" s="37" t="str">
        <f t="array" ref="C607">IFERROR(_xlfn.XLOOKUP(B607,MObra[[#All],[DESCRIPCION]],MObra[[#All],[UN]],,0),"")</f>
        <v/>
      </c>
      <c r="D607" s="38"/>
      <c r="E607" s="39" t="str">
        <f>IFERROR(_xlfn.XLOOKUP($B607,MObra[DESCRIPCION],MObra[VALOR UNIT],,0),"")</f>
        <v/>
      </c>
      <c r="F607" s="40"/>
      <c r="G607" s="41" t="str">
        <f>IFERROR(IF(F607&gt;=0,D607*E607*(1+F607/100),ABS(D607*E607/F607)),"")</f>
        <v/>
      </c>
      <c r="H607" s="42" t="str">
        <f>IFERROR(G607*E589,"")</f>
        <v/>
      </c>
    </row>
    <row r="608" spans="1:8" ht="13.5" thickTop="1" thickBot="1"/>
    <row r="609" spans="1:11" ht="26.25" thickTop="1" thickBot="1">
      <c r="A609" s="6" t="s">
        <v>937</v>
      </c>
      <c r="B609" s="7" t="str">
        <f>VLOOKUP($A609,Presupuesto!$A:$D,2,FALSE())</f>
        <v>Interruptor tipo Swich conmutable sencillo empotrado, incluye caja 4X2" galvanizada</v>
      </c>
      <c r="C609" s="8" t="str">
        <f>VLOOKUP($A609,Presupuesto!$A:$D,3,FALSE())</f>
        <v>Un</v>
      </c>
      <c r="D609" s="9"/>
      <c r="E609" s="10">
        <f>VLOOKUP($A609,Presupuesto!$A:$D,4,FALSE())</f>
        <v>0</v>
      </c>
      <c r="F609" s="11" t="s">
        <v>2589</v>
      </c>
      <c r="G609" s="12">
        <f>SUM(G611:G627)/2</f>
        <v>30431.045119912505</v>
      </c>
      <c r="H609" s="13">
        <f>ROUND(SUM(H611:H627),0)/2</f>
        <v>0</v>
      </c>
      <c r="I609" s="10">
        <f>VLOOKUP(A609,Presupuesto!$A:$F,6,0)</f>
        <v>0</v>
      </c>
      <c r="J609" s="10">
        <f>+H609-I609</f>
        <v>0</v>
      </c>
      <c r="K609" s="46">
        <f>+H609-G609*E609</f>
        <v>0</v>
      </c>
    </row>
    <row r="610" spans="1:11" ht="13.15" thickTop="1">
      <c r="A610" s="14"/>
      <c r="B610" s="15" t="s">
        <v>2586</v>
      </c>
      <c r="C610" s="15" t="s">
        <v>5</v>
      </c>
      <c r="D610" s="16" t="s">
        <v>6</v>
      </c>
      <c r="E610" s="17" t="s">
        <v>7</v>
      </c>
      <c r="F610" s="18" t="s">
        <v>3728</v>
      </c>
      <c r="G610" s="19" t="s">
        <v>3729</v>
      </c>
      <c r="H610" s="20" t="s">
        <v>3797</v>
      </c>
    </row>
    <row r="611" spans="1:11">
      <c r="A611" s="21"/>
      <c r="B611" s="22" t="s">
        <v>3730</v>
      </c>
      <c r="C611" s="23"/>
      <c r="D611" s="24"/>
      <c r="E611" s="25"/>
      <c r="F611" s="26"/>
      <c r="G611" s="27">
        <f>SUM(G612:G616)</f>
        <v>12702.900000000001</v>
      </c>
      <c r="H611" s="27">
        <f>IFERROR(G611*E609,"")</f>
        <v>0</v>
      </c>
    </row>
    <row r="612" spans="1:11">
      <c r="A612" s="28"/>
      <c r="B612" s="29" t="s">
        <v>3011</v>
      </c>
      <c r="C612" s="30" t="str">
        <f>IFERROR(_xlfn.XLOOKUP(B612,Insumo[DESCRIPCION],Insumo[UND],,0),"")</f>
        <v>Un</v>
      </c>
      <c r="D612" s="31">
        <v>1</v>
      </c>
      <c r="E612" s="32">
        <f>IFERROR(_xlfn.XLOOKUP($B612,Insumo[DESCRIPCION],Insumo[VALOR],,0),"")</f>
        <v>8325.4500000000007</v>
      </c>
      <c r="F612" s="33"/>
      <c r="G612" s="34">
        <f>IFERROR(IF(F612&gt;=0,D612*E612*(1+F612/100),ABS(D612*E612/F612)),"")</f>
        <v>8325.4500000000007</v>
      </c>
      <c r="H612" s="43">
        <f>IFERROR(G612*E609,"")</f>
        <v>0</v>
      </c>
    </row>
    <row r="613" spans="1:11">
      <c r="A613" s="28"/>
      <c r="B613" s="29" t="s">
        <v>2806</v>
      </c>
      <c r="C613" s="30" t="str">
        <f>IFERROR(_xlfn.XLOOKUP(B613,Insumo[DESCRIPCION],Insumo[UND],,0),"")</f>
        <v>Un</v>
      </c>
      <c r="D613" s="31">
        <v>1</v>
      </c>
      <c r="E613" s="32">
        <f>IFERROR(_xlfn.XLOOKUP($B613,Insumo[DESCRIPCION],Insumo[VALOR],,0),"")</f>
        <v>3012.4500000000003</v>
      </c>
      <c r="F613" s="33"/>
      <c r="G613" s="34">
        <f>IFERROR(IF(F613&gt;=0,D613*E613*(1+F613/100),ABS(D613*E613/F613)),"")</f>
        <v>3012.4500000000003</v>
      </c>
      <c r="H613" s="43">
        <f>IFERROR(G613*E609,"")</f>
        <v>0</v>
      </c>
    </row>
    <row r="614" spans="1:11">
      <c r="A614" s="28"/>
      <c r="B614" s="29" t="s">
        <v>2833</v>
      </c>
      <c r="C614" s="30" t="str">
        <f>IFERROR(_xlfn.XLOOKUP(B614,Insumo[DESCRIPCION],Insumo[UND],,0),"")</f>
        <v>Un</v>
      </c>
      <c r="D614" s="31">
        <v>2</v>
      </c>
      <c r="E614" s="32">
        <f>IFERROR(_xlfn.XLOOKUP($B614,Insumo[DESCRIPCION],Insumo[VALOR],,0),"")</f>
        <v>682.5</v>
      </c>
      <c r="F614" s="33"/>
      <c r="G614" s="34">
        <f>IFERROR(IF(F614&gt;=0,D614*E614*(1+F614/100),ABS(D614*E614/F614)),"")</f>
        <v>1365</v>
      </c>
      <c r="H614" s="43">
        <f>IFERROR(G614*E609,"")</f>
        <v>0</v>
      </c>
    </row>
    <row r="615" spans="1:11">
      <c r="A615" s="28"/>
      <c r="B615" s="29"/>
      <c r="C615" s="30" t="str">
        <f>IFERROR(_xlfn.XLOOKUP(B615,Insumo[DESCRIPCION],Insumo[UND],,0),"")</f>
        <v/>
      </c>
      <c r="D615" s="31"/>
      <c r="E615" s="32" t="str">
        <f>IFERROR(_xlfn.XLOOKUP($B615,Insumo[DESCRIPCION],Insumo[VALOR],,0),"")</f>
        <v/>
      </c>
      <c r="F615" s="33"/>
      <c r="G615" s="34" t="str">
        <f>IFERROR(IF(F615&gt;=0,D615*E615*(1+F615/100),ABS(D615*E615/F615)),"")</f>
        <v/>
      </c>
      <c r="H615" s="43" t="str">
        <f>IFERROR(G615*E609,"")</f>
        <v/>
      </c>
    </row>
    <row r="616" spans="1:11">
      <c r="A616" s="28"/>
      <c r="B616" s="29"/>
      <c r="C616" s="30" t="str">
        <f>IFERROR(_xlfn.XLOOKUP(B616,Insumo[DESCRIPCION],Insumo[UND],,0),"")</f>
        <v/>
      </c>
      <c r="D616" s="31"/>
      <c r="E616" s="32" t="str">
        <f>IFERROR(_xlfn.XLOOKUP($B616,Insumo[DESCRIPCION],Insumo[VALOR],,0),"")</f>
        <v/>
      </c>
      <c r="F616" s="33"/>
      <c r="G616" s="34" t="str">
        <f>IFERROR(IF(F616&gt;=0,D616*E616*(1+F616/100),ABS(D616*E616/F616)),"")</f>
        <v/>
      </c>
      <c r="H616" s="43" t="str">
        <f>IFERROR(G616*E609,"")</f>
        <v/>
      </c>
    </row>
    <row r="617" spans="1:11">
      <c r="A617" s="21"/>
      <c r="B617" s="22" t="s">
        <v>3731</v>
      </c>
      <c r="C617" s="23"/>
      <c r="D617" s="24"/>
      <c r="E617" s="25"/>
      <c r="F617" s="26"/>
      <c r="G617" s="27">
        <f>SUM(G618:G620)</f>
        <v>844.19738666250021</v>
      </c>
      <c r="H617" s="44">
        <f>G617*E609</f>
        <v>0</v>
      </c>
    </row>
    <row r="618" spans="1:11">
      <c r="A618" s="28"/>
      <c r="B618" s="29" t="s">
        <v>3626</v>
      </c>
      <c r="C618" s="30" t="str">
        <f>IFERROR(_xlfn.XLOOKUP(B618,Equipo[DESCRIPCION],Equipo[UND],,0),"")</f>
        <v>%MO</v>
      </c>
      <c r="D618" s="31">
        <v>0.05</v>
      </c>
      <c r="E618" s="32">
        <f>IF(C618="%MO",G624,IFERROR(_xlfn.XLOOKUP($B618,Equipo[DESCRIPCION],Equipo[VALOR],,0),""))</f>
        <v>16883.947733250003</v>
      </c>
      <c r="F618" s="33"/>
      <c r="G618" s="34">
        <f>IFERROR(IF(F618&gt;=0,D618*E618*(1+F618/100),ABS(D618*E618/F618)),"")</f>
        <v>844.19738666250021</v>
      </c>
      <c r="H618" s="43">
        <f>IFERROR(G618*E609,"")</f>
        <v>0</v>
      </c>
    </row>
    <row r="619" spans="1:11">
      <c r="A619" s="28"/>
      <c r="B619" s="29"/>
      <c r="C619" s="30" t="str">
        <f>IFERROR(_xlfn.XLOOKUP(B619,Equipo[DESCRIPCION],Equipo[UND],,0),"")</f>
        <v/>
      </c>
      <c r="D619" s="31"/>
      <c r="E619" s="32" t="str">
        <f>IF(C619="%MO",G624,IFERROR(_xlfn.XLOOKUP($B619,Equipo[DESCRIPCION],Equipo[VALOR],,0),""))</f>
        <v/>
      </c>
      <c r="F619" s="33"/>
      <c r="G619" s="34" t="str">
        <f>IFERROR(IF(F619&gt;=0,D619*E619*(1+F619/100),ABS(D619*E619/F619)),"")</f>
        <v/>
      </c>
      <c r="H619" s="43" t="str">
        <f>IFERROR(G619*E609,"")</f>
        <v/>
      </c>
    </row>
    <row r="620" spans="1:11">
      <c r="A620" s="28"/>
      <c r="B620" s="29"/>
      <c r="C620" s="30" t="str">
        <f>IFERROR(_xlfn.XLOOKUP(B620,Equipo[DESCRIPCION],Equipo[UND],,0),"")</f>
        <v/>
      </c>
      <c r="D620" s="31"/>
      <c r="E620" s="32" t="str">
        <f>IF(C620="%MO",G624,IFERROR(_xlfn.XLOOKUP($B620,Equipo[DESCRIPCION],Equipo[VALOR],,0),""))</f>
        <v/>
      </c>
      <c r="F620" s="33"/>
      <c r="G620" s="34" t="str">
        <f>IFERROR(IF(F620&gt;=0,D620*E620*(1+F620/100),ABS(D620*E620/F620)),"")</f>
        <v/>
      </c>
      <c r="H620" s="43" t="str">
        <f>IFERROR(G620*E609,"")</f>
        <v/>
      </c>
    </row>
    <row r="621" spans="1:11">
      <c r="A621" s="21"/>
      <c r="B621" s="22" t="s">
        <v>2533</v>
      </c>
      <c r="C621" s="23"/>
      <c r="D621" s="24"/>
      <c r="E621" s="25"/>
      <c r="F621" s="26"/>
      <c r="G621" s="27">
        <f>SUM(G622:G623)</f>
        <v>0</v>
      </c>
      <c r="H621" s="44">
        <f>G621*E609</f>
        <v>0</v>
      </c>
    </row>
    <row r="622" spans="1:11">
      <c r="A622" s="28"/>
      <c r="B622" s="29"/>
      <c r="C622" s="30" t="str">
        <f>IFERROR(_xlfn.XLOOKUP(B622,Transporte[DESCRIPCION],Transporte[UND],,0),"")</f>
        <v/>
      </c>
      <c r="D622" s="31"/>
      <c r="E622" s="32" t="str">
        <f>IFERROR(_xlfn.XLOOKUP($B622,Transporte[DESCRIPCION],Transporte[VALOR],,0),"")</f>
        <v/>
      </c>
      <c r="F622" s="33"/>
      <c r="G622" s="34" t="str">
        <f>IFERROR(IF(F622&gt;=0,D622*E622*(1+F622/100),ABS(D622*E622/F622)),"")</f>
        <v/>
      </c>
      <c r="H622" s="43" t="str">
        <f>IFERROR(G622*E609,"")</f>
        <v/>
      </c>
    </row>
    <row r="623" spans="1:11">
      <c r="A623" s="28"/>
      <c r="B623" s="29"/>
      <c r="C623" s="30" t="str">
        <f>IFERROR(_xlfn.XLOOKUP(B623,Transporte[DESCRIPCION],Transporte[UND],,0),"")</f>
        <v/>
      </c>
      <c r="D623" s="31"/>
      <c r="E623" s="32" t="str">
        <f>IFERROR(_xlfn.XLOOKUP($B623,Transporte[DESCRIPCION],Transporte[VALOR],,0),"")</f>
        <v/>
      </c>
      <c r="F623" s="33"/>
      <c r="G623" s="34" t="str">
        <f>IFERROR(IF(F623&gt;=0,D623*E623*(1+F623/100),ABS(D623*E623/F623)),"")</f>
        <v/>
      </c>
      <c r="H623" s="43" t="str">
        <f>IFERROR(G623*E609,"")</f>
        <v/>
      </c>
    </row>
    <row r="624" spans="1:11">
      <c r="A624" s="21"/>
      <c r="B624" s="22" t="s">
        <v>3732</v>
      </c>
      <c r="C624" s="23"/>
      <c r="D624" s="24"/>
      <c r="E624" s="25"/>
      <c r="F624" s="26"/>
      <c r="G624" s="27">
        <f>SUM(G625:G627)</f>
        <v>16883.947733250003</v>
      </c>
      <c r="H624" s="44">
        <f>G624*E609</f>
        <v>0</v>
      </c>
    </row>
    <row r="625" spans="1:11">
      <c r="A625" s="28"/>
      <c r="B625" s="29" t="s">
        <v>3715</v>
      </c>
      <c r="C625" s="30" t="str">
        <f>IFERROR(_xlfn.XLOOKUP(B625,MObra[DESCRIPCION],MObra[UN],,0),"")</f>
        <v>día</v>
      </c>
      <c r="D625" s="31">
        <v>1</v>
      </c>
      <c r="E625" s="32">
        <f>IFERROR(_xlfn.XLOOKUP($B625,MObra[DESCRIPCION],MObra[VALOR UNIT],,0),"")</f>
        <v>337678.95466500008</v>
      </c>
      <c r="F625" s="33">
        <v>-20</v>
      </c>
      <c r="G625" s="34">
        <f>IFERROR(IF(F625&gt;=0,D625*E625*(1+F625/100),ABS(D625*E625/F625)),"")</f>
        <v>16883.947733250003</v>
      </c>
      <c r="H625" s="43">
        <f>IFERROR(G625*E609,"")</f>
        <v>0</v>
      </c>
    </row>
    <row r="626" spans="1:11">
      <c r="A626" s="28"/>
      <c r="B626" s="29"/>
      <c r="C626" s="30" t="str">
        <f t="array" ref="C626">IFERROR(_xlfn.XLOOKUP(B626,MObra[[#All],[DESCRIPCION]],MObra[[#All],[UN]],,0),"")</f>
        <v/>
      </c>
      <c r="D626" s="31"/>
      <c r="E626" s="32" t="str">
        <f>IFERROR(_xlfn.XLOOKUP($B626,MObra[DESCRIPCION],MObra[VALOR UNIT],,0),"")</f>
        <v/>
      </c>
      <c r="F626" s="33"/>
      <c r="G626" s="34" t="str">
        <f>IFERROR(IF(F626&gt;=0,D626*E626*(1+F626/100),ABS(D626*E626/F626)),"")</f>
        <v/>
      </c>
      <c r="H626" s="43" t="str">
        <f>IFERROR(G626*E609,"")</f>
        <v/>
      </c>
    </row>
    <row r="627" spans="1:11" ht="13.15" thickBot="1">
      <c r="A627" s="35"/>
      <c r="B627" s="36"/>
      <c r="C627" s="37" t="str">
        <f t="array" ref="C627">IFERROR(_xlfn.XLOOKUP(B627,MObra[[#All],[DESCRIPCION]],MObra[[#All],[UN]],,0),"")</f>
        <v/>
      </c>
      <c r="D627" s="38"/>
      <c r="E627" s="39" t="str">
        <f>IFERROR(_xlfn.XLOOKUP($B627,MObra[DESCRIPCION],MObra[VALOR UNIT],,0),"")</f>
        <v/>
      </c>
      <c r="F627" s="40"/>
      <c r="G627" s="41" t="str">
        <f>IFERROR(IF(F627&gt;=0,D627*E627*(1+F627/100),ABS(D627*E627/F627)),"")</f>
        <v/>
      </c>
      <c r="H627" s="42" t="str">
        <f>IFERROR(G627*E609,"")</f>
        <v/>
      </c>
    </row>
    <row r="628" spans="1:11" ht="13.5" thickTop="1" thickBot="1"/>
    <row r="629" spans="1:11" ht="26.25" thickTop="1" thickBot="1">
      <c r="A629" s="6" t="s">
        <v>939</v>
      </c>
      <c r="B629" s="7" t="str">
        <f>VLOOKUP($A629,Presupuesto!$A:$D,2,FALSE())</f>
        <v>Interruptor tipo Swich conmutable sencillo, incluye caja 4X2", salidas en 1/2" con accesorios para instalación</v>
      </c>
      <c r="C629" s="8" t="str">
        <f>VLOOKUP($A629,Presupuesto!$A:$D,3,FALSE())</f>
        <v>Un</v>
      </c>
      <c r="D629" s="9"/>
      <c r="E629" s="10">
        <f>VLOOKUP($A629,Presupuesto!$A:$D,4,FALSE())</f>
        <v>0</v>
      </c>
      <c r="F629" s="11" t="s">
        <v>2589</v>
      </c>
      <c r="G629" s="12">
        <f>SUM(G631:G647)/2</f>
        <v>49571.495119912506</v>
      </c>
      <c r="H629" s="13">
        <f>ROUND(SUM(H631:H647),0)/2</f>
        <v>0</v>
      </c>
      <c r="I629" s="10">
        <f>VLOOKUP(A629,Presupuesto!$A:$F,6,0)</f>
        <v>0</v>
      </c>
      <c r="J629" s="10">
        <f>+H629-I629</f>
        <v>0</v>
      </c>
      <c r="K629" s="46">
        <f>+H629-G629*E629</f>
        <v>0</v>
      </c>
    </row>
    <row r="630" spans="1:11" ht="13.15" thickTop="1">
      <c r="A630" s="14"/>
      <c r="B630" s="15" t="s">
        <v>2586</v>
      </c>
      <c r="C630" s="15" t="s">
        <v>5</v>
      </c>
      <c r="D630" s="16" t="s">
        <v>6</v>
      </c>
      <c r="E630" s="17" t="s">
        <v>7</v>
      </c>
      <c r="F630" s="18" t="s">
        <v>3728</v>
      </c>
      <c r="G630" s="19" t="s">
        <v>3729</v>
      </c>
      <c r="H630" s="20" t="s">
        <v>3797</v>
      </c>
    </row>
    <row r="631" spans="1:11">
      <c r="A631" s="21"/>
      <c r="B631" s="22" t="s">
        <v>3730</v>
      </c>
      <c r="C631" s="23"/>
      <c r="D631" s="24"/>
      <c r="E631" s="25"/>
      <c r="F631" s="26"/>
      <c r="G631" s="27">
        <f>SUM(G632:G636)</f>
        <v>31843.350000000002</v>
      </c>
      <c r="H631" s="27">
        <f>IFERROR(G631*E629,"")</f>
        <v>0</v>
      </c>
    </row>
    <row r="632" spans="1:11">
      <c r="A632" s="28"/>
      <c r="B632" s="29" t="s">
        <v>3011</v>
      </c>
      <c r="C632" s="30" t="str">
        <f>IFERROR(_xlfn.XLOOKUP(B632,Insumo[DESCRIPCION],Insumo[UND],,0),"")</f>
        <v>Un</v>
      </c>
      <c r="D632" s="31">
        <v>1</v>
      </c>
      <c r="E632" s="32">
        <f>IFERROR(_xlfn.XLOOKUP($B632,Insumo[DESCRIPCION],Insumo[VALOR],,0),"")</f>
        <v>8325.4500000000007</v>
      </c>
      <c r="F632" s="33"/>
      <c r="G632" s="34">
        <f>IFERROR(IF(F632&gt;=0,D632*E632*(1+F632/100),ABS(D632*E632/F632)),"")</f>
        <v>8325.4500000000007</v>
      </c>
      <c r="H632" s="43">
        <f>IFERROR(G632*E629,"")</f>
        <v>0</v>
      </c>
    </row>
    <row r="633" spans="1:11">
      <c r="A633" s="28"/>
      <c r="B633" s="29" t="s">
        <v>2801</v>
      </c>
      <c r="C633" s="30" t="str">
        <f>IFERROR(_xlfn.XLOOKUP(B633,Insumo[DESCRIPCION],Insumo[UND],,0),"")</f>
        <v>Un</v>
      </c>
      <c r="D633" s="31">
        <v>1</v>
      </c>
      <c r="E633" s="32">
        <f>IFERROR(_xlfn.XLOOKUP($B633,Insumo[DESCRIPCION],Insumo[VALOR],,0),"")</f>
        <v>22152.9</v>
      </c>
      <c r="F633" s="33"/>
      <c r="G633" s="34">
        <f>IFERROR(IF(F633&gt;=0,D633*E633*(1+F633/100),ABS(D633*E633/F633)),"")</f>
        <v>22152.9</v>
      </c>
      <c r="H633" s="43">
        <f>IFERROR(G633*E629,"")</f>
        <v>0</v>
      </c>
    </row>
    <row r="634" spans="1:11">
      <c r="A634" s="28"/>
      <c r="B634" s="29" t="s">
        <v>2833</v>
      </c>
      <c r="C634" s="30" t="str">
        <f>IFERROR(_xlfn.XLOOKUP(B634,Insumo[DESCRIPCION],Insumo[UND],,0),"")</f>
        <v>Un</v>
      </c>
      <c r="D634" s="31">
        <v>2</v>
      </c>
      <c r="E634" s="32">
        <f>IFERROR(_xlfn.XLOOKUP($B634,Insumo[DESCRIPCION],Insumo[VALOR],,0),"")</f>
        <v>682.5</v>
      </c>
      <c r="F634" s="33"/>
      <c r="G634" s="34">
        <f>IFERROR(IF(F634&gt;=0,D634*E634*(1+F634/100),ABS(D634*E634/F634)),"")</f>
        <v>1365</v>
      </c>
      <c r="H634" s="43">
        <f>IFERROR(G634*E629,"")</f>
        <v>0</v>
      </c>
    </row>
    <row r="635" spans="1:11">
      <c r="A635" s="28"/>
      <c r="B635" s="29"/>
      <c r="C635" s="30" t="str">
        <f>IFERROR(_xlfn.XLOOKUP(B635,Insumo[DESCRIPCION],Insumo[UND],,0),"")</f>
        <v/>
      </c>
      <c r="D635" s="31"/>
      <c r="E635" s="32" t="str">
        <f>IFERROR(_xlfn.XLOOKUP($B635,Insumo[DESCRIPCION],Insumo[VALOR],,0),"")</f>
        <v/>
      </c>
      <c r="F635" s="33"/>
      <c r="G635" s="34" t="str">
        <f>IFERROR(IF(F635&gt;=0,D635*E635*(1+F635/100),ABS(D635*E635/F635)),"")</f>
        <v/>
      </c>
      <c r="H635" s="43" t="str">
        <f>IFERROR(G635*E629,"")</f>
        <v/>
      </c>
    </row>
    <row r="636" spans="1:11">
      <c r="A636" s="28"/>
      <c r="B636" s="29"/>
      <c r="C636" s="30" t="str">
        <f>IFERROR(_xlfn.XLOOKUP(B636,Insumo[DESCRIPCION],Insumo[UND],,0),"")</f>
        <v/>
      </c>
      <c r="D636" s="31"/>
      <c r="E636" s="32" t="str">
        <f>IFERROR(_xlfn.XLOOKUP($B636,Insumo[DESCRIPCION],Insumo[VALOR],,0),"")</f>
        <v/>
      </c>
      <c r="F636" s="33"/>
      <c r="G636" s="34" t="str">
        <f>IFERROR(IF(F636&gt;=0,D636*E636*(1+F636/100),ABS(D636*E636/F636)),"")</f>
        <v/>
      </c>
      <c r="H636" s="43" t="str">
        <f>IFERROR(G636*E629,"")</f>
        <v/>
      </c>
    </row>
    <row r="637" spans="1:11">
      <c r="A637" s="21"/>
      <c r="B637" s="22" t="s">
        <v>3731</v>
      </c>
      <c r="C637" s="23"/>
      <c r="D637" s="24"/>
      <c r="E637" s="25"/>
      <c r="F637" s="26"/>
      <c r="G637" s="27">
        <f>SUM(G638:G640)</f>
        <v>844.19738666250021</v>
      </c>
      <c r="H637" s="44">
        <f>G637*E629</f>
        <v>0</v>
      </c>
    </row>
    <row r="638" spans="1:11">
      <c r="A638" s="28"/>
      <c r="B638" s="29" t="s">
        <v>3626</v>
      </c>
      <c r="C638" s="30" t="str">
        <f>IFERROR(_xlfn.XLOOKUP(B638,Equipo[DESCRIPCION],Equipo[UND],,0),"")</f>
        <v>%MO</v>
      </c>
      <c r="D638" s="31">
        <v>0.05</v>
      </c>
      <c r="E638" s="32">
        <f>IF(C638="%MO",G644,IFERROR(_xlfn.XLOOKUP($B638,Equipo[DESCRIPCION],Equipo[VALOR],,0),""))</f>
        <v>16883.947733250003</v>
      </c>
      <c r="F638" s="33"/>
      <c r="G638" s="34">
        <f>IFERROR(IF(F638&gt;=0,D638*E638*(1+F638/100),ABS(D638*E638/F638)),"")</f>
        <v>844.19738666250021</v>
      </c>
      <c r="H638" s="43">
        <f>IFERROR(G638*E629,"")</f>
        <v>0</v>
      </c>
    </row>
    <row r="639" spans="1:11">
      <c r="A639" s="28"/>
      <c r="B639" s="29"/>
      <c r="C639" s="30" t="str">
        <f>IFERROR(_xlfn.XLOOKUP(B639,Equipo[DESCRIPCION],Equipo[UND],,0),"")</f>
        <v/>
      </c>
      <c r="D639" s="31"/>
      <c r="E639" s="32" t="str">
        <f>IF(C639="%MO",G644,IFERROR(_xlfn.XLOOKUP($B639,Equipo[DESCRIPCION],Equipo[VALOR],,0),""))</f>
        <v/>
      </c>
      <c r="F639" s="33"/>
      <c r="G639" s="34" t="str">
        <f>IFERROR(IF(F639&gt;=0,D639*E639*(1+F639/100),ABS(D639*E639/F639)),"")</f>
        <v/>
      </c>
      <c r="H639" s="43" t="str">
        <f>IFERROR(G639*E629,"")</f>
        <v/>
      </c>
    </row>
    <row r="640" spans="1:11">
      <c r="A640" s="28"/>
      <c r="B640" s="29"/>
      <c r="C640" s="30" t="str">
        <f>IFERROR(_xlfn.XLOOKUP(B640,Equipo[DESCRIPCION],Equipo[UND],,0),"")</f>
        <v/>
      </c>
      <c r="D640" s="31"/>
      <c r="E640" s="32" t="str">
        <f>IF(C640="%MO",G644,IFERROR(_xlfn.XLOOKUP($B640,Equipo[DESCRIPCION],Equipo[VALOR],,0),""))</f>
        <v/>
      </c>
      <c r="F640" s="33"/>
      <c r="G640" s="34" t="str">
        <f>IFERROR(IF(F640&gt;=0,D640*E640*(1+F640/100),ABS(D640*E640/F640)),"")</f>
        <v/>
      </c>
      <c r="H640" s="43" t="str">
        <f>IFERROR(G640*E629,"")</f>
        <v/>
      </c>
    </row>
    <row r="641" spans="1:11">
      <c r="A641" s="21"/>
      <c r="B641" s="22" t="s">
        <v>2533</v>
      </c>
      <c r="C641" s="23"/>
      <c r="D641" s="24"/>
      <c r="E641" s="25"/>
      <c r="F641" s="26"/>
      <c r="G641" s="27">
        <f>SUM(G642:G643)</f>
        <v>0</v>
      </c>
      <c r="H641" s="44">
        <f>G641*E629</f>
        <v>0</v>
      </c>
    </row>
    <row r="642" spans="1:11">
      <c r="A642" s="28"/>
      <c r="B642" s="29"/>
      <c r="C642" s="30" t="str">
        <f>IFERROR(_xlfn.XLOOKUP(B642,Transporte[DESCRIPCION],Transporte[UND],,0),"")</f>
        <v/>
      </c>
      <c r="D642" s="31"/>
      <c r="E642" s="32" t="str">
        <f>IFERROR(_xlfn.XLOOKUP($B642,Transporte[DESCRIPCION],Transporte[VALOR],,0),"")</f>
        <v/>
      </c>
      <c r="F642" s="33"/>
      <c r="G642" s="34" t="str">
        <f>IFERROR(IF(F642&gt;=0,D642*E642*(1+F642/100),ABS(D642*E642/F642)),"")</f>
        <v/>
      </c>
      <c r="H642" s="43" t="str">
        <f>IFERROR(G642*E629,"")</f>
        <v/>
      </c>
    </row>
    <row r="643" spans="1:11">
      <c r="A643" s="28"/>
      <c r="B643" s="29"/>
      <c r="C643" s="30" t="str">
        <f>IFERROR(_xlfn.XLOOKUP(B643,Transporte[DESCRIPCION],Transporte[UND],,0),"")</f>
        <v/>
      </c>
      <c r="D643" s="31"/>
      <c r="E643" s="32" t="str">
        <f>IFERROR(_xlfn.XLOOKUP($B643,Transporte[DESCRIPCION],Transporte[VALOR],,0),"")</f>
        <v/>
      </c>
      <c r="F643" s="33"/>
      <c r="G643" s="34" t="str">
        <f>IFERROR(IF(F643&gt;=0,D643*E643*(1+F643/100),ABS(D643*E643/F643)),"")</f>
        <v/>
      </c>
      <c r="H643" s="43" t="str">
        <f>IFERROR(G643*E629,"")</f>
        <v/>
      </c>
    </row>
    <row r="644" spans="1:11">
      <c r="A644" s="21"/>
      <c r="B644" s="22" t="s">
        <v>3732</v>
      </c>
      <c r="C644" s="23"/>
      <c r="D644" s="24"/>
      <c r="E644" s="25"/>
      <c r="F644" s="26"/>
      <c r="G644" s="27">
        <f>SUM(G645:G647)</f>
        <v>16883.947733250003</v>
      </c>
      <c r="H644" s="44">
        <f>G644*E629</f>
        <v>0</v>
      </c>
    </row>
    <row r="645" spans="1:11">
      <c r="A645" s="28"/>
      <c r="B645" s="29" t="s">
        <v>3715</v>
      </c>
      <c r="C645" s="30" t="str">
        <f>IFERROR(_xlfn.XLOOKUP(B645,MObra[DESCRIPCION],MObra[UN],,0),"")</f>
        <v>día</v>
      </c>
      <c r="D645" s="31">
        <v>1</v>
      </c>
      <c r="E645" s="32">
        <f>IFERROR(_xlfn.XLOOKUP($B645,MObra[DESCRIPCION],MObra[VALOR UNIT],,0),"")</f>
        <v>337678.95466500008</v>
      </c>
      <c r="F645" s="33">
        <v>-20</v>
      </c>
      <c r="G645" s="34">
        <f>IFERROR(IF(F645&gt;=0,D645*E645*(1+F645/100),ABS(D645*E645/F645)),"")</f>
        <v>16883.947733250003</v>
      </c>
      <c r="H645" s="43">
        <f>IFERROR(G645*E629,"")</f>
        <v>0</v>
      </c>
    </row>
    <row r="646" spans="1:11">
      <c r="A646" s="28"/>
      <c r="B646" s="29"/>
      <c r="C646" s="30" t="str">
        <f t="array" ref="C646">IFERROR(_xlfn.XLOOKUP(B646,MObra[[#All],[DESCRIPCION]],MObra[[#All],[UN]],,0),"")</f>
        <v/>
      </c>
      <c r="D646" s="31"/>
      <c r="E646" s="32" t="str">
        <f>IFERROR(_xlfn.XLOOKUP($B646,MObra[DESCRIPCION],MObra[VALOR UNIT],,0),"")</f>
        <v/>
      </c>
      <c r="F646" s="33"/>
      <c r="G646" s="34" t="str">
        <f>IFERROR(IF(F646&gt;=0,D646*E646*(1+F646/100),ABS(D646*E646/F646)),"")</f>
        <v/>
      </c>
      <c r="H646" s="43" t="str">
        <f>IFERROR(G646*E629,"")</f>
        <v/>
      </c>
    </row>
    <row r="647" spans="1:11" ht="13.15" thickBot="1">
      <c r="A647" s="35"/>
      <c r="B647" s="36"/>
      <c r="C647" s="37" t="str">
        <f t="array" ref="C647">IFERROR(_xlfn.XLOOKUP(B647,MObra[[#All],[DESCRIPCION]],MObra[[#All],[UN]],,0),"")</f>
        <v/>
      </c>
      <c r="D647" s="38"/>
      <c r="E647" s="39" t="str">
        <f>IFERROR(_xlfn.XLOOKUP($B647,MObra[DESCRIPCION],MObra[VALOR UNIT],,0),"")</f>
        <v/>
      </c>
      <c r="F647" s="40"/>
      <c r="G647" s="41" t="str">
        <f>IFERROR(IF(F647&gt;=0,D647*E647*(1+F647/100),ABS(D647*E647/F647)),"")</f>
        <v/>
      </c>
      <c r="H647" s="42" t="str">
        <f>IFERROR(G647*E629,"")</f>
        <v/>
      </c>
    </row>
    <row r="648" spans="1:11" ht="13.5" thickTop="1" thickBot="1"/>
    <row r="649" spans="1:11" ht="26.25" thickTop="1" thickBot="1">
      <c r="A649" s="6" t="s">
        <v>941</v>
      </c>
      <c r="B649" s="7" t="str">
        <f>VLOOKUP($A649,Presupuesto!$A:$D,2,FALSE())</f>
        <v>Interruptor tipo Swich sencillo, incluye caja 4X2", salidas en 1/2" con accesorios para instalación</v>
      </c>
      <c r="C649" s="8" t="str">
        <f>VLOOKUP($A649,Presupuesto!$A:$D,3,FALSE())</f>
        <v>Un</v>
      </c>
      <c r="D649" s="9"/>
      <c r="E649" s="10">
        <f>VLOOKUP($A649,Presupuesto!$A:$D,4,FALSE())</f>
        <v>0</v>
      </c>
      <c r="F649" s="11" t="s">
        <v>2589</v>
      </c>
      <c r="G649" s="12">
        <f>SUM(G651:G667)/2</f>
        <v>54572.645119912515</v>
      </c>
      <c r="H649" s="13">
        <f>ROUND(SUM(H651:H667),0)/2</f>
        <v>0</v>
      </c>
      <c r="I649" s="10">
        <f>VLOOKUP(A649,Presupuesto!$A:$F,6,0)</f>
        <v>0</v>
      </c>
      <c r="J649" s="10">
        <f>+H649-I649</f>
        <v>0</v>
      </c>
      <c r="K649" s="46">
        <f>+H649-G649*E649</f>
        <v>0</v>
      </c>
    </row>
    <row r="650" spans="1:11" ht="13.15" thickTop="1">
      <c r="A650" s="14"/>
      <c r="B650" s="15" t="s">
        <v>2586</v>
      </c>
      <c r="C650" s="15" t="s">
        <v>5</v>
      </c>
      <c r="D650" s="16" t="s">
        <v>6</v>
      </c>
      <c r="E650" s="17" t="s">
        <v>7</v>
      </c>
      <c r="F650" s="18" t="s">
        <v>3728</v>
      </c>
      <c r="G650" s="19" t="s">
        <v>3729</v>
      </c>
      <c r="H650" s="20" t="s">
        <v>3797</v>
      </c>
    </row>
    <row r="651" spans="1:11">
      <c r="A651" s="21"/>
      <c r="B651" s="22" t="s">
        <v>3730</v>
      </c>
      <c r="C651" s="23"/>
      <c r="D651" s="24"/>
      <c r="E651" s="25"/>
      <c r="F651" s="26"/>
      <c r="G651" s="27">
        <f>SUM(G652:G656)</f>
        <v>36844.5</v>
      </c>
      <c r="H651" s="27">
        <f>IFERROR(G651*E649,"")</f>
        <v>0</v>
      </c>
    </row>
    <row r="652" spans="1:11">
      <c r="A652" s="28"/>
      <c r="B652" s="29" t="s">
        <v>3011</v>
      </c>
      <c r="C652" s="30" t="str">
        <f>IFERROR(_xlfn.XLOOKUP(B652,Insumo[DESCRIPCION],Insumo[UND],,0),"")</f>
        <v>Un</v>
      </c>
      <c r="D652" s="31">
        <v>1</v>
      </c>
      <c r="E652" s="32">
        <f>IFERROR(_xlfn.XLOOKUP($B652,Insumo[DESCRIPCION],Insumo[VALOR],,0),"")</f>
        <v>8325.4500000000007</v>
      </c>
      <c r="F652" s="33"/>
      <c r="G652" s="34">
        <f>IFERROR(IF(F652&gt;=0,D652*E652*(1+F652/100),ABS(D652*E652/F652)),"")</f>
        <v>8325.4500000000007</v>
      </c>
      <c r="H652" s="43">
        <f>IFERROR(G652*E649,"")</f>
        <v>0</v>
      </c>
    </row>
    <row r="653" spans="1:11">
      <c r="A653" s="28"/>
      <c r="B653" s="29" t="s">
        <v>2802</v>
      </c>
      <c r="C653" s="30" t="str">
        <f>IFERROR(_xlfn.XLOOKUP(B653,Insumo[DESCRIPCION],Insumo[UND],,0),"")</f>
        <v>Un</v>
      </c>
      <c r="D653" s="31">
        <v>1</v>
      </c>
      <c r="E653" s="32">
        <f>IFERROR(_xlfn.XLOOKUP($B653,Insumo[DESCRIPCION],Insumo[VALOR],,0),"")</f>
        <v>27154.050000000003</v>
      </c>
      <c r="F653" s="33"/>
      <c r="G653" s="34">
        <f>IFERROR(IF(F653&gt;=0,D653*E653*(1+F653/100),ABS(D653*E653/F653)),"")</f>
        <v>27154.050000000003</v>
      </c>
      <c r="H653" s="43">
        <f>IFERROR(G653*E649,"")</f>
        <v>0</v>
      </c>
    </row>
    <row r="654" spans="1:11">
      <c r="A654" s="28"/>
      <c r="B654" s="29" t="s">
        <v>2833</v>
      </c>
      <c r="C654" s="30" t="str">
        <f>IFERROR(_xlfn.XLOOKUP(B654,Insumo[DESCRIPCION],Insumo[UND],,0),"")</f>
        <v>Un</v>
      </c>
      <c r="D654" s="31">
        <v>2</v>
      </c>
      <c r="E654" s="32">
        <f>IFERROR(_xlfn.XLOOKUP($B654,Insumo[DESCRIPCION],Insumo[VALOR],,0),"")</f>
        <v>682.5</v>
      </c>
      <c r="F654" s="33"/>
      <c r="G654" s="34">
        <f>IFERROR(IF(F654&gt;=0,D654*E654*(1+F654/100),ABS(D654*E654/F654)),"")</f>
        <v>1365</v>
      </c>
      <c r="H654" s="43">
        <f>IFERROR(G654*E649,"")</f>
        <v>0</v>
      </c>
    </row>
    <row r="655" spans="1:11">
      <c r="A655" s="28"/>
      <c r="B655" s="29"/>
      <c r="C655" s="30" t="str">
        <f>IFERROR(_xlfn.XLOOKUP(B655,Insumo[DESCRIPCION],Insumo[UND],,0),"")</f>
        <v/>
      </c>
      <c r="D655" s="31"/>
      <c r="E655" s="32" t="str">
        <f>IFERROR(_xlfn.XLOOKUP($B655,Insumo[DESCRIPCION],Insumo[VALOR],,0),"")</f>
        <v/>
      </c>
      <c r="F655" s="33"/>
      <c r="G655" s="34" t="str">
        <f>IFERROR(IF(F655&gt;=0,D655*E655*(1+F655/100),ABS(D655*E655/F655)),"")</f>
        <v/>
      </c>
      <c r="H655" s="43" t="str">
        <f>IFERROR(G655*E649,"")</f>
        <v/>
      </c>
    </row>
    <row r="656" spans="1:11">
      <c r="A656" s="28"/>
      <c r="B656" s="29"/>
      <c r="C656" s="30" t="str">
        <f>IFERROR(_xlfn.XLOOKUP(B656,Insumo[DESCRIPCION],Insumo[UND],,0),"")</f>
        <v/>
      </c>
      <c r="D656" s="31"/>
      <c r="E656" s="32" t="str">
        <f>IFERROR(_xlfn.XLOOKUP($B656,Insumo[DESCRIPCION],Insumo[VALOR],,0),"")</f>
        <v/>
      </c>
      <c r="F656" s="33"/>
      <c r="G656" s="34" t="str">
        <f>IFERROR(IF(F656&gt;=0,D656*E656*(1+F656/100),ABS(D656*E656/F656)),"")</f>
        <v/>
      </c>
      <c r="H656" s="43" t="str">
        <f>IFERROR(G656*E649,"")</f>
        <v/>
      </c>
    </row>
    <row r="657" spans="1:11">
      <c r="A657" s="21"/>
      <c r="B657" s="22" t="s">
        <v>3731</v>
      </c>
      <c r="C657" s="23"/>
      <c r="D657" s="24"/>
      <c r="E657" s="25"/>
      <c r="F657" s="26"/>
      <c r="G657" s="27">
        <f>SUM(G658:G660)</f>
        <v>844.19738666250021</v>
      </c>
      <c r="H657" s="44">
        <f>G657*E649</f>
        <v>0</v>
      </c>
    </row>
    <row r="658" spans="1:11">
      <c r="A658" s="28"/>
      <c r="B658" s="29" t="s">
        <v>3626</v>
      </c>
      <c r="C658" s="30" t="str">
        <f>IFERROR(_xlfn.XLOOKUP(B658,Equipo[DESCRIPCION],Equipo[UND],,0),"")</f>
        <v>%MO</v>
      </c>
      <c r="D658" s="31">
        <v>0.05</v>
      </c>
      <c r="E658" s="32">
        <f>IF(C658="%MO",G664,IFERROR(_xlfn.XLOOKUP($B658,Equipo[DESCRIPCION],Equipo[VALOR],,0),""))</f>
        <v>16883.947733250003</v>
      </c>
      <c r="F658" s="33"/>
      <c r="G658" s="34">
        <f>IFERROR(IF(F658&gt;=0,D658*E658*(1+F658/100),ABS(D658*E658/F658)),"")</f>
        <v>844.19738666250021</v>
      </c>
      <c r="H658" s="43">
        <f>IFERROR(G658*E649,"")</f>
        <v>0</v>
      </c>
    </row>
    <row r="659" spans="1:11">
      <c r="A659" s="28"/>
      <c r="B659" s="29"/>
      <c r="C659" s="30" t="str">
        <f>IFERROR(_xlfn.XLOOKUP(B659,Equipo[DESCRIPCION],Equipo[UND],,0),"")</f>
        <v/>
      </c>
      <c r="D659" s="31"/>
      <c r="E659" s="32" t="str">
        <f>IF(C659="%MO",G664,IFERROR(_xlfn.XLOOKUP($B659,Equipo[DESCRIPCION],Equipo[VALOR],,0),""))</f>
        <v/>
      </c>
      <c r="F659" s="33"/>
      <c r="G659" s="34" t="str">
        <f>IFERROR(IF(F659&gt;=0,D659*E659*(1+F659/100),ABS(D659*E659/F659)),"")</f>
        <v/>
      </c>
      <c r="H659" s="43" t="str">
        <f>IFERROR(G659*E649,"")</f>
        <v/>
      </c>
    </row>
    <row r="660" spans="1:11">
      <c r="A660" s="28"/>
      <c r="B660" s="29"/>
      <c r="C660" s="30" t="str">
        <f>IFERROR(_xlfn.XLOOKUP(B660,Equipo[DESCRIPCION],Equipo[UND],,0),"")</f>
        <v/>
      </c>
      <c r="D660" s="31"/>
      <c r="E660" s="32" t="str">
        <f>IF(C660="%MO",G664,IFERROR(_xlfn.XLOOKUP($B660,Equipo[DESCRIPCION],Equipo[VALOR],,0),""))</f>
        <v/>
      </c>
      <c r="F660" s="33"/>
      <c r="G660" s="34" t="str">
        <f>IFERROR(IF(F660&gt;=0,D660*E660*(1+F660/100),ABS(D660*E660/F660)),"")</f>
        <v/>
      </c>
      <c r="H660" s="43" t="str">
        <f>IFERROR(G660*E649,"")</f>
        <v/>
      </c>
    </row>
    <row r="661" spans="1:11">
      <c r="A661" s="21"/>
      <c r="B661" s="22" t="s">
        <v>2533</v>
      </c>
      <c r="C661" s="23"/>
      <c r="D661" s="24"/>
      <c r="E661" s="25"/>
      <c r="F661" s="26"/>
      <c r="G661" s="27">
        <f>SUM(G662:G663)</f>
        <v>0</v>
      </c>
      <c r="H661" s="44">
        <f>G661*E649</f>
        <v>0</v>
      </c>
    </row>
    <row r="662" spans="1:11">
      <c r="A662" s="28"/>
      <c r="B662" s="29"/>
      <c r="C662" s="30" t="str">
        <f>IFERROR(_xlfn.XLOOKUP(B662,Transporte[DESCRIPCION],Transporte[UND],,0),"")</f>
        <v/>
      </c>
      <c r="D662" s="31"/>
      <c r="E662" s="32" t="str">
        <f>IFERROR(_xlfn.XLOOKUP($B662,Transporte[DESCRIPCION],Transporte[VALOR],,0),"")</f>
        <v/>
      </c>
      <c r="F662" s="33"/>
      <c r="G662" s="34" t="str">
        <f>IFERROR(IF(F662&gt;=0,D662*E662*(1+F662/100),ABS(D662*E662/F662)),"")</f>
        <v/>
      </c>
      <c r="H662" s="43" t="str">
        <f>IFERROR(G662*E649,"")</f>
        <v/>
      </c>
    </row>
    <row r="663" spans="1:11">
      <c r="A663" s="28"/>
      <c r="B663" s="29"/>
      <c r="C663" s="30" t="str">
        <f>IFERROR(_xlfn.XLOOKUP(B663,Transporte[DESCRIPCION],Transporte[UND],,0),"")</f>
        <v/>
      </c>
      <c r="D663" s="31"/>
      <c r="E663" s="32" t="str">
        <f>IFERROR(_xlfn.XLOOKUP($B663,Transporte[DESCRIPCION],Transporte[VALOR],,0),"")</f>
        <v/>
      </c>
      <c r="F663" s="33"/>
      <c r="G663" s="34" t="str">
        <f>IFERROR(IF(F663&gt;=0,D663*E663*(1+F663/100),ABS(D663*E663/F663)),"")</f>
        <v/>
      </c>
      <c r="H663" s="43" t="str">
        <f>IFERROR(G663*E649,"")</f>
        <v/>
      </c>
    </row>
    <row r="664" spans="1:11">
      <c r="A664" s="21"/>
      <c r="B664" s="22" t="s">
        <v>3732</v>
      </c>
      <c r="C664" s="23"/>
      <c r="D664" s="24"/>
      <c r="E664" s="25"/>
      <c r="F664" s="26"/>
      <c r="G664" s="27">
        <f>SUM(G665:G667)</f>
        <v>16883.947733250003</v>
      </c>
      <c r="H664" s="44">
        <f>G664*E649</f>
        <v>0</v>
      </c>
    </row>
    <row r="665" spans="1:11">
      <c r="A665" s="28"/>
      <c r="B665" s="29" t="s">
        <v>3715</v>
      </c>
      <c r="C665" s="30" t="str">
        <f>IFERROR(_xlfn.XLOOKUP(B665,MObra[DESCRIPCION],MObra[UN],,0),"")</f>
        <v>día</v>
      </c>
      <c r="D665" s="31">
        <v>1</v>
      </c>
      <c r="E665" s="32">
        <f>IFERROR(_xlfn.XLOOKUP($B665,MObra[DESCRIPCION],MObra[VALOR UNIT],,0),"")</f>
        <v>337678.95466500008</v>
      </c>
      <c r="F665" s="33">
        <v>-20</v>
      </c>
      <c r="G665" s="34">
        <f>IFERROR(IF(F665&gt;=0,D665*E665*(1+F665/100),ABS(D665*E665/F665)),"")</f>
        <v>16883.947733250003</v>
      </c>
      <c r="H665" s="43">
        <f>IFERROR(G665*E649,"")</f>
        <v>0</v>
      </c>
    </row>
    <row r="666" spans="1:11">
      <c r="A666" s="28"/>
      <c r="B666" s="29"/>
      <c r="C666" s="30" t="str">
        <f t="array" ref="C666">IFERROR(_xlfn.XLOOKUP(B666,MObra[[#All],[DESCRIPCION]],MObra[[#All],[UN]],,0),"")</f>
        <v/>
      </c>
      <c r="D666" s="31"/>
      <c r="E666" s="32" t="str">
        <f>IFERROR(_xlfn.XLOOKUP($B666,MObra[DESCRIPCION],MObra[VALOR UNIT],,0),"")</f>
        <v/>
      </c>
      <c r="F666" s="33"/>
      <c r="G666" s="34" t="str">
        <f>IFERROR(IF(F666&gt;=0,D666*E666*(1+F666/100),ABS(D666*E666/F666)),"")</f>
        <v/>
      </c>
      <c r="H666" s="43" t="str">
        <f>IFERROR(G666*E649,"")</f>
        <v/>
      </c>
    </row>
    <row r="667" spans="1:11" ht="13.15" thickBot="1">
      <c r="A667" s="35"/>
      <c r="B667" s="36"/>
      <c r="C667" s="37" t="str">
        <f t="array" ref="C667">IFERROR(_xlfn.XLOOKUP(B667,MObra[[#All],[DESCRIPCION]],MObra[[#All],[UN]],,0),"")</f>
        <v/>
      </c>
      <c r="D667" s="38"/>
      <c r="E667" s="39" t="str">
        <f>IFERROR(_xlfn.XLOOKUP($B667,MObra[DESCRIPCION],MObra[VALOR UNIT],,0),"")</f>
        <v/>
      </c>
      <c r="F667" s="40"/>
      <c r="G667" s="41" t="str">
        <f>IFERROR(IF(F667&gt;=0,D667*E667*(1+F667/100),ABS(D667*E667/F667)),"")</f>
        <v/>
      </c>
      <c r="H667" s="42" t="str">
        <f>IFERROR(G667*E649,"")</f>
        <v/>
      </c>
    </row>
    <row r="668" spans="1:11" ht="13.5" thickTop="1" thickBot="1"/>
    <row r="669" spans="1:11" ht="26.25" thickTop="1" thickBot="1">
      <c r="A669" s="6" t="s">
        <v>943</v>
      </c>
      <c r="B669" s="7" t="str">
        <f>VLOOKUP($A669,Presupuesto!$A:$D,2,FALSE())</f>
        <v>Interruptor tipo Swich conmutable doble empotrado, incluye caja 4X2" galvanizada</v>
      </c>
      <c r="C669" s="8" t="str">
        <f>VLOOKUP($A669,Presupuesto!$A:$D,3,FALSE())</f>
        <v>Un</v>
      </c>
      <c r="D669" s="9"/>
      <c r="E669" s="10">
        <f>VLOOKUP($A669,Presupuesto!$A:$D,4,FALSE())</f>
        <v>0</v>
      </c>
      <c r="F669" s="11" t="s">
        <v>2589</v>
      </c>
      <c r="G669" s="12">
        <f>SUM(G671:G687)/2</f>
        <v>33415.1451199125</v>
      </c>
      <c r="H669" s="13">
        <f>ROUND(SUM(H671:H687),0)/2</f>
        <v>0</v>
      </c>
      <c r="I669" s="10">
        <f>VLOOKUP(A669,Presupuesto!$A:$F,6,0)</f>
        <v>0</v>
      </c>
      <c r="J669" s="10">
        <f>+H669-I669</f>
        <v>0</v>
      </c>
      <c r="K669" s="46">
        <f>+H669-G669*E669</f>
        <v>0</v>
      </c>
    </row>
    <row r="670" spans="1:11" ht="13.15" thickTop="1">
      <c r="A670" s="14"/>
      <c r="B670" s="15" t="s">
        <v>2586</v>
      </c>
      <c r="C670" s="15" t="s">
        <v>5</v>
      </c>
      <c r="D670" s="16" t="s">
        <v>6</v>
      </c>
      <c r="E670" s="17" t="s">
        <v>7</v>
      </c>
      <c r="F670" s="18" t="s">
        <v>3728</v>
      </c>
      <c r="G670" s="19" t="s">
        <v>3729</v>
      </c>
      <c r="H670" s="20" t="s">
        <v>3797</v>
      </c>
    </row>
    <row r="671" spans="1:11">
      <c r="A671" s="21"/>
      <c r="B671" s="22" t="s">
        <v>3730</v>
      </c>
      <c r="C671" s="23"/>
      <c r="D671" s="24"/>
      <c r="E671" s="25"/>
      <c r="F671" s="26"/>
      <c r="G671" s="27">
        <f>SUM(G672:G676)</f>
        <v>15687.000000000002</v>
      </c>
      <c r="H671" s="27">
        <f>IFERROR(G671*E669,"")</f>
        <v>0</v>
      </c>
    </row>
    <row r="672" spans="1:11">
      <c r="A672" s="28"/>
      <c r="B672" s="29" t="s">
        <v>3010</v>
      </c>
      <c r="C672" s="30" t="str">
        <f>IFERROR(_xlfn.XLOOKUP(B672,Insumo[DESCRIPCION],Insumo[UND],,0),"")</f>
        <v xml:space="preserve"> Un </v>
      </c>
      <c r="D672" s="31">
        <v>1</v>
      </c>
      <c r="E672" s="32">
        <f>IFERROR(_xlfn.XLOOKUP($B672,Insumo[DESCRIPCION],Insumo[VALOR],,0),"")</f>
        <v>11309.550000000001</v>
      </c>
      <c r="F672" s="33"/>
      <c r="G672" s="34">
        <f>IFERROR(IF(F672&gt;=0,D672*E672*(1+F672/100),ABS(D672*E672/F672)),"")</f>
        <v>11309.550000000001</v>
      </c>
      <c r="H672" s="43">
        <f>IFERROR(G672*E669,"")</f>
        <v>0</v>
      </c>
    </row>
    <row r="673" spans="1:8">
      <c r="A673" s="28"/>
      <c r="B673" s="29" t="s">
        <v>2806</v>
      </c>
      <c r="C673" s="30" t="str">
        <f>IFERROR(_xlfn.XLOOKUP(B673,Insumo[DESCRIPCION],Insumo[UND],,0),"")</f>
        <v>Un</v>
      </c>
      <c r="D673" s="31">
        <v>1</v>
      </c>
      <c r="E673" s="32">
        <f>IFERROR(_xlfn.XLOOKUP($B673,Insumo[DESCRIPCION],Insumo[VALOR],,0),"")</f>
        <v>3012.4500000000003</v>
      </c>
      <c r="F673" s="33"/>
      <c r="G673" s="34">
        <f>IFERROR(IF(F673&gt;=0,D673*E673*(1+F673/100),ABS(D673*E673/F673)),"")</f>
        <v>3012.4500000000003</v>
      </c>
      <c r="H673" s="43">
        <f>IFERROR(G673*E669,"")</f>
        <v>0</v>
      </c>
    </row>
    <row r="674" spans="1:8">
      <c r="A674" s="28"/>
      <c r="B674" s="29" t="s">
        <v>2833</v>
      </c>
      <c r="C674" s="30" t="str">
        <f>IFERROR(_xlfn.XLOOKUP(B674,Insumo[DESCRIPCION],Insumo[UND],,0),"")</f>
        <v>Un</v>
      </c>
      <c r="D674" s="31">
        <v>2</v>
      </c>
      <c r="E674" s="32">
        <f>IFERROR(_xlfn.XLOOKUP($B674,Insumo[DESCRIPCION],Insumo[VALOR],,0),"")</f>
        <v>682.5</v>
      </c>
      <c r="F674" s="33"/>
      <c r="G674" s="34">
        <f>IFERROR(IF(F674&gt;=0,D674*E674*(1+F674/100),ABS(D674*E674/F674)),"")</f>
        <v>1365</v>
      </c>
      <c r="H674" s="43">
        <f>IFERROR(G674*E669,"")</f>
        <v>0</v>
      </c>
    </row>
    <row r="675" spans="1:8">
      <c r="A675" s="28"/>
      <c r="B675" s="29"/>
      <c r="C675" s="30" t="str">
        <f>IFERROR(_xlfn.XLOOKUP(B675,Insumo[DESCRIPCION],Insumo[UND],,0),"")</f>
        <v/>
      </c>
      <c r="D675" s="31"/>
      <c r="E675" s="32" t="str">
        <f>IFERROR(_xlfn.XLOOKUP($B675,Insumo[DESCRIPCION],Insumo[VALOR],,0),"")</f>
        <v/>
      </c>
      <c r="F675" s="33"/>
      <c r="G675" s="34" t="str">
        <f>IFERROR(IF(F675&gt;=0,D675*E675*(1+F675/100),ABS(D675*E675/F675)),"")</f>
        <v/>
      </c>
      <c r="H675" s="43" t="str">
        <f>IFERROR(G675*E669,"")</f>
        <v/>
      </c>
    </row>
    <row r="676" spans="1:8">
      <c r="A676" s="28"/>
      <c r="B676" s="29"/>
      <c r="C676" s="30" t="str">
        <f>IFERROR(_xlfn.XLOOKUP(B676,Insumo[DESCRIPCION],Insumo[UND],,0),"")</f>
        <v/>
      </c>
      <c r="D676" s="31"/>
      <c r="E676" s="32" t="str">
        <f>IFERROR(_xlfn.XLOOKUP($B676,Insumo[DESCRIPCION],Insumo[VALOR],,0),"")</f>
        <v/>
      </c>
      <c r="F676" s="33"/>
      <c r="G676" s="34" t="str">
        <f>IFERROR(IF(F676&gt;=0,D676*E676*(1+F676/100),ABS(D676*E676/F676)),"")</f>
        <v/>
      </c>
      <c r="H676" s="43" t="str">
        <f>IFERROR(G676*E669,"")</f>
        <v/>
      </c>
    </row>
    <row r="677" spans="1:8">
      <c r="A677" s="21"/>
      <c r="B677" s="22" t="s">
        <v>3731</v>
      </c>
      <c r="C677" s="23"/>
      <c r="D677" s="24"/>
      <c r="E677" s="25"/>
      <c r="F677" s="26"/>
      <c r="G677" s="27">
        <f>SUM(G678:G680)</f>
        <v>844.19738666250021</v>
      </c>
      <c r="H677" s="44">
        <f>G677*E669</f>
        <v>0</v>
      </c>
    </row>
    <row r="678" spans="1:8">
      <c r="A678" s="28"/>
      <c r="B678" s="29" t="s">
        <v>3626</v>
      </c>
      <c r="C678" s="30" t="str">
        <f>IFERROR(_xlfn.XLOOKUP(B678,Equipo[DESCRIPCION],Equipo[UND],,0),"")</f>
        <v>%MO</v>
      </c>
      <c r="D678" s="31">
        <v>0.05</v>
      </c>
      <c r="E678" s="32">
        <f>IF(C678="%MO",G684,IFERROR(_xlfn.XLOOKUP($B678,Equipo[DESCRIPCION],Equipo[VALOR],,0),""))</f>
        <v>16883.947733250003</v>
      </c>
      <c r="F678" s="33"/>
      <c r="G678" s="34">
        <f>IFERROR(IF(F678&gt;=0,D678*E678*(1+F678/100),ABS(D678*E678/F678)),"")</f>
        <v>844.19738666250021</v>
      </c>
      <c r="H678" s="43">
        <f>IFERROR(G678*E669,"")</f>
        <v>0</v>
      </c>
    </row>
    <row r="679" spans="1:8">
      <c r="A679" s="28"/>
      <c r="B679" s="29"/>
      <c r="C679" s="30" t="str">
        <f>IFERROR(_xlfn.XLOOKUP(B679,Equipo[DESCRIPCION],Equipo[UND],,0),"")</f>
        <v/>
      </c>
      <c r="D679" s="31"/>
      <c r="E679" s="32" t="str">
        <f>IF(C679="%MO",G684,IFERROR(_xlfn.XLOOKUP($B679,Equipo[DESCRIPCION],Equipo[VALOR],,0),""))</f>
        <v/>
      </c>
      <c r="F679" s="33"/>
      <c r="G679" s="34" t="str">
        <f>IFERROR(IF(F679&gt;=0,D679*E679*(1+F679/100),ABS(D679*E679/F679)),"")</f>
        <v/>
      </c>
      <c r="H679" s="43" t="str">
        <f>IFERROR(G679*E669,"")</f>
        <v/>
      </c>
    </row>
    <row r="680" spans="1:8">
      <c r="A680" s="28"/>
      <c r="B680" s="29"/>
      <c r="C680" s="30" t="str">
        <f>IFERROR(_xlfn.XLOOKUP(B680,Equipo[DESCRIPCION],Equipo[UND],,0),"")</f>
        <v/>
      </c>
      <c r="D680" s="31"/>
      <c r="E680" s="32" t="str">
        <f>IF(C680="%MO",G684,IFERROR(_xlfn.XLOOKUP($B680,Equipo[DESCRIPCION],Equipo[VALOR],,0),""))</f>
        <v/>
      </c>
      <c r="F680" s="33"/>
      <c r="G680" s="34" t="str">
        <f>IFERROR(IF(F680&gt;=0,D680*E680*(1+F680/100),ABS(D680*E680/F680)),"")</f>
        <v/>
      </c>
      <c r="H680" s="43" t="str">
        <f>IFERROR(G680*E669,"")</f>
        <v/>
      </c>
    </row>
    <row r="681" spans="1:8">
      <c r="A681" s="21"/>
      <c r="B681" s="22" t="s">
        <v>2533</v>
      </c>
      <c r="C681" s="23"/>
      <c r="D681" s="24"/>
      <c r="E681" s="25"/>
      <c r="F681" s="26"/>
      <c r="G681" s="27">
        <f>SUM(G682:G683)</f>
        <v>0</v>
      </c>
      <c r="H681" s="44">
        <f>G681*E669</f>
        <v>0</v>
      </c>
    </row>
    <row r="682" spans="1:8">
      <c r="A682" s="28"/>
      <c r="B682" s="29"/>
      <c r="C682" s="30" t="str">
        <f>IFERROR(_xlfn.XLOOKUP(B682,Transporte[DESCRIPCION],Transporte[UND],,0),"")</f>
        <v/>
      </c>
      <c r="D682" s="31"/>
      <c r="E682" s="32" t="str">
        <f>IFERROR(_xlfn.XLOOKUP($B682,Transporte[DESCRIPCION],Transporte[VALOR],,0),"")</f>
        <v/>
      </c>
      <c r="F682" s="33"/>
      <c r="G682" s="34" t="str">
        <f>IFERROR(IF(F682&gt;=0,D682*E682*(1+F682/100),ABS(D682*E682/F682)),"")</f>
        <v/>
      </c>
      <c r="H682" s="43" t="str">
        <f>IFERROR(G682*E669,"")</f>
        <v/>
      </c>
    </row>
    <row r="683" spans="1:8">
      <c r="A683" s="28"/>
      <c r="B683" s="29"/>
      <c r="C683" s="30" t="str">
        <f>IFERROR(_xlfn.XLOOKUP(B683,Transporte[DESCRIPCION],Transporte[UND],,0),"")</f>
        <v/>
      </c>
      <c r="D683" s="31"/>
      <c r="E683" s="32" t="str">
        <f>IFERROR(_xlfn.XLOOKUP($B683,Transporte[DESCRIPCION],Transporte[VALOR],,0),"")</f>
        <v/>
      </c>
      <c r="F683" s="33"/>
      <c r="G683" s="34" t="str">
        <f>IFERROR(IF(F683&gt;=0,D683*E683*(1+F683/100),ABS(D683*E683/F683)),"")</f>
        <v/>
      </c>
      <c r="H683" s="43" t="str">
        <f>IFERROR(G683*E669,"")</f>
        <v/>
      </c>
    </row>
    <row r="684" spans="1:8">
      <c r="A684" s="21"/>
      <c r="B684" s="22" t="s">
        <v>3732</v>
      </c>
      <c r="C684" s="23"/>
      <c r="D684" s="24"/>
      <c r="E684" s="25"/>
      <c r="F684" s="26"/>
      <c r="G684" s="27">
        <f>SUM(G685:G687)</f>
        <v>16883.947733250003</v>
      </c>
      <c r="H684" s="44">
        <f>G684*E669</f>
        <v>0</v>
      </c>
    </row>
    <row r="685" spans="1:8">
      <c r="A685" s="28"/>
      <c r="B685" s="29" t="s">
        <v>3715</v>
      </c>
      <c r="C685" s="30" t="str">
        <f>IFERROR(_xlfn.XLOOKUP(B685,MObra[DESCRIPCION],MObra[UN],,0),"")</f>
        <v>día</v>
      </c>
      <c r="D685" s="31">
        <v>1</v>
      </c>
      <c r="E685" s="32">
        <f>IFERROR(_xlfn.XLOOKUP($B685,MObra[DESCRIPCION],MObra[VALOR UNIT],,0),"")</f>
        <v>337678.95466500008</v>
      </c>
      <c r="F685" s="33">
        <v>-20</v>
      </c>
      <c r="G685" s="34">
        <f>IFERROR(IF(F685&gt;=0,D685*E685*(1+F685/100),ABS(D685*E685/F685)),"")</f>
        <v>16883.947733250003</v>
      </c>
      <c r="H685" s="43">
        <f>IFERROR(G685*E669,"")</f>
        <v>0</v>
      </c>
    </row>
    <row r="686" spans="1:8">
      <c r="A686" s="28"/>
      <c r="B686" s="29"/>
      <c r="C686" s="30" t="str">
        <f t="array" ref="C686">IFERROR(_xlfn.XLOOKUP(B686,MObra[[#All],[DESCRIPCION]],MObra[[#All],[UN]],,0),"")</f>
        <v/>
      </c>
      <c r="D686" s="31"/>
      <c r="E686" s="32" t="str">
        <f>IFERROR(_xlfn.XLOOKUP($B686,MObra[DESCRIPCION],MObra[VALOR UNIT],,0),"")</f>
        <v/>
      </c>
      <c r="F686" s="33"/>
      <c r="G686" s="34" t="str">
        <f>IFERROR(IF(F686&gt;=0,D686*E686*(1+F686/100),ABS(D686*E686/F686)),"")</f>
        <v/>
      </c>
      <c r="H686" s="43" t="str">
        <f>IFERROR(G686*E669,"")</f>
        <v/>
      </c>
    </row>
    <row r="687" spans="1:8" ht="13.15" thickBot="1">
      <c r="A687" s="35"/>
      <c r="B687" s="36"/>
      <c r="C687" s="37" t="str">
        <f t="array" ref="C687">IFERROR(_xlfn.XLOOKUP(B687,MObra[[#All],[DESCRIPCION]],MObra[[#All],[UN]],,0),"")</f>
        <v/>
      </c>
      <c r="D687" s="38"/>
      <c r="E687" s="39" t="str">
        <f>IFERROR(_xlfn.XLOOKUP($B687,MObra[DESCRIPCION],MObra[VALOR UNIT],,0),"")</f>
        <v/>
      </c>
      <c r="F687" s="40"/>
      <c r="G687" s="41" t="str">
        <f>IFERROR(IF(F687&gt;=0,D687*E687*(1+F687/100),ABS(D687*E687/F687)),"")</f>
        <v/>
      </c>
      <c r="H687" s="42" t="str">
        <f>IFERROR(G687*E669,"")</f>
        <v/>
      </c>
    </row>
    <row r="688" spans="1:8" ht="13.5" thickTop="1" thickBot="1"/>
    <row r="689" spans="1:11" ht="26.25" thickTop="1" thickBot="1">
      <c r="A689" s="6" t="s">
        <v>945</v>
      </c>
      <c r="B689" s="7" t="str">
        <f>VLOOKUP($A689,Presupuesto!$A:$D,2,FALSE())</f>
        <v>Interruptor tipo Swich conmutable doble, incluye caja 4X2", salidas en 1/2" con accesorios para instalación</v>
      </c>
      <c r="C689" s="8" t="str">
        <f>VLOOKUP($A689,Presupuesto!$A:$D,3,FALSE())</f>
        <v>Un</v>
      </c>
      <c r="D689" s="9"/>
      <c r="E689" s="10">
        <f>VLOOKUP($A689,Presupuesto!$A:$D,4,FALSE())</f>
        <v>0</v>
      </c>
      <c r="F689" s="11" t="s">
        <v>2589</v>
      </c>
      <c r="G689" s="12">
        <f>SUM(G691:G707)/2</f>
        <v>54525.389022125011</v>
      </c>
      <c r="H689" s="13">
        <f>ROUND(SUM(H691:H707),0)/2</f>
        <v>0</v>
      </c>
      <c r="I689" s="10">
        <f>VLOOKUP(A689,Presupuesto!$A:$F,6,0)</f>
        <v>0</v>
      </c>
      <c r="J689" s="10">
        <f>+H689-I689</f>
        <v>0</v>
      </c>
      <c r="K689" s="46">
        <f>+H689-G689*E689</f>
        <v>0</v>
      </c>
    </row>
    <row r="690" spans="1:11" ht="13.15" thickTop="1">
      <c r="A690" s="14"/>
      <c r="B690" s="15" t="s">
        <v>2586</v>
      </c>
      <c r="C690" s="15" t="s">
        <v>5</v>
      </c>
      <c r="D690" s="16" t="s">
        <v>6</v>
      </c>
      <c r="E690" s="17" t="s">
        <v>7</v>
      </c>
      <c r="F690" s="18" t="s">
        <v>3728</v>
      </c>
      <c r="G690" s="19" t="s">
        <v>3729</v>
      </c>
      <c r="H690" s="20" t="s">
        <v>3797</v>
      </c>
    </row>
    <row r="691" spans="1:11">
      <c r="A691" s="21"/>
      <c r="B691" s="22" t="s">
        <v>3730</v>
      </c>
      <c r="C691" s="23"/>
      <c r="D691" s="24"/>
      <c r="E691" s="25"/>
      <c r="F691" s="26"/>
      <c r="G691" s="27">
        <f>SUM(G692:G696)</f>
        <v>34827.450000000004</v>
      </c>
      <c r="H691" s="27">
        <f>IFERROR(G691*E689,"")</f>
        <v>0</v>
      </c>
    </row>
    <row r="692" spans="1:11">
      <c r="A692" s="28"/>
      <c r="B692" s="29" t="s">
        <v>3010</v>
      </c>
      <c r="C692" s="30" t="str">
        <f>IFERROR(_xlfn.XLOOKUP(B692,Insumo[DESCRIPCION],Insumo[UND],,0),"")</f>
        <v xml:space="preserve"> Un </v>
      </c>
      <c r="D692" s="31">
        <v>1</v>
      </c>
      <c r="E692" s="32">
        <f>IFERROR(_xlfn.XLOOKUP($B692,Insumo[DESCRIPCION],Insumo[VALOR],,0),"")</f>
        <v>11309.550000000001</v>
      </c>
      <c r="F692" s="33"/>
      <c r="G692" s="34">
        <f>IFERROR(IF(F692&gt;=0,D692*E692*(1+F692/100),ABS(D692*E692/F692)),"")</f>
        <v>11309.550000000001</v>
      </c>
      <c r="H692" s="43">
        <f>IFERROR(G692*E689,"")</f>
        <v>0</v>
      </c>
    </row>
    <row r="693" spans="1:11">
      <c r="A693" s="28"/>
      <c r="B693" s="29" t="s">
        <v>2801</v>
      </c>
      <c r="C693" s="30" t="str">
        <f>IFERROR(_xlfn.XLOOKUP(B693,Insumo[DESCRIPCION],Insumo[UND],,0),"")</f>
        <v>Un</v>
      </c>
      <c r="D693" s="31">
        <v>1</v>
      </c>
      <c r="E693" s="32">
        <f>IFERROR(_xlfn.XLOOKUP($B693,Insumo[DESCRIPCION],Insumo[VALOR],,0),"")</f>
        <v>22152.9</v>
      </c>
      <c r="F693" s="33"/>
      <c r="G693" s="34">
        <f>IFERROR(IF(F693&gt;=0,D693*E693*(1+F693/100),ABS(D693*E693/F693)),"")</f>
        <v>22152.9</v>
      </c>
      <c r="H693" s="43">
        <f>IFERROR(G693*E689,"")</f>
        <v>0</v>
      </c>
    </row>
    <row r="694" spans="1:11">
      <c r="A694" s="28"/>
      <c r="B694" s="29" t="s">
        <v>2833</v>
      </c>
      <c r="C694" s="30" t="str">
        <f>IFERROR(_xlfn.XLOOKUP(B694,Insumo[DESCRIPCION],Insumo[UND],,0),"")</f>
        <v>Un</v>
      </c>
      <c r="D694" s="31">
        <v>2</v>
      </c>
      <c r="E694" s="32">
        <f>IFERROR(_xlfn.XLOOKUP($B694,Insumo[DESCRIPCION],Insumo[VALOR],,0),"")</f>
        <v>682.5</v>
      </c>
      <c r="F694" s="33"/>
      <c r="G694" s="34">
        <f>IFERROR(IF(F694&gt;=0,D694*E694*(1+F694/100),ABS(D694*E694/F694)),"")</f>
        <v>1365</v>
      </c>
      <c r="H694" s="43">
        <f>IFERROR(G694*E689,"")</f>
        <v>0</v>
      </c>
    </row>
    <row r="695" spans="1:11">
      <c r="A695" s="28"/>
      <c r="B695" s="29"/>
      <c r="C695" s="30" t="str">
        <f>IFERROR(_xlfn.XLOOKUP(B695,Insumo[DESCRIPCION],Insumo[UND],,0),"")</f>
        <v/>
      </c>
      <c r="D695" s="31"/>
      <c r="E695" s="32" t="str">
        <f>IFERROR(_xlfn.XLOOKUP($B695,Insumo[DESCRIPCION],Insumo[VALOR],,0),"")</f>
        <v/>
      </c>
      <c r="F695" s="33"/>
      <c r="G695" s="34" t="str">
        <f>IFERROR(IF(F695&gt;=0,D695*E695*(1+F695/100),ABS(D695*E695/F695)),"")</f>
        <v/>
      </c>
      <c r="H695" s="43" t="str">
        <f>IFERROR(G695*E689,"")</f>
        <v/>
      </c>
    </row>
    <row r="696" spans="1:11">
      <c r="A696" s="28"/>
      <c r="B696" s="29"/>
      <c r="C696" s="30" t="str">
        <f>IFERROR(_xlfn.XLOOKUP(B696,Insumo[DESCRIPCION],Insumo[UND],,0),"")</f>
        <v/>
      </c>
      <c r="D696" s="31"/>
      <c r="E696" s="32" t="str">
        <f>IFERROR(_xlfn.XLOOKUP($B696,Insumo[DESCRIPCION],Insumo[VALOR],,0),"")</f>
        <v/>
      </c>
      <c r="F696" s="33"/>
      <c r="G696" s="34" t="str">
        <f>IFERROR(IF(F696&gt;=0,D696*E696*(1+F696/100),ABS(D696*E696/F696)),"")</f>
        <v/>
      </c>
      <c r="H696" s="43" t="str">
        <f>IFERROR(G696*E689,"")</f>
        <v/>
      </c>
    </row>
    <row r="697" spans="1:11">
      <c r="A697" s="21"/>
      <c r="B697" s="22" t="s">
        <v>3731</v>
      </c>
      <c r="C697" s="23"/>
      <c r="D697" s="24"/>
      <c r="E697" s="25"/>
      <c r="F697" s="26"/>
      <c r="G697" s="27">
        <f>SUM(G698:G700)</f>
        <v>937.99709629166682</v>
      </c>
      <c r="H697" s="44">
        <f>G697*E689</f>
        <v>0</v>
      </c>
    </row>
    <row r="698" spans="1:11">
      <c r="A698" s="28"/>
      <c r="B698" s="29" t="s">
        <v>3626</v>
      </c>
      <c r="C698" s="30" t="str">
        <f>IFERROR(_xlfn.XLOOKUP(B698,Equipo[DESCRIPCION],Equipo[UND],,0),"")</f>
        <v>%MO</v>
      </c>
      <c r="D698" s="31">
        <v>0.05</v>
      </c>
      <c r="E698" s="32">
        <f>IF(C698="%MO",G704,IFERROR(_xlfn.XLOOKUP($B698,Equipo[DESCRIPCION],Equipo[VALOR],,0),""))</f>
        <v>18759.941925833336</v>
      </c>
      <c r="F698" s="33"/>
      <c r="G698" s="34">
        <f>IFERROR(IF(F698&gt;=0,D698*E698*(1+F698/100),ABS(D698*E698/F698)),"")</f>
        <v>937.99709629166682</v>
      </c>
      <c r="H698" s="43">
        <f>IFERROR(G698*E689,"")</f>
        <v>0</v>
      </c>
    </row>
    <row r="699" spans="1:11">
      <c r="A699" s="28"/>
      <c r="B699" s="29"/>
      <c r="C699" s="30" t="str">
        <f>IFERROR(_xlfn.XLOOKUP(B699,Equipo[DESCRIPCION],Equipo[UND],,0),"")</f>
        <v/>
      </c>
      <c r="D699" s="31"/>
      <c r="E699" s="32" t="str">
        <f>IF(C699="%MO",G704,IFERROR(_xlfn.XLOOKUP($B699,Equipo[DESCRIPCION],Equipo[VALOR],,0),""))</f>
        <v/>
      </c>
      <c r="F699" s="33"/>
      <c r="G699" s="34" t="str">
        <f>IFERROR(IF(F699&gt;=0,D699*E699*(1+F699/100),ABS(D699*E699/F699)),"")</f>
        <v/>
      </c>
      <c r="H699" s="43" t="str">
        <f>IFERROR(G699*E689,"")</f>
        <v/>
      </c>
    </row>
    <row r="700" spans="1:11">
      <c r="A700" s="28"/>
      <c r="B700" s="29"/>
      <c r="C700" s="30" t="str">
        <f>IFERROR(_xlfn.XLOOKUP(B700,Equipo[DESCRIPCION],Equipo[UND],,0),"")</f>
        <v/>
      </c>
      <c r="D700" s="31"/>
      <c r="E700" s="32" t="str">
        <f>IF(C700="%MO",G704,IFERROR(_xlfn.XLOOKUP($B700,Equipo[DESCRIPCION],Equipo[VALOR],,0),""))</f>
        <v/>
      </c>
      <c r="F700" s="33"/>
      <c r="G700" s="34" t="str">
        <f>IFERROR(IF(F700&gt;=0,D700*E700*(1+F700/100),ABS(D700*E700/F700)),"")</f>
        <v/>
      </c>
      <c r="H700" s="43" t="str">
        <f>IFERROR(G700*E689,"")</f>
        <v/>
      </c>
    </row>
    <row r="701" spans="1:11">
      <c r="A701" s="21"/>
      <c r="B701" s="22" t="s">
        <v>2533</v>
      </c>
      <c r="C701" s="23"/>
      <c r="D701" s="24"/>
      <c r="E701" s="25"/>
      <c r="F701" s="26"/>
      <c r="G701" s="27">
        <f>SUM(G702:G703)</f>
        <v>0</v>
      </c>
      <c r="H701" s="44">
        <f>G701*E689</f>
        <v>0</v>
      </c>
    </row>
    <row r="702" spans="1:11">
      <c r="A702" s="28"/>
      <c r="B702" s="29"/>
      <c r="C702" s="30" t="str">
        <f>IFERROR(_xlfn.XLOOKUP(B702,Transporte[DESCRIPCION],Transporte[UND],,0),"")</f>
        <v/>
      </c>
      <c r="D702" s="31"/>
      <c r="E702" s="32" t="str">
        <f>IFERROR(_xlfn.XLOOKUP($B702,Transporte[DESCRIPCION],Transporte[VALOR],,0),"")</f>
        <v/>
      </c>
      <c r="F702" s="33"/>
      <c r="G702" s="34" t="str">
        <f>IFERROR(IF(F702&gt;=0,D702*E702*(1+F702/100),ABS(D702*E702/F702)),"")</f>
        <v/>
      </c>
      <c r="H702" s="43" t="str">
        <f>IFERROR(G702*E689,"")</f>
        <v/>
      </c>
    </row>
    <row r="703" spans="1:11">
      <c r="A703" s="28"/>
      <c r="B703" s="29"/>
      <c r="C703" s="30" t="str">
        <f>IFERROR(_xlfn.XLOOKUP(B703,Transporte[DESCRIPCION],Transporte[UND],,0),"")</f>
        <v/>
      </c>
      <c r="D703" s="31"/>
      <c r="E703" s="32" t="str">
        <f>IFERROR(_xlfn.XLOOKUP($B703,Transporte[DESCRIPCION],Transporte[VALOR],,0),"")</f>
        <v/>
      </c>
      <c r="F703" s="33"/>
      <c r="G703" s="34" t="str">
        <f>IFERROR(IF(F703&gt;=0,D703*E703*(1+F703/100),ABS(D703*E703/F703)),"")</f>
        <v/>
      </c>
      <c r="H703" s="43" t="str">
        <f>IFERROR(G703*E689,"")</f>
        <v/>
      </c>
    </row>
    <row r="704" spans="1:11">
      <c r="A704" s="21"/>
      <c r="B704" s="22" t="s">
        <v>3732</v>
      </c>
      <c r="C704" s="23"/>
      <c r="D704" s="24"/>
      <c r="E704" s="25"/>
      <c r="F704" s="26"/>
      <c r="G704" s="27">
        <f>SUM(G705:G707)</f>
        <v>18759.941925833336</v>
      </c>
      <c r="H704" s="44">
        <f>G704*E689</f>
        <v>0</v>
      </c>
    </row>
    <row r="705" spans="1:11">
      <c r="A705" s="28"/>
      <c r="B705" s="29" t="s">
        <v>3715</v>
      </c>
      <c r="C705" s="30" t="str">
        <f>IFERROR(_xlfn.XLOOKUP(B705,MObra[DESCRIPCION],MObra[UN],,0),"")</f>
        <v>día</v>
      </c>
      <c r="D705" s="31">
        <v>1</v>
      </c>
      <c r="E705" s="32">
        <f>IFERROR(_xlfn.XLOOKUP($B705,MObra[DESCRIPCION],MObra[VALOR UNIT],,0),"")</f>
        <v>337678.95466500008</v>
      </c>
      <c r="F705" s="33">
        <v>-18</v>
      </c>
      <c r="G705" s="34">
        <f>IFERROR(IF(F705&gt;=0,D705*E705*(1+F705/100),ABS(D705*E705/F705)),"")</f>
        <v>18759.941925833336</v>
      </c>
      <c r="H705" s="43">
        <f>IFERROR(G705*E689,"")</f>
        <v>0</v>
      </c>
    </row>
    <row r="706" spans="1:11">
      <c r="A706" s="28"/>
      <c r="B706" s="29"/>
      <c r="C706" s="30" t="str">
        <f t="array" ref="C706">IFERROR(_xlfn.XLOOKUP(B706,MObra[[#All],[DESCRIPCION]],MObra[[#All],[UN]],,0),"")</f>
        <v/>
      </c>
      <c r="D706" s="31"/>
      <c r="E706" s="32" t="str">
        <f>IFERROR(_xlfn.XLOOKUP($B706,MObra[DESCRIPCION],MObra[VALOR UNIT],,0),"")</f>
        <v/>
      </c>
      <c r="F706" s="33"/>
      <c r="G706" s="34" t="str">
        <f>IFERROR(IF(F706&gt;=0,D706*E706*(1+F706/100),ABS(D706*E706/F706)),"")</f>
        <v/>
      </c>
      <c r="H706" s="43" t="str">
        <f>IFERROR(G706*E689,"")</f>
        <v/>
      </c>
    </row>
    <row r="707" spans="1:11" ht="13.15" thickBot="1">
      <c r="A707" s="35"/>
      <c r="B707" s="36"/>
      <c r="C707" s="37" t="str">
        <f t="array" ref="C707">IFERROR(_xlfn.XLOOKUP(B707,MObra[[#All],[DESCRIPCION]],MObra[[#All],[UN]],,0),"")</f>
        <v/>
      </c>
      <c r="D707" s="38"/>
      <c r="E707" s="39" t="str">
        <f>IFERROR(_xlfn.XLOOKUP($B707,MObra[DESCRIPCION],MObra[VALOR UNIT],,0),"")</f>
        <v/>
      </c>
      <c r="F707" s="40"/>
      <c r="G707" s="41" t="str">
        <f>IFERROR(IF(F707&gt;=0,D707*E707*(1+F707/100),ABS(D707*E707/F707)),"")</f>
        <v/>
      </c>
      <c r="H707" s="42" t="str">
        <f>IFERROR(G707*E689,"")</f>
        <v/>
      </c>
    </row>
    <row r="708" spans="1:11" ht="13.5" thickTop="1" thickBot="1"/>
    <row r="709" spans="1:11" ht="26.25" thickTop="1" thickBot="1">
      <c r="A709" s="6" t="s">
        <v>947</v>
      </c>
      <c r="B709" s="7" t="str">
        <f>VLOOKUP($A709,Presupuesto!$A:$D,2,FALSE())</f>
        <v>Interruptor tipo Swich doble, incluye caja 4X2", salidas en 1/2" con accesorios para instalación</v>
      </c>
      <c r="C709" s="8" t="str">
        <f>VLOOKUP($A709,Presupuesto!$A:$D,3,FALSE())</f>
        <v>Un</v>
      </c>
      <c r="D709" s="9"/>
      <c r="E709" s="10">
        <f>VLOOKUP($A709,Presupuesto!$A:$D,4,FALSE())</f>
        <v>0</v>
      </c>
      <c r="F709" s="11" t="s">
        <v>2589</v>
      </c>
      <c r="G709" s="12">
        <f>SUM(G711:G727)/2</f>
        <v>52555.595119912512</v>
      </c>
      <c r="H709" s="13">
        <f>ROUND(SUM(H711:H727),0)/2</f>
        <v>0</v>
      </c>
      <c r="I709" s="10">
        <f>VLOOKUP(A709,Presupuesto!$A:$F,6,0)</f>
        <v>0</v>
      </c>
      <c r="J709" s="10">
        <f>+H709-I709</f>
        <v>0</v>
      </c>
      <c r="K709" s="46">
        <f>+H709-G709*E709</f>
        <v>0</v>
      </c>
    </row>
    <row r="710" spans="1:11" ht="13.15" thickTop="1">
      <c r="A710" s="14"/>
      <c r="B710" s="15" t="s">
        <v>2586</v>
      </c>
      <c r="C710" s="15" t="s">
        <v>5</v>
      </c>
      <c r="D710" s="16" t="s">
        <v>6</v>
      </c>
      <c r="E710" s="17" t="s">
        <v>7</v>
      </c>
      <c r="F710" s="18" t="s">
        <v>3728</v>
      </c>
      <c r="G710" s="19" t="s">
        <v>3729</v>
      </c>
      <c r="H710" s="20" t="s">
        <v>3797</v>
      </c>
    </row>
    <row r="711" spans="1:11">
      <c r="A711" s="21"/>
      <c r="B711" s="22" t="s">
        <v>3730</v>
      </c>
      <c r="C711" s="23"/>
      <c r="D711" s="24"/>
      <c r="E711" s="25"/>
      <c r="F711" s="26"/>
      <c r="G711" s="27">
        <f>SUM(G712:G716)</f>
        <v>34827.450000000004</v>
      </c>
      <c r="H711" s="27">
        <f>IFERROR(G711*E709,"")</f>
        <v>0</v>
      </c>
    </row>
    <row r="712" spans="1:11">
      <c r="A712" s="28"/>
      <c r="B712" s="29" t="s">
        <v>3010</v>
      </c>
      <c r="C712" s="30" t="str">
        <f>IFERROR(_xlfn.XLOOKUP(B712,Insumo[DESCRIPCION],Insumo[UND],,0),"")</f>
        <v xml:space="preserve"> Un </v>
      </c>
      <c r="D712" s="31">
        <v>1</v>
      </c>
      <c r="E712" s="32">
        <f>IFERROR(_xlfn.XLOOKUP($B712,Insumo[DESCRIPCION],Insumo[VALOR],,0),"")</f>
        <v>11309.550000000001</v>
      </c>
      <c r="F712" s="33"/>
      <c r="G712" s="34">
        <f>IFERROR(IF(F712&gt;=0,D712*E712*(1+F712/100),ABS(D712*E712/F712)),"")</f>
        <v>11309.550000000001</v>
      </c>
      <c r="H712" s="43">
        <f>IFERROR(G712*E709,"")</f>
        <v>0</v>
      </c>
    </row>
    <row r="713" spans="1:11">
      <c r="A713" s="28"/>
      <c r="B713" s="29" t="s">
        <v>2801</v>
      </c>
      <c r="C713" s="30" t="str">
        <f>IFERROR(_xlfn.XLOOKUP(B713,Insumo[DESCRIPCION],Insumo[UND],,0),"")</f>
        <v>Un</v>
      </c>
      <c r="D713" s="31">
        <v>1</v>
      </c>
      <c r="E713" s="32">
        <f>IFERROR(_xlfn.XLOOKUP($B713,Insumo[DESCRIPCION],Insumo[VALOR],,0),"")</f>
        <v>22152.9</v>
      </c>
      <c r="F713" s="33"/>
      <c r="G713" s="34">
        <f>IFERROR(IF(F713&gt;=0,D713*E713*(1+F713/100),ABS(D713*E713/F713)),"")</f>
        <v>22152.9</v>
      </c>
      <c r="H713" s="43">
        <f>IFERROR(G713*E709,"")</f>
        <v>0</v>
      </c>
    </row>
    <row r="714" spans="1:11">
      <c r="A714" s="28"/>
      <c r="B714" s="29" t="s">
        <v>2833</v>
      </c>
      <c r="C714" s="30" t="str">
        <f>IFERROR(_xlfn.XLOOKUP(B714,Insumo[DESCRIPCION],Insumo[UND],,0),"")</f>
        <v>Un</v>
      </c>
      <c r="D714" s="31">
        <v>2</v>
      </c>
      <c r="E714" s="32">
        <f>IFERROR(_xlfn.XLOOKUP($B714,Insumo[DESCRIPCION],Insumo[VALOR],,0),"")</f>
        <v>682.5</v>
      </c>
      <c r="F714" s="33"/>
      <c r="G714" s="34">
        <f>IFERROR(IF(F714&gt;=0,D714*E714*(1+F714/100),ABS(D714*E714/F714)),"")</f>
        <v>1365</v>
      </c>
      <c r="H714" s="43">
        <f>IFERROR(G714*E709,"")</f>
        <v>0</v>
      </c>
    </row>
    <row r="715" spans="1:11">
      <c r="A715" s="28"/>
      <c r="B715" s="29"/>
      <c r="C715" s="30" t="str">
        <f>IFERROR(_xlfn.XLOOKUP(B715,Insumo[DESCRIPCION],Insumo[UND],,0),"")</f>
        <v/>
      </c>
      <c r="D715" s="31"/>
      <c r="E715" s="32" t="str">
        <f>IFERROR(_xlfn.XLOOKUP($B715,Insumo[DESCRIPCION],Insumo[VALOR],,0),"")</f>
        <v/>
      </c>
      <c r="F715" s="33"/>
      <c r="G715" s="34" t="str">
        <f>IFERROR(IF(F715&gt;=0,D715*E715*(1+F715/100),ABS(D715*E715/F715)),"")</f>
        <v/>
      </c>
      <c r="H715" s="43" t="str">
        <f>IFERROR(G715*E709,"")</f>
        <v/>
      </c>
    </row>
    <row r="716" spans="1:11">
      <c r="A716" s="28"/>
      <c r="B716" s="29"/>
      <c r="C716" s="30" t="str">
        <f>IFERROR(_xlfn.XLOOKUP(B716,Insumo[DESCRIPCION],Insumo[UND],,0),"")</f>
        <v/>
      </c>
      <c r="D716" s="31"/>
      <c r="E716" s="32" t="str">
        <f>IFERROR(_xlfn.XLOOKUP($B716,Insumo[DESCRIPCION],Insumo[VALOR],,0),"")</f>
        <v/>
      </c>
      <c r="F716" s="33"/>
      <c r="G716" s="34" t="str">
        <f>IFERROR(IF(F716&gt;=0,D716*E716*(1+F716/100),ABS(D716*E716/F716)),"")</f>
        <v/>
      </c>
      <c r="H716" s="43" t="str">
        <f>IFERROR(G716*E709,"")</f>
        <v/>
      </c>
    </row>
    <row r="717" spans="1:11">
      <c r="A717" s="21"/>
      <c r="B717" s="22" t="s">
        <v>3731</v>
      </c>
      <c r="C717" s="23"/>
      <c r="D717" s="24"/>
      <c r="E717" s="25"/>
      <c r="F717" s="26"/>
      <c r="G717" s="27">
        <f>SUM(G718:G720)</f>
        <v>844.19738666250021</v>
      </c>
      <c r="H717" s="44">
        <f>G717*E709</f>
        <v>0</v>
      </c>
    </row>
    <row r="718" spans="1:11">
      <c r="A718" s="28"/>
      <c r="B718" s="29" t="s">
        <v>3626</v>
      </c>
      <c r="C718" s="30" t="str">
        <f>IFERROR(_xlfn.XLOOKUP(B718,Equipo[DESCRIPCION],Equipo[UND],,0),"")</f>
        <v>%MO</v>
      </c>
      <c r="D718" s="31">
        <v>0.05</v>
      </c>
      <c r="E718" s="32">
        <f>IF(C718="%MO",G724,IFERROR(_xlfn.XLOOKUP($B718,Equipo[DESCRIPCION],Equipo[VALOR],,0),""))</f>
        <v>16883.947733250003</v>
      </c>
      <c r="F718" s="33"/>
      <c r="G718" s="34">
        <f>IFERROR(IF(F718&gt;=0,D718*E718*(1+F718/100),ABS(D718*E718/F718)),"")</f>
        <v>844.19738666250021</v>
      </c>
      <c r="H718" s="43">
        <f>IFERROR(G718*E709,"")</f>
        <v>0</v>
      </c>
    </row>
    <row r="719" spans="1:11">
      <c r="A719" s="28"/>
      <c r="B719" s="29"/>
      <c r="C719" s="30" t="str">
        <f>IFERROR(_xlfn.XLOOKUP(B719,Equipo[DESCRIPCION],Equipo[UND],,0),"")</f>
        <v/>
      </c>
      <c r="D719" s="31"/>
      <c r="E719" s="32" t="str">
        <f>IF(C719="%MO",G724,IFERROR(_xlfn.XLOOKUP($B719,Equipo[DESCRIPCION],Equipo[VALOR],,0),""))</f>
        <v/>
      </c>
      <c r="F719" s="33"/>
      <c r="G719" s="34" t="str">
        <f>IFERROR(IF(F719&gt;=0,D719*E719*(1+F719/100),ABS(D719*E719/F719)),"")</f>
        <v/>
      </c>
      <c r="H719" s="43" t="str">
        <f>IFERROR(G719*E709,"")</f>
        <v/>
      </c>
    </row>
    <row r="720" spans="1:11">
      <c r="A720" s="28"/>
      <c r="B720" s="29"/>
      <c r="C720" s="30" t="str">
        <f>IFERROR(_xlfn.XLOOKUP(B720,Equipo[DESCRIPCION],Equipo[UND],,0),"")</f>
        <v/>
      </c>
      <c r="D720" s="31"/>
      <c r="E720" s="32" t="str">
        <f>IF(C720="%MO",G724,IFERROR(_xlfn.XLOOKUP($B720,Equipo[DESCRIPCION],Equipo[VALOR],,0),""))</f>
        <v/>
      </c>
      <c r="F720" s="33"/>
      <c r="G720" s="34" t="str">
        <f>IFERROR(IF(F720&gt;=0,D720*E720*(1+F720/100),ABS(D720*E720/F720)),"")</f>
        <v/>
      </c>
      <c r="H720" s="43" t="str">
        <f>IFERROR(G720*E709,"")</f>
        <v/>
      </c>
    </row>
    <row r="721" spans="1:11">
      <c r="A721" s="21"/>
      <c r="B721" s="22" t="s">
        <v>2533</v>
      </c>
      <c r="C721" s="23"/>
      <c r="D721" s="24"/>
      <c r="E721" s="25"/>
      <c r="F721" s="26"/>
      <c r="G721" s="27">
        <f>SUM(G722:G723)</f>
        <v>0</v>
      </c>
      <c r="H721" s="44">
        <f>G721*E709</f>
        <v>0</v>
      </c>
    </row>
    <row r="722" spans="1:11">
      <c r="A722" s="28"/>
      <c r="B722" s="29"/>
      <c r="C722" s="30" t="str">
        <f>IFERROR(_xlfn.XLOOKUP(B722,Transporte[DESCRIPCION],Transporte[UND],,0),"")</f>
        <v/>
      </c>
      <c r="D722" s="31"/>
      <c r="E722" s="32" t="str">
        <f>IFERROR(_xlfn.XLOOKUP($B722,Transporte[DESCRIPCION],Transporte[VALOR],,0),"")</f>
        <v/>
      </c>
      <c r="F722" s="33"/>
      <c r="G722" s="34" t="str">
        <f>IFERROR(IF(F722&gt;=0,D722*E722*(1+F722/100),ABS(D722*E722/F722)),"")</f>
        <v/>
      </c>
      <c r="H722" s="43" t="str">
        <f>IFERROR(G722*E709,"")</f>
        <v/>
      </c>
    </row>
    <row r="723" spans="1:11">
      <c r="A723" s="28"/>
      <c r="B723" s="29"/>
      <c r="C723" s="30" t="str">
        <f>IFERROR(_xlfn.XLOOKUP(B723,Transporte[DESCRIPCION],Transporte[UND],,0),"")</f>
        <v/>
      </c>
      <c r="D723" s="31"/>
      <c r="E723" s="32" t="str">
        <f>IFERROR(_xlfn.XLOOKUP($B723,Transporte[DESCRIPCION],Transporte[VALOR],,0),"")</f>
        <v/>
      </c>
      <c r="F723" s="33"/>
      <c r="G723" s="34" t="str">
        <f>IFERROR(IF(F723&gt;=0,D723*E723*(1+F723/100),ABS(D723*E723/F723)),"")</f>
        <v/>
      </c>
      <c r="H723" s="43" t="str">
        <f>IFERROR(G723*E709,"")</f>
        <v/>
      </c>
    </row>
    <row r="724" spans="1:11">
      <c r="A724" s="21"/>
      <c r="B724" s="22" t="s">
        <v>3732</v>
      </c>
      <c r="C724" s="23"/>
      <c r="D724" s="24"/>
      <c r="E724" s="25"/>
      <c r="F724" s="26"/>
      <c r="G724" s="27">
        <f>SUM(G725:G727)</f>
        <v>16883.947733250003</v>
      </c>
      <c r="H724" s="44">
        <f>G724*E709</f>
        <v>0</v>
      </c>
    </row>
    <row r="725" spans="1:11">
      <c r="A725" s="28"/>
      <c r="B725" s="29" t="s">
        <v>3715</v>
      </c>
      <c r="C725" s="30" t="str">
        <f>IFERROR(_xlfn.XLOOKUP(B725,MObra[DESCRIPCION],MObra[UN],,0),"")</f>
        <v>día</v>
      </c>
      <c r="D725" s="31">
        <v>1</v>
      </c>
      <c r="E725" s="32">
        <f>IFERROR(_xlfn.XLOOKUP($B725,MObra[DESCRIPCION],MObra[VALOR UNIT],,0),"")</f>
        <v>337678.95466500008</v>
      </c>
      <c r="F725" s="33">
        <v>-20</v>
      </c>
      <c r="G725" s="34">
        <f>IFERROR(IF(F725&gt;=0,D725*E725*(1+F725/100),ABS(D725*E725/F725)),"")</f>
        <v>16883.947733250003</v>
      </c>
      <c r="H725" s="43">
        <f>IFERROR(G725*E709,"")</f>
        <v>0</v>
      </c>
    </row>
    <row r="726" spans="1:11">
      <c r="A726" s="28"/>
      <c r="B726" s="29"/>
      <c r="C726" s="30" t="str">
        <f t="array" ref="C726">IFERROR(_xlfn.XLOOKUP(B726,MObra[[#All],[DESCRIPCION]],MObra[[#All],[UN]],,0),"")</f>
        <v/>
      </c>
      <c r="D726" s="31"/>
      <c r="E726" s="32" t="str">
        <f>IFERROR(_xlfn.XLOOKUP($B726,MObra[DESCRIPCION],MObra[VALOR UNIT],,0),"")</f>
        <v/>
      </c>
      <c r="F726" s="33"/>
      <c r="G726" s="34" t="str">
        <f>IFERROR(IF(F726&gt;=0,D726*E726*(1+F726/100),ABS(D726*E726/F726)),"")</f>
        <v/>
      </c>
      <c r="H726" s="43" t="str">
        <f>IFERROR(G726*E709,"")</f>
        <v/>
      </c>
    </row>
    <row r="727" spans="1:11" ht="13.15" thickBot="1">
      <c r="A727" s="35"/>
      <c r="B727" s="36"/>
      <c r="C727" s="37" t="str">
        <f t="array" ref="C727">IFERROR(_xlfn.XLOOKUP(B727,MObra[[#All],[DESCRIPCION]],MObra[[#All],[UN]],,0),"")</f>
        <v/>
      </c>
      <c r="D727" s="38"/>
      <c r="E727" s="39" t="str">
        <f>IFERROR(_xlfn.XLOOKUP($B727,MObra[DESCRIPCION],MObra[VALOR UNIT],,0),"")</f>
        <v/>
      </c>
      <c r="F727" s="40"/>
      <c r="G727" s="41" t="str">
        <f>IFERROR(IF(F727&gt;=0,D727*E727*(1+F727/100),ABS(D727*E727/F727)),"")</f>
        <v/>
      </c>
      <c r="H727" s="42" t="str">
        <f>IFERROR(G727*E709,"")</f>
        <v/>
      </c>
    </row>
    <row r="728" spans="1:11" ht="13.5" thickTop="1" thickBot="1"/>
    <row r="729" spans="1:11" ht="26.25" thickTop="1" thickBot="1">
      <c r="A729" s="6" t="s">
        <v>949</v>
      </c>
      <c r="B729" s="7" t="str">
        <f>VLOOKUP($A729,Presupuesto!$A:$D,2,FALSE())</f>
        <v>Interruptor tipo Swich conmutable triple empotrado, incluye caja 4X2" galvanizada</v>
      </c>
      <c r="C729" s="8" t="str">
        <f>VLOOKUP($A729,Presupuesto!$A:$D,3,FALSE())</f>
        <v>Un</v>
      </c>
      <c r="D729" s="9"/>
      <c r="E729" s="10">
        <f>VLOOKUP($A729,Presupuesto!$A:$D,4,FALSE())</f>
        <v>0</v>
      </c>
      <c r="F729" s="11" t="s">
        <v>2589</v>
      </c>
      <c r="G729" s="12">
        <f>SUM(G731:G747)/2</f>
        <v>35745.095119912497</v>
      </c>
      <c r="H729" s="13">
        <f>ROUND(SUM(H731:H747),0)/2</f>
        <v>0</v>
      </c>
      <c r="I729" s="10">
        <f>VLOOKUP(A729,Presupuesto!$A:$F,6,0)</f>
        <v>0</v>
      </c>
      <c r="J729" s="10">
        <f>+H729-I729</f>
        <v>0</v>
      </c>
      <c r="K729" s="46">
        <f>+H729-G729*E729</f>
        <v>0</v>
      </c>
    </row>
    <row r="730" spans="1:11" ht="13.15" thickTop="1">
      <c r="A730" s="14"/>
      <c r="B730" s="15" t="s">
        <v>2586</v>
      </c>
      <c r="C730" s="15" t="s">
        <v>5</v>
      </c>
      <c r="D730" s="16" t="s">
        <v>6</v>
      </c>
      <c r="E730" s="17" t="s">
        <v>7</v>
      </c>
      <c r="F730" s="18" t="s">
        <v>3728</v>
      </c>
      <c r="G730" s="19" t="s">
        <v>3729</v>
      </c>
      <c r="H730" s="20" t="s">
        <v>3797</v>
      </c>
    </row>
    <row r="731" spans="1:11">
      <c r="A731" s="21"/>
      <c r="B731" s="22" t="s">
        <v>3730</v>
      </c>
      <c r="C731" s="23"/>
      <c r="D731" s="24"/>
      <c r="E731" s="25"/>
      <c r="F731" s="26"/>
      <c r="G731" s="27">
        <f>SUM(G732:G736)</f>
        <v>18016.95</v>
      </c>
      <c r="H731" s="27">
        <f>IFERROR(G731*E729,"")</f>
        <v>0</v>
      </c>
    </row>
    <row r="732" spans="1:11">
      <c r="A732" s="28"/>
      <c r="B732" s="29" t="s">
        <v>3012</v>
      </c>
      <c r="C732" s="30" t="str">
        <f>IFERROR(_xlfn.XLOOKUP(B732,Insumo[DESCRIPCION],Insumo[UND],,0),"")</f>
        <v>Un</v>
      </c>
      <c r="D732" s="31">
        <v>1</v>
      </c>
      <c r="E732" s="32">
        <f>IFERROR(_xlfn.XLOOKUP($B732,Insumo[DESCRIPCION],Insumo[VALOR],,0),"")</f>
        <v>13639.5</v>
      </c>
      <c r="F732" s="33"/>
      <c r="G732" s="34">
        <f>IFERROR(IF(F732&gt;=0,D732*E732*(1+F732/100),ABS(D732*E732/F732)),"")</f>
        <v>13639.5</v>
      </c>
      <c r="H732" s="43">
        <f>IFERROR(G732*E729,"")</f>
        <v>0</v>
      </c>
    </row>
    <row r="733" spans="1:11">
      <c r="A733" s="28"/>
      <c r="B733" s="29" t="s">
        <v>2806</v>
      </c>
      <c r="C733" s="30" t="str">
        <f>IFERROR(_xlfn.XLOOKUP(B733,Insumo[DESCRIPCION],Insumo[UND],,0),"")</f>
        <v>Un</v>
      </c>
      <c r="D733" s="31">
        <v>1</v>
      </c>
      <c r="E733" s="32">
        <f>IFERROR(_xlfn.XLOOKUP($B733,Insumo[DESCRIPCION],Insumo[VALOR],,0),"")</f>
        <v>3012.4500000000003</v>
      </c>
      <c r="F733" s="33"/>
      <c r="G733" s="34">
        <f>IFERROR(IF(F733&gt;=0,D733*E733*(1+F733/100),ABS(D733*E733/F733)),"")</f>
        <v>3012.4500000000003</v>
      </c>
      <c r="H733" s="43">
        <f>IFERROR(G733*E729,"")</f>
        <v>0</v>
      </c>
    </row>
    <row r="734" spans="1:11">
      <c r="A734" s="28"/>
      <c r="B734" s="29" t="s">
        <v>2833</v>
      </c>
      <c r="C734" s="30" t="str">
        <f>IFERROR(_xlfn.XLOOKUP(B734,Insumo[DESCRIPCION],Insumo[UND],,0),"")</f>
        <v>Un</v>
      </c>
      <c r="D734" s="31">
        <v>2</v>
      </c>
      <c r="E734" s="32">
        <f>IFERROR(_xlfn.XLOOKUP($B734,Insumo[DESCRIPCION],Insumo[VALOR],,0),"")</f>
        <v>682.5</v>
      </c>
      <c r="F734" s="33"/>
      <c r="G734" s="34">
        <f>IFERROR(IF(F734&gt;=0,D734*E734*(1+F734/100),ABS(D734*E734/F734)),"")</f>
        <v>1365</v>
      </c>
      <c r="H734" s="43">
        <f>IFERROR(G734*E729,"")</f>
        <v>0</v>
      </c>
    </row>
    <row r="735" spans="1:11">
      <c r="A735" s="28"/>
      <c r="B735" s="29"/>
      <c r="C735" s="30" t="str">
        <f>IFERROR(_xlfn.XLOOKUP(B735,Insumo[DESCRIPCION],Insumo[UND],,0),"")</f>
        <v/>
      </c>
      <c r="D735" s="31"/>
      <c r="E735" s="32" t="str">
        <f>IFERROR(_xlfn.XLOOKUP($B735,Insumo[DESCRIPCION],Insumo[VALOR],,0),"")</f>
        <v/>
      </c>
      <c r="F735" s="33"/>
      <c r="G735" s="34" t="str">
        <f>IFERROR(IF(F735&gt;=0,D735*E735*(1+F735/100),ABS(D735*E735/F735)),"")</f>
        <v/>
      </c>
      <c r="H735" s="43" t="str">
        <f>IFERROR(G735*E729,"")</f>
        <v/>
      </c>
    </row>
    <row r="736" spans="1:11">
      <c r="A736" s="28"/>
      <c r="B736" s="29"/>
      <c r="C736" s="30" t="str">
        <f>IFERROR(_xlfn.XLOOKUP(B736,Insumo[DESCRIPCION],Insumo[UND],,0),"")</f>
        <v/>
      </c>
      <c r="D736" s="31"/>
      <c r="E736" s="32" t="str">
        <f>IFERROR(_xlfn.XLOOKUP($B736,Insumo[DESCRIPCION],Insumo[VALOR],,0),"")</f>
        <v/>
      </c>
      <c r="F736" s="33"/>
      <c r="G736" s="34" t="str">
        <f>IFERROR(IF(F736&gt;=0,D736*E736*(1+F736/100),ABS(D736*E736/F736)),"")</f>
        <v/>
      </c>
      <c r="H736" s="43" t="str">
        <f>IFERROR(G736*E729,"")</f>
        <v/>
      </c>
    </row>
    <row r="737" spans="1:11">
      <c r="A737" s="21"/>
      <c r="B737" s="22" t="s">
        <v>3731</v>
      </c>
      <c r="C737" s="23"/>
      <c r="D737" s="24"/>
      <c r="E737" s="25"/>
      <c r="F737" s="26"/>
      <c r="G737" s="27">
        <f>SUM(G738:G740)</f>
        <v>844.19738666250021</v>
      </c>
      <c r="H737" s="44">
        <f>G737*E729</f>
        <v>0</v>
      </c>
    </row>
    <row r="738" spans="1:11">
      <c r="A738" s="28"/>
      <c r="B738" s="29" t="s">
        <v>3626</v>
      </c>
      <c r="C738" s="30" t="str">
        <f>IFERROR(_xlfn.XLOOKUP(B738,Equipo[DESCRIPCION],Equipo[UND],,0),"")</f>
        <v>%MO</v>
      </c>
      <c r="D738" s="31">
        <v>0.05</v>
      </c>
      <c r="E738" s="32">
        <f>IF(C738="%MO",G744,IFERROR(_xlfn.XLOOKUP($B738,Equipo[DESCRIPCION],Equipo[VALOR],,0),""))</f>
        <v>16883.947733250003</v>
      </c>
      <c r="F738" s="33"/>
      <c r="G738" s="34">
        <f>IFERROR(IF(F738&gt;=0,D738*E738*(1+F738/100),ABS(D738*E738/F738)),"")</f>
        <v>844.19738666250021</v>
      </c>
      <c r="H738" s="43">
        <f>IFERROR(G738*E729,"")</f>
        <v>0</v>
      </c>
    </row>
    <row r="739" spans="1:11">
      <c r="A739" s="28"/>
      <c r="B739" s="29"/>
      <c r="C739" s="30" t="str">
        <f>IFERROR(_xlfn.XLOOKUP(B739,Equipo[DESCRIPCION],Equipo[UND],,0),"")</f>
        <v/>
      </c>
      <c r="D739" s="31"/>
      <c r="E739" s="32" t="str">
        <f>IF(C739="%MO",G744,IFERROR(_xlfn.XLOOKUP($B739,Equipo[DESCRIPCION],Equipo[VALOR],,0),""))</f>
        <v/>
      </c>
      <c r="F739" s="33"/>
      <c r="G739" s="34" t="str">
        <f>IFERROR(IF(F739&gt;=0,D739*E739*(1+F739/100),ABS(D739*E739/F739)),"")</f>
        <v/>
      </c>
      <c r="H739" s="43" t="str">
        <f>IFERROR(G739*E729,"")</f>
        <v/>
      </c>
    </row>
    <row r="740" spans="1:11">
      <c r="A740" s="28"/>
      <c r="B740" s="29"/>
      <c r="C740" s="30" t="str">
        <f>IFERROR(_xlfn.XLOOKUP(B740,Equipo[DESCRIPCION],Equipo[UND],,0),"")</f>
        <v/>
      </c>
      <c r="D740" s="31"/>
      <c r="E740" s="32" t="str">
        <f>IF(C740="%MO",G744,IFERROR(_xlfn.XLOOKUP($B740,Equipo[DESCRIPCION],Equipo[VALOR],,0),""))</f>
        <v/>
      </c>
      <c r="F740" s="33"/>
      <c r="G740" s="34" t="str">
        <f>IFERROR(IF(F740&gt;=0,D740*E740*(1+F740/100),ABS(D740*E740/F740)),"")</f>
        <v/>
      </c>
      <c r="H740" s="43" t="str">
        <f>IFERROR(G740*E729,"")</f>
        <v/>
      </c>
    </row>
    <row r="741" spans="1:11">
      <c r="A741" s="21"/>
      <c r="B741" s="22" t="s">
        <v>2533</v>
      </c>
      <c r="C741" s="23"/>
      <c r="D741" s="24"/>
      <c r="E741" s="25"/>
      <c r="F741" s="26"/>
      <c r="G741" s="27">
        <f>SUM(G742:G743)</f>
        <v>0</v>
      </c>
      <c r="H741" s="44">
        <f>G741*E729</f>
        <v>0</v>
      </c>
    </row>
    <row r="742" spans="1:11">
      <c r="A742" s="28"/>
      <c r="B742" s="29"/>
      <c r="C742" s="30" t="str">
        <f>IFERROR(_xlfn.XLOOKUP(B742,Transporte[DESCRIPCION],Transporte[UND],,0),"")</f>
        <v/>
      </c>
      <c r="D742" s="31"/>
      <c r="E742" s="32" t="str">
        <f>IFERROR(_xlfn.XLOOKUP($B742,Transporte[DESCRIPCION],Transporte[VALOR],,0),"")</f>
        <v/>
      </c>
      <c r="F742" s="33"/>
      <c r="G742" s="34" t="str">
        <f>IFERROR(IF(F742&gt;=0,D742*E742*(1+F742/100),ABS(D742*E742/F742)),"")</f>
        <v/>
      </c>
      <c r="H742" s="43" t="str">
        <f>IFERROR(G742*E729,"")</f>
        <v/>
      </c>
    </row>
    <row r="743" spans="1:11">
      <c r="A743" s="28"/>
      <c r="B743" s="29"/>
      <c r="C743" s="30" t="str">
        <f>IFERROR(_xlfn.XLOOKUP(B743,Transporte[DESCRIPCION],Transporte[UND],,0),"")</f>
        <v/>
      </c>
      <c r="D743" s="31"/>
      <c r="E743" s="32" t="str">
        <f>IFERROR(_xlfn.XLOOKUP($B743,Transporte[DESCRIPCION],Transporte[VALOR],,0),"")</f>
        <v/>
      </c>
      <c r="F743" s="33"/>
      <c r="G743" s="34" t="str">
        <f>IFERROR(IF(F743&gt;=0,D743*E743*(1+F743/100),ABS(D743*E743/F743)),"")</f>
        <v/>
      </c>
      <c r="H743" s="43" t="str">
        <f>IFERROR(G743*E729,"")</f>
        <v/>
      </c>
    </row>
    <row r="744" spans="1:11">
      <c r="A744" s="21"/>
      <c r="B744" s="22" t="s">
        <v>3732</v>
      </c>
      <c r="C744" s="23"/>
      <c r="D744" s="24"/>
      <c r="E744" s="25"/>
      <c r="F744" s="26"/>
      <c r="G744" s="27">
        <f>SUM(G745:G747)</f>
        <v>16883.947733250003</v>
      </c>
      <c r="H744" s="44">
        <f>G744*E729</f>
        <v>0</v>
      </c>
    </row>
    <row r="745" spans="1:11">
      <c r="A745" s="28"/>
      <c r="B745" s="29" t="s">
        <v>3715</v>
      </c>
      <c r="C745" s="30" t="str">
        <f>IFERROR(_xlfn.XLOOKUP(B745,MObra[DESCRIPCION],MObra[UN],,0),"")</f>
        <v>día</v>
      </c>
      <c r="D745" s="31">
        <v>1</v>
      </c>
      <c r="E745" s="32">
        <f>IFERROR(_xlfn.XLOOKUP($B745,MObra[DESCRIPCION],MObra[VALOR UNIT],,0),"")</f>
        <v>337678.95466500008</v>
      </c>
      <c r="F745" s="33">
        <v>-20</v>
      </c>
      <c r="G745" s="34">
        <f>IFERROR(IF(F745&gt;=0,D745*E745*(1+F745/100),ABS(D745*E745/F745)),"")</f>
        <v>16883.947733250003</v>
      </c>
      <c r="H745" s="43">
        <f>IFERROR(G745*E729,"")</f>
        <v>0</v>
      </c>
    </row>
    <row r="746" spans="1:11">
      <c r="A746" s="28"/>
      <c r="B746" s="29"/>
      <c r="C746" s="30" t="str">
        <f t="array" ref="C746">IFERROR(_xlfn.XLOOKUP(B746,MObra[[#All],[DESCRIPCION]],MObra[[#All],[UN]],,0),"")</f>
        <v/>
      </c>
      <c r="D746" s="31"/>
      <c r="E746" s="32" t="str">
        <f>IFERROR(_xlfn.XLOOKUP($B746,MObra[DESCRIPCION],MObra[VALOR UNIT],,0),"")</f>
        <v/>
      </c>
      <c r="F746" s="33"/>
      <c r="G746" s="34" t="str">
        <f>IFERROR(IF(F746&gt;=0,D746*E746*(1+F746/100),ABS(D746*E746/F746)),"")</f>
        <v/>
      </c>
      <c r="H746" s="43" t="str">
        <f>IFERROR(G746*E729,"")</f>
        <v/>
      </c>
    </row>
    <row r="747" spans="1:11" ht="13.15" thickBot="1">
      <c r="A747" s="35"/>
      <c r="B747" s="36"/>
      <c r="C747" s="37" t="str">
        <f t="array" ref="C747">IFERROR(_xlfn.XLOOKUP(B747,MObra[[#All],[DESCRIPCION]],MObra[[#All],[UN]],,0),"")</f>
        <v/>
      </c>
      <c r="D747" s="38"/>
      <c r="E747" s="39" t="str">
        <f>IFERROR(_xlfn.XLOOKUP($B747,MObra[DESCRIPCION],MObra[VALOR UNIT],,0),"")</f>
        <v/>
      </c>
      <c r="F747" s="40"/>
      <c r="G747" s="41" t="str">
        <f>IFERROR(IF(F747&gt;=0,D747*E747*(1+F747/100),ABS(D747*E747/F747)),"")</f>
        <v/>
      </c>
      <c r="H747" s="42" t="str">
        <f>IFERROR(G747*E729,"")</f>
        <v/>
      </c>
    </row>
    <row r="748" spans="1:11" ht="13.5" thickTop="1" thickBot="1"/>
    <row r="749" spans="1:11" ht="26.25" thickTop="1" thickBot="1">
      <c r="A749" s="6" t="s">
        <v>951</v>
      </c>
      <c r="B749" s="7" t="str">
        <f>VLOOKUP($A749,Presupuesto!$A:$D,2,FALSE())</f>
        <v>Interruptor tipo Swich conmutable triple, incluye caja 4X2", salidas en 1/2" con accesorios para instalación</v>
      </c>
      <c r="C749" s="8" t="str">
        <f>VLOOKUP($A749,Presupuesto!$A:$D,3,FALSE())</f>
        <v>Un</v>
      </c>
      <c r="D749" s="9"/>
      <c r="E749" s="10">
        <f>VLOOKUP($A749,Presupuesto!$A:$D,4,FALSE())</f>
        <v>0</v>
      </c>
      <c r="F749" s="11" t="s">
        <v>2589</v>
      </c>
      <c r="G749" s="12">
        <f>SUM(G751:G767)/2</f>
        <v>56855.339022125008</v>
      </c>
      <c r="H749" s="13">
        <f>ROUND(SUM(H751:H767),0)/2</f>
        <v>0</v>
      </c>
      <c r="I749" s="10">
        <f>VLOOKUP(A749,Presupuesto!$A:$F,6,0)</f>
        <v>0</v>
      </c>
      <c r="J749" s="10">
        <f>+H749-I749</f>
        <v>0</v>
      </c>
      <c r="K749" s="46">
        <f>+H749-G749*E749</f>
        <v>0</v>
      </c>
    </row>
    <row r="750" spans="1:11" ht="13.15" thickTop="1">
      <c r="A750" s="14"/>
      <c r="B750" s="15" t="s">
        <v>2586</v>
      </c>
      <c r="C750" s="15" t="s">
        <v>5</v>
      </c>
      <c r="D750" s="16" t="s">
        <v>6</v>
      </c>
      <c r="E750" s="17" t="s">
        <v>7</v>
      </c>
      <c r="F750" s="18" t="s">
        <v>3728</v>
      </c>
      <c r="G750" s="19" t="s">
        <v>3729</v>
      </c>
      <c r="H750" s="20" t="s">
        <v>3797</v>
      </c>
    </row>
    <row r="751" spans="1:11">
      <c r="A751" s="21"/>
      <c r="B751" s="22" t="s">
        <v>3730</v>
      </c>
      <c r="C751" s="23"/>
      <c r="D751" s="24"/>
      <c r="E751" s="25"/>
      <c r="F751" s="26"/>
      <c r="G751" s="27">
        <f>SUM(G752:G756)</f>
        <v>37157.4</v>
      </c>
      <c r="H751" s="27">
        <f>IFERROR(G751*E749,"")</f>
        <v>0</v>
      </c>
    </row>
    <row r="752" spans="1:11">
      <c r="A752" s="28"/>
      <c r="B752" s="29" t="s">
        <v>3012</v>
      </c>
      <c r="C752" s="30" t="str">
        <f>IFERROR(_xlfn.XLOOKUP(B752,Insumo[DESCRIPCION],Insumo[UND],,0),"")</f>
        <v>Un</v>
      </c>
      <c r="D752" s="31">
        <v>1</v>
      </c>
      <c r="E752" s="32">
        <f>IFERROR(_xlfn.XLOOKUP($B752,Insumo[DESCRIPCION],Insumo[VALOR],,0),"")</f>
        <v>13639.5</v>
      </c>
      <c r="F752" s="33"/>
      <c r="G752" s="34">
        <f>IFERROR(IF(F752&gt;=0,D752*E752*(1+F752/100),ABS(D752*E752/F752)),"")</f>
        <v>13639.5</v>
      </c>
      <c r="H752" s="43">
        <f>IFERROR(G752*E749,"")</f>
        <v>0</v>
      </c>
    </row>
    <row r="753" spans="1:8">
      <c r="A753" s="28"/>
      <c r="B753" s="29" t="s">
        <v>2801</v>
      </c>
      <c r="C753" s="30" t="str">
        <f>IFERROR(_xlfn.XLOOKUP(B753,Insumo[DESCRIPCION],Insumo[UND],,0),"")</f>
        <v>Un</v>
      </c>
      <c r="D753" s="31">
        <v>1</v>
      </c>
      <c r="E753" s="32">
        <f>IFERROR(_xlfn.XLOOKUP($B753,Insumo[DESCRIPCION],Insumo[VALOR],,0),"")</f>
        <v>22152.9</v>
      </c>
      <c r="F753" s="33"/>
      <c r="G753" s="34">
        <f>IFERROR(IF(F753&gt;=0,D753*E753*(1+F753/100),ABS(D753*E753/F753)),"")</f>
        <v>22152.9</v>
      </c>
      <c r="H753" s="43">
        <f>IFERROR(G753*E749,"")</f>
        <v>0</v>
      </c>
    </row>
    <row r="754" spans="1:8">
      <c r="A754" s="28"/>
      <c r="B754" s="29" t="s">
        <v>2833</v>
      </c>
      <c r="C754" s="30" t="str">
        <f>IFERROR(_xlfn.XLOOKUP(B754,Insumo[DESCRIPCION],Insumo[UND],,0),"")</f>
        <v>Un</v>
      </c>
      <c r="D754" s="31">
        <v>2</v>
      </c>
      <c r="E754" s="32">
        <f>IFERROR(_xlfn.XLOOKUP($B754,Insumo[DESCRIPCION],Insumo[VALOR],,0),"")</f>
        <v>682.5</v>
      </c>
      <c r="F754" s="33"/>
      <c r="G754" s="34">
        <f>IFERROR(IF(F754&gt;=0,D754*E754*(1+F754/100),ABS(D754*E754/F754)),"")</f>
        <v>1365</v>
      </c>
      <c r="H754" s="43">
        <f>IFERROR(G754*E749,"")</f>
        <v>0</v>
      </c>
    </row>
    <row r="755" spans="1:8">
      <c r="A755" s="28"/>
      <c r="B755" s="29"/>
      <c r="C755" s="30" t="str">
        <f>IFERROR(_xlfn.XLOOKUP(B755,Insumo[DESCRIPCION],Insumo[UND],,0),"")</f>
        <v/>
      </c>
      <c r="D755" s="31"/>
      <c r="E755" s="32" t="str">
        <f>IFERROR(_xlfn.XLOOKUP($B755,Insumo[DESCRIPCION],Insumo[VALOR],,0),"")</f>
        <v/>
      </c>
      <c r="F755" s="33"/>
      <c r="G755" s="34" t="str">
        <f>IFERROR(IF(F755&gt;=0,D755*E755*(1+F755/100),ABS(D755*E755/F755)),"")</f>
        <v/>
      </c>
      <c r="H755" s="43" t="str">
        <f>IFERROR(G755*E749,"")</f>
        <v/>
      </c>
    </row>
    <row r="756" spans="1:8">
      <c r="A756" s="28"/>
      <c r="B756" s="29"/>
      <c r="C756" s="30" t="str">
        <f>IFERROR(_xlfn.XLOOKUP(B756,Insumo[DESCRIPCION],Insumo[UND],,0),"")</f>
        <v/>
      </c>
      <c r="D756" s="31"/>
      <c r="E756" s="32" t="str">
        <f>IFERROR(_xlfn.XLOOKUP($B756,Insumo[DESCRIPCION],Insumo[VALOR],,0),"")</f>
        <v/>
      </c>
      <c r="F756" s="33"/>
      <c r="G756" s="34" t="str">
        <f>IFERROR(IF(F756&gt;=0,D756*E756*(1+F756/100),ABS(D756*E756/F756)),"")</f>
        <v/>
      </c>
      <c r="H756" s="43" t="str">
        <f>IFERROR(G756*E749,"")</f>
        <v/>
      </c>
    </row>
    <row r="757" spans="1:8">
      <c r="A757" s="21"/>
      <c r="B757" s="22" t="s">
        <v>3731</v>
      </c>
      <c r="C757" s="23"/>
      <c r="D757" s="24"/>
      <c r="E757" s="25"/>
      <c r="F757" s="26"/>
      <c r="G757" s="27">
        <f>SUM(G758:G760)</f>
        <v>937.99709629166682</v>
      </c>
      <c r="H757" s="44">
        <f>G757*E749</f>
        <v>0</v>
      </c>
    </row>
    <row r="758" spans="1:8">
      <c r="A758" s="28"/>
      <c r="B758" s="29" t="s">
        <v>3626</v>
      </c>
      <c r="C758" s="30" t="str">
        <f>IFERROR(_xlfn.XLOOKUP(B758,Equipo[DESCRIPCION],Equipo[UND],,0),"")</f>
        <v>%MO</v>
      </c>
      <c r="D758" s="31">
        <v>0.05</v>
      </c>
      <c r="E758" s="32">
        <f>IF(C758="%MO",G764,IFERROR(_xlfn.XLOOKUP($B758,Equipo[DESCRIPCION],Equipo[VALOR],,0),""))</f>
        <v>18759.941925833336</v>
      </c>
      <c r="F758" s="33"/>
      <c r="G758" s="34">
        <f>IFERROR(IF(F758&gt;=0,D758*E758*(1+F758/100),ABS(D758*E758/F758)),"")</f>
        <v>937.99709629166682</v>
      </c>
      <c r="H758" s="43">
        <f>IFERROR(G758*E749,"")</f>
        <v>0</v>
      </c>
    </row>
    <row r="759" spans="1:8">
      <c r="A759" s="28"/>
      <c r="B759" s="29"/>
      <c r="C759" s="30" t="str">
        <f>IFERROR(_xlfn.XLOOKUP(B759,Equipo[DESCRIPCION],Equipo[UND],,0),"")</f>
        <v/>
      </c>
      <c r="D759" s="31"/>
      <c r="E759" s="32" t="str">
        <f>IF(C759="%MO",G764,IFERROR(_xlfn.XLOOKUP($B759,Equipo[DESCRIPCION],Equipo[VALOR],,0),""))</f>
        <v/>
      </c>
      <c r="F759" s="33"/>
      <c r="G759" s="34" t="str">
        <f>IFERROR(IF(F759&gt;=0,D759*E759*(1+F759/100),ABS(D759*E759/F759)),"")</f>
        <v/>
      </c>
      <c r="H759" s="43" t="str">
        <f>IFERROR(G759*E749,"")</f>
        <v/>
      </c>
    </row>
    <row r="760" spans="1:8">
      <c r="A760" s="28"/>
      <c r="B760" s="29"/>
      <c r="C760" s="30" t="str">
        <f>IFERROR(_xlfn.XLOOKUP(B760,Equipo[DESCRIPCION],Equipo[UND],,0),"")</f>
        <v/>
      </c>
      <c r="D760" s="31"/>
      <c r="E760" s="32" t="str">
        <f>IF(C760="%MO",G764,IFERROR(_xlfn.XLOOKUP($B760,Equipo[DESCRIPCION],Equipo[VALOR],,0),""))</f>
        <v/>
      </c>
      <c r="F760" s="33"/>
      <c r="G760" s="34" t="str">
        <f>IFERROR(IF(F760&gt;=0,D760*E760*(1+F760/100),ABS(D760*E760/F760)),"")</f>
        <v/>
      </c>
      <c r="H760" s="43" t="str">
        <f>IFERROR(G760*E749,"")</f>
        <v/>
      </c>
    </row>
    <row r="761" spans="1:8">
      <c r="A761" s="21"/>
      <c r="B761" s="22" t="s">
        <v>2533</v>
      </c>
      <c r="C761" s="23"/>
      <c r="D761" s="24"/>
      <c r="E761" s="25"/>
      <c r="F761" s="26"/>
      <c r="G761" s="27">
        <f>SUM(G762:G763)</f>
        <v>0</v>
      </c>
      <c r="H761" s="44">
        <f>G761*E749</f>
        <v>0</v>
      </c>
    </row>
    <row r="762" spans="1:8">
      <c r="A762" s="28"/>
      <c r="B762" s="29"/>
      <c r="C762" s="30" t="str">
        <f>IFERROR(_xlfn.XLOOKUP(B762,Transporte[DESCRIPCION],Transporte[UND],,0),"")</f>
        <v/>
      </c>
      <c r="D762" s="31"/>
      <c r="E762" s="32" t="str">
        <f>IFERROR(_xlfn.XLOOKUP($B762,Transporte[DESCRIPCION],Transporte[VALOR],,0),"")</f>
        <v/>
      </c>
      <c r="F762" s="33"/>
      <c r="G762" s="34" t="str">
        <f>IFERROR(IF(F762&gt;=0,D762*E762*(1+F762/100),ABS(D762*E762/F762)),"")</f>
        <v/>
      </c>
      <c r="H762" s="43" t="str">
        <f>IFERROR(G762*E749,"")</f>
        <v/>
      </c>
    </row>
    <row r="763" spans="1:8">
      <c r="A763" s="28"/>
      <c r="B763" s="29"/>
      <c r="C763" s="30" t="str">
        <f>IFERROR(_xlfn.XLOOKUP(B763,Transporte[DESCRIPCION],Transporte[UND],,0),"")</f>
        <v/>
      </c>
      <c r="D763" s="31"/>
      <c r="E763" s="32" t="str">
        <f>IFERROR(_xlfn.XLOOKUP($B763,Transporte[DESCRIPCION],Transporte[VALOR],,0),"")</f>
        <v/>
      </c>
      <c r="F763" s="33"/>
      <c r="G763" s="34" t="str">
        <f>IFERROR(IF(F763&gt;=0,D763*E763*(1+F763/100),ABS(D763*E763/F763)),"")</f>
        <v/>
      </c>
      <c r="H763" s="43" t="str">
        <f>IFERROR(G763*E749,"")</f>
        <v/>
      </c>
    </row>
    <row r="764" spans="1:8">
      <c r="A764" s="21"/>
      <c r="B764" s="22" t="s">
        <v>3732</v>
      </c>
      <c r="C764" s="23"/>
      <c r="D764" s="24"/>
      <c r="E764" s="25"/>
      <c r="F764" s="26"/>
      <c r="G764" s="27">
        <f>SUM(G765:G767)</f>
        <v>18759.941925833336</v>
      </c>
      <c r="H764" s="44">
        <f>G764*E749</f>
        <v>0</v>
      </c>
    </row>
    <row r="765" spans="1:8">
      <c r="A765" s="28"/>
      <c r="B765" s="29" t="s">
        <v>3715</v>
      </c>
      <c r="C765" s="30" t="str">
        <f>IFERROR(_xlfn.XLOOKUP(B765,MObra[DESCRIPCION],MObra[UN],,0),"")</f>
        <v>día</v>
      </c>
      <c r="D765" s="31">
        <v>1</v>
      </c>
      <c r="E765" s="32">
        <f>IFERROR(_xlfn.XLOOKUP($B765,MObra[DESCRIPCION],MObra[VALOR UNIT],,0),"")</f>
        <v>337678.95466500008</v>
      </c>
      <c r="F765" s="33">
        <v>-18</v>
      </c>
      <c r="G765" s="34">
        <f>IFERROR(IF(F765&gt;=0,D765*E765*(1+F765/100),ABS(D765*E765/F765)),"")</f>
        <v>18759.941925833336</v>
      </c>
      <c r="H765" s="43">
        <f>IFERROR(G765*E749,"")</f>
        <v>0</v>
      </c>
    </row>
    <row r="766" spans="1:8">
      <c r="A766" s="28"/>
      <c r="B766" s="29"/>
      <c r="C766" s="30" t="str">
        <f t="array" ref="C766">IFERROR(_xlfn.XLOOKUP(B766,MObra[[#All],[DESCRIPCION]],MObra[[#All],[UN]],,0),"")</f>
        <v/>
      </c>
      <c r="D766" s="31"/>
      <c r="E766" s="32" t="str">
        <f>IFERROR(_xlfn.XLOOKUP($B766,MObra[DESCRIPCION],MObra[VALOR UNIT],,0),"")</f>
        <v/>
      </c>
      <c r="F766" s="33"/>
      <c r="G766" s="34" t="str">
        <f>IFERROR(IF(F766&gt;=0,D766*E766*(1+F766/100),ABS(D766*E766/F766)),"")</f>
        <v/>
      </c>
      <c r="H766" s="43" t="str">
        <f>IFERROR(G766*E749,"")</f>
        <v/>
      </c>
    </row>
    <row r="767" spans="1:8" ht="13.15" thickBot="1">
      <c r="A767" s="35"/>
      <c r="B767" s="36"/>
      <c r="C767" s="37" t="str">
        <f t="array" ref="C767">IFERROR(_xlfn.XLOOKUP(B767,MObra[[#All],[DESCRIPCION]],MObra[[#All],[UN]],,0),"")</f>
        <v/>
      </c>
      <c r="D767" s="38"/>
      <c r="E767" s="39" t="str">
        <f>IFERROR(_xlfn.XLOOKUP($B767,MObra[DESCRIPCION],MObra[VALOR UNIT],,0),"")</f>
        <v/>
      </c>
      <c r="F767" s="40"/>
      <c r="G767" s="41" t="str">
        <f>IFERROR(IF(F767&gt;=0,D767*E767*(1+F767/100),ABS(D767*E767/F767)),"")</f>
        <v/>
      </c>
      <c r="H767" s="42" t="str">
        <f>IFERROR(G767*E749,"")</f>
        <v/>
      </c>
    </row>
    <row r="768" spans="1:8" ht="13.5" thickTop="1" thickBot="1"/>
    <row r="769" spans="1:11" ht="26.25" thickTop="1" thickBot="1">
      <c r="A769" s="6" t="s">
        <v>953</v>
      </c>
      <c r="B769" s="7" t="str">
        <f>VLOOKUP($A769,Presupuesto!$A:$D,2,FALSE())</f>
        <v>Interruptor tipo Swich triple, incluye caja 4X2", salidas en 1/2" con accesorios para instalación</v>
      </c>
      <c r="C769" s="8" t="str">
        <f>VLOOKUP($A769,Presupuesto!$A:$D,3,FALSE())</f>
        <v>Un</v>
      </c>
      <c r="D769" s="9"/>
      <c r="E769" s="10">
        <f>VLOOKUP($A769,Presupuesto!$A:$D,4,FALSE())</f>
        <v>0</v>
      </c>
      <c r="F769" s="11" t="s">
        <v>2589</v>
      </c>
      <c r="G769" s="12">
        <f>SUM(G771:G787)/2</f>
        <v>54885.545119912509</v>
      </c>
      <c r="H769" s="13">
        <f>ROUND(SUM(H771:H787),0)/2</f>
        <v>0</v>
      </c>
      <c r="I769" s="10">
        <f>VLOOKUP(A769,Presupuesto!$A:$F,6,0)</f>
        <v>0</v>
      </c>
      <c r="J769" s="10">
        <f>+H769-I769</f>
        <v>0</v>
      </c>
      <c r="K769" s="46">
        <f>+H769-G769*E769</f>
        <v>0</v>
      </c>
    </row>
    <row r="770" spans="1:11" ht="13.15" thickTop="1">
      <c r="A770" s="14"/>
      <c r="B770" s="15" t="s">
        <v>2586</v>
      </c>
      <c r="C770" s="15" t="s">
        <v>5</v>
      </c>
      <c r="D770" s="16" t="s">
        <v>6</v>
      </c>
      <c r="E770" s="17" t="s">
        <v>7</v>
      </c>
      <c r="F770" s="18" t="s">
        <v>3728</v>
      </c>
      <c r="G770" s="19" t="s">
        <v>3729</v>
      </c>
      <c r="H770" s="20" t="s">
        <v>3797</v>
      </c>
    </row>
    <row r="771" spans="1:11">
      <c r="A771" s="21"/>
      <c r="B771" s="22" t="s">
        <v>3730</v>
      </c>
      <c r="C771" s="23"/>
      <c r="D771" s="24"/>
      <c r="E771" s="25"/>
      <c r="F771" s="26"/>
      <c r="G771" s="27">
        <f>SUM(G772:G776)</f>
        <v>37157.4</v>
      </c>
      <c r="H771" s="27">
        <f>IFERROR(G771*E769,"")</f>
        <v>0</v>
      </c>
    </row>
    <row r="772" spans="1:11">
      <c r="A772" s="28"/>
      <c r="B772" s="29" t="s">
        <v>3012</v>
      </c>
      <c r="C772" s="30" t="str">
        <f>IFERROR(_xlfn.XLOOKUP(B772,Insumo[DESCRIPCION],Insumo[UND],,0),"")</f>
        <v>Un</v>
      </c>
      <c r="D772" s="31">
        <v>1</v>
      </c>
      <c r="E772" s="32">
        <f>IFERROR(_xlfn.XLOOKUP($B772,Insumo[DESCRIPCION],Insumo[VALOR],,0),"")</f>
        <v>13639.5</v>
      </c>
      <c r="F772" s="33"/>
      <c r="G772" s="34">
        <f>IFERROR(IF(F772&gt;=0,D772*E772*(1+F772/100),ABS(D772*E772/F772)),"")</f>
        <v>13639.5</v>
      </c>
      <c r="H772" s="43">
        <f>IFERROR(G772*E769,"")</f>
        <v>0</v>
      </c>
    </row>
    <row r="773" spans="1:11">
      <c r="A773" s="28"/>
      <c r="B773" s="29" t="s">
        <v>2801</v>
      </c>
      <c r="C773" s="30" t="str">
        <f>IFERROR(_xlfn.XLOOKUP(B773,Insumo[DESCRIPCION],Insumo[UND],,0),"")</f>
        <v>Un</v>
      </c>
      <c r="D773" s="31">
        <v>1</v>
      </c>
      <c r="E773" s="32">
        <f>IFERROR(_xlfn.XLOOKUP($B773,Insumo[DESCRIPCION],Insumo[VALOR],,0),"")</f>
        <v>22152.9</v>
      </c>
      <c r="F773" s="33"/>
      <c r="G773" s="34">
        <f>IFERROR(IF(F773&gt;=0,D773*E773*(1+F773/100),ABS(D773*E773/F773)),"")</f>
        <v>22152.9</v>
      </c>
      <c r="H773" s="43">
        <f>IFERROR(G773*E769,"")</f>
        <v>0</v>
      </c>
    </row>
    <row r="774" spans="1:11">
      <c r="A774" s="28"/>
      <c r="B774" s="29" t="s">
        <v>2833</v>
      </c>
      <c r="C774" s="30" t="str">
        <f>IFERROR(_xlfn.XLOOKUP(B774,Insumo[DESCRIPCION],Insumo[UND],,0),"")</f>
        <v>Un</v>
      </c>
      <c r="D774" s="31">
        <v>2</v>
      </c>
      <c r="E774" s="32">
        <f>IFERROR(_xlfn.XLOOKUP($B774,Insumo[DESCRIPCION],Insumo[VALOR],,0),"")</f>
        <v>682.5</v>
      </c>
      <c r="F774" s="33"/>
      <c r="G774" s="34">
        <f>IFERROR(IF(F774&gt;=0,D774*E774*(1+F774/100),ABS(D774*E774/F774)),"")</f>
        <v>1365</v>
      </c>
      <c r="H774" s="43">
        <f>IFERROR(G774*E769,"")</f>
        <v>0</v>
      </c>
    </row>
    <row r="775" spans="1:11">
      <c r="A775" s="28"/>
      <c r="B775" s="29"/>
      <c r="C775" s="30" t="str">
        <f>IFERROR(_xlfn.XLOOKUP(B775,Insumo[DESCRIPCION],Insumo[UND],,0),"")</f>
        <v/>
      </c>
      <c r="D775" s="31"/>
      <c r="E775" s="32" t="str">
        <f>IFERROR(_xlfn.XLOOKUP($B775,Insumo[DESCRIPCION],Insumo[VALOR],,0),"")</f>
        <v/>
      </c>
      <c r="F775" s="33"/>
      <c r="G775" s="34" t="str">
        <f>IFERROR(IF(F775&gt;=0,D775*E775*(1+F775/100),ABS(D775*E775/F775)),"")</f>
        <v/>
      </c>
      <c r="H775" s="43" t="str">
        <f>IFERROR(G775*E769,"")</f>
        <v/>
      </c>
    </row>
    <row r="776" spans="1:11">
      <c r="A776" s="28"/>
      <c r="B776" s="29"/>
      <c r="C776" s="30" t="str">
        <f>IFERROR(_xlfn.XLOOKUP(B776,Insumo[DESCRIPCION],Insumo[UND],,0),"")</f>
        <v/>
      </c>
      <c r="D776" s="31"/>
      <c r="E776" s="32" t="str">
        <f>IFERROR(_xlfn.XLOOKUP($B776,Insumo[DESCRIPCION],Insumo[VALOR],,0),"")</f>
        <v/>
      </c>
      <c r="F776" s="33"/>
      <c r="G776" s="34" t="str">
        <f>IFERROR(IF(F776&gt;=0,D776*E776*(1+F776/100),ABS(D776*E776/F776)),"")</f>
        <v/>
      </c>
      <c r="H776" s="43" t="str">
        <f>IFERROR(G776*E769,"")</f>
        <v/>
      </c>
    </row>
    <row r="777" spans="1:11">
      <c r="A777" s="21"/>
      <c r="B777" s="22" t="s">
        <v>3731</v>
      </c>
      <c r="C777" s="23"/>
      <c r="D777" s="24"/>
      <c r="E777" s="25"/>
      <c r="F777" s="26"/>
      <c r="G777" s="27">
        <f>SUM(G778:G780)</f>
        <v>844.19738666250021</v>
      </c>
      <c r="H777" s="44">
        <f>G777*E769</f>
        <v>0</v>
      </c>
    </row>
    <row r="778" spans="1:11">
      <c r="A778" s="28"/>
      <c r="B778" s="29" t="s">
        <v>3626</v>
      </c>
      <c r="C778" s="30" t="str">
        <f>IFERROR(_xlfn.XLOOKUP(B778,Equipo[DESCRIPCION],Equipo[UND],,0),"")</f>
        <v>%MO</v>
      </c>
      <c r="D778" s="31">
        <v>0.05</v>
      </c>
      <c r="E778" s="32">
        <f>IF(C778="%MO",G784,IFERROR(_xlfn.XLOOKUP($B778,Equipo[DESCRIPCION],Equipo[VALOR],,0),""))</f>
        <v>16883.947733250003</v>
      </c>
      <c r="F778" s="33"/>
      <c r="G778" s="34">
        <f>IFERROR(IF(F778&gt;=0,D778*E778*(1+F778/100),ABS(D778*E778/F778)),"")</f>
        <v>844.19738666250021</v>
      </c>
      <c r="H778" s="43">
        <f>IFERROR(G778*E769,"")</f>
        <v>0</v>
      </c>
    </row>
    <row r="779" spans="1:11">
      <c r="A779" s="28"/>
      <c r="B779" s="29"/>
      <c r="C779" s="30" t="str">
        <f>IFERROR(_xlfn.XLOOKUP(B779,Equipo[DESCRIPCION],Equipo[UND],,0),"")</f>
        <v/>
      </c>
      <c r="D779" s="31"/>
      <c r="E779" s="32" t="str">
        <f>IF(C779="%MO",G784,IFERROR(_xlfn.XLOOKUP($B779,Equipo[DESCRIPCION],Equipo[VALOR],,0),""))</f>
        <v/>
      </c>
      <c r="F779" s="33"/>
      <c r="G779" s="34" t="str">
        <f>IFERROR(IF(F779&gt;=0,D779*E779*(1+F779/100),ABS(D779*E779/F779)),"")</f>
        <v/>
      </c>
      <c r="H779" s="43" t="str">
        <f>IFERROR(G779*E769,"")</f>
        <v/>
      </c>
    </row>
    <row r="780" spans="1:11">
      <c r="A780" s="28"/>
      <c r="B780" s="29"/>
      <c r="C780" s="30" t="str">
        <f>IFERROR(_xlfn.XLOOKUP(B780,Equipo[DESCRIPCION],Equipo[UND],,0),"")</f>
        <v/>
      </c>
      <c r="D780" s="31"/>
      <c r="E780" s="32" t="str">
        <f>IF(C780="%MO",G784,IFERROR(_xlfn.XLOOKUP($B780,Equipo[DESCRIPCION],Equipo[VALOR],,0),""))</f>
        <v/>
      </c>
      <c r="F780" s="33"/>
      <c r="G780" s="34" t="str">
        <f>IFERROR(IF(F780&gt;=0,D780*E780*(1+F780/100),ABS(D780*E780/F780)),"")</f>
        <v/>
      </c>
      <c r="H780" s="43" t="str">
        <f>IFERROR(G780*E769,"")</f>
        <v/>
      </c>
    </row>
    <row r="781" spans="1:11">
      <c r="A781" s="21"/>
      <c r="B781" s="22" t="s">
        <v>2533</v>
      </c>
      <c r="C781" s="23"/>
      <c r="D781" s="24"/>
      <c r="E781" s="25"/>
      <c r="F781" s="26"/>
      <c r="G781" s="27">
        <f>SUM(G782:G783)</f>
        <v>0</v>
      </c>
      <c r="H781" s="44">
        <f>G781*E769</f>
        <v>0</v>
      </c>
    </row>
    <row r="782" spans="1:11">
      <c r="A782" s="28"/>
      <c r="B782" s="29"/>
      <c r="C782" s="30" t="str">
        <f>IFERROR(_xlfn.XLOOKUP(B782,Transporte[DESCRIPCION],Transporte[UND],,0),"")</f>
        <v/>
      </c>
      <c r="D782" s="31"/>
      <c r="E782" s="32" t="str">
        <f>IFERROR(_xlfn.XLOOKUP($B782,Transporte[DESCRIPCION],Transporte[VALOR],,0),"")</f>
        <v/>
      </c>
      <c r="F782" s="33"/>
      <c r="G782" s="34" t="str">
        <f>IFERROR(IF(F782&gt;=0,D782*E782*(1+F782/100),ABS(D782*E782/F782)),"")</f>
        <v/>
      </c>
      <c r="H782" s="43" t="str">
        <f>IFERROR(G782*E769,"")</f>
        <v/>
      </c>
    </row>
    <row r="783" spans="1:11">
      <c r="A783" s="28"/>
      <c r="B783" s="29"/>
      <c r="C783" s="30" t="str">
        <f>IFERROR(_xlfn.XLOOKUP(B783,Transporte[DESCRIPCION],Transporte[UND],,0),"")</f>
        <v/>
      </c>
      <c r="D783" s="31"/>
      <c r="E783" s="32" t="str">
        <f>IFERROR(_xlfn.XLOOKUP($B783,Transporte[DESCRIPCION],Transporte[VALOR],,0),"")</f>
        <v/>
      </c>
      <c r="F783" s="33"/>
      <c r="G783" s="34" t="str">
        <f>IFERROR(IF(F783&gt;=0,D783*E783*(1+F783/100),ABS(D783*E783/F783)),"")</f>
        <v/>
      </c>
      <c r="H783" s="43" t="str">
        <f>IFERROR(G783*E769,"")</f>
        <v/>
      </c>
    </row>
    <row r="784" spans="1:11">
      <c r="A784" s="21"/>
      <c r="B784" s="22" t="s">
        <v>3732</v>
      </c>
      <c r="C784" s="23"/>
      <c r="D784" s="24"/>
      <c r="E784" s="25"/>
      <c r="F784" s="26"/>
      <c r="G784" s="27">
        <f>SUM(G785:G787)</f>
        <v>16883.947733250003</v>
      </c>
      <c r="H784" s="44">
        <f>G784*E769</f>
        <v>0</v>
      </c>
    </row>
    <row r="785" spans="1:11">
      <c r="A785" s="28"/>
      <c r="B785" s="29" t="s">
        <v>3715</v>
      </c>
      <c r="C785" s="30" t="str">
        <f>IFERROR(_xlfn.XLOOKUP(B785,MObra[DESCRIPCION],MObra[UN],,0),"")</f>
        <v>día</v>
      </c>
      <c r="D785" s="31">
        <v>1</v>
      </c>
      <c r="E785" s="32">
        <f>IFERROR(_xlfn.XLOOKUP($B785,MObra[DESCRIPCION],MObra[VALOR UNIT],,0),"")</f>
        <v>337678.95466500008</v>
      </c>
      <c r="F785" s="33">
        <v>-20</v>
      </c>
      <c r="G785" s="34">
        <f>IFERROR(IF(F785&gt;=0,D785*E785*(1+F785/100),ABS(D785*E785/F785)),"")</f>
        <v>16883.947733250003</v>
      </c>
      <c r="H785" s="43">
        <f>IFERROR(G785*E769,"")</f>
        <v>0</v>
      </c>
    </row>
    <row r="786" spans="1:11">
      <c r="A786" s="28"/>
      <c r="B786" s="29"/>
      <c r="C786" s="30" t="str">
        <f t="array" ref="C786">IFERROR(_xlfn.XLOOKUP(B786,MObra[[#All],[DESCRIPCION]],MObra[[#All],[UN]],,0),"")</f>
        <v/>
      </c>
      <c r="D786" s="31"/>
      <c r="E786" s="32" t="str">
        <f>IFERROR(_xlfn.XLOOKUP($B786,MObra[DESCRIPCION],MObra[VALOR UNIT],,0),"")</f>
        <v/>
      </c>
      <c r="F786" s="33"/>
      <c r="G786" s="34" t="str">
        <f>IFERROR(IF(F786&gt;=0,D786*E786*(1+F786/100),ABS(D786*E786/F786)),"")</f>
        <v/>
      </c>
      <c r="H786" s="43" t="str">
        <f>IFERROR(G786*E769,"")</f>
        <v/>
      </c>
    </row>
    <row r="787" spans="1:11" ht="13.15" thickBot="1">
      <c r="A787" s="35"/>
      <c r="B787" s="36"/>
      <c r="C787" s="37" t="str">
        <f t="array" ref="C787">IFERROR(_xlfn.XLOOKUP(B787,MObra[[#All],[DESCRIPCION]],MObra[[#All],[UN]],,0),"")</f>
        <v/>
      </c>
      <c r="D787" s="38"/>
      <c r="E787" s="39" t="str">
        <f>IFERROR(_xlfn.XLOOKUP($B787,MObra[DESCRIPCION],MObra[VALOR UNIT],,0),"")</f>
        <v/>
      </c>
      <c r="F787" s="40"/>
      <c r="G787" s="41" t="str">
        <f>IFERROR(IF(F787&gt;=0,D787*E787*(1+F787/100),ABS(D787*E787/F787)),"")</f>
        <v/>
      </c>
      <c r="H787" s="42" t="str">
        <f>IFERROR(G787*E769,"")</f>
        <v/>
      </c>
    </row>
    <row r="788" spans="1:11" ht="13.5" thickTop="1" thickBot="1"/>
    <row r="789" spans="1:11" ht="26.25" thickTop="1" thickBot="1">
      <c r="A789" s="6" t="s">
        <v>955</v>
      </c>
      <c r="B789" s="7" t="str">
        <f>VLOOKUP($A789,Presupuesto!$A:$D,2,FALSE())</f>
        <v>Luminaria Downligth tipo bala en led 100-240 Vac, 15W, 1400 lm, eficacia&gt;= 65lm/W, VU 20000h@L70</v>
      </c>
      <c r="C789" s="8" t="str">
        <f>VLOOKUP($A789,Presupuesto!$A:$D,3,FALSE())</f>
        <v>Un</v>
      </c>
      <c r="D789" s="9"/>
      <c r="E789" s="10">
        <f>VLOOKUP($A789,Presupuesto!$A:$D,4,FALSE())</f>
        <v>0</v>
      </c>
      <c r="F789" s="11" t="s">
        <v>2589</v>
      </c>
      <c r="G789" s="12">
        <f>SUM(G791:G807)/2</f>
        <v>279319.93357310625</v>
      </c>
      <c r="H789" s="13">
        <f>ROUND(SUM(H791:H807),0)/2</f>
        <v>0</v>
      </c>
      <c r="I789" s="10">
        <f>VLOOKUP(A789,Presupuesto!$A:$F,6,0)</f>
        <v>0</v>
      </c>
      <c r="J789" s="10">
        <f>+H789-I789</f>
        <v>0</v>
      </c>
      <c r="K789" s="46">
        <f>+H789-G789*E789</f>
        <v>0</v>
      </c>
    </row>
    <row r="790" spans="1:11">
      <c r="A790" s="14"/>
      <c r="B790" s="15" t="s">
        <v>2586</v>
      </c>
      <c r="C790" s="15" t="s">
        <v>5</v>
      </c>
      <c r="D790" s="16" t="s">
        <v>6</v>
      </c>
      <c r="E790" s="17" t="s">
        <v>7</v>
      </c>
      <c r="F790" s="18" t="s">
        <v>3728</v>
      </c>
      <c r="G790" s="19" t="s">
        <v>3729</v>
      </c>
      <c r="H790" s="20" t="s">
        <v>3797</v>
      </c>
    </row>
    <row r="791" spans="1:11">
      <c r="A791" s="21"/>
      <c r="B791" s="22" t="s">
        <v>3730</v>
      </c>
      <c r="C791" s="23"/>
      <c r="D791" s="24"/>
      <c r="E791" s="25"/>
      <c r="F791" s="26"/>
      <c r="G791" s="27">
        <f>SUM(G792:G796)</f>
        <v>233311.17599999998</v>
      </c>
      <c r="H791" s="27">
        <f>IFERROR(G791*E789,"")</f>
        <v>0</v>
      </c>
    </row>
    <row r="792" spans="1:11">
      <c r="A792" s="28"/>
      <c r="B792" s="29" t="s">
        <v>3111</v>
      </c>
      <c r="C792" s="30" t="str">
        <f>IFERROR(_xlfn.XLOOKUP(B792,Insumo[DESCRIPCION],Insumo[UND],,0),"")</f>
        <v>Un</v>
      </c>
      <c r="D792" s="31">
        <v>1</v>
      </c>
      <c r="E792" s="32">
        <f>IFERROR(_xlfn.XLOOKUP($B792,Insumo[DESCRIPCION],Insumo[VALOR],,0),"")</f>
        <v>219501.576</v>
      </c>
      <c r="F792" s="33"/>
      <c r="G792" s="34">
        <f>IFERROR(IF(F792&gt;=0,D792*E792*(1+F792/100),ABS(D792*E792/F792)),"")</f>
        <v>219501.576</v>
      </c>
      <c r="H792" s="43">
        <f>IFERROR(G792*E789,"")</f>
        <v>0</v>
      </c>
    </row>
    <row r="793" spans="1:11">
      <c r="A793" s="28"/>
      <c r="B793" s="29" t="s">
        <v>2800</v>
      </c>
      <c r="C793" s="30" t="str">
        <f>IFERROR(_xlfn.XLOOKUP(B793,Insumo[DESCRIPCION],Insumo[UND],,0),"")</f>
        <v>M</v>
      </c>
      <c r="D793" s="31">
        <v>1</v>
      </c>
      <c r="E793" s="32">
        <f>IFERROR(_xlfn.XLOOKUP($B793,Insumo[DESCRIPCION],Insumo[VALOR],,0),"")</f>
        <v>7387.8</v>
      </c>
      <c r="F793" s="33"/>
      <c r="G793" s="34">
        <f>IFERROR(IF(F793&gt;=0,D793*E793*(1+F793/100),ABS(D793*E793/F793)),"")</f>
        <v>7387.8</v>
      </c>
      <c r="H793" s="43">
        <f>IFERROR(G793*E789,"")</f>
        <v>0</v>
      </c>
    </row>
    <row r="794" spans="1:11">
      <c r="A794" s="28"/>
      <c r="B794" s="29" t="s">
        <v>2855</v>
      </c>
      <c r="C794" s="30" t="str">
        <f>IFERROR(_xlfn.XLOOKUP(B794,Insumo[DESCRIPCION],Insumo[UND],,0),"")</f>
        <v>Un</v>
      </c>
      <c r="D794" s="31">
        <v>1</v>
      </c>
      <c r="E794" s="32">
        <f>IFERROR(_xlfn.XLOOKUP($B794,Insumo[DESCRIPCION],Insumo[VALOR],,0),"")</f>
        <v>6421.8</v>
      </c>
      <c r="F794" s="33"/>
      <c r="G794" s="34">
        <f>IFERROR(IF(F794&gt;=0,D794*E794*(1+F794/100),ABS(D794*E794/F794)),"")</f>
        <v>6421.8</v>
      </c>
      <c r="H794" s="43">
        <f>IFERROR(G794*E789,"")</f>
        <v>0</v>
      </c>
    </row>
    <row r="795" spans="1:11">
      <c r="A795" s="28"/>
      <c r="B795" s="29"/>
      <c r="C795" s="30" t="str">
        <f>IFERROR(_xlfn.XLOOKUP(B795,Insumo[DESCRIPCION],Insumo[UND],,0),"")</f>
        <v/>
      </c>
      <c r="D795" s="31"/>
      <c r="E795" s="32" t="str">
        <f>IFERROR(_xlfn.XLOOKUP($B795,Insumo[DESCRIPCION],Insumo[VALOR],,0),"")</f>
        <v/>
      </c>
      <c r="F795" s="33"/>
      <c r="G795" s="34" t="str">
        <f>IFERROR(IF(F795&gt;=0,D795*E795*(1+F795/100),ABS(D795*E795/F795)),"")</f>
        <v/>
      </c>
      <c r="H795" s="43" t="str">
        <f>IFERROR(G795*E789,"")</f>
        <v/>
      </c>
    </row>
    <row r="796" spans="1:11">
      <c r="A796" s="28"/>
      <c r="B796" s="29"/>
      <c r="C796" s="30" t="str">
        <f>IFERROR(_xlfn.XLOOKUP(B796,Insumo[DESCRIPCION],Insumo[UND],,0),"")</f>
        <v/>
      </c>
      <c r="D796" s="31"/>
      <c r="E796" s="32" t="str">
        <f>IFERROR(_xlfn.XLOOKUP($B796,Insumo[DESCRIPCION],Insumo[VALOR],,0),"")</f>
        <v/>
      </c>
      <c r="F796" s="33"/>
      <c r="G796" s="34" t="str">
        <f>IFERROR(IF(F796&gt;=0,D796*E796*(1+F796/100),ABS(D796*E796/F796)),"")</f>
        <v/>
      </c>
      <c r="H796" s="43" t="str">
        <f>IFERROR(G796*E789,"")</f>
        <v/>
      </c>
    </row>
    <row r="797" spans="1:11">
      <c r="A797" s="21"/>
      <c r="B797" s="22" t="s">
        <v>3731</v>
      </c>
      <c r="C797" s="23"/>
      <c r="D797" s="24"/>
      <c r="E797" s="25"/>
      <c r="F797" s="26"/>
      <c r="G797" s="27">
        <f>SUM(G798:G800)</f>
        <v>3798.888239981251</v>
      </c>
      <c r="H797" s="44">
        <f>G797*E789</f>
        <v>0</v>
      </c>
    </row>
    <row r="798" spans="1:11">
      <c r="A798" s="28"/>
      <c r="B798" s="29" t="s">
        <v>3570</v>
      </c>
      <c r="C798" s="30" t="str">
        <f>IFERROR(_xlfn.XLOOKUP(B798,Equipo[DESCRIPCION],Equipo[UND],,0),"")</f>
        <v>%MO</v>
      </c>
      <c r="D798" s="31">
        <v>0.04</v>
      </c>
      <c r="E798" s="32">
        <f>IF(C798="%MO",G804,IFERROR(_xlfn.XLOOKUP($B798,Equipo[DESCRIPCION],Equipo[VALOR],,0),""))</f>
        <v>42209.869333125011</v>
      </c>
      <c r="F798" s="33"/>
      <c r="G798" s="34">
        <f>IFERROR(IF(F798&gt;=0,D798*E798*(1+F798/100),ABS(D798*E798/F798)),"")</f>
        <v>1688.3947733250004</v>
      </c>
      <c r="H798" s="43">
        <f>IFERROR(G798*E789,"")</f>
        <v>0</v>
      </c>
    </row>
    <row r="799" spans="1:11">
      <c r="A799" s="28"/>
      <c r="B799" s="29" t="s">
        <v>3626</v>
      </c>
      <c r="C799" s="30" t="str">
        <f>IFERROR(_xlfn.XLOOKUP(B799,Equipo[DESCRIPCION],Equipo[UND],,0),"")</f>
        <v>%MO</v>
      </c>
      <c r="D799" s="31">
        <v>0.05</v>
      </c>
      <c r="E799" s="32">
        <f>IF(C799="%MO",G804,IFERROR(_xlfn.XLOOKUP($B799,Equipo[DESCRIPCION],Equipo[VALOR],,0),""))</f>
        <v>42209.869333125011</v>
      </c>
      <c r="F799" s="33"/>
      <c r="G799" s="34">
        <f>IFERROR(IF(F799&gt;=0,D799*E799*(1+F799/100),ABS(D799*E799/F799)),"")</f>
        <v>2110.4934666562508</v>
      </c>
      <c r="H799" s="43">
        <f>IFERROR(G799*E789,"")</f>
        <v>0</v>
      </c>
    </row>
    <row r="800" spans="1:11">
      <c r="A800" s="28"/>
      <c r="B800" s="29"/>
      <c r="C800" s="30" t="str">
        <f>IFERROR(_xlfn.XLOOKUP(B800,Equipo[DESCRIPCION],Equipo[UND],,0),"")</f>
        <v/>
      </c>
      <c r="D800" s="31"/>
      <c r="E800" s="32" t="str">
        <f>IF(C800="%MO",G804,IFERROR(_xlfn.XLOOKUP($B800,Equipo[DESCRIPCION],Equipo[VALOR],,0),""))</f>
        <v/>
      </c>
      <c r="F800" s="33"/>
      <c r="G800" s="34" t="str">
        <f>IFERROR(IF(F800&gt;=0,D800*E800*(1+F800/100),ABS(D800*E800/F800)),"")</f>
        <v/>
      </c>
      <c r="H800" s="43" t="str">
        <f>IFERROR(G800*E789,"")</f>
        <v/>
      </c>
    </row>
    <row r="801" spans="1:11">
      <c r="A801" s="21"/>
      <c r="B801" s="22" t="s">
        <v>2533</v>
      </c>
      <c r="C801" s="23"/>
      <c r="D801" s="24"/>
      <c r="E801" s="25"/>
      <c r="F801" s="26"/>
      <c r="G801" s="27">
        <f>SUM(G802:G803)</f>
        <v>0</v>
      </c>
      <c r="H801" s="44">
        <f>G801*E789</f>
        <v>0</v>
      </c>
    </row>
    <row r="802" spans="1:11">
      <c r="A802" s="28"/>
      <c r="B802" s="29"/>
      <c r="C802" s="30" t="str">
        <f>IFERROR(_xlfn.XLOOKUP(B802,Transporte[DESCRIPCION],Transporte[UND],,0),"")</f>
        <v/>
      </c>
      <c r="D802" s="31"/>
      <c r="E802" s="32" t="str">
        <f>IFERROR(_xlfn.XLOOKUP($B802,Transporte[DESCRIPCION],Transporte[VALOR],,0),"")</f>
        <v/>
      </c>
      <c r="F802" s="33"/>
      <c r="G802" s="34" t="str">
        <f>IFERROR(IF(F802&gt;=0,D802*E802*(1+F802/100),ABS(D802*E802/F802)),"")</f>
        <v/>
      </c>
      <c r="H802" s="43" t="str">
        <f>IFERROR(G802*E789,"")</f>
        <v/>
      </c>
    </row>
    <row r="803" spans="1:11">
      <c r="A803" s="28"/>
      <c r="B803" s="29"/>
      <c r="C803" s="30" t="str">
        <f>IFERROR(_xlfn.XLOOKUP(B803,Transporte[DESCRIPCION],Transporte[UND],,0),"")</f>
        <v/>
      </c>
      <c r="D803" s="31"/>
      <c r="E803" s="32" t="str">
        <f>IFERROR(_xlfn.XLOOKUP($B803,Transporte[DESCRIPCION],Transporte[VALOR],,0),"")</f>
        <v/>
      </c>
      <c r="F803" s="33"/>
      <c r="G803" s="34" t="str">
        <f>IFERROR(IF(F803&gt;=0,D803*E803*(1+F803/100),ABS(D803*E803/F803)),"")</f>
        <v/>
      </c>
      <c r="H803" s="43" t="str">
        <f>IFERROR(G803*E789,"")</f>
        <v/>
      </c>
    </row>
    <row r="804" spans="1:11">
      <c r="A804" s="21"/>
      <c r="B804" s="22" t="s">
        <v>3732</v>
      </c>
      <c r="C804" s="23"/>
      <c r="D804" s="24"/>
      <c r="E804" s="25"/>
      <c r="F804" s="26"/>
      <c r="G804" s="27">
        <f>SUM(G805:G807)</f>
        <v>42209.869333125011</v>
      </c>
      <c r="H804" s="44">
        <f>G804*E789</f>
        <v>0</v>
      </c>
    </row>
    <row r="805" spans="1:11">
      <c r="A805" s="28"/>
      <c r="B805" s="29" t="s">
        <v>3715</v>
      </c>
      <c r="C805" s="30" t="str">
        <f>IFERROR(_xlfn.XLOOKUP(B805,MObra[DESCRIPCION],MObra[UN],,0),"")</f>
        <v>día</v>
      </c>
      <c r="D805" s="31">
        <v>1</v>
      </c>
      <c r="E805" s="32">
        <f>IFERROR(_xlfn.XLOOKUP($B805,MObra[DESCRIPCION],MObra[VALOR UNIT],,0),"")</f>
        <v>337678.95466500008</v>
      </c>
      <c r="F805" s="33">
        <v>-8</v>
      </c>
      <c r="G805" s="34">
        <f>IFERROR(IF(F805&gt;=0,D805*E805*(1+F805/100),ABS(D805*E805/F805)),"")</f>
        <v>42209.869333125011</v>
      </c>
      <c r="H805" s="43">
        <f>IFERROR(G805*E789,"")</f>
        <v>0</v>
      </c>
    </row>
    <row r="806" spans="1:11">
      <c r="A806" s="28"/>
      <c r="B806" s="29"/>
      <c r="C806" s="30" t="str">
        <f t="array" ref="C806">IFERROR(_xlfn.XLOOKUP(B806,MObra[[#All],[DESCRIPCION]],MObra[[#All],[UN]],,0),"")</f>
        <v/>
      </c>
      <c r="D806" s="31"/>
      <c r="E806" s="32" t="str">
        <f>IFERROR(_xlfn.XLOOKUP($B806,MObra[DESCRIPCION],MObra[VALOR UNIT],,0),"")</f>
        <v/>
      </c>
      <c r="F806" s="33"/>
      <c r="G806" s="34" t="str">
        <f>IFERROR(IF(F806&gt;=0,D806*E806*(1+F806/100),ABS(D806*E806/F806)),"")</f>
        <v/>
      </c>
      <c r="H806" s="43" t="str">
        <f>IFERROR(G806*E789,"")</f>
        <v/>
      </c>
    </row>
    <row r="807" spans="1:11">
      <c r="A807" s="35"/>
      <c r="B807" s="36"/>
      <c r="C807" s="37" t="str">
        <f t="array" ref="C807">IFERROR(_xlfn.XLOOKUP(B807,MObra[[#All],[DESCRIPCION]],MObra[[#All],[UN]],,0),"")</f>
        <v/>
      </c>
      <c r="D807" s="38"/>
      <c r="E807" s="39" t="str">
        <f>IFERROR(_xlfn.XLOOKUP($B807,MObra[DESCRIPCION],MObra[VALOR UNIT],,0),"")</f>
        <v/>
      </c>
      <c r="F807" s="40"/>
      <c r="G807" s="41" t="str">
        <f>IFERROR(IF(F807&gt;=0,D807*E807*(1+F807/100),ABS(D807*E807/F807)),"")</f>
        <v/>
      </c>
      <c r="H807" s="42" t="str">
        <f>IFERROR(G807*E789,"")</f>
        <v/>
      </c>
    </row>
    <row r="808" spans="1:11" ht="13.5" thickTop="1" thickBot="1"/>
    <row r="809" spans="1:11" ht="26.25" thickTop="1" thickBot="1">
      <c r="A809" s="6" t="s">
        <v>957</v>
      </c>
      <c r="B809" s="7" t="str">
        <f>VLOOKUP($A809,Presupuesto!$A:$D,2,FALSE())</f>
        <v>Luminaria Downligth tipo bala en led 100-240 Vac, 20W, 1900 lm, eficacia&gt;= 65lm/W, VU 20000h@L70</v>
      </c>
      <c r="C809" s="8" t="str">
        <f>VLOOKUP($A809,Presupuesto!$A:$D,3,FALSE())</f>
        <v>Un</v>
      </c>
      <c r="D809" s="9"/>
      <c r="E809" s="10">
        <f>VLOOKUP($A809,Presupuesto!$A:$D,4,FALSE())</f>
        <v>0</v>
      </c>
      <c r="F809" s="11" t="s">
        <v>2589</v>
      </c>
      <c r="G809" s="12">
        <f>SUM(G811:G827)/2</f>
        <v>306094.5870731062</v>
      </c>
      <c r="H809" s="13">
        <f>ROUND(SUM(H811:H827),0)/2</f>
        <v>0</v>
      </c>
      <c r="I809" s="10">
        <f>VLOOKUP(A809,Presupuesto!$A:$F,6,0)</f>
        <v>0</v>
      </c>
      <c r="J809" s="10">
        <f>+H809-I809</f>
        <v>0</v>
      </c>
      <c r="K809" s="46">
        <f>+H809-G809*E809</f>
        <v>0</v>
      </c>
    </row>
    <row r="810" spans="1:11">
      <c r="A810" s="14"/>
      <c r="B810" s="15" t="s">
        <v>2586</v>
      </c>
      <c r="C810" s="15" t="s">
        <v>5</v>
      </c>
      <c r="D810" s="16" t="s">
        <v>6</v>
      </c>
      <c r="E810" s="17" t="s">
        <v>7</v>
      </c>
      <c r="F810" s="18" t="s">
        <v>3728</v>
      </c>
      <c r="G810" s="19" t="s">
        <v>3729</v>
      </c>
      <c r="H810" s="20" t="s">
        <v>3797</v>
      </c>
    </row>
    <row r="811" spans="1:11">
      <c r="A811" s="21"/>
      <c r="B811" s="22" t="s">
        <v>3730</v>
      </c>
      <c r="C811" s="23"/>
      <c r="D811" s="24"/>
      <c r="E811" s="25"/>
      <c r="F811" s="26"/>
      <c r="G811" s="27">
        <f>SUM(G812:G816)</f>
        <v>260085.82949999996</v>
      </c>
      <c r="H811" s="27">
        <f>IFERROR(G811*E809,"")</f>
        <v>0</v>
      </c>
    </row>
    <row r="812" spans="1:11">
      <c r="A812" s="28"/>
      <c r="B812" s="29" t="s">
        <v>3110</v>
      </c>
      <c r="C812" s="30" t="str">
        <f>IFERROR(_xlfn.XLOOKUP(B812,Insumo[DESCRIPCION],Insumo[UND],,0),"")</f>
        <v>Un</v>
      </c>
      <c r="D812" s="31">
        <v>1</v>
      </c>
      <c r="E812" s="32">
        <f>IFERROR(_xlfn.XLOOKUP($B812,Insumo[DESCRIPCION],Insumo[VALOR],,0),"")</f>
        <v>246276.22949999999</v>
      </c>
      <c r="F812" s="33"/>
      <c r="G812" s="34">
        <f>IFERROR(IF(F812&gt;=0,D812*E812*(1+F812/100),ABS(D812*E812/F812)),"")</f>
        <v>246276.22949999999</v>
      </c>
      <c r="H812" s="43">
        <f>IFERROR(G812*E809,"")</f>
        <v>0</v>
      </c>
    </row>
    <row r="813" spans="1:11">
      <c r="A813" s="28"/>
      <c r="B813" s="29" t="s">
        <v>2800</v>
      </c>
      <c r="C813" s="30" t="str">
        <f>IFERROR(_xlfn.XLOOKUP(B813,Insumo[DESCRIPCION],Insumo[UND],,0),"")</f>
        <v>M</v>
      </c>
      <c r="D813" s="31">
        <v>1</v>
      </c>
      <c r="E813" s="32">
        <f>IFERROR(_xlfn.XLOOKUP($B813,Insumo[DESCRIPCION],Insumo[VALOR],,0),"")</f>
        <v>7387.8</v>
      </c>
      <c r="F813" s="33"/>
      <c r="G813" s="34">
        <f>IFERROR(IF(F813&gt;=0,D813*E813*(1+F813/100),ABS(D813*E813/F813)),"")</f>
        <v>7387.8</v>
      </c>
      <c r="H813" s="43">
        <f>IFERROR(G813*E809,"")</f>
        <v>0</v>
      </c>
    </row>
    <row r="814" spans="1:11">
      <c r="A814" s="28"/>
      <c r="B814" s="29" t="s">
        <v>2855</v>
      </c>
      <c r="C814" s="30" t="str">
        <f>IFERROR(_xlfn.XLOOKUP(B814,Insumo[DESCRIPCION],Insumo[UND],,0),"")</f>
        <v>Un</v>
      </c>
      <c r="D814" s="31">
        <v>1</v>
      </c>
      <c r="E814" s="32">
        <f>IFERROR(_xlfn.XLOOKUP($B814,Insumo[DESCRIPCION],Insumo[VALOR],,0),"")</f>
        <v>6421.8</v>
      </c>
      <c r="F814" s="33"/>
      <c r="G814" s="34">
        <f>IFERROR(IF(F814&gt;=0,D814*E814*(1+F814/100),ABS(D814*E814/F814)),"")</f>
        <v>6421.8</v>
      </c>
      <c r="H814" s="43">
        <f>IFERROR(G814*E809,"")</f>
        <v>0</v>
      </c>
    </row>
    <row r="815" spans="1:11">
      <c r="A815" s="28"/>
      <c r="B815" s="29"/>
      <c r="C815" s="30" t="str">
        <f>IFERROR(_xlfn.XLOOKUP(B815,Insumo[DESCRIPCION],Insumo[UND],,0),"")</f>
        <v/>
      </c>
      <c r="D815" s="31"/>
      <c r="E815" s="32" t="str">
        <f>IFERROR(_xlfn.XLOOKUP($B815,Insumo[DESCRIPCION],Insumo[VALOR],,0),"")</f>
        <v/>
      </c>
      <c r="F815" s="33"/>
      <c r="G815" s="34" t="str">
        <f>IFERROR(IF(F815&gt;=0,D815*E815*(1+F815/100),ABS(D815*E815/F815)),"")</f>
        <v/>
      </c>
      <c r="H815" s="43" t="str">
        <f>IFERROR(G815*E809,"")</f>
        <v/>
      </c>
    </row>
    <row r="816" spans="1:11">
      <c r="A816" s="28"/>
      <c r="B816" s="29"/>
      <c r="C816" s="30" t="str">
        <f>IFERROR(_xlfn.XLOOKUP(B816,Insumo[DESCRIPCION],Insumo[UND],,0),"")</f>
        <v/>
      </c>
      <c r="D816" s="31"/>
      <c r="E816" s="32" t="str">
        <f>IFERROR(_xlfn.XLOOKUP($B816,Insumo[DESCRIPCION],Insumo[VALOR],,0),"")</f>
        <v/>
      </c>
      <c r="F816" s="33"/>
      <c r="G816" s="34" t="str">
        <f>IFERROR(IF(F816&gt;=0,D816*E816*(1+F816/100),ABS(D816*E816/F816)),"")</f>
        <v/>
      </c>
      <c r="H816" s="43" t="str">
        <f>IFERROR(G816*E809,"")</f>
        <v/>
      </c>
    </row>
    <row r="817" spans="1:11">
      <c r="A817" s="21"/>
      <c r="B817" s="22" t="s">
        <v>3731</v>
      </c>
      <c r="C817" s="23"/>
      <c r="D817" s="24"/>
      <c r="E817" s="25"/>
      <c r="F817" s="26"/>
      <c r="G817" s="27">
        <f>SUM(G818:G820)</f>
        <v>3798.888239981251</v>
      </c>
      <c r="H817" s="44">
        <f>G817*E809</f>
        <v>0</v>
      </c>
    </row>
    <row r="818" spans="1:11">
      <c r="A818" s="28"/>
      <c r="B818" s="29" t="s">
        <v>3570</v>
      </c>
      <c r="C818" s="30" t="str">
        <f>IFERROR(_xlfn.XLOOKUP(B818,Equipo[DESCRIPCION],Equipo[UND],,0),"")</f>
        <v>%MO</v>
      </c>
      <c r="D818" s="31">
        <v>0.04</v>
      </c>
      <c r="E818" s="32">
        <f>IF(C818="%MO",G824,IFERROR(_xlfn.XLOOKUP($B818,Equipo[DESCRIPCION],Equipo[VALOR],,0),""))</f>
        <v>42209.869333125011</v>
      </c>
      <c r="F818" s="33"/>
      <c r="G818" s="34">
        <f>IFERROR(IF(F818&gt;=0,D818*E818*(1+F818/100),ABS(D818*E818/F818)),"")</f>
        <v>1688.3947733250004</v>
      </c>
      <c r="H818" s="43">
        <f>IFERROR(G818*E809,"")</f>
        <v>0</v>
      </c>
    </row>
    <row r="819" spans="1:11">
      <c r="A819" s="28"/>
      <c r="B819" s="29" t="s">
        <v>3626</v>
      </c>
      <c r="C819" s="30" t="str">
        <f>IFERROR(_xlfn.XLOOKUP(B819,Equipo[DESCRIPCION],Equipo[UND],,0),"")</f>
        <v>%MO</v>
      </c>
      <c r="D819" s="31">
        <v>0.05</v>
      </c>
      <c r="E819" s="32">
        <f>IF(C819="%MO",G824,IFERROR(_xlfn.XLOOKUP($B819,Equipo[DESCRIPCION],Equipo[VALOR],,0),""))</f>
        <v>42209.869333125011</v>
      </c>
      <c r="F819" s="33"/>
      <c r="G819" s="34">
        <f>IFERROR(IF(F819&gt;=0,D819*E819*(1+F819/100),ABS(D819*E819/F819)),"")</f>
        <v>2110.4934666562508</v>
      </c>
      <c r="H819" s="43">
        <f>IFERROR(G819*E809,"")</f>
        <v>0</v>
      </c>
    </row>
    <row r="820" spans="1:11">
      <c r="A820" s="28"/>
      <c r="B820" s="29"/>
      <c r="C820" s="30" t="str">
        <f>IFERROR(_xlfn.XLOOKUP(B820,Equipo[DESCRIPCION],Equipo[UND],,0),"")</f>
        <v/>
      </c>
      <c r="D820" s="31"/>
      <c r="E820" s="32" t="str">
        <f>IF(C820="%MO",G824,IFERROR(_xlfn.XLOOKUP($B820,Equipo[DESCRIPCION],Equipo[VALOR],,0),""))</f>
        <v/>
      </c>
      <c r="F820" s="33"/>
      <c r="G820" s="34" t="str">
        <f>IFERROR(IF(F820&gt;=0,D820*E820*(1+F820/100),ABS(D820*E820/F820)),"")</f>
        <v/>
      </c>
      <c r="H820" s="43" t="str">
        <f>IFERROR(G820*E809,"")</f>
        <v/>
      </c>
    </row>
    <row r="821" spans="1:11">
      <c r="A821" s="21"/>
      <c r="B821" s="22" t="s">
        <v>2533</v>
      </c>
      <c r="C821" s="23"/>
      <c r="D821" s="24"/>
      <c r="E821" s="25"/>
      <c r="F821" s="26"/>
      <c r="G821" s="27">
        <f>SUM(G822:G823)</f>
        <v>0</v>
      </c>
      <c r="H821" s="44">
        <f>G821*E809</f>
        <v>0</v>
      </c>
    </row>
    <row r="822" spans="1:11">
      <c r="A822" s="28"/>
      <c r="B822" s="29"/>
      <c r="C822" s="30" t="str">
        <f>IFERROR(_xlfn.XLOOKUP(B822,Transporte[DESCRIPCION],Transporte[UND],,0),"")</f>
        <v/>
      </c>
      <c r="D822" s="31"/>
      <c r="E822" s="32" t="str">
        <f>IFERROR(_xlfn.XLOOKUP($B822,Transporte[DESCRIPCION],Transporte[VALOR],,0),"")</f>
        <v/>
      </c>
      <c r="F822" s="33"/>
      <c r="G822" s="34" t="str">
        <f>IFERROR(IF(F822&gt;=0,D822*E822*(1+F822/100),ABS(D822*E822/F822)),"")</f>
        <v/>
      </c>
      <c r="H822" s="43" t="str">
        <f>IFERROR(G822*E809,"")</f>
        <v/>
      </c>
    </row>
    <row r="823" spans="1:11">
      <c r="A823" s="28"/>
      <c r="B823" s="29"/>
      <c r="C823" s="30" t="str">
        <f>IFERROR(_xlfn.XLOOKUP(B823,Transporte[DESCRIPCION],Transporte[UND],,0),"")</f>
        <v/>
      </c>
      <c r="D823" s="31"/>
      <c r="E823" s="32" t="str">
        <f>IFERROR(_xlfn.XLOOKUP($B823,Transporte[DESCRIPCION],Transporte[VALOR],,0),"")</f>
        <v/>
      </c>
      <c r="F823" s="33"/>
      <c r="G823" s="34" t="str">
        <f>IFERROR(IF(F823&gt;=0,D823*E823*(1+F823/100),ABS(D823*E823/F823)),"")</f>
        <v/>
      </c>
      <c r="H823" s="43" t="str">
        <f>IFERROR(G823*E809,"")</f>
        <v/>
      </c>
    </row>
    <row r="824" spans="1:11">
      <c r="A824" s="21"/>
      <c r="B824" s="22" t="s">
        <v>3732</v>
      </c>
      <c r="C824" s="23"/>
      <c r="D824" s="24"/>
      <c r="E824" s="25"/>
      <c r="F824" s="26"/>
      <c r="G824" s="27">
        <f>SUM(G825:G827)</f>
        <v>42209.869333125011</v>
      </c>
      <c r="H824" s="44">
        <f>G824*E809</f>
        <v>0</v>
      </c>
    </row>
    <row r="825" spans="1:11">
      <c r="A825" s="28"/>
      <c r="B825" s="29" t="s">
        <v>3715</v>
      </c>
      <c r="C825" s="30" t="str">
        <f>IFERROR(_xlfn.XLOOKUP(B825,MObra[DESCRIPCION],MObra[UN],,0),"")</f>
        <v>día</v>
      </c>
      <c r="D825" s="31">
        <v>1</v>
      </c>
      <c r="E825" s="32">
        <f>IFERROR(_xlfn.XLOOKUP($B825,MObra[DESCRIPCION],MObra[VALOR UNIT],,0),"")</f>
        <v>337678.95466500008</v>
      </c>
      <c r="F825" s="33">
        <v>-8</v>
      </c>
      <c r="G825" s="34">
        <f>IFERROR(IF(F825&gt;=0,D825*E825*(1+F825/100),ABS(D825*E825/F825)),"")</f>
        <v>42209.869333125011</v>
      </c>
      <c r="H825" s="43">
        <f>IFERROR(G825*E809,"")</f>
        <v>0</v>
      </c>
    </row>
    <row r="826" spans="1:11">
      <c r="A826" s="28"/>
      <c r="B826" s="29"/>
      <c r="C826" s="30" t="str">
        <f t="array" ref="C826">IFERROR(_xlfn.XLOOKUP(B826,MObra[[#All],[DESCRIPCION]],MObra[[#All],[UN]],,0),"")</f>
        <v/>
      </c>
      <c r="D826" s="31"/>
      <c r="E826" s="32" t="str">
        <f>IFERROR(_xlfn.XLOOKUP($B826,MObra[DESCRIPCION],MObra[VALOR UNIT],,0),"")</f>
        <v/>
      </c>
      <c r="F826" s="33"/>
      <c r="G826" s="34" t="str">
        <f>IFERROR(IF(F826&gt;=0,D826*E826*(1+F826/100),ABS(D826*E826/F826)),"")</f>
        <v/>
      </c>
      <c r="H826" s="43" t="str">
        <f>IFERROR(G826*E809,"")</f>
        <v/>
      </c>
    </row>
    <row r="827" spans="1:11">
      <c r="A827" s="35"/>
      <c r="B827" s="36"/>
      <c r="C827" s="37" t="str">
        <f t="array" ref="C827">IFERROR(_xlfn.XLOOKUP(B827,MObra[[#All],[DESCRIPCION]],MObra[[#All],[UN]],,0),"")</f>
        <v/>
      </c>
      <c r="D827" s="38"/>
      <c r="E827" s="39" t="str">
        <f>IFERROR(_xlfn.XLOOKUP($B827,MObra[DESCRIPCION],MObra[VALOR UNIT],,0),"")</f>
        <v/>
      </c>
      <c r="F827" s="40"/>
      <c r="G827" s="41" t="str">
        <f>IFERROR(IF(F827&gt;=0,D827*E827*(1+F827/100),ABS(D827*E827/F827)),"")</f>
        <v/>
      </c>
      <c r="H827" s="42" t="str">
        <f>IFERROR(G827*E809,"")</f>
        <v/>
      </c>
    </row>
    <row r="828" spans="1:11" ht="13.5" thickTop="1" thickBot="1"/>
    <row r="829" spans="1:11" ht="26.25" thickTop="1" thickBot="1">
      <c r="A829" s="6" t="s">
        <v>959</v>
      </c>
      <c r="B829" s="7" t="str">
        <f>VLOOKUP($A829,Presupuesto!$A:$D,2,FALSE())</f>
        <v>Luminaria Downligth tipo bala en led 100-240 Vac, 30W, 2900 lm, eficacia&gt;= 65lm/W, VU 20000h@L70</v>
      </c>
      <c r="C829" s="8" t="str">
        <f>VLOOKUP($A829,Presupuesto!$A:$D,3,FALSE())</f>
        <v>Un</v>
      </c>
      <c r="D829" s="9"/>
      <c r="E829" s="10">
        <f>VLOOKUP($A829,Presupuesto!$A:$D,4,FALSE())</f>
        <v>0</v>
      </c>
      <c r="F829" s="11" t="s">
        <v>2589</v>
      </c>
      <c r="G829" s="12">
        <f>SUM(G831:G847)/2</f>
        <v>323943.21682310628</v>
      </c>
      <c r="H829" s="13">
        <f>ROUND(SUM(H831:H847),0)/2</f>
        <v>0</v>
      </c>
      <c r="I829" s="10">
        <f>VLOOKUP(A829,Presupuesto!$A:$F,6,0)</f>
        <v>0</v>
      </c>
      <c r="J829" s="10">
        <f>+H829-I829</f>
        <v>0</v>
      </c>
      <c r="K829" s="46">
        <f>+H829-G829*E829</f>
        <v>0</v>
      </c>
    </row>
    <row r="830" spans="1:11">
      <c r="A830" s="14"/>
      <c r="B830" s="15" t="s">
        <v>2586</v>
      </c>
      <c r="C830" s="15" t="s">
        <v>5</v>
      </c>
      <c r="D830" s="16" t="s">
        <v>6</v>
      </c>
      <c r="E830" s="17" t="s">
        <v>7</v>
      </c>
      <c r="F830" s="18" t="s">
        <v>3728</v>
      </c>
      <c r="G830" s="19" t="s">
        <v>3729</v>
      </c>
      <c r="H830" s="20" t="s">
        <v>3797</v>
      </c>
    </row>
    <row r="831" spans="1:11">
      <c r="A831" s="21"/>
      <c r="B831" s="22" t="s">
        <v>3730</v>
      </c>
      <c r="C831" s="23"/>
      <c r="D831" s="24"/>
      <c r="E831" s="25"/>
      <c r="F831" s="26"/>
      <c r="G831" s="27">
        <f>SUM(G832:G836)</f>
        <v>277934.45924999996</v>
      </c>
      <c r="H831" s="27">
        <f>IFERROR(G831*E829,"")</f>
        <v>0</v>
      </c>
    </row>
    <row r="832" spans="1:11">
      <c r="A832" s="28"/>
      <c r="B832" s="29" t="s">
        <v>3108</v>
      </c>
      <c r="C832" s="30" t="str">
        <f>IFERROR(_xlfn.XLOOKUP(B832,Insumo[DESCRIPCION],Insumo[UND],,0),"")</f>
        <v>Un</v>
      </c>
      <c r="D832" s="31">
        <v>1</v>
      </c>
      <c r="E832" s="32">
        <f>IFERROR(_xlfn.XLOOKUP($B832,Insumo[DESCRIPCION],Insumo[VALOR],,0),"")</f>
        <v>264124.85924999998</v>
      </c>
      <c r="F832" s="33"/>
      <c r="G832" s="34">
        <f>IFERROR(IF(F832&gt;=0,D832*E832*(1+F832/100),ABS(D832*E832/F832)),"")</f>
        <v>264124.85924999998</v>
      </c>
      <c r="H832" s="43">
        <f>IFERROR(G832*E829,"")</f>
        <v>0</v>
      </c>
    </row>
    <row r="833" spans="1:8">
      <c r="A833" s="28"/>
      <c r="B833" s="29" t="s">
        <v>2800</v>
      </c>
      <c r="C833" s="30" t="str">
        <f>IFERROR(_xlfn.XLOOKUP(B833,Insumo[DESCRIPCION],Insumo[UND],,0),"")</f>
        <v>M</v>
      </c>
      <c r="D833" s="31">
        <v>1</v>
      </c>
      <c r="E833" s="32">
        <f>IFERROR(_xlfn.XLOOKUP($B833,Insumo[DESCRIPCION],Insumo[VALOR],,0),"")</f>
        <v>7387.8</v>
      </c>
      <c r="F833" s="33"/>
      <c r="G833" s="34">
        <f>IFERROR(IF(F833&gt;=0,D833*E833*(1+F833/100),ABS(D833*E833/F833)),"")</f>
        <v>7387.8</v>
      </c>
      <c r="H833" s="43">
        <f>IFERROR(G833*E829,"")</f>
        <v>0</v>
      </c>
    </row>
    <row r="834" spans="1:8">
      <c r="A834" s="28"/>
      <c r="B834" s="29" t="s">
        <v>2855</v>
      </c>
      <c r="C834" s="30" t="str">
        <f>IFERROR(_xlfn.XLOOKUP(B834,Insumo[DESCRIPCION],Insumo[UND],,0),"")</f>
        <v>Un</v>
      </c>
      <c r="D834" s="31">
        <v>1</v>
      </c>
      <c r="E834" s="32">
        <f>IFERROR(_xlfn.XLOOKUP($B834,Insumo[DESCRIPCION],Insumo[VALOR],,0),"")</f>
        <v>6421.8</v>
      </c>
      <c r="F834" s="33"/>
      <c r="G834" s="34">
        <f>IFERROR(IF(F834&gt;=0,D834*E834*(1+F834/100),ABS(D834*E834/F834)),"")</f>
        <v>6421.8</v>
      </c>
      <c r="H834" s="43">
        <f>IFERROR(G834*E829,"")</f>
        <v>0</v>
      </c>
    </row>
    <row r="835" spans="1:8">
      <c r="A835" s="28"/>
      <c r="B835" s="29"/>
      <c r="C835" s="30" t="str">
        <f>IFERROR(_xlfn.XLOOKUP(B835,Insumo[DESCRIPCION],Insumo[UND],,0),"")</f>
        <v/>
      </c>
      <c r="D835" s="31"/>
      <c r="E835" s="32" t="str">
        <f>IFERROR(_xlfn.XLOOKUP($B835,Insumo[DESCRIPCION],Insumo[VALOR],,0),"")</f>
        <v/>
      </c>
      <c r="F835" s="33"/>
      <c r="G835" s="34" t="str">
        <f>IFERROR(IF(F835&gt;=0,D835*E835*(1+F835/100),ABS(D835*E835/F835)),"")</f>
        <v/>
      </c>
      <c r="H835" s="43" t="str">
        <f>IFERROR(G835*E829,"")</f>
        <v/>
      </c>
    </row>
    <row r="836" spans="1:8">
      <c r="A836" s="28"/>
      <c r="B836" s="29"/>
      <c r="C836" s="30" t="str">
        <f>IFERROR(_xlfn.XLOOKUP(B836,Insumo[DESCRIPCION],Insumo[UND],,0),"")</f>
        <v/>
      </c>
      <c r="D836" s="31"/>
      <c r="E836" s="32" t="str">
        <f>IFERROR(_xlfn.XLOOKUP($B836,Insumo[DESCRIPCION],Insumo[VALOR],,0),"")</f>
        <v/>
      </c>
      <c r="F836" s="33"/>
      <c r="G836" s="34" t="str">
        <f>IFERROR(IF(F836&gt;=0,D836*E836*(1+F836/100),ABS(D836*E836/F836)),"")</f>
        <v/>
      </c>
      <c r="H836" s="43" t="str">
        <f>IFERROR(G836*E829,"")</f>
        <v/>
      </c>
    </row>
    <row r="837" spans="1:8">
      <c r="A837" s="21"/>
      <c r="B837" s="22" t="s">
        <v>3731</v>
      </c>
      <c r="C837" s="23"/>
      <c r="D837" s="24"/>
      <c r="E837" s="25"/>
      <c r="F837" s="26"/>
      <c r="G837" s="27">
        <f>SUM(G838:G840)</f>
        <v>3798.888239981251</v>
      </c>
      <c r="H837" s="44">
        <f>G837*E829</f>
        <v>0</v>
      </c>
    </row>
    <row r="838" spans="1:8">
      <c r="A838" s="28"/>
      <c r="B838" s="29" t="s">
        <v>3570</v>
      </c>
      <c r="C838" s="30" t="str">
        <f>IFERROR(_xlfn.XLOOKUP(B838,Equipo[DESCRIPCION],Equipo[UND],,0),"")</f>
        <v>%MO</v>
      </c>
      <c r="D838" s="31">
        <v>0.04</v>
      </c>
      <c r="E838" s="32">
        <f>IF(C838="%MO",G844,IFERROR(_xlfn.XLOOKUP($B838,Equipo[DESCRIPCION],Equipo[VALOR],,0),""))</f>
        <v>42209.869333125011</v>
      </c>
      <c r="F838" s="33"/>
      <c r="G838" s="34">
        <f>IFERROR(IF(F838&gt;=0,D838*E838*(1+F838/100),ABS(D838*E838/F838)),"")</f>
        <v>1688.3947733250004</v>
      </c>
      <c r="H838" s="43">
        <f>IFERROR(G838*E829,"")</f>
        <v>0</v>
      </c>
    </row>
    <row r="839" spans="1:8">
      <c r="A839" s="28"/>
      <c r="B839" s="29" t="s">
        <v>3626</v>
      </c>
      <c r="C839" s="30" t="str">
        <f>IFERROR(_xlfn.XLOOKUP(B839,Equipo[DESCRIPCION],Equipo[UND],,0),"")</f>
        <v>%MO</v>
      </c>
      <c r="D839" s="31">
        <v>0.05</v>
      </c>
      <c r="E839" s="32">
        <f>IF(C839="%MO",G844,IFERROR(_xlfn.XLOOKUP($B839,Equipo[DESCRIPCION],Equipo[VALOR],,0),""))</f>
        <v>42209.869333125011</v>
      </c>
      <c r="F839" s="33"/>
      <c r="G839" s="34">
        <f>IFERROR(IF(F839&gt;=0,D839*E839*(1+F839/100),ABS(D839*E839/F839)),"")</f>
        <v>2110.4934666562508</v>
      </c>
      <c r="H839" s="43">
        <f>IFERROR(G839*E829,"")</f>
        <v>0</v>
      </c>
    </row>
    <row r="840" spans="1:8">
      <c r="A840" s="28"/>
      <c r="B840" s="29"/>
      <c r="C840" s="30" t="str">
        <f>IFERROR(_xlfn.XLOOKUP(B840,Equipo[DESCRIPCION],Equipo[UND],,0),"")</f>
        <v/>
      </c>
      <c r="D840" s="31"/>
      <c r="E840" s="32" t="str">
        <f>IF(C840="%MO",G844,IFERROR(_xlfn.XLOOKUP($B840,Equipo[DESCRIPCION],Equipo[VALOR],,0),""))</f>
        <v/>
      </c>
      <c r="F840" s="33"/>
      <c r="G840" s="34" t="str">
        <f>IFERROR(IF(F840&gt;=0,D840*E840*(1+F840/100),ABS(D840*E840/F840)),"")</f>
        <v/>
      </c>
      <c r="H840" s="43" t="str">
        <f>IFERROR(G840*E829,"")</f>
        <v/>
      </c>
    </row>
    <row r="841" spans="1:8">
      <c r="A841" s="21"/>
      <c r="B841" s="22" t="s">
        <v>2533</v>
      </c>
      <c r="C841" s="23"/>
      <c r="D841" s="24"/>
      <c r="E841" s="25"/>
      <c r="F841" s="26"/>
      <c r="G841" s="27">
        <f>SUM(G842:G843)</f>
        <v>0</v>
      </c>
      <c r="H841" s="44">
        <f>G841*E829</f>
        <v>0</v>
      </c>
    </row>
    <row r="842" spans="1:8">
      <c r="A842" s="28"/>
      <c r="B842" s="29"/>
      <c r="C842" s="30" t="str">
        <f>IFERROR(_xlfn.XLOOKUP(B842,Transporte[DESCRIPCION],Transporte[UND],,0),"")</f>
        <v/>
      </c>
      <c r="D842" s="31"/>
      <c r="E842" s="32" t="str">
        <f>IFERROR(_xlfn.XLOOKUP($B842,Transporte[DESCRIPCION],Transporte[VALOR],,0),"")</f>
        <v/>
      </c>
      <c r="F842" s="33"/>
      <c r="G842" s="34" t="str">
        <f>IFERROR(IF(F842&gt;=0,D842*E842*(1+F842/100),ABS(D842*E842/F842)),"")</f>
        <v/>
      </c>
      <c r="H842" s="43" t="str">
        <f>IFERROR(G842*E829,"")</f>
        <v/>
      </c>
    </row>
    <row r="843" spans="1:8">
      <c r="A843" s="28"/>
      <c r="B843" s="29"/>
      <c r="C843" s="30" t="str">
        <f>IFERROR(_xlfn.XLOOKUP(B843,Transporte[DESCRIPCION],Transporte[UND],,0),"")</f>
        <v/>
      </c>
      <c r="D843" s="31"/>
      <c r="E843" s="32" t="str">
        <f>IFERROR(_xlfn.XLOOKUP($B843,Transporte[DESCRIPCION],Transporte[VALOR],,0),"")</f>
        <v/>
      </c>
      <c r="F843" s="33"/>
      <c r="G843" s="34" t="str">
        <f>IFERROR(IF(F843&gt;=0,D843*E843*(1+F843/100),ABS(D843*E843/F843)),"")</f>
        <v/>
      </c>
      <c r="H843" s="43" t="str">
        <f>IFERROR(G843*E829,"")</f>
        <v/>
      </c>
    </row>
    <row r="844" spans="1:8">
      <c r="A844" s="21"/>
      <c r="B844" s="22" t="s">
        <v>3732</v>
      </c>
      <c r="C844" s="23"/>
      <c r="D844" s="24"/>
      <c r="E844" s="25"/>
      <c r="F844" s="26"/>
      <c r="G844" s="27">
        <f>SUM(G845:G847)</f>
        <v>42209.869333125011</v>
      </c>
      <c r="H844" s="44">
        <f>G844*E829</f>
        <v>0</v>
      </c>
    </row>
    <row r="845" spans="1:8">
      <c r="A845" s="28"/>
      <c r="B845" s="29" t="s">
        <v>3715</v>
      </c>
      <c r="C845" s="30" t="str">
        <f>IFERROR(_xlfn.XLOOKUP(B845,MObra[DESCRIPCION],MObra[UN],,0),"")</f>
        <v>día</v>
      </c>
      <c r="D845" s="31">
        <v>1</v>
      </c>
      <c r="E845" s="32">
        <f>IFERROR(_xlfn.XLOOKUP($B845,MObra[DESCRIPCION],MObra[VALOR UNIT],,0),"")</f>
        <v>337678.95466500008</v>
      </c>
      <c r="F845" s="33">
        <v>-8</v>
      </c>
      <c r="G845" s="34">
        <f>IFERROR(IF(F845&gt;=0,D845*E845*(1+F845/100),ABS(D845*E845/F845)),"")</f>
        <v>42209.869333125011</v>
      </c>
      <c r="H845" s="43">
        <f>IFERROR(G845*E829,"")</f>
        <v>0</v>
      </c>
    </row>
    <row r="846" spans="1:8">
      <c r="A846" s="28"/>
      <c r="B846" s="29"/>
      <c r="C846" s="30" t="str">
        <f t="array" ref="C846">IFERROR(_xlfn.XLOOKUP(B846,MObra[[#All],[DESCRIPCION]],MObra[[#All],[UN]],,0),"")</f>
        <v/>
      </c>
      <c r="D846" s="31"/>
      <c r="E846" s="32" t="str">
        <f>IFERROR(_xlfn.XLOOKUP($B846,MObra[DESCRIPCION],MObra[VALOR UNIT],,0),"")</f>
        <v/>
      </c>
      <c r="F846" s="33"/>
      <c r="G846" s="34" t="str">
        <f>IFERROR(IF(F846&gt;=0,D846*E846*(1+F846/100),ABS(D846*E846/F846)),"")</f>
        <v/>
      </c>
      <c r="H846" s="43" t="str">
        <f>IFERROR(G846*E829,"")</f>
        <v/>
      </c>
    </row>
    <row r="847" spans="1:8">
      <c r="A847" s="35"/>
      <c r="B847" s="36"/>
      <c r="C847" s="37" t="str">
        <f t="array" ref="C847">IFERROR(_xlfn.XLOOKUP(B847,MObra[[#All],[DESCRIPCION]],MObra[[#All],[UN]],,0),"")</f>
        <v/>
      </c>
      <c r="D847" s="38"/>
      <c r="E847" s="39" t="str">
        <f>IFERROR(_xlfn.XLOOKUP($B847,MObra[DESCRIPCION],MObra[VALOR UNIT],,0),"")</f>
        <v/>
      </c>
      <c r="F847" s="40"/>
      <c r="G847" s="41" t="str">
        <f>IFERROR(IF(F847&gt;=0,D847*E847*(1+F847/100),ABS(D847*E847/F847)),"")</f>
        <v/>
      </c>
      <c r="H847" s="42" t="str">
        <f>IFERROR(G847*E829,"")</f>
        <v/>
      </c>
    </row>
    <row r="849" spans="1:11" ht="25.5">
      <c r="A849" s="6" t="s">
        <v>961</v>
      </c>
      <c r="B849" s="7" t="str">
        <f>VLOOKUP($A849,Presupuesto!$A:$D,2,FALSE())</f>
        <v>Luminaria Downligth tipo bala en led 100-240 Vac, 50W, 4500 lm, eficacia&gt;= 65lm/W, VU 20000h@L70</v>
      </c>
      <c r="C849" s="8" t="str">
        <f>VLOOKUP($A849,Presupuesto!$A:$D,3,FALSE())</f>
        <v>Un</v>
      </c>
      <c r="D849" s="9"/>
      <c r="E849" s="10">
        <f>VLOOKUP($A849,Presupuesto!$A:$D,4,FALSE())</f>
        <v>0</v>
      </c>
      <c r="F849" s="11" t="s">
        <v>2589</v>
      </c>
      <c r="G849" s="12">
        <f>SUM(G851:G867)/2</f>
        <v>417823.11307310627</v>
      </c>
      <c r="H849" s="13">
        <f>ROUND(SUM(H851:H867),0)/2</f>
        <v>0</v>
      </c>
      <c r="I849" s="10">
        <f>VLOOKUP(A849,Presupuesto!$A:$F,6,0)</f>
        <v>0</v>
      </c>
      <c r="J849" s="10">
        <f>+H849-I849</f>
        <v>0</v>
      </c>
      <c r="K849" s="46">
        <f>+H849-G849*E849</f>
        <v>0</v>
      </c>
    </row>
    <row r="850" spans="1:11">
      <c r="A850" s="14"/>
      <c r="B850" s="15" t="s">
        <v>2586</v>
      </c>
      <c r="C850" s="15" t="s">
        <v>5</v>
      </c>
      <c r="D850" s="16" t="s">
        <v>6</v>
      </c>
      <c r="E850" s="17" t="s">
        <v>7</v>
      </c>
      <c r="F850" s="18" t="s">
        <v>3728</v>
      </c>
      <c r="G850" s="19" t="s">
        <v>3729</v>
      </c>
      <c r="H850" s="20" t="s">
        <v>3797</v>
      </c>
    </row>
    <row r="851" spans="1:11">
      <c r="A851" s="21"/>
      <c r="B851" s="22" t="s">
        <v>3730</v>
      </c>
      <c r="C851" s="23"/>
      <c r="D851" s="24"/>
      <c r="E851" s="25"/>
      <c r="F851" s="26"/>
      <c r="G851" s="27">
        <f>SUM(G852:G856)</f>
        <v>371814.35549999995</v>
      </c>
      <c r="H851" s="27">
        <f>IFERROR(G851*E849,"")</f>
        <v>0</v>
      </c>
    </row>
    <row r="852" spans="1:11">
      <c r="A852" s="28"/>
      <c r="B852" s="29" t="s">
        <v>3109</v>
      </c>
      <c r="C852" s="30" t="str">
        <f>IFERROR(_xlfn.XLOOKUP(B852,Insumo[DESCRIPCION],Insumo[UND],,0),"")</f>
        <v>Un</v>
      </c>
      <c r="D852" s="31">
        <v>1</v>
      </c>
      <c r="E852" s="32">
        <f>IFERROR(_xlfn.XLOOKUP($B852,Insumo[DESCRIPCION],Insumo[VALOR],,0),"")</f>
        <v>358004.75549999997</v>
      </c>
      <c r="F852" s="33"/>
      <c r="G852" s="34">
        <f>IFERROR(IF(F852&gt;=0,D852*E852*(1+F852/100),ABS(D852*E852/F852)),"")</f>
        <v>358004.75549999997</v>
      </c>
      <c r="H852" s="43">
        <f>IFERROR(G852*E849,"")</f>
        <v>0</v>
      </c>
    </row>
    <row r="853" spans="1:11">
      <c r="A853" s="28"/>
      <c r="B853" s="29" t="s">
        <v>2800</v>
      </c>
      <c r="C853" s="30" t="str">
        <f>IFERROR(_xlfn.XLOOKUP(B853,Insumo[DESCRIPCION],Insumo[UND],,0),"")</f>
        <v>M</v>
      </c>
      <c r="D853" s="31">
        <v>1</v>
      </c>
      <c r="E853" s="32">
        <f>IFERROR(_xlfn.XLOOKUP($B853,Insumo[DESCRIPCION],Insumo[VALOR],,0),"")</f>
        <v>7387.8</v>
      </c>
      <c r="F853" s="33"/>
      <c r="G853" s="34">
        <f>IFERROR(IF(F853&gt;=0,D853*E853*(1+F853/100),ABS(D853*E853/F853)),"")</f>
        <v>7387.8</v>
      </c>
      <c r="H853" s="43">
        <f>IFERROR(G853*E849,"")</f>
        <v>0</v>
      </c>
    </row>
    <row r="854" spans="1:11">
      <c r="A854" s="28"/>
      <c r="B854" s="29" t="s">
        <v>2855</v>
      </c>
      <c r="C854" s="30" t="str">
        <f>IFERROR(_xlfn.XLOOKUP(B854,Insumo[DESCRIPCION],Insumo[UND],,0),"")</f>
        <v>Un</v>
      </c>
      <c r="D854" s="31">
        <v>1</v>
      </c>
      <c r="E854" s="32">
        <f>IFERROR(_xlfn.XLOOKUP($B854,Insumo[DESCRIPCION],Insumo[VALOR],,0),"")</f>
        <v>6421.8</v>
      </c>
      <c r="F854" s="33"/>
      <c r="G854" s="34">
        <f>IFERROR(IF(F854&gt;=0,D854*E854*(1+F854/100),ABS(D854*E854/F854)),"")</f>
        <v>6421.8</v>
      </c>
      <c r="H854" s="43">
        <f>IFERROR(G854*E849,"")</f>
        <v>0</v>
      </c>
    </row>
    <row r="855" spans="1:11">
      <c r="A855" s="28"/>
      <c r="B855" s="29"/>
      <c r="C855" s="30" t="str">
        <f>IFERROR(_xlfn.XLOOKUP(B855,Insumo[DESCRIPCION],Insumo[UND],,0),"")</f>
        <v/>
      </c>
      <c r="D855" s="31"/>
      <c r="E855" s="32" t="str">
        <f>IFERROR(_xlfn.XLOOKUP($B855,Insumo[DESCRIPCION],Insumo[VALOR],,0),"")</f>
        <v/>
      </c>
      <c r="F855" s="33"/>
      <c r="G855" s="34" t="str">
        <f>IFERROR(IF(F855&gt;=0,D855*E855*(1+F855/100),ABS(D855*E855/F855)),"")</f>
        <v/>
      </c>
      <c r="H855" s="43" t="str">
        <f>IFERROR(G855*E849,"")</f>
        <v/>
      </c>
    </row>
    <row r="856" spans="1:11">
      <c r="A856" s="28"/>
      <c r="B856" s="29"/>
      <c r="C856" s="30" t="str">
        <f>IFERROR(_xlfn.XLOOKUP(B856,Insumo[DESCRIPCION],Insumo[UND],,0),"")</f>
        <v/>
      </c>
      <c r="D856" s="31"/>
      <c r="E856" s="32" t="str">
        <f>IFERROR(_xlfn.XLOOKUP($B856,Insumo[DESCRIPCION],Insumo[VALOR],,0),"")</f>
        <v/>
      </c>
      <c r="F856" s="33"/>
      <c r="G856" s="34" t="str">
        <f>IFERROR(IF(F856&gt;=0,D856*E856*(1+F856/100),ABS(D856*E856/F856)),"")</f>
        <v/>
      </c>
      <c r="H856" s="43" t="str">
        <f>IFERROR(G856*E849,"")</f>
        <v/>
      </c>
    </row>
    <row r="857" spans="1:11">
      <c r="A857" s="21"/>
      <c r="B857" s="22" t="s">
        <v>3731</v>
      </c>
      <c r="C857" s="23"/>
      <c r="D857" s="24"/>
      <c r="E857" s="25"/>
      <c r="F857" s="26"/>
      <c r="G857" s="27">
        <f>SUM(G858:G860)</f>
        <v>3798.888239981251</v>
      </c>
      <c r="H857" s="44">
        <f>G857*E849</f>
        <v>0</v>
      </c>
    </row>
    <row r="858" spans="1:11">
      <c r="A858" s="28"/>
      <c r="B858" s="29" t="s">
        <v>3570</v>
      </c>
      <c r="C858" s="30" t="str">
        <f>IFERROR(_xlfn.XLOOKUP(B858,Equipo[DESCRIPCION],Equipo[UND],,0),"")</f>
        <v>%MO</v>
      </c>
      <c r="D858" s="31">
        <v>0.04</v>
      </c>
      <c r="E858" s="32">
        <f>IF(C858="%MO",G864,IFERROR(_xlfn.XLOOKUP($B858,Equipo[DESCRIPCION],Equipo[VALOR],,0),""))</f>
        <v>42209.869333125011</v>
      </c>
      <c r="F858" s="33"/>
      <c r="G858" s="34">
        <f>IFERROR(IF(F858&gt;=0,D858*E858*(1+F858/100),ABS(D858*E858/F858)),"")</f>
        <v>1688.3947733250004</v>
      </c>
      <c r="H858" s="43">
        <f>IFERROR(G858*E849,"")</f>
        <v>0</v>
      </c>
    </row>
    <row r="859" spans="1:11">
      <c r="A859" s="28"/>
      <c r="B859" s="29" t="s">
        <v>3626</v>
      </c>
      <c r="C859" s="30" t="str">
        <f>IFERROR(_xlfn.XLOOKUP(B859,Equipo[DESCRIPCION],Equipo[UND],,0),"")</f>
        <v>%MO</v>
      </c>
      <c r="D859" s="31">
        <v>0.05</v>
      </c>
      <c r="E859" s="32">
        <f>IF(C859="%MO",G864,IFERROR(_xlfn.XLOOKUP($B859,Equipo[DESCRIPCION],Equipo[VALOR],,0),""))</f>
        <v>42209.869333125011</v>
      </c>
      <c r="F859" s="33"/>
      <c r="G859" s="34">
        <f>IFERROR(IF(F859&gt;=0,D859*E859*(1+F859/100),ABS(D859*E859/F859)),"")</f>
        <v>2110.4934666562508</v>
      </c>
      <c r="H859" s="43">
        <f>IFERROR(G859*E849,"")</f>
        <v>0</v>
      </c>
    </row>
    <row r="860" spans="1:11">
      <c r="A860" s="28"/>
      <c r="B860" s="29"/>
      <c r="C860" s="30" t="str">
        <f>IFERROR(_xlfn.XLOOKUP(B860,Equipo[DESCRIPCION],Equipo[UND],,0),"")</f>
        <v/>
      </c>
      <c r="D860" s="31"/>
      <c r="E860" s="32" t="str">
        <f>IF(C860="%MO",G864,IFERROR(_xlfn.XLOOKUP($B860,Equipo[DESCRIPCION],Equipo[VALOR],,0),""))</f>
        <v/>
      </c>
      <c r="F860" s="33"/>
      <c r="G860" s="34" t="str">
        <f>IFERROR(IF(F860&gt;=0,D860*E860*(1+F860/100),ABS(D860*E860/F860)),"")</f>
        <v/>
      </c>
      <c r="H860" s="43" t="str">
        <f>IFERROR(G860*E849,"")</f>
        <v/>
      </c>
    </row>
    <row r="861" spans="1:11">
      <c r="A861" s="21"/>
      <c r="B861" s="22" t="s">
        <v>2533</v>
      </c>
      <c r="C861" s="23"/>
      <c r="D861" s="24"/>
      <c r="E861" s="25"/>
      <c r="F861" s="26"/>
      <c r="G861" s="27">
        <f>SUM(G862:G863)</f>
        <v>0</v>
      </c>
      <c r="H861" s="44">
        <f>G861*E849</f>
        <v>0</v>
      </c>
    </row>
    <row r="862" spans="1:11">
      <c r="A862" s="28"/>
      <c r="B862" s="29"/>
      <c r="C862" s="30" t="str">
        <f>IFERROR(_xlfn.XLOOKUP(B862,Transporte[DESCRIPCION],Transporte[UND],,0),"")</f>
        <v/>
      </c>
      <c r="D862" s="31"/>
      <c r="E862" s="32" t="str">
        <f>IFERROR(_xlfn.XLOOKUP($B862,Transporte[DESCRIPCION],Transporte[VALOR],,0),"")</f>
        <v/>
      </c>
      <c r="F862" s="33"/>
      <c r="G862" s="34" t="str">
        <f>IFERROR(IF(F862&gt;=0,D862*E862*(1+F862/100),ABS(D862*E862/F862)),"")</f>
        <v/>
      </c>
      <c r="H862" s="43" t="str">
        <f>IFERROR(G862*E849,"")</f>
        <v/>
      </c>
    </row>
    <row r="863" spans="1:11">
      <c r="A863" s="28"/>
      <c r="B863" s="29"/>
      <c r="C863" s="30" t="str">
        <f>IFERROR(_xlfn.XLOOKUP(B863,Transporte[DESCRIPCION],Transporte[UND],,0),"")</f>
        <v/>
      </c>
      <c r="D863" s="31"/>
      <c r="E863" s="32" t="str">
        <f>IFERROR(_xlfn.XLOOKUP($B863,Transporte[DESCRIPCION],Transporte[VALOR],,0),"")</f>
        <v/>
      </c>
      <c r="F863" s="33"/>
      <c r="G863" s="34" t="str">
        <f>IFERROR(IF(F863&gt;=0,D863*E863*(1+F863/100),ABS(D863*E863/F863)),"")</f>
        <v/>
      </c>
      <c r="H863" s="43" t="str">
        <f>IFERROR(G863*E849,"")</f>
        <v/>
      </c>
    </row>
    <row r="864" spans="1:11">
      <c r="A864" s="21"/>
      <c r="B864" s="22" t="s">
        <v>3732</v>
      </c>
      <c r="C864" s="23"/>
      <c r="D864" s="24"/>
      <c r="E864" s="25"/>
      <c r="F864" s="26"/>
      <c r="G864" s="27">
        <f>SUM(G865:G867)</f>
        <v>42209.869333125011</v>
      </c>
      <c r="H864" s="44">
        <f>G864*E849</f>
        <v>0</v>
      </c>
    </row>
    <row r="865" spans="1:11">
      <c r="A865" s="28"/>
      <c r="B865" s="29" t="s">
        <v>3715</v>
      </c>
      <c r="C865" s="30" t="str">
        <f>IFERROR(_xlfn.XLOOKUP(B865,MObra[DESCRIPCION],MObra[UN],,0),"")</f>
        <v>día</v>
      </c>
      <c r="D865" s="31">
        <v>1</v>
      </c>
      <c r="E865" s="32">
        <f>IFERROR(_xlfn.XLOOKUP($B865,MObra[DESCRIPCION],MObra[VALOR UNIT],,0),"")</f>
        <v>337678.95466500008</v>
      </c>
      <c r="F865" s="33">
        <v>-8</v>
      </c>
      <c r="G865" s="34">
        <f>IFERROR(IF(F865&gt;=0,D865*E865*(1+F865/100),ABS(D865*E865/F865)),"")</f>
        <v>42209.869333125011</v>
      </c>
      <c r="H865" s="43">
        <f>IFERROR(G865*E849,"")</f>
        <v>0</v>
      </c>
    </row>
    <row r="866" spans="1:11">
      <c r="A866" s="28"/>
      <c r="B866" s="29"/>
      <c r="C866" s="30" t="str">
        <f t="array" ref="C866">IFERROR(_xlfn.XLOOKUP(B866,MObra[[#All],[DESCRIPCION]],MObra[[#All],[UN]],,0),"")</f>
        <v/>
      </c>
      <c r="D866" s="31"/>
      <c r="E866" s="32" t="str">
        <f>IFERROR(_xlfn.XLOOKUP($B866,MObra[DESCRIPCION],MObra[VALOR UNIT],,0),"")</f>
        <v/>
      </c>
      <c r="F866" s="33"/>
      <c r="G866" s="34" t="str">
        <f>IFERROR(IF(F866&gt;=0,D866*E866*(1+F866/100),ABS(D866*E866/F866)),"")</f>
        <v/>
      </c>
      <c r="H866" s="43" t="str">
        <f>IFERROR(G866*E849,"")</f>
        <v/>
      </c>
    </row>
    <row r="867" spans="1:11">
      <c r="A867" s="35"/>
      <c r="B867" s="36"/>
      <c r="C867" s="37" t="str">
        <f t="array" ref="C867">IFERROR(_xlfn.XLOOKUP(B867,MObra[[#All],[DESCRIPCION]],MObra[[#All],[UN]],,0),"")</f>
        <v/>
      </c>
      <c r="D867" s="38"/>
      <c r="E867" s="39" t="str">
        <f>IFERROR(_xlfn.XLOOKUP($B867,MObra[DESCRIPCION],MObra[VALOR UNIT],,0),"")</f>
        <v/>
      </c>
      <c r="F867" s="40"/>
      <c r="G867" s="41" t="str">
        <f>IFERROR(IF(F867&gt;=0,D867*E867*(1+F867/100),ABS(D867*E867/F867)),"")</f>
        <v/>
      </c>
      <c r="H867" s="42" t="str">
        <f>IFERROR(G867*E849,"")</f>
        <v/>
      </c>
    </row>
    <row r="868" spans="1:11" ht="13.5" thickTop="1" thickBot="1"/>
    <row r="869" spans="1:11" ht="26.25" thickTop="1" thickBot="1">
      <c r="A869" s="6" t="s">
        <v>963</v>
      </c>
      <c r="B869" s="7" t="str">
        <f>VLOOKUP($A869,Presupuesto!$A:$D,2,FALSE())</f>
        <v>Luminaria Downligth tipo Spot redondo led 100-240 Vac, 5 W, 400 lm, eficacia&gt;= 65lm/W, VU 20000h@L70</v>
      </c>
      <c r="C869" s="8" t="str">
        <f>VLOOKUP($A869,Presupuesto!$A:$D,3,FALSE())</f>
        <v>Un</v>
      </c>
      <c r="D869" s="9"/>
      <c r="E869" s="10">
        <f>VLOOKUP($A869,Presupuesto!$A:$D,4,FALSE())</f>
        <v>0</v>
      </c>
      <c r="F869" s="11" t="s">
        <v>2589</v>
      </c>
      <c r="G869" s="12">
        <f>SUM(G871:G887)/2</f>
        <v>154895.60557310624</v>
      </c>
      <c r="H869" s="13">
        <f>ROUND(SUM(H871:H887),0)/2</f>
        <v>0</v>
      </c>
      <c r="I869" s="10">
        <f>VLOOKUP(A869,Presupuesto!$A:$F,6,0)</f>
        <v>0</v>
      </c>
      <c r="J869" s="10">
        <f>+H869-I869</f>
        <v>0</v>
      </c>
      <c r="K869" s="46">
        <f>+H869-G869*E869</f>
        <v>0</v>
      </c>
    </row>
    <row r="870" spans="1:11">
      <c r="A870" s="14"/>
      <c r="B870" s="15" t="s">
        <v>2586</v>
      </c>
      <c r="C870" s="15" t="s">
        <v>5</v>
      </c>
      <c r="D870" s="16" t="s">
        <v>6</v>
      </c>
      <c r="E870" s="17" t="s">
        <v>7</v>
      </c>
      <c r="F870" s="18" t="s">
        <v>3728</v>
      </c>
      <c r="G870" s="19" t="s">
        <v>3729</v>
      </c>
      <c r="H870" s="20" t="s">
        <v>3797</v>
      </c>
    </row>
    <row r="871" spans="1:11">
      <c r="A871" s="21"/>
      <c r="B871" s="22" t="s">
        <v>3730</v>
      </c>
      <c r="C871" s="23"/>
      <c r="D871" s="24"/>
      <c r="E871" s="25"/>
      <c r="F871" s="26"/>
      <c r="G871" s="27">
        <f>SUM(G872:G876)</f>
        <v>108886.848</v>
      </c>
      <c r="H871" s="27">
        <f>IFERROR(G871*E869,"")</f>
        <v>0</v>
      </c>
    </row>
    <row r="872" spans="1:11">
      <c r="A872" s="28"/>
      <c r="B872" s="29" t="s">
        <v>3113</v>
      </c>
      <c r="C872" s="30" t="str">
        <f>IFERROR(_xlfn.XLOOKUP(B872,Insumo[DESCRIPCION],Insumo[UND],,0),"")</f>
        <v>Un</v>
      </c>
      <c r="D872" s="31">
        <v>1</v>
      </c>
      <c r="E872" s="32">
        <f>IFERROR(_xlfn.XLOOKUP($B872,Insumo[DESCRIPCION],Insumo[VALOR],,0),"")</f>
        <v>95077.247999999992</v>
      </c>
      <c r="F872" s="33"/>
      <c r="G872" s="34">
        <f>IFERROR(IF(F872&gt;=0,D872*E872*(1+F872/100),ABS(D872*E872/F872)),"")</f>
        <v>95077.247999999992</v>
      </c>
      <c r="H872" s="43">
        <f>IFERROR(G872*E869,"")</f>
        <v>0</v>
      </c>
    </row>
    <row r="873" spans="1:11">
      <c r="A873" s="28"/>
      <c r="B873" s="29" t="s">
        <v>2800</v>
      </c>
      <c r="C873" s="30" t="str">
        <f>IFERROR(_xlfn.XLOOKUP(B873,Insumo[DESCRIPCION],Insumo[UND],,0),"")</f>
        <v>M</v>
      </c>
      <c r="D873" s="31">
        <v>1</v>
      </c>
      <c r="E873" s="32">
        <f>IFERROR(_xlfn.XLOOKUP($B873,Insumo[DESCRIPCION],Insumo[VALOR],,0),"")</f>
        <v>7387.8</v>
      </c>
      <c r="F873" s="33"/>
      <c r="G873" s="34">
        <f>IFERROR(IF(F873&gt;=0,D873*E873*(1+F873/100),ABS(D873*E873/F873)),"")</f>
        <v>7387.8</v>
      </c>
      <c r="H873" s="43">
        <f>IFERROR(G873*E869,"")</f>
        <v>0</v>
      </c>
    </row>
    <row r="874" spans="1:11">
      <c r="A874" s="28"/>
      <c r="B874" s="29" t="s">
        <v>2855</v>
      </c>
      <c r="C874" s="30" t="str">
        <f>IFERROR(_xlfn.XLOOKUP(B874,Insumo[DESCRIPCION],Insumo[UND],,0),"")</f>
        <v>Un</v>
      </c>
      <c r="D874" s="31">
        <v>1</v>
      </c>
      <c r="E874" s="32">
        <f>IFERROR(_xlfn.XLOOKUP($B874,Insumo[DESCRIPCION],Insumo[VALOR],,0),"")</f>
        <v>6421.8</v>
      </c>
      <c r="F874" s="33"/>
      <c r="G874" s="34">
        <f>IFERROR(IF(F874&gt;=0,D874*E874*(1+F874/100),ABS(D874*E874/F874)),"")</f>
        <v>6421.8</v>
      </c>
      <c r="H874" s="43">
        <f>IFERROR(G874*E869,"")</f>
        <v>0</v>
      </c>
    </row>
    <row r="875" spans="1:11">
      <c r="A875" s="28"/>
      <c r="B875" s="29"/>
      <c r="C875" s="30" t="str">
        <f>IFERROR(_xlfn.XLOOKUP(B875,Insumo[DESCRIPCION],Insumo[UND],,0),"")</f>
        <v/>
      </c>
      <c r="D875" s="31"/>
      <c r="E875" s="32" t="str">
        <f>IFERROR(_xlfn.XLOOKUP($B875,Insumo[DESCRIPCION],Insumo[VALOR],,0),"")</f>
        <v/>
      </c>
      <c r="F875" s="33"/>
      <c r="G875" s="34" t="str">
        <f>IFERROR(IF(F875&gt;=0,D875*E875*(1+F875/100),ABS(D875*E875/F875)),"")</f>
        <v/>
      </c>
      <c r="H875" s="43" t="str">
        <f>IFERROR(G875*E869,"")</f>
        <v/>
      </c>
    </row>
    <row r="876" spans="1:11">
      <c r="A876" s="28"/>
      <c r="B876" s="29"/>
      <c r="C876" s="30" t="str">
        <f>IFERROR(_xlfn.XLOOKUP(B876,Insumo[DESCRIPCION],Insumo[UND],,0),"")</f>
        <v/>
      </c>
      <c r="D876" s="31"/>
      <c r="E876" s="32" t="str">
        <f>IFERROR(_xlfn.XLOOKUP($B876,Insumo[DESCRIPCION],Insumo[VALOR],,0),"")</f>
        <v/>
      </c>
      <c r="F876" s="33"/>
      <c r="G876" s="34" t="str">
        <f>IFERROR(IF(F876&gt;=0,D876*E876*(1+F876/100),ABS(D876*E876/F876)),"")</f>
        <v/>
      </c>
      <c r="H876" s="43" t="str">
        <f>IFERROR(G876*E869,"")</f>
        <v/>
      </c>
    </row>
    <row r="877" spans="1:11">
      <c r="A877" s="21"/>
      <c r="B877" s="22" t="s">
        <v>3731</v>
      </c>
      <c r="C877" s="23"/>
      <c r="D877" s="24"/>
      <c r="E877" s="25"/>
      <c r="F877" s="26"/>
      <c r="G877" s="27">
        <f>SUM(G878:G880)</f>
        <v>3798.888239981251</v>
      </c>
      <c r="H877" s="44">
        <f>G877*E869</f>
        <v>0</v>
      </c>
    </row>
    <row r="878" spans="1:11">
      <c r="A878" s="28"/>
      <c r="B878" s="29" t="s">
        <v>3570</v>
      </c>
      <c r="C878" s="30" t="str">
        <f>IFERROR(_xlfn.XLOOKUP(B878,Equipo[DESCRIPCION],Equipo[UND],,0),"")</f>
        <v>%MO</v>
      </c>
      <c r="D878" s="31">
        <v>0.04</v>
      </c>
      <c r="E878" s="32">
        <f>IF(C878="%MO",G884,IFERROR(_xlfn.XLOOKUP($B878,Equipo[DESCRIPCION],Equipo[VALOR],,0),""))</f>
        <v>42209.869333125011</v>
      </c>
      <c r="F878" s="33"/>
      <c r="G878" s="34">
        <f>IFERROR(IF(F878&gt;=0,D878*E878*(1+F878/100),ABS(D878*E878/F878)),"")</f>
        <v>1688.3947733250004</v>
      </c>
      <c r="H878" s="43">
        <f>IFERROR(G878*E869,"")</f>
        <v>0</v>
      </c>
    </row>
    <row r="879" spans="1:11">
      <c r="A879" s="28"/>
      <c r="B879" s="29" t="s">
        <v>3626</v>
      </c>
      <c r="C879" s="30" t="str">
        <f>IFERROR(_xlfn.XLOOKUP(B879,Equipo[DESCRIPCION],Equipo[UND],,0),"")</f>
        <v>%MO</v>
      </c>
      <c r="D879" s="31">
        <v>0.05</v>
      </c>
      <c r="E879" s="32">
        <f>IF(C879="%MO",G884,IFERROR(_xlfn.XLOOKUP($B879,Equipo[DESCRIPCION],Equipo[VALOR],,0),""))</f>
        <v>42209.869333125011</v>
      </c>
      <c r="F879" s="33"/>
      <c r="G879" s="34">
        <f>IFERROR(IF(F879&gt;=0,D879*E879*(1+F879/100),ABS(D879*E879/F879)),"")</f>
        <v>2110.4934666562508</v>
      </c>
      <c r="H879" s="43">
        <f>IFERROR(G879*E869,"")</f>
        <v>0</v>
      </c>
    </row>
    <row r="880" spans="1:11">
      <c r="A880" s="28"/>
      <c r="B880" s="29"/>
      <c r="C880" s="30" t="str">
        <f>IFERROR(_xlfn.XLOOKUP(B880,Equipo[DESCRIPCION],Equipo[UND],,0),"")</f>
        <v/>
      </c>
      <c r="D880" s="31"/>
      <c r="E880" s="32" t="str">
        <f>IF(C880="%MO",G884,IFERROR(_xlfn.XLOOKUP($B880,Equipo[DESCRIPCION],Equipo[VALOR],,0),""))</f>
        <v/>
      </c>
      <c r="F880" s="33"/>
      <c r="G880" s="34" t="str">
        <f>IFERROR(IF(F880&gt;=0,D880*E880*(1+F880/100),ABS(D880*E880/F880)),"")</f>
        <v/>
      </c>
      <c r="H880" s="43" t="str">
        <f>IFERROR(G880*E869,"")</f>
        <v/>
      </c>
    </row>
    <row r="881" spans="1:11">
      <c r="A881" s="21"/>
      <c r="B881" s="22" t="s">
        <v>2533</v>
      </c>
      <c r="C881" s="23"/>
      <c r="D881" s="24"/>
      <c r="E881" s="25"/>
      <c r="F881" s="26"/>
      <c r="G881" s="27">
        <f>SUM(G882:G883)</f>
        <v>0</v>
      </c>
      <c r="H881" s="44">
        <f>G881*E869</f>
        <v>0</v>
      </c>
    </row>
    <row r="882" spans="1:11">
      <c r="A882" s="28"/>
      <c r="B882" s="29"/>
      <c r="C882" s="30" t="str">
        <f>IFERROR(_xlfn.XLOOKUP(B882,Transporte[DESCRIPCION],Transporte[UND],,0),"")</f>
        <v/>
      </c>
      <c r="D882" s="31"/>
      <c r="E882" s="32" t="str">
        <f>IFERROR(_xlfn.XLOOKUP($B882,Transporte[DESCRIPCION],Transporte[VALOR],,0),"")</f>
        <v/>
      </c>
      <c r="F882" s="33"/>
      <c r="G882" s="34" t="str">
        <f>IFERROR(IF(F882&gt;=0,D882*E882*(1+F882/100),ABS(D882*E882/F882)),"")</f>
        <v/>
      </c>
      <c r="H882" s="43" t="str">
        <f>IFERROR(G882*E869,"")</f>
        <v/>
      </c>
    </row>
    <row r="883" spans="1:11">
      <c r="A883" s="28"/>
      <c r="B883" s="29"/>
      <c r="C883" s="30" t="str">
        <f>IFERROR(_xlfn.XLOOKUP(B883,Transporte[DESCRIPCION],Transporte[UND],,0),"")</f>
        <v/>
      </c>
      <c r="D883" s="31"/>
      <c r="E883" s="32" t="str">
        <f>IFERROR(_xlfn.XLOOKUP($B883,Transporte[DESCRIPCION],Transporte[VALOR],,0),"")</f>
        <v/>
      </c>
      <c r="F883" s="33"/>
      <c r="G883" s="34" t="str">
        <f>IFERROR(IF(F883&gt;=0,D883*E883*(1+F883/100),ABS(D883*E883/F883)),"")</f>
        <v/>
      </c>
      <c r="H883" s="43" t="str">
        <f>IFERROR(G883*E869,"")</f>
        <v/>
      </c>
    </row>
    <row r="884" spans="1:11">
      <c r="A884" s="21"/>
      <c r="B884" s="22" t="s">
        <v>3732</v>
      </c>
      <c r="C884" s="23"/>
      <c r="D884" s="24"/>
      <c r="E884" s="25"/>
      <c r="F884" s="26"/>
      <c r="G884" s="27">
        <f>SUM(G885:G887)</f>
        <v>42209.869333125011</v>
      </c>
      <c r="H884" s="44">
        <f>G884*E869</f>
        <v>0</v>
      </c>
    </row>
    <row r="885" spans="1:11">
      <c r="A885" s="28"/>
      <c r="B885" s="29" t="s">
        <v>3715</v>
      </c>
      <c r="C885" s="30" t="str">
        <f>IFERROR(_xlfn.XLOOKUP(B885,MObra[DESCRIPCION],MObra[UN],,0),"")</f>
        <v>día</v>
      </c>
      <c r="D885" s="31">
        <v>1</v>
      </c>
      <c r="E885" s="32">
        <f>IFERROR(_xlfn.XLOOKUP($B885,MObra[DESCRIPCION],MObra[VALOR UNIT],,0),"")</f>
        <v>337678.95466500008</v>
      </c>
      <c r="F885" s="33">
        <v>-8</v>
      </c>
      <c r="G885" s="34">
        <f>IFERROR(IF(F885&gt;=0,D885*E885*(1+F885/100),ABS(D885*E885/F885)),"")</f>
        <v>42209.869333125011</v>
      </c>
      <c r="H885" s="43">
        <f>IFERROR(G885*E869,"")</f>
        <v>0</v>
      </c>
    </row>
    <row r="886" spans="1:11">
      <c r="A886" s="28"/>
      <c r="B886" s="29"/>
      <c r="C886" s="30" t="str">
        <f t="array" ref="C886">IFERROR(_xlfn.XLOOKUP(B886,MObra[[#All],[DESCRIPCION]],MObra[[#All],[UN]],,0),"")</f>
        <v/>
      </c>
      <c r="D886" s="31"/>
      <c r="E886" s="32" t="str">
        <f>IFERROR(_xlfn.XLOOKUP($B886,MObra[DESCRIPCION],MObra[VALOR UNIT],,0),"")</f>
        <v/>
      </c>
      <c r="F886" s="33"/>
      <c r="G886" s="34" t="str">
        <f>IFERROR(IF(F886&gt;=0,D886*E886*(1+F886/100),ABS(D886*E886/F886)),"")</f>
        <v/>
      </c>
      <c r="H886" s="43" t="str">
        <f>IFERROR(G886*E869,"")</f>
        <v/>
      </c>
    </row>
    <row r="887" spans="1:11">
      <c r="A887" s="35"/>
      <c r="B887" s="36"/>
      <c r="C887" s="37" t="str">
        <f t="array" ref="C887">IFERROR(_xlfn.XLOOKUP(B887,MObra[[#All],[DESCRIPCION]],MObra[[#All],[UN]],,0),"")</f>
        <v/>
      </c>
      <c r="D887" s="38"/>
      <c r="E887" s="39" t="str">
        <f>IFERROR(_xlfn.XLOOKUP($B887,MObra[DESCRIPCION],MObra[VALOR UNIT],,0),"")</f>
        <v/>
      </c>
      <c r="F887" s="40"/>
      <c r="G887" s="41" t="str">
        <f>IFERROR(IF(F887&gt;=0,D887*E887*(1+F887/100),ABS(D887*E887/F887)),"")</f>
        <v/>
      </c>
      <c r="H887" s="42" t="str">
        <f>IFERROR(G887*E869,"")</f>
        <v/>
      </c>
    </row>
    <row r="888" spans="1:11" ht="13.5" thickTop="1" thickBot="1"/>
    <row r="889" spans="1:11" ht="39" thickTop="1" thickBot="1">
      <c r="A889" s="6" t="s">
        <v>965</v>
      </c>
      <c r="B889" s="7" t="str">
        <f>VLOOKUP($A889,Presupuesto!$A:$D,2,FALSE())</f>
        <v>Luminaria panel LED diámetro 22,5 cm con driver independiente. Montaje de incrustar en cielo raso. 100-277 Vac, 1650 Lm, 24W, eficacia 70 Lm/W, 4000K, IRC &gt;70</v>
      </c>
      <c r="C889" s="8" t="str">
        <f>VLOOKUP($A889,Presupuesto!$A:$D,3,FALSE())</f>
        <v>Un</v>
      </c>
      <c r="D889" s="9"/>
      <c r="E889" s="10">
        <f>VLOOKUP($A889,Presupuesto!$A:$D,4,FALSE())</f>
        <v>0</v>
      </c>
      <c r="F889" s="11" t="s">
        <v>2589</v>
      </c>
      <c r="G889" s="12">
        <f>SUM(G891:G907)/2</f>
        <v>156234.22432310626</v>
      </c>
      <c r="H889" s="13">
        <f>ROUND(SUM(H891:H907),0)/2</f>
        <v>0</v>
      </c>
      <c r="I889" s="10">
        <f>VLOOKUP(A889,Presupuesto!$A:$F,6,0)</f>
        <v>0</v>
      </c>
      <c r="J889" s="10">
        <f>+H889-I889</f>
        <v>0</v>
      </c>
      <c r="K889" s="46">
        <f>+H889-G889*E889</f>
        <v>0</v>
      </c>
    </row>
    <row r="890" spans="1:11">
      <c r="A890" s="14"/>
      <c r="B890" s="15" t="s">
        <v>2586</v>
      </c>
      <c r="C890" s="15" t="s">
        <v>5</v>
      </c>
      <c r="D890" s="16" t="s">
        <v>6</v>
      </c>
      <c r="E890" s="17" t="s">
        <v>7</v>
      </c>
      <c r="F890" s="18" t="s">
        <v>3728</v>
      </c>
      <c r="G890" s="19" t="s">
        <v>3729</v>
      </c>
      <c r="H890" s="20" t="s">
        <v>3797</v>
      </c>
    </row>
    <row r="891" spans="1:11">
      <c r="A891" s="21"/>
      <c r="B891" s="22" t="s">
        <v>3730</v>
      </c>
      <c r="C891" s="23"/>
      <c r="D891" s="24"/>
      <c r="E891" s="25"/>
      <c r="F891" s="26"/>
      <c r="G891" s="27">
        <f>SUM(G892:G896)</f>
        <v>110225.46675000001</v>
      </c>
      <c r="H891" s="27">
        <f>IFERROR(G891*E889,"")</f>
        <v>0</v>
      </c>
    </row>
    <row r="892" spans="1:11" ht="38.25">
      <c r="A892" s="28"/>
      <c r="B892" s="29" t="s">
        <v>3117</v>
      </c>
      <c r="C892" s="30" t="str">
        <f>IFERROR(_xlfn.XLOOKUP(B892,Insumo[DESCRIPCION],Insumo[UND],,0),"")</f>
        <v>Un</v>
      </c>
      <c r="D892" s="31">
        <v>1</v>
      </c>
      <c r="E892" s="32">
        <f>IFERROR(_xlfn.XLOOKUP($B892,Insumo[DESCRIPCION],Insumo[VALOR],,0),"")</f>
        <v>96415.866750000001</v>
      </c>
      <c r="F892" s="33"/>
      <c r="G892" s="34">
        <f>IFERROR(IF(F892&gt;=0,D892*E892*(1+F892/100),ABS(D892*E892/F892)),"")</f>
        <v>96415.866750000001</v>
      </c>
      <c r="H892" s="43">
        <f>IFERROR(G892*E889,"")</f>
        <v>0</v>
      </c>
    </row>
    <row r="893" spans="1:11">
      <c r="A893" s="28"/>
      <c r="B893" s="29" t="s">
        <v>2800</v>
      </c>
      <c r="C893" s="30" t="str">
        <f>IFERROR(_xlfn.XLOOKUP(B893,Insumo[DESCRIPCION],Insumo[UND],,0),"")</f>
        <v>M</v>
      </c>
      <c r="D893" s="31">
        <v>1</v>
      </c>
      <c r="E893" s="32">
        <f>IFERROR(_xlfn.XLOOKUP($B893,Insumo[DESCRIPCION],Insumo[VALOR],,0),"")</f>
        <v>7387.8</v>
      </c>
      <c r="F893" s="33"/>
      <c r="G893" s="34">
        <f>IFERROR(IF(F893&gt;=0,D893*E893*(1+F893/100),ABS(D893*E893/F893)),"")</f>
        <v>7387.8</v>
      </c>
      <c r="H893" s="43">
        <f>IFERROR(G893*E889,"")</f>
        <v>0</v>
      </c>
    </row>
    <row r="894" spans="1:11">
      <c r="A894" s="28"/>
      <c r="B894" s="29" t="s">
        <v>2855</v>
      </c>
      <c r="C894" s="30" t="str">
        <f>IFERROR(_xlfn.XLOOKUP(B894,Insumo[DESCRIPCION],Insumo[UND],,0),"")</f>
        <v>Un</v>
      </c>
      <c r="D894" s="31">
        <v>1</v>
      </c>
      <c r="E894" s="32">
        <f>IFERROR(_xlfn.XLOOKUP($B894,Insumo[DESCRIPCION],Insumo[VALOR],,0),"")</f>
        <v>6421.8</v>
      </c>
      <c r="F894" s="33"/>
      <c r="G894" s="34">
        <f>IFERROR(IF(F894&gt;=0,D894*E894*(1+F894/100),ABS(D894*E894/F894)),"")</f>
        <v>6421.8</v>
      </c>
      <c r="H894" s="43">
        <f>IFERROR(G894*E889,"")</f>
        <v>0</v>
      </c>
    </row>
    <row r="895" spans="1:11">
      <c r="A895" s="28"/>
      <c r="B895" s="29"/>
      <c r="C895" s="30" t="str">
        <f>IFERROR(_xlfn.XLOOKUP(B895,Insumo[DESCRIPCION],Insumo[UND],,0),"")</f>
        <v/>
      </c>
      <c r="D895" s="31"/>
      <c r="E895" s="32" t="str">
        <f>IFERROR(_xlfn.XLOOKUP($B895,Insumo[DESCRIPCION],Insumo[VALOR],,0),"")</f>
        <v/>
      </c>
      <c r="F895" s="33"/>
      <c r="G895" s="34" t="str">
        <f>IFERROR(IF(F895&gt;=0,D895*E895*(1+F895/100),ABS(D895*E895/F895)),"")</f>
        <v/>
      </c>
      <c r="H895" s="43" t="str">
        <f>IFERROR(G895*E889,"")</f>
        <v/>
      </c>
    </row>
    <row r="896" spans="1:11">
      <c r="A896" s="28"/>
      <c r="B896" s="29"/>
      <c r="C896" s="30" t="str">
        <f>IFERROR(_xlfn.XLOOKUP(B896,Insumo[DESCRIPCION],Insumo[UND],,0),"")</f>
        <v/>
      </c>
      <c r="D896" s="31"/>
      <c r="E896" s="32" t="str">
        <f>IFERROR(_xlfn.XLOOKUP($B896,Insumo[DESCRIPCION],Insumo[VALOR],,0),"")</f>
        <v/>
      </c>
      <c r="F896" s="33"/>
      <c r="G896" s="34" t="str">
        <f>IFERROR(IF(F896&gt;=0,D896*E896*(1+F896/100),ABS(D896*E896/F896)),"")</f>
        <v/>
      </c>
      <c r="H896" s="43" t="str">
        <f>IFERROR(G896*E889,"")</f>
        <v/>
      </c>
    </row>
    <row r="897" spans="1:11">
      <c r="A897" s="21"/>
      <c r="B897" s="22" t="s">
        <v>3731</v>
      </c>
      <c r="C897" s="23"/>
      <c r="D897" s="24"/>
      <c r="E897" s="25"/>
      <c r="F897" s="26"/>
      <c r="G897" s="27">
        <f>SUM(G898:G900)</f>
        <v>3798.888239981251</v>
      </c>
      <c r="H897" s="44">
        <f>G897*E889</f>
        <v>0</v>
      </c>
    </row>
    <row r="898" spans="1:11">
      <c r="A898" s="28"/>
      <c r="B898" s="29" t="s">
        <v>3570</v>
      </c>
      <c r="C898" s="30" t="str">
        <f>IFERROR(_xlfn.XLOOKUP(B898,Equipo[DESCRIPCION],Equipo[UND],,0),"")</f>
        <v>%MO</v>
      </c>
      <c r="D898" s="31">
        <v>0.04</v>
      </c>
      <c r="E898" s="32">
        <f>IF(C898="%MO",G904,IFERROR(_xlfn.XLOOKUP($B898,Equipo[DESCRIPCION],Equipo[VALOR],,0),""))</f>
        <v>42209.869333125011</v>
      </c>
      <c r="F898" s="33"/>
      <c r="G898" s="34">
        <f>IFERROR(IF(F898&gt;=0,D898*E898*(1+F898/100),ABS(D898*E898/F898)),"")</f>
        <v>1688.3947733250004</v>
      </c>
      <c r="H898" s="43">
        <f>IFERROR(G898*E889,"")</f>
        <v>0</v>
      </c>
    </row>
    <row r="899" spans="1:11">
      <c r="A899" s="28"/>
      <c r="B899" s="29" t="s">
        <v>3626</v>
      </c>
      <c r="C899" s="30" t="str">
        <f>IFERROR(_xlfn.XLOOKUP(B899,Equipo[DESCRIPCION],Equipo[UND],,0),"")</f>
        <v>%MO</v>
      </c>
      <c r="D899" s="31">
        <v>0.05</v>
      </c>
      <c r="E899" s="32">
        <f>IF(C899="%MO",G904,IFERROR(_xlfn.XLOOKUP($B899,Equipo[DESCRIPCION],Equipo[VALOR],,0),""))</f>
        <v>42209.869333125011</v>
      </c>
      <c r="F899" s="33"/>
      <c r="G899" s="34">
        <f>IFERROR(IF(F899&gt;=0,D899*E899*(1+F899/100),ABS(D899*E899/F899)),"")</f>
        <v>2110.4934666562508</v>
      </c>
      <c r="H899" s="43">
        <f>IFERROR(G899*E889,"")</f>
        <v>0</v>
      </c>
    </row>
    <row r="900" spans="1:11">
      <c r="A900" s="28"/>
      <c r="B900" s="29"/>
      <c r="C900" s="30" t="str">
        <f>IFERROR(_xlfn.XLOOKUP(B900,Equipo[DESCRIPCION],Equipo[UND],,0),"")</f>
        <v/>
      </c>
      <c r="D900" s="31"/>
      <c r="E900" s="32" t="str">
        <f>IF(C900="%MO",G904,IFERROR(_xlfn.XLOOKUP($B900,Equipo[DESCRIPCION],Equipo[VALOR],,0),""))</f>
        <v/>
      </c>
      <c r="F900" s="33"/>
      <c r="G900" s="34" t="str">
        <f>IFERROR(IF(F900&gt;=0,D900*E900*(1+F900/100),ABS(D900*E900/F900)),"")</f>
        <v/>
      </c>
      <c r="H900" s="43" t="str">
        <f>IFERROR(G900*E889,"")</f>
        <v/>
      </c>
    </row>
    <row r="901" spans="1:11">
      <c r="A901" s="21"/>
      <c r="B901" s="22" t="s">
        <v>2533</v>
      </c>
      <c r="C901" s="23"/>
      <c r="D901" s="24"/>
      <c r="E901" s="25"/>
      <c r="F901" s="26"/>
      <c r="G901" s="27">
        <f>SUM(G902:G903)</f>
        <v>0</v>
      </c>
      <c r="H901" s="44">
        <f>G901*E889</f>
        <v>0</v>
      </c>
    </row>
    <row r="902" spans="1:11">
      <c r="A902" s="28"/>
      <c r="B902" s="29"/>
      <c r="C902" s="30" t="str">
        <f>IFERROR(_xlfn.XLOOKUP(B902,Transporte[DESCRIPCION],Transporte[UND],,0),"")</f>
        <v/>
      </c>
      <c r="D902" s="31"/>
      <c r="E902" s="32" t="str">
        <f>IFERROR(_xlfn.XLOOKUP($B902,Transporte[DESCRIPCION],Transporte[VALOR],,0),"")</f>
        <v/>
      </c>
      <c r="F902" s="33"/>
      <c r="G902" s="34" t="str">
        <f>IFERROR(IF(F902&gt;=0,D902*E902*(1+F902/100),ABS(D902*E902/F902)),"")</f>
        <v/>
      </c>
      <c r="H902" s="43" t="str">
        <f>IFERROR(G902*E889,"")</f>
        <v/>
      </c>
    </row>
    <row r="903" spans="1:11">
      <c r="A903" s="28"/>
      <c r="B903" s="29"/>
      <c r="C903" s="30" t="str">
        <f>IFERROR(_xlfn.XLOOKUP(B903,Transporte[DESCRIPCION],Transporte[UND],,0),"")</f>
        <v/>
      </c>
      <c r="D903" s="31"/>
      <c r="E903" s="32" t="str">
        <f>IFERROR(_xlfn.XLOOKUP($B903,Transporte[DESCRIPCION],Transporte[VALOR],,0),"")</f>
        <v/>
      </c>
      <c r="F903" s="33"/>
      <c r="G903" s="34" t="str">
        <f>IFERROR(IF(F903&gt;=0,D903*E903*(1+F903/100),ABS(D903*E903/F903)),"")</f>
        <v/>
      </c>
      <c r="H903" s="43" t="str">
        <f>IFERROR(G903*E889,"")</f>
        <v/>
      </c>
    </row>
    <row r="904" spans="1:11">
      <c r="A904" s="21"/>
      <c r="B904" s="22" t="s">
        <v>3732</v>
      </c>
      <c r="C904" s="23"/>
      <c r="D904" s="24"/>
      <c r="E904" s="25"/>
      <c r="F904" s="26"/>
      <c r="G904" s="27">
        <f>SUM(G905:G907)</f>
        <v>42209.869333125011</v>
      </c>
      <c r="H904" s="44">
        <f>G904*E889</f>
        <v>0</v>
      </c>
    </row>
    <row r="905" spans="1:11">
      <c r="A905" s="28"/>
      <c r="B905" s="29" t="s">
        <v>3715</v>
      </c>
      <c r="C905" s="30" t="str">
        <f>IFERROR(_xlfn.XLOOKUP(B905,MObra[DESCRIPCION],MObra[UN],,0),"")</f>
        <v>día</v>
      </c>
      <c r="D905" s="31">
        <v>1</v>
      </c>
      <c r="E905" s="32">
        <f>IFERROR(_xlfn.XLOOKUP($B905,MObra[DESCRIPCION],MObra[VALOR UNIT],,0),"")</f>
        <v>337678.95466500008</v>
      </c>
      <c r="F905" s="33">
        <v>-8</v>
      </c>
      <c r="G905" s="34">
        <f>IFERROR(IF(F905&gt;=0,D905*E905*(1+F905/100),ABS(D905*E905/F905)),"")</f>
        <v>42209.869333125011</v>
      </c>
      <c r="H905" s="43">
        <f>IFERROR(G905*E889,"")</f>
        <v>0</v>
      </c>
    </row>
    <row r="906" spans="1:11">
      <c r="A906" s="28"/>
      <c r="B906" s="29"/>
      <c r="C906" s="30" t="str">
        <f t="array" ref="C906">IFERROR(_xlfn.XLOOKUP(B906,MObra[[#All],[DESCRIPCION]],MObra[[#All],[UN]],,0),"")</f>
        <v/>
      </c>
      <c r="D906" s="31"/>
      <c r="E906" s="32" t="str">
        <f>IFERROR(_xlfn.XLOOKUP($B906,MObra[DESCRIPCION],MObra[VALOR UNIT],,0),"")</f>
        <v/>
      </c>
      <c r="F906" s="33"/>
      <c r="G906" s="34" t="str">
        <f>IFERROR(IF(F906&gt;=0,D906*E906*(1+F906/100),ABS(D906*E906/F906)),"")</f>
        <v/>
      </c>
      <c r="H906" s="43" t="str">
        <f>IFERROR(G906*E889,"")</f>
        <v/>
      </c>
    </row>
    <row r="907" spans="1:11">
      <c r="A907" s="35"/>
      <c r="B907" s="36"/>
      <c r="C907" s="37" t="str">
        <f t="array" ref="C907">IFERROR(_xlfn.XLOOKUP(B907,MObra[[#All],[DESCRIPCION]],MObra[[#All],[UN]],,0),"")</f>
        <v/>
      </c>
      <c r="D907" s="38"/>
      <c r="E907" s="39" t="str">
        <f>IFERROR(_xlfn.XLOOKUP($B907,MObra[DESCRIPCION],MObra[VALOR UNIT],,0),"")</f>
        <v/>
      </c>
      <c r="F907" s="40"/>
      <c r="G907" s="41" t="str">
        <f>IFERROR(IF(F907&gt;=0,D907*E907*(1+F907/100),ABS(D907*E907/F907)),"")</f>
        <v/>
      </c>
      <c r="H907" s="42" t="str">
        <f>IFERROR(G907*E889,"")</f>
        <v/>
      </c>
    </row>
    <row r="909" spans="1:11" ht="38.25">
      <c r="A909" s="6" t="s">
        <v>967</v>
      </c>
      <c r="B909" s="7" t="str">
        <f>VLOOKUP($A909,Presupuesto!$A:$D,2,FALSE())</f>
        <v>Luminaria panel LED diámetro 22,5 cm, con driver independiente. Montaje de incrustar en cielo raso. 100-277 Vac, 1260 Lm, 18W, eficacia 70 Lm/W, 4000K, IRC &gt;70</v>
      </c>
      <c r="C909" s="8" t="str">
        <f>VLOOKUP($A909,Presupuesto!$A:$D,3,FALSE())</f>
        <v>Un</v>
      </c>
      <c r="D909" s="9"/>
      <c r="E909" s="10">
        <f>VLOOKUP($A909,Presupuesto!$A:$D,4,FALSE())</f>
        <v>0</v>
      </c>
      <c r="F909" s="11" t="s">
        <v>2589</v>
      </c>
      <c r="G909" s="12">
        <f>SUM(G911:G927)/2</f>
        <v>147493.35757310624</v>
      </c>
      <c r="H909" s="13">
        <f>ROUND(SUM(H911:H927),0)/2</f>
        <v>0</v>
      </c>
      <c r="I909" s="10">
        <f>VLOOKUP(A909,Presupuesto!$A:$F,6,0)</f>
        <v>0</v>
      </c>
      <c r="J909" s="10">
        <f>+H909-I909</f>
        <v>0</v>
      </c>
      <c r="K909" s="46">
        <f>+H909-G909*E909</f>
        <v>0</v>
      </c>
    </row>
    <row r="910" spans="1:11">
      <c r="A910" s="14"/>
      <c r="B910" s="15" t="s">
        <v>2586</v>
      </c>
      <c r="C910" s="15" t="s">
        <v>5</v>
      </c>
      <c r="D910" s="16" t="s">
        <v>6</v>
      </c>
      <c r="E910" s="17" t="s">
        <v>7</v>
      </c>
      <c r="F910" s="18" t="s">
        <v>3728</v>
      </c>
      <c r="G910" s="19" t="s">
        <v>3729</v>
      </c>
      <c r="H910" s="20" t="s">
        <v>3797</v>
      </c>
    </row>
    <row r="911" spans="1:11">
      <c r="A911" s="21"/>
      <c r="B911" s="22" t="s">
        <v>3730</v>
      </c>
      <c r="C911" s="23"/>
      <c r="D911" s="24"/>
      <c r="E911" s="25"/>
      <c r="F911" s="26"/>
      <c r="G911" s="27">
        <f>SUM(G912:G916)</f>
        <v>101484.6</v>
      </c>
      <c r="H911" s="27">
        <f>IFERROR(G911*E909,"")</f>
        <v>0</v>
      </c>
    </row>
    <row r="912" spans="1:11" ht="38.25">
      <c r="A912" s="28"/>
      <c r="B912" s="29" t="s">
        <v>3118</v>
      </c>
      <c r="C912" s="30" t="str">
        <f>IFERROR(_xlfn.XLOOKUP(B912,Insumo[DESCRIPCION],Insumo[UND],,0),"")</f>
        <v>Un</v>
      </c>
      <c r="D912" s="31">
        <v>1</v>
      </c>
      <c r="E912" s="32">
        <f>IFERROR(_xlfn.XLOOKUP($B912,Insumo[DESCRIPCION],Insumo[VALOR],,0),"")</f>
        <v>87675</v>
      </c>
      <c r="F912" s="33"/>
      <c r="G912" s="34">
        <f>IFERROR(IF(F912&gt;=0,D912*E912*(1+F912/100),ABS(D912*E912/F912)),"")</f>
        <v>87675</v>
      </c>
      <c r="H912" s="43">
        <f>IFERROR(G912*E909,"")</f>
        <v>0</v>
      </c>
    </row>
    <row r="913" spans="1:8">
      <c r="A913" s="28"/>
      <c r="B913" s="29" t="s">
        <v>2800</v>
      </c>
      <c r="C913" s="30" t="str">
        <f>IFERROR(_xlfn.XLOOKUP(B913,Insumo[DESCRIPCION],Insumo[UND],,0),"")</f>
        <v>M</v>
      </c>
      <c r="D913" s="31">
        <v>1</v>
      </c>
      <c r="E913" s="32">
        <f>IFERROR(_xlfn.XLOOKUP($B913,Insumo[DESCRIPCION],Insumo[VALOR],,0),"")</f>
        <v>7387.8</v>
      </c>
      <c r="F913" s="33"/>
      <c r="G913" s="34">
        <f>IFERROR(IF(F913&gt;=0,D913*E913*(1+F913/100),ABS(D913*E913/F913)),"")</f>
        <v>7387.8</v>
      </c>
      <c r="H913" s="43">
        <f>IFERROR(G913*E909,"")</f>
        <v>0</v>
      </c>
    </row>
    <row r="914" spans="1:8">
      <c r="A914" s="28"/>
      <c r="B914" s="29" t="s">
        <v>2855</v>
      </c>
      <c r="C914" s="30" t="str">
        <f>IFERROR(_xlfn.XLOOKUP(B914,Insumo[DESCRIPCION],Insumo[UND],,0),"")</f>
        <v>Un</v>
      </c>
      <c r="D914" s="31">
        <v>1</v>
      </c>
      <c r="E914" s="32">
        <f>IFERROR(_xlfn.XLOOKUP($B914,Insumo[DESCRIPCION],Insumo[VALOR],,0),"")</f>
        <v>6421.8</v>
      </c>
      <c r="F914" s="33"/>
      <c r="G914" s="34">
        <f>IFERROR(IF(F914&gt;=0,D914*E914*(1+F914/100),ABS(D914*E914/F914)),"")</f>
        <v>6421.8</v>
      </c>
      <c r="H914" s="43">
        <f>IFERROR(G914*E909,"")</f>
        <v>0</v>
      </c>
    </row>
    <row r="915" spans="1:8">
      <c r="A915" s="28"/>
      <c r="B915" s="29"/>
      <c r="C915" s="30" t="str">
        <f>IFERROR(_xlfn.XLOOKUP(B915,Insumo[DESCRIPCION],Insumo[UND],,0),"")</f>
        <v/>
      </c>
      <c r="D915" s="31"/>
      <c r="E915" s="32" t="str">
        <f>IFERROR(_xlfn.XLOOKUP($B915,Insumo[DESCRIPCION],Insumo[VALOR],,0),"")</f>
        <v/>
      </c>
      <c r="F915" s="33"/>
      <c r="G915" s="34" t="str">
        <f>IFERROR(IF(F915&gt;=0,D915*E915*(1+F915/100),ABS(D915*E915/F915)),"")</f>
        <v/>
      </c>
      <c r="H915" s="43" t="str">
        <f>IFERROR(G915*E909,"")</f>
        <v/>
      </c>
    </row>
    <row r="916" spans="1:8">
      <c r="A916" s="28"/>
      <c r="B916" s="29"/>
      <c r="C916" s="30" t="str">
        <f>IFERROR(_xlfn.XLOOKUP(B916,Insumo[DESCRIPCION],Insumo[UND],,0),"")</f>
        <v/>
      </c>
      <c r="D916" s="31"/>
      <c r="E916" s="32" t="str">
        <f>IFERROR(_xlfn.XLOOKUP($B916,Insumo[DESCRIPCION],Insumo[VALOR],,0),"")</f>
        <v/>
      </c>
      <c r="F916" s="33"/>
      <c r="G916" s="34" t="str">
        <f>IFERROR(IF(F916&gt;=0,D916*E916*(1+F916/100),ABS(D916*E916/F916)),"")</f>
        <v/>
      </c>
      <c r="H916" s="43" t="str">
        <f>IFERROR(G916*E909,"")</f>
        <v/>
      </c>
    </row>
    <row r="917" spans="1:8">
      <c r="A917" s="21"/>
      <c r="B917" s="22" t="s">
        <v>3731</v>
      </c>
      <c r="C917" s="23"/>
      <c r="D917" s="24"/>
      <c r="E917" s="25"/>
      <c r="F917" s="26"/>
      <c r="G917" s="27">
        <f>SUM(G918:G920)</f>
        <v>3798.888239981251</v>
      </c>
      <c r="H917" s="44">
        <f>G917*E909</f>
        <v>0</v>
      </c>
    </row>
    <row r="918" spans="1:8">
      <c r="A918" s="28"/>
      <c r="B918" s="29" t="s">
        <v>3570</v>
      </c>
      <c r="C918" s="30" t="str">
        <f>IFERROR(_xlfn.XLOOKUP(B918,Equipo[DESCRIPCION],Equipo[UND],,0),"")</f>
        <v>%MO</v>
      </c>
      <c r="D918" s="31">
        <v>0.04</v>
      </c>
      <c r="E918" s="32">
        <f>IF(C918="%MO",G924,IFERROR(_xlfn.XLOOKUP($B918,Equipo[DESCRIPCION],Equipo[VALOR],,0),""))</f>
        <v>42209.869333125011</v>
      </c>
      <c r="F918" s="33"/>
      <c r="G918" s="34">
        <f>IFERROR(IF(F918&gt;=0,D918*E918*(1+F918/100),ABS(D918*E918/F918)),"")</f>
        <v>1688.3947733250004</v>
      </c>
      <c r="H918" s="43">
        <f>IFERROR(G918*E909,"")</f>
        <v>0</v>
      </c>
    </row>
    <row r="919" spans="1:8">
      <c r="A919" s="28"/>
      <c r="B919" s="29" t="s">
        <v>3626</v>
      </c>
      <c r="C919" s="30" t="str">
        <f>IFERROR(_xlfn.XLOOKUP(B919,Equipo[DESCRIPCION],Equipo[UND],,0),"")</f>
        <v>%MO</v>
      </c>
      <c r="D919" s="31">
        <v>0.05</v>
      </c>
      <c r="E919" s="32">
        <f>IF(C919="%MO",G924,IFERROR(_xlfn.XLOOKUP($B919,Equipo[DESCRIPCION],Equipo[VALOR],,0),""))</f>
        <v>42209.869333125011</v>
      </c>
      <c r="F919" s="33"/>
      <c r="G919" s="34">
        <f>IFERROR(IF(F919&gt;=0,D919*E919*(1+F919/100),ABS(D919*E919/F919)),"")</f>
        <v>2110.4934666562508</v>
      </c>
      <c r="H919" s="43">
        <f>IFERROR(G919*E909,"")</f>
        <v>0</v>
      </c>
    </row>
    <row r="920" spans="1:8">
      <c r="A920" s="28"/>
      <c r="B920" s="29"/>
      <c r="C920" s="30" t="str">
        <f>IFERROR(_xlfn.XLOOKUP(B920,Equipo[DESCRIPCION],Equipo[UND],,0),"")</f>
        <v/>
      </c>
      <c r="D920" s="31"/>
      <c r="E920" s="32" t="str">
        <f>IF(C920="%MO",G924,IFERROR(_xlfn.XLOOKUP($B920,Equipo[DESCRIPCION],Equipo[VALOR],,0),""))</f>
        <v/>
      </c>
      <c r="F920" s="33"/>
      <c r="G920" s="34" t="str">
        <f>IFERROR(IF(F920&gt;=0,D920*E920*(1+F920/100),ABS(D920*E920/F920)),"")</f>
        <v/>
      </c>
      <c r="H920" s="43" t="str">
        <f>IFERROR(G920*E909,"")</f>
        <v/>
      </c>
    </row>
    <row r="921" spans="1:8">
      <c r="A921" s="21"/>
      <c r="B921" s="22" t="s">
        <v>2533</v>
      </c>
      <c r="C921" s="23"/>
      <c r="D921" s="24"/>
      <c r="E921" s="25"/>
      <c r="F921" s="26"/>
      <c r="G921" s="27">
        <f>SUM(G922:G923)</f>
        <v>0</v>
      </c>
      <c r="H921" s="44">
        <f>G921*E909</f>
        <v>0</v>
      </c>
    </row>
    <row r="922" spans="1:8">
      <c r="A922" s="28"/>
      <c r="B922" s="29"/>
      <c r="C922" s="30" t="str">
        <f>IFERROR(_xlfn.XLOOKUP(B922,Transporte[DESCRIPCION],Transporte[UND],,0),"")</f>
        <v/>
      </c>
      <c r="D922" s="31"/>
      <c r="E922" s="32" t="str">
        <f>IFERROR(_xlfn.XLOOKUP($B922,Transporte[DESCRIPCION],Transporte[VALOR],,0),"")</f>
        <v/>
      </c>
      <c r="F922" s="33"/>
      <c r="G922" s="34" t="str">
        <f>IFERROR(IF(F922&gt;=0,D922*E922*(1+F922/100),ABS(D922*E922/F922)),"")</f>
        <v/>
      </c>
      <c r="H922" s="43" t="str">
        <f>IFERROR(G922*E909,"")</f>
        <v/>
      </c>
    </row>
    <row r="923" spans="1:8">
      <c r="A923" s="28"/>
      <c r="B923" s="29"/>
      <c r="C923" s="30" t="str">
        <f>IFERROR(_xlfn.XLOOKUP(B923,Transporte[DESCRIPCION],Transporte[UND],,0),"")</f>
        <v/>
      </c>
      <c r="D923" s="31"/>
      <c r="E923" s="32" t="str">
        <f>IFERROR(_xlfn.XLOOKUP($B923,Transporte[DESCRIPCION],Transporte[VALOR],,0),"")</f>
        <v/>
      </c>
      <c r="F923" s="33"/>
      <c r="G923" s="34" t="str">
        <f>IFERROR(IF(F923&gt;=0,D923*E923*(1+F923/100),ABS(D923*E923/F923)),"")</f>
        <v/>
      </c>
      <c r="H923" s="43" t="str">
        <f>IFERROR(G923*E909,"")</f>
        <v/>
      </c>
    </row>
    <row r="924" spans="1:8">
      <c r="A924" s="21"/>
      <c r="B924" s="22" t="s">
        <v>3732</v>
      </c>
      <c r="C924" s="23"/>
      <c r="D924" s="24"/>
      <c r="E924" s="25"/>
      <c r="F924" s="26"/>
      <c r="G924" s="27">
        <f>SUM(G925:G927)</f>
        <v>42209.869333125011</v>
      </c>
      <c r="H924" s="44">
        <f>G924*E909</f>
        <v>0</v>
      </c>
    </row>
    <row r="925" spans="1:8">
      <c r="A925" s="28"/>
      <c r="B925" s="29" t="s">
        <v>3715</v>
      </c>
      <c r="C925" s="30" t="str">
        <f>IFERROR(_xlfn.XLOOKUP(B925,MObra[DESCRIPCION],MObra[UN],,0),"")</f>
        <v>día</v>
      </c>
      <c r="D925" s="31">
        <v>1</v>
      </c>
      <c r="E925" s="32">
        <f>IFERROR(_xlfn.XLOOKUP($B925,MObra[DESCRIPCION],MObra[VALOR UNIT],,0),"")</f>
        <v>337678.95466500008</v>
      </c>
      <c r="F925" s="33">
        <v>-8</v>
      </c>
      <c r="G925" s="34">
        <f>IFERROR(IF(F925&gt;=0,D925*E925*(1+F925/100),ABS(D925*E925/F925)),"")</f>
        <v>42209.869333125011</v>
      </c>
      <c r="H925" s="43">
        <f>IFERROR(G925*E909,"")</f>
        <v>0</v>
      </c>
    </row>
    <row r="926" spans="1:8">
      <c r="A926" s="28"/>
      <c r="B926" s="29"/>
      <c r="C926" s="30" t="str">
        <f t="array" ref="C926">IFERROR(_xlfn.XLOOKUP(B926,MObra[[#All],[DESCRIPCION]],MObra[[#All],[UN]],,0),"")</f>
        <v/>
      </c>
      <c r="D926" s="31"/>
      <c r="E926" s="32" t="str">
        <f>IFERROR(_xlfn.XLOOKUP($B926,MObra[DESCRIPCION],MObra[VALOR UNIT],,0),"")</f>
        <v/>
      </c>
      <c r="F926" s="33"/>
      <c r="G926" s="34" t="str">
        <f>IFERROR(IF(F926&gt;=0,D926*E926*(1+F926/100),ABS(D926*E926/F926)),"")</f>
        <v/>
      </c>
      <c r="H926" s="43" t="str">
        <f>IFERROR(G926*E909,"")</f>
        <v/>
      </c>
    </row>
    <row r="927" spans="1:8">
      <c r="A927" s="35"/>
      <c r="B927" s="36"/>
      <c r="C927" s="37" t="str">
        <f t="array" ref="C927">IFERROR(_xlfn.XLOOKUP(B927,MObra[[#All],[DESCRIPCION]],MObra[[#All],[UN]],,0),"")</f>
        <v/>
      </c>
      <c r="D927" s="38"/>
      <c r="E927" s="39" t="str">
        <f>IFERROR(_xlfn.XLOOKUP($B927,MObra[DESCRIPCION],MObra[VALOR UNIT],,0),"")</f>
        <v/>
      </c>
      <c r="F927" s="40"/>
      <c r="G927" s="41" t="str">
        <f>IFERROR(IF(F927&gt;=0,D927*E927*(1+F927/100),ABS(D927*E927/F927)),"")</f>
        <v/>
      </c>
      <c r="H927" s="42" t="str">
        <f>IFERROR(G927*E909,"")</f>
        <v/>
      </c>
    </row>
    <row r="929" spans="1:11" ht="38.25">
      <c r="A929" s="6" t="s">
        <v>969</v>
      </c>
      <c r="B929" s="7" t="str">
        <f>VLOOKUP($A929,Presupuesto!$A:$D,2,FALSE())</f>
        <v>Luminaria panel LED diámetro 22,5 cm, con driver independiente. Montaje de sobreponer, 100-277 Vac, 1650 Lm, 24W, eficacia 70 Lm/W, 4000K, IRC &gt;70</v>
      </c>
      <c r="C929" s="8" t="str">
        <f>VLOOKUP($A929,Presupuesto!$A:$D,3,FALSE())</f>
        <v>Un</v>
      </c>
      <c r="D929" s="9"/>
      <c r="E929" s="10">
        <f>VLOOKUP($A929,Presupuesto!$A:$D,4,FALSE())</f>
        <v>0</v>
      </c>
      <c r="F929" s="11" t="s">
        <v>2589</v>
      </c>
      <c r="G929" s="12">
        <f>SUM(G931:G947)/2</f>
        <v>151122.14014831668</v>
      </c>
      <c r="H929" s="13">
        <f>ROUND(SUM(H931:H947),0)/2</f>
        <v>0</v>
      </c>
      <c r="I929" s="10">
        <f>VLOOKUP(A929,Presupuesto!$A:$F,6,0)</f>
        <v>0</v>
      </c>
      <c r="J929" s="10">
        <f>+H929-I929</f>
        <v>0</v>
      </c>
      <c r="K929" s="46">
        <f>+H929-G929*E929</f>
        <v>0</v>
      </c>
    </row>
    <row r="930" spans="1:11">
      <c r="A930" s="14"/>
      <c r="B930" s="15" t="s">
        <v>2586</v>
      </c>
      <c r="C930" s="15" t="s">
        <v>5</v>
      </c>
      <c r="D930" s="16" t="s">
        <v>6</v>
      </c>
      <c r="E930" s="17" t="s">
        <v>7</v>
      </c>
      <c r="F930" s="18" t="s">
        <v>3728</v>
      </c>
      <c r="G930" s="19" t="s">
        <v>3729</v>
      </c>
      <c r="H930" s="20" t="s">
        <v>3797</v>
      </c>
    </row>
    <row r="931" spans="1:11">
      <c r="A931" s="21"/>
      <c r="B931" s="22" t="s">
        <v>3730</v>
      </c>
      <c r="C931" s="23"/>
      <c r="D931" s="24"/>
      <c r="E931" s="25"/>
      <c r="F931" s="26"/>
      <c r="G931" s="27">
        <f>SUM(G932:G936)</f>
        <v>110225.46675000001</v>
      </c>
      <c r="H931" s="27">
        <f>IFERROR(G931*E929,"")</f>
        <v>0</v>
      </c>
    </row>
    <row r="932" spans="1:11" ht="38.25">
      <c r="A932" s="28"/>
      <c r="B932" s="29" t="s">
        <v>3117</v>
      </c>
      <c r="C932" s="30" t="str">
        <f>IFERROR(_xlfn.XLOOKUP(B932,Insumo[DESCRIPCION],Insumo[UND],,0),"")</f>
        <v>Un</v>
      </c>
      <c r="D932" s="31">
        <v>1</v>
      </c>
      <c r="E932" s="32">
        <f>IFERROR(_xlfn.XLOOKUP($B932,Insumo[DESCRIPCION],Insumo[VALOR],,0),"")</f>
        <v>96415.866750000001</v>
      </c>
      <c r="F932" s="33"/>
      <c r="G932" s="34">
        <f>IFERROR(IF(F932&gt;=0,D932*E932*(1+F932/100),ABS(D932*E932/F932)),"")</f>
        <v>96415.866750000001</v>
      </c>
      <c r="H932" s="43">
        <f>IFERROR(G932*E929,"")</f>
        <v>0</v>
      </c>
    </row>
    <row r="933" spans="1:11">
      <c r="A933" s="28"/>
      <c r="B933" s="29" t="s">
        <v>2800</v>
      </c>
      <c r="C933" s="30" t="str">
        <f>IFERROR(_xlfn.XLOOKUP(B933,Insumo[DESCRIPCION],Insumo[UND],,0),"")</f>
        <v>M</v>
      </c>
      <c r="D933" s="31">
        <v>1</v>
      </c>
      <c r="E933" s="32">
        <f>IFERROR(_xlfn.XLOOKUP($B933,Insumo[DESCRIPCION],Insumo[VALOR],,0),"")</f>
        <v>7387.8</v>
      </c>
      <c r="F933" s="33"/>
      <c r="G933" s="34">
        <f>IFERROR(IF(F933&gt;=0,D933*E933*(1+F933/100),ABS(D933*E933/F933)),"")</f>
        <v>7387.8</v>
      </c>
      <c r="H933" s="43">
        <f>IFERROR(G933*E929,"")</f>
        <v>0</v>
      </c>
    </row>
    <row r="934" spans="1:11">
      <c r="A934" s="28"/>
      <c r="B934" s="29" t="s">
        <v>2855</v>
      </c>
      <c r="C934" s="30" t="str">
        <f>IFERROR(_xlfn.XLOOKUP(B934,Insumo[DESCRIPCION],Insumo[UND],,0),"")</f>
        <v>Un</v>
      </c>
      <c r="D934" s="31">
        <v>1</v>
      </c>
      <c r="E934" s="32">
        <f>IFERROR(_xlfn.XLOOKUP($B934,Insumo[DESCRIPCION],Insumo[VALOR],,0),"")</f>
        <v>6421.8</v>
      </c>
      <c r="F934" s="33"/>
      <c r="G934" s="34">
        <f>IFERROR(IF(F934&gt;=0,D934*E934*(1+F934/100),ABS(D934*E934/F934)),"")</f>
        <v>6421.8</v>
      </c>
      <c r="H934" s="43">
        <f>IFERROR(G934*E929,"")</f>
        <v>0</v>
      </c>
    </row>
    <row r="935" spans="1:11">
      <c r="A935" s="28"/>
      <c r="B935" s="29"/>
      <c r="C935" s="30" t="str">
        <f>IFERROR(_xlfn.XLOOKUP(B935,Insumo[DESCRIPCION],Insumo[UND],,0),"")</f>
        <v/>
      </c>
      <c r="D935" s="31"/>
      <c r="E935" s="32" t="str">
        <f>IFERROR(_xlfn.XLOOKUP($B935,Insumo[DESCRIPCION],Insumo[VALOR],,0),"")</f>
        <v/>
      </c>
      <c r="F935" s="33"/>
      <c r="G935" s="34" t="str">
        <f>IFERROR(IF(F935&gt;=0,D935*E935*(1+F935/100),ABS(D935*E935/F935)),"")</f>
        <v/>
      </c>
      <c r="H935" s="43" t="str">
        <f>IFERROR(G935*E929,"")</f>
        <v/>
      </c>
    </row>
    <row r="936" spans="1:11">
      <c r="A936" s="28"/>
      <c r="B936" s="29"/>
      <c r="C936" s="30" t="str">
        <f>IFERROR(_xlfn.XLOOKUP(B936,Insumo[DESCRIPCION],Insumo[UND],,0),"")</f>
        <v/>
      </c>
      <c r="D936" s="31"/>
      <c r="E936" s="32" t="str">
        <f>IFERROR(_xlfn.XLOOKUP($B936,Insumo[DESCRIPCION],Insumo[VALOR],,0),"")</f>
        <v/>
      </c>
      <c r="F936" s="33"/>
      <c r="G936" s="34" t="str">
        <f>IFERROR(IF(F936&gt;=0,D936*E936*(1+F936/100),ABS(D936*E936/F936)),"")</f>
        <v/>
      </c>
      <c r="H936" s="43" t="str">
        <f>IFERROR(G936*E929,"")</f>
        <v/>
      </c>
    </row>
    <row r="937" spans="1:11">
      <c r="A937" s="21"/>
      <c r="B937" s="22" t="s">
        <v>3731</v>
      </c>
      <c r="C937" s="23"/>
      <c r="D937" s="24"/>
      <c r="E937" s="25"/>
      <c r="F937" s="26"/>
      <c r="G937" s="27">
        <f>SUM(G938:G940)</f>
        <v>3376.7895466500004</v>
      </c>
      <c r="H937" s="44">
        <f>G937*E929</f>
        <v>0</v>
      </c>
    </row>
    <row r="938" spans="1:11">
      <c r="A938" s="28"/>
      <c r="B938" s="29" t="s">
        <v>3570</v>
      </c>
      <c r="C938" s="30" t="str">
        <f>IFERROR(_xlfn.XLOOKUP(B938,Equipo[DESCRIPCION],Equipo[UND],,0),"")</f>
        <v>%MO</v>
      </c>
      <c r="D938" s="31">
        <v>0.04</v>
      </c>
      <c r="E938" s="32">
        <f>IF(C938="%MO",G944,IFERROR(_xlfn.XLOOKUP($B938,Equipo[DESCRIPCION],Equipo[VALOR],,0),""))</f>
        <v>37519.883851666673</v>
      </c>
      <c r="F938" s="33"/>
      <c r="G938" s="34">
        <f>IFERROR(IF(F938&gt;=0,D938*E938*(1+F938/100),ABS(D938*E938/F938)),"")</f>
        <v>1500.795354066667</v>
      </c>
      <c r="H938" s="43">
        <f>IFERROR(G938*E929,"")</f>
        <v>0</v>
      </c>
    </row>
    <row r="939" spans="1:11">
      <c r="A939" s="28"/>
      <c r="B939" s="29" t="s">
        <v>3626</v>
      </c>
      <c r="C939" s="30" t="str">
        <f>IFERROR(_xlfn.XLOOKUP(B939,Equipo[DESCRIPCION],Equipo[UND],,0),"")</f>
        <v>%MO</v>
      </c>
      <c r="D939" s="31">
        <v>0.05</v>
      </c>
      <c r="E939" s="32">
        <f>IF(C939="%MO",G944,IFERROR(_xlfn.XLOOKUP($B939,Equipo[DESCRIPCION],Equipo[VALOR],,0),""))</f>
        <v>37519.883851666673</v>
      </c>
      <c r="F939" s="33"/>
      <c r="G939" s="34">
        <f>IFERROR(IF(F939&gt;=0,D939*E939*(1+F939/100),ABS(D939*E939/F939)),"")</f>
        <v>1875.9941925833336</v>
      </c>
      <c r="H939" s="43">
        <f>IFERROR(G939*E929,"")</f>
        <v>0</v>
      </c>
    </row>
    <row r="940" spans="1:11">
      <c r="A940" s="28"/>
      <c r="B940" s="29"/>
      <c r="C940" s="30" t="str">
        <f>IFERROR(_xlfn.XLOOKUP(B940,Equipo[DESCRIPCION],Equipo[UND],,0),"")</f>
        <v/>
      </c>
      <c r="D940" s="31"/>
      <c r="E940" s="32" t="str">
        <f>IF(C940="%MO",G944,IFERROR(_xlfn.XLOOKUP($B940,Equipo[DESCRIPCION],Equipo[VALOR],,0),""))</f>
        <v/>
      </c>
      <c r="F940" s="33"/>
      <c r="G940" s="34" t="str">
        <f>IFERROR(IF(F940&gt;=0,D940*E940*(1+F940/100),ABS(D940*E940/F940)),"")</f>
        <v/>
      </c>
      <c r="H940" s="43" t="str">
        <f>IFERROR(G940*E929,"")</f>
        <v/>
      </c>
    </row>
    <row r="941" spans="1:11">
      <c r="A941" s="21"/>
      <c r="B941" s="22" t="s">
        <v>2533</v>
      </c>
      <c r="C941" s="23"/>
      <c r="D941" s="24"/>
      <c r="E941" s="25"/>
      <c r="F941" s="26"/>
      <c r="G941" s="27">
        <f>SUM(G942:G943)</f>
        <v>0</v>
      </c>
      <c r="H941" s="44">
        <f>G941*E929</f>
        <v>0</v>
      </c>
    </row>
    <row r="942" spans="1:11">
      <c r="A942" s="28"/>
      <c r="B942" s="29"/>
      <c r="C942" s="30" t="str">
        <f>IFERROR(_xlfn.XLOOKUP(B942,Transporte[DESCRIPCION],Transporte[UND],,0),"")</f>
        <v/>
      </c>
      <c r="D942" s="31"/>
      <c r="E942" s="32" t="str">
        <f>IFERROR(_xlfn.XLOOKUP($B942,Transporte[DESCRIPCION],Transporte[VALOR],,0),"")</f>
        <v/>
      </c>
      <c r="F942" s="33"/>
      <c r="G942" s="34" t="str">
        <f>IFERROR(IF(F942&gt;=0,D942*E942*(1+F942/100),ABS(D942*E942/F942)),"")</f>
        <v/>
      </c>
      <c r="H942" s="43" t="str">
        <f>IFERROR(G942*E929,"")</f>
        <v/>
      </c>
    </row>
    <row r="943" spans="1:11">
      <c r="A943" s="28"/>
      <c r="B943" s="29"/>
      <c r="C943" s="30" t="str">
        <f>IFERROR(_xlfn.XLOOKUP(B943,Transporte[DESCRIPCION],Transporte[UND],,0),"")</f>
        <v/>
      </c>
      <c r="D943" s="31"/>
      <c r="E943" s="32" t="str">
        <f>IFERROR(_xlfn.XLOOKUP($B943,Transporte[DESCRIPCION],Transporte[VALOR],,0),"")</f>
        <v/>
      </c>
      <c r="F943" s="33"/>
      <c r="G943" s="34" t="str">
        <f>IFERROR(IF(F943&gt;=0,D943*E943*(1+F943/100),ABS(D943*E943/F943)),"")</f>
        <v/>
      </c>
      <c r="H943" s="43" t="str">
        <f>IFERROR(G943*E929,"")</f>
        <v/>
      </c>
    </row>
    <row r="944" spans="1:11">
      <c r="A944" s="21"/>
      <c r="B944" s="22" t="s">
        <v>3732</v>
      </c>
      <c r="C944" s="23"/>
      <c r="D944" s="24"/>
      <c r="E944" s="25"/>
      <c r="F944" s="26"/>
      <c r="G944" s="27">
        <f>SUM(G945:G947)</f>
        <v>37519.883851666673</v>
      </c>
      <c r="H944" s="44">
        <f>G944*E929</f>
        <v>0</v>
      </c>
    </row>
    <row r="945" spans="1:11">
      <c r="A945" s="28"/>
      <c r="B945" s="29" t="s">
        <v>3715</v>
      </c>
      <c r="C945" s="30" t="str">
        <f>IFERROR(_xlfn.XLOOKUP(B945,MObra[DESCRIPCION],MObra[UN],,0),"")</f>
        <v>día</v>
      </c>
      <c r="D945" s="31">
        <v>1</v>
      </c>
      <c r="E945" s="32">
        <f>IFERROR(_xlfn.XLOOKUP($B945,MObra[DESCRIPCION],MObra[VALOR UNIT],,0),"")</f>
        <v>337678.95466500008</v>
      </c>
      <c r="F945" s="33">
        <v>-9</v>
      </c>
      <c r="G945" s="34">
        <f>IFERROR(IF(F945&gt;=0,D945*E945*(1+F945/100),ABS(D945*E945/F945)),"")</f>
        <v>37519.883851666673</v>
      </c>
      <c r="H945" s="43">
        <f>IFERROR(G945*E929,"")</f>
        <v>0</v>
      </c>
    </row>
    <row r="946" spans="1:11">
      <c r="A946" s="28"/>
      <c r="B946" s="29"/>
      <c r="C946" s="30" t="str">
        <f t="array" ref="C946">IFERROR(_xlfn.XLOOKUP(B946,MObra[[#All],[DESCRIPCION]],MObra[[#All],[UN]],,0),"")</f>
        <v/>
      </c>
      <c r="D946" s="31"/>
      <c r="E946" s="32" t="str">
        <f>IFERROR(_xlfn.XLOOKUP($B946,MObra[DESCRIPCION],MObra[VALOR UNIT],,0),"")</f>
        <v/>
      </c>
      <c r="F946" s="33"/>
      <c r="G946" s="34" t="str">
        <f>IFERROR(IF(F946&gt;=0,D946*E946*(1+F946/100),ABS(D946*E946/F946)),"")</f>
        <v/>
      </c>
      <c r="H946" s="43" t="str">
        <f>IFERROR(G946*E929,"")</f>
        <v/>
      </c>
    </row>
    <row r="947" spans="1:11">
      <c r="A947" s="35"/>
      <c r="B947" s="36"/>
      <c r="C947" s="37" t="str">
        <f t="array" ref="C947">IFERROR(_xlfn.XLOOKUP(B947,MObra[[#All],[DESCRIPCION]],MObra[[#All],[UN]],,0),"")</f>
        <v/>
      </c>
      <c r="D947" s="38"/>
      <c r="E947" s="39" t="str">
        <f>IFERROR(_xlfn.XLOOKUP($B947,MObra[DESCRIPCION],MObra[VALOR UNIT],,0),"")</f>
        <v/>
      </c>
      <c r="F947" s="40"/>
      <c r="G947" s="41" t="str">
        <f>IFERROR(IF(F947&gt;=0,D947*E947*(1+F947/100),ABS(D947*E947/F947)),"")</f>
        <v/>
      </c>
      <c r="H947" s="42" t="str">
        <f>IFERROR(G947*E929,"")</f>
        <v/>
      </c>
    </row>
    <row r="949" spans="1:11" ht="38.25">
      <c r="A949" s="6" t="s">
        <v>971</v>
      </c>
      <c r="B949" s="7" t="str">
        <f>VLOOKUP($A949,Presupuesto!$A:$D,2,FALSE())</f>
        <v>Luminaria panel LED diámetro 22,5 cm, con driver independiente. Montaje de sobreponer. 100-277 Vac, 1260 Lm, 18W, eficacia 70 Lm/W, 4000K, IRC &gt;70</v>
      </c>
      <c r="C949" s="8" t="str">
        <f>VLOOKUP($A949,Presupuesto!$A:$D,3,FALSE())</f>
        <v>Un</v>
      </c>
      <c r="D949" s="9"/>
      <c r="E949" s="10">
        <f>VLOOKUP($A949,Presupuesto!$A:$D,4,FALSE())</f>
        <v>0</v>
      </c>
      <c r="F949" s="11" t="s">
        <v>2589</v>
      </c>
      <c r="G949" s="12">
        <f>SUM(G951:G967)/2</f>
        <v>147493.35757310624</v>
      </c>
      <c r="H949" s="13">
        <f>ROUND(SUM(H951:H967),0)/2</f>
        <v>0</v>
      </c>
      <c r="I949" s="10">
        <f>VLOOKUP(A949,Presupuesto!$A:$F,6,0)</f>
        <v>0</v>
      </c>
      <c r="J949" s="10">
        <f>+H949-I949</f>
        <v>0</v>
      </c>
      <c r="K949" s="46">
        <f>+H949-G949*E949</f>
        <v>0</v>
      </c>
    </row>
    <row r="950" spans="1:11">
      <c r="A950" s="14"/>
      <c r="B950" s="15" t="s">
        <v>2586</v>
      </c>
      <c r="C950" s="15" t="s">
        <v>5</v>
      </c>
      <c r="D950" s="16" t="s">
        <v>6</v>
      </c>
      <c r="E950" s="17" t="s">
        <v>7</v>
      </c>
      <c r="F950" s="18" t="s">
        <v>3728</v>
      </c>
      <c r="G950" s="19" t="s">
        <v>3729</v>
      </c>
      <c r="H950" s="20" t="s">
        <v>3797</v>
      </c>
    </row>
    <row r="951" spans="1:11">
      <c r="A951" s="21"/>
      <c r="B951" s="22" t="s">
        <v>3730</v>
      </c>
      <c r="C951" s="23"/>
      <c r="D951" s="24"/>
      <c r="E951" s="25"/>
      <c r="F951" s="26"/>
      <c r="G951" s="27">
        <f>SUM(G952:G956)</f>
        <v>101484.6</v>
      </c>
      <c r="H951" s="27">
        <f>IFERROR(G951*E949,"")</f>
        <v>0</v>
      </c>
    </row>
    <row r="952" spans="1:11" ht="38.25">
      <c r="A952" s="28"/>
      <c r="B952" s="29" t="s">
        <v>3118</v>
      </c>
      <c r="C952" s="30" t="str">
        <f>IFERROR(_xlfn.XLOOKUP(B952,Insumo[DESCRIPCION],Insumo[UND],,0),"")</f>
        <v>Un</v>
      </c>
      <c r="D952" s="31">
        <v>1</v>
      </c>
      <c r="E952" s="32">
        <f>IFERROR(_xlfn.XLOOKUP($B952,Insumo[DESCRIPCION],Insumo[VALOR],,0),"")</f>
        <v>87675</v>
      </c>
      <c r="F952" s="33"/>
      <c r="G952" s="34">
        <f>IFERROR(IF(F952&gt;=0,D952*E952*(1+F952/100),ABS(D952*E952/F952)),"")</f>
        <v>87675</v>
      </c>
      <c r="H952" s="43">
        <f>IFERROR(G952*E949,"")</f>
        <v>0</v>
      </c>
    </row>
    <row r="953" spans="1:11">
      <c r="A953" s="28"/>
      <c r="B953" s="29" t="s">
        <v>2800</v>
      </c>
      <c r="C953" s="30" t="str">
        <f>IFERROR(_xlfn.XLOOKUP(B953,Insumo[DESCRIPCION],Insumo[UND],,0),"")</f>
        <v>M</v>
      </c>
      <c r="D953" s="31">
        <v>1</v>
      </c>
      <c r="E953" s="32">
        <f>IFERROR(_xlfn.XLOOKUP($B953,Insumo[DESCRIPCION],Insumo[VALOR],,0),"")</f>
        <v>7387.8</v>
      </c>
      <c r="F953" s="33"/>
      <c r="G953" s="34">
        <f>IFERROR(IF(F953&gt;=0,D953*E953*(1+F953/100),ABS(D953*E953/F953)),"")</f>
        <v>7387.8</v>
      </c>
      <c r="H953" s="43">
        <f>IFERROR(G953*E949,"")</f>
        <v>0</v>
      </c>
    </row>
    <row r="954" spans="1:11">
      <c r="A954" s="28"/>
      <c r="B954" s="29" t="s">
        <v>2855</v>
      </c>
      <c r="C954" s="30" t="str">
        <f>IFERROR(_xlfn.XLOOKUP(B954,Insumo[DESCRIPCION],Insumo[UND],,0),"")</f>
        <v>Un</v>
      </c>
      <c r="D954" s="31">
        <v>1</v>
      </c>
      <c r="E954" s="32">
        <f>IFERROR(_xlfn.XLOOKUP($B954,Insumo[DESCRIPCION],Insumo[VALOR],,0),"")</f>
        <v>6421.8</v>
      </c>
      <c r="F954" s="33"/>
      <c r="G954" s="34">
        <f>IFERROR(IF(F954&gt;=0,D954*E954*(1+F954/100),ABS(D954*E954/F954)),"")</f>
        <v>6421.8</v>
      </c>
      <c r="H954" s="43">
        <f>IFERROR(G954*E949,"")</f>
        <v>0</v>
      </c>
    </row>
    <row r="955" spans="1:11">
      <c r="A955" s="28"/>
      <c r="B955" s="29"/>
      <c r="C955" s="30" t="str">
        <f>IFERROR(_xlfn.XLOOKUP(B955,Insumo[DESCRIPCION],Insumo[UND],,0),"")</f>
        <v/>
      </c>
      <c r="D955" s="31"/>
      <c r="E955" s="32" t="str">
        <f>IFERROR(_xlfn.XLOOKUP($B955,Insumo[DESCRIPCION],Insumo[VALOR],,0),"")</f>
        <v/>
      </c>
      <c r="F955" s="33"/>
      <c r="G955" s="34" t="str">
        <f>IFERROR(IF(F955&gt;=0,D955*E955*(1+F955/100),ABS(D955*E955/F955)),"")</f>
        <v/>
      </c>
      <c r="H955" s="43" t="str">
        <f>IFERROR(G955*E949,"")</f>
        <v/>
      </c>
    </row>
    <row r="956" spans="1:11">
      <c r="A956" s="28"/>
      <c r="B956" s="29"/>
      <c r="C956" s="30" t="str">
        <f>IFERROR(_xlfn.XLOOKUP(B956,Insumo[DESCRIPCION],Insumo[UND],,0),"")</f>
        <v/>
      </c>
      <c r="D956" s="31"/>
      <c r="E956" s="32" t="str">
        <f>IFERROR(_xlfn.XLOOKUP($B956,Insumo[DESCRIPCION],Insumo[VALOR],,0),"")</f>
        <v/>
      </c>
      <c r="F956" s="33"/>
      <c r="G956" s="34" t="str">
        <f>IFERROR(IF(F956&gt;=0,D956*E956*(1+F956/100),ABS(D956*E956/F956)),"")</f>
        <v/>
      </c>
      <c r="H956" s="43" t="str">
        <f>IFERROR(G956*E949,"")</f>
        <v/>
      </c>
    </row>
    <row r="957" spans="1:11">
      <c r="A957" s="21"/>
      <c r="B957" s="22" t="s">
        <v>3731</v>
      </c>
      <c r="C957" s="23"/>
      <c r="D957" s="24"/>
      <c r="E957" s="25"/>
      <c r="F957" s="26"/>
      <c r="G957" s="27">
        <f>SUM(G958:G960)</f>
        <v>3798.888239981251</v>
      </c>
      <c r="H957" s="44">
        <f>G957*E949</f>
        <v>0</v>
      </c>
    </row>
    <row r="958" spans="1:11">
      <c r="A958" s="28"/>
      <c r="B958" s="29" t="s">
        <v>3570</v>
      </c>
      <c r="C958" s="30" t="str">
        <f>IFERROR(_xlfn.XLOOKUP(B958,Equipo[DESCRIPCION],Equipo[UND],,0),"")</f>
        <v>%MO</v>
      </c>
      <c r="D958" s="31">
        <v>0.04</v>
      </c>
      <c r="E958" s="32">
        <f>IF(C958="%MO",G964,IFERROR(_xlfn.XLOOKUP($B958,Equipo[DESCRIPCION],Equipo[VALOR],,0),""))</f>
        <v>42209.869333125011</v>
      </c>
      <c r="F958" s="33"/>
      <c r="G958" s="34">
        <f>IFERROR(IF(F958&gt;=0,D958*E958*(1+F958/100),ABS(D958*E958/F958)),"")</f>
        <v>1688.3947733250004</v>
      </c>
      <c r="H958" s="43">
        <f>IFERROR(G958*E949,"")</f>
        <v>0</v>
      </c>
    </row>
    <row r="959" spans="1:11">
      <c r="A959" s="28"/>
      <c r="B959" s="29" t="s">
        <v>3626</v>
      </c>
      <c r="C959" s="30" t="str">
        <f>IFERROR(_xlfn.XLOOKUP(B959,Equipo[DESCRIPCION],Equipo[UND],,0),"")</f>
        <v>%MO</v>
      </c>
      <c r="D959" s="31">
        <v>0.05</v>
      </c>
      <c r="E959" s="32">
        <f>IF(C959="%MO",G964,IFERROR(_xlfn.XLOOKUP($B959,Equipo[DESCRIPCION],Equipo[VALOR],,0),""))</f>
        <v>42209.869333125011</v>
      </c>
      <c r="F959" s="33"/>
      <c r="G959" s="34">
        <f>IFERROR(IF(F959&gt;=0,D959*E959*(1+F959/100),ABS(D959*E959/F959)),"")</f>
        <v>2110.4934666562508</v>
      </c>
      <c r="H959" s="43">
        <f>IFERROR(G959*E949,"")</f>
        <v>0</v>
      </c>
    </row>
    <row r="960" spans="1:11">
      <c r="A960" s="28"/>
      <c r="B960" s="29"/>
      <c r="C960" s="30" t="str">
        <f>IFERROR(_xlfn.XLOOKUP(B960,Equipo[DESCRIPCION],Equipo[UND],,0),"")</f>
        <v/>
      </c>
      <c r="D960" s="31"/>
      <c r="E960" s="32" t="str">
        <f>IF(C960="%MO",G964,IFERROR(_xlfn.XLOOKUP($B960,Equipo[DESCRIPCION],Equipo[VALOR],,0),""))</f>
        <v/>
      </c>
      <c r="F960" s="33"/>
      <c r="G960" s="34" t="str">
        <f>IFERROR(IF(F960&gt;=0,D960*E960*(1+F960/100),ABS(D960*E960/F960)),"")</f>
        <v/>
      </c>
      <c r="H960" s="43" t="str">
        <f>IFERROR(G960*E949,"")</f>
        <v/>
      </c>
    </row>
    <row r="961" spans="1:11">
      <c r="A961" s="21"/>
      <c r="B961" s="22" t="s">
        <v>2533</v>
      </c>
      <c r="C961" s="23"/>
      <c r="D961" s="24"/>
      <c r="E961" s="25"/>
      <c r="F961" s="26"/>
      <c r="G961" s="27">
        <f>SUM(G962:G963)</f>
        <v>0</v>
      </c>
      <c r="H961" s="44">
        <f>G961*E949</f>
        <v>0</v>
      </c>
    </row>
    <row r="962" spans="1:11">
      <c r="A962" s="28"/>
      <c r="B962" s="29"/>
      <c r="C962" s="30" t="str">
        <f>IFERROR(_xlfn.XLOOKUP(B962,Transporte[DESCRIPCION],Transporte[UND],,0),"")</f>
        <v/>
      </c>
      <c r="D962" s="31"/>
      <c r="E962" s="32" t="str">
        <f>IFERROR(_xlfn.XLOOKUP($B962,Transporte[DESCRIPCION],Transporte[VALOR],,0),"")</f>
        <v/>
      </c>
      <c r="F962" s="33"/>
      <c r="G962" s="34" t="str">
        <f>IFERROR(IF(F962&gt;=0,D962*E962*(1+F962/100),ABS(D962*E962/F962)),"")</f>
        <v/>
      </c>
      <c r="H962" s="43" t="str">
        <f>IFERROR(G962*E949,"")</f>
        <v/>
      </c>
    </row>
    <row r="963" spans="1:11">
      <c r="A963" s="28"/>
      <c r="B963" s="29"/>
      <c r="C963" s="30" t="str">
        <f>IFERROR(_xlfn.XLOOKUP(B963,Transporte[DESCRIPCION],Transporte[UND],,0),"")</f>
        <v/>
      </c>
      <c r="D963" s="31"/>
      <c r="E963" s="32" t="str">
        <f>IFERROR(_xlfn.XLOOKUP($B963,Transporte[DESCRIPCION],Transporte[VALOR],,0),"")</f>
        <v/>
      </c>
      <c r="F963" s="33"/>
      <c r="G963" s="34" t="str">
        <f>IFERROR(IF(F963&gt;=0,D963*E963*(1+F963/100),ABS(D963*E963/F963)),"")</f>
        <v/>
      </c>
      <c r="H963" s="43" t="str">
        <f>IFERROR(G963*E949,"")</f>
        <v/>
      </c>
    </row>
    <row r="964" spans="1:11">
      <c r="A964" s="21"/>
      <c r="B964" s="22" t="s">
        <v>3732</v>
      </c>
      <c r="C964" s="23"/>
      <c r="D964" s="24"/>
      <c r="E964" s="25"/>
      <c r="F964" s="26"/>
      <c r="G964" s="27">
        <f>SUM(G965:G967)</f>
        <v>42209.869333125011</v>
      </c>
      <c r="H964" s="44">
        <f>G964*E949</f>
        <v>0</v>
      </c>
    </row>
    <row r="965" spans="1:11">
      <c r="A965" s="28"/>
      <c r="B965" s="29" t="s">
        <v>3715</v>
      </c>
      <c r="C965" s="30" t="str">
        <f>IFERROR(_xlfn.XLOOKUP(B965,MObra[DESCRIPCION],MObra[UN],,0),"")</f>
        <v>día</v>
      </c>
      <c r="D965" s="31">
        <v>1</v>
      </c>
      <c r="E965" s="32">
        <f>IFERROR(_xlfn.XLOOKUP($B965,MObra[DESCRIPCION],MObra[VALOR UNIT],,0),"")</f>
        <v>337678.95466500008</v>
      </c>
      <c r="F965" s="33">
        <v>-8</v>
      </c>
      <c r="G965" s="34">
        <f>IFERROR(IF(F965&gt;=0,D965*E965*(1+F965/100),ABS(D965*E965/F965)),"")</f>
        <v>42209.869333125011</v>
      </c>
      <c r="H965" s="43">
        <f>IFERROR(G965*E949,"")</f>
        <v>0</v>
      </c>
    </row>
    <row r="966" spans="1:11">
      <c r="A966" s="28"/>
      <c r="B966" s="29"/>
      <c r="C966" s="30" t="str">
        <f t="array" ref="C966">IFERROR(_xlfn.XLOOKUP(B966,MObra[[#All],[DESCRIPCION]],MObra[[#All],[UN]],,0),"")</f>
        <v/>
      </c>
      <c r="D966" s="31"/>
      <c r="E966" s="32" t="str">
        <f>IFERROR(_xlfn.XLOOKUP($B966,MObra[DESCRIPCION],MObra[VALOR UNIT],,0),"")</f>
        <v/>
      </c>
      <c r="F966" s="33"/>
      <c r="G966" s="34" t="str">
        <f>IFERROR(IF(F966&gt;=0,D966*E966*(1+F966/100),ABS(D966*E966/F966)),"")</f>
        <v/>
      </c>
      <c r="H966" s="43" t="str">
        <f>IFERROR(G966*E949,"")</f>
        <v/>
      </c>
    </row>
    <row r="967" spans="1:11">
      <c r="A967" s="35"/>
      <c r="B967" s="36"/>
      <c r="C967" s="37" t="str">
        <f t="array" ref="C967">IFERROR(_xlfn.XLOOKUP(B967,MObra[[#All],[DESCRIPCION]],MObra[[#All],[UN]],,0),"")</f>
        <v/>
      </c>
      <c r="D967" s="38"/>
      <c r="E967" s="39" t="str">
        <f>IFERROR(_xlfn.XLOOKUP($B967,MObra[DESCRIPCION],MObra[VALOR UNIT],,0),"")</f>
        <v/>
      </c>
      <c r="F967" s="40"/>
      <c r="G967" s="41" t="str">
        <f>IFERROR(IF(F967&gt;=0,D967*E967*(1+F967/100),ABS(D967*E967/F967)),"")</f>
        <v/>
      </c>
      <c r="H967" s="42" t="str">
        <f>IFERROR(G967*E949,"")</f>
        <v/>
      </c>
    </row>
    <row r="968" spans="1:11" ht="13.5" thickTop="1" thickBot="1"/>
    <row r="969" spans="1:11" ht="26.25" thickTop="1" thickBot="1">
      <c r="A969" s="6" t="s">
        <v>973</v>
      </c>
      <c r="B969" s="7" t="str">
        <f>VLOOKUP($A969,Presupuesto!$A:$D,2,FALSE())</f>
        <v>Luminaria panel LED incrustar 20x20 cm en led 100-240 Vac, 4000K, 21 W, 2100 lm, 50.000 horas, eficacia 80 Lm/W mín</v>
      </c>
      <c r="C969" s="8" t="str">
        <f>VLOOKUP($A969,Presupuesto!$A:$D,3,FALSE())</f>
        <v>Un</v>
      </c>
      <c r="D969" s="9"/>
      <c r="E969" s="10">
        <f>VLOOKUP($A969,Presupuesto!$A:$D,4,FALSE())</f>
        <v>0</v>
      </c>
      <c r="F969" s="11" t="s">
        <v>2589</v>
      </c>
      <c r="G969" s="12">
        <f>SUM(G971:G987)/2</f>
        <v>192233.38507310624</v>
      </c>
      <c r="H969" s="13">
        <f>ROUND(SUM(H971:H987),0)/2</f>
        <v>0</v>
      </c>
      <c r="I969" s="10">
        <f>VLOOKUP(A969,Presupuesto!$A:$F,6,0)</f>
        <v>0</v>
      </c>
      <c r="J969" s="10">
        <f>+H969-I969</f>
        <v>0</v>
      </c>
      <c r="K969" s="46">
        <f>+H969-G969*E969</f>
        <v>0</v>
      </c>
    </row>
    <row r="970" spans="1:11">
      <c r="A970" s="14"/>
      <c r="B970" s="15" t="s">
        <v>2586</v>
      </c>
      <c r="C970" s="15" t="s">
        <v>5</v>
      </c>
      <c r="D970" s="16" t="s">
        <v>6</v>
      </c>
      <c r="E970" s="17" t="s">
        <v>7</v>
      </c>
      <c r="F970" s="18" t="s">
        <v>3728</v>
      </c>
      <c r="G970" s="19" t="s">
        <v>3729</v>
      </c>
      <c r="H970" s="20" t="s">
        <v>3797</v>
      </c>
    </row>
    <row r="971" spans="1:11">
      <c r="A971" s="21"/>
      <c r="B971" s="22" t="s">
        <v>3730</v>
      </c>
      <c r="C971" s="23"/>
      <c r="D971" s="24"/>
      <c r="E971" s="25"/>
      <c r="F971" s="26"/>
      <c r="G971" s="27">
        <f>SUM(G972:G976)</f>
        <v>146224.62749999997</v>
      </c>
      <c r="H971" s="27">
        <f>IFERROR(G971*E969,"")</f>
        <v>0</v>
      </c>
    </row>
    <row r="972" spans="1:11" ht="25.5">
      <c r="A972" s="28"/>
      <c r="B972" s="29" t="s">
        <v>3115</v>
      </c>
      <c r="C972" s="30" t="str">
        <f>IFERROR(_xlfn.XLOOKUP(B972,Insumo[DESCRIPCION],Insumo[UND],,0),"")</f>
        <v>Un</v>
      </c>
      <c r="D972" s="31">
        <v>1</v>
      </c>
      <c r="E972" s="32">
        <f>IFERROR(_xlfn.XLOOKUP($B972,Insumo[DESCRIPCION],Insumo[VALOR],,0),"")</f>
        <v>132415.0275</v>
      </c>
      <c r="F972" s="33"/>
      <c r="G972" s="34">
        <f>IFERROR(IF(F972&gt;=0,D972*E972*(1+F972/100),ABS(D972*E972/F972)),"")</f>
        <v>132415.0275</v>
      </c>
      <c r="H972" s="43">
        <f>IFERROR(G972*E969,"")</f>
        <v>0</v>
      </c>
    </row>
    <row r="973" spans="1:11">
      <c r="A973" s="28"/>
      <c r="B973" s="29" t="s">
        <v>2800</v>
      </c>
      <c r="C973" s="30" t="str">
        <f>IFERROR(_xlfn.XLOOKUP(B973,Insumo[DESCRIPCION],Insumo[UND],,0),"")</f>
        <v>M</v>
      </c>
      <c r="D973" s="31">
        <v>1</v>
      </c>
      <c r="E973" s="32">
        <f>IFERROR(_xlfn.XLOOKUP($B973,Insumo[DESCRIPCION],Insumo[VALOR],,0),"")</f>
        <v>7387.8</v>
      </c>
      <c r="F973" s="33"/>
      <c r="G973" s="34">
        <f>IFERROR(IF(F973&gt;=0,D973*E973*(1+F973/100),ABS(D973*E973/F973)),"")</f>
        <v>7387.8</v>
      </c>
      <c r="H973" s="43">
        <f>IFERROR(G973*E969,"")</f>
        <v>0</v>
      </c>
    </row>
    <row r="974" spans="1:11">
      <c r="A974" s="28"/>
      <c r="B974" s="29" t="s">
        <v>2855</v>
      </c>
      <c r="C974" s="30" t="str">
        <f>IFERROR(_xlfn.XLOOKUP(B974,Insumo[DESCRIPCION],Insumo[UND],,0),"")</f>
        <v>Un</v>
      </c>
      <c r="D974" s="31">
        <v>1</v>
      </c>
      <c r="E974" s="32">
        <f>IFERROR(_xlfn.XLOOKUP($B974,Insumo[DESCRIPCION],Insumo[VALOR],,0),"")</f>
        <v>6421.8</v>
      </c>
      <c r="F974" s="33"/>
      <c r="G974" s="34">
        <f>IFERROR(IF(F974&gt;=0,D974*E974*(1+F974/100),ABS(D974*E974/F974)),"")</f>
        <v>6421.8</v>
      </c>
      <c r="H974" s="43">
        <f>IFERROR(G974*E969,"")</f>
        <v>0</v>
      </c>
    </row>
    <row r="975" spans="1:11">
      <c r="A975" s="28"/>
      <c r="B975" s="29"/>
      <c r="C975" s="30" t="str">
        <f>IFERROR(_xlfn.XLOOKUP(B975,Insumo[DESCRIPCION],Insumo[UND],,0),"")</f>
        <v/>
      </c>
      <c r="D975" s="31"/>
      <c r="E975" s="32" t="str">
        <f>IFERROR(_xlfn.XLOOKUP($B975,Insumo[DESCRIPCION],Insumo[VALOR],,0),"")</f>
        <v/>
      </c>
      <c r="F975" s="33"/>
      <c r="G975" s="34" t="str">
        <f>IFERROR(IF(F975&gt;=0,D975*E975*(1+F975/100),ABS(D975*E975/F975)),"")</f>
        <v/>
      </c>
      <c r="H975" s="43" t="str">
        <f>IFERROR(G975*E969,"")</f>
        <v/>
      </c>
    </row>
    <row r="976" spans="1:11">
      <c r="A976" s="28"/>
      <c r="B976" s="29"/>
      <c r="C976" s="30" t="str">
        <f>IFERROR(_xlfn.XLOOKUP(B976,Insumo[DESCRIPCION],Insumo[UND],,0),"")</f>
        <v/>
      </c>
      <c r="D976" s="31"/>
      <c r="E976" s="32" t="str">
        <f>IFERROR(_xlfn.XLOOKUP($B976,Insumo[DESCRIPCION],Insumo[VALOR],,0),"")</f>
        <v/>
      </c>
      <c r="F976" s="33"/>
      <c r="G976" s="34" t="str">
        <f>IFERROR(IF(F976&gt;=0,D976*E976*(1+F976/100),ABS(D976*E976/F976)),"")</f>
        <v/>
      </c>
      <c r="H976" s="43" t="str">
        <f>IFERROR(G976*E969,"")</f>
        <v/>
      </c>
    </row>
    <row r="977" spans="1:11">
      <c r="A977" s="21"/>
      <c r="B977" s="22" t="s">
        <v>3731</v>
      </c>
      <c r="C977" s="23"/>
      <c r="D977" s="24"/>
      <c r="E977" s="25"/>
      <c r="F977" s="26"/>
      <c r="G977" s="27">
        <f>SUM(G978:G980)</f>
        <v>3798.888239981251</v>
      </c>
      <c r="H977" s="44">
        <f>G977*E969</f>
        <v>0</v>
      </c>
    </row>
    <row r="978" spans="1:11">
      <c r="A978" s="28"/>
      <c r="B978" s="29" t="s">
        <v>3570</v>
      </c>
      <c r="C978" s="30" t="str">
        <f>IFERROR(_xlfn.XLOOKUP(B978,Equipo[DESCRIPCION],Equipo[UND],,0),"")</f>
        <v>%MO</v>
      </c>
      <c r="D978" s="31">
        <v>0.04</v>
      </c>
      <c r="E978" s="32">
        <f>IF(C978="%MO",G984,IFERROR(_xlfn.XLOOKUP($B978,Equipo[DESCRIPCION],Equipo[VALOR],,0),""))</f>
        <v>42209.869333125011</v>
      </c>
      <c r="F978" s="33"/>
      <c r="G978" s="34">
        <f>IFERROR(IF(F978&gt;=0,D978*E978*(1+F978/100),ABS(D978*E978/F978)),"")</f>
        <v>1688.3947733250004</v>
      </c>
      <c r="H978" s="43">
        <f>IFERROR(G978*E969,"")</f>
        <v>0</v>
      </c>
    </row>
    <row r="979" spans="1:11">
      <c r="A979" s="28"/>
      <c r="B979" s="29" t="s">
        <v>3626</v>
      </c>
      <c r="C979" s="30" t="str">
        <f>IFERROR(_xlfn.XLOOKUP(B979,Equipo[DESCRIPCION],Equipo[UND],,0),"")</f>
        <v>%MO</v>
      </c>
      <c r="D979" s="31">
        <v>0.05</v>
      </c>
      <c r="E979" s="32">
        <f>IF(C979="%MO",G984,IFERROR(_xlfn.XLOOKUP($B979,Equipo[DESCRIPCION],Equipo[VALOR],,0),""))</f>
        <v>42209.869333125011</v>
      </c>
      <c r="F979" s="33"/>
      <c r="G979" s="34">
        <f>IFERROR(IF(F979&gt;=0,D979*E979*(1+F979/100),ABS(D979*E979/F979)),"")</f>
        <v>2110.4934666562508</v>
      </c>
      <c r="H979" s="43">
        <f>IFERROR(G979*E969,"")</f>
        <v>0</v>
      </c>
    </row>
    <row r="980" spans="1:11">
      <c r="A980" s="28"/>
      <c r="B980" s="29"/>
      <c r="C980" s="30" t="str">
        <f>IFERROR(_xlfn.XLOOKUP(B980,Equipo[DESCRIPCION],Equipo[UND],,0),"")</f>
        <v/>
      </c>
      <c r="D980" s="31"/>
      <c r="E980" s="32" t="str">
        <f>IF(C980="%MO",G984,IFERROR(_xlfn.XLOOKUP($B980,Equipo[DESCRIPCION],Equipo[VALOR],,0),""))</f>
        <v/>
      </c>
      <c r="F980" s="33"/>
      <c r="G980" s="34" t="str">
        <f>IFERROR(IF(F980&gt;=0,D980*E980*(1+F980/100),ABS(D980*E980/F980)),"")</f>
        <v/>
      </c>
      <c r="H980" s="43" t="str">
        <f>IFERROR(G980*E969,"")</f>
        <v/>
      </c>
    </row>
    <row r="981" spans="1:11">
      <c r="A981" s="21"/>
      <c r="B981" s="22" t="s">
        <v>2533</v>
      </c>
      <c r="C981" s="23"/>
      <c r="D981" s="24"/>
      <c r="E981" s="25"/>
      <c r="F981" s="26"/>
      <c r="G981" s="27">
        <f>SUM(G982:G983)</f>
        <v>0</v>
      </c>
      <c r="H981" s="44">
        <f>G981*E969</f>
        <v>0</v>
      </c>
    </row>
    <row r="982" spans="1:11">
      <c r="A982" s="28"/>
      <c r="B982" s="29"/>
      <c r="C982" s="30" t="str">
        <f>IFERROR(_xlfn.XLOOKUP(B982,Transporte[DESCRIPCION],Transporte[UND],,0),"")</f>
        <v/>
      </c>
      <c r="D982" s="31"/>
      <c r="E982" s="32" t="str">
        <f>IFERROR(_xlfn.XLOOKUP($B982,Transporte[DESCRIPCION],Transporte[VALOR],,0),"")</f>
        <v/>
      </c>
      <c r="F982" s="33"/>
      <c r="G982" s="34" t="str">
        <f>IFERROR(IF(F982&gt;=0,D982*E982*(1+F982/100),ABS(D982*E982/F982)),"")</f>
        <v/>
      </c>
      <c r="H982" s="43" t="str">
        <f>IFERROR(G982*E969,"")</f>
        <v/>
      </c>
    </row>
    <row r="983" spans="1:11">
      <c r="A983" s="28"/>
      <c r="B983" s="29"/>
      <c r="C983" s="30" t="str">
        <f>IFERROR(_xlfn.XLOOKUP(B983,Transporte[DESCRIPCION],Transporte[UND],,0),"")</f>
        <v/>
      </c>
      <c r="D983" s="31"/>
      <c r="E983" s="32" t="str">
        <f>IFERROR(_xlfn.XLOOKUP($B983,Transporte[DESCRIPCION],Transporte[VALOR],,0),"")</f>
        <v/>
      </c>
      <c r="F983" s="33"/>
      <c r="G983" s="34" t="str">
        <f>IFERROR(IF(F983&gt;=0,D983*E983*(1+F983/100),ABS(D983*E983/F983)),"")</f>
        <v/>
      </c>
      <c r="H983" s="43" t="str">
        <f>IFERROR(G983*E969,"")</f>
        <v/>
      </c>
    </row>
    <row r="984" spans="1:11">
      <c r="A984" s="21"/>
      <c r="B984" s="22" t="s">
        <v>3732</v>
      </c>
      <c r="C984" s="23"/>
      <c r="D984" s="24"/>
      <c r="E984" s="25"/>
      <c r="F984" s="26"/>
      <c r="G984" s="27">
        <f>SUM(G985:G987)</f>
        <v>42209.869333125011</v>
      </c>
      <c r="H984" s="44">
        <f>G984*E969</f>
        <v>0</v>
      </c>
    </row>
    <row r="985" spans="1:11">
      <c r="A985" s="28"/>
      <c r="B985" s="29" t="s">
        <v>3715</v>
      </c>
      <c r="C985" s="30" t="str">
        <f>IFERROR(_xlfn.XLOOKUP(B985,MObra[DESCRIPCION],MObra[UN],,0),"")</f>
        <v>día</v>
      </c>
      <c r="D985" s="31">
        <v>1</v>
      </c>
      <c r="E985" s="32">
        <f>IFERROR(_xlfn.XLOOKUP($B985,MObra[DESCRIPCION],MObra[VALOR UNIT],,0),"")</f>
        <v>337678.95466500008</v>
      </c>
      <c r="F985" s="33">
        <v>-8</v>
      </c>
      <c r="G985" s="34">
        <f>IFERROR(IF(F985&gt;=0,D985*E985*(1+F985/100),ABS(D985*E985/F985)),"")</f>
        <v>42209.869333125011</v>
      </c>
      <c r="H985" s="43">
        <f>IFERROR(G985*E969,"")</f>
        <v>0</v>
      </c>
    </row>
    <row r="986" spans="1:11">
      <c r="A986" s="28"/>
      <c r="B986" s="29"/>
      <c r="C986" s="30" t="str">
        <f t="array" ref="C986">IFERROR(_xlfn.XLOOKUP(B986,MObra[[#All],[DESCRIPCION]],MObra[[#All],[UN]],,0),"")</f>
        <v/>
      </c>
      <c r="D986" s="31"/>
      <c r="E986" s="32" t="str">
        <f>IFERROR(_xlfn.XLOOKUP($B986,MObra[DESCRIPCION],MObra[VALOR UNIT],,0),"")</f>
        <v/>
      </c>
      <c r="F986" s="33"/>
      <c r="G986" s="34" t="str">
        <f>IFERROR(IF(F986&gt;=0,D986*E986*(1+F986/100),ABS(D986*E986/F986)),"")</f>
        <v/>
      </c>
      <c r="H986" s="43" t="str">
        <f>IFERROR(G986*E969,"")</f>
        <v/>
      </c>
    </row>
    <row r="987" spans="1:11">
      <c r="A987" s="35"/>
      <c r="B987" s="36"/>
      <c r="C987" s="37" t="str">
        <f t="array" ref="C987">IFERROR(_xlfn.XLOOKUP(B987,MObra[[#All],[DESCRIPCION]],MObra[[#All],[UN]],,0),"")</f>
        <v/>
      </c>
      <c r="D987" s="38"/>
      <c r="E987" s="39" t="str">
        <f>IFERROR(_xlfn.XLOOKUP($B987,MObra[DESCRIPCION],MObra[VALOR UNIT],,0),"")</f>
        <v/>
      </c>
      <c r="F987" s="40"/>
      <c r="G987" s="41" t="str">
        <f>IFERROR(IF(F987&gt;=0,D987*E987*(1+F987/100),ABS(D987*E987/F987)),"")</f>
        <v/>
      </c>
      <c r="H987" s="42" t="str">
        <f>IFERROR(G987*E969,"")</f>
        <v/>
      </c>
    </row>
    <row r="988" spans="1:11" ht="13.5" thickTop="1" thickBot="1"/>
    <row r="989" spans="1:11" ht="26.25" thickTop="1" thickBot="1">
      <c r="A989" s="6" t="s">
        <v>975</v>
      </c>
      <c r="B989" s="7" t="str">
        <f>VLOOKUP($A989,Presupuesto!$A:$D,2,FALSE())</f>
        <v>Luminaria panel LED incrustar 20x20 cm en led 100-240 Vac, 4000 K, 11 W, 950 lm, 50.000 horas, eficacia 80 Lm/W mín</v>
      </c>
      <c r="C989" s="8" t="str">
        <f>VLOOKUP($A989,Presupuesto!$A:$D,3,FALSE())</f>
        <v>Un</v>
      </c>
      <c r="D989" s="9"/>
      <c r="E989" s="10">
        <f>VLOOKUP($A989,Presupuesto!$A:$D,4,FALSE())</f>
        <v>0</v>
      </c>
      <c r="F989" s="11" t="s">
        <v>2589</v>
      </c>
      <c r="G989" s="12">
        <f>SUM(G991:G1007)/2</f>
        <v>170068.35757310627</v>
      </c>
      <c r="H989" s="13">
        <f>ROUND(SUM(H991:H1007),0)/2</f>
        <v>0</v>
      </c>
      <c r="I989" s="10">
        <f>VLOOKUP(A989,Presupuesto!$A:$F,6,0)</f>
        <v>0</v>
      </c>
      <c r="J989" s="10">
        <f>+H989-I989</f>
        <v>0</v>
      </c>
      <c r="K989" s="46">
        <f>+H989-G989*E989</f>
        <v>0</v>
      </c>
    </row>
    <row r="990" spans="1:11">
      <c r="A990" s="14"/>
      <c r="B990" s="15" t="s">
        <v>2586</v>
      </c>
      <c r="C990" s="15" t="s">
        <v>5</v>
      </c>
      <c r="D990" s="16" t="s">
        <v>6</v>
      </c>
      <c r="E990" s="17" t="s">
        <v>7</v>
      </c>
      <c r="F990" s="18" t="s">
        <v>3728</v>
      </c>
      <c r="G990" s="19" t="s">
        <v>3729</v>
      </c>
      <c r="H990" s="20" t="s">
        <v>3797</v>
      </c>
    </row>
    <row r="991" spans="1:11">
      <c r="A991" s="21"/>
      <c r="B991" s="22" t="s">
        <v>3730</v>
      </c>
      <c r="C991" s="23"/>
      <c r="D991" s="24"/>
      <c r="E991" s="25"/>
      <c r="F991" s="26"/>
      <c r="G991" s="27">
        <f>SUM(G992:G996)</f>
        <v>124059.6</v>
      </c>
      <c r="H991" s="27">
        <f>IFERROR(G991*E989,"")</f>
        <v>0</v>
      </c>
    </row>
    <row r="992" spans="1:11" ht="25.5">
      <c r="A992" s="28"/>
      <c r="B992" s="29" t="s">
        <v>3116</v>
      </c>
      <c r="C992" s="30" t="str">
        <f>IFERROR(_xlfn.XLOOKUP(B992,Insumo[DESCRIPCION],Insumo[UND],,0),"")</f>
        <v>Un</v>
      </c>
      <c r="D992" s="31">
        <v>1</v>
      </c>
      <c r="E992" s="32">
        <f>IFERROR(_xlfn.XLOOKUP($B992,Insumo[DESCRIPCION],Insumo[VALOR],,0),"")</f>
        <v>110250</v>
      </c>
      <c r="F992" s="33"/>
      <c r="G992" s="34">
        <f>IFERROR(IF(F992&gt;=0,D992*E992*(1+F992/100),ABS(D992*E992/F992)),"")</f>
        <v>110250</v>
      </c>
      <c r="H992" s="43">
        <f>IFERROR(G992*E989,"")</f>
        <v>0</v>
      </c>
    </row>
    <row r="993" spans="1:8">
      <c r="A993" s="28"/>
      <c r="B993" s="29" t="s">
        <v>2800</v>
      </c>
      <c r="C993" s="30" t="str">
        <f>IFERROR(_xlfn.XLOOKUP(B993,Insumo[DESCRIPCION],Insumo[UND],,0),"")</f>
        <v>M</v>
      </c>
      <c r="D993" s="31">
        <v>1</v>
      </c>
      <c r="E993" s="32">
        <f>IFERROR(_xlfn.XLOOKUP($B993,Insumo[DESCRIPCION],Insumo[VALOR],,0),"")</f>
        <v>7387.8</v>
      </c>
      <c r="F993" s="33"/>
      <c r="G993" s="34">
        <f>IFERROR(IF(F993&gt;=0,D993*E993*(1+F993/100),ABS(D993*E993/F993)),"")</f>
        <v>7387.8</v>
      </c>
      <c r="H993" s="43">
        <f>IFERROR(G993*E989,"")</f>
        <v>0</v>
      </c>
    </row>
    <row r="994" spans="1:8">
      <c r="A994" s="28"/>
      <c r="B994" s="29" t="s">
        <v>2855</v>
      </c>
      <c r="C994" s="30" t="str">
        <f>IFERROR(_xlfn.XLOOKUP(B994,Insumo[DESCRIPCION],Insumo[UND],,0),"")</f>
        <v>Un</v>
      </c>
      <c r="D994" s="31">
        <v>1</v>
      </c>
      <c r="E994" s="32">
        <f>IFERROR(_xlfn.XLOOKUP($B994,Insumo[DESCRIPCION],Insumo[VALOR],,0),"")</f>
        <v>6421.8</v>
      </c>
      <c r="F994" s="33"/>
      <c r="G994" s="34">
        <f>IFERROR(IF(F994&gt;=0,D994*E994*(1+F994/100),ABS(D994*E994/F994)),"")</f>
        <v>6421.8</v>
      </c>
      <c r="H994" s="43">
        <f>IFERROR(G994*E989,"")</f>
        <v>0</v>
      </c>
    </row>
    <row r="995" spans="1:8">
      <c r="A995" s="28"/>
      <c r="B995" s="29"/>
      <c r="C995" s="30" t="str">
        <f>IFERROR(_xlfn.XLOOKUP(B995,Insumo[DESCRIPCION],Insumo[UND],,0),"")</f>
        <v/>
      </c>
      <c r="D995" s="31"/>
      <c r="E995" s="32" t="str">
        <f>IFERROR(_xlfn.XLOOKUP($B995,Insumo[DESCRIPCION],Insumo[VALOR],,0),"")</f>
        <v/>
      </c>
      <c r="F995" s="33"/>
      <c r="G995" s="34" t="str">
        <f>IFERROR(IF(F995&gt;=0,D995*E995*(1+F995/100),ABS(D995*E995/F995)),"")</f>
        <v/>
      </c>
      <c r="H995" s="43" t="str">
        <f>IFERROR(G995*E989,"")</f>
        <v/>
      </c>
    </row>
    <row r="996" spans="1:8">
      <c r="A996" s="28"/>
      <c r="B996" s="29"/>
      <c r="C996" s="30" t="str">
        <f>IFERROR(_xlfn.XLOOKUP(B996,Insumo[DESCRIPCION],Insumo[UND],,0),"")</f>
        <v/>
      </c>
      <c r="D996" s="31"/>
      <c r="E996" s="32" t="str">
        <f>IFERROR(_xlfn.XLOOKUP($B996,Insumo[DESCRIPCION],Insumo[VALOR],,0),"")</f>
        <v/>
      </c>
      <c r="F996" s="33"/>
      <c r="G996" s="34" t="str">
        <f>IFERROR(IF(F996&gt;=0,D996*E996*(1+F996/100),ABS(D996*E996/F996)),"")</f>
        <v/>
      </c>
      <c r="H996" s="43" t="str">
        <f>IFERROR(G996*E989,"")</f>
        <v/>
      </c>
    </row>
    <row r="997" spans="1:8">
      <c r="A997" s="21"/>
      <c r="B997" s="22" t="s">
        <v>3731</v>
      </c>
      <c r="C997" s="23"/>
      <c r="D997" s="24"/>
      <c r="E997" s="25"/>
      <c r="F997" s="26"/>
      <c r="G997" s="27">
        <f>SUM(G998:G1000)</f>
        <v>3798.888239981251</v>
      </c>
      <c r="H997" s="44">
        <f>G997*E989</f>
        <v>0</v>
      </c>
    </row>
    <row r="998" spans="1:8">
      <c r="A998" s="28"/>
      <c r="B998" s="29" t="s">
        <v>3570</v>
      </c>
      <c r="C998" s="30" t="str">
        <f>IFERROR(_xlfn.XLOOKUP(B998,Equipo[DESCRIPCION],Equipo[UND],,0),"")</f>
        <v>%MO</v>
      </c>
      <c r="D998" s="31">
        <v>0.04</v>
      </c>
      <c r="E998" s="32">
        <f>IF(C998="%MO",G1004,IFERROR(_xlfn.XLOOKUP($B998,Equipo[DESCRIPCION],Equipo[VALOR],,0),""))</f>
        <v>42209.869333125011</v>
      </c>
      <c r="F998" s="33"/>
      <c r="G998" s="34">
        <f>IFERROR(IF(F998&gt;=0,D998*E998*(1+F998/100),ABS(D998*E998/F998)),"")</f>
        <v>1688.3947733250004</v>
      </c>
      <c r="H998" s="43">
        <f>IFERROR(G998*E989,"")</f>
        <v>0</v>
      </c>
    </row>
    <row r="999" spans="1:8">
      <c r="A999" s="28"/>
      <c r="B999" s="29" t="s">
        <v>3626</v>
      </c>
      <c r="C999" s="30" t="str">
        <f>IFERROR(_xlfn.XLOOKUP(B999,Equipo[DESCRIPCION],Equipo[UND],,0),"")</f>
        <v>%MO</v>
      </c>
      <c r="D999" s="31">
        <v>0.05</v>
      </c>
      <c r="E999" s="32">
        <f>IF(C999="%MO",G1004,IFERROR(_xlfn.XLOOKUP($B999,Equipo[DESCRIPCION],Equipo[VALOR],,0),""))</f>
        <v>42209.869333125011</v>
      </c>
      <c r="F999" s="33"/>
      <c r="G999" s="34">
        <f>IFERROR(IF(F999&gt;=0,D999*E999*(1+F999/100),ABS(D999*E999/F999)),"")</f>
        <v>2110.4934666562508</v>
      </c>
      <c r="H999" s="43">
        <f>IFERROR(G999*E989,"")</f>
        <v>0</v>
      </c>
    </row>
    <row r="1000" spans="1:8">
      <c r="A1000" s="28"/>
      <c r="B1000" s="29"/>
      <c r="C1000" s="30" t="str">
        <f>IFERROR(_xlfn.XLOOKUP(B1000,Equipo[DESCRIPCION],Equipo[UND],,0),"")</f>
        <v/>
      </c>
      <c r="D1000" s="31"/>
      <c r="E1000" s="32" t="str">
        <f>IF(C1000="%MO",G1004,IFERROR(_xlfn.XLOOKUP($B1000,Equipo[DESCRIPCION],Equipo[VALOR],,0),""))</f>
        <v/>
      </c>
      <c r="F1000" s="33"/>
      <c r="G1000" s="34" t="str">
        <f>IFERROR(IF(F1000&gt;=0,D1000*E1000*(1+F1000/100),ABS(D1000*E1000/F1000)),"")</f>
        <v/>
      </c>
      <c r="H1000" s="43" t="str">
        <f>IFERROR(G1000*E989,"")</f>
        <v/>
      </c>
    </row>
    <row r="1001" spans="1:8">
      <c r="A1001" s="21"/>
      <c r="B1001" s="22" t="s">
        <v>2533</v>
      </c>
      <c r="C1001" s="23"/>
      <c r="D1001" s="24"/>
      <c r="E1001" s="25"/>
      <c r="F1001" s="26"/>
      <c r="G1001" s="27">
        <f>SUM(G1002:G1003)</f>
        <v>0</v>
      </c>
      <c r="H1001" s="44">
        <f>G1001*E989</f>
        <v>0</v>
      </c>
    </row>
    <row r="1002" spans="1:8">
      <c r="A1002" s="28"/>
      <c r="B1002" s="29"/>
      <c r="C1002" s="30" t="str">
        <f>IFERROR(_xlfn.XLOOKUP(B1002,Transporte[DESCRIPCION],Transporte[UND],,0),"")</f>
        <v/>
      </c>
      <c r="D1002" s="31"/>
      <c r="E1002" s="32" t="str">
        <f>IFERROR(_xlfn.XLOOKUP($B1002,Transporte[DESCRIPCION],Transporte[VALOR],,0),"")</f>
        <v/>
      </c>
      <c r="F1002" s="33"/>
      <c r="G1002" s="34" t="str">
        <f>IFERROR(IF(F1002&gt;=0,D1002*E1002*(1+F1002/100),ABS(D1002*E1002/F1002)),"")</f>
        <v/>
      </c>
      <c r="H1002" s="43" t="str">
        <f>IFERROR(G1002*E989,"")</f>
        <v/>
      </c>
    </row>
    <row r="1003" spans="1:8">
      <c r="A1003" s="28"/>
      <c r="B1003" s="29"/>
      <c r="C1003" s="30" t="str">
        <f>IFERROR(_xlfn.XLOOKUP(B1003,Transporte[DESCRIPCION],Transporte[UND],,0),"")</f>
        <v/>
      </c>
      <c r="D1003" s="31"/>
      <c r="E1003" s="32" t="str">
        <f>IFERROR(_xlfn.XLOOKUP($B1003,Transporte[DESCRIPCION],Transporte[VALOR],,0),"")</f>
        <v/>
      </c>
      <c r="F1003" s="33"/>
      <c r="G1003" s="34" t="str">
        <f>IFERROR(IF(F1003&gt;=0,D1003*E1003*(1+F1003/100),ABS(D1003*E1003/F1003)),"")</f>
        <v/>
      </c>
      <c r="H1003" s="43" t="str">
        <f>IFERROR(G1003*E989,"")</f>
        <v/>
      </c>
    </row>
    <row r="1004" spans="1:8">
      <c r="A1004" s="21"/>
      <c r="B1004" s="22" t="s">
        <v>3732</v>
      </c>
      <c r="C1004" s="23"/>
      <c r="D1004" s="24"/>
      <c r="E1004" s="25"/>
      <c r="F1004" s="26"/>
      <c r="G1004" s="27">
        <f>SUM(G1005:G1007)</f>
        <v>42209.869333125011</v>
      </c>
      <c r="H1004" s="44">
        <f>G1004*E989</f>
        <v>0</v>
      </c>
    </row>
    <row r="1005" spans="1:8">
      <c r="A1005" s="28"/>
      <c r="B1005" s="29" t="s">
        <v>3715</v>
      </c>
      <c r="C1005" s="30" t="str">
        <f>IFERROR(_xlfn.XLOOKUP(B1005,MObra[DESCRIPCION],MObra[UN],,0),"")</f>
        <v>día</v>
      </c>
      <c r="D1005" s="31">
        <v>1</v>
      </c>
      <c r="E1005" s="32">
        <f>IFERROR(_xlfn.XLOOKUP($B1005,MObra[DESCRIPCION],MObra[VALOR UNIT],,0),"")</f>
        <v>337678.95466500008</v>
      </c>
      <c r="F1005" s="33">
        <v>-8</v>
      </c>
      <c r="G1005" s="34">
        <f>IFERROR(IF(F1005&gt;=0,D1005*E1005*(1+F1005/100),ABS(D1005*E1005/F1005)),"")</f>
        <v>42209.869333125011</v>
      </c>
      <c r="H1005" s="43">
        <f>IFERROR(G1005*E989,"")</f>
        <v>0</v>
      </c>
    </row>
    <row r="1006" spans="1:8">
      <c r="A1006" s="28"/>
      <c r="B1006" s="29"/>
      <c r="C1006" s="30" t="str">
        <f t="array" ref="C1006">IFERROR(_xlfn.XLOOKUP(B1006,MObra[[#All],[DESCRIPCION]],MObra[[#All],[UN]],,0),"")</f>
        <v/>
      </c>
      <c r="D1006" s="31"/>
      <c r="E1006" s="32" t="str">
        <f>IFERROR(_xlfn.XLOOKUP($B1006,MObra[DESCRIPCION],MObra[VALOR UNIT],,0),"")</f>
        <v/>
      </c>
      <c r="F1006" s="33"/>
      <c r="G1006" s="34" t="str">
        <f>IFERROR(IF(F1006&gt;=0,D1006*E1006*(1+F1006/100),ABS(D1006*E1006/F1006)),"")</f>
        <v/>
      </c>
      <c r="H1006" s="43" t="str">
        <f>IFERROR(G1006*E989,"")</f>
        <v/>
      </c>
    </row>
    <row r="1007" spans="1:8">
      <c r="A1007" s="35"/>
      <c r="B1007" s="36"/>
      <c r="C1007" s="37" t="str">
        <f t="array" ref="C1007">IFERROR(_xlfn.XLOOKUP(B1007,MObra[[#All],[DESCRIPCION]],MObra[[#All],[UN]],,0),"")</f>
        <v/>
      </c>
      <c r="D1007" s="38"/>
      <c r="E1007" s="39" t="str">
        <f>IFERROR(_xlfn.XLOOKUP($B1007,MObra[DESCRIPCION],MObra[VALOR UNIT],,0),"")</f>
        <v/>
      </c>
      <c r="F1007" s="40"/>
      <c r="G1007" s="41" t="str">
        <f>IFERROR(IF(F1007&gt;=0,D1007*E1007*(1+F1007/100),ABS(D1007*E1007/F1007)),"")</f>
        <v/>
      </c>
      <c r="H1007" s="42" t="str">
        <f>IFERROR(G1007*E989,"")</f>
        <v/>
      </c>
    </row>
    <row r="1008" spans="1:8" ht="13.5" thickTop="1" thickBot="1"/>
    <row r="1009" spans="1:11" ht="26.25" thickTop="1" thickBot="1">
      <c r="A1009" s="6" t="s">
        <v>977</v>
      </c>
      <c r="B1009" s="7" t="str">
        <f>VLOOKUP($A1009,Presupuesto!$A:$D,2,FALSE())</f>
        <v>Lluminaria panel LED sobreponer 20x20 cm en led 100-240 Vac, 4000K, 21 W, 2100 lm, 50.000 horas, eficacia 80 Lm/W mín</v>
      </c>
      <c r="C1009" s="8" t="str">
        <f>VLOOKUP($A1009,Presupuesto!$A:$D,3,FALSE())</f>
        <v>Un</v>
      </c>
      <c r="D1009" s="9"/>
      <c r="E1009" s="10">
        <f>VLOOKUP($A1009,Presupuesto!$A:$D,4,FALSE())</f>
        <v>0</v>
      </c>
      <c r="F1009" s="11" t="s">
        <v>2589</v>
      </c>
      <c r="G1009" s="12">
        <f>SUM(G1011:G1027)/2</f>
        <v>192233.38507310624</v>
      </c>
      <c r="H1009" s="13">
        <f>ROUND(SUM(H1011:H1027),0)/2</f>
        <v>0</v>
      </c>
      <c r="I1009" s="10">
        <f>VLOOKUP(A1009,Presupuesto!$A:$F,6,0)</f>
        <v>0</v>
      </c>
      <c r="J1009" s="10">
        <f>+H1009-I1009</f>
        <v>0</v>
      </c>
      <c r="K1009" s="46">
        <f>+H1009-G1009*E1009</f>
        <v>0</v>
      </c>
    </row>
    <row r="1010" spans="1:11">
      <c r="A1010" s="14"/>
      <c r="B1010" s="15" t="s">
        <v>2586</v>
      </c>
      <c r="C1010" s="15" t="s">
        <v>5</v>
      </c>
      <c r="D1010" s="16" t="s">
        <v>6</v>
      </c>
      <c r="E1010" s="17" t="s">
        <v>7</v>
      </c>
      <c r="F1010" s="18" t="s">
        <v>3728</v>
      </c>
      <c r="G1010" s="19" t="s">
        <v>3729</v>
      </c>
      <c r="H1010" s="20" t="s">
        <v>3797</v>
      </c>
    </row>
    <row r="1011" spans="1:11">
      <c r="A1011" s="21"/>
      <c r="B1011" s="22" t="s">
        <v>3730</v>
      </c>
      <c r="C1011" s="23"/>
      <c r="D1011" s="24"/>
      <c r="E1011" s="25"/>
      <c r="F1011" s="26"/>
      <c r="G1011" s="27">
        <f>SUM(G1012:G1016)</f>
        <v>146224.62749999997</v>
      </c>
      <c r="H1011" s="27">
        <f>IFERROR(G1011*E1009,"")</f>
        <v>0</v>
      </c>
    </row>
    <row r="1012" spans="1:11" ht="25.5">
      <c r="A1012" s="28"/>
      <c r="B1012" s="29" t="s">
        <v>3115</v>
      </c>
      <c r="C1012" s="30" t="str">
        <f>IFERROR(_xlfn.XLOOKUP(B1012,Insumo[DESCRIPCION],Insumo[UND],,0),"")</f>
        <v>Un</v>
      </c>
      <c r="D1012" s="31">
        <v>1</v>
      </c>
      <c r="E1012" s="32">
        <f>IFERROR(_xlfn.XLOOKUP($B1012,Insumo[DESCRIPCION],Insumo[VALOR],,0),"")</f>
        <v>132415.0275</v>
      </c>
      <c r="F1012" s="33"/>
      <c r="G1012" s="34">
        <f>IFERROR(IF(F1012&gt;=0,D1012*E1012*(1+F1012/100),ABS(D1012*E1012/F1012)),"")</f>
        <v>132415.0275</v>
      </c>
      <c r="H1012" s="43">
        <f>IFERROR(G1012*E1009,"")</f>
        <v>0</v>
      </c>
    </row>
    <row r="1013" spans="1:11">
      <c r="A1013" s="28"/>
      <c r="B1013" s="29" t="s">
        <v>2800</v>
      </c>
      <c r="C1013" s="30" t="str">
        <f>IFERROR(_xlfn.XLOOKUP(B1013,Insumo[DESCRIPCION],Insumo[UND],,0),"")</f>
        <v>M</v>
      </c>
      <c r="D1013" s="31">
        <v>1</v>
      </c>
      <c r="E1013" s="32">
        <f>IFERROR(_xlfn.XLOOKUP($B1013,Insumo[DESCRIPCION],Insumo[VALOR],,0),"")</f>
        <v>7387.8</v>
      </c>
      <c r="F1013" s="33"/>
      <c r="G1013" s="34">
        <f>IFERROR(IF(F1013&gt;=0,D1013*E1013*(1+F1013/100),ABS(D1013*E1013/F1013)),"")</f>
        <v>7387.8</v>
      </c>
      <c r="H1013" s="43">
        <f>IFERROR(G1013*E1009,"")</f>
        <v>0</v>
      </c>
    </row>
    <row r="1014" spans="1:11">
      <c r="A1014" s="28"/>
      <c r="B1014" s="29" t="s">
        <v>2855</v>
      </c>
      <c r="C1014" s="30" t="str">
        <f>IFERROR(_xlfn.XLOOKUP(B1014,Insumo[DESCRIPCION],Insumo[UND],,0),"")</f>
        <v>Un</v>
      </c>
      <c r="D1014" s="31">
        <v>1</v>
      </c>
      <c r="E1014" s="32">
        <f>IFERROR(_xlfn.XLOOKUP($B1014,Insumo[DESCRIPCION],Insumo[VALOR],,0),"")</f>
        <v>6421.8</v>
      </c>
      <c r="F1014" s="33"/>
      <c r="G1014" s="34">
        <f>IFERROR(IF(F1014&gt;=0,D1014*E1014*(1+F1014/100),ABS(D1014*E1014/F1014)),"")</f>
        <v>6421.8</v>
      </c>
      <c r="H1014" s="43">
        <f>IFERROR(G1014*E1009,"")</f>
        <v>0</v>
      </c>
    </row>
    <row r="1015" spans="1:11">
      <c r="A1015" s="28"/>
      <c r="B1015" s="29"/>
      <c r="C1015" s="30" t="str">
        <f>IFERROR(_xlfn.XLOOKUP(B1015,Insumo[DESCRIPCION],Insumo[UND],,0),"")</f>
        <v/>
      </c>
      <c r="D1015" s="31"/>
      <c r="E1015" s="32" t="str">
        <f>IFERROR(_xlfn.XLOOKUP($B1015,Insumo[DESCRIPCION],Insumo[VALOR],,0),"")</f>
        <v/>
      </c>
      <c r="F1015" s="33"/>
      <c r="G1015" s="34" t="str">
        <f>IFERROR(IF(F1015&gt;=0,D1015*E1015*(1+F1015/100),ABS(D1015*E1015/F1015)),"")</f>
        <v/>
      </c>
      <c r="H1015" s="43" t="str">
        <f>IFERROR(G1015*E1009,"")</f>
        <v/>
      </c>
    </row>
    <row r="1016" spans="1:11">
      <c r="A1016" s="28"/>
      <c r="B1016" s="29"/>
      <c r="C1016" s="30" t="str">
        <f>IFERROR(_xlfn.XLOOKUP(B1016,Insumo[DESCRIPCION],Insumo[UND],,0),"")</f>
        <v/>
      </c>
      <c r="D1016" s="31"/>
      <c r="E1016" s="32" t="str">
        <f>IFERROR(_xlfn.XLOOKUP($B1016,Insumo[DESCRIPCION],Insumo[VALOR],,0),"")</f>
        <v/>
      </c>
      <c r="F1016" s="33"/>
      <c r="G1016" s="34" t="str">
        <f>IFERROR(IF(F1016&gt;=0,D1016*E1016*(1+F1016/100),ABS(D1016*E1016/F1016)),"")</f>
        <v/>
      </c>
      <c r="H1016" s="43" t="str">
        <f>IFERROR(G1016*E1009,"")</f>
        <v/>
      </c>
    </row>
    <row r="1017" spans="1:11">
      <c r="A1017" s="21"/>
      <c r="B1017" s="22" t="s">
        <v>3731</v>
      </c>
      <c r="C1017" s="23"/>
      <c r="D1017" s="24"/>
      <c r="E1017" s="25"/>
      <c r="F1017" s="26"/>
      <c r="G1017" s="27">
        <f>SUM(G1018:G1020)</f>
        <v>3798.888239981251</v>
      </c>
      <c r="H1017" s="44">
        <f>G1017*E1009</f>
        <v>0</v>
      </c>
    </row>
    <row r="1018" spans="1:11">
      <c r="A1018" s="28"/>
      <c r="B1018" s="29" t="s">
        <v>3570</v>
      </c>
      <c r="C1018" s="30" t="str">
        <f>IFERROR(_xlfn.XLOOKUP(B1018,Equipo[DESCRIPCION],Equipo[UND],,0),"")</f>
        <v>%MO</v>
      </c>
      <c r="D1018" s="31">
        <v>0.04</v>
      </c>
      <c r="E1018" s="32">
        <f>IF(C1018="%MO",G1024,IFERROR(_xlfn.XLOOKUP($B1018,Equipo[DESCRIPCION],Equipo[VALOR],,0),""))</f>
        <v>42209.869333125011</v>
      </c>
      <c r="F1018" s="33"/>
      <c r="G1018" s="34">
        <f>IFERROR(IF(F1018&gt;=0,D1018*E1018*(1+F1018/100),ABS(D1018*E1018/F1018)),"")</f>
        <v>1688.3947733250004</v>
      </c>
      <c r="H1018" s="43">
        <f>IFERROR(G1018*E1009,"")</f>
        <v>0</v>
      </c>
    </row>
    <row r="1019" spans="1:11">
      <c r="A1019" s="28"/>
      <c r="B1019" s="29" t="s">
        <v>3626</v>
      </c>
      <c r="C1019" s="30" t="str">
        <f>IFERROR(_xlfn.XLOOKUP(B1019,Equipo[DESCRIPCION],Equipo[UND],,0),"")</f>
        <v>%MO</v>
      </c>
      <c r="D1019" s="31">
        <v>0.05</v>
      </c>
      <c r="E1019" s="32">
        <f>IF(C1019="%MO",G1024,IFERROR(_xlfn.XLOOKUP($B1019,Equipo[DESCRIPCION],Equipo[VALOR],,0),""))</f>
        <v>42209.869333125011</v>
      </c>
      <c r="F1019" s="33"/>
      <c r="G1019" s="34">
        <f>IFERROR(IF(F1019&gt;=0,D1019*E1019*(1+F1019/100),ABS(D1019*E1019/F1019)),"")</f>
        <v>2110.4934666562508</v>
      </c>
      <c r="H1019" s="43">
        <f>IFERROR(G1019*E1009,"")</f>
        <v>0</v>
      </c>
    </row>
    <row r="1020" spans="1:11">
      <c r="A1020" s="28"/>
      <c r="B1020" s="29"/>
      <c r="C1020" s="30" t="str">
        <f>IFERROR(_xlfn.XLOOKUP(B1020,Equipo[DESCRIPCION],Equipo[UND],,0),"")</f>
        <v/>
      </c>
      <c r="D1020" s="31"/>
      <c r="E1020" s="32" t="str">
        <f>IF(C1020="%MO",G1024,IFERROR(_xlfn.XLOOKUP($B1020,Equipo[DESCRIPCION],Equipo[VALOR],,0),""))</f>
        <v/>
      </c>
      <c r="F1020" s="33"/>
      <c r="G1020" s="34" t="str">
        <f>IFERROR(IF(F1020&gt;=0,D1020*E1020*(1+F1020/100),ABS(D1020*E1020/F1020)),"")</f>
        <v/>
      </c>
      <c r="H1020" s="43" t="str">
        <f>IFERROR(G1020*E1009,"")</f>
        <v/>
      </c>
    </row>
    <row r="1021" spans="1:11">
      <c r="A1021" s="21"/>
      <c r="B1021" s="22" t="s">
        <v>2533</v>
      </c>
      <c r="C1021" s="23"/>
      <c r="D1021" s="24"/>
      <c r="E1021" s="25"/>
      <c r="F1021" s="26"/>
      <c r="G1021" s="27">
        <f>SUM(G1022:G1023)</f>
        <v>0</v>
      </c>
      <c r="H1021" s="44">
        <f>G1021*E1009</f>
        <v>0</v>
      </c>
    </row>
    <row r="1022" spans="1:11">
      <c r="A1022" s="28"/>
      <c r="B1022" s="29"/>
      <c r="C1022" s="30" t="str">
        <f>IFERROR(_xlfn.XLOOKUP(B1022,Transporte[DESCRIPCION],Transporte[UND],,0),"")</f>
        <v/>
      </c>
      <c r="D1022" s="31"/>
      <c r="E1022" s="32" t="str">
        <f>IFERROR(_xlfn.XLOOKUP($B1022,Transporte[DESCRIPCION],Transporte[VALOR],,0),"")</f>
        <v/>
      </c>
      <c r="F1022" s="33"/>
      <c r="G1022" s="34" t="str">
        <f>IFERROR(IF(F1022&gt;=0,D1022*E1022*(1+F1022/100),ABS(D1022*E1022/F1022)),"")</f>
        <v/>
      </c>
      <c r="H1022" s="43" t="str">
        <f>IFERROR(G1022*E1009,"")</f>
        <v/>
      </c>
    </row>
    <row r="1023" spans="1:11">
      <c r="A1023" s="28"/>
      <c r="B1023" s="29"/>
      <c r="C1023" s="30" t="str">
        <f>IFERROR(_xlfn.XLOOKUP(B1023,Transporte[DESCRIPCION],Transporte[UND],,0),"")</f>
        <v/>
      </c>
      <c r="D1023" s="31"/>
      <c r="E1023" s="32" t="str">
        <f>IFERROR(_xlfn.XLOOKUP($B1023,Transporte[DESCRIPCION],Transporte[VALOR],,0),"")</f>
        <v/>
      </c>
      <c r="F1023" s="33"/>
      <c r="G1023" s="34" t="str">
        <f>IFERROR(IF(F1023&gt;=0,D1023*E1023*(1+F1023/100),ABS(D1023*E1023/F1023)),"")</f>
        <v/>
      </c>
      <c r="H1023" s="43" t="str">
        <f>IFERROR(G1023*E1009,"")</f>
        <v/>
      </c>
    </row>
    <row r="1024" spans="1:11">
      <c r="A1024" s="21"/>
      <c r="B1024" s="22" t="s">
        <v>3732</v>
      </c>
      <c r="C1024" s="23"/>
      <c r="D1024" s="24"/>
      <c r="E1024" s="25"/>
      <c r="F1024" s="26"/>
      <c r="G1024" s="27">
        <f>SUM(G1025:G1027)</f>
        <v>42209.869333125011</v>
      </c>
      <c r="H1024" s="44">
        <f>G1024*E1009</f>
        <v>0</v>
      </c>
    </row>
    <row r="1025" spans="1:11">
      <c r="A1025" s="28"/>
      <c r="B1025" s="29" t="s">
        <v>3715</v>
      </c>
      <c r="C1025" s="30" t="str">
        <f>IFERROR(_xlfn.XLOOKUP(B1025,MObra[DESCRIPCION],MObra[UN],,0),"")</f>
        <v>día</v>
      </c>
      <c r="D1025" s="31">
        <v>1</v>
      </c>
      <c r="E1025" s="32">
        <f>IFERROR(_xlfn.XLOOKUP($B1025,MObra[DESCRIPCION],MObra[VALOR UNIT],,0),"")</f>
        <v>337678.95466500008</v>
      </c>
      <c r="F1025" s="33">
        <v>-8</v>
      </c>
      <c r="G1025" s="34">
        <f>IFERROR(IF(F1025&gt;=0,D1025*E1025*(1+F1025/100),ABS(D1025*E1025/F1025)),"")</f>
        <v>42209.869333125011</v>
      </c>
      <c r="H1025" s="43">
        <f>IFERROR(G1025*E1009,"")</f>
        <v>0</v>
      </c>
    </row>
    <row r="1026" spans="1:11">
      <c r="A1026" s="28"/>
      <c r="B1026" s="29"/>
      <c r="C1026" s="30" t="str">
        <f t="array" ref="C1026">IFERROR(_xlfn.XLOOKUP(B1026,MObra[[#All],[DESCRIPCION]],MObra[[#All],[UN]],,0),"")</f>
        <v/>
      </c>
      <c r="D1026" s="31"/>
      <c r="E1026" s="32" t="str">
        <f>IFERROR(_xlfn.XLOOKUP($B1026,MObra[DESCRIPCION],MObra[VALOR UNIT],,0),"")</f>
        <v/>
      </c>
      <c r="F1026" s="33"/>
      <c r="G1026" s="34" t="str">
        <f>IFERROR(IF(F1026&gt;=0,D1026*E1026*(1+F1026/100),ABS(D1026*E1026/F1026)),"")</f>
        <v/>
      </c>
      <c r="H1026" s="43" t="str">
        <f>IFERROR(G1026*E1009,"")</f>
        <v/>
      </c>
    </row>
    <row r="1027" spans="1:11">
      <c r="A1027" s="35"/>
      <c r="B1027" s="36"/>
      <c r="C1027" s="37" t="str">
        <f t="array" ref="C1027">IFERROR(_xlfn.XLOOKUP(B1027,MObra[[#All],[DESCRIPCION]],MObra[[#All],[UN]],,0),"")</f>
        <v/>
      </c>
      <c r="D1027" s="38"/>
      <c r="E1027" s="39" t="str">
        <f>IFERROR(_xlfn.XLOOKUP($B1027,MObra[DESCRIPCION],MObra[VALOR UNIT],,0),"")</f>
        <v/>
      </c>
      <c r="F1027" s="40"/>
      <c r="G1027" s="41" t="str">
        <f>IFERROR(IF(F1027&gt;=0,D1027*E1027*(1+F1027/100),ABS(D1027*E1027/F1027)),"")</f>
        <v/>
      </c>
      <c r="H1027" s="42" t="str">
        <f>IFERROR(G1027*E1009,"")</f>
        <v/>
      </c>
    </row>
    <row r="1028" spans="1:11" ht="13.5" thickTop="1" thickBot="1"/>
    <row r="1029" spans="1:11" ht="36" customHeight="1" thickTop="1" thickBot="1">
      <c r="A1029" s="6" t="s">
        <v>979</v>
      </c>
      <c r="B1029" s="7" t="str">
        <f>VLOOKUP($A1029,Presupuesto!$A:$D,2,FALSE())</f>
        <v>Luminaria Panel LED sobreponer 20x20 cm en led 100-240 Vac, 4000 K, 11 W, 950 lm, 50.000 horas, eficacia 80 Lm/W mín</v>
      </c>
      <c r="C1029" s="8" t="str">
        <f>VLOOKUP($A1029,Presupuesto!$A:$D,3,FALSE())</f>
        <v>Un</v>
      </c>
      <c r="D1029" s="9"/>
      <c r="E1029" s="10">
        <f>VLOOKUP($A1029,Presupuesto!$A:$D,4,FALSE())</f>
        <v>0</v>
      </c>
      <c r="F1029" s="11" t="s">
        <v>2589</v>
      </c>
      <c r="G1029" s="12">
        <f>SUM(G1031:G1047)/2</f>
        <v>170068.35757310627</v>
      </c>
      <c r="H1029" s="13">
        <f>ROUND(SUM(H1031:H1047),0)/2</f>
        <v>0</v>
      </c>
      <c r="I1029" s="10">
        <f>VLOOKUP(A1029,Presupuesto!$A:$F,6,0)</f>
        <v>0</v>
      </c>
      <c r="J1029" s="10">
        <f>+H1029-I1029</f>
        <v>0</v>
      </c>
      <c r="K1029" s="46">
        <f>+H1029-G1029*E1029</f>
        <v>0</v>
      </c>
    </row>
    <row r="1030" spans="1:11">
      <c r="A1030" s="14"/>
      <c r="B1030" s="15" t="s">
        <v>2586</v>
      </c>
      <c r="C1030" s="15" t="s">
        <v>5</v>
      </c>
      <c r="D1030" s="16" t="s">
        <v>6</v>
      </c>
      <c r="E1030" s="17" t="s">
        <v>7</v>
      </c>
      <c r="F1030" s="18" t="s">
        <v>3728</v>
      </c>
      <c r="G1030" s="19" t="s">
        <v>3729</v>
      </c>
      <c r="H1030" s="20" t="s">
        <v>3797</v>
      </c>
    </row>
    <row r="1031" spans="1:11">
      <c r="A1031" s="21"/>
      <c r="B1031" s="22" t="s">
        <v>3730</v>
      </c>
      <c r="C1031" s="23"/>
      <c r="D1031" s="24"/>
      <c r="E1031" s="25"/>
      <c r="F1031" s="26"/>
      <c r="G1031" s="27">
        <f>SUM(G1032:G1036)</f>
        <v>124059.6</v>
      </c>
      <c r="H1031" s="27">
        <f>IFERROR(G1031*E1029,"")</f>
        <v>0</v>
      </c>
    </row>
    <row r="1032" spans="1:11" ht="25.5">
      <c r="A1032" s="28"/>
      <c r="B1032" s="29" t="s">
        <v>3116</v>
      </c>
      <c r="C1032" s="30" t="str">
        <f>IFERROR(_xlfn.XLOOKUP(B1032,Insumo[DESCRIPCION],Insumo[UND],,0),"")</f>
        <v>Un</v>
      </c>
      <c r="D1032" s="31">
        <v>1</v>
      </c>
      <c r="E1032" s="32">
        <f>IFERROR(_xlfn.XLOOKUP($B1032,Insumo[DESCRIPCION],Insumo[VALOR],,0),"")</f>
        <v>110250</v>
      </c>
      <c r="F1032" s="33"/>
      <c r="G1032" s="34">
        <f>IFERROR(IF(F1032&gt;=0,D1032*E1032*(1+F1032/100),ABS(D1032*E1032/F1032)),"")</f>
        <v>110250</v>
      </c>
      <c r="H1032" s="43">
        <f>IFERROR(G1032*E1029,"")</f>
        <v>0</v>
      </c>
    </row>
    <row r="1033" spans="1:11">
      <c r="A1033" s="28"/>
      <c r="B1033" s="29" t="s">
        <v>2800</v>
      </c>
      <c r="C1033" s="30" t="str">
        <f>IFERROR(_xlfn.XLOOKUP(B1033,Insumo[DESCRIPCION],Insumo[UND],,0),"")</f>
        <v>M</v>
      </c>
      <c r="D1033" s="31">
        <v>1</v>
      </c>
      <c r="E1033" s="32">
        <f>IFERROR(_xlfn.XLOOKUP($B1033,Insumo[DESCRIPCION],Insumo[VALOR],,0),"")</f>
        <v>7387.8</v>
      </c>
      <c r="F1033" s="33"/>
      <c r="G1033" s="34">
        <f>IFERROR(IF(F1033&gt;=0,D1033*E1033*(1+F1033/100),ABS(D1033*E1033/F1033)),"")</f>
        <v>7387.8</v>
      </c>
      <c r="H1033" s="43">
        <f>IFERROR(G1033*E1029,"")</f>
        <v>0</v>
      </c>
    </row>
    <row r="1034" spans="1:11">
      <c r="A1034" s="28"/>
      <c r="B1034" s="29" t="s">
        <v>2855</v>
      </c>
      <c r="C1034" s="30" t="str">
        <f>IFERROR(_xlfn.XLOOKUP(B1034,Insumo[DESCRIPCION],Insumo[UND],,0),"")</f>
        <v>Un</v>
      </c>
      <c r="D1034" s="31">
        <v>1</v>
      </c>
      <c r="E1034" s="32">
        <f>IFERROR(_xlfn.XLOOKUP($B1034,Insumo[DESCRIPCION],Insumo[VALOR],,0),"")</f>
        <v>6421.8</v>
      </c>
      <c r="F1034" s="33"/>
      <c r="G1034" s="34">
        <f>IFERROR(IF(F1034&gt;=0,D1034*E1034*(1+F1034/100),ABS(D1034*E1034/F1034)),"")</f>
        <v>6421.8</v>
      </c>
      <c r="H1034" s="43">
        <f>IFERROR(G1034*E1029,"")</f>
        <v>0</v>
      </c>
    </row>
    <row r="1035" spans="1:11">
      <c r="A1035" s="28"/>
      <c r="B1035" s="29"/>
      <c r="C1035" s="30" t="str">
        <f>IFERROR(_xlfn.XLOOKUP(B1035,Insumo[DESCRIPCION],Insumo[UND],,0),"")</f>
        <v/>
      </c>
      <c r="D1035" s="31"/>
      <c r="E1035" s="32" t="str">
        <f>IFERROR(_xlfn.XLOOKUP($B1035,Insumo[DESCRIPCION],Insumo[VALOR],,0),"")</f>
        <v/>
      </c>
      <c r="F1035" s="33"/>
      <c r="G1035" s="34" t="str">
        <f>IFERROR(IF(F1035&gt;=0,D1035*E1035*(1+F1035/100),ABS(D1035*E1035/F1035)),"")</f>
        <v/>
      </c>
      <c r="H1035" s="43" t="str">
        <f>IFERROR(G1035*E1029,"")</f>
        <v/>
      </c>
    </row>
    <row r="1036" spans="1:11">
      <c r="A1036" s="28"/>
      <c r="B1036" s="29"/>
      <c r="C1036" s="30" t="str">
        <f>IFERROR(_xlfn.XLOOKUP(B1036,Insumo[DESCRIPCION],Insumo[UND],,0),"")</f>
        <v/>
      </c>
      <c r="D1036" s="31"/>
      <c r="E1036" s="32" t="str">
        <f>IFERROR(_xlfn.XLOOKUP($B1036,Insumo[DESCRIPCION],Insumo[VALOR],,0),"")</f>
        <v/>
      </c>
      <c r="F1036" s="33"/>
      <c r="G1036" s="34" t="str">
        <f>IFERROR(IF(F1036&gt;=0,D1036*E1036*(1+F1036/100),ABS(D1036*E1036/F1036)),"")</f>
        <v/>
      </c>
      <c r="H1036" s="43" t="str">
        <f>IFERROR(G1036*E1029,"")</f>
        <v/>
      </c>
    </row>
    <row r="1037" spans="1:11">
      <c r="A1037" s="21"/>
      <c r="B1037" s="22" t="s">
        <v>3731</v>
      </c>
      <c r="C1037" s="23"/>
      <c r="D1037" s="24"/>
      <c r="E1037" s="25"/>
      <c r="F1037" s="26"/>
      <c r="G1037" s="27">
        <f>SUM(G1038:G1040)</f>
        <v>3798.888239981251</v>
      </c>
      <c r="H1037" s="44">
        <f>G1037*E1029</f>
        <v>0</v>
      </c>
    </row>
    <row r="1038" spans="1:11">
      <c r="A1038" s="28"/>
      <c r="B1038" s="29" t="s">
        <v>3570</v>
      </c>
      <c r="C1038" s="30" t="str">
        <f>IFERROR(_xlfn.XLOOKUP(B1038,Equipo[DESCRIPCION],Equipo[UND],,0),"")</f>
        <v>%MO</v>
      </c>
      <c r="D1038" s="31">
        <v>0.04</v>
      </c>
      <c r="E1038" s="32">
        <f>IF(C1038="%MO",G1044,IFERROR(_xlfn.XLOOKUP($B1038,Equipo[DESCRIPCION],Equipo[VALOR],,0),""))</f>
        <v>42209.869333125011</v>
      </c>
      <c r="F1038" s="33"/>
      <c r="G1038" s="34">
        <f>IFERROR(IF(F1038&gt;=0,D1038*E1038*(1+F1038/100),ABS(D1038*E1038/F1038)),"")</f>
        <v>1688.3947733250004</v>
      </c>
      <c r="H1038" s="43">
        <f>IFERROR(G1038*E1029,"")</f>
        <v>0</v>
      </c>
    </row>
    <row r="1039" spans="1:11">
      <c r="A1039" s="28"/>
      <c r="B1039" s="29" t="s">
        <v>3626</v>
      </c>
      <c r="C1039" s="30" t="str">
        <f>IFERROR(_xlfn.XLOOKUP(B1039,Equipo[DESCRIPCION],Equipo[UND],,0),"")</f>
        <v>%MO</v>
      </c>
      <c r="D1039" s="31">
        <v>0.05</v>
      </c>
      <c r="E1039" s="32">
        <f>IF(C1039="%MO",G1044,IFERROR(_xlfn.XLOOKUP($B1039,Equipo[DESCRIPCION],Equipo[VALOR],,0),""))</f>
        <v>42209.869333125011</v>
      </c>
      <c r="F1039" s="33"/>
      <c r="G1039" s="34">
        <f>IFERROR(IF(F1039&gt;=0,D1039*E1039*(1+F1039/100),ABS(D1039*E1039/F1039)),"")</f>
        <v>2110.4934666562508</v>
      </c>
      <c r="H1039" s="43">
        <f>IFERROR(G1039*E1029,"")</f>
        <v>0</v>
      </c>
    </row>
    <row r="1040" spans="1:11">
      <c r="A1040" s="28"/>
      <c r="B1040" s="29"/>
      <c r="C1040" s="30" t="str">
        <f>IFERROR(_xlfn.XLOOKUP(B1040,Equipo[DESCRIPCION],Equipo[UND],,0),"")</f>
        <v/>
      </c>
      <c r="D1040" s="31"/>
      <c r="E1040" s="32" t="str">
        <f>IF(C1040="%MO",G1044,IFERROR(_xlfn.XLOOKUP($B1040,Equipo[DESCRIPCION],Equipo[VALOR],,0),""))</f>
        <v/>
      </c>
      <c r="F1040" s="33"/>
      <c r="G1040" s="34" t="str">
        <f>IFERROR(IF(F1040&gt;=0,D1040*E1040*(1+F1040/100),ABS(D1040*E1040/F1040)),"")</f>
        <v/>
      </c>
      <c r="H1040" s="43" t="str">
        <f>IFERROR(G1040*E1029,"")</f>
        <v/>
      </c>
    </row>
    <row r="1041" spans="1:11">
      <c r="A1041" s="21"/>
      <c r="B1041" s="22" t="s">
        <v>2533</v>
      </c>
      <c r="C1041" s="23"/>
      <c r="D1041" s="24"/>
      <c r="E1041" s="25"/>
      <c r="F1041" s="26"/>
      <c r="G1041" s="27">
        <f>SUM(G1042:G1043)</f>
        <v>0</v>
      </c>
      <c r="H1041" s="44">
        <f>G1041*E1029</f>
        <v>0</v>
      </c>
    </row>
    <row r="1042" spans="1:11">
      <c r="A1042" s="28"/>
      <c r="B1042" s="29"/>
      <c r="C1042" s="30" t="str">
        <f>IFERROR(_xlfn.XLOOKUP(B1042,Transporte[DESCRIPCION],Transporte[UND],,0),"")</f>
        <v/>
      </c>
      <c r="D1042" s="31"/>
      <c r="E1042" s="32" t="str">
        <f>IFERROR(_xlfn.XLOOKUP($B1042,Transporte[DESCRIPCION],Transporte[VALOR],,0),"")</f>
        <v/>
      </c>
      <c r="F1042" s="33"/>
      <c r="G1042" s="34" t="str">
        <f>IFERROR(IF(F1042&gt;=0,D1042*E1042*(1+F1042/100),ABS(D1042*E1042/F1042)),"")</f>
        <v/>
      </c>
      <c r="H1042" s="43" t="str">
        <f>IFERROR(G1042*E1029,"")</f>
        <v/>
      </c>
    </row>
    <row r="1043" spans="1:11">
      <c r="A1043" s="28"/>
      <c r="B1043" s="29"/>
      <c r="C1043" s="30" t="str">
        <f>IFERROR(_xlfn.XLOOKUP(B1043,Transporte[DESCRIPCION],Transporte[UND],,0),"")</f>
        <v/>
      </c>
      <c r="D1043" s="31"/>
      <c r="E1043" s="32" t="str">
        <f>IFERROR(_xlfn.XLOOKUP($B1043,Transporte[DESCRIPCION],Transporte[VALOR],,0),"")</f>
        <v/>
      </c>
      <c r="F1043" s="33"/>
      <c r="G1043" s="34" t="str">
        <f>IFERROR(IF(F1043&gt;=0,D1043*E1043*(1+F1043/100),ABS(D1043*E1043/F1043)),"")</f>
        <v/>
      </c>
      <c r="H1043" s="43" t="str">
        <f>IFERROR(G1043*E1029,"")</f>
        <v/>
      </c>
    </row>
    <row r="1044" spans="1:11">
      <c r="A1044" s="21"/>
      <c r="B1044" s="22" t="s">
        <v>3732</v>
      </c>
      <c r="C1044" s="23"/>
      <c r="D1044" s="24"/>
      <c r="E1044" s="25"/>
      <c r="F1044" s="26"/>
      <c r="G1044" s="27">
        <f>SUM(G1045:G1047)</f>
        <v>42209.869333125011</v>
      </c>
      <c r="H1044" s="44">
        <f>G1044*E1029</f>
        <v>0</v>
      </c>
    </row>
    <row r="1045" spans="1:11">
      <c r="A1045" s="28"/>
      <c r="B1045" s="29" t="s">
        <v>3715</v>
      </c>
      <c r="C1045" s="30" t="str">
        <f>IFERROR(_xlfn.XLOOKUP(B1045,MObra[DESCRIPCION],MObra[UN],,0),"")</f>
        <v>día</v>
      </c>
      <c r="D1045" s="31">
        <v>1</v>
      </c>
      <c r="E1045" s="32">
        <f>IFERROR(_xlfn.XLOOKUP($B1045,MObra[DESCRIPCION],MObra[VALOR UNIT],,0),"")</f>
        <v>337678.95466500008</v>
      </c>
      <c r="F1045" s="33">
        <v>-8</v>
      </c>
      <c r="G1045" s="34">
        <f>IFERROR(IF(F1045&gt;=0,D1045*E1045*(1+F1045/100),ABS(D1045*E1045/F1045)),"")</f>
        <v>42209.869333125011</v>
      </c>
      <c r="H1045" s="43">
        <f>IFERROR(G1045*E1029,"")</f>
        <v>0</v>
      </c>
    </row>
    <row r="1046" spans="1:11">
      <c r="A1046" s="28"/>
      <c r="B1046" s="29"/>
      <c r="C1046" s="30" t="str">
        <f t="array" ref="C1046">IFERROR(_xlfn.XLOOKUP(B1046,MObra[[#All],[DESCRIPCION]],MObra[[#All],[UN]],,0),"")</f>
        <v/>
      </c>
      <c r="D1046" s="31"/>
      <c r="E1046" s="32" t="str">
        <f>IFERROR(_xlfn.XLOOKUP($B1046,MObra[DESCRIPCION],MObra[VALOR UNIT],,0),"")</f>
        <v/>
      </c>
      <c r="F1046" s="33"/>
      <c r="G1046" s="34" t="str">
        <f>IFERROR(IF(F1046&gt;=0,D1046*E1046*(1+F1046/100),ABS(D1046*E1046/F1046)),"")</f>
        <v/>
      </c>
      <c r="H1046" s="43" t="str">
        <f>IFERROR(G1046*E1029,"")</f>
        <v/>
      </c>
    </row>
    <row r="1047" spans="1:11">
      <c r="A1047" s="35"/>
      <c r="B1047" s="36"/>
      <c r="C1047" s="37" t="str">
        <f t="array" ref="C1047">IFERROR(_xlfn.XLOOKUP(B1047,MObra[[#All],[DESCRIPCION]],MObra[[#All],[UN]],,0),"")</f>
        <v/>
      </c>
      <c r="D1047" s="38"/>
      <c r="E1047" s="39" t="str">
        <f>IFERROR(_xlfn.XLOOKUP($B1047,MObra[DESCRIPCION],MObra[VALOR UNIT],,0),"")</f>
        <v/>
      </c>
      <c r="F1047" s="40"/>
      <c r="G1047" s="41" t="str">
        <f>IFERROR(IF(F1047&gt;=0,D1047*E1047*(1+F1047/100),ABS(D1047*E1047/F1047)),"")</f>
        <v/>
      </c>
      <c r="H1047" s="42" t="str">
        <f>IFERROR(G1047*E1029,"")</f>
        <v/>
      </c>
    </row>
    <row r="1048" spans="1:11" ht="13.5" thickTop="1" thickBot="1"/>
    <row r="1049" spans="1:11" ht="13.5" thickTop="1" thickBot="1">
      <c r="A1049" s="6" t="s">
        <v>981</v>
      </c>
      <c r="B1049" s="7" t="str">
        <f>VLOOKUP($A1049,Presupuesto!$A:$D,2,FALSE())</f>
        <v>Luz de emergencia en LED aplique 120 min, 120-277 Vac, 10W, 900 lm</v>
      </c>
      <c r="C1049" s="8" t="str">
        <f>VLOOKUP($A1049,Presupuesto!$A:$D,3,FALSE())</f>
        <v>Un</v>
      </c>
      <c r="D1049" s="9"/>
      <c r="E1049" s="10">
        <f>VLOOKUP($A1049,Presupuesto!$A:$D,4,FALSE())</f>
        <v>0</v>
      </c>
      <c r="F1049" s="11" t="s">
        <v>2589</v>
      </c>
      <c r="G1049" s="12">
        <f>SUM(G1051:G1067)/2</f>
        <v>235073.86279978126</v>
      </c>
      <c r="H1049" s="13">
        <f>ROUND(SUM(H1051:H1067),0)/2</f>
        <v>0</v>
      </c>
      <c r="I1049" s="10">
        <f>VLOOKUP(A1049,Presupuesto!$A:$F,6,0)</f>
        <v>0</v>
      </c>
      <c r="J1049" s="10">
        <f>+H1049-I1049</f>
        <v>0</v>
      </c>
      <c r="K1049" s="46">
        <f>+H1049-G1049*E1049</f>
        <v>0</v>
      </c>
    </row>
    <row r="1050" spans="1:11">
      <c r="A1050" s="14"/>
      <c r="B1050" s="15" t="s">
        <v>2586</v>
      </c>
      <c r="C1050" s="15" t="s">
        <v>5</v>
      </c>
      <c r="D1050" s="16" t="s">
        <v>6</v>
      </c>
      <c r="E1050" s="17" t="s">
        <v>7</v>
      </c>
      <c r="F1050" s="18" t="s">
        <v>3728</v>
      </c>
      <c r="G1050" s="19" t="s">
        <v>3729</v>
      </c>
      <c r="H1050" s="20" t="s">
        <v>3797</v>
      </c>
    </row>
    <row r="1051" spans="1:11">
      <c r="A1051" s="21"/>
      <c r="B1051" s="22" t="s">
        <v>3730</v>
      </c>
      <c r="C1051" s="23"/>
      <c r="D1051" s="24"/>
      <c r="E1051" s="25"/>
      <c r="F1051" s="26"/>
      <c r="G1051" s="27">
        <f>SUM(G1052:G1056)</f>
        <v>190753.5</v>
      </c>
      <c r="H1051" s="27">
        <f>IFERROR(G1051*E1049,"")</f>
        <v>0</v>
      </c>
    </row>
    <row r="1052" spans="1:11">
      <c r="A1052" s="28"/>
      <c r="B1052" s="29" t="s">
        <v>3812</v>
      </c>
      <c r="C1052" s="30" t="str">
        <f>IFERROR(_xlfn.XLOOKUP(B1052,Insumo[DESCRIPCION],Insumo[UND],,0),"")</f>
        <v>Un</v>
      </c>
      <c r="D1052" s="31">
        <v>1</v>
      </c>
      <c r="E1052" s="32">
        <f>IFERROR(_xlfn.XLOOKUP($B1052,Insumo[DESCRIPCION],Insumo[VALOR],,0),"")</f>
        <v>173250</v>
      </c>
      <c r="F1052" s="33"/>
      <c r="G1052" s="34">
        <f>IFERROR(IF(F1052&gt;=0,D1052*E1052*(1+F1052/100),ABS(D1052*E1052/F1052)),"")</f>
        <v>173250</v>
      </c>
      <c r="H1052" s="43">
        <f>IFERROR(G1052*E1049,"")</f>
        <v>0</v>
      </c>
    </row>
    <row r="1053" spans="1:11">
      <c r="A1053" s="28"/>
      <c r="B1053" s="29" t="s">
        <v>2800</v>
      </c>
      <c r="C1053" s="30" t="str">
        <f>IFERROR(_xlfn.XLOOKUP(B1053,Insumo[DESCRIPCION],Insumo[UND],,0),"")</f>
        <v>M</v>
      </c>
      <c r="D1053" s="31">
        <v>1.5</v>
      </c>
      <c r="E1053" s="32">
        <f>IFERROR(_xlfn.XLOOKUP($B1053,Insumo[DESCRIPCION],Insumo[VALOR],,0),"")</f>
        <v>7387.8</v>
      </c>
      <c r="F1053" s="33"/>
      <c r="G1053" s="34">
        <f>IFERROR(IF(F1053&gt;=0,D1053*E1053*(1+F1053/100),ABS(D1053*E1053/F1053)),"")</f>
        <v>11081.7</v>
      </c>
      <c r="H1053" s="43">
        <f>IFERROR(G1053*E1049,"")</f>
        <v>0</v>
      </c>
    </row>
    <row r="1054" spans="1:11">
      <c r="A1054" s="28"/>
      <c r="B1054" s="29" t="s">
        <v>2855</v>
      </c>
      <c r="C1054" s="30" t="str">
        <f>IFERROR(_xlfn.XLOOKUP(B1054,Insumo[DESCRIPCION],Insumo[UND],,0),"")</f>
        <v>Un</v>
      </c>
      <c r="D1054" s="31">
        <v>1</v>
      </c>
      <c r="E1054" s="32">
        <f>IFERROR(_xlfn.XLOOKUP($B1054,Insumo[DESCRIPCION],Insumo[VALOR],,0),"")</f>
        <v>6421.8</v>
      </c>
      <c r="F1054" s="33"/>
      <c r="G1054" s="34">
        <f>IFERROR(IF(F1054&gt;=0,D1054*E1054*(1+F1054/100),ABS(D1054*E1054/F1054)),"")</f>
        <v>6421.8</v>
      </c>
      <c r="H1054" s="43">
        <f>IFERROR(G1054*E1049,"")</f>
        <v>0</v>
      </c>
    </row>
    <row r="1055" spans="1:11">
      <c r="A1055" s="28"/>
      <c r="B1055" s="29"/>
      <c r="C1055" s="30" t="str">
        <f>IFERROR(_xlfn.XLOOKUP(B1055,Insumo[DESCRIPCION],Insumo[UND],,0),"")</f>
        <v/>
      </c>
      <c r="D1055" s="31"/>
      <c r="E1055" s="32" t="str">
        <f>IFERROR(_xlfn.XLOOKUP($B1055,Insumo[DESCRIPCION],Insumo[VALOR],,0),"")</f>
        <v/>
      </c>
      <c r="F1055" s="33"/>
      <c r="G1055" s="34" t="str">
        <f>IFERROR(IF(F1055&gt;=0,D1055*E1055*(1+F1055/100),ABS(D1055*E1055/F1055)),"")</f>
        <v/>
      </c>
      <c r="H1055" s="43" t="str">
        <f>IFERROR(G1055*E1049,"")</f>
        <v/>
      </c>
    </row>
    <row r="1056" spans="1:11">
      <c r="A1056" s="28"/>
      <c r="B1056" s="29"/>
      <c r="C1056" s="30" t="str">
        <f>IFERROR(_xlfn.XLOOKUP(B1056,Insumo[DESCRIPCION],Insumo[UND],,0),"")</f>
        <v/>
      </c>
      <c r="D1056" s="31"/>
      <c r="E1056" s="32" t="str">
        <f>IFERROR(_xlfn.XLOOKUP($B1056,Insumo[DESCRIPCION],Insumo[VALOR],,0),"")</f>
        <v/>
      </c>
      <c r="F1056" s="33"/>
      <c r="G1056" s="34" t="str">
        <f>IFERROR(IF(F1056&gt;=0,D1056*E1056*(1+F1056/100),ABS(D1056*E1056/F1056)),"")</f>
        <v/>
      </c>
      <c r="H1056" s="43" t="str">
        <f>IFERROR(G1056*E1049,"")</f>
        <v/>
      </c>
    </row>
    <row r="1057" spans="1:11">
      <c r="A1057" s="21"/>
      <c r="B1057" s="22" t="s">
        <v>3731</v>
      </c>
      <c r="C1057" s="23"/>
      <c r="D1057" s="24"/>
      <c r="E1057" s="25"/>
      <c r="F1057" s="26"/>
      <c r="G1057" s="27">
        <f>SUM(G1058:G1060)</f>
        <v>2110.4934666562508</v>
      </c>
      <c r="H1057" s="44">
        <f>G1057*E1049</f>
        <v>0</v>
      </c>
    </row>
    <row r="1058" spans="1:11">
      <c r="A1058" s="28"/>
      <c r="B1058" s="29" t="s">
        <v>3626</v>
      </c>
      <c r="C1058" s="30" t="str">
        <f>IFERROR(_xlfn.XLOOKUP(B1058,Equipo[DESCRIPCION],Equipo[UND],,0),"")</f>
        <v>%MO</v>
      </c>
      <c r="D1058" s="31">
        <v>0.05</v>
      </c>
      <c r="E1058" s="32">
        <f>IF(C1058="%MO",G1064,IFERROR(_xlfn.XLOOKUP($B1058,Equipo[DESCRIPCION],Equipo[VALOR],,0),""))</f>
        <v>42209.869333125011</v>
      </c>
      <c r="F1058" s="33"/>
      <c r="G1058" s="34">
        <f>IFERROR(IF(F1058&gt;=0,D1058*E1058*(1+F1058/100),ABS(D1058*E1058/F1058)),"")</f>
        <v>2110.4934666562508</v>
      </c>
      <c r="H1058" s="43">
        <f>IFERROR(G1058*E1049,"")</f>
        <v>0</v>
      </c>
    </row>
    <row r="1059" spans="1:11">
      <c r="A1059" s="28"/>
      <c r="B1059" s="29"/>
      <c r="C1059" s="30" t="str">
        <f>IFERROR(_xlfn.XLOOKUP(B1059,Equipo[DESCRIPCION],Equipo[UND],,0),"")</f>
        <v/>
      </c>
      <c r="D1059" s="31"/>
      <c r="E1059" s="32" t="str">
        <f>IF(C1059="%MO",G1064,IFERROR(_xlfn.XLOOKUP($B1059,Equipo[DESCRIPCION],Equipo[VALOR],,0),""))</f>
        <v/>
      </c>
      <c r="F1059" s="33"/>
      <c r="G1059" s="34" t="str">
        <f>IFERROR(IF(F1059&gt;=0,D1059*E1059*(1+F1059/100),ABS(D1059*E1059/F1059)),"")</f>
        <v/>
      </c>
      <c r="H1059" s="43" t="str">
        <f>IFERROR(G1059*E1049,"")</f>
        <v/>
      </c>
    </row>
    <row r="1060" spans="1:11">
      <c r="A1060" s="28"/>
      <c r="B1060" s="29"/>
      <c r="C1060" s="30" t="str">
        <f>IFERROR(_xlfn.XLOOKUP(B1060,Equipo[DESCRIPCION],Equipo[UND],,0),"")</f>
        <v/>
      </c>
      <c r="D1060" s="31"/>
      <c r="E1060" s="32" t="str">
        <f>IF(C1060="%MO",G1064,IFERROR(_xlfn.XLOOKUP($B1060,Equipo[DESCRIPCION],Equipo[VALOR],,0),""))</f>
        <v/>
      </c>
      <c r="F1060" s="33"/>
      <c r="G1060" s="34" t="str">
        <f>IFERROR(IF(F1060&gt;=0,D1060*E1060*(1+F1060/100),ABS(D1060*E1060/F1060)),"")</f>
        <v/>
      </c>
      <c r="H1060" s="43" t="str">
        <f>IFERROR(G1060*E1049,"")</f>
        <v/>
      </c>
    </row>
    <row r="1061" spans="1:11">
      <c r="A1061" s="21"/>
      <c r="B1061" s="22" t="s">
        <v>2533</v>
      </c>
      <c r="C1061" s="23"/>
      <c r="D1061" s="24"/>
      <c r="E1061" s="25"/>
      <c r="F1061" s="26"/>
      <c r="G1061" s="27">
        <f>SUM(G1062:G1063)</f>
        <v>0</v>
      </c>
      <c r="H1061" s="44">
        <f>G1061*E1049</f>
        <v>0</v>
      </c>
    </row>
    <row r="1062" spans="1:11">
      <c r="A1062" s="28"/>
      <c r="B1062" s="29"/>
      <c r="C1062" s="30" t="str">
        <f>IFERROR(_xlfn.XLOOKUP(B1062,Transporte[DESCRIPCION],Transporte[UND],,0),"")</f>
        <v/>
      </c>
      <c r="D1062" s="31"/>
      <c r="E1062" s="32" t="str">
        <f>IFERROR(_xlfn.XLOOKUP($B1062,Transporte[DESCRIPCION],Transporte[VALOR],,0),"")</f>
        <v/>
      </c>
      <c r="F1062" s="33"/>
      <c r="G1062" s="34" t="str">
        <f>IFERROR(IF(F1062&gt;=0,D1062*E1062*(1+F1062/100),ABS(D1062*E1062/F1062)),"")</f>
        <v/>
      </c>
      <c r="H1062" s="43" t="str">
        <f>IFERROR(G1062*E1049,"")</f>
        <v/>
      </c>
    </row>
    <row r="1063" spans="1:11">
      <c r="A1063" s="28"/>
      <c r="B1063" s="29"/>
      <c r="C1063" s="30" t="str">
        <f>IFERROR(_xlfn.XLOOKUP(B1063,Transporte[DESCRIPCION],Transporte[UND],,0),"")</f>
        <v/>
      </c>
      <c r="D1063" s="31"/>
      <c r="E1063" s="32" t="str">
        <f>IFERROR(_xlfn.XLOOKUP($B1063,Transporte[DESCRIPCION],Transporte[VALOR],,0),"")</f>
        <v/>
      </c>
      <c r="F1063" s="33"/>
      <c r="G1063" s="34" t="str">
        <f>IFERROR(IF(F1063&gt;=0,D1063*E1063*(1+F1063/100),ABS(D1063*E1063/F1063)),"")</f>
        <v/>
      </c>
      <c r="H1063" s="43" t="str">
        <f>IFERROR(G1063*E1049,"")</f>
        <v/>
      </c>
    </row>
    <row r="1064" spans="1:11">
      <c r="A1064" s="21"/>
      <c r="B1064" s="22" t="s">
        <v>3732</v>
      </c>
      <c r="C1064" s="23"/>
      <c r="D1064" s="24"/>
      <c r="E1064" s="25"/>
      <c r="F1064" s="26"/>
      <c r="G1064" s="27">
        <f>SUM(G1065:G1067)</f>
        <v>42209.869333125011</v>
      </c>
      <c r="H1064" s="44">
        <f>G1064*E1049</f>
        <v>0</v>
      </c>
    </row>
    <row r="1065" spans="1:11">
      <c r="A1065" s="28"/>
      <c r="B1065" s="29" t="s">
        <v>3715</v>
      </c>
      <c r="C1065" s="30" t="str">
        <f>IFERROR(_xlfn.XLOOKUP(B1065,MObra[DESCRIPCION],MObra[UN],,0),"")</f>
        <v>día</v>
      </c>
      <c r="D1065" s="31">
        <v>1</v>
      </c>
      <c r="E1065" s="32">
        <f>IFERROR(_xlfn.XLOOKUP($B1065,MObra[DESCRIPCION],MObra[VALOR UNIT],,0),"")</f>
        <v>337678.95466500008</v>
      </c>
      <c r="F1065" s="33">
        <v>-8</v>
      </c>
      <c r="G1065" s="34">
        <f>IFERROR(IF(F1065&gt;=0,D1065*E1065*(1+F1065/100),ABS(D1065*E1065/F1065)),"")</f>
        <v>42209.869333125011</v>
      </c>
      <c r="H1065" s="43">
        <f>IFERROR(G1065*E1049,"")</f>
        <v>0</v>
      </c>
    </row>
    <row r="1066" spans="1:11">
      <c r="A1066" s="28"/>
      <c r="B1066" s="29"/>
      <c r="C1066" s="30" t="str">
        <f t="array" ref="C1066">IFERROR(_xlfn.XLOOKUP(B1066,MObra[[#All],[DESCRIPCION]],MObra[[#All],[UN]],,0),"")</f>
        <v/>
      </c>
      <c r="D1066" s="31"/>
      <c r="E1066" s="32" t="str">
        <f>IFERROR(_xlfn.XLOOKUP($B1066,MObra[DESCRIPCION],MObra[VALOR UNIT],,0),"")</f>
        <v/>
      </c>
      <c r="F1066" s="33"/>
      <c r="G1066" s="34" t="str">
        <f>IFERROR(IF(F1066&gt;=0,D1066*E1066*(1+F1066/100),ABS(D1066*E1066/F1066)),"")</f>
        <v/>
      </c>
      <c r="H1066" s="43" t="str">
        <f>IFERROR(G1066*E1049,"")</f>
        <v/>
      </c>
    </row>
    <row r="1067" spans="1:11">
      <c r="A1067" s="35"/>
      <c r="B1067" s="36"/>
      <c r="C1067" s="37" t="str">
        <f t="array" ref="C1067">IFERROR(_xlfn.XLOOKUP(B1067,MObra[[#All],[DESCRIPCION]],MObra[[#All],[UN]],,0),"")</f>
        <v/>
      </c>
      <c r="D1067" s="38"/>
      <c r="E1067" s="39" t="str">
        <f>IFERROR(_xlfn.XLOOKUP($B1067,MObra[DESCRIPCION],MObra[VALOR UNIT],,0),"")</f>
        <v/>
      </c>
      <c r="F1067" s="40"/>
      <c r="G1067" s="41" t="str">
        <f>IFERROR(IF(F1067&gt;=0,D1067*E1067*(1+F1067/100),ABS(D1067*E1067/F1067)),"")</f>
        <v/>
      </c>
      <c r="H1067" s="42" t="str">
        <f>IFERROR(G1067*E1049,"")</f>
        <v/>
      </c>
    </row>
    <row r="1069" spans="1:11">
      <c r="A1069" s="6" t="s">
        <v>983</v>
      </c>
      <c r="B1069" s="7" t="str">
        <f>VLOOKUP($A1069,Presupuesto!$A:$D,2,FALSE())</f>
        <v>Luz de emergencia en LED aplique 120 min, 120-277 Vac, 4.5W, 170 lm</v>
      </c>
      <c r="C1069" s="8" t="str">
        <f>VLOOKUP($A1069,Presupuesto!$A:$D,3,FALSE())</f>
        <v>Un</v>
      </c>
      <c r="D1069" s="9"/>
      <c r="E1069" s="10">
        <f>VLOOKUP($A1069,Presupuesto!$A:$D,4,FALSE())</f>
        <v>0</v>
      </c>
      <c r="F1069" s="11" t="s">
        <v>2589</v>
      </c>
      <c r="G1069" s="12">
        <f>SUM(G1071:G1087)/2</f>
        <v>214004.87779978124</v>
      </c>
      <c r="H1069" s="13">
        <f>ROUND(SUM(H1071:H1087),0)/2</f>
        <v>0</v>
      </c>
      <c r="I1069" s="10">
        <f>VLOOKUP(A1069,Presupuesto!$A:$F,6,0)</f>
        <v>0</v>
      </c>
      <c r="J1069" s="10">
        <f>+H1069-I1069</f>
        <v>0</v>
      </c>
      <c r="K1069" s="46">
        <f>+H1069-G1069*E1069</f>
        <v>0</v>
      </c>
    </row>
    <row r="1070" spans="1:11">
      <c r="A1070" s="14"/>
      <c r="B1070" s="15" t="s">
        <v>2586</v>
      </c>
      <c r="C1070" s="15" t="s">
        <v>5</v>
      </c>
      <c r="D1070" s="16" t="s">
        <v>6</v>
      </c>
      <c r="E1070" s="17" t="s">
        <v>7</v>
      </c>
      <c r="F1070" s="18" t="s">
        <v>3728</v>
      </c>
      <c r="G1070" s="19" t="s">
        <v>3729</v>
      </c>
      <c r="H1070" s="20" t="s">
        <v>3797</v>
      </c>
    </row>
    <row r="1071" spans="1:11">
      <c r="A1071" s="21"/>
      <c r="B1071" s="22" t="s">
        <v>3730</v>
      </c>
      <c r="C1071" s="23"/>
      <c r="D1071" s="24"/>
      <c r="E1071" s="25"/>
      <c r="F1071" s="26"/>
      <c r="G1071" s="27">
        <f>SUM(G1072:G1076)</f>
        <v>169684.51499999998</v>
      </c>
      <c r="H1071" s="27">
        <f>IFERROR(G1071*E1069,"")</f>
        <v>0</v>
      </c>
    </row>
    <row r="1072" spans="1:11">
      <c r="A1072" s="28"/>
      <c r="B1072" s="29" t="s">
        <v>3119</v>
      </c>
      <c r="C1072" s="30" t="str">
        <f>IFERROR(_xlfn.XLOOKUP(B1072,Insumo[DESCRIPCION],Insumo[UND],,0),"")</f>
        <v>Un</v>
      </c>
      <c r="D1072" s="31">
        <v>1</v>
      </c>
      <c r="E1072" s="32">
        <f>IFERROR(_xlfn.XLOOKUP($B1072,Insumo[DESCRIPCION],Insumo[VALOR],,0),"")</f>
        <v>152181.01499999998</v>
      </c>
      <c r="F1072" s="33"/>
      <c r="G1072" s="34">
        <f>IFERROR(IF(F1072&gt;=0,D1072*E1072*(1+F1072/100),ABS(D1072*E1072/F1072)),"")</f>
        <v>152181.01499999998</v>
      </c>
      <c r="H1072" s="43">
        <f>IFERROR(G1072*E1069,"")</f>
        <v>0</v>
      </c>
    </row>
    <row r="1073" spans="1:8">
      <c r="A1073" s="28"/>
      <c r="B1073" s="29" t="s">
        <v>2800</v>
      </c>
      <c r="C1073" s="30" t="str">
        <f>IFERROR(_xlfn.XLOOKUP(B1073,Insumo[DESCRIPCION],Insumo[UND],,0),"")</f>
        <v>M</v>
      </c>
      <c r="D1073" s="31">
        <v>1.5</v>
      </c>
      <c r="E1073" s="32">
        <f>IFERROR(_xlfn.XLOOKUP($B1073,Insumo[DESCRIPCION],Insumo[VALOR],,0),"")</f>
        <v>7387.8</v>
      </c>
      <c r="F1073" s="33"/>
      <c r="G1073" s="34">
        <f>IFERROR(IF(F1073&gt;=0,D1073*E1073*(1+F1073/100),ABS(D1073*E1073/F1073)),"")</f>
        <v>11081.7</v>
      </c>
      <c r="H1073" s="43">
        <f>IFERROR(G1073*E1069,"")</f>
        <v>0</v>
      </c>
    </row>
    <row r="1074" spans="1:8">
      <c r="A1074" s="28"/>
      <c r="B1074" s="29" t="s">
        <v>2855</v>
      </c>
      <c r="C1074" s="30" t="str">
        <f>IFERROR(_xlfn.XLOOKUP(B1074,Insumo[DESCRIPCION],Insumo[UND],,0),"")</f>
        <v>Un</v>
      </c>
      <c r="D1074" s="31">
        <v>1</v>
      </c>
      <c r="E1074" s="32">
        <f>IFERROR(_xlfn.XLOOKUP($B1074,Insumo[DESCRIPCION],Insumo[VALOR],,0),"")</f>
        <v>6421.8</v>
      </c>
      <c r="F1074" s="33"/>
      <c r="G1074" s="34">
        <f>IFERROR(IF(F1074&gt;=0,D1074*E1074*(1+F1074/100),ABS(D1074*E1074/F1074)),"")</f>
        <v>6421.8</v>
      </c>
      <c r="H1074" s="43">
        <f>IFERROR(G1074*E1069,"")</f>
        <v>0</v>
      </c>
    </row>
    <row r="1075" spans="1:8">
      <c r="A1075" s="28"/>
      <c r="B1075" s="29"/>
      <c r="C1075" s="30" t="str">
        <f>IFERROR(_xlfn.XLOOKUP(B1075,Insumo[DESCRIPCION],Insumo[UND],,0),"")</f>
        <v/>
      </c>
      <c r="D1075" s="31"/>
      <c r="E1075" s="32" t="str">
        <f>IFERROR(_xlfn.XLOOKUP($B1075,Insumo[DESCRIPCION],Insumo[VALOR],,0),"")</f>
        <v/>
      </c>
      <c r="F1075" s="33"/>
      <c r="G1075" s="34" t="str">
        <f>IFERROR(IF(F1075&gt;=0,D1075*E1075*(1+F1075/100),ABS(D1075*E1075/F1075)),"")</f>
        <v/>
      </c>
      <c r="H1075" s="43" t="str">
        <f>IFERROR(G1075*E1069,"")</f>
        <v/>
      </c>
    </row>
    <row r="1076" spans="1:8">
      <c r="A1076" s="28"/>
      <c r="B1076" s="29"/>
      <c r="C1076" s="30" t="str">
        <f>IFERROR(_xlfn.XLOOKUP(B1076,Insumo[DESCRIPCION],Insumo[UND],,0),"")</f>
        <v/>
      </c>
      <c r="D1076" s="31"/>
      <c r="E1076" s="32" t="str">
        <f>IFERROR(_xlfn.XLOOKUP($B1076,Insumo[DESCRIPCION],Insumo[VALOR],,0),"")</f>
        <v/>
      </c>
      <c r="F1076" s="33"/>
      <c r="G1076" s="34" t="str">
        <f>IFERROR(IF(F1076&gt;=0,D1076*E1076*(1+F1076/100),ABS(D1076*E1076/F1076)),"")</f>
        <v/>
      </c>
      <c r="H1076" s="43" t="str">
        <f>IFERROR(G1076*E1069,"")</f>
        <v/>
      </c>
    </row>
    <row r="1077" spans="1:8">
      <c r="A1077" s="21"/>
      <c r="B1077" s="22" t="s">
        <v>3731</v>
      </c>
      <c r="C1077" s="23"/>
      <c r="D1077" s="24"/>
      <c r="E1077" s="25"/>
      <c r="F1077" s="26"/>
      <c r="G1077" s="27">
        <f>SUM(G1078:G1080)</f>
        <v>2110.4934666562508</v>
      </c>
      <c r="H1077" s="44">
        <f>G1077*E1069</f>
        <v>0</v>
      </c>
    </row>
    <row r="1078" spans="1:8">
      <c r="A1078" s="28"/>
      <c r="B1078" s="29" t="s">
        <v>3626</v>
      </c>
      <c r="C1078" s="30" t="str">
        <f>IFERROR(_xlfn.XLOOKUP(B1078,Equipo[DESCRIPCION],Equipo[UND],,0),"")</f>
        <v>%MO</v>
      </c>
      <c r="D1078" s="31">
        <v>0.05</v>
      </c>
      <c r="E1078" s="32">
        <f>IF(C1078="%MO",G1084,IFERROR(_xlfn.XLOOKUP($B1078,Equipo[DESCRIPCION],Equipo[VALOR],,0),""))</f>
        <v>42209.869333125011</v>
      </c>
      <c r="F1078" s="33"/>
      <c r="G1078" s="34">
        <f>IFERROR(IF(F1078&gt;=0,D1078*E1078*(1+F1078/100),ABS(D1078*E1078/F1078)),"")</f>
        <v>2110.4934666562508</v>
      </c>
      <c r="H1078" s="43">
        <f>IFERROR(G1078*E1069,"")</f>
        <v>0</v>
      </c>
    </row>
    <row r="1079" spans="1:8">
      <c r="A1079" s="28"/>
      <c r="B1079" s="29"/>
      <c r="C1079" s="30" t="str">
        <f>IFERROR(_xlfn.XLOOKUP(B1079,Equipo[DESCRIPCION],Equipo[UND],,0),"")</f>
        <v/>
      </c>
      <c r="D1079" s="31"/>
      <c r="E1079" s="32" t="str">
        <f>IF(C1079="%MO",G1084,IFERROR(_xlfn.XLOOKUP($B1079,Equipo[DESCRIPCION],Equipo[VALOR],,0),""))</f>
        <v/>
      </c>
      <c r="F1079" s="33"/>
      <c r="G1079" s="34" t="str">
        <f>IFERROR(IF(F1079&gt;=0,D1079*E1079*(1+F1079/100),ABS(D1079*E1079/F1079)),"")</f>
        <v/>
      </c>
      <c r="H1079" s="43" t="str">
        <f>IFERROR(G1079*E1069,"")</f>
        <v/>
      </c>
    </row>
    <row r="1080" spans="1:8">
      <c r="A1080" s="28"/>
      <c r="B1080" s="29"/>
      <c r="C1080" s="30" t="str">
        <f>IFERROR(_xlfn.XLOOKUP(B1080,Equipo[DESCRIPCION],Equipo[UND],,0),"")</f>
        <v/>
      </c>
      <c r="D1080" s="31"/>
      <c r="E1080" s="32" t="str">
        <f>IF(C1080="%MO",G1084,IFERROR(_xlfn.XLOOKUP($B1080,Equipo[DESCRIPCION],Equipo[VALOR],,0),""))</f>
        <v/>
      </c>
      <c r="F1080" s="33"/>
      <c r="G1080" s="34" t="str">
        <f>IFERROR(IF(F1080&gt;=0,D1080*E1080*(1+F1080/100),ABS(D1080*E1080/F1080)),"")</f>
        <v/>
      </c>
      <c r="H1080" s="43" t="str">
        <f>IFERROR(G1080*E1069,"")</f>
        <v/>
      </c>
    </row>
    <row r="1081" spans="1:8">
      <c r="A1081" s="21"/>
      <c r="B1081" s="22" t="s">
        <v>2533</v>
      </c>
      <c r="C1081" s="23"/>
      <c r="D1081" s="24"/>
      <c r="E1081" s="25"/>
      <c r="F1081" s="26"/>
      <c r="G1081" s="27">
        <f>SUM(G1082:G1083)</f>
        <v>0</v>
      </c>
      <c r="H1081" s="44">
        <f>G1081*E1069</f>
        <v>0</v>
      </c>
    </row>
    <row r="1082" spans="1:8">
      <c r="A1082" s="28"/>
      <c r="B1082" s="29"/>
      <c r="C1082" s="30" t="str">
        <f>IFERROR(_xlfn.XLOOKUP(B1082,Transporte[DESCRIPCION],Transporte[UND],,0),"")</f>
        <v/>
      </c>
      <c r="D1082" s="31"/>
      <c r="E1082" s="32" t="str">
        <f>IFERROR(_xlfn.XLOOKUP($B1082,Transporte[DESCRIPCION],Transporte[VALOR],,0),"")</f>
        <v/>
      </c>
      <c r="F1082" s="33"/>
      <c r="G1082" s="34" t="str">
        <f>IFERROR(IF(F1082&gt;=0,D1082*E1082*(1+F1082/100),ABS(D1082*E1082/F1082)),"")</f>
        <v/>
      </c>
      <c r="H1082" s="43" t="str">
        <f>IFERROR(G1082*E1069,"")</f>
        <v/>
      </c>
    </row>
    <row r="1083" spans="1:8">
      <c r="A1083" s="28"/>
      <c r="B1083" s="29"/>
      <c r="C1083" s="30" t="str">
        <f>IFERROR(_xlfn.XLOOKUP(B1083,Transporte[DESCRIPCION],Transporte[UND],,0),"")</f>
        <v/>
      </c>
      <c r="D1083" s="31"/>
      <c r="E1083" s="32" t="str">
        <f>IFERROR(_xlfn.XLOOKUP($B1083,Transporte[DESCRIPCION],Transporte[VALOR],,0),"")</f>
        <v/>
      </c>
      <c r="F1083" s="33"/>
      <c r="G1083" s="34" t="str">
        <f>IFERROR(IF(F1083&gt;=0,D1083*E1083*(1+F1083/100),ABS(D1083*E1083/F1083)),"")</f>
        <v/>
      </c>
      <c r="H1083" s="43" t="str">
        <f>IFERROR(G1083*E1069,"")</f>
        <v/>
      </c>
    </row>
    <row r="1084" spans="1:8">
      <c r="A1084" s="21"/>
      <c r="B1084" s="22" t="s">
        <v>3732</v>
      </c>
      <c r="C1084" s="23"/>
      <c r="D1084" s="24"/>
      <c r="E1084" s="25"/>
      <c r="F1084" s="26"/>
      <c r="G1084" s="27">
        <f>SUM(G1085:G1087)</f>
        <v>42209.869333125011</v>
      </c>
      <c r="H1084" s="44">
        <f>G1084*E1069</f>
        <v>0</v>
      </c>
    </row>
    <row r="1085" spans="1:8">
      <c r="A1085" s="28"/>
      <c r="B1085" s="29" t="s">
        <v>3715</v>
      </c>
      <c r="C1085" s="30" t="str">
        <f>IFERROR(_xlfn.XLOOKUP(B1085,MObra[DESCRIPCION],MObra[UN],,0),"")</f>
        <v>día</v>
      </c>
      <c r="D1085" s="31">
        <v>1</v>
      </c>
      <c r="E1085" s="32">
        <f>IFERROR(_xlfn.XLOOKUP($B1085,MObra[DESCRIPCION],MObra[VALOR UNIT],,0),"")</f>
        <v>337678.95466500008</v>
      </c>
      <c r="F1085" s="33">
        <v>-8</v>
      </c>
      <c r="G1085" s="34">
        <f>IFERROR(IF(F1085&gt;=0,D1085*E1085*(1+F1085/100),ABS(D1085*E1085/F1085)),"")</f>
        <v>42209.869333125011</v>
      </c>
      <c r="H1085" s="43">
        <f>IFERROR(G1085*E1069,"")</f>
        <v>0</v>
      </c>
    </row>
    <row r="1086" spans="1:8">
      <c r="A1086" s="28"/>
      <c r="B1086" s="29"/>
      <c r="C1086" s="30" t="str">
        <f t="array" ref="C1086">IFERROR(_xlfn.XLOOKUP(B1086,MObra[[#All],[DESCRIPCION]],MObra[[#All],[UN]],,0),"")</f>
        <v/>
      </c>
      <c r="D1086" s="31"/>
      <c r="E1086" s="32" t="str">
        <f>IFERROR(_xlfn.XLOOKUP($B1086,MObra[DESCRIPCION],MObra[VALOR UNIT],,0),"")</f>
        <v/>
      </c>
      <c r="F1086" s="33"/>
      <c r="G1086" s="34" t="str">
        <f>IFERROR(IF(F1086&gt;=0,D1086*E1086*(1+F1086/100),ABS(D1086*E1086/F1086)),"")</f>
        <v/>
      </c>
      <c r="H1086" s="43" t="str">
        <f>IFERROR(G1086*E1069,"")</f>
        <v/>
      </c>
    </row>
    <row r="1087" spans="1:8">
      <c r="A1087" s="35"/>
      <c r="B1087" s="36"/>
      <c r="C1087" s="37" t="str">
        <f t="array" ref="C1087">IFERROR(_xlfn.XLOOKUP(B1087,MObra[[#All],[DESCRIPCION]],MObra[[#All],[UN]],,0),"")</f>
        <v/>
      </c>
      <c r="D1087" s="38"/>
      <c r="E1087" s="39" t="str">
        <f>IFERROR(_xlfn.XLOOKUP($B1087,MObra[DESCRIPCION],MObra[VALOR UNIT],,0),"")</f>
        <v/>
      </c>
      <c r="F1087" s="40"/>
      <c r="G1087" s="41" t="str">
        <f>IFERROR(IF(F1087&gt;=0,D1087*E1087*(1+F1087/100),ABS(D1087*E1087/F1087)),"")</f>
        <v/>
      </c>
      <c r="H1087" s="42" t="str">
        <f>IFERROR(G1087*E1069,"")</f>
        <v/>
      </c>
    </row>
    <row r="1089" spans="1:11">
      <c r="A1089" s="6" t="s">
        <v>985</v>
      </c>
      <c r="B1089" s="7" t="str">
        <f>VLOOKUP($A1089,Presupuesto!$A:$D,2,FALSE())</f>
        <v>Luz de emergencia en led doble 120 min, 120-277Vac, 2X1,6W, 2X80 lm</v>
      </c>
      <c r="C1089" s="8" t="str">
        <f>VLOOKUP($A1089,Presupuesto!$A:$D,3,FALSE())</f>
        <v>Un</v>
      </c>
      <c r="D1089" s="9"/>
      <c r="E1089" s="10">
        <f>VLOOKUP($A1089,Presupuesto!$A:$D,4,FALSE())</f>
        <v>0</v>
      </c>
      <c r="F1089" s="11" t="s">
        <v>2589</v>
      </c>
      <c r="G1089" s="12">
        <f>SUM(G1091:G1107)/2</f>
        <v>267408.36079978128</v>
      </c>
      <c r="H1089" s="13">
        <f>ROUND(SUM(H1091:H1107),0)/2</f>
        <v>0</v>
      </c>
      <c r="I1089" s="10">
        <f>VLOOKUP(A1089,Presupuesto!$A:$F,6,0)</f>
        <v>0</v>
      </c>
      <c r="J1089" s="10">
        <f>+H1089-I1089</f>
        <v>0</v>
      </c>
      <c r="K1089" s="46">
        <f>+H1089-G1089*E1089</f>
        <v>0</v>
      </c>
    </row>
    <row r="1090" spans="1:11">
      <c r="A1090" s="14"/>
      <c r="B1090" s="15" t="s">
        <v>2586</v>
      </c>
      <c r="C1090" s="15" t="s">
        <v>5</v>
      </c>
      <c r="D1090" s="16" t="s">
        <v>6</v>
      </c>
      <c r="E1090" s="17" t="s">
        <v>7</v>
      </c>
      <c r="F1090" s="18" t="s">
        <v>3728</v>
      </c>
      <c r="G1090" s="19" t="s">
        <v>3729</v>
      </c>
      <c r="H1090" s="20" t="s">
        <v>3797</v>
      </c>
    </row>
    <row r="1091" spans="1:11">
      <c r="A1091" s="21"/>
      <c r="B1091" s="22" t="s">
        <v>3730</v>
      </c>
      <c r="C1091" s="23"/>
      <c r="D1091" s="24"/>
      <c r="E1091" s="25"/>
      <c r="F1091" s="26"/>
      <c r="G1091" s="27">
        <f>SUM(G1092:G1096)</f>
        <v>223087.99799999999</v>
      </c>
      <c r="H1091" s="27">
        <f>IFERROR(G1091*E1089,"")</f>
        <v>0</v>
      </c>
    </row>
    <row r="1092" spans="1:11">
      <c r="A1092" s="28"/>
      <c r="B1092" s="29" t="s">
        <v>3120</v>
      </c>
      <c r="C1092" s="30" t="str">
        <f>IFERROR(_xlfn.XLOOKUP(B1092,Insumo[DESCRIPCION],Insumo[UND],,0),"")</f>
        <v>Un</v>
      </c>
      <c r="D1092" s="31">
        <v>1</v>
      </c>
      <c r="E1092" s="32">
        <f>IFERROR(_xlfn.XLOOKUP($B1092,Insumo[DESCRIPCION],Insumo[VALOR],,0),"")</f>
        <v>205584.49799999999</v>
      </c>
      <c r="F1092" s="33"/>
      <c r="G1092" s="34">
        <f>IFERROR(IF(F1092&gt;=0,D1092*E1092*(1+F1092/100),ABS(D1092*E1092/F1092)),"")</f>
        <v>205584.49799999999</v>
      </c>
      <c r="H1092" s="43">
        <f>IFERROR(G1092*E1089,"")</f>
        <v>0</v>
      </c>
    </row>
    <row r="1093" spans="1:11">
      <c r="A1093" s="28"/>
      <c r="B1093" s="29" t="s">
        <v>2800</v>
      </c>
      <c r="C1093" s="30" t="str">
        <f>IFERROR(_xlfn.XLOOKUP(B1093,Insumo[DESCRIPCION],Insumo[UND],,0),"")</f>
        <v>M</v>
      </c>
      <c r="D1093" s="31">
        <v>1.5</v>
      </c>
      <c r="E1093" s="32">
        <f>IFERROR(_xlfn.XLOOKUP($B1093,Insumo[DESCRIPCION],Insumo[VALOR],,0),"")</f>
        <v>7387.8</v>
      </c>
      <c r="F1093" s="33"/>
      <c r="G1093" s="34">
        <f>IFERROR(IF(F1093&gt;=0,D1093*E1093*(1+F1093/100),ABS(D1093*E1093/F1093)),"")</f>
        <v>11081.7</v>
      </c>
      <c r="H1093" s="43">
        <f>IFERROR(G1093*E1089,"")</f>
        <v>0</v>
      </c>
    </row>
    <row r="1094" spans="1:11">
      <c r="A1094" s="28"/>
      <c r="B1094" s="29" t="s">
        <v>2855</v>
      </c>
      <c r="C1094" s="30" t="str">
        <f>IFERROR(_xlfn.XLOOKUP(B1094,Insumo[DESCRIPCION],Insumo[UND],,0),"")</f>
        <v>Un</v>
      </c>
      <c r="D1094" s="31">
        <v>1</v>
      </c>
      <c r="E1094" s="32">
        <f>IFERROR(_xlfn.XLOOKUP($B1094,Insumo[DESCRIPCION],Insumo[VALOR],,0),"")</f>
        <v>6421.8</v>
      </c>
      <c r="F1094" s="33"/>
      <c r="G1094" s="34">
        <f>IFERROR(IF(F1094&gt;=0,D1094*E1094*(1+F1094/100),ABS(D1094*E1094/F1094)),"")</f>
        <v>6421.8</v>
      </c>
      <c r="H1094" s="43">
        <f>IFERROR(G1094*E1089,"")</f>
        <v>0</v>
      </c>
    </row>
    <row r="1095" spans="1:11">
      <c r="A1095" s="28"/>
      <c r="B1095" s="29"/>
      <c r="C1095" s="30" t="str">
        <f>IFERROR(_xlfn.XLOOKUP(B1095,Insumo[DESCRIPCION],Insumo[UND],,0),"")</f>
        <v/>
      </c>
      <c r="D1095" s="31"/>
      <c r="E1095" s="32" t="str">
        <f>IFERROR(_xlfn.XLOOKUP($B1095,Insumo[DESCRIPCION],Insumo[VALOR],,0),"")</f>
        <v/>
      </c>
      <c r="F1095" s="33"/>
      <c r="G1095" s="34" t="str">
        <f>IFERROR(IF(F1095&gt;=0,D1095*E1095*(1+F1095/100),ABS(D1095*E1095/F1095)),"")</f>
        <v/>
      </c>
      <c r="H1095" s="43" t="str">
        <f>IFERROR(G1095*E1089,"")</f>
        <v/>
      </c>
    </row>
    <row r="1096" spans="1:11">
      <c r="A1096" s="28"/>
      <c r="B1096" s="29"/>
      <c r="C1096" s="30" t="str">
        <f>IFERROR(_xlfn.XLOOKUP(B1096,Insumo[DESCRIPCION],Insumo[UND],,0),"")</f>
        <v/>
      </c>
      <c r="D1096" s="31"/>
      <c r="E1096" s="32" t="str">
        <f>IFERROR(_xlfn.XLOOKUP($B1096,Insumo[DESCRIPCION],Insumo[VALOR],,0),"")</f>
        <v/>
      </c>
      <c r="F1096" s="33"/>
      <c r="G1096" s="34" t="str">
        <f>IFERROR(IF(F1096&gt;=0,D1096*E1096*(1+F1096/100),ABS(D1096*E1096/F1096)),"")</f>
        <v/>
      </c>
      <c r="H1096" s="43" t="str">
        <f>IFERROR(G1096*E1089,"")</f>
        <v/>
      </c>
    </row>
    <row r="1097" spans="1:11">
      <c r="A1097" s="21"/>
      <c r="B1097" s="22" t="s">
        <v>3731</v>
      </c>
      <c r="C1097" s="23"/>
      <c r="D1097" s="24"/>
      <c r="E1097" s="25"/>
      <c r="F1097" s="26"/>
      <c r="G1097" s="27">
        <f>SUM(G1098:G1100)</f>
        <v>2110.4934666562508</v>
      </c>
      <c r="H1097" s="44">
        <f>G1097*E1089</f>
        <v>0</v>
      </c>
    </row>
    <row r="1098" spans="1:11">
      <c r="A1098" s="28"/>
      <c r="B1098" s="29" t="s">
        <v>3626</v>
      </c>
      <c r="C1098" s="30" t="str">
        <f>IFERROR(_xlfn.XLOOKUP(B1098,Equipo[DESCRIPCION],Equipo[UND],,0),"")</f>
        <v>%MO</v>
      </c>
      <c r="D1098" s="31">
        <v>0.05</v>
      </c>
      <c r="E1098" s="32">
        <f>IF(C1098="%MO",G1104,IFERROR(_xlfn.XLOOKUP($B1098,Equipo[DESCRIPCION],Equipo[VALOR],,0),""))</f>
        <v>42209.869333125011</v>
      </c>
      <c r="F1098" s="33"/>
      <c r="G1098" s="34">
        <f>IFERROR(IF(F1098&gt;=0,D1098*E1098*(1+F1098/100),ABS(D1098*E1098/F1098)),"")</f>
        <v>2110.4934666562508</v>
      </c>
      <c r="H1098" s="43">
        <f>IFERROR(G1098*E1089,"")</f>
        <v>0</v>
      </c>
    </row>
    <row r="1099" spans="1:11">
      <c r="A1099" s="28"/>
      <c r="B1099" s="29"/>
      <c r="C1099" s="30" t="str">
        <f>IFERROR(_xlfn.XLOOKUP(B1099,Equipo[DESCRIPCION],Equipo[UND],,0),"")</f>
        <v/>
      </c>
      <c r="D1099" s="31"/>
      <c r="E1099" s="32" t="str">
        <f>IF(C1099="%MO",G1104,IFERROR(_xlfn.XLOOKUP($B1099,Equipo[DESCRIPCION],Equipo[VALOR],,0),""))</f>
        <v/>
      </c>
      <c r="F1099" s="33"/>
      <c r="G1099" s="34" t="str">
        <f>IFERROR(IF(F1099&gt;=0,D1099*E1099*(1+F1099/100),ABS(D1099*E1099/F1099)),"")</f>
        <v/>
      </c>
      <c r="H1099" s="43" t="str">
        <f>IFERROR(G1099*E1089,"")</f>
        <v/>
      </c>
    </row>
    <row r="1100" spans="1:11">
      <c r="A1100" s="28"/>
      <c r="B1100" s="29"/>
      <c r="C1100" s="30" t="str">
        <f>IFERROR(_xlfn.XLOOKUP(B1100,Equipo[DESCRIPCION],Equipo[UND],,0),"")</f>
        <v/>
      </c>
      <c r="D1100" s="31"/>
      <c r="E1100" s="32" t="str">
        <f>IF(C1100="%MO",G1104,IFERROR(_xlfn.XLOOKUP($B1100,Equipo[DESCRIPCION],Equipo[VALOR],,0),""))</f>
        <v/>
      </c>
      <c r="F1100" s="33"/>
      <c r="G1100" s="34" t="str">
        <f>IFERROR(IF(F1100&gt;=0,D1100*E1100*(1+F1100/100),ABS(D1100*E1100/F1100)),"")</f>
        <v/>
      </c>
      <c r="H1100" s="43" t="str">
        <f>IFERROR(G1100*E1089,"")</f>
        <v/>
      </c>
    </row>
    <row r="1101" spans="1:11">
      <c r="A1101" s="21"/>
      <c r="B1101" s="22" t="s">
        <v>2533</v>
      </c>
      <c r="C1101" s="23"/>
      <c r="D1101" s="24"/>
      <c r="E1101" s="25"/>
      <c r="F1101" s="26"/>
      <c r="G1101" s="27">
        <f>SUM(G1102:G1103)</f>
        <v>0</v>
      </c>
      <c r="H1101" s="44">
        <f>G1101*E1089</f>
        <v>0</v>
      </c>
    </row>
    <row r="1102" spans="1:11">
      <c r="A1102" s="28"/>
      <c r="B1102" s="29"/>
      <c r="C1102" s="30" t="str">
        <f>IFERROR(_xlfn.XLOOKUP(B1102,Transporte[DESCRIPCION],Transporte[UND],,0),"")</f>
        <v/>
      </c>
      <c r="D1102" s="31"/>
      <c r="E1102" s="32" t="str">
        <f>IFERROR(_xlfn.XLOOKUP($B1102,Transporte[DESCRIPCION],Transporte[VALOR],,0),"")</f>
        <v/>
      </c>
      <c r="F1102" s="33"/>
      <c r="G1102" s="34" t="str">
        <f>IFERROR(IF(F1102&gt;=0,D1102*E1102*(1+F1102/100),ABS(D1102*E1102/F1102)),"")</f>
        <v/>
      </c>
      <c r="H1102" s="43" t="str">
        <f>IFERROR(G1102*E1089,"")</f>
        <v/>
      </c>
    </row>
    <row r="1103" spans="1:11">
      <c r="A1103" s="28"/>
      <c r="B1103" s="29"/>
      <c r="C1103" s="30" t="str">
        <f>IFERROR(_xlfn.XLOOKUP(B1103,Transporte[DESCRIPCION],Transporte[UND],,0),"")</f>
        <v/>
      </c>
      <c r="D1103" s="31"/>
      <c r="E1103" s="32" t="str">
        <f>IFERROR(_xlfn.XLOOKUP($B1103,Transporte[DESCRIPCION],Transporte[VALOR],,0),"")</f>
        <v/>
      </c>
      <c r="F1103" s="33"/>
      <c r="G1103" s="34" t="str">
        <f>IFERROR(IF(F1103&gt;=0,D1103*E1103*(1+F1103/100),ABS(D1103*E1103/F1103)),"")</f>
        <v/>
      </c>
      <c r="H1103" s="43" t="str">
        <f>IFERROR(G1103*E1089,"")</f>
        <v/>
      </c>
    </row>
    <row r="1104" spans="1:11">
      <c r="A1104" s="21"/>
      <c r="B1104" s="22" t="s">
        <v>3732</v>
      </c>
      <c r="C1104" s="23"/>
      <c r="D1104" s="24"/>
      <c r="E1104" s="25"/>
      <c r="F1104" s="26"/>
      <c r="G1104" s="27">
        <f>SUM(G1105:G1107)</f>
        <v>42209.869333125011</v>
      </c>
      <c r="H1104" s="44">
        <f>G1104*E1089</f>
        <v>0</v>
      </c>
    </row>
    <row r="1105" spans="1:11">
      <c r="A1105" s="28"/>
      <c r="B1105" s="29" t="s">
        <v>3715</v>
      </c>
      <c r="C1105" s="30" t="str">
        <f>IFERROR(_xlfn.XLOOKUP(B1105,MObra[DESCRIPCION],MObra[UN],,0),"")</f>
        <v>día</v>
      </c>
      <c r="D1105" s="31">
        <v>1</v>
      </c>
      <c r="E1105" s="32">
        <f>IFERROR(_xlfn.XLOOKUP($B1105,MObra[DESCRIPCION],MObra[VALOR UNIT],,0),"")</f>
        <v>337678.95466500008</v>
      </c>
      <c r="F1105" s="33">
        <v>-8</v>
      </c>
      <c r="G1105" s="34">
        <f>IFERROR(IF(F1105&gt;=0,D1105*E1105*(1+F1105/100),ABS(D1105*E1105/F1105)),"")</f>
        <v>42209.869333125011</v>
      </c>
      <c r="H1105" s="43">
        <f>IFERROR(G1105*E1089,"")</f>
        <v>0</v>
      </c>
    </row>
    <row r="1106" spans="1:11">
      <c r="A1106" s="28"/>
      <c r="B1106" s="29"/>
      <c r="C1106" s="30" t="str">
        <f t="array" ref="C1106">IFERROR(_xlfn.XLOOKUP(B1106,MObra[[#All],[DESCRIPCION]],MObra[[#All],[UN]],,0),"")</f>
        <v/>
      </c>
      <c r="D1106" s="31"/>
      <c r="E1106" s="32" t="str">
        <f>IFERROR(_xlfn.XLOOKUP($B1106,MObra[DESCRIPCION],MObra[VALOR UNIT],,0),"")</f>
        <v/>
      </c>
      <c r="F1106" s="33"/>
      <c r="G1106" s="34" t="str">
        <f>IFERROR(IF(F1106&gt;=0,D1106*E1106*(1+F1106/100),ABS(D1106*E1106/F1106)),"")</f>
        <v/>
      </c>
      <c r="H1106" s="43" t="str">
        <f>IFERROR(G1106*E1089,"")</f>
        <v/>
      </c>
    </row>
    <row r="1107" spans="1:11">
      <c r="A1107" s="35"/>
      <c r="B1107" s="36"/>
      <c r="C1107" s="37" t="str">
        <f t="array" ref="C1107">IFERROR(_xlfn.XLOOKUP(B1107,MObra[[#All],[DESCRIPCION]],MObra[[#All],[UN]],,0),"")</f>
        <v/>
      </c>
      <c r="D1107" s="38"/>
      <c r="E1107" s="39" t="str">
        <f>IFERROR(_xlfn.XLOOKUP($B1107,MObra[DESCRIPCION],MObra[VALOR UNIT],,0),"")</f>
        <v/>
      </c>
      <c r="F1107" s="40"/>
      <c r="G1107" s="41" t="str">
        <f>IFERROR(IF(F1107&gt;=0,D1107*E1107*(1+F1107/100),ABS(D1107*E1107/F1107)),"")</f>
        <v/>
      </c>
      <c r="H1107" s="42" t="str">
        <f>IFERROR(G1107*E1089,"")</f>
        <v/>
      </c>
    </row>
    <row r="1108" spans="1:11" ht="13.5" thickTop="1" thickBot="1"/>
    <row r="1109" spans="1:11" ht="26.25" thickTop="1" thickBot="1">
      <c r="A1109" s="6" t="s">
        <v>987</v>
      </c>
      <c r="B1109" s="7" t="str">
        <f>VLOOKUP($A1109,Presupuesto!$A:$D,2,FALSE())</f>
        <v>Platina de cobre 230 amperios, para celda, cofre o tablero eléctrico, medidas 5mmX 20mmX100mm</v>
      </c>
      <c r="C1109" s="8" t="str">
        <f>VLOOKUP($A1109,Presupuesto!$A:$D,3,FALSE())</f>
        <v>Un</v>
      </c>
      <c r="D1109" s="9"/>
      <c r="E1109" s="10">
        <f>VLOOKUP($A1109,Presupuesto!$A:$D,4,FALSE())</f>
        <v>0</v>
      </c>
      <c r="F1109" s="11" t="s">
        <v>2589</v>
      </c>
      <c r="G1109" s="12">
        <f>SUM(G1111:G1127)/2</f>
        <v>343937.72559956252</v>
      </c>
      <c r="H1109" s="13">
        <f>ROUND(SUM(H1111:H1127),0)/2</f>
        <v>0</v>
      </c>
      <c r="I1109" s="10">
        <f>VLOOKUP(A1109,Presupuesto!$A:$F,6,0)</f>
        <v>0</v>
      </c>
      <c r="J1109" s="10">
        <f>+H1109-I1109</f>
        <v>0</v>
      </c>
      <c r="K1109" s="46">
        <f>+H1109-G1109*E1109</f>
        <v>0</v>
      </c>
    </row>
    <row r="1110" spans="1:11" ht="13.15" thickTop="1">
      <c r="A1110" s="14"/>
      <c r="B1110" s="15" t="s">
        <v>2586</v>
      </c>
      <c r="C1110" s="15" t="s">
        <v>5</v>
      </c>
      <c r="D1110" s="16" t="s">
        <v>6</v>
      </c>
      <c r="E1110" s="17" t="s">
        <v>7</v>
      </c>
      <c r="F1110" s="18" t="s">
        <v>3728</v>
      </c>
      <c r="G1110" s="19" t="s">
        <v>3729</v>
      </c>
      <c r="H1110" s="20" t="s">
        <v>3797</v>
      </c>
    </row>
    <row r="1111" spans="1:11">
      <c r="A1111" s="21"/>
      <c r="B1111" s="22" t="s">
        <v>3730</v>
      </c>
      <c r="C1111" s="23"/>
      <c r="D1111" s="24"/>
      <c r="E1111" s="25"/>
      <c r="F1111" s="26"/>
      <c r="G1111" s="27">
        <f>SUM(G1112:G1116)</f>
        <v>255297</v>
      </c>
      <c r="H1111" s="27">
        <f>IFERROR(G1111*E1109,"")</f>
        <v>0</v>
      </c>
    </row>
    <row r="1112" spans="1:11">
      <c r="A1112" s="28"/>
      <c r="B1112" s="29" t="s">
        <v>3227</v>
      </c>
      <c r="C1112" s="30" t="str">
        <f>IFERROR(_xlfn.XLOOKUP(B1112,Insumo[DESCRIPCION],Insumo[UND],,0),"")</f>
        <v>Un</v>
      </c>
      <c r="D1112" s="31">
        <v>1</v>
      </c>
      <c r="E1112" s="32">
        <f>IFERROR(_xlfn.XLOOKUP($B1112,Insumo[DESCRIPCION],Insumo[VALOR],,0),"")</f>
        <v>210000</v>
      </c>
      <c r="F1112" s="33"/>
      <c r="G1112" s="34">
        <f>IFERROR(IF(F1112&gt;=0,D1112*E1112*(1+F1112/100),ABS(D1112*E1112/F1112)),"")</f>
        <v>210000</v>
      </c>
      <c r="H1112" s="43">
        <f>IFERROR(G1112*E1109,"")</f>
        <v>0</v>
      </c>
    </row>
    <row r="1113" spans="1:11">
      <c r="A1113" s="28"/>
      <c r="B1113" s="29" t="s">
        <v>2687</v>
      </c>
      <c r="C1113" s="30" t="str">
        <f>IFERROR(_xlfn.XLOOKUP(B1113,Insumo[DESCRIPCION],Insumo[UND],,0),"")</f>
        <v>Un</v>
      </c>
      <c r="D1113" s="31">
        <v>1</v>
      </c>
      <c r="E1113" s="32">
        <f>IFERROR(_xlfn.XLOOKUP($B1113,Insumo[DESCRIPCION],Insumo[VALOR],,0),"")</f>
        <v>36750</v>
      </c>
      <c r="F1113" s="33"/>
      <c r="G1113" s="34">
        <f>IFERROR(IF(F1113&gt;=0,D1113*E1113*(1+F1113/100),ABS(D1113*E1113/F1113)),"")</f>
        <v>36750</v>
      </c>
      <c r="H1113" s="43">
        <f>IFERROR(G1113*E1109,"")</f>
        <v>0</v>
      </c>
    </row>
    <row r="1114" spans="1:11" ht="25.5">
      <c r="A1114" s="28"/>
      <c r="B1114" s="29" t="s">
        <v>3401</v>
      </c>
      <c r="C1114" s="30" t="str">
        <f>IFERROR(_xlfn.XLOOKUP(B1114,Insumo[DESCRIPCION],Insumo[UND],,0),"")</f>
        <v>Un</v>
      </c>
      <c r="D1114" s="31">
        <v>1</v>
      </c>
      <c r="E1114" s="32">
        <f>IFERROR(_xlfn.XLOOKUP($B1114,Insumo[DESCRIPCION],Insumo[VALOR],,0),"")</f>
        <v>8547</v>
      </c>
      <c r="F1114" s="33"/>
      <c r="G1114" s="34">
        <f>IFERROR(IF(F1114&gt;=0,D1114*E1114*(1+F1114/100),ABS(D1114*E1114/F1114)),"")</f>
        <v>8547</v>
      </c>
      <c r="H1114" s="43">
        <f>IFERROR(G1114*E1109,"")</f>
        <v>0</v>
      </c>
    </row>
    <row r="1115" spans="1:11">
      <c r="A1115" s="28"/>
      <c r="B1115" s="29"/>
      <c r="C1115" s="30" t="str">
        <f>IFERROR(_xlfn.XLOOKUP(B1115,Insumo[DESCRIPCION],Insumo[UND],,0),"")</f>
        <v/>
      </c>
      <c r="D1115" s="31"/>
      <c r="E1115" s="32" t="str">
        <f>IFERROR(_xlfn.XLOOKUP($B1115,Insumo[DESCRIPCION],Insumo[VALOR],,0),"")</f>
        <v/>
      </c>
      <c r="F1115" s="33"/>
      <c r="G1115" s="34" t="str">
        <f>IFERROR(IF(F1115&gt;=0,D1115*E1115*(1+F1115/100),ABS(D1115*E1115/F1115)),"")</f>
        <v/>
      </c>
      <c r="H1115" s="43" t="str">
        <f>IFERROR(G1115*E1109,"")</f>
        <v/>
      </c>
    </row>
    <row r="1116" spans="1:11">
      <c r="A1116" s="28"/>
      <c r="B1116" s="29"/>
      <c r="C1116" s="30" t="str">
        <f>IFERROR(_xlfn.XLOOKUP(B1116,Insumo[DESCRIPCION],Insumo[UND],,0),"")</f>
        <v/>
      </c>
      <c r="D1116" s="31"/>
      <c r="E1116" s="32" t="str">
        <f>IFERROR(_xlfn.XLOOKUP($B1116,Insumo[DESCRIPCION],Insumo[VALOR],,0),"")</f>
        <v/>
      </c>
      <c r="F1116" s="33"/>
      <c r="G1116" s="34" t="str">
        <f>IFERROR(IF(F1116&gt;=0,D1116*E1116*(1+F1116/100),ABS(D1116*E1116/F1116)),"")</f>
        <v/>
      </c>
      <c r="H1116" s="43" t="str">
        <f>IFERROR(G1116*E1109,"")</f>
        <v/>
      </c>
    </row>
    <row r="1117" spans="1:11">
      <c r="A1117" s="21"/>
      <c r="B1117" s="22" t="s">
        <v>3731</v>
      </c>
      <c r="C1117" s="23"/>
      <c r="D1117" s="24"/>
      <c r="E1117" s="25"/>
      <c r="F1117" s="26"/>
      <c r="G1117" s="27">
        <f>SUM(G1118:G1120)</f>
        <v>4220.9869333125016</v>
      </c>
      <c r="H1117" s="44">
        <f>G1117*E1109</f>
        <v>0</v>
      </c>
    </row>
    <row r="1118" spans="1:11">
      <c r="A1118" s="28"/>
      <c r="B1118" s="29" t="s">
        <v>3626</v>
      </c>
      <c r="C1118" s="30" t="str">
        <f>IFERROR(_xlfn.XLOOKUP(B1118,Equipo[DESCRIPCION],Equipo[UND],,0),"")</f>
        <v>%MO</v>
      </c>
      <c r="D1118" s="31">
        <v>0.05</v>
      </c>
      <c r="E1118" s="32">
        <f>IF(C1118="%MO",G1124,IFERROR(_xlfn.XLOOKUP($B1118,Equipo[DESCRIPCION],Equipo[VALOR],,0),""))</f>
        <v>84419.738666250021</v>
      </c>
      <c r="F1118" s="33"/>
      <c r="G1118" s="34">
        <f>IFERROR(IF(F1118&gt;=0,D1118*E1118*(1+F1118/100),ABS(D1118*E1118/F1118)),"")</f>
        <v>4220.9869333125016</v>
      </c>
      <c r="H1118" s="43">
        <f>IFERROR(G1118*E1109,"")</f>
        <v>0</v>
      </c>
    </row>
    <row r="1119" spans="1:11">
      <c r="A1119" s="28"/>
      <c r="B1119" s="29"/>
      <c r="C1119" s="30" t="str">
        <f>IFERROR(_xlfn.XLOOKUP(B1119,Equipo[DESCRIPCION],Equipo[UND],,0),"")</f>
        <v/>
      </c>
      <c r="D1119" s="31"/>
      <c r="E1119" s="32" t="str">
        <f>IF(C1119="%MO",G1124,IFERROR(_xlfn.XLOOKUP($B1119,Equipo[DESCRIPCION],Equipo[VALOR],,0),""))</f>
        <v/>
      </c>
      <c r="F1119" s="33"/>
      <c r="G1119" s="34" t="str">
        <f>IFERROR(IF(F1119&gt;=0,D1119*E1119*(1+F1119/100),ABS(D1119*E1119/F1119)),"")</f>
        <v/>
      </c>
      <c r="H1119" s="43" t="str">
        <f>IFERROR(G1119*E1109,"")</f>
        <v/>
      </c>
    </row>
    <row r="1120" spans="1:11">
      <c r="A1120" s="28"/>
      <c r="B1120" s="29"/>
      <c r="C1120" s="30" t="str">
        <f>IFERROR(_xlfn.XLOOKUP(B1120,Equipo[DESCRIPCION],Equipo[UND],,0),"")</f>
        <v/>
      </c>
      <c r="D1120" s="31"/>
      <c r="E1120" s="32" t="str">
        <f>IF(C1120="%MO",G1124,IFERROR(_xlfn.XLOOKUP($B1120,Equipo[DESCRIPCION],Equipo[VALOR],,0),""))</f>
        <v/>
      </c>
      <c r="F1120" s="33"/>
      <c r="G1120" s="34" t="str">
        <f>IFERROR(IF(F1120&gt;=0,D1120*E1120*(1+F1120/100),ABS(D1120*E1120/F1120)),"")</f>
        <v/>
      </c>
      <c r="H1120" s="43" t="str">
        <f>IFERROR(G1120*E1109,"")</f>
        <v/>
      </c>
    </row>
    <row r="1121" spans="1:11">
      <c r="A1121" s="21"/>
      <c r="B1121" s="22" t="s">
        <v>2533</v>
      </c>
      <c r="C1121" s="23"/>
      <c r="D1121" s="24"/>
      <c r="E1121" s="25"/>
      <c r="F1121" s="26"/>
      <c r="G1121" s="27">
        <f>SUM(G1122:G1123)</f>
        <v>0</v>
      </c>
      <c r="H1121" s="44">
        <f>G1121*E1109</f>
        <v>0</v>
      </c>
    </row>
    <row r="1122" spans="1:11">
      <c r="A1122" s="28"/>
      <c r="B1122" s="29"/>
      <c r="C1122" s="30" t="str">
        <f>IFERROR(_xlfn.XLOOKUP(B1122,Transporte[DESCRIPCION],Transporte[UND],,0),"")</f>
        <v/>
      </c>
      <c r="D1122" s="31"/>
      <c r="E1122" s="32" t="str">
        <f>IFERROR(_xlfn.XLOOKUP($B1122,Transporte[DESCRIPCION],Transporte[VALOR],,0),"")</f>
        <v/>
      </c>
      <c r="F1122" s="33"/>
      <c r="G1122" s="34" t="str">
        <f>IFERROR(IF(F1122&gt;=0,D1122*E1122*(1+F1122/100),ABS(D1122*E1122/F1122)),"")</f>
        <v/>
      </c>
      <c r="H1122" s="43" t="str">
        <f>IFERROR(G1122*E1109,"")</f>
        <v/>
      </c>
    </row>
    <row r="1123" spans="1:11">
      <c r="A1123" s="28"/>
      <c r="B1123" s="29"/>
      <c r="C1123" s="30" t="str">
        <f>IFERROR(_xlfn.XLOOKUP(B1123,Transporte[DESCRIPCION],Transporte[UND],,0),"")</f>
        <v/>
      </c>
      <c r="D1123" s="31"/>
      <c r="E1123" s="32" t="str">
        <f>IFERROR(_xlfn.XLOOKUP($B1123,Transporte[DESCRIPCION],Transporte[VALOR],,0),"")</f>
        <v/>
      </c>
      <c r="F1123" s="33"/>
      <c r="G1123" s="34" t="str">
        <f>IFERROR(IF(F1123&gt;=0,D1123*E1123*(1+F1123/100),ABS(D1123*E1123/F1123)),"")</f>
        <v/>
      </c>
      <c r="H1123" s="43" t="str">
        <f>IFERROR(G1123*E1109,"")</f>
        <v/>
      </c>
    </row>
    <row r="1124" spans="1:11">
      <c r="A1124" s="21"/>
      <c r="B1124" s="22" t="s">
        <v>3732</v>
      </c>
      <c r="C1124" s="23"/>
      <c r="D1124" s="24"/>
      <c r="E1124" s="25"/>
      <c r="F1124" s="26"/>
      <c r="G1124" s="27">
        <f>SUM(G1125:G1127)</f>
        <v>84419.738666250021</v>
      </c>
      <c r="H1124" s="44">
        <f>G1124*E1109</f>
        <v>0</v>
      </c>
    </row>
    <row r="1125" spans="1:11">
      <c r="A1125" s="28"/>
      <c r="B1125" s="29" t="s">
        <v>3715</v>
      </c>
      <c r="C1125" s="30" t="str">
        <f>IFERROR(_xlfn.XLOOKUP(B1125,MObra[DESCRIPCION],MObra[UN],,0),"")</f>
        <v>día</v>
      </c>
      <c r="D1125" s="31">
        <v>1</v>
      </c>
      <c r="E1125" s="32">
        <f>IFERROR(_xlfn.XLOOKUP($B1125,MObra[DESCRIPCION],MObra[VALOR UNIT],,0),"")</f>
        <v>337678.95466500008</v>
      </c>
      <c r="F1125" s="33">
        <v>-4</v>
      </c>
      <c r="G1125" s="34">
        <f>IFERROR(IF(F1125&gt;=0,D1125*E1125*(1+F1125/100),ABS(D1125*E1125/F1125)),"")</f>
        <v>84419.738666250021</v>
      </c>
      <c r="H1125" s="43">
        <f>IFERROR(G1125*E1109,"")</f>
        <v>0</v>
      </c>
    </row>
    <row r="1126" spans="1:11">
      <c r="A1126" s="28"/>
      <c r="B1126" s="29"/>
      <c r="C1126" s="30" t="str">
        <f t="array" ref="C1126">IFERROR(_xlfn.XLOOKUP(B1126,MObra[[#All],[DESCRIPCION]],MObra[[#All],[UN]],,0),"")</f>
        <v/>
      </c>
      <c r="D1126" s="31"/>
      <c r="E1126" s="32" t="str">
        <f>IFERROR(_xlfn.XLOOKUP($B1126,MObra[DESCRIPCION],MObra[VALOR UNIT],,0),"")</f>
        <v/>
      </c>
      <c r="F1126" s="33"/>
      <c r="G1126" s="34" t="str">
        <f>IFERROR(IF(F1126&gt;=0,D1126*E1126*(1+F1126/100),ABS(D1126*E1126/F1126)),"")</f>
        <v/>
      </c>
      <c r="H1126" s="43" t="str">
        <f>IFERROR(G1126*E1109,"")</f>
        <v/>
      </c>
    </row>
    <row r="1127" spans="1:11" ht="13.15" thickBot="1">
      <c r="A1127" s="35"/>
      <c r="B1127" s="36"/>
      <c r="C1127" s="37" t="str">
        <f t="array" ref="C1127">IFERROR(_xlfn.XLOOKUP(B1127,MObra[[#All],[DESCRIPCION]],MObra[[#All],[UN]],,0),"")</f>
        <v/>
      </c>
      <c r="D1127" s="38"/>
      <c r="E1127" s="39" t="str">
        <f>IFERROR(_xlfn.XLOOKUP($B1127,MObra[DESCRIPCION],MObra[VALOR UNIT],,0),"")</f>
        <v/>
      </c>
      <c r="F1127" s="40"/>
      <c r="G1127" s="41" t="str">
        <f>IFERROR(IF(F1127&gt;=0,D1127*E1127*(1+F1127/100),ABS(D1127*E1127/F1127)),"")</f>
        <v/>
      </c>
      <c r="H1127" s="42" t="str">
        <f>IFERROR(G1127*E1109,"")</f>
        <v/>
      </c>
    </row>
    <row r="1128" spans="1:11" ht="12.75" customHeight="1" thickTop="1" thickBot="1"/>
    <row r="1129" spans="1:11" ht="13.5" thickTop="1" thickBot="1">
      <c r="A1129" s="6" t="s">
        <v>989</v>
      </c>
      <c r="B1129" s="7" t="str">
        <f>VLOOKUP($A1129,Presupuesto!$A:$D,2,FALSE())</f>
        <v>Regleta LED sobreponer de 1,5 m, 4000 K, 10 W, 105 Lm/W.</v>
      </c>
      <c r="C1129" s="8" t="str">
        <f>VLOOKUP($A1129,Presupuesto!$A:$D,3,FALSE())</f>
        <v>Un</v>
      </c>
      <c r="D1129" s="9"/>
      <c r="E1129" s="10">
        <f>VLOOKUP($A1129,Presupuesto!$A:$D,4,FALSE())</f>
        <v>0</v>
      </c>
      <c r="F1129" s="11" t="s">
        <v>2589</v>
      </c>
      <c r="G1129" s="12">
        <f>SUM(G1131:G1147)/2</f>
        <v>101665.54065327857</v>
      </c>
      <c r="H1129" s="13">
        <f>ROUND(SUM(H1131:H1147),0)/2</f>
        <v>0</v>
      </c>
      <c r="I1129" s="10">
        <f>VLOOKUP(A1129,Presupuesto!$A:$F,6,0)</f>
        <v>0</v>
      </c>
      <c r="J1129" s="10">
        <f>+H1129-I1129</f>
        <v>0</v>
      </c>
      <c r="K1129" s="46">
        <f>+H1129-G1129*E1129</f>
        <v>0</v>
      </c>
    </row>
    <row r="1130" spans="1:11">
      <c r="A1130" s="14"/>
      <c r="B1130" s="15" t="s">
        <v>2586</v>
      </c>
      <c r="C1130" s="15" t="s">
        <v>5</v>
      </c>
      <c r="D1130" s="16" t="s">
        <v>6</v>
      </c>
      <c r="E1130" s="17" t="s">
        <v>7</v>
      </c>
      <c r="F1130" s="18" t="s">
        <v>3728</v>
      </c>
      <c r="G1130" s="19" t="s">
        <v>3729</v>
      </c>
      <c r="H1130" s="20" t="s">
        <v>3797</v>
      </c>
    </row>
    <row r="1131" spans="1:11">
      <c r="A1131" s="21"/>
      <c r="B1131" s="22" t="s">
        <v>3730</v>
      </c>
      <c r="C1131" s="23"/>
      <c r="D1131" s="24"/>
      <c r="E1131" s="25"/>
      <c r="F1131" s="26"/>
      <c r="G1131" s="27">
        <f>SUM(G1132:G1136)</f>
        <v>90570.375</v>
      </c>
      <c r="H1131" s="27">
        <f>IFERROR(G1131*E1129,"")</f>
        <v>0</v>
      </c>
    </row>
    <row r="1132" spans="1:11">
      <c r="A1132" s="28"/>
      <c r="B1132" s="135" t="s">
        <v>2849</v>
      </c>
      <c r="C1132" s="30" t="str">
        <f>IFERROR(_xlfn.XLOOKUP(B1132,Insumo[DESCRIPCION],Insumo[UND],,0),"")</f>
        <v>M</v>
      </c>
      <c r="D1132" s="31">
        <v>1</v>
      </c>
      <c r="E1132" s="32">
        <f>IFERROR(_xlfn.XLOOKUP($B1132,Insumo[DESCRIPCION],Insumo[VALOR],,0),"")</f>
        <v>90570.375</v>
      </c>
      <c r="F1132" s="33"/>
      <c r="G1132" s="34">
        <f>IFERROR(IF(F1132&gt;=0,D1132*E1132*(1+F1132/100),ABS(D1132*E1132/F1132)),"")</f>
        <v>90570.375</v>
      </c>
      <c r="H1132" s="43">
        <f>IFERROR(G1132*E1129,"")</f>
        <v>0</v>
      </c>
    </row>
    <row r="1133" spans="1:11">
      <c r="A1133" s="28"/>
      <c r="B1133" s="29"/>
      <c r="C1133" s="30" t="str">
        <f>IFERROR(_xlfn.XLOOKUP(B1133,Insumo[DESCRIPCION],Insumo[UND],,0),"")</f>
        <v/>
      </c>
      <c r="D1133" s="31"/>
      <c r="E1133" s="32" t="str">
        <f>IFERROR(_xlfn.XLOOKUP($B1133,Insumo[DESCRIPCION],Insumo[VALOR],,0),"")</f>
        <v/>
      </c>
      <c r="F1133" s="33"/>
      <c r="G1133" s="34" t="str">
        <f>IFERROR(IF(F1133&gt;=0,D1133*E1133*(1+F1133/100),ABS(D1133*E1133/F1133)),"")</f>
        <v/>
      </c>
      <c r="H1133" s="43" t="str">
        <f>IFERROR(G1133*E1129,"")</f>
        <v/>
      </c>
    </row>
    <row r="1134" spans="1:11">
      <c r="A1134" s="28"/>
      <c r="B1134" s="29"/>
      <c r="C1134" s="30" t="str">
        <f>IFERROR(_xlfn.XLOOKUP(B1134,Insumo[DESCRIPCION],Insumo[UND],,0),"")</f>
        <v/>
      </c>
      <c r="D1134" s="31"/>
      <c r="E1134" s="32" t="str">
        <f>IFERROR(_xlfn.XLOOKUP($B1134,Insumo[DESCRIPCION],Insumo[VALOR],,0),"")</f>
        <v/>
      </c>
      <c r="F1134" s="33"/>
      <c r="G1134" s="34" t="str">
        <f>IFERROR(IF(F1134&gt;=0,D1134*E1134*(1+F1134/100),ABS(D1134*E1134/F1134)),"")</f>
        <v/>
      </c>
      <c r="H1134" s="43" t="str">
        <f>IFERROR(G1134*E1129,"")</f>
        <v/>
      </c>
    </row>
    <row r="1135" spans="1:11">
      <c r="A1135" s="28"/>
      <c r="B1135" s="29"/>
      <c r="C1135" s="30" t="str">
        <f>IFERROR(_xlfn.XLOOKUP(B1135,Insumo[DESCRIPCION],Insumo[UND],,0),"")</f>
        <v/>
      </c>
      <c r="D1135" s="31"/>
      <c r="E1135" s="32" t="str">
        <f>IFERROR(_xlfn.XLOOKUP($B1135,Insumo[DESCRIPCION],Insumo[VALOR],,0),"")</f>
        <v/>
      </c>
      <c r="F1135" s="33"/>
      <c r="G1135" s="34" t="str">
        <f>IFERROR(IF(F1135&gt;=0,D1135*E1135*(1+F1135/100),ABS(D1135*E1135/F1135)),"")</f>
        <v/>
      </c>
      <c r="H1135" s="43" t="str">
        <f>IFERROR(G1135*E1129,"")</f>
        <v/>
      </c>
    </row>
    <row r="1136" spans="1:11">
      <c r="A1136" s="28"/>
      <c r="B1136" s="29"/>
      <c r="C1136" s="30" t="str">
        <f>IFERROR(_xlfn.XLOOKUP(B1136,Insumo[DESCRIPCION],Insumo[UND],,0),"")</f>
        <v/>
      </c>
      <c r="D1136" s="31"/>
      <c r="E1136" s="32" t="str">
        <f>IFERROR(_xlfn.XLOOKUP($B1136,Insumo[DESCRIPCION],Insumo[VALOR],,0),"")</f>
        <v/>
      </c>
      <c r="F1136" s="33"/>
      <c r="G1136" s="34" t="str">
        <f>IFERROR(IF(F1136&gt;=0,D1136*E1136*(1+F1136/100),ABS(D1136*E1136/F1136)),"")</f>
        <v/>
      </c>
      <c r="H1136" s="43" t="str">
        <f>IFERROR(G1136*E1129,"")</f>
        <v/>
      </c>
    </row>
    <row r="1137" spans="1:11">
      <c r="A1137" s="21"/>
      <c r="B1137" s="22" t="s">
        <v>3731</v>
      </c>
      <c r="C1137" s="23"/>
      <c r="D1137" s="24"/>
      <c r="E1137" s="25"/>
      <c r="F1137" s="26"/>
      <c r="G1137" s="27">
        <f>SUM(G1138:G1140)</f>
        <v>1447.1955199928575</v>
      </c>
      <c r="H1137" s="44">
        <f>G1137*E1129</f>
        <v>0</v>
      </c>
    </row>
    <row r="1138" spans="1:11">
      <c r="A1138" s="28"/>
      <c r="B1138" s="29" t="s">
        <v>3573</v>
      </c>
      <c r="C1138" s="30" t="str">
        <f>IFERROR(_xlfn.XLOOKUP(B1138,Equipo[DESCRIPCION],Equipo[UND],,0),"")</f>
        <v>%MO</v>
      </c>
      <c r="D1138" s="31">
        <v>0.1</v>
      </c>
      <c r="E1138" s="32">
        <f>IF(C1138="%MO",G1144,IFERROR(_xlfn.XLOOKUP($B1138,Equipo[DESCRIPCION],Equipo[VALOR],,0),""))</f>
        <v>9647.9701332857167</v>
      </c>
      <c r="F1138" s="33"/>
      <c r="G1138" s="34">
        <f>IFERROR(IF(F1138&gt;=0,D1138*E1138*(1+F1138/100),ABS(D1138*E1138/F1138)),"")</f>
        <v>964.79701332857167</v>
      </c>
      <c r="H1138" s="43">
        <f>IFERROR(G1138*E1129,"")</f>
        <v>0</v>
      </c>
    </row>
    <row r="1139" spans="1:11">
      <c r="A1139" s="28"/>
      <c r="B1139" s="29" t="s">
        <v>3626</v>
      </c>
      <c r="C1139" s="30" t="str">
        <f>IFERROR(_xlfn.XLOOKUP(B1139,Equipo[DESCRIPCION],Equipo[UND],,0),"")</f>
        <v>%MO</v>
      </c>
      <c r="D1139" s="31">
        <v>0.05</v>
      </c>
      <c r="E1139" s="32">
        <f>IF(C1139="%MO",G1144,IFERROR(_xlfn.XLOOKUP($B1139,Equipo[DESCRIPCION],Equipo[VALOR],,0),""))</f>
        <v>9647.9701332857167</v>
      </c>
      <c r="F1139" s="33"/>
      <c r="G1139" s="34">
        <f>IFERROR(IF(F1139&gt;=0,D1139*E1139*(1+F1139/100),ABS(D1139*E1139/F1139)),"")</f>
        <v>482.39850666428583</v>
      </c>
      <c r="H1139" s="43">
        <f>IFERROR(G1139*E1129,"")</f>
        <v>0</v>
      </c>
    </row>
    <row r="1140" spans="1:11">
      <c r="A1140" s="28"/>
      <c r="B1140" s="29"/>
      <c r="C1140" s="30" t="str">
        <f>IFERROR(_xlfn.XLOOKUP(B1140,Equipo[DESCRIPCION],Equipo[UND],,0),"")</f>
        <v/>
      </c>
      <c r="D1140" s="31"/>
      <c r="E1140" s="32" t="str">
        <f>IF(C1140="%MO",G1144,IFERROR(_xlfn.XLOOKUP($B1140,Equipo[DESCRIPCION],Equipo[VALOR],,0),""))</f>
        <v/>
      </c>
      <c r="F1140" s="33"/>
      <c r="G1140" s="34" t="str">
        <f>IFERROR(IF(F1140&gt;=0,D1140*E1140*(1+F1140/100),ABS(D1140*E1140/F1140)),"")</f>
        <v/>
      </c>
      <c r="H1140" s="43" t="str">
        <f>IFERROR(G1140*E1129,"")</f>
        <v/>
      </c>
    </row>
    <row r="1141" spans="1:11">
      <c r="A1141" s="21"/>
      <c r="B1141" s="22" t="s">
        <v>2533</v>
      </c>
      <c r="C1141" s="23"/>
      <c r="D1141" s="24"/>
      <c r="E1141" s="25"/>
      <c r="F1141" s="26"/>
      <c r="G1141" s="27">
        <f>SUM(G1142:G1143)</f>
        <v>0</v>
      </c>
      <c r="H1141" s="44">
        <f>G1141*E1129</f>
        <v>0</v>
      </c>
    </row>
    <row r="1142" spans="1:11">
      <c r="A1142" s="28"/>
      <c r="B1142" s="29"/>
      <c r="C1142" s="30" t="str">
        <f>IFERROR(_xlfn.XLOOKUP(B1142,Transporte[DESCRIPCION],Transporte[UND],,0),"")</f>
        <v/>
      </c>
      <c r="D1142" s="31"/>
      <c r="E1142" s="32" t="str">
        <f>IFERROR(_xlfn.XLOOKUP($B1142,Transporte[DESCRIPCION],Transporte[VALOR],,0),"")</f>
        <v/>
      </c>
      <c r="F1142" s="33"/>
      <c r="G1142" s="34" t="str">
        <f>IFERROR(IF(F1142&gt;=0,D1142*E1142*(1+F1142/100),ABS(D1142*E1142/F1142)),"")</f>
        <v/>
      </c>
      <c r="H1142" s="43" t="str">
        <f>IFERROR(G1142*E1129,"")</f>
        <v/>
      </c>
    </row>
    <row r="1143" spans="1:11">
      <c r="A1143" s="28"/>
      <c r="B1143" s="29"/>
      <c r="C1143" s="30" t="str">
        <f>IFERROR(_xlfn.XLOOKUP(B1143,Transporte[DESCRIPCION],Transporte[UND],,0),"")</f>
        <v/>
      </c>
      <c r="D1143" s="31"/>
      <c r="E1143" s="32" t="str">
        <f>IFERROR(_xlfn.XLOOKUP($B1143,Transporte[DESCRIPCION],Transporte[VALOR],,0),"")</f>
        <v/>
      </c>
      <c r="F1143" s="33"/>
      <c r="G1143" s="34" t="str">
        <f>IFERROR(IF(F1143&gt;=0,D1143*E1143*(1+F1143/100),ABS(D1143*E1143/F1143)),"")</f>
        <v/>
      </c>
      <c r="H1143" s="43" t="str">
        <f>IFERROR(G1143*E1129,"")</f>
        <v/>
      </c>
    </row>
    <row r="1144" spans="1:11">
      <c r="A1144" s="21"/>
      <c r="B1144" s="22" t="s">
        <v>3732</v>
      </c>
      <c r="C1144" s="23"/>
      <c r="D1144" s="24"/>
      <c r="E1144" s="25"/>
      <c r="F1144" s="26"/>
      <c r="G1144" s="27">
        <f>SUM(G1145:G1147)</f>
        <v>9647.9701332857167</v>
      </c>
      <c r="H1144" s="44">
        <f>G1144*E1129</f>
        <v>0</v>
      </c>
    </row>
    <row r="1145" spans="1:11">
      <c r="A1145" s="28"/>
      <c r="B1145" s="29" t="s">
        <v>3715</v>
      </c>
      <c r="C1145" s="30" t="str">
        <f>IFERROR(_xlfn.XLOOKUP(B1145,MObra[DESCRIPCION],MObra[UN],,0),"")</f>
        <v>día</v>
      </c>
      <c r="D1145" s="31">
        <v>1</v>
      </c>
      <c r="E1145" s="32">
        <f>IFERROR(_xlfn.XLOOKUP($B1145,MObra[DESCRIPCION],MObra[VALOR UNIT],,0),"")</f>
        <v>337678.95466500008</v>
      </c>
      <c r="F1145" s="33">
        <v>-35</v>
      </c>
      <c r="G1145" s="34">
        <f>IFERROR(IF(F1145&gt;=0,D1145*E1145*(1+F1145/100),ABS(D1145*E1145/F1145)),"")</f>
        <v>9647.9701332857167</v>
      </c>
      <c r="H1145" s="43">
        <f>IFERROR(G1145*E1129,"")</f>
        <v>0</v>
      </c>
    </row>
    <row r="1146" spans="1:11">
      <c r="A1146" s="28"/>
      <c r="B1146" s="29"/>
      <c r="C1146" s="30" t="str">
        <f t="array" ref="C1146">IFERROR(_xlfn.XLOOKUP(B1146,MObra[[#All],[DESCRIPCION]],MObra[[#All],[UN]],,0),"")</f>
        <v/>
      </c>
      <c r="D1146" s="31"/>
      <c r="E1146" s="32" t="str">
        <f>IFERROR(_xlfn.XLOOKUP($B1146,MObra[DESCRIPCION],MObra[VALOR UNIT],,0),"")</f>
        <v/>
      </c>
      <c r="F1146" s="33"/>
      <c r="G1146" s="34" t="str">
        <f>IFERROR(IF(F1146&gt;=0,D1146*E1146*(1+F1146/100),ABS(D1146*E1146/F1146)),"")</f>
        <v/>
      </c>
      <c r="H1146" s="43" t="str">
        <f>IFERROR(G1146*E1129,"")</f>
        <v/>
      </c>
    </row>
    <row r="1147" spans="1:11">
      <c r="A1147" s="35"/>
      <c r="B1147" s="36"/>
      <c r="C1147" s="37" t="str">
        <f t="array" ref="C1147">IFERROR(_xlfn.XLOOKUP(B1147,MObra[[#All],[DESCRIPCION]],MObra[[#All],[UN]],,0),"")</f>
        <v/>
      </c>
      <c r="D1147" s="38"/>
      <c r="E1147" s="39" t="str">
        <f>IFERROR(_xlfn.XLOOKUP($B1147,MObra[DESCRIPCION],MObra[VALOR UNIT],,0),"")</f>
        <v/>
      </c>
      <c r="F1147" s="40"/>
      <c r="G1147" s="41" t="str">
        <f>IFERROR(IF(F1147&gt;=0,D1147*E1147*(1+F1147/100),ABS(D1147*E1147/F1147)),"")</f>
        <v/>
      </c>
      <c r="H1147" s="42" t="str">
        <f>IFERROR(G1147*E1129,"")</f>
        <v/>
      </c>
    </row>
    <row r="1148" spans="1:11" ht="13.5" thickTop="1" thickBot="1"/>
    <row r="1149" spans="1:11" ht="13.5" thickTop="1" thickBot="1">
      <c r="A1149" s="6" t="s">
        <v>991</v>
      </c>
      <c r="B1149" s="7" t="str">
        <f>VLOOKUP($A1149,Presupuesto!$A:$D,2,FALSE())</f>
        <v>Salida de emergencia, flecha derecha eletro iluminado 120 Vac, 1.8W</v>
      </c>
      <c r="C1149" s="8" t="str">
        <f>VLOOKUP($A1149,Presupuesto!$A:$D,3,FALSE())</f>
        <v>Un</v>
      </c>
      <c r="D1149" s="9"/>
      <c r="E1149" s="10">
        <f>VLOOKUP($A1149,Presupuesto!$A:$D,4,FALSE())</f>
        <v>0</v>
      </c>
      <c r="F1149" s="11" t="s">
        <v>2589</v>
      </c>
      <c r="G1149" s="12">
        <f>SUM(G1151:G1167)/2</f>
        <v>220008.72529978128</v>
      </c>
      <c r="H1149" s="13">
        <f>ROUND(SUM(H1151:H1167),0)/2</f>
        <v>0</v>
      </c>
      <c r="I1149" s="10">
        <f>VLOOKUP(A1149,Presupuesto!$A:$F,6,0)</f>
        <v>0</v>
      </c>
      <c r="J1149" s="10">
        <f>+H1149-I1149</f>
        <v>0</v>
      </c>
      <c r="K1149" s="46">
        <f>+H1149-G1149*E1149</f>
        <v>0</v>
      </c>
    </row>
    <row r="1150" spans="1:11">
      <c r="A1150" s="14"/>
      <c r="B1150" s="15" t="s">
        <v>2586</v>
      </c>
      <c r="C1150" s="15" t="s">
        <v>5</v>
      </c>
      <c r="D1150" s="16" t="s">
        <v>6</v>
      </c>
      <c r="E1150" s="17" t="s">
        <v>7</v>
      </c>
      <c r="F1150" s="18" t="s">
        <v>3728</v>
      </c>
      <c r="G1150" s="19" t="s">
        <v>3729</v>
      </c>
      <c r="H1150" s="20" t="s">
        <v>3797</v>
      </c>
    </row>
    <row r="1151" spans="1:11">
      <c r="A1151" s="21"/>
      <c r="B1151" s="22" t="s">
        <v>3730</v>
      </c>
      <c r="C1151" s="23"/>
      <c r="D1151" s="24"/>
      <c r="E1151" s="25"/>
      <c r="F1151" s="26"/>
      <c r="G1151" s="27">
        <f>SUM(G1152:G1156)</f>
        <v>175688.36250000002</v>
      </c>
      <c r="H1151" s="27">
        <f>IFERROR(G1151*E1149,"")</f>
        <v>0</v>
      </c>
    </row>
    <row r="1152" spans="1:11">
      <c r="A1152" s="28"/>
      <c r="B1152" s="135" t="s">
        <v>3121</v>
      </c>
      <c r="C1152" s="30" t="str">
        <f>IFERROR(_xlfn.XLOOKUP(B1152,Insumo[DESCRIPCION],Insumo[UND],,0),"")</f>
        <v>Un</v>
      </c>
      <c r="D1152" s="31">
        <v>1</v>
      </c>
      <c r="E1152" s="32">
        <f>IFERROR(_xlfn.XLOOKUP($B1152,Insumo[DESCRIPCION],Insumo[VALOR],,0),"")</f>
        <v>158184.86250000002</v>
      </c>
      <c r="F1152" s="33"/>
      <c r="G1152" s="34">
        <f>IFERROR(IF(F1152&gt;=0,D1152*E1152*(1+F1152/100),ABS(D1152*E1152/F1152)),"")</f>
        <v>158184.86250000002</v>
      </c>
      <c r="H1152" s="43">
        <f>IFERROR(G1152*E1149,"")</f>
        <v>0</v>
      </c>
    </row>
    <row r="1153" spans="1:8">
      <c r="A1153" s="28"/>
      <c r="B1153" s="29" t="s">
        <v>2800</v>
      </c>
      <c r="C1153" s="30" t="str">
        <f>IFERROR(_xlfn.XLOOKUP(B1153,Insumo[DESCRIPCION],Insumo[UND],,0),"")</f>
        <v>M</v>
      </c>
      <c r="D1153" s="31">
        <v>1.5</v>
      </c>
      <c r="E1153" s="32">
        <f>IFERROR(_xlfn.XLOOKUP($B1153,Insumo[DESCRIPCION],Insumo[VALOR],,0),"")</f>
        <v>7387.8</v>
      </c>
      <c r="F1153" s="33"/>
      <c r="G1153" s="34">
        <f>IFERROR(IF(F1153&gt;=0,D1153*E1153*(1+F1153/100),ABS(D1153*E1153/F1153)),"")</f>
        <v>11081.7</v>
      </c>
      <c r="H1153" s="43">
        <f>IFERROR(G1153*E1149,"")</f>
        <v>0</v>
      </c>
    </row>
    <row r="1154" spans="1:8">
      <c r="A1154" s="28"/>
      <c r="B1154" s="29" t="s">
        <v>2855</v>
      </c>
      <c r="C1154" s="30" t="str">
        <f>IFERROR(_xlfn.XLOOKUP(B1154,Insumo[DESCRIPCION],Insumo[UND],,0),"")</f>
        <v>Un</v>
      </c>
      <c r="D1154" s="31">
        <v>1</v>
      </c>
      <c r="E1154" s="32">
        <f>IFERROR(_xlfn.XLOOKUP($B1154,Insumo[DESCRIPCION],Insumo[VALOR],,0),"")</f>
        <v>6421.8</v>
      </c>
      <c r="F1154" s="33"/>
      <c r="G1154" s="34">
        <f>IFERROR(IF(F1154&gt;=0,D1154*E1154*(1+F1154/100),ABS(D1154*E1154/F1154)),"")</f>
        <v>6421.8</v>
      </c>
      <c r="H1154" s="43">
        <f>IFERROR(G1154*E1149,"")</f>
        <v>0</v>
      </c>
    </row>
    <row r="1155" spans="1:8">
      <c r="A1155" s="28"/>
      <c r="B1155" s="29"/>
      <c r="C1155" s="30" t="str">
        <f>IFERROR(_xlfn.XLOOKUP(B1155,Insumo[DESCRIPCION],Insumo[UND],,0),"")</f>
        <v/>
      </c>
      <c r="D1155" s="31"/>
      <c r="E1155" s="32" t="str">
        <f>IFERROR(_xlfn.XLOOKUP($B1155,Insumo[DESCRIPCION],Insumo[VALOR],,0),"")</f>
        <v/>
      </c>
      <c r="F1155" s="33"/>
      <c r="G1155" s="34" t="str">
        <f>IFERROR(IF(F1155&gt;=0,D1155*E1155*(1+F1155/100),ABS(D1155*E1155/F1155)),"")</f>
        <v/>
      </c>
      <c r="H1155" s="43" t="str">
        <f>IFERROR(G1155*E1149,"")</f>
        <v/>
      </c>
    </row>
    <row r="1156" spans="1:8">
      <c r="A1156" s="28"/>
      <c r="B1156" s="29"/>
      <c r="C1156" s="30" t="str">
        <f>IFERROR(_xlfn.XLOOKUP(B1156,Insumo[DESCRIPCION],Insumo[UND],,0),"")</f>
        <v/>
      </c>
      <c r="D1156" s="31"/>
      <c r="E1156" s="32" t="str">
        <f>IFERROR(_xlfn.XLOOKUP($B1156,Insumo[DESCRIPCION],Insumo[VALOR],,0),"")</f>
        <v/>
      </c>
      <c r="F1156" s="33"/>
      <c r="G1156" s="34" t="str">
        <f>IFERROR(IF(F1156&gt;=0,D1156*E1156*(1+F1156/100),ABS(D1156*E1156/F1156)),"")</f>
        <v/>
      </c>
      <c r="H1156" s="43" t="str">
        <f>IFERROR(G1156*E1149,"")</f>
        <v/>
      </c>
    </row>
    <row r="1157" spans="1:8">
      <c r="A1157" s="21"/>
      <c r="B1157" s="22" t="s">
        <v>3731</v>
      </c>
      <c r="C1157" s="23"/>
      <c r="D1157" s="24"/>
      <c r="E1157" s="25"/>
      <c r="F1157" s="26"/>
      <c r="G1157" s="27">
        <f>SUM(G1158:G1160)</f>
        <v>2110.4934666562508</v>
      </c>
      <c r="H1157" s="44">
        <f>G1157*E1149</f>
        <v>0</v>
      </c>
    </row>
    <row r="1158" spans="1:8">
      <c r="A1158" s="28"/>
      <c r="B1158" s="29" t="s">
        <v>3626</v>
      </c>
      <c r="C1158" s="30" t="str">
        <f>IFERROR(_xlfn.XLOOKUP(B1158,Equipo[DESCRIPCION],Equipo[UND],,0),"")</f>
        <v>%MO</v>
      </c>
      <c r="D1158" s="31">
        <v>0.05</v>
      </c>
      <c r="E1158" s="32">
        <f>IF(C1158="%MO",G1164,IFERROR(_xlfn.XLOOKUP($B1158,Equipo[DESCRIPCION],Equipo[VALOR],,0),""))</f>
        <v>42209.869333125011</v>
      </c>
      <c r="F1158" s="33"/>
      <c r="G1158" s="34">
        <f>IFERROR(IF(F1158&gt;=0,D1158*E1158*(1+F1158/100),ABS(D1158*E1158/F1158)),"")</f>
        <v>2110.4934666562508</v>
      </c>
      <c r="H1158" s="43">
        <f>IFERROR(G1158*E1149,"")</f>
        <v>0</v>
      </c>
    </row>
    <row r="1159" spans="1:8">
      <c r="A1159" s="28"/>
      <c r="B1159" s="29"/>
      <c r="C1159" s="30" t="str">
        <f>IFERROR(_xlfn.XLOOKUP(B1159,Equipo[DESCRIPCION],Equipo[UND],,0),"")</f>
        <v/>
      </c>
      <c r="D1159" s="31"/>
      <c r="E1159" s="32" t="str">
        <f>IF(C1159="%MO",G1164,IFERROR(_xlfn.XLOOKUP($B1159,Equipo[DESCRIPCION],Equipo[VALOR],,0),""))</f>
        <v/>
      </c>
      <c r="F1159" s="33"/>
      <c r="G1159" s="34" t="str">
        <f>IFERROR(IF(F1159&gt;=0,D1159*E1159*(1+F1159/100),ABS(D1159*E1159/F1159)),"")</f>
        <v/>
      </c>
      <c r="H1159" s="43" t="str">
        <f>IFERROR(G1159*E1149,"")</f>
        <v/>
      </c>
    </row>
    <row r="1160" spans="1:8">
      <c r="A1160" s="28"/>
      <c r="B1160" s="29"/>
      <c r="C1160" s="30" t="str">
        <f>IFERROR(_xlfn.XLOOKUP(B1160,Equipo[DESCRIPCION],Equipo[UND],,0),"")</f>
        <v/>
      </c>
      <c r="D1160" s="31"/>
      <c r="E1160" s="32" t="str">
        <f>IF(C1160="%MO",G1164,IFERROR(_xlfn.XLOOKUP($B1160,Equipo[DESCRIPCION],Equipo[VALOR],,0),""))</f>
        <v/>
      </c>
      <c r="F1160" s="33"/>
      <c r="G1160" s="34" t="str">
        <f>IFERROR(IF(F1160&gt;=0,D1160*E1160*(1+F1160/100),ABS(D1160*E1160/F1160)),"")</f>
        <v/>
      </c>
      <c r="H1160" s="43" t="str">
        <f>IFERROR(G1160*E1149,"")</f>
        <v/>
      </c>
    </row>
    <row r="1161" spans="1:8">
      <c r="A1161" s="21"/>
      <c r="B1161" s="22" t="s">
        <v>2533</v>
      </c>
      <c r="C1161" s="23"/>
      <c r="D1161" s="24"/>
      <c r="E1161" s="25"/>
      <c r="F1161" s="26"/>
      <c r="G1161" s="27">
        <f>SUM(G1162:G1163)</f>
        <v>0</v>
      </c>
      <c r="H1161" s="44">
        <f>G1161*E1149</f>
        <v>0</v>
      </c>
    </row>
    <row r="1162" spans="1:8">
      <c r="A1162" s="28"/>
      <c r="B1162" s="29"/>
      <c r="C1162" s="30" t="str">
        <f>IFERROR(_xlfn.XLOOKUP(B1162,Transporte[DESCRIPCION],Transporte[UND],,0),"")</f>
        <v/>
      </c>
      <c r="D1162" s="31"/>
      <c r="E1162" s="32" t="str">
        <f>IFERROR(_xlfn.XLOOKUP($B1162,Transporte[DESCRIPCION],Transporte[VALOR],,0),"")</f>
        <v/>
      </c>
      <c r="F1162" s="33"/>
      <c r="G1162" s="34" t="str">
        <f>IFERROR(IF(F1162&gt;=0,D1162*E1162*(1+F1162/100),ABS(D1162*E1162/F1162)),"")</f>
        <v/>
      </c>
      <c r="H1162" s="43" t="str">
        <f>IFERROR(G1162*E1149,"")</f>
        <v/>
      </c>
    </row>
    <row r="1163" spans="1:8">
      <c r="A1163" s="28"/>
      <c r="B1163" s="29"/>
      <c r="C1163" s="30" t="str">
        <f>IFERROR(_xlfn.XLOOKUP(B1163,Transporte[DESCRIPCION],Transporte[UND],,0),"")</f>
        <v/>
      </c>
      <c r="D1163" s="31"/>
      <c r="E1163" s="32" t="str">
        <f>IFERROR(_xlfn.XLOOKUP($B1163,Transporte[DESCRIPCION],Transporte[VALOR],,0),"")</f>
        <v/>
      </c>
      <c r="F1163" s="33"/>
      <c r="G1163" s="34" t="str">
        <f>IFERROR(IF(F1163&gt;=0,D1163*E1163*(1+F1163/100),ABS(D1163*E1163/F1163)),"")</f>
        <v/>
      </c>
      <c r="H1163" s="43" t="str">
        <f>IFERROR(G1163*E1149,"")</f>
        <v/>
      </c>
    </row>
    <row r="1164" spans="1:8">
      <c r="A1164" s="21"/>
      <c r="B1164" s="22" t="s">
        <v>3732</v>
      </c>
      <c r="C1164" s="23"/>
      <c r="D1164" s="24"/>
      <c r="E1164" s="25"/>
      <c r="F1164" s="26"/>
      <c r="G1164" s="27">
        <f>SUM(G1165:G1167)</f>
        <v>42209.869333125011</v>
      </c>
      <c r="H1164" s="44">
        <f>G1164*E1149</f>
        <v>0</v>
      </c>
    </row>
    <row r="1165" spans="1:8">
      <c r="A1165" s="28"/>
      <c r="B1165" s="29" t="s">
        <v>3715</v>
      </c>
      <c r="C1165" s="30" t="str">
        <f>IFERROR(_xlfn.XLOOKUP(B1165,MObra[DESCRIPCION],MObra[UN],,0),"")</f>
        <v>día</v>
      </c>
      <c r="D1165" s="31">
        <v>1</v>
      </c>
      <c r="E1165" s="32">
        <f>IFERROR(_xlfn.XLOOKUP($B1165,MObra[DESCRIPCION],MObra[VALOR UNIT],,0),"")</f>
        <v>337678.95466500008</v>
      </c>
      <c r="F1165" s="33">
        <v>-8</v>
      </c>
      <c r="G1165" s="34">
        <f>IFERROR(IF(F1165&gt;=0,D1165*E1165*(1+F1165/100),ABS(D1165*E1165/F1165)),"")</f>
        <v>42209.869333125011</v>
      </c>
      <c r="H1165" s="43">
        <f>IFERROR(G1165*E1149,"")</f>
        <v>0</v>
      </c>
    </row>
    <row r="1166" spans="1:8">
      <c r="A1166" s="28"/>
      <c r="B1166" s="29"/>
      <c r="C1166" s="30" t="str">
        <f t="array" ref="C1166">IFERROR(_xlfn.XLOOKUP(B1166,MObra[[#All],[DESCRIPCION]],MObra[[#All],[UN]],,0),"")</f>
        <v/>
      </c>
      <c r="D1166" s="31"/>
      <c r="E1166" s="32" t="str">
        <f>IFERROR(_xlfn.XLOOKUP($B1166,MObra[DESCRIPCION],MObra[VALOR UNIT],,0),"")</f>
        <v/>
      </c>
      <c r="F1166" s="33"/>
      <c r="G1166" s="34" t="str">
        <f>IFERROR(IF(F1166&gt;=0,D1166*E1166*(1+F1166/100),ABS(D1166*E1166/F1166)),"")</f>
        <v/>
      </c>
      <c r="H1166" s="43" t="str">
        <f>IFERROR(G1166*E1149,"")</f>
        <v/>
      </c>
    </row>
    <row r="1167" spans="1:8">
      <c r="A1167" s="35"/>
      <c r="B1167" s="36"/>
      <c r="C1167" s="37" t="str">
        <f t="array" ref="C1167">IFERROR(_xlfn.XLOOKUP(B1167,MObra[[#All],[DESCRIPCION]],MObra[[#All],[UN]],,0),"")</f>
        <v/>
      </c>
      <c r="D1167" s="38"/>
      <c r="E1167" s="39" t="str">
        <f>IFERROR(_xlfn.XLOOKUP($B1167,MObra[DESCRIPCION],MObra[VALOR UNIT],,0),"")</f>
        <v/>
      </c>
      <c r="F1167" s="40"/>
      <c r="G1167" s="41" t="str">
        <f>IFERROR(IF(F1167&gt;=0,D1167*E1167*(1+F1167/100),ABS(D1167*E1167/F1167)),"")</f>
        <v/>
      </c>
      <c r="H1167" s="42" t="str">
        <f>IFERROR(G1167*E1149,"")</f>
        <v/>
      </c>
    </row>
    <row r="1169" spans="1:11">
      <c r="A1169" s="6" t="s">
        <v>993</v>
      </c>
      <c r="B1169" s="7" t="str">
        <f>VLOOKUP($A1169,Presupuesto!$A:$D,2,FALSE())</f>
        <v>Salida de emergencia, flecha izquierda eletro iluminado 120 Vac, 1.8W</v>
      </c>
      <c r="C1169" s="8" t="str">
        <f>VLOOKUP($A1169,Presupuesto!$A:$D,3,FALSE())</f>
        <v>Un</v>
      </c>
      <c r="D1169" s="9"/>
      <c r="E1169" s="10">
        <f>VLOOKUP($A1169,Presupuesto!$A:$D,4,FALSE())</f>
        <v>0</v>
      </c>
      <c r="F1169" s="11" t="s">
        <v>2589</v>
      </c>
      <c r="G1169" s="12">
        <f>SUM(G1171:G1187)/2</f>
        <v>220008.72529978128</v>
      </c>
      <c r="H1169" s="13">
        <f>ROUND(SUM(H1171:H1187),0)/2</f>
        <v>0</v>
      </c>
      <c r="I1169" s="10">
        <f>VLOOKUP(A1169,Presupuesto!$A:$F,6,0)</f>
        <v>0</v>
      </c>
      <c r="J1169" s="10">
        <f>+H1169-I1169</f>
        <v>0</v>
      </c>
      <c r="K1169" s="46">
        <f>+H1169-G1169*E1169</f>
        <v>0</v>
      </c>
    </row>
    <row r="1170" spans="1:11">
      <c r="A1170" s="14"/>
      <c r="B1170" s="15" t="s">
        <v>2586</v>
      </c>
      <c r="C1170" s="15" t="s">
        <v>5</v>
      </c>
      <c r="D1170" s="16" t="s">
        <v>6</v>
      </c>
      <c r="E1170" s="17" t="s">
        <v>7</v>
      </c>
      <c r="F1170" s="18" t="s">
        <v>3728</v>
      </c>
      <c r="G1170" s="19" t="s">
        <v>3729</v>
      </c>
      <c r="H1170" s="20" t="s">
        <v>3797</v>
      </c>
    </row>
    <row r="1171" spans="1:11">
      <c r="A1171" s="21"/>
      <c r="B1171" s="22" t="s">
        <v>3730</v>
      </c>
      <c r="C1171" s="23"/>
      <c r="D1171" s="24"/>
      <c r="E1171" s="25"/>
      <c r="F1171" s="26"/>
      <c r="G1171" s="27">
        <f>SUM(G1172:G1176)</f>
        <v>175688.36250000002</v>
      </c>
      <c r="H1171" s="27">
        <f>IFERROR(G1171*E1169,"")</f>
        <v>0</v>
      </c>
    </row>
    <row r="1172" spans="1:11">
      <c r="A1172" s="28"/>
      <c r="B1172" s="135" t="s">
        <v>3122</v>
      </c>
      <c r="C1172" s="30" t="str">
        <f>IFERROR(_xlfn.XLOOKUP(B1172,Insumo[DESCRIPCION],Insumo[UND],,0),"")</f>
        <v>Un</v>
      </c>
      <c r="D1172" s="31">
        <v>1</v>
      </c>
      <c r="E1172" s="32">
        <f>IFERROR(_xlfn.XLOOKUP($B1172,Insumo[DESCRIPCION],Insumo[VALOR],,0),"")</f>
        <v>158184.86250000002</v>
      </c>
      <c r="F1172" s="33"/>
      <c r="G1172" s="34">
        <f>IFERROR(IF(F1172&gt;=0,D1172*E1172*(1+F1172/100),ABS(D1172*E1172/F1172)),"")</f>
        <v>158184.86250000002</v>
      </c>
      <c r="H1172" s="43">
        <f>IFERROR(G1172*E1169,"")</f>
        <v>0</v>
      </c>
    </row>
    <row r="1173" spans="1:11">
      <c r="A1173" s="28"/>
      <c r="B1173" s="29" t="s">
        <v>2800</v>
      </c>
      <c r="C1173" s="30" t="str">
        <f>IFERROR(_xlfn.XLOOKUP(B1173,Insumo[DESCRIPCION],Insumo[UND],,0),"")</f>
        <v>M</v>
      </c>
      <c r="D1173" s="31">
        <v>1.5</v>
      </c>
      <c r="E1173" s="32">
        <f>IFERROR(_xlfn.XLOOKUP($B1173,Insumo[DESCRIPCION],Insumo[VALOR],,0),"")</f>
        <v>7387.8</v>
      </c>
      <c r="F1173" s="33"/>
      <c r="G1173" s="34">
        <f>IFERROR(IF(F1173&gt;=0,D1173*E1173*(1+F1173/100),ABS(D1173*E1173/F1173)),"")</f>
        <v>11081.7</v>
      </c>
      <c r="H1173" s="43">
        <f>IFERROR(G1173*E1169,"")</f>
        <v>0</v>
      </c>
    </row>
    <row r="1174" spans="1:11">
      <c r="A1174" s="28"/>
      <c r="B1174" s="29" t="s">
        <v>2855</v>
      </c>
      <c r="C1174" s="30" t="str">
        <f>IFERROR(_xlfn.XLOOKUP(B1174,Insumo[DESCRIPCION],Insumo[UND],,0),"")</f>
        <v>Un</v>
      </c>
      <c r="D1174" s="31">
        <v>1</v>
      </c>
      <c r="E1174" s="32">
        <f>IFERROR(_xlfn.XLOOKUP($B1174,Insumo[DESCRIPCION],Insumo[VALOR],,0),"")</f>
        <v>6421.8</v>
      </c>
      <c r="F1174" s="33"/>
      <c r="G1174" s="34">
        <f>IFERROR(IF(F1174&gt;=0,D1174*E1174*(1+F1174/100),ABS(D1174*E1174/F1174)),"")</f>
        <v>6421.8</v>
      </c>
      <c r="H1174" s="43">
        <f>IFERROR(G1174*E1169,"")</f>
        <v>0</v>
      </c>
    </row>
    <row r="1175" spans="1:11">
      <c r="A1175" s="28"/>
      <c r="B1175" s="29"/>
      <c r="C1175" s="30" t="str">
        <f>IFERROR(_xlfn.XLOOKUP(B1175,Insumo[DESCRIPCION],Insumo[UND],,0),"")</f>
        <v/>
      </c>
      <c r="D1175" s="31"/>
      <c r="E1175" s="32" t="str">
        <f>IFERROR(_xlfn.XLOOKUP($B1175,Insumo[DESCRIPCION],Insumo[VALOR],,0),"")</f>
        <v/>
      </c>
      <c r="F1175" s="33"/>
      <c r="G1175" s="34" t="str">
        <f>IFERROR(IF(F1175&gt;=0,D1175*E1175*(1+F1175/100),ABS(D1175*E1175/F1175)),"")</f>
        <v/>
      </c>
      <c r="H1175" s="43" t="str">
        <f>IFERROR(G1175*E1169,"")</f>
        <v/>
      </c>
    </row>
    <row r="1176" spans="1:11">
      <c r="A1176" s="28"/>
      <c r="B1176" s="29"/>
      <c r="C1176" s="30" t="str">
        <f>IFERROR(_xlfn.XLOOKUP(B1176,Insumo[DESCRIPCION],Insumo[UND],,0),"")</f>
        <v/>
      </c>
      <c r="D1176" s="31"/>
      <c r="E1176" s="32" t="str">
        <f>IFERROR(_xlfn.XLOOKUP($B1176,Insumo[DESCRIPCION],Insumo[VALOR],,0),"")</f>
        <v/>
      </c>
      <c r="F1176" s="33"/>
      <c r="G1176" s="34" t="str">
        <f>IFERROR(IF(F1176&gt;=0,D1176*E1176*(1+F1176/100),ABS(D1176*E1176/F1176)),"")</f>
        <v/>
      </c>
      <c r="H1176" s="43" t="str">
        <f>IFERROR(G1176*E1169,"")</f>
        <v/>
      </c>
    </row>
    <row r="1177" spans="1:11">
      <c r="A1177" s="21"/>
      <c r="B1177" s="22" t="s">
        <v>3731</v>
      </c>
      <c r="C1177" s="23"/>
      <c r="D1177" s="24"/>
      <c r="E1177" s="25"/>
      <c r="F1177" s="26"/>
      <c r="G1177" s="27">
        <f>SUM(G1178:G1180)</f>
        <v>2110.4934666562508</v>
      </c>
      <c r="H1177" s="44">
        <f>G1177*E1169</f>
        <v>0</v>
      </c>
    </row>
    <row r="1178" spans="1:11">
      <c r="A1178" s="28"/>
      <c r="B1178" s="29" t="s">
        <v>3626</v>
      </c>
      <c r="C1178" s="30" t="str">
        <f>IFERROR(_xlfn.XLOOKUP(B1178,Equipo[DESCRIPCION],Equipo[UND],,0),"")</f>
        <v>%MO</v>
      </c>
      <c r="D1178" s="31">
        <v>0.05</v>
      </c>
      <c r="E1178" s="32">
        <f>IF(C1178="%MO",G1184,IFERROR(_xlfn.XLOOKUP($B1178,Equipo[DESCRIPCION],Equipo[VALOR],,0),""))</f>
        <v>42209.869333125011</v>
      </c>
      <c r="F1178" s="33"/>
      <c r="G1178" s="34">
        <f>IFERROR(IF(F1178&gt;=0,D1178*E1178*(1+F1178/100),ABS(D1178*E1178/F1178)),"")</f>
        <v>2110.4934666562508</v>
      </c>
      <c r="H1178" s="43">
        <f>IFERROR(G1178*E1169,"")</f>
        <v>0</v>
      </c>
    </row>
    <row r="1179" spans="1:11">
      <c r="A1179" s="28"/>
      <c r="B1179" s="29"/>
      <c r="C1179" s="30" t="str">
        <f>IFERROR(_xlfn.XLOOKUP(B1179,Equipo[DESCRIPCION],Equipo[UND],,0),"")</f>
        <v/>
      </c>
      <c r="D1179" s="31"/>
      <c r="E1179" s="32" t="str">
        <f>IF(C1179="%MO",G1184,IFERROR(_xlfn.XLOOKUP($B1179,Equipo[DESCRIPCION],Equipo[VALOR],,0),""))</f>
        <v/>
      </c>
      <c r="F1179" s="33"/>
      <c r="G1179" s="34" t="str">
        <f>IFERROR(IF(F1179&gt;=0,D1179*E1179*(1+F1179/100),ABS(D1179*E1179/F1179)),"")</f>
        <v/>
      </c>
      <c r="H1179" s="43" t="str">
        <f>IFERROR(G1179*E1169,"")</f>
        <v/>
      </c>
    </row>
    <row r="1180" spans="1:11">
      <c r="A1180" s="28"/>
      <c r="B1180" s="29"/>
      <c r="C1180" s="30" t="str">
        <f>IFERROR(_xlfn.XLOOKUP(B1180,Equipo[DESCRIPCION],Equipo[UND],,0),"")</f>
        <v/>
      </c>
      <c r="D1180" s="31"/>
      <c r="E1180" s="32" t="str">
        <f>IF(C1180="%MO",G1184,IFERROR(_xlfn.XLOOKUP($B1180,Equipo[DESCRIPCION],Equipo[VALOR],,0),""))</f>
        <v/>
      </c>
      <c r="F1180" s="33"/>
      <c r="G1180" s="34" t="str">
        <f>IFERROR(IF(F1180&gt;=0,D1180*E1180*(1+F1180/100),ABS(D1180*E1180/F1180)),"")</f>
        <v/>
      </c>
      <c r="H1180" s="43" t="str">
        <f>IFERROR(G1180*E1169,"")</f>
        <v/>
      </c>
    </row>
    <row r="1181" spans="1:11">
      <c r="A1181" s="21"/>
      <c r="B1181" s="22" t="s">
        <v>2533</v>
      </c>
      <c r="C1181" s="23"/>
      <c r="D1181" s="24"/>
      <c r="E1181" s="25"/>
      <c r="F1181" s="26"/>
      <c r="G1181" s="27">
        <f>SUM(G1182:G1183)</f>
        <v>0</v>
      </c>
      <c r="H1181" s="44">
        <f>G1181*E1169</f>
        <v>0</v>
      </c>
    </row>
    <row r="1182" spans="1:11">
      <c r="A1182" s="28"/>
      <c r="B1182" s="29"/>
      <c r="C1182" s="30" t="str">
        <f>IFERROR(_xlfn.XLOOKUP(B1182,Transporte[DESCRIPCION],Transporte[UND],,0),"")</f>
        <v/>
      </c>
      <c r="D1182" s="31"/>
      <c r="E1182" s="32" t="str">
        <f>IFERROR(_xlfn.XLOOKUP($B1182,Transporte[DESCRIPCION],Transporte[VALOR],,0),"")</f>
        <v/>
      </c>
      <c r="F1182" s="33"/>
      <c r="G1182" s="34" t="str">
        <f>IFERROR(IF(F1182&gt;=0,D1182*E1182*(1+F1182/100),ABS(D1182*E1182/F1182)),"")</f>
        <v/>
      </c>
      <c r="H1182" s="43" t="str">
        <f>IFERROR(G1182*E1169,"")</f>
        <v/>
      </c>
    </row>
    <row r="1183" spans="1:11">
      <c r="A1183" s="28"/>
      <c r="B1183" s="29"/>
      <c r="C1183" s="30" t="str">
        <f>IFERROR(_xlfn.XLOOKUP(B1183,Transporte[DESCRIPCION],Transporte[UND],,0),"")</f>
        <v/>
      </c>
      <c r="D1183" s="31"/>
      <c r="E1183" s="32" t="str">
        <f>IFERROR(_xlfn.XLOOKUP($B1183,Transporte[DESCRIPCION],Transporte[VALOR],,0),"")</f>
        <v/>
      </c>
      <c r="F1183" s="33"/>
      <c r="G1183" s="34" t="str">
        <f>IFERROR(IF(F1183&gt;=0,D1183*E1183*(1+F1183/100),ABS(D1183*E1183/F1183)),"")</f>
        <v/>
      </c>
      <c r="H1183" s="43" t="str">
        <f>IFERROR(G1183*E1169,"")</f>
        <v/>
      </c>
    </row>
    <row r="1184" spans="1:11">
      <c r="A1184" s="21"/>
      <c r="B1184" s="22" t="s">
        <v>3732</v>
      </c>
      <c r="C1184" s="23"/>
      <c r="D1184" s="24"/>
      <c r="E1184" s="25"/>
      <c r="F1184" s="26"/>
      <c r="G1184" s="27">
        <f>SUM(G1185:G1187)</f>
        <v>42209.869333125011</v>
      </c>
      <c r="H1184" s="44">
        <f>G1184*E1169</f>
        <v>0</v>
      </c>
    </row>
    <row r="1185" spans="1:11">
      <c r="A1185" s="28"/>
      <c r="B1185" s="29" t="s">
        <v>3715</v>
      </c>
      <c r="C1185" s="30" t="str">
        <f>IFERROR(_xlfn.XLOOKUP(B1185,MObra[DESCRIPCION],MObra[UN],,0),"")</f>
        <v>día</v>
      </c>
      <c r="D1185" s="31">
        <v>1</v>
      </c>
      <c r="E1185" s="32">
        <f>IFERROR(_xlfn.XLOOKUP($B1185,MObra[DESCRIPCION],MObra[VALOR UNIT],,0),"")</f>
        <v>337678.95466500008</v>
      </c>
      <c r="F1185" s="33">
        <v>-8</v>
      </c>
      <c r="G1185" s="34">
        <f>IFERROR(IF(F1185&gt;=0,D1185*E1185*(1+F1185/100),ABS(D1185*E1185/F1185)),"")</f>
        <v>42209.869333125011</v>
      </c>
      <c r="H1185" s="43">
        <f>IFERROR(G1185*E1169,"")</f>
        <v>0</v>
      </c>
    </row>
    <row r="1186" spans="1:11">
      <c r="A1186" s="28"/>
      <c r="B1186" s="29"/>
      <c r="C1186" s="30" t="str">
        <f t="array" ref="C1186">IFERROR(_xlfn.XLOOKUP(B1186,MObra[[#All],[DESCRIPCION]],MObra[[#All],[UN]],,0),"")</f>
        <v/>
      </c>
      <c r="D1186" s="31"/>
      <c r="E1186" s="32" t="str">
        <f>IFERROR(_xlfn.XLOOKUP($B1186,MObra[DESCRIPCION],MObra[VALOR UNIT],,0),"")</f>
        <v/>
      </c>
      <c r="F1186" s="33"/>
      <c r="G1186" s="34" t="str">
        <f>IFERROR(IF(F1186&gt;=0,D1186*E1186*(1+F1186/100),ABS(D1186*E1186/F1186)),"")</f>
        <v/>
      </c>
      <c r="H1186" s="43" t="str">
        <f>IFERROR(G1186*E1169,"")</f>
        <v/>
      </c>
    </row>
    <row r="1187" spans="1:11">
      <c r="A1187" s="35"/>
      <c r="B1187" s="36"/>
      <c r="C1187" s="37" t="str">
        <f t="array" ref="C1187">IFERROR(_xlfn.XLOOKUP(B1187,MObra[[#All],[DESCRIPCION]],MObra[[#All],[UN]],,0),"")</f>
        <v/>
      </c>
      <c r="D1187" s="38"/>
      <c r="E1187" s="39" t="str">
        <f>IFERROR(_xlfn.XLOOKUP($B1187,MObra[DESCRIPCION],MObra[VALOR UNIT],,0),"")</f>
        <v/>
      </c>
      <c r="F1187" s="40"/>
      <c r="G1187" s="41" t="str">
        <f>IFERROR(IF(F1187&gt;=0,D1187*E1187*(1+F1187/100),ABS(D1187*E1187/F1187)),"")</f>
        <v/>
      </c>
      <c r="H1187" s="42" t="str">
        <f>IFERROR(G1187*E1169,"")</f>
        <v/>
      </c>
    </row>
    <row r="1189" spans="1:11">
      <c r="A1189" s="6" t="s">
        <v>995</v>
      </c>
      <c r="B1189" s="7" t="str">
        <f>VLOOKUP($A1189,Presupuesto!$A:$D,2,FALSE())</f>
        <v>Salida de emergencia, salida principal eletro iluminado 120 Vac, 1.8W</v>
      </c>
      <c r="C1189" s="8" t="str">
        <f>VLOOKUP($A1189,Presupuesto!$A:$D,3,FALSE())</f>
        <v>Un</v>
      </c>
      <c r="D1189" s="9"/>
      <c r="E1189" s="10">
        <f>VLOOKUP($A1189,Presupuesto!$A:$D,4,FALSE())</f>
        <v>0</v>
      </c>
      <c r="F1189" s="11" t="s">
        <v>2589</v>
      </c>
      <c r="G1189" s="12">
        <f>SUM(G1191:G1207)/2</f>
        <v>171556.42279978126</v>
      </c>
      <c r="H1189" s="13">
        <f>ROUND(SUM(H1191:H1207),0)/2</f>
        <v>0</v>
      </c>
      <c r="I1189" s="10">
        <f>VLOOKUP(A1189,Presupuesto!$A:$F,6,0)</f>
        <v>0</v>
      </c>
      <c r="J1189" s="10">
        <f>+H1189-I1189</f>
        <v>0</v>
      </c>
      <c r="K1189" s="46">
        <f>+H1189-G1189*E1189</f>
        <v>0</v>
      </c>
    </row>
    <row r="1190" spans="1:11">
      <c r="A1190" s="14"/>
      <c r="B1190" s="15" t="s">
        <v>2586</v>
      </c>
      <c r="C1190" s="15" t="s">
        <v>5</v>
      </c>
      <c r="D1190" s="16" t="s">
        <v>6</v>
      </c>
      <c r="E1190" s="17" t="s">
        <v>7</v>
      </c>
      <c r="F1190" s="18" t="s">
        <v>3728</v>
      </c>
      <c r="G1190" s="19" t="s">
        <v>3729</v>
      </c>
      <c r="H1190" s="20" t="s">
        <v>3797</v>
      </c>
    </row>
    <row r="1191" spans="1:11">
      <c r="A1191" s="21"/>
      <c r="B1191" s="22" t="s">
        <v>3730</v>
      </c>
      <c r="C1191" s="23"/>
      <c r="D1191" s="24"/>
      <c r="E1191" s="25"/>
      <c r="F1191" s="26"/>
      <c r="G1191" s="27">
        <f>SUM(G1192:G1196)</f>
        <v>127236.06</v>
      </c>
      <c r="H1191" s="27">
        <f>IFERROR(G1191*E1189,"")</f>
        <v>0</v>
      </c>
    </row>
    <row r="1192" spans="1:11">
      <c r="A1192" s="28"/>
      <c r="B1192" s="135" t="s">
        <v>3123</v>
      </c>
      <c r="C1192" s="30" t="str">
        <f>IFERROR(_xlfn.XLOOKUP(B1192,Insumo[DESCRIPCION],Insumo[UND],,0),"")</f>
        <v>Un</v>
      </c>
      <c r="D1192" s="31">
        <v>1</v>
      </c>
      <c r="E1192" s="32">
        <f>IFERROR(_xlfn.XLOOKUP($B1192,Insumo[DESCRIPCION],Insumo[VALOR],,0),"")</f>
        <v>109732.56</v>
      </c>
      <c r="F1192" s="33"/>
      <c r="G1192" s="34">
        <f>IFERROR(IF(F1192&gt;=0,D1192*E1192*(1+F1192/100),ABS(D1192*E1192/F1192)),"")</f>
        <v>109732.56</v>
      </c>
      <c r="H1192" s="43">
        <f>IFERROR(G1192*E1189,"")</f>
        <v>0</v>
      </c>
    </row>
    <row r="1193" spans="1:11">
      <c r="A1193" s="28"/>
      <c r="B1193" s="29" t="s">
        <v>2800</v>
      </c>
      <c r="C1193" s="30" t="str">
        <f>IFERROR(_xlfn.XLOOKUP(B1193,Insumo[DESCRIPCION],Insumo[UND],,0),"")</f>
        <v>M</v>
      </c>
      <c r="D1193" s="31">
        <v>1.5</v>
      </c>
      <c r="E1193" s="32">
        <f>IFERROR(_xlfn.XLOOKUP($B1193,Insumo[DESCRIPCION],Insumo[VALOR],,0),"")</f>
        <v>7387.8</v>
      </c>
      <c r="F1193" s="33"/>
      <c r="G1193" s="34">
        <f>IFERROR(IF(F1193&gt;=0,D1193*E1193*(1+F1193/100),ABS(D1193*E1193/F1193)),"")</f>
        <v>11081.7</v>
      </c>
      <c r="H1193" s="43">
        <f>IFERROR(G1193*E1189,"")</f>
        <v>0</v>
      </c>
    </row>
    <row r="1194" spans="1:11">
      <c r="A1194" s="28"/>
      <c r="B1194" s="29" t="s">
        <v>2855</v>
      </c>
      <c r="C1194" s="30" t="str">
        <f>IFERROR(_xlfn.XLOOKUP(B1194,Insumo[DESCRIPCION],Insumo[UND],,0),"")</f>
        <v>Un</v>
      </c>
      <c r="D1194" s="31">
        <v>1</v>
      </c>
      <c r="E1194" s="32">
        <f>IFERROR(_xlfn.XLOOKUP($B1194,Insumo[DESCRIPCION],Insumo[VALOR],,0),"")</f>
        <v>6421.8</v>
      </c>
      <c r="F1194" s="33"/>
      <c r="G1194" s="34">
        <f>IFERROR(IF(F1194&gt;=0,D1194*E1194*(1+F1194/100),ABS(D1194*E1194/F1194)),"")</f>
        <v>6421.8</v>
      </c>
      <c r="H1194" s="43">
        <f>IFERROR(G1194*E1189,"")</f>
        <v>0</v>
      </c>
    </row>
    <row r="1195" spans="1:11">
      <c r="A1195" s="28"/>
      <c r="B1195" s="29"/>
      <c r="C1195" s="30" t="str">
        <f>IFERROR(_xlfn.XLOOKUP(B1195,Insumo[DESCRIPCION],Insumo[UND],,0),"")</f>
        <v/>
      </c>
      <c r="D1195" s="31"/>
      <c r="E1195" s="32" t="str">
        <f>IFERROR(_xlfn.XLOOKUP($B1195,Insumo[DESCRIPCION],Insumo[VALOR],,0),"")</f>
        <v/>
      </c>
      <c r="F1195" s="33"/>
      <c r="G1195" s="34" t="str">
        <f>IFERROR(IF(F1195&gt;=0,D1195*E1195*(1+F1195/100),ABS(D1195*E1195/F1195)),"")</f>
        <v/>
      </c>
      <c r="H1195" s="43" t="str">
        <f>IFERROR(G1195*E1189,"")</f>
        <v/>
      </c>
    </row>
    <row r="1196" spans="1:11">
      <c r="A1196" s="28"/>
      <c r="B1196" s="29"/>
      <c r="C1196" s="30" t="str">
        <f>IFERROR(_xlfn.XLOOKUP(B1196,Insumo[DESCRIPCION],Insumo[UND],,0),"")</f>
        <v/>
      </c>
      <c r="D1196" s="31"/>
      <c r="E1196" s="32" t="str">
        <f>IFERROR(_xlfn.XLOOKUP($B1196,Insumo[DESCRIPCION],Insumo[VALOR],,0),"")</f>
        <v/>
      </c>
      <c r="F1196" s="33"/>
      <c r="G1196" s="34" t="str">
        <f>IFERROR(IF(F1196&gt;=0,D1196*E1196*(1+F1196/100),ABS(D1196*E1196/F1196)),"")</f>
        <v/>
      </c>
      <c r="H1196" s="43" t="str">
        <f>IFERROR(G1196*E1189,"")</f>
        <v/>
      </c>
    </row>
    <row r="1197" spans="1:11">
      <c r="A1197" s="21"/>
      <c r="B1197" s="22" t="s">
        <v>3731</v>
      </c>
      <c r="C1197" s="23"/>
      <c r="D1197" s="24"/>
      <c r="E1197" s="25"/>
      <c r="F1197" s="26"/>
      <c r="G1197" s="27">
        <f>SUM(G1198:G1200)</f>
        <v>2110.4934666562508</v>
      </c>
      <c r="H1197" s="44">
        <f>G1197*E1189</f>
        <v>0</v>
      </c>
    </row>
    <row r="1198" spans="1:11">
      <c r="A1198" s="28"/>
      <c r="B1198" s="29" t="s">
        <v>3626</v>
      </c>
      <c r="C1198" s="30" t="str">
        <f>IFERROR(_xlfn.XLOOKUP(B1198,Equipo[DESCRIPCION],Equipo[UND],,0),"")</f>
        <v>%MO</v>
      </c>
      <c r="D1198" s="31">
        <v>0.05</v>
      </c>
      <c r="E1198" s="32">
        <f>IF(C1198="%MO",G1204,IFERROR(_xlfn.XLOOKUP($B1198,Equipo[DESCRIPCION],Equipo[VALOR],,0),""))</f>
        <v>42209.869333125011</v>
      </c>
      <c r="F1198" s="33"/>
      <c r="G1198" s="34">
        <f>IFERROR(IF(F1198&gt;=0,D1198*E1198*(1+F1198/100),ABS(D1198*E1198/F1198)),"")</f>
        <v>2110.4934666562508</v>
      </c>
      <c r="H1198" s="43">
        <f>IFERROR(G1198*E1189,"")</f>
        <v>0</v>
      </c>
    </row>
    <row r="1199" spans="1:11">
      <c r="A1199" s="28"/>
      <c r="B1199" s="29"/>
      <c r="C1199" s="30" t="str">
        <f>IFERROR(_xlfn.XLOOKUP(B1199,Equipo[DESCRIPCION],Equipo[UND],,0),"")</f>
        <v/>
      </c>
      <c r="D1199" s="31"/>
      <c r="E1199" s="32" t="str">
        <f>IF(C1199="%MO",G1204,IFERROR(_xlfn.XLOOKUP($B1199,Equipo[DESCRIPCION],Equipo[VALOR],,0),""))</f>
        <v/>
      </c>
      <c r="F1199" s="33"/>
      <c r="G1199" s="34" t="str">
        <f>IFERROR(IF(F1199&gt;=0,D1199*E1199*(1+F1199/100),ABS(D1199*E1199/F1199)),"")</f>
        <v/>
      </c>
      <c r="H1199" s="43" t="str">
        <f>IFERROR(G1199*E1189,"")</f>
        <v/>
      </c>
    </row>
    <row r="1200" spans="1:11">
      <c r="A1200" s="28"/>
      <c r="B1200" s="29"/>
      <c r="C1200" s="30" t="str">
        <f>IFERROR(_xlfn.XLOOKUP(B1200,Equipo[DESCRIPCION],Equipo[UND],,0),"")</f>
        <v/>
      </c>
      <c r="D1200" s="31"/>
      <c r="E1200" s="32" t="str">
        <f>IF(C1200="%MO",G1204,IFERROR(_xlfn.XLOOKUP($B1200,Equipo[DESCRIPCION],Equipo[VALOR],,0),""))</f>
        <v/>
      </c>
      <c r="F1200" s="33"/>
      <c r="G1200" s="34" t="str">
        <f>IFERROR(IF(F1200&gt;=0,D1200*E1200*(1+F1200/100),ABS(D1200*E1200/F1200)),"")</f>
        <v/>
      </c>
      <c r="H1200" s="43" t="str">
        <f>IFERROR(G1200*E1189,"")</f>
        <v/>
      </c>
    </row>
    <row r="1201" spans="1:11">
      <c r="A1201" s="21"/>
      <c r="B1201" s="22" t="s">
        <v>2533</v>
      </c>
      <c r="C1201" s="23"/>
      <c r="D1201" s="24"/>
      <c r="E1201" s="25"/>
      <c r="F1201" s="26"/>
      <c r="G1201" s="27">
        <f>SUM(G1202:G1203)</f>
        <v>0</v>
      </c>
      <c r="H1201" s="44">
        <f>G1201*E1189</f>
        <v>0</v>
      </c>
    </row>
    <row r="1202" spans="1:11">
      <c r="A1202" s="28"/>
      <c r="B1202" s="29"/>
      <c r="C1202" s="30" t="str">
        <f>IFERROR(_xlfn.XLOOKUP(B1202,Transporte[DESCRIPCION],Transporte[UND],,0),"")</f>
        <v/>
      </c>
      <c r="D1202" s="31"/>
      <c r="E1202" s="32" t="str">
        <f>IFERROR(_xlfn.XLOOKUP($B1202,Transporte[DESCRIPCION],Transporte[VALOR],,0),"")</f>
        <v/>
      </c>
      <c r="F1202" s="33"/>
      <c r="G1202" s="34" t="str">
        <f>IFERROR(IF(F1202&gt;=0,D1202*E1202*(1+F1202/100),ABS(D1202*E1202/F1202)),"")</f>
        <v/>
      </c>
      <c r="H1202" s="43" t="str">
        <f>IFERROR(G1202*E1189,"")</f>
        <v/>
      </c>
    </row>
    <row r="1203" spans="1:11">
      <c r="A1203" s="28"/>
      <c r="B1203" s="29"/>
      <c r="C1203" s="30" t="str">
        <f>IFERROR(_xlfn.XLOOKUP(B1203,Transporte[DESCRIPCION],Transporte[UND],,0),"")</f>
        <v/>
      </c>
      <c r="D1203" s="31"/>
      <c r="E1203" s="32" t="str">
        <f>IFERROR(_xlfn.XLOOKUP($B1203,Transporte[DESCRIPCION],Transporte[VALOR],,0),"")</f>
        <v/>
      </c>
      <c r="F1203" s="33"/>
      <c r="G1203" s="34" t="str">
        <f>IFERROR(IF(F1203&gt;=0,D1203*E1203*(1+F1203/100),ABS(D1203*E1203/F1203)),"")</f>
        <v/>
      </c>
      <c r="H1203" s="43" t="str">
        <f>IFERROR(G1203*E1189,"")</f>
        <v/>
      </c>
    </row>
    <row r="1204" spans="1:11">
      <c r="A1204" s="21"/>
      <c r="B1204" s="22" t="s">
        <v>3732</v>
      </c>
      <c r="C1204" s="23"/>
      <c r="D1204" s="24"/>
      <c r="E1204" s="25"/>
      <c r="F1204" s="26"/>
      <c r="G1204" s="27">
        <f>SUM(G1205:G1207)</f>
        <v>42209.869333125011</v>
      </c>
      <c r="H1204" s="44">
        <f>G1204*E1189</f>
        <v>0</v>
      </c>
    </row>
    <row r="1205" spans="1:11">
      <c r="A1205" s="28"/>
      <c r="B1205" s="29" t="s">
        <v>3715</v>
      </c>
      <c r="C1205" s="30" t="str">
        <f>IFERROR(_xlfn.XLOOKUP(B1205,MObra[DESCRIPCION],MObra[UN],,0),"")</f>
        <v>día</v>
      </c>
      <c r="D1205" s="31">
        <v>1</v>
      </c>
      <c r="E1205" s="32">
        <f>IFERROR(_xlfn.XLOOKUP($B1205,MObra[DESCRIPCION],MObra[VALOR UNIT],,0),"")</f>
        <v>337678.95466500008</v>
      </c>
      <c r="F1205" s="33">
        <v>-8</v>
      </c>
      <c r="G1205" s="34">
        <f>IFERROR(IF(F1205&gt;=0,D1205*E1205*(1+F1205/100),ABS(D1205*E1205/F1205)),"")</f>
        <v>42209.869333125011</v>
      </c>
      <c r="H1205" s="43">
        <f>IFERROR(G1205*E1189,"")</f>
        <v>0</v>
      </c>
    </row>
    <row r="1206" spans="1:11">
      <c r="A1206" s="28"/>
      <c r="B1206" s="29"/>
      <c r="C1206" s="30" t="str">
        <f t="array" ref="C1206">IFERROR(_xlfn.XLOOKUP(B1206,MObra[[#All],[DESCRIPCION]],MObra[[#All],[UN]],,0),"")</f>
        <v/>
      </c>
      <c r="D1206" s="31"/>
      <c r="E1206" s="32" t="str">
        <f>IFERROR(_xlfn.XLOOKUP($B1206,MObra[DESCRIPCION],MObra[VALOR UNIT],,0),"")</f>
        <v/>
      </c>
      <c r="F1206" s="33"/>
      <c r="G1206" s="34" t="str">
        <f>IFERROR(IF(F1206&gt;=0,D1206*E1206*(1+F1206/100),ABS(D1206*E1206/F1206)),"")</f>
        <v/>
      </c>
      <c r="H1206" s="43" t="str">
        <f>IFERROR(G1206*E1189,"")</f>
        <v/>
      </c>
    </row>
    <row r="1207" spans="1:11">
      <c r="A1207" s="35"/>
      <c r="B1207" s="36"/>
      <c r="C1207" s="37" t="str">
        <f t="array" ref="C1207">IFERROR(_xlfn.XLOOKUP(B1207,MObra[[#All],[DESCRIPCION]],MObra[[#All],[UN]],,0),"")</f>
        <v/>
      </c>
      <c r="D1207" s="38"/>
      <c r="E1207" s="39" t="str">
        <f>IFERROR(_xlfn.XLOOKUP($B1207,MObra[DESCRIPCION],MObra[VALOR UNIT],,0),"")</f>
        <v/>
      </c>
      <c r="F1207" s="40"/>
      <c r="G1207" s="41" t="str">
        <f>IFERROR(IF(F1207&gt;=0,D1207*E1207*(1+F1207/100),ABS(D1207*E1207/F1207)),"")</f>
        <v/>
      </c>
      <c r="H1207" s="42" t="str">
        <f>IFERROR(G1207*E1189,"")</f>
        <v/>
      </c>
    </row>
    <row r="1208" spans="1:11" ht="13.5" thickTop="1" thickBot="1"/>
    <row r="1209" spans="1:11" ht="26.25" thickTop="1" thickBot="1">
      <c r="A1209" s="6" t="s">
        <v>997</v>
      </c>
      <c r="B1209" s="7" t="str">
        <f>VLOOKUP($A1209,Presupuesto!$A:$D,2,FALSE())</f>
        <v>Sensor infrarrojo. Incluye cableado y conectores necesarios para su instalación</v>
      </c>
      <c r="C1209" s="8" t="str">
        <f>VLOOKUP($A1209,Presupuesto!$A:$D,3,FALSE())</f>
        <v>Un</v>
      </c>
      <c r="D1209" s="9"/>
      <c r="E1209" s="10">
        <f>VLOOKUP($A1209,Presupuesto!$A:$D,4,FALSE())</f>
        <v>0</v>
      </c>
      <c r="F1209" s="11" t="s">
        <v>2589</v>
      </c>
      <c r="G1209" s="12">
        <f>SUM(G1211:G1227)/2</f>
        <v>159708.019333125</v>
      </c>
      <c r="H1209" s="13">
        <f>ROUND(SUM(H1211:H1227),0)/2</f>
        <v>0</v>
      </c>
      <c r="I1209" s="10">
        <f>VLOOKUP(A1209,Presupuesto!$A:$F,6,0)</f>
        <v>0</v>
      </c>
      <c r="J1209" s="10">
        <f>+H1209-I1209</f>
        <v>0</v>
      </c>
      <c r="K1209" s="46">
        <f>+H1209-G1209*E1209</f>
        <v>0</v>
      </c>
    </row>
    <row r="1210" spans="1:11" ht="13.15" thickTop="1">
      <c r="A1210" s="14"/>
      <c r="B1210" s="15" t="s">
        <v>2586</v>
      </c>
      <c r="C1210" s="15" t="s">
        <v>5</v>
      </c>
      <c r="D1210" s="16" t="s">
        <v>6</v>
      </c>
      <c r="E1210" s="17" t="s">
        <v>7</v>
      </c>
      <c r="F1210" s="18" t="s">
        <v>3728</v>
      </c>
      <c r="G1210" s="19" t="s">
        <v>3729</v>
      </c>
      <c r="H1210" s="20" t="s">
        <v>3797</v>
      </c>
    </row>
    <row r="1211" spans="1:11">
      <c r="A1211" s="21"/>
      <c r="B1211" s="22" t="s">
        <v>3730</v>
      </c>
      <c r="C1211" s="23"/>
      <c r="D1211" s="24"/>
      <c r="E1211" s="25"/>
      <c r="F1211" s="26"/>
      <c r="G1211" s="27">
        <f>SUM(G1212:G1216)</f>
        <v>117498.15</v>
      </c>
      <c r="H1211" s="27">
        <f>IFERROR(G1211*E1209,"")</f>
        <v>0</v>
      </c>
    </row>
    <row r="1212" spans="1:11">
      <c r="A1212" s="28"/>
      <c r="B1212" s="29" t="s">
        <v>3286</v>
      </c>
      <c r="C1212" s="30" t="str">
        <f>IFERROR(_xlfn.XLOOKUP(B1212,Insumo[DESCRIPCION],Insumo[UND],,0),"")</f>
        <v>Un</v>
      </c>
      <c r="D1212" s="31">
        <v>1</v>
      </c>
      <c r="E1212" s="32">
        <f>IFERROR(_xlfn.XLOOKUP($B1212,Insumo[DESCRIPCION],Insumo[VALOR],,0),"")</f>
        <v>110507.25</v>
      </c>
      <c r="F1212" s="33"/>
      <c r="G1212" s="34">
        <f>IFERROR(IF(F1212&gt;=0,D1212*E1212*(1+F1212/100),ABS(D1212*E1212/F1212)),"")</f>
        <v>110507.25</v>
      </c>
      <c r="H1212" s="43">
        <f>IFERROR(G1212*E1209,"")</f>
        <v>0</v>
      </c>
    </row>
    <row r="1213" spans="1:11">
      <c r="A1213" s="28"/>
      <c r="B1213" s="29" t="s">
        <v>2800</v>
      </c>
      <c r="C1213" s="30" t="str">
        <f>IFERROR(_xlfn.XLOOKUP(B1213,Insumo[DESCRIPCION],Insumo[UND],,0),"")</f>
        <v>M</v>
      </c>
      <c r="D1213" s="31">
        <v>0.5</v>
      </c>
      <c r="E1213" s="32">
        <f>IFERROR(_xlfn.XLOOKUP($B1213,Insumo[DESCRIPCION],Insumo[VALOR],,0),"")</f>
        <v>7387.8</v>
      </c>
      <c r="F1213" s="33"/>
      <c r="G1213" s="34">
        <f>IFERROR(IF(F1213&gt;=0,D1213*E1213*(1+F1213/100),ABS(D1213*E1213/F1213)),"")</f>
        <v>3693.9</v>
      </c>
      <c r="H1213" s="43">
        <f>IFERROR(G1213*E1209,"")</f>
        <v>0</v>
      </c>
    </row>
    <row r="1214" spans="1:11">
      <c r="A1214" s="28"/>
      <c r="B1214" s="29" t="s">
        <v>2888</v>
      </c>
      <c r="C1214" s="30" t="str">
        <f>IFERROR(_xlfn.XLOOKUP(B1214,Insumo[DESCRIPCION],Insumo[UND],,0),"")</f>
        <v>Un</v>
      </c>
      <c r="D1214" s="31">
        <v>2</v>
      </c>
      <c r="E1214" s="32">
        <f>IFERROR(_xlfn.XLOOKUP($B1214,Insumo[DESCRIPCION],Insumo[VALOR],,0),"")</f>
        <v>1648.5</v>
      </c>
      <c r="F1214" s="33"/>
      <c r="G1214" s="34">
        <f>IFERROR(IF(F1214&gt;=0,D1214*E1214*(1+F1214/100),ABS(D1214*E1214/F1214)),"")</f>
        <v>3297</v>
      </c>
      <c r="H1214" s="43">
        <f>IFERROR(G1214*E1209,"")</f>
        <v>0</v>
      </c>
    </row>
    <row r="1215" spans="1:11">
      <c r="A1215" s="28"/>
      <c r="B1215" s="29"/>
      <c r="C1215" s="30" t="str">
        <f>IFERROR(_xlfn.XLOOKUP(B1215,Insumo[DESCRIPCION],Insumo[UND],,0),"")</f>
        <v/>
      </c>
      <c r="D1215" s="31"/>
      <c r="E1215" s="32" t="str">
        <f>IFERROR(_xlfn.XLOOKUP($B1215,Insumo[DESCRIPCION],Insumo[VALOR],,0),"")</f>
        <v/>
      </c>
      <c r="F1215" s="33"/>
      <c r="G1215" s="34" t="str">
        <f>IFERROR(IF(F1215&gt;=0,D1215*E1215*(1+F1215/100),ABS(D1215*E1215/F1215)),"")</f>
        <v/>
      </c>
      <c r="H1215" s="43" t="str">
        <f>IFERROR(G1215*E1209,"")</f>
        <v/>
      </c>
    </row>
    <row r="1216" spans="1:11">
      <c r="A1216" s="28"/>
      <c r="B1216" s="29"/>
      <c r="C1216" s="30" t="str">
        <f>IFERROR(_xlfn.XLOOKUP(B1216,Insumo[DESCRIPCION],Insumo[UND],,0),"")</f>
        <v/>
      </c>
      <c r="D1216" s="31"/>
      <c r="E1216" s="32" t="str">
        <f>IFERROR(_xlfn.XLOOKUP($B1216,Insumo[DESCRIPCION],Insumo[VALOR],,0),"")</f>
        <v/>
      </c>
      <c r="F1216" s="33"/>
      <c r="G1216" s="34" t="str">
        <f>IFERROR(IF(F1216&gt;=0,D1216*E1216*(1+F1216/100),ABS(D1216*E1216/F1216)),"")</f>
        <v/>
      </c>
      <c r="H1216" s="43" t="str">
        <f>IFERROR(G1216*E1209,"")</f>
        <v/>
      </c>
    </row>
    <row r="1217" spans="1:11">
      <c r="A1217" s="21"/>
      <c r="B1217" s="22" t="s">
        <v>3731</v>
      </c>
      <c r="C1217" s="23"/>
      <c r="D1217" s="24"/>
      <c r="E1217" s="25"/>
      <c r="F1217" s="26"/>
      <c r="G1217" s="27">
        <f>SUM(G1218:G1220)</f>
        <v>0</v>
      </c>
      <c r="H1217" s="44">
        <f>G1217*E1209</f>
        <v>0</v>
      </c>
    </row>
    <row r="1218" spans="1:11">
      <c r="A1218" s="28"/>
      <c r="B1218" s="29" t="s">
        <v>3626</v>
      </c>
      <c r="C1218" s="30" t="str">
        <f>IFERROR(_xlfn.XLOOKUP(B1218,Equipo[DESCRIPCION],Equipo[UND],,0),"")</f>
        <v>%MO</v>
      </c>
      <c r="D1218" s="31"/>
      <c r="E1218" s="32">
        <f>IF(C1218="%MO",G1224,IFERROR(_xlfn.XLOOKUP($B1218,Equipo[DESCRIPCION],Equipo[VALOR],,0),""))</f>
        <v>42209.869333125011</v>
      </c>
      <c r="F1218" s="33"/>
      <c r="G1218" s="34">
        <f>IFERROR(IF(F1218&gt;=0,D1218*E1218*(1+F1218/100),ABS(D1218*E1218/F1218)),"")</f>
        <v>0</v>
      </c>
      <c r="H1218" s="43">
        <f>IFERROR(G1218*E1209,"")</f>
        <v>0</v>
      </c>
    </row>
    <row r="1219" spans="1:11">
      <c r="A1219" s="28"/>
      <c r="B1219" s="29"/>
      <c r="C1219" s="30" t="str">
        <f>IFERROR(_xlfn.XLOOKUP(B1219,Equipo[DESCRIPCION],Equipo[UND],,0),"")</f>
        <v/>
      </c>
      <c r="D1219" s="31"/>
      <c r="E1219" s="32" t="str">
        <f>IF(C1219="%MO",G1224,IFERROR(_xlfn.XLOOKUP($B1219,Equipo[DESCRIPCION],Equipo[VALOR],,0),""))</f>
        <v/>
      </c>
      <c r="F1219" s="33"/>
      <c r="G1219" s="34" t="str">
        <f>IFERROR(IF(F1219&gt;=0,D1219*E1219*(1+F1219/100),ABS(D1219*E1219/F1219)),"")</f>
        <v/>
      </c>
      <c r="H1219" s="43" t="str">
        <f>IFERROR(G1219*E1209,"")</f>
        <v/>
      </c>
    </row>
    <row r="1220" spans="1:11">
      <c r="A1220" s="28"/>
      <c r="B1220" s="29"/>
      <c r="C1220" s="30" t="str">
        <f>IFERROR(_xlfn.XLOOKUP(B1220,Equipo[DESCRIPCION],Equipo[UND],,0),"")</f>
        <v/>
      </c>
      <c r="D1220" s="31"/>
      <c r="E1220" s="32" t="str">
        <f>IF(C1220="%MO",G1224,IFERROR(_xlfn.XLOOKUP($B1220,Equipo[DESCRIPCION],Equipo[VALOR],,0),""))</f>
        <v/>
      </c>
      <c r="F1220" s="33"/>
      <c r="G1220" s="34" t="str">
        <f>IFERROR(IF(F1220&gt;=0,D1220*E1220*(1+F1220/100),ABS(D1220*E1220/F1220)),"")</f>
        <v/>
      </c>
      <c r="H1220" s="43" t="str">
        <f>IFERROR(G1220*E1209,"")</f>
        <v/>
      </c>
    </row>
    <row r="1221" spans="1:11">
      <c r="A1221" s="21"/>
      <c r="B1221" s="22" t="s">
        <v>2533</v>
      </c>
      <c r="C1221" s="23"/>
      <c r="D1221" s="24"/>
      <c r="E1221" s="25"/>
      <c r="F1221" s="26"/>
      <c r="G1221" s="27">
        <f>SUM(G1222:G1223)</f>
        <v>0</v>
      </c>
      <c r="H1221" s="44">
        <f>G1221*E1209</f>
        <v>0</v>
      </c>
    </row>
    <row r="1222" spans="1:11">
      <c r="A1222" s="28"/>
      <c r="B1222" s="29"/>
      <c r="C1222" s="30" t="str">
        <f>IFERROR(_xlfn.XLOOKUP(B1222,Transporte[DESCRIPCION],Transporte[UND],,0),"")</f>
        <v/>
      </c>
      <c r="D1222" s="31"/>
      <c r="E1222" s="32" t="str">
        <f>IFERROR(_xlfn.XLOOKUP($B1222,Transporte[DESCRIPCION],Transporte[VALOR],,0),"")</f>
        <v/>
      </c>
      <c r="F1222" s="33"/>
      <c r="G1222" s="34" t="str">
        <f>IFERROR(IF(F1222&gt;=0,D1222*E1222*(1+F1222/100),ABS(D1222*E1222/F1222)),"")</f>
        <v/>
      </c>
      <c r="H1222" s="43" t="str">
        <f>IFERROR(G1222*E1209,"")</f>
        <v/>
      </c>
    </row>
    <row r="1223" spans="1:11">
      <c r="A1223" s="28"/>
      <c r="B1223" s="29"/>
      <c r="C1223" s="30" t="str">
        <f>IFERROR(_xlfn.XLOOKUP(B1223,Transporte[DESCRIPCION],Transporte[UND],,0),"")</f>
        <v/>
      </c>
      <c r="D1223" s="31"/>
      <c r="E1223" s="32" t="str">
        <f>IFERROR(_xlfn.XLOOKUP($B1223,Transporte[DESCRIPCION],Transporte[VALOR],,0),"")</f>
        <v/>
      </c>
      <c r="F1223" s="33"/>
      <c r="G1223" s="34" t="str">
        <f>IFERROR(IF(F1223&gt;=0,D1223*E1223*(1+F1223/100),ABS(D1223*E1223/F1223)),"")</f>
        <v/>
      </c>
      <c r="H1223" s="43" t="str">
        <f>IFERROR(G1223*E1209,"")</f>
        <v/>
      </c>
    </row>
    <row r="1224" spans="1:11">
      <c r="A1224" s="21"/>
      <c r="B1224" s="22" t="s">
        <v>3732</v>
      </c>
      <c r="C1224" s="23"/>
      <c r="D1224" s="24"/>
      <c r="E1224" s="25"/>
      <c r="F1224" s="26"/>
      <c r="G1224" s="27">
        <f>SUM(G1225:G1227)</f>
        <v>42209.869333125011</v>
      </c>
      <c r="H1224" s="44">
        <f>G1224*E1209</f>
        <v>0</v>
      </c>
    </row>
    <row r="1225" spans="1:11">
      <c r="A1225" s="28"/>
      <c r="B1225" s="29" t="s">
        <v>3715</v>
      </c>
      <c r="C1225" s="30" t="str">
        <f>IFERROR(_xlfn.XLOOKUP(B1225,MObra[DESCRIPCION],MObra[UN],,0),"")</f>
        <v>día</v>
      </c>
      <c r="D1225" s="31">
        <v>1</v>
      </c>
      <c r="E1225" s="32">
        <f>IFERROR(_xlfn.XLOOKUP($B1225,MObra[DESCRIPCION],MObra[VALOR UNIT],,0),"")</f>
        <v>337678.95466500008</v>
      </c>
      <c r="F1225" s="33">
        <v>-8</v>
      </c>
      <c r="G1225" s="34">
        <f>IFERROR(IF(F1225&gt;=0,D1225*E1225*(1+F1225/100),ABS(D1225*E1225/F1225)),"")</f>
        <v>42209.869333125011</v>
      </c>
      <c r="H1225" s="43">
        <f>IFERROR(G1225*E1209,"")</f>
        <v>0</v>
      </c>
    </row>
    <row r="1226" spans="1:11">
      <c r="A1226" s="28"/>
      <c r="B1226" s="29"/>
      <c r="C1226" s="30" t="str">
        <f t="array" ref="C1226">IFERROR(_xlfn.XLOOKUP(B1226,MObra[[#All],[DESCRIPCION]],MObra[[#All],[UN]],,0),"")</f>
        <v/>
      </c>
      <c r="D1226" s="31"/>
      <c r="E1226" s="32" t="str">
        <f>IFERROR(_xlfn.XLOOKUP($B1226,MObra[DESCRIPCION],MObra[VALOR UNIT],,0),"")</f>
        <v/>
      </c>
      <c r="F1226" s="33"/>
      <c r="G1226" s="34" t="str">
        <f>IFERROR(IF(F1226&gt;=0,D1226*E1226*(1+F1226/100),ABS(D1226*E1226/F1226)),"")</f>
        <v/>
      </c>
      <c r="H1226" s="43" t="str">
        <f>IFERROR(G1226*E1209,"")</f>
        <v/>
      </c>
    </row>
    <row r="1227" spans="1:11" ht="13.15" thickBot="1">
      <c r="A1227" s="35"/>
      <c r="B1227" s="36"/>
      <c r="C1227" s="37" t="str">
        <f t="array" ref="C1227">IFERROR(_xlfn.XLOOKUP(B1227,MObra[[#All],[DESCRIPCION]],MObra[[#All],[UN]],,0),"")</f>
        <v/>
      </c>
      <c r="D1227" s="38"/>
      <c r="E1227" s="39" t="str">
        <f>IFERROR(_xlfn.XLOOKUP($B1227,MObra[DESCRIPCION],MObra[VALOR UNIT],,0),"")</f>
        <v/>
      </c>
      <c r="F1227" s="40"/>
      <c r="G1227" s="41" t="str">
        <f>IFERROR(IF(F1227&gt;=0,D1227*E1227*(1+F1227/100),ABS(D1227*E1227/F1227)),"")</f>
        <v/>
      </c>
      <c r="H1227" s="42" t="str">
        <f>IFERROR(G1227*E1209,"")</f>
        <v/>
      </c>
    </row>
    <row r="1228" spans="1:11" ht="12.75" customHeight="1" thickTop="1" thickBot="1"/>
    <row r="1229" spans="1:11" ht="26.25" thickTop="1" thickBot="1">
      <c r="A1229" s="6" t="s">
        <v>999</v>
      </c>
      <c r="B1229" s="7" t="str">
        <f>VLOOKUP($A1229,Presupuesto!$A:$D,2,FALSE())</f>
        <v>Sensor tipo radar/microondas. Incluye cableado y conectores necesarios para su instalación</v>
      </c>
      <c r="C1229" s="8" t="str">
        <f>VLOOKUP($A1229,Presupuesto!$A:$D,3,FALSE())</f>
        <v>Un</v>
      </c>
      <c r="D1229" s="9"/>
      <c r="E1229" s="10">
        <f>VLOOKUP($A1229,Presupuesto!$A:$D,4,FALSE())</f>
        <v>0</v>
      </c>
      <c r="F1229" s="11" t="s">
        <v>2589</v>
      </c>
      <c r="G1229" s="12">
        <f>SUM(G1231:G1247)/2</f>
        <v>361050.76933312498</v>
      </c>
      <c r="H1229" s="13">
        <f>ROUND(SUM(H1231:H1247),0)/2</f>
        <v>0</v>
      </c>
      <c r="I1229" s="10">
        <f>VLOOKUP(A1229,Presupuesto!$A:$F,6,0)</f>
        <v>0</v>
      </c>
      <c r="J1229" s="10">
        <f>+H1229-I1229</f>
        <v>0</v>
      </c>
      <c r="K1229" s="46">
        <f>+H1229-G1229*E1229</f>
        <v>0</v>
      </c>
    </row>
    <row r="1230" spans="1:11" ht="13.15" thickTop="1">
      <c r="A1230" s="14"/>
      <c r="B1230" s="15" t="s">
        <v>2586</v>
      </c>
      <c r="C1230" s="15" t="s">
        <v>5</v>
      </c>
      <c r="D1230" s="16" t="s">
        <v>6</v>
      </c>
      <c r="E1230" s="17" t="s">
        <v>7</v>
      </c>
      <c r="F1230" s="18" t="s">
        <v>3728</v>
      </c>
      <c r="G1230" s="19" t="s">
        <v>3729</v>
      </c>
      <c r="H1230" s="20" t="s">
        <v>3797</v>
      </c>
    </row>
    <row r="1231" spans="1:11">
      <c r="A1231" s="21"/>
      <c r="B1231" s="22" t="s">
        <v>3730</v>
      </c>
      <c r="C1231" s="23"/>
      <c r="D1231" s="24"/>
      <c r="E1231" s="25"/>
      <c r="F1231" s="26"/>
      <c r="G1231" s="27">
        <f>SUM(G1232:G1236)</f>
        <v>318840.90000000002</v>
      </c>
      <c r="H1231" s="27">
        <f>IFERROR(G1231*E1229,"")</f>
        <v>0</v>
      </c>
    </row>
    <row r="1232" spans="1:11">
      <c r="A1232" s="28"/>
      <c r="B1232" s="29" t="s">
        <v>3287</v>
      </c>
      <c r="C1232" s="30" t="str">
        <f>IFERROR(_xlfn.XLOOKUP(B1232,Insumo[DESCRIPCION],Insumo[UND],,0),"")</f>
        <v>Un</v>
      </c>
      <c r="D1232" s="31">
        <v>1</v>
      </c>
      <c r="E1232" s="32">
        <f>IFERROR(_xlfn.XLOOKUP($B1232,Insumo[DESCRIPCION],Insumo[VALOR],,0),"")</f>
        <v>311850</v>
      </c>
      <c r="F1232" s="33"/>
      <c r="G1232" s="34">
        <f>IFERROR(IF(F1232&gt;=0,D1232*E1232*(1+F1232/100),ABS(D1232*E1232/F1232)),"")</f>
        <v>311850</v>
      </c>
      <c r="H1232" s="43">
        <f>IFERROR(G1232*E1229,"")</f>
        <v>0</v>
      </c>
    </row>
    <row r="1233" spans="1:8">
      <c r="A1233" s="28"/>
      <c r="B1233" s="29" t="s">
        <v>2800</v>
      </c>
      <c r="C1233" s="30" t="str">
        <f>IFERROR(_xlfn.XLOOKUP(B1233,Insumo[DESCRIPCION],Insumo[UND],,0),"")</f>
        <v>M</v>
      </c>
      <c r="D1233" s="31">
        <v>0.5</v>
      </c>
      <c r="E1233" s="32">
        <f>IFERROR(_xlfn.XLOOKUP($B1233,Insumo[DESCRIPCION],Insumo[VALOR],,0),"")</f>
        <v>7387.8</v>
      </c>
      <c r="F1233" s="33"/>
      <c r="G1233" s="34">
        <f>IFERROR(IF(F1233&gt;=0,D1233*E1233*(1+F1233/100),ABS(D1233*E1233/F1233)),"")</f>
        <v>3693.9</v>
      </c>
      <c r="H1233" s="43">
        <f>IFERROR(G1233*E1229,"")</f>
        <v>0</v>
      </c>
    </row>
    <row r="1234" spans="1:8">
      <c r="A1234" s="28"/>
      <c r="B1234" s="29" t="s">
        <v>2888</v>
      </c>
      <c r="C1234" s="30" t="str">
        <f>IFERROR(_xlfn.XLOOKUP(B1234,Insumo[DESCRIPCION],Insumo[UND],,0),"")</f>
        <v>Un</v>
      </c>
      <c r="D1234" s="31">
        <v>2</v>
      </c>
      <c r="E1234" s="32">
        <f>IFERROR(_xlfn.XLOOKUP($B1234,Insumo[DESCRIPCION],Insumo[VALOR],,0),"")</f>
        <v>1648.5</v>
      </c>
      <c r="F1234" s="33"/>
      <c r="G1234" s="34">
        <f>IFERROR(IF(F1234&gt;=0,D1234*E1234*(1+F1234/100),ABS(D1234*E1234/F1234)),"")</f>
        <v>3297</v>
      </c>
      <c r="H1234" s="43">
        <f>IFERROR(G1234*E1229,"")</f>
        <v>0</v>
      </c>
    </row>
    <row r="1235" spans="1:8">
      <c r="A1235" s="28"/>
      <c r="B1235" s="29"/>
      <c r="C1235" s="30" t="str">
        <f>IFERROR(_xlfn.XLOOKUP(B1235,Insumo[DESCRIPCION],Insumo[UND],,0),"")</f>
        <v/>
      </c>
      <c r="D1235" s="31"/>
      <c r="E1235" s="32" t="str">
        <f>IFERROR(_xlfn.XLOOKUP($B1235,Insumo[DESCRIPCION],Insumo[VALOR],,0),"")</f>
        <v/>
      </c>
      <c r="F1235" s="33"/>
      <c r="G1235" s="34" t="str">
        <f>IFERROR(IF(F1235&gt;=0,D1235*E1235*(1+F1235/100),ABS(D1235*E1235/F1235)),"")</f>
        <v/>
      </c>
      <c r="H1235" s="43" t="str">
        <f>IFERROR(G1235*E1229,"")</f>
        <v/>
      </c>
    </row>
    <row r="1236" spans="1:8">
      <c r="A1236" s="28"/>
      <c r="B1236" s="29"/>
      <c r="C1236" s="30" t="str">
        <f>IFERROR(_xlfn.XLOOKUP(B1236,Insumo[DESCRIPCION],Insumo[UND],,0),"")</f>
        <v/>
      </c>
      <c r="D1236" s="31"/>
      <c r="E1236" s="32" t="str">
        <f>IFERROR(_xlfn.XLOOKUP($B1236,Insumo[DESCRIPCION],Insumo[VALOR],,0),"")</f>
        <v/>
      </c>
      <c r="F1236" s="33"/>
      <c r="G1236" s="34" t="str">
        <f>IFERROR(IF(F1236&gt;=0,D1236*E1236*(1+F1236/100),ABS(D1236*E1236/F1236)),"")</f>
        <v/>
      </c>
      <c r="H1236" s="43" t="str">
        <f>IFERROR(G1236*E1229,"")</f>
        <v/>
      </c>
    </row>
    <row r="1237" spans="1:8">
      <c r="A1237" s="21"/>
      <c r="B1237" s="22" t="s">
        <v>3731</v>
      </c>
      <c r="C1237" s="23"/>
      <c r="D1237" s="24"/>
      <c r="E1237" s="25"/>
      <c r="F1237" s="26"/>
      <c r="G1237" s="27">
        <f>SUM(G1238:G1240)</f>
        <v>0</v>
      </c>
      <c r="H1237" s="44">
        <f>G1237*E1229</f>
        <v>0</v>
      </c>
    </row>
    <row r="1238" spans="1:8">
      <c r="A1238" s="28"/>
      <c r="B1238" s="29" t="s">
        <v>3626</v>
      </c>
      <c r="C1238" s="30" t="str">
        <f>IFERROR(_xlfn.XLOOKUP(B1238,Equipo[DESCRIPCION],Equipo[UND],,0),"")</f>
        <v>%MO</v>
      </c>
      <c r="D1238" s="31"/>
      <c r="E1238" s="32">
        <f>IF(C1238="%MO",G1244,IFERROR(_xlfn.XLOOKUP($B1238,Equipo[DESCRIPCION],Equipo[VALOR],,0),""))</f>
        <v>42209.869333125011</v>
      </c>
      <c r="F1238" s="33"/>
      <c r="G1238" s="34">
        <f>IFERROR(IF(F1238&gt;=0,D1238*E1238*(1+F1238/100),ABS(D1238*E1238/F1238)),"")</f>
        <v>0</v>
      </c>
      <c r="H1238" s="43">
        <f>IFERROR(G1238*E1229,"")</f>
        <v>0</v>
      </c>
    </row>
    <row r="1239" spans="1:8">
      <c r="A1239" s="28"/>
      <c r="B1239" s="29"/>
      <c r="C1239" s="30" t="str">
        <f>IFERROR(_xlfn.XLOOKUP(B1239,Equipo[DESCRIPCION],Equipo[UND],,0),"")</f>
        <v/>
      </c>
      <c r="D1239" s="31"/>
      <c r="E1239" s="32" t="str">
        <f>IF(C1239="%MO",G1244,IFERROR(_xlfn.XLOOKUP($B1239,Equipo[DESCRIPCION],Equipo[VALOR],,0),""))</f>
        <v/>
      </c>
      <c r="F1239" s="33"/>
      <c r="G1239" s="34" t="str">
        <f>IFERROR(IF(F1239&gt;=0,D1239*E1239*(1+F1239/100),ABS(D1239*E1239/F1239)),"")</f>
        <v/>
      </c>
      <c r="H1239" s="43" t="str">
        <f>IFERROR(G1239*E1229,"")</f>
        <v/>
      </c>
    </row>
    <row r="1240" spans="1:8">
      <c r="A1240" s="28"/>
      <c r="B1240" s="29"/>
      <c r="C1240" s="30" t="str">
        <f>IFERROR(_xlfn.XLOOKUP(B1240,Equipo[DESCRIPCION],Equipo[UND],,0),"")</f>
        <v/>
      </c>
      <c r="D1240" s="31"/>
      <c r="E1240" s="32" t="str">
        <f>IF(C1240="%MO",G1244,IFERROR(_xlfn.XLOOKUP($B1240,Equipo[DESCRIPCION],Equipo[VALOR],,0),""))</f>
        <v/>
      </c>
      <c r="F1240" s="33"/>
      <c r="G1240" s="34" t="str">
        <f>IFERROR(IF(F1240&gt;=0,D1240*E1240*(1+F1240/100),ABS(D1240*E1240/F1240)),"")</f>
        <v/>
      </c>
      <c r="H1240" s="43" t="str">
        <f>IFERROR(G1240*E1229,"")</f>
        <v/>
      </c>
    </row>
    <row r="1241" spans="1:8">
      <c r="A1241" s="21"/>
      <c r="B1241" s="22" t="s">
        <v>2533</v>
      </c>
      <c r="C1241" s="23"/>
      <c r="D1241" s="24"/>
      <c r="E1241" s="25"/>
      <c r="F1241" s="26"/>
      <c r="G1241" s="27">
        <f>SUM(G1242:G1243)</f>
        <v>0</v>
      </c>
      <c r="H1241" s="44">
        <f>G1241*E1229</f>
        <v>0</v>
      </c>
    </row>
    <row r="1242" spans="1:8">
      <c r="A1242" s="28"/>
      <c r="B1242" s="29"/>
      <c r="C1242" s="30" t="str">
        <f>IFERROR(_xlfn.XLOOKUP(B1242,Transporte[DESCRIPCION],Transporte[UND],,0),"")</f>
        <v/>
      </c>
      <c r="D1242" s="31"/>
      <c r="E1242" s="32" t="str">
        <f>IFERROR(_xlfn.XLOOKUP($B1242,Transporte[DESCRIPCION],Transporte[VALOR],,0),"")</f>
        <v/>
      </c>
      <c r="F1242" s="33"/>
      <c r="G1242" s="34" t="str">
        <f>IFERROR(IF(F1242&gt;=0,D1242*E1242*(1+F1242/100),ABS(D1242*E1242/F1242)),"")</f>
        <v/>
      </c>
      <c r="H1242" s="43" t="str">
        <f>IFERROR(G1242*E1229,"")</f>
        <v/>
      </c>
    </row>
    <row r="1243" spans="1:8">
      <c r="A1243" s="28"/>
      <c r="B1243" s="29"/>
      <c r="C1243" s="30" t="str">
        <f>IFERROR(_xlfn.XLOOKUP(B1243,Transporte[DESCRIPCION],Transporte[UND],,0),"")</f>
        <v/>
      </c>
      <c r="D1243" s="31"/>
      <c r="E1243" s="32" t="str">
        <f>IFERROR(_xlfn.XLOOKUP($B1243,Transporte[DESCRIPCION],Transporte[VALOR],,0),"")</f>
        <v/>
      </c>
      <c r="F1243" s="33"/>
      <c r="G1243" s="34" t="str">
        <f>IFERROR(IF(F1243&gt;=0,D1243*E1243*(1+F1243/100),ABS(D1243*E1243/F1243)),"")</f>
        <v/>
      </c>
      <c r="H1243" s="43" t="str">
        <f>IFERROR(G1243*E1229,"")</f>
        <v/>
      </c>
    </row>
    <row r="1244" spans="1:8">
      <c r="A1244" s="21"/>
      <c r="B1244" s="22" t="s">
        <v>3732</v>
      </c>
      <c r="C1244" s="23"/>
      <c r="D1244" s="24"/>
      <c r="E1244" s="25"/>
      <c r="F1244" s="26"/>
      <c r="G1244" s="27">
        <f>SUM(G1245:G1247)</f>
        <v>42209.869333125011</v>
      </c>
      <c r="H1244" s="44">
        <f>G1244*E1229</f>
        <v>0</v>
      </c>
    </row>
    <row r="1245" spans="1:8">
      <c r="A1245" s="28"/>
      <c r="B1245" s="29" t="s">
        <v>3715</v>
      </c>
      <c r="C1245" s="30" t="str">
        <f>IFERROR(_xlfn.XLOOKUP(B1245,MObra[DESCRIPCION],MObra[UN],,0),"")</f>
        <v>día</v>
      </c>
      <c r="D1245" s="31">
        <v>1</v>
      </c>
      <c r="E1245" s="32">
        <f>IFERROR(_xlfn.XLOOKUP($B1245,MObra[DESCRIPCION],MObra[VALOR UNIT],,0),"")</f>
        <v>337678.95466500008</v>
      </c>
      <c r="F1245" s="33">
        <v>-8</v>
      </c>
      <c r="G1245" s="34">
        <f>IFERROR(IF(F1245&gt;=0,D1245*E1245*(1+F1245/100),ABS(D1245*E1245/F1245)),"")</f>
        <v>42209.869333125011</v>
      </c>
      <c r="H1245" s="43">
        <f>IFERROR(G1245*E1229,"")</f>
        <v>0</v>
      </c>
    </row>
    <row r="1246" spans="1:8">
      <c r="A1246" s="28"/>
      <c r="B1246" s="29"/>
      <c r="C1246" s="30" t="str">
        <f t="array" ref="C1246">IFERROR(_xlfn.XLOOKUP(B1246,MObra[[#All],[DESCRIPCION]],MObra[[#All],[UN]],,0),"")</f>
        <v/>
      </c>
      <c r="D1246" s="31"/>
      <c r="E1246" s="32" t="str">
        <f>IFERROR(_xlfn.XLOOKUP($B1246,MObra[DESCRIPCION],MObra[VALOR UNIT],,0),"")</f>
        <v/>
      </c>
      <c r="F1246" s="33"/>
      <c r="G1246" s="34" t="str">
        <f>IFERROR(IF(F1246&gt;=0,D1246*E1246*(1+F1246/100),ABS(D1246*E1246/F1246)),"")</f>
        <v/>
      </c>
      <c r="H1246" s="43" t="str">
        <f>IFERROR(G1246*E1229,"")</f>
        <v/>
      </c>
    </row>
    <row r="1247" spans="1:8" ht="13.15" thickBot="1">
      <c r="A1247" s="35"/>
      <c r="B1247" s="36"/>
      <c r="C1247" s="37" t="str">
        <f t="array" ref="C1247">IFERROR(_xlfn.XLOOKUP(B1247,MObra[[#All],[DESCRIPCION]],MObra[[#All],[UN]],,0),"")</f>
        <v/>
      </c>
      <c r="D1247" s="38"/>
      <c r="E1247" s="39" t="str">
        <f>IFERROR(_xlfn.XLOOKUP($B1247,MObra[DESCRIPCION],MObra[VALOR UNIT],,0),"")</f>
        <v/>
      </c>
      <c r="F1247" s="40"/>
      <c r="G1247" s="41" t="str">
        <f>IFERROR(IF(F1247&gt;=0,D1247*E1247*(1+F1247/100),ABS(D1247*E1247/F1247)),"")</f>
        <v/>
      </c>
      <c r="H1247" s="42" t="str">
        <f>IFERROR(G1247*E1229,"")</f>
        <v/>
      </c>
    </row>
    <row r="1248" spans="1:8" ht="12.75" customHeight="1" thickTop="1" thickBot="1"/>
    <row r="1249" spans="1:11" ht="26.25" thickTop="1" thickBot="1">
      <c r="A1249" s="6" t="s">
        <v>1001</v>
      </c>
      <c r="B1249" s="7" t="str">
        <f>VLOOKUP($A1249,Presupuesto!$A:$D,2,FALSE())</f>
        <v>Sensor Ultrasónico. Incluye cableado y conectores necesarios para su instalación</v>
      </c>
      <c r="C1249" s="8" t="str">
        <f>VLOOKUP($A1249,Presupuesto!$A:$D,3,FALSE())</f>
        <v>Un</v>
      </c>
      <c r="D1249" s="9"/>
      <c r="E1249" s="10">
        <f>VLOOKUP($A1249,Presupuesto!$A:$D,4,FALSE())</f>
        <v>0</v>
      </c>
      <c r="F1249" s="11" t="s">
        <v>2589</v>
      </c>
      <c r="G1249" s="12">
        <f>SUM(G1251:G1267)/2</f>
        <v>231176.26279978128</v>
      </c>
      <c r="H1249" s="13">
        <f>ROUND(SUM(H1251:H1267),0)/2</f>
        <v>0</v>
      </c>
      <c r="I1249" s="10">
        <f>VLOOKUP(A1249,Presupuesto!$A:$F,6,0)</f>
        <v>0</v>
      </c>
      <c r="J1249" s="10">
        <f>+H1249-I1249</f>
        <v>0</v>
      </c>
      <c r="K1249" s="46">
        <f>+H1249-G1249*E1249</f>
        <v>0</v>
      </c>
    </row>
    <row r="1250" spans="1:11" ht="13.15" thickTop="1">
      <c r="A1250" s="14"/>
      <c r="B1250" s="15" t="s">
        <v>2586</v>
      </c>
      <c r="C1250" s="15" t="s">
        <v>5</v>
      </c>
      <c r="D1250" s="16" t="s">
        <v>6</v>
      </c>
      <c r="E1250" s="17" t="s">
        <v>7</v>
      </c>
      <c r="F1250" s="18" t="s">
        <v>3728</v>
      </c>
      <c r="G1250" s="19" t="s">
        <v>3729</v>
      </c>
      <c r="H1250" s="20" t="s">
        <v>3797</v>
      </c>
    </row>
    <row r="1251" spans="1:11">
      <c r="A1251" s="21"/>
      <c r="B1251" s="22" t="s">
        <v>3730</v>
      </c>
      <c r="C1251" s="23"/>
      <c r="D1251" s="24"/>
      <c r="E1251" s="25"/>
      <c r="F1251" s="26"/>
      <c r="G1251" s="27">
        <f>SUM(G1252:G1256)</f>
        <v>186855.9</v>
      </c>
      <c r="H1251" s="27">
        <f>IFERROR(G1251*E1249,"")</f>
        <v>0</v>
      </c>
    </row>
    <row r="1252" spans="1:11">
      <c r="A1252" s="28"/>
      <c r="B1252" s="29" t="s">
        <v>3288</v>
      </c>
      <c r="C1252" s="30" t="str">
        <f>IFERROR(_xlfn.XLOOKUP(B1252,Insumo[DESCRIPCION],Insumo[UND],,0),"")</f>
        <v>Un</v>
      </c>
      <c r="D1252" s="31">
        <v>1</v>
      </c>
      <c r="E1252" s="32">
        <f>IFERROR(_xlfn.XLOOKUP($B1252,Insumo[DESCRIPCION],Insumo[VALOR],,0),"")</f>
        <v>179865</v>
      </c>
      <c r="F1252" s="33"/>
      <c r="G1252" s="34">
        <f>IFERROR(IF(F1252&gt;=0,D1252*E1252*(1+F1252/100),ABS(D1252*E1252/F1252)),"")</f>
        <v>179865</v>
      </c>
      <c r="H1252" s="43">
        <f>IFERROR(G1252*E1249,"")</f>
        <v>0</v>
      </c>
    </row>
    <row r="1253" spans="1:11">
      <c r="A1253" s="28"/>
      <c r="B1253" s="29" t="s">
        <v>2800</v>
      </c>
      <c r="C1253" s="30" t="str">
        <f>IFERROR(_xlfn.XLOOKUP(B1253,Insumo[DESCRIPCION],Insumo[UND],,0),"")</f>
        <v>M</v>
      </c>
      <c r="D1253" s="31">
        <v>0.5</v>
      </c>
      <c r="E1253" s="32">
        <f>IFERROR(_xlfn.XLOOKUP($B1253,Insumo[DESCRIPCION],Insumo[VALOR],,0),"")</f>
        <v>7387.8</v>
      </c>
      <c r="F1253" s="33"/>
      <c r="G1253" s="34">
        <f>IFERROR(IF(F1253&gt;=0,D1253*E1253*(1+F1253/100),ABS(D1253*E1253/F1253)),"")</f>
        <v>3693.9</v>
      </c>
      <c r="H1253" s="43">
        <f>IFERROR(G1253*E1249,"")</f>
        <v>0</v>
      </c>
    </row>
    <row r="1254" spans="1:11">
      <c r="A1254" s="28"/>
      <c r="B1254" s="29" t="s">
        <v>2888</v>
      </c>
      <c r="C1254" s="30" t="str">
        <f>IFERROR(_xlfn.XLOOKUP(B1254,Insumo[DESCRIPCION],Insumo[UND],,0),"")</f>
        <v>Un</v>
      </c>
      <c r="D1254" s="31">
        <v>2</v>
      </c>
      <c r="E1254" s="32">
        <f>IFERROR(_xlfn.XLOOKUP($B1254,Insumo[DESCRIPCION],Insumo[VALOR],,0),"")</f>
        <v>1648.5</v>
      </c>
      <c r="F1254" s="33"/>
      <c r="G1254" s="34">
        <f>IFERROR(IF(F1254&gt;=0,D1254*E1254*(1+F1254/100),ABS(D1254*E1254/F1254)),"")</f>
        <v>3297</v>
      </c>
      <c r="H1254" s="43">
        <f>IFERROR(G1254*E1249,"")</f>
        <v>0</v>
      </c>
    </row>
    <row r="1255" spans="1:11">
      <c r="A1255" s="28"/>
      <c r="B1255" s="29"/>
      <c r="C1255" s="30" t="str">
        <f>IFERROR(_xlfn.XLOOKUP(B1255,Insumo[DESCRIPCION],Insumo[UND],,0),"")</f>
        <v/>
      </c>
      <c r="D1255" s="31"/>
      <c r="E1255" s="32" t="str">
        <f>IFERROR(_xlfn.XLOOKUP($B1255,Insumo[DESCRIPCION],Insumo[VALOR],,0),"")</f>
        <v/>
      </c>
      <c r="F1255" s="33"/>
      <c r="G1255" s="34" t="str">
        <f>IFERROR(IF(F1255&gt;=0,D1255*E1255*(1+F1255/100),ABS(D1255*E1255/F1255)),"")</f>
        <v/>
      </c>
      <c r="H1255" s="43" t="str">
        <f>IFERROR(G1255*E1249,"")</f>
        <v/>
      </c>
    </row>
    <row r="1256" spans="1:11">
      <c r="A1256" s="28"/>
      <c r="B1256" s="29"/>
      <c r="C1256" s="30" t="str">
        <f>IFERROR(_xlfn.XLOOKUP(B1256,Insumo[DESCRIPCION],Insumo[UND],,0),"")</f>
        <v/>
      </c>
      <c r="D1256" s="31"/>
      <c r="E1256" s="32" t="str">
        <f>IFERROR(_xlfn.XLOOKUP($B1256,Insumo[DESCRIPCION],Insumo[VALOR],,0),"")</f>
        <v/>
      </c>
      <c r="F1256" s="33"/>
      <c r="G1256" s="34" t="str">
        <f>IFERROR(IF(F1256&gt;=0,D1256*E1256*(1+F1256/100),ABS(D1256*E1256/F1256)),"")</f>
        <v/>
      </c>
      <c r="H1256" s="43" t="str">
        <f>IFERROR(G1256*E1249,"")</f>
        <v/>
      </c>
    </row>
    <row r="1257" spans="1:11">
      <c r="A1257" s="21"/>
      <c r="B1257" s="22" t="s">
        <v>3731</v>
      </c>
      <c r="C1257" s="23"/>
      <c r="D1257" s="24"/>
      <c r="E1257" s="25"/>
      <c r="F1257" s="26"/>
      <c r="G1257" s="27">
        <f>SUM(G1258:G1260)</f>
        <v>2110.4934666562508</v>
      </c>
      <c r="H1257" s="44">
        <f>G1257*E1249</f>
        <v>0</v>
      </c>
    </row>
    <row r="1258" spans="1:11">
      <c r="A1258" s="28"/>
      <c r="B1258" s="29" t="s">
        <v>3626</v>
      </c>
      <c r="C1258" s="30" t="str">
        <f>IFERROR(_xlfn.XLOOKUP(B1258,Equipo[DESCRIPCION],Equipo[UND],,0),"")</f>
        <v>%MO</v>
      </c>
      <c r="D1258" s="31">
        <v>0.05</v>
      </c>
      <c r="E1258" s="32">
        <f>IF(C1258="%MO",G1264,IFERROR(_xlfn.XLOOKUP($B1258,Equipo[DESCRIPCION],Equipo[VALOR],,0),""))</f>
        <v>42209.869333125011</v>
      </c>
      <c r="F1258" s="33"/>
      <c r="G1258" s="34">
        <f>IFERROR(IF(F1258&gt;=0,D1258*E1258*(1+F1258/100),ABS(D1258*E1258/F1258)),"")</f>
        <v>2110.4934666562508</v>
      </c>
      <c r="H1258" s="43">
        <f>IFERROR(G1258*E1249,"")</f>
        <v>0</v>
      </c>
    </row>
    <row r="1259" spans="1:11">
      <c r="A1259" s="28"/>
      <c r="B1259" s="29"/>
      <c r="C1259" s="30" t="str">
        <f>IFERROR(_xlfn.XLOOKUP(B1259,Equipo[DESCRIPCION],Equipo[UND],,0),"")</f>
        <v/>
      </c>
      <c r="D1259" s="31"/>
      <c r="E1259" s="32" t="str">
        <f>IF(C1259="%MO",G1264,IFERROR(_xlfn.XLOOKUP($B1259,Equipo[DESCRIPCION],Equipo[VALOR],,0),""))</f>
        <v/>
      </c>
      <c r="F1259" s="33"/>
      <c r="G1259" s="34" t="str">
        <f>IFERROR(IF(F1259&gt;=0,D1259*E1259*(1+F1259/100),ABS(D1259*E1259/F1259)),"")</f>
        <v/>
      </c>
      <c r="H1259" s="43" t="str">
        <f>IFERROR(G1259*E1249,"")</f>
        <v/>
      </c>
    </row>
    <row r="1260" spans="1:11">
      <c r="A1260" s="28"/>
      <c r="B1260" s="29"/>
      <c r="C1260" s="30" t="str">
        <f>IFERROR(_xlfn.XLOOKUP(B1260,Equipo[DESCRIPCION],Equipo[UND],,0),"")</f>
        <v/>
      </c>
      <c r="D1260" s="31"/>
      <c r="E1260" s="32" t="str">
        <f>IF(C1260="%MO",G1264,IFERROR(_xlfn.XLOOKUP($B1260,Equipo[DESCRIPCION],Equipo[VALOR],,0),""))</f>
        <v/>
      </c>
      <c r="F1260" s="33"/>
      <c r="G1260" s="34" t="str">
        <f>IFERROR(IF(F1260&gt;=0,D1260*E1260*(1+F1260/100),ABS(D1260*E1260/F1260)),"")</f>
        <v/>
      </c>
      <c r="H1260" s="43" t="str">
        <f>IFERROR(G1260*E1249,"")</f>
        <v/>
      </c>
    </row>
    <row r="1261" spans="1:11">
      <c r="A1261" s="21"/>
      <c r="B1261" s="22" t="s">
        <v>2533</v>
      </c>
      <c r="C1261" s="23"/>
      <c r="D1261" s="24"/>
      <c r="E1261" s="25"/>
      <c r="F1261" s="26"/>
      <c r="G1261" s="27">
        <f>SUM(G1262:G1263)</f>
        <v>0</v>
      </c>
      <c r="H1261" s="44">
        <f>G1261*E1249</f>
        <v>0</v>
      </c>
    </row>
    <row r="1262" spans="1:11">
      <c r="A1262" s="28"/>
      <c r="B1262" s="29"/>
      <c r="C1262" s="30" t="str">
        <f>IFERROR(_xlfn.XLOOKUP(B1262,Transporte[DESCRIPCION],Transporte[UND],,0),"")</f>
        <v/>
      </c>
      <c r="D1262" s="31"/>
      <c r="E1262" s="32" t="str">
        <f>IFERROR(_xlfn.XLOOKUP($B1262,Transporte[DESCRIPCION],Transporte[VALOR],,0),"")</f>
        <v/>
      </c>
      <c r="F1262" s="33"/>
      <c r="G1262" s="34" t="str">
        <f>IFERROR(IF(F1262&gt;=0,D1262*E1262*(1+F1262/100),ABS(D1262*E1262/F1262)),"")</f>
        <v/>
      </c>
      <c r="H1262" s="43" t="str">
        <f>IFERROR(G1262*E1249,"")</f>
        <v/>
      </c>
    </row>
    <row r="1263" spans="1:11">
      <c r="A1263" s="28"/>
      <c r="B1263" s="29"/>
      <c r="C1263" s="30" t="str">
        <f>IFERROR(_xlfn.XLOOKUP(B1263,Transporte[DESCRIPCION],Transporte[UND],,0),"")</f>
        <v/>
      </c>
      <c r="D1263" s="31"/>
      <c r="E1263" s="32" t="str">
        <f>IFERROR(_xlfn.XLOOKUP($B1263,Transporte[DESCRIPCION],Transporte[VALOR],,0),"")</f>
        <v/>
      </c>
      <c r="F1263" s="33"/>
      <c r="G1263" s="34" t="str">
        <f>IFERROR(IF(F1263&gt;=0,D1263*E1263*(1+F1263/100),ABS(D1263*E1263/F1263)),"")</f>
        <v/>
      </c>
      <c r="H1263" s="43" t="str">
        <f>IFERROR(G1263*E1249,"")</f>
        <v/>
      </c>
    </row>
    <row r="1264" spans="1:11">
      <c r="A1264" s="21"/>
      <c r="B1264" s="22" t="s">
        <v>3732</v>
      </c>
      <c r="C1264" s="23"/>
      <c r="D1264" s="24"/>
      <c r="E1264" s="25"/>
      <c r="F1264" s="26"/>
      <c r="G1264" s="27">
        <f>SUM(G1265:G1267)</f>
        <v>42209.869333125011</v>
      </c>
      <c r="H1264" s="44">
        <f>G1264*E1249</f>
        <v>0</v>
      </c>
    </row>
    <row r="1265" spans="1:11">
      <c r="A1265" s="28"/>
      <c r="B1265" s="29" t="s">
        <v>3715</v>
      </c>
      <c r="C1265" s="30" t="str">
        <f>IFERROR(_xlfn.XLOOKUP(B1265,MObra[DESCRIPCION],MObra[UN],,0),"")</f>
        <v>día</v>
      </c>
      <c r="D1265" s="31">
        <v>1</v>
      </c>
      <c r="E1265" s="32">
        <f>IFERROR(_xlfn.XLOOKUP($B1265,MObra[DESCRIPCION],MObra[VALOR UNIT],,0),"")</f>
        <v>337678.95466500008</v>
      </c>
      <c r="F1265" s="33">
        <v>-8</v>
      </c>
      <c r="G1265" s="34">
        <f>IFERROR(IF(F1265&gt;=0,D1265*E1265*(1+F1265/100),ABS(D1265*E1265/F1265)),"")</f>
        <v>42209.869333125011</v>
      </c>
      <c r="H1265" s="43">
        <f>IFERROR(G1265*E1249,"")</f>
        <v>0</v>
      </c>
    </row>
    <row r="1266" spans="1:11">
      <c r="A1266" s="28"/>
      <c r="B1266" s="29"/>
      <c r="C1266" s="30" t="str">
        <f t="array" ref="C1266">IFERROR(_xlfn.XLOOKUP(B1266,MObra[[#All],[DESCRIPCION]],MObra[[#All],[UN]],,0),"")</f>
        <v/>
      </c>
      <c r="D1266" s="31"/>
      <c r="E1266" s="32" t="str">
        <f>IFERROR(_xlfn.XLOOKUP($B1266,MObra[DESCRIPCION],MObra[VALOR UNIT],,0),"")</f>
        <v/>
      </c>
      <c r="F1266" s="33"/>
      <c r="G1266" s="34" t="str">
        <f>IFERROR(IF(F1266&gt;=0,D1266*E1266*(1+F1266/100),ABS(D1266*E1266/F1266)),"")</f>
        <v/>
      </c>
      <c r="H1266" s="43" t="str">
        <f>IFERROR(G1266*E1249,"")</f>
        <v/>
      </c>
    </row>
    <row r="1267" spans="1:11" ht="13.15" thickBot="1">
      <c r="A1267" s="35"/>
      <c r="B1267" s="36"/>
      <c r="C1267" s="37" t="str">
        <f t="array" ref="C1267">IFERROR(_xlfn.XLOOKUP(B1267,MObra[[#All],[DESCRIPCION]],MObra[[#All],[UN]],,0),"")</f>
        <v/>
      </c>
      <c r="D1267" s="38"/>
      <c r="E1267" s="39" t="str">
        <f>IFERROR(_xlfn.XLOOKUP($B1267,MObra[DESCRIPCION],MObra[VALOR UNIT],,0),"")</f>
        <v/>
      </c>
      <c r="F1267" s="40"/>
      <c r="G1267" s="41" t="str">
        <f>IFERROR(IF(F1267&gt;=0,D1267*E1267*(1+F1267/100),ABS(D1267*E1267/F1267)),"")</f>
        <v/>
      </c>
      <c r="H1267" s="42" t="str">
        <f>IFERROR(G1267*E1249,"")</f>
        <v/>
      </c>
    </row>
    <row r="1268" spans="1:11" ht="12.75" customHeight="1" thickTop="1" thickBot="1"/>
    <row r="1269" spans="1:11" ht="39" thickTop="1" thickBot="1">
      <c r="A1269" s="6" t="s">
        <v>1003</v>
      </c>
      <c r="B1269" s="7" t="str">
        <f>VLOOKUP($A1269,Presupuesto!$A:$D,2,FALSE())</f>
        <v>Sistema de puesta a tierra menor a 25 Ohm tres varillas disposición triangular, incluye cámaras de inspección 30X30X30 cm por varilla con tapa en concreto</v>
      </c>
      <c r="C1269" s="8" t="str">
        <f>VLOOKUP($A1269,Presupuesto!$A:$D,3,FALSE())</f>
        <v>Un</v>
      </c>
      <c r="D1269" s="9"/>
      <c r="E1269" s="10">
        <f>VLOOKUP($A1269,Presupuesto!$A:$D,4,FALSE())</f>
        <v>0</v>
      </c>
      <c r="F1269" s="11" t="s">
        <v>2589</v>
      </c>
      <c r="G1269" s="12">
        <f>SUM(G1271:G1288)/2</f>
        <v>3396317.2878559125</v>
      </c>
      <c r="H1269" s="13">
        <f>ROUND(SUM(H1271:H1288),0)/2</f>
        <v>0</v>
      </c>
      <c r="I1269" s="10">
        <f>VLOOKUP(A1269,Presupuesto!$A:$F,6,0)</f>
        <v>0</v>
      </c>
      <c r="J1269" s="10">
        <f>+H1269-I1269</f>
        <v>0</v>
      </c>
      <c r="K1269" s="46">
        <f>+H1269-G1269*E1269</f>
        <v>0</v>
      </c>
    </row>
    <row r="1270" spans="1:11" ht="13.15" thickTop="1">
      <c r="A1270" s="14"/>
      <c r="B1270" s="15" t="s">
        <v>2586</v>
      </c>
      <c r="C1270" s="15" t="s">
        <v>5</v>
      </c>
      <c r="D1270" s="16" t="s">
        <v>6</v>
      </c>
      <c r="E1270" s="17" t="s">
        <v>7</v>
      </c>
      <c r="F1270" s="18" t="s">
        <v>3728</v>
      </c>
      <c r="G1270" s="19" t="s">
        <v>3729</v>
      </c>
      <c r="H1270" s="20" t="s">
        <v>3797</v>
      </c>
    </row>
    <row r="1271" spans="1:11">
      <c r="A1271" s="21"/>
      <c r="B1271" s="52" t="s">
        <v>3730</v>
      </c>
      <c r="C1271" s="23"/>
      <c r="D1271" s="24"/>
      <c r="E1271" s="25"/>
      <c r="F1271" s="26"/>
      <c r="G1271" s="27">
        <f>SUM(G1272:G1277)</f>
        <v>3040939.2983257128</v>
      </c>
      <c r="H1271" s="27">
        <f>IFERROR(G1271*E1269,"")</f>
        <v>0</v>
      </c>
    </row>
    <row r="1272" spans="1:11">
      <c r="A1272" s="28"/>
      <c r="B1272" s="29" t="s">
        <v>3543</v>
      </c>
      <c r="C1272" s="30" t="str">
        <f>IFERROR(_xlfn.XLOOKUP(B1272,Insumo[DESCRIPCION],Insumo[UND],,0),"")</f>
        <v>Un</v>
      </c>
      <c r="D1272" s="31">
        <v>3</v>
      </c>
      <c r="E1272" s="32">
        <f>IFERROR(_xlfn.XLOOKUP($B1272,Insumo[DESCRIPCION],Insumo[VALOR],,0),"")</f>
        <v>476662.2</v>
      </c>
      <c r="F1272" s="33"/>
      <c r="G1272" s="34">
        <f>IFERROR(IF(F1272&gt;=0,D1272*E1272*(1+F1272/100),ABS(D1272*E1272/F1272)),"")</f>
        <v>1429986.6</v>
      </c>
      <c r="H1272" s="43">
        <f>IFERROR(G1272*E1269,"")</f>
        <v>0</v>
      </c>
    </row>
    <row r="1273" spans="1:11">
      <c r="A1273" s="28"/>
      <c r="B1273" s="29" t="s">
        <v>3239</v>
      </c>
      <c r="C1273" s="30" t="str">
        <f>IFERROR(_xlfn.XLOOKUP(B1273,Insumo[DESCRIPCION],Insumo[UND],,0),"")</f>
        <v>M3</v>
      </c>
      <c r="D1273" s="31">
        <v>0.17</v>
      </c>
      <c r="E1273" s="32">
        <f>IFERROR(_xlfn.XLOOKUP($B1273,Insumo[DESCRIPCION],Insumo[VALOR],,0),"")</f>
        <v>521159.50227762427</v>
      </c>
      <c r="F1273" s="33"/>
      <c r="G1273" s="34">
        <f>IFERROR(IF(F1273&gt;=0,D1273*E1273*(1+F1273/100),ABS(D1273*E1273/F1273)),"")</f>
        <v>88597.115387196129</v>
      </c>
      <c r="H1273" s="43">
        <f>IFERROR(G1273*E1269,"")</f>
        <v>0</v>
      </c>
    </row>
    <row r="1274" spans="1:11">
      <c r="A1274" s="28"/>
      <c r="B1274" s="29" t="s">
        <v>2954</v>
      </c>
      <c r="C1274" s="30" t="str">
        <f>IFERROR(_xlfn.XLOOKUP(B1274,Insumo[DESCRIPCION],Insumo[UND],,0),"")</f>
        <v>M2</v>
      </c>
      <c r="D1274" s="31">
        <v>3.6</v>
      </c>
      <c r="E1274" s="32">
        <f>IFERROR(_xlfn.XLOOKUP($B1274,Insumo[DESCRIPCION],Insumo[VALOR],,0),"")</f>
        <v>102154.92581625449</v>
      </c>
      <c r="F1274" s="33"/>
      <c r="G1274" s="34">
        <f>IFERROR(IF(F1274&gt;=0,D1274*E1274*(1+F1274/100),ABS(D1274*E1274/F1274)),"")</f>
        <v>367757.73293851619</v>
      </c>
      <c r="H1274" s="43">
        <f>IFERROR(G1274*E1269,"")</f>
        <v>0</v>
      </c>
    </row>
    <row r="1275" spans="1:11">
      <c r="A1275" s="28"/>
      <c r="B1275" s="29" t="s">
        <v>3392</v>
      </c>
      <c r="C1275" s="30" t="str">
        <f>IFERROR(_xlfn.XLOOKUP(B1275,Insumo[DESCRIPCION],Insumo[UND],,0),"")</f>
        <v>Un</v>
      </c>
      <c r="D1275" s="31">
        <v>3</v>
      </c>
      <c r="E1275" s="32">
        <f>IFERROR(_xlfn.XLOOKUP($B1275,Insumo[DESCRIPCION],Insumo[VALOR],,0),"")</f>
        <v>185497.2</v>
      </c>
      <c r="F1275" s="33"/>
      <c r="G1275" s="34">
        <f>IFERROR(IF(F1275&gt;=0,D1275*E1275*(1+F1275/100),ABS(D1275*E1275/F1275)),"")</f>
        <v>556491.60000000009</v>
      </c>
      <c r="H1275" s="43">
        <f>IFERROR(G1275*E1269,"")</f>
        <v>0</v>
      </c>
    </row>
    <row r="1276" spans="1:11">
      <c r="A1276" s="28"/>
      <c r="B1276" s="29" t="s">
        <v>3328</v>
      </c>
      <c r="C1276" s="30" t="str">
        <f>IFERROR(_xlfn.XLOOKUP(B1276,Insumo[DESCRIPCION],Insumo[UND],,0),"")</f>
        <v>Un</v>
      </c>
      <c r="D1276" s="31">
        <v>3</v>
      </c>
      <c r="E1276" s="32">
        <f>IFERROR(_xlfn.XLOOKUP($B1276,Insumo[DESCRIPCION],Insumo[VALOR],,0),"")</f>
        <v>79747.5</v>
      </c>
      <c r="F1276" s="33"/>
      <c r="G1276" s="34">
        <f t="shared" ref="G1276:G1277" si="3">IFERROR(IF(F1276&gt;=0,D1276*E1276*(1+F1276/100),ABS(D1276*E1276/F1276)),"")</f>
        <v>239242.5</v>
      </c>
      <c r="H1276" s="43">
        <f>IFERROR(G1276*E1269,"")</f>
        <v>0</v>
      </c>
    </row>
    <row r="1277" spans="1:11">
      <c r="A1277" s="28"/>
      <c r="B1277" s="29" t="s">
        <v>2786</v>
      </c>
      <c r="C1277" s="30" t="str">
        <f>IFERROR(_xlfn.XLOOKUP(B1277,Insumo[DESCRIPCION],Insumo[UND],,0),"")</f>
        <v>M</v>
      </c>
      <c r="D1277" s="31">
        <v>15</v>
      </c>
      <c r="E1277" s="32">
        <f>IFERROR(_xlfn.XLOOKUP($B1277,Insumo[DESCRIPCION],Insumo[VALOR],,0),"")</f>
        <v>23924.25</v>
      </c>
      <c r="F1277" s="33"/>
      <c r="G1277" s="34">
        <f t="shared" si="3"/>
        <v>358863.75</v>
      </c>
      <c r="H1277" s="43">
        <f>IFERROR(G1277*E1269,"")</f>
        <v>0</v>
      </c>
    </row>
    <row r="1278" spans="1:11">
      <c r="A1278" s="21"/>
      <c r="B1278" s="22" t="s">
        <v>3731</v>
      </c>
      <c r="C1278" s="23"/>
      <c r="D1278" s="24"/>
      <c r="E1278" s="25"/>
      <c r="F1278" s="26"/>
      <c r="G1278" s="27">
        <f>SUM(G1279:G1281)</f>
        <v>29343.136750200007</v>
      </c>
      <c r="H1278" s="44">
        <f>G1278*E1269</f>
        <v>0</v>
      </c>
    </row>
    <row r="1279" spans="1:11">
      <c r="A1279" s="28"/>
      <c r="B1279" s="29" t="s">
        <v>3570</v>
      </c>
      <c r="C1279" s="30" t="str">
        <f>IFERROR(_xlfn.XLOOKUP(B1279,Equipo[DESCRIPCION],Equipo[UND],,0),"")</f>
        <v>%MO</v>
      </c>
      <c r="D1279" s="31">
        <v>0.04</v>
      </c>
      <c r="E1279" s="32">
        <f>IF(C1279="%MO",G1285,IFERROR(_xlfn.XLOOKUP($B1279,Equipo[DESCRIPCION],Equipo[VALOR],,0),""))</f>
        <v>326034.85278000007</v>
      </c>
      <c r="F1279" s="33"/>
      <c r="G1279" s="34">
        <f>IFERROR(IF(F1279&gt;=0,D1279*E1279*(1+F1279/100),ABS(D1279*E1279/F1279)),"")</f>
        <v>13041.394111200003</v>
      </c>
      <c r="H1279" s="43">
        <f>IFERROR(G1279*E1269,"")</f>
        <v>0</v>
      </c>
    </row>
    <row r="1280" spans="1:11">
      <c r="A1280" s="28"/>
      <c r="B1280" s="29" t="s">
        <v>3626</v>
      </c>
      <c r="C1280" s="30" t="str">
        <f>IFERROR(_xlfn.XLOOKUP(B1280,Equipo[DESCRIPCION],Equipo[UND],,0),"")</f>
        <v>%MO</v>
      </c>
      <c r="D1280" s="31">
        <v>0.05</v>
      </c>
      <c r="E1280" s="32">
        <f>IF(C1280="%MO",G1285,IFERROR(_xlfn.XLOOKUP($B1280,Equipo[DESCRIPCION],Equipo[VALOR],,0),""))</f>
        <v>326034.85278000007</v>
      </c>
      <c r="F1280" s="33"/>
      <c r="G1280" s="34">
        <f>IFERROR(IF(F1280&gt;=0,D1280*E1280*(1+F1280/100),ABS(D1280*E1280/F1280)),"")</f>
        <v>16301.742639000004</v>
      </c>
      <c r="H1280" s="43">
        <f>IFERROR(G1280*E1269,"")</f>
        <v>0</v>
      </c>
    </row>
    <row r="1281" spans="1:11">
      <c r="A1281" s="28"/>
      <c r="B1281" s="29"/>
      <c r="C1281" s="30" t="str">
        <f>IFERROR(_xlfn.XLOOKUP(B1281,Equipo[DESCRIPCION],Equipo[UND],,0),"")</f>
        <v/>
      </c>
      <c r="D1281" s="31"/>
      <c r="E1281" s="32" t="str">
        <f>IF(C1281="%MO",G1285,IFERROR(_xlfn.XLOOKUP($B1281,Equipo[DESCRIPCION],Equipo[VALOR],,0),""))</f>
        <v/>
      </c>
      <c r="F1281" s="33"/>
      <c r="G1281" s="34" t="str">
        <f>IFERROR(IF(F1281&gt;=0,D1281*E1281*(1+F1281/100),ABS(D1281*E1281/F1281)),"")</f>
        <v/>
      </c>
      <c r="H1281" s="43" t="str">
        <f>IFERROR(G1281*E1269,"")</f>
        <v/>
      </c>
    </row>
    <row r="1282" spans="1:11">
      <c r="A1282" s="21"/>
      <c r="B1282" s="22" t="s">
        <v>2533</v>
      </c>
      <c r="C1282" s="23"/>
      <c r="D1282" s="24"/>
      <c r="E1282" s="25"/>
      <c r="F1282" s="26"/>
      <c r="G1282" s="27">
        <f>SUM(G1283:G1284)</f>
        <v>0</v>
      </c>
      <c r="H1282" s="44">
        <f>G1282*E1269</f>
        <v>0</v>
      </c>
    </row>
    <row r="1283" spans="1:11">
      <c r="A1283" s="28"/>
      <c r="B1283" s="29"/>
      <c r="C1283" s="30" t="str">
        <f>IFERROR(_xlfn.XLOOKUP(B1283,Transporte[DESCRIPCION],Transporte[UND],,0),"")</f>
        <v/>
      </c>
      <c r="D1283" s="31"/>
      <c r="E1283" s="32" t="str">
        <f>IFERROR(_xlfn.XLOOKUP($B1283,Transporte[DESCRIPCION],Transporte[VALOR],,0),"")</f>
        <v/>
      </c>
      <c r="F1283" s="33"/>
      <c r="G1283" s="34" t="str">
        <f>IFERROR(IF(F1283&gt;=0,D1283*E1283*(1+F1283/100),ABS(D1283*E1283/F1283)),"")</f>
        <v/>
      </c>
      <c r="H1283" s="43" t="str">
        <f>IFERROR(G1283*E1269,"")</f>
        <v/>
      </c>
    </row>
    <row r="1284" spans="1:11">
      <c r="A1284" s="28"/>
      <c r="B1284" s="29"/>
      <c r="C1284" s="30" t="str">
        <f>IFERROR(_xlfn.XLOOKUP(B1284,Transporte[DESCRIPCION],Transporte[UND],,0),"")</f>
        <v/>
      </c>
      <c r="D1284" s="31"/>
      <c r="E1284" s="32" t="str">
        <f>IFERROR(_xlfn.XLOOKUP($B1284,Transporte[DESCRIPCION],Transporte[VALOR],,0),"")</f>
        <v/>
      </c>
      <c r="F1284" s="33"/>
      <c r="G1284" s="34" t="str">
        <f>IFERROR(IF(F1284&gt;=0,D1284*E1284*(1+F1284/100),ABS(D1284*E1284/F1284)),"")</f>
        <v/>
      </c>
      <c r="H1284" s="43" t="str">
        <f>IFERROR(G1284*E1269,"")</f>
        <v/>
      </c>
    </row>
    <row r="1285" spans="1:11">
      <c r="A1285" s="21"/>
      <c r="B1285" s="22" t="s">
        <v>3732</v>
      </c>
      <c r="C1285" s="23"/>
      <c r="D1285" s="24"/>
      <c r="E1285" s="25"/>
      <c r="F1285" s="26"/>
      <c r="G1285" s="27">
        <f>SUM(G1286:G1288)</f>
        <v>326034.85278000007</v>
      </c>
      <c r="H1285" s="44">
        <f>G1285*E1269</f>
        <v>0</v>
      </c>
    </row>
    <row r="1286" spans="1:11">
      <c r="A1286" s="28"/>
      <c r="B1286" s="29" t="s">
        <v>3710</v>
      </c>
      <c r="C1286" s="30" t="str">
        <f>IFERROR(_xlfn.XLOOKUP(B1286,MObra[DESCRIPCION],MObra[UN],,0),"")</f>
        <v>día</v>
      </c>
      <c r="D1286" s="31">
        <v>1</v>
      </c>
      <c r="E1286" s="32">
        <f>IFERROR(_xlfn.XLOOKUP($B1286,MObra[DESCRIPCION],MObra[VALOR UNIT],,0),"")</f>
        <v>314390.75089500006</v>
      </c>
      <c r="F1286" s="33">
        <v>-2</v>
      </c>
      <c r="G1286" s="34">
        <f>IFERROR(IF(F1286&gt;=0,D1286*E1286*(1+F1286/100),ABS(D1286*E1286/F1286)),"")</f>
        <v>157195.37544750003</v>
      </c>
      <c r="H1286" s="43">
        <f>IFERROR(G1286*E1269,"")</f>
        <v>0</v>
      </c>
    </row>
    <row r="1287" spans="1:11">
      <c r="A1287" s="28"/>
      <c r="B1287" s="29" t="s">
        <v>3715</v>
      </c>
      <c r="C1287" s="30" t="str">
        <f t="array" ref="C1287">IFERROR(_xlfn.XLOOKUP(B1287,MObra[[#All],[DESCRIPCION]],MObra[[#All],[UN]],,0),"")</f>
        <v>día</v>
      </c>
      <c r="D1287" s="31">
        <v>1</v>
      </c>
      <c r="E1287" s="32">
        <f>IFERROR(_xlfn.XLOOKUP($B1287,MObra[DESCRIPCION],MObra[VALOR UNIT],,0),"")</f>
        <v>337678.95466500008</v>
      </c>
      <c r="F1287" s="33">
        <v>-2</v>
      </c>
      <c r="G1287" s="34">
        <f>IFERROR(IF(F1287&gt;=0,D1287*E1287*(1+F1287/100),ABS(D1287*E1287/F1287)),"")</f>
        <v>168839.47733250004</v>
      </c>
      <c r="H1287" s="43">
        <f>IFERROR(G1287*E1269,"")</f>
        <v>0</v>
      </c>
    </row>
    <row r="1288" spans="1:11">
      <c r="A1288" s="35"/>
      <c r="B1288" s="36"/>
      <c r="C1288" s="37" t="str">
        <f t="array" ref="C1288">IFERROR(_xlfn.XLOOKUP(B1288,MObra[[#All],[DESCRIPCION]],MObra[[#All],[UN]],,0),"")</f>
        <v/>
      </c>
      <c r="D1288" s="38"/>
      <c r="E1288" s="39" t="str">
        <f>IFERROR(_xlfn.XLOOKUP($B1288,MObra[DESCRIPCION],MObra[VALOR UNIT],,0),"")</f>
        <v/>
      </c>
      <c r="F1288" s="40"/>
      <c r="G1288" s="41" t="str">
        <f>IFERROR(IF(F1288&gt;=0,D1288*E1288*(1+F1288/100),ABS(D1288*E1288/F1288)),"")</f>
        <v/>
      </c>
      <c r="H1288" s="42" t="str">
        <f>IFERROR(G1288*E1269,"")</f>
        <v/>
      </c>
    </row>
    <row r="1290" spans="1:11">
      <c r="A1290" s="6" t="s">
        <v>1005</v>
      </c>
      <c r="B1290" s="7" t="str">
        <f>VLOOKUP($A1290,Presupuesto!$A:$D,2,FALSE())</f>
        <v>Sistema de puesta a tierra menor a 25 Ohm una sola varilla</v>
      </c>
      <c r="C1290" s="8" t="str">
        <f>VLOOKUP($A1290,Presupuesto!$A:$D,3,FALSE())</f>
        <v>Un</v>
      </c>
      <c r="D1290" s="9"/>
      <c r="E1290" s="10">
        <f>VLOOKUP($A1290,Presupuesto!$A:$D,4,FALSE())</f>
        <v>0</v>
      </c>
      <c r="F1290" s="11" t="s">
        <v>2589</v>
      </c>
      <c r="G1290" s="12">
        <f>SUM(G1292:G1309)/2</f>
        <v>1133842.9609595628</v>
      </c>
      <c r="H1290" s="13">
        <f>ROUND(SUM(H1292:H1309),0)/2</f>
        <v>0</v>
      </c>
      <c r="I1290" s="10">
        <f>VLOOKUP(A1290,Presupuesto!$A:$F,6,0)</f>
        <v>0</v>
      </c>
      <c r="J1290" s="10">
        <f>+H1290-I1290</f>
        <v>0</v>
      </c>
      <c r="K1290" s="46">
        <f>+H1290-G1290*E1290</f>
        <v>0</v>
      </c>
    </row>
    <row r="1291" spans="1:11" ht="13.15" thickTop="1">
      <c r="A1291" s="14"/>
      <c r="B1291" s="15" t="s">
        <v>2586</v>
      </c>
      <c r="C1291" s="15" t="s">
        <v>5</v>
      </c>
      <c r="D1291" s="16" t="s">
        <v>6</v>
      </c>
      <c r="E1291" s="17" t="s">
        <v>7</v>
      </c>
      <c r="F1291" s="18" t="s">
        <v>3728</v>
      </c>
      <c r="G1291" s="19" t="s">
        <v>3729</v>
      </c>
      <c r="H1291" s="20" t="s">
        <v>3797</v>
      </c>
    </row>
    <row r="1292" spans="1:11">
      <c r="A1292" s="21"/>
      <c r="B1292" s="22" t="s">
        <v>3730</v>
      </c>
      <c r="C1292" s="23"/>
      <c r="D1292" s="24"/>
      <c r="E1292" s="25"/>
      <c r="F1292" s="26"/>
      <c r="G1292" s="27">
        <f>SUM(G1293:G1298)</f>
        <v>1015383.6311161628</v>
      </c>
      <c r="H1292" s="27">
        <f>IFERROR(G1292*E1290,"")</f>
        <v>0</v>
      </c>
    </row>
    <row r="1293" spans="1:11">
      <c r="A1293" s="28"/>
      <c r="B1293" s="29" t="s">
        <v>3543</v>
      </c>
      <c r="C1293" s="30" t="str">
        <f>IFERROR(_xlfn.XLOOKUP(B1293,Insumo[DESCRIPCION],Insumo[UND],,0),"")</f>
        <v>Un</v>
      </c>
      <c r="D1293" s="31">
        <v>1</v>
      </c>
      <c r="E1293" s="32">
        <f>IFERROR(_xlfn.XLOOKUP($B1293,Insumo[DESCRIPCION],Insumo[VALOR],,0),"")</f>
        <v>476662.2</v>
      </c>
      <c r="F1293" s="33"/>
      <c r="G1293" s="34">
        <f>IFERROR(IF(F1293&gt;=0,D1293*E1293*(1+F1293/100),ABS(D1293*E1293/F1293)),"")</f>
        <v>476662.2</v>
      </c>
      <c r="H1293" s="43">
        <f>IFERROR(G1293*E1290,"")</f>
        <v>0</v>
      </c>
    </row>
    <row r="1294" spans="1:11">
      <c r="A1294" s="28"/>
      <c r="B1294" s="29" t="s">
        <v>3239</v>
      </c>
      <c r="C1294" s="30" t="str">
        <f>IFERROR(_xlfn.XLOOKUP(B1294,Insumo[DESCRIPCION],Insumo[UND],,0),"")</f>
        <v>M3</v>
      </c>
      <c r="D1294" s="31">
        <v>0.06</v>
      </c>
      <c r="E1294" s="32">
        <f>IFERROR(_xlfn.XLOOKUP($B1294,Insumo[DESCRIPCION],Insumo[VALOR],,0),"")</f>
        <v>521159.50227762427</v>
      </c>
      <c r="F1294" s="33"/>
      <c r="G1294" s="34">
        <f>IFERROR(IF(F1294&gt;=0,D1294*E1294*(1+F1294/100),ABS(D1294*E1294/F1294)),"")</f>
        <v>31269.570136657454</v>
      </c>
      <c r="H1294" s="43">
        <f>IFERROR(G1294*E1290,"")</f>
        <v>0</v>
      </c>
    </row>
    <row r="1295" spans="1:11">
      <c r="A1295" s="28"/>
      <c r="B1295" s="29" t="s">
        <v>2954</v>
      </c>
      <c r="C1295" s="30" t="str">
        <f>IFERROR(_xlfn.XLOOKUP(B1295,Insumo[DESCRIPCION],Insumo[UND],,0),"")</f>
        <v>M2</v>
      </c>
      <c r="D1295" s="31">
        <v>1.2</v>
      </c>
      <c r="E1295" s="32">
        <f>IFERROR(_xlfn.XLOOKUP($B1295,Insumo[DESCRIPCION],Insumo[VALOR],,0),"")</f>
        <v>102154.92581625449</v>
      </c>
      <c r="F1295" s="33"/>
      <c r="G1295" s="34">
        <f>IFERROR(IF(F1295&gt;=0,D1295*E1295*(1+F1295/100),ABS(D1295*E1295/F1295)),"")</f>
        <v>122585.91097950538</v>
      </c>
      <c r="H1295" s="43">
        <f>IFERROR(G1295*E1290,"")</f>
        <v>0</v>
      </c>
    </row>
    <row r="1296" spans="1:11">
      <c r="A1296" s="28"/>
      <c r="B1296" s="29" t="s">
        <v>3392</v>
      </c>
      <c r="C1296" s="30" t="str">
        <f>IFERROR(_xlfn.XLOOKUP(B1296,Insumo[DESCRIPCION],Insumo[UND],,0),"")</f>
        <v>Un</v>
      </c>
      <c r="D1296" s="31">
        <v>1</v>
      </c>
      <c r="E1296" s="32">
        <f>IFERROR(_xlfn.XLOOKUP($B1296,Insumo[DESCRIPCION],Insumo[VALOR],,0),"")</f>
        <v>185497.2</v>
      </c>
      <c r="F1296" s="33"/>
      <c r="G1296" s="34">
        <f>IFERROR(IF(F1296&gt;=0,D1296*E1296*(1+F1296/100),ABS(D1296*E1296/F1296)),"")</f>
        <v>185497.2</v>
      </c>
      <c r="H1296" s="43">
        <f>IFERROR(G1296*E1290,"")</f>
        <v>0</v>
      </c>
    </row>
    <row r="1297" spans="1:11">
      <c r="A1297" s="28"/>
      <c r="B1297" s="29" t="s">
        <v>3328</v>
      </c>
      <c r="C1297" s="30" t="str">
        <f>IFERROR(_xlfn.XLOOKUP(B1297,Insumo[DESCRIPCION],Insumo[UND],,0),"")</f>
        <v>Un</v>
      </c>
      <c r="D1297" s="31">
        <v>1</v>
      </c>
      <c r="E1297" s="32">
        <f>IFERROR(_xlfn.XLOOKUP($B1297,Insumo[DESCRIPCION],Insumo[VALOR],,0),"")</f>
        <v>79747.5</v>
      </c>
      <c r="F1297" s="33"/>
      <c r="G1297" s="34">
        <f t="shared" ref="G1297:G1298" si="4">IFERROR(IF(F1297&gt;=0,D1297*E1297*(1+F1297/100),ABS(D1297*E1297/F1297)),"")</f>
        <v>79747.5</v>
      </c>
      <c r="H1297" s="43">
        <f>IFERROR(G1297*E1290,"")</f>
        <v>0</v>
      </c>
    </row>
    <row r="1298" spans="1:11">
      <c r="A1298" s="28"/>
      <c r="B1298" s="29" t="s">
        <v>2786</v>
      </c>
      <c r="C1298" s="30" t="str">
        <f>IFERROR(_xlfn.XLOOKUP(B1298,Insumo[DESCRIPCION],Insumo[UND],,0),"")</f>
        <v>M</v>
      </c>
      <c r="D1298" s="31">
        <v>5</v>
      </c>
      <c r="E1298" s="32">
        <f>IFERROR(_xlfn.XLOOKUP($B1298,Insumo[DESCRIPCION],Insumo[VALOR],,0),"")</f>
        <v>23924.25</v>
      </c>
      <c r="F1298" s="33"/>
      <c r="G1298" s="34">
        <f t="shared" si="4"/>
        <v>119621.25</v>
      </c>
      <c r="H1298" s="43">
        <f>IFERROR(G1298*E1290,"")</f>
        <v>0</v>
      </c>
    </row>
    <row r="1299" spans="1:11">
      <c r="A1299" s="21"/>
      <c r="B1299" s="22" t="s">
        <v>3731</v>
      </c>
      <c r="C1299" s="23"/>
      <c r="D1299" s="24"/>
      <c r="E1299" s="25"/>
      <c r="F1299" s="26"/>
      <c r="G1299" s="27">
        <f>SUM(G1300:G1302)</f>
        <v>9781.0455834000022</v>
      </c>
      <c r="H1299" s="44">
        <f>G1299*E1290</f>
        <v>0</v>
      </c>
    </row>
    <row r="1300" spans="1:11">
      <c r="A1300" s="28"/>
      <c r="B1300" s="29" t="s">
        <v>3570</v>
      </c>
      <c r="C1300" s="30" t="str">
        <f>IFERROR(_xlfn.XLOOKUP(B1300,Equipo[DESCRIPCION],Equipo[UND],,0),"")</f>
        <v>%MO</v>
      </c>
      <c r="D1300" s="31">
        <v>0.04</v>
      </c>
      <c r="E1300" s="32">
        <f>IF(C1300="%MO",G1306,IFERROR(_xlfn.XLOOKUP($B1300,Equipo[DESCRIPCION],Equipo[VALOR],,0),""))</f>
        <v>108678.28426000003</v>
      </c>
      <c r="F1300" s="33"/>
      <c r="G1300" s="34">
        <f>IFERROR(IF(F1300&gt;=0,D1300*E1300*(1+F1300/100),ABS(D1300*E1300/F1300)),"")</f>
        <v>4347.1313704000013</v>
      </c>
      <c r="H1300" s="43">
        <f>IFERROR(G1300*E1290,"")</f>
        <v>0</v>
      </c>
    </row>
    <row r="1301" spans="1:11">
      <c r="A1301" s="28"/>
      <c r="B1301" s="29" t="s">
        <v>3626</v>
      </c>
      <c r="C1301" s="30" t="str">
        <f>IFERROR(_xlfn.XLOOKUP(B1301,Equipo[DESCRIPCION],Equipo[UND],,0),"")</f>
        <v>%MO</v>
      </c>
      <c r="D1301" s="31">
        <v>0.05</v>
      </c>
      <c r="E1301" s="32">
        <f>IF(C1301="%MO",G1306,IFERROR(_xlfn.XLOOKUP($B1301,Equipo[DESCRIPCION],Equipo[VALOR],,0),""))</f>
        <v>108678.28426000003</v>
      </c>
      <c r="F1301" s="33"/>
      <c r="G1301" s="34">
        <f>IFERROR(IF(F1301&gt;=0,D1301*E1301*(1+F1301/100),ABS(D1301*E1301/F1301)),"")</f>
        <v>5433.9142130000018</v>
      </c>
      <c r="H1301" s="43">
        <f>IFERROR(G1301*E1290,"")</f>
        <v>0</v>
      </c>
    </row>
    <row r="1302" spans="1:11">
      <c r="A1302" s="28"/>
      <c r="B1302" s="29"/>
      <c r="C1302" s="30" t="str">
        <f>IFERROR(_xlfn.XLOOKUP(B1302,Equipo[DESCRIPCION],Equipo[UND],,0),"")</f>
        <v/>
      </c>
      <c r="D1302" s="31"/>
      <c r="E1302" s="32" t="str">
        <f>IF(C1302="%MO",G1306,IFERROR(_xlfn.XLOOKUP($B1302,Equipo[DESCRIPCION],Equipo[VALOR],,0),""))</f>
        <v/>
      </c>
      <c r="F1302" s="33"/>
      <c r="G1302" s="34" t="str">
        <f>IFERROR(IF(F1302&gt;=0,D1302*E1302*(1+F1302/100),ABS(D1302*E1302/F1302)),"")</f>
        <v/>
      </c>
      <c r="H1302" s="43" t="str">
        <f>IFERROR(G1302*E1290,"")</f>
        <v/>
      </c>
    </row>
    <row r="1303" spans="1:11">
      <c r="A1303" s="21"/>
      <c r="B1303" s="22" t="s">
        <v>2533</v>
      </c>
      <c r="C1303" s="23"/>
      <c r="D1303" s="24"/>
      <c r="E1303" s="25"/>
      <c r="F1303" s="26"/>
      <c r="G1303" s="27">
        <f>SUM(G1304:G1305)</f>
        <v>0</v>
      </c>
      <c r="H1303" s="44">
        <f>G1303*E1290</f>
        <v>0</v>
      </c>
    </row>
    <row r="1304" spans="1:11">
      <c r="A1304" s="28"/>
      <c r="B1304" s="29"/>
      <c r="C1304" s="30" t="str">
        <f>IFERROR(_xlfn.XLOOKUP(B1304,Transporte[DESCRIPCION],Transporte[UND],,0),"")</f>
        <v/>
      </c>
      <c r="D1304" s="31"/>
      <c r="E1304" s="32" t="str">
        <f>IFERROR(_xlfn.XLOOKUP($B1304,Transporte[DESCRIPCION],Transporte[VALOR],,0),"")</f>
        <v/>
      </c>
      <c r="F1304" s="33"/>
      <c r="G1304" s="34" t="str">
        <f>IFERROR(IF(F1304&gt;=0,D1304*E1304*(1+F1304/100),ABS(D1304*E1304/F1304)),"")</f>
        <v/>
      </c>
      <c r="H1304" s="43" t="str">
        <f>IFERROR(G1304*E1290,"")</f>
        <v/>
      </c>
    </row>
    <row r="1305" spans="1:11">
      <c r="A1305" s="28"/>
      <c r="B1305" s="29"/>
      <c r="C1305" s="30" t="str">
        <f>IFERROR(_xlfn.XLOOKUP(B1305,Transporte[DESCRIPCION],Transporte[UND],,0),"")</f>
        <v/>
      </c>
      <c r="D1305" s="31"/>
      <c r="E1305" s="32" t="str">
        <f>IFERROR(_xlfn.XLOOKUP($B1305,Transporte[DESCRIPCION],Transporte[VALOR],,0),"")</f>
        <v/>
      </c>
      <c r="F1305" s="33"/>
      <c r="G1305" s="34" t="str">
        <f>IFERROR(IF(F1305&gt;=0,D1305*E1305*(1+F1305/100),ABS(D1305*E1305/F1305)),"")</f>
        <v/>
      </c>
      <c r="H1305" s="43" t="str">
        <f>IFERROR(G1305*E1290,"")</f>
        <v/>
      </c>
    </row>
    <row r="1306" spans="1:11">
      <c r="A1306" s="21"/>
      <c r="B1306" s="22" t="s">
        <v>3732</v>
      </c>
      <c r="C1306" s="23"/>
      <c r="D1306" s="24"/>
      <c r="E1306" s="25"/>
      <c r="F1306" s="26"/>
      <c r="G1306" s="27">
        <f>SUM(G1307:G1309)</f>
        <v>108678.28426000003</v>
      </c>
      <c r="H1306" s="44">
        <f>G1306*E1290</f>
        <v>0</v>
      </c>
    </row>
    <row r="1307" spans="1:11">
      <c r="A1307" s="28"/>
      <c r="B1307" s="29" t="s">
        <v>3710</v>
      </c>
      <c r="C1307" s="30" t="str">
        <f>IFERROR(_xlfn.XLOOKUP(B1307,MObra[DESCRIPCION],MObra[UN],,0),"")</f>
        <v>día</v>
      </c>
      <c r="D1307" s="31">
        <v>1</v>
      </c>
      <c r="E1307" s="32">
        <f>IFERROR(_xlfn.XLOOKUP($B1307,MObra[DESCRIPCION],MObra[VALOR UNIT],,0),"")</f>
        <v>314390.75089500006</v>
      </c>
      <c r="F1307" s="33">
        <v>-6</v>
      </c>
      <c r="G1307" s="34">
        <f>IFERROR(IF(F1307&gt;=0,D1307*E1307*(1+F1307/100),ABS(D1307*E1307/F1307)),"")</f>
        <v>52398.458482500013</v>
      </c>
      <c r="H1307" s="43">
        <f>IFERROR(G1307*E1290,"")</f>
        <v>0</v>
      </c>
    </row>
    <row r="1308" spans="1:11">
      <c r="A1308" s="28"/>
      <c r="B1308" s="29" t="s">
        <v>3715</v>
      </c>
      <c r="C1308" s="30" t="str">
        <f t="array" ref="C1308">IFERROR(_xlfn.XLOOKUP(B1308,MObra[[#All],[DESCRIPCION]],MObra[[#All],[UN]],,0),"")</f>
        <v>día</v>
      </c>
      <c r="D1308" s="31">
        <v>1</v>
      </c>
      <c r="E1308" s="32">
        <f>IFERROR(_xlfn.XLOOKUP($B1308,MObra[DESCRIPCION],MObra[VALOR UNIT],,0),"")</f>
        <v>337678.95466500008</v>
      </c>
      <c r="F1308" s="33">
        <v>-6</v>
      </c>
      <c r="G1308" s="34">
        <f>IFERROR(IF(F1308&gt;=0,D1308*E1308*(1+F1308/100),ABS(D1308*E1308/F1308)),"")</f>
        <v>56279.825777500017</v>
      </c>
      <c r="H1308" s="43">
        <f>IFERROR(G1308*E1290,"")</f>
        <v>0</v>
      </c>
    </row>
    <row r="1309" spans="1:11" ht="13.15" thickBot="1">
      <c r="A1309" s="35"/>
      <c r="B1309" s="36"/>
      <c r="C1309" s="37" t="str">
        <f t="array" ref="C1309">IFERROR(_xlfn.XLOOKUP(B1309,MObra[[#All],[DESCRIPCION]],MObra[[#All],[UN]],,0),"")</f>
        <v/>
      </c>
      <c r="D1309" s="38"/>
      <c r="E1309" s="39" t="str">
        <f>IFERROR(_xlfn.XLOOKUP($B1309,MObra[DESCRIPCION],MObra[VALOR UNIT],,0),"")</f>
        <v/>
      </c>
      <c r="F1309" s="40"/>
      <c r="G1309" s="41" t="str">
        <f>IFERROR(IF(F1309&gt;=0,D1309*E1309*(1+F1309/100),ABS(D1309*E1309/F1309)),"")</f>
        <v/>
      </c>
      <c r="H1309" s="42" t="str">
        <f>IFERROR(G1309*E1290,"")</f>
        <v/>
      </c>
    </row>
    <row r="1310" spans="1:11" ht="13.5" thickTop="1" thickBot="1"/>
    <row r="1311" spans="1:11" ht="26.25" thickTop="1" thickBot="1">
      <c r="A1311" s="6" t="s">
        <v>1007</v>
      </c>
      <c r="B1311" s="7" t="str">
        <f>VLOOKUP($A1311,Presupuesto!$A:$D,2,FALSE())</f>
        <v>Tablero de distribución sobreponer de 12 circuitos 175 Amperios. Certificación RETIE</v>
      </c>
      <c r="C1311" s="8" t="str">
        <f>VLOOKUP($A1311,Presupuesto!$A:$D,3,FALSE())</f>
        <v>Un</v>
      </c>
      <c r="D1311" s="9"/>
      <c r="E1311" s="10">
        <f>VLOOKUP($A1311,Presupuesto!$A:$D,4,FALSE())</f>
        <v>0</v>
      </c>
      <c r="F1311" s="11" t="s">
        <v>2589</v>
      </c>
      <c r="G1311" s="12">
        <f>SUM(G1313:G1329)/2</f>
        <v>572407.9738995001</v>
      </c>
      <c r="H1311" s="13">
        <f>ROUND(SUM(H1313:H1329),0)/2</f>
        <v>0</v>
      </c>
      <c r="I1311" s="10">
        <f>VLOOKUP(A1311,Presupuesto!$A:$F,6,0)</f>
        <v>0</v>
      </c>
      <c r="J1311" s="10">
        <f>+H1311-I1311</f>
        <v>0</v>
      </c>
      <c r="K1311" s="46">
        <f>+H1311-G1311*E1311</f>
        <v>0</v>
      </c>
    </row>
    <row r="1312" spans="1:11">
      <c r="A1312" s="14"/>
      <c r="B1312" s="15" t="s">
        <v>2586</v>
      </c>
      <c r="C1312" s="15" t="s">
        <v>5</v>
      </c>
      <c r="D1312" s="16" t="s">
        <v>6</v>
      </c>
      <c r="E1312" s="17" t="s">
        <v>7</v>
      </c>
      <c r="F1312" s="18" t="s">
        <v>3728</v>
      </c>
      <c r="G1312" s="19" t="s">
        <v>3729</v>
      </c>
      <c r="H1312" s="20" t="s">
        <v>3797</v>
      </c>
    </row>
    <row r="1313" spans="1:8">
      <c r="A1313" s="21"/>
      <c r="B1313" s="22" t="s">
        <v>3730</v>
      </c>
      <c r="C1313" s="23"/>
      <c r="D1313" s="24"/>
      <c r="E1313" s="25"/>
      <c r="F1313" s="26"/>
      <c r="G1313" s="27">
        <f>SUM(G1314:G1318)</f>
        <v>471104.28750000003</v>
      </c>
      <c r="H1313" s="27">
        <f>IFERROR(G1313*E1311,"")</f>
        <v>0</v>
      </c>
    </row>
    <row r="1314" spans="1:8">
      <c r="A1314" s="28"/>
      <c r="B1314" s="29" t="s">
        <v>3344</v>
      </c>
      <c r="C1314" s="30" t="str">
        <f>IFERROR(_xlfn.XLOOKUP(B1314,Insumo[DESCRIPCION],Insumo[UND],,0),"")</f>
        <v>Un</v>
      </c>
      <c r="D1314" s="31">
        <v>1</v>
      </c>
      <c r="E1314" s="32">
        <f>IFERROR(_xlfn.XLOOKUP($B1314,Insumo[DESCRIPCION],Insumo[VALOR],,0),"")</f>
        <v>209109.33750000002</v>
      </c>
      <c r="F1314" s="33"/>
      <c r="G1314" s="34">
        <f>IFERROR(IF(F1314&gt;=0,D1314*E1314*(1+F1314/100),ABS(D1314*E1314/F1314)),"")</f>
        <v>209109.33750000002</v>
      </c>
      <c r="H1314" s="43">
        <f>IFERROR(G1314*E1311,"")</f>
        <v>0</v>
      </c>
    </row>
    <row r="1315" spans="1:8">
      <c r="A1315" s="28"/>
      <c r="B1315" s="29" t="s">
        <v>2763</v>
      </c>
      <c r="C1315" s="30" t="str">
        <f>IFERROR(_xlfn.XLOOKUP(B1315,Insumo[DESCRIPCION],Insumo[UND],,0),"")</f>
        <v>Un</v>
      </c>
      <c r="D1315" s="31">
        <v>9</v>
      </c>
      <c r="E1315" s="32">
        <f>IFERROR(_xlfn.XLOOKUP($B1315,Insumo[DESCRIPCION],Insumo[VALOR],,0),"")</f>
        <v>17731.350000000002</v>
      </c>
      <c r="F1315" s="33"/>
      <c r="G1315" s="34">
        <f>IFERROR(IF(F1315&gt;=0,D1315*E1315*(1+F1315/100),ABS(D1315*E1315/F1315)),"")</f>
        <v>159582.15000000002</v>
      </c>
      <c r="H1315" s="43">
        <f>IFERROR(G1315*E1311,"")</f>
        <v>0</v>
      </c>
    </row>
    <row r="1316" spans="1:8">
      <c r="A1316" s="28"/>
      <c r="B1316" s="29" t="s">
        <v>2764</v>
      </c>
      <c r="C1316" s="30" t="str">
        <f>IFERROR(_xlfn.XLOOKUP(B1316,Insumo[DESCRIPCION],Insumo[UND],,0),"")</f>
        <v>Un</v>
      </c>
      <c r="D1316" s="31">
        <v>3</v>
      </c>
      <c r="E1316" s="32">
        <f>IFERROR(_xlfn.XLOOKUP($B1316,Insumo[DESCRIPCION],Insumo[VALOR],,0),"")</f>
        <v>25347</v>
      </c>
      <c r="F1316" s="33"/>
      <c r="G1316" s="34">
        <f>IFERROR(IF(F1316&gt;=0,D1316*E1316*(1+F1316/100),ABS(D1316*E1316/F1316)),"")</f>
        <v>76041</v>
      </c>
      <c r="H1316" s="43">
        <f>IFERROR(G1316*E1311,"")</f>
        <v>0</v>
      </c>
    </row>
    <row r="1317" spans="1:8">
      <c r="A1317" s="28"/>
      <c r="B1317" s="29" t="s">
        <v>2834</v>
      </c>
      <c r="C1317" s="30" t="str">
        <f>IFERROR(_xlfn.XLOOKUP(B1317,Insumo[DESCRIPCION],Insumo[UND],,0),"")</f>
        <v>Un</v>
      </c>
      <c r="D1317" s="31">
        <v>4</v>
      </c>
      <c r="E1317" s="32">
        <f>IFERROR(_xlfn.XLOOKUP($B1317,Insumo[DESCRIPCION],Insumo[VALOR],,0),"")</f>
        <v>6592.9500000000007</v>
      </c>
      <c r="F1317" s="33"/>
      <c r="G1317" s="34">
        <f>IFERROR(IF(F1317&gt;=0,D1317*E1317*(1+F1317/100),ABS(D1317*E1317/F1317)),"")</f>
        <v>26371.800000000003</v>
      </c>
      <c r="H1317" s="43">
        <f>IFERROR(G1317*E1311,"")</f>
        <v>0</v>
      </c>
    </row>
    <row r="1318" spans="1:8">
      <c r="A1318" s="28"/>
      <c r="B1318" s="29"/>
      <c r="C1318" s="30" t="str">
        <f>IFERROR(_xlfn.XLOOKUP(B1318,Insumo[DESCRIPCION],Insumo[UND],,0),"")</f>
        <v/>
      </c>
      <c r="D1318" s="31"/>
      <c r="E1318" s="32" t="str">
        <f>IFERROR(_xlfn.XLOOKUP($B1318,Insumo[DESCRIPCION],Insumo[VALOR],,0),"")</f>
        <v/>
      </c>
      <c r="F1318" s="33"/>
      <c r="G1318" s="34" t="str">
        <f>IFERROR(IF(F1318&gt;=0,D1318*E1318*(1+F1318/100),ABS(D1318*E1318/F1318)),"")</f>
        <v/>
      </c>
      <c r="H1318" s="43" t="str">
        <f>IFERROR(G1318*E1311,"")</f>
        <v/>
      </c>
    </row>
    <row r="1319" spans="1:8">
      <c r="A1319" s="21"/>
      <c r="B1319" s="22" t="s">
        <v>3731</v>
      </c>
      <c r="C1319" s="23"/>
      <c r="D1319" s="24"/>
      <c r="E1319" s="25"/>
      <c r="F1319" s="26"/>
      <c r="G1319" s="27">
        <f>SUM(G1320:G1322)</f>
        <v>4823.9850666428583</v>
      </c>
      <c r="H1319" s="44">
        <f>G1319*E1311</f>
        <v>0</v>
      </c>
    </row>
    <row r="1320" spans="1:8">
      <c r="A1320" s="28"/>
      <c r="B1320" s="29" t="s">
        <v>3626</v>
      </c>
      <c r="C1320" s="30" t="str">
        <f>IFERROR(_xlfn.XLOOKUP(B1320,Equipo[DESCRIPCION],Equipo[UND],,0),"")</f>
        <v>%MO</v>
      </c>
      <c r="D1320" s="31">
        <v>0.05</v>
      </c>
      <c r="E1320" s="32">
        <f>IF(C1320="%MO",G1326,IFERROR(_xlfn.XLOOKUP($B1320,Equipo[DESCRIPCION],Equipo[VALOR],,0),""))</f>
        <v>96479.701332857163</v>
      </c>
      <c r="F1320" s="33"/>
      <c r="G1320" s="34">
        <f>IFERROR(IF(F1320&gt;=0,D1320*E1320*(1+F1320/100),ABS(D1320*E1320/F1320)),"")</f>
        <v>4823.9850666428583</v>
      </c>
      <c r="H1320" s="43">
        <f>IFERROR(G1320*E1311,"")</f>
        <v>0</v>
      </c>
    </row>
    <row r="1321" spans="1:8">
      <c r="A1321" s="28"/>
      <c r="B1321" s="29"/>
      <c r="C1321" s="30" t="str">
        <f>IFERROR(_xlfn.XLOOKUP(B1321,Equipo[DESCRIPCION],Equipo[UND],,0),"")</f>
        <v/>
      </c>
      <c r="D1321" s="31"/>
      <c r="E1321" s="32" t="str">
        <f>IF(C1321="%MO",G1326,IFERROR(_xlfn.XLOOKUP($B1321,Equipo[DESCRIPCION],Equipo[VALOR],,0),""))</f>
        <v/>
      </c>
      <c r="F1321" s="33"/>
      <c r="G1321" s="34" t="str">
        <f>IFERROR(IF(F1321&gt;=0,D1321*E1321*(1+F1321/100),ABS(D1321*E1321/F1321)),"")</f>
        <v/>
      </c>
      <c r="H1321" s="43" t="str">
        <f>IFERROR(G1321*E1311,"")</f>
        <v/>
      </c>
    </row>
    <row r="1322" spans="1:8">
      <c r="A1322" s="28"/>
      <c r="B1322" s="29"/>
      <c r="C1322" s="30" t="str">
        <f>IFERROR(_xlfn.XLOOKUP(B1322,Equipo[DESCRIPCION],Equipo[UND],,0),"")</f>
        <v/>
      </c>
      <c r="D1322" s="31"/>
      <c r="E1322" s="32" t="str">
        <f>IF(C1322="%MO",G1326,IFERROR(_xlfn.XLOOKUP($B1322,Equipo[DESCRIPCION],Equipo[VALOR],,0),""))</f>
        <v/>
      </c>
      <c r="F1322" s="33"/>
      <c r="G1322" s="34" t="str">
        <f>IFERROR(IF(F1322&gt;=0,D1322*E1322*(1+F1322/100),ABS(D1322*E1322/F1322)),"")</f>
        <v/>
      </c>
      <c r="H1322" s="43" t="str">
        <f>IFERROR(G1322*E1311,"")</f>
        <v/>
      </c>
    </row>
    <row r="1323" spans="1:8">
      <c r="A1323" s="21"/>
      <c r="B1323" s="22" t="s">
        <v>2533</v>
      </c>
      <c r="C1323" s="23"/>
      <c r="D1323" s="24"/>
      <c r="E1323" s="25"/>
      <c r="F1323" s="26"/>
      <c r="G1323" s="27">
        <f>SUM(G1324:G1325)</f>
        <v>0</v>
      </c>
      <c r="H1323" s="44">
        <f>G1323*E1311</f>
        <v>0</v>
      </c>
    </row>
    <row r="1324" spans="1:8">
      <c r="A1324" s="28"/>
      <c r="B1324" s="29"/>
      <c r="C1324" s="30" t="str">
        <f>IFERROR(_xlfn.XLOOKUP(B1324,Transporte[DESCRIPCION],Transporte[UND],,0),"")</f>
        <v/>
      </c>
      <c r="D1324" s="31"/>
      <c r="E1324" s="32" t="str">
        <f>IFERROR(_xlfn.XLOOKUP($B1324,Transporte[DESCRIPCION],Transporte[VALOR],,0),"")</f>
        <v/>
      </c>
      <c r="F1324" s="33"/>
      <c r="G1324" s="34" t="str">
        <f>IFERROR(IF(F1324&gt;=0,D1324*E1324*(1+F1324/100),ABS(D1324*E1324/F1324)),"")</f>
        <v/>
      </c>
      <c r="H1324" s="43" t="str">
        <f>IFERROR(G1324*E1311,"")</f>
        <v/>
      </c>
    </row>
    <row r="1325" spans="1:8">
      <c r="A1325" s="28"/>
      <c r="B1325" s="29"/>
      <c r="C1325" s="30" t="str">
        <f>IFERROR(_xlfn.XLOOKUP(B1325,Transporte[DESCRIPCION],Transporte[UND],,0),"")</f>
        <v/>
      </c>
      <c r="D1325" s="31"/>
      <c r="E1325" s="32" t="str">
        <f>IFERROR(_xlfn.XLOOKUP($B1325,Transporte[DESCRIPCION],Transporte[VALOR],,0),"")</f>
        <v/>
      </c>
      <c r="F1325" s="33"/>
      <c r="G1325" s="34" t="str">
        <f>IFERROR(IF(F1325&gt;=0,D1325*E1325*(1+F1325/100),ABS(D1325*E1325/F1325)),"")</f>
        <v/>
      </c>
      <c r="H1325" s="43" t="str">
        <f>IFERROR(G1325*E1311,"")</f>
        <v/>
      </c>
    </row>
    <row r="1326" spans="1:8">
      <c r="A1326" s="21"/>
      <c r="B1326" s="22" t="s">
        <v>3732</v>
      </c>
      <c r="C1326" s="23"/>
      <c r="D1326" s="24"/>
      <c r="E1326" s="25"/>
      <c r="F1326" s="26"/>
      <c r="G1326" s="27">
        <f>SUM(G1327:G1329)</f>
        <v>96479.701332857163</v>
      </c>
      <c r="H1326" s="44">
        <f>G1326*E1311</f>
        <v>0</v>
      </c>
    </row>
    <row r="1327" spans="1:8">
      <c r="A1327" s="28"/>
      <c r="B1327" s="29" t="s">
        <v>3715</v>
      </c>
      <c r="C1327" s="30" t="str">
        <f>IFERROR(_xlfn.XLOOKUP(B1327,MObra[DESCRIPCION],MObra[UN],,0),"")</f>
        <v>día</v>
      </c>
      <c r="D1327" s="31">
        <v>1</v>
      </c>
      <c r="E1327" s="32">
        <f>IFERROR(_xlfn.XLOOKUP($B1327,MObra[DESCRIPCION],MObra[VALOR UNIT],,0),"")</f>
        <v>337678.95466500008</v>
      </c>
      <c r="F1327" s="33">
        <v>-3.5</v>
      </c>
      <c r="G1327" s="34">
        <f>IFERROR(IF(F1327&gt;=0,D1327*E1327*(1+F1327/100),ABS(D1327*E1327/F1327)),"")</f>
        <v>96479.701332857163</v>
      </c>
      <c r="H1327" s="43">
        <f>IFERROR(G1327*E1311,"")</f>
        <v>0</v>
      </c>
    </row>
    <row r="1328" spans="1:8">
      <c r="A1328" s="28"/>
      <c r="B1328" s="29"/>
      <c r="C1328" s="30" t="str">
        <f t="array" ref="C1328">IFERROR(_xlfn.XLOOKUP(B1328,MObra[[#All],[DESCRIPCION]],MObra[[#All],[UN]],,0),"")</f>
        <v/>
      </c>
      <c r="D1328" s="31"/>
      <c r="E1328" s="32" t="str">
        <f>IFERROR(_xlfn.XLOOKUP($B1328,MObra[DESCRIPCION],MObra[VALOR UNIT],,0),"")</f>
        <v/>
      </c>
      <c r="F1328" s="33"/>
      <c r="G1328" s="34" t="str">
        <f>IFERROR(IF(F1328&gt;=0,D1328*E1328*(1+F1328/100),ABS(D1328*E1328/F1328)),"")</f>
        <v/>
      </c>
      <c r="H1328" s="43" t="str">
        <f>IFERROR(G1328*E1311,"")</f>
        <v/>
      </c>
    </row>
    <row r="1329" spans="1:11">
      <c r="A1329" s="35"/>
      <c r="B1329" s="36"/>
      <c r="C1329" s="37" t="str">
        <f t="array" ref="C1329">IFERROR(_xlfn.XLOOKUP(B1329,MObra[[#All],[DESCRIPCION]],MObra[[#All],[UN]],,0),"")</f>
        <v/>
      </c>
      <c r="D1329" s="38"/>
      <c r="E1329" s="39" t="str">
        <f>IFERROR(_xlfn.XLOOKUP($B1329,MObra[DESCRIPCION],MObra[VALOR UNIT],,0),"")</f>
        <v/>
      </c>
      <c r="F1329" s="40"/>
      <c r="G1329" s="41" t="str">
        <f>IFERROR(IF(F1329&gt;=0,D1329*E1329*(1+F1329/100),ABS(D1329*E1329/F1329)),"")</f>
        <v/>
      </c>
      <c r="H1329" s="42" t="str">
        <f>IFERROR(G1329*E1311,"")</f>
        <v/>
      </c>
    </row>
    <row r="1330" spans="1:11" ht="13.5" thickTop="1" thickBot="1"/>
    <row r="1331" spans="1:11" ht="26.25" thickTop="1" thickBot="1">
      <c r="A1331" s="6" t="s">
        <v>1009</v>
      </c>
      <c r="B1331" s="7" t="str">
        <f>VLOOKUP($A1331,Presupuesto!$A:$D,2,FALSE())</f>
        <v>Tablero de incrustar con puerta y con espacio para totalizador. Trifásico de 8-12 circuitos, 175 amperios. Certificación RETIE</v>
      </c>
      <c r="C1331" s="8" t="str">
        <f>VLOOKUP($A1331,Presupuesto!$A:$D,3,FALSE())</f>
        <v>Un</v>
      </c>
      <c r="D1331" s="9"/>
      <c r="E1331" s="10">
        <f>VLOOKUP($A1331,Presupuesto!$A:$D,4,FALSE())</f>
        <v>0</v>
      </c>
      <c r="F1331" s="11" t="s">
        <v>2589</v>
      </c>
      <c r="G1331" s="12">
        <f>SUM(G1333:G1349)/2</f>
        <v>1256369.0488995004</v>
      </c>
      <c r="H1331" s="13">
        <f>ROUND(SUM(H1333:H1349),0)/2</f>
        <v>0</v>
      </c>
      <c r="I1331" s="10">
        <f>VLOOKUP(A1331,Presupuesto!$A:$F,6,0)</f>
        <v>0</v>
      </c>
      <c r="J1331" s="10">
        <f>+H1331-I1331</f>
        <v>0</v>
      </c>
      <c r="K1331" s="46">
        <f>+H1331-G1331*E1331</f>
        <v>0</v>
      </c>
    </row>
    <row r="1332" spans="1:11">
      <c r="A1332" s="14"/>
      <c r="B1332" s="15" t="s">
        <v>2586</v>
      </c>
      <c r="C1332" s="15" t="s">
        <v>5</v>
      </c>
      <c r="D1332" s="16" t="s">
        <v>6</v>
      </c>
      <c r="E1332" s="17" t="s">
        <v>7</v>
      </c>
      <c r="F1332" s="18" t="s">
        <v>3728</v>
      </c>
      <c r="G1332" s="19" t="s">
        <v>3729</v>
      </c>
      <c r="H1332" s="20" t="s">
        <v>3797</v>
      </c>
    </row>
    <row r="1333" spans="1:11">
      <c r="A1333" s="21"/>
      <c r="B1333" s="22" t="s">
        <v>3730</v>
      </c>
      <c r="C1333" s="23"/>
      <c r="D1333" s="24"/>
      <c r="E1333" s="25"/>
      <c r="F1333" s="26"/>
      <c r="G1333" s="27">
        <f>SUM(G1334:G1338)</f>
        <v>1155065.3625</v>
      </c>
      <c r="H1333" s="27">
        <f>IFERROR(G1333*E1331,"")</f>
        <v>0</v>
      </c>
    </row>
    <row r="1334" spans="1:11" ht="25.5">
      <c r="A1334" s="28"/>
      <c r="B1334" s="135" t="s">
        <v>3345</v>
      </c>
      <c r="C1334" s="30" t="str">
        <f>IFERROR(_xlfn.XLOOKUP(B1334,Insumo[DESCRIPCION],Insumo[UND],,0),"")</f>
        <v>Un</v>
      </c>
      <c r="D1334" s="31">
        <v>1</v>
      </c>
      <c r="E1334" s="32">
        <f>IFERROR(_xlfn.XLOOKUP($B1334,Insumo[DESCRIPCION],Insumo[VALOR],,0),"")</f>
        <v>429326.36250000005</v>
      </c>
      <c r="F1334" s="33"/>
      <c r="G1334" s="34">
        <f>IFERROR(IF(F1334&gt;=0,D1334*E1334*(1+F1334/100),ABS(D1334*E1334/F1334)),"")</f>
        <v>429326.36250000005</v>
      </c>
      <c r="H1334" s="43">
        <f>IFERROR(G1334*E1331,"")</f>
        <v>0</v>
      </c>
    </row>
    <row r="1335" spans="1:11">
      <c r="A1335" s="28"/>
      <c r="B1335" s="29" t="s">
        <v>2765</v>
      </c>
      <c r="C1335" s="30" t="str">
        <f>IFERROR(_xlfn.XLOOKUP(B1335,Insumo[DESCRIPCION],Insumo[UND],,0),"")</f>
        <v>Un</v>
      </c>
      <c r="D1335" s="31">
        <v>1</v>
      </c>
      <c r="E1335" s="32">
        <f>IFERROR(_xlfn.XLOOKUP($B1335,Insumo[DESCRIPCION],Insumo[VALOR],,0),"")</f>
        <v>440897.10000000003</v>
      </c>
      <c r="F1335" s="33"/>
      <c r="G1335" s="34">
        <f>IFERROR(IF(F1335&gt;=0,D1335*E1335*(1+F1335/100),ABS(D1335*E1335/F1335)),"")</f>
        <v>440897.10000000003</v>
      </c>
      <c r="H1335" s="43">
        <f>IFERROR(G1335*E1331,"")</f>
        <v>0</v>
      </c>
    </row>
    <row r="1336" spans="1:11">
      <c r="A1336" s="28"/>
      <c r="B1336" s="29" t="s">
        <v>2763</v>
      </c>
      <c r="C1336" s="30" t="str">
        <f>IFERROR(_xlfn.XLOOKUP(B1336,Insumo[DESCRIPCION],Insumo[UND],,0),"")</f>
        <v>Un</v>
      </c>
      <c r="D1336" s="31">
        <v>6</v>
      </c>
      <c r="E1336" s="32">
        <f>IFERROR(_xlfn.XLOOKUP($B1336,Insumo[DESCRIPCION],Insumo[VALOR],,0),"")</f>
        <v>17731.350000000002</v>
      </c>
      <c r="F1336" s="33"/>
      <c r="G1336" s="34">
        <f>IFERROR(IF(F1336&gt;=0,D1336*E1336*(1+F1336/100),ABS(D1336*E1336/F1336)),"")</f>
        <v>106388.1</v>
      </c>
      <c r="H1336" s="43">
        <f>IFERROR(G1336*E1331,"")</f>
        <v>0</v>
      </c>
    </row>
    <row r="1337" spans="1:11">
      <c r="A1337" s="28"/>
      <c r="B1337" s="29" t="s">
        <v>2764</v>
      </c>
      <c r="C1337" s="30" t="str">
        <f>IFERROR(_xlfn.XLOOKUP(B1337,Insumo[DESCRIPCION],Insumo[UND],,0),"")</f>
        <v>Un</v>
      </c>
      <c r="D1337" s="31">
        <v>6</v>
      </c>
      <c r="E1337" s="32">
        <f>IFERROR(_xlfn.XLOOKUP($B1337,Insumo[DESCRIPCION],Insumo[VALOR],,0),"")</f>
        <v>25347</v>
      </c>
      <c r="F1337" s="33"/>
      <c r="G1337" s="34">
        <f>IFERROR(IF(F1337&gt;=0,D1337*E1337*(1+F1337/100),ABS(D1337*E1337/F1337)),"")</f>
        <v>152082</v>
      </c>
      <c r="H1337" s="43">
        <f>IFERROR(G1337*E1331,"")</f>
        <v>0</v>
      </c>
    </row>
    <row r="1338" spans="1:11">
      <c r="A1338" s="28"/>
      <c r="B1338" s="29" t="s">
        <v>2834</v>
      </c>
      <c r="C1338" s="30" t="str">
        <f>IFERROR(_xlfn.XLOOKUP(B1338,Insumo[DESCRIPCION],Insumo[UND],,0),"")</f>
        <v>Un</v>
      </c>
      <c r="D1338" s="31">
        <v>4</v>
      </c>
      <c r="E1338" s="32">
        <f>IFERROR(_xlfn.XLOOKUP($B1338,Insumo[DESCRIPCION],Insumo[VALOR],,0),"")</f>
        <v>6592.9500000000007</v>
      </c>
      <c r="F1338" s="33"/>
      <c r="G1338" s="34">
        <f>IFERROR(IF(F1338&gt;=0,D1338*E1338*(1+F1338/100),ABS(D1338*E1338/F1338)),"")</f>
        <v>26371.800000000003</v>
      </c>
      <c r="H1338" s="43">
        <f>IFERROR(G1338*E1331,"")</f>
        <v>0</v>
      </c>
    </row>
    <row r="1339" spans="1:11">
      <c r="A1339" s="21"/>
      <c r="B1339" s="22" t="s">
        <v>3731</v>
      </c>
      <c r="C1339" s="23"/>
      <c r="D1339" s="24"/>
      <c r="E1339" s="25"/>
      <c r="F1339" s="26"/>
      <c r="G1339" s="27">
        <f>SUM(G1340:G1342)</f>
        <v>4823.9850666428583</v>
      </c>
      <c r="H1339" s="44">
        <f>G1339*E1331</f>
        <v>0</v>
      </c>
    </row>
    <row r="1340" spans="1:11">
      <c r="A1340" s="28"/>
      <c r="B1340" s="29" t="s">
        <v>3626</v>
      </c>
      <c r="C1340" s="30" t="str">
        <f>IFERROR(_xlfn.XLOOKUP(B1340,Equipo[DESCRIPCION],Equipo[UND],,0),"")</f>
        <v>%MO</v>
      </c>
      <c r="D1340" s="31">
        <v>0.05</v>
      </c>
      <c r="E1340" s="32">
        <f>IF(C1340="%MO",G1346,IFERROR(_xlfn.XLOOKUP($B1340,Equipo[DESCRIPCION],Equipo[VALOR],,0),""))</f>
        <v>96479.701332857163</v>
      </c>
      <c r="F1340" s="33"/>
      <c r="G1340" s="34">
        <f>IFERROR(IF(F1340&gt;=0,D1340*E1340*(1+F1340/100),ABS(D1340*E1340/F1340)),"")</f>
        <v>4823.9850666428583</v>
      </c>
      <c r="H1340" s="43">
        <f>IFERROR(G1340*E1331,"")</f>
        <v>0</v>
      </c>
    </row>
    <row r="1341" spans="1:11">
      <c r="A1341" s="28"/>
      <c r="B1341" s="29"/>
      <c r="C1341" s="30" t="str">
        <f>IFERROR(_xlfn.XLOOKUP(B1341,Equipo[DESCRIPCION],Equipo[UND],,0),"")</f>
        <v/>
      </c>
      <c r="D1341" s="31"/>
      <c r="E1341" s="32" t="str">
        <f>IF(C1341="%MO",G1346,IFERROR(_xlfn.XLOOKUP($B1341,Equipo[DESCRIPCION],Equipo[VALOR],,0),""))</f>
        <v/>
      </c>
      <c r="F1341" s="33"/>
      <c r="G1341" s="34" t="str">
        <f>IFERROR(IF(F1341&gt;=0,D1341*E1341*(1+F1341/100),ABS(D1341*E1341/F1341)),"")</f>
        <v/>
      </c>
      <c r="H1341" s="43" t="str">
        <f>IFERROR(G1341*E1331,"")</f>
        <v/>
      </c>
    </row>
    <row r="1342" spans="1:11">
      <c r="A1342" s="28"/>
      <c r="B1342" s="29"/>
      <c r="C1342" s="30" t="str">
        <f>IFERROR(_xlfn.XLOOKUP(B1342,Equipo[DESCRIPCION],Equipo[UND],,0),"")</f>
        <v/>
      </c>
      <c r="D1342" s="31"/>
      <c r="E1342" s="32" t="str">
        <f>IF(C1342="%MO",G1346,IFERROR(_xlfn.XLOOKUP($B1342,Equipo[DESCRIPCION],Equipo[VALOR],,0),""))</f>
        <v/>
      </c>
      <c r="F1342" s="33"/>
      <c r="G1342" s="34" t="str">
        <f>IFERROR(IF(F1342&gt;=0,D1342*E1342*(1+F1342/100),ABS(D1342*E1342/F1342)),"")</f>
        <v/>
      </c>
      <c r="H1342" s="43" t="str">
        <f>IFERROR(G1342*E1331,"")</f>
        <v/>
      </c>
    </row>
    <row r="1343" spans="1:11">
      <c r="A1343" s="21"/>
      <c r="B1343" s="22" t="s">
        <v>2533</v>
      </c>
      <c r="C1343" s="23"/>
      <c r="D1343" s="24"/>
      <c r="E1343" s="25"/>
      <c r="F1343" s="26"/>
      <c r="G1343" s="27">
        <f>SUM(G1344:G1345)</f>
        <v>0</v>
      </c>
      <c r="H1343" s="44">
        <f>G1343*E1331</f>
        <v>0</v>
      </c>
    </row>
    <row r="1344" spans="1:11">
      <c r="A1344" s="28"/>
      <c r="B1344" s="29"/>
      <c r="C1344" s="30" t="str">
        <f>IFERROR(_xlfn.XLOOKUP(B1344,Transporte[DESCRIPCION],Transporte[UND],,0),"")</f>
        <v/>
      </c>
      <c r="D1344" s="31"/>
      <c r="E1344" s="32" t="str">
        <f>IFERROR(_xlfn.XLOOKUP($B1344,Transporte[DESCRIPCION],Transporte[VALOR],,0),"")</f>
        <v/>
      </c>
      <c r="F1344" s="33"/>
      <c r="G1344" s="34" t="str">
        <f>IFERROR(IF(F1344&gt;=0,D1344*E1344*(1+F1344/100),ABS(D1344*E1344/F1344)),"")</f>
        <v/>
      </c>
      <c r="H1344" s="43" t="str">
        <f>IFERROR(G1344*E1331,"")</f>
        <v/>
      </c>
    </row>
    <row r="1345" spans="1:11">
      <c r="A1345" s="28"/>
      <c r="B1345" s="29"/>
      <c r="C1345" s="30" t="str">
        <f>IFERROR(_xlfn.XLOOKUP(B1345,Transporte[DESCRIPCION],Transporte[UND],,0),"")</f>
        <v/>
      </c>
      <c r="D1345" s="31"/>
      <c r="E1345" s="32" t="str">
        <f>IFERROR(_xlfn.XLOOKUP($B1345,Transporte[DESCRIPCION],Transporte[VALOR],,0),"")</f>
        <v/>
      </c>
      <c r="F1345" s="33"/>
      <c r="G1345" s="34" t="str">
        <f>IFERROR(IF(F1345&gt;=0,D1345*E1345*(1+F1345/100),ABS(D1345*E1345/F1345)),"")</f>
        <v/>
      </c>
      <c r="H1345" s="43" t="str">
        <f>IFERROR(G1345*E1331,"")</f>
        <v/>
      </c>
    </row>
    <row r="1346" spans="1:11">
      <c r="A1346" s="21"/>
      <c r="B1346" s="22" t="s">
        <v>3732</v>
      </c>
      <c r="C1346" s="23"/>
      <c r="D1346" s="24"/>
      <c r="E1346" s="25"/>
      <c r="F1346" s="26"/>
      <c r="G1346" s="27">
        <f>SUM(G1347:G1349)</f>
        <v>96479.701332857163</v>
      </c>
      <c r="H1346" s="44">
        <f>G1346*E1331</f>
        <v>0</v>
      </c>
    </row>
    <row r="1347" spans="1:11">
      <c r="A1347" s="28"/>
      <c r="B1347" s="29" t="s">
        <v>3715</v>
      </c>
      <c r="C1347" s="30" t="str">
        <f>IFERROR(_xlfn.XLOOKUP(B1347,MObra[DESCRIPCION],MObra[UN],,0),"")</f>
        <v>día</v>
      </c>
      <c r="D1347" s="31">
        <v>1</v>
      </c>
      <c r="E1347" s="32">
        <f>IFERROR(_xlfn.XLOOKUP($B1347,MObra[DESCRIPCION],MObra[VALOR UNIT],,0),"")</f>
        <v>337678.95466500008</v>
      </c>
      <c r="F1347" s="33">
        <v>-3.5</v>
      </c>
      <c r="G1347" s="34">
        <f>IFERROR(IF(F1347&gt;=0,D1347*E1347*(1+F1347/100),ABS(D1347*E1347/F1347)),"")</f>
        <v>96479.701332857163</v>
      </c>
      <c r="H1347" s="43">
        <f>IFERROR(G1347*E1331,"")</f>
        <v>0</v>
      </c>
    </row>
    <row r="1348" spans="1:11">
      <c r="A1348" s="28"/>
      <c r="B1348" s="29"/>
      <c r="C1348" s="30" t="str">
        <f t="array" ref="C1348">IFERROR(_xlfn.XLOOKUP(B1348,MObra[[#All],[DESCRIPCION]],MObra[[#All],[UN]],,0),"")</f>
        <v/>
      </c>
      <c r="D1348" s="31"/>
      <c r="E1348" s="32" t="str">
        <f>IFERROR(_xlfn.XLOOKUP($B1348,MObra[DESCRIPCION],MObra[VALOR UNIT],,0),"")</f>
        <v/>
      </c>
      <c r="F1348" s="33"/>
      <c r="G1348" s="34" t="str">
        <f>IFERROR(IF(F1348&gt;=0,D1348*E1348*(1+F1348/100),ABS(D1348*E1348/F1348)),"")</f>
        <v/>
      </c>
      <c r="H1348" s="43" t="str">
        <f>IFERROR(G1348*E1331,"")</f>
        <v/>
      </c>
    </row>
    <row r="1349" spans="1:11">
      <c r="A1349" s="35"/>
      <c r="B1349" s="36"/>
      <c r="C1349" s="37" t="str">
        <f t="array" ref="C1349">IFERROR(_xlfn.XLOOKUP(B1349,MObra[[#All],[DESCRIPCION]],MObra[[#All],[UN]],,0),"")</f>
        <v/>
      </c>
      <c r="D1349" s="38"/>
      <c r="E1349" s="39" t="str">
        <f>IFERROR(_xlfn.XLOOKUP($B1349,MObra[DESCRIPCION],MObra[VALOR UNIT],,0),"")</f>
        <v/>
      </c>
      <c r="F1349" s="40"/>
      <c r="G1349" s="41" t="str">
        <f>IFERROR(IF(F1349&gt;=0,D1349*E1349*(1+F1349/100),ABS(D1349*E1349/F1349)),"")</f>
        <v/>
      </c>
      <c r="H1349" s="42" t="str">
        <f>IFERROR(G1349*E1331,"")</f>
        <v/>
      </c>
    </row>
    <row r="1350" spans="1:11" ht="12.75" customHeight="1" thickTop="1" thickBot="1"/>
    <row r="1351" spans="1:11" ht="26.25" thickTop="1" thickBot="1">
      <c r="A1351" s="6" t="s">
        <v>1011</v>
      </c>
      <c r="B1351" s="7" t="str">
        <f>VLOOKUP($A1351,Presupuesto!$A:$D,2,FALSE())</f>
        <v>Tablero de incrustar con puerta y con espacio para totalizador. Trifásico de 18-24 circuitos, 225 amperios. Certificación RETIE</v>
      </c>
      <c r="C1351" s="8" t="str">
        <f>VLOOKUP($A1351,Presupuesto!$A:$D,3,FALSE())</f>
        <v>Un</v>
      </c>
      <c r="D1351" s="9"/>
      <c r="E1351" s="10">
        <f>VLOOKUP($A1351,Presupuesto!$A:$D,4,FALSE())</f>
        <v>0</v>
      </c>
      <c r="F1351" s="11" t="s">
        <v>2589</v>
      </c>
      <c r="G1351" s="12">
        <f>SUM(G1353:G1369)/2</f>
        <v>1520527.7569994535</v>
      </c>
      <c r="H1351" s="13">
        <f>ROUND(SUM(H1353:H1369),0)/2</f>
        <v>0</v>
      </c>
      <c r="I1351" s="10">
        <f>VLOOKUP(A1351,Presupuesto!$A:$F,6,0)</f>
        <v>0</v>
      </c>
      <c r="J1351" s="10">
        <f>+H1351-I1351</f>
        <v>0</v>
      </c>
      <c r="K1351" s="46">
        <f>+H1351-G1351*E1351</f>
        <v>0</v>
      </c>
    </row>
    <row r="1352" spans="1:11">
      <c r="A1352" s="14"/>
      <c r="B1352" s="15" t="s">
        <v>2586</v>
      </c>
      <c r="C1352" s="15" t="s">
        <v>5</v>
      </c>
      <c r="D1352" s="16" t="s">
        <v>6</v>
      </c>
      <c r="E1352" s="17" t="s">
        <v>7</v>
      </c>
      <c r="F1352" s="18" t="s">
        <v>3728</v>
      </c>
      <c r="G1352" s="19" t="s">
        <v>3729</v>
      </c>
      <c r="H1352" s="20" t="s">
        <v>3797</v>
      </c>
    </row>
    <row r="1353" spans="1:11">
      <c r="A1353" s="21"/>
      <c r="B1353" s="22" t="s">
        <v>3730</v>
      </c>
      <c r="C1353" s="23"/>
      <c r="D1353" s="24"/>
      <c r="E1353" s="25"/>
      <c r="F1353" s="26"/>
      <c r="G1353" s="27">
        <f>SUM(G1354:G1358)</f>
        <v>1409726.85</v>
      </c>
      <c r="H1353" s="27">
        <f>IFERROR(G1353*E1351,"")</f>
        <v>0</v>
      </c>
    </row>
    <row r="1354" spans="1:11" ht="25.5">
      <c r="A1354" s="28"/>
      <c r="B1354" s="29" t="s">
        <v>3348</v>
      </c>
      <c r="C1354" s="30" t="str">
        <f>IFERROR(_xlfn.XLOOKUP(B1354,Insumo[DESCRIPCION],Insumo[UND],,0),"")</f>
        <v>Un</v>
      </c>
      <c r="D1354" s="31">
        <v>1</v>
      </c>
      <c r="E1354" s="32">
        <f>IFERROR(_xlfn.XLOOKUP($B1354,Insumo[DESCRIPCION],Insumo[VALOR],,0),"")</f>
        <v>577599.75</v>
      </c>
      <c r="F1354" s="33"/>
      <c r="G1354" s="34">
        <f>IFERROR(IF(F1354&gt;=0,D1354*E1354*(1+F1354/100),ABS(D1354*E1354/F1354)),"")</f>
        <v>577599.75</v>
      </c>
      <c r="H1354" s="43">
        <f>IFERROR(G1354*E1351,"")</f>
        <v>0</v>
      </c>
    </row>
    <row r="1355" spans="1:11">
      <c r="A1355" s="28"/>
      <c r="B1355" s="29" t="s">
        <v>2765</v>
      </c>
      <c r="C1355" s="30" t="str">
        <f>IFERROR(_xlfn.XLOOKUP(B1355,Insumo[DESCRIPCION],Insumo[UND],,0),"")</f>
        <v>Un</v>
      </c>
      <c r="D1355" s="31">
        <v>1</v>
      </c>
      <c r="E1355" s="32">
        <f>IFERROR(_xlfn.XLOOKUP($B1355,Insumo[DESCRIPCION],Insumo[VALOR],,0),"")</f>
        <v>440897.10000000003</v>
      </c>
      <c r="F1355" s="33"/>
      <c r="G1355" s="34">
        <f>IFERROR(IF(F1355&gt;=0,D1355*E1355*(1+F1355/100),ABS(D1355*E1355/F1355)),"")</f>
        <v>440897.10000000003</v>
      </c>
      <c r="H1355" s="43">
        <f>IFERROR(G1355*E1351,"")</f>
        <v>0</v>
      </c>
    </row>
    <row r="1356" spans="1:11">
      <c r="A1356" s="28"/>
      <c r="B1356" s="29" t="s">
        <v>2763</v>
      </c>
      <c r="C1356" s="30" t="str">
        <f>IFERROR(_xlfn.XLOOKUP(B1356,Insumo[DESCRIPCION],Insumo[UND],,0),"")</f>
        <v>Un</v>
      </c>
      <c r="D1356" s="31">
        <v>12</v>
      </c>
      <c r="E1356" s="32">
        <f>IFERROR(_xlfn.XLOOKUP($B1356,Insumo[DESCRIPCION],Insumo[VALOR],,0),"")</f>
        <v>17731.350000000002</v>
      </c>
      <c r="F1356" s="33"/>
      <c r="G1356" s="34">
        <f>IFERROR(IF(F1356&gt;=0,D1356*E1356*(1+F1356/100),ABS(D1356*E1356/F1356)),"")</f>
        <v>212776.2</v>
      </c>
      <c r="H1356" s="43">
        <f>IFERROR(G1356*E1351,"")</f>
        <v>0</v>
      </c>
    </row>
    <row r="1357" spans="1:11">
      <c r="A1357" s="28"/>
      <c r="B1357" s="29" t="s">
        <v>2764</v>
      </c>
      <c r="C1357" s="30" t="str">
        <f>IFERROR(_xlfn.XLOOKUP(B1357,Insumo[DESCRIPCION],Insumo[UND],,0),"")</f>
        <v>Un</v>
      </c>
      <c r="D1357" s="31">
        <v>6</v>
      </c>
      <c r="E1357" s="32">
        <f>IFERROR(_xlfn.XLOOKUP($B1357,Insumo[DESCRIPCION],Insumo[VALOR],,0),"")</f>
        <v>25347</v>
      </c>
      <c r="F1357" s="33"/>
      <c r="G1357" s="34">
        <f>IFERROR(IF(F1357&gt;=0,D1357*E1357*(1+F1357/100),ABS(D1357*E1357/F1357)),"")</f>
        <v>152082</v>
      </c>
      <c r="H1357" s="43">
        <f>IFERROR(G1357*E1351,"")</f>
        <v>0</v>
      </c>
    </row>
    <row r="1358" spans="1:11">
      <c r="A1358" s="28"/>
      <c r="B1358" s="29" t="s">
        <v>2834</v>
      </c>
      <c r="C1358" s="30" t="str">
        <f>IFERROR(_xlfn.XLOOKUP(B1358,Insumo[DESCRIPCION],Insumo[UND],,0),"")</f>
        <v>Un</v>
      </c>
      <c r="D1358" s="31">
        <v>4</v>
      </c>
      <c r="E1358" s="32">
        <f>IFERROR(_xlfn.XLOOKUP($B1358,Insumo[DESCRIPCION],Insumo[VALOR],,0),"")</f>
        <v>6592.9500000000007</v>
      </c>
      <c r="F1358" s="33"/>
      <c r="G1358" s="34">
        <f>IFERROR(IF(F1358&gt;=0,D1358*E1358*(1+F1358/100),ABS(D1358*E1358/F1358)),"")</f>
        <v>26371.800000000003</v>
      </c>
      <c r="H1358" s="43">
        <f>IFERROR(G1358*E1351,"")</f>
        <v>0</v>
      </c>
    </row>
    <row r="1359" spans="1:11">
      <c r="A1359" s="21"/>
      <c r="B1359" s="22" t="s">
        <v>3731</v>
      </c>
      <c r="C1359" s="23"/>
      <c r="D1359" s="24"/>
      <c r="E1359" s="25"/>
      <c r="F1359" s="26"/>
      <c r="G1359" s="27">
        <f>SUM(G1360:G1362)</f>
        <v>5276.2336666406263</v>
      </c>
      <c r="H1359" s="44">
        <f>G1359*E1351</f>
        <v>0</v>
      </c>
    </row>
    <row r="1360" spans="1:11">
      <c r="A1360" s="28"/>
      <c r="B1360" s="29" t="s">
        <v>3626</v>
      </c>
      <c r="C1360" s="30" t="str">
        <f>IFERROR(_xlfn.XLOOKUP(B1360,Equipo[DESCRIPCION],Equipo[UND],,0),"")</f>
        <v>%MO</v>
      </c>
      <c r="D1360" s="31">
        <v>0.05</v>
      </c>
      <c r="E1360" s="32">
        <f>IF(C1360="%MO",G1366,IFERROR(_xlfn.XLOOKUP($B1360,Equipo[DESCRIPCION],Equipo[VALOR],,0),""))</f>
        <v>105524.67333281253</v>
      </c>
      <c r="F1360" s="33"/>
      <c r="G1360" s="34">
        <f>IFERROR(IF(F1360&gt;=0,D1360*E1360*(1+F1360/100),ABS(D1360*E1360/F1360)),"")</f>
        <v>5276.2336666406263</v>
      </c>
      <c r="H1360" s="43">
        <f>IFERROR(G1360*E1351,"")</f>
        <v>0</v>
      </c>
    </row>
    <row r="1361" spans="1:11">
      <c r="A1361" s="28"/>
      <c r="B1361" s="29"/>
      <c r="C1361" s="30" t="str">
        <f>IFERROR(_xlfn.XLOOKUP(B1361,Equipo[DESCRIPCION],Equipo[UND],,0),"")</f>
        <v/>
      </c>
      <c r="D1361" s="31"/>
      <c r="E1361" s="32" t="str">
        <f>IF(C1361="%MO",G1366,IFERROR(_xlfn.XLOOKUP($B1361,Equipo[DESCRIPCION],Equipo[VALOR],,0),""))</f>
        <v/>
      </c>
      <c r="F1361" s="33"/>
      <c r="G1361" s="34" t="str">
        <f>IFERROR(IF(F1361&gt;=0,D1361*E1361*(1+F1361/100),ABS(D1361*E1361/F1361)),"")</f>
        <v/>
      </c>
      <c r="H1361" s="43" t="str">
        <f>IFERROR(G1361*E1351,"")</f>
        <v/>
      </c>
    </row>
    <row r="1362" spans="1:11">
      <c r="A1362" s="28"/>
      <c r="B1362" s="29"/>
      <c r="C1362" s="30" t="str">
        <f>IFERROR(_xlfn.XLOOKUP(B1362,Equipo[DESCRIPCION],Equipo[UND],,0),"")</f>
        <v/>
      </c>
      <c r="D1362" s="31"/>
      <c r="E1362" s="32" t="str">
        <f>IF(C1362="%MO",G1366,IFERROR(_xlfn.XLOOKUP($B1362,Equipo[DESCRIPCION],Equipo[VALOR],,0),""))</f>
        <v/>
      </c>
      <c r="F1362" s="33"/>
      <c r="G1362" s="34" t="str">
        <f>IFERROR(IF(F1362&gt;=0,D1362*E1362*(1+F1362/100),ABS(D1362*E1362/F1362)),"")</f>
        <v/>
      </c>
      <c r="H1362" s="43" t="str">
        <f>IFERROR(G1362*E1351,"")</f>
        <v/>
      </c>
    </row>
    <row r="1363" spans="1:11">
      <c r="A1363" s="21"/>
      <c r="B1363" s="22" t="s">
        <v>2533</v>
      </c>
      <c r="C1363" s="23"/>
      <c r="D1363" s="24"/>
      <c r="E1363" s="25"/>
      <c r="F1363" s="26"/>
      <c r="G1363" s="27">
        <f>SUM(G1364:G1365)</f>
        <v>0</v>
      </c>
      <c r="H1363" s="44">
        <f>G1363*E1351</f>
        <v>0</v>
      </c>
    </row>
    <row r="1364" spans="1:11">
      <c r="A1364" s="28"/>
      <c r="B1364" s="29"/>
      <c r="C1364" s="30" t="str">
        <f>IFERROR(_xlfn.XLOOKUP(B1364,Transporte[DESCRIPCION],Transporte[UND],,0),"")</f>
        <v/>
      </c>
      <c r="D1364" s="31"/>
      <c r="E1364" s="32" t="str">
        <f>IFERROR(_xlfn.XLOOKUP($B1364,Transporte[DESCRIPCION],Transporte[VALOR],,0),"")</f>
        <v/>
      </c>
      <c r="F1364" s="33"/>
      <c r="G1364" s="34" t="str">
        <f>IFERROR(IF(F1364&gt;=0,D1364*E1364*(1+F1364/100),ABS(D1364*E1364/F1364)),"")</f>
        <v/>
      </c>
      <c r="H1364" s="43" t="str">
        <f>IFERROR(G1364*E1351,"")</f>
        <v/>
      </c>
    </row>
    <row r="1365" spans="1:11">
      <c r="A1365" s="28"/>
      <c r="B1365" s="29"/>
      <c r="C1365" s="30" t="str">
        <f>IFERROR(_xlfn.XLOOKUP(B1365,Transporte[DESCRIPCION],Transporte[UND],,0),"")</f>
        <v/>
      </c>
      <c r="D1365" s="31"/>
      <c r="E1365" s="32" t="str">
        <f>IFERROR(_xlfn.XLOOKUP($B1365,Transporte[DESCRIPCION],Transporte[VALOR],,0),"")</f>
        <v/>
      </c>
      <c r="F1365" s="33"/>
      <c r="G1365" s="34" t="str">
        <f>IFERROR(IF(F1365&gt;=0,D1365*E1365*(1+F1365/100),ABS(D1365*E1365/F1365)),"")</f>
        <v/>
      </c>
      <c r="H1365" s="43" t="str">
        <f>IFERROR(G1365*E1351,"")</f>
        <v/>
      </c>
    </row>
    <row r="1366" spans="1:11">
      <c r="A1366" s="21"/>
      <c r="B1366" s="22" t="s">
        <v>3732</v>
      </c>
      <c r="C1366" s="23"/>
      <c r="D1366" s="24"/>
      <c r="E1366" s="25"/>
      <c r="F1366" s="26"/>
      <c r="G1366" s="27">
        <f>SUM(G1367:G1369)</f>
        <v>105524.67333281253</v>
      </c>
      <c r="H1366" s="44">
        <f>G1366*E1351</f>
        <v>0</v>
      </c>
    </row>
    <row r="1367" spans="1:11">
      <c r="A1367" s="28"/>
      <c r="B1367" s="29" t="s">
        <v>3715</v>
      </c>
      <c r="C1367" s="30" t="str">
        <f>IFERROR(_xlfn.XLOOKUP(B1367,MObra[DESCRIPCION],MObra[UN],,0),"")</f>
        <v>día</v>
      </c>
      <c r="D1367" s="31">
        <v>1</v>
      </c>
      <c r="E1367" s="32">
        <f>IFERROR(_xlfn.XLOOKUP($B1367,MObra[DESCRIPCION],MObra[VALOR UNIT],,0),"")</f>
        <v>337678.95466500008</v>
      </c>
      <c r="F1367" s="33">
        <v>-3.2</v>
      </c>
      <c r="G1367" s="34">
        <f>IFERROR(IF(F1367&gt;=0,D1367*E1367*(1+F1367/100),ABS(D1367*E1367/F1367)),"")</f>
        <v>105524.67333281253</v>
      </c>
      <c r="H1367" s="43">
        <f>IFERROR(G1367*E1351,"")</f>
        <v>0</v>
      </c>
    </row>
    <row r="1368" spans="1:11">
      <c r="A1368" s="28"/>
      <c r="B1368" s="29"/>
      <c r="C1368" s="30" t="str">
        <f t="array" ref="C1368">IFERROR(_xlfn.XLOOKUP(B1368,MObra[[#All],[DESCRIPCION]],MObra[[#All],[UN]],,0),"")</f>
        <v/>
      </c>
      <c r="D1368" s="31"/>
      <c r="E1368" s="32" t="str">
        <f>IFERROR(_xlfn.XLOOKUP($B1368,MObra[DESCRIPCION],MObra[VALOR UNIT],,0),"")</f>
        <v/>
      </c>
      <c r="F1368" s="33"/>
      <c r="G1368" s="34" t="str">
        <f>IFERROR(IF(F1368&gt;=0,D1368*E1368*(1+F1368/100),ABS(D1368*E1368/F1368)),"")</f>
        <v/>
      </c>
      <c r="H1368" s="43" t="str">
        <f>IFERROR(G1368*E1351,"")</f>
        <v/>
      </c>
    </row>
    <row r="1369" spans="1:11">
      <c r="A1369" s="35"/>
      <c r="B1369" s="36"/>
      <c r="C1369" s="37" t="str">
        <f t="array" ref="C1369">IFERROR(_xlfn.XLOOKUP(B1369,MObra[[#All],[DESCRIPCION]],MObra[[#All],[UN]],,0),"")</f>
        <v/>
      </c>
      <c r="D1369" s="38"/>
      <c r="E1369" s="39" t="str">
        <f>IFERROR(_xlfn.XLOOKUP($B1369,MObra[DESCRIPCION],MObra[VALOR UNIT],,0),"")</f>
        <v/>
      </c>
      <c r="F1369" s="40"/>
      <c r="G1369" s="41" t="str">
        <f>IFERROR(IF(F1369&gt;=0,D1369*E1369*(1+F1369/100),ABS(D1369*E1369/F1369)),"")</f>
        <v/>
      </c>
      <c r="H1369" s="42" t="str">
        <f>IFERROR(G1369*E1351,"")</f>
        <v/>
      </c>
    </row>
    <row r="1370" spans="1:11" ht="12.75" customHeight="1" thickTop="1" thickBot="1"/>
    <row r="1371" spans="1:11" ht="26.25" thickTop="1" thickBot="1">
      <c r="A1371" s="6" t="s">
        <v>1013</v>
      </c>
      <c r="B1371" s="7" t="str">
        <f>VLOOKUP($A1371,Presupuesto!$A:$D,2,FALSE())</f>
        <v>Tablero de incrustar con puerta y con espacio para totalizador. Trifásico de 24-30 circuitos, 225 amperios. Certificación RETIE</v>
      </c>
      <c r="C1371" s="8" t="str">
        <f>VLOOKUP($A1371,Presupuesto!$A:$D,3,FALSE())</f>
        <v>Un</v>
      </c>
      <c r="D1371" s="9"/>
      <c r="E1371" s="10">
        <f>VLOOKUP($A1371,Presupuesto!$A:$D,4,FALSE())</f>
        <v>0</v>
      </c>
      <c r="F1371" s="11" t="s">
        <v>2589</v>
      </c>
      <c r="G1371" s="12">
        <f>SUM(G1373:G1389)/2</f>
        <v>1723619.7841327498</v>
      </c>
      <c r="H1371" s="13">
        <f>ROUND(SUM(H1373:H1389),0)/2</f>
        <v>0</v>
      </c>
      <c r="I1371" s="10">
        <f>VLOOKUP(A1371,Presupuesto!$A:$F,6,0)</f>
        <v>0</v>
      </c>
      <c r="J1371" s="10">
        <f>+H1371-I1371</f>
        <v>0</v>
      </c>
      <c r="K1371" s="46">
        <f>+H1371-G1371*E1371</f>
        <v>0</v>
      </c>
    </row>
    <row r="1372" spans="1:11">
      <c r="A1372" s="14"/>
      <c r="B1372" s="15" t="s">
        <v>2586</v>
      </c>
      <c r="C1372" s="15" t="s">
        <v>5</v>
      </c>
      <c r="D1372" s="16" t="s">
        <v>6</v>
      </c>
      <c r="E1372" s="17" t="s">
        <v>7</v>
      </c>
      <c r="F1372" s="18" t="s">
        <v>3728</v>
      </c>
      <c r="G1372" s="19" t="s">
        <v>3729</v>
      </c>
      <c r="H1372" s="20" t="s">
        <v>3797</v>
      </c>
    </row>
    <row r="1373" spans="1:11">
      <c r="A1373" s="21"/>
      <c r="B1373" s="22" t="s">
        <v>3730</v>
      </c>
      <c r="C1373" s="23"/>
      <c r="D1373" s="24"/>
      <c r="E1373" s="25"/>
      <c r="F1373" s="26"/>
      <c r="G1373" s="27">
        <f>SUM(G1374:G1378)</f>
        <v>1605432.1500000001</v>
      </c>
      <c r="H1373" s="27">
        <f>IFERROR(G1373*E1371,"")</f>
        <v>0</v>
      </c>
    </row>
    <row r="1374" spans="1:11" ht="25.5">
      <c r="A1374" s="28"/>
      <c r="B1374" s="29" t="s">
        <v>3350</v>
      </c>
      <c r="C1374" s="30" t="str">
        <f>IFERROR(_xlfn.XLOOKUP(B1374,Insumo[DESCRIPCION],Insumo[UND],,0),"")</f>
        <v>Un</v>
      </c>
      <c r="D1374" s="31">
        <v>1</v>
      </c>
      <c r="E1374" s="32">
        <f>IFERROR(_xlfn.XLOOKUP($B1374,Insumo[DESCRIPCION],Insumo[VALOR],,0),"")</f>
        <v>666916.95000000007</v>
      </c>
      <c r="F1374" s="33"/>
      <c r="G1374" s="34">
        <f>IFERROR(IF(F1374&gt;=0,D1374*E1374*(1+F1374/100),ABS(D1374*E1374/F1374)),"")</f>
        <v>666916.95000000007</v>
      </c>
      <c r="H1374" s="43">
        <f>IFERROR(G1374*E1371,"")</f>
        <v>0</v>
      </c>
    </row>
    <row r="1375" spans="1:11">
      <c r="A1375" s="28"/>
      <c r="B1375" s="29" t="s">
        <v>2765</v>
      </c>
      <c r="C1375" s="30" t="str">
        <f>IFERROR(_xlfn.XLOOKUP(B1375,Insumo[DESCRIPCION],Insumo[UND],,0),"")</f>
        <v>Un</v>
      </c>
      <c r="D1375" s="31">
        <v>1</v>
      </c>
      <c r="E1375" s="32">
        <f>IFERROR(_xlfn.XLOOKUP($B1375,Insumo[DESCRIPCION],Insumo[VALOR],,0),"")</f>
        <v>440897.10000000003</v>
      </c>
      <c r="F1375" s="33"/>
      <c r="G1375" s="34">
        <f>IFERROR(IF(F1375&gt;=0,D1375*E1375*(1+F1375/100),ABS(D1375*E1375/F1375)),"")</f>
        <v>440897.10000000003</v>
      </c>
      <c r="H1375" s="43">
        <f>IFERROR(G1375*E1371,"")</f>
        <v>0</v>
      </c>
    </row>
    <row r="1376" spans="1:11">
      <c r="A1376" s="28"/>
      <c r="B1376" s="29" t="s">
        <v>2763</v>
      </c>
      <c r="C1376" s="30" t="str">
        <f>IFERROR(_xlfn.XLOOKUP(B1376,Insumo[DESCRIPCION],Insumo[UND],,0),"")</f>
        <v>Un</v>
      </c>
      <c r="D1376" s="31">
        <v>18</v>
      </c>
      <c r="E1376" s="32">
        <f>IFERROR(_xlfn.XLOOKUP($B1376,Insumo[DESCRIPCION],Insumo[VALOR],,0),"")</f>
        <v>17731.350000000002</v>
      </c>
      <c r="F1376" s="33"/>
      <c r="G1376" s="34">
        <f>IFERROR(IF(F1376&gt;=0,D1376*E1376*(1+F1376/100),ABS(D1376*E1376/F1376)),"")</f>
        <v>319164.30000000005</v>
      </c>
      <c r="H1376" s="43">
        <f>IFERROR(G1376*E1371,"")</f>
        <v>0</v>
      </c>
    </row>
    <row r="1377" spans="1:11">
      <c r="A1377" s="28"/>
      <c r="B1377" s="29" t="s">
        <v>2764</v>
      </c>
      <c r="C1377" s="30" t="str">
        <f>IFERROR(_xlfn.XLOOKUP(B1377,Insumo[DESCRIPCION],Insumo[UND],,0),"")</f>
        <v>Un</v>
      </c>
      <c r="D1377" s="31">
        <v>6</v>
      </c>
      <c r="E1377" s="32">
        <f>IFERROR(_xlfn.XLOOKUP($B1377,Insumo[DESCRIPCION],Insumo[VALOR],,0),"")</f>
        <v>25347</v>
      </c>
      <c r="F1377" s="33"/>
      <c r="G1377" s="34">
        <f>IFERROR(IF(F1377&gt;=0,D1377*E1377*(1+F1377/100),ABS(D1377*E1377/F1377)),"")</f>
        <v>152082</v>
      </c>
      <c r="H1377" s="43">
        <f>IFERROR(G1377*E1371,"")</f>
        <v>0</v>
      </c>
    </row>
    <row r="1378" spans="1:11">
      <c r="A1378" s="28"/>
      <c r="B1378" s="29" t="s">
        <v>2834</v>
      </c>
      <c r="C1378" s="30" t="str">
        <f>IFERROR(_xlfn.XLOOKUP(B1378,Insumo[DESCRIPCION],Insumo[UND],,0),"")</f>
        <v>Un</v>
      </c>
      <c r="D1378" s="31">
        <v>4</v>
      </c>
      <c r="E1378" s="32">
        <f>IFERROR(_xlfn.XLOOKUP($B1378,Insumo[DESCRIPCION],Insumo[VALOR],,0),"")</f>
        <v>6592.9500000000007</v>
      </c>
      <c r="F1378" s="33"/>
      <c r="G1378" s="34">
        <f>IFERROR(IF(F1378&gt;=0,D1378*E1378*(1+F1378/100),ABS(D1378*E1378/F1378)),"")</f>
        <v>26371.800000000003</v>
      </c>
      <c r="H1378" s="43">
        <f>IFERROR(G1378*E1371,"")</f>
        <v>0</v>
      </c>
    </row>
    <row r="1379" spans="1:11">
      <c r="A1379" s="21"/>
      <c r="B1379" s="22" t="s">
        <v>3731</v>
      </c>
      <c r="C1379" s="23"/>
      <c r="D1379" s="24"/>
      <c r="E1379" s="25"/>
      <c r="F1379" s="26"/>
      <c r="G1379" s="27">
        <f>SUM(G1380:G1382)</f>
        <v>5627.9825777500018</v>
      </c>
      <c r="H1379" s="44">
        <f>G1379*E1371</f>
        <v>0</v>
      </c>
    </row>
    <row r="1380" spans="1:11">
      <c r="A1380" s="28"/>
      <c r="B1380" s="29" t="s">
        <v>3626</v>
      </c>
      <c r="C1380" s="30" t="str">
        <f>IFERROR(_xlfn.XLOOKUP(B1380,Equipo[DESCRIPCION],Equipo[UND],,0),"")</f>
        <v>%MO</v>
      </c>
      <c r="D1380" s="31">
        <v>0.05</v>
      </c>
      <c r="E1380" s="32">
        <f>IF(C1380="%MO",G1386,IFERROR(_xlfn.XLOOKUP($B1380,Equipo[DESCRIPCION],Equipo[VALOR],,0),""))</f>
        <v>112559.65155500003</v>
      </c>
      <c r="F1380" s="33"/>
      <c r="G1380" s="34">
        <f>IFERROR(IF(F1380&gt;=0,D1380*E1380*(1+F1380/100),ABS(D1380*E1380/F1380)),"")</f>
        <v>5627.9825777500018</v>
      </c>
      <c r="H1380" s="43">
        <f>IFERROR(G1380*E1371,"")</f>
        <v>0</v>
      </c>
    </row>
    <row r="1381" spans="1:11">
      <c r="A1381" s="28"/>
      <c r="B1381" s="29"/>
      <c r="C1381" s="30" t="str">
        <f>IFERROR(_xlfn.XLOOKUP(B1381,Equipo[DESCRIPCION],Equipo[UND],,0),"")</f>
        <v/>
      </c>
      <c r="D1381" s="31"/>
      <c r="E1381" s="32" t="str">
        <f>IF(C1381="%MO",G1386,IFERROR(_xlfn.XLOOKUP($B1381,Equipo[DESCRIPCION],Equipo[VALOR],,0),""))</f>
        <v/>
      </c>
      <c r="F1381" s="33"/>
      <c r="G1381" s="34" t="str">
        <f>IFERROR(IF(F1381&gt;=0,D1381*E1381*(1+F1381/100),ABS(D1381*E1381/F1381)),"")</f>
        <v/>
      </c>
      <c r="H1381" s="43" t="str">
        <f>IFERROR(G1381*E1371,"")</f>
        <v/>
      </c>
    </row>
    <row r="1382" spans="1:11">
      <c r="A1382" s="28"/>
      <c r="B1382" s="29"/>
      <c r="C1382" s="30" t="str">
        <f>IFERROR(_xlfn.XLOOKUP(B1382,Equipo[DESCRIPCION],Equipo[UND],,0),"")</f>
        <v/>
      </c>
      <c r="D1382" s="31"/>
      <c r="E1382" s="32" t="str">
        <f>IF(C1382="%MO",G1386,IFERROR(_xlfn.XLOOKUP($B1382,Equipo[DESCRIPCION],Equipo[VALOR],,0),""))</f>
        <v/>
      </c>
      <c r="F1382" s="33"/>
      <c r="G1382" s="34" t="str">
        <f>IFERROR(IF(F1382&gt;=0,D1382*E1382*(1+F1382/100),ABS(D1382*E1382/F1382)),"")</f>
        <v/>
      </c>
      <c r="H1382" s="43" t="str">
        <f>IFERROR(G1382*E1371,"")</f>
        <v/>
      </c>
    </row>
    <row r="1383" spans="1:11">
      <c r="A1383" s="21"/>
      <c r="B1383" s="22" t="s">
        <v>2533</v>
      </c>
      <c r="C1383" s="23"/>
      <c r="D1383" s="24"/>
      <c r="E1383" s="25"/>
      <c r="F1383" s="26"/>
      <c r="G1383" s="27">
        <f>SUM(G1384:G1385)</f>
        <v>0</v>
      </c>
      <c r="H1383" s="44">
        <f>G1383*E1371</f>
        <v>0</v>
      </c>
    </row>
    <row r="1384" spans="1:11">
      <c r="A1384" s="28"/>
      <c r="B1384" s="29"/>
      <c r="C1384" s="30" t="str">
        <f>IFERROR(_xlfn.XLOOKUP(B1384,Transporte[DESCRIPCION],Transporte[UND],,0),"")</f>
        <v/>
      </c>
      <c r="D1384" s="31"/>
      <c r="E1384" s="32" t="str">
        <f>IFERROR(_xlfn.XLOOKUP($B1384,Transporte[DESCRIPCION],Transporte[VALOR],,0),"")</f>
        <v/>
      </c>
      <c r="F1384" s="33"/>
      <c r="G1384" s="34" t="str">
        <f>IFERROR(IF(F1384&gt;=0,D1384*E1384*(1+F1384/100),ABS(D1384*E1384/F1384)),"")</f>
        <v/>
      </c>
      <c r="H1384" s="43" t="str">
        <f>IFERROR(G1384*E1371,"")</f>
        <v/>
      </c>
    </row>
    <row r="1385" spans="1:11">
      <c r="A1385" s="28"/>
      <c r="B1385" s="29"/>
      <c r="C1385" s="30" t="str">
        <f>IFERROR(_xlfn.XLOOKUP(B1385,Transporte[DESCRIPCION],Transporte[UND],,0),"")</f>
        <v/>
      </c>
      <c r="D1385" s="31"/>
      <c r="E1385" s="32" t="str">
        <f>IFERROR(_xlfn.XLOOKUP($B1385,Transporte[DESCRIPCION],Transporte[VALOR],,0),"")</f>
        <v/>
      </c>
      <c r="F1385" s="33"/>
      <c r="G1385" s="34" t="str">
        <f>IFERROR(IF(F1385&gt;=0,D1385*E1385*(1+F1385/100),ABS(D1385*E1385/F1385)),"")</f>
        <v/>
      </c>
      <c r="H1385" s="43" t="str">
        <f>IFERROR(G1385*E1371,"")</f>
        <v/>
      </c>
    </row>
    <row r="1386" spans="1:11">
      <c r="A1386" s="21"/>
      <c r="B1386" s="22" t="s">
        <v>3732</v>
      </c>
      <c r="C1386" s="23"/>
      <c r="D1386" s="24"/>
      <c r="E1386" s="25"/>
      <c r="F1386" s="26"/>
      <c r="G1386" s="27">
        <f>SUM(G1387:G1389)</f>
        <v>112559.65155500003</v>
      </c>
      <c r="H1386" s="44">
        <f>G1386*E1371</f>
        <v>0</v>
      </c>
    </row>
    <row r="1387" spans="1:11">
      <c r="A1387" s="28"/>
      <c r="B1387" s="29" t="s">
        <v>3715</v>
      </c>
      <c r="C1387" s="30" t="str">
        <f>IFERROR(_xlfn.XLOOKUP(B1387,MObra[DESCRIPCION],MObra[UN],,0),"")</f>
        <v>día</v>
      </c>
      <c r="D1387" s="31">
        <v>1</v>
      </c>
      <c r="E1387" s="32">
        <f>IFERROR(_xlfn.XLOOKUP($B1387,MObra[DESCRIPCION],MObra[VALOR UNIT],,0),"")</f>
        <v>337678.95466500008</v>
      </c>
      <c r="F1387" s="33">
        <v>-3</v>
      </c>
      <c r="G1387" s="34">
        <f>IFERROR(IF(F1387&gt;=0,D1387*E1387*(1+F1387/100),ABS(D1387*E1387/F1387)),"")</f>
        <v>112559.65155500003</v>
      </c>
      <c r="H1387" s="43">
        <f>IFERROR(G1387*E1371,"")</f>
        <v>0</v>
      </c>
    </row>
    <row r="1388" spans="1:11">
      <c r="A1388" s="28"/>
      <c r="B1388" s="29"/>
      <c r="C1388" s="30" t="str">
        <f t="array" ref="C1388">IFERROR(_xlfn.XLOOKUP(B1388,MObra[[#All],[DESCRIPCION]],MObra[[#All],[UN]],,0),"")</f>
        <v/>
      </c>
      <c r="D1388" s="31"/>
      <c r="E1388" s="32" t="str">
        <f>IFERROR(_xlfn.XLOOKUP($B1388,MObra[DESCRIPCION],MObra[VALOR UNIT],,0),"")</f>
        <v/>
      </c>
      <c r="F1388" s="33"/>
      <c r="G1388" s="34" t="str">
        <f>IFERROR(IF(F1388&gt;=0,D1388*E1388*(1+F1388/100),ABS(D1388*E1388/F1388)),"")</f>
        <v/>
      </c>
      <c r="H1388" s="43" t="str">
        <f>IFERROR(G1388*E1371,"")</f>
        <v/>
      </c>
    </row>
    <row r="1389" spans="1:11">
      <c r="A1389" s="35"/>
      <c r="B1389" s="36"/>
      <c r="C1389" s="37" t="str">
        <f t="array" ref="C1389">IFERROR(_xlfn.XLOOKUP(B1389,MObra[[#All],[DESCRIPCION]],MObra[[#All],[UN]],,0),"")</f>
        <v/>
      </c>
      <c r="D1389" s="38"/>
      <c r="E1389" s="39" t="str">
        <f>IFERROR(_xlfn.XLOOKUP($B1389,MObra[DESCRIPCION],MObra[VALOR UNIT],,0),"")</f>
        <v/>
      </c>
      <c r="F1389" s="40"/>
      <c r="G1389" s="41" t="str">
        <f>IFERROR(IF(F1389&gt;=0,D1389*E1389*(1+F1389/100),ABS(D1389*E1389/F1389)),"")</f>
        <v/>
      </c>
      <c r="H1389" s="42" t="str">
        <f>IFERROR(G1389*E1371,"")</f>
        <v/>
      </c>
    </row>
    <row r="1390" spans="1:11" ht="12.75" customHeight="1" thickTop="1" thickBot="1"/>
    <row r="1391" spans="1:11" ht="26.25" thickTop="1" thickBot="1">
      <c r="A1391" s="6" t="s">
        <v>1015</v>
      </c>
      <c r="B1391" s="7" t="str">
        <f>VLOOKUP($A1391,Presupuesto!$A:$D,2,FALSE())</f>
        <v>Tablero de incrustar con puerta y con espacio para totalizador. Trifásico de 36 circuitos, 225 amperios. Certificación RETIE</v>
      </c>
      <c r="C1391" s="8" t="str">
        <f>VLOOKUP($A1391,Presupuesto!$A:$D,3,FALSE())</f>
        <v>Un</v>
      </c>
      <c r="D1391" s="9"/>
      <c r="E1391" s="10">
        <f>VLOOKUP($A1391,Presupuesto!$A:$D,4,FALSE())</f>
        <v>0</v>
      </c>
      <c r="F1391" s="11" t="s">
        <v>2589</v>
      </c>
      <c r="G1391" s="12">
        <f>SUM(G1393:G1409)/2</f>
        <v>2053974.6484592995</v>
      </c>
      <c r="H1391" s="13">
        <f>ROUND(SUM(H1393:H1409),0)/2</f>
        <v>0</v>
      </c>
      <c r="I1391" s="10">
        <f>VLOOKUP(A1391,Presupuesto!$A:$F,6,0)</f>
        <v>0</v>
      </c>
      <c r="J1391" s="10">
        <f>+H1391-I1391</f>
        <v>0</v>
      </c>
      <c r="K1391" s="46">
        <f>+H1391-G1391*E1391</f>
        <v>0</v>
      </c>
    </row>
    <row r="1392" spans="1:11">
      <c r="A1392" s="14"/>
      <c r="B1392" s="15" t="s">
        <v>2586</v>
      </c>
      <c r="C1392" s="15" t="s">
        <v>5</v>
      </c>
      <c r="D1392" s="16" t="s">
        <v>6</v>
      </c>
      <c r="E1392" s="17" t="s">
        <v>7</v>
      </c>
      <c r="F1392" s="18" t="s">
        <v>3728</v>
      </c>
      <c r="G1392" s="19" t="s">
        <v>3729</v>
      </c>
      <c r="H1392" s="20" t="s">
        <v>3797</v>
      </c>
    </row>
    <row r="1393" spans="1:8">
      <c r="A1393" s="21"/>
      <c r="B1393" s="22" t="s">
        <v>3730</v>
      </c>
      <c r="C1393" s="23"/>
      <c r="D1393" s="24"/>
      <c r="E1393" s="25"/>
      <c r="F1393" s="26"/>
      <c r="G1393" s="27">
        <f>SUM(G1394:G1398)</f>
        <v>1912149.4875</v>
      </c>
      <c r="H1393" s="27">
        <f>IFERROR(G1393*E1391,"")</f>
        <v>0</v>
      </c>
    </row>
    <row r="1394" spans="1:8" ht="25.5">
      <c r="A1394" s="28"/>
      <c r="B1394" s="29" t="s">
        <v>3352</v>
      </c>
      <c r="C1394" s="30" t="str">
        <f>IFERROR(_xlfn.XLOOKUP(B1394,Insumo[DESCRIPCION],Insumo[UND],,0),"")</f>
        <v>Un</v>
      </c>
      <c r="D1394" s="31">
        <v>1</v>
      </c>
      <c r="E1394" s="32">
        <f>IFERROR(_xlfn.XLOOKUP($B1394,Insumo[DESCRIPCION],Insumo[VALOR],,0),"")</f>
        <v>715164.1875</v>
      </c>
      <c r="F1394" s="33"/>
      <c r="G1394" s="34">
        <f>IFERROR(IF(F1394&gt;=0,D1394*E1394*(1+F1394/100),ABS(D1394*E1394/F1394)),"")</f>
        <v>715164.1875</v>
      </c>
      <c r="H1394" s="43">
        <f>IFERROR(G1394*E1391,"")</f>
        <v>0</v>
      </c>
    </row>
    <row r="1395" spans="1:8">
      <c r="A1395" s="28"/>
      <c r="B1395" s="29" t="s">
        <v>2765</v>
      </c>
      <c r="C1395" s="30" t="str">
        <f>IFERROR(_xlfn.XLOOKUP(B1395,Insumo[DESCRIPCION],Insumo[UND],,0),"")</f>
        <v>Un</v>
      </c>
      <c r="D1395" s="31">
        <v>1</v>
      </c>
      <c r="E1395" s="32">
        <f>IFERROR(_xlfn.XLOOKUP($B1395,Insumo[DESCRIPCION],Insumo[VALOR],,0),"")</f>
        <v>440897.10000000003</v>
      </c>
      <c r="F1395" s="33"/>
      <c r="G1395" s="34">
        <f>IFERROR(IF(F1395&gt;=0,D1395*E1395*(1+F1395/100),ABS(D1395*E1395/F1395)),"")</f>
        <v>440897.10000000003</v>
      </c>
      <c r="H1395" s="43">
        <f>IFERROR(G1395*E1391,"")</f>
        <v>0</v>
      </c>
    </row>
    <row r="1396" spans="1:8">
      <c r="A1396" s="28"/>
      <c r="B1396" s="29" t="s">
        <v>2763</v>
      </c>
      <c r="C1396" s="30" t="str">
        <f>IFERROR(_xlfn.XLOOKUP(B1396,Insumo[DESCRIPCION],Insumo[UND],,0),"")</f>
        <v>Un</v>
      </c>
      <c r="D1396" s="31">
        <v>24</v>
      </c>
      <c r="E1396" s="32">
        <f>IFERROR(_xlfn.XLOOKUP($B1396,Insumo[DESCRIPCION],Insumo[VALOR],,0),"")</f>
        <v>17731.350000000002</v>
      </c>
      <c r="F1396" s="33"/>
      <c r="G1396" s="34">
        <f>IFERROR(IF(F1396&gt;=0,D1396*E1396*(1+F1396/100),ABS(D1396*E1396/F1396)),"")</f>
        <v>425552.4</v>
      </c>
      <c r="H1396" s="43">
        <f>IFERROR(G1396*E1391,"")</f>
        <v>0</v>
      </c>
    </row>
    <row r="1397" spans="1:8">
      <c r="A1397" s="28"/>
      <c r="B1397" s="29" t="s">
        <v>2764</v>
      </c>
      <c r="C1397" s="30" t="str">
        <f>IFERROR(_xlfn.XLOOKUP(B1397,Insumo[DESCRIPCION],Insumo[UND],,0),"")</f>
        <v>Un</v>
      </c>
      <c r="D1397" s="31">
        <v>12</v>
      </c>
      <c r="E1397" s="32">
        <f>IFERROR(_xlfn.XLOOKUP($B1397,Insumo[DESCRIPCION],Insumo[VALOR],,0),"")</f>
        <v>25347</v>
      </c>
      <c r="F1397" s="33"/>
      <c r="G1397" s="34">
        <f>IFERROR(IF(F1397&gt;=0,D1397*E1397*(1+F1397/100),ABS(D1397*E1397/F1397)),"")</f>
        <v>304164</v>
      </c>
      <c r="H1397" s="43">
        <f>IFERROR(G1397*E1391,"")</f>
        <v>0</v>
      </c>
    </row>
    <row r="1398" spans="1:8">
      <c r="A1398" s="28"/>
      <c r="B1398" s="29" t="s">
        <v>2834</v>
      </c>
      <c r="C1398" s="30" t="str">
        <f>IFERROR(_xlfn.XLOOKUP(B1398,Insumo[DESCRIPCION],Insumo[UND],,0),"")</f>
        <v>Un</v>
      </c>
      <c r="D1398" s="31">
        <v>4</v>
      </c>
      <c r="E1398" s="32">
        <f>IFERROR(_xlfn.XLOOKUP($B1398,Insumo[DESCRIPCION],Insumo[VALOR],,0),"")</f>
        <v>6592.9500000000007</v>
      </c>
      <c r="F1398" s="33"/>
      <c r="G1398" s="34">
        <f>IFERROR(IF(F1398&gt;=0,D1398*E1398*(1+F1398/100),ABS(D1398*E1398/F1398)),"")</f>
        <v>26371.800000000003</v>
      </c>
      <c r="H1398" s="43">
        <f>IFERROR(G1398*E1391,"")</f>
        <v>0</v>
      </c>
    </row>
    <row r="1399" spans="1:8">
      <c r="A1399" s="21"/>
      <c r="B1399" s="22" t="s">
        <v>3731</v>
      </c>
      <c r="C1399" s="23"/>
      <c r="D1399" s="24"/>
      <c r="E1399" s="25"/>
      <c r="F1399" s="26"/>
      <c r="G1399" s="27">
        <f>SUM(G1400:G1402)</f>
        <v>6753.5790933000017</v>
      </c>
      <c r="H1399" s="44">
        <f>G1399*E1391</f>
        <v>0</v>
      </c>
    </row>
    <row r="1400" spans="1:8">
      <c r="A1400" s="28"/>
      <c r="B1400" s="29" t="s">
        <v>3626</v>
      </c>
      <c r="C1400" s="30" t="str">
        <f>IFERROR(_xlfn.XLOOKUP(B1400,Equipo[DESCRIPCION],Equipo[UND],,0),"")</f>
        <v>%MO</v>
      </c>
      <c r="D1400" s="31">
        <v>0.05</v>
      </c>
      <c r="E1400" s="32">
        <f>IF(C1400="%MO",G1406,IFERROR(_xlfn.XLOOKUP($B1400,Equipo[DESCRIPCION],Equipo[VALOR],,0),""))</f>
        <v>135071.58186600002</v>
      </c>
      <c r="F1400" s="33"/>
      <c r="G1400" s="34">
        <f>IFERROR(IF(F1400&gt;=0,D1400*E1400*(1+F1400/100),ABS(D1400*E1400/F1400)),"")</f>
        <v>6753.5790933000017</v>
      </c>
      <c r="H1400" s="43">
        <f>IFERROR(G1400*E1391,"")</f>
        <v>0</v>
      </c>
    </row>
    <row r="1401" spans="1:8">
      <c r="A1401" s="28"/>
      <c r="B1401" s="29"/>
      <c r="C1401" s="30" t="str">
        <f>IFERROR(_xlfn.XLOOKUP(B1401,Equipo[DESCRIPCION],Equipo[UND],,0),"")</f>
        <v/>
      </c>
      <c r="D1401" s="31"/>
      <c r="E1401" s="32" t="str">
        <f>IF(C1401="%MO",G1406,IFERROR(_xlfn.XLOOKUP($B1401,Equipo[DESCRIPCION],Equipo[VALOR],,0),""))</f>
        <v/>
      </c>
      <c r="F1401" s="33"/>
      <c r="G1401" s="34" t="str">
        <f>IFERROR(IF(F1401&gt;=0,D1401*E1401*(1+F1401/100),ABS(D1401*E1401/F1401)),"")</f>
        <v/>
      </c>
      <c r="H1401" s="43" t="str">
        <f>IFERROR(G1401*E1391,"")</f>
        <v/>
      </c>
    </row>
    <row r="1402" spans="1:8">
      <c r="A1402" s="28"/>
      <c r="B1402" s="29"/>
      <c r="C1402" s="30" t="str">
        <f>IFERROR(_xlfn.XLOOKUP(B1402,Equipo[DESCRIPCION],Equipo[UND],,0),"")</f>
        <v/>
      </c>
      <c r="D1402" s="31"/>
      <c r="E1402" s="32" t="str">
        <f>IF(C1402="%MO",G1406,IFERROR(_xlfn.XLOOKUP($B1402,Equipo[DESCRIPCION],Equipo[VALOR],,0),""))</f>
        <v/>
      </c>
      <c r="F1402" s="33"/>
      <c r="G1402" s="34" t="str">
        <f>IFERROR(IF(F1402&gt;=0,D1402*E1402*(1+F1402/100),ABS(D1402*E1402/F1402)),"")</f>
        <v/>
      </c>
      <c r="H1402" s="43" t="str">
        <f>IFERROR(G1402*E1391,"")</f>
        <v/>
      </c>
    </row>
    <row r="1403" spans="1:8">
      <c r="A1403" s="21"/>
      <c r="B1403" s="22" t="s">
        <v>2533</v>
      </c>
      <c r="C1403" s="23"/>
      <c r="D1403" s="24"/>
      <c r="E1403" s="25"/>
      <c r="F1403" s="26"/>
      <c r="G1403" s="27">
        <f>SUM(G1404:G1405)</f>
        <v>0</v>
      </c>
      <c r="H1403" s="44">
        <f>G1403*E1391</f>
        <v>0</v>
      </c>
    </row>
    <row r="1404" spans="1:8">
      <c r="A1404" s="28"/>
      <c r="B1404" s="29"/>
      <c r="C1404" s="30" t="str">
        <f>IFERROR(_xlfn.XLOOKUP(B1404,Transporte[DESCRIPCION],Transporte[UND],,0),"")</f>
        <v/>
      </c>
      <c r="D1404" s="31"/>
      <c r="E1404" s="32" t="str">
        <f>IFERROR(_xlfn.XLOOKUP($B1404,Transporte[DESCRIPCION],Transporte[VALOR],,0),"")</f>
        <v/>
      </c>
      <c r="F1404" s="33"/>
      <c r="G1404" s="34" t="str">
        <f>IFERROR(IF(F1404&gt;=0,D1404*E1404*(1+F1404/100),ABS(D1404*E1404/F1404)),"")</f>
        <v/>
      </c>
      <c r="H1404" s="43" t="str">
        <f>IFERROR(G1404*E1391,"")</f>
        <v/>
      </c>
    </row>
    <row r="1405" spans="1:8">
      <c r="A1405" s="28"/>
      <c r="B1405" s="29"/>
      <c r="C1405" s="30" t="str">
        <f>IFERROR(_xlfn.XLOOKUP(B1405,Transporte[DESCRIPCION],Transporte[UND],,0),"")</f>
        <v/>
      </c>
      <c r="D1405" s="31"/>
      <c r="E1405" s="32" t="str">
        <f>IFERROR(_xlfn.XLOOKUP($B1405,Transporte[DESCRIPCION],Transporte[VALOR],,0),"")</f>
        <v/>
      </c>
      <c r="F1405" s="33"/>
      <c r="G1405" s="34" t="str">
        <f>IFERROR(IF(F1405&gt;=0,D1405*E1405*(1+F1405/100),ABS(D1405*E1405/F1405)),"")</f>
        <v/>
      </c>
      <c r="H1405" s="43" t="str">
        <f>IFERROR(G1405*E1391,"")</f>
        <v/>
      </c>
    </row>
    <row r="1406" spans="1:8">
      <c r="A1406" s="21"/>
      <c r="B1406" s="22" t="s">
        <v>3732</v>
      </c>
      <c r="C1406" s="23"/>
      <c r="D1406" s="24"/>
      <c r="E1406" s="25"/>
      <c r="F1406" s="26"/>
      <c r="G1406" s="27">
        <f>SUM(G1407:G1409)</f>
        <v>135071.58186600002</v>
      </c>
      <c r="H1406" s="44">
        <f>G1406*E1391</f>
        <v>0</v>
      </c>
    </row>
    <row r="1407" spans="1:8">
      <c r="A1407" s="28"/>
      <c r="B1407" s="29" t="s">
        <v>3715</v>
      </c>
      <c r="C1407" s="30" t="str">
        <f>IFERROR(_xlfn.XLOOKUP(B1407,MObra[DESCRIPCION],MObra[UN],,0),"")</f>
        <v>día</v>
      </c>
      <c r="D1407" s="31">
        <v>1</v>
      </c>
      <c r="E1407" s="32">
        <f>IFERROR(_xlfn.XLOOKUP($B1407,MObra[DESCRIPCION],MObra[VALOR UNIT],,0),"")</f>
        <v>337678.95466500008</v>
      </c>
      <c r="F1407" s="33">
        <v>-2.5</v>
      </c>
      <c r="G1407" s="34">
        <f>IFERROR(IF(F1407&gt;=0,D1407*E1407*(1+F1407/100),ABS(D1407*E1407/F1407)),"")</f>
        <v>135071.58186600002</v>
      </c>
      <c r="H1407" s="43">
        <f>IFERROR(G1407*E1391,"")</f>
        <v>0</v>
      </c>
    </row>
    <row r="1408" spans="1:8">
      <c r="A1408" s="28"/>
      <c r="B1408" s="29"/>
      <c r="C1408" s="30" t="str">
        <f t="array" ref="C1408">IFERROR(_xlfn.XLOOKUP(B1408,MObra[[#All],[DESCRIPCION]],MObra[[#All],[UN]],,0),"")</f>
        <v/>
      </c>
      <c r="D1408" s="31"/>
      <c r="E1408" s="32" t="str">
        <f>IFERROR(_xlfn.XLOOKUP($B1408,MObra[DESCRIPCION],MObra[VALOR UNIT],,0),"")</f>
        <v/>
      </c>
      <c r="F1408" s="33"/>
      <c r="G1408" s="34" t="str">
        <f>IFERROR(IF(F1408&gt;=0,D1408*E1408*(1+F1408/100),ABS(D1408*E1408/F1408)),"")</f>
        <v/>
      </c>
      <c r="H1408" s="43" t="str">
        <f>IFERROR(G1408*E1391,"")</f>
        <v/>
      </c>
    </row>
    <row r="1409" spans="1:11">
      <c r="A1409" s="35"/>
      <c r="B1409" s="36"/>
      <c r="C1409" s="37" t="str">
        <f t="array" ref="C1409">IFERROR(_xlfn.XLOOKUP(B1409,MObra[[#All],[DESCRIPCION]],MObra[[#All],[UN]],,0),"")</f>
        <v/>
      </c>
      <c r="D1409" s="38"/>
      <c r="E1409" s="39" t="str">
        <f>IFERROR(_xlfn.XLOOKUP($B1409,MObra[DESCRIPCION],MObra[VALOR UNIT],,0),"")</f>
        <v/>
      </c>
      <c r="F1409" s="40"/>
      <c r="G1409" s="41" t="str">
        <f>IFERROR(IF(F1409&gt;=0,D1409*E1409*(1+F1409/100),ABS(D1409*E1409/F1409)),"")</f>
        <v/>
      </c>
      <c r="H1409" s="42" t="str">
        <f>IFERROR(G1409*E1391,"")</f>
        <v/>
      </c>
    </row>
    <row r="1410" spans="1:11" ht="12.75" customHeight="1" thickTop="1" thickBot="1"/>
    <row r="1411" spans="1:11" ht="26.25" thickTop="1" thickBot="1">
      <c r="A1411" s="6" t="s">
        <v>1017</v>
      </c>
      <c r="B1411" s="7" t="str">
        <f>VLOOKUP($A1411,Presupuesto!$A:$D,2,FALSE())</f>
        <v>Tablero de incrustar con puerta y con espacio para totalizador. Trifásico de 42 circuitos, 225 amperios. Certificación RETIE</v>
      </c>
      <c r="C1411" s="8" t="str">
        <f>VLOOKUP($A1411,Presupuesto!$A:$D,3,FALSE())</f>
        <v>Un</v>
      </c>
      <c r="D1411" s="9"/>
      <c r="E1411" s="10">
        <f>VLOOKUP($A1411,Presupuesto!$A:$D,4,FALSE())</f>
        <v>0</v>
      </c>
      <c r="F1411" s="11" t="s">
        <v>2589</v>
      </c>
      <c r="G1411" s="12">
        <f>SUM(G1413:G1429)/2</f>
        <v>2238544.0211514132</v>
      </c>
      <c r="H1411" s="13">
        <f>ROUND(SUM(H1413:H1429),0)/2</f>
        <v>0</v>
      </c>
      <c r="I1411" s="10">
        <f>VLOOKUP(A1411,Presupuesto!$A:$F,6,0)</f>
        <v>0</v>
      </c>
      <c r="J1411" s="10">
        <f>+H1411-I1411</f>
        <v>0</v>
      </c>
      <c r="K1411" s="46">
        <f>+H1411-G1411*E1411</f>
        <v>0</v>
      </c>
    </row>
    <row r="1412" spans="1:11">
      <c r="A1412" s="14"/>
      <c r="B1412" s="15" t="s">
        <v>2586</v>
      </c>
      <c r="C1412" s="15" t="s">
        <v>5</v>
      </c>
      <c r="D1412" s="16" t="s">
        <v>6</v>
      </c>
      <c r="E1412" s="17" t="s">
        <v>7</v>
      </c>
      <c r="F1412" s="18" t="s">
        <v>3728</v>
      </c>
      <c r="G1412" s="19" t="s">
        <v>3729</v>
      </c>
      <c r="H1412" s="20" t="s">
        <v>3797</v>
      </c>
    </row>
    <row r="1413" spans="1:11">
      <c r="A1413" s="21"/>
      <c r="B1413" s="22" t="s">
        <v>3730</v>
      </c>
      <c r="C1413" s="23"/>
      <c r="D1413" s="24"/>
      <c r="E1413" s="25"/>
      <c r="F1413" s="26"/>
      <c r="G1413" s="27">
        <f>SUM(G1414:G1418)</f>
        <v>2084386.2375</v>
      </c>
      <c r="H1413" s="27">
        <f>IFERROR(G1413*E1411,"")</f>
        <v>0</v>
      </c>
    </row>
    <row r="1414" spans="1:11" ht="25.5">
      <c r="A1414" s="28"/>
      <c r="B1414" s="29" t="s">
        <v>3353</v>
      </c>
      <c r="C1414" s="30" t="str">
        <f>IFERROR(_xlfn.XLOOKUP(B1414,Insumo[DESCRIPCION],Insumo[UND],,0),"")</f>
        <v>Un</v>
      </c>
      <c r="D1414" s="31">
        <v>1</v>
      </c>
      <c r="E1414" s="32">
        <f>IFERROR(_xlfn.XLOOKUP($B1414,Insumo[DESCRIPCION],Insumo[VALOR],,0),"")</f>
        <v>781012.83750000002</v>
      </c>
      <c r="F1414" s="33"/>
      <c r="G1414" s="34">
        <f>IFERROR(IF(F1414&gt;=0,D1414*E1414*(1+F1414/100),ABS(D1414*E1414/F1414)),"")</f>
        <v>781012.83750000002</v>
      </c>
      <c r="H1414" s="43">
        <f>IFERROR(G1414*E1411,"")</f>
        <v>0</v>
      </c>
    </row>
    <row r="1415" spans="1:11">
      <c r="A1415" s="28"/>
      <c r="B1415" s="29" t="s">
        <v>2765</v>
      </c>
      <c r="C1415" s="30" t="str">
        <f>IFERROR(_xlfn.XLOOKUP(B1415,Insumo[DESCRIPCION],Insumo[UND],,0),"")</f>
        <v>Un</v>
      </c>
      <c r="D1415" s="31">
        <v>1</v>
      </c>
      <c r="E1415" s="32">
        <f>IFERROR(_xlfn.XLOOKUP($B1415,Insumo[DESCRIPCION],Insumo[VALOR],,0),"")</f>
        <v>440897.10000000003</v>
      </c>
      <c r="F1415" s="33"/>
      <c r="G1415" s="34">
        <f>IFERROR(IF(F1415&gt;=0,D1415*E1415*(1+F1415/100),ABS(D1415*E1415/F1415)),"")</f>
        <v>440897.10000000003</v>
      </c>
      <c r="H1415" s="43">
        <f>IFERROR(G1415*E1411,"")</f>
        <v>0</v>
      </c>
    </row>
    <row r="1416" spans="1:11">
      <c r="A1416" s="28"/>
      <c r="B1416" s="29" t="s">
        <v>2763</v>
      </c>
      <c r="C1416" s="30" t="str">
        <f>IFERROR(_xlfn.XLOOKUP(B1416,Insumo[DESCRIPCION],Insumo[UND],,0),"")</f>
        <v>Un</v>
      </c>
      <c r="D1416" s="31">
        <v>30</v>
      </c>
      <c r="E1416" s="32">
        <f>IFERROR(_xlfn.XLOOKUP($B1416,Insumo[DESCRIPCION],Insumo[VALOR],,0),"")</f>
        <v>17731.350000000002</v>
      </c>
      <c r="F1416" s="33"/>
      <c r="G1416" s="34">
        <f>IFERROR(IF(F1416&gt;=0,D1416*E1416*(1+F1416/100),ABS(D1416*E1416/F1416)),"")</f>
        <v>531940.50000000012</v>
      </c>
      <c r="H1416" s="43">
        <f>IFERROR(G1416*E1411,"")</f>
        <v>0</v>
      </c>
    </row>
    <row r="1417" spans="1:11">
      <c r="A1417" s="28"/>
      <c r="B1417" s="29" t="s">
        <v>2764</v>
      </c>
      <c r="C1417" s="30" t="str">
        <f>IFERROR(_xlfn.XLOOKUP(B1417,Insumo[DESCRIPCION],Insumo[UND],,0),"")</f>
        <v>Un</v>
      </c>
      <c r="D1417" s="31">
        <v>12</v>
      </c>
      <c r="E1417" s="32">
        <f>IFERROR(_xlfn.XLOOKUP($B1417,Insumo[DESCRIPCION],Insumo[VALOR],,0),"")</f>
        <v>25347</v>
      </c>
      <c r="F1417" s="33"/>
      <c r="G1417" s="34">
        <f>IFERROR(IF(F1417&gt;=0,D1417*E1417*(1+F1417/100),ABS(D1417*E1417/F1417)),"")</f>
        <v>304164</v>
      </c>
      <c r="H1417" s="43">
        <f>IFERROR(G1417*E1411,"")</f>
        <v>0</v>
      </c>
    </row>
    <row r="1418" spans="1:11">
      <c r="A1418" s="28"/>
      <c r="B1418" s="29" t="s">
        <v>2834</v>
      </c>
      <c r="C1418" s="30" t="str">
        <f>IFERROR(_xlfn.XLOOKUP(B1418,Insumo[DESCRIPCION],Insumo[UND],,0),"")</f>
        <v>Un</v>
      </c>
      <c r="D1418" s="31">
        <v>4</v>
      </c>
      <c r="E1418" s="32">
        <f>IFERROR(_xlfn.XLOOKUP($B1418,Insumo[DESCRIPCION],Insumo[VALOR],,0),"")</f>
        <v>6592.9500000000007</v>
      </c>
      <c r="F1418" s="33"/>
      <c r="G1418" s="34">
        <f>IFERROR(IF(F1418&gt;=0,D1418*E1418*(1+F1418/100),ABS(D1418*E1418/F1418)),"")</f>
        <v>26371.800000000003</v>
      </c>
      <c r="H1418" s="43">
        <f>IFERROR(G1418*E1411,"")</f>
        <v>0</v>
      </c>
    </row>
    <row r="1419" spans="1:11">
      <c r="A1419" s="21"/>
      <c r="B1419" s="22" t="s">
        <v>3731</v>
      </c>
      <c r="C1419" s="23"/>
      <c r="D1419" s="24"/>
      <c r="E1419" s="25"/>
      <c r="F1419" s="26"/>
      <c r="G1419" s="27">
        <f>SUM(G1420:G1422)</f>
        <v>7340.8468405434805</v>
      </c>
      <c r="H1419" s="44">
        <f>G1419*E1411</f>
        <v>0</v>
      </c>
    </row>
    <row r="1420" spans="1:11">
      <c r="A1420" s="28"/>
      <c r="B1420" s="29" t="s">
        <v>3626</v>
      </c>
      <c r="C1420" s="30" t="str">
        <f>IFERROR(_xlfn.XLOOKUP(B1420,Equipo[DESCRIPCION],Equipo[UND],,0),"")</f>
        <v>%MO</v>
      </c>
      <c r="D1420" s="31">
        <v>0.05</v>
      </c>
      <c r="E1420" s="32">
        <f>IF(C1420="%MO",G1426,IFERROR(_xlfn.XLOOKUP($B1420,Equipo[DESCRIPCION],Equipo[VALOR],,0),""))</f>
        <v>146816.93681086961</v>
      </c>
      <c r="F1420" s="33"/>
      <c r="G1420" s="34">
        <f>IFERROR(IF(F1420&gt;=0,D1420*E1420*(1+F1420/100),ABS(D1420*E1420/F1420)),"")</f>
        <v>7340.8468405434805</v>
      </c>
      <c r="H1420" s="43">
        <f>IFERROR(G1420*E1411,"")</f>
        <v>0</v>
      </c>
    </row>
    <row r="1421" spans="1:11">
      <c r="A1421" s="28"/>
      <c r="B1421" s="29"/>
      <c r="C1421" s="30" t="str">
        <f>IFERROR(_xlfn.XLOOKUP(B1421,Equipo[DESCRIPCION],Equipo[UND],,0),"")</f>
        <v/>
      </c>
      <c r="D1421" s="31"/>
      <c r="E1421" s="32" t="str">
        <f>IF(C1421="%MO",G1426,IFERROR(_xlfn.XLOOKUP($B1421,Equipo[DESCRIPCION],Equipo[VALOR],,0),""))</f>
        <v/>
      </c>
      <c r="F1421" s="33"/>
      <c r="G1421" s="34" t="str">
        <f>IFERROR(IF(F1421&gt;=0,D1421*E1421*(1+F1421/100),ABS(D1421*E1421/F1421)),"")</f>
        <v/>
      </c>
      <c r="H1421" s="43" t="str">
        <f>IFERROR(G1421*E1411,"")</f>
        <v/>
      </c>
    </row>
    <row r="1422" spans="1:11">
      <c r="A1422" s="28"/>
      <c r="B1422" s="29"/>
      <c r="C1422" s="30" t="str">
        <f>IFERROR(_xlfn.XLOOKUP(B1422,Equipo[DESCRIPCION],Equipo[UND],,0),"")</f>
        <v/>
      </c>
      <c r="D1422" s="31"/>
      <c r="E1422" s="32" t="str">
        <f>IF(C1422="%MO",G1426,IFERROR(_xlfn.XLOOKUP($B1422,Equipo[DESCRIPCION],Equipo[VALOR],,0),""))</f>
        <v/>
      </c>
      <c r="F1422" s="33"/>
      <c r="G1422" s="34" t="str">
        <f>IFERROR(IF(F1422&gt;=0,D1422*E1422*(1+F1422/100),ABS(D1422*E1422/F1422)),"")</f>
        <v/>
      </c>
      <c r="H1422" s="43" t="str">
        <f>IFERROR(G1422*E1411,"")</f>
        <v/>
      </c>
    </row>
    <row r="1423" spans="1:11">
      <c r="A1423" s="21"/>
      <c r="B1423" s="22" t="s">
        <v>2533</v>
      </c>
      <c r="C1423" s="23"/>
      <c r="D1423" s="24"/>
      <c r="E1423" s="25"/>
      <c r="F1423" s="26"/>
      <c r="G1423" s="27">
        <f>SUM(G1424:G1425)</f>
        <v>0</v>
      </c>
      <c r="H1423" s="44">
        <f>G1423*E1411</f>
        <v>0</v>
      </c>
    </row>
    <row r="1424" spans="1:11">
      <c r="A1424" s="28"/>
      <c r="B1424" s="29"/>
      <c r="C1424" s="30" t="str">
        <f>IFERROR(_xlfn.XLOOKUP(B1424,Transporte[DESCRIPCION],Transporte[UND],,0),"")</f>
        <v/>
      </c>
      <c r="D1424" s="31"/>
      <c r="E1424" s="32" t="str">
        <f>IFERROR(_xlfn.XLOOKUP($B1424,Transporte[DESCRIPCION],Transporte[VALOR],,0),"")</f>
        <v/>
      </c>
      <c r="F1424" s="33"/>
      <c r="G1424" s="34" t="str">
        <f>IFERROR(IF(F1424&gt;=0,D1424*E1424*(1+F1424/100),ABS(D1424*E1424/F1424)),"")</f>
        <v/>
      </c>
      <c r="H1424" s="43" t="str">
        <f>IFERROR(G1424*E1411,"")</f>
        <v/>
      </c>
    </row>
    <row r="1425" spans="1:11">
      <c r="A1425" s="28"/>
      <c r="B1425" s="29"/>
      <c r="C1425" s="30" t="str">
        <f>IFERROR(_xlfn.XLOOKUP(B1425,Transporte[DESCRIPCION],Transporte[UND],,0),"")</f>
        <v/>
      </c>
      <c r="D1425" s="31"/>
      <c r="E1425" s="32" t="str">
        <f>IFERROR(_xlfn.XLOOKUP($B1425,Transporte[DESCRIPCION],Transporte[VALOR],,0),"")</f>
        <v/>
      </c>
      <c r="F1425" s="33"/>
      <c r="G1425" s="34" t="str">
        <f>IFERROR(IF(F1425&gt;=0,D1425*E1425*(1+F1425/100),ABS(D1425*E1425/F1425)),"")</f>
        <v/>
      </c>
      <c r="H1425" s="43" t="str">
        <f>IFERROR(G1425*E1411,"")</f>
        <v/>
      </c>
    </row>
    <row r="1426" spans="1:11">
      <c r="A1426" s="21"/>
      <c r="B1426" s="22" t="s">
        <v>3732</v>
      </c>
      <c r="C1426" s="23"/>
      <c r="D1426" s="24"/>
      <c r="E1426" s="25"/>
      <c r="F1426" s="26"/>
      <c r="G1426" s="27">
        <f>SUM(G1427:G1429)</f>
        <v>146816.93681086961</v>
      </c>
      <c r="H1426" s="44">
        <f>G1426*E1411</f>
        <v>0</v>
      </c>
    </row>
    <row r="1427" spans="1:11">
      <c r="A1427" s="28"/>
      <c r="B1427" s="29" t="s">
        <v>3715</v>
      </c>
      <c r="C1427" s="30" t="str">
        <f>IFERROR(_xlfn.XLOOKUP(B1427,MObra[DESCRIPCION],MObra[UN],,0),"")</f>
        <v>día</v>
      </c>
      <c r="D1427" s="31">
        <v>1</v>
      </c>
      <c r="E1427" s="32">
        <f>IFERROR(_xlfn.XLOOKUP($B1427,MObra[DESCRIPCION],MObra[VALOR UNIT],,0),"")</f>
        <v>337678.95466500008</v>
      </c>
      <c r="F1427" s="33">
        <v>-2.2999999999999998</v>
      </c>
      <c r="G1427" s="34">
        <f>IFERROR(IF(F1427&gt;=0,D1427*E1427*(1+F1427/100),ABS(D1427*E1427/F1427)),"")</f>
        <v>146816.93681086961</v>
      </c>
      <c r="H1427" s="43">
        <f>IFERROR(G1427*E1411,"")</f>
        <v>0</v>
      </c>
    </row>
    <row r="1428" spans="1:11">
      <c r="A1428" s="28"/>
      <c r="B1428" s="29"/>
      <c r="C1428" s="30" t="str">
        <f t="array" ref="C1428">IFERROR(_xlfn.XLOOKUP(B1428,MObra[[#All],[DESCRIPCION]],MObra[[#All],[UN]],,0),"")</f>
        <v/>
      </c>
      <c r="D1428" s="31"/>
      <c r="E1428" s="32" t="str">
        <f>IFERROR(_xlfn.XLOOKUP($B1428,MObra[DESCRIPCION],MObra[VALOR UNIT],,0),"")</f>
        <v/>
      </c>
      <c r="F1428" s="33"/>
      <c r="G1428" s="34" t="str">
        <f>IFERROR(IF(F1428&gt;=0,D1428*E1428*(1+F1428/100),ABS(D1428*E1428/F1428)),"")</f>
        <v/>
      </c>
      <c r="H1428" s="43" t="str">
        <f>IFERROR(G1428*E1411,"")</f>
        <v/>
      </c>
    </row>
    <row r="1429" spans="1:11">
      <c r="A1429" s="35"/>
      <c r="B1429" s="36"/>
      <c r="C1429" s="37" t="str">
        <f t="array" ref="C1429">IFERROR(_xlfn.XLOOKUP(B1429,MObra[[#All],[DESCRIPCION]],MObra[[#All],[UN]],,0),"")</f>
        <v/>
      </c>
      <c r="D1429" s="38"/>
      <c r="E1429" s="39" t="str">
        <f>IFERROR(_xlfn.XLOOKUP($B1429,MObra[DESCRIPCION],MObra[VALOR UNIT],,0),"")</f>
        <v/>
      </c>
      <c r="F1429" s="40"/>
      <c r="G1429" s="41" t="str">
        <f>IFERROR(IF(F1429&gt;=0,D1429*E1429*(1+F1429/100),ABS(D1429*E1429/F1429)),"")</f>
        <v/>
      </c>
      <c r="H1429" s="42" t="str">
        <f>IFERROR(G1429*E1411,"")</f>
        <v/>
      </c>
    </row>
    <row r="1430" spans="1:11" ht="12.75" customHeight="1" thickTop="1" thickBot="1"/>
    <row r="1431" spans="1:11" ht="26.25" thickTop="1" thickBot="1">
      <c r="A1431" s="6" t="s">
        <v>1019</v>
      </c>
      <c r="B1431" s="7" t="str">
        <f>VLOOKUP($A1431,Presupuesto!$A:$D,2,FALSE())</f>
        <v>Tablero de incrustar Monofásico bifilar de 2-4 circuitos, 75 amperios. Certificación RETIE</v>
      </c>
      <c r="C1431" s="8" t="str">
        <f>VLOOKUP($A1431,Presupuesto!$A:$D,3,FALSE())</f>
        <v>Un</v>
      </c>
      <c r="D1431" s="9"/>
      <c r="E1431" s="10">
        <f>VLOOKUP($A1431,Presupuesto!$A:$D,4,FALSE())</f>
        <v>0</v>
      </c>
      <c r="F1431" s="11" t="s">
        <v>2589</v>
      </c>
      <c r="G1431" s="12">
        <f>SUM(G1433:G1449)/2</f>
        <v>255593.08892982561</v>
      </c>
      <c r="H1431" s="13">
        <f>ROUND(SUM(H1433:H1449),0)/2</f>
        <v>0</v>
      </c>
      <c r="I1431" s="10">
        <f>VLOOKUP(A1431,Presupuesto!$A:$F,6,0)</f>
        <v>0</v>
      </c>
      <c r="J1431" s="10">
        <f>+H1431-I1431</f>
        <v>0</v>
      </c>
      <c r="K1431" s="46">
        <f>+H1431-G1431*E1431</f>
        <v>0</v>
      </c>
    </row>
    <row r="1432" spans="1:11">
      <c r="A1432" s="14"/>
      <c r="B1432" s="15" t="s">
        <v>2586</v>
      </c>
      <c r="C1432" s="15" t="s">
        <v>5</v>
      </c>
      <c r="D1432" s="16" t="s">
        <v>6</v>
      </c>
      <c r="E1432" s="17" t="s">
        <v>7</v>
      </c>
      <c r="F1432" s="18" t="s">
        <v>3728</v>
      </c>
      <c r="G1432" s="19" t="s">
        <v>3729</v>
      </c>
      <c r="H1432" s="20" t="s">
        <v>3797</v>
      </c>
    </row>
    <row r="1433" spans="1:11">
      <c r="A1433" s="21"/>
      <c r="B1433" s="22" t="s">
        <v>3730</v>
      </c>
      <c r="C1433" s="23"/>
      <c r="D1433" s="24"/>
      <c r="E1433" s="25"/>
      <c r="F1433" s="26"/>
      <c r="G1433" s="27">
        <f>SUM(G1434:G1438)</f>
        <v>173136.60000000003</v>
      </c>
      <c r="H1433" s="27">
        <f>IFERROR(G1433*E1431,"")</f>
        <v>0</v>
      </c>
    </row>
    <row r="1434" spans="1:11">
      <c r="A1434" s="28"/>
      <c r="B1434" s="135" t="s">
        <v>3339</v>
      </c>
      <c r="C1434" s="30" t="str">
        <f>IFERROR(_xlfn.XLOOKUP(B1434,Insumo[DESCRIPCION],Insumo[UND],,0),"")</f>
        <v>Un</v>
      </c>
      <c r="D1434" s="31">
        <v>1</v>
      </c>
      <c r="E1434" s="32">
        <f>IFERROR(_xlfn.XLOOKUP($B1434,Insumo[DESCRIPCION],Insumo[VALOR],,0),"")</f>
        <v>60608.100000000006</v>
      </c>
      <c r="F1434" s="33"/>
      <c r="G1434" s="34">
        <f>IFERROR(IF(F1434&gt;=0,D1434*E1434*(1+F1434/100),ABS(D1434*E1434/F1434)),"")</f>
        <v>60608.100000000006</v>
      </c>
      <c r="H1434" s="43">
        <f>IFERROR(G1434*E1431,"")</f>
        <v>0</v>
      </c>
    </row>
    <row r="1435" spans="1:11">
      <c r="A1435" s="28"/>
      <c r="B1435" s="29" t="s">
        <v>2763</v>
      </c>
      <c r="C1435" s="30" t="str">
        <f>IFERROR(_xlfn.XLOOKUP(B1435,Insumo[DESCRIPCION],Insumo[UND],,0),"")</f>
        <v>Un</v>
      </c>
      <c r="D1435" s="31">
        <v>2</v>
      </c>
      <c r="E1435" s="32">
        <f>IFERROR(_xlfn.XLOOKUP($B1435,Insumo[DESCRIPCION],Insumo[VALOR],,0),"")</f>
        <v>17731.350000000002</v>
      </c>
      <c r="F1435" s="33"/>
      <c r="G1435" s="34">
        <f>IFERROR(IF(F1435&gt;=0,D1435*E1435*(1+F1435/100),ABS(D1435*E1435/F1435)),"")</f>
        <v>35462.700000000004</v>
      </c>
      <c r="H1435" s="43">
        <f>IFERROR(G1435*E1431,"")</f>
        <v>0</v>
      </c>
    </row>
    <row r="1436" spans="1:11">
      <c r="A1436" s="28"/>
      <c r="B1436" s="29" t="s">
        <v>2764</v>
      </c>
      <c r="C1436" s="30" t="str">
        <f>IFERROR(_xlfn.XLOOKUP(B1436,Insumo[DESCRIPCION],Insumo[UND],,0),"")</f>
        <v>Un</v>
      </c>
      <c r="D1436" s="31">
        <v>2</v>
      </c>
      <c r="E1436" s="32">
        <f>IFERROR(_xlfn.XLOOKUP($B1436,Insumo[DESCRIPCION],Insumo[VALOR],,0),"")</f>
        <v>25347</v>
      </c>
      <c r="F1436" s="33"/>
      <c r="G1436" s="34">
        <f>IFERROR(IF(F1436&gt;=0,D1436*E1436*(1+F1436/100),ABS(D1436*E1436/F1436)),"")</f>
        <v>50694</v>
      </c>
      <c r="H1436" s="43">
        <f>IFERROR(G1436*E1431,"")</f>
        <v>0</v>
      </c>
    </row>
    <row r="1437" spans="1:11">
      <c r="A1437" s="28"/>
      <c r="B1437" s="29" t="s">
        <v>2834</v>
      </c>
      <c r="C1437" s="30" t="str">
        <f>IFERROR(_xlfn.XLOOKUP(B1437,Insumo[DESCRIPCION],Insumo[UND],,0),"")</f>
        <v>Un</v>
      </c>
      <c r="D1437" s="31">
        <v>4</v>
      </c>
      <c r="E1437" s="32">
        <f>IFERROR(_xlfn.XLOOKUP($B1437,Insumo[DESCRIPCION],Insumo[VALOR],,0),"")</f>
        <v>6592.9500000000007</v>
      </c>
      <c r="F1437" s="33"/>
      <c r="G1437" s="34">
        <f>IFERROR(IF(F1437&gt;=0,D1437*E1437*(1+F1437/100),ABS(D1437*E1437/F1437)),"")</f>
        <v>26371.800000000003</v>
      </c>
      <c r="H1437" s="43">
        <f>IFERROR(G1437*E1431,"")</f>
        <v>0</v>
      </c>
    </row>
    <row r="1438" spans="1:11">
      <c r="A1438" s="28"/>
      <c r="B1438" s="29"/>
      <c r="C1438" s="30" t="str">
        <f>IFERROR(_xlfn.XLOOKUP(B1438,Insumo[DESCRIPCION],Insumo[UND],,0),"")</f>
        <v/>
      </c>
      <c r="D1438" s="31"/>
      <c r="E1438" s="32" t="str">
        <f>IFERROR(_xlfn.XLOOKUP($B1438,Insumo[DESCRIPCION],Insumo[VALOR],,0),"")</f>
        <v/>
      </c>
      <c r="F1438" s="33"/>
      <c r="G1438" s="34" t="str">
        <f>IFERROR(IF(F1438&gt;=0,D1438*E1438*(1+F1438/100),ABS(D1438*E1438/F1438)),"")</f>
        <v/>
      </c>
      <c r="H1438" s="43" t="str">
        <f>IFERROR(G1438*E1431,"")</f>
        <v/>
      </c>
    </row>
    <row r="1439" spans="1:11">
      <c r="A1439" s="21"/>
      <c r="B1439" s="22" t="s">
        <v>3731</v>
      </c>
      <c r="C1439" s="23"/>
      <c r="D1439" s="24"/>
      <c r="E1439" s="25"/>
      <c r="F1439" s="26"/>
      <c r="G1439" s="27">
        <f>SUM(G1440:G1442)</f>
        <v>3926.4994728488382</v>
      </c>
      <c r="H1439" s="44">
        <f>G1439*E1431</f>
        <v>0</v>
      </c>
    </row>
    <row r="1440" spans="1:11">
      <c r="A1440" s="28"/>
      <c r="B1440" s="29" t="s">
        <v>3626</v>
      </c>
      <c r="C1440" s="30" t="str">
        <f>IFERROR(_xlfn.XLOOKUP(B1440,Equipo[DESCRIPCION],Equipo[UND],,0),"")</f>
        <v>%MO</v>
      </c>
      <c r="D1440" s="31">
        <v>0.05</v>
      </c>
      <c r="E1440" s="32">
        <f>IF(C1440="%MO",G1446,IFERROR(_xlfn.XLOOKUP($B1440,Equipo[DESCRIPCION],Equipo[VALOR],,0),""))</f>
        <v>78529.989456976764</v>
      </c>
      <c r="F1440" s="33"/>
      <c r="G1440" s="34">
        <f>IFERROR(IF(F1440&gt;=0,D1440*E1440*(1+F1440/100),ABS(D1440*E1440/F1440)),"")</f>
        <v>3926.4994728488382</v>
      </c>
      <c r="H1440" s="43">
        <f>IFERROR(G1440*E1431,"")</f>
        <v>0</v>
      </c>
    </row>
    <row r="1441" spans="1:11">
      <c r="A1441" s="28"/>
      <c r="B1441" s="29"/>
      <c r="C1441" s="30" t="str">
        <f>IFERROR(_xlfn.XLOOKUP(B1441,Equipo[DESCRIPCION],Equipo[UND],,0),"")</f>
        <v/>
      </c>
      <c r="D1441" s="31"/>
      <c r="E1441" s="32" t="str">
        <f>IF(C1441="%MO",G1446,IFERROR(_xlfn.XLOOKUP($B1441,Equipo[DESCRIPCION],Equipo[VALOR],,0),""))</f>
        <v/>
      </c>
      <c r="F1441" s="33"/>
      <c r="G1441" s="34" t="str">
        <f>IFERROR(IF(F1441&gt;=0,D1441*E1441*(1+F1441/100),ABS(D1441*E1441/F1441)),"")</f>
        <v/>
      </c>
      <c r="H1441" s="43" t="str">
        <f>IFERROR(G1441*E1431,"")</f>
        <v/>
      </c>
    </row>
    <row r="1442" spans="1:11">
      <c r="A1442" s="28"/>
      <c r="B1442" s="29"/>
      <c r="C1442" s="30" t="str">
        <f>IFERROR(_xlfn.XLOOKUP(B1442,Equipo[DESCRIPCION],Equipo[UND],,0),"")</f>
        <v/>
      </c>
      <c r="D1442" s="31"/>
      <c r="E1442" s="32" t="str">
        <f>IF(C1442="%MO",G1446,IFERROR(_xlfn.XLOOKUP($B1442,Equipo[DESCRIPCION],Equipo[VALOR],,0),""))</f>
        <v/>
      </c>
      <c r="F1442" s="33"/>
      <c r="G1442" s="34" t="str">
        <f>IFERROR(IF(F1442&gt;=0,D1442*E1442*(1+F1442/100),ABS(D1442*E1442/F1442)),"")</f>
        <v/>
      </c>
      <c r="H1442" s="43" t="str">
        <f>IFERROR(G1442*E1431,"")</f>
        <v/>
      </c>
    </row>
    <row r="1443" spans="1:11">
      <c r="A1443" s="21"/>
      <c r="B1443" s="22" t="s">
        <v>2533</v>
      </c>
      <c r="C1443" s="23"/>
      <c r="D1443" s="24"/>
      <c r="E1443" s="25"/>
      <c r="F1443" s="26"/>
      <c r="G1443" s="27">
        <f>SUM(G1444:G1445)</f>
        <v>0</v>
      </c>
      <c r="H1443" s="44">
        <f>G1443*E1431</f>
        <v>0</v>
      </c>
    </row>
    <row r="1444" spans="1:11">
      <c r="A1444" s="28"/>
      <c r="B1444" s="29"/>
      <c r="C1444" s="30" t="str">
        <f>IFERROR(_xlfn.XLOOKUP(B1444,Transporte[DESCRIPCION],Transporte[UND],,0),"")</f>
        <v/>
      </c>
      <c r="D1444" s="31"/>
      <c r="E1444" s="32" t="str">
        <f>IFERROR(_xlfn.XLOOKUP($B1444,Transporte[DESCRIPCION],Transporte[VALOR],,0),"")</f>
        <v/>
      </c>
      <c r="F1444" s="33"/>
      <c r="G1444" s="34" t="str">
        <f>IFERROR(IF(F1444&gt;=0,D1444*E1444*(1+F1444/100),ABS(D1444*E1444/F1444)),"")</f>
        <v/>
      </c>
      <c r="H1444" s="43" t="str">
        <f>IFERROR(G1444*E1431,"")</f>
        <v/>
      </c>
    </row>
    <row r="1445" spans="1:11">
      <c r="A1445" s="28"/>
      <c r="B1445" s="29"/>
      <c r="C1445" s="30" t="str">
        <f>IFERROR(_xlfn.XLOOKUP(B1445,Transporte[DESCRIPCION],Transporte[UND],,0),"")</f>
        <v/>
      </c>
      <c r="D1445" s="31"/>
      <c r="E1445" s="32" t="str">
        <f>IFERROR(_xlfn.XLOOKUP($B1445,Transporte[DESCRIPCION],Transporte[VALOR],,0),"")</f>
        <v/>
      </c>
      <c r="F1445" s="33"/>
      <c r="G1445" s="34" t="str">
        <f>IFERROR(IF(F1445&gt;=0,D1445*E1445*(1+F1445/100),ABS(D1445*E1445/F1445)),"")</f>
        <v/>
      </c>
      <c r="H1445" s="43" t="str">
        <f>IFERROR(G1445*E1431,"")</f>
        <v/>
      </c>
    </row>
    <row r="1446" spans="1:11">
      <c r="A1446" s="21"/>
      <c r="B1446" s="22" t="s">
        <v>3732</v>
      </c>
      <c r="C1446" s="23"/>
      <c r="D1446" s="24"/>
      <c r="E1446" s="25"/>
      <c r="F1446" s="26"/>
      <c r="G1446" s="27">
        <f>SUM(G1447:G1449)</f>
        <v>78529.989456976764</v>
      </c>
      <c r="H1446" s="44">
        <f>G1446*E1431</f>
        <v>0</v>
      </c>
    </row>
    <row r="1447" spans="1:11">
      <c r="A1447" s="28"/>
      <c r="B1447" s="29" t="s">
        <v>3715</v>
      </c>
      <c r="C1447" s="30" t="str">
        <f>IFERROR(_xlfn.XLOOKUP(B1447,MObra[DESCRIPCION],MObra[UN],,0),"")</f>
        <v>día</v>
      </c>
      <c r="D1447" s="31">
        <v>1</v>
      </c>
      <c r="E1447" s="32">
        <f>IFERROR(_xlfn.XLOOKUP($B1447,MObra[DESCRIPCION],MObra[VALOR UNIT],,0),"")</f>
        <v>337678.95466500008</v>
      </c>
      <c r="F1447" s="33">
        <v>-4.3</v>
      </c>
      <c r="G1447" s="34">
        <f>IFERROR(IF(F1447&gt;=0,D1447*E1447*(1+F1447/100),ABS(D1447*E1447/F1447)),"")</f>
        <v>78529.989456976764</v>
      </c>
      <c r="H1447" s="43">
        <f>IFERROR(G1447*E1431,"")</f>
        <v>0</v>
      </c>
    </row>
    <row r="1448" spans="1:11">
      <c r="A1448" s="28"/>
      <c r="B1448" s="29"/>
      <c r="C1448" s="30" t="str">
        <f t="array" ref="C1448">IFERROR(_xlfn.XLOOKUP(B1448,MObra[[#All],[DESCRIPCION]],MObra[[#All],[UN]],,0),"")</f>
        <v/>
      </c>
      <c r="D1448" s="31"/>
      <c r="E1448" s="32" t="str">
        <f>IFERROR(_xlfn.XLOOKUP($B1448,MObra[DESCRIPCION],MObra[VALOR UNIT],,0),"")</f>
        <v/>
      </c>
      <c r="F1448" s="33"/>
      <c r="G1448" s="34" t="str">
        <f>IFERROR(IF(F1448&gt;=0,D1448*E1448*(1+F1448/100),ABS(D1448*E1448/F1448)),"")</f>
        <v/>
      </c>
      <c r="H1448" s="43" t="str">
        <f>IFERROR(G1448*E1431,"")</f>
        <v/>
      </c>
    </row>
    <row r="1449" spans="1:11">
      <c r="A1449" s="35"/>
      <c r="B1449" s="36"/>
      <c r="C1449" s="37" t="str">
        <f t="array" ref="C1449">IFERROR(_xlfn.XLOOKUP(B1449,MObra[[#All],[DESCRIPCION]],MObra[[#All],[UN]],,0),"")</f>
        <v/>
      </c>
      <c r="D1449" s="38"/>
      <c r="E1449" s="39" t="str">
        <f>IFERROR(_xlfn.XLOOKUP($B1449,MObra[DESCRIPCION],MObra[VALOR UNIT],,0),"")</f>
        <v/>
      </c>
      <c r="F1449" s="40"/>
      <c r="G1449" s="41" t="str">
        <f>IFERROR(IF(F1449&gt;=0,D1449*E1449*(1+F1449/100),ABS(D1449*E1449/F1449)),"")</f>
        <v/>
      </c>
      <c r="H1449" s="42" t="str">
        <f>IFERROR(G1449*E1431,"")</f>
        <v/>
      </c>
    </row>
    <row r="1450" spans="1:11" ht="13.5" thickTop="1" thickBot="1"/>
    <row r="1451" spans="1:11" ht="26.25" thickTop="1" thickBot="1">
      <c r="A1451" s="6" t="s">
        <v>1021</v>
      </c>
      <c r="B1451" s="7" t="str">
        <f>VLOOKUP($A1451,Presupuesto!$A:$D,2,FALSE())</f>
        <v>Tablero de incrustar Monofásico bifilar de 4-6 circuitos, 125 amperios. Certificación RETIE</v>
      </c>
      <c r="C1451" s="8" t="str">
        <f>VLOOKUP($A1451,Presupuesto!$A:$D,3,FALSE())</f>
        <v>Un</v>
      </c>
      <c r="D1451" s="9"/>
      <c r="E1451" s="10">
        <f>VLOOKUP($A1451,Presupuesto!$A:$D,4,FALSE())</f>
        <v>0</v>
      </c>
      <c r="F1451" s="11" t="s">
        <v>2589</v>
      </c>
      <c r="G1451" s="12">
        <f>SUM(G1453:G1469)/2</f>
        <v>321798.21392982558</v>
      </c>
      <c r="H1451" s="13">
        <f>ROUND(SUM(H1453:H1469),0)/2</f>
        <v>0</v>
      </c>
      <c r="I1451" s="10">
        <f>VLOOKUP(A1451,Presupuesto!$A:$F,6,0)</f>
        <v>0</v>
      </c>
      <c r="J1451" s="10">
        <f>+H1451-I1451</f>
        <v>0</v>
      </c>
      <c r="K1451" s="46">
        <f>+H1451-G1451*E1451</f>
        <v>0</v>
      </c>
    </row>
    <row r="1452" spans="1:11">
      <c r="A1452" s="14"/>
      <c r="B1452" s="15" t="s">
        <v>2586</v>
      </c>
      <c r="C1452" s="15" t="s">
        <v>5</v>
      </c>
      <c r="D1452" s="16" t="s">
        <v>6</v>
      </c>
      <c r="E1452" s="17" t="s">
        <v>7</v>
      </c>
      <c r="F1452" s="18" t="s">
        <v>3728</v>
      </c>
      <c r="G1452" s="19" t="s">
        <v>3729</v>
      </c>
      <c r="H1452" s="20" t="s">
        <v>3797</v>
      </c>
    </row>
    <row r="1453" spans="1:11">
      <c r="A1453" s="21"/>
      <c r="B1453" s="22" t="s">
        <v>3730</v>
      </c>
      <c r="C1453" s="23"/>
      <c r="D1453" s="24"/>
      <c r="E1453" s="25"/>
      <c r="F1453" s="26"/>
      <c r="G1453" s="27">
        <f>SUM(G1454:G1458)</f>
        <v>239341.72499999998</v>
      </c>
      <c r="H1453" s="27">
        <f>IFERROR(G1453*E1451,"")</f>
        <v>0</v>
      </c>
    </row>
    <row r="1454" spans="1:11">
      <c r="A1454" s="28"/>
      <c r="B1454" s="29" t="s">
        <v>3340</v>
      </c>
      <c r="C1454" s="30" t="str">
        <f>IFERROR(_xlfn.XLOOKUP(B1454,Insumo[DESCRIPCION],Insumo[UND],,0),"")</f>
        <v>Un</v>
      </c>
      <c r="D1454" s="31">
        <v>1</v>
      </c>
      <c r="E1454" s="32">
        <f>IFERROR(_xlfn.XLOOKUP($B1454,Insumo[DESCRIPCION],Insumo[VALOR],,0),"")</f>
        <v>83734.875</v>
      </c>
      <c r="F1454" s="33"/>
      <c r="G1454" s="34">
        <f>IFERROR(IF(F1454&gt;=0,D1454*E1454*(1+F1454/100),ABS(D1454*E1454/F1454)),"")</f>
        <v>83734.875</v>
      </c>
      <c r="H1454" s="43">
        <f>IFERROR(G1454*E1451,"")</f>
        <v>0</v>
      </c>
    </row>
    <row r="1455" spans="1:11">
      <c r="A1455" s="28"/>
      <c r="B1455" s="29" t="s">
        <v>2763</v>
      </c>
      <c r="C1455" s="30" t="str">
        <f>IFERROR(_xlfn.XLOOKUP(B1455,Insumo[DESCRIPCION],Insumo[UND],,0),"")</f>
        <v>Un</v>
      </c>
      <c r="D1455" s="31">
        <v>3</v>
      </c>
      <c r="E1455" s="32">
        <f>IFERROR(_xlfn.XLOOKUP($B1455,Insumo[DESCRIPCION],Insumo[VALOR],,0),"")</f>
        <v>17731.350000000002</v>
      </c>
      <c r="F1455" s="33"/>
      <c r="G1455" s="34">
        <f>IFERROR(IF(F1455&gt;=0,D1455*E1455*(1+F1455/100),ABS(D1455*E1455/F1455)),"")</f>
        <v>53194.05</v>
      </c>
      <c r="H1455" s="43">
        <f>IFERROR(G1455*E1451,"")</f>
        <v>0</v>
      </c>
    </row>
    <row r="1456" spans="1:11">
      <c r="A1456" s="28"/>
      <c r="B1456" s="29" t="s">
        <v>2764</v>
      </c>
      <c r="C1456" s="30" t="str">
        <f>IFERROR(_xlfn.XLOOKUP(B1456,Insumo[DESCRIPCION],Insumo[UND],,0),"")</f>
        <v>Un</v>
      </c>
      <c r="D1456" s="31">
        <v>3</v>
      </c>
      <c r="E1456" s="32">
        <f>IFERROR(_xlfn.XLOOKUP($B1456,Insumo[DESCRIPCION],Insumo[VALOR],,0),"")</f>
        <v>25347</v>
      </c>
      <c r="F1456" s="33"/>
      <c r="G1456" s="34">
        <f>IFERROR(IF(F1456&gt;=0,D1456*E1456*(1+F1456/100),ABS(D1456*E1456/F1456)),"")</f>
        <v>76041</v>
      </c>
      <c r="H1456" s="43">
        <f>IFERROR(G1456*E1451,"")</f>
        <v>0</v>
      </c>
    </row>
    <row r="1457" spans="1:11">
      <c r="A1457" s="28"/>
      <c r="B1457" s="29" t="s">
        <v>2834</v>
      </c>
      <c r="C1457" s="30" t="str">
        <f>IFERROR(_xlfn.XLOOKUP(B1457,Insumo[DESCRIPCION],Insumo[UND],,0),"")</f>
        <v>Un</v>
      </c>
      <c r="D1457" s="31">
        <v>4</v>
      </c>
      <c r="E1457" s="32">
        <f>IFERROR(_xlfn.XLOOKUP($B1457,Insumo[DESCRIPCION],Insumo[VALOR],,0),"")</f>
        <v>6592.9500000000007</v>
      </c>
      <c r="F1457" s="33"/>
      <c r="G1457" s="34">
        <f>IFERROR(IF(F1457&gt;=0,D1457*E1457*(1+F1457/100),ABS(D1457*E1457/F1457)),"")</f>
        <v>26371.800000000003</v>
      </c>
      <c r="H1457" s="43">
        <f>IFERROR(G1457*E1451,"")</f>
        <v>0</v>
      </c>
    </row>
    <row r="1458" spans="1:11">
      <c r="A1458" s="28"/>
      <c r="B1458" s="29"/>
      <c r="C1458" s="30" t="str">
        <f>IFERROR(_xlfn.XLOOKUP(B1458,Insumo[DESCRIPCION],Insumo[UND],,0),"")</f>
        <v/>
      </c>
      <c r="D1458" s="31"/>
      <c r="E1458" s="32" t="str">
        <f>IFERROR(_xlfn.XLOOKUP($B1458,Insumo[DESCRIPCION],Insumo[VALOR],,0),"")</f>
        <v/>
      </c>
      <c r="F1458" s="33"/>
      <c r="G1458" s="34" t="str">
        <f>IFERROR(IF(F1458&gt;=0,D1458*E1458*(1+F1458/100),ABS(D1458*E1458/F1458)),"")</f>
        <v/>
      </c>
      <c r="H1458" s="43" t="str">
        <f>IFERROR(G1458*E1451,"")</f>
        <v/>
      </c>
    </row>
    <row r="1459" spans="1:11">
      <c r="A1459" s="21"/>
      <c r="B1459" s="22" t="s">
        <v>3731</v>
      </c>
      <c r="C1459" s="23"/>
      <c r="D1459" s="24"/>
      <c r="E1459" s="25"/>
      <c r="F1459" s="26"/>
      <c r="G1459" s="27">
        <f>SUM(G1460:G1462)</f>
        <v>3926.4994728488382</v>
      </c>
      <c r="H1459" s="44">
        <f>G1459*E1451</f>
        <v>0</v>
      </c>
    </row>
    <row r="1460" spans="1:11">
      <c r="A1460" s="28"/>
      <c r="B1460" s="29" t="s">
        <v>3626</v>
      </c>
      <c r="C1460" s="30" t="str">
        <f>IFERROR(_xlfn.XLOOKUP(B1460,Equipo[DESCRIPCION],Equipo[UND],,0),"")</f>
        <v>%MO</v>
      </c>
      <c r="D1460" s="31">
        <v>0.05</v>
      </c>
      <c r="E1460" s="32">
        <f>IF(C1460="%MO",G1466,IFERROR(_xlfn.XLOOKUP($B1460,Equipo[DESCRIPCION],Equipo[VALOR],,0),""))</f>
        <v>78529.989456976764</v>
      </c>
      <c r="F1460" s="33"/>
      <c r="G1460" s="34">
        <f>IFERROR(IF(F1460&gt;=0,D1460*E1460*(1+F1460/100),ABS(D1460*E1460/F1460)),"")</f>
        <v>3926.4994728488382</v>
      </c>
      <c r="H1460" s="43">
        <f>IFERROR(G1460*E1451,"")</f>
        <v>0</v>
      </c>
    </row>
    <row r="1461" spans="1:11">
      <c r="A1461" s="28"/>
      <c r="B1461" s="29"/>
      <c r="C1461" s="30" t="str">
        <f>IFERROR(_xlfn.XLOOKUP(B1461,Equipo[DESCRIPCION],Equipo[UND],,0),"")</f>
        <v/>
      </c>
      <c r="D1461" s="31"/>
      <c r="E1461" s="32" t="str">
        <f>IF(C1461="%MO",G1466,IFERROR(_xlfn.XLOOKUP($B1461,Equipo[DESCRIPCION],Equipo[VALOR],,0),""))</f>
        <v/>
      </c>
      <c r="F1461" s="33"/>
      <c r="G1461" s="34" t="str">
        <f>IFERROR(IF(F1461&gt;=0,D1461*E1461*(1+F1461/100),ABS(D1461*E1461/F1461)),"")</f>
        <v/>
      </c>
      <c r="H1461" s="43" t="str">
        <f>IFERROR(G1461*E1451,"")</f>
        <v/>
      </c>
    </row>
    <row r="1462" spans="1:11">
      <c r="A1462" s="28"/>
      <c r="B1462" s="29"/>
      <c r="C1462" s="30" t="str">
        <f>IFERROR(_xlfn.XLOOKUP(B1462,Equipo[DESCRIPCION],Equipo[UND],,0),"")</f>
        <v/>
      </c>
      <c r="D1462" s="31"/>
      <c r="E1462" s="32" t="str">
        <f>IF(C1462="%MO",G1466,IFERROR(_xlfn.XLOOKUP($B1462,Equipo[DESCRIPCION],Equipo[VALOR],,0),""))</f>
        <v/>
      </c>
      <c r="F1462" s="33"/>
      <c r="G1462" s="34" t="str">
        <f>IFERROR(IF(F1462&gt;=0,D1462*E1462*(1+F1462/100),ABS(D1462*E1462/F1462)),"")</f>
        <v/>
      </c>
      <c r="H1462" s="43" t="str">
        <f>IFERROR(G1462*E1451,"")</f>
        <v/>
      </c>
    </row>
    <row r="1463" spans="1:11">
      <c r="A1463" s="21"/>
      <c r="B1463" s="22" t="s">
        <v>2533</v>
      </c>
      <c r="C1463" s="23"/>
      <c r="D1463" s="24"/>
      <c r="E1463" s="25"/>
      <c r="F1463" s="26"/>
      <c r="G1463" s="27">
        <f>SUM(G1464:G1465)</f>
        <v>0</v>
      </c>
      <c r="H1463" s="44">
        <f>G1463*E1451</f>
        <v>0</v>
      </c>
    </row>
    <row r="1464" spans="1:11">
      <c r="A1464" s="28"/>
      <c r="B1464" s="29"/>
      <c r="C1464" s="30" t="str">
        <f>IFERROR(_xlfn.XLOOKUP(B1464,Transporte[DESCRIPCION],Transporte[UND],,0),"")</f>
        <v/>
      </c>
      <c r="D1464" s="31"/>
      <c r="E1464" s="32" t="str">
        <f>IFERROR(_xlfn.XLOOKUP($B1464,Transporte[DESCRIPCION],Transporte[VALOR],,0),"")</f>
        <v/>
      </c>
      <c r="F1464" s="33"/>
      <c r="G1464" s="34" t="str">
        <f>IFERROR(IF(F1464&gt;=0,D1464*E1464*(1+F1464/100),ABS(D1464*E1464/F1464)),"")</f>
        <v/>
      </c>
      <c r="H1464" s="43" t="str">
        <f>IFERROR(G1464*E1451,"")</f>
        <v/>
      </c>
    </row>
    <row r="1465" spans="1:11">
      <c r="A1465" s="28"/>
      <c r="B1465" s="29"/>
      <c r="C1465" s="30" t="str">
        <f>IFERROR(_xlfn.XLOOKUP(B1465,Transporte[DESCRIPCION],Transporte[UND],,0),"")</f>
        <v/>
      </c>
      <c r="D1465" s="31"/>
      <c r="E1465" s="32" t="str">
        <f>IFERROR(_xlfn.XLOOKUP($B1465,Transporte[DESCRIPCION],Transporte[VALOR],,0),"")</f>
        <v/>
      </c>
      <c r="F1465" s="33"/>
      <c r="G1465" s="34" t="str">
        <f>IFERROR(IF(F1465&gt;=0,D1465*E1465*(1+F1465/100),ABS(D1465*E1465/F1465)),"")</f>
        <v/>
      </c>
      <c r="H1465" s="43" t="str">
        <f>IFERROR(G1465*E1451,"")</f>
        <v/>
      </c>
    </row>
    <row r="1466" spans="1:11">
      <c r="A1466" s="21"/>
      <c r="B1466" s="22" t="s">
        <v>3732</v>
      </c>
      <c r="C1466" s="23"/>
      <c r="D1466" s="24"/>
      <c r="E1466" s="25"/>
      <c r="F1466" s="26"/>
      <c r="G1466" s="27">
        <f>SUM(G1467:G1469)</f>
        <v>78529.989456976764</v>
      </c>
      <c r="H1466" s="44">
        <f>G1466*E1451</f>
        <v>0</v>
      </c>
    </row>
    <row r="1467" spans="1:11">
      <c r="A1467" s="28"/>
      <c r="B1467" s="29" t="s">
        <v>3715</v>
      </c>
      <c r="C1467" s="30" t="str">
        <f>IFERROR(_xlfn.XLOOKUP(B1467,MObra[DESCRIPCION],MObra[UN],,0),"")</f>
        <v>día</v>
      </c>
      <c r="D1467" s="31">
        <v>1</v>
      </c>
      <c r="E1467" s="32">
        <f>IFERROR(_xlfn.XLOOKUP($B1467,MObra[DESCRIPCION],MObra[VALOR UNIT],,0),"")</f>
        <v>337678.95466500008</v>
      </c>
      <c r="F1467" s="33">
        <v>-4.3</v>
      </c>
      <c r="G1467" s="34">
        <f>IFERROR(IF(F1467&gt;=0,D1467*E1467*(1+F1467/100),ABS(D1467*E1467/F1467)),"")</f>
        <v>78529.989456976764</v>
      </c>
      <c r="H1467" s="43">
        <f>IFERROR(G1467*E1451,"")</f>
        <v>0</v>
      </c>
    </row>
    <row r="1468" spans="1:11">
      <c r="A1468" s="28"/>
      <c r="B1468" s="29"/>
      <c r="C1468" s="30" t="str">
        <f t="array" ref="C1468">IFERROR(_xlfn.XLOOKUP(B1468,MObra[[#All],[DESCRIPCION]],MObra[[#All],[UN]],,0),"")</f>
        <v/>
      </c>
      <c r="D1468" s="31"/>
      <c r="E1468" s="32" t="str">
        <f>IFERROR(_xlfn.XLOOKUP($B1468,MObra[DESCRIPCION],MObra[VALOR UNIT],,0),"")</f>
        <v/>
      </c>
      <c r="F1468" s="33"/>
      <c r="G1468" s="34" t="str">
        <f>IFERROR(IF(F1468&gt;=0,D1468*E1468*(1+F1468/100),ABS(D1468*E1468/F1468)),"")</f>
        <v/>
      </c>
      <c r="H1468" s="43" t="str">
        <f>IFERROR(G1468*E1451,"")</f>
        <v/>
      </c>
    </row>
    <row r="1469" spans="1:11">
      <c r="A1469" s="35"/>
      <c r="B1469" s="36"/>
      <c r="C1469" s="37" t="str">
        <f t="array" ref="C1469">IFERROR(_xlfn.XLOOKUP(B1469,MObra[[#All],[DESCRIPCION]],MObra[[#All],[UN]],,0),"")</f>
        <v/>
      </c>
      <c r="D1469" s="38"/>
      <c r="E1469" s="39" t="str">
        <f>IFERROR(_xlfn.XLOOKUP($B1469,MObra[DESCRIPCION],MObra[VALOR UNIT],,0),"")</f>
        <v/>
      </c>
      <c r="F1469" s="40"/>
      <c r="G1469" s="41" t="str">
        <f>IFERROR(IF(F1469&gt;=0,D1469*E1469*(1+F1469/100),ABS(D1469*E1469/F1469)),"")</f>
        <v/>
      </c>
      <c r="H1469" s="42" t="str">
        <f>IFERROR(G1469*E1451,"")</f>
        <v/>
      </c>
    </row>
    <row r="1470" spans="1:11" ht="13.5" thickTop="1" thickBot="1"/>
    <row r="1471" spans="1:11" ht="26.25" thickTop="1" thickBot="1">
      <c r="A1471" s="6" t="s">
        <v>1023</v>
      </c>
      <c r="B1471" s="7" t="str">
        <f>VLOOKUP($A1471,Presupuesto!$A:$D,2,FALSE())</f>
        <v>Tablero de distribución Monofásico bifilar de 4-6 circuitos, hasta 125 amperios. Empotrado o sobreponer. Certificación RETIE</v>
      </c>
      <c r="C1471" s="8" t="str">
        <f>VLOOKUP($A1471,Presupuesto!$A:$D,3,FALSE())</f>
        <v>Un</v>
      </c>
      <c r="D1471" s="9"/>
      <c r="E1471" s="10">
        <f>VLOOKUP($A1471,Presupuesto!$A:$D,4,FALSE())</f>
        <v>0</v>
      </c>
      <c r="F1471" s="11" t="s">
        <v>2589</v>
      </c>
      <c r="G1471" s="12">
        <f>SUM(G1473:G1489)/2</f>
        <v>384913.95668250008</v>
      </c>
      <c r="H1471" s="13">
        <f>ROUND(SUM(H1473:H1489),0)/2</f>
        <v>0</v>
      </c>
      <c r="I1471" s="10">
        <f>VLOOKUP(A1471,Presupuesto!$A:$F,6,0)</f>
        <v>0</v>
      </c>
      <c r="J1471" s="10">
        <f>+H1471-I1471</f>
        <v>0</v>
      </c>
      <c r="K1471" s="46">
        <f>+H1471-G1471*E1471</f>
        <v>0</v>
      </c>
    </row>
    <row r="1472" spans="1:11">
      <c r="A1472" s="14"/>
      <c r="B1472" s="15" t="s">
        <v>2586</v>
      </c>
      <c r="C1472" s="15" t="s">
        <v>5</v>
      </c>
      <c r="D1472" s="16" t="s">
        <v>6</v>
      </c>
      <c r="E1472" s="17" t="s">
        <v>7</v>
      </c>
      <c r="F1472" s="18" t="s">
        <v>3728</v>
      </c>
      <c r="G1472" s="19" t="s">
        <v>3729</v>
      </c>
      <c r="H1472" s="20" t="s">
        <v>3797</v>
      </c>
    </row>
    <row r="1473" spans="1:8">
      <c r="A1473" s="21"/>
      <c r="B1473" s="22" t="s">
        <v>3730</v>
      </c>
      <c r="C1473" s="23"/>
      <c r="D1473" s="24"/>
      <c r="E1473" s="25"/>
      <c r="F1473" s="26"/>
      <c r="G1473" s="27">
        <f>SUM(G1474:G1478)</f>
        <v>298435.20000000001</v>
      </c>
      <c r="H1473" s="27">
        <f>IFERROR(G1473*E1471,"")</f>
        <v>0</v>
      </c>
    </row>
    <row r="1474" spans="1:8">
      <c r="A1474" s="28"/>
      <c r="B1474" s="29" t="s">
        <v>3341</v>
      </c>
      <c r="C1474" s="30" t="str">
        <f>IFERROR(_xlfn.XLOOKUP(B1474,Insumo[DESCRIPCION],Insumo[UND],,0),"")</f>
        <v>Un</v>
      </c>
      <c r="D1474" s="31">
        <v>1</v>
      </c>
      <c r="E1474" s="32">
        <f>IFERROR(_xlfn.XLOOKUP($B1474,Insumo[DESCRIPCION],Insumo[VALOR],,0),"")</f>
        <v>99750</v>
      </c>
      <c r="F1474" s="33"/>
      <c r="G1474" s="34">
        <f>IFERROR(IF(F1474&gt;=0,D1474*E1474*(1+F1474/100),ABS(D1474*E1474/F1474)),"")</f>
        <v>99750</v>
      </c>
      <c r="H1474" s="43">
        <f>IFERROR(G1474*E1471,"")</f>
        <v>0</v>
      </c>
    </row>
    <row r="1475" spans="1:8">
      <c r="A1475" s="28"/>
      <c r="B1475" s="29" t="s">
        <v>2763</v>
      </c>
      <c r="C1475" s="30" t="str">
        <f>IFERROR(_xlfn.XLOOKUP(B1475,Insumo[DESCRIPCION],Insumo[UND],,0),"")</f>
        <v>Un</v>
      </c>
      <c r="D1475" s="31">
        <v>4</v>
      </c>
      <c r="E1475" s="32">
        <f>IFERROR(_xlfn.XLOOKUP($B1475,Insumo[DESCRIPCION],Insumo[VALOR],,0),"")</f>
        <v>17731.350000000002</v>
      </c>
      <c r="F1475" s="33"/>
      <c r="G1475" s="34">
        <f>IFERROR(IF(F1475&gt;=0,D1475*E1475*(1+F1475/100),ABS(D1475*E1475/F1475)),"")</f>
        <v>70925.400000000009</v>
      </c>
      <c r="H1475" s="43">
        <f>IFERROR(G1475*E1471,"")</f>
        <v>0</v>
      </c>
    </row>
    <row r="1476" spans="1:8">
      <c r="A1476" s="28"/>
      <c r="B1476" s="29" t="s">
        <v>2764</v>
      </c>
      <c r="C1476" s="30" t="str">
        <f>IFERROR(_xlfn.XLOOKUP(B1476,Insumo[DESCRIPCION],Insumo[UND],,0),"")</f>
        <v>Un</v>
      </c>
      <c r="D1476" s="31">
        <v>4</v>
      </c>
      <c r="E1476" s="32">
        <f>IFERROR(_xlfn.XLOOKUP($B1476,Insumo[DESCRIPCION],Insumo[VALOR],,0),"")</f>
        <v>25347</v>
      </c>
      <c r="F1476" s="33"/>
      <c r="G1476" s="34">
        <f>IFERROR(IF(F1476&gt;=0,D1476*E1476*(1+F1476/100),ABS(D1476*E1476/F1476)),"")</f>
        <v>101388</v>
      </c>
      <c r="H1476" s="43">
        <f>IFERROR(G1476*E1471,"")</f>
        <v>0</v>
      </c>
    </row>
    <row r="1477" spans="1:8">
      <c r="A1477" s="28"/>
      <c r="B1477" s="29" t="s">
        <v>2834</v>
      </c>
      <c r="C1477" s="30" t="str">
        <f>IFERROR(_xlfn.XLOOKUP(B1477,Insumo[DESCRIPCION],Insumo[UND],,0),"")</f>
        <v>Un</v>
      </c>
      <c r="D1477" s="31">
        <v>4</v>
      </c>
      <c r="E1477" s="32">
        <f>IFERROR(_xlfn.XLOOKUP($B1477,Insumo[DESCRIPCION],Insumo[VALOR],,0),"")</f>
        <v>6592.9500000000007</v>
      </c>
      <c r="F1477" s="33"/>
      <c r="G1477" s="34">
        <f>IFERROR(IF(F1477&gt;=0,D1477*E1477*(1+F1477/100),ABS(D1477*E1477/F1477)),"")</f>
        <v>26371.800000000003</v>
      </c>
      <c r="H1477" s="43">
        <f>IFERROR(G1477*E1471,"")</f>
        <v>0</v>
      </c>
    </row>
    <row r="1478" spans="1:8">
      <c r="A1478" s="28"/>
      <c r="B1478" s="29"/>
      <c r="C1478" s="30" t="str">
        <f>IFERROR(_xlfn.XLOOKUP(B1478,Insumo[DESCRIPCION],Insumo[UND],,0),"")</f>
        <v/>
      </c>
      <c r="D1478" s="31"/>
      <c r="E1478" s="32" t="str">
        <f>IFERROR(_xlfn.XLOOKUP($B1478,Insumo[DESCRIPCION],Insumo[VALOR],,0),"")</f>
        <v/>
      </c>
      <c r="F1478" s="33"/>
      <c r="G1478" s="34" t="str">
        <f>IFERROR(IF(F1478&gt;=0,D1478*E1478*(1+F1478/100),ABS(D1478*E1478/F1478)),"")</f>
        <v/>
      </c>
      <c r="H1478" s="43" t="str">
        <f>IFERROR(G1478*E1471,"")</f>
        <v/>
      </c>
    </row>
    <row r="1479" spans="1:8">
      <c r="A1479" s="21"/>
      <c r="B1479" s="22" t="s">
        <v>3731</v>
      </c>
      <c r="C1479" s="23"/>
      <c r="D1479" s="24"/>
      <c r="E1479" s="25"/>
      <c r="F1479" s="26"/>
      <c r="G1479" s="27">
        <f>SUM(G1480:G1482)</f>
        <v>4118.036032500002</v>
      </c>
      <c r="H1479" s="44">
        <f>G1479*E1471</f>
        <v>0</v>
      </c>
    </row>
    <row r="1480" spans="1:8">
      <c r="A1480" s="28"/>
      <c r="B1480" s="29" t="s">
        <v>3626</v>
      </c>
      <c r="C1480" s="30" t="str">
        <f>IFERROR(_xlfn.XLOOKUP(B1480,Equipo[DESCRIPCION],Equipo[UND],,0),"")</f>
        <v>%MO</v>
      </c>
      <c r="D1480" s="31">
        <v>0.05</v>
      </c>
      <c r="E1480" s="32">
        <f>IF(C1480="%MO",G1486,IFERROR(_xlfn.XLOOKUP($B1480,Equipo[DESCRIPCION],Equipo[VALOR],,0),""))</f>
        <v>82360.720650000032</v>
      </c>
      <c r="F1480" s="33"/>
      <c r="G1480" s="34">
        <f>IFERROR(IF(F1480&gt;=0,D1480*E1480*(1+F1480/100),ABS(D1480*E1480/F1480)),"")</f>
        <v>4118.036032500002</v>
      </c>
      <c r="H1480" s="43">
        <f>IFERROR(G1480*E1471,"")</f>
        <v>0</v>
      </c>
    </row>
    <row r="1481" spans="1:8">
      <c r="A1481" s="28"/>
      <c r="B1481" s="29"/>
      <c r="C1481" s="30" t="str">
        <f>IFERROR(_xlfn.XLOOKUP(B1481,Equipo[DESCRIPCION],Equipo[UND],,0),"")</f>
        <v/>
      </c>
      <c r="D1481" s="31"/>
      <c r="E1481" s="32" t="str">
        <f>IF(C1481="%MO",G1486,IFERROR(_xlfn.XLOOKUP($B1481,Equipo[DESCRIPCION],Equipo[VALOR],,0),""))</f>
        <v/>
      </c>
      <c r="F1481" s="33"/>
      <c r="G1481" s="34" t="str">
        <f>IFERROR(IF(F1481&gt;=0,D1481*E1481*(1+F1481/100),ABS(D1481*E1481/F1481)),"")</f>
        <v/>
      </c>
      <c r="H1481" s="43" t="str">
        <f>IFERROR(G1481*E1471,"")</f>
        <v/>
      </c>
    </row>
    <row r="1482" spans="1:8">
      <c r="A1482" s="28"/>
      <c r="B1482" s="29"/>
      <c r="C1482" s="30" t="str">
        <f>IFERROR(_xlfn.XLOOKUP(B1482,Equipo[DESCRIPCION],Equipo[UND],,0),"")</f>
        <v/>
      </c>
      <c r="D1482" s="31"/>
      <c r="E1482" s="32" t="str">
        <f>IF(C1482="%MO",G1486,IFERROR(_xlfn.XLOOKUP($B1482,Equipo[DESCRIPCION],Equipo[VALOR],,0),""))</f>
        <v/>
      </c>
      <c r="F1482" s="33"/>
      <c r="G1482" s="34" t="str">
        <f>IFERROR(IF(F1482&gt;=0,D1482*E1482*(1+F1482/100),ABS(D1482*E1482/F1482)),"")</f>
        <v/>
      </c>
      <c r="H1482" s="43" t="str">
        <f>IFERROR(G1482*E1471,"")</f>
        <v/>
      </c>
    </row>
    <row r="1483" spans="1:8">
      <c r="A1483" s="21"/>
      <c r="B1483" s="22" t="s">
        <v>2533</v>
      </c>
      <c r="C1483" s="23"/>
      <c r="D1483" s="24"/>
      <c r="E1483" s="25"/>
      <c r="F1483" s="26"/>
      <c r="G1483" s="27">
        <f>SUM(G1484:G1485)</f>
        <v>0</v>
      </c>
      <c r="H1483" s="44">
        <f>G1483*E1471</f>
        <v>0</v>
      </c>
    </row>
    <row r="1484" spans="1:8">
      <c r="A1484" s="28"/>
      <c r="B1484" s="29"/>
      <c r="C1484" s="30" t="str">
        <f>IFERROR(_xlfn.XLOOKUP(B1484,Transporte[DESCRIPCION],Transporte[UND],,0),"")</f>
        <v/>
      </c>
      <c r="D1484" s="31"/>
      <c r="E1484" s="32" t="str">
        <f>IFERROR(_xlfn.XLOOKUP($B1484,Transporte[DESCRIPCION],Transporte[VALOR],,0),"")</f>
        <v/>
      </c>
      <c r="F1484" s="33"/>
      <c r="G1484" s="34" t="str">
        <f>IFERROR(IF(F1484&gt;=0,D1484*E1484*(1+F1484/100),ABS(D1484*E1484/F1484)),"")</f>
        <v/>
      </c>
      <c r="H1484" s="43" t="str">
        <f>IFERROR(G1484*E1471,"")</f>
        <v/>
      </c>
    </row>
    <row r="1485" spans="1:8">
      <c r="A1485" s="28"/>
      <c r="B1485" s="29"/>
      <c r="C1485" s="30" t="str">
        <f>IFERROR(_xlfn.XLOOKUP(B1485,Transporte[DESCRIPCION],Transporte[UND],,0),"")</f>
        <v/>
      </c>
      <c r="D1485" s="31"/>
      <c r="E1485" s="32" t="str">
        <f>IFERROR(_xlfn.XLOOKUP($B1485,Transporte[DESCRIPCION],Transporte[VALOR],,0),"")</f>
        <v/>
      </c>
      <c r="F1485" s="33"/>
      <c r="G1485" s="34" t="str">
        <f>IFERROR(IF(F1485&gt;=0,D1485*E1485*(1+F1485/100),ABS(D1485*E1485/F1485)),"")</f>
        <v/>
      </c>
      <c r="H1485" s="43" t="str">
        <f>IFERROR(G1485*E1471,"")</f>
        <v/>
      </c>
    </row>
    <row r="1486" spans="1:8">
      <c r="A1486" s="21"/>
      <c r="B1486" s="22" t="s">
        <v>3732</v>
      </c>
      <c r="C1486" s="23"/>
      <c r="D1486" s="24"/>
      <c r="E1486" s="25"/>
      <c r="F1486" s="26"/>
      <c r="G1486" s="27">
        <f>SUM(G1487:G1489)</f>
        <v>82360.720650000032</v>
      </c>
      <c r="H1486" s="44">
        <f>G1486*E1471</f>
        <v>0</v>
      </c>
    </row>
    <row r="1487" spans="1:8">
      <c r="A1487" s="28"/>
      <c r="B1487" s="29" t="s">
        <v>3715</v>
      </c>
      <c r="C1487" s="30" t="str">
        <f>IFERROR(_xlfn.XLOOKUP(B1487,MObra[DESCRIPCION],MObra[UN],,0),"")</f>
        <v>día</v>
      </c>
      <c r="D1487" s="31">
        <v>1</v>
      </c>
      <c r="E1487" s="32">
        <f>IFERROR(_xlfn.XLOOKUP($B1487,MObra[DESCRIPCION],MObra[VALOR UNIT],,0),"")</f>
        <v>337678.95466500008</v>
      </c>
      <c r="F1487" s="33">
        <v>-4.0999999999999996</v>
      </c>
      <c r="G1487" s="34">
        <f>IFERROR(IF(F1487&gt;=0,D1487*E1487*(1+F1487/100),ABS(D1487*E1487/F1487)),"")</f>
        <v>82360.720650000032</v>
      </c>
      <c r="H1487" s="43">
        <f>IFERROR(G1487*E1471,"")</f>
        <v>0</v>
      </c>
    </row>
    <row r="1488" spans="1:8">
      <c r="A1488" s="28"/>
      <c r="B1488" s="29"/>
      <c r="C1488" s="30" t="str">
        <f t="array" ref="C1488">IFERROR(_xlfn.XLOOKUP(B1488,MObra[[#All],[DESCRIPCION]],MObra[[#All],[UN]],,0),"")</f>
        <v/>
      </c>
      <c r="D1488" s="31"/>
      <c r="E1488" s="32" t="str">
        <f>IFERROR(_xlfn.XLOOKUP($B1488,MObra[DESCRIPCION],MObra[VALOR UNIT],,0),"")</f>
        <v/>
      </c>
      <c r="F1488" s="33"/>
      <c r="G1488" s="34" t="str">
        <f>IFERROR(IF(F1488&gt;=0,D1488*E1488*(1+F1488/100),ABS(D1488*E1488/F1488)),"")</f>
        <v/>
      </c>
      <c r="H1488" s="43" t="str">
        <f>IFERROR(G1488*E1471,"")</f>
        <v/>
      </c>
    </row>
    <row r="1489" spans="1:11">
      <c r="A1489" s="35"/>
      <c r="B1489" s="36"/>
      <c r="C1489" s="37" t="str">
        <f t="array" ref="C1489">IFERROR(_xlfn.XLOOKUP(B1489,MObra[[#All],[DESCRIPCION]],MObra[[#All],[UN]],,0),"")</f>
        <v/>
      </c>
      <c r="D1489" s="38"/>
      <c r="E1489" s="39" t="str">
        <f>IFERROR(_xlfn.XLOOKUP($B1489,MObra[DESCRIPCION],MObra[VALOR UNIT],,0),"")</f>
        <v/>
      </c>
      <c r="F1489" s="40"/>
      <c r="G1489" s="41" t="str">
        <f>IFERROR(IF(F1489&gt;=0,D1489*E1489*(1+F1489/100),ABS(D1489*E1489/F1489)),"")</f>
        <v/>
      </c>
      <c r="H1489" s="42" t="str">
        <f>IFERROR(G1489*E1471,"")</f>
        <v/>
      </c>
    </row>
    <row r="1490" spans="1:11" ht="13.5" thickTop="1" thickBot="1"/>
    <row r="1491" spans="1:11" ht="26.25" thickTop="1" thickBot="1">
      <c r="A1491" s="6" t="s">
        <v>1025</v>
      </c>
      <c r="B1491" s="7" t="str">
        <f>VLOOKUP($A1491,Presupuesto!$A:$D,2,FALSE())</f>
        <v>Tablero de distribución Monofásico bifilar de 8-12 circuitos, hasta 125 amperios. Empotrado o sobreponer. Certificación RETIE</v>
      </c>
      <c r="C1491" s="8" t="str">
        <f>VLOOKUP($A1491,Presupuesto!$A:$D,3,FALSE())</f>
        <v>Un</v>
      </c>
      <c r="D1491" s="9"/>
      <c r="E1491" s="10">
        <f>VLOOKUP($A1491,Presupuesto!$A:$D,4,FALSE())</f>
        <v>0</v>
      </c>
      <c r="F1491" s="11" t="s">
        <v>2589</v>
      </c>
      <c r="G1491" s="12">
        <f>SUM(G1493:G1509)/2</f>
        <v>458334.43809956254</v>
      </c>
      <c r="H1491" s="13">
        <f>ROUND(SUM(H1493:H1509),0)/2</f>
        <v>0</v>
      </c>
      <c r="I1491" s="10">
        <f>VLOOKUP(A1491,Presupuesto!$A:$F,6,0)</f>
        <v>0</v>
      </c>
      <c r="J1491" s="10">
        <f>+H1491-I1491</f>
        <v>0</v>
      </c>
      <c r="K1491" s="46">
        <f>+H1491-G1491*E1491</f>
        <v>0</v>
      </c>
    </row>
    <row r="1492" spans="1:11">
      <c r="A1492" s="14"/>
      <c r="B1492" s="15" t="s">
        <v>2586</v>
      </c>
      <c r="C1492" s="15" t="s">
        <v>5</v>
      </c>
      <c r="D1492" s="16" t="s">
        <v>6</v>
      </c>
      <c r="E1492" s="17" t="s">
        <v>7</v>
      </c>
      <c r="F1492" s="18" t="s">
        <v>3728</v>
      </c>
      <c r="G1492" s="19" t="s">
        <v>3729</v>
      </c>
      <c r="H1492" s="20" t="s">
        <v>3797</v>
      </c>
    </row>
    <row r="1493" spans="1:11">
      <c r="A1493" s="21"/>
      <c r="B1493" s="22" t="s">
        <v>3730</v>
      </c>
      <c r="C1493" s="23"/>
      <c r="D1493" s="24"/>
      <c r="E1493" s="25"/>
      <c r="F1493" s="26"/>
      <c r="G1493" s="27">
        <f>SUM(G1494:G1498)</f>
        <v>369693.71250000002</v>
      </c>
      <c r="H1493" s="27">
        <f>IFERROR(G1493*E1491,"")</f>
        <v>0</v>
      </c>
    </row>
    <row r="1494" spans="1:11">
      <c r="A1494" s="28"/>
      <c r="B1494" s="135" t="s">
        <v>3343</v>
      </c>
      <c r="C1494" s="30" t="str">
        <f>IFERROR(_xlfn.XLOOKUP(B1494,Insumo[DESCRIPCION],Insumo[UND],,0),"")</f>
        <v>Un</v>
      </c>
      <c r="D1494" s="31">
        <v>1</v>
      </c>
      <c r="E1494" s="32">
        <f>IFERROR(_xlfn.XLOOKUP($B1494,Insumo[DESCRIPCION],Insumo[VALOR],,0),"")</f>
        <v>100083.1125</v>
      </c>
      <c r="F1494" s="33"/>
      <c r="G1494" s="34">
        <f>IFERROR(IF(F1494&gt;=0,D1494*E1494*(1+F1494/100),ABS(D1494*E1494/F1494)),"")</f>
        <v>100083.1125</v>
      </c>
      <c r="H1494" s="43">
        <f>IFERROR(G1494*E1491,"")</f>
        <v>0</v>
      </c>
    </row>
    <row r="1495" spans="1:11">
      <c r="A1495" s="28"/>
      <c r="B1495" s="29" t="s">
        <v>2763</v>
      </c>
      <c r="C1495" s="30" t="str">
        <f>IFERROR(_xlfn.XLOOKUP(B1495,Insumo[DESCRIPCION],Insumo[UND],,0),"")</f>
        <v>Un</v>
      </c>
      <c r="D1495" s="31">
        <v>8</v>
      </c>
      <c r="E1495" s="32">
        <f>IFERROR(_xlfn.XLOOKUP($B1495,Insumo[DESCRIPCION],Insumo[VALOR],,0),"")</f>
        <v>17731.350000000002</v>
      </c>
      <c r="F1495" s="33"/>
      <c r="G1495" s="34">
        <f>IFERROR(IF(F1495&gt;=0,D1495*E1495*(1+F1495/100),ABS(D1495*E1495/F1495)),"")</f>
        <v>141850.80000000002</v>
      </c>
      <c r="H1495" s="43">
        <f>IFERROR(G1495*E1491,"")</f>
        <v>0</v>
      </c>
    </row>
    <row r="1496" spans="1:11">
      <c r="A1496" s="28"/>
      <c r="B1496" s="29" t="s">
        <v>2764</v>
      </c>
      <c r="C1496" s="30" t="str">
        <f>IFERROR(_xlfn.XLOOKUP(B1496,Insumo[DESCRIPCION],Insumo[UND],,0),"")</f>
        <v>Un</v>
      </c>
      <c r="D1496" s="31">
        <v>4</v>
      </c>
      <c r="E1496" s="32">
        <f>IFERROR(_xlfn.XLOOKUP($B1496,Insumo[DESCRIPCION],Insumo[VALOR],,0),"")</f>
        <v>25347</v>
      </c>
      <c r="F1496" s="33"/>
      <c r="G1496" s="34">
        <f>IFERROR(IF(F1496&gt;=0,D1496*E1496*(1+F1496/100),ABS(D1496*E1496/F1496)),"")</f>
        <v>101388</v>
      </c>
      <c r="H1496" s="43">
        <f>IFERROR(G1496*E1491,"")</f>
        <v>0</v>
      </c>
    </row>
    <row r="1497" spans="1:11">
      <c r="A1497" s="28"/>
      <c r="B1497" s="29" t="s">
        <v>2834</v>
      </c>
      <c r="C1497" s="30" t="str">
        <f>IFERROR(_xlfn.XLOOKUP(B1497,Insumo[DESCRIPCION],Insumo[UND],,0),"")</f>
        <v>Un</v>
      </c>
      <c r="D1497" s="31">
        <v>4</v>
      </c>
      <c r="E1497" s="32">
        <f>IFERROR(_xlfn.XLOOKUP($B1497,Insumo[DESCRIPCION],Insumo[VALOR],,0),"")</f>
        <v>6592.9500000000007</v>
      </c>
      <c r="F1497" s="33"/>
      <c r="G1497" s="34">
        <f>IFERROR(IF(F1497&gt;=0,D1497*E1497*(1+F1497/100),ABS(D1497*E1497/F1497)),"")</f>
        <v>26371.800000000003</v>
      </c>
      <c r="H1497" s="43">
        <f>IFERROR(G1497*E1491,"")</f>
        <v>0</v>
      </c>
    </row>
    <row r="1498" spans="1:11">
      <c r="A1498" s="28"/>
      <c r="B1498" s="29"/>
      <c r="C1498" s="30" t="str">
        <f>IFERROR(_xlfn.XLOOKUP(B1498,Insumo[DESCRIPCION],Insumo[UND],,0),"")</f>
        <v/>
      </c>
      <c r="D1498" s="31"/>
      <c r="E1498" s="32" t="str">
        <f>IFERROR(_xlfn.XLOOKUP($B1498,Insumo[DESCRIPCION],Insumo[VALOR],,0),"")</f>
        <v/>
      </c>
      <c r="F1498" s="33"/>
      <c r="G1498" s="34" t="str">
        <f>IFERROR(IF(F1498&gt;=0,D1498*E1498*(1+F1498/100),ABS(D1498*E1498/F1498)),"")</f>
        <v/>
      </c>
      <c r="H1498" s="43" t="str">
        <f>IFERROR(G1498*E1491,"")</f>
        <v/>
      </c>
    </row>
    <row r="1499" spans="1:11">
      <c r="A1499" s="21"/>
      <c r="B1499" s="22" t="s">
        <v>3731</v>
      </c>
      <c r="C1499" s="23"/>
      <c r="D1499" s="24"/>
      <c r="E1499" s="25"/>
      <c r="F1499" s="26"/>
      <c r="G1499" s="27">
        <f>SUM(G1500:G1502)</f>
        <v>4220.9869333125016</v>
      </c>
      <c r="H1499" s="44">
        <f>G1499*E1491</f>
        <v>0</v>
      </c>
    </row>
    <row r="1500" spans="1:11">
      <c r="A1500" s="28"/>
      <c r="B1500" s="29" t="s">
        <v>3626</v>
      </c>
      <c r="C1500" s="30" t="str">
        <f>IFERROR(_xlfn.XLOOKUP(B1500,Equipo[DESCRIPCION],Equipo[UND],,0),"")</f>
        <v>%MO</v>
      </c>
      <c r="D1500" s="31">
        <v>0.05</v>
      </c>
      <c r="E1500" s="32">
        <f>IF(C1500="%MO",G1506,IFERROR(_xlfn.XLOOKUP($B1500,Equipo[DESCRIPCION],Equipo[VALOR],,0),""))</f>
        <v>84419.738666250021</v>
      </c>
      <c r="F1500" s="33"/>
      <c r="G1500" s="34">
        <f>IFERROR(IF(F1500&gt;=0,D1500*E1500*(1+F1500/100),ABS(D1500*E1500/F1500)),"")</f>
        <v>4220.9869333125016</v>
      </c>
      <c r="H1500" s="43">
        <f>IFERROR(G1500*E1491,"")</f>
        <v>0</v>
      </c>
    </row>
    <row r="1501" spans="1:11">
      <c r="A1501" s="28"/>
      <c r="B1501" s="29"/>
      <c r="C1501" s="30" t="str">
        <f>IFERROR(_xlfn.XLOOKUP(B1501,Equipo[DESCRIPCION],Equipo[UND],,0),"")</f>
        <v/>
      </c>
      <c r="D1501" s="31"/>
      <c r="E1501" s="32" t="str">
        <f>IF(C1501="%MO",G1506,IFERROR(_xlfn.XLOOKUP($B1501,Equipo[DESCRIPCION],Equipo[VALOR],,0),""))</f>
        <v/>
      </c>
      <c r="F1501" s="33"/>
      <c r="G1501" s="34" t="str">
        <f>IFERROR(IF(F1501&gt;=0,D1501*E1501*(1+F1501/100),ABS(D1501*E1501/F1501)),"")</f>
        <v/>
      </c>
      <c r="H1501" s="43" t="str">
        <f>IFERROR(G1501*E1491,"")</f>
        <v/>
      </c>
    </row>
    <row r="1502" spans="1:11">
      <c r="A1502" s="28"/>
      <c r="B1502" s="29"/>
      <c r="C1502" s="30" t="str">
        <f>IFERROR(_xlfn.XLOOKUP(B1502,Equipo[DESCRIPCION],Equipo[UND],,0),"")</f>
        <v/>
      </c>
      <c r="D1502" s="31"/>
      <c r="E1502" s="32" t="str">
        <f>IF(C1502="%MO",G1506,IFERROR(_xlfn.XLOOKUP($B1502,Equipo[DESCRIPCION],Equipo[VALOR],,0),""))</f>
        <v/>
      </c>
      <c r="F1502" s="33"/>
      <c r="G1502" s="34" t="str">
        <f>IFERROR(IF(F1502&gt;=0,D1502*E1502*(1+F1502/100),ABS(D1502*E1502/F1502)),"")</f>
        <v/>
      </c>
      <c r="H1502" s="43" t="str">
        <f>IFERROR(G1502*E1491,"")</f>
        <v/>
      </c>
    </row>
    <row r="1503" spans="1:11">
      <c r="A1503" s="21"/>
      <c r="B1503" s="22" t="s">
        <v>2533</v>
      </c>
      <c r="C1503" s="23"/>
      <c r="D1503" s="24"/>
      <c r="E1503" s="25"/>
      <c r="F1503" s="26"/>
      <c r="G1503" s="27">
        <f>SUM(G1504:G1505)</f>
        <v>0</v>
      </c>
      <c r="H1503" s="44">
        <f>G1503*E1491</f>
        <v>0</v>
      </c>
    </row>
    <row r="1504" spans="1:11">
      <c r="A1504" s="28"/>
      <c r="B1504" s="29"/>
      <c r="C1504" s="30" t="str">
        <f>IFERROR(_xlfn.XLOOKUP(B1504,Transporte[DESCRIPCION],Transporte[UND],,0),"")</f>
        <v/>
      </c>
      <c r="D1504" s="31"/>
      <c r="E1504" s="32" t="str">
        <f>IFERROR(_xlfn.XLOOKUP($B1504,Transporte[DESCRIPCION],Transporte[VALOR],,0),"")</f>
        <v/>
      </c>
      <c r="F1504" s="33"/>
      <c r="G1504" s="34" t="str">
        <f>IFERROR(IF(F1504&gt;=0,D1504*E1504*(1+F1504/100),ABS(D1504*E1504/F1504)),"")</f>
        <v/>
      </c>
      <c r="H1504" s="43" t="str">
        <f>IFERROR(G1504*E1491,"")</f>
        <v/>
      </c>
    </row>
    <row r="1505" spans="1:11">
      <c r="A1505" s="28"/>
      <c r="B1505" s="29"/>
      <c r="C1505" s="30" t="str">
        <f>IFERROR(_xlfn.XLOOKUP(B1505,Transporte[DESCRIPCION],Transporte[UND],,0),"")</f>
        <v/>
      </c>
      <c r="D1505" s="31"/>
      <c r="E1505" s="32" t="str">
        <f>IFERROR(_xlfn.XLOOKUP($B1505,Transporte[DESCRIPCION],Transporte[VALOR],,0),"")</f>
        <v/>
      </c>
      <c r="F1505" s="33"/>
      <c r="G1505" s="34" t="str">
        <f>IFERROR(IF(F1505&gt;=0,D1505*E1505*(1+F1505/100),ABS(D1505*E1505/F1505)),"")</f>
        <v/>
      </c>
      <c r="H1505" s="43" t="str">
        <f>IFERROR(G1505*E1491,"")</f>
        <v/>
      </c>
    </row>
    <row r="1506" spans="1:11">
      <c r="A1506" s="21"/>
      <c r="B1506" s="22" t="s">
        <v>3732</v>
      </c>
      <c r="C1506" s="23"/>
      <c r="D1506" s="24"/>
      <c r="E1506" s="25"/>
      <c r="F1506" s="26"/>
      <c r="G1506" s="27">
        <f>SUM(G1507:G1509)</f>
        <v>84419.738666250021</v>
      </c>
      <c r="H1506" s="44">
        <f>G1506*E1491</f>
        <v>0</v>
      </c>
    </row>
    <row r="1507" spans="1:11">
      <c r="A1507" s="28"/>
      <c r="B1507" s="29" t="s">
        <v>3715</v>
      </c>
      <c r="C1507" s="30" t="str">
        <f>IFERROR(_xlfn.XLOOKUP(B1507,MObra[DESCRIPCION],MObra[UN],,0),"")</f>
        <v>día</v>
      </c>
      <c r="D1507" s="31">
        <v>1</v>
      </c>
      <c r="E1507" s="32">
        <f>IFERROR(_xlfn.XLOOKUP($B1507,MObra[DESCRIPCION],MObra[VALOR UNIT],,0),"")</f>
        <v>337678.95466500008</v>
      </c>
      <c r="F1507" s="33">
        <v>-4</v>
      </c>
      <c r="G1507" s="34">
        <f>IFERROR(IF(F1507&gt;=0,D1507*E1507*(1+F1507/100),ABS(D1507*E1507/F1507)),"")</f>
        <v>84419.738666250021</v>
      </c>
      <c r="H1507" s="43">
        <f>IFERROR(G1507*E1491,"")</f>
        <v>0</v>
      </c>
    </row>
    <row r="1508" spans="1:11">
      <c r="A1508" s="28"/>
      <c r="B1508" s="29"/>
      <c r="C1508" s="30" t="str">
        <f t="array" ref="C1508">IFERROR(_xlfn.XLOOKUP(B1508,MObra[[#All],[DESCRIPCION]],MObra[[#All],[UN]],,0),"")</f>
        <v/>
      </c>
      <c r="D1508" s="31"/>
      <c r="E1508" s="32" t="str">
        <f>IFERROR(_xlfn.XLOOKUP($B1508,MObra[DESCRIPCION],MObra[VALOR UNIT],,0),"")</f>
        <v/>
      </c>
      <c r="F1508" s="33"/>
      <c r="G1508" s="34" t="str">
        <f>IFERROR(IF(F1508&gt;=0,D1508*E1508*(1+F1508/100),ABS(D1508*E1508/F1508)),"")</f>
        <v/>
      </c>
      <c r="H1508" s="43" t="str">
        <f>IFERROR(G1508*E1491,"")</f>
        <v/>
      </c>
    </row>
    <row r="1509" spans="1:11">
      <c r="A1509" s="35"/>
      <c r="B1509" s="36"/>
      <c r="C1509" s="37" t="str">
        <f t="array" ref="C1509">IFERROR(_xlfn.XLOOKUP(B1509,MObra[[#All],[DESCRIPCION]],MObra[[#All],[UN]],,0),"")</f>
        <v/>
      </c>
      <c r="D1509" s="38"/>
      <c r="E1509" s="39" t="str">
        <f>IFERROR(_xlfn.XLOOKUP($B1509,MObra[DESCRIPCION],MObra[VALOR UNIT],,0),"")</f>
        <v/>
      </c>
      <c r="F1509" s="40"/>
      <c r="G1509" s="41" t="str">
        <f>IFERROR(IF(F1509&gt;=0,D1509*E1509*(1+F1509/100),ABS(D1509*E1509/F1509)),"")</f>
        <v/>
      </c>
      <c r="H1509" s="42" t="str">
        <f>IFERROR(G1509*E1491,"")</f>
        <v/>
      </c>
    </row>
    <row r="1510" spans="1:11" ht="12.75" customHeight="1" thickTop="1" thickBot="1"/>
    <row r="1511" spans="1:11" ht="26.25" thickTop="1" thickBot="1">
      <c r="A1511" s="6" t="s">
        <v>1027</v>
      </c>
      <c r="B1511" s="7" t="str">
        <f>VLOOKUP($A1511,Presupuesto!$A:$D,2,FALSE())</f>
        <v>Tablero de distribución Monofásico bifilar de 18-24 circuitos, hasta 125 amperios. Empotrado o sobreponer. Certificación RETIE</v>
      </c>
      <c r="C1511" s="8" t="str">
        <f>VLOOKUP($A1511,Presupuesto!$A:$D,3,FALSE())</f>
        <v>Un</v>
      </c>
      <c r="D1511" s="9"/>
      <c r="E1511" s="10">
        <f>VLOOKUP($A1511,Presupuesto!$A:$D,4,FALSE())</f>
        <v>0</v>
      </c>
      <c r="F1511" s="11" t="s">
        <v>2589</v>
      </c>
      <c r="G1511" s="12">
        <f>SUM(G1513:G1529)/2</f>
        <v>579953.83809956256</v>
      </c>
      <c r="H1511" s="13">
        <f>ROUND(SUM(H1513:H1529),0)/2</f>
        <v>0</v>
      </c>
      <c r="I1511" s="10">
        <f>VLOOKUP(A1511,Presupuesto!$A:$F,6,0)</f>
        <v>0</v>
      </c>
      <c r="J1511" s="10">
        <f>+H1511-I1511</f>
        <v>0</v>
      </c>
      <c r="K1511" s="46">
        <f>+H1511-G1511*E1511</f>
        <v>0</v>
      </c>
    </row>
    <row r="1512" spans="1:11">
      <c r="A1512" s="14"/>
      <c r="B1512" s="15" t="s">
        <v>2586</v>
      </c>
      <c r="C1512" s="15" t="s">
        <v>5</v>
      </c>
      <c r="D1512" s="16" t="s">
        <v>6</v>
      </c>
      <c r="E1512" s="17" t="s">
        <v>7</v>
      </c>
      <c r="F1512" s="18" t="s">
        <v>3728</v>
      </c>
      <c r="G1512" s="19" t="s">
        <v>3729</v>
      </c>
      <c r="H1512" s="20" t="s">
        <v>3797</v>
      </c>
    </row>
    <row r="1513" spans="1:11">
      <c r="A1513" s="21"/>
      <c r="B1513" s="22" t="s">
        <v>3730</v>
      </c>
      <c r="C1513" s="23"/>
      <c r="D1513" s="24"/>
      <c r="E1513" s="25"/>
      <c r="F1513" s="26"/>
      <c r="G1513" s="27">
        <f>SUM(G1514:G1518)</f>
        <v>491313.11249999999</v>
      </c>
      <c r="H1513" s="27">
        <f>IFERROR(G1513*E1511,"")</f>
        <v>0</v>
      </c>
    </row>
    <row r="1514" spans="1:11">
      <c r="A1514" s="28"/>
      <c r="B1514" s="29" t="s">
        <v>3346</v>
      </c>
      <c r="C1514" s="30" t="str">
        <f>IFERROR(_xlfn.XLOOKUP(B1514,Insumo[DESCRIPCION],Insumo[UND],,0),"")</f>
        <v>Un</v>
      </c>
      <c r="D1514" s="31">
        <v>1</v>
      </c>
      <c r="E1514" s="32">
        <f>IFERROR(_xlfn.XLOOKUP($B1514,Insumo[DESCRIPCION],Insumo[VALOR],,0),"")</f>
        <v>100083.1125</v>
      </c>
      <c r="F1514" s="33"/>
      <c r="G1514" s="34">
        <f>IFERROR(IF(F1514&gt;=0,D1514*E1514*(1+F1514/100),ABS(D1514*E1514/F1514)),"")</f>
        <v>100083.1125</v>
      </c>
      <c r="H1514" s="43">
        <f>IFERROR(G1514*E1511,"")</f>
        <v>0</v>
      </c>
    </row>
    <row r="1515" spans="1:11">
      <c r="A1515" s="28"/>
      <c r="B1515" s="29" t="s">
        <v>2763</v>
      </c>
      <c r="C1515" s="30" t="str">
        <f>IFERROR(_xlfn.XLOOKUP(B1515,Insumo[DESCRIPCION],Insumo[UND],,0),"")</f>
        <v>Un</v>
      </c>
      <c r="D1515" s="31">
        <v>12</v>
      </c>
      <c r="E1515" s="32">
        <f>IFERROR(_xlfn.XLOOKUP($B1515,Insumo[DESCRIPCION],Insumo[VALOR],,0),"")</f>
        <v>17731.350000000002</v>
      </c>
      <c r="F1515" s="33"/>
      <c r="G1515" s="34">
        <f>IFERROR(IF(F1515&gt;=0,D1515*E1515*(1+F1515/100),ABS(D1515*E1515/F1515)),"")</f>
        <v>212776.2</v>
      </c>
      <c r="H1515" s="43">
        <f>IFERROR(G1515*E1511,"")</f>
        <v>0</v>
      </c>
    </row>
    <row r="1516" spans="1:11">
      <c r="A1516" s="28"/>
      <c r="B1516" s="29" t="s">
        <v>2764</v>
      </c>
      <c r="C1516" s="30" t="str">
        <f>IFERROR(_xlfn.XLOOKUP(B1516,Insumo[DESCRIPCION],Insumo[UND],,0),"")</f>
        <v>Un</v>
      </c>
      <c r="D1516" s="31">
        <v>6</v>
      </c>
      <c r="E1516" s="32">
        <f>IFERROR(_xlfn.XLOOKUP($B1516,Insumo[DESCRIPCION],Insumo[VALOR],,0),"")</f>
        <v>25347</v>
      </c>
      <c r="F1516" s="33"/>
      <c r="G1516" s="34">
        <f>IFERROR(IF(F1516&gt;=0,D1516*E1516*(1+F1516/100),ABS(D1516*E1516/F1516)),"")</f>
        <v>152082</v>
      </c>
      <c r="H1516" s="43">
        <f>IFERROR(G1516*E1511,"")</f>
        <v>0</v>
      </c>
    </row>
    <row r="1517" spans="1:11">
      <c r="A1517" s="28"/>
      <c r="B1517" s="29" t="s">
        <v>2834</v>
      </c>
      <c r="C1517" s="30" t="str">
        <f>IFERROR(_xlfn.XLOOKUP(B1517,Insumo[DESCRIPCION],Insumo[UND],,0),"")</f>
        <v>Un</v>
      </c>
      <c r="D1517" s="31">
        <v>4</v>
      </c>
      <c r="E1517" s="32">
        <f>IFERROR(_xlfn.XLOOKUP($B1517,Insumo[DESCRIPCION],Insumo[VALOR],,0),"")</f>
        <v>6592.9500000000007</v>
      </c>
      <c r="F1517" s="33"/>
      <c r="G1517" s="34">
        <f>IFERROR(IF(F1517&gt;=0,D1517*E1517*(1+F1517/100),ABS(D1517*E1517/F1517)),"")</f>
        <v>26371.800000000003</v>
      </c>
      <c r="H1517" s="43">
        <f>IFERROR(G1517*E1511,"")</f>
        <v>0</v>
      </c>
    </row>
    <row r="1518" spans="1:11">
      <c r="A1518" s="28"/>
      <c r="B1518" s="29"/>
      <c r="C1518" s="30" t="str">
        <f>IFERROR(_xlfn.XLOOKUP(B1518,Insumo[DESCRIPCION],Insumo[UND],,0),"")</f>
        <v/>
      </c>
      <c r="D1518" s="31"/>
      <c r="E1518" s="32" t="str">
        <f>IFERROR(_xlfn.XLOOKUP($B1518,Insumo[DESCRIPCION],Insumo[VALOR],,0),"")</f>
        <v/>
      </c>
      <c r="F1518" s="33"/>
      <c r="G1518" s="34" t="str">
        <f>IFERROR(IF(F1518&gt;=0,D1518*E1518*(1+F1518/100),ABS(D1518*E1518/F1518)),"")</f>
        <v/>
      </c>
      <c r="H1518" s="43" t="str">
        <f>IFERROR(G1518*E1511,"")</f>
        <v/>
      </c>
    </row>
    <row r="1519" spans="1:11">
      <c r="A1519" s="21"/>
      <c r="B1519" s="22" t="s">
        <v>3731</v>
      </c>
      <c r="C1519" s="23"/>
      <c r="D1519" s="24"/>
      <c r="E1519" s="25"/>
      <c r="F1519" s="26"/>
      <c r="G1519" s="27">
        <f>SUM(G1520:G1522)</f>
        <v>4220.9869333125016</v>
      </c>
      <c r="H1519" s="44">
        <f>G1519*E1511</f>
        <v>0</v>
      </c>
    </row>
    <row r="1520" spans="1:11">
      <c r="A1520" s="28"/>
      <c r="B1520" s="29" t="s">
        <v>3626</v>
      </c>
      <c r="C1520" s="30" t="str">
        <f>IFERROR(_xlfn.XLOOKUP(B1520,Equipo[DESCRIPCION],Equipo[UND],,0),"")</f>
        <v>%MO</v>
      </c>
      <c r="D1520" s="31">
        <v>0.05</v>
      </c>
      <c r="E1520" s="32">
        <f>IF(C1520="%MO",G1526,IFERROR(_xlfn.XLOOKUP($B1520,Equipo[DESCRIPCION],Equipo[VALOR],,0),""))</f>
        <v>84419.738666250021</v>
      </c>
      <c r="F1520" s="33"/>
      <c r="G1520" s="34">
        <f>IFERROR(IF(F1520&gt;=0,D1520*E1520*(1+F1520/100),ABS(D1520*E1520/F1520)),"")</f>
        <v>4220.9869333125016</v>
      </c>
      <c r="H1520" s="43">
        <f>IFERROR(G1520*E1511,"")</f>
        <v>0</v>
      </c>
    </row>
    <row r="1521" spans="1:11">
      <c r="A1521" s="28"/>
      <c r="B1521" s="29"/>
      <c r="C1521" s="30" t="str">
        <f>IFERROR(_xlfn.XLOOKUP(B1521,Equipo[DESCRIPCION],Equipo[UND],,0),"")</f>
        <v/>
      </c>
      <c r="D1521" s="31"/>
      <c r="E1521" s="32" t="str">
        <f>IF(C1521="%MO",G1526,IFERROR(_xlfn.XLOOKUP($B1521,Equipo[DESCRIPCION],Equipo[VALOR],,0),""))</f>
        <v/>
      </c>
      <c r="F1521" s="33"/>
      <c r="G1521" s="34" t="str">
        <f>IFERROR(IF(F1521&gt;=0,D1521*E1521*(1+F1521/100),ABS(D1521*E1521/F1521)),"")</f>
        <v/>
      </c>
      <c r="H1521" s="43" t="str">
        <f>IFERROR(G1521*E1511,"")</f>
        <v/>
      </c>
    </row>
    <row r="1522" spans="1:11">
      <c r="A1522" s="28"/>
      <c r="B1522" s="29"/>
      <c r="C1522" s="30" t="str">
        <f>IFERROR(_xlfn.XLOOKUP(B1522,Equipo[DESCRIPCION],Equipo[UND],,0),"")</f>
        <v/>
      </c>
      <c r="D1522" s="31"/>
      <c r="E1522" s="32" t="str">
        <f>IF(C1522="%MO",G1526,IFERROR(_xlfn.XLOOKUP($B1522,Equipo[DESCRIPCION],Equipo[VALOR],,0),""))</f>
        <v/>
      </c>
      <c r="F1522" s="33"/>
      <c r="G1522" s="34" t="str">
        <f>IFERROR(IF(F1522&gt;=0,D1522*E1522*(1+F1522/100),ABS(D1522*E1522/F1522)),"")</f>
        <v/>
      </c>
      <c r="H1522" s="43" t="str">
        <f>IFERROR(G1522*E1511,"")</f>
        <v/>
      </c>
    </row>
    <row r="1523" spans="1:11">
      <c r="A1523" s="21"/>
      <c r="B1523" s="22" t="s">
        <v>2533</v>
      </c>
      <c r="C1523" s="23"/>
      <c r="D1523" s="24"/>
      <c r="E1523" s="25"/>
      <c r="F1523" s="26"/>
      <c r="G1523" s="27">
        <f>SUM(G1524:G1525)</f>
        <v>0</v>
      </c>
      <c r="H1523" s="44">
        <f>G1523*E1511</f>
        <v>0</v>
      </c>
    </row>
    <row r="1524" spans="1:11">
      <c r="A1524" s="28"/>
      <c r="B1524" s="29"/>
      <c r="C1524" s="30" t="str">
        <f>IFERROR(_xlfn.XLOOKUP(B1524,Transporte[DESCRIPCION],Transporte[UND],,0),"")</f>
        <v/>
      </c>
      <c r="D1524" s="31"/>
      <c r="E1524" s="32" t="str">
        <f>IFERROR(_xlfn.XLOOKUP($B1524,Transporte[DESCRIPCION],Transporte[VALOR],,0),"")</f>
        <v/>
      </c>
      <c r="F1524" s="33"/>
      <c r="G1524" s="34" t="str">
        <f>IFERROR(IF(F1524&gt;=0,D1524*E1524*(1+F1524/100),ABS(D1524*E1524/F1524)),"")</f>
        <v/>
      </c>
      <c r="H1524" s="43" t="str">
        <f>IFERROR(G1524*E1511,"")</f>
        <v/>
      </c>
    </row>
    <row r="1525" spans="1:11">
      <c r="A1525" s="28"/>
      <c r="B1525" s="29"/>
      <c r="C1525" s="30" t="str">
        <f>IFERROR(_xlfn.XLOOKUP(B1525,Transporte[DESCRIPCION],Transporte[UND],,0),"")</f>
        <v/>
      </c>
      <c r="D1525" s="31"/>
      <c r="E1525" s="32" t="str">
        <f>IFERROR(_xlfn.XLOOKUP($B1525,Transporte[DESCRIPCION],Transporte[VALOR],,0),"")</f>
        <v/>
      </c>
      <c r="F1525" s="33"/>
      <c r="G1525" s="34" t="str">
        <f>IFERROR(IF(F1525&gt;=0,D1525*E1525*(1+F1525/100),ABS(D1525*E1525/F1525)),"")</f>
        <v/>
      </c>
      <c r="H1525" s="43" t="str">
        <f>IFERROR(G1525*E1511,"")</f>
        <v/>
      </c>
    </row>
    <row r="1526" spans="1:11">
      <c r="A1526" s="21"/>
      <c r="B1526" s="22" t="s">
        <v>3732</v>
      </c>
      <c r="C1526" s="23"/>
      <c r="D1526" s="24"/>
      <c r="E1526" s="25"/>
      <c r="F1526" s="26"/>
      <c r="G1526" s="27">
        <f>SUM(G1527:G1529)</f>
        <v>84419.738666250021</v>
      </c>
      <c r="H1526" s="44">
        <f>G1526*E1511</f>
        <v>0</v>
      </c>
    </row>
    <row r="1527" spans="1:11">
      <c r="A1527" s="28"/>
      <c r="B1527" s="29" t="s">
        <v>3715</v>
      </c>
      <c r="C1527" s="30" t="str">
        <f>IFERROR(_xlfn.XLOOKUP(B1527,MObra[DESCRIPCION],MObra[UN],,0),"")</f>
        <v>día</v>
      </c>
      <c r="D1527" s="31">
        <v>1</v>
      </c>
      <c r="E1527" s="32">
        <f>IFERROR(_xlfn.XLOOKUP($B1527,MObra[DESCRIPCION],MObra[VALOR UNIT],,0),"")</f>
        <v>337678.95466500008</v>
      </c>
      <c r="F1527" s="33">
        <v>-4</v>
      </c>
      <c r="G1527" s="34">
        <f>IFERROR(IF(F1527&gt;=0,D1527*E1527*(1+F1527/100),ABS(D1527*E1527/F1527)),"")</f>
        <v>84419.738666250021</v>
      </c>
      <c r="H1527" s="43">
        <f>IFERROR(G1527*E1511,"")</f>
        <v>0</v>
      </c>
    </row>
    <row r="1528" spans="1:11">
      <c r="A1528" s="28"/>
      <c r="B1528" s="29"/>
      <c r="C1528" s="30" t="str">
        <f t="array" ref="C1528">IFERROR(_xlfn.XLOOKUP(B1528,MObra[[#All],[DESCRIPCION]],MObra[[#All],[UN]],,0),"")</f>
        <v/>
      </c>
      <c r="D1528" s="31"/>
      <c r="E1528" s="32" t="str">
        <f>IFERROR(_xlfn.XLOOKUP($B1528,MObra[DESCRIPCION],MObra[VALOR UNIT],,0),"")</f>
        <v/>
      </c>
      <c r="F1528" s="33"/>
      <c r="G1528" s="34" t="str">
        <f>IFERROR(IF(F1528&gt;=0,D1528*E1528*(1+F1528/100),ABS(D1528*E1528/F1528)),"")</f>
        <v/>
      </c>
      <c r="H1528" s="43" t="str">
        <f>IFERROR(G1528*E1511,"")</f>
        <v/>
      </c>
    </row>
    <row r="1529" spans="1:11">
      <c r="A1529" s="35"/>
      <c r="B1529" s="36"/>
      <c r="C1529" s="37" t="str">
        <f t="array" ref="C1529">IFERROR(_xlfn.XLOOKUP(B1529,MObra[[#All],[DESCRIPCION]],MObra[[#All],[UN]],,0),"")</f>
        <v/>
      </c>
      <c r="D1529" s="38"/>
      <c r="E1529" s="39" t="str">
        <f>IFERROR(_xlfn.XLOOKUP($B1529,MObra[DESCRIPCION],MObra[VALOR UNIT],,0),"")</f>
        <v/>
      </c>
      <c r="F1529" s="40"/>
      <c r="G1529" s="41" t="str">
        <f>IFERROR(IF(F1529&gt;=0,D1529*E1529*(1+F1529/100),ABS(D1529*E1529/F1529)),"")</f>
        <v/>
      </c>
      <c r="H1529" s="42" t="str">
        <f>IFERROR(G1529*E1511,"")</f>
        <v/>
      </c>
    </row>
    <row r="1530" spans="1:11" ht="13.5" thickTop="1" thickBot="1"/>
    <row r="1531" spans="1:11" ht="26.25" thickTop="1" thickBot="1">
      <c r="A1531" s="6" t="s">
        <v>1029</v>
      </c>
      <c r="B1531" s="7" t="str">
        <f>VLOOKUP($A1531,Presupuesto!$A:$D,2,FALSE())</f>
        <v>Tablero con espacio para totalizador Monofásico trifilar de 18-24 circuitos 175 amperios. Empotrado o sobreponer. Certificación RETIE</v>
      </c>
      <c r="C1531" s="8" t="str">
        <f>VLOOKUP($A1531,Presupuesto!$A:$D,3,FALSE())</f>
        <v>Un</v>
      </c>
      <c r="D1531" s="9"/>
      <c r="E1531" s="10">
        <f>VLOOKUP($A1531,Presupuesto!$A:$D,4,FALSE())</f>
        <v>0</v>
      </c>
      <c r="F1531" s="11" t="s">
        <v>2589</v>
      </c>
      <c r="G1531" s="12">
        <f>SUM(G1533:G1549)/2</f>
        <v>759672.29449945327</v>
      </c>
      <c r="H1531" s="13">
        <f>ROUND(SUM(H1533:H1549),0)/2</f>
        <v>0</v>
      </c>
      <c r="I1531" s="10">
        <f>VLOOKUP(A1531,Presupuesto!$A:$F,6,0)</f>
        <v>0</v>
      </c>
      <c r="J1531" s="10">
        <f>+H1531-I1531</f>
        <v>0</v>
      </c>
      <c r="K1531" s="46">
        <f>+H1531-G1531*E1531</f>
        <v>0</v>
      </c>
    </row>
    <row r="1532" spans="1:11">
      <c r="A1532" s="14"/>
      <c r="B1532" s="15" t="s">
        <v>2586</v>
      </c>
      <c r="C1532" s="15" t="s">
        <v>5</v>
      </c>
      <c r="D1532" s="16" t="s">
        <v>6</v>
      </c>
      <c r="E1532" s="17" t="s">
        <v>7</v>
      </c>
      <c r="F1532" s="18" t="s">
        <v>3728</v>
      </c>
      <c r="G1532" s="19" t="s">
        <v>3729</v>
      </c>
      <c r="H1532" s="20" t="s">
        <v>3797</v>
      </c>
    </row>
    <row r="1533" spans="1:11">
      <c r="A1533" s="21"/>
      <c r="B1533" s="22" t="s">
        <v>3730</v>
      </c>
      <c r="C1533" s="23"/>
      <c r="D1533" s="24"/>
      <c r="E1533" s="25"/>
      <c r="F1533" s="26"/>
      <c r="G1533" s="27">
        <f>SUM(G1534:G1538)</f>
        <v>648871.38750000007</v>
      </c>
      <c r="H1533" s="27">
        <f>IFERROR(G1533*E1531,"")</f>
        <v>0</v>
      </c>
    </row>
    <row r="1534" spans="1:11" ht="25.5">
      <c r="A1534" s="28"/>
      <c r="B1534" s="135" t="s">
        <v>3347</v>
      </c>
      <c r="C1534" s="30" t="str">
        <f>IFERROR(_xlfn.XLOOKUP(B1534,Insumo[DESCRIPCION],Insumo[UND],,0),"")</f>
        <v>Un</v>
      </c>
      <c r="D1534" s="31">
        <v>1</v>
      </c>
      <c r="E1534" s="32">
        <f>IFERROR(_xlfn.XLOOKUP($B1534,Insumo[DESCRIPCION],Insumo[VALOR],,0),"")</f>
        <v>257641.38750000001</v>
      </c>
      <c r="F1534" s="33"/>
      <c r="G1534" s="34">
        <f>IFERROR(IF(F1534&gt;=0,D1534*E1534*(1+F1534/100),ABS(D1534*E1534/F1534)),"")</f>
        <v>257641.38750000001</v>
      </c>
      <c r="H1534" s="43">
        <f>IFERROR(G1534*E1531,"")</f>
        <v>0</v>
      </c>
    </row>
    <row r="1535" spans="1:11">
      <c r="A1535" s="28"/>
      <c r="B1535" s="29" t="s">
        <v>2763</v>
      </c>
      <c r="C1535" s="30" t="str">
        <f>IFERROR(_xlfn.XLOOKUP(B1535,Insumo[DESCRIPCION],Insumo[UND],,0),"")</f>
        <v>Un</v>
      </c>
      <c r="D1535" s="31">
        <v>12</v>
      </c>
      <c r="E1535" s="32">
        <f>IFERROR(_xlfn.XLOOKUP($B1535,Insumo[DESCRIPCION],Insumo[VALOR],,0),"")</f>
        <v>17731.350000000002</v>
      </c>
      <c r="F1535" s="33"/>
      <c r="G1535" s="34">
        <f>IFERROR(IF(F1535&gt;=0,D1535*E1535*(1+F1535/100),ABS(D1535*E1535/F1535)),"")</f>
        <v>212776.2</v>
      </c>
      <c r="H1535" s="43">
        <f>IFERROR(G1535*E1531,"")</f>
        <v>0</v>
      </c>
    </row>
    <row r="1536" spans="1:11">
      <c r="A1536" s="28"/>
      <c r="B1536" s="29" t="s">
        <v>2764</v>
      </c>
      <c r="C1536" s="30" t="str">
        <f>IFERROR(_xlfn.XLOOKUP(B1536,Insumo[DESCRIPCION],Insumo[UND],,0),"")</f>
        <v>Un</v>
      </c>
      <c r="D1536" s="31">
        <v>6</v>
      </c>
      <c r="E1536" s="32">
        <f>IFERROR(_xlfn.XLOOKUP($B1536,Insumo[DESCRIPCION],Insumo[VALOR],,0),"")</f>
        <v>25347</v>
      </c>
      <c r="F1536" s="33"/>
      <c r="G1536" s="34">
        <f>IFERROR(IF(F1536&gt;=0,D1536*E1536*(1+F1536/100),ABS(D1536*E1536/F1536)),"")</f>
        <v>152082</v>
      </c>
      <c r="H1536" s="43">
        <f>IFERROR(G1536*E1531,"")</f>
        <v>0</v>
      </c>
    </row>
    <row r="1537" spans="1:11">
      <c r="A1537" s="28"/>
      <c r="B1537" s="29" t="s">
        <v>2834</v>
      </c>
      <c r="C1537" s="30" t="str">
        <f>IFERROR(_xlfn.XLOOKUP(B1537,Insumo[DESCRIPCION],Insumo[UND],,0),"")</f>
        <v>Un</v>
      </c>
      <c r="D1537" s="31">
        <v>4</v>
      </c>
      <c r="E1537" s="32">
        <f>IFERROR(_xlfn.XLOOKUP($B1537,Insumo[DESCRIPCION],Insumo[VALOR],,0),"")</f>
        <v>6592.9500000000007</v>
      </c>
      <c r="F1537" s="33"/>
      <c r="G1537" s="34">
        <f>IFERROR(IF(F1537&gt;=0,D1537*E1537*(1+F1537/100),ABS(D1537*E1537/F1537)),"")</f>
        <v>26371.800000000003</v>
      </c>
      <c r="H1537" s="43">
        <f>IFERROR(G1537*E1531,"")</f>
        <v>0</v>
      </c>
    </row>
    <row r="1538" spans="1:11">
      <c r="A1538" s="28"/>
      <c r="B1538" s="29"/>
      <c r="C1538" s="30" t="str">
        <f>IFERROR(_xlfn.XLOOKUP(B1538,Insumo[DESCRIPCION],Insumo[UND],,0),"")</f>
        <v/>
      </c>
      <c r="D1538" s="31"/>
      <c r="E1538" s="32" t="str">
        <f>IFERROR(_xlfn.XLOOKUP($B1538,Insumo[DESCRIPCION],Insumo[VALOR],,0),"")</f>
        <v/>
      </c>
      <c r="F1538" s="33"/>
      <c r="G1538" s="34" t="str">
        <f>IFERROR(IF(F1538&gt;=0,D1538*E1538*(1+F1538/100),ABS(D1538*E1538/F1538)),"")</f>
        <v/>
      </c>
      <c r="H1538" s="43" t="str">
        <f>IFERROR(G1538*E1531,"")</f>
        <v/>
      </c>
    </row>
    <row r="1539" spans="1:11">
      <c r="A1539" s="21"/>
      <c r="B1539" s="22" t="s">
        <v>3731</v>
      </c>
      <c r="C1539" s="23"/>
      <c r="D1539" s="24"/>
      <c r="E1539" s="25"/>
      <c r="F1539" s="26"/>
      <c r="G1539" s="27">
        <f>SUM(G1540:G1542)</f>
        <v>5276.2336666406263</v>
      </c>
      <c r="H1539" s="44">
        <f>G1539*E1531</f>
        <v>0</v>
      </c>
    </row>
    <row r="1540" spans="1:11">
      <c r="A1540" s="28"/>
      <c r="B1540" s="29" t="s">
        <v>3626</v>
      </c>
      <c r="C1540" s="30" t="str">
        <f>IFERROR(_xlfn.XLOOKUP(B1540,Equipo[DESCRIPCION],Equipo[UND],,0),"")</f>
        <v>%MO</v>
      </c>
      <c r="D1540" s="31">
        <v>0.05</v>
      </c>
      <c r="E1540" s="32">
        <f>IF(C1540="%MO",G1546,IFERROR(_xlfn.XLOOKUP($B1540,Equipo[DESCRIPCION],Equipo[VALOR],,0),""))</f>
        <v>105524.67333281253</v>
      </c>
      <c r="F1540" s="33"/>
      <c r="G1540" s="34">
        <f>IFERROR(IF(F1540&gt;=0,D1540*E1540*(1+F1540/100),ABS(D1540*E1540/F1540)),"")</f>
        <v>5276.2336666406263</v>
      </c>
      <c r="H1540" s="43">
        <f>IFERROR(G1540*E1531,"")</f>
        <v>0</v>
      </c>
    </row>
    <row r="1541" spans="1:11">
      <c r="A1541" s="28"/>
      <c r="B1541" s="29"/>
      <c r="C1541" s="30" t="str">
        <f>IFERROR(_xlfn.XLOOKUP(B1541,Equipo[DESCRIPCION],Equipo[UND],,0),"")</f>
        <v/>
      </c>
      <c r="D1541" s="31"/>
      <c r="E1541" s="32" t="str">
        <f>IF(C1541="%MO",G1546,IFERROR(_xlfn.XLOOKUP($B1541,Equipo[DESCRIPCION],Equipo[VALOR],,0),""))</f>
        <v/>
      </c>
      <c r="F1541" s="33"/>
      <c r="G1541" s="34" t="str">
        <f>IFERROR(IF(F1541&gt;=0,D1541*E1541*(1+F1541/100),ABS(D1541*E1541/F1541)),"")</f>
        <v/>
      </c>
      <c r="H1541" s="43" t="str">
        <f>IFERROR(G1541*E1531,"")</f>
        <v/>
      </c>
    </row>
    <row r="1542" spans="1:11">
      <c r="A1542" s="28"/>
      <c r="B1542" s="29"/>
      <c r="C1542" s="30" t="str">
        <f>IFERROR(_xlfn.XLOOKUP(B1542,Equipo[DESCRIPCION],Equipo[UND],,0),"")</f>
        <v/>
      </c>
      <c r="D1542" s="31"/>
      <c r="E1542" s="32" t="str">
        <f>IF(C1542="%MO",G1546,IFERROR(_xlfn.XLOOKUP($B1542,Equipo[DESCRIPCION],Equipo[VALOR],,0),""))</f>
        <v/>
      </c>
      <c r="F1542" s="33"/>
      <c r="G1542" s="34" t="str">
        <f>IFERROR(IF(F1542&gt;=0,D1542*E1542*(1+F1542/100),ABS(D1542*E1542/F1542)),"")</f>
        <v/>
      </c>
      <c r="H1542" s="43" t="str">
        <f>IFERROR(G1542*E1531,"")</f>
        <v/>
      </c>
    </row>
    <row r="1543" spans="1:11">
      <c r="A1543" s="21"/>
      <c r="B1543" s="22" t="s">
        <v>2533</v>
      </c>
      <c r="C1543" s="23"/>
      <c r="D1543" s="24"/>
      <c r="E1543" s="25"/>
      <c r="F1543" s="26"/>
      <c r="G1543" s="27">
        <f>SUM(G1544:G1545)</f>
        <v>0</v>
      </c>
      <c r="H1543" s="44">
        <f>G1543*E1531</f>
        <v>0</v>
      </c>
    </row>
    <row r="1544" spans="1:11">
      <c r="A1544" s="28"/>
      <c r="B1544" s="29"/>
      <c r="C1544" s="30" t="str">
        <f>IFERROR(_xlfn.XLOOKUP(B1544,Transporte[DESCRIPCION],Transporte[UND],,0),"")</f>
        <v/>
      </c>
      <c r="D1544" s="31"/>
      <c r="E1544" s="32" t="str">
        <f>IFERROR(_xlfn.XLOOKUP($B1544,Transporte[DESCRIPCION],Transporte[VALOR],,0),"")</f>
        <v/>
      </c>
      <c r="F1544" s="33"/>
      <c r="G1544" s="34" t="str">
        <f>IFERROR(IF(F1544&gt;=0,D1544*E1544*(1+F1544/100),ABS(D1544*E1544/F1544)),"")</f>
        <v/>
      </c>
      <c r="H1544" s="43" t="str">
        <f>IFERROR(G1544*E1531,"")</f>
        <v/>
      </c>
    </row>
    <row r="1545" spans="1:11">
      <c r="A1545" s="28"/>
      <c r="B1545" s="29"/>
      <c r="C1545" s="30" t="str">
        <f>IFERROR(_xlfn.XLOOKUP(B1545,Transporte[DESCRIPCION],Transporte[UND],,0),"")</f>
        <v/>
      </c>
      <c r="D1545" s="31"/>
      <c r="E1545" s="32" t="str">
        <f>IFERROR(_xlfn.XLOOKUP($B1545,Transporte[DESCRIPCION],Transporte[VALOR],,0),"")</f>
        <v/>
      </c>
      <c r="F1545" s="33"/>
      <c r="G1545" s="34" t="str">
        <f>IFERROR(IF(F1545&gt;=0,D1545*E1545*(1+F1545/100),ABS(D1545*E1545/F1545)),"")</f>
        <v/>
      </c>
      <c r="H1545" s="43" t="str">
        <f>IFERROR(G1545*E1531,"")</f>
        <v/>
      </c>
    </row>
    <row r="1546" spans="1:11">
      <c r="A1546" s="21"/>
      <c r="B1546" s="22" t="s">
        <v>3732</v>
      </c>
      <c r="C1546" s="23"/>
      <c r="D1546" s="24"/>
      <c r="E1546" s="25"/>
      <c r="F1546" s="26"/>
      <c r="G1546" s="27">
        <f>SUM(G1547:G1549)</f>
        <v>105524.67333281253</v>
      </c>
      <c r="H1546" s="44">
        <f>G1546*E1531</f>
        <v>0</v>
      </c>
    </row>
    <row r="1547" spans="1:11">
      <c r="A1547" s="28"/>
      <c r="B1547" s="29" t="s">
        <v>3715</v>
      </c>
      <c r="C1547" s="30" t="str">
        <f>IFERROR(_xlfn.XLOOKUP(B1547,MObra[DESCRIPCION],MObra[UN],,0),"")</f>
        <v>día</v>
      </c>
      <c r="D1547" s="31">
        <v>1</v>
      </c>
      <c r="E1547" s="32">
        <f>IFERROR(_xlfn.XLOOKUP($B1547,MObra[DESCRIPCION],MObra[VALOR UNIT],,0),"")</f>
        <v>337678.95466500008</v>
      </c>
      <c r="F1547" s="33">
        <v>-3.2</v>
      </c>
      <c r="G1547" s="34">
        <f>IFERROR(IF(F1547&gt;=0,D1547*E1547*(1+F1547/100),ABS(D1547*E1547/F1547)),"")</f>
        <v>105524.67333281253</v>
      </c>
      <c r="H1547" s="43">
        <f>IFERROR(G1547*E1531,"")</f>
        <v>0</v>
      </c>
    </row>
    <row r="1548" spans="1:11">
      <c r="A1548" s="28"/>
      <c r="B1548" s="29"/>
      <c r="C1548" s="30" t="str">
        <f t="array" ref="C1548">IFERROR(_xlfn.XLOOKUP(B1548,MObra[[#All],[DESCRIPCION]],MObra[[#All],[UN]],,0),"")</f>
        <v/>
      </c>
      <c r="D1548" s="31"/>
      <c r="E1548" s="32" t="str">
        <f>IFERROR(_xlfn.XLOOKUP($B1548,MObra[DESCRIPCION],MObra[VALOR UNIT],,0),"")</f>
        <v/>
      </c>
      <c r="F1548" s="33"/>
      <c r="G1548" s="34" t="str">
        <f>IFERROR(IF(F1548&gt;=0,D1548*E1548*(1+F1548/100),ABS(D1548*E1548/F1548)),"")</f>
        <v/>
      </c>
      <c r="H1548" s="43" t="str">
        <f>IFERROR(G1548*E1531,"")</f>
        <v/>
      </c>
    </row>
    <row r="1549" spans="1:11">
      <c r="A1549" s="35"/>
      <c r="B1549" s="36"/>
      <c r="C1549" s="37" t="str">
        <f t="array" ref="C1549">IFERROR(_xlfn.XLOOKUP(B1549,MObra[[#All],[DESCRIPCION]],MObra[[#All],[UN]],,0),"")</f>
        <v/>
      </c>
      <c r="D1549" s="38"/>
      <c r="E1549" s="39" t="str">
        <f>IFERROR(_xlfn.XLOOKUP($B1549,MObra[DESCRIPCION],MObra[VALOR UNIT],,0),"")</f>
        <v/>
      </c>
      <c r="F1549" s="40"/>
      <c r="G1549" s="41" t="str">
        <f>IFERROR(IF(F1549&gt;=0,D1549*E1549*(1+F1549/100),ABS(D1549*E1549/F1549)),"")</f>
        <v/>
      </c>
      <c r="H1549" s="42" t="str">
        <f>IFERROR(G1549*E1531,"")</f>
        <v/>
      </c>
    </row>
    <row r="1550" spans="1:11" ht="12.75" customHeight="1" thickTop="1" thickBot="1"/>
    <row r="1551" spans="1:11" ht="26.25" thickTop="1" thickBot="1">
      <c r="A1551" s="6" t="s">
        <v>1031</v>
      </c>
      <c r="B1551" s="7" t="str">
        <f>VLOOKUP($A1551,Presupuesto!$A:$D,2,FALSE())</f>
        <v>Tablero de incrustar con puerta. Monofásico trifilar de 24 circuitos 175 amperios. Certificación RETIE</v>
      </c>
      <c r="C1551" s="8" t="str">
        <f>VLOOKUP($A1551,Presupuesto!$A:$D,3,FALSE())</f>
        <v>Un</v>
      </c>
      <c r="D1551" s="9"/>
      <c r="E1551" s="10">
        <f>VLOOKUP($A1551,Presupuesto!$A:$D,4,FALSE())</f>
        <v>0</v>
      </c>
      <c r="F1551" s="11" t="s">
        <v>2589</v>
      </c>
      <c r="G1551" s="12">
        <f>SUM(G1553:G1569)/2</f>
        <v>1182525.6466327496</v>
      </c>
      <c r="H1551" s="13">
        <f>ROUND(SUM(H1553:H1569),0)/2</f>
        <v>0</v>
      </c>
      <c r="I1551" s="10">
        <f>VLOOKUP(A1551,Presupuesto!$A:$F,6,0)</f>
        <v>0</v>
      </c>
      <c r="J1551" s="10">
        <f>+H1551-I1551</f>
        <v>0</v>
      </c>
      <c r="K1551" s="46">
        <f>+H1551-G1551*E1551</f>
        <v>0</v>
      </c>
    </row>
    <row r="1552" spans="1:11">
      <c r="A1552" s="14"/>
      <c r="B1552" s="15" t="s">
        <v>2586</v>
      </c>
      <c r="C1552" s="15" t="s">
        <v>5</v>
      </c>
      <c r="D1552" s="16" t="s">
        <v>6</v>
      </c>
      <c r="E1552" s="17" t="s">
        <v>7</v>
      </c>
      <c r="F1552" s="18" t="s">
        <v>3728</v>
      </c>
      <c r="G1552" s="19" t="s">
        <v>3729</v>
      </c>
      <c r="H1552" s="20" t="s">
        <v>3797</v>
      </c>
    </row>
    <row r="1553" spans="1:8">
      <c r="A1553" s="21"/>
      <c r="B1553" s="22" t="s">
        <v>3730</v>
      </c>
      <c r="C1553" s="23"/>
      <c r="D1553" s="24"/>
      <c r="E1553" s="25"/>
      <c r="F1553" s="26"/>
      <c r="G1553" s="27">
        <f>SUM(G1554:G1558)</f>
        <v>1064338.0125</v>
      </c>
      <c r="H1553" s="27">
        <f>IFERROR(G1553*E1551,"")</f>
        <v>0</v>
      </c>
    </row>
    <row r="1554" spans="1:8" ht="25.5">
      <c r="A1554" s="28"/>
      <c r="B1554" s="135" t="s">
        <v>3349</v>
      </c>
      <c r="C1554" s="30" t="str">
        <f>IFERROR(_xlfn.XLOOKUP(B1554,Insumo[DESCRIPCION],Insumo[UND],,0),"")</f>
        <v>Un</v>
      </c>
      <c r="D1554" s="31">
        <v>1</v>
      </c>
      <c r="E1554" s="32">
        <f>IFERROR(_xlfn.XLOOKUP($B1554,Insumo[DESCRIPCION],Insumo[VALOR],,0),"")</f>
        <v>566719.91249999998</v>
      </c>
      <c r="F1554" s="33"/>
      <c r="G1554" s="34">
        <f>IFERROR(IF(F1554&gt;=0,D1554*E1554*(1+F1554/100),ABS(D1554*E1554/F1554)),"")</f>
        <v>566719.91249999998</v>
      </c>
      <c r="H1554" s="43">
        <f>IFERROR(G1554*E1551,"")</f>
        <v>0</v>
      </c>
    </row>
    <row r="1555" spans="1:8">
      <c r="A1555" s="28"/>
      <c r="B1555" s="29" t="s">
        <v>2763</v>
      </c>
      <c r="C1555" s="30" t="str">
        <f>IFERROR(_xlfn.XLOOKUP(B1555,Insumo[DESCRIPCION],Insumo[UND],,0),"")</f>
        <v>Un</v>
      </c>
      <c r="D1555" s="31">
        <v>18</v>
      </c>
      <c r="E1555" s="32">
        <f>IFERROR(_xlfn.XLOOKUP($B1555,Insumo[DESCRIPCION],Insumo[VALOR],,0),"")</f>
        <v>17731.350000000002</v>
      </c>
      <c r="F1555" s="33"/>
      <c r="G1555" s="34">
        <f>IFERROR(IF(F1555&gt;=0,D1555*E1555*(1+F1555/100),ABS(D1555*E1555/F1555)),"")</f>
        <v>319164.30000000005</v>
      </c>
      <c r="H1555" s="43">
        <f>IFERROR(G1555*E1551,"")</f>
        <v>0</v>
      </c>
    </row>
    <row r="1556" spans="1:8">
      <c r="A1556" s="28"/>
      <c r="B1556" s="29" t="s">
        <v>2764</v>
      </c>
      <c r="C1556" s="30" t="str">
        <f>IFERROR(_xlfn.XLOOKUP(B1556,Insumo[DESCRIPCION],Insumo[UND],,0),"")</f>
        <v>Un</v>
      </c>
      <c r="D1556" s="31">
        <v>6</v>
      </c>
      <c r="E1556" s="32">
        <f>IFERROR(_xlfn.XLOOKUP($B1556,Insumo[DESCRIPCION],Insumo[VALOR],,0),"")</f>
        <v>25347</v>
      </c>
      <c r="F1556" s="33"/>
      <c r="G1556" s="34">
        <f>IFERROR(IF(F1556&gt;=0,D1556*E1556*(1+F1556/100),ABS(D1556*E1556/F1556)),"")</f>
        <v>152082</v>
      </c>
      <c r="H1556" s="43">
        <f>IFERROR(G1556*E1551,"")</f>
        <v>0</v>
      </c>
    </row>
    <row r="1557" spans="1:8">
      <c r="A1557" s="28"/>
      <c r="B1557" s="29" t="s">
        <v>2834</v>
      </c>
      <c r="C1557" s="30" t="str">
        <f>IFERROR(_xlfn.XLOOKUP(B1557,Insumo[DESCRIPCION],Insumo[UND],,0),"")</f>
        <v>Un</v>
      </c>
      <c r="D1557" s="31">
        <v>4</v>
      </c>
      <c r="E1557" s="32">
        <f>IFERROR(_xlfn.XLOOKUP($B1557,Insumo[DESCRIPCION],Insumo[VALOR],,0),"")</f>
        <v>6592.9500000000007</v>
      </c>
      <c r="F1557" s="33"/>
      <c r="G1557" s="34">
        <f>IFERROR(IF(F1557&gt;=0,D1557*E1557*(1+F1557/100),ABS(D1557*E1557/F1557)),"")</f>
        <v>26371.800000000003</v>
      </c>
      <c r="H1557" s="43">
        <f>IFERROR(G1557*E1551,"")</f>
        <v>0</v>
      </c>
    </row>
    <row r="1558" spans="1:8">
      <c r="A1558" s="28"/>
      <c r="B1558" s="29"/>
      <c r="C1558" s="30" t="str">
        <f>IFERROR(_xlfn.XLOOKUP(B1558,Insumo[DESCRIPCION],Insumo[UND],,0),"")</f>
        <v/>
      </c>
      <c r="D1558" s="31"/>
      <c r="E1558" s="32" t="str">
        <f>IFERROR(_xlfn.XLOOKUP($B1558,Insumo[DESCRIPCION],Insumo[VALOR],,0),"")</f>
        <v/>
      </c>
      <c r="F1558" s="33"/>
      <c r="G1558" s="34" t="str">
        <f>IFERROR(IF(F1558&gt;=0,D1558*E1558*(1+F1558/100),ABS(D1558*E1558/F1558)),"")</f>
        <v/>
      </c>
      <c r="H1558" s="43" t="str">
        <f>IFERROR(G1558*E1551,"")</f>
        <v/>
      </c>
    </row>
    <row r="1559" spans="1:8">
      <c r="A1559" s="21"/>
      <c r="B1559" s="22" t="s">
        <v>3731</v>
      </c>
      <c r="C1559" s="23"/>
      <c r="D1559" s="24"/>
      <c r="E1559" s="25"/>
      <c r="F1559" s="26"/>
      <c r="G1559" s="27">
        <f>SUM(G1560:G1562)</f>
        <v>5627.9825777500018</v>
      </c>
      <c r="H1559" s="44">
        <f>G1559*E1551</f>
        <v>0</v>
      </c>
    </row>
    <row r="1560" spans="1:8">
      <c r="A1560" s="28"/>
      <c r="B1560" s="29" t="s">
        <v>3626</v>
      </c>
      <c r="C1560" s="30" t="str">
        <f>IFERROR(_xlfn.XLOOKUP(B1560,Equipo[DESCRIPCION],Equipo[UND],,0),"")</f>
        <v>%MO</v>
      </c>
      <c r="D1560" s="31">
        <v>0.05</v>
      </c>
      <c r="E1560" s="32">
        <f>IF(C1560="%MO",G1566,IFERROR(_xlfn.XLOOKUP($B1560,Equipo[DESCRIPCION],Equipo[VALOR],,0),""))</f>
        <v>112559.65155500003</v>
      </c>
      <c r="F1560" s="33"/>
      <c r="G1560" s="34">
        <f>IFERROR(IF(F1560&gt;=0,D1560*E1560*(1+F1560/100),ABS(D1560*E1560/F1560)),"")</f>
        <v>5627.9825777500018</v>
      </c>
      <c r="H1560" s="43">
        <f>IFERROR(G1560*E1551,"")</f>
        <v>0</v>
      </c>
    </row>
    <row r="1561" spans="1:8">
      <c r="A1561" s="28"/>
      <c r="B1561" s="29"/>
      <c r="C1561" s="30" t="str">
        <f>IFERROR(_xlfn.XLOOKUP(B1561,Equipo[DESCRIPCION],Equipo[UND],,0),"")</f>
        <v/>
      </c>
      <c r="D1561" s="31"/>
      <c r="E1561" s="32" t="str">
        <f>IF(C1561="%MO",G1566,IFERROR(_xlfn.XLOOKUP($B1561,Equipo[DESCRIPCION],Equipo[VALOR],,0),""))</f>
        <v/>
      </c>
      <c r="F1561" s="33"/>
      <c r="G1561" s="34" t="str">
        <f>IFERROR(IF(F1561&gt;=0,D1561*E1561*(1+F1561/100),ABS(D1561*E1561/F1561)),"")</f>
        <v/>
      </c>
      <c r="H1561" s="43" t="str">
        <f>IFERROR(G1561*E1551,"")</f>
        <v/>
      </c>
    </row>
    <row r="1562" spans="1:8">
      <c r="A1562" s="28"/>
      <c r="B1562" s="29"/>
      <c r="C1562" s="30" t="str">
        <f>IFERROR(_xlfn.XLOOKUP(B1562,Equipo[DESCRIPCION],Equipo[UND],,0),"")</f>
        <v/>
      </c>
      <c r="D1562" s="31"/>
      <c r="E1562" s="32" t="str">
        <f>IF(C1562="%MO",G1566,IFERROR(_xlfn.XLOOKUP($B1562,Equipo[DESCRIPCION],Equipo[VALOR],,0),""))</f>
        <v/>
      </c>
      <c r="F1562" s="33"/>
      <c r="G1562" s="34" t="str">
        <f>IFERROR(IF(F1562&gt;=0,D1562*E1562*(1+F1562/100),ABS(D1562*E1562/F1562)),"")</f>
        <v/>
      </c>
      <c r="H1562" s="43" t="str">
        <f>IFERROR(G1562*E1551,"")</f>
        <v/>
      </c>
    </row>
    <row r="1563" spans="1:8">
      <c r="A1563" s="21"/>
      <c r="B1563" s="22" t="s">
        <v>2533</v>
      </c>
      <c r="C1563" s="23"/>
      <c r="D1563" s="24"/>
      <c r="E1563" s="25"/>
      <c r="F1563" s="26"/>
      <c r="G1563" s="27">
        <f>SUM(G1564:G1565)</f>
        <v>0</v>
      </c>
      <c r="H1563" s="44">
        <f>G1563*E1551</f>
        <v>0</v>
      </c>
    </row>
    <row r="1564" spans="1:8">
      <c r="A1564" s="28"/>
      <c r="B1564" s="29"/>
      <c r="C1564" s="30" t="str">
        <f>IFERROR(_xlfn.XLOOKUP(B1564,Transporte[DESCRIPCION],Transporte[UND],,0),"")</f>
        <v/>
      </c>
      <c r="D1564" s="31"/>
      <c r="E1564" s="32" t="str">
        <f>IFERROR(_xlfn.XLOOKUP($B1564,Transporte[DESCRIPCION],Transporte[VALOR],,0),"")</f>
        <v/>
      </c>
      <c r="F1564" s="33"/>
      <c r="G1564" s="34" t="str">
        <f>IFERROR(IF(F1564&gt;=0,D1564*E1564*(1+F1564/100),ABS(D1564*E1564/F1564)),"")</f>
        <v/>
      </c>
      <c r="H1564" s="43" t="str">
        <f>IFERROR(G1564*E1551,"")</f>
        <v/>
      </c>
    </row>
    <row r="1565" spans="1:8">
      <c r="A1565" s="28"/>
      <c r="B1565" s="29"/>
      <c r="C1565" s="30" t="str">
        <f>IFERROR(_xlfn.XLOOKUP(B1565,Transporte[DESCRIPCION],Transporte[UND],,0),"")</f>
        <v/>
      </c>
      <c r="D1565" s="31"/>
      <c r="E1565" s="32" t="str">
        <f>IFERROR(_xlfn.XLOOKUP($B1565,Transporte[DESCRIPCION],Transporte[VALOR],,0),"")</f>
        <v/>
      </c>
      <c r="F1565" s="33"/>
      <c r="G1565" s="34" t="str">
        <f>IFERROR(IF(F1565&gt;=0,D1565*E1565*(1+F1565/100),ABS(D1565*E1565/F1565)),"")</f>
        <v/>
      </c>
      <c r="H1565" s="43" t="str">
        <f>IFERROR(G1565*E1551,"")</f>
        <v/>
      </c>
    </row>
    <row r="1566" spans="1:8">
      <c r="A1566" s="21"/>
      <c r="B1566" s="22" t="s">
        <v>3732</v>
      </c>
      <c r="C1566" s="23"/>
      <c r="D1566" s="24"/>
      <c r="E1566" s="25"/>
      <c r="F1566" s="26"/>
      <c r="G1566" s="27">
        <f>SUM(G1567:G1569)</f>
        <v>112559.65155500003</v>
      </c>
      <c r="H1566" s="44">
        <f>G1566*E1551</f>
        <v>0</v>
      </c>
    </row>
    <row r="1567" spans="1:8">
      <c r="A1567" s="28"/>
      <c r="B1567" s="29" t="s">
        <v>3715</v>
      </c>
      <c r="C1567" s="30" t="str">
        <f>IFERROR(_xlfn.XLOOKUP(B1567,MObra[DESCRIPCION],MObra[UN],,0),"")</f>
        <v>día</v>
      </c>
      <c r="D1567" s="31">
        <v>1</v>
      </c>
      <c r="E1567" s="32">
        <f>IFERROR(_xlfn.XLOOKUP($B1567,MObra[DESCRIPCION],MObra[VALOR UNIT],,0),"")</f>
        <v>337678.95466500008</v>
      </c>
      <c r="F1567" s="33">
        <v>-3</v>
      </c>
      <c r="G1567" s="34">
        <f>IFERROR(IF(F1567&gt;=0,D1567*E1567*(1+F1567/100),ABS(D1567*E1567/F1567)),"")</f>
        <v>112559.65155500003</v>
      </c>
      <c r="H1567" s="43">
        <f>IFERROR(G1567*E1551,"")</f>
        <v>0</v>
      </c>
    </row>
    <row r="1568" spans="1:8">
      <c r="A1568" s="28"/>
      <c r="B1568" s="29"/>
      <c r="C1568" s="30" t="str">
        <f t="array" ref="C1568">IFERROR(_xlfn.XLOOKUP(B1568,MObra[[#All],[DESCRIPCION]],MObra[[#All],[UN]],,0),"")</f>
        <v/>
      </c>
      <c r="D1568" s="31"/>
      <c r="E1568" s="32" t="str">
        <f>IFERROR(_xlfn.XLOOKUP($B1568,MObra[DESCRIPCION],MObra[VALOR UNIT],,0),"")</f>
        <v/>
      </c>
      <c r="F1568" s="33"/>
      <c r="G1568" s="34" t="str">
        <f>IFERROR(IF(F1568&gt;=0,D1568*E1568*(1+F1568/100),ABS(D1568*E1568/F1568)),"")</f>
        <v/>
      </c>
      <c r="H1568" s="43" t="str">
        <f>IFERROR(G1568*E1551,"")</f>
        <v/>
      </c>
    </row>
    <row r="1569" spans="1:11">
      <c r="A1569" s="35"/>
      <c r="B1569" s="36"/>
      <c r="C1569" s="37" t="str">
        <f t="array" ref="C1569">IFERROR(_xlfn.XLOOKUP(B1569,MObra[[#All],[DESCRIPCION]],MObra[[#All],[UN]],,0),"")</f>
        <v/>
      </c>
      <c r="D1569" s="38"/>
      <c r="E1569" s="39" t="str">
        <f>IFERROR(_xlfn.XLOOKUP($B1569,MObra[DESCRIPCION],MObra[VALOR UNIT],,0),"")</f>
        <v/>
      </c>
      <c r="F1569" s="40"/>
      <c r="G1569" s="41" t="str">
        <f>IFERROR(IF(F1569&gt;=0,D1569*E1569*(1+F1569/100),ABS(D1569*E1569/F1569)),"")</f>
        <v/>
      </c>
      <c r="H1569" s="42" t="str">
        <f>IFERROR(G1569*E1551,"")</f>
        <v/>
      </c>
    </row>
    <row r="1570" spans="1:11" ht="12.75" customHeight="1" thickTop="1" thickBot="1"/>
    <row r="1571" spans="1:11" ht="26.25" thickTop="1" thickBot="1">
      <c r="A1571" s="6" t="s">
        <v>1033</v>
      </c>
      <c r="B1571" s="7" t="str">
        <f>VLOOKUP($A1571,Presupuesto!$A:$D,2,FALSE())</f>
        <v>Tablero de incrustar con puerta. Monofásico trifilar de 30 circuitos 175 amperios. Certificación RETIE</v>
      </c>
      <c r="C1571" s="8" t="str">
        <f>VLOOKUP($A1571,Presupuesto!$A:$D,3,FALSE())</f>
        <v>Un</v>
      </c>
      <c r="D1571" s="9"/>
      <c r="E1571" s="10">
        <f>VLOOKUP($A1571,Presupuesto!$A:$D,4,FALSE())</f>
        <v>0</v>
      </c>
      <c r="F1571" s="11" t="s">
        <v>2589</v>
      </c>
      <c r="G1571" s="12">
        <f>SUM(G1573:G1589)/2</f>
        <v>1153672.4341327499</v>
      </c>
      <c r="H1571" s="13">
        <f>ROUND(SUM(H1573:H1589),0)/2</f>
        <v>0</v>
      </c>
      <c r="I1571" s="10">
        <f>VLOOKUP(A1571,Presupuesto!$A:$F,6,0)</f>
        <v>0</v>
      </c>
      <c r="J1571" s="10">
        <f>+H1571-I1571</f>
        <v>0</v>
      </c>
      <c r="K1571" s="46">
        <f>+H1571-G1571*E1571</f>
        <v>0</v>
      </c>
    </row>
    <row r="1572" spans="1:11">
      <c r="A1572" s="14"/>
      <c r="B1572" s="15" t="s">
        <v>2586</v>
      </c>
      <c r="C1572" s="15" t="s">
        <v>5</v>
      </c>
      <c r="D1572" s="16" t="s">
        <v>6</v>
      </c>
      <c r="E1572" s="17" t="s">
        <v>7</v>
      </c>
      <c r="F1572" s="18" t="s">
        <v>3728</v>
      </c>
      <c r="G1572" s="19" t="s">
        <v>3729</v>
      </c>
      <c r="H1572" s="20" t="s">
        <v>3797</v>
      </c>
    </row>
    <row r="1573" spans="1:11">
      <c r="A1573" s="21"/>
      <c r="B1573" s="22" t="s">
        <v>3730</v>
      </c>
      <c r="C1573" s="23"/>
      <c r="D1573" s="24"/>
      <c r="E1573" s="25"/>
      <c r="F1573" s="26"/>
      <c r="G1573" s="27">
        <f>SUM(G1574:G1578)</f>
        <v>1035484.8</v>
      </c>
      <c r="H1573" s="27">
        <f>IFERROR(G1573*E1571,"")</f>
        <v>0</v>
      </c>
    </row>
    <row r="1574" spans="1:11">
      <c r="A1574" s="28"/>
      <c r="B1574" s="135" t="s">
        <v>3351</v>
      </c>
      <c r="C1574" s="30" t="str">
        <f>IFERROR(_xlfn.XLOOKUP(B1574,Insumo[DESCRIPCION],Insumo[UND],,0),"")</f>
        <v>Un</v>
      </c>
      <c r="D1574" s="31">
        <v>1</v>
      </c>
      <c r="E1574" s="32">
        <f>IFERROR(_xlfn.XLOOKUP($B1574,Insumo[DESCRIPCION],Insumo[VALOR],,0),"")</f>
        <v>401016</v>
      </c>
      <c r="F1574" s="33"/>
      <c r="G1574" s="34">
        <f>IFERROR(IF(F1574&gt;=0,D1574*E1574*(1+F1574/100),ABS(D1574*E1574/F1574)),"")</f>
        <v>401016</v>
      </c>
      <c r="H1574" s="43">
        <f>IFERROR(G1574*E1571,"")</f>
        <v>0</v>
      </c>
    </row>
    <row r="1575" spans="1:11">
      <c r="A1575" s="28"/>
      <c r="B1575" s="29" t="s">
        <v>2763</v>
      </c>
      <c r="C1575" s="30" t="str">
        <f>IFERROR(_xlfn.XLOOKUP(B1575,Insumo[DESCRIPCION],Insumo[UND],,0),"")</f>
        <v>Un</v>
      </c>
      <c r="D1575" s="31">
        <v>20</v>
      </c>
      <c r="E1575" s="32">
        <f>IFERROR(_xlfn.XLOOKUP($B1575,Insumo[DESCRIPCION],Insumo[VALOR],,0),"")</f>
        <v>17731.350000000002</v>
      </c>
      <c r="F1575" s="33"/>
      <c r="G1575" s="34">
        <f>IFERROR(IF(F1575&gt;=0,D1575*E1575*(1+F1575/100),ABS(D1575*E1575/F1575)),"")</f>
        <v>354627.00000000006</v>
      </c>
      <c r="H1575" s="43">
        <f>IFERROR(G1575*E1571,"")</f>
        <v>0</v>
      </c>
    </row>
    <row r="1576" spans="1:11">
      <c r="A1576" s="28"/>
      <c r="B1576" s="29" t="s">
        <v>2764</v>
      </c>
      <c r="C1576" s="30" t="str">
        <f>IFERROR(_xlfn.XLOOKUP(B1576,Insumo[DESCRIPCION],Insumo[UND],,0),"")</f>
        <v>Un</v>
      </c>
      <c r="D1576" s="31">
        <v>10</v>
      </c>
      <c r="E1576" s="32">
        <f>IFERROR(_xlfn.XLOOKUP($B1576,Insumo[DESCRIPCION],Insumo[VALOR],,0),"")</f>
        <v>25347</v>
      </c>
      <c r="F1576" s="33"/>
      <c r="G1576" s="34">
        <f>IFERROR(IF(F1576&gt;=0,D1576*E1576*(1+F1576/100),ABS(D1576*E1576/F1576)),"")</f>
        <v>253470</v>
      </c>
      <c r="H1576" s="43">
        <f>IFERROR(G1576*E1571,"")</f>
        <v>0</v>
      </c>
    </row>
    <row r="1577" spans="1:11">
      <c r="A1577" s="28"/>
      <c r="B1577" s="29" t="s">
        <v>2834</v>
      </c>
      <c r="C1577" s="30" t="str">
        <f>IFERROR(_xlfn.XLOOKUP(B1577,Insumo[DESCRIPCION],Insumo[UND],,0),"")</f>
        <v>Un</v>
      </c>
      <c r="D1577" s="31">
        <v>4</v>
      </c>
      <c r="E1577" s="32">
        <f>IFERROR(_xlfn.XLOOKUP($B1577,Insumo[DESCRIPCION],Insumo[VALOR],,0),"")</f>
        <v>6592.9500000000007</v>
      </c>
      <c r="F1577" s="33"/>
      <c r="G1577" s="34">
        <f>IFERROR(IF(F1577&gt;=0,D1577*E1577*(1+F1577/100),ABS(D1577*E1577/F1577)),"")</f>
        <v>26371.800000000003</v>
      </c>
      <c r="H1577" s="43">
        <f>IFERROR(G1577*E1571,"")</f>
        <v>0</v>
      </c>
    </row>
    <row r="1578" spans="1:11">
      <c r="A1578" s="28"/>
      <c r="B1578" s="29"/>
      <c r="C1578" s="30" t="str">
        <f>IFERROR(_xlfn.XLOOKUP(B1578,Insumo[DESCRIPCION],Insumo[UND],,0),"")</f>
        <v/>
      </c>
      <c r="D1578" s="31"/>
      <c r="E1578" s="32" t="str">
        <f>IFERROR(_xlfn.XLOOKUP($B1578,Insumo[DESCRIPCION],Insumo[VALOR],,0),"")</f>
        <v/>
      </c>
      <c r="F1578" s="33"/>
      <c r="G1578" s="34" t="str">
        <f>IFERROR(IF(F1578&gt;=0,D1578*E1578*(1+F1578/100),ABS(D1578*E1578/F1578)),"")</f>
        <v/>
      </c>
      <c r="H1578" s="43" t="str">
        <f>IFERROR(G1578*E1571,"")</f>
        <v/>
      </c>
    </row>
    <row r="1579" spans="1:11">
      <c r="A1579" s="21"/>
      <c r="B1579" s="22" t="s">
        <v>3731</v>
      </c>
      <c r="C1579" s="23"/>
      <c r="D1579" s="24"/>
      <c r="E1579" s="25"/>
      <c r="F1579" s="26"/>
      <c r="G1579" s="27">
        <f>SUM(G1580:G1582)</f>
        <v>5627.9825777500018</v>
      </c>
      <c r="H1579" s="44">
        <f>G1579*E1571</f>
        <v>0</v>
      </c>
    </row>
    <row r="1580" spans="1:11">
      <c r="A1580" s="28"/>
      <c r="B1580" s="29" t="s">
        <v>3626</v>
      </c>
      <c r="C1580" s="30" t="str">
        <f>IFERROR(_xlfn.XLOOKUP(B1580,Equipo[DESCRIPCION],Equipo[UND],,0),"")</f>
        <v>%MO</v>
      </c>
      <c r="D1580" s="31">
        <v>0.05</v>
      </c>
      <c r="E1580" s="32">
        <f>IF(C1580="%MO",G1586,IFERROR(_xlfn.XLOOKUP($B1580,Equipo[DESCRIPCION],Equipo[VALOR],,0),""))</f>
        <v>112559.65155500003</v>
      </c>
      <c r="F1580" s="33"/>
      <c r="G1580" s="34">
        <f>IFERROR(IF(F1580&gt;=0,D1580*E1580*(1+F1580/100),ABS(D1580*E1580/F1580)),"")</f>
        <v>5627.9825777500018</v>
      </c>
      <c r="H1580" s="43">
        <f>IFERROR(G1580*E1571,"")</f>
        <v>0</v>
      </c>
    </row>
    <row r="1581" spans="1:11">
      <c r="A1581" s="28"/>
      <c r="B1581" s="29"/>
      <c r="C1581" s="30" t="str">
        <f>IFERROR(_xlfn.XLOOKUP(B1581,Equipo[DESCRIPCION],Equipo[UND],,0),"")</f>
        <v/>
      </c>
      <c r="D1581" s="31"/>
      <c r="E1581" s="32" t="str">
        <f>IF(C1581="%MO",G1586,IFERROR(_xlfn.XLOOKUP($B1581,Equipo[DESCRIPCION],Equipo[VALOR],,0),""))</f>
        <v/>
      </c>
      <c r="F1581" s="33"/>
      <c r="G1581" s="34" t="str">
        <f>IFERROR(IF(F1581&gt;=0,D1581*E1581*(1+F1581/100),ABS(D1581*E1581/F1581)),"")</f>
        <v/>
      </c>
      <c r="H1581" s="43" t="str">
        <f>IFERROR(G1581*E1571,"")</f>
        <v/>
      </c>
    </row>
    <row r="1582" spans="1:11">
      <c r="A1582" s="28"/>
      <c r="B1582" s="29"/>
      <c r="C1582" s="30" t="str">
        <f>IFERROR(_xlfn.XLOOKUP(B1582,Equipo[DESCRIPCION],Equipo[UND],,0),"")</f>
        <v/>
      </c>
      <c r="D1582" s="31"/>
      <c r="E1582" s="32" t="str">
        <f>IF(C1582="%MO",G1586,IFERROR(_xlfn.XLOOKUP($B1582,Equipo[DESCRIPCION],Equipo[VALOR],,0),""))</f>
        <v/>
      </c>
      <c r="F1582" s="33"/>
      <c r="G1582" s="34" t="str">
        <f>IFERROR(IF(F1582&gt;=0,D1582*E1582*(1+F1582/100),ABS(D1582*E1582/F1582)),"")</f>
        <v/>
      </c>
      <c r="H1582" s="43" t="str">
        <f>IFERROR(G1582*E1571,"")</f>
        <v/>
      </c>
    </row>
    <row r="1583" spans="1:11">
      <c r="A1583" s="21"/>
      <c r="B1583" s="22" t="s">
        <v>2533</v>
      </c>
      <c r="C1583" s="23"/>
      <c r="D1583" s="24"/>
      <c r="E1583" s="25"/>
      <c r="F1583" s="26"/>
      <c r="G1583" s="27">
        <f>SUM(G1584:G1585)</f>
        <v>0</v>
      </c>
      <c r="H1583" s="44">
        <f>G1583*E1571</f>
        <v>0</v>
      </c>
    </row>
    <row r="1584" spans="1:11">
      <c r="A1584" s="28"/>
      <c r="B1584" s="29"/>
      <c r="C1584" s="30" t="str">
        <f>IFERROR(_xlfn.XLOOKUP(B1584,Transporte[DESCRIPCION],Transporte[UND],,0),"")</f>
        <v/>
      </c>
      <c r="D1584" s="31"/>
      <c r="E1584" s="32" t="str">
        <f>IFERROR(_xlfn.XLOOKUP($B1584,Transporte[DESCRIPCION],Transporte[VALOR],,0),"")</f>
        <v/>
      </c>
      <c r="F1584" s="33"/>
      <c r="G1584" s="34" t="str">
        <f>IFERROR(IF(F1584&gt;=0,D1584*E1584*(1+F1584/100),ABS(D1584*E1584/F1584)),"")</f>
        <v/>
      </c>
      <c r="H1584" s="43" t="str">
        <f>IFERROR(G1584*E1571,"")</f>
        <v/>
      </c>
    </row>
    <row r="1585" spans="1:11">
      <c r="A1585" s="28"/>
      <c r="B1585" s="29"/>
      <c r="C1585" s="30" t="str">
        <f>IFERROR(_xlfn.XLOOKUP(B1585,Transporte[DESCRIPCION],Transporte[UND],,0),"")</f>
        <v/>
      </c>
      <c r="D1585" s="31"/>
      <c r="E1585" s="32" t="str">
        <f>IFERROR(_xlfn.XLOOKUP($B1585,Transporte[DESCRIPCION],Transporte[VALOR],,0),"")</f>
        <v/>
      </c>
      <c r="F1585" s="33"/>
      <c r="G1585" s="34" t="str">
        <f>IFERROR(IF(F1585&gt;=0,D1585*E1585*(1+F1585/100),ABS(D1585*E1585/F1585)),"")</f>
        <v/>
      </c>
      <c r="H1585" s="43" t="str">
        <f>IFERROR(G1585*E1571,"")</f>
        <v/>
      </c>
    </row>
    <row r="1586" spans="1:11">
      <c r="A1586" s="21"/>
      <c r="B1586" s="22" t="s">
        <v>3732</v>
      </c>
      <c r="C1586" s="23"/>
      <c r="D1586" s="24"/>
      <c r="E1586" s="25"/>
      <c r="F1586" s="26"/>
      <c r="G1586" s="27">
        <f>SUM(G1587:G1589)</f>
        <v>112559.65155500003</v>
      </c>
      <c r="H1586" s="44">
        <f>G1586*E1571</f>
        <v>0</v>
      </c>
    </row>
    <row r="1587" spans="1:11">
      <c r="A1587" s="28"/>
      <c r="B1587" s="29" t="s">
        <v>3715</v>
      </c>
      <c r="C1587" s="30" t="str">
        <f>IFERROR(_xlfn.XLOOKUP(B1587,MObra[DESCRIPCION],MObra[UN],,0),"")</f>
        <v>día</v>
      </c>
      <c r="D1587" s="31">
        <v>1</v>
      </c>
      <c r="E1587" s="32">
        <f>IFERROR(_xlfn.XLOOKUP($B1587,MObra[DESCRIPCION],MObra[VALOR UNIT],,0),"")</f>
        <v>337678.95466500008</v>
      </c>
      <c r="F1587" s="33">
        <v>-3</v>
      </c>
      <c r="G1587" s="34">
        <f>IFERROR(IF(F1587&gt;=0,D1587*E1587*(1+F1587/100),ABS(D1587*E1587/F1587)),"")</f>
        <v>112559.65155500003</v>
      </c>
      <c r="H1587" s="43">
        <f>IFERROR(G1587*E1571,"")</f>
        <v>0</v>
      </c>
    </row>
    <row r="1588" spans="1:11">
      <c r="A1588" s="28"/>
      <c r="B1588" s="29"/>
      <c r="C1588" s="30" t="str">
        <f t="array" ref="C1588">IFERROR(_xlfn.XLOOKUP(B1588,MObra[[#All],[DESCRIPCION]],MObra[[#All],[UN]],,0),"")</f>
        <v/>
      </c>
      <c r="D1588" s="31"/>
      <c r="E1588" s="32" t="str">
        <f>IFERROR(_xlfn.XLOOKUP($B1588,MObra[DESCRIPCION],MObra[VALOR UNIT],,0),"")</f>
        <v/>
      </c>
      <c r="F1588" s="33"/>
      <c r="G1588" s="34" t="str">
        <f>IFERROR(IF(F1588&gt;=0,D1588*E1588*(1+F1588/100),ABS(D1588*E1588/F1588)),"")</f>
        <v/>
      </c>
      <c r="H1588" s="43" t="str">
        <f>IFERROR(G1588*E1571,"")</f>
        <v/>
      </c>
    </row>
    <row r="1589" spans="1:11">
      <c r="A1589" s="35"/>
      <c r="B1589" s="36"/>
      <c r="C1589" s="37" t="str">
        <f t="array" ref="C1589">IFERROR(_xlfn.XLOOKUP(B1589,MObra[[#All],[DESCRIPCION]],MObra[[#All],[UN]],,0),"")</f>
        <v/>
      </c>
      <c r="D1589" s="38"/>
      <c r="E1589" s="39" t="str">
        <f>IFERROR(_xlfn.XLOOKUP($B1589,MObra[DESCRIPCION],MObra[VALOR UNIT],,0),"")</f>
        <v/>
      </c>
      <c r="F1589" s="40"/>
      <c r="G1589" s="41" t="str">
        <f>IFERROR(IF(F1589&gt;=0,D1589*E1589*(1+F1589/100),ABS(D1589*E1589/F1589)),"")</f>
        <v/>
      </c>
      <c r="H1589" s="42" t="str">
        <f>IFERROR(G1589*E1571,"")</f>
        <v/>
      </c>
    </row>
    <row r="1590" spans="1:11" ht="12.75" customHeight="1" thickTop="1" thickBot="1"/>
    <row r="1591" spans="1:11" ht="13.5" thickTop="1" thickBot="1">
      <c r="A1591" s="6" t="s">
        <v>1035</v>
      </c>
      <c r="B1591" s="7" t="str">
        <f>VLOOKUP($A1591,Presupuesto!$A:$D,2,FALSE())</f>
        <v>Toma corriente doble normal 120 Vac, 15 amperios, tipo Levinton con tapa</v>
      </c>
      <c r="C1591" s="8" t="str">
        <f>VLOOKUP($A1591,Presupuesto!$A:$D,3,FALSE())</f>
        <v>Un</v>
      </c>
      <c r="D1591" s="9"/>
      <c r="E1591" s="10">
        <f>VLOOKUP($A1591,Presupuesto!$A:$D,4,FALSE())</f>
        <v>0</v>
      </c>
      <c r="F1591" s="11" t="s">
        <v>2589</v>
      </c>
      <c r="G1591" s="12">
        <f>SUM(G1593:G1609)/2</f>
        <v>34074.766095930005</v>
      </c>
      <c r="H1591" s="13">
        <f>ROUND(SUM(H1593:H1609),0)/2</f>
        <v>0</v>
      </c>
      <c r="I1591" s="10">
        <f>VLOOKUP(A1591,Presupuesto!$A:$F,6,0)</f>
        <v>0</v>
      </c>
      <c r="J1591" s="10">
        <f>+H1591-I1591</f>
        <v>0</v>
      </c>
      <c r="K1591" s="46">
        <f>+H1591-G1591*E1591</f>
        <v>0</v>
      </c>
    </row>
    <row r="1592" spans="1:11">
      <c r="A1592" s="14"/>
      <c r="B1592" s="15" t="s">
        <v>2586</v>
      </c>
      <c r="C1592" s="15" t="s">
        <v>5</v>
      </c>
      <c r="D1592" s="16" t="s">
        <v>6</v>
      </c>
      <c r="E1592" s="17" t="s">
        <v>7</v>
      </c>
      <c r="F1592" s="18" t="s">
        <v>3728</v>
      </c>
      <c r="G1592" s="19" t="s">
        <v>3729</v>
      </c>
      <c r="H1592" s="20" t="s">
        <v>3797</v>
      </c>
    </row>
    <row r="1593" spans="1:11">
      <c r="A1593" s="21"/>
      <c r="B1593" s="22" t="s">
        <v>3730</v>
      </c>
      <c r="C1593" s="23"/>
      <c r="D1593" s="24"/>
      <c r="E1593" s="25"/>
      <c r="F1593" s="26"/>
      <c r="G1593" s="27">
        <f>SUM(G1594:G1598)</f>
        <v>19892.25</v>
      </c>
      <c r="H1593" s="27">
        <f>IFERROR(G1593*E1591,"")</f>
        <v>0</v>
      </c>
    </row>
    <row r="1594" spans="1:11">
      <c r="A1594" s="28"/>
      <c r="B1594" s="29" t="s">
        <v>3397</v>
      </c>
      <c r="C1594" s="30" t="str">
        <f>IFERROR(_xlfn.XLOOKUP(B1594,Insumo[DESCRIPCION],Insumo[UND],,0),"")</f>
        <v>Un</v>
      </c>
      <c r="D1594" s="31">
        <v>1</v>
      </c>
      <c r="E1594" s="32">
        <f>IFERROR(_xlfn.XLOOKUP($B1594,Insumo[DESCRIPCION],Insumo[VALOR],,0),"")</f>
        <v>15514.800000000001</v>
      </c>
      <c r="F1594" s="33"/>
      <c r="G1594" s="34">
        <f>IFERROR(IF(F1594&gt;=0,D1594*E1594*(1+F1594/100),ABS(D1594*E1594/F1594)),"")</f>
        <v>15514.800000000001</v>
      </c>
      <c r="H1594" s="43">
        <f>IFERROR(G1594*E1591,"")</f>
        <v>0</v>
      </c>
    </row>
    <row r="1595" spans="1:11">
      <c r="A1595" s="28"/>
      <c r="B1595" s="29" t="s">
        <v>2806</v>
      </c>
      <c r="C1595" s="30" t="str">
        <f>IFERROR(_xlfn.XLOOKUP(B1595,Insumo[DESCRIPCION],Insumo[UND],,0),"")</f>
        <v>Un</v>
      </c>
      <c r="D1595" s="31">
        <v>1</v>
      </c>
      <c r="E1595" s="32">
        <f>IFERROR(_xlfn.XLOOKUP($B1595,Insumo[DESCRIPCION],Insumo[VALOR],,0),"")</f>
        <v>3012.4500000000003</v>
      </c>
      <c r="F1595" s="33"/>
      <c r="G1595" s="34">
        <f>IFERROR(IF(F1595&gt;=0,D1595*E1595*(1+F1595/100),ABS(D1595*E1595/F1595)),"")</f>
        <v>3012.4500000000003</v>
      </c>
      <c r="H1595" s="43">
        <f>IFERROR(G1595*E1591,"")</f>
        <v>0</v>
      </c>
    </row>
    <row r="1596" spans="1:11">
      <c r="A1596" s="28"/>
      <c r="B1596" s="29" t="s">
        <v>2833</v>
      </c>
      <c r="C1596" s="30" t="str">
        <f>IFERROR(_xlfn.XLOOKUP(B1596,Insumo[DESCRIPCION],Insumo[UND],,0),"")</f>
        <v>Un</v>
      </c>
      <c r="D1596" s="31">
        <v>2</v>
      </c>
      <c r="E1596" s="32">
        <f>IFERROR(_xlfn.XLOOKUP($B1596,Insumo[DESCRIPCION],Insumo[VALOR],,0),"")</f>
        <v>682.5</v>
      </c>
      <c r="F1596" s="33"/>
      <c r="G1596" s="34">
        <f>IFERROR(IF(F1596&gt;=0,D1596*E1596*(1+F1596/100),ABS(D1596*E1596/F1596)),"")</f>
        <v>1365</v>
      </c>
      <c r="H1596" s="43">
        <f>IFERROR(G1596*E1591,"")</f>
        <v>0</v>
      </c>
    </row>
    <row r="1597" spans="1:11">
      <c r="A1597" s="28"/>
      <c r="B1597" s="29"/>
      <c r="C1597" s="30" t="str">
        <f>IFERROR(_xlfn.XLOOKUP(B1597,Insumo[DESCRIPCION],Insumo[UND],,0),"")</f>
        <v/>
      </c>
      <c r="D1597" s="31"/>
      <c r="E1597" s="32" t="str">
        <f>IFERROR(_xlfn.XLOOKUP($B1597,Insumo[DESCRIPCION],Insumo[VALOR],,0),"")</f>
        <v/>
      </c>
      <c r="F1597" s="33"/>
      <c r="G1597" s="34" t="str">
        <f>IFERROR(IF(F1597&gt;=0,D1597*E1597*(1+F1597/100),ABS(D1597*E1597/F1597)),"")</f>
        <v/>
      </c>
      <c r="H1597" s="43" t="str">
        <f>IFERROR(G1597*E1591,"")</f>
        <v/>
      </c>
    </row>
    <row r="1598" spans="1:11">
      <c r="A1598" s="28"/>
      <c r="B1598" s="29"/>
      <c r="C1598" s="30" t="str">
        <f>IFERROR(_xlfn.XLOOKUP(B1598,Insumo[DESCRIPCION],Insumo[UND],,0),"")</f>
        <v/>
      </c>
      <c r="D1598" s="31"/>
      <c r="E1598" s="32" t="str">
        <f>IFERROR(_xlfn.XLOOKUP($B1598,Insumo[DESCRIPCION],Insumo[VALOR],,0),"")</f>
        <v/>
      </c>
      <c r="F1598" s="33"/>
      <c r="G1598" s="34" t="str">
        <f>IFERROR(IF(F1598&gt;=0,D1598*E1598*(1+F1598/100),ABS(D1598*E1598/F1598)),"")</f>
        <v/>
      </c>
      <c r="H1598" s="43" t="str">
        <f>IFERROR(G1598*E1591,"")</f>
        <v/>
      </c>
    </row>
    <row r="1599" spans="1:11">
      <c r="A1599" s="21"/>
      <c r="B1599" s="22" t="s">
        <v>3731</v>
      </c>
      <c r="C1599" s="23"/>
      <c r="D1599" s="24"/>
      <c r="E1599" s="25"/>
      <c r="F1599" s="26"/>
      <c r="G1599" s="27">
        <f>SUM(G1600:G1602)</f>
        <v>675.35790933000021</v>
      </c>
      <c r="H1599" s="44">
        <f>G1599*E1591</f>
        <v>0</v>
      </c>
    </row>
    <row r="1600" spans="1:11">
      <c r="A1600" s="28"/>
      <c r="B1600" s="29" t="s">
        <v>3626</v>
      </c>
      <c r="C1600" s="30" t="str">
        <f>IFERROR(_xlfn.XLOOKUP(B1600,Equipo[DESCRIPCION],Equipo[UND],,0),"")</f>
        <v>%MO</v>
      </c>
      <c r="D1600" s="31">
        <v>0.05</v>
      </c>
      <c r="E1600" s="32">
        <f>IF(C1600="%MO",G1606,IFERROR(_xlfn.XLOOKUP($B1600,Equipo[DESCRIPCION],Equipo[VALOR],,0),""))</f>
        <v>13507.158186600003</v>
      </c>
      <c r="F1600" s="33"/>
      <c r="G1600" s="34">
        <f>IFERROR(IF(F1600&gt;=0,D1600*E1600*(1+F1600/100),ABS(D1600*E1600/F1600)),"")</f>
        <v>675.35790933000021</v>
      </c>
      <c r="H1600" s="43">
        <f>IFERROR(G1600*E1591,"")</f>
        <v>0</v>
      </c>
    </row>
    <row r="1601" spans="1:11">
      <c r="A1601" s="28"/>
      <c r="B1601" s="29"/>
      <c r="C1601" s="30" t="str">
        <f>IFERROR(_xlfn.XLOOKUP(B1601,Equipo[DESCRIPCION],Equipo[UND],,0),"")</f>
        <v/>
      </c>
      <c r="D1601" s="31"/>
      <c r="E1601" s="32" t="str">
        <f>IF(C1601="%MO",G1606,IFERROR(_xlfn.XLOOKUP($B1601,Equipo[DESCRIPCION],Equipo[VALOR],,0),""))</f>
        <v/>
      </c>
      <c r="F1601" s="33"/>
      <c r="G1601" s="34" t="str">
        <f>IFERROR(IF(F1601&gt;=0,D1601*E1601*(1+F1601/100),ABS(D1601*E1601/F1601)),"")</f>
        <v/>
      </c>
      <c r="H1601" s="43" t="str">
        <f>IFERROR(G1601*E1591,"")</f>
        <v/>
      </c>
    </row>
    <row r="1602" spans="1:11">
      <c r="A1602" s="28"/>
      <c r="B1602" s="29"/>
      <c r="C1602" s="30" t="str">
        <f>IFERROR(_xlfn.XLOOKUP(B1602,Equipo[DESCRIPCION],Equipo[UND],,0),"")</f>
        <v/>
      </c>
      <c r="D1602" s="31"/>
      <c r="E1602" s="32" t="str">
        <f>IF(C1602="%MO",G1606,IFERROR(_xlfn.XLOOKUP($B1602,Equipo[DESCRIPCION],Equipo[VALOR],,0),""))</f>
        <v/>
      </c>
      <c r="F1602" s="33"/>
      <c r="G1602" s="34" t="str">
        <f>IFERROR(IF(F1602&gt;=0,D1602*E1602*(1+F1602/100),ABS(D1602*E1602/F1602)),"")</f>
        <v/>
      </c>
      <c r="H1602" s="43" t="str">
        <f>IFERROR(G1602*E1591,"")</f>
        <v/>
      </c>
    </row>
    <row r="1603" spans="1:11">
      <c r="A1603" s="21"/>
      <c r="B1603" s="22" t="s">
        <v>2533</v>
      </c>
      <c r="C1603" s="23"/>
      <c r="D1603" s="24"/>
      <c r="E1603" s="25"/>
      <c r="F1603" s="26"/>
      <c r="G1603" s="27">
        <f>SUM(G1604:G1605)</f>
        <v>0</v>
      </c>
      <c r="H1603" s="44">
        <f>G1603*E1591</f>
        <v>0</v>
      </c>
    </row>
    <row r="1604" spans="1:11">
      <c r="A1604" s="28"/>
      <c r="B1604" s="29"/>
      <c r="C1604" s="30" t="str">
        <f>IFERROR(_xlfn.XLOOKUP(B1604,Transporte[DESCRIPCION],Transporte[UND],,0),"")</f>
        <v/>
      </c>
      <c r="D1604" s="31"/>
      <c r="E1604" s="32" t="str">
        <f>IFERROR(_xlfn.XLOOKUP($B1604,Transporte[DESCRIPCION],Transporte[VALOR],,0),"")</f>
        <v/>
      </c>
      <c r="F1604" s="33"/>
      <c r="G1604" s="34" t="str">
        <f>IFERROR(IF(F1604&gt;=0,D1604*E1604*(1+F1604/100),ABS(D1604*E1604/F1604)),"")</f>
        <v/>
      </c>
      <c r="H1604" s="43" t="str">
        <f>IFERROR(G1604*E1591,"")</f>
        <v/>
      </c>
    </row>
    <row r="1605" spans="1:11">
      <c r="A1605" s="28"/>
      <c r="B1605" s="29"/>
      <c r="C1605" s="30" t="str">
        <f>IFERROR(_xlfn.XLOOKUP(B1605,Transporte[DESCRIPCION],Transporte[UND],,0),"")</f>
        <v/>
      </c>
      <c r="D1605" s="31"/>
      <c r="E1605" s="32" t="str">
        <f>IFERROR(_xlfn.XLOOKUP($B1605,Transporte[DESCRIPCION],Transporte[VALOR],,0),"")</f>
        <v/>
      </c>
      <c r="F1605" s="33"/>
      <c r="G1605" s="34" t="str">
        <f>IFERROR(IF(F1605&gt;=0,D1605*E1605*(1+F1605/100),ABS(D1605*E1605/F1605)),"")</f>
        <v/>
      </c>
      <c r="H1605" s="43" t="str">
        <f>IFERROR(G1605*E1591,"")</f>
        <v/>
      </c>
    </row>
    <row r="1606" spans="1:11">
      <c r="A1606" s="21"/>
      <c r="B1606" s="22" t="s">
        <v>3732</v>
      </c>
      <c r="C1606" s="23"/>
      <c r="D1606" s="24"/>
      <c r="E1606" s="25"/>
      <c r="F1606" s="26"/>
      <c r="G1606" s="27">
        <f>SUM(G1607:G1609)</f>
        <v>13507.158186600003</v>
      </c>
      <c r="H1606" s="44">
        <f>G1606*E1591</f>
        <v>0</v>
      </c>
    </row>
    <row r="1607" spans="1:11">
      <c r="A1607" s="28"/>
      <c r="B1607" s="29" t="s">
        <v>3715</v>
      </c>
      <c r="C1607" s="30" t="str">
        <f>IFERROR(_xlfn.XLOOKUP(B1607,MObra[DESCRIPCION],MObra[UN],,0),"")</f>
        <v>día</v>
      </c>
      <c r="D1607" s="31">
        <v>1</v>
      </c>
      <c r="E1607" s="32">
        <f>IFERROR(_xlfn.XLOOKUP($B1607,MObra[DESCRIPCION],MObra[VALOR UNIT],,0),"")</f>
        <v>337678.95466500008</v>
      </c>
      <c r="F1607" s="33">
        <v>-25</v>
      </c>
      <c r="G1607" s="34">
        <f>IFERROR(IF(F1607&gt;=0,D1607*E1607*(1+F1607/100),ABS(D1607*E1607/F1607)),"")</f>
        <v>13507.158186600003</v>
      </c>
      <c r="H1607" s="43">
        <f>IFERROR(G1607*E1591,"")</f>
        <v>0</v>
      </c>
    </row>
    <row r="1608" spans="1:11">
      <c r="A1608" s="28"/>
      <c r="B1608" s="29"/>
      <c r="C1608" s="30" t="str">
        <f t="array" ref="C1608">IFERROR(_xlfn.XLOOKUP(B1608,MObra[[#All],[DESCRIPCION]],MObra[[#All],[UN]],,0),"")</f>
        <v/>
      </c>
      <c r="D1608" s="31"/>
      <c r="E1608" s="32" t="str">
        <f>IFERROR(_xlfn.XLOOKUP($B1608,MObra[DESCRIPCION],MObra[VALOR UNIT],,0),"")</f>
        <v/>
      </c>
      <c r="F1608" s="33"/>
      <c r="G1608" s="34" t="str">
        <f>IFERROR(IF(F1608&gt;=0,D1608*E1608*(1+F1608/100),ABS(D1608*E1608/F1608)),"")</f>
        <v/>
      </c>
      <c r="H1608" s="43" t="str">
        <f>IFERROR(G1608*E1591,"")</f>
        <v/>
      </c>
    </row>
    <row r="1609" spans="1:11">
      <c r="A1609" s="35"/>
      <c r="B1609" s="36"/>
      <c r="C1609" s="37" t="str">
        <f t="array" ref="C1609">IFERROR(_xlfn.XLOOKUP(B1609,MObra[[#All],[DESCRIPCION]],MObra[[#All],[UN]],,0),"")</f>
        <v/>
      </c>
      <c r="D1609" s="38"/>
      <c r="E1609" s="39" t="str">
        <f>IFERROR(_xlfn.XLOOKUP($B1609,MObra[DESCRIPCION],MObra[VALOR UNIT],,0),"")</f>
        <v/>
      </c>
      <c r="F1609" s="40"/>
      <c r="G1609" s="41" t="str">
        <f>IFERROR(IF(F1609&gt;=0,D1609*E1609*(1+F1609/100),ABS(D1609*E1609/F1609)),"")</f>
        <v/>
      </c>
      <c r="H1609" s="42" t="str">
        <f>IFERROR(G1609*E1591,"")</f>
        <v/>
      </c>
    </row>
    <row r="1610" spans="1:11" ht="12.75" customHeight="1" thickTop="1" thickBot="1"/>
    <row r="1611" spans="1:11" ht="26.25" thickTop="1" thickBot="1">
      <c r="A1611" s="6" t="s">
        <v>1037</v>
      </c>
      <c r="B1611" s="7" t="str">
        <f>VLOOKUP($A1611,Presupuesto!$A:$D,2,FALSE())</f>
        <v>Toma corriente doble normal 120 Vac, 15 amperios empotrado tipo Levinton con tapa. Incluye caja metálica galvanizada 4X2"</v>
      </c>
      <c r="C1611" s="8" t="str">
        <f>VLOOKUP($A1611,Presupuesto!$A:$D,3,FALSE())</f>
        <v>Un</v>
      </c>
      <c r="D1611" s="9"/>
      <c r="E1611" s="10">
        <f>VLOOKUP($A1611,Presupuesto!$A:$D,4,FALSE())</f>
        <v>0</v>
      </c>
      <c r="F1611" s="11" t="s">
        <v>2589</v>
      </c>
      <c r="G1611" s="12">
        <f>SUM(G1613:G1629)/2</f>
        <v>34074.766095930005</v>
      </c>
      <c r="H1611" s="13">
        <f>ROUND(SUM(H1613:H1629),0)/2</f>
        <v>0</v>
      </c>
      <c r="I1611" s="10">
        <f>VLOOKUP(A1611,Presupuesto!$A:$F,6,0)</f>
        <v>0</v>
      </c>
      <c r="J1611" s="10">
        <f>+H1611-I1611</f>
        <v>0</v>
      </c>
      <c r="K1611" s="46">
        <f>+H1611-G1611*E1611</f>
        <v>0</v>
      </c>
    </row>
    <row r="1612" spans="1:11">
      <c r="A1612" s="14"/>
      <c r="B1612" s="15" t="s">
        <v>2586</v>
      </c>
      <c r="C1612" s="15" t="s">
        <v>5</v>
      </c>
      <c r="D1612" s="16" t="s">
        <v>6</v>
      </c>
      <c r="E1612" s="17" t="s">
        <v>7</v>
      </c>
      <c r="F1612" s="18" t="s">
        <v>3728</v>
      </c>
      <c r="G1612" s="19" t="s">
        <v>3729</v>
      </c>
      <c r="H1612" s="20" t="s">
        <v>3797</v>
      </c>
    </row>
    <row r="1613" spans="1:11">
      <c r="A1613" s="21"/>
      <c r="B1613" s="22" t="s">
        <v>3730</v>
      </c>
      <c r="C1613" s="23"/>
      <c r="D1613" s="24"/>
      <c r="E1613" s="25"/>
      <c r="F1613" s="26"/>
      <c r="G1613" s="27">
        <f>SUM(G1614:G1618)</f>
        <v>19892.25</v>
      </c>
      <c r="H1613" s="27">
        <f>IFERROR(G1613*E1611,"")</f>
        <v>0</v>
      </c>
    </row>
    <row r="1614" spans="1:11">
      <c r="A1614" s="28"/>
      <c r="B1614" s="29" t="s">
        <v>3397</v>
      </c>
      <c r="C1614" s="30" t="str">
        <f>IFERROR(_xlfn.XLOOKUP(B1614,Insumo[DESCRIPCION],Insumo[UND],,0),"")</f>
        <v>Un</v>
      </c>
      <c r="D1614" s="31">
        <v>1</v>
      </c>
      <c r="E1614" s="32">
        <f>IFERROR(_xlfn.XLOOKUP($B1614,Insumo[DESCRIPCION],Insumo[VALOR],,0),"")</f>
        <v>15514.800000000001</v>
      </c>
      <c r="F1614" s="33"/>
      <c r="G1614" s="34">
        <f>IFERROR(IF(F1614&gt;=0,D1614*E1614*(1+F1614/100),ABS(D1614*E1614/F1614)),"")</f>
        <v>15514.800000000001</v>
      </c>
      <c r="H1614" s="43">
        <f>IFERROR(G1614*E1611,"")</f>
        <v>0</v>
      </c>
    </row>
    <row r="1615" spans="1:11">
      <c r="A1615" s="28"/>
      <c r="B1615" s="29" t="s">
        <v>2806</v>
      </c>
      <c r="C1615" s="30" t="str">
        <f>IFERROR(_xlfn.XLOOKUP(B1615,Insumo[DESCRIPCION],Insumo[UND],,0),"")</f>
        <v>Un</v>
      </c>
      <c r="D1615" s="31">
        <v>1</v>
      </c>
      <c r="E1615" s="32">
        <f>IFERROR(_xlfn.XLOOKUP($B1615,Insumo[DESCRIPCION],Insumo[VALOR],,0),"")</f>
        <v>3012.4500000000003</v>
      </c>
      <c r="F1615" s="33"/>
      <c r="G1615" s="34">
        <f>IFERROR(IF(F1615&gt;=0,D1615*E1615*(1+F1615/100),ABS(D1615*E1615/F1615)),"")</f>
        <v>3012.4500000000003</v>
      </c>
      <c r="H1615" s="43">
        <f>IFERROR(G1615*E1611,"")</f>
        <v>0</v>
      </c>
    </row>
    <row r="1616" spans="1:11">
      <c r="A1616" s="28"/>
      <c r="B1616" s="29" t="s">
        <v>2833</v>
      </c>
      <c r="C1616" s="30" t="str">
        <f>IFERROR(_xlfn.XLOOKUP(B1616,Insumo[DESCRIPCION],Insumo[UND],,0),"")</f>
        <v>Un</v>
      </c>
      <c r="D1616" s="31">
        <v>2</v>
      </c>
      <c r="E1616" s="32">
        <f>IFERROR(_xlfn.XLOOKUP($B1616,Insumo[DESCRIPCION],Insumo[VALOR],,0),"")</f>
        <v>682.5</v>
      </c>
      <c r="F1616" s="33"/>
      <c r="G1616" s="34">
        <f>IFERROR(IF(F1616&gt;=0,D1616*E1616*(1+F1616/100),ABS(D1616*E1616/F1616)),"")</f>
        <v>1365</v>
      </c>
      <c r="H1616" s="43">
        <f>IFERROR(G1616*E1611,"")</f>
        <v>0</v>
      </c>
    </row>
    <row r="1617" spans="1:11">
      <c r="A1617" s="28"/>
      <c r="B1617" s="29"/>
      <c r="C1617" s="30" t="str">
        <f>IFERROR(_xlfn.XLOOKUP(B1617,Insumo[DESCRIPCION],Insumo[UND],,0),"")</f>
        <v/>
      </c>
      <c r="D1617" s="31"/>
      <c r="E1617" s="32" t="str">
        <f>IFERROR(_xlfn.XLOOKUP($B1617,Insumo[DESCRIPCION],Insumo[VALOR],,0),"")</f>
        <v/>
      </c>
      <c r="F1617" s="33"/>
      <c r="G1617" s="34" t="str">
        <f>IFERROR(IF(F1617&gt;=0,D1617*E1617*(1+F1617/100),ABS(D1617*E1617/F1617)),"")</f>
        <v/>
      </c>
      <c r="H1617" s="43" t="str">
        <f>IFERROR(G1617*E1611,"")</f>
        <v/>
      </c>
    </row>
    <row r="1618" spans="1:11">
      <c r="A1618" s="28"/>
      <c r="B1618" s="29"/>
      <c r="C1618" s="30" t="str">
        <f>IFERROR(_xlfn.XLOOKUP(B1618,Insumo[DESCRIPCION],Insumo[UND],,0),"")</f>
        <v/>
      </c>
      <c r="D1618" s="31"/>
      <c r="E1618" s="32" t="str">
        <f>IFERROR(_xlfn.XLOOKUP($B1618,Insumo[DESCRIPCION],Insumo[VALOR],,0),"")</f>
        <v/>
      </c>
      <c r="F1618" s="33"/>
      <c r="G1618" s="34" t="str">
        <f>IFERROR(IF(F1618&gt;=0,D1618*E1618*(1+F1618/100),ABS(D1618*E1618/F1618)),"")</f>
        <v/>
      </c>
      <c r="H1618" s="43" t="str">
        <f>IFERROR(G1618*E1611,"")</f>
        <v/>
      </c>
    </row>
    <row r="1619" spans="1:11">
      <c r="A1619" s="21"/>
      <c r="B1619" s="22" t="s">
        <v>3731</v>
      </c>
      <c r="C1619" s="23"/>
      <c r="D1619" s="24"/>
      <c r="E1619" s="25"/>
      <c r="F1619" s="26"/>
      <c r="G1619" s="27">
        <f>SUM(G1620:G1622)</f>
        <v>675.35790933000021</v>
      </c>
      <c r="H1619" s="44">
        <f>G1619*E1611</f>
        <v>0</v>
      </c>
    </row>
    <row r="1620" spans="1:11">
      <c r="A1620" s="28"/>
      <c r="B1620" s="29" t="s">
        <v>3626</v>
      </c>
      <c r="C1620" s="30" t="str">
        <f>IFERROR(_xlfn.XLOOKUP(B1620,Equipo[DESCRIPCION],Equipo[UND],,0),"")</f>
        <v>%MO</v>
      </c>
      <c r="D1620" s="31">
        <v>0.05</v>
      </c>
      <c r="E1620" s="32">
        <f>IF(C1620="%MO",G1626,IFERROR(_xlfn.XLOOKUP($B1620,Equipo[DESCRIPCION],Equipo[VALOR],,0),""))</f>
        <v>13507.158186600003</v>
      </c>
      <c r="F1620" s="33"/>
      <c r="G1620" s="34">
        <f>IFERROR(IF(F1620&gt;=0,D1620*E1620*(1+F1620/100),ABS(D1620*E1620/F1620)),"")</f>
        <v>675.35790933000021</v>
      </c>
      <c r="H1620" s="43">
        <f>IFERROR(G1620*E1611,"")</f>
        <v>0</v>
      </c>
    </row>
    <row r="1621" spans="1:11">
      <c r="A1621" s="28"/>
      <c r="B1621" s="29"/>
      <c r="C1621" s="30" t="str">
        <f>IFERROR(_xlfn.XLOOKUP(B1621,Equipo[DESCRIPCION],Equipo[UND],,0),"")</f>
        <v/>
      </c>
      <c r="D1621" s="31"/>
      <c r="E1621" s="32" t="str">
        <f>IF(C1621="%MO",G1626,IFERROR(_xlfn.XLOOKUP($B1621,Equipo[DESCRIPCION],Equipo[VALOR],,0),""))</f>
        <v/>
      </c>
      <c r="F1621" s="33"/>
      <c r="G1621" s="34" t="str">
        <f>IFERROR(IF(F1621&gt;=0,D1621*E1621*(1+F1621/100),ABS(D1621*E1621/F1621)),"")</f>
        <v/>
      </c>
      <c r="H1621" s="43" t="str">
        <f>IFERROR(G1621*E1611,"")</f>
        <v/>
      </c>
    </row>
    <row r="1622" spans="1:11">
      <c r="A1622" s="28"/>
      <c r="B1622" s="29"/>
      <c r="C1622" s="30" t="str">
        <f>IFERROR(_xlfn.XLOOKUP(B1622,Equipo[DESCRIPCION],Equipo[UND],,0),"")</f>
        <v/>
      </c>
      <c r="D1622" s="31"/>
      <c r="E1622" s="32" t="str">
        <f>IF(C1622="%MO",G1626,IFERROR(_xlfn.XLOOKUP($B1622,Equipo[DESCRIPCION],Equipo[VALOR],,0),""))</f>
        <v/>
      </c>
      <c r="F1622" s="33"/>
      <c r="G1622" s="34" t="str">
        <f>IFERROR(IF(F1622&gt;=0,D1622*E1622*(1+F1622/100),ABS(D1622*E1622/F1622)),"")</f>
        <v/>
      </c>
      <c r="H1622" s="43" t="str">
        <f>IFERROR(G1622*E1611,"")</f>
        <v/>
      </c>
    </row>
    <row r="1623" spans="1:11">
      <c r="A1623" s="21"/>
      <c r="B1623" s="22" t="s">
        <v>2533</v>
      </c>
      <c r="C1623" s="23"/>
      <c r="D1623" s="24"/>
      <c r="E1623" s="25"/>
      <c r="F1623" s="26"/>
      <c r="G1623" s="27">
        <f>SUM(G1624:G1625)</f>
        <v>0</v>
      </c>
      <c r="H1623" s="44">
        <f>G1623*E1611</f>
        <v>0</v>
      </c>
    </row>
    <row r="1624" spans="1:11">
      <c r="A1624" s="28"/>
      <c r="B1624" s="29"/>
      <c r="C1624" s="30" t="str">
        <f>IFERROR(_xlfn.XLOOKUP(B1624,Transporte[DESCRIPCION],Transporte[UND],,0),"")</f>
        <v/>
      </c>
      <c r="D1624" s="31"/>
      <c r="E1624" s="32" t="str">
        <f>IFERROR(_xlfn.XLOOKUP($B1624,Transporte[DESCRIPCION],Transporte[VALOR],,0),"")</f>
        <v/>
      </c>
      <c r="F1624" s="33"/>
      <c r="G1624" s="34" t="str">
        <f>IFERROR(IF(F1624&gt;=0,D1624*E1624*(1+F1624/100),ABS(D1624*E1624/F1624)),"")</f>
        <v/>
      </c>
      <c r="H1624" s="43" t="str">
        <f>IFERROR(G1624*E1611,"")</f>
        <v/>
      </c>
    </row>
    <row r="1625" spans="1:11">
      <c r="A1625" s="28"/>
      <c r="B1625" s="29"/>
      <c r="C1625" s="30" t="str">
        <f>IFERROR(_xlfn.XLOOKUP(B1625,Transporte[DESCRIPCION],Transporte[UND],,0),"")</f>
        <v/>
      </c>
      <c r="D1625" s="31"/>
      <c r="E1625" s="32" t="str">
        <f>IFERROR(_xlfn.XLOOKUP($B1625,Transporte[DESCRIPCION],Transporte[VALOR],,0),"")</f>
        <v/>
      </c>
      <c r="F1625" s="33"/>
      <c r="G1625" s="34" t="str">
        <f>IFERROR(IF(F1625&gt;=0,D1625*E1625*(1+F1625/100),ABS(D1625*E1625/F1625)),"")</f>
        <v/>
      </c>
      <c r="H1625" s="43" t="str">
        <f>IFERROR(G1625*E1611,"")</f>
        <v/>
      </c>
    </row>
    <row r="1626" spans="1:11">
      <c r="A1626" s="21"/>
      <c r="B1626" s="22" t="s">
        <v>3732</v>
      </c>
      <c r="C1626" s="23"/>
      <c r="D1626" s="24"/>
      <c r="E1626" s="25"/>
      <c r="F1626" s="26"/>
      <c r="G1626" s="27">
        <f>SUM(G1627:G1629)</f>
        <v>13507.158186600003</v>
      </c>
      <c r="H1626" s="44">
        <f>G1626*E1611</f>
        <v>0</v>
      </c>
    </row>
    <row r="1627" spans="1:11">
      <c r="A1627" s="28"/>
      <c r="B1627" s="29" t="s">
        <v>3715</v>
      </c>
      <c r="C1627" s="30" t="str">
        <f>IFERROR(_xlfn.XLOOKUP(B1627,MObra[DESCRIPCION],MObra[UN],,0),"")</f>
        <v>día</v>
      </c>
      <c r="D1627" s="31">
        <v>1</v>
      </c>
      <c r="E1627" s="32">
        <f>IFERROR(_xlfn.XLOOKUP($B1627,MObra[DESCRIPCION],MObra[VALOR UNIT],,0),"")</f>
        <v>337678.95466500008</v>
      </c>
      <c r="F1627" s="33">
        <v>-25</v>
      </c>
      <c r="G1627" s="34">
        <f>IFERROR(IF(F1627&gt;=0,D1627*E1627*(1+F1627/100),ABS(D1627*E1627/F1627)),"")</f>
        <v>13507.158186600003</v>
      </c>
      <c r="H1627" s="43">
        <f>IFERROR(G1627*E1611,"")</f>
        <v>0</v>
      </c>
    </row>
    <row r="1628" spans="1:11">
      <c r="A1628" s="28"/>
      <c r="B1628" s="29"/>
      <c r="C1628" s="30" t="str">
        <f t="array" ref="C1628">IFERROR(_xlfn.XLOOKUP(B1628,MObra[[#All],[DESCRIPCION]],MObra[[#All],[UN]],,0),"")</f>
        <v/>
      </c>
      <c r="D1628" s="31"/>
      <c r="E1628" s="32" t="str">
        <f>IFERROR(_xlfn.XLOOKUP($B1628,MObra[DESCRIPCION],MObra[VALOR UNIT],,0),"")</f>
        <v/>
      </c>
      <c r="F1628" s="33"/>
      <c r="G1628" s="34" t="str">
        <f>IFERROR(IF(F1628&gt;=0,D1628*E1628*(1+F1628/100),ABS(D1628*E1628/F1628)),"")</f>
        <v/>
      </c>
      <c r="H1628" s="43" t="str">
        <f>IFERROR(G1628*E1611,"")</f>
        <v/>
      </c>
    </row>
    <row r="1629" spans="1:11">
      <c r="A1629" s="35"/>
      <c r="B1629" s="36"/>
      <c r="C1629" s="37" t="str">
        <f t="array" ref="C1629">IFERROR(_xlfn.XLOOKUP(B1629,MObra[[#All],[DESCRIPCION]],MObra[[#All],[UN]],,0),"")</f>
        <v/>
      </c>
      <c r="D1629" s="38"/>
      <c r="E1629" s="39" t="str">
        <f>IFERROR(_xlfn.XLOOKUP($B1629,MObra[DESCRIPCION],MObra[VALOR UNIT],,0),"")</f>
        <v/>
      </c>
      <c r="F1629" s="40"/>
      <c r="G1629" s="41" t="str">
        <f>IFERROR(IF(F1629&gt;=0,D1629*E1629*(1+F1629/100),ABS(D1629*E1629/F1629)),"")</f>
        <v/>
      </c>
      <c r="H1629" s="42" t="str">
        <f>IFERROR(G1629*E1611,"")</f>
        <v/>
      </c>
    </row>
    <row r="1630" spans="1:11" ht="12.75" customHeight="1" thickTop="1" thickBot="1"/>
    <row r="1631" spans="1:11" ht="26.25" thickTop="1" thickBot="1">
      <c r="A1631" s="6" t="s">
        <v>1039</v>
      </c>
      <c r="B1631" s="7" t="str">
        <f>VLOOKUP($A1631,Presupuesto!$A:$D,2,FALSE())</f>
        <v>Toma corriente doble normal 120 Vac, 15 amperios, tipo Levinton con tapa. Incluye caja Radwelt 4X2", salidas en 1/2" con accesorios para instalación</v>
      </c>
      <c r="C1631" s="8" t="str">
        <f>VLOOKUP($A1631,Presupuesto!$A:$D,3,FALSE())</f>
        <v>Un</v>
      </c>
      <c r="D1631" s="9"/>
      <c r="E1631" s="10">
        <f>VLOOKUP($A1631,Presupuesto!$A:$D,4,FALSE())</f>
        <v>0</v>
      </c>
      <c r="F1631" s="11" t="s">
        <v>2589</v>
      </c>
      <c r="G1631" s="12">
        <f>SUM(G1633:G1649)/2</f>
        <v>55149.195563556823</v>
      </c>
      <c r="H1631" s="13">
        <f>ROUND(SUM(H1633:H1649),0)/2</f>
        <v>0</v>
      </c>
      <c r="I1631" s="10">
        <f>VLOOKUP(A1631,Presupuesto!$A:$F,6,0)</f>
        <v>0</v>
      </c>
      <c r="J1631" s="10">
        <f>+H1631-I1631</f>
        <v>0</v>
      </c>
      <c r="K1631" s="46">
        <f>+H1631-G1631*E1631</f>
        <v>0</v>
      </c>
    </row>
    <row r="1632" spans="1:11">
      <c r="A1632" s="14"/>
      <c r="B1632" s="15" t="s">
        <v>2586</v>
      </c>
      <c r="C1632" s="15" t="s">
        <v>5</v>
      </c>
      <c r="D1632" s="16" t="s">
        <v>6</v>
      </c>
      <c r="E1632" s="17" t="s">
        <v>7</v>
      </c>
      <c r="F1632" s="18" t="s">
        <v>3728</v>
      </c>
      <c r="G1632" s="19" t="s">
        <v>3729</v>
      </c>
      <c r="H1632" s="20" t="s">
        <v>3797</v>
      </c>
    </row>
    <row r="1633" spans="1:8">
      <c r="A1633" s="21"/>
      <c r="B1633" s="22" t="s">
        <v>3730</v>
      </c>
      <c r="C1633" s="23"/>
      <c r="D1633" s="24"/>
      <c r="E1633" s="25"/>
      <c r="F1633" s="26"/>
      <c r="G1633" s="27">
        <f>SUM(G1634:G1638)</f>
        <v>39032.700000000004</v>
      </c>
      <c r="H1633" s="27">
        <f>IFERROR(G1633*E1631,"")</f>
        <v>0</v>
      </c>
    </row>
    <row r="1634" spans="1:8">
      <c r="A1634" s="28"/>
      <c r="B1634" s="29" t="s">
        <v>3397</v>
      </c>
      <c r="C1634" s="30" t="str">
        <f>IFERROR(_xlfn.XLOOKUP(B1634,Insumo[DESCRIPCION],Insumo[UND],,0),"")</f>
        <v>Un</v>
      </c>
      <c r="D1634" s="31">
        <v>1</v>
      </c>
      <c r="E1634" s="32">
        <f>IFERROR(_xlfn.XLOOKUP($B1634,Insumo[DESCRIPCION],Insumo[VALOR],,0),"")</f>
        <v>15514.800000000001</v>
      </c>
      <c r="F1634" s="33"/>
      <c r="G1634" s="34">
        <f>IFERROR(IF(F1634&gt;=0,D1634*E1634*(1+F1634/100),ABS(D1634*E1634/F1634)),"")</f>
        <v>15514.800000000001</v>
      </c>
      <c r="H1634" s="43">
        <f>IFERROR(G1634*E1631,"")</f>
        <v>0</v>
      </c>
    </row>
    <row r="1635" spans="1:8">
      <c r="A1635" s="28"/>
      <c r="B1635" s="29" t="s">
        <v>2801</v>
      </c>
      <c r="C1635" s="30" t="str">
        <f>IFERROR(_xlfn.XLOOKUP(B1635,Insumo[DESCRIPCION],Insumo[UND],,0),"")</f>
        <v>Un</v>
      </c>
      <c r="D1635" s="31">
        <v>1</v>
      </c>
      <c r="E1635" s="32">
        <f>IFERROR(_xlfn.XLOOKUP($B1635,Insumo[DESCRIPCION],Insumo[VALOR],,0),"")</f>
        <v>22152.9</v>
      </c>
      <c r="F1635" s="33"/>
      <c r="G1635" s="34">
        <f>IFERROR(IF(F1635&gt;=0,D1635*E1635*(1+F1635/100),ABS(D1635*E1635/F1635)),"")</f>
        <v>22152.9</v>
      </c>
      <c r="H1635" s="43">
        <f>IFERROR(G1635*E1631,"")</f>
        <v>0</v>
      </c>
    </row>
    <row r="1636" spans="1:8">
      <c r="A1636" s="28"/>
      <c r="B1636" s="29" t="s">
        <v>2833</v>
      </c>
      <c r="C1636" s="30" t="str">
        <f>IFERROR(_xlfn.XLOOKUP(B1636,Insumo[DESCRIPCION],Insumo[UND],,0),"")</f>
        <v>Un</v>
      </c>
      <c r="D1636" s="31">
        <v>2</v>
      </c>
      <c r="E1636" s="32">
        <f>IFERROR(_xlfn.XLOOKUP($B1636,Insumo[DESCRIPCION],Insumo[VALOR],,0),"")</f>
        <v>682.5</v>
      </c>
      <c r="F1636" s="33"/>
      <c r="G1636" s="34">
        <f>IFERROR(IF(F1636&gt;=0,D1636*E1636*(1+F1636/100),ABS(D1636*E1636/F1636)),"")</f>
        <v>1365</v>
      </c>
      <c r="H1636" s="43">
        <f>IFERROR(G1636*E1631,"")</f>
        <v>0</v>
      </c>
    </row>
    <row r="1637" spans="1:8">
      <c r="A1637" s="28"/>
      <c r="B1637" s="29"/>
      <c r="C1637" s="30" t="str">
        <f>IFERROR(_xlfn.XLOOKUP(B1637,Insumo[DESCRIPCION],Insumo[UND],,0),"")</f>
        <v/>
      </c>
      <c r="D1637" s="31"/>
      <c r="E1637" s="32" t="str">
        <f>IFERROR(_xlfn.XLOOKUP($B1637,Insumo[DESCRIPCION],Insumo[VALOR],,0),"")</f>
        <v/>
      </c>
      <c r="F1637" s="33"/>
      <c r="G1637" s="34" t="str">
        <f>IFERROR(IF(F1637&gt;=0,D1637*E1637*(1+F1637/100),ABS(D1637*E1637/F1637)),"")</f>
        <v/>
      </c>
      <c r="H1637" s="43" t="str">
        <f>IFERROR(G1637*E1631,"")</f>
        <v/>
      </c>
    </row>
    <row r="1638" spans="1:8">
      <c r="A1638" s="28"/>
      <c r="B1638" s="29"/>
      <c r="C1638" s="30" t="str">
        <f>IFERROR(_xlfn.XLOOKUP(B1638,Insumo[DESCRIPCION],Insumo[UND],,0),"")</f>
        <v/>
      </c>
      <c r="D1638" s="31"/>
      <c r="E1638" s="32" t="str">
        <f>IFERROR(_xlfn.XLOOKUP($B1638,Insumo[DESCRIPCION],Insumo[VALOR],,0),"")</f>
        <v/>
      </c>
      <c r="F1638" s="33"/>
      <c r="G1638" s="34" t="str">
        <f>IFERROR(IF(F1638&gt;=0,D1638*E1638*(1+F1638/100),ABS(D1638*E1638/F1638)),"")</f>
        <v/>
      </c>
      <c r="H1638" s="43" t="str">
        <f>IFERROR(G1638*E1631,"")</f>
        <v/>
      </c>
    </row>
    <row r="1639" spans="1:8">
      <c r="A1639" s="21"/>
      <c r="B1639" s="22" t="s">
        <v>3731</v>
      </c>
      <c r="C1639" s="23"/>
      <c r="D1639" s="24"/>
      <c r="E1639" s="25"/>
      <c r="F1639" s="26"/>
      <c r="G1639" s="27">
        <f>SUM(G1640:G1642)</f>
        <v>767.45216969318199</v>
      </c>
      <c r="H1639" s="44">
        <f>G1639*E1631</f>
        <v>0</v>
      </c>
    </row>
    <row r="1640" spans="1:8">
      <c r="A1640" s="28"/>
      <c r="B1640" s="29" t="s">
        <v>3626</v>
      </c>
      <c r="C1640" s="30" t="str">
        <f>IFERROR(_xlfn.XLOOKUP(B1640,Equipo[DESCRIPCION],Equipo[UND],,0),"")</f>
        <v>%MO</v>
      </c>
      <c r="D1640" s="31">
        <v>0.05</v>
      </c>
      <c r="E1640" s="32">
        <f>IF(C1640="%MO",G1646,IFERROR(_xlfn.XLOOKUP($B1640,Equipo[DESCRIPCION],Equipo[VALOR],,0),""))</f>
        <v>15349.04339386364</v>
      </c>
      <c r="F1640" s="33"/>
      <c r="G1640" s="34">
        <f>IFERROR(IF(F1640&gt;=0,D1640*E1640*(1+F1640/100),ABS(D1640*E1640/F1640)),"")</f>
        <v>767.45216969318199</v>
      </c>
      <c r="H1640" s="43">
        <f>IFERROR(G1640*E1631,"")</f>
        <v>0</v>
      </c>
    </row>
    <row r="1641" spans="1:8">
      <c r="A1641" s="28"/>
      <c r="B1641" s="29"/>
      <c r="C1641" s="30" t="str">
        <f>IFERROR(_xlfn.XLOOKUP(B1641,Equipo[DESCRIPCION],Equipo[UND],,0),"")</f>
        <v/>
      </c>
      <c r="D1641" s="31"/>
      <c r="E1641" s="32" t="str">
        <f>IF(C1641="%MO",G1646,IFERROR(_xlfn.XLOOKUP($B1641,Equipo[DESCRIPCION],Equipo[VALOR],,0),""))</f>
        <v/>
      </c>
      <c r="F1641" s="33"/>
      <c r="G1641" s="34" t="str">
        <f>IFERROR(IF(F1641&gt;=0,D1641*E1641*(1+F1641/100),ABS(D1641*E1641/F1641)),"")</f>
        <v/>
      </c>
      <c r="H1641" s="43" t="str">
        <f>IFERROR(G1641*E1631,"")</f>
        <v/>
      </c>
    </row>
    <row r="1642" spans="1:8">
      <c r="A1642" s="28"/>
      <c r="B1642" s="29"/>
      <c r="C1642" s="30" t="str">
        <f>IFERROR(_xlfn.XLOOKUP(B1642,Equipo[DESCRIPCION],Equipo[UND],,0),"")</f>
        <v/>
      </c>
      <c r="D1642" s="31"/>
      <c r="E1642" s="32" t="str">
        <f>IF(C1642="%MO",G1646,IFERROR(_xlfn.XLOOKUP($B1642,Equipo[DESCRIPCION],Equipo[VALOR],,0),""))</f>
        <v/>
      </c>
      <c r="F1642" s="33"/>
      <c r="G1642" s="34" t="str">
        <f>IFERROR(IF(F1642&gt;=0,D1642*E1642*(1+F1642/100),ABS(D1642*E1642/F1642)),"")</f>
        <v/>
      </c>
      <c r="H1642" s="43" t="str">
        <f>IFERROR(G1642*E1631,"")</f>
        <v/>
      </c>
    </row>
    <row r="1643" spans="1:8">
      <c r="A1643" s="21"/>
      <c r="B1643" s="22" t="s">
        <v>2533</v>
      </c>
      <c r="C1643" s="23"/>
      <c r="D1643" s="24"/>
      <c r="E1643" s="25"/>
      <c r="F1643" s="26"/>
      <c r="G1643" s="27">
        <f>SUM(G1644:G1645)</f>
        <v>0</v>
      </c>
      <c r="H1643" s="44">
        <f>G1643*E1631</f>
        <v>0</v>
      </c>
    </row>
    <row r="1644" spans="1:8">
      <c r="A1644" s="28"/>
      <c r="B1644" s="29"/>
      <c r="C1644" s="30" t="str">
        <f>IFERROR(_xlfn.XLOOKUP(B1644,Transporte[DESCRIPCION],Transporte[UND],,0),"")</f>
        <v/>
      </c>
      <c r="D1644" s="31"/>
      <c r="E1644" s="32" t="str">
        <f>IFERROR(_xlfn.XLOOKUP($B1644,Transporte[DESCRIPCION],Transporte[VALOR],,0),"")</f>
        <v/>
      </c>
      <c r="F1644" s="33"/>
      <c r="G1644" s="34" t="str">
        <f>IFERROR(IF(F1644&gt;=0,D1644*E1644*(1+F1644/100),ABS(D1644*E1644/F1644)),"")</f>
        <v/>
      </c>
      <c r="H1644" s="43" t="str">
        <f>IFERROR(G1644*E1631,"")</f>
        <v/>
      </c>
    </row>
    <row r="1645" spans="1:8">
      <c r="A1645" s="28"/>
      <c r="B1645" s="29"/>
      <c r="C1645" s="30" t="str">
        <f>IFERROR(_xlfn.XLOOKUP(B1645,Transporte[DESCRIPCION],Transporte[UND],,0),"")</f>
        <v/>
      </c>
      <c r="D1645" s="31"/>
      <c r="E1645" s="32" t="str">
        <f>IFERROR(_xlfn.XLOOKUP($B1645,Transporte[DESCRIPCION],Transporte[VALOR],,0),"")</f>
        <v/>
      </c>
      <c r="F1645" s="33"/>
      <c r="G1645" s="34" t="str">
        <f>IFERROR(IF(F1645&gt;=0,D1645*E1645*(1+F1645/100),ABS(D1645*E1645/F1645)),"")</f>
        <v/>
      </c>
      <c r="H1645" s="43" t="str">
        <f>IFERROR(G1645*E1631,"")</f>
        <v/>
      </c>
    </row>
    <row r="1646" spans="1:8">
      <c r="A1646" s="21"/>
      <c r="B1646" s="22" t="s">
        <v>3732</v>
      </c>
      <c r="C1646" s="23"/>
      <c r="D1646" s="24"/>
      <c r="E1646" s="25"/>
      <c r="F1646" s="26"/>
      <c r="G1646" s="27">
        <f>SUM(G1647:G1649)</f>
        <v>15349.04339386364</v>
      </c>
      <c r="H1646" s="44">
        <f>G1646*E1631</f>
        <v>0</v>
      </c>
    </row>
    <row r="1647" spans="1:8">
      <c r="A1647" s="28"/>
      <c r="B1647" s="29" t="s">
        <v>3715</v>
      </c>
      <c r="C1647" s="30" t="str">
        <f>IFERROR(_xlfn.XLOOKUP(B1647,MObra[DESCRIPCION],MObra[UN],,0),"")</f>
        <v>día</v>
      </c>
      <c r="D1647" s="31">
        <v>1</v>
      </c>
      <c r="E1647" s="32">
        <f>IFERROR(_xlfn.XLOOKUP($B1647,MObra[DESCRIPCION],MObra[VALOR UNIT],,0),"")</f>
        <v>337678.95466500008</v>
      </c>
      <c r="F1647" s="33">
        <v>-22</v>
      </c>
      <c r="G1647" s="34">
        <f>IFERROR(IF(F1647&gt;=0,D1647*E1647*(1+F1647/100),ABS(D1647*E1647/F1647)),"")</f>
        <v>15349.04339386364</v>
      </c>
      <c r="H1647" s="43">
        <f>IFERROR(G1647*E1631,"")</f>
        <v>0</v>
      </c>
    </row>
    <row r="1648" spans="1:8">
      <c r="A1648" s="28"/>
      <c r="B1648" s="29"/>
      <c r="C1648" s="30" t="str">
        <f t="array" ref="C1648">IFERROR(_xlfn.XLOOKUP(B1648,MObra[[#All],[DESCRIPCION]],MObra[[#All],[UN]],,0),"")</f>
        <v/>
      </c>
      <c r="D1648" s="31"/>
      <c r="E1648" s="32" t="str">
        <f>IFERROR(_xlfn.XLOOKUP($B1648,MObra[DESCRIPCION],MObra[VALOR UNIT],,0),"")</f>
        <v/>
      </c>
      <c r="F1648" s="33"/>
      <c r="G1648" s="34" t="str">
        <f>IFERROR(IF(F1648&gt;=0,D1648*E1648*(1+F1648/100),ABS(D1648*E1648/F1648)),"")</f>
        <v/>
      </c>
      <c r="H1648" s="43" t="str">
        <f>IFERROR(G1648*E1631,"")</f>
        <v/>
      </c>
    </row>
    <row r="1649" spans="1:11">
      <c r="A1649" s="35"/>
      <c r="B1649" s="36"/>
      <c r="C1649" s="37" t="str">
        <f t="array" ref="C1649">IFERROR(_xlfn.XLOOKUP(B1649,MObra[[#All],[DESCRIPCION]],MObra[[#All],[UN]],,0),"")</f>
        <v/>
      </c>
      <c r="D1649" s="38"/>
      <c r="E1649" s="39" t="str">
        <f>IFERROR(_xlfn.XLOOKUP($B1649,MObra[DESCRIPCION],MObra[VALOR UNIT],,0),"")</f>
        <v/>
      </c>
      <c r="F1649" s="40"/>
      <c r="G1649" s="41" t="str">
        <f>IFERROR(IF(F1649&gt;=0,D1649*E1649*(1+F1649/100),ABS(D1649*E1649/F1649)),"")</f>
        <v/>
      </c>
      <c r="H1649" s="42" t="str">
        <f>IFERROR(G1649*E1631,"")</f>
        <v/>
      </c>
    </row>
    <row r="1650" spans="1:11" ht="12.75" customHeight="1" thickTop="1" thickBot="1"/>
    <row r="1651" spans="1:11" ht="26.25" thickTop="1" thickBot="1">
      <c r="A1651" s="6" t="s">
        <v>1041</v>
      </c>
      <c r="B1651" s="7" t="str">
        <f>VLOOKUP($A1651,Presupuesto!$A:$D,2,FALSE())</f>
        <v>Toma corriente doble normal 120 Vac, 15 amperios, tipo Levinton con tapa. Incluye caja Radwelt 4X2", salidas en 3/4" con accesorios para instalación</v>
      </c>
      <c r="C1651" s="8" t="str">
        <f>VLOOKUP($A1651,Presupuesto!$A:$D,3,FALSE())</f>
        <v>Un</v>
      </c>
      <c r="D1651" s="9"/>
      <c r="E1651" s="10">
        <f>VLOOKUP($A1651,Presupuesto!$A:$D,4,FALSE())</f>
        <v>0</v>
      </c>
      <c r="F1651" s="11" t="s">
        <v>2589</v>
      </c>
      <c r="G1651" s="12">
        <f>SUM(G1653:G1669)/2</f>
        <v>60150.345563556824</v>
      </c>
      <c r="H1651" s="13">
        <f>ROUND(SUM(H1653:H1669),0)/2</f>
        <v>0</v>
      </c>
      <c r="I1651" s="10">
        <f>VLOOKUP(A1651,Presupuesto!$A:$F,6,0)</f>
        <v>0</v>
      </c>
      <c r="J1651" s="10">
        <f>+H1651-I1651</f>
        <v>0</v>
      </c>
      <c r="K1651" s="46">
        <f>+H1651-G1651*E1651</f>
        <v>0</v>
      </c>
    </row>
    <row r="1652" spans="1:11">
      <c r="A1652" s="14"/>
      <c r="B1652" s="15" t="s">
        <v>2586</v>
      </c>
      <c r="C1652" s="15" t="s">
        <v>5</v>
      </c>
      <c r="D1652" s="16" t="s">
        <v>6</v>
      </c>
      <c r="E1652" s="17" t="s">
        <v>7</v>
      </c>
      <c r="F1652" s="18" t="s">
        <v>3728</v>
      </c>
      <c r="G1652" s="19" t="s">
        <v>3729</v>
      </c>
      <c r="H1652" s="20" t="s">
        <v>3797</v>
      </c>
    </row>
    <row r="1653" spans="1:11">
      <c r="A1653" s="21"/>
      <c r="B1653" s="22" t="s">
        <v>3730</v>
      </c>
      <c r="C1653" s="23"/>
      <c r="D1653" s="24"/>
      <c r="E1653" s="25"/>
      <c r="F1653" s="26"/>
      <c r="G1653" s="27">
        <f>SUM(G1654:G1658)</f>
        <v>44033.850000000006</v>
      </c>
      <c r="H1653" s="27">
        <f>IFERROR(G1653*E1651,"")</f>
        <v>0</v>
      </c>
    </row>
    <row r="1654" spans="1:11">
      <c r="A1654" s="28"/>
      <c r="B1654" s="29" t="s">
        <v>3397</v>
      </c>
      <c r="C1654" s="30" t="str">
        <f>IFERROR(_xlfn.XLOOKUP(B1654,Insumo[DESCRIPCION],Insumo[UND],,0),"")</f>
        <v>Un</v>
      </c>
      <c r="D1654" s="31">
        <v>1</v>
      </c>
      <c r="E1654" s="32">
        <f>IFERROR(_xlfn.XLOOKUP($B1654,Insumo[DESCRIPCION],Insumo[VALOR],,0),"")</f>
        <v>15514.800000000001</v>
      </c>
      <c r="F1654" s="33"/>
      <c r="G1654" s="34">
        <f>IFERROR(IF(F1654&gt;=0,D1654*E1654*(1+F1654/100),ABS(D1654*E1654/F1654)),"")</f>
        <v>15514.800000000001</v>
      </c>
      <c r="H1654" s="43">
        <f>IFERROR(G1654*E1651,"")</f>
        <v>0</v>
      </c>
    </row>
    <row r="1655" spans="1:11">
      <c r="A1655" s="28"/>
      <c r="B1655" s="29" t="s">
        <v>2802</v>
      </c>
      <c r="C1655" s="30" t="str">
        <f>IFERROR(_xlfn.XLOOKUP(B1655,Insumo[DESCRIPCION],Insumo[UND],,0),"")</f>
        <v>Un</v>
      </c>
      <c r="D1655" s="31">
        <v>1</v>
      </c>
      <c r="E1655" s="32">
        <f>IFERROR(_xlfn.XLOOKUP($B1655,Insumo[DESCRIPCION],Insumo[VALOR],,0),"")</f>
        <v>27154.050000000003</v>
      </c>
      <c r="F1655" s="33"/>
      <c r="G1655" s="34">
        <f>IFERROR(IF(F1655&gt;=0,D1655*E1655*(1+F1655/100),ABS(D1655*E1655/F1655)),"")</f>
        <v>27154.050000000003</v>
      </c>
      <c r="H1655" s="43">
        <f>IFERROR(G1655*E1651,"")</f>
        <v>0</v>
      </c>
    </row>
    <row r="1656" spans="1:11">
      <c r="A1656" s="28"/>
      <c r="B1656" s="29" t="s">
        <v>2833</v>
      </c>
      <c r="C1656" s="30" t="str">
        <f>IFERROR(_xlfn.XLOOKUP(B1656,Insumo[DESCRIPCION],Insumo[UND],,0),"")</f>
        <v>Un</v>
      </c>
      <c r="D1656" s="31">
        <v>2</v>
      </c>
      <c r="E1656" s="32">
        <f>IFERROR(_xlfn.XLOOKUP($B1656,Insumo[DESCRIPCION],Insumo[VALOR],,0),"")</f>
        <v>682.5</v>
      </c>
      <c r="F1656" s="33"/>
      <c r="G1656" s="34">
        <f>IFERROR(IF(F1656&gt;=0,D1656*E1656*(1+F1656/100),ABS(D1656*E1656/F1656)),"")</f>
        <v>1365</v>
      </c>
      <c r="H1656" s="43">
        <f>IFERROR(G1656*E1651,"")</f>
        <v>0</v>
      </c>
    </row>
    <row r="1657" spans="1:11">
      <c r="A1657" s="28"/>
      <c r="B1657" s="29"/>
      <c r="C1657" s="30" t="str">
        <f>IFERROR(_xlfn.XLOOKUP(B1657,Insumo[DESCRIPCION],Insumo[UND],,0),"")</f>
        <v/>
      </c>
      <c r="D1657" s="31"/>
      <c r="E1657" s="32" t="str">
        <f>IFERROR(_xlfn.XLOOKUP($B1657,Insumo[DESCRIPCION],Insumo[VALOR],,0),"")</f>
        <v/>
      </c>
      <c r="F1657" s="33"/>
      <c r="G1657" s="34" t="str">
        <f>IFERROR(IF(F1657&gt;=0,D1657*E1657*(1+F1657/100),ABS(D1657*E1657/F1657)),"")</f>
        <v/>
      </c>
      <c r="H1657" s="43" t="str">
        <f>IFERROR(G1657*E1651,"")</f>
        <v/>
      </c>
    </row>
    <row r="1658" spans="1:11">
      <c r="A1658" s="28"/>
      <c r="B1658" s="29"/>
      <c r="C1658" s="30" t="str">
        <f>IFERROR(_xlfn.XLOOKUP(B1658,Insumo[DESCRIPCION],Insumo[UND],,0),"")</f>
        <v/>
      </c>
      <c r="D1658" s="31"/>
      <c r="E1658" s="32" t="str">
        <f>IFERROR(_xlfn.XLOOKUP($B1658,Insumo[DESCRIPCION],Insumo[VALOR],,0),"")</f>
        <v/>
      </c>
      <c r="F1658" s="33"/>
      <c r="G1658" s="34" t="str">
        <f>IFERROR(IF(F1658&gt;=0,D1658*E1658*(1+F1658/100),ABS(D1658*E1658/F1658)),"")</f>
        <v/>
      </c>
      <c r="H1658" s="43" t="str">
        <f>IFERROR(G1658*E1651,"")</f>
        <v/>
      </c>
    </row>
    <row r="1659" spans="1:11">
      <c r="A1659" s="21"/>
      <c r="B1659" s="22" t="s">
        <v>3731</v>
      </c>
      <c r="C1659" s="23"/>
      <c r="D1659" s="24"/>
      <c r="E1659" s="25"/>
      <c r="F1659" s="26"/>
      <c r="G1659" s="27">
        <f>SUM(G1660:G1662)</f>
        <v>767.45216969318199</v>
      </c>
      <c r="H1659" s="44">
        <f>G1659*E1651</f>
        <v>0</v>
      </c>
    </row>
    <row r="1660" spans="1:11">
      <c r="A1660" s="28"/>
      <c r="B1660" s="29" t="s">
        <v>3626</v>
      </c>
      <c r="C1660" s="30" t="str">
        <f>IFERROR(_xlfn.XLOOKUP(B1660,Equipo[DESCRIPCION],Equipo[UND],,0),"")</f>
        <v>%MO</v>
      </c>
      <c r="D1660" s="31">
        <v>0.05</v>
      </c>
      <c r="E1660" s="32">
        <f>IF(C1660="%MO",G1666,IFERROR(_xlfn.XLOOKUP($B1660,Equipo[DESCRIPCION],Equipo[VALOR],,0),""))</f>
        <v>15349.04339386364</v>
      </c>
      <c r="F1660" s="33"/>
      <c r="G1660" s="34">
        <f>IFERROR(IF(F1660&gt;=0,D1660*E1660*(1+F1660/100),ABS(D1660*E1660/F1660)),"")</f>
        <v>767.45216969318199</v>
      </c>
      <c r="H1660" s="43">
        <f>IFERROR(G1660*E1651,"")</f>
        <v>0</v>
      </c>
    </row>
    <row r="1661" spans="1:11">
      <c r="A1661" s="28"/>
      <c r="B1661" s="29"/>
      <c r="C1661" s="30" t="str">
        <f>IFERROR(_xlfn.XLOOKUP(B1661,Equipo[DESCRIPCION],Equipo[UND],,0),"")</f>
        <v/>
      </c>
      <c r="D1661" s="31"/>
      <c r="E1661" s="32" t="str">
        <f>IF(C1661="%MO",G1666,IFERROR(_xlfn.XLOOKUP($B1661,Equipo[DESCRIPCION],Equipo[VALOR],,0),""))</f>
        <v/>
      </c>
      <c r="F1661" s="33"/>
      <c r="G1661" s="34" t="str">
        <f>IFERROR(IF(F1661&gt;=0,D1661*E1661*(1+F1661/100),ABS(D1661*E1661/F1661)),"")</f>
        <v/>
      </c>
      <c r="H1661" s="43" t="str">
        <f>IFERROR(G1661*E1651,"")</f>
        <v/>
      </c>
    </row>
    <row r="1662" spans="1:11">
      <c r="A1662" s="28"/>
      <c r="B1662" s="29"/>
      <c r="C1662" s="30" t="str">
        <f>IFERROR(_xlfn.XLOOKUP(B1662,Equipo[DESCRIPCION],Equipo[UND],,0),"")</f>
        <v/>
      </c>
      <c r="D1662" s="31"/>
      <c r="E1662" s="32" t="str">
        <f>IF(C1662="%MO",G1666,IFERROR(_xlfn.XLOOKUP($B1662,Equipo[DESCRIPCION],Equipo[VALOR],,0),""))</f>
        <v/>
      </c>
      <c r="F1662" s="33"/>
      <c r="G1662" s="34" t="str">
        <f>IFERROR(IF(F1662&gt;=0,D1662*E1662*(1+F1662/100),ABS(D1662*E1662/F1662)),"")</f>
        <v/>
      </c>
      <c r="H1662" s="43" t="str">
        <f>IFERROR(G1662*E1651,"")</f>
        <v/>
      </c>
    </row>
    <row r="1663" spans="1:11">
      <c r="A1663" s="21"/>
      <c r="B1663" s="22" t="s">
        <v>2533</v>
      </c>
      <c r="C1663" s="23"/>
      <c r="D1663" s="24"/>
      <c r="E1663" s="25"/>
      <c r="F1663" s="26"/>
      <c r="G1663" s="27">
        <f>SUM(G1664:G1665)</f>
        <v>0</v>
      </c>
      <c r="H1663" s="44">
        <f>G1663*E1651</f>
        <v>0</v>
      </c>
    </row>
    <row r="1664" spans="1:11">
      <c r="A1664" s="28"/>
      <c r="B1664" s="29"/>
      <c r="C1664" s="30" t="str">
        <f>IFERROR(_xlfn.XLOOKUP(B1664,Transporte[DESCRIPCION],Transporte[UND],,0),"")</f>
        <v/>
      </c>
      <c r="D1664" s="31"/>
      <c r="E1664" s="32" t="str">
        <f>IFERROR(_xlfn.XLOOKUP($B1664,Transporte[DESCRIPCION],Transporte[VALOR],,0),"")</f>
        <v/>
      </c>
      <c r="F1664" s="33"/>
      <c r="G1664" s="34" t="str">
        <f>IFERROR(IF(F1664&gt;=0,D1664*E1664*(1+F1664/100),ABS(D1664*E1664/F1664)),"")</f>
        <v/>
      </c>
      <c r="H1664" s="43" t="str">
        <f>IFERROR(G1664*E1651,"")</f>
        <v/>
      </c>
    </row>
    <row r="1665" spans="1:11">
      <c r="A1665" s="28"/>
      <c r="B1665" s="29"/>
      <c r="C1665" s="30" t="str">
        <f>IFERROR(_xlfn.XLOOKUP(B1665,Transporte[DESCRIPCION],Transporte[UND],,0),"")</f>
        <v/>
      </c>
      <c r="D1665" s="31"/>
      <c r="E1665" s="32" t="str">
        <f>IFERROR(_xlfn.XLOOKUP($B1665,Transporte[DESCRIPCION],Transporte[VALOR],,0),"")</f>
        <v/>
      </c>
      <c r="F1665" s="33"/>
      <c r="G1665" s="34" t="str">
        <f>IFERROR(IF(F1665&gt;=0,D1665*E1665*(1+F1665/100),ABS(D1665*E1665/F1665)),"")</f>
        <v/>
      </c>
      <c r="H1665" s="43" t="str">
        <f>IFERROR(G1665*E1651,"")</f>
        <v/>
      </c>
    </row>
    <row r="1666" spans="1:11">
      <c r="A1666" s="21"/>
      <c r="B1666" s="22" t="s">
        <v>3732</v>
      </c>
      <c r="C1666" s="23"/>
      <c r="D1666" s="24"/>
      <c r="E1666" s="25"/>
      <c r="F1666" s="26"/>
      <c r="G1666" s="27">
        <f>SUM(G1667:G1669)</f>
        <v>15349.04339386364</v>
      </c>
      <c r="H1666" s="44">
        <f>G1666*E1651</f>
        <v>0</v>
      </c>
    </row>
    <row r="1667" spans="1:11">
      <c r="A1667" s="28"/>
      <c r="B1667" s="29" t="s">
        <v>3715</v>
      </c>
      <c r="C1667" s="30" t="str">
        <f>IFERROR(_xlfn.XLOOKUP(B1667,MObra[DESCRIPCION],MObra[UN],,0),"")</f>
        <v>día</v>
      </c>
      <c r="D1667" s="31">
        <v>1</v>
      </c>
      <c r="E1667" s="32">
        <f>IFERROR(_xlfn.XLOOKUP($B1667,MObra[DESCRIPCION],MObra[VALOR UNIT],,0),"")</f>
        <v>337678.95466500008</v>
      </c>
      <c r="F1667" s="33">
        <v>-22</v>
      </c>
      <c r="G1667" s="34">
        <f>IFERROR(IF(F1667&gt;=0,D1667*E1667*(1+F1667/100),ABS(D1667*E1667/F1667)),"")</f>
        <v>15349.04339386364</v>
      </c>
      <c r="H1667" s="43">
        <f>IFERROR(G1667*E1651,"")</f>
        <v>0</v>
      </c>
    </row>
    <row r="1668" spans="1:11">
      <c r="A1668" s="28"/>
      <c r="B1668" s="29"/>
      <c r="C1668" s="30" t="str">
        <f t="array" ref="C1668">IFERROR(_xlfn.XLOOKUP(B1668,MObra[[#All],[DESCRIPCION]],MObra[[#All],[UN]],,0),"")</f>
        <v/>
      </c>
      <c r="D1668" s="31"/>
      <c r="E1668" s="32" t="str">
        <f>IFERROR(_xlfn.XLOOKUP($B1668,MObra[DESCRIPCION],MObra[VALOR UNIT],,0),"")</f>
        <v/>
      </c>
      <c r="F1668" s="33"/>
      <c r="G1668" s="34" t="str">
        <f>IFERROR(IF(F1668&gt;=0,D1668*E1668*(1+F1668/100),ABS(D1668*E1668/F1668)),"")</f>
        <v/>
      </c>
      <c r="H1668" s="43" t="str">
        <f>IFERROR(G1668*E1651,"")</f>
        <v/>
      </c>
    </row>
    <row r="1669" spans="1:11">
      <c r="A1669" s="35"/>
      <c r="B1669" s="36"/>
      <c r="C1669" s="37" t="str">
        <f t="array" ref="C1669">IFERROR(_xlfn.XLOOKUP(B1669,MObra[[#All],[DESCRIPCION]],MObra[[#All],[UN]],,0),"")</f>
        <v/>
      </c>
      <c r="D1669" s="38"/>
      <c r="E1669" s="39" t="str">
        <f>IFERROR(_xlfn.XLOOKUP($B1669,MObra[DESCRIPCION],MObra[VALOR UNIT],,0),"")</f>
        <v/>
      </c>
      <c r="F1669" s="40"/>
      <c r="G1669" s="41" t="str">
        <f>IFERROR(IF(F1669&gt;=0,D1669*E1669*(1+F1669/100),ABS(D1669*E1669/F1669)),"")</f>
        <v/>
      </c>
      <c r="H1669" s="42" t="str">
        <f>IFERROR(G1669*E1651,"")</f>
        <v/>
      </c>
    </row>
    <row r="1670" spans="1:11" ht="12.75" customHeight="1" thickTop="1" thickBot="1"/>
    <row r="1671" spans="1:11" ht="26.25" thickTop="1" thickBot="1">
      <c r="A1671" s="6" t="s">
        <v>1043</v>
      </c>
      <c r="B1671" s="7" t="str">
        <f>VLOOKUP($A1671,Presupuesto!$A:$D,2,FALSE())</f>
        <v>Toma corriente doble normal GFCI 120 Vac, 20 amperios. Incluye caja Radwelt 4X2", salidas en 1/2" con accesorios para instalación</v>
      </c>
      <c r="C1671" s="8" t="str">
        <f>VLOOKUP($A1671,Presupuesto!$A:$D,3,FALSE())</f>
        <v>Un</v>
      </c>
      <c r="D1671" s="9"/>
      <c r="E1671" s="10">
        <f>VLOOKUP($A1671,Presupuesto!$A:$D,4,FALSE())</f>
        <v>0</v>
      </c>
      <c r="F1671" s="11" t="s">
        <v>2589</v>
      </c>
      <c r="G1671" s="12">
        <f>SUM(G1673:G1689)/2</f>
        <v>138997.99556355685</v>
      </c>
      <c r="H1671" s="13">
        <f>ROUND(SUM(H1673:H1689),0)/2</f>
        <v>0</v>
      </c>
      <c r="I1671" s="10">
        <f>VLOOKUP(A1671,Presupuesto!$A:$F,6,0)</f>
        <v>0</v>
      </c>
      <c r="J1671" s="10">
        <f>+H1671-I1671</f>
        <v>0</v>
      </c>
      <c r="K1671" s="46">
        <f>+H1671-G1671*E1671</f>
        <v>0</v>
      </c>
    </row>
    <row r="1672" spans="1:11">
      <c r="A1672" s="14"/>
      <c r="B1672" s="15" t="s">
        <v>2586</v>
      </c>
      <c r="C1672" s="15" t="s">
        <v>5</v>
      </c>
      <c r="D1672" s="16" t="s">
        <v>6</v>
      </c>
      <c r="E1672" s="17" t="s">
        <v>7</v>
      </c>
      <c r="F1672" s="18" t="s">
        <v>3728</v>
      </c>
      <c r="G1672" s="19" t="s">
        <v>3729</v>
      </c>
      <c r="H1672" s="20" t="s">
        <v>3797</v>
      </c>
    </row>
    <row r="1673" spans="1:11">
      <c r="A1673" s="21"/>
      <c r="B1673" s="22" t="s">
        <v>3730</v>
      </c>
      <c r="C1673" s="23"/>
      <c r="D1673" s="24"/>
      <c r="E1673" s="25"/>
      <c r="F1673" s="26"/>
      <c r="G1673" s="27">
        <f>SUM(G1674:G1678)</f>
        <v>122881.5</v>
      </c>
      <c r="H1673" s="27">
        <f>IFERROR(G1673*E1671,"")</f>
        <v>0</v>
      </c>
    </row>
    <row r="1674" spans="1:11">
      <c r="A1674" s="28"/>
      <c r="B1674" s="29" t="s">
        <v>3399</v>
      </c>
      <c r="C1674" s="30" t="str">
        <f>IFERROR(_xlfn.XLOOKUP(B1674,Insumo[DESCRIPCION],Insumo[UND],,0),"")</f>
        <v>Un</v>
      </c>
      <c r="D1674" s="31">
        <v>1</v>
      </c>
      <c r="E1674" s="32">
        <f>IFERROR(_xlfn.XLOOKUP($B1674,Insumo[DESCRIPCION],Insumo[VALOR],,0),"")</f>
        <v>99363.6</v>
      </c>
      <c r="F1674" s="33"/>
      <c r="G1674" s="34">
        <f>IFERROR(IF(F1674&gt;=0,D1674*E1674*(1+F1674/100),ABS(D1674*E1674/F1674)),"")</f>
        <v>99363.6</v>
      </c>
      <c r="H1674" s="43">
        <f>IFERROR(G1674*E1671,"")</f>
        <v>0</v>
      </c>
    </row>
    <row r="1675" spans="1:11">
      <c r="A1675" s="28"/>
      <c r="B1675" s="29" t="s">
        <v>2801</v>
      </c>
      <c r="C1675" s="30" t="str">
        <f>IFERROR(_xlfn.XLOOKUP(B1675,Insumo[DESCRIPCION],Insumo[UND],,0),"")</f>
        <v>Un</v>
      </c>
      <c r="D1675" s="31">
        <v>1</v>
      </c>
      <c r="E1675" s="32">
        <f>IFERROR(_xlfn.XLOOKUP($B1675,Insumo[DESCRIPCION],Insumo[VALOR],,0),"")</f>
        <v>22152.9</v>
      </c>
      <c r="F1675" s="33"/>
      <c r="G1675" s="34">
        <f>IFERROR(IF(F1675&gt;=0,D1675*E1675*(1+F1675/100),ABS(D1675*E1675/F1675)),"")</f>
        <v>22152.9</v>
      </c>
      <c r="H1675" s="43">
        <f>IFERROR(G1675*E1671,"")</f>
        <v>0</v>
      </c>
    </row>
    <row r="1676" spans="1:11">
      <c r="A1676" s="28"/>
      <c r="B1676" s="29" t="s">
        <v>2833</v>
      </c>
      <c r="C1676" s="30" t="str">
        <f>IFERROR(_xlfn.XLOOKUP(B1676,Insumo[DESCRIPCION],Insumo[UND],,0),"")</f>
        <v>Un</v>
      </c>
      <c r="D1676" s="31">
        <v>2</v>
      </c>
      <c r="E1676" s="32">
        <f>IFERROR(_xlfn.XLOOKUP($B1676,Insumo[DESCRIPCION],Insumo[VALOR],,0),"")</f>
        <v>682.5</v>
      </c>
      <c r="F1676" s="33"/>
      <c r="G1676" s="34">
        <f>IFERROR(IF(F1676&gt;=0,D1676*E1676*(1+F1676/100),ABS(D1676*E1676/F1676)),"")</f>
        <v>1365</v>
      </c>
      <c r="H1676" s="43">
        <f>IFERROR(G1676*E1671,"")</f>
        <v>0</v>
      </c>
    </row>
    <row r="1677" spans="1:11">
      <c r="A1677" s="28"/>
      <c r="B1677" s="29"/>
      <c r="C1677" s="30" t="str">
        <f>IFERROR(_xlfn.XLOOKUP(B1677,Insumo[DESCRIPCION],Insumo[UND],,0),"")</f>
        <v/>
      </c>
      <c r="D1677" s="31"/>
      <c r="E1677" s="32" t="str">
        <f>IFERROR(_xlfn.XLOOKUP($B1677,Insumo[DESCRIPCION],Insumo[VALOR],,0),"")</f>
        <v/>
      </c>
      <c r="F1677" s="33"/>
      <c r="G1677" s="34" t="str">
        <f>IFERROR(IF(F1677&gt;=0,D1677*E1677*(1+F1677/100),ABS(D1677*E1677/F1677)),"")</f>
        <v/>
      </c>
      <c r="H1677" s="43" t="str">
        <f>IFERROR(G1677*E1671,"")</f>
        <v/>
      </c>
    </row>
    <row r="1678" spans="1:11">
      <c r="A1678" s="28"/>
      <c r="B1678" s="29"/>
      <c r="C1678" s="30" t="str">
        <f>IFERROR(_xlfn.XLOOKUP(B1678,Insumo[DESCRIPCION],Insumo[UND],,0),"")</f>
        <v/>
      </c>
      <c r="D1678" s="31"/>
      <c r="E1678" s="32" t="str">
        <f>IFERROR(_xlfn.XLOOKUP($B1678,Insumo[DESCRIPCION],Insumo[VALOR],,0),"")</f>
        <v/>
      </c>
      <c r="F1678" s="33"/>
      <c r="G1678" s="34" t="str">
        <f>IFERROR(IF(F1678&gt;=0,D1678*E1678*(1+F1678/100),ABS(D1678*E1678/F1678)),"")</f>
        <v/>
      </c>
      <c r="H1678" s="43" t="str">
        <f>IFERROR(G1678*E1671,"")</f>
        <v/>
      </c>
    </row>
    <row r="1679" spans="1:11">
      <c r="A1679" s="21"/>
      <c r="B1679" s="22" t="s">
        <v>3731</v>
      </c>
      <c r="C1679" s="23"/>
      <c r="D1679" s="24"/>
      <c r="E1679" s="25"/>
      <c r="F1679" s="26"/>
      <c r="G1679" s="27">
        <f>SUM(G1680:G1682)</f>
        <v>767.45216969318199</v>
      </c>
      <c r="H1679" s="44">
        <f>G1679*E1671</f>
        <v>0</v>
      </c>
    </row>
    <row r="1680" spans="1:11">
      <c r="A1680" s="28"/>
      <c r="B1680" s="29" t="s">
        <v>3626</v>
      </c>
      <c r="C1680" s="30" t="str">
        <f>IFERROR(_xlfn.XLOOKUP(B1680,Equipo[DESCRIPCION],Equipo[UND],,0),"")</f>
        <v>%MO</v>
      </c>
      <c r="D1680" s="31">
        <v>0.05</v>
      </c>
      <c r="E1680" s="32">
        <f>IF(C1680="%MO",G1686,IFERROR(_xlfn.XLOOKUP($B1680,Equipo[DESCRIPCION],Equipo[VALOR],,0),""))</f>
        <v>15349.04339386364</v>
      </c>
      <c r="F1680" s="33"/>
      <c r="G1680" s="34">
        <f>IFERROR(IF(F1680&gt;=0,D1680*E1680*(1+F1680/100),ABS(D1680*E1680/F1680)),"")</f>
        <v>767.45216969318199</v>
      </c>
      <c r="H1680" s="43">
        <f>IFERROR(G1680*E1671,"")</f>
        <v>0</v>
      </c>
    </row>
    <row r="1681" spans="1:11">
      <c r="A1681" s="28"/>
      <c r="B1681" s="29"/>
      <c r="C1681" s="30" t="str">
        <f>IFERROR(_xlfn.XLOOKUP(B1681,Equipo[DESCRIPCION],Equipo[UND],,0),"")</f>
        <v/>
      </c>
      <c r="D1681" s="31"/>
      <c r="E1681" s="32" t="str">
        <f>IF(C1681="%MO",G1686,IFERROR(_xlfn.XLOOKUP($B1681,Equipo[DESCRIPCION],Equipo[VALOR],,0),""))</f>
        <v/>
      </c>
      <c r="F1681" s="33"/>
      <c r="G1681" s="34" t="str">
        <f>IFERROR(IF(F1681&gt;=0,D1681*E1681*(1+F1681/100),ABS(D1681*E1681/F1681)),"")</f>
        <v/>
      </c>
      <c r="H1681" s="43" t="str">
        <f>IFERROR(G1681*E1671,"")</f>
        <v/>
      </c>
    </row>
    <row r="1682" spans="1:11">
      <c r="A1682" s="28"/>
      <c r="B1682" s="29"/>
      <c r="C1682" s="30" t="str">
        <f>IFERROR(_xlfn.XLOOKUP(B1682,Equipo[DESCRIPCION],Equipo[UND],,0),"")</f>
        <v/>
      </c>
      <c r="D1682" s="31"/>
      <c r="E1682" s="32" t="str">
        <f>IF(C1682="%MO",G1686,IFERROR(_xlfn.XLOOKUP($B1682,Equipo[DESCRIPCION],Equipo[VALOR],,0),""))</f>
        <v/>
      </c>
      <c r="F1682" s="33"/>
      <c r="G1682" s="34" t="str">
        <f>IFERROR(IF(F1682&gt;=0,D1682*E1682*(1+F1682/100),ABS(D1682*E1682/F1682)),"")</f>
        <v/>
      </c>
      <c r="H1682" s="43" t="str">
        <f>IFERROR(G1682*E1671,"")</f>
        <v/>
      </c>
    </row>
    <row r="1683" spans="1:11">
      <c r="A1683" s="21"/>
      <c r="B1683" s="22" t="s">
        <v>2533</v>
      </c>
      <c r="C1683" s="23"/>
      <c r="D1683" s="24"/>
      <c r="E1683" s="25"/>
      <c r="F1683" s="26"/>
      <c r="G1683" s="27">
        <f>SUM(G1684:G1685)</f>
        <v>0</v>
      </c>
      <c r="H1683" s="44">
        <f>G1683*E1671</f>
        <v>0</v>
      </c>
    </row>
    <row r="1684" spans="1:11">
      <c r="A1684" s="28"/>
      <c r="B1684" s="29"/>
      <c r="C1684" s="30" t="str">
        <f>IFERROR(_xlfn.XLOOKUP(B1684,Transporte[DESCRIPCION],Transporte[UND],,0),"")</f>
        <v/>
      </c>
      <c r="D1684" s="31"/>
      <c r="E1684" s="32" t="str">
        <f>IFERROR(_xlfn.XLOOKUP($B1684,Transporte[DESCRIPCION],Transporte[VALOR],,0),"")</f>
        <v/>
      </c>
      <c r="F1684" s="33"/>
      <c r="G1684" s="34" t="str">
        <f>IFERROR(IF(F1684&gt;=0,D1684*E1684*(1+F1684/100),ABS(D1684*E1684/F1684)),"")</f>
        <v/>
      </c>
      <c r="H1684" s="43" t="str">
        <f>IFERROR(G1684*E1671,"")</f>
        <v/>
      </c>
    </row>
    <row r="1685" spans="1:11">
      <c r="A1685" s="28"/>
      <c r="B1685" s="29"/>
      <c r="C1685" s="30" t="str">
        <f>IFERROR(_xlfn.XLOOKUP(B1685,Transporte[DESCRIPCION],Transporte[UND],,0),"")</f>
        <v/>
      </c>
      <c r="D1685" s="31"/>
      <c r="E1685" s="32" t="str">
        <f>IFERROR(_xlfn.XLOOKUP($B1685,Transporte[DESCRIPCION],Transporte[VALOR],,0),"")</f>
        <v/>
      </c>
      <c r="F1685" s="33"/>
      <c r="G1685" s="34" t="str">
        <f>IFERROR(IF(F1685&gt;=0,D1685*E1685*(1+F1685/100),ABS(D1685*E1685/F1685)),"")</f>
        <v/>
      </c>
      <c r="H1685" s="43" t="str">
        <f>IFERROR(G1685*E1671,"")</f>
        <v/>
      </c>
    </row>
    <row r="1686" spans="1:11">
      <c r="A1686" s="21"/>
      <c r="B1686" s="22" t="s">
        <v>3732</v>
      </c>
      <c r="C1686" s="23"/>
      <c r="D1686" s="24"/>
      <c r="E1686" s="25"/>
      <c r="F1686" s="26"/>
      <c r="G1686" s="27">
        <f>SUM(G1687:G1689)</f>
        <v>15349.04339386364</v>
      </c>
      <c r="H1686" s="44">
        <f>G1686*E1671</f>
        <v>0</v>
      </c>
    </row>
    <row r="1687" spans="1:11">
      <c r="A1687" s="28"/>
      <c r="B1687" s="29" t="s">
        <v>3715</v>
      </c>
      <c r="C1687" s="30" t="str">
        <f>IFERROR(_xlfn.XLOOKUP(B1687,MObra[DESCRIPCION],MObra[UN],,0),"")</f>
        <v>día</v>
      </c>
      <c r="D1687" s="31">
        <v>1</v>
      </c>
      <c r="E1687" s="32">
        <f>IFERROR(_xlfn.XLOOKUP($B1687,MObra[DESCRIPCION],MObra[VALOR UNIT],,0),"")</f>
        <v>337678.95466500008</v>
      </c>
      <c r="F1687" s="33">
        <v>-22</v>
      </c>
      <c r="G1687" s="34">
        <f>IFERROR(IF(F1687&gt;=0,D1687*E1687*(1+F1687/100),ABS(D1687*E1687/F1687)),"")</f>
        <v>15349.04339386364</v>
      </c>
      <c r="H1687" s="43">
        <f>IFERROR(G1687*E1671,"")</f>
        <v>0</v>
      </c>
    </row>
    <row r="1688" spans="1:11">
      <c r="A1688" s="28"/>
      <c r="B1688" s="29"/>
      <c r="C1688" s="30" t="str">
        <f t="array" ref="C1688">IFERROR(_xlfn.XLOOKUP(B1688,MObra[[#All],[DESCRIPCION]],MObra[[#All],[UN]],,0),"")</f>
        <v/>
      </c>
      <c r="D1688" s="31"/>
      <c r="E1688" s="32" t="str">
        <f>IFERROR(_xlfn.XLOOKUP($B1688,MObra[DESCRIPCION],MObra[VALOR UNIT],,0),"")</f>
        <v/>
      </c>
      <c r="F1688" s="33"/>
      <c r="G1688" s="34" t="str">
        <f>IFERROR(IF(F1688&gt;=0,D1688*E1688*(1+F1688/100),ABS(D1688*E1688/F1688)),"")</f>
        <v/>
      </c>
      <c r="H1688" s="43" t="str">
        <f>IFERROR(G1688*E1671,"")</f>
        <v/>
      </c>
    </row>
    <row r="1689" spans="1:11">
      <c r="A1689" s="35"/>
      <c r="B1689" s="36"/>
      <c r="C1689" s="37" t="str">
        <f t="array" ref="C1689">IFERROR(_xlfn.XLOOKUP(B1689,MObra[[#All],[DESCRIPCION]],MObra[[#All],[UN]],,0),"")</f>
        <v/>
      </c>
      <c r="D1689" s="38"/>
      <c r="E1689" s="39" t="str">
        <f>IFERROR(_xlfn.XLOOKUP($B1689,MObra[DESCRIPCION],MObra[VALOR UNIT],,0),"")</f>
        <v/>
      </c>
      <c r="F1689" s="40"/>
      <c r="G1689" s="41" t="str">
        <f>IFERROR(IF(F1689&gt;=0,D1689*E1689*(1+F1689/100),ABS(D1689*E1689/F1689)),"")</f>
        <v/>
      </c>
      <c r="H1689" s="42" t="str">
        <f>IFERROR(G1689*E1671,"")</f>
        <v/>
      </c>
    </row>
    <row r="1690" spans="1:11" ht="12.75" customHeight="1" thickTop="1" thickBot="1"/>
    <row r="1691" spans="1:11" ht="26.25" thickTop="1" thickBot="1">
      <c r="A1691" s="6" t="s">
        <v>1045</v>
      </c>
      <c r="B1691" s="7" t="str">
        <f>VLOOKUP($A1691,Presupuesto!$A:$D,2,FALSE())</f>
        <v>Toma corriente doble normal GFCI 120 Vac, 20 amperios. Incluye caja Radwelt 4X2", salidas en 3/4" con accesorios para instalación</v>
      </c>
      <c r="C1691" s="8" t="str">
        <f>VLOOKUP($A1691,Presupuesto!$A:$D,3,FALSE())</f>
        <v>Un</v>
      </c>
      <c r="D1691" s="9"/>
      <c r="E1691" s="10">
        <f>VLOOKUP($A1691,Presupuesto!$A:$D,4,FALSE())</f>
        <v>0</v>
      </c>
      <c r="F1691" s="11" t="s">
        <v>2589</v>
      </c>
      <c r="G1691" s="12">
        <f>SUM(G1693:G1709)/2</f>
        <v>143999.14556355684</v>
      </c>
      <c r="H1691" s="13">
        <f>ROUND(SUM(H1693:H1709),0)/2</f>
        <v>0</v>
      </c>
      <c r="I1691" s="10">
        <f>VLOOKUP(A1691,Presupuesto!$A:$F,6,0)</f>
        <v>0</v>
      </c>
      <c r="J1691" s="10">
        <f>+H1691-I1691</f>
        <v>0</v>
      </c>
      <c r="K1691" s="46">
        <f>+H1691-G1691*E1691</f>
        <v>0</v>
      </c>
    </row>
    <row r="1692" spans="1:11">
      <c r="A1692" s="14"/>
      <c r="B1692" s="15" t="s">
        <v>2586</v>
      </c>
      <c r="C1692" s="15" t="s">
        <v>5</v>
      </c>
      <c r="D1692" s="16" t="s">
        <v>6</v>
      </c>
      <c r="E1692" s="17" t="s">
        <v>7</v>
      </c>
      <c r="F1692" s="18" t="s">
        <v>3728</v>
      </c>
      <c r="G1692" s="19" t="s">
        <v>3729</v>
      </c>
      <c r="H1692" s="20" t="s">
        <v>3797</v>
      </c>
    </row>
    <row r="1693" spans="1:11">
      <c r="A1693" s="21"/>
      <c r="B1693" s="22" t="s">
        <v>3730</v>
      </c>
      <c r="C1693" s="23"/>
      <c r="D1693" s="24"/>
      <c r="E1693" s="25"/>
      <c r="F1693" s="26"/>
      <c r="G1693" s="27">
        <f>SUM(G1694:G1698)</f>
        <v>127882.65000000001</v>
      </c>
      <c r="H1693" s="27">
        <f>IFERROR(G1693*E1691,"")</f>
        <v>0</v>
      </c>
    </row>
    <row r="1694" spans="1:11">
      <c r="A1694" s="28"/>
      <c r="B1694" s="29" t="s">
        <v>3399</v>
      </c>
      <c r="C1694" s="30" t="str">
        <f>IFERROR(_xlfn.XLOOKUP(B1694,Insumo[DESCRIPCION],Insumo[UND],,0),"")</f>
        <v>Un</v>
      </c>
      <c r="D1694" s="31">
        <v>1</v>
      </c>
      <c r="E1694" s="32">
        <f>IFERROR(_xlfn.XLOOKUP($B1694,Insumo[DESCRIPCION],Insumo[VALOR],,0),"")</f>
        <v>99363.6</v>
      </c>
      <c r="F1694" s="33"/>
      <c r="G1694" s="34">
        <f>IFERROR(IF(F1694&gt;=0,D1694*E1694*(1+F1694/100),ABS(D1694*E1694/F1694)),"")</f>
        <v>99363.6</v>
      </c>
      <c r="H1694" s="43">
        <f>IFERROR(G1694*E1691,"")</f>
        <v>0</v>
      </c>
    </row>
    <row r="1695" spans="1:11">
      <c r="A1695" s="28"/>
      <c r="B1695" s="29" t="s">
        <v>2802</v>
      </c>
      <c r="C1695" s="30" t="str">
        <f>IFERROR(_xlfn.XLOOKUP(B1695,Insumo[DESCRIPCION],Insumo[UND],,0),"")</f>
        <v>Un</v>
      </c>
      <c r="D1695" s="31">
        <v>1</v>
      </c>
      <c r="E1695" s="32">
        <f>IFERROR(_xlfn.XLOOKUP($B1695,Insumo[DESCRIPCION],Insumo[VALOR],,0),"")</f>
        <v>27154.050000000003</v>
      </c>
      <c r="F1695" s="33"/>
      <c r="G1695" s="34">
        <f>IFERROR(IF(F1695&gt;=0,D1695*E1695*(1+F1695/100),ABS(D1695*E1695/F1695)),"")</f>
        <v>27154.050000000003</v>
      </c>
      <c r="H1695" s="43">
        <f>IFERROR(G1695*E1691,"")</f>
        <v>0</v>
      </c>
    </row>
    <row r="1696" spans="1:11">
      <c r="A1696" s="28"/>
      <c r="B1696" s="29" t="s">
        <v>2833</v>
      </c>
      <c r="C1696" s="30" t="str">
        <f>IFERROR(_xlfn.XLOOKUP(B1696,Insumo[DESCRIPCION],Insumo[UND],,0),"")</f>
        <v>Un</v>
      </c>
      <c r="D1696" s="31">
        <v>2</v>
      </c>
      <c r="E1696" s="32">
        <f>IFERROR(_xlfn.XLOOKUP($B1696,Insumo[DESCRIPCION],Insumo[VALOR],,0),"")</f>
        <v>682.5</v>
      </c>
      <c r="F1696" s="33"/>
      <c r="G1696" s="34">
        <f>IFERROR(IF(F1696&gt;=0,D1696*E1696*(1+F1696/100),ABS(D1696*E1696/F1696)),"")</f>
        <v>1365</v>
      </c>
      <c r="H1696" s="43">
        <f>IFERROR(G1696*E1691,"")</f>
        <v>0</v>
      </c>
    </row>
    <row r="1697" spans="1:11">
      <c r="A1697" s="28"/>
      <c r="B1697" s="29"/>
      <c r="C1697" s="30" t="str">
        <f>IFERROR(_xlfn.XLOOKUP(B1697,Insumo[DESCRIPCION],Insumo[UND],,0),"")</f>
        <v/>
      </c>
      <c r="D1697" s="31"/>
      <c r="E1697" s="32" t="str">
        <f>IFERROR(_xlfn.XLOOKUP($B1697,Insumo[DESCRIPCION],Insumo[VALOR],,0),"")</f>
        <v/>
      </c>
      <c r="F1697" s="33"/>
      <c r="G1697" s="34" t="str">
        <f>IFERROR(IF(F1697&gt;=0,D1697*E1697*(1+F1697/100),ABS(D1697*E1697/F1697)),"")</f>
        <v/>
      </c>
      <c r="H1697" s="43" t="str">
        <f>IFERROR(G1697*E1691,"")</f>
        <v/>
      </c>
    </row>
    <row r="1698" spans="1:11">
      <c r="A1698" s="28"/>
      <c r="B1698" s="29"/>
      <c r="C1698" s="30" t="str">
        <f>IFERROR(_xlfn.XLOOKUP(B1698,Insumo[DESCRIPCION],Insumo[UND],,0),"")</f>
        <v/>
      </c>
      <c r="D1698" s="31"/>
      <c r="E1698" s="32" t="str">
        <f>IFERROR(_xlfn.XLOOKUP($B1698,Insumo[DESCRIPCION],Insumo[VALOR],,0),"")</f>
        <v/>
      </c>
      <c r="F1698" s="33"/>
      <c r="G1698" s="34" t="str">
        <f>IFERROR(IF(F1698&gt;=0,D1698*E1698*(1+F1698/100),ABS(D1698*E1698/F1698)),"")</f>
        <v/>
      </c>
      <c r="H1698" s="43" t="str">
        <f>IFERROR(G1698*E1691,"")</f>
        <v/>
      </c>
    </row>
    <row r="1699" spans="1:11">
      <c r="A1699" s="21"/>
      <c r="B1699" s="22" t="s">
        <v>3731</v>
      </c>
      <c r="C1699" s="23"/>
      <c r="D1699" s="24"/>
      <c r="E1699" s="25"/>
      <c r="F1699" s="26"/>
      <c r="G1699" s="27">
        <f>SUM(G1700:G1702)</f>
        <v>767.45216969318199</v>
      </c>
      <c r="H1699" s="44">
        <f>G1699*E1691</f>
        <v>0</v>
      </c>
    </row>
    <row r="1700" spans="1:11">
      <c r="A1700" s="28"/>
      <c r="B1700" s="29" t="s">
        <v>3626</v>
      </c>
      <c r="C1700" s="30" t="str">
        <f>IFERROR(_xlfn.XLOOKUP(B1700,Equipo[DESCRIPCION],Equipo[UND],,0),"")</f>
        <v>%MO</v>
      </c>
      <c r="D1700" s="31">
        <v>0.05</v>
      </c>
      <c r="E1700" s="32">
        <f>IF(C1700="%MO",G1706,IFERROR(_xlfn.XLOOKUP($B1700,Equipo[DESCRIPCION],Equipo[VALOR],,0),""))</f>
        <v>15349.04339386364</v>
      </c>
      <c r="F1700" s="33"/>
      <c r="G1700" s="34">
        <f>IFERROR(IF(F1700&gt;=0,D1700*E1700*(1+F1700/100),ABS(D1700*E1700/F1700)),"")</f>
        <v>767.45216969318199</v>
      </c>
      <c r="H1700" s="43">
        <f>IFERROR(G1700*E1691,"")</f>
        <v>0</v>
      </c>
    </row>
    <row r="1701" spans="1:11">
      <c r="A1701" s="28"/>
      <c r="B1701" s="29"/>
      <c r="C1701" s="30" t="str">
        <f>IFERROR(_xlfn.XLOOKUP(B1701,Equipo[DESCRIPCION],Equipo[UND],,0),"")</f>
        <v/>
      </c>
      <c r="D1701" s="31"/>
      <c r="E1701" s="32" t="str">
        <f>IF(C1701="%MO",G1706,IFERROR(_xlfn.XLOOKUP($B1701,Equipo[DESCRIPCION],Equipo[VALOR],,0),""))</f>
        <v/>
      </c>
      <c r="F1701" s="33"/>
      <c r="G1701" s="34" t="str">
        <f>IFERROR(IF(F1701&gt;=0,D1701*E1701*(1+F1701/100),ABS(D1701*E1701/F1701)),"")</f>
        <v/>
      </c>
      <c r="H1701" s="43" t="str">
        <f>IFERROR(G1701*E1691,"")</f>
        <v/>
      </c>
    </row>
    <row r="1702" spans="1:11">
      <c r="A1702" s="28"/>
      <c r="B1702" s="29"/>
      <c r="C1702" s="30" t="str">
        <f>IFERROR(_xlfn.XLOOKUP(B1702,Equipo[DESCRIPCION],Equipo[UND],,0),"")</f>
        <v/>
      </c>
      <c r="D1702" s="31"/>
      <c r="E1702" s="32" t="str">
        <f>IF(C1702="%MO",G1706,IFERROR(_xlfn.XLOOKUP($B1702,Equipo[DESCRIPCION],Equipo[VALOR],,0),""))</f>
        <v/>
      </c>
      <c r="F1702" s="33"/>
      <c r="G1702" s="34" t="str">
        <f>IFERROR(IF(F1702&gt;=0,D1702*E1702*(1+F1702/100),ABS(D1702*E1702/F1702)),"")</f>
        <v/>
      </c>
      <c r="H1702" s="43" t="str">
        <f>IFERROR(G1702*E1691,"")</f>
        <v/>
      </c>
    </row>
    <row r="1703" spans="1:11">
      <c r="A1703" s="21"/>
      <c r="B1703" s="22" t="s">
        <v>2533</v>
      </c>
      <c r="C1703" s="23"/>
      <c r="D1703" s="24"/>
      <c r="E1703" s="25"/>
      <c r="F1703" s="26"/>
      <c r="G1703" s="27">
        <f>SUM(G1704:G1705)</f>
        <v>0</v>
      </c>
      <c r="H1703" s="44">
        <f>G1703*E1691</f>
        <v>0</v>
      </c>
    </row>
    <row r="1704" spans="1:11">
      <c r="A1704" s="28"/>
      <c r="B1704" s="29"/>
      <c r="C1704" s="30" t="str">
        <f>IFERROR(_xlfn.XLOOKUP(B1704,Transporte[DESCRIPCION],Transporte[UND],,0),"")</f>
        <v/>
      </c>
      <c r="D1704" s="31"/>
      <c r="E1704" s="32" t="str">
        <f>IFERROR(_xlfn.XLOOKUP($B1704,Transporte[DESCRIPCION],Transporte[VALOR],,0),"")</f>
        <v/>
      </c>
      <c r="F1704" s="33"/>
      <c r="G1704" s="34" t="str">
        <f>IFERROR(IF(F1704&gt;=0,D1704*E1704*(1+F1704/100),ABS(D1704*E1704/F1704)),"")</f>
        <v/>
      </c>
      <c r="H1704" s="43" t="str">
        <f>IFERROR(G1704*E1691,"")</f>
        <v/>
      </c>
    </row>
    <row r="1705" spans="1:11">
      <c r="A1705" s="28"/>
      <c r="B1705" s="29"/>
      <c r="C1705" s="30" t="str">
        <f>IFERROR(_xlfn.XLOOKUP(B1705,Transporte[DESCRIPCION],Transporte[UND],,0),"")</f>
        <v/>
      </c>
      <c r="D1705" s="31"/>
      <c r="E1705" s="32" t="str">
        <f>IFERROR(_xlfn.XLOOKUP($B1705,Transporte[DESCRIPCION],Transporte[VALOR],,0),"")</f>
        <v/>
      </c>
      <c r="F1705" s="33"/>
      <c r="G1705" s="34" t="str">
        <f>IFERROR(IF(F1705&gt;=0,D1705*E1705*(1+F1705/100),ABS(D1705*E1705/F1705)),"")</f>
        <v/>
      </c>
      <c r="H1705" s="43" t="str">
        <f>IFERROR(G1705*E1691,"")</f>
        <v/>
      </c>
    </row>
    <row r="1706" spans="1:11">
      <c r="A1706" s="21"/>
      <c r="B1706" s="22" t="s">
        <v>3732</v>
      </c>
      <c r="C1706" s="23"/>
      <c r="D1706" s="24"/>
      <c r="E1706" s="25"/>
      <c r="F1706" s="26"/>
      <c r="G1706" s="27">
        <f>SUM(G1707:G1709)</f>
        <v>15349.04339386364</v>
      </c>
      <c r="H1706" s="44">
        <f>G1706*E1691</f>
        <v>0</v>
      </c>
    </row>
    <row r="1707" spans="1:11">
      <c r="A1707" s="28"/>
      <c r="B1707" s="29" t="s">
        <v>3715</v>
      </c>
      <c r="C1707" s="30" t="str">
        <f>IFERROR(_xlfn.XLOOKUP(B1707,MObra[DESCRIPCION],MObra[UN],,0),"")</f>
        <v>día</v>
      </c>
      <c r="D1707" s="31">
        <v>1</v>
      </c>
      <c r="E1707" s="32">
        <f>IFERROR(_xlfn.XLOOKUP($B1707,MObra[DESCRIPCION],MObra[VALOR UNIT],,0),"")</f>
        <v>337678.95466500008</v>
      </c>
      <c r="F1707" s="33">
        <v>-22</v>
      </c>
      <c r="G1707" s="34">
        <f>IFERROR(IF(F1707&gt;=0,D1707*E1707*(1+F1707/100),ABS(D1707*E1707/F1707)),"")</f>
        <v>15349.04339386364</v>
      </c>
      <c r="H1707" s="43">
        <f>IFERROR(G1707*E1691,"")</f>
        <v>0</v>
      </c>
    </row>
    <row r="1708" spans="1:11">
      <c r="A1708" s="28"/>
      <c r="B1708" s="29"/>
      <c r="C1708" s="30" t="str">
        <f t="array" ref="C1708">IFERROR(_xlfn.XLOOKUP(B1708,MObra[[#All],[DESCRIPCION]],MObra[[#All],[UN]],,0),"")</f>
        <v/>
      </c>
      <c r="D1708" s="31"/>
      <c r="E1708" s="32" t="str">
        <f>IFERROR(_xlfn.XLOOKUP($B1708,MObra[DESCRIPCION],MObra[VALOR UNIT],,0),"")</f>
        <v/>
      </c>
      <c r="F1708" s="33"/>
      <c r="G1708" s="34" t="str">
        <f>IFERROR(IF(F1708&gt;=0,D1708*E1708*(1+F1708/100),ABS(D1708*E1708/F1708)),"")</f>
        <v/>
      </c>
      <c r="H1708" s="43" t="str">
        <f>IFERROR(G1708*E1691,"")</f>
        <v/>
      </c>
    </row>
    <row r="1709" spans="1:11">
      <c r="A1709" s="35"/>
      <c r="B1709" s="36"/>
      <c r="C1709" s="37" t="str">
        <f t="array" ref="C1709">IFERROR(_xlfn.XLOOKUP(B1709,MObra[[#All],[DESCRIPCION]],MObra[[#All],[UN]],,0),"")</f>
        <v/>
      </c>
      <c r="D1709" s="38"/>
      <c r="E1709" s="39" t="str">
        <f>IFERROR(_xlfn.XLOOKUP($B1709,MObra[DESCRIPCION],MObra[VALOR UNIT],,0),"")</f>
        <v/>
      </c>
      <c r="F1709" s="40"/>
      <c r="G1709" s="41" t="str">
        <f>IFERROR(IF(F1709&gt;=0,D1709*E1709*(1+F1709/100),ABS(D1709*E1709/F1709)),"")</f>
        <v/>
      </c>
      <c r="H1709" s="42" t="str">
        <f>IFERROR(G1709*E1691,"")</f>
        <v/>
      </c>
    </row>
    <row r="1710" spans="1:11" ht="12.75" customHeight="1" thickTop="1" thickBot="1"/>
    <row r="1711" spans="1:11" ht="39" thickTop="1" thickBot="1">
      <c r="A1711" s="6" t="s">
        <v>1047</v>
      </c>
      <c r="B1711" s="7" t="str">
        <f>VLOOKUP($A1711,Presupuesto!$A:$D,2,FALSE())</f>
        <v>Toma corriente doble regulado 120 Vac, 15 amperios, empotrado color naranja tipo Levinton tierra aislada con tapa. Incluye caja metálica galvanizada 4X2"</v>
      </c>
      <c r="C1711" s="8" t="str">
        <f>VLOOKUP($A1711,Presupuesto!$A:$D,3,FALSE())</f>
        <v>Un</v>
      </c>
      <c r="D1711" s="9"/>
      <c r="E1711" s="10">
        <f>VLOOKUP($A1711,Presupuesto!$A:$D,4,FALSE())</f>
        <v>0</v>
      </c>
      <c r="F1711" s="11" t="s">
        <v>2589</v>
      </c>
      <c r="G1711" s="12">
        <f>SUM(G1713:G1729)/2</f>
        <v>51796.545563556821</v>
      </c>
      <c r="H1711" s="13">
        <f>ROUND(SUM(H1713:H1729),0)/2</f>
        <v>0</v>
      </c>
      <c r="I1711" s="10">
        <f>VLOOKUP(A1711,Presupuesto!$A:$F,6,0)</f>
        <v>0</v>
      </c>
      <c r="J1711" s="10">
        <f>+H1711-I1711</f>
        <v>0</v>
      </c>
      <c r="K1711" s="46">
        <f>+H1711-G1711*E1711</f>
        <v>0</v>
      </c>
    </row>
    <row r="1712" spans="1:11">
      <c r="A1712" s="14"/>
      <c r="B1712" s="15" t="s">
        <v>2586</v>
      </c>
      <c r="C1712" s="15" t="s">
        <v>5</v>
      </c>
      <c r="D1712" s="16" t="s">
        <v>6</v>
      </c>
      <c r="E1712" s="17" t="s">
        <v>7</v>
      </c>
      <c r="F1712" s="18" t="s">
        <v>3728</v>
      </c>
      <c r="G1712" s="19" t="s">
        <v>3729</v>
      </c>
      <c r="H1712" s="20" t="s">
        <v>3797</v>
      </c>
    </row>
    <row r="1713" spans="1:8">
      <c r="A1713" s="21"/>
      <c r="B1713" s="22" t="s">
        <v>3730</v>
      </c>
      <c r="C1713" s="23"/>
      <c r="D1713" s="24"/>
      <c r="E1713" s="25"/>
      <c r="F1713" s="26"/>
      <c r="G1713" s="27">
        <f>SUM(G1714:G1718)</f>
        <v>35680.050000000003</v>
      </c>
      <c r="H1713" s="27">
        <f>IFERROR(G1713*E1711,"")</f>
        <v>0</v>
      </c>
    </row>
    <row r="1714" spans="1:8">
      <c r="A1714" s="28"/>
      <c r="B1714" s="29" t="s">
        <v>3398</v>
      </c>
      <c r="C1714" s="30" t="str">
        <f>IFERROR(_xlfn.XLOOKUP(B1714,Insumo[DESCRIPCION],Insumo[UND],,0),"")</f>
        <v>Un</v>
      </c>
      <c r="D1714" s="31">
        <v>1</v>
      </c>
      <c r="E1714" s="32">
        <f>IFERROR(_xlfn.XLOOKUP($B1714,Insumo[DESCRIPCION],Insumo[VALOR],,0),"")</f>
        <v>31302.600000000002</v>
      </c>
      <c r="F1714" s="33"/>
      <c r="G1714" s="34">
        <f>IFERROR(IF(F1714&gt;=0,D1714*E1714*(1+F1714/100),ABS(D1714*E1714/F1714)),"")</f>
        <v>31302.600000000002</v>
      </c>
      <c r="H1714" s="43">
        <f>IFERROR(G1714*E1711,"")</f>
        <v>0</v>
      </c>
    </row>
    <row r="1715" spans="1:8">
      <c r="A1715" s="28"/>
      <c r="B1715" s="29" t="s">
        <v>2806</v>
      </c>
      <c r="C1715" s="30" t="str">
        <f>IFERROR(_xlfn.XLOOKUP(B1715,Insumo[DESCRIPCION],Insumo[UND],,0),"")</f>
        <v>Un</v>
      </c>
      <c r="D1715" s="31">
        <v>1</v>
      </c>
      <c r="E1715" s="32">
        <f>IFERROR(_xlfn.XLOOKUP($B1715,Insumo[DESCRIPCION],Insumo[VALOR],,0),"")</f>
        <v>3012.4500000000003</v>
      </c>
      <c r="F1715" s="33"/>
      <c r="G1715" s="34">
        <f>IFERROR(IF(F1715&gt;=0,D1715*E1715*(1+F1715/100),ABS(D1715*E1715/F1715)),"")</f>
        <v>3012.4500000000003</v>
      </c>
      <c r="H1715" s="43">
        <f>IFERROR(G1715*E1711,"")</f>
        <v>0</v>
      </c>
    </row>
    <row r="1716" spans="1:8">
      <c r="A1716" s="28"/>
      <c r="B1716" s="29" t="s">
        <v>2833</v>
      </c>
      <c r="C1716" s="30" t="str">
        <f>IFERROR(_xlfn.XLOOKUP(B1716,Insumo[DESCRIPCION],Insumo[UND],,0),"")</f>
        <v>Un</v>
      </c>
      <c r="D1716" s="31">
        <v>2</v>
      </c>
      <c r="E1716" s="32">
        <f>IFERROR(_xlfn.XLOOKUP($B1716,Insumo[DESCRIPCION],Insumo[VALOR],,0),"")</f>
        <v>682.5</v>
      </c>
      <c r="F1716" s="33"/>
      <c r="G1716" s="34">
        <f>IFERROR(IF(F1716&gt;=0,D1716*E1716*(1+F1716/100),ABS(D1716*E1716/F1716)),"")</f>
        <v>1365</v>
      </c>
      <c r="H1716" s="43">
        <f>IFERROR(G1716*E1711,"")</f>
        <v>0</v>
      </c>
    </row>
    <row r="1717" spans="1:8">
      <c r="A1717" s="28"/>
      <c r="B1717" s="29"/>
      <c r="C1717" s="30" t="str">
        <f>IFERROR(_xlfn.XLOOKUP(B1717,Insumo[DESCRIPCION],Insumo[UND],,0),"")</f>
        <v/>
      </c>
      <c r="D1717" s="31"/>
      <c r="E1717" s="32" t="str">
        <f>IFERROR(_xlfn.XLOOKUP($B1717,Insumo[DESCRIPCION],Insumo[VALOR],,0),"")</f>
        <v/>
      </c>
      <c r="F1717" s="33"/>
      <c r="G1717" s="34" t="str">
        <f>IFERROR(IF(F1717&gt;=0,D1717*E1717*(1+F1717/100),ABS(D1717*E1717/F1717)),"")</f>
        <v/>
      </c>
      <c r="H1717" s="43" t="str">
        <f>IFERROR(G1717*E1711,"")</f>
        <v/>
      </c>
    </row>
    <row r="1718" spans="1:8">
      <c r="A1718" s="28"/>
      <c r="B1718" s="29"/>
      <c r="C1718" s="30" t="str">
        <f>IFERROR(_xlfn.XLOOKUP(B1718,Insumo[DESCRIPCION],Insumo[UND],,0),"")</f>
        <v/>
      </c>
      <c r="D1718" s="31"/>
      <c r="E1718" s="32" t="str">
        <f>IFERROR(_xlfn.XLOOKUP($B1718,Insumo[DESCRIPCION],Insumo[VALOR],,0),"")</f>
        <v/>
      </c>
      <c r="F1718" s="33"/>
      <c r="G1718" s="34" t="str">
        <f>IFERROR(IF(F1718&gt;=0,D1718*E1718*(1+F1718/100),ABS(D1718*E1718/F1718)),"")</f>
        <v/>
      </c>
      <c r="H1718" s="43" t="str">
        <f>IFERROR(G1718*E1711,"")</f>
        <v/>
      </c>
    </row>
    <row r="1719" spans="1:8">
      <c r="A1719" s="21"/>
      <c r="B1719" s="22" t="s">
        <v>3731</v>
      </c>
      <c r="C1719" s="23"/>
      <c r="D1719" s="24"/>
      <c r="E1719" s="25"/>
      <c r="F1719" s="26"/>
      <c r="G1719" s="27">
        <f>SUM(G1720:G1722)</f>
        <v>767.45216969318199</v>
      </c>
      <c r="H1719" s="44">
        <f>G1719*E1711</f>
        <v>0</v>
      </c>
    </row>
    <row r="1720" spans="1:8">
      <c r="A1720" s="28"/>
      <c r="B1720" s="29" t="s">
        <v>3626</v>
      </c>
      <c r="C1720" s="30" t="str">
        <f>IFERROR(_xlfn.XLOOKUP(B1720,Equipo[DESCRIPCION],Equipo[UND],,0),"")</f>
        <v>%MO</v>
      </c>
      <c r="D1720" s="31">
        <v>0.05</v>
      </c>
      <c r="E1720" s="32">
        <f>IF(C1720="%MO",G1726,IFERROR(_xlfn.XLOOKUP($B1720,Equipo[DESCRIPCION],Equipo[VALOR],,0),""))</f>
        <v>15349.04339386364</v>
      </c>
      <c r="F1720" s="33"/>
      <c r="G1720" s="34">
        <f>IFERROR(IF(F1720&gt;=0,D1720*E1720*(1+F1720/100),ABS(D1720*E1720/F1720)),"")</f>
        <v>767.45216969318199</v>
      </c>
      <c r="H1720" s="43">
        <f>IFERROR(G1720*E1711,"")</f>
        <v>0</v>
      </c>
    </row>
    <row r="1721" spans="1:8">
      <c r="A1721" s="28"/>
      <c r="B1721" s="29"/>
      <c r="C1721" s="30" t="str">
        <f>IFERROR(_xlfn.XLOOKUP(B1721,Equipo[DESCRIPCION],Equipo[UND],,0),"")</f>
        <v/>
      </c>
      <c r="D1721" s="31"/>
      <c r="E1721" s="32" t="str">
        <f>IF(C1721="%MO",G1726,IFERROR(_xlfn.XLOOKUP($B1721,Equipo[DESCRIPCION],Equipo[VALOR],,0),""))</f>
        <v/>
      </c>
      <c r="F1721" s="33"/>
      <c r="G1721" s="34" t="str">
        <f>IFERROR(IF(F1721&gt;=0,D1721*E1721*(1+F1721/100),ABS(D1721*E1721/F1721)),"")</f>
        <v/>
      </c>
      <c r="H1721" s="43" t="str">
        <f>IFERROR(G1721*E1711,"")</f>
        <v/>
      </c>
    </row>
    <row r="1722" spans="1:8">
      <c r="A1722" s="28"/>
      <c r="B1722" s="29"/>
      <c r="C1722" s="30" t="str">
        <f>IFERROR(_xlfn.XLOOKUP(B1722,Equipo[DESCRIPCION],Equipo[UND],,0),"")</f>
        <v/>
      </c>
      <c r="D1722" s="31"/>
      <c r="E1722" s="32" t="str">
        <f>IF(C1722="%MO",G1726,IFERROR(_xlfn.XLOOKUP($B1722,Equipo[DESCRIPCION],Equipo[VALOR],,0),""))</f>
        <v/>
      </c>
      <c r="F1722" s="33"/>
      <c r="G1722" s="34" t="str">
        <f>IFERROR(IF(F1722&gt;=0,D1722*E1722*(1+F1722/100),ABS(D1722*E1722/F1722)),"")</f>
        <v/>
      </c>
      <c r="H1722" s="43" t="str">
        <f>IFERROR(G1722*E1711,"")</f>
        <v/>
      </c>
    </row>
    <row r="1723" spans="1:8">
      <c r="A1723" s="21"/>
      <c r="B1723" s="22" t="s">
        <v>2533</v>
      </c>
      <c r="C1723" s="23"/>
      <c r="D1723" s="24"/>
      <c r="E1723" s="25"/>
      <c r="F1723" s="26"/>
      <c r="G1723" s="27">
        <f>SUM(G1724:G1725)</f>
        <v>0</v>
      </c>
      <c r="H1723" s="44">
        <f>G1723*E1711</f>
        <v>0</v>
      </c>
    </row>
    <row r="1724" spans="1:8">
      <c r="A1724" s="28"/>
      <c r="B1724" s="29"/>
      <c r="C1724" s="30" t="str">
        <f>IFERROR(_xlfn.XLOOKUP(B1724,Transporte[DESCRIPCION],Transporte[UND],,0),"")</f>
        <v/>
      </c>
      <c r="D1724" s="31"/>
      <c r="E1724" s="32" t="str">
        <f>IFERROR(_xlfn.XLOOKUP($B1724,Transporte[DESCRIPCION],Transporte[VALOR],,0),"")</f>
        <v/>
      </c>
      <c r="F1724" s="33"/>
      <c r="G1724" s="34" t="str">
        <f>IFERROR(IF(F1724&gt;=0,D1724*E1724*(1+F1724/100),ABS(D1724*E1724/F1724)),"")</f>
        <v/>
      </c>
      <c r="H1724" s="43" t="str">
        <f>IFERROR(G1724*E1711,"")</f>
        <v/>
      </c>
    </row>
    <row r="1725" spans="1:8">
      <c r="A1725" s="28"/>
      <c r="B1725" s="29"/>
      <c r="C1725" s="30" t="str">
        <f>IFERROR(_xlfn.XLOOKUP(B1725,Transporte[DESCRIPCION],Transporte[UND],,0),"")</f>
        <v/>
      </c>
      <c r="D1725" s="31"/>
      <c r="E1725" s="32" t="str">
        <f>IFERROR(_xlfn.XLOOKUP($B1725,Transporte[DESCRIPCION],Transporte[VALOR],,0),"")</f>
        <v/>
      </c>
      <c r="F1725" s="33"/>
      <c r="G1725" s="34" t="str">
        <f>IFERROR(IF(F1725&gt;=0,D1725*E1725*(1+F1725/100),ABS(D1725*E1725/F1725)),"")</f>
        <v/>
      </c>
      <c r="H1725" s="43" t="str">
        <f>IFERROR(G1725*E1711,"")</f>
        <v/>
      </c>
    </row>
    <row r="1726" spans="1:8">
      <c r="A1726" s="21"/>
      <c r="B1726" s="22" t="s">
        <v>3732</v>
      </c>
      <c r="C1726" s="23"/>
      <c r="D1726" s="24"/>
      <c r="E1726" s="25"/>
      <c r="F1726" s="26"/>
      <c r="G1726" s="27">
        <f>SUM(G1727:G1729)</f>
        <v>15349.04339386364</v>
      </c>
      <c r="H1726" s="44">
        <f>G1726*E1711</f>
        <v>0</v>
      </c>
    </row>
    <row r="1727" spans="1:8">
      <c r="A1727" s="28"/>
      <c r="B1727" s="29" t="s">
        <v>3715</v>
      </c>
      <c r="C1727" s="30" t="str">
        <f>IFERROR(_xlfn.XLOOKUP(B1727,MObra[DESCRIPCION],MObra[UN],,0),"")</f>
        <v>día</v>
      </c>
      <c r="D1727" s="31">
        <v>1</v>
      </c>
      <c r="E1727" s="32">
        <f>IFERROR(_xlfn.XLOOKUP($B1727,MObra[DESCRIPCION],MObra[VALOR UNIT],,0),"")</f>
        <v>337678.95466500008</v>
      </c>
      <c r="F1727" s="33">
        <v>-22</v>
      </c>
      <c r="G1727" s="34">
        <f>IFERROR(IF(F1727&gt;=0,D1727*E1727*(1+F1727/100),ABS(D1727*E1727/F1727)),"")</f>
        <v>15349.04339386364</v>
      </c>
      <c r="H1727" s="43">
        <f>IFERROR(G1727*E1711,"")</f>
        <v>0</v>
      </c>
    </row>
    <row r="1728" spans="1:8">
      <c r="A1728" s="28"/>
      <c r="B1728" s="29"/>
      <c r="C1728" s="30" t="str">
        <f t="array" ref="C1728">IFERROR(_xlfn.XLOOKUP(B1728,MObra[[#All],[DESCRIPCION]],MObra[[#All],[UN]],,0),"")</f>
        <v/>
      </c>
      <c r="D1728" s="31"/>
      <c r="E1728" s="32" t="str">
        <f>IFERROR(_xlfn.XLOOKUP($B1728,MObra[DESCRIPCION],MObra[VALOR UNIT],,0),"")</f>
        <v/>
      </c>
      <c r="F1728" s="33"/>
      <c r="G1728" s="34" t="str">
        <f>IFERROR(IF(F1728&gt;=0,D1728*E1728*(1+F1728/100),ABS(D1728*E1728/F1728)),"")</f>
        <v/>
      </c>
      <c r="H1728" s="43" t="str">
        <f>IFERROR(G1728*E1711,"")</f>
        <v/>
      </c>
    </row>
    <row r="1729" spans="1:11">
      <c r="A1729" s="35"/>
      <c r="B1729" s="36"/>
      <c r="C1729" s="37" t="str">
        <f t="array" ref="C1729">IFERROR(_xlfn.XLOOKUP(B1729,MObra[[#All],[DESCRIPCION]],MObra[[#All],[UN]],,0),"")</f>
        <v/>
      </c>
      <c r="D1729" s="38"/>
      <c r="E1729" s="39" t="str">
        <f>IFERROR(_xlfn.XLOOKUP($B1729,MObra[DESCRIPCION],MObra[VALOR UNIT],,0),"")</f>
        <v/>
      </c>
      <c r="F1729" s="40"/>
      <c r="G1729" s="41" t="str">
        <f>IFERROR(IF(F1729&gt;=0,D1729*E1729*(1+F1729/100),ABS(D1729*E1729/F1729)),"")</f>
        <v/>
      </c>
      <c r="H1729" s="42" t="str">
        <f>IFERROR(G1729*E1711,"")</f>
        <v/>
      </c>
    </row>
    <row r="1730" spans="1:11" ht="12.75" customHeight="1" thickTop="1" thickBot="1"/>
    <row r="1731" spans="1:11" ht="39" thickTop="1" thickBot="1">
      <c r="A1731" s="6" t="s">
        <v>1049</v>
      </c>
      <c r="B1731" s="7" t="str">
        <f>VLOOKUP($A1731,Presupuesto!$A:$D,2,FALSE())</f>
        <v>Toma corriente doble regulado 120 Vac, 15 amperios, tierra aislada con tapa. Incluye caja Radwelt 4X2", salidas en 1/2" con accesorios para instalación</v>
      </c>
      <c r="C1731" s="8" t="str">
        <f>VLOOKUP($A1731,Presupuesto!$A:$D,3,FALSE())</f>
        <v>Un</v>
      </c>
      <c r="D1731" s="9"/>
      <c r="E1731" s="10">
        <f>VLOOKUP($A1731,Presupuesto!$A:$D,4,FALSE())</f>
        <v>0</v>
      </c>
      <c r="F1731" s="11" t="s">
        <v>2589</v>
      </c>
      <c r="G1731" s="12">
        <f>SUM(G1733:G1749)/2</f>
        <v>70936.995563556819</v>
      </c>
      <c r="H1731" s="13">
        <f>ROUND(SUM(H1733:H1749),0)/2</f>
        <v>0</v>
      </c>
      <c r="I1731" s="10">
        <f>VLOOKUP(A1731,Presupuesto!$A:$F,6,0)</f>
        <v>0</v>
      </c>
      <c r="J1731" s="10">
        <f>+H1731-I1731</f>
        <v>0</v>
      </c>
      <c r="K1731" s="46">
        <f>+H1731-G1731*E1731</f>
        <v>0</v>
      </c>
    </row>
    <row r="1732" spans="1:11">
      <c r="A1732" s="14"/>
      <c r="B1732" s="15" t="s">
        <v>2586</v>
      </c>
      <c r="C1732" s="15" t="s">
        <v>5</v>
      </c>
      <c r="D1732" s="16" t="s">
        <v>6</v>
      </c>
      <c r="E1732" s="17" t="s">
        <v>7</v>
      </c>
      <c r="F1732" s="18" t="s">
        <v>3728</v>
      </c>
      <c r="G1732" s="19" t="s">
        <v>3729</v>
      </c>
      <c r="H1732" s="20" t="s">
        <v>3797</v>
      </c>
    </row>
    <row r="1733" spans="1:11">
      <c r="A1733" s="21"/>
      <c r="B1733" s="22" t="s">
        <v>3730</v>
      </c>
      <c r="C1733" s="23"/>
      <c r="D1733" s="24"/>
      <c r="E1733" s="25"/>
      <c r="F1733" s="26"/>
      <c r="G1733" s="27">
        <f>SUM(G1734:G1738)</f>
        <v>54820.5</v>
      </c>
      <c r="H1733" s="27">
        <f>IFERROR(G1733*E1731,"")</f>
        <v>0</v>
      </c>
    </row>
    <row r="1734" spans="1:11">
      <c r="A1734" s="28"/>
      <c r="B1734" s="29" t="s">
        <v>3398</v>
      </c>
      <c r="C1734" s="30" t="str">
        <f>IFERROR(_xlfn.XLOOKUP(B1734,Insumo[DESCRIPCION],Insumo[UND],,0),"")</f>
        <v>Un</v>
      </c>
      <c r="D1734" s="31">
        <v>1</v>
      </c>
      <c r="E1734" s="32">
        <f>IFERROR(_xlfn.XLOOKUP($B1734,Insumo[DESCRIPCION],Insumo[VALOR],,0),"")</f>
        <v>31302.600000000002</v>
      </c>
      <c r="F1734" s="33"/>
      <c r="G1734" s="34">
        <f>IFERROR(IF(F1734&gt;=0,D1734*E1734*(1+F1734/100),ABS(D1734*E1734/F1734)),"")</f>
        <v>31302.600000000002</v>
      </c>
      <c r="H1734" s="43">
        <f>IFERROR(G1734*E1731,"")</f>
        <v>0</v>
      </c>
    </row>
    <row r="1735" spans="1:11">
      <c r="A1735" s="28"/>
      <c r="B1735" s="29" t="s">
        <v>2801</v>
      </c>
      <c r="C1735" s="30" t="str">
        <f>IFERROR(_xlfn.XLOOKUP(B1735,Insumo[DESCRIPCION],Insumo[UND],,0),"")</f>
        <v>Un</v>
      </c>
      <c r="D1735" s="31">
        <v>1</v>
      </c>
      <c r="E1735" s="32">
        <f>IFERROR(_xlfn.XLOOKUP($B1735,Insumo[DESCRIPCION],Insumo[VALOR],,0),"")</f>
        <v>22152.9</v>
      </c>
      <c r="F1735" s="33"/>
      <c r="G1735" s="34">
        <f>IFERROR(IF(F1735&gt;=0,D1735*E1735*(1+F1735/100),ABS(D1735*E1735/F1735)),"")</f>
        <v>22152.9</v>
      </c>
      <c r="H1735" s="43">
        <f>IFERROR(G1735*E1731,"")</f>
        <v>0</v>
      </c>
    </row>
    <row r="1736" spans="1:11">
      <c r="A1736" s="28"/>
      <c r="B1736" s="29" t="s">
        <v>2833</v>
      </c>
      <c r="C1736" s="30" t="str">
        <f>IFERROR(_xlfn.XLOOKUP(B1736,Insumo[DESCRIPCION],Insumo[UND],,0),"")</f>
        <v>Un</v>
      </c>
      <c r="D1736" s="31">
        <v>2</v>
      </c>
      <c r="E1736" s="32">
        <f>IFERROR(_xlfn.XLOOKUP($B1736,Insumo[DESCRIPCION],Insumo[VALOR],,0),"")</f>
        <v>682.5</v>
      </c>
      <c r="F1736" s="33"/>
      <c r="G1736" s="34">
        <f>IFERROR(IF(F1736&gt;=0,D1736*E1736*(1+F1736/100),ABS(D1736*E1736/F1736)),"")</f>
        <v>1365</v>
      </c>
      <c r="H1736" s="43">
        <f>IFERROR(G1736*E1731,"")</f>
        <v>0</v>
      </c>
    </row>
    <row r="1737" spans="1:11">
      <c r="A1737" s="28"/>
      <c r="B1737" s="29"/>
      <c r="C1737" s="30" t="str">
        <f>IFERROR(_xlfn.XLOOKUP(B1737,Insumo[DESCRIPCION],Insumo[UND],,0),"")</f>
        <v/>
      </c>
      <c r="D1737" s="31"/>
      <c r="E1737" s="32" t="str">
        <f>IFERROR(_xlfn.XLOOKUP($B1737,Insumo[DESCRIPCION],Insumo[VALOR],,0),"")</f>
        <v/>
      </c>
      <c r="F1737" s="33"/>
      <c r="G1737" s="34" t="str">
        <f>IFERROR(IF(F1737&gt;=0,D1737*E1737*(1+F1737/100),ABS(D1737*E1737/F1737)),"")</f>
        <v/>
      </c>
      <c r="H1737" s="43" t="str">
        <f>IFERROR(G1737*E1731,"")</f>
        <v/>
      </c>
    </row>
    <row r="1738" spans="1:11">
      <c r="A1738" s="28"/>
      <c r="B1738" s="29"/>
      <c r="C1738" s="30" t="str">
        <f>IFERROR(_xlfn.XLOOKUP(B1738,Insumo[DESCRIPCION],Insumo[UND],,0),"")</f>
        <v/>
      </c>
      <c r="D1738" s="31"/>
      <c r="E1738" s="32" t="str">
        <f>IFERROR(_xlfn.XLOOKUP($B1738,Insumo[DESCRIPCION],Insumo[VALOR],,0),"")</f>
        <v/>
      </c>
      <c r="F1738" s="33"/>
      <c r="G1738" s="34" t="str">
        <f>IFERROR(IF(F1738&gt;=0,D1738*E1738*(1+F1738/100),ABS(D1738*E1738/F1738)),"")</f>
        <v/>
      </c>
      <c r="H1738" s="43" t="str">
        <f>IFERROR(G1738*E1731,"")</f>
        <v/>
      </c>
    </row>
    <row r="1739" spans="1:11">
      <c r="A1739" s="21"/>
      <c r="B1739" s="22" t="s">
        <v>3731</v>
      </c>
      <c r="C1739" s="23"/>
      <c r="D1739" s="24"/>
      <c r="E1739" s="25"/>
      <c r="F1739" s="26"/>
      <c r="G1739" s="27">
        <f>SUM(G1740:G1742)</f>
        <v>767.45216969318199</v>
      </c>
      <c r="H1739" s="44">
        <f>G1739*E1731</f>
        <v>0</v>
      </c>
    </row>
    <row r="1740" spans="1:11">
      <c r="A1740" s="28"/>
      <c r="B1740" s="29" t="s">
        <v>3626</v>
      </c>
      <c r="C1740" s="30" t="str">
        <f>IFERROR(_xlfn.XLOOKUP(B1740,Equipo[DESCRIPCION],Equipo[UND],,0),"")</f>
        <v>%MO</v>
      </c>
      <c r="D1740" s="31">
        <v>0.05</v>
      </c>
      <c r="E1740" s="32">
        <f>IF(C1740="%MO",G1746,IFERROR(_xlfn.XLOOKUP($B1740,Equipo[DESCRIPCION],Equipo[VALOR],,0),""))</f>
        <v>15349.04339386364</v>
      </c>
      <c r="F1740" s="33"/>
      <c r="G1740" s="34">
        <f>IFERROR(IF(F1740&gt;=0,D1740*E1740*(1+F1740/100),ABS(D1740*E1740/F1740)),"")</f>
        <v>767.45216969318199</v>
      </c>
      <c r="H1740" s="43">
        <f>IFERROR(G1740*E1731,"")</f>
        <v>0</v>
      </c>
    </row>
    <row r="1741" spans="1:11">
      <c r="A1741" s="28"/>
      <c r="B1741" s="29"/>
      <c r="C1741" s="30" t="str">
        <f>IFERROR(_xlfn.XLOOKUP(B1741,Equipo[DESCRIPCION],Equipo[UND],,0),"")</f>
        <v/>
      </c>
      <c r="D1741" s="31"/>
      <c r="E1741" s="32" t="str">
        <f>IF(C1741="%MO",G1746,IFERROR(_xlfn.XLOOKUP($B1741,Equipo[DESCRIPCION],Equipo[VALOR],,0),""))</f>
        <v/>
      </c>
      <c r="F1741" s="33"/>
      <c r="G1741" s="34" t="str">
        <f>IFERROR(IF(F1741&gt;=0,D1741*E1741*(1+F1741/100),ABS(D1741*E1741/F1741)),"")</f>
        <v/>
      </c>
      <c r="H1741" s="43" t="str">
        <f>IFERROR(G1741*E1731,"")</f>
        <v/>
      </c>
    </row>
    <row r="1742" spans="1:11">
      <c r="A1742" s="28"/>
      <c r="B1742" s="29"/>
      <c r="C1742" s="30" t="str">
        <f>IFERROR(_xlfn.XLOOKUP(B1742,Equipo[DESCRIPCION],Equipo[UND],,0),"")</f>
        <v/>
      </c>
      <c r="D1742" s="31"/>
      <c r="E1742" s="32" t="str">
        <f>IF(C1742="%MO",G1746,IFERROR(_xlfn.XLOOKUP($B1742,Equipo[DESCRIPCION],Equipo[VALOR],,0),""))</f>
        <v/>
      </c>
      <c r="F1742" s="33"/>
      <c r="G1742" s="34" t="str">
        <f>IFERROR(IF(F1742&gt;=0,D1742*E1742*(1+F1742/100),ABS(D1742*E1742/F1742)),"")</f>
        <v/>
      </c>
      <c r="H1742" s="43" t="str">
        <f>IFERROR(G1742*E1731,"")</f>
        <v/>
      </c>
    </row>
    <row r="1743" spans="1:11">
      <c r="A1743" s="21"/>
      <c r="B1743" s="22" t="s">
        <v>2533</v>
      </c>
      <c r="C1743" s="23"/>
      <c r="D1743" s="24"/>
      <c r="E1743" s="25"/>
      <c r="F1743" s="26"/>
      <c r="G1743" s="27">
        <f>SUM(G1744:G1745)</f>
        <v>0</v>
      </c>
      <c r="H1743" s="44">
        <f>G1743*E1731</f>
        <v>0</v>
      </c>
    </row>
    <row r="1744" spans="1:11">
      <c r="A1744" s="28"/>
      <c r="B1744" s="29"/>
      <c r="C1744" s="30" t="str">
        <f>IFERROR(_xlfn.XLOOKUP(B1744,Transporte[DESCRIPCION],Transporte[UND],,0),"")</f>
        <v/>
      </c>
      <c r="D1744" s="31"/>
      <c r="E1744" s="32" t="str">
        <f>IFERROR(_xlfn.XLOOKUP($B1744,Transporte[DESCRIPCION],Transporte[VALOR],,0),"")</f>
        <v/>
      </c>
      <c r="F1744" s="33"/>
      <c r="G1744" s="34" t="str">
        <f>IFERROR(IF(F1744&gt;=0,D1744*E1744*(1+F1744/100),ABS(D1744*E1744/F1744)),"")</f>
        <v/>
      </c>
      <c r="H1744" s="43" t="str">
        <f>IFERROR(G1744*E1731,"")</f>
        <v/>
      </c>
    </row>
    <row r="1745" spans="1:11">
      <c r="A1745" s="28"/>
      <c r="B1745" s="29"/>
      <c r="C1745" s="30" t="str">
        <f>IFERROR(_xlfn.XLOOKUP(B1745,Transporte[DESCRIPCION],Transporte[UND],,0),"")</f>
        <v/>
      </c>
      <c r="D1745" s="31"/>
      <c r="E1745" s="32" t="str">
        <f>IFERROR(_xlfn.XLOOKUP($B1745,Transporte[DESCRIPCION],Transporte[VALOR],,0),"")</f>
        <v/>
      </c>
      <c r="F1745" s="33"/>
      <c r="G1745" s="34" t="str">
        <f>IFERROR(IF(F1745&gt;=0,D1745*E1745*(1+F1745/100),ABS(D1745*E1745/F1745)),"")</f>
        <v/>
      </c>
      <c r="H1745" s="43" t="str">
        <f>IFERROR(G1745*E1731,"")</f>
        <v/>
      </c>
    </row>
    <row r="1746" spans="1:11">
      <c r="A1746" s="21"/>
      <c r="B1746" s="22" t="s">
        <v>3732</v>
      </c>
      <c r="C1746" s="23"/>
      <c r="D1746" s="24"/>
      <c r="E1746" s="25"/>
      <c r="F1746" s="26"/>
      <c r="G1746" s="27">
        <f>SUM(G1747:G1749)</f>
        <v>15349.04339386364</v>
      </c>
      <c r="H1746" s="44">
        <f>G1746*E1731</f>
        <v>0</v>
      </c>
    </row>
    <row r="1747" spans="1:11">
      <c r="A1747" s="28"/>
      <c r="B1747" s="29" t="s">
        <v>3715</v>
      </c>
      <c r="C1747" s="30" t="str">
        <f>IFERROR(_xlfn.XLOOKUP(B1747,MObra[DESCRIPCION],MObra[UN],,0),"")</f>
        <v>día</v>
      </c>
      <c r="D1747" s="31">
        <v>1</v>
      </c>
      <c r="E1747" s="32">
        <f>IFERROR(_xlfn.XLOOKUP($B1747,MObra[DESCRIPCION],MObra[VALOR UNIT],,0),"")</f>
        <v>337678.95466500008</v>
      </c>
      <c r="F1747" s="33">
        <v>-22</v>
      </c>
      <c r="G1747" s="34">
        <f>IFERROR(IF(F1747&gt;=0,D1747*E1747*(1+F1747/100),ABS(D1747*E1747/F1747)),"")</f>
        <v>15349.04339386364</v>
      </c>
      <c r="H1747" s="43">
        <f>IFERROR(G1747*E1731,"")</f>
        <v>0</v>
      </c>
    </row>
    <row r="1748" spans="1:11">
      <c r="A1748" s="28"/>
      <c r="B1748" s="29"/>
      <c r="C1748" s="30" t="str">
        <f t="array" ref="C1748">IFERROR(_xlfn.XLOOKUP(B1748,MObra[[#All],[DESCRIPCION]],MObra[[#All],[UN]],,0),"")</f>
        <v/>
      </c>
      <c r="D1748" s="31"/>
      <c r="E1748" s="32" t="str">
        <f>IFERROR(_xlfn.XLOOKUP($B1748,MObra[DESCRIPCION],MObra[VALOR UNIT],,0),"")</f>
        <v/>
      </c>
      <c r="F1748" s="33"/>
      <c r="G1748" s="34" t="str">
        <f>IFERROR(IF(F1748&gt;=0,D1748*E1748*(1+F1748/100),ABS(D1748*E1748/F1748)),"")</f>
        <v/>
      </c>
      <c r="H1748" s="43" t="str">
        <f>IFERROR(G1748*E1731,"")</f>
        <v/>
      </c>
    </row>
    <row r="1749" spans="1:11">
      <c r="A1749" s="35"/>
      <c r="B1749" s="36"/>
      <c r="C1749" s="37" t="str">
        <f t="array" ref="C1749">IFERROR(_xlfn.XLOOKUP(B1749,MObra[[#All],[DESCRIPCION]],MObra[[#All],[UN]],,0),"")</f>
        <v/>
      </c>
      <c r="D1749" s="38"/>
      <c r="E1749" s="39" t="str">
        <f>IFERROR(_xlfn.XLOOKUP($B1749,MObra[DESCRIPCION],MObra[VALOR UNIT],,0),"")</f>
        <v/>
      </c>
      <c r="F1749" s="40"/>
      <c r="G1749" s="41" t="str">
        <f>IFERROR(IF(F1749&gt;=0,D1749*E1749*(1+F1749/100),ABS(D1749*E1749/F1749)),"")</f>
        <v/>
      </c>
      <c r="H1749" s="42" t="str">
        <f>IFERROR(G1749*E1731,"")</f>
        <v/>
      </c>
    </row>
    <row r="1750" spans="1:11" ht="12.75" customHeight="1" thickTop="1" thickBot="1"/>
    <row r="1751" spans="1:11" ht="39" thickTop="1" thickBot="1">
      <c r="A1751" s="6" t="s">
        <v>1051</v>
      </c>
      <c r="B1751" s="7" t="str">
        <f>VLOOKUP($A1751,Presupuesto!$A:$D,2,FALSE())</f>
        <v>Toma corriente doble regulado 120 Vac, 15 amperios, tierra aislada con tapa, incluye caja Radwelt 4X2", salidas en 3/4" con accesorios para instalación</v>
      </c>
      <c r="C1751" s="8" t="str">
        <f>VLOOKUP($A1751,Presupuesto!$A:$D,3,FALSE())</f>
        <v>Un</v>
      </c>
      <c r="D1751" s="9"/>
      <c r="E1751" s="10">
        <f>VLOOKUP($A1751,Presupuesto!$A:$D,4,FALSE())</f>
        <v>0</v>
      </c>
      <c r="F1751" s="11" t="s">
        <v>2589</v>
      </c>
      <c r="G1751" s="12">
        <f>SUM(G1753:G1769)/2</f>
        <v>75938.145563556813</v>
      </c>
      <c r="H1751" s="13">
        <f>ROUND(SUM(H1753:H1769),0)/2</f>
        <v>0</v>
      </c>
      <c r="I1751" s="10">
        <f>VLOOKUP(A1751,Presupuesto!$A:$F,6,0)</f>
        <v>0</v>
      </c>
      <c r="J1751" s="10">
        <f>+H1751-I1751</f>
        <v>0</v>
      </c>
      <c r="K1751" s="46">
        <f>+H1751-G1751*E1751</f>
        <v>0</v>
      </c>
    </row>
    <row r="1752" spans="1:11">
      <c r="A1752" s="14"/>
      <c r="B1752" s="15" t="s">
        <v>2586</v>
      </c>
      <c r="C1752" s="15" t="s">
        <v>5</v>
      </c>
      <c r="D1752" s="16" t="s">
        <v>6</v>
      </c>
      <c r="E1752" s="17" t="s">
        <v>7</v>
      </c>
      <c r="F1752" s="18" t="s">
        <v>3728</v>
      </c>
      <c r="G1752" s="19" t="s">
        <v>3729</v>
      </c>
      <c r="H1752" s="20" t="s">
        <v>3797</v>
      </c>
    </row>
    <row r="1753" spans="1:11">
      <c r="A1753" s="21"/>
      <c r="B1753" s="22" t="s">
        <v>3730</v>
      </c>
      <c r="C1753" s="23"/>
      <c r="D1753" s="24"/>
      <c r="E1753" s="25"/>
      <c r="F1753" s="26"/>
      <c r="G1753" s="27">
        <f>SUM(G1754:G1758)</f>
        <v>59821.650000000009</v>
      </c>
      <c r="H1753" s="27">
        <f>IFERROR(G1753*E1751,"")</f>
        <v>0</v>
      </c>
    </row>
    <row r="1754" spans="1:11">
      <c r="A1754" s="28"/>
      <c r="B1754" s="29" t="s">
        <v>3398</v>
      </c>
      <c r="C1754" s="30" t="str">
        <f>IFERROR(_xlfn.XLOOKUP(B1754,Insumo[DESCRIPCION],Insumo[UND],,0),"")</f>
        <v>Un</v>
      </c>
      <c r="D1754" s="31">
        <v>1</v>
      </c>
      <c r="E1754" s="32">
        <f>IFERROR(_xlfn.XLOOKUP($B1754,Insumo[DESCRIPCION],Insumo[VALOR],,0),"")</f>
        <v>31302.600000000002</v>
      </c>
      <c r="F1754" s="33"/>
      <c r="G1754" s="34">
        <f>IFERROR(IF(F1754&gt;=0,D1754*E1754*(1+F1754/100),ABS(D1754*E1754/F1754)),"")</f>
        <v>31302.600000000002</v>
      </c>
      <c r="H1754" s="43">
        <f>IFERROR(G1754*E1751,"")</f>
        <v>0</v>
      </c>
    </row>
    <row r="1755" spans="1:11">
      <c r="A1755" s="28"/>
      <c r="B1755" s="29" t="s">
        <v>2802</v>
      </c>
      <c r="C1755" s="30" t="str">
        <f>IFERROR(_xlfn.XLOOKUP(B1755,Insumo[DESCRIPCION],Insumo[UND],,0),"")</f>
        <v>Un</v>
      </c>
      <c r="D1755" s="31">
        <v>1</v>
      </c>
      <c r="E1755" s="32">
        <f>IFERROR(_xlfn.XLOOKUP($B1755,Insumo[DESCRIPCION],Insumo[VALOR],,0),"")</f>
        <v>27154.050000000003</v>
      </c>
      <c r="F1755" s="33"/>
      <c r="G1755" s="34">
        <f>IFERROR(IF(F1755&gt;=0,D1755*E1755*(1+F1755/100),ABS(D1755*E1755/F1755)),"")</f>
        <v>27154.050000000003</v>
      </c>
      <c r="H1755" s="43">
        <f>IFERROR(G1755*E1751,"")</f>
        <v>0</v>
      </c>
    </row>
    <row r="1756" spans="1:11">
      <c r="A1756" s="28"/>
      <c r="B1756" s="29" t="s">
        <v>2833</v>
      </c>
      <c r="C1756" s="30" t="str">
        <f>IFERROR(_xlfn.XLOOKUP(B1756,Insumo[DESCRIPCION],Insumo[UND],,0),"")</f>
        <v>Un</v>
      </c>
      <c r="D1756" s="31">
        <v>2</v>
      </c>
      <c r="E1756" s="32">
        <f>IFERROR(_xlfn.XLOOKUP($B1756,Insumo[DESCRIPCION],Insumo[VALOR],,0),"")</f>
        <v>682.5</v>
      </c>
      <c r="F1756" s="33"/>
      <c r="G1756" s="34">
        <f>IFERROR(IF(F1756&gt;=0,D1756*E1756*(1+F1756/100),ABS(D1756*E1756/F1756)),"")</f>
        <v>1365</v>
      </c>
      <c r="H1756" s="43">
        <f>IFERROR(G1756*E1751,"")</f>
        <v>0</v>
      </c>
    </row>
    <row r="1757" spans="1:11">
      <c r="A1757" s="28"/>
      <c r="B1757" s="29"/>
      <c r="C1757" s="30" t="str">
        <f>IFERROR(_xlfn.XLOOKUP(B1757,Insumo[DESCRIPCION],Insumo[UND],,0),"")</f>
        <v/>
      </c>
      <c r="D1757" s="31"/>
      <c r="E1757" s="32" t="str">
        <f>IFERROR(_xlfn.XLOOKUP($B1757,Insumo[DESCRIPCION],Insumo[VALOR],,0),"")</f>
        <v/>
      </c>
      <c r="F1757" s="33"/>
      <c r="G1757" s="34" t="str">
        <f>IFERROR(IF(F1757&gt;=0,D1757*E1757*(1+F1757/100),ABS(D1757*E1757/F1757)),"")</f>
        <v/>
      </c>
      <c r="H1757" s="43" t="str">
        <f>IFERROR(G1757*E1751,"")</f>
        <v/>
      </c>
    </row>
    <row r="1758" spans="1:11">
      <c r="A1758" s="28"/>
      <c r="B1758" s="29"/>
      <c r="C1758" s="30" t="str">
        <f>IFERROR(_xlfn.XLOOKUP(B1758,Insumo[DESCRIPCION],Insumo[UND],,0),"")</f>
        <v/>
      </c>
      <c r="D1758" s="31"/>
      <c r="E1758" s="32" t="str">
        <f>IFERROR(_xlfn.XLOOKUP($B1758,Insumo[DESCRIPCION],Insumo[VALOR],,0),"")</f>
        <v/>
      </c>
      <c r="F1758" s="33"/>
      <c r="G1758" s="34" t="str">
        <f>IFERROR(IF(F1758&gt;=0,D1758*E1758*(1+F1758/100),ABS(D1758*E1758/F1758)),"")</f>
        <v/>
      </c>
      <c r="H1758" s="43" t="str">
        <f>IFERROR(G1758*E1751,"")</f>
        <v/>
      </c>
    </row>
    <row r="1759" spans="1:11">
      <c r="A1759" s="21"/>
      <c r="B1759" s="22" t="s">
        <v>3731</v>
      </c>
      <c r="C1759" s="23"/>
      <c r="D1759" s="24"/>
      <c r="E1759" s="25"/>
      <c r="F1759" s="26"/>
      <c r="G1759" s="27">
        <f>SUM(G1760:G1762)</f>
        <v>767.45216969318199</v>
      </c>
      <c r="H1759" s="44">
        <f>G1759*E1751</f>
        <v>0</v>
      </c>
    </row>
    <row r="1760" spans="1:11">
      <c r="A1760" s="28"/>
      <c r="B1760" s="29" t="s">
        <v>3626</v>
      </c>
      <c r="C1760" s="30" t="str">
        <f>IFERROR(_xlfn.XLOOKUP(B1760,Equipo[DESCRIPCION],Equipo[UND],,0),"")</f>
        <v>%MO</v>
      </c>
      <c r="D1760" s="31">
        <v>0.05</v>
      </c>
      <c r="E1760" s="32">
        <f>IF(C1760="%MO",G1766,IFERROR(_xlfn.XLOOKUP($B1760,Equipo[DESCRIPCION],Equipo[VALOR],,0),""))</f>
        <v>15349.04339386364</v>
      </c>
      <c r="F1760" s="33"/>
      <c r="G1760" s="34">
        <f>IFERROR(IF(F1760&gt;=0,D1760*E1760*(1+F1760/100),ABS(D1760*E1760/F1760)),"")</f>
        <v>767.45216969318199</v>
      </c>
      <c r="H1760" s="43">
        <f>IFERROR(G1760*E1751,"")</f>
        <v>0</v>
      </c>
    </row>
    <row r="1761" spans="1:11">
      <c r="A1761" s="28"/>
      <c r="B1761" s="29"/>
      <c r="C1761" s="30" t="str">
        <f>IFERROR(_xlfn.XLOOKUP(B1761,Equipo[DESCRIPCION],Equipo[UND],,0),"")</f>
        <v/>
      </c>
      <c r="D1761" s="31"/>
      <c r="E1761" s="32" t="str">
        <f>IF(C1761="%MO",G1766,IFERROR(_xlfn.XLOOKUP($B1761,Equipo[DESCRIPCION],Equipo[VALOR],,0),""))</f>
        <v/>
      </c>
      <c r="F1761" s="33"/>
      <c r="G1761" s="34" t="str">
        <f>IFERROR(IF(F1761&gt;=0,D1761*E1761*(1+F1761/100),ABS(D1761*E1761/F1761)),"")</f>
        <v/>
      </c>
      <c r="H1761" s="43" t="str">
        <f>IFERROR(G1761*E1751,"")</f>
        <v/>
      </c>
    </row>
    <row r="1762" spans="1:11">
      <c r="A1762" s="28"/>
      <c r="B1762" s="29"/>
      <c r="C1762" s="30" t="str">
        <f>IFERROR(_xlfn.XLOOKUP(B1762,Equipo[DESCRIPCION],Equipo[UND],,0),"")</f>
        <v/>
      </c>
      <c r="D1762" s="31"/>
      <c r="E1762" s="32" t="str">
        <f>IF(C1762="%MO",G1766,IFERROR(_xlfn.XLOOKUP($B1762,Equipo[DESCRIPCION],Equipo[VALOR],,0),""))</f>
        <v/>
      </c>
      <c r="F1762" s="33"/>
      <c r="G1762" s="34" t="str">
        <f>IFERROR(IF(F1762&gt;=0,D1762*E1762*(1+F1762/100),ABS(D1762*E1762/F1762)),"")</f>
        <v/>
      </c>
      <c r="H1762" s="43" t="str">
        <f>IFERROR(G1762*E1751,"")</f>
        <v/>
      </c>
    </row>
    <row r="1763" spans="1:11">
      <c r="A1763" s="21"/>
      <c r="B1763" s="22" t="s">
        <v>2533</v>
      </c>
      <c r="C1763" s="23"/>
      <c r="D1763" s="24"/>
      <c r="E1763" s="25"/>
      <c r="F1763" s="26"/>
      <c r="G1763" s="27">
        <f>SUM(G1764:G1765)</f>
        <v>0</v>
      </c>
      <c r="H1763" s="44">
        <f>G1763*E1751</f>
        <v>0</v>
      </c>
    </row>
    <row r="1764" spans="1:11">
      <c r="A1764" s="28"/>
      <c r="B1764" s="29"/>
      <c r="C1764" s="30" t="str">
        <f>IFERROR(_xlfn.XLOOKUP(B1764,Transporte[DESCRIPCION],Transporte[UND],,0),"")</f>
        <v/>
      </c>
      <c r="D1764" s="31"/>
      <c r="E1764" s="32" t="str">
        <f>IFERROR(_xlfn.XLOOKUP($B1764,Transporte[DESCRIPCION],Transporte[VALOR],,0),"")</f>
        <v/>
      </c>
      <c r="F1764" s="33"/>
      <c r="G1764" s="34" t="str">
        <f>IFERROR(IF(F1764&gt;=0,D1764*E1764*(1+F1764/100),ABS(D1764*E1764/F1764)),"")</f>
        <v/>
      </c>
      <c r="H1764" s="43" t="str">
        <f>IFERROR(G1764*E1751,"")</f>
        <v/>
      </c>
    </row>
    <row r="1765" spans="1:11">
      <c r="A1765" s="28"/>
      <c r="B1765" s="29"/>
      <c r="C1765" s="30" t="str">
        <f>IFERROR(_xlfn.XLOOKUP(B1765,Transporte[DESCRIPCION],Transporte[UND],,0),"")</f>
        <v/>
      </c>
      <c r="D1765" s="31"/>
      <c r="E1765" s="32" t="str">
        <f>IFERROR(_xlfn.XLOOKUP($B1765,Transporte[DESCRIPCION],Transporte[VALOR],,0),"")</f>
        <v/>
      </c>
      <c r="F1765" s="33"/>
      <c r="G1765" s="34" t="str">
        <f>IFERROR(IF(F1765&gt;=0,D1765*E1765*(1+F1765/100),ABS(D1765*E1765/F1765)),"")</f>
        <v/>
      </c>
      <c r="H1765" s="43" t="str">
        <f>IFERROR(G1765*E1751,"")</f>
        <v/>
      </c>
    </row>
    <row r="1766" spans="1:11">
      <c r="A1766" s="21"/>
      <c r="B1766" s="22" t="s">
        <v>3732</v>
      </c>
      <c r="C1766" s="23"/>
      <c r="D1766" s="24"/>
      <c r="E1766" s="25"/>
      <c r="F1766" s="26"/>
      <c r="G1766" s="27">
        <f>SUM(G1767:G1769)</f>
        <v>15349.04339386364</v>
      </c>
      <c r="H1766" s="44">
        <f>G1766*E1751</f>
        <v>0</v>
      </c>
    </row>
    <row r="1767" spans="1:11">
      <c r="A1767" s="28"/>
      <c r="B1767" s="29" t="s">
        <v>3715</v>
      </c>
      <c r="C1767" s="30" t="str">
        <f>IFERROR(_xlfn.XLOOKUP(B1767,MObra[DESCRIPCION],MObra[UN],,0),"")</f>
        <v>día</v>
      </c>
      <c r="D1767" s="31">
        <v>1</v>
      </c>
      <c r="E1767" s="32">
        <f>IFERROR(_xlfn.XLOOKUP($B1767,MObra[DESCRIPCION],MObra[VALOR UNIT],,0),"")</f>
        <v>337678.95466500008</v>
      </c>
      <c r="F1767" s="33">
        <v>-22</v>
      </c>
      <c r="G1767" s="34">
        <f>IFERROR(IF(F1767&gt;=0,D1767*E1767*(1+F1767/100),ABS(D1767*E1767/F1767)),"")</f>
        <v>15349.04339386364</v>
      </c>
      <c r="H1767" s="43">
        <f>IFERROR(G1767*E1751,"")</f>
        <v>0</v>
      </c>
    </row>
    <row r="1768" spans="1:11">
      <c r="A1768" s="28"/>
      <c r="B1768" s="29"/>
      <c r="C1768" s="30" t="str">
        <f t="array" ref="C1768">IFERROR(_xlfn.XLOOKUP(B1768,MObra[[#All],[DESCRIPCION]],MObra[[#All],[UN]],,0),"")</f>
        <v/>
      </c>
      <c r="D1768" s="31"/>
      <c r="E1768" s="32" t="str">
        <f>IFERROR(_xlfn.XLOOKUP($B1768,MObra[DESCRIPCION],MObra[VALOR UNIT],,0),"")</f>
        <v/>
      </c>
      <c r="F1768" s="33"/>
      <c r="G1768" s="34" t="str">
        <f>IFERROR(IF(F1768&gt;=0,D1768*E1768*(1+F1768/100),ABS(D1768*E1768/F1768)),"")</f>
        <v/>
      </c>
      <c r="H1768" s="43" t="str">
        <f>IFERROR(G1768*E1751,"")</f>
        <v/>
      </c>
    </row>
    <row r="1769" spans="1:11">
      <c r="A1769" s="35"/>
      <c r="B1769" s="36"/>
      <c r="C1769" s="37" t="str">
        <f t="array" ref="C1769">IFERROR(_xlfn.XLOOKUP(B1769,MObra[[#All],[DESCRIPCION]],MObra[[#All],[UN]],,0),"")</f>
        <v/>
      </c>
      <c r="D1769" s="38"/>
      <c r="E1769" s="39" t="str">
        <f>IFERROR(_xlfn.XLOOKUP($B1769,MObra[DESCRIPCION],MObra[VALOR UNIT],,0),"")</f>
        <v/>
      </c>
      <c r="F1769" s="40"/>
      <c r="G1769" s="41" t="str">
        <f>IFERROR(IF(F1769&gt;=0,D1769*E1769*(1+F1769/100),ABS(D1769*E1769/F1769)),"")</f>
        <v/>
      </c>
      <c r="H1769" s="42" t="str">
        <f>IFERROR(G1769*E1751,"")</f>
        <v/>
      </c>
    </row>
    <row r="1770" spans="1:11" ht="12.75" customHeight="1" thickTop="1" thickBot="1"/>
    <row r="1771" spans="1:11" ht="26.25" thickTop="1" thickBot="1">
      <c r="A1771" s="6" t="s">
        <v>1053</v>
      </c>
      <c r="B1771" s="7" t="str">
        <f>VLOOKUP($A1771,Presupuesto!$A:$D,2,FALSE())</f>
        <v>Totalizador monopolar rango de operación hasta 160 amperios, ruptura de 25 ka para celda, cofre o tablero de distribución. Certificación RETIE</v>
      </c>
      <c r="C1771" s="8" t="str">
        <f>VLOOKUP($A1771,Presupuesto!$A:$D,3,FALSE())</f>
        <v>Un</v>
      </c>
      <c r="D1771" s="9"/>
      <c r="E1771" s="10">
        <f>VLOOKUP($A1771,Presupuesto!$A:$D,4,FALSE())</f>
        <v>0</v>
      </c>
      <c r="F1771" s="11" t="s">
        <v>2589</v>
      </c>
      <c r="G1771" s="12">
        <f>SUM(G1773:G1789)/2</f>
        <v>559999.58559956262</v>
      </c>
      <c r="H1771" s="13">
        <f>ROUND(SUM(H1773:H1789),0)/2</f>
        <v>0</v>
      </c>
      <c r="I1771" s="10">
        <f>VLOOKUP(A1771,Presupuesto!$A:$F,6,0)</f>
        <v>0</v>
      </c>
      <c r="J1771" s="10">
        <f>+H1771-I1771</f>
        <v>0</v>
      </c>
      <c r="K1771" s="46">
        <f>+H1771-G1771*E1771</f>
        <v>0</v>
      </c>
    </row>
    <row r="1772" spans="1:11">
      <c r="A1772" s="14"/>
      <c r="B1772" s="15" t="s">
        <v>2586</v>
      </c>
      <c r="C1772" s="15" t="s">
        <v>5</v>
      </c>
      <c r="D1772" s="16" t="s">
        <v>6</v>
      </c>
      <c r="E1772" s="17" t="s">
        <v>7</v>
      </c>
      <c r="F1772" s="18" t="s">
        <v>3728</v>
      </c>
      <c r="G1772" s="19" t="s">
        <v>3729</v>
      </c>
      <c r="H1772" s="20" t="s">
        <v>3797</v>
      </c>
    </row>
    <row r="1773" spans="1:11">
      <c r="A1773" s="21"/>
      <c r="B1773" s="22" t="s">
        <v>3730</v>
      </c>
      <c r="C1773" s="23"/>
      <c r="D1773" s="24"/>
      <c r="E1773" s="25"/>
      <c r="F1773" s="26"/>
      <c r="G1773" s="27">
        <f>SUM(G1774:G1778)</f>
        <v>471358.86</v>
      </c>
      <c r="H1773" s="27">
        <f>IFERROR(G1773*E1771,"")</f>
        <v>0</v>
      </c>
    </row>
    <row r="1774" spans="1:11">
      <c r="A1774" s="28"/>
      <c r="B1774" s="29" t="s">
        <v>2767</v>
      </c>
      <c r="C1774" s="30" t="str">
        <f>IFERROR(_xlfn.XLOOKUP(B1774,Insumo[DESCRIPCION],Insumo[UND],,0),"")</f>
        <v>Un</v>
      </c>
      <c r="D1774" s="31">
        <v>1</v>
      </c>
      <c r="E1774" s="32">
        <f>IFERROR(_xlfn.XLOOKUP($B1774,Insumo[DESCRIPCION],Insumo[VALOR],,0),"")</f>
        <v>415826.25</v>
      </c>
      <c r="F1774" s="33"/>
      <c r="G1774" s="34">
        <f>IFERROR(IF(F1774&gt;=0,D1774*E1774*(1+F1774/100),ABS(D1774*E1774/F1774)),"")</f>
        <v>415826.25</v>
      </c>
      <c r="H1774" s="43">
        <f>IFERROR(G1774*E1771,"")</f>
        <v>0</v>
      </c>
    </row>
    <row r="1775" spans="1:11">
      <c r="A1775" s="28"/>
      <c r="B1775" s="29" t="s">
        <v>3390</v>
      </c>
      <c r="C1775" s="30" t="str">
        <f>IFERROR(_xlfn.XLOOKUP(B1775,Insumo[DESCRIPCION],Insumo[UND],,0),"")</f>
        <v>Un</v>
      </c>
      <c r="D1775" s="31">
        <v>4</v>
      </c>
      <c r="E1775" s="32">
        <f>IFERROR(_xlfn.XLOOKUP($B1775,Insumo[DESCRIPCION],Insumo[VALOR],,0),"")</f>
        <v>6357.0150000000003</v>
      </c>
      <c r="F1775" s="33"/>
      <c r="G1775" s="34">
        <f>IFERROR(IF(F1775&gt;=0,D1775*E1775*(1+F1775/100),ABS(D1775*E1775/F1775)),"")</f>
        <v>25428.06</v>
      </c>
      <c r="H1775" s="43">
        <f>IFERROR(G1775*E1771,"")</f>
        <v>0</v>
      </c>
    </row>
    <row r="1776" spans="1:11">
      <c r="A1776" s="28"/>
      <c r="B1776" s="29" t="s">
        <v>2843</v>
      </c>
      <c r="C1776" s="30" t="str">
        <f>IFERROR(_xlfn.XLOOKUP(B1776,Insumo[DESCRIPCION],Insumo[UND],,0),"")</f>
        <v xml:space="preserve"> M </v>
      </c>
      <c r="D1776" s="31">
        <v>3</v>
      </c>
      <c r="E1776" s="32">
        <f>IFERROR(_xlfn.XLOOKUP($B1776,Insumo[DESCRIPCION],Insumo[VALOR],,0),"")</f>
        <v>1244.25</v>
      </c>
      <c r="F1776" s="33"/>
      <c r="G1776" s="34">
        <f>IFERROR(IF(F1776&gt;=0,D1776*E1776*(1+F1776/100),ABS(D1776*E1776/F1776)),"")</f>
        <v>3732.75</v>
      </c>
      <c r="H1776" s="43">
        <f>IFERROR(G1776*E1771,"")</f>
        <v>0</v>
      </c>
    </row>
    <row r="1777" spans="1:11">
      <c r="A1777" s="28"/>
      <c r="B1777" s="29" t="s">
        <v>2834</v>
      </c>
      <c r="C1777" s="30" t="str">
        <f>IFERROR(_xlfn.XLOOKUP(B1777,Insumo[DESCRIPCION],Insumo[UND],,0),"")</f>
        <v>Un</v>
      </c>
      <c r="D1777" s="31">
        <v>4</v>
      </c>
      <c r="E1777" s="32">
        <f>IFERROR(_xlfn.XLOOKUP($B1777,Insumo[DESCRIPCION],Insumo[VALOR],,0),"")</f>
        <v>6592.9500000000007</v>
      </c>
      <c r="F1777" s="33"/>
      <c r="G1777" s="34">
        <f>IFERROR(IF(F1777&gt;=0,D1777*E1777*(1+F1777/100),ABS(D1777*E1777/F1777)),"")</f>
        <v>26371.800000000003</v>
      </c>
      <c r="H1777" s="43">
        <f>IFERROR(G1777*E1771,"")</f>
        <v>0</v>
      </c>
    </row>
    <row r="1778" spans="1:11">
      <c r="A1778" s="28"/>
      <c r="B1778" s="29"/>
      <c r="C1778" s="30" t="str">
        <f>IFERROR(_xlfn.XLOOKUP(B1778,Insumo[DESCRIPCION],Insumo[UND],,0),"")</f>
        <v/>
      </c>
      <c r="D1778" s="31"/>
      <c r="E1778" s="32" t="str">
        <f>IFERROR(_xlfn.XLOOKUP($B1778,Insumo[DESCRIPCION],Insumo[VALOR],,0),"")</f>
        <v/>
      </c>
      <c r="F1778" s="33"/>
      <c r="G1778" s="34" t="str">
        <f>IFERROR(IF(F1778&gt;=0,D1778*E1778*(1+F1778/100),ABS(D1778*E1778/F1778)),"")</f>
        <v/>
      </c>
      <c r="H1778" s="43" t="str">
        <f>IFERROR(G1778*E1771,"")</f>
        <v/>
      </c>
    </row>
    <row r="1779" spans="1:11">
      <c r="A1779" s="21"/>
      <c r="B1779" s="22" t="s">
        <v>3731</v>
      </c>
      <c r="C1779" s="23"/>
      <c r="D1779" s="24"/>
      <c r="E1779" s="25"/>
      <c r="F1779" s="26"/>
      <c r="G1779" s="27">
        <f>SUM(G1780:G1782)</f>
        <v>4220.9869333125016</v>
      </c>
      <c r="H1779" s="44">
        <f>G1779*E1771</f>
        <v>0</v>
      </c>
    </row>
    <row r="1780" spans="1:11">
      <c r="A1780" s="28"/>
      <c r="B1780" s="29" t="s">
        <v>3626</v>
      </c>
      <c r="C1780" s="30" t="str">
        <f>IFERROR(_xlfn.XLOOKUP(B1780,Equipo[DESCRIPCION],Equipo[UND],,0),"")</f>
        <v>%MO</v>
      </c>
      <c r="D1780" s="31">
        <v>0.05</v>
      </c>
      <c r="E1780" s="32">
        <f>IF(C1780="%MO",G1786,IFERROR(_xlfn.XLOOKUP($B1780,Equipo[DESCRIPCION],Equipo[VALOR],,0),""))</f>
        <v>84419.738666250021</v>
      </c>
      <c r="F1780" s="33"/>
      <c r="G1780" s="34">
        <f>IFERROR(IF(F1780&gt;=0,D1780*E1780*(1+F1780/100),ABS(D1780*E1780/F1780)),"")</f>
        <v>4220.9869333125016</v>
      </c>
      <c r="H1780" s="43">
        <f>IFERROR(G1780*E1771,"")</f>
        <v>0</v>
      </c>
    </row>
    <row r="1781" spans="1:11">
      <c r="A1781" s="28"/>
      <c r="B1781" s="29"/>
      <c r="C1781" s="30" t="str">
        <f>IFERROR(_xlfn.XLOOKUP(B1781,Equipo[DESCRIPCION],Equipo[UND],,0),"")</f>
        <v/>
      </c>
      <c r="D1781" s="31"/>
      <c r="E1781" s="32" t="str">
        <f>IF(C1781="%MO",G1786,IFERROR(_xlfn.XLOOKUP($B1781,Equipo[DESCRIPCION],Equipo[VALOR],,0),""))</f>
        <v/>
      </c>
      <c r="F1781" s="33"/>
      <c r="G1781" s="34" t="str">
        <f>IFERROR(IF(F1781&gt;=0,D1781*E1781*(1+F1781/100),ABS(D1781*E1781/F1781)),"")</f>
        <v/>
      </c>
      <c r="H1781" s="43" t="str">
        <f>IFERROR(G1781*E1771,"")</f>
        <v/>
      </c>
    </row>
    <row r="1782" spans="1:11">
      <c r="A1782" s="28"/>
      <c r="B1782" s="29"/>
      <c r="C1782" s="30" t="str">
        <f>IFERROR(_xlfn.XLOOKUP(B1782,Equipo[DESCRIPCION],Equipo[UND],,0),"")</f>
        <v/>
      </c>
      <c r="D1782" s="31"/>
      <c r="E1782" s="32" t="str">
        <f>IF(C1782="%MO",G1786,IFERROR(_xlfn.XLOOKUP($B1782,Equipo[DESCRIPCION],Equipo[VALOR],,0),""))</f>
        <v/>
      </c>
      <c r="F1782" s="33"/>
      <c r="G1782" s="34" t="str">
        <f>IFERROR(IF(F1782&gt;=0,D1782*E1782*(1+F1782/100),ABS(D1782*E1782/F1782)),"")</f>
        <v/>
      </c>
      <c r="H1782" s="43" t="str">
        <f>IFERROR(G1782*E1771,"")</f>
        <v/>
      </c>
    </row>
    <row r="1783" spans="1:11">
      <c r="A1783" s="21"/>
      <c r="B1783" s="22" t="s">
        <v>2533</v>
      </c>
      <c r="C1783" s="23"/>
      <c r="D1783" s="24"/>
      <c r="E1783" s="25"/>
      <c r="F1783" s="26"/>
      <c r="G1783" s="27">
        <f>SUM(G1784:G1785)</f>
        <v>0</v>
      </c>
      <c r="H1783" s="44">
        <f>G1783*E1771</f>
        <v>0</v>
      </c>
    </row>
    <row r="1784" spans="1:11">
      <c r="A1784" s="28"/>
      <c r="B1784" s="29"/>
      <c r="C1784" s="30" t="str">
        <f>IFERROR(_xlfn.XLOOKUP(B1784,Transporte[DESCRIPCION],Transporte[UND],,0),"")</f>
        <v/>
      </c>
      <c r="D1784" s="31"/>
      <c r="E1784" s="32" t="str">
        <f>IFERROR(_xlfn.XLOOKUP($B1784,Transporte[DESCRIPCION],Transporte[VALOR],,0),"")</f>
        <v/>
      </c>
      <c r="F1784" s="33"/>
      <c r="G1784" s="34" t="str">
        <f>IFERROR(IF(F1784&gt;=0,D1784*E1784*(1+F1784/100),ABS(D1784*E1784/F1784)),"")</f>
        <v/>
      </c>
      <c r="H1784" s="43" t="str">
        <f>IFERROR(G1784*E1771,"")</f>
        <v/>
      </c>
    </row>
    <row r="1785" spans="1:11">
      <c r="A1785" s="28"/>
      <c r="B1785" s="29"/>
      <c r="C1785" s="30" t="str">
        <f>IFERROR(_xlfn.XLOOKUP(B1785,Transporte[DESCRIPCION],Transporte[UND],,0),"")</f>
        <v/>
      </c>
      <c r="D1785" s="31"/>
      <c r="E1785" s="32" t="str">
        <f>IFERROR(_xlfn.XLOOKUP($B1785,Transporte[DESCRIPCION],Transporte[VALOR],,0),"")</f>
        <v/>
      </c>
      <c r="F1785" s="33"/>
      <c r="G1785" s="34" t="str">
        <f>IFERROR(IF(F1785&gt;=0,D1785*E1785*(1+F1785/100),ABS(D1785*E1785/F1785)),"")</f>
        <v/>
      </c>
      <c r="H1785" s="43" t="str">
        <f>IFERROR(G1785*E1771,"")</f>
        <v/>
      </c>
    </row>
    <row r="1786" spans="1:11">
      <c r="A1786" s="21"/>
      <c r="B1786" s="22" t="s">
        <v>3732</v>
      </c>
      <c r="C1786" s="23"/>
      <c r="D1786" s="24"/>
      <c r="E1786" s="25"/>
      <c r="F1786" s="26"/>
      <c r="G1786" s="27">
        <f>SUM(G1787:G1789)</f>
        <v>84419.738666250021</v>
      </c>
      <c r="H1786" s="44">
        <f>G1786*E1771</f>
        <v>0</v>
      </c>
    </row>
    <row r="1787" spans="1:11">
      <c r="A1787" s="28"/>
      <c r="B1787" s="29" t="s">
        <v>3715</v>
      </c>
      <c r="C1787" s="30" t="str">
        <f>IFERROR(_xlfn.XLOOKUP(B1787,MObra[DESCRIPCION],MObra[UN],,0),"")</f>
        <v>día</v>
      </c>
      <c r="D1787" s="31">
        <v>1</v>
      </c>
      <c r="E1787" s="32">
        <f>IFERROR(_xlfn.XLOOKUP($B1787,MObra[DESCRIPCION],MObra[VALOR UNIT],,0),"")</f>
        <v>337678.95466500008</v>
      </c>
      <c r="F1787" s="33">
        <v>-4</v>
      </c>
      <c r="G1787" s="34">
        <f>IFERROR(IF(F1787&gt;=0,D1787*E1787*(1+F1787/100),ABS(D1787*E1787/F1787)),"")</f>
        <v>84419.738666250021</v>
      </c>
      <c r="H1787" s="43">
        <f>IFERROR(G1787*E1771,"")</f>
        <v>0</v>
      </c>
    </row>
    <row r="1788" spans="1:11">
      <c r="A1788" s="28"/>
      <c r="B1788" s="29"/>
      <c r="C1788" s="30" t="str">
        <f t="array" ref="C1788">IFERROR(_xlfn.XLOOKUP(B1788,MObra[[#All],[DESCRIPCION]],MObra[[#All],[UN]],,0),"")</f>
        <v/>
      </c>
      <c r="D1788" s="31"/>
      <c r="E1788" s="32" t="str">
        <f>IFERROR(_xlfn.XLOOKUP($B1788,MObra[DESCRIPCION],MObra[VALOR UNIT],,0),"")</f>
        <v/>
      </c>
      <c r="F1788" s="33"/>
      <c r="G1788" s="34" t="str">
        <f>IFERROR(IF(F1788&gt;=0,D1788*E1788*(1+F1788/100),ABS(D1788*E1788/F1788)),"")</f>
        <v/>
      </c>
      <c r="H1788" s="43" t="str">
        <f>IFERROR(G1788*E1771,"")</f>
        <v/>
      </c>
    </row>
    <row r="1789" spans="1:11">
      <c r="A1789" s="35"/>
      <c r="B1789" s="36"/>
      <c r="C1789" s="37" t="str">
        <f t="array" ref="C1789">IFERROR(_xlfn.XLOOKUP(B1789,MObra[[#All],[DESCRIPCION]],MObra[[#All],[UN]],,0),"")</f>
        <v/>
      </c>
      <c r="D1789" s="38"/>
      <c r="E1789" s="39" t="str">
        <f>IFERROR(_xlfn.XLOOKUP($B1789,MObra[DESCRIPCION],MObra[VALOR UNIT],,0),"")</f>
        <v/>
      </c>
      <c r="F1789" s="40"/>
      <c r="G1789" s="41" t="str">
        <f>IFERROR(IF(F1789&gt;=0,D1789*E1789*(1+F1789/100),ABS(D1789*E1789/F1789)),"")</f>
        <v/>
      </c>
      <c r="H1789" s="42" t="str">
        <f>IFERROR(G1789*E1771,"")</f>
        <v/>
      </c>
    </row>
    <row r="1790" spans="1:11" ht="12.75" customHeight="1" thickTop="1" thickBot="1"/>
    <row r="1791" spans="1:11" ht="26.25" thickTop="1" thickBot="1">
      <c r="A1791" s="6" t="s">
        <v>1055</v>
      </c>
      <c r="B1791" s="7" t="str">
        <f>VLOOKUP($A1791,Presupuesto!$A:$D,2,FALSE())</f>
        <v>Totalizador bipolar rango de operación hasta 125 amperios, ruptura de 50 KA para celda, cofre o tablero de distribución. Certificación RETIE</v>
      </c>
      <c r="C1791" s="8" t="str">
        <f>VLOOKUP($A1791,Presupuesto!$A:$D,3,FALSE())</f>
        <v>Un</v>
      </c>
      <c r="D1791" s="9"/>
      <c r="E1791" s="10">
        <f>VLOOKUP($A1791,Presupuesto!$A:$D,4,FALSE())</f>
        <v>0</v>
      </c>
      <c r="F1791" s="11" t="s">
        <v>2589</v>
      </c>
      <c r="G1791" s="12">
        <f>SUM(G1793:G1809)/2</f>
        <v>804385.33956637501</v>
      </c>
      <c r="H1791" s="13">
        <f>ROUND(SUM(H1793:H1809),0)/2</f>
        <v>0</v>
      </c>
      <c r="I1791" s="10">
        <f>VLOOKUP(A1791,Presupuesto!$A:$F,6,0)</f>
        <v>0</v>
      </c>
      <c r="J1791" s="10">
        <f>+H1791-I1791</f>
        <v>0</v>
      </c>
      <c r="K1791" s="46">
        <f>+H1791-G1791*E1791</f>
        <v>0</v>
      </c>
    </row>
    <row r="1792" spans="1:11">
      <c r="A1792" s="14"/>
      <c r="B1792" s="15" t="s">
        <v>2586</v>
      </c>
      <c r="C1792" s="15" t="s">
        <v>5</v>
      </c>
      <c r="D1792" s="16" t="s">
        <v>6</v>
      </c>
      <c r="E1792" s="17" t="s">
        <v>7</v>
      </c>
      <c r="F1792" s="18" t="s">
        <v>3728</v>
      </c>
      <c r="G1792" s="19" t="s">
        <v>3729</v>
      </c>
      <c r="H1792" s="20" t="s">
        <v>3797</v>
      </c>
    </row>
    <row r="1793" spans="1:8">
      <c r="A1793" s="21"/>
      <c r="B1793" s="22" t="s">
        <v>3730</v>
      </c>
      <c r="C1793" s="23"/>
      <c r="D1793" s="24"/>
      <c r="E1793" s="25"/>
      <c r="F1793" s="26"/>
      <c r="G1793" s="27">
        <f>SUM(G1794:G1798)</f>
        <v>745291.52250000008</v>
      </c>
      <c r="H1793" s="27">
        <f>IFERROR(G1793*E1791,"")</f>
        <v>0</v>
      </c>
    </row>
    <row r="1794" spans="1:8">
      <c r="A1794" s="28"/>
      <c r="B1794" s="29" t="s">
        <v>2766</v>
      </c>
      <c r="C1794" s="30" t="str">
        <f>IFERROR(_xlfn.XLOOKUP(B1794,Insumo[DESCRIPCION],Insumo[UND],,0),"")</f>
        <v>Un</v>
      </c>
      <c r="D1794" s="31">
        <v>1</v>
      </c>
      <c r="E1794" s="32">
        <f>IFERROR(_xlfn.XLOOKUP($B1794,Insumo[DESCRIPCION],Insumo[VALOR],,0),"")</f>
        <v>689758.91249999998</v>
      </c>
      <c r="F1794" s="33"/>
      <c r="G1794" s="34">
        <f>IFERROR(IF(F1794&gt;=0,D1794*E1794*(1+F1794/100),ABS(D1794*E1794/F1794)),"")</f>
        <v>689758.91249999998</v>
      </c>
      <c r="H1794" s="43">
        <f>IFERROR(G1794*E1791,"")</f>
        <v>0</v>
      </c>
    </row>
    <row r="1795" spans="1:8">
      <c r="A1795" s="28"/>
      <c r="B1795" s="29" t="s">
        <v>3390</v>
      </c>
      <c r="C1795" s="30" t="str">
        <f>IFERROR(_xlfn.XLOOKUP(B1795,Insumo[DESCRIPCION],Insumo[UND],,0),"")</f>
        <v>Un</v>
      </c>
      <c r="D1795" s="31">
        <v>4</v>
      </c>
      <c r="E1795" s="32">
        <f>IFERROR(_xlfn.XLOOKUP($B1795,Insumo[DESCRIPCION],Insumo[VALOR],,0),"")</f>
        <v>6357.0150000000003</v>
      </c>
      <c r="F1795" s="33"/>
      <c r="G1795" s="34">
        <f>IFERROR(IF(F1795&gt;=0,D1795*E1795*(1+F1795/100),ABS(D1795*E1795/F1795)),"")</f>
        <v>25428.06</v>
      </c>
      <c r="H1795" s="43">
        <f>IFERROR(G1795*E1791,"")</f>
        <v>0</v>
      </c>
    </row>
    <row r="1796" spans="1:8">
      <c r="A1796" s="28"/>
      <c r="B1796" s="29" t="s">
        <v>2843</v>
      </c>
      <c r="C1796" s="30" t="str">
        <f>IFERROR(_xlfn.XLOOKUP(B1796,Insumo[DESCRIPCION],Insumo[UND],,0),"")</f>
        <v xml:space="preserve"> M </v>
      </c>
      <c r="D1796" s="31">
        <v>3</v>
      </c>
      <c r="E1796" s="32">
        <f>IFERROR(_xlfn.XLOOKUP($B1796,Insumo[DESCRIPCION],Insumo[VALOR],,0),"")</f>
        <v>1244.25</v>
      </c>
      <c r="F1796" s="33"/>
      <c r="G1796" s="34">
        <f>IFERROR(IF(F1796&gt;=0,D1796*E1796*(1+F1796/100),ABS(D1796*E1796/F1796)),"")</f>
        <v>3732.75</v>
      </c>
      <c r="H1796" s="43">
        <f>IFERROR(G1796*E1791,"")</f>
        <v>0</v>
      </c>
    </row>
    <row r="1797" spans="1:8">
      <c r="A1797" s="28"/>
      <c r="B1797" s="29" t="s">
        <v>2834</v>
      </c>
      <c r="C1797" s="30" t="str">
        <f>IFERROR(_xlfn.XLOOKUP(B1797,Insumo[DESCRIPCION],Insumo[UND],,0),"")</f>
        <v>Un</v>
      </c>
      <c r="D1797" s="31">
        <v>4</v>
      </c>
      <c r="E1797" s="32">
        <f>IFERROR(_xlfn.XLOOKUP($B1797,Insumo[DESCRIPCION],Insumo[VALOR],,0),"")</f>
        <v>6592.9500000000007</v>
      </c>
      <c r="F1797" s="33"/>
      <c r="G1797" s="34">
        <f>IFERROR(IF(F1797&gt;=0,D1797*E1797*(1+F1797/100),ABS(D1797*E1797/F1797)),"")</f>
        <v>26371.800000000003</v>
      </c>
      <c r="H1797" s="43">
        <f>IFERROR(G1797*E1791,"")</f>
        <v>0</v>
      </c>
    </row>
    <row r="1798" spans="1:8">
      <c r="A1798" s="28"/>
      <c r="B1798" s="29"/>
      <c r="C1798" s="30" t="str">
        <f>IFERROR(_xlfn.XLOOKUP(B1798,Insumo[DESCRIPCION],Insumo[UND],,0),"")</f>
        <v/>
      </c>
      <c r="D1798" s="31"/>
      <c r="E1798" s="32" t="str">
        <f>IFERROR(_xlfn.XLOOKUP($B1798,Insumo[DESCRIPCION],Insumo[VALOR],,0),"")</f>
        <v/>
      </c>
      <c r="F1798" s="33"/>
      <c r="G1798" s="34" t="str">
        <f>IFERROR(IF(F1798&gt;=0,D1798*E1798*(1+F1798/100),ABS(D1798*E1798/F1798)),"")</f>
        <v/>
      </c>
      <c r="H1798" s="43" t="str">
        <f>IFERROR(G1798*E1791,"")</f>
        <v/>
      </c>
    </row>
    <row r="1799" spans="1:8">
      <c r="A1799" s="21"/>
      <c r="B1799" s="22" t="s">
        <v>3731</v>
      </c>
      <c r="C1799" s="23"/>
      <c r="D1799" s="24"/>
      <c r="E1799" s="25"/>
      <c r="F1799" s="26"/>
      <c r="G1799" s="27">
        <f>SUM(G1800:G1802)</f>
        <v>2813.9912888750009</v>
      </c>
      <c r="H1799" s="44">
        <f>G1799*E1791</f>
        <v>0</v>
      </c>
    </row>
    <row r="1800" spans="1:8">
      <c r="A1800" s="28"/>
      <c r="B1800" s="29" t="s">
        <v>3626</v>
      </c>
      <c r="C1800" s="30" t="str">
        <f>IFERROR(_xlfn.XLOOKUP(B1800,Equipo[DESCRIPCION],Equipo[UND],,0),"")</f>
        <v>%MO</v>
      </c>
      <c r="D1800" s="31">
        <v>0.05</v>
      </c>
      <c r="E1800" s="32">
        <f>IF(C1800="%MO",G1806,IFERROR(_xlfn.XLOOKUP($B1800,Equipo[DESCRIPCION],Equipo[VALOR],,0),""))</f>
        <v>56279.825777500017</v>
      </c>
      <c r="F1800" s="33"/>
      <c r="G1800" s="34">
        <f>IFERROR(IF(F1800&gt;=0,D1800*E1800*(1+F1800/100),ABS(D1800*E1800/F1800)),"")</f>
        <v>2813.9912888750009</v>
      </c>
      <c r="H1800" s="43">
        <f>IFERROR(G1800*E1791,"")</f>
        <v>0</v>
      </c>
    </row>
    <row r="1801" spans="1:8">
      <c r="A1801" s="28"/>
      <c r="B1801" s="29"/>
      <c r="C1801" s="30" t="str">
        <f>IFERROR(_xlfn.XLOOKUP(B1801,Equipo[DESCRIPCION],Equipo[UND],,0),"")</f>
        <v/>
      </c>
      <c r="D1801" s="31"/>
      <c r="E1801" s="32" t="str">
        <f>IF(C1801="%MO",G1806,IFERROR(_xlfn.XLOOKUP($B1801,Equipo[DESCRIPCION],Equipo[VALOR],,0),""))</f>
        <v/>
      </c>
      <c r="F1801" s="33"/>
      <c r="G1801" s="34" t="str">
        <f>IFERROR(IF(F1801&gt;=0,D1801*E1801*(1+F1801/100),ABS(D1801*E1801/F1801)),"")</f>
        <v/>
      </c>
      <c r="H1801" s="43" t="str">
        <f>IFERROR(G1801*E1791,"")</f>
        <v/>
      </c>
    </row>
    <row r="1802" spans="1:8">
      <c r="A1802" s="28"/>
      <c r="B1802" s="29"/>
      <c r="C1802" s="30" t="str">
        <f>IFERROR(_xlfn.XLOOKUP(B1802,Equipo[DESCRIPCION],Equipo[UND],,0),"")</f>
        <v/>
      </c>
      <c r="D1802" s="31"/>
      <c r="E1802" s="32" t="str">
        <f>IF(C1802="%MO",G1806,IFERROR(_xlfn.XLOOKUP($B1802,Equipo[DESCRIPCION],Equipo[VALOR],,0),""))</f>
        <v/>
      </c>
      <c r="F1802" s="33"/>
      <c r="G1802" s="34" t="str">
        <f>IFERROR(IF(F1802&gt;=0,D1802*E1802*(1+F1802/100),ABS(D1802*E1802/F1802)),"")</f>
        <v/>
      </c>
      <c r="H1802" s="43" t="str">
        <f>IFERROR(G1802*E1791,"")</f>
        <v/>
      </c>
    </row>
    <row r="1803" spans="1:8">
      <c r="A1803" s="21"/>
      <c r="B1803" s="22" t="s">
        <v>2533</v>
      </c>
      <c r="C1803" s="23"/>
      <c r="D1803" s="24"/>
      <c r="E1803" s="25"/>
      <c r="F1803" s="26"/>
      <c r="G1803" s="27">
        <f>SUM(G1804:G1805)</f>
        <v>0</v>
      </c>
      <c r="H1803" s="44">
        <f>G1803*E1791</f>
        <v>0</v>
      </c>
    </row>
    <row r="1804" spans="1:8">
      <c r="A1804" s="28"/>
      <c r="B1804" s="29"/>
      <c r="C1804" s="30" t="str">
        <f>IFERROR(_xlfn.XLOOKUP(B1804,Transporte[DESCRIPCION],Transporte[UND],,0),"")</f>
        <v/>
      </c>
      <c r="D1804" s="31"/>
      <c r="E1804" s="32" t="str">
        <f>IFERROR(_xlfn.XLOOKUP($B1804,Transporte[DESCRIPCION],Transporte[VALOR],,0),"")</f>
        <v/>
      </c>
      <c r="F1804" s="33"/>
      <c r="G1804" s="34" t="str">
        <f>IFERROR(IF(F1804&gt;=0,D1804*E1804*(1+F1804/100),ABS(D1804*E1804/F1804)),"")</f>
        <v/>
      </c>
      <c r="H1804" s="43" t="str">
        <f>IFERROR(G1804*E1791,"")</f>
        <v/>
      </c>
    </row>
    <row r="1805" spans="1:8">
      <c r="A1805" s="28"/>
      <c r="B1805" s="29"/>
      <c r="C1805" s="30" t="str">
        <f>IFERROR(_xlfn.XLOOKUP(B1805,Transporte[DESCRIPCION],Transporte[UND],,0),"")</f>
        <v/>
      </c>
      <c r="D1805" s="31"/>
      <c r="E1805" s="32" t="str">
        <f>IFERROR(_xlfn.XLOOKUP($B1805,Transporte[DESCRIPCION],Transporte[VALOR],,0),"")</f>
        <v/>
      </c>
      <c r="F1805" s="33"/>
      <c r="G1805" s="34" t="str">
        <f>IFERROR(IF(F1805&gt;=0,D1805*E1805*(1+F1805/100),ABS(D1805*E1805/F1805)),"")</f>
        <v/>
      </c>
      <c r="H1805" s="43" t="str">
        <f>IFERROR(G1805*E1791,"")</f>
        <v/>
      </c>
    </row>
    <row r="1806" spans="1:8">
      <c r="A1806" s="21"/>
      <c r="B1806" s="22" t="s">
        <v>3732</v>
      </c>
      <c r="C1806" s="23"/>
      <c r="D1806" s="24"/>
      <c r="E1806" s="25"/>
      <c r="F1806" s="26"/>
      <c r="G1806" s="27">
        <f>SUM(G1807:G1809)</f>
        <v>56279.825777500017</v>
      </c>
      <c r="H1806" s="44">
        <f>G1806*E1791</f>
        <v>0</v>
      </c>
    </row>
    <row r="1807" spans="1:8">
      <c r="A1807" s="28"/>
      <c r="B1807" s="29" t="s">
        <v>3715</v>
      </c>
      <c r="C1807" s="30" t="str">
        <f>IFERROR(_xlfn.XLOOKUP(B1807,MObra[DESCRIPCION],MObra[UN],,0),"")</f>
        <v>día</v>
      </c>
      <c r="D1807" s="31">
        <v>1</v>
      </c>
      <c r="E1807" s="32">
        <f>IFERROR(_xlfn.XLOOKUP($B1807,MObra[DESCRIPCION],MObra[VALOR UNIT],,0),"")</f>
        <v>337678.95466500008</v>
      </c>
      <c r="F1807" s="33">
        <v>-6</v>
      </c>
      <c r="G1807" s="34">
        <f>IFERROR(IF(F1807&gt;=0,D1807*E1807*(1+F1807/100),ABS(D1807*E1807/F1807)),"")</f>
        <v>56279.825777500017</v>
      </c>
      <c r="H1807" s="43">
        <f>IFERROR(G1807*E1791,"")</f>
        <v>0</v>
      </c>
    </row>
    <row r="1808" spans="1:8">
      <c r="A1808" s="28"/>
      <c r="B1808" s="29"/>
      <c r="C1808" s="30" t="str">
        <f t="array" ref="C1808">IFERROR(_xlfn.XLOOKUP(B1808,MObra[[#All],[DESCRIPCION]],MObra[[#All],[UN]],,0),"")</f>
        <v/>
      </c>
      <c r="D1808" s="31"/>
      <c r="E1808" s="32" t="str">
        <f>IFERROR(_xlfn.XLOOKUP($B1808,MObra[DESCRIPCION],MObra[VALOR UNIT],,0),"")</f>
        <v/>
      </c>
      <c r="F1808" s="33"/>
      <c r="G1808" s="34" t="str">
        <f>IFERROR(IF(F1808&gt;=0,D1808*E1808*(1+F1808/100),ABS(D1808*E1808/F1808)),"")</f>
        <v/>
      </c>
      <c r="H1808" s="43" t="str">
        <f>IFERROR(G1808*E1791,"")</f>
        <v/>
      </c>
    </row>
    <row r="1809" spans="1:11">
      <c r="A1809" s="35"/>
      <c r="B1809" s="36"/>
      <c r="C1809" s="37" t="str">
        <f t="array" ref="C1809">IFERROR(_xlfn.XLOOKUP(B1809,MObra[[#All],[DESCRIPCION]],MObra[[#All],[UN]],,0),"")</f>
        <v/>
      </c>
      <c r="D1809" s="38"/>
      <c r="E1809" s="39" t="str">
        <f>IFERROR(_xlfn.XLOOKUP($B1809,MObra[DESCRIPCION],MObra[VALOR UNIT],,0),"")</f>
        <v/>
      </c>
      <c r="F1809" s="40"/>
      <c r="G1809" s="41" t="str">
        <f>IFERROR(IF(F1809&gt;=0,D1809*E1809*(1+F1809/100),ABS(D1809*E1809/F1809)),"")</f>
        <v/>
      </c>
      <c r="H1809" s="42" t="str">
        <f>IFERROR(G1809*E1791,"")</f>
        <v/>
      </c>
    </row>
    <row r="1810" spans="1:11" ht="12.75" customHeight="1" thickTop="1" thickBot="1"/>
    <row r="1811" spans="1:11" ht="26.25" thickTop="1" thickBot="1">
      <c r="A1811" s="6" t="s">
        <v>1057</v>
      </c>
      <c r="B1811" s="7" t="str">
        <f>VLOOKUP($A1811,Presupuesto!$A:$D,2,FALSE())</f>
        <v>Totalizador tripolar rango de operación hasta 160 amperios, ruptura de 25 - 70 ka para celda, cofre o tablero de distribución. Certificación RETIE</v>
      </c>
      <c r="C1811" s="8" t="str">
        <f>VLOOKUP($A1811,Presupuesto!$A:$D,3,FALSE())</f>
        <v>Un</v>
      </c>
      <c r="D1811" s="9"/>
      <c r="E1811" s="10">
        <f>VLOOKUP($A1811,Presupuesto!$A:$D,4,FALSE())</f>
        <v>0</v>
      </c>
      <c r="F1811" s="11" t="s">
        <v>2589</v>
      </c>
      <c r="G1811" s="12">
        <f>SUM(G1813:G1829)/2</f>
        <v>1194670.5241327498</v>
      </c>
      <c r="H1811" s="13">
        <f>ROUND(SUM(H1813:H1829),0)/2</f>
        <v>0</v>
      </c>
      <c r="I1811" s="10">
        <f>VLOOKUP(A1811,Presupuesto!$A:$F,6,0)</f>
        <v>0</v>
      </c>
      <c r="J1811" s="10">
        <f>+H1811-I1811</f>
        <v>0</v>
      </c>
      <c r="K1811" s="46">
        <f>+H1811-G1811*E1811</f>
        <v>0</v>
      </c>
    </row>
    <row r="1812" spans="1:11">
      <c r="A1812" s="14"/>
      <c r="B1812" s="15" t="s">
        <v>2586</v>
      </c>
      <c r="C1812" s="15" t="s">
        <v>5</v>
      </c>
      <c r="D1812" s="16" t="s">
        <v>6</v>
      </c>
      <c r="E1812" s="17" t="s">
        <v>7</v>
      </c>
      <c r="F1812" s="18" t="s">
        <v>3728</v>
      </c>
      <c r="G1812" s="19" t="s">
        <v>3729</v>
      </c>
      <c r="H1812" s="20" t="s">
        <v>3797</v>
      </c>
    </row>
    <row r="1813" spans="1:11">
      <c r="A1813" s="21"/>
      <c r="B1813" s="22" t="s">
        <v>3730</v>
      </c>
      <c r="C1813" s="23"/>
      <c r="D1813" s="24"/>
      <c r="E1813" s="25"/>
      <c r="F1813" s="26"/>
      <c r="G1813" s="27">
        <f>SUM(G1814:G1818)</f>
        <v>1076482.8899999999</v>
      </c>
      <c r="H1813" s="27">
        <f>IFERROR(G1813*E1811,"")</f>
        <v>0</v>
      </c>
    </row>
    <row r="1814" spans="1:11">
      <c r="A1814" s="28"/>
      <c r="B1814" s="29" t="s">
        <v>2768</v>
      </c>
      <c r="C1814" s="30" t="str">
        <f>IFERROR(_xlfn.XLOOKUP(B1814,Insumo[DESCRIPCION],Insumo[UND],,0),"")</f>
        <v>Un</v>
      </c>
      <c r="D1814" s="31">
        <v>1</v>
      </c>
      <c r="E1814" s="32">
        <f>IFERROR(_xlfn.XLOOKUP($B1814,Insumo[DESCRIPCION],Insumo[VALOR],,0),"")</f>
        <v>1008236.25</v>
      </c>
      <c r="F1814" s="33"/>
      <c r="G1814" s="34">
        <f>IFERROR(IF(F1814&gt;=0,D1814*E1814*(1+F1814/100),ABS(D1814*E1814/F1814)),"")</f>
        <v>1008236.25</v>
      </c>
      <c r="H1814" s="43">
        <f>IFERROR(G1814*E1811,"")</f>
        <v>0</v>
      </c>
    </row>
    <row r="1815" spans="1:11">
      <c r="A1815" s="28"/>
      <c r="B1815" s="29" t="s">
        <v>3390</v>
      </c>
      <c r="C1815" s="30" t="str">
        <f>IFERROR(_xlfn.XLOOKUP(B1815,Insumo[DESCRIPCION],Insumo[UND],,0),"")</f>
        <v>Un</v>
      </c>
      <c r="D1815" s="31">
        <v>6</v>
      </c>
      <c r="E1815" s="32">
        <f>IFERROR(_xlfn.XLOOKUP($B1815,Insumo[DESCRIPCION],Insumo[VALOR],,0),"")</f>
        <v>6357.0150000000003</v>
      </c>
      <c r="F1815" s="33"/>
      <c r="G1815" s="34">
        <f>IFERROR(IF(F1815&gt;=0,D1815*E1815*(1+F1815/100),ABS(D1815*E1815/F1815)),"")</f>
        <v>38142.090000000004</v>
      </c>
      <c r="H1815" s="43">
        <f>IFERROR(G1815*E1811,"")</f>
        <v>0</v>
      </c>
    </row>
    <row r="1816" spans="1:11">
      <c r="A1816" s="28"/>
      <c r="B1816" s="29" t="s">
        <v>2843</v>
      </c>
      <c r="C1816" s="30" t="str">
        <f>IFERROR(_xlfn.XLOOKUP(B1816,Insumo[DESCRIPCION],Insumo[UND],,0),"")</f>
        <v xml:space="preserve"> M </v>
      </c>
      <c r="D1816" s="31">
        <v>3</v>
      </c>
      <c r="E1816" s="32">
        <f>IFERROR(_xlfn.XLOOKUP($B1816,Insumo[DESCRIPCION],Insumo[VALOR],,0),"")</f>
        <v>1244.25</v>
      </c>
      <c r="F1816" s="33"/>
      <c r="G1816" s="34">
        <f>IFERROR(IF(F1816&gt;=0,D1816*E1816*(1+F1816/100),ABS(D1816*E1816/F1816)),"")</f>
        <v>3732.75</v>
      </c>
      <c r="H1816" s="43">
        <f>IFERROR(G1816*E1811,"")</f>
        <v>0</v>
      </c>
    </row>
    <row r="1817" spans="1:11">
      <c r="A1817" s="28"/>
      <c r="B1817" s="29" t="s">
        <v>2834</v>
      </c>
      <c r="C1817" s="30" t="str">
        <f>IFERROR(_xlfn.XLOOKUP(B1817,Insumo[DESCRIPCION],Insumo[UND],,0),"")</f>
        <v>Un</v>
      </c>
      <c r="D1817" s="31">
        <v>4</v>
      </c>
      <c r="E1817" s="32">
        <f>IFERROR(_xlfn.XLOOKUP($B1817,Insumo[DESCRIPCION],Insumo[VALOR],,0),"")</f>
        <v>6592.9500000000007</v>
      </c>
      <c r="F1817" s="33"/>
      <c r="G1817" s="34">
        <f>IFERROR(IF(F1817&gt;=0,D1817*E1817*(1+F1817/100),ABS(D1817*E1817/F1817)),"")</f>
        <v>26371.800000000003</v>
      </c>
      <c r="H1817" s="43">
        <f>IFERROR(G1817*E1811,"")</f>
        <v>0</v>
      </c>
    </row>
    <row r="1818" spans="1:11">
      <c r="A1818" s="28"/>
      <c r="B1818" s="29"/>
      <c r="C1818" s="30" t="str">
        <f>IFERROR(_xlfn.XLOOKUP(B1818,Insumo[DESCRIPCION],Insumo[UND],,0),"")</f>
        <v/>
      </c>
      <c r="D1818" s="31"/>
      <c r="E1818" s="32" t="str">
        <f>IFERROR(_xlfn.XLOOKUP($B1818,Insumo[DESCRIPCION],Insumo[VALOR],,0),"")</f>
        <v/>
      </c>
      <c r="F1818" s="33"/>
      <c r="G1818" s="34" t="str">
        <f>IFERROR(IF(F1818&gt;=0,D1818*E1818*(1+F1818/100),ABS(D1818*E1818/F1818)),"")</f>
        <v/>
      </c>
      <c r="H1818" s="43" t="str">
        <f>IFERROR(G1818*E1811,"")</f>
        <v/>
      </c>
    </row>
    <row r="1819" spans="1:11">
      <c r="A1819" s="21"/>
      <c r="B1819" s="22" t="s">
        <v>3731</v>
      </c>
      <c r="C1819" s="23"/>
      <c r="D1819" s="24"/>
      <c r="E1819" s="25"/>
      <c r="F1819" s="26"/>
      <c r="G1819" s="27">
        <f>SUM(G1820:G1822)</f>
        <v>5627.9825777500018</v>
      </c>
      <c r="H1819" s="44">
        <f>G1819*E1811</f>
        <v>0</v>
      </c>
    </row>
    <row r="1820" spans="1:11">
      <c r="A1820" s="28"/>
      <c r="B1820" s="29" t="s">
        <v>3626</v>
      </c>
      <c r="C1820" s="30" t="str">
        <f>IFERROR(_xlfn.XLOOKUP(B1820,Equipo[DESCRIPCION],Equipo[UND],,0),"")</f>
        <v>%MO</v>
      </c>
      <c r="D1820" s="31">
        <v>0.05</v>
      </c>
      <c r="E1820" s="32">
        <f>IF(C1820="%MO",G1826,IFERROR(_xlfn.XLOOKUP($B1820,Equipo[DESCRIPCION],Equipo[VALOR],,0),""))</f>
        <v>112559.65155500003</v>
      </c>
      <c r="F1820" s="33"/>
      <c r="G1820" s="34">
        <f>IFERROR(IF(F1820&gt;=0,D1820*E1820*(1+F1820/100),ABS(D1820*E1820/F1820)),"")</f>
        <v>5627.9825777500018</v>
      </c>
      <c r="H1820" s="43">
        <f>IFERROR(G1820*E1811,"")</f>
        <v>0</v>
      </c>
    </row>
    <row r="1821" spans="1:11">
      <c r="A1821" s="28"/>
      <c r="B1821" s="29"/>
      <c r="C1821" s="30" t="str">
        <f>IFERROR(_xlfn.XLOOKUP(B1821,Equipo[DESCRIPCION],Equipo[UND],,0),"")</f>
        <v/>
      </c>
      <c r="D1821" s="31"/>
      <c r="E1821" s="32" t="str">
        <f>IF(C1821="%MO",G1826,IFERROR(_xlfn.XLOOKUP($B1821,Equipo[DESCRIPCION],Equipo[VALOR],,0),""))</f>
        <v/>
      </c>
      <c r="F1821" s="33"/>
      <c r="G1821" s="34" t="str">
        <f>IFERROR(IF(F1821&gt;=0,D1821*E1821*(1+F1821/100),ABS(D1821*E1821/F1821)),"")</f>
        <v/>
      </c>
      <c r="H1821" s="43" t="str">
        <f>IFERROR(G1821*E1811,"")</f>
        <v/>
      </c>
    </row>
    <row r="1822" spans="1:11">
      <c r="A1822" s="28"/>
      <c r="B1822" s="29"/>
      <c r="C1822" s="30" t="str">
        <f>IFERROR(_xlfn.XLOOKUP(B1822,Equipo[DESCRIPCION],Equipo[UND],,0),"")</f>
        <v/>
      </c>
      <c r="D1822" s="31"/>
      <c r="E1822" s="32" t="str">
        <f>IF(C1822="%MO",G1826,IFERROR(_xlfn.XLOOKUP($B1822,Equipo[DESCRIPCION],Equipo[VALOR],,0),""))</f>
        <v/>
      </c>
      <c r="F1822" s="33"/>
      <c r="G1822" s="34" t="str">
        <f>IFERROR(IF(F1822&gt;=0,D1822*E1822*(1+F1822/100),ABS(D1822*E1822/F1822)),"")</f>
        <v/>
      </c>
      <c r="H1822" s="43" t="str">
        <f>IFERROR(G1822*E1811,"")</f>
        <v/>
      </c>
    </row>
    <row r="1823" spans="1:11">
      <c r="A1823" s="21"/>
      <c r="B1823" s="22" t="s">
        <v>2533</v>
      </c>
      <c r="C1823" s="23"/>
      <c r="D1823" s="24"/>
      <c r="E1823" s="25"/>
      <c r="F1823" s="26"/>
      <c r="G1823" s="27">
        <f>SUM(G1824:G1825)</f>
        <v>0</v>
      </c>
      <c r="H1823" s="44">
        <f>G1823*E1811</f>
        <v>0</v>
      </c>
    </row>
    <row r="1824" spans="1:11">
      <c r="A1824" s="28"/>
      <c r="B1824" s="29"/>
      <c r="C1824" s="30" t="str">
        <f>IFERROR(_xlfn.XLOOKUP(B1824,Transporte[DESCRIPCION],Transporte[UND],,0),"")</f>
        <v/>
      </c>
      <c r="D1824" s="31"/>
      <c r="E1824" s="32" t="str">
        <f>IFERROR(_xlfn.XLOOKUP($B1824,Transporte[DESCRIPCION],Transporte[VALOR],,0),"")</f>
        <v/>
      </c>
      <c r="F1824" s="33"/>
      <c r="G1824" s="34" t="str">
        <f>IFERROR(IF(F1824&gt;=0,D1824*E1824*(1+F1824/100),ABS(D1824*E1824/F1824)),"")</f>
        <v/>
      </c>
      <c r="H1824" s="43" t="str">
        <f>IFERROR(G1824*E1811,"")</f>
        <v/>
      </c>
    </row>
    <row r="1825" spans="1:11">
      <c r="A1825" s="28"/>
      <c r="B1825" s="29"/>
      <c r="C1825" s="30" t="str">
        <f>IFERROR(_xlfn.XLOOKUP(B1825,Transporte[DESCRIPCION],Transporte[UND],,0),"")</f>
        <v/>
      </c>
      <c r="D1825" s="31"/>
      <c r="E1825" s="32" t="str">
        <f>IFERROR(_xlfn.XLOOKUP($B1825,Transporte[DESCRIPCION],Transporte[VALOR],,0),"")</f>
        <v/>
      </c>
      <c r="F1825" s="33"/>
      <c r="G1825" s="34" t="str">
        <f>IFERROR(IF(F1825&gt;=0,D1825*E1825*(1+F1825/100),ABS(D1825*E1825/F1825)),"")</f>
        <v/>
      </c>
      <c r="H1825" s="43" t="str">
        <f>IFERROR(G1825*E1811,"")</f>
        <v/>
      </c>
    </row>
    <row r="1826" spans="1:11">
      <c r="A1826" s="21"/>
      <c r="B1826" s="22" t="s">
        <v>3732</v>
      </c>
      <c r="C1826" s="23"/>
      <c r="D1826" s="24"/>
      <c r="E1826" s="25"/>
      <c r="F1826" s="26"/>
      <c r="G1826" s="27">
        <f>SUM(G1827:G1829)</f>
        <v>112559.65155500003</v>
      </c>
      <c r="H1826" s="44">
        <f>G1826*E1811</f>
        <v>0</v>
      </c>
    </row>
    <row r="1827" spans="1:11">
      <c r="A1827" s="28"/>
      <c r="B1827" s="29" t="s">
        <v>3715</v>
      </c>
      <c r="C1827" s="30" t="str">
        <f>IFERROR(_xlfn.XLOOKUP(B1827,MObra[DESCRIPCION],MObra[UN],,0),"")</f>
        <v>día</v>
      </c>
      <c r="D1827" s="31">
        <v>1</v>
      </c>
      <c r="E1827" s="32">
        <f>IFERROR(_xlfn.XLOOKUP($B1827,MObra[DESCRIPCION],MObra[VALOR UNIT],,0),"")</f>
        <v>337678.95466500008</v>
      </c>
      <c r="F1827" s="33">
        <v>-3</v>
      </c>
      <c r="G1827" s="34">
        <f>IFERROR(IF(F1827&gt;=0,D1827*E1827*(1+F1827/100),ABS(D1827*E1827/F1827)),"")</f>
        <v>112559.65155500003</v>
      </c>
      <c r="H1827" s="43">
        <f>IFERROR(G1827*E1811,"")</f>
        <v>0</v>
      </c>
    </row>
    <row r="1828" spans="1:11">
      <c r="A1828" s="28"/>
      <c r="B1828" s="29"/>
      <c r="C1828" s="30" t="str">
        <f t="array" ref="C1828">IFERROR(_xlfn.XLOOKUP(B1828,MObra[[#All],[DESCRIPCION]],MObra[[#All],[UN]],,0),"")</f>
        <v/>
      </c>
      <c r="D1828" s="31"/>
      <c r="E1828" s="32" t="str">
        <f>IFERROR(_xlfn.XLOOKUP($B1828,MObra[DESCRIPCION],MObra[VALOR UNIT],,0),"")</f>
        <v/>
      </c>
      <c r="F1828" s="33"/>
      <c r="G1828" s="34" t="str">
        <f>IFERROR(IF(F1828&gt;=0,D1828*E1828*(1+F1828/100),ABS(D1828*E1828/F1828)),"")</f>
        <v/>
      </c>
      <c r="H1828" s="43" t="str">
        <f>IFERROR(G1828*E1811,"")</f>
        <v/>
      </c>
    </row>
    <row r="1829" spans="1:11">
      <c r="A1829" s="35"/>
      <c r="B1829" s="36"/>
      <c r="C1829" s="37" t="str">
        <f t="array" ref="C1829">IFERROR(_xlfn.XLOOKUP(B1829,MObra[[#All],[DESCRIPCION]],MObra[[#All],[UN]],,0),"")</f>
        <v/>
      </c>
      <c r="D1829" s="38"/>
      <c r="E1829" s="39" t="str">
        <f>IFERROR(_xlfn.XLOOKUP($B1829,MObra[DESCRIPCION],MObra[VALOR UNIT],,0),"")</f>
        <v/>
      </c>
      <c r="F1829" s="40"/>
      <c r="G1829" s="41" t="str">
        <f>IFERROR(IF(F1829&gt;=0,D1829*E1829*(1+F1829/100),ABS(D1829*E1829/F1829)),"")</f>
        <v/>
      </c>
      <c r="H1829" s="42" t="str">
        <f>IFERROR(G1829*E1811,"")</f>
        <v/>
      </c>
    </row>
    <row r="1830" spans="1:11" ht="12.75" customHeight="1" thickTop="1" thickBot="1"/>
    <row r="1831" spans="1:11" ht="26.25" thickTop="1" thickBot="1">
      <c r="A1831" s="6" t="s">
        <v>1059</v>
      </c>
      <c r="B1831" s="7" t="str">
        <f>VLOOKUP($A1831,Presupuesto!$A:$D,2,FALSE())</f>
        <v>Totalizador tripolar rango de operación de 160-250 amperios, ruptura de 36 - 70 ka para celda, cofre o tablero de distribución. Certificación RETIE</v>
      </c>
      <c r="C1831" s="8" t="str">
        <f>VLOOKUP($A1831,Presupuesto!$A:$D,3,FALSE())</f>
        <v>Un</v>
      </c>
      <c r="D1831" s="9"/>
      <c r="E1831" s="10">
        <f>VLOOKUP($A1831,Presupuesto!$A:$D,4,FALSE())</f>
        <v>0</v>
      </c>
      <c r="F1831" s="11" t="s">
        <v>2589</v>
      </c>
      <c r="G1831" s="12">
        <f>SUM(G1833:G1849)/2</f>
        <v>1929486.7741327498</v>
      </c>
      <c r="H1831" s="13">
        <f>ROUND(SUM(H1833:H1849),0)/2</f>
        <v>0</v>
      </c>
      <c r="I1831" s="10">
        <f>VLOOKUP(A1831,Presupuesto!$A:$F,6,0)</f>
        <v>0</v>
      </c>
      <c r="J1831" s="10">
        <f>+H1831-I1831</f>
        <v>0</v>
      </c>
      <c r="K1831" s="46">
        <f>+H1831-G1831*E1831</f>
        <v>0</v>
      </c>
    </row>
    <row r="1832" spans="1:11">
      <c r="A1832" s="14"/>
      <c r="B1832" s="15" t="s">
        <v>2586</v>
      </c>
      <c r="C1832" s="15" t="s">
        <v>5</v>
      </c>
      <c r="D1832" s="16" t="s">
        <v>6</v>
      </c>
      <c r="E1832" s="17" t="s">
        <v>7</v>
      </c>
      <c r="F1832" s="18" t="s">
        <v>3728</v>
      </c>
      <c r="G1832" s="19" t="s">
        <v>3729</v>
      </c>
      <c r="H1832" s="20" t="s">
        <v>3797</v>
      </c>
    </row>
    <row r="1833" spans="1:11">
      <c r="A1833" s="21"/>
      <c r="B1833" s="22" t="s">
        <v>3730</v>
      </c>
      <c r="C1833" s="23"/>
      <c r="D1833" s="24"/>
      <c r="E1833" s="25"/>
      <c r="F1833" s="26"/>
      <c r="G1833" s="27">
        <f>SUM(G1834:G1838)</f>
        <v>1811299.1400000001</v>
      </c>
      <c r="H1833" s="27">
        <f>IFERROR(G1833*E1831,"")</f>
        <v>0</v>
      </c>
    </row>
    <row r="1834" spans="1:11">
      <c r="A1834" s="28"/>
      <c r="B1834" s="29" t="s">
        <v>2769</v>
      </c>
      <c r="C1834" s="30" t="str">
        <f>IFERROR(_xlfn.XLOOKUP(B1834,Insumo[DESCRIPCION],Insumo[UND],,0),"")</f>
        <v>Un</v>
      </c>
      <c r="D1834" s="31">
        <v>1</v>
      </c>
      <c r="E1834" s="32">
        <f>IFERROR(_xlfn.XLOOKUP($B1834,Insumo[DESCRIPCION],Insumo[VALOR],,0),"")</f>
        <v>1743052.5</v>
      </c>
      <c r="F1834" s="33"/>
      <c r="G1834" s="34">
        <f>IFERROR(IF(F1834&gt;=0,D1834*E1834*(1+F1834/100),ABS(D1834*E1834/F1834)),"")</f>
        <v>1743052.5</v>
      </c>
      <c r="H1834" s="43">
        <f>IFERROR(G1834*E1831,"")</f>
        <v>0</v>
      </c>
    </row>
    <row r="1835" spans="1:11">
      <c r="A1835" s="28"/>
      <c r="B1835" s="29" t="s">
        <v>3390</v>
      </c>
      <c r="C1835" s="30" t="str">
        <f>IFERROR(_xlfn.XLOOKUP(B1835,Insumo[DESCRIPCION],Insumo[UND],,0),"")</f>
        <v>Un</v>
      </c>
      <c r="D1835" s="31">
        <v>6</v>
      </c>
      <c r="E1835" s="32">
        <f>IFERROR(_xlfn.XLOOKUP($B1835,Insumo[DESCRIPCION],Insumo[VALOR],,0),"")</f>
        <v>6357.0150000000003</v>
      </c>
      <c r="F1835" s="33"/>
      <c r="G1835" s="34">
        <f>IFERROR(IF(F1835&gt;=0,D1835*E1835*(1+F1835/100),ABS(D1835*E1835/F1835)),"")</f>
        <v>38142.090000000004</v>
      </c>
      <c r="H1835" s="43">
        <f>IFERROR(G1835*E1831,"")</f>
        <v>0</v>
      </c>
    </row>
    <row r="1836" spans="1:11">
      <c r="A1836" s="28"/>
      <c r="B1836" s="29" t="s">
        <v>2843</v>
      </c>
      <c r="C1836" s="30" t="str">
        <f>IFERROR(_xlfn.XLOOKUP(B1836,Insumo[DESCRIPCION],Insumo[UND],,0),"")</f>
        <v xml:space="preserve"> M </v>
      </c>
      <c r="D1836" s="31">
        <v>3</v>
      </c>
      <c r="E1836" s="32">
        <f>IFERROR(_xlfn.XLOOKUP($B1836,Insumo[DESCRIPCION],Insumo[VALOR],,0),"")</f>
        <v>1244.25</v>
      </c>
      <c r="F1836" s="33"/>
      <c r="G1836" s="34">
        <f>IFERROR(IF(F1836&gt;=0,D1836*E1836*(1+F1836/100),ABS(D1836*E1836/F1836)),"")</f>
        <v>3732.75</v>
      </c>
      <c r="H1836" s="43">
        <f>IFERROR(G1836*E1831,"")</f>
        <v>0</v>
      </c>
    </row>
    <row r="1837" spans="1:11">
      <c r="A1837" s="28"/>
      <c r="B1837" s="29" t="s">
        <v>2834</v>
      </c>
      <c r="C1837" s="30" t="str">
        <f>IFERROR(_xlfn.XLOOKUP(B1837,Insumo[DESCRIPCION],Insumo[UND],,0),"")</f>
        <v>Un</v>
      </c>
      <c r="D1837" s="31">
        <v>4</v>
      </c>
      <c r="E1837" s="32">
        <f>IFERROR(_xlfn.XLOOKUP($B1837,Insumo[DESCRIPCION],Insumo[VALOR],,0),"")</f>
        <v>6592.9500000000007</v>
      </c>
      <c r="F1837" s="33"/>
      <c r="G1837" s="34">
        <f>IFERROR(IF(F1837&gt;=0,D1837*E1837*(1+F1837/100),ABS(D1837*E1837/F1837)),"")</f>
        <v>26371.800000000003</v>
      </c>
      <c r="H1837" s="43">
        <f>IFERROR(G1837*E1831,"")</f>
        <v>0</v>
      </c>
    </row>
    <row r="1838" spans="1:11">
      <c r="A1838" s="28"/>
      <c r="B1838" s="29"/>
      <c r="C1838" s="30" t="str">
        <f>IFERROR(_xlfn.XLOOKUP(B1838,Insumo[DESCRIPCION],Insumo[UND],,0),"")</f>
        <v/>
      </c>
      <c r="D1838" s="31"/>
      <c r="E1838" s="32" t="str">
        <f>IFERROR(_xlfn.XLOOKUP($B1838,Insumo[DESCRIPCION],Insumo[VALOR],,0),"")</f>
        <v/>
      </c>
      <c r="F1838" s="33"/>
      <c r="G1838" s="34" t="str">
        <f>IFERROR(IF(F1838&gt;=0,D1838*E1838*(1+F1838/100),ABS(D1838*E1838/F1838)),"")</f>
        <v/>
      </c>
      <c r="H1838" s="43" t="str">
        <f>IFERROR(G1838*E1831,"")</f>
        <v/>
      </c>
    </row>
    <row r="1839" spans="1:11">
      <c r="A1839" s="21"/>
      <c r="B1839" s="22" t="s">
        <v>3731</v>
      </c>
      <c r="C1839" s="23"/>
      <c r="D1839" s="24"/>
      <c r="E1839" s="25"/>
      <c r="F1839" s="26"/>
      <c r="G1839" s="27">
        <f>SUM(G1840:G1842)</f>
        <v>5627.9825777500018</v>
      </c>
      <c r="H1839" s="44">
        <f>G1839*E1831</f>
        <v>0</v>
      </c>
    </row>
    <row r="1840" spans="1:11">
      <c r="A1840" s="28"/>
      <c r="B1840" s="29" t="s">
        <v>3626</v>
      </c>
      <c r="C1840" s="30" t="str">
        <f>IFERROR(_xlfn.XLOOKUP(B1840,Equipo[DESCRIPCION],Equipo[UND],,0),"")</f>
        <v>%MO</v>
      </c>
      <c r="D1840" s="31">
        <v>0.05</v>
      </c>
      <c r="E1840" s="32">
        <f>IF(C1840="%MO",G1846,IFERROR(_xlfn.XLOOKUP($B1840,Equipo[DESCRIPCION],Equipo[VALOR],,0),""))</f>
        <v>112559.65155500003</v>
      </c>
      <c r="F1840" s="33"/>
      <c r="G1840" s="34">
        <f>IFERROR(IF(F1840&gt;=0,D1840*E1840*(1+F1840/100),ABS(D1840*E1840/F1840)),"")</f>
        <v>5627.9825777500018</v>
      </c>
      <c r="H1840" s="43">
        <f>IFERROR(G1840*E1831,"")</f>
        <v>0</v>
      </c>
    </row>
    <row r="1841" spans="1:11">
      <c r="A1841" s="28"/>
      <c r="B1841" s="29"/>
      <c r="C1841" s="30" t="str">
        <f>IFERROR(_xlfn.XLOOKUP(B1841,Equipo[DESCRIPCION],Equipo[UND],,0),"")</f>
        <v/>
      </c>
      <c r="D1841" s="31"/>
      <c r="E1841" s="32" t="str">
        <f>IF(C1841="%MO",G1846,IFERROR(_xlfn.XLOOKUP($B1841,Equipo[DESCRIPCION],Equipo[VALOR],,0),""))</f>
        <v/>
      </c>
      <c r="F1841" s="33"/>
      <c r="G1841" s="34" t="str">
        <f>IFERROR(IF(F1841&gt;=0,D1841*E1841*(1+F1841/100),ABS(D1841*E1841/F1841)),"")</f>
        <v/>
      </c>
      <c r="H1841" s="43" t="str">
        <f>IFERROR(G1841*E1831,"")</f>
        <v/>
      </c>
    </row>
    <row r="1842" spans="1:11">
      <c r="A1842" s="28"/>
      <c r="B1842" s="29"/>
      <c r="C1842" s="30" t="str">
        <f>IFERROR(_xlfn.XLOOKUP(B1842,Equipo[DESCRIPCION],Equipo[UND],,0),"")</f>
        <v/>
      </c>
      <c r="D1842" s="31"/>
      <c r="E1842" s="32" t="str">
        <f>IF(C1842="%MO",G1846,IFERROR(_xlfn.XLOOKUP($B1842,Equipo[DESCRIPCION],Equipo[VALOR],,0),""))</f>
        <v/>
      </c>
      <c r="F1842" s="33"/>
      <c r="G1842" s="34" t="str">
        <f>IFERROR(IF(F1842&gt;=0,D1842*E1842*(1+F1842/100),ABS(D1842*E1842/F1842)),"")</f>
        <v/>
      </c>
      <c r="H1842" s="43" t="str">
        <f>IFERROR(G1842*E1831,"")</f>
        <v/>
      </c>
    </row>
    <row r="1843" spans="1:11">
      <c r="A1843" s="21"/>
      <c r="B1843" s="22" t="s">
        <v>2533</v>
      </c>
      <c r="C1843" s="23"/>
      <c r="D1843" s="24"/>
      <c r="E1843" s="25"/>
      <c r="F1843" s="26"/>
      <c r="G1843" s="27">
        <f>SUM(G1844:G1845)</f>
        <v>0</v>
      </c>
      <c r="H1843" s="44">
        <f>G1843*E1831</f>
        <v>0</v>
      </c>
    </row>
    <row r="1844" spans="1:11">
      <c r="A1844" s="28"/>
      <c r="B1844" s="29"/>
      <c r="C1844" s="30" t="str">
        <f>IFERROR(_xlfn.XLOOKUP(B1844,Transporte[DESCRIPCION],Transporte[UND],,0),"")</f>
        <v/>
      </c>
      <c r="D1844" s="31"/>
      <c r="E1844" s="32" t="str">
        <f>IFERROR(_xlfn.XLOOKUP($B1844,Transporte[DESCRIPCION],Transporte[VALOR],,0),"")</f>
        <v/>
      </c>
      <c r="F1844" s="33"/>
      <c r="G1844" s="34" t="str">
        <f>IFERROR(IF(F1844&gt;=0,D1844*E1844*(1+F1844/100),ABS(D1844*E1844/F1844)),"")</f>
        <v/>
      </c>
      <c r="H1844" s="43" t="str">
        <f>IFERROR(G1844*E1831,"")</f>
        <v/>
      </c>
    </row>
    <row r="1845" spans="1:11">
      <c r="A1845" s="28"/>
      <c r="B1845" s="29"/>
      <c r="C1845" s="30" t="str">
        <f>IFERROR(_xlfn.XLOOKUP(B1845,Transporte[DESCRIPCION],Transporte[UND],,0),"")</f>
        <v/>
      </c>
      <c r="D1845" s="31"/>
      <c r="E1845" s="32" t="str">
        <f>IFERROR(_xlfn.XLOOKUP($B1845,Transporte[DESCRIPCION],Transporte[VALOR],,0),"")</f>
        <v/>
      </c>
      <c r="F1845" s="33"/>
      <c r="G1845" s="34" t="str">
        <f>IFERROR(IF(F1845&gt;=0,D1845*E1845*(1+F1845/100),ABS(D1845*E1845/F1845)),"")</f>
        <v/>
      </c>
      <c r="H1845" s="43" t="str">
        <f>IFERROR(G1845*E1831,"")</f>
        <v/>
      </c>
    </row>
    <row r="1846" spans="1:11">
      <c r="A1846" s="21"/>
      <c r="B1846" s="22" t="s">
        <v>3732</v>
      </c>
      <c r="C1846" s="23"/>
      <c r="D1846" s="24"/>
      <c r="E1846" s="25"/>
      <c r="F1846" s="26"/>
      <c r="G1846" s="27">
        <f>SUM(G1847:G1849)</f>
        <v>112559.65155500003</v>
      </c>
      <c r="H1846" s="44">
        <f>G1846*E1831</f>
        <v>0</v>
      </c>
    </row>
    <row r="1847" spans="1:11">
      <c r="A1847" s="28"/>
      <c r="B1847" s="29" t="s">
        <v>3715</v>
      </c>
      <c r="C1847" s="30" t="str">
        <f>IFERROR(_xlfn.XLOOKUP(B1847,MObra[DESCRIPCION],MObra[UN],,0),"")</f>
        <v>día</v>
      </c>
      <c r="D1847" s="31">
        <v>1</v>
      </c>
      <c r="E1847" s="32">
        <f>IFERROR(_xlfn.XLOOKUP($B1847,MObra[DESCRIPCION],MObra[VALOR UNIT],,0),"")</f>
        <v>337678.95466500008</v>
      </c>
      <c r="F1847" s="33">
        <v>-3</v>
      </c>
      <c r="G1847" s="34">
        <f>IFERROR(IF(F1847&gt;=0,D1847*E1847*(1+F1847/100),ABS(D1847*E1847/F1847)),"")</f>
        <v>112559.65155500003</v>
      </c>
      <c r="H1847" s="43">
        <f>IFERROR(G1847*E1831,"")</f>
        <v>0</v>
      </c>
    </row>
    <row r="1848" spans="1:11">
      <c r="A1848" s="28"/>
      <c r="B1848" s="29"/>
      <c r="C1848" s="30" t="str">
        <f t="array" ref="C1848">IFERROR(_xlfn.XLOOKUP(B1848,MObra[[#All],[DESCRIPCION]],MObra[[#All],[UN]],,0),"")</f>
        <v/>
      </c>
      <c r="D1848" s="31"/>
      <c r="E1848" s="32" t="str">
        <f>IFERROR(_xlfn.XLOOKUP($B1848,MObra[DESCRIPCION],MObra[VALOR UNIT],,0),"")</f>
        <v/>
      </c>
      <c r="F1848" s="33"/>
      <c r="G1848" s="34" t="str">
        <f>IFERROR(IF(F1848&gt;=0,D1848*E1848*(1+F1848/100),ABS(D1848*E1848/F1848)),"")</f>
        <v/>
      </c>
      <c r="H1848" s="43" t="str">
        <f>IFERROR(G1848*E1831,"")</f>
        <v/>
      </c>
    </row>
    <row r="1849" spans="1:11">
      <c r="A1849" s="35"/>
      <c r="B1849" s="36"/>
      <c r="C1849" s="37" t="str">
        <f t="array" ref="C1849">IFERROR(_xlfn.XLOOKUP(B1849,MObra[[#All],[DESCRIPCION]],MObra[[#All],[UN]],,0),"")</f>
        <v/>
      </c>
      <c r="D1849" s="38"/>
      <c r="E1849" s="39" t="str">
        <f>IFERROR(_xlfn.XLOOKUP($B1849,MObra[DESCRIPCION],MObra[VALOR UNIT],,0),"")</f>
        <v/>
      </c>
      <c r="F1849" s="40"/>
      <c r="G1849" s="41" t="str">
        <f>IFERROR(IF(F1849&gt;=0,D1849*E1849*(1+F1849/100),ABS(D1849*E1849/F1849)),"")</f>
        <v/>
      </c>
      <c r="H1849" s="42" t="str">
        <f>IFERROR(G1849*E1831,"")</f>
        <v/>
      </c>
    </row>
    <row r="1850" spans="1:11" ht="12.75" customHeight="1"/>
    <row r="1851" spans="1:11" ht="25.5">
      <c r="A1851" s="6" t="s">
        <v>1061</v>
      </c>
      <c r="B1851" s="7" t="str">
        <f>VLOOKUP($A1851,Presupuesto!$A:$D,2,FALSE())</f>
        <v>Totalizador tripolar rango de operación de 250-400 amperios, ruptura de 36 - 70 ka para celda, cofre o tablero de distribución. Certificación RETIE</v>
      </c>
      <c r="C1851" s="8" t="str">
        <f>VLOOKUP($A1851,Presupuesto!$A:$D,3,FALSE())</f>
        <v>Un</v>
      </c>
      <c r="D1851" s="9"/>
      <c r="E1851" s="10">
        <f>VLOOKUP($A1851,Presupuesto!$A:$D,4,FALSE())</f>
        <v>0</v>
      </c>
      <c r="F1851" s="11" t="s">
        <v>2589</v>
      </c>
      <c r="G1851" s="12">
        <f>SUM(G1853:G1869)/2</f>
        <v>1929486.7741327498</v>
      </c>
      <c r="H1851" s="13">
        <f>ROUND(SUM(H1853:H1869),0)/2</f>
        <v>0</v>
      </c>
      <c r="I1851" s="10">
        <f>VLOOKUP(A1851,Presupuesto!$A:$F,6,0)</f>
        <v>0</v>
      </c>
      <c r="J1851" s="10">
        <f>+H1851-I1851</f>
        <v>0</v>
      </c>
      <c r="K1851" s="46">
        <f>+H1851-G1851*E1851</f>
        <v>0</v>
      </c>
    </row>
    <row r="1852" spans="1:11">
      <c r="A1852" s="14"/>
      <c r="B1852" s="15" t="s">
        <v>2586</v>
      </c>
      <c r="C1852" s="15" t="s">
        <v>5</v>
      </c>
      <c r="D1852" s="16" t="s">
        <v>6</v>
      </c>
      <c r="E1852" s="17" t="s">
        <v>7</v>
      </c>
      <c r="F1852" s="18" t="s">
        <v>3728</v>
      </c>
      <c r="G1852" s="19" t="s">
        <v>3729</v>
      </c>
      <c r="H1852" s="20" t="s">
        <v>3797</v>
      </c>
    </row>
    <row r="1853" spans="1:11">
      <c r="A1853" s="21"/>
      <c r="B1853" s="22" t="s">
        <v>3730</v>
      </c>
      <c r="C1853" s="23"/>
      <c r="D1853" s="24"/>
      <c r="E1853" s="25"/>
      <c r="F1853" s="26"/>
      <c r="G1853" s="27">
        <f>SUM(G1854:G1858)</f>
        <v>1811299.1400000001</v>
      </c>
      <c r="H1853" s="27">
        <f>IFERROR(G1853*E1851,"")</f>
        <v>0</v>
      </c>
    </row>
    <row r="1854" spans="1:11">
      <c r="A1854" s="28"/>
      <c r="B1854" s="29" t="s">
        <v>2769</v>
      </c>
      <c r="C1854" s="30" t="str">
        <f>IFERROR(_xlfn.XLOOKUP(B1854,Insumo[DESCRIPCION],Insumo[UND],,0),"")</f>
        <v>Un</v>
      </c>
      <c r="D1854" s="31">
        <v>1</v>
      </c>
      <c r="E1854" s="32">
        <f>IFERROR(_xlfn.XLOOKUP($B1854,Insumo[DESCRIPCION],Insumo[VALOR],,0),"")</f>
        <v>1743052.5</v>
      </c>
      <c r="F1854" s="33"/>
      <c r="G1854" s="34">
        <f>IFERROR(IF(F1854&gt;=0,D1854*E1854*(1+F1854/100),ABS(D1854*E1854/F1854)),"")</f>
        <v>1743052.5</v>
      </c>
      <c r="H1854" s="43">
        <f>IFERROR(G1854*E1851,"")</f>
        <v>0</v>
      </c>
    </row>
    <row r="1855" spans="1:11">
      <c r="A1855" s="28"/>
      <c r="B1855" s="29" t="s">
        <v>3390</v>
      </c>
      <c r="C1855" s="30" t="str">
        <f>IFERROR(_xlfn.XLOOKUP(B1855,Insumo[DESCRIPCION],Insumo[UND],,0),"")</f>
        <v>Un</v>
      </c>
      <c r="D1855" s="31">
        <v>6</v>
      </c>
      <c r="E1855" s="32">
        <f>IFERROR(_xlfn.XLOOKUP($B1855,Insumo[DESCRIPCION],Insumo[VALOR],,0),"")</f>
        <v>6357.0150000000003</v>
      </c>
      <c r="F1855" s="33"/>
      <c r="G1855" s="34">
        <f>IFERROR(IF(F1855&gt;=0,D1855*E1855*(1+F1855/100),ABS(D1855*E1855/F1855)),"")</f>
        <v>38142.090000000004</v>
      </c>
      <c r="H1855" s="43">
        <f>IFERROR(G1855*E1851,"")</f>
        <v>0</v>
      </c>
    </row>
    <row r="1856" spans="1:11">
      <c r="A1856" s="28"/>
      <c r="B1856" s="29" t="s">
        <v>2843</v>
      </c>
      <c r="C1856" s="30" t="str">
        <f>IFERROR(_xlfn.XLOOKUP(B1856,Insumo[DESCRIPCION],Insumo[UND],,0),"")</f>
        <v xml:space="preserve"> M </v>
      </c>
      <c r="D1856" s="31">
        <v>3</v>
      </c>
      <c r="E1856" s="32">
        <f>IFERROR(_xlfn.XLOOKUP($B1856,Insumo[DESCRIPCION],Insumo[VALOR],,0),"")</f>
        <v>1244.25</v>
      </c>
      <c r="F1856" s="33"/>
      <c r="G1856" s="34">
        <f>IFERROR(IF(F1856&gt;=0,D1856*E1856*(1+F1856/100),ABS(D1856*E1856/F1856)),"")</f>
        <v>3732.75</v>
      </c>
      <c r="H1856" s="43">
        <f>IFERROR(G1856*E1851,"")</f>
        <v>0</v>
      </c>
    </row>
    <row r="1857" spans="1:11">
      <c r="A1857" s="28"/>
      <c r="B1857" s="29" t="s">
        <v>2834</v>
      </c>
      <c r="C1857" s="30" t="str">
        <f>IFERROR(_xlfn.XLOOKUP(B1857,Insumo[DESCRIPCION],Insumo[UND],,0),"")</f>
        <v>Un</v>
      </c>
      <c r="D1857" s="31">
        <v>4</v>
      </c>
      <c r="E1857" s="32">
        <f>IFERROR(_xlfn.XLOOKUP($B1857,Insumo[DESCRIPCION],Insumo[VALOR],,0),"")</f>
        <v>6592.9500000000007</v>
      </c>
      <c r="F1857" s="33"/>
      <c r="G1857" s="34">
        <f>IFERROR(IF(F1857&gt;=0,D1857*E1857*(1+F1857/100),ABS(D1857*E1857/F1857)),"")</f>
        <v>26371.800000000003</v>
      </c>
      <c r="H1857" s="43">
        <f>IFERROR(G1857*E1851,"")</f>
        <v>0</v>
      </c>
    </row>
    <row r="1858" spans="1:11">
      <c r="A1858" s="28"/>
      <c r="B1858" s="29"/>
      <c r="C1858" s="30" t="str">
        <f>IFERROR(_xlfn.XLOOKUP(B1858,Insumo[DESCRIPCION],Insumo[UND],,0),"")</f>
        <v/>
      </c>
      <c r="D1858" s="31"/>
      <c r="E1858" s="32" t="str">
        <f>IFERROR(_xlfn.XLOOKUP($B1858,Insumo[DESCRIPCION],Insumo[VALOR],,0),"")</f>
        <v/>
      </c>
      <c r="F1858" s="33"/>
      <c r="G1858" s="34" t="str">
        <f>IFERROR(IF(F1858&gt;=0,D1858*E1858*(1+F1858/100),ABS(D1858*E1858/F1858)),"")</f>
        <v/>
      </c>
      <c r="H1858" s="43" t="str">
        <f>IFERROR(G1858*E1851,"")</f>
        <v/>
      </c>
    </row>
    <row r="1859" spans="1:11">
      <c r="A1859" s="21"/>
      <c r="B1859" s="22" t="s">
        <v>3731</v>
      </c>
      <c r="C1859" s="23"/>
      <c r="D1859" s="24"/>
      <c r="E1859" s="25"/>
      <c r="F1859" s="26"/>
      <c r="G1859" s="27">
        <f>SUM(G1860:G1862)</f>
        <v>5627.9825777500018</v>
      </c>
      <c r="H1859" s="44">
        <f>G1859*E1851</f>
        <v>0</v>
      </c>
    </row>
    <row r="1860" spans="1:11">
      <c r="A1860" s="28"/>
      <c r="B1860" s="29" t="s">
        <v>3626</v>
      </c>
      <c r="C1860" s="30" t="str">
        <f>IFERROR(_xlfn.XLOOKUP(B1860,Equipo[DESCRIPCION],Equipo[UND],,0),"")</f>
        <v>%MO</v>
      </c>
      <c r="D1860" s="31">
        <v>0.05</v>
      </c>
      <c r="E1860" s="32">
        <f>IF(C1860="%MO",G1866,IFERROR(_xlfn.XLOOKUP($B1860,Equipo[DESCRIPCION],Equipo[VALOR],,0),""))</f>
        <v>112559.65155500003</v>
      </c>
      <c r="F1860" s="33"/>
      <c r="G1860" s="34">
        <f>IFERROR(IF(F1860&gt;=0,D1860*E1860*(1+F1860/100),ABS(D1860*E1860/F1860)),"")</f>
        <v>5627.9825777500018</v>
      </c>
      <c r="H1860" s="43">
        <f>IFERROR(G1860*E1851,"")</f>
        <v>0</v>
      </c>
    </row>
    <row r="1861" spans="1:11">
      <c r="A1861" s="28"/>
      <c r="B1861" s="29"/>
      <c r="C1861" s="30" t="str">
        <f>IFERROR(_xlfn.XLOOKUP(B1861,Equipo[DESCRIPCION],Equipo[UND],,0),"")</f>
        <v/>
      </c>
      <c r="D1861" s="31"/>
      <c r="E1861" s="32" t="str">
        <f>IF(C1861="%MO",G1866,IFERROR(_xlfn.XLOOKUP($B1861,Equipo[DESCRIPCION],Equipo[VALOR],,0),""))</f>
        <v/>
      </c>
      <c r="F1861" s="33"/>
      <c r="G1861" s="34" t="str">
        <f>IFERROR(IF(F1861&gt;=0,D1861*E1861*(1+F1861/100),ABS(D1861*E1861/F1861)),"")</f>
        <v/>
      </c>
      <c r="H1861" s="43" t="str">
        <f>IFERROR(G1861*E1851,"")</f>
        <v/>
      </c>
    </row>
    <row r="1862" spans="1:11">
      <c r="A1862" s="28"/>
      <c r="B1862" s="29"/>
      <c r="C1862" s="30" t="str">
        <f>IFERROR(_xlfn.XLOOKUP(B1862,Equipo[DESCRIPCION],Equipo[UND],,0),"")</f>
        <v/>
      </c>
      <c r="D1862" s="31"/>
      <c r="E1862" s="32" t="str">
        <f>IF(C1862="%MO",G1866,IFERROR(_xlfn.XLOOKUP($B1862,Equipo[DESCRIPCION],Equipo[VALOR],,0),""))</f>
        <v/>
      </c>
      <c r="F1862" s="33"/>
      <c r="G1862" s="34" t="str">
        <f>IFERROR(IF(F1862&gt;=0,D1862*E1862*(1+F1862/100),ABS(D1862*E1862/F1862)),"")</f>
        <v/>
      </c>
      <c r="H1862" s="43" t="str">
        <f>IFERROR(G1862*E1851,"")</f>
        <v/>
      </c>
    </row>
    <row r="1863" spans="1:11">
      <c r="A1863" s="21"/>
      <c r="B1863" s="22" t="s">
        <v>2533</v>
      </c>
      <c r="C1863" s="23"/>
      <c r="D1863" s="24"/>
      <c r="E1863" s="25"/>
      <c r="F1863" s="26"/>
      <c r="G1863" s="27">
        <f>SUM(G1864:G1865)</f>
        <v>0</v>
      </c>
      <c r="H1863" s="44">
        <f>G1863*E1851</f>
        <v>0</v>
      </c>
    </row>
    <row r="1864" spans="1:11">
      <c r="A1864" s="28"/>
      <c r="B1864" s="29"/>
      <c r="C1864" s="30" t="str">
        <f>IFERROR(_xlfn.XLOOKUP(B1864,Transporte[DESCRIPCION],Transporte[UND],,0),"")</f>
        <v/>
      </c>
      <c r="D1864" s="31"/>
      <c r="E1864" s="32" t="str">
        <f>IFERROR(_xlfn.XLOOKUP($B1864,Transporte[DESCRIPCION],Transporte[VALOR],,0),"")</f>
        <v/>
      </c>
      <c r="F1864" s="33"/>
      <c r="G1864" s="34" t="str">
        <f>IFERROR(IF(F1864&gt;=0,D1864*E1864*(1+F1864/100),ABS(D1864*E1864/F1864)),"")</f>
        <v/>
      </c>
      <c r="H1864" s="43" t="str">
        <f>IFERROR(G1864*E1851,"")</f>
        <v/>
      </c>
    </row>
    <row r="1865" spans="1:11">
      <c r="A1865" s="28"/>
      <c r="B1865" s="29"/>
      <c r="C1865" s="30" t="str">
        <f>IFERROR(_xlfn.XLOOKUP(B1865,Transporte[DESCRIPCION],Transporte[UND],,0),"")</f>
        <v/>
      </c>
      <c r="D1865" s="31"/>
      <c r="E1865" s="32" t="str">
        <f>IFERROR(_xlfn.XLOOKUP($B1865,Transporte[DESCRIPCION],Transporte[VALOR],,0),"")</f>
        <v/>
      </c>
      <c r="F1865" s="33"/>
      <c r="G1865" s="34" t="str">
        <f>IFERROR(IF(F1865&gt;=0,D1865*E1865*(1+F1865/100),ABS(D1865*E1865/F1865)),"")</f>
        <v/>
      </c>
      <c r="H1865" s="43" t="str">
        <f>IFERROR(G1865*E1851,"")</f>
        <v/>
      </c>
    </row>
    <row r="1866" spans="1:11">
      <c r="A1866" s="21"/>
      <c r="B1866" s="22" t="s">
        <v>3732</v>
      </c>
      <c r="C1866" s="23"/>
      <c r="D1866" s="24"/>
      <c r="E1866" s="25"/>
      <c r="F1866" s="26"/>
      <c r="G1866" s="27">
        <f>SUM(G1867:G1869)</f>
        <v>112559.65155500003</v>
      </c>
      <c r="H1866" s="44">
        <f>G1866*E1851</f>
        <v>0</v>
      </c>
    </row>
    <row r="1867" spans="1:11">
      <c r="A1867" s="28"/>
      <c r="B1867" s="29" t="s">
        <v>3715</v>
      </c>
      <c r="C1867" s="30" t="str">
        <f>IFERROR(_xlfn.XLOOKUP(B1867,MObra[DESCRIPCION],MObra[UN],,0),"")</f>
        <v>día</v>
      </c>
      <c r="D1867" s="31">
        <v>1</v>
      </c>
      <c r="E1867" s="32">
        <f>IFERROR(_xlfn.XLOOKUP($B1867,MObra[DESCRIPCION],MObra[VALOR UNIT],,0),"")</f>
        <v>337678.95466500008</v>
      </c>
      <c r="F1867" s="33">
        <v>-3</v>
      </c>
      <c r="G1867" s="34">
        <f>IFERROR(IF(F1867&gt;=0,D1867*E1867*(1+F1867/100),ABS(D1867*E1867/F1867)),"")</f>
        <v>112559.65155500003</v>
      </c>
      <c r="H1867" s="43">
        <f>IFERROR(G1867*E1851,"")</f>
        <v>0</v>
      </c>
    </row>
    <row r="1868" spans="1:11">
      <c r="A1868" s="28"/>
      <c r="B1868" s="29"/>
      <c r="C1868" s="30" t="str">
        <f t="array" ref="C1868">IFERROR(_xlfn.XLOOKUP(B1868,MObra[[#All],[DESCRIPCION]],MObra[[#All],[UN]],,0),"")</f>
        <v/>
      </c>
      <c r="D1868" s="31"/>
      <c r="E1868" s="32" t="str">
        <f>IFERROR(_xlfn.XLOOKUP($B1868,MObra[DESCRIPCION],MObra[VALOR UNIT],,0),"")</f>
        <v/>
      </c>
      <c r="F1868" s="33"/>
      <c r="G1868" s="34" t="str">
        <f>IFERROR(IF(F1868&gt;=0,D1868*E1868*(1+F1868/100),ABS(D1868*E1868/F1868)),"")</f>
        <v/>
      </c>
      <c r="H1868" s="43" t="str">
        <f>IFERROR(G1868*E1851,"")</f>
        <v/>
      </c>
    </row>
    <row r="1869" spans="1:11">
      <c r="A1869" s="35"/>
      <c r="B1869" s="36"/>
      <c r="C1869" s="37" t="str">
        <f t="array" ref="C1869">IFERROR(_xlfn.XLOOKUP(B1869,MObra[[#All],[DESCRIPCION]],MObra[[#All],[UN]],,0),"")</f>
        <v/>
      </c>
      <c r="D1869" s="38"/>
      <c r="E1869" s="39" t="str">
        <f>IFERROR(_xlfn.XLOOKUP($B1869,MObra[DESCRIPCION],MObra[VALOR UNIT],,0),"")</f>
        <v/>
      </c>
      <c r="F1869" s="40"/>
      <c r="G1869" s="41" t="str">
        <f>IFERROR(IF(F1869&gt;=0,D1869*E1869*(1+F1869/100),ABS(D1869*E1869/F1869)),"")</f>
        <v/>
      </c>
      <c r="H1869" s="42" t="str">
        <f>IFERROR(G1869*E1851,"")</f>
        <v/>
      </c>
    </row>
    <row r="1870" spans="1:11" ht="12.75" customHeight="1"/>
    <row r="1871" spans="1:11" ht="38.25">
      <c r="A1871" s="6" t="s">
        <v>1063</v>
      </c>
      <c r="B1871" s="7" t="str">
        <f>VLOOKUP($A1871,Presupuesto!$A:$D,2,FALSE())</f>
        <v>Totalizador tripolar rango de operación de 400-630 amperios, ruptura de 36 - 70 ka para celda, cofre o tablero de distribución. Certificación RETIE circuito.</v>
      </c>
      <c r="C1871" s="8" t="str">
        <f>VLOOKUP($A1871,Presupuesto!$A:$D,3,FALSE())</f>
        <v>Un</v>
      </c>
      <c r="D1871" s="9"/>
      <c r="E1871" s="10">
        <f>VLOOKUP($A1871,Presupuesto!$A:$D,4,FALSE())</f>
        <v>0</v>
      </c>
      <c r="F1871" s="11" t="s">
        <v>2589</v>
      </c>
      <c r="G1871" s="12">
        <f>SUM(G1873:G1889)/2</f>
        <v>3142788.02413275</v>
      </c>
      <c r="H1871" s="13">
        <f>ROUND(SUM(H1873:H1889),0)/2</f>
        <v>0</v>
      </c>
      <c r="I1871" s="10">
        <f>VLOOKUP(A1871,Presupuesto!$A:$F,6,0)</f>
        <v>0</v>
      </c>
      <c r="J1871" s="10">
        <f>+H1871-I1871</f>
        <v>0</v>
      </c>
      <c r="K1871" s="46">
        <f>+H1871-G1871*E1871</f>
        <v>0</v>
      </c>
    </row>
    <row r="1872" spans="1:11">
      <c r="A1872" s="14"/>
      <c r="B1872" s="15" t="s">
        <v>2586</v>
      </c>
      <c r="C1872" s="15" t="s">
        <v>5</v>
      </c>
      <c r="D1872" s="16" t="s">
        <v>6</v>
      </c>
      <c r="E1872" s="17" t="s">
        <v>7</v>
      </c>
      <c r="F1872" s="18" t="s">
        <v>3728</v>
      </c>
      <c r="G1872" s="19" t="s">
        <v>3729</v>
      </c>
      <c r="H1872" s="20" t="s">
        <v>3797</v>
      </c>
    </row>
    <row r="1873" spans="1:8">
      <c r="A1873" s="21"/>
      <c r="B1873" s="22" t="s">
        <v>3730</v>
      </c>
      <c r="C1873" s="23"/>
      <c r="D1873" s="24"/>
      <c r="E1873" s="25"/>
      <c r="F1873" s="26"/>
      <c r="G1873" s="27">
        <f>SUM(G1874:G1878)</f>
        <v>3024600.3899999997</v>
      </c>
      <c r="H1873" s="27">
        <f>IFERROR(G1873*E1871,"")</f>
        <v>0</v>
      </c>
    </row>
    <row r="1874" spans="1:8">
      <c r="A1874" s="28"/>
      <c r="B1874" s="29" t="s">
        <v>2770</v>
      </c>
      <c r="C1874" s="30" t="str">
        <f>IFERROR(_xlfn.XLOOKUP(B1874,Insumo[DESCRIPCION],Insumo[UND],,0),"")</f>
        <v>Un</v>
      </c>
      <c r="D1874" s="31">
        <v>1</v>
      </c>
      <c r="E1874" s="32">
        <f>IFERROR(_xlfn.XLOOKUP($B1874,Insumo[DESCRIPCION],Insumo[VALOR],,0),"")</f>
        <v>2956353.75</v>
      </c>
      <c r="F1874" s="33"/>
      <c r="G1874" s="34">
        <f>IFERROR(IF(F1874&gt;=0,D1874*E1874*(1+F1874/100),ABS(D1874*E1874/F1874)),"")</f>
        <v>2956353.75</v>
      </c>
      <c r="H1874" s="43">
        <f>IFERROR(G1874*E1871,"")</f>
        <v>0</v>
      </c>
    </row>
    <row r="1875" spans="1:8">
      <c r="A1875" s="28"/>
      <c r="B1875" s="29" t="s">
        <v>3390</v>
      </c>
      <c r="C1875" s="30" t="str">
        <f>IFERROR(_xlfn.XLOOKUP(B1875,Insumo[DESCRIPCION],Insumo[UND],,0),"")</f>
        <v>Un</v>
      </c>
      <c r="D1875" s="31">
        <v>6</v>
      </c>
      <c r="E1875" s="32">
        <f>IFERROR(_xlfn.XLOOKUP($B1875,Insumo[DESCRIPCION],Insumo[VALOR],,0),"")</f>
        <v>6357.0150000000003</v>
      </c>
      <c r="F1875" s="33"/>
      <c r="G1875" s="34">
        <f>IFERROR(IF(F1875&gt;=0,D1875*E1875*(1+F1875/100),ABS(D1875*E1875/F1875)),"")</f>
        <v>38142.090000000004</v>
      </c>
      <c r="H1875" s="43">
        <f>IFERROR(G1875*E1871,"")</f>
        <v>0</v>
      </c>
    </row>
    <row r="1876" spans="1:8">
      <c r="A1876" s="28"/>
      <c r="B1876" s="29" t="s">
        <v>2843</v>
      </c>
      <c r="C1876" s="30" t="str">
        <f>IFERROR(_xlfn.XLOOKUP(B1876,Insumo[DESCRIPCION],Insumo[UND],,0),"")</f>
        <v xml:space="preserve"> M </v>
      </c>
      <c r="D1876" s="31">
        <v>3</v>
      </c>
      <c r="E1876" s="32">
        <f>IFERROR(_xlfn.XLOOKUP($B1876,Insumo[DESCRIPCION],Insumo[VALOR],,0),"")</f>
        <v>1244.25</v>
      </c>
      <c r="F1876" s="33"/>
      <c r="G1876" s="34">
        <f>IFERROR(IF(F1876&gt;=0,D1876*E1876*(1+F1876/100),ABS(D1876*E1876/F1876)),"")</f>
        <v>3732.75</v>
      </c>
      <c r="H1876" s="43">
        <f>IFERROR(G1876*E1871,"")</f>
        <v>0</v>
      </c>
    </row>
    <row r="1877" spans="1:8">
      <c r="A1877" s="28"/>
      <c r="B1877" s="29" t="s">
        <v>2834</v>
      </c>
      <c r="C1877" s="30" t="str">
        <f>IFERROR(_xlfn.XLOOKUP(B1877,Insumo[DESCRIPCION],Insumo[UND],,0),"")</f>
        <v>Un</v>
      </c>
      <c r="D1877" s="31">
        <v>4</v>
      </c>
      <c r="E1877" s="32">
        <f>IFERROR(_xlfn.XLOOKUP($B1877,Insumo[DESCRIPCION],Insumo[VALOR],,0),"")</f>
        <v>6592.9500000000007</v>
      </c>
      <c r="F1877" s="33"/>
      <c r="G1877" s="34">
        <f>IFERROR(IF(F1877&gt;=0,D1877*E1877*(1+F1877/100),ABS(D1877*E1877/F1877)),"")</f>
        <v>26371.800000000003</v>
      </c>
      <c r="H1877" s="43">
        <f>IFERROR(G1877*E1871,"")</f>
        <v>0</v>
      </c>
    </row>
    <row r="1878" spans="1:8">
      <c r="A1878" s="28"/>
      <c r="B1878" s="29"/>
      <c r="C1878" s="30" t="str">
        <f>IFERROR(_xlfn.XLOOKUP(B1878,Insumo[DESCRIPCION],Insumo[UND],,0),"")</f>
        <v/>
      </c>
      <c r="D1878" s="31"/>
      <c r="E1878" s="32" t="str">
        <f>IFERROR(_xlfn.XLOOKUP($B1878,Insumo[DESCRIPCION],Insumo[VALOR],,0),"")</f>
        <v/>
      </c>
      <c r="F1878" s="33"/>
      <c r="G1878" s="34" t="str">
        <f>IFERROR(IF(F1878&gt;=0,D1878*E1878*(1+F1878/100),ABS(D1878*E1878/F1878)),"")</f>
        <v/>
      </c>
      <c r="H1878" s="43" t="str">
        <f>IFERROR(G1878*E1871,"")</f>
        <v/>
      </c>
    </row>
    <row r="1879" spans="1:8">
      <c r="A1879" s="21"/>
      <c r="B1879" s="22" t="s">
        <v>3731</v>
      </c>
      <c r="C1879" s="23"/>
      <c r="D1879" s="24"/>
      <c r="E1879" s="25"/>
      <c r="F1879" s="26"/>
      <c r="G1879" s="27">
        <f>SUM(G1880:G1882)</f>
        <v>5627.9825777500018</v>
      </c>
      <c r="H1879" s="44">
        <f>G1879*E1871</f>
        <v>0</v>
      </c>
    </row>
    <row r="1880" spans="1:8">
      <c r="A1880" s="28"/>
      <c r="B1880" s="29" t="s">
        <v>3626</v>
      </c>
      <c r="C1880" s="30" t="str">
        <f>IFERROR(_xlfn.XLOOKUP(B1880,Equipo[DESCRIPCION],Equipo[UND],,0),"")</f>
        <v>%MO</v>
      </c>
      <c r="D1880" s="31">
        <v>0.05</v>
      </c>
      <c r="E1880" s="32">
        <f>IF(C1880="%MO",G1886,IFERROR(_xlfn.XLOOKUP($B1880,Equipo[DESCRIPCION],Equipo[VALOR],,0),""))</f>
        <v>112559.65155500003</v>
      </c>
      <c r="F1880" s="33"/>
      <c r="G1880" s="34">
        <f>IFERROR(IF(F1880&gt;=0,D1880*E1880*(1+F1880/100),ABS(D1880*E1880/F1880)),"")</f>
        <v>5627.9825777500018</v>
      </c>
      <c r="H1880" s="43">
        <f>IFERROR(G1880*E1871,"")</f>
        <v>0</v>
      </c>
    </row>
    <row r="1881" spans="1:8">
      <c r="A1881" s="28"/>
      <c r="B1881" s="29"/>
      <c r="C1881" s="30" t="str">
        <f>IFERROR(_xlfn.XLOOKUP(B1881,Equipo[DESCRIPCION],Equipo[UND],,0),"")</f>
        <v/>
      </c>
      <c r="D1881" s="31"/>
      <c r="E1881" s="32" t="str">
        <f>IF(C1881="%MO",G1886,IFERROR(_xlfn.XLOOKUP($B1881,Equipo[DESCRIPCION],Equipo[VALOR],,0),""))</f>
        <v/>
      </c>
      <c r="F1881" s="33"/>
      <c r="G1881" s="34" t="str">
        <f>IFERROR(IF(F1881&gt;=0,D1881*E1881*(1+F1881/100),ABS(D1881*E1881/F1881)),"")</f>
        <v/>
      </c>
      <c r="H1881" s="43" t="str">
        <f>IFERROR(G1881*E1871,"")</f>
        <v/>
      </c>
    </row>
    <row r="1882" spans="1:8">
      <c r="A1882" s="28"/>
      <c r="B1882" s="29"/>
      <c r="C1882" s="30" t="str">
        <f>IFERROR(_xlfn.XLOOKUP(B1882,Equipo[DESCRIPCION],Equipo[UND],,0),"")</f>
        <v/>
      </c>
      <c r="D1882" s="31"/>
      <c r="E1882" s="32" t="str">
        <f>IF(C1882="%MO",G1886,IFERROR(_xlfn.XLOOKUP($B1882,Equipo[DESCRIPCION],Equipo[VALOR],,0),""))</f>
        <v/>
      </c>
      <c r="F1882" s="33"/>
      <c r="G1882" s="34" t="str">
        <f>IFERROR(IF(F1882&gt;=0,D1882*E1882*(1+F1882/100),ABS(D1882*E1882/F1882)),"")</f>
        <v/>
      </c>
      <c r="H1882" s="43" t="str">
        <f>IFERROR(G1882*E1871,"")</f>
        <v/>
      </c>
    </row>
    <row r="1883" spans="1:8">
      <c r="A1883" s="21"/>
      <c r="B1883" s="22" t="s">
        <v>2533</v>
      </c>
      <c r="C1883" s="23"/>
      <c r="D1883" s="24"/>
      <c r="E1883" s="25"/>
      <c r="F1883" s="26"/>
      <c r="G1883" s="27">
        <f>SUM(G1884:G1885)</f>
        <v>0</v>
      </c>
      <c r="H1883" s="44">
        <f>G1883*E1871</f>
        <v>0</v>
      </c>
    </row>
    <row r="1884" spans="1:8">
      <c r="A1884" s="28"/>
      <c r="B1884" s="29"/>
      <c r="C1884" s="30" t="str">
        <f>IFERROR(_xlfn.XLOOKUP(B1884,Transporte[DESCRIPCION],Transporte[UND],,0),"")</f>
        <v/>
      </c>
      <c r="D1884" s="31"/>
      <c r="E1884" s="32" t="str">
        <f>IFERROR(_xlfn.XLOOKUP($B1884,Transporte[DESCRIPCION],Transporte[VALOR],,0),"")</f>
        <v/>
      </c>
      <c r="F1884" s="33"/>
      <c r="G1884" s="34" t="str">
        <f>IFERROR(IF(F1884&gt;=0,D1884*E1884*(1+F1884/100),ABS(D1884*E1884/F1884)),"")</f>
        <v/>
      </c>
      <c r="H1884" s="43" t="str">
        <f>IFERROR(G1884*E1871,"")</f>
        <v/>
      </c>
    </row>
    <row r="1885" spans="1:8">
      <c r="A1885" s="28"/>
      <c r="B1885" s="29"/>
      <c r="C1885" s="30" t="str">
        <f>IFERROR(_xlfn.XLOOKUP(B1885,Transporte[DESCRIPCION],Transporte[UND],,0),"")</f>
        <v/>
      </c>
      <c r="D1885" s="31"/>
      <c r="E1885" s="32" t="str">
        <f>IFERROR(_xlfn.XLOOKUP($B1885,Transporte[DESCRIPCION],Transporte[VALOR],,0),"")</f>
        <v/>
      </c>
      <c r="F1885" s="33"/>
      <c r="G1885" s="34" t="str">
        <f>IFERROR(IF(F1885&gt;=0,D1885*E1885*(1+F1885/100),ABS(D1885*E1885/F1885)),"")</f>
        <v/>
      </c>
      <c r="H1885" s="43" t="str">
        <f>IFERROR(G1885*E1871,"")</f>
        <v/>
      </c>
    </row>
    <row r="1886" spans="1:8">
      <c r="A1886" s="21"/>
      <c r="B1886" s="22" t="s">
        <v>3732</v>
      </c>
      <c r="C1886" s="23"/>
      <c r="D1886" s="24"/>
      <c r="E1886" s="25"/>
      <c r="F1886" s="26"/>
      <c r="G1886" s="27">
        <f>SUM(G1887:G1889)</f>
        <v>112559.65155500003</v>
      </c>
      <c r="H1886" s="44">
        <f>G1886*E1871</f>
        <v>0</v>
      </c>
    </row>
    <row r="1887" spans="1:8">
      <c r="A1887" s="28"/>
      <c r="B1887" s="29" t="s">
        <v>3715</v>
      </c>
      <c r="C1887" s="30" t="str">
        <f>IFERROR(_xlfn.XLOOKUP(B1887,MObra[DESCRIPCION],MObra[UN],,0),"")</f>
        <v>día</v>
      </c>
      <c r="D1887" s="31">
        <v>1</v>
      </c>
      <c r="E1887" s="32">
        <f>IFERROR(_xlfn.XLOOKUP($B1887,MObra[DESCRIPCION],MObra[VALOR UNIT],,0),"")</f>
        <v>337678.95466500008</v>
      </c>
      <c r="F1887" s="33">
        <v>-3</v>
      </c>
      <c r="G1887" s="34">
        <f>IFERROR(IF(F1887&gt;=0,D1887*E1887*(1+F1887/100),ABS(D1887*E1887/F1887)),"")</f>
        <v>112559.65155500003</v>
      </c>
      <c r="H1887" s="43">
        <f>IFERROR(G1887*E1871,"")</f>
        <v>0</v>
      </c>
    </row>
    <row r="1888" spans="1:8">
      <c r="A1888" s="28"/>
      <c r="B1888" s="29"/>
      <c r="C1888" s="30" t="str">
        <f t="array" ref="C1888">IFERROR(_xlfn.XLOOKUP(B1888,MObra[[#All],[DESCRIPCION]],MObra[[#All],[UN]],,0),"")</f>
        <v/>
      </c>
      <c r="D1888" s="31"/>
      <c r="E1888" s="32" t="str">
        <f>IFERROR(_xlfn.XLOOKUP($B1888,MObra[DESCRIPCION],MObra[VALOR UNIT],,0),"")</f>
        <v/>
      </c>
      <c r="F1888" s="33"/>
      <c r="G1888" s="34" t="str">
        <f>IFERROR(IF(F1888&gt;=0,D1888*E1888*(1+F1888/100),ABS(D1888*E1888/F1888)),"")</f>
        <v/>
      </c>
      <c r="H1888" s="43" t="str">
        <f>IFERROR(G1888*E1871,"")</f>
        <v/>
      </c>
    </row>
    <row r="1889" spans="1:11">
      <c r="A1889" s="35"/>
      <c r="B1889" s="36"/>
      <c r="C1889" s="37" t="str">
        <f t="array" ref="C1889">IFERROR(_xlfn.XLOOKUP(B1889,MObra[[#All],[DESCRIPCION]],MObra[[#All],[UN]],,0),"")</f>
        <v/>
      </c>
      <c r="D1889" s="38"/>
      <c r="E1889" s="39" t="str">
        <f>IFERROR(_xlfn.XLOOKUP($B1889,MObra[DESCRIPCION],MObra[VALOR UNIT],,0),"")</f>
        <v/>
      </c>
      <c r="F1889" s="40"/>
      <c r="G1889" s="41" t="str">
        <f>IFERROR(IF(F1889&gt;=0,D1889*E1889*(1+F1889/100),ABS(D1889*E1889/F1889)),"")</f>
        <v/>
      </c>
      <c r="H1889" s="42" t="str">
        <f>IFERROR(G1889*E1871,"")</f>
        <v/>
      </c>
    </row>
    <row r="1890" spans="1:11" ht="12.75" customHeight="1" thickTop="1" thickBot="1"/>
    <row r="1891" spans="1:11" ht="13.5" thickTop="1" thickBot="1">
      <c r="A1891" s="6" t="s">
        <v>1065</v>
      </c>
      <c r="B1891" s="7" t="str">
        <f>VLOOKUP($A1891,Presupuesto!$A:$D,2,FALSE())</f>
        <v>Tubería EMT 1/2" instalada, incluye accesorios y soportes</v>
      </c>
      <c r="C1891" s="8" t="str">
        <f>VLOOKUP($A1891,Presupuesto!$A:$D,3,FALSE())</f>
        <v>M</v>
      </c>
      <c r="D1891" s="9"/>
      <c r="E1891" s="10">
        <f>VLOOKUP($A1891,Presupuesto!$A:$D,4,FALSE())</f>
        <v>0</v>
      </c>
      <c r="F1891" s="11" t="s">
        <v>2589</v>
      </c>
      <c r="G1891" s="12">
        <f>SUM(G1893:G1911)/2</f>
        <v>30876.352639950001</v>
      </c>
      <c r="H1891" s="13">
        <f>ROUND(SUM(H1893:H1911),0)/2</f>
        <v>0</v>
      </c>
      <c r="I1891" s="10">
        <f>VLOOKUP(A1891,Presupuesto!$A:$F,6,0)</f>
        <v>0</v>
      </c>
      <c r="J1891" s="10">
        <f>+H1891-I1891</f>
        <v>0</v>
      </c>
      <c r="K1891" s="46">
        <f>+H1891-G1891*E1891</f>
        <v>0</v>
      </c>
    </row>
    <row r="1892" spans="1:11">
      <c r="A1892" s="14"/>
      <c r="B1892" s="15" t="s">
        <v>2586</v>
      </c>
      <c r="C1892" s="15" t="s">
        <v>5</v>
      </c>
      <c r="D1892" s="16" t="s">
        <v>6</v>
      </c>
      <c r="E1892" s="17" t="s">
        <v>7</v>
      </c>
      <c r="F1892" s="18" t="s">
        <v>3728</v>
      </c>
      <c r="G1892" s="19" t="s">
        <v>3729</v>
      </c>
      <c r="H1892" s="20" t="s">
        <v>3797</v>
      </c>
    </row>
    <row r="1893" spans="1:11">
      <c r="A1893" s="21"/>
      <c r="B1893" s="22" t="s">
        <v>3730</v>
      </c>
      <c r="C1893" s="23"/>
      <c r="D1893" s="24"/>
      <c r="E1893" s="25"/>
      <c r="F1893" s="26"/>
      <c r="G1893" s="27">
        <f>SUM(G1894:G1900)</f>
        <v>20745.984</v>
      </c>
      <c r="H1893" s="27">
        <f>IFERROR(G1893*E1891,"")</f>
        <v>0</v>
      </c>
    </row>
    <row r="1894" spans="1:11">
      <c r="A1894" s="28"/>
      <c r="B1894" s="29" t="s">
        <v>3462</v>
      </c>
      <c r="C1894" s="30" t="str">
        <f>IFERROR(_xlfn.XLOOKUP(B1894,Insumo[DESCRIPCION],Insumo[UND],,0),"")</f>
        <v>M</v>
      </c>
      <c r="D1894" s="31">
        <v>1</v>
      </c>
      <c r="E1894" s="32">
        <f>IFERROR(_xlfn.XLOOKUP($B1894,Insumo[DESCRIPCION],Insumo[VALOR],,0),"")</f>
        <v>7934.85</v>
      </c>
      <c r="F1894" s="33"/>
      <c r="G1894" s="34">
        <f>IFERROR(IF(F1894&gt;=0,D1894*E1894*(1+F1894/100),ABS(D1894*E1894/F1894)),"")</f>
        <v>7934.85</v>
      </c>
      <c r="H1894" s="43">
        <f>IFERROR(G1894*E1891,"")</f>
        <v>0</v>
      </c>
    </row>
    <row r="1895" spans="1:11">
      <c r="A1895" s="28"/>
      <c r="B1895" s="29" t="s">
        <v>2913</v>
      </c>
      <c r="C1895" s="30" t="str">
        <f>IFERROR(_xlfn.XLOOKUP(B1895,Insumo[DESCRIPCION],Insumo[UND],,0),"")</f>
        <v>Un</v>
      </c>
      <c r="D1895" s="31">
        <v>0.15</v>
      </c>
      <c r="E1895" s="32">
        <f>IFERROR(_xlfn.XLOOKUP($B1895,Insumo[DESCRIPCION],Insumo[VALOR],,0),"")</f>
        <v>1312.5</v>
      </c>
      <c r="F1895" s="33"/>
      <c r="G1895" s="34">
        <f>IFERROR(IF(F1895&gt;=0,D1895*E1895*(1+F1895/100),ABS(D1895*E1895/F1895)),"")</f>
        <v>196.875</v>
      </c>
      <c r="H1895" s="43">
        <f>IFERROR(G1895*E1891,"")</f>
        <v>0</v>
      </c>
    </row>
    <row r="1896" spans="1:11">
      <c r="A1896" s="28"/>
      <c r="B1896" s="29" t="s">
        <v>2666</v>
      </c>
      <c r="C1896" s="30" t="str">
        <f>IFERROR(_xlfn.XLOOKUP(B1896,Insumo[DESCRIPCION],Insumo[UND],,0),"")</f>
        <v>Un</v>
      </c>
      <c r="D1896" s="31">
        <v>0.33</v>
      </c>
      <c r="E1896" s="32">
        <f>IFERROR(_xlfn.XLOOKUP($B1896,Insumo[DESCRIPCION],Insumo[VALOR],,0),"")</f>
        <v>1207.5</v>
      </c>
      <c r="F1896" s="33"/>
      <c r="G1896" s="34">
        <f>IFERROR(IF(F1896&gt;=0,D1896*E1896*(1+F1896/100),ABS(D1896*E1896/F1896)),"")</f>
        <v>398.47500000000002</v>
      </c>
      <c r="H1896" s="43">
        <f>IFERROR(G1896*E1891,"")</f>
        <v>0</v>
      </c>
    </row>
    <row r="1897" spans="1:11">
      <c r="A1897" s="28"/>
      <c r="B1897" s="29" t="s">
        <v>3518</v>
      </c>
      <c r="C1897" s="30" t="str">
        <f>IFERROR(_xlfn.XLOOKUP(B1897,Insumo[DESCRIPCION],Insumo[UND],,0),"")</f>
        <v>Un</v>
      </c>
      <c r="D1897" s="31">
        <v>0.33</v>
      </c>
      <c r="E1897" s="32">
        <f>IFERROR(_xlfn.XLOOKUP($B1897,Insumo[DESCRIPCION],Insumo[VALOR],,0),"")</f>
        <v>1050</v>
      </c>
      <c r="F1897" s="33"/>
      <c r="G1897" s="34">
        <f>IFERROR(IF(F1897&gt;=0,D1897*E1897*(1+F1897/100),ABS(D1897*E1897/F1897)),"")</f>
        <v>346.5</v>
      </c>
      <c r="H1897" s="43">
        <f>IFERROR(G1897*E1891,"")</f>
        <v>0</v>
      </c>
    </row>
    <row r="1898" spans="1:11">
      <c r="A1898" s="28"/>
      <c r="B1898" s="29" t="s">
        <v>3273</v>
      </c>
      <c r="C1898" s="30" t="str">
        <f>IFERROR(_xlfn.XLOOKUP(B1898,Insumo[DESCRIPCION],Insumo[UND],,0),"")</f>
        <v>Un</v>
      </c>
      <c r="D1898" s="31">
        <v>0.09</v>
      </c>
      <c r="E1898" s="32">
        <f>IFERROR(_xlfn.XLOOKUP($B1898,Insumo[DESCRIPCION],Insumo[VALOR],,0),"")</f>
        <v>14397.6</v>
      </c>
      <c r="F1898" s="33"/>
      <c r="G1898" s="34">
        <f t="shared" ref="G1898:G1899" si="5">IFERROR(IF(F1898&gt;=0,D1898*E1898*(1+F1898/100),ABS(D1898*E1898/F1898)),"")</f>
        <v>1295.7839999999999</v>
      </c>
      <c r="H1898" s="43">
        <f>IFERROR(G1898*E1891,"")</f>
        <v>0</v>
      </c>
    </row>
    <row r="1899" spans="1:11">
      <c r="A1899" s="28"/>
      <c r="B1899" s="29" t="s">
        <v>2981</v>
      </c>
      <c r="C1899" s="30" t="str">
        <f>IFERROR(_xlfn.XLOOKUP(B1899,Insumo[DESCRIPCION],Insumo[UND],,0),"")</f>
        <v>Un</v>
      </c>
      <c r="D1899" s="31">
        <v>2</v>
      </c>
      <c r="E1899" s="32">
        <f>IFERROR(_xlfn.XLOOKUP($B1899,Insumo[DESCRIPCION],Insumo[VALOR],,0),"")</f>
        <v>3921.75</v>
      </c>
      <c r="F1899" s="33"/>
      <c r="G1899" s="34">
        <f t="shared" si="5"/>
        <v>7843.5</v>
      </c>
      <c r="H1899" s="43">
        <f>IFERROR(G1899*E1891,"")</f>
        <v>0</v>
      </c>
    </row>
    <row r="1900" spans="1:11">
      <c r="A1900" s="28"/>
      <c r="B1900" s="29" t="s">
        <v>2833</v>
      </c>
      <c r="C1900" s="30" t="str">
        <f>IFERROR(_xlfn.XLOOKUP(B1900,Insumo[DESCRIPCION],Insumo[UND],,0),"")</f>
        <v>Un</v>
      </c>
      <c r="D1900" s="31">
        <v>4</v>
      </c>
      <c r="E1900" s="32">
        <f>IFERROR(_xlfn.XLOOKUP($B1900,Insumo[DESCRIPCION],Insumo[VALOR],,0),"")</f>
        <v>682.5</v>
      </c>
      <c r="F1900" s="33"/>
      <c r="G1900" s="34">
        <f>IFERROR(IF(F1900&gt;=0,D1900*E1900*(1+F1900/100),ABS(D1900*E1900/F1900)),"")</f>
        <v>2730</v>
      </c>
      <c r="H1900" s="43">
        <f>IFERROR(G1900*E1891,"")</f>
        <v>0</v>
      </c>
    </row>
    <row r="1901" spans="1:11">
      <c r="A1901" s="21"/>
      <c r="B1901" s="22" t="s">
        <v>3731</v>
      </c>
      <c r="C1901" s="23"/>
      <c r="D1901" s="24"/>
      <c r="E1901" s="25"/>
      <c r="F1901" s="26"/>
      <c r="G1901" s="27">
        <f>SUM(G1902:G1904)</f>
        <v>482.39850666428583</v>
      </c>
      <c r="H1901" s="44">
        <f>G1901*E1891</f>
        <v>0</v>
      </c>
    </row>
    <row r="1902" spans="1:11">
      <c r="A1902" s="28"/>
      <c r="B1902" s="29" t="s">
        <v>3626</v>
      </c>
      <c r="C1902" s="30" t="str">
        <f>IFERROR(_xlfn.XLOOKUP(B1902,Equipo[DESCRIPCION],Equipo[UND],,0),"")</f>
        <v>%MO</v>
      </c>
      <c r="D1902" s="31">
        <v>0.05</v>
      </c>
      <c r="E1902" s="32">
        <f>IF(C1902="%MO",G1908,IFERROR(_xlfn.XLOOKUP($B1902,Equipo[DESCRIPCION],Equipo[VALOR],,0),""))</f>
        <v>9647.9701332857167</v>
      </c>
      <c r="F1902" s="33"/>
      <c r="G1902" s="34">
        <f>IFERROR(IF(F1902&gt;=0,D1902*E1902*(1+F1902/100),ABS(D1902*E1902/F1902)),"")</f>
        <v>482.39850666428583</v>
      </c>
      <c r="H1902" s="43">
        <f>IFERROR(G1902*E1891,"")</f>
        <v>0</v>
      </c>
    </row>
    <row r="1903" spans="1:11">
      <c r="A1903" s="28"/>
      <c r="B1903" s="29"/>
      <c r="C1903" s="30" t="str">
        <f>IFERROR(_xlfn.XLOOKUP(B1903,Equipo[DESCRIPCION],Equipo[UND],,0),"")</f>
        <v/>
      </c>
      <c r="D1903" s="31"/>
      <c r="E1903" s="32" t="str">
        <f>IF(C1903="%MO",G1908,IFERROR(_xlfn.XLOOKUP($B1903,Equipo[DESCRIPCION],Equipo[VALOR],,0),""))</f>
        <v/>
      </c>
      <c r="F1903" s="33"/>
      <c r="G1903" s="34" t="str">
        <f>IFERROR(IF(F1903&gt;=0,D1903*E1903*(1+F1903/100),ABS(D1903*E1903/F1903)),"")</f>
        <v/>
      </c>
      <c r="H1903" s="43" t="str">
        <f>IFERROR(G1903*E1891,"")</f>
        <v/>
      </c>
    </row>
    <row r="1904" spans="1:11">
      <c r="A1904" s="28"/>
      <c r="B1904" s="29"/>
      <c r="C1904" s="30" t="str">
        <f>IFERROR(_xlfn.XLOOKUP(B1904,Equipo[DESCRIPCION],Equipo[UND],,0),"")</f>
        <v/>
      </c>
      <c r="D1904" s="31"/>
      <c r="E1904" s="32" t="str">
        <f>IF(C1904="%MO",G1908,IFERROR(_xlfn.XLOOKUP($B1904,Equipo[DESCRIPCION],Equipo[VALOR],,0),""))</f>
        <v/>
      </c>
      <c r="F1904" s="33"/>
      <c r="G1904" s="34" t="str">
        <f>IFERROR(IF(F1904&gt;=0,D1904*E1904*(1+F1904/100),ABS(D1904*E1904/F1904)),"")</f>
        <v/>
      </c>
      <c r="H1904" s="43" t="str">
        <f>IFERROR(G1904*E1891,"")</f>
        <v/>
      </c>
    </row>
    <row r="1905" spans="1:11">
      <c r="A1905" s="21"/>
      <c r="B1905" s="22" t="s">
        <v>2533</v>
      </c>
      <c r="C1905" s="23"/>
      <c r="D1905" s="24"/>
      <c r="E1905" s="25"/>
      <c r="F1905" s="26"/>
      <c r="G1905" s="27">
        <f>SUM(G1906:G1907)</f>
        <v>0</v>
      </c>
      <c r="H1905" s="44">
        <f>G1905*E1891</f>
        <v>0</v>
      </c>
    </row>
    <row r="1906" spans="1:11">
      <c r="A1906" s="28"/>
      <c r="B1906" s="29"/>
      <c r="C1906" s="30" t="str">
        <f>IFERROR(_xlfn.XLOOKUP(B1906,Transporte[DESCRIPCION],Transporte[UND],,0),"")</f>
        <v/>
      </c>
      <c r="D1906" s="31"/>
      <c r="E1906" s="32" t="str">
        <f>IFERROR(_xlfn.XLOOKUP($B1906,Transporte[DESCRIPCION],Transporte[VALOR],,0),"")</f>
        <v/>
      </c>
      <c r="F1906" s="33"/>
      <c r="G1906" s="34" t="str">
        <f>IFERROR(IF(F1906&gt;=0,D1906*E1906*(1+F1906/100),ABS(D1906*E1906/F1906)),"")</f>
        <v/>
      </c>
      <c r="H1906" s="43" t="str">
        <f>IFERROR(G1906*E1891,"")</f>
        <v/>
      </c>
    </row>
    <row r="1907" spans="1:11">
      <c r="A1907" s="28"/>
      <c r="B1907" s="29"/>
      <c r="C1907" s="30" t="str">
        <f>IFERROR(_xlfn.XLOOKUP(B1907,Transporte[DESCRIPCION],Transporte[UND],,0),"")</f>
        <v/>
      </c>
      <c r="D1907" s="31"/>
      <c r="E1907" s="32" t="str">
        <f>IFERROR(_xlfn.XLOOKUP($B1907,Transporte[DESCRIPCION],Transporte[VALOR],,0),"")</f>
        <v/>
      </c>
      <c r="F1907" s="33"/>
      <c r="G1907" s="34" t="str">
        <f>IFERROR(IF(F1907&gt;=0,D1907*E1907*(1+F1907/100),ABS(D1907*E1907/F1907)),"")</f>
        <v/>
      </c>
      <c r="H1907" s="43" t="str">
        <f>IFERROR(G1907*E1891,"")</f>
        <v/>
      </c>
    </row>
    <row r="1908" spans="1:11">
      <c r="A1908" s="21"/>
      <c r="B1908" s="22" t="s">
        <v>3732</v>
      </c>
      <c r="C1908" s="23"/>
      <c r="D1908" s="24"/>
      <c r="E1908" s="25"/>
      <c r="F1908" s="26"/>
      <c r="G1908" s="27">
        <f>SUM(G1909:G1911)</f>
        <v>9647.9701332857167</v>
      </c>
      <c r="H1908" s="44">
        <f>G1908*E1891</f>
        <v>0</v>
      </c>
    </row>
    <row r="1909" spans="1:11">
      <c r="A1909" s="28"/>
      <c r="B1909" s="29" t="s">
        <v>3715</v>
      </c>
      <c r="C1909" s="30" t="str">
        <f>IFERROR(_xlfn.XLOOKUP(B1909,MObra[DESCRIPCION],MObra[UN],,0),"")</f>
        <v>día</v>
      </c>
      <c r="D1909" s="31">
        <v>1</v>
      </c>
      <c r="E1909" s="32">
        <f>IFERROR(_xlfn.XLOOKUP($B1909,MObra[DESCRIPCION],MObra[VALOR UNIT],,0),"")</f>
        <v>337678.95466500008</v>
      </c>
      <c r="F1909" s="33">
        <v>-35</v>
      </c>
      <c r="G1909" s="34">
        <f>IFERROR(IF(F1909&gt;=0,D1909*E1909*(1+F1909/100),ABS(D1909*E1909/F1909)),"")</f>
        <v>9647.9701332857167</v>
      </c>
      <c r="H1909" s="43">
        <f>IFERROR(G1909*E1891,"")</f>
        <v>0</v>
      </c>
    </row>
    <row r="1910" spans="1:11">
      <c r="A1910" s="28"/>
      <c r="B1910" s="29"/>
      <c r="C1910" s="30" t="str">
        <f t="array" ref="C1910">IFERROR(_xlfn.XLOOKUP(B1910,MObra[[#All],[DESCRIPCION]],MObra[[#All],[UN]],,0),"")</f>
        <v/>
      </c>
      <c r="D1910" s="31"/>
      <c r="E1910" s="32" t="str">
        <f>IFERROR(_xlfn.XLOOKUP($B1910,MObra[DESCRIPCION],MObra[VALOR UNIT],,0),"")</f>
        <v/>
      </c>
      <c r="F1910" s="33"/>
      <c r="G1910" s="34" t="str">
        <f>IFERROR(IF(F1910&gt;=0,D1910*E1910*(1+F1910/100),ABS(D1910*E1910/F1910)),"")</f>
        <v/>
      </c>
      <c r="H1910" s="43" t="str">
        <f>IFERROR(G1910*E1891,"")</f>
        <v/>
      </c>
    </row>
    <row r="1911" spans="1:11">
      <c r="A1911" s="35"/>
      <c r="B1911" s="36"/>
      <c r="C1911" s="37" t="str">
        <f t="array" ref="C1911">IFERROR(_xlfn.XLOOKUP(B1911,MObra[[#All],[DESCRIPCION]],MObra[[#All],[UN]],,0),"")</f>
        <v/>
      </c>
      <c r="D1911" s="38"/>
      <c r="E1911" s="39" t="str">
        <f>IFERROR(_xlfn.XLOOKUP($B1911,MObra[DESCRIPCION],MObra[VALOR UNIT],,0),"")</f>
        <v/>
      </c>
      <c r="F1911" s="40"/>
      <c r="G1911" s="41" t="str">
        <f>IFERROR(IF(F1911&gt;=0,D1911*E1911*(1+F1911/100),ABS(D1911*E1911/F1911)),"")</f>
        <v/>
      </c>
      <c r="H1911" s="42" t="str">
        <f>IFERROR(G1911*E1891,"")</f>
        <v/>
      </c>
    </row>
    <row r="1912" spans="1:11" ht="12.75" customHeight="1"/>
    <row r="1913" spans="1:11" ht="13.5" thickTop="1" thickBot="1">
      <c r="A1913" s="6" t="s">
        <v>1067</v>
      </c>
      <c r="B1913" s="7" t="str">
        <f>VLOOKUP($A1913,Presupuesto!$A:$D,2,FALSE())</f>
        <v>Tubería EMT 3/4" instalada, incluye accesorios y soportes</v>
      </c>
      <c r="C1913" s="8" t="str">
        <f>VLOOKUP($A1913,Presupuesto!$A:$D,3,FALSE())</f>
        <v>M</v>
      </c>
      <c r="D1913" s="9"/>
      <c r="E1913" s="10">
        <f>VLOOKUP($A1913,Presupuesto!$A:$D,4,FALSE())</f>
        <v>0</v>
      </c>
      <c r="F1913" s="11" t="s">
        <v>2589</v>
      </c>
      <c r="G1913" s="12">
        <f>SUM(G1915:G1933)/2</f>
        <v>35017.96787570454</v>
      </c>
      <c r="H1913" s="13">
        <f>ROUND(SUM(H1915:H1933),0)/2</f>
        <v>0</v>
      </c>
      <c r="I1913" s="10">
        <f>VLOOKUP(A1913,Presupuesto!$A:$F,6,0)</f>
        <v>0</v>
      </c>
      <c r="J1913" s="10">
        <f>+H1913-I1913</f>
        <v>0</v>
      </c>
      <c r="K1913" s="46">
        <f>+H1913-G1913*E1913</f>
        <v>0</v>
      </c>
    </row>
    <row r="1914" spans="1:11" ht="13.15" thickTop="1">
      <c r="A1914" s="14"/>
      <c r="B1914" s="15" t="s">
        <v>2586</v>
      </c>
      <c r="C1914" s="15" t="s">
        <v>5</v>
      </c>
      <c r="D1914" s="16" t="s">
        <v>6</v>
      </c>
      <c r="E1914" s="17" t="s">
        <v>7</v>
      </c>
      <c r="F1914" s="18" t="s">
        <v>3728</v>
      </c>
      <c r="G1914" s="19" t="s">
        <v>3729</v>
      </c>
      <c r="H1914" s="20" t="s">
        <v>3797</v>
      </c>
    </row>
    <row r="1915" spans="1:11">
      <c r="A1915" s="21"/>
      <c r="B1915" s="22" t="s">
        <v>3730</v>
      </c>
      <c r="C1915" s="23"/>
      <c r="D1915" s="24"/>
      <c r="E1915" s="25"/>
      <c r="F1915" s="26"/>
      <c r="G1915" s="27">
        <f>SUM(G1916:G1922)</f>
        <v>24273.637499999997</v>
      </c>
      <c r="H1915" s="27">
        <f>IFERROR(G1915*E1913,"")</f>
        <v>0</v>
      </c>
    </row>
    <row r="1916" spans="1:11">
      <c r="A1916" s="28"/>
      <c r="B1916" s="29" t="s">
        <v>3463</v>
      </c>
      <c r="C1916" s="30" t="str">
        <f>IFERROR(_xlfn.XLOOKUP(B1916,Insumo[DESCRIPCION],Insumo[UND],,0),"")</f>
        <v>M</v>
      </c>
      <c r="D1916" s="31">
        <v>1</v>
      </c>
      <c r="E1916" s="32">
        <f>IFERROR(_xlfn.XLOOKUP($B1916,Insumo[DESCRIPCION],Insumo[VALOR],,0),"")</f>
        <v>10798.2</v>
      </c>
      <c r="F1916" s="33"/>
      <c r="G1916" s="34">
        <f>IFERROR(IF(F1916&gt;=0,D1916*E1916*(1+F1916/100),ABS(D1916*E1916/F1916)),"")</f>
        <v>10798.2</v>
      </c>
      <c r="H1916" s="43">
        <f>IFERROR(G1916*E1913,"")</f>
        <v>0</v>
      </c>
    </row>
    <row r="1917" spans="1:11">
      <c r="A1917" s="28"/>
      <c r="B1917" s="29" t="s">
        <v>2914</v>
      </c>
      <c r="C1917" s="30" t="str">
        <f>IFERROR(_xlfn.XLOOKUP(B1917,Insumo[DESCRIPCION],Insumo[UND],,0),"")</f>
        <v>Un</v>
      </c>
      <c r="D1917" s="31">
        <v>0.15</v>
      </c>
      <c r="E1917" s="32">
        <f>IFERROR(_xlfn.XLOOKUP($B1917,Insumo[DESCRIPCION],Insumo[VALOR],,0),"")</f>
        <v>2625</v>
      </c>
      <c r="F1917" s="33"/>
      <c r="G1917" s="34">
        <f>IFERROR(IF(F1917&gt;=0,D1917*E1917*(1+F1917/100),ABS(D1917*E1917/F1917)),"")</f>
        <v>393.75</v>
      </c>
      <c r="H1917" s="43">
        <f>IFERROR(G1917*E1913,"")</f>
        <v>0</v>
      </c>
    </row>
    <row r="1918" spans="1:11">
      <c r="A1918" s="28"/>
      <c r="B1918" s="29" t="s">
        <v>2667</v>
      </c>
      <c r="C1918" s="30" t="str">
        <f>IFERROR(_xlfn.XLOOKUP(B1918,Insumo[DESCRIPCION],Insumo[UND],,0),"")</f>
        <v>Un</v>
      </c>
      <c r="D1918" s="31">
        <v>0.33</v>
      </c>
      <c r="E1918" s="32">
        <f>IFERROR(_xlfn.XLOOKUP($B1918,Insumo[DESCRIPCION],Insumo[VALOR],,0),"")</f>
        <v>2310</v>
      </c>
      <c r="F1918" s="33"/>
      <c r="G1918" s="34">
        <f>IFERROR(IF(F1918&gt;=0,D1918*E1918*(1+F1918/100),ABS(D1918*E1918/F1918)),"")</f>
        <v>762.30000000000007</v>
      </c>
      <c r="H1918" s="43">
        <f>IFERROR(G1918*E1913,"")</f>
        <v>0</v>
      </c>
    </row>
    <row r="1919" spans="1:11">
      <c r="A1919" s="28"/>
      <c r="B1919" s="29" t="s">
        <v>3519</v>
      </c>
      <c r="C1919" s="30" t="str">
        <f>IFERROR(_xlfn.XLOOKUP(B1919,Insumo[DESCRIPCION],Insumo[UND],,0),"")</f>
        <v>Un</v>
      </c>
      <c r="D1919" s="31">
        <v>0.33</v>
      </c>
      <c r="E1919" s="32">
        <f>IFERROR(_xlfn.XLOOKUP($B1919,Insumo[DESCRIPCION],Insumo[VALOR],,0),"")</f>
        <v>1363.95</v>
      </c>
      <c r="F1919" s="33"/>
      <c r="G1919" s="34">
        <f>IFERROR(IF(F1919&gt;=0,D1919*E1919*(1+F1919/100),ABS(D1919*E1919/F1919)),"")</f>
        <v>450.10350000000005</v>
      </c>
      <c r="H1919" s="43">
        <f>IFERROR(G1919*E1913,"")</f>
        <v>0</v>
      </c>
    </row>
    <row r="1920" spans="1:11">
      <c r="A1920" s="28"/>
      <c r="B1920" s="29" t="s">
        <v>3273</v>
      </c>
      <c r="C1920" s="30" t="str">
        <f>IFERROR(_xlfn.XLOOKUP(B1920,Insumo[DESCRIPCION],Insumo[UND],,0),"")</f>
        <v>Un</v>
      </c>
      <c r="D1920" s="31">
        <v>0.09</v>
      </c>
      <c r="E1920" s="32">
        <f>IFERROR(_xlfn.XLOOKUP($B1920,Insumo[DESCRIPCION],Insumo[VALOR],,0),"")</f>
        <v>14397.6</v>
      </c>
      <c r="F1920" s="33"/>
      <c r="G1920" s="34">
        <f t="shared" ref="G1920:G1921" si="6">IFERROR(IF(F1920&gt;=0,D1920*E1920*(1+F1920/100),ABS(D1920*E1920/F1920)),"")</f>
        <v>1295.7839999999999</v>
      </c>
      <c r="H1920" s="43">
        <f>IFERROR(G1920*E1913,"")</f>
        <v>0</v>
      </c>
    </row>
    <row r="1921" spans="1:11">
      <c r="A1921" s="28"/>
      <c r="B1921" s="29" t="s">
        <v>2981</v>
      </c>
      <c r="C1921" s="30" t="str">
        <f>IFERROR(_xlfn.XLOOKUP(B1921,Insumo[DESCRIPCION],Insumo[UND],,0),"")</f>
        <v>Un</v>
      </c>
      <c r="D1921" s="31">
        <v>2</v>
      </c>
      <c r="E1921" s="32">
        <f>IFERROR(_xlfn.XLOOKUP($B1921,Insumo[DESCRIPCION],Insumo[VALOR],,0),"")</f>
        <v>3921.75</v>
      </c>
      <c r="F1921" s="33"/>
      <c r="G1921" s="34">
        <f t="shared" si="6"/>
        <v>7843.5</v>
      </c>
      <c r="H1921" s="43">
        <f>IFERROR(G1921*E1913,"")</f>
        <v>0</v>
      </c>
    </row>
    <row r="1922" spans="1:11">
      <c r="A1922" s="28"/>
      <c r="B1922" s="29" t="s">
        <v>2833</v>
      </c>
      <c r="C1922" s="30" t="str">
        <f>IFERROR(_xlfn.XLOOKUP(B1922,Insumo[DESCRIPCION],Insumo[UND],,0),"")</f>
        <v>Un</v>
      </c>
      <c r="D1922" s="31">
        <v>4</v>
      </c>
      <c r="E1922" s="32">
        <f>IFERROR(_xlfn.XLOOKUP($B1922,Insumo[DESCRIPCION],Insumo[VALOR],,0),"")</f>
        <v>682.5</v>
      </c>
      <c r="F1922" s="33"/>
      <c r="G1922" s="34">
        <f>IFERROR(IF(F1922&gt;=0,D1922*E1922*(1+F1922/100),ABS(D1922*E1922/F1922)),"")</f>
        <v>2730</v>
      </c>
      <c r="H1922" s="43">
        <f>IFERROR(G1922*E1913,"")</f>
        <v>0</v>
      </c>
    </row>
    <row r="1923" spans="1:11">
      <c r="A1923" s="21"/>
      <c r="B1923" s="22" t="s">
        <v>3731</v>
      </c>
      <c r="C1923" s="23"/>
      <c r="D1923" s="24"/>
      <c r="E1923" s="25"/>
      <c r="F1923" s="26"/>
      <c r="G1923" s="27">
        <f>SUM(G1924:G1926)</f>
        <v>511.63477979545473</v>
      </c>
      <c r="H1923" s="44">
        <f>G1923*E1913</f>
        <v>0</v>
      </c>
    </row>
    <row r="1924" spans="1:11">
      <c r="A1924" s="28"/>
      <c r="B1924" s="29" t="s">
        <v>3626</v>
      </c>
      <c r="C1924" s="30" t="str">
        <f>IFERROR(_xlfn.XLOOKUP(B1924,Equipo[DESCRIPCION],Equipo[UND],,0),"")</f>
        <v>%MO</v>
      </c>
      <c r="D1924" s="31">
        <v>0.05</v>
      </c>
      <c r="E1924" s="32">
        <f>IF(C1924="%MO",G1930,IFERROR(_xlfn.XLOOKUP($B1924,Equipo[DESCRIPCION],Equipo[VALOR],,0),""))</f>
        <v>10232.695595909094</v>
      </c>
      <c r="F1924" s="33"/>
      <c r="G1924" s="34">
        <f>IFERROR(IF(F1924&gt;=0,D1924*E1924*(1+F1924/100),ABS(D1924*E1924/F1924)),"")</f>
        <v>511.63477979545473</v>
      </c>
      <c r="H1924" s="43">
        <f>IFERROR(G1924*E1913,"")</f>
        <v>0</v>
      </c>
    </row>
    <row r="1925" spans="1:11">
      <c r="A1925" s="28"/>
      <c r="B1925" s="29"/>
      <c r="C1925" s="30" t="str">
        <f>IFERROR(_xlfn.XLOOKUP(B1925,Equipo[DESCRIPCION],Equipo[UND],,0),"")</f>
        <v/>
      </c>
      <c r="D1925" s="31"/>
      <c r="E1925" s="32" t="str">
        <f>IF(C1925="%MO",G1930,IFERROR(_xlfn.XLOOKUP($B1925,Equipo[DESCRIPCION],Equipo[VALOR],,0),""))</f>
        <v/>
      </c>
      <c r="F1925" s="33"/>
      <c r="G1925" s="34" t="str">
        <f>IFERROR(IF(F1925&gt;=0,D1925*E1925*(1+F1925/100),ABS(D1925*E1925/F1925)),"")</f>
        <v/>
      </c>
      <c r="H1925" s="43" t="str">
        <f>IFERROR(G1925*E1913,"")</f>
        <v/>
      </c>
    </row>
    <row r="1926" spans="1:11">
      <c r="A1926" s="28"/>
      <c r="B1926" s="29"/>
      <c r="C1926" s="30" t="str">
        <f>IFERROR(_xlfn.XLOOKUP(B1926,Equipo[DESCRIPCION],Equipo[UND],,0),"")</f>
        <v/>
      </c>
      <c r="D1926" s="31"/>
      <c r="E1926" s="32" t="str">
        <f>IF(C1926="%MO",G1930,IFERROR(_xlfn.XLOOKUP($B1926,Equipo[DESCRIPCION],Equipo[VALOR],,0),""))</f>
        <v/>
      </c>
      <c r="F1926" s="33"/>
      <c r="G1926" s="34" t="str">
        <f>IFERROR(IF(F1926&gt;=0,D1926*E1926*(1+F1926/100),ABS(D1926*E1926/F1926)),"")</f>
        <v/>
      </c>
      <c r="H1926" s="43" t="str">
        <f>IFERROR(G1926*E1913,"")</f>
        <v/>
      </c>
    </row>
    <row r="1927" spans="1:11">
      <c r="A1927" s="21"/>
      <c r="B1927" s="22" t="s">
        <v>2533</v>
      </c>
      <c r="C1927" s="23"/>
      <c r="D1927" s="24"/>
      <c r="E1927" s="25"/>
      <c r="F1927" s="26"/>
      <c r="G1927" s="27">
        <f>SUM(G1928:G1929)</f>
        <v>0</v>
      </c>
      <c r="H1927" s="44">
        <f>G1927*E1913</f>
        <v>0</v>
      </c>
    </row>
    <row r="1928" spans="1:11">
      <c r="A1928" s="28"/>
      <c r="B1928" s="29"/>
      <c r="C1928" s="30" t="str">
        <f>IFERROR(_xlfn.XLOOKUP(B1928,Transporte[DESCRIPCION],Transporte[UND],,0),"")</f>
        <v/>
      </c>
      <c r="D1928" s="31"/>
      <c r="E1928" s="32" t="str">
        <f>IFERROR(_xlfn.XLOOKUP($B1928,Transporte[DESCRIPCION],Transporte[VALOR],,0),"")</f>
        <v/>
      </c>
      <c r="F1928" s="33"/>
      <c r="G1928" s="34" t="str">
        <f>IFERROR(IF(F1928&gt;=0,D1928*E1928*(1+F1928/100),ABS(D1928*E1928/F1928)),"")</f>
        <v/>
      </c>
      <c r="H1928" s="43" t="str">
        <f>IFERROR(G1928*E1913,"")</f>
        <v/>
      </c>
    </row>
    <row r="1929" spans="1:11">
      <c r="A1929" s="28"/>
      <c r="B1929" s="29"/>
      <c r="C1929" s="30" t="str">
        <f>IFERROR(_xlfn.XLOOKUP(B1929,Transporte[DESCRIPCION],Transporte[UND],,0),"")</f>
        <v/>
      </c>
      <c r="D1929" s="31"/>
      <c r="E1929" s="32" t="str">
        <f>IFERROR(_xlfn.XLOOKUP($B1929,Transporte[DESCRIPCION],Transporte[VALOR],,0),"")</f>
        <v/>
      </c>
      <c r="F1929" s="33"/>
      <c r="G1929" s="34" t="str">
        <f>IFERROR(IF(F1929&gt;=0,D1929*E1929*(1+F1929/100),ABS(D1929*E1929/F1929)),"")</f>
        <v/>
      </c>
      <c r="H1929" s="43" t="str">
        <f>IFERROR(G1929*E1913,"")</f>
        <v/>
      </c>
    </row>
    <row r="1930" spans="1:11">
      <c r="A1930" s="21"/>
      <c r="B1930" s="22" t="s">
        <v>3732</v>
      </c>
      <c r="C1930" s="23"/>
      <c r="D1930" s="24"/>
      <c r="E1930" s="25"/>
      <c r="F1930" s="26"/>
      <c r="G1930" s="27">
        <f>SUM(G1931:G1933)</f>
        <v>10232.695595909094</v>
      </c>
      <c r="H1930" s="44">
        <f>G1930*E1913</f>
        <v>0</v>
      </c>
    </row>
    <row r="1931" spans="1:11">
      <c r="A1931" s="28"/>
      <c r="B1931" s="29" t="s">
        <v>3715</v>
      </c>
      <c r="C1931" s="30" t="str">
        <f>IFERROR(_xlfn.XLOOKUP(B1931,MObra[DESCRIPCION],MObra[UN],,0),"")</f>
        <v>día</v>
      </c>
      <c r="D1931" s="31">
        <v>1</v>
      </c>
      <c r="E1931" s="32">
        <f>IFERROR(_xlfn.XLOOKUP($B1931,MObra[DESCRIPCION],MObra[VALOR UNIT],,0),"")</f>
        <v>337678.95466500008</v>
      </c>
      <c r="F1931" s="33">
        <v>-33</v>
      </c>
      <c r="G1931" s="34">
        <f>IFERROR(IF(F1931&gt;=0,D1931*E1931*(1+F1931/100),ABS(D1931*E1931/F1931)),"")</f>
        <v>10232.695595909094</v>
      </c>
      <c r="H1931" s="43">
        <f>IFERROR(G1931*E1913,"")</f>
        <v>0</v>
      </c>
    </row>
    <row r="1932" spans="1:11">
      <c r="A1932" s="28"/>
      <c r="B1932" s="29"/>
      <c r="C1932" s="30" t="str">
        <f t="array" ref="C1932">IFERROR(_xlfn.XLOOKUP(B1932,MObra[[#All],[DESCRIPCION]],MObra[[#All],[UN]],,0),"")</f>
        <v/>
      </c>
      <c r="D1932" s="31"/>
      <c r="E1932" s="32" t="str">
        <f>IFERROR(_xlfn.XLOOKUP($B1932,MObra[DESCRIPCION],MObra[VALOR UNIT],,0),"")</f>
        <v/>
      </c>
      <c r="F1932" s="33"/>
      <c r="G1932" s="34" t="str">
        <f>IFERROR(IF(F1932&gt;=0,D1932*E1932*(1+F1932/100),ABS(D1932*E1932/F1932)),"")</f>
        <v/>
      </c>
      <c r="H1932" s="43" t="str">
        <f>IFERROR(G1932*E1913,"")</f>
        <v/>
      </c>
    </row>
    <row r="1933" spans="1:11" ht="13.15" thickBot="1">
      <c r="A1933" s="35"/>
      <c r="B1933" s="36"/>
      <c r="C1933" s="37" t="str">
        <f t="array" ref="C1933">IFERROR(_xlfn.XLOOKUP(B1933,MObra[[#All],[DESCRIPCION]],MObra[[#All],[UN]],,0),"")</f>
        <v/>
      </c>
      <c r="D1933" s="38"/>
      <c r="E1933" s="39" t="str">
        <f>IFERROR(_xlfn.XLOOKUP($B1933,MObra[DESCRIPCION],MObra[VALOR UNIT],,0),"")</f>
        <v/>
      </c>
      <c r="F1933" s="40"/>
      <c r="G1933" s="41" t="str">
        <f>IFERROR(IF(F1933&gt;=0,D1933*E1933*(1+F1933/100),ABS(D1933*E1933/F1933)),"")</f>
        <v/>
      </c>
      <c r="H1933" s="42" t="str">
        <f>IFERROR(G1933*E1913,"")</f>
        <v/>
      </c>
    </row>
    <row r="1934" spans="1:11" ht="12.75" customHeight="1" thickTop="1" thickBot="1"/>
    <row r="1935" spans="1:11" ht="13.5" thickTop="1" thickBot="1">
      <c r="A1935" s="6" t="s">
        <v>1069</v>
      </c>
      <c r="B1935" s="7" t="str">
        <f>VLOOKUP($A1935,Presupuesto!$A:$D,2,FALSE())</f>
        <v>Tubería EMT 1" instalada, incluye accesorios y soportes</v>
      </c>
      <c r="C1935" s="8" t="str">
        <f>VLOOKUP($A1935,Presupuesto!$A:$D,3,FALSE())</f>
        <v>M</v>
      </c>
      <c r="D1935" s="9"/>
      <c r="E1935" s="10">
        <f>VLOOKUP($A1935,Presupuesto!$A:$D,4,FALSE())</f>
        <v>0</v>
      </c>
      <c r="F1935" s="11" t="s">
        <v>2589</v>
      </c>
      <c r="G1935" s="12">
        <f>SUM(G1937:G1955)/2</f>
        <v>40290.122413274999</v>
      </c>
      <c r="H1935" s="13">
        <f>ROUND(SUM(H1937:H1955),0)/2</f>
        <v>0</v>
      </c>
      <c r="I1935" s="10">
        <f>VLOOKUP(A1935,Presupuesto!$A:$F,6,0)</f>
        <v>0</v>
      </c>
      <c r="J1935" s="10">
        <f>+H1935-I1935</f>
        <v>0</v>
      </c>
      <c r="K1935" s="46">
        <f>+H1935-G1935*E1935</f>
        <v>0</v>
      </c>
    </row>
    <row r="1936" spans="1:11">
      <c r="A1936" s="14"/>
      <c r="B1936" s="15" t="s">
        <v>2586</v>
      </c>
      <c r="C1936" s="15" t="s">
        <v>5</v>
      </c>
      <c r="D1936" s="16" t="s">
        <v>6</v>
      </c>
      <c r="E1936" s="17" t="s">
        <v>7</v>
      </c>
      <c r="F1936" s="18" t="s">
        <v>3728</v>
      </c>
      <c r="G1936" s="19" t="s">
        <v>3729</v>
      </c>
      <c r="H1936" s="20" t="s">
        <v>3797</v>
      </c>
    </row>
    <row r="1937" spans="1:8">
      <c r="A1937" s="21"/>
      <c r="B1937" s="22" t="s">
        <v>3730</v>
      </c>
      <c r="C1937" s="23"/>
      <c r="D1937" s="24"/>
      <c r="E1937" s="25"/>
      <c r="F1937" s="26"/>
      <c r="G1937" s="27">
        <f>SUM(G1938:G1944)</f>
        <v>28471.359</v>
      </c>
      <c r="H1937" s="27">
        <f>IFERROR(G1937*E1935,"")</f>
        <v>0</v>
      </c>
    </row>
    <row r="1938" spans="1:8">
      <c r="A1938" s="28"/>
      <c r="B1938" s="29" t="s">
        <v>3461</v>
      </c>
      <c r="C1938" s="30" t="str">
        <f>IFERROR(_xlfn.XLOOKUP(B1938,Insumo[DESCRIPCION],Insumo[UND],,0),"")</f>
        <v>M</v>
      </c>
      <c r="D1938" s="31">
        <v>1</v>
      </c>
      <c r="E1938" s="32">
        <f>IFERROR(_xlfn.XLOOKUP($B1938,Insumo[DESCRIPCION],Insumo[VALOR],,0),"")</f>
        <v>14017.5</v>
      </c>
      <c r="F1938" s="33"/>
      <c r="G1938" s="34">
        <f>IFERROR(IF(F1938&gt;=0,D1938*E1938*(1+F1938/100),ABS(D1938*E1938/F1938)),"")</f>
        <v>14017.5</v>
      </c>
      <c r="H1938" s="43">
        <f>IFERROR(G1938*E1935,"")</f>
        <v>0</v>
      </c>
    </row>
    <row r="1939" spans="1:8">
      <c r="A1939" s="28"/>
      <c r="B1939" s="29" t="s">
        <v>2915</v>
      </c>
      <c r="C1939" s="30" t="str">
        <f>IFERROR(_xlfn.XLOOKUP(B1939,Insumo[DESCRIPCION],Insumo[UND],,0),"")</f>
        <v>Un</v>
      </c>
      <c r="D1939" s="31">
        <v>0.15</v>
      </c>
      <c r="E1939" s="32">
        <f>IFERROR(_xlfn.XLOOKUP($B1939,Insumo[DESCRIPCION],Insumo[VALOR],,0),"")</f>
        <v>4410</v>
      </c>
      <c r="F1939" s="33"/>
      <c r="G1939" s="34">
        <f>IFERROR(IF(F1939&gt;=0,D1939*E1939*(1+F1939/100),ABS(D1939*E1939/F1939)),"")</f>
        <v>661.5</v>
      </c>
      <c r="H1939" s="43">
        <f>IFERROR(G1939*E1935,"")</f>
        <v>0</v>
      </c>
    </row>
    <row r="1940" spans="1:8">
      <c r="A1940" s="28"/>
      <c r="B1940" s="29" t="s">
        <v>2668</v>
      </c>
      <c r="C1940" s="30" t="str">
        <f>IFERROR(_xlfn.XLOOKUP(B1940,Insumo[DESCRIPCION],Insumo[UND],,0),"")</f>
        <v>Un</v>
      </c>
      <c r="D1940" s="31">
        <v>0.33</v>
      </c>
      <c r="E1940" s="32">
        <f>IFERROR(_xlfn.XLOOKUP($B1940,Insumo[DESCRIPCION],Insumo[VALOR],,0),"")</f>
        <v>3412.5</v>
      </c>
      <c r="F1940" s="33"/>
      <c r="G1940" s="34">
        <f>IFERROR(IF(F1940&gt;=0,D1940*E1940*(1+F1940/100),ABS(D1940*E1940/F1940)),"")</f>
        <v>1126.125</v>
      </c>
      <c r="H1940" s="43">
        <f>IFERROR(G1940*E1935,"")</f>
        <v>0</v>
      </c>
    </row>
    <row r="1941" spans="1:8">
      <c r="A1941" s="28"/>
      <c r="B1941" s="29" t="s">
        <v>3520</v>
      </c>
      <c r="C1941" s="30" t="str">
        <f>IFERROR(_xlfn.XLOOKUP(B1941,Insumo[DESCRIPCION],Insumo[UND],,0),"")</f>
        <v>Un</v>
      </c>
      <c r="D1941" s="31">
        <v>0.33</v>
      </c>
      <c r="E1941" s="32">
        <f>IFERROR(_xlfn.XLOOKUP($B1941,Insumo[DESCRIPCION],Insumo[VALOR],,0),"")</f>
        <v>2415</v>
      </c>
      <c r="F1941" s="33"/>
      <c r="G1941" s="34">
        <f>IFERROR(IF(F1941&gt;=0,D1941*E1941*(1+F1941/100),ABS(D1941*E1941/F1941)),"")</f>
        <v>796.95</v>
      </c>
      <c r="H1941" s="43">
        <f>IFERROR(G1941*E1935,"")</f>
        <v>0</v>
      </c>
    </row>
    <row r="1942" spans="1:8">
      <c r="A1942" s="28"/>
      <c r="B1942" s="29" t="s">
        <v>3273</v>
      </c>
      <c r="C1942" s="30" t="str">
        <f>IFERROR(_xlfn.XLOOKUP(B1942,Insumo[DESCRIPCION],Insumo[UND],,0),"")</f>
        <v>Un</v>
      </c>
      <c r="D1942" s="31">
        <v>0.09</v>
      </c>
      <c r="E1942" s="32">
        <f>IFERROR(_xlfn.XLOOKUP($B1942,Insumo[DESCRIPCION],Insumo[VALOR],,0),"")</f>
        <v>14397.6</v>
      </c>
      <c r="F1942" s="33"/>
      <c r="G1942" s="34">
        <f t="shared" ref="G1942:G1943" si="7">IFERROR(IF(F1942&gt;=0,D1942*E1942*(1+F1942/100),ABS(D1942*E1942/F1942)),"")</f>
        <v>1295.7839999999999</v>
      </c>
      <c r="H1942" s="43">
        <f>IFERROR(G1942*E1935,"")</f>
        <v>0</v>
      </c>
    </row>
    <row r="1943" spans="1:8">
      <c r="A1943" s="28"/>
      <c r="B1943" s="29" t="s">
        <v>2981</v>
      </c>
      <c r="C1943" s="30" t="str">
        <f>IFERROR(_xlfn.XLOOKUP(B1943,Insumo[DESCRIPCION],Insumo[UND],,0),"")</f>
        <v>Un</v>
      </c>
      <c r="D1943" s="31">
        <v>2</v>
      </c>
      <c r="E1943" s="32">
        <f>IFERROR(_xlfn.XLOOKUP($B1943,Insumo[DESCRIPCION],Insumo[VALOR],,0),"")</f>
        <v>3921.75</v>
      </c>
      <c r="F1943" s="33"/>
      <c r="G1943" s="34">
        <f t="shared" si="7"/>
        <v>7843.5</v>
      </c>
      <c r="H1943" s="43">
        <f>IFERROR(G1943*E1935,"")</f>
        <v>0</v>
      </c>
    </row>
    <row r="1944" spans="1:8">
      <c r="A1944" s="28"/>
      <c r="B1944" s="29" t="s">
        <v>2833</v>
      </c>
      <c r="C1944" s="30" t="str">
        <f>IFERROR(_xlfn.XLOOKUP(B1944,Insumo[DESCRIPCION],Insumo[UND],,0),"")</f>
        <v>Un</v>
      </c>
      <c r="D1944" s="31">
        <v>4</v>
      </c>
      <c r="E1944" s="32">
        <f>IFERROR(_xlfn.XLOOKUP($B1944,Insumo[DESCRIPCION],Insumo[VALOR],,0),"")</f>
        <v>682.5</v>
      </c>
      <c r="F1944" s="33"/>
      <c r="G1944" s="34">
        <f>IFERROR(IF(F1944&gt;=0,D1944*E1944*(1+F1944/100),ABS(D1944*E1944/F1944)),"")</f>
        <v>2730</v>
      </c>
      <c r="H1944" s="43">
        <f>IFERROR(G1944*E1935,"")</f>
        <v>0</v>
      </c>
    </row>
    <row r="1945" spans="1:8">
      <c r="A1945" s="21"/>
      <c r="B1945" s="22" t="s">
        <v>3731</v>
      </c>
      <c r="C1945" s="23"/>
      <c r="D1945" s="24"/>
      <c r="E1945" s="25"/>
      <c r="F1945" s="26"/>
      <c r="G1945" s="27">
        <f>SUM(G1946:G1948)</f>
        <v>562.79825777500025</v>
      </c>
      <c r="H1945" s="44">
        <f>G1945*E1935</f>
        <v>0</v>
      </c>
    </row>
    <row r="1946" spans="1:8">
      <c r="A1946" s="28"/>
      <c r="B1946" s="29" t="s">
        <v>3626</v>
      </c>
      <c r="C1946" s="30" t="str">
        <f>IFERROR(_xlfn.XLOOKUP(B1946,Equipo[DESCRIPCION],Equipo[UND],,0),"")</f>
        <v>%MO</v>
      </c>
      <c r="D1946" s="31">
        <v>0.05</v>
      </c>
      <c r="E1946" s="32">
        <f>IF(C1946="%MO",G1952,IFERROR(_xlfn.XLOOKUP($B1946,Equipo[DESCRIPCION],Equipo[VALOR],,0),""))</f>
        <v>11255.965155500004</v>
      </c>
      <c r="F1946" s="33"/>
      <c r="G1946" s="34">
        <f>IFERROR(IF(F1946&gt;=0,D1946*E1946*(1+F1946/100),ABS(D1946*E1946/F1946)),"")</f>
        <v>562.79825777500025</v>
      </c>
      <c r="H1946" s="43">
        <f>IFERROR(G1946*E1935,"")</f>
        <v>0</v>
      </c>
    </row>
    <row r="1947" spans="1:8">
      <c r="A1947" s="28"/>
      <c r="B1947" s="29"/>
      <c r="C1947" s="30" t="str">
        <f>IFERROR(_xlfn.XLOOKUP(B1947,Equipo[DESCRIPCION],Equipo[UND],,0),"")</f>
        <v/>
      </c>
      <c r="D1947" s="31"/>
      <c r="E1947" s="32" t="str">
        <f>IF(C1947="%MO",G1952,IFERROR(_xlfn.XLOOKUP($B1947,Equipo[DESCRIPCION],Equipo[VALOR],,0),""))</f>
        <v/>
      </c>
      <c r="F1947" s="33"/>
      <c r="G1947" s="34" t="str">
        <f>IFERROR(IF(F1947&gt;=0,D1947*E1947*(1+F1947/100),ABS(D1947*E1947/F1947)),"")</f>
        <v/>
      </c>
      <c r="H1947" s="43" t="str">
        <f>IFERROR(G1947*E1935,"")</f>
        <v/>
      </c>
    </row>
    <row r="1948" spans="1:8">
      <c r="A1948" s="28"/>
      <c r="B1948" s="29"/>
      <c r="C1948" s="30" t="str">
        <f>IFERROR(_xlfn.XLOOKUP(B1948,Equipo[DESCRIPCION],Equipo[UND],,0),"")</f>
        <v/>
      </c>
      <c r="D1948" s="31"/>
      <c r="E1948" s="32" t="str">
        <f>IF(C1948="%MO",G1952,IFERROR(_xlfn.XLOOKUP($B1948,Equipo[DESCRIPCION],Equipo[VALOR],,0),""))</f>
        <v/>
      </c>
      <c r="F1948" s="33"/>
      <c r="G1948" s="34" t="str">
        <f>IFERROR(IF(F1948&gt;=0,D1948*E1948*(1+F1948/100),ABS(D1948*E1948/F1948)),"")</f>
        <v/>
      </c>
      <c r="H1948" s="43" t="str">
        <f>IFERROR(G1948*E1935,"")</f>
        <v/>
      </c>
    </row>
    <row r="1949" spans="1:8">
      <c r="A1949" s="21"/>
      <c r="B1949" s="22" t="s">
        <v>2533</v>
      </c>
      <c r="C1949" s="23"/>
      <c r="D1949" s="24"/>
      <c r="E1949" s="25"/>
      <c r="F1949" s="26"/>
      <c r="G1949" s="27">
        <f>SUM(G1950:G1951)</f>
        <v>0</v>
      </c>
      <c r="H1949" s="44">
        <f>G1949*E1935</f>
        <v>0</v>
      </c>
    </row>
    <row r="1950" spans="1:8">
      <c r="A1950" s="28"/>
      <c r="B1950" s="29"/>
      <c r="C1950" s="30" t="str">
        <f>IFERROR(_xlfn.XLOOKUP(B1950,Transporte[DESCRIPCION],Transporte[UND],,0),"")</f>
        <v/>
      </c>
      <c r="D1950" s="31"/>
      <c r="E1950" s="32" t="str">
        <f>IFERROR(_xlfn.XLOOKUP($B1950,Transporte[DESCRIPCION],Transporte[VALOR],,0),"")</f>
        <v/>
      </c>
      <c r="F1950" s="33"/>
      <c r="G1950" s="34" t="str">
        <f>IFERROR(IF(F1950&gt;=0,D1950*E1950*(1+F1950/100),ABS(D1950*E1950/F1950)),"")</f>
        <v/>
      </c>
      <c r="H1950" s="43" t="str">
        <f>IFERROR(G1950*E1935,"")</f>
        <v/>
      </c>
    </row>
    <row r="1951" spans="1:8">
      <c r="A1951" s="28"/>
      <c r="B1951" s="29"/>
      <c r="C1951" s="30" t="str">
        <f>IFERROR(_xlfn.XLOOKUP(B1951,Transporte[DESCRIPCION],Transporte[UND],,0),"")</f>
        <v/>
      </c>
      <c r="D1951" s="31"/>
      <c r="E1951" s="32" t="str">
        <f>IFERROR(_xlfn.XLOOKUP($B1951,Transporte[DESCRIPCION],Transporte[VALOR],,0),"")</f>
        <v/>
      </c>
      <c r="F1951" s="33"/>
      <c r="G1951" s="34" t="str">
        <f>IFERROR(IF(F1951&gt;=0,D1951*E1951*(1+F1951/100),ABS(D1951*E1951/F1951)),"")</f>
        <v/>
      </c>
      <c r="H1951" s="43" t="str">
        <f>IFERROR(G1951*E1935,"")</f>
        <v/>
      </c>
    </row>
    <row r="1952" spans="1:8">
      <c r="A1952" s="21"/>
      <c r="B1952" s="22" t="s">
        <v>3732</v>
      </c>
      <c r="C1952" s="23"/>
      <c r="D1952" s="24"/>
      <c r="E1952" s="25"/>
      <c r="F1952" s="26"/>
      <c r="G1952" s="27">
        <f>SUM(G1953:G1955)</f>
        <v>11255.965155500004</v>
      </c>
      <c r="H1952" s="44">
        <f>G1952*E1935</f>
        <v>0</v>
      </c>
    </row>
    <row r="1953" spans="1:11">
      <c r="A1953" s="28"/>
      <c r="B1953" s="29" t="s">
        <v>3715</v>
      </c>
      <c r="C1953" s="30" t="str">
        <f>IFERROR(_xlfn.XLOOKUP(B1953,MObra[DESCRIPCION],MObra[UN],,0),"")</f>
        <v>día</v>
      </c>
      <c r="D1953" s="31">
        <v>1</v>
      </c>
      <c r="E1953" s="32">
        <f>IFERROR(_xlfn.XLOOKUP($B1953,MObra[DESCRIPCION],MObra[VALOR UNIT],,0),"")</f>
        <v>337678.95466500008</v>
      </c>
      <c r="F1953" s="33">
        <v>-30</v>
      </c>
      <c r="G1953" s="34">
        <f>IFERROR(IF(F1953&gt;=0,D1953*E1953*(1+F1953/100),ABS(D1953*E1953/F1953)),"")</f>
        <v>11255.965155500004</v>
      </c>
      <c r="H1953" s="43">
        <f>IFERROR(G1953*E1935,"")</f>
        <v>0</v>
      </c>
    </row>
    <row r="1954" spans="1:11">
      <c r="A1954" s="28"/>
      <c r="B1954" s="29"/>
      <c r="C1954" s="30" t="str">
        <f t="array" ref="C1954">IFERROR(_xlfn.XLOOKUP(B1954,MObra[[#All],[DESCRIPCION]],MObra[[#All],[UN]],,0),"")</f>
        <v/>
      </c>
      <c r="D1954" s="31"/>
      <c r="E1954" s="32" t="str">
        <f>IFERROR(_xlfn.XLOOKUP($B1954,MObra[DESCRIPCION],MObra[VALOR UNIT],,0),"")</f>
        <v/>
      </c>
      <c r="F1954" s="33"/>
      <c r="G1954" s="34" t="str">
        <f>IFERROR(IF(F1954&gt;=0,D1954*E1954*(1+F1954/100),ABS(D1954*E1954/F1954)),"")</f>
        <v/>
      </c>
      <c r="H1954" s="43" t="str">
        <f>IFERROR(G1954*E1935,"")</f>
        <v/>
      </c>
    </row>
    <row r="1955" spans="1:11">
      <c r="A1955" s="35"/>
      <c r="B1955" s="36"/>
      <c r="C1955" s="37" t="str">
        <f t="array" ref="C1955">IFERROR(_xlfn.XLOOKUP(B1955,MObra[[#All],[DESCRIPCION]],MObra[[#All],[UN]],,0),"")</f>
        <v/>
      </c>
      <c r="D1955" s="38"/>
      <c r="E1955" s="39" t="str">
        <f>IFERROR(_xlfn.XLOOKUP($B1955,MObra[DESCRIPCION],MObra[VALOR UNIT],,0),"")</f>
        <v/>
      </c>
      <c r="F1955" s="40"/>
      <c r="G1955" s="41" t="str">
        <f>IFERROR(IF(F1955&gt;=0,D1955*E1955*(1+F1955/100),ABS(D1955*E1955/F1955)),"")</f>
        <v/>
      </c>
      <c r="H1955" s="42" t="str">
        <f>IFERROR(G1955*E1935,"")</f>
        <v/>
      </c>
    </row>
    <row r="1956" spans="1:11" ht="13.5" thickTop="1" thickBot="1"/>
    <row r="1957" spans="1:11" ht="13.5" thickTop="1" thickBot="1">
      <c r="A1957" s="6" t="s">
        <v>1071</v>
      </c>
      <c r="B1957" s="7" t="str">
        <f>VLOOKUP($A1957,Presupuesto!$A:$D,2,FALSE())</f>
        <v>Tubería EMT 2" instalada, incluye accesorios y soportes</v>
      </c>
      <c r="C1957" s="8" t="str">
        <f>VLOOKUP($A1957,Presupuesto!$A:$D,3,FALSE())</f>
        <v>M</v>
      </c>
      <c r="D1957" s="9"/>
      <c r="E1957" s="10">
        <f>VLOOKUP($A1957,Presupuesto!$A:$D,4,FALSE())</f>
        <v>0</v>
      </c>
      <c r="F1957" s="11" t="s">
        <v>2589</v>
      </c>
      <c r="G1957" s="12">
        <f>SUM(G1959:G1977)/2</f>
        <v>59767.793348083345</v>
      </c>
      <c r="H1957" s="13">
        <f>ROUND(SUM(H1959:H1977),0)/2</f>
        <v>0</v>
      </c>
      <c r="I1957" s="10">
        <f>VLOOKUP(A1957,Presupuesto!$A:$F,6,0)</f>
        <v>0</v>
      </c>
      <c r="J1957" s="10">
        <f>+H1957-I1957</f>
        <v>0</v>
      </c>
      <c r="K1957" s="46">
        <f>+H1957-G1957*E1957</f>
        <v>0</v>
      </c>
    </row>
    <row r="1958" spans="1:11">
      <c r="A1958" s="14"/>
      <c r="B1958" s="15" t="s">
        <v>2586</v>
      </c>
      <c r="C1958" s="15" t="s">
        <v>5</v>
      </c>
      <c r="D1958" s="16" t="s">
        <v>6</v>
      </c>
      <c r="E1958" s="17" t="s">
        <v>7</v>
      </c>
      <c r="F1958" s="18" t="s">
        <v>3728</v>
      </c>
      <c r="G1958" s="19" t="s">
        <v>3729</v>
      </c>
      <c r="H1958" s="20" t="s">
        <v>3797</v>
      </c>
    </row>
    <row r="1959" spans="1:11">
      <c r="A1959" s="21"/>
      <c r="B1959" s="22" t="s">
        <v>3730</v>
      </c>
      <c r="C1959" s="23"/>
      <c r="D1959" s="24"/>
      <c r="E1959" s="25"/>
      <c r="F1959" s="26"/>
      <c r="G1959" s="27">
        <f>SUM(G1960:G1966)</f>
        <v>46635.834000000003</v>
      </c>
      <c r="H1959" s="27">
        <f>IFERROR(G1959*E1957,"")</f>
        <v>0</v>
      </c>
    </row>
    <row r="1960" spans="1:11">
      <c r="A1960" s="28"/>
      <c r="B1960" s="29" t="s">
        <v>3460</v>
      </c>
      <c r="C1960" s="30" t="str">
        <f>IFERROR(_xlfn.XLOOKUP(B1960,Insumo[DESCRIPCION],Insumo[UND],,0),"")</f>
        <v>M</v>
      </c>
      <c r="D1960" s="31">
        <v>1</v>
      </c>
      <c r="E1960" s="32">
        <f>IFERROR(_xlfn.XLOOKUP($B1960,Insumo[DESCRIPCION],Insumo[VALOR],,0),"")</f>
        <v>29767.5</v>
      </c>
      <c r="F1960" s="33"/>
      <c r="G1960" s="34">
        <f>IFERROR(IF(F1960&gt;=0,D1960*E1960*(1+F1960/100),ABS(D1960*E1960/F1960)),"")</f>
        <v>29767.5</v>
      </c>
      <c r="H1960" s="43">
        <f>IFERROR(G1960*E1957,"")</f>
        <v>0</v>
      </c>
    </row>
    <row r="1961" spans="1:11">
      <c r="A1961" s="28"/>
      <c r="B1961" s="29" t="s">
        <v>2916</v>
      </c>
      <c r="C1961" s="30" t="str">
        <f>IFERROR(_xlfn.XLOOKUP(B1961,Insumo[DESCRIPCION],Insumo[UND],,0),"")</f>
        <v>Un</v>
      </c>
      <c r="D1961" s="31">
        <v>0.15</v>
      </c>
      <c r="E1961" s="32">
        <f>IFERROR(_xlfn.XLOOKUP($B1961,Insumo[DESCRIPCION],Insumo[VALOR],,0),"")</f>
        <v>9765</v>
      </c>
      <c r="F1961" s="33"/>
      <c r="G1961" s="34">
        <f>IFERROR(IF(F1961&gt;=0,D1961*E1961*(1+F1961/100),ABS(D1961*E1961/F1961)),"")</f>
        <v>1464.75</v>
      </c>
      <c r="H1961" s="43">
        <f>IFERROR(G1961*E1957,"")</f>
        <v>0</v>
      </c>
    </row>
    <row r="1962" spans="1:11">
      <c r="A1962" s="28"/>
      <c r="B1962" s="29" t="s">
        <v>2669</v>
      </c>
      <c r="C1962" s="30" t="str">
        <f>IFERROR(_xlfn.XLOOKUP(B1962,Insumo[DESCRIPCION],Insumo[UND],,0),"")</f>
        <v>Un</v>
      </c>
      <c r="D1962" s="31">
        <v>0.33</v>
      </c>
      <c r="E1962" s="32">
        <f>IFERROR(_xlfn.XLOOKUP($B1962,Insumo[DESCRIPCION],Insumo[VALOR],,0),"")</f>
        <v>6825</v>
      </c>
      <c r="F1962" s="33"/>
      <c r="G1962" s="34">
        <f>IFERROR(IF(F1962&gt;=0,D1962*E1962*(1+F1962/100),ABS(D1962*E1962/F1962)),"")</f>
        <v>2252.25</v>
      </c>
      <c r="H1962" s="43">
        <f>IFERROR(G1962*E1957,"")</f>
        <v>0</v>
      </c>
    </row>
    <row r="1963" spans="1:11">
      <c r="A1963" s="28"/>
      <c r="B1963" s="29" t="s">
        <v>3521</v>
      </c>
      <c r="C1963" s="30" t="str">
        <f>IFERROR(_xlfn.XLOOKUP(B1963,Insumo[DESCRIPCION],Insumo[UND],,0),"")</f>
        <v>Un</v>
      </c>
      <c r="D1963" s="31">
        <v>0.33</v>
      </c>
      <c r="E1963" s="32">
        <f>IFERROR(_xlfn.XLOOKUP($B1963,Insumo[DESCRIPCION],Insumo[VALOR],,0),"")</f>
        <v>3885</v>
      </c>
      <c r="F1963" s="33"/>
      <c r="G1963" s="34">
        <f>IFERROR(IF(F1963&gt;=0,D1963*E1963*(1+F1963/100),ABS(D1963*E1963/F1963)),"")</f>
        <v>1282.05</v>
      </c>
      <c r="H1963" s="43">
        <f>IFERROR(G1963*E1957,"")</f>
        <v>0</v>
      </c>
    </row>
    <row r="1964" spans="1:11">
      <c r="A1964" s="28"/>
      <c r="B1964" s="29" t="s">
        <v>3273</v>
      </c>
      <c r="C1964" s="30" t="str">
        <f>IFERROR(_xlfn.XLOOKUP(B1964,Insumo[DESCRIPCION],Insumo[UND],,0),"")</f>
        <v>Un</v>
      </c>
      <c r="D1964" s="31">
        <v>0.09</v>
      </c>
      <c r="E1964" s="32">
        <f>IFERROR(_xlfn.XLOOKUP($B1964,Insumo[DESCRIPCION],Insumo[VALOR],,0),"")</f>
        <v>14397.6</v>
      </c>
      <c r="F1964" s="33"/>
      <c r="G1964" s="34">
        <f t="shared" ref="G1964:G1965" si="8">IFERROR(IF(F1964&gt;=0,D1964*E1964*(1+F1964/100),ABS(D1964*E1964/F1964)),"")</f>
        <v>1295.7839999999999</v>
      </c>
      <c r="H1964" s="43">
        <f>IFERROR(G1964*E1957,"")</f>
        <v>0</v>
      </c>
    </row>
    <row r="1965" spans="1:11">
      <c r="A1965" s="28"/>
      <c r="B1965" s="29" t="s">
        <v>2981</v>
      </c>
      <c r="C1965" s="30" t="str">
        <f>IFERROR(_xlfn.XLOOKUP(B1965,Insumo[DESCRIPCION],Insumo[UND],,0),"")</f>
        <v>Un</v>
      </c>
      <c r="D1965" s="31">
        <v>2</v>
      </c>
      <c r="E1965" s="32">
        <f>IFERROR(_xlfn.XLOOKUP($B1965,Insumo[DESCRIPCION],Insumo[VALOR],,0),"")</f>
        <v>3921.75</v>
      </c>
      <c r="F1965" s="33"/>
      <c r="G1965" s="34">
        <f t="shared" si="8"/>
        <v>7843.5</v>
      </c>
      <c r="H1965" s="43">
        <f>IFERROR(G1965*E1957,"")</f>
        <v>0</v>
      </c>
    </row>
    <row r="1966" spans="1:11">
      <c r="A1966" s="28"/>
      <c r="B1966" s="29" t="s">
        <v>2833</v>
      </c>
      <c r="C1966" s="30" t="str">
        <f>IFERROR(_xlfn.XLOOKUP(B1966,Insumo[DESCRIPCION],Insumo[UND],,0),"")</f>
        <v>Un</v>
      </c>
      <c r="D1966" s="31">
        <v>4</v>
      </c>
      <c r="E1966" s="32">
        <f>IFERROR(_xlfn.XLOOKUP($B1966,Insumo[DESCRIPCION],Insumo[VALOR],,0),"")</f>
        <v>682.5</v>
      </c>
      <c r="F1966" s="33"/>
      <c r="G1966" s="34">
        <f>IFERROR(IF(F1966&gt;=0,D1966*E1966*(1+F1966/100),ABS(D1966*E1966/F1966)),"")</f>
        <v>2730</v>
      </c>
      <c r="H1966" s="43">
        <f>IFERROR(G1966*E1957,"")</f>
        <v>0</v>
      </c>
    </row>
    <row r="1967" spans="1:11">
      <c r="A1967" s="21"/>
      <c r="B1967" s="22" t="s">
        <v>3731</v>
      </c>
      <c r="C1967" s="23"/>
      <c r="D1967" s="24"/>
      <c r="E1967" s="25"/>
      <c r="F1967" s="26"/>
      <c r="G1967" s="27">
        <f>SUM(G1968:G1970)</f>
        <v>625.33139752777799</v>
      </c>
      <c r="H1967" s="44">
        <f>G1967*E1957</f>
        <v>0</v>
      </c>
    </row>
    <row r="1968" spans="1:11">
      <c r="A1968" s="28"/>
      <c r="B1968" s="29" t="s">
        <v>3626</v>
      </c>
      <c r="C1968" s="30" t="str">
        <f>IFERROR(_xlfn.XLOOKUP(B1968,Equipo[DESCRIPCION],Equipo[UND],,0),"")</f>
        <v>%MO</v>
      </c>
      <c r="D1968" s="31">
        <v>0.05</v>
      </c>
      <c r="E1968" s="32">
        <f>IF(C1968="%MO",G1974,IFERROR(_xlfn.XLOOKUP($B1968,Equipo[DESCRIPCION],Equipo[VALOR],,0),""))</f>
        <v>12506.627950555559</v>
      </c>
      <c r="F1968" s="33"/>
      <c r="G1968" s="34">
        <f>IFERROR(IF(F1968&gt;=0,D1968*E1968*(1+F1968/100),ABS(D1968*E1968/F1968)),"")</f>
        <v>625.33139752777799</v>
      </c>
      <c r="H1968" s="43">
        <f>IFERROR(G1968*E1957,"")</f>
        <v>0</v>
      </c>
    </row>
    <row r="1969" spans="1:11">
      <c r="A1969" s="28"/>
      <c r="B1969" s="29"/>
      <c r="C1969" s="30" t="str">
        <f>IFERROR(_xlfn.XLOOKUP(B1969,Equipo[DESCRIPCION],Equipo[UND],,0),"")</f>
        <v/>
      </c>
      <c r="D1969" s="31"/>
      <c r="E1969" s="32" t="str">
        <f>IF(C1969="%MO",G1974,IFERROR(_xlfn.XLOOKUP($B1969,Equipo[DESCRIPCION],Equipo[VALOR],,0),""))</f>
        <v/>
      </c>
      <c r="F1969" s="33"/>
      <c r="G1969" s="34" t="str">
        <f>IFERROR(IF(F1969&gt;=0,D1969*E1969*(1+F1969/100),ABS(D1969*E1969/F1969)),"")</f>
        <v/>
      </c>
      <c r="H1969" s="43" t="str">
        <f>IFERROR(G1969*E1957,"")</f>
        <v/>
      </c>
    </row>
    <row r="1970" spans="1:11">
      <c r="A1970" s="28"/>
      <c r="B1970" s="29"/>
      <c r="C1970" s="30" t="str">
        <f>IFERROR(_xlfn.XLOOKUP(B1970,Equipo[DESCRIPCION],Equipo[UND],,0),"")</f>
        <v/>
      </c>
      <c r="D1970" s="31"/>
      <c r="E1970" s="32" t="str">
        <f>IF(C1970="%MO",G1974,IFERROR(_xlfn.XLOOKUP($B1970,Equipo[DESCRIPCION],Equipo[VALOR],,0),""))</f>
        <v/>
      </c>
      <c r="F1970" s="33"/>
      <c r="G1970" s="34" t="str">
        <f>IFERROR(IF(F1970&gt;=0,D1970*E1970*(1+F1970/100),ABS(D1970*E1970/F1970)),"")</f>
        <v/>
      </c>
      <c r="H1970" s="43" t="str">
        <f>IFERROR(G1970*E1957,"")</f>
        <v/>
      </c>
    </row>
    <row r="1971" spans="1:11">
      <c r="A1971" s="21"/>
      <c r="B1971" s="22" t="s">
        <v>2533</v>
      </c>
      <c r="C1971" s="23"/>
      <c r="D1971" s="24"/>
      <c r="E1971" s="25"/>
      <c r="F1971" s="26"/>
      <c r="G1971" s="27">
        <f>SUM(G1972:G1973)</f>
        <v>0</v>
      </c>
      <c r="H1971" s="44">
        <f>G1971*E1957</f>
        <v>0</v>
      </c>
    </row>
    <row r="1972" spans="1:11">
      <c r="A1972" s="28"/>
      <c r="B1972" s="29"/>
      <c r="C1972" s="30" t="str">
        <f>IFERROR(_xlfn.XLOOKUP(B1972,Transporte[DESCRIPCION],Transporte[UND],,0),"")</f>
        <v/>
      </c>
      <c r="D1972" s="31"/>
      <c r="E1972" s="32" t="str">
        <f>IFERROR(_xlfn.XLOOKUP($B1972,Transporte[DESCRIPCION],Transporte[VALOR],,0),"")</f>
        <v/>
      </c>
      <c r="F1972" s="33"/>
      <c r="G1972" s="34" t="str">
        <f>IFERROR(IF(F1972&gt;=0,D1972*E1972*(1+F1972/100),ABS(D1972*E1972/F1972)),"")</f>
        <v/>
      </c>
      <c r="H1972" s="43" t="str">
        <f>IFERROR(G1972*E1957,"")</f>
        <v/>
      </c>
    </row>
    <row r="1973" spans="1:11">
      <c r="A1973" s="28"/>
      <c r="B1973" s="29"/>
      <c r="C1973" s="30" t="str">
        <f>IFERROR(_xlfn.XLOOKUP(B1973,Transporte[DESCRIPCION],Transporte[UND],,0),"")</f>
        <v/>
      </c>
      <c r="D1973" s="31"/>
      <c r="E1973" s="32" t="str">
        <f>IFERROR(_xlfn.XLOOKUP($B1973,Transporte[DESCRIPCION],Transporte[VALOR],,0),"")</f>
        <v/>
      </c>
      <c r="F1973" s="33"/>
      <c r="G1973" s="34" t="str">
        <f>IFERROR(IF(F1973&gt;=0,D1973*E1973*(1+F1973/100),ABS(D1973*E1973/F1973)),"")</f>
        <v/>
      </c>
      <c r="H1973" s="43" t="str">
        <f>IFERROR(G1973*E1957,"")</f>
        <v/>
      </c>
    </row>
    <row r="1974" spans="1:11">
      <c r="A1974" s="21"/>
      <c r="B1974" s="22" t="s">
        <v>3732</v>
      </c>
      <c r="C1974" s="23"/>
      <c r="D1974" s="24"/>
      <c r="E1974" s="25"/>
      <c r="F1974" s="26"/>
      <c r="G1974" s="27">
        <f>SUM(G1975:G1977)</f>
        <v>12506.627950555559</v>
      </c>
      <c r="H1974" s="44">
        <f>G1974*E1957</f>
        <v>0</v>
      </c>
    </row>
    <row r="1975" spans="1:11">
      <c r="A1975" s="28"/>
      <c r="B1975" s="29" t="s">
        <v>3715</v>
      </c>
      <c r="C1975" s="30" t="str">
        <f>IFERROR(_xlfn.XLOOKUP(B1975,MObra[DESCRIPCION],MObra[UN],,0),"")</f>
        <v>día</v>
      </c>
      <c r="D1975" s="31">
        <v>1</v>
      </c>
      <c r="E1975" s="32">
        <f>IFERROR(_xlfn.XLOOKUP($B1975,MObra[DESCRIPCION],MObra[VALOR UNIT],,0),"")</f>
        <v>337678.95466500008</v>
      </c>
      <c r="F1975" s="33">
        <v>-27</v>
      </c>
      <c r="G1975" s="34">
        <f>IFERROR(IF(F1975&gt;=0,D1975*E1975*(1+F1975/100),ABS(D1975*E1975/F1975)),"")</f>
        <v>12506.627950555559</v>
      </c>
      <c r="H1975" s="43">
        <f>IFERROR(G1975*E1957,"")</f>
        <v>0</v>
      </c>
    </row>
    <row r="1976" spans="1:11">
      <c r="A1976" s="28"/>
      <c r="B1976" s="29"/>
      <c r="C1976" s="30" t="str">
        <f t="array" ref="C1976">IFERROR(_xlfn.XLOOKUP(B1976,MObra[[#All],[DESCRIPCION]],MObra[[#All],[UN]],,0),"")</f>
        <v/>
      </c>
      <c r="D1976" s="31"/>
      <c r="E1976" s="32" t="str">
        <f>IFERROR(_xlfn.XLOOKUP($B1976,MObra[DESCRIPCION],MObra[VALOR UNIT],,0),"")</f>
        <v/>
      </c>
      <c r="F1976" s="33"/>
      <c r="G1976" s="34" t="str">
        <f>IFERROR(IF(F1976&gt;=0,D1976*E1976*(1+F1976/100),ABS(D1976*E1976/F1976)),"")</f>
        <v/>
      </c>
      <c r="H1976" s="43" t="str">
        <f>IFERROR(G1976*E1957,"")</f>
        <v/>
      </c>
    </row>
    <row r="1977" spans="1:11">
      <c r="A1977" s="35"/>
      <c r="B1977" s="36"/>
      <c r="C1977" s="37" t="str">
        <f t="array" ref="C1977">IFERROR(_xlfn.XLOOKUP(B1977,MObra[[#All],[DESCRIPCION]],MObra[[#All],[UN]],,0),"")</f>
        <v/>
      </c>
      <c r="D1977" s="38"/>
      <c r="E1977" s="39" t="str">
        <f>IFERROR(_xlfn.XLOOKUP($B1977,MObra[DESCRIPCION],MObra[VALOR UNIT],,0),"")</f>
        <v/>
      </c>
      <c r="F1977" s="40"/>
      <c r="G1977" s="41" t="str">
        <f>IFERROR(IF(F1977&gt;=0,D1977*E1977*(1+F1977/100),ABS(D1977*E1977/F1977)),"")</f>
        <v/>
      </c>
      <c r="H1977" s="42" t="str">
        <f>IFERROR(G1977*E1957,"")</f>
        <v/>
      </c>
    </row>
    <row r="1978" spans="1:11" ht="13.5" thickTop="1" thickBot="1"/>
    <row r="1979" spans="1:11" ht="13.5" thickTop="1" thickBot="1">
      <c r="A1979" s="6" t="s">
        <v>1073</v>
      </c>
      <c r="B1979" s="7" t="str">
        <f>VLOOKUP($A1979,Presupuesto!$A:$D,2,FALSE())</f>
        <v>Tubería EMT 3" instalada, incluye accesorios y soportes</v>
      </c>
      <c r="C1979" s="8" t="str">
        <f>VLOOKUP($A1979,Presupuesto!$A:$D,3,FALSE())</f>
        <v>M</v>
      </c>
      <c r="D1979" s="9"/>
      <c r="E1979" s="10">
        <f>VLOOKUP($A1979,Presupuesto!$A:$D,4,FALSE())</f>
        <v>0</v>
      </c>
      <c r="F1979" s="11" t="s">
        <v>2589</v>
      </c>
      <c r="G1979" s="12">
        <f>SUM(G1981:G1999)/2</f>
        <v>140122.75009593001</v>
      </c>
      <c r="H1979" s="13">
        <f>ROUND(SUM(H1981:H1999),0)/2</f>
        <v>0</v>
      </c>
      <c r="I1979" s="10">
        <f>VLOOKUP(A1979,Presupuesto!$A:$F,6,0)</f>
        <v>0</v>
      </c>
      <c r="J1979" s="10">
        <f>+H1979-I1979</f>
        <v>0</v>
      </c>
      <c r="K1979" s="46">
        <f>+H1979-G1979*E1979</f>
        <v>0</v>
      </c>
    </row>
    <row r="1980" spans="1:11">
      <c r="A1980" s="14"/>
      <c r="B1980" s="15" t="s">
        <v>2586</v>
      </c>
      <c r="C1980" s="15" t="s">
        <v>5</v>
      </c>
      <c r="D1980" s="16" t="s">
        <v>6</v>
      </c>
      <c r="E1980" s="17" t="s">
        <v>7</v>
      </c>
      <c r="F1980" s="18" t="s">
        <v>3728</v>
      </c>
      <c r="G1980" s="19" t="s">
        <v>3729</v>
      </c>
      <c r="H1980" s="20" t="s">
        <v>3797</v>
      </c>
    </row>
    <row r="1981" spans="1:11">
      <c r="A1981" s="21"/>
      <c r="B1981" s="22" t="s">
        <v>3730</v>
      </c>
      <c r="C1981" s="23"/>
      <c r="D1981" s="24"/>
      <c r="E1981" s="25"/>
      <c r="F1981" s="26"/>
      <c r="G1981" s="27">
        <f>SUM(G1982:G1988)</f>
        <v>125940.234</v>
      </c>
      <c r="H1981" s="27">
        <f>IFERROR(G1981*E1979,"")</f>
        <v>0</v>
      </c>
    </row>
    <row r="1982" spans="1:11">
      <c r="A1982" s="28"/>
      <c r="B1982" s="29" t="s">
        <v>3459</v>
      </c>
      <c r="C1982" s="30" t="str">
        <f>IFERROR(_xlfn.XLOOKUP(B1982,Insumo[DESCRIPCION],Insumo[UND],,0),"")</f>
        <v>M</v>
      </c>
      <c r="D1982" s="31">
        <v>1</v>
      </c>
      <c r="E1982" s="32">
        <f>IFERROR(_xlfn.XLOOKUP($B1982,Insumo[DESCRIPCION],Insumo[VALOR],,0),"")</f>
        <v>97650</v>
      </c>
      <c r="F1982" s="33"/>
      <c r="G1982" s="34">
        <f>IFERROR(IF(F1982&gt;=0,D1982*E1982*(1+F1982/100),ABS(D1982*E1982/F1982)),"")</f>
        <v>97650</v>
      </c>
      <c r="H1982" s="43">
        <f>IFERROR(G1982*E1979,"")</f>
        <v>0</v>
      </c>
    </row>
    <row r="1983" spans="1:11">
      <c r="A1983" s="28"/>
      <c r="B1983" s="29" t="s">
        <v>2917</v>
      </c>
      <c r="C1983" s="30" t="str">
        <f>IFERROR(_xlfn.XLOOKUP(B1983,Insumo[DESCRIPCION],Insumo[UND],,0),"")</f>
        <v>Un</v>
      </c>
      <c r="D1983" s="31">
        <v>0.15</v>
      </c>
      <c r="E1983" s="32">
        <f>IFERROR(_xlfn.XLOOKUP($B1983,Insumo[DESCRIPCION],Insumo[VALOR],,0),"")</f>
        <v>40057.5</v>
      </c>
      <c r="F1983" s="33"/>
      <c r="G1983" s="34">
        <f>IFERROR(IF(F1983&gt;=0,D1983*E1983*(1+F1983/100),ABS(D1983*E1983/F1983)),"")</f>
        <v>6008.625</v>
      </c>
      <c r="H1983" s="43">
        <f>IFERROR(G1983*E1979,"")</f>
        <v>0</v>
      </c>
    </row>
    <row r="1984" spans="1:11">
      <c r="A1984" s="28"/>
      <c r="B1984" s="29" t="s">
        <v>2670</v>
      </c>
      <c r="C1984" s="30" t="str">
        <f>IFERROR(_xlfn.XLOOKUP(B1984,Insumo[DESCRIPCION],Insumo[UND],,0),"")</f>
        <v>Un</v>
      </c>
      <c r="D1984" s="31">
        <v>0.33</v>
      </c>
      <c r="E1984" s="32">
        <f>IFERROR(_xlfn.XLOOKUP($B1984,Insumo[DESCRIPCION],Insumo[VALOR],,0),"")</f>
        <v>19530</v>
      </c>
      <c r="F1984" s="33"/>
      <c r="G1984" s="34">
        <f>IFERROR(IF(F1984&gt;=0,D1984*E1984*(1+F1984/100),ABS(D1984*E1984/F1984)),"")</f>
        <v>6444.9000000000005</v>
      </c>
      <c r="H1984" s="43">
        <f>IFERROR(G1984*E1979,"")</f>
        <v>0</v>
      </c>
    </row>
    <row r="1985" spans="1:8">
      <c r="A1985" s="28"/>
      <c r="B1985" s="29" t="s">
        <v>3522</v>
      </c>
      <c r="C1985" s="30" t="str">
        <f>IFERROR(_xlfn.XLOOKUP(B1985,Insumo[DESCRIPCION],Insumo[UND],,0),"")</f>
        <v>Un</v>
      </c>
      <c r="D1985" s="31">
        <v>0.33</v>
      </c>
      <c r="E1985" s="32">
        <f>IFERROR(_xlfn.XLOOKUP($B1985,Insumo[DESCRIPCION],Insumo[VALOR],,0),"")</f>
        <v>12022.5</v>
      </c>
      <c r="F1985" s="33"/>
      <c r="G1985" s="34">
        <f>IFERROR(IF(F1985&gt;=0,D1985*E1985*(1+F1985/100),ABS(D1985*E1985/F1985)),"")</f>
        <v>3967.4250000000002</v>
      </c>
      <c r="H1985" s="43">
        <f>IFERROR(G1985*E1979,"")</f>
        <v>0</v>
      </c>
    </row>
    <row r="1986" spans="1:8">
      <c r="A1986" s="28"/>
      <c r="B1986" s="29" t="s">
        <v>3273</v>
      </c>
      <c r="C1986" s="30" t="str">
        <f>IFERROR(_xlfn.XLOOKUP(B1986,Insumo[DESCRIPCION],Insumo[UND],,0),"")</f>
        <v>Un</v>
      </c>
      <c r="D1986" s="31">
        <v>0.09</v>
      </c>
      <c r="E1986" s="32">
        <f>IFERROR(_xlfn.XLOOKUP($B1986,Insumo[DESCRIPCION],Insumo[VALOR],,0),"")</f>
        <v>14397.6</v>
      </c>
      <c r="F1986" s="33"/>
      <c r="G1986" s="34">
        <f t="shared" ref="G1986:G1987" si="9">IFERROR(IF(F1986&gt;=0,D1986*E1986*(1+F1986/100),ABS(D1986*E1986/F1986)),"")</f>
        <v>1295.7839999999999</v>
      </c>
      <c r="H1986" s="43">
        <f>IFERROR(G1986*E1979,"")</f>
        <v>0</v>
      </c>
    </row>
    <row r="1987" spans="1:8">
      <c r="A1987" s="28"/>
      <c r="B1987" s="29" t="s">
        <v>2981</v>
      </c>
      <c r="C1987" s="30" t="str">
        <f>IFERROR(_xlfn.XLOOKUP(B1987,Insumo[DESCRIPCION],Insumo[UND],,0),"")</f>
        <v>Un</v>
      </c>
      <c r="D1987" s="31">
        <v>2</v>
      </c>
      <c r="E1987" s="32">
        <f>IFERROR(_xlfn.XLOOKUP($B1987,Insumo[DESCRIPCION],Insumo[VALOR],,0),"")</f>
        <v>3921.75</v>
      </c>
      <c r="F1987" s="33"/>
      <c r="G1987" s="34">
        <f t="shared" si="9"/>
        <v>7843.5</v>
      </c>
      <c r="H1987" s="43">
        <f>IFERROR(G1987*E1979,"")</f>
        <v>0</v>
      </c>
    </row>
    <row r="1988" spans="1:8">
      <c r="A1988" s="28"/>
      <c r="B1988" s="29" t="s">
        <v>2833</v>
      </c>
      <c r="C1988" s="30" t="str">
        <f>IFERROR(_xlfn.XLOOKUP(B1988,Insumo[DESCRIPCION],Insumo[UND],,0),"")</f>
        <v>Un</v>
      </c>
      <c r="D1988" s="31">
        <v>4</v>
      </c>
      <c r="E1988" s="32">
        <f>IFERROR(_xlfn.XLOOKUP($B1988,Insumo[DESCRIPCION],Insumo[VALOR],,0),"")</f>
        <v>682.5</v>
      </c>
      <c r="F1988" s="33"/>
      <c r="G1988" s="34">
        <f>IFERROR(IF(F1988&gt;=0,D1988*E1988*(1+F1988/100),ABS(D1988*E1988/F1988)),"")</f>
        <v>2730</v>
      </c>
      <c r="H1988" s="43">
        <f>IFERROR(G1988*E1979,"")</f>
        <v>0</v>
      </c>
    </row>
    <row r="1989" spans="1:8">
      <c r="A1989" s="21"/>
      <c r="B1989" s="22" t="s">
        <v>3731</v>
      </c>
      <c r="C1989" s="23"/>
      <c r="D1989" s="24"/>
      <c r="E1989" s="25"/>
      <c r="F1989" s="26"/>
      <c r="G1989" s="27">
        <f>SUM(G1990:G1992)</f>
        <v>675.35790933000021</v>
      </c>
      <c r="H1989" s="44">
        <f>G1989*E1979</f>
        <v>0</v>
      </c>
    </row>
    <row r="1990" spans="1:8">
      <c r="A1990" s="28"/>
      <c r="B1990" s="29" t="s">
        <v>3626</v>
      </c>
      <c r="C1990" s="30" t="str">
        <f>IFERROR(_xlfn.XLOOKUP(B1990,Equipo[DESCRIPCION],Equipo[UND],,0),"")</f>
        <v>%MO</v>
      </c>
      <c r="D1990" s="31">
        <v>0.05</v>
      </c>
      <c r="E1990" s="32">
        <f>IF(C1990="%MO",G1996,IFERROR(_xlfn.XLOOKUP($B1990,Equipo[DESCRIPCION],Equipo[VALOR],,0),""))</f>
        <v>13507.158186600003</v>
      </c>
      <c r="F1990" s="33"/>
      <c r="G1990" s="34">
        <f>IFERROR(IF(F1990&gt;=0,D1990*E1990*(1+F1990/100),ABS(D1990*E1990/F1990)),"")</f>
        <v>675.35790933000021</v>
      </c>
      <c r="H1990" s="43">
        <f>IFERROR(G1990*E1979,"")</f>
        <v>0</v>
      </c>
    </row>
    <row r="1991" spans="1:8">
      <c r="A1991" s="28"/>
      <c r="B1991" s="29"/>
      <c r="C1991" s="30" t="str">
        <f>IFERROR(_xlfn.XLOOKUP(B1991,Equipo[DESCRIPCION],Equipo[UND],,0),"")</f>
        <v/>
      </c>
      <c r="D1991" s="31"/>
      <c r="E1991" s="32" t="str">
        <f>IF(C1991="%MO",G1996,IFERROR(_xlfn.XLOOKUP($B1991,Equipo[DESCRIPCION],Equipo[VALOR],,0),""))</f>
        <v/>
      </c>
      <c r="F1991" s="33"/>
      <c r="G1991" s="34" t="str">
        <f>IFERROR(IF(F1991&gt;=0,D1991*E1991*(1+F1991/100),ABS(D1991*E1991/F1991)),"")</f>
        <v/>
      </c>
      <c r="H1991" s="43" t="str">
        <f>IFERROR(G1991*E1979,"")</f>
        <v/>
      </c>
    </row>
    <row r="1992" spans="1:8">
      <c r="A1992" s="28"/>
      <c r="B1992" s="29"/>
      <c r="C1992" s="30" t="str">
        <f>IFERROR(_xlfn.XLOOKUP(B1992,Equipo[DESCRIPCION],Equipo[UND],,0),"")</f>
        <v/>
      </c>
      <c r="D1992" s="31"/>
      <c r="E1992" s="32" t="str">
        <f>IF(C1992="%MO",G1996,IFERROR(_xlfn.XLOOKUP($B1992,Equipo[DESCRIPCION],Equipo[VALOR],,0),""))</f>
        <v/>
      </c>
      <c r="F1992" s="33"/>
      <c r="G1992" s="34" t="str">
        <f>IFERROR(IF(F1992&gt;=0,D1992*E1992*(1+F1992/100),ABS(D1992*E1992/F1992)),"")</f>
        <v/>
      </c>
      <c r="H1992" s="43" t="str">
        <f>IFERROR(G1992*E1979,"")</f>
        <v/>
      </c>
    </row>
    <row r="1993" spans="1:8">
      <c r="A1993" s="21"/>
      <c r="B1993" s="22" t="s">
        <v>2533</v>
      </c>
      <c r="C1993" s="23"/>
      <c r="D1993" s="24"/>
      <c r="E1993" s="25"/>
      <c r="F1993" s="26"/>
      <c r="G1993" s="27">
        <f>SUM(G1994:G1995)</f>
        <v>0</v>
      </c>
      <c r="H1993" s="44">
        <f>G1993*E1979</f>
        <v>0</v>
      </c>
    </row>
    <row r="1994" spans="1:8">
      <c r="A1994" s="28"/>
      <c r="B1994" s="29"/>
      <c r="C1994" s="30" t="str">
        <f>IFERROR(_xlfn.XLOOKUP(B1994,Transporte[DESCRIPCION],Transporte[UND],,0),"")</f>
        <v/>
      </c>
      <c r="D1994" s="31"/>
      <c r="E1994" s="32" t="str">
        <f>IFERROR(_xlfn.XLOOKUP($B1994,Transporte[DESCRIPCION],Transporte[VALOR],,0),"")</f>
        <v/>
      </c>
      <c r="F1994" s="33"/>
      <c r="G1994" s="34" t="str">
        <f>IFERROR(IF(F1994&gt;=0,D1994*E1994*(1+F1994/100),ABS(D1994*E1994/F1994)),"")</f>
        <v/>
      </c>
      <c r="H1994" s="43" t="str">
        <f>IFERROR(G1994*E1979,"")</f>
        <v/>
      </c>
    </row>
    <row r="1995" spans="1:8">
      <c r="A1995" s="28"/>
      <c r="B1995" s="29"/>
      <c r="C1995" s="30" t="str">
        <f>IFERROR(_xlfn.XLOOKUP(B1995,Transporte[DESCRIPCION],Transporte[UND],,0),"")</f>
        <v/>
      </c>
      <c r="D1995" s="31"/>
      <c r="E1995" s="32" t="str">
        <f>IFERROR(_xlfn.XLOOKUP($B1995,Transporte[DESCRIPCION],Transporte[VALOR],,0),"")</f>
        <v/>
      </c>
      <c r="F1995" s="33"/>
      <c r="G1995" s="34" t="str">
        <f>IFERROR(IF(F1995&gt;=0,D1995*E1995*(1+F1995/100),ABS(D1995*E1995/F1995)),"")</f>
        <v/>
      </c>
      <c r="H1995" s="43" t="str">
        <f>IFERROR(G1995*E1979,"")</f>
        <v/>
      </c>
    </row>
    <row r="1996" spans="1:8">
      <c r="A1996" s="21"/>
      <c r="B1996" s="22" t="s">
        <v>3732</v>
      </c>
      <c r="C1996" s="23"/>
      <c r="D1996" s="24"/>
      <c r="E1996" s="25"/>
      <c r="F1996" s="26"/>
      <c r="G1996" s="27">
        <f>SUM(G1997:G1999)</f>
        <v>13507.158186600003</v>
      </c>
      <c r="H1996" s="44">
        <f>G1996*E1979</f>
        <v>0</v>
      </c>
    </row>
    <row r="1997" spans="1:8">
      <c r="A1997" s="28"/>
      <c r="B1997" s="29" t="s">
        <v>3715</v>
      </c>
      <c r="C1997" s="30" t="str">
        <f>IFERROR(_xlfn.XLOOKUP(B1997,MObra[DESCRIPCION],MObra[UN],,0),"")</f>
        <v>día</v>
      </c>
      <c r="D1997" s="31">
        <v>1</v>
      </c>
      <c r="E1997" s="32">
        <f>IFERROR(_xlfn.XLOOKUP($B1997,MObra[DESCRIPCION],MObra[VALOR UNIT],,0),"")</f>
        <v>337678.95466500008</v>
      </c>
      <c r="F1997" s="33">
        <v>-25</v>
      </c>
      <c r="G1997" s="34">
        <f>IFERROR(IF(F1997&gt;=0,D1997*E1997*(1+F1997/100),ABS(D1997*E1997/F1997)),"")</f>
        <v>13507.158186600003</v>
      </c>
      <c r="H1997" s="43">
        <f>IFERROR(G1997*E1979,"")</f>
        <v>0</v>
      </c>
    </row>
    <row r="1998" spans="1:8">
      <c r="A1998" s="28"/>
      <c r="B1998" s="29"/>
      <c r="C1998" s="30" t="str">
        <f t="array" ref="C1998">IFERROR(_xlfn.XLOOKUP(B1998,MObra[[#All],[DESCRIPCION]],MObra[[#All],[UN]],,0),"")</f>
        <v/>
      </c>
      <c r="D1998" s="31"/>
      <c r="E1998" s="32" t="str">
        <f>IFERROR(_xlfn.XLOOKUP($B1998,MObra[DESCRIPCION],MObra[VALOR UNIT],,0),"")</f>
        <v/>
      </c>
      <c r="F1998" s="33"/>
      <c r="G1998" s="34" t="str">
        <f>IFERROR(IF(F1998&gt;=0,D1998*E1998*(1+F1998/100),ABS(D1998*E1998/F1998)),"")</f>
        <v/>
      </c>
      <c r="H1998" s="43" t="str">
        <f>IFERROR(G1998*E1979,"")</f>
        <v/>
      </c>
    </row>
    <row r="1999" spans="1:8">
      <c r="A1999" s="35"/>
      <c r="B1999" s="36"/>
      <c r="C1999" s="37" t="str">
        <f t="array" ref="C1999">IFERROR(_xlfn.XLOOKUP(B1999,MObra[[#All],[DESCRIPCION]],MObra[[#All],[UN]],,0),"")</f>
        <v/>
      </c>
      <c r="D1999" s="38"/>
      <c r="E1999" s="39" t="str">
        <f>IFERROR(_xlfn.XLOOKUP($B1999,MObra[DESCRIPCION],MObra[VALOR UNIT],,0),"")</f>
        <v/>
      </c>
      <c r="F1999" s="40"/>
      <c r="G1999" s="41" t="str">
        <f>IFERROR(IF(F1999&gt;=0,D1999*E1999*(1+F1999/100),ABS(D1999*E1999/F1999)),"")</f>
        <v/>
      </c>
      <c r="H1999" s="42" t="str">
        <f>IFERROR(G1999*E1979,"")</f>
        <v/>
      </c>
    </row>
    <row r="2000" spans="1:8" ht="12.75" customHeight="1" thickTop="1" thickBot="1"/>
    <row r="2001" spans="1:11" ht="13.5" thickTop="1" thickBot="1">
      <c r="A2001" s="6" t="s">
        <v>1075</v>
      </c>
      <c r="B2001" s="7" t="str">
        <f>VLOOKUP($A2001,Presupuesto!$A:$D,2,FALSE())</f>
        <v>Tubería PVC 1/2" empotrado, incluye accesorios</v>
      </c>
      <c r="C2001" s="8" t="str">
        <f>VLOOKUP($A2001,Presupuesto!$A:$D,3,FALSE())</f>
        <v>M</v>
      </c>
      <c r="D2001" s="9"/>
      <c r="E2001" s="10">
        <f>VLOOKUP($A2001,Presupuesto!$A:$D,4,FALSE())</f>
        <v>0</v>
      </c>
      <c r="F2001" s="11" t="s">
        <v>2589</v>
      </c>
      <c r="G2001" s="12">
        <f>SUM(G2003:G2019)/2</f>
        <v>14545.093639950002</v>
      </c>
      <c r="H2001" s="13">
        <f>ROUND(SUM(H2003:H2019),0)/2</f>
        <v>0</v>
      </c>
      <c r="I2001" s="10">
        <f>VLOOKUP(A2001,Presupuesto!$A:$F,6,0)</f>
        <v>0</v>
      </c>
      <c r="J2001" s="10">
        <f>+H2001-I2001</f>
        <v>0</v>
      </c>
      <c r="K2001" s="46">
        <f>+H2001-G2001*E2001</f>
        <v>0</v>
      </c>
    </row>
    <row r="2002" spans="1:11" ht="13.15" thickTop="1">
      <c r="A2002" s="14"/>
      <c r="B2002" s="15" t="s">
        <v>2586</v>
      </c>
      <c r="C2002" s="15" t="s">
        <v>5</v>
      </c>
      <c r="D2002" s="16" t="s">
        <v>6</v>
      </c>
      <c r="E2002" s="17" t="s">
        <v>7</v>
      </c>
      <c r="F2002" s="18" t="s">
        <v>3728</v>
      </c>
      <c r="G2002" s="19" t="s">
        <v>3729</v>
      </c>
      <c r="H2002" s="20" t="s">
        <v>3797</v>
      </c>
    </row>
    <row r="2003" spans="1:11">
      <c r="A2003" s="21"/>
      <c r="B2003" s="22" t="s">
        <v>3730</v>
      </c>
      <c r="C2003" s="23"/>
      <c r="D2003" s="24"/>
      <c r="E2003" s="25"/>
      <c r="F2003" s="26"/>
      <c r="G2003" s="27">
        <f>SUM(G2004:G2008)</f>
        <v>4414.7250000000004</v>
      </c>
      <c r="H2003" s="27">
        <f>IFERROR(G2003*E2001,"")</f>
        <v>0</v>
      </c>
    </row>
    <row r="2004" spans="1:11">
      <c r="A2004" s="28"/>
      <c r="B2004" s="29" t="s">
        <v>3437</v>
      </c>
      <c r="C2004" s="30" t="str">
        <f>IFERROR(_xlfn.XLOOKUP(B2004,Insumo[DESCRIPCION],Insumo[UND],,0),"")</f>
        <v>M</v>
      </c>
      <c r="D2004" s="31">
        <v>1</v>
      </c>
      <c r="E2004" s="32">
        <f>IFERROR(_xlfn.XLOOKUP($B2004,Insumo[DESCRIPCION],Insumo[VALOR],,0),"")</f>
        <v>3496.5</v>
      </c>
      <c r="F2004" s="33"/>
      <c r="G2004" s="34">
        <f>IFERROR(IF(F2004&gt;=0,D2004*E2004*(1+F2004/100),ABS(D2004*E2004/F2004)),"")</f>
        <v>3496.5</v>
      </c>
      <c r="H2004" s="43">
        <f>IFERROR(G2004*E2001,"")</f>
        <v>0</v>
      </c>
    </row>
    <row r="2005" spans="1:11">
      <c r="A2005" s="28"/>
      <c r="B2005" s="29" t="s">
        <v>2911</v>
      </c>
      <c r="C2005" s="30" t="str">
        <f>IFERROR(_xlfn.XLOOKUP(B2005,Insumo[DESCRIPCION],Insumo[UND],,0),"")</f>
        <v>Un</v>
      </c>
      <c r="D2005" s="31">
        <v>0.33</v>
      </c>
      <c r="E2005" s="32">
        <f>IFERROR(_xlfn.XLOOKUP($B2005,Insumo[DESCRIPCION],Insumo[VALOR],,0),"")</f>
        <v>1207.5</v>
      </c>
      <c r="F2005" s="33"/>
      <c r="G2005" s="34">
        <f>IFERROR(IF(F2005&gt;=0,D2005*E2005*(1+F2005/100),ABS(D2005*E2005/F2005)),"")</f>
        <v>398.47500000000002</v>
      </c>
      <c r="H2005" s="43">
        <f>IFERROR(G2005*E2001,"")</f>
        <v>0</v>
      </c>
    </row>
    <row r="2006" spans="1:11">
      <c r="A2006" s="28"/>
      <c r="B2006" s="29" t="s">
        <v>2671</v>
      </c>
      <c r="C2006" s="30" t="str">
        <f>IFERROR(_xlfn.XLOOKUP(B2006,Insumo[DESCRIPCION],Insumo[UND],,0),"")</f>
        <v>Un</v>
      </c>
      <c r="D2006" s="31">
        <v>0.33</v>
      </c>
      <c r="E2006" s="32">
        <f>IFERROR(_xlfn.XLOOKUP($B2006,Insumo[DESCRIPCION],Insumo[VALOR],,0),"")</f>
        <v>1575</v>
      </c>
      <c r="F2006" s="33"/>
      <c r="G2006" s="34">
        <f>IFERROR(IF(F2006&gt;=0,D2006*E2006*(1+F2006/100),ABS(D2006*E2006/F2006)),"")</f>
        <v>519.75</v>
      </c>
      <c r="H2006" s="43">
        <f>IFERROR(G2006*E2001,"")</f>
        <v>0</v>
      </c>
    </row>
    <row r="2007" spans="1:11">
      <c r="A2007" s="28"/>
      <c r="B2007" s="29"/>
      <c r="C2007" s="30" t="str">
        <f>IFERROR(_xlfn.XLOOKUP(B2007,Insumo[DESCRIPCION],Insumo[UND],,0),"")</f>
        <v/>
      </c>
      <c r="D2007" s="31"/>
      <c r="E2007" s="32" t="str">
        <f>IFERROR(_xlfn.XLOOKUP($B2007,Insumo[DESCRIPCION],Insumo[VALOR],,0),"")</f>
        <v/>
      </c>
      <c r="F2007" s="33"/>
      <c r="G2007" s="34" t="str">
        <f>IFERROR(IF(F2007&gt;=0,D2007*E2007*(1+F2007/100),ABS(D2007*E2007/F2007)),"")</f>
        <v/>
      </c>
      <c r="H2007" s="43" t="str">
        <f>IFERROR(G2007*E2001,"")</f>
        <v/>
      </c>
    </row>
    <row r="2008" spans="1:11">
      <c r="A2008" s="28"/>
      <c r="B2008" s="29"/>
      <c r="C2008" s="30" t="str">
        <f>IFERROR(_xlfn.XLOOKUP(B2008,Insumo[DESCRIPCION],Insumo[UND],,0),"")</f>
        <v/>
      </c>
      <c r="D2008" s="31"/>
      <c r="E2008" s="32" t="str">
        <f>IFERROR(_xlfn.XLOOKUP($B2008,Insumo[DESCRIPCION],Insumo[VALOR],,0),"")</f>
        <v/>
      </c>
      <c r="F2008" s="33"/>
      <c r="G2008" s="34" t="str">
        <f>IFERROR(IF(F2008&gt;=0,D2008*E2008*(1+F2008/100),ABS(D2008*E2008/F2008)),"")</f>
        <v/>
      </c>
      <c r="H2008" s="43" t="str">
        <f>IFERROR(G2008*E2001,"")</f>
        <v/>
      </c>
    </row>
    <row r="2009" spans="1:11">
      <c r="A2009" s="21"/>
      <c r="B2009" s="22" t="s">
        <v>3731</v>
      </c>
      <c r="C2009" s="23"/>
      <c r="D2009" s="24"/>
      <c r="E2009" s="25"/>
      <c r="F2009" s="26"/>
      <c r="G2009" s="27">
        <f>SUM(G2010:G2012)</f>
        <v>482.39850666428583</v>
      </c>
      <c r="H2009" s="44">
        <f>G2009*E2001</f>
        <v>0</v>
      </c>
    </row>
    <row r="2010" spans="1:11">
      <c r="A2010" s="28"/>
      <c r="B2010" s="29" t="s">
        <v>3626</v>
      </c>
      <c r="C2010" s="30" t="str">
        <f>IFERROR(_xlfn.XLOOKUP(B2010,Equipo[DESCRIPCION],Equipo[UND],,0),"")</f>
        <v>%MO</v>
      </c>
      <c r="D2010" s="31">
        <v>0.05</v>
      </c>
      <c r="E2010" s="32">
        <f>IF(C2010="%MO",G2016,IFERROR(_xlfn.XLOOKUP($B2010,Equipo[DESCRIPCION],Equipo[VALOR],,0),""))</f>
        <v>9647.9701332857167</v>
      </c>
      <c r="F2010" s="33"/>
      <c r="G2010" s="34">
        <f>IFERROR(IF(F2010&gt;=0,D2010*E2010*(1+F2010/100),ABS(D2010*E2010/F2010)),"")</f>
        <v>482.39850666428583</v>
      </c>
      <c r="H2010" s="43">
        <f>IFERROR(G2010*E2001,"")</f>
        <v>0</v>
      </c>
    </row>
    <row r="2011" spans="1:11">
      <c r="A2011" s="28"/>
      <c r="B2011" s="29"/>
      <c r="C2011" s="30" t="str">
        <f>IFERROR(_xlfn.XLOOKUP(B2011,Equipo[DESCRIPCION],Equipo[UND],,0),"")</f>
        <v/>
      </c>
      <c r="D2011" s="31"/>
      <c r="E2011" s="32" t="str">
        <f>IF(C2011="%MO",G2016,IFERROR(_xlfn.XLOOKUP($B2011,Equipo[DESCRIPCION],Equipo[VALOR],,0),""))</f>
        <v/>
      </c>
      <c r="F2011" s="33"/>
      <c r="G2011" s="34" t="str">
        <f>IFERROR(IF(F2011&gt;=0,D2011*E2011*(1+F2011/100),ABS(D2011*E2011/F2011)),"")</f>
        <v/>
      </c>
      <c r="H2011" s="43" t="str">
        <f>IFERROR(G2011*E2001,"")</f>
        <v/>
      </c>
    </row>
    <row r="2012" spans="1:11">
      <c r="A2012" s="28"/>
      <c r="B2012" s="29"/>
      <c r="C2012" s="30" t="str">
        <f>IFERROR(_xlfn.XLOOKUP(B2012,Equipo[DESCRIPCION],Equipo[UND],,0),"")</f>
        <v/>
      </c>
      <c r="D2012" s="31"/>
      <c r="E2012" s="32" t="str">
        <f>IF(C2012="%MO",G2016,IFERROR(_xlfn.XLOOKUP($B2012,Equipo[DESCRIPCION],Equipo[VALOR],,0),""))</f>
        <v/>
      </c>
      <c r="F2012" s="33"/>
      <c r="G2012" s="34" t="str">
        <f>IFERROR(IF(F2012&gt;=0,D2012*E2012*(1+F2012/100),ABS(D2012*E2012/F2012)),"")</f>
        <v/>
      </c>
      <c r="H2012" s="43" t="str">
        <f>IFERROR(G2012*E2001,"")</f>
        <v/>
      </c>
    </row>
    <row r="2013" spans="1:11">
      <c r="A2013" s="21"/>
      <c r="B2013" s="22" t="s">
        <v>2533</v>
      </c>
      <c r="C2013" s="23"/>
      <c r="D2013" s="24"/>
      <c r="E2013" s="25"/>
      <c r="F2013" s="26"/>
      <c r="G2013" s="27">
        <f>SUM(G2014:G2015)</f>
        <v>0</v>
      </c>
      <c r="H2013" s="44">
        <f>G2013*E2001</f>
        <v>0</v>
      </c>
    </row>
    <row r="2014" spans="1:11">
      <c r="A2014" s="28"/>
      <c r="B2014" s="29"/>
      <c r="C2014" s="30" t="str">
        <f>IFERROR(_xlfn.XLOOKUP(B2014,Transporte[DESCRIPCION],Transporte[UND],,0),"")</f>
        <v/>
      </c>
      <c r="D2014" s="31"/>
      <c r="E2014" s="32" t="str">
        <f>IFERROR(_xlfn.XLOOKUP($B2014,Transporte[DESCRIPCION],Transporte[VALOR],,0),"")</f>
        <v/>
      </c>
      <c r="F2014" s="33"/>
      <c r="G2014" s="34" t="str">
        <f>IFERROR(IF(F2014&gt;=0,D2014*E2014*(1+F2014/100),ABS(D2014*E2014/F2014)),"")</f>
        <v/>
      </c>
      <c r="H2014" s="43" t="str">
        <f>IFERROR(G2014*E2001,"")</f>
        <v/>
      </c>
    </row>
    <row r="2015" spans="1:11">
      <c r="A2015" s="28"/>
      <c r="B2015" s="29"/>
      <c r="C2015" s="30" t="str">
        <f>IFERROR(_xlfn.XLOOKUP(B2015,Transporte[DESCRIPCION],Transporte[UND],,0),"")</f>
        <v/>
      </c>
      <c r="D2015" s="31"/>
      <c r="E2015" s="32" t="str">
        <f>IFERROR(_xlfn.XLOOKUP($B2015,Transporte[DESCRIPCION],Transporte[VALOR],,0),"")</f>
        <v/>
      </c>
      <c r="F2015" s="33"/>
      <c r="G2015" s="34" t="str">
        <f>IFERROR(IF(F2015&gt;=0,D2015*E2015*(1+F2015/100),ABS(D2015*E2015/F2015)),"")</f>
        <v/>
      </c>
      <c r="H2015" s="43" t="str">
        <f>IFERROR(G2015*E2001,"")</f>
        <v/>
      </c>
    </row>
    <row r="2016" spans="1:11">
      <c r="A2016" s="21"/>
      <c r="B2016" s="22" t="s">
        <v>3732</v>
      </c>
      <c r="C2016" s="23"/>
      <c r="D2016" s="24"/>
      <c r="E2016" s="25"/>
      <c r="F2016" s="26"/>
      <c r="G2016" s="27">
        <f>SUM(G2017:G2019)</f>
        <v>9647.9701332857167</v>
      </c>
      <c r="H2016" s="44">
        <f>G2016*E2001</f>
        <v>0</v>
      </c>
    </row>
    <row r="2017" spans="1:11">
      <c r="A2017" s="28"/>
      <c r="B2017" s="29" t="s">
        <v>3715</v>
      </c>
      <c r="C2017" s="30" t="str">
        <f>IFERROR(_xlfn.XLOOKUP(B2017,MObra[DESCRIPCION],MObra[UN],,0),"")</f>
        <v>día</v>
      </c>
      <c r="D2017" s="31">
        <v>1</v>
      </c>
      <c r="E2017" s="32">
        <f>IFERROR(_xlfn.XLOOKUP($B2017,MObra[DESCRIPCION],MObra[VALOR UNIT],,0),"")</f>
        <v>337678.95466500008</v>
      </c>
      <c r="F2017" s="33">
        <v>-35</v>
      </c>
      <c r="G2017" s="34">
        <f>IFERROR(IF(F2017&gt;=0,D2017*E2017*(1+F2017/100),ABS(D2017*E2017/F2017)),"")</f>
        <v>9647.9701332857167</v>
      </c>
      <c r="H2017" s="43">
        <f>IFERROR(G2017*E2001,"")</f>
        <v>0</v>
      </c>
    </row>
    <row r="2018" spans="1:11">
      <c r="A2018" s="28"/>
      <c r="B2018" s="29"/>
      <c r="C2018" s="30" t="str">
        <f t="array" ref="C2018">IFERROR(_xlfn.XLOOKUP(B2018,MObra[[#All],[DESCRIPCION]],MObra[[#All],[UN]],,0),"")</f>
        <v/>
      </c>
      <c r="D2018" s="31"/>
      <c r="E2018" s="32" t="str">
        <f>IFERROR(_xlfn.XLOOKUP($B2018,MObra[DESCRIPCION],MObra[VALOR UNIT],,0),"")</f>
        <v/>
      </c>
      <c r="F2018" s="33"/>
      <c r="G2018" s="34" t="str">
        <f>IFERROR(IF(F2018&gt;=0,D2018*E2018*(1+F2018/100),ABS(D2018*E2018/F2018)),"")</f>
        <v/>
      </c>
      <c r="H2018" s="43" t="str">
        <f>IFERROR(G2018*E2001,"")</f>
        <v/>
      </c>
    </row>
    <row r="2019" spans="1:11" ht="13.15" thickBot="1">
      <c r="A2019" s="35"/>
      <c r="B2019" s="36"/>
      <c r="C2019" s="37" t="str">
        <f t="array" ref="C2019">IFERROR(_xlfn.XLOOKUP(B2019,MObra[[#All],[DESCRIPCION]],MObra[[#All],[UN]],,0),"")</f>
        <v/>
      </c>
      <c r="D2019" s="38"/>
      <c r="E2019" s="39" t="str">
        <f>IFERROR(_xlfn.XLOOKUP($B2019,MObra[DESCRIPCION],MObra[VALOR UNIT],,0),"")</f>
        <v/>
      </c>
      <c r="F2019" s="40"/>
      <c r="G2019" s="41" t="str">
        <f>IFERROR(IF(F2019&gt;=0,D2019*E2019*(1+F2019/100),ABS(D2019*E2019/F2019)),"")</f>
        <v/>
      </c>
      <c r="H2019" s="42" t="str">
        <f>IFERROR(G2019*E2001,"")</f>
        <v/>
      </c>
    </row>
    <row r="2020" spans="1:11" ht="12.75" customHeight="1" thickTop="1" thickBot="1"/>
    <row r="2021" spans="1:11" ht="13.5" thickTop="1" thickBot="1">
      <c r="A2021" s="6" t="s">
        <v>1077</v>
      </c>
      <c r="B2021" s="7" t="str">
        <f>VLOOKUP($A2021,Presupuesto!$A:$D,2,FALSE())</f>
        <v>Tubería PVC 3/4" empotrado, incluye accesorios</v>
      </c>
      <c r="C2021" s="8" t="str">
        <f>VLOOKUP($A2021,Presupuesto!$A:$D,3,FALSE())</f>
        <v>M</v>
      </c>
      <c r="D2021" s="9"/>
      <c r="E2021" s="10">
        <f>VLOOKUP($A2021,Presupuesto!$A:$D,4,FALSE())</f>
        <v>0</v>
      </c>
      <c r="F2021" s="11" t="s">
        <v>2589</v>
      </c>
      <c r="G2021" s="12">
        <f>SUM(G2023:G2039)/2</f>
        <v>16788.418639950003</v>
      </c>
      <c r="H2021" s="13">
        <f>ROUND(SUM(H2023:H2039),0)/2</f>
        <v>0</v>
      </c>
      <c r="I2021" s="10">
        <f>VLOOKUP(A2021,Presupuesto!$A:$F,6,0)</f>
        <v>0</v>
      </c>
      <c r="J2021" s="10">
        <f>+H2021-I2021</f>
        <v>0</v>
      </c>
      <c r="K2021" s="46">
        <f>+H2021-G2021*E2021</f>
        <v>0</v>
      </c>
    </row>
    <row r="2022" spans="1:11" ht="13.15" thickTop="1">
      <c r="A2022" s="14"/>
      <c r="B2022" s="15" t="s">
        <v>2586</v>
      </c>
      <c r="C2022" s="15" t="s">
        <v>5</v>
      </c>
      <c r="D2022" s="16" t="s">
        <v>6</v>
      </c>
      <c r="E2022" s="17" t="s">
        <v>7</v>
      </c>
      <c r="F2022" s="18" t="s">
        <v>3728</v>
      </c>
      <c r="G2022" s="19" t="s">
        <v>3729</v>
      </c>
      <c r="H2022" s="20" t="s">
        <v>3797</v>
      </c>
    </row>
    <row r="2023" spans="1:11">
      <c r="A2023" s="21"/>
      <c r="B2023" s="22" t="s">
        <v>3730</v>
      </c>
      <c r="C2023" s="23"/>
      <c r="D2023" s="24"/>
      <c r="E2023" s="25"/>
      <c r="F2023" s="26"/>
      <c r="G2023" s="27">
        <f>SUM(G2024:G2028)</f>
        <v>6658.05</v>
      </c>
      <c r="H2023" s="27">
        <f>IFERROR(G2023*E2021,"")</f>
        <v>0</v>
      </c>
    </row>
    <row r="2024" spans="1:11">
      <c r="A2024" s="28"/>
      <c r="B2024" s="29" t="s">
        <v>3436</v>
      </c>
      <c r="C2024" s="30" t="str">
        <f>IFERROR(_xlfn.XLOOKUP(B2024,Insumo[DESCRIPCION],Insumo[UND],,0),"")</f>
        <v>M</v>
      </c>
      <c r="D2024" s="31">
        <v>1</v>
      </c>
      <c r="E2024" s="32">
        <f>IFERROR(_xlfn.XLOOKUP($B2024,Insumo[DESCRIPCION],Insumo[VALOR],,0),"")</f>
        <v>4579.05</v>
      </c>
      <c r="F2024" s="33"/>
      <c r="G2024" s="34">
        <f>IFERROR(IF(F2024&gt;=0,D2024*E2024*(1+F2024/100),ABS(D2024*E2024/F2024)),"")</f>
        <v>4579.05</v>
      </c>
      <c r="H2024" s="43">
        <f>IFERROR(G2024*E2021,"")</f>
        <v>0</v>
      </c>
    </row>
    <row r="2025" spans="1:11">
      <c r="A2025" s="28"/>
      <c r="B2025" s="29" t="s">
        <v>2912</v>
      </c>
      <c r="C2025" s="30" t="str">
        <f>IFERROR(_xlfn.XLOOKUP(B2025,Insumo[DESCRIPCION],Insumo[UND],,0),"")</f>
        <v>Un</v>
      </c>
      <c r="D2025" s="31">
        <v>0.33</v>
      </c>
      <c r="E2025" s="32">
        <f>IFERROR(_xlfn.XLOOKUP($B2025,Insumo[DESCRIPCION],Insumo[VALOR],,0),"")</f>
        <v>4410</v>
      </c>
      <c r="F2025" s="33"/>
      <c r="G2025" s="34">
        <f>IFERROR(IF(F2025&gt;=0,D2025*E2025*(1+F2025/100),ABS(D2025*E2025/F2025)),"")</f>
        <v>1455.3000000000002</v>
      </c>
      <c r="H2025" s="43">
        <f>IFERROR(G2025*E2021,"")</f>
        <v>0</v>
      </c>
    </row>
    <row r="2026" spans="1:11">
      <c r="A2026" s="28"/>
      <c r="B2026" s="29" t="s">
        <v>2672</v>
      </c>
      <c r="C2026" s="30" t="str">
        <f>IFERROR(_xlfn.XLOOKUP(B2026,Insumo[DESCRIPCION],Insumo[UND],,0),"")</f>
        <v>Un</v>
      </c>
      <c r="D2026" s="31">
        <v>0.33</v>
      </c>
      <c r="E2026" s="32">
        <f>IFERROR(_xlfn.XLOOKUP($B2026,Insumo[DESCRIPCION],Insumo[VALOR],,0),"")</f>
        <v>1890</v>
      </c>
      <c r="F2026" s="33"/>
      <c r="G2026" s="34">
        <f>IFERROR(IF(F2026&gt;=0,D2026*E2026*(1+F2026/100),ABS(D2026*E2026/F2026)),"")</f>
        <v>623.70000000000005</v>
      </c>
      <c r="H2026" s="43">
        <f>IFERROR(G2026*E2021,"")</f>
        <v>0</v>
      </c>
    </row>
    <row r="2027" spans="1:11">
      <c r="A2027" s="28"/>
      <c r="B2027" s="29"/>
      <c r="C2027" s="30" t="str">
        <f>IFERROR(_xlfn.XLOOKUP(B2027,Insumo[DESCRIPCION],Insumo[UND],,0),"")</f>
        <v/>
      </c>
      <c r="D2027" s="31"/>
      <c r="E2027" s="32" t="str">
        <f>IFERROR(_xlfn.XLOOKUP($B2027,Insumo[DESCRIPCION],Insumo[VALOR],,0),"")</f>
        <v/>
      </c>
      <c r="F2027" s="33"/>
      <c r="G2027" s="34" t="str">
        <f>IFERROR(IF(F2027&gt;=0,D2027*E2027*(1+F2027/100),ABS(D2027*E2027/F2027)),"")</f>
        <v/>
      </c>
      <c r="H2027" s="43" t="str">
        <f>IFERROR(G2027*E2021,"")</f>
        <v/>
      </c>
    </row>
    <row r="2028" spans="1:11">
      <c r="A2028" s="28"/>
      <c r="B2028" s="29"/>
      <c r="C2028" s="30" t="str">
        <f>IFERROR(_xlfn.XLOOKUP(B2028,Insumo[DESCRIPCION],Insumo[UND],,0),"")</f>
        <v/>
      </c>
      <c r="D2028" s="31"/>
      <c r="E2028" s="32" t="str">
        <f>IFERROR(_xlfn.XLOOKUP($B2028,Insumo[DESCRIPCION],Insumo[VALOR],,0),"")</f>
        <v/>
      </c>
      <c r="F2028" s="33"/>
      <c r="G2028" s="34" t="str">
        <f>IFERROR(IF(F2028&gt;=0,D2028*E2028*(1+F2028/100),ABS(D2028*E2028/F2028)),"")</f>
        <v/>
      </c>
      <c r="H2028" s="43" t="str">
        <f>IFERROR(G2028*E2021,"")</f>
        <v/>
      </c>
    </row>
    <row r="2029" spans="1:11">
      <c r="A2029" s="21"/>
      <c r="B2029" s="22" t="s">
        <v>3731</v>
      </c>
      <c r="C2029" s="23"/>
      <c r="D2029" s="24"/>
      <c r="E2029" s="25"/>
      <c r="F2029" s="26"/>
      <c r="G2029" s="27">
        <f>SUM(G2030:G2032)</f>
        <v>482.39850666428583</v>
      </c>
      <c r="H2029" s="44">
        <f>G2029*E2021</f>
        <v>0</v>
      </c>
    </row>
    <row r="2030" spans="1:11">
      <c r="A2030" s="28"/>
      <c r="B2030" s="29" t="s">
        <v>3626</v>
      </c>
      <c r="C2030" s="30" t="str">
        <f>IFERROR(_xlfn.XLOOKUP(B2030,Equipo[DESCRIPCION],Equipo[UND],,0),"")</f>
        <v>%MO</v>
      </c>
      <c r="D2030" s="31">
        <v>0.05</v>
      </c>
      <c r="E2030" s="32">
        <f>IF(C2030="%MO",G2036,IFERROR(_xlfn.XLOOKUP($B2030,Equipo[DESCRIPCION],Equipo[VALOR],,0),""))</f>
        <v>9647.9701332857167</v>
      </c>
      <c r="F2030" s="33"/>
      <c r="G2030" s="34">
        <f>IFERROR(IF(F2030&gt;=0,D2030*E2030*(1+F2030/100),ABS(D2030*E2030/F2030)),"")</f>
        <v>482.39850666428583</v>
      </c>
      <c r="H2030" s="43">
        <f>IFERROR(G2030*E2021,"")</f>
        <v>0</v>
      </c>
    </row>
    <row r="2031" spans="1:11">
      <c r="A2031" s="28"/>
      <c r="B2031" s="29"/>
      <c r="C2031" s="30" t="str">
        <f>IFERROR(_xlfn.XLOOKUP(B2031,Equipo[DESCRIPCION],Equipo[UND],,0),"")</f>
        <v/>
      </c>
      <c r="D2031" s="31"/>
      <c r="E2031" s="32" t="str">
        <f>IF(C2031="%MO",G2036,IFERROR(_xlfn.XLOOKUP($B2031,Equipo[DESCRIPCION],Equipo[VALOR],,0),""))</f>
        <v/>
      </c>
      <c r="F2031" s="33"/>
      <c r="G2031" s="34" t="str">
        <f>IFERROR(IF(F2031&gt;=0,D2031*E2031*(1+F2031/100),ABS(D2031*E2031/F2031)),"")</f>
        <v/>
      </c>
      <c r="H2031" s="43" t="str">
        <f>IFERROR(G2031*E2021,"")</f>
        <v/>
      </c>
    </row>
    <row r="2032" spans="1:11">
      <c r="A2032" s="28"/>
      <c r="B2032" s="29"/>
      <c r="C2032" s="30" t="str">
        <f>IFERROR(_xlfn.XLOOKUP(B2032,Equipo[DESCRIPCION],Equipo[UND],,0),"")</f>
        <v/>
      </c>
      <c r="D2032" s="31"/>
      <c r="E2032" s="32" t="str">
        <f>IF(C2032="%MO",G2036,IFERROR(_xlfn.XLOOKUP($B2032,Equipo[DESCRIPCION],Equipo[VALOR],,0),""))</f>
        <v/>
      </c>
      <c r="F2032" s="33"/>
      <c r="G2032" s="34" t="str">
        <f>IFERROR(IF(F2032&gt;=0,D2032*E2032*(1+F2032/100),ABS(D2032*E2032/F2032)),"")</f>
        <v/>
      </c>
      <c r="H2032" s="43" t="str">
        <f>IFERROR(G2032*E2021,"")</f>
        <v/>
      </c>
    </row>
    <row r="2033" spans="1:11">
      <c r="A2033" s="21"/>
      <c r="B2033" s="22" t="s">
        <v>2533</v>
      </c>
      <c r="C2033" s="23"/>
      <c r="D2033" s="24"/>
      <c r="E2033" s="25"/>
      <c r="F2033" s="26"/>
      <c r="G2033" s="27">
        <f>SUM(G2034:G2035)</f>
        <v>0</v>
      </c>
      <c r="H2033" s="44">
        <f>G2033*E2021</f>
        <v>0</v>
      </c>
    </row>
    <row r="2034" spans="1:11">
      <c r="A2034" s="28"/>
      <c r="B2034" s="29"/>
      <c r="C2034" s="30" t="str">
        <f>IFERROR(_xlfn.XLOOKUP(B2034,Transporte[DESCRIPCION],Transporte[UND],,0),"")</f>
        <v/>
      </c>
      <c r="D2034" s="31"/>
      <c r="E2034" s="32" t="str">
        <f>IFERROR(_xlfn.XLOOKUP($B2034,Transporte[DESCRIPCION],Transporte[VALOR],,0),"")</f>
        <v/>
      </c>
      <c r="F2034" s="33"/>
      <c r="G2034" s="34" t="str">
        <f>IFERROR(IF(F2034&gt;=0,D2034*E2034*(1+F2034/100),ABS(D2034*E2034/F2034)),"")</f>
        <v/>
      </c>
      <c r="H2034" s="43" t="str">
        <f>IFERROR(G2034*E2021,"")</f>
        <v/>
      </c>
    </row>
    <row r="2035" spans="1:11">
      <c r="A2035" s="28"/>
      <c r="B2035" s="29"/>
      <c r="C2035" s="30" t="str">
        <f>IFERROR(_xlfn.XLOOKUP(B2035,Transporte[DESCRIPCION],Transporte[UND],,0),"")</f>
        <v/>
      </c>
      <c r="D2035" s="31"/>
      <c r="E2035" s="32" t="str">
        <f>IFERROR(_xlfn.XLOOKUP($B2035,Transporte[DESCRIPCION],Transporte[VALOR],,0),"")</f>
        <v/>
      </c>
      <c r="F2035" s="33"/>
      <c r="G2035" s="34" t="str">
        <f>IFERROR(IF(F2035&gt;=0,D2035*E2035*(1+F2035/100),ABS(D2035*E2035/F2035)),"")</f>
        <v/>
      </c>
      <c r="H2035" s="43" t="str">
        <f>IFERROR(G2035*E2021,"")</f>
        <v/>
      </c>
    </row>
    <row r="2036" spans="1:11">
      <c r="A2036" s="21"/>
      <c r="B2036" s="22" t="s">
        <v>3732</v>
      </c>
      <c r="C2036" s="23"/>
      <c r="D2036" s="24"/>
      <c r="E2036" s="25"/>
      <c r="F2036" s="26"/>
      <c r="G2036" s="27">
        <f>SUM(G2037:G2039)</f>
        <v>9647.9701332857167</v>
      </c>
      <c r="H2036" s="44">
        <f>G2036*E2021</f>
        <v>0</v>
      </c>
    </row>
    <row r="2037" spans="1:11">
      <c r="A2037" s="28"/>
      <c r="B2037" s="29" t="s">
        <v>3715</v>
      </c>
      <c r="C2037" s="30" t="str">
        <f>IFERROR(_xlfn.XLOOKUP(B2037,MObra[DESCRIPCION],MObra[UN],,0),"")</f>
        <v>día</v>
      </c>
      <c r="D2037" s="31">
        <v>1</v>
      </c>
      <c r="E2037" s="32">
        <f>IFERROR(_xlfn.XLOOKUP($B2037,MObra[DESCRIPCION],MObra[VALOR UNIT],,0),"")</f>
        <v>337678.95466500008</v>
      </c>
      <c r="F2037" s="33">
        <v>-35</v>
      </c>
      <c r="G2037" s="34">
        <f>IFERROR(IF(F2037&gt;=0,D2037*E2037*(1+F2037/100),ABS(D2037*E2037/F2037)),"")</f>
        <v>9647.9701332857167</v>
      </c>
      <c r="H2037" s="43">
        <f>IFERROR(G2037*E2021,"")</f>
        <v>0</v>
      </c>
    </row>
    <row r="2038" spans="1:11">
      <c r="A2038" s="28"/>
      <c r="B2038" s="29"/>
      <c r="C2038" s="30" t="str">
        <f t="array" ref="C2038">IFERROR(_xlfn.XLOOKUP(B2038,MObra[[#All],[DESCRIPCION]],MObra[[#All],[UN]],,0),"")</f>
        <v/>
      </c>
      <c r="D2038" s="31"/>
      <c r="E2038" s="32" t="str">
        <f>IFERROR(_xlfn.XLOOKUP($B2038,MObra[DESCRIPCION],MObra[VALOR UNIT],,0),"")</f>
        <v/>
      </c>
      <c r="F2038" s="33"/>
      <c r="G2038" s="34" t="str">
        <f>IFERROR(IF(F2038&gt;=0,D2038*E2038*(1+F2038/100),ABS(D2038*E2038/F2038)),"")</f>
        <v/>
      </c>
      <c r="H2038" s="43" t="str">
        <f>IFERROR(G2038*E2021,"")</f>
        <v/>
      </c>
    </row>
    <row r="2039" spans="1:11" ht="13.15" thickBot="1">
      <c r="A2039" s="35"/>
      <c r="B2039" s="36"/>
      <c r="C2039" s="37" t="str">
        <f t="array" ref="C2039">IFERROR(_xlfn.XLOOKUP(B2039,MObra[[#All],[DESCRIPCION]],MObra[[#All],[UN]],,0),"")</f>
        <v/>
      </c>
      <c r="D2039" s="38"/>
      <c r="E2039" s="39" t="str">
        <f>IFERROR(_xlfn.XLOOKUP($B2039,MObra[DESCRIPCION],MObra[VALOR UNIT],,0),"")</f>
        <v/>
      </c>
      <c r="F2039" s="40"/>
      <c r="G2039" s="41" t="str">
        <f>IFERROR(IF(F2039&gt;=0,D2039*E2039*(1+F2039/100),ABS(D2039*E2039/F2039)),"")</f>
        <v/>
      </c>
      <c r="H2039" s="42" t="str">
        <f>IFERROR(G2039*E2021,"")</f>
        <v/>
      </c>
    </row>
    <row r="2040" spans="1:11" ht="12.75" customHeight="1" thickTop="1" thickBot="1"/>
    <row r="2041" spans="1:11" ht="13.5" thickTop="1" thickBot="1">
      <c r="A2041" s="6" t="s">
        <v>1079</v>
      </c>
      <c r="B2041" s="7" t="str">
        <f>VLOOKUP($A2041,Presupuesto!$A:$D,2,FALSE())</f>
        <v>Tubería PVC 1" empotrado, incluye accesorios</v>
      </c>
      <c r="C2041" s="8" t="str">
        <f>VLOOKUP($A2041,Presupuesto!$A:$D,3,FALSE())</f>
        <v>M</v>
      </c>
      <c r="D2041" s="9"/>
      <c r="E2041" s="10">
        <f>VLOOKUP($A2041,Presupuesto!$A:$D,4,FALSE())</f>
        <v>0</v>
      </c>
      <c r="F2041" s="11" t="s">
        <v>2589</v>
      </c>
      <c r="G2041" s="12">
        <f>SUM(G2043:G2059)/2</f>
        <v>20239.480375704548</v>
      </c>
      <c r="H2041" s="13">
        <f>ROUND(SUM(H2043:H2059),0)/2</f>
        <v>0</v>
      </c>
      <c r="I2041" s="10">
        <f>VLOOKUP(A2041,Presupuesto!$A:$F,6,0)</f>
        <v>0</v>
      </c>
      <c r="J2041" s="10">
        <f>+H2041-I2041</f>
        <v>0</v>
      </c>
      <c r="K2041" s="46">
        <f>+H2041-G2041*E2041</f>
        <v>0</v>
      </c>
    </row>
    <row r="2042" spans="1:11">
      <c r="A2042" s="14"/>
      <c r="B2042" s="15" t="s">
        <v>2586</v>
      </c>
      <c r="C2042" s="15" t="s">
        <v>5</v>
      </c>
      <c r="D2042" s="16" t="s">
        <v>6</v>
      </c>
      <c r="E2042" s="17" t="s">
        <v>7</v>
      </c>
      <c r="F2042" s="18" t="s">
        <v>3728</v>
      </c>
      <c r="G2042" s="19" t="s">
        <v>3729</v>
      </c>
      <c r="H2042" s="20" t="s">
        <v>3797</v>
      </c>
    </row>
    <row r="2043" spans="1:11">
      <c r="A2043" s="21"/>
      <c r="B2043" s="22" t="s">
        <v>3730</v>
      </c>
      <c r="C2043" s="23"/>
      <c r="D2043" s="24"/>
      <c r="E2043" s="25"/>
      <c r="F2043" s="26"/>
      <c r="G2043" s="27">
        <f>SUM(G2044:G2048)</f>
        <v>9495.1500000000015</v>
      </c>
      <c r="H2043" s="27">
        <f>IFERROR(G2043*E2041,"")</f>
        <v>0</v>
      </c>
    </row>
    <row r="2044" spans="1:11">
      <c r="A2044" s="28"/>
      <c r="B2044" s="29" t="s">
        <v>3435</v>
      </c>
      <c r="C2044" s="30" t="str">
        <f>IFERROR(_xlfn.XLOOKUP(B2044,Insumo[DESCRIPCION],Insumo[UND],,0),"")</f>
        <v>M</v>
      </c>
      <c r="D2044" s="31">
        <v>1</v>
      </c>
      <c r="E2044" s="32">
        <f>IFERROR(_xlfn.XLOOKUP($B2044,Insumo[DESCRIPCION],Insumo[VALOR],,0),"")</f>
        <v>6376.6500000000005</v>
      </c>
      <c r="F2044" s="33"/>
      <c r="G2044" s="34">
        <f>IFERROR(IF(F2044&gt;=0,D2044*E2044*(1+F2044/100),ABS(D2044*E2044/F2044)),"")</f>
        <v>6376.6500000000005</v>
      </c>
      <c r="H2044" s="43">
        <f>IFERROR(G2044*E2041,"")</f>
        <v>0</v>
      </c>
    </row>
    <row r="2045" spans="1:11">
      <c r="A2045" s="28"/>
      <c r="B2045" s="29" t="s">
        <v>2910</v>
      </c>
      <c r="C2045" s="30" t="str">
        <f>IFERROR(_xlfn.XLOOKUP(B2045,Insumo[DESCRIPCION],Insumo[UND],,0),"")</f>
        <v>Un</v>
      </c>
      <c r="D2045" s="31">
        <v>0.33</v>
      </c>
      <c r="E2045" s="32">
        <f>IFERROR(_xlfn.XLOOKUP($B2045,Insumo[DESCRIPCION],Insumo[VALOR],,0),"")</f>
        <v>6825</v>
      </c>
      <c r="F2045" s="33"/>
      <c r="G2045" s="34">
        <f>IFERROR(IF(F2045&gt;=0,D2045*E2045*(1+F2045/100),ABS(D2045*E2045/F2045)),"")</f>
        <v>2252.25</v>
      </c>
      <c r="H2045" s="43">
        <f>IFERROR(G2045*E2041,"")</f>
        <v>0</v>
      </c>
    </row>
    <row r="2046" spans="1:11">
      <c r="A2046" s="28"/>
      <c r="B2046" s="29" t="s">
        <v>2673</v>
      </c>
      <c r="C2046" s="30" t="str">
        <f>IFERROR(_xlfn.XLOOKUP(B2046,Insumo[DESCRIPCION],Insumo[UND],,0),"")</f>
        <v>Un</v>
      </c>
      <c r="D2046" s="31">
        <v>0.33</v>
      </c>
      <c r="E2046" s="32">
        <f>IFERROR(_xlfn.XLOOKUP($B2046,Insumo[DESCRIPCION],Insumo[VALOR],,0),"")</f>
        <v>2625</v>
      </c>
      <c r="F2046" s="33"/>
      <c r="G2046" s="34">
        <f>IFERROR(IF(F2046&gt;=0,D2046*E2046*(1+F2046/100),ABS(D2046*E2046/F2046)),"")</f>
        <v>866.25</v>
      </c>
      <c r="H2046" s="43">
        <f>IFERROR(G2046*E2041,"")</f>
        <v>0</v>
      </c>
    </row>
    <row r="2047" spans="1:11">
      <c r="A2047" s="28"/>
      <c r="B2047" s="29"/>
      <c r="C2047" s="30" t="str">
        <f>IFERROR(_xlfn.XLOOKUP(B2047,Insumo[DESCRIPCION],Insumo[UND],,0),"")</f>
        <v/>
      </c>
      <c r="D2047" s="31"/>
      <c r="E2047" s="32" t="str">
        <f>IFERROR(_xlfn.XLOOKUP($B2047,Insumo[DESCRIPCION],Insumo[VALOR],,0),"")</f>
        <v/>
      </c>
      <c r="F2047" s="33"/>
      <c r="G2047" s="34" t="str">
        <f>IFERROR(IF(F2047&gt;=0,D2047*E2047*(1+F2047/100),ABS(D2047*E2047/F2047)),"")</f>
        <v/>
      </c>
      <c r="H2047" s="43" t="str">
        <f>IFERROR(G2047*E2041,"")</f>
        <v/>
      </c>
    </row>
    <row r="2048" spans="1:11">
      <c r="A2048" s="28"/>
      <c r="B2048" s="29"/>
      <c r="C2048" s="30" t="str">
        <f>IFERROR(_xlfn.XLOOKUP(B2048,Insumo[DESCRIPCION],Insumo[UND],,0),"")</f>
        <v/>
      </c>
      <c r="D2048" s="31"/>
      <c r="E2048" s="32" t="str">
        <f>IFERROR(_xlfn.XLOOKUP($B2048,Insumo[DESCRIPCION],Insumo[VALOR],,0),"")</f>
        <v/>
      </c>
      <c r="F2048" s="33"/>
      <c r="G2048" s="34" t="str">
        <f>IFERROR(IF(F2048&gt;=0,D2048*E2048*(1+F2048/100),ABS(D2048*E2048/F2048)),"")</f>
        <v/>
      </c>
      <c r="H2048" s="43" t="str">
        <f>IFERROR(G2048*E2041,"")</f>
        <v/>
      </c>
    </row>
    <row r="2049" spans="1:11">
      <c r="A2049" s="21"/>
      <c r="B2049" s="22" t="s">
        <v>3731</v>
      </c>
      <c r="C2049" s="23"/>
      <c r="D2049" s="24"/>
      <c r="E2049" s="25"/>
      <c r="F2049" s="26"/>
      <c r="G2049" s="27">
        <f>SUM(G2050:G2052)</f>
        <v>511.63477979545473</v>
      </c>
      <c r="H2049" s="44">
        <f>G2049*E2041</f>
        <v>0</v>
      </c>
    </row>
    <row r="2050" spans="1:11">
      <c r="A2050" s="28"/>
      <c r="B2050" s="29" t="s">
        <v>3626</v>
      </c>
      <c r="C2050" s="30" t="str">
        <f>IFERROR(_xlfn.XLOOKUP(B2050,Equipo[DESCRIPCION],Equipo[UND],,0),"")</f>
        <v>%MO</v>
      </c>
      <c r="D2050" s="31">
        <v>0.05</v>
      </c>
      <c r="E2050" s="32">
        <f>IF(C2050="%MO",G2056,IFERROR(_xlfn.XLOOKUP($B2050,Equipo[DESCRIPCION],Equipo[VALOR],,0),""))</f>
        <v>10232.695595909094</v>
      </c>
      <c r="F2050" s="33"/>
      <c r="G2050" s="34">
        <f>IFERROR(IF(F2050&gt;=0,D2050*E2050*(1+F2050/100),ABS(D2050*E2050/F2050)),"")</f>
        <v>511.63477979545473</v>
      </c>
      <c r="H2050" s="43">
        <f>IFERROR(G2050*E2041,"")</f>
        <v>0</v>
      </c>
    </row>
    <row r="2051" spans="1:11">
      <c r="A2051" s="28"/>
      <c r="B2051" s="29"/>
      <c r="C2051" s="30" t="str">
        <f>IFERROR(_xlfn.XLOOKUP(B2051,Equipo[DESCRIPCION],Equipo[UND],,0),"")</f>
        <v/>
      </c>
      <c r="D2051" s="31"/>
      <c r="E2051" s="32" t="str">
        <f>IF(C2051="%MO",G2056,IFERROR(_xlfn.XLOOKUP($B2051,Equipo[DESCRIPCION],Equipo[VALOR],,0),""))</f>
        <v/>
      </c>
      <c r="F2051" s="33"/>
      <c r="G2051" s="34" t="str">
        <f>IFERROR(IF(F2051&gt;=0,D2051*E2051*(1+F2051/100),ABS(D2051*E2051/F2051)),"")</f>
        <v/>
      </c>
      <c r="H2051" s="43" t="str">
        <f>IFERROR(G2051*E2041,"")</f>
        <v/>
      </c>
    </row>
    <row r="2052" spans="1:11">
      <c r="A2052" s="28"/>
      <c r="B2052" s="29"/>
      <c r="C2052" s="30" t="str">
        <f>IFERROR(_xlfn.XLOOKUP(B2052,Equipo[DESCRIPCION],Equipo[UND],,0),"")</f>
        <v/>
      </c>
      <c r="D2052" s="31"/>
      <c r="E2052" s="32" t="str">
        <f>IF(C2052="%MO",G2056,IFERROR(_xlfn.XLOOKUP($B2052,Equipo[DESCRIPCION],Equipo[VALOR],,0),""))</f>
        <v/>
      </c>
      <c r="F2052" s="33"/>
      <c r="G2052" s="34" t="str">
        <f>IFERROR(IF(F2052&gt;=0,D2052*E2052*(1+F2052/100),ABS(D2052*E2052/F2052)),"")</f>
        <v/>
      </c>
      <c r="H2052" s="43" t="str">
        <f>IFERROR(G2052*E2041,"")</f>
        <v/>
      </c>
    </row>
    <row r="2053" spans="1:11">
      <c r="A2053" s="21"/>
      <c r="B2053" s="22" t="s">
        <v>2533</v>
      </c>
      <c r="C2053" s="23"/>
      <c r="D2053" s="24"/>
      <c r="E2053" s="25"/>
      <c r="F2053" s="26"/>
      <c r="G2053" s="27">
        <f>SUM(G2054:G2055)</f>
        <v>0</v>
      </c>
      <c r="H2053" s="44">
        <f>G2053*E2041</f>
        <v>0</v>
      </c>
    </row>
    <row r="2054" spans="1:11">
      <c r="A2054" s="28"/>
      <c r="B2054" s="29"/>
      <c r="C2054" s="30" t="str">
        <f>IFERROR(_xlfn.XLOOKUP(B2054,Transporte[DESCRIPCION],Transporte[UND],,0),"")</f>
        <v/>
      </c>
      <c r="D2054" s="31"/>
      <c r="E2054" s="32" t="str">
        <f>IFERROR(_xlfn.XLOOKUP($B2054,Transporte[DESCRIPCION],Transporte[VALOR],,0),"")</f>
        <v/>
      </c>
      <c r="F2054" s="33"/>
      <c r="G2054" s="34" t="str">
        <f>IFERROR(IF(F2054&gt;=0,D2054*E2054*(1+F2054/100),ABS(D2054*E2054/F2054)),"")</f>
        <v/>
      </c>
      <c r="H2054" s="43" t="str">
        <f>IFERROR(G2054*E2041,"")</f>
        <v/>
      </c>
    </row>
    <row r="2055" spans="1:11">
      <c r="A2055" s="28"/>
      <c r="B2055" s="29"/>
      <c r="C2055" s="30" t="str">
        <f>IFERROR(_xlfn.XLOOKUP(B2055,Transporte[DESCRIPCION],Transporte[UND],,0),"")</f>
        <v/>
      </c>
      <c r="D2055" s="31"/>
      <c r="E2055" s="32" t="str">
        <f>IFERROR(_xlfn.XLOOKUP($B2055,Transporte[DESCRIPCION],Transporte[VALOR],,0),"")</f>
        <v/>
      </c>
      <c r="F2055" s="33"/>
      <c r="G2055" s="34" t="str">
        <f>IFERROR(IF(F2055&gt;=0,D2055*E2055*(1+F2055/100),ABS(D2055*E2055/F2055)),"")</f>
        <v/>
      </c>
      <c r="H2055" s="43" t="str">
        <f>IFERROR(G2055*E2041,"")</f>
        <v/>
      </c>
    </row>
    <row r="2056" spans="1:11">
      <c r="A2056" s="21"/>
      <c r="B2056" s="22" t="s">
        <v>3732</v>
      </c>
      <c r="C2056" s="23"/>
      <c r="D2056" s="24"/>
      <c r="E2056" s="25"/>
      <c r="F2056" s="26"/>
      <c r="G2056" s="27">
        <f>SUM(G2057:G2059)</f>
        <v>10232.695595909094</v>
      </c>
      <c r="H2056" s="44">
        <f>G2056*E2041</f>
        <v>0</v>
      </c>
    </row>
    <row r="2057" spans="1:11">
      <c r="A2057" s="28"/>
      <c r="B2057" s="29" t="s">
        <v>3715</v>
      </c>
      <c r="C2057" s="30" t="str">
        <f>IFERROR(_xlfn.XLOOKUP(B2057,MObra[DESCRIPCION],MObra[UN],,0),"")</f>
        <v>día</v>
      </c>
      <c r="D2057" s="31">
        <v>1</v>
      </c>
      <c r="E2057" s="32">
        <f>IFERROR(_xlfn.XLOOKUP($B2057,MObra[DESCRIPCION],MObra[VALOR UNIT],,0),"")</f>
        <v>337678.95466500008</v>
      </c>
      <c r="F2057" s="33">
        <v>-33</v>
      </c>
      <c r="G2057" s="34">
        <f>IFERROR(IF(F2057&gt;=0,D2057*E2057*(1+F2057/100),ABS(D2057*E2057/F2057)),"")</f>
        <v>10232.695595909094</v>
      </c>
      <c r="H2057" s="43">
        <f>IFERROR(G2057*E2041,"")</f>
        <v>0</v>
      </c>
    </row>
    <row r="2058" spans="1:11">
      <c r="A2058" s="28"/>
      <c r="B2058" s="29"/>
      <c r="C2058" s="30" t="str">
        <f t="array" ref="C2058">IFERROR(_xlfn.XLOOKUP(B2058,MObra[[#All],[DESCRIPCION]],MObra[[#All],[UN]],,0),"")</f>
        <v/>
      </c>
      <c r="D2058" s="31"/>
      <c r="E2058" s="32" t="str">
        <f>IFERROR(_xlfn.XLOOKUP($B2058,MObra[DESCRIPCION],MObra[VALOR UNIT],,0),"")</f>
        <v/>
      </c>
      <c r="F2058" s="33"/>
      <c r="G2058" s="34" t="str">
        <f>IFERROR(IF(F2058&gt;=0,D2058*E2058*(1+F2058/100),ABS(D2058*E2058/F2058)),"")</f>
        <v/>
      </c>
      <c r="H2058" s="43" t="str">
        <f>IFERROR(G2058*E2041,"")</f>
        <v/>
      </c>
    </row>
    <row r="2059" spans="1:11">
      <c r="A2059" s="35"/>
      <c r="B2059" s="36"/>
      <c r="C2059" s="37" t="str">
        <f t="array" ref="C2059">IFERROR(_xlfn.XLOOKUP(B2059,MObra[[#All],[DESCRIPCION]],MObra[[#All],[UN]],,0),"")</f>
        <v/>
      </c>
      <c r="D2059" s="38"/>
      <c r="E2059" s="39" t="str">
        <f>IFERROR(_xlfn.XLOOKUP($B2059,MObra[DESCRIPCION],MObra[VALOR UNIT],,0),"")</f>
        <v/>
      </c>
      <c r="F2059" s="40"/>
      <c r="G2059" s="41" t="str">
        <f>IFERROR(IF(F2059&gt;=0,D2059*E2059*(1+F2059/100),ABS(D2059*E2059/F2059)),"")</f>
        <v/>
      </c>
      <c r="H2059" s="42" t="str">
        <f>IFERROR(G2059*E2041,"")</f>
        <v/>
      </c>
    </row>
    <row r="2060" spans="1:11" ht="12.75" customHeight="1" thickTop="1" thickBot="1"/>
    <row r="2061" spans="1:11" ht="13.5" thickTop="1" thickBot="1">
      <c r="A2061" s="6" t="s">
        <v>1081</v>
      </c>
      <c r="B2061" s="7" t="str">
        <f>VLOOKUP($A2061,Presupuesto!$A:$D,2,FALSE())</f>
        <v>Tubería PVC 1 1/2" empotrado, incluye accesorios</v>
      </c>
      <c r="C2061" s="8" t="str">
        <f>VLOOKUP($A2061,Presupuesto!$A:$D,3,FALSE())</f>
        <v>M</v>
      </c>
      <c r="D2061" s="9"/>
      <c r="E2061" s="10">
        <f>VLOOKUP($A2061,Presupuesto!$A:$D,4,FALSE())</f>
        <v>0</v>
      </c>
      <c r="F2061" s="11" t="s">
        <v>2589</v>
      </c>
      <c r="G2061" s="12">
        <f>SUM(G2063:G2079)/2</f>
        <v>28424.412980588713</v>
      </c>
      <c r="H2061" s="13">
        <f>ROUND(SUM(H2063:H2079),0)/2</f>
        <v>0</v>
      </c>
      <c r="I2061" s="10">
        <f>VLOOKUP(A2061,Presupuesto!$A:$F,6,0)</f>
        <v>0</v>
      </c>
      <c r="J2061" s="10">
        <f>+H2061-I2061</f>
        <v>0</v>
      </c>
      <c r="K2061" s="46">
        <f>+H2061-G2061*E2061</f>
        <v>0</v>
      </c>
    </row>
    <row r="2062" spans="1:11">
      <c r="A2062" s="14"/>
      <c r="B2062" s="15" t="s">
        <v>2586</v>
      </c>
      <c r="C2062" s="15" t="s">
        <v>5</v>
      </c>
      <c r="D2062" s="16" t="s">
        <v>6</v>
      </c>
      <c r="E2062" s="17" t="s">
        <v>7</v>
      </c>
      <c r="F2062" s="18" t="s">
        <v>3728</v>
      </c>
      <c r="G2062" s="19" t="s">
        <v>3729</v>
      </c>
      <c r="H2062" s="20" t="s">
        <v>3797</v>
      </c>
    </row>
    <row r="2063" spans="1:11">
      <c r="A2063" s="21"/>
      <c r="B2063" s="22" t="s">
        <v>3730</v>
      </c>
      <c r="C2063" s="23"/>
      <c r="D2063" s="24"/>
      <c r="E2063" s="25"/>
      <c r="F2063" s="26"/>
      <c r="G2063" s="27">
        <f>SUM(G2064:G2068)</f>
        <v>16986.900000000001</v>
      </c>
      <c r="H2063" s="27">
        <f>IFERROR(G2063*E2061,"")</f>
        <v>0</v>
      </c>
    </row>
    <row r="2064" spans="1:11">
      <c r="A2064" s="28"/>
      <c r="B2064" s="29" t="s">
        <v>3434</v>
      </c>
      <c r="C2064" s="30" t="str">
        <f>IFERROR(_xlfn.XLOOKUP(B2064,Insumo[DESCRIPCION],Insumo[UND],,0),"")</f>
        <v>M</v>
      </c>
      <c r="D2064" s="31">
        <v>1</v>
      </c>
      <c r="E2064" s="32">
        <f>IFERROR(_xlfn.XLOOKUP($B2064,Insumo[DESCRIPCION],Insumo[VALOR],,0),"")</f>
        <v>12794.25</v>
      </c>
      <c r="F2064" s="33"/>
      <c r="G2064" s="34">
        <f>IFERROR(IF(F2064&gt;=0,D2064*E2064*(1+F2064/100),ABS(D2064*E2064/F2064)),"")</f>
        <v>12794.25</v>
      </c>
      <c r="H2064" s="43">
        <f>IFERROR(G2064*E2061,"")</f>
        <v>0</v>
      </c>
    </row>
    <row r="2065" spans="1:8">
      <c r="A2065" s="28"/>
      <c r="B2065" s="29" t="s">
        <v>2909</v>
      </c>
      <c r="C2065" s="30" t="str">
        <f>IFERROR(_xlfn.XLOOKUP(B2065,Insumo[DESCRIPCION],Insumo[UND],,0),"")</f>
        <v>Un</v>
      </c>
      <c r="D2065" s="31">
        <v>0.33</v>
      </c>
      <c r="E2065" s="32">
        <f>IFERROR(_xlfn.XLOOKUP($B2065,Insumo[DESCRIPCION],Insumo[VALOR],,0),"")</f>
        <v>8925</v>
      </c>
      <c r="F2065" s="33"/>
      <c r="G2065" s="34">
        <f>IFERROR(IF(F2065&gt;=0,D2065*E2065*(1+F2065/100),ABS(D2065*E2065/F2065)),"")</f>
        <v>2945.25</v>
      </c>
      <c r="H2065" s="43">
        <f>IFERROR(G2065*E2061,"")</f>
        <v>0</v>
      </c>
    </row>
    <row r="2066" spans="1:8">
      <c r="A2066" s="28"/>
      <c r="B2066" s="29" t="s">
        <v>2674</v>
      </c>
      <c r="C2066" s="30" t="str">
        <f>IFERROR(_xlfn.XLOOKUP(B2066,Insumo[DESCRIPCION],Insumo[UND],,0),"")</f>
        <v>Un</v>
      </c>
      <c r="D2066" s="31">
        <v>0.33</v>
      </c>
      <c r="E2066" s="32">
        <f>IFERROR(_xlfn.XLOOKUP($B2066,Insumo[DESCRIPCION],Insumo[VALOR],,0),"")</f>
        <v>3780</v>
      </c>
      <c r="F2066" s="33"/>
      <c r="G2066" s="34">
        <f>IFERROR(IF(F2066&gt;=0,D2066*E2066*(1+F2066/100),ABS(D2066*E2066/F2066)),"")</f>
        <v>1247.4000000000001</v>
      </c>
      <c r="H2066" s="43">
        <f>IFERROR(G2066*E2061,"")</f>
        <v>0</v>
      </c>
    </row>
    <row r="2067" spans="1:8">
      <c r="A2067" s="28"/>
      <c r="B2067" s="29"/>
      <c r="C2067" s="30" t="str">
        <f>IFERROR(_xlfn.XLOOKUP(B2067,Insumo[DESCRIPCION],Insumo[UND],,0),"")</f>
        <v/>
      </c>
      <c r="D2067" s="31"/>
      <c r="E2067" s="32" t="str">
        <f>IFERROR(_xlfn.XLOOKUP($B2067,Insumo[DESCRIPCION],Insumo[VALOR],,0),"")</f>
        <v/>
      </c>
      <c r="F2067" s="33"/>
      <c r="G2067" s="34" t="str">
        <f>IFERROR(IF(F2067&gt;=0,D2067*E2067*(1+F2067/100),ABS(D2067*E2067/F2067)),"")</f>
        <v/>
      </c>
      <c r="H2067" s="43" t="str">
        <f>IFERROR(G2067*E2061,"")</f>
        <v/>
      </c>
    </row>
    <row r="2068" spans="1:8">
      <c r="A2068" s="28"/>
      <c r="B2068" s="29"/>
      <c r="C2068" s="30" t="str">
        <f>IFERROR(_xlfn.XLOOKUP(B2068,Insumo[DESCRIPCION],Insumo[UND],,0),"")</f>
        <v/>
      </c>
      <c r="D2068" s="31"/>
      <c r="E2068" s="32" t="str">
        <f>IFERROR(_xlfn.XLOOKUP($B2068,Insumo[DESCRIPCION],Insumo[VALOR],,0),"")</f>
        <v/>
      </c>
      <c r="F2068" s="33"/>
      <c r="G2068" s="34" t="str">
        <f>IFERROR(IF(F2068&gt;=0,D2068*E2068*(1+F2068/100),ABS(D2068*E2068/F2068)),"")</f>
        <v/>
      </c>
      <c r="H2068" s="43" t="str">
        <f>IFERROR(G2068*E2061,"")</f>
        <v/>
      </c>
    </row>
    <row r="2069" spans="1:8">
      <c r="A2069" s="21"/>
      <c r="B2069" s="22" t="s">
        <v>3731</v>
      </c>
      <c r="C2069" s="23"/>
      <c r="D2069" s="24"/>
      <c r="E2069" s="25"/>
      <c r="F2069" s="26"/>
      <c r="G2069" s="27">
        <f>SUM(G2070:G2072)</f>
        <v>544.64347526612926</v>
      </c>
      <c r="H2069" s="44">
        <f>G2069*E2061</f>
        <v>0</v>
      </c>
    </row>
    <row r="2070" spans="1:8">
      <c r="A2070" s="28"/>
      <c r="B2070" s="29" t="s">
        <v>3626</v>
      </c>
      <c r="C2070" s="30" t="str">
        <f>IFERROR(_xlfn.XLOOKUP(B2070,Equipo[DESCRIPCION],Equipo[UND],,0),"")</f>
        <v>%MO</v>
      </c>
      <c r="D2070" s="31">
        <v>0.05</v>
      </c>
      <c r="E2070" s="32">
        <f>IF(C2070="%MO",G2076,IFERROR(_xlfn.XLOOKUP($B2070,Equipo[DESCRIPCION],Equipo[VALOR],,0),""))</f>
        <v>10892.869505322584</v>
      </c>
      <c r="F2070" s="33"/>
      <c r="G2070" s="34">
        <f>IFERROR(IF(F2070&gt;=0,D2070*E2070*(1+F2070/100),ABS(D2070*E2070/F2070)),"")</f>
        <v>544.64347526612926</v>
      </c>
      <c r="H2070" s="43">
        <f>IFERROR(G2070*E2061,"")</f>
        <v>0</v>
      </c>
    </row>
    <row r="2071" spans="1:8">
      <c r="A2071" s="28"/>
      <c r="B2071" s="29"/>
      <c r="C2071" s="30" t="str">
        <f>IFERROR(_xlfn.XLOOKUP(B2071,Equipo[DESCRIPCION],Equipo[UND],,0),"")</f>
        <v/>
      </c>
      <c r="D2071" s="31"/>
      <c r="E2071" s="32" t="str">
        <f>IF(C2071="%MO",G2076,IFERROR(_xlfn.XLOOKUP($B2071,Equipo[DESCRIPCION],Equipo[VALOR],,0),""))</f>
        <v/>
      </c>
      <c r="F2071" s="33"/>
      <c r="G2071" s="34" t="str">
        <f>IFERROR(IF(F2071&gt;=0,D2071*E2071*(1+F2071/100),ABS(D2071*E2071/F2071)),"")</f>
        <v/>
      </c>
      <c r="H2071" s="43" t="str">
        <f>IFERROR(G2071*E2061,"")</f>
        <v/>
      </c>
    </row>
    <row r="2072" spans="1:8">
      <c r="A2072" s="28"/>
      <c r="B2072" s="29"/>
      <c r="C2072" s="30" t="str">
        <f>IFERROR(_xlfn.XLOOKUP(B2072,Equipo[DESCRIPCION],Equipo[UND],,0),"")</f>
        <v/>
      </c>
      <c r="D2072" s="31"/>
      <c r="E2072" s="32" t="str">
        <f>IF(C2072="%MO",G2076,IFERROR(_xlfn.XLOOKUP($B2072,Equipo[DESCRIPCION],Equipo[VALOR],,0),""))</f>
        <v/>
      </c>
      <c r="F2072" s="33"/>
      <c r="G2072" s="34" t="str">
        <f>IFERROR(IF(F2072&gt;=0,D2072*E2072*(1+F2072/100),ABS(D2072*E2072/F2072)),"")</f>
        <v/>
      </c>
      <c r="H2072" s="43" t="str">
        <f>IFERROR(G2072*E2061,"")</f>
        <v/>
      </c>
    </row>
    <row r="2073" spans="1:8">
      <c r="A2073" s="21"/>
      <c r="B2073" s="22" t="s">
        <v>2533</v>
      </c>
      <c r="C2073" s="23"/>
      <c r="D2073" s="24"/>
      <c r="E2073" s="25"/>
      <c r="F2073" s="26"/>
      <c r="G2073" s="27">
        <f>SUM(G2074:G2075)</f>
        <v>0</v>
      </c>
      <c r="H2073" s="44">
        <f>G2073*E2061</f>
        <v>0</v>
      </c>
    </row>
    <row r="2074" spans="1:8">
      <c r="A2074" s="28"/>
      <c r="B2074" s="29"/>
      <c r="C2074" s="30" t="str">
        <f>IFERROR(_xlfn.XLOOKUP(B2074,Transporte[DESCRIPCION],Transporte[UND],,0),"")</f>
        <v/>
      </c>
      <c r="D2074" s="31"/>
      <c r="E2074" s="32" t="str">
        <f>IFERROR(_xlfn.XLOOKUP($B2074,Transporte[DESCRIPCION],Transporte[VALOR],,0),"")</f>
        <v/>
      </c>
      <c r="F2074" s="33"/>
      <c r="G2074" s="34" t="str">
        <f>IFERROR(IF(F2074&gt;=0,D2074*E2074*(1+F2074/100),ABS(D2074*E2074/F2074)),"")</f>
        <v/>
      </c>
      <c r="H2074" s="43" t="str">
        <f>IFERROR(G2074*E2061,"")</f>
        <v/>
      </c>
    </row>
    <row r="2075" spans="1:8">
      <c r="A2075" s="28"/>
      <c r="B2075" s="29"/>
      <c r="C2075" s="30" t="str">
        <f>IFERROR(_xlfn.XLOOKUP(B2075,Transporte[DESCRIPCION],Transporte[UND],,0),"")</f>
        <v/>
      </c>
      <c r="D2075" s="31"/>
      <c r="E2075" s="32" t="str">
        <f>IFERROR(_xlfn.XLOOKUP($B2075,Transporte[DESCRIPCION],Transporte[VALOR],,0),"")</f>
        <v/>
      </c>
      <c r="F2075" s="33"/>
      <c r="G2075" s="34" t="str">
        <f>IFERROR(IF(F2075&gt;=0,D2075*E2075*(1+F2075/100),ABS(D2075*E2075/F2075)),"")</f>
        <v/>
      </c>
      <c r="H2075" s="43" t="str">
        <f>IFERROR(G2075*E2061,"")</f>
        <v/>
      </c>
    </row>
    <row r="2076" spans="1:8">
      <c r="A2076" s="21"/>
      <c r="B2076" s="22" t="s">
        <v>3732</v>
      </c>
      <c r="C2076" s="23"/>
      <c r="D2076" s="24"/>
      <c r="E2076" s="25"/>
      <c r="F2076" s="26"/>
      <c r="G2076" s="27">
        <f>SUM(G2077:G2079)</f>
        <v>10892.869505322584</v>
      </c>
      <c r="H2076" s="44">
        <f>G2076*E2061</f>
        <v>0</v>
      </c>
    </row>
    <row r="2077" spans="1:8">
      <c r="A2077" s="28"/>
      <c r="B2077" s="29" t="s">
        <v>3715</v>
      </c>
      <c r="C2077" s="30" t="str">
        <f>IFERROR(_xlfn.XLOOKUP(B2077,MObra[DESCRIPCION],MObra[UN],,0),"")</f>
        <v>día</v>
      </c>
      <c r="D2077" s="31">
        <v>1</v>
      </c>
      <c r="E2077" s="32">
        <f>IFERROR(_xlfn.XLOOKUP($B2077,MObra[DESCRIPCION],MObra[VALOR UNIT],,0),"")</f>
        <v>337678.95466500008</v>
      </c>
      <c r="F2077" s="33">
        <v>-31</v>
      </c>
      <c r="G2077" s="34">
        <f>IFERROR(IF(F2077&gt;=0,D2077*E2077*(1+F2077/100),ABS(D2077*E2077/F2077)),"")</f>
        <v>10892.869505322584</v>
      </c>
      <c r="H2077" s="43">
        <f>IFERROR(G2077*E2061,"")</f>
        <v>0</v>
      </c>
    </row>
    <row r="2078" spans="1:8">
      <c r="A2078" s="28"/>
      <c r="B2078" s="29"/>
      <c r="C2078" s="30" t="str">
        <f t="array" ref="C2078">IFERROR(_xlfn.XLOOKUP(B2078,MObra[[#All],[DESCRIPCION]],MObra[[#All],[UN]],,0),"")</f>
        <v/>
      </c>
      <c r="D2078" s="31"/>
      <c r="E2078" s="32" t="str">
        <f>IFERROR(_xlfn.XLOOKUP($B2078,MObra[DESCRIPCION],MObra[VALOR UNIT],,0),"")</f>
        <v/>
      </c>
      <c r="F2078" s="33"/>
      <c r="G2078" s="34" t="str">
        <f>IFERROR(IF(F2078&gt;=0,D2078*E2078*(1+F2078/100),ABS(D2078*E2078/F2078)),"")</f>
        <v/>
      </c>
      <c r="H2078" s="43" t="str">
        <f>IFERROR(G2078*E2061,"")</f>
        <v/>
      </c>
    </row>
    <row r="2079" spans="1:8">
      <c r="A2079" s="35"/>
      <c r="B2079" s="36"/>
      <c r="C2079" s="37" t="str">
        <f t="array" ref="C2079">IFERROR(_xlfn.XLOOKUP(B2079,MObra[[#All],[DESCRIPCION]],MObra[[#All],[UN]],,0),"")</f>
        <v/>
      </c>
      <c r="D2079" s="38"/>
      <c r="E2079" s="39" t="str">
        <f>IFERROR(_xlfn.XLOOKUP($B2079,MObra[DESCRIPCION],MObra[VALOR UNIT],,0),"")</f>
        <v/>
      </c>
      <c r="F2079" s="40"/>
      <c r="G2079" s="41" t="str">
        <f>IFERROR(IF(F2079&gt;=0,D2079*E2079*(1+F2079/100),ABS(D2079*E2079/F2079)),"")</f>
        <v/>
      </c>
      <c r="H2079" s="42" t="str">
        <f>IFERROR(G2079*E2061,"")</f>
        <v/>
      </c>
    </row>
    <row r="2080" spans="1:8" ht="12.75" customHeight="1" thickTop="1" thickBot="1"/>
    <row r="2081" spans="1:11" ht="13.5" thickTop="1" thickBot="1">
      <c r="A2081" s="6" t="s">
        <v>1083</v>
      </c>
      <c r="B2081" s="7" t="str">
        <f>VLOOKUP($A2081,Presupuesto!$A:$D,2,FALSE())</f>
        <v>Tubería PVC 2" empotrado, incluye accesorios</v>
      </c>
      <c r="C2081" s="8" t="str">
        <f>VLOOKUP($A2081,Presupuesto!$A:$D,3,FALSE())</f>
        <v>M</v>
      </c>
      <c r="D2081" s="9"/>
      <c r="E2081" s="10">
        <f>VLOOKUP($A2081,Presupuesto!$A:$D,4,FALSE())</f>
        <v>0</v>
      </c>
      <c r="F2081" s="11" t="s">
        <v>2589</v>
      </c>
      <c r="G2081" s="12">
        <f>SUM(G2083:G2099)/2</f>
        <v>37143.856979250006</v>
      </c>
      <c r="H2081" s="13">
        <f>ROUND(SUM(H2083:H2099),0)/2</f>
        <v>0</v>
      </c>
      <c r="I2081" s="10">
        <f>VLOOKUP(A2081,Presupuesto!$A:$F,6,0)</f>
        <v>0</v>
      </c>
      <c r="J2081" s="10">
        <f>+H2081-I2081</f>
        <v>0</v>
      </c>
      <c r="K2081" s="46">
        <f>+H2081-G2081*E2081</f>
        <v>0</v>
      </c>
    </row>
    <row r="2082" spans="1:11">
      <c r="A2082" s="14"/>
      <c r="B2082" s="15" t="s">
        <v>2586</v>
      </c>
      <c r="C2082" s="15" t="s">
        <v>5</v>
      </c>
      <c r="D2082" s="16" t="s">
        <v>6</v>
      </c>
      <c r="E2082" s="17" t="s">
        <v>7</v>
      </c>
      <c r="F2082" s="18" t="s">
        <v>3728</v>
      </c>
      <c r="G2082" s="19" t="s">
        <v>3729</v>
      </c>
      <c r="H2082" s="20" t="s">
        <v>3797</v>
      </c>
    </row>
    <row r="2083" spans="1:11">
      <c r="A2083" s="21"/>
      <c r="B2083" s="22" t="s">
        <v>3730</v>
      </c>
      <c r="C2083" s="23"/>
      <c r="D2083" s="24"/>
      <c r="E2083" s="25"/>
      <c r="F2083" s="26"/>
      <c r="G2083" s="27">
        <f>SUM(G2084:G2088)</f>
        <v>24917.55</v>
      </c>
      <c r="H2083" s="27">
        <f>IFERROR(G2083*E2081,"")</f>
        <v>0</v>
      </c>
    </row>
    <row r="2084" spans="1:11">
      <c r="A2084" s="28"/>
      <c r="B2084" s="29" t="s">
        <v>3433</v>
      </c>
      <c r="C2084" s="30" t="str">
        <f>IFERROR(_xlfn.XLOOKUP(B2084,Insumo[DESCRIPCION],Insumo[UND],,0),"")</f>
        <v>M</v>
      </c>
      <c r="D2084" s="31">
        <v>1</v>
      </c>
      <c r="E2084" s="32">
        <f>IFERROR(_xlfn.XLOOKUP($B2084,Insumo[DESCRIPCION],Insumo[VALOR],,0),"")</f>
        <v>19546.8</v>
      </c>
      <c r="F2084" s="33"/>
      <c r="G2084" s="34">
        <f>IFERROR(IF(F2084&gt;=0,D2084*E2084*(1+F2084/100),ABS(D2084*E2084/F2084)),"")</f>
        <v>19546.8</v>
      </c>
      <c r="H2084" s="43">
        <f>IFERROR(G2084*E2081,"")</f>
        <v>0</v>
      </c>
    </row>
    <row r="2085" spans="1:11">
      <c r="A2085" s="28"/>
      <c r="B2085" s="29" t="s">
        <v>2908</v>
      </c>
      <c r="C2085" s="30" t="str">
        <f>IFERROR(_xlfn.XLOOKUP(B2085,Insumo[DESCRIPCION],Insumo[UND],,0),"")</f>
        <v>Un</v>
      </c>
      <c r="D2085" s="31">
        <v>0.33</v>
      </c>
      <c r="E2085" s="32">
        <f>IFERROR(_xlfn.XLOOKUP($B2085,Insumo[DESCRIPCION],Insumo[VALOR],,0),"")</f>
        <v>11550</v>
      </c>
      <c r="F2085" s="33"/>
      <c r="G2085" s="34">
        <f>IFERROR(IF(F2085&gt;=0,D2085*E2085*(1+F2085/100),ABS(D2085*E2085/F2085)),"")</f>
        <v>3811.5</v>
      </c>
      <c r="H2085" s="43">
        <f>IFERROR(G2085*E2081,"")</f>
        <v>0</v>
      </c>
    </row>
    <row r="2086" spans="1:11">
      <c r="A2086" s="28"/>
      <c r="B2086" s="29" t="s">
        <v>2675</v>
      </c>
      <c r="C2086" s="30" t="str">
        <f>IFERROR(_xlfn.XLOOKUP(B2086,Insumo[DESCRIPCION],Insumo[UND],,0),"")</f>
        <v>Un</v>
      </c>
      <c r="D2086" s="31">
        <v>0.33</v>
      </c>
      <c r="E2086" s="32">
        <f>IFERROR(_xlfn.XLOOKUP($B2086,Insumo[DESCRIPCION],Insumo[VALOR],,0),"")</f>
        <v>4725</v>
      </c>
      <c r="F2086" s="33"/>
      <c r="G2086" s="34">
        <f>IFERROR(IF(F2086&gt;=0,D2086*E2086*(1+F2086/100),ABS(D2086*E2086/F2086)),"")</f>
        <v>1559.25</v>
      </c>
      <c r="H2086" s="43">
        <f>IFERROR(G2086*E2081,"")</f>
        <v>0</v>
      </c>
    </row>
    <row r="2087" spans="1:11">
      <c r="A2087" s="28"/>
      <c r="B2087" s="29"/>
      <c r="C2087" s="30" t="str">
        <f>IFERROR(_xlfn.XLOOKUP(B2087,Insumo[DESCRIPCION],Insumo[UND],,0),"")</f>
        <v/>
      </c>
      <c r="D2087" s="31"/>
      <c r="E2087" s="32" t="str">
        <f>IFERROR(_xlfn.XLOOKUP($B2087,Insumo[DESCRIPCION],Insumo[VALOR],,0),"")</f>
        <v/>
      </c>
      <c r="F2087" s="33"/>
      <c r="G2087" s="34" t="str">
        <f>IFERROR(IF(F2087&gt;=0,D2087*E2087*(1+F2087/100),ABS(D2087*E2087/F2087)),"")</f>
        <v/>
      </c>
      <c r="H2087" s="43" t="str">
        <f>IFERROR(G2087*E2081,"")</f>
        <v/>
      </c>
    </row>
    <row r="2088" spans="1:11">
      <c r="A2088" s="28"/>
      <c r="B2088" s="29"/>
      <c r="C2088" s="30" t="str">
        <f>IFERROR(_xlfn.XLOOKUP(B2088,Insumo[DESCRIPCION],Insumo[UND],,0),"")</f>
        <v/>
      </c>
      <c r="D2088" s="31"/>
      <c r="E2088" s="32" t="str">
        <f>IFERROR(_xlfn.XLOOKUP($B2088,Insumo[DESCRIPCION],Insumo[VALOR],,0),"")</f>
        <v/>
      </c>
      <c r="F2088" s="33"/>
      <c r="G2088" s="34" t="str">
        <f>IFERROR(IF(F2088&gt;=0,D2088*E2088*(1+F2088/100),ABS(D2088*E2088/F2088)),"")</f>
        <v/>
      </c>
      <c r="H2088" s="43" t="str">
        <f>IFERROR(G2088*E2081,"")</f>
        <v/>
      </c>
    </row>
    <row r="2089" spans="1:11">
      <c r="A2089" s="21"/>
      <c r="B2089" s="22" t="s">
        <v>3731</v>
      </c>
      <c r="C2089" s="23"/>
      <c r="D2089" s="24"/>
      <c r="E2089" s="25"/>
      <c r="F2089" s="26"/>
      <c r="G2089" s="27">
        <f>SUM(G2090:G2092)</f>
        <v>582.20509425000023</v>
      </c>
      <c r="H2089" s="44">
        <f>G2089*E2081</f>
        <v>0</v>
      </c>
    </row>
    <row r="2090" spans="1:11">
      <c r="A2090" s="28"/>
      <c r="B2090" s="29" t="s">
        <v>3626</v>
      </c>
      <c r="C2090" s="30" t="str">
        <f>IFERROR(_xlfn.XLOOKUP(B2090,Equipo[DESCRIPCION],Equipo[UND],,0),"")</f>
        <v>%MO</v>
      </c>
      <c r="D2090" s="31">
        <v>0.05</v>
      </c>
      <c r="E2090" s="32">
        <f>IF(C2090="%MO",G2096,IFERROR(_xlfn.XLOOKUP($B2090,Equipo[DESCRIPCION],Equipo[VALOR],,0),""))</f>
        <v>11644.101885000004</v>
      </c>
      <c r="F2090" s="33"/>
      <c r="G2090" s="34">
        <f>IFERROR(IF(F2090&gt;=0,D2090*E2090*(1+F2090/100),ABS(D2090*E2090/F2090)),"")</f>
        <v>582.20509425000023</v>
      </c>
      <c r="H2090" s="43">
        <f>IFERROR(G2090*E2081,"")</f>
        <v>0</v>
      </c>
    </row>
    <row r="2091" spans="1:11">
      <c r="A2091" s="28"/>
      <c r="B2091" s="29"/>
      <c r="C2091" s="30" t="str">
        <f>IFERROR(_xlfn.XLOOKUP(B2091,Equipo[DESCRIPCION],Equipo[UND],,0),"")</f>
        <v/>
      </c>
      <c r="D2091" s="31"/>
      <c r="E2091" s="32" t="str">
        <f>IF(C2091="%MO",G2096,IFERROR(_xlfn.XLOOKUP($B2091,Equipo[DESCRIPCION],Equipo[VALOR],,0),""))</f>
        <v/>
      </c>
      <c r="F2091" s="33"/>
      <c r="G2091" s="34" t="str">
        <f>IFERROR(IF(F2091&gt;=0,D2091*E2091*(1+F2091/100),ABS(D2091*E2091/F2091)),"")</f>
        <v/>
      </c>
      <c r="H2091" s="43" t="str">
        <f>IFERROR(G2091*E2081,"")</f>
        <v/>
      </c>
    </row>
    <row r="2092" spans="1:11">
      <c r="A2092" s="28"/>
      <c r="B2092" s="29"/>
      <c r="C2092" s="30" t="str">
        <f>IFERROR(_xlfn.XLOOKUP(B2092,Equipo[DESCRIPCION],Equipo[UND],,0),"")</f>
        <v/>
      </c>
      <c r="D2092" s="31"/>
      <c r="E2092" s="32" t="str">
        <f>IF(C2092="%MO",G2096,IFERROR(_xlfn.XLOOKUP($B2092,Equipo[DESCRIPCION],Equipo[VALOR],,0),""))</f>
        <v/>
      </c>
      <c r="F2092" s="33"/>
      <c r="G2092" s="34" t="str">
        <f>IFERROR(IF(F2092&gt;=0,D2092*E2092*(1+F2092/100),ABS(D2092*E2092/F2092)),"")</f>
        <v/>
      </c>
      <c r="H2092" s="43" t="str">
        <f>IFERROR(G2092*E2081,"")</f>
        <v/>
      </c>
    </row>
    <row r="2093" spans="1:11">
      <c r="A2093" s="21"/>
      <c r="B2093" s="22" t="s">
        <v>2533</v>
      </c>
      <c r="C2093" s="23"/>
      <c r="D2093" s="24"/>
      <c r="E2093" s="25"/>
      <c r="F2093" s="26"/>
      <c r="G2093" s="27">
        <f>SUM(G2094:G2095)</f>
        <v>0</v>
      </c>
      <c r="H2093" s="44">
        <f>G2093*E2081</f>
        <v>0</v>
      </c>
    </row>
    <row r="2094" spans="1:11">
      <c r="A2094" s="28"/>
      <c r="B2094" s="29"/>
      <c r="C2094" s="30" t="str">
        <f>IFERROR(_xlfn.XLOOKUP(B2094,Transporte[DESCRIPCION],Transporte[UND],,0),"")</f>
        <v/>
      </c>
      <c r="D2094" s="31"/>
      <c r="E2094" s="32" t="str">
        <f>IFERROR(_xlfn.XLOOKUP($B2094,Transporte[DESCRIPCION],Transporte[VALOR],,0),"")</f>
        <v/>
      </c>
      <c r="F2094" s="33"/>
      <c r="G2094" s="34" t="str">
        <f>IFERROR(IF(F2094&gt;=0,D2094*E2094*(1+F2094/100),ABS(D2094*E2094/F2094)),"")</f>
        <v/>
      </c>
      <c r="H2094" s="43" t="str">
        <f>IFERROR(G2094*E2081,"")</f>
        <v/>
      </c>
    </row>
    <row r="2095" spans="1:11">
      <c r="A2095" s="28"/>
      <c r="B2095" s="29"/>
      <c r="C2095" s="30" t="str">
        <f>IFERROR(_xlfn.XLOOKUP(B2095,Transporte[DESCRIPCION],Transporte[UND],,0),"")</f>
        <v/>
      </c>
      <c r="D2095" s="31"/>
      <c r="E2095" s="32" t="str">
        <f>IFERROR(_xlfn.XLOOKUP($B2095,Transporte[DESCRIPCION],Transporte[VALOR],,0),"")</f>
        <v/>
      </c>
      <c r="F2095" s="33"/>
      <c r="G2095" s="34" t="str">
        <f>IFERROR(IF(F2095&gt;=0,D2095*E2095*(1+F2095/100),ABS(D2095*E2095/F2095)),"")</f>
        <v/>
      </c>
      <c r="H2095" s="43" t="str">
        <f>IFERROR(G2095*E2081,"")</f>
        <v/>
      </c>
    </row>
    <row r="2096" spans="1:11">
      <c r="A2096" s="21"/>
      <c r="B2096" s="22" t="s">
        <v>3732</v>
      </c>
      <c r="C2096" s="23"/>
      <c r="D2096" s="24"/>
      <c r="E2096" s="25"/>
      <c r="F2096" s="26"/>
      <c r="G2096" s="27">
        <f>SUM(G2097:G2099)</f>
        <v>11644.101885000004</v>
      </c>
      <c r="H2096" s="44">
        <f>G2096*E2081</f>
        <v>0</v>
      </c>
    </row>
    <row r="2097" spans="1:11">
      <c r="A2097" s="28"/>
      <c r="B2097" s="29" t="s">
        <v>3715</v>
      </c>
      <c r="C2097" s="30" t="str">
        <f>IFERROR(_xlfn.XLOOKUP(B2097,MObra[DESCRIPCION],MObra[UN],,0),"")</f>
        <v>día</v>
      </c>
      <c r="D2097" s="31">
        <v>1</v>
      </c>
      <c r="E2097" s="32">
        <f>IFERROR(_xlfn.XLOOKUP($B2097,MObra[DESCRIPCION],MObra[VALOR UNIT],,0),"")</f>
        <v>337678.95466500008</v>
      </c>
      <c r="F2097" s="33">
        <v>-29</v>
      </c>
      <c r="G2097" s="34">
        <f>IFERROR(IF(F2097&gt;=0,D2097*E2097*(1+F2097/100),ABS(D2097*E2097/F2097)),"")</f>
        <v>11644.101885000004</v>
      </c>
      <c r="H2097" s="43">
        <f>IFERROR(G2097*E2081,"")</f>
        <v>0</v>
      </c>
    </row>
    <row r="2098" spans="1:11">
      <c r="A2098" s="28"/>
      <c r="B2098" s="29"/>
      <c r="C2098" s="30" t="str">
        <f t="array" ref="C2098">IFERROR(_xlfn.XLOOKUP(B2098,MObra[[#All],[DESCRIPCION]],MObra[[#All],[UN]],,0),"")</f>
        <v/>
      </c>
      <c r="D2098" s="31"/>
      <c r="E2098" s="32" t="str">
        <f>IFERROR(_xlfn.XLOOKUP($B2098,MObra[DESCRIPCION],MObra[VALOR UNIT],,0),"")</f>
        <v/>
      </c>
      <c r="F2098" s="33"/>
      <c r="G2098" s="34" t="str">
        <f>IFERROR(IF(F2098&gt;=0,D2098*E2098*(1+F2098/100),ABS(D2098*E2098/F2098)),"")</f>
        <v/>
      </c>
      <c r="H2098" s="43" t="str">
        <f>IFERROR(G2098*E2081,"")</f>
        <v/>
      </c>
    </row>
    <row r="2099" spans="1:11">
      <c r="A2099" s="35"/>
      <c r="B2099" s="36"/>
      <c r="C2099" s="37" t="str">
        <f t="array" ref="C2099">IFERROR(_xlfn.XLOOKUP(B2099,MObra[[#All],[DESCRIPCION]],MObra[[#All],[UN]],,0),"")</f>
        <v/>
      </c>
      <c r="D2099" s="38"/>
      <c r="E2099" s="39" t="str">
        <f>IFERROR(_xlfn.XLOOKUP($B2099,MObra[DESCRIPCION],MObra[VALOR UNIT],,0),"")</f>
        <v/>
      </c>
      <c r="F2099" s="40"/>
      <c r="G2099" s="41" t="str">
        <f>IFERROR(IF(F2099&gt;=0,D2099*E2099*(1+F2099/100),ABS(D2099*E2099/F2099)),"")</f>
        <v/>
      </c>
      <c r="H2099" s="42" t="str">
        <f>IFERROR(G2099*E2081,"")</f>
        <v/>
      </c>
    </row>
    <row r="2100" spans="1:11" ht="12.75" customHeight="1" thickTop="1" thickBot="1"/>
    <row r="2101" spans="1:11" ht="13.5" thickTop="1" thickBot="1">
      <c r="A2101" s="6" t="s">
        <v>1085</v>
      </c>
      <c r="B2101" s="7" t="str">
        <f>VLOOKUP($A2101,Presupuesto!$A:$D,2,FALSE())</f>
        <v>Tubería PVC 3" empotrado, incluye accesorios</v>
      </c>
      <c r="C2101" s="8" t="str">
        <f>VLOOKUP($A2101,Presupuesto!$A:$D,3,FALSE())</f>
        <v>M</v>
      </c>
      <c r="D2101" s="9"/>
      <c r="E2101" s="10">
        <f>VLOOKUP($A2101,Presupuesto!$A:$D,4,FALSE())</f>
        <v>0</v>
      </c>
      <c r="F2101" s="11" t="s">
        <v>2589</v>
      </c>
      <c r="G2101" s="12">
        <f>SUM(G2103:G2119)/2</f>
        <v>48858.766095930012</v>
      </c>
      <c r="H2101" s="13">
        <f>ROUND(SUM(H2103:H2119),0)/2</f>
        <v>0</v>
      </c>
      <c r="I2101" s="10">
        <f>VLOOKUP(A2101,Presupuesto!$A:$F,6,0)</f>
        <v>0</v>
      </c>
      <c r="J2101" s="10">
        <f>+H2101-I2101</f>
        <v>0</v>
      </c>
      <c r="K2101" s="46">
        <f>+H2101-G2101*E2101</f>
        <v>0</v>
      </c>
    </row>
    <row r="2102" spans="1:11">
      <c r="A2102" s="14"/>
      <c r="B2102" s="15" t="s">
        <v>2586</v>
      </c>
      <c r="C2102" s="15" t="s">
        <v>5</v>
      </c>
      <c r="D2102" s="16" t="s">
        <v>6</v>
      </c>
      <c r="E2102" s="17" t="s">
        <v>7</v>
      </c>
      <c r="F2102" s="18" t="s">
        <v>3728</v>
      </c>
      <c r="G2102" s="19" t="s">
        <v>3729</v>
      </c>
      <c r="H2102" s="20" t="s">
        <v>3797</v>
      </c>
    </row>
    <row r="2103" spans="1:11">
      <c r="A2103" s="21"/>
      <c r="B2103" s="22" t="s">
        <v>3730</v>
      </c>
      <c r="C2103" s="23"/>
      <c r="D2103" s="24"/>
      <c r="E2103" s="25"/>
      <c r="F2103" s="26"/>
      <c r="G2103" s="27">
        <f>SUM(G2104:G2108)</f>
        <v>34676.25</v>
      </c>
      <c r="H2103" s="27">
        <f>IFERROR(G2103*E2101,"")</f>
        <v>0</v>
      </c>
    </row>
    <row r="2104" spans="1:11">
      <c r="A2104" s="28"/>
      <c r="B2104" s="29" t="s">
        <v>3432</v>
      </c>
      <c r="C2104" s="30" t="str">
        <f>IFERROR(_xlfn.XLOOKUP(B2104,Insumo[DESCRIPCION],Insumo[UND],,0),"")</f>
        <v>M</v>
      </c>
      <c r="D2104" s="31">
        <v>1</v>
      </c>
      <c r="E2104" s="32">
        <f>IFERROR(_xlfn.XLOOKUP($B2104,Insumo[DESCRIPCION],Insumo[VALOR],,0),"")</f>
        <v>26880</v>
      </c>
      <c r="F2104" s="33"/>
      <c r="G2104" s="34">
        <f>IFERROR(IF(F2104&gt;=0,D2104*E2104*(1+F2104/100),ABS(D2104*E2104/F2104)),"")</f>
        <v>26880</v>
      </c>
      <c r="H2104" s="43">
        <f>IFERROR(G2104*E2101,"")</f>
        <v>0</v>
      </c>
    </row>
    <row r="2105" spans="1:11">
      <c r="A2105" s="28"/>
      <c r="B2105" s="29" t="s">
        <v>2907</v>
      </c>
      <c r="C2105" s="30" t="str">
        <f>IFERROR(_xlfn.XLOOKUP(B2105,Insumo[DESCRIPCION],Insumo[UND],,0),"")</f>
        <v>Un</v>
      </c>
      <c r="D2105" s="31">
        <v>0.33</v>
      </c>
      <c r="E2105" s="32">
        <f>IFERROR(_xlfn.XLOOKUP($B2105,Insumo[DESCRIPCION],Insumo[VALOR],,0),"")</f>
        <v>15750</v>
      </c>
      <c r="F2105" s="33"/>
      <c r="G2105" s="34">
        <f>IFERROR(IF(F2105&gt;=0,D2105*E2105*(1+F2105/100),ABS(D2105*E2105/F2105)),"")</f>
        <v>5197.5</v>
      </c>
      <c r="H2105" s="43">
        <f>IFERROR(G2105*E2101,"")</f>
        <v>0</v>
      </c>
    </row>
    <row r="2106" spans="1:11">
      <c r="A2106" s="28"/>
      <c r="B2106" s="29" t="s">
        <v>2676</v>
      </c>
      <c r="C2106" s="30" t="str">
        <f>IFERROR(_xlfn.XLOOKUP(B2106,Insumo[DESCRIPCION],Insumo[UND],,0),"")</f>
        <v>Un</v>
      </c>
      <c r="D2106" s="31">
        <v>0.33</v>
      </c>
      <c r="E2106" s="32">
        <f>IFERROR(_xlfn.XLOOKUP($B2106,Insumo[DESCRIPCION],Insumo[VALOR],,0),"")</f>
        <v>7875</v>
      </c>
      <c r="F2106" s="33"/>
      <c r="G2106" s="34">
        <f>IFERROR(IF(F2106&gt;=0,D2106*E2106*(1+F2106/100),ABS(D2106*E2106/F2106)),"")</f>
        <v>2598.75</v>
      </c>
      <c r="H2106" s="43">
        <f>IFERROR(G2106*E2101,"")</f>
        <v>0</v>
      </c>
    </row>
    <row r="2107" spans="1:11">
      <c r="A2107" s="28"/>
      <c r="B2107" s="29"/>
      <c r="C2107" s="30" t="str">
        <f>IFERROR(_xlfn.XLOOKUP(B2107,Insumo[DESCRIPCION],Insumo[UND],,0),"")</f>
        <v/>
      </c>
      <c r="D2107" s="31"/>
      <c r="E2107" s="32" t="str">
        <f>IFERROR(_xlfn.XLOOKUP($B2107,Insumo[DESCRIPCION],Insumo[VALOR],,0),"")</f>
        <v/>
      </c>
      <c r="F2107" s="33"/>
      <c r="G2107" s="34" t="str">
        <f>IFERROR(IF(F2107&gt;=0,D2107*E2107*(1+F2107/100),ABS(D2107*E2107/F2107)),"")</f>
        <v/>
      </c>
      <c r="H2107" s="43" t="str">
        <f>IFERROR(G2107*E2101,"")</f>
        <v/>
      </c>
    </row>
    <row r="2108" spans="1:11">
      <c r="A2108" s="28"/>
      <c r="B2108" s="29"/>
      <c r="C2108" s="30" t="str">
        <f>IFERROR(_xlfn.XLOOKUP(B2108,Insumo[DESCRIPCION],Insumo[UND],,0),"")</f>
        <v/>
      </c>
      <c r="D2108" s="31"/>
      <c r="E2108" s="32" t="str">
        <f>IFERROR(_xlfn.XLOOKUP($B2108,Insumo[DESCRIPCION],Insumo[VALOR],,0),"")</f>
        <v/>
      </c>
      <c r="F2108" s="33"/>
      <c r="G2108" s="34" t="str">
        <f>IFERROR(IF(F2108&gt;=0,D2108*E2108*(1+F2108/100),ABS(D2108*E2108/F2108)),"")</f>
        <v/>
      </c>
      <c r="H2108" s="43" t="str">
        <f>IFERROR(G2108*E2101,"")</f>
        <v/>
      </c>
    </row>
    <row r="2109" spans="1:11">
      <c r="A2109" s="21"/>
      <c r="B2109" s="22" t="s">
        <v>3731</v>
      </c>
      <c r="C2109" s="23"/>
      <c r="D2109" s="24"/>
      <c r="E2109" s="25"/>
      <c r="F2109" s="26"/>
      <c r="G2109" s="27">
        <f>SUM(G2110:G2112)</f>
        <v>675.35790933000021</v>
      </c>
      <c r="H2109" s="44">
        <f>G2109*E2101</f>
        <v>0</v>
      </c>
    </row>
    <row r="2110" spans="1:11">
      <c r="A2110" s="28"/>
      <c r="B2110" s="29" t="s">
        <v>3626</v>
      </c>
      <c r="C2110" s="30" t="str">
        <f>IFERROR(_xlfn.XLOOKUP(B2110,Equipo[DESCRIPCION],Equipo[UND],,0),"")</f>
        <v>%MO</v>
      </c>
      <c r="D2110" s="31">
        <v>0.05</v>
      </c>
      <c r="E2110" s="32">
        <f>IF(C2110="%MO",G2116,IFERROR(_xlfn.XLOOKUP($B2110,Equipo[DESCRIPCION],Equipo[VALOR],,0),""))</f>
        <v>13507.158186600003</v>
      </c>
      <c r="F2110" s="33"/>
      <c r="G2110" s="34">
        <f>IFERROR(IF(F2110&gt;=0,D2110*E2110*(1+F2110/100),ABS(D2110*E2110/F2110)),"")</f>
        <v>675.35790933000021</v>
      </c>
      <c r="H2110" s="43">
        <f>IFERROR(G2110*E2101,"")</f>
        <v>0</v>
      </c>
    </row>
    <row r="2111" spans="1:11">
      <c r="A2111" s="28"/>
      <c r="B2111" s="29"/>
      <c r="C2111" s="30" t="str">
        <f>IFERROR(_xlfn.XLOOKUP(B2111,Equipo[DESCRIPCION],Equipo[UND],,0),"")</f>
        <v/>
      </c>
      <c r="D2111" s="31"/>
      <c r="E2111" s="32" t="str">
        <f>IF(C2111="%MO",G2116,IFERROR(_xlfn.XLOOKUP($B2111,Equipo[DESCRIPCION],Equipo[VALOR],,0),""))</f>
        <v/>
      </c>
      <c r="F2111" s="33"/>
      <c r="G2111" s="34" t="str">
        <f>IFERROR(IF(F2111&gt;=0,D2111*E2111*(1+F2111/100),ABS(D2111*E2111/F2111)),"")</f>
        <v/>
      </c>
      <c r="H2111" s="43" t="str">
        <f>IFERROR(G2111*E2101,"")</f>
        <v/>
      </c>
    </row>
    <row r="2112" spans="1:11">
      <c r="A2112" s="28"/>
      <c r="B2112" s="29"/>
      <c r="C2112" s="30" t="str">
        <f>IFERROR(_xlfn.XLOOKUP(B2112,Equipo[DESCRIPCION],Equipo[UND],,0),"")</f>
        <v/>
      </c>
      <c r="D2112" s="31"/>
      <c r="E2112" s="32" t="str">
        <f>IF(C2112="%MO",G2116,IFERROR(_xlfn.XLOOKUP($B2112,Equipo[DESCRIPCION],Equipo[VALOR],,0),""))</f>
        <v/>
      </c>
      <c r="F2112" s="33"/>
      <c r="G2112" s="34" t="str">
        <f>IFERROR(IF(F2112&gt;=0,D2112*E2112*(1+F2112/100),ABS(D2112*E2112/F2112)),"")</f>
        <v/>
      </c>
      <c r="H2112" s="43" t="str">
        <f>IFERROR(G2112*E2101,"")</f>
        <v/>
      </c>
    </row>
    <row r="2113" spans="1:11">
      <c r="A2113" s="21"/>
      <c r="B2113" s="22" t="s">
        <v>2533</v>
      </c>
      <c r="C2113" s="23"/>
      <c r="D2113" s="24"/>
      <c r="E2113" s="25"/>
      <c r="F2113" s="26"/>
      <c r="G2113" s="27">
        <f>SUM(G2114:G2115)</f>
        <v>0</v>
      </c>
      <c r="H2113" s="44">
        <f>G2113*E2101</f>
        <v>0</v>
      </c>
    </row>
    <row r="2114" spans="1:11">
      <c r="A2114" s="28"/>
      <c r="B2114" s="29"/>
      <c r="C2114" s="30" t="str">
        <f>IFERROR(_xlfn.XLOOKUP(B2114,Transporte[DESCRIPCION],Transporte[UND],,0),"")</f>
        <v/>
      </c>
      <c r="D2114" s="31"/>
      <c r="E2114" s="32" t="str">
        <f>IFERROR(_xlfn.XLOOKUP($B2114,Transporte[DESCRIPCION],Transporte[VALOR],,0),"")</f>
        <v/>
      </c>
      <c r="F2114" s="33"/>
      <c r="G2114" s="34" t="str">
        <f>IFERROR(IF(F2114&gt;=0,D2114*E2114*(1+F2114/100),ABS(D2114*E2114/F2114)),"")</f>
        <v/>
      </c>
      <c r="H2114" s="43" t="str">
        <f>IFERROR(G2114*E2101,"")</f>
        <v/>
      </c>
    </row>
    <row r="2115" spans="1:11">
      <c r="A2115" s="28"/>
      <c r="B2115" s="29"/>
      <c r="C2115" s="30" t="str">
        <f>IFERROR(_xlfn.XLOOKUP(B2115,Transporte[DESCRIPCION],Transporte[UND],,0),"")</f>
        <v/>
      </c>
      <c r="D2115" s="31"/>
      <c r="E2115" s="32" t="str">
        <f>IFERROR(_xlfn.XLOOKUP($B2115,Transporte[DESCRIPCION],Transporte[VALOR],,0),"")</f>
        <v/>
      </c>
      <c r="F2115" s="33"/>
      <c r="G2115" s="34" t="str">
        <f>IFERROR(IF(F2115&gt;=0,D2115*E2115*(1+F2115/100),ABS(D2115*E2115/F2115)),"")</f>
        <v/>
      </c>
      <c r="H2115" s="43" t="str">
        <f>IFERROR(G2115*E2101,"")</f>
        <v/>
      </c>
    </row>
    <row r="2116" spans="1:11">
      <c r="A2116" s="21"/>
      <c r="B2116" s="22" t="s">
        <v>3732</v>
      </c>
      <c r="C2116" s="23"/>
      <c r="D2116" s="24"/>
      <c r="E2116" s="25"/>
      <c r="F2116" s="26"/>
      <c r="G2116" s="27">
        <f>SUM(G2117:G2119)</f>
        <v>13507.158186600003</v>
      </c>
      <c r="H2116" s="44">
        <f>G2116*E2101</f>
        <v>0</v>
      </c>
    </row>
    <row r="2117" spans="1:11">
      <c r="A2117" s="28"/>
      <c r="B2117" s="29" t="s">
        <v>3715</v>
      </c>
      <c r="C2117" s="30" t="str">
        <f>IFERROR(_xlfn.XLOOKUP(B2117,MObra[DESCRIPCION],MObra[UN],,0),"")</f>
        <v>día</v>
      </c>
      <c r="D2117" s="31">
        <v>1</v>
      </c>
      <c r="E2117" s="32">
        <f>IFERROR(_xlfn.XLOOKUP($B2117,MObra[DESCRIPCION],MObra[VALOR UNIT],,0),"")</f>
        <v>337678.95466500008</v>
      </c>
      <c r="F2117" s="33">
        <v>-25</v>
      </c>
      <c r="G2117" s="34">
        <f>IFERROR(IF(F2117&gt;=0,D2117*E2117*(1+F2117/100),ABS(D2117*E2117/F2117)),"")</f>
        <v>13507.158186600003</v>
      </c>
      <c r="H2117" s="43">
        <f>IFERROR(G2117*E2101,"")</f>
        <v>0</v>
      </c>
    </row>
    <row r="2118" spans="1:11">
      <c r="A2118" s="28"/>
      <c r="B2118" s="29"/>
      <c r="C2118" s="30" t="str">
        <f t="array" ref="C2118">IFERROR(_xlfn.XLOOKUP(B2118,MObra[[#All],[DESCRIPCION]],MObra[[#All],[UN]],,0),"")</f>
        <v/>
      </c>
      <c r="D2118" s="31"/>
      <c r="E2118" s="32" t="str">
        <f>IFERROR(_xlfn.XLOOKUP($B2118,MObra[DESCRIPCION],MObra[VALOR UNIT],,0),"")</f>
        <v/>
      </c>
      <c r="F2118" s="33"/>
      <c r="G2118" s="34" t="str">
        <f>IFERROR(IF(F2118&gt;=0,D2118*E2118*(1+F2118/100),ABS(D2118*E2118/F2118)),"")</f>
        <v/>
      </c>
      <c r="H2118" s="43" t="str">
        <f>IFERROR(G2118*E2101,"")</f>
        <v/>
      </c>
    </row>
    <row r="2119" spans="1:11">
      <c r="A2119" s="35"/>
      <c r="B2119" s="36"/>
      <c r="C2119" s="37" t="str">
        <f t="array" ref="C2119">IFERROR(_xlfn.XLOOKUP(B2119,MObra[[#All],[DESCRIPCION]],MObra[[#All],[UN]],,0),"")</f>
        <v/>
      </c>
      <c r="D2119" s="38"/>
      <c r="E2119" s="39" t="str">
        <f>IFERROR(_xlfn.XLOOKUP($B2119,MObra[DESCRIPCION],MObra[VALOR UNIT],,0),"")</f>
        <v/>
      </c>
      <c r="F2119" s="40"/>
      <c r="G2119" s="41" t="str">
        <f>IFERROR(IF(F2119&gt;=0,D2119*E2119*(1+F2119/100),ABS(D2119*E2119/F2119)),"")</f>
        <v/>
      </c>
      <c r="H2119" s="42" t="str">
        <f>IFERROR(G2119*E2101,"")</f>
        <v/>
      </c>
    </row>
    <row r="2120" spans="1:11" ht="12.75" customHeight="1"/>
    <row r="2121" spans="1:11" ht="25.5">
      <c r="A2121" s="6" t="s">
        <v>1087</v>
      </c>
      <c r="B2121" s="7" t="str">
        <f>VLOOKUP($A2121,Presupuesto!$A:$D,2,FALSE())</f>
        <v>UPS Suministro, instalación, configuración y puesta en servicio de UPS 3Ø 10KVA 208/120V</v>
      </c>
      <c r="C2121" s="8" t="str">
        <f>VLOOKUP($A2121,Presupuesto!$A:$D,3,FALSE())</f>
        <v>Un</v>
      </c>
      <c r="D2121" s="9"/>
      <c r="E2121" s="10">
        <f>VLOOKUP($A2121,Presupuesto!$A:$D,4,FALSE())</f>
        <v>0</v>
      </c>
      <c r="F2121" s="11" t="s">
        <v>2589</v>
      </c>
      <c r="G2121" s="12">
        <f>SUM(G2123:G2139)/2</f>
        <v>16159785.030292425</v>
      </c>
      <c r="H2121" s="13">
        <f>ROUND(SUM(H2123:H2139),0)/2</f>
        <v>0</v>
      </c>
      <c r="I2121" s="10">
        <f>VLOOKUP(A2121,Presupuesto!$A:$F,6,0)</f>
        <v>0</v>
      </c>
      <c r="J2121" s="10">
        <f>+H2121-I2121</f>
        <v>0</v>
      </c>
      <c r="K2121" s="46">
        <f>+H2121-G2121*E2121</f>
        <v>0</v>
      </c>
    </row>
    <row r="2122" spans="1:11">
      <c r="A2122" s="14"/>
      <c r="B2122" s="15" t="s">
        <v>2586</v>
      </c>
      <c r="C2122" s="15" t="s">
        <v>5</v>
      </c>
      <c r="D2122" s="16" t="s">
        <v>6</v>
      </c>
      <c r="E2122" s="17" t="s">
        <v>7</v>
      </c>
      <c r="F2122" s="18" t="s">
        <v>3728</v>
      </c>
      <c r="G2122" s="19" t="s">
        <v>3729</v>
      </c>
      <c r="H2122" s="20" t="s">
        <v>3797</v>
      </c>
    </row>
    <row r="2123" spans="1:11">
      <c r="A2123" s="21"/>
      <c r="B2123" s="22" t="s">
        <v>3730</v>
      </c>
      <c r="C2123" s="23"/>
      <c r="D2123" s="24"/>
      <c r="E2123" s="25"/>
      <c r="F2123" s="26"/>
      <c r="G2123" s="27">
        <f>SUM(G2124:G2128)</f>
        <v>15975750</v>
      </c>
      <c r="H2123" s="27">
        <f>IFERROR(G2123*E2121,"")</f>
        <v>0</v>
      </c>
    </row>
    <row r="2124" spans="1:11">
      <c r="A2124" s="28"/>
      <c r="B2124" s="29" t="s">
        <v>3813</v>
      </c>
      <c r="C2124" s="30" t="str">
        <f>IFERROR(_xlfn.XLOOKUP(B2124,Insumo[DESCRIPCION],Insumo[UND],,0),"")</f>
        <v>Un</v>
      </c>
      <c r="D2124" s="31">
        <v>1</v>
      </c>
      <c r="E2124" s="32">
        <f>IFERROR(_xlfn.XLOOKUP($B2124,Insumo[DESCRIPCION],Insumo[VALOR],,0),"")</f>
        <v>15975750</v>
      </c>
      <c r="F2124" s="33"/>
      <c r="G2124" s="34">
        <f>IFERROR(IF(F2124&gt;=0,D2124*E2124*(1+F2124/100),ABS(D2124*E2124/F2124)),"")</f>
        <v>15975750</v>
      </c>
      <c r="H2124" s="43">
        <f>IFERROR(G2124*E2121,"")</f>
        <v>0</v>
      </c>
    </row>
    <row r="2125" spans="1:11">
      <c r="A2125" s="28"/>
      <c r="B2125" s="29"/>
      <c r="C2125" s="30" t="str">
        <f>IFERROR(_xlfn.XLOOKUP(B2125,Insumo[DESCRIPCION],Insumo[UND],,0),"")</f>
        <v/>
      </c>
      <c r="D2125" s="31"/>
      <c r="E2125" s="32" t="str">
        <f>IFERROR(_xlfn.XLOOKUP($B2125,Insumo[DESCRIPCION],Insumo[VALOR],,0),"")</f>
        <v/>
      </c>
      <c r="F2125" s="33"/>
      <c r="G2125" s="34" t="str">
        <f>IFERROR(IF(F2125&gt;=0,D2125*E2125*(1+F2125/100),ABS(D2125*E2125/F2125)),"")</f>
        <v/>
      </c>
      <c r="H2125" s="43" t="str">
        <f>IFERROR(G2125*E2121,"")</f>
        <v/>
      </c>
    </row>
    <row r="2126" spans="1:11">
      <c r="A2126" s="28"/>
      <c r="B2126" s="29"/>
      <c r="C2126" s="30" t="str">
        <f>IFERROR(_xlfn.XLOOKUP(B2126,Insumo[DESCRIPCION],Insumo[UND],,0),"")</f>
        <v/>
      </c>
      <c r="D2126" s="31"/>
      <c r="E2126" s="32" t="str">
        <f>IFERROR(_xlfn.XLOOKUP($B2126,Insumo[DESCRIPCION],Insumo[VALOR],,0),"")</f>
        <v/>
      </c>
      <c r="F2126" s="33"/>
      <c r="G2126" s="34" t="str">
        <f>IFERROR(IF(F2126&gt;=0,D2126*E2126*(1+F2126/100),ABS(D2126*E2126/F2126)),"")</f>
        <v/>
      </c>
      <c r="H2126" s="43" t="str">
        <f>IFERROR(G2126*E2121,"")</f>
        <v/>
      </c>
    </row>
    <row r="2127" spans="1:11">
      <c r="A2127" s="28"/>
      <c r="B2127" s="29"/>
      <c r="C2127" s="30" t="str">
        <f>IFERROR(_xlfn.XLOOKUP(B2127,Insumo[DESCRIPCION],Insumo[UND],,0),"")</f>
        <v/>
      </c>
      <c r="D2127" s="31"/>
      <c r="E2127" s="32" t="str">
        <f>IFERROR(_xlfn.XLOOKUP($B2127,Insumo[DESCRIPCION],Insumo[VALOR],,0),"")</f>
        <v/>
      </c>
      <c r="F2127" s="33"/>
      <c r="G2127" s="34" t="str">
        <f>IFERROR(IF(F2127&gt;=0,D2127*E2127*(1+F2127/100),ABS(D2127*E2127/F2127)),"")</f>
        <v/>
      </c>
      <c r="H2127" s="43" t="str">
        <f>IFERROR(G2127*E2121,"")</f>
        <v/>
      </c>
    </row>
    <row r="2128" spans="1:11">
      <c r="A2128" s="28"/>
      <c r="B2128" s="29"/>
      <c r="C2128" s="30" t="str">
        <f>IFERROR(_xlfn.XLOOKUP(B2128,Insumo[DESCRIPCION],Insumo[UND],,0),"")</f>
        <v/>
      </c>
      <c r="D2128" s="31"/>
      <c r="E2128" s="32" t="str">
        <f>IFERROR(_xlfn.XLOOKUP($B2128,Insumo[DESCRIPCION],Insumo[VALOR],,0),"")</f>
        <v/>
      </c>
      <c r="F2128" s="33"/>
      <c r="G2128" s="34" t="str">
        <f>IFERROR(IF(F2128&gt;=0,D2128*E2128*(1+F2128/100),ABS(D2128*E2128/F2128)),"")</f>
        <v/>
      </c>
      <c r="H2128" s="43" t="str">
        <f>IFERROR(G2128*E2121,"")</f>
        <v/>
      </c>
    </row>
    <row r="2129" spans="1:8">
      <c r="A2129" s="21"/>
      <c r="B2129" s="22" t="s">
        <v>3731</v>
      </c>
      <c r="C2129" s="23"/>
      <c r="D2129" s="24"/>
      <c r="E2129" s="25"/>
      <c r="F2129" s="26"/>
      <c r="G2129" s="27">
        <f>SUM(G2130:G2132)</f>
        <v>15195.552959925004</v>
      </c>
      <c r="H2129" s="44">
        <f>G2129*E2121</f>
        <v>0</v>
      </c>
    </row>
    <row r="2130" spans="1:8">
      <c r="A2130" s="28"/>
      <c r="B2130" s="29" t="s">
        <v>3626</v>
      </c>
      <c r="C2130" s="30" t="str">
        <f>IFERROR(_xlfn.XLOOKUP(B2130,Equipo[DESCRIPCION],Equipo[UND],,0),"")</f>
        <v>%MO</v>
      </c>
      <c r="D2130" s="31">
        <v>0.05</v>
      </c>
      <c r="E2130" s="32">
        <f>IF(C2130="%MO",G2136,IFERROR(_xlfn.XLOOKUP($B2130,Equipo[DESCRIPCION],Equipo[VALOR],,0),""))</f>
        <v>168839.47733250004</v>
      </c>
      <c r="F2130" s="33"/>
      <c r="G2130" s="34">
        <f>IFERROR(IF(F2130&gt;=0,D2130*E2130*(1+F2130/100),ABS(D2130*E2130/F2130)),"")</f>
        <v>8441.9738666250032</v>
      </c>
      <c r="H2130" s="43">
        <f>IFERROR(G2130*E2121,"")</f>
        <v>0</v>
      </c>
    </row>
    <row r="2131" spans="1:8">
      <c r="A2131" s="28"/>
      <c r="B2131" s="29" t="s">
        <v>3570</v>
      </c>
      <c r="C2131" s="30" t="str">
        <f>IFERROR(_xlfn.XLOOKUP(B2131,Equipo[DESCRIPCION],Equipo[UND],,0),"")</f>
        <v>%MO</v>
      </c>
      <c r="D2131" s="31">
        <v>0.04</v>
      </c>
      <c r="E2131" s="32">
        <f>IF(C2131="%MO",G2136,IFERROR(_xlfn.XLOOKUP($B2131,Equipo[DESCRIPCION],Equipo[VALOR],,0),""))</f>
        <v>168839.47733250004</v>
      </c>
      <c r="F2131" s="33"/>
      <c r="G2131" s="34">
        <f>IFERROR(IF(F2131&gt;=0,D2131*E2131*(1+F2131/100),ABS(D2131*E2131/F2131)),"")</f>
        <v>6753.5790933000017</v>
      </c>
      <c r="H2131" s="43">
        <f>IFERROR(G2131*E2121,"")</f>
        <v>0</v>
      </c>
    </row>
    <row r="2132" spans="1:8">
      <c r="A2132" s="28"/>
      <c r="B2132" s="29"/>
      <c r="C2132" s="30" t="str">
        <f>IFERROR(_xlfn.XLOOKUP(B2132,Equipo[DESCRIPCION],Equipo[UND],,0),"")</f>
        <v/>
      </c>
      <c r="D2132" s="31"/>
      <c r="E2132" s="32" t="str">
        <f>IF(C2132="%MO",G2136,IFERROR(_xlfn.XLOOKUP($B2132,Equipo[DESCRIPCION],Equipo[VALOR],,0),""))</f>
        <v/>
      </c>
      <c r="F2132" s="33"/>
      <c r="G2132" s="34" t="str">
        <f>IFERROR(IF(F2132&gt;=0,D2132*E2132*(1+F2132/100),ABS(D2132*E2132/F2132)),"")</f>
        <v/>
      </c>
      <c r="H2132" s="43" t="str">
        <f>IFERROR(G2132*E2121,"")</f>
        <v/>
      </c>
    </row>
    <row r="2133" spans="1:8">
      <c r="A2133" s="21"/>
      <c r="B2133" s="22" t="s">
        <v>2533</v>
      </c>
      <c r="C2133" s="23"/>
      <c r="D2133" s="24"/>
      <c r="E2133" s="25"/>
      <c r="F2133" s="26"/>
      <c r="G2133" s="27">
        <f>SUM(G2134:G2135)</f>
        <v>0</v>
      </c>
      <c r="H2133" s="44">
        <f>G2133*E2121</f>
        <v>0</v>
      </c>
    </row>
    <row r="2134" spans="1:8">
      <c r="A2134" s="28"/>
      <c r="B2134" s="29"/>
      <c r="C2134" s="30" t="str">
        <f>IFERROR(_xlfn.XLOOKUP(B2134,Transporte[DESCRIPCION],Transporte[UND],,0),"")</f>
        <v/>
      </c>
      <c r="D2134" s="31"/>
      <c r="E2134" s="32" t="str">
        <f>IFERROR(_xlfn.XLOOKUP($B2134,Transporte[DESCRIPCION],Transporte[VALOR],,0),"")</f>
        <v/>
      </c>
      <c r="F2134" s="33"/>
      <c r="G2134" s="34" t="str">
        <f>IFERROR(IF(F2134&gt;=0,D2134*E2134*(1+F2134/100),ABS(D2134*E2134/F2134)),"")</f>
        <v/>
      </c>
      <c r="H2134" s="43" t="str">
        <f>IFERROR(G2134*E2121,"")</f>
        <v/>
      </c>
    </row>
    <row r="2135" spans="1:8">
      <c r="A2135" s="28"/>
      <c r="B2135" s="29"/>
      <c r="C2135" s="30" t="str">
        <f>IFERROR(_xlfn.XLOOKUP(B2135,Transporte[DESCRIPCION],Transporte[UND],,0),"")</f>
        <v/>
      </c>
      <c r="D2135" s="31"/>
      <c r="E2135" s="32" t="str">
        <f>IFERROR(_xlfn.XLOOKUP($B2135,Transporte[DESCRIPCION],Transporte[VALOR],,0),"")</f>
        <v/>
      </c>
      <c r="F2135" s="33"/>
      <c r="G2135" s="34" t="str">
        <f>IFERROR(IF(F2135&gt;=0,D2135*E2135*(1+F2135/100),ABS(D2135*E2135/F2135)),"")</f>
        <v/>
      </c>
      <c r="H2135" s="43" t="str">
        <f>IFERROR(G2135*E2121,"")</f>
        <v/>
      </c>
    </row>
    <row r="2136" spans="1:8">
      <c r="A2136" s="21"/>
      <c r="B2136" s="22" t="s">
        <v>3732</v>
      </c>
      <c r="C2136" s="23"/>
      <c r="D2136" s="24"/>
      <c r="E2136" s="25"/>
      <c r="F2136" s="26"/>
      <c r="G2136" s="27">
        <f>SUM(G2137:G2139)</f>
        <v>168839.47733250004</v>
      </c>
      <c r="H2136" s="44">
        <f>G2136*E2121</f>
        <v>0</v>
      </c>
    </row>
    <row r="2137" spans="1:8">
      <c r="A2137" s="28"/>
      <c r="B2137" s="29" t="s">
        <v>3715</v>
      </c>
      <c r="C2137" s="30" t="str">
        <f>IFERROR(_xlfn.XLOOKUP(B2137,MObra[DESCRIPCION],MObra[UN],,0),"")</f>
        <v>día</v>
      </c>
      <c r="D2137" s="31">
        <v>1</v>
      </c>
      <c r="E2137" s="32">
        <f>IFERROR(_xlfn.XLOOKUP($B2137,MObra[DESCRIPCION],MObra[VALOR UNIT],,0),"")</f>
        <v>337678.95466500008</v>
      </c>
      <c r="F2137" s="33">
        <v>-2</v>
      </c>
      <c r="G2137" s="34">
        <f>IFERROR(IF(F2137&gt;=0,D2137*E2137*(1+F2137/100),ABS(D2137*E2137/F2137)),"")</f>
        <v>168839.47733250004</v>
      </c>
      <c r="H2137" s="43">
        <f>IFERROR(G2137*E2121,"")</f>
        <v>0</v>
      </c>
    </row>
    <row r="2138" spans="1:8">
      <c r="A2138" s="28"/>
      <c r="B2138" s="29"/>
      <c r="C2138" s="30" t="str">
        <f t="array" ref="C2138">IFERROR(_xlfn.XLOOKUP(B2138,MObra[[#All],[DESCRIPCION]],MObra[[#All],[UN]],,0),"")</f>
        <v/>
      </c>
      <c r="D2138" s="31"/>
      <c r="E2138" s="32" t="str">
        <f>IFERROR(_xlfn.XLOOKUP($B2138,MObra[DESCRIPCION],MObra[VALOR UNIT],,0),"")</f>
        <v/>
      </c>
      <c r="F2138" s="33"/>
      <c r="G2138" s="34" t="str">
        <f>IFERROR(IF(F2138&gt;=0,D2138*E2138*(1+F2138/100),ABS(D2138*E2138/F2138)),"")</f>
        <v/>
      </c>
      <c r="H2138" s="43" t="str">
        <f>IFERROR(G2138*E2121,"")</f>
        <v/>
      </c>
    </row>
    <row r="2139" spans="1:8">
      <c r="A2139" s="35"/>
      <c r="B2139" s="36"/>
      <c r="C2139" s="37" t="str">
        <f t="array" ref="C2139">IFERROR(_xlfn.XLOOKUP(B2139,MObra[[#All],[DESCRIPCION]],MObra[[#All],[UN]],,0),"")</f>
        <v/>
      </c>
      <c r="D2139" s="38"/>
      <c r="E2139" s="39" t="str">
        <f>IFERROR(_xlfn.XLOOKUP($B2139,MObra[DESCRIPCION],MObra[VALOR UNIT],,0),"")</f>
        <v/>
      </c>
      <c r="F2139" s="40"/>
      <c r="G2139" s="41" t="str">
        <f>IFERROR(IF(F2139&gt;=0,D2139*E2139*(1+F2139/100),ABS(D2139*E2139/F2139)),"")</f>
        <v/>
      </c>
      <c r="H2139" s="42" t="str">
        <f>IFERROR(G2139*E2121,"")</f>
        <v/>
      </c>
    </row>
    <row r="2140" spans="1:8" ht="12.75" customHeight="1" thickTop="1"/>
  </sheetData>
  <mergeCells count="3">
    <mergeCell ref="B1:G1"/>
    <mergeCell ref="B2:G2"/>
    <mergeCell ref="B3:G3"/>
  </mergeCells>
  <dataValidations count="1">
    <dataValidation type="list" allowBlank="1" showInputMessage="1" showErrorMessage="1" sqref="B27:B36 B272:B276 B7:B11 B312:B316 B348 B352:B356 B372:B376 B332:B336 B413:B416 B448 B292:B296 B552:B556 B452:B456 B432:B436 B492:B496 B508:B548 B572:B576 B592:B596 B472:B476 B608:B2040 B2043:B2060 B2063:B2079 B2083:B2099 B2140 B2124:B2128 B392:B396 B52:B56 B2103:B2119 B72:B76 B92:B96 B112:B116 B132:B136 B152:B156 B172:B176 B192:B196 B212:B216 B232:B236 B252:B256" xr:uid="{00000000-0002-0000-0E00-000000000000}">
      <formula1>Desinsum</formula1>
      <formula2>0</formula2>
    </dataValidation>
  </dataValidations>
  <printOptions horizontalCentered="1"/>
  <pageMargins left="0.59055118110236227" right="0.59055118110236227" top="0.59055118110236227" bottom="0.59055118110236227" header="0.51181102362204722" footer="0.51181102362204722"/>
  <pageSetup scale="64" orientation="portrait" horizontalDpi="300" verticalDpi="300" r:id="rId1"/>
  <rowBreaks count="27" manualBreakCount="27">
    <brk id="67" max="6" man="1"/>
    <brk id="227" max="6" man="1"/>
    <brk id="307" max="6" man="1"/>
    <brk id="467" max="6" man="1"/>
    <brk id="547" max="6" man="1"/>
    <brk id="627" max="6" man="1"/>
    <brk id="707" max="6" man="1"/>
    <brk id="787" max="6" man="1"/>
    <brk id="927" max="6" man="1"/>
    <brk id="987" max="6" man="1"/>
    <brk id="1047" max="6" man="1"/>
    <brk id="1127" max="6" man="1"/>
    <brk id="1207" max="6" man="1"/>
    <brk id="1267" max="6" man="1"/>
    <brk id="1329" max="6" man="1"/>
    <brk id="1389" max="6" man="1"/>
    <brk id="1449" max="6" man="1"/>
    <brk id="1529" max="6" man="1"/>
    <brk id="1589" max="6" man="1"/>
    <brk id="1649" max="6" man="1"/>
    <brk id="1709" max="6" man="1"/>
    <brk id="1769" max="6" man="1"/>
    <brk id="1829" max="6" man="1"/>
    <brk id="1889" max="6" man="1"/>
    <brk id="1955" max="6" man="1"/>
    <brk id="2039" max="6" man="1"/>
    <brk id="2119" max="6" man="1"/>
  </rowBreaks>
  <colBreaks count="1" manualBreakCount="1">
    <brk id="7" max="1048575" man="1"/>
  </colBreaks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E00-000001000000}">
          <x14:formula1>
            <xm:f>'Mano de obra'!$B$31:$B$58</xm:f>
          </x14:formula1>
          <x14:formula2>
            <xm:f>0</xm:f>
          </x14:formula2>
          <xm:sqref>B45:B47 B405:B407 B745:B747 B285:B287 B20:B22 B325:B327 B365:B367 B385:B387 B345:B347 B425:B427 B305:B307 B465:B467 B445:B447 B565:B567 B505:B507 B525:B548 B585:B587 B1286:B1288 B605:B607 B845:B847 B485:B487 B1307:B1309 B825:B827 B805:B807 B885:B887 B865:B867 B905:B907 B925:B927 B945:B947 B965:B967 B1005:B1007 B985:B987 B1065:B1067 B1045:B1047 B1085:B1087 B1105:B1107 B1165:B1167 B1185:B1187 B1205:B1207 B1327:B1329 B1145:B1147 B1527:B1529 B1953:B1955 B1447:B1449 B1467:B1469 B1975:B1977 B1487:B1489 B1347:B1349 B1997:B1999 B1427:B1429 B1367:B1369 B1547:B1549 B1387:B1389 B1567:B1569 B2057:B2059 B1587:B1589 B1407:B1409 B1607:B1609 B1507:B1509 B2077:B2079 B1767:B1769 B1667:B1669 B2097:B2099 B2137:B2139 B1687:B1689 B1707:B1709 B1647:B1649 B1627:B1629 B1747:B1749 B1807:B1809 B1727:B1729 B1787:B1789 B1827:B1829 B1847:B1849 B1867:B1869 B1887:B1889 B1909:B1911 B1931:B1933 B1025:B1027 B2017:B2019 B2037:B2039 B1265:B1267 B1125:B1127 B1225:B1227 B1245:B1247 B765:B767 B645:B647 B785:B787 B685:B687 B705:B707 B725:B727 B625:B627 B665:B667 B65:B67 B2117:B2119 B245:B247 B85:B87 B105:B107 B125:B127 B145:B147 B165:B167 B185:B187 B205:B207 B225:B227 B265:B267</xm:sqref>
        </x14:dataValidation>
        <x14:dataValidation type="list" allowBlank="1" showInputMessage="1" showErrorMessage="1" xr:uid="{00000000-0002-0000-0E00-000002000000}">
          <x14:formula1>
            <xm:f>Transporte!$A$4:$A$9</xm:f>
          </x14:formula1>
          <x14:formula2>
            <xm:f>0</xm:f>
          </x14:formula2>
          <xm:sqref>B42:B43 B402:B403 B742:B743 B282:B283 B17:B18 B322:B323 B362:B363 B382:B383 B422:B423 B342:B343 B302:B303 B442:B443 B462:B463 B562:B563 B542:B543 B502:B503 B522:B523 B582:B583 B1283:B1284 B602:B603 B842:B843 B482:B483 B1304:B1305 B822:B823 B802:B803 B882:B883 B862:B863 B902:B903 B922:B923 B942:B943 B962:B963 B1002:B1003 B982:B983 B1062:B1063 B1042:B1043 B1082:B1083 B1102:B1103 B1162:B1163 B1182:B1183 B1142:B1143 B1324:B1325 B1202:B1203 B1524:B1525 B1950:B1951 B1444:B1445 B1464:B1465 B1972:B1973 B1484:B1485 B1344:B1345 B1994:B1995 B1424:B1425 B1364:B1365 B1544:B1545 B1384:B1385 B1564:B1565 B2054:B2055 B1584:B1585 B1404:B1405 B1604:B1605 B1504:B1505 B2074:B2075 B1764:B1765 B1664:B1665 B2094:B2095 B2134:B2135 B1684:B1685 B1704:B1705 B1644:B1645 B1624:B1625 B1744:B1745 B1804:B1805 B1724:B1725 B1784:B1785 B1824:B1825 B1844:B1845 B1864:B1865 B1884:B1885 B1906:B1907 B1928:B1929 B1022:B1023 B2014:B2015 B2034:B2035 B1262:B1263 B1122:B1123 B1222:B1223 B1242:B1243 B762:B763 B642:B643 B782:B783 B682:B683 B702:B703 B722:B723 B622:B623 B662:B663 B62:B63 B2114:B2115 B82:B83 B102:B103 B122:B123 B142:B143 B162:B163 B182:B183 B202:B203 B222:B223 B242:B243 B262:B263</xm:sqref>
        </x14:dataValidation>
        <x14:dataValidation type="list" allowBlank="1" showInputMessage="1" showErrorMessage="1" xr:uid="{00000000-0002-0000-0E00-000003000000}">
          <x14:formula1>
            <xm:f>Equipo!$A$4:$A$90</xm:f>
          </x14:formula1>
          <x14:formula2>
            <xm:f>0</xm:f>
          </x14:formula2>
          <xm:sqref>B38:B40 B338:B340 B638:B640 B618:B620 B718:B720 B698:B700 B678:B680 B778:B780 B1258:B1260 B758:B760 B1238:B1240 B1218:B1220 B1118:B1120 B2030:B2032 B2010:B2012 B1924:B1926 B1902:B1904 B1880:B1882 B1860:B1862 B1840:B1842 B1820:B1822 B1780:B1782 B1720:B1722 B1800:B1802 B1740:B1742 B1620:B1622 B1640:B1642 B1700:B1702 B1680:B1682 B2130:B2132 B2090:B2092 B1660:B1662 B1760:B1762 B2070:B2072 B1500:B1502 B1600:B1602 B1400:B1402 B1580:B1582 B2050:B2052 B1560:B1562 B1380:B1382 B1540:B1542 B1360:B1362 B1420:B1422 B1990:B1992 B1340:B1342 B1480:B1482 B1968:B1970 B1460:B1462 B1440:B1442 B1946:B1948 B1520:B1522 B1198:B1200 B1320:B1322 B1138:B1140 B1178:B1180 B1158:B1160 B1098:B1100 B1078:B1080 B1038:B1040 B1058:B1060 B978:B980 B998:B1000 B958:B960 B938:B940 B918:B920 B898:B900 B858:B860 B878:B880 B798:B800 B818:B820 B1300:B1302 B478:B480 B838:B840 B598:B600 B1279:B1281 B578:B580 B518:B520 B498:B500 B538:B540 B558:B560 B458:B460 B438:B440 B298:B300 B1018:B1020 B418:B420 B378:B380 B358:B360 B318:B320 B13:B15 B278:B280 B738:B740 B398:B400 B658:B660 B2110:B2112 B58:B60 B78:B80 B98:B100 B118:B120 B138:B140 B158:B160 B178:B180 B198:B200 B218:B220 B238:B240 B258:B260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92D050"/>
  </sheetPr>
  <dimension ref="A1:K2717"/>
  <sheetViews>
    <sheetView view="pageBreakPreview" topLeftCell="A2579" zoomScale="90" zoomScaleNormal="100" zoomScaleSheetLayoutView="90" zoomScalePageLayoutView="80" workbookViewId="0">
      <selection activeCell="C2696" sqref="C2696"/>
    </sheetView>
  </sheetViews>
  <sheetFormatPr baseColWidth="10" defaultColWidth="10.73046875" defaultRowHeight="12.75" customHeight="1"/>
  <cols>
    <col min="1" max="1" width="8.73046875" style="48" customWidth="1"/>
    <col min="2" max="2" width="65.73046875" style="3" customWidth="1"/>
    <col min="3" max="3" width="10.73046875" style="3" customWidth="1"/>
    <col min="4" max="4" width="11.73046875" style="3" customWidth="1"/>
    <col min="5" max="5" width="13.73046875" style="49" customWidth="1"/>
    <col min="6" max="6" width="12.73046875" style="3" customWidth="1"/>
    <col min="7" max="8" width="14.73046875" style="3" customWidth="1"/>
    <col min="9" max="9" width="18.73046875" style="3" customWidth="1"/>
    <col min="10" max="10" width="19.3984375" style="3" customWidth="1"/>
    <col min="11" max="11" width="15.3984375" style="3" customWidth="1"/>
    <col min="12" max="16384" width="10.73046875" style="3"/>
  </cols>
  <sheetData>
    <row r="1" spans="1:11">
      <c r="A1" s="1"/>
      <c r="B1" s="316" t="str">
        <f>Presupuesto!A1</f>
        <v>ALCALDIA DE PEREIRA</v>
      </c>
      <c r="C1" s="316"/>
      <c r="D1" s="316"/>
      <c r="E1" s="316"/>
      <c r="F1" s="316"/>
      <c r="G1" s="316"/>
      <c r="H1" s="2"/>
    </row>
    <row r="2" spans="1:11">
      <c r="A2" s="1"/>
      <c r="B2" s="316" t="str">
        <f>Presupuesto!A2</f>
        <v>VERSION O BASE DE DATOS ALCALDIA DE PEREIRA 2026</v>
      </c>
      <c r="C2" s="316"/>
      <c r="D2" s="316"/>
      <c r="E2" s="316"/>
      <c r="F2" s="316"/>
      <c r="G2" s="316"/>
      <c r="H2" s="2"/>
    </row>
    <row r="3" spans="1:11" ht="14.85" customHeight="1">
      <c r="A3" s="4"/>
      <c r="B3" s="323" t="s">
        <v>3796</v>
      </c>
      <c r="C3" s="323"/>
      <c r="D3" s="323"/>
      <c r="E3" s="323"/>
      <c r="F3" s="323"/>
      <c r="G3" s="323"/>
      <c r="H3" s="5"/>
    </row>
    <row r="4" spans="1:11">
      <c r="A4" s="6" t="s">
        <v>1091</v>
      </c>
      <c r="B4" s="7" t="str">
        <f>VLOOKUP($A4,Presupuesto!$A:$D,2,FALSE())</f>
        <v>Accesorios para tuberia PE AL PE</v>
      </c>
      <c r="C4" s="8" t="str">
        <f>VLOOKUP($A4,Presupuesto!$A:$D,3,FALSE())</f>
        <v>Un</v>
      </c>
      <c r="D4" s="9"/>
      <c r="E4" s="10">
        <f>VLOOKUP($A4,Presupuesto!$A:$D,4,FALSE())</f>
        <v>0</v>
      </c>
      <c r="F4" s="11" t="s">
        <v>2589</v>
      </c>
      <c r="G4" s="12">
        <f>SUM(G6:G22)/2</f>
        <v>205425.14999999997</v>
      </c>
      <c r="H4" s="13">
        <f>ROUND(SUM(H6:H22),0)/2</f>
        <v>0</v>
      </c>
      <c r="I4" s="10">
        <f>VLOOKUP(A4,Presupuesto!$A:$F,6,0)</f>
        <v>0</v>
      </c>
      <c r="J4" s="10">
        <f>+H4-I4</f>
        <v>0</v>
      </c>
      <c r="K4" s="46">
        <f>+H4-G4*E4</f>
        <v>0</v>
      </c>
    </row>
    <row r="5" spans="1:11">
      <c r="A5" s="14"/>
      <c r="B5" s="15" t="s">
        <v>2586</v>
      </c>
      <c r="C5" s="15" t="s">
        <v>5</v>
      </c>
      <c r="D5" s="16" t="s">
        <v>6</v>
      </c>
      <c r="E5" s="17" t="s">
        <v>7</v>
      </c>
      <c r="F5" s="18" t="s">
        <v>3728</v>
      </c>
      <c r="G5" s="19" t="s">
        <v>3729</v>
      </c>
      <c r="H5" s="20" t="s">
        <v>3797</v>
      </c>
    </row>
    <row r="6" spans="1:11">
      <c r="A6" s="21"/>
      <c r="B6" s="22" t="s">
        <v>3730</v>
      </c>
      <c r="C6" s="23"/>
      <c r="D6" s="24"/>
      <c r="E6" s="25"/>
      <c r="F6" s="26"/>
      <c r="G6" s="27">
        <f>SUM(G7:G11)</f>
        <v>205425.14999999997</v>
      </c>
      <c r="H6" s="27">
        <f>IFERROR(G6*E4,"")</f>
        <v>0</v>
      </c>
    </row>
    <row r="7" spans="1:11">
      <c r="A7" s="28"/>
      <c r="B7" s="29" t="s">
        <v>3370</v>
      </c>
      <c r="C7" s="30" t="str">
        <f>IFERROR(_xlfn.XLOOKUP(B7,Insumo[DESCRIPCION],Insumo[UND],,0),"")</f>
        <v>Un</v>
      </c>
      <c r="D7" s="31">
        <v>1</v>
      </c>
      <c r="E7" s="32">
        <f>IFERROR(_xlfn.XLOOKUP($B7,Insumo[DESCRIPCION],Insumo[VALOR],,0),"")</f>
        <v>38440.5</v>
      </c>
      <c r="F7" s="33"/>
      <c r="G7" s="34">
        <f>IFERROR(IF(F7&gt;=0,D7*E7*(1+F7/100),ABS(D7*E7/F7)),"")</f>
        <v>38440.5</v>
      </c>
      <c r="H7" s="43">
        <f>IFERROR(G7*E4,"")</f>
        <v>0</v>
      </c>
    </row>
    <row r="8" spans="1:11">
      <c r="A8" s="28"/>
      <c r="B8" s="29" t="s">
        <v>3254</v>
      </c>
      <c r="C8" s="30" t="str">
        <f>IFERROR(_xlfn.XLOOKUP(B8,Insumo[DESCRIPCION],Insumo[UND],,0),"")</f>
        <v>Un</v>
      </c>
      <c r="D8" s="31">
        <v>3</v>
      </c>
      <c r="E8" s="32">
        <f>IFERROR(_xlfn.XLOOKUP($B8,Insumo[DESCRIPCION],Insumo[VALOR],,0),"")</f>
        <v>23064.3</v>
      </c>
      <c r="F8" s="33"/>
      <c r="G8" s="34">
        <f>IFERROR(IF(F8&gt;=0,D8*E8*(1+F8/100),ABS(D8*E8/F8)),"")</f>
        <v>69192.899999999994</v>
      </c>
      <c r="H8" s="43">
        <f>IFERROR(G8*E4,"")</f>
        <v>0</v>
      </c>
    </row>
    <row r="9" spans="1:11">
      <c r="A9" s="28"/>
      <c r="B9" s="29" t="s">
        <v>3255</v>
      </c>
      <c r="C9" s="30" t="str">
        <f>IFERROR(_xlfn.XLOOKUP(B9,Insumo[DESCRIPCION],Insumo[UND],,0),"")</f>
        <v>Un</v>
      </c>
      <c r="D9" s="31">
        <v>4</v>
      </c>
      <c r="E9" s="32">
        <f>IFERROR(_xlfn.XLOOKUP($B9,Insumo[DESCRIPCION],Insumo[VALOR],,0),"")</f>
        <v>23064.3</v>
      </c>
      <c r="F9" s="33"/>
      <c r="G9" s="34">
        <f>IFERROR(IF(F9&gt;=0,D9*E9*(1+F9/100),ABS(D9*E9/F9)),"")</f>
        <v>92257.2</v>
      </c>
      <c r="H9" s="43">
        <f>IFERROR(G9*E4,"")</f>
        <v>0</v>
      </c>
    </row>
    <row r="10" spans="1:11">
      <c r="A10" s="28"/>
      <c r="B10" s="29" t="s">
        <v>3368</v>
      </c>
      <c r="C10" s="30" t="str">
        <f>IFERROR(_xlfn.XLOOKUP(B10,Insumo[DESCRIPCION],Insumo[UND],,0),"")</f>
        <v>Un</v>
      </c>
      <c r="D10" s="31">
        <v>3</v>
      </c>
      <c r="E10" s="32">
        <f>IFERROR(_xlfn.XLOOKUP($B10,Insumo[DESCRIPCION],Insumo[VALOR],,0),"")</f>
        <v>1844.8500000000001</v>
      </c>
      <c r="F10" s="33"/>
      <c r="G10" s="34">
        <f>IFERROR(IF(F10&gt;=0,D10*E10*(1+F10/100),ABS(D10*E10/F10)),"")</f>
        <v>5534.55</v>
      </c>
      <c r="H10" s="43">
        <f>IFERROR(G10*E4,"")</f>
        <v>0</v>
      </c>
    </row>
    <row r="11" spans="1:11">
      <c r="A11" s="28"/>
      <c r="B11" s="29"/>
      <c r="C11" s="30" t="str">
        <f>IFERROR(_xlfn.XLOOKUP(B11,Insumo[DESCRIPCION],Insumo[UND],,0),"")</f>
        <v/>
      </c>
      <c r="D11" s="31"/>
      <c r="E11" s="32" t="str">
        <f>IFERROR(_xlfn.XLOOKUP($B11,Insumo[DESCRIPCION],Insumo[VALOR],,0),"")</f>
        <v/>
      </c>
      <c r="F11" s="33"/>
      <c r="G11" s="34" t="str">
        <f>IFERROR(IF(F11&gt;=0,D11*E11*(1+F11/100),ABS(D11*E11/F11)),"")</f>
        <v/>
      </c>
      <c r="H11" s="43" t="str">
        <f>IFERROR(G11*E4,"")</f>
        <v/>
      </c>
    </row>
    <row r="12" spans="1:11">
      <c r="A12" s="21"/>
      <c r="B12" s="22" t="s">
        <v>3731</v>
      </c>
      <c r="C12" s="23"/>
      <c r="D12" s="24"/>
      <c r="E12" s="25"/>
      <c r="F12" s="26"/>
      <c r="G12" s="27">
        <f>SUM(G13:G15)</f>
        <v>0</v>
      </c>
      <c r="H12" s="27">
        <f>IFERROR(G12*E4,"")</f>
        <v>0</v>
      </c>
    </row>
    <row r="13" spans="1:11">
      <c r="A13" s="28"/>
      <c r="B13" s="29"/>
      <c r="C13" s="30" t="str">
        <f>IFERROR(_xlfn.XLOOKUP(B13,Equipo[DESCRIPCION],Equipo[UND],,0),"")</f>
        <v/>
      </c>
      <c r="D13" s="31"/>
      <c r="E13" s="32" t="str">
        <f>IF(C13="%MO",G19,IFERROR(_xlfn.XLOOKUP($B13,Equipo[DESCRIPCION],Equipo[VALOR],,0),""))</f>
        <v/>
      </c>
      <c r="F13" s="33"/>
      <c r="G13" s="34" t="str">
        <f>IFERROR(IF(F13&gt;=0,D13*E13*(1+F13/100),ABS(D13*E13/F13)),"")</f>
        <v/>
      </c>
      <c r="H13" s="43" t="str">
        <f>IFERROR(G13*E4,"")</f>
        <v/>
      </c>
    </row>
    <row r="14" spans="1:11">
      <c r="A14" s="28"/>
      <c r="B14" s="29"/>
      <c r="C14" s="30" t="str">
        <f>IFERROR(_xlfn.XLOOKUP(B14,Equipo[DESCRIPCION],Equipo[UND],,0),"")</f>
        <v/>
      </c>
      <c r="D14" s="31"/>
      <c r="E14" s="32" t="str">
        <f>IF(C14="%MO",G19,IFERROR(_xlfn.XLOOKUP($B14,Equipo[DESCRIPCION],Equipo[VALOR],,0),""))</f>
        <v/>
      </c>
      <c r="F14" s="33"/>
      <c r="G14" s="34" t="str">
        <f>IFERROR(IF(F14&gt;=0,D14*E14*(1+F14/100),ABS(D14*E14/F14)),"")</f>
        <v/>
      </c>
      <c r="H14" s="43" t="str">
        <f>IFERROR(G14*E4,"")</f>
        <v/>
      </c>
    </row>
    <row r="15" spans="1:11">
      <c r="A15" s="28"/>
      <c r="B15" s="29"/>
      <c r="C15" s="30" t="str">
        <f>IFERROR(_xlfn.XLOOKUP(B15,Equipo[DESCRIPCION],Equipo[UND],,0),"")</f>
        <v/>
      </c>
      <c r="D15" s="31"/>
      <c r="E15" s="32" t="str">
        <f>IF(C15="%MO",G19,IFERROR(_xlfn.XLOOKUP($B15,Equipo[DESCRIPCION],Equipo[VALOR],,0),""))</f>
        <v/>
      </c>
      <c r="F15" s="33"/>
      <c r="G15" s="34" t="str">
        <f>IFERROR(IF(F15&gt;=0,D15*E15*(1+F15/100),ABS(D15*E15/F15)),"")</f>
        <v/>
      </c>
      <c r="H15" s="43" t="str">
        <f>IFERROR(G15*E4,"")</f>
        <v/>
      </c>
    </row>
    <row r="16" spans="1:11">
      <c r="A16" s="21"/>
      <c r="B16" s="22" t="s">
        <v>2533</v>
      </c>
      <c r="C16" s="23"/>
      <c r="D16" s="24"/>
      <c r="E16" s="25"/>
      <c r="F16" s="26"/>
      <c r="G16" s="27">
        <f>SUM(G17:G18)</f>
        <v>0</v>
      </c>
      <c r="H16" s="27">
        <f>IFERROR(G16*E4,"")</f>
        <v>0</v>
      </c>
    </row>
    <row r="17" spans="1:11">
      <c r="A17" s="28"/>
      <c r="B17" s="29"/>
      <c r="C17" s="30" t="str">
        <f>IFERROR(_xlfn.XLOOKUP(B17,Transporte[DESCRIPCION],Transporte[UND],,0),"")</f>
        <v/>
      </c>
      <c r="D17" s="31"/>
      <c r="E17" s="32" t="str">
        <f>IFERROR(_xlfn.XLOOKUP($B17,Transporte[DESCRIPCION],Transporte[VALOR],,0),"")</f>
        <v/>
      </c>
      <c r="F17" s="33"/>
      <c r="G17" s="34" t="str">
        <f>IFERROR(IF(F17&gt;=0,D17*E17*(1+F17/100),ABS(D17*E17/F17)),"")</f>
        <v/>
      </c>
      <c r="H17" s="43" t="str">
        <f>IFERROR(G17*E4,"")</f>
        <v/>
      </c>
    </row>
    <row r="18" spans="1:11">
      <c r="A18" s="28"/>
      <c r="B18" s="29"/>
      <c r="C18" s="30" t="str">
        <f>IFERROR(_xlfn.XLOOKUP(B18,Transporte[DESCRIPCION],Transporte[UND],,0),"")</f>
        <v/>
      </c>
      <c r="D18" s="31"/>
      <c r="E18" s="32" t="str">
        <f>IFERROR(_xlfn.XLOOKUP($B18,Transporte[DESCRIPCION],Transporte[VALOR],,0),"")</f>
        <v/>
      </c>
      <c r="F18" s="33"/>
      <c r="G18" s="34" t="str">
        <f>IFERROR(IF(F18&gt;=0,D18*E18*(1+F18/100),ABS(D18*E18/F18)),"")</f>
        <v/>
      </c>
      <c r="H18" s="43" t="str">
        <f>IFERROR(G18*E4,"")</f>
        <v/>
      </c>
    </row>
    <row r="19" spans="1:11">
      <c r="A19" s="21"/>
      <c r="B19" s="22" t="s">
        <v>3732</v>
      </c>
      <c r="C19" s="23"/>
      <c r="D19" s="24"/>
      <c r="E19" s="25"/>
      <c r="F19" s="26"/>
      <c r="G19" s="27">
        <f>SUM(G20:G22)</f>
        <v>0</v>
      </c>
      <c r="H19" s="27">
        <f>IFERROR(G19*E4,"")</f>
        <v>0</v>
      </c>
    </row>
    <row r="20" spans="1:11">
      <c r="A20" s="28"/>
      <c r="B20" s="29"/>
      <c r="C20" s="30" t="str">
        <f>IFERROR(_xlfn.XLOOKUP(B20,MObra[DESCRIPCION],MObra[UN],,0),"")</f>
        <v/>
      </c>
      <c r="D20" s="31"/>
      <c r="E20" s="32" t="str">
        <f>IFERROR(_xlfn.XLOOKUP($B20,MObra[DESCRIPCION],MObra[VALOR UNIT],,0),"")</f>
        <v/>
      </c>
      <c r="F20" s="33"/>
      <c r="G20" s="34" t="str">
        <f>IFERROR(IF(F20&gt;=0,D20*E20*(1+F20/100),ABS(D20*E20/F20)),"")</f>
        <v/>
      </c>
      <c r="H20" s="43" t="str">
        <f>IFERROR(G20*E4,"")</f>
        <v/>
      </c>
    </row>
    <row r="21" spans="1:11">
      <c r="A21" s="28"/>
      <c r="B21" s="29"/>
      <c r="C21" s="30" t="str">
        <f t="array" ref="C21">IFERROR(_xlfn.XLOOKUP(B21,MObra[[#All],[DESCRIPCION]],MObra[[#All],[UN]],,0),"")</f>
        <v/>
      </c>
      <c r="D21" s="31"/>
      <c r="E21" s="32" t="str">
        <f>IFERROR(_xlfn.XLOOKUP($B21,MObra[DESCRIPCION],MObra[VALOR UNIT],,0),"")</f>
        <v/>
      </c>
      <c r="F21" s="33"/>
      <c r="G21" s="34" t="str">
        <f>IFERROR(IF(F21&gt;=0,D21*E21*(1+F21/100),ABS(D21*E21/F21)),"")</f>
        <v/>
      </c>
      <c r="H21" s="43" t="str">
        <f>IFERROR(G21*E4,"")</f>
        <v/>
      </c>
    </row>
    <row r="22" spans="1:11">
      <c r="A22" s="35"/>
      <c r="B22" s="36"/>
      <c r="C22" s="37" t="str">
        <f t="array" ref="C22">IFERROR(_xlfn.XLOOKUP(B22,MObra[[#All],[DESCRIPCION]],MObra[[#All],[UN]],,0),"")</f>
        <v/>
      </c>
      <c r="D22" s="38"/>
      <c r="E22" s="39" t="str">
        <f>IFERROR(_xlfn.XLOOKUP($B22,MObra[DESCRIPCION],MObra[VALOR UNIT],,0),"")</f>
        <v/>
      </c>
      <c r="F22" s="40"/>
      <c r="G22" s="41" t="str">
        <f>IFERROR(IF(F22&gt;=0,D22*E22*(1+F22/100),ABS(D22*E22/F22)),"")</f>
        <v/>
      </c>
      <c r="H22" s="42" t="str">
        <f>IFERROR(G22*E4,"")</f>
        <v/>
      </c>
    </row>
    <row r="24" spans="1:11">
      <c r="A24" s="6" t="s">
        <v>1093</v>
      </c>
      <c r="B24" s="7" t="str">
        <f>VLOOKUP($A24,Presupuesto!$A:$D,2,FALSE())</f>
        <v>Calentador agua de acumulación 10 Lt gas natural</v>
      </c>
      <c r="C24" s="8" t="str">
        <f>VLOOKUP($A24,Presupuesto!$A:$D,3,FALSE())</f>
        <v>Un</v>
      </c>
      <c r="D24" s="9"/>
      <c r="E24" s="10">
        <f>VLOOKUP($A24,Presupuesto!$A:$D,4,FALSE())</f>
        <v>0</v>
      </c>
      <c r="F24" s="11" t="s">
        <v>2589</v>
      </c>
      <c r="G24" s="12">
        <f>SUM(G26:G42)/2</f>
        <v>46537.128843975006</v>
      </c>
      <c r="H24" s="13">
        <f>ROUND(SUM(H26:H42),0)/2</f>
        <v>0</v>
      </c>
      <c r="I24" s="10">
        <f>VLOOKUP(A24,Presupuesto!$A:$F,6,0)</f>
        <v>0</v>
      </c>
      <c r="J24" s="10">
        <f>+H24-I24</f>
        <v>0</v>
      </c>
      <c r="K24" s="46">
        <f>+H24-G24*E24</f>
        <v>0</v>
      </c>
    </row>
    <row r="25" spans="1:11">
      <c r="A25" s="14"/>
      <c r="B25" s="15" t="s">
        <v>2586</v>
      </c>
      <c r="C25" s="15" t="s">
        <v>5</v>
      </c>
      <c r="D25" s="16" t="s">
        <v>6</v>
      </c>
      <c r="E25" s="17" t="s">
        <v>7</v>
      </c>
      <c r="F25" s="18" t="s">
        <v>3728</v>
      </c>
      <c r="G25" s="19" t="s">
        <v>3729</v>
      </c>
      <c r="H25" s="20" t="s">
        <v>3797</v>
      </c>
    </row>
    <row r="26" spans="1:11">
      <c r="A26" s="21"/>
      <c r="B26" s="22" t="s">
        <v>3730</v>
      </c>
      <c r="C26" s="23"/>
      <c r="D26" s="24"/>
      <c r="E26" s="25"/>
      <c r="F26" s="26"/>
      <c r="G26" s="27">
        <f>SUM(G27:G31)</f>
        <v>13526.1</v>
      </c>
      <c r="H26" s="27">
        <f>IFERROR(G26*E24,"")</f>
        <v>0</v>
      </c>
    </row>
    <row r="27" spans="1:11">
      <c r="A27" s="28"/>
      <c r="B27" s="29" t="s">
        <v>2810</v>
      </c>
      <c r="C27" s="30" t="str">
        <f>IFERROR(_xlfn.XLOOKUP(B27,Insumo[DESCRIPCION],Insumo[UND],,0),"")</f>
        <v>Un</v>
      </c>
      <c r="D27" s="31">
        <v>1</v>
      </c>
      <c r="E27" s="32">
        <f>IFERROR(_xlfn.XLOOKUP($B27,Insumo[DESCRIPCION],Insumo[VALOR],,0),"")</f>
        <v>13526.1</v>
      </c>
      <c r="F27" s="33"/>
      <c r="G27" s="34">
        <f>IFERROR(IF(F27&gt;=0,D27*E27*(1+F27/100),ABS(D27*E27/F27)),"")</f>
        <v>13526.1</v>
      </c>
      <c r="H27" s="43">
        <f>IFERROR(G27*E24,"")</f>
        <v>0</v>
      </c>
    </row>
    <row r="28" spans="1:11">
      <c r="A28" s="28"/>
      <c r="B28" s="29"/>
      <c r="C28" s="30" t="str">
        <f>IFERROR(_xlfn.XLOOKUP(B28,Insumo[DESCRIPCION],Insumo[UND],,0),"")</f>
        <v/>
      </c>
      <c r="D28" s="31"/>
      <c r="E28" s="32" t="str">
        <f>IFERROR(_xlfn.XLOOKUP($B28,Insumo[DESCRIPCION],Insumo[VALOR],,0),"")</f>
        <v/>
      </c>
      <c r="F28" s="33"/>
      <c r="G28" s="34" t="str">
        <f>IFERROR(IF(F28&gt;=0,D28*E28*(1+F28/100),ABS(D28*E28/F28)),"")</f>
        <v/>
      </c>
      <c r="H28" s="43" t="str">
        <f>IFERROR(G28*E24,"")</f>
        <v/>
      </c>
    </row>
    <row r="29" spans="1:11">
      <c r="A29" s="28"/>
      <c r="B29" s="29"/>
      <c r="C29" s="30" t="str">
        <f>IFERROR(_xlfn.XLOOKUP(B29,Insumo[DESCRIPCION],Insumo[UND],,0),"")</f>
        <v/>
      </c>
      <c r="D29" s="31"/>
      <c r="E29" s="32" t="str">
        <f>IFERROR(_xlfn.XLOOKUP($B29,Insumo[DESCRIPCION],Insumo[VALOR],,0),"")</f>
        <v/>
      </c>
      <c r="F29" s="33"/>
      <c r="G29" s="34" t="str">
        <f>IFERROR(IF(F29&gt;=0,D29*E29*(1+F29/100),ABS(D29*E29/F29)),"")</f>
        <v/>
      </c>
      <c r="H29" s="43" t="str">
        <f>IFERROR(G29*E24,"")</f>
        <v/>
      </c>
    </row>
    <row r="30" spans="1:11">
      <c r="A30" s="28"/>
      <c r="B30" s="29"/>
      <c r="C30" s="30" t="str">
        <f>IFERROR(_xlfn.XLOOKUP(B30,Insumo[DESCRIPCION],Insumo[UND],,0),"")</f>
        <v/>
      </c>
      <c r="D30" s="31"/>
      <c r="E30" s="32" t="str">
        <f>IFERROR(_xlfn.XLOOKUP($B30,Insumo[DESCRIPCION],Insumo[VALOR],,0),"")</f>
        <v/>
      </c>
      <c r="F30" s="33"/>
      <c r="G30" s="34" t="str">
        <f>IFERROR(IF(F30&gt;=0,D30*E30*(1+F30/100),ABS(D30*E30/F30)),"")</f>
        <v/>
      </c>
      <c r="H30" s="43" t="str">
        <f>IFERROR(G30*E24,"")</f>
        <v/>
      </c>
    </row>
    <row r="31" spans="1:11">
      <c r="A31" s="28"/>
      <c r="B31" s="29"/>
      <c r="C31" s="30" t="str">
        <f>IFERROR(_xlfn.XLOOKUP(B31,Insumo[DESCRIPCION],Insumo[UND],,0),"")</f>
        <v/>
      </c>
      <c r="D31" s="31"/>
      <c r="E31" s="32" t="str">
        <f>IFERROR(_xlfn.XLOOKUP($B31,Insumo[DESCRIPCION],Insumo[VALOR],,0),"")</f>
        <v/>
      </c>
      <c r="F31" s="33"/>
      <c r="G31" s="34" t="str">
        <f>IFERROR(IF(F31&gt;=0,D31*E31*(1+F31/100),ABS(D31*E31/F31)),"")</f>
        <v/>
      </c>
      <c r="H31" s="43" t="str">
        <f>IFERROR(G31*E24,"")</f>
        <v/>
      </c>
    </row>
    <row r="32" spans="1:11">
      <c r="A32" s="21"/>
      <c r="B32" s="22" t="s">
        <v>3731</v>
      </c>
      <c r="C32" s="23"/>
      <c r="D32" s="24"/>
      <c r="E32" s="25"/>
      <c r="F32" s="26"/>
      <c r="G32" s="27">
        <f>SUM(G33:G35)</f>
        <v>1571.9537544750003</v>
      </c>
      <c r="H32" s="27">
        <f>IFERROR(G32*E24,"")</f>
        <v>0</v>
      </c>
    </row>
    <row r="33" spans="1:11">
      <c r="A33" s="28"/>
      <c r="B33" s="29" t="s">
        <v>3626</v>
      </c>
      <c r="C33" s="30" t="str">
        <f>IFERROR(_xlfn.XLOOKUP(B33,Equipo[DESCRIPCION],Equipo[UND],,0),"")</f>
        <v>%MO</v>
      </c>
      <c r="D33" s="31">
        <v>0.05</v>
      </c>
      <c r="E33" s="32">
        <f>IF(C33="%MO",G39,IFERROR(_xlfn.XLOOKUP($B33,Equipo[DESCRIPCION],Equipo[VALOR],,0),""))</f>
        <v>31439.075089500006</v>
      </c>
      <c r="F33" s="33"/>
      <c r="G33" s="34">
        <f>IFERROR(IF(F33&gt;=0,D33*E33*(1+F33/100),ABS(D33*E33/F33)),"")</f>
        <v>1571.9537544750003</v>
      </c>
      <c r="H33" s="43">
        <f>IFERROR(G33*E24,"")</f>
        <v>0</v>
      </c>
    </row>
    <row r="34" spans="1:11">
      <c r="A34" s="28"/>
      <c r="B34" s="29"/>
      <c r="C34" s="30" t="str">
        <f>IFERROR(_xlfn.XLOOKUP(B34,Equipo[DESCRIPCION],Equipo[UND],,0),"")</f>
        <v/>
      </c>
      <c r="D34" s="31"/>
      <c r="E34" s="32" t="str">
        <f>IF(C34="%MO",G39,IFERROR(_xlfn.XLOOKUP($B34,Equipo[DESCRIPCION],Equipo[VALOR],,0),""))</f>
        <v/>
      </c>
      <c r="F34" s="33"/>
      <c r="G34" s="34" t="str">
        <f>IFERROR(IF(F34&gt;=0,D34*E34*(1+F34/100),ABS(D34*E34/F34)),"")</f>
        <v/>
      </c>
      <c r="H34" s="43" t="str">
        <f>IFERROR(G34*E24,"")</f>
        <v/>
      </c>
    </row>
    <row r="35" spans="1:11">
      <c r="A35" s="28"/>
      <c r="B35" s="29"/>
      <c r="C35" s="30" t="str">
        <f>IFERROR(_xlfn.XLOOKUP(B35,Equipo[DESCRIPCION],Equipo[UND],,0),"")</f>
        <v/>
      </c>
      <c r="D35" s="31"/>
      <c r="E35" s="32" t="str">
        <f>IF(C35="%MO",G39,IFERROR(_xlfn.XLOOKUP($B35,Equipo[DESCRIPCION],Equipo[VALOR],,0),""))</f>
        <v/>
      </c>
      <c r="F35" s="33"/>
      <c r="G35" s="34" t="str">
        <f>IFERROR(IF(F35&gt;=0,D35*E35*(1+F35/100),ABS(D35*E35/F35)),"")</f>
        <v/>
      </c>
      <c r="H35" s="43" t="str">
        <f>IFERROR(G35*E24,"")</f>
        <v/>
      </c>
    </row>
    <row r="36" spans="1:11">
      <c r="A36" s="21"/>
      <c r="B36" s="22" t="s">
        <v>2533</v>
      </c>
      <c r="C36" s="23"/>
      <c r="D36" s="24"/>
      <c r="E36" s="25"/>
      <c r="F36" s="26"/>
      <c r="G36" s="27">
        <f>SUM(G37:G38)</f>
        <v>0</v>
      </c>
      <c r="H36" s="27">
        <f>IFERROR(G36*E24,"")</f>
        <v>0</v>
      </c>
    </row>
    <row r="37" spans="1:11">
      <c r="A37" s="28"/>
      <c r="B37" s="29"/>
      <c r="C37" s="30" t="str">
        <f>IFERROR(_xlfn.XLOOKUP(B37,Transporte[DESCRIPCION],Transporte[UND],,0),"")</f>
        <v/>
      </c>
      <c r="D37" s="31"/>
      <c r="E37" s="32" t="str">
        <f>IFERROR(_xlfn.XLOOKUP($B37,Transporte[DESCRIPCION],Transporte[VALOR],,0),"")</f>
        <v/>
      </c>
      <c r="F37" s="33"/>
      <c r="G37" s="34" t="str">
        <f>IFERROR(IF(F37&gt;=0,D37*E37*(1+F37/100),ABS(D37*E37/F37)),"")</f>
        <v/>
      </c>
      <c r="H37" s="43" t="str">
        <f>IFERROR(G37*E24,"")</f>
        <v/>
      </c>
    </row>
    <row r="38" spans="1:11">
      <c r="A38" s="28"/>
      <c r="B38" s="29"/>
      <c r="C38" s="30" t="str">
        <f>IFERROR(_xlfn.XLOOKUP(B38,Transporte[DESCRIPCION],Transporte[UND],,0),"")</f>
        <v/>
      </c>
      <c r="D38" s="31"/>
      <c r="E38" s="32" t="str">
        <f>IFERROR(_xlfn.XLOOKUP($B38,Transporte[DESCRIPCION],Transporte[VALOR],,0),"")</f>
        <v/>
      </c>
      <c r="F38" s="33"/>
      <c r="G38" s="34" t="str">
        <f>IFERROR(IF(F38&gt;=0,D38*E38*(1+F38/100),ABS(D38*E38/F38)),"")</f>
        <v/>
      </c>
      <c r="H38" s="43" t="str">
        <f>IFERROR(G38*E24,"")</f>
        <v/>
      </c>
    </row>
    <row r="39" spans="1:11">
      <c r="A39" s="21"/>
      <c r="B39" s="22" t="s">
        <v>3732</v>
      </c>
      <c r="C39" s="23"/>
      <c r="D39" s="24"/>
      <c r="E39" s="25"/>
      <c r="F39" s="26"/>
      <c r="G39" s="27">
        <f>SUM(G40:G42)</f>
        <v>31439.075089500006</v>
      </c>
      <c r="H39" s="27">
        <f>IFERROR(G39*E24,"")</f>
        <v>0</v>
      </c>
    </row>
    <row r="40" spans="1:11">
      <c r="A40" s="28"/>
      <c r="B40" s="29" t="s">
        <v>3710</v>
      </c>
      <c r="C40" s="30" t="str">
        <f>IFERROR(_xlfn.XLOOKUP(B40,MObra[DESCRIPCION],MObra[UN],,0),"")</f>
        <v>día</v>
      </c>
      <c r="D40" s="31">
        <v>1</v>
      </c>
      <c r="E40" s="32">
        <f>IFERROR(_xlfn.XLOOKUP($B40,MObra[DESCRIPCION],MObra[VALOR UNIT],,0),"")</f>
        <v>314390.75089500006</v>
      </c>
      <c r="F40" s="33">
        <v>-10</v>
      </c>
      <c r="G40" s="34">
        <f>IFERROR(IF(F40&gt;=0,D40*E40*(1+F40/100),ABS(D40*E40/F40)),"")</f>
        <v>31439.075089500006</v>
      </c>
      <c r="H40" s="43">
        <f>IFERROR(G40*E24,"")</f>
        <v>0</v>
      </c>
    </row>
    <row r="41" spans="1:11">
      <c r="A41" s="28"/>
      <c r="B41" s="29"/>
      <c r="C41" s="30" t="str">
        <f t="array" ref="C41">IFERROR(_xlfn.XLOOKUP(B41,MObra[[#All],[DESCRIPCION]],MObra[[#All],[UN]],,0),"")</f>
        <v/>
      </c>
      <c r="D41" s="31"/>
      <c r="E41" s="32" t="str">
        <f>IFERROR(_xlfn.XLOOKUP($B41,MObra[DESCRIPCION],MObra[VALOR UNIT],,0),"")</f>
        <v/>
      </c>
      <c r="F41" s="33"/>
      <c r="G41" s="34" t="str">
        <f>IFERROR(IF(F41&gt;=0,D41*E41*(1+F41/100),ABS(D41*E41/F41)),"")</f>
        <v/>
      </c>
      <c r="H41" s="43" t="str">
        <f>IFERROR(G41*E24,"")</f>
        <v/>
      </c>
    </row>
    <row r="42" spans="1:11">
      <c r="A42" s="35"/>
      <c r="B42" s="36"/>
      <c r="C42" s="37" t="str">
        <f t="array" ref="C42">IFERROR(_xlfn.XLOOKUP(B42,MObra[[#All],[DESCRIPCION]],MObra[[#All],[UN]],,0),"")</f>
        <v/>
      </c>
      <c r="D42" s="38"/>
      <c r="E42" s="39" t="str">
        <f>IFERROR(_xlfn.XLOOKUP($B42,MObra[DESCRIPCION],MObra[VALOR UNIT],,0),"")</f>
        <v/>
      </c>
      <c r="F42" s="40"/>
      <c r="G42" s="41" t="str">
        <f>IFERROR(IF(F42&gt;=0,D42*E42*(1+F42/100),ABS(D42*E42/F42)),"")</f>
        <v/>
      </c>
      <c r="H42" s="42" t="str">
        <f>IFERROR(G42*E24,"")</f>
        <v/>
      </c>
    </row>
    <row r="44" spans="1:11">
      <c r="A44" s="6" t="s">
        <v>1095</v>
      </c>
      <c r="B44" s="7" t="str">
        <f>VLOOKUP($A44,Presupuesto!$A:$D,2,FALSE())</f>
        <v>Calentador agua de acumulación 15 Lt gas natural</v>
      </c>
      <c r="C44" s="8" t="str">
        <f>VLOOKUP($A44,Presupuesto!$A:$D,3,FALSE())</f>
        <v>Un</v>
      </c>
      <c r="D44" s="9"/>
      <c r="E44" s="10">
        <f>VLOOKUP($A44,Presupuesto!$A:$D,4,FALSE())</f>
        <v>0</v>
      </c>
      <c r="F44" s="11" t="s">
        <v>2589</v>
      </c>
      <c r="G44" s="12">
        <f>SUM(G46:G62)/2</f>
        <v>1763976.9788439749</v>
      </c>
      <c r="H44" s="13">
        <f>ROUND(SUM(H46:H62),0)/2</f>
        <v>0</v>
      </c>
      <c r="I44" s="10">
        <f>VLOOKUP(A44,Presupuesto!$A:$F,6,0)</f>
        <v>0</v>
      </c>
      <c r="J44" s="10">
        <f>+H44-I44</f>
        <v>0</v>
      </c>
      <c r="K44" s="46">
        <f>+H44-G44*E44</f>
        <v>0</v>
      </c>
    </row>
    <row r="45" spans="1:11">
      <c r="A45" s="14"/>
      <c r="B45" s="15" t="s">
        <v>2586</v>
      </c>
      <c r="C45" s="15" t="s">
        <v>5</v>
      </c>
      <c r="D45" s="16" t="s">
        <v>6</v>
      </c>
      <c r="E45" s="17" t="s">
        <v>7</v>
      </c>
      <c r="F45" s="18" t="s">
        <v>3728</v>
      </c>
      <c r="G45" s="19" t="s">
        <v>3729</v>
      </c>
      <c r="H45" s="20" t="s">
        <v>3797</v>
      </c>
    </row>
    <row r="46" spans="1:11">
      <c r="A46" s="21"/>
      <c r="B46" s="22" t="s">
        <v>3730</v>
      </c>
      <c r="C46" s="23"/>
      <c r="D46" s="24"/>
      <c r="E46" s="25"/>
      <c r="F46" s="26"/>
      <c r="G46" s="27">
        <f>SUM(G47:G51)</f>
        <v>1730965.9500000002</v>
      </c>
      <c r="H46" s="27">
        <f>IFERROR(G46*E44,"")</f>
        <v>0</v>
      </c>
    </row>
    <row r="47" spans="1:11">
      <c r="A47" s="28"/>
      <c r="B47" s="29" t="s">
        <v>2811</v>
      </c>
      <c r="C47" s="30" t="str">
        <f>IFERROR(_xlfn.XLOOKUP(B47,Insumo[DESCRIPCION],Insumo[UND],,0),"")</f>
        <v>Un</v>
      </c>
      <c r="D47" s="31">
        <v>1</v>
      </c>
      <c r="E47" s="32">
        <f>IFERROR(_xlfn.XLOOKUP($B47,Insumo[DESCRIPCION],Insumo[VALOR],,0),"")</f>
        <v>1730965.9500000002</v>
      </c>
      <c r="F47" s="33"/>
      <c r="G47" s="34">
        <f>IFERROR(IF(F47&gt;=0,D47*E47*(1+F47/100),ABS(D47*E47/F47)),"")</f>
        <v>1730965.9500000002</v>
      </c>
      <c r="H47" s="43">
        <f>IFERROR(G47*E44,"")</f>
        <v>0</v>
      </c>
    </row>
    <row r="48" spans="1:11">
      <c r="A48" s="28"/>
      <c r="B48" s="29"/>
      <c r="C48" s="30" t="str">
        <f>IFERROR(_xlfn.XLOOKUP(B48,Insumo[DESCRIPCION],Insumo[UND],,0),"")</f>
        <v/>
      </c>
      <c r="D48" s="31"/>
      <c r="E48" s="32" t="str">
        <f>IFERROR(_xlfn.XLOOKUP($B48,Insumo[DESCRIPCION],Insumo[VALOR],,0),"")</f>
        <v/>
      </c>
      <c r="F48" s="33"/>
      <c r="G48" s="34" t="str">
        <f>IFERROR(IF(F48&gt;=0,D48*E48*(1+F48/100),ABS(D48*E48/F48)),"")</f>
        <v/>
      </c>
      <c r="H48" s="43" t="str">
        <f>IFERROR(G48*E44,"")</f>
        <v/>
      </c>
    </row>
    <row r="49" spans="1:11">
      <c r="A49" s="28"/>
      <c r="B49" s="29"/>
      <c r="C49" s="30" t="str">
        <f>IFERROR(_xlfn.XLOOKUP(B49,Insumo[DESCRIPCION],Insumo[UND],,0),"")</f>
        <v/>
      </c>
      <c r="D49" s="31"/>
      <c r="E49" s="32" t="str">
        <f>IFERROR(_xlfn.XLOOKUP($B49,Insumo[DESCRIPCION],Insumo[VALOR],,0),"")</f>
        <v/>
      </c>
      <c r="F49" s="33"/>
      <c r="G49" s="34" t="str">
        <f>IFERROR(IF(F49&gt;=0,D49*E49*(1+F49/100),ABS(D49*E49/F49)),"")</f>
        <v/>
      </c>
      <c r="H49" s="43" t="str">
        <f>IFERROR(G49*E44,"")</f>
        <v/>
      </c>
    </row>
    <row r="50" spans="1:11">
      <c r="A50" s="28"/>
      <c r="B50" s="29"/>
      <c r="C50" s="30" t="str">
        <f>IFERROR(_xlfn.XLOOKUP(B50,Insumo[DESCRIPCION],Insumo[UND],,0),"")</f>
        <v/>
      </c>
      <c r="D50" s="31"/>
      <c r="E50" s="32" t="str">
        <f>IFERROR(_xlfn.XLOOKUP($B50,Insumo[DESCRIPCION],Insumo[VALOR],,0),"")</f>
        <v/>
      </c>
      <c r="F50" s="33"/>
      <c r="G50" s="34" t="str">
        <f>IFERROR(IF(F50&gt;=0,D50*E50*(1+F50/100),ABS(D50*E50/F50)),"")</f>
        <v/>
      </c>
      <c r="H50" s="43" t="str">
        <f>IFERROR(G50*E44,"")</f>
        <v/>
      </c>
    </row>
    <row r="51" spans="1:11">
      <c r="A51" s="28"/>
      <c r="B51" s="29"/>
      <c r="C51" s="30" t="str">
        <f>IFERROR(_xlfn.XLOOKUP(B51,Insumo[DESCRIPCION],Insumo[UND],,0),"")</f>
        <v/>
      </c>
      <c r="D51" s="31"/>
      <c r="E51" s="32" t="str">
        <f>IFERROR(_xlfn.XLOOKUP($B51,Insumo[DESCRIPCION],Insumo[VALOR],,0),"")</f>
        <v/>
      </c>
      <c r="F51" s="33"/>
      <c r="G51" s="34" t="str">
        <f>IFERROR(IF(F51&gt;=0,D51*E51*(1+F51/100),ABS(D51*E51/F51)),"")</f>
        <v/>
      </c>
      <c r="H51" s="43" t="str">
        <f>IFERROR(G51*E44,"")</f>
        <v/>
      </c>
    </row>
    <row r="52" spans="1:11">
      <c r="A52" s="21"/>
      <c r="B52" s="22" t="s">
        <v>3731</v>
      </c>
      <c r="C52" s="23"/>
      <c r="D52" s="24"/>
      <c r="E52" s="25"/>
      <c r="F52" s="26"/>
      <c r="G52" s="27">
        <f>SUM(G53:G55)</f>
        <v>1571.9537544750003</v>
      </c>
      <c r="H52" s="27">
        <f>IFERROR(G52*E44,"")</f>
        <v>0</v>
      </c>
    </row>
    <row r="53" spans="1:11">
      <c r="A53" s="28"/>
      <c r="B53" s="29" t="s">
        <v>3626</v>
      </c>
      <c r="C53" s="30" t="str">
        <f>IFERROR(_xlfn.XLOOKUP(B53,Equipo[DESCRIPCION],Equipo[UND],,0),"")</f>
        <v>%MO</v>
      </c>
      <c r="D53" s="31">
        <v>0.05</v>
      </c>
      <c r="E53" s="32">
        <f>IF(C53="%MO",G59,IFERROR(_xlfn.XLOOKUP($B53,Equipo[DESCRIPCION],Equipo[VALOR],,0),""))</f>
        <v>31439.075089500006</v>
      </c>
      <c r="F53" s="33"/>
      <c r="G53" s="34">
        <f>IFERROR(IF(F53&gt;=0,D53*E53*(1+F53/100),ABS(D53*E53/F53)),"")</f>
        <v>1571.9537544750003</v>
      </c>
      <c r="H53" s="43">
        <f>IFERROR(G53*E44,"")</f>
        <v>0</v>
      </c>
    </row>
    <row r="54" spans="1:11">
      <c r="A54" s="28"/>
      <c r="B54" s="29"/>
      <c r="C54" s="30" t="str">
        <f>IFERROR(_xlfn.XLOOKUP(B54,Equipo[DESCRIPCION],Equipo[UND],,0),"")</f>
        <v/>
      </c>
      <c r="D54" s="31"/>
      <c r="E54" s="32" t="str">
        <f>IF(C54="%MO",G59,IFERROR(_xlfn.XLOOKUP($B54,Equipo[DESCRIPCION],Equipo[VALOR],,0),""))</f>
        <v/>
      </c>
      <c r="F54" s="33"/>
      <c r="G54" s="34" t="str">
        <f>IFERROR(IF(F54&gt;=0,D54*E54*(1+F54/100),ABS(D54*E54/F54)),"")</f>
        <v/>
      </c>
      <c r="H54" s="43" t="str">
        <f>IFERROR(G54*E44,"")</f>
        <v/>
      </c>
    </row>
    <row r="55" spans="1:11">
      <c r="A55" s="28"/>
      <c r="B55" s="29"/>
      <c r="C55" s="30" t="str">
        <f>IFERROR(_xlfn.XLOOKUP(B55,Equipo[DESCRIPCION],Equipo[UND],,0),"")</f>
        <v/>
      </c>
      <c r="D55" s="31"/>
      <c r="E55" s="32" t="str">
        <f>IF(C55="%MO",G59,IFERROR(_xlfn.XLOOKUP($B55,Equipo[DESCRIPCION],Equipo[VALOR],,0),""))</f>
        <v/>
      </c>
      <c r="F55" s="33"/>
      <c r="G55" s="34" t="str">
        <f>IFERROR(IF(F55&gt;=0,D55*E55*(1+F55/100),ABS(D55*E55/F55)),"")</f>
        <v/>
      </c>
      <c r="H55" s="43" t="str">
        <f>IFERROR(G55*E44,"")</f>
        <v/>
      </c>
    </row>
    <row r="56" spans="1:11">
      <c r="A56" s="21"/>
      <c r="B56" s="22" t="s">
        <v>2533</v>
      </c>
      <c r="C56" s="23"/>
      <c r="D56" s="24"/>
      <c r="E56" s="25"/>
      <c r="F56" s="26"/>
      <c r="G56" s="27">
        <f>SUM(G57:G58)</f>
        <v>0</v>
      </c>
      <c r="H56" s="27">
        <f>IFERROR(G56*E44,"")</f>
        <v>0</v>
      </c>
    </row>
    <row r="57" spans="1:11">
      <c r="A57" s="28"/>
      <c r="B57" s="29"/>
      <c r="C57" s="30" t="str">
        <f>IFERROR(_xlfn.XLOOKUP(B57,Transporte[DESCRIPCION],Transporte[UND],,0),"")</f>
        <v/>
      </c>
      <c r="D57" s="31"/>
      <c r="E57" s="32" t="str">
        <f>IFERROR(_xlfn.XLOOKUP($B57,Transporte[DESCRIPCION],Transporte[VALOR],,0),"")</f>
        <v/>
      </c>
      <c r="F57" s="33"/>
      <c r="G57" s="34" t="str">
        <f>IFERROR(IF(F57&gt;=0,D57*E57*(1+F57/100),ABS(D57*E57/F57)),"")</f>
        <v/>
      </c>
      <c r="H57" s="43" t="str">
        <f>IFERROR(G57*E44,"")</f>
        <v/>
      </c>
    </row>
    <row r="58" spans="1:11">
      <c r="A58" s="28"/>
      <c r="B58" s="29"/>
      <c r="C58" s="30" t="str">
        <f>IFERROR(_xlfn.XLOOKUP(B58,Transporte[DESCRIPCION],Transporte[UND],,0),"")</f>
        <v/>
      </c>
      <c r="D58" s="31"/>
      <c r="E58" s="32" t="str">
        <f>IFERROR(_xlfn.XLOOKUP($B58,Transporte[DESCRIPCION],Transporte[VALOR],,0),"")</f>
        <v/>
      </c>
      <c r="F58" s="33"/>
      <c r="G58" s="34" t="str">
        <f>IFERROR(IF(F58&gt;=0,D58*E58*(1+F58/100),ABS(D58*E58/F58)),"")</f>
        <v/>
      </c>
      <c r="H58" s="43" t="str">
        <f>IFERROR(G58*E44,"")</f>
        <v/>
      </c>
    </row>
    <row r="59" spans="1:11">
      <c r="A59" s="21"/>
      <c r="B59" s="22" t="s">
        <v>3732</v>
      </c>
      <c r="C59" s="23"/>
      <c r="D59" s="24"/>
      <c r="E59" s="25"/>
      <c r="F59" s="26"/>
      <c r="G59" s="27">
        <f>SUM(G60:G62)</f>
        <v>31439.075089500006</v>
      </c>
      <c r="H59" s="27">
        <f>IFERROR(G59*E44,"")</f>
        <v>0</v>
      </c>
    </row>
    <row r="60" spans="1:11">
      <c r="A60" s="28"/>
      <c r="B60" s="29" t="s">
        <v>3710</v>
      </c>
      <c r="C60" s="30" t="str">
        <f>IFERROR(_xlfn.XLOOKUP(B60,MObra[DESCRIPCION],MObra[UN],,0),"")</f>
        <v>día</v>
      </c>
      <c r="D60" s="31">
        <v>1</v>
      </c>
      <c r="E60" s="32">
        <f>IFERROR(_xlfn.XLOOKUP($B60,MObra[DESCRIPCION],MObra[VALOR UNIT],,0),"")</f>
        <v>314390.75089500006</v>
      </c>
      <c r="F60" s="33">
        <v>-10</v>
      </c>
      <c r="G60" s="34">
        <f>IFERROR(IF(F60&gt;=0,D60*E60*(1+F60/100),ABS(D60*E60/F60)),"")</f>
        <v>31439.075089500006</v>
      </c>
      <c r="H60" s="43">
        <f>IFERROR(G60*E44,"")</f>
        <v>0</v>
      </c>
    </row>
    <row r="61" spans="1:11">
      <c r="A61" s="28"/>
      <c r="B61" s="29"/>
      <c r="C61" s="30" t="str">
        <f t="array" ref="C61">IFERROR(_xlfn.XLOOKUP(B61,MObra[[#All],[DESCRIPCION]],MObra[[#All],[UN]],,0),"")</f>
        <v/>
      </c>
      <c r="D61" s="31"/>
      <c r="E61" s="32" t="str">
        <f>IFERROR(_xlfn.XLOOKUP($B61,MObra[DESCRIPCION],MObra[VALOR UNIT],,0),"")</f>
        <v/>
      </c>
      <c r="F61" s="33"/>
      <c r="G61" s="34" t="str">
        <f>IFERROR(IF(F61&gt;=0,D61*E61*(1+F61/100),ABS(D61*E61/F61)),"")</f>
        <v/>
      </c>
      <c r="H61" s="43" t="str">
        <f>IFERROR(G61*E44,"")</f>
        <v/>
      </c>
    </row>
    <row r="62" spans="1:11">
      <c r="A62" s="35"/>
      <c r="B62" s="36"/>
      <c r="C62" s="37" t="str">
        <f t="array" ref="C62">IFERROR(_xlfn.XLOOKUP(B62,MObra[[#All],[DESCRIPCION]],MObra[[#All],[UN]],,0),"")</f>
        <v/>
      </c>
      <c r="D62" s="38"/>
      <c r="E62" s="39" t="str">
        <f>IFERROR(_xlfn.XLOOKUP($B62,MObra[DESCRIPCION],MObra[VALOR UNIT],,0),"")</f>
        <v/>
      </c>
      <c r="F62" s="40"/>
      <c r="G62" s="41" t="str">
        <f>IFERROR(IF(F62&gt;=0,D62*E62*(1+F62/100),ABS(D62*E62/F62)),"")</f>
        <v/>
      </c>
      <c r="H62" s="42" t="str">
        <f>IFERROR(G62*E44,"")</f>
        <v/>
      </c>
    </row>
    <row r="64" spans="1:11">
      <c r="A64" s="6" t="s">
        <v>1097</v>
      </c>
      <c r="B64" s="7" t="str">
        <f>VLOOKUP($A64,Presupuesto!$A:$D,2,FALSE())</f>
        <v>Calentador agua de acumulación 20 Lt gas natural</v>
      </c>
      <c r="C64" s="8" t="str">
        <f>VLOOKUP($A64,Presupuesto!$A:$D,3,FALSE())</f>
        <v>Un</v>
      </c>
      <c r="D64" s="9"/>
      <c r="E64" s="10">
        <f>VLOOKUP($A64,Presupuesto!$A:$D,4,FALSE())</f>
        <v>0</v>
      </c>
      <c r="F64" s="11" t="s">
        <v>2589</v>
      </c>
      <c r="G64" s="12">
        <f>SUM(G66:G82)/2</f>
        <v>1851497.6288439748</v>
      </c>
      <c r="H64" s="13">
        <f>ROUND(SUM(H66:H82),0)/2</f>
        <v>0</v>
      </c>
      <c r="I64" s="10">
        <f>VLOOKUP(A64,Presupuesto!$A:$F,6,0)</f>
        <v>0</v>
      </c>
      <c r="J64" s="10">
        <f>+H64-I64</f>
        <v>0</v>
      </c>
      <c r="K64" s="46">
        <f>+H64-G64*E64</f>
        <v>0</v>
      </c>
    </row>
    <row r="65" spans="1:8">
      <c r="A65" s="14"/>
      <c r="B65" s="15" t="s">
        <v>2586</v>
      </c>
      <c r="C65" s="15" t="s">
        <v>5</v>
      </c>
      <c r="D65" s="16" t="s">
        <v>6</v>
      </c>
      <c r="E65" s="17" t="s">
        <v>7</v>
      </c>
      <c r="F65" s="18" t="s">
        <v>3728</v>
      </c>
      <c r="G65" s="19" t="s">
        <v>3729</v>
      </c>
      <c r="H65" s="20" t="s">
        <v>3797</v>
      </c>
    </row>
    <row r="66" spans="1:8">
      <c r="A66" s="21"/>
      <c r="B66" s="22" t="s">
        <v>3730</v>
      </c>
      <c r="C66" s="23"/>
      <c r="D66" s="24"/>
      <c r="E66" s="25"/>
      <c r="F66" s="26"/>
      <c r="G66" s="27">
        <f>SUM(G67:G71)</f>
        <v>1818486.6</v>
      </c>
      <c r="H66" s="27">
        <f>IFERROR(G66*E64,"")</f>
        <v>0</v>
      </c>
    </row>
    <row r="67" spans="1:8">
      <c r="A67" s="28"/>
      <c r="B67" s="29" t="s">
        <v>2812</v>
      </c>
      <c r="C67" s="30" t="str">
        <f>IFERROR(_xlfn.XLOOKUP(B67,Insumo[DESCRIPCION],Insumo[UND],,0),"")</f>
        <v>Un</v>
      </c>
      <c r="D67" s="31">
        <v>1</v>
      </c>
      <c r="E67" s="32">
        <f>IFERROR(_xlfn.XLOOKUP($B67,Insumo[DESCRIPCION],Insumo[VALOR],,0),"")</f>
        <v>1818486.6</v>
      </c>
      <c r="F67" s="33"/>
      <c r="G67" s="34">
        <f>IFERROR(IF(F67&gt;=0,D67*E67*(1+F67/100),ABS(D67*E67/F67)),"")</f>
        <v>1818486.6</v>
      </c>
      <c r="H67" s="43">
        <f>IFERROR(G67*E64,"")</f>
        <v>0</v>
      </c>
    </row>
    <row r="68" spans="1:8">
      <c r="A68" s="28"/>
      <c r="B68" s="29"/>
      <c r="C68" s="30" t="str">
        <f>IFERROR(_xlfn.XLOOKUP(B68,Insumo[DESCRIPCION],Insumo[UND],,0),"")</f>
        <v/>
      </c>
      <c r="D68" s="31"/>
      <c r="E68" s="32" t="str">
        <f>IFERROR(_xlfn.XLOOKUP($B68,Insumo[DESCRIPCION],Insumo[VALOR],,0),"")</f>
        <v/>
      </c>
      <c r="F68" s="33"/>
      <c r="G68" s="34" t="str">
        <f>IFERROR(IF(F68&gt;=0,D68*E68*(1+F68/100),ABS(D68*E68/F68)),"")</f>
        <v/>
      </c>
      <c r="H68" s="43" t="str">
        <f>IFERROR(G68*E64,"")</f>
        <v/>
      </c>
    </row>
    <row r="69" spans="1:8">
      <c r="A69" s="28"/>
      <c r="B69" s="29"/>
      <c r="C69" s="30" t="str">
        <f>IFERROR(_xlfn.XLOOKUP(B69,Insumo[DESCRIPCION],Insumo[UND],,0),"")</f>
        <v/>
      </c>
      <c r="D69" s="31"/>
      <c r="E69" s="32" t="str">
        <f>IFERROR(_xlfn.XLOOKUP($B69,Insumo[DESCRIPCION],Insumo[VALOR],,0),"")</f>
        <v/>
      </c>
      <c r="F69" s="33"/>
      <c r="G69" s="34" t="str">
        <f>IFERROR(IF(F69&gt;=0,D69*E69*(1+F69/100),ABS(D69*E69/F69)),"")</f>
        <v/>
      </c>
      <c r="H69" s="43" t="str">
        <f>IFERROR(G69*E64,"")</f>
        <v/>
      </c>
    </row>
    <row r="70" spans="1:8">
      <c r="A70" s="28"/>
      <c r="B70" s="29"/>
      <c r="C70" s="30" t="str">
        <f>IFERROR(_xlfn.XLOOKUP(B70,Insumo[DESCRIPCION],Insumo[UND],,0),"")</f>
        <v/>
      </c>
      <c r="D70" s="31"/>
      <c r="E70" s="32" t="str">
        <f>IFERROR(_xlfn.XLOOKUP($B70,Insumo[DESCRIPCION],Insumo[VALOR],,0),"")</f>
        <v/>
      </c>
      <c r="F70" s="33"/>
      <c r="G70" s="34" t="str">
        <f>IFERROR(IF(F70&gt;=0,D70*E70*(1+F70/100),ABS(D70*E70/F70)),"")</f>
        <v/>
      </c>
      <c r="H70" s="43" t="str">
        <f>IFERROR(G70*E64,"")</f>
        <v/>
      </c>
    </row>
    <row r="71" spans="1:8">
      <c r="A71" s="28"/>
      <c r="B71" s="29"/>
      <c r="C71" s="30" t="str">
        <f>IFERROR(_xlfn.XLOOKUP(B71,Insumo[DESCRIPCION],Insumo[UND],,0),"")</f>
        <v/>
      </c>
      <c r="D71" s="31"/>
      <c r="E71" s="32" t="str">
        <f>IFERROR(_xlfn.XLOOKUP($B71,Insumo[DESCRIPCION],Insumo[VALOR],,0),"")</f>
        <v/>
      </c>
      <c r="F71" s="33"/>
      <c r="G71" s="34" t="str">
        <f>IFERROR(IF(F71&gt;=0,D71*E71*(1+F71/100),ABS(D71*E71/F71)),"")</f>
        <v/>
      </c>
      <c r="H71" s="43" t="str">
        <f>IFERROR(G71*E64,"")</f>
        <v/>
      </c>
    </row>
    <row r="72" spans="1:8">
      <c r="A72" s="21"/>
      <c r="B72" s="22" t="s">
        <v>3731</v>
      </c>
      <c r="C72" s="23"/>
      <c r="D72" s="24"/>
      <c r="E72" s="25"/>
      <c r="F72" s="26"/>
      <c r="G72" s="27">
        <f>SUM(G73:G75)</f>
        <v>1571.9537544750003</v>
      </c>
      <c r="H72" s="27">
        <f>IFERROR(G72*E64,"")</f>
        <v>0</v>
      </c>
    </row>
    <row r="73" spans="1:8">
      <c r="A73" s="28"/>
      <c r="B73" s="29" t="s">
        <v>3626</v>
      </c>
      <c r="C73" s="30" t="str">
        <f>IFERROR(_xlfn.XLOOKUP(B73,Equipo[DESCRIPCION],Equipo[UND],,0),"")</f>
        <v>%MO</v>
      </c>
      <c r="D73" s="31">
        <v>0.05</v>
      </c>
      <c r="E73" s="32">
        <f>IF(C73="%MO",G79,IFERROR(_xlfn.XLOOKUP($B73,Equipo[DESCRIPCION],Equipo[VALOR],,0),""))</f>
        <v>31439.075089500006</v>
      </c>
      <c r="F73" s="33"/>
      <c r="G73" s="34">
        <f>IFERROR(IF(F73&gt;=0,D73*E73*(1+F73/100),ABS(D73*E73/F73)),"")</f>
        <v>1571.9537544750003</v>
      </c>
      <c r="H73" s="43">
        <f>IFERROR(G73*E64,"")</f>
        <v>0</v>
      </c>
    </row>
    <row r="74" spans="1:8">
      <c r="A74" s="28"/>
      <c r="B74" s="29"/>
      <c r="C74" s="30" t="str">
        <f>IFERROR(_xlfn.XLOOKUP(B74,Equipo[DESCRIPCION],Equipo[UND],,0),"")</f>
        <v/>
      </c>
      <c r="D74" s="31"/>
      <c r="E74" s="32" t="str">
        <f>IF(C74="%MO",G79,IFERROR(_xlfn.XLOOKUP($B74,Equipo[DESCRIPCION],Equipo[VALOR],,0),""))</f>
        <v/>
      </c>
      <c r="F74" s="33"/>
      <c r="G74" s="34" t="str">
        <f>IFERROR(IF(F74&gt;=0,D74*E74*(1+F74/100),ABS(D74*E74/F74)),"")</f>
        <v/>
      </c>
      <c r="H74" s="43" t="str">
        <f>IFERROR(G74*E64,"")</f>
        <v/>
      </c>
    </row>
    <row r="75" spans="1:8">
      <c r="A75" s="28"/>
      <c r="B75" s="29"/>
      <c r="C75" s="30" t="str">
        <f>IFERROR(_xlfn.XLOOKUP(B75,Equipo[DESCRIPCION],Equipo[UND],,0),"")</f>
        <v/>
      </c>
      <c r="D75" s="31"/>
      <c r="E75" s="32" t="str">
        <f>IF(C75="%MO",G79,IFERROR(_xlfn.XLOOKUP($B75,Equipo[DESCRIPCION],Equipo[VALOR],,0),""))</f>
        <v/>
      </c>
      <c r="F75" s="33"/>
      <c r="G75" s="34" t="str">
        <f>IFERROR(IF(F75&gt;=0,D75*E75*(1+F75/100),ABS(D75*E75/F75)),"")</f>
        <v/>
      </c>
      <c r="H75" s="43" t="str">
        <f>IFERROR(G75*E64,"")</f>
        <v/>
      </c>
    </row>
    <row r="76" spans="1:8">
      <c r="A76" s="21"/>
      <c r="B76" s="22" t="s">
        <v>2533</v>
      </c>
      <c r="C76" s="23"/>
      <c r="D76" s="24"/>
      <c r="E76" s="25"/>
      <c r="F76" s="26"/>
      <c r="G76" s="27">
        <f>SUM(G77:G78)</f>
        <v>0</v>
      </c>
      <c r="H76" s="27">
        <f>IFERROR(G76*E64,"")</f>
        <v>0</v>
      </c>
    </row>
    <row r="77" spans="1:8">
      <c r="A77" s="28"/>
      <c r="B77" s="29"/>
      <c r="C77" s="30" t="str">
        <f>IFERROR(_xlfn.XLOOKUP(B77,Transporte[DESCRIPCION],Transporte[UND],,0),"")</f>
        <v/>
      </c>
      <c r="D77" s="31"/>
      <c r="E77" s="32" t="str">
        <f>IFERROR(_xlfn.XLOOKUP($B77,Transporte[DESCRIPCION],Transporte[VALOR],,0),"")</f>
        <v/>
      </c>
      <c r="F77" s="33"/>
      <c r="G77" s="34" t="str">
        <f>IFERROR(IF(F77&gt;=0,D77*E77*(1+F77/100),ABS(D77*E77/F77)),"")</f>
        <v/>
      </c>
      <c r="H77" s="43" t="str">
        <f>IFERROR(G77*E64,"")</f>
        <v/>
      </c>
    </row>
    <row r="78" spans="1:8">
      <c r="A78" s="28"/>
      <c r="B78" s="29"/>
      <c r="C78" s="30" t="str">
        <f>IFERROR(_xlfn.XLOOKUP(B78,Transporte[DESCRIPCION],Transporte[UND],,0),"")</f>
        <v/>
      </c>
      <c r="D78" s="31"/>
      <c r="E78" s="32" t="str">
        <f>IFERROR(_xlfn.XLOOKUP($B78,Transporte[DESCRIPCION],Transporte[VALOR],,0),"")</f>
        <v/>
      </c>
      <c r="F78" s="33"/>
      <c r="G78" s="34" t="str">
        <f>IFERROR(IF(F78&gt;=0,D78*E78*(1+F78/100),ABS(D78*E78/F78)),"")</f>
        <v/>
      </c>
      <c r="H78" s="43" t="str">
        <f>IFERROR(G78*E64,"")</f>
        <v/>
      </c>
    </row>
    <row r="79" spans="1:8">
      <c r="A79" s="21"/>
      <c r="B79" s="22" t="s">
        <v>3732</v>
      </c>
      <c r="C79" s="23"/>
      <c r="D79" s="24"/>
      <c r="E79" s="25"/>
      <c r="F79" s="26"/>
      <c r="G79" s="27">
        <f>SUM(G80:G82)</f>
        <v>31439.075089500006</v>
      </c>
      <c r="H79" s="27">
        <f>IFERROR(G79*E64,"")</f>
        <v>0</v>
      </c>
    </row>
    <row r="80" spans="1:8">
      <c r="A80" s="28"/>
      <c r="B80" s="29" t="s">
        <v>3710</v>
      </c>
      <c r="C80" s="30" t="str">
        <f>IFERROR(_xlfn.XLOOKUP(B80,MObra[DESCRIPCION],MObra[UN],,0),"")</f>
        <v>día</v>
      </c>
      <c r="D80" s="31">
        <v>1</v>
      </c>
      <c r="E80" s="32">
        <f>IFERROR(_xlfn.XLOOKUP($B80,MObra[DESCRIPCION],MObra[VALOR UNIT],,0),"")</f>
        <v>314390.75089500006</v>
      </c>
      <c r="F80" s="33">
        <v>-10</v>
      </c>
      <c r="G80" s="34">
        <f>IFERROR(IF(F80&gt;=0,D80*E80*(1+F80/100),ABS(D80*E80/F80)),"")</f>
        <v>31439.075089500006</v>
      </c>
      <c r="H80" s="43">
        <f>IFERROR(G80*E64,"")</f>
        <v>0</v>
      </c>
    </row>
    <row r="81" spans="1:11">
      <c r="A81" s="28"/>
      <c r="B81" s="29"/>
      <c r="C81" s="30" t="str">
        <f t="array" ref="C81">IFERROR(_xlfn.XLOOKUP(B81,MObra[[#All],[DESCRIPCION]],MObra[[#All],[UN]],,0),"")</f>
        <v/>
      </c>
      <c r="D81" s="31"/>
      <c r="E81" s="32" t="str">
        <f>IFERROR(_xlfn.XLOOKUP($B81,MObra[DESCRIPCION],MObra[VALOR UNIT],,0),"")</f>
        <v/>
      </c>
      <c r="F81" s="33"/>
      <c r="G81" s="34" t="str">
        <f>IFERROR(IF(F81&gt;=0,D81*E81*(1+F81/100),ABS(D81*E81/F81)),"")</f>
        <v/>
      </c>
      <c r="H81" s="43" t="str">
        <f>IFERROR(G81*E64,"")</f>
        <v/>
      </c>
    </row>
    <row r="82" spans="1:11">
      <c r="A82" s="35"/>
      <c r="B82" s="36"/>
      <c r="C82" s="37" t="str">
        <f t="array" ref="C82">IFERROR(_xlfn.XLOOKUP(B82,MObra[[#All],[DESCRIPCION]],MObra[[#All],[UN]],,0),"")</f>
        <v/>
      </c>
      <c r="D82" s="38"/>
      <c r="E82" s="39" t="str">
        <f>IFERROR(_xlfn.XLOOKUP($B82,MObra[DESCRIPCION],MObra[VALOR UNIT],,0),"")</f>
        <v/>
      </c>
      <c r="F82" s="40"/>
      <c r="G82" s="41" t="str">
        <f>IFERROR(IF(F82&gt;=0,D82*E82*(1+F82/100),ABS(D82*E82/F82)),"")</f>
        <v/>
      </c>
      <c r="H82" s="42" t="str">
        <f>IFERROR(G82*E64,"")</f>
        <v/>
      </c>
    </row>
    <row r="84" spans="1:11">
      <c r="A84" s="6" t="s">
        <v>1099</v>
      </c>
      <c r="B84" s="7" t="str">
        <f>VLOOKUP($A84,Presupuesto!$A:$D,2,FALSE())</f>
        <v>Certificación red interna</v>
      </c>
      <c r="C84" s="8" t="str">
        <f>VLOOKUP($A84,Presupuesto!$A:$D,3,FALSE())</f>
        <v>Un</v>
      </c>
      <c r="D84" s="9"/>
      <c r="E84" s="10">
        <f>VLOOKUP($A84,Presupuesto!$A:$D,4,FALSE())</f>
        <v>0</v>
      </c>
      <c r="F84" s="11" t="s">
        <v>2589</v>
      </c>
      <c r="G84" s="12">
        <f>SUM(G86:G102)/2</f>
        <v>185270.39999999999</v>
      </c>
      <c r="H84" s="13">
        <f>ROUND(SUM(H86:H102),0)/2</f>
        <v>0</v>
      </c>
      <c r="I84" s="10">
        <f>VLOOKUP(A84,Presupuesto!$A:$F,6,0)</f>
        <v>0</v>
      </c>
      <c r="J84" s="10">
        <f>+H84-I84</f>
        <v>0</v>
      </c>
      <c r="K84" s="46">
        <f>+H84-G84*E84</f>
        <v>0</v>
      </c>
    </row>
    <row r="85" spans="1:11">
      <c r="A85" s="14"/>
      <c r="B85" s="15" t="s">
        <v>2586</v>
      </c>
      <c r="C85" s="15" t="s">
        <v>5</v>
      </c>
      <c r="D85" s="16" t="s">
        <v>6</v>
      </c>
      <c r="E85" s="17" t="s">
        <v>7</v>
      </c>
      <c r="F85" s="18" t="s">
        <v>3728</v>
      </c>
      <c r="G85" s="19" t="s">
        <v>3729</v>
      </c>
      <c r="H85" s="20" t="s">
        <v>3797</v>
      </c>
    </row>
    <row r="86" spans="1:11">
      <c r="A86" s="21"/>
      <c r="B86" s="22" t="s">
        <v>3730</v>
      </c>
      <c r="C86" s="23"/>
      <c r="D86" s="24"/>
      <c r="E86" s="25"/>
      <c r="F86" s="26"/>
      <c r="G86" s="27">
        <f>SUM(G87:G91)</f>
        <v>0</v>
      </c>
      <c r="H86" s="27">
        <f>IFERROR(G86*E84,"")</f>
        <v>0</v>
      </c>
    </row>
    <row r="87" spans="1:11">
      <c r="A87" s="28"/>
      <c r="B87" s="29"/>
      <c r="C87" s="30" t="str">
        <f>IFERROR(_xlfn.XLOOKUP(B87,Insumo[DESCRIPCION],Insumo[UND],,0),"")</f>
        <v/>
      </c>
      <c r="D87" s="31"/>
      <c r="E87" s="32" t="str">
        <f>IFERROR(_xlfn.XLOOKUP($B87,Insumo[DESCRIPCION],Insumo[VALOR],,0),"")</f>
        <v/>
      </c>
      <c r="F87" s="33"/>
      <c r="G87" s="34" t="str">
        <f>IFERROR(IF(F87&gt;=0,D87*E87*(1+F87/100),ABS(D87*E87/F87)),"")</f>
        <v/>
      </c>
      <c r="H87" s="43" t="str">
        <f>IFERROR(G87*E84,"")</f>
        <v/>
      </c>
    </row>
    <row r="88" spans="1:11">
      <c r="A88" s="28"/>
      <c r="B88" s="29"/>
      <c r="C88" s="30" t="str">
        <f>IFERROR(_xlfn.XLOOKUP(B88,Insumo[DESCRIPCION],Insumo[UND],,0),"")</f>
        <v/>
      </c>
      <c r="D88" s="31"/>
      <c r="E88" s="32" t="str">
        <f>IFERROR(_xlfn.XLOOKUP($B88,Insumo[DESCRIPCION],Insumo[VALOR],,0),"")</f>
        <v/>
      </c>
      <c r="F88" s="33"/>
      <c r="G88" s="34" t="str">
        <f>IFERROR(IF(F88&gt;=0,D88*E88*(1+F88/100),ABS(D88*E88/F88)),"")</f>
        <v/>
      </c>
      <c r="H88" s="43" t="str">
        <f>IFERROR(G88*E84,"")</f>
        <v/>
      </c>
    </row>
    <row r="89" spans="1:11">
      <c r="A89" s="28"/>
      <c r="B89" s="29"/>
      <c r="C89" s="30" t="str">
        <f>IFERROR(_xlfn.XLOOKUP(B89,Insumo[DESCRIPCION],Insumo[UND],,0),"")</f>
        <v/>
      </c>
      <c r="D89" s="31"/>
      <c r="E89" s="32" t="str">
        <f>IFERROR(_xlfn.XLOOKUP($B89,Insumo[DESCRIPCION],Insumo[VALOR],,0),"")</f>
        <v/>
      </c>
      <c r="F89" s="33"/>
      <c r="G89" s="34" t="str">
        <f>IFERROR(IF(F89&gt;=0,D89*E89*(1+F89/100),ABS(D89*E89/F89)),"")</f>
        <v/>
      </c>
      <c r="H89" s="43" t="str">
        <f>IFERROR(G89*E84,"")</f>
        <v/>
      </c>
    </row>
    <row r="90" spans="1:11">
      <c r="A90" s="28"/>
      <c r="B90" s="29"/>
      <c r="C90" s="30" t="str">
        <f>IFERROR(_xlfn.XLOOKUP(B90,Insumo[DESCRIPCION],Insumo[UND],,0),"")</f>
        <v/>
      </c>
      <c r="D90" s="31"/>
      <c r="E90" s="32" t="str">
        <f>IFERROR(_xlfn.XLOOKUP($B90,Insumo[DESCRIPCION],Insumo[VALOR],,0),"")</f>
        <v/>
      </c>
      <c r="F90" s="33"/>
      <c r="G90" s="34" t="str">
        <f>IFERROR(IF(F90&gt;=0,D90*E90*(1+F90/100),ABS(D90*E90/F90)),"")</f>
        <v/>
      </c>
      <c r="H90" s="43" t="str">
        <f>IFERROR(G90*E84,"")</f>
        <v/>
      </c>
    </row>
    <row r="91" spans="1:11">
      <c r="A91" s="28"/>
      <c r="B91" s="29"/>
      <c r="C91" s="30" t="str">
        <f>IFERROR(_xlfn.XLOOKUP(B91,Insumo[DESCRIPCION],Insumo[UND],,0),"")</f>
        <v/>
      </c>
      <c r="D91" s="31"/>
      <c r="E91" s="32" t="str">
        <f>IFERROR(_xlfn.XLOOKUP($B91,Insumo[DESCRIPCION],Insumo[VALOR],,0),"")</f>
        <v/>
      </c>
      <c r="F91" s="33"/>
      <c r="G91" s="34" t="str">
        <f>IFERROR(IF(F91&gt;=0,D91*E91*(1+F91/100),ABS(D91*E91/F91)),"")</f>
        <v/>
      </c>
      <c r="H91" s="43" t="str">
        <f>IFERROR(G91*E84,"")</f>
        <v/>
      </c>
    </row>
    <row r="92" spans="1:11">
      <c r="A92" s="21"/>
      <c r="B92" s="22" t="s">
        <v>3731</v>
      </c>
      <c r="C92" s="23"/>
      <c r="D92" s="24"/>
      <c r="E92" s="25"/>
      <c r="F92" s="26"/>
      <c r="G92" s="27">
        <f>SUM(G93:G95)</f>
        <v>185270.39999999999</v>
      </c>
      <c r="H92" s="27">
        <f>IFERROR(G92*E84,"")</f>
        <v>0</v>
      </c>
    </row>
    <row r="93" spans="1:11" ht="25.5">
      <c r="A93" s="28"/>
      <c r="B93" s="29" t="s">
        <v>3590</v>
      </c>
      <c r="C93" s="30" t="str">
        <f>IFERROR(_xlfn.XLOOKUP(B93,Equipo[DESCRIPCION],Equipo[UND],,0),"")</f>
        <v>Un</v>
      </c>
      <c r="D93" s="31">
        <v>1</v>
      </c>
      <c r="E93" s="32">
        <f>IF(C93="%MO",G99,IFERROR(_xlfn.XLOOKUP($B93,Equipo[DESCRIPCION],Equipo[VALOR],,0),""))</f>
        <v>185270.39999999999</v>
      </c>
      <c r="F93" s="33"/>
      <c r="G93" s="34">
        <f>IFERROR(IF(F93&gt;=0,D93*E93*(1+F93/100),ABS(D93*E93/F93)),"")</f>
        <v>185270.39999999999</v>
      </c>
      <c r="H93" s="43">
        <f>IFERROR(G93*E84,"")</f>
        <v>0</v>
      </c>
    </row>
    <row r="94" spans="1:11">
      <c r="A94" s="28"/>
      <c r="B94" s="29"/>
      <c r="C94" s="30" t="str">
        <f>IFERROR(_xlfn.XLOOKUP(B94,Equipo[DESCRIPCION],Equipo[UND],,0),"")</f>
        <v/>
      </c>
      <c r="D94" s="31"/>
      <c r="E94" s="32" t="str">
        <f>IF(C94="%MO",G99,IFERROR(_xlfn.XLOOKUP($B94,Equipo[DESCRIPCION],Equipo[VALOR],,0),""))</f>
        <v/>
      </c>
      <c r="F94" s="33"/>
      <c r="G94" s="34" t="str">
        <f>IFERROR(IF(F94&gt;=0,D94*E94*(1+F94/100),ABS(D94*E94/F94)),"")</f>
        <v/>
      </c>
      <c r="H94" s="43" t="str">
        <f>IFERROR(G94*E84,"")</f>
        <v/>
      </c>
    </row>
    <row r="95" spans="1:11">
      <c r="A95" s="28"/>
      <c r="B95" s="29"/>
      <c r="C95" s="30" t="str">
        <f>IFERROR(_xlfn.XLOOKUP(B95,Equipo[DESCRIPCION],Equipo[UND],,0),"")</f>
        <v/>
      </c>
      <c r="D95" s="31"/>
      <c r="E95" s="32" t="str">
        <f>IF(C95="%MO",G99,IFERROR(_xlfn.XLOOKUP($B95,Equipo[DESCRIPCION],Equipo[VALOR],,0),""))</f>
        <v/>
      </c>
      <c r="F95" s="33"/>
      <c r="G95" s="34" t="str">
        <f>IFERROR(IF(F95&gt;=0,D95*E95*(1+F95/100),ABS(D95*E95/F95)),"")</f>
        <v/>
      </c>
      <c r="H95" s="43" t="str">
        <f>IFERROR(G95*E84,"")</f>
        <v/>
      </c>
    </row>
    <row r="96" spans="1:11">
      <c r="A96" s="21"/>
      <c r="B96" s="22" t="s">
        <v>2533</v>
      </c>
      <c r="C96" s="23"/>
      <c r="D96" s="24"/>
      <c r="E96" s="25"/>
      <c r="F96" s="26"/>
      <c r="G96" s="27">
        <f>SUM(G97:G98)</f>
        <v>0</v>
      </c>
      <c r="H96" s="27">
        <f>IFERROR(G96*E84,"")</f>
        <v>0</v>
      </c>
    </row>
    <row r="97" spans="1:11">
      <c r="A97" s="28"/>
      <c r="B97" s="29"/>
      <c r="C97" s="30" t="str">
        <f>IFERROR(_xlfn.XLOOKUP(B97,Transporte[DESCRIPCION],Transporte[UND],,0),"")</f>
        <v/>
      </c>
      <c r="D97" s="31"/>
      <c r="E97" s="32" t="str">
        <f>IFERROR(_xlfn.XLOOKUP($B97,Transporte[DESCRIPCION],Transporte[VALOR],,0),"")</f>
        <v/>
      </c>
      <c r="F97" s="33"/>
      <c r="G97" s="34" t="str">
        <f>IFERROR(IF(F97&gt;=0,D97*E97*(1+F97/100),ABS(D97*E97/F97)),"")</f>
        <v/>
      </c>
      <c r="H97" s="43" t="str">
        <f>IFERROR(G97*E84,"")</f>
        <v/>
      </c>
    </row>
    <row r="98" spans="1:11">
      <c r="A98" s="28"/>
      <c r="B98" s="29"/>
      <c r="C98" s="30" t="str">
        <f>IFERROR(_xlfn.XLOOKUP(B98,Transporte[DESCRIPCION],Transporte[UND],,0),"")</f>
        <v/>
      </c>
      <c r="D98" s="31"/>
      <c r="E98" s="32" t="str">
        <f>IFERROR(_xlfn.XLOOKUP($B98,Transporte[DESCRIPCION],Transporte[VALOR],,0),"")</f>
        <v/>
      </c>
      <c r="F98" s="33"/>
      <c r="G98" s="34" t="str">
        <f>IFERROR(IF(F98&gt;=0,D98*E98*(1+F98/100),ABS(D98*E98/F98)),"")</f>
        <v/>
      </c>
      <c r="H98" s="43" t="str">
        <f>IFERROR(G98*E84,"")</f>
        <v/>
      </c>
    </row>
    <row r="99" spans="1:11">
      <c r="A99" s="21"/>
      <c r="B99" s="22" t="s">
        <v>3732</v>
      </c>
      <c r="C99" s="23"/>
      <c r="D99" s="24"/>
      <c r="E99" s="25"/>
      <c r="F99" s="26"/>
      <c r="G99" s="27">
        <f>SUM(G100:G102)</f>
        <v>0</v>
      </c>
      <c r="H99" s="27">
        <f>IFERROR(G99*E84,"")</f>
        <v>0</v>
      </c>
    </row>
    <row r="100" spans="1:11">
      <c r="A100" s="28"/>
      <c r="B100" s="29"/>
      <c r="C100" s="30" t="str">
        <f>IFERROR(_xlfn.XLOOKUP(B100,MObra[DESCRIPCION],MObra[UN],,0),"")</f>
        <v/>
      </c>
      <c r="D100" s="31"/>
      <c r="E100" s="32" t="str">
        <f>IFERROR(_xlfn.XLOOKUP($B100,MObra[DESCRIPCION],MObra[VALOR UNIT],,0),"")</f>
        <v/>
      </c>
      <c r="F100" s="33"/>
      <c r="G100" s="34" t="str">
        <f>IFERROR(IF(F100&gt;=0,D100*E100*(1+F100/100),ABS(D100*E100/F100)),"")</f>
        <v/>
      </c>
      <c r="H100" s="43" t="str">
        <f>IFERROR(G100*E84,"")</f>
        <v/>
      </c>
    </row>
    <row r="101" spans="1:11">
      <c r="A101" s="28"/>
      <c r="B101" s="29"/>
      <c r="C101" s="30" t="str">
        <f t="array" ref="C101">IFERROR(_xlfn.XLOOKUP(B101,MObra[[#All],[DESCRIPCION]],MObra[[#All],[UN]],,0),"")</f>
        <v/>
      </c>
      <c r="D101" s="31"/>
      <c r="E101" s="32" t="str">
        <f>IFERROR(_xlfn.XLOOKUP($B101,MObra[DESCRIPCION],MObra[VALOR UNIT],,0),"")</f>
        <v/>
      </c>
      <c r="F101" s="33"/>
      <c r="G101" s="34" t="str">
        <f>IFERROR(IF(F101&gt;=0,D101*E101*(1+F101/100),ABS(D101*E101/F101)),"")</f>
        <v/>
      </c>
      <c r="H101" s="43" t="str">
        <f>IFERROR(G101*E84,"")</f>
        <v/>
      </c>
    </row>
    <row r="102" spans="1:11">
      <c r="A102" s="35"/>
      <c r="B102" s="36"/>
      <c r="C102" s="37" t="str">
        <f t="array" ref="C102">IFERROR(_xlfn.XLOOKUP(B102,MObra[[#All],[DESCRIPCION]],MObra[[#All],[UN]],,0),"")</f>
        <v/>
      </c>
      <c r="D102" s="38"/>
      <c r="E102" s="39" t="str">
        <f>IFERROR(_xlfn.XLOOKUP($B102,MObra[DESCRIPCION],MObra[VALOR UNIT],,0),"")</f>
        <v/>
      </c>
      <c r="F102" s="40"/>
      <c r="G102" s="41" t="str">
        <f>IFERROR(IF(F102&gt;=0,D102*E102*(1+F102/100),ABS(D102*E102/F102)),"")</f>
        <v/>
      </c>
      <c r="H102" s="42" t="str">
        <f>IFERROR(G102*E84,"")</f>
        <v/>
      </c>
    </row>
    <row r="104" spans="1:11">
      <c r="A104" s="6" t="s">
        <v>1101</v>
      </c>
      <c r="B104" s="7" t="str">
        <f>VLOOKUP($A104,Presupuesto!$A:$D,2,FALSE())</f>
        <v>Nicho plastico para medidor</v>
      </c>
      <c r="C104" s="8" t="str">
        <f>VLOOKUP($A104,Presupuesto!$A:$D,3,FALSE())</f>
        <v>Un</v>
      </c>
      <c r="D104" s="9"/>
      <c r="E104" s="10">
        <f>VLOOKUP($A104,Presupuesto!$A:$D,4,FALSE())</f>
        <v>0</v>
      </c>
      <c r="F104" s="11" t="s">
        <v>2589</v>
      </c>
      <c r="G104" s="12">
        <f>SUM(G106:G122)/2</f>
        <v>252651.40256265001</v>
      </c>
      <c r="H104" s="13">
        <f>ROUND(SUM(H106:H122),0)/2</f>
        <v>0</v>
      </c>
      <c r="I104" s="10">
        <f>VLOOKUP(A104,Presupuesto!$A:$F,6,0)</f>
        <v>0</v>
      </c>
      <c r="J104" s="10">
        <f>+H104-I104</f>
        <v>0</v>
      </c>
      <c r="K104" s="46">
        <f>+H104-G104*E104</f>
        <v>0</v>
      </c>
    </row>
    <row r="105" spans="1:11">
      <c r="A105" s="14"/>
      <c r="B105" s="15" t="s">
        <v>2586</v>
      </c>
      <c r="C105" s="15" t="s">
        <v>5</v>
      </c>
      <c r="D105" s="16" t="s">
        <v>6</v>
      </c>
      <c r="E105" s="17" t="s">
        <v>7</v>
      </c>
      <c r="F105" s="18" t="s">
        <v>3728</v>
      </c>
      <c r="G105" s="19" t="s">
        <v>3729</v>
      </c>
      <c r="H105" s="20" t="s">
        <v>3797</v>
      </c>
    </row>
    <row r="106" spans="1:11">
      <c r="A106" s="21"/>
      <c r="B106" s="22" t="s">
        <v>3730</v>
      </c>
      <c r="C106" s="23"/>
      <c r="D106" s="24"/>
      <c r="E106" s="25"/>
      <c r="F106" s="26"/>
      <c r="G106" s="27">
        <f>SUM(G107:G111)</f>
        <v>230644.05000000002</v>
      </c>
      <c r="H106" s="27">
        <f>IFERROR(G106*E104,"")</f>
        <v>0</v>
      </c>
    </row>
    <row r="107" spans="1:11">
      <c r="A107" s="28"/>
      <c r="B107" s="29" t="s">
        <v>3176</v>
      </c>
      <c r="C107" s="30" t="str">
        <f>IFERROR(_xlfn.XLOOKUP(B107,Insumo[DESCRIPCION],Insumo[UND],,0),"")</f>
        <v>Un</v>
      </c>
      <c r="D107" s="31">
        <v>1</v>
      </c>
      <c r="E107" s="32">
        <f>IFERROR(_xlfn.XLOOKUP($B107,Insumo[DESCRIPCION],Insumo[VALOR],,0),"")</f>
        <v>230644.05000000002</v>
      </c>
      <c r="F107" s="33"/>
      <c r="G107" s="34">
        <f>IFERROR(IF(F107&gt;=0,D107*E107*(1+F107/100),ABS(D107*E107/F107)),"")</f>
        <v>230644.05000000002</v>
      </c>
      <c r="H107" s="43">
        <f>IFERROR(G107*E104,"")</f>
        <v>0</v>
      </c>
    </row>
    <row r="108" spans="1:11">
      <c r="A108" s="28"/>
      <c r="B108" s="29"/>
      <c r="C108" s="30" t="str">
        <f>IFERROR(_xlfn.XLOOKUP(B108,Insumo[DESCRIPCION],Insumo[UND],,0),"")</f>
        <v/>
      </c>
      <c r="D108" s="31"/>
      <c r="E108" s="32" t="str">
        <f>IFERROR(_xlfn.XLOOKUP($B108,Insumo[DESCRIPCION],Insumo[VALOR],,0),"")</f>
        <v/>
      </c>
      <c r="F108" s="33"/>
      <c r="G108" s="34" t="str">
        <f>IFERROR(IF(F108&gt;=0,D108*E108*(1+F108/100),ABS(D108*E108/F108)),"")</f>
        <v/>
      </c>
      <c r="H108" s="43" t="str">
        <f>IFERROR(G108*E104,"")</f>
        <v/>
      </c>
    </row>
    <row r="109" spans="1:11">
      <c r="A109" s="28"/>
      <c r="B109" s="29"/>
      <c r="C109" s="30" t="str">
        <f>IFERROR(_xlfn.XLOOKUP(B109,Insumo[DESCRIPCION],Insumo[UND],,0),"")</f>
        <v/>
      </c>
      <c r="D109" s="31"/>
      <c r="E109" s="32" t="str">
        <f>IFERROR(_xlfn.XLOOKUP($B109,Insumo[DESCRIPCION],Insumo[VALOR],,0),"")</f>
        <v/>
      </c>
      <c r="F109" s="33"/>
      <c r="G109" s="34" t="str">
        <f>IFERROR(IF(F109&gt;=0,D109*E109*(1+F109/100),ABS(D109*E109/F109)),"")</f>
        <v/>
      </c>
      <c r="H109" s="43" t="str">
        <f>IFERROR(G109*E104,"")</f>
        <v/>
      </c>
    </row>
    <row r="110" spans="1:11">
      <c r="A110" s="28"/>
      <c r="B110" s="29"/>
      <c r="C110" s="30" t="str">
        <f>IFERROR(_xlfn.XLOOKUP(B110,Insumo[DESCRIPCION],Insumo[UND],,0),"")</f>
        <v/>
      </c>
      <c r="D110" s="31"/>
      <c r="E110" s="32" t="str">
        <f>IFERROR(_xlfn.XLOOKUP($B110,Insumo[DESCRIPCION],Insumo[VALOR],,0),"")</f>
        <v/>
      </c>
      <c r="F110" s="33"/>
      <c r="G110" s="34" t="str">
        <f>IFERROR(IF(F110&gt;=0,D110*E110*(1+F110/100),ABS(D110*E110/F110)),"")</f>
        <v/>
      </c>
      <c r="H110" s="43" t="str">
        <f>IFERROR(G110*E104,"")</f>
        <v/>
      </c>
    </row>
    <row r="111" spans="1:11">
      <c r="A111" s="28"/>
      <c r="B111" s="29"/>
      <c r="C111" s="30" t="str">
        <f>IFERROR(_xlfn.XLOOKUP(B111,Insumo[DESCRIPCION],Insumo[UND],,0),"")</f>
        <v/>
      </c>
      <c r="D111" s="31"/>
      <c r="E111" s="32" t="str">
        <f>IFERROR(_xlfn.XLOOKUP($B111,Insumo[DESCRIPCION],Insumo[VALOR],,0),"")</f>
        <v/>
      </c>
      <c r="F111" s="33"/>
      <c r="G111" s="34" t="str">
        <f>IFERROR(IF(F111&gt;=0,D111*E111*(1+F111/100),ABS(D111*E111/F111)),"")</f>
        <v/>
      </c>
      <c r="H111" s="43" t="str">
        <f>IFERROR(G111*E104,"")</f>
        <v/>
      </c>
    </row>
    <row r="112" spans="1:11">
      <c r="A112" s="21"/>
      <c r="B112" s="22" t="s">
        <v>3731</v>
      </c>
      <c r="C112" s="23"/>
      <c r="D112" s="24"/>
      <c r="E112" s="25"/>
      <c r="F112" s="26"/>
      <c r="G112" s="27">
        <f>SUM(G113:G115)</f>
        <v>1047.9691696500001</v>
      </c>
      <c r="H112" s="27">
        <f>IFERROR(G112*E104,"")</f>
        <v>0</v>
      </c>
    </row>
    <row r="113" spans="1:11">
      <c r="A113" s="28"/>
      <c r="B113" s="29" t="s">
        <v>3626</v>
      </c>
      <c r="C113" s="30" t="str">
        <f>IFERROR(_xlfn.XLOOKUP(B113,Equipo[DESCRIPCION],Equipo[UND],,0),"")</f>
        <v>%MO</v>
      </c>
      <c r="D113" s="31">
        <v>0.05</v>
      </c>
      <c r="E113" s="32">
        <f>IF(C113="%MO",G119,IFERROR(_xlfn.XLOOKUP($B113,Equipo[DESCRIPCION],Equipo[VALOR],,0),""))</f>
        <v>20959.383393000004</v>
      </c>
      <c r="F113" s="33"/>
      <c r="G113" s="34">
        <f>IFERROR(IF(F113&gt;=0,D113*E113*(1+F113/100),ABS(D113*E113/F113)),"")</f>
        <v>1047.9691696500001</v>
      </c>
      <c r="H113" s="43">
        <f>IFERROR(G113*E104,"")</f>
        <v>0</v>
      </c>
    </row>
    <row r="114" spans="1:11">
      <c r="A114" s="28"/>
      <c r="B114" s="29"/>
      <c r="C114" s="30" t="str">
        <f>IFERROR(_xlfn.XLOOKUP(B114,Equipo[DESCRIPCION],Equipo[UND],,0),"")</f>
        <v/>
      </c>
      <c r="D114" s="31"/>
      <c r="E114" s="32" t="str">
        <f>IF(C114="%MO",G119,IFERROR(_xlfn.XLOOKUP($B114,Equipo[DESCRIPCION],Equipo[VALOR],,0),""))</f>
        <v/>
      </c>
      <c r="F114" s="33"/>
      <c r="G114" s="34" t="str">
        <f>IFERROR(IF(F114&gt;=0,D114*E114*(1+F114/100),ABS(D114*E114/F114)),"")</f>
        <v/>
      </c>
      <c r="H114" s="43" t="str">
        <f>IFERROR(G114*E104,"")</f>
        <v/>
      </c>
    </row>
    <row r="115" spans="1:11">
      <c r="A115" s="28"/>
      <c r="B115" s="29"/>
      <c r="C115" s="30" t="str">
        <f>IFERROR(_xlfn.XLOOKUP(B115,Equipo[DESCRIPCION],Equipo[UND],,0),"")</f>
        <v/>
      </c>
      <c r="D115" s="31"/>
      <c r="E115" s="32" t="str">
        <f>IF(C115="%MO",G119,IFERROR(_xlfn.XLOOKUP($B115,Equipo[DESCRIPCION],Equipo[VALOR],,0),""))</f>
        <v/>
      </c>
      <c r="F115" s="33"/>
      <c r="G115" s="34" t="str">
        <f>IFERROR(IF(F115&gt;=0,D115*E115*(1+F115/100),ABS(D115*E115/F115)),"")</f>
        <v/>
      </c>
      <c r="H115" s="43" t="str">
        <f>IFERROR(G115*E104,"")</f>
        <v/>
      </c>
    </row>
    <row r="116" spans="1:11">
      <c r="A116" s="21"/>
      <c r="B116" s="22" t="s">
        <v>2533</v>
      </c>
      <c r="C116" s="23"/>
      <c r="D116" s="24"/>
      <c r="E116" s="25"/>
      <c r="F116" s="26"/>
      <c r="G116" s="27">
        <f>SUM(G117:G118)</f>
        <v>0</v>
      </c>
      <c r="H116" s="27">
        <f>IFERROR(G116*E104,"")</f>
        <v>0</v>
      </c>
    </row>
    <row r="117" spans="1:11">
      <c r="A117" s="28"/>
      <c r="B117" s="29"/>
      <c r="C117" s="30" t="str">
        <f>IFERROR(_xlfn.XLOOKUP(B117,Transporte[DESCRIPCION],Transporte[UND],,0),"")</f>
        <v/>
      </c>
      <c r="D117" s="31"/>
      <c r="E117" s="32" t="str">
        <f>IFERROR(_xlfn.XLOOKUP($B117,Transporte[DESCRIPCION],Transporte[VALOR],,0),"")</f>
        <v/>
      </c>
      <c r="F117" s="33"/>
      <c r="G117" s="34" t="str">
        <f>IFERROR(IF(F117&gt;=0,D117*E117*(1+F117/100),ABS(D117*E117/F117)),"")</f>
        <v/>
      </c>
      <c r="H117" s="43" t="str">
        <f>IFERROR(G117*E104,"")</f>
        <v/>
      </c>
    </row>
    <row r="118" spans="1:11">
      <c r="A118" s="28"/>
      <c r="B118" s="29"/>
      <c r="C118" s="30" t="str">
        <f>IFERROR(_xlfn.XLOOKUP(B118,Transporte[DESCRIPCION],Transporte[UND],,0),"")</f>
        <v/>
      </c>
      <c r="D118" s="31"/>
      <c r="E118" s="32" t="str">
        <f>IFERROR(_xlfn.XLOOKUP($B118,Transporte[DESCRIPCION],Transporte[VALOR],,0),"")</f>
        <v/>
      </c>
      <c r="F118" s="33"/>
      <c r="G118" s="34" t="str">
        <f>IFERROR(IF(F118&gt;=0,D118*E118*(1+F118/100),ABS(D118*E118/F118)),"")</f>
        <v/>
      </c>
      <c r="H118" s="43" t="str">
        <f>IFERROR(G118*E104,"")</f>
        <v/>
      </c>
    </row>
    <row r="119" spans="1:11">
      <c r="A119" s="21"/>
      <c r="B119" s="22" t="s">
        <v>3732</v>
      </c>
      <c r="C119" s="23"/>
      <c r="D119" s="24"/>
      <c r="E119" s="25"/>
      <c r="F119" s="26"/>
      <c r="G119" s="27">
        <f>SUM(G120:G122)</f>
        <v>20959.383393000004</v>
      </c>
      <c r="H119" s="27">
        <f>IFERROR(G119*E104,"")</f>
        <v>0</v>
      </c>
    </row>
    <row r="120" spans="1:11">
      <c r="A120" s="28"/>
      <c r="B120" s="29" t="s">
        <v>3710</v>
      </c>
      <c r="C120" s="30" t="str">
        <f>IFERROR(_xlfn.XLOOKUP(B120,MObra[DESCRIPCION],MObra[UN],,0),"")</f>
        <v>día</v>
      </c>
      <c r="D120" s="31">
        <v>1</v>
      </c>
      <c r="E120" s="32">
        <f>IFERROR(_xlfn.XLOOKUP($B120,MObra[DESCRIPCION],MObra[VALOR UNIT],,0),"")</f>
        <v>314390.75089500006</v>
      </c>
      <c r="F120" s="33">
        <v>-15</v>
      </c>
      <c r="G120" s="34">
        <f>IFERROR(IF(F120&gt;=0,D120*E120*(1+F120/100),ABS(D120*E120/F120)),"")</f>
        <v>20959.383393000004</v>
      </c>
      <c r="H120" s="43">
        <f>IFERROR(G120*E104,"")</f>
        <v>0</v>
      </c>
    </row>
    <row r="121" spans="1:11">
      <c r="A121" s="28"/>
      <c r="B121" s="29"/>
      <c r="C121" s="30" t="str">
        <f t="array" ref="C121">IFERROR(_xlfn.XLOOKUP(B121,MObra[[#All],[DESCRIPCION]],MObra[[#All],[UN]],,0),"")</f>
        <v/>
      </c>
      <c r="D121" s="31"/>
      <c r="E121" s="32" t="str">
        <f>IFERROR(_xlfn.XLOOKUP($B121,MObra[DESCRIPCION],MObra[VALOR UNIT],,0),"")</f>
        <v/>
      </c>
      <c r="F121" s="33"/>
      <c r="G121" s="34" t="str">
        <f>IFERROR(IF(F121&gt;=0,D121*E121*(1+F121/100),ABS(D121*E121/F121)),"")</f>
        <v/>
      </c>
      <c r="H121" s="43" t="str">
        <f>IFERROR(G121*E104,"")</f>
        <v/>
      </c>
    </row>
    <row r="122" spans="1:11">
      <c r="A122" s="35"/>
      <c r="B122" s="36"/>
      <c r="C122" s="37" t="str">
        <f t="array" ref="C122">IFERROR(_xlfn.XLOOKUP(B122,MObra[[#All],[DESCRIPCION]],MObra[[#All],[UN]],,0),"")</f>
        <v/>
      </c>
      <c r="D122" s="38"/>
      <c r="E122" s="39" t="str">
        <f>IFERROR(_xlfn.XLOOKUP($B122,MObra[DESCRIPCION],MObra[VALOR UNIT],,0),"")</f>
        <v/>
      </c>
      <c r="F122" s="40"/>
      <c r="G122" s="41" t="str">
        <f>IFERROR(IF(F122&gt;=0,D122*E122*(1+F122/100),ABS(D122*E122/F122)),"")</f>
        <v/>
      </c>
      <c r="H122" s="42" t="str">
        <f>IFERROR(G122*E104,"")</f>
        <v/>
      </c>
    </row>
    <row r="124" spans="1:11">
      <c r="A124" s="6" t="s">
        <v>1103</v>
      </c>
      <c r="B124" s="7" t="str">
        <f>VLOOKUP($A124,Presupuesto!$A:$D,2,FALSE())</f>
        <v>Prueba de hermeticidad</v>
      </c>
      <c r="C124" s="8" t="str">
        <f>VLOOKUP($A124,Presupuesto!$A:$D,3,FALSE())</f>
        <v>Un</v>
      </c>
      <c r="D124" s="9"/>
      <c r="E124" s="10">
        <f>VLOOKUP($A124,Presupuesto!$A:$D,4,FALSE())</f>
        <v>0</v>
      </c>
      <c r="F124" s="11" t="s">
        <v>2589</v>
      </c>
      <c r="G124" s="12">
        <f>SUM(G126:G142)/2</f>
        <v>123892.65000000001</v>
      </c>
      <c r="H124" s="13">
        <f>ROUND(SUM(H126:H142),0)/2</f>
        <v>0</v>
      </c>
      <c r="I124" s="10">
        <f>VLOOKUP(A124,Presupuesto!$A:$F,6,0)</f>
        <v>0</v>
      </c>
      <c r="J124" s="10">
        <f>+H124-I124</f>
        <v>0</v>
      </c>
      <c r="K124" s="46">
        <f>+H124-G124*E124</f>
        <v>0</v>
      </c>
    </row>
    <row r="125" spans="1:11">
      <c r="A125" s="14"/>
      <c r="B125" s="15" t="s">
        <v>2586</v>
      </c>
      <c r="C125" s="15" t="s">
        <v>5</v>
      </c>
      <c r="D125" s="16" t="s">
        <v>6</v>
      </c>
      <c r="E125" s="17" t="s">
        <v>7</v>
      </c>
      <c r="F125" s="18" t="s">
        <v>3728</v>
      </c>
      <c r="G125" s="19" t="s">
        <v>3729</v>
      </c>
      <c r="H125" s="20" t="s">
        <v>3797</v>
      </c>
    </row>
    <row r="126" spans="1:11">
      <c r="A126" s="21"/>
      <c r="B126" s="22" t="s">
        <v>3730</v>
      </c>
      <c r="C126" s="23"/>
      <c r="D126" s="24"/>
      <c r="E126" s="25"/>
      <c r="F126" s="26"/>
      <c r="G126" s="27">
        <f>SUM(G127:G131)</f>
        <v>0</v>
      </c>
      <c r="H126" s="27">
        <f>IFERROR(G126*E124,"")</f>
        <v>0</v>
      </c>
    </row>
    <row r="127" spans="1:11">
      <c r="A127" s="28"/>
      <c r="B127" s="29"/>
      <c r="C127" s="30" t="str">
        <f>IFERROR(_xlfn.XLOOKUP(B127,Insumo[DESCRIPCION],Insumo[UND],,0),"")</f>
        <v/>
      </c>
      <c r="D127" s="31"/>
      <c r="E127" s="32" t="str">
        <f>IFERROR(_xlfn.XLOOKUP($B127,Insumo[DESCRIPCION],Insumo[VALOR],,0),"")</f>
        <v/>
      </c>
      <c r="F127" s="33"/>
      <c r="G127" s="34" t="str">
        <f>IFERROR(IF(F127&gt;=0,D127*E127*(1+F127/100),ABS(D127*E127/F127)),"")</f>
        <v/>
      </c>
      <c r="H127" s="43" t="str">
        <f>IFERROR(G127*E124,"")</f>
        <v/>
      </c>
    </row>
    <row r="128" spans="1:11">
      <c r="A128" s="28"/>
      <c r="B128" s="29"/>
      <c r="C128" s="30" t="str">
        <f>IFERROR(_xlfn.XLOOKUP(B128,Insumo[DESCRIPCION],Insumo[UND],,0),"")</f>
        <v/>
      </c>
      <c r="D128" s="31"/>
      <c r="E128" s="32" t="str">
        <f>IFERROR(_xlfn.XLOOKUP($B128,Insumo[DESCRIPCION],Insumo[VALOR],,0),"")</f>
        <v/>
      </c>
      <c r="F128" s="33"/>
      <c r="G128" s="34" t="str">
        <f>IFERROR(IF(F128&gt;=0,D128*E128*(1+F128/100),ABS(D128*E128/F128)),"")</f>
        <v/>
      </c>
      <c r="H128" s="43" t="str">
        <f>IFERROR(G128*E124,"")</f>
        <v/>
      </c>
    </row>
    <row r="129" spans="1:11">
      <c r="A129" s="28"/>
      <c r="B129" s="29"/>
      <c r="C129" s="30" t="str">
        <f>IFERROR(_xlfn.XLOOKUP(B129,Insumo[DESCRIPCION],Insumo[UND],,0),"")</f>
        <v/>
      </c>
      <c r="D129" s="31"/>
      <c r="E129" s="32" t="str">
        <f>IFERROR(_xlfn.XLOOKUP($B129,Insumo[DESCRIPCION],Insumo[VALOR],,0),"")</f>
        <v/>
      </c>
      <c r="F129" s="33"/>
      <c r="G129" s="34" t="str">
        <f>IFERROR(IF(F129&gt;=0,D129*E129*(1+F129/100),ABS(D129*E129/F129)),"")</f>
        <v/>
      </c>
      <c r="H129" s="43" t="str">
        <f>IFERROR(G129*E124,"")</f>
        <v/>
      </c>
    </row>
    <row r="130" spans="1:11">
      <c r="A130" s="28"/>
      <c r="B130" s="29"/>
      <c r="C130" s="30" t="str">
        <f>IFERROR(_xlfn.XLOOKUP(B130,Insumo[DESCRIPCION],Insumo[UND],,0),"")</f>
        <v/>
      </c>
      <c r="D130" s="31"/>
      <c r="E130" s="32" t="str">
        <f>IFERROR(_xlfn.XLOOKUP($B130,Insumo[DESCRIPCION],Insumo[VALOR],,0),"")</f>
        <v/>
      </c>
      <c r="F130" s="33"/>
      <c r="G130" s="34" t="str">
        <f>IFERROR(IF(F130&gt;=0,D130*E130*(1+F130/100),ABS(D130*E130/F130)),"")</f>
        <v/>
      </c>
      <c r="H130" s="43" t="str">
        <f>IFERROR(G130*E124,"")</f>
        <v/>
      </c>
    </row>
    <row r="131" spans="1:11">
      <c r="A131" s="28"/>
      <c r="B131" s="29"/>
      <c r="C131" s="30" t="str">
        <f>IFERROR(_xlfn.XLOOKUP(B131,Insumo[DESCRIPCION],Insumo[UND],,0),"")</f>
        <v/>
      </c>
      <c r="D131" s="31"/>
      <c r="E131" s="32" t="str">
        <f>IFERROR(_xlfn.XLOOKUP($B131,Insumo[DESCRIPCION],Insumo[VALOR],,0),"")</f>
        <v/>
      </c>
      <c r="F131" s="33"/>
      <c r="G131" s="34" t="str">
        <f>IFERROR(IF(F131&gt;=0,D131*E131*(1+F131/100),ABS(D131*E131/F131)),"")</f>
        <v/>
      </c>
      <c r="H131" s="43" t="str">
        <f>IFERROR(G131*E124,"")</f>
        <v/>
      </c>
    </row>
    <row r="132" spans="1:11">
      <c r="A132" s="21"/>
      <c r="B132" s="22" t="s">
        <v>3731</v>
      </c>
      <c r="C132" s="23"/>
      <c r="D132" s="24"/>
      <c r="E132" s="25"/>
      <c r="F132" s="26"/>
      <c r="G132" s="27">
        <f>SUM(G133:G135)</f>
        <v>123892.65000000001</v>
      </c>
      <c r="H132" s="27">
        <f>IFERROR(G132*E124,"")</f>
        <v>0</v>
      </c>
    </row>
    <row r="133" spans="1:11">
      <c r="A133" s="28"/>
      <c r="B133" s="29" t="s">
        <v>3641</v>
      </c>
      <c r="C133" s="30" t="str">
        <f>IFERROR(_xlfn.XLOOKUP(B133,Equipo[DESCRIPCION],Equipo[UND],,0),"")</f>
        <v>Un</v>
      </c>
      <c r="D133" s="31">
        <v>1</v>
      </c>
      <c r="E133" s="32">
        <f>IF(C133="%MO",G139,IFERROR(_xlfn.XLOOKUP($B133,Equipo[DESCRIPCION],Equipo[VALOR],,0),""))</f>
        <v>123892.65000000001</v>
      </c>
      <c r="F133" s="33"/>
      <c r="G133" s="34">
        <f>IFERROR(IF(F133&gt;=0,D133*E133*(1+F133/100),ABS(D133*E133/F133)),"")</f>
        <v>123892.65000000001</v>
      </c>
      <c r="H133" s="43">
        <f>IFERROR(G133*E124,"")</f>
        <v>0</v>
      </c>
    </row>
    <row r="134" spans="1:11">
      <c r="A134" s="28"/>
      <c r="B134" s="29"/>
      <c r="C134" s="30" t="str">
        <f>IFERROR(_xlfn.XLOOKUP(B134,Equipo[DESCRIPCION],Equipo[UND],,0),"")</f>
        <v/>
      </c>
      <c r="D134" s="31"/>
      <c r="E134" s="32" t="str">
        <f>IF(C134="%MO",G139,IFERROR(_xlfn.XLOOKUP($B134,Equipo[DESCRIPCION],Equipo[VALOR],,0),""))</f>
        <v/>
      </c>
      <c r="F134" s="33"/>
      <c r="G134" s="34" t="str">
        <f>IFERROR(IF(F134&gt;=0,D134*E134*(1+F134/100),ABS(D134*E134/F134)),"")</f>
        <v/>
      </c>
      <c r="H134" s="43" t="str">
        <f>IFERROR(G134*E124,"")</f>
        <v/>
      </c>
    </row>
    <row r="135" spans="1:11">
      <c r="A135" s="28"/>
      <c r="B135" s="29"/>
      <c r="C135" s="30" t="str">
        <f>IFERROR(_xlfn.XLOOKUP(B135,Equipo[DESCRIPCION],Equipo[UND],,0),"")</f>
        <v/>
      </c>
      <c r="D135" s="31"/>
      <c r="E135" s="32" t="str">
        <f>IF(C135="%MO",G139,IFERROR(_xlfn.XLOOKUP($B135,Equipo[DESCRIPCION],Equipo[VALOR],,0),""))</f>
        <v/>
      </c>
      <c r="F135" s="33"/>
      <c r="G135" s="34" t="str">
        <f>IFERROR(IF(F135&gt;=0,D135*E135*(1+F135/100),ABS(D135*E135/F135)),"")</f>
        <v/>
      </c>
      <c r="H135" s="43" t="str">
        <f>IFERROR(G135*E124,"")</f>
        <v/>
      </c>
    </row>
    <row r="136" spans="1:11">
      <c r="A136" s="21"/>
      <c r="B136" s="22" t="s">
        <v>2533</v>
      </c>
      <c r="C136" s="23"/>
      <c r="D136" s="24"/>
      <c r="E136" s="25"/>
      <c r="F136" s="26"/>
      <c r="G136" s="27">
        <f>SUM(G137:G138)</f>
        <v>0</v>
      </c>
      <c r="H136" s="27">
        <f>IFERROR(G136*E124,"")</f>
        <v>0</v>
      </c>
    </row>
    <row r="137" spans="1:11">
      <c r="A137" s="28"/>
      <c r="B137" s="29"/>
      <c r="C137" s="30" t="str">
        <f>IFERROR(_xlfn.XLOOKUP(B137,Transporte[DESCRIPCION],Transporte[UND],,0),"")</f>
        <v/>
      </c>
      <c r="D137" s="31"/>
      <c r="E137" s="32" t="str">
        <f>IFERROR(_xlfn.XLOOKUP($B137,Transporte[DESCRIPCION],Transporte[VALOR],,0),"")</f>
        <v/>
      </c>
      <c r="F137" s="33"/>
      <c r="G137" s="34" t="str">
        <f>IFERROR(IF(F137&gt;=0,D137*E137*(1+F137/100),ABS(D137*E137/F137)),"")</f>
        <v/>
      </c>
      <c r="H137" s="43" t="str">
        <f>IFERROR(G137*E124,"")</f>
        <v/>
      </c>
    </row>
    <row r="138" spans="1:11">
      <c r="A138" s="28"/>
      <c r="B138" s="29"/>
      <c r="C138" s="30" t="str">
        <f>IFERROR(_xlfn.XLOOKUP(B138,Transporte[DESCRIPCION],Transporte[UND],,0),"")</f>
        <v/>
      </c>
      <c r="D138" s="31"/>
      <c r="E138" s="32" t="str">
        <f>IFERROR(_xlfn.XLOOKUP($B138,Transporte[DESCRIPCION],Transporte[VALOR],,0),"")</f>
        <v/>
      </c>
      <c r="F138" s="33"/>
      <c r="G138" s="34" t="str">
        <f>IFERROR(IF(F138&gt;=0,D138*E138*(1+F138/100),ABS(D138*E138/F138)),"")</f>
        <v/>
      </c>
      <c r="H138" s="43" t="str">
        <f>IFERROR(G138*E124,"")</f>
        <v/>
      </c>
    </row>
    <row r="139" spans="1:11">
      <c r="A139" s="21"/>
      <c r="B139" s="22" t="s">
        <v>3732</v>
      </c>
      <c r="C139" s="23"/>
      <c r="D139" s="24"/>
      <c r="E139" s="25"/>
      <c r="F139" s="26"/>
      <c r="G139" s="27">
        <f>SUM(G140:G142)</f>
        <v>0</v>
      </c>
      <c r="H139" s="27">
        <f>IFERROR(G139*E124,"")</f>
        <v>0</v>
      </c>
    </row>
    <row r="140" spans="1:11">
      <c r="A140" s="28"/>
      <c r="B140" s="29"/>
      <c r="C140" s="30" t="str">
        <f>IFERROR(_xlfn.XLOOKUP(B140,MObra[DESCRIPCION],MObra[UN],,0),"")</f>
        <v/>
      </c>
      <c r="D140" s="31"/>
      <c r="E140" s="32" t="str">
        <f>IFERROR(_xlfn.XLOOKUP($B140,MObra[DESCRIPCION],MObra[VALOR UNIT],,0),"")</f>
        <v/>
      </c>
      <c r="F140" s="33"/>
      <c r="G140" s="34" t="str">
        <f>IFERROR(IF(F140&gt;=0,D140*E140*(1+F140/100),ABS(D140*E140/F140)),"")</f>
        <v/>
      </c>
      <c r="H140" s="43" t="str">
        <f>IFERROR(G140*E124,"")</f>
        <v/>
      </c>
    </row>
    <row r="141" spans="1:11">
      <c r="A141" s="28"/>
      <c r="B141" s="29"/>
      <c r="C141" s="30" t="str">
        <f t="array" ref="C141">IFERROR(_xlfn.XLOOKUP(B141,MObra[[#All],[DESCRIPCION]],MObra[[#All],[UN]],,0),"")</f>
        <v/>
      </c>
      <c r="D141" s="31"/>
      <c r="E141" s="32" t="str">
        <f>IFERROR(_xlfn.XLOOKUP($B141,MObra[DESCRIPCION],MObra[VALOR UNIT],,0),"")</f>
        <v/>
      </c>
      <c r="F141" s="33"/>
      <c r="G141" s="34" t="str">
        <f>IFERROR(IF(F141&gt;=0,D141*E141*(1+F141/100),ABS(D141*E141/F141)),"")</f>
        <v/>
      </c>
      <c r="H141" s="43" t="str">
        <f>IFERROR(G141*E124,"")</f>
        <v/>
      </c>
    </row>
    <row r="142" spans="1:11">
      <c r="A142" s="35"/>
      <c r="B142" s="36"/>
      <c r="C142" s="37" t="str">
        <f t="array" ref="C142">IFERROR(_xlfn.XLOOKUP(B142,MObra[[#All],[DESCRIPCION]],MObra[[#All],[UN]],,0),"")</f>
        <v/>
      </c>
      <c r="D142" s="38"/>
      <c r="E142" s="39" t="str">
        <f>IFERROR(_xlfn.XLOOKUP($B142,MObra[DESCRIPCION],MObra[VALOR UNIT],,0),"")</f>
        <v/>
      </c>
      <c r="F142" s="40"/>
      <c r="G142" s="41" t="str">
        <f>IFERROR(IF(F142&gt;=0,D142*E142*(1+F142/100),ABS(D142*E142/F142)),"")</f>
        <v/>
      </c>
      <c r="H142" s="42" t="str">
        <f>IFERROR(G142*E124,"")</f>
        <v/>
      </c>
    </row>
    <row r="144" spans="1:11">
      <c r="A144" s="6" t="s">
        <v>1105</v>
      </c>
      <c r="B144" s="7" t="str">
        <f>VLOOKUP($A144,Presupuesto!$A:$D,2,FALSE())</f>
        <v>Regulador</v>
      </c>
      <c r="C144" s="8" t="str">
        <f>VLOOKUP($A144,Presupuesto!$A:$D,3,FALSE())</f>
        <v>Un</v>
      </c>
      <c r="D144" s="9"/>
      <c r="E144" s="10">
        <f>VLOOKUP($A144,Presupuesto!$A:$D,4,FALSE())</f>
        <v>0</v>
      </c>
      <c r="F144" s="11" t="s">
        <v>2589</v>
      </c>
      <c r="G144" s="12">
        <f>SUM(G146:G162)/2</f>
        <v>341882.49421987508</v>
      </c>
      <c r="H144" s="13">
        <f>ROUND(SUM(H146:H162),0)/2</f>
        <v>0</v>
      </c>
      <c r="I144" s="10">
        <f>VLOOKUP(A144,Presupuesto!$A:$F,6,0)</f>
        <v>0</v>
      </c>
      <c r="J144" s="10">
        <f>+H144-I144</f>
        <v>0</v>
      </c>
      <c r="K144" s="46">
        <f>+H144-G144*E144</f>
        <v>0</v>
      </c>
    </row>
    <row r="145" spans="1:8">
      <c r="A145" s="14"/>
      <c r="B145" s="15" t="s">
        <v>2586</v>
      </c>
      <c r="C145" s="15" t="s">
        <v>5</v>
      </c>
      <c r="D145" s="16" t="s">
        <v>6</v>
      </c>
      <c r="E145" s="17" t="s">
        <v>7</v>
      </c>
      <c r="F145" s="18" t="s">
        <v>3728</v>
      </c>
      <c r="G145" s="19" t="s">
        <v>3729</v>
      </c>
      <c r="H145" s="20" t="s">
        <v>3797</v>
      </c>
    </row>
    <row r="146" spans="1:8">
      <c r="A146" s="21"/>
      <c r="B146" s="22" t="s">
        <v>3730</v>
      </c>
      <c r="C146" s="23"/>
      <c r="D146" s="24"/>
      <c r="E146" s="25"/>
      <c r="F146" s="26"/>
      <c r="G146" s="27">
        <f>SUM(G147:G151)</f>
        <v>176827.35</v>
      </c>
      <c r="H146" s="27">
        <f>IFERROR(G146*E144,"")</f>
        <v>0</v>
      </c>
    </row>
    <row r="147" spans="1:8">
      <c r="A147" s="28"/>
      <c r="B147" s="29" t="s">
        <v>3259</v>
      </c>
      <c r="C147" s="30" t="str">
        <f>IFERROR(_xlfn.XLOOKUP(B147,Insumo[DESCRIPCION],Insumo[UND],,0),"")</f>
        <v>Un</v>
      </c>
      <c r="D147" s="31">
        <v>1</v>
      </c>
      <c r="E147" s="32">
        <f>IFERROR(_xlfn.XLOOKUP($B147,Insumo[DESCRIPCION],Insumo[VALOR],,0),"")</f>
        <v>138386.85</v>
      </c>
      <c r="F147" s="33"/>
      <c r="G147" s="34">
        <f>IFERROR(IF(F147&gt;=0,D147*E147*(1+F147/100),ABS(D147*E147/F147)),"")</f>
        <v>138386.85</v>
      </c>
      <c r="H147" s="43">
        <f>IFERROR(G147*E144,"")</f>
        <v>0</v>
      </c>
    </row>
    <row r="148" spans="1:8">
      <c r="A148" s="28"/>
      <c r="B148" s="29" t="s">
        <v>3283</v>
      </c>
      <c r="C148" s="30" t="str">
        <f>IFERROR(_xlfn.XLOOKUP(B148,Insumo[DESCRIPCION],Insumo[UND],,0),"")</f>
        <v>Un</v>
      </c>
      <c r="D148" s="31">
        <v>1</v>
      </c>
      <c r="E148" s="32">
        <f>IFERROR(_xlfn.XLOOKUP($B148,Insumo[DESCRIPCION],Insumo[VALOR],,0),"")</f>
        <v>38440.5</v>
      </c>
      <c r="F148" s="33"/>
      <c r="G148" s="34">
        <f>IFERROR(IF(F148&gt;=0,D148*E148*(1+F148/100),ABS(D148*E148/F148)),"")</f>
        <v>38440.5</v>
      </c>
      <c r="H148" s="43">
        <f>IFERROR(G148*E144,"")</f>
        <v>0</v>
      </c>
    </row>
    <row r="149" spans="1:8">
      <c r="A149" s="28"/>
      <c r="B149" s="29"/>
      <c r="C149" s="30" t="str">
        <f>IFERROR(_xlfn.XLOOKUP(B149,Insumo[DESCRIPCION],Insumo[UND],,0),"")</f>
        <v/>
      </c>
      <c r="D149" s="31"/>
      <c r="E149" s="32" t="str">
        <f>IFERROR(_xlfn.XLOOKUP($B149,Insumo[DESCRIPCION],Insumo[VALOR],,0),"")</f>
        <v/>
      </c>
      <c r="F149" s="33"/>
      <c r="G149" s="34" t="str">
        <f>IFERROR(IF(F149&gt;=0,D149*E149*(1+F149/100),ABS(D149*E149/F149)),"")</f>
        <v/>
      </c>
      <c r="H149" s="43" t="str">
        <f>IFERROR(G149*E144,"")</f>
        <v/>
      </c>
    </row>
    <row r="150" spans="1:8">
      <c r="A150" s="28"/>
      <c r="B150" s="29"/>
      <c r="C150" s="30" t="str">
        <f>IFERROR(_xlfn.XLOOKUP(B150,Insumo[DESCRIPCION],Insumo[UND],,0),"")</f>
        <v/>
      </c>
      <c r="D150" s="31"/>
      <c r="E150" s="32" t="str">
        <f>IFERROR(_xlfn.XLOOKUP($B150,Insumo[DESCRIPCION],Insumo[VALOR],,0),"")</f>
        <v/>
      </c>
      <c r="F150" s="33"/>
      <c r="G150" s="34" t="str">
        <f>IFERROR(IF(F150&gt;=0,D150*E150*(1+F150/100),ABS(D150*E150/F150)),"")</f>
        <v/>
      </c>
      <c r="H150" s="43" t="str">
        <f>IFERROR(G150*E144,"")</f>
        <v/>
      </c>
    </row>
    <row r="151" spans="1:8">
      <c r="A151" s="28"/>
      <c r="B151" s="29"/>
      <c r="C151" s="30" t="str">
        <f>IFERROR(_xlfn.XLOOKUP(B151,Insumo[DESCRIPCION],Insumo[UND],,0),"")</f>
        <v/>
      </c>
      <c r="D151" s="31"/>
      <c r="E151" s="32" t="str">
        <f>IFERROR(_xlfn.XLOOKUP($B151,Insumo[DESCRIPCION],Insumo[VALOR],,0),"")</f>
        <v/>
      </c>
      <c r="F151" s="33"/>
      <c r="G151" s="34" t="str">
        <f>IFERROR(IF(F151&gt;=0,D151*E151*(1+F151/100),ABS(D151*E151/F151)),"")</f>
        <v/>
      </c>
      <c r="H151" s="43" t="str">
        <f>IFERROR(G151*E144,"")</f>
        <v/>
      </c>
    </row>
    <row r="152" spans="1:8">
      <c r="A152" s="21"/>
      <c r="B152" s="22" t="s">
        <v>3731</v>
      </c>
      <c r="C152" s="23"/>
      <c r="D152" s="24"/>
      <c r="E152" s="25"/>
      <c r="F152" s="26"/>
      <c r="G152" s="27">
        <f>SUM(G153:G155)</f>
        <v>7859.7687723750023</v>
      </c>
      <c r="H152" s="27">
        <f>IFERROR(G152*E144,"")</f>
        <v>0</v>
      </c>
    </row>
    <row r="153" spans="1:8">
      <c r="A153" s="28"/>
      <c r="B153" s="29"/>
      <c r="C153" s="30" t="str">
        <f>IFERROR(_xlfn.XLOOKUP(B153,Equipo[DESCRIPCION],Equipo[UND],,0),"")</f>
        <v/>
      </c>
      <c r="D153" s="31"/>
      <c r="E153" s="32" t="str">
        <f>IF(C153="%MO",G159,IFERROR(_xlfn.XLOOKUP($B153,Equipo[DESCRIPCION],Equipo[VALOR],,0),""))</f>
        <v/>
      </c>
      <c r="F153" s="33"/>
      <c r="G153" s="311" t="str">
        <f>IFERROR(IF(F153&gt;=0,D153*E153*(1+F153/100),ABS(D153*E153/F153)),"")</f>
        <v/>
      </c>
      <c r="H153" s="43" t="str">
        <f>IFERROR(G153*E144,"")</f>
        <v/>
      </c>
    </row>
    <row r="154" spans="1:8">
      <c r="A154" s="28"/>
      <c r="B154" s="29" t="s">
        <v>3626</v>
      </c>
      <c r="C154" s="30" t="str">
        <f>IFERROR(_xlfn.XLOOKUP(B154,Equipo[DESCRIPCION],Equipo[UND],,0),"")</f>
        <v>%MO</v>
      </c>
      <c r="D154" s="31">
        <v>0.05</v>
      </c>
      <c r="E154" s="32">
        <f>IF(C154="%MO",G159,IFERROR(_xlfn.XLOOKUP($B154,Equipo[DESCRIPCION],Equipo[VALOR],,0),""))</f>
        <v>157195.37544750003</v>
      </c>
      <c r="F154" s="33"/>
      <c r="G154" s="34">
        <f>IFERROR(IF(F154&gt;=0,D154*E154*(1+F154/100),ABS(D154*E154/F154)),"")</f>
        <v>7859.7687723750023</v>
      </c>
      <c r="H154" s="43">
        <f>IFERROR(G154*E144,"")</f>
        <v>0</v>
      </c>
    </row>
    <row r="155" spans="1:8">
      <c r="A155" s="28"/>
      <c r="B155" s="29"/>
      <c r="C155" s="30" t="str">
        <f>IFERROR(_xlfn.XLOOKUP(B155,Equipo[DESCRIPCION],Equipo[UND],,0),"")</f>
        <v/>
      </c>
      <c r="D155" s="31"/>
      <c r="E155" s="32" t="str">
        <f>IF(C155="%MO",G159,IFERROR(_xlfn.XLOOKUP($B155,Equipo[DESCRIPCION],Equipo[VALOR],,0),""))</f>
        <v/>
      </c>
      <c r="F155" s="33"/>
      <c r="G155" s="34" t="str">
        <f>IFERROR(IF(F155&gt;=0,D155*E155*(1+F155/100),ABS(D155*E155/F155)),"")</f>
        <v/>
      </c>
      <c r="H155" s="43" t="str">
        <f>IFERROR(G155*E144,"")</f>
        <v/>
      </c>
    </row>
    <row r="156" spans="1:8">
      <c r="A156" s="21"/>
      <c r="B156" s="22" t="s">
        <v>2533</v>
      </c>
      <c r="C156" s="23"/>
      <c r="D156" s="24"/>
      <c r="E156" s="25"/>
      <c r="F156" s="26"/>
      <c r="G156" s="27">
        <f>SUM(G157:G158)</f>
        <v>0</v>
      </c>
      <c r="H156" s="27">
        <f>IFERROR(G156*E144,"")</f>
        <v>0</v>
      </c>
    </row>
    <row r="157" spans="1:8">
      <c r="A157" s="28"/>
      <c r="B157" s="29"/>
      <c r="C157" s="30" t="str">
        <f>IFERROR(_xlfn.XLOOKUP(B157,Transporte[DESCRIPCION],Transporte[UND],,0),"")</f>
        <v/>
      </c>
      <c r="D157" s="31"/>
      <c r="E157" s="32" t="str">
        <f>IFERROR(_xlfn.XLOOKUP($B157,Transporte[DESCRIPCION],Transporte[VALOR],,0),"")</f>
        <v/>
      </c>
      <c r="F157" s="33"/>
      <c r="G157" s="34" t="str">
        <f>IFERROR(IF(F157&gt;=0,D157*E157*(1+F157/100),ABS(D157*E157/F157)),"")</f>
        <v/>
      </c>
      <c r="H157" s="43" t="str">
        <f>IFERROR(G157*E144,"")</f>
        <v/>
      </c>
    </row>
    <row r="158" spans="1:8">
      <c r="A158" s="28"/>
      <c r="B158" s="29"/>
      <c r="C158" s="30" t="str">
        <f>IFERROR(_xlfn.XLOOKUP(B158,Transporte[DESCRIPCION],Transporte[UND],,0),"")</f>
        <v/>
      </c>
      <c r="D158" s="31"/>
      <c r="E158" s="32" t="str">
        <f>IFERROR(_xlfn.XLOOKUP($B158,Transporte[DESCRIPCION],Transporte[VALOR],,0),"")</f>
        <v/>
      </c>
      <c r="F158" s="33"/>
      <c r="G158" s="34" t="str">
        <f>IFERROR(IF(F158&gt;=0,D158*E158*(1+F158/100),ABS(D158*E158/F158)),"")</f>
        <v/>
      </c>
      <c r="H158" s="43" t="str">
        <f>IFERROR(G158*E144,"")</f>
        <v/>
      </c>
    </row>
    <row r="159" spans="1:8">
      <c r="A159" s="21"/>
      <c r="B159" s="22" t="s">
        <v>3732</v>
      </c>
      <c r="C159" s="23"/>
      <c r="D159" s="24"/>
      <c r="E159" s="25"/>
      <c r="F159" s="26"/>
      <c r="G159" s="27">
        <f>SUM(G160:G162)</f>
        <v>157195.37544750003</v>
      </c>
      <c r="H159" s="27">
        <f>IFERROR(G159*E144,"")</f>
        <v>0</v>
      </c>
    </row>
    <row r="160" spans="1:8">
      <c r="A160" s="28"/>
      <c r="B160" s="29" t="s">
        <v>3710</v>
      </c>
      <c r="C160" s="30" t="str">
        <f>IFERROR(_xlfn.XLOOKUP(B160,MObra[DESCRIPCION],MObra[UN],,0),"")</f>
        <v>día</v>
      </c>
      <c r="D160" s="31">
        <v>1</v>
      </c>
      <c r="E160" s="32">
        <f>IFERROR(_xlfn.XLOOKUP($B160,MObra[DESCRIPCION],MObra[VALOR UNIT],,0),"")</f>
        <v>314390.75089500006</v>
      </c>
      <c r="F160" s="33">
        <v>-2</v>
      </c>
      <c r="G160" s="34">
        <f>IFERROR(IF(F160&gt;=0,D160*E160*(1+F160/100),ABS(D160*E160/F160)),"")</f>
        <v>157195.37544750003</v>
      </c>
      <c r="H160" s="43">
        <f>IFERROR(G160*E144,"")</f>
        <v>0</v>
      </c>
    </row>
    <row r="161" spans="1:11">
      <c r="A161" s="28"/>
      <c r="B161" s="29"/>
      <c r="C161" s="30" t="str">
        <f t="array" ref="C161">IFERROR(_xlfn.XLOOKUP(B161,MObra[[#All],[DESCRIPCION]],MObra[[#All],[UN]],,0),"")</f>
        <v/>
      </c>
      <c r="D161" s="31"/>
      <c r="E161" s="32" t="str">
        <f>IFERROR(_xlfn.XLOOKUP($B161,MObra[DESCRIPCION],MObra[VALOR UNIT],,0),"")</f>
        <v/>
      </c>
      <c r="F161" s="33"/>
      <c r="G161" s="34" t="str">
        <f>IFERROR(IF(F161&gt;=0,D161*E161*(1+F161/100),ABS(D161*E161/F161)),"")</f>
        <v/>
      </c>
      <c r="H161" s="43" t="str">
        <f>IFERROR(G161*E144,"")</f>
        <v/>
      </c>
    </row>
    <row r="162" spans="1:11">
      <c r="A162" s="35"/>
      <c r="B162" s="36"/>
      <c r="C162" s="37" t="str">
        <f t="array" ref="C162">IFERROR(_xlfn.XLOOKUP(B162,MObra[[#All],[DESCRIPCION]],MObra[[#All],[UN]],,0),"")</f>
        <v/>
      </c>
      <c r="D162" s="38"/>
      <c r="E162" s="39" t="str">
        <f>IFERROR(_xlfn.XLOOKUP($B162,MObra[DESCRIPCION],MObra[VALOR UNIT],,0),"")</f>
        <v/>
      </c>
      <c r="F162" s="40"/>
      <c r="G162" s="41" t="str">
        <f>IFERROR(IF(F162&gt;=0,D162*E162*(1+F162/100),ABS(D162*E162/F162)),"")</f>
        <v/>
      </c>
      <c r="H162" s="42" t="str">
        <f>IFERROR(G162*E144,"")</f>
        <v/>
      </c>
    </row>
    <row r="164" spans="1:11">
      <c r="A164" s="6" t="s">
        <v>1107</v>
      </c>
      <c r="B164" s="7" t="str">
        <f>VLOOKUP($A164,Presupuesto!$A:$D,2,FALSE())</f>
        <v>Tapa registro 20x20 para valvulas de corte y reguladores</v>
      </c>
      <c r="C164" s="8" t="str">
        <f>VLOOKUP($A164,Presupuesto!$A:$D,3,FALSE())</f>
        <v>Un</v>
      </c>
      <c r="D164" s="9"/>
      <c r="E164" s="10">
        <f>VLOOKUP($A164,Presupuesto!$A:$D,4,FALSE())</f>
        <v>0</v>
      </c>
      <c r="F164" s="11" t="s">
        <v>2589</v>
      </c>
      <c r="G164" s="12">
        <f>SUM(G166:G182)/2</f>
        <v>19236.726281325005</v>
      </c>
      <c r="H164" s="13">
        <f>ROUND(SUM(H166:H182),0)/2</f>
        <v>0</v>
      </c>
      <c r="I164" s="10">
        <f>VLOOKUP(A164,Presupuesto!$A:$F,6,0)</f>
        <v>0</v>
      </c>
      <c r="J164" s="10">
        <f>+H164-I164</f>
        <v>0</v>
      </c>
      <c r="K164" s="46">
        <f>+H164-G164*E164</f>
        <v>0</v>
      </c>
    </row>
    <row r="165" spans="1:11">
      <c r="A165" s="14"/>
      <c r="B165" s="15" t="s">
        <v>2586</v>
      </c>
      <c r="C165" s="15" t="s">
        <v>5</v>
      </c>
      <c r="D165" s="16" t="s">
        <v>6</v>
      </c>
      <c r="E165" s="17" t="s">
        <v>7</v>
      </c>
      <c r="F165" s="18" t="s">
        <v>3728</v>
      </c>
      <c r="G165" s="19" t="s">
        <v>3729</v>
      </c>
      <c r="H165" s="20" t="s">
        <v>3797</v>
      </c>
    </row>
    <row r="166" spans="1:11">
      <c r="A166" s="21"/>
      <c r="B166" s="22" t="s">
        <v>3730</v>
      </c>
      <c r="C166" s="23"/>
      <c r="D166" s="24"/>
      <c r="E166" s="25"/>
      <c r="F166" s="26"/>
      <c r="G166" s="27">
        <f>SUM(G167:G171)</f>
        <v>8233.0500000000011</v>
      </c>
      <c r="H166" s="27">
        <f>IFERROR(G166*E164,"")</f>
        <v>0</v>
      </c>
    </row>
    <row r="167" spans="1:11">
      <c r="A167" s="28"/>
      <c r="B167" s="29" t="s">
        <v>3367</v>
      </c>
      <c r="C167" s="30" t="str">
        <f>IFERROR(_xlfn.XLOOKUP(B167,Insumo[DESCRIPCION],Insumo[UND],,0),"")</f>
        <v>Un</v>
      </c>
      <c r="D167" s="31">
        <v>1</v>
      </c>
      <c r="E167" s="32">
        <f>IFERROR(_xlfn.XLOOKUP($B167,Insumo[DESCRIPCION],Insumo[VALOR],,0),"")</f>
        <v>8233.0500000000011</v>
      </c>
      <c r="F167" s="33"/>
      <c r="G167" s="34">
        <f>IFERROR(IF(F167&gt;=0,D167*E167*(1+F167/100),ABS(D167*E167/F167)),"")</f>
        <v>8233.0500000000011</v>
      </c>
      <c r="H167" s="43">
        <f>IFERROR(G167*E164,"")</f>
        <v>0</v>
      </c>
    </row>
    <row r="168" spans="1:11">
      <c r="A168" s="28"/>
      <c r="B168" s="29"/>
      <c r="C168" s="30" t="str">
        <f>IFERROR(_xlfn.XLOOKUP(B168,Insumo[DESCRIPCION],Insumo[UND],,0),"")</f>
        <v/>
      </c>
      <c r="D168" s="31"/>
      <c r="E168" s="32" t="str">
        <f>IFERROR(_xlfn.XLOOKUP($B168,Insumo[DESCRIPCION],Insumo[VALOR],,0),"")</f>
        <v/>
      </c>
      <c r="F168" s="33"/>
      <c r="G168" s="34" t="str">
        <f>IFERROR(IF(F168&gt;=0,D168*E168*(1+F168/100),ABS(D168*E168/F168)),"")</f>
        <v/>
      </c>
      <c r="H168" s="43" t="str">
        <f>IFERROR(G168*E164,"")</f>
        <v/>
      </c>
    </row>
    <row r="169" spans="1:11">
      <c r="A169" s="28"/>
      <c r="B169" s="29"/>
      <c r="C169" s="30" t="str">
        <f>IFERROR(_xlfn.XLOOKUP(B169,Insumo[DESCRIPCION],Insumo[UND],,0),"")</f>
        <v/>
      </c>
      <c r="D169" s="31"/>
      <c r="E169" s="32" t="str">
        <f>IFERROR(_xlfn.XLOOKUP($B169,Insumo[DESCRIPCION],Insumo[VALOR],,0),"")</f>
        <v/>
      </c>
      <c r="F169" s="33"/>
      <c r="G169" s="34" t="str">
        <f>IFERROR(IF(F169&gt;=0,D169*E169*(1+F169/100),ABS(D169*E169/F169)),"")</f>
        <v/>
      </c>
      <c r="H169" s="43" t="str">
        <f>IFERROR(G169*E164,"")</f>
        <v/>
      </c>
    </row>
    <row r="170" spans="1:11">
      <c r="A170" s="28"/>
      <c r="B170" s="29"/>
      <c r="C170" s="30" t="str">
        <f>IFERROR(_xlfn.XLOOKUP(B170,Insumo[DESCRIPCION],Insumo[UND],,0),"")</f>
        <v/>
      </c>
      <c r="D170" s="31"/>
      <c r="E170" s="32" t="str">
        <f>IFERROR(_xlfn.XLOOKUP($B170,Insumo[DESCRIPCION],Insumo[VALOR],,0),"")</f>
        <v/>
      </c>
      <c r="F170" s="33"/>
      <c r="G170" s="34" t="str">
        <f>IFERROR(IF(F170&gt;=0,D170*E170*(1+F170/100),ABS(D170*E170/F170)),"")</f>
        <v/>
      </c>
      <c r="H170" s="43" t="str">
        <f>IFERROR(G170*E164,"")</f>
        <v/>
      </c>
    </row>
    <row r="171" spans="1:11">
      <c r="A171" s="28"/>
      <c r="B171" s="29"/>
      <c r="C171" s="30" t="str">
        <f>IFERROR(_xlfn.XLOOKUP(B171,Insumo[DESCRIPCION],Insumo[UND],,0),"")</f>
        <v/>
      </c>
      <c r="D171" s="31"/>
      <c r="E171" s="32" t="str">
        <f>IFERROR(_xlfn.XLOOKUP($B171,Insumo[DESCRIPCION],Insumo[VALOR],,0),"")</f>
        <v/>
      </c>
      <c r="F171" s="33"/>
      <c r="G171" s="34" t="str">
        <f>IFERROR(IF(F171&gt;=0,D171*E171*(1+F171/100),ABS(D171*E171/F171)),"")</f>
        <v/>
      </c>
      <c r="H171" s="43" t="str">
        <f>IFERROR(G171*E164,"")</f>
        <v/>
      </c>
    </row>
    <row r="172" spans="1:11">
      <c r="A172" s="21"/>
      <c r="B172" s="22" t="s">
        <v>3731</v>
      </c>
      <c r="C172" s="23"/>
      <c r="D172" s="24"/>
      <c r="E172" s="25"/>
      <c r="F172" s="26"/>
      <c r="G172" s="27">
        <f>SUM(G173:G175)</f>
        <v>523.98458482500007</v>
      </c>
      <c r="H172" s="27">
        <f>IFERROR(G172*E164,"")</f>
        <v>0</v>
      </c>
    </row>
    <row r="173" spans="1:11">
      <c r="A173" s="28"/>
      <c r="B173" s="29" t="s">
        <v>3626</v>
      </c>
      <c r="C173" s="30" t="str">
        <f>IFERROR(_xlfn.XLOOKUP(B173,Equipo[DESCRIPCION],Equipo[UND],,0),"")</f>
        <v>%MO</v>
      </c>
      <c r="D173" s="31">
        <v>0.05</v>
      </c>
      <c r="E173" s="32">
        <f>IF(C173="%MO",G179,IFERROR(_xlfn.XLOOKUP($B173,Equipo[DESCRIPCION],Equipo[VALOR],,0),""))</f>
        <v>10479.691696500002</v>
      </c>
      <c r="F173" s="33"/>
      <c r="G173" s="34">
        <f>IFERROR(IF(F173&gt;=0,D173*E173*(1+F173/100),ABS(D173*E173/F173)),"")</f>
        <v>523.98458482500007</v>
      </c>
      <c r="H173" s="43">
        <f>IFERROR(G173*E164,"")</f>
        <v>0</v>
      </c>
    </row>
    <row r="174" spans="1:11">
      <c r="A174" s="28"/>
      <c r="B174" s="29"/>
      <c r="C174" s="30" t="str">
        <f>IFERROR(_xlfn.XLOOKUP(B174,Equipo[DESCRIPCION],Equipo[UND],,0),"")</f>
        <v/>
      </c>
      <c r="D174" s="31"/>
      <c r="E174" s="32" t="str">
        <f>IF(C174="%MO",G179,IFERROR(_xlfn.XLOOKUP($B174,Equipo[DESCRIPCION],Equipo[VALOR],,0),""))</f>
        <v/>
      </c>
      <c r="F174" s="33"/>
      <c r="G174" s="34" t="str">
        <f>IFERROR(IF(F174&gt;=0,D174*E174*(1+F174/100),ABS(D174*E174/F174)),"")</f>
        <v/>
      </c>
      <c r="H174" s="43" t="str">
        <f>IFERROR(G174*E164,"")</f>
        <v/>
      </c>
    </row>
    <row r="175" spans="1:11">
      <c r="A175" s="28"/>
      <c r="B175" s="29"/>
      <c r="C175" s="30" t="str">
        <f>IFERROR(_xlfn.XLOOKUP(B175,Equipo[DESCRIPCION],Equipo[UND],,0),"")</f>
        <v/>
      </c>
      <c r="D175" s="31"/>
      <c r="E175" s="32" t="str">
        <f>IF(C175="%MO",G179,IFERROR(_xlfn.XLOOKUP($B175,Equipo[DESCRIPCION],Equipo[VALOR],,0),""))</f>
        <v/>
      </c>
      <c r="F175" s="33"/>
      <c r="G175" s="34" t="str">
        <f>IFERROR(IF(F175&gt;=0,D175*E175*(1+F175/100),ABS(D175*E175/F175)),"")</f>
        <v/>
      </c>
      <c r="H175" s="43" t="str">
        <f>IFERROR(G175*E164,"")</f>
        <v/>
      </c>
    </row>
    <row r="176" spans="1:11">
      <c r="A176" s="21"/>
      <c r="B176" s="22" t="s">
        <v>2533</v>
      </c>
      <c r="C176" s="23"/>
      <c r="D176" s="24"/>
      <c r="E176" s="25"/>
      <c r="F176" s="26"/>
      <c r="G176" s="27">
        <f>SUM(G177:G178)</f>
        <v>0</v>
      </c>
      <c r="H176" s="27">
        <f>IFERROR(G176*E164,"")</f>
        <v>0</v>
      </c>
    </row>
    <row r="177" spans="1:11">
      <c r="A177" s="28"/>
      <c r="B177" s="29"/>
      <c r="C177" s="30" t="str">
        <f>IFERROR(_xlfn.XLOOKUP(B177,Transporte[DESCRIPCION],Transporte[UND],,0),"")</f>
        <v/>
      </c>
      <c r="D177" s="31"/>
      <c r="E177" s="32" t="str">
        <f>IFERROR(_xlfn.XLOOKUP($B177,Transporte[DESCRIPCION],Transporte[VALOR],,0),"")</f>
        <v/>
      </c>
      <c r="F177" s="33"/>
      <c r="G177" s="34" t="str">
        <f>IFERROR(IF(F177&gt;=0,D177*E177*(1+F177/100),ABS(D177*E177/F177)),"")</f>
        <v/>
      </c>
      <c r="H177" s="43" t="str">
        <f>IFERROR(G177*E164,"")</f>
        <v/>
      </c>
    </row>
    <row r="178" spans="1:11">
      <c r="A178" s="28"/>
      <c r="B178" s="29"/>
      <c r="C178" s="30" t="str">
        <f>IFERROR(_xlfn.XLOOKUP(B178,Transporte[DESCRIPCION],Transporte[UND],,0),"")</f>
        <v/>
      </c>
      <c r="D178" s="31"/>
      <c r="E178" s="32" t="str">
        <f>IFERROR(_xlfn.XLOOKUP($B178,Transporte[DESCRIPCION],Transporte[VALOR],,0),"")</f>
        <v/>
      </c>
      <c r="F178" s="33"/>
      <c r="G178" s="34" t="str">
        <f>IFERROR(IF(F178&gt;=0,D178*E178*(1+F178/100),ABS(D178*E178/F178)),"")</f>
        <v/>
      </c>
      <c r="H178" s="43" t="str">
        <f>IFERROR(G178*E164,"")</f>
        <v/>
      </c>
    </row>
    <row r="179" spans="1:11">
      <c r="A179" s="21"/>
      <c r="B179" s="22" t="s">
        <v>3732</v>
      </c>
      <c r="C179" s="23"/>
      <c r="D179" s="24"/>
      <c r="E179" s="25"/>
      <c r="F179" s="26"/>
      <c r="G179" s="27">
        <f>SUM(G180:G182)</f>
        <v>10479.691696500002</v>
      </c>
      <c r="H179" s="27">
        <f>IFERROR(G179*E164,"")</f>
        <v>0</v>
      </c>
    </row>
    <row r="180" spans="1:11">
      <c r="A180" s="28"/>
      <c r="B180" s="29" t="s">
        <v>3710</v>
      </c>
      <c r="C180" s="30" t="str">
        <f>IFERROR(_xlfn.XLOOKUP(B180,MObra[DESCRIPCION],MObra[UN],,0),"")</f>
        <v>día</v>
      </c>
      <c r="D180" s="31">
        <v>1</v>
      </c>
      <c r="E180" s="32">
        <f>IFERROR(_xlfn.XLOOKUP($B180,MObra[DESCRIPCION],MObra[VALOR UNIT],,0),"")</f>
        <v>314390.75089500006</v>
      </c>
      <c r="F180" s="33">
        <v>-30</v>
      </c>
      <c r="G180" s="34">
        <f>IFERROR(IF(F180&gt;=0,D180*E180*(1+F180/100),ABS(D180*E180/F180)),"")</f>
        <v>10479.691696500002</v>
      </c>
      <c r="H180" s="43">
        <f>IFERROR(G180*E164,"")</f>
        <v>0</v>
      </c>
    </row>
    <row r="181" spans="1:11">
      <c r="A181" s="28"/>
      <c r="B181" s="29"/>
      <c r="C181" s="30" t="str">
        <f t="array" ref="C181">IFERROR(_xlfn.XLOOKUP(B181,MObra[[#All],[DESCRIPCION]],MObra[[#All],[UN]],,0),"")</f>
        <v/>
      </c>
      <c r="D181" s="31"/>
      <c r="E181" s="32" t="str">
        <f>IFERROR(_xlfn.XLOOKUP($B181,MObra[DESCRIPCION],MObra[VALOR UNIT],,0),"")</f>
        <v/>
      </c>
      <c r="F181" s="33"/>
      <c r="G181" s="34" t="str">
        <f>IFERROR(IF(F181&gt;=0,D181*E181*(1+F181/100),ABS(D181*E181/F181)),"")</f>
        <v/>
      </c>
      <c r="H181" s="43" t="str">
        <f>IFERROR(G181*E164,"")</f>
        <v/>
      </c>
    </row>
    <row r="182" spans="1:11">
      <c r="A182" s="35"/>
      <c r="B182" s="36"/>
      <c r="C182" s="37" t="str">
        <f t="array" ref="C182">IFERROR(_xlfn.XLOOKUP(B182,MObra[[#All],[DESCRIPCION]],MObra[[#All],[UN]],,0),"")</f>
        <v/>
      </c>
      <c r="D182" s="38"/>
      <c r="E182" s="39" t="str">
        <f>IFERROR(_xlfn.XLOOKUP($B182,MObra[DESCRIPCION],MObra[VALOR UNIT],,0),"")</f>
        <v/>
      </c>
      <c r="F182" s="40"/>
      <c r="G182" s="41" t="str">
        <f>IFERROR(IF(F182&gt;=0,D182*E182*(1+F182/100),ABS(D182*E182/F182)),"")</f>
        <v/>
      </c>
      <c r="H182" s="42" t="str">
        <f>IFERROR(G182*E164,"")</f>
        <v/>
      </c>
    </row>
    <row r="184" spans="1:11">
      <c r="A184" s="6" t="s">
        <v>1109</v>
      </c>
      <c r="B184" s="7" t="str">
        <f>VLOOKUP($A184,Presupuesto!$A:$D,2,FALSE())</f>
        <v>Tuberia multicapa PE AL PE D=1/2"</v>
      </c>
      <c r="C184" s="8" t="str">
        <f>VLOOKUP($A184,Presupuesto!$A:$D,3,FALSE())</f>
        <v>M</v>
      </c>
      <c r="D184" s="9"/>
      <c r="E184" s="10">
        <f>VLOOKUP($A184,Presupuesto!$A:$D,4,FALSE())</f>
        <v>0</v>
      </c>
      <c r="F184" s="11" t="s">
        <v>2589</v>
      </c>
      <c r="G184" s="12">
        <f>SUM(G186:G202)/2</f>
        <v>29926.095562650004</v>
      </c>
      <c r="H184" s="13">
        <f>ROUND(SUM(H186:H202),0)/2</f>
        <v>0</v>
      </c>
      <c r="I184" s="10">
        <f>VLOOKUP(A184,Presupuesto!$A:$F,6,0)</f>
        <v>0</v>
      </c>
      <c r="J184" s="10">
        <f>+H184-I184</f>
        <v>0</v>
      </c>
      <c r="K184" s="46">
        <f>+H184-G184*E184</f>
        <v>0</v>
      </c>
    </row>
    <row r="185" spans="1:11">
      <c r="A185" s="14"/>
      <c r="B185" s="15" t="s">
        <v>2586</v>
      </c>
      <c r="C185" s="15" t="s">
        <v>5</v>
      </c>
      <c r="D185" s="16" t="s">
        <v>6</v>
      </c>
      <c r="E185" s="17" t="s">
        <v>7</v>
      </c>
      <c r="F185" s="18" t="s">
        <v>3728</v>
      </c>
      <c r="G185" s="19" t="s">
        <v>3729</v>
      </c>
      <c r="H185" s="20" t="s">
        <v>3797</v>
      </c>
    </row>
    <row r="186" spans="1:11">
      <c r="A186" s="21"/>
      <c r="B186" s="22" t="s">
        <v>3730</v>
      </c>
      <c r="C186" s="23"/>
      <c r="D186" s="24"/>
      <c r="E186" s="25"/>
      <c r="F186" s="26"/>
      <c r="G186" s="27">
        <f>SUM(G187:G191)</f>
        <v>7918.7430000000004</v>
      </c>
      <c r="H186" s="27">
        <f>IFERROR(G186*E184,"")</f>
        <v>0</v>
      </c>
    </row>
    <row r="187" spans="1:11">
      <c r="A187" s="28"/>
      <c r="B187" s="29" t="s">
        <v>3421</v>
      </c>
      <c r="C187" s="30" t="str">
        <f>IFERROR(_xlfn.XLOOKUP(B187,Insumo[DESCRIPCION],Insumo[UND],,0),"")</f>
        <v>M</v>
      </c>
      <c r="D187" s="31">
        <v>1</v>
      </c>
      <c r="E187" s="32">
        <f>IFERROR(_xlfn.XLOOKUP($B187,Insumo[DESCRIPCION],Insumo[VALOR],,0),"")</f>
        <v>7688.1</v>
      </c>
      <c r="F187" s="33">
        <v>3</v>
      </c>
      <c r="G187" s="34">
        <f>IFERROR(IF(F187&gt;=0,D187*E187*(1+F187/100),ABS(D187*E187/F187)),"")</f>
        <v>7918.7430000000004</v>
      </c>
      <c r="H187" s="43">
        <f>IFERROR(G187*E184,"")</f>
        <v>0</v>
      </c>
    </row>
    <row r="188" spans="1:11">
      <c r="A188" s="28"/>
      <c r="B188" s="29"/>
      <c r="C188" s="30" t="str">
        <f>IFERROR(_xlfn.XLOOKUP(B188,Insumo[DESCRIPCION],Insumo[UND],,0),"")</f>
        <v/>
      </c>
      <c r="D188" s="31"/>
      <c r="E188" s="32" t="str">
        <f>IFERROR(_xlfn.XLOOKUP($B188,Insumo[DESCRIPCION],Insumo[VALOR],,0),"")</f>
        <v/>
      </c>
      <c r="F188" s="33"/>
      <c r="G188" s="34" t="str">
        <f>IFERROR(IF(F188&gt;=0,D188*E188*(1+F188/100),ABS(D188*E188/F188)),"")</f>
        <v/>
      </c>
      <c r="H188" s="43" t="str">
        <f>IFERROR(G188*E184,"")</f>
        <v/>
      </c>
    </row>
    <row r="189" spans="1:11">
      <c r="A189" s="28"/>
      <c r="B189" s="29"/>
      <c r="C189" s="30" t="str">
        <f>IFERROR(_xlfn.XLOOKUP(B189,Insumo[DESCRIPCION],Insumo[UND],,0),"")</f>
        <v/>
      </c>
      <c r="D189" s="31"/>
      <c r="E189" s="32" t="str">
        <f>IFERROR(_xlfn.XLOOKUP($B189,Insumo[DESCRIPCION],Insumo[VALOR],,0),"")</f>
        <v/>
      </c>
      <c r="F189" s="33"/>
      <c r="G189" s="34" t="str">
        <f>IFERROR(IF(F189&gt;=0,D189*E189*(1+F189/100),ABS(D189*E189/F189)),"")</f>
        <v/>
      </c>
      <c r="H189" s="43" t="str">
        <f>IFERROR(G189*E184,"")</f>
        <v/>
      </c>
    </row>
    <row r="190" spans="1:11">
      <c r="A190" s="28"/>
      <c r="B190" s="29"/>
      <c r="C190" s="30" t="str">
        <f>IFERROR(_xlfn.XLOOKUP(B190,Insumo[DESCRIPCION],Insumo[UND],,0),"")</f>
        <v/>
      </c>
      <c r="D190" s="31"/>
      <c r="E190" s="32" t="str">
        <f>IFERROR(_xlfn.XLOOKUP($B190,Insumo[DESCRIPCION],Insumo[VALOR],,0),"")</f>
        <v/>
      </c>
      <c r="F190" s="33"/>
      <c r="G190" s="34" t="str">
        <f>IFERROR(IF(F190&gt;=0,D190*E190*(1+F190/100),ABS(D190*E190/F190)),"")</f>
        <v/>
      </c>
      <c r="H190" s="43" t="str">
        <f>IFERROR(G190*E184,"")</f>
        <v/>
      </c>
    </row>
    <row r="191" spans="1:11">
      <c r="A191" s="28"/>
      <c r="B191" s="29"/>
      <c r="C191" s="30" t="str">
        <f>IFERROR(_xlfn.XLOOKUP(B191,Insumo[DESCRIPCION],Insumo[UND],,0),"")</f>
        <v/>
      </c>
      <c r="D191" s="31"/>
      <c r="E191" s="32" t="str">
        <f>IFERROR(_xlfn.XLOOKUP($B191,Insumo[DESCRIPCION],Insumo[VALOR],,0),"")</f>
        <v/>
      </c>
      <c r="F191" s="33"/>
      <c r="G191" s="34" t="str">
        <f>IFERROR(IF(F191&gt;=0,D191*E191*(1+F191/100),ABS(D191*E191/F191)),"")</f>
        <v/>
      </c>
      <c r="H191" s="43" t="str">
        <f>IFERROR(G191*E184,"")</f>
        <v/>
      </c>
    </row>
    <row r="192" spans="1:11">
      <c r="A192" s="21"/>
      <c r="B192" s="22" t="s">
        <v>3731</v>
      </c>
      <c r="C192" s="23"/>
      <c r="D192" s="24"/>
      <c r="E192" s="25"/>
      <c r="F192" s="26"/>
      <c r="G192" s="27">
        <f>SUM(G193:G195)</f>
        <v>1047.9691696500001</v>
      </c>
      <c r="H192" s="27">
        <f>IFERROR(G192*E184,"")</f>
        <v>0</v>
      </c>
    </row>
    <row r="193" spans="1:11">
      <c r="A193" s="28"/>
      <c r="B193" s="29" t="s">
        <v>3626</v>
      </c>
      <c r="C193" s="30" t="str">
        <f>IFERROR(_xlfn.XLOOKUP(B193,Equipo[DESCRIPCION],Equipo[UND],,0),"")</f>
        <v>%MO</v>
      </c>
      <c r="D193" s="31">
        <v>0.05</v>
      </c>
      <c r="E193" s="32">
        <f>IF(C193="%MO",G199,IFERROR(_xlfn.XLOOKUP($B193,Equipo[DESCRIPCION],Equipo[VALOR],,0),""))</f>
        <v>20959.383393000004</v>
      </c>
      <c r="F193" s="33"/>
      <c r="G193" s="34">
        <f>IFERROR(IF(F193&gt;=0,D193*E193*(1+F193/100),ABS(D193*E193/F193)),"")</f>
        <v>1047.9691696500001</v>
      </c>
      <c r="H193" s="43">
        <f>IFERROR(G193*E184,"")</f>
        <v>0</v>
      </c>
    </row>
    <row r="194" spans="1:11">
      <c r="A194" s="28"/>
      <c r="B194" s="29"/>
      <c r="C194" s="30" t="str">
        <f>IFERROR(_xlfn.XLOOKUP(B194,Equipo[DESCRIPCION],Equipo[UND],,0),"")</f>
        <v/>
      </c>
      <c r="D194" s="31"/>
      <c r="E194" s="32" t="str">
        <f>IF(C194="%MO",G199,IFERROR(_xlfn.XLOOKUP($B194,Equipo[DESCRIPCION],Equipo[VALOR],,0),""))</f>
        <v/>
      </c>
      <c r="F194" s="33"/>
      <c r="G194" s="34" t="str">
        <f>IFERROR(IF(F194&gt;=0,D194*E194*(1+F194/100),ABS(D194*E194/F194)),"")</f>
        <v/>
      </c>
      <c r="H194" s="43" t="str">
        <f>IFERROR(G194*E184,"")</f>
        <v/>
      </c>
    </row>
    <row r="195" spans="1:11">
      <c r="A195" s="28"/>
      <c r="B195" s="29"/>
      <c r="C195" s="30" t="str">
        <f>IFERROR(_xlfn.XLOOKUP(B195,Equipo[DESCRIPCION],Equipo[UND],,0),"")</f>
        <v/>
      </c>
      <c r="D195" s="31"/>
      <c r="E195" s="32" t="str">
        <f>IF(C195="%MO",G199,IFERROR(_xlfn.XLOOKUP($B195,Equipo[DESCRIPCION],Equipo[VALOR],,0),""))</f>
        <v/>
      </c>
      <c r="F195" s="33"/>
      <c r="G195" s="34" t="str">
        <f>IFERROR(IF(F195&gt;=0,D195*E195*(1+F195/100),ABS(D195*E195/F195)),"")</f>
        <v/>
      </c>
      <c r="H195" s="43" t="str">
        <f>IFERROR(G195*E184,"")</f>
        <v/>
      </c>
    </row>
    <row r="196" spans="1:11">
      <c r="A196" s="21"/>
      <c r="B196" s="22" t="s">
        <v>2533</v>
      </c>
      <c r="C196" s="23"/>
      <c r="D196" s="24"/>
      <c r="E196" s="25"/>
      <c r="F196" s="26"/>
      <c r="G196" s="27">
        <f>SUM(G197:G198)</f>
        <v>0</v>
      </c>
      <c r="H196" s="27">
        <f>IFERROR(G196*E184,"")</f>
        <v>0</v>
      </c>
    </row>
    <row r="197" spans="1:11">
      <c r="A197" s="28"/>
      <c r="B197" s="29"/>
      <c r="C197" s="30" t="str">
        <f>IFERROR(_xlfn.XLOOKUP(B197,Transporte[DESCRIPCION],Transporte[UND],,0),"")</f>
        <v/>
      </c>
      <c r="D197" s="31"/>
      <c r="E197" s="32" t="str">
        <f>IFERROR(_xlfn.XLOOKUP($B197,Transporte[DESCRIPCION],Transporte[VALOR],,0),"")</f>
        <v/>
      </c>
      <c r="F197" s="33"/>
      <c r="G197" s="34" t="str">
        <f>IFERROR(IF(F197&gt;=0,D197*E197*(1+F197/100),ABS(D197*E197/F197)),"")</f>
        <v/>
      </c>
      <c r="H197" s="43" t="str">
        <f>IFERROR(G197*E184,"")</f>
        <v/>
      </c>
    </row>
    <row r="198" spans="1:11">
      <c r="A198" s="28"/>
      <c r="B198" s="29"/>
      <c r="C198" s="30" t="str">
        <f>IFERROR(_xlfn.XLOOKUP(B198,Transporte[DESCRIPCION],Transporte[UND],,0),"")</f>
        <v/>
      </c>
      <c r="D198" s="31"/>
      <c r="E198" s="32" t="str">
        <f>IFERROR(_xlfn.XLOOKUP($B198,Transporte[DESCRIPCION],Transporte[VALOR],,0),"")</f>
        <v/>
      </c>
      <c r="F198" s="33"/>
      <c r="G198" s="34" t="str">
        <f>IFERROR(IF(F198&gt;=0,D198*E198*(1+F198/100),ABS(D198*E198/F198)),"")</f>
        <v/>
      </c>
      <c r="H198" s="43" t="str">
        <f>IFERROR(G198*E184,"")</f>
        <v/>
      </c>
    </row>
    <row r="199" spans="1:11">
      <c r="A199" s="21"/>
      <c r="B199" s="22" t="s">
        <v>3732</v>
      </c>
      <c r="C199" s="23"/>
      <c r="D199" s="24"/>
      <c r="E199" s="25"/>
      <c r="F199" s="26"/>
      <c r="G199" s="27">
        <f>SUM(G200:G202)</f>
        <v>20959.383393000004</v>
      </c>
      <c r="H199" s="27">
        <f>IFERROR(G199*E184,"")</f>
        <v>0</v>
      </c>
    </row>
    <row r="200" spans="1:11">
      <c r="A200" s="28"/>
      <c r="B200" s="29" t="s">
        <v>3710</v>
      </c>
      <c r="C200" s="30" t="str">
        <f>IFERROR(_xlfn.XLOOKUP(B200,MObra[DESCRIPCION],MObra[UN],,0),"")</f>
        <v>día</v>
      </c>
      <c r="D200" s="31">
        <v>1</v>
      </c>
      <c r="E200" s="32">
        <f>IFERROR(_xlfn.XLOOKUP($B200,MObra[DESCRIPCION],MObra[VALOR UNIT],,0),"")</f>
        <v>314390.75089500006</v>
      </c>
      <c r="F200" s="33">
        <v>-15</v>
      </c>
      <c r="G200" s="34">
        <f>IFERROR(IF(F200&gt;=0,D200*E200*(1+F200/100),ABS(D200*E200/F200)),"")</f>
        <v>20959.383393000004</v>
      </c>
      <c r="H200" s="43">
        <f>IFERROR(G200*E184,"")</f>
        <v>0</v>
      </c>
    </row>
    <row r="201" spans="1:11">
      <c r="A201" s="28"/>
      <c r="B201" s="29"/>
      <c r="C201" s="30" t="str">
        <f t="array" ref="C201">IFERROR(_xlfn.XLOOKUP(B201,MObra[[#All],[DESCRIPCION]],MObra[[#All],[UN]],,0),"")</f>
        <v/>
      </c>
      <c r="D201" s="31"/>
      <c r="E201" s="32" t="str">
        <f>IFERROR(_xlfn.XLOOKUP($B201,MObra[DESCRIPCION],MObra[VALOR UNIT],,0),"")</f>
        <v/>
      </c>
      <c r="F201" s="33"/>
      <c r="G201" s="34" t="str">
        <f>IFERROR(IF(F201&gt;=0,D201*E201*(1+F201/100),ABS(D201*E201/F201)),"")</f>
        <v/>
      </c>
      <c r="H201" s="43" t="str">
        <f>IFERROR(G201*E184,"")</f>
        <v/>
      </c>
    </row>
    <row r="202" spans="1:11">
      <c r="A202" s="35"/>
      <c r="B202" s="36"/>
      <c r="C202" s="37" t="str">
        <f t="array" ref="C202">IFERROR(_xlfn.XLOOKUP(B202,MObra[[#All],[DESCRIPCION]],MObra[[#All],[UN]],,0),"")</f>
        <v/>
      </c>
      <c r="D202" s="38"/>
      <c r="E202" s="39" t="str">
        <f>IFERROR(_xlfn.XLOOKUP($B202,MObra[DESCRIPCION],MObra[VALOR UNIT],,0),"")</f>
        <v/>
      </c>
      <c r="F202" s="40"/>
      <c r="G202" s="41" t="str">
        <f>IFERROR(IF(F202&gt;=0,D202*E202*(1+F202/100),ABS(D202*E202/F202)),"")</f>
        <v/>
      </c>
      <c r="H202" s="42" t="str">
        <f>IFERROR(G202*E184,"")</f>
        <v/>
      </c>
    </row>
    <row r="204" spans="1:11">
      <c r="A204" s="6" t="s">
        <v>1111</v>
      </c>
      <c r="B204" s="7" t="str">
        <f>VLOOKUP($A204,Presupuesto!$A:$D,2,FALSE())</f>
        <v>Valvula de gas PE AL PE cierre D=1/2"</v>
      </c>
      <c r="C204" s="8" t="str">
        <f>VLOOKUP($A204,Presupuesto!$A:$D,3,FALSE())</f>
        <v>Un</v>
      </c>
      <c r="D204" s="9"/>
      <c r="E204" s="10">
        <f>VLOOKUP($A204,Presupuesto!$A:$D,4,FALSE())</f>
        <v>0</v>
      </c>
      <c r="F204" s="11" t="s">
        <v>2589</v>
      </c>
      <c r="G204" s="12">
        <f>SUM(G206:G222)/2</f>
        <v>56075.328843975003</v>
      </c>
      <c r="H204" s="13">
        <f>ROUND(SUM(H206:H222),0)/2</f>
        <v>0</v>
      </c>
      <c r="I204" s="10">
        <f>VLOOKUP(A204,Presupuesto!$A:$F,6,0)</f>
        <v>0</v>
      </c>
      <c r="J204" s="10">
        <f>+H204-I204</f>
        <v>0</v>
      </c>
      <c r="K204" s="46">
        <f>+H204-G204*E204</f>
        <v>0</v>
      </c>
    </row>
    <row r="205" spans="1:11">
      <c r="A205" s="14"/>
      <c r="B205" s="15" t="s">
        <v>2586</v>
      </c>
      <c r="C205" s="15" t="s">
        <v>5</v>
      </c>
      <c r="D205" s="16" t="s">
        <v>6</v>
      </c>
      <c r="E205" s="17" t="s">
        <v>7</v>
      </c>
      <c r="F205" s="18" t="s">
        <v>3728</v>
      </c>
      <c r="G205" s="19" t="s">
        <v>3729</v>
      </c>
      <c r="H205" s="20" t="s">
        <v>3797</v>
      </c>
    </row>
    <row r="206" spans="1:11">
      <c r="A206" s="21"/>
      <c r="B206" s="22" t="s">
        <v>3730</v>
      </c>
      <c r="C206" s="23"/>
      <c r="D206" s="24"/>
      <c r="E206" s="25"/>
      <c r="F206" s="26"/>
      <c r="G206" s="27">
        <f>SUM(G207:G211)</f>
        <v>23064.3</v>
      </c>
      <c r="H206" s="27">
        <f>IFERROR(G206*E204,"")</f>
        <v>0</v>
      </c>
    </row>
    <row r="207" spans="1:11">
      <c r="A207" s="28"/>
      <c r="B207" s="29" t="s">
        <v>3528</v>
      </c>
      <c r="C207" s="30" t="str">
        <f>IFERROR(_xlfn.XLOOKUP(B207,Insumo[DESCRIPCION],Insumo[UND],,0),"")</f>
        <v>Un</v>
      </c>
      <c r="D207" s="31">
        <v>1</v>
      </c>
      <c r="E207" s="32">
        <f>IFERROR(_xlfn.XLOOKUP($B207,Insumo[DESCRIPCION],Insumo[VALOR],,0),"")</f>
        <v>23064.3</v>
      </c>
      <c r="F207" s="33"/>
      <c r="G207" s="34">
        <f>IFERROR(IF(F207&gt;=0,D207*E207*(1+F207/100),ABS(D207*E207/F207)),"")</f>
        <v>23064.3</v>
      </c>
      <c r="H207" s="43">
        <f>IFERROR(G207*E204,"")</f>
        <v>0</v>
      </c>
    </row>
    <row r="208" spans="1:11">
      <c r="A208" s="28"/>
      <c r="B208" s="29"/>
      <c r="C208" s="30" t="str">
        <f>IFERROR(_xlfn.XLOOKUP(B208,Insumo[DESCRIPCION],Insumo[UND],,0),"")</f>
        <v/>
      </c>
      <c r="D208" s="31"/>
      <c r="E208" s="32" t="str">
        <f>IFERROR(_xlfn.XLOOKUP($B208,Insumo[DESCRIPCION],Insumo[VALOR],,0),"")</f>
        <v/>
      </c>
      <c r="F208" s="33"/>
      <c r="G208" s="34" t="str">
        <f>IFERROR(IF(F208&gt;=0,D208*E208*(1+F208/100),ABS(D208*E208/F208)),"")</f>
        <v/>
      </c>
      <c r="H208" s="43" t="str">
        <f>IFERROR(G208*E204,"")</f>
        <v/>
      </c>
    </row>
    <row r="209" spans="1:11">
      <c r="A209" s="28"/>
      <c r="B209" s="29"/>
      <c r="C209" s="30" t="str">
        <f>IFERROR(_xlfn.XLOOKUP(B209,Insumo[DESCRIPCION],Insumo[UND],,0),"")</f>
        <v/>
      </c>
      <c r="D209" s="31"/>
      <c r="E209" s="32" t="str">
        <f>IFERROR(_xlfn.XLOOKUP($B209,Insumo[DESCRIPCION],Insumo[VALOR],,0),"")</f>
        <v/>
      </c>
      <c r="F209" s="33"/>
      <c r="G209" s="34" t="str">
        <f>IFERROR(IF(F209&gt;=0,D209*E209*(1+F209/100),ABS(D209*E209/F209)),"")</f>
        <v/>
      </c>
      <c r="H209" s="43" t="str">
        <f>IFERROR(G209*E204,"")</f>
        <v/>
      </c>
    </row>
    <row r="210" spans="1:11">
      <c r="A210" s="28"/>
      <c r="B210" s="29"/>
      <c r="C210" s="30" t="str">
        <f>IFERROR(_xlfn.XLOOKUP(B210,Insumo[DESCRIPCION],Insumo[UND],,0),"")</f>
        <v/>
      </c>
      <c r="D210" s="31"/>
      <c r="E210" s="32" t="str">
        <f>IFERROR(_xlfn.XLOOKUP($B210,Insumo[DESCRIPCION],Insumo[VALOR],,0),"")</f>
        <v/>
      </c>
      <c r="F210" s="33"/>
      <c r="G210" s="34" t="str">
        <f>IFERROR(IF(F210&gt;=0,D210*E210*(1+F210/100),ABS(D210*E210/F210)),"")</f>
        <v/>
      </c>
      <c r="H210" s="43" t="str">
        <f>IFERROR(G210*E204,"")</f>
        <v/>
      </c>
    </row>
    <row r="211" spans="1:11">
      <c r="A211" s="28"/>
      <c r="B211" s="29"/>
      <c r="C211" s="30" t="str">
        <f>IFERROR(_xlfn.XLOOKUP(B211,Insumo[DESCRIPCION],Insumo[UND],,0),"")</f>
        <v/>
      </c>
      <c r="D211" s="31"/>
      <c r="E211" s="32" t="str">
        <f>IFERROR(_xlfn.XLOOKUP($B211,Insumo[DESCRIPCION],Insumo[VALOR],,0),"")</f>
        <v/>
      </c>
      <c r="F211" s="33"/>
      <c r="G211" s="34" t="str">
        <f>IFERROR(IF(F211&gt;=0,D211*E211*(1+F211/100),ABS(D211*E211/F211)),"")</f>
        <v/>
      </c>
      <c r="H211" s="43" t="str">
        <f>IFERROR(G211*E204,"")</f>
        <v/>
      </c>
    </row>
    <row r="212" spans="1:11">
      <c r="A212" s="21"/>
      <c r="B212" s="22" t="s">
        <v>3731</v>
      </c>
      <c r="C212" s="23"/>
      <c r="D212" s="24"/>
      <c r="E212" s="25"/>
      <c r="F212" s="26"/>
      <c r="G212" s="27">
        <f>SUM(G213:G215)</f>
        <v>1571.9537544750003</v>
      </c>
      <c r="H212" s="27">
        <f>IFERROR(G212*E204,"")</f>
        <v>0</v>
      </c>
    </row>
    <row r="213" spans="1:11">
      <c r="A213" s="28"/>
      <c r="B213" s="29" t="s">
        <v>3626</v>
      </c>
      <c r="C213" s="30" t="str">
        <f>IFERROR(_xlfn.XLOOKUP(B213,Equipo[DESCRIPCION],Equipo[UND],,0),"")</f>
        <v>%MO</v>
      </c>
      <c r="D213" s="31">
        <v>0.05</v>
      </c>
      <c r="E213" s="32">
        <f>IF(C213="%MO",G219,IFERROR(_xlfn.XLOOKUP($B213,Equipo[DESCRIPCION],Equipo[VALOR],,0),""))</f>
        <v>31439.075089500006</v>
      </c>
      <c r="F213" s="33"/>
      <c r="G213" s="34">
        <f>IFERROR(IF(F213&gt;=0,D213*E213*(1+F213/100),ABS(D213*E213/F213)),"")</f>
        <v>1571.9537544750003</v>
      </c>
      <c r="H213" s="43">
        <f>IFERROR(G213*E204,"")</f>
        <v>0</v>
      </c>
    </row>
    <row r="214" spans="1:11">
      <c r="A214" s="28"/>
      <c r="B214" s="29"/>
      <c r="C214" s="30" t="str">
        <f>IFERROR(_xlfn.XLOOKUP(B214,Equipo[DESCRIPCION],Equipo[UND],,0),"")</f>
        <v/>
      </c>
      <c r="D214" s="31"/>
      <c r="E214" s="32" t="str">
        <f>IF(C214="%MO",G219,IFERROR(_xlfn.XLOOKUP($B214,Equipo[DESCRIPCION],Equipo[VALOR],,0),""))</f>
        <v/>
      </c>
      <c r="F214" s="33"/>
      <c r="G214" s="34" t="str">
        <f>IFERROR(IF(F214&gt;=0,D214*E214*(1+F214/100),ABS(D214*E214/F214)),"")</f>
        <v/>
      </c>
      <c r="H214" s="43" t="str">
        <f>IFERROR(G214*E204,"")</f>
        <v/>
      </c>
    </row>
    <row r="215" spans="1:11">
      <c r="A215" s="28"/>
      <c r="B215" s="29"/>
      <c r="C215" s="30" t="str">
        <f>IFERROR(_xlfn.XLOOKUP(B215,Equipo[DESCRIPCION],Equipo[UND],,0),"")</f>
        <v/>
      </c>
      <c r="D215" s="31"/>
      <c r="E215" s="32" t="str">
        <f>IF(C215="%MO",G219,IFERROR(_xlfn.XLOOKUP($B215,Equipo[DESCRIPCION],Equipo[VALOR],,0),""))</f>
        <v/>
      </c>
      <c r="F215" s="33"/>
      <c r="G215" s="34" t="str">
        <f>IFERROR(IF(F215&gt;=0,D215*E215*(1+F215/100),ABS(D215*E215/F215)),"")</f>
        <v/>
      </c>
      <c r="H215" s="43" t="str">
        <f>IFERROR(G215*E204,"")</f>
        <v/>
      </c>
    </row>
    <row r="216" spans="1:11">
      <c r="A216" s="21"/>
      <c r="B216" s="22" t="s">
        <v>2533</v>
      </c>
      <c r="C216" s="23"/>
      <c r="D216" s="24"/>
      <c r="E216" s="25"/>
      <c r="F216" s="26"/>
      <c r="G216" s="27">
        <f>SUM(G217:G218)</f>
        <v>0</v>
      </c>
      <c r="H216" s="27">
        <f>IFERROR(G216*E204,"")</f>
        <v>0</v>
      </c>
    </row>
    <row r="217" spans="1:11">
      <c r="A217" s="28"/>
      <c r="B217" s="29"/>
      <c r="C217" s="30" t="str">
        <f>IFERROR(_xlfn.XLOOKUP(B217,Transporte[DESCRIPCION],Transporte[UND],,0),"")</f>
        <v/>
      </c>
      <c r="D217" s="31"/>
      <c r="E217" s="32" t="str">
        <f>IFERROR(_xlfn.XLOOKUP($B217,Transporte[DESCRIPCION],Transporte[VALOR],,0),"")</f>
        <v/>
      </c>
      <c r="F217" s="33"/>
      <c r="G217" s="34" t="str">
        <f>IFERROR(IF(F217&gt;=0,D217*E217*(1+F217/100),ABS(D217*E217/F217)),"")</f>
        <v/>
      </c>
      <c r="H217" s="43" t="str">
        <f>IFERROR(G217*E204,"")</f>
        <v/>
      </c>
    </row>
    <row r="218" spans="1:11">
      <c r="A218" s="28"/>
      <c r="B218" s="29"/>
      <c r="C218" s="30" t="str">
        <f>IFERROR(_xlfn.XLOOKUP(B218,Transporte[DESCRIPCION],Transporte[UND],,0),"")</f>
        <v/>
      </c>
      <c r="D218" s="31"/>
      <c r="E218" s="32" t="str">
        <f>IFERROR(_xlfn.XLOOKUP($B218,Transporte[DESCRIPCION],Transporte[VALOR],,0),"")</f>
        <v/>
      </c>
      <c r="F218" s="33"/>
      <c r="G218" s="34" t="str">
        <f>IFERROR(IF(F218&gt;=0,D218*E218*(1+F218/100),ABS(D218*E218/F218)),"")</f>
        <v/>
      </c>
      <c r="H218" s="43" t="str">
        <f>IFERROR(G218*E204,"")</f>
        <v/>
      </c>
    </row>
    <row r="219" spans="1:11">
      <c r="A219" s="21"/>
      <c r="B219" s="22" t="s">
        <v>3732</v>
      </c>
      <c r="C219" s="23"/>
      <c r="D219" s="24"/>
      <c r="E219" s="25"/>
      <c r="F219" s="26"/>
      <c r="G219" s="27">
        <f>SUM(G220:G222)</f>
        <v>31439.075089500006</v>
      </c>
      <c r="H219" s="27">
        <f>IFERROR(G219*E204,"")</f>
        <v>0</v>
      </c>
    </row>
    <row r="220" spans="1:11">
      <c r="A220" s="28"/>
      <c r="B220" s="29" t="s">
        <v>3710</v>
      </c>
      <c r="C220" s="30" t="str">
        <f>IFERROR(_xlfn.XLOOKUP(B220,MObra[DESCRIPCION],MObra[UN],,0),"")</f>
        <v>día</v>
      </c>
      <c r="D220" s="31">
        <v>1</v>
      </c>
      <c r="E220" s="32">
        <f>IFERROR(_xlfn.XLOOKUP($B220,MObra[DESCRIPCION],MObra[VALOR UNIT],,0),"")</f>
        <v>314390.75089500006</v>
      </c>
      <c r="F220" s="33">
        <v>-10</v>
      </c>
      <c r="G220" s="34">
        <f>IFERROR(IF(F220&gt;=0,D220*E220*(1+F220/100),ABS(D220*E220/F220)),"")</f>
        <v>31439.075089500006</v>
      </c>
      <c r="H220" s="43">
        <f>IFERROR(G220*E204,"")</f>
        <v>0</v>
      </c>
    </row>
    <row r="221" spans="1:11">
      <c r="A221" s="28"/>
      <c r="B221" s="29"/>
      <c r="C221" s="30" t="str">
        <f t="array" ref="C221">IFERROR(_xlfn.XLOOKUP(B221,MObra[[#All],[DESCRIPCION]],MObra[[#All],[UN]],,0),"")</f>
        <v/>
      </c>
      <c r="D221" s="31"/>
      <c r="E221" s="32" t="str">
        <f>IFERROR(_xlfn.XLOOKUP($B221,MObra[DESCRIPCION],MObra[VALOR UNIT],,0),"")</f>
        <v/>
      </c>
      <c r="F221" s="33"/>
      <c r="G221" s="34" t="str">
        <f>IFERROR(IF(F221&gt;=0,D221*E221*(1+F221/100),ABS(D221*E221/F221)),"")</f>
        <v/>
      </c>
      <c r="H221" s="43" t="str">
        <f>IFERROR(G221*E204,"")</f>
        <v/>
      </c>
    </row>
    <row r="222" spans="1:11">
      <c r="A222" s="35"/>
      <c r="B222" s="36"/>
      <c r="C222" s="37" t="str">
        <f t="array" ref="C222">IFERROR(_xlfn.XLOOKUP(B222,MObra[[#All],[DESCRIPCION]],MObra[[#All],[UN]],,0),"")</f>
        <v/>
      </c>
      <c r="D222" s="38"/>
      <c r="E222" s="39" t="str">
        <f>IFERROR(_xlfn.XLOOKUP($B222,MObra[DESCRIPCION],MObra[VALOR UNIT],,0),"")</f>
        <v/>
      </c>
      <c r="F222" s="40"/>
      <c r="G222" s="41" t="str">
        <f>IFERROR(IF(F222&gt;=0,D222*E222*(1+F222/100),ABS(D222*E222/F222)),"")</f>
        <v/>
      </c>
      <c r="H222" s="42" t="str">
        <f>IFERROR(G222*E204,"")</f>
        <v/>
      </c>
    </row>
    <row r="223" spans="1:11" ht="13.5" thickTop="1" thickBot="1"/>
    <row r="224" spans="1:11" ht="12.75" customHeight="1" thickTop="1" thickBot="1">
      <c r="A224" s="6" t="s">
        <v>1115</v>
      </c>
      <c r="B224" s="7" t="str">
        <f>VLOOKUP($A224,Presupuesto!$A:$D,2,FALSE())</f>
        <v>Abrazadera tipo mecanico red incendio 1 1/2"</v>
      </c>
      <c r="C224" s="8" t="str">
        <f>VLOOKUP($A224,Presupuesto!$A:$D,3,FALSE())</f>
        <v>Un</v>
      </c>
      <c r="D224" s="9"/>
      <c r="E224" s="10">
        <f>VLOOKUP($A224,Presupuesto!$A:$D,4,FALSE())</f>
        <v>0</v>
      </c>
      <c r="F224" s="11" t="s">
        <v>2589</v>
      </c>
      <c r="G224" s="12">
        <f>SUM(G226:G242)/2</f>
        <v>28463.018176462505</v>
      </c>
      <c r="H224" s="13">
        <f>ROUND(SUM(H226:H242),0)/2</f>
        <v>0</v>
      </c>
      <c r="I224" s="10">
        <f>VLOOKUP(A224,Presupuesto!$A:$F,6,0)</f>
        <v>0</v>
      </c>
      <c r="J224" s="10">
        <f>+H224-I224</f>
        <v>0</v>
      </c>
      <c r="K224" s="46">
        <f>+H224-G224*E224</f>
        <v>0</v>
      </c>
    </row>
    <row r="225" spans="1:8" ht="12.75" customHeight="1" thickTop="1">
      <c r="A225" s="14"/>
      <c r="B225" s="15" t="s">
        <v>2586</v>
      </c>
      <c r="C225" s="15" t="s">
        <v>5</v>
      </c>
      <c r="D225" s="16" t="s">
        <v>6</v>
      </c>
      <c r="E225" s="17" t="s">
        <v>7</v>
      </c>
      <c r="F225" s="18" t="s">
        <v>3728</v>
      </c>
      <c r="G225" s="19" t="s">
        <v>3729</v>
      </c>
      <c r="H225" s="20" t="s">
        <v>3797</v>
      </c>
    </row>
    <row r="226" spans="1:8" ht="12.75" customHeight="1">
      <c r="A226" s="21"/>
      <c r="B226" s="22" t="s">
        <v>3730</v>
      </c>
      <c r="C226" s="23"/>
      <c r="D226" s="24"/>
      <c r="E226" s="25"/>
      <c r="F226" s="26"/>
      <c r="G226" s="27">
        <f>SUM(G227:G231)</f>
        <v>10385.549999999999</v>
      </c>
      <c r="H226" s="27">
        <f>IFERROR(G226*E224,"")</f>
        <v>0</v>
      </c>
    </row>
    <row r="227" spans="1:8" ht="12.75" customHeight="1">
      <c r="A227" s="28"/>
      <c r="B227" s="29" t="s">
        <v>3407</v>
      </c>
      <c r="C227" s="30" t="str">
        <f>IFERROR(_xlfn.XLOOKUP(B227,Insumo[DESCRIPCION],Insumo[UND],,0),"")</f>
        <v>Un</v>
      </c>
      <c r="D227" s="31">
        <v>2</v>
      </c>
      <c r="E227" s="32">
        <f>IFERROR(_xlfn.XLOOKUP($B227,Insumo[DESCRIPCION],Insumo[VALOR],,0),"")</f>
        <v>77.7</v>
      </c>
      <c r="F227" s="33"/>
      <c r="G227" s="34">
        <f>IFERROR(IF(F227&gt;=0,D227*E227*(1+F227/100),ABS(D227*E227/F227)),"")</f>
        <v>155.4</v>
      </c>
      <c r="H227" s="43">
        <f>IFERROR(G227*E224,"")</f>
        <v>0</v>
      </c>
    </row>
    <row r="228" spans="1:8" ht="12.75" customHeight="1">
      <c r="A228" s="28"/>
      <c r="B228" s="29" t="s">
        <v>2605</v>
      </c>
      <c r="C228" s="30" t="str">
        <f>IFERROR(_xlfn.XLOOKUP(B228,Insumo[DESCRIPCION],Insumo[UND],,0),"")</f>
        <v>Un</v>
      </c>
      <c r="D228" s="31">
        <v>1</v>
      </c>
      <c r="E228" s="32">
        <f>IFERROR(_xlfn.XLOOKUP($B228,Insumo[DESCRIPCION],Insumo[VALOR],,0),"")</f>
        <v>10230.15</v>
      </c>
      <c r="F228" s="33"/>
      <c r="G228" s="34">
        <f>IFERROR(IF(F228&gt;=0,D228*E228*(1+F228/100),ABS(D228*E228/F228)),"")</f>
        <v>10230.15</v>
      </c>
      <c r="H228" s="43">
        <f>IFERROR(G228*E224,"")</f>
        <v>0</v>
      </c>
    </row>
    <row r="229" spans="1:8" ht="12.75" customHeight="1">
      <c r="A229" s="28"/>
      <c r="B229" s="29"/>
      <c r="C229" s="30" t="str">
        <f>IFERROR(_xlfn.XLOOKUP(B229,Insumo[DESCRIPCION],Insumo[UND],,0),"")</f>
        <v/>
      </c>
      <c r="D229" s="31"/>
      <c r="E229" s="32" t="str">
        <f>IFERROR(_xlfn.XLOOKUP($B229,Insumo[DESCRIPCION],Insumo[VALOR],,0),"")</f>
        <v/>
      </c>
      <c r="F229" s="33"/>
      <c r="G229" s="34" t="str">
        <f>IFERROR(IF(F229&gt;=0,D229*E229*(1+F229/100),ABS(D229*E229/F229)),"")</f>
        <v/>
      </c>
      <c r="H229" s="43" t="str">
        <f>IFERROR(G229*E224,"")</f>
        <v/>
      </c>
    </row>
    <row r="230" spans="1:8" ht="12.75" customHeight="1">
      <c r="A230" s="28"/>
      <c r="B230" s="29"/>
      <c r="C230" s="30" t="str">
        <f>IFERROR(_xlfn.XLOOKUP(B230,Insumo[DESCRIPCION],Insumo[UND],,0),"")</f>
        <v/>
      </c>
      <c r="D230" s="31"/>
      <c r="E230" s="32" t="str">
        <f>IFERROR(_xlfn.XLOOKUP($B230,Insumo[DESCRIPCION],Insumo[VALOR],,0),"")</f>
        <v/>
      </c>
      <c r="F230" s="33"/>
      <c r="G230" s="34" t="str">
        <f>IFERROR(IF(F230&gt;=0,D230*E230*(1+F230/100),ABS(D230*E230/F230)),"")</f>
        <v/>
      </c>
      <c r="H230" s="43" t="str">
        <f>IFERROR(G230*E224,"")</f>
        <v/>
      </c>
    </row>
    <row r="231" spans="1:8" ht="12.75" customHeight="1">
      <c r="A231" s="28"/>
      <c r="B231" s="29"/>
      <c r="C231" s="30" t="str">
        <f>IFERROR(_xlfn.XLOOKUP(B231,Insumo[DESCRIPCION],Insumo[UND],,0),"")</f>
        <v/>
      </c>
      <c r="D231" s="31"/>
      <c r="E231" s="32" t="str">
        <f>IFERROR(_xlfn.XLOOKUP($B231,Insumo[DESCRIPCION],Insumo[VALOR],,0),"")</f>
        <v/>
      </c>
      <c r="F231" s="33"/>
      <c r="G231" s="34" t="str">
        <f>IFERROR(IF(F231&gt;=0,D231*E231*(1+F231/100),ABS(D231*E231/F231)),"")</f>
        <v/>
      </c>
      <c r="H231" s="43" t="str">
        <f>IFERROR(G231*E224,"")</f>
        <v/>
      </c>
    </row>
    <row r="232" spans="1:8" ht="12.75" customHeight="1">
      <c r="A232" s="21"/>
      <c r="B232" s="22" t="s">
        <v>3731</v>
      </c>
      <c r="C232" s="23"/>
      <c r="D232" s="24"/>
      <c r="E232" s="25"/>
      <c r="F232" s="26"/>
      <c r="G232" s="27">
        <f>SUM(G233:G235)</f>
        <v>2357.9306317125006</v>
      </c>
      <c r="H232" s="44">
        <f>G232*E224</f>
        <v>0</v>
      </c>
    </row>
    <row r="233" spans="1:8" ht="12.75" customHeight="1">
      <c r="A233" s="28"/>
      <c r="B233" s="29" t="s">
        <v>3573</v>
      </c>
      <c r="C233" s="30" t="str">
        <f>IFERROR(_xlfn.XLOOKUP(B233,Equipo[DESCRIPCION],Equipo[UND],,0),"")</f>
        <v>%MO</v>
      </c>
      <c r="D233" s="31">
        <v>0.1</v>
      </c>
      <c r="E233" s="32">
        <f>IF(C233="%MO",G239,IFERROR(_xlfn.XLOOKUP($B233,Equipo[DESCRIPCION],Equipo[VALOR],,0),""))</f>
        <v>15719.537544750003</v>
      </c>
      <c r="F233" s="33"/>
      <c r="G233" s="34">
        <f>IFERROR(IF(F233&gt;=0,D233*E233*(1+F233/100),ABS(D233*E233/F233)),"")</f>
        <v>1571.9537544750003</v>
      </c>
      <c r="H233" s="43">
        <f>IFERROR(G233*E224,"")</f>
        <v>0</v>
      </c>
    </row>
    <row r="234" spans="1:8" ht="12.75" customHeight="1">
      <c r="A234" s="28"/>
      <c r="B234" s="29" t="s">
        <v>3626</v>
      </c>
      <c r="C234" s="30" t="str">
        <f>IFERROR(_xlfn.XLOOKUP(B234,Equipo[DESCRIPCION],Equipo[UND],,0),"")</f>
        <v>%MO</v>
      </c>
      <c r="D234" s="31">
        <v>0.05</v>
      </c>
      <c r="E234" s="32">
        <f>IF(C234="%MO",G239,IFERROR(_xlfn.XLOOKUP($B234,Equipo[DESCRIPCION],Equipo[VALOR],,0),""))</f>
        <v>15719.537544750003</v>
      </c>
      <c r="F234" s="33"/>
      <c r="G234" s="34">
        <f>IFERROR(IF(F234&gt;=0,D234*E234*(1+F234/100),ABS(D234*E234/F234)),"")</f>
        <v>785.97687723750016</v>
      </c>
      <c r="H234" s="43">
        <f>IFERROR(G234*E224,"")</f>
        <v>0</v>
      </c>
    </row>
    <row r="235" spans="1:8" ht="12.75" customHeight="1">
      <c r="A235" s="28"/>
      <c r="B235" s="29"/>
      <c r="C235" s="30" t="str">
        <f>IFERROR(_xlfn.XLOOKUP(B235,Equipo[DESCRIPCION],Equipo[UND],,0),"")</f>
        <v/>
      </c>
      <c r="D235" s="31"/>
      <c r="E235" s="32" t="str">
        <f>IF(C235="%MO",G239,IFERROR(_xlfn.XLOOKUP($B235,Equipo[DESCRIPCION],Equipo[VALOR],,0),""))</f>
        <v/>
      </c>
      <c r="F235" s="33"/>
      <c r="G235" s="34" t="str">
        <f>IFERROR(IF(F235&gt;=0,D235*E235*(1+F235/100),ABS(D235*E235/F235)),"")</f>
        <v/>
      </c>
      <c r="H235" s="43" t="str">
        <f>IFERROR(G235*E224,"")</f>
        <v/>
      </c>
    </row>
    <row r="236" spans="1:8" ht="12.75" customHeight="1">
      <c r="A236" s="21"/>
      <c r="B236" s="22" t="s">
        <v>2533</v>
      </c>
      <c r="C236" s="23"/>
      <c r="D236" s="24"/>
      <c r="E236" s="25"/>
      <c r="F236" s="26"/>
      <c r="G236" s="27">
        <f>SUM(G237:G238)</f>
        <v>0</v>
      </c>
      <c r="H236" s="44">
        <f>G236*E224</f>
        <v>0</v>
      </c>
    </row>
    <row r="237" spans="1:8" ht="12.75" customHeight="1">
      <c r="A237" s="28"/>
      <c r="B237" s="29"/>
      <c r="C237" s="30" t="str">
        <f>IFERROR(_xlfn.XLOOKUP(B237,Transporte[DESCRIPCION],Transporte[UND],,0),"")</f>
        <v/>
      </c>
      <c r="D237" s="31"/>
      <c r="E237" s="32" t="str">
        <f>IFERROR(_xlfn.XLOOKUP($B237,Transporte[DESCRIPCION],Transporte[VALOR],,0),"")</f>
        <v/>
      </c>
      <c r="F237" s="33"/>
      <c r="G237" s="34" t="str">
        <f>IFERROR(IF(F237&gt;=0,D237*E237*(1+F237/100),ABS(D237*E237/F237)),"")</f>
        <v/>
      </c>
      <c r="H237" s="43" t="str">
        <f>IFERROR(G237*E224,"")</f>
        <v/>
      </c>
    </row>
    <row r="238" spans="1:8" ht="12.75" customHeight="1">
      <c r="A238" s="28"/>
      <c r="B238" s="29"/>
      <c r="C238" s="30" t="str">
        <f>IFERROR(_xlfn.XLOOKUP(B238,Transporte[DESCRIPCION],Transporte[UND],,0),"")</f>
        <v/>
      </c>
      <c r="D238" s="31"/>
      <c r="E238" s="32" t="str">
        <f>IFERROR(_xlfn.XLOOKUP($B238,Transporte[DESCRIPCION],Transporte[VALOR],,0),"")</f>
        <v/>
      </c>
      <c r="F238" s="33"/>
      <c r="G238" s="34" t="str">
        <f>IFERROR(IF(F238&gt;=0,D238*E238*(1+F238/100),ABS(D238*E238/F238)),"")</f>
        <v/>
      </c>
      <c r="H238" s="43" t="str">
        <f>IFERROR(G238*E224,"")</f>
        <v/>
      </c>
    </row>
    <row r="239" spans="1:8" ht="12.75" customHeight="1">
      <c r="A239" s="21"/>
      <c r="B239" s="22" t="s">
        <v>3732</v>
      </c>
      <c r="C239" s="23"/>
      <c r="D239" s="24"/>
      <c r="E239" s="25"/>
      <c r="F239" s="26"/>
      <c r="G239" s="27">
        <f>SUM(G240:G242)</f>
        <v>15719.537544750003</v>
      </c>
      <c r="H239" s="44">
        <f>G239*E224</f>
        <v>0</v>
      </c>
    </row>
    <row r="240" spans="1:8" ht="12.75" customHeight="1">
      <c r="A240" s="28"/>
      <c r="B240" s="29" t="s">
        <v>3710</v>
      </c>
      <c r="C240" s="30" t="str">
        <f>IFERROR(_xlfn.XLOOKUP(B240,MObra[DESCRIPCION],MObra[UN],,0),"")</f>
        <v>día</v>
      </c>
      <c r="D240" s="31">
        <v>1</v>
      </c>
      <c r="E240" s="32">
        <f>IFERROR(_xlfn.XLOOKUP($B240,MObra[DESCRIPCION],MObra[VALOR UNIT],,0),"")</f>
        <v>314390.75089500006</v>
      </c>
      <c r="F240" s="33">
        <v>-20</v>
      </c>
      <c r="G240" s="34">
        <f>IFERROR(IF(F240&gt;=0,D240*E240*(1+F240/100),ABS(D240*E240/F240)),"")</f>
        <v>15719.537544750003</v>
      </c>
      <c r="H240" s="43">
        <f>IFERROR(G240*E224,"")</f>
        <v>0</v>
      </c>
    </row>
    <row r="241" spans="1:11" ht="12.75" customHeight="1">
      <c r="A241" s="28"/>
      <c r="B241" s="29"/>
      <c r="C241" s="30" t="str">
        <f t="array" ref="C241">IFERROR(_xlfn.XLOOKUP(B241,MObra[[#All],[DESCRIPCION]],MObra[[#All],[UN]],,0),"")</f>
        <v/>
      </c>
      <c r="D241" s="31"/>
      <c r="E241" s="32" t="str">
        <f>IFERROR(_xlfn.XLOOKUP($B241,MObra[DESCRIPCION],MObra[VALOR UNIT],,0),"")</f>
        <v/>
      </c>
      <c r="F241" s="33"/>
      <c r="G241" s="34" t="str">
        <f>IFERROR(IF(F241&gt;=0,D241*E241*(1+F241/100),ABS(D241*E241/F241)),"")</f>
        <v/>
      </c>
      <c r="H241" s="43" t="str">
        <f>IFERROR(G241*E224,"")</f>
        <v/>
      </c>
    </row>
    <row r="242" spans="1:11" ht="12.75" customHeight="1" thickBot="1">
      <c r="A242" s="35"/>
      <c r="B242" s="36"/>
      <c r="C242" s="37" t="str">
        <f t="array" ref="C242">IFERROR(_xlfn.XLOOKUP(B242,MObra[[#All],[DESCRIPCION]],MObra[[#All],[UN]],,0),"")</f>
        <v/>
      </c>
      <c r="D242" s="38"/>
      <c r="E242" s="39" t="str">
        <f>IFERROR(_xlfn.XLOOKUP($B242,MObra[DESCRIPCION],MObra[VALOR UNIT],,0),"")</f>
        <v/>
      </c>
      <c r="F242" s="40"/>
      <c r="G242" s="41" t="str">
        <f>IFERROR(IF(F242&gt;=0,D242*E242*(1+F242/100),ABS(D242*E242/F242)),"")</f>
        <v/>
      </c>
      <c r="H242" s="42" t="str">
        <f>IFERROR(G242*E224,"")</f>
        <v/>
      </c>
    </row>
    <row r="243" spans="1:11" ht="12.75" customHeight="1" thickTop="1" thickBot="1"/>
    <row r="244" spans="1:11" ht="12.75" customHeight="1" thickTop="1" thickBot="1">
      <c r="A244" s="6" t="s">
        <v>1117</v>
      </c>
      <c r="B244" s="7" t="str">
        <f>VLOOKUP($A244,Presupuesto!$A:$D,2,FALSE())</f>
        <v>Abrazadera tipo mecanico red incendio 1 1/4"</v>
      </c>
      <c r="C244" s="8" t="str">
        <f>VLOOKUP($A244,Presupuesto!$A:$D,3,FALSE())</f>
        <v>Un</v>
      </c>
      <c r="D244" s="9"/>
      <c r="E244" s="10">
        <f>VLOOKUP($A244,Presupuesto!$A:$D,4,FALSE())</f>
        <v>0</v>
      </c>
      <c r="F244" s="11" t="s">
        <v>2589</v>
      </c>
      <c r="G244" s="12">
        <f>SUM(G246:G262)/2</f>
        <v>25052.618176462503</v>
      </c>
      <c r="H244" s="13">
        <f>ROUND(SUM(H246:H262),0)/2</f>
        <v>0</v>
      </c>
      <c r="I244" s="10">
        <f>VLOOKUP(A244,Presupuesto!$A:$F,6,0)</f>
        <v>0</v>
      </c>
      <c r="J244" s="10">
        <f>+H244-I244</f>
        <v>0</v>
      </c>
      <c r="K244" s="46">
        <f>+H244-G244*E244</f>
        <v>0</v>
      </c>
    </row>
    <row r="245" spans="1:11" ht="12.75" customHeight="1" thickTop="1">
      <c r="A245" s="14"/>
      <c r="B245" s="15" t="s">
        <v>2586</v>
      </c>
      <c r="C245" s="15" t="s">
        <v>5</v>
      </c>
      <c r="D245" s="16" t="s">
        <v>6</v>
      </c>
      <c r="E245" s="17" t="s">
        <v>7</v>
      </c>
      <c r="F245" s="18" t="s">
        <v>3728</v>
      </c>
      <c r="G245" s="19" t="s">
        <v>3729</v>
      </c>
      <c r="H245" s="20" t="s">
        <v>3797</v>
      </c>
    </row>
    <row r="246" spans="1:11" ht="12.75" customHeight="1">
      <c r="A246" s="21"/>
      <c r="B246" s="22" t="s">
        <v>3730</v>
      </c>
      <c r="C246" s="23"/>
      <c r="D246" s="24"/>
      <c r="E246" s="25"/>
      <c r="F246" s="26"/>
      <c r="G246" s="27">
        <f>SUM(G247:G251)</f>
        <v>6975.15</v>
      </c>
      <c r="H246" s="27">
        <f>IFERROR(G246*E244,"")</f>
        <v>0</v>
      </c>
    </row>
    <row r="247" spans="1:11" ht="12.75" customHeight="1">
      <c r="A247" s="28"/>
      <c r="B247" s="29" t="s">
        <v>3407</v>
      </c>
      <c r="C247" s="30" t="str">
        <f>IFERROR(_xlfn.XLOOKUP(B247,Insumo[DESCRIPCION],Insumo[UND],,0),"")</f>
        <v>Un</v>
      </c>
      <c r="D247" s="31">
        <v>2</v>
      </c>
      <c r="E247" s="32">
        <f>IFERROR(_xlfn.XLOOKUP($B247,Insumo[DESCRIPCION],Insumo[VALOR],,0),"")</f>
        <v>77.7</v>
      </c>
      <c r="F247" s="33"/>
      <c r="G247" s="34">
        <f>IFERROR(IF(F247&gt;=0,D247*E247*(1+F247/100),ABS(D247*E247/F247)),"")</f>
        <v>155.4</v>
      </c>
      <c r="H247" s="43">
        <f>IFERROR(G247*E244,"")</f>
        <v>0</v>
      </c>
    </row>
    <row r="248" spans="1:11" ht="12.75" customHeight="1">
      <c r="A248" s="28"/>
      <c r="B248" s="29" t="s">
        <v>2606</v>
      </c>
      <c r="C248" s="30" t="str">
        <f>IFERROR(_xlfn.XLOOKUP(B248,Insumo[DESCRIPCION],Insumo[UND],,0),"")</f>
        <v>Un</v>
      </c>
      <c r="D248" s="31">
        <v>1</v>
      </c>
      <c r="E248" s="32">
        <f>IFERROR(_xlfn.XLOOKUP($B248,Insumo[DESCRIPCION],Insumo[VALOR],,0),"")</f>
        <v>6819.75</v>
      </c>
      <c r="F248" s="33"/>
      <c r="G248" s="34">
        <f>IFERROR(IF(F248&gt;=0,D248*E248*(1+F248/100),ABS(D248*E248/F248)),"")</f>
        <v>6819.75</v>
      </c>
      <c r="H248" s="43">
        <f>IFERROR(G248*E244,"")</f>
        <v>0</v>
      </c>
    </row>
    <row r="249" spans="1:11" ht="12.75" customHeight="1">
      <c r="A249" s="28"/>
      <c r="B249" s="29"/>
      <c r="C249" s="30" t="str">
        <f>IFERROR(_xlfn.XLOOKUP(B249,Insumo[DESCRIPCION],Insumo[UND],,0),"")</f>
        <v/>
      </c>
      <c r="D249" s="31"/>
      <c r="E249" s="32" t="str">
        <f>IFERROR(_xlfn.XLOOKUP($B249,Insumo[DESCRIPCION],Insumo[VALOR],,0),"")</f>
        <v/>
      </c>
      <c r="F249" s="33"/>
      <c r="G249" s="34" t="str">
        <f>IFERROR(IF(F249&gt;=0,D249*E249*(1+F249/100),ABS(D249*E249/F249)),"")</f>
        <v/>
      </c>
      <c r="H249" s="43" t="str">
        <f>IFERROR(G249*E244,"")</f>
        <v/>
      </c>
    </row>
    <row r="250" spans="1:11" ht="12.75" customHeight="1">
      <c r="A250" s="28"/>
      <c r="B250" s="29"/>
      <c r="C250" s="30" t="str">
        <f>IFERROR(_xlfn.XLOOKUP(B250,Insumo[DESCRIPCION],Insumo[UND],,0),"")</f>
        <v/>
      </c>
      <c r="D250" s="31"/>
      <c r="E250" s="32" t="str">
        <f>IFERROR(_xlfn.XLOOKUP($B250,Insumo[DESCRIPCION],Insumo[VALOR],,0),"")</f>
        <v/>
      </c>
      <c r="F250" s="33"/>
      <c r="G250" s="34" t="str">
        <f>IFERROR(IF(F250&gt;=0,D250*E250*(1+F250/100),ABS(D250*E250/F250)),"")</f>
        <v/>
      </c>
      <c r="H250" s="43" t="str">
        <f>IFERROR(G250*E244,"")</f>
        <v/>
      </c>
    </row>
    <row r="251" spans="1:11" ht="12.75" customHeight="1">
      <c r="A251" s="28"/>
      <c r="B251" s="29"/>
      <c r="C251" s="30" t="str">
        <f>IFERROR(_xlfn.XLOOKUP(B251,Insumo[DESCRIPCION],Insumo[UND],,0),"")</f>
        <v/>
      </c>
      <c r="D251" s="31"/>
      <c r="E251" s="32" t="str">
        <f>IFERROR(_xlfn.XLOOKUP($B251,Insumo[DESCRIPCION],Insumo[VALOR],,0),"")</f>
        <v/>
      </c>
      <c r="F251" s="33"/>
      <c r="G251" s="34" t="str">
        <f>IFERROR(IF(F251&gt;=0,D251*E251*(1+F251/100),ABS(D251*E251/F251)),"")</f>
        <v/>
      </c>
      <c r="H251" s="43" t="str">
        <f>IFERROR(G251*E244,"")</f>
        <v/>
      </c>
    </row>
    <row r="252" spans="1:11" ht="12.75" customHeight="1">
      <c r="A252" s="21"/>
      <c r="B252" s="22" t="s">
        <v>3731</v>
      </c>
      <c r="C252" s="23"/>
      <c r="D252" s="24"/>
      <c r="E252" s="25"/>
      <c r="F252" s="26"/>
      <c r="G252" s="27">
        <f>SUM(G253:G255)</f>
        <v>2357.9306317125006</v>
      </c>
      <c r="H252" s="44">
        <f>G252*E244</f>
        <v>0</v>
      </c>
    </row>
    <row r="253" spans="1:11" ht="12.75" customHeight="1">
      <c r="A253" s="28"/>
      <c r="B253" s="29" t="s">
        <v>3573</v>
      </c>
      <c r="C253" s="30" t="str">
        <f>IFERROR(_xlfn.XLOOKUP(B253,Equipo[DESCRIPCION],Equipo[UND],,0),"")</f>
        <v>%MO</v>
      </c>
      <c r="D253" s="31">
        <v>0.1</v>
      </c>
      <c r="E253" s="32">
        <f>IF(C253="%MO",G259,IFERROR(_xlfn.XLOOKUP($B253,Equipo[DESCRIPCION],Equipo[VALOR],,0),""))</f>
        <v>15719.537544750003</v>
      </c>
      <c r="F253" s="33"/>
      <c r="G253" s="34">
        <f>IFERROR(IF(F253&gt;=0,D253*E253*(1+F253/100),ABS(D253*E253/F253)),"")</f>
        <v>1571.9537544750003</v>
      </c>
      <c r="H253" s="43">
        <f>IFERROR(G253*E244,"")</f>
        <v>0</v>
      </c>
    </row>
    <row r="254" spans="1:11" ht="12.75" customHeight="1">
      <c r="A254" s="28"/>
      <c r="B254" s="29" t="s">
        <v>3626</v>
      </c>
      <c r="C254" s="30" t="str">
        <f>IFERROR(_xlfn.XLOOKUP(B254,Equipo[DESCRIPCION],Equipo[UND],,0),"")</f>
        <v>%MO</v>
      </c>
      <c r="D254" s="31">
        <v>0.05</v>
      </c>
      <c r="E254" s="32">
        <f>IF(C254="%MO",G259,IFERROR(_xlfn.XLOOKUP($B254,Equipo[DESCRIPCION],Equipo[VALOR],,0),""))</f>
        <v>15719.537544750003</v>
      </c>
      <c r="F254" s="33"/>
      <c r="G254" s="34">
        <f>IFERROR(IF(F254&gt;=0,D254*E254*(1+F254/100),ABS(D254*E254/F254)),"")</f>
        <v>785.97687723750016</v>
      </c>
      <c r="H254" s="43">
        <f>IFERROR(G254*E244,"")</f>
        <v>0</v>
      </c>
    </row>
    <row r="255" spans="1:11" ht="12.75" customHeight="1">
      <c r="A255" s="28"/>
      <c r="B255" s="29"/>
      <c r="C255" s="30" t="str">
        <f>IFERROR(_xlfn.XLOOKUP(B255,Equipo[DESCRIPCION],Equipo[UND],,0),"")</f>
        <v/>
      </c>
      <c r="D255" s="31"/>
      <c r="E255" s="32" t="str">
        <f>IF(C255="%MO",G259,IFERROR(_xlfn.XLOOKUP($B255,Equipo[DESCRIPCION],Equipo[VALOR],,0),""))</f>
        <v/>
      </c>
      <c r="F255" s="33"/>
      <c r="G255" s="34" t="str">
        <f>IFERROR(IF(F255&gt;=0,D255*E255*(1+F255/100),ABS(D255*E255/F255)),"")</f>
        <v/>
      </c>
      <c r="H255" s="43" t="str">
        <f>IFERROR(G255*E244,"")</f>
        <v/>
      </c>
    </row>
    <row r="256" spans="1:11" ht="12.75" customHeight="1">
      <c r="A256" s="21"/>
      <c r="B256" s="22" t="s">
        <v>2533</v>
      </c>
      <c r="C256" s="23"/>
      <c r="D256" s="24"/>
      <c r="E256" s="25"/>
      <c r="F256" s="26"/>
      <c r="G256" s="27">
        <f>SUM(G257:G258)</f>
        <v>0</v>
      </c>
      <c r="H256" s="44">
        <f>G256*E244</f>
        <v>0</v>
      </c>
    </row>
    <row r="257" spans="1:11" ht="12.75" customHeight="1">
      <c r="A257" s="28"/>
      <c r="B257" s="29"/>
      <c r="C257" s="30" t="str">
        <f>IFERROR(_xlfn.XLOOKUP(B257,Transporte[DESCRIPCION],Transporte[UND],,0),"")</f>
        <v/>
      </c>
      <c r="D257" s="31"/>
      <c r="E257" s="32" t="str">
        <f>IFERROR(_xlfn.XLOOKUP($B257,Transporte[DESCRIPCION],Transporte[VALOR],,0),"")</f>
        <v/>
      </c>
      <c r="F257" s="33"/>
      <c r="G257" s="34" t="str">
        <f>IFERROR(IF(F257&gt;=0,D257*E257*(1+F257/100),ABS(D257*E257/F257)),"")</f>
        <v/>
      </c>
      <c r="H257" s="43" t="str">
        <f>IFERROR(G257*E244,"")</f>
        <v/>
      </c>
    </row>
    <row r="258" spans="1:11" ht="12.75" customHeight="1">
      <c r="A258" s="28"/>
      <c r="B258" s="29"/>
      <c r="C258" s="30" t="str">
        <f>IFERROR(_xlfn.XLOOKUP(B258,Transporte[DESCRIPCION],Transporte[UND],,0),"")</f>
        <v/>
      </c>
      <c r="D258" s="31"/>
      <c r="E258" s="32" t="str">
        <f>IFERROR(_xlfn.XLOOKUP($B258,Transporte[DESCRIPCION],Transporte[VALOR],,0),"")</f>
        <v/>
      </c>
      <c r="F258" s="33"/>
      <c r="G258" s="34" t="str">
        <f>IFERROR(IF(F258&gt;=0,D258*E258*(1+F258/100),ABS(D258*E258/F258)),"")</f>
        <v/>
      </c>
      <c r="H258" s="43" t="str">
        <f>IFERROR(G258*E244,"")</f>
        <v/>
      </c>
    </row>
    <row r="259" spans="1:11" ht="12.75" customHeight="1">
      <c r="A259" s="21"/>
      <c r="B259" s="22" t="s">
        <v>3732</v>
      </c>
      <c r="C259" s="23"/>
      <c r="D259" s="24"/>
      <c r="E259" s="25"/>
      <c r="F259" s="26"/>
      <c r="G259" s="27">
        <f>SUM(G260:G262)</f>
        <v>15719.537544750003</v>
      </c>
      <c r="H259" s="44">
        <f>G259*E244</f>
        <v>0</v>
      </c>
    </row>
    <row r="260" spans="1:11" ht="12.75" customHeight="1">
      <c r="A260" s="28"/>
      <c r="B260" s="29" t="s">
        <v>3710</v>
      </c>
      <c r="C260" s="30" t="str">
        <f>IFERROR(_xlfn.XLOOKUP(B260,MObra[DESCRIPCION],MObra[UN],,0),"")</f>
        <v>día</v>
      </c>
      <c r="D260" s="31">
        <v>1</v>
      </c>
      <c r="E260" s="32">
        <f>IFERROR(_xlfn.XLOOKUP($B260,MObra[DESCRIPCION],MObra[VALOR UNIT],,0),"")</f>
        <v>314390.75089500006</v>
      </c>
      <c r="F260" s="33">
        <v>-20</v>
      </c>
      <c r="G260" s="34">
        <f>IFERROR(IF(F260&gt;=0,D260*E260*(1+F260/100),ABS(D260*E260/F260)),"")</f>
        <v>15719.537544750003</v>
      </c>
      <c r="H260" s="43">
        <f>IFERROR(G260*E244,"")</f>
        <v>0</v>
      </c>
    </row>
    <row r="261" spans="1:11" ht="12.75" customHeight="1">
      <c r="A261" s="28"/>
      <c r="B261" s="29"/>
      <c r="C261" s="30" t="str">
        <f t="array" ref="C261">IFERROR(_xlfn.XLOOKUP(B261,MObra[[#All],[DESCRIPCION]],MObra[[#All],[UN]],,0),"")</f>
        <v/>
      </c>
      <c r="D261" s="31"/>
      <c r="E261" s="32" t="str">
        <f>IFERROR(_xlfn.XLOOKUP($B261,MObra[DESCRIPCION],MObra[VALOR UNIT],,0),"")</f>
        <v/>
      </c>
      <c r="F261" s="33"/>
      <c r="G261" s="34" t="str">
        <f>IFERROR(IF(F261&gt;=0,D261*E261*(1+F261/100),ABS(D261*E261/F261)),"")</f>
        <v/>
      </c>
      <c r="H261" s="43" t="str">
        <f>IFERROR(G261*E244,"")</f>
        <v/>
      </c>
    </row>
    <row r="262" spans="1:11" ht="12.75" customHeight="1" thickBot="1">
      <c r="A262" s="35"/>
      <c r="B262" s="36"/>
      <c r="C262" s="37" t="str">
        <f t="array" ref="C262">IFERROR(_xlfn.XLOOKUP(B262,MObra[[#All],[DESCRIPCION]],MObra[[#All],[UN]],,0),"")</f>
        <v/>
      </c>
      <c r="D262" s="38"/>
      <c r="E262" s="39" t="str">
        <f>IFERROR(_xlfn.XLOOKUP($B262,MObra[DESCRIPCION],MObra[VALOR UNIT],,0),"")</f>
        <v/>
      </c>
      <c r="F262" s="40"/>
      <c r="G262" s="41" t="str">
        <f>IFERROR(IF(F262&gt;=0,D262*E262*(1+F262/100),ABS(D262*E262/F262)),"")</f>
        <v/>
      </c>
      <c r="H262" s="42" t="str">
        <f>IFERROR(G262*E244,"")</f>
        <v/>
      </c>
    </row>
    <row r="263" spans="1:11" ht="12.75" customHeight="1" thickTop="1" thickBot="1"/>
    <row r="264" spans="1:11" ht="12.75" customHeight="1" thickTop="1" thickBot="1">
      <c r="A264" s="6" t="s">
        <v>1119</v>
      </c>
      <c r="B264" s="7" t="str">
        <f>VLOOKUP($A264,Presupuesto!$A:$D,2,FALSE())</f>
        <v>Abrazadera tipo mecanico red incendio 1"</v>
      </c>
      <c r="C264" s="8" t="str">
        <f>VLOOKUP($A264,Presupuesto!$A:$D,3,FALSE())</f>
        <v>Un</v>
      </c>
      <c r="D264" s="9"/>
      <c r="E264" s="10">
        <f>VLOOKUP($A264,Presupuesto!$A:$D,4,FALSE())</f>
        <v>0</v>
      </c>
      <c r="F264" s="11" t="s">
        <v>2589</v>
      </c>
      <c r="G264" s="12">
        <f>SUM(G266:G282)/2</f>
        <v>23916.518176462505</v>
      </c>
      <c r="H264" s="13">
        <f>ROUND(SUM(H266:H282),0)/2</f>
        <v>0</v>
      </c>
      <c r="I264" s="10">
        <f>VLOOKUP(A264,Presupuesto!$A:$F,6,0)</f>
        <v>0</v>
      </c>
      <c r="J264" s="10">
        <f>+H264-I264</f>
        <v>0</v>
      </c>
      <c r="K264" s="46">
        <f>+H264-G264*E264</f>
        <v>0</v>
      </c>
    </row>
    <row r="265" spans="1:11" ht="12.75" customHeight="1" thickTop="1">
      <c r="A265" s="14"/>
      <c r="B265" s="15" t="s">
        <v>2586</v>
      </c>
      <c r="C265" s="15" t="s">
        <v>5</v>
      </c>
      <c r="D265" s="16" t="s">
        <v>6</v>
      </c>
      <c r="E265" s="17" t="s">
        <v>7</v>
      </c>
      <c r="F265" s="18" t="s">
        <v>3728</v>
      </c>
      <c r="G265" s="19" t="s">
        <v>3729</v>
      </c>
      <c r="H265" s="20" t="s">
        <v>3797</v>
      </c>
    </row>
    <row r="266" spans="1:11" ht="12.75" customHeight="1">
      <c r="A266" s="21"/>
      <c r="B266" s="22" t="s">
        <v>3730</v>
      </c>
      <c r="C266" s="23"/>
      <c r="D266" s="24"/>
      <c r="E266" s="25"/>
      <c r="F266" s="26"/>
      <c r="G266" s="27">
        <f>SUM(G267:G271)</f>
        <v>5839.05</v>
      </c>
      <c r="H266" s="27">
        <f>IFERROR(G266*E264,"")</f>
        <v>0</v>
      </c>
    </row>
    <row r="267" spans="1:11" ht="12.75" customHeight="1">
      <c r="A267" s="28"/>
      <c r="B267" s="29" t="s">
        <v>3407</v>
      </c>
      <c r="C267" s="30" t="str">
        <f>IFERROR(_xlfn.XLOOKUP(B267,Insumo[DESCRIPCION],Insumo[UND],,0),"")</f>
        <v>Un</v>
      </c>
      <c r="D267" s="31">
        <v>2</v>
      </c>
      <c r="E267" s="32">
        <f>IFERROR(_xlfn.XLOOKUP($B267,Insumo[DESCRIPCION],Insumo[VALOR],,0),"")</f>
        <v>77.7</v>
      </c>
      <c r="F267" s="33"/>
      <c r="G267" s="34">
        <f>IFERROR(IF(F267&gt;=0,D267*E267*(1+F267/100),ABS(D267*E267/F267)),"")</f>
        <v>155.4</v>
      </c>
      <c r="H267" s="43">
        <f>IFERROR(G267*E264,"")</f>
        <v>0</v>
      </c>
    </row>
    <row r="268" spans="1:11" ht="12.75" customHeight="1">
      <c r="A268" s="28"/>
      <c r="B268" s="29" t="s">
        <v>2607</v>
      </c>
      <c r="C268" s="30" t="str">
        <f>IFERROR(_xlfn.XLOOKUP(B268,Insumo[DESCRIPCION],Insumo[UND],,0),"")</f>
        <v>Un</v>
      </c>
      <c r="D268" s="31">
        <v>1</v>
      </c>
      <c r="E268" s="32">
        <f>IFERROR(_xlfn.XLOOKUP($B268,Insumo[DESCRIPCION],Insumo[VALOR],,0),"")</f>
        <v>5683.6500000000005</v>
      </c>
      <c r="F268" s="33"/>
      <c r="G268" s="34">
        <f>IFERROR(IF(F268&gt;=0,D268*E268*(1+F268/100),ABS(D268*E268/F268)),"")</f>
        <v>5683.6500000000005</v>
      </c>
      <c r="H268" s="43">
        <f>IFERROR(G268*E264,"")</f>
        <v>0</v>
      </c>
    </row>
    <row r="269" spans="1:11" ht="12.75" customHeight="1">
      <c r="A269" s="28"/>
      <c r="B269" s="29"/>
      <c r="C269" s="30" t="str">
        <f>IFERROR(_xlfn.XLOOKUP(B269,Insumo[DESCRIPCION],Insumo[UND],,0),"")</f>
        <v/>
      </c>
      <c r="D269" s="31"/>
      <c r="E269" s="32" t="str">
        <f>IFERROR(_xlfn.XLOOKUP($B269,Insumo[DESCRIPCION],Insumo[VALOR],,0),"")</f>
        <v/>
      </c>
      <c r="F269" s="33"/>
      <c r="G269" s="34" t="str">
        <f>IFERROR(IF(F269&gt;=0,D269*E269*(1+F269/100),ABS(D269*E269/F269)),"")</f>
        <v/>
      </c>
      <c r="H269" s="43" t="str">
        <f>IFERROR(G269*E264,"")</f>
        <v/>
      </c>
    </row>
    <row r="270" spans="1:11" ht="12.75" customHeight="1">
      <c r="A270" s="28"/>
      <c r="B270" s="29"/>
      <c r="C270" s="30" t="str">
        <f>IFERROR(_xlfn.XLOOKUP(B270,Insumo[DESCRIPCION],Insumo[UND],,0),"")</f>
        <v/>
      </c>
      <c r="D270" s="31"/>
      <c r="E270" s="32" t="str">
        <f>IFERROR(_xlfn.XLOOKUP($B270,Insumo[DESCRIPCION],Insumo[VALOR],,0),"")</f>
        <v/>
      </c>
      <c r="F270" s="33"/>
      <c r="G270" s="34" t="str">
        <f>IFERROR(IF(F270&gt;=0,D270*E270*(1+F270/100),ABS(D270*E270/F270)),"")</f>
        <v/>
      </c>
      <c r="H270" s="43" t="str">
        <f>IFERROR(G270*E264,"")</f>
        <v/>
      </c>
    </row>
    <row r="271" spans="1:11" ht="12.75" customHeight="1">
      <c r="A271" s="28"/>
      <c r="B271" s="29"/>
      <c r="C271" s="30" t="str">
        <f>IFERROR(_xlfn.XLOOKUP(B271,Insumo[DESCRIPCION],Insumo[UND],,0),"")</f>
        <v/>
      </c>
      <c r="D271" s="31"/>
      <c r="E271" s="32" t="str">
        <f>IFERROR(_xlfn.XLOOKUP($B271,Insumo[DESCRIPCION],Insumo[VALOR],,0),"")</f>
        <v/>
      </c>
      <c r="F271" s="33"/>
      <c r="G271" s="34" t="str">
        <f>IFERROR(IF(F271&gt;=0,D271*E271*(1+F271/100),ABS(D271*E271/F271)),"")</f>
        <v/>
      </c>
      <c r="H271" s="43" t="str">
        <f>IFERROR(G271*E264,"")</f>
        <v/>
      </c>
    </row>
    <row r="272" spans="1:11" ht="12.75" customHeight="1">
      <c r="A272" s="21"/>
      <c r="B272" s="22" t="s">
        <v>3731</v>
      </c>
      <c r="C272" s="23"/>
      <c r="D272" s="24"/>
      <c r="E272" s="25"/>
      <c r="F272" s="26"/>
      <c r="G272" s="27">
        <f>SUM(G273:G275)</f>
        <v>2357.9306317125006</v>
      </c>
      <c r="H272" s="44">
        <f>G272*E264</f>
        <v>0</v>
      </c>
    </row>
    <row r="273" spans="1:11" ht="12.75" customHeight="1">
      <c r="A273" s="28"/>
      <c r="B273" s="29" t="s">
        <v>3573</v>
      </c>
      <c r="C273" s="30" t="str">
        <f>IFERROR(_xlfn.XLOOKUP(B273,Equipo[DESCRIPCION],Equipo[UND],,0),"")</f>
        <v>%MO</v>
      </c>
      <c r="D273" s="31">
        <v>0.1</v>
      </c>
      <c r="E273" s="32">
        <f>IF(C273="%MO",G279,IFERROR(_xlfn.XLOOKUP($B273,Equipo[DESCRIPCION],Equipo[VALOR],,0),""))</f>
        <v>15719.537544750003</v>
      </c>
      <c r="F273" s="33"/>
      <c r="G273" s="34">
        <f>IFERROR(IF(F273&gt;=0,D273*E273*(1+F273/100),ABS(D273*E273/F273)),"")</f>
        <v>1571.9537544750003</v>
      </c>
      <c r="H273" s="43">
        <f>IFERROR(G273*E264,"")</f>
        <v>0</v>
      </c>
    </row>
    <row r="274" spans="1:11" ht="12.75" customHeight="1">
      <c r="A274" s="28"/>
      <c r="B274" s="29" t="s">
        <v>3626</v>
      </c>
      <c r="C274" s="30" t="str">
        <f>IFERROR(_xlfn.XLOOKUP(B274,Equipo[DESCRIPCION],Equipo[UND],,0),"")</f>
        <v>%MO</v>
      </c>
      <c r="D274" s="31">
        <v>0.05</v>
      </c>
      <c r="E274" s="32">
        <f>IF(C274="%MO",G279,IFERROR(_xlfn.XLOOKUP($B274,Equipo[DESCRIPCION],Equipo[VALOR],,0),""))</f>
        <v>15719.537544750003</v>
      </c>
      <c r="F274" s="33"/>
      <c r="G274" s="34">
        <f>IFERROR(IF(F274&gt;=0,D274*E274*(1+F274/100),ABS(D274*E274/F274)),"")</f>
        <v>785.97687723750016</v>
      </c>
      <c r="H274" s="43">
        <f>IFERROR(G274*E264,"")</f>
        <v>0</v>
      </c>
    </row>
    <row r="275" spans="1:11" ht="12.75" customHeight="1">
      <c r="A275" s="28"/>
      <c r="B275" s="29"/>
      <c r="C275" s="30" t="str">
        <f>IFERROR(_xlfn.XLOOKUP(B275,Equipo[DESCRIPCION],Equipo[UND],,0),"")</f>
        <v/>
      </c>
      <c r="D275" s="31"/>
      <c r="E275" s="32" t="str">
        <f>IF(C275="%MO",G279,IFERROR(_xlfn.XLOOKUP($B275,Equipo[DESCRIPCION],Equipo[VALOR],,0),""))</f>
        <v/>
      </c>
      <c r="F275" s="33"/>
      <c r="G275" s="34" t="str">
        <f>IFERROR(IF(F275&gt;=0,D275*E275*(1+F275/100),ABS(D275*E275/F275)),"")</f>
        <v/>
      </c>
      <c r="H275" s="43" t="str">
        <f>IFERROR(G275*E264,"")</f>
        <v/>
      </c>
    </row>
    <row r="276" spans="1:11" ht="12.75" customHeight="1">
      <c r="A276" s="21"/>
      <c r="B276" s="22" t="s">
        <v>2533</v>
      </c>
      <c r="C276" s="23"/>
      <c r="D276" s="24"/>
      <c r="E276" s="25"/>
      <c r="F276" s="26"/>
      <c r="G276" s="27">
        <f>SUM(G277:G278)</f>
        <v>0</v>
      </c>
      <c r="H276" s="44">
        <f>G276*E264</f>
        <v>0</v>
      </c>
    </row>
    <row r="277" spans="1:11" ht="12.75" customHeight="1">
      <c r="A277" s="28"/>
      <c r="B277" s="29"/>
      <c r="C277" s="30" t="str">
        <f>IFERROR(_xlfn.XLOOKUP(B277,Transporte[DESCRIPCION],Transporte[UND],,0),"")</f>
        <v/>
      </c>
      <c r="D277" s="31"/>
      <c r="E277" s="32" t="str">
        <f>IFERROR(_xlfn.XLOOKUP($B277,Transporte[DESCRIPCION],Transporte[VALOR],,0),"")</f>
        <v/>
      </c>
      <c r="F277" s="33"/>
      <c r="G277" s="34" t="str">
        <f>IFERROR(IF(F277&gt;=0,D277*E277*(1+F277/100),ABS(D277*E277/F277)),"")</f>
        <v/>
      </c>
      <c r="H277" s="43" t="str">
        <f>IFERROR(G277*E264,"")</f>
        <v/>
      </c>
    </row>
    <row r="278" spans="1:11" ht="12.75" customHeight="1">
      <c r="A278" s="28"/>
      <c r="B278" s="29"/>
      <c r="C278" s="30" t="str">
        <f>IFERROR(_xlfn.XLOOKUP(B278,Transporte[DESCRIPCION],Transporte[UND],,0),"")</f>
        <v/>
      </c>
      <c r="D278" s="31"/>
      <c r="E278" s="32" t="str">
        <f>IFERROR(_xlfn.XLOOKUP($B278,Transporte[DESCRIPCION],Transporte[VALOR],,0),"")</f>
        <v/>
      </c>
      <c r="F278" s="33"/>
      <c r="G278" s="34" t="str">
        <f>IFERROR(IF(F278&gt;=0,D278*E278*(1+F278/100),ABS(D278*E278/F278)),"")</f>
        <v/>
      </c>
      <c r="H278" s="43" t="str">
        <f>IFERROR(G278*E264,"")</f>
        <v/>
      </c>
    </row>
    <row r="279" spans="1:11" ht="12.75" customHeight="1">
      <c r="A279" s="21"/>
      <c r="B279" s="22" t="s">
        <v>3732</v>
      </c>
      <c r="C279" s="23"/>
      <c r="D279" s="24"/>
      <c r="E279" s="25"/>
      <c r="F279" s="26"/>
      <c r="G279" s="27">
        <f>SUM(G280:G282)</f>
        <v>15719.537544750003</v>
      </c>
      <c r="H279" s="44">
        <f>G279*E264</f>
        <v>0</v>
      </c>
    </row>
    <row r="280" spans="1:11" ht="12.75" customHeight="1">
      <c r="A280" s="28"/>
      <c r="B280" s="29" t="s">
        <v>3710</v>
      </c>
      <c r="C280" s="30" t="str">
        <f>IFERROR(_xlfn.XLOOKUP(B280,MObra[DESCRIPCION],MObra[UN],,0),"")</f>
        <v>día</v>
      </c>
      <c r="D280" s="31">
        <v>1</v>
      </c>
      <c r="E280" s="32">
        <f>IFERROR(_xlfn.XLOOKUP($B280,MObra[DESCRIPCION],MObra[VALOR UNIT],,0),"")</f>
        <v>314390.75089500006</v>
      </c>
      <c r="F280" s="33">
        <v>-20</v>
      </c>
      <c r="G280" s="34">
        <f>IFERROR(IF(F280&gt;=0,D280*E280*(1+F280/100),ABS(D280*E280/F280)),"")</f>
        <v>15719.537544750003</v>
      </c>
      <c r="H280" s="43">
        <f>IFERROR(G280*E264,"")</f>
        <v>0</v>
      </c>
    </row>
    <row r="281" spans="1:11" ht="12.75" customHeight="1">
      <c r="A281" s="28"/>
      <c r="B281" s="29"/>
      <c r="C281" s="30" t="str">
        <f t="array" ref="C281">IFERROR(_xlfn.XLOOKUP(B281,MObra[[#All],[DESCRIPCION]],MObra[[#All],[UN]],,0),"")</f>
        <v/>
      </c>
      <c r="D281" s="31"/>
      <c r="E281" s="32" t="str">
        <f>IFERROR(_xlfn.XLOOKUP($B281,MObra[DESCRIPCION],MObra[VALOR UNIT],,0),"")</f>
        <v/>
      </c>
      <c r="F281" s="33"/>
      <c r="G281" s="34" t="str">
        <f>IFERROR(IF(F281&gt;=0,D281*E281*(1+F281/100),ABS(D281*E281/F281)),"")</f>
        <v/>
      </c>
      <c r="H281" s="43" t="str">
        <f>IFERROR(G281*E264,"")</f>
        <v/>
      </c>
    </row>
    <row r="282" spans="1:11" ht="12.75" customHeight="1" thickBot="1">
      <c r="A282" s="35"/>
      <c r="B282" s="36"/>
      <c r="C282" s="37" t="str">
        <f t="array" ref="C282">IFERROR(_xlfn.XLOOKUP(B282,MObra[[#All],[DESCRIPCION]],MObra[[#All],[UN]],,0),"")</f>
        <v/>
      </c>
      <c r="D282" s="38"/>
      <c r="E282" s="39" t="str">
        <f>IFERROR(_xlfn.XLOOKUP($B282,MObra[DESCRIPCION],MObra[VALOR UNIT],,0),"")</f>
        <v/>
      </c>
      <c r="F282" s="40"/>
      <c r="G282" s="41" t="str">
        <f>IFERROR(IF(F282&gt;=0,D282*E282*(1+F282/100),ABS(D282*E282/F282)),"")</f>
        <v/>
      </c>
      <c r="H282" s="42" t="str">
        <f>IFERROR(G282*E264,"")</f>
        <v/>
      </c>
    </row>
    <row r="283" spans="1:11" ht="12.75" customHeight="1" thickTop="1" thickBot="1"/>
    <row r="284" spans="1:11" ht="12.75" customHeight="1" thickTop="1" thickBot="1">
      <c r="A284" s="6" t="s">
        <v>1121</v>
      </c>
      <c r="B284" s="7" t="str">
        <f>VLOOKUP($A284,Presupuesto!$A:$D,2,FALSE())</f>
        <v>Abrazadera tipo mecanico red incendio 2 1/2"</v>
      </c>
      <c r="C284" s="8" t="str">
        <f>VLOOKUP($A284,Presupuesto!$A:$D,3,FALSE())</f>
        <v>Un</v>
      </c>
      <c r="D284" s="9"/>
      <c r="E284" s="10">
        <f>VLOOKUP($A284,Presupuesto!$A:$D,4,FALSE())</f>
        <v>0</v>
      </c>
      <c r="F284" s="11" t="s">
        <v>2589</v>
      </c>
      <c r="G284" s="12">
        <f>SUM(G286:G302)/2</f>
        <v>34145.6181764625</v>
      </c>
      <c r="H284" s="13">
        <f>ROUND(SUM(H286:H302),0)/2</f>
        <v>0</v>
      </c>
      <c r="I284" s="10">
        <f>VLOOKUP(A284,Presupuesto!$A:$F,6,0)</f>
        <v>0</v>
      </c>
      <c r="J284" s="10">
        <f>+H284-I284</f>
        <v>0</v>
      </c>
      <c r="K284" s="46">
        <f>+H284-G284*E284</f>
        <v>0</v>
      </c>
    </row>
    <row r="285" spans="1:11" ht="12.75" customHeight="1" thickTop="1">
      <c r="A285" s="14"/>
      <c r="B285" s="15" t="s">
        <v>2586</v>
      </c>
      <c r="C285" s="15" t="s">
        <v>5</v>
      </c>
      <c r="D285" s="16" t="s">
        <v>6</v>
      </c>
      <c r="E285" s="17" t="s">
        <v>7</v>
      </c>
      <c r="F285" s="18" t="s">
        <v>3728</v>
      </c>
      <c r="G285" s="19" t="s">
        <v>3729</v>
      </c>
      <c r="H285" s="20" t="s">
        <v>3797</v>
      </c>
    </row>
    <row r="286" spans="1:11" ht="12.75" customHeight="1">
      <c r="A286" s="21"/>
      <c r="B286" s="22" t="s">
        <v>3730</v>
      </c>
      <c r="C286" s="23"/>
      <c r="D286" s="24"/>
      <c r="E286" s="25"/>
      <c r="F286" s="26"/>
      <c r="G286" s="27">
        <f>SUM(G287:G291)</f>
        <v>16068.15</v>
      </c>
      <c r="H286" s="27">
        <f>IFERROR(G286*E284,"")</f>
        <v>0</v>
      </c>
    </row>
    <row r="287" spans="1:11" ht="12.75" customHeight="1">
      <c r="A287" s="28"/>
      <c r="B287" s="29" t="s">
        <v>3407</v>
      </c>
      <c r="C287" s="30" t="str">
        <f>IFERROR(_xlfn.XLOOKUP(B287,Insumo[DESCRIPCION],Insumo[UND],,0),"")</f>
        <v>Un</v>
      </c>
      <c r="D287" s="31">
        <v>2</v>
      </c>
      <c r="E287" s="32">
        <f>IFERROR(_xlfn.XLOOKUP($B287,Insumo[DESCRIPCION],Insumo[VALOR],,0),"")</f>
        <v>77.7</v>
      </c>
      <c r="F287" s="33"/>
      <c r="G287" s="34">
        <f>IFERROR(IF(F287&gt;=0,D287*E287*(1+F287/100),ABS(D287*E287/F287)),"")</f>
        <v>155.4</v>
      </c>
      <c r="H287" s="43">
        <f>IFERROR(G287*E284,"")</f>
        <v>0</v>
      </c>
    </row>
    <row r="288" spans="1:11" ht="12.75" customHeight="1">
      <c r="A288" s="28"/>
      <c r="B288" s="29" t="s">
        <v>2608</v>
      </c>
      <c r="C288" s="30" t="str">
        <f>IFERROR(_xlfn.XLOOKUP(B288,Insumo[DESCRIPCION],Insumo[UND],,0),"")</f>
        <v>Un</v>
      </c>
      <c r="D288" s="31">
        <v>1</v>
      </c>
      <c r="E288" s="32">
        <f>IFERROR(_xlfn.XLOOKUP($B288,Insumo[DESCRIPCION],Insumo[VALOR],,0),"")</f>
        <v>15912.75</v>
      </c>
      <c r="F288" s="33"/>
      <c r="G288" s="34">
        <f>IFERROR(IF(F288&gt;=0,D288*E288*(1+F288/100),ABS(D288*E288/F288)),"")</f>
        <v>15912.75</v>
      </c>
      <c r="H288" s="43">
        <f>IFERROR(G288*E284,"")</f>
        <v>0</v>
      </c>
    </row>
    <row r="289" spans="1:11" ht="12.75" customHeight="1">
      <c r="A289" s="28"/>
      <c r="B289" s="29"/>
      <c r="C289" s="30" t="str">
        <f>IFERROR(_xlfn.XLOOKUP(B289,Insumo[DESCRIPCION],Insumo[UND],,0),"")</f>
        <v/>
      </c>
      <c r="D289" s="31"/>
      <c r="E289" s="32" t="str">
        <f>IFERROR(_xlfn.XLOOKUP($B289,Insumo[DESCRIPCION],Insumo[VALOR],,0),"")</f>
        <v/>
      </c>
      <c r="F289" s="33"/>
      <c r="G289" s="34" t="str">
        <f>IFERROR(IF(F289&gt;=0,D289*E289*(1+F289/100),ABS(D289*E289/F289)),"")</f>
        <v/>
      </c>
      <c r="H289" s="43" t="str">
        <f>IFERROR(G289*E284,"")</f>
        <v/>
      </c>
    </row>
    <row r="290" spans="1:11" ht="12.75" customHeight="1">
      <c r="A290" s="28"/>
      <c r="B290" s="29"/>
      <c r="C290" s="30" t="str">
        <f>IFERROR(_xlfn.XLOOKUP(B290,Insumo[DESCRIPCION],Insumo[UND],,0),"")</f>
        <v/>
      </c>
      <c r="D290" s="31"/>
      <c r="E290" s="32" t="str">
        <f>IFERROR(_xlfn.XLOOKUP($B290,Insumo[DESCRIPCION],Insumo[VALOR],,0),"")</f>
        <v/>
      </c>
      <c r="F290" s="33"/>
      <c r="G290" s="34" t="str">
        <f>IFERROR(IF(F290&gt;=0,D290*E290*(1+F290/100),ABS(D290*E290/F290)),"")</f>
        <v/>
      </c>
      <c r="H290" s="43" t="str">
        <f>IFERROR(G290*E284,"")</f>
        <v/>
      </c>
    </row>
    <row r="291" spans="1:11" ht="12.75" customHeight="1">
      <c r="A291" s="28"/>
      <c r="B291" s="29"/>
      <c r="C291" s="30" t="str">
        <f>IFERROR(_xlfn.XLOOKUP(B291,Insumo[DESCRIPCION],Insumo[UND],,0),"")</f>
        <v/>
      </c>
      <c r="D291" s="31"/>
      <c r="E291" s="32" t="str">
        <f>IFERROR(_xlfn.XLOOKUP($B291,Insumo[DESCRIPCION],Insumo[VALOR],,0),"")</f>
        <v/>
      </c>
      <c r="F291" s="33"/>
      <c r="G291" s="34" t="str">
        <f>IFERROR(IF(F291&gt;=0,D291*E291*(1+F291/100),ABS(D291*E291/F291)),"")</f>
        <v/>
      </c>
      <c r="H291" s="43" t="str">
        <f>IFERROR(G291*E284,"")</f>
        <v/>
      </c>
    </row>
    <row r="292" spans="1:11" ht="12.75" customHeight="1">
      <c r="A292" s="21"/>
      <c r="B292" s="22" t="s">
        <v>3731</v>
      </c>
      <c r="C292" s="23"/>
      <c r="D292" s="24"/>
      <c r="E292" s="25"/>
      <c r="F292" s="26"/>
      <c r="G292" s="27">
        <f>SUM(G293:G295)</f>
        <v>2357.9306317125006</v>
      </c>
      <c r="H292" s="44">
        <f>G292*E284</f>
        <v>0</v>
      </c>
    </row>
    <row r="293" spans="1:11" ht="12.75" customHeight="1">
      <c r="A293" s="28"/>
      <c r="B293" s="29" t="s">
        <v>3573</v>
      </c>
      <c r="C293" s="30" t="str">
        <f>IFERROR(_xlfn.XLOOKUP(B293,Equipo[DESCRIPCION],Equipo[UND],,0),"")</f>
        <v>%MO</v>
      </c>
      <c r="D293" s="31">
        <v>0.1</v>
      </c>
      <c r="E293" s="32">
        <f>IF(C293="%MO",G299,IFERROR(_xlfn.XLOOKUP($B293,Equipo[DESCRIPCION],Equipo[VALOR],,0),""))</f>
        <v>15719.537544750003</v>
      </c>
      <c r="F293" s="33"/>
      <c r="G293" s="34">
        <f>IFERROR(IF(F293&gt;=0,D293*E293*(1+F293/100),ABS(D293*E293/F293)),"")</f>
        <v>1571.9537544750003</v>
      </c>
      <c r="H293" s="43">
        <f>IFERROR(G293*E284,"")</f>
        <v>0</v>
      </c>
    </row>
    <row r="294" spans="1:11" ht="12.75" customHeight="1">
      <c r="A294" s="28"/>
      <c r="B294" s="29" t="s">
        <v>3626</v>
      </c>
      <c r="C294" s="30" t="str">
        <f>IFERROR(_xlfn.XLOOKUP(B294,Equipo[DESCRIPCION],Equipo[UND],,0),"")</f>
        <v>%MO</v>
      </c>
      <c r="D294" s="31">
        <v>0.05</v>
      </c>
      <c r="E294" s="32">
        <f>IF(C294="%MO",G299,IFERROR(_xlfn.XLOOKUP($B294,Equipo[DESCRIPCION],Equipo[VALOR],,0),""))</f>
        <v>15719.537544750003</v>
      </c>
      <c r="F294" s="33"/>
      <c r="G294" s="34">
        <f>IFERROR(IF(F294&gt;=0,D294*E294*(1+F294/100),ABS(D294*E294/F294)),"")</f>
        <v>785.97687723750016</v>
      </c>
      <c r="H294" s="43">
        <f>IFERROR(G294*E284,"")</f>
        <v>0</v>
      </c>
    </row>
    <row r="295" spans="1:11" ht="12.75" customHeight="1">
      <c r="A295" s="28"/>
      <c r="B295" s="29"/>
      <c r="C295" s="30" t="str">
        <f>IFERROR(_xlfn.XLOOKUP(B295,Equipo[DESCRIPCION],Equipo[UND],,0),"")</f>
        <v/>
      </c>
      <c r="D295" s="31"/>
      <c r="E295" s="32" t="str">
        <f>IF(C295="%MO",G299,IFERROR(_xlfn.XLOOKUP($B295,Equipo[DESCRIPCION],Equipo[VALOR],,0),""))</f>
        <v/>
      </c>
      <c r="F295" s="33"/>
      <c r="G295" s="34" t="str">
        <f>IFERROR(IF(F295&gt;=0,D295*E295*(1+F295/100),ABS(D295*E295/F295)),"")</f>
        <v/>
      </c>
      <c r="H295" s="43" t="str">
        <f>IFERROR(G295*E284,"")</f>
        <v/>
      </c>
    </row>
    <row r="296" spans="1:11" ht="12.75" customHeight="1">
      <c r="A296" s="21"/>
      <c r="B296" s="22" t="s">
        <v>2533</v>
      </c>
      <c r="C296" s="23"/>
      <c r="D296" s="24"/>
      <c r="E296" s="25"/>
      <c r="F296" s="26"/>
      <c r="G296" s="27">
        <f>SUM(G297:G298)</f>
        <v>0</v>
      </c>
      <c r="H296" s="44">
        <f>G296*E284</f>
        <v>0</v>
      </c>
    </row>
    <row r="297" spans="1:11" ht="12.75" customHeight="1">
      <c r="A297" s="28"/>
      <c r="B297" s="29"/>
      <c r="C297" s="30" t="str">
        <f>IFERROR(_xlfn.XLOOKUP(B297,Transporte[DESCRIPCION],Transporte[UND],,0),"")</f>
        <v/>
      </c>
      <c r="D297" s="31"/>
      <c r="E297" s="32" t="str">
        <f>IFERROR(_xlfn.XLOOKUP($B297,Transporte[DESCRIPCION],Transporte[VALOR],,0),"")</f>
        <v/>
      </c>
      <c r="F297" s="33"/>
      <c r="G297" s="34" t="str">
        <f>IFERROR(IF(F297&gt;=0,D297*E297*(1+F297/100),ABS(D297*E297/F297)),"")</f>
        <v/>
      </c>
      <c r="H297" s="43" t="str">
        <f>IFERROR(G297*E284,"")</f>
        <v/>
      </c>
    </row>
    <row r="298" spans="1:11" ht="12.75" customHeight="1">
      <c r="A298" s="28"/>
      <c r="B298" s="29"/>
      <c r="C298" s="30" t="str">
        <f>IFERROR(_xlfn.XLOOKUP(B298,Transporte[DESCRIPCION],Transporte[UND],,0),"")</f>
        <v/>
      </c>
      <c r="D298" s="31"/>
      <c r="E298" s="32" t="str">
        <f>IFERROR(_xlfn.XLOOKUP($B298,Transporte[DESCRIPCION],Transporte[VALOR],,0),"")</f>
        <v/>
      </c>
      <c r="F298" s="33"/>
      <c r="G298" s="34" t="str">
        <f>IFERROR(IF(F298&gt;=0,D298*E298*(1+F298/100),ABS(D298*E298/F298)),"")</f>
        <v/>
      </c>
      <c r="H298" s="43" t="str">
        <f>IFERROR(G298*E284,"")</f>
        <v/>
      </c>
    </row>
    <row r="299" spans="1:11" ht="12.75" customHeight="1">
      <c r="A299" s="21"/>
      <c r="B299" s="22" t="s">
        <v>3732</v>
      </c>
      <c r="C299" s="23"/>
      <c r="D299" s="24"/>
      <c r="E299" s="25"/>
      <c r="F299" s="26"/>
      <c r="G299" s="27">
        <f>SUM(G300:G302)</f>
        <v>15719.537544750003</v>
      </c>
      <c r="H299" s="44">
        <f>G299*E284</f>
        <v>0</v>
      </c>
    </row>
    <row r="300" spans="1:11" ht="12.75" customHeight="1">
      <c r="A300" s="28"/>
      <c r="B300" s="29" t="s">
        <v>3710</v>
      </c>
      <c r="C300" s="30" t="str">
        <f>IFERROR(_xlfn.XLOOKUP(B300,MObra[DESCRIPCION],MObra[UN],,0),"")</f>
        <v>día</v>
      </c>
      <c r="D300" s="31">
        <v>1</v>
      </c>
      <c r="E300" s="32">
        <f>IFERROR(_xlfn.XLOOKUP($B300,MObra[DESCRIPCION],MObra[VALOR UNIT],,0),"")</f>
        <v>314390.75089500006</v>
      </c>
      <c r="F300" s="33">
        <v>-20</v>
      </c>
      <c r="G300" s="34">
        <f>IFERROR(IF(F300&gt;=0,D300*E300*(1+F300/100),ABS(D300*E300/F300)),"")</f>
        <v>15719.537544750003</v>
      </c>
      <c r="H300" s="43">
        <f>IFERROR(G300*E284,"")</f>
        <v>0</v>
      </c>
    </row>
    <row r="301" spans="1:11" ht="12.75" customHeight="1">
      <c r="A301" s="28"/>
      <c r="B301" s="29"/>
      <c r="C301" s="30" t="str">
        <f t="array" ref="C301">IFERROR(_xlfn.XLOOKUP(B301,MObra[[#All],[DESCRIPCION]],MObra[[#All],[UN]],,0),"")</f>
        <v/>
      </c>
      <c r="D301" s="31"/>
      <c r="E301" s="32" t="str">
        <f>IFERROR(_xlfn.XLOOKUP($B301,MObra[DESCRIPCION],MObra[VALOR UNIT],,0),"")</f>
        <v/>
      </c>
      <c r="F301" s="33"/>
      <c r="G301" s="34" t="str">
        <f>IFERROR(IF(F301&gt;=0,D301*E301*(1+F301/100),ABS(D301*E301/F301)),"")</f>
        <v/>
      </c>
      <c r="H301" s="43" t="str">
        <f>IFERROR(G301*E284,"")</f>
        <v/>
      </c>
    </row>
    <row r="302" spans="1:11" ht="12.75" customHeight="1" thickBot="1">
      <c r="A302" s="35"/>
      <c r="B302" s="36"/>
      <c r="C302" s="37" t="str">
        <f t="array" ref="C302">IFERROR(_xlfn.XLOOKUP(B302,MObra[[#All],[DESCRIPCION]],MObra[[#All],[UN]],,0),"")</f>
        <v/>
      </c>
      <c r="D302" s="38"/>
      <c r="E302" s="39" t="str">
        <f>IFERROR(_xlfn.XLOOKUP($B302,MObra[DESCRIPCION],MObra[VALOR UNIT],,0),"")</f>
        <v/>
      </c>
      <c r="F302" s="40"/>
      <c r="G302" s="41" t="str">
        <f>IFERROR(IF(F302&gt;=0,D302*E302*(1+F302/100),ABS(D302*E302/F302)),"")</f>
        <v/>
      </c>
      <c r="H302" s="42" t="str">
        <f>IFERROR(G302*E284,"")</f>
        <v/>
      </c>
    </row>
    <row r="303" spans="1:11" ht="12.75" customHeight="1" thickTop="1" thickBot="1"/>
    <row r="304" spans="1:11" ht="12.75" customHeight="1" thickTop="1" thickBot="1">
      <c r="A304" s="6" t="s">
        <v>1123</v>
      </c>
      <c r="B304" s="7" t="str">
        <f>VLOOKUP($A304,Presupuesto!$A:$D,2,FALSE())</f>
        <v>Abrazadera tipo mecanico red incendio 2"</v>
      </c>
      <c r="C304" s="8" t="str">
        <f>VLOOKUP($A304,Presupuesto!$A:$D,3,FALSE())</f>
        <v>Un</v>
      </c>
      <c r="D304" s="9"/>
      <c r="E304" s="10">
        <f>VLOOKUP($A304,Presupuesto!$A:$D,4,FALSE())</f>
        <v>0</v>
      </c>
      <c r="F304" s="11" t="s">
        <v>2589</v>
      </c>
      <c r="G304" s="12">
        <f>SUM(G306:G322)/2</f>
        <v>30736.268176462505</v>
      </c>
      <c r="H304" s="13">
        <f>ROUND(SUM(H306:H322),0)/2</f>
        <v>0</v>
      </c>
      <c r="I304" s="10">
        <f>VLOOKUP(A304,Presupuesto!$A:$F,6,0)</f>
        <v>0</v>
      </c>
      <c r="J304" s="10">
        <f>+H304-I304</f>
        <v>0</v>
      </c>
      <c r="K304" s="46">
        <f>+H304-G304*E304</f>
        <v>0</v>
      </c>
    </row>
    <row r="305" spans="1:8" ht="12.75" customHeight="1" thickTop="1">
      <c r="A305" s="14"/>
      <c r="B305" s="15" t="s">
        <v>2586</v>
      </c>
      <c r="C305" s="15" t="s">
        <v>5</v>
      </c>
      <c r="D305" s="16" t="s">
        <v>6</v>
      </c>
      <c r="E305" s="17" t="s">
        <v>7</v>
      </c>
      <c r="F305" s="18" t="s">
        <v>3728</v>
      </c>
      <c r="G305" s="19" t="s">
        <v>3729</v>
      </c>
      <c r="H305" s="20" t="s">
        <v>3797</v>
      </c>
    </row>
    <row r="306" spans="1:8" ht="12.75" customHeight="1">
      <c r="A306" s="21"/>
      <c r="B306" s="22" t="s">
        <v>3730</v>
      </c>
      <c r="C306" s="23"/>
      <c r="D306" s="24"/>
      <c r="E306" s="25"/>
      <c r="F306" s="26"/>
      <c r="G306" s="27">
        <f>SUM(G307:G311)</f>
        <v>12658.8</v>
      </c>
      <c r="H306" s="27">
        <f>IFERROR(G306*E304,"")</f>
        <v>0</v>
      </c>
    </row>
    <row r="307" spans="1:8" ht="12.75" customHeight="1">
      <c r="A307" s="28"/>
      <c r="B307" s="29" t="s">
        <v>3407</v>
      </c>
      <c r="C307" s="30" t="str">
        <f>IFERROR(_xlfn.XLOOKUP(B307,Insumo[DESCRIPCION],Insumo[UND],,0),"")</f>
        <v>Un</v>
      </c>
      <c r="D307" s="31">
        <v>2</v>
      </c>
      <c r="E307" s="32">
        <f>IFERROR(_xlfn.XLOOKUP($B307,Insumo[DESCRIPCION],Insumo[VALOR],,0),"")</f>
        <v>77.7</v>
      </c>
      <c r="F307" s="33"/>
      <c r="G307" s="34">
        <f>IFERROR(IF(F307&gt;=0,D307*E307*(1+F307/100),ABS(D307*E307/F307)),"")</f>
        <v>155.4</v>
      </c>
      <c r="H307" s="43">
        <f>IFERROR(G307*E304,"")</f>
        <v>0</v>
      </c>
    </row>
    <row r="308" spans="1:8" ht="12.75" customHeight="1">
      <c r="A308" s="28"/>
      <c r="B308" s="29" t="s">
        <v>2609</v>
      </c>
      <c r="C308" s="30" t="str">
        <f>IFERROR(_xlfn.XLOOKUP(B308,Insumo[DESCRIPCION],Insumo[UND],,0),"")</f>
        <v>Un</v>
      </c>
      <c r="D308" s="31">
        <v>1</v>
      </c>
      <c r="E308" s="32">
        <f>IFERROR(_xlfn.XLOOKUP($B308,Insumo[DESCRIPCION],Insumo[VALOR],,0),"")</f>
        <v>12503.4</v>
      </c>
      <c r="F308" s="33"/>
      <c r="G308" s="34">
        <f>IFERROR(IF(F308&gt;=0,D308*E308*(1+F308/100),ABS(D308*E308/F308)),"")</f>
        <v>12503.4</v>
      </c>
      <c r="H308" s="43">
        <f>IFERROR(G308*E304,"")</f>
        <v>0</v>
      </c>
    </row>
    <row r="309" spans="1:8" ht="12.75" customHeight="1">
      <c r="A309" s="28"/>
      <c r="B309" s="29"/>
      <c r="C309" s="30" t="str">
        <f>IFERROR(_xlfn.XLOOKUP(B309,Insumo[DESCRIPCION],Insumo[UND],,0),"")</f>
        <v/>
      </c>
      <c r="D309" s="31"/>
      <c r="E309" s="32" t="str">
        <f>IFERROR(_xlfn.XLOOKUP($B309,Insumo[DESCRIPCION],Insumo[VALOR],,0),"")</f>
        <v/>
      </c>
      <c r="F309" s="33"/>
      <c r="G309" s="34" t="str">
        <f>IFERROR(IF(F309&gt;=0,D309*E309*(1+F309/100),ABS(D309*E309/F309)),"")</f>
        <v/>
      </c>
      <c r="H309" s="43" t="str">
        <f>IFERROR(G309*E304,"")</f>
        <v/>
      </c>
    </row>
    <row r="310" spans="1:8" ht="12.75" customHeight="1">
      <c r="A310" s="28"/>
      <c r="B310" s="29"/>
      <c r="C310" s="30" t="str">
        <f>IFERROR(_xlfn.XLOOKUP(B310,Insumo[DESCRIPCION],Insumo[UND],,0),"")</f>
        <v/>
      </c>
      <c r="D310" s="31"/>
      <c r="E310" s="32" t="str">
        <f>IFERROR(_xlfn.XLOOKUP($B310,Insumo[DESCRIPCION],Insumo[VALOR],,0),"")</f>
        <v/>
      </c>
      <c r="F310" s="33"/>
      <c r="G310" s="34" t="str">
        <f>IFERROR(IF(F310&gt;=0,D310*E310*(1+F310/100),ABS(D310*E310/F310)),"")</f>
        <v/>
      </c>
      <c r="H310" s="43" t="str">
        <f>IFERROR(G310*E304,"")</f>
        <v/>
      </c>
    </row>
    <row r="311" spans="1:8" ht="12.75" customHeight="1">
      <c r="A311" s="28"/>
      <c r="B311" s="29"/>
      <c r="C311" s="30" t="str">
        <f>IFERROR(_xlfn.XLOOKUP(B311,Insumo[DESCRIPCION],Insumo[UND],,0),"")</f>
        <v/>
      </c>
      <c r="D311" s="31"/>
      <c r="E311" s="32" t="str">
        <f>IFERROR(_xlfn.XLOOKUP($B311,Insumo[DESCRIPCION],Insumo[VALOR],,0),"")</f>
        <v/>
      </c>
      <c r="F311" s="33"/>
      <c r="G311" s="34" t="str">
        <f>IFERROR(IF(F311&gt;=0,D311*E311*(1+F311/100),ABS(D311*E311/F311)),"")</f>
        <v/>
      </c>
      <c r="H311" s="43" t="str">
        <f>IFERROR(G311*E304,"")</f>
        <v/>
      </c>
    </row>
    <row r="312" spans="1:8" ht="12.75" customHeight="1">
      <c r="A312" s="21"/>
      <c r="B312" s="22" t="s">
        <v>3731</v>
      </c>
      <c r="C312" s="23"/>
      <c r="D312" s="24"/>
      <c r="E312" s="25"/>
      <c r="F312" s="26"/>
      <c r="G312" s="27">
        <f>SUM(G313:G315)</f>
        <v>2357.9306317125006</v>
      </c>
      <c r="H312" s="44">
        <f>G312*E304</f>
        <v>0</v>
      </c>
    </row>
    <row r="313" spans="1:8" ht="12.75" customHeight="1">
      <c r="A313" s="28"/>
      <c r="B313" s="29" t="s">
        <v>3573</v>
      </c>
      <c r="C313" s="30" t="str">
        <f>IFERROR(_xlfn.XLOOKUP(B313,Equipo[DESCRIPCION],Equipo[UND],,0),"")</f>
        <v>%MO</v>
      </c>
      <c r="D313" s="31">
        <v>0.1</v>
      </c>
      <c r="E313" s="32">
        <f>IF(C313="%MO",G319,IFERROR(_xlfn.XLOOKUP($B313,Equipo[DESCRIPCION],Equipo[VALOR],,0),""))</f>
        <v>15719.537544750003</v>
      </c>
      <c r="F313" s="33"/>
      <c r="G313" s="34">
        <f>IFERROR(IF(F313&gt;=0,D313*E313*(1+F313/100),ABS(D313*E313/F313)),"")</f>
        <v>1571.9537544750003</v>
      </c>
      <c r="H313" s="43">
        <f>IFERROR(G313*E304,"")</f>
        <v>0</v>
      </c>
    </row>
    <row r="314" spans="1:8" ht="12.75" customHeight="1">
      <c r="A314" s="28"/>
      <c r="B314" s="29" t="s">
        <v>3626</v>
      </c>
      <c r="C314" s="30" t="str">
        <f>IFERROR(_xlfn.XLOOKUP(B314,Equipo[DESCRIPCION],Equipo[UND],,0),"")</f>
        <v>%MO</v>
      </c>
      <c r="D314" s="31">
        <v>0.05</v>
      </c>
      <c r="E314" s="32">
        <f>IF(C314="%MO",G319,IFERROR(_xlfn.XLOOKUP($B314,Equipo[DESCRIPCION],Equipo[VALOR],,0),""))</f>
        <v>15719.537544750003</v>
      </c>
      <c r="F314" s="33"/>
      <c r="G314" s="34">
        <f>IFERROR(IF(F314&gt;=0,D314*E314*(1+F314/100),ABS(D314*E314/F314)),"")</f>
        <v>785.97687723750016</v>
      </c>
      <c r="H314" s="43">
        <f>IFERROR(G314*E304,"")</f>
        <v>0</v>
      </c>
    </row>
    <row r="315" spans="1:8" ht="12.75" customHeight="1">
      <c r="A315" s="28"/>
      <c r="B315" s="29"/>
      <c r="C315" s="30" t="str">
        <f>IFERROR(_xlfn.XLOOKUP(B315,Equipo[DESCRIPCION],Equipo[UND],,0),"")</f>
        <v/>
      </c>
      <c r="D315" s="31"/>
      <c r="E315" s="32" t="str">
        <f>IF(C315="%MO",G319,IFERROR(_xlfn.XLOOKUP($B315,Equipo[DESCRIPCION],Equipo[VALOR],,0),""))</f>
        <v/>
      </c>
      <c r="F315" s="33"/>
      <c r="G315" s="34" t="str">
        <f>IFERROR(IF(F315&gt;=0,D315*E315*(1+F315/100),ABS(D315*E315/F315)),"")</f>
        <v/>
      </c>
      <c r="H315" s="43" t="str">
        <f>IFERROR(G315*E304,"")</f>
        <v/>
      </c>
    </row>
    <row r="316" spans="1:8" ht="12.75" customHeight="1">
      <c r="A316" s="21"/>
      <c r="B316" s="22" t="s">
        <v>2533</v>
      </c>
      <c r="C316" s="23"/>
      <c r="D316" s="24"/>
      <c r="E316" s="25"/>
      <c r="F316" s="26"/>
      <c r="G316" s="27">
        <f>SUM(G317:G318)</f>
        <v>0</v>
      </c>
      <c r="H316" s="44">
        <f>G316*E304</f>
        <v>0</v>
      </c>
    </row>
    <row r="317" spans="1:8" ht="12.75" customHeight="1">
      <c r="A317" s="28"/>
      <c r="B317" s="29"/>
      <c r="C317" s="30" t="str">
        <f>IFERROR(_xlfn.XLOOKUP(B317,Transporte[DESCRIPCION],Transporte[UND],,0),"")</f>
        <v/>
      </c>
      <c r="D317" s="31"/>
      <c r="E317" s="32" t="str">
        <f>IFERROR(_xlfn.XLOOKUP($B317,Transporte[DESCRIPCION],Transporte[VALOR],,0),"")</f>
        <v/>
      </c>
      <c r="F317" s="33"/>
      <c r="G317" s="34" t="str">
        <f>IFERROR(IF(F317&gt;=0,D317*E317*(1+F317/100),ABS(D317*E317/F317)),"")</f>
        <v/>
      </c>
      <c r="H317" s="43" t="str">
        <f>IFERROR(G317*E304,"")</f>
        <v/>
      </c>
    </row>
    <row r="318" spans="1:8" ht="12.75" customHeight="1">
      <c r="A318" s="28"/>
      <c r="B318" s="29"/>
      <c r="C318" s="30" t="str">
        <f>IFERROR(_xlfn.XLOOKUP(B318,Transporte[DESCRIPCION],Transporte[UND],,0),"")</f>
        <v/>
      </c>
      <c r="D318" s="31"/>
      <c r="E318" s="32" t="str">
        <f>IFERROR(_xlfn.XLOOKUP($B318,Transporte[DESCRIPCION],Transporte[VALOR],,0),"")</f>
        <v/>
      </c>
      <c r="F318" s="33"/>
      <c r="G318" s="34" t="str">
        <f>IFERROR(IF(F318&gt;=0,D318*E318*(1+F318/100),ABS(D318*E318/F318)),"")</f>
        <v/>
      </c>
      <c r="H318" s="43" t="str">
        <f>IFERROR(G318*E304,"")</f>
        <v/>
      </c>
    </row>
    <row r="319" spans="1:8" ht="12.75" customHeight="1">
      <c r="A319" s="21"/>
      <c r="B319" s="22" t="s">
        <v>3732</v>
      </c>
      <c r="C319" s="23"/>
      <c r="D319" s="24"/>
      <c r="E319" s="25"/>
      <c r="F319" s="26"/>
      <c r="G319" s="27">
        <f>SUM(G320:G322)</f>
        <v>15719.537544750003</v>
      </c>
      <c r="H319" s="44">
        <f>G319*E304</f>
        <v>0</v>
      </c>
    </row>
    <row r="320" spans="1:8" ht="12.75" customHeight="1">
      <c r="A320" s="28"/>
      <c r="B320" s="29" t="s">
        <v>3710</v>
      </c>
      <c r="C320" s="30" t="str">
        <f>IFERROR(_xlfn.XLOOKUP(B320,MObra[DESCRIPCION],MObra[UN],,0),"")</f>
        <v>día</v>
      </c>
      <c r="D320" s="31">
        <v>1</v>
      </c>
      <c r="E320" s="32">
        <f>IFERROR(_xlfn.XLOOKUP($B320,MObra[DESCRIPCION],MObra[VALOR UNIT],,0),"")</f>
        <v>314390.75089500006</v>
      </c>
      <c r="F320" s="33">
        <v>-20</v>
      </c>
      <c r="G320" s="34">
        <f>IFERROR(IF(F320&gt;=0,D320*E320*(1+F320/100),ABS(D320*E320/F320)),"")</f>
        <v>15719.537544750003</v>
      </c>
      <c r="H320" s="43">
        <f>IFERROR(G320*E304,"")</f>
        <v>0</v>
      </c>
    </row>
    <row r="321" spans="1:11" ht="12.75" customHeight="1">
      <c r="A321" s="28"/>
      <c r="B321" s="29"/>
      <c r="C321" s="30" t="str">
        <f t="array" ref="C321">IFERROR(_xlfn.XLOOKUP(B321,MObra[[#All],[DESCRIPCION]],MObra[[#All],[UN]],,0),"")</f>
        <v/>
      </c>
      <c r="D321" s="31"/>
      <c r="E321" s="32" t="str">
        <f>IFERROR(_xlfn.XLOOKUP($B321,MObra[DESCRIPCION],MObra[VALOR UNIT],,0),"")</f>
        <v/>
      </c>
      <c r="F321" s="33"/>
      <c r="G321" s="34" t="str">
        <f>IFERROR(IF(F321&gt;=0,D321*E321*(1+F321/100),ABS(D321*E321/F321)),"")</f>
        <v/>
      </c>
      <c r="H321" s="43" t="str">
        <f>IFERROR(G321*E304,"")</f>
        <v/>
      </c>
    </row>
    <row r="322" spans="1:11" ht="12.75" customHeight="1" thickBot="1">
      <c r="A322" s="35"/>
      <c r="B322" s="36"/>
      <c r="C322" s="37" t="str">
        <f t="array" ref="C322">IFERROR(_xlfn.XLOOKUP(B322,MObra[[#All],[DESCRIPCION]],MObra[[#All],[UN]],,0),"")</f>
        <v/>
      </c>
      <c r="D322" s="38"/>
      <c r="E322" s="39" t="str">
        <f>IFERROR(_xlfn.XLOOKUP($B322,MObra[DESCRIPCION],MObra[VALOR UNIT],,0),"")</f>
        <v/>
      </c>
      <c r="F322" s="40"/>
      <c r="G322" s="41" t="str">
        <f>IFERROR(IF(F322&gt;=0,D322*E322*(1+F322/100),ABS(D322*E322/F322)),"")</f>
        <v/>
      </c>
      <c r="H322" s="42" t="str">
        <f>IFERROR(G322*E304,"")</f>
        <v/>
      </c>
    </row>
    <row r="323" spans="1:11" ht="12.75" customHeight="1" thickTop="1" thickBot="1"/>
    <row r="324" spans="1:11" ht="12.75" customHeight="1" thickTop="1" thickBot="1">
      <c r="A324" s="6" t="s">
        <v>1125</v>
      </c>
      <c r="B324" s="7" t="str">
        <f>VLOOKUP($A324,Presupuesto!$A:$D,2,FALSE())</f>
        <v>Abrazadera tipo mecanico red incendio 4"</v>
      </c>
      <c r="C324" s="8" t="str">
        <f>VLOOKUP($A324,Presupuesto!$A:$D,3,FALSE())</f>
        <v>Un</v>
      </c>
      <c r="D324" s="9"/>
      <c r="E324" s="10">
        <f>VLOOKUP($A324,Presupuesto!$A:$D,4,FALSE())</f>
        <v>0</v>
      </c>
      <c r="F324" s="11" t="s">
        <v>2589</v>
      </c>
      <c r="G324" s="12">
        <f>SUM(G326:G342)/2</f>
        <v>40965.3681764625</v>
      </c>
      <c r="H324" s="13">
        <f>ROUND(SUM(H326:H342),0)/2</f>
        <v>0</v>
      </c>
      <c r="I324" s="10">
        <f>VLOOKUP(A324,Presupuesto!$A:$F,6,0)</f>
        <v>0</v>
      </c>
      <c r="J324" s="10">
        <f>+H324-I324</f>
        <v>0</v>
      </c>
      <c r="K324" s="46">
        <f>+H324-G324*E324</f>
        <v>0</v>
      </c>
    </row>
    <row r="325" spans="1:11" ht="12.75" customHeight="1" thickTop="1">
      <c r="A325" s="14"/>
      <c r="B325" s="15" t="s">
        <v>2586</v>
      </c>
      <c r="C325" s="15" t="s">
        <v>5</v>
      </c>
      <c r="D325" s="16" t="s">
        <v>6</v>
      </c>
      <c r="E325" s="17" t="s">
        <v>7</v>
      </c>
      <c r="F325" s="18" t="s">
        <v>3728</v>
      </c>
      <c r="G325" s="19" t="s">
        <v>3729</v>
      </c>
      <c r="H325" s="20" t="s">
        <v>3797</v>
      </c>
    </row>
    <row r="326" spans="1:11" ht="12.75" customHeight="1">
      <c r="A326" s="21"/>
      <c r="B326" s="22" t="s">
        <v>3730</v>
      </c>
      <c r="C326" s="23"/>
      <c r="D326" s="24"/>
      <c r="E326" s="25"/>
      <c r="F326" s="26"/>
      <c r="G326" s="27">
        <f>SUM(G327:G331)</f>
        <v>22887.9</v>
      </c>
      <c r="H326" s="27">
        <f>IFERROR(G326*E324,"")</f>
        <v>0</v>
      </c>
    </row>
    <row r="327" spans="1:11" ht="12.75" customHeight="1">
      <c r="A327" s="28"/>
      <c r="B327" s="29" t="s">
        <v>3407</v>
      </c>
      <c r="C327" s="30" t="str">
        <f>IFERROR(_xlfn.XLOOKUP(B327,Insumo[DESCRIPCION],Insumo[UND],,0),"")</f>
        <v>Un</v>
      </c>
      <c r="D327" s="31">
        <v>2</v>
      </c>
      <c r="E327" s="32">
        <f>IFERROR(_xlfn.XLOOKUP($B327,Insumo[DESCRIPCION],Insumo[VALOR],,0),"")</f>
        <v>77.7</v>
      </c>
      <c r="F327" s="33"/>
      <c r="G327" s="34">
        <f>IFERROR(IF(F327&gt;=0,D327*E327*(1+F327/100),ABS(D327*E327/F327)),"")</f>
        <v>155.4</v>
      </c>
      <c r="H327" s="43">
        <f>IFERROR(G327*E324,"")</f>
        <v>0</v>
      </c>
    </row>
    <row r="328" spans="1:11" ht="12.75" customHeight="1">
      <c r="A328" s="28"/>
      <c r="B328" s="29" t="s">
        <v>2610</v>
      </c>
      <c r="C328" s="30" t="str">
        <f>IFERROR(_xlfn.XLOOKUP(B328,Insumo[DESCRIPCION],Insumo[UND],,0),"")</f>
        <v>Un</v>
      </c>
      <c r="D328" s="31">
        <v>1</v>
      </c>
      <c r="E328" s="32">
        <f>IFERROR(_xlfn.XLOOKUP($B328,Insumo[DESCRIPCION],Insumo[VALOR],,0),"")</f>
        <v>22732.5</v>
      </c>
      <c r="F328" s="33"/>
      <c r="G328" s="34">
        <f>IFERROR(IF(F328&gt;=0,D328*E328*(1+F328/100),ABS(D328*E328/F328)),"")</f>
        <v>22732.5</v>
      </c>
      <c r="H328" s="43">
        <f>IFERROR(G328*E324,"")</f>
        <v>0</v>
      </c>
    </row>
    <row r="329" spans="1:11" ht="12.75" customHeight="1">
      <c r="A329" s="28"/>
      <c r="B329" s="29"/>
      <c r="C329" s="30" t="str">
        <f>IFERROR(_xlfn.XLOOKUP(B329,Insumo[DESCRIPCION],Insumo[UND],,0),"")</f>
        <v/>
      </c>
      <c r="D329" s="31"/>
      <c r="E329" s="32" t="str">
        <f>IFERROR(_xlfn.XLOOKUP($B329,Insumo[DESCRIPCION],Insumo[VALOR],,0),"")</f>
        <v/>
      </c>
      <c r="F329" s="33"/>
      <c r="G329" s="34" t="str">
        <f>IFERROR(IF(F329&gt;=0,D329*E329*(1+F329/100),ABS(D329*E329/F329)),"")</f>
        <v/>
      </c>
      <c r="H329" s="43" t="str">
        <f>IFERROR(G329*E324,"")</f>
        <v/>
      </c>
    </row>
    <row r="330" spans="1:11" ht="12.75" customHeight="1">
      <c r="A330" s="28"/>
      <c r="B330" s="29"/>
      <c r="C330" s="30" t="str">
        <f>IFERROR(_xlfn.XLOOKUP(B330,Insumo[DESCRIPCION],Insumo[UND],,0),"")</f>
        <v/>
      </c>
      <c r="D330" s="31"/>
      <c r="E330" s="32" t="str">
        <f>IFERROR(_xlfn.XLOOKUP($B330,Insumo[DESCRIPCION],Insumo[VALOR],,0),"")</f>
        <v/>
      </c>
      <c r="F330" s="33"/>
      <c r="G330" s="34" t="str">
        <f>IFERROR(IF(F330&gt;=0,D330*E330*(1+F330/100),ABS(D330*E330/F330)),"")</f>
        <v/>
      </c>
      <c r="H330" s="43" t="str">
        <f>IFERROR(G330*E324,"")</f>
        <v/>
      </c>
    </row>
    <row r="331" spans="1:11" ht="12.75" customHeight="1">
      <c r="A331" s="28"/>
      <c r="B331" s="29"/>
      <c r="C331" s="30" t="str">
        <f>IFERROR(_xlfn.XLOOKUP(B331,Insumo[DESCRIPCION],Insumo[UND],,0),"")</f>
        <v/>
      </c>
      <c r="D331" s="31"/>
      <c r="E331" s="32" t="str">
        <f>IFERROR(_xlfn.XLOOKUP($B331,Insumo[DESCRIPCION],Insumo[VALOR],,0),"")</f>
        <v/>
      </c>
      <c r="F331" s="33"/>
      <c r="G331" s="34" t="str">
        <f>IFERROR(IF(F331&gt;=0,D331*E331*(1+F331/100),ABS(D331*E331/F331)),"")</f>
        <v/>
      </c>
      <c r="H331" s="43" t="str">
        <f>IFERROR(G331*E324,"")</f>
        <v/>
      </c>
    </row>
    <row r="332" spans="1:11" ht="12.75" customHeight="1">
      <c r="A332" s="21"/>
      <c r="B332" s="22" t="s">
        <v>3731</v>
      </c>
      <c r="C332" s="23"/>
      <c r="D332" s="24"/>
      <c r="E332" s="25"/>
      <c r="F332" s="26"/>
      <c r="G332" s="27">
        <f>SUM(G333:G335)</f>
        <v>2357.9306317125006</v>
      </c>
      <c r="H332" s="44">
        <f>G332*E324</f>
        <v>0</v>
      </c>
    </row>
    <row r="333" spans="1:11" ht="12.75" customHeight="1">
      <c r="A333" s="28"/>
      <c r="B333" s="29" t="s">
        <v>3573</v>
      </c>
      <c r="C333" s="30" t="str">
        <f>IFERROR(_xlfn.XLOOKUP(B333,Equipo[DESCRIPCION],Equipo[UND],,0),"")</f>
        <v>%MO</v>
      </c>
      <c r="D333" s="31">
        <v>0.1</v>
      </c>
      <c r="E333" s="32">
        <f>IF(C333="%MO",G339,IFERROR(_xlfn.XLOOKUP($B333,Equipo[DESCRIPCION],Equipo[VALOR],,0),""))</f>
        <v>15719.537544750003</v>
      </c>
      <c r="F333" s="33"/>
      <c r="G333" s="34">
        <f>IFERROR(IF(F333&gt;=0,D333*E333*(1+F333/100),ABS(D333*E333/F333)),"")</f>
        <v>1571.9537544750003</v>
      </c>
      <c r="H333" s="43">
        <f>IFERROR(G333*E324,"")</f>
        <v>0</v>
      </c>
    </row>
    <row r="334" spans="1:11" ht="12.75" customHeight="1">
      <c r="A334" s="28"/>
      <c r="B334" s="29" t="s">
        <v>3626</v>
      </c>
      <c r="C334" s="30" t="str">
        <f>IFERROR(_xlfn.XLOOKUP(B334,Equipo[DESCRIPCION],Equipo[UND],,0),"")</f>
        <v>%MO</v>
      </c>
      <c r="D334" s="31">
        <v>0.05</v>
      </c>
      <c r="E334" s="32">
        <f>IF(C334="%MO",G339,IFERROR(_xlfn.XLOOKUP($B334,Equipo[DESCRIPCION],Equipo[VALOR],,0),""))</f>
        <v>15719.537544750003</v>
      </c>
      <c r="F334" s="33"/>
      <c r="G334" s="34">
        <f>IFERROR(IF(F334&gt;=0,D334*E334*(1+F334/100),ABS(D334*E334/F334)),"")</f>
        <v>785.97687723750016</v>
      </c>
      <c r="H334" s="43">
        <f>IFERROR(G334*E324,"")</f>
        <v>0</v>
      </c>
    </row>
    <row r="335" spans="1:11" ht="12.75" customHeight="1">
      <c r="A335" s="28"/>
      <c r="B335" s="29"/>
      <c r="C335" s="30" t="str">
        <f>IFERROR(_xlfn.XLOOKUP(B335,Equipo[DESCRIPCION],Equipo[UND],,0),"")</f>
        <v/>
      </c>
      <c r="D335" s="31"/>
      <c r="E335" s="32" t="str">
        <f>IF(C335="%MO",G339,IFERROR(_xlfn.XLOOKUP($B335,Equipo[DESCRIPCION],Equipo[VALOR],,0),""))</f>
        <v/>
      </c>
      <c r="F335" s="33"/>
      <c r="G335" s="34" t="str">
        <f>IFERROR(IF(F335&gt;=0,D335*E335*(1+F335/100),ABS(D335*E335/F335)),"")</f>
        <v/>
      </c>
      <c r="H335" s="43" t="str">
        <f>IFERROR(G335*E324,"")</f>
        <v/>
      </c>
    </row>
    <row r="336" spans="1:11" ht="12.75" customHeight="1">
      <c r="A336" s="21"/>
      <c r="B336" s="22" t="s">
        <v>2533</v>
      </c>
      <c r="C336" s="23"/>
      <c r="D336" s="24"/>
      <c r="E336" s="25"/>
      <c r="F336" s="26"/>
      <c r="G336" s="27">
        <f>SUM(G337:G338)</f>
        <v>0</v>
      </c>
      <c r="H336" s="44">
        <f>G336*E324</f>
        <v>0</v>
      </c>
    </row>
    <row r="337" spans="1:11" ht="12.75" customHeight="1">
      <c r="A337" s="28"/>
      <c r="B337" s="29"/>
      <c r="C337" s="30" t="str">
        <f>IFERROR(_xlfn.XLOOKUP(B337,Transporte[DESCRIPCION],Transporte[UND],,0),"")</f>
        <v/>
      </c>
      <c r="D337" s="31"/>
      <c r="E337" s="32" t="str">
        <f>IFERROR(_xlfn.XLOOKUP($B337,Transporte[DESCRIPCION],Transporte[VALOR],,0),"")</f>
        <v/>
      </c>
      <c r="F337" s="33"/>
      <c r="G337" s="34" t="str">
        <f>IFERROR(IF(F337&gt;=0,D337*E337*(1+F337/100),ABS(D337*E337/F337)),"")</f>
        <v/>
      </c>
      <c r="H337" s="43" t="str">
        <f>IFERROR(G337*E324,"")</f>
        <v/>
      </c>
    </row>
    <row r="338" spans="1:11" ht="12.75" customHeight="1">
      <c r="A338" s="28"/>
      <c r="B338" s="29"/>
      <c r="C338" s="30" t="str">
        <f>IFERROR(_xlfn.XLOOKUP(B338,Transporte[DESCRIPCION],Transporte[UND],,0),"")</f>
        <v/>
      </c>
      <c r="D338" s="31"/>
      <c r="E338" s="32" t="str">
        <f>IFERROR(_xlfn.XLOOKUP($B338,Transporte[DESCRIPCION],Transporte[VALOR],,0),"")</f>
        <v/>
      </c>
      <c r="F338" s="33"/>
      <c r="G338" s="34" t="str">
        <f>IFERROR(IF(F338&gt;=0,D338*E338*(1+F338/100),ABS(D338*E338/F338)),"")</f>
        <v/>
      </c>
      <c r="H338" s="43" t="str">
        <f>IFERROR(G338*E324,"")</f>
        <v/>
      </c>
    </row>
    <row r="339" spans="1:11" ht="12.75" customHeight="1">
      <c r="A339" s="21"/>
      <c r="B339" s="22" t="s">
        <v>3732</v>
      </c>
      <c r="C339" s="23"/>
      <c r="D339" s="24"/>
      <c r="E339" s="25"/>
      <c r="F339" s="26"/>
      <c r="G339" s="27">
        <f>SUM(G340:G342)</f>
        <v>15719.537544750003</v>
      </c>
      <c r="H339" s="44">
        <f>G339*E324</f>
        <v>0</v>
      </c>
    </row>
    <row r="340" spans="1:11" ht="12.75" customHeight="1">
      <c r="A340" s="28"/>
      <c r="B340" s="29" t="s">
        <v>3710</v>
      </c>
      <c r="C340" s="30" t="str">
        <f>IFERROR(_xlfn.XLOOKUP(B340,MObra[DESCRIPCION],MObra[UN],,0),"")</f>
        <v>día</v>
      </c>
      <c r="D340" s="31">
        <v>1</v>
      </c>
      <c r="E340" s="32">
        <f>IFERROR(_xlfn.XLOOKUP($B340,MObra[DESCRIPCION],MObra[VALOR UNIT],,0),"")</f>
        <v>314390.75089500006</v>
      </c>
      <c r="F340" s="33">
        <v>-20</v>
      </c>
      <c r="G340" s="34">
        <f>IFERROR(IF(F340&gt;=0,D340*E340*(1+F340/100),ABS(D340*E340/F340)),"")</f>
        <v>15719.537544750003</v>
      </c>
      <c r="H340" s="43">
        <f>IFERROR(G340*E324,"")</f>
        <v>0</v>
      </c>
    </row>
    <row r="341" spans="1:11" ht="12.75" customHeight="1">
      <c r="A341" s="28"/>
      <c r="B341" s="29"/>
      <c r="C341" s="30" t="str">
        <f t="array" ref="C341">IFERROR(_xlfn.XLOOKUP(B341,MObra[[#All],[DESCRIPCION]],MObra[[#All],[UN]],,0),"")</f>
        <v/>
      </c>
      <c r="D341" s="31"/>
      <c r="E341" s="32" t="str">
        <f>IFERROR(_xlfn.XLOOKUP($B341,MObra[DESCRIPCION],MObra[VALOR UNIT],,0),"")</f>
        <v/>
      </c>
      <c r="F341" s="33"/>
      <c r="G341" s="34" t="str">
        <f>IFERROR(IF(F341&gt;=0,D341*E341*(1+F341/100),ABS(D341*E341/F341)),"")</f>
        <v/>
      </c>
      <c r="H341" s="43" t="str">
        <f>IFERROR(G341*E324,"")</f>
        <v/>
      </c>
    </row>
    <row r="342" spans="1:11" ht="12.75" customHeight="1" thickBot="1">
      <c r="A342" s="35"/>
      <c r="B342" s="36"/>
      <c r="C342" s="37" t="str">
        <f t="array" ref="C342">IFERROR(_xlfn.XLOOKUP(B342,MObra[[#All],[DESCRIPCION]],MObra[[#All],[UN]],,0),"")</f>
        <v/>
      </c>
      <c r="D342" s="38"/>
      <c r="E342" s="39" t="str">
        <f>IFERROR(_xlfn.XLOOKUP($B342,MObra[DESCRIPCION],MObra[VALOR UNIT],,0),"")</f>
        <v/>
      </c>
      <c r="F342" s="40"/>
      <c r="G342" s="41" t="str">
        <f>IFERROR(IF(F342&gt;=0,D342*E342*(1+F342/100),ABS(D342*E342/F342)),"")</f>
        <v/>
      </c>
      <c r="H342" s="42" t="str">
        <f>IFERROR(G342*E324,"")</f>
        <v/>
      </c>
    </row>
    <row r="343" spans="1:11" ht="12.75" customHeight="1" thickTop="1" thickBot="1"/>
    <row r="344" spans="1:11" ht="12.75" customHeight="1" thickTop="1" thickBot="1">
      <c r="A344" s="6" t="s">
        <v>1127</v>
      </c>
      <c r="B344" s="7" t="str">
        <f>VLOOKUP($A344,Presupuesto!$A:$D,2,FALSE())</f>
        <v>Cheque ranurado listado ul 2"</v>
      </c>
      <c r="C344" s="8" t="str">
        <f>VLOOKUP($A344,Presupuesto!$A:$D,3,FALSE())</f>
        <v>Un</v>
      </c>
      <c r="D344" s="9"/>
      <c r="E344" s="10">
        <f>VLOOKUP($A344,Presupuesto!$A:$D,4,FALSE())</f>
        <v>0</v>
      </c>
      <c r="F344" s="11" t="s">
        <v>2589</v>
      </c>
      <c r="G344" s="12">
        <f>SUM(G346:G362)/2</f>
        <v>262452.36817646254</v>
      </c>
      <c r="H344" s="13">
        <f>ROUND(SUM(H346:H362),0)/2</f>
        <v>0</v>
      </c>
      <c r="I344" s="10">
        <f>VLOOKUP(A344,Presupuesto!$A:$F,6,0)</f>
        <v>0</v>
      </c>
      <c r="J344" s="10">
        <f>+H344-I344</f>
        <v>0</v>
      </c>
      <c r="K344" s="46">
        <f>+H344-G344*E344</f>
        <v>0</v>
      </c>
    </row>
    <row r="345" spans="1:11" ht="12.75" customHeight="1" thickTop="1">
      <c r="A345" s="14"/>
      <c r="B345" s="15" t="s">
        <v>2586</v>
      </c>
      <c r="C345" s="15" t="s">
        <v>5</v>
      </c>
      <c r="D345" s="16" t="s">
        <v>6</v>
      </c>
      <c r="E345" s="17" t="s">
        <v>7</v>
      </c>
      <c r="F345" s="18" t="s">
        <v>3728</v>
      </c>
      <c r="G345" s="19" t="s">
        <v>3729</v>
      </c>
      <c r="H345" s="20" t="s">
        <v>3797</v>
      </c>
    </row>
    <row r="346" spans="1:11" ht="12.75" customHeight="1">
      <c r="A346" s="21"/>
      <c r="B346" s="22" t="s">
        <v>3730</v>
      </c>
      <c r="C346" s="23"/>
      <c r="D346" s="24"/>
      <c r="E346" s="25"/>
      <c r="F346" s="26"/>
      <c r="G346" s="27">
        <f>SUM(G347:G351)</f>
        <v>244374.90000000002</v>
      </c>
      <c r="H346" s="27">
        <f>IFERROR(G346*E344,"")</f>
        <v>0</v>
      </c>
    </row>
    <row r="347" spans="1:11" ht="12.75" customHeight="1">
      <c r="A347" s="28"/>
      <c r="B347" s="29" t="s">
        <v>2842</v>
      </c>
      <c r="C347" s="30" t="str">
        <f>IFERROR(_xlfn.XLOOKUP(B347,Insumo[DESCRIPCION],Insumo[UND],,0),"")</f>
        <v>Un</v>
      </c>
      <c r="D347" s="31">
        <v>1</v>
      </c>
      <c r="E347" s="32">
        <f>IFERROR(_xlfn.XLOOKUP($B347,Insumo[DESCRIPCION],Insumo[VALOR],,0),"")</f>
        <v>244374.90000000002</v>
      </c>
      <c r="F347" s="33"/>
      <c r="G347" s="34">
        <f>IFERROR(IF(F347&gt;=0,D347*E347*(1+F347/100),ABS(D347*E347/F347)),"")</f>
        <v>244374.90000000002</v>
      </c>
      <c r="H347" s="43">
        <f>IFERROR(G347*E344,"")</f>
        <v>0</v>
      </c>
    </row>
    <row r="348" spans="1:11" ht="12.75" customHeight="1">
      <c r="A348" s="28"/>
      <c r="B348" s="29"/>
      <c r="C348" s="30" t="str">
        <f>IFERROR(_xlfn.XLOOKUP(B348,Insumo[DESCRIPCION],Insumo[UND],,0),"")</f>
        <v/>
      </c>
      <c r="D348" s="31"/>
      <c r="E348" s="32" t="str">
        <f>IFERROR(_xlfn.XLOOKUP($B348,Insumo[DESCRIPCION],Insumo[VALOR],,0),"")</f>
        <v/>
      </c>
      <c r="F348" s="33"/>
      <c r="G348" s="34" t="str">
        <f>IFERROR(IF(F348&gt;=0,D348*E348*(1+F348/100),ABS(D348*E348/F348)),"")</f>
        <v/>
      </c>
      <c r="H348" s="43" t="str">
        <f>IFERROR(G348*E344,"")</f>
        <v/>
      </c>
    </row>
    <row r="349" spans="1:11" ht="12.75" customHeight="1">
      <c r="A349" s="28"/>
      <c r="B349" s="29"/>
      <c r="C349" s="30" t="str">
        <f>IFERROR(_xlfn.XLOOKUP(B349,Insumo[DESCRIPCION],Insumo[UND],,0),"")</f>
        <v/>
      </c>
      <c r="D349" s="31"/>
      <c r="E349" s="32" t="str">
        <f>IFERROR(_xlfn.XLOOKUP($B349,Insumo[DESCRIPCION],Insumo[VALOR],,0),"")</f>
        <v/>
      </c>
      <c r="F349" s="33"/>
      <c r="G349" s="34" t="str">
        <f>IFERROR(IF(F349&gt;=0,D349*E349*(1+F349/100),ABS(D349*E349/F349)),"")</f>
        <v/>
      </c>
      <c r="H349" s="43" t="str">
        <f>IFERROR(G349*E344,"")</f>
        <v/>
      </c>
    </row>
    <row r="350" spans="1:11" ht="12.75" customHeight="1">
      <c r="A350" s="28"/>
      <c r="B350" s="29"/>
      <c r="C350" s="30" t="str">
        <f>IFERROR(_xlfn.XLOOKUP(B350,Insumo[DESCRIPCION],Insumo[UND],,0),"")</f>
        <v/>
      </c>
      <c r="D350" s="31"/>
      <c r="E350" s="32" t="str">
        <f>IFERROR(_xlfn.XLOOKUP($B350,Insumo[DESCRIPCION],Insumo[VALOR],,0),"")</f>
        <v/>
      </c>
      <c r="F350" s="33"/>
      <c r="G350" s="34" t="str">
        <f>IFERROR(IF(F350&gt;=0,D350*E350*(1+F350/100),ABS(D350*E350/F350)),"")</f>
        <v/>
      </c>
      <c r="H350" s="43" t="str">
        <f>IFERROR(G350*E344,"")</f>
        <v/>
      </c>
    </row>
    <row r="351" spans="1:11" ht="12.75" customHeight="1">
      <c r="A351" s="28"/>
      <c r="B351" s="29"/>
      <c r="C351" s="30" t="str">
        <f>IFERROR(_xlfn.XLOOKUP(B351,Insumo[DESCRIPCION],Insumo[UND],,0),"")</f>
        <v/>
      </c>
      <c r="D351" s="31"/>
      <c r="E351" s="32" t="str">
        <f>IFERROR(_xlfn.XLOOKUP($B351,Insumo[DESCRIPCION],Insumo[VALOR],,0),"")</f>
        <v/>
      </c>
      <c r="F351" s="33"/>
      <c r="G351" s="34" t="str">
        <f>IFERROR(IF(F351&gt;=0,D351*E351*(1+F351/100),ABS(D351*E351/F351)),"")</f>
        <v/>
      </c>
      <c r="H351" s="43" t="str">
        <f>IFERROR(G351*E344,"")</f>
        <v/>
      </c>
    </row>
    <row r="352" spans="1:11" ht="12.75" customHeight="1">
      <c r="A352" s="21"/>
      <c r="B352" s="22" t="s">
        <v>3731</v>
      </c>
      <c r="C352" s="23"/>
      <c r="D352" s="24"/>
      <c r="E352" s="25"/>
      <c r="F352" s="26"/>
      <c r="G352" s="27">
        <f>SUM(G353:G355)</f>
        <v>2357.9306317125006</v>
      </c>
      <c r="H352" s="44">
        <f>G352*E344</f>
        <v>0</v>
      </c>
    </row>
    <row r="353" spans="1:11" ht="12.75" customHeight="1">
      <c r="A353" s="28"/>
      <c r="B353" s="29" t="s">
        <v>3573</v>
      </c>
      <c r="C353" s="30" t="str">
        <f>IFERROR(_xlfn.XLOOKUP(B353,Equipo[DESCRIPCION],Equipo[UND],,0),"")</f>
        <v>%MO</v>
      </c>
      <c r="D353" s="31">
        <v>0.1</v>
      </c>
      <c r="E353" s="32">
        <f>IF(C353="%MO",G359,IFERROR(_xlfn.XLOOKUP($B353,Equipo[DESCRIPCION],Equipo[VALOR],,0),""))</f>
        <v>15719.537544750003</v>
      </c>
      <c r="F353" s="33"/>
      <c r="G353" s="34">
        <f>IFERROR(IF(F353&gt;=0,D353*E353*(1+F353/100),ABS(D353*E353/F353)),"")</f>
        <v>1571.9537544750003</v>
      </c>
      <c r="H353" s="43">
        <f>IFERROR(G353*E344,"")</f>
        <v>0</v>
      </c>
    </row>
    <row r="354" spans="1:11" ht="12.75" customHeight="1">
      <c r="A354" s="28"/>
      <c r="B354" s="29" t="s">
        <v>3626</v>
      </c>
      <c r="C354" s="30" t="str">
        <f>IFERROR(_xlfn.XLOOKUP(B354,Equipo[DESCRIPCION],Equipo[UND],,0),"")</f>
        <v>%MO</v>
      </c>
      <c r="D354" s="31">
        <v>0.05</v>
      </c>
      <c r="E354" s="32">
        <f>IF(C354="%MO",G359,IFERROR(_xlfn.XLOOKUP($B354,Equipo[DESCRIPCION],Equipo[VALOR],,0),""))</f>
        <v>15719.537544750003</v>
      </c>
      <c r="F354" s="33"/>
      <c r="G354" s="34">
        <f>IFERROR(IF(F354&gt;=0,D354*E354*(1+F354/100),ABS(D354*E354/F354)),"")</f>
        <v>785.97687723750016</v>
      </c>
      <c r="H354" s="43">
        <f>IFERROR(G354*E344,"")</f>
        <v>0</v>
      </c>
    </row>
    <row r="355" spans="1:11" ht="12.75" customHeight="1">
      <c r="A355" s="28"/>
      <c r="B355" s="29"/>
      <c r="C355" s="30" t="str">
        <f>IFERROR(_xlfn.XLOOKUP(B355,Equipo[DESCRIPCION],Equipo[UND],,0),"")</f>
        <v/>
      </c>
      <c r="D355" s="31"/>
      <c r="E355" s="32" t="str">
        <f>IF(C355="%MO",G359,IFERROR(_xlfn.XLOOKUP($B355,Equipo[DESCRIPCION],Equipo[VALOR],,0),""))</f>
        <v/>
      </c>
      <c r="F355" s="33"/>
      <c r="G355" s="34" t="str">
        <f>IFERROR(IF(F355&gt;=0,D355*E355*(1+F355/100),ABS(D355*E355/F355)),"")</f>
        <v/>
      </c>
      <c r="H355" s="43" t="str">
        <f>IFERROR(G355*E344,"")</f>
        <v/>
      </c>
    </row>
    <row r="356" spans="1:11" ht="12.75" customHeight="1">
      <c r="A356" s="21"/>
      <c r="B356" s="22" t="s">
        <v>2533</v>
      </c>
      <c r="C356" s="23"/>
      <c r="D356" s="24"/>
      <c r="E356" s="25"/>
      <c r="F356" s="26"/>
      <c r="G356" s="27">
        <f>SUM(G357:G358)</f>
        <v>0</v>
      </c>
      <c r="H356" s="44">
        <f>G356*E344</f>
        <v>0</v>
      </c>
    </row>
    <row r="357" spans="1:11" ht="12.75" customHeight="1">
      <c r="A357" s="28"/>
      <c r="B357" s="29"/>
      <c r="C357" s="30" t="str">
        <f>IFERROR(_xlfn.XLOOKUP(B357,Transporte[DESCRIPCION],Transporte[UND],,0),"")</f>
        <v/>
      </c>
      <c r="D357" s="31"/>
      <c r="E357" s="32" t="str">
        <f>IFERROR(_xlfn.XLOOKUP($B357,Transporte[DESCRIPCION],Transporte[VALOR],,0),"")</f>
        <v/>
      </c>
      <c r="F357" s="33"/>
      <c r="G357" s="34" t="str">
        <f>IFERROR(IF(F357&gt;=0,D357*E357*(1+F357/100),ABS(D357*E357/F357)),"")</f>
        <v/>
      </c>
      <c r="H357" s="43" t="str">
        <f>IFERROR(G357*E344,"")</f>
        <v/>
      </c>
    </row>
    <row r="358" spans="1:11" ht="12.75" customHeight="1">
      <c r="A358" s="28"/>
      <c r="B358" s="29"/>
      <c r="C358" s="30" t="str">
        <f>IFERROR(_xlfn.XLOOKUP(B358,Transporte[DESCRIPCION],Transporte[UND],,0),"")</f>
        <v/>
      </c>
      <c r="D358" s="31"/>
      <c r="E358" s="32" t="str">
        <f>IFERROR(_xlfn.XLOOKUP($B358,Transporte[DESCRIPCION],Transporte[VALOR],,0),"")</f>
        <v/>
      </c>
      <c r="F358" s="33"/>
      <c r="G358" s="34" t="str">
        <f>IFERROR(IF(F358&gt;=0,D358*E358*(1+F358/100),ABS(D358*E358/F358)),"")</f>
        <v/>
      </c>
      <c r="H358" s="43" t="str">
        <f>IFERROR(G358*E344,"")</f>
        <v/>
      </c>
    </row>
    <row r="359" spans="1:11" ht="12.75" customHeight="1">
      <c r="A359" s="21"/>
      <c r="B359" s="22" t="s">
        <v>3732</v>
      </c>
      <c r="C359" s="23"/>
      <c r="D359" s="24"/>
      <c r="E359" s="25"/>
      <c r="F359" s="26"/>
      <c r="G359" s="27">
        <f>SUM(G360:G362)</f>
        <v>15719.537544750003</v>
      </c>
      <c r="H359" s="44">
        <f>G359*E344</f>
        <v>0</v>
      </c>
    </row>
    <row r="360" spans="1:11" ht="12.75" customHeight="1">
      <c r="A360" s="28"/>
      <c r="B360" s="29" t="s">
        <v>3710</v>
      </c>
      <c r="C360" s="30" t="str">
        <f>IFERROR(_xlfn.XLOOKUP(B360,MObra[DESCRIPCION],MObra[UN],,0),"")</f>
        <v>día</v>
      </c>
      <c r="D360" s="31">
        <v>1</v>
      </c>
      <c r="E360" s="32">
        <f>IFERROR(_xlfn.XLOOKUP($B360,MObra[DESCRIPCION],MObra[VALOR UNIT],,0),"")</f>
        <v>314390.75089500006</v>
      </c>
      <c r="F360" s="33">
        <v>-20</v>
      </c>
      <c r="G360" s="34">
        <f>IFERROR(IF(F360&gt;=0,D360*E360*(1+F360/100),ABS(D360*E360/F360)),"")</f>
        <v>15719.537544750003</v>
      </c>
      <c r="H360" s="43">
        <f>IFERROR(G360*E344,"")</f>
        <v>0</v>
      </c>
    </row>
    <row r="361" spans="1:11" ht="12.75" customHeight="1">
      <c r="A361" s="28"/>
      <c r="B361" s="29"/>
      <c r="C361" s="30" t="str">
        <f t="array" ref="C361">IFERROR(_xlfn.XLOOKUP(B361,MObra[[#All],[DESCRIPCION]],MObra[[#All],[UN]],,0),"")</f>
        <v/>
      </c>
      <c r="D361" s="31"/>
      <c r="E361" s="32" t="str">
        <f>IFERROR(_xlfn.XLOOKUP($B361,MObra[DESCRIPCION],MObra[VALOR UNIT],,0),"")</f>
        <v/>
      </c>
      <c r="F361" s="33"/>
      <c r="G361" s="34" t="str">
        <f>IFERROR(IF(F361&gt;=0,D361*E361*(1+F361/100),ABS(D361*E361/F361)),"")</f>
        <v/>
      </c>
      <c r="H361" s="43" t="str">
        <f>IFERROR(G361*E344,"")</f>
        <v/>
      </c>
    </row>
    <row r="362" spans="1:11" ht="12.75" customHeight="1" thickBot="1">
      <c r="A362" s="35"/>
      <c r="B362" s="36"/>
      <c r="C362" s="37" t="str">
        <f t="array" ref="C362">IFERROR(_xlfn.XLOOKUP(B362,MObra[[#All],[DESCRIPCION]],MObra[[#All],[UN]],,0),"")</f>
        <v/>
      </c>
      <c r="D362" s="38"/>
      <c r="E362" s="39" t="str">
        <f>IFERROR(_xlfn.XLOOKUP($B362,MObra[DESCRIPCION],MObra[VALOR UNIT],,0),"")</f>
        <v/>
      </c>
      <c r="F362" s="40"/>
      <c r="G362" s="41" t="str">
        <f>IFERROR(IF(F362&gt;=0,D362*E362*(1+F362/100),ABS(D362*E362/F362)),"")</f>
        <v/>
      </c>
      <c r="H362" s="42" t="str">
        <f>IFERROR(G362*E344,"")</f>
        <v/>
      </c>
    </row>
    <row r="363" spans="1:11" ht="12.75" customHeight="1" thickTop="1" thickBot="1"/>
    <row r="364" spans="1:11" ht="12.75" customHeight="1" thickTop="1" thickBot="1">
      <c r="A364" s="6" t="s">
        <v>1129</v>
      </c>
      <c r="B364" s="7" t="str">
        <f>VLOOKUP($A364,Presupuesto!$A:$D,2,FALSE())</f>
        <v>Cheque ranurado listado ul 2.1/2"</v>
      </c>
      <c r="C364" s="8" t="str">
        <f>VLOOKUP($A364,Presupuesto!$A:$D,3,FALSE())</f>
        <v>Un</v>
      </c>
      <c r="D364" s="9"/>
      <c r="E364" s="10">
        <f>VLOOKUP($A364,Presupuesto!$A:$D,4,FALSE())</f>
        <v>0</v>
      </c>
      <c r="F364" s="11" t="s">
        <v>2589</v>
      </c>
      <c r="G364" s="12">
        <f>SUM(G366:G382)/2</f>
        <v>372439.825751625</v>
      </c>
      <c r="H364" s="13">
        <f>ROUND(SUM(H366:H382),0)/2</f>
        <v>0</v>
      </c>
      <c r="I364" s="10">
        <f>VLOOKUP(A364,Presupuesto!$A:$F,6,0)</f>
        <v>0</v>
      </c>
      <c r="J364" s="10">
        <f>+H364-I364</f>
        <v>0</v>
      </c>
      <c r="K364" s="46">
        <f>+H364-G364*E364</f>
        <v>0</v>
      </c>
    </row>
    <row r="365" spans="1:11" ht="12.75" customHeight="1" thickTop="1">
      <c r="A365" s="14"/>
      <c r="B365" s="15" t="s">
        <v>2586</v>
      </c>
      <c r="C365" s="15" t="s">
        <v>5</v>
      </c>
      <c r="D365" s="16" t="s">
        <v>6</v>
      </c>
      <c r="E365" s="17" t="s">
        <v>7</v>
      </c>
      <c r="F365" s="18" t="s">
        <v>3728</v>
      </c>
      <c r="G365" s="19" t="s">
        <v>3729</v>
      </c>
      <c r="H365" s="20" t="s">
        <v>3797</v>
      </c>
    </row>
    <row r="366" spans="1:11" ht="12.75" customHeight="1">
      <c r="A366" s="21"/>
      <c r="B366" s="22" t="s">
        <v>3730</v>
      </c>
      <c r="C366" s="23"/>
      <c r="D366" s="24"/>
      <c r="E366" s="25"/>
      <c r="F366" s="26"/>
      <c r="G366" s="27">
        <f>SUM(G367:G371)</f>
        <v>352353.75</v>
      </c>
      <c r="H366" s="27">
        <f>IFERROR(G366*E364,"")</f>
        <v>0</v>
      </c>
    </row>
    <row r="367" spans="1:11" ht="12.75" customHeight="1">
      <c r="A367" s="28"/>
      <c r="B367" s="29" t="s">
        <v>2841</v>
      </c>
      <c r="C367" s="30" t="str">
        <f>IFERROR(_xlfn.XLOOKUP(B367,Insumo[DESCRIPCION],Insumo[UND],,0),"")</f>
        <v>Un</v>
      </c>
      <c r="D367" s="31">
        <v>1</v>
      </c>
      <c r="E367" s="32">
        <f>IFERROR(_xlfn.XLOOKUP($B367,Insumo[DESCRIPCION],Insumo[VALOR],,0),"")</f>
        <v>352353.75</v>
      </c>
      <c r="F367" s="33"/>
      <c r="G367" s="34">
        <f>IFERROR(IF(F367&gt;=0,D367*E367*(1+F367/100),ABS(D367*E367/F367)),"")</f>
        <v>352353.75</v>
      </c>
      <c r="H367" s="43">
        <f>IFERROR(G367*E364,"")</f>
        <v>0</v>
      </c>
    </row>
    <row r="368" spans="1:11" ht="12.75" customHeight="1">
      <c r="A368" s="28"/>
      <c r="B368" s="29"/>
      <c r="C368" s="30" t="str">
        <f>IFERROR(_xlfn.XLOOKUP(B368,Insumo[DESCRIPCION],Insumo[UND],,0),"")</f>
        <v/>
      </c>
      <c r="D368" s="31"/>
      <c r="E368" s="32" t="str">
        <f>IFERROR(_xlfn.XLOOKUP($B368,Insumo[DESCRIPCION],Insumo[VALOR],,0),"")</f>
        <v/>
      </c>
      <c r="F368" s="33"/>
      <c r="G368" s="34" t="str">
        <f>IFERROR(IF(F368&gt;=0,D368*E368*(1+F368/100),ABS(D368*E368/F368)),"")</f>
        <v/>
      </c>
      <c r="H368" s="43" t="str">
        <f>IFERROR(G368*E364,"")</f>
        <v/>
      </c>
    </row>
    <row r="369" spans="1:11" ht="12.75" customHeight="1">
      <c r="A369" s="28"/>
      <c r="B369" s="29"/>
      <c r="C369" s="30" t="str">
        <f>IFERROR(_xlfn.XLOOKUP(B369,Insumo[DESCRIPCION],Insumo[UND],,0),"")</f>
        <v/>
      </c>
      <c r="D369" s="31"/>
      <c r="E369" s="32" t="str">
        <f>IFERROR(_xlfn.XLOOKUP($B369,Insumo[DESCRIPCION],Insumo[VALOR],,0),"")</f>
        <v/>
      </c>
      <c r="F369" s="33"/>
      <c r="G369" s="34" t="str">
        <f>IFERROR(IF(F369&gt;=0,D369*E369*(1+F369/100),ABS(D369*E369/F369)),"")</f>
        <v/>
      </c>
      <c r="H369" s="43" t="str">
        <f>IFERROR(G369*E364,"")</f>
        <v/>
      </c>
    </row>
    <row r="370" spans="1:11" ht="12.75" customHeight="1">
      <c r="A370" s="28"/>
      <c r="B370" s="29"/>
      <c r="C370" s="30" t="str">
        <f>IFERROR(_xlfn.XLOOKUP(B370,Insumo[DESCRIPCION],Insumo[UND],,0),"")</f>
        <v/>
      </c>
      <c r="D370" s="31"/>
      <c r="E370" s="32" t="str">
        <f>IFERROR(_xlfn.XLOOKUP($B370,Insumo[DESCRIPCION],Insumo[VALOR],,0),"")</f>
        <v/>
      </c>
      <c r="F370" s="33"/>
      <c r="G370" s="34" t="str">
        <f>IFERROR(IF(F370&gt;=0,D370*E370*(1+F370/100),ABS(D370*E370/F370)),"")</f>
        <v/>
      </c>
      <c r="H370" s="43" t="str">
        <f>IFERROR(G370*E364,"")</f>
        <v/>
      </c>
    </row>
    <row r="371" spans="1:11" ht="12.75" customHeight="1">
      <c r="A371" s="28"/>
      <c r="B371" s="29"/>
      <c r="C371" s="30" t="str">
        <f>IFERROR(_xlfn.XLOOKUP(B371,Insumo[DESCRIPCION],Insumo[UND],,0),"")</f>
        <v/>
      </c>
      <c r="D371" s="31"/>
      <c r="E371" s="32" t="str">
        <f>IFERROR(_xlfn.XLOOKUP($B371,Insumo[DESCRIPCION],Insumo[VALOR],,0),"")</f>
        <v/>
      </c>
      <c r="F371" s="33"/>
      <c r="G371" s="34" t="str">
        <f>IFERROR(IF(F371&gt;=0,D371*E371*(1+F371/100),ABS(D371*E371/F371)),"")</f>
        <v/>
      </c>
      <c r="H371" s="43" t="str">
        <f>IFERROR(G371*E364,"")</f>
        <v/>
      </c>
    </row>
    <row r="372" spans="1:11" ht="12.75" customHeight="1">
      <c r="A372" s="21"/>
      <c r="B372" s="22" t="s">
        <v>3731</v>
      </c>
      <c r="C372" s="23"/>
      <c r="D372" s="24"/>
      <c r="E372" s="25"/>
      <c r="F372" s="26"/>
      <c r="G372" s="27">
        <f>SUM(G373:G375)</f>
        <v>2619.9229241250005</v>
      </c>
      <c r="H372" s="44">
        <f>G372*E364</f>
        <v>0</v>
      </c>
    </row>
    <row r="373" spans="1:11" ht="12.75" customHeight="1">
      <c r="A373" s="28"/>
      <c r="B373" s="29" t="s">
        <v>3573</v>
      </c>
      <c r="C373" s="30" t="str">
        <f>IFERROR(_xlfn.XLOOKUP(B373,Equipo[DESCRIPCION],Equipo[UND],,0),"")</f>
        <v>%MO</v>
      </c>
      <c r="D373" s="31">
        <v>0.1</v>
      </c>
      <c r="E373" s="32">
        <f>IF(C373="%MO",G379,IFERROR(_xlfn.XLOOKUP($B373,Equipo[DESCRIPCION],Equipo[VALOR],,0),""))</f>
        <v>17466.152827500002</v>
      </c>
      <c r="F373" s="33"/>
      <c r="G373" s="34">
        <f>IFERROR(IF(F373&gt;=0,D373*E373*(1+F373/100),ABS(D373*E373/F373)),"")</f>
        <v>1746.6152827500002</v>
      </c>
      <c r="H373" s="43">
        <f>IFERROR(G373*E364,"")</f>
        <v>0</v>
      </c>
    </row>
    <row r="374" spans="1:11" ht="12.75" customHeight="1">
      <c r="A374" s="28"/>
      <c r="B374" s="29" t="s">
        <v>3626</v>
      </c>
      <c r="C374" s="30" t="str">
        <f>IFERROR(_xlfn.XLOOKUP(B374,Equipo[DESCRIPCION],Equipo[UND],,0),"")</f>
        <v>%MO</v>
      </c>
      <c r="D374" s="31">
        <v>0.05</v>
      </c>
      <c r="E374" s="32">
        <f>IF(C374="%MO",G379,IFERROR(_xlfn.XLOOKUP($B374,Equipo[DESCRIPCION],Equipo[VALOR],,0),""))</f>
        <v>17466.152827500002</v>
      </c>
      <c r="F374" s="33"/>
      <c r="G374" s="34">
        <f>IFERROR(IF(F374&gt;=0,D374*E374*(1+F374/100),ABS(D374*E374/F374)),"")</f>
        <v>873.30764137500012</v>
      </c>
      <c r="H374" s="43">
        <f>IFERROR(G374*E364,"")</f>
        <v>0</v>
      </c>
    </row>
    <row r="375" spans="1:11" ht="12.75" customHeight="1">
      <c r="A375" s="28"/>
      <c r="B375" s="29"/>
      <c r="C375" s="30" t="str">
        <f>IFERROR(_xlfn.XLOOKUP(B375,Equipo[DESCRIPCION],Equipo[UND],,0),"")</f>
        <v/>
      </c>
      <c r="D375" s="31"/>
      <c r="E375" s="32" t="str">
        <f>IF(C375="%MO",G379,IFERROR(_xlfn.XLOOKUP($B375,Equipo[DESCRIPCION],Equipo[VALOR],,0),""))</f>
        <v/>
      </c>
      <c r="F375" s="33"/>
      <c r="G375" s="34" t="str">
        <f>IFERROR(IF(F375&gt;=0,D375*E375*(1+F375/100),ABS(D375*E375/F375)),"")</f>
        <v/>
      </c>
      <c r="H375" s="43" t="str">
        <f>IFERROR(G375*E364,"")</f>
        <v/>
      </c>
    </row>
    <row r="376" spans="1:11" ht="12.75" customHeight="1">
      <c r="A376" s="21"/>
      <c r="B376" s="22" t="s">
        <v>2533</v>
      </c>
      <c r="C376" s="23"/>
      <c r="D376" s="24"/>
      <c r="E376" s="25"/>
      <c r="F376" s="26"/>
      <c r="G376" s="27">
        <f>SUM(G377:G378)</f>
        <v>0</v>
      </c>
      <c r="H376" s="44">
        <f>G376*E364</f>
        <v>0</v>
      </c>
    </row>
    <row r="377" spans="1:11" ht="12.75" customHeight="1">
      <c r="A377" s="28"/>
      <c r="B377" s="29"/>
      <c r="C377" s="30" t="str">
        <f>IFERROR(_xlfn.XLOOKUP(B377,Transporte[DESCRIPCION],Transporte[UND],,0),"")</f>
        <v/>
      </c>
      <c r="D377" s="31"/>
      <c r="E377" s="32" t="str">
        <f>IFERROR(_xlfn.XLOOKUP($B377,Transporte[DESCRIPCION],Transporte[VALOR],,0),"")</f>
        <v/>
      </c>
      <c r="F377" s="33"/>
      <c r="G377" s="34" t="str">
        <f>IFERROR(IF(F377&gt;=0,D377*E377*(1+F377/100),ABS(D377*E377/F377)),"")</f>
        <v/>
      </c>
      <c r="H377" s="43" t="str">
        <f>IFERROR(G377*E364,"")</f>
        <v/>
      </c>
    </row>
    <row r="378" spans="1:11" ht="12.75" customHeight="1">
      <c r="A378" s="28"/>
      <c r="B378" s="29"/>
      <c r="C378" s="30" t="str">
        <f>IFERROR(_xlfn.XLOOKUP(B378,Transporte[DESCRIPCION],Transporte[UND],,0),"")</f>
        <v/>
      </c>
      <c r="D378" s="31"/>
      <c r="E378" s="32" t="str">
        <f>IFERROR(_xlfn.XLOOKUP($B378,Transporte[DESCRIPCION],Transporte[VALOR],,0),"")</f>
        <v/>
      </c>
      <c r="F378" s="33"/>
      <c r="G378" s="34" t="str">
        <f>IFERROR(IF(F378&gt;=0,D378*E378*(1+F378/100),ABS(D378*E378/F378)),"")</f>
        <v/>
      </c>
      <c r="H378" s="43" t="str">
        <f>IFERROR(G378*E364,"")</f>
        <v/>
      </c>
    </row>
    <row r="379" spans="1:11" ht="12.75" customHeight="1">
      <c r="A379" s="21"/>
      <c r="B379" s="22" t="s">
        <v>3732</v>
      </c>
      <c r="C379" s="23"/>
      <c r="D379" s="24"/>
      <c r="E379" s="25"/>
      <c r="F379" s="26"/>
      <c r="G379" s="27">
        <f>SUM(G380:G382)</f>
        <v>17466.152827500002</v>
      </c>
      <c r="H379" s="44">
        <f>G379*E364</f>
        <v>0</v>
      </c>
    </row>
    <row r="380" spans="1:11" ht="12.75" customHeight="1">
      <c r="A380" s="28"/>
      <c r="B380" s="29" t="s">
        <v>3710</v>
      </c>
      <c r="C380" s="30" t="str">
        <f>IFERROR(_xlfn.XLOOKUP(B380,MObra[DESCRIPCION],MObra[UN],,0),"")</f>
        <v>día</v>
      </c>
      <c r="D380" s="31">
        <v>1</v>
      </c>
      <c r="E380" s="32">
        <f>IFERROR(_xlfn.XLOOKUP($B380,MObra[DESCRIPCION],MObra[VALOR UNIT],,0),"")</f>
        <v>314390.75089500006</v>
      </c>
      <c r="F380" s="33">
        <v>-18</v>
      </c>
      <c r="G380" s="34">
        <f>IFERROR(IF(F380&gt;=0,D380*E380*(1+F380/100),ABS(D380*E380/F380)),"")</f>
        <v>17466.152827500002</v>
      </c>
      <c r="H380" s="43">
        <f>IFERROR(G380*E364,"")</f>
        <v>0</v>
      </c>
    </row>
    <row r="381" spans="1:11" ht="12.75" customHeight="1">
      <c r="A381" s="28"/>
      <c r="B381" s="29"/>
      <c r="C381" s="30" t="str">
        <f t="array" ref="C381">IFERROR(_xlfn.XLOOKUP(B381,MObra[[#All],[DESCRIPCION]],MObra[[#All],[UN]],,0),"")</f>
        <v/>
      </c>
      <c r="D381" s="31"/>
      <c r="E381" s="32" t="str">
        <f>IFERROR(_xlfn.XLOOKUP($B381,MObra[DESCRIPCION],MObra[VALOR UNIT],,0),"")</f>
        <v/>
      </c>
      <c r="F381" s="33"/>
      <c r="G381" s="34" t="str">
        <f>IFERROR(IF(F381&gt;=0,D381*E381*(1+F381/100),ABS(D381*E381/F381)),"")</f>
        <v/>
      </c>
      <c r="H381" s="43" t="str">
        <f>IFERROR(G381*E364,"")</f>
        <v/>
      </c>
    </row>
    <row r="382" spans="1:11" ht="12.75" customHeight="1" thickBot="1">
      <c r="A382" s="35"/>
      <c r="B382" s="36"/>
      <c r="C382" s="37" t="str">
        <f t="array" ref="C382">IFERROR(_xlfn.XLOOKUP(B382,MObra[[#All],[DESCRIPCION]],MObra[[#All],[UN]],,0),"")</f>
        <v/>
      </c>
      <c r="D382" s="38"/>
      <c r="E382" s="39" t="str">
        <f>IFERROR(_xlfn.XLOOKUP($B382,MObra[DESCRIPCION],MObra[VALOR UNIT],,0),"")</f>
        <v/>
      </c>
      <c r="F382" s="40"/>
      <c r="G382" s="41" t="str">
        <f>IFERROR(IF(F382&gt;=0,D382*E382*(1+F382/100),ABS(D382*E382/F382)),"")</f>
        <v/>
      </c>
      <c r="H382" s="42" t="str">
        <f>IFERROR(G382*E364,"")</f>
        <v/>
      </c>
    </row>
    <row r="383" spans="1:11" ht="12.75" customHeight="1" thickTop="1" thickBot="1"/>
    <row r="384" spans="1:11" ht="12.75" customHeight="1" thickTop="1" thickBot="1">
      <c r="A384" s="6" t="s">
        <v>1131</v>
      </c>
      <c r="B384" s="7" t="str">
        <f>VLOOKUP($A384,Presupuesto!$A:$D,2,FALSE())</f>
        <v>Codo acero al carbon ranurado 90 2 1/2"</v>
      </c>
      <c r="C384" s="8" t="str">
        <f>VLOOKUP($A384,Presupuesto!$A:$D,3,FALSE())</f>
        <v>Un</v>
      </c>
      <c r="D384" s="9"/>
      <c r="E384" s="10">
        <f>VLOOKUP($A384,Presupuesto!$A:$D,4,FALSE())</f>
        <v>0</v>
      </c>
      <c r="F384" s="11" t="s">
        <v>2589</v>
      </c>
      <c r="G384" s="12">
        <f>SUM(G386:G402)/2</f>
        <v>57595.225751625003</v>
      </c>
      <c r="H384" s="13">
        <f>ROUND(SUM(H386:H402),0)/2</f>
        <v>0</v>
      </c>
      <c r="I384" s="10">
        <f>VLOOKUP(A384,Presupuesto!$A:$F,6,0)</f>
        <v>0</v>
      </c>
      <c r="J384" s="10">
        <f>+H384-I384</f>
        <v>0</v>
      </c>
      <c r="K384" s="46">
        <f>+H384-G384*E384</f>
        <v>0</v>
      </c>
    </row>
    <row r="385" spans="1:8" ht="12.75" customHeight="1" thickTop="1">
      <c r="A385" s="14"/>
      <c r="B385" s="15" t="s">
        <v>2586</v>
      </c>
      <c r="C385" s="15" t="s">
        <v>5</v>
      </c>
      <c r="D385" s="16" t="s">
        <v>6</v>
      </c>
      <c r="E385" s="17" t="s">
        <v>7</v>
      </c>
      <c r="F385" s="18" t="s">
        <v>3728</v>
      </c>
      <c r="G385" s="19" t="s">
        <v>3729</v>
      </c>
      <c r="H385" s="20" t="s">
        <v>3797</v>
      </c>
    </row>
    <row r="386" spans="1:8" ht="12.75" customHeight="1">
      <c r="A386" s="21"/>
      <c r="B386" s="22" t="s">
        <v>3730</v>
      </c>
      <c r="C386" s="23"/>
      <c r="D386" s="24"/>
      <c r="E386" s="25"/>
      <c r="F386" s="26"/>
      <c r="G386" s="27">
        <f>SUM(G387:G391)</f>
        <v>37509.15</v>
      </c>
      <c r="H386" s="27">
        <f>IFERROR(G386*E384,"")</f>
        <v>0</v>
      </c>
    </row>
    <row r="387" spans="1:8" ht="12.75" customHeight="1">
      <c r="A387" s="28"/>
      <c r="B387" s="29" t="s">
        <v>2860</v>
      </c>
      <c r="C387" s="30" t="str">
        <f>IFERROR(_xlfn.XLOOKUP(B387,Insumo[DESCRIPCION],Insumo[UND],,0),"")</f>
        <v>Un</v>
      </c>
      <c r="D387" s="31">
        <v>1</v>
      </c>
      <c r="E387" s="32">
        <f>IFERROR(_xlfn.XLOOKUP($B387,Insumo[DESCRIPCION],Insumo[VALOR],,0),"")</f>
        <v>37509.15</v>
      </c>
      <c r="F387" s="33"/>
      <c r="G387" s="34">
        <f>IFERROR(IF(F387&gt;=0,D387*E387*(1+F387/100),ABS(D387*E387/F387)),"")</f>
        <v>37509.15</v>
      </c>
      <c r="H387" s="43">
        <f>IFERROR(G387*E384,"")</f>
        <v>0</v>
      </c>
    </row>
    <row r="388" spans="1:8" ht="12.75" customHeight="1">
      <c r="A388" s="28"/>
      <c r="B388" s="29"/>
      <c r="C388" s="30" t="str">
        <f>IFERROR(_xlfn.XLOOKUP(B388,Insumo[DESCRIPCION],Insumo[UND],,0),"")</f>
        <v/>
      </c>
      <c r="D388" s="31"/>
      <c r="E388" s="32" t="str">
        <f>IFERROR(_xlfn.XLOOKUP($B388,Insumo[DESCRIPCION],Insumo[VALOR],,0),"")</f>
        <v/>
      </c>
      <c r="F388" s="33"/>
      <c r="G388" s="34" t="str">
        <f>IFERROR(IF(F388&gt;=0,D388*E388*(1+F388/100),ABS(D388*E388/F388)),"")</f>
        <v/>
      </c>
      <c r="H388" s="43" t="str">
        <f>IFERROR(G388*E384,"")</f>
        <v/>
      </c>
    </row>
    <row r="389" spans="1:8" ht="12.75" customHeight="1">
      <c r="A389" s="28"/>
      <c r="B389" s="29"/>
      <c r="C389" s="30" t="str">
        <f>IFERROR(_xlfn.XLOOKUP(B389,Insumo[DESCRIPCION],Insumo[UND],,0),"")</f>
        <v/>
      </c>
      <c r="D389" s="31"/>
      <c r="E389" s="32" t="str">
        <f>IFERROR(_xlfn.XLOOKUP($B389,Insumo[DESCRIPCION],Insumo[VALOR],,0),"")</f>
        <v/>
      </c>
      <c r="F389" s="33"/>
      <c r="G389" s="34" t="str">
        <f>IFERROR(IF(F389&gt;=0,D389*E389*(1+F389/100),ABS(D389*E389/F389)),"")</f>
        <v/>
      </c>
      <c r="H389" s="43" t="str">
        <f>IFERROR(G389*E384,"")</f>
        <v/>
      </c>
    </row>
    <row r="390" spans="1:8" ht="12.75" customHeight="1">
      <c r="A390" s="28"/>
      <c r="B390" s="29"/>
      <c r="C390" s="30" t="str">
        <f>IFERROR(_xlfn.XLOOKUP(B390,Insumo[DESCRIPCION],Insumo[UND],,0),"")</f>
        <v/>
      </c>
      <c r="D390" s="31"/>
      <c r="E390" s="32" t="str">
        <f>IFERROR(_xlfn.XLOOKUP($B390,Insumo[DESCRIPCION],Insumo[VALOR],,0),"")</f>
        <v/>
      </c>
      <c r="F390" s="33"/>
      <c r="G390" s="34" t="str">
        <f>IFERROR(IF(F390&gt;=0,D390*E390*(1+F390/100),ABS(D390*E390/F390)),"")</f>
        <v/>
      </c>
      <c r="H390" s="43" t="str">
        <f>IFERROR(G390*E384,"")</f>
        <v/>
      </c>
    </row>
    <row r="391" spans="1:8" ht="12.75" customHeight="1">
      <c r="A391" s="28"/>
      <c r="B391" s="29"/>
      <c r="C391" s="30" t="str">
        <f>IFERROR(_xlfn.XLOOKUP(B391,Insumo[DESCRIPCION],Insumo[UND],,0),"")</f>
        <v/>
      </c>
      <c r="D391" s="31"/>
      <c r="E391" s="32" t="str">
        <f>IFERROR(_xlfn.XLOOKUP($B391,Insumo[DESCRIPCION],Insumo[VALOR],,0),"")</f>
        <v/>
      </c>
      <c r="F391" s="33"/>
      <c r="G391" s="34" t="str">
        <f>IFERROR(IF(F391&gt;=0,D391*E391*(1+F391/100),ABS(D391*E391/F391)),"")</f>
        <v/>
      </c>
      <c r="H391" s="43" t="str">
        <f>IFERROR(G391*E384,"")</f>
        <v/>
      </c>
    </row>
    <row r="392" spans="1:8" ht="12.75" customHeight="1">
      <c r="A392" s="21"/>
      <c r="B392" s="22" t="s">
        <v>3731</v>
      </c>
      <c r="C392" s="23"/>
      <c r="D392" s="24"/>
      <c r="E392" s="25"/>
      <c r="F392" s="26"/>
      <c r="G392" s="27">
        <f>SUM(G393:G395)</f>
        <v>2619.9229241250005</v>
      </c>
      <c r="H392" s="44">
        <f>G392*E384</f>
        <v>0</v>
      </c>
    </row>
    <row r="393" spans="1:8" ht="12.75" customHeight="1">
      <c r="A393" s="28"/>
      <c r="B393" s="29" t="s">
        <v>3573</v>
      </c>
      <c r="C393" s="30" t="str">
        <f>IFERROR(_xlfn.XLOOKUP(B393,Equipo[DESCRIPCION],Equipo[UND],,0),"")</f>
        <v>%MO</v>
      </c>
      <c r="D393" s="31">
        <v>0.1</v>
      </c>
      <c r="E393" s="32">
        <f>IF(C393="%MO",G399,IFERROR(_xlfn.XLOOKUP($B393,Equipo[DESCRIPCION],Equipo[VALOR],,0),""))</f>
        <v>17466.152827500002</v>
      </c>
      <c r="F393" s="33"/>
      <c r="G393" s="34">
        <f>IFERROR(IF(F393&gt;=0,D393*E393*(1+F393/100),ABS(D393*E393/F393)),"")</f>
        <v>1746.6152827500002</v>
      </c>
      <c r="H393" s="43">
        <f>IFERROR(G393*E384,"")</f>
        <v>0</v>
      </c>
    </row>
    <row r="394" spans="1:8" ht="12.75" customHeight="1">
      <c r="A394" s="28"/>
      <c r="B394" s="29" t="s">
        <v>3626</v>
      </c>
      <c r="C394" s="30" t="str">
        <f>IFERROR(_xlfn.XLOOKUP(B394,Equipo[DESCRIPCION],Equipo[UND],,0),"")</f>
        <v>%MO</v>
      </c>
      <c r="D394" s="31">
        <v>0.05</v>
      </c>
      <c r="E394" s="32">
        <f>IF(C394="%MO",G399,IFERROR(_xlfn.XLOOKUP($B394,Equipo[DESCRIPCION],Equipo[VALOR],,0),""))</f>
        <v>17466.152827500002</v>
      </c>
      <c r="F394" s="33"/>
      <c r="G394" s="34">
        <f>IFERROR(IF(F394&gt;=0,D394*E394*(1+F394/100),ABS(D394*E394/F394)),"")</f>
        <v>873.30764137500012</v>
      </c>
      <c r="H394" s="43">
        <f>IFERROR(G394*E384,"")</f>
        <v>0</v>
      </c>
    </row>
    <row r="395" spans="1:8" ht="12.75" customHeight="1">
      <c r="A395" s="28"/>
      <c r="B395" s="29"/>
      <c r="C395" s="30" t="str">
        <f>IFERROR(_xlfn.XLOOKUP(B395,Equipo[DESCRIPCION],Equipo[UND],,0),"")</f>
        <v/>
      </c>
      <c r="D395" s="31"/>
      <c r="E395" s="32" t="str">
        <f>IF(C395="%MO",G399,IFERROR(_xlfn.XLOOKUP($B395,Equipo[DESCRIPCION],Equipo[VALOR],,0),""))</f>
        <v/>
      </c>
      <c r="F395" s="33"/>
      <c r="G395" s="34" t="str">
        <f>IFERROR(IF(F395&gt;=0,D395*E395*(1+F395/100),ABS(D395*E395/F395)),"")</f>
        <v/>
      </c>
      <c r="H395" s="43" t="str">
        <f>IFERROR(G395*E384,"")</f>
        <v/>
      </c>
    </row>
    <row r="396" spans="1:8" ht="12.75" customHeight="1">
      <c r="A396" s="21"/>
      <c r="B396" s="22" t="s">
        <v>2533</v>
      </c>
      <c r="C396" s="23"/>
      <c r="D396" s="24"/>
      <c r="E396" s="25"/>
      <c r="F396" s="26"/>
      <c r="G396" s="27">
        <f>SUM(G397:G398)</f>
        <v>0</v>
      </c>
      <c r="H396" s="44">
        <f>G396*E384</f>
        <v>0</v>
      </c>
    </row>
    <row r="397" spans="1:8" ht="12.75" customHeight="1">
      <c r="A397" s="28"/>
      <c r="B397" s="29"/>
      <c r="C397" s="30" t="str">
        <f>IFERROR(_xlfn.XLOOKUP(B397,Transporte[DESCRIPCION],Transporte[UND],,0),"")</f>
        <v/>
      </c>
      <c r="D397" s="31"/>
      <c r="E397" s="32" t="str">
        <f>IFERROR(_xlfn.XLOOKUP($B397,Transporte[DESCRIPCION],Transporte[VALOR],,0),"")</f>
        <v/>
      </c>
      <c r="F397" s="33"/>
      <c r="G397" s="34" t="str">
        <f>IFERROR(IF(F397&gt;=0,D397*E397*(1+F397/100),ABS(D397*E397/F397)),"")</f>
        <v/>
      </c>
      <c r="H397" s="43" t="str">
        <f>IFERROR(G397*E384,"")</f>
        <v/>
      </c>
    </row>
    <row r="398" spans="1:8" ht="12.75" customHeight="1">
      <c r="A398" s="28"/>
      <c r="B398" s="29"/>
      <c r="C398" s="30" t="str">
        <f>IFERROR(_xlfn.XLOOKUP(B398,Transporte[DESCRIPCION],Transporte[UND],,0),"")</f>
        <v/>
      </c>
      <c r="D398" s="31"/>
      <c r="E398" s="32" t="str">
        <f>IFERROR(_xlfn.XLOOKUP($B398,Transporte[DESCRIPCION],Transporte[VALOR],,0),"")</f>
        <v/>
      </c>
      <c r="F398" s="33"/>
      <c r="G398" s="34" t="str">
        <f>IFERROR(IF(F398&gt;=0,D398*E398*(1+F398/100),ABS(D398*E398/F398)),"")</f>
        <v/>
      </c>
      <c r="H398" s="43" t="str">
        <f>IFERROR(G398*E384,"")</f>
        <v/>
      </c>
    </row>
    <row r="399" spans="1:8" ht="12.75" customHeight="1">
      <c r="A399" s="21"/>
      <c r="B399" s="22" t="s">
        <v>3732</v>
      </c>
      <c r="C399" s="23"/>
      <c r="D399" s="24"/>
      <c r="E399" s="25"/>
      <c r="F399" s="26"/>
      <c r="G399" s="27">
        <f>SUM(G400:G402)</f>
        <v>17466.152827500002</v>
      </c>
      <c r="H399" s="44">
        <f>G399*E384</f>
        <v>0</v>
      </c>
    </row>
    <row r="400" spans="1:8" ht="12.75" customHeight="1">
      <c r="A400" s="28"/>
      <c r="B400" s="29" t="s">
        <v>3710</v>
      </c>
      <c r="C400" s="30" t="str">
        <f>IFERROR(_xlfn.XLOOKUP(B400,MObra[DESCRIPCION],MObra[UN],,0),"")</f>
        <v>día</v>
      </c>
      <c r="D400" s="31">
        <v>1</v>
      </c>
      <c r="E400" s="32">
        <f>IFERROR(_xlfn.XLOOKUP($B400,MObra[DESCRIPCION],MObra[VALOR UNIT],,0),"")</f>
        <v>314390.75089500006</v>
      </c>
      <c r="F400" s="33">
        <v>-18</v>
      </c>
      <c r="G400" s="34">
        <f>IFERROR(IF(F400&gt;=0,D400*E400*(1+F400/100),ABS(D400*E400/F400)),"")</f>
        <v>17466.152827500002</v>
      </c>
      <c r="H400" s="43">
        <f>IFERROR(G400*E384,"")</f>
        <v>0</v>
      </c>
    </row>
    <row r="401" spans="1:11" ht="12.75" customHeight="1">
      <c r="A401" s="28"/>
      <c r="B401" s="29"/>
      <c r="C401" s="30" t="str">
        <f t="array" ref="C401">IFERROR(_xlfn.XLOOKUP(B401,MObra[[#All],[DESCRIPCION]],MObra[[#All],[UN]],,0),"")</f>
        <v/>
      </c>
      <c r="D401" s="31"/>
      <c r="E401" s="32" t="str">
        <f>IFERROR(_xlfn.XLOOKUP($B401,MObra[DESCRIPCION],MObra[VALOR UNIT],,0),"")</f>
        <v/>
      </c>
      <c r="F401" s="33"/>
      <c r="G401" s="34" t="str">
        <f>IFERROR(IF(F401&gt;=0,D401*E401*(1+F401/100),ABS(D401*E401/F401)),"")</f>
        <v/>
      </c>
      <c r="H401" s="43" t="str">
        <f>IFERROR(G401*E384,"")</f>
        <v/>
      </c>
    </row>
    <row r="402" spans="1:11" ht="12.75" customHeight="1" thickBot="1">
      <c r="A402" s="35"/>
      <c r="B402" s="36"/>
      <c r="C402" s="37" t="str">
        <f t="array" ref="C402">IFERROR(_xlfn.XLOOKUP(B402,MObra[[#All],[DESCRIPCION]],MObra[[#All],[UN]],,0),"")</f>
        <v/>
      </c>
      <c r="D402" s="38"/>
      <c r="E402" s="39" t="str">
        <f>IFERROR(_xlfn.XLOOKUP($B402,MObra[DESCRIPCION],MObra[VALOR UNIT],,0),"")</f>
        <v/>
      </c>
      <c r="F402" s="40"/>
      <c r="G402" s="41" t="str">
        <f>IFERROR(IF(F402&gt;=0,D402*E402*(1+F402/100),ABS(D402*E402/F402)),"")</f>
        <v/>
      </c>
      <c r="H402" s="42" t="str">
        <f>IFERROR(G402*E384,"")</f>
        <v/>
      </c>
    </row>
    <row r="403" spans="1:11" ht="12.75" customHeight="1" thickTop="1" thickBot="1"/>
    <row r="404" spans="1:11" ht="12.75" customHeight="1" thickTop="1" thickBot="1">
      <c r="A404" s="6" t="s">
        <v>1133</v>
      </c>
      <c r="B404" s="7" t="str">
        <f>VLOOKUP($A404,Presupuesto!$A:$D,2,FALSE())</f>
        <v>Codo acero al carbon ranurado 90 2"</v>
      </c>
      <c r="C404" s="8" t="str">
        <f>VLOOKUP($A404,Presupuesto!$A:$D,3,FALSE())</f>
        <v>Un</v>
      </c>
      <c r="D404" s="9"/>
      <c r="E404" s="10">
        <f>VLOOKUP($A404,Presupuesto!$A:$D,4,FALSE())</f>
        <v>0</v>
      </c>
      <c r="F404" s="11" t="s">
        <v>2589</v>
      </c>
      <c r="G404" s="12">
        <f>SUM(G406:G422)/2</f>
        <v>46228.975751625003</v>
      </c>
      <c r="H404" s="13">
        <f>ROUND(SUM(H406:H422),0)/2</f>
        <v>0</v>
      </c>
      <c r="I404" s="10">
        <f>VLOOKUP(A404,Presupuesto!$A:$F,6,0)</f>
        <v>0</v>
      </c>
      <c r="J404" s="10">
        <f>+H404-I404</f>
        <v>0</v>
      </c>
      <c r="K404" s="46">
        <f>+H404-G404*E404</f>
        <v>0</v>
      </c>
    </row>
    <row r="405" spans="1:11" ht="12.75" customHeight="1" thickTop="1">
      <c r="A405" s="14"/>
      <c r="B405" s="15" t="s">
        <v>2586</v>
      </c>
      <c r="C405" s="15" t="s">
        <v>5</v>
      </c>
      <c r="D405" s="16" t="s">
        <v>6</v>
      </c>
      <c r="E405" s="17" t="s">
        <v>7</v>
      </c>
      <c r="F405" s="18" t="s">
        <v>3728</v>
      </c>
      <c r="G405" s="19" t="s">
        <v>3729</v>
      </c>
      <c r="H405" s="20" t="s">
        <v>3797</v>
      </c>
    </row>
    <row r="406" spans="1:11" ht="12.75" customHeight="1">
      <c r="A406" s="21"/>
      <c r="B406" s="22" t="s">
        <v>3730</v>
      </c>
      <c r="C406" s="23"/>
      <c r="D406" s="24"/>
      <c r="E406" s="25"/>
      <c r="F406" s="26"/>
      <c r="G406" s="27">
        <f>SUM(G407:G411)</f>
        <v>26142.9</v>
      </c>
      <c r="H406" s="27">
        <f>IFERROR(G406*E404,"")</f>
        <v>0</v>
      </c>
    </row>
    <row r="407" spans="1:11" ht="12.75" customHeight="1">
      <c r="A407" s="28"/>
      <c r="B407" s="29" t="s">
        <v>2861</v>
      </c>
      <c r="C407" s="30" t="str">
        <f>IFERROR(_xlfn.XLOOKUP(B407,Insumo[DESCRIPCION],Insumo[UND],,0),"")</f>
        <v>Un</v>
      </c>
      <c r="D407" s="31">
        <v>1</v>
      </c>
      <c r="E407" s="32">
        <f>IFERROR(_xlfn.XLOOKUP($B407,Insumo[DESCRIPCION],Insumo[VALOR],,0),"")</f>
        <v>26142.9</v>
      </c>
      <c r="F407" s="33"/>
      <c r="G407" s="34">
        <f>IFERROR(IF(F407&gt;=0,D407*E407*(1+F407/100),ABS(D407*E407/F407)),"")</f>
        <v>26142.9</v>
      </c>
      <c r="H407" s="43">
        <f>IFERROR(G407*E404,"")</f>
        <v>0</v>
      </c>
    </row>
    <row r="408" spans="1:11" ht="12.75" customHeight="1">
      <c r="A408" s="28"/>
      <c r="B408" s="29"/>
      <c r="C408" s="30" t="str">
        <f>IFERROR(_xlfn.XLOOKUP(B408,Insumo[DESCRIPCION],Insumo[UND],,0),"")</f>
        <v/>
      </c>
      <c r="D408" s="31"/>
      <c r="E408" s="32" t="str">
        <f>IFERROR(_xlfn.XLOOKUP($B408,Insumo[DESCRIPCION],Insumo[VALOR],,0),"")</f>
        <v/>
      </c>
      <c r="F408" s="33"/>
      <c r="G408" s="34" t="str">
        <f>IFERROR(IF(F408&gt;=0,D408*E408*(1+F408/100),ABS(D408*E408/F408)),"")</f>
        <v/>
      </c>
      <c r="H408" s="43" t="str">
        <f>IFERROR(G408*E404,"")</f>
        <v/>
      </c>
    </row>
    <row r="409" spans="1:11" ht="12.75" customHeight="1">
      <c r="A409" s="28"/>
      <c r="B409" s="29"/>
      <c r="C409" s="30" t="str">
        <f>IFERROR(_xlfn.XLOOKUP(B409,Insumo[DESCRIPCION],Insumo[UND],,0),"")</f>
        <v/>
      </c>
      <c r="D409" s="31"/>
      <c r="E409" s="32" t="str">
        <f>IFERROR(_xlfn.XLOOKUP($B409,Insumo[DESCRIPCION],Insumo[VALOR],,0),"")</f>
        <v/>
      </c>
      <c r="F409" s="33"/>
      <c r="G409" s="34" t="str">
        <f>IFERROR(IF(F409&gt;=0,D409*E409*(1+F409/100),ABS(D409*E409/F409)),"")</f>
        <v/>
      </c>
      <c r="H409" s="43" t="str">
        <f>IFERROR(G409*E404,"")</f>
        <v/>
      </c>
    </row>
    <row r="410" spans="1:11" ht="12.75" customHeight="1">
      <c r="A410" s="28"/>
      <c r="B410" s="29"/>
      <c r="C410" s="30" t="str">
        <f>IFERROR(_xlfn.XLOOKUP(B410,Insumo[DESCRIPCION],Insumo[UND],,0),"")</f>
        <v/>
      </c>
      <c r="D410" s="31"/>
      <c r="E410" s="32" t="str">
        <f>IFERROR(_xlfn.XLOOKUP($B410,Insumo[DESCRIPCION],Insumo[VALOR],,0),"")</f>
        <v/>
      </c>
      <c r="F410" s="33"/>
      <c r="G410" s="34" t="str">
        <f>IFERROR(IF(F410&gt;=0,D410*E410*(1+F410/100),ABS(D410*E410/F410)),"")</f>
        <v/>
      </c>
      <c r="H410" s="43" t="str">
        <f>IFERROR(G410*E404,"")</f>
        <v/>
      </c>
    </row>
    <row r="411" spans="1:11" ht="12.75" customHeight="1">
      <c r="A411" s="28"/>
      <c r="B411" s="29"/>
      <c r="C411" s="30" t="str">
        <f>IFERROR(_xlfn.XLOOKUP(B411,Insumo[DESCRIPCION],Insumo[UND],,0),"")</f>
        <v/>
      </c>
      <c r="D411" s="31"/>
      <c r="E411" s="32" t="str">
        <f>IFERROR(_xlfn.XLOOKUP($B411,Insumo[DESCRIPCION],Insumo[VALOR],,0),"")</f>
        <v/>
      </c>
      <c r="F411" s="33"/>
      <c r="G411" s="34" t="str">
        <f>IFERROR(IF(F411&gt;=0,D411*E411*(1+F411/100),ABS(D411*E411/F411)),"")</f>
        <v/>
      </c>
      <c r="H411" s="43" t="str">
        <f>IFERROR(G411*E404,"")</f>
        <v/>
      </c>
    </row>
    <row r="412" spans="1:11" ht="12.75" customHeight="1">
      <c r="A412" s="21"/>
      <c r="B412" s="22" t="s">
        <v>3731</v>
      </c>
      <c r="C412" s="23"/>
      <c r="D412" s="24"/>
      <c r="E412" s="25"/>
      <c r="F412" s="26"/>
      <c r="G412" s="27">
        <f>SUM(G413:G415)</f>
        <v>2619.9229241250005</v>
      </c>
      <c r="H412" s="44">
        <f>G412*E404</f>
        <v>0</v>
      </c>
    </row>
    <row r="413" spans="1:11" ht="12.75" customHeight="1">
      <c r="A413" s="28"/>
      <c r="B413" s="29" t="s">
        <v>3573</v>
      </c>
      <c r="C413" s="30" t="str">
        <f>IFERROR(_xlfn.XLOOKUP(B413,Equipo[DESCRIPCION],Equipo[UND],,0),"")</f>
        <v>%MO</v>
      </c>
      <c r="D413" s="31">
        <v>0.1</v>
      </c>
      <c r="E413" s="32">
        <f>IF(C413="%MO",G419,IFERROR(_xlfn.XLOOKUP($B413,Equipo[DESCRIPCION],Equipo[VALOR],,0),""))</f>
        <v>17466.152827500002</v>
      </c>
      <c r="F413" s="33"/>
      <c r="G413" s="34">
        <f>IFERROR(IF(F413&gt;=0,D413*E413*(1+F413/100),ABS(D413*E413/F413)),"")</f>
        <v>1746.6152827500002</v>
      </c>
      <c r="H413" s="43">
        <f>IFERROR(G413*E404,"")</f>
        <v>0</v>
      </c>
    </row>
    <row r="414" spans="1:11" ht="12.75" customHeight="1">
      <c r="A414" s="28"/>
      <c r="B414" s="29" t="s">
        <v>3626</v>
      </c>
      <c r="C414" s="30" t="str">
        <f>IFERROR(_xlfn.XLOOKUP(B414,Equipo[DESCRIPCION],Equipo[UND],,0),"")</f>
        <v>%MO</v>
      </c>
      <c r="D414" s="31">
        <v>0.05</v>
      </c>
      <c r="E414" s="32">
        <f>IF(C414="%MO",G419,IFERROR(_xlfn.XLOOKUP($B414,Equipo[DESCRIPCION],Equipo[VALOR],,0),""))</f>
        <v>17466.152827500002</v>
      </c>
      <c r="F414" s="33"/>
      <c r="G414" s="34">
        <f>IFERROR(IF(F414&gt;=0,D414*E414*(1+F414/100),ABS(D414*E414/F414)),"")</f>
        <v>873.30764137500012</v>
      </c>
      <c r="H414" s="43">
        <f>IFERROR(G414*E404,"")</f>
        <v>0</v>
      </c>
    </row>
    <row r="415" spans="1:11" ht="12.75" customHeight="1">
      <c r="A415" s="28"/>
      <c r="B415" s="29"/>
      <c r="C415" s="30" t="str">
        <f>IFERROR(_xlfn.XLOOKUP(B415,Equipo[DESCRIPCION],Equipo[UND],,0),"")</f>
        <v/>
      </c>
      <c r="D415" s="31"/>
      <c r="E415" s="32" t="str">
        <f>IF(C415="%MO",G419,IFERROR(_xlfn.XLOOKUP($B415,Equipo[DESCRIPCION],Equipo[VALOR],,0),""))</f>
        <v/>
      </c>
      <c r="F415" s="33"/>
      <c r="G415" s="34" t="str">
        <f>IFERROR(IF(F415&gt;=0,D415*E415*(1+F415/100),ABS(D415*E415/F415)),"")</f>
        <v/>
      </c>
      <c r="H415" s="43" t="str">
        <f>IFERROR(G415*E404,"")</f>
        <v/>
      </c>
    </row>
    <row r="416" spans="1:11" ht="12.75" customHeight="1">
      <c r="A416" s="21"/>
      <c r="B416" s="22" t="s">
        <v>2533</v>
      </c>
      <c r="C416" s="23"/>
      <c r="D416" s="24"/>
      <c r="E416" s="25"/>
      <c r="F416" s="26"/>
      <c r="G416" s="27">
        <f>SUM(G417:G418)</f>
        <v>0</v>
      </c>
      <c r="H416" s="44">
        <f>G416*E404</f>
        <v>0</v>
      </c>
    </row>
    <row r="417" spans="1:11" ht="12.75" customHeight="1">
      <c r="A417" s="28"/>
      <c r="B417" s="29"/>
      <c r="C417" s="30" t="str">
        <f>IFERROR(_xlfn.XLOOKUP(B417,Transporte[DESCRIPCION],Transporte[UND],,0),"")</f>
        <v/>
      </c>
      <c r="D417" s="31"/>
      <c r="E417" s="32" t="str">
        <f>IFERROR(_xlfn.XLOOKUP($B417,Transporte[DESCRIPCION],Transporte[VALOR],,0),"")</f>
        <v/>
      </c>
      <c r="F417" s="33"/>
      <c r="G417" s="34" t="str">
        <f>IFERROR(IF(F417&gt;=0,D417*E417*(1+F417/100),ABS(D417*E417/F417)),"")</f>
        <v/>
      </c>
      <c r="H417" s="43" t="str">
        <f>IFERROR(G417*E404,"")</f>
        <v/>
      </c>
    </row>
    <row r="418" spans="1:11" ht="12.75" customHeight="1">
      <c r="A418" s="28"/>
      <c r="B418" s="29"/>
      <c r="C418" s="30" t="str">
        <f>IFERROR(_xlfn.XLOOKUP(B418,Transporte[DESCRIPCION],Transporte[UND],,0),"")</f>
        <v/>
      </c>
      <c r="D418" s="31"/>
      <c r="E418" s="32" t="str">
        <f>IFERROR(_xlfn.XLOOKUP($B418,Transporte[DESCRIPCION],Transporte[VALOR],,0),"")</f>
        <v/>
      </c>
      <c r="F418" s="33"/>
      <c r="G418" s="34" t="str">
        <f>IFERROR(IF(F418&gt;=0,D418*E418*(1+F418/100),ABS(D418*E418/F418)),"")</f>
        <v/>
      </c>
      <c r="H418" s="43" t="str">
        <f>IFERROR(G418*E404,"")</f>
        <v/>
      </c>
    </row>
    <row r="419" spans="1:11" ht="12.75" customHeight="1">
      <c r="A419" s="21"/>
      <c r="B419" s="22" t="s">
        <v>3732</v>
      </c>
      <c r="C419" s="23"/>
      <c r="D419" s="24"/>
      <c r="E419" s="25"/>
      <c r="F419" s="26"/>
      <c r="G419" s="27">
        <f>SUM(G420:G422)</f>
        <v>17466.152827500002</v>
      </c>
      <c r="H419" s="44">
        <f>G419*E404</f>
        <v>0</v>
      </c>
    </row>
    <row r="420" spans="1:11" ht="12.75" customHeight="1">
      <c r="A420" s="28"/>
      <c r="B420" s="29" t="s">
        <v>3710</v>
      </c>
      <c r="C420" s="30" t="str">
        <f>IFERROR(_xlfn.XLOOKUP(B420,MObra[DESCRIPCION],MObra[UN],,0),"")</f>
        <v>día</v>
      </c>
      <c r="D420" s="31">
        <v>1</v>
      </c>
      <c r="E420" s="32">
        <f>IFERROR(_xlfn.XLOOKUP($B420,MObra[DESCRIPCION],MObra[VALOR UNIT],,0),"")</f>
        <v>314390.75089500006</v>
      </c>
      <c r="F420" s="33">
        <v>-18</v>
      </c>
      <c r="G420" s="34">
        <f>IFERROR(IF(F420&gt;=0,D420*E420*(1+F420/100),ABS(D420*E420/F420)),"")</f>
        <v>17466.152827500002</v>
      </c>
      <c r="H420" s="43">
        <f>IFERROR(G420*E404,"")</f>
        <v>0</v>
      </c>
    </row>
    <row r="421" spans="1:11" ht="12.75" customHeight="1">
      <c r="A421" s="28"/>
      <c r="B421" s="29"/>
      <c r="C421" s="30" t="str">
        <f t="array" ref="C421">IFERROR(_xlfn.XLOOKUP(B421,MObra[[#All],[DESCRIPCION]],MObra[[#All],[UN]],,0),"")</f>
        <v/>
      </c>
      <c r="D421" s="31"/>
      <c r="E421" s="32" t="str">
        <f>IFERROR(_xlfn.XLOOKUP($B421,MObra[DESCRIPCION],MObra[VALOR UNIT],,0),"")</f>
        <v/>
      </c>
      <c r="F421" s="33"/>
      <c r="G421" s="34" t="str">
        <f>IFERROR(IF(F421&gt;=0,D421*E421*(1+F421/100),ABS(D421*E421/F421)),"")</f>
        <v/>
      </c>
      <c r="H421" s="43" t="str">
        <f>IFERROR(G421*E404,"")</f>
        <v/>
      </c>
    </row>
    <row r="422" spans="1:11" ht="12.75" customHeight="1" thickBot="1">
      <c r="A422" s="35"/>
      <c r="B422" s="36"/>
      <c r="C422" s="37" t="str">
        <f t="array" ref="C422">IFERROR(_xlfn.XLOOKUP(B422,MObra[[#All],[DESCRIPCION]],MObra[[#All],[UN]],,0),"")</f>
        <v/>
      </c>
      <c r="D422" s="38"/>
      <c r="E422" s="39" t="str">
        <f>IFERROR(_xlfn.XLOOKUP($B422,MObra[DESCRIPCION],MObra[VALOR UNIT],,0),"")</f>
        <v/>
      </c>
      <c r="F422" s="40"/>
      <c r="G422" s="41" t="str">
        <f>IFERROR(IF(F422&gt;=0,D422*E422*(1+F422/100),ABS(D422*E422/F422)),"")</f>
        <v/>
      </c>
      <c r="H422" s="42" t="str">
        <f>IFERROR(G422*E404,"")</f>
        <v/>
      </c>
    </row>
    <row r="423" spans="1:11" ht="12.75" customHeight="1" thickTop="1" thickBot="1"/>
    <row r="424" spans="1:11" ht="12.75" customHeight="1" thickTop="1" thickBot="1">
      <c r="A424" s="6" t="s">
        <v>1135</v>
      </c>
      <c r="B424" s="7" t="str">
        <f>VLOOKUP($A424,Presupuesto!$A:$D,2,FALSE())</f>
        <v>Codo acero al carbon ranurado 90 4"</v>
      </c>
      <c r="C424" s="8" t="str">
        <f>VLOOKUP($A424,Presupuesto!$A:$D,3,FALSE())</f>
        <v>Un</v>
      </c>
      <c r="D424" s="9"/>
      <c r="E424" s="10">
        <f>VLOOKUP($A424,Presupuesto!$A:$D,4,FALSE())</f>
        <v>0</v>
      </c>
      <c r="F424" s="11" t="s">
        <v>2589</v>
      </c>
      <c r="G424" s="12">
        <f>SUM(G426:G442)/2</f>
        <v>87147.475751625025</v>
      </c>
      <c r="H424" s="13">
        <f>ROUND(SUM(H426:H442),0)/2</f>
        <v>0</v>
      </c>
      <c r="I424" s="10">
        <f>VLOOKUP(A424,Presupuesto!$A:$F,6,0)</f>
        <v>0</v>
      </c>
      <c r="J424" s="10">
        <f>+H424-I424</f>
        <v>0</v>
      </c>
      <c r="K424" s="46">
        <f>+H424-G424*E424</f>
        <v>0</v>
      </c>
    </row>
    <row r="425" spans="1:11" ht="12.75" customHeight="1" thickTop="1">
      <c r="A425" s="14"/>
      <c r="B425" s="15" t="s">
        <v>2586</v>
      </c>
      <c r="C425" s="15" t="s">
        <v>5</v>
      </c>
      <c r="D425" s="16" t="s">
        <v>6</v>
      </c>
      <c r="E425" s="17" t="s">
        <v>7</v>
      </c>
      <c r="F425" s="18" t="s">
        <v>3728</v>
      </c>
      <c r="G425" s="19" t="s">
        <v>3729</v>
      </c>
      <c r="H425" s="20" t="s">
        <v>3797</v>
      </c>
    </row>
    <row r="426" spans="1:11" ht="12.75" customHeight="1">
      <c r="A426" s="21"/>
      <c r="B426" s="22" t="s">
        <v>3730</v>
      </c>
      <c r="C426" s="23"/>
      <c r="D426" s="24"/>
      <c r="E426" s="25"/>
      <c r="F426" s="26"/>
      <c r="G426" s="27">
        <f>SUM(G427:G431)</f>
        <v>67061.400000000009</v>
      </c>
      <c r="H426" s="27">
        <f>IFERROR(G426*E424,"")</f>
        <v>0</v>
      </c>
    </row>
    <row r="427" spans="1:11" ht="12.75" customHeight="1">
      <c r="A427" s="28"/>
      <c r="B427" s="29" t="s">
        <v>2862</v>
      </c>
      <c r="C427" s="30" t="str">
        <f>IFERROR(_xlfn.XLOOKUP(B427,Insumo[DESCRIPCION],Insumo[UND],,0),"")</f>
        <v>Un</v>
      </c>
      <c r="D427" s="31">
        <v>1</v>
      </c>
      <c r="E427" s="32">
        <f>IFERROR(_xlfn.XLOOKUP($B427,Insumo[DESCRIPCION],Insumo[VALOR],,0),"")</f>
        <v>67061.400000000009</v>
      </c>
      <c r="F427" s="33"/>
      <c r="G427" s="34">
        <f>IFERROR(IF(F427&gt;=0,D427*E427*(1+F427/100),ABS(D427*E427/F427)),"")</f>
        <v>67061.400000000009</v>
      </c>
      <c r="H427" s="43">
        <f>IFERROR(G427*E424,"")</f>
        <v>0</v>
      </c>
    </row>
    <row r="428" spans="1:11" ht="12.75" customHeight="1">
      <c r="A428" s="28"/>
      <c r="B428" s="29"/>
      <c r="C428" s="30" t="str">
        <f>IFERROR(_xlfn.XLOOKUP(B428,Insumo[DESCRIPCION],Insumo[UND],,0),"")</f>
        <v/>
      </c>
      <c r="D428" s="31"/>
      <c r="E428" s="32" t="str">
        <f>IFERROR(_xlfn.XLOOKUP($B428,Insumo[DESCRIPCION],Insumo[VALOR],,0),"")</f>
        <v/>
      </c>
      <c r="F428" s="33"/>
      <c r="G428" s="34" t="str">
        <f>IFERROR(IF(F428&gt;=0,D428*E428*(1+F428/100),ABS(D428*E428/F428)),"")</f>
        <v/>
      </c>
      <c r="H428" s="43" t="str">
        <f>IFERROR(G428*E424,"")</f>
        <v/>
      </c>
    </row>
    <row r="429" spans="1:11" ht="12.75" customHeight="1">
      <c r="A429" s="28"/>
      <c r="B429" s="29"/>
      <c r="C429" s="30" t="str">
        <f>IFERROR(_xlfn.XLOOKUP(B429,Insumo[DESCRIPCION],Insumo[UND],,0),"")</f>
        <v/>
      </c>
      <c r="D429" s="31"/>
      <c r="E429" s="32" t="str">
        <f>IFERROR(_xlfn.XLOOKUP($B429,Insumo[DESCRIPCION],Insumo[VALOR],,0),"")</f>
        <v/>
      </c>
      <c r="F429" s="33"/>
      <c r="G429" s="34" t="str">
        <f>IFERROR(IF(F429&gt;=0,D429*E429*(1+F429/100),ABS(D429*E429/F429)),"")</f>
        <v/>
      </c>
      <c r="H429" s="43" t="str">
        <f>IFERROR(G429*E424,"")</f>
        <v/>
      </c>
    </row>
    <row r="430" spans="1:11" ht="12.75" customHeight="1">
      <c r="A430" s="28"/>
      <c r="B430" s="29"/>
      <c r="C430" s="30" t="str">
        <f>IFERROR(_xlfn.XLOOKUP(B430,Insumo[DESCRIPCION],Insumo[UND],,0),"")</f>
        <v/>
      </c>
      <c r="D430" s="31"/>
      <c r="E430" s="32" t="str">
        <f>IFERROR(_xlfn.XLOOKUP($B430,Insumo[DESCRIPCION],Insumo[VALOR],,0),"")</f>
        <v/>
      </c>
      <c r="F430" s="33"/>
      <c r="G430" s="34" t="str">
        <f>IFERROR(IF(F430&gt;=0,D430*E430*(1+F430/100),ABS(D430*E430/F430)),"")</f>
        <v/>
      </c>
      <c r="H430" s="43" t="str">
        <f>IFERROR(G430*E424,"")</f>
        <v/>
      </c>
    </row>
    <row r="431" spans="1:11" ht="12.75" customHeight="1">
      <c r="A431" s="28"/>
      <c r="B431" s="29"/>
      <c r="C431" s="30" t="str">
        <f>IFERROR(_xlfn.XLOOKUP(B431,Insumo[DESCRIPCION],Insumo[UND],,0),"")</f>
        <v/>
      </c>
      <c r="D431" s="31"/>
      <c r="E431" s="32" t="str">
        <f>IFERROR(_xlfn.XLOOKUP($B431,Insumo[DESCRIPCION],Insumo[VALOR],,0),"")</f>
        <v/>
      </c>
      <c r="F431" s="33"/>
      <c r="G431" s="34" t="str">
        <f>IFERROR(IF(F431&gt;=0,D431*E431*(1+F431/100),ABS(D431*E431/F431)),"")</f>
        <v/>
      </c>
      <c r="H431" s="43" t="str">
        <f>IFERROR(G431*E424,"")</f>
        <v/>
      </c>
    </row>
    <row r="432" spans="1:11" ht="12.75" customHeight="1">
      <c r="A432" s="21"/>
      <c r="B432" s="22" t="s">
        <v>3731</v>
      </c>
      <c r="C432" s="23"/>
      <c r="D432" s="24"/>
      <c r="E432" s="25"/>
      <c r="F432" s="26"/>
      <c r="G432" s="27">
        <f>SUM(G433:G435)</f>
        <v>2619.9229241250005</v>
      </c>
      <c r="H432" s="44">
        <f>G432*E424</f>
        <v>0</v>
      </c>
    </row>
    <row r="433" spans="1:11" ht="12.75" customHeight="1">
      <c r="A433" s="28"/>
      <c r="B433" s="29" t="s">
        <v>3573</v>
      </c>
      <c r="C433" s="30" t="str">
        <f>IFERROR(_xlfn.XLOOKUP(B433,Equipo[DESCRIPCION],Equipo[UND],,0),"")</f>
        <v>%MO</v>
      </c>
      <c r="D433" s="31">
        <v>0.1</v>
      </c>
      <c r="E433" s="32">
        <f>IF(C433="%MO",G439,IFERROR(_xlfn.XLOOKUP($B433,Equipo[DESCRIPCION],Equipo[VALOR],,0),""))</f>
        <v>17466.152827500002</v>
      </c>
      <c r="F433" s="33"/>
      <c r="G433" s="34">
        <f>IFERROR(IF(F433&gt;=0,D433*E433*(1+F433/100),ABS(D433*E433/F433)),"")</f>
        <v>1746.6152827500002</v>
      </c>
      <c r="H433" s="43">
        <f>IFERROR(G433*E424,"")</f>
        <v>0</v>
      </c>
    </row>
    <row r="434" spans="1:11" ht="12.75" customHeight="1">
      <c r="A434" s="28"/>
      <c r="B434" s="29" t="s">
        <v>3626</v>
      </c>
      <c r="C434" s="30" t="str">
        <f>IFERROR(_xlfn.XLOOKUP(B434,Equipo[DESCRIPCION],Equipo[UND],,0),"")</f>
        <v>%MO</v>
      </c>
      <c r="D434" s="31">
        <v>0.05</v>
      </c>
      <c r="E434" s="32">
        <f>IF(C434="%MO",G439,IFERROR(_xlfn.XLOOKUP($B434,Equipo[DESCRIPCION],Equipo[VALOR],,0),""))</f>
        <v>17466.152827500002</v>
      </c>
      <c r="F434" s="33"/>
      <c r="G434" s="34">
        <f>IFERROR(IF(F434&gt;=0,D434*E434*(1+F434/100),ABS(D434*E434/F434)),"")</f>
        <v>873.30764137500012</v>
      </c>
      <c r="H434" s="43">
        <f>IFERROR(G434*E424,"")</f>
        <v>0</v>
      </c>
    </row>
    <row r="435" spans="1:11" ht="12.75" customHeight="1">
      <c r="A435" s="28"/>
      <c r="B435" s="29"/>
      <c r="C435" s="30" t="str">
        <f>IFERROR(_xlfn.XLOOKUP(B435,Equipo[DESCRIPCION],Equipo[UND],,0),"")</f>
        <v/>
      </c>
      <c r="D435" s="31"/>
      <c r="E435" s="32" t="str">
        <f>IF(C435="%MO",G439,IFERROR(_xlfn.XLOOKUP($B435,Equipo[DESCRIPCION],Equipo[VALOR],,0),""))</f>
        <v/>
      </c>
      <c r="F435" s="33"/>
      <c r="G435" s="34" t="str">
        <f>IFERROR(IF(F435&gt;=0,D435*E435*(1+F435/100),ABS(D435*E435/F435)),"")</f>
        <v/>
      </c>
      <c r="H435" s="43" t="str">
        <f>IFERROR(G435*E424,"")</f>
        <v/>
      </c>
    </row>
    <row r="436" spans="1:11" ht="12.75" customHeight="1">
      <c r="A436" s="21"/>
      <c r="B436" s="22" t="s">
        <v>2533</v>
      </c>
      <c r="C436" s="23"/>
      <c r="D436" s="24"/>
      <c r="E436" s="25"/>
      <c r="F436" s="26"/>
      <c r="G436" s="27">
        <f>SUM(G437:G438)</f>
        <v>0</v>
      </c>
      <c r="H436" s="44">
        <f>G436*E424</f>
        <v>0</v>
      </c>
    </row>
    <row r="437" spans="1:11" ht="12.75" customHeight="1">
      <c r="A437" s="28"/>
      <c r="B437" s="29"/>
      <c r="C437" s="30" t="str">
        <f>IFERROR(_xlfn.XLOOKUP(B437,Transporte[DESCRIPCION],Transporte[UND],,0),"")</f>
        <v/>
      </c>
      <c r="D437" s="31"/>
      <c r="E437" s="32" t="str">
        <f>IFERROR(_xlfn.XLOOKUP($B437,Transporte[DESCRIPCION],Transporte[VALOR],,0),"")</f>
        <v/>
      </c>
      <c r="F437" s="33"/>
      <c r="G437" s="34" t="str">
        <f>IFERROR(IF(F437&gt;=0,D437*E437*(1+F437/100),ABS(D437*E437/F437)),"")</f>
        <v/>
      </c>
      <c r="H437" s="43" t="str">
        <f>IFERROR(G437*E424,"")</f>
        <v/>
      </c>
    </row>
    <row r="438" spans="1:11" ht="12.75" customHeight="1">
      <c r="A438" s="28"/>
      <c r="B438" s="29"/>
      <c r="C438" s="30" t="str">
        <f>IFERROR(_xlfn.XLOOKUP(B438,Transporte[DESCRIPCION],Transporte[UND],,0),"")</f>
        <v/>
      </c>
      <c r="D438" s="31"/>
      <c r="E438" s="32" t="str">
        <f>IFERROR(_xlfn.XLOOKUP($B438,Transporte[DESCRIPCION],Transporte[VALOR],,0),"")</f>
        <v/>
      </c>
      <c r="F438" s="33"/>
      <c r="G438" s="34" t="str">
        <f>IFERROR(IF(F438&gt;=0,D438*E438*(1+F438/100),ABS(D438*E438/F438)),"")</f>
        <v/>
      </c>
      <c r="H438" s="43" t="str">
        <f>IFERROR(G438*E424,"")</f>
        <v/>
      </c>
    </row>
    <row r="439" spans="1:11" ht="12.75" customHeight="1">
      <c r="A439" s="21"/>
      <c r="B439" s="22" t="s">
        <v>3732</v>
      </c>
      <c r="C439" s="23"/>
      <c r="D439" s="24"/>
      <c r="E439" s="25"/>
      <c r="F439" s="26"/>
      <c r="G439" s="27">
        <f>SUM(G440:G442)</f>
        <v>17466.152827500002</v>
      </c>
      <c r="H439" s="44">
        <f>G439*E424</f>
        <v>0</v>
      </c>
    </row>
    <row r="440" spans="1:11" ht="12.75" customHeight="1">
      <c r="A440" s="28"/>
      <c r="B440" s="29" t="s">
        <v>3710</v>
      </c>
      <c r="C440" s="30" t="str">
        <f>IFERROR(_xlfn.XLOOKUP(B440,MObra[DESCRIPCION],MObra[UN],,0),"")</f>
        <v>día</v>
      </c>
      <c r="D440" s="31">
        <v>1</v>
      </c>
      <c r="E440" s="32">
        <f>IFERROR(_xlfn.XLOOKUP($B440,MObra[DESCRIPCION],MObra[VALOR UNIT],,0),"")</f>
        <v>314390.75089500006</v>
      </c>
      <c r="F440" s="33">
        <v>-18</v>
      </c>
      <c r="G440" s="34">
        <f>IFERROR(IF(F440&gt;=0,D440*E440*(1+F440/100),ABS(D440*E440/F440)),"")</f>
        <v>17466.152827500002</v>
      </c>
      <c r="H440" s="43">
        <f>IFERROR(G440*E424,"")</f>
        <v>0</v>
      </c>
    </row>
    <row r="441" spans="1:11" ht="12.75" customHeight="1">
      <c r="A441" s="28"/>
      <c r="B441" s="29"/>
      <c r="C441" s="30" t="str">
        <f t="array" ref="C441">IFERROR(_xlfn.XLOOKUP(B441,MObra[[#All],[DESCRIPCION]],MObra[[#All],[UN]],,0),"")</f>
        <v/>
      </c>
      <c r="D441" s="31"/>
      <c r="E441" s="32" t="str">
        <f>IFERROR(_xlfn.XLOOKUP($B441,MObra[DESCRIPCION],MObra[VALOR UNIT],,0),"")</f>
        <v/>
      </c>
      <c r="F441" s="33"/>
      <c r="G441" s="34" t="str">
        <f>IFERROR(IF(F441&gt;=0,D441*E441*(1+F441/100),ABS(D441*E441/F441)),"")</f>
        <v/>
      </c>
      <c r="H441" s="43" t="str">
        <f>IFERROR(G441*E424,"")</f>
        <v/>
      </c>
    </row>
    <row r="442" spans="1:11" ht="12.75" customHeight="1" thickBot="1">
      <c r="A442" s="35"/>
      <c r="B442" s="36"/>
      <c r="C442" s="37" t="str">
        <f t="array" ref="C442">IFERROR(_xlfn.XLOOKUP(B442,MObra[[#All],[DESCRIPCION]],MObra[[#All],[UN]],,0),"")</f>
        <v/>
      </c>
      <c r="D442" s="38"/>
      <c r="E442" s="39" t="str">
        <f>IFERROR(_xlfn.XLOOKUP($B442,MObra[DESCRIPCION],MObra[VALOR UNIT],,0),"")</f>
        <v/>
      </c>
      <c r="F442" s="40"/>
      <c r="G442" s="41" t="str">
        <f>IFERROR(IF(F442&gt;=0,D442*E442*(1+F442/100),ABS(D442*E442/F442)),"")</f>
        <v/>
      </c>
      <c r="H442" s="42" t="str">
        <f>IFERROR(G442*E424,"")</f>
        <v/>
      </c>
    </row>
    <row r="443" spans="1:11" ht="12.75" customHeight="1" thickTop="1" thickBot="1"/>
    <row r="444" spans="1:11" ht="12.75" customHeight="1" thickTop="1" thickBot="1">
      <c r="A444" s="6" t="s">
        <v>1137</v>
      </c>
      <c r="B444" s="7" t="str">
        <f>VLOOKUP($A444,Presupuesto!$A:$D,2,FALSE())</f>
        <v>Deterctores de humo</v>
      </c>
      <c r="C444" s="8" t="str">
        <f>VLOOKUP($A444,Presupuesto!$A:$D,3,FALSE())</f>
        <v>Un</v>
      </c>
      <c r="D444" s="9"/>
      <c r="E444" s="10">
        <f>VLOOKUP($A444,Presupuesto!$A:$D,4,FALSE())</f>
        <v>0</v>
      </c>
      <c r="F444" s="11" t="s">
        <v>2589</v>
      </c>
      <c r="G444" s="12">
        <f>SUM(G446:G462)/2</f>
        <v>322736.19964412507</v>
      </c>
      <c r="H444" s="13">
        <f>ROUND(SUM(H446:H462),0)/2</f>
        <v>0</v>
      </c>
      <c r="I444" s="10">
        <f>VLOOKUP(A444,Presupuesto!$A:$F,6,0)</f>
        <v>0</v>
      </c>
      <c r="J444" s="10">
        <f>+H444-I444</f>
        <v>0</v>
      </c>
      <c r="K444" s="46">
        <f>+H444-G444*E444</f>
        <v>0</v>
      </c>
    </row>
    <row r="445" spans="1:11" ht="12.75" customHeight="1" thickTop="1">
      <c r="A445" s="14"/>
      <c r="B445" s="15" t="s">
        <v>2586</v>
      </c>
      <c r="C445" s="15" t="s">
        <v>5</v>
      </c>
      <c r="D445" s="16" t="s">
        <v>6</v>
      </c>
      <c r="E445" s="17" t="s">
        <v>7</v>
      </c>
      <c r="F445" s="18" t="s">
        <v>3728</v>
      </c>
      <c r="G445" s="19" t="s">
        <v>3729</v>
      </c>
      <c r="H445" s="20" t="s">
        <v>3797</v>
      </c>
    </row>
    <row r="446" spans="1:11" ht="12.75" customHeight="1">
      <c r="A446" s="21"/>
      <c r="B446" s="22" t="s">
        <v>3730</v>
      </c>
      <c r="C446" s="23"/>
      <c r="D446" s="24"/>
      <c r="E446" s="25"/>
      <c r="F446" s="26"/>
      <c r="G446" s="27">
        <f>SUM(G447:G451)</f>
        <v>258014.40000000002</v>
      </c>
      <c r="H446" s="27">
        <f>IFERROR(G446*E444,"")</f>
        <v>0</v>
      </c>
    </row>
    <row r="447" spans="1:11" ht="12.75" customHeight="1">
      <c r="A447" s="28"/>
      <c r="B447" s="29" t="s">
        <v>2919</v>
      </c>
      <c r="C447" s="30" t="str">
        <f>IFERROR(_xlfn.XLOOKUP(B447,Insumo[DESCRIPCION],Insumo[UND],,0),"")</f>
        <v>Un</v>
      </c>
      <c r="D447" s="31">
        <v>1</v>
      </c>
      <c r="E447" s="32">
        <f>IFERROR(_xlfn.XLOOKUP($B447,Insumo[DESCRIPCION],Insumo[VALOR],,0),"")</f>
        <v>258014.40000000002</v>
      </c>
      <c r="F447" s="33"/>
      <c r="G447" s="34">
        <f>IFERROR(IF(F447&gt;=0,D447*E447*(1+F447/100),ABS(D447*E447/F447)),"")</f>
        <v>258014.40000000002</v>
      </c>
      <c r="H447" s="43">
        <f>IFERROR(G447*E444,"")</f>
        <v>0</v>
      </c>
    </row>
    <row r="448" spans="1:11" ht="12.75" customHeight="1">
      <c r="A448" s="28"/>
      <c r="B448" s="29"/>
      <c r="C448" s="30" t="str">
        <f>IFERROR(_xlfn.XLOOKUP(B448,Insumo[DESCRIPCION],Insumo[UND],,0),"")</f>
        <v/>
      </c>
      <c r="D448" s="31"/>
      <c r="E448" s="32" t="str">
        <f>IFERROR(_xlfn.XLOOKUP($B448,Insumo[DESCRIPCION],Insumo[VALOR],,0),"")</f>
        <v/>
      </c>
      <c r="F448" s="33"/>
      <c r="G448" s="34" t="str">
        <f>IFERROR(IF(F448&gt;=0,D448*E448*(1+F448/100),ABS(D448*E448/F448)),"")</f>
        <v/>
      </c>
      <c r="H448" s="43" t="str">
        <f>IFERROR(G448*E444,"")</f>
        <v/>
      </c>
    </row>
    <row r="449" spans="1:11" ht="12.75" customHeight="1">
      <c r="A449" s="28"/>
      <c r="B449" s="29"/>
      <c r="C449" s="30" t="str">
        <f>IFERROR(_xlfn.XLOOKUP(B449,Insumo[DESCRIPCION],Insumo[UND],,0),"")</f>
        <v/>
      </c>
      <c r="D449" s="31"/>
      <c r="E449" s="32" t="str">
        <f>IFERROR(_xlfn.XLOOKUP($B449,Insumo[DESCRIPCION],Insumo[VALOR],,0),"")</f>
        <v/>
      </c>
      <c r="F449" s="33"/>
      <c r="G449" s="34" t="str">
        <f>IFERROR(IF(F449&gt;=0,D449*E449*(1+F449/100),ABS(D449*E449/F449)),"")</f>
        <v/>
      </c>
      <c r="H449" s="43" t="str">
        <f>IFERROR(G449*E444,"")</f>
        <v/>
      </c>
    </row>
    <row r="450" spans="1:11" ht="12.75" customHeight="1">
      <c r="A450" s="28"/>
      <c r="B450" s="29"/>
      <c r="C450" s="30" t="str">
        <f>IFERROR(_xlfn.XLOOKUP(B450,Insumo[DESCRIPCION],Insumo[UND],,0),"")</f>
        <v/>
      </c>
      <c r="D450" s="31"/>
      <c r="E450" s="32" t="str">
        <f>IFERROR(_xlfn.XLOOKUP($B450,Insumo[DESCRIPCION],Insumo[VALOR],,0),"")</f>
        <v/>
      </c>
      <c r="F450" s="33"/>
      <c r="G450" s="34" t="str">
        <f>IFERROR(IF(F450&gt;=0,D450*E450*(1+F450/100),ABS(D450*E450/F450)),"")</f>
        <v/>
      </c>
      <c r="H450" s="43" t="str">
        <f>IFERROR(G450*E444,"")</f>
        <v/>
      </c>
    </row>
    <row r="451" spans="1:11" ht="12.75" customHeight="1">
      <c r="A451" s="28"/>
      <c r="B451" s="29"/>
      <c r="C451" s="30" t="str">
        <f>IFERROR(_xlfn.XLOOKUP(B451,Insumo[DESCRIPCION],Insumo[UND],,0),"")</f>
        <v/>
      </c>
      <c r="D451" s="31"/>
      <c r="E451" s="32" t="str">
        <f>IFERROR(_xlfn.XLOOKUP($B451,Insumo[DESCRIPCION],Insumo[VALOR],,0),"")</f>
        <v/>
      </c>
      <c r="F451" s="33"/>
      <c r="G451" s="34" t="str">
        <f>IFERROR(IF(F451&gt;=0,D451*E451*(1+F451/100),ABS(D451*E451/F451)),"")</f>
        <v/>
      </c>
      <c r="H451" s="43" t="str">
        <f>IFERROR(G451*E444,"")</f>
        <v/>
      </c>
    </row>
    <row r="452" spans="1:11" ht="12.75" customHeight="1">
      <c r="A452" s="21"/>
      <c r="B452" s="22" t="s">
        <v>3731</v>
      </c>
      <c r="C452" s="23"/>
      <c r="D452" s="24"/>
      <c r="E452" s="25"/>
      <c r="F452" s="26"/>
      <c r="G452" s="27">
        <f>SUM(G453:G455)</f>
        <v>8441.9738666250032</v>
      </c>
      <c r="H452" s="44">
        <f>G452*E444</f>
        <v>0</v>
      </c>
    </row>
    <row r="453" spans="1:11" ht="12.75" customHeight="1">
      <c r="A453" s="28"/>
      <c r="B453" s="29" t="s">
        <v>3573</v>
      </c>
      <c r="C453" s="30" t="str">
        <f>IFERROR(_xlfn.XLOOKUP(B453,Equipo[DESCRIPCION],Equipo[UND],,0),"")</f>
        <v>%MO</v>
      </c>
      <c r="D453" s="31">
        <v>0.1</v>
      </c>
      <c r="E453" s="32">
        <f>IF(C453="%MO",G459,IFERROR(_xlfn.XLOOKUP($B453,Equipo[DESCRIPCION],Equipo[VALOR],,0),""))</f>
        <v>56279.825777500017</v>
      </c>
      <c r="F453" s="33"/>
      <c r="G453" s="34">
        <f>IFERROR(IF(F453&gt;=0,D453*E453*(1+F453/100),ABS(D453*E453/F453)),"")</f>
        <v>5627.9825777500018</v>
      </c>
      <c r="H453" s="43">
        <f>IFERROR(G453*E444,"")</f>
        <v>0</v>
      </c>
    </row>
    <row r="454" spans="1:11" ht="12.75" customHeight="1">
      <c r="A454" s="28"/>
      <c r="B454" s="29" t="s">
        <v>3626</v>
      </c>
      <c r="C454" s="30" t="str">
        <f>IFERROR(_xlfn.XLOOKUP(B454,Equipo[DESCRIPCION],Equipo[UND],,0),"")</f>
        <v>%MO</v>
      </c>
      <c r="D454" s="31">
        <v>0.05</v>
      </c>
      <c r="E454" s="32">
        <f>IF(C454="%MO",G459,IFERROR(_xlfn.XLOOKUP($B454,Equipo[DESCRIPCION],Equipo[VALOR],,0),""))</f>
        <v>56279.825777500017</v>
      </c>
      <c r="F454" s="33"/>
      <c r="G454" s="34">
        <f>IFERROR(IF(F454&gt;=0,D454*E454*(1+F454/100),ABS(D454*E454/F454)),"")</f>
        <v>2813.9912888750009</v>
      </c>
      <c r="H454" s="43">
        <f>IFERROR(G454*E444,"")</f>
        <v>0</v>
      </c>
    </row>
    <row r="455" spans="1:11" ht="12.75" customHeight="1">
      <c r="A455" s="28"/>
      <c r="B455" s="29"/>
      <c r="C455" s="30" t="str">
        <f>IFERROR(_xlfn.XLOOKUP(B455,Equipo[DESCRIPCION],Equipo[UND],,0),"")</f>
        <v/>
      </c>
      <c r="D455" s="31"/>
      <c r="E455" s="32" t="str">
        <f>IF(C455="%MO",G459,IFERROR(_xlfn.XLOOKUP($B455,Equipo[DESCRIPCION],Equipo[VALOR],,0),""))</f>
        <v/>
      </c>
      <c r="F455" s="33"/>
      <c r="G455" s="34" t="str">
        <f>IFERROR(IF(F455&gt;=0,D455*E455*(1+F455/100),ABS(D455*E455/F455)),"")</f>
        <v/>
      </c>
      <c r="H455" s="43" t="str">
        <f>IFERROR(G455*E444,"")</f>
        <v/>
      </c>
    </row>
    <row r="456" spans="1:11" ht="12.75" customHeight="1">
      <c r="A456" s="21"/>
      <c r="B456" s="22" t="s">
        <v>2533</v>
      </c>
      <c r="C456" s="23"/>
      <c r="D456" s="24"/>
      <c r="E456" s="25"/>
      <c r="F456" s="26"/>
      <c r="G456" s="27">
        <f>SUM(G457:G458)</f>
        <v>0</v>
      </c>
      <c r="H456" s="44">
        <f>G456*E444</f>
        <v>0</v>
      </c>
    </row>
    <row r="457" spans="1:11" ht="12.75" customHeight="1">
      <c r="A457" s="28"/>
      <c r="B457" s="29"/>
      <c r="C457" s="30" t="str">
        <f>IFERROR(_xlfn.XLOOKUP(B457,Transporte[DESCRIPCION],Transporte[UND],,0),"")</f>
        <v/>
      </c>
      <c r="D457" s="31"/>
      <c r="E457" s="32" t="str">
        <f>IFERROR(_xlfn.XLOOKUP($B457,Transporte[DESCRIPCION],Transporte[VALOR],,0),"")</f>
        <v/>
      </c>
      <c r="F457" s="33"/>
      <c r="G457" s="34" t="str">
        <f>IFERROR(IF(F457&gt;=0,D457*E457*(1+F457/100),ABS(D457*E457/F457)),"")</f>
        <v/>
      </c>
      <c r="H457" s="43" t="str">
        <f>IFERROR(G457*E444,"")</f>
        <v/>
      </c>
    </row>
    <row r="458" spans="1:11" ht="12.75" customHeight="1">
      <c r="A458" s="28"/>
      <c r="B458" s="29"/>
      <c r="C458" s="30" t="str">
        <f>IFERROR(_xlfn.XLOOKUP(B458,Transporte[DESCRIPCION],Transporte[UND],,0),"")</f>
        <v/>
      </c>
      <c r="D458" s="31"/>
      <c r="E458" s="32" t="str">
        <f>IFERROR(_xlfn.XLOOKUP($B458,Transporte[DESCRIPCION],Transporte[VALOR],,0),"")</f>
        <v/>
      </c>
      <c r="F458" s="33"/>
      <c r="G458" s="34" t="str">
        <f>IFERROR(IF(F458&gt;=0,D458*E458*(1+F458/100),ABS(D458*E458/F458)),"")</f>
        <v/>
      </c>
      <c r="H458" s="43" t="str">
        <f>IFERROR(G458*E444,"")</f>
        <v/>
      </c>
    </row>
    <row r="459" spans="1:11" ht="12.75" customHeight="1">
      <c r="A459" s="21"/>
      <c r="B459" s="22" t="s">
        <v>3732</v>
      </c>
      <c r="C459" s="23"/>
      <c r="D459" s="24"/>
      <c r="E459" s="25"/>
      <c r="F459" s="26"/>
      <c r="G459" s="27">
        <f>SUM(G460:G462)</f>
        <v>56279.825777500017</v>
      </c>
      <c r="H459" s="44">
        <f>G459*E444</f>
        <v>0</v>
      </c>
    </row>
    <row r="460" spans="1:11" ht="12.75" customHeight="1">
      <c r="A460" s="28"/>
      <c r="B460" s="29" t="s">
        <v>3715</v>
      </c>
      <c r="C460" s="30" t="str">
        <f>IFERROR(_xlfn.XLOOKUP(B460,MObra[DESCRIPCION],MObra[UN],,0),"")</f>
        <v>día</v>
      </c>
      <c r="D460" s="31">
        <v>1</v>
      </c>
      <c r="E460" s="32">
        <f>IFERROR(_xlfn.XLOOKUP($B460,MObra[DESCRIPCION],MObra[VALOR UNIT],,0),"")</f>
        <v>337678.95466500008</v>
      </c>
      <c r="F460" s="33">
        <v>-6</v>
      </c>
      <c r="G460" s="34">
        <f>IFERROR(IF(F460&gt;=0,D460*E460*(1+F460/100),ABS(D460*E460/F460)),"")</f>
        <v>56279.825777500017</v>
      </c>
      <c r="H460" s="43">
        <f>IFERROR(G460*E444,"")</f>
        <v>0</v>
      </c>
    </row>
    <row r="461" spans="1:11" ht="12.75" customHeight="1">
      <c r="A461" s="28"/>
      <c r="B461" s="29"/>
      <c r="C461" s="30" t="str">
        <f t="array" ref="C461">IFERROR(_xlfn.XLOOKUP(B461,MObra[[#All],[DESCRIPCION]],MObra[[#All],[UN]],,0),"")</f>
        <v/>
      </c>
      <c r="D461" s="31"/>
      <c r="E461" s="32" t="str">
        <f>IFERROR(_xlfn.XLOOKUP($B461,MObra[DESCRIPCION],MObra[VALOR UNIT],,0),"")</f>
        <v/>
      </c>
      <c r="F461" s="33"/>
      <c r="G461" s="34" t="str">
        <f>IFERROR(IF(F461&gt;=0,D461*E461*(1+F461/100),ABS(D461*E461/F461)),"")</f>
        <v/>
      </c>
      <c r="H461" s="43" t="str">
        <f>IFERROR(G461*E444,"")</f>
        <v/>
      </c>
    </row>
    <row r="462" spans="1:11" ht="12.75" customHeight="1" thickBot="1">
      <c r="A462" s="35"/>
      <c r="B462" s="36"/>
      <c r="C462" s="37" t="str">
        <f t="array" ref="C462">IFERROR(_xlfn.XLOOKUP(B462,MObra[[#All],[DESCRIPCION]],MObra[[#All],[UN]],,0),"")</f>
        <v/>
      </c>
      <c r="D462" s="38"/>
      <c r="E462" s="39" t="str">
        <f>IFERROR(_xlfn.XLOOKUP($B462,MObra[DESCRIPCION],MObra[VALOR UNIT],,0),"")</f>
        <v/>
      </c>
      <c r="F462" s="40"/>
      <c r="G462" s="41" t="str">
        <f>IFERROR(IF(F462&gt;=0,D462*E462*(1+F462/100),ABS(D462*E462/F462)),"")</f>
        <v/>
      </c>
      <c r="H462" s="42" t="str">
        <f>IFERROR(G462*E444,"")</f>
        <v/>
      </c>
    </row>
    <row r="463" spans="1:11" ht="12.75" customHeight="1" thickTop="1" thickBot="1"/>
    <row r="464" spans="1:11" ht="12.75" customHeight="1" thickTop="1" thickBot="1">
      <c r="A464" s="6" t="s">
        <v>1139</v>
      </c>
      <c r="B464" s="7" t="str">
        <f>VLOOKUP($A464,Presupuesto!$A:$D,2,FALSE())</f>
        <v>Gabinete red contra incendio clalse ii</v>
      </c>
      <c r="C464" s="8" t="str">
        <f>VLOOKUP($A464,Presupuesto!$A:$D,3,FALSE())</f>
        <v>Un</v>
      </c>
      <c r="D464" s="9"/>
      <c r="E464" s="10">
        <f>VLOOKUP($A464,Presupuesto!$A:$D,4,FALSE())</f>
        <v>0</v>
      </c>
      <c r="F464" s="11" t="s">
        <v>2589</v>
      </c>
      <c r="G464" s="12">
        <f>SUM(G466:G485)/2</f>
        <v>2966820.2093775002</v>
      </c>
      <c r="H464" s="13">
        <f>ROUND(SUM(H466:H485),0)/2</f>
        <v>0</v>
      </c>
      <c r="I464" s="10">
        <f>VLOOKUP(A464,Presupuesto!$A:$F,6,0)</f>
        <v>0</v>
      </c>
      <c r="J464" s="10">
        <f>+H464-I464</f>
        <v>0</v>
      </c>
      <c r="K464" s="46">
        <f>+H464-G464*E464</f>
        <v>0</v>
      </c>
    </row>
    <row r="465" spans="1:8" ht="12.75" customHeight="1" thickTop="1">
      <c r="A465" s="14"/>
      <c r="B465" s="15" t="s">
        <v>2586</v>
      </c>
      <c r="C465" s="15" t="s">
        <v>5</v>
      </c>
      <c r="D465" s="16" t="s">
        <v>6</v>
      </c>
      <c r="E465" s="17" t="s">
        <v>7</v>
      </c>
      <c r="F465" s="18" t="s">
        <v>3728</v>
      </c>
      <c r="G465" s="19" t="s">
        <v>3729</v>
      </c>
      <c r="H465" s="20" t="s">
        <v>3797</v>
      </c>
    </row>
    <row r="466" spans="1:8" ht="12.75" customHeight="1">
      <c r="A466" s="21"/>
      <c r="B466" s="22" t="s">
        <v>3730</v>
      </c>
      <c r="C466" s="23"/>
      <c r="D466" s="24"/>
      <c r="E466" s="25"/>
      <c r="F466" s="26"/>
      <c r="G466" s="27">
        <f>SUM(G467:G474)</f>
        <v>2600030.9999999995</v>
      </c>
      <c r="H466" s="27">
        <f>IFERROR(G466*E464,"")</f>
        <v>0</v>
      </c>
    </row>
    <row r="467" spans="1:8" ht="12.75" customHeight="1">
      <c r="A467" s="28"/>
      <c r="B467" s="29" t="s">
        <v>2961</v>
      </c>
      <c r="C467" s="30" t="str">
        <f>IFERROR(_xlfn.XLOOKUP(B467,Insumo[DESCRIPCION],Insumo[UND],,0),"")</f>
        <v>Un</v>
      </c>
      <c r="D467" s="31">
        <v>1</v>
      </c>
      <c r="E467" s="32">
        <f>IFERROR(_xlfn.XLOOKUP($B467,Insumo[DESCRIPCION],Insumo[VALOR],,0),"")</f>
        <v>437601.15</v>
      </c>
      <c r="F467" s="33"/>
      <c r="G467" s="34">
        <f t="shared" ref="G467:G474" si="0">IFERROR(IF(F467&gt;=0,D467*E467*(1+F467/100),ABS(D467*E467/F467)),"")</f>
        <v>437601.15</v>
      </c>
      <c r="H467" s="43">
        <f>IFERROR(G467*E464,"")</f>
        <v>0</v>
      </c>
    </row>
    <row r="468" spans="1:8" ht="12.75" customHeight="1">
      <c r="A468" s="28"/>
      <c r="B468" s="29" t="s">
        <v>3143</v>
      </c>
      <c r="C468" s="30" t="str">
        <f>IFERROR(_xlfn.XLOOKUP(B468,Insumo[DESCRIPCION],Insumo[UND],,0),"")</f>
        <v>Un</v>
      </c>
      <c r="D468" s="31">
        <v>1</v>
      </c>
      <c r="E468" s="32">
        <f>IFERROR(_xlfn.XLOOKUP($B468,Insumo[DESCRIPCION],Insumo[VALOR],,0),"")</f>
        <v>909300</v>
      </c>
      <c r="F468" s="33"/>
      <c r="G468" s="34">
        <f t="shared" si="0"/>
        <v>909300</v>
      </c>
      <c r="H468" s="43">
        <f>IFERROR(G468*E464,"")</f>
        <v>0</v>
      </c>
    </row>
    <row r="469" spans="1:8" ht="12.75" customHeight="1">
      <c r="A469" s="28"/>
      <c r="B469" s="29" t="s">
        <v>2760</v>
      </c>
      <c r="C469" s="30" t="str">
        <f>IFERROR(_xlfn.XLOOKUP(B469,Insumo[DESCRIPCION],Insumo[UND],,0),"")</f>
        <v>Un</v>
      </c>
      <c r="D469" s="31">
        <v>1</v>
      </c>
      <c r="E469" s="32">
        <f>IFERROR(_xlfn.XLOOKUP($B469,Insumo[DESCRIPCION],Insumo[VALOR],,0),"")</f>
        <v>26710.95</v>
      </c>
      <c r="F469" s="33"/>
      <c r="G469" s="34">
        <f t="shared" si="0"/>
        <v>26710.95</v>
      </c>
      <c r="H469" s="43">
        <f>IFERROR(G469*E464,"")</f>
        <v>0</v>
      </c>
    </row>
    <row r="470" spans="1:8" ht="12.75" customHeight="1">
      <c r="A470" s="28"/>
      <c r="B470" s="29" t="s">
        <v>3331</v>
      </c>
      <c r="C470" s="30" t="str">
        <f>IFERROR(_xlfn.XLOOKUP(B470,Insumo[DESCRIPCION],Insumo[UND],,0),"")</f>
        <v>Un</v>
      </c>
      <c r="D470" s="31">
        <v>1</v>
      </c>
      <c r="E470" s="32">
        <f>IFERROR(_xlfn.XLOOKUP($B470,Insumo[DESCRIPCION],Insumo[VALOR],,0),"")</f>
        <v>81837</v>
      </c>
      <c r="F470" s="33"/>
      <c r="G470" s="34">
        <f t="shared" si="0"/>
        <v>81837</v>
      </c>
      <c r="H470" s="43">
        <f>IFERROR(G470*E464,"")</f>
        <v>0</v>
      </c>
    </row>
    <row r="471" spans="1:8" ht="12.75" customHeight="1">
      <c r="A471" s="28"/>
      <c r="B471" s="29" t="s">
        <v>3258</v>
      </c>
      <c r="C471" s="30" t="str">
        <f>IFERROR(_xlfn.XLOOKUP(B471,Insumo[DESCRIPCION],Insumo[UND],,0),"")</f>
        <v>Un</v>
      </c>
      <c r="D471" s="31">
        <v>1</v>
      </c>
      <c r="E471" s="32">
        <f>IFERROR(_xlfn.XLOOKUP($B471,Insumo[DESCRIPCION],Insumo[VALOR],,0),"")</f>
        <v>863835</v>
      </c>
      <c r="F471" s="33"/>
      <c r="G471" s="34">
        <f t="shared" si="0"/>
        <v>863835</v>
      </c>
      <c r="H471" s="43">
        <f>IFERROR(G471*E464,"")</f>
        <v>0</v>
      </c>
    </row>
    <row r="472" spans="1:8" ht="12.75" customHeight="1">
      <c r="A472" s="28"/>
      <c r="B472" s="29" t="s">
        <v>2996</v>
      </c>
      <c r="C472" s="30" t="str">
        <f>IFERROR(_xlfn.XLOOKUP(B472,Insumo[DESCRIPCION],Insumo[UND],,0),"")</f>
        <v>Un</v>
      </c>
      <c r="D472" s="31">
        <v>1</v>
      </c>
      <c r="E472" s="32">
        <f>IFERROR(_xlfn.XLOOKUP($B472,Insumo[DESCRIPCION],Insumo[VALOR],,0),"")</f>
        <v>104569.5</v>
      </c>
      <c r="F472" s="33"/>
      <c r="G472" s="34">
        <f t="shared" si="0"/>
        <v>104569.5</v>
      </c>
      <c r="H472" s="43">
        <f>IFERROR(G472*E464,"")</f>
        <v>0</v>
      </c>
    </row>
    <row r="473" spans="1:8" ht="12.75" customHeight="1">
      <c r="A473" s="28"/>
      <c r="B473" s="29" t="s">
        <v>3055</v>
      </c>
      <c r="C473" s="30" t="str">
        <f>IFERROR(_xlfn.XLOOKUP(B473,Insumo[DESCRIPCION],Insumo[UND],,0),"")</f>
        <v>Un</v>
      </c>
      <c r="D473" s="31">
        <v>1</v>
      </c>
      <c r="E473" s="32">
        <f>IFERROR(_xlfn.XLOOKUP($B473,Insumo[DESCRIPCION],Insumo[VALOR],,0),"")</f>
        <v>51148.65</v>
      </c>
      <c r="F473" s="33"/>
      <c r="G473" s="34">
        <f t="shared" si="0"/>
        <v>51148.65</v>
      </c>
      <c r="H473" s="43">
        <f>IFERROR(G473*E464,"")</f>
        <v>0</v>
      </c>
    </row>
    <row r="474" spans="1:8" ht="12.75" customHeight="1">
      <c r="A474" s="28"/>
      <c r="B474" s="29" t="s">
        <v>2949</v>
      </c>
      <c r="C474" s="30" t="str">
        <f>IFERROR(_xlfn.XLOOKUP(B474,Insumo[DESCRIPCION],Insumo[UND],,0),"")</f>
        <v>Un</v>
      </c>
      <c r="D474" s="31">
        <v>1</v>
      </c>
      <c r="E474" s="32">
        <f>IFERROR(_xlfn.XLOOKUP($B474,Insumo[DESCRIPCION],Insumo[VALOR],,0),"")</f>
        <v>125028.75</v>
      </c>
      <c r="F474" s="33"/>
      <c r="G474" s="34">
        <f t="shared" si="0"/>
        <v>125028.75</v>
      </c>
      <c r="H474" s="43">
        <f>IFERROR(G474*E464,"")</f>
        <v>0</v>
      </c>
    </row>
    <row r="475" spans="1:8" ht="12.75" customHeight="1">
      <c r="A475" s="21"/>
      <c r="B475" s="22" t="s">
        <v>3731</v>
      </c>
      <c r="C475" s="23"/>
      <c r="D475" s="24"/>
      <c r="E475" s="25"/>
      <c r="F475" s="26"/>
      <c r="G475" s="27">
        <f>SUM(G476:G478)</f>
        <v>17466.152827500002</v>
      </c>
      <c r="H475" s="44">
        <f>G475*E464</f>
        <v>0</v>
      </c>
    </row>
    <row r="476" spans="1:8" ht="12.75" customHeight="1">
      <c r="A476" s="28"/>
      <c r="B476" s="29" t="s">
        <v>3626</v>
      </c>
      <c r="C476" s="30" t="str">
        <f>IFERROR(_xlfn.XLOOKUP(B476,Equipo[DESCRIPCION],Equipo[UND],,0),"")</f>
        <v>%MO</v>
      </c>
      <c r="D476" s="31">
        <v>0.05</v>
      </c>
      <c r="E476" s="32">
        <f>IF(C476="%MO",G482,IFERROR(_xlfn.XLOOKUP($B476,Equipo[DESCRIPCION],Equipo[VALOR],,0),""))</f>
        <v>349323.05655000004</v>
      </c>
      <c r="F476" s="33"/>
      <c r="G476" s="34">
        <f>IFERROR(IF(F476&gt;=0,D476*E476*(1+F476/100),ABS(D476*E476/F476)),"")</f>
        <v>17466.152827500002</v>
      </c>
      <c r="H476" s="43">
        <f>IFERROR(G476*E464,"")</f>
        <v>0</v>
      </c>
    </row>
    <row r="477" spans="1:8" ht="12.75" customHeight="1">
      <c r="A477" s="28"/>
      <c r="B477" s="29"/>
      <c r="C477" s="30" t="str">
        <f>IFERROR(_xlfn.XLOOKUP(B477,Equipo[DESCRIPCION],Equipo[UND],,0),"")</f>
        <v/>
      </c>
      <c r="D477" s="31"/>
      <c r="E477" s="32" t="str">
        <f>IF(C477="%MO",G482,IFERROR(_xlfn.XLOOKUP($B477,Equipo[DESCRIPCION],Equipo[VALOR],,0),""))</f>
        <v/>
      </c>
      <c r="F477" s="33"/>
      <c r="G477" s="34" t="str">
        <f>IFERROR(IF(F477&gt;=0,D477*E477*(1+F477/100),ABS(D477*E477/F477)),"")</f>
        <v/>
      </c>
      <c r="H477" s="43" t="str">
        <f>IFERROR(G477*E464,"")</f>
        <v/>
      </c>
    </row>
    <row r="478" spans="1:8" ht="12.75" customHeight="1">
      <c r="A478" s="28"/>
      <c r="B478" s="29"/>
      <c r="C478" s="30" t="str">
        <f>IFERROR(_xlfn.XLOOKUP(B478,Equipo[DESCRIPCION],Equipo[UND],,0),"")</f>
        <v/>
      </c>
      <c r="D478" s="31"/>
      <c r="E478" s="32" t="str">
        <f>IF(C478="%MO",G482,IFERROR(_xlfn.XLOOKUP($B478,Equipo[DESCRIPCION],Equipo[VALOR],,0),""))</f>
        <v/>
      </c>
      <c r="F478" s="33"/>
      <c r="G478" s="34" t="str">
        <f>IFERROR(IF(F478&gt;=0,D478*E478*(1+F478/100),ABS(D478*E478/F478)),"")</f>
        <v/>
      </c>
      <c r="H478" s="43" t="str">
        <f>IFERROR(G478*E464,"")</f>
        <v/>
      </c>
    </row>
    <row r="479" spans="1:8" ht="12.75" customHeight="1">
      <c r="A479" s="21"/>
      <c r="B479" s="22" t="s">
        <v>2533</v>
      </c>
      <c r="C479" s="23"/>
      <c r="D479" s="24"/>
      <c r="E479" s="25"/>
      <c r="F479" s="26"/>
      <c r="G479" s="27">
        <f>SUM(G480:G481)</f>
        <v>0</v>
      </c>
      <c r="H479" s="44">
        <f>G479*E464</f>
        <v>0</v>
      </c>
    </row>
    <row r="480" spans="1:8" ht="12.75" customHeight="1">
      <c r="A480" s="28"/>
      <c r="B480" s="29"/>
      <c r="C480" s="30" t="str">
        <f>IFERROR(_xlfn.XLOOKUP(B480,Transporte[DESCRIPCION],Transporte[UND],,0),"")</f>
        <v/>
      </c>
      <c r="D480" s="31"/>
      <c r="E480" s="32" t="str">
        <f>IFERROR(_xlfn.XLOOKUP($B480,Transporte[DESCRIPCION],Transporte[VALOR],,0),"")</f>
        <v/>
      </c>
      <c r="F480" s="33"/>
      <c r="G480" s="34" t="str">
        <f>IFERROR(IF(F480&gt;=0,D480*E480*(1+F480/100),ABS(D480*E480/F480)),"")</f>
        <v/>
      </c>
      <c r="H480" s="43" t="str">
        <f>IFERROR(G480*E464,"")</f>
        <v/>
      </c>
    </row>
    <row r="481" spans="1:11" ht="12.75" customHeight="1">
      <c r="A481" s="28"/>
      <c r="B481" s="29"/>
      <c r="C481" s="30" t="str">
        <f>IFERROR(_xlfn.XLOOKUP(B481,Transporte[DESCRIPCION],Transporte[UND],,0),"")</f>
        <v/>
      </c>
      <c r="D481" s="31"/>
      <c r="E481" s="32" t="str">
        <f>IFERROR(_xlfn.XLOOKUP($B481,Transporte[DESCRIPCION],Transporte[VALOR],,0),"")</f>
        <v/>
      </c>
      <c r="F481" s="33"/>
      <c r="G481" s="34" t="str">
        <f>IFERROR(IF(F481&gt;=0,D481*E481*(1+F481/100),ABS(D481*E481/F481)),"")</f>
        <v/>
      </c>
      <c r="H481" s="43" t="str">
        <f>IFERROR(G481*E464,"")</f>
        <v/>
      </c>
    </row>
    <row r="482" spans="1:11" ht="12.75" customHeight="1">
      <c r="A482" s="21"/>
      <c r="B482" s="22" t="s">
        <v>3732</v>
      </c>
      <c r="C482" s="23"/>
      <c r="D482" s="24"/>
      <c r="E482" s="25"/>
      <c r="F482" s="26"/>
      <c r="G482" s="27">
        <f>SUM(G483:G485)</f>
        <v>349323.05655000004</v>
      </c>
      <c r="H482" s="44">
        <f>G482*E464</f>
        <v>0</v>
      </c>
    </row>
    <row r="483" spans="1:11" ht="12.75" customHeight="1">
      <c r="A483" s="28"/>
      <c r="B483" s="29" t="s">
        <v>3710</v>
      </c>
      <c r="C483" s="30" t="str">
        <f>IFERROR(_xlfn.XLOOKUP(B483,MObra[DESCRIPCION],MObra[UN],,0),"")</f>
        <v>día</v>
      </c>
      <c r="D483" s="31">
        <v>1</v>
      </c>
      <c r="E483" s="32">
        <f>IFERROR(_xlfn.XLOOKUP($B483,MObra[DESCRIPCION],MObra[VALOR UNIT],,0),"")</f>
        <v>314390.75089500006</v>
      </c>
      <c r="F483" s="33">
        <v>-0.9</v>
      </c>
      <c r="G483" s="34">
        <f>IFERROR(IF(F483&gt;=0,D483*E483*(1+F483/100),ABS(D483*E483/F483)),"")</f>
        <v>349323.05655000004</v>
      </c>
      <c r="H483" s="43">
        <f>IFERROR(G483*E464,"")</f>
        <v>0</v>
      </c>
    </row>
    <row r="484" spans="1:11" ht="12.75" customHeight="1">
      <c r="A484" s="28"/>
      <c r="B484" s="29"/>
      <c r="C484" s="30" t="str">
        <f t="array" ref="C484">IFERROR(_xlfn.XLOOKUP(B484,MObra[[#All],[DESCRIPCION]],MObra[[#All],[UN]],,0),"")</f>
        <v/>
      </c>
      <c r="D484" s="31"/>
      <c r="E484" s="32" t="str">
        <f>IFERROR(_xlfn.XLOOKUP($B484,MObra[DESCRIPCION],MObra[VALOR UNIT],,0),"")</f>
        <v/>
      </c>
      <c r="F484" s="33"/>
      <c r="G484" s="34" t="str">
        <f>IFERROR(IF(F484&gt;=0,D484*E484*(1+F484/100),ABS(D484*E484/F484)),"")</f>
        <v/>
      </c>
      <c r="H484" s="43" t="str">
        <f>IFERROR(G484*E464,"")</f>
        <v/>
      </c>
    </row>
    <row r="485" spans="1:11" ht="12.75" customHeight="1" thickBot="1">
      <c r="A485" s="35"/>
      <c r="B485" s="36"/>
      <c r="C485" s="37" t="str">
        <f t="array" ref="C485">IFERROR(_xlfn.XLOOKUP(B485,MObra[[#All],[DESCRIPCION]],MObra[[#All],[UN]],,0),"")</f>
        <v/>
      </c>
      <c r="D485" s="38"/>
      <c r="E485" s="39" t="str">
        <f>IFERROR(_xlfn.XLOOKUP($B485,MObra[DESCRIPCION],MObra[VALOR UNIT],,0),"")</f>
        <v/>
      </c>
      <c r="F485" s="40"/>
      <c r="G485" s="41" t="str">
        <f>IFERROR(IF(F485&gt;=0,D485*E485*(1+F485/100),ABS(D485*E485/F485)),"")</f>
        <v/>
      </c>
      <c r="H485" s="42" t="str">
        <f>IFERROR(G485*E464,"")</f>
        <v/>
      </c>
    </row>
    <row r="486" spans="1:11" ht="12.75" customHeight="1" thickTop="1" thickBot="1"/>
    <row r="487" spans="1:11" ht="12.75" customHeight="1" thickTop="1" thickBot="1">
      <c r="A487" s="6" t="s">
        <v>1141</v>
      </c>
      <c r="B487" s="7" t="str">
        <f>VLOOKUP($A487,Presupuesto!$A:$D,2,FALSE())</f>
        <v>Manómetro + válvula 1/4"</v>
      </c>
      <c r="C487" s="8" t="str">
        <f>VLOOKUP($A487,Presupuesto!$A:$D,3,FALSE())</f>
        <v>Un</v>
      </c>
      <c r="D487" s="9"/>
      <c r="E487" s="10">
        <f>VLOOKUP($A487,Presupuesto!$A:$D,4,FALSE())</f>
        <v>0</v>
      </c>
      <c r="F487" s="11" t="s">
        <v>2589</v>
      </c>
      <c r="G487" s="12">
        <f>SUM(G489:G505)/2</f>
        <v>334465.97055375</v>
      </c>
      <c r="H487" s="13">
        <f>ROUND(SUM(H489:H505),0)/2</f>
        <v>0</v>
      </c>
      <c r="I487" s="10">
        <f>VLOOKUP(A487,Presupuesto!$A:$F,6,0)</f>
        <v>0</v>
      </c>
      <c r="J487" s="10">
        <f>+H487-I487</f>
        <v>0</v>
      </c>
      <c r="K487" s="46">
        <f>+H487-G487*E487</f>
        <v>0</v>
      </c>
    </row>
    <row r="488" spans="1:11" ht="12.75" customHeight="1" thickTop="1">
      <c r="A488" s="14"/>
      <c r="B488" s="15" t="s">
        <v>2586</v>
      </c>
      <c r="C488" s="15" t="s">
        <v>5</v>
      </c>
      <c r="D488" s="16" t="s">
        <v>6</v>
      </c>
      <c r="E488" s="17" t="s">
        <v>7</v>
      </c>
      <c r="F488" s="18" t="s">
        <v>3728</v>
      </c>
      <c r="G488" s="19" t="s">
        <v>3729</v>
      </c>
      <c r="H488" s="20" t="s">
        <v>3797</v>
      </c>
    </row>
    <row r="489" spans="1:11" ht="12.75" customHeight="1">
      <c r="A489" s="21"/>
      <c r="B489" s="22" t="s">
        <v>3730</v>
      </c>
      <c r="C489" s="23"/>
      <c r="D489" s="24"/>
      <c r="E489" s="25"/>
      <c r="F489" s="26"/>
      <c r="G489" s="27">
        <f>SUM(G490:G494)</f>
        <v>207500.47500000001</v>
      </c>
      <c r="H489" s="27">
        <f>IFERROR(G489*E487,"")</f>
        <v>0</v>
      </c>
    </row>
    <row r="490" spans="1:11" ht="12.75" customHeight="1">
      <c r="A490" s="28"/>
      <c r="B490" s="29" t="s">
        <v>3146</v>
      </c>
      <c r="C490" s="30" t="str">
        <f>IFERROR(_xlfn.XLOOKUP(B490,Insumo[DESCRIPCION],Insumo[UND],,0),"")</f>
        <v>Un</v>
      </c>
      <c r="D490" s="31">
        <v>1</v>
      </c>
      <c r="E490" s="32">
        <f>IFERROR(_xlfn.XLOOKUP($B490,Insumo[DESCRIPCION],Insumo[VALOR],,0),"")</f>
        <v>105820.05</v>
      </c>
      <c r="F490" s="33"/>
      <c r="G490" s="34">
        <f>IFERROR(IF(F490&gt;=0,D490*E490*(1+F490/100),ABS(D490*E490/F490)),"")</f>
        <v>105820.05</v>
      </c>
      <c r="H490" s="43">
        <f>IFERROR(G490*E487,"")</f>
        <v>0</v>
      </c>
    </row>
    <row r="491" spans="1:11" ht="12.75" customHeight="1">
      <c r="A491" s="28"/>
      <c r="B491" s="29" t="s">
        <v>3524</v>
      </c>
      <c r="C491" s="30" t="str">
        <f>IFERROR(_xlfn.XLOOKUP(B491,Insumo[DESCRIPCION],Insumo[UND],,0),"")</f>
        <v>Un</v>
      </c>
      <c r="D491" s="31">
        <v>1</v>
      </c>
      <c r="E491" s="32">
        <f>IFERROR(_xlfn.XLOOKUP($B491,Insumo[DESCRIPCION],Insumo[VALOR],,0),"")</f>
        <v>75585.3</v>
      </c>
      <c r="F491" s="33"/>
      <c r="G491" s="34">
        <f>IFERROR(IF(F491&gt;=0,D491*E491*(1+F491/100),ABS(D491*E491/F491)),"")</f>
        <v>75585.3</v>
      </c>
      <c r="H491" s="43">
        <f>IFERROR(G491*E487,"")</f>
        <v>0</v>
      </c>
    </row>
    <row r="492" spans="1:11" ht="12.75" customHeight="1">
      <c r="A492" s="28"/>
      <c r="B492" s="29" t="s">
        <v>3282</v>
      </c>
      <c r="C492" s="30" t="str">
        <f>IFERROR(_xlfn.XLOOKUP(B492,Insumo[DESCRIPCION],Insumo[UND],,0),"")</f>
        <v>Un</v>
      </c>
      <c r="D492" s="31">
        <v>0.1</v>
      </c>
      <c r="E492" s="32">
        <f>IFERROR(_xlfn.XLOOKUP($B492,Insumo[DESCRIPCION],Insumo[VALOR],,0),"")</f>
        <v>260951.25</v>
      </c>
      <c r="F492" s="33"/>
      <c r="G492" s="34">
        <f>IFERROR(IF(F492&gt;=0,D492*E492*(1+F492/100),ABS(D492*E492/F492)),"")</f>
        <v>26095.125</v>
      </c>
      <c r="H492" s="43">
        <f>IFERROR(G492*E487,"")</f>
        <v>0</v>
      </c>
    </row>
    <row r="493" spans="1:11" ht="12.75" customHeight="1">
      <c r="A493" s="28"/>
      <c r="B493" s="29"/>
      <c r="C493" s="30" t="str">
        <f>IFERROR(_xlfn.XLOOKUP(B493,Insumo[DESCRIPCION],Insumo[UND],,0),"")</f>
        <v/>
      </c>
      <c r="D493" s="31"/>
      <c r="E493" s="32" t="str">
        <f>IFERROR(_xlfn.XLOOKUP($B493,Insumo[DESCRIPCION],Insumo[VALOR],,0),"")</f>
        <v/>
      </c>
      <c r="F493" s="33"/>
      <c r="G493" s="34" t="str">
        <f>IFERROR(IF(F493&gt;=0,D493*E493*(1+F493/100),ABS(D493*E493/F493)),"")</f>
        <v/>
      </c>
      <c r="H493" s="43" t="str">
        <f>IFERROR(G493*E487,"")</f>
        <v/>
      </c>
    </row>
    <row r="494" spans="1:11" ht="12.75" customHeight="1">
      <c r="A494" s="28"/>
      <c r="B494" s="29"/>
      <c r="C494" s="30" t="str">
        <f>IFERROR(_xlfn.XLOOKUP(B494,Insumo[DESCRIPCION],Insumo[UND],,0),"")</f>
        <v/>
      </c>
      <c r="D494" s="31"/>
      <c r="E494" s="32" t="str">
        <f>IFERROR(_xlfn.XLOOKUP($B494,Insumo[DESCRIPCION],Insumo[VALOR],,0),"")</f>
        <v/>
      </c>
      <c r="F494" s="33"/>
      <c r="G494" s="34" t="str">
        <f>IFERROR(IF(F494&gt;=0,D494*E494*(1+F494/100),ABS(D494*E494/F494)),"")</f>
        <v/>
      </c>
      <c r="H494" s="43" t="str">
        <f>IFERROR(G494*E487,"")</f>
        <v/>
      </c>
    </row>
    <row r="495" spans="1:11" ht="12.75" customHeight="1">
      <c r="A495" s="21"/>
      <c r="B495" s="22" t="s">
        <v>3731</v>
      </c>
      <c r="C495" s="23"/>
      <c r="D495" s="24"/>
      <c r="E495" s="25"/>
      <c r="F495" s="26"/>
      <c r="G495" s="27">
        <f>SUM(G496:G498)</f>
        <v>6045.9759787500006</v>
      </c>
      <c r="H495" s="44">
        <f>G495*E487</f>
        <v>0</v>
      </c>
    </row>
    <row r="496" spans="1:11" ht="12.75" customHeight="1">
      <c r="A496" s="28"/>
      <c r="B496" s="29" t="s">
        <v>3626</v>
      </c>
      <c r="C496" s="30" t="str">
        <f>IFERROR(_xlfn.XLOOKUP(B496,Equipo[DESCRIPCION],Equipo[UND],,0),"")</f>
        <v>%MO</v>
      </c>
      <c r="D496" s="31">
        <v>0.05</v>
      </c>
      <c r="E496" s="32">
        <f>IF(C496="%MO",G502,IFERROR(_xlfn.XLOOKUP($B496,Equipo[DESCRIPCION],Equipo[VALOR],,0),""))</f>
        <v>120919.51957500001</v>
      </c>
      <c r="F496" s="33"/>
      <c r="G496" s="34">
        <f>IFERROR(IF(F496&gt;=0,D496*E496*(1+F496/100),ABS(D496*E496/F496)),"")</f>
        <v>6045.9759787500006</v>
      </c>
      <c r="H496" s="43">
        <f>IFERROR(G496*E487,"")</f>
        <v>0</v>
      </c>
    </row>
    <row r="497" spans="1:11" ht="12.75" customHeight="1">
      <c r="A497" s="28"/>
      <c r="B497" s="29"/>
      <c r="C497" s="30" t="str">
        <f>IFERROR(_xlfn.XLOOKUP(B497,Equipo[DESCRIPCION],Equipo[UND],,0),"")</f>
        <v/>
      </c>
      <c r="D497" s="31"/>
      <c r="E497" s="32" t="str">
        <f>IF(C497="%MO",G502,IFERROR(_xlfn.XLOOKUP($B497,Equipo[DESCRIPCION],Equipo[VALOR],,0),""))</f>
        <v/>
      </c>
      <c r="F497" s="33"/>
      <c r="G497" s="34" t="str">
        <f>IFERROR(IF(F497&gt;=0,D497*E497*(1+F497/100),ABS(D497*E497/F497)),"")</f>
        <v/>
      </c>
      <c r="H497" s="43" t="str">
        <f>IFERROR(G497*E487,"")</f>
        <v/>
      </c>
    </row>
    <row r="498" spans="1:11" ht="12.75" customHeight="1">
      <c r="A498" s="28"/>
      <c r="B498" s="29"/>
      <c r="C498" s="30" t="str">
        <f>IFERROR(_xlfn.XLOOKUP(B498,Equipo[DESCRIPCION],Equipo[UND],,0),"")</f>
        <v/>
      </c>
      <c r="D498" s="31"/>
      <c r="E498" s="32" t="str">
        <f>IF(C498="%MO",G502,IFERROR(_xlfn.XLOOKUP($B498,Equipo[DESCRIPCION],Equipo[VALOR],,0),""))</f>
        <v/>
      </c>
      <c r="F498" s="33"/>
      <c r="G498" s="34" t="str">
        <f>IFERROR(IF(F498&gt;=0,D498*E498*(1+F498/100),ABS(D498*E498/F498)),"")</f>
        <v/>
      </c>
      <c r="H498" s="43" t="str">
        <f>IFERROR(G498*E487,"")</f>
        <v/>
      </c>
    </row>
    <row r="499" spans="1:11" ht="12.75" customHeight="1">
      <c r="A499" s="21"/>
      <c r="B499" s="22" t="s">
        <v>2533</v>
      </c>
      <c r="C499" s="23"/>
      <c r="D499" s="24"/>
      <c r="E499" s="25"/>
      <c r="F499" s="26"/>
      <c r="G499" s="27">
        <f>SUM(G500:G501)</f>
        <v>0</v>
      </c>
      <c r="H499" s="44">
        <f>G499*E487</f>
        <v>0</v>
      </c>
    </row>
    <row r="500" spans="1:11" ht="12.75" customHeight="1">
      <c r="A500" s="28"/>
      <c r="B500" s="29"/>
      <c r="C500" s="30" t="str">
        <f>IFERROR(_xlfn.XLOOKUP(B500,Transporte[DESCRIPCION],Transporte[UND],,0),"")</f>
        <v/>
      </c>
      <c r="D500" s="31"/>
      <c r="E500" s="32" t="str">
        <f>IFERROR(_xlfn.XLOOKUP($B500,Transporte[DESCRIPCION],Transporte[VALOR],,0),"")</f>
        <v/>
      </c>
      <c r="F500" s="33"/>
      <c r="G500" s="34" t="str">
        <f>IFERROR(IF(F500&gt;=0,D500*E500*(1+F500/100),ABS(D500*E500/F500)),"")</f>
        <v/>
      </c>
      <c r="H500" s="43" t="str">
        <f>IFERROR(G500*E487,"")</f>
        <v/>
      </c>
    </row>
    <row r="501" spans="1:11" ht="12.75" customHeight="1">
      <c r="A501" s="28"/>
      <c r="B501" s="29"/>
      <c r="C501" s="30" t="str">
        <f>IFERROR(_xlfn.XLOOKUP(B501,Transporte[DESCRIPCION],Transporte[UND],,0),"")</f>
        <v/>
      </c>
      <c r="D501" s="31"/>
      <c r="E501" s="32" t="str">
        <f>IFERROR(_xlfn.XLOOKUP($B501,Transporte[DESCRIPCION],Transporte[VALOR],,0),"")</f>
        <v/>
      </c>
      <c r="F501" s="33"/>
      <c r="G501" s="34" t="str">
        <f>IFERROR(IF(F501&gt;=0,D501*E501*(1+F501/100),ABS(D501*E501/F501)),"")</f>
        <v/>
      </c>
      <c r="H501" s="43" t="str">
        <f>IFERROR(G501*E487,"")</f>
        <v/>
      </c>
    </row>
    <row r="502" spans="1:11" ht="12.75" customHeight="1">
      <c r="A502" s="21"/>
      <c r="B502" s="22" t="s">
        <v>3732</v>
      </c>
      <c r="C502" s="23"/>
      <c r="D502" s="24"/>
      <c r="E502" s="25"/>
      <c r="F502" s="26"/>
      <c r="G502" s="27">
        <f>SUM(G503:G505)</f>
        <v>120919.51957500001</v>
      </c>
      <c r="H502" s="44">
        <f>G502*E487</f>
        <v>0</v>
      </c>
    </row>
    <row r="503" spans="1:11" ht="12.75" customHeight="1">
      <c r="A503" s="28"/>
      <c r="B503" s="29" t="s">
        <v>3710</v>
      </c>
      <c r="C503" s="30" t="str">
        <f>IFERROR(_xlfn.XLOOKUP(B503,MObra[DESCRIPCION],MObra[UN],,0),"")</f>
        <v>día</v>
      </c>
      <c r="D503" s="31">
        <v>1</v>
      </c>
      <c r="E503" s="32">
        <f>IFERROR(_xlfn.XLOOKUP($B503,MObra[DESCRIPCION],MObra[VALOR UNIT],,0),"")</f>
        <v>314390.75089500006</v>
      </c>
      <c r="F503" s="33">
        <v>-2.6</v>
      </c>
      <c r="G503" s="34">
        <f>IFERROR(IF(F503&gt;=0,D503*E503*(1+F503/100),ABS(D503*E503/F503)),"")</f>
        <v>120919.51957500001</v>
      </c>
      <c r="H503" s="43">
        <f>IFERROR(G503*E487,"")</f>
        <v>0</v>
      </c>
    </row>
    <row r="504" spans="1:11" ht="12.75" customHeight="1">
      <c r="A504" s="28"/>
      <c r="B504" s="29"/>
      <c r="C504" s="30" t="str">
        <f t="array" ref="C504">IFERROR(_xlfn.XLOOKUP(B504,MObra[[#All],[DESCRIPCION]],MObra[[#All],[UN]],,0),"")</f>
        <v/>
      </c>
      <c r="D504" s="31"/>
      <c r="E504" s="32" t="str">
        <f>IFERROR(_xlfn.XLOOKUP($B504,MObra[DESCRIPCION],MObra[VALOR UNIT],,0),"")</f>
        <v/>
      </c>
      <c r="F504" s="33"/>
      <c r="G504" s="34" t="str">
        <f>IFERROR(IF(F504&gt;=0,D504*E504*(1+F504/100),ABS(D504*E504/F504)),"")</f>
        <v/>
      </c>
      <c r="H504" s="43" t="str">
        <f>IFERROR(G504*E487,"")</f>
        <v/>
      </c>
    </row>
    <row r="505" spans="1:11" ht="12.75" customHeight="1" thickBot="1">
      <c r="A505" s="35"/>
      <c r="B505" s="36"/>
      <c r="C505" s="37" t="str">
        <f t="array" ref="C505">IFERROR(_xlfn.XLOOKUP(B505,MObra[[#All],[DESCRIPCION]],MObra[[#All],[UN]],,0),"")</f>
        <v/>
      </c>
      <c r="D505" s="38"/>
      <c r="E505" s="39" t="str">
        <f>IFERROR(_xlfn.XLOOKUP($B505,MObra[DESCRIPCION],MObra[VALOR UNIT],,0),"")</f>
        <v/>
      </c>
      <c r="F505" s="40"/>
      <c r="G505" s="41" t="str">
        <f>IFERROR(IF(F505&gt;=0,D505*E505*(1+F505/100),ABS(D505*E505/F505)),"")</f>
        <v/>
      </c>
      <c r="H505" s="42" t="str">
        <f>IFERROR(G505*E487,"")</f>
        <v/>
      </c>
    </row>
    <row r="506" spans="1:11" ht="12.75" customHeight="1" thickTop="1" thickBot="1"/>
    <row r="507" spans="1:11" ht="12.75" customHeight="1" thickTop="1" thickBot="1">
      <c r="A507" s="6" t="s">
        <v>1143</v>
      </c>
      <c r="B507" s="7" t="str">
        <f>VLOOKUP($A507,Presupuesto!$A:$D,2,FALSE())</f>
        <v>Rociadores automáticos tipo montante</v>
      </c>
      <c r="C507" s="8" t="str">
        <f>VLOOKUP($A507,Presupuesto!$A:$D,3,FALSE())</f>
        <v>Un</v>
      </c>
      <c r="D507" s="9"/>
      <c r="E507" s="10">
        <f>VLOOKUP($A507,Presupuesto!$A:$D,4,FALSE())</f>
        <v>0</v>
      </c>
      <c r="F507" s="11" t="s">
        <v>2589</v>
      </c>
      <c r="G507" s="12">
        <f>SUM(G509:G528)/2</f>
        <v>304003.8370549687</v>
      </c>
      <c r="H507" s="13">
        <f>ROUND(SUM(H509:H528),0)/2</f>
        <v>0</v>
      </c>
      <c r="I507" s="10">
        <f>VLOOKUP(A507,Presupuesto!$A:$F,6,0)</f>
        <v>0</v>
      </c>
      <c r="J507" s="10">
        <f>+H507-I507</f>
        <v>0</v>
      </c>
      <c r="K507" s="46">
        <f>+H507-G507*E507</f>
        <v>0</v>
      </c>
    </row>
    <row r="508" spans="1:11" ht="12.75" customHeight="1" thickTop="1">
      <c r="A508" s="14"/>
      <c r="B508" s="15" t="s">
        <v>2586</v>
      </c>
      <c r="C508" s="15" t="s">
        <v>5</v>
      </c>
      <c r="D508" s="16" t="s">
        <v>6</v>
      </c>
      <c r="E508" s="17" t="s">
        <v>7</v>
      </c>
      <c r="F508" s="18" t="s">
        <v>3728</v>
      </c>
      <c r="G508" s="19" t="s">
        <v>3729</v>
      </c>
      <c r="H508" s="20" t="s">
        <v>3797</v>
      </c>
    </row>
    <row r="509" spans="1:11" ht="12.75" customHeight="1">
      <c r="A509" s="21"/>
      <c r="B509" s="22" t="s">
        <v>3730</v>
      </c>
      <c r="C509" s="23"/>
      <c r="D509" s="24"/>
      <c r="E509" s="25"/>
      <c r="F509" s="26"/>
      <c r="G509" s="27">
        <f>SUM(G510:G517)</f>
        <v>262740.05099999998</v>
      </c>
      <c r="H509" s="27">
        <f>IFERROR(G509*E507,"")</f>
        <v>0</v>
      </c>
    </row>
    <row r="510" spans="1:11" ht="12.75" customHeight="1">
      <c r="A510" s="28"/>
      <c r="B510" s="29" t="s">
        <v>3513</v>
      </c>
      <c r="C510" s="30" t="str">
        <f>IFERROR(_xlfn.XLOOKUP(B510,Insumo[DESCRIPCION],Insumo[UND],,0),"")</f>
        <v>M</v>
      </c>
      <c r="D510" s="31">
        <v>1.7</v>
      </c>
      <c r="E510" s="32">
        <f>IFERROR(_xlfn.XLOOKUP($B510,Insumo[DESCRIPCION],Insumo[VALOR],,0),"")</f>
        <v>18863.25</v>
      </c>
      <c r="F510" s="33"/>
      <c r="G510" s="34">
        <f t="shared" ref="G510:G517" si="1">IFERROR(IF(F510&gt;=0,D510*E510*(1+F510/100),ABS(D510*E510/F510)),"")</f>
        <v>32067.524999999998</v>
      </c>
      <c r="H510" s="43">
        <f>IFERROR(G510*E507,"")</f>
        <v>0</v>
      </c>
    </row>
    <row r="511" spans="1:11" ht="12.75" customHeight="1">
      <c r="A511" s="28"/>
      <c r="B511" s="29" t="s">
        <v>3282</v>
      </c>
      <c r="C511" s="30" t="str">
        <f>IFERROR(_xlfn.XLOOKUP(B511,Insumo[DESCRIPCION],Insumo[UND],,0),"")</f>
        <v>Un</v>
      </c>
      <c r="D511" s="31">
        <v>0.01</v>
      </c>
      <c r="E511" s="32">
        <f>IFERROR(_xlfn.XLOOKUP($B511,Insumo[DESCRIPCION],Insumo[VALOR],,0),"")</f>
        <v>260951.25</v>
      </c>
      <c r="F511" s="33"/>
      <c r="G511" s="34">
        <f t="shared" si="1"/>
        <v>2609.5125000000003</v>
      </c>
      <c r="H511" s="43">
        <f>IFERROR(G511*E507,"")</f>
        <v>0</v>
      </c>
    </row>
    <row r="512" spans="1:11" ht="12.75" customHeight="1">
      <c r="A512" s="28"/>
      <c r="B512" s="29" t="s">
        <v>3334</v>
      </c>
      <c r="C512" s="30" t="str">
        <f>IFERROR(_xlfn.XLOOKUP(B512,Insumo[DESCRIPCION],Insumo[UND],,0),"")</f>
        <v>Un</v>
      </c>
      <c r="D512" s="31">
        <v>1</v>
      </c>
      <c r="E512" s="32">
        <f>IFERROR(_xlfn.XLOOKUP($B512,Insumo[DESCRIPCION],Insumo[VALOR],,0),"")</f>
        <v>173904.15</v>
      </c>
      <c r="F512" s="33"/>
      <c r="G512" s="34">
        <f t="shared" si="1"/>
        <v>173904.15</v>
      </c>
      <c r="H512" s="43">
        <f>IFERROR(G512*E507,"")</f>
        <v>0</v>
      </c>
    </row>
    <row r="513" spans="1:8" ht="12.75" customHeight="1">
      <c r="A513" s="28"/>
      <c r="B513" s="29" t="s">
        <v>2897</v>
      </c>
      <c r="C513" s="30" t="str">
        <f>IFERROR(_xlfn.XLOOKUP(B513,Insumo[DESCRIPCION],Insumo[UND],,0),"")</f>
        <v>Un</v>
      </c>
      <c r="D513" s="31">
        <v>1</v>
      </c>
      <c r="E513" s="32">
        <f>IFERROR(_xlfn.XLOOKUP($B513,Insumo[DESCRIPCION],Insumo[VALOR],,0),"")</f>
        <v>48306.3</v>
      </c>
      <c r="F513" s="33"/>
      <c r="G513" s="34">
        <f t="shared" si="1"/>
        <v>48306.3</v>
      </c>
      <c r="H513" s="43">
        <f>IFERROR(G513*E507,"")</f>
        <v>0</v>
      </c>
    </row>
    <row r="514" spans="1:8" ht="12.75" customHeight="1">
      <c r="A514" s="28"/>
      <c r="B514" s="29" t="s">
        <v>2847</v>
      </c>
      <c r="C514" s="30" t="str">
        <f>IFERROR(_xlfn.XLOOKUP(B514,Insumo[DESCRIPCION],Insumo[UND],,0),"")</f>
        <v>Un</v>
      </c>
      <c r="D514" s="31">
        <v>0.08</v>
      </c>
      <c r="E514" s="32">
        <f>IFERROR(_xlfn.XLOOKUP($B514,Insumo[DESCRIPCION],Insumo[VALOR],,0),"")</f>
        <v>1362.9</v>
      </c>
      <c r="F514" s="33"/>
      <c r="G514" s="34">
        <f t="shared" si="1"/>
        <v>109.03200000000001</v>
      </c>
      <c r="H514" s="43">
        <f>IFERROR(G514*E507,"")</f>
        <v>0</v>
      </c>
    </row>
    <row r="515" spans="1:8" ht="12.75" customHeight="1">
      <c r="A515" s="28"/>
      <c r="B515" s="29" t="s">
        <v>2925</v>
      </c>
      <c r="C515" s="30" t="str">
        <f>IFERROR(_xlfn.XLOOKUP(B515,Insumo[DESCRIPCION],Insumo[UND],,0),"")</f>
        <v>Lt</v>
      </c>
      <c r="D515" s="31">
        <v>0.08</v>
      </c>
      <c r="E515" s="32">
        <f>IFERROR(_xlfn.XLOOKUP($B515,Insumo[DESCRIPCION],Insumo[VALOR],,0),"")</f>
        <v>28923.300000000003</v>
      </c>
      <c r="F515" s="33"/>
      <c r="G515" s="34">
        <f t="shared" si="1"/>
        <v>2313.8640000000005</v>
      </c>
      <c r="H515" s="43">
        <f>IFERROR(G515*E507,"")</f>
        <v>0</v>
      </c>
    </row>
    <row r="516" spans="1:8" ht="12.75" customHeight="1">
      <c r="A516" s="28"/>
      <c r="B516" s="29" t="s">
        <v>2708</v>
      </c>
      <c r="C516" s="30" t="str">
        <f>IFERROR(_xlfn.XLOOKUP(B516,Insumo[DESCRIPCION],Insumo[UND],,0),"")</f>
        <v>galón</v>
      </c>
      <c r="D516" s="31">
        <v>0.02</v>
      </c>
      <c r="E516" s="32">
        <f>IFERROR(_xlfn.XLOOKUP($B516,Insumo[DESCRIPCION],Insumo[VALOR],,0),"")</f>
        <v>97886.25</v>
      </c>
      <c r="F516" s="33"/>
      <c r="G516" s="34">
        <f t="shared" si="1"/>
        <v>1957.7250000000001</v>
      </c>
      <c r="H516" s="43">
        <f>IFERROR(G516*E507,"")</f>
        <v>0</v>
      </c>
    </row>
    <row r="517" spans="1:8" ht="12.75" customHeight="1">
      <c r="A517" s="28"/>
      <c r="B517" s="29" t="s">
        <v>3327</v>
      </c>
      <c r="C517" s="30" t="str">
        <f>IFERROR(_xlfn.XLOOKUP(B517,Insumo[DESCRIPCION],Insumo[UND],,0),"")</f>
        <v>Un</v>
      </c>
      <c r="D517" s="31">
        <v>0.05</v>
      </c>
      <c r="E517" s="32">
        <f>IFERROR(_xlfn.XLOOKUP($B517,Insumo[DESCRIPCION],Insumo[VALOR],,0),"")</f>
        <v>29438.850000000002</v>
      </c>
      <c r="F517" s="33"/>
      <c r="G517" s="34">
        <f t="shared" si="1"/>
        <v>1471.9425000000001</v>
      </c>
      <c r="H517" s="43">
        <f>IFERROR(G517*E507,"")</f>
        <v>0</v>
      </c>
    </row>
    <row r="518" spans="1:8" ht="12.75" customHeight="1">
      <c r="A518" s="21"/>
      <c r="B518" s="22" t="s">
        <v>3731</v>
      </c>
      <c r="C518" s="23"/>
      <c r="D518" s="24"/>
      <c r="E518" s="25"/>
      <c r="F518" s="26"/>
      <c r="G518" s="27">
        <f>SUM(G519:G521)</f>
        <v>1964.9421930937506</v>
      </c>
      <c r="H518" s="44">
        <f>G518*E507</f>
        <v>0</v>
      </c>
    </row>
    <row r="519" spans="1:8" ht="12.75" customHeight="1">
      <c r="A519" s="28"/>
      <c r="B519" s="29" t="s">
        <v>3626</v>
      </c>
      <c r="C519" s="30" t="str">
        <f>IFERROR(_xlfn.XLOOKUP(B519,Equipo[DESCRIPCION],Equipo[UND],,0),"")</f>
        <v>%MO</v>
      </c>
      <c r="D519" s="31">
        <v>0.05</v>
      </c>
      <c r="E519" s="32">
        <f>IF(C519="%MO",G525,IFERROR(_xlfn.XLOOKUP($B519,Equipo[DESCRIPCION],Equipo[VALOR],,0),""))</f>
        <v>39298.843861875008</v>
      </c>
      <c r="F519" s="33"/>
      <c r="G519" s="34">
        <f>IFERROR(IF(F519&gt;=0,D519*E519*(1+F519/100),ABS(D519*E519/F519)),"")</f>
        <v>1964.9421930937506</v>
      </c>
      <c r="H519" s="43">
        <f>IFERROR(G519*E507,"")</f>
        <v>0</v>
      </c>
    </row>
    <row r="520" spans="1:8" ht="12.75" customHeight="1">
      <c r="A520" s="28"/>
      <c r="B520" s="29"/>
      <c r="C520" s="30" t="str">
        <f>IFERROR(_xlfn.XLOOKUP(B520,Equipo[DESCRIPCION],Equipo[UND],,0),"")</f>
        <v/>
      </c>
      <c r="D520" s="31"/>
      <c r="E520" s="32" t="str">
        <f>IF(C520="%MO",G525,IFERROR(_xlfn.XLOOKUP($B520,Equipo[DESCRIPCION],Equipo[VALOR],,0),""))</f>
        <v/>
      </c>
      <c r="F520" s="33"/>
      <c r="G520" s="34" t="str">
        <f>IFERROR(IF(F520&gt;=0,D520*E520*(1+F520/100),ABS(D520*E520/F520)),"")</f>
        <v/>
      </c>
      <c r="H520" s="43" t="str">
        <f>IFERROR(G520*E507,"")</f>
        <v/>
      </c>
    </row>
    <row r="521" spans="1:8" ht="12.75" customHeight="1">
      <c r="A521" s="28"/>
      <c r="B521" s="29"/>
      <c r="C521" s="30" t="str">
        <f>IFERROR(_xlfn.XLOOKUP(B521,Equipo[DESCRIPCION],Equipo[UND],,0),"")</f>
        <v/>
      </c>
      <c r="D521" s="31"/>
      <c r="E521" s="32" t="str">
        <f>IF(C521="%MO",G525,IFERROR(_xlfn.XLOOKUP($B521,Equipo[DESCRIPCION],Equipo[VALOR],,0),""))</f>
        <v/>
      </c>
      <c r="F521" s="33"/>
      <c r="G521" s="34" t="str">
        <f>IFERROR(IF(F521&gt;=0,D521*E521*(1+F521/100),ABS(D521*E521/F521)),"")</f>
        <v/>
      </c>
      <c r="H521" s="43" t="str">
        <f>IFERROR(G521*E507,"")</f>
        <v/>
      </c>
    </row>
    <row r="522" spans="1:8" ht="12.75" customHeight="1">
      <c r="A522" s="21"/>
      <c r="B522" s="22" t="s">
        <v>2533</v>
      </c>
      <c r="C522" s="23"/>
      <c r="D522" s="24"/>
      <c r="E522" s="25"/>
      <c r="F522" s="26"/>
      <c r="G522" s="27">
        <f>SUM(G523:G524)</f>
        <v>0</v>
      </c>
      <c r="H522" s="44">
        <f>G522*E507</f>
        <v>0</v>
      </c>
    </row>
    <row r="523" spans="1:8" ht="12.75" customHeight="1">
      <c r="A523" s="28"/>
      <c r="B523" s="29"/>
      <c r="C523" s="30" t="str">
        <f>IFERROR(_xlfn.XLOOKUP(B523,Transporte[DESCRIPCION],Transporte[UND],,0),"")</f>
        <v/>
      </c>
      <c r="D523" s="31"/>
      <c r="E523" s="32" t="str">
        <f>IFERROR(_xlfn.XLOOKUP($B523,Transporte[DESCRIPCION],Transporte[VALOR],,0),"")</f>
        <v/>
      </c>
      <c r="F523" s="33"/>
      <c r="G523" s="34" t="str">
        <f>IFERROR(IF(F523&gt;=0,D523*E523*(1+F523/100),ABS(D523*E523/F523)),"")</f>
        <v/>
      </c>
      <c r="H523" s="43" t="str">
        <f>IFERROR(G523*E507,"")</f>
        <v/>
      </c>
    </row>
    <row r="524" spans="1:8" ht="12.75" customHeight="1">
      <c r="A524" s="28"/>
      <c r="B524" s="29"/>
      <c r="C524" s="30" t="str">
        <f>IFERROR(_xlfn.XLOOKUP(B524,Transporte[DESCRIPCION],Transporte[UND],,0),"")</f>
        <v/>
      </c>
      <c r="D524" s="31"/>
      <c r="E524" s="32" t="str">
        <f>IFERROR(_xlfn.XLOOKUP($B524,Transporte[DESCRIPCION],Transporte[VALOR],,0),"")</f>
        <v/>
      </c>
      <c r="F524" s="33"/>
      <c r="G524" s="34" t="str">
        <f>IFERROR(IF(F524&gt;=0,D524*E524*(1+F524/100),ABS(D524*E524/F524)),"")</f>
        <v/>
      </c>
      <c r="H524" s="43" t="str">
        <f>IFERROR(G524*E507,"")</f>
        <v/>
      </c>
    </row>
    <row r="525" spans="1:8" ht="12.75" customHeight="1">
      <c r="A525" s="21"/>
      <c r="B525" s="22" t="s">
        <v>3732</v>
      </c>
      <c r="C525" s="23"/>
      <c r="D525" s="24"/>
      <c r="E525" s="25"/>
      <c r="F525" s="26"/>
      <c r="G525" s="27">
        <f>SUM(G526:G528)</f>
        <v>39298.843861875008</v>
      </c>
      <c r="H525" s="44">
        <f>G525*E507</f>
        <v>0</v>
      </c>
    </row>
    <row r="526" spans="1:8" ht="12.75" customHeight="1">
      <c r="A526" s="28"/>
      <c r="B526" s="29" t="s">
        <v>3710</v>
      </c>
      <c r="C526" s="30" t="str">
        <f>IFERROR(_xlfn.XLOOKUP(B526,MObra[DESCRIPCION],MObra[UN],,0),"")</f>
        <v>día</v>
      </c>
      <c r="D526" s="31">
        <v>1</v>
      </c>
      <c r="E526" s="32">
        <f>IFERROR(_xlfn.XLOOKUP($B526,MObra[DESCRIPCION],MObra[VALOR UNIT],,0),"")</f>
        <v>314390.75089500006</v>
      </c>
      <c r="F526" s="33">
        <v>-8</v>
      </c>
      <c r="G526" s="34">
        <f>IFERROR(IF(F526&gt;=0,D526*E526*(1+F526/100),ABS(D526*E526/F526)),"")</f>
        <v>39298.843861875008</v>
      </c>
      <c r="H526" s="43">
        <f>IFERROR(G526*E507,"")</f>
        <v>0</v>
      </c>
    </row>
    <row r="527" spans="1:8" ht="12.75" customHeight="1">
      <c r="A527" s="28"/>
      <c r="B527" s="29"/>
      <c r="C527" s="30" t="str">
        <f t="array" ref="C527">IFERROR(_xlfn.XLOOKUP(B527,MObra[[#All],[DESCRIPCION]],MObra[[#All],[UN]],,0),"")</f>
        <v/>
      </c>
      <c r="D527" s="31"/>
      <c r="E527" s="32" t="str">
        <f>IFERROR(_xlfn.XLOOKUP($B527,MObra[DESCRIPCION],MObra[VALOR UNIT],,0),"")</f>
        <v/>
      </c>
      <c r="F527" s="33"/>
      <c r="G527" s="34" t="str">
        <f>IFERROR(IF(F527&gt;=0,D527*E527*(1+F527/100),ABS(D527*E527/F527)),"")</f>
        <v/>
      </c>
      <c r="H527" s="43" t="str">
        <f>IFERROR(G527*E507,"")</f>
        <v/>
      </c>
    </row>
    <row r="528" spans="1:8" ht="12.75" customHeight="1" thickBot="1">
      <c r="A528" s="35"/>
      <c r="B528" s="36"/>
      <c r="C528" s="37" t="str">
        <f t="array" ref="C528">IFERROR(_xlfn.XLOOKUP(B528,MObra[[#All],[DESCRIPCION]],MObra[[#All],[UN]],,0),"")</f>
        <v/>
      </c>
      <c r="D528" s="38"/>
      <c r="E528" s="39" t="str">
        <f>IFERROR(_xlfn.XLOOKUP($B528,MObra[DESCRIPCION],MObra[VALOR UNIT],,0),"")</f>
        <v/>
      </c>
      <c r="F528" s="40"/>
      <c r="G528" s="41" t="str">
        <f>IFERROR(IF(F528&gt;=0,D528*E528*(1+F528/100),ABS(D528*E528/F528)),"")</f>
        <v/>
      </c>
      <c r="H528" s="42" t="str">
        <f>IFERROR(G528*E507,"")</f>
        <v/>
      </c>
    </row>
    <row r="529" spans="1:11" ht="12.75" customHeight="1" thickTop="1" thickBot="1"/>
    <row r="530" spans="1:11" ht="12.75" customHeight="1" thickTop="1" thickBot="1">
      <c r="A530" s="6" t="s">
        <v>1145</v>
      </c>
      <c r="B530" s="7" t="str">
        <f>VLOOKUP($A530,Presupuesto!$A:$D,2,FALSE())</f>
        <v>Rociadores automáticos tipo pendiente</v>
      </c>
      <c r="C530" s="8" t="str">
        <f>VLOOKUP($A530,Presupuesto!$A:$D,3,FALSE())</f>
        <v>Un</v>
      </c>
      <c r="D530" s="9"/>
      <c r="E530" s="10">
        <f>VLOOKUP($A530,Presupuesto!$A:$D,4,FALSE())</f>
        <v>0</v>
      </c>
      <c r="F530" s="11" t="s">
        <v>2589</v>
      </c>
      <c r="G530" s="12">
        <f>SUM(G532:G551)/2</f>
        <v>297184.08705496875</v>
      </c>
      <c r="H530" s="13">
        <f>ROUND(SUM(H532:H551),0)/2</f>
        <v>0</v>
      </c>
      <c r="I530" s="10">
        <f>VLOOKUP(A530,Presupuesto!$A:$F,6,0)</f>
        <v>0</v>
      </c>
      <c r="J530" s="10">
        <f>+H530-I530</f>
        <v>0</v>
      </c>
      <c r="K530" s="46">
        <f>+H530-G530*E530</f>
        <v>0</v>
      </c>
    </row>
    <row r="531" spans="1:11" ht="12.75" customHeight="1" thickTop="1">
      <c r="A531" s="14"/>
      <c r="B531" s="15" t="s">
        <v>2586</v>
      </c>
      <c r="C531" s="15" t="s">
        <v>5</v>
      </c>
      <c r="D531" s="16" t="s">
        <v>6</v>
      </c>
      <c r="E531" s="17" t="s">
        <v>7</v>
      </c>
      <c r="F531" s="18" t="s">
        <v>3728</v>
      </c>
      <c r="G531" s="19" t="s">
        <v>3729</v>
      </c>
      <c r="H531" s="20" t="s">
        <v>3797</v>
      </c>
    </row>
    <row r="532" spans="1:11" ht="12.75" customHeight="1">
      <c r="A532" s="21"/>
      <c r="B532" s="22" t="s">
        <v>3730</v>
      </c>
      <c r="C532" s="23"/>
      <c r="D532" s="24"/>
      <c r="E532" s="25"/>
      <c r="F532" s="26"/>
      <c r="G532" s="27">
        <f>SUM(G533:G540)</f>
        <v>255920.30100000001</v>
      </c>
      <c r="H532" s="27">
        <f>IFERROR(G532*E530,"")</f>
        <v>0</v>
      </c>
    </row>
    <row r="533" spans="1:11" ht="12.75" customHeight="1">
      <c r="A533" s="28"/>
      <c r="B533" s="29" t="s">
        <v>3513</v>
      </c>
      <c r="C533" s="30" t="str">
        <f>IFERROR(_xlfn.XLOOKUP(B533,Insumo[DESCRIPCION],Insumo[UND],,0),"")</f>
        <v>M</v>
      </c>
      <c r="D533" s="31">
        <v>1.7</v>
      </c>
      <c r="E533" s="32">
        <f>IFERROR(_xlfn.XLOOKUP($B533,Insumo[DESCRIPCION],Insumo[VALOR],,0),"")</f>
        <v>18863.25</v>
      </c>
      <c r="F533" s="33"/>
      <c r="G533" s="34">
        <f t="shared" ref="G533:G540" si="2">IFERROR(IF(F533&gt;=0,D533*E533*(1+F533/100),ABS(D533*E533/F533)),"")</f>
        <v>32067.524999999998</v>
      </c>
      <c r="H533" s="43">
        <f>IFERROR(G533*E530,"")</f>
        <v>0</v>
      </c>
    </row>
    <row r="534" spans="1:11" ht="12.75" customHeight="1">
      <c r="A534" s="28"/>
      <c r="B534" s="29" t="s">
        <v>3282</v>
      </c>
      <c r="C534" s="30" t="str">
        <f>IFERROR(_xlfn.XLOOKUP(B534,Insumo[DESCRIPCION],Insumo[UND],,0),"")</f>
        <v>Un</v>
      </c>
      <c r="D534" s="31">
        <v>0.01</v>
      </c>
      <c r="E534" s="32">
        <f>IFERROR(_xlfn.XLOOKUP($B534,Insumo[DESCRIPCION],Insumo[VALOR],,0),"")</f>
        <v>260951.25</v>
      </c>
      <c r="F534" s="33"/>
      <c r="G534" s="34">
        <f t="shared" si="2"/>
        <v>2609.5125000000003</v>
      </c>
      <c r="H534" s="43">
        <f>IFERROR(G534*E530,"")</f>
        <v>0</v>
      </c>
    </row>
    <row r="535" spans="1:11" ht="12.75" customHeight="1">
      <c r="A535" s="28"/>
      <c r="B535" s="29" t="s">
        <v>3335</v>
      </c>
      <c r="C535" s="30" t="str">
        <f>IFERROR(_xlfn.XLOOKUP(B535,Insumo[DESCRIPCION],Insumo[UND],,0),"")</f>
        <v>Un</v>
      </c>
      <c r="D535" s="31">
        <v>1</v>
      </c>
      <c r="E535" s="32">
        <f>IFERROR(_xlfn.XLOOKUP($B535,Insumo[DESCRIPCION],Insumo[VALOR],,0),"")</f>
        <v>167084.4</v>
      </c>
      <c r="F535" s="33"/>
      <c r="G535" s="34">
        <f t="shared" si="2"/>
        <v>167084.4</v>
      </c>
      <c r="H535" s="43">
        <f>IFERROR(G535*E530,"")</f>
        <v>0</v>
      </c>
    </row>
    <row r="536" spans="1:11" ht="12.75" customHeight="1">
      <c r="A536" s="28"/>
      <c r="B536" s="29" t="s">
        <v>2897</v>
      </c>
      <c r="C536" s="30" t="str">
        <f>IFERROR(_xlfn.XLOOKUP(B536,Insumo[DESCRIPCION],Insumo[UND],,0),"")</f>
        <v>Un</v>
      </c>
      <c r="D536" s="31">
        <v>1</v>
      </c>
      <c r="E536" s="32">
        <f>IFERROR(_xlfn.XLOOKUP($B536,Insumo[DESCRIPCION],Insumo[VALOR],,0),"")</f>
        <v>48306.3</v>
      </c>
      <c r="F536" s="33"/>
      <c r="G536" s="34">
        <f t="shared" si="2"/>
        <v>48306.3</v>
      </c>
      <c r="H536" s="43">
        <f>IFERROR(G536*E530,"")</f>
        <v>0</v>
      </c>
    </row>
    <row r="537" spans="1:11" ht="12.75" customHeight="1">
      <c r="A537" s="28"/>
      <c r="B537" s="29" t="s">
        <v>2847</v>
      </c>
      <c r="C537" s="30" t="str">
        <f>IFERROR(_xlfn.XLOOKUP(B537,Insumo[DESCRIPCION],Insumo[UND],,0),"")</f>
        <v>Un</v>
      </c>
      <c r="D537" s="31">
        <v>0.08</v>
      </c>
      <c r="E537" s="32">
        <f>IFERROR(_xlfn.XLOOKUP($B537,Insumo[DESCRIPCION],Insumo[VALOR],,0),"")</f>
        <v>1362.9</v>
      </c>
      <c r="F537" s="33"/>
      <c r="G537" s="34">
        <f t="shared" si="2"/>
        <v>109.03200000000001</v>
      </c>
      <c r="H537" s="43">
        <f>IFERROR(G537*E530,"")</f>
        <v>0</v>
      </c>
    </row>
    <row r="538" spans="1:11" ht="12.75" customHeight="1">
      <c r="A538" s="28"/>
      <c r="B538" s="29" t="s">
        <v>2925</v>
      </c>
      <c r="C538" s="30" t="str">
        <f>IFERROR(_xlfn.XLOOKUP(B538,Insumo[DESCRIPCION],Insumo[UND],,0),"")</f>
        <v>Lt</v>
      </c>
      <c r="D538" s="31">
        <v>0.08</v>
      </c>
      <c r="E538" s="32">
        <f>IFERROR(_xlfn.XLOOKUP($B538,Insumo[DESCRIPCION],Insumo[VALOR],,0),"")</f>
        <v>28923.300000000003</v>
      </c>
      <c r="F538" s="33"/>
      <c r="G538" s="34">
        <f t="shared" si="2"/>
        <v>2313.8640000000005</v>
      </c>
      <c r="H538" s="43">
        <f>IFERROR(G538*E530,"")</f>
        <v>0</v>
      </c>
    </row>
    <row r="539" spans="1:11" ht="12.75" customHeight="1">
      <c r="A539" s="28"/>
      <c r="B539" s="29" t="s">
        <v>2708</v>
      </c>
      <c r="C539" s="30" t="str">
        <f>IFERROR(_xlfn.XLOOKUP(B539,Insumo[DESCRIPCION],Insumo[UND],,0),"")</f>
        <v>galón</v>
      </c>
      <c r="D539" s="31">
        <v>0.02</v>
      </c>
      <c r="E539" s="32">
        <f>IFERROR(_xlfn.XLOOKUP($B539,Insumo[DESCRIPCION],Insumo[VALOR],,0),"")</f>
        <v>97886.25</v>
      </c>
      <c r="F539" s="33"/>
      <c r="G539" s="34">
        <f t="shared" si="2"/>
        <v>1957.7250000000001</v>
      </c>
      <c r="H539" s="43">
        <f>IFERROR(G539*E530,"")</f>
        <v>0</v>
      </c>
    </row>
    <row r="540" spans="1:11" ht="12.75" customHeight="1">
      <c r="A540" s="28"/>
      <c r="B540" s="29" t="s">
        <v>3327</v>
      </c>
      <c r="C540" s="30" t="str">
        <f>IFERROR(_xlfn.XLOOKUP(B540,Insumo[DESCRIPCION],Insumo[UND],,0),"")</f>
        <v>Un</v>
      </c>
      <c r="D540" s="31">
        <v>0.05</v>
      </c>
      <c r="E540" s="32">
        <f>IFERROR(_xlfn.XLOOKUP($B540,Insumo[DESCRIPCION],Insumo[VALOR],,0),"")</f>
        <v>29438.850000000002</v>
      </c>
      <c r="F540" s="33"/>
      <c r="G540" s="34">
        <f t="shared" si="2"/>
        <v>1471.9425000000001</v>
      </c>
      <c r="H540" s="43">
        <f>IFERROR(G540*E530,"")</f>
        <v>0</v>
      </c>
    </row>
    <row r="541" spans="1:11" ht="12.75" customHeight="1">
      <c r="A541" s="21"/>
      <c r="B541" s="22" t="s">
        <v>3731</v>
      </c>
      <c r="C541" s="23"/>
      <c r="D541" s="24"/>
      <c r="E541" s="25"/>
      <c r="F541" s="26"/>
      <c r="G541" s="27">
        <f>SUM(G542:G544)</f>
        <v>1964.9421930937506</v>
      </c>
      <c r="H541" s="44">
        <f>G541*E530</f>
        <v>0</v>
      </c>
    </row>
    <row r="542" spans="1:11" ht="12.75" customHeight="1">
      <c r="A542" s="28"/>
      <c r="B542" s="29" t="s">
        <v>3626</v>
      </c>
      <c r="C542" s="30" t="str">
        <f>IFERROR(_xlfn.XLOOKUP(B542,Equipo[DESCRIPCION],Equipo[UND],,0),"")</f>
        <v>%MO</v>
      </c>
      <c r="D542" s="31">
        <v>0.05</v>
      </c>
      <c r="E542" s="32">
        <f>IF(C542="%MO",G548,IFERROR(_xlfn.XLOOKUP($B542,Equipo[DESCRIPCION],Equipo[VALOR],,0),""))</f>
        <v>39298.843861875008</v>
      </c>
      <c r="F542" s="33"/>
      <c r="G542" s="34">
        <f>IFERROR(IF(F542&gt;=0,D542*E542*(1+F542/100),ABS(D542*E542/F542)),"")</f>
        <v>1964.9421930937506</v>
      </c>
      <c r="H542" s="43">
        <f>IFERROR(G542*E530,"")</f>
        <v>0</v>
      </c>
    </row>
    <row r="543" spans="1:11" ht="12.75" customHeight="1">
      <c r="A543" s="28"/>
      <c r="B543" s="29"/>
      <c r="C543" s="30" t="str">
        <f>IFERROR(_xlfn.XLOOKUP(B543,Equipo[DESCRIPCION],Equipo[UND],,0),"")</f>
        <v/>
      </c>
      <c r="D543" s="31"/>
      <c r="E543" s="32" t="str">
        <f>IF(C543="%MO",G548,IFERROR(_xlfn.XLOOKUP($B543,Equipo[DESCRIPCION],Equipo[VALOR],,0),""))</f>
        <v/>
      </c>
      <c r="F543" s="33"/>
      <c r="G543" s="34" t="str">
        <f>IFERROR(IF(F543&gt;=0,D543*E543*(1+F543/100),ABS(D543*E543/F543)),"")</f>
        <v/>
      </c>
      <c r="H543" s="43" t="str">
        <f>IFERROR(G543*E530,"")</f>
        <v/>
      </c>
    </row>
    <row r="544" spans="1:11" ht="12.75" customHeight="1">
      <c r="A544" s="28"/>
      <c r="B544" s="29"/>
      <c r="C544" s="30" t="str">
        <f>IFERROR(_xlfn.XLOOKUP(B544,Equipo[DESCRIPCION],Equipo[UND],,0),"")</f>
        <v/>
      </c>
      <c r="D544" s="31"/>
      <c r="E544" s="32" t="str">
        <f>IF(C544="%MO",G548,IFERROR(_xlfn.XLOOKUP($B544,Equipo[DESCRIPCION],Equipo[VALOR],,0),""))</f>
        <v/>
      </c>
      <c r="F544" s="33"/>
      <c r="G544" s="34" t="str">
        <f>IFERROR(IF(F544&gt;=0,D544*E544*(1+F544/100),ABS(D544*E544/F544)),"")</f>
        <v/>
      </c>
      <c r="H544" s="43" t="str">
        <f>IFERROR(G544*E530,"")</f>
        <v/>
      </c>
    </row>
    <row r="545" spans="1:11" ht="12.75" customHeight="1">
      <c r="A545" s="21"/>
      <c r="B545" s="22" t="s">
        <v>2533</v>
      </c>
      <c r="C545" s="23"/>
      <c r="D545" s="24"/>
      <c r="E545" s="25"/>
      <c r="F545" s="26"/>
      <c r="G545" s="27">
        <f>SUM(G546:G547)</f>
        <v>0</v>
      </c>
      <c r="H545" s="44">
        <f>G545*E530</f>
        <v>0</v>
      </c>
    </row>
    <row r="546" spans="1:11" ht="12.75" customHeight="1">
      <c r="A546" s="28"/>
      <c r="B546" s="29"/>
      <c r="C546" s="30" t="str">
        <f>IFERROR(_xlfn.XLOOKUP(B546,Transporte[DESCRIPCION],Transporte[UND],,0),"")</f>
        <v/>
      </c>
      <c r="D546" s="31"/>
      <c r="E546" s="32" t="str">
        <f>IFERROR(_xlfn.XLOOKUP($B546,Transporte[DESCRIPCION],Transporte[VALOR],,0),"")</f>
        <v/>
      </c>
      <c r="F546" s="33"/>
      <c r="G546" s="34" t="str">
        <f>IFERROR(IF(F546&gt;=0,D546*E546*(1+F546/100),ABS(D546*E546/F546)),"")</f>
        <v/>
      </c>
      <c r="H546" s="43" t="str">
        <f>IFERROR(G546*E530,"")</f>
        <v/>
      </c>
    </row>
    <row r="547" spans="1:11" ht="12.75" customHeight="1">
      <c r="A547" s="28"/>
      <c r="B547" s="29"/>
      <c r="C547" s="30" t="str">
        <f>IFERROR(_xlfn.XLOOKUP(B547,Transporte[DESCRIPCION],Transporte[UND],,0),"")</f>
        <v/>
      </c>
      <c r="D547" s="31"/>
      <c r="E547" s="32" t="str">
        <f>IFERROR(_xlfn.XLOOKUP($B547,Transporte[DESCRIPCION],Transporte[VALOR],,0),"")</f>
        <v/>
      </c>
      <c r="F547" s="33"/>
      <c r="G547" s="34" t="str">
        <f>IFERROR(IF(F547&gt;=0,D547*E547*(1+F547/100),ABS(D547*E547/F547)),"")</f>
        <v/>
      </c>
      <c r="H547" s="43" t="str">
        <f>IFERROR(G547*E530,"")</f>
        <v/>
      </c>
    </row>
    <row r="548" spans="1:11" ht="12.75" customHeight="1">
      <c r="A548" s="21"/>
      <c r="B548" s="22" t="s">
        <v>3732</v>
      </c>
      <c r="C548" s="23"/>
      <c r="D548" s="24"/>
      <c r="E548" s="25"/>
      <c r="F548" s="26"/>
      <c r="G548" s="27">
        <f>SUM(G549:G551)</f>
        <v>39298.843861875008</v>
      </c>
      <c r="H548" s="44">
        <f>G548*E530</f>
        <v>0</v>
      </c>
    </row>
    <row r="549" spans="1:11" ht="12.75" customHeight="1">
      <c r="A549" s="28"/>
      <c r="B549" s="29" t="s">
        <v>3710</v>
      </c>
      <c r="C549" s="30" t="str">
        <f>IFERROR(_xlfn.XLOOKUP(B549,MObra[DESCRIPCION],MObra[UN],,0),"")</f>
        <v>día</v>
      </c>
      <c r="D549" s="31">
        <v>1</v>
      </c>
      <c r="E549" s="32">
        <f>IFERROR(_xlfn.XLOOKUP($B549,MObra[DESCRIPCION],MObra[VALOR UNIT],,0),"")</f>
        <v>314390.75089500006</v>
      </c>
      <c r="F549" s="33">
        <v>-8</v>
      </c>
      <c r="G549" s="34">
        <f>IFERROR(IF(F549&gt;=0,D549*E549*(1+F549/100),ABS(D549*E549/F549)),"")</f>
        <v>39298.843861875008</v>
      </c>
      <c r="H549" s="43">
        <f>IFERROR(G549*E530,"")</f>
        <v>0</v>
      </c>
    </row>
    <row r="550" spans="1:11" ht="12.75" customHeight="1">
      <c r="A550" s="28"/>
      <c r="B550" s="29"/>
      <c r="C550" s="30" t="str">
        <f t="array" ref="C550">IFERROR(_xlfn.XLOOKUP(B550,MObra[[#All],[DESCRIPCION]],MObra[[#All],[UN]],,0),"")</f>
        <v/>
      </c>
      <c r="D550" s="31"/>
      <c r="E550" s="32" t="str">
        <f>IFERROR(_xlfn.XLOOKUP($B550,MObra[DESCRIPCION],MObra[VALOR UNIT],,0),"")</f>
        <v/>
      </c>
      <c r="F550" s="33"/>
      <c r="G550" s="34" t="str">
        <f>IFERROR(IF(F550&gt;=0,D550*E550*(1+F550/100),ABS(D550*E550/F550)),"")</f>
        <v/>
      </c>
      <c r="H550" s="43" t="str">
        <f>IFERROR(G550*E530,"")</f>
        <v/>
      </c>
    </row>
    <row r="551" spans="1:11" ht="12.75" customHeight="1" thickBot="1">
      <c r="A551" s="35"/>
      <c r="B551" s="36"/>
      <c r="C551" s="37" t="str">
        <f t="array" ref="C551">IFERROR(_xlfn.XLOOKUP(B551,MObra[[#All],[DESCRIPCION]],MObra[[#All],[UN]],,0),"")</f>
        <v/>
      </c>
      <c r="D551" s="38"/>
      <c r="E551" s="39" t="str">
        <f>IFERROR(_xlfn.XLOOKUP($B551,MObra[DESCRIPCION],MObra[VALOR UNIT],,0),"")</f>
        <v/>
      </c>
      <c r="F551" s="40"/>
      <c r="G551" s="41" t="str">
        <f>IFERROR(IF(F551&gt;=0,D551*E551*(1+F551/100),ABS(D551*E551/F551)),"")</f>
        <v/>
      </c>
      <c r="H551" s="42" t="str">
        <f>IFERROR(G551*E530,"")</f>
        <v/>
      </c>
    </row>
    <row r="552" spans="1:11" ht="12.75" customHeight="1" thickTop="1" thickBot="1"/>
    <row r="553" spans="1:11" ht="12.75" customHeight="1" thickTop="1" thickBot="1">
      <c r="A553" s="6" t="s">
        <v>1147</v>
      </c>
      <c r="B553" s="7" t="str">
        <f>VLOOKUP($A553,Presupuesto!$A:$D,2,FALSE())</f>
        <v>Sensor de flujo 2"</v>
      </c>
      <c r="C553" s="8" t="str">
        <f>VLOOKUP($A553,Presupuesto!$A:$D,3,FALSE())</f>
        <v>Un</v>
      </c>
      <c r="D553" s="9"/>
      <c r="E553" s="10">
        <f>VLOOKUP($A553,Presupuesto!$A:$D,4,FALSE())</f>
        <v>0</v>
      </c>
      <c r="F553" s="11" t="s">
        <v>2589</v>
      </c>
      <c r="G553" s="12">
        <f>SUM(G555:G571)/2</f>
        <v>650201.33176462504</v>
      </c>
      <c r="H553" s="13">
        <f>ROUND(SUM(H555:H571),0)/2</f>
        <v>0</v>
      </c>
      <c r="I553" s="10">
        <f>VLOOKUP(A553,Presupuesto!$A:$F,6,0)</f>
        <v>0</v>
      </c>
      <c r="J553" s="10">
        <f>+H553-I553</f>
        <v>0</v>
      </c>
      <c r="K553" s="46">
        <f>+H553-G553*E553</f>
        <v>0</v>
      </c>
    </row>
    <row r="554" spans="1:11" ht="12.75" customHeight="1" thickTop="1">
      <c r="A554" s="14"/>
      <c r="B554" s="15" t="s">
        <v>2586</v>
      </c>
      <c r="C554" s="15" t="s">
        <v>5</v>
      </c>
      <c r="D554" s="16" t="s">
        <v>6</v>
      </c>
      <c r="E554" s="17" t="s">
        <v>7</v>
      </c>
      <c r="F554" s="18" t="s">
        <v>3728</v>
      </c>
      <c r="G554" s="19" t="s">
        <v>3729</v>
      </c>
      <c r="H554" s="20" t="s">
        <v>3797</v>
      </c>
    </row>
    <row r="555" spans="1:11" ht="12.75" customHeight="1">
      <c r="A555" s="21"/>
      <c r="B555" s="22" t="s">
        <v>3730</v>
      </c>
      <c r="C555" s="23"/>
      <c r="D555" s="24"/>
      <c r="E555" s="25"/>
      <c r="F555" s="26"/>
      <c r="G555" s="27">
        <f>SUM(G556:G560)</f>
        <v>469426.65</v>
      </c>
      <c r="H555" s="27">
        <f>IFERROR(G555*E553,"")</f>
        <v>0</v>
      </c>
    </row>
    <row r="556" spans="1:11" ht="12.75" customHeight="1">
      <c r="A556" s="28"/>
      <c r="B556" s="29" t="s">
        <v>3285</v>
      </c>
      <c r="C556" s="30" t="str">
        <f>IFERROR(_xlfn.XLOOKUP(B556,Insumo[DESCRIPCION],Insumo[UND],,0),"")</f>
        <v>Un</v>
      </c>
      <c r="D556" s="31">
        <v>1</v>
      </c>
      <c r="E556" s="32">
        <f>IFERROR(_xlfn.XLOOKUP($B556,Insumo[DESCRIPCION],Insumo[VALOR],,0),"")</f>
        <v>469426.65</v>
      </c>
      <c r="F556" s="33"/>
      <c r="G556" s="34">
        <f>IFERROR(IF(F556&gt;=0,D556*E556*(1+F556/100),ABS(D556*E556/F556)),"")</f>
        <v>469426.65</v>
      </c>
      <c r="H556" s="43">
        <f>IFERROR(G556*E553,"")</f>
        <v>0</v>
      </c>
    </row>
    <row r="557" spans="1:11" ht="12.75" customHeight="1">
      <c r="A557" s="28"/>
      <c r="B557" s="29"/>
      <c r="C557" s="30" t="str">
        <f>IFERROR(_xlfn.XLOOKUP(B557,Insumo[DESCRIPCION],Insumo[UND],,0),"")</f>
        <v/>
      </c>
      <c r="D557" s="31"/>
      <c r="E557" s="32" t="str">
        <f>IFERROR(_xlfn.XLOOKUP($B557,Insumo[DESCRIPCION],Insumo[VALOR],,0),"")</f>
        <v/>
      </c>
      <c r="F557" s="33"/>
      <c r="G557" s="34" t="str">
        <f>IFERROR(IF(F557&gt;=0,D557*E557*(1+F557/100),ABS(D557*E557/F557)),"")</f>
        <v/>
      </c>
      <c r="H557" s="43" t="str">
        <f>IFERROR(G557*E553,"")</f>
        <v/>
      </c>
    </row>
    <row r="558" spans="1:11" ht="12.75" customHeight="1">
      <c r="A558" s="28"/>
      <c r="B558" s="29"/>
      <c r="C558" s="30" t="str">
        <f>IFERROR(_xlfn.XLOOKUP(B558,Insumo[DESCRIPCION],Insumo[UND],,0),"")</f>
        <v/>
      </c>
      <c r="D558" s="31"/>
      <c r="E558" s="32" t="str">
        <f>IFERROR(_xlfn.XLOOKUP($B558,Insumo[DESCRIPCION],Insumo[VALOR],,0),"")</f>
        <v/>
      </c>
      <c r="F558" s="33"/>
      <c r="G558" s="34" t="str">
        <f>IFERROR(IF(F558&gt;=0,D558*E558*(1+F558/100),ABS(D558*E558/F558)),"")</f>
        <v/>
      </c>
      <c r="H558" s="43" t="str">
        <f>IFERROR(G558*E553,"")</f>
        <v/>
      </c>
    </row>
    <row r="559" spans="1:11" ht="12.75" customHeight="1">
      <c r="A559" s="28"/>
      <c r="B559" s="29"/>
      <c r="C559" s="30" t="str">
        <f>IFERROR(_xlfn.XLOOKUP(B559,Insumo[DESCRIPCION],Insumo[UND],,0),"")</f>
        <v/>
      </c>
      <c r="D559" s="31"/>
      <c r="E559" s="32" t="str">
        <f>IFERROR(_xlfn.XLOOKUP($B559,Insumo[DESCRIPCION],Insumo[VALOR],,0),"")</f>
        <v/>
      </c>
      <c r="F559" s="33"/>
      <c r="G559" s="34" t="str">
        <f>IFERROR(IF(F559&gt;=0,D559*E559*(1+F559/100),ABS(D559*E559/F559)),"")</f>
        <v/>
      </c>
      <c r="H559" s="43" t="str">
        <f>IFERROR(G559*E553,"")</f>
        <v/>
      </c>
    </row>
    <row r="560" spans="1:11" ht="12.75" customHeight="1">
      <c r="A560" s="28"/>
      <c r="B560" s="29"/>
      <c r="C560" s="30" t="str">
        <f>IFERROR(_xlfn.XLOOKUP(B560,Insumo[DESCRIPCION],Insumo[UND],,0),"")</f>
        <v/>
      </c>
      <c r="D560" s="31"/>
      <c r="E560" s="32" t="str">
        <f>IFERROR(_xlfn.XLOOKUP($B560,Insumo[DESCRIPCION],Insumo[VALOR],,0),"")</f>
        <v/>
      </c>
      <c r="F560" s="33"/>
      <c r="G560" s="34" t="str">
        <f>IFERROR(IF(F560&gt;=0,D560*E560*(1+F560/100),ABS(D560*E560/F560)),"")</f>
        <v/>
      </c>
      <c r="H560" s="43" t="str">
        <f>IFERROR(G560*E553,"")</f>
        <v/>
      </c>
    </row>
    <row r="561" spans="1:11" ht="12.75" customHeight="1">
      <c r="A561" s="21"/>
      <c r="B561" s="22" t="s">
        <v>3731</v>
      </c>
      <c r="C561" s="23"/>
      <c r="D561" s="24"/>
      <c r="E561" s="25"/>
      <c r="F561" s="26"/>
      <c r="G561" s="27">
        <f>SUM(G562:G564)</f>
        <v>23579.306317125007</v>
      </c>
      <c r="H561" s="44">
        <f>G561*E553</f>
        <v>0</v>
      </c>
    </row>
    <row r="562" spans="1:11" ht="12.75" customHeight="1">
      <c r="A562" s="28"/>
      <c r="B562" s="29" t="s">
        <v>3573</v>
      </c>
      <c r="C562" s="30" t="str">
        <f>IFERROR(_xlfn.XLOOKUP(B562,Equipo[DESCRIPCION],Equipo[UND],,0),"")</f>
        <v>%MO</v>
      </c>
      <c r="D562" s="31">
        <v>0.1</v>
      </c>
      <c r="E562" s="32">
        <f>IF(C562="%MO",G568,IFERROR(_xlfn.XLOOKUP($B562,Equipo[DESCRIPCION],Equipo[VALOR],,0),""))</f>
        <v>157195.37544750003</v>
      </c>
      <c r="F562" s="33"/>
      <c r="G562" s="34">
        <f>IFERROR(IF(F562&gt;=0,D562*E562*(1+F562/100),ABS(D562*E562/F562)),"")</f>
        <v>15719.537544750005</v>
      </c>
      <c r="H562" s="43">
        <f>IFERROR(G562*E553,"")</f>
        <v>0</v>
      </c>
    </row>
    <row r="563" spans="1:11" ht="12.75" customHeight="1">
      <c r="A563" s="28"/>
      <c r="B563" s="29" t="s">
        <v>3626</v>
      </c>
      <c r="C563" s="30" t="str">
        <f>IFERROR(_xlfn.XLOOKUP(B563,Equipo[DESCRIPCION],Equipo[UND],,0),"")</f>
        <v>%MO</v>
      </c>
      <c r="D563" s="31">
        <v>0.05</v>
      </c>
      <c r="E563" s="32">
        <f>IF(C563="%MO",G568,IFERROR(_xlfn.XLOOKUP($B563,Equipo[DESCRIPCION],Equipo[VALOR],,0),""))</f>
        <v>157195.37544750003</v>
      </c>
      <c r="F563" s="33"/>
      <c r="G563" s="34">
        <f>IFERROR(IF(F563&gt;=0,D563*E563*(1+F563/100),ABS(D563*E563/F563)),"")</f>
        <v>7859.7687723750023</v>
      </c>
      <c r="H563" s="43">
        <f>IFERROR(G563*E553,"")</f>
        <v>0</v>
      </c>
    </row>
    <row r="564" spans="1:11" ht="12.75" customHeight="1">
      <c r="A564" s="28"/>
      <c r="B564" s="29"/>
      <c r="C564" s="30" t="str">
        <f>IFERROR(_xlfn.XLOOKUP(B564,Equipo[DESCRIPCION],Equipo[UND],,0),"")</f>
        <v/>
      </c>
      <c r="D564" s="31"/>
      <c r="E564" s="32" t="str">
        <f>IF(C564="%MO",G568,IFERROR(_xlfn.XLOOKUP($B564,Equipo[DESCRIPCION],Equipo[VALOR],,0),""))</f>
        <v/>
      </c>
      <c r="F564" s="33"/>
      <c r="G564" s="34" t="str">
        <f>IFERROR(IF(F564&gt;=0,D564*E564*(1+F564/100),ABS(D564*E564/F564)),"")</f>
        <v/>
      </c>
      <c r="H564" s="43" t="str">
        <f>IFERROR(G564*E553,"")</f>
        <v/>
      </c>
    </row>
    <row r="565" spans="1:11" ht="12.75" customHeight="1">
      <c r="A565" s="21"/>
      <c r="B565" s="22" t="s">
        <v>2533</v>
      </c>
      <c r="C565" s="23"/>
      <c r="D565" s="24"/>
      <c r="E565" s="25"/>
      <c r="F565" s="26"/>
      <c r="G565" s="27">
        <f>SUM(G566:G567)</f>
        <v>0</v>
      </c>
      <c r="H565" s="44">
        <f>G565*E553</f>
        <v>0</v>
      </c>
    </row>
    <row r="566" spans="1:11" ht="12.75" customHeight="1">
      <c r="A566" s="28"/>
      <c r="B566" s="29"/>
      <c r="C566" s="30" t="str">
        <f>IFERROR(_xlfn.XLOOKUP(B566,Transporte[DESCRIPCION],Transporte[UND],,0),"")</f>
        <v/>
      </c>
      <c r="D566" s="31"/>
      <c r="E566" s="32" t="str">
        <f>IFERROR(_xlfn.XLOOKUP($B566,Transporte[DESCRIPCION],Transporte[VALOR],,0),"")</f>
        <v/>
      </c>
      <c r="F566" s="33"/>
      <c r="G566" s="34" t="str">
        <f>IFERROR(IF(F566&gt;=0,D566*E566*(1+F566/100),ABS(D566*E566/F566)),"")</f>
        <v/>
      </c>
      <c r="H566" s="43" t="str">
        <f>IFERROR(G566*E553,"")</f>
        <v/>
      </c>
    </row>
    <row r="567" spans="1:11" ht="12.75" customHeight="1">
      <c r="A567" s="28"/>
      <c r="B567" s="29"/>
      <c r="C567" s="30" t="str">
        <f>IFERROR(_xlfn.XLOOKUP(B567,Transporte[DESCRIPCION],Transporte[UND],,0),"")</f>
        <v/>
      </c>
      <c r="D567" s="31"/>
      <c r="E567" s="32" t="str">
        <f>IFERROR(_xlfn.XLOOKUP($B567,Transporte[DESCRIPCION],Transporte[VALOR],,0),"")</f>
        <v/>
      </c>
      <c r="F567" s="33"/>
      <c r="G567" s="34" t="str">
        <f>IFERROR(IF(F567&gt;=0,D567*E567*(1+F567/100),ABS(D567*E567/F567)),"")</f>
        <v/>
      </c>
      <c r="H567" s="43" t="str">
        <f>IFERROR(G567*E553,"")</f>
        <v/>
      </c>
    </row>
    <row r="568" spans="1:11" ht="12.75" customHeight="1">
      <c r="A568" s="21"/>
      <c r="B568" s="22" t="s">
        <v>3732</v>
      </c>
      <c r="C568" s="23"/>
      <c r="D568" s="24"/>
      <c r="E568" s="25"/>
      <c r="F568" s="26"/>
      <c r="G568" s="27">
        <f>SUM(G569:G571)</f>
        <v>157195.37544750003</v>
      </c>
      <c r="H568" s="44">
        <f>G568*E553</f>
        <v>0</v>
      </c>
    </row>
    <row r="569" spans="1:11" ht="12.75" customHeight="1">
      <c r="A569" s="28"/>
      <c r="B569" s="29" t="s">
        <v>3710</v>
      </c>
      <c r="C569" s="30" t="str">
        <f>IFERROR(_xlfn.XLOOKUP(B569,MObra[DESCRIPCION],MObra[UN],,0),"")</f>
        <v>día</v>
      </c>
      <c r="D569" s="31">
        <v>1</v>
      </c>
      <c r="E569" s="32">
        <f>IFERROR(_xlfn.XLOOKUP($B569,MObra[DESCRIPCION],MObra[VALOR UNIT],,0),"")</f>
        <v>314390.75089500006</v>
      </c>
      <c r="F569" s="33">
        <v>-2</v>
      </c>
      <c r="G569" s="34">
        <f>IFERROR(IF(F569&gt;=0,D569*E569*(1+F569/100),ABS(D569*E569/F569)),"")</f>
        <v>157195.37544750003</v>
      </c>
      <c r="H569" s="43">
        <f>IFERROR(G569*E553,"")</f>
        <v>0</v>
      </c>
    </row>
    <row r="570" spans="1:11" ht="12.75" customHeight="1">
      <c r="A570" s="28"/>
      <c r="B570" s="29"/>
      <c r="C570" s="30" t="str">
        <f t="array" ref="C570">IFERROR(_xlfn.XLOOKUP(B570,MObra[[#All],[DESCRIPCION]],MObra[[#All],[UN]],,0),"")</f>
        <v/>
      </c>
      <c r="D570" s="31"/>
      <c r="E570" s="32" t="str">
        <f>IFERROR(_xlfn.XLOOKUP($B570,MObra[DESCRIPCION],MObra[VALOR UNIT],,0),"")</f>
        <v/>
      </c>
      <c r="F570" s="33"/>
      <c r="G570" s="34" t="str">
        <f>IFERROR(IF(F570&gt;=0,D570*E570*(1+F570/100),ABS(D570*E570/F570)),"")</f>
        <v/>
      </c>
      <c r="H570" s="43" t="str">
        <f>IFERROR(G570*E553,"")</f>
        <v/>
      </c>
    </row>
    <row r="571" spans="1:11" ht="12.75" customHeight="1" thickBot="1">
      <c r="A571" s="35"/>
      <c r="B571" s="36"/>
      <c r="C571" s="37" t="str">
        <f t="array" ref="C571">IFERROR(_xlfn.XLOOKUP(B571,MObra[[#All],[DESCRIPCION]],MObra[[#All],[UN]],,0),"")</f>
        <v/>
      </c>
      <c r="D571" s="38"/>
      <c r="E571" s="39" t="str">
        <f>IFERROR(_xlfn.XLOOKUP($B571,MObra[DESCRIPCION],MObra[VALOR UNIT],,0),"")</f>
        <v/>
      </c>
      <c r="F571" s="40"/>
      <c r="G571" s="41" t="str">
        <f>IFERROR(IF(F571&gt;=0,D571*E571*(1+F571/100),ABS(D571*E571/F571)),"")</f>
        <v/>
      </c>
      <c r="H571" s="42" t="str">
        <f>IFERROR(G571*E553,"")</f>
        <v/>
      </c>
    </row>
    <row r="572" spans="1:11" ht="12.75" customHeight="1" thickTop="1" thickBot="1"/>
    <row r="573" spans="1:11" ht="12.75" customHeight="1" thickTop="1" thickBot="1">
      <c r="A573" s="6" t="s">
        <v>1149</v>
      </c>
      <c r="B573" s="7" t="str">
        <f>VLOOKUP($A573,Presupuesto!$A:$D,2,FALSE())</f>
        <v>Sensor de flujo 2.1/2"</v>
      </c>
      <c r="C573" s="8" t="str">
        <f>VLOOKUP($A573,Presupuesto!$A:$D,3,FALSE())</f>
        <v>Un</v>
      </c>
      <c r="D573" s="9"/>
      <c r="E573" s="10">
        <f>VLOOKUP($A573,Presupuesto!$A:$D,4,FALSE())</f>
        <v>0</v>
      </c>
      <c r="F573" s="11" t="s">
        <v>2589</v>
      </c>
      <c r="G573" s="12">
        <f>SUM(G575:G591)/2</f>
        <v>739994.18176462501</v>
      </c>
      <c r="H573" s="13">
        <f>ROUND(SUM(H575:H591),0)/2</f>
        <v>0</v>
      </c>
      <c r="I573" s="10">
        <f>VLOOKUP(A573,Presupuesto!$A:$F,6,0)</f>
        <v>0</v>
      </c>
      <c r="J573" s="10">
        <f>+H573-I573</f>
        <v>0</v>
      </c>
      <c r="K573" s="46">
        <f>+H573-G573*E573</f>
        <v>0</v>
      </c>
    </row>
    <row r="574" spans="1:11" ht="12.75" customHeight="1" thickTop="1">
      <c r="A574" s="14"/>
      <c r="B574" s="15" t="s">
        <v>2586</v>
      </c>
      <c r="C574" s="15" t="s">
        <v>5</v>
      </c>
      <c r="D574" s="16" t="s">
        <v>6</v>
      </c>
      <c r="E574" s="17" t="s">
        <v>7</v>
      </c>
      <c r="F574" s="18" t="s">
        <v>3728</v>
      </c>
      <c r="G574" s="19" t="s">
        <v>3729</v>
      </c>
      <c r="H574" s="20" t="s">
        <v>3797</v>
      </c>
    </row>
    <row r="575" spans="1:11" ht="12.75" customHeight="1">
      <c r="A575" s="21"/>
      <c r="B575" s="22" t="s">
        <v>3730</v>
      </c>
      <c r="C575" s="23"/>
      <c r="D575" s="24"/>
      <c r="E575" s="25"/>
      <c r="F575" s="26"/>
      <c r="G575" s="27">
        <f>SUM(G576:G580)</f>
        <v>559219.5</v>
      </c>
      <c r="H575" s="27">
        <f>IFERROR(G575*E573,"")</f>
        <v>0</v>
      </c>
    </row>
    <row r="576" spans="1:11" ht="12.75" customHeight="1">
      <c r="A576" s="28"/>
      <c r="B576" s="29" t="s">
        <v>3284</v>
      </c>
      <c r="C576" s="30" t="str">
        <f>IFERROR(_xlfn.XLOOKUP(B576,Insumo[DESCRIPCION],Insumo[UND],,0),"")</f>
        <v>Un</v>
      </c>
      <c r="D576" s="31">
        <v>1</v>
      </c>
      <c r="E576" s="32">
        <f>IFERROR(_xlfn.XLOOKUP($B576,Insumo[DESCRIPCION],Insumo[VALOR],,0),"")</f>
        <v>559219.5</v>
      </c>
      <c r="F576" s="33"/>
      <c r="G576" s="34">
        <f>IFERROR(IF(F576&gt;=0,D576*E576*(1+F576/100),ABS(D576*E576/F576)),"")</f>
        <v>559219.5</v>
      </c>
      <c r="H576" s="43">
        <f>IFERROR(G576*E573,"")</f>
        <v>0</v>
      </c>
    </row>
    <row r="577" spans="1:8" ht="12.75" customHeight="1">
      <c r="A577" s="28"/>
      <c r="B577" s="29"/>
      <c r="C577" s="30" t="str">
        <f>IFERROR(_xlfn.XLOOKUP(B577,Insumo[DESCRIPCION],Insumo[UND],,0),"")</f>
        <v/>
      </c>
      <c r="D577" s="31"/>
      <c r="E577" s="32" t="str">
        <f>IFERROR(_xlfn.XLOOKUP($B577,Insumo[DESCRIPCION],Insumo[VALOR],,0),"")</f>
        <v/>
      </c>
      <c r="F577" s="33"/>
      <c r="G577" s="34" t="str">
        <f>IFERROR(IF(F577&gt;=0,D577*E577*(1+F577/100),ABS(D577*E577/F577)),"")</f>
        <v/>
      </c>
      <c r="H577" s="43" t="str">
        <f>IFERROR(G577*E573,"")</f>
        <v/>
      </c>
    </row>
    <row r="578" spans="1:8" ht="12.75" customHeight="1">
      <c r="A578" s="28"/>
      <c r="B578" s="29"/>
      <c r="C578" s="30" t="str">
        <f>IFERROR(_xlfn.XLOOKUP(B578,Insumo[DESCRIPCION],Insumo[UND],,0),"")</f>
        <v/>
      </c>
      <c r="D578" s="31"/>
      <c r="E578" s="32" t="str">
        <f>IFERROR(_xlfn.XLOOKUP($B578,Insumo[DESCRIPCION],Insumo[VALOR],,0),"")</f>
        <v/>
      </c>
      <c r="F578" s="33"/>
      <c r="G578" s="34" t="str">
        <f>IFERROR(IF(F578&gt;=0,D578*E578*(1+F578/100),ABS(D578*E578/F578)),"")</f>
        <v/>
      </c>
      <c r="H578" s="43" t="str">
        <f>IFERROR(G578*E573,"")</f>
        <v/>
      </c>
    </row>
    <row r="579" spans="1:8" ht="12.75" customHeight="1">
      <c r="A579" s="28"/>
      <c r="B579" s="29"/>
      <c r="C579" s="30" t="str">
        <f>IFERROR(_xlfn.XLOOKUP(B579,Insumo[DESCRIPCION],Insumo[UND],,0),"")</f>
        <v/>
      </c>
      <c r="D579" s="31"/>
      <c r="E579" s="32" t="str">
        <f>IFERROR(_xlfn.XLOOKUP($B579,Insumo[DESCRIPCION],Insumo[VALOR],,0),"")</f>
        <v/>
      </c>
      <c r="F579" s="33"/>
      <c r="G579" s="34" t="str">
        <f>IFERROR(IF(F579&gt;=0,D579*E579*(1+F579/100),ABS(D579*E579/F579)),"")</f>
        <v/>
      </c>
      <c r="H579" s="43" t="str">
        <f>IFERROR(G579*E573,"")</f>
        <v/>
      </c>
    </row>
    <row r="580" spans="1:8" ht="12.75" customHeight="1">
      <c r="A580" s="28"/>
      <c r="B580" s="29"/>
      <c r="C580" s="30" t="str">
        <f>IFERROR(_xlfn.XLOOKUP(B580,Insumo[DESCRIPCION],Insumo[UND],,0),"")</f>
        <v/>
      </c>
      <c r="D580" s="31"/>
      <c r="E580" s="32" t="str">
        <f>IFERROR(_xlfn.XLOOKUP($B580,Insumo[DESCRIPCION],Insumo[VALOR],,0),"")</f>
        <v/>
      </c>
      <c r="F580" s="33"/>
      <c r="G580" s="34" t="str">
        <f>IFERROR(IF(F580&gt;=0,D580*E580*(1+F580/100),ABS(D580*E580/F580)),"")</f>
        <v/>
      </c>
      <c r="H580" s="43" t="str">
        <f>IFERROR(G580*E573,"")</f>
        <v/>
      </c>
    </row>
    <row r="581" spans="1:8" ht="12.75" customHeight="1">
      <c r="A581" s="21"/>
      <c r="B581" s="22" t="s">
        <v>3731</v>
      </c>
      <c r="C581" s="23"/>
      <c r="D581" s="24"/>
      <c r="E581" s="25"/>
      <c r="F581" s="26"/>
      <c r="G581" s="27">
        <f>SUM(G582:G584)</f>
        <v>23579.306317125007</v>
      </c>
      <c r="H581" s="44">
        <f>G581*E573</f>
        <v>0</v>
      </c>
    </row>
    <row r="582" spans="1:8" ht="12.75" customHeight="1">
      <c r="A582" s="28"/>
      <c r="B582" s="29" t="s">
        <v>3573</v>
      </c>
      <c r="C582" s="30" t="str">
        <f>IFERROR(_xlfn.XLOOKUP(B582,Equipo[DESCRIPCION],Equipo[UND],,0),"")</f>
        <v>%MO</v>
      </c>
      <c r="D582" s="31">
        <v>0.1</v>
      </c>
      <c r="E582" s="32">
        <f>IF(C582="%MO",G588,IFERROR(_xlfn.XLOOKUP($B582,Equipo[DESCRIPCION],Equipo[VALOR],,0),""))</f>
        <v>157195.37544750003</v>
      </c>
      <c r="F582" s="33"/>
      <c r="G582" s="34">
        <f>IFERROR(IF(F582&gt;=0,D582*E582*(1+F582/100),ABS(D582*E582/F582)),"")</f>
        <v>15719.537544750005</v>
      </c>
      <c r="H582" s="43">
        <f>IFERROR(G582*E573,"")</f>
        <v>0</v>
      </c>
    </row>
    <row r="583" spans="1:8" ht="12.75" customHeight="1">
      <c r="A583" s="28"/>
      <c r="B583" s="29" t="s">
        <v>3626</v>
      </c>
      <c r="C583" s="30" t="str">
        <f>IFERROR(_xlfn.XLOOKUP(B583,Equipo[DESCRIPCION],Equipo[UND],,0),"")</f>
        <v>%MO</v>
      </c>
      <c r="D583" s="31">
        <v>0.05</v>
      </c>
      <c r="E583" s="32">
        <f>IF(C583="%MO",G588,IFERROR(_xlfn.XLOOKUP($B583,Equipo[DESCRIPCION],Equipo[VALOR],,0),""))</f>
        <v>157195.37544750003</v>
      </c>
      <c r="F583" s="33"/>
      <c r="G583" s="34">
        <f>IFERROR(IF(F583&gt;=0,D583*E583*(1+F583/100),ABS(D583*E583/F583)),"")</f>
        <v>7859.7687723750023</v>
      </c>
      <c r="H583" s="43">
        <f>IFERROR(G583*E573,"")</f>
        <v>0</v>
      </c>
    </row>
    <row r="584" spans="1:8" ht="12.75" customHeight="1">
      <c r="A584" s="28"/>
      <c r="B584" s="29"/>
      <c r="C584" s="30" t="str">
        <f>IFERROR(_xlfn.XLOOKUP(B584,Equipo[DESCRIPCION],Equipo[UND],,0),"")</f>
        <v/>
      </c>
      <c r="D584" s="31"/>
      <c r="E584" s="32" t="str">
        <f>IF(C584="%MO",G588,IFERROR(_xlfn.XLOOKUP($B584,Equipo[DESCRIPCION],Equipo[VALOR],,0),""))</f>
        <v/>
      </c>
      <c r="F584" s="33"/>
      <c r="G584" s="34" t="str">
        <f>IFERROR(IF(F584&gt;=0,D584*E584*(1+F584/100),ABS(D584*E584/F584)),"")</f>
        <v/>
      </c>
      <c r="H584" s="43" t="str">
        <f>IFERROR(G584*E573,"")</f>
        <v/>
      </c>
    </row>
    <row r="585" spans="1:8" ht="12.75" customHeight="1">
      <c r="A585" s="21"/>
      <c r="B585" s="22" t="s">
        <v>2533</v>
      </c>
      <c r="C585" s="23"/>
      <c r="D585" s="24"/>
      <c r="E585" s="25"/>
      <c r="F585" s="26"/>
      <c r="G585" s="27">
        <f>SUM(G586:G587)</f>
        <v>0</v>
      </c>
      <c r="H585" s="44">
        <f>G585*E573</f>
        <v>0</v>
      </c>
    </row>
    <row r="586" spans="1:8" ht="12.75" customHeight="1">
      <c r="A586" s="28"/>
      <c r="B586" s="29"/>
      <c r="C586" s="30" t="str">
        <f>IFERROR(_xlfn.XLOOKUP(B586,Transporte[DESCRIPCION],Transporte[UND],,0),"")</f>
        <v/>
      </c>
      <c r="D586" s="31"/>
      <c r="E586" s="32" t="str">
        <f>IFERROR(_xlfn.XLOOKUP($B586,Transporte[DESCRIPCION],Transporte[VALOR],,0),"")</f>
        <v/>
      </c>
      <c r="F586" s="33"/>
      <c r="G586" s="34" t="str">
        <f>IFERROR(IF(F586&gt;=0,D586*E586*(1+F586/100),ABS(D586*E586/F586)),"")</f>
        <v/>
      </c>
      <c r="H586" s="43" t="str">
        <f>IFERROR(G586*E573,"")</f>
        <v/>
      </c>
    </row>
    <row r="587" spans="1:8" ht="12.75" customHeight="1">
      <c r="A587" s="28"/>
      <c r="B587" s="29"/>
      <c r="C587" s="30" t="str">
        <f>IFERROR(_xlfn.XLOOKUP(B587,Transporte[DESCRIPCION],Transporte[UND],,0),"")</f>
        <v/>
      </c>
      <c r="D587" s="31"/>
      <c r="E587" s="32" t="str">
        <f>IFERROR(_xlfn.XLOOKUP($B587,Transporte[DESCRIPCION],Transporte[VALOR],,0),"")</f>
        <v/>
      </c>
      <c r="F587" s="33"/>
      <c r="G587" s="34" t="str">
        <f>IFERROR(IF(F587&gt;=0,D587*E587*(1+F587/100),ABS(D587*E587/F587)),"")</f>
        <v/>
      </c>
      <c r="H587" s="43" t="str">
        <f>IFERROR(G587*E573,"")</f>
        <v/>
      </c>
    </row>
    <row r="588" spans="1:8" ht="12.75" customHeight="1">
      <c r="A588" s="21"/>
      <c r="B588" s="22" t="s">
        <v>3732</v>
      </c>
      <c r="C588" s="23"/>
      <c r="D588" s="24"/>
      <c r="E588" s="25"/>
      <c r="F588" s="26"/>
      <c r="G588" s="27">
        <f>SUM(G589:G591)</f>
        <v>157195.37544750003</v>
      </c>
      <c r="H588" s="44">
        <f>G588*E573</f>
        <v>0</v>
      </c>
    </row>
    <row r="589" spans="1:8" ht="12.75" customHeight="1">
      <c r="A589" s="28"/>
      <c r="B589" s="29" t="s">
        <v>3710</v>
      </c>
      <c r="C589" s="30" t="str">
        <f>IFERROR(_xlfn.XLOOKUP(B589,MObra[DESCRIPCION],MObra[UN],,0),"")</f>
        <v>día</v>
      </c>
      <c r="D589" s="31">
        <v>1</v>
      </c>
      <c r="E589" s="32">
        <f>IFERROR(_xlfn.XLOOKUP($B589,MObra[DESCRIPCION],MObra[VALOR UNIT],,0),"")</f>
        <v>314390.75089500006</v>
      </c>
      <c r="F589" s="33">
        <v>-2</v>
      </c>
      <c r="G589" s="34">
        <f>IFERROR(IF(F589&gt;=0,D589*E589*(1+F589/100),ABS(D589*E589/F589)),"")</f>
        <v>157195.37544750003</v>
      </c>
      <c r="H589" s="43">
        <f>IFERROR(G589*E573,"")</f>
        <v>0</v>
      </c>
    </row>
    <row r="590" spans="1:8" ht="12.75" customHeight="1">
      <c r="A590" s="28"/>
      <c r="B590" s="29"/>
      <c r="C590" s="30" t="str">
        <f t="array" ref="C590">IFERROR(_xlfn.XLOOKUP(B590,MObra[[#All],[DESCRIPCION]],MObra[[#All],[UN]],,0),"")</f>
        <v/>
      </c>
      <c r="D590" s="31"/>
      <c r="E590" s="32" t="str">
        <f>IFERROR(_xlfn.XLOOKUP($B590,MObra[DESCRIPCION],MObra[VALOR UNIT],,0),"")</f>
        <v/>
      </c>
      <c r="F590" s="33"/>
      <c r="G590" s="34" t="str">
        <f>IFERROR(IF(F590&gt;=0,D590*E590*(1+F590/100),ABS(D590*E590/F590)),"")</f>
        <v/>
      </c>
      <c r="H590" s="43" t="str">
        <f>IFERROR(G590*E573,"")</f>
        <v/>
      </c>
    </row>
    <row r="591" spans="1:8" ht="12.75" customHeight="1" thickBot="1">
      <c r="A591" s="35"/>
      <c r="B591" s="36"/>
      <c r="C591" s="37" t="str">
        <f t="array" ref="C591">IFERROR(_xlfn.XLOOKUP(B591,MObra[[#All],[DESCRIPCION]],MObra[[#All],[UN]],,0),"")</f>
        <v/>
      </c>
      <c r="D591" s="38"/>
      <c r="E591" s="39" t="str">
        <f>IFERROR(_xlfn.XLOOKUP($B591,MObra[DESCRIPCION],MObra[VALOR UNIT],,0),"")</f>
        <v/>
      </c>
      <c r="F591" s="40"/>
      <c r="G591" s="41" t="str">
        <f>IFERROR(IF(F591&gt;=0,D591*E591*(1+F591/100),ABS(D591*E591/F591)),"")</f>
        <v/>
      </c>
      <c r="H591" s="42" t="str">
        <f>IFERROR(G591*E573,"")</f>
        <v/>
      </c>
    </row>
    <row r="592" spans="1:8" ht="12.75" customHeight="1" thickTop="1" thickBot="1"/>
    <row r="593" spans="1:11" ht="12.75" customHeight="1" thickTop="1" thickBot="1">
      <c r="A593" s="6" t="s">
        <v>1151</v>
      </c>
      <c r="B593" s="7" t="str">
        <f>VLOOKUP($A593,Presupuesto!$A:$D,2,FALSE())</f>
        <v>Soporte sísmico longitudinal 2.1/2"</v>
      </c>
      <c r="C593" s="8" t="str">
        <f>VLOOKUP($A593,Presupuesto!$A:$D,3,FALSE())</f>
        <v>Un</v>
      </c>
      <c r="D593" s="9"/>
      <c r="E593" s="10">
        <f>VLOOKUP($A593,Presupuesto!$A:$D,4,FALSE())</f>
        <v>0</v>
      </c>
      <c r="F593" s="11" t="s">
        <v>2589</v>
      </c>
      <c r="G593" s="12">
        <f>SUM(G595:G614)/2</f>
        <v>222454.10850975002</v>
      </c>
      <c r="H593" s="13">
        <f>ROUND(SUM(H595:H614),0)/2</f>
        <v>0</v>
      </c>
      <c r="I593" s="10">
        <f>VLOOKUP(A593,Presupuesto!$A:$F,6,0)</f>
        <v>0</v>
      </c>
      <c r="J593" s="10">
        <f>+H593-I593</f>
        <v>0</v>
      </c>
      <c r="K593" s="46">
        <f>+H593-G593*E593</f>
        <v>0</v>
      </c>
    </row>
    <row r="594" spans="1:11" ht="12.75" customHeight="1" thickTop="1">
      <c r="A594" s="14"/>
      <c r="B594" s="15" t="s">
        <v>2586</v>
      </c>
      <c r="C594" s="15" t="s">
        <v>5</v>
      </c>
      <c r="D594" s="16" t="s">
        <v>6</v>
      </c>
      <c r="E594" s="17" t="s">
        <v>7</v>
      </c>
      <c r="F594" s="18" t="s">
        <v>3728</v>
      </c>
      <c r="G594" s="19" t="s">
        <v>3729</v>
      </c>
      <c r="H594" s="20" t="s">
        <v>3797</v>
      </c>
    </row>
    <row r="595" spans="1:11" ht="12.75" customHeight="1">
      <c r="A595" s="21"/>
      <c r="B595" s="22" t="s">
        <v>3730</v>
      </c>
      <c r="C595" s="23"/>
      <c r="D595" s="24"/>
      <c r="E595" s="25"/>
      <c r="F595" s="26"/>
      <c r="G595" s="27">
        <f>SUM(G596:G603)</f>
        <v>101937.65400000001</v>
      </c>
      <c r="H595" s="27">
        <f>IFERROR(G595*E593,"")</f>
        <v>0</v>
      </c>
    </row>
    <row r="596" spans="1:11" ht="12.75" customHeight="1">
      <c r="A596" s="28"/>
      <c r="B596" s="29" t="s">
        <v>3332</v>
      </c>
      <c r="C596" s="30" t="str">
        <f>IFERROR(_xlfn.XLOOKUP(B596,Insumo[DESCRIPCION],Insumo[UND],,0),"")</f>
        <v>Un</v>
      </c>
      <c r="D596" s="31">
        <v>1</v>
      </c>
      <c r="E596" s="32">
        <f>IFERROR(_xlfn.XLOOKUP($B596,Insumo[DESCRIPCION],Insumo[VALOR],,0),"")</f>
        <v>67061.400000000009</v>
      </c>
      <c r="F596" s="33"/>
      <c r="G596" s="34">
        <f t="shared" ref="G596:G603" si="3">IFERROR(IF(F596&gt;=0,D596*E596*(1+F596/100),ABS(D596*E596/F596)),"")</f>
        <v>67061.400000000009</v>
      </c>
      <c r="H596" s="43">
        <f>IFERROR(G596*E593,"")</f>
        <v>0</v>
      </c>
    </row>
    <row r="597" spans="1:11" ht="12.75" customHeight="1">
      <c r="A597" s="28"/>
      <c r="B597" s="29" t="s">
        <v>3545</v>
      </c>
      <c r="C597" s="30" t="str">
        <f>IFERROR(_xlfn.XLOOKUP(B597,Insumo[DESCRIPCION],Insumo[UND],,0),"")</f>
        <v>M</v>
      </c>
      <c r="D597" s="31">
        <v>2</v>
      </c>
      <c r="E597" s="32">
        <f>IFERROR(_xlfn.XLOOKUP($B597,Insumo[DESCRIPCION],Insumo[VALOR],,0),"")</f>
        <v>11707.5</v>
      </c>
      <c r="F597" s="33"/>
      <c r="G597" s="34">
        <f t="shared" si="3"/>
        <v>23415</v>
      </c>
      <c r="H597" s="43">
        <f>IFERROR(G597*E593,"")</f>
        <v>0</v>
      </c>
    </row>
    <row r="598" spans="1:11" ht="12.75" customHeight="1">
      <c r="A598" s="28"/>
      <c r="B598" s="140" t="s">
        <v>2705</v>
      </c>
      <c r="C598" s="30" t="str">
        <f>IFERROR(_xlfn.XLOOKUP(B598,Insumo[DESCRIPCION],Insumo[UND],,0),"")</f>
        <v>M</v>
      </c>
      <c r="D598" s="31">
        <v>0.3</v>
      </c>
      <c r="E598" s="32">
        <f>IFERROR(_xlfn.XLOOKUP($B598,Insumo[DESCRIPCION],Insumo[VALOR],,0),"")</f>
        <v>10533.6</v>
      </c>
      <c r="F598" s="33"/>
      <c r="G598" s="34">
        <f t="shared" si="3"/>
        <v>3160.08</v>
      </c>
      <c r="H598" s="43">
        <f>IFERROR(G598*E593,"")</f>
        <v>0</v>
      </c>
    </row>
    <row r="599" spans="1:11" ht="12.75" customHeight="1">
      <c r="A599" s="28"/>
      <c r="B599" s="140" t="s">
        <v>3517</v>
      </c>
      <c r="C599" s="30" t="str">
        <f>IFERROR(_xlfn.XLOOKUP(B599,Insumo[DESCRIPCION],Insumo[UND],,0),"")</f>
        <v>Un</v>
      </c>
      <c r="D599" s="31">
        <v>4</v>
      </c>
      <c r="E599" s="32">
        <f>IFERROR(_xlfn.XLOOKUP($B599,Insumo[DESCRIPCION],Insumo[VALOR],,0),"")</f>
        <v>761.25</v>
      </c>
      <c r="F599" s="33"/>
      <c r="G599" s="34">
        <f t="shared" si="3"/>
        <v>3045</v>
      </c>
      <c r="H599" s="43">
        <f>IFERROR(G599*E593,"")</f>
        <v>0</v>
      </c>
    </row>
    <row r="600" spans="1:11" ht="12.75" customHeight="1">
      <c r="A600" s="28"/>
      <c r="B600" s="29" t="s">
        <v>3391</v>
      </c>
      <c r="C600" s="30" t="str">
        <f>IFERROR(_xlfn.XLOOKUP(B600,Insumo[DESCRIPCION],Insumo[UND],,0),"")</f>
        <v>galón</v>
      </c>
      <c r="D600" s="31">
        <v>0.01</v>
      </c>
      <c r="E600" s="32">
        <f>IFERROR(_xlfn.XLOOKUP($B600,Insumo[DESCRIPCION],Insumo[VALOR],,0),"")</f>
        <v>28984.2</v>
      </c>
      <c r="F600" s="33"/>
      <c r="G600" s="34">
        <f t="shared" si="3"/>
        <v>289.84200000000004</v>
      </c>
      <c r="H600" s="43">
        <f>IFERROR(G600*E593,"")</f>
        <v>0</v>
      </c>
    </row>
    <row r="601" spans="1:11" ht="12.75" customHeight="1">
      <c r="A601" s="28"/>
      <c r="B601" s="29" t="s">
        <v>2708</v>
      </c>
      <c r="C601" s="30" t="str">
        <f>IFERROR(_xlfn.XLOOKUP(B601,Insumo[DESCRIPCION],Insumo[UND],,0),"")</f>
        <v>galón</v>
      </c>
      <c r="D601" s="31">
        <v>0.02</v>
      </c>
      <c r="E601" s="32">
        <f>IFERROR(_xlfn.XLOOKUP($B601,Insumo[DESCRIPCION],Insumo[VALOR],,0),"")</f>
        <v>97886.25</v>
      </c>
      <c r="F601" s="33"/>
      <c r="G601" s="34">
        <f t="shared" si="3"/>
        <v>1957.7250000000001</v>
      </c>
      <c r="H601" s="43">
        <f>IFERROR(G601*E593,"")</f>
        <v>0</v>
      </c>
    </row>
    <row r="602" spans="1:11" ht="12.75" customHeight="1">
      <c r="A602" s="28"/>
      <c r="B602" s="29" t="s">
        <v>3204</v>
      </c>
      <c r="C602" s="30" t="str">
        <f>IFERROR(_xlfn.XLOOKUP(B602,Insumo[DESCRIPCION],Insumo[UND],,0),"")</f>
        <v>galón</v>
      </c>
      <c r="D602" s="31">
        <v>0.02</v>
      </c>
      <c r="E602" s="32">
        <f>IFERROR(_xlfn.XLOOKUP($B602,Insumo[DESCRIPCION],Insumo[VALOR],,0),"")</f>
        <v>107805.6</v>
      </c>
      <c r="F602" s="33"/>
      <c r="G602" s="34">
        <f t="shared" si="3"/>
        <v>2156.1120000000001</v>
      </c>
      <c r="H602" s="43">
        <f>IFERROR(G602*E593,"")</f>
        <v>0</v>
      </c>
    </row>
    <row r="603" spans="1:11" ht="12.75" customHeight="1">
      <c r="A603" s="28"/>
      <c r="B603" s="29" t="s">
        <v>2772</v>
      </c>
      <c r="C603" s="30" t="str">
        <f>IFERROR(_xlfn.XLOOKUP(B603,Insumo[DESCRIPCION],Insumo[UND],,0),"")</f>
        <v>Un</v>
      </c>
      <c r="D603" s="31">
        <v>0.05</v>
      </c>
      <c r="E603" s="32">
        <f>IFERROR(_xlfn.XLOOKUP($B603,Insumo[DESCRIPCION],Insumo[VALOR],,0),"")</f>
        <v>17049.900000000001</v>
      </c>
      <c r="F603" s="33"/>
      <c r="G603" s="34">
        <f t="shared" si="3"/>
        <v>852.49500000000012</v>
      </c>
      <c r="H603" s="43">
        <f>IFERROR(G603*E593,"")</f>
        <v>0</v>
      </c>
    </row>
    <row r="604" spans="1:11" ht="12.75" customHeight="1">
      <c r="A604" s="21"/>
      <c r="B604" s="22" t="s">
        <v>3731</v>
      </c>
      <c r="C604" s="23"/>
      <c r="D604" s="24"/>
      <c r="E604" s="25"/>
      <c r="F604" s="26"/>
      <c r="G604" s="27">
        <f>SUM(G605:G607)</f>
        <v>15719.537544750005</v>
      </c>
      <c r="H604" s="44">
        <f>G604*E593</f>
        <v>0</v>
      </c>
    </row>
    <row r="605" spans="1:11" ht="12.75" customHeight="1">
      <c r="A605" s="28"/>
      <c r="B605" s="29" t="s">
        <v>3573</v>
      </c>
      <c r="C605" s="30" t="str">
        <f>IFERROR(_xlfn.XLOOKUP(B605,Equipo[DESCRIPCION],Equipo[UND],,0),"")</f>
        <v>%MO</v>
      </c>
      <c r="D605" s="31">
        <v>0.1</v>
      </c>
      <c r="E605" s="32">
        <f>IF(C605="%MO",G611,IFERROR(_xlfn.XLOOKUP($B605,Equipo[DESCRIPCION],Equipo[VALOR],,0),""))</f>
        <v>104796.91696500003</v>
      </c>
      <c r="F605" s="33"/>
      <c r="G605" s="34">
        <f>IFERROR(IF(F605&gt;=0,D605*E605*(1+F605/100),ABS(D605*E605/F605)),"")</f>
        <v>10479.691696500004</v>
      </c>
      <c r="H605" s="43">
        <f>IFERROR(G605*E593,"")</f>
        <v>0</v>
      </c>
    </row>
    <row r="606" spans="1:11" ht="12.75" customHeight="1">
      <c r="A606" s="28"/>
      <c r="B606" s="29" t="s">
        <v>3626</v>
      </c>
      <c r="C606" s="30" t="str">
        <f>IFERROR(_xlfn.XLOOKUP(B606,Equipo[DESCRIPCION],Equipo[UND],,0),"")</f>
        <v>%MO</v>
      </c>
      <c r="D606" s="31">
        <v>0.05</v>
      </c>
      <c r="E606" s="32">
        <f>IF(C606="%MO",G611,IFERROR(_xlfn.XLOOKUP($B606,Equipo[DESCRIPCION],Equipo[VALOR],,0),""))</f>
        <v>104796.91696500003</v>
      </c>
      <c r="F606" s="33"/>
      <c r="G606" s="34">
        <f>IFERROR(IF(F606&gt;=0,D606*E606*(1+F606/100),ABS(D606*E606/F606)),"")</f>
        <v>5239.8458482500018</v>
      </c>
      <c r="H606" s="43">
        <f>IFERROR(G606*E593,"")</f>
        <v>0</v>
      </c>
    </row>
    <row r="607" spans="1:11" ht="12.75" customHeight="1">
      <c r="A607" s="28"/>
      <c r="B607" s="29"/>
      <c r="C607" s="30" t="str">
        <f>IFERROR(_xlfn.XLOOKUP(B607,Equipo[DESCRIPCION],Equipo[UND],,0),"")</f>
        <v/>
      </c>
      <c r="D607" s="31"/>
      <c r="E607" s="32" t="str">
        <f>IF(C607="%MO",G611,IFERROR(_xlfn.XLOOKUP($B607,Equipo[DESCRIPCION],Equipo[VALOR],,0),""))</f>
        <v/>
      </c>
      <c r="F607" s="33"/>
      <c r="G607" s="34" t="str">
        <f>IFERROR(IF(F607&gt;=0,D607*E607*(1+F607/100),ABS(D607*E607/F607)),"")</f>
        <v/>
      </c>
      <c r="H607" s="43" t="str">
        <f>IFERROR(G607*E593,"")</f>
        <v/>
      </c>
    </row>
    <row r="608" spans="1:11" ht="12.75" customHeight="1">
      <c r="A608" s="21"/>
      <c r="B608" s="22" t="s">
        <v>2533</v>
      </c>
      <c r="C608" s="23"/>
      <c r="D608" s="24"/>
      <c r="E608" s="25"/>
      <c r="F608" s="26"/>
      <c r="G608" s="27">
        <f>SUM(G609:G610)</f>
        <v>0</v>
      </c>
      <c r="H608" s="44">
        <f>G608*E593</f>
        <v>0</v>
      </c>
    </row>
    <row r="609" spans="1:11" ht="12.75" customHeight="1">
      <c r="A609" s="28"/>
      <c r="B609" s="29"/>
      <c r="C609" s="30" t="str">
        <f>IFERROR(_xlfn.XLOOKUP(B609,Transporte[DESCRIPCION],Transporte[UND],,0),"")</f>
        <v/>
      </c>
      <c r="D609" s="31"/>
      <c r="E609" s="32" t="str">
        <f>IFERROR(_xlfn.XLOOKUP($B609,Transporte[DESCRIPCION],Transporte[VALOR],,0),"")</f>
        <v/>
      </c>
      <c r="F609" s="33"/>
      <c r="G609" s="34" t="str">
        <f>IFERROR(IF(F609&gt;=0,D609*E609*(1+F609/100),ABS(D609*E609/F609)),"")</f>
        <v/>
      </c>
      <c r="H609" s="43" t="str">
        <f>IFERROR(G609*E593,"")</f>
        <v/>
      </c>
    </row>
    <row r="610" spans="1:11" ht="12.75" customHeight="1">
      <c r="A610" s="28"/>
      <c r="B610" s="29"/>
      <c r="C610" s="30" t="str">
        <f>IFERROR(_xlfn.XLOOKUP(B610,Transporte[DESCRIPCION],Transporte[UND],,0),"")</f>
        <v/>
      </c>
      <c r="D610" s="31"/>
      <c r="E610" s="32" t="str">
        <f>IFERROR(_xlfn.XLOOKUP($B610,Transporte[DESCRIPCION],Transporte[VALOR],,0),"")</f>
        <v/>
      </c>
      <c r="F610" s="33"/>
      <c r="G610" s="34" t="str">
        <f>IFERROR(IF(F610&gt;=0,D610*E610*(1+F610/100),ABS(D610*E610/F610)),"")</f>
        <v/>
      </c>
      <c r="H610" s="43" t="str">
        <f>IFERROR(G610*E593,"")</f>
        <v/>
      </c>
    </row>
    <row r="611" spans="1:11" ht="12.75" customHeight="1">
      <c r="A611" s="21"/>
      <c r="B611" s="22" t="s">
        <v>3732</v>
      </c>
      <c r="C611" s="23"/>
      <c r="D611" s="24"/>
      <c r="E611" s="25"/>
      <c r="F611" s="26"/>
      <c r="G611" s="27">
        <f>SUM(G612:G614)</f>
        <v>104796.91696500003</v>
      </c>
      <c r="H611" s="44">
        <f>G611*E593</f>
        <v>0</v>
      </c>
    </row>
    <row r="612" spans="1:11" ht="12.75" customHeight="1">
      <c r="A612" s="28"/>
      <c r="B612" s="29" t="s">
        <v>3710</v>
      </c>
      <c r="C612" s="30" t="str">
        <f>IFERROR(_xlfn.XLOOKUP(B612,MObra[DESCRIPCION],MObra[UN],,0),"")</f>
        <v>día</v>
      </c>
      <c r="D612" s="31">
        <v>1</v>
      </c>
      <c r="E612" s="32">
        <f>IFERROR(_xlfn.XLOOKUP($B612,MObra[DESCRIPCION],MObra[VALOR UNIT],,0),"")</f>
        <v>314390.75089500006</v>
      </c>
      <c r="F612" s="33">
        <v>-3</v>
      </c>
      <c r="G612" s="34">
        <f>IFERROR(IF(F612&gt;=0,D612*E612*(1+F612/100),ABS(D612*E612/F612)),"")</f>
        <v>104796.91696500003</v>
      </c>
      <c r="H612" s="43">
        <f>IFERROR(G612*E593,"")</f>
        <v>0</v>
      </c>
    </row>
    <row r="613" spans="1:11" ht="12.75" customHeight="1">
      <c r="A613" s="28"/>
      <c r="B613" s="29"/>
      <c r="C613" s="30" t="str">
        <f t="array" ref="C613">IFERROR(_xlfn.XLOOKUP(B613,MObra[[#All],[DESCRIPCION]],MObra[[#All],[UN]],,0),"")</f>
        <v/>
      </c>
      <c r="D613" s="31"/>
      <c r="E613" s="32" t="str">
        <f>IFERROR(_xlfn.XLOOKUP($B613,MObra[DESCRIPCION],MObra[VALOR UNIT],,0),"")</f>
        <v/>
      </c>
      <c r="F613" s="33"/>
      <c r="G613" s="34" t="str">
        <f>IFERROR(IF(F613&gt;=0,D613*E613*(1+F613/100),ABS(D613*E613/F613)),"")</f>
        <v/>
      </c>
      <c r="H613" s="43" t="str">
        <f>IFERROR(G613*E593,"")</f>
        <v/>
      </c>
    </row>
    <row r="614" spans="1:11" ht="12.75" customHeight="1" thickBot="1">
      <c r="A614" s="35"/>
      <c r="B614" s="36"/>
      <c r="C614" s="37" t="str">
        <f t="array" ref="C614">IFERROR(_xlfn.XLOOKUP(B614,MObra[[#All],[DESCRIPCION]],MObra[[#All],[UN]],,0),"")</f>
        <v/>
      </c>
      <c r="D614" s="38"/>
      <c r="E614" s="39" t="str">
        <f>IFERROR(_xlfn.XLOOKUP($B614,MObra[DESCRIPCION],MObra[VALOR UNIT],,0),"")</f>
        <v/>
      </c>
      <c r="F614" s="40"/>
      <c r="G614" s="41" t="str">
        <f>IFERROR(IF(F614&gt;=0,D614*E614*(1+F614/100),ABS(D614*E614/F614)),"")</f>
        <v/>
      </c>
      <c r="H614" s="42" t="str">
        <f>IFERROR(G614*E593,"")</f>
        <v/>
      </c>
    </row>
    <row r="615" spans="1:11" ht="12.75" customHeight="1" thickTop="1" thickBot="1"/>
    <row r="616" spans="1:11" ht="12.75" customHeight="1" thickTop="1" thickBot="1">
      <c r="A616" s="6" t="s">
        <v>1153</v>
      </c>
      <c r="B616" s="7" t="str">
        <f>VLOOKUP($A616,Presupuesto!$A:$D,2,FALSE())</f>
        <v>Soporte sísmico transversal 2.1/2"</v>
      </c>
      <c r="C616" s="8" t="str">
        <f>VLOOKUP($A616,Presupuesto!$A:$D,3,FALSE())</f>
        <v>Un</v>
      </c>
      <c r="D616" s="9"/>
      <c r="E616" s="10">
        <f>VLOOKUP($A616,Presupuesto!$A:$D,4,FALSE())</f>
        <v>0</v>
      </c>
      <c r="F616" s="11" t="s">
        <v>2589</v>
      </c>
      <c r="G616" s="12">
        <f>SUM(G618:G637)/2</f>
        <v>209950.70850975002</v>
      </c>
      <c r="H616" s="13">
        <f>ROUND(SUM(H618:H637),0)/2</f>
        <v>0</v>
      </c>
      <c r="I616" s="10">
        <f>VLOOKUP(A616,Presupuesto!$A:$F,6,0)</f>
        <v>0</v>
      </c>
      <c r="J616" s="10">
        <f>+H616-I616</f>
        <v>0</v>
      </c>
      <c r="K616" s="46">
        <f>+H616-G616*E616</f>
        <v>0</v>
      </c>
    </row>
    <row r="617" spans="1:11" ht="12.75" customHeight="1" thickTop="1">
      <c r="A617" s="14"/>
      <c r="B617" s="15" t="s">
        <v>2586</v>
      </c>
      <c r="C617" s="15" t="s">
        <v>5</v>
      </c>
      <c r="D617" s="16" t="s">
        <v>6</v>
      </c>
      <c r="E617" s="17" t="s">
        <v>7</v>
      </c>
      <c r="F617" s="18" t="s">
        <v>3728</v>
      </c>
      <c r="G617" s="19" t="s">
        <v>3729</v>
      </c>
      <c r="H617" s="20" t="s">
        <v>3797</v>
      </c>
    </row>
    <row r="618" spans="1:11" ht="12.75" customHeight="1">
      <c r="A618" s="21"/>
      <c r="B618" s="22" t="s">
        <v>3730</v>
      </c>
      <c r="C618" s="23"/>
      <c r="D618" s="24"/>
      <c r="E618" s="25"/>
      <c r="F618" s="26"/>
      <c r="G618" s="27">
        <f>SUM(G619:G626)</f>
        <v>89434.254000000001</v>
      </c>
      <c r="H618" s="27">
        <f>IFERROR(G618*E616,"")</f>
        <v>0</v>
      </c>
    </row>
    <row r="619" spans="1:11" ht="12.75" customHeight="1">
      <c r="A619" s="28"/>
      <c r="B619" s="29" t="s">
        <v>3333</v>
      </c>
      <c r="C619" s="30" t="str">
        <f>IFERROR(_xlfn.XLOOKUP(B619,Insumo[DESCRIPCION],Insumo[UND],,0),"")</f>
        <v>Un</v>
      </c>
      <c r="D619" s="31">
        <v>1</v>
      </c>
      <c r="E619" s="32">
        <f>IFERROR(_xlfn.XLOOKUP($B619,Insumo[DESCRIPCION],Insumo[VALOR],,0),"")</f>
        <v>54558</v>
      </c>
      <c r="F619" s="33"/>
      <c r="G619" s="34">
        <f t="shared" ref="G619:G626" si="4">IFERROR(IF(F619&gt;=0,D619*E619*(1+F619/100),ABS(D619*E619/F619)),"")</f>
        <v>54558</v>
      </c>
      <c r="H619" s="43">
        <f>IFERROR(G619*E616,"")</f>
        <v>0</v>
      </c>
    </row>
    <row r="620" spans="1:11" ht="12.75" customHeight="1">
      <c r="A620" s="28"/>
      <c r="B620" s="29" t="s">
        <v>3545</v>
      </c>
      <c r="C620" s="30" t="str">
        <f>IFERROR(_xlfn.XLOOKUP(B620,Insumo[DESCRIPCION],Insumo[UND],,0),"")</f>
        <v>M</v>
      </c>
      <c r="D620" s="31">
        <v>2</v>
      </c>
      <c r="E620" s="32">
        <f>IFERROR(_xlfn.XLOOKUP($B620,Insumo[DESCRIPCION],Insumo[VALOR],,0),"")</f>
        <v>11707.5</v>
      </c>
      <c r="F620" s="33"/>
      <c r="G620" s="34">
        <f t="shared" si="4"/>
        <v>23415</v>
      </c>
      <c r="H620" s="43">
        <f>IFERROR(G620*E616,"")</f>
        <v>0</v>
      </c>
    </row>
    <row r="621" spans="1:11" ht="12.75" customHeight="1">
      <c r="A621" s="28"/>
      <c r="B621" s="140" t="s">
        <v>2705</v>
      </c>
      <c r="C621" s="30" t="str">
        <f>IFERROR(_xlfn.XLOOKUP(B621,Insumo[DESCRIPCION],Insumo[UND],,0),"")</f>
        <v>M</v>
      </c>
      <c r="D621" s="31">
        <v>0.3</v>
      </c>
      <c r="E621" s="32">
        <f>IFERROR(_xlfn.XLOOKUP($B621,Insumo[DESCRIPCION],Insumo[VALOR],,0),"")</f>
        <v>10533.6</v>
      </c>
      <c r="F621" s="33"/>
      <c r="G621" s="34">
        <f t="shared" si="4"/>
        <v>3160.08</v>
      </c>
      <c r="H621" s="43">
        <f>IFERROR(G621*E616,"")</f>
        <v>0</v>
      </c>
    </row>
    <row r="622" spans="1:11" ht="12.75" customHeight="1">
      <c r="A622" s="28"/>
      <c r="B622" s="140" t="s">
        <v>3517</v>
      </c>
      <c r="C622" s="30" t="str">
        <f>IFERROR(_xlfn.XLOOKUP(B622,Insumo[DESCRIPCION],Insumo[UND],,0),"")</f>
        <v>Un</v>
      </c>
      <c r="D622" s="31">
        <v>4</v>
      </c>
      <c r="E622" s="32">
        <f>IFERROR(_xlfn.XLOOKUP($B622,Insumo[DESCRIPCION],Insumo[VALOR],,0),"")</f>
        <v>761.25</v>
      </c>
      <c r="F622" s="33"/>
      <c r="G622" s="34">
        <f t="shared" si="4"/>
        <v>3045</v>
      </c>
      <c r="H622" s="43">
        <f>IFERROR(G622*E616,"")</f>
        <v>0</v>
      </c>
    </row>
    <row r="623" spans="1:11" ht="12.75" customHeight="1">
      <c r="A623" s="28"/>
      <c r="B623" s="29" t="s">
        <v>3391</v>
      </c>
      <c r="C623" s="30" t="str">
        <f>IFERROR(_xlfn.XLOOKUP(B623,Insumo[DESCRIPCION],Insumo[UND],,0),"")</f>
        <v>galón</v>
      </c>
      <c r="D623" s="31">
        <v>0.01</v>
      </c>
      <c r="E623" s="32">
        <f>IFERROR(_xlfn.XLOOKUP($B623,Insumo[DESCRIPCION],Insumo[VALOR],,0),"")</f>
        <v>28984.2</v>
      </c>
      <c r="F623" s="33"/>
      <c r="G623" s="34">
        <f t="shared" si="4"/>
        <v>289.84200000000004</v>
      </c>
      <c r="H623" s="43">
        <f>IFERROR(G623*E616,"")</f>
        <v>0</v>
      </c>
    </row>
    <row r="624" spans="1:11" ht="12.75" customHeight="1">
      <c r="A624" s="28"/>
      <c r="B624" s="29" t="s">
        <v>2708</v>
      </c>
      <c r="C624" s="30" t="str">
        <f>IFERROR(_xlfn.XLOOKUP(B624,Insumo[DESCRIPCION],Insumo[UND],,0),"")</f>
        <v>galón</v>
      </c>
      <c r="D624" s="31">
        <v>0.02</v>
      </c>
      <c r="E624" s="32">
        <f>IFERROR(_xlfn.XLOOKUP($B624,Insumo[DESCRIPCION],Insumo[VALOR],,0),"")</f>
        <v>97886.25</v>
      </c>
      <c r="F624" s="33"/>
      <c r="G624" s="34">
        <f t="shared" si="4"/>
        <v>1957.7250000000001</v>
      </c>
      <c r="H624" s="43">
        <f>IFERROR(G624*E616,"")</f>
        <v>0</v>
      </c>
    </row>
    <row r="625" spans="1:11" ht="12.75" customHeight="1">
      <c r="A625" s="28"/>
      <c r="B625" s="29" t="s">
        <v>3204</v>
      </c>
      <c r="C625" s="30" t="str">
        <f>IFERROR(_xlfn.XLOOKUP(B625,Insumo[DESCRIPCION],Insumo[UND],,0),"")</f>
        <v>galón</v>
      </c>
      <c r="D625" s="31">
        <v>0.02</v>
      </c>
      <c r="E625" s="32">
        <f>IFERROR(_xlfn.XLOOKUP($B625,Insumo[DESCRIPCION],Insumo[VALOR],,0),"")</f>
        <v>107805.6</v>
      </c>
      <c r="F625" s="33"/>
      <c r="G625" s="34">
        <f t="shared" si="4"/>
        <v>2156.1120000000001</v>
      </c>
      <c r="H625" s="43">
        <f>IFERROR(G625*E616,"")</f>
        <v>0</v>
      </c>
    </row>
    <row r="626" spans="1:11" ht="12.75" customHeight="1">
      <c r="A626" s="28"/>
      <c r="B626" s="29" t="s">
        <v>2772</v>
      </c>
      <c r="C626" s="30" t="str">
        <f>IFERROR(_xlfn.XLOOKUP(B626,Insumo[DESCRIPCION],Insumo[UND],,0),"")</f>
        <v>Un</v>
      </c>
      <c r="D626" s="31">
        <v>0.05</v>
      </c>
      <c r="E626" s="32">
        <f>IFERROR(_xlfn.XLOOKUP($B626,Insumo[DESCRIPCION],Insumo[VALOR],,0),"")</f>
        <v>17049.900000000001</v>
      </c>
      <c r="F626" s="33"/>
      <c r="G626" s="34">
        <f t="shared" si="4"/>
        <v>852.49500000000012</v>
      </c>
      <c r="H626" s="43">
        <f>IFERROR(G626*E616,"")</f>
        <v>0</v>
      </c>
    </row>
    <row r="627" spans="1:11" ht="12.75" customHeight="1">
      <c r="A627" s="21"/>
      <c r="B627" s="22" t="s">
        <v>3731</v>
      </c>
      <c r="C627" s="23"/>
      <c r="D627" s="24"/>
      <c r="E627" s="25"/>
      <c r="F627" s="26"/>
      <c r="G627" s="27">
        <f>SUM(G628:G630)</f>
        <v>15719.537544750005</v>
      </c>
      <c r="H627" s="44">
        <f>G627*E616</f>
        <v>0</v>
      </c>
    </row>
    <row r="628" spans="1:11" ht="12.75" customHeight="1">
      <c r="A628" s="28"/>
      <c r="B628" s="29" t="s">
        <v>3573</v>
      </c>
      <c r="C628" s="30" t="str">
        <f>IFERROR(_xlfn.XLOOKUP(B628,Equipo[DESCRIPCION],Equipo[UND],,0),"")</f>
        <v>%MO</v>
      </c>
      <c r="D628" s="31">
        <v>0.1</v>
      </c>
      <c r="E628" s="32">
        <f>IF(C628="%MO",G634,IFERROR(_xlfn.XLOOKUP($B628,Equipo[DESCRIPCION],Equipo[VALOR],,0),""))</f>
        <v>104796.91696500003</v>
      </c>
      <c r="F628" s="33"/>
      <c r="G628" s="34">
        <f>IFERROR(IF(F628&gt;=0,D628*E628*(1+F628/100),ABS(D628*E628/F628)),"")</f>
        <v>10479.691696500004</v>
      </c>
      <c r="H628" s="43">
        <f>IFERROR(G628*E616,"")</f>
        <v>0</v>
      </c>
    </row>
    <row r="629" spans="1:11" ht="12.75" customHeight="1">
      <c r="A629" s="28"/>
      <c r="B629" s="29" t="s">
        <v>3626</v>
      </c>
      <c r="C629" s="30" t="str">
        <f>IFERROR(_xlfn.XLOOKUP(B629,Equipo[DESCRIPCION],Equipo[UND],,0),"")</f>
        <v>%MO</v>
      </c>
      <c r="D629" s="31">
        <v>0.05</v>
      </c>
      <c r="E629" s="32">
        <f>IF(C629="%MO",G634,IFERROR(_xlfn.XLOOKUP($B629,Equipo[DESCRIPCION],Equipo[VALOR],,0),""))</f>
        <v>104796.91696500003</v>
      </c>
      <c r="F629" s="33"/>
      <c r="G629" s="34">
        <f>IFERROR(IF(F629&gt;=0,D629*E629*(1+F629/100),ABS(D629*E629/F629)),"")</f>
        <v>5239.8458482500018</v>
      </c>
      <c r="H629" s="43">
        <f>IFERROR(G629*E616,"")</f>
        <v>0</v>
      </c>
    </row>
    <row r="630" spans="1:11" ht="12.75" customHeight="1">
      <c r="A630" s="28"/>
      <c r="B630" s="29"/>
      <c r="C630" s="30" t="str">
        <f>IFERROR(_xlfn.XLOOKUP(B630,Equipo[DESCRIPCION],Equipo[UND],,0),"")</f>
        <v/>
      </c>
      <c r="D630" s="31"/>
      <c r="E630" s="32" t="str">
        <f>IF(C630="%MO",G634,IFERROR(_xlfn.XLOOKUP($B630,Equipo[DESCRIPCION],Equipo[VALOR],,0),""))</f>
        <v/>
      </c>
      <c r="F630" s="33"/>
      <c r="G630" s="34" t="str">
        <f>IFERROR(IF(F630&gt;=0,D630*E630*(1+F630/100),ABS(D630*E630/F630)),"")</f>
        <v/>
      </c>
      <c r="H630" s="43" t="str">
        <f>IFERROR(G630*E616,"")</f>
        <v/>
      </c>
    </row>
    <row r="631" spans="1:11" ht="12.75" customHeight="1">
      <c r="A631" s="21"/>
      <c r="B631" s="22" t="s">
        <v>2533</v>
      </c>
      <c r="C631" s="23"/>
      <c r="D631" s="24"/>
      <c r="E631" s="25"/>
      <c r="F631" s="26"/>
      <c r="G631" s="27">
        <f>SUM(G632:G633)</f>
        <v>0</v>
      </c>
      <c r="H631" s="44">
        <f>G631*E616</f>
        <v>0</v>
      </c>
    </row>
    <row r="632" spans="1:11" ht="12.75" customHeight="1">
      <c r="A632" s="28"/>
      <c r="B632" s="29"/>
      <c r="C632" s="30" t="str">
        <f>IFERROR(_xlfn.XLOOKUP(B632,Transporte[DESCRIPCION],Transporte[UND],,0),"")</f>
        <v/>
      </c>
      <c r="D632" s="31"/>
      <c r="E632" s="32" t="str">
        <f>IFERROR(_xlfn.XLOOKUP($B632,Transporte[DESCRIPCION],Transporte[VALOR],,0),"")</f>
        <v/>
      </c>
      <c r="F632" s="33"/>
      <c r="G632" s="34" t="str">
        <f>IFERROR(IF(F632&gt;=0,D632*E632*(1+F632/100),ABS(D632*E632/F632)),"")</f>
        <v/>
      </c>
      <c r="H632" s="43" t="str">
        <f>IFERROR(G632*E616,"")</f>
        <v/>
      </c>
    </row>
    <row r="633" spans="1:11" ht="12.75" customHeight="1">
      <c r="A633" s="28"/>
      <c r="B633" s="29"/>
      <c r="C633" s="30" t="str">
        <f>IFERROR(_xlfn.XLOOKUP(B633,Transporte[DESCRIPCION],Transporte[UND],,0),"")</f>
        <v/>
      </c>
      <c r="D633" s="31"/>
      <c r="E633" s="32" t="str">
        <f>IFERROR(_xlfn.XLOOKUP($B633,Transporte[DESCRIPCION],Transporte[VALOR],,0),"")</f>
        <v/>
      </c>
      <c r="F633" s="33"/>
      <c r="G633" s="34" t="str">
        <f>IFERROR(IF(F633&gt;=0,D633*E633*(1+F633/100),ABS(D633*E633/F633)),"")</f>
        <v/>
      </c>
      <c r="H633" s="43" t="str">
        <f>IFERROR(G633*E616,"")</f>
        <v/>
      </c>
    </row>
    <row r="634" spans="1:11" ht="12.75" customHeight="1">
      <c r="A634" s="21"/>
      <c r="B634" s="22" t="s">
        <v>3732</v>
      </c>
      <c r="C634" s="23"/>
      <c r="D634" s="24"/>
      <c r="E634" s="25"/>
      <c r="F634" s="26"/>
      <c r="G634" s="27">
        <f>SUM(G635:G637)</f>
        <v>104796.91696500003</v>
      </c>
      <c r="H634" s="44">
        <f>G634*E616</f>
        <v>0</v>
      </c>
    </row>
    <row r="635" spans="1:11" ht="12.75" customHeight="1">
      <c r="A635" s="28"/>
      <c r="B635" s="29" t="s">
        <v>3710</v>
      </c>
      <c r="C635" s="30" t="str">
        <f>IFERROR(_xlfn.XLOOKUP(B635,MObra[DESCRIPCION],MObra[UN],,0),"")</f>
        <v>día</v>
      </c>
      <c r="D635" s="31">
        <v>1</v>
      </c>
      <c r="E635" s="32">
        <f>IFERROR(_xlfn.XLOOKUP($B635,MObra[DESCRIPCION],MObra[VALOR UNIT],,0),"")</f>
        <v>314390.75089500006</v>
      </c>
      <c r="F635" s="33">
        <v>-3</v>
      </c>
      <c r="G635" s="34">
        <f>IFERROR(IF(F635&gt;=0,D635*E635*(1+F635/100),ABS(D635*E635/F635)),"")</f>
        <v>104796.91696500003</v>
      </c>
      <c r="H635" s="43">
        <f>IFERROR(G635*E616,"")</f>
        <v>0</v>
      </c>
    </row>
    <row r="636" spans="1:11" ht="12.75" customHeight="1">
      <c r="A636" s="28"/>
      <c r="B636" s="29"/>
      <c r="C636" s="30" t="str">
        <f t="array" ref="C636">IFERROR(_xlfn.XLOOKUP(B636,MObra[[#All],[DESCRIPCION]],MObra[[#All],[UN]],,0),"")</f>
        <v/>
      </c>
      <c r="D636" s="31"/>
      <c r="E636" s="32" t="str">
        <f>IFERROR(_xlfn.XLOOKUP($B636,MObra[DESCRIPCION],MObra[VALOR UNIT],,0),"")</f>
        <v/>
      </c>
      <c r="F636" s="33"/>
      <c r="G636" s="34" t="str">
        <f>IFERROR(IF(F636&gt;=0,D636*E636*(1+F636/100),ABS(D636*E636/F636)),"")</f>
        <v/>
      </c>
      <c r="H636" s="43" t="str">
        <f>IFERROR(G636*E616,"")</f>
        <v/>
      </c>
    </row>
    <row r="637" spans="1:11" ht="12.75" customHeight="1" thickBot="1">
      <c r="A637" s="35"/>
      <c r="B637" s="36"/>
      <c r="C637" s="37" t="str">
        <f t="array" ref="C637">IFERROR(_xlfn.XLOOKUP(B637,MObra[[#All],[DESCRIPCION]],MObra[[#All],[UN]],,0),"")</f>
        <v/>
      </c>
      <c r="D637" s="38"/>
      <c r="E637" s="39" t="str">
        <f>IFERROR(_xlfn.XLOOKUP($B637,MObra[DESCRIPCION],MObra[VALOR UNIT],,0),"")</f>
        <v/>
      </c>
      <c r="F637" s="40"/>
      <c r="G637" s="41" t="str">
        <f>IFERROR(IF(F637&gt;=0,D637*E637*(1+F637/100),ABS(D637*E637/F637)),"")</f>
        <v/>
      </c>
      <c r="H637" s="42" t="str">
        <f>IFERROR(G637*E616,"")</f>
        <v/>
      </c>
    </row>
    <row r="638" spans="1:11" ht="12.75" customHeight="1" thickTop="1" thickBot="1"/>
    <row r="639" spans="1:11" ht="12.75" customHeight="1" thickTop="1" thickBot="1">
      <c r="A639" s="6" t="s">
        <v>1155</v>
      </c>
      <c r="B639" s="7" t="str">
        <f>VLOOKUP($A639,Presupuesto!$A:$D,2,FALSE())</f>
        <v>Tee acero al carbon ranurado 90 2 1/2"</v>
      </c>
      <c r="C639" s="8" t="str">
        <f>VLOOKUP($A639,Presupuesto!$A:$D,3,FALSE())</f>
        <v>Un</v>
      </c>
      <c r="D639" s="9"/>
      <c r="E639" s="10">
        <f>VLOOKUP($A639,Presupuesto!$A:$D,4,FALSE())</f>
        <v>0</v>
      </c>
      <c r="F639" s="11" t="s">
        <v>2589</v>
      </c>
      <c r="G639" s="12">
        <f>SUM(G641:G657)/2</f>
        <v>89068.752562649999</v>
      </c>
      <c r="H639" s="13">
        <f>ROUND(SUM(H641:H657),0)/2</f>
        <v>0</v>
      </c>
      <c r="I639" s="10">
        <f>VLOOKUP(A639,Presupuesto!$A:$F,6,0)</f>
        <v>0</v>
      </c>
      <c r="J639" s="10">
        <f>+H639-I639</f>
        <v>0</v>
      </c>
      <c r="K639" s="46">
        <f>+H639-G639*E639</f>
        <v>0</v>
      </c>
    </row>
    <row r="640" spans="1:11" ht="12.75" customHeight="1" thickTop="1">
      <c r="A640" s="14"/>
      <c r="B640" s="15" t="s">
        <v>2586</v>
      </c>
      <c r="C640" s="15" t="s">
        <v>5</v>
      </c>
      <c r="D640" s="16" t="s">
        <v>6</v>
      </c>
      <c r="E640" s="17" t="s">
        <v>7</v>
      </c>
      <c r="F640" s="18" t="s">
        <v>3728</v>
      </c>
      <c r="G640" s="19" t="s">
        <v>3729</v>
      </c>
      <c r="H640" s="20" t="s">
        <v>3797</v>
      </c>
    </row>
    <row r="641" spans="1:8" ht="12.75" customHeight="1">
      <c r="A641" s="21"/>
      <c r="B641" s="22" t="s">
        <v>3730</v>
      </c>
      <c r="C641" s="23"/>
      <c r="D641" s="24"/>
      <c r="E641" s="25"/>
      <c r="F641" s="26"/>
      <c r="G641" s="27">
        <f>SUM(G642:G646)</f>
        <v>67061.400000000009</v>
      </c>
      <c r="H641" s="27">
        <f>IFERROR(G641*E639,"")</f>
        <v>0</v>
      </c>
    </row>
    <row r="642" spans="1:8" ht="12.75" customHeight="1">
      <c r="A642" s="28"/>
      <c r="B642" s="29" t="s">
        <v>3372</v>
      </c>
      <c r="C642" s="30" t="str">
        <f>IFERROR(_xlfn.XLOOKUP(B642,Insumo[DESCRIPCION],Insumo[UND],,0),"")</f>
        <v>Un</v>
      </c>
      <c r="D642" s="31">
        <v>1</v>
      </c>
      <c r="E642" s="32">
        <f>IFERROR(_xlfn.XLOOKUP($B642,Insumo[DESCRIPCION],Insumo[VALOR],,0),"")</f>
        <v>67061.400000000009</v>
      </c>
      <c r="F642" s="33"/>
      <c r="G642" s="34">
        <f>IFERROR(IF(F642&gt;=0,D642*E642*(1+F642/100),ABS(D642*E642/F642)),"")</f>
        <v>67061.400000000009</v>
      </c>
      <c r="H642" s="43">
        <f>IFERROR(G642*E639,"")</f>
        <v>0</v>
      </c>
    </row>
    <row r="643" spans="1:8" ht="12.75" customHeight="1">
      <c r="A643" s="28"/>
      <c r="B643" s="29"/>
      <c r="C643" s="30" t="str">
        <f>IFERROR(_xlfn.XLOOKUP(B643,Insumo[DESCRIPCION],Insumo[UND],,0),"")</f>
        <v/>
      </c>
      <c r="D643" s="31"/>
      <c r="E643" s="32" t="str">
        <f>IFERROR(_xlfn.XLOOKUP($B643,Insumo[DESCRIPCION],Insumo[VALOR],,0),"")</f>
        <v/>
      </c>
      <c r="F643" s="33"/>
      <c r="G643" s="34" t="str">
        <f>IFERROR(IF(F643&gt;=0,D643*E643*(1+F643/100),ABS(D643*E643/F643)),"")</f>
        <v/>
      </c>
      <c r="H643" s="43" t="str">
        <f>IFERROR(G643*E639,"")</f>
        <v/>
      </c>
    </row>
    <row r="644" spans="1:8" ht="12.75" customHeight="1">
      <c r="A644" s="28"/>
      <c r="B644" s="29"/>
      <c r="C644" s="30" t="str">
        <f>IFERROR(_xlfn.XLOOKUP(B644,Insumo[DESCRIPCION],Insumo[UND],,0),"")</f>
        <v/>
      </c>
      <c r="D644" s="31"/>
      <c r="E644" s="32" t="str">
        <f>IFERROR(_xlfn.XLOOKUP($B644,Insumo[DESCRIPCION],Insumo[VALOR],,0),"")</f>
        <v/>
      </c>
      <c r="F644" s="33"/>
      <c r="G644" s="34" t="str">
        <f>IFERROR(IF(F644&gt;=0,D644*E644*(1+F644/100),ABS(D644*E644/F644)),"")</f>
        <v/>
      </c>
      <c r="H644" s="43" t="str">
        <f>IFERROR(G644*E639,"")</f>
        <v/>
      </c>
    </row>
    <row r="645" spans="1:8" ht="12.75" customHeight="1">
      <c r="A645" s="28"/>
      <c r="B645" s="29"/>
      <c r="C645" s="30" t="str">
        <f>IFERROR(_xlfn.XLOOKUP(B645,Insumo[DESCRIPCION],Insumo[UND],,0),"")</f>
        <v/>
      </c>
      <c r="D645" s="31"/>
      <c r="E645" s="32" t="str">
        <f>IFERROR(_xlfn.XLOOKUP($B645,Insumo[DESCRIPCION],Insumo[VALOR],,0),"")</f>
        <v/>
      </c>
      <c r="F645" s="33"/>
      <c r="G645" s="34" t="str">
        <f>IFERROR(IF(F645&gt;=0,D645*E645*(1+F645/100),ABS(D645*E645/F645)),"")</f>
        <v/>
      </c>
      <c r="H645" s="43" t="str">
        <f>IFERROR(G645*E639,"")</f>
        <v/>
      </c>
    </row>
    <row r="646" spans="1:8" ht="12.75" customHeight="1">
      <c r="A646" s="28"/>
      <c r="B646" s="29"/>
      <c r="C646" s="30" t="str">
        <f>IFERROR(_xlfn.XLOOKUP(B646,Insumo[DESCRIPCION],Insumo[UND],,0),"")</f>
        <v/>
      </c>
      <c r="D646" s="31"/>
      <c r="E646" s="32" t="str">
        <f>IFERROR(_xlfn.XLOOKUP($B646,Insumo[DESCRIPCION],Insumo[VALOR],,0),"")</f>
        <v/>
      </c>
      <c r="F646" s="33"/>
      <c r="G646" s="34" t="str">
        <f>IFERROR(IF(F646&gt;=0,D646*E646*(1+F646/100),ABS(D646*E646/F646)),"")</f>
        <v/>
      </c>
      <c r="H646" s="43" t="str">
        <f>IFERROR(G646*E639,"")</f>
        <v/>
      </c>
    </row>
    <row r="647" spans="1:8" ht="12.75" customHeight="1">
      <c r="A647" s="21"/>
      <c r="B647" s="22" t="s">
        <v>3731</v>
      </c>
      <c r="C647" s="23"/>
      <c r="D647" s="24"/>
      <c r="E647" s="25"/>
      <c r="F647" s="26"/>
      <c r="G647" s="27">
        <f>SUM(G648:G650)</f>
        <v>1047.9691696500001</v>
      </c>
      <c r="H647" s="44">
        <f>G647*E639</f>
        <v>0</v>
      </c>
    </row>
    <row r="648" spans="1:8" ht="12.75" customHeight="1">
      <c r="A648" s="28"/>
      <c r="B648" s="29" t="s">
        <v>3626</v>
      </c>
      <c r="C648" s="30" t="str">
        <f>IFERROR(_xlfn.XLOOKUP(B648,Equipo[DESCRIPCION],Equipo[UND],,0),"")</f>
        <v>%MO</v>
      </c>
      <c r="D648" s="31">
        <v>0.05</v>
      </c>
      <c r="E648" s="32">
        <f>IF(C648="%MO",G654,IFERROR(_xlfn.XLOOKUP($B648,Equipo[DESCRIPCION],Equipo[VALOR],,0),""))</f>
        <v>20959.383393000004</v>
      </c>
      <c r="F648" s="33"/>
      <c r="G648" s="34">
        <f>IFERROR(IF(F648&gt;=0,D648*E648*(1+F648/100),ABS(D648*E648/F648)),"")</f>
        <v>1047.9691696500001</v>
      </c>
      <c r="H648" s="43">
        <f>IFERROR(G648*E639,"")</f>
        <v>0</v>
      </c>
    </row>
    <row r="649" spans="1:8" ht="12.75" customHeight="1">
      <c r="A649" s="28"/>
      <c r="B649" s="29"/>
      <c r="C649" s="30" t="str">
        <f>IFERROR(_xlfn.XLOOKUP(B649,Equipo[DESCRIPCION],Equipo[UND],,0),"")</f>
        <v/>
      </c>
      <c r="D649" s="31"/>
      <c r="E649" s="32" t="str">
        <f>IF(C649="%MO",G654,IFERROR(_xlfn.XLOOKUP($B649,Equipo[DESCRIPCION],Equipo[VALOR],,0),""))</f>
        <v/>
      </c>
      <c r="F649" s="33"/>
      <c r="G649" s="34" t="str">
        <f>IFERROR(IF(F649&gt;=0,D649*E649*(1+F649/100),ABS(D649*E649/F649)),"")</f>
        <v/>
      </c>
      <c r="H649" s="43" t="str">
        <f>IFERROR(G649*E639,"")</f>
        <v/>
      </c>
    </row>
    <row r="650" spans="1:8" ht="12.75" customHeight="1">
      <c r="A650" s="28"/>
      <c r="B650" s="29"/>
      <c r="C650" s="30" t="str">
        <f>IFERROR(_xlfn.XLOOKUP(B650,Equipo[DESCRIPCION],Equipo[UND],,0),"")</f>
        <v/>
      </c>
      <c r="D650" s="31"/>
      <c r="E650" s="32" t="str">
        <f>IF(C650="%MO",G654,IFERROR(_xlfn.XLOOKUP($B650,Equipo[DESCRIPCION],Equipo[VALOR],,0),""))</f>
        <v/>
      </c>
      <c r="F650" s="33"/>
      <c r="G650" s="34" t="str">
        <f>IFERROR(IF(F650&gt;=0,D650*E650*(1+F650/100),ABS(D650*E650/F650)),"")</f>
        <v/>
      </c>
      <c r="H650" s="43" t="str">
        <f>IFERROR(G650*E639,"")</f>
        <v/>
      </c>
    </row>
    <row r="651" spans="1:8" ht="12.75" customHeight="1">
      <c r="A651" s="21"/>
      <c r="B651" s="22" t="s">
        <v>2533</v>
      </c>
      <c r="C651" s="23"/>
      <c r="D651" s="24"/>
      <c r="E651" s="25"/>
      <c r="F651" s="26"/>
      <c r="G651" s="27">
        <f>SUM(G652:G653)</f>
        <v>0</v>
      </c>
      <c r="H651" s="44">
        <f>G651*E639</f>
        <v>0</v>
      </c>
    </row>
    <row r="652" spans="1:8" ht="12.75" customHeight="1">
      <c r="A652" s="28"/>
      <c r="B652" s="29"/>
      <c r="C652" s="30" t="str">
        <f>IFERROR(_xlfn.XLOOKUP(B652,Transporte[DESCRIPCION],Transporte[UND],,0),"")</f>
        <v/>
      </c>
      <c r="D652" s="31"/>
      <c r="E652" s="32" t="str">
        <f>IFERROR(_xlfn.XLOOKUP($B652,Transporte[DESCRIPCION],Transporte[VALOR],,0),"")</f>
        <v/>
      </c>
      <c r="F652" s="33"/>
      <c r="G652" s="34" t="str">
        <f>IFERROR(IF(F652&gt;=0,D652*E652*(1+F652/100),ABS(D652*E652/F652)),"")</f>
        <v/>
      </c>
      <c r="H652" s="43" t="str">
        <f>IFERROR(G652*E639,"")</f>
        <v/>
      </c>
    </row>
    <row r="653" spans="1:8" ht="12.75" customHeight="1">
      <c r="A653" s="28"/>
      <c r="B653" s="29"/>
      <c r="C653" s="30" t="str">
        <f>IFERROR(_xlfn.XLOOKUP(B653,Transporte[DESCRIPCION],Transporte[UND],,0),"")</f>
        <v/>
      </c>
      <c r="D653" s="31"/>
      <c r="E653" s="32" t="str">
        <f>IFERROR(_xlfn.XLOOKUP($B653,Transporte[DESCRIPCION],Transporte[VALOR],,0),"")</f>
        <v/>
      </c>
      <c r="F653" s="33"/>
      <c r="G653" s="34" t="str">
        <f>IFERROR(IF(F653&gt;=0,D653*E653*(1+F653/100),ABS(D653*E653/F653)),"")</f>
        <v/>
      </c>
      <c r="H653" s="43" t="str">
        <f>IFERROR(G653*E639,"")</f>
        <v/>
      </c>
    </row>
    <row r="654" spans="1:8" ht="12.75" customHeight="1">
      <c r="A654" s="21"/>
      <c r="B654" s="22" t="s">
        <v>3732</v>
      </c>
      <c r="C654" s="23"/>
      <c r="D654" s="24"/>
      <c r="E654" s="25"/>
      <c r="F654" s="26"/>
      <c r="G654" s="27">
        <f>SUM(G655:G657)</f>
        <v>20959.383393000004</v>
      </c>
      <c r="H654" s="44">
        <f>G654*E639</f>
        <v>0</v>
      </c>
    </row>
    <row r="655" spans="1:8" ht="12.75" customHeight="1">
      <c r="A655" s="28"/>
      <c r="B655" s="29" t="s">
        <v>3710</v>
      </c>
      <c r="C655" s="30" t="str">
        <f>IFERROR(_xlfn.XLOOKUP(B655,MObra[DESCRIPCION],MObra[UN],,0),"")</f>
        <v>día</v>
      </c>
      <c r="D655" s="31">
        <v>1</v>
      </c>
      <c r="E655" s="32">
        <f>IFERROR(_xlfn.XLOOKUP($B655,MObra[DESCRIPCION],MObra[VALOR UNIT],,0),"")</f>
        <v>314390.75089500006</v>
      </c>
      <c r="F655" s="33">
        <v>-15</v>
      </c>
      <c r="G655" s="34">
        <f>IFERROR(IF(F655&gt;=0,D655*E655*(1+F655/100),ABS(D655*E655/F655)),"")</f>
        <v>20959.383393000004</v>
      </c>
      <c r="H655" s="43">
        <f>IFERROR(G655*E639,"")</f>
        <v>0</v>
      </c>
    </row>
    <row r="656" spans="1:8" ht="12.75" customHeight="1">
      <c r="A656" s="28"/>
      <c r="B656" s="29"/>
      <c r="C656" s="30" t="str">
        <f t="array" ref="C656">IFERROR(_xlfn.XLOOKUP(B656,MObra[[#All],[DESCRIPCION]],MObra[[#All],[UN]],,0),"")</f>
        <v/>
      </c>
      <c r="D656" s="31"/>
      <c r="E656" s="32" t="str">
        <f>IFERROR(_xlfn.XLOOKUP($B656,MObra[DESCRIPCION],MObra[VALOR UNIT],,0),"")</f>
        <v/>
      </c>
      <c r="F656" s="33"/>
      <c r="G656" s="34" t="str">
        <f>IFERROR(IF(F656&gt;=0,D656*E656*(1+F656/100),ABS(D656*E656/F656)),"")</f>
        <v/>
      </c>
      <c r="H656" s="43" t="str">
        <f>IFERROR(G656*E639,"")</f>
        <v/>
      </c>
    </row>
    <row r="657" spans="1:11" ht="12.75" customHeight="1" thickBot="1">
      <c r="A657" s="35"/>
      <c r="B657" s="36"/>
      <c r="C657" s="37" t="str">
        <f t="array" ref="C657">IFERROR(_xlfn.XLOOKUP(B657,MObra[[#All],[DESCRIPCION]],MObra[[#All],[UN]],,0),"")</f>
        <v/>
      </c>
      <c r="D657" s="38"/>
      <c r="E657" s="39" t="str">
        <f>IFERROR(_xlfn.XLOOKUP($B657,MObra[DESCRIPCION],MObra[VALOR UNIT],,0),"")</f>
        <v/>
      </c>
      <c r="F657" s="40"/>
      <c r="G657" s="41" t="str">
        <f>IFERROR(IF(F657&gt;=0,D657*E657*(1+F657/100),ABS(D657*E657/F657)),"")</f>
        <v/>
      </c>
      <c r="H657" s="42" t="str">
        <f>IFERROR(G657*E639,"")</f>
        <v/>
      </c>
    </row>
    <row r="658" spans="1:11" ht="12.75" customHeight="1" thickTop="1" thickBot="1"/>
    <row r="659" spans="1:11" ht="12.75" customHeight="1" thickTop="1" thickBot="1">
      <c r="A659" s="6" t="s">
        <v>1157</v>
      </c>
      <c r="B659" s="7" t="str">
        <f>VLOOKUP($A659,Presupuesto!$A:$D,2,FALSE())</f>
        <v>Tee acero al carbon ranurado 90 2"</v>
      </c>
      <c r="C659" s="8" t="str">
        <f>VLOOKUP($A659,Presupuesto!$A:$D,3,FALSE())</f>
        <v>Un</v>
      </c>
      <c r="D659" s="9"/>
      <c r="E659" s="10">
        <f>VLOOKUP($A659,Presupuesto!$A:$D,4,FALSE())</f>
        <v>0</v>
      </c>
      <c r="F659" s="11" t="s">
        <v>2589</v>
      </c>
      <c r="G659" s="12">
        <f>SUM(G661:G677)/2</f>
        <v>78838.60256264999</v>
      </c>
      <c r="H659" s="13">
        <f>ROUND(SUM(H661:H677),0)/2</f>
        <v>0</v>
      </c>
      <c r="I659" s="10">
        <f>VLOOKUP(A659,Presupuesto!$A:$F,6,0)</f>
        <v>0</v>
      </c>
      <c r="J659" s="10">
        <f>+H659-I659</f>
        <v>0</v>
      </c>
      <c r="K659" s="46">
        <f>+H659-G659*E659</f>
        <v>0</v>
      </c>
    </row>
    <row r="660" spans="1:11" ht="12.75" customHeight="1" thickTop="1">
      <c r="A660" s="14"/>
      <c r="B660" s="15" t="s">
        <v>2586</v>
      </c>
      <c r="C660" s="15" t="s">
        <v>5</v>
      </c>
      <c r="D660" s="16" t="s">
        <v>6</v>
      </c>
      <c r="E660" s="17" t="s">
        <v>7</v>
      </c>
      <c r="F660" s="18" t="s">
        <v>3728</v>
      </c>
      <c r="G660" s="19" t="s">
        <v>3729</v>
      </c>
      <c r="H660" s="20" t="s">
        <v>3797</v>
      </c>
    </row>
    <row r="661" spans="1:11" ht="12.75" customHeight="1">
      <c r="A661" s="21"/>
      <c r="B661" s="22" t="s">
        <v>3730</v>
      </c>
      <c r="C661" s="23"/>
      <c r="D661" s="24"/>
      <c r="E661" s="25"/>
      <c r="F661" s="26"/>
      <c r="G661" s="27">
        <f>SUM(G662:G666)</f>
        <v>56831.25</v>
      </c>
      <c r="H661" s="27">
        <f>IFERROR(G661*E659,"")</f>
        <v>0</v>
      </c>
    </row>
    <row r="662" spans="1:11" ht="12.75" customHeight="1">
      <c r="A662" s="28"/>
      <c r="B662" s="29" t="s">
        <v>3373</v>
      </c>
      <c r="C662" s="30" t="str">
        <f>IFERROR(_xlfn.XLOOKUP(B662,Insumo[DESCRIPCION],Insumo[UND],,0),"")</f>
        <v>Un</v>
      </c>
      <c r="D662" s="31">
        <v>1</v>
      </c>
      <c r="E662" s="32">
        <f>IFERROR(_xlfn.XLOOKUP($B662,Insumo[DESCRIPCION],Insumo[VALOR],,0),"")</f>
        <v>56831.25</v>
      </c>
      <c r="F662" s="33"/>
      <c r="G662" s="34">
        <f>IFERROR(IF(F662&gt;=0,D662*E662*(1+F662/100),ABS(D662*E662/F662)),"")</f>
        <v>56831.25</v>
      </c>
      <c r="H662" s="43">
        <f>IFERROR(G662*E659,"")</f>
        <v>0</v>
      </c>
    </row>
    <row r="663" spans="1:11" ht="12.75" customHeight="1">
      <c r="A663" s="28"/>
      <c r="B663" s="29"/>
      <c r="C663" s="30" t="str">
        <f>IFERROR(_xlfn.XLOOKUP(B663,Insumo[DESCRIPCION],Insumo[UND],,0),"")</f>
        <v/>
      </c>
      <c r="D663" s="31"/>
      <c r="E663" s="32" t="str">
        <f>IFERROR(_xlfn.XLOOKUP($B663,Insumo[DESCRIPCION],Insumo[VALOR],,0),"")</f>
        <v/>
      </c>
      <c r="F663" s="33"/>
      <c r="G663" s="34" t="str">
        <f>IFERROR(IF(F663&gt;=0,D663*E663*(1+F663/100),ABS(D663*E663/F663)),"")</f>
        <v/>
      </c>
      <c r="H663" s="43" t="str">
        <f>IFERROR(G663*E659,"")</f>
        <v/>
      </c>
    </row>
    <row r="664" spans="1:11" ht="12.75" customHeight="1">
      <c r="A664" s="28"/>
      <c r="B664" s="29"/>
      <c r="C664" s="30" t="str">
        <f>IFERROR(_xlfn.XLOOKUP(B664,Insumo[DESCRIPCION],Insumo[UND],,0),"")</f>
        <v/>
      </c>
      <c r="D664" s="31"/>
      <c r="E664" s="32" t="str">
        <f>IFERROR(_xlfn.XLOOKUP($B664,Insumo[DESCRIPCION],Insumo[VALOR],,0),"")</f>
        <v/>
      </c>
      <c r="F664" s="33"/>
      <c r="G664" s="34" t="str">
        <f>IFERROR(IF(F664&gt;=0,D664*E664*(1+F664/100),ABS(D664*E664/F664)),"")</f>
        <v/>
      </c>
      <c r="H664" s="43" t="str">
        <f>IFERROR(G664*E659,"")</f>
        <v/>
      </c>
    </row>
    <row r="665" spans="1:11" ht="12.75" customHeight="1">
      <c r="A665" s="28"/>
      <c r="B665" s="29"/>
      <c r="C665" s="30" t="str">
        <f>IFERROR(_xlfn.XLOOKUP(B665,Insumo[DESCRIPCION],Insumo[UND],,0),"")</f>
        <v/>
      </c>
      <c r="D665" s="31"/>
      <c r="E665" s="32" t="str">
        <f>IFERROR(_xlfn.XLOOKUP($B665,Insumo[DESCRIPCION],Insumo[VALOR],,0),"")</f>
        <v/>
      </c>
      <c r="F665" s="33"/>
      <c r="G665" s="34" t="str">
        <f>IFERROR(IF(F665&gt;=0,D665*E665*(1+F665/100),ABS(D665*E665/F665)),"")</f>
        <v/>
      </c>
      <c r="H665" s="43" t="str">
        <f>IFERROR(G665*E659,"")</f>
        <v/>
      </c>
    </row>
    <row r="666" spans="1:11" ht="12.75" customHeight="1">
      <c r="A666" s="28"/>
      <c r="B666" s="29"/>
      <c r="C666" s="30" t="str">
        <f>IFERROR(_xlfn.XLOOKUP(B666,Insumo[DESCRIPCION],Insumo[UND],,0),"")</f>
        <v/>
      </c>
      <c r="D666" s="31"/>
      <c r="E666" s="32" t="str">
        <f>IFERROR(_xlfn.XLOOKUP($B666,Insumo[DESCRIPCION],Insumo[VALOR],,0),"")</f>
        <v/>
      </c>
      <c r="F666" s="33"/>
      <c r="G666" s="34" t="str">
        <f>IFERROR(IF(F666&gt;=0,D666*E666*(1+F666/100),ABS(D666*E666/F666)),"")</f>
        <v/>
      </c>
      <c r="H666" s="43" t="str">
        <f>IFERROR(G666*E659,"")</f>
        <v/>
      </c>
    </row>
    <row r="667" spans="1:11" ht="12.75" customHeight="1">
      <c r="A667" s="21"/>
      <c r="B667" s="22" t="s">
        <v>3731</v>
      </c>
      <c r="C667" s="23"/>
      <c r="D667" s="24"/>
      <c r="E667" s="25"/>
      <c r="F667" s="26"/>
      <c r="G667" s="27">
        <f>SUM(G668:G670)</f>
        <v>1047.9691696500001</v>
      </c>
      <c r="H667" s="44">
        <f>G667*E659</f>
        <v>0</v>
      </c>
    </row>
    <row r="668" spans="1:11" ht="12.75" customHeight="1">
      <c r="A668" s="28"/>
      <c r="B668" s="29" t="s">
        <v>3626</v>
      </c>
      <c r="C668" s="30" t="str">
        <f>IFERROR(_xlfn.XLOOKUP(B668,Equipo[DESCRIPCION],Equipo[UND],,0),"")</f>
        <v>%MO</v>
      </c>
      <c r="D668" s="31">
        <v>0.05</v>
      </c>
      <c r="E668" s="32">
        <f>IF(C668="%MO",G674,IFERROR(_xlfn.XLOOKUP($B668,Equipo[DESCRIPCION],Equipo[VALOR],,0),""))</f>
        <v>20959.383393000004</v>
      </c>
      <c r="F668" s="33"/>
      <c r="G668" s="34">
        <f>IFERROR(IF(F668&gt;=0,D668*E668*(1+F668/100),ABS(D668*E668/F668)),"")</f>
        <v>1047.9691696500001</v>
      </c>
      <c r="H668" s="43">
        <f>IFERROR(G668*E659,"")</f>
        <v>0</v>
      </c>
    </row>
    <row r="669" spans="1:11" ht="12.75" customHeight="1">
      <c r="A669" s="28"/>
      <c r="B669" s="29"/>
      <c r="C669" s="30" t="str">
        <f>IFERROR(_xlfn.XLOOKUP(B669,Equipo[DESCRIPCION],Equipo[UND],,0),"")</f>
        <v/>
      </c>
      <c r="D669" s="31"/>
      <c r="E669" s="32" t="str">
        <f>IF(C669="%MO",G674,IFERROR(_xlfn.XLOOKUP($B669,Equipo[DESCRIPCION],Equipo[VALOR],,0),""))</f>
        <v/>
      </c>
      <c r="F669" s="33"/>
      <c r="G669" s="34" t="str">
        <f>IFERROR(IF(F669&gt;=0,D669*E669*(1+F669/100),ABS(D669*E669/F669)),"")</f>
        <v/>
      </c>
      <c r="H669" s="43" t="str">
        <f>IFERROR(G669*E659,"")</f>
        <v/>
      </c>
    </row>
    <row r="670" spans="1:11" ht="12.75" customHeight="1">
      <c r="A670" s="28"/>
      <c r="B670" s="29"/>
      <c r="C670" s="30" t="str">
        <f>IFERROR(_xlfn.XLOOKUP(B670,Equipo[DESCRIPCION],Equipo[UND],,0),"")</f>
        <v/>
      </c>
      <c r="D670" s="31"/>
      <c r="E670" s="32" t="str">
        <f>IF(C670="%MO",G674,IFERROR(_xlfn.XLOOKUP($B670,Equipo[DESCRIPCION],Equipo[VALOR],,0),""))</f>
        <v/>
      </c>
      <c r="F670" s="33"/>
      <c r="G670" s="34" t="str">
        <f>IFERROR(IF(F670&gt;=0,D670*E670*(1+F670/100),ABS(D670*E670/F670)),"")</f>
        <v/>
      </c>
      <c r="H670" s="43" t="str">
        <f>IFERROR(G670*E659,"")</f>
        <v/>
      </c>
    </row>
    <row r="671" spans="1:11" ht="12.75" customHeight="1">
      <c r="A671" s="21"/>
      <c r="B671" s="22" t="s">
        <v>2533</v>
      </c>
      <c r="C671" s="23"/>
      <c r="D671" s="24"/>
      <c r="E671" s="25"/>
      <c r="F671" s="26"/>
      <c r="G671" s="27">
        <f>SUM(G672:G673)</f>
        <v>0</v>
      </c>
      <c r="H671" s="44">
        <f>G671*E659</f>
        <v>0</v>
      </c>
    </row>
    <row r="672" spans="1:11" ht="12.75" customHeight="1">
      <c r="A672" s="28"/>
      <c r="B672" s="29"/>
      <c r="C672" s="30" t="str">
        <f>IFERROR(_xlfn.XLOOKUP(B672,Transporte[DESCRIPCION],Transporte[UND],,0),"")</f>
        <v/>
      </c>
      <c r="D672" s="31"/>
      <c r="E672" s="32" t="str">
        <f>IFERROR(_xlfn.XLOOKUP($B672,Transporte[DESCRIPCION],Transporte[VALOR],,0),"")</f>
        <v/>
      </c>
      <c r="F672" s="33"/>
      <c r="G672" s="34" t="str">
        <f>IFERROR(IF(F672&gt;=0,D672*E672*(1+F672/100),ABS(D672*E672/F672)),"")</f>
        <v/>
      </c>
      <c r="H672" s="43" t="str">
        <f>IFERROR(G672*E659,"")</f>
        <v/>
      </c>
    </row>
    <row r="673" spans="1:11" ht="12.75" customHeight="1">
      <c r="A673" s="28"/>
      <c r="B673" s="29"/>
      <c r="C673" s="30" t="str">
        <f>IFERROR(_xlfn.XLOOKUP(B673,Transporte[DESCRIPCION],Transporte[UND],,0),"")</f>
        <v/>
      </c>
      <c r="D673" s="31"/>
      <c r="E673" s="32" t="str">
        <f>IFERROR(_xlfn.XLOOKUP($B673,Transporte[DESCRIPCION],Transporte[VALOR],,0),"")</f>
        <v/>
      </c>
      <c r="F673" s="33"/>
      <c r="G673" s="34" t="str">
        <f>IFERROR(IF(F673&gt;=0,D673*E673*(1+F673/100),ABS(D673*E673/F673)),"")</f>
        <v/>
      </c>
      <c r="H673" s="43" t="str">
        <f>IFERROR(G673*E659,"")</f>
        <v/>
      </c>
    </row>
    <row r="674" spans="1:11" ht="12.75" customHeight="1">
      <c r="A674" s="21"/>
      <c r="B674" s="22" t="s">
        <v>3732</v>
      </c>
      <c r="C674" s="23"/>
      <c r="D674" s="24"/>
      <c r="E674" s="25"/>
      <c r="F674" s="26"/>
      <c r="G674" s="27">
        <f>SUM(G675:G677)</f>
        <v>20959.383393000004</v>
      </c>
      <c r="H674" s="44">
        <f>G674*E659</f>
        <v>0</v>
      </c>
    </row>
    <row r="675" spans="1:11" ht="12.75" customHeight="1">
      <c r="A675" s="28"/>
      <c r="B675" s="29" t="s">
        <v>3710</v>
      </c>
      <c r="C675" s="30" t="str">
        <f>IFERROR(_xlfn.XLOOKUP(B675,MObra[DESCRIPCION],MObra[UN],,0),"")</f>
        <v>día</v>
      </c>
      <c r="D675" s="31">
        <v>1</v>
      </c>
      <c r="E675" s="32">
        <f>IFERROR(_xlfn.XLOOKUP($B675,MObra[DESCRIPCION],MObra[VALOR UNIT],,0),"")</f>
        <v>314390.75089500006</v>
      </c>
      <c r="F675" s="33">
        <v>-15</v>
      </c>
      <c r="G675" s="34">
        <f>IFERROR(IF(F675&gt;=0,D675*E675*(1+F675/100),ABS(D675*E675/F675)),"")</f>
        <v>20959.383393000004</v>
      </c>
      <c r="H675" s="43">
        <f>IFERROR(G675*E659,"")</f>
        <v>0</v>
      </c>
    </row>
    <row r="676" spans="1:11" ht="12.75" customHeight="1">
      <c r="A676" s="28"/>
      <c r="B676" s="29"/>
      <c r="C676" s="30" t="str">
        <f t="array" ref="C676">IFERROR(_xlfn.XLOOKUP(B676,MObra[[#All],[DESCRIPCION]],MObra[[#All],[UN]],,0),"")</f>
        <v/>
      </c>
      <c r="D676" s="31"/>
      <c r="E676" s="32" t="str">
        <f>IFERROR(_xlfn.XLOOKUP($B676,MObra[DESCRIPCION],MObra[VALOR UNIT],,0),"")</f>
        <v/>
      </c>
      <c r="F676" s="33"/>
      <c r="G676" s="34" t="str">
        <f>IFERROR(IF(F676&gt;=0,D676*E676*(1+F676/100),ABS(D676*E676/F676)),"")</f>
        <v/>
      </c>
      <c r="H676" s="43" t="str">
        <f>IFERROR(G676*E659,"")</f>
        <v/>
      </c>
    </row>
    <row r="677" spans="1:11" ht="12.75" customHeight="1" thickBot="1">
      <c r="A677" s="35"/>
      <c r="B677" s="36"/>
      <c r="C677" s="37" t="str">
        <f t="array" ref="C677">IFERROR(_xlfn.XLOOKUP(B677,MObra[[#All],[DESCRIPCION]],MObra[[#All],[UN]],,0),"")</f>
        <v/>
      </c>
      <c r="D677" s="38"/>
      <c r="E677" s="39" t="str">
        <f>IFERROR(_xlfn.XLOOKUP($B677,MObra[DESCRIPCION],MObra[VALOR UNIT],,0),"")</f>
        <v/>
      </c>
      <c r="F677" s="40"/>
      <c r="G677" s="41" t="str">
        <f>IFERROR(IF(F677&gt;=0,D677*E677*(1+F677/100),ABS(D677*E677/F677)),"")</f>
        <v/>
      </c>
      <c r="H677" s="42" t="str">
        <f>IFERROR(G677*E659,"")</f>
        <v/>
      </c>
    </row>
    <row r="678" spans="1:11" ht="12.75" customHeight="1" thickTop="1" thickBot="1"/>
    <row r="679" spans="1:11" ht="12.75" customHeight="1" thickTop="1" thickBot="1">
      <c r="A679" s="6" t="s">
        <v>1159</v>
      </c>
      <c r="B679" s="7" t="str">
        <f>VLOOKUP($A679,Presupuesto!$A:$D,2,FALSE())</f>
        <v>Tee acero al carbon ranurado 90 4"</v>
      </c>
      <c r="C679" s="8" t="str">
        <f>VLOOKUP($A679,Presupuesto!$A:$D,3,FALSE())</f>
        <v>Un</v>
      </c>
      <c r="D679" s="9"/>
      <c r="E679" s="10">
        <f>VLOOKUP($A679,Presupuesto!$A:$D,4,FALSE())</f>
        <v>0</v>
      </c>
      <c r="F679" s="11" t="s">
        <v>2589</v>
      </c>
      <c r="G679" s="12">
        <f>SUM(G681:G697)/2</f>
        <v>133396.60256264999</v>
      </c>
      <c r="H679" s="13">
        <f>ROUND(SUM(H681:H697),0)/2</f>
        <v>0</v>
      </c>
      <c r="I679" s="10">
        <f>VLOOKUP(A679,Presupuesto!$A:$F,6,0)</f>
        <v>0</v>
      </c>
      <c r="J679" s="10">
        <f>+H679-I679</f>
        <v>0</v>
      </c>
      <c r="K679" s="46">
        <f>+H679-G679*E679</f>
        <v>0</v>
      </c>
    </row>
    <row r="680" spans="1:11" ht="12.75" customHeight="1" thickTop="1">
      <c r="A680" s="14"/>
      <c r="B680" s="15" t="s">
        <v>2586</v>
      </c>
      <c r="C680" s="15" t="s">
        <v>5</v>
      </c>
      <c r="D680" s="16" t="s">
        <v>6</v>
      </c>
      <c r="E680" s="17" t="s">
        <v>7</v>
      </c>
      <c r="F680" s="18" t="s">
        <v>3728</v>
      </c>
      <c r="G680" s="19" t="s">
        <v>3729</v>
      </c>
      <c r="H680" s="20" t="s">
        <v>3797</v>
      </c>
    </row>
    <row r="681" spans="1:11" ht="12.75" customHeight="1">
      <c r="A681" s="21"/>
      <c r="B681" s="22" t="s">
        <v>3730</v>
      </c>
      <c r="C681" s="23"/>
      <c r="D681" s="24"/>
      <c r="E681" s="25"/>
      <c r="F681" s="26"/>
      <c r="G681" s="27">
        <f>SUM(G682:G686)</f>
        <v>111389.25</v>
      </c>
      <c r="H681" s="27">
        <f>IFERROR(G681*E679,"")</f>
        <v>0</v>
      </c>
    </row>
    <row r="682" spans="1:11" ht="12.75" customHeight="1">
      <c r="A682" s="28"/>
      <c r="B682" s="29" t="s">
        <v>3371</v>
      </c>
      <c r="C682" s="30" t="str">
        <f>IFERROR(_xlfn.XLOOKUP(B682,Insumo[DESCRIPCION],Insumo[UND],,0),"")</f>
        <v>Un</v>
      </c>
      <c r="D682" s="31">
        <v>1</v>
      </c>
      <c r="E682" s="32">
        <f>IFERROR(_xlfn.XLOOKUP($B682,Insumo[DESCRIPCION],Insumo[VALOR],,0),"")</f>
        <v>111389.25</v>
      </c>
      <c r="F682" s="33"/>
      <c r="G682" s="34">
        <f>IFERROR(IF(F682&gt;=0,D682*E682*(1+F682/100),ABS(D682*E682/F682)),"")</f>
        <v>111389.25</v>
      </c>
      <c r="H682" s="43">
        <f>IFERROR(G682*E679,"")</f>
        <v>0</v>
      </c>
    </row>
    <row r="683" spans="1:11" ht="12.75" customHeight="1">
      <c r="A683" s="28"/>
      <c r="B683" s="29"/>
      <c r="C683" s="30" t="str">
        <f>IFERROR(_xlfn.XLOOKUP(B683,Insumo[DESCRIPCION],Insumo[UND],,0),"")</f>
        <v/>
      </c>
      <c r="D683" s="31"/>
      <c r="E683" s="32" t="str">
        <f>IFERROR(_xlfn.XLOOKUP($B683,Insumo[DESCRIPCION],Insumo[VALOR],,0),"")</f>
        <v/>
      </c>
      <c r="F683" s="33"/>
      <c r="G683" s="34" t="str">
        <f>IFERROR(IF(F683&gt;=0,D683*E683*(1+F683/100),ABS(D683*E683/F683)),"")</f>
        <v/>
      </c>
      <c r="H683" s="43" t="str">
        <f>IFERROR(G683*E679,"")</f>
        <v/>
      </c>
    </row>
    <row r="684" spans="1:11" ht="12.75" customHeight="1">
      <c r="A684" s="28"/>
      <c r="B684" s="29"/>
      <c r="C684" s="30" t="str">
        <f>IFERROR(_xlfn.XLOOKUP(B684,Insumo[DESCRIPCION],Insumo[UND],,0),"")</f>
        <v/>
      </c>
      <c r="D684" s="31"/>
      <c r="E684" s="32" t="str">
        <f>IFERROR(_xlfn.XLOOKUP($B684,Insumo[DESCRIPCION],Insumo[VALOR],,0),"")</f>
        <v/>
      </c>
      <c r="F684" s="33"/>
      <c r="G684" s="34" t="str">
        <f>IFERROR(IF(F684&gt;=0,D684*E684*(1+F684/100),ABS(D684*E684/F684)),"")</f>
        <v/>
      </c>
      <c r="H684" s="43" t="str">
        <f>IFERROR(G684*E679,"")</f>
        <v/>
      </c>
    </row>
    <row r="685" spans="1:11" ht="12.75" customHeight="1">
      <c r="A685" s="28"/>
      <c r="B685" s="29"/>
      <c r="C685" s="30" t="str">
        <f>IFERROR(_xlfn.XLOOKUP(B685,Insumo[DESCRIPCION],Insumo[UND],,0),"")</f>
        <v/>
      </c>
      <c r="D685" s="31"/>
      <c r="E685" s="32" t="str">
        <f>IFERROR(_xlfn.XLOOKUP($B685,Insumo[DESCRIPCION],Insumo[VALOR],,0),"")</f>
        <v/>
      </c>
      <c r="F685" s="33"/>
      <c r="G685" s="34" t="str">
        <f>IFERROR(IF(F685&gt;=0,D685*E685*(1+F685/100),ABS(D685*E685/F685)),"")</f>
        <v/>
      </c>
      <c r="H685" s="43" t="str">
        <f>IFERROR(G685*E679,"")</f>
        <v/>
      </c>
    </row>
    <row r="686" spans="1:11" ht="12.75" customHeight="1">
      <c r="A686" s="28"/>
      <c r="B686" s="29"/>
      <c r="C686" s="30" t="str">
        <f>IFERROR(_xlfn.XLOOKUP(B686,Insumo[DESCRIPCION],Insumo[UND],,0),"")</f>
        <v/>
      </c>
      <c r="D686" s="31"/>
      <c r="E686" s="32" t="str">
        <f>IFERROR(_xlfn.XLOOKUP($B686,Insumo[DESCRIPCION],Insumo[VALOR],,0),"")</f>
        <v/>
      </c>
      <c r="F686" s="33"/>
      <c r="G686" s="34" t="str">
        <f>IFERROR(IF(F686&gt;=0,D686*E686*(1+F686/100),ABS(D686*E686/F686)),"")</f>
        <v/>
      </c>
      <c r="H686" s="43" t="str">
        <f>IFERROR(G686*E679,"")</f>
        <v/>
      </c>
    </row>
    <row r="687" spans="1:11" ht="12.75" customHeight="1">
      <c r="A687" s="21"/>
      <c r="B687" s="22" t="s">
        <v>3731</v>
      </c>
      <c r="C687" s="23"/>
      <c r="D687" s="24"/>
      <c r="E687" s="25"/>
      <c r="F687" s="26"/>
      <c r="G687" s="27">
        <f>SUM(G688:G690)</f>
        <v>1047.9691696500001</v>
      </c>
      <c r="H687" s="44">
        <f>G687*E679</f>
        <v>0</v>
      </c>
    </row>
    <row r="688" spans="1:11" ht="12.75" customHeight="1">
      <c r="A688" s="28"/>
      <c r="B688" s="29" t="s">
        <v>3626</v>
      </c>
      <c r="C688" s="30" t="str">
        <f>IFERROR(_xlfn.XLOOKUP(B688,Equipo[DESCRIPCION],Equipo[UND],,0),"")</f>
        <v>%MO</v>
      </c>
      <c r="D688" s="31">
        <v>0.05</v>
      </c>
      <c r="E688" s="32">
        <f>IF(C688="%MO",G694,IFERROR(_xlfn.XLOOKUP($B688,Equipo[DESCRIPCION],Equipo[VALOR],,0),""))</f>
        <v>20959.383393000004</v>
      </c>
      <c r="F688" s="33"/>
      <c r="G688" s="34">
        <f>IFERROR(IF(F688&gt;=0,D688*E688*(1+F688/100),ABS(D688*E688/F688)),"")</f>
        <v>1047.9691696500001</v>
      </c>
      <c r="H688" s="43">
        <f>IFERROR(G688*E679,"")</f>
        <v>0</v>
      </c>
    </row>
    <row r="689" spans="1:11" ht="12.75" customHeight="1">
      <c r="A689" s="28"/>
      <c r="B689" s="29"/>
      <c r="C689" s="30" t="str">
        <f>IFERROR(_xlfn.XLOOKUP(B689,Equipo[DESCRIPCION],Equipo[UND],,0),"")</f>
        <v/>
      </c>
      <c r="D689" s="31"/>
      <c r="E689" s="32" t="str">
        <f>IF(C689="%MO",G694,IFERROR(_xlfn.XLOOKUP($B689,Equipo[DESCRIPCION],Equipo[VALOR],,0),""))</f>
        <v/>
      </c>
      <c r="F689" s="33"/>
      <c r="G689" s="34" t="str">
        <f>IFERROR(IF(F689&gt;=0,D689*E689*(1+F689/100),ABS(D689*E689/F689)),"")</f>
        <v/>
      </c>
      <c r="H689" s="43" t="str">
        <f>IFERROR(G689*E679,"")</f>
        <v/>
      </c>
    </row>
    <row r="690" spans="1:11" ht="12.75" customHeight="1">
      <c r="A690" s="28"/>
      <c r="B690" s="29"/>
      <c r="C690" s="30" t="str">
        <f>IFERROR(_xlfn.XLOOKUP(B690,Equipo[DESCRIPCION],Equipo[UND],,0),"")</f>
        <v/>
      </c>
      <c r="D690" s="31"/>
      <c r="E690" s="32" t="str">
        <f>IF(C690="%MO",G694,IFERROR(_xlfn.XLOOKUP($B690,Equipo[DESCRIPCION],Equipo[VALOR],,0),""))</f>
        <v/>
      </c>
      <c r="F690" s="33"/>
      <c r="G690" s="34" t="str">
        <f>IFERROR(IF(F690&gt;=0,D690*E690*(1+F690/100),ABS(D690*E690/F690)),"")</f>
        <v/>
      </c>
      <c r="H690" s="43" t="str">
        <f>IFERROR(G690*E679,"")</f>
        <v/>
      </c>
    </row>
    <row r="691" spans="1:11" ht="12.75" customHeight="1">
      <c r="A691" s="21"/>
      <c r="B691" s="22" t="s">
        <v>2533</v>
      </c>
      <c r="C691" s="23"/>
      <c r="D691" s="24"/>
      <c r="E691" s="25"/>
      <c r="F691" s="26"/>
      <c r="G691" s="27">
        <f>SUM(G692:G693)</f>
        <v>0</v>
      </c>
      <c r="H691" s="44">
        <f>G691*E679</f>
        <v>0</v>
      </c>
    </row>
    <row r="692" spans="1:11" ht="12.75" customHeight="1">
      <c r="A692" s="28"/>
      <c r="B692" s="29"/>
      <c r="C692" s="30" t="str">
        <f>IFERROR(_xlfn.XLOOKUP(B692,Transporte[DESCRIPCION],Transporte[UND],,0),"")</f>
        <v/>
      </c>
      <c r="D692" s="31"/>
      <c r="E692" s="32" t="str">
        <f>IFERROR(_xlfn.XLOOKUP($B692,Transporte[DESCRIPCION],Transporte[VALOR],,0),"")</f>
        <v/>
      </c>
      <c r="F692" s="33"/>
      <c r="G692" s="34" t="str">
        <f>IFERROR(IF(F692&gt;=0,D692*E692*(1+F692/100),ABS(D692*E692/F692)),"")</f>
        <v/>
      </c>
      <c r="H692" s="43" t="str">
        <f>IFERROR(G692*E679,"")</f>
        <v/>
      </c>
    </row>
    <row r="693" spans="1:11" ht="12.75" customHeight="1">
      <c r="A693" s="28"/>
      <c r="B693" s="29"/>
      <c r="C693" s="30" t="str">
        <f>IFERROR(_xlfn.XLOOKUP(B693,Transporte[DESCRIPCION],Transporte[UND],,0),"")</f>
        <v/>
      </c>
      <c r="D693" s="31"/>
      <c r="E693" s="32" t="str">
        <f>IFERROR(_xlfn.XLOOKUP($B693,Transporte[DESCRIPCION],Transporte[VALOR],,0),"")</f>
        <v/>
      </c>
      <c r="F693" s="33"/>
      <c r="G693" s="34" t="str">
        <f>IFERROR(IF(F693&gt;=0,D693*E693*(1+F693/100),ABS(D693*E693/F693)),"")</f>
        <v/>
      </c>
      <c r="H693" s="43" t="str">
        <f>IFERROR(G693*E679,"")</f>
        <v/>
      </c>
    </row>
    <row r="694" spans="1:11" ht="12.75" customHeight="1">
      <c r="A694" s="21"/>
      <c r="B694" s="22" t="s">
        <v>3732</v>
      </c>
      <c r="C694" s="23"/>
      <c r="D694" s="24"/>
      <c r="E694" s="25"/>
      <c r="F694" s="26"/>
      <c r="G694" s="27">
        <f>SUM(G695:G697)</f>
        <v>20959.383393000004</v>
      </c>
      <c r="H694" s="44">
        <f>G694*E679</f>
        <v>0</v>
      </c>
    </row>
    <row r="695" spans="1:11" ht="12.75" customHeight="1">
      <c r="A695" s="28"/>
      <c r="B695" s="29" t="s">
        <v>3710</v>
      </c>
      <c r="C695" s="30" t="str">
        <f>IFERROR(_xlfn.XLOOKUP(B695,MObra[DESCRIPCION],MObra[UN],,0),"")</f>
        <v>día</v>
      </c>
      <c r="D695" s="31">
        <v>1</v>
      </c>
      <c r="E695" s="32">
        <f>IFERROR(_xlfn.XLOOKUP($B695,MObra[DESCRIPCION],MObra[VALOR UNIT],,0),"")</f>
        <v>314390.75089500006</v>
      </c>
      <c r="F695" s="33">
        <v>-15</v>
      </c>
      <c r="G695" s="34">
        <f>IFERROR(IF(F695&gt;=0,D695*E695*(1+F695/100),ABS(D695*E695/F695)),"")</f>
        <v>20959.383393000004</v>
      </c>
      <c r="H695" s="43">
        <f>IFERROR(G695*E679,"")</f>
        <v>0</v>
      </c>
    </row>
    <row r="696" spans="1:11" ht="12.75" customHeight="1">
      <c r="A696" s="28"/>
      <c r="B696" s="29"/>
      <c r="C696" s="30" t="str">
        <f t="array" ref="C696">IFERROR(_xlfn.XLOOKUP(B696,MObra[[#All],[DESCRIPCION]],MObra[[#All],[UN]],,0),"")</f>
        <v/>
      </c>
      <c r="D696" s="31"/>
      <c r="E696" s="32" t="str">
        <f>IFERROR(_xlfn.XLOOKUP($B696,MObra[DESCRIPCION],MObra[VALOR UNIT],,0),"")</f>
        <v/>
      </c>
      <c r="F696" s="33"/>
      <c r="G696" s="34" t="str">
        <f>IFERROR(IF(F696&gt;=0,D696*E696*(1+F696/100),ABS(D696*E696/F696)),"")</f>
        <v/>
      </c>
      <c r="H696" s="43" t="str">
        <f>IFERROR(G696*E679,"")</f>
        <v/>
      </c>
    </row>
    <row r="697" spans="1:11" ht="12.75" customHeight="1" thickBot="1">
      <c r="A697" s="35"/>
      <c r="B697" s="36"/>
      <c r="C697" s="37" t="str">
        <f t="array" ref="C697">IFERROR(_xlfn.XLOOKUP(B697,MObra[[#All],[DESCRIPCION]],MObra[[#All],[UN]],,0),"")</f>
        <v/>
      </c>
      <c r="D697" s="38"/>
      <c r="E697" s="39" t="str">
        <f>IFERROR(_xlfn.XLOOKUP($B697,MObra[DESCRIPCION],MObra[VALOR UNIT],,0),"")</f>
        <v/>
      </c>
      <c r="F697" s="40"/>
      <c r="G697" s="41" t="str">
        <f>IFERROR(IF(F697&gt;=0,D697*E697*(1+F697/100),ABS(D697*E697/F697)),"")</f>
        <v/>
      </c>
      <c r="H697" s="42" t="str">
        <f>IFERROR(G697*E679,"")</f>
        <v/>
      </c>
    </row>
    <row r="698" spans="1:11" ht="12.75" customHeight="1" thickTop="1" thickBot="1"/>
    <row r="699" spans="1:11" ht="12.75" customHeight="1" thickTop="1" thickBot="1">
      <c r="A699" s="6" t="s">
        <v>1161</v>
      </c>
      <c r="B699" s="7" t="str">
        <f>VLOOKUP($A699,Presupuesto!$A:$D,2,FALSE())</f>
        <v>Toma siamesa 4" x 2.1/2" x 2.1/2"</v>
      </c>
      <c r="C699" s="8" t="str">
        <f>VLOOKUP($A699,Presupuesto!$A:$D,3,FALSE())</f>
        <v>Un</v>
      </c>
      <c r="D699" s="9"/>
      <c r="E699" s="10">
        <f>VLOOKUP($A699,Presupuesto!$A:$D,4,FALSE())</f>
        <v>0</v>
      </c>
      <c r="F699" s="11" t="s">
        <v>2589</v>
      </c>
      <c r="G699" s="12">
        <f>SUM(G701:G717)/2</f>
        <v>2879114.1105496874</v>
      </c>
      <c r="H699" s="13">
        <f>ROUND(SUM(H701:H717),0)/2</f>
        <v>0</v>
      </c>
      <c r="I699" s="10">
        <f>VLOOKUP(A699,Presupuesto!$A:$F,6,0)</f>
        <v>0</v>
      </c>
      <c r="J699" s="10">
        <f>+H699-I699</f>
        <v>0</v>
      </c>
      <c r="K699" s="46">
        <f>+H699-G699*E699</f>
        <v>0</v>
      </c>
    </row>
    <row r="700" spans="1:11" ht="12.75" customHeight="1" thickTop="1">
      <c r="A700" s="14"/>
      <c r="B700" s="15" t="s">
        <v>2586</v>
      </c>
      <c r="C700" s="15" t="s">
        <v>5</v>
      </c>
      <c r="D700" s="16" t="s">
        <v>6</v>
      </c>
      <c r="E700" s="17" t="s">
        <v>7</v>
      </c>
      <c r="F700" s="18" t="s">
        <v>3728</v>
      </c>
      <c r="G700" s="19" t="s">
        <v>3729</v>
      </c>
      <c r="H700" s="20" t="s">
        <v>3797</v>
      </c>
    </row>
    <row r="701" spans="1:11" ht="12.75" customHeight="1">
      <c r="A701" s="21"/>
      <c r="B701" s="22" t="s">
        <v>3730</v>
      </c>
      <c r="C701" s="23"/>
      <c r="D701" s="24"/>
      <c r="E701" s="25"/>
      <c r="F701" s="26"/>
      <c r="G701" s="27">
        <f>SUM(G702:G706)</f>
        <v>2466476.25</v>
      </c>
      <c r="H701" s="27">
        <f>IFERROR(G701*E699,"")</f>
        <v>0</v>
      </c>
    </row>
    <row r="702" spans="1:11" ht="12.75" customHeight="1">
      <c r="A702" s="28"/>
      <c r="B702" s="29" t="s">
        <v>3400</v>
      </c>
      <c r="C702" s="30" t="str">
        <f>IFERROR(_xlfn.XLOOKUP(B702,Insumo[DESCRIPCION],Insumo[UND],,0),"")</f>
        <v>Un</v>
      </c>
      <c r="D702" s="31">
        <v>1</v>
      </c>
      <c r="E702" s="32">
        <f>IFERROR(_xlfn.XLOOKUP($B702,Insumo[DESCRIPCION],Insumo[VALOR],,0),"")</f>
        <v>2466476.25</v>
      </c>
      <c r="F702" s="33"/>
      <c r="G702" s="34">
        <f>IFERROR(IF(F702&gt;=0,D702*E702*(1+F702/100),ABS(D702*E702/F702)),"")</f>
        <v>2466476.25</v>
      </c>
      <c r="H702" s="43">
        <f>IFERROR(G702*E699,"")</f>
        <v>0</v>
      </c>
    </row>
    <row r="703" spans="1:11" ht="12.75" customHeight="1">
      <c r="A703" s="28"/>
      <c r="B703" s="29"/>
      <c r="C703" s="30" t="str">
        <f>IFERROR(_xlfn.XLOOKUP(B703,Insumo[DESCRIPCION],Insumo[UND],,0),"")</f>
        <v/>
      </c>
      <c r="D703" s="31"/>
      <c r="E703" s="32" t="str">
        <f>IFERROR(_xlfn.XLOOKUP($B703,Insumo[DESCRIPCION],Insumo[VALOR],,0),"")</f>
        <v/>
      </c>
      <c r="F703" s="33"/>
      <c r="G703" s="34" t="str">
        <f>IFERROR(IF(F703&gt;=0,D703*E703*(1+F703/100),ABS(D703*E703/F703)),"")</f>
        <v/>
      </c>
      <c r="H703" s="43" t="str">
        <f>IFERROR(G703*E699,"")</f>
        <v/>
      </c>
    </row>
    <row r="704" spans="1:11" ht="12.75" customHeight="1">
      <c r="A704" s="28"/>
      <c r="B704" s="29"/>
      <c r="C704" s="30" t="str">
        <f>IFERROR(_xlfn.XLOOKUP(B704,Insumo[DESCRIPCION],Insumo[UND],,0),"")</f>
        <v/>
      </c>
      <c r="D704" s="31"/>
      <c r="E704" s="32" t="str">
        <f>IFERROR(_xlfn.XLOOKUP($B704,Insumo[DESCRIPCION],Insumo[VALOR],,0),"")</f>
        <v/>
      </c>
      <c r="F704" s="33"/>
      <c r="G704" s="34" t="str">
        <f>IFERROR(IF(F704&gt;=0,D704*E704*(1+F704/100),ABS(D704*E704/F704)),"")</f>
        <v/>
      </c>
      <c r="H704" s="43" t="str">
        <f>IFERROR(G704*E699,"")</f>
        <v/>
      </c>
    </row>
    <row r="705" spans="1:11" ht="12.75" customHeight="1">
      <c r="A705" s="28"/>
      <c r="B705" s="29"/>
      <c r="C705" s="30" t="str">
        <f>IFERROR(_xlfn.XLOOKUP(B705,Insumo[DESCRIPCION],Insumo[UND],,0),"")</f>
        <v/>
      </c>
      <c r="D705" s="31"/>
      <c r="E705" s="32" t="str">
        <f>IFERROR(_xlfn.XLOOKUP($B705,Insumo[DESCRIPCION],Insumo[VALOR],,0),"")</f>
        <v/>
      </c>
      <c r="F705" s="33"/>
      <c r="G705" s="34" t="str">
        <f>IFERROR(IF(F705&gt;=0,D705*E705*(1+F705/100),ABS(D705*E705/F705)),"")</f>
        <v/>
      </c>
      <c r="H705" s="43" t="str">
        <f>IFERROR(G705*E699,"")</f>
        <v/>
      </c>
    </row>
    <row r="706" spans="1:11" ht="12.75" customHeight="1">
      <c r="A706" s="28"/>
      <c r="B706" s="29"/>
      <c r="C706" s="30" t="str">
        <f>IFERROR(_xlfn.XLOOKUP(B706,Insumo[DESCRIPCION],Insumo[UND],,0),"")</f>
        <v/>
      </c>
      <c r="D706" s="31"/>
      <c r="E706" s="32" t="str">
        <f>IFERROR(_xlfn.XLOOKUP($B706,Insumo[DESCRIPCION],Insumo[VALOR],,0),"")</f>
        <v/>
      </c>
      <c r="F706" s="33"/>
      <c r="G706" s="34" t="str">
        <f>IFERROR(IF(F706&gt;=0,D706*E706*(1+F706/100),ABS(D706*E706/F706)),"")</f>
        <v/>
      </c>
      <c r="H706" s="43" t="str">
        <f>IFERROR(G706*E699,"")</f>
        <v/>
      </c>
    </row>
    <row r="707" spans="1:11" ht="12.75" customHeight="1">
      <c r="A707" s="21"/>
      <c r="B707" s="22" t="s">
        <v>3731</v>
      </c>
      <c r="C707" s="23"/>
      <c r="D707" s="24"/>
      <c r="E707" s="25"/>
      <c r="F707" s="26"/>
      <c r="G707" s="27">
        <f>SUM(G708:G710)</f>
        <v>19649.421930937504</v>
      </c>
      <c r="H707" s="44">
        <f>G707*E699</f>
        <v>0</v>
      </c>
    </row>
    <row r="708" spans="1:11" ht="12.75" customHeight="1">
      <c r="A708" s="28"/>
      <c r="B708" s="29" t="s">
        <v>3626</v>
      </c>
      <c r="C708" s="30" t="str">
        <f>IFERROR(_xlfn.XLOOKUP(B708,Equipo[DESCRIPCION],Equipo[UND],,0),"")</f>
        <v>%MO</v>
      </c>
      <c r="D708" s="31">
        <v>0.05</v>
      </c>
      <c r="E708" s="32">
        <f>IF(C708="%MO",G714,IFERROR(_xlfn.XLOOKUP($B708,Equipo[DESCRIPCION],Equipo[VALOR],,0),""))</f>
        <v>392988.43861875008</v>
      </c>
      <c r="F708" s="33"/>
      <c r="G708" s="34">
        <f>IFERROR(IF(F708&gt;=0,D708*E708*(1+F708/100),ABS(D708*E708/F708)),"")</f>
        <v>19649.421930937504</v>
      </c>
      <c r="H708" s="43">
        <f>IFERROR(G708*E699,"")</f>
        <v>0</v>
      </c>
    </row>
    <row r="709" spans="1:11" ht="12.75" customHeight="1">
      <c r="A709" s="28"/>
      <c r="B709" s="29"/>
      <c r="C709" s="30" t="str">
        <f>IFERROR(_xlfn.XLOOKUP(B709,Equipo[DESCRIPCION],Equipo[UND],,0),"")</f>
        <v/>
      </c>
      <c r="D709" s="31"/>
      <c r="E709" s="32" t="str">
        <f>IF(C709="%MO",G714,IFERROR(_xlfn.XLOOKUP($B709,Equipo[DESCRIPCION],Equipo[VALOR],,0),""))</f>
        <v/>
      </c>
      <c r="F709" s="33"/>
      <c r="G709" s="34" t="str">
        <f>IFERROR(IF(F709&gt;=0,D709*E709*(1+F709/100),ABS(D709*E709/F709)),"")</f>
        <v/>
      </c>
      <c r="H709" s="43" t="str">
        <f>IFERROR(G709*E699,"")</f>
        <v/>
      </c>
    </row>
    <row r="710" spans="1:11" ht="12.75" customHeight="1">
      <c r="A710" s="28"/>
      <c r="B710" s="29"/>
      <c r="C710" s="30" t="str">
        <f>IFERROR(_xlfn.XLOOKUP(B710,Equipo[DESCRIPCION],Equipo[UND],,0),"")</f>
        <v/>
      </c>
      <c r="D710" s="31"/>
      <c r="E710" s="32" t="str">
        <f>IF(C710="%MO",G714,IFERROR(_xlfn.XLOOKUP($B710,Equipo[DESCRIPCION],Equipo[VALOR],,0),""))</f>
        <v/>
      </c>
      <c r="F710" s="33"/>
      <c r="G710" s="34" t="str">
        <f>IFERROR(IF(F710&gt;=0,D710*E710*(1+F710/100),ABS(D710*E710/F710)),"")</f>
        <v/>
      </c>
      <c r="H710" s="43" t="str">
        <f>IFERROR(G710*E699,"")</f>
        <v/>
      </c>
    </row>
    <row r="711" spans="1:11" ht="12.75" customHeight="1">
      <c r="A711" s="21"/>
      <c r="B711" s="22" t="s">
        <v>2533</v>
      </c>
      <c r="C711" s="23"/>
      <c r="D711" s="24"/>
      <c r="E711" s="25"/>
      <c r="F711" s="26"/>
      <c r="G711" s="27">
        <f>SUM(G712:G713)</f>
        <v>0</v>
      </c>
      <c r="H711" s="44">
        <f>G711*E699</f>
        <v>0</v>
      </c>
    </row>
    <row r="712" spans="1:11" ht="12.75" customHeight="1">
      <c r="A712" s="28"/>
      <c r="B712" s="29"/>
      <c r="C712" s="30" t="str">
        <f>IFERROR(_xlfn.XLOOKUP(B712,Transporte[DESCRIPCION],Transporte[UND],,0),"")</f>
        <v/>
      </c>
      <c r="D712" s="31"/>
      <c r="E712" s="32" t="str">
        <f>IFERROR(_xlfn.XLOOKUP($B712,Transporte[DESCRIPCION],Transporte[VALOR],,0),"")</f>
        <v/>
      </c>
      <c r="F712" s="33"/>
      <c r="G712" s="34" t="str">
        <f>IFERROR(IF(F712&gt;=0,D712*E712*(1+F712/100),ABS(D712*E712/F712)),"")</f>
        <v/>
      </c>
      <c r="H712" s="43" t="str">
        <f>IFERROR(G712*E699,"")</f>
        <v/>
      </c>
    </row>
    <row r="713" spans="1:11" ht="12.75" customHeight="1">
      <c r="A713" s="28"/>
      <c r="B713" s="29"/>
      <c r="C713" s="30" t="str">
        <f>IFERROR(_xlfn.XLOOKUP(B713,Transporte[DESCRIPCION],Transporte[UND],,0),"")</f>
        <v/>
      </c>
      <c r="D713" s="31"/>
      <c r="E713" s="32" t="str">
        <f>IFERROR(_xlfn.XLOOKUP($B713,Transporte[DESCRIPCION],Transporte[VALOR],,0),"")</f>
        <v/>
      </c>
      <c r="F713" s="33"/>
      <c r="G713" s="34" t="str">
        <f>IFERROR(IF(F713&gt;=0,D713*E713*(1+F713/100),ABS(D713*E713/F713)),"")</f>
        <v/>
      </c>
      <c r="H713" s="43" t="str">
        <f>IFERROR(G713*E699,"")</f>
        <v/>
      </c>
    </row>
    <row r="714" spans="1:11" ht="12.75" customHeight="1">
      <c r="A714" s="21"/>
      <c r="B714" s="22" t="s">
        <v>3732</v>
      </c>
      <c r="C714" s="23"/>
      <c r="D714" s="24"/>
      <c r="E714" s="25"/>
      <c r="F714" s="26"/>
      <c r="G714" s="27">
        <f>SUM(G715:G717)</f>
        <v>392988.43861875008</v>
      </c>
      <c r="H714" s="44">
        <f>G714*E699</f>
        <v>0</v>
      </c>
    </row>
    <row r="715" spans="1:11" ht="12.75" customHeight="1">
      <c r="A715" s="28"/>
      <c r="B715" s="29" t="s">
        <v>3710</v>
      </c>
      <c r="C715" s="30" t="str">
        <f>IFERROR(_xlfn.XLOOKUP(B715,MObra[DESCRIPCION],MObra[UN],,0),"")</f>
        <v>día</v>
      </c>
      <c r="D715" s="31">
        <v>1</v>
      </c>
      <c r="E715" s="32">
        <f>IFERROR(_xlfn.XLOOKUP($B715,MObra[DESCRIPCION],MObra[VALOR UNIT],,0),"")</f>
        <v>314390.75089500006</v>
      </c>
      <c r="F715" s="33">
        <v>-0.8</v>
      </c>
      <c r="G715" s="34">
        <f>IFERROR(IF(F715&gt;=0,D715*E715*(1+F715/100),ABS(D715*E715/F715)),"")</f>
        <v>392988.43861875008</v>
      </c>
      <c r="H715" s="43">
        <f>IFERROR(G715*E699,"")</f>
        <v>0</v>
      </c>
    </row>
    <row r="716" spans="1:11" ht="12.75" customHeight="1">
      <c r="A716" s="28"/>
      <c r="B716" s="29"/>
      <c r="C716" s="30" t="str">
        <f t="array" ref="C716">IFERROR(_xlfn.XLOOKUP(B716,MObra[[#All],[DESCRIPCION]],MObra[[#All],[UN]],,0),"")</f>
        <v/>
      </c>
      <c r="D716" s="31"/>
      <c r="E716" s="32" t="str">
        <f>IFERROR(_xlfn.XLOOKUP($B716,MObra[DESCRIPCION],MObra[VALOR UNIT],,0),"")</f>
        <v/>
      </c>
      <c r="F716" s="33"/>
      <c r="G716" s="34" t="str">
        <f>IFERROR(IF(F716&gt;=0,D716*E716*(1+F716/100),ABS(D716*E716/F716)),"")</f>
        <v/>
      </c>
      <c r="H716" s="43" t="str">
        <f>IFERROR(G716*E699,"")</f>
        <v/>
      </c>
    </row>
    <row r="717" spans="1:11" ht="12.75" customHeight="1" thickBot="1">
      <c r="A717" s="35"/>
      <c r="B717" s="36"/>
      <c r="C717" s="37" t="str">
        <f t="array" ref="C717">IFERROR(_xlfn.XLOOKUP(B717,MObra[[#All],[DESCRIPCION]],MObra[[#All],[UN]],,0),"")</f>
        <v/>
      </c>
      <c r="D717" s="38"/>
      <c r="E717" s="39" t="str">
        <f>IFERROR(_xlfn.XLOOKUP($B717,MObra[DESCRIPCION],MObra[VALOR UNIT],,0),"")</f>
        <v/>
      </c>
      <c r="F717" s="40"/>
      <c r="G717" s="41" t="str">
        <f>IFERROR(IF(F717&gt;=0,D717*E717*(1+F717/100),ABS(D717*E717/F717)),"")</f>
        <v/>
      </c>
      <c r="H717" s="42" t="str">
        <f>IFERROR(G717*E699,"")</f>
        <v/>
      </c>
    </row>
    <row r="718" spans="1:11" ht="12.75" customHeight="1" thickTop="1" thickBot="1"/>
    <row r="719" spans="1:11" ht="12.75" customHeight="1" thickTop="1" thickBot="1">
      <c r="A719" s="6" t="s">
        <v>1163</v>
      </c>
      <c r="B719" s="7" t="str">
        <f>VLOOKUP($A719,Presupuesto!$A:$D,2,FALSE())</f>
        <v>Tuberia acero al carbon ranurado 1 1/2"</v>
      </c>
      <c r="C719" s="8" t="str">
        <f>VLOOKUP($A719,Presupuesto!$A:$D,3,FALSE())</f>
        <v>M</v>
      </c>
      <c r="D719" s="9"/>
      <c r="E719" s="10">
        <f>VLOOKUP($A719,Presupuesto!$A:$D,4,FALSE())</f>
        <v>0</v>
      </c>
      <c r="F719" s="11" t="s">
        <v>2589</v>
      </c>
      <c r="G719" s="12">
        <f>SUM(G721:G737)/2</f>
        <v>25499.064562650005</v>
      </c>
      <c r="H719" s="13">
        <f>ROUND(SUM(H721:H737),0)/2</f>
        <v>0</v>
      </c>
      <c r="I719" s="10">
        <f>VLOOKUP(A719,Presupuesto!$A:$F,6,0)</f>
        <v>0</v>
      </c>
      <c r="J719" s="10">
        <f>+H719-I719</f>
        <v>0</v>
      </c>
      <c r="K719" s="46">
        <f>+H719-G719*E719</f>
        <v>0</v>
      </c>
    </row>
    <row r="720" spans="1:11" ht="12.75" customHeight="1" thickTop="1">
      <c r="A720" s="14"/>
      <c r="B720" s="15" t="s">
        <v>2586</v>
      </c>
      <c r="C720" s="15" t="s">
        <v>5</v>
      </c>
      <c r="D720" s="16" t="s">
        <v>6</v>
      </c>
      <c r="E720" s="17" t="s">
        <v>7</v>
      </c>
      <c r="F720" s="18" t="s">
        <v>3728</v>
      </c>
      <c r="G720" s="19" t="s">
        <v>3729</v>
      </c>
      <c r="H720" s="20" t="s">
        <v>3797</v>
      </c>
    </row>
    <row r="721" spans="1:8" ht="12.75" customHeight="1">
      <c r="A721" s="21"/>
      <c r="B721" s="22" t="s">
        <v>3730</v>
      </c>
      <c r="C721" s="23"/>
      <c r="D721" s="24"/>
      <c r="E721" s="25"/>
      <c r="F721" s="26"/>
      <c r="G721" s="27">
        <f>SUM(G722:G726)</f>
        <v>3491.7120000000004</v>
      </c>
      <c r="H721" s="27">
        <f>IFERROR(G721*E719,"")</f>
        <v>0</v>
      </c>
    </row>
    <row r="722" spans="1:8" ht="12.75" customHeight="1">
      <c r="A722" s="28"/>
      <c r="B722" s="29" t="s">
        <v>3511</v>
      </c>
      <c r="C722" s="30" t="str">
        <f>IFERROR(_xlfn.XLOOKUP(B722,Insumo[DESCRIPCION],Insumo[UND],,0),"")</f>
        <v>M</v>
      </c>
      <c r="D722" s="31">
        <v>1</v>
      </c>
      <c r="E722" s="32">
        <f>IFERROR(_xlfn.XLOOKUP($B722,Insumo[DESCRIPCION],Insumo[VALOR],,0),"")</f>
        <v>2801.4</v>
      </c>
      <c r="F722" s="33">
        <v>5</v>
      </c>
      <c r="G722" s="34">
        <f>IFERROR(IF(F722&gt;=0,D722*E722*(1+F722/100),ABS(D722*E722/F722)),"")</f>
        <v>2941.4700000000003</v>
      </c>
      <c r="H722" s="43">
        <f>IFERROR(G722*E719,"")</f>
        <v>0</v>
      </c>
    </row>
    <row r="723" spans="1:8" ht="12.75" customHeight="1">
      <c r="A723" s="28"/>
      <c r="B723" s="29" t="s">
        <v>2655</v>
      </c>
      <c r="C723" s="30" t="str">
        <f>IFERROR(_xlfn.XLOOKUP(B723,Insumo[DESCRIPCION],Insumo[UND],,0),"")</f>
        <v>Un</v>
      </c>
      <c r="D723" s="31">
        <v>0.22</v>
      </c>
      <c r="E723" s="32">
        <f>IFERROR(_xlfn.XLOOKUP($B723,Insumo[DESCRIPCION],Insumo[VALOR],,0),"")</f>
        <v>2501.1</v>
      </c>
      <c r="F723" s="33"/>
      <c r="G723" s="34">
        <f>IFERROR(IF(F723&gt;=0,D723*E723*(1+F723/100),ABS(D723*E723/F723)),"")</f>
        <v>550.24199999999996</v>
      </c>
      <c r="H723" s="43">
        <f>IFERROR(G723*E719,"")</f>
        <v>0</v>
      </c>
    </row>
    <row r="724" spans="1:8" ht="12.75" customHeight="1">
      <c r="A724" s="28"/>
      <c r="B724" s="29"/>
      <c r="C724" s="30" t="str">
        <f>IFERROR(_xlfn.XLOOKUP(B724,Insumo[DESCRIPCION],Insumo[UND],,0),"")</f>
        <v/>
      </c>
      <c r="D724" s="31"/>
      <c r="E724" s="32" t="str">
        <f>IFERROR(_xlfn.XLOOKUP($B724,Insumo[DESCRIPCION],Insumo[VALOR],,0),"")</f>
        <v/>
      </c>
      <c r="F724" s="33"/>
      <c r="G724" s="34" t="str">
        <f>IFERROR(IF(F724&gt;=0,D724*E724*(1+F724/100),ABS(D724*E724/F724)),"")</f>
        <v/>
      </c>
      <c r="H724" s="43" t="str">
        <f>IFERROR(G724*E719,"")</f>
        <v/>
      </c>
    </row>
    <row r="725" spans="1:8" ht="12.75" customHeight="1">
      <c r="A725" s="28"/>
      <c r="B725" s="29"/>
      <c r="C725" s="30" t="str">
        <f>IFERROR(_xlfn.XLOOKUP(B725,Insumo[DESCRIPCION],Insumo[UND],,0),"")</f>
        <v/>
      </c>
      <c r="D725" s="31"/>
      <c r="E725" s="32" t="str">
        <f>IFERROR(_xlfn.XLOOKUP($B725,Insumo[DESCRIPCION],Insumo[VALOR],,0),"")</f>
        <v/>
      </c>
      <c r="F725" s="33"/>
      <c r="G725" s="34" t="str">
        <f>IFERROR(IF(F725&gt;=0,D725*E725*(1+F725/100),ABS(D725*E725/F725)),"")</f>
        <v/>
      </c>
      <c r="H725" s="43" t="str">
        <f>IFERROR(G725*E719,"")</f>
        <v/>
      </c>
    </row>
    <row r="726" spans="1:8" ht="12.75" customHeight="1">
      <c r="A726" s="28"/>
      <c r="B726" s="29"/>
      <c r="C726" s="30" t="str">
        <f>IFERROR(_xlfn.XLOOKUP(B726,Insumo[DESCRIPCION],Insumo[UND],,0),"")</f>
        <v/>
      </c>
      <c r="D726" s="31"/>
      <c r="E726" s="32" t="str">
        <f>IFERROR(_xlfn.XLOOKUP($B726,Insumo[DESCRIPCION],Insumo[VALOR],,0),"")</f>
        <v/>
      </c>
      <c r="F726" s="33"/>
      <c r="G726" s="34" t="str">
        <f>IFERROR(IF(F726&gt;=0,D726*E726*(1+F726/100),ABS(D726*E726/F726)),"")</f>
        <v/>
      </c>
      <c r="H726" s="43" t="str">
        <f>IFERROR(G726*E719,"")</f>
        <v/>
      </c>
    </row>
    <row r="727" spans="1:8" ht="12.75" customHeight="1">
      <c r="A727" s="21"/>
      <c r="B727" s="22" t="s">
        <v>3731</v>
      </c>
      <c r="C727" s="23"/>
      <c r="D727" s="24"/>
      <c r="E727" s="25"/>
      <c r="F727" s="26"/>
      <c r="G727" s="27">
        <f>SUM(G728:G730)</f>
        <v>1047.9691696500001</v>
      </c>
      <c r="H727" s="44">
        <f>G727*E719</f>
        <v>0</v>
      </c>
    </row>
    <row r="728" spans="1:8" ht="12.75" customHeight="1">
      <c r="A728" s="28"/>
      <c r="B728" s="29" t="s">
        <v>3626</v>
      </c>
      <c r="C728" s="30" t="str">
        <f>IFERROR(_xlfn.XLOOKUP(B728,Equipo[DESCRIPCION],Equipo[UND],,0),"")</f>
        <v>%MO</v>
      </c>
      <c r="D728" s="31">
        <v>0.05</v>
      </c>
      <c r="E728" s="32">
        <f>IF(C728="%MO",G734,IFERROR(_xlfn.XLOOKUP($B728,Equipo[DESCRIPCION],Equipo[VALOR],,0),""))</f>
        <v>20959.383393000004</v>
      </c>
      <c r="F728" s="33"/>
      <c r="G728" s="34">
        <f>IFERROR(IF(F728&gt;=0,D728*E728*(1+F728/100),ABS(D728*E728/F728)),"")</f>
        <v>1047.9691696500001</v>
      </c>
      <c r="H728" s="43">
        <f>IFERROR(G728*E719,"")</f>
        <v>0</v>
      </c>
    </row>
    <row r="729" spans="1:8" ht="12.75" customHeight="1">
      <c r="A729" s="28"/>
      <c r="B729" s="29"/>
      <c r="C729" s="30" t="str">
        <f>IFERROR(_xlfn.XLOOKUP(B729,Equipo[DESCRIPCION],Equipo[UND],,0),"")</f>
        <v/>
      </c>
      <c r="D729" s="31"/>
      <c r="E729" s="32" t="str">
        <f>IF(C729="%MO",G734,IFERROR(_xlfn.XLOOKUP($B729,Equipo[DESCRIPCION],Equipo[VALOR],,0),""))</f>
        <v/>
      </c>
      <c r="F729" s="33"/>
      <c r="G729" s="34" t="str">
        <f>IFERROR(IF(F729&gt;=0,D729*E729*(1+F729/100),ABS(D729*E729/F729)),"")</f>
        <v/>
      </c>
      <c r="H729" s="43" t="str">
        <f>IFERROR(G729*E719,"")</f>
        <v/>
      </c>
    </row>
    <row r="730" spans="1:8" ht="12.75" customHeight="1">
      <c r="A730" s="28"/>
      <c r="B730" s="29"/>
      <c r="C730" s="30" t="str">
        <f>IFERROR(_xlfn.XLOOKUP(B730,Equipo[DESCRIPCION],Equipo[UND],,0),"")</f>
        <v/>
      </c>
      <c r="D730" s="31"/>
      <c r="E730" s="32" t="str">
        <f>IF(C730="%MO",G734,IFERROR(_xlfn.XLOOKUP($B730,Equipo[DESCRIPCION],Equipo[VALOR],,0),""))</f>
        <v/>
      </c>
      <c r="F730" s="33"/>
      <c r="G730" s="34" t="str">
        <f>IFERROR(IF(F730&gt;=0,D730*E730*(1+F730/100),ABS(D730*E730/F730)),"")</f>
        <v/>
      </c>
      <c r="H730" s="43" t="str">
        <f>IFERROR(G730*E719,"")</f>
        <v/>
      </c>
    </row>
    <row r="731" spans="1:8" ht="12.75" customHeight="1">
      <c r="A731" s="21"/>
      <c r="B731" s="22" t="s">
        <v>2533</v>
      </c>
      <c r="C731" s="23"/>
      <c r="D731" s="24"/>
      <c r="E731" s="25"/>
      <c r="F731" s="26"/>
      <c r="G731" s="27">
        <f>SUM(G732:G733)</f>
        <v>0</v>
      </c>
      <c r="H731" s="44">
        <f>G731*E719</f>
        <v>0</v>
      </c>
    </row>
    <row r="732" spans="1:8" ht="12.75" customHeight="1">
      <c r="A732" s="28"/>
      <c r="B732" s="29"/>
      <c r="C732" s="30" t="str">
        <f>IFERROR(_xlfn.XLOOKUP(B732,Transporte[DESCRIPCION],Transporte[UND],,0),"")</f>
        <v/>
      </c>
      <c r="D732" s="31"/>
      <c r="E732" s="32" t="str">
        <f>IFERROR(_xlfn.XLOOKUP($B732,Transporte[DESCRIPCION],Transporte[VALOR],,0),"")</f>
        <v/>
      </c>
      <c r="F732" s="33"/>
      <c r="G732" s="34" t="str">
        <f>IFERROR(IF(F732&gt;=0,D732*E732*(1+F732/100),ABS(D732*E732/F732)),"")</f>
        <v/>
      </c>
      <c r="H732" s="43" t="str">
        <f>IFERROR(G732*E719,"")</f>
        <v/>
      </c>
    </row>
    <row r="733" spans="1:8" ht="12.75" customHeight="1">
      <c r="A733" s="28"/>
      <c r="B733" s="29"/>
      <c r="C733" s="30" t="str">
        <f>IFERROR(_xlfn.XLOOKUP(B733,Transporte[DESCRIPCION],Transporte[UND],,0),"")</f>
        <v/>
      </c>
      <c r="D733" s="31"/>
      <c r="E733" s="32" t="str">
        <f>IFERROR(_xlfn.XLOOKUP($B733,Transporte[DESCRIPCION],Transporte[VALOR],,0),"")</f>
        <v/>
      </c>
      <c r="F733" s="33"/>
      <c r="G733" s="34" t="str">
        <f>IFERROR(IF(F733&gt;=0,D733*E733*(1+F733/100),ABS(D733*E733/F733)),"")</f>
        <v/>
      </c>
      <c r="H733" s="43" t="str">
        <f>IFERROR(G733*E719,"")</f>
        <v/>
      </c>
    </row>
    <row r="734" spans="1:8" ht="12.75" customHeight="1">
      <c r="A734" s="21"/>
      <c r="B734" s="22" t="s">
        <v>3732</v>
      </c>
      <c r="C734" s="23"/>
      <c r="D734" s="24"/>
      <c r="E734" s="25"/>
      <c r="F734" s="26"/>
      <c r="G734" s="27">
        <f>SUM(G735:G737)</f>
        <v>20959.383393000004</v>
      </c>
      <c r="H734" s="44">
        <f>G734*E719</f>
        <v>0</v>
      </c>
    </row>
    <row r="735" spans="1:8" ht="12.75" customHeight="1">
      <c r="A735" s="28"/>
      <c r="B735" s="29" t="s">
        <v>3710</v>
      </c>
      <c r="C735" s="30" t="str">
        <f>IFERROR(_xlfn.XLOOKUP(B735,MObra[DESCRIPCION],MObra[UN],,0),"")</f>
        <v>día</v>
      </c>
      <c r="D735" s="31">
        <v>1</v>
      </c>
      <c r="E735" s="32">
        <f>IFERROR(_xlfn.XLOOKUP($B735,MObra[DESCRIPCION],MObra[VALOR UNIT],,0),"")</f>
        <v>314390.75089500006</v>
      </c>
      <c r="F735" s="33">
        <v>-15</v>
      </c>
      <c r="G735" s="34">
        <f>IFERROR(IF(F735&gt;=0,D735*E735*(1+F735/100),ABS(D735*E735/F735)),"")</f>
        <v>20959.383393000004</v>
      </c>
      <c r="H735" s="43">
        <f>IFERROR(G735*E719,"")</f>
        <v>0</v>
      </c>
    </row>
    <row r="736" spans="1:8" ht="12.75" customHeight="1">
      <c r="A736" s="28"/>
      <c r="B736" s="29"/>
      <c r="C736" s="30" t="str">
        <f t="array" ref="C736">IFERROR(_xlfn.XLOOKUP(B736,MObra[[#All],[DESCRIPCION]],MObra[[#All],[UN]],,0),"")</f>
        <v/>
      </c>
      <c r="D736" s="31"/>
      <c r="E736" s="32" t="str">
        <f>IFERROR(_xlfn.XLOOKUP($B736,MObra[DESCRIPCION],MObra[VALOR UNIT],,0),"")</f>
        <v/>
      </c>
      <c r="F736" s="33"/>
      <c r="G736" s="34" t="str">
        <f>IFERROR(IF(F736&gt;=0,D736*E736*(1+F736/100),ABS(D736*E736/F736)),"")</f>
        <v/>
      </c>
      <c r="H736" s="43" t="str">
        <f>IFERROR(G736*E719,"")</f>
        <v/>
      </c>
    </row>
    <row r="737" spans="1:11" ht="12.75" customHeight="1" thickBot="1">
      <c r="A737" s="35"/>
      <c r="B737" s="36"/>
      <c r="C737" s="37" t="str">
        <f t="array" ref="C737">IFERROR(_xlfn.XLOOKUP(B737,MObra[[#All],[DESCRIPCION]],MObra[[#All],[UN]],,0),"")</f>
        <v/>
      </c>
      <c r="D737" s="38"/>
      <c r="E737" s="39" t="str">
        <f>IFERROR(_xlfn.XLOOKUP($B737,MObra[DESCRIPCION],MObra[VALOR UNIT],,0),"")</f>
        <v/>
      </c>
      <c r="F737" s="40"/>
      <c r="G737" s="41" t="str">
        <f>IFERROR(IF(F737&gt;=0,D737*E737*(1+F737/100),ABS(D737*E737/F737)),"")</f>
        <v/>
      </c>
      <c r="H737" s="42" t="str">
        <f>IFERROR(G737*E719,"")</f>
        <v/>
      </c>
    </row>
    <row r="738" spans="1:11" ht="12.75" customHeight="1" thickTop="1" thickBot="1"/>
    <row r="739" spans="1:11" ht="12.75" customHeight="1" thickTop="1" thickBot="1">
      <c r="A739" s="6" t="s">
        <v>1165</v>
      </c>
      <c r="B739" s="7" t="str">
        <f>VLOOKUP($A739,Presupuesto!$A:$D,2,FALSE())</f>
        <v>Tuberia acero al carbon ranurado 1 1/4"</v>
      </c>
      <c r="C739" s="8" t="str">
        <f>VLOOKUP($A739,Presupuesto!$A:$D,3,FALSE())</f>
        <v>M</v>
      </c>
      <c r="D739" s="9"/>
      <c r="E739" s="10">
        <f>VLOOKUP($A739,Presupuesto!$A:$D,4,FALSE())</f>
        <v>0</v>
      </c>
      <c r="F739" s="11" t="s">
        <v>2589</v>
      </c>
      <c r="G739" s="12">
        <f>SUM(G741:G757)/2</f>
        <v>48204.621562650005</v>
      </c>
      <c r="H739" s="13">
        <f>ROUND(SUM(H741:H757),0)/2</f>
        <v>0</v>
      </c>
      <c r="I739" s="10">
        <f>VLOOKUP(A739,Presupuesto!$A:$F,6,0)</f>
        <v>0</v>
      </c>
      <c r="J739" s="10">
        <f>+H739-I739</f>
        <v>0</v>
      </c>
      <c r="K739" s="46">
        <f>+H739-G739*E739</f>
        <v>0</v>
      </c>
    </row>
    <row r="740" spans="1:11" ht="12.75" customHeight="1" thickTop="1">
      <c r="A740" s="14"/>
      <c r="B740" s="15" t="s">
        <v>2586</v>
      </c>
      <c r="C740" s="15" t="s">
        <v>5</v>
      </c>
      <c r="D740" s="16" t="s">
        <v>6</v>
      </c>
      <c r="E740" s="17" t="s">
        <v>7</v>
      </c>
      <c r="F740" s="18" t="s">
        <v>3728</v>
      </c>
      <c r="G740" s="19" t="s">
        <v>3729</v>
      </c>
      <c r="H740" s="20" t="s">
        <v>3797</v>
      </c>
    </row>
    <row r="741" spans="1:11" ht="12.75" customHeight="1">
      <c r="A741" s="21"/>
      <c r="B741" s="22" t="s">
        <v>3730</v>
      </c>
      <c r="C741" s="23"/>
      <c r="D741" s="24"/>
      <c r="E741" s="25"/>
      <c r="F741" s="26"/>
      <c r="G741" s="27">
        <f>SUM(G742:G746)</f>
        <v>26197.269000000004</v>
      </c>
      <c r="H741" s="27">
        <f>IFERROR(G741*E739,"")</f>
        <v>0</v>
      </c>
    </row>
    <row r="742" spans="1:11" ht="12.75" customHeight="1">
      <c r="A742" s="28"/>
      <c r="B742" s="29" t="s">
        <v>3512</v>
      </c>
      <c r="C742" s="30" t="str">
        <f>IFERROR(_xlfn.XLOOKUP(B742,Insumo[DESCRIPCION],Insumo[UND],,0),"")</f>
        <v>M</v>
      </c>
      <c r="D742" s="31">
        <v>1</v>
      </c>
      <c r="E742" s="32">
        <f>IFERROR(_xlfn.XLOOKUP($B742,Insumo[DESCRIPCION],Insumo[VALOR],,0),"")</f>
        <v>24259.200000000001</v>
      </c>
      <c r="F742" s="33">
        <v>5</v>
      </c>
      <c r="G742" s="34">
        <f>IFERROR(IF(F742&gt;=0,D742*E742*(1+F742/100),ABS(D742*E742/F742)),"")</f>
        <v>25472.160000000003</v>
      </c>
      <c r="H742" s="43">
        <f>IFERROR(G742*E739,"")</f>
        <v>0</v>
      </c>
    </row>
    <row r="743" spans="1:11" ht="12.75" customHeight="1">
      <c r="A743" s="28"/>
      <c r="B743" s="29" t="s">
        <v>2656</v>
      </c>
      <c r="C743" s="30" t="str">
        <f>IFERROR(_xlfn.XLOOKUP(B743,Insumo[DESCRIPCION],Insumo[UND],,0),"")</f>
        <v>Un</v>
      </c>
      <c r="D743" s="31">
        <v>0.22</v>
      </c>
      <c r="E743" s="32">
        <f>IFERROR(_xlfn.XLOOKUP($B743,Insumo[DESCRIPCION],Insumo[VALOR],,0),"")</f>
        <v>3295.9500000000003</v>
      </c>
      <c r="F743" s="33"/>
      <c r="G743" s="34">
        <f>IFERROR(IF(F743&gt;=0,D743*E743*(1+F743/100),ABS(D743*E743/F743)),"")</f>
        <v>725.10900000000004</v>
      </c>
      <c r="H743" s="43">
        <f>IFERROR(G743*E739,"")</f>
        <v>0</v>
      </c>
    </row>
    <row r="744" spans="1:11" ht="12.75" customHeight="1">
      <c r="A744" s="28"/>
      <c r="B744" s="29"/>
      <c r="C744" s="30" t="str">
        <f>IFERROR(_xlfn.XLOOKUP(B744,Insumo[DESCRIPCION],Insumo[UND],,0),"")</f>
        <v/>
      </c>
      <c r="D744" s="31"/>
      <c r="E744" s="32" t="str">
        <f>IFERROR(_xlfn.XLOOKUP($B744,Insumo[DESCRIPCION],Insumo[VALOR],,0),"")</f>
        <v/>
      </c>
      <c r="F744" s="33"/>
      <c r="G744" s="34" t="str">
        <f>IFERROR(IF(F744&gt;=0,D744*E744*(1+F744/100),ABS(D744*E744/F744)),"")</f>
        <v/>
      </c>
      <c r="H744" s="43" t="str">
        <f>IFERROR(G744*E739,"")</f>
        <v/>
      </c>
    </row>
    <row r="745" spans="1:11" ht="12.75" customHeight="1">
      <c r="A745" s="28"/>
      <c r="B745" s="29"/>
      <c r="C745" s="30" t="str">
        <f>IFERROR(_xlfn.XLOOKUP(B745,Insumo[DESCRIPCION],Insumo[UND],,0),"")</f>
        <v/>
      </c>
      <c r="D745" s="31"/>
      <c r="E745" s="32" t="str">
        <f>IFERROR(_xlfn.XLOOKUP($B745,Insumo[DESCRIPCION],Insumo[VALOR],,0),"")</f>
        <v/>
      </c>
      <c r="F745" s="33"/>
      <c r="G745" s="34" t="str">
        <f>IFERROR(IF(F745&gt;=0,D745*E745*(1+F745/100),ABS(D745*E745/F745)),"")</f>
        <v/>
      </c>
      <c r="H745" s="43" t="str">
        <f>IFERROR(G745*E739,"")</f>
        <v/>
      </c>
    </row>
    <row r="746" spans="1:11" ht="12.75" customHeight="1">
      <c r="A746" s="28"/>
      <c r="B746" s="29"/>
      <c r="C746" s="30" t="str">
        <f>IFERROR(_xlfn.XLOOKUP(B746,Insumo[DESCRIPCION],Insumo[UND],,0),"")</f>
        <v/>
      </c>
      <c r="D746" s="31"/>
      <c r="E746" s="32" t="str">
        <f>IFERROR(_xlfn.XLOOKUP($B746,Insumo[DESCRIPCION],Insumo[VALOR],,0),"")</f>
        <v/>
      </c>
      <c r="F746" s="33"/>
      <c r="G746" s="34" t="str">
        <f>IFERROR(IF(F746&gt;=0,D746*E746*(1+F746/100),ABS(D746*E746/F746)),"")</f>
        <v/>
      </c>
      <c r="H746" s="43" t="str">
        <f>IFERROR(G746*E739,"")</f>
        <v/>
      </c>
    </row>
    <row r="747" spans="1:11" ht="12.75" customHeight="1">
      <c r="A747" s="21"/>
      <c r="B747" s="22" t="s">
        <v>3731</v>
      </c>
      <c r="C747" s="23"/>
      <c r="D747" s="24"/>
      <c r="E747" s="25"/>
      <c r="F747" s="26"/>
      <c r="G747" s="27">
        <f>SUM(G748:G750)</f>
        <v>1047.9691696500001</v>
      </c>
      <c r="H747" s="44">
        <f>G747*E739</f>
        <v>0</v>
      </c>
    </row>
    <row r="748" spans="1:11" ht="12.75" customHeight="1">
      <c r="A748" s="28"/>
      <c r="B748" s="29" t="s">
        <v>3626</v>
      </c>
      <c r="C748" s="30" t="str">
        <f>IFERROR(_xlfn.XLOOKUP(B748,Equipo[DESCRIPCION],Equipo[UND],,0),"")</f>
        <v>%MO</v>
      </c>
      <c r="D748" s="31">
        <v>0.05</v>
      </c>
      <c r="E748" s="32">
        <f>IF(C748="%MO",G754,IFERROR(_xlfn.XLOOKUP($B748,Equipo[DESCRIPCION],Equipo[VALOR],,0),""))</f>
        <v>20959.383393000004</v>
      </c>
      <c r="F748" s="33"/>
      <c r="G748" s="34">
        <f>IFERROR(IF(F748&gt;=0,D748*E748*(1+F748/100),ABS(D748*E748/F748)),"")</f>
        <v>1047.9691696500001</v>
      </c>
      <c r="H748" s="43">
        <f>IFERROR(G748*E739,"")</f>
        <v>0</v>
      </c>
    </row>
    <row r="749" spans="1:11" ht="12.75" customHeight="1">
      <c r="A749" s="28"/>
      <c r="B749" s="29"/>
      <c r="C749" s="30" t="str">
        <f>IFERROR(_xlfn.XLOOKUP(B749,Equipo[DESCRIPCION],Equipo[UND],,0),"")</f>
        <v/>
      </c>
      <c r="D749" s="31"/>
      <c r="E749" s="32" t="str">
        <f>IF(C749="%MO",G754,IFERROR(_xlfn.XLOOKUP($B749,Equipo[DESCRIPCION],Equipo[VALOR],,0),""))</f>
        <v/>
      </c>
      <c r="F749" s="33"/>
      <c r="G749" s="34" t="str">
        <f>IFERROR(IF(F749&gt;=0,D749*E749*(1+F749/100),ABS(D749*E749/F749)),"")</f>
        <v/>
      </c>
      <c r="H749" s="43" t="str">
        <f>IFERROR(G749*E739,"")</f>
        <v/>
      </c>
    </row>
    <row r="750" spans="1:11" ht="12.75" customHeight="1">
      <c r="A750" s="28"/>
      <c r="B750" s="29"/>
      <c r="C750" s="30" t="str">
        <f>IFERROR(_xlfn.XLOOKUP(B750,Equipo[DESCRIPCION],Equipo[UND],,0),"")</f>
        <v/>
      </c>
      <c r="D750" s="31"/>
      <c r="E750" s="32" t="str">
        <f>IF(C750="%MO",G754,IFERROR(_xlfn.XLOOKUP($B750,Equipo[DESCRIPCION],Equipo[VALOR],,0),""))</f>
        <v/>
      </c>
      <c r="F750" s="33"/>
      <c r="G750" s="34" t="str">
        <f>IFERROR(IF(F750&gt;=0,D750*E750*(1+F750/100),ABS(D750*E750/F750)),"")</f>
        <v/>
      </c>
      <c r="H750" s="43" t="str">
        <f>IFERROR(G750*E739,"")</f>
        <v/>
      </c>
    </row>
    <row r="751" spans="1:11" ht="12.75" customHeight="1">
      <c r="A751" s="21"/>
      <c r="B751" s="22" t="s">
        <v>2533</v>
      </c>
      <c r="C751" s="23"/>
      <c r="D751" s="24"/>
      <c r="E751" s="25"/>
      <c r="F751" s="26"/>
      <c r="G751" s="27">
        <f>SUM(G752:G753)</f>
        <v>0</v>
      </c>
      <c r="H751" s="44">
        <f>G751*E739</f>
        <v>0</v>
      </c>
    </row>
    <row r="752" spans="1:11" ht="12.75" customHeight="1">
      <c r="A752" s="28"/>
      <c r="B752" s="29"/>
      <c r="C752" s="30" t="str">
        <f>IFERROR(_xlfn.XLOOKUP(B752,Transporte[DESCRIPCION],Transporte[UND],,0),"")</f>
        <v/>
      </c>
      <c r="D752" s="31"/>
      <c r="E752" s="32" t="str">
        <f>IFERROR(_xlfn.XLOOKUP($B752,Transporte[DESCRIPCION],Transporte[VALOR],,0),"")</f>
        <v/>
      </c>
      <c r="F752" s="33"/>
      <c r="G752" s="34" t="str">
        <f>IFERROR(IF(F752&gt;=0,D752*E752*(1+F752/100),ABS(D752*E752/F752)),"")</f>
        <v/>
      </c>
      <c r="H752" s="43" t="str">
        <f>IFERROR(G752*E739,"")</f>
        <v/>
      </c>
    </row>
    <row r="753" spans="1:11" ht="12.75" customHeight="1">
      <c r="A753" s="28"/>
      <c r="B753" s="29"/>
      <c r="C753" s="30" t="str">
        <f>IFERROR(_xlfn.XLOOKUP(B753,Transporte[DESCRIPCION],Transporte[UND],,0),"")</f>
        <v/>
      </c>
      <c r="D753" s="31"/>
      <c r="E753" s="32" t="str">
        <f>IFERROR(_xlfn.XLOOKUP($B753,Transporte[DESCRIPCION],Transporte[VALOR],,0),"")</f>
        <v/>
      </c>
      <c r="F753" s="33"/>
      <c r="G753" s="34" t="str">
        <f>IFERROR(IF(F753&gt;=0,D753*E753*(1+F753/100),ABS(D753*E753/F753)),"")</f>
        <v/>
      </c>
      <c r="H753" s="43" t="str">
        <f>IFERROR(G753*E739,"")</f>
        <v/>
      </c>
    </row>
    <row r="754" spans="1:11" ht="12.75" customHeight="1">
      <c r="A754" s="21"/>
      <c r="B754" s="22" t="s">
        <v>3732</v>
      </c>
      <c r="C754" s="23"/>
      <c r="D754" s="24"/>
      <c r="E754" s="25"/>
      <c r="F754" s="26"/>
      <c r="G754" s="27">
        <f>SUM(G755:G757)</f>
        <v>20959.383393000004</v>
      </c>
      <c r="H754" s="44">
        <f>G754*E739</f>
        <v>0</v>
      </c>
    </row>
    <row r="755" spans="1:11" ht="12.75" customHeight="1">
      <c r="A755" s="28"/>
      <c r="B755" s="29" t="s">
        <v>3710</v>
      </c>
      <c r="C755" s="30" t="str">
        <f>IFERROR(_xlfn.XLOOKUP(B755,MObra[DESCRIPCION],MObra[UN],,0),"")</f>
        <v>día</v>
      </c>
      <c r="D755" s="31">
        <v>1</v>
      </c>
      <c r="E755" s="32">
        <f>IFERROR(_xlfn.XLOOKUP($B755,MObra[DESCRIPCION],MObra[VALOR UNIT],,0),"")</f>
        <v>314390.75089500006</v>
      </c>
      <c r="F755" s="33">
        <v>-15</v>
      </c>
      <c r="G755" s="34">
        <f>IFERROR(IF(F755&gt;=0,D755*E755*(1+F755/100),ABS(D755*E755/F755)),"")</f>
        <v>20959.383393000004</v>
      </c>
      <c r="H755" s="43">
        <f>IFERROR(G755*E739,"")</f>
        <v>0</v>
      </c>
    </row>
    <row r="756" spans="1:11" ht="12.75" customHeight="1">
      <c r="A756" s="28"/>
      <c r="B756" s="29"/>
      <c r="C756" s="30" t="str">
        <f t="array" ref="C756">IFERROR(_xlfn.XLOOKUP(B756,MObra[[#All],[DESCRIPCION]],MObra[[#All],[UN]],,0),"")</f>
        <v/>
      </c>
      <c r="D756" s="31"/>
      <c r="E756" s="32" t="str">
        <f>IFERROR(_xlfn.XLOOKUP($B756,MObra[DESCRIPCION],MObra[VALOR UNIT],,0),"")</f>
        <v/>
      </c>
      <c r="F756" s="33"/>
      <c r="G756" s="34" t="str">
        <f>IFERROR(IF(F756&gt;=0,D756*E756*(1+F756/100),ABS(D756*E756/F756)),"")</f>
        <v/>
      </c>
      <c r="H756" s="43" t="str">
        <f>IFERROR(G756*E739,"")</f>
        <v/>
      </c>
    </row>
    <row r="757" spans="1:11" ht="12.75" customHeight="1" thickBot="1">
      <c r="A757" s="35"/>
      <c r="B757" s="36"/>
      <c r="C757" s="37" t="str">
        <f t="array" ref="C757">IFERROR(_xlfn.XLOOKUP(B757,MObra[[#All],[DESCRIPCION]],MObra[[#All],[UN]],,0),"")</f>
        <v/>
      </c>
      <c r="D757" s="38"/>
      <c r="E757" s="39" t="str">
        <f>IFERROR(_xlfn.XLOOKUP($B757,MObra[DESCRIPCION],MObra[VALOR UNIT],,0),"")</f>
        <v/>
      </c>
      <c r="F757" s="40"/>
      <c r="G757" s="41" t="str">
        <f>IFERROR(IF(F757&gt;=0,D757*E757*(1+F757/100),ABS(D757*E757/F757)),"")</f>
        <v/>
      </c>
      <c r="H757" s="42" t="str">
        <f>IFERROR(G757*E739,"")</f>
        <v/>
      </c>
    </row>
    <row r="758" spans="1:11" ht="12.75" customHeight="1" thickTop="1" thickBot="1"/>
    <row r="759" spans="1:11" ht="12.75" customHeight="1" thickTop="1" thickBot="1">
      <c r="A759" s="6" t="s">
        <v>1167</v>
      </c>
      <c r="B759" s="7" t="str">
        <f>VLOOKUP($A759,Presupuesto!$A:$D,2,FALSE())</f>
        <v>Tuberia acero al carbon ranurado 1"</v>
      </c>
      <c r="C759" s="8" t="str">
        <f>VLOOKUP($A759,Presupuesto!$A:$D,3,FALSE())</f>
        <v>M</v>
      </c>
      <c r="D759" s="9"/>
      <c r="E759" s="10">
        <f>VLOOKUP($A759,Presupuesto!$A:$D,4,FALSE())</f>
        <v>0</v>
      </c>
      <c r="F759" s="11" t="s">
        <v>2589</v>
      </c>
      <c r="G759" s="12">
        <f>SUM(G761:G777)/2</f>
        <v>42413.903062650003</v>
      </c>
      <c r="H759" s="13">
        <f>ROUND(SUM(H761:H777),0)/2</f>
        <v>0</v>
      </c>
      <c r="I759" s="10">
        <f>VLOOKUP(A759,Presupuesto!$A:$F,6,0)</f>
        <v>0</v>
      </c>
      <c r="J759" s="10">
        <f>+H759-I759</f>
        <v>0</v>
      </c>
      <c r="K759" s="46">
        <f>+H759-G759*E759</f>
        <v>0</v>
      </c>
    </row>
    <row r="760" spans="1:11" ht="12.75" customHeight="1" thickTop="1">
      <c r="A760" s="14"/>
      <c r="B760" s="15" t="s">
        <v>2586</v>
      </c>
      <c r="C760" s="15" t="s">
        <v>5</v>
      </c>
      <c r="D760" s="16" t="s">
        <v>6</v>
      </c>
      <c r="E760" s="17" t="s">
        <v>7</v>
      </c>
      <c r="F760" s="18" t="s">
        <v>3728</v>
      </c>
      <c r="G760" s="19" t="s">
        <v>3729</v>
      </c>
      <c r="H760" s="20" t="s">
        <v>3797</v>
      </c>
    </row>
    <row r="761" spans="1:11" ht="12.75" customHeight="1">
      <c r="A761" s="21"/>
      <c r="B761" s="22" t="s">
        <v>3730</v>
      </c>
      <c r="C761" s="23"/>
      <c r="D761" s="24"/>
      <c r="E761" s="25"/>
      <c r="F761" s="26"/>
      <c r="G761" s="27">
        <f>SUM(G762:G766)</f>
        <v>20406.550500000001</v>
      </c>
      <c r="H761" s="27">
        <f>IFERROR(G761*E759,"")</f>
        <v>0</v>
      </c>
    </row>
    <row r="762" spans="1:11" ht="12.75" customHeight="1">
      <c r="A762" s="28"/>
      <c r="B762" s="29" t="s">
        <v>3513</v>
      </c>
      <c r="C762" s="30" t="str">
        <f>IFERROR(_xlfn.XLOOKUP(B762,Insumo[DESCRIPCION],Insumo[UND],,0),"")</f>
        <v>M</v>
      </c>
      <c r="D762" s="31">
        <v>1</v>
      </c>
      <c r="E762" s="32">
        <f>IFERROR(_xlfn.XLOOKUP($B762,Insumo[DESCRIPCION],Insumo[VALOR],,0),"")</f>
        <v>18863.25</v>
      </c>
      <c r="F762" s="33">
        <v>5</v>
      </c>
      <c r="G762" s="34">
        <f>IFERROR(IF(F762&gt;=0,D762*E762*(1+F762/100),ABS(D762*E762/F762)),"")</f>
        <v>19806.412500000002</v>
      </c>
      <c r="H762" s="43">
        <f>IFERROR(G762*E759,"")</f>
        <v>0</v>
      </c>
    </row>
    <row r="763" spans="1:11" ht="12.75" customHeight="1">
      <c r="A763" s="28"/>
      <c r="B763" s="29" t="s">
        <v>2657</v>
      </c>
      <c r="C763" s="30" t="str">
        <f>IFERROR(_xlfn.XLOOKUP(B763,Insumo[DESCRIPCION],Insumo[UND],,0),"")</f>
        <v>Un</v>
      </c>
      <c r="D763" s="31">
        <v>0.22</v>
      </c>
      <c r="E763" s="32">
        <f>IFERROR(_xlfn.XLOOKUP($B763,Insumo[DESCRIPCION],Insumo[VALOR],,0),"")</f>
        <v>2727.9</v>
      </c>
      <c r="F763" s="33"/>
      <c r="G763" s="34">
        <f>IFERROR(IF(F763&gt;=0,D763*E763*(1+F763/100),ABS(D763*E763/F763)),"")</f>
        <v>600.13800000000003</v>
      </c>
      <c r="H763" s="43">
        <f>IFERROR(G763*E759,"")</f>
        <v>0</v>
      </c>
    </row>
    <row r="764" spans="1:11" ht="12.75" customHeight="1">
      <c r="A764" s="28"/>
      <c r="B764" s="29"/>
      <c r="C764" s="30" t="str">
        <f>IFERROR(_xlfn.XLOOKUP(B764,Insumo[DESCRIPCION],Insumo[UND],,0),"")</f>
        <v/>
      </c>
      <c r="D764" s="31"/>
      <c r="E764" s="32" t="str">
        <f>IFERROR(_xlfn.XLOOKUP($B764,Insumo[DESCRIPCION],Insumo[VALOR],,0),"")</f>
        <v/>
      </c>
      <c r="F764" s="33"/>
      <c r="G764" s="34" t="str">
        <f>IFERROR(IF(F764&gt;=0,D764*E764*(1+F764/100),ABS(D764*E764/F764)),"")</f>
        <v/>
      </c>
      <c r="H764" s="43" t="str">
        <f>IFERROR(G764*E759,"")</f>
        <v/>
      </c>
    </row>
    <row r="765" spans="1:11" ht="12.75" customHeight="1">
      <c r="A765" s="28"/>
      <c r="B765" s="29"/>
      <c r="C765" s="30" t="str">
        <f>IFERROR(_xlfn.XLOOKUP(B765,Insumo[DESCRIPCION],Insumo[UND],,0),"")</f>
        <v/>
      </c>
      <c r="D765" s="31"/>
      <c r="E765" s="32" t="str">
        <f>IFERROR(_xlfn.XLOOKUP($B765,Insumo[DESCRIPCION],Insumo[VALOR],,0),"")</f>
        <v/>
      </c>
      <c r="F765" s="33"/>
      <c r="G765" s="34" t="str">
        <f>IFERROR(IF(F765&gt;=0,D765*E765*(1+F765/100),ABS(D765*E765/F765)),"")</f>
        <v/>
      </c>
      <c r="H765" s="43" t="str">
        <f>IFERROR(G765*E759,"")</f>
        <v/>
      </c>
    </row>
    <row r="766" spans="1:11" ht="12.75" customHeight="1">
      <c r="A766" s="28"/>
      <c r="B766" s="29"/>
      <c r="C766" s="30" t="str">
        <f>IFERROR(_xlfn.XLOOKUP(B766,Insumo[DESCRIPCION],Insumo[UND],,0),"")</f>
        <v/>
      </c>
      <c r="D766" s="31"/>
      <c r="E766" s="32" t="str">
        <f>IFERROR(_xlfn.XLOOKUP($B766,Insumo[DESCRIPCION],Insumo[VALOR],,0),"")</f>
        <v/>
      </c>
      <c r="F766" s="33"/>
      <c r="G766" s="34" t="str">
        <f>IFERROR(IF(F766&gt;=0,D766*E766*(1+F766/100),ABS(D766*E766/F766)),"")</f>
        <v/>
      </c>
      <c r="H766" s="43" t="str">
        <f>IFERROR(G766*E759,"")</f>
        <v/>
      </c>
    </row>
    <row r="767" spans="1:11" ht="12.75" customHeight="1">
      <c r="A767" s="21"/>
      <c r="B767" s="22" t="s">
        <v>3731</v>
      </c>
      <c r="C767" s="23"/>
      <c r="D767" s="24"/>
      <c r="E767" s="25"/>
      <c r="F767" s="26"/>
      <c r="G767" s="27">
        <f>SUM(G768:G770)</f>
        <v>1047.9691696500001</v>
      </c>
      <c r="H767" s="44">
        <f>G767*E759</f>
        <v>0</v>
      </c>
    </row>
    <row r="768" spans="1:11" ht="12.75" customHeight="1">
      <c r="A768" s="28"/>
      <c r="B768" s="29" t="s">
        <v>3626</v>
      </c>
      <c r="C768" s="30" t="str">
        <f>IFERROR(_xlfn.XLOOKUP(B768,Equipo[DESCRIPCION],Equipo[UND],,0),"")</f>
        <v>%MO</v>
      </c>
      <c r="D768" s="31">
        <v>0.05</v>
      </c>
      <c r="E768" s="32">
        <f>IF(C768="%MO",G774,IFERROR(_xlfn.XLOOKUP($B768,Equipo[DESCRIPCION],Equipo[VALOR],,0),""))</f>
        <v>20959.383393000004</v>
      </c>
      <c r="F768" s="33"/>
      <c r="G768" s="34">
        <f>IFERROR(IF(F768&gt;=0,D768*E768*(1+F768/100),ABS(D768*E768/F768)),"")</f>
        <v>1047.9691696500001</v>
      </c>
      <c r="H768" s="43">
        <f>IFERROR(G768*E759,"")</f>
        <v>0</v>
      </c>
    </row>
    <row r="769" spans="1:11" ht="12.75" customHeight="1">
      <c r="A769" s="28"/>
      <c r="B769" s="29"/>
      <c r="C769" s="30" t="str">
        <f>IFERROR(_xlfn.XLOOKUP(B769,Equipo[DESCRIPCION],Equipo[UND],,0),"")</f>
        <v/>
      </c>
      <c r="D769" s="31"/>
      <c r="E769" s="32" t="str">
        <f>IF(C769="%MO",G774,IFERROR(_xlfn.XLOOKUP($B769,Equipo[DESCRIPCION],Equipo[VALOR],,0),""))</f>
        <v/>
      </c>
      <c r="F769" s="33"/>
      <c r="G769" s="34" t="str">
        <f>IFERROR(IF(F769&gt;=0,D769*E769*(1+F769/100),ABS(D769*E769/F769)),"")</f>
        <v/>
      </c>
      <c r="H769" s="43" t="str">
        <f>IFERROR(G769*E759,"")</f>
        <v/>
      </c>
    </row>
    <row r="770" spans="1:11" ht="12.75" customHeight="1">
      <c r="A770" s="28"/>
      <c r="B770" s="29"/>
      <c r="C770" s="30" t="str">
        <f>IFERROR(_xlfn.XLOOKUP(B770,Equipo[DESCRIPCION],Equipo[UND],,0),"")</f>
        <v/>
      </c>
      <c r="D770" s="31"/>
      <c r="E770" s="32" t="str">
        <f>IF(C770="%MO",G774,IFERROR(_xlfn.XLOOKUP($B770,Equipo[DESCRIPCION],Equipo[VALOR],,0),""))</f>
        <v/>
      </c>
      <c r="F770" s="33"/>
      <c r="G770" s="34" t="str">
        <f>IFERROR(IF(F770&gt;=0,D770*E770*(1+F770/100),ABS(D770*E770/F770)),"")</f>
        <v/>
      </c>
      <c r="H770" s="43" t="str">
        <f>IFERROR(G770*E759,"")</f>
        <v/>
      </c>
    </row>
    <row r="771" spans="1:11" ht="12.75" customHeight="1">
      <c r="A771" s="21"/>
      <c r="B771" s="22" t="s">
        <v>2533</v>
      </c>
      <c r="C771" s="23"/>
      <c r="D771" s="24"/>
      <c r="E771" s="25"/>
      <c r="F771" s="26"/>
      <c r="G771" s="27">
        <f>SUM(G772:G773)</f>
        <v>0</v>
      </c>
      <c r="H771" s="44">
        <f>G771*E759</f>
        <v>0</v>
      </c>
    </row>
    <row r="772" spans="1:11" ht="12.75" customHeight="1">
      <c r="A772" s="28"/>
      <c r="B772" s="29"/>
      <c r="C772" s="30" t="str">
        <f>IFERROR(_xlfn.XLOOKUP(B772,Transporte[DESCRIPCION],Transporte[UND],,0),"")</f>
        <v/>
      </c>
      <c r="D772" s="31"/>
      <c r="E772" s="32" t="str">
        <f>IFERROR(_xlfn.XLOOKUP($B772,Transporte[DESCRIPCION],Transporte[VALOR],,0),"")</f>
        <v/>
      </c>
      <c r="F772" s="33"/>
      <c r="G772" s="34" t="str">
        <f>IFERROR(IF(F772&gt;=0,D772*E772*(1+F772/100),ABS(D772*E772/F772)),"")</f>
        <v/>
      </c>
      <c r="H772" s="43" t="str">
        <f>IFERROR(G772*E759,"")</f>
        <v/>
      </c>
    </row>
    <row r="773" spans="1:11" ht="12.75" customHeight="1">
      <c r="A773" s="28"/>
      <c r="B773" s="29"/>
      <c r="C773" s="30" t="str">
        <f>IFERROR(_xlfn.XLOOKUP(B773,Transporte[DESCRIPCION],Transporte[UND],,0),"")</f>
        <v/>
      </c>
      <c r="D773" s="31"/>
      <c r="E773" s="32" t="str">
        <f>IFERROR(_xlfn.XLOOKUP($B773,Transporte[DESCRIPCION],Transporte[VALOR],,0),"")</f>
        <v/>
      </c>
      <c r="F773" s="33"/>
      <c r="G773" s="34" t="str">
        <f>IFERROR(IF(F773&gt;=0,D773*E773*(1+F773/100),ABS(D773*E773/F773)),"")</f>
        <v/>
      </c>
      <c r="H773" s="43" t="str">
        <f>IFERROR(G773*E759,"")</f>
        <v/>
      </c>
    </row>
    <row r="774" spans="1:11" ht="12.75" customHeight="1">
      <c r="A774" s="21"/>
      <c r="B774" s="22" t="s">
        <v>3732</v>
      </c>
      <c r="C774" s="23"/>
      <c r="D774" s="24"/>
      <c r="E774" s="25"/>
      <c r="F774" s="26"/>
      <c r="G774" s="27">
        <f>SUM(G775:G777)</f>
        <v>20959.383393000004</v>
      </c>
      <c r="H774" s="44">
        <f>G774*E759</f>
        <v>0</v>
      </c>
    </row>
    <row r="775" spans="1:11" ht="12.75" customHeight="1">
      <c r="A775" s="28"/>
      <c r="B775" s="29" t="s">
        <v>3710</v>
      </c>
      <c r="C775" s="30" t="str">
        <f>IFERROR(_xlfn.XLOOKUP(B775,MObra[DESCRIPCION],MObra[UN],,0),"")</f>
        <v>día</v>
      </c>
      <c r="D775" s="31">
        <v>1</v>
      </c>
      <c r="E775" s="32">
        <f>IFERROR(_xlfn.XLOOKUP($B775,MObra[DESCRIPCION],MObra[VALOR UNIT],,0),"")</f>
        <v>314390.75089500006</v>
      </c>
      <c r="F775" s="33">
        <v>-15</v>
      </c>
      <c r="G775" s="34">
        <f>IFERROR(IF(F775&gt;=0,D775*E775*(1+F775/100),ABS(D775*E775/F775)),"")</f>
        <v>20959.383393000004</v>
      </c>
      <c r="H775" s="43">
        <f>IFERROR(G775*E759,"")</f>
        <v>0</v>
      </c>
    </row>
    <row r="776" spans="1:11" ht="12.75" customHeight="1">
      <c r="A776" s="28"/>
      <c r="B776" s="29"/>
      <c r="C776" s="30" t="str">
        <f t="array" ref="C776">IFERROR(_xlfn.XLOOKUP(B776,MObra[[#All],[DESCRIPCION]],MObra[[#All],[UN]],,0),"")</f>
        <v/>
      </c>
      <c r="D776" s="31"/>
      <c r="E776" s="32" t="str">
        <f>IFERROR(_xlfn.XLOOKUP($B776,MObra[DESCRIPCION],MObra[VALOR UNIT],,0),"")</f>
        <v/>
      </c>
      <c r="F776" s="33"/>
      <c r="G776" s="34" t="str">
        <f>IFERROR(IF(F776&gt;=0,D776*E776*(1+F776/100),ABS(D776*E776/F776)),"")</f>
        <v/>
      </c>
      <c r="H776" s="43" t="str">
        <f>IFERROR(G776*E759,"")</f>
        <v/>
      </c>
    </row>
    <row r="777" spans="1:11" ht="12.75" customHeight="1" thickBot="1">
      <c r="A777" s="35"/>
      <c r="B777" s="36"/>
      <c r="C777" s="37" t="str">
        <f t="array" ref="C777">IFERROR(_xlfn.XLOOKUP(B777,MObra[[#All],[DESCRIPCION]],MObra[[#All],[UN]],,0),"")</f>
        <v/>
      </c>
      <c r="D777" s="38"/>
      <c r="E777" s="39" t="str">
        <f>IFERROR(_xlfn.XLOOKUP($B777,MObra[DESCRIPCION],MObra[VALOR UNIT],,0),"")</f>
        <v/>
      </c>
      <c r="F777" s="40"/>
      <c r="G777" s="41" t="str">
        <f>IFERROR(IF(F777&gt;=0,D777*E777*(1+F777/100),ABS(D777*E777/F777)),"")</f>
        <v/>
      </c>
      <c r="H777" s="42" t="str">
        <f>IFERROR(G777*E759,"")</f>
        <v/>
      </c>
    </row>
    <row r="778" spans="1:11" ht="12.75" customHeight="1" thickTop="1" thickBot="1"/>
    <row r="779" spans="1:11" ht="12.75" customHeight="1" thickTop="1" thickBot="1">
      <c r="A779" s="6" t="s">
        <v>1169</v>
      </c>
      <c r="B779" s="7" t="str">
        <f>VLOOKUP($A779,Presupuesto!$A:$D,2,FALSE())</f>
        <v>Tuberia acero al carbon ranurado 2 1/2"</v>
      </c>
      <c r="C779" s="8" t="str">
        <f>VLOOKUP($A779,Presupuesto!$A:$D,3,FALSE())</f>
        <v>M</v>
      </c>
      <c r="D779" s="9"/>
      <c r="E779" s="10">
        <f>VLOOKUP($A779,Presupuesto!$A:$D,4,FALSE())</f>
        <v>0</v>
      </c>
      <c r="F779" s="11" t="s">
        <v>2589</v>
      </c>
      <c r="G779" s="12">
        <f>SUM(G781:G797)/2</f>
        <v>72318.417562650007</v>
      </c>
      <c r="H779" s="13">
        <f>ROUND(SUM(H781:H797),0)/2</f>
        <v>0</v>
      </c>
      <c r="I779" s="10">
        <f>VLOOKUP(A779,Presupuesto!$A:$F,6,0)</f>
        <v>0</v>
      </c>
      <c r="J779" s="10">
        <f>+H779-I779</f>
        <v>0</v>
      </c>
      <c r="K779" s="46">
        <f>+H779-G779*E779</f>
        <v>0</v>
      </c>
    </row>
    <row r="780" spans="1:11" ht="12.75" customHeight="1" thickTop="1">
      <c r="A780" s="14"/>
      <c r="B780" s="15" t="s">
        <v>2586</v>
      </c>
      <c r="C780" s="15" t="s">
        <v>5</v>
      </c>
      <c r="D780" s="16" t="s">
        <v>6</v>
      </c>
      <c r="E780" s="17" t="s">
        <v>7</v>
      </c>
      <c r="F780" s="18" t="s">
        <v>3728</v>
      </c>
      <c r="G780" s="19" t="s">
        <v>3729</v>
      </c>
      <c r="H780" s="20" t="s">
        <v>3797</v>
      </c>
    </row>
    <row r="781" spans="1:11" ht="12.75" customHeight="1">
      <c r="A781" s="21"/>
      <c r="B781" s="22" t="s">
        <v>3730</v>
      </c>
      <c r="C781" s="23"/>
      <c r="D781" s="24"/>
      <c r="E781" s="25"/>
      <c r="F781" s="26"/>
      <c r="G781" s="27">
        <f>SUM(G782:G786)</f>
        <v>50311.065000000002</v>
      </c>
      <c r="H781" s="27">
        <f>IFERROR(G781*E779,"")</f>
        <v>0</v>
      </c>
    </row>
    <row r="782" spans="1:11" ht="12.75" customHeight="1">
      <c r="A782" s="28"/>
      <c r="B782" s="29" t="s">
        <v>3514</v>
      </c>
      <c r="C782" s="30" t="str">
        <f>IFERROR(_xlfn.XLOOKUP(B782,Insumo[DESCRIPCION],Insumo[UND],,0),"")</f>
        <v>M</v>
      </c>
      <c r="D782" s="31">
        <v>1</v>
      </c>
      <c r="E782" s="32">
        <f>IFERROR(_xlfn.XLOOKUP($B782,Insumo[DESCRIPCION],Insumo[VALOR],,0),"")</f>
        <v>47439</v>
      </c>
      <c r="F782" s="33">
        <v>5</v>
      </c>
      <c r="G782" s="34">
        <f>IFERROR(IF(F782&gt;=0,D782*E782*(1+F782/100),ABS(D782*E782/F782)),"")</f>
        <v>49810.950000000004</v>
      </c>
      <c r="H782" s="43">
        <f>IFERROR(G782*E779,"")</f>
        <v>0</v>
      </c>
    </row>
    <row r="783" spans="1:11" ht="12.75" customHeight="1">
      <c r="A783" s="28"/>
      <c r="B783" s="29" t="s">
        <v>2658</v>
      </c>
      <c r="C783" s="30" t="str">
        <f>IFERROR(_xlfn.XLOOKUP(B783,Insumo[DESCRIPCION],Insumo[UND],,0),"")</f>
        <v>Un</v>
      </c>
      <c r="D783" s="31">
        <v>0.22</v>
      </c>
      <c r="E783" s="32">
        <f>IFERROR(_xlfn.XLOOKUP($B783,Insumo[DESCRIPCION],Insumo[VALOR],,0),"")</f>
        <v>2273.25</v>
      </c>
      <c r="F783" s="33"/>
      <c r="G783" s="34">
        <f>IFERROR(IF(F783&gt;=0,D783*E783*(1+F783/100),ABS(D783*E783/F783)),"")</f>
        <v>500.11500000000001</v>
      </c>
      <c r="H783" s="43">
        <f>IFERROR(G783*E779,"")</f>
        <v>0</v>
      </c>
    </row>
    <row r="784" spans="1:11" ht="12.75" customHeight="1">
      <c r="A784" s="28"/>
      <c r="B784" s="29"/>
      <c r="C784" s="30" t="str">
        <f>IFERROR(_xlfn.XLOOKUP(B784,Insumo[DESCRIPCION],Insumo[UND],,0),"")</f>
        <v/>
      </c>
      <c r="D784" s="31"/>
      <c r="E784" s="32" t="str">
        <f>IFERROR(_xlfn.XLOOKUP($B784,Insumo[DESCRIPCION],Insumo[VALOR],,0),"")</f>
        <v/>
      </c>
      <c r="F784" s="33"/>
      <c r="G784" s="34" t="str">
        <f>IFERROR(IF(F784&gt;=0,D784*E784*(1+F784/100),ABS(D784*E784/F784)),"")</f>
        <v/>
      </c>
      <c r="H784" s="43" t="str">
        <f>IFERROR(G784*E779,"")</f>
        <v/>
      </c>
    </row>
    <row r="785" spans="1:11" ht="12.75" customHeight="1">
      <c r="A785" s="28"/>
      <c r="B785" s="29"/>
      <c r="C785" s="30" t="str">
        <f>IFERROR(_xlfn.XLOOKUP(B785,Insumo[DESCRIPCION],Insumo[UND],,0),"")</f>
        <v/>
      </c>
      <c r="D785" s="31"/>
      <c r="E785" s="32" t="str">
        <f>IFERROR(_xlfn.XLOOKUP($B785,Insumo[DESCRIPCION],Insumo[VALOR],,0),"")</f>
        <v/>
      </c>
      <c r="F785" s="33"/>
      <c r="G785" s="34" t="str">
        <f>IFERROR(IF(F785&gt;=0,D785*E785*(1+F785/100),ABS(D785*E785/F785)),"")</f>
        <v/>
      </c>
      <c r="H785" s="43" t="str">
        <f>IFERROR(G785*E779,"")</f>
        <v/>
      </c>
    </row>
    <row r="786" spans="1:11" ht="12.75" customHeight="1">
      <c r="A786" s="28"/>
      <c r="B786" s="29"/>
      <c r="C786" s="30" t="str">
        <f>IFERROR(_xlfn.XLOOKUP(B786,Insumo[DESCRIPCION],Insumo[UND],,0),"")</f>
        <v/>
      </c>
      <c r="D786" s="31"/>
      <c r="E786" s="32" t="str">
        <f>IFERROR(_xlfn.XLOOKUP($B786,Insumo[DESCRIPCION],Insumo[VALOR],,0),"")</f>
        <v/>
      </c>
      <c r="F786" s="33"/>
      <c r="G786" s="34" t="str">
        <f>IFERROR(IF(F786&gt;=0,D786*E786*(1+F786/100),ABS(D786*E786/F786)),"")</f>
        <v/>
      </c>
      <c r="H786" s="43" t="str">
        <f>IFERROR(G786*E779,"")</f>
        <v/>
      </c>
    </row>
    <row r="787" spans="1:11" ht="12.75" customHeight="1">
      <c r="A787" s="21"/>
      <c r="B787" s="22" t="s">
        <v>3731</v>
      </c>
      <c r="C787" s="23"/>
      <c r="D787" s="24"/>
      <c r="E787" s="25"/>
      <c r="F787" s="26"/>
      <c r="G787" s="27">
        <f>SUM(G788:G790)</f>
        <v>1047.9691696500001</v>
      </c>
      <c r="H787" s="44">
        <f>G787*E779</f>
        <v>0</v>
      </c>
    </row>
    <row r="788" spans="1:11" ht="12.75" customHeight="1">
      <c r="A788" s="28"/>
      <c r="B788" s="29" t="s">
        <v>3626</v>
      </c>
      <c r="C788" s="30" t="str">
        <f>IFERROR(_xlfn.XLOOKUP(B788,Equipo[DESCRIPCION],Equipo[UND],,0),"")</f>
        <v>%MO</v>
      </c>
      <c r="D788" s="31">
        <v>0.05</v>
      </c>
      <c r="E788" s="32">
        <f>IF(C788="%MO",G794,IFERROR(_xlfn.XLOOKUP($B788,Equipo[DESCRIPCION],Equipo[VALOR],,0),""))</f>
        <v>20959.383393000004</v>
      </c>
      <c r="F788" s="33"/>
      <c r="G788" s="34">
        <f>IFERROR(IF(F788&gt;=0,D788*E788*(1+F788/100),ABS(D788*E788/F788)),"")</f>
        <v>1047.9691696500001</v>
      </c>
      <c r="H788" s="43">
        <f>IFERROR(G788*E779,"")</f>
        <v>0</v>
      </c>
    </row>
    <row r="789" spans="1:11" ht="12.75" customHeight="1">
      <c r="A789" s="28"/>
      <c r="B789" s="29"/>
      <c r="C789" s="30" t="str">
        <f>IFERROR(_xlfn.XLOOKUP(B789,Equipo[DESCRIPCION],Equipo[UND],,0),"")</f>
        <v/>
      </c>
      <c r="D789" s="31"/>
      <c r="E789" s="32" t="str">
        <f>IF(C789="%MO",G794,IFERROR(_xlfn.XLOOKUP($B789,Equipo[DESCRIPCION],Equipo[VALOR],,0),""))</f>
        <v/>
      </c>
      <c r="F789" s="33"/>
      <c r="G789" s="34" t="str">
        <f>IFERROR(IF(F789&gt;=0,D789*E789*(1+F789/100),ABS(D789*E789/F789)),"")</f>
        <v/>
      </c>
      <c r="H789" s="43" t="str">
        <f>IFERROR(G789*E779,"")</f>
        <v/>
      </c>
    </row>
    <row r="790" spans="1:11" ht="12.75" customHeight="1">
      <c r="A790" s="28"/>
      <c r="B790" s="29"/>
      <c r="C790" s="30" t="str">
        <f>IFERROR(_xlfn.XLOOKUP(B790,Equipo[DESCRIPCION],Equipo[UND],,0),"")</f>
        <v/>
      </c>
      <c r="D790" s="31"/>
      <c r="E790" s="32" t="str">
        <f>IF(C790="%MO",G794,IFERROR(_xlfn.XLOOKUP($B790,Equipo[DESCRIPCION],Equipo[VALOR],,0),""))</f>
        <v/>
      </c>
      <c r="F790" s="33"/>
      <c r="G790" s="34" t="str">
        <f>IFERROR(IF(F790&gt;=0,D790*E790*(1+F790/100),ABS(D790*E790/F790)),"")</f>
        <v/>
      </c>
      <c r="H790" s="43" t="str">
        <f>IFERROR(G790*E779,"")</f>
        <v/>
      </c>
    </row>
    <row r="791" spans="1:11" ht="12.75" customHeight="1">
      <c r="A791" s="21"/>
      <c r="B791" s="22" t="s">
        <v>2533</v>
      </c>
      <c r="C791" s="23"/>
      <c r="D791" s="24"/>
      <c r="E791" s="25"/>
      <c r="F791" s="26"/>
      <c r="G791" s="27">
        <f>SUM(G792:G793)</f>
        <v>0</v>
      </c>
      <c r="H791" s="44">
        <f>G791*E779</f>
        <v>0</v>
      </c>
    </row>
    <row r="792" spans="1:11" ht="12.75" customHeight="1">
      <c r="A792" s="28"/>
      <c r="B792" s="29"/>
      <c r="C792" s="30" t="str">
        <f>IFERROR(_xlfn.XLOOKUP(B792,Transporte[DESCRIPCION],Transporte[UND],,0),"")</f>
        <v/>
      </c>
      <c r="D792" s="31"/>
      <c r="E792" s="32" t="str">
        <f>IFERROR(_xlfn.XLOOKUP($B792,Transporte[DESCRIPCION],Transporte[VALOR],,0),"")</f>
        <v/>
      </c>
      <c r="F792" s="33"/>
      <c r="G792" s="34" t="str">
        <f>IFERROR(IF(F792&gt;=0,D792*E792*(1+F792/100),ABS(D792*E792/F792)),"")</f>
        <v/>
      </c>
      <c r="H792" s="43" t="str">
        <f>IFERROR(G792*E779,"")</f>
        <v/>
      </c>
    </row>
    <row r="793" spans="1:11" ht="12.75" customHeight="1">
      <c r="A793" s="28"/>
      <c r="B793" s="29"/>
      <c r="C793" s="30" t="str">
        <f>IFERROR(_xlfn.XLOOKUP(B793,Transporte[DESCRIPCION],Transporte[UND],,0),"")</f>
        <v/>
      </c>
      <c r="D793" s="31"/>
      <c r="E793" s="32" t="str">
        <f>IFERROR(_xlfn.XLOOKUP($B793,Transporte[DESCRIPCION],Transporte[VALOR],,0),"")</f>
        <v/>
      </c>
      <c r="F793" s="33"/>
      <c r="G793" s="34" t="str">
        <f>IFERROR(IF(F793&gt;=0,D793*E793*(1+F793/100),ABS(D793*E793/F793)),"")</f>
        <v/>
      </c>
      <c r="H793" s="43" t="str">
        <f>IFERROR(G793*E779,"")</f>
        <v/>
      </c>
    </row>
    <row r="794" spans="1:11" ht="12.75" customHeight="1">
      <c r="A794" s="21"/>
      <c r="B794" s="22" t="s">
        <v>3732</v>
      </c>
      <c r="C794" s="23"/>
      <c r="D794" s="24"/>
      <c r="E794" s="25"/>
      <c r="F794" s="26"/>
      <c r="G794" s="27">
        <f>SUM(G795:G797)</f>
        <v>20959.383393000004</v>
      </c>
      <c r="H794" s="44">
        <f>G794*E779</f>
        <v>0</v>
      </c>
    </row>
    <row r="795" spans="1:11" ht="12.75" customHeight="1">
      <c r="A795" s="28"/>
      <c r="B795" s="29" t="s">
        <v>3710</v>
      </c>
      <c r="C795" s="30" t="str">
        <f>IFERROR(_xlfn.XLOOKUP(B795,MObra[DESCRIPCION],MObra[UN],,0),"")</f>
        <v>día</v>
      </c>
      <c r="D795" s="31">
        <v>1</v>
      </c>
      <c r="E795" s="32">
        <f>IFERROR(_xlfn.XLOOKUP($B795,MObra[DESCRIPCION],MObra[VALOR UNIT],,0),"")</f>
        <v>314390.75089500006</v>
      </c>
      <c r="F795" s="33">
        <v>-15</v>
      </c>
      <c r="G795" s="34">
        <f>IFERROR(IF(F795&gt;=0,D795*E795*(1+F795/100),ABS(D795*E795/F795)),"")</f>
        <v>20959.383393000004</v>
      </c>
      <c r="H795" s="43">
        <f>IFERROR(G795*E779,"")</f>
        <v>0</v>
      </c>
    </row>
    <row r="796" spans="1:11" ht="12.75" customHeight="1">
      <c r="A796" s="28"/>
      <c r="B796" s="29"/>
      <c r="C796" s="30" t="str">
        <f t="array" ref="C796">IFERROR(_xlfn.XLOOKUP(B796,MObra[[#All],[DESCRIPCION]],MObra[[#All],[UN]],,0),"")</f>
        <v/>
      </c>
      <c r="D796" s="31"/>
      <c r="E796" s="32" t="str">
        <f>IFERROR(_xlfn.XLOOKUP($B796,MObra[DESCRIPCION],MObra[VALOR UNIT],,0),"")</f>
        <v/>
      </c>
      <c r="F796" s="33"/>
      <c r="G796" s="34" t="str">
        <f>IFERROR(IF(F796&gt;=0,D796*E796*(1+F796/100),ABS(D796*E796/F796)),"")</f>
        <v/>
      </c>
      <c r="H796" s="43" t="str">
        <f>IFERROR(G796*E779,"")</f>
        <v/>
      </c>
    </row>
    <row r="797" spans="1:11" ht="12.75" customHeight="1" thickBot="1">
      <c r="A797" s="35"/>
      <c r="B797" s="36"/>
      <c r="C797" s="37" t="str">
        <f t="array" ref="C797">IFERROR(_xlfn.XLOOKUP(B797,MObra[[#All],[DESCRIPCION]],MObra[[#All],[UN]],,0),"")</f>
        <v/>
      </c>
      <c r="D797" s="38"/>
      <c r="E797" s="39" t="str">
        <f>IFERROR(_xlfn.XLOOKUP($B797,MObra[DESCRIPCION],MObra[VALOR UNIT],,0),"")</f>
        <v/>
      </c>
      <c r="F797" s="40"/>
      <c r="G797" s="41" t="str">
        <f>IFERROR(IF(F797&gt;=0,D797*E797*(1+F797/100),ABS(D797*E797/F797)),"")</f>
        <v/>
      </c>
      <c r="H797" s="42" t="str">
        <f>IFERROR(G797*E779,"")</f>
        <v/>
      </c>
    </row>
    <row r="798" spans="1:11" ht="12.75" customHeight="1" thickTop="1" thickBot="1"/>
    <row r="799" spans="1:11" ht="12.75" customHeight="1" thickTop="1" thickBot="1">
      <c r="A799" s="6" t="s">
        <v>1171</v>
      </c>
      <c r="B799" s="7" t="str">
        <f>VLOOKUP($A799,Presupuesto!$A:$D,2,FALSE())</f>
        <v>Tuberia acero al carbon ranurado 2"</v>
      </c>
      <c r="C799" s="8" t="str">
        <f>VLOOKUP($A799,Presupuesto!$A:$D,3,FALSE())</f>
        <v>M</v>
      </c>
      <c r="D799" s="9"/>
      <c r="E799" s="10">
        <f>VLOOKUP($A799,Presupuesto!$A:$D,4,FALSE())</f>
        <v>0</v>
      </c>
      <c r="F799" s="11" t="s">
        <v>2589</v>
      </c>
      <c r="G799" s="12">
        <f>SUM(G801:G817)/2</f>
        <v>60096.396562649999</v>
      </c>
      <c r="H799" s="13">
        <f>ROUND(SUM(H801:H817),0)/2</f>
        <v>0</v>
      </c>
      <c r="I799" s="10">
        <f>VLOOKUP(A799,Presupuesto!$A:$F,6,0)</f>
        <v>0</v>
      </c>
      <c r="J799" s="10">
        <f>+H799-I799</f>
        <v>0</v>
      </c>
      <c r="K799" s="46">
        <f>+H799-G799*E799</f>
        <v>0</v>
      </c>
    </row>
    <row r="800" spans="1:11" ht="12.75" customHeight="1" thickTop="1">
      <c r="A800" s="14"/>
      <c r="B800" s="15" t="s">
        <v>2586</v>
      </c>
      <c r="C800" s="15" t="s">
        <v>5</v>
      </c>
      <c r="D800" s="16" t="s">
        <v>6</v>
      </c>
      <c r="E800" s="17" t="s">
        <v>7</v>
      </c>
      <c r="F800" s="18" t="s">
        <v>3728</v>
      </c>
      <c r="G800" s="19" t="s">
        <v>3729</v>
      </c>
      <c r="H800" s="20" t="s">
        <v>3797</v>
      </c>
    </row>
    <row r="801" spans="1:8" ht="12.75" customHeight="1">
      <c r="A801" s="21"/>
      <c r="B801" s="22" t="s">
        <v>3730</v>
      </c>
      <c r="C801" s="23"/>
      <c r="D801" s="24"/>
      <c r="E801" s="25"/>
      <c r="F801" s="26"/>
      <c r="G801" s="27">
        <f>SUM(G802:G806)</f>
        <v>38089.044000000002</v>
      </c>
      <c r="H801" s="27">
        <f>IFERROR(G801*E799,"")</f>
        <v>0</v>
      </c>
    </row>
    <row r="802" spans="1:8" ht="12.75" customHeight="1">
      <c r="A802" s="28"/>
      <c r="B802" s="29" t="s">
        <v>3515</v>
      </c>
      <c r="C802" s="30" t="str">
        <f>IFERROR(_xlfn.XLOOKUP(B802,Insumo[DESCRIPCION],Insumo[UND],,0),"")</f>
        <v>M</v>
      </c>
      <c r="D802" s="31">
        <v>1</v>
      </c>
      <c r="E802" s="32">
        <f>IFERROR(_xlfn.XLOOKUP($B802,Insumo[DESCRIPCION],Insumo[VALOR],,0),"")</f>
        <v>35441.700000000004</v>
      </c>
      <c r="F802" s="33">
        <v>5</v>
      </c>
      <c r="G802" s="34">
        <f>IFERROR(IF(F802&gt;=0,D802*E802*(1+F802/100),ABS(D802*E802/F802)),"")</f>
        <v>37213.785000000003</v>
      </c>
      <c r="H802" s="43">
        <f>IFERROR(G802*E799,"")</f>
        <v>0</v>
      </c>
    </row>
    <row r="803" spans="1:8" ht="12.75" customHeight="1">
      <c r="A803" s="28"/>
      <c r="B803" s="29" t="s">
        <v>2659</v>
      </c>
      <c r="C803" s="30" t="str">
        <f>IFERROR(_xlfn.XLOOKUP(B803,Insumo[DESCRIPCION],Insumo[UND],,0),"")</f>
        <v>Un</v>
      </c>
      <c r="D803" s="31">
        <v>0.22</v>
      </c>
      <c r="E803" s="32">
        <f>IFERROR(_xlfn.XLOOKUP($B803,Insumo[DESCRIPCION],Insumo[VALOR],,0),"")</f>
        <v>3978.4500000000003</v>
      </c>
      <c r="F803" s="33"/>
      <c r="G803" s="34">
        <f>IFERROR(IF(F803&gt;=0,D803*E803*(1+F803/100),ABS(D803*E803/F803)),"")</f>
        <v>875.25900000000001</v>
      </c>
      <c r="H803" s="43">
        <f>IFERROR(G803*E799,"")</f>
        <v>0</v>
      </c>
    </row>
    <row r="804" spans="1:8" ht="12.75" customHeight="1">
      <c r="A804" s="28"/>
      <c r="B804" s="29"/>
      <c r="C804" s="30" t="str">
        <f>IFERROR(_xlfn.XLOOKUP(B804,Insumo[DESCRIPCION],Insumo[UND],,0),"")</f>
        <v/>
      </c>
      <c r="D804" s="31"/>
      <c r="E804" s="32" t="str">
        <f>IFERROR(_xlfn.XLOOKUP($B804,Insumo[DESCRIPCION],Insumo[VALOR],,0),"")</f>
        <v/>
      </c>
      <c r="F804" s="33"/>
      <c r="G804" s="34" t="str">
        <f>IFERROR(IF(F804&gt;=0,D804*E804*(1+F804/100),ABS(D804*E804/F804)),"")</f>
        <v/>
      </c>
      <c r="H804" s="43" t="str">
        <f>IFERROR(G804*E799,"")</f>
        <v/>
      </c>
    </row>
    <row r="805" spans="1:8" ht="12.75" customHeight="1">
      <c r="A805" s="28"/>
      <c r="B805" s="29"/>
      <c r="C805" s="30" t="str">
        <f>IFERROR(_xlfn.XLOOKUP(B805,Insumo[DESCRIPCION],Insumo[UND],,0),"")</f>
        <v/>
      </c>
      <c r="D805" s="31"/>
      <c r="E805" s="32" t="str">
        <f>IFERROR(_xlfn.XLOOKUP($B805,Insumo[DESCRIPCION],Insumo[VALOR],,0),"")</f>
        <v/>
      </c>
      <c r="F805" s="33"/>
      <c r="G805" s="34" t="str">
        <f>IFERROR(IF(F805&gt;=0,D805*E805*(1+F805/100),ABS(D805*E805/F805)),"")</f>
        <v/>
      </c>
      <c r="H805" s="43" t="str">
        <f>IFERROR(G805*E799,"")</f>
        <v/>
      </c>
    </row>
    <row r="806" spans="1:8" ht="12.75" customHeight="1">
      <c r="A806" s="28"/>
      <c r="B806" s="29"/>
      <c r="C806" s="30" t="str">
        <f>IFERROR(_xlfn.XLOOKUP(B806,Insumo[DESCRIPCION],Insumo[UND],,0),"")</f>
        <v/>
      </c>
      <c r="D806" s="31"/>
      <c r="E806" s="32" t="str">
        <f>IFERROR(_xlfn.XLOOKUP($B806,Insumo[DESCRIPCION],Insumo[VALOR],,0),"")</f>
        <v/>
      </c>
      <c r="F806" s="33"/>
      <c r="G806" s="34" t="str">
        <f>IFERROR(IF(F806&gt;=0,D806*E806*(1+F806/100),ABS(D806*E806/F806)),"")</f>
        <v/>
      </c>
      <c r="H806" s="43" t="str">
        <f>IFERROR(G806*E799,"")</f>
        <v/>
      </c>
    </row>
    <row r="807" spans="1:8" ht="12.75" customHeight="1">
      <c r="A807" s="21"/>
      <c r="B807" s="22" t="s">
        <v>3731</v>
      </c>
      <c r="C807" s="23"/>
      <c r="D807" s="24"/>
      <c r="E807" s="25"/>
      <c r="F807" s="26"/>
      <c r="G807" s="27">
        <f>SUM(G808:G810)</f>
        <v>1047.9691696500001</v>
      </c>
      <c r="H807" s="44">
        <f>G807*E799</f>
        <v>0</v>
      </c>
    </row>
    <row r="808" spans="1:8" ht="12.75" customHeight="1">
      <c r="A808" s="28"/>
      <c r="B808" s="29" t="s">
        <v>3626</v>
      </c>
      <c r="C808" s="30" t="str">
        <f>IFERROR(_xlfn.XLOOKUP(B808,Equipo[DESCRIPCION],Equipo[UND],,0),"")</f>
        <v>%MO</v>
      </c>
      <c r="D808" s="31">
        <v>0.05</v>
      </c>
      <c r="E808" s="32">
        <f>IF(C808="%MO",G814,IFERROR(_xlfn.XLOOKUP($B808,Equipo[DESCRIPCION],Equipo[VALOR],,0),""))</f>
        <v>20959.383393000004</v>
      </c>
      <c r="F808" s="33"/>
      <c r="G808" s="34">
        <f>IFERROR(IF(F808&gt;=0,D808*E808*(1+F808/100),ABS(D808*E808/F808)),"")</f>
        <v>1047.9691696500001</v>
      </c>
      <c r="H808" s="43">
        <f>IFERROR(G808*E799,"")</f>
        <v>0</v>
      </c>
    </row>
    <row r="809" spans="1:8" ht="12.75" customHeight="1">
      <c r="A809" s="28"/>
      <c r="B809" s="29"/>
      <c r="C809" s="30" t="str">
        <f>IFERROR(_xlfn.XLOOKUP(B809,Equipo[DESCRIPCION],Equipo[UND],,0),"")</f>
        <v/>
      </c>
      <c r="D809" s="31"/>
      <c r="E809" s="32" t="str">
        <f>IF(C809="%MO",G814,IFERROR(_xlfn.XLOOKUP($B809,Equipo[DESCRIPCION],Equipo[VALOR],,0),""))</f>
        <v/>
      </c>
      <c r="F809" s="33"/>
      <c r="G809" s="34" t="str">
        <f>IFERROR(IF(F809&gt;=0,D809*E809*(1+F809/100),ABS(D809*E809/F809)),"")</f>
        <v/>
      </c>
      <c r="H809" s="43" t="str">
        <f>IFERROR(G809*E799,"")</f>
        <v/>
      </c>
    </row>
    <row r="810" spans="1:8" ht="12.75" customHeight="1">
      <c r="A810" s="28"/>
      <c r="B810" s="29"/>
      <c r="C810" s="30" t="str">
        <f>IFERROR(_xlfn.XLOOKUP(B810,Equipo[DESCRIPCION],Equipo[UND],,0),"")</f>
        <v/>
      </c>
      <c r="D810" s="31"/>
      <c r="E810" s="32" t="str">
        <f>IF(C810="%MO",G814,IFERROR(_xlfn.XLOOKUP($B810,Equipo[DESCRIPCION],Equipo[VALOR],,0),""))</f>
        <v/>
      </c>
      <c r="F810" s="33"/>
      <c r="G810" s="34" t="str">
        <f>IFERROR(IF(F810&gt;=0,D810*E810*(1+F810/100),ABS(D810*E810/F810)),"")</f>
        <v/>
      </c>
      <c r="H810" s="43" t="str">
        <f>IFERROR(G810*E799,"")</f>
        <v/>
      </c>
    </row>
    <row r="811" spans="1:8" ht="12.75" customHeight="1">
      <c r="A811" s="21"/>
      <c r="B811" s="22" t="s">
        <v>2533</v>
      </c>
      <c r="C811" s="23"/>
      <c r="D811" s="24"/>
      <c r="E811" s="25"/>
      <c r="F811" s="26"/>
      <c r="G811" s="27">
        <f>SUM(G812:G813)</f>
        <v>0</v>
      </c>
      <c r="H811" s="44">
        <f>G811*E799</f>
        <v>0</v>
      </c>
    </row>
    <row r="812" spans="1:8" ht="12.75" customHeight="1">
      <c r="A812" s="28"/>
      <c r="B812" s="29"/>
      <c r="C812" s="30" t="str">
        <f>IFERROR(_xlfn.XLOOKUP(B812,Transporte[DESCRIPCION],Transporte[UND],,0),"")</f>
        <v/>
      </c>
      <c r="D812" s="31"/>
      <c r="E812" s="32" t="str">
        <f>IFERROR(_xlfn.XLOOKUP($B812,Transporte[DESCRIPCION],Transporte[VALOR],,0),"")</f>
        <v/>
      </c>
      <c r="F812" s="33"/>
      <c r="G812" s="34" t="str">
        <f>IFERROR(IF(F812&gt;=0,D812*E812*(1+F812/100),ABS(D812*E812/F812)),"")</f>
        <v/>
      </c>
      <c r="H812" s="43" t="str">
        <f>IFERROR(G812*E799,"")</f>
        <v/>
      </c>
    </row>
    <row r="813" spans="1:8" ht="12.75" customHeight="1">
      <c r="A813" s="28"/>
      <c r="B813" s="29"/>
      <c r="C813" s="30" t="str">
        <f>IFERROR(_xlfn.XLOOKUP(B813,Transporte[DESCRIPCION],Transporte[UND],,0),"")</f>
        <v/>
      </c>
      <c r="D813" s="31"/>
      <c r="E813" s="32" t="str">
        <f>IFERROR(_xlfn.XLOOKUP($B813,Transporte[DESCRIPCION],Transporte[VALOR],,0),"")</f>
        <v/>
      </c>
      <c r="F813" s="33"/>
      <c r="G813" s="34" t="str">
        <f>IFERROR(IF(F813&gt;=0,D813*E813*(1+F813/100),ABS(D813*E813/F813)),"")</f>
        <v/>
      </c>
      <c r="H813" s="43" t="str">
        <f>IFERROR(G813*E799,"")</f>
        <v/>
      </c>
    </row>
    <row r="814" spans="1:8" ht="12.75" customHeight="1">
      <c r="A814" s="21"/>
      <c r="B814" s="22" t="s">
        <v>3732</v>
      </c>
      <c r="C814" s="23"/>
      <c r="D814" s="24"/>
      <c r="E814" s="25"/>
      <c r="F814" s="26"/>
      <c r="G814" s="27">
        <f>SUM(G815:G817)</f>
        <v>20959.383393000004</v>
      </c>
      <c r="H814" s="44">
        <f>G814*E799</f>
        <v>0</v>
      </c>
    </row>
    <row r="815" spans="1:8" ht="12.75" customHeight="1">
      <c r="A815" s="28"/>
      <c r="B815" s="29" t="s">
        <v>3710</v>
      </c>
      <c r="C815" s="30" t="str">
        <f>IFERROR(_xlfn.XLOOKUP(B815,MObra[DESCRIPCION],MObra[UN],,0),"")</f>
        <v>día</v>
      </c>
      <c r="D815" s="31">
        <v>1</v>
      </c>
      <c r="E815" s="32">
        <f>IFERROR(_xlfn.XLOOKUP($B815,MObra[DESCRIPCION],MObra[VALOR UNIT],,0),"")</f>
        <v>314390.75089500006</v>
      </c>
      <c r="F815" s="33">
        <v>-15</v>
      </c>
      <c r="G815" s="34">
        <f>IFERROR(IF(F815&gt;=0,D815*E815*(1+F815/100),ABS(D815*E815/F815)),"")</f>
        <v>20959.383393000004</v>
      </c>
      <c r="H815" s="43">
        <f>IFERROR(G815*E799,"")</f>
        <v>0</v>
      </c>
    </row>
    <row r="816" spans="1:8" ht="12.75" customHeight="1">
      <c r="A816" s="28"/>
      <c r="B816" s="29"/>
      <c r="C816" s="30" t="str">
        <f t="array" ref="C816">IFERROR(_xlfn.XLOOKUP(B816,MObra[[#All],[DESCRIPCION]],MObra[[#All],[UN]],,0),"")</f>
        <v/>
      </c>
      <c r="D816" s="31"/>
      <c r="E816" s="32" t="str">
        <f>IFERROR(_xlfn.XLOOKUP($B816,MObra[DESCRIPCION],MObra[VALOR UNIT],,0),"")</f>
        <v/>
      </c>
      <c r="F816" s="33"/>
      <c r="G816" s="34" t="str">
        <f>IFERROR(IF(F816&gt;=0,D816*E816*(1+F816/100),ABS(D816*E816/F816)),"")</f>
        <v/>
      </c>
      <c r="H816" s="43" t="str">
        <f>IFERROR(G816*E799,"")</f>
        <v/>
      </c>
    </row>
    <row r="817" spans="1:11" ht="12.75" customHeight="1" thickBot="1">
      <c r="A817" s="35"/>
      <c r="B817" s="36"/>
      <c r="C817" s="37" t="str">
        <f t="array" ref="C817">IFERROR(_xlfn.XLOOKUP(B817,MObra[[#All],[DESCRIPCION]],MObra[[#All],[UN]],,0),"")</f>
        <v/>
      </c>
      <c r="D817" s="38"/>
      <c r="E817" s="39" t="str">
        <f>IFERROR(_xlfn.XLOOKUP($B817,MObra[DESCRIPCION],MObra[VALOR UNIT],,0),"")</f>
        <v/>
      </c>
      <c r="F817" s="40"/>
      <c r="G817" s="41" t="str">
        <f>IFERROR(IF(F817&gt;=0,D817*E817*(1+F817/100),ABS(D817*E817/F817)),"")</f>
        <v/>
      </c>
      <c r="H817" s="42" t="str">
        <f>IFERROR(G817*E799,"")</f>
        <v/>
      </c>
    </row>
    <row r="818" spans="1:11" ht="12.75" customHeight="1" thickTop="1" thickBot="1"/>
    <row r="819" spans="1:11" ht="12.75" customHeight="1" thickTop="1" thickBot="1">
      <c r="A819" s="6" t="s">
        <v>1173</v>
      </c>
      <c r="B819" s="7" t="str">
        <f>VLOOKUP($A819,Presupuesto!$A:$D,2,FALSE())</f>
        <v>Tuberia acero al carbon ranurado 4"</v>
      </c>
      <c r="C819" s="8" t="str">
        <f>VLOOKUP($A819,Presupuesto!$A:$D,3,FALSE())</f>
        <v>M</v>
      </c>
      <c r="D819" s="9"/>
      <c r="E819" s="10">
        <f>VLOOKUP($A819,Presupuesto!$A:$D,4,FALSE())</f>
        <v>0</v>
      </c>
      <c r="F819" s="11" t="s">
        <v>2589</v>
      </c>
      <c r="G819" s="12">
        <f>SUM(G821:G837)/2</f>
        <v>102023.95706264999</v>
      </c>
      <c r="H819" s="13">
        <f>ROUND(SUM(H821:H837),0)/2</f>
        <v>0</v>
      </c>
      <c r="I819" s="10">
        <f>VLOOKUP(A819,Presupuesto!$A:$F,6,0)</f>
        <v>0</v>
      </c>
      <c r="J819" s="10">
        <f>+H819-I819</f>
        <v>0</v>
      </c>
      <c r="K819" s="46">
        <f>+H819-G819*E819</f>
        <v>0</v>
      </c>
    </row>
    <row r="820" spans="1:11" ht="12.75" customHeight="1" thickTop="1">
      <c r="A820" s="14"/>
      <c r="B820" s="15" t="s">
        <v>2586</v>
      </c>
      <c r="C820" s="15" t="s">
        <v>5</v>
      </c>
      <c r="D820" s="16" t="s">
        <v>6</v>
      </c>
      <c r="E820" s="17" t="s">
        <v>7</v>
      </c>
      <c r="F820" s="18" t="s">
        <v>3728</v>
      </c>
      <c r="G820" s="19" t="s">
        <v>3729</v>
      </c>
      <c r="H820" s="20" t="s">
        <v>3797</v>
      </c>
    </row>
    <row r="821" spans="1:11" ht="12.75" customHeight="1">
      <c r="A821" s="21"/>
      <c r="B821" s="22" t="s">
        <v>3730</v>
      </c>
      <c r="C821" s="23"/>
      <c r="D821" s="24"/>
      <c r="E821" s="25"/>
      <c r="F821" s="26"/>
      <c r="G821" s="27">
        <f>SUM(G822:G826)</f>
        <v>80016.604500000001</v>
      </c>
      <c r="H821" s="27">
        <f>IFERROR(G821*E819,"")</f>
        <v>0</v>
      </c>
    </row>
    <row r="822" spans="1:11" ht="12.75" customHeight="1">
      <c r="A822" s="28"/>
      <c r="B822" s="29" t="s">
        <v>3516</v>
      </c>
      <c r="C822" s="30" t="str">
        <f>IFERROR(_xlfn.XLOOKUP(B822,Insumo[DESCRIPCION],Insumo[UND],,0),"")</f>
        <v>M</v>
      </c>
      <c r="D822" s="31">
        <v>1</v>
      </c>
      <c r="E822" s="32">
        <f>IFERROR(_xlfn.XLOOKUP($B822,Insumo[DESCRIPCION],Insumo[VALOR],,0),"")</f>
        <v>75420.45</v>
      </c>
      <c r="F822" s="33">
        <v>5</v>
      </c>
      <c r="G822" s="34">
        <f>IFERROR(IF(F822&gt;=0,D822*E822*(1+F822/100),ABS(D822*E822/F822)),"")</f>
        <v>79191.472500000003</v>
      </c>
      <c r="H822" s="43">
        <f>IFERROR(G822*E819,"")</f>
        <v>0</v>
      </c>
    </row>
    <row r="823" spans="1:11" ht="12.75" customHeight="1">
      <c r="A823" s="28"/>
      <c r="B823" s="29" t="s">
        <v>2660</v>
      </c>
      <c r="C823" s="30" t="str">
        <f>IFERROR(_xlfn.XLOOKUP(B823,Insumo[DESCRIPCION],Insumo[UND],,0),"")</f>
        <v>Un</v>
      </c>
      <c r="D823" s="31">
        <v>0.22</v>
      </c>
      <c r="E823" s="32">
        <f>IFERROR(_xlfn.XLOOKUP($B823,Insumo[DESCRIPCION],Insumo[VALOR],,0),"")</f>
        <v>3750.6000000000004</v>
      </c>
      <c r="F823" s="33"/>
      <c r="G823" s="34">
        <f>IFERROR(IF(F823&gt;=0,D823*E823*(1+F823/100),ABS(D823*E823/F823)),"")</f>
        <v>825.13200000000006</v>
      </c>
      <c r="H823" s="43">
        <f>IFERROR(G823*E819,"")</f>
        <v>0</v>
      </c>
    </row>
    <row r="824" spans="1:11" ht="12.75" customHeight="1">
      <c r="A824" s="28"/>
      <c r="B824" s="29"/>
      <c r="C824" s="30" t="str">
        <f>IFERROR(_xlfn.XLOOKUP(B824,Insumo[DESCRIPCION],Insumo[UND],,0),"")</f>
        <v/>
      </c>
      <c r="D824" s="31"/>
      <c r="E824" s="32" t="str">
        <f>IFERROR(_xlfn.XLOOKUP($B824,Insumo[DESCRIPCION],Insumo[VALOR],,0),"")</f>
        <v/>
      </c>
      <c r="F824" s="33"/>
      <c r="G824" s="34" t="str">
        <f>IFERROR(IF(F824&gt;=0,D824*E824*(1+F824/100),ABS(D824*E824/F824)),"")</f>
        <v/>
      </c>
      <c r="H824" s="43" t="str">
        <f>IFERROR(G824*E819,"")</f>
        <v/>
      </c>
    </row>
    <row r="825" spans="1:11" ht="12.75" customHeight="1">
      <c r="A825" s="28"/>
      <c r="B825" s="29"/>
      <c r="C825" s="30" t="str">
        <f>IFERROR(_xlfn.XLOOKUP(B825,Insumo[DESCRIPCION],Insumo[UND],,0),"")</f>
        <v/>
      </c>
      <c r="D825" s="31"/>
      <c r="E825" s="32" t="str">
        <f>IFERROR(_xlfn.XLOOKUP($B825,Insumo[DESCRIPCION],Insumo[VALOR],,0),"")</f>
        <v/>
      </c>
      <c r="F825" s="33"/>
      <c r="G825" s="34" t="str">
        <f>IFERROR(IF(F825&gt;=0,D825*E825*(1+F825/100),ABS(D825*E825/F825)),"")</f>
        <v/>
      </c>
      <c r="H825" s="43" t="str">
        <f>IFERROR(G825*E819,"")</f>
        <v/>
      </c>
    </row>
    <row r="826" spans="1:11" ht="12.75" customHeight="1">
      <c r="A826" s="28"/>
      <c r="B826" s="29"/>
      <c r="C826" s="30" t="str">
        <f>IFERROR(_xlfn.XLOOKUP(B826,Insumo[DESCRIPCION],Insumo[UND],,0),"")</f>
        <v/>
      </c>
      <c r="D826" s="31"/>
      <c r="E826" s="32" t="str">
        <f>IFERROR(_xlfn.XLOOKUP($B826,Insumo[DESCRIPCION],Insumo[VALOR],,0),"")</f>
        <v/>
      </c>
      <c r="F826" s="33"/>
      <c r="G826" s="34" t="str">
        <f>IFERROR(IF(F826&gt;=0,D826*E826*(1+F826/100),ABS(D826*E826/F826)),"")</f>
        <v/>
      </c>
      <c r="H826" s="43" t="str">
        <f>IFERROR(G826*E819,"")</f>
        <v/>
      </c>
    </row>
    <row r="827" spans="1:11" ht="12.75" customHeight="1">
      <c r="A827" s="21"/>
      <c r="B827" s="22" t="s">
        <v>3731</v>
      </c>
      <c r="C827" s="23"/>
      <c r="D827" s="24"/>
      <c r="E827" s="25"/>
      <c r="F827" s="26"/>
      <c r="G827" s="27">
        <f>SUM(G828:G830)</f>
        <v>1047.9691696500001</v>
      </c>
      <c r="H827" s="44">
        <f>G827*E819</f>
        <v>0</v>
      </c>
    </row>
    <row r="828" spans="1:11" ht="12.75" customHeight="1">
      <c r="A828" s="28"/>
      <c r="B828" s="29" t="s">
        <v>3626</v>
      </c>
      <c r="C828" s="30" t="str">
        <f>IFERROR(_xlfn.XLOOKUP(B828,Equipo[DESCRIPCION],Equipo[UND],,0),"")</f>
        <v>%MO</v>
      </c>
      <c r="D828" s="31">
        <v>0.05</v>
      </c>
      <c r="E828" s="32">
        <f>IF(C828="%MO",G834,IFERROR(_xlfn.XLOOKUP($B828,Equipo[DESCRIPCION],Equipo[VALOR],,0),""))</f>
        <v>20959.383393000004</v>
      </c>
      <c r="F828" s="33"/>
      <c r="G828" s="34">
        <f>IFERROR(IF(F828&gt;=0,D828*E828*(1+F828/100),ABS(D828*E828/F828)),"")</f>
        <v>1047.9691696500001</v>
      </c>
      <c r="H828" s="43">
        <f>IFERROR(G828*E819,"")</f>
        <v>0</v>
      </c>
    </row>
    <row r="829" spans="1:11" ht="12.75" customHeight="1">
      <c r="A829" s="28"/>
      <c r="B829" s="29"/>
      <c r="C829" s="30" t="str">
        <f>IFERROR(_xlfn.XLOOKUP(B829,Equipo[DESCRIPCION],Equipo[UND],,0),"")</f>
        <v/>
      </c>
      <c r="D829" s="31"/>
      <c r="E829" s="32" t="str">
        <f>IF(C829="%MO",G834,IFERROR(_xlfn.XLOOKUP($B829,Equipo[DESCRIPCION],Equipo[VALOR],,0),""))</f>
        <v/>
      </c>
      <c r="F829" s="33"/>
      <c r="G829" s="34" t="str">
        <f>IFERROR(IF(F829&gt;=0,D829*E829*(1+F829/100),ABS(D829*E829/F829)),"")</f>
        <v/>
      </c>
      <c r="H829" s="43" t="str">
        <f>IFERROR(G829*E819,"")</f>
        <v/>
      </c>
    </row>
    <row r="830" spans="1:11" ht="12.75" customHeight="1">
      <c r="A830" s="28"/>
      <c r="B830" s="29"/>
      <c r="C830" s="30" t="str">
        <f>IFERROR(_xlfn.XLOOKUP(B830,Equipo[DESCRIPCION],Equipo[UND],,0),"")</f>
        <v/>
      </c>
      <c r="D830" s="31"/>
      <c r="E830" s="32" t="str">
        <f>IF(C830="%MO",G834,IFERROR(_xlfn.XLOOKUP($B830,Equipo[DESCRIPCION],Equipo[VALOR],,0),""))</f>
        <v/>
      </c>
      <c r="F830" s="33"/>
      <c r="G830" s="34" t="str">
        <f>IFERROR(IF(F830&gt;=0,D830*E830*(1+F830/100),ABS(D830*E830/F830)),"")</f>
        <v/>
      </c>
      <c r="H830" s="43" t="str">
        <f>IFERROR(G830*E819,"")</f>
        <v/>
      </c>
    </row>
    <row r="831" spans="1:11" ht="12.75" customHeight="1">
      <c r="A831" s="21"/>
      <c r="B831" s="22" t="s">
        <v>2533</v>
      </c>
      <c r="C831" s="23"/>
      <c r="D831" s="24"/>
      <c r="E831" s="25"/>
      <c r="F831" s="26"/>
      <c r="G831" s="27">
        <f>SUM(G832:G833)</f>
        <v>0</v>
      </c>
      <c r="H831" s="44">
        <f>G831*E819</f>
        <v>0</v>
      </c>
    </row>
    <row r="832" spans="1:11" ht="12.75" customHeight="1">
      <c r="A832" s="28"/>
      <c r="B832" s="29"/>
      <c r="C832" s="30" t="str">
        <f>IFERROR(_xlfn.XLOOKUP(B832,Transporte[DESCRIPCION],Transporte[UND],,0),"")</f>
        <v/>
      </c>
      <c r="D832" s="31"/>
      <c r="E832" s="32" t="str">
        <f>IFERROR(_xlfn.XLOOKUP($B832,Transporte[DESCRIPCION],Transporte[VALOR],,0),"")</f>
        <v/>
      </c>
      <c r="F832" s="33"/>
      <c r="G832" s="34" t="str">
        <f>IFERROR(IF(F832&gt;=0,D832*E832*(1+F832/100),ABS(D832*E832/F832)),"")</f>
        <v/>
      </c>
      <c r="H832" s="43" t="str">
        <f>IFERROR(G832*E819,"")</f>
        <v/>
      </c>
    </row>
    <row r="833" spans="1:11" ht="12.75" customHeight="1">
      <c r="A833" s="28"/>
      <c r="B833" s="29"/>
      <c r="C833" s="30" t="str">
        <f>IFERROR(_xlfn.XLOOKUP(B833,Transporte[DESCRIPCION],Transporte[UND],,0),"")</f>
        <v/>
      </c>
      <c r="D833" s="31"/>
      <c r="E833" s="32" t="str">
        <f>IFERROR(_xlfn.XLOOKUP($B833,Transporte[DESCRIPCION],Transporte[VALOR],,0),"")</f>
        <v/>
      </c>
      <c r="F833" s="33"/>
      <c r="G833" s="34" t="str">
        <f>IFERROR(IF(F833&gt;=0,D833*E833*(1+F833/100),ABS(D833*E833/F833)),"")</f>
        <v/>
      </c>
      <c r="H833" s="43" t="str">
        <f>IFERROR(G833*E819,"")</f>
        <v/>
      </c>
    </row>
    <row r="834" spans="1:11" ht="12.75" customHeight="1">
      <c r="A834" s="21"/>
      <c r="B834" s="22" t="s">
        <v>3732</v>
      </c>
      <c r="C834" s="23"/>
      <c r="D834" s="24"/>
      <c r="E834" s="25"/>
      <c r="F834" s="26"/>
      <c r="G834" s="27">
        <f>SUM(G835:G837)</f>
        <v>20959.383393000004</v>
      </c>
      <c r="H834" s="44">
        <f>G834*E819</f>
        <v>0</v>
      </c>
    </row>
    <row r="835" spans="1:11" ht="12.75" customHeight="1">
      <c r="A835" s="28"/>
      <c r="B835" s="29" t="s">
        <v>3710</v>
      </c>
      <c r="C835" s="30" t="str">
        <f>IFERROR(_xlfn.XLOOKUP(B835,MObra[DESCRIPCION],MObra[UN],,0),"")</f>
        <v>día</v>
      </c>
      <c r="D835" s="31">
        <v>1</v>
      </c>
      <c r="E835" s="32">
        <f>IFERROR(_xlfn.XLOOKUP($B835,MObra[DESCRIPCION],MObra[VALOR UNIT],,0),"")</f>
        <v>314390.75089500006</v>
      </c>
      <c r="F835" s="33">
        <v>-15</v>
      </c>
      <c r="G835" s="34">
        <f>IFERROR(IF(F835&gt;=0,D835*E835*(1+F835/100),ABS(D835*E835/F835)),"")</f>
        <v>20959.383393000004</v>
      </c>
      <c r="H835" s="43">
        <f>IFERROR(G835*E819,"")</f>
        <v>0</v>
      </c>
    </row>
    <row r="836" spans="1:11" ht="12.75" customHeight="1">
      <c r="A836" s="28"/>
      <c r="B836" s="29"/>
      <c r="C836" s="30" t="str">
        <f t="array" ref="C836">IFERROR(_xlfn.XLOOKUP(B836,MObra[[#All],[DESCRIPCION]],MObra[[#All],[UN]],,0),"")</f>
        <v/>
      </c>
      <c r="D836" s="31"/>
      <c r="E836" s="32" t="str">
        <f>IFERROR(_xlfn.XLOOKUP($B836,MObra[DESCRIPCION],MObra[VALOR UNIT],,0),"")</f>
        <v/>
      </c>
      <c r="F836" s="33"/>
      <c r="G836" s="34" t="str">
        <f>IFERROR(IF(F836&gt;=0,D836*E836*(1+F836/100),ABS(D836*E836/F836)),"")</f>
        <v/>
      </c>
      <c r="H836" s="43" t="str">
        <f>IFERROR(G836*E819,"")</f>
        <v/>
      </c>
    </row>
    <row r="837" spans="1:11" ht="12.75" customHeight="1" thickBot="1">
      <c r="A837" s="35"/>
      <c r="B837" s="36"/>
      <c r="C837" s="37" t="str">
        <f t="array" ref="C837">IFERROR(_xlfn.XLOOKUP(B837,MObra[[#All],[DESCRIPCION]],MObra[[#All],[UN]],,0),"")</f>
        <v/>
      </c>
      <c r="D837" s="38"/>
      <c r="E837" s="39" t="str">
        <f>IFERROR(_xlfn.XLOOKUP($B837,MObra[DESCRIPCION],MObra[VALOR UNIT],,0),"")</f>
        <v/>
      </c>
      <c r="F837" s="40"/>
      <c r="G837" s="41" t="str">
        <f>IFERROR(IF(F837&gt;=0,D837*E837*(1+F837/100),ABS(D837*E837/F837)),"")</f>
        <v/>
      </c>
      <c r="H837" s="42" t="str">
        <f>IFERROR(G837*E819,"")</f>
        <v/>
      </c>
    </row>
    <row r="838" spans="1:11" ht="12.75" customHeight="1" thickTop="1" thickBot="1"/>
    <row r="839" spans="1:11" ht="12.75" customHeight="1" thickTop="1" thickBot="1">
      <c r="A839" s="6" t="s">
        <v>1175</v>
      </c>
      <c r="B839" s="7" t="str">
        <f>VLOOKUP($A839,Presupuesto!$A:$D,2,FALSE())</f>
        <v>Válvula de compuerta listada ul 2"</v>
      </c>
      <c r="C839" s="8" t="str">
        <f>VLOOKUP($A839,Presupuesto!$A:$D,3,FALSE())</f>
        <v>Un</v>
      </c>
      <c r="D839" s="9"/>
      <c r="E839" s="10">
        <f>VLOOKUP($A839,Presupuesto!$A:$D,4,FALSE())</f>
        <v>0</v>
      </c>
      <c r="F839" s="11" t="s">
        <v>2589</v>
      </c>
      <c r="G839" s="12">
        <f>SUM(G841:G857)/2</f>
        <v>619705.14421987499</v>
      </c>
      <c r="H839" s="13">
        <f>ROUND(SUM(H841:H857),0)/2</f>
        <v>0</v>
      </c>
      <c r="I839" s="10">
        <f>VLOOKUP(A839,Presupuesto!$A:$F,6,0)</f>
        <v>0</v>
      </c>
      <c r="J839" s="10">
        <f>+H839-I839</f>
        <v>0</v>
      </c>
      <c r="K839" s="46">
        <f>+H839-G839*E839</f>
        <v>0</v>
      </c>
    </row>
    <row r="840" spans="1:11" ht="12.75" customHeight="1" thickTop="1">
      <c r="A840" s="14"/>
      <c r="B840" s="15" t="s">
        <v>2586</v>
      </c>
      <c r="C840" s="15" t="s">
        <v>5</v>
      </c>
      <c r="D840" s="16" t="s">
        <v>6</v>
      </c>
      <c r="E840" s="17" t="s">
        <v>7</v>
      </c>
      <c r="F840" s="18" t="s">
        <v>3728</v>
      </c>
      <c r="G840" s="19" t="s">
        <v>3729</v>
      </c>
      <c r="H840" s="20" t="s">
        <v>3797</v>
      </c>
    </row>
    <row r="841" spans="1:11" ht="12.75" customHeight="1">
      <c r="A841" s="21"/>
      <c r="B841" s="22" t="s">
        <v>3730</v>
      </c>
      <c r="C841" s="23"/>
      <c r="D841" s="24"/>
      <c r="E841" s="25"/>
      <c r="F841" s="26"/>
      <c r="G841" s="27">
        <f>SUM(G842:G846)</f>
        <v>454650</v>
      </c>
      <c r="H841" s="27">
        <f>IFERROR(G841*E839,"")</f>
        <v>0</v>
      </c>
    </row>
    <row r="842" spans="1:11" ht="12.75" customHeight="1">
      <c r="A842" s="28"/>
      <c r="B842" s="29" t="s">
        <v>3527</v>
      </c>
      <c r="C842" s="30" t="str">
        <f>IFERROR(_xlfn.XLOOKUP(B842,Insumo[DESCRIPCION],Insumo[UND],,0),"")</f>
        <v>Un</v>
      </c>
      <c r="D842" s="31">
        <v>1</v>
      </c>
      <c r="E842" s="32">
        <f>IFERROR(_xlfn.XLOOKUP($B842,Insumo[DESCRIPCION],Insumo[VALOR],,0),"")</f>
        <v>454650</v>
      </c>
      <c r="F842" s="33"/>
      <c r="G842" s="34">
        <f>IFERROR(IF(F842&gt;=0,D842*E842*(1+F842/100),ABS(D842*E842/F842)),"")</f>
        <v>454650</v>
      </c>
      <c r="H842" s="43">
        <f>IFERROR(G842*E839,"")</f>
        <v>0</v>
      </c>
    </row>
    <row r="843" spans="1:11" ht="12.75" customHeight="1">
      <c r="A843" s="28"/>
      <c r="B843" s="29"/>
      <c r="C843" s="30" t="str">
        <f>IFERROR(_xlfn.XLOOKUP(B843,Insumo[DESCRIPCION],Insumo[UND],,0),"")</f>
        <v/>
      </c>
      <c r="D843" s="31"/>
      <c r="E843" s="32" t="str">
        <f>IFERROR(_xlfn.XLOOKUP($B843,Insumo[DESCRIPCION],Insumo[VALOR],,0),"")</f>
        <v/>
      </c>
      <c r="F843" s="33"/>
      <c r="G843" s="34" t="str">
        <f>IFERROR(IF(F843&gt;=0,D843*E843*(1+F843/100),ABS(D843*E843/F843)),"")</f>
        <v/>
      </c>
      <c r="H843" s="43" t="str">
        <f>IFERROR(G843*E839,"")</f>
        <v/>
      </c>
    </row>
    <row r="844" spans="1:11" ht="12.75" customHeight="1">
      <c r="A844" s="28"/>
      <c r="B844" s="29"/>
      <c r="C844" s="30" t="str">
        <f>IFERROR(_xlfn.XLOOKUP(B844,Insumo[DESCRIPCION],Insumo[UND],,0),"")</f>
        <v/>
      </c>
      <c r="D844" s="31"/>
      <c r="E844" s="32" t="str">
        <f>IFERROR(_xlfn.XLOOKUP($B844,Insumo[DESCRIPCION],Insumo[VALOR],,0),"")</f>
        <v/>
      </c>
      <c r="F844" s="33"/>
      <c r="G844" s="34" t="str">
        <f>IFERROR(IF(F844&gt;=0,D844*E844*(1+F844/100),ABS(D844*E844/F844)),"")</f>
        <v/>
      </c>
      <c r="H844" s="43" t="str">
        <f>IFERROR(G844*E839,"")</f>
        <v/>
      </c>
    </row>
    <row r="845" spans="1:11" ht="12.75" customHeight="1">
      <c r="A845" s="28"/>
      <c r="B845" s="29"/>
      <c r="C845" s="30" t="str">
        <f>IFERROR(_xlfn.XLOOKUP(B845,Insumo[DESCRIPCION],Insumo[UND],,0),"")</f>
        <v/>
      </c>
      <c r="D845" s="31"/>
      <c r="E845" s="32" t="str">
        <f>IFERROR(_xlfn.XLOOKUP($B845,Insumo[DESCRIPCION],Insumo[VALOR],,0),"")</f>
        <v/>
      </c>
      <c r="F845" s="33"/>
      <c r="G845" s="34" t="str">
        <f>IFERROR(IF(F845&gt;=0,D845*E845*(1+F845/100),ABS(D845*E845/F845)),"")</f>
        <v/>
      </c>
      <c r="H845" s="43" t="str">
        <f>IFERROR(G845*E839,"")</f>
        <v/>
      </c>
    </row>
    <row r="846" spans="1:11" ht="12.75" customHeight="1">
      <c r="A846" s="28"/>
      <c r="B846" s="29"/>
      <c r="C846" s="30" t="str">
        <f>IFERROR(_xlfn.XLOOKUP(B846,Insumo[DESCRIPCION],Insumo[UND],,0),"")</f>
        <v/>
      </c>
      <c r="D846" s="31"/>
      <c r="E846" s="32" t="str">
        <f>IFERROR(_xlfn.XLOOKUP($B846,Insumo[DESCRIPCION],Insumo[VALOR],,0),"")</f>
        <v/>
      </c>
      <c r="F846" s="33"/>
      <c r="G846" s="34" t="str">
        <f>IFERROR(IF(F846&gt;=0,D846*E846*(1+F846/100),ABS(D846*E846/F846)),"")</f>
        <v/>
      </c>
      <c r="H846" s="43" t="str">
        <f>IFERROR(G846*E839,"")</f>
        <v/>
      </c>
    </row>
    <row r="847" spans="1:11" ht="12.75" customHeight="1">
      <c r="A847" s="21"/>
      <c r="B847" s="22" t="s">
        <v>3731</v>
      </c>
      <c r="C847" s="23"/>
      <c r="D847" s="24"/>
      <c r="E847" s="25"/>
      <c r="F847" s="26"/>
      <c r="G847" s="27">
        <f>SUM(G848:G850)</f>
        <v>7859.7687723750023</v>
      </c>
      <c r="H847" s="44">
        <f>G847*E839</f>
        <v>0</v>
      </c>
    </row>
    <row r="848" spans="1:11" ht="12.75" customHeight="1">
      <c r="A848" s="28"/>
      <c r="B848" s="29" t="s">
        <v>3626</v>
      </c>
      <c r="C848" s="30" t="str">
        <f>IFERROR(_xlfn.XLOOKUP(B848,Equipo[DESCRIPCION],Equipo[UND],,0),"")</f>
        <v>%MO</v>
      </c>
      <c r="D848" s="31">
        <v>0.05</v>
      </c>
      <c r="E848" s="32">
        <f>IF(C848="%MO",G854,IFERROR(_xlfn.XLOOKUP($B848,Equipo[DESCRIPCION],Equipo[VALOR],,0),""))</f>
        <v>157195.37544750003</v>
      </c>
      <c r="F848" s="33"/>
      <c r="G848" s="34">
        <f>IFERROR(IF(F848&gt;=0,D848*E848*(1+F848/100),ABS(D848*E848/F848)),"")</f>
        <v>7859.7687723750023</v>
      </c>
      <c r="H848" s="43">
        <f>IFERROR(G848*E839,"")</f>
        <v>0</v>
      </c>
    </row>
    <row r="849" spans="1:11" ht="12.75" customHeight="1">
      <c r="A849" s="28"/>
      <c r="B849" s="29"/>
      <c r="C849" s="30" t="str">
        <f>IFERROR(_xlfn.XLOOKUP(B849,Equipo[DESCRIPCION],Equipo[UND],,0),"")</f>
        <v/>
      </c>
      <c r="D849" s="31"/>
      <c r="E849" s="32" t="str">
        <f>IF(C849="%MO",G854,IFERROR(_xlfn.XLOOKUP($B849,Equipo[DESCRIPCION],Equipo[VALOR],,0),""))</f>
        <v/>
      </c>
      <c r="F849" s="33"/>
      <c r="G849" s="34" t="str">
        <f>IFERROR(IF(F849&gt;=0,D849*E849*(1+F849/100),ABS(D849*E849/F849)),"")</f>
        <v/>
      </c>
      <c r="H849" s="43" t="str">
        <f>IFERROR(G849*E839,"")</f>
        <v/>
      </c>
    </row>
    <row r="850" spans="1:11" ht="12.75" customHeight="1">
      <c r="A850" s="28"/>
      <c r="B850" s="29"/>
      <c r="C850" s="30" t="str">
        <f>IFERROR(_xlfn.XLOOKUP(B850,Equipo[DESCRIPCION],Equipo[UND],,0),"")</f>
        <v/>
      </c>
      <c r="D850" s="31"/>
      <c r="E850" s="32" t="str">
        <f>IF(C850="%MO",G854,IFERROR(_xlfn.XLOOKUP($B850,Equipo[DESCRIPCION],Equipo[VALOR],,0),""))</f>
        <v/>
      </c>
      <c r="F850" s="33"/>
      <c r="G850" s="34" t="str">
        <f>IFERROR(IF(F850&gt;=0,D850*E850*(1+F850/100),ABS(D850*E850/F850)),"")</f>
        <v/>
      </c>
      <c r="H850" s="43" t="str">
        <f>IFERROR(G850*E839,"")</f>
        <v/>
      </c>
    </row>
    <row r="851" spans="1:11" ht="12.75" customHeight="1">
      <c r="A851" s="21"/>
      <c r="B851" s="22" t="s">
        <v>2533</v>
      </c>
      <c r="C851" s="23"/>
      <c r="D851" s="24"/>
      <c r="E851" s="25"/>
      <c r="F851" s="26"/>
      <c r="G851" s="27">
        <f>SUM(G852:G853)</f>
        <v>0</v>
      </c>
      <c r="H851" s="44">
        <f>G851*E839</f>
        <v>0</v>
      </c>
    </row>
    <row r="852" spans="1:11" ht="12.75" customHeight="1">
      <c r="A852" s="28"/>
      <c r="B852" s="29"/>
      <c r="C852" s="30" t="str">
        <f>IFERROR(_xlfn.XLOOKUP(B852,Transporte[DESCRIPCION],Transporte[UND],,0),"")</f>
        <v/>
      </c>
      <c r="D852" s="31"/>
      <c r="E852" s="32" t="str">
        <f>IFERROR(_xlfn.XLOOKUP($B852,Transporte[DESCRIPCION],Transporte[VALOR],,0),"")</f>
        <v/>
      </c>
      <c r="F852" s="33"/>
      <c r="G852" s="34" t="str">
        <f>IFERROR(IF(F852&gt;=0,D852*E852*(1+F852/100),ABS(D852*E852/F852)),"")</f>
        <v/>
      </c>
      <c r="H852" s="43" t="str">
        <f>IFERROR(G852*E839,"")</f>
        <v/>
      </c>
    </row>
    <row r="853" spans="1:11" ht="12.75" customHeight="1">
      <c r="A853" s="28"/>
      <c r="B853" s="29"/>
      <c r="C853" s="30" t="str">
        <f>IFERROR(_xlfn.XLOOKUP(B853,Transporte[DESCRIPCION],Transporte[UND],,0),"")</f>
        <v/>
      </c>
      <c r="D853" s="31"/>
      <c r="E853" s="32" t="str">
        <f>IFERROR(_xlfn.XLOOKUP($B853,Transporte[DESCRIPCION],Transporte[VALOR],,0),"")</f>
        <v/>
      </c>
      <c r="F853" s="33"/>
      <c r="G853" s="34" t="str">
        <f>IFERROR(IF(F853&gt;=0,D853*E853*(1+F853/100),ABS(D853*E853/F853)),"")</f>
        <v/>
      </c>
      <c r="H853" s="43" t="str">
        <f>IFERROR(G853*E839,"")</f>
        <v/>
      </c>
    </row>
    <row r="854" spans="1:11" ht="12.75" customHeight="1">
      <c r="A854" s="21"/>
      <c r="B854" s="22" t="s">
        <v>3732</v>
      </c>
      <c r="C854" s="23"/>
      <c r="D854" s="24"/>
      <c r="E854" s="25"/>
      <c r="F854" s="26"/>
      <c r="G854" s="27">
        <f>SUM(G855:G857)</f>
        <v>157195.37544750003</v>
      </c>
      <c r="H854" s="44">
        <f>G854*E839</f>
        <v>0</v>
      </c>
    </row>
    <row r="855" spans="1:11" ht="12.75" customHeight="1">
      <c r="A855" s="28"/>
      <c r="B855" s="29" t="s">
        <v>3710</v>
      </c>
      <c r="C855" s="30" t="str">
        <f>IFERROR(_xlfn.XLOOKUP(B855,MObra[DESCRIPCION],MObra[UN],,0),"")</f>
        <v>día</v>
      </c>
      <c r="D855" s="31">
        <v>1</v>
      </c>
      <c r="E855" s="32">
        <f>IFERROR(_xlfn.XLOOKUP($B855,MObra[DESCRIPCION],MObra[VALOR UNIT],,0),"")</f>
        <v>314390.75089500006</v>
      </c>
      <c r="F855" s="33">
        <v>-2</v>
      </c>
      <c r="G855" s="34">
        <f>IFERROR(IF(F855&gt;=0,D855*E855*(1+F855/100),ABS(D855*E855/F855)),"")</f>
        <v>157195.37544750003</v>
      </c>
      <c r="H855" s="43">
        <f>IFERROR(G855*E839,"")</f>
        <v>0</v>
      </c>
    </row>
    <row r="856" spans="1:11" ht="12.75" customHeight="1">
      <c r="A856" s="28"/>
      <c r="B856" s="29"/>
      <c r="C856" s="30" t="str">
        <f t="array" ref="C856">IFERROR(_xlfn.XLOOKUP(B856,MObra[[#All],[DESCRIPCION]],MObra[[#All],[UN]],,0),"")</f>
        <v/>
      </c>
      <c r="D856" s="31"/>
      <c r="E856" s="32" t="str">
        <f>IFERROR(_xlfn.XLOOKUP($B856,MObra[DESCRIPCION],MObra[VALOR UNIT],,0),"")</f>
        <v/>
      </c>
      <c r="F856" s="33"/>
      <c r="G856" s="34" t="str">
        <f>IFERROR(IF(F856&gt;=0,D856*E856*(1+F856/100),ABS(D856*E856/F856)),"")</f>
        <v/>
      </c>
      <c r="H856" s="43" t="str">
        <f>IFERROR(G856*E839,"")</f>
        <v/>
      </c>
    </row>
    <row r="857" spans="1:11" ht="12.75" customHeight="1" thickBot="1">
      <c r="A857" s="35"/>
      <c r="B857" s="36"/>
      <c r="C857" s="37" t="str">
        <f t="array" ref="C857">IFERROR(_xlfn.XLOOKUP(B857,MObra[[#All],[DESCRIPCION]],MObra[[#All],[UN]],,0),"")</f>
        <v/>
      </c>
      <c r="D857" s="38"/>
      <c r="E857" s="39" t="str">
        <f>IFERROR(_xlfn.XLOOKUP($B857,MObra[DESCRIPCION],MObra[VALOR UNIT],,0),"")</f>
        <v/>
      </c>
      <c r="F857" s="40"/>
      <c r="G857" s="41" t="str">
        <f>IFERROR(IF(F857&gt;=0,D857*E857*(1+F857/100),ABS(D857*E857/F857)),"")</f>
        <v/>
      </c>
      <c r="H857" s="42" t="str">
        <f>IFERROR(G857*E839,"")</f>
        <v/>
      </c>
    </row>
    <row r="858" spans="1:11" ht="12.75" customHeight="1" thickTop="1" thickBot="1"/>
    <row r="859" spans="1:11" ht="12.75" customHeight="1" thickTop="1" thickBot="1">
      <c r="A859" s="6" t="s">
        <v>1177</v>
      </c>
      <c r="B859" s="7" t="str">
        <f>VLOOKUP($A859,Presupuesto!$A:$D,2,FALSE())</f>
        <v>Válvula de compuerta listada ul 2.1/2"</v>
      </c>
      <c r="C859" s="8" t="str">
        <f>VLOOKUP($A859,Presupuesto!$A:$D,3,FALSE())</f>
        <v>Un</v>
      </c>
      <c r="D859" s="9"/>
      <c r="E859" s="10">
        <f>VLOOKUP($A859,Presupuesto!$A:$D,4,FALSE())</f>
        <v>0</v>
      </c>
      <c r="F859" s="11" t="s">
        <v>2589</v>
      </c>
      <c r="G859" s="12">
        <f>SUM(G861:G877)/2</f>
        <v>769739.6442198751</v>
      </c>
      <c r="H859" s="13">
        <f>ROUND(SUM(H861:H877),0)/2</f>
        <v>0</v>
      </c>
      <c r="I859" s="10">
        <f>VLOOKUP(A859,Presupuesto!$A:$F,6,0)</f>
        <v>0</v>
      </c>
      <c r="J859" s="10">
        <f>+H859-I859</f>
        <v>0</v>
      </c>
      <c r="K859" s="46">
        <f>+H859-G859*E859</f>
        <v>0</v>
      </c>
    </row>
    <row r="860" spans="1:11" ht="12.75" customHeight="1" thickTop="1">
      <c r="A860" s="14"/>
      <c r="B860" s="15" t="s">
        <v>2586</v>
      </c>
      <c r="C860" s="15" t="s">
        <v>5</v>
      </c>
      <c r="D860" s="16" t="s">
        <v>6</v>
      </c>
      <c r="E860" s="17" t="s">
        <v>7</v>
      </c>
      <c r="F860" s="18" t="s">
        <v>3728</v>
      </c>
      <c r="G860" s="19" t="s">
        <v>3729</v>
      </c>
      <c r="H860" s="20" t="s">
        <v>3797</v>
      </c>
    </row>
    <row r="861" spans="1:11" ht="12.75" customHeight="1">
      <c r="A861" s="21"/>
      <c r="B861" s="22" t="s">
        <v>3730</v>
      </c>
      <c r="C861" s="23"/>
      <c r="D861" s="24"/>
      <c r="E861" s="25"/>
      <c r="F861" s="26"/>
      <c r="G861" s="27">
        <f>SUM(G862:G866)</f>
        <v>604684.5</v>
      </c>
      <c r="H861" s="27">
        <f>IFERROR(G861*E859,"")</f>
        <v>0</v>
      </c>
    </row>
    <row r="862" spans="1:11" ht="12.75" customHeight="1">
      <c r="A862" s="28"/>
      <c r="B862" s="29" t="s">
        <v>3526</v>
      </c>
      <c r="C862" s="30" t="str">
        <f>IFERROR(_xlfn.XLOOKUP(B862,Insumo[DESCRIPCION],Insumo[UND],,0),"")</f>
        <v>Un</v>
      </c>
      <c r="D862" s="31">
        <v>1</v>
      </c>
      <c r="E862" s="32">
        <f>IFERROR(_xlfn.XLOOKUP($B862,Insumo[DESCRIPCION],Insumo[VALOR],,0),"")</f>
        <v>604684.5</v>
      </c>
      <c r="F862" s="33"/>
      <c r="G862" s="34">
        <f>IFERROR(IF(F862&gt;=0,D862*E862*(1+F862/100),ABS(D862*E862/F862)),"")</f>
        <v>604684.5</v>
      </c>
      <c r="H862" s="43">
        <f>IFERROR(G862*E859,"")</f>
        <v>0</v>
      </c>
    </row>
    <row r="863" spans="1:11" ht="12.75" customHeight="1">
      <c r="A863" s="28"/>
      <c r="B863" s="29"/>
      <c r="C863" s="30" t="str">
        <f>IFERROR(_xlfn.XLOOKUP(B863,Insumo[DESCRIPCION],Insumo[UND],,0),"")</f>
        <v/>
      </c>
      <c r="D863" s="31"/>
      <c r="E863" s="32" t="str">
        <f>IFERROR(_xlfn.XLOOKUP($B863,Insumo[DESCRIPCION],Insumo[VALOR],,0),"")</f>
        <v/>
      </c>
      <c r="F863" s="33"/>
      <c r="G863" s="34" t="str">
        <f>IFERROR(IF(F863&gt;=0,D863*E863*(1+F863/100),ABS(D863*E863/F863)),"")</f>
        <v/>
      </c>
      <c r="H863" s="43" t="str">
        <f>IFERROR(G863*E859,"")</f>
        <v/>
      </c>
    </row>
    <row r="864" spans="1:11" ht="12.75" customHeight="1">
      <c r="A864" s="28"/>
      <c r="B864" s="29"/>
      <c r="C864" s="30" t="str">
        <f>IFERROR(_xlfn.XLOOKUP(B864,Insumo[DESCRIPCION],Insumo[UND],,0),"")</f>
        <v/>
      </c>
      <c r="D864" s="31"/>
      <c r="E864" s="32" t="str">
        <f>IFERROR(_xlfn.XLOOKUP($B864,Insumo[DESCRIPCION],Insumo[VALOR],,0),"")</f>
        <v/>
      </c>
      <c r="F864" s="33"/>
      <c r="G864" s="34" t="str">
        <f>IFERROR(IF(F864&gt;=0,D864*E864*(1+F864/100),ABS(D864*E864/F864)),"")</f>
        <v/>
      </c>
      <c r="H864" s="43" t="str">
        <f>IFERROR(G864*E859,"")</f>
        <v/>
      </c>
    </row>
    <row r="865" spans="1:11" ht="12.75" customHeight="1">
      <c r="A865" s="28"/>
      <c r="B865" s="29"/>
      <c r="C865" s="30" t="str">
        <f>IFERROR(_xlfn.XLOOKUP(B865,Insumo[DESCRIPCION],Insumo[UND],,0),"")</f>
        <v/>
      </c>
      <c r="D865" s="31"/>
      <c r="E865" s="32" t="str">
        <f>IFERROR(_xlfn.XLOOKUP($B865,Insumo[DESCRIPCION],Insumo[VALOR],,0),"")</f>
        <v/>
      </c>
      <c r="F865" s="33"/>
      <c r="G865" s="34" t="str">
        <f>IFERROR(IF(F865&gt;=0,D865*E865*(1+F865/100),ABS(D865*E865/F865)),"")</f>
        <v/>
      </c>
      <c r="H865" s="43" t="str">
        <f>IFERROR(G865*E859,"")</f>
        <v/>
      </c>
    </row>
    <row r="866" spans="1:11" ht="12.75" customHeight="1">
      <c r="A866" s="28"/>
      <c r="B866" s="29"/>
      <c r="C866" s="30" t="str">
        <f>IFERROR(_xlfn.XLOOKUP(B866,Insumo[DESCRIPCION],Insumo[UND],,0),"")</f>
        <v/>
      </c>
      <c r="D866" s="31"/>
      <c r="E866" s="32" t="str">
        <f>IFERROR(_xlfn.XLOOKUP($B866,Insumo[DESCRIPCION],Insumo[VALOR],,0),"")</f>
        <v/>
      </c>
      <c r="F866" s="33"/>
      <c r="G866" s="34" t="str">
        <f>IFERROR(IF(F866&gt;=0,D866*E866*(1+F866/100),ABS(D866*E866/F866)),"")</f>
        <v/>
      </c>
      <c r="H866" s="43" t="str">
        <f>IFERROR(G866*E859,"")</f>
        <v/>
      </c>
    </row>
    <row r="867" spans="1:11" ht="12.75" customHeight="1">
      <c r="A867" s="21"/>
      <c r="B867" s="22" t="s">
        <v>3731</v>
      </c>
      <c r="C867" s="23"/>
      <c r="D867" s="24"/>
      <c r="E867" s="25"/>
      <c r="F867" s="26"/>
      <c r="G867" s="27">
        <f>SUM(G868:G870)</f>
        <v>7859.7687723750023</v>
      </c>
      <c r="H867" s="44">
        <f>G867*E859</f>
        <v>0</v>
      </c>
    </row>
    <row r="868" spans="1:11" ht="12.75" customHeight="1">
      <c r="A868" s="28"/>
      <c r="B868" s="29" t="s">
        <v>3626</v>
      </c>
      <c r="C868" s="30" t="str">
        <f>IFERROR(_xlfn.XLOOKUP(B868,Equipo[DESCRIPCION],Equipo[UND],,0),"")</f>
        <v>%MO</v>
      </c>
      <c r="D868" s="31">
        <v>0.05</v>
      </c>
      <c r="E868" s="32">
        <f>IF(C868="%MO",G874,IFERROR(_xlfn.XLOOKUP($B868,Equipo[DESCRIPCION],Equipo[VALOR],,0),""))</f>
        <v>157195.37544750003</v>
      </c>
      <c r="F868" s="33"/>
      <c r="G868" s="34">
        <f>IFERROR(IF(F868&gt;=0,D868*E868*(1+F868/100),ABS(D868*E868/F868)),"")</f>
        <v>7859.7687723750023</v>
      </c>
      <c r="H868" s="43">
        <f>IFERROR(G868*E859,"")</f>
        <v>0</v>
      </c>
    </row>
    <row r="869" spans="1:11" ht="12.75" customHeight="1">
      <c r="A869" s="28"/>
      <c r="B869" s="29"/>
      <c r="C869" s="30" t="str">
        <f>IFERROR(_xlfn.XLOOKUP(B869,Equipo[DESCRIPCION],Equipo[UND],,0),"")</f>
        <v/>
      </c>
      <c r="D869" s="31"/>
      <c r="E869" s="32" t="str">
        <f>IF(C869="%MO",G874,IFERROR(_xlfn.XLOOKUP($B869,Equipo[DESCRIPCION],Equipo[VALOR],,0),""))</f>
        <v/>
      </c>
      <c r="F869" s="33"/>
      <c r="G869" s="34" t="str">
        <f>IFERROR(IF(F869&gt;=0,D869*E869*(1+F869/100),ABS(D869*E869/F869)),"")</f>
        <v/>
      </c>
      <c r="H869" s="43" t="str">
        <f>IFERROR(G869*E859,"")</f>
        <v/>
      </c>
    </row>
    <row r="870" spans="1:11" ht="12.75" customHeight="1">
      <c r="A870" s="28"/>
      <c r="B870" s="29"/>
      <c r="C870" s="30" t="str">
        <f>IFERROR(_xlfn.XLOOKUP(B870,Equipo[DESCRIPCION],Equipo[UND],,0),"")</f>
        <v/>
      </c>
      <c r="D870" s="31"/>
      <c r="E870" s="32" t="str">
        <f>IF(C870="%MO",G874,IFERROR(_xlfn.XLOOKUP($B870,Equipo[DESCRIPCION],Equipo[VALOR],,0),""))</f>
        <v/>
      </c>
      <c r="F870" s="33"/>
      <c r="G870" s="34" t="str">
        <f>IFERROR(IF(F870&gt;=0,D870*E870*(1+F870/100),ABS(D870*E870/F870)),"")</f>
        <v/>
      </c>
      <c r="H870" s="43" t="str">
        <f>IFERROR(G870*E859,"")</f>
        <v/>
      </c>
    </row>
    <row r="871" spans="1:11" ht="12.75" customHeight="1">
      <c r="A871" s="21"/>
      <c r="B871" s="22" t="s">
        <v>2533</v>
      </c>
      <c r="C871" s="23"/>
      <c r="D871" s="24"/>
      <c r="E871" s="25"/>
      <c r="F871" s="26"/>
      <c r="G871" s="27">
        <f>SUM(G872:G873)</f>
        <v>0</v>
      </c>
      <c r="H871" s="44">
        <f>G871*E859</f>
        <v>0</v>
      </c>
    </row>
    <row r="872" spans="1:11" ht="12.75" customHeight="1">
      <c r="A872" s="28"/>
      <c r="B872" s="29"/>
      <c r="C872" s="30" t="str">
        <f>IFERROR(_xlfn.XLOOKUP(B872,Transporte[DESCRIPCION],Transporte[UND],,0),"")</f>
        <v/>
      </c>
      <c r="D872" s="31"/>
      <c r="E872" s="32" t="str">
        <f>IFERROR(_xlfn.XLOOKUP($B872,Transporte[DESCRIPCION],Transporte[VALOR],,0),"")</f>
        <v/>
      </c>
      <c r="F872" s="33"/>
      <c r="G872" s="34" t="str">
        <f>IFERROR(IF(F872&gt;=0,D872*E872*(1+F872/100),ABS(D872*E872/F872)),"")</f>
        <v/>
      </c>
      <c r="H872" s="43" t="str">
        <f>IFERROR(G872*E859,"")</f>
        <v/>
      </c>
    </row>
    <row r="873" spans="1:11" ht="12.75" customHeight="1">
      <c r="A873" s="28"/>
      <c r="B873" s="29"/>
      <c r="C873" s="30" t="str">
        <f>IFERROR(_xlfn.XLOOKUP(B873,Transporte[DESCRIPCION],Transporte[UND],,0),"")</f>
        <v/>
      </c>
      <c r="D873" s="31"/>
      <c r="E873" s="32" t="str">
        <f>IFERROR(_xlfn.XLOOKUP($B873,Transporte[DESCRIPCION],Transporte[VALOR],,0),"")</f>
        <v/>
      </c>
      <c r="F873" s="33"/>
      <c r="G873" s="34" t="str">
        <f>IFERROR(IF(F873&gt;=0,D873*E873*(1+F873/100),ABS(D873*E873/F873)),"")</f>
        <v/>
      </c>
      <c r="H873" s="43" t="str">
        <f>IFERROR(G873*E859,"")</f>
        <v/>
      </c>
    </row>
    <row r="874" spans="1:11" ht="12.75" customHeight="1">
      <c r="A874" s="21"/>
      <c r="B874" s="22" t="s">
        <v>3732</v>
      </c>
      <c r="C874" s="23"/>
      <c r="D874" s="24"/>
      <c r="E874" s="25"/>
      <c r="F874" s="26"/>
      <c r="G874" s="27">
        <f>SUM(G875:G877)</f>
        <v>157195.37544750003</v>
      </c>
      <c r="H874" s="44">
        <f>G874*E859</f>
        <v>0</v>
      </c>
    </row>
    <row r="875" spans="1:11" ht="12.75" customHeight="1">
      <c r="A875" s="28"/>
      <c r="B875" s="29" t="s">
        <v>3710</v>
      </c>
      <c r="C875" s="30" t="str">
        <f>IFERROR(_xlfn.XLOOKUP(B875,MObra[DESCRIPCION],MObra[UN],,0),"")</f>
        <v>día</v>
      </c>
      <c r="D875" s="31">
        <v>1</v>
      </c>
      <c r="E875" s="32">
        <f>IFERROR(_xlfn.XLOOKUP($B875,MObra[DESCRIPCION],MObra[VALOR UNIT],,0),"")</f>
        <v>314390.75089500006</v>
      </c>
      <c r="F875" s="33">
        <v>-2</v>
      </c>
      <c r="G875" s="34">
        <f>IFERROR(IF(F875&gt;=0,D875*E875*(1+F875/100),ABS(D875*E875/F875)),"")</f>
        <v>157195.37544750003</v>
      </c>
      <c r="H875" s="43">
        <f>IFERROR(G875*E859,"")</f>
        <v>0</v>
      </c>
    </row>
    <row r="876" spans="1:11" ht="12.75" customHeight="1">
      <c r="A876" s="28"/>
      <c r="B876" s="29"/>
      <c r="C876" s="30" t="str">
        <f t="array" ref="C876">IFERROR(_xlfn.XLOOKUP(B876,MObra[[#All],[DESCRIPCION]],MObra[[#All],[UN]],,0),"")</f>
        <v/>
      </c>
      <c r="D876" s="31"/>
      <c r="E876" s="32" t="str">
        <f>IFERROR(_xlfn.XLOOKUP($B876,MObra[DESCRIPCION],MObra[VALOR UNIT],,0),"")</f>
        <v/>
      </c>
      <c r="F876" s="33"/>
      <c r="G876" s="34" t="str">
        <f>IFERROR(IF(F876&gt;=0,D876*E876*(1+F876/100),ABS(D876*E876/F876)),"")</f>
        <v/>
      </c>
      <c r="H876" s="43" t="str">
        <f>IFERROR(G876*E859,"")</f>
        <v/>
      </c>
    </row>
    <row r="877" spans="1:11" ht="12.75" customHeight="1" thickBot="1">
      <c r="A877" s="35"/>
      <c r="B877" s="36"/>
      <c r="C877" s="37" t="str">
        <f t="array" ref="C877">IFERROR(_xlfn.XLOOKUP(B877,MObra[[#All],[DESCRIPCION]],MObra[[#All],[UN]],,0),"")</f>
        <v/>
      </c>
      <c r="D877" s="38"/>
      <c r="E877" s="39" t="str">
        <f>IFERROR(_xlfn.XLOOKUP($B877,MObra[DESCRIPCION],MObra[VALOR UNIT],,0),"")</f>
        <v/>
      </c>
      <c r="F877" s="40"/>
      <c r="G877" s="41" t="str">
        <f>IFERROR(IF(F877&gt;=0,D877*E877*(1+F877/100),ABS(D877*E877/F877)),"")</f>
        <v/>
      </c>
      <c r="H877" s="42" t="str">
        <f>IFERROR(G877*E859,"")</f>
        <v/>
      </c>
    </row>
    <row r="878" spans="1:11" ht="12.75" customHeight="1" thickTop="1" thickBot="1"/>
    <row r="879" spans="1:11" ht="12.75" customHeight="1" thickTop="1" thickBot="1">
      <c r="A879" s="6" t="s">
        <v>1179</v>
      </c>
      <c r="B879" s="7" t="str">
        <f>VLOOKUP($A879,Presupuesto!$A:$D,2,FALSE())</f>
        <v>Válvula en ángulo 1 1/4"</v>
      </c>
      <c r="C879" s="8" t="str">
        <f>VLOOKUP($A879,Presupuesto!$A:$D,3,FALSE())</f>
        <v>Un</v>
      </c>
      <c r="D879" s="9"/>
      <c r="E879" s="10">
        <f>VLOOKUP($A879,Presupuesto!$A:$D,4,FALSE())</f>
        <v>0</v>
      </c>
      <c r="F879" s="11" t="s">
        <v>2589</v>
      </c>
      <c r="G879" s="12">
        <f>SUM(G881:G897)/2</f>
        <v>546174.93571987492</v>
      </c>
      <c r="H879" s="13">
        <f>ROUND(SUM(H881:H897),0)/2</f>
        <v>0</v>
      </c>
      <c r="I879" s="10">
        <f>VLOOKUP(A879,Presupuesto!$A:$F,6,0)</f>
        <v>0</v>
      </c>
      <c r="J879" s="10">
        <f>+H879-I879</f>
        <v>0</v>
      </c>
      <c r="K879" s="46">
        <f>+H879-G879*E879</f>
        <v>0</v>
      </c>
    </row>
    <row r="880" spans="1:11" ht="12.75" customHeight="1" thickTop="1">
      <c r="A880" s="14"/>
      <c r="B880" s="15" t="s">
        <v>2586</v>
      </c>
      <c r="C880" s="15" t="s">
        <v>5</v>
      </c>
      <c r="D880" s="16" t="s">
        <v>6</v>
      </c>
      <c r="E880" s="17" t="s">
        <v>7</v>
      </c>
      <c r="F880" s="18" t="s">
        <v>3728</v>
      </c>
      <c r="G880" s="19" t="s">
        <v>3729</v>
      </c>
      <c r="H880" s="20" t="s">
        <v>3797</v>
      </c>
    </row>
    <row r="881" spans="1:8" ht="12.75" customHeight="1">
      <c r="A881" s="21"/>
      <c r="B881" s="22" t="s">
        <v>3730</v>
      </c>
      <c r="C881" s="23"/>
      <c r="D881" s="24"/>
      <c r="E881" s="25"/>
      <c r="F881" s="26"/>
      <c r="G881" s="27">
        <f>SUM(G882:G886)</f>
        <v>381119.79150000005</v>
      </c>
      <c r="H881" s="27">
        <f>IFERROR(G881*E879,"")</f>
        <v>0</v>
      </c>
    </row>
    <row r="882" spans="1:8" ht="12.75" customHeight="1">
      <c r="A882" s="28"/>
      <c r="B882" s="29" t="s">
        <v>3525</v>
      </c>
      <c r="C882" s="30" t="str">
        <f>IFERROR(_xlfn.XLOOKUP(B882,Insumo[DESCRIPCION],Insumo[UND],,0),"")</f>
        <v>Un</v>
      </c>
      <c r="D882" s="31">
        <v>1</v>
      </c>
      <c r="E882" s="32">
        <f>IFERROR(_xlfn.XLOOKUP($B882,Insumo[DESCRIPCION],Insumo[VALOR],,0),"")</f>
        <v>378496.65</v>
      </c>
      <c r="F882" s="33"/>
      <c r="G882" s="34">
        <f>IFERROR(IF(F882&gt;=0,D882*E882*(1+F882/100),ABS(D882*E882/F882)),"")</f>
        <v>378496.65</v>
      </c>
      <c r="H882" s="43">
        <f>IFERROR(G882*E879,"")</f>
        <v>0</v>
      </c>
    </row>
    <row r="883" spans="1:8" ht="12.75" customHeight="1">
      <c r="A883" s="28"/>
      <c r="B883" s="29" t="s">
        <v>3282</v>
      </c>
      <c r="C883" s="30" t="str">
        <f>IFERROR(_xlfn.XLOOKUP(B883,Insumo[DESCRIPCION],Insumo[UND],,0),"")</f>
        <v>Un</v>
      </c>
      <c r="D883" s="31">
        <v>0.01</v>
      </c>
      <c r="E883" s="32">
        <f>IFERROR(_xlfn.XLOOKUP($B883,Insumo[DESCRIPCION],Insumo[VALOR],,0),"")</f>
        <v>260951.25</v>
      </c>
      <c r="F883" s="33"/>
      <c r="G883" s="34">
        <f>IFERROR(IF(F883&gt;=0,D883*E883*(1+F883/100),ABS(D883*E883/F883)),"")</f>
        <v>2609.5125000000003</v>
      </c>
      <c r="H883" s="43">
        <f>IFERROR(G883*E879,"")</f>
        <v>0</v>
      </c>
    </row>
    <row r="884" spans="1:8" ht="12.75" customHeight="1">
      <c r="A884" s="28"/>
      <c r="B884" s="29" t="s">
        <v>2847</v>
      </c>
      <c r="C884" s="30" t="str">
        <f>IFERROR(_xlfn.XLOOKUP(B884,Insumo[DESCRIPCION],Insumo[UND],,0),"")</f>
        <v>Un</v>
      </c>
      <c r="D884" s="31">
        <v>0.01</v>
      </c>
      <c r="E884" s="32">
        <f>IFERROR(_xlfn.XLOOKUP($B884,Insumo[DESCRIPCION],Insumo[VALOR],,0),"")</f>
        <v>1362.9</v>
      </c>
      <c r="F884" s="33"/>
      <c r="G884" s="34">
        <f>IFERROR(IF(F884&gt;=0,D884*E884*(1+F884/100),ABS(D884*E884/F884)),"")</f>
        <v>13.629000000000001</v>
      </c>
      <c r="H884" s="43">
        <f>IFERROR(G884*E879,"")</f>
        <v>0</v>
      </c>
    </row>
    <row r="885" spans="1:8" ht="12.75" customHeight="1">
      <c r="A885" s="28"/>
      <c r="B885" s="29"/>
      <c r="C885" s="30" t="str">
        <f>IFERROR(_xlfn.XLOOKUP(B885,Insumo[DESCRIPCION],Insumo[UND],,0),"")</f>
        <v/>
      </c>
      <c r="D885" s="31"/>
      <c r="E885" s="32" t="str">
        <f>IFERROR(_xlfn.XLOOKUP($B885,Insumo[DESCRIPCION],Insumo[VALOR],,0),"")</f>
        <v/>
      </c>
      <c r="F885" s="33"/>
      <c r="G885" s="34" t="str">
        <f>IFERROR(IF(F885&gt;=0,D885*E885*(1+F885/100),ABS(D885*E885/F885)),"")</f>
        <v/>
      </c>
      <c r="H885" s="43" t="str">
        <f>IFERROR(G885*E879,"")</f>
        <v/>
      </c>
    </row>
    <row r="886" spans="1:8" ht="12.75" customHeight="1">
      <c r="A886" s="28"/>
      <c r="B886" s="29"/>
      <c r="C886" s="30" t="str">
        <f>IFERROR(_xlfn.XLOOKUP(B886,Insumo[DESCRIPCION],Insumo[UND],,0),"")</f>
        <v/>
      </c>
      <c r="D886" s="31"/>
      <c r="E886" s="32" t="str">
        <f>IFERROR(_xlfn.XLOOKUP($B886,Insumo[DESCRIPCION],Insumo[VALOR],,0),"")</f>
        <v/>
      </c>
      <c r="F886" s="33"/>
      <c r="G886" s="34" t="str">
        <f>IFERROR(IF(F886&gt;=0,D886*E886*(1+F886/100),ABS(D886*E886/F886)),"")</f>
        <v/>
      </c>
      <c r="H886" s="43" t="str">
        <f>IFERROR(G886*E879,"")</f>
        <v/>
      </c>
    </row>
    <row r="887" spans="1:8" ht="12.75" customHeight="1">
      <c r="A887" s="21"/>
      <c r="B887" s="22" t="s">
        <v>3731</v>
      </c>
      <c r="C887" s="23"/>
      <c r="D887" s="24"/>
      <c r="E887" s="25"/>
      <c r="F887" s="26"/>
      <c r="G887" s="27">
        <f>SUM(G888:G890)</f>
        <v>7859.7687723750023</v>
      </c>
      <c r="H887" s="44">
        <f>G887*E879</f>
        <v>0</v>
      </c>
    </row>
    <row r="888" spans="1:8" ht="12.75" customHeight="1">
      <c r="A888" s="28"/>
      <c r="B888" s="29" t="s">
        <v>3626</v>
      </c>
      <c r="C888" s="30" t="str">
        <f>IFERROR(_xlfn.XLOOKUP(B888,Equipo[DESCRIPCION],Equipo[UND],,0),"")</f>
        <v>%MO</v>
      </c>
      <c r="D888" s="31">
        <v>0.05</v>
      </c>
      <c r="E888" s="32">
        <f>IF(C888="%MO",G894,IFERROR(_xlfn.XLOOKUP($B888,Equipo[DESCRIPCION],Equipo[VALOR],,0),""))</f>
        <v>157195.37544750003</v>
      </c>
      <c r="F888" s="33"/>
      <c r="G888" s="34">
        <f>IFERROR(IF(F888&gt;=0,D888*E888*(1+F888/100),ABS(D888*E888/F888)),"")</f>
        <v>7859.7687723750023</v>
      </c>
      <c r="H888" s="43">
        <f>IFERROR(G888*E879,"")</f>
        <v>0</v>
      </c>
    </row>
    <row r="889" spans="1:8" ht="12.75" customHeight="1">
      <c r="A889" s="28"/>
      <c r="B889" s="29"/>
      <c r="C889" s="30" t="str">
        <f>IFERROR(_xlfn.XLOOKUP(B889,Equipo[DESCRIPCION],Equipo[UND],,0),"")</f>
        <v/>
      </c>
      <c r="D889" s="31"/>
      <c r="E889" s="32" t="str">
        <f>IF(C889="%MO",G894,IFERROR(_xlfn.XLOOKUP($B889,Equipo[DESCRIPCION],Equipo[VALOR],,0),""))</f>
        <v/>
      </c>
      <c r="F889" s="33"/>
      <c r="G889" s="34" t="str">
        <f>IFERROR(IF(F889&gt;=0,D889*E889*(1+F889/100),ABS(D889*E889/F889)),"")</f>
        <v/>
      </c>
      <c r="H889" s="43" t="str">
        <f>IFERROR(G889*E879,"")</f>
        <v/>
      </c>
    </row>
    <row r="890" spans="1:8" ht="12.75" customHeight="1">
      <c r="A890" s="28"/>
      <c r="B890" s="29"/>
      <c r="C890" s="30" t="str">
        <f>IFERROR(_xlfn.XLOOKUP(B890,Equipo[DESCRIPCION],Equipo[UND],,0),"")</f>
        <v/>
      </c>
      <c r="D890" s="31"/>
      <c r="E890" s="32" t="str">
        <f>IF(C890="%MO",G894,IFERROR(_xlfn.XLOOKUP($B890,Equipo[DESCRIPCION],Equipo[VALOR],,0),""))</f>
        <v/>
      </c>
      <c r="F890" s="33"/>
      <c r="G890" s="34" t="str">
        <f>IFERROR(IF(F890&gt;=0,D890*E890*(1+F890/100),ABS(D890*E890/F890)),"")</f>
        <v/>
      </c>
      <c r="H890" s="43" t="str">
        <f>IFERROR(G890*E879,"")</f>
        <v/>
      </c>
    </row>
    <row r="891" spans="1:8" ht="12.75" customHeight="1">
      <c r="A891" s="21"/>
      <c r="B891" s="22" t="s">
        <v>2533</v>
      </c>
      <c r="C891" s="23"/>
      <c r="D891" s="24"/>
      <c r="E891" s="25"/>
      <c r="F891" s="26"/>
      <c r="G891" s="27">
        <f>SUM(G892:G893)</f>
        <v>0</v>
      </c>
      <c r="H891" s="44">
        <f>G891*E879</f>
        <v>0</v>
      </c>
    </row>
    <row r="892" spans="1:8" ht="12.75" customHeight="1">
      <c r="A892" s="28"/>
      <c r="B892" s="29"/>
      <c r="C892" s="30" t="str">
        <f>IFERROR(_xlfn.XLOOKUP(B892,Transporte[DESCRIPCION],Transporte[UND],,0),"")</f>
        <v/>
      </c>
      <c r="D892" s="31"/>
      <c r="E892" s="32" t="str">
        <f>IFERROR(_xlfn.XLOOKUP($B892,Transporte[DESCRIPCION],Transporte[VALOR],,0),"")</f>
        <v/>
      </c>
      <c r="F892" s="33"/>
      <c r="G892" s="34" t="str">
        <f>IFERROR(IF(F892&gt;=0,D892*E892*(1+F892/100),ABS(D892*E892/F892)),"")</f>
        <v/>
      </c>
      <c r="H892" s="43" t="str">
        <f>IFERROR(G892*E879,"")</f>
        <v/>
      </c>
    </row>
    <row r="893" spans="1:8" ht="12.75" customHeight="1">
      <c r="A893" s="28"/>
      <c r="B893" s="29"/>
      <c r="C893" s="30" t="str">
        <f>IFERROR(_xlfn.XLOOKUP(B893,Transporte[DESCRIPCION],Transporte[UND],,0),"")</f>
        <v/>
      </c>
      <c r="D893" s="31"/>
      <c r="E893" s="32" t="str">
        <f>IFERROR(_xlfn.XLOOKUP($B893,Transporte[DESCRIPCION],Transporte[VALOR],,0),"")</f>
        <v/>
      </c>
      <c r="F893" s="33"/>
      <c r="G893" s="34" t="str">
        <f>IFERROR(IF(F893&gt;=0,D893*E893*(1+F893/100),ABS(D893*E893/F893)),"")</f>
        <v/>
      </c>
      <c r="H893" s="43" t="str">
        <f>IFERROR(G893*E879,"")</f>
        <v/>
      </c>
    </row>
    <row r="894" spans="1:8" ht="12.75" customHeight="1">
      <c r="A894" s="21"/>
      <c r="B894" s="22" t="s">
        <v>3732</v>
      </c>
      <c r="C894" s="23"/>
      <c r="D894" s="24"/>
      <c r="E894" s="25"/>
      <c r="F894" s="26"/>
      <c r="G894" s="27">
        <f>SUM(G895:G897)</f>
        <v>157195.37544750003</v>
      </c>
      <c r="H894" s="44">
        <f>G894*E879</f>
        <v>0</v>
      </c>
    </row>
    <row r="895" spans="1:8" ht="12.75" customHeight="1">
      <c r="A895" s="28"/>
      <c r="B895" s="29" t="s">
        <v>3710</v>
      </c>
      <c r="C895" s="30" t="str">
        <f>IFERROR(_xlfn.XLOOKUP(B895,MObra[DESCRIPCION],MObra[UN],,0),"")</f>
        <v>día</v>
      </c>
      <c r="D895" s="31">
        <v>1</v>
      </c>
      <c r="E895" s="32">
        <f>IFERROR(_xlfn.XLOOKUP($B895,MObra[DESCRIPCION],MObra[VALOR UNIT],,0),"")</f>
        <v>314390.75089500006</v>
      </c>
      <c r="F895" s="33">
        <v>-2</v>
      </c>
      <c r="G895" s="34">
        <f>IFERROR(IF(F895&gt;=0,D895*E895*(1+F895/100),ABS(D895*E895/F895)),"")</f>
        <v>157195.37544750003</v>
      </c>
      <c r="H895" s="43">
        <f>IFERROR(G895*E879,"")</f>
        <v>0</v>
      </c>
    </row>
    <row r="896" spans="1:8" ht="12.75" customHeight="1">
      <c r="A896" s="28"/>
      <c r="B896" s="29"/>
      <c r="C896" s="30" t="str">
        <f t="array" ref="C896">IFERROR(_xlfn.XLOOKUP(B896,MObra[[#All],[DESCRIPCION]],MObra[[#All],[UN]],,0),"")</f>
        <v/>
      </c>
      <c r="D896" s="31"/>
      <c r="E896" s="32" t="str">
        <f>IFERROR(_xlfn.XLOOKUP($B896,MObra[DESCRIPCION],MObra[VALOR UNIT],,0),"")</f>
        <v/>
      </c>
      <c r="F896" s="33"/>
      <c r="G896" s="34" t="str">
        <f>IFERROR(IF(F896&gt;=0,D896*E896*(1+F896/100),ABS(D896*E896/F896)),"")</f>
        <v/>
      </c>
      <c r="H896" s="43" t="str">
        <f>IFERROR(G896*E879,"")</f>
        <v/>
      </c>
    </row>
    <row r="897" spans="1:11" ht="12.75" customHeight="1" thickBot="1">
      <c r="A897" s="35"/>
      <c r="B897" s="36"/>
      <c r="C897" s="37" t="str">
        <f t="array" ref="C897">IFERROR(_xlfn.XLOOKUP(B897,MObra[[#All],[DESCRIPCION]],MObra[[#All],[UN]],,0),"")</f>
        <v/>
      </c>
      <c r="D897" s="38"/>
      <c r="E897" s="39" t="str">
        <f>IFERROR(_xlfn.XLOOKUP($B897,MObra[DESCRIPCION],MObra[VALOR UNIT],,0),"")</f>
        <v/>
      </c>
      <c r="F897" s="40"/>
      <c r="G897" s="41" t="str">
        <f>IFERROR(IF(F897&gt;=0,D897*E897*(1+F897/100),ABS(D897*E897/F897)),"")</f>
        <v/>
      </c>
      <c r="H897" s="42" t="str">
        <f>IFERROR(G897*E879,"")</f>
        <v/>
      </c>
    </row>
    <row r="898" spans="1:11" ht="12.75" customHeight="1" thickTop="1" thickBot="1"/>
    <row r="899" spans="1:11" ht="12.75" customHeight="1" thickTop="1" thickBot="1">
      <c r="A899" s="6" t="s">
        <v>1183</v>
      </c>
      <c r="B899" s="7" t="str">
        <f>VLOOKUP($A899,Presupuesto!$A:$D,2,FALSE())</f>
        <v>Caballete articulado teja ondulada tipo española</v>
      </c>
      <c r="C899" s="8" t="str">
        <f>VLOOKUP($A899,Presupuesto!$A:$D,3,FALSE())</f>
        <v>M</v>
      </c>
      <c r="D899" s="9"/>
      <c r="E899" s="10">
        <f>VLOOKUP($A899,Presupuesto!$A:$D,4,FALSE())</f>
        <v>0</v>
      </c>
      <c r="F899" s="11" t="s">
        <v>2589</v>
      </c>
      <c r="G899" s="12">
        <f>SUM(G901:G917)/2</f>
        <v>69749.144176462505</v>
      </c>
      <c r="H899" s="13">
        <f>ROUND(SUM(H901:H917),0)/2</f>
        <v>0</v>
      </c>
      <c r="I899" s="10">
        <f>VLOOKUP(A899,Presupuesto!$A:$F,6,0)</f>
        <v>0</v>
      </c>
      <c r="J899" s="10">
        <f>+H899-I899</f>
        <v>0</v>
      </c>
      <c r="K899" s="46">
        <f>+H899-G899*E899</f>
        <v>0</v>
      </c>
    </row>
    <row r="900" spans="1:11" ht="12.75" customHeight="1" thickTop="1">
      <c r="A900" s="14"/>
      <c r="B900" s="15" t="s">
        <v>2586</v>
      </c>
      <c r="C900" s="15" t="s">
        <v>5</v>
      </c>
      <c r="D900" s="16" t="s">
        <v>6</v>
      </c>
      <c r="E900" s="17" t="s">
        <v>7</v>
      </c>
      <c r="F900" s="18" t="s">
        <v>3728</v>
      </c>
      <c r="G900" s="19" t="s">
        <v>3729</v>
      </c>
      <c r="H900" s="20" t="s">
        <v>3797</v>
      </c>
    </row>
    <row r="901" spans="1:11" ht="12.75" customHeight="1">
      <c r="A901" s="21"/>
      <c r="B901" s="22" t="s">
        <v>3730</v>
      </c>
      <c r="C901" s="23"/>
      <c r="D901" s="24"/>
      <c r="E901" s="25"/>
      <c r="F901" s="26"/>
      <c r="G901" s="27">
        <f>SUM(G902:G906)</f>
        <v>51671.675999999999</v>
      </c>
      <c r="H901" s="27">
        <f>IFERROR(G901*E899,"")</f>
        <v>0</v>
      </c>
    </row>
    <row r="902" spans="1:11" ht="12.75" customHeight="1">
      <c r="A902" s="28"/>
      <c r="B902" s="29" t="s">
        <v>2775</v>
      </c>
      <c r="C902" s="30" t="str">
        <f>IFERROR(_xlfn.XLOOKUP(B902,Insumo[DESCRIPCION],Insumo[UND],,0),"")</f>
        <v>Un</v>
      </c>
      <c r="D902" s="31">
        <v>1.1000000000000001</v>
      </c>
      <c r="E902" s="32">
        <f>IFERROR(_xlfn.XLOOKUP($B902,Insumo[DESCRIPCION],Insumo[VALOR],,0),"")</f>
        <v>45351.6</v>
      </c>
      <c r="F902" s="33"/>
      <c r="G902" s="34">
        <f>IFERROR(IF(F902&gt;=0,D902*E902*(1+F902/100),ABS(D902*E902/F902)),"")</f>
        <v>49886.76</v>
      </c>
      <c r="H902" s="43">
        <f>IFERROR(G902*E899,"")</f>
        <v>0</v>
      </c>
    </row>
    <row r="903" spans="1:11" ht="12.75" customHeight="1">
      <c r="A903" s="28"/>
      <c r="B903" s="29" t="s">
        <v>2702</v>
      </c>
      <c r="C903" s="30" t="str">
        <f>IFERROR(_xlfn.XLOOKUP(B903,Insumo[DESCRIPCION],Insumo[UND],,0),"")</f>
        <v>Un</v>
      </c>
      <c r="D903" s="31">
        <v>2</v>
      </c>
      <c r="E903" s="32">
        <f>IFERROR(_xlfn.XLOOKUP($B903,Insumo[DESCRIPCION],Insumo[VALOR],,0),"")</f>
        <v>443.1</v>
      </c>
      <c r="F903" s="33"/>
      <c r="G903" s="34">
        <f>IFERROR(IF(F903&gt;=0,D903*E903*(1+F903/100),ABS(D903*E903/F903)),"")</f>
        <v>886.2</v>
      </c>
      <c r="H903" s="43">
        <f>IFERROR(G903*E899,"")</f>
        <v>0</v>
      </c>
    </row>
    <row r="904" spans="1:11" ht="12.75" customHeight="1">
      <c r="A904" s="28"/>
      <c r="B904" s="29" t="s">
        <v>2999</v>
      </c>
      <c r="C904" s="30" t="str">
        <f>IFERROR(_xlfn.XLOOKUP(B904,Insumo[DESCRIPCION],Insumo[UND],,0),"")</f>
        <v>Kg</v>
      </c>
      <c r="D904" s="31">
        <v>0.04</v>
      </c>
      <c r="E904" s="32">
        <f>IFERROR(_xlfn.XLOOKUP($B904,Insumo[DESCRIPCION],Insumo[VALOR],,0),"")</f>
        <v>22467.9</v>
      </c>
      <c r="F904" s="33"/>
      <c r="G904" s="34">
        <f>IFERROR(IF(F904&gt;=0,D904*E904*(1+F904/100),ABS(D904*E904/F904)),"")</f>
        <v>898.71600000000012</v>
      </c>
      <c r="H904" s="43">
        <f>IFERROR(G904*E899,"")</f>
        <v>0</v>
      </c>
    </row>
    <row r="905" spans="1:11" ht="12.75" customHeight="1">
      <c r="A905" s="28"/>
      <c r="B905" s="29"/>
      <c r="C905" s="30" t="str">
        <f>IFERROR(_xlfn.XLOOKUP(B905,Insumo[DESCRIPCION],Insumo[UND],,0),"")</f>
        <v/>
      </c>
      <c r="D905" s="31"/>
      <c r="E905" s="32" t="str">
        <f>IFERROR(_xlfn.XLOOKUP($B905,Insumo[DESCRIPCION],Insumo[VALOR],,0),"")</f>
        <v/>
      </c>
      <c r="F905" s="33"/>
      <c r="G905" s="34" t="str">
        <f>IFERROR(IF(F905&gt;=0,D905*E905*(1+F905/100),ABS(D905*E905/F905)),"")</f>
        <v/>
      </c>
      <c r="H905" s="43" t="str">
        <f>IFERROR(G905*E899,"")</f>
        <v/>
      </c>
    </row>
    <row r="906" spans="1:11" ht="12.75" customHeight="1">
      <c r="A906" s="28"/>
      <c r="B906" s="29"/>
      <c r="C906" s="30" t="str">
        <f>IFERROR(_xlfn.XLOOKUP(B906,Insumo[DESCRIPCION],Insumo[UND],,0),"")</f>
        <v/>
      </c>
      <c r="D906" s="31"/>
      <c r="E906" s="32" t="str">
        <f>IFERROR(_xlfn.XLOOKUP($B906,Insumo[DESCRIPCION],Insumo[VALOR],,0),"")</f>
        <v/>
      </c>
      <c r="F906" s="33"/>
      <c r="G906" s="34" t="str">
        <f>IFERROR(IF(F906&gt;=0,D906*E906*(1+F906/100),ABS(D906*E906/F906)),"")</f>
        <v/>
      </c>
      <c r="H906" s="43" t="str">
        <f>IFERROR(G906*E899,"")</f>
        <v/>
      </c>
    </row>
    <row r="907" spans="1:11" ht="12.75" customHeight="1">
      <c r="A907" s="21"/>
      <c r="B907" s="22" t="s">
        <v>3731</v>
      </c>
      <c r="C907" s="23"/>
      <c r="D907" s="24"/>
      <c r="E907" s="25"/>
      <c r="F907" s="26"/>
      <c r="G907" s="27">
        <f>SUM(G908:G910)</f>
        <v>2357.9306317125006</v>
      </c>
      <c r="H907" s="44">
        <f>G907*E899</f>
        <v>0</v>
      </c>
    </row>
    <row r="908" spans="1:11" ht="12.75" customHeight="1">
      <c r="A908" s="28"/>
      <c r="B908" s="29" t="s">
        <v>3573</v>
      </c>
      <c r="C908" s="30" t="str">
        <f>IFERROR(_xlfn.XLOOKUP(B908,Equipo[DESCRIPCION],Equipo[UND],,0),"")</f>
        <v>%MO</v>
      </c>
      <c r="D908" s="31">
        <v>0.1</v>
      </c>
      <c r="E908" s="32">
        <f>IF(C908="%MO",G914,IFERROR(_xlfn.XLOOKUP($B908,Equipo[DESCRIPCION],Equipo[VALOR],,0),""))</f>
        <v>15719.537544750003</v>
      </c>
      <c r="F908" s="33"/>
      <c r="G908" s="34">
        <f>IFERROR(IF(F908&gt;=0,D908*E908*(1+F908/100),ABS(D908*E908/F908)),"")</f>
        <v>1571.9537544750003</v>
      </c>
      <c r="H908" s="43">
        <f>IFERROR(G908*E899,"")</f>
        <v>0</v>
      </c>
    </row>
    <row r="909" spans="1:11" ht="12.75" customHeight="1">
      <c r="A909" s="28"/>
      <c r="B909" s="29" t="s">
        <v>3626</v>
      </c>
      <c r="C909" s="30" t="str">
        <f>IFERROR(_xlfn.XLOOKUP(B909,Equipo[DESCRIPCION],Equipo[UND],,0),"")</f>
        <v>%MO</v>
      </c>
      <c r="D909" s="31">
        <v>0.05</v>
      </c>
      <c r="E909" s="32">
        <f>IF(C909="%MO",G914,IFERROR(_xlfn.XLOOKUP($B909,Equipo[DESCRIPCION],Equipo[VALOR],,0),""))</f>
        <v>15719.537544750003</v>
      </c>
      <c r="F909" s="33"/>
      <c r="G909" s="34">
        <f>IFERROR(IF(F909&gt;=0,D909*E909*(1+F909/100),ABS(D909*E909/F909)),"")</f>
        <v>785.97687723750016</v>
      </c>
      <c r="H909" s="43">
        <f>IFERROR(G909*E899,"")</f>
        <v>0</v>
      </c>
    </row>
    <row r="910" spans="1:11" ht="12.75" customHeight="1">
      <c r="A910" s="28"/>
      <c r="B910" s="29"/>
      <c r="C910" s="30" t="str">
        <f>IFERROR(_xlfn.XLOOKUP(B910,Equipo[DESCRIPCION],Equipo[UND],,0),"")</f>
        <v/>
      </c>
      <c r="D910" s="31"/>
      <c r="E910" s="32" t="str">
        <f>IF(C910="%MO",G914,IFERROR(_xlfn.XLOOKUP($B910,Equipo[DESCRIPCION],Equipo[VALOR],,0),""))</f>
        <v/>
      </c>
      <c r="F910" s="33"/>
      <c r="G910" s="34" t="str">
        <f>IFERROR(IF(F910&gt;=0,D910*E910*(1+F910/100),ABS(D910*E910/F910)),"")</f>
        <v/>
      </c>
      <c r="H910" s="43" t="str">
        <f>IFERROR(G910*E899,"")</f>
        <v/>
      </c>
    </row>
    <row r="911" spans="1:11" ht="12.75" customHeight="1">
      <c r="A911" s="21"/>
      <c r="B911" s="22" t="s">
        <v>2533</v>
      </c>
      <c r="C911" s="23"/>
      <c r="D911" s="24"/>
      <c r="E911" s="25"/>
      <c r="F911" s="26"/>
      <c r="G911" s="27">
        <f>SUM(G912:G913)</f>
        <v>0</v>
      </c>
      <c r="H911" s="44">
        <f>G911*E899</f>
        <v>0</v>
      </c>
    </row>
    <row r="912" spans="1:11" ht="12.75" customHeight="1">
      <c r="A912" s="28"/>
      <c r="B912" s="29"/>
      <c r="C912" s="30" t="str">
        <f>IFERROR(_xlfn.XLOOKUP(B912,Transporte[DESCRIPCION],Transporte[UND],,0),"")</f>
        <v/>
      </c>
      <c r="D912" s="31"/>
      <c r="E912" s="32" t="str">
        <f>IFERROR(_xlfn.XLOOKUP($B912,Transporte[DESCRIPCION],Transporte[VALOR],,0),"")</f>
        <v/>
      </c>
      <c r="F912" s="33"/>
      <c r="G912" s="34" t="str">
        <f>IFERROR(IF(F912&gt;=0,D912*E912*(1+F912/100),ABS(D912*E912/F912)),"")</f>
        <v/>
      </c>
      <c r="H912" s="43" t="str">
        <f>IFERROR(G912*E899,"")</f>
        <v/>
      </c>
    </row>
    <row r="913" spans="1:11" ht="12.75" customHeight="1">
      <c r="A913" s="28"/>
      <c r="B913" s="29"/>
      <c r="C913" s="30" t="str">
        <f>IFERROR(_xlfn.XLOOKUP(B913,Transporte[DESCRIPCION],Transporte[UND],,0),"")</f>
        <v/>
      </c>
      <c r="D913" s="31"/>
      <c r="E913" s="32" t="str">
        <f>IFERROR(_xlfn.XLOOKUP($B913,Transporte[DESCRIPCION],Transporte[VALOR],,0),"")</f>
        <v/>
      </c>
      <c r="F913" s="33"/>
      <c r="G913" s="34" t="str">
        <f>IFERROR(IF(F913&gt;=0,D913*E913*(1+F913/100),ABS(D913*E913/F913)),"")</f>
        <v/>
      </c>
      <c r="H913" s="43" t="str">
        <f>IFERROR(G913*E899,"")</f>
        <v/>
      </c>
    </row>
    <row r="914" spans="1:11" ht="12.75" customHeight="1">
      <c r="A914" s="21"/>
      <c r="B914" s="22" t="s">
        <v>3732</v>
      </c>
      <c r="C914" s="23"/>
      <c r="D914" s="24"/>
      <c r="E914" s="25"/>
      <c r="F914" s="26"/>
      <c r="G914" s="27">
        <f>SUM(G915:G917)</f>
        <v>15719.537544750003</v>
      </c>
      <c r="H914" s="44">
        <f>G914*E899</f>
        <v>0</v>
      </c>
    </row>
    <row r="915" spans="1:11" ht="12.75" customHeight="1">
      <c r="A915" s="28"/>
      <c r="B915" s="29" t="s">
        <v>3710</v>
      </c>
      <c r="C915" s="30" t="str">
        <f>IFERROR(_xlfn.XLOOKUP(B915,MObra[DESCRIPCION],MObra[UN],,0),"")</f>
        <v>día</v>
      </c>
      <c r="D915" s="31">
        <v>1</v>
      </c>
      <c r="E915" s="32">
        <f>IFERROR(_xlfn.XLOOKUP($B915,MObra[DESCRIPCION],MObra[VALOR UNIT],,0),"")</f>
        <v>314390.75089500006</v>
      </c>
      <c r="F915" s="33">
        <v>-20</v>
      </c>
      <c r="G915" s="34">
        <f>IFERROR(IF(F915&gt;=0,D915*E915*(1+F915/100),ABS(D915*E915/F915)),"")</f>
        <v>15719.537544750003</v>
      </c>
      <c r="H915" s="43">
        <f>IFERROR(G915*E899,"")</f>
        <v>0</v>
      </c>
    </row>
    <row r="916" spans="1:11" ht="12.75" customHeight="1">
      <c r="A916" s="28"/>
      <c r="B916" s="29"/>
      <c r="C916" s="30" t="str">
        <f t="array" ref="C916">IFERROR(_xlfn.XLOOKUP(B916,MObra[[#All],[DESCRIPCION]],MObra[[#All],[UN]],,0),"")</f>
        <v/>
      </c>
      <c r="D916" s="31"/>
      <c r="E916" s="32" t="str">
        <f>IFERROR(_xlfn.XLOOKUP($B916,MObra[DESCRIPCION],MObra[VALOR UNIT],,0),"")</f>
        <v/>
      </c>
      <c r="F916" s="33"/>
      <c r="G916" s="34" t="str">
        <f>IFERROR(IF(F916&gt;=0,D916*E916*(1+F916/100),ABS(D916*E916/F916)),"")</f>
        <v/>
      </c>
      <c r="H916" s="43" t="str">
        <f>IFERROR(G916*E899,"")</f>
        <v/>
      </c>
    </row>
    <row r="917" spans="1:11" ht="12.75" customHeight="1" thickBot="1">
      <c r="A917" s="35"/>
      <c r="B917" s="36"/>
      <c r="C917" s="37" t="str">
        <f t="array" ref="C917">IFERROR(_xlfn.XLOOKUP(B917,MObra[[#All],[DESCRIPCION]],MObra[[#All],[UN]],,0),"")</f>
        <v/>
      </c>
      <c r="D917" s="38"/>
      <c r="E917" s="39" t="str">
        <f>IFERROR(_xlfn.XLOOKUP($B917,MObra[DESCRIPCION],MObra[VALOR UNIT],,0),"")</f>
        <v/>
      </c>
      <c r="F917" s="40"/>
      <c r="G917" s="41" t="str">
        <f>IFERROR(IF(F917&gt;=0,D917*E917*(1+F917/100),ABS(D917*E917/F917)),"")</f>
        <v/>
      </c>
      <c r="H917" s="42" t="str">
        <f>IFERROR(G917*E899,"")</f>
        <v/>
      </c>
    </row>
    <row r="918" spans="1:11" ht="12.75" customHeight="1" thickTop="1" thickBot="1"/>
    <row r="919" spans="1:11" ht="12.75" customHeight="1" thickTop="1" thickBot="1">
      <c r="A919" s="6" t="s">
        <v>1185</v>
      </c>
      <c r="B919" s="7" t="str">
        <f>VLOOKUP($A919,Presupuesto!$A:$D,2,FALSE())</f>
        <v>Caballete fijo teja ondulada</v>
      </c>
      <c r="C919" s="8" t="str">
        <f>VLOOKUP($A919,Presupuesto!$A:$D,3,FALSE())</f>
        <v>M</v>
      </c>
      <c r="D919" s="9"/>
      <c r="E919" s="10">
        <f>VLOOKUP($A919,Presupuesto!$A:$D,4,FALSE())</f>
        <v>0</v>
      </c>
      <c r="F919" s="11" t="s">
        <v>2589</v>
      </c>
      <c r="G919" s="12">
        <f>SUM(G921:G937)/2</f>
        <v>77958.632358535717</v>
      </c>
      <c r="H919" s="13">
        <f>ROUND(SUM(H921:H937),0)/2</f>
        <v>0</v>
      </c>
      <c r="I919" s="10">
        <f>VLOOKUP(A919,Presupuesto!$A:$F,6,0)</f>
        <v>0</v>
      </c>
      <c r="J919" s="10">
        <f>+H919-I919</f>
        <v>0</v>
      </c>
      <c r="K919" s="46">
        <f>+H919-G919*E919</f>
        <v>0</v>
      </c>
    </row>
    <row r="920" spans="1:11" ht="12.75" customHeight="1" thickTop="1">
      <c r="A920" s="14"/>
      <c r="B920" s="15" t="s">
        <v>2586</v>
      </c>
      <c r="C920" s="15" t="s">
        <v>5</v>
      </c>
      <c r="D920" s="16" t="s">
        <v>6</v>
      </c>
      <c r="E920" s="17" t="s">
        <v>7</v>
      </c>
      <c r="F920" s="18" t="s">
        <v>3728</v>
      </c>
      <c r="G920" s="19" t="s">
        <v>3729</v>
      </c>
      <c r="H920" s="20" t="s">
        <v>3797</v>
      </c>
    </row>
    <row r="921" spans="1:11" ht="12.75" customHeight="1">
      <c r="A921" s="21"/>
      <c r="B921" s="22" t="s">
        <v>3730</v>
      </c>
      <c r="C921" s="23"/>
      <c r="D921" s="24"/>
      <c r="E921" s="25"/>
      <c r="F921" s="26"/>
      <c r="G921" s="27">
        <f>SUM(G922:G926)</f>
        <v>60741.995999999999</v>
      </c>
      <c r="H921" s="27">
        <f>IFERROR(G921*E919,"")</f>
        <v>0</v>
      </c>
    </row>
    <row r="922" spans="1:11" ht="12.75" customHeight="1">
      <c r="A922" s="28"/>
      <c r="B922" s="29" t="s">
        <v>2773</v>
      </c>
      <c r="C922" s="30" t="str">
        <f>IFERROR(_xlfn.XLOOKUP(B922,Insumo[DESCRIPCION],Insumo[UND],,0),"")</f>
        <v>Un</v>
      </c>
      <c r="D922" s="31">
        <v>1.3</v>
      </c>
      <c r="E922" s="32">
        <f>IFERROR(_xlfn.XLOOKUP($B922,Insumo[DESCRIPCION],Insumo[VALOR],,0),"")</f>
        <v>45351.6</v>
      </c>
      <c r="F922" s="33"/>
      <c r="G922" s="34">
        <f>IFERROR(IF(F922&gt;=0,D922*E922*(1+F922/100),ABS(D922*E922/F922)),"")</f>
        <v>58957.08</v>
      </c>
      <c r="H922" s="43">
        <f>IFERROR(G922*E919,"")</f>
        <v>0</v>
      </c>
    </row>
    <row r="923" spans="1:11" ht="12.75" customHeight="1">
      <c r="A923" s="28"/>
      <c r="B923" s="29" t="s">
        <v>2702</v>
      </c>
      <c r="C923" s="30" t="str">
        <f>IFERROR(_xlfn.XLOOKUP(B923,Insumo[DESCRIPCION],Insumo[UND],,0),"")</f>
        <v>Un</v>
      </c>
      <c r="D923" s="31">
        <v>2</v>
      </c>
      <c r="E923" s="32">
        <f>IFERROR(_xlfn.XLOOKUP($B923,Insumo[DESCRIPCION],Insumo[VALOR],,0),"")</f>
        <v>443.1</v>
      </c>
      <c r="F923" s="33"/>
      <c r="G923" s="34">
        <f>IFERROR(IF(F923&gt;=0,D923*E923*(1+F923/100),ABS(D923*E923/F923)),"")</f>
        <v>886.2</v>
      </c>
      <c r="H923" s="43">
        <f>IFERROR(G923*E919,"")</f>
        <v>0</v>
      </c>
    </row>
    <row r="924" spans="1:11" ht="12.75" customHeight="1">
      <c r="A924" s="28"/>
      <c r="B924" s="29" t="s">
        <v>2999</v>
      </c>
      <c r="C924" s="30" t="str">
        <f>IFERROR(_xlfn.XLOOKUP(B924,Insumo[DESCRIPCION],Insumo[UND],,0),"")</f>
        <v>Kg</v>
      </c>
      <c r="D924" s="31">
        <v>0.04</v>
      </c>
      <c r="E924" s="32">
        <f>IFERROR(_xlfn.XLOOKUP($B924,Insumo[DESCRIPCION],Insumo[VALOR],,0),"")</f>
        <v>22467.9</v>
      </c>
      <c r="F924" s="33"/>
      <c r="G924" s="34">
        <f>IFERROR(IF(F924&gt;=0,D924*E924*(1+F924/100),ABS(D924*E924/F924)),"")</f>
        <v>898.71600000000012</v>
      </c>
      <c r="H924" s="43">
        <f>IFERROR(G924*E919,"")</f>
        <v>0</v>
      </c>
    </row>
    <row r="925" spans="1:11" ht="12.75" customHeight="1">
      <c r="A925" s="28"/>
      <c r="B925" s="29"/>
      <c r="C925" s="30" t="str">
        <f>IFERROR(_xlfn.XLOOKUP(B925,Insumo[DESCRIPCION],Insumo[UND],,0),"")</f>
        <v/>
      </c>
      <c r="D925" s="31"/>
      <c r="E925" s="32" t="str">
        <f>IFERROR(_xlfn.XLOOKUP($B925,Insumo[DESCRIPCION],Insumo[VALOR],,0),"")</f>
        <v/>
      </c>
      <c r="F925" s="33"/>
      <c r="G925" s="34" t="str">
        <f>IFERROR(IF(F925&gt;=0,D925*E925*(1+F925/100),ABS(D925*E925/F925)),"")</f>
        <v/>
      </c>
      <c r="H925" s="43" t="str">
        <f>IFERROR(G925*E919,"")</f>
        <v/>
      </c>
    </row>
    <row r="926" spans="1:11" ht="12.75" customHeight="1">
      <c r="A926" s="28"/>
      <c r="B926" s="29"/>
      <c r="C926" s="30" t="str">
        <f>IFERROR(_xlfn.XLOOKUP(B926,Insumo[DESCRIPCION],Insumo[UND],,0),"")</f>
        <v/>
      </c>
      <c r="D926" s="31"/>
      <c r="E926" s="32" t="str">
        <f>IFERROR(_xlfn.XLOOKUP($B926,Insumo[DESCRIPCION],Insumo[VALOR],,0),"")</f>
        <v/>
      </c>
      <c r="F926" s="33"/>
      <c r="G926" s="34" t="str">
        <f>IFERROR(IF(F926&gt;=0,D926*E926*(1+F926/100),ABS(D926*E926/F926)),"")</f>
        <v/>
      </c>
      <c r="H926" s="43" t="str">
        <f>IFERROR(G926*E919,"")</f>
        <v/>
      </c>
    </row>
    <row r="927" spans="1:11" ht="12.75" customHeight="1">
      <c r="A927" s="21"/>
      <c r="B927" s="22" t="s">
        <v>3731</v>
      </c>
      <c r="C927" s="23"/>
      <c r="D927" s="24"/>
      <c r="E927" s="25"/>
      <c r="F927" s="26"/>
      <c r="G927" s="27">
        <f>SUM(G928:G930)</f>
        <v>2245.6482206785722</v>
      </c>
      <c r="H927" s="44">
        <f>G927*E919</f>
        <v>0</v>
      </c>
    </row>
    <row r="928" spans="1:11" ht="12.75" customHeight="1">
      <c r="A928" s="28"/>
      <c r="B928" s="29" t="s">
        <v>3573</v>
      </c>
      <c r="C928" s="30" t="str">
        <f>IFERROR(_xlfn.XLOOKUP(B928,Equipo[DESCRIPCION],Equipo[UND],,0),"")</f>
        <v>%MO</v>
      </c>
      <c r="D928" s="31">
        <v>0.1</v>
      </c>
      <c r="E928" s="32">
        <f>IF(C928="%MO",G934,IFERROR(_xlfn.XLOOKUP($B928,Equipo[DESCRIPCION],Equipo[VALOR],,0),""))</f>
        <v>14970.988137857146</v>
      </c>
      <c r="F928" s="33"/>
      <c r="G928" s="34">
        <f>IFERROR(IF(F928&gt;=0,D928*E928*(1+F928/100),ABS(D928*E928/F928)),"")</f>
        <v>1497.0988137857148</v>
      </c>
      <c r="H928" s="43">
        <f>IFERROR(G928*E919,"")</f>
        <v>0</v>
      </c>
    </row>
    <row r="929" spans="1:11" ht="12.75" customHeight="1">
      <c r="A929" s="28"/>
      <c r="B929" s="29" t="s">
        <v>3626</v>
      </c>
      <c r="C929" s="30" t="str">
        <f>IFERROR(_xlfn.XLOOKUP(B929,Equipo[DESCRIPCION],Equipo[UND],,0),"")</f>
        <v>%MO</v>
      </c>
      <c r="D929" s="31">
        <v>0.05</v>
      </c>
      <c r="E929" s="32">
        <f>IF(C929="%MO",G934,IFERROR(_xlfn.XLOOKUP($B929,Equipo[DESCRIPCION],Equipo[VALOR],,0),""))</f>
        <v>14970.988137857146</v>
      </c>
      <c r="F929" s="33"/>
      <c r="G929" s="34">
        <f>IFERROR(IF(F929&gt;=0,D929*E929*(1+F929/100),ABS(D929*E929/F929)),"")</f>
        <v>748.54940689285741</v>
      </c>
      <c r="H929" s="43">
        <f>IFERROR(G929*E919,"")</f>
        <v>0</v>
      </c>
    </row>
    <row r="930" spans="1:11" ht="12.75" customHeight="1">
      <c r="A930" s="28"/>
      <c r="B930" s="29"/>
      <c r="C930" s="30" t="str">
        <f>IFERROR(_xlfn.XLOOKUP(B930,Equipo[DESCRIPCION],Equipo[UND],,0),"")</f>
        <v/>
      </c>
      <c r="D930" s="31"/>
      <c r="E930" s="32" t="str">
        <f>IF(C930="%MO",G934,IFERROR(_xlfn.XLOOKUP($B930,Equipo[DESCRIPCION],Equipo[VALOR],,0),""))</f>
        <v/>
      </c>
      <c r="F930" s="33"/>
      <c r="G930" s="34" t="str">
        <f>IFERROR(IF(F930&gt;=0,D930*E930*(1+F930/100),ABS(D930*E930/F930)),"")</f>
        <v/>
      </c>
      <c r="H930" s="43" t="str">
        <f>IFERROR(G930*E919,"")</f>
        <v/>
      </c>
    </row>
    <row r="931" spans="1:11" ht="12.75" customHeight="1">
      <c r="A931" s="21"/>
      <c r="B931" s="22" t="s">
        <v>2533</v>
      </c>
      <c r="C931" s="23"/>
      <c r="D931" s="24"/>
      <c r="E931" s="25"/>
      <c r="F931" s="26"/>
      <c r="G931" s="27">
        <f>SUM(G932:G933)</f>
        <v>0</v>
      </c>
      <c r="H931" s="44">
        <f>G931*E919</f>
        <v>0</v>
      </c>
    </row>
    <row r="932" spans="1:11" ht="12.75" customHeight="1">
      <c r="A932" s="28"/>
      <c r="B932" s="29"/>
      <c r="C932" s="30" t="str">
        <f>IFERROR(_xlfn.XLOOKUP(B932,Transporte[DESCRIPCION],Transporte[UND],,0),"")</f>
        <v/>
      </c>
      <c r="D932" s="31"/>
      <c r="E932" s="32" t="str">
        <f>IFERROR(_xlfn.XLOOKUP($B932,Transporte[DESCRIPCION],Transporte[VALOR],,0),"")</f>
        <v/>
      </c>
      <c r="F932" s="33"/>
      <c r="G932" s="34" t="str">
        <f>IFERROR(IF(F932&gt;=0,D932*E932*(1+F932/100),ABS(D932*E932/F932)),"")</f>
        <v/>
      </c>
      <c r="H932" s="43" t="str">
        <f>IFERROR(G932*E919,"")</f>
        <v/>
      </c>
    </row>
    <row r="933" spans="1:11" ht="12.75" customHeight="1">
      <c r="A933" s="28"/>
      <c r="B933" s="29"/>
      <c r="C933" s="30" t="str">
        <f>IFERROR(_xlfn.XLOOKUP(B933,Transporte[DESCRIPCION],Transporte[UND],,0),"")</f>
        <v/>
      </c>
      <c r="D933" s="31"/>
      <c r="E933" s="32" t="str">
        <f>IFERROR(_xlfn.XLOOKUP($B933,Transporte[DESCRIPCION],Transporte[VALOR],,0),"")</f>
        <v/>
      </c>
      <c r="F933" s="33"/>
      <c r="G933" s="34" t="str">
        <f>IFERROR(IF(F933&gt;=0,D933*E933*(1+F933/100),ABS(D933*E933/F933)),"")</f>
        <v/>
      </c>
      <c r="H933" s="43" t="str">
        <f>IFERROR(G933*E919,"")</f>
        <v/>
      </c>
    </row>
    <row r="934" spans="1:11" ht="12.75" customHeight="1">
      <c r="A934" s="21"/>
      <c r="B934" s="22" t="s">
        <v>3732</v>
      </c>
      <c r="C934" s="23"/>
      <c r="D934" s="24"/>
      <c r="E934" s="25"/>
      <c r="F934" s="26"/>
      <c r="G934" s="27">
        <f>SUM(G935:G937)</f>
        <v>14970.988137857146</v>
      </c>
      <c r="H934" s="44">
        <f>G934*E919</f>
        <v>0</v>
      </c>
    </row>
    <row r="935" spans="1:11" ht="12.75" customHeight="1">
      <c r="A935" s="28"/>
      <c r="B935" s="29" t="s">
        <v>3710</v>
      </c>
      <c r="C935" s="30" t="str">
        <f>IFERROR(_xlfn.XLOOKUP(B935,MObra[DESCRIPCION],MObra[UN],,0),"")</f>
        <v>día</v>
      </c>
      <c r="D935" s="31">
        <v>1</v>
      </c>
      <c r="E935" s="32">
        <f>IFERROR(_xlfn.XLOOKUP($B935,MObra[DESCRIPCION],MObra[VALOR UNIT],,0),"")</f>
        <v>314390.75089500006</v>
      </c>
      <c r="F935" s="33">
        <v>-21</v>
      </c>
      <c r="G935" s="34">
        <f>IFERROR(IF(F935&gt;=0,D935*E935*(1+F935/100),ABS(D935*E935/F935)),"")</f>
        <v>14970.988137857146</v>
      </c>
      <c r="H935" s="43">
        <f>IFERROR(G935*E919,"")</f>
        <v>0</v>
      </c>
    </row>
    <row r="936" spans="1:11" ht="12.75" customHeight="1">
      <c r="A936" s="28"/>
      <c r="B936" s="29"/>
      <c r="C936" s="30" t="str">
        <f t="array" ref="C936">IFERROR(_xlfn.XLOOKUP(B936,MObra[[#All],[DESCRIPCION]],MObra[[#All],[UN]],,0),"")</f>
        <v/>
      </c>
      <c r="D936" s="31"/>
      <c r="E936" s="32" t="str">
        <f>IFERROR(_xlfn.XLOOKUP($B936,MObra[DESCRIPCION],MObra[VALOR UNIT],,0),"")</f>
        <v/>
      </c>
      <c r="F936" s="33"/>
      <c r="G936" s="34" t="str">
        <f>IFERROR(IF(F936&gt;=0,D936*E936*(1+F936/100),ABS(D936*E936/F936)),"")</f>
        <v/>
      </c>
      <c r="H936" s="43" t="str">
        <f>IFERROR(G936*E919,"")</f>
        <v/>
      </c>
    </row>
    <row r="937" spans="1:11" ht="12.75" customHeight="1" thickBot="1">
      <c r="A937" s="35"/>
      <c r="B937" s="36"/>
      <c r="C937" s="37" t="str">
        <f t="array" ref="C937">IFERROR(_xlfn.XLOOKUP(B937,MObra[[#All],[DESCRIPCION]],MObra[[#All],[UN]],,0),"")</f>
        <v/>
      </c>
      <c r="D937" s="38"/>
      <c r="E937" s="39" t="str">
        <f>IFERROR(_xlfn.XLOOKUP($B937,MObra[DESCRIPCION],MObra[VALOR UNIT],,0),"")</f>
        <v/>
      </c>
      <c r="F937" s="40"/>
      <c r="G937" s="41" t="str">
        <f>IFERROR(IF(F937&gt;=0,D937*E937*(1+F937/100),ABS(D937*E937/F937)),"")</f>
        <v/>
      </c>
      <c r="H937" s="42" t="str">
        <f>IFERROR(G937*E919,"")</f>
        <v/>
      </c>
    </row>
    <row r="938" spans="1:11" ht="12.75" customHeight="1" thickTop="1" thickBot="1"/>
    <row r="939" spans="1:11" ht="12.75" customHeight="1" thickTop="1" thickBot="1">
      <c r="A939" s="6" t="s">
        <v>1187</v>
      </c>
      <c r="B939" s="7" t="str">
        <f>VLOOKUP($A939,Presupuesto!$A:$D,2,FALSE())</f>
        <v>Caballete ventana teja ondulada</v>
      </c>
      <c r="C939" s="8" t="str">
        <f>VLOOKUP($A939,Presupuesto!$A:$D,3,FALSE())</f>
        <v>M</v>
      </c>
      <c r="D939" s="9"/>
      <c r="E939" s="10">
        <f>VLOOKUP($A939,Presupuesto!$A:$D,4,FALSE())</f>
        <v>0</v>
      </c>
      <c r="F939" s="11" t="s">
        <v>2589</v>
      </c>
      <c r="G939" s="12">
        <f>SUM(G941:G957)/2</f>
        <v>83338.831220578126</v>
      </c>
      <c r="H939" s="13">
        <f>ROUND(SUM(H941:H957),0)/2</f>
        <v>0</v>
      </c>
      <c r="I939" s="10">
        <f>VLOOKUP(A939,Presupuesto!$A:$F,6,0)</f>
        <v>0</v>
      </c>
      <c r="J939" s="10">
        <f>+H939-I939</f>
        <v>0</v>
      </c>
      <c r="K939" s="46">
        <f>+H939-G939*E939</f>
        <v>0</v>
      </c>
    </row>
    <row r="940" spans="1:11" ht="12.75" customHeight="1" thickTop="1">
      <c r="A940" s="14"/>
      <c r="B940" s="15" t="s">
        <v>2586</v>
      </c>
      <c r="C940" s="15" t="s">
        <v>5</v>
      </c>
      <c r="D940" s="16" t="s">
        <v>6</v>
      </c>
      <c r="E940" s="17" t="s">
        <v>7</v>
      </c>
      <c r="F940" s="18" t="s">
        <v>3728</v>
      </c>
      <c r="G940" s="19" t="s">
        <v>3729</v>
      </c>
      <c r="H940" s="20" t="s">
        <v>3797</v>
      </c>
    </row>
    <row r="941" spans="1:11" ht="12.75" customHeight="1">
      <c r="A941" s="21"/>
      <c r="B941" s="22" t="s">
        <v>3730</v>
      </c>
      <c r="C941" s="23"/>
      <c r="D941" s="24"/>
      <c r="E941" s="25"/>
      <c r="F941" s="26"/>
      <c r="G941" s="27">
        <f>SUM(G942:G946)</f>
        <v>60741.995999999999</v>
      </c>
      <c r="H941" s="27">
        <f>IFERROR(G941*E939,"")</f>
        <v>0</v>
      </c>
    </row>
    <row r="942" spans="1:11" ht="12.75" customHeight="1">
      <c r="A942" s="28"/>
      <c r="B942" s="29" t="s">
        <v>2773</v>
      </c>
      <c r="C942" s="30" t="str">
        <f>IFERROR(_xlfn.XLOOKUP(B942,Insumo[DESCRIPCION],Insumo[UND],,0),"")</f>
        <v>Un</v>
      </c>
      <c r="D942" s="31">
        <v>1.3</v>
      </c>
      <c r="E942" s="32">
        <f>IFERROR(_xlfn.XLOOKUP($B942,Insumo[DESCRIPCION],Insumo[VALOR],,0),"")</f>
        <v>45351.6</v>
      </c>
      <c r="F942" s="33"/>
      <c r="G942" s="34">
        <f>IFERROR(IF(F942&gt;=0,D942*E942*(1+F942/100),ABS(D942*E942/F942)),"")</f>
        <v>58957.08</v>
      </c>
      <c r="H942" s="43">
        <f>IFERROR(G942*E939,"")</f>
        <v>0</v>
      </c>
    </row>
    <row r="943" spans="1:11" ht="12.75" customHeight="1">
      <c r="A943" s="28"/>
      <c r="B943" s="29" t="s">
        <v>2702</v>
      </c>
      <c r="C943" s="30" t="str">
        <f>IFERROR(_xlfn.XLOOKUP(B943,Insumo[DESCRIPCION],Insumo[UND],,0),"")</f>
        <v>Un</v>
      </c>
      <c r="D943" s="31">
        <v>2</v>
      </c>
      <c r="E943" s="32">
        <f>IFERROR(_xlfn.XLOOKUP($B943,Insumo[DESCRIPCION],Insumo[VALOR],,0),"")</f>
        <v>443.1</v>
      </c>
      <c r="F943" s="33"/>
      <c r="G943" s="34">
        <f>IFERROR(IF(F943&gt;=0,D943*E943*(1+F943/100),ABS(D943*E943/F943)),"")</f>
        <v>886.2</v>
      </c>
      <c r="H943" s="43">
        <f>IFERROR(G943*E939,"")</f>
        <v>0</v>
      </c>
    </row>
    <row r="944" spans="1:11" ht="12.75" customHeight="1">
      <c r="A944" s="28"/>
      <c r="B944" s="29" t="s">
        <v>2999</v>
      </c>
      <c r="C944" s="30" t="str">
        <f>IFERROR(_xlfn.XLOOKUP(B944,Insumo[DESCRIPCION],Insumo[UND],,0),"")</f>
        <v>Kg</v>
      </c>
      <c r="D944" s="31">
        <v>0.04</v>
      </c>
      <c r="E944" s="32">
        <f>IFERROR(_xlfn.XLOOKUP($B944,Insumo[DESCRIPCION],Insumo[VALOR],,0),"")</f>
        <v>22467.9</v>
      </c>
      <c r="F944" s="33"/>
      <c r="G944" s="34">
        <f>IFERROR(IF(F944&gt;=0,D944*E944*(1+F944/100),ABS(D944*E944/F944)),"")</f>
        <v>898.71600000000012</v>
      </c>
      <c r="H944" s="43">
        <f>IFERROR(G944*E939,"")</f>
        <v>0</v>
      </c>
    </row>
    <row r="945" spans="1:11" ht="12.75" customHeight="1">
      <c r="A945" s="28"/>
      <c r="B945" s="29"/>
      <c r="C945" s="30" t="str">
        <f>IFERROR(_xlfn.XLOOKUP(B945,Insumo[DESCRIPCION],Insumo[UND],,0),"")</f>
        <v/>
      </c>
      <c r="D945" s="31"/>
      <c r="E945" s="32" t="str">
        <f>IFERROR(_xlfn.XLOOKUP($B945,Insumo[DESCRIPCION],Insumo[VALOR],,0),"")</f>
        <v/>
      </c>
      <c r="F945" s="33"/>
      <c r="G945" s="34" t="str">
        <f>IFERROR(IF(F945&gt;=0,D945*E945*(1+F945/100),ABS(D945*E945/F945)),"")</f>
        <v/>
      </c>
      <c r="H945" s="43" t="str">
        <f>IFERROR(G945*E939,"")</f>
        <v/>
      </c>
    </row>
    <row r="946" spans="1:11" ht="12.75" customHeight="1">
      <c r="A946" s="28"/>
      <c r="B946" s="29"/>
      <c r="C946" s="30" t="str">
        <f>IFERROR(_xlfn.XLOOKUP(B946,Insumo[DESCRIPCION],Insumo[UND],,0),"")</f>
        <v/>
      </c>
      <c r="D946" s="31"/>
      <c r="E946" s="32" t="str">
        <f>IFERROR(_xlfn.XLOOKUP($B946,Insumo[DESCRIPCION],Insumo[VALOR],,0),"")</f>
        <v/>
      </c>
      <c r="F946" s="33"/>
      <c r="G946" s="34" t="str">
        <f>IFERROR(IF(F946&gt;=0,D946*E946*(1+F946/100),ABS(D946*E946/F946)),"")</f>
        <v/>
      </c>
      <c r="H946" s="43" t="str">
        <f>IFERROR(G946*E939,"")</f>
        <v/>
      </c>
    </row>
    <row r="947" spans="1:11" ht="12.75" customHeight="1">
      <c r="A947" s="21"/>
      <c r="B947" s="22" t="s">
        <v>3731</v>
      </c>
      <c r="C947" s="23"/>
      <c r="D947" s="24"/>
      <c r="E947" s="25"/>
      <c r="F947" s="26"/>
      <c r="G947" s="27">
        <f>SUM(G948:G950)</f>
        <v>2947.4132896406259</v>
      </c>
      <c r="H947" s="44">
        <f>G947*E939</f>
        <v>0</v>
      </c>
    </row>
    <row r="948" spans="1:11" ht="12.75" customHeight="1">
      <c r="A948" s="28"/>
      <c r="B948" s="29" t="s">
        <v>3573</v>
      </c>
      <c r="C948" s="30" t="str">
        <f>IFERROR(_xlfn.XLOOKUP(B948,Equipo[DESCRIPCION],Equipo[UND],,0),"")</f>
        <v>%MO</v>
      </c>
      <c r="D948" s="31">
        <v>0.1</v>
      </c>
      <c r="E948" s="32">
        <f>IF(C948="%MO",G954,IFERROR(_xlfn.XLOOKUP($B948,Equipo[DESCRIPCION],Equipo[VALOR],,0),""))</f>
        <v>19649.421930937504</v>
      </c>
      <c r="F948" s="33"/>
      <c r="G948" s="34">
        <f>IFERROR(IF(F948&gt;=0,D948*E948*(1+F948/100),ABS(D948*E948/F948)),"")</f>
        <v>1964.9421930937506</v>
      </c>
      <c r="H948" s="43">
        <f>IFERROR(G948*E939,"")</f>
        <v>0</v>
      </c>
    </row>
    <row r="949" spans="1:11" ht="12.75" customHeight="1">
      <c r="A949" s="28"/>
      <c r="B949" s="29" t="s">
        <v>3626</v>
      </c>
      <c r="C949" s="30" t="str">
        <f>IFERROR(_xlfn.XLOOKUP(B949,Equipo[DESCRIPCION],Equipo[UND],,0),"")</f>
        <v>%MO</v>
      </c>
      <c r="D949" s="31">
        <v>0.05</v>
      </c>
      <c r="E949" s="32">
        <f>IF(C949="%MO",G954,IFERROR(_xlfn.XLOOKUP($B949,Equipo[DESCRIPCION],Equipo[VALOR],,0),""))</f>
        <v>19649.421930937504</v>
      </c>
      <c r="F949" s="33"/>
      <c r="G949" s="34">
        <f>IFERROR(IF(F949&gt;=0,D949*E949*(1+F949/100),ABS(D949*E949/F949)),"")</f>
        <v>982.47109654687529</v>
      </c>
      <c r="H949" s="43">
        <f>IFERROR(G949*E939,"")</f>
        <v>0</v>
      </c>
    </row>
    <row r="950" spans="1:11" ht="12.75" customHeight="1">
      <c r="A950" s="28"/>
      <c r="B950" s="29"/>
      <c r="C950" s="30" t="str">
        <f>IFERROR(_xlfn.XLOOKUP(B950,Equipo[DESCRIPCION],Equipo[UND],,0),"")</f>
        <v/>
      </c>
      <c r="D950" s="31"/>
      <c r="E950" s="32" t="str">
        <f>IF(C950="%MO",G954,IFERROR(_xlfn.XLOOKUP($B950,Equipo[DESCRIPCION],Equipo[VALOR],,0),""))</f>
        <v/>
      </c>
      <c r="F950" s="33"/>
      <c r="G950" s="34" t="str">
        <f>IFERROR(IF(F950&gt;=0,D950*E950*(1+F950/100),ABS(D950*E950/F950)),"")</f>
        <v/>
      </c>
      <c r="H950" s="43" t="str">
        <f>IFERROR(G950*E939,"")</f>
        <v/>
      </c>
    </row>
    <row r="951" spans="1:11" ht="12.75" customHeight="1">
      <c r="A951" s="21"/>
      <c r="B951" s="22" t="s">
        <v>2533</v>
      </c>
      <c r="C951" s="23"/>
      <c r="D951" s="24"/>
      <c r="E951" s="25"/>
      <c r="F951" s="26"/>
      <c r="G951" s="27">
        <f>SUM(G952:G953)</f>
        <v>0</v>
      </c>
      <c r="H951" s="44">
        <f>G951*E939</f>
        <v>0</v>
      </c>
    </row>
    <row r="952" spans="1:11" ht="12.75" customHeight="1">
      <c r="A952" s="28"/>
      <c r="B952" s="29"/>
      <c r="C952" s="30" t="str">
        <f>IFERROR(_xlfn.XLOOKUP(B952,Transporte[DESCRIPCION],Transporte[UND],,0),"")</f>
        <v/>
      </c>
      <c r="D952" s="31"/>
      <c r="E952" s="32" t="str">
        <f>IFERROR(_xlfn.XLOOKUP($B952,Transporte[DESCRIPCION],Transporte[VALOR],,0),"")</f>
        <v/>
      </c>
      <c r="F952" s="33"/>
      <c r="G952" s="34" t="str">
        <f>IFERROR(IF(F952&gt;=0,D952*E952*(1+F952/100),ABS(D952*E952/F952)),"")</f>
        <v/>
      </c>
      <c r="H952" s="43" t="str">
        <f>IFERROR(G952*E939,"")</f>
        <v/>
      </c>
    </row>
    <row r="953" spans="1:11" ht="12.75" customHeight="1">
      <c r="A953" s="28"/>
      <c r="B953" s="29"/>
      <c r="C953" s="30" t="str">
        <f>IFERROR(_xlfn.XLOOKUP(B953,Transporte[DESCRIPCION],Transporte[UND],,0),"")</f>
        <v/>
      </c>
      <c r="D953" s="31"/>
      <c r="E953" s="32" t="str">
        <f>IFERROR(_xlfn.XLOOKUP($B953,Transporte[DESCRIPCION],Transporte[VALOR],,0),"")</f>
        <v/>
      </c>
      <c r="F953" s="33"/>
      <c r="G953" s="34" t="str">
        <f>IFERROR(IF(F953&gt;=0,D953*E953*(1+F953/100),ABS(D953*E953/F953)),"")</f>
        <v/>
      </c>
      <c r="H953" s="43" t="str">
        <f>IFERROR(G953*E939,"")</f>
        <v/>
      </c>
    </row>
    <row r="954" spans="1:11" ht="12.75" customHeight="1">
      <c r="A954" s="21"/>
      <c r="B954" s="22" t="s">
        <v>3732</v>
      </c>
      <c r="C954" s="23"/>
      <c r="D954" s="24"/>
      <c r="E954" s="25"/>
      <c r="F954" s="26"/>
      <c r="G954" s="27">
        <f>SUM(G955:G957)</f>
        <v>19649.421930937504</v>
      </c>
      <c r="H954" s="44">
        <f>G954*E939</f>
        <v>0</v>
      </c>
    </row>
    <row r="955" spans="1:11" ht="12.75" customHeight="1">
      <c r="A955" s="28"/>
      <c r="B955" s="29" t="s">
        <v>3710</v>
      </c>
      <c r="C955" s="30" t="str">
        <f>IFERROR(_xlfn.XLOOKUP(B955,MObra[DESCRIPCION],MObra[UN],,0),"")</f>
        <v>día</v>
      </c>
      <c r="D955" s="31">
        <v>1</v>
      </c>
      <c r="E955" s="32">
        <f>IFERROR(_xlfn.XLOOKUP($B955,MObra[DESCRIPCION],MObra[VALOR UNIT],,0),"")</f>
        <v>314390.75089500006</v>
      </c>
      <c r="F955" s="33">
        <v>-16</v>
      </c>
      <c r="G955" s="34">
        <f>IFERROR(IF(F955&gt;=0,D955*E955*(1+F955/100),ABS(D955*E955/F955)),"")</f>
        <v>19649.421930937504</v>
      </c>
      <c r="H955" s="43">
        <f>IFERROR(G955*E939,"")</f>
        <v>0</v>
      </c>
    </row>
    <row r="956" spans="1:11" ht="12.75" customHeight="1">
      <c r="A956" s="28"/>
      <c r="B956" s="29"/>
      <c r="C956" s="30" t="str">
        <f t="array" ref="C956">IFERROR(_xlfn.XLOOKUP(B956,MObra[[#All],[DESCRIPCION]],MObra[[#All],[UN]],,0),"")</f>
        <v/>
      </c>
      <c r="D956" s="31"/>
      <c r="E956" s="32" t="str">
        <f>IFERROR(_xlfn.XLOOKUP($B956,MObra[DESCRIPCION],MObra[VALOR UNIT],,0),"")</f>
        <v/>
      </c>
      <c r="F956" s="33"/>
      <c r="G956" s="34" t="str">
        <f>IFERROR(IF(F956&gt;=0,D956*E956*(1+F956/100),ABS(D956*E956/F956)),"")</f>
        <v/>
      </c>
      <c r="H956" s="43" t="str">
        <f>IFERROR(G956*E939,"")</f>
        <v/>
      </c>
    </row>
    <row r="957" spans="1:11" ht="12.75" customHeight="1" thickBot="1">
      <c r="A957" s="35"/>
      <c r="B957" s="36"/>
      <c r="C957" s="37" t="str">
        <f t="array" ref="C957">IFERROR(_xlfn.XLOOKUP(B957,MObra[[#All],[DESCRIPCION]],MObra[[#All],[UN]],,0),"")</f>
        <v/>
      </c>
      <c r="D957" s="38"/>
      <c r="E957" s="39" t="str">
        <f>IFERROR(_xlfn.XLOOKUP($B957,MObra[DESCRIPCION],MObra[VALOR UNIT],,0),"")</f>
        <v/>
      </c>
      <c r="F957" s="40"/>
      <c r="G957" s="41" t="str">
        <f>IFERROR(IF(F957&gt;=0,D957*E957*(1+F957/100),ABS(D957*E957/F957)),"")</f>
        <v/>
      </c>
      <c r="H957" s="42" t="str">
        <f>IFERROR(G957*E939,"")</f>
        <v/>
      </c>
    </row>
    <row r="958" spans="1:11" ht="12.75" customHeight="1" thickTop="1" thickBot="1"/>
    <row r="959" spans="1:11" ht="12.75" customHeight="1" thickTop="1" thickBot="1">
      <c r="A959" s="6" t="s">
        <v>1189</v>
      </c>
      <c r="B959" s="7" t="str">
        <f>VLOOKUP($A959,Presupuesto!$A:$D,2,FALSE())</f>
        <v>Caballete ondulado teja transparente</v>
      </c>
      <c r="C959" s="8" t="str">
        <f>VLOOKUP($A959,Presupuesto!$A:$D,3,FALSE())</f>
        <v>M</v>
      </c>
      <c r="D959" s="9"/>
      <c r="E959" s="10">
        <f>VLOOKUP($A959,Presupuesto!$A:$D,4,FALSE())</f>
        <v>0</v>
      </c>
      <c r="F959" s="11" t="s">
        <v>2589</v>
      </c>
      <c r="G959" s="12">
        <f>SUM(G961:G977)/2</f>
        <v>89881.780220578134</v>
      </c>
      <c r="H959" s="13">
        <f>ROUND(SUM(H961:H977),0)/2</f>
        <v>0</v>
      </c>
      <c r="I959" s="10">
        <f>VLOOKUP(A959,Presupuesto!$A:$F,6,0)</f>
        <v>0</v>
      </c>
      <c r="J959" s="10">
        <f>+H959-I959</f>
        <v>0</v>
      </c>
      <c r="K959" s="46">
        <f>+H959-G959*E959</f>
        <v>0</v>
      </c>
    </row>
    <row r="960" spans="1:11" ht="12.75" customHeight="1" thickTop="1">
      <c r="A960" s="14"/>
      <c r="B960" s="15" t="s">
        <v>2586</v>
      </c>
      <c r="C960" s="15" t="s">
        <v>5</v>
      </c>
      <c r="D960" s="16" t="s">
        <v>6</v>
      </c>
      <c r="E960" s="17" t="s">
        <v>7</v>
      </c>
      <c r="F960" s="18" t="s">
        <v>3728</v>
      </c>
      <c r="G960" s="19" t="s">
        <v>3729</v>
      </c>
      <c r="H960" s="20" t="s">
        <v>3797</v>
      </c>
    </row>
    <row r="961" spans="1:8" ht="12.75" customHeight="1">
      <c r="A961" s="21"/>
      <c r="B961" s="22" t="s">
        <v>3730</v>
      </c>
      <c r="C961" s="23"/>
      <c r="D961" s="24"/>
      <c r="E961" s="25"/>
      <c r="F961" s="26"/>
      <c r="G961" s="27">
        <f>SUM(G962:G966)</f>
        <v>67284.945000000007</v>
      </c>
      <c r="H961" s="27">
        <f>IFERROR(G961*E959,"")</f>
        <v>0</v>
      </c>
    </row>
    <row r="962" spans="1:8" ht="12.75" customHeight="1">
      <c r="A962" s="28"/>
      <c r="B962" s="29" t="s">
        <v>2776</v>
      </c>
      <c r="C962" s="30" t="str">
        <f>IFERROR(_xlfn.XLOOKUP(B962,Insumo[DESCRIPCION],Insumo[UND],,0),"")</f>
        <v>Un</v>
      </c>
      <c r="D962" s="31">
        <v>1.3</v>
      </c>
      <c r="E962" s="32">
        <f>IFERROR(_xlfn.XLOOKUP($B962,Insumo[DESCRIPCION],Insumo[VALOR],,0),"")</f>
        <v>51148.65</v>
      </c>
      <c r="F962" s="33"/>
      <c r="G962" s="34">
        <f>IFERROR(IF(F962&gt;=0,D962*E962*(1+F962/100),ABS(D962*E962/F962)),"")</f>
        <v>66493.24500000001</v>
      </c>
      <c r="H962" s="43">
        <f>IFERROR(G962*E959,"")</f>
        <v>0</v>
      </c>
    </row>
    <row r="963" spans="1:8" ht="12.75" customHeight="1">
      <c r="A963" s="28"/>
      <c r="B963" s="29" t="s">
        <v>3402</v>
      </c>
      <c r="C963" s="30" t="str">
        <f>IFERROR(_xlfn.XLOOKUP(B963,Insumo[DESCRIPCION],Insumo[UND],,0),"")</f>
        <v>Un</v>
      </c>
      <c r="D963" s="31">
        <v>2</v>
      </c>
      <c r="E963" s="32">
        <f>IFERROR(_xlfn.XLOOKUP($B963,Insumo[DESCRIPCION],Insumo[VALOR],,0),"")</f>
        <v>395.85</v>
      </c>
      <c r="F963" s="33"/>
      <c r="G963" s="34">
        <f>IFERROR(IF(F963&gt;=0,D963*E963*(1+F963/100),ABS(D963*E963/F963)),"")</f>
        <v>791.7</v>
      </c>
      <c r="H963" s="43">
        <f>IFERROR(G963*E959,"")</f>
        <v>0</v>
      </c>
    </row>
    <row r="964" spans="1:8" ht="12.75" customHeight="1">
      <c r="A964" s="28"/>
      <c r="B964" s="29"/>
      <c r="C964" s="30" t="str">
        <f>IFERROR(_xlfn.XLOOKUP(B964,Insumo[DESCRIPCION],Insumo[UND],,0),"")</f>
        <v/>
      </c>
      <c r="D964" s="31"/>
      <c r="E964" s="32" t="str">
        <f>IFERROR(_xlfn.XLOOKUP($B964,Insumo[DESCRIPCION],Insumo[VALOR],,0),"")</f>
        <v/>
      </c>
      <c r="F964" s="33"/>
      <c r="G964" s="34" t="str">
        <f>IFERROR(IF(F964&gt;=0,D964*E964*(1+F964/100),ABS(D964*E964/F964)),"")</f>
        <v/>
      </c>
      <c r="H964" s="43" t="str">
        <f>IFERROR(G964*E959,"")</f>
        <v/>
      </c>
    </row>
    <row r="965" spans="1:8" ht="12.75" customHeight="1">
      <c r="A965" s="28"/>
      <c r="B965" s="29"/>
      <c r="C965" s="30" t="str">
        <f>IFERROR(_xlfn.XLOOKUP(B965,Insumo[DESCRIPCION],Insumo[UND],,0),"")</f>
        <v/>
      </c>
      <c r="D965" s="31"/>
      <c r="E965" s="32" t="str">
        <f>IFERROR(_xlfn.XLOOKUP($B965,Insumo[DESCRIPCION],Insumo[VALOR],,0),"")</f>
        <v/>
      </c>
      <c r="F965" s="33"/>
      <c r="G965" s="34" t="str">
        <f>IFERROR(IF(F965&gt;=0,D965*E965*(1+F965/100),ABS(D965*E965/F965)),"")</f>
        <v/>
      </c>
      <c r="H965" s="43" t="str">
        <f>IFERROR(G965*E959,"")</f>
        <v/>
      </c>
    </row>
    <row r="966" spans="1:8" ht="12.75" customHeight="1">
      <c r="A966" s="28"/>
      <c r="B966" s="29"/>
      <c r="C966" s="30" t="str">
        <f>IFERROR(_xlfn.XLOOKUP(B966,Insumo[DESCRIPCION],Insumo[UND],,0),"")</f>
        <v/>
      </c>
      <c r="D966" s="31"/>
      <c r="E966" s="32" t="str">
        <f>IFERROR(_xlfn.XLOOKUP($B966,Insumo[DESCRIPCION],Insumo[VALOR],,0),"")</f>
        <v/>
      </c>
      <c r="F966" s="33"/>
      <c r="G966" s="34" t="str">
        <f>IFERROR(IF(F966&gt;=0,D966*E966*(1+F966/100),ABS(D966*E966/F966)),"")</f>
        <v/>
      </c>
      <c r="H966" s="43" t="str">
        <f>IFERROR(G966*E959,"")</f>
        <v/>
      </c>
    </row>
    <row r="967" spans="1:8" ht="12.75" customHeight="1">
      <c r="A967" s="21"/>
      <c r="B967" s="22" t="s">
        <v>3731</v>
      </c>
      <c r="C967" s="23"/>
      <c r="D967" s="24"/>
      <c r="E967" s="25"/>
      <c r="F967" s="26"/>
      <c r="G967" s="27">
        <f>SUM(G968:G970)</f>
        <v>2947.4132896406259</v>
      </c>
      <c r="H967" s="44">
        <f>G967*E959</f>
        <v>0</v>
      </c>
    </row>
    <row r="968" spans="1:8" ht="12.75" customHeight="1">
      <c r="A968" s="28"/>
      <c r="B968" s="29" t="s">
        <v>3573</v>
      </c>
      <c r="C968" s="30" t="str">
        <f>IFERROR(_xlfn.XLOOKUP(B968,Equipo[DESCRIPCION],Equipo[UND],,0),"")</f>
        <v>%MO</v>
      </c>
      <c r="D968" s="31">
        <v>0.1</v>
      </c>
      <c r="E968" s="32">
        <f>IF(C968="%MO",G974,IFERROR(_xlfn.XLOOKUP($B968,Equipo[DESCRIPCION],Equipo[VALOR],,0),""))</f>
        <v>19649.421930937504</v>
      </c>
      <c r="F968" s="33"/>
      <c r="G968" s="34">
        <f>IFERROR(IF(F968&gt;=0,D968*E968*(1+F968/100),ABS(D968*E968/F968)),"")</f>
        <v>1964.9421930937506</v>
      </c>
      <c r="H968" s="43">
        <f>IFERROR(G968*E959,"")</f>
        <v>0</v>
      </c>
    </row>
    <row r="969" spans="1:8" ht="12.75" customHeight="1">
      <c r="A969" s="28"/>
      <c r="B969" s="29" t="s">
        <v>3626</v>
      </c>
      <c r="C969" s="30" t="str">
        <f>IFERROR(_xlfn.XLOOKUP(B969,Equipo[DESCRIPCION],Equipo[UND],,0),"")</f>
        <v>%MO</v>
      </c>
      <c r="D969" s="31">
        <v>0.05</v>
      </c>
      <c r="E969" s="32">
        <f>IF(C969="%MO",G974,IFERROR(_xlfn.XLOOKUP($B969,Equipo[DESCRIPCION],Equipo[VALOR],,0),""))</f>
        <v>19649.421930937504</v>
      </c>
      <c r="F969" s="33"/>
      <c r="G969" s="34">
        <f>IFERROR(IF(F969&gt;=0,D969*E969*(1+F969/100),ABS(D969*E969/F969)),"")</f>
        <v>982.47109654687529</v>
      </c>
      <c r="H969" s="43">
        <f>IFERROR(G969*E959,"")</f>
        <v>0</v>
      </c>
    </row>
    <row r="970" spans="1:8" ht="12.75" customHeight="1">
      <c r="A970" s="28"/>
      <c r="B970" s="29"/>
      <c r="C970" s="30" t="str">
        <f>IFERROR(_xlfn.XLOOKUP(B970,Equipo[DESCRIPCION],Equipo[UND],,0),"")</f>
        <v/>
      </c>
      <c r="D970" s="31"/>
      <c r="E970" s="32" t="str">
        <f>IF(C970="%MO",G974,IFERROR(_xlfn.XLOOKUP($B970,Equipo[DESCRIPCION],Equipo[VALOR],,0),""))</f>
        <v/>
      </c>
      <c r="F970" s="33"/>
      <c r="G970" s="34" t="str">
        <f>IFERROR(IF(F970&gt;=0,D970*E970*(1+F970/100),ABS(D970*E970/F970)),"")</f>
        <v/>
      </c>
      <c r="H970" s="43" t="str">
        <f>IFERROR(G970*E959,"")</f>
        <v/>
      </c>
    </row>
    <row r="971" spans="1:8" ht="12.75" customHeight="1">
      <c r="A971" s="21"/>
      <c r="B971" s="22" t="s">
        <v>2533</v>
      </c>
      <c r="C971" s="23"/>
      <c r="D971" s="24"/>
      <c r="E971" s="25"/>
      <c r="F971" s="26"/>
      <c r="G971" s="27">
        <f>SUM(G972:G973)</f>
        <v>0</v>
      </c>
      <c r="H971" s="44">
        <f>G971*E959</f>
        <v>0</v>
      </c>
    </row>
    <row r="972" spans="1:8" ht="12.75" customHeight="1">
      <c r="A972" s="28"/>
      <c r="B972" s="29"/>
      <c r="C972" s="30" t="str">
        <f>IFERROR(_xlfn.XLOOKUP(B972,Transporte[DESCRIPCION],Transporte[UND],,0),"")</f>
        <v/>
      </c>
      <c r="D972" s="31"/>
      <c r="E972" s="32" t="str">
        <f>IFERROR(_xlfn.XLOOKUP($B972,Transporte[DESCRIPCION],Transporte[VALOR],,0),"")</f>
        <v/>
      </c>
      <c r="F972" s="33"/>
      <c r="G972" s="34" t="str">
        <f>IFERROR(IF(F972&gt;=0,D972*E972*(1+F972/100),ABS(D972*E972/F972)),"")</f>
        <v/>
      </c>
      <c r="H972" s="43" t="str">
        <f>IFERROR(G972*E959,"")</f>
        <v/>
      </c>
    </row>
    <row r="973" spans="1:8" ht="12.75" customHeight="1">
      <c r="A973" s="28"/>
      <c r="B973" s="29"/>
      <c r="C973" s="30" t="str">
        <f>IFERROR(_xlfn.XLOOKUP(B973,Transporte[DESCRIPCION],Transporte[UND],,0),"")</f>
        <v/>
      </c>
      <c r="D973" s="31"/>
      <c r="E973" s="32" t="str">
        <f>IFERROR(_xlfn.XLOOKUP($B973,Transporte[DESCRIPCION],Transporte[VALOR],,0),"")</f>
        <v/>
      </c>
      <c r="F973" s="33"/>
      <c r="G973" s="34" t="str">
        <f>IFERROR(IF(F973&gt;=0,D973*E973*(1+F973/100),ABS(D973*E973/F973)),"")</f>
        <v/>
      </c>
      <c r="H973" s="43" t="str">
        <f>IFERROR(G973*E959,"")</f>
        <v/>
      </c>
    </row>
    <row r="974" spans="1:8" ht="12.75" customHeight="1">
      <c r="A974" s="21"/>
      <c r="B974" s="22" t="s">
        <v>3732</v>
      </c>
      <c r="C974" s="23"/>
      <c r="D974" s="24"/>
      <c r="E974" s="25"/>
      <c r="F974" s="26"/>
      <c r="G974" s="27">
        <f>SUM(G975:G977)</f>
        <v>19649.421930937504</v>
      </c>
      <c r="H974" s="44">
        <f>G974*E959</f>
        <v>0</v>
      </c>
    </row>
    <row r="975" spans="1:8" ht="12.75" customHeight="1">
      <c r="A975" s="28"/>
      <c r="B975" s="29" t="s">
        <v>3710</v>
      </c>
      <c r="C975" s="30" t="str">
        <f>IFERROR(_xlfn.XLOOKUP(B975,MObra[DESCRIPCION],MObra[UN],,0),"")</f>
        <v>día</v>
      </c>
      <c r="D975" s="31">
        <v>1</v>
      </c>
      <c r="E975" s="32">
        <f>IFERROR(_xlfn.XLOOKUP($B975,MObra[DESCRIPCION],MObra[VALOR UNIT],,0),"")</f>
        <v>314390.75089500006</v>
      </c>
      <c r="F975" s="33">
        <v>-16</v>
      </c>
      <c r="G975" s="34">
        <f>IFERROR(IF(F975&gt;=0,D975*E975*(1+F975/100),ABS(D975*E975/F975)),"")</f>
        <v>19649.421930937504</v>
      </c>
      <c r="H975" s="43">
        <f>IFERROR(G975*E959,"")</f>
        <v>0</v>
      </c>
    </row>
    <row r="976" spans="1:8" ht="12.75" customHeight="1">
      <c r="A976" s="28"/>
      <c r="B976" s="29"/>
      <c r="C976" s="30" t="str">
        <f t="array" ref="C976">IFERROR(_xlfn.XLOOKUP(B976,MObra[[#All],[DESCRIPCION]],MObra[[#All],[UN]],,0),"")</f>
        <v/>
      </c>
      <c r="D976" s="31"/>
      <c r="E976" s="32" t="str">
        <f>IFERROR(_xlfn.XLOOKUP($B976,MObra[DESCRIPCION],MObra[VALOR UNIT],,0),"")</f>
        <v/>
      </c>
      <c r="F976" s="33"/>
      <c r="G976" s="34" t="str">
        <f>IFERROR(IF(F976&gt;=0,D976*E976*(1+F976/100),ABS(D976*E976/F976)),"")</f>
        <v/>
      </c>
      <c r="H976" s="43" t="str">
        <f>IFERROR(G976*E959,"")</f>
        <v/>
      </c>
    </row>
    <row r="977" spans="1:11" ht="12.75" customHeight="1" thickBot="1">
      <c r="A977" s="35"/>
      <c r="B977" s="36"/>
      <c r="C977" s="37" t="str">
        <f t="array" ref="C977">IFERROR(_xlfn.XLOOKUP(B977,MObra[[#All],[DESCRIPCION]],MObra[[#All],[UN]],,0),"")</f>
        <v/>
      </c>
      <c r="D977" s="38"/>
      <c r="E977" s="39" t="str">
        <f>IFERROR(_xlfn.XLOOKUP($B977,MObra[DESCRIPCION],MObra[VALOR UNIT],,0),"")</f>
        <v/>
      </c>
      <c r="F977" s="40"/>
      <c r="G977" s="41" t="str">
        <f>IFERROR(IF(F977&gt;=0,D977*E977*(1+F977/100),ABS(D977*E977/F977)),"")</f>
        <v/>
      </c>
      <c r="H977" s="42" t="str">
        <f>IFERROR(G977*E959,"")</f>
        <v/>
      </c>
    </row>
    <row r="978" spans="1:11" ht="12.75" customHeight="1" thickTop="1" thickBot="1"/>
    <row r="979" spans="1:11" ht="12.75" customHeight="1" thickTop="1" thickBot="1">
      <c r="A979" s="6" t="s">
        <v>1191</v>
      </c>
      <c r="B979" s="7" t="str">
        <f>VLOOKUP($A979,Presupuesto!$A:$D,2,FALSE())</f>
        <v>Caballete teja termoacústica</v>
      </c>
      <c r="C979" s="8" t="str">
        <f>VLOOKUP($A979,Presupuesto!$A:$D,3,FALSE())</f>
        <v>M</v>
      </c>
      <c r="D979" s="9"/>
      <c r="E979" s="10">
        <f>VLOOKUP($A979,Presupuesto!$A:$D,4,FALSE())</f>
        <v>0</v>
      </c>
      <c r="F979" s="11" t="s">
        <v>2589</v>
      </c>
      <c r="G979" s="12">
        <f>SUM(G981:G997)/2</f>
        <v>91741.541358535731</v>
      </c>
      <c r="H979" s="13">
        <f>ROUND(SUM(H981:H997),0)/2</f>
        <v>0</v>
      </c>
      <c r="I979" s="10">
        <f>VLOOKUP(A979,Presupuesto!$A:$F,6,0)</f>
        <v>0</v>
      </c>
      <c r="J979" s="10">
        <f>+H979-I979</f>
        <v>0</v>
      </c>
      <c r="K979" s="46">
        <f>+H979-G979*E979</f>
        <v>0</v>
      </c>
    </row>
    <row r="980" spans="1:11" ht="12.75" customHeight="1" thickTop="1">
      <c r="A980" s="14"/>
      <c r="B980" s="15" t="s">
        <v>2586</v>
      </c>
      <c r="C980" s="15" t="s">
        <v>5</v>
      </c>
      <c r="D980" s="16" t="s">
        <v>6</v>
      </c>
      <c r="E980" s="17" t="s">
        <v>7</v>
      </c>
      <c r="F980" s="18" t="s">
        <v>3728</v>
      </c>
      <c r="G980" s="19" t="s">
        <v>3729</v>
      </c>
      <c r="H980" s="20" t="s">
        <v>3797</v>
      </c>
    </row>
    <row r="981" spans="1:11" ht="12.75" customHeight="1">
      <c r="A981" s="21"/>
      <c r="B981" s="22" t="s">
        <v>3730</v>
      </c>
      <c r="C981" s="23"/>
      <c r="D981" s="24"/>
      <c r="E981" s="25"/>
      <c r="F981" s="26"/>
      <c r="G981" s="27">
        <f>SUM(G982:G986)</f>
        <v>74524.905000000013</v>
      </c>
      <c r="H981" s="27">
        <f>IFERROR(G981*E979,"")</f>
        <v>0</v>
      </c>
    </row>
    <row r="982" spans="1:11" ht="12.75" customHeight="1">
      <c r="A982" s="28"/>
      <c r="B982" s="29" t="s">
        <v>2777</v>
      </c>
      <c r="C982" s="30" t="str">
        <f>IFERROR(_xlfn.XLOOKUP(B982,Insumo[DESCRIPCION],Insumo[UND],,0),"")</f>
        <v>Un</v>
      </c>
      <c r="D982" s="31">
        <v>1.3</v>
      </c>
      <c r="E982" s="32">
        <f>IFERROR(_xlfn.XLOOKUP($B982,Insumo[DESCRIPCION],Insumo[VALOR],,0),"")</f>
        <v>56717.850000000006</v>
      </c>
      <c r="F982" s="33"/>
      <c r="G982" s="34">
        <f>IFERROR(IF(F982&gt;=0,D982*E982*(1+F982/100),ABS(D982*E982/F982)),"")</f>
        <v>73733.205000000016</v>
      </c>
      <c r="H982" s="43">
        <f>IFERROR(G982*E979,"")</f>
        <v>0</v>
      </c>
    </row>
    <row r="983" spans="1:11" ht="12.75" customHeight="1">
      <c r="A983" s="28"/>
      <c r="B983" s="29" t="s">
        <v>3402</v>
      </c>
      <c r="C983" s="30" t="str">
        <f>IFERROR(_xlfn.XLOOKUP(B983,Insumo[DESCRIPCION],Insumo[UND],,0),"")</f>
        <v>Un</v>
      </c>
      <c r="D983" s="31">
        <v>2</v>
      </c>
      <c r="E983" s="32">
        <f>IFERROR(_xlfn.XLOOKUP($B983,Insumo[DESCRIPCION],Insumo[VALOR],,0),"")</f>
        <v>395.85</v>
      </c>
      <c r="F983" s="33"/>
      <c r="G983" s="34">
        <f>IFERROR(IF(F983&gt;=0,D983*E983*(1+F983/100),ABS(D983*E983/F983)),"")</f>
        <v>791.7</v>
      </c>
      <c r="H983" s="43">
        <f>IFERROR(G983*E979,"")</f>
        <v>0</v>
      </c>
    </row>
    <row r="984" spans="1:11" ht="12.75" customHeight="1">
      <c r="A984" s="28"/>
      <c r="B984" s="29"/>
      <c r="C984" s="30" t="str">
        <f>IFERROR(_xlfn.XLOOKUP(B984,Insumo[DESCRIPCION],Insumo[UND],,0),"")</f>
        <v/>
      </c>
      <c r="D984" s="31"/>
      <c r="E984" s="32" t="str">
        <f>IFERROR(_xlfn.XLOOKUP($B984,Insumo[DESCRIPCION],Insumo[VALOR],,0),"")</f>
        <v/>
      </c>
      <c r="F984" s="33"/>
      <c r="G984" s="34" t="str">
        <f>IFERROR(IF(F984&gt;=0,D984*E984*(1+F984/100),ABS(D984*E984/F984)),"")</f>
        <v/>
      </c>
      <c r="H984" s="43" t="str">
        <f>IFERROR(G984*E979,"")</f>
        <v/>
      </c>
    </row>
    <row r="985" spans="1:11" ht="12.75" customHeight="1">
      <c r="A985" s="28"/>
      <c r="B985" s="29"/>
      <c r="C985" s="30" t="str">
        <f>IFERROR(_xlfn.XLOOKUP(B985,Insumo[DESCRIPCION],Insumo[UND],,0),"")</f>
        <v/>
      </c>
      <c r="D985" s="31"/>
      <c r="E985" s="32" t="str">
        <f>IFERROR(_xlfn.XLOOKUP($B985,Insumo[DESCRIPCION],Insumo[VALOR],,0),"")</f>
        <v/>
      </c>
      <c r="F985" s="33"/>
      <c r="G985" s="34" t="str">
        <f>IFERROR(IF(F985&gt;=0,D985*E985*(1+F985/100),ABS(D985*E985/F985)),"")</f>
        <v/>
      </c>
      <c r="H985" s="43" t="str">
        <f>IFERROR(G985*E979,"")</f>
        <v/>
      </c>
    </row>
    <row r="986" spans="1:11" ht="12.75" customHeight="1">
      <c r="A986" s="28"/>
      <c r="B986" s="29"/>
      <c r="C986" s="30" t="str">
        <f>IFERROR(_xlfn.XLOOKUP(B986,Insumo[DESCRIPCION],Insumo[UND],,0),"")</f>
        <v/>
      </c>
      <c r="D986" s="31"/>
      <c r="E986" s="32" t="str">
        <f>IFERROR(_xlfn.XLOOKUP($B986,Insumo[DESCRIPCION],Insumo[VALOR],,0),"")</f>
        <v/>
      </c>
      <c r="F986" s="33"/>
      <c r="G986" s="34" t="str">
        <f>IFERROR(IF(F986&gt;=0,D986*E986*(1+F986/100),ABS(D986*E986/F986)),"")</f>
        <v/>
      </c>
      <c r="H986" s="43" t="str">
        <f>IFERROR(G986*E979,"")</f>
        <v/>
      </c>
    </row>
    <row r="987" spans="1:11" ht="12.75" customHeight="1">
      <c r="A987" s="21"/>
      <c r="B987" s="22" t="s">
        <v>3731</v>
      </c>
      <c r="C987" s="23"/>
      <c r="D987" s="24"/>
      <c r="E987" s="25"/>
      <c r="F987" s="26"/>
      <c r="G987" s="27">
        <f>SUM(G988:G990)</f>
        <v>2245.6482206785722</v>
      </c>
      <c r="H987" s="44">
        <f>G987*E979</f>
        <v>0</v>
      </c>
    </row>
    <row r="988" spans="1:11" ht="12.75" customHeight="1">
      <c r="A988" s="28"/>
      <c r="B988" s="29" t="s">
        <v>3573</v>
      </c>
      <c r="C988" s="30" t="str">
        <f>IFERROR(_xlfn.XLOOKUP(B988,Equipo[DESCRIPCION],Equipo[UND],,0),"")</f>
        <v>%MO</v>
      </c>
      <c r="D988" s="31">
        <v>0.1</v>
      </c>
      <c r="E988" s="32">
        <f>IF(C988="%MO",G994,IFERROR(_xlfn.XLOOKUP($B988,Equipo[DESCRIPCION],Equipo[VALOR],,0),""))</f>
        <v>14970.988137857146</v>
      </c>
      <c r="F988" s="33"/>
      <c r="G988" s="34">
        <f>IFERROR(IF(F988&gt;=0,D988*E988*(1+F988/100),ABS(D988*E988/F988)),"")</f>
        <v>1497.0988137857148</v>
      </c>
      <c r="H988" s="43">
        <f>IFERROR(G988*E979,"")</f>
        <v>0</v>
      </c>
    </row>
    <row r="989" spans="1:11" ht="12.75" customHeight="1">
      <c r="A989" s="28"/>
      <c r="B989" s="29" t="s">
        <v>3626</v>
      </c>
      <c r="C989" s="30" t="str">
        <f>IFERROR(_xlfn.XLOOKUP(B989,Equipo[DESCRIPCION],Equipo[UND],,0),"")</f>
        <v>%MO</v>
      </c>
      <c r="D989" s="31">
        <v>0.05</v>
      </c>
      <c r="E989" s="32">
        <f>IF(C989="%MO",G994,IFERROR(_xlfn.XLOOKUP($B989,Equipo[DESCRIPCION],Equipo[VALOR],,0),""))</f>
        <v>14970.988137857146</v>
      </c>
      <c r="F989" s="33"/>
      <c r="G989" s="34">
        <f>IFERROR(IF(F989&gt;=0,D989*E989*(1+F989/100),ABS(D989*E989/F989)),"")</f>
        <v>748.54940689285741</v>
      </c>
      <c r="H989" s="43">
        <f>IFERROR(G989*E979,"")</f>
        <v>0</v>
      </c>
    </row>
    <row r="990" spans="1:11" ht="12.75" customHeight="1">
      <c r="A990" s="28"/>
      <c r="B990" s="29"/>
      <c r="C990" s="30" t="str">
        <f>IFERROR(_xlfn.XLOOKUP(B990,Equipo[DESCRIPCION],Equipo[UND],,0),"")</f>
        <v/>
      </c>
      <c r="D990" s="31"/>
      <c r="E990" s="32" t="str">
        <f>IF(C990="%MO",G994,IFERROR(_xlfn.XLOOKUP($B990,Equipo[DESCRIPCION],Equipo[VALOR],,0),""))</f>
        <v/>
      </c>
      <c r="F990" s="33"/>
      <c r="G990" s="34" t="str">
        <f>IFERROR(IF(F990&gt;=0,D990*E990*(1+F990/100),ABS(D990*E990/F990)),"")</f>
        <v/>
      </c>
      <c r="H990" s="43" t="str">
        <f>IFERROR(G990*E979,"")</f>
        <v/>
      </c>
    </row>
    <row r="991" spans="1:11" ht="12.75" customHeight="1">
      <c r="A991" s="21"/>
      <c r="B991" s="22" t="s">
        <v>2533</v>
      </c>
      <c r="C991" s="23"/>
      <c r="D991" s="24"/>
      <c r="E991" s="25"/>
      <c r="F991" s="26"/>
      <c r="G991" s="27">
        <f>SUM(G992:G993)</f>
        <v>0</v>
      </c>
      <c r="H991" s="44">
        <f>G991*E979</f>
        <v>0</v>
      </c>
    </row>
    <row r="992" spans="1:11" ht="12.75" customHeight="1">
      <c r="A992" s="28"/>
      <c r="B992" s="29"/>
      <c r="C992" s="30" t="str">
        <f>IFERROR(_xlfn.XLOOKUP(B992,Transporte[DESCRIPCION],Transporte[UND],,0),"")</f>
        <v/>
      </c>
      <c r="D992" s="31"/>
      <c r="E992" s="32" t="str">
        <f>IFERROR(_xlfn.XLOOKUP($B992,Transporte[DESCRIPCION],Transporte[VALOR],,0),"")</f>
        <v/>
      </c>
      <c r="F992" s="33"/>
      <c r="G992" s="34" t="str">
        <f>IFERROR(IF(F992&gt;=0,D992*E992*(1+F992/100),ABS(D992*E992/F992)),"")</f>
        <v/>
      </c>
      <c r="H992" s="43" t="str">
        <f>IFERROR(G992*E979,"")</f>
        <v/>
      </c>
    </row>
    <row r="993" spans="1:11" ht="12.75" customHeight="1">
      <c r="A993" s="28"/>
      <c r="B993" s="29"/>
      <c r="C993" s="30" t="str">
        <f>IFERROR(_xlfn.XLOOKUP(B993,Transporte[DESCRIPCION],Transporte[UND],,0),"")</f>
        <v/>
      </c>
      <c r="D993" s="31"/>
      <c r="E993" s="32" t="str">
        <f>IFERROR(_xlfn.XLOOKUP($B993,Transporte[DESCRIPCION],Transporte[VALOR],,0),"")</f>
        <v/>
      </c>
      <c r="F993" s="33"/>
      <c r="G993" s="34" t="str">
        <f>IFERROR(IF(F993&gt;=0,D993*E993*(1+F993/100),ABS(D993*E993/F993)),"")</f>
        <v/>
      </c>
      <c r="H993" s="43" t="str">
        <f>IFERROR(G993*E979,"")</f>
        <v/>
      </c>
    </row>
    <row r="994" spans="1:11" ht="12.75" customHeight="1">
      <c r="A994" s="21"/>
      <c r="B994" s="22" t="s">
        <v>3732</v>
      </c>
      <c r="C994" s="23"/>
      <c r="D994" s="24"/>
      <c r="E994" s="25"/>
      <c r="F994" s="26"/>
      <c r="G994" s="27">
        <f>SUM(G995:G997)</f>
        <v>14970.988137857146</v>
      </c>
      <c r="H994" s="44">
        <f>G994*E979</f>
        <v>0</v>
      </c>
    </row>
    <row r="995" spans="1:11" ht="12.75" customHeight="1">
      <c r="A995" s="28"/>
      <c r="B995" s="29" t="s">
        <v>3710</v>
      </c>
      <c r="C995" s="30" t="str">
        <f>IFERROR(_xlfn.XLOOKUP(B995,MObra[DESCRIPCION],MObra[UN],,0),"")</f>
        <v>día</v>
      </c>
      <c r="D995" s="31">
        <v>1</v>
      </c>
      <c r="E995" s="32">
        <f>IFERROR(_xlfn.XLOOKUP($B995,MObra[DESCRIPCION],MObra[VALOR UNIT],,0),"")</f>
        <v>314390.75089500006</v>
      </c>
      <c r="F995" s="33">
        <v>-21</v>
      </c>
      <c r="G995" s="34">
        <f>IFERROR(IF(F995&gt;=0,D995*E995*(1+F995/100),ABS(D995*E995/F995)),"")</f>
        <v>14970.988137857146</v>
      </c>
      <c r="H995" s="43">
        <f>IFERROR(G995*E979,"")</f>
        <v>0</v>
      </c>
    </row>
    <row r="996" spans="1:11" ht="12.75" customHeight="1">
      <c r="A996" s="28"/>
      <c r="B996" s="29"/>
      <c r="C996" s="30" t="str">
        <f t="array" ref="C996">IFERROR(_xlfn.XLOOKUP(B996,MObra[[#All],[DESCRIPCION]],MObra[[#All],[UN]],,0),"")</f>
        <v/>
      </c>
      <c r="D996" s="31"/>
      <c r="E996" s="32" t="str">
        <f>IFERROR(_xlfn.XLOOKUP($B996,MObra[DESCRIPCION],MObra[VALOR UNIT],,0),"")</f>
        <v/>
      </c>
      <c r="F996" s="33"/>
      <c r="G996" s="34" t="str">
        <f>IFERROR(IF(F996&gt;=0,D996*E996*(1+F996/100),ABS(D996*E996/F996)),"")</f>
        <v/>
      </c>
      <c r="H996" s="43" t="str">
        <f>IFERROR(G996*E979,"")</f>
        <v/>
      </c>
    </row>
    <row r="997" spans="1:11" ht="12.75" customHeight="1" thickBot="1">
      <c r="A997" s="35"/>
      <c r="B997" s="36"/>
      <c r="C997" s="37" t="str">
        <f t="array" ref="C997">IFERROR(_xlfn.XLOOKUP(B997,MObra[[#All],[DESCRIPCION]],MObra[[#All],[UN]],,0),"")</f>
        <v/>
      </c>
      <c r="D997" s="38"/>
      <c r="E997" s="39" t="str">
        <f>IFERROR(_xlfn.XLOOKUP($B997,MObra[DESCRIPCION],MObra[VALOR UNIT],,0),"")</f>
        <v/>
      </c>
      <c r="F997" s="40"/>
      <c r="G997" s="41" t="str">
        <f>IFERROR(IF(F997&gt;=0,D997*E997*(1+F997/100),ABS(D997*E997/F997)),"")</f>
        <v/>
      </c>
      <c r="H997" s="42" t="str">
        <f>IFERROR(G997*E979,"")</f>
        <v/>
      </c>
    </row>
    <row r="998" spans="1:11" ht="12.75" customHeight="1" thickTop="1" thickBot="1"/>
    <row r="999" spans="1:11" ht="12.75" customHeight="1" thickTop="1" thickBot="1">
      <c r="A999" s="6" t="s">
        <v>1193</v>
      </c>
      <c r="B999" s="7" t="str">
        <f>VLOOKUP($A999,Presupuesto!$A:$D,2,FALSE())</f>
        <v>Canal lámina galvanizada C 22 S&lt;=0.50m</v>
      </c>
      <c r="C999" s="8" t="str">
        <f>VLOOKUP($A999,Presupuesto!$A:$D,3,FALSE())</f>
        <v>M</v>
      </c>
      <c r="D999" s="9"/>
      <c r="E999" s="10">
        <f>VLOOKUP($A999,Presupuesto!$A:$D,4,FALSE())</f>
        <v>0</v>
      </c>
      <c r="F999" s="11" t="s">
        <v>2589</v>
      </c>
      <c r="G999" s="12">
        <f>SUM(G1001:G1017)/2</f>
        <v>158991.83522057813</v>
      </c>
      <c r="H999" s="13">
        <f>ROUND(SUM(H1001:H1017),0)/2</f>
        <v>0</v>
      </c>
      <c r="I999" s="10">
        <f>VLOOKUP(A999,Presupuesto!$A:$F,6,0)</f>
        <v>0</v>
      </c>
      <c r="J999" s="10">
        <f>+H999-I999</f>
        <v>0</v>
      </c>
      <c r="K999" s="46">
        <f>+H999-G999*E999</f>
        <v>0</v>
      </c>
    </row>
    <row r="1000" spans="1:11" ht="12.75" customHeight="1" thickTop="1">
      <c r="A1000" s="14"/>
      <c r="B1000" s="15" t="s">
        <v>2586</v>
      </c>
      <c r="C1000" s="15" t="s">
        <v>5</v>
      </c>
      <c r="D1000" s="16" t="s">
        <v>6</v>
      </c>
      <c r="E1000" s="17" t="s">
        <v>7</v>
      </c>
      <c r="F1000" s="18" t="s">
        <v>3728</v>
      </c>
      <c r="G1000" s="19" t="s">
        <v>3729</v>
      </c>
      <c r="H1000" s="20" t="s">
        <v>3797</v>
      </c>
    </row>
    <row r="1001" spans="1:11" ht="12.75" customHeight="1">
      <c r="A1001" s="21"/>
      <c r="B1001" s="22" t="s">
        <v>3730</v>
      </c>
      <c r="C1001" s="23"/>
      <c r="D1001" s="24"/>
      <c r="E1001" s="25"/>
      <c r="F1001" s="26"/>
      <c r="G1001" s="27">
        <f>SUM(G1002:G1006)</f>
        <v>136395</v>
      </c>
      <c r="H1001" s="27">
        <f>IFERROR(G1001*E999,"")</f>
        <v>0</v>
      </c>
    </row>
    <row r="1002" spans="1:11" ht="12.75" customHeight="1">
      <c r="A1002" s="28"/>
      <c r="B1002" s="29" t="s">
        <v>2815</v>
      </c>
      <c r="C1002" s="30" t="str">
        <f>IFERROR(_xlfn.XLOOKUP(B1002,Insumo[DESCRIPCION],Insumo[UND],,0),"")</f>
        <v>M</v>
      </c>
      <c r="D1002" s="31">
        <v>1</v>
      </c>
      <c r="E1002" s="32">
        <f>IFERROR(_xlfn.XLOOKUP($B1002,Insumo[DESCRIPCION],Insumo[VALOR],,0),"")</f>
        <v>136395</v>
      </c>
      <c r="F1002" s="33"/>
      <c r="G1002" s="34">
        <f>IFERROR(IF(F1002&gt;=0,D1002*E1002*(1+F1002/100),ABS(D1002*E1002/F1002)),"")</f>
        <v>136395</v>
      </c>
      <c r="H1002" s="43">
        <f>IFERROR(G1002*E999,"")</f>
        <v>0</v>
      </c>
    </row>
    <row r="1003" spans="1:11" ht="12.75" customHeight="1">
      <c r="A1003" s="28"/>
      <c r="B1003" s="29"/>
      <c r="C1003" s="30" t="str">
        <f>IFERROR(_xlfn.XLOOKUP(B1003,Insumo[DESCRIPCION],Insumo[UND],,0),"")</f>
        <v/>
      </c>
      <c r="D1003" s="31"/>
      <c r="E1003" s="32" t="str">
        <f>IFERROR(_xlfn.XLOOKUP($B1003,Insumo[DESCRIPCION],Insumo[VALOR],,0),"")</f>
        <v/>
      </c>
      <c r="F1003" s="33"/>
      <c r="G1003" s="34" t="str">
        <f>IFERROR(IF(F1003&gt;=0,D1003*E1003*(1+F1003/100),ABS(D1003*E1003/F1003)),"")</f>
        <v/>
      </c>
      <c r="H1003" s="43" t="str">
        <f>IFERROR(G1003*E999,"")</f>
        <v/>
      </c>
    </row>
    <row r="1004" spans="1:11" ht="12.75" customHeight="1">
      <c r="A1004" s="28"/>
      <c r="B1004" s="29"/>
      <c r="C1004" s="30" t="str">
        <f>IFERROR(_xlfn.XLOOKUP(B1004,Insumo[DESCRIPCION],Insumo[UND],,0),"")</f>
        <v/>
      </c>
      <c r="D1004" s="31"/>
      <c r="E1004" s="32" t="str">
        <f>IFERROR(_xlfn.XLOOKUP($B1004,Insumo[DESCRIPCION],Insumo[VALOR],,0),"")</f>
        <v/>
      </c>
      <c r="F1004" s="33"/>
      <c r="G1004" s="34" t="str">
        <f>IFERROR(IF(F1004&gt;=0,D1004*E1004*(1+F1004/100),ABS(D1004*E1004/F1004)),"")</f>
        <v/>
      </c>
      <c r="H1004" s="43" t="str">
        <f>IFERROR(G1004*E999,"")</f>
        <v/>
      </c>
    </row>
    <row r="1005" spans="1:11" ht="12.75" customHeight="1">
      <c r="A1005" s="28"/>
      <c r="B1005" s="29"/>
      <c r="C1005" s="30" t="str">
        <f>IFERROR(_xlfn.XLOOKUP(B1005,Insumo[DESCRIPCION],Insumo[UND],,0),"")</f>
        <v/>
      </c>
      <c r="D1005" s="31"/>
      <c r="E1005" s="32" t="str">
        <f>IFERROR(_xlfn.XLOOKUP($B1005,Insumo[DESCRIPCION],Insumo[VALOR],,0),"")</f>
        <v/>
      </c>
      <c r="F1005" s="33"/>
      <c r="G1005" s="34" t="str">
        <f>IFERROR(IF(F1005&gt;=0,D1005*E1005*(1+F1005/100),ABS(D1005*E1005/F1005)),"")</f>
        <v/>
      </c>
      <c r="H1005" s="43" t="str">
        <f>IFERROR(G1005*E999,"")</f>
        <v/>
      </c>
    </row>
    <row r="1006" spans="1:11" ht="12.75" customHeight="1">
      <c r="A1006" s="28"/>
      <c r="B1006" s="29"/>
      <c r="C1006" s="30" t="str">
        <f>IFERROR(_xlfn.XLOOKUP(B1006,Insumo[DESCRIPCION],Insumo[UND],,0),"")</f>
        <v/>
      </c>
      <c r="D1006" s="31"/>
      <c r="E1006" s="32" t="str">
        <f>IFERROR(_xlfn.XLOOKUP($B1006,Insumo[DESCRIPCION],Insumo[VALOR],,0),"")</f>
        <v/>
      </c>
      <c r="F1006" s="33"/>
      <c r="G1006" s="34" t="str">
        <f>IFERROR(IF(F1006&gt;=0,D1006*E1006*(1+F1006/100),ABS(D1006*E1006/F1006)),"")</f>
        <v/>
      </c>
      <c r="H1006" s="43" t="str">
        <f>IFERROR(G1006*E999,"")</f>
        <v/>
      </c>
    </row>
    <row r="1007" spans="1:11" ht="12.75" customHeight="1">
      <c r="A1007" s="21"/>
      <c r="B1007" s="22" t="s">
        <v>3731</v>
      </c>
      <c r="C1007" s="23"/>
      <c r="D1007" s="24"/>
      <c r="E1007" s="25"/>
      <c r="F1007" s="26"/>
      <c r="G1007" s="27">
        <f>SUM(G1008:G1010)</f>
        <v>2947.4132896406259</v>
      </c>
      <c r="H1007" s="44">
        <f>G1007*E999</f>
        <v>0</v>
      </c>
    </row>
    <row r="1008" spans="1:11" ht="12.75" customHeight="1">
      <c r="A1008" s="28"/>
      <c r="B1008" s="29" t="s">
        <v>3573</v>
      </c>
      <c r="C1008" s="30" t="str">
        <f>IFERROR(_xlfn.XLOOKUP(B1008,Equipo[DESCRIPCION],Equipo[UND],,0),"")</f>
        <v>%MO</v>
      </c>
      <c r="D1008" s="31">
        <v>0.1</v>
      </c>
      <c r="E1008" s="32">
        <f>IF(C1008="%MO",G1014,IFERROR(_xlfn.XLOOKUP($B1008,Equipo[DESCRIPCION],Equipo[VALOR],,0),""))</f>
        <v>19649.421930937504</v>
      </c>
      <c r="F1008" s="33"/>
      <c r="G1008" s="34">
        <f>IFERROR(IF(F1008&gt;=0,D1008*E1008*(1+F1008/100),ABS(D1008*E1008/F1008)),"")</f>
        <v>1964.9421930937506</v>
      </c>
      <c r="H1008" s="43">
        <f>IFERROR(G1008*E999,"")</f>
        <v>0</v>
      </c>
    </row>
    <row r="1009" spans="1:11" ht="12.75" customHeight="1">
      <c r="A1009" s="28"/>
      <c r="B1009" s="29" t="s">
        <v>3626</v>
      </c>
      <c r="C1009" s="30" t="str">
        <f>IFERROR(_xlfn.XLOOKUP(B1009,Equipo[DESCRIPCION],Equipo[UND],,0),"")</f>
        <v>%MO</v>
      </c>
      <c r="D1009" s="31">
        <v>0.05</v>
      </c>
      <c r="E1009" s="32">
        <f>IF(C1009="%MO",G1014,IFERROR(_xlfn.XLOOKUP($B1009,Equipo[DESCRIPCION],Equipo[VALOR],,0),""))</f>
        <v>19649.421930937504</v>
      </c>
      <c r="F1009" s="33"/>
      <c r="G1009" s="34">
        <f>IFERROR(IF(F1009&gt;=0,D1009*E1009*(1+F1009/100),ABS(D1009*E1009/F1009)),"")</f>
        <v>982.47109654687529</v>
      </c>
      <c r="H1009" s="43">
        <f>IFERROR(G1009*E999,"")</f>
        <v>0</v>
      </c>
    </row>
    <row r="1010" spans="1:11" ht="12.75" customHeight="1">
      <c r="A1010" s="28"/>
      <c r="B1010" s="29"/>
      <c r="C1010" s="30" t="str">
        <f>IFERROR(_xlfn.XLOOKUP(B1010,Equipo[DESCRIPCION],Equipo[UND],,0),"")</f>
        <v/>
      </c>
      <c r="D1010" s="31"/>
      <c r="E1010" s="32" t="str">
        <f>IF(C1010="%MO",G1014,IFERROR(_xlfn.XLOOKUP($B1010,Equipo[DESCRIPCION],Equipo[VALOR],,0),""))</f>
        <v/>
      </c>
      <c r="F1010" s="33"/>
      <c r="G1010" s="34" t="str">
        <f>IFERROR(IF(F1010&gt;=0,D1010*E1010*(1+F1010/100),ABS(D1010*E1010/F1010)),"")</f>
        <v/>
      </c>
      <c r="H1010" s="43" t="str">
        <f>IFERROR(G1010*E999,"")</f>
        <v/>
      </c>
    </row>
    <row r="1011" spans="1:11" ht="12.75" customHeight="1">
      <c r="A1011" s="21"/>
      <c r="B1011" s="22" t="s">
        <v>2533</v>
      </c>
      <c r="C1011" s="23"/>
      <c r="D1011" s="24"/>
      <c r="E1011" s="25"/>
      <c r="F1011" s="26"/>
      <c r="G1011" s="27">
        <f>SUM(G1012:G1013)</f>
        <v>0</v>
      </c>
      <c r="H1011" s="44">
        <f>G1011*E999</f>
        <v>0</v>
      </c>
    </row>
    <row r="1012" spans="1:11" ht="12.75" customHeight="1">
      <c r="A1012" s="28"/>
      <c r="B1012" s="29"/>
      <c r="C1012" s="30" t="str">
        <f>IFERROR(_xlfn.XLOOKUP(B1012,Transporte[DESCRIPCION],Transporte[UND],,0),"")</f>
        <v/>
      </c>
      <c r="D1012" s="31"/>
      <c r="E1012" s="32" t="str">
        <f>IFERROR(_xlfn.XLOOKUP($B1012,Transporte[DESCRIPCION],Transporte[VALOR],,0),"")</f>
        <v/>
      </c>
      <c r="F1012" s="33"/>
      <c r="G1012" s="34" t="str">
        <f>IFERROR(IF(F1012&gt;=0,D1012*E1012*(1+F1012/100),ABS(D1012*E1012/F1012)),"")</f>
        <v/>
      </c>
      <c r="H1012" s="43" t="str">
        <f>IFERROR(G1012*E999,"")</f>
        <v/>
      </c>
    </row>
    <row r="1013" spans="1:11" ht="12.75" customHeight="1">
      <c r="A1013" s="28"/>
      <c r="B1013" s="29"/>
      <c r="C1013" s="30" t="str">
        <f>IFERROR(_xlfn.XLOOKUP(B1013,Transporte[DESCRIPCION],Transporte[UND],,0),"")</f>
        <v/>
      </c>
      <c r="D1013" s="31"/>
      <c r="E1013" s="32" t="str">
        <f>IFERROR(_xlfn.XLOOKUP($B1013,Transporte[DESCRIPCION],Transporte[VALOR],,0),"")</f>
        <v/>
      </c>
      <c r="F1013" s="33"/>
      <c r="G1013" s="34" t="str">
        <f>IFERROR(IF(F1013&gt;=0,D1013*E1013*(1+F1013/100),ABS(D1013*E1013/F1013)),"")</f>
        <v/>
      </c>
      <c r="H1013" s="43" t="str">
        <f>IFERROR(G1013*E999,"")</f>
        <v/>
      </c>
    </row>
    <row r="1014" spans="1:11" ht="12.75" customHeight="1">
      <c r="A1014" s="21"/>
      <c r="B1014" s="22" t="s">
        <v>3732</v>
      </c>
      <c r="C1014" s="23"/>
      <c r="D1014" s="24"/>
      <c r="E1014" s="25"/>
      <c r="F1014" s="26"/>
      <c r="G1014" s="27">
        <f>SUM(G1015:G1017)</f>
        <v>19649.421930937504</v>
      </c>
      <c r="H1014" s="44">
        <f>G1014*E999</f>
        <v>0</v>
      </c>
    </row>
    <row r="1015" spans="1:11" ht="12.75" customHeight="1">
      <c r="A1015" s="28"/>
      <c r="B1015" s="29" t="s">
        <v>3710</v>
      </c>
      <c r="C1015" s="30" t="str">
        <f>IFERROR(_xlfn.XLOOKUP(B1015,MObra[DESCRIPCION],MObra[UN],,0),"")</f>
        <v>día</v>
      </c>
      <c r="D1015" s="31">
        <v>1</v>
      </c>
      <c r="E1015" s="32">
        <f>IFERROR(_xlfn.XLOOKUP($B1015,MObra[DESCRIPCION],MObra[VALOR UNIT],,0),"")</f>
        <v>314390.75089500006</v>
      </c>
      <c r="F1015" s="33">
        <v>-16</v>
      </c>
      <c r="G1015" s="34">
        <f>IFERROR(IF(F1015&gt;=0,D1015*E1015*(1+F1015/100),ABS(D1015*E1015/F1015)),"")</f>
        <v>19649.421930937504</v>
      </c>
      <c r="H1015" s="43">
        <f>IFERROR(G1015*E999,"")</f>
        <v>0</v>
      </c>
    </row>
    <row r="1016" spans="1:11" ht="12.75" customHeight="1">
      <c r="A1016" s="28"/>
      <c r="B1016" s="29"/>
      <c r="C1016" s="30" t="str">
        <f t="array" ref="C1016">IFERROR(_xlfn.XLOOKUP(B1016,MObra[[#All],[DESCRIPCION]],MObra[[#All],[UN]],,0),"")</f>
        <v/>
      </c>
      <c r="D1016" s="31"/>
      <c r="E1016" s="32" t="str">
        <f>IFERROR(_xlfn.XLOOKUP($B1016,MObra[DESCRIPCION],MObra[VALOR UNIT],,0),"")</f>
        <v/>
      </c>
      <c r="F1016" s="33"/>
      <c r="G1016" s="34" t="str">
        <f>IFERROR(IF(F1016&gt;=0,D1016*E1016*(1+F1016/100),ABS(D1016*E1016/F1016)),"")</f>
        <v/>
      </c>
      <c r="H1016" s="43" t="str">
        <f>IFERROR(G1016*E999,"")</f>
        <v/>
      </c>
    </row>
    <row r="1017" spans="1:11" ht="12.75" customHeight="1" thickBot="1">
      <c r="A1017" s="35"/>
      <c r="B1017" s="36"/>
      <c r="C1017" s="37" t="str">
        <f t="array" ref="C1017">IFERROR(_xlfn.XLOOKUP(B1017,MObra[[#All],[DESCRIPCION]],MObra[[#All],[UN]],,0),"")</f>
        <v/>
      </c>
      <c r="D1017" s="38"/>
      <c r="E1017" s="39" t="str">
        <f>IFERROR(_xlfn.XLOOKUP($B1017,MObra[DESCRIPCION],MObra[VALOR UNIT],,0),"")</f>
        <v/>
      </c>
      <c r="F1017" s="40"/>
      <c r="G1017" s="41" t="str">
        <f>IFERROR(IF(F1017&gt;=0,D1017*E1017*(1+F1017/100),ABS(D1017*E1017/F1017)),"")</f>
        <v/>
      </c>
      <c r="H1017" s="42" t="str">
        <f>IFERROR(G1017*E999,"")</f>
        <v/>
      </c>
    </row>
    <row r="1018" spans="1:11" ht="12.75" customHeight="1" thickTop="1" thickBot="1"/>
    <row r="1019" spans="1:11" ht="12.75" customHeight="1" thickTop="1" thickBot="1">
      <c r="A1019" s="6" t="s">
        <v>1195</v>
      </c>
      <c r="B1019" s="7" t="str">
        <f>VLOOKUP($A1019,Presupuesto!$A:$D,2,FALSE())</f>
        <v>Canal lámina galvanizada C 22 0,50m&gt;S&lt;=1.0m</v>
      </c>
      <c r="C1019" s="8" t="str">
        <f>VLOOKUP($A1019,Presupuesto!$A:$D,3,FALSE())</f>
        <v>M</v>
      </c>
      <c r="D1019" s="9"/>
      <c r="E1019" s="10">
        <f>VLOOKUP($A1019,Presupuesto!$A:$D,4,FALSE())</f>
        <v>0</v>
      </c>
      <c r="F1019" s="11" t="s">
        <v>2589</v>
      </c>
      <c r="G1019" s="12">
        <f>SUM(G1021:G1037)/2</f>
        <v>210140.48522057812</v>
      </c>
      <c r="H1019" s="13">
        <f>ROUND(SUM(H1021:H1037),0)/2</f>
        <v>0</v>
      </c>
      <c r="I1019" s="10">
        <f>VLOOKUP(A1019,Presupuesto!$A:$F,6,0)</f>
        <v>0</v>
      </c>
      <c r="J1019" s="10">
        <f>+H1019-I1019</f>
        <v>0</v>
      </c>
      <c r="K1019" s="46">
        <f>+H1019-G1019*E1019</f>
        <v>0</v>
      </c>
    </row>
    <row r="1020" spans="1:11" ht="12.75" customHeight="1" thickTop="1">
      <c r="A1020" s="14"/>
      <c r="B1020" s="15" t="s">
        <v>2586</v>
      </c>
      <c r="C1020" s="15" t="s">
        <v>5</v>
      </c>
      <c r="D1020" s="16" t="s">
        <v>6</v>
      </c>
      <c r="E1020" s="17" t="s">
        <v>7</v>
      </c>
      <c r="F1020" s="18" t="s">
        <v>3728</v>
      </c>
      <c r="G1020" s="19" t="s">
        <v>3729</v>
      </c>
      <c r="H1020" s="20" t="s">
        <v>3797</v>
      </c>
    </row>
    <row r="1021" spans="1:11" ht="12.75" customHeight="1">
      <c r="A1021" s="21"/>
      <c r="B1021" s="22" t="s">
        <v>3730</v>
      </c>
      <c r="C1021" s="23"/>
      <c r="D1021" s="24"/>
      <c r="E1021" s="25"/>
      <c r="F1021" s="26"/>
      <c r="G1021" s="27">
        <f>SUM(G1022:G1026)</f>
        <v>187543.65</v>
      </c>
      <c r="H1021" s="27">
        <f>IFERROR(G1021*E1019,"")</f>
        <v>0</v>
      </c>
    </row>
    <row r="1022" spans="1:11" ht="12.75" customHeight="1">
      <c r="A1022" s="28"/>
      <c r="B1022" s="29" t="s">
        <v>2816</v>
      </c>
      <c r="C1022" s="30" t="str">
        <f>IFERROR(_xlfn.XLOOKUP(B1022,Insumo[DESCRIPCION],Insumo[UND],,0),"")</f>
        <v>M</v>
      </c>
      <c r="D1022" s="31">
        <v>1</v>
      </c>
      <c r="E1022" s="32">
        <f>IFERROR(_xlfn.XLOOKUP($B1022,Insumo[DESCRIPCION],Insumo[VALOR],,0),"")</f>
        <v>187543.65</v>
      </c>
      <c r="F1022" s="33"/>
      <c r="G1022" s="34">
        <f>IFERROR(IF(F1022&gt;=0,D1022*E1022*(1+F1022/100),ABS(D1022*E1022/F1022)),"")</f>
        <v>187543.65</v>
      </c>
      <c r="H1022" s="43">
        <f>IFERROR(G1022*E1019,"")</f>
        <v>0</v>
      </c>
    </row>
    <row r="1023" spans="1:11" ht="12.75" customHeight="1">
      <c r="A1023" s="28"/>
      <c r="B1023" s="29"/>
      <c r="C1023" s="30" t="str">
        <f>IFERROR(_xlfn.XLOOKUP(B1023,Insumo[DESCRIPCION],Insumo[UND],,0),"")</f>
        <v/>
      </c>
      <c r="D1023" s="31"/>
      <c r="E1023" s="32" t="str">
        <f>IFERROR(_xlfn.XLOOKUP($B1023,Insumo[DESCRIPCION],Insumo[VALOR],,0),"")</f>
        <v/>
      </c>
      <c r="F1023" s="33"/>
      <c r="G1023" s="34" t="str">
        <f>IFERROR(IF(F1023&gt;=0,D1023*E1023*(1+F1023/100),ABS(D1023*E1023/F1023)),"")</f>
        <v/>
      </c>
      <c r="H1023" s="43" t="str">
        <f>IFERROR(G1023*E1019,"")</f>
        <v/>
      </c>
    </row>
    <row r="1024" spans="1:11" ht="12.75" customHeight="1">
      <c r="A1024" s="28"/>
      <c r="B1024" s="29"/>
      <c r="C1024" s="30" t="str">
        <f>IFERROR(_xlfn.XLOOKUP(B1024,Insumo[DESCRIPCION],Insumo[UND],,0),"")</f>
        <v/>
      </c>
      <c r="D1024" s="31"/>
      <c r="E1024" s="32" t="str">
        <f>IFERROR(_xlfn.XLOOKUP($B1024,Insumo[DESCRIPCION],Insumo[VALOR],,0),"")</f>
        <v/>
      </c>
      <c r="F1024" s="33"/>
      <c r="G1024" s="34" t="str">
        <f>IFERROR(IF(F1024&gt;=0,D1024*E1024*(1+F1024/100),ABS(D1024*E1024/F1024)),"")</f>
        <v/>
      </c>
      <c r="H1024" s="43" t="str">
        <f>IFERROR(G1024*E1019,"")</f>
        <v/>
      </c>
    </row>
    <row r="1025" spans="1:11" ht="12.75" customHeight="1">
      <c r="A1025" s="28"/>
      <c r="B1025" s="29"/>
      <c r="C1025" s="30" t="str">
        <f>IFERROR(_xlfn.XLOOKUP(B1025,Insumo[DESCRIPCION],Insumo[UND],,0),"")</f>
        <v/>
      </c>
      <c r="D1025" s="31"/>
      <c r="E1025" s="32" t="str">
        <f>IFERROR(_xlfn.XLOOKUP($B1025,Insumo[DESCRIPCION],Insumo[VALOR],,0),"")</f>
        <v/>
      </c>
      <c r="F1025" s="33"/>
      <c r="G1025" s="34" t="str">
        <f>IFERROR(IF(F1025&gt;=0,D1025*E1025*(1+F1025/100),ABS(D1025*E1025/F1025)),"")</f>
        <v/>
      </c>
      <c r="H1025" s="43" t="str">
        <f>IFERROR(G1025*E1019,"")</f>
        <v/>
      </c>
    </row>
    <row r="1026" spans="1:11" ht="12.75" customHeight="1">
      <c r="A1026" s="28"/>
      <c r="B1026" s="29"/>
      <c r="C1026" s="30" t="str">
        <f>IFERROR(_xlfn.XLOOKUP(B1026,Insumo[DESCRIPCION],Insumo[UND],,0),"")</f>
        <v/>
      </c>
      <c r="D1026" s="31"/>
      <c r="E1026" s="32" t="str">
        <f>IFERROR(_xlfn.XLOOKUP($B1026,Insumo[DESCRIPCION],Insumo[VALOR],,0),"")</f>
        <v/>
      </c>
      <c r="F1026" s="33"/>
      <c r="G1026" s="34" t="str">
        <f>IFERROR(IF(F1026&gt;=0,D1026*E1026*(1+F1026/100),ABS(D1026*E1026/F1026)),"")</f>
        <v/>
      </c>
      <c r="H1026" s="43" t="str">
        <f>IFERROR(G1026*E1019,"")</f>
        <v/>
      </c>
    </row>
    <row r="1027" spans="1:11" ht="12.75" customHeight="1">
      <c r="A1027" s="21"/>
      <c r="B1027" s="22" t="s">
        <v>3731</v>
      </c>
      <c r="C1027" s="23"/>
      <c r="D1027" s="24"/>
      <c r="E1027" s="25"/>
      <c r="F1027" s="26"/>
      <c r="G1027" s="27">
        <f>SUM(G1028:G1030)</f>
        <v>2947.4132896406259</v>
      </c>
      <c r="H1027" s="44">
        <f>G1027*E1019</f>
        <v>0</v>
      </c>
    </row>
    <row r="1028" spans="1:11" ht="12.75" customHeight="1">
      <c r="A1028" s="28"/>
      <c r="B1028" s="29" t="s">
        <v>3573</v>
      </c>
      <c r="C1028" s="30" t="str">
        <f>IFERROR(_xlfn.XLOOKUP(B1028,Equipo[DESCRIPCION],Equipo[UND],,0),"")</f>
        <v>%MO</v>
      </c>
      <c r="D1028" s="31">
        <v>0.1</v>
      </c>
      <c r="E1028" s="32">
        <f>IF(C1028="%MO",G1034,IFERROR(_xlfn.XLOOKUP($B1028,Equipo[DESCRIPCION],Equipo[VALOR],,0),""))</f>
        <v>19649.421930937504</v>
      </c>
      <c r="F1028" s="33"/>
      <c r="G1028" s="34">
        <f>IFERROR(IF(F1028&gt;=0,D1028*E1028*(1+F1028/100),ABS(D1028*E1028/F1028)),"")</f>
        <v>1964.9421930937506</v>
      </c>
      <c r="H1028" s="43">
        <f>IFERROR(G1028*E1019,"")</f>
        <v>0</v>
      </c>
    </row>
    <row r="1029" spans="1:11" ht="12.75" customHeight="1">
      <c r="A1029" s="28"/>
      <c r="B1029" s="29" t="s">
        <v>3626</v>
      </c>
      <c r="C1029" s="30" t="str">
        <f>IFERROR(_xlfn.XLOOKUP(B1029,Equipo[DESCRIPCION],Equipo[UND],,0),"")</f>
        <v>%MO</v>
      </c>
      <c r="D1029" s="31">
        <v>0.05</v>
      </c>
      <c r="E1029" s="32">
        <f>IF(C1029="%MO",G1034,IFERROR(_xlfn.XLOOKUP($B1029,Equipo[DESCRIPCION],Equipo[VALOR],,0),""))</f>
        <v>19649.421930937504</v>
      </c>
      <c r="F1029" s="33"/>
      <c r="G1029" s="34">
        <f>IFERROR(IF(F1029&gt;=0,D1029*E1029*(1+F1029/100),ABS(D1029*E1029/F1029)),"")</f>
        <v>982.47109654687529</v>
      </c>
      <c r="H1029" s="43">
        <f>IFERROR(G1029*E1019,"")</f>
        <v>0</v>
      </c>
    </row>
    <row r="1030" spans="1:11" ht="12.75" customHeight="1">
      <c r="A1030" s="28"/>
      <c r="B1030" s="29"/>
      <c r="C1030" s="30" t="str">
        <f>IFERROR(_xlfn.XLOOKUP(B1030,Equipo[DESCRIPCION],Equipo[UND],,0),"")</f>
        <v/>
      </c>
      <c r="D1030" s="31"/>
      <c r="E1030" s="32" t="str">
        <f>IF(C1030="%MO",G1034,IFERROR(_xlfn.XLOOKUP($B1030,Equipo[DESCRIPCION],Equipo[VALOR],,0),""))</f>
        <v/>
      </c>
      <c r="F1030" s="33"/>
      <c r="G1030" s="34" t="str">
        <f>IFERROR(IF(F1030&gt;=0,D1030*E1030*(1+F1030/100),ABS(D1030*E1030/F1030)),"")</f>
        <v/>
      </c>
      <c r="H1030" s="43" t="str">
        <f>IFERROR(G1030*E1019,"")</f>
        <v/>
      </c>
    </row>
    <row r="1031" spans="1:11" ht="12.75" customHeight="1">
      <c r="A1031" s="21"/>
      <c r="B1031" s="22" t="s">
        <v>2533</v>
      </c>
      <c r="C1031" s="23"/>
      <c r="D1031" s="24"/>
      <c r="E1031" s="25"/>
      <c r="F1031" s="26"/>
      <c r="G1031" s="27">
        <f>SUM(G1032:G1033)</f>
        <v>0</v>
      </c>
      <c r="H1031" s="44">
        <f>G1031*E1019</f>
        <v>0</v>
      </c>
    </row>
    <row r="1032" spans="1:11" ht="12.75" customHeight="1">
      <c r="A1032" s="28"/>
      <c r="B1032" s="29"/>
      <c r="C1032" s="30" t="str">
        <f>IFERROR(_xlfn.XLOOKUP(B1032,Transporte[DESCRIPCION],Transporte[UND],,0),"")</f>
        <v/>
      </c>
      <c r="D1032" s="31"/>
      <c r="E1032" s="32" t="str">
        <f>IFERROR(_xlfn.XLOOKUP($B1032,Transporte[DESCRIPCION],Transporte[VALOR],,0),"")</f>
        <v/>
      </c>
      <c r="F1032" s="33"/>
      <c r="G1032" s="34" t="str">
        <f>IFERROR(IF(F1032&gt;=0,D1032*E1032*(1+F1032/100),ABS(D1032*E1032/F1032)),"")</f>
        <v/>
      </c>
      <c r="H1032" s="43" t="str">
        <f>IFERROR(G1032*E1019,"")</f>
        <v/>
      </c>
    </row>
    <row r="1033" spans="1:11" ht="12.75" customHeight="1">
      <c r="A1033" s="28"/>
      <c r="B1033" s="29"/>
      <c r="C1033" s="30" t="str">
        <f>IFERROR(_xlfn.XLOOKUP(B1033,Transporte[DESCRIPCION],Transporte[UND],,0),"")</f>
        <v/>
      </c>
      <c r="D1033" s="31"/>
      <c r="E1033" s="32" t="str">
        <f>IFERROR(_xlfn.XLOOKUP($B1033,Transporte[DESCRIPCION],Transporte[VALOR],,0),"")</f>
        <v/>
      </c>
      <c r="F1033" s="33"/>
      <c r="G1033" s="34" t="str">
        <f>IFERROR(IF(F1033&gt;=0,D1033*E1033*(1+F1033/100),ABS(D1033*E1033/F1033)),"")</f>
        <v/>
      </c>
      <c r="H1033" s="43" t="str">
        <f>IFERROR(G1033*E1019,"")</f>
        <v/>
      </c>
    </row>
    <row r="1034" spans="1:11" ht="12.75" customHeight="1">
      <c r="A1034" s="21"/>
      <c r="B1034" s="22" t="s">
        <v>3732</v>
      </c>
      <c r="C1034" s="23"/>
      <c r="D1034" s="24"/>
      <c r="E1034" s="25"/>
      <c r="F1034" s="26"/>
      <c r="G1034" s="27">
        <f>SUM(G1035:G1037)</f>
        <v>19649.421930937504</v>
      </c>
      <c r="H1034" s="44">
        <f>G1034*E1019</f>
        <v>0</v>
      </c>
    </row>
    <row r="1035" spans="1:11" ht="12.75" customHeight="1">
      <c r="A1035" s="28"/>
      <c r="B1035" s="29" t="s">
        <v>3710</v>
      </c>
      <c r="C1035" s="30" t="str">
        <f>IFERROR(_xlfn.XLOOKUP(B1035,MObra[DESCRIPCION],MObra[UN],,0),"")</f>
        <v>día</v>
      </c>
      <c r="D1035" s="31">
        <v>1</v>
      </c>
      <c r="E1035" s="32">
        <f>IFERROR(_xlfn.XLOOKUP($B1035,MObra[DESCRIPCION],MObra[VALOR UNIT],,0),"")</f>
        <v>314390.75089500006</v>
      </c>
      <c r="F1035" s="33">
        <v>-16</v>
      </c>
      <c r="G1035" s="34">
        <f>IFERROR(IF(F1035&gt;=0,D1035*E1035*(1+F1035/100),ABS(D1035*E1035/F1035)),"")</f>
        <v>19649.421930937504</v>
      </c>
      <c r="H1035" s="43">
        <f>IFERROR(G1035*E1019,"")</f>
        <v>0</v>
      </c>
    </row>
    <row r="1036" spans="1:11" ht="12.75" customHeight="1">
      <c r="A1036" s="28"/>
      <c r="B1036" s="29"/>
      <c r="C1036" s="30" t="str">
        <f t="array" ref="C1036">IFERROR(_xlfn.XLOOKUP(B1036,MObra[[#All],[DESCRIPCION]],MObra[[#All],[UN]],,0),"")</f>
        <v/>
      </c>
      <c r="D1036" s="31"/>
      <c r="E1036" s="32" t="str">
        <f>IFERROR(_xlfn.XLOOKUP($B1036,MObra[DESCRIPCION],MObra[VALOR UNIT],,0),"")</f>
        <v/>
      </c>
      <c r="F1036" s="33"/>
      <c r="G1036" s="34" t="str">
        <f>IFERROR(IF(F1036&gt;=0,D1036*E1036*(1+F1036/100),ABS(D1036*E1036/F1036)),"")</f>
        <v/>
      </c>
      <c r="H1036" s="43" t="str">
        <f>IFERROR(G1036*E1019,"")</f>
        <v/>
      </c>
    </row>
    <row r="1037" spans="1:11" ht="12.75" customHeight="1" thickBot="1">
      <c r="A1037" s="35"/>
      <c r="B1037" s="36"/>
      <c r="C1037" s="37" t="str">
        <f t="array" ref="C1037">IFERROR(_xlfn.XLOOKUP(B1037,MObra[[#All],[DESCRIPCION]],MObra[[#All],[UN]],,0),"")</f>
        <v/>
      </c>
      <c r="D1037" s="38"/>
      <c r="E1037" s="39" t="str">
        <f>IFERROR(_xlfn.XLOOKUP($B1037,MObra[DESCRIPCION],MObra[VALOR UNIT],,0),"")</f>
        <v/>
      </c>
      <c r="F1037" s="40"/>
      <c r="G1037" s="41" t="str">
        <f>IFERROR(IF(F1037&gt;=0,D1037*E1037*(1+F1037/100),ABS(D1037*E1037/F1037)),"")</f>
        <v/>
      </c>
      <c r="H1037" s="42" t="str">
        <f>IFERROR(G1037*E1019,"")</f>
        <v/>
      </c>
    </row>
    <row r="1038" spans="1:11" ht="12.75" customHeight="1" thickTop="1" thickBot="1"/>
    <row r="1039" spans="1:11" ht="12.75" customHeight="1" thickTop="1" thickBot="1">
      <c r="A1039" s="6" t="s">
        <v>1197</v>
      </c>
      <c r="B1039" s="7" t="str">
        <f>VLOOKUP($A1039,Presupuesto!$A:$D,2,FALSE())</f>
        <v>Canal PVC Amazonas</v>
      </c>
      <c r="C1039" s="8" t="str">
        <f>VLOOKUP($A1039,Presupuesto!$A:$D,3,FALSE())</f>
        <v>M</v>
      </c>
      <c r="D1039" s="9"/>
      <c r="E1039" s="10">
        <f>VLOOKUP($A1039,Presupuesto!$A:$D,4,FALSE())</f>
        <v>0</v>
      </c>
      <c r="F1039" s="11" t="s">
        <v>2589</v>
      </c>
      <c r="G1039" s="12">
        <f>SUM(G1041:G1057)/2</f>
        <v>70343.485220578121</v>
      </c>
      <c r="H1039" s="13">
        <f>ROUND(SUM(H1041:H1057),0)/2</f>
        <v>0</v>
      </c>
      <c r="I1039" s="10">
        <f>VLOOKUP(A1039,Presupuesto!$A:$F,6,0)</f>
        <v>0</v>
      </c>
      <c r="J1039" s="10">
        <f>+H1039-I1039</f>
        <v>0</v>
      </c>
      <c r="K1039" s="46">
        <f>+H1039-G1039*E1039</f>
        <v>0</v>
      </c>
    </row>
    <row r="1040" spans="1:11" ht="12.75" customHeight="1" thickTop="1">
      <c r="A1040" s="14"/>
      <c r="B1040" s="15" t="s">
        <v>2586</v>
      </c>
      <c r="C1040" s="15" t="s">
        <v>5</v>
      </c>
      <c r="D1040" s="16" t="s">
        <v>6</v>
      </c>
      <c r="E1040" s="17" t="s">
        <v>7</v>
      </c>
      <c r="F1040" s="18" t="s">
        <v>3728</v>
      </c>
      <c r="G1040" s="19" t="s">
        <v>3729</v>
      </c>
      <c r="H1040" s="20" t="s">
        <v>3797</v>
      </c>
    </row>
    <row r="1041" spans="1:8" ht="12.75" customHeight="1">
      <c r="A1041" s="21"/>
      <c r="B1041" s="22" t="s">
        <v>3730</v>
      </c>
      <c r="C1041" s="23"/>
      <c r="D1041" s="24"/>
      <c r="E1041" s="25"/>
      <c r="F1041" s="26"/>
      <c r="G1041" s="27">
        <f>SUM(G1042:G1046)</f>
        <v>47746.65</v>
      </c>
      <c r="H1041" s="27">
        <f>IFERROR(G1041*E1039,"")</f>
        <v>0</v>
      </c>
    </row>
    <row r="1042" spans="1:8" ht="12.75" customHeight="1">
      <c r="A1042" s="28"/>
      <c r="B1042" s="29" t="s">
        <v>2817</v>
      </c>
      <c r="C1042" s="30" t="str">
        <f>IFERROR(_xlfn.XLOOKUP(B1042,Insumo[DESCRIPCION],Insumo[UND],,0),"")</f>
        <v>M</v>
      </c>
      <c r="D1042" s="31">
        <v>1</v>
      </c>
      <c r="E1042" s="32">
        <f>IFERROR(_xlfn.XLOOKUP($B1042,Insumo[DESCRIPCION],Insumo[VALOR],,0),"")</f>
        <v>47746.65</v>
      </c>
      <c r="F1042" s="33"/>
      <c r="G1042" s="34">
        <f>IFERROR(IF(F1042&gt;=0,D1042*E1042*(1+F1042/100),ABS(D1042*E1042/F1042)),"")</f>
        <v>47746.65</v>
      </c>
      <c r="H1042" s="43">
        <f>IFERROR(G1042*E1039,"")</f>
        <v>0</v>
      </c>
    </row>
    <row r="1043" spans="1:8" ht="12.75" customHeight="1">
      <c r="A1043" s="28"/>
      <c r="B1043" s="29"/>
      <c r="C1043" s="30" t="str">
        <f>IFERROR(_xlfn.XLOOKUP(B1043,Insumo[DESCRIPCION],Insumo[UND],,0),"")</f>
        <v/>
      </c>
      <c r="D1043" s="31"/>
      <c r="E1043" s="32" t="str">
        <f>IFERROR(_xlfn.XLOOKUP($B1043,Insumo[DESCRIPCION],Insumo[VALOR],,0),"")</f>
        <v/>
      </c>
      <c r="F1043" s="33"/>
      <c r="G1043" s="34" t="str">
        <f>IFERROR(IF(F1043&gt;=0,D1043*E1043*(1+F1043/100),ABS(D1043*E1043/F1043)),"")</f>
        <v/>
      </c>
      <c r="H1043" s="43" t="str">
        <f>IFERROR(G1043*E1039,"")</f>
        <v/>
      </c>
    </row>
    <row r="1044" spans="1:8" ht="12.75" customHeight="1">
      <c r="A1044" s="28"/>
      <c r="B1044" s="29"/>
      <c r="C1044" s="30" t="str">
        <f>IFERROR(_xlfn.XLOOKUP(B1044,Insumo[DESCRIPCION],Insumo[UND],,0),"")</f>
        <v/>
      </c>
      <c r="D1044" s="31"/>
      <c r="E1044" s="32" t="str">
        <f>IFERROR(_xlfn.XLOOKUP($B1044,Insumo[DESCRIPCION],Insumo[VALOR],,0),"")</f>
        <v/>
      </c>
      <c r="F1044" s="33"/>
      <c r="G1044" s="34" t="str">
        <f>IFERROR(IF(F1044&gt;=0,D1044*E1044*(1+F1044/100),ABS(D1044*E1044/F1044)),"")</f>
        <v/>
      </c>
      <c r="H1044" s="43" t="str">
        <f>IFERROR(G1044*E1039,"")</f>
        <v/>
      </c>
    </row>
    <row r="1045" spans="1:8" ht="12.75" customHeight="1">
      <c r="A1045" s="28"/>
      <c r="B1045" s="29"/>
      <c r="C1045" s="30" t="str">
        <f>IFERROR(_xlfn.XLOOKUP(B1045,Insumo[DESCRIPCION],Insumo[UND],,0),"")</f>
        <v/>
      </c>
      <c r="D1045" s="31"/>
      <c r="E1045" s="32" t="str">
        <f>IFERROR(_xlfn.XLOOKUP($B1045,Insumo[DESCRIPCION],Insumo[VALOR],,0),"")</f>
        <v/>
      </c>
      <c r="F1045" s="33"/>
      <c r="G1045" s="34" t="str">
        <f>IFERROR(IF(F1045&gt;=0,D1045*E1045*(1+F1045/100),ABS(D1045*E1045/F1045)),"")</f>
        <v/>
      </c>
      <c r="H1045" s="43" t="str">
        <f>IFERROR(G1045*E1039,"")</f>
        <v/>
      </c>
    </row>
    <row r="1046" spans="1:8" ht="12.75" customHeight="1">
      <c r="A1046" s="28"/>
      <c r="B1046" s="29"/>
      <c r="C1046" s="30" t="str">
        <f>IFERROR(_xlfn.XLOOKUP(B1046,Insumo[DESCRIPCION],Insumo[UND],,0),"")</f>
        <v/>
      </c>
      <c r="D1046" s="31"/>
      <c r="E1046" s="32" t="str">
        <f>IFERROR(_xlfn.XLOOKUP($B1046,Insumo[DESCRIPCION],Insumo[VALOR],,0),"")</f>
        <v/>
      </c>
      <c r="F1046" s="33"/>
      <c r="G1046" s="34" t="str">
        <f>IFERROR(IF(F1046&gt;=0,D1046*E1046*(1+F1046/100),ABS(D1046*E1046/F1046)),"")</f>
        <v/>
      </c>
      <c r="H1046" s="43" t="str">
        <f>IFERROR(G1046*E1039,"")</f>
        <v/>
      </c>
    </row>
    <row r="1047" spans="1:8" ht="12.75" customHeight="1">
      <c r="A1047" s="21"/>
      <c r="B1047" s="22" t="s">
        <v>3731</v>
      </c>
      <c r="C1047" s="23"/>
      <c r="D1047" s="24"/>
      <c r="E1047" s="25"/>
      <c r="F1047" s="26"/>
      <c r="G1047" s="27">
        <f>SUM(G1048:G1050)</f>
        <v>2947.4132896406259</v>
      </c>
      <c r="H1047" s="44">
        <f>G1047*E1039</f>
        <v>0</v>
      </c>
    </row>
    <row r="1048" spans="1:8" ht="12.75" customHeight="1">
      <c r="A1048" s="28"/>
      <c r="B1048" s="29" t="s">
        <v>3573</v>
      </c>
      <c r="C1048" s="30" t="str">
        <f>IFERROR(_xlfn.XLOOKUP(B1048,Equipo[DESCRIPCION],Equipo[UND],,0),"")</f>
        <v>%MO</v>
      </c>
      <c r="D1048" s="31">
        <v>0.1</v>
      </c>
      <c r="E1048" s="32">
        <f>IF(C1048="%MO",G1054,IFERROR(_xlfn.XLOOKUP($B1048,Equipo[DESCRIPCION],Equipo[VALOR],,0),""))</f>
        <v>19649.421930937504</v>
      </c>
      <c r="F1048" s="33"/>
      <c r="G1048" s="34">
        <f>IFERROR(IF(F1048&gt;=0,D1048*E1048*(1+F1048/100),ABS(D1048*E1048/F1048)),"")</f>
        <v>1964.9421930937506</v>
      </c>
      <c r="H1048" s="43">
        <f>IFERROR(G1048*E1039,"")</f>
        <v>0</v>
      </c>
    </row>
    <row r="1049" spans="1:8" ht="12.75" customHeight="1">
      <c r="A1049" s="28"/>
      <c r="B1049" s="29" t="s">
        <v>3626</v>
      </c>
      <c r="C1049" s="30" t="str">
        <f>IFERROR(_xlfn.XLOOKUP(B1049,Equipo[DESCRIPCION],Equipo[UND],,0),"")</f>
        <v>%MO</v>
      </c>
      <c r="D1049" s="31">
        <v>0.05</v>
      </c>
      <c r="E1049" s="32">
        <f>IF(C1049="%MO",G1054,IFERROR(_xlfn.XLOOKUP($B1049,Equipo[DESCRIPCION],Equipo[VALOR],,0),""))</f>
        <v>19649.421930937504</v>
      </c>
      <c r="F1049" s="33"/>
      <c r="G1049" s="34">
        <f>IFERROR(IF(F1049&gt;=0,D1049*E1049*(1+F1049/100),ABS(D1049*E1049/F1049)),"")</f>
        <v>982.47109654687529</v>
      </c>
      <c r="H1049" s="43">
        <f>IFERROR(G1049*E1039,"")</f>
        <v>0</v>
      </c>
    </row>
    <row r="1050" spans="1:8" ht="12.75" customHeight="1">
      <c r="A1050" s="28"/>
      <c r="B1050" s="29"/>
      <c r="C1050" s="30" t="str">
        <f>IFERROR(_xlfn.XLOOKUP(B1050,Equipo[DESCRIPCION],Equipo[UND],,0),"")</f>
        <v/>
      </c>
      <c r="D1050" s="31"/>
      <c r="E1050" s="32" t="str">
        <f>IF(C1050="%MO",G1054,IFERROR(_xlfn.XLOOKUP($B1050,Equipo[DESCRIPCION],Equipo[VALOR],,0),""))</f>
        <v/>
      </c>
      <c r="F1050" s="33"/>
      <c r="G1050" s="34" t="str">
        <f>IFERROR(IF(F1050&gt;=0,D1050*E1050*(1+F1050/100),ABS(D1050*E1050/F1050)),"")</f>
        <v/>
      </c>
      <c r="H1050" s="43" t="str">
        <f>IFERROR(G1050*E1039,"")</f>
        <v/>
      </c>
    </row>
    <row r="1051" spans="1:8" ht="12.75" customHeight="1">
      <c r="A1051" s="21"/>
      <c r="B1051" s="22" t="s">
        <v>2533</v>
      </c>
      <c r="C1051" s="23"/>
      <c r="D1051" s="24"/>
      <c r="E1051" s="25"/>
      <c r="F1051" s="26"/>
      <c r="G1051" s="27">
        <f>SUM(G1052:G1053)</f>
        <v>0</v>
      </c>
      <c r="H1051" s="44">
        <f>G1051*E1039</f>
        <v>0</v>
      </c>
    </row>
    <row r="1052" spans="1:8" ht="12.75" customHeight="1">
      <c r="A1052" s="28"/>
      <c r="B1052" s="29"/>
      <c r="C1052" s="30" t="str">
        <f>IFERROR(_xlfn.XLOOKUP(B1052,Transporte[DESCRIPCION],Transporte[UND],,0),"")</f>
        <v/>
      </c>
      <c r="D1052" s="31"/>
      <c r="E1052" s="32" t="str">
        <f>IFERROR(_xlfn.XLOOKUP($B1052,Transporte[DESCRIPCION],Transporte[VALOR],,0),"")</f>
        <v/>
      </c>
      <c r="F1052" s="33"/>
      <c r="G1052" s="34" t="str">
        <f>IFERROR(IF(F1052&gt;=0,D1052*E1052*(1+F1052/100),ABS(D1052*E1052/F1052)),"")</f>
        <v/>
      </c>
      <c r="H1052" s="43" t="str">
        <f>IFERROR(G1052*E1039,"")</f>
        <v/>
      </c>
    </row>
    <row r="1053" spans="1:8" ht="12.75" customHeight="1">
      <c r="A1053" s="28"/>
      <c r="B1053" s="29"/>
      <c r="C1053" s="30" t="str">
        <f>IFERROR(_xlfn.XLOOKUP(B1053,Transporte[DESCRIPCION],Transporte[UND],,0),"")</f>
        <v/>
      </c>
      <c r="D1053" s="31"/>
      <c r="E1053" s="32" t="str">
        <f>IFERROR(_xlfn.XLOOKUP($B1053,Transporte[DESCRIPCION],Transporte[VALOR],,0),"")</f>
        <v/>
      </c>
      <c r="F1053" s="33"/>
      <c r="G1053" s="34" t="str">
        <f>IFERROR(IF(F1053&gt;=0,D1053*E1053*(1+F1053/100),ABS(D1053*E1053/F1053)),"")</f>
        <v/>
      </c>
      <c r="H1053" s="43" t="str">
        <f>IFERROR(G1053*E1039,"")</f>
        <v/>
      </c>
    </row>
    <row r="1054" spans="1:8" ht="12.75" customHeight="1">
      <c r="A1054" s="21"/>
      <c r="B1054" s="22" t="s">
        <v>3732</v>
      </c>
      <c r="C1054" s="23"/>
      <c r="D1054" s="24"/>
      <c r="E1054" s="25"/>
      <c r="F1054" s="26"/>
      <c r="G1054" s="27">
        <f>SUM(G1055:G1057)</f>
        <v>19649.421930937504</v>
      </c>
      <c r="H1054" s="44">
        <f>G1054*E1039</f>
        <v>0</v>
      </c>
    </row>
    <row r="1055" spans="1:8" ht="12.75" customHeight="1">
      <c r="A1055" s="28"/>
      <c r="B1055" s="29" t="s">
        <v>3710</v>
      </c>
      <c r="C1055" s="30" t="str">
        <f>IFERROR(_xlfn.XLOOKUP(B1055,MObra[DESCRIPCION],MObra[UN],,0),"")</f>
        <v>día</v>
      </c>
      <c r="D1055" s="31">
        <v>1</v>
      </c>
      <c r="E1055" s="32">
        <f>IFERROR(_xlfn.XLOOKUP($B1055,MObra[DESCRIPCION],MObra[VALOR UNIT],,0),"")</f>
        <v>314390.75089500006</v>
      </c>
      <c r="F1055" s="33">
        <v>-16</v>
      </c>
      <c r="G1055" s="34">
        <f>IFERROR(IF(F1055&gt;=0,D1055*E1055*(1+F1055/100),ABS(D1055*E1055/F1055)),"")</f>
        <v>19649.421930937504</v>
      </c>
      <c r="H1055" s="43">
        <f>IFERROR(G1055*E1039,"")</f>
        <v>0</v>
      </c>
    </row>
    <row r="1056" spans="1:8" ht="12.75" customHeight="1">
      <c r="A1056" s="28"/>
      <c r="B1056" s="29"/>
      <c r="C1056" s="30" t="str">
        <f t="array" ref="C1056">IFERROR(_xlfn.XLOOKUP(B1056,MObra[[#All],[DESCRIPCION]],MObra[[#All],[UN]],,0),"")</f>
        <v/>
      </c>
      <c r="D1056" s="31"/>
      <c r="E1056" s="32" t="str">
        <f>IFERROR(_xlfn.XLOOKUP($B1056,MObra[DESCRIPCION],MObra[VALOR UNIT],,0),"")</f>
        <v/>
      </c>
      <c r="F1056" s="33"/>
      <c r="G1056" s="34" t="str">
        <f>IFERROR(IF(F1056&gt;=0,D1056*E1056*(1+F1056/100),ABS(D1056*E1056/F1056)),"")</f>
        <v/>
      </c>
      <c r="H1056" s="43" t="str">
        <f>IFERROR(G1056*E1039,"")</f>
        <v/>
      </c>
    </row>
    <row r="1057" spans="1:11" ht="12.75" customHeight="1" thickBot="1">
      <c r="A1057" s="35"/>
      <c r="B1057" s="36"/>
      <c r="C1057" s="37" t="str">
        <f t="array" ref="C1057">IFERROR(_xlfn.XLOOKUP(B1057,MObra[[#All],[DESCRIPCION]],MObra[[#All],[UN]],,0),"")</f>
        <v/>
      </c>
      <c r="D1057" s="38"/>
      <c r="E1057" s="39" t="str">
        <f>IFERROR(_xlfn.XLOOKUP($B1057,MObra[DESCRIPCION],MObra[VALOR UNIT],,0),"")</f>
        <v/>
      </c>
      <c r="F1057" s="40"/>
      <c r="G1057" s="41" t="str">
        <f>IFERROR(IF(F1057&gt;=0,D1057*E1057*(1+F1057/100),ABS(D1057*E1057/F1057)),"")</f>
        <v/>
      </c>
      <c r="H1057" s="42" t="str">
        <f>IFERROR(G1057*E1039,"")</f>
        <v/>
      </c>
    </row>
    <row r="1058" spans="1:11" ht="12.75" customHeight="1" thickTop="1" thickBot="1"/>
    <row r="1059" spans="1:11" ht="12.75" customHeight="1" thickTop="1" thickBot="1">
      <c r="A1059" s="6" t="s">
        <v>1199</v>
      </c>
      <c r="B1059" s="7" t="str">
        <f>VLOOKUP($A1059,Presupuesto!$A:$D,2,FALSE())</f>
        <v>Cielo raso Gyplac 12.7 mm + perfilería galvanizada + pintura</v>
      </c>
      <c r="C1059" s="8" t="str">
        <f>VLOOKUP($A1059,Presupuesto!$A:$D,3,FALSE())</f>
        <v>M2</v>
      </c>
      <c r="D1059" s="9"/>
      <c r="E1059" s="10">
        <f>VLOOKUP($A1059,Presupuesto!$A:$D,4,FALSE())</f>
        <v>0</v>
      </c>
      <c r="F1059" s="11" t="s">
        <v>2589</v>
      </c>
      <c r="G1059" s="12">
        <f>SUM(G1061:G1082)/2</f>
        <v>86382.98257792501</v>
      </c>
      <c r="H1059" s="13">
        <f>ROUND(SUM(H1061:H1082),0)/2</f>
        <v>0</v>
      </c>
      <c r="I1059" s="10">
        <f>VLOOKUP(A1059,Presupuesto!$A:$F,6,0)</f>
        <v>0</v>
      </c>
      <c r="J1059" s="10">
        <f>+H1059-I1059</f>
        <v>0</v>
      </c>
      <c r="K1059" s="46">
        <f>+H1059-G1059*E1059</f>
        <v>0</v>
      </c>
    </row>
    <row r="1060" spans="1:11" ht="12.75" customHeight="1" thickTop="1">
      <c r="A1060" s="14"/>
      <c r="B1060" s="15" t="s">
        <v>2586</v>
      </c>
      <c r="C1060" s="15" t="s">
        <v>5</v>
      </c>
      <c r="D1060" s="16" t="s">
        <v>6</v>
      </c>
      <c r="E1060" s="17" t="s">
        <v>7</v>
      </c>
      <c r="F1060" s="18" t="s">
        <v>3728</v>
      </c>
      <c r="G1060" s="19" t="s">
        <v>3729</v>
      </c>
      <c r="H1060" s="20" t="s">
        <v>3797</v>
      </c>
    </row>
    <row r="1061" spans="1:11" ht="12.75" customHeight="1">
      <c r="A1061" s="21"/>
      <c r="B1061" s="22" t="s">
        <v>3730</v>
      </c>
      <c r="C1061" s="23"/>
      <c r="D1061" s="24"/>
      <c r="E1061" s="25"/>
      <c r="F1061" s="26"/>
      <c r="G1061" s="27">
        <f>SUM(G1062:G1071)</f>
        <v>50228.046225000006</v>
      </c>
      <c r="H1061" s="27">
        <f>IFERROR(G1061*E1059,"")</f>
        <v>0</v>
      </c>
    </row>
    <row r="1062" spans="1:11" ht="12.75" customHeight="1">
      <c r="A1062" s="28"/>
      <c r="B1062" s="29" t="s">
        <v>3030</v>
      </c>
      <c r="C1062" s="30" t="str">
        <f>IFERROR(_xlfn.XLOOKUP(B1062,Insumo[DESCRIPCION],Insumo[UND],,0),"")</f>
        <v>Un</v>
      </c>
      <c r="D1062" s="31">
        <v>0.34</v>
      </c>
      <c r="E1062" s="32">
        <f>IFERROR(_xlfn.XLOOKUP($B1062,Insumo[DESCRIPCION],Insumo[VALOR],,0),"")</f>
        <v>50715</v>
      </c>
      <c r="F1062" s="33">
        <v>5</v>
      </c>
      <c r="G1062" s="34">
        <f t="shared" ref="G1062:G1071" si="5">IFERROR(IF(F1062&gt;=0,D1062*E1062*(1+F1062/100),ABS(D1062*E1062/F1062)),"")</f>
        <v>18105.255000000005</v>
      </c>
      <c r="H1062" s="43">
        <f>IFERROR(G1062*E1059,"")</f>
        <v>0</v>
      </c>
    </row>
    <row r="1063" spans="1:11" ht="12.75" customHeight="1">
      <c r="A1063" s="28"/>
      <c r="B1063" s="29" t="s">
        <v>3177</v>
      </c>
      <c r="C1063" s="30" t="str">
        <f>IFERROR(_xlfn.XLOOKUP(B1063,Insumo[DESCRIPCION],Insumo[UND],,0),"")</f>
        <v>Un</v>
      </c>
      <c r="D1063" s="31">
        <v>0.56000000000000005</v>
      </c>
      <c r="E1063" s="32">
        <f>IFERROR(_xlfn.XLOOKUP($B1063,Insumo[DESCRIPCION],Insumo[VALOR],,0),"")</f>
        <v>5289.9000000000005</v>
      </c>
      <c r="F1063" s="33">
        <v>5</v>
      </c>
      <c r="G1063" s="34">
        <f t="shared" si="5"/>
        <v>3110.4612000000006</v>
      </c>
      <c r="H1063" s="43">
        <f>IFERROR(G1063*E1059,"")</f>
        <v>0</v>
      </c>
    </row>
    <row r="1064" spans="1:11" ht="12.75" customHeight="1">
      <c r="A1064" s="28"/>
      <c r="B1064" s="29" t="s">
        <v>3553</v>
      </c>
      <c r="C1064" s="30" t="str">
        <f>IFERROR(_xlfn.XLOOKUP(B1064,Insumo[DESCRIPCION],Insumo[UND],,0),"")</f>
        <v>Un</v>
      </c>
      <c r="D1064" s="31">
        <v>0.81</v>
      </c>
      <c r="E1064" s="32">
        <f>IFERROR(_xlfn.XLOOKUP($B1064,Insumo[DESCRIPCION],Insumo[VALOR],,0),"")</f>
        <v>4117.05</v>
      </c>
      <c r="F1064" s="33">
        <v>5</v>
      </c>
      <c r="G1064" s="34">
        <f t="shared" si="5"/>
        <v>3501.5510250000007</v>
      </c>
      <c r="H1064" s="43">
        <f>IFERROR(G1064*E1059,"")</f>
        <v>0</v>
      </c>
    </row>
    <row r="1065" spans="1:11" ht="12.75" customHeight="1">
      <c r="A1065" s="28"/>
      <c r="B1065" s="29" t="s">
        <v>3404</v>
      </c>
      <c r="C1065" s="30" t="str">
        <f>IFERROR(_xlfn.XLOOKUP(B1065,Insumo[DESCRIPCION],Insumo[UND],,0),"")</f>
        <v>Un</v>
      </c>
      <c r="D1065" s="31">
        <v>8</v>
      </c>
      <c r="E1065" s="32">
        <f>IFERROR(_xlfn.XLOOKUP($B1065,Insumo[DESCRIPCION],Insumo[VALOR],,0),"")</f>
        <v>43.050000000000004</v>
      </c>
      <c r="F1065" s="33"/>
      <c r="G1065" s="34">
        <f t="shared" si="5"/>
        <v>344.40000000000003</v>
      </c>
      <c r="H1065" s="43">
        <f>IFERROR(G1065*E1059,"")</f>
        <v>0</v>
      </c>
    </row>
    <row r="1066" spans="1:11" ht="12.75" customHeight="1">
      <c r="A1066" s="28"/>
      <c r="B1066" s="29" t="s">
        <v>3406</v>
      </c>
      <c r="C1066" s="30" t="str">
        <f>IFERROR(_xlfn.XLOOKUP(B1066,Insumo[DESCRIPCION],Insumo[UND],,0),"")</f>
        <v>Un</v>
      </c>
      <c r="D1066" s="31">
        <v>11</v>
      </c>
      <c r="E1066" s="32">
        <f>IFERROR(_xlfn.XLOOKUP($B1066,Insumo[DESCRIPCION],Insumo[VALOR],,0),"")</f>
        <v>44.1</v>
      </c>
      <c r="F1066" s="33"/>
      <c r="G1066" s="34">
        <f t="shared" si="5"/>
        <v>485.1</v>
      </c>
      <c r="H1066" s="43">
        <f>IFERROR(G1066*E1059,"")</f>
        <v>0</v>
      </c>
    </row>
    <row r="1067" spans="1:11" ht="12.75" customHeight="1">
      <c r="A1067" s="28"/>
      <c r="B1067" s="29" t="s">
        <v>2850</v>
      </c>
      <c r="C1067" s="30" t="str">
        <f>IFERROR(_xlfn.XLOOKUP(B1067,Insumo[DESCRIPCION],Insumo[UND],,0),"")</f>
        <v>M</v>
      </c>
      <c r="D1067" s="31">
        <v>1</v>
      </c>
      <c r="E1067" s="32">
        <f>IFERROR(_xlfn.XLOOKUP($B1067,Insumo[DESCRIPCION],Insumo[VALOR],,0),"")</f>
        <v>511.35</v>
      </c>
      <c r="F1067" s="33"/>
      <c r="G1067" s="34">
        <f t="shared" si="5"/>
        <v>511.35</v>
      </c>
      <c r="H1067" s="43">
        <f>IFERROR(G1067*E1059,"")</f>
        <v>0</v>
      </c>
    </row>
    <row r="1068" spans="1:11" ht="12.75" customHeight="1">
      <c r="A1068" s="28"/>
      <c r="B1068" s="29" t="s">
        <v>3309</v>
      </c>
      <c r="C1068" s="30" t="str">
        <f>IFERROR(_xlfn.XLOOKUP(B1068,Insumo[DESCRIPCION],Insumo[UND],,0),"")</f>
        <v>Un</v>
      </c>
      <c r="D1068" s="31">
        <v>0.18</v>
      </c>
      <c r="E1068" s="32">
        <f>IFERROR(_xlfn.XLOOKUP($B1068,Insumo[DESCRIPCION],Insumo[VALOR],,0),"")</f>
        <v>56717.850000000006</v>
      </c>
      <c r="F1068" s="33"/>
      <c r="G1068" s="34">
        <f t="shared" si="5"/>
        <v>10209.213000000002</v>
      </c>
      <c r="H1068" s="43">
        <f>IFERROR(G1068*E1059,"")</f>
        <v>0</v>
      </c>
    </row>
    <row r="1069" spans="1:11" ht="12.75" customHeight="1">
      <c r="A1069" s="28"/>
      <c r="B1069" s="29" t="s">
        <v>3159</v>
      </c>
      <c r="C1069" s="30" t="str">
        <f>IFERROR(_xlfn.XLOOKUP(B1069,Insumo[DESCRIPCION],Insumo[UND],,0),"")</f>
        <v>Kg</v>
      </c>
      <c r="D1069" s="31">
        <v>0.17</v>
      </c>
      <c r="E1069" s="32">
        <f>IFERROR(_xlfn.XLOOKUP($B1069,Insumo[DESCRIPCION],Insumo[VALOR],,0),"")</f>
        <v>9467.85</v>
      </c>
      <c r="F1069" s="33"/>
      <c r="G1069" s="34">
        <f t="shared" si="5"/>
        <v>1609.5345000000002</v>
      </c>
      <c r="H1069" s="43">
        <f>IFERROR(G1069*E1059,"")</f>
        <v>0</v>
      </c>
    </row>
    <row r="1070" spans="1:11" ht="12.75" customHeight="1">
      <c r="A1070" s="28"/>
      <c r="B1070" s="29" t="s">
        <v>3210</v>
      </c>
      <c r="C1070" s="30" t="str">
        <f>IFERROR(_xlfn.XLOOKUP(B1070,Insumo[DESCRIPCION],Insumo[UND],,0),"")</f>
        <v>galón</v>
      </c>
      <c r="D1070" s="31">
        <v>0.12</v>
      </c>
      <c r="E1070" s="32">
        <f>IFERROR(_xlfn.XLOOKUP($B1070,Insumo[DESCRIPCION],Insumo[VALOR],,0),"")</f>
        <v>98105.7</v>
      </c>
      <c r="F1070" s="33"/>
      <c r="G1070" s="34">
        <f t="shared" si="5"/>
        <v>11772.683999999999</v>
      </c>
      <c r="H1070" s="43">
        <f>IFERROR(G1070*E1059,"")</f>
        <v>0</v>
      </c>
    </row>
    <row r="1071" spans="1:11" ht="12.75" customHeight="1">
      <c r="A1071" s="28"/>
      <c r="B1071" s="29" t="s">
        <v>2698</v>
      </c>
      <c r="C1071" s="30" t="str">
        <f>IFERROR(_xlfn.XLOOKUP(B1071,Insumo[DESCRIPCION],Insumo[UND],,0),"")</f>
        <v>Kg</v>
      </c>
      <c r="D1071" s="31">
        <v>0.05</v>
      </c>
      <c r="E1071" s="32">
        <f>IFERROR(_xlfn.XLOOKUP($B1071,Insumo[DESCRIPCION],Insumo[VALOR],,0),"")</f>
        <v>11569.95</v>
      </c>
      <c r="F1071" s="33"/>
      <c r="G1071" s="34">
        <f t="shared" si="5"/>
        <v>578.49750000000006</v>
      </c>
      <c r="H1071" s="43">
        <f>IFERROR(G1071*E1059,"")</f>
        <v>0</v>
      </c>
    </row>
    <row r="1072" spans="1:11" ht="12.75" customHeight="1">
      <c r="A1072" s="21"/>
      <c r="B1072" s="22" t="s">
        <v>3731</v>
      </c>
      <c r="C1072" s="23"/>
      <c r="D1072" s="24"/>
      <c r="E1072" s="25"/>
      <c r="F1072" s="26"/>
      <c r="G1072" s="27">
        <f>SUM(G1073:G1075)</f>
        <v>4715.8612634250012</v>
      </c>
      <c r="H1072" s="44">
        <f>G1072*E1059</f>
        <v>0</v>
      </c>
    </row>
    <row r="1073" spans="1:11" ht="12.75" customHeight="1">
      <c r="A1073" s="28"/>
      <c r="B1073" s="29" t="s">
        <v>3573</v>
      </c>
      <c r="C1073" s="30" t="str">
        <f>IFERROR(_xlfn.XLOOKUP(B1073,Equipo[DESCRIPCION],Equipo[UND],,0),"")</f>
        <v>%MO</v>
      </c>
      <c r="D1073" s="31">
        <v>0.1</v>
      </c>
      <c r="E1073" s="32">
        <f>IF(C1073="%MO",G1079,IFERROR(_xlfn.XLOOKUP($B1073,Equipo[DESCRIPCION],Equipo[VALOR],,0),""))</f>
        <v>31439.075089500006</v>
      </c>
      <c r="F1073" s="33"/>
      <c r="G1073" s="34">
        <f>IFERROR(IF(F1073&gt;=0,D1073*E1073*(1+F1073/100),ABS(D1073*E1073/F1073)),"")</f>
        <v>3143.9075089500006</v>
      </c>
      <c r="H1073" s="43">
        <f>IFERROR(G1073*E1059,"")</f>
        <v>0</v>
      </c>
    </row>
    <row r="1074" spans="1:11" ht="12.75" customHeight="1">
      <c r="A1074" s="28"/>
      <c r="B1074" s="29" t="s">
        <v>3626</v>
      </c>
      <c r="C1074" s="30" t="str">
        <f>IFERROR(_xlfn.XLOOKUP(B1074,Equipo[DESCRIPCION],Equipo[UND],,0),"")</f>
        <v>%MO</v>
      </c>
      <c r="D1074" s="31">
        <v>0.05</v>
      </c>
      <c r="E1074" s="32">
        <f>IF(C1074="%MO",G1079,IFERROR(_xlfn.XLOOKUP($B1074,Equipo[DESCRIPCION],Equipo[VALOR],,0),""))</f>
        <v>31439.075089500006</v>
      </c>
      <c r="F1074" s="33"/>
      <c r="G1074" s="34">
        <f>IFERROR(IF(F1074&gt;=0,D1074*E1074*(1+F1074/100),ABS(D1074*E1074/F1074)),"")</f>
        <v>1571.9537544750003</v>
      </c>
      <c r="H1074" s="43">
        <f>IFERROR(G1074*E1059,"")</f>
        <v>0</v>
      </c>
    </row>
    <row r="1075" spans="1:11" ht="12.75" customHeight="1">
      <c r="A1075" s="28"/>
      <c r="B1075" s="29"/>
      <c r="C1075" s="30" t="str">
        <f>IFERROR(_xlfn.XLOOKUP(B1075,Equipo[DESCRIPCION],Equipo[UND],,0),"")</f>
        <v/>
      </c>
      <c r="D1075" s="31"/>
      <c r="E1075" s="32" t="str">
        <f>IF(C1075="%MO",G1079,IFERROR(_xlfn.XLOOKUP($B1075,Equipo[DESCRIPCION],Equipo[VALOR],,0),""))</f>
        <v/>
      </c>
      <c r="F1075" s="33"/>
      <c r="G1075" s="34" t="str">
        <f>IFERROR(IF(F1075&gt;=0,D1075*E1075*(1+F1075/100),ABS(D1075*E1075/F1075)),"")</f>
        <v/>
      </c>
      <c r="H1075" s="43" t="str">
        <f>IFERROR(G1075*E1059,"")</f>
        <v/>
      </c>
    </row>
    <row r="1076" spans="1:11" ht="12.75" customHeight="1">
      <c r="A1076" s="21"/>
      <c r="B1076" s="22" t="s">
        <v>2533</v>
      </c>
      <c r="C1076" s="23"/>
      <c r="D1076" s="24"/>
      <c r="E1076" s="25"/>
      <c r="F1076" s="26"/>
      <c r="G1076" s="27">
        <f>SUM(G1077:G1078)</f>
        <v>0</v>
      </c>
      <c r="H1076" s="44">
        <f>G1076*E1059</f>
        <v>0</v>
      </c>
    </row>
    <row r="1077" spans="1:11" ht="12.75" customHeight="1">
      <c r="A1077" s="28"/>
      <c r="B1077" s="29"/>
      <c r="C1077" s="30" t="str">
        <f>IFERROR(_xlfn.XLOOKUP(B1077,Transporte[DESCRIPCION],Transporte[UND],,0),"")</f>
        <v/>
      </c>
      <c r="D1077" s="31"/>
      <c r="E1077" s="32" t="str">
        <f>IFERROR(_xlfn.XLOOKUP($B1077,Transporte[DESCRIPCION],Transporte[VALOR],,0),"")</f>
        <v/>
      </c>
      <c r="F1077" s="33"/>
      <c r="G1077" s="34" t="str">
        <f>IFERROR(IF(F1077&gt;=0,D1077*E1077*(1+F1077/100),ABS(D1077*E1077/F1077)),"")</f>
        <v/>
      </c>
      <c r="H1077" s="43" t="str">
        <f>IFERROR(G1077*E1059,"")</f>
        <v/>
      </c>
    </row>
    <row r="1078" spans="1:11" ht="12.75" customHeight="1">
      <c r="A1078" s="28"/>
      <c r="B1078" s="29"/>
      <c r="C1078" s="30" t="str">
        <f>IFERROR(_xlfn.XLOOKUP(B1078,Transporte[DESCRIPCION],Transporte[UND],,0),"")</f>
        <v/>
      </c>
      <c r="D1078" s="31"/>
      <c r="E1078" s="32" t="str">
        <f>IFERROR(_xlfn.XLOOKUP($B1078,Transporte[DESCRIPCION],Transporte[VALOR],,0),"")</f>
        <v/>
      </c>
      <c r="F1078" s="33"/>
      <c r="G1078" s="34" t="str">
        <f>IFERROR(IF(F1078&gt;=0,D1078*E1078*(1+F1078/100),ABS(D1078*E1078/F1078)),"")</f>
        <v/>
      </c>
      <c r="H1078" s="43" t="str">
        <f>IFERROR(G1078*E1059,"")</f>
        <v/>
      </c>
    </row>
    <row r="1079" spans="1:11" ht="12.75" customHeight="1">
      <c r="A1079" s="21"/>
      <c r="B1079" s="22" t="s">
        <v>3732</v>
      </c>
      <c r="C1079" s="23"/>
      <c r="D1079" s="24"/>
      <c r="E1079" s="25"/>
      <c r="F1079" s="26"/>
      <c r="G1079" s="27">
        <f>SUM(G1080:G1082)</f>
        <v>31439.075089500006</v>
      </c>
      <c r="H1079" s="44">
        <f>G1079*E1059</f>
        <v>0</v>
      </c>
    </row>
    <row r="1080" spans="1:11" ht="12.75" customHeight="1">
      <c r="A1080" s="28"/>
      <c r="B1080" s="29" t="s">
        <v>3710</v>
      </c>
      <c r="C1080" s="30" t="str">
        <f>IFERROR(_xlfn.XLOOKUP(B1080,MObra[DESCRIPCION],MObra[UN],,0),"")</f>
        <v>día</v>
      </c>
      <c r="D1080" s="31">
        <v>1</v>
      </c>
      <c r="E1080" s="32">
        <f>IFERROR(_xlfn.XLOOKUP($B1080,MObra[DESCRIPCION],MObra[VALOR UNIT],,0),"")</f>
        <v>314390.75089500006</v>
      </c>
      <c r="F1080" s="33">
        <v>-10</v>
      </c>
      <c r="G1080" s="34">
        <f>IFERROR(IF(F1080&gt;=0,D1080*E1080*(1+F1080/100),ABS(D1080*E1080/F1080)),"")</f>
        <v>31439.075089500006</v>
      </c>
      <c r="H1080" s="43">
        <f>IFERROR(G1080*E1059,"")</f>
        <v>0</v>
      </c>
    </row>
    <row r="1081" spans="1:11" ht="12.75" customHeight="1">
      <c r="A1081" s="28"/>
      <c r="B1081" s="29"/>
      <c r="C1081" s="30" t="str">
        <f t="array" ref="C1081">IFERROR(_xlfn.XLOOKUP(B1081,MObra[[#All],[DESCRIPCION]],MObra[[#All],[UN]],,0),"")</f>
        <v/>
      </c>
      <c r="D1081" s="31"/>
      <c r="E1081" s="32" t="str">
        <f>IFERROR(_xlfn.XLOOKUP($B1081,MObra[DESCRIPCION],MObra[VALOR UNIT],,0),"")</f>
        <v/>
      </c>
      <c r="F1081" s="33"/>
      <c r="G1081" s="34" t="str">
        <f>IFERROR(IF(F1081&gt;=0,D1081*E1081*(1+F1081/100),ABS(D1081*E1081/F1081)),"")</f>
        <v/>
      </c>
      <c r="H1081" s="43" t="str">
        <f>IFERROR(G1081*E1059,"")</f>
        <v/>
      </c>
    </row>
    <row r="1082" spans="1:11" ht="12.75" customHeight="1" thickBot="1">
      <c r="A1082" s="35"/>
      <c r="B1082" s="36"/>
      <c r="C1082" s="37" t="str">
        <f t="array" ref="C1082">IFERROR(_xlfn.XLOOKUP(B1082,MObra[[#All],[DESCRIPCION]],MObra[[#All],[UN]],,0),"")</f>
        <v/>
      </c>
      <c r="D1082" s="38"/>
      <c r="E1082" s="39" t="str">
        <f>IFERROR(_xlfn.XLOOKUP($B1082,MObra[DESCRIPCION],MObra[VALOR UNIT],,0),"")</f>
        <v/>
      </c>
      <c r="F1082" s="40"/>
      <c r="G1082" s="41" t="str">
        <f>IFERROR(IF(F1082&gt;=0,D1082*E1082*(1+F1082/100),ABS(D1082*E1082/F1082)),"")</f>
        <v/>
      </c>
      <c r="H1082" s="42" t="str">
        <f>IFERROR(G1082*E1059,"")</f>
        <v/>
      </c>
    </row>
    <row r="1083" spans="1:11" ht="12.75" customHeight="1" thickTop="1" thickBot="1"/>
    <row r="1084" spans="1:11" ht="12.75" customHeight="1" thickTop="1" thickBot="1">
      <c r="A1084" s="6" t="s">
        <v>1201</v>
      </c>
      <c r="B1084" s="7" t="str">
        <f>VLOOKUP($A1084,Presupuesto!$A:$D,2,FALSE())</f>
        <v>Cielo raso Superboard 4 mm + perfilería galvanizada + pintura</v>
      </c>
      <c r="C1084" s="8" t="str">
        <f>VLOOKUP($A1084,Presupuesto!$A:$D,3,FALSE())</f>
        <v>M2</v>
      </c>
      <c r="D1084" s="9"/>
      <c r="E1084" s="10">
        <f>VLOOKUP($A1084,Presupuesto!$A:$D,4,FALSE())</f>
        <v>0</v>
      </c>
      <c r="F1084" s="11" t="s">
        <v>2589</v>
      </c>
      <c r="G1084" s="12">
        <f>SUM(G1086:G1107)/2</f>
        <v>84171.367577925004</v>
      </c>
      <c r="H1084" s="13">
        <f>ROUND(SUM(H1086:H1107),0)/2</f>
        <v>0</v>
      </c>
      <c r="I1084" s="10">
        <f>VLOOKUP(A1084,Presupuesto!$A:$F,6,0)</f>
        <v>0</v>
      </c>
      <c r="J1084" s="10">
        <f>+H1084-I1084</f>
        <v>0</v>
      </c>
      <c r="K1084" s="46">
        <f>+H1084-G1084*E1084</f>
        <v>0</v>
      </c>
    </row>
    <row r="1085" spans="1:11" ht="12.75" customHeight="1" thickTop="1">
      <c r="A1085" s="14"/>
      <c r="B1085" s="15" t="s">
        <v>2586</v>
      </c>
      <c r="C1085" s="15" t="s">
        <v>5</v>
      </c>
      <c r="D1085" s="16" t="s">
        <v>6</v>
      </c>
      <c r="E1085" s="17" t="s">
        <v>7</v>
      </c>
      <c r="F1085" s="18" t="s">
        <v>3728</v>
      </c>
      <c r="G1085" s="19" t="s">
        <v>3729</v>
      </c>
      <c r="H1085" s="20" t="s">
        <v>3797</v>
      </c>
    </row>
    <row r="1086" spans="1:11" ht="12.75" customHeight="1">
      <c r="A1086" s="21"/>
      <c r="B1086" s="22" t="s">
        <v>3730</v>
      </c>
      <c r="C1086" s="23"/>
      <c r="D1086" s="24"/>
      <c r="E1086" s="25"/>
      <c r="F1086" s="26"/>
      <c r="G1086" s="27">
        <f>SUM(G1087:G1096)</f>
        <v>48016.431225</v>
      </c>
      <c r="H1086" s="27">
        <f>IFERROR(G1086*E1084,"")</f>
        <v>0</v>
      </c>
    </row>
    <row r="1087" spans="1:11" ht="12.75" customHeight="1">
      <c r="A1087" s="28"/>
      <c r="B1087" s="29" t="s">
        <v>3027</v>
      </c>
      <c r="C1087" s="30" t="str">
        <f>IFERROR(_xlfn.XLOOKUP(B1087,Insumo[DESCRIPCION],Insumo[UND],,0),"")</f>
        <v>Un</v>
      </c>
      <c r="D1087" s="31">
        <v>0.34</v>
      </c>
      <c r="E1087" s="32">
        <f>IFERROR(_xlfn.XLOOKUP($B1087,Insumo[DESCRIPCION],Insumo[VALOR],,0),"")</f>
        <v>44520</v>
      </c>
      <c r="F1087" s="33">
        <v>5</v>
      </c>
      <c r="G1087" s="34">
        <f t="shared" ref="G1087:G1096" si="6">IFERROR(IF(F1087&gt;=0,D1087*E1087*(1+F1087/100),ABS(D1087*E1087/F1087)),"")</f>
        <v>15893.640000000001</v>
      </c>
      <c r="H1087" s="43">
        <f>IFERROR(G1087*E1084,"")</f>
        <v>0</v>
      </c>
    </row>
    <row r="1088" spans="1:11" ht="12.75" customHeight="1">
      <c r="A1088" s="28"/>
      <c r="B1088" s="29" t="s">
        <v>3177</v>
      </c>
      <c r="C1088" s="30" t="str">
        <f>IFERROR(_xlfn.XLOOKUP(B1088,Insumo[DESCRIPCION],Insumo[UND],,0),"")</f>
        <v>Un</v>
      </c>
      <c r="D1088" s="31">
        <v>0.56000000000000005</v>
      </c>
      <c r="E1088" s="32">
        <f>IFERROR(_xlfn.XLOOKUP($B1088,Insumo[DESCRIPCION],Insumo[VALOR],,0),"")</f>
        <v>5289.9000000000005</v>
      </c>
      <c r="F1088" s="33">
        <v>5</v>
      </c>
      <c r="G1088" s="34">
        <f t="shared" si="6"/>
        <v>3110.4612000000006</v>
      </c>
      <c r="H1088" s="43">
        <f>IFERROR(G1088*E1084,"")</f>
        <v>0</v>
      </c>
    </row>
    <row r="1089" spans="1:8" ht="12.75" customHeight="1">
      <c r="A1089" s="28"/>
      <c r="B1089" s="29" t="s">
        <v>3553</v>
      </c>
      <c r="C1089" s="30" t="str">
        <f>IFERROR(_xlfn.XLOOKUP(B1089,Insumo[DESCRIPCION],Insumo[UND],,0),"")</f>
        <v>Un</v>
      </c>
      <c r="D1089" s="31">
        <v>0.81</v>
      </c>
      <c r="E1089" s="32">
        <f>IFERROR(_xlfn.XLOOKUP($B1089,Insumo[DESCRIPCION],Insumo[VALOR],,0),"")</f>
        <v>4117.05</v>
      </c>
      <c r="F1089" s="33">
        <v>5</v>
      </c>
      <c r="G1089" s="34">
        <f t="shared" si="6"/>
        <v>3501.5510250000007</v>
      </c>
      <c r="H1089" s="43">
        <f>IFERROR(G1089*E1084,"")</f>
        <v>0</v>
      </c>
    </row>
    <row r="1090" spans="1:8" ht="12.75" customHeight="1">
      <c r="A1090" s="28"/>
      <c r="B1090" s="29" t="s">
        <v>3404</v>
      </c>
      <c r="C1090" s="30" t="str">
        <f>IFERROR(_xlfn.XLOOKUP(B1090,Insumo[DESCRIPCION],Insumo[UND],,0),"")</f>
        <v>Un</v>
      </c>
      <c r="D1090" s="31">
        <v>8</v>
      </c>
      <c r="E1090" s="32">
        <f>IFERROR(_xlfn.XLOOKUP($B1090,Insumo[DESCRIPCION],Insumo[VALOR],,0),"")</f>
        <v>43.050000000000004</v>
      </c>
      <c r="F1090" s="33"/>
      <c r="G1090" s="34">
        <f t="shared" si="6"/>
        <v>344.40000000000003</v>
      </c>
      <c r="H1090" s="43">
        <f>IFERROR(G1090*E1084,"")</f>
        <v>0</v>
      </c>
    </row>
    <row r="1091" spans="1:8" ht="12.75" customHeight="1">
      <c r="A1091" s="28"/>
      <c r="B1091" s="29" t="s">
        <v>3406</v>
      </c>
      <c r="C1091" s="30" t="str">
        <f>IFERROR(_xlfn.XLOOKUP(B1091,Insumo[DESCRIPCION],Insumo[UND],,0),"")</f>
        <v>Un</v>
      </c>
      <c r="D1091" s="31">
        <v>11</v>
      </c>
      <c r="E1091" s="32">
        <f>IFERROR(_xlfn.XLOOKUP($B1091,Insumo[DESCRIPCION],Insumo[VALOR],,0),"")</f>
        <v>44.1</v>
      </c>
      <c r="F1091" s="33"/>
      <c r="G1091" s="34">
        <f t="shared" si="6"/>
        <v>485.1</v>
      </c>
      <c r="H1091" s="43">
        <f>IFERROR(G1091*E1084,"")</f>
        <v>0</v>
      </c>
    </row>
    <row r="1092" spans="1:8" ht="12.75" customHeight="1">
      <c r="A1092" s="28"/>
      <c r="B1092" s="29" t="s">
        <v>2850</v>
      </c>
      <c r="C1092" s="30" t="str">
        <f>IFERROR(_xlfn.XLOOKUP(B1092,Insumo[DESCRIPCION],Insumo[UND],,0),"")</f>
        <v>M</v>
      </c>
      <c r="D1092" s="31">
        <v>1</v>
      </c>
      <c r="E1092" s="32">
        <f>IFERROR(_xlfn.XLOOKUP($B1092,Insumo[DESCRIPCION],Insumo[VALOR],,0),"")</f>
        <v>511.35</v>
      </c>
      <c r="F1092" s="33"/>
      <c r="G1092" s="34">
        <f t="shared" si="6"/>
        <v>511.35</v>
      </c>
      <c r="H1092" s="43">
        <f>IFERROR(G1092*E1084,"")</f>
        <v>0</v>
      </c>
    </row>
    <row r="1093" spans="1:8" ht="12.75" customHeight="1">
      <c r="A1093" s="28"/>
      <c r="B1093" s="29" t="s">
        <v>3309</v>
      </c>
      <c r="C1093" s="30" t="str">
        <f>IFERROR(_xlfn.XLOOKUP(B1093,Insumo[DESCRIPCION],Insumo[UND],,0),"")</f>
        <v>Un</v>
      </c>
      <c r="D1093" s="31">
        <v>0.18</v>
      </c>
      <c r="E1093" s="32">
        <f>IFERROR(_xlfn.XLOOKUP($B1093,Insumo[DESCRIPCION],Insumo[VALOR],,0),"")</f>
        <v>56717.850000000006</v>
      </c>
      <c r="F1093" s="33"/>
      <c r="G1093" s="34">
        <f t="shared" si="6"/>
        <v>10209.213000000002</v>
      </c>
      <c r="H1093" s="43">
        <f>IFERROR(G1093*E1084,"")</f>
        <v>0</v>
      </c>
    </row>
    <row r="1094" spans="1:8" ht="12.75" customHeight="1">
      <c r="A1094" s="28"/>
      <c r="B1094" s="29" t="s">
        <v>3159</v>
      </c>
      <c r="C1094" s="30" t="str">
        <f>IFERROR(_xlfn.XLOOKUP(B1094,Insumo[DESCRIPCION],Insumo[UND],,0),"")</f>
        <v>Kg</v>
      </c>
      <c r="D1094" s="31">
        <v>0.17</v>
      </c>
      <c r="E1094" s="32">
        <f>IFERROR(_xlfn.XLOOKUP($B1094,Insumo[DESCRIPCION],Insumo[VALOR],,0),"")</f>
        <v>9467.85</v>
      </c>
      <c r="F1094" s="33"/>
      <c r="G1094" s="34">
        <f t="shared" si="6"/>
        <v>1609.5345000000002</v>
      </c>
      <c r="H1094" s="43">
        <f>IFERROR(G1094*E1084,"")</f>
        <v>0</v>
      </c>
    </row>
    <row r="1095" spans="1:8" ht="12.75" customHeight="1">
      <c r="A1095" s="28"/>
      <c r="B1095" s="29" t="s">
        <v>3210</v>
      </c>
      <c r="C1095" s="30" t="str">
        <f>IFERROR(_xlfn.XLOOKUP(B1095,Insumo[DESCRIPCION],Insumo[UND],,0),"")</f>
        <v>galón</v>
      </c>
      <c r="D1095" s="31">
        <v>0.12</v>
      </c>
      <c r="E1095" s="32">
        <f>IFERROR(_xlfn.XLOOKUP($B1095,Insumo[DESCRIPCION],Insumo[VALOR],,0),"")</f>
        <v>98105.7</v>
      </c>
      <c r="F1095" s="33"/>
      <c r="G1095" s="34">
        <f t="shared" si="6"/>
        <v>11772.683999999999</v>
      </c>
      <c r="H1095" s="43">
        <f>IFERROR(G1095*E1084,"")</f>
        <v>0</v>
      </c>
    </row>
    <row r="1096" spans="1:8" ht="12.75" customHeight="1">
      <c r="A1096" s="28"/>
      <c r="B1096" s="29" t="s">
        <v>2698</v>
      </c>
      <c r="C1096" s="30" t="str">
        <f>IFERROR(_xlfn.XLOOKUP(B1096,Insumo[DESCRIPCION],Insumo[UND],,0),"")</f>
        <v>Kg</v>
      </c>
      <c r="D1096" s="31">
        <v>0.05</v>
      </c>
      <c r="E1096" s="32">
        <f>IFERROR(_xlfn.XLOOKUP($B1096,Insumo[DESCRIPCION],Insumo[VALOR],,0),"")</f>
        <v>11569.95</v>
      </c>
      <c r="F1096" s="33"/>
      <c r="G1096" s="34">
        <f t="shared" si="6"/>
        <v>578.49750000000006</v>
      </c>
      <c r="H1096" s="43">
        <f>IFERROR(G1096*E1084,"")</f>
        <v>0</v>
      </c>
    </row>
    <row r="1097" spans="1:8" ht="12.75" customHeight="1">
      <c r="A1097" s="21"/>
      <c r="B1097" s="22" t="s">
        <v>3731</v>
      </c>
      <c r="C1097" s="23"/>
      <c r="D1097" s="24"/>
      <c r="E1097" s="25"/>
      <c r="F1097" s="26"/>
      <c r="G1097" s="27">
        <f>SUM(G1098:G1100)</f>
        <v>4715.8612634250012</v>
      </c>
      <c r="H1097" s="44">
        <f>G1097*E1084</f>
        <v>0</v>
      </c>
    </row>
    <row r="1098" spans="1:8" ht="12.75" customHeight="1">
      <c r="A1098" s="28"/>
      <c r="B1098" s="29" t="s">
        <v>3573</v>
      </c>
      <c r="C1098" s="30" t="str">
        <f>IFERROR(_xlfn.XLOOKUP(B1098,Equipo[DESCRIPCION],Equipo[UND],,0),"")</f>
        <v>%MO</v>
      </c>
      <c r="D1098" s="31">
        <v>0.1</v>
      </c>
      <c r="E1098" s="32">
        <f>IF(C1098="%MO",G1104,IFERROR(_xlfn.XLOOKUP($B1098,Equipo[DESCRIPCION],Equipo[VALOR],,0),""))</f>
        <v>31439.075089500006</v>
      </c>
      <c r="F1098" s="33"/>
      <c r="G1098" s="34">
        <f>IFERROR(IF(F1098&gt;=0,D1098*E1098*(1+F1098/100),ABS(D1098*E1098/F1098)),"")</f>
        <v>3143.9075089500006</v>
      </c>
      <c r="H1098" s="43">
        <f>IFERROR(G1098*E1084,"")</f>
        <v>0</v>
      </c>
    </row>
    <row r="1099" spans="1:8" ht="12.75" customHeight="1">
      <c r="A1099" s="28"/>
      <c r="B1099" s="29" t="s">
        <v>3626</v>
      </c>
      <c r="C1099" s="30" t="str">
        <f>IFERROR(_xlfn.XLOOKUP(B1099,Equipo[DESCRIPCION],Equipo[UND],,0),"")</f>
        <v>%MO</v>
      </c>
      <c r="D1099" s="31">
        <v>0.05</v>
      </c>
      <c r="E1099" s="32">
        <f>IF(C1099="%MO",G1104,IFERROR(_xlfn.XLOOKUP($B1099,Equipo[DESCRIPCION],Equipo[VALOR],,0),""))</f>
        <v>31439.075089500006</v>
      </c>
      <c r="F1099" s="33"/>
      <c r="G1099" s="34">
        <f>IFERROR(IF(F1099&gt;=0,D1099*E1099*(1+F1099/100),ABS(D1099*E1099/F1099)),"")</f>
        <v>1571.9537544750003</v>
      </c>
      <c r="H1099" s="43">
        <f>IFERROR(G1099*E1084,"")</f>
        <v>0</v>
      </c>
    </row>
    <row r="1100" spans="1:8" ht="12.75" customHeight="1">
      <c r="A1100" s="28"/>
      <c r="B1100" s="29"/>
      <c r="C1100" s="30" t="str">
        <f>IFERROR(_xlfn.XLOOKUP(B1100,Equipo[DESCRIPCION],Equipo[UND],,0),"")</f>
        <v/>
      </c>
      <c r="D1100" s="31"/>
      <c r="E1100" s="32" t="str">
        <f>IF(C1100="%MO",G1104,IFERROR(_xlfn.XLOOKUP($B1100,Equipo[DESCRIPCION],Equipo[VALOR],,0),""))</f>
        <v/>
      </c>
      <c r="F1100" s="33"/>
      <c r="G1100" s="34" t="str">
        <f>IFERROR(IF(F1100&gt;=0,D1100*E1100*(1+F1100/100),ABS(D1100*E1100/F1100)),"")</f>
        <v/>
      </c>
      <c r="H1100" s="43" t="str">
        <f>IFERROR(G1100*E1084,"")</f>
        <v/>
      </c>
    </row>
    <row r="1101" spans="1:8" ht="12.75" customHeight="1">
      <c r="A1101" s="21"/>
      <c r="B1101" s="22" t="s">
        <v>2533</v>
      </c>
      <c r="C1101" s="23"/>
      <c r="D1101" s="24"/>
      <c r="E1101" s="25"/>
      <c r="F1101" s="26"/>
      <c r="G1101" s="27">
        <f>SUM(G1102:G1103)</f>
        <v>0</v>
      </c>
      <c r="H1101" s="44">
        <f>G1101*E1084</f>
        <v>0</v>
      </c>
    </row>
    <row r="1102" spans="1:8" ht="12.75" customHeight="1">
      <c r="A1102" s="28"/>
      <c r="B1102" s="29"/>
      <c r="C1102" s="30" t="str">
        <f>IFERROR(_xlfn.XLOOKUP(B1102,Transporte[DESCRIPCION],Transporte[UND],,0),"")</f>
        <v/>
      </c>
      <c r="D1102" s="31"/>
      <c r="E1102" s="32" t="str">
        <f>IFERROR(_xlfn.XLOOKUP($B1102,Transporte[DESCRIPCION],Transporte[VALOR],,0),"")</f>
        <v/>
      </c>
      <c r="F1102" s="33"/>
      <c r="G1102" s="34" t="str">
        <f>IFERROR(IF(F1102&gt;=0,D1102*E1102*(1+F1102/100),ABS(D1102*E1102/F1102)),"")</f>
        <v/>
      </c>
      <c r="H1102" s="43" t="str">
        <f>IFERROR(G1102*E1084,"")</f>
        <v/>
      </c>
    </row>
    <row r="1103" spans="1:8" ht="12.75" customHeight="1">
      <c r="A1103" s="28"/>
      <c r="B1103" s="29"/>
      <c r="C1103" s="30" t="str">
        <f>IFERROR(_xlfn.XLOOKUP(B1103,Transporte[DESCRIPCION],Transporte[UND],,0),"")</f>
        <v/>
      </c>
      <c r="D1103" s="31"/>
      <c r="E1103" s="32" t="str">
        <f>IFERROR(_xlfn.XLOOKUP($B1103,Transporte[DESCRIPCION],Transporte[VALOR],,0),"")</f>
        <v/>
      </c>
      <c r="F1103" s="33"/>
      <c r="G1103" s="34" t="str">
        <f>IFERROR(IF(F1103&gt;=0,D1103*E1103*(1+F1103/100),ABS(D1103*E1103/F1103)),"")</f>
        <v/>
      </c>
      <c r="H1103" s="43" t="str">
        <f>IFERROR(G1103*E1084,"")</f>
        <v/>
      </c>
    </row>
    <row r="1104" spans="1:8" ht="12.75" customHeight="1">
      <c r="A1104" s="21"/>
      <c r="B1104" s="22" t="s">
        <v>3732</v>
      </c>
      <c r="C1104" s="23"/>
      <c r="D1104" s="24"/>
      <c r="E1104" s="25"/>
      <c r="F1104" s="26"/>
      <c r="G1104" s="27">
        <f>SUM(G1105:G1107)</f>
        <v>31439.075089500006</v>
      </c>
      <c r="H1104" s="44">
        <f>G1104*E1084</f>
        <v>0</v>
      </c>
    </row>
    <row r="1105" spans="1:11" ht="12.75" customHeight="1">
      <c r="A1105" s="28"/>
      <c r="B1105" s="29" t="s">
        <v>3710</v>
      </c>
      <c r="C1105" s="30" t="str">
        <f>IFERROR(_xlfn.XLOOKUP(B1105,MObra[DESCRIPCION],MObra[UN],,0),"")</f>
        <v>día</v>
      </c>
      <c r="D1105" s="31">
        <v>1</v>
      </c>
      <c r="E1105" s="32">
        <f>IFERROR(_xlfn.XLOOKUP($B1105,MObra[DESCRIPCION],MObra[VALOR UNIT],,0),"")</f>
        <v>314390.75089500006</v>
      </c>
      <c r="F1105" s="33">
        <v>-10</v>
      </c>
      <c r="G1105" s="34">
        <f>IFERROR(IF(F1105&gt;=0,D1105*E1105*(1+F1105/100),ABS(D1105*E1105/F1105)),"")</f>
        <v>31439.075089500006</v>
      </c>
      <c r="H1105" s="43">
        <f>IFERROR(G1105*E1084,"")</f>
        <v>0</v>
      </c>
    </row>
    <row r="1106" spans="1:11" ht="12.75" customHeight="1">
      <c r="A1106" s="28"/>
      <c r="B1106" s="29"/>
      <c r="C1106" s="30" t="str">
        <f t="array" ref="C1106">IFERROR(_xlfn.XLOOKUP(B1106,MObra[[#All],[DESCRIPCION]],MObra[[#All],[UN]],,0),"")</f>
        <v/>
      </c>
      <c r="D1106" s="31"/>
      <c r="E1106" s="32" t="str">
        <f>IFERROR(_xlfn.XLOOKUP($B1106,MObra[DESCRIPCION],MObra[VALOR UNIT],,0),"")</f>
        <v/>
      </c>
      <c r="F1106" s="33"/>
      <c r="G1106" s="34" t="str">
        <f>IFERROR(IF(F1106&gt;=0,D1106*E1106*(1+F1106/100),ABS(D1106*E1106/F1106)),"")</f>
        <v/>
      </c>
      <c r="H1106" s="43" t="str">
        <f>IFERROR(G1106*E1084,"")</f>
        <v/>
      </c>
    </row>
    <row r="1107" spans="1:11" ht="12.75" customHeight="1" thickBot="1">
      <c r="A1107" s="35"/>
      <c r="B1107" s="36"/>
      <c r="C1107" s="37" t="str">
        <f t="array" ref="C1107">IFERROR(_xlfn.XLOOKUP(B1107,MObra[[#All],[DESCRIPCION]],MObra[[#All],[UN]],,0),"")</f>
        <v/>
      </c>
      <c r="D1107" s="38"/>
      <c r="E1107" s="39" t="str">
        <f>IFERROR(_xlfn.XLOOKUP($B1107,MObra[DESCRIPCION],MObra[VALOR UNIT],,0),"")</f>
        <v/>
      </c>
      <c r="F1107" s="40"/>
      <c r="G1107" s="41" t="str">
        <f>IFERROR(IF(F1107&gt;=0,D1107*E1107*(1+F1107/100),ABS(D1107*E1107/F1107)),"")</f>
        <v/>
      </c>
      <c r="H1107" s="42" t="str">
        <f>IFERROR(G1107*E1084,"")</f>
        <v/>
      </c>
    </row>
    <row r="1108" spans="1:11" ht="12.75" customHeight="1" thickTop="1" thickBot="1"/>
    <row r="1109" spans="1:11" ht="12.75" customHeight="1" thickTop="1" thickBot="1">
      <c r="A1109" s="6" t="s">
        <v>1203</v>
      </c>
      <c r="B1109" s="7" t="str">
        <f>VLOOKUP($A1109,Presupuesto!$A:$D,2,FALSE())</f>
        <v>Cielo raso Superboard 6 mm + perfilería galvanizada + pintura</v>
      </c>
      <c r="C1109" s="8" t="str">
        <f>VLOOKUP($A1109,Presupuesto!$A:$D,3,FALSE())</f>
        <v>M2</v>
      </c>
      <c r="D1109" s="9"/>
      <c r="E1109" s="10">
        <f>VLOOKUP($A1109,Presupuesto!$A:$D,4,FALSE())</f>
        <v>0</v>
      </c>
      <c r="F1109" s="11" t="s">
        <v>2589</v>
      </c>
      <c r="G1109" s="12">
        <f>SUM(G1111:G1132)/2</f>
        <v>90581.302577925002</v>
      </c>
      <c r="H1109" s="13">
        <f>ROUND(SUM(H1111:H1132),0)/2</f>
        <v>0</v>
      </c>
      <c r="I1109" s="10">
        <f>VLOOKUP(A1109,Presupuesto!$A:$F,6,0)</f>
        <v>0</v>
      </c>
      <c r="J1109" s="10">
        <f>+H1109-I1109</f>
        <v>0</v>
      </c>
      <c r="K1109" s="46">
        <f>+H1109-G1109*E1109</f>
        <v>0</v>
      </c>
    </row>
    <row r="1110" spans="1:11" ht="12.75" customHeight="1" thickTop="1">
      <c r="A1110" s="14"/>
      <c r="B1110" s="15" t="s">
        <v>2586</v>
      </c>
      <c r="C1110" s="15" t="s">
        <v>5</v>
      </c>
      <c r="D1110" s="16" t="s">
        <v>6</v>
      </c>
      <c r="E1110" s="17" t="s">
        <v>7</v>
      </c>
      <c r="F1110" s="18" t="s">
        <v>3728</v>
      </c>
      <c r="G1110" s="19" t="s">
        <v>3729</v>
      </c>
      <c r="H1110" s="20" t="s">
        <v>3797</v>
      </c>
    </row>
    <row r="1111" spans="1:11" ht="12.75" customHeight="1">
      <c r="A1111" s="21"/>
      <c r="B1111" s="22" t="s">
        <v>3730</v>
      </c>
      <c r="C1111" s="23"/>
      <c r="D1111" s="24"/>
      <c r="E1111" s="25"/>
      <c r="F1111" s="26"/>
      <c r="G1111" s="27">
        <f>SUM(G1112:G1121)</f>
        <v>54426.366225000005</v>
      </c>
      <c r="H1111" s="27">
        <f>IFERROR(G1111*E1109,"")</f>
        <v>0</v>
      </c>
    </row>
    <row r="1112" spans="1:11" ht="12.75" customHeight="1">
      <c r="A1112" s="28"/>
      <c r="B1112" s="29" t="s">
        <v>3028</v>
      </c>
      <c r="C1112" s="30" t="str">
        <f>IFERROR(_xlfn.XLOOKUP(B1112,Insumo[DESCRIPCION],Insumo[UND],,0),"")</f>
        <v>Un</v>
      </c>
      <c r="D1112" s="31">
        <v>0.34</v>
      </c>
      <c r="E1112" s="32">
        <f>IFERROR(_xlfn.XLOOKUP($B1112,Insumo[DESCRIPCION],Insumo[VALOR],,0),"")</f>
        <v>62475</v>
      </c>
      <c r="F1112" s="33">
        <v>5</v>
      </c>
      <c r="G1112" s="34">
        <f t="shared" ref="G1112:G1121" si="7">IFERROR(IF(F1112&gt;=0,D1112*E1112*(1+F1112/100),ABS(D1112*E1112/F1112)),"")</f>
        <v>22303.575000000001</v>
      </c>
      <c r="H1112" s="43">
        <f>IFERROR(G1112*E1109,"")</f>
        <v>0</v>
      </c>
    </row>
    <row r="1113" spans="1:11" ht="12.75" customHeight="1">
      <c r="A1113" s="28"/>
      <c r="B1113" s="29" t="s">
        <v>3177</v>
      </c>
      <c r="C1113" s="30" t="str">
        <f>IFERROR(_xlfn.XLOOKUP(B1113,Insumo[DESCRIPCION],Insumo[UND],,0),"")</f>
        <v>Un</v>
      </c>
      <c r="D1113" s="31">
        <v>0.56000000000000005</v>
      </c>
      <c r="E1113" s="32">
        <f>IFERROR(_xlfn.XLOOKUP($B1113,Insumo[DESCRIPCION],Insumo[VALOR],,0),"")</f>
        <v>5289.9000000000005</v>
      </c>
      <c r="F1113" s="33">
        <v>5</v>
      </c>
      <c r="G1113" s="34">
        <f t="shared" si="7"/>
        <v>3110.4612000000006</v>
      </c>
      <c r="H1113" s="43">
        <f>IFERROR(G1113*E1109,"")</f>
        <v>0</v>
      </c>
    </row>
    <row r="1114" spans="1:11" ht="12.75" customHeight="1">
      <c r="A1114" s="28"/>
      <c r="B1114" s="29" t="s">
        <v>3553</v>
      </c>
      <c r="C1114" s="30" t="str">
        <f>IFERROR(_xlfn.XLOOKUP(B1114,Insumo[DESCRIPCION],Insumo[UND],,0),"")</f>
        <v>Un</v>
      </c>
      <c r="D1114" s="31">
        <v>0.81</v>
      </c>
      <c r="E1114" s="32">
        <f>IFERROR(_xlfn.XLOOKUP($B1114,Insumo[DESCRIPCION],Insumo[VALOR],,0),"")</f>
        <v>4117.05</v>
      </c>
      <c r="F1114" s="33">
        <v>5</v>
      </c>
      <c r="G1114" s="34">
        <f t="shared" si="7"/>
        <v>3501.5510250000007</v>
      </c>
      <c r="H1114" s="43">
        <f>IFERROR(G1114*E1109,"")</f>
        <v>0</v>
      </c>
    </row>
    <row r="1115" spans="1:11" ht="12.75" customHeight="1">
      <c r="A1115" s="28"/>
      <c r="B1115" s="29" t="s">
        <v>3404</v>
      </c>
      <c r="C1115" s="30" t="str">
        <f>IFERROR(_xlfn.XLOOKUP(B1115,Insumo[DESCRIPCION],Insumo[UND],,0),"")</f>
        <v>Un</v>
      </c>
      <c r="D1115" s="31">
        <v>8</v>
      </c>
      <c r="E1115" s="32">
        <f>IFERROR(_xlfn.XLOOKUP($B1115,Insumo[DESCRIPCION],Insumo[VALOR],,0),"")</f>
        <v>43.050000000000004</v>
      </c>
      <c r="F1115" s="33"/>
      <c r="G1115" s="34">
        <f t="shared" si="7"/>
        <v>344.40000000000003</v>
      </c>
      <c r="H1115" s="43">
        <f>IFERROR(G1115*E1109,"")</f>
        <v>0</v>
      </c>
    </row>
    <row r="1116" spans="1:11" ht="12.75" customHeight="1">
      <c r="A1116" s="28"/>
      <c r="B1116" s="29" t="s">
        <v>3406</v>
      </c>
      <c r="C1116" s="30" t="str">
        <f>IFERROR(_xlfn.XLOOKUP(B1116,Insumo[DESCRIPCION],Insumo[UND],,0),"")</f>
        <v>Un</v>
      </c>
      <c r="D1116" s="31">
        <v>11</v>
      </c>
      <c r="E1116" s="32">
        <f>IFERROR(_xlfn.XLOOKUP($B1116,Insumo[DESCRIPCION],Insumo[VALOR],,0),"")</f>
        <v>44.1</v>
      </c>
      <c r="F1116" s="33"/>
      <c r="G1116" s="34">
        <f t="shared" si="7"/>
        <v>485.1</v>
      </c>
      <c r="H1116" s="43">
        <f>IFERROR(G1116*E1109,"")</f>
        <v>0</v>
      </c>
    </row>
    <row r="1117" spans="1:11" ht="12.75" customHeight="1">
      <c r="A1117" s="28"/>
      <c r="B1117" s="29" t="s">
        <v>2850</v>
      </c>
      <c r="C1117" s="30" t="str">
        <f>IFERROR(_xlfn.XLOOKUP(B1117,Insumo[DESCRIPCION],Insumo[UND],,0),"")</f>
        <v>M</v>
      </c>
      <c r="D1117" s="31">
        <v>1</v>
      </c>
      <c r="E1117" s="32">
        <f>IFERROR(_xlfn.XLOOKUP($B1117,Insumo[DESCRIPCION],Insumo[VALOR],,0),"")</f>
        <v>511.35</v>
      </c>
      <c r="F1117" s="33"/>
      <c r="G1117" s="34">
        <f t="shared" si="7"/>
        <v>511.35</v>
      </c>
      <c r="H1117" s="43">
        <f>IFERROR(G1117*E1109,"")</f>
        <v>0</v>
      </c>
    </row>
    <row r="1118" spans="1:11" ht="12.75" customHeight="1">
      <c r="A1118" s="28"/>
      <c r="B1118" s="29" t="s">
        <v>3309</v>
      </c>
      <c r="C1118" s="30" t="str">
        <f>IFERROR(_xlfn.XLOOKUP(B1118,Insumo[DESCRIPCION],Insumo[UND],,0),"")</f>
        <v>Un</v>
      </c>
      <c r="D1118" s="31">
        <v>0.18</v>
      </c>
      <c r="E1118" s="32">
        <f>IFERROR(_xlfn.XLOOKUP($B1118,Insumo[DESCRIPCION],Insumo[VALOR],,0),"")</f>
        <v>56717.850000000006</v>
      </c>
      <c r="F1118" s="33"/>
      <c r="G1118" s="34">
        <f t="shared" si="7"/>
        <v>10209.213000000002</v>
      </c>
      <c r="H1118" s="43">
        <f>IFERROR(G1118*E1109,"")</f>
        <v>0</v>
      </c>
    </row>
    <row r="1119" spans="1:11" ht="12.75" customHeight="1">
      <c r="A1119" s="28"/>
      <c r="B1119" s="29" t="s">
        <v>3159</v>
      </c>
      <c r="C1119" s="30" t="str">
        <f>IFERROR(_xlfn.XLOOKUP(B1119,Insumo[DESCRIPCION],Insumo[UND],,0),"")</f>
        <v>Kg</v>
      </c>
      <c r="D1119" s="31">
        <v>0.17</v>
      </c>
      <c r="E1119" s="32">
        <f>IFERROR(_xlfn.XLOOKUP($B1119,Insumo[DESCRIPCION],Insumo[VALOR],,0),"")</f>
        <v>9467.85</v>
      </c>
      <c r="F1119" s="33"/>
      <c r="G1119" s="34">
        <f t="shared" si="7"/>
        <v>1609.5345000000002</v>
      </c>
      <c r="H1119" s="43">
        <f>IFERROR(G1119*E1109,"")</f>
        <v>0</v>
      </c>
    </row>
    <row r="1120" spans="1:11" ht="12.75" customHeight="1">
      <c r="A1120" s="28"/>
      <c r="B1120" s="29" t="s">
        <v>3210</v>
      </c>
      <c r="C1120" s="30" t="str">
        <f>IFERROR(_xlfn.XLOOKUP(B1120,Insumo[DESCRIPCION],Insumo[UND],,0),"")</f>
        <v>galón</v>
      </c>
      <c r="D1120" s="31">
        <v>0.12</v>
      </c>
      <c r="E1120" s="32">
        <f>IFERROR(_xlfn.XLOOKUP($B1120,Insumo[DESCRIPCION],Insumo[VALOR],,0),"")</f>
        <v>98105.7</v>
      </c>
      <c r="F1120" s="33"/>
      <c r="G1120" s="34">
        <f t="shared" si="7"/>
        <v>11772.683999999999</v>
      </c>
      <c r="H1120" s="43">
        <f>IFERROR(G1120*E1109,"")</f>
        <v>0</v>
      </c>
    </row>
    <row r="1121" spans="1:11" ht="12.75" customHeight="1">
      <c r="A1121" s="28"/>
      <c r="B1121" s="29" t="s">
        <v>2698</v>
      </c>
      <c r="C1121" s="30" t="str">
        <f>IFERROR(_xlfn.XLOOKUP(B1121,Insumo[DESCRIPCION],Insumo[UND],,0),"")</f>
        <v>Kg</v>
      </c>
      <c r="D1121" s="31">
        <v>0.05</v>
      </c>
      <c r="E1121" s="32">
        <f>IFERROR(_xlfn.XLOOKUP($B1121,Insumo[DESCRIPCION],Insumo[VALOR],,0),"")</f>
        <v>11569.95</v>
      </c>
      <c r="F1121" s="33"/>
      <c r="G1121" s="34">
        <f t="shared" si="7"/>
        <v>578.49750000000006</v>
      </c>
      <c r="H1121" s="43">
        <f>IFERROR(G1121*E1109,"")</f>
        <v>0</v>
      </c>
    </row>
    <row r="1122" spans="1:11" ht="12.75" customHeight="1">
      <c r="A1122" s="21"/>
      <c r="B1122" s="22" t="s">
        <v>3731</v>
      </c>
      <c r="C1122" s="23"/>
      <c r="D1122" s="24"/>
      <c r="E1122" s="25"/>
      <c r="F1122" s="26"/>
      <c r="G1122" s="27">
        <f>SUM(G1123:G1125)</f>
        <v>4715.8612634250012</v>
      </c>
      <c r="H1122" s="44">
        <f>G1122*E1109</f>
        <v>0</v>
      </c>
    </row>
    <row r="1123" spans="1:11" ht="12.75" customHeight="1">
      <c r="A1123" s="28"/>
      <c r="B1123" s="29" t="s">
        <v>3573</v>
      </c>
      <c r="C1123" s="30" t="str">
        <f>IFERROR(_xlfn.XLOOKUP(B1123,Equipo[DESCRIPCION],Equipo[UND],,0),"")</f>
        <v>%MO</v>
      </c>
      <c r="D1123" s="31">
        <v>0.1</v>
      </c>
      <c r="E1123" s="32">
        <f>IF(C1123="%MO",G1129,IFERROR(_xlfn.XLOOKUP($B1123,Equipo[DESCRIPCION],Equipo[VALOR],,0),""))</f>
        <v>31439.075089500006</v>
      </c>
      <c r="F1123" s="33"/>
      <c r="G1123" s="34">
        <f>IFERROR(IF(F1123&gt;=0,D1123*E1123*(1+F1123/100),ABS(D1123*E1123/F1123)),"")</f>
        <v>3143.9075089500006</v>
      </c>
      <c r="H1123" s="43">
        <f>IFERROR(G1123*E1109,"")</f>
        <v>0</v>
      </c>
    </row>
    <row r="1124" spans="1:11" ht="12.75" customHeight="1">
      <c r="A1124" s="28"/>
      <c r="B1124" s="29" t="s">
        <v>3626</v>
      </c>
      <c r="C1124" s="30" t="str">
        <f>IFERROR(_xlfn.XLOOKUP(B1124,Equipo[DESCRIPCION],Equipo[UND],,0),"")</f>
        <v>%MO</v>
      </c>
      <c r="D1124" s="31">
        <v>0.05</v>
      </c>
      <c r="E1124" s="32">
        <f>IF(C1124="%MO",G1129,IFERROR(_xlfn.XLOOKUP($B1124,Equipo[DESCRIPCION],Equipo[VALOR],,0),""))</f>
        <v>31439.075089500006</v>
      </c>
      <c r="F1124" s="33"/>
      <c r="G1124" s="34">
        <f>IFERROR(IF(F1124&gt;=0,D1124*E1124*(1+F1124/100),ABS(D1124*E1124/F1124)),"")</f>
        <v>1571.9537544750003</v>
      </c>
      <c r="H1124" s="43">
        <f>IFERROR(G1124*E1109,"")</f>
        <v>0</v>
      </c>
    </row>
    <row r="1125" spans="1:11" ht="12.75" customHeight="1">
      <c r="A1125" s="28"/>
      <c r="B1125" s="29"/>
      <c r="C1125" s="30" t="str">
        <f>IFERROR(_xlfn.XLOOKUP(B1125,Equipo[DESCRIPCION],Equipo[UND],,0),"")</f>
        <v/>
      </c>
      <c r="D1125" s="31"/>
      <c r="E1125" s="32" t="str">
        <f>IF(C1125="%MO",G1129,IFERROR(_xlfn.XLOOKUP($B1125,Equipo[DESCRIPCION],Equipo[VALOR],,0),""))</f>
        <v/>
      </c>
      <c r="F1125" s="33"/>
      <c r="G1125" s="34" t="str">
        <f>IFERROR(IF(F1125&gt;=0,D1125*E1125*(1+F1125/100),ABS(D1125*E1125/F1125)),"")</f>
        <v/>
      </c>
      <c r="H1125" s="43" t="str">
        <f>IFERROR(G1125*E1109,"")</f>
        <v/>
      </c>
    </row>
    <row r="1126" spans="1:11" ht="12.75" customHeight="1">
      <c r="A1126" s="21"/>
      <c r="B1126" s="22" t="s">
        <v>2533</v>
      </c>
      <c r="C1126" s="23"/>
      <c r="D1126" s="24"/>
      <c r="E1126" s="25"/>
      <c r="F1126" s="26"/>
      <c r="G1126" s="27">
        <f>SUM(G1127:G1128)</f>
        <v>0</v>
      </c>
      <c r="H1126" s="44">
        <f>G1126*E1109</f>
        <v>0</v>
      </c>
    </row>
    <row r="1127" spans="1:11" ht="12.75" customHeight="1">
      <c r="A1127" s="28"/>
      <c r="B1127" s="29"/>
      <c r="C1127" s="30" t="str">
        <f>IFERROR(_xlfn.XLOOKUP(B1127,Transporte[DESCRIPCION],Transporte[UND],,0),"")</f>
        <v/>
      </c>
      <c r="D1127" s="31"/>
      <c r="E1127" s="32" t="str">
        <f>IFERROR(_xlfn.XLOOKUP($B1127,Transporte[DESCRIPCION],Transporte[VALOR],,0),"")</f>
        <v/>
      </c>
      <c r="F1127" s="33"/>
      <c r="G1127" s="34" t="str">
        <f>IFERROR(IF(F1127&gt;=0,D1127*E1127*(1+F1127/100),ABS(D1127*E1127/F1127)),"")</f>
        <v/>
      </c>
      <c r="H1127" s="43" t="str">
        <f>IFERROR(G1127*E1109,"")</f>
        <v/>
      </c>
    </row>
    <row r="1128" spans="1:11" ht="12.75" customHeight="1">
      <c r="A1128" s="28"/>
      <c r="B1128" s="29"/>
      <c r="C1128" s="30" t="str">
        <f>IFERROR(_xlfn.XLOOKUP(B1128,Transporte[DESCRIPCION],Transporte[UND],,0),"")</f>
        <v/>
      </c>
      <c r="D1128" s="31"/>
      <c r="E1128" s="32" t="str">
        <f>IFERROR(_xlfn.XLOOKUP($B1128,Transporte[DESCRIPCION],Transporte[VALOR],,0),"")</f>
        <v/>
      </c>
      <c r="F1128" s="33"/>
      <c r="G1128" s="34" t="str">
        <f>IFERROR(IF(F1128&gt;=0,D1128*E1128*(1+F1128/100),ABS(D1128*E1128/F1128)),"")</f>
        <v/>
      </c>
      <c r="H1128" s="43" t="str">
        <f>IFERROR(G1128*E1109,"")</f>
        <v/>
      </c>
    </row>
    <row r="1129" spans="1:11" ht="12.75" customHeight="1">
      <c r="A1129" s="21"/>
      <c r="B1129" s="22" t="s">
        <v>3732</v>
      </c>
      <c r="C1129" s="23"/>
      <c r="D1129" s="24"/>
      <c r="E1129" s="25"/>
      <c r="F1129" s="26"/>
      <c r="G1129" s="27">
        <f>SUM(G1130:G1132)</f>
        <v>31439.075089500006</v>
      </c>
      <c r="H1129" s="44">
        <f>G1129*E1109</f>
        <v>0</v>
      </c>
    </row>
    <row r="1130" spans="1:11" ht="12.75" customHeight="1">
      <c r="A1130" s="28"/>
      <c r="B1130" s="29" t="s">
        <v>3710</v>
      </c>
      <c r="C1130" s="30" t="str">
        <f>IFERROR(_xlfn.XLOOKUP(B1130,MObra[DESCRIPCION],MObra[UN],,0),"")</f>
        <v>día</v>
      </c>
      <c r="D1130" s="31">
        <v>1</v>
      </c>
      <c r="E1130" s="32">
        <f>IFERROR(_xlfn.XLOOKUP($B1130,MObra[DESCRIPCION],MObra[VALOR UNIT],,0),"")</f>
        <v>314390.75089500006</v>
      </c>
      <c r="F1130" s="33">
        <v>-10</v>
      </c>
      <c r="G1130" s="34">
        <f>IFERROR(IF(F1130&gt;=0,D1130*E1130*(1+F1130/100),ABS(D1130*E1130/F1130)),"")</f>
        <v>31439.075089500006</v>
      </c>
      <c r="H1130" s="43">
        <f>IFERROR(G1130*E1109,"")</f>
        <v>0</v>
      </c>
    </row>
    <row r="1131" spans="1:11" ht="12.75" customHeight="1">
      <c r="A1131" s="28"/>
      <c r="B1131" s="29"/>
      <c r="C1131" s="30" t="str">
        <f t="array" ref="C1131">IFERROR(_xlfn.XLOOKUP(B1131,MObra[[#All],[DESCRIPCION]],MObra[[#All],[UN]],,0),"")</f>
        <v/>
      </c>
      <c r="D1131" s="31"/>
      <c r="E1131" s="32" t="str">
        <f>IFERROR(_xlfn.XLOOKUP($B1131,MObra[DESCRIPCION],MObra[VALOR UNIT],,0),"")</f>
        <v/>
      </c>
      <c r="F1131" s="33"/>
      <c r="G1131" s="34" t="str">
        <f>IFERROR(IF(F1131&gt;=0,D1131*E1131*(1+F1131/100),ABS(D1131*E1131/F1131)),"")</f>
        <v/>
      </c>
      <c r="H1131" s="43" t="str">
        <f>IFERROR(G1131*E1109,"")</f>
        <v/>
      </c>
    </row>
    <row r="1132" spans="1:11" ht="12.75" customHeight="1" thickBot="1">
      <c r="A1132" s="35"/>
      <c r="B1132" s="36"/>
      <c r="C1132" s="37" t="str">
        <f t="array" ref="C1132">IFERROR(_xlfn.XLOOKUP(B1132,MObra[[#All],[DESCRIPCION]],MObra[[#All],[UN]],,0),"")</f>
        <v/>
      </c>
      <c r="D1132" s="38"/>
      <c r="E1132" s="39" t="str">
        <f>IFERROR(_xlfn.XLOOKUP($B1132,MObra[DESCRIPCION],MObra[VALOR UNIT],,0),"")</f>
        <v/>
      </c>
      <c r="F1132" s="40"/>
      <c r="G1132" s="41" t="str">
        <f>IFERROR(IF(F1132&gt;=0,D1132*E1132*(1+F1132/100),ABS(D1132*E1132/F1132)),"")</f>
        <v/>
      </c>
      <c r="H1132" s="42" t="str">
        <f>IFERROR(G1132*E1109,"")</f>
        <v/>
      </c>
    </row>
    <row r="1133" spans="1:11" ht="12.75" customHeight="1" thickTop="1" thickBot="1"/>
    <row r="1134" spans="1:11" ht="12.75" customHeight="1" thickTop="1" thickBot="1">
      <c r="A1134" s="6" t="s">
        <v>1205</v>
      </c>
      <c r="B1134" s="7" t="str">
        <f>VLOOKUP($A1134,Presupuesto!$A:$D,2,FALSE())</f>
        <v>Cielo raso tablilla machihembrada pino ciprés + barniz</v>
      </c>
      <c r="C1134" s="8" t="str">
        <f>VLOOKUP($A1134,Presupuesto!$A:$D,3,FALSE())</f>
        <v>M2</v>
      </c>
      <c r="D1134" s="9"/>
      <c r="E1134" s="10">
        <f>VLOOKUP($A1134,Presupuesto!$A:$D,4,FALSE())</f>
        <v>0</v>
      </c>
      <c r="F1134" s="11" t="s">
        <v>2589</v>
      </c>
      <c r="G1134" s="12">
        <f>SUM(G1136:G1152)/2</f>
        <v>126758.22694115626</v>
      </c>
      <c r="H1134" s="13">
        <f>ROUND(SUM(H1136:H1152),0)/2</f>
        <v>0</v>
      </c>
      <c r="I1134" s="10">
        <f>VLOOKUP(A1134,Presupuesto!$A:$F,6,0)</f>
        <v>0</v>
      </c>
      <c r="J1134" s="10">
        <f>+H1134-I1134</f>
        <v>0</v>
      </c>
      <c r="K1134" s="46">
        <f>+H1134-G1134*E1134</f>
        <v>0</v>
      </c>
    </row>
    <row r="1135" spans="1:11" ht="12.75" customHeight="1" thickTop="1">
      <c r="A1135" s="14"/>
      <c r="B1135" s="15" t="s">
        <v>2586</v>
      </c>
      <c r="C1135" s="15" t="s">
        <v>5</v>
      </c>
      <c r="D1135" s="16" t="s">
        <v>6</v>
      </c>
      <c r="E1135" s="17" t="s">
        <v>7</v>
      </c>
      <c r="F1135" s="18" t="s">
        <v>3728</v>
      </c>
      <c r="G1135" s="19" t="s">
        <v>3729</v>
      </c>
      <c r="H1135" s="20" t="s">
        <v>3797</v>
      </c>
    </row>
    <row r="1136" spans="1:11" ht="12.75" customHeight="1">
      <c r="A1136" s="21"/>
      <c r="B1136" s="22" t="s">
        <v>3730</v>
      </c>
      <c r="C1136" s="23"/>
      <c r="D1136" s="24"/>
      <c r="E1136" s="25"/>
      <c r="F1136" s="26"/>
      <c r="G1136" s="27">
        <f>SUM(G1137:G1141)</f>
        <v>81564.556500000006</v>
      </c>
      <c r="H1136" s="27">
        <f>IFERROR(G1136*E1134,"")</f>
        <v>0</v>
      </c>
    </row>
    <row r="1137" spans="1:8" ht="12.75" customHeight="1">
      <c r="A1137" s="28"/>
      <c r="B1137" s="29" t="s">
        <v>3355</v>
      </c>
      <c r="C1137" s="30" t="str">
        <f>IFERROR(_xlfn.XLOOKUP(B1137,Insumo[DESCRIPCION],Insumo[UND],,0),"")</f>
        <v>M2</v>
      </c>
      <c r="D1137" s="31">
        <v>1</v>
      </c>
      <c r="E1137" s="32">
        <f>IFERROR(_xlfn.XLOOKUP($B1137,Insumo[DESCRIPCION],Insumo[VALOR],,0),"")</f>
        <v>62751.15</v>
      </c>
      <c r="F1137" s="33">
        <v>5</v>
      </c>
      <c r="G1137" s="34">
        <f>IFERROR(IF(F1137&gt;=0,D1137*E1137*(1+F1137/100),ABS(D1137*E1137/F1137)),"")</f>
        <v>65888.707500000004</v>
      </c>
      <c r="H1137" s="43">
        <f>IFERROR(G1137*E1134,"")</f>
        <v>0</v>
      </c>
    </row>
    <row r="1138" spans="1:8" ht="12.75" customHeight="1">
      <c r="A1138" s="28"/>
      <c r="B1138" s="29" t="s">
        <v>3253</v>
      </c>
      <c r="C1138" s="30" t="str">
        <f>IFERROR(_xlfn.XLOOKUP(B1138,Insumo[DESCRIPCION],Insumo[UND],,0),"")</f>
        <v>Lb</v>
      </c>
      <c r="D1138" s="31">
        <v>0.15</v>
      </c>
      <c r="E1138" s="32">
        <f>IFERROR(_xlfn.XLOOKUP($B1138,Insumo[DESCRIPCION],Insumo[VALOR],,0),"")</f>
        <v>6482.7000000000007</v>
      </c>
      <c r="F1138" s="33"/>
      <c r="G1138" s="34">
        <f>IFERROR(IF(F1138&gt;=0,D1138*E1138*(1+F1138/100),ABS(D1138*E1138/F1138)),"")</f>
        <v>972.40500000000009</v>
      </c>
      <c r="H1138" s="43">
        <f>IFERROR(G1138*E1134,"")</f>
        <v>0</v>
      </c>
    </row>
    <row r="1139" spans="1:8" ht="12.75" customHeight="1">
      <c r="A1139" s="28"/>
      <c r="B1139" s="29" t="s">
        <v>2744</v>
      </c>
      <c r="C1139" s="30" t="str">
        <f>IFERROR(_xlfn.XLOOKUP(B1139,Insumo[DESCRIPCION],Insumo[UND],,0),"")</f>
        <v>galón</v>
      </c>
      <c r="D1139" s="31">
        <v>0.12</v>
      </c>
      <c r="E1139" s="32">
        <f>IFERROR(_xlfn.XLOOKUP($B1139,Insumo[DESCRIPCION],Insumo[VALOR],,0),"")</f>
        <v>122528.70000000001</v>
      </c>
      <c r="F1139" s="33"/>
      <c r="G1139" s="34">
        <f>IFERROR(IF(F1139&gt;=0,D1139*E1139*(1+F1139/100),ABS(D1139*E1139/F1139)),"")</f>
        <v>14703.444000000001</v>
      </c>
      <c r="H1139" s="43">
        <f>IFERROR(G1139*E1134,"")</f>
        <v>0</v>
      </c>
    </row>
    <row r="1140" spans="1:8" ht="12.75" customHeight="1">
      <c r="A1140" s="28"/>
      <c r="B1140" s="29"/>
      <c r="C1140" s="30" t="str">
        <f>IFERROR(_xlfn.XLOOKUP(B1140,Insumo[DESCRIPCION],Insumo[UND],,0),"")</f>
        <v/>
      </c>
      <c r="D1140" s="31"/>
      <c r="E1140" s="32" t="str">
        <f>IFERROR(_xlfn.XLOOKUP($B1140,Insumo[DESCRIPCION],Insumo[VALOR],,0),"")</f>
        <v/>
      </c>
      <c r="F1140" s="33"/>
      <c r="G1140" s="34" t="str">
        <f>IFERROR(IF(F1140&gt;=0,D1140*E1140*(1+F1140/100),ABS(D1140*E1140/F1140)),"")</f>
        <v/>
      </c>
      <c r="H1140" s="43" t="str">
        <f>IFERROR(G1140*E1134,"")</f>
        <v/>
      </c>
    </row>
    <row r="1141" spans="1:8" ht="12.75" customHeight="1">
      <c r="A1141" s="28"/>
      <c r="B1141" s="29"/>
      <c r="C1141" s="30" t="str">
        <f>IFERROR(_xlfn.XLOOKUP(B1141,Insumo[DESCRIPCION],Insumo[UND],,0),"")</f>
        <v/>
      </c>
      <c r="D1141" s="31"/>
      <c r="E1141" s="32" t="str">
        <f>IFERROR(_xlfn.XLOOKUP($B1141,Insumo[DESCRIPCION],Insumo[VALOR],,0),"")</f>
        <v/>
      </c>
      <c r="F1141" s="33"/>
      <c r="G1141" s="34" t="str">
        <f>IFERROR(IF(F1141&gt;=0,D1141*E1141*(1+F1141/100),ABS(D1141*E1141/F1141)),"")</f>
        <v/>
      </c>
      <c r="H1141" s="43" t="str">
        <f>IFERROR(G1141*E1134,"")</f>
        <v/>
      </c>
    </row>
    <row r="1142" spans="1:8" ht="12.75" customHeight="1">
      <c r="A1142" s="21"/>
      <c r="B1142" s="22" t="s">
        <v>3731</v>
      </c>
      <c r="C1142" s="23"/>
      <c r="D1142" s="24"/>
      <c r="E1142" s="25"/>
      <c r="F1142" s="26"/>
      <c r="G1142" s="27">
        <f>SUM(G1143:G1145)</f>
        <v>5894.8265792812517</v>
      </c>
      <c r="H1142" s="44">
        <f>G1142*E1134</f>
        <v>0</v>
      </c>
    </row>
    <row r="1143" spans="1:8" ht="12.75" customHeight="1">
      <c r="A1143" s="28"/>
      <c r="B1143" s="29" t="s">
        <v>3573</v>
      </c>
      <c r="C1143" s="30" t="str">
        <f>IFERROR(_xlfn.XLOOKUP(B1143,Equipo[DESCRIPCION],Equipo[UND],,0),"")</f>
        <v>%MO</v>
      </c>
      <c r="D1143" s="31">
        <v>0.1</v>
      </c>
      <c r="E1143" s="32">
        <f>IF(C1143="%MO",G1149,IFERROR(_xlfn.XLOOKUP($B1143,Equipo[DESCRIPCION],Equipo[VALOR],,0),""))</f>
        <v>39298.843861875008</v>
      </c>
      <c r="F1143" s="33"/>
      <c r="G1143" s="34">
        <f>IFERROR(IF(F1143&gt;=0,D1143*E1143*(1+F1143/100),ABS(D1143*E1143/F1143)),"")</f>
        <v>3929.8843861875011</v>
      </c>
      <c r="H1143" s="43">
        <f>IFERROR(G1143*E1134,"")</f>
        <v>0</v>
      </c>
    </row>
    <row r="1144" spans="1:8" ht="12.75" customHeight="1">
      <c r="A1144" s="28"/>
      <c r="B1144" s="29" t="s">
        <v>3626</v>
      </c>
      <c r="C1144" s="30" t="str">
        <f>IFERROR(_xlfn.XLOOKUP(B1144,Equipo[DESCRIPCION],Equipo[UND],,0),"")</f>
        <v>%MO</v>
      </c>
      <c r="D1144" s="31">
        <v>0.05</v>
      </c>
      <c r="E1144" s="32">
        <f>IF(C1144="%MO",G1149,IFERROR(_xlfn.XLOOKUP($B1144,Equipo[DESCRIPCION],Equipo[VALOR],,0),""))</f>
        <v>39298.843861875008</v>
      </c>
      <c r="F1144" s="33"/>
      <c r="G1144" s="34">
        <f>IFERROR(IF(F1144&gt;=0,D1144*E1144*(1+F1144/100),ABS(D1144*E1144/F1144)),"")</f>
        <v>1964.9421930937506</v>
      </c>
      <c r="H1144" s="43">
        <f>IFERROR(G1144*E1134,"")</f>
        <v>0</v>
      </c>
    </row>
    <row r="1145" spans="1:8" ht="12.75" customHeight="1">
      <c r="A1145" s="28"/>
      <c r="B1145" s="29"/>
      <c r="C1145" s="30" t="str">
        <f>IFERROR(_xlfn.XLOOKUP(B1145,Equipo[DESCRIPCION],Equipo[UND],,0),"")</f>
        <v/>
      </c>
      <c r="D1145" s="31"/>
      <c r="E1145" s="32" t="str">
        <f>IF(C1145="%MO",G1149,IFERROR(_xlfn.XLOOKUP($B1145,Equipo[DESCRIPCION],Equipo[VALOR],,0),""))</f>
        <v/>
      </c>
      <c r="F1145" s="33"/>
      <c r="G1145" s="34" t="str">
        <f>IFERROR(IF(F1145&gt;=0,D1145*E1145*(1+F1145/100),ABS(D1145*E1145/F1145)),"")</f>
        <v/>
      </c>
      <c r="H1145" s="43" t="str">
        <f>IFERROR(G1145*E1134,"")</f>
        <v/>
      </c>
    </row>
    <row r="1146" spans="1:8" ht="12.75" customHeight="1">
      <c r="A1146" s="21"/>
      <c r="B1146" s="22" t="s">
        <v>2533</v>
      </c>
      <c r="C1146" s="23"/>
      <c r="D1146" s="24"/>
      <c r="E1146" s="25"/>
      <c r="F1146" s="26"/>
      <c r="G1146" s="27">
        <f>SUM(G1147:G1148)</f>
        <v>0</v>
      </c>
      <c r="H1146" s="44">
        <f>G1146*E1134</f>
        <v>0</v>
      </c>
    </row>
    <row r="1147" spans="1:8" ht="12.75" customHeight="1">
      <c r="A1147" s="28"/>
      <c r="B1147" s="29"/>
      <c r="C1147" s="30" t="str">
        <f>IFERROR(_xlfn.XLOOKUP(B1147,Transporte[DESCRIPCION],Transporte[UND],,0),"")</f>
        <v/>
      </c>
      <c r="D1147" s="31"/>
      <c r="E1147" s="32" t="str">
        <f>IFERROR(_xlfn.XLOOKUP($B1147,Transporte[DESCRIPCION],Transporte[VALOR],,0),"")</f>
        <v/>
      </c>
      <c r="F1147" s="33"/>
      <c r="G1147" s="34" t="str">
        <f>IFERROR(IF(F1147&gt;=0,D1147*E1147*(1+F1147/100),ABS(D1147*E1147/F1147)),"")</f>
        <v/>
      </c>
      <c r="H1147" s="43" t="str">
        <f>IFERROR(G1147*E1134,"")</f>
        <v/>
      </c>
    </row>
    <row r="1148" spans="1:8" ht="12.75" customHeight="1">
      <c r="A1148" s="28"/>
      <c r="B1148" s="29"/>
      <c r="C1148" s="30" t="str">
        <f>IFERROR(_xlfn.XLOOKUP(B1148,Transporte[DESCRIPCION],Transporte[UND],,0),"")</f>
        <v/>
      </c>
      <c r="D1148" s="31"/>
      <c r="E1148" s="32" t="str">
        <f>IFERROR(_xlfn.XLOOKUP($B1148,Transporte[DESCRIPCION],Transporte[VALOR],,0),"")</f>
        <v/>
      </c>
      <c r="F1148" s="33"/>
      <c r="G1148" s="34" t="str">
        <f>IFERROR(IF(F1148&gt;=0,D1148*E1148*(1+F1148/100),ABS(D1148*E1148/F1148)),"")</f>
        <v/>
      </c>
      <c r="H1148" s="43" t="str">
        <f>IFERROR(G1148*E1134,"")</f>
        <v/>
      </c>
    </row>
    <row r="1149" spans="1:8" ht="12.75" customHeight="1">
      <c r="A1149" s="21"/>
      <c r="B1149" s="22" t="s">
        <v>3732</v>
      </c>
      <c r="C1149" s="23"/>
      <c r="D1149" s="24"/>
      <c r="E1149" s="25"/>
      <c r="F1149" s="26"/>
      <c r="G1149" s="27">
        <f>SUM(G1150:G1152)</f>
        <v>39298.843861875008</v>
      </c>
      <c r="H1149" s="44">
        <f>G1149*E1134</f>
        <v>0</v>
      </c>
    </row>
    <row r="1150" spans="1:8" ht="12.75" customHeight="1">
      <c r="A1150" s="28"/>
      <c r="B1150" s="29" t="s">
        <v>3710</v>
      </c>
      <c r="C1150" s="30" t="str">
        <f>IFERROR(_xlfn.XLOOKUP(B1150,MObra[DESCRIPCION],MObra[UN],,0),"")</f>
        <v>día</v>
      </c>
      <c r="D1150" s="31">
        <v>1</v>
      </c>
      <c r="E1150" s="32">
        <f>IFERROR(_xlfn.XLOOKUP($B1150,MObra[DESCRIPCION],MObra[VALOR UNIT],,0),"")</f>
        <v>314390.75089500006</v>
      </c>
      <c r="F1150" s="33">
        <v>-8</v>
      </c>
      <c r="G1150" s="34">
        <f>IFERROR(IF(F1150&gt;=0,D1150*E1150*(1+F1150/100),ABS(D1150*E1150/F1150)),"")</f>
        <v>39298.843861875008</v>
      </c>
      <c r="H1150" s="43">
        <f>IFERROR(G1150*E1134,"")</f>
        <v>0</v>
      </c>
    </row>
    <row r="1151" spans="1:8" ht="12.75" customHeight="1">
      <c r="A1151" s="28"/>
      <c r="B1151" s="29"/>
      <c r="C1151" s="30" t="str">
        <f t="array" ref="C1151">IFERROR(_xlfn.XLOOKUP(B1151,MObra[[#All],[DESCRIPCION]],MObra[[#All],[UN]],,0),"")</f>
        <v/>
      </c>
      <c r="D1151" s="31"/>
      <c r="E1151" s="32" t="str">
        <f>IFERROR(_xlfn.XLOOKUP($B1151,MObra[DESCRIPCION],MObra[VALOR UNIT],,0),"")</f>
        <v/>
      </c>
      <c r="F1151" s="33"/>
      <c r="G1151" s="34" t="str">
        <f>IFERROR(IF(F1151&gt;=0,D1151*E1151*(1+F1151/100),ABS(D1151*E1151/F1151)),"")</f>
        <v/>
      </c>
      <c r="H1151" s="43" t="str">
        <f>IFERROR(G1151*E1134,"")</f>
        <v/>
      </c>
    </row>
    <row r="1152" spans="1:8" ht="12.75" customHeight="1" thickBot="1">
      <c r="A1152" s="35"/>
      <c r="B1152" s="36"/>
      <c r="C1152" s="37" t="str">
        <f t="array" ref="C1152">IFERROR(_xlfn.XLOOKUP(B1152,MObra[[#All],[DESCRIPCION]],MObra[[#All],[UN]],,0),"")</f>
        <v/>
      </c>
      <c r="D1152" s="38"/>
      <c r="E1152" s="39" t="str">
        <f>IFERROR(_xlfn.XLOOKUP($B1152,MObra[DESCRIPCION],MObra[VALOR UNIT],,0),"")</f>
        <v/>
      </c>
      <c r="F1152" s="40"/>
      <c r="G1152" s="41" t="str">
        <f>IFERROR(IF(F1152&gt;=0,D1152*E1152*(1+F1152/100),ABS(D1152*E1152/F1152)),"")</f>
        <v/>
      </c>
      <c r="H1152" s="42" t="str">
        <f>IFERROR(G1152*E1134,"")</f>
        <v/>
      </c>
    </row>
    <row r="1153" spans="1:11" ht="12.75" customHeight="1" thickTop="1" thickBot="1"/>
    <row r="1154" spans="1:11" ht="12.75" customHeight="1" thickTop="1" thickBot="1">
      <c r="A1154" s="6" t="s">
        <v>1207</v>
      </c>
      <c r="B1154" s="7" t="str">
        <f>VLOOKUP($A1154,Presupuesto!$A:$D,2,FALSE())</f>
        <v>Claraboya teja ondulada + vidrio</v>
      </c>
      <c r="C1154" s="8" t="str">
        <f>VLOOKUP($A1154,Presupuesto!$A:$D,3,FALSE())</f>
        <v>M2</v>
      </c>
      <c r="D1154" s="9"/>
      <c r="E1154" s="10">
        <f>VLOOKUP($A1154,Presupuesto!$A:$D,4,FALSE())</f>
        <v>0</v>
      </c>
      <c r="F1154" s="11" t="s">
        <v>2589</v>
      </c>
      <c r="G1154" s="12">
        <f>SUM(G1156:G1172)/2</f>
        <v>166646.62895720452</v>
      </c>
      <c r="H1154" s="13">
        <f>ROUND(SUM(H1156:H1172),0)/2</f>
        <v>0</v>
      </c>
      <c r="I1154" s="10">
        <f>VLOOKUP(A1154,Presupuesto!$A:$F,6,0)</f>
        <v>0</v>
      </c>
      <c r="J1154" s="10">
        <f>+H1154-I1154</f>
        <v>0</v>
      </c>
      <c r="K1154" s="46">
        <f>+H1154-G1154*E1154</f>
        <v>0</v>
      </c>
    </row>
    <row r="1155" spans="1:11" ht="12.75" customHeight="1" thickTop="1">
      <c r="A1155" s="14"/>
      <c r="B1155" s="15" t="s">
        <v>2586</v>
      </c>
      <c r="C1155" s="15" t="s">
        <v>5</v>
      </c>
      <c r="D1155" s="16" t="s">
        <v>6</v>
      </c>
      <c r="E1155" s="17" t="s">
        <v>7</v>
      </c>
      <c r="F1155" s="18" t="s">
        <v>3728</v>
      </c>
      <c r="G1155" s="19" t="s">
        <v>3729</v>
      </c>
      <c r="H1155" s="20" t="s">
        <v>3797</v>
      </c>
    </row>
    <row r="1156" spans="1:11" ht="12.75" customHeight="1">
      <c r="A1156" s="21"/>
      <c r="B1156" s="22" t="s">
        <v>3730</v>
      </c>
      <c r="C1156" s="23"/>
      <c r="D1156" s="24"/>
      <c r="E1156" s="25"/>
      <c r="F1156" s="26"/>
      <c r="G1156" s="27">
        <f>SUM(G1157:G1161)</f>
        <v>133778.50500000003</v>
      </c>
      <c r="H1156" s="27">
        <f>IFERROR(G1156*E1154,"")</f>
        <v>0</v>
      </c>
    </row>
    <row r="1157" spans="1:11" ht="12.75" customHeight="1">
      <c r="A1157" s="28"/>
      <c r="B1157" s="29" t="s">
        <v>2854</v>
      </c>
      <c r="C1157" s="30" t="str">
        <f>IFERROR(_xlfn.XLOOKUP(B1157,Insumo[DESCRIPCION],Insumo[UND],,0),"")</f>
        <v>Un</v>
      </c>
      <c r="D1157" s="31">
        <v>1.3</v>
      </c>
      <c r="E1157" s="32">
        <f>IFERROR(_xlfn.XLOOKUP($B1157,Insumo[DESCRIPCION],Insumo[VALOR],,0),"")</f>
        <v>100496.55</v>
      </c>
      <c r="F1157" s="33"/>
      <c r="G1157" s="34">
        <f>IFERROR(IF(F1157&gt;=0,D1157*E1157*(1+F1157/100),ABS(D1157*E1157/F1157)),"")</f>
        <v>130645.51500000001</v>
      </c>
      <c r="H1157" s="43">
        <f>IFERROR(G1157*E1154,"")</f>
        <v>0</v>
      </c>
    </row>
    <row r="1158" spans="1:11" ht="12.75" customHeight="1">
      <c r="A1158" s="28"/>
      <c r="B1158" s="29" t="s">
        <v>2702</v>
      </c>
      <c r="C1158" s="30" t="str">
        <f>IFERROR(_xlfn.XLOOKUP(B1158,Insumo[DESCRIPCION],Insumo[UND],,0),"")</f>
        <v>Un</v>
      </c>
      <c r="D1158" s="31">
        <v>2</v>
      </c>
      <c r="E1158" s="32">
        <f>IFERROR(_xlfn.XLOOKUP($B1158,Insumo[DESCRIPCION],Insumo[VALOR],,0),"")</f>
        <v>443.1</v>
      </c>
      <c r="F1158" s="33"/>
      <c r="G1158" s="34">
        <f>IFERROR(IF(F1158&gt;=0,D1158*E1158*(1+F1158/100),ABS(D1158*E1158/F1158)),"")</f>
        <v>886.2</v>
      </c>
      <c r="H1158" s="43">
        <f>IFERROR(G1158*E1154,"")</f>
        <v>0</v>
      </c>
    </row>
    <row r="1159" spans="1:11" ht="12.75" customHeight="1">
      <c r="A1159" s="28"/>
      <c r="B1159" s="29" t="s">
        <v>2999</v>
      </c>
      <c r="C1159" s="30" t="str">
        <f>IFERROR(_xlfn.XLOOKUP(B1159,Insumo[DESCRIPCION],Insumo[UND],,0),"")</f>
        <v>Kg</v>
      </c>
      <c r="D1159" s="31">
        <v>0.1</v>
      </c>
      <c r="E1159" s="32">
        <f>IFERROR(_xlfn.XLOOKUP($B1159,Insumo[DESCRIPCION],Insumo[VALOR],,0),"")</f>
        <v>22467.9</v>
      </c>
      <c r="F1159" s="33"/>
      <c r="G1159" s="34">
        <f>IFERROR(IF(F1159&gt;=0,D1159*E1159*(1+F1159/100),ABS(D1159*E1159/F1159)),"")</f>
        <v>2246.7900000000004</v>
      </c>
      <c r="H1159" s="43">
        <f>IFERROR(G1159*E1154,"")</f>
        <v>0</v>
      </c>
    </row>
    <row r="1160" spans="1:11" ht="12.75" customHeight="1">
      <c r="A1160" s="28"/>
      <c r="B1160" s="29"/>
      <c r="C1160" s="30" t="str">
        <f>IFERROR(_xlfn.XLOOKUP(B1160,Insumo[DESCRIPCION],Insumo[UND],,0),"")</f>
        <v/>
      </c>
      <c r="D1160" s="31"/>
      <c r="E1160" s="32" t="str">
        <f>IFERROR(_xlfn.XLOOKUP($B1160,Insumo[DESCRIPCION],Insumo[VALOR],,0),"")</f>
        <v/>
      </c>
      <c r="F1160" s="33"/>
      <c r="G1160" s="34" t="str">
        <f>IFERROR(IF(F1160&gt;=0,D1160*E1160*(1+F1160/100),ABS(D1160*E1160/F1160)),"")</f>
        <v/>
      </c>
      <c r="H1160" s="43" t="str">
        <f>IFERROR(G1160*E1154,"")</f>
        <v/>
      </c>
    </row>
    <row r="1161" spans="1:11" ht="12.75" customHeight="1">
      <c r="A1161" s="28"/>
      <c r="B1161" s="29"/>
      <c r="C1161" s="30" t="str">
        <f>IFERROR(_xlfn.XLOOKUP(B1161,Insumo[DESCRIPCION],Insumo[UND],,0),"")</f>
        <v/>
      </c>
      <c r="D1161" s="31"/>
      <c r="E1161" s="32" t="str">
        <f>IFERROR(_xlfn.XLOOKUP($B1161,Insumo[DESCRIPCION],Insumo[VALOR],,0),"")</f>
        <v/>
      </c>
      <c r="F1161" s="33"/>
      <c r="G1161" s="34" t="str">
        <f>IFERROR(IF(F1161&gt;=0,D1161*E1161*(1+F1161/100),ABS(D1161*E1161/F1161)),"")</f>
        <v/>
      </c>
      <c r="H1161" s="43" t="str">
        <f>IFERROR(G1161*E1154,"")</f>
        <v/>
      </c>
    </row>
    <row r="1162" spans="1:11" ht="12.75" customHeight="1">
      <c r="A1162" s="21"/>
      <c r="B1162" s="22" t="s">
        <v>3731</v>
      </c>
      <c r="C1162" s="23"/>
      <c r="D1162" s="24"/>
      <c r="E1162" s="25"/>
      <c r="F1162" s="26"/>
      <c r="G1162" s="27">
        <f>SUM(G1163:G1165)</f>
        <v>4287.1466031136379</v>
      </c>
      <c r="H1162" s="44">
        <f>G1162*E1154</f>
        <v>0</v>
      </c>
    </row>
    <row r="1163" spans="1:11" ht="12.75" customHeight="1">
      <c r="A1163" s="28"/>
      <c r="B1163" s="29" t="s">
        <v>3573</v>
      </c>
      <c r="C1163" s="30" t="str">
        <f>IFERROR(_xlfn.XLOOKUP(B1163,Equipo[DESCRIPCION],Equipo[UND],,0),"")</f>
        <v>%MO</v>
      </c>
      <c r="D1163" s="31">
        <v>0.1</v>
      </c>
      <c r="E1163" s="32">
        <f>IF(C1163="%MO",G1169,IFERROR(_xlfn.XLOOKUP($B1163,Equipo[DESCRIPCION],Equipo[VALOR],,0),""))</f>
        <v>28580.977354090915</v>
      </c>
      <c r="F1163" s="33"/>
      <c r="G1163" s="34">
        <f>IFERROR(IF(F1163&gt;=0,D1163*E1163*(1+F1163/100),ABS(D1163*E1163/F1163)),"")</f>
        <v>2858.0977354090919</v>
      </c>
      <c r="H1163" s="43">
        <f>IFERROR(G1163*E1154,"")</f>
        <v>0</v>
      </c>
    </row>
    <row r="1164" spans="1:11" ht="12.75" customHeight="1">
      <c r="A1164" s="28"/>
      <c r="B1164" s="29" t="s">
        <v>3626</v>
      </c>
      <c r="C1164" s="30" t="str">
        <f>IFERROR(_xlfn.XLOOKUP(B1164,Equipo[DESCRIPCION],Equipo[UND],,0),"")</f>
        <v>%MO</v>
      </c>
      <c r="D1164" s="31">
        <v>0.05</v>
      </c>
      <c r="E1164" s="32">
        <f>IF(C1164="%MO",G1169,IFERROR(_xlfn.XLOOKUP($B1164,Equipo[DESCRIPCION],Equipo[VALOR],,0),""))</f>
        <v>28580.977354090915</v>
      </c>
      <c r="F1164" s="33"/>
      <c r="G1164" s="34">
        <f>IFERROR(IF(F1164&gt;=0,D1164*E1164*(1+F1164/100),ABS(D1164*E1164/F1164)),"")</f>
        <v>1429.048867704546</v>
      </c>
      <c r="H1164" s="43">
        <f>IFERROR(G1164*E1154,"")</f>
        <v>0</v>
      </c>
    </row>
    <row r="1165" spans="1:11" ht="12.75" customHeight="1">
      <c r="A1165" s="28"/>
      <c r="B1165" s="29"/>
      <c r="C1165" s="30" t="str">
        <f>IFERROR(_xlfn.XLOOKUP(B1165,Equipo[DESCRIPCION],Equipo[UND],,0),"")</f>
        <v/>
      </c>
      <c r="D1165" s="31"/>
      <c r="E1165" s="32" t="str">
        <f>IF(C1165="%MO",G1169,IFERROR(_xlfn.XLOOKUP($B1165,Equipo[DESCRIPCION],Equipo[VALOR],,0),""))</f>
        <v/>
      </c>
      <c r="F1165" s="33"/>
      <c r="G1165" s="34" t="str">
        <f>IFERROR(IF(F1165&gt;=0,D1165*E1165*(1+F1165/100),ABS(D1165*E1165/F1165)),"")</f>
        <v/>
      </c>
      <c r="H1165" s="43" t="str">
        <f>IFERROR(G1165*E1154,"")</f>
        <v/>
      </c>
    </row>
    <row r="1166" spans="1:11" ht="12.75" customHeight="1">
      <c r="A1166" s="21"/>
      <c r="B1166" s="22" t="s">
        <v>2533</v>
      </c>
      <c r="C1166" s="23"/>
      <c r="D1166" s="24"/>
      <c r="E1166" s="25"/>
      <c r="F1166" s="26"/>
      <c r="G1166" s="27">
        <f>SUM(G1167:G1168)</f>
        <v>0</v>
      </c>
      <c r="H1166" s="44">
        <f>G1166*E1154</f>
        <v>0</v>
      </c>
    </row>
    <row r="1167" spans="1:11" ht="12.75" customHeight="1">
      <c r="A1167" s="28"/>
      <c r="B1167" s="29"/>
      <c r="C1167" s="30" t="str">
        <f>IFERROR(_xlfn.XLOOKUP(B1167,Transporte[DESCRIPCION],Transporte[UND],,0),"")</f>
        <v/>
      </c>
      <c r="D1167" s="31"/>
      <c r="E1167" s="32" t="str">
        <f>IFERROR(_xlfn.XLOOKUP($B1167,Transporte[DESCRIPCION],Transporte[VALOR],,0),"")</f>
        <v/>
      </c>
      <c r="F1167" s="33"/>
      <c r="G1167" s="34" t="str">
        <f>IFERROR(IF(F1167&gt;=0,D1167*E1167*(1+F1167/100),ABS(D1167*E1167/F1167)),"")</f>
        <v/>
      </c>
      <c r="H1167" s="43" t="str">
        <f>IFERROR(G1167*E1154,"")</f>
        <v/>
      </c>
    </row>
    <row r="1168" spans="1:11" ht="12.75" customHeight="1">
      <c r="A1168" s="28"/>
      <c r="B1168" s="29"/>
      <c r="C1168" s="30" t="str">
        <f>IFERROR(_xlfn.XLOOKUP(B1168,Transporte[DESCRIPCION],Transporte[UND],,0),"")</f>
        <v/>
      </c>
      <c r="D1168" s="31"/>
      <c r="E1168" s="32" t="str">
        <f>IFERROR(_xlfn.XLOOKUP($B1168,Transporte[DESCRIPCION],Transporte[VALOR],,0),"")</f>
        <v/>
      </c>
      <c r="F1168" s="33"/>
      <c r="G1168" s="34" t="str">
        <f>IFERROR(IF(F1168&gt;=0,D1168*E1168*(1+F1168/100),ABS(D1168*E1168/F1168)),"")</f>
        <v/>
      </c>
      <c r="H1168" s="43" t="str">
        <f>IFERROR(G1168*E1154,"")</f>
        <v/>
      </c>
    </row>
    <row r="1169" spans="1:11" ht="12.75" customHeight="1">
      <c r="A1169" s="21"/>
      <c r="B1169" s="22" t="s">
        <v>3732</v>
      </c>
      <c r="C1169" s="23"/>
      <c r="D1169" s="24"/>
      <c r="E1169" s="25"/>
      <c r="F1169" s="26"/>
      <c r="G1169" s="27">
        <f>SUM(G1170:G1172)</f>
        <v>28580.977354090915</v>
      </c>
      <c r="H1169" s="44">
        <f>G1169*E1154</f>
        <v>0</v>
      </c>
    </row>
    <row r="1170" spans="1:11" ht="12.75" customHeight="1">
      <c r="A1170" s="28"/>
      <c r="B1170" s="29" t="s">
        <v>3710</v>
      </c>
      <c r="C1170" s="30" t="str">
        <f>IFERROR(_xlfn.XLOOKUP(B1170,MObra[DESCRIPCION],MObra[UN],,0),"")</f>
        <v>día</v>
      </c>
      <c r="D1170" s="31">
        <v>1</v>
      </c>
      <c r="E1170" s="32">
        <f>IFERROR(_xlfn.XLOOKUP($B1170,MObra[DESCRIPCION],MObra[VALOR UNIT],,0),"")</f>
        <v>314390.75089500006</v>
      </c>
      <c r="F1170" s="33">
        <v>-11</v>
      </c>
      <c r="G1170" s="34">
        <f>IFERROR(IF(F1170&gt;=0,D1170*E1170*(1+F1170/100),ABS(D1170*E1170/F1170)),"")</f>
        <v>28580.977354090915</v>
      </c>
      <c r="H1170" s="43">
        <f>IFERROR(G1170*E1154,"")</f>
        <v>0</v>
      </c>
    </row>
    <row r="1171" spans="1:11" ht="12.75" customHeight="1">
      <c r="A1171" s="28"/>
      <c r="B1171" s="29"/>
      <c r="C1171" s="30" t="str">
        <f t="array" ref="C1171">IFERROR(_xlfn.XLOOKUP(B1171,MObra[[#All],[DESCRIPCION]],MObra[[#All],[UN]],,0),"")</f>
        <v/>
      </c>
      <c r="D1171" s="31"/>
      <c r="E1171" s="32" t="str">
        <f>IFERROR(_xlfn.XLOOKUP($B1171,MObra[DESCRIPCION],MObra[VALOR UNIT],,0),"")</f>
        <v/>
      </c>
      <c r="F1171" s="33"/>
      <c r="G1171" s="34" t="str">
        <f>IFERROR(IF(F1171&gt;=0,D1171*E1171*(1+F1171/100),ABS(D1171*E1171/F1171)),"")</f>
        <v/>
      </c>
      <c r="H1171" s="43" t="str">
        <f>IFERROR(G1171*E1154,"")</f>
        <v/>
      </c>
    </row>
    <row r="1172" spans="1:11" ht="12.75" customHeight="1" thickBot="1">
      <c r="A1172" s="35"/>
      <c r="B1172" s="36"/>
      <c r="C1172" s="37" t="str">
        <f t="array" ref="C1172">IFERROR(_xlfn.XLOOKUP(B1172,MObra[[#All],[DESCRIPCION]],MObra[[#All],[UN]],,0),"")</f>
        <v/>
      </c>
      <c r="D1172" s="38"/>
      <c r="E1172" s="39" t="str">
        <f>IFERROR(_xlfn.XLOOKUP($B1172,MObra[DESCRIPCION],MObra[VALOR UNIT],,0),"")</f>
        <v/>
      </c>
      <c r="F1172" s="40"/>
      <c r="G1172" s="41" t="str">
        <f>IFERROR(IF(F1172&gt;=0,D1172*E1172*(1+F1172/100),ABS(D1172*E1172/F1172)),"")</f>
        <v/>
      </c>
      <c r="H1172" s="42" t="str">
        <f>IFERROR(G1172*E1154,"")</f>
        <v/>
      </c>
    </row>
    <row r="1173" spans="1:11" ht="12.75" customHeight="1" thickTop="1" thickBot="1"/>
    <row r="1174" spans="1:11" ht="12.75" customHeight="1" thickTop="1" thickBot="1">
      <c r="A1174" s="6" t="s">
        <v>1209</v>
      </c>
      <c r="B1174" s="7" t="str">
        <f>VLOOKUP($A1174,Presupuesto!$A:$D,2,FALSE())</f>
        <v>Cubierta en policarbonato</v>
      </c>
      <c r="C1174" s="8" t="str">
        <f>VLOOKUP($A1174,Presupuesto!$A:$D,3,FALSE())</f>
        <v>M2</v>
      </c>
      <c r="D1174" s="9"/>
      <c r="E1174" s="10">
        <f>VLOOKUP($A1174,Presupuesto!$A:$D,4,FALSE())</f>
        <v>0</v>
      </c>
      <c r="F1174" s="11" t="s">
        <v>2589</v>
      </c>
      <c r="G1174" s="12">
        <f>SUM(G1176:G1193)/2</f>
        <v>190045.15860268753</v>
      </c>
      <c r="H1174" s="13">
        <f>ROUND(SUM(H1176:H1193),0)/2</f>
        <v>0</v>
      </c>
      <c r="I1174" s="10">
        <f>VLOOKUP(A1174,Presupuesto!$A:$F,6,0)</f>
        <v>0</v>
      </c>
      <c r="J1174" s="10">
        <f>+H1174-I1174</f>
        <v>0</v>
      </c>
      <c r="K1174" s="46">
        <f>+H1174-G1174*E1174</f>
        <v>0</v>
      </c>
    </row>
    <row r="1175" spans="1:11" ht="12.75" customHeight="1" thickTop="1">
      <c r="A1175" s="14"/>
      <c r="B1175" s="15" t="s">
        <v>2586</v>
      </c>
      <c r="C1175" s="15" t="s">
        <v>5</v>
      </c>
      <c r="D1175" s="16" t="s">
        <v>6</v>
      </c>
      <c r="E1175" s="17" t="s">
        <v>7</v>
      </c>
      <c r="F1175" s="18" t="s">
        <v>3728</v>
      </c>
      <c r="G1175" s="19" t="s">
        <v>3729</v>
      </c>
      <c r="H1175" s="20" t="s">
        <v>3797</v>
      </c>
    </row>
    <row r="1176" spans="1:11" ht="12.75" customHeight="1">
      <c r="A1176" s="21"/>
      <c r="B1176" s="22" t="s">
        <v>3730</v>
      </c>
      <c r="C1176" s="23"/>
      <c r="D1176" s="24"/>
      <c r="E1176" s="25"/>
      <c r="F1176" s="26"/>
      <c r="G1176" s="27">
        <f>SUM(G1177:G1182)</f>
        <v>146427.43500000006</v>
      </c>
      <c r="H1176" s="27">
        <f>IFERROR(G1176*E1174,"")</f>
        <v>0</v>
      </c>
    </row>
    <row r="1177" spans="1:11" ht="12.75" customHeight="1">
      <c r="A1177" s="28"/>
      <c r="B1177" s="29" t="s">
        <v>3380</v>
      </c>
      <c r="C1177" s="30" t="str">
        <f>IFERROR(_xlfn.XLOOKUP(B1177,Insumo[DESCRIPCION],Insumo[UND],,0),"")</f>
        <v>M2</v>
      </c>
      <c r="D1177" s="31">
        <v>1</v>
      </c>
      <c r="E1177" s="32">
        <f>IFERROR(_xlfn.XLOOKUP($B1177,Insumo[DESCRIPCION],Insumo[VALOR],,0),"")</f>
        <v>115367.70000000001</v>
      </c>
      <c r="F1177" s="33">
        <v>5</v>
      </c>
      <c r="G1177" s="34">
        <f t="shared" ref="G1177:G1182" si="8">IFERROR(IF(F1177&gt;=0,D1177*E1177*(1+F1177/100),ABS(D1177*E1177/F1177)),"")</f>
        <v>121136.08500000002</v>
      </c>
      <c r="H1177" s="43">
        <f>IFERROR(G1177*E1174,"")</f>
        <v>0</v>
      </c>
    </row>
    <row r="1178" spans="1:11" ht="12.75" customHeight="1">
      <c r="A1178" s="28"/>
      <c r="B1178" s="29" t="s">
        <v>3196</v>
      </c>
      <c r="C1178" s="30" t="str">
        <f>IFERROR(_xlfn.XLOOKUP(B1178,Insumo[DESCRIPCION],Insumo[UND],,0),"")</f>
        <v>M</v>
      </c>
      <c r="D1178" s="31">
        <v>1</v>
      </c>
      <c r="E1178" s="32">
        <f>IFERROR(_xlfn.XLOOKUP($B1178,Insumo[DESCRIPCION],Insumo[VALOR],,0),"")</f>
        <v>17049.900000000001</v>
      </c>
      <c r="F1178" s="33"/>
      <c r="G1178" s="34">
        <f t="shared" si="8"/>
        <v>17049.900000000001</v>
      </c>
      <c r="H1178" s="43">
        <f>IFERROR(G1178*E1174,"")</f>
        <v>0</v>
      </c>
    </row>
    <row r="1179" spans="1:11" ht="12.75" customHeight="1">
      <c r="A1179" s="28"/>
      <c r="B1179" s="29" t="s">
        <v>3408</v>
      </c>
      <c r="C1179" s="30" t="str">
        <f>IFERROR(_xlfn.XLOOKUP(B1179,Insumo[DESCRIPCION],Insumo[UND],,0),"")</f>
        <v>Un</v>
      </c>
      <c r="D1179" s="31">
        <v>1.5</v>
      </c>
      <c r="E1179" s="32">
        <f>IFERROR(_xlfn.XLOOKUP($B1179,Insumo[DESCRIPCION],Insumo[VALOR],,0),"")</f>
        <v>568.05000000000007</v>
      </c>
      <c r="F1179" s="33"/>
      <c r="G1179" s="34">
        <f t="shared" si="8"/>
        <v>852.07500000000005</v>
      </c>
      <c r="H1179" s="43">
        <f>IFERROR(G1179*E1174,"")</f>
        <v>0</v>
      </c>
    </row>
    <row r="1180" spans="1:11" ht="12.75" customHeight="1">
      <c r="A1180" s="28"/>
      <c r="B1180" s="29" t="s">
        <v>2710</v>
      </c>
      <c r="C1180" s="30" t="str">
        <f>IFERROR(_xlfn.XLOOKUP(B1180,Insumo[DESCRIPCION],Insumo[UND],,0),"")</f>
        <v>Un</v>
      </c>
      <c r="D1180" s="31">
        <v>1.5</v>
      </c>
      <c r="E1180" s="32">
        <f>IFERROR(_xlfn.XLOOKUP($B1180,Insumo[DESCRIPCION],Insumo[VALOR],,0),"")</f>
        <v>1137.1500000000001</v>
      </c>
      <c r="F1180" s="33"/>
      <c r="G1180" s="34">
        <f t="shared" si="8"/>
        <v>1705.7250000000001</v>
      </c>
      <c r="H1180" s="43">
        <f>IFERROR(G1180*E1174,"")</f>
        <v>0</v>
      </c>
    </row>
    <row r="1181" spans="1:11" ht="12.75" customHeight="1">
      <c r="A1181" s="28"/>
      <c r="B1181" s="29" t="s">
        <v>3197</v>
      </c>
      <c r="C1181" s="30" t="str">
        <f>IFERROR(_xlfn.XLOOKUP(B1181,Insumo[DESCRIPCION],Insumo[UND],,0),"")</f>
        <v>M</v>
      </c>
      <c r="D1181" s="31">
        <v>0.5</v>
      </c>
      <c r="E1181" s="32">
        <f>IFERROR(_xlfn.XLOOKUP($B1181,Insumo[DESCRIPCION],Insumo[VALOR],,0),"")</f>
        <v>5683.6500000000005</v>
      </c>
      <c r="F1181" s="33"/>
      <c r="G1181" s="34">
        <f t="shared" si="8"/>
        <v>2841.8250000000003</v>
      </c>
      <c r="H1181" s="43">
        <f>IFERROR(G1181*E1174,"")</f>
        <v>0</v>
      </c>
    </row>
    <row r="1182" spans="1:11" ht="12.75" customHeight="1">
      <c r="A1182" s="28"/>
      <c r="B1182" s="29" t="s">
        <v>3198</v>
      </c>
      <c r="C1182" s="30" t="str">
        <f>IFERROR(_xlfn.XLOOKUP(B1182,Insumo[DESCRIPCION],Insumo[UND],,0),"")</f>
        <v>M</v>
      </c>
      <c r="D1182" s="31">
        <v>0.5</v>
      </c>
      <c r="E1182" s="32">
        <f>IFERROR(_xlfn.XLOOKUP($B1182,Insumo[DESCRIPCION],Insumo[VALOR],,0),"")</f>
        <v>5683.6500000000005</v>
      </c>
      <c r="F1182" s="33"/>
      <c r="G1182" s="34">
        <f t="shared" si="8"/>
        <v>2841.8250000000003</v>
      </c>
      <c r="H1182" s="43">
        <f>IFERROR(G1182*E1174,"")</f>
        <v>0</v>
      </c>
    </row>
    <row r="1183" spans="1:11" ht="12.75" customHeight="1">
      <c r="A1183" s="21"/>
      <c r="B1183" s="22" t="s">
        <v>3731</v>
      </c>
      <c r="C1183" s="23"/>
      <c r="D1183" s="24"/>
      <c r="E1183" s="25"/>
      <c r="F1183" s="26"/>
      <c r="G1183" s="27">
        <f>SUM(G1184:G1186)</f>
        <v>7715.0761239374997</v>
      </c>
      <c r="H1183" s="44">
        <f>G1183*E1174</f>
        <v>0</v>
      </c>
    </row>
    <row r="1184" spans="1:11" ht="12.75" customHeight="1">
      <c r="A1184" s="28"/>
      <c r="B1184" s="29" t="s">
        <v>3575</v>
      </c>
      <c r="C1184" s="30" t="str">
        <f>IFERROR(_xlfn.XLOOKUP(B1184,Equipo[DESCRIPCION],Equipo[UND],,0),"")</f>
        <v>Día</v>
      </c>
      <c r="D1184" s="31">
        <v>1</v>
      </c>
      <c r="E1184" s="32">
        <f>IF(C1184="%MO",G1190,IFERROR(_xlfn.XLOOKUP($B1184,Equipo[DESCRIPCION],Equipo[VALOR],,0),""))</f>
        <v>142078.65</v>
      </c>
      <c r="F1184" s="33">
        <v>-24</v>
      </c>
      <c r="G1184" s="34">
        <f>IFERROR(IF(F1184&gt;=0,D1184*E1184*(1+F1184/100),ABS(D1184*E1184/F1184)),"")</f>
        <v>5919.9437499999995</v>
      </c>
      <c r="H1184" s="43">
        <f>IFERROR(G1184*E1174,"")</f>
        <v>0</v>
      </c>
    </row>
    <row r="1185" spans="1:11" ht="12.75" customHeight="1">
      <c r="A1185" s="28"/>
      <c r="B1185" s="29" t="s">
        <v>3626</v>
      </c>
      <c r="C1185" s="30" t="str">
        <f>IFERROR(_xlfn.XLOOKUP(B1185,Equipo[DESCRIPCION],Equipo[UND],,0),"")</f>
        <v>%MO</v>
      </c>
      <c r="D1185" s="31">
        <v>0.05</v>
      </c>
      <c r="E1185" s="32">
        <f>IF(C1185="%MO",G1190,IFERROR(_xlfn.XLOOKUP($B1185,Equipo[DESCRIPCION],Equipo[VALOR],,0),""))</f>
        <v>35902.647478750005</v>
      </c>
      <c r="F1185" s="33"/>
      <c r="G1185" s="34">
        <f>IFERROR(IF(F1185&gt;=0,D1185*E1185*(1+F1185/100),ABS(D1185*E1185/F1185)),"")</f>
        <v>1795.1323739375002</v>
      </c>
      <c r="H1185" s="43">
        <f>IFERROR(G1185*E1174,"")</f>
        <v>0</v>
      </c>
    </row>
    <row r="1186" spans="1:11" ht="12.75" customHeight="1">
      <c r="A1186" s="28"/>
      <c r="B1186" s="29"/>
      <c r="C1186" s="30" t="str">
        <f>IFERROR(_xlfn.XLOOKUP(B1186,Equipo[DESCRIPCION],Equipo[UND],,0),"")</f>
        <v/>
      </c>
      <c r="D1186" s="31"/>
      <c r="E1186" s="32" t="str">
        <f>IF(C1186="%MO",G1190,IFERROR(_xlfn.XLOOKUP($B1186,Equipo[DESCRIPCION],Equipo[VALOR],,0),""))</f>
        <v/>
      </c>
      <c r="F1186" s="33"/>
      <c r="G1186" s="34" t="str">
        <f>IFERROR(IF(F1186&gt;=0,D1186*E1186*(1+F1186/100),ABS(D1186*E1186/F1186)),"")</f>
        <v/>
      </c>
      <c r="H1186" s="43" t="str">
        <f>IFERROR(G1186*E1174,"")</f>
        <v/>
      </c>
    </row>
    <row r="1187" spans="1:11" ht="12.75" customHeight="1">
      <c r="A1187" s="21"/>
      <c r="B1187" s="22" t="s">
        <v>2533</v>
      </c>
      <c r="C1187" s="23"/>
      <c r="D1187" s="24"/>
      <c r="E1187" s="25"/>
      <c r="F1187" s="26"/>
      <c r="G1187" s="27">
        <f>SUM(G1188:G1189)</f>
        <v>0</v>
      </c>
      <c r="H1187" s="44">
        <f>G1187*E1174</f>
        <v>0</v>
      </c>
    </row>
    <row r="1188" spans="1:11" ht="12.75" customHeight="1">
      <c r="A1188" s="28"/>
      <c r="B1188" s="29"/>
      <c r="C1188" s="30" t="str">
        <f>IFERROR(_xlfn.XLOOKUP(B1188,Transporte[DESCRIPCION],Transporte[UND],,0),"")</f>
        <v/>
      </c>
      <c r="D1188" s="31"/>
      <c r="E1188" s="32" t="str">
        <f>IFERROR(_xlfn.XLOOKUP($B1188,Transporte[DESCRIPCION],Transporte[VALOR],,0),"")</f>
        <v/>
      </c>
      <c r="F1188" s="33"/>
      <c r="G1188" s="34" t="str">
        <f>IFERROR(IF(F1188&gt;=0,D1188*E1188*(1+F1188/100),ABS(D1188*E1188/F1188)),"")</f>
        <v/>
      </c>
      <c r="H1188" s="43" t="str">
        <f>IFERROR(G1188*E1174,"")</f>
        <v/>
      </c>
    </row>
    <row r="1189" spans="1:11" ht="12.75" customHeight="1">
      <c r="A1189" s="28"/>
      <c r="B1189" s="29"/>
      <c r="C1189" s="30" t="str">
        <f>IFERROR(_xlfn.XLOOKUP(B1189,Transporte[DESCRIPCION],Transporte[UND],,0),"")</f>
        <v/>
      </c>
      <c r="D1189" s="31"/>
      <c r="E1189" s="32" t="str">
        <f>IFERROR(_xlfn.XLOOKUP($B1189,Transporte[DESCRIPCION],Transporte[VALOR],,0),"")</f>
        <v/>
      </c>
      <c r="F1189" s="33"/>
      <c r="G1189" s="34" t="str">
        <f>IFERROR(IF(F1189&gt;=0,D1189*E1189*(1+F1189/100),ABS(D1189*E1189/F1189)),"")</f>
        <v/>
      </c>
      <c r="H1189" s="43" t="str">
        <f>IFERROR(G1189*E1174,"")</f>
        <v/>
      </c>
    </row>
    <row r="1190" spans="1:11" ht="12.75" customHeight="1">
      <c r="A1190" s="21"/>
      <c r="B1190" s="22" t="s">
        <v>3732</v>
      </c>
      <c r="C1190" s="23"/>
      <c r="D1190" s="24"/>
      <c r="E1190" s="25"/>
      <c r="F1190" s="26"/>
      <c r="G1190" s="27">
        <f>SUM(G1191:G1193)</f>
        <v>35902.647478750005</v>
      </c>
      <c r="H1190" s="44">
        <f>G1190*E1174</f>
        <v>0</v>
      </c>
    </row>
    <row r="1191" spans="1:11" ht="12.75" customHeight="1">
      <c r="A1191" s="28"/>
      <c r="B1191" s="29" t="s">
        <v>3711</v>
      </c>
      <c r="C1191" s="30" t="str">
        <f>IFERROR(_xlfn.XLOOKUP(B1191,MObra[DESCRIPCION],MObra[UN],,0),"")</f>
        <v>día</v>
      </c>
      <c r="D1191" s="31">
        <v>1</v>
      </c>
      <c r="E1191" s="32">
        <f>IFERROR(_xlfn.XLOOKUP($B1191,MObra[DESCRIPCION],MObra[VALOR UNIT],,0),"")</f>
        <v>430831.76974500006</v>
      </c>
      <c r="F1191" s="33">
        <v>-12</v>
      </c>
      <c r="G1191" s="34">
        <f>IFERROR(IF(F1191&gt;=0,D1191*E1191*(1+F1191/100),ABS(D1191*E1191/F1191)),"")</f>
        <v>35902.647478750005</v>
      </c>
      <c r="H1191" s="43">
        <f>IFERROR(G1191*E1174,"")</f>
        <v>0</v>
      </c>
    </row>
    <row r="1192" spans="1:11" ht="12.75" customHeight="1">
      <c r="A1192" s="28"/>
      <c r="B1192" s="29"/>
      <c r="C1192" s="30" t="str">
        <f t="array" ref="C1192">IFERROR(_xlfn.XLOOKUP(B1192,MObra[[#All],[DESCRIPCION]],MObra[[#All],[UN]],,0),"")</f>
        <v/>
      </c>
      <c r="D1192" s="31"/>
      <c r="E1192" s="32" t="str">
        <f>IFERROR(_xlfn.XLOOKUP($B1192,MObra[DESCRIPCION],MObra[VALOR UNIT],,0),"")</f>
        <v/>
      </c>
      <c r="F1192" s="33"/>
      <c r="G1192" s="34" t="str">
        <f>IFERROR(IF(F1192&gt;=0,D1192*E1192*(1+F1192/100),ABS(D1192*E1192/F1192)),"")</f>
        <v/>
      </c>
      <c r="H1192" s="43" t="str">
        <f>IFERROR(G1192*E1174,"")</f>
        <v/>
      </c>
    </row>
    <row r="1193" spans="1:11" ht="12.75" customHeight="1" thickBot="1">
      <c r="A1193" s="35"/>
      <c r="B1193" s="36"/>
      <c r="C1193" s="37" t="str">
        <f t="array" ref="C1193">IFERROR(_xlfn.XLOOKUP(B1193,MObra[[#All],[DESCRIPCION]],MObra[[#All],[UN]],,0),"")</f>
        <v/>
      </c>
      <c r="D1193" s="38"/>
      <c r="E1193" s="39" t="str">
        <f>IFERROR(_xlfn.XLOOKUP($B1193,MObra[DESCRIPCION],MObra[VALOR UNIT],,0),"")</f>
        <v/>
      </c>
      <c r="F1193" s="40"/>
      <c r="G1193" s="41" t="str">
        <f>IFERROR(IF(F1193&gt;=0,D1193*E1193*(1+F1193/100),ABS(D1193*E1193/F1193)),"")</f>
        <v/>
      </c>
      <c r="H1193" s="42" t="str">
        <f>IFERROR(G1193*E1174,"")</f>
        <v/>
      </c>
    </row>
    <row r="1194" spans="1:11" ht="12.75" customHeight="1" thickTop="1" thickBot="1"/>
    <row r="1195" spans="1:11" ht="12.75" customHeight="1" thickTop="1" thickBot="1">
      <c r="A1195" s="6" t="s">
        <v>1211</v>
      </c>
      <c r="B1195" s="7" t="str">
        <f>VLOOKUP($A1195,Presupuesto!$A:$D,2,FALSE())</f>
        <v>Cubierta Standing Seam</v>
      </c>
      <c r="C1195" s="8" t="str">
        <f>VLOOKUP($A1195,Presupuesto!$A:$D,3,FALSE())</f>
        <v>M2</v>
      </c>
      <c r="D1195" s="9"/>
      <c r="E1195" s="10">
        <f>VLOOKUP($A1195,Presupuesto!$A:$D,4,FALSE())</f>
        <v>0</v>
      </c>
      <c r="F1195" s="11" t="s">
        <v>2589</v>
      </c>
      <c r="G1195" s="12">
        <f>SUM(G1197:G1213)/2</f>
        <v>87508.248602687512</v>
      </c>
      <c r="H1195" s="13">
        <f>ROUND(SUM(H1197:H1213),0)/2</f>
        <v>0</v>
      </c>
      <c r="I1195" s="10">
        <f>VLOOKUP(A1195,Presupuesto!$A:$F,6,0)</f>
        <v>0</v>
      </c>
      <c r="J1195" s="10">
        <f>+H1195-I1195</f>
        <v>0</v>
      </c>
      <c r="K1195" s="46">
        <f>+H1195-G1195*E1195</f>
        <v>0</v>
      </c>
    </row>
    <row r="1196" spans="1:11" ht="12.75" customHeight="1" thickTop="1">
      <c r="A1196" s="14"/>
      <c r="B1196" s="15" t="s">
        <v>2586</v>
      </c>
      <c r="C1196" s="15" t="s">
        <v>5</v>
      </c>
      <c r="D1196" s="16" t="s">
        <v>6</v>
      </c>
      <c r="E1196" s="17" t="s">
        <v>7</v>
      </c>
      <c r="F1196" s="18" t="s">
        <v>3728</v>
      </c>
      <c r="G1196" s="19" t="s">
        <v>3729</v>
      </c>
      <c r="H1196" s="20" t="s">
        <v>3797</v>
      </c>
    </row>
    <row r="1197" spans="1:11" ht="12.75" customHeight="1">
      <c r="A1197" s="21"/>
      <c r="B1197" s="22" t="s">
        <v>3730</v>
      </c>
      <c r="C1197" s="23"/>
      <c r="D1197" s="24"/>
      <c r="E1197" s="25"/>
      <c r="F1197" s="26"/>
      <c r="G1197" s="27">
        <f>SUM(G1198:G1202)</f>
        <v>43890.525000000001</v>
      </c>
      <c r="H1197" s="27">
        <f>IFERROR(G1197*E1195,"")</f>
        <v>0</v>
      </c>
    </row>
    <row r="1198" spans="1:11" ht="12.75" customHeight="1">
      <c r="A1198" s="28"/>
      <c r="B1198" s="29" t="s">
        <v>2904</v>
      </c>
      <c r="C1198" s="30" t="str">
        <f>IFERROR(_xlfn.XLOOKUP(B1198,Insumo[DESCRIPCION],Insumo[UND],,0),"")</f>
        <v>M2</v>
      </c>
      <c r="D1198" s="31">
        <v>1</v>
      </c>
      <c r="E1198" s="32">
        <f>IFERROR(_xlfn.XLOOKUP($B1198,Insumo[DESCRIPCION],Insumo[VALOR],,0),"")</f>
        <v>43038.450000000004</v>
      </c>
      <c r="F1198" s="33"/>
      <c r="G1198" s="34">
        <f>IFERROR(IF(F1198&gt;=0,D1198*E1198*(1+F1198/100),ABS(D1198*E1198/F1198)),"")</f>
        <v>43038.450000000004</v>
      </c>
      <c r="H1198" s="43">
        <f>IFERROR(G1198*E1195,"")</f>
        <v>0</v>
      </c>
    </row>
    <row r="1199" spans="1:11" ht="12.75" customHeight="1">
      <c r="A1199" s="28"/>
      <c r="B1199" s="29" t="s">
        <v>3408</v>
      </c>
      <c r="C1199" s="30" t="str">
        <f>IFERROR(_xlfn.XLOOKUP(B1199,Insumo[DESCRIPCION],Insumo[UND],,0),"")</f>
        <v>Un</v>
      </c>
      <c r="D1199" s="31">
        <v>1.5</v>
      </c>
      <c r="E1199" s="32">
        <f>IFERROR(_xlfn.XLOOKUP($B1199,Insumo[DESCRIPCION],Insumo[VALOR],,0),"")</f>
        <v>568.05000000000007</v>
      </c>
      <c r="F1199" s="33"/>
      <c r="G1199" s="34">
        <f>IFERROR(IF(F1199&gt;=0,D1199*E1199*(1+F1199/100),ABS(D1199*E1199/F1199)),"")</f>
        <v>852.07500000000005</v>
      </c>
      <c r="H1199" s="43">
        <f>IFERROR(G1199*E1195,"")</f>
        <v>0</v>
      </c>
    </row>
    <row r="1200" spans="1:11" ht="12.75" customHeight="1">
      <c r="A1200" s="28"/>
      <c r="B1200" s="29"/>
      <c r="C1200" s="30" t="str">
        <f>IFERROR(_xlfn.XLOOKUP(B1200,Insumo[DESCRIPCION],Insumo[UND],,0),"")</f>
        <v/>
      </c>
      <c r="D1200" s="31"/>
      <c r="E1200" s="32" t="str">
        <f>IFERROR(_xlfn.XLOOKUP($B1200,Insumo[DESCRIPCION],Insumo[VALOR],,0),"")</f>
        <v/>
      </c>
      <c r="F1200" s="33"/>
      <c r="G1200" s="34" t="str">
        <f>IFERROR(IF(F1200&gt;=0,D1200*E1200*(1+F1200/100),ABS(D1200*E1200/F1200)),"")</f>
        <v/>
      </c>
      <c r="H1200" s="43" t="str">
        <f>IFERROR(G1200*E1195,"")</f>
        <v/>
      </c>
    </row>
    <row r="1201" spans="1:11" ht="12.75" customHeight="1">
      <c r="A1201" s="28"/>
      <c r="B1201" s="29"/>
      <c r="C1201" s="30" t="str">
        <f>IFERROR(_xlfn.XLOOKUP(B1201,Insumo[DESCRIPCION],Insumo[UND],,0),"")</f>
        <v/>
      </c>
      <c r="D1201" s="31"/>
      <c r="E1201" s="32" t="str">
        <f>IFERROR(_xlfn.XLOOKUP($B1201,Insumo[DESCRIPCION],Insumo[VALOR],,0),"")</f>
        <v/>
      </c>
      <c r="F1201" s="33"/>
      <c r="G1201" s="34" t="str">
        <f>IFERROR(IF(F1201&gt;=0,D1201*E1201*(1+F1201/100),ABS(D1201*E1201/F1201)),"")</f>
        <v/>
      </c>
      <c r="H1201" s="43" t="str">
        <f>IFERROR(G1201*E1195,"")</f>
        <v/>
      </c>
    </row>
    <row r="1202" spans="1:11" ht="12.75" customHeight="1">
      <c r="A1202" s="28"/>
      <c r="B1202" s="29"/>
      <c r="C1202" s="30" t="str">
        <f>IFERROR(_xlfn.XLOOKUP(B1202,Insumo[DESCRIPCION],Insumo[UND],,0),"")</f>
        <v/>
      </c>
      <c r="D1202" s="31"/>
      <c r="E1202" s="32" t="str">
        <f>IFERROR(_xlfn.XLOOKUP($B1202,Insumo[DESCRIPCION],Insumo[VALOR],,0),"")</f>
        <v/>
      </c>
      <c r="F1202" s="33"/>
      <c r="G1202" s="34" t="str">
        <f>IFERROR(IF(F1202&gt;=0,D1202*E1202*(1+F1202/100),ABS(D1202*E1202/F1202)),"")</f>
        <v/>
      </c>
      <c r="H1202" s="43" t="str">
        <f>IFERROR(G1202*E1195,"")</f>
        <v/>
      </c>
    </row>
    <row r="1203" spans="1:11" ht="12.75" customHeight="1">
      <c r="A1203" s="21"/>
      <c r="B1203" s="22" t="s">
        <v>3731</v>
      </c>
      <c r="C1203" s="23"/>
      <c r="D1203" s="24"/>
      <c r="E1203" s="25"/>
      <c r="F1203" s="26"/>
      <c r="G1203" s="27">
        <f>SUM(G1204:G1206)</f>
        <v>7715.0761239374997</v>
      </c>
      <c r="H1203" s="44">
        <f>G1203*E1195</f>
        <v>0</v>
      </c>
    </row>
    <row r="1204" spans="1:11" ht="12.75" customHeight="1">
      <c r="A1204" s="28"/>
      <c r="B1204" s="29" t="s">
        <v>3575</v>
      </c>
      <c r="C1204" s="30" t="str">
        <f>IFERROR(_xlfn.XLOOKUP(B1204,Equipo[DESCRIPCION],Equipo[UND],,0),"")</f>
        <v>Día</v>
      </c>
      <c r="D1204" s="31">
        <v>1</v>
      </c>
      <c r="E1204" s="32">
        <f>IF(C1204="%MO",G1210,IFERROR(_xlfn.XLOOKUP($B1204,Equipo[DESCRIPCION],Equipo[VALOR],,0),""))</f>
        <v>142078.65</v>
      </c>
      <c r="F1204" s="33">
        <v>-24</v>
      </c>
      <c r="G1204" s="34">
        <f>IFERROR(IF(F1204&gt;=0,D1204*E1204*(1+F1204/100),ABS(D1204*E1204/F1204)),"")</f>
        <v>5919.9437499999995</v>
      </c>
      <c r="H1204" s="43">
        <f>IFERROR(G1204*E1195,"")</f>
        <v>0</v>
      </c>
    </row>
    <row r="1205" spans="1:11" ht="12.75" customHeight="1">
      <c r="A1205" s="28"/>
      <c r="B1205" s="29" t="s">
        <v>3626</v>
      </c>
      <c r="C1205" s="30" t="str">
        <f>IFERROR(_xlfn.XLOOKUP(B1205,Equipo[DESCRIPCION],Equipo[UND],,0),"")</f>
        <v>%MO</v>
      </c>
      <c r="D1205" s="31">
        <v>0.05</v>
      </c>
      <c r="E1205" s="32">
        <f>IF(C1205="%MO",G1210,IFERROR(_xlfn.XLOOKUP($B1205,Equipo[DESCRIPCION],Equipo[VALOR],,0),""))</f>
        <v>35902.647478750005</v>
      </c>
      <c r="F1205" s="33"/>
      <c r="G1205" s="34">
        <f>IFERROR(IF(F1205&gt;=0,D1205*E1205*(1+F1205/100),ABS(D1205*E1205/F1205)),"")</f>
        <v>1795.1323739375002</v>
      </c>
      <c r="H1205" s="43">
        <f>IFERROR(G1205*E1195,"")</f>
        <v>0</v>
      </c>
    </row>
    <row r="1206" spans="1:11" ht="12.75" customHeight="1">
      <c r="A1206" s="28"/>
      <c r="B1206" s="29"/>
      <c r="C1206" s="30" t="str">
        <f>IFERROR(_xlfn.XLOOKUP(B1206,Equipo[DESCRIPCION],Equipo[UND],,0),"")</f>
        <v/>
      </c>
      <c r="D1206" s="31"/>
      <c r="E1206" s="32" t="str">
        <f>IF(C1206="%MO",G1210,IFERROR(_xlfn.XLOOKUP($B1206,Equipo[DESCRIPCION],Equipo[VALOR],,0),""))</f>
        <v/>
      </c>
      <c r="F1206" s="33"/>
      <c r="G1206" s="34" t="str">
        <f>IFERROR(IF(F1206&gt;=0,D1206*E1206*(1+F1206/100),ABS(D1206*E1206/F1206)),"")</f>
        <v/>
      </c>
      <c r="H1206" s="43" t="str">
        <f>IFERROR(G1206*E1195,"")</f>
        <v/>
      </c>
    </row>
    <row r="1207" spans="1:11" ht="12.75" customHeight="1">
      <c r="A1207" s="21"/>
      <c r="B1207" s="22" t="s">
        <v>2533</v>
      </c>
      <c r="C1207" s="23"/>
      <c r="D1207" s="24"/>
      <c r="E1207" s="25"/>
      <c r="F1207" s="26"/>
      <c r="G1207" s="27">
        <f>SUM(G1208:G1209)</f>
        <v>0</v>
      </c>
      <c r="H1207" s="44">
        <f>G1207*E1195</f>
        <v>0</v>
      </c>
    </row>
    <row r="1208" spans="1:11" ht="12.75" customHeight="1">
      <c r="A1208" s="28"/>
      <c r="B1208" s="29"/>
      <c r="C1208" s="30" t="str">
        <f>IFERROR(_xlfn.XLOOKUP(B1208,Transporte[DESCRIPCION],Transporte[UND],,0),"")</f>
        <v/>
      </c>
      <c r="D1208" s="31"/>
      <c r="E1208" s="32" t="str">
        <f>IFERROR(_xlfn.XLOOKUP($B1208,Transporte[DESCRIPCION],Transporte[VALOR],,0),"")</f>
        <v/>
      </c>
      <c r="F1208" s="33"/>
      <c r="G1208" s="34" t="str">
        <f>IFERROR(IF(F1208&gt;=0,D1208*E1208*(1+F1208/100),ABS(D1208*E1208/F1208)),"")</f>
        <v/>
      </c>
      <c r="H1208" s="43" t="str">
        <f>IFERROR(G1208*E1195,"")</f>
        <v/>
      </c>
    </row>
    <row r="1209" spans="1:11" ht="12.75" customHeight="1">
      <c r="A1209" s="28"/>
      <c r="B1209" s="29"/>
      <c r="C1209" s="30" t="str">
        <f>IFERROR(_xlfn.XLOOKUP(B1209,Transporte[DESCRIPCION],Transporte[UND],,0),"")</f>
        <v/>
      </c>
      <c r="D1209" s="31"/>
      <c r="E1209" s="32" t="str">
        <f>IFERROR(_xlfn.XLOOKUP($B1209,Transporte[DESCRIPCION],Transporte[VALOR],,0),"")</f>
        <v/>
      </c>
      <c r="F1209" s="33"/>
      <c r="G1209" s="34" t="str">
        <f>IFERROR(IF(F1209&gt;=0,D1209*E1209*(1+F1209/100),ABS(D1209*E1209/F1209)),"")</f>
        <v/>
      </c>
      <c r="H1209" s="43" t="str">
        <f>IFERROR(G1209*E1195,"")</f>
        <v/>
      </c>
    </row>
    <row r="1210" spans="1:11" ht="12.75" customHeight="1">
      <c r="A1210" s="21"/>
      <c r="B1210" s="22" t="s">
        <v>3732</v>
      </c>
      <c r="C1210" s="23"/>
      <c r="D1210" s="24"/>
      <c r="E1210" s="25"/>
      <c r="F1210" s="26"/>
      <c r="G1210" s="27">
        <f>SUM(G1211:G1213)</f>
        <v>35902.647478750005</v>
      </c>
      <c r="H1210" s="44">
        <f>G1210*E1195</f>
        <v>0</v>
      </c>
    </row>
    <row r="1211" spans="1:11" ht="12.75" customHeight="1">
      <c r="A1211" s="28"/>
      <c r="B1211" s="29" t="s">
        <v>3711</v>
      </c>
      <c r="C1211" s="30" t="str">
        <f>IFERROR(_xlfn.XLOOKUP(B1211,MObra[DESCRIPCION],MObra[UN],,0),"")</f>
        <v>día</v>
      </c>
      <c r="D1211" s="31">
        <v>1</v>
      </c>
      <c r="E1211" s="32">
        <f>IFERROR(_xlfn.XLOOKUP($B1211,MObra[DESCRIPCION],MObra[VALOR UNIT],,0),"")</f>
        <v>430831.76974500006</v>
      </c>
      <c r="F1211" s="33">
        <v>-12</v>
      </c>
      <c r="G1211" s="34">
        <f>IFERROR(IF(F1211&gt;=0,D1211*E1211*(1+F1211/100),ABS(D1211*E1211/F1211)),"")</f>
        <v>35902.647478750005</v>
      </c>
      <c r="H1211" s="43">
        <f>IFERROR(G1211*E1195,"")</f>
        <v>0</v>
      </c>
    </row>
    <row r="1212" spans="1:11" ht="12.75" customHeight="1">
      <c r="A1212" s="28"/>
      <c r="B1212" s="29"/>
      <c r="C1212" s="30" t="str">
        <f t="array" ref="C1212">IFERROR(_xlfn.XLOOKUP(B1212,MObra[[#All],[DESCRIPCION]],MObra[[#All],[UN]],,0),"")</f>
        <v/>
      </c>
      <c r="D1212" s="31"/>
      <c r="E1212" s="32" t="str">
        <f>IFERROR(_xlfn.XLOOKUP($B1212,MObra[DESCRIPCION],MObra[VALOR UNIT],,0),"")</f>
        <v/>
      </c>
      <c r="F1212" s="33"/>
      <c r="G1212" s="34" t="str">
        <f>IFERROR(IF(F1212&gt;=0,D1212*E1212*(1+F1212/100),ABS(D1212*E1212/F1212)),"")</f>
        <v/>
      </c>
      <c r="H1212" s="43" t="str">
        <f>IFERROR(G1212*E1195,"")</f>
        <v/>
      </c>
    </row>
    <row r="1213" spans="1:11" ht="12.75" customHeight="1" thickBot="1">
      <c r="A1213" s="35"/>
      <c r="B1213" s="36"/>
      <c r="C1213" s="37" t="str">
        <f t="array" ref="C1213">IFERROR(_xlfn.XLOOKUP(B1213,MObra[[#All],[DESCRIPCION]],MObra[[#All],[UN]],,0),"")</f>
        <v/>
      </c>
      <c r="D1213" s="38"/>
      <c r="E1213" s="39" t="str">
        <f>IFERROR(_xlfn.XLOOKUP($B1213,MObra[DESCRIPCION],MObra[VALOR UNIT],,0),"")</f>
        <v/>
      </c>
      <c r="F1213" s="40"/>
      <c r="G1213" s="41" t="str">
        <f>IFERROR(IF(F1213&gt;=0,D1213*E1213*(1+F1213/100),ABS(D1213*E1213/F1213)),"")</f>
        <v/>
      </c>
      <c r="H1213" s="42" t="str">
        <f>IFERROR(G1213*E1195,"")</f>
        <v/>
      </c>
    </row>
    <row r="1214" spans="1:11" ht="12.75" customHeight="1" thickTop="1" thickBot="1"/>
    <row r="1215" spans="1:11" ht="12.75" customHeight="1" thickTop="1" thickBot="1">
      <c r="A1215" s="6" t="s">
        <v>1213</v>
      </c>
      <c r="B1215" s="7" t="str">
        <f>VLOOKUP($A1215,Presupuesto!$A:$D,2,FALSE())</f>
        <v>Cubierta Standing Seam tipo sándwich con aislante en poliuretano</v>
      </c>
      <c r="C1215" s="8" t="str">
        <f>VLOOKUP($A1215,Presupuesto!$A:$D,3,FALSE())</f>
        <v>M2</v>
      </c>
      <c r="D1215" s="9"/>
      <c r="E1215" s="10">
        <f>VLOOKUP($A1215,Presupuesto!$A:$D,4,FALSE())</f>
        <v>0</v>
      </c>
      <c r="F1215" s="11" t="s">
        <v>2589</v>
      </c>
      <c r="G1215" s="12">
        <f>SUM(G1217:G1233)/2</f>
        <v>179051.44860268751</v>
      </c>
      <c r="H1215" s="13">
        <f>ROUND(SUM(H1217:H1233),0)/2</f>
        <v>0</v>
      </c>
      <c r="I1215" s="10">
        <f>VLOOKUP(A1215,Presupuesto!$A:$F,6,0)</f>
        <v>0</v>
      </c>
      <c r="J1215" s="10">
        <f>+H1215-I1215</f>
        <v>0</v>
      </c>
      <c r="K1215" s="46">
        <f>+H1215-G1215*E1215</f>
        <v>0</v>
      </c>
    </row>
    <row r="1216" spans="1:11" ht="12.75" customHeight="1" thickTop="1">
      <c r="A1216" s="14"/>
      <c r="B1216" s="15" t="s">
        <v>2586</v>
      </c>
      <c r="C1216" s="15" t="s">
        <v>5</v>
      </c>
      <c r="D1216" s="16" t="s">
        <v>6</v>
      </c>
      <c r="E1216" s="17" t="s">
        <v>7</v>
      </c>
      <c r="F1216" s="18" t="s">
        <v>3728</v>
      </c>
      <c r="G1216" s="19" t="s">
        <v>3729</v>
      </c>
      <c r="H1216" s="20" t="s">
        <v>3797</v>
      </c>
    </row>
    <row r="1217" spans="1:8" ht="12.75" customHeight="1">
      <c r="A1217" s="21"/>
      <c r="B1217" s="22" t="s">
        <v>3730</v>
      </c>
      <c r="C1217" s="23"/>
      <c r="D1217" s="24"/>
      <c r="E1217" s="25"/>
      <c r="F1217" s="26"/>
      <c r="G1217" s="27">
        <f>SUM(G1218:G1222)</f>
        <v>135433.72500000001</v>
      </c>
      <c r="H1217" s="27">
        <f>IFERROR(G1217*E1215,"")</f>
        <v>0</v>
      </c>
    </row>
    <row r="1218" spans="1:8" ht="12.75" customHeight="1">
      <c r="A1218" s="28"/>
      <c r="B1218" s="29" t="s">
        <v>2905</v>
      </c>
      <c r="C1218" s="30" t="str">
        <f>IFERROR(_xlfn.XLOOKUP(B1218,Insumo[DESCRIPCION],Insumo[UND],,0),"")</f>
        <v>M2</v>
      </c>
      <c r="D1218" s="31">
        <v>1</v>
      </c>
      <c r="E1218" s="32">
        <f>IFERROR(_xlfn.XLOOKUP($B1218,Insumo[DESCRIPCION],Insumo[VALOR],,0),"")</f>
        <v>134581.65</v>
      </c>
      <c r="F1218" s="33"/>
      <c r="G1218" s="34">
        <f>IFERROR(IF(F1218&gt;=0,D1218*E1218*(1+F1218/100),ABS(D1218*E1218/F1218)),"")</f>
        <v>134581.65</v>
      </c>
      <c r="H1218" s="43">
        <f>IFERROR(G1218*E1215,"")</f>
        <v>0</v>
      </c>
    </row>
    <row r="1219" spans="1:8" ht="12.75" customHeight="1">
      <c r="A1219" s="28"/>
      <c r="B1219" s="29" t="s">
        <v>3408</v>
      </c>
      <c r="C1219" s="30" t="str">
        <f>IFERROR(_xlfn.XLOOKUP(B1219,Insumo[DESCRIPCION],Insumo[UND],,0),"")</f>
        <v>Un</v>
      </c>
      <c r="D1219" s="31">
        <v>1.5</v>
      </c>
      <c r="E1219" s="32">
        <f>IFERROR(_xlfn.XLOOKUP($B1219,Insumo[DESCRIPCION],Insumo[VALOR],,0),"")</f>
        <v>568.05000000000007</v>
      </c>
      <c r="F1219" s="33"/>
      <c r="G1219" s="34">
        <f>IFERROR(IF(F1219&gt;=0,D1219*E1219*(1+F1219/100),ABS(D1219*E1219/F1219)),"")</f>
        <v>852.07500000000005</v>
      </c>
      <c r="H1219" s="43">
        <f>IFERROR(G1219*E1215,"")</f>
        <v>0</v>
      </c>
    </row>
    <row r="1220" spans="1:8" ht="12.75" customHeight="1">
      <c r="A1220" s="28"/>
      <c r="B1220" s="29"/>
      <c r="C1220" s="30" t="str">
        <f>IFERROR(_xlfn.XLOOKUP(B1220,Insumo[DESCRIPCION],Insumo[UND],,0),"")</f>
        <v/>
      </c>
      <c r="D1220" s="31"/>
      <c r="E1220" s="32" t="str">
        <f>IFERROR(_xlfn.XLOOKUP($B1220,Insumo[DESCRIPCION],Insumo[VALOR],,0),"")</f>
        <v/>
      </c>
      <c r="F1220" s="33"/>
      <c r="G1220" s="34" t="str">
        <f>IFERROR(IF(F1220&gt;=0,D1220*E1220*(1+F1220/100),ABS(D1220*E1220/F1220)),"")</f>
        <v/>
      </c>
      <c r="H1220" s="43" t="str">
        <f>IFERROR(G1220*E1215,"")</f>
        <v/>
      </c>
    </row>
    <row r="1221" spans="1:8" ht="12.75" customHeight="1">
      <c r="A1221" s="28"/>
      <c r="B1221" s="29"/>
      <c r="C1221" s="30" t="str">
        <f>IFERROR(_xlfn.XLOOKUP(B1221,Insumo[DESCRIPCION],Insumo[UND],,0),"")</f>
        <v/>
      </c>
      <c r="D1221" s="31"/>
      <c r="E1221" s="32" t="str">
        <f>IFERROR(_xlfn.XLOOKUP($B1221,Insumo[DESCRIPCION],Insumo[VALOR],,0),"")</f>
        <v/>
      </c>
      <c r="F1221" s="33"/>
      <c r="G1221" s="34" t="str">
        <f>IFERROR(IF(F1221&gt;=0,D1221*E1221*(1+F1221/100),ABS(D1221*E1221/F1221)),"")</f>
        <v/>
      </c>
      <c r="H1221" s="43" t="str">
        <f>IFERROR(G1221*E1215,"")</f>
        <v/>
      </c>
    </row>
    <row r="1222" spans="1:8" ht="12.75" customHeight="1">
      <c r="A1222" s="28"/>
      <c r="B1222" s="29"/>
      <c r="C1222" s="30" t="str">
        <f>IFERROR(_xlfn.XLOOKUP(B1222,Insumo[DESCRIPCION],Insumo[UND],,0),"")</f>
        <v/>
      </c>
      <c r="D1222" s="31"/>
      <c r="E1222" s="32" t="str">
        <f>IFERROR(_xlfn.XLOOKUP($B1222,Insumo[DESCRIPCION],Insumo[VALOR],,0),"")</f>
        <v/>
      </c>
      <c r="F1222" s="33"/>
      <c r="G1222" s="34" t="str">
        <f>IFERROR(IF(F1222&gt;=0,D1222*E1222*(1+F1222/100),ABS(D1222*E1222/F1222)),"")</f>
        <v/>
      </c>
      <c r="H1222" s="43" t="str">
        <f>IFERROR(G1222*E1215,"")</f>
        <v/>
      </c>
    </row>
    <row r="1223" spans="1:8" ht="12.75" customHeight="1">
      <c r="A1223" s="21"/>
      <c r="B1223" s="22" t="s">
        <v>3731</v>
      </c>
      <c r="C1223" s="23"/>
      <c r="D1223" s="24"/>
      <c r="E1223" s="25"/>
      <c r="F1223" s="26"/>
      <c r="G1223" s="27">
        <f>SUM(G1224:G1226)</f>
        <v>7715.0761239374997</v>
      </c>
      <c r="H1223" s="44">
        <f>G1223*E1215</f>
        <v>0</v>
      </c>
    </row>
    <row r="1224" spans="1:8" ht="12.75" customHeight="1">
      <c r="A1224" s="28"/>
      <c r="B1224" s="29" t="s">
        <v>3575</v>
      </c>
      <c r="C1224" s="30" t="str">
        <f>IFERROR(_xlfn.XLOOKUP(B1224,Equipo[DESCRIPCION],Equipo[UND],,0),"")</f>
        <v>Día</v>
      </c>
      <c r="D1224" s="31">
        <v>1</v>
      </c>
      <c r="E1224" s="32">
        <f>IF(C1224="%MO",G1230,IFERROR(_xlfn.XLOOKUP($B1224,Equipo[DESCRIPCION],Equipo[VALOR],,0),""))</f>
        <v>142078.65</v>
      </c>
      <c r="F1224" s="33">
        <v>-24</v>
      </c>
      <c r="G1224" s="34">
        <f>IFERROR(IF(F1224&gt;=0,D1224*E1224*(1+F1224/100),ABS(D1224*E1224/F1224)),"")</f>
        <v>5919.9437499999995</v>
      </c>
      <c r="H1224" s="43">
        <f>IFERROR(G1224*E1215,"")</f>
        <v>0</v>
      </c>
    </row>
    <row r="1225" spans="1:8" ht="12.75" customHeight="1">
      <c r="A1225" s="28"/>
      <c r="B1225" s="29" t="s">
        <v>3626</v>
      </c>
      <c r="C1225" s="30" t="str">
        <f>IFERROR(_xlfn.XLOOKUP(B1225,Equipo[DESCRIPCION],Equipo[UND],,0),"")</f>
        <v>%MO</v>
      </c>
      <c r="D1225" s="31">
        <v>0.05</v>
      </c>
      <c r="E1225" s="32">
        <f>IF(C1225="%MO",G1230,IFERROR(_xlfn.XLOOKUP($B1225,Equipo[DESCRIPCION],Equipo[VALOR],,0),""))</f>
        <v>35902.647478750005</v>
      </c>
      <c r="F1225" s="33"/>
      <c r="G1225" s="34">
        <f>IFERROR(IF(F1225&gt;=0,D1225*E1225*(1+F1225/100),ABS(D1225*E1225/F1225)),"")</f>
        <v>1795.1323739375002</v>
      </c>
      <c r="H1225" s="43">
        <f>IFERROR(G1225*E1215,"")</f>
        <v>0</v>
      </c>
    </row>
    <row r="1226" spans="1:8" ht="12.75" customHeight="1">
      <c r="A1226" s="28"/>
      <c r="B1226" s="29"/>
      <c r="C1226" s="30" t="str">
        <f>IFERROR(_xlfn.XLOOKUP(B1226,Equipo[DESCRIPCION],Equipo[UND],,0),"")</f>
        <v/>
      </c>
      <c r="D1226" s="31"/>
      <c r="E1226" s="32" t="str">
        <f>IF(C1226="%MO",G1230,IFERROR(_xlfn.XLOOKUP($B1226,Equipo[DESCRIPCION],Equipo[VALOR],,0),""))</f>
        <v/>
      </c>
      <c r="F1226" s="33"/>
      <c r="G1226" s="34" t="str">
        <f>IFERROR(IF(F1226&gt;=0,D1226*E1226*(1+F1226/100),ABS(D1226*E1226/F1226)),"")</f>
        <v/>
      </c>
      <c r="H1226" s="43" t="str">
        <f>IFERROR(G1226*E1215,"")</f>
        <v/>
      </c>
    </row>
    <row r="1227" spans="1:8" ht="12.75" customHeight="1">
      <c r="A1227" s="21"/>
      <c r="B1227" s="22" t="s">
        <v>2533</v>
      </c>
      <c r="C1227" s="23"/>
      <c r="D1227" s="24"/>
      <c r="E1227" s="25"/>
      <c r="F1227" s="26"/>
      <c r="G1227" s="27">
        <f>SUM(G1228:G1229)</f>
        <v>0</v>
      </c>
      <c r="H1227" s="44">
        <f>G1227*E1215</f>
        <v>0</v>
      </c>
    </row>
    <row r="1228" spans="1:8" ht="12.75" customHeight="1">
      <c r="A1228" s="28"/>
      <c r="B1228" s="29"/>
      <c r="C1228" s="30" t="str">
        <f>IFERROR(_xlfn.XLOOKUP(B1228,Transporte[DESCRIPCION],Transporte[UND],,0),"")</f>
        <v/>
      </c>
      <c r="D1228" s="31"/>
      <c r="E1228" s="32" t="str">
        <f>IFERROR(_xlfn.XLOOKUP($B1228,Transporte[DESCRIPCION],Transporte[VALOR],,0),"")</f>
        <v/>
      </c>
      <c r="F1228" s="33"/>
      <c r="G1228" s="34" t="str">
        <f>IFERROR(IF(F1228&gt;=0,D1228*E1228*(1+F1228/100),ABS(D1228*E1228/F1228)),"")</f>
        <v/>
      </c>
      <c r="H1228" s="43" t="str">
        <f>IFERROR(G1228*E1215,"")</f>
        <v/>
      </c>
    </row>
    <row r="1229" spans="1:8" ht="12.75" customHeight="1">
      <c r="A1229" s="28"/>
      <c r="B1229" s="29"/>
      <c r="C1229" s="30" t="str">
        <f>IFERROR(_xlfn.XLOOKUP(B1229,Transporte[DESCRIPCION],Transporte[UND],,0),"")</f>
        <v/>
      </c>
      <c r="D1229" s="31"/>
      <c r="E1229" s="32" t="str">
        <f>IFERROR(_xlfn.XLOOKUP($B1229,Transporte[DESCRIPCION],Transporte[VALOR],,0),"")</f>
        <v/>
      </c>
      <c r="F1229" s="33"/>
      <c r="G1229" s="34" t="str">
        <f>IFERROR(IF(F1229&gt;=0,D1229*E1229*(1+F1229/100),ABS(D1229*E1229/F1229)),"")</f>
        <v/>
      </c>
      <c r="H1229" s="43" t="str">
        <f>IFERROR(G1229*E1215,"")</f>
        <v/>
      </c>
    </row>
    <row r="1230" spans="1:8" ht="12.75" customHeight="1">
      <c r="A1230" s="21"/>
      <c r="B1230" s="22" t="s">
        <v>3732</v>
      </c>
      <c r="C1230" s="23"/>
      <c r="D1230" s="24"/>
      <c r="E1230" s="25"/>
      <c r="F1230" s="26"/>
      <c r="G1230" s="27">
        <f>SUM(G1231:G1233)</f>
        <v>35902.647478750005</v>
      </c>
      <c r="H1230" s="44">
        <f>G1230*E1215</f>
        <v>0</v>
      </c>
    </row>
    <row r="1231" spans="1:8" ht="12.75" customHeight="1">
      <c r="A1231" s="28"/>
      <c r="B1231" s="29" t="s">
        <v>3711</v>
      </c>
      <c r="C1231" s="30" t="str">
        <f>IFERROR(_xlfn.XLOOKUP(B1231,MObra[DESCRIPCION],MObra[UN],,0),"")</f>
        <v>día</v>
      </c>
      <c r="D1231" s="31">
        <v>1</v>
      </c>
      <c r="E1231" s="32">
        <f>IFERROR(_xlfn.XLOOKUP($B1231,MObra[DESCRIPCION],MObra[VALOR UNIT],,0),"")</f>
        <v>430831.76974500006</v>
      </c>
      <c r="F1231" s="33">
        <v>-12</v>
      </c>
      <c r="G1231" s="34">
        <f>IFERROR(IF(F1231&gt;=0,D1231*E1231*(1+F1231/100),ABS(D1231*E1231/F1231)),"")</f>
        <v>35902.647478750005</v>
      </c>
      <c r="H1231" s="43">
        <f>IFERROR(G1231*E1215,"")</f>
        <v>0</v>
      </c>
    </row>
    <row r="1232" spans="1:8" ht="12.75" customHeight="1">
      <c r="A1232" s="28"/>
      <c r="B1232" s="29"/>
      <c r="C1232" s="30" t="str">
        <f t="array" ref="C1232">IFERROR(_xlfn.XLOOKUP(B1232,MObra[[#All],[DESCRIPCION]],MObra[[#All],[UN]],,0),"")</f>
        <v/>
      </c>
      <c r="D1232" s="31"/>
      <c r="E1232" s="32" t="str">
        <f>IFERROR(_xlfn.XLOOKUP($B1232,MObra[DESCRIPCION],MObra[VALOR UNIT],,0),"")</f>
        <v/>
      </c>
      <c r="F1232" s="33"/>
      <c r="G1232" s="34" t="str">
        <f>IFERROR(IF(F1232&gt;=0,D1232*E1232*(1+F1232/100),ABS(D1232*E1232/F1232)),"")</f>
        <v/>
      </c>
      <c r="H1232" s="43" t="str">
        <f>IFERROR(G1232*E1215,"")</f>
        <v/>
      </c>
    </row>
    <row r="1233" spans="1:11" ht="12.75" customHeight="1" thickBot="1">
      <c r="A1233" s="35"/>
      <c r="B1233" s="36"/>
      <c r="C1233" s="37" t="str">
        <f t="array" ref="C1233">IFERROR(_xlfn.XLOOKUP(B1233,MObra[[#All],[DESCRIPCION]],MObra[[#All],[UN]],,0),"")</f>
        <v/>
      </c>
      <c r="D1233" s="38"/>
      <c r="E1233" s="39" t="str">
        <f>IFERROR(_xlfn.XLOOKUP($B1233,MObra[DESCRIPCION],MObra[VALOR UNIT],,0),"")</f>
        <v/>
      </c>
      <c r="F1233" s="40"/>
      <c r="G1233" s="41" t="str">
        <f>IFERROR(IF(F1233&gt;=0,D1233*E1233*(1+F1233/100),ABS(D1233*E1233/F1233)),"")</f>
        <v/>
      </c>
      <c r="H1233" s="42" t="str">
        <f>IFERROR(G1233*E1215,"")</f>
        <v/>
      </c>
    </row>
    <row r="1234" spans="1:11" ht="12.75" customHeight="1" thickTop="1" thickBot="1"/>
    <row r="1235" spans="1:11" ht="12.75" customHeight="1" thickTop="1" thickBot="1">
      <c r="A1235" s="6" t="s">
        <v>1215</v>
      </c>
      <c r="B1235" s="7" t="str">
        <f>VLOOKUP($A1235,Presupuesto!$A:$D,2,FALSE())</f>
        <v>Cubierta teja arcilla (100%)</v>
      </c>
      <c r="C1235" s="8" t="str">
        <f>VLOOKUP($A1235,Presupuesto!$A:$D,3,FALSE())</f>
        <v>M2</v>
      </c>
      <c r="D1235" s="9"/>
      <c r="E1235" s="10">
        <f>VLOOKUP($A1235,Presupuesto!$A:$D,4,FALSE())</f>
        <v>0</v>
      </c>
      <c r="F1235" s="11" t="s">
        <v>2589</v>
      </c>
      <c r="G1235" s="12">
        <f>SUM(G1237:G1253)/2</f>
        <v>156775.580823225</v>
      </c>
      <c r="H1235" s="13">
        <f>ROUND(SUM(H1237:H1253),0)/2</f>
        <v>0</v>
      </c>
      <c r="I1235" s="10">
        <f>VLOOKUP(A1235,Presupuesto!$A:$F,6,0)</f>
        <v>0</v>
      </c>
      <c r="J1235" s="10">
        <f>+H1235-I1235</f>
        <v>0</v>
      </c>
      <c r="K1235" s="46">
        <f>+H1235-G1235*E1235</f>
        <v>0</v>
      </c>
    </row>
    <row r="1236" spans="1:11" ht="12.75" customHeight="1" thickTop="1">
      <c r="A1236" s="14"/>
      <c r="B1236" s="15" t="s">
        <v>2586</v>
      </c>
      <c r="C1236" s="15" t="s">
        <v>5</v>
      </c>
      <c r="D1236" s="16" t="s">
        <v>6</v>
      </c>
      <c r="E1236" s="17" t="s">
        <v>7</v>
      </c>
      <c r="F1236" s="18" t="s">
        <v>3728</v>
      </c>
      <c r="G1236" s="19" t="s">
        <v>3729</v>
      </c>
      <c r="H1236" s="20" t="s">
        <v>3797</v>
      </c>
    </row>
    <row r="1237" spans="1:11" ht="12.75" customHeight="1">
      <c r="A1237" s="21"/>
      <c r="B1237" s="22" t="s">
        <v>3730</v>
      </c>
      <c r="C1237" s="23"/>
      <c r="D1237" s="24"/>
      <c r="E1237" s="25"/>
      <c r="F1237" s="26"/>
      <c r="G1237" s="27">
        <f>SUM(G1238:G1242)</f>
        <v>104434.3125</v>
      </c>
      <c r="H1237" s="27">
        <f>IFERROR(G1237*E1235,"")</f>
        <v>0</v>
      </c>
    </row>
    <row r="1238" spans="1:11" ht="12.75" customHeight="1">
      <c r="A1238" s="28"/>
      <c r="B1238" s="29" t="s">
        <v>3374</v>
      </c>
      <c r="C1238" s="30" t="str">
        <f>IFERROR(_xlfn.XLOOKUP(B1238,Insumo[DESCRIPCION],Insumo[UND],,0),"")</f>
        <v>Un</v>
      </c>
      <c r="D1238" s="31">
        <v>25</v>
      </c>
      <c r="E1238" s="32">
        <f>IFERROR(_xlfn.XLOOKUP($B1238,Insumo[DESCRIPCION],Insumo[VALOR],,0),"")</f>
        <v>3978.4500000000003</v>
      </c>
      <c r="F1238" s="33">
        <v>5</v>
      </c>
      <c r="G1238" s="34">
        <f>IFERROR(IF(F1238&gt;=0,D1238*E1238*(1+F1238/100),ABS(D1238*E1238/F1238)),"")</f>
        <v>104434.3125</v>
      </c>
      <c r="H1238" s="43">
        <f>IFERROR(G1238*E1235,"")</f>
        <v>0</v>
      </c>
    </row>
    <row r="1239" spans="1:11" ht="12.75" customHeight="1">
      <c r="A1239" s="28"/>
      <c r="B1239" s="29"/>
      <c r="C1239" s="30" t="str">
        <f>IFERROR(_xlfn.XLOOKUP(B1239,Insumo[DESCRIPCION],Insumo[UND],,0),"")</f>
        <v/>
      </c>
      <c r="D1239" s="31"/>
      <c r="E1239" s="32" t="str">
        <f>IFERROR(_xlfn.XLOOKUP($B1239,Insumo[DESCRIPCION],Insumo[VALOR],,0),"")</f>
        <v/>
      </c>
      <c r="F1239" s="33"/>
      <c r="G1239" s="34" t="str">
        <f>IFERROR(IF(F1239&gt;=0,D1239*E1239*(1+F1239/100),ABS(D1239*E1239/F1239)),"")</f>
        <v/>
      </c>
      <c r="H1239" s="43" t="str">
        <f>IFERROR(G1239*E1235,"")</f>
        <v/>
      </c>
    </row>
    <row r="1240" spans="1:11" ht="12.75" customHeight="1">
      <c r="A1240" s="28"/>
      <c r="B1240" s="29"/>
      <c r="C1240" s="30" t="str">
        <f>IFERROR(_xlfn.XLOOKUP(B1240,Insumo[DESCRIPCION],Insumo[UND],,0),"")</f>
        <v/>
      </c>
      <c r="D1240" s="31"/>
      <c r="E1240" s="32" t="str">
        <f>IFERROR(_xlfn.XLOOKUP($B1240,Insumo[DESCRIPCION],Insumo[VALOR],,0),"")</f>
        <v/>
      </c>
      <c r="F1240" s="33"/>
      <c r="G1240" s="34" t="str">
        <f>IFERROR(IF(F1240&gt;=0,D1240*E1240*(1+F1240/100),ABS(D1240*E1240/F1240)),"")</f>
        <v/>
      </c>
      <c r="H1240" s="43" t="str">
        <f>IFERROR(G1240*E1235,"")</f>
        <v/>
      </c>
    </row>
    <row r="1241" spans="1:11" ht="12.75" customHeight="1">
      <c r="A1241" s="28"/>
      <c r="B1241" s="29"/>
      <c r="C1241" s="30" t="str">
        <f>IFERROR(_xlfn.XLOOKUP(B1241,Insumo[DESCRIPCION],Insumo[UND],,0),"")</f>
        <v/>
      </c>
      <c r="D1241" s="31"/>
      <c r="E1241" s="32" t="str">
        <f>IFERROR(_xlfn.XLOOKUP($B1241,Insumo[DESCRIPCION],Insumo[VALOR],,0),"")</f>
        <v/>
      </c>
      <c r="F1241" s="33"/>
      <c r="G1241" s="34" t="str">
        <f>IFERROR(IF(F1241&gt;=0,D1241*E1241*(1+F1241/100),ABS(D1241*E1241/F1241)),"")</f>
        <v/>
      </c>
      <c r="H1241" s="43" t="str">
        <f>IFERROR(G1241*E1235,"")</f>
        <v/>
      </c>
    </row>
    <row r="1242" spans="1:11" ht="12.75" customHeight="1">
      <c r="A1242" s="28"/>
      <c r="B1242" s="29"/>
      <c r="C1242" s="30" t="str">
        <f>IFERROR(_xlfn.XLOOKUP(B1242,Insumo[DESCRIPCION],Insumo[UND],,0),"")</f>
        <v/>
      </c>
      <c r="D1242" s="31"/>
      <c r="E1242" s="32" t="str">
        <f>IFERROR(_xlfn.XLOOKUP($B1242,Insumo[DESCRIPCION],Insumo[VALOR],,0),"")</f>
        <v/>
      </c>
      <c r="F1242" s="33"/>
      <c r="G1242" s="34" t="str">
        <f>IFERROR(IF(F1242&gt;=0,D1242*E1242*(1+F1242/100),ABS(D1242*E1242/F1242)),"")</f>
        <v/>
      </c>
      <c r="H1242" s="43" t="str">
        <f>IFERROR(G1242*E1235,"")</f>
        <v/>
      </c>
    </row>
    <row r="1243" spans="1:11" ht="12.75" customHeight="1">
      <c r="A1243" s="21"/>
      <c r="B1243" s="22" t="s">
        <v>3731</v>
      </c>
      <c r="C1243" s="23"/>
      <c r="D1243" s="24"/>
      <c r="E1243" s="25"/>
      <c r="F1243" s="26"/>
      <c r="G1243" s="27">
        <f>SUM(G1244:G1246)</f>
        <v>9258.091348725</v>
      </c>
      <c r="H1243" s="44">
        <f>G1243*E1235</f>
        <v>0</v>
      </c>
    </row>
    <row r="1244" spans="1:11" ht="12.75" customHeight="1">
      <c r="A1244" s="28"/>
      <c r="B1244" s="29" t="s">
        <v>3575</v>
      </c>
      <c r="C1244" s="30" t="str">
        <f>IFERROR(_xlfn.XLOOKUP(B1244,Equipo[DESCRIPCION],Equipo[UND],,0),"")</f>
        <v>Día</v>
      </c>
      <c r="D1244" s="31">
        <v>1</v>
      </c>
      <c r="E1244" s="32">
        <f>IF(C1244="%MO",G1250,IFERROR(_xlfn.XLOOKUP($B1244,Equipo[DESCRIPCION],Equipo[VALOR],,0),""))</f>
        <v>142078.65</v>
      </c>
      <c r="F1244" s="33">
        <v>-20</v>
      </c>
      <c r="G1244" s="34">
        <f>IFERROR(IF(F1244&gt;=0,D1244*E1244*(1+F1244/100),ABS(D1244*E1244/F1244)),"")</f>
        <v>7103.9324999999999</v>
      </c>
      <c r="H1244" s="43">
        <f>IFERROR(G1244*E1235,"")</f>
        <v>0</v>
      </c>
    </row>
    <row r="1245" spans="1:11" ht="12.75" customHeight="1">
      <c r="A1245" s="28"/>
      <c r="B1245" s="29" t="s">
        <v>3626</v>
      </c>
      <c r="C1245" s="30" t="str">
        <f>IFERROR(_xlfn.XLOOKUP(B1245,Equipo[DESCRIPCION],Equipo[UND],,0),"")</f>
        <v>%MO</v>
      </c>
      <c r="D1245" s="31">
        <v>0.05</v>
      </c>
      <c r="E1245" s="32">
        <f>IF(C1245="%MO",G1250,IFERROR(_xlfn.XLOOKUP($B1245,Equipo[DESCRIPCION],Equipo[VALOR],,0),""))</f>
        <v>43083.176974500006</v>
      </c>
      <c r="F1245" s="33"/>
      <c r="G1245" s="34">
        <f>IFERROR(IF(F1245&gt;=0,D1245*E1245*(1+F1245/100),ABS(D1245*E1245/F1245)),"")</f>
        <v>2154.1588487250006</v>
      </c>
      <c r="H1245" s="43">
        <f>IFERROR(G1245*E1235,"")</f>
        <v>0</v>
      </c>
    </row>
    <row r="1246" spans="1:11" ht="12.75" customHeight="1">
      <c r="A1246" s="28"/>
      <c r="B1246" s="29"/>
      <c r="C1246" s="30" t="str">
        <f>IFERROR(_xlfn.XLOOKUP(B1246,Equipo[DESCRIPCION],Equipo[UND],,0),"")</f>
        <v/>
      </c>
      <c r="D1246" s="31"/>
      <c r="E1246" s="32" t="str">
        <f>IF(C1246="%MO",G1250,IFERROR(_xlfn.XLOOKUP($B1246,Equipo[DESCRIPCION],Equipo[VALOR],,0),""))</f>
        <v/>
      </c>
      <c r="F1246" s="33"/>
      <c r="G1246" s="34" t="str">
        <f>IFERROR(IF(F1246&gt;=0,D1246*E1246*(1+F1246/100),ABS(D1246*E1246/F1246)),"")</f>
        <v/>
      </c>
      <c r="H1246" s="43" t="str">
        <f>IFERROR(G1246*E1235,"")</f>
        <v/>
      </c>
    </row>
    <row r="1247" spans="1:11" ht="12.75" customHeight="1">
      <c r="A1247" s="21"/>
      <c r="B1247" s="22" t="s">
        <v>2533</v>
      </c>
      <c r="C1247" s="23"/>
      <c r="D1247" s="24"/>
      <c r="E1247" s="25"/>
      <c r="F1247" s="26"/>
      <c r="G1247" s="27">
        <f>SUM(G1248:G1249)</f>
        <v>0</v>
      </c>
      <c r="H1247" s="44">
        <f>G1247*E1235</f>
        <v>0</v>
      </c>
    </row>
    <row r="1248" spans="1:11" ht="12.75" customHeight="1">
      <c r="A1248" s="28"/>
      <c r="B1248" s="29"/>
      <c r="C1248" s="30" t="str">
        <f>IFERROR(_xlfn.XLOOKUP(B1248,Transporte[DESCRIPCION],Transporte[UND],,0),"")</f>
        <v/>
      </c>
      <c r="D1248" s="31"/>
      <c r="E1248" s="32" t="str">
        <f>IFERROR(_xlfn.XLOOKUP($B1248,Transporte[DESCRIPCION],Transporte[VALOR],,0),"")</f>
        <v/>
      </c>
      <c r="F1248" s="33"/>
      <c r="G1248" s="34" t="str">
        <f>IFERROR(IF(F1248&gt;=0,D1248*E1248*(1+F1248/100),ABS(D1248*E1248/F1248)),"")</f>
        <v/>
      </c>
      <c r="H1248" s="43" t="str">
        <f>IFERROR(G1248*E1235,"")</f>
        <v/>
      </c>
    </row>
    <row r="1249" spans="1:11" ht="12.75" customHeight="1">
      <c r="A1249" s="28"/>
      <c r="B1249" s="29"/>
      <c r="C1249" s="30" t="str">
        <f>IFERROR(_xlfn.XLOOKUP(B1249,Transporte[DESCRIPCION],Transporte[UND],,0),"")</f>
        <v/>
      </c>
      <c r="D1249" s="31"/>
      <c r="E1249" s="32" t="str">
        <f>IFERROR(_xlfn.XLOOKUP($B1249,Transporte[DESCRIPCION],Transporte[VALOR],,0),"")</f>
        <v/>
      </c>
      <c r="F1249" s="33"/>
      <c r="G1249" s="34" t="str">
        <f>IFERROR(IF(F1249&gt;=0,D1249*E1249*(1+F1249/100),ABS(D1249*E1249/F1249)),"")</f>
        <v/>
      </c>
      <c r="H1249" s="43" t="str">
        <f>IFERROR(G1249*E1235,"")</f>
        <v/>
      </c>
    </row>
    <row r="1250" spans="1:11" ht="12.75" customHeight="1">
      <c r="A1250" s="21"/>
      <c r="B1250" s="22" t="s">
        <v>3732</v>
      </c>
      <c r="C1250" s="23"/>
      <c r="D1250" s="24"/>
      <c r="E1250" s="25"/>
      <c r="F1250" s="26"/>
      <c r="G1250" s="27">
        <f>SUM(G1251:G1253)</f>
        <v>43083.176974500006</v>
      </c>
      <c r="H1250" s="44">
        <f>G1250*E1235</f>
        <v>0</v>
      </c>
    </row>
    <row r="1251" spans="1:11" ht="12.75" customHeight="1">
      <c r="A1251" s="28"/>
      <c r="B1251" s="29" t="s">
        <v>3711</v>
      </c>
      <c r="C1251" s="30" t="str">
        <f>IFERROR(_xlfn.XLOOKUP(B1251,MObra[DESCRIPCION],MObra[UN],,0),"")</f>
        <v>día</v>
      </c>
      <c r="D1251" s="31">
        <v>1</v>
      </c>
      <c r="E1251" s="32">
        <f>IFERROR(_xlfn.XLOOKUP($B1251,MObra[DESCRIPCION],MObra[VALOR UNIT],,0),"")</f>
        <v>430831.76974500006</v>
      </c>
      <c r="F1251" s="33">
        <v>-10</v>
      </c>
      <c r="G1251" s="34">
        <f>IFERROR(IF(F1251&gt;=0,D1251*E1251*(1+F1251/100),ABS(D1251*E1251/F1251)),"")</f>
        <v>43083.176974500006</v>
      </c>
      <c r="H1251" s="43">
        <f>IFERROR(G1251*E1235,"")</f>
        <v>0</v>
      </c>
    </row>
    <row r="1252" spans="1:11" ht="12.75" customHeight="1">
      <c r="A1252" s="28"/>
      <c r="B1252" s="29"/>
      <c r="C1252" s="30" t="str">
        <f t="array" ref="C1252">IFERROR(_xlfn.XLOOKUP(B1252,MObra[[#All],[DESCRIPCION]],MObra[[#All],[UN]],,0),"")</f>
        <v/>
      </c>
      <c r="D1252" s="31"/>
      <c r="E1252" s="32" t="str">
        <f>IFERROR(_xlfn.XLOOKUP($B1252,MObra[DESCRIPCION],MObra[VALOR UNIT],,0),"")</f>
        <v/>
      </c>
      <c r="F1252" s="33"/>
      <c r="G1252" s="34" t="str">
        <f>IFERROR(IF(F1252&gt;=0,D1252*E1252*(1+F1252/100),ABS(D1252*E1252/F1252)),"")</f>
        <v/>
      </c>
      <c r="H1252" s="43" t="str">
        <f>IFERROR(G1252*E1235,"")</f>
        <v/>
      </c>
    </row>
    <row r="1253" spans="1:11" ht="12.75" customHeight="1" thickBot="1">
      <c r="A1253" s="35"/>
      <c r="B1253" s="36"/>
      <c r="C1253" s="37" t="str">
        <f t="array" ref="C1253">IFERROR(_xlfn.XLOOKUP(B1253,MObra[[#All],[DESCRIPCION]],MObra[[#All],[UN]],,0),"")</f>
        <v/>
      </c>
      <c r="D1253" s="38"/>
      <c r="E1253" s="39" t="str">
        <f>IFERROR(_xlfn.XLOOKUP($B1253,MObra[DESCRIPCION],MObra[VALOR UNIT],,0),"")</f>
        <v/>
      </c>
      <c r="F1253" s="40"/>
      <c r="G1253" s="41" t="str">
        <f>IFERROR(IF(F1253&gt;=0,D1253*E1253*(1+F1253/100),ABS(D1253*E1253/F1253)),"")</f>
        <v/>
      </c>
      <c r="H1253" s="42" t="str">
        <f>IFERROR(G1253*E1235,"")</f>
        <v/>
      </c>
    </row>
    <row r="1254" spans="1:11" ht="12.75" customHeight="1" thickTop="1" thickBot="1"/>
    <row r="1255" spans="1:11" ht="12.75" customHeight="1" thickTop="1" thickBot="1">
      <c r="A1255" s="6" t="s">
        <v>1217</v>
      </c>
      <c r="B1255" s="7" t="str">
        <f>VLOOKUP($A1255,Presupuesto!$A:$D,2,FALSE())</f>
        <v>Cubierta teja arcilla + estructura en cañabrava</v>
      </c>
      <c r="C1255" s="8" t="str">
        <f>VLOOKUP($A1255,Presupuesto!$A:$D,3,FALSE())</f>
        <v>M2</v>
      </c>
      <c r="D1255" s="9"/>
      <c r="E1255" s="10">
        <f>VLOOKUP($A1255,Presupuesto!$A:$D,4,FALSE())</f>
        <v>0</v>
      </c>
      <c r="F1255" s="11" t="s">
        <v>2589</v>
      </c>
      <c r="G1255" s="12">
        <f>SUM(G1257:G1273)/2</f>
        <v>168924.87730358331</v>
      </c>
      <c r="H1255" s="13">
        <f>ROUND(SUM(H1257:H1273),0)/2</f>
        <v>0</v>
      </c>
      <c r="I1255" s="10">
        <f>VLOOKUP(A1255,Presupuesto!$A:$F,6,0)</f>
        <v>0</v>
      </c>
      <c r="J1255" s="10">
        <f>+H1255-I1255</f>
        <v>0</v>
      </c>
      <c r="K1255" s="46">
        <f>+H1255-G1255*E1255</f>
        <v>0</v>
      </c>
    </row>
    <row r="1256" spans="1:11" ht="12.75" customHeight="1" thickTop="1">
      <c r="A1256" s="14"/>
      <c r="B1256" s="15" t="s">
        <v>2586</v>
      </c>
      <c r="C1256" s="15" t="s">
        <v>5</v>
      </c>
      <c r="D1256" s="16" t="s">
        <v>6</v>
      </c>
      <c r="E1256" s="17" t="s">
        <v>7</v>
      </c>
      <c r="F1256" s="18" t="s">
        <v>3728</v>
      </c>
      <c r="G1256" s="19" t="s">
        <v>3729</v>
      </c>
      <c r="H1256" s="20" t="s">
        <v>3797</v>
      </c>
    </row>
    <row r="1257" spans="1:11" ht="12.75" customHeight="1">
      <c r="A1257" s="21"/>
      <c r="B1257" s="22" t="s">
        <v>3730</v>
      </c>
      <c r="C1257" s="23"/>
      <c r="D1257" s="24"/>
      <c r="E1257" s="25"/>
      <c r="F1257" s="26"/>
      <c r="G1257" s="27">
        <f>SUM(G1258:G1262)</f>
        <v>110767.91250000001</v>
      </c>
      <c r="H1257" s="27">
        <f>IFERROR(G1257*E1255,"")</f>
        <v>0</v>
      </c>
    </row>
    <row r="1258" spans="1:11" ht="12.75" customHeight="1">
      <c r="A1258" s="28"/>
      <c r="B1258" s="29" t="s">
        <v>3374</v>
      </c>
      <c r="C1258" s="30" t="str">
        <f>IFERROR(_xlfn.XLOOKUP(B1258,Insumo[DESCRIPCION],Insumo[UND],,0),"")</f>
        <v>Un</v>
      </c>
      <c r="D1258" s="31">
        <v>25</v>
      </c>
      <c r="E1258" s="32">
        <f>IFERROR(_xlfn.XLOOKUP($B1258,Insumo[DESCRIPCION],Insumo[VALOR],,0),"")</f>
        <v>3978.4500000000003</v>
      </c>
      <c r="F1258" s="33">
        <v>5</v>
      </c>
      <c r="G1258" s="34">
        <f>IFERROR(IF(F1258&gt;=0,D1258*E1258*(1+F1258/100),ABS(D1258*E1258/F1258)),"")</f>
        <v>104434.3125</v>
      </c>
      <c r="H1258" s="43">
        <f>IFERROR(G1258*E1255,"")</f>
        <v>0</v>
      </c>
    </row>
    <row r="1259" spans="1:11" ht="12.75" customHeight="1">
      <c r="A1259" s="28"/>
      <c r="B1259" s="29" t="s">
        <v>2821</v>
      </c>
      <c r="C1259" s="30" t="str">
        <f>IFERROR(_xlfn.XLOOKUP(B1259,Insumo[DESCRIPCION],Insumo[UND],,0),"")</f>
        <v>Un</v>
      </c>
      <c r="D1259" s="31">
        <v>4</v>
      </c>
      <c r="E1259" s="32">
        <f>IFERROR(_xlfn.XLOOKUP($B1259,Insumo[DESCRIPCION],Insumo[VALOR],,0),"")</f>
        <v>1583.4</v>
      </c>
      <c r="F1259" s="33"/>
      <c r="G1259" s="34">
        <f>IFERROR(IF(F1259&gt;=0,D1259*E1259*(1+F1259/100),ABS(D1259*E1259/F1259)),"")</f>
        <v>6333.6</v>
      </c>
      <c r="H1259" s="43">
        <f>IFERROR(G1259*E1255,"")</f>
        <v>0</v>
      </c>
    </row>
    <row r="1260" spans="1:11" ht="12.75" customHeight="1">
      <c r="A1260" s="28"/>
      <c r="B1260" s="29"/>
      <c r="C1260" s="30" t="str">
        <f>IFERROR(_xlfn.XLOOKUP(B1260,Insumo[DESCRIPCION],Insumo[UND],,0),"")</f>
        <v/>
      </c>
      <c r="D1260" s="31"/>
      <c r="E1260" s="32" t="str">
        <f>IFERROR(_xlfn.XLOOKUP($B1260,Insumo[DESCRIPCION],Insumo[VALOR],,0),"")</f>
        <v/>
      </c>
      <c r="F1260" s="33"/>
      <c r="G1260" s="34" t="str">
        <f>IFERROR(IF(F1260&gt;=0,D1260*E1260*(1+F1260/100),ABS(D1260*E1260/F1260)),"")</f>
        <v/>
      </c>
      <c r="H1260" s="43" t="str">
        <f>IFERROR(G1260*E1255,"")</f>
        <v/>
      </c>
    </row>
    <row r="1261" spans="1:11" ht="12.75" customHeight="1">
      <c r="A1261" s="28"/>
      <c r="B1261" s="29"/>
      <c r="C1261" s="30" t="str">
        <f>IFERROR(_xlfn.XLOOKUP(B1261,Insumo[DESCRIPCION],Insumo[UND],,0),"")</f>
        <v/>
      </c>
      <c r="D1261" s="31"/>
      <c r="E1261" s="32" t="str">
        <f>IFERROR(_xlfn.XLOOKUP($B1261,Insumo[DESCRIPCION],Insumo[VALOR],,0),"")</f>
        <v/>
      </c>
      <c r="F1261" s="33"/>
      <c r="G1261" s="34" t="str">
        <f>IFERROR(IF(F1261&gt;=0,D1261*E1261*(1+F1261/100),ABS(D1261*E1261/F1261)),"")</f>
        <v/>
      </c>
      <c r="H1261" s="43" t="str">
        <f>IFERROR(G1261*E1255,"")</f>
        <v/>
      </c>
    </row>
    <row r="1262" spans="1:11" ht="12.75" customHeight="1">
      <c r="A1262" s="28"/>
      <c r="B1262" s="29"/>
      <c r="C1262" s="30" t="str">
        <f>IFERROR(_xlfn.XLOOKUP(B1262,Insumo[DESCRIPCION],Insumo[UND],,0),"")</f>
        <v/>
      </c>
      <c r="D1262" s="31"/>
      <c r="E1262" s="32" t="str">
        <f>IFERROR(_xlfn.XLOOKUP($B1262,Insumo[DESCRIPCION],Insumo[VALOR],,0),"")</f>
        <v/>
      </c>
      <c r="F1262" s="33"/>
      <c r="G1262" s="34" t="str">
        <f>IFERROR(IF(F1262&gt;=0,D1262*E1262*(1+F1262/100),ABS(D1262*E1262/F1262)),"")</f>
        <v/>
      </c>
      <c r="H1262" s="43" t="str">
        <f>IFERROR(G1262*E1255,"")</f>
        <v/>
      </c>
    </row>
    <row r="1263" spans="1:11" ht="12.75" customHeight="1">
      <c r="A1263" s="21"/>
      <c r="B1263" s="22" t="s">
        <v>3731</v>
      </c>
      <c r="C1263" s="23"/>
      <c r="D1263" s="24"/>
      <c r="E1263" s="25"/>
      <c r="F1263" s="26"/>
      <c r="G1263" s="27">
        <f>SUM(G1264:G1266)</f>
        <v>10286.76816525</v>
      </c>
      <c r="H1263" s="44">
        <f>G1263*E1255</f>
        <v>0</v>
      </c>
    </row>
    <row r="1264" spans="1:11" ht="12.75" customHeight="1">
      <c r="A1264" s="28"/>
      <c r="B1264" s="29" t="s">
        <v>3575</v>
      </c>
      <c r="C1264" s="30" t="str">
        <f>IFERROR(_xlfn.XLOOKUP(B1264,Equipo[DESCRIPCION],Equipo[UND],,0),"")</f>
        <v>Día</v>
      </c>
      <c r="D1264" s="31">
        <v>1</v>
      </c>
      <c r="E1264" s="32">
        <f>IF(C1264="%MO",G1270,IFERROR(_xlfn.XLOOKUP($B1264,Equipo[DESCRIPCION],Equipo[VALOR],,0),""))</f>
        <v>142078.65</v>
      </c>
      <c r="F1264" s="33">
        <v>-18</v>
      </c>
      <c r="G1264" s="34">
        <f>IFERROR(IF(F1264&gt;=0,D1264*E1264*(1+F1264/100),ABS(D1264*E1264/F1264)),"")</f>
        <v>7893.2583333333332</v>
      </c>
      <c r="H1264" s="43">
        <f>IFERROR(G1264*E1255,"")</f>
        <v>0</v>
      </c>
    </row>
    <row r="1265" spans="1:11" ht="12.75" customHeight="1">
      <c r="A1265" s="28"/>
      <c r="B1265" s="29" t="s">
        <v>3626</v>
      </c>
      <c r="C1265" s="30" t="str">
        <f>IFERROR(_xlfn.XLOOKUP(B1265,Equipo[DESCRIPCION],Equipo[UND],,0),"")</f>
        <v>%MO</v>
      </c>
      <c r="D1265" s="31">
        <v>0.05</v>
      </c>
      <c r="E1265" s="32">
        <f>IF(C1265="%MO",G1270,IFERROR(_xlfn.XLOOKUP($B1265,Equipo[DESCRIPCION],Equipo[VALOR],,0),""))</f>
        <v>47870.196638333342</v>
      </c>
      <c r="F1265" s="33"/>
      <c r="G1265" s="34">
        <f>IFERROR(IF(F1265&gt;=0,D1265*E1265*(1+F1265/100),ABS(D1265*E1265/F1265)),"")</f>
        <v>2393.5098319166673</v>
      </c>
      <c r="H1265" s="43">
        <f>IFERROR(G1265*E1255,"")</f>
        <v>0</v>
      </c>
    </row>
    <row r="1266" spans="1:11" ht="12.75" customHeight="1">
      <c r="A1266" s="28"/>
      <c r="B1266" s="29"/>
      <c r="C1266" s="30" t="str">
        <f>IFERROR(_xlfn.XLOOKUP(B1266,Equipo[DESCRIPCION],Equipo[UND],,0),"")</f>
        <v/>
      </c>
      <c r="D1266" s="31"/>
      <c r="E1266" s="32" t="str">
        <f>IF(C1266="%MO",G1270,IFERROR(_xlfn.XLOOKUP($B1266,Equipo[DESCRIPCION],Equipo[VALOR],,0),""))</f>
        <v/>
      </c>
      <c r="F1266" s="33"/>
      <c r="G1266" s="34" t="str">
        <f>IFERROR(IF(F1266&gt;=0,D1266*E1266*(1+F1266/100),ABS(D1266*E1266/F1266)),"")</f>
        <v/>
      </c>
      <c r="H1266" s="43" t="str">
        <f>IFERROR(G1266*E1255,"")</f>
        <v/>
      </c>
    </row>
    <row r="1267" spans="1:11" ht="12.75" customHeight="1">
      <c r="A1267" s="21"/>
      <c r="B1267" s="22" t="s">
        <v>2533</v>
      </c>
      <c r="C1267" s="23"/>
      <c r="D1267" s="24"/>
      <c r="E1267" s="25"/>
      <c r="F1267" s="26"/>
      <c r="G1267" s="27">
        <f>SUM(G1268:G1269)</f>
        <v>0</v>
      </c>
      <c r="H1267" s="44">
        <f>G1267*E1255</f>
        <v>0</v>
      </c>
    </row>
    <row r="1268" spans="1:11" ht="12.75" customHeight="1">
      <c r="A1268" s="28"/>
      <c r="B1268" s="29"/>
      <c r="C1268" s="30" t="str">
        <f>IFERROR(_xlfn.XLOOKUP(B1268,Transporte[DESCRIPCION],Transporte[UND],,0),"")</f>
        <v/>
      </c>
      <c r="D1268" s="31"/>
      <c r="E1268" s="32" t="str">
        <f>IFERROR(_xlfn.XLOOKUP($B1268,Transporte[DESCRIPCION],Transporte[VALOR],,0),"")</f>
        <v/>
      </c>
      <c r="F1268" s="33"/>
      <c r="G1268" s="34" t="str">
        <f>IFERROR(IF(F1268&gt;=0,D1268*E1268*(1+F1268/100),ABS(D1268*E1268/F1268)),"")</f>
        <v/>
      </c>
      <c r="H1268" s="43" t="str">
        <f>IFERROR(G1268*E1255,"")</f>
        <v/>
      </c>
    </row>
    <row r="1269" spans="1:11" ht="12.75" customHeight="1">
      <c r="A1269" s="28"/>
      <c r="B1269" s="29"/>
      <c r="C1269" s="30" t="str">
        <f>IFERROR(_xlfn.XLOOKUP(B1269,Transporte[DESCRIPCION],Transporte[UND],,0),"")</f>
        <v/>
      </c>
      <c r="D1269" s="31"/>
      <c r="E1269" s="32" t="str">
        <f>IFERROR(_xlfn.XLOOKUP($B1269,Transporte[DESCRIPCION],Transporte[VALOR],,0),"")</f>
        <v/>
      </c>
      <c r="F1269" s="33"/>
      <c r="G1269" s="34" t="str">
        <f>IFERROR(IF(F1269&gt;=0,D1269*E1269*(1+F1269/100),ABS(D1269*E1269/F1269)),"")</f>
        <v/>
      </c>
      <c r="H1269" s="43" t="str">
        <f>IFERROR(G1269*E1255,"")</f>
        <v/>
      </c>
    </row>
    <row r="1270" spans="1:11" ht="12.75" customHeight="1">
      <c r="A1270" s="21"/>
      <c r="B1270" s="22" t="s">
        <v>3732</v>
      </c>
      <c r="C1270" s="23"/>
      <c r="D1270" s="24"/>
      <c r="E1270" s="25"/>
      <c r="F1270" s="26"/>
      <c r="G1270" s="27">
        <f>SUM(G1271:G1273)</f>
        <v>47870.196638333342</v>
      </c>
      <c r="H1270" s="44">
        <f>G1270*E1255</f>
        <v>0</v>
      </c>
    </row>
    <row r="1271" spans="1:11" ht="12.75" customHeight="1">
      <c r="A1271" s="28"/>
      <c r="B1271" s="29" t="s">
        <v>3711</v>
      </c>
      <c r="C1271" s="30" t="str">
        <f>IFERROR(_xlfn.XLOOKUP(B1271,MObra[DESCRIPCION],MObra[UN],,0),"")</f>
        <v>día</v>
      </c>
      <c r="D1271" s="31">
        <v>1</v>
      </c>
      <c r="E1271" s="32">
        <f>IFERROR(_xlfn.XLOOKUP($B1271,MObra[DESCRIPCION],MObra[VALOR UNIT],,0),"")</f>
        <v>430831.76974500006</v>
      </c>
      <c r="F1271" s="33">
        <v>-9</v>
      </c>
      <c r="G1271" s="34">
        <f>IFERROR(IF(F1271&gt;=0,D1271*E1271*(1+F1271/100),ABS(D1271*E1271/F1271)),"")</f>
        <v>47870.196638333342</v>
      </c>
      <c r="H1271" s="43">
        <f>IFERROR(G1271*E1255,"")</f>
        <v>0</v>
      </c>
    </row>
    <row r="1272" spans="1:11" ht="12.75" customHeight="1">
      <c r="A1272" s="28"/>
      <c r="B1272" s="29"/>
      <c r="C1272" s="30" t="str">
        <f t="array" ref="C1272">IFERROR(_xlfn.XLOOKUP(B1272,MObra[[#All],[DESCRIPCION]],MObra[[#All],[UN]],,0),"")</f>
        <v/>
      </c>
      <c r="D1272" s="31"/>
      <c r="E1272" s="32" t="str">
        <f>IFERROR(_xlfn.XLOOKUP($B1272,MObra[DESCRIPCION],MObra[VALOR UNIT],,0),"")</f>
        <v/>
      </c>
      <c r="F1272" s="33"/>
      <c r="G1272" s="34" t="str">
        <f>IFERROR(IF(F1272&gt;=0,D1272*E1272*(1+F1272/100),ABS(D1272*E1272/F1272)),"")</f>
        <v/>
      </c>
      <c r="H1272" s="43" t="str">
        <f>IFERROR(G1272*E1255,"")</f>
        <v/>
      </c>
    </row>
    <row r="1273" spans="1:11" ht="12.75" customHeight="1" thickBot="1">
      <c r="A1273" s="35"/>
      <c r="B1273" s="36"/>
      <c r="C1273" s="37" t="str">
        <f t="array" ref="C1273">IFERROR(_xlfn.XLOOKUP(B1273,MObra[[#All],[DESCRIPCION]],MObra[[#All],[UN]],,0),"")</f>
        <v/>
      </c>
      <c r="D1273" s="38"/>
      <c r="E1273" s="39" t="str">
        <f>IFERROR(_xlfn.XLOOKUP($B1273,MObra[DESCRIPCION],MObra[VALOR UNIT],,0),"")</f>
        <v/>
      </c>
      <c r="F1273" s="40"/>
      <c r="G1273" s="41" t="str">
        <f>IFERROR(IF(F1273&gt;=0,D1273*E1273*(1+F1273/100),ABS(D1273*E1273/F1273)),"")</f>
        <v/>
      </c>
      <c r="H1273" s="42" t="str">
        <f>IFERROR(G1273*E1255,"")</f>
        <v/>
      </c>
    </row>
    <row r="1274" spans="1:11" ht="12.75" customHeight="1" thickTop="1" thickBot="1"/>
    <row r="1275" spans="1:11" ht="12.75" customHeight="1" thickTop="1" thickBot="1">
      <c r="A1275" s="6" t="s">
        <v>1219</v>
      </c>
      <c r="B1275" s="7" t="str">
        <f>VLOOKUP($A1275,Presupuesto!$A:$D,2,FALSE())</f>
        <v>Cubierta teja de zinc + estructura en guadua</v>
      </c>
      <c r="C1275" s="8" t="str">
        <f>VLOOKUP($A1275,Presupuesto!$A:$D,3,FALSE())</f>
        <v>M2</v>
      </c>
      <c r="D1275" s="9"/>
      <c r="E1275" s="10">
        <f>VLOOKUP($A1275,Presupuesto!$A:$D,4,FALSE())</f>
        <v>0</v>
      </c>
      <c r="F1275" s="11" t="s">
        <v>2589</v>
      </c>
      <c r="G1275" s="12">
        <f>SUM(G1277:G1293)/2</f>
        <v>37641.323130168748</v>
      </c>
      <c r="H1275" s="13">
        <f>ROUND(SUM(H1277:H1293),0)/2</f>
        <v>0</v>
      </c>
      <c r="I1275" s="10">
        <f>VLOOKUP(A1275,Presupuesto!$A:$F,6,0)</f>
        <v>0</v>
      </c>
      <c r="J1275" s="10">
        <f>+H1275-I1275</f>
        <v>0</v>
      </c>
      <c r="K1275" s="46">
        <f>+H1275-G1275*E1275</f>
        <v>0</v>
      </c>
    </row>
    <row r="1276" spans="1:11" ht="12.75" customHeight="1" thickTop="1">
      <c r="A1276" s="14"/>
      <c r="B1276" s="15" t="s">
        <v>2586</v>
      </c>
      <c r="C1276" s="15" t="s">
        <v>5</v>
      </c>
      <c r="D1276" s="16" t="s">
        <v>6</v>
      </c>
      <c r="E1276" s="17" t="s">
        <v>7</v>
      </c>
      <c r="F1276" s="18" t="s">
        <v>3728</v>
      </c>
      <c r="G1276" s="19" t="s">
        <v>3729</v>
      </c>
      <c r="H1276" s="20" t="s">
        <v>3797</v>
      </c>
    </row>
    <row r="1277" spans="1:11" ht="12.75" customHeight="1">
      <c r="A1277" s="21"/>
      <c r="B1277" s="22" t="s">
        <v>3730</v>
      </c>
      <c r="C1277" s="23"/>
      <c r="D1277" s="24"/>
      <c r="E1277" s="25"/>
      <c r="F1277" s="26"/>
      <c r="G1277" s="27">
        <f>SUM(G1278:G1282)</f>
        <v>25254.909750000003</v>
      </c>
      <c r="H1277" s="27">
        <f>IFERROR(G1277*E1275,"")</f>
        <v>0</v>
      </c>
    </row>
    <row r="1278" spans="1:11" ht="12.75" customHeight="1">
      <c r="A1278" s="28"/>
      <c r="B1278" s="29" t="s">
        <v>3375</v>
      </c>
      <c r="C1278" s="30" t="str">
        <f>IFERROR(_xlfn.XLOOKUP(B1278,Insumo[DESCRIPCION],Insumo[UND],,0),"")</f>
        <v>Un</v>
      </c>
      <c r="D1278" s="31">
        <v>0.42</v>
      </c>
      <c r="E1278" s="32">
        <f>IFERROR(_xlfn.XLOOKUP($B1278,Insumo[DESCRIPCION],Insumo[VALOR],,0),"")</f>
        <v>41259.75</v>
      </c>
      <c r="F1278" s="33">
        <v>5</v>
      </c>
      <c r="G1278" s="34">
        <f>IFERROR(IF(F1278&gt;=0,D1278*E1278*(1+F1278/100),ABS(D1278*E1278/F1278)),"")</f>
        <v>18195.549750000002</v>
      </c>
      <c r="H1278" s="43">
        <f>IFERROR(G1278*E1275,"")</f>
        <v>0</v>
      </c>
    </row>
    <row r="1279" spans="1:11" ht="12.75" customHeight="1">
      <c r="A1279" s="28"/>
      <c r="B1279" s="29" t="s">
        <v>2990</v>
      </c>
      <c r="C1279" s="30" t="str">
        <f>IFERROR(_xlfn.XLOOKUP(B1279,Insumo[DESCRIPCION],Insumo[UND],,0),"")</f>
        <v>Un</v>
      </c>
      <c r="D1279" s="31">
        <v>1</v>
      </c>
      <c r="E1279" s="32">
        <f>IFERROR(_xlfn.XLOOKUP($B1279,Insumo[DESCRIPCION],Insumo[VALOR],,0),"")</f>
        <v>5114.55</v>
      </c>
      <c r="F1279" s="33"/>
      <c r="G1279" s="34">
        <f>IFERROR(IF(F1279&gt;=0,D1279*E1279*(1+F1279/100),ABS(D1279*E1279/F1279)),"")</f>
        <v>5114.55</v>
      </c>
      <c r="H1279" s="43">
        <f>IFERROR(G1279*E1275,"")</f>
        <v>0</v>
      </c>
    </row>
    <row r="1280" spans="1:11" ht="12.75" customHeight="1">
      <c r="A1280" s="28"/>
      <c r="B1280" s="29" t="s">
        <v>3253</v>
      </c>
      <c r="C1280" s="30" t="str">
        <f>IFERROR(_xlfn.XLOOKUP(B1280,Insumo[DESCRIPCION],Insumo[UND],,0),"")</f>
        <v>Lb</v>
      </c>
      <c r="D1280" s="31">
        <v>0.3</v>
      </c>
      <c r="E1280" s="32">
        <f>IFERROR(_xlfn.XLOOKUP($B1280,Insumo[DESCRIPCION],Insumo[VALOR],,0),"")</f>
        <v>6482.7000000000007</v>
      </c>
      <c r="F1280" s="33"/>
      <c r="G1280" s="34">
        <f>IFERROR(IF(F1280&gt;=0,D1280*E1280*(1+F1280/100),ABS(D1280*E1280/F1280)),"")</f>
        <v>1944.8100000000002</v>
      </c>
      <c r="H1280" s="43">
        <f>IFERROR(G1280*E1275,"")</f>
        <v>0</v>
      </c>
    </row>
    <row r="1281" spans="1:11" ht="12.75" customHeight="1">
      <c r="A1281" s="28"/>
      <c r="B1281" s="29"/>
      <c r="C1281" s="30" t="str">
        <f>IFERROR(_xlfn.XLOOKUP(B1281,Insumo[DESCRIPCION],Insumo[UND],,0),"")</f>
        <v/>
      </c>
      <c r="D1281" s="31"/>
      <c r="E1281" s="32" t="str">
        <f>IFERROR(_xlfn.XLOOKUP($B1281,Insumo[DESCRIPCION],Insumo[VALOR],,0),"")</f>
        <v/>
      </c>
      <c r="F1281" s="33"/>
      <c r="G1281" s="34" t="str">
        <f>IFERROR(IF(F1281&gt;=0,D1281*E1281*(1+F1281/100),ABS(D1281*E1281/F1281)),"")</f>
        <v/>
      </c>
      <c r="H1281" s="43" t="str">
        <f>IFERROR(G1281*E1275,"")</f>
        <v/>
      </c>
    </row>
    <row r="1282" spans="1:11" ht="12.75" customHeight="1">
      <c r="A1282" s="28"/>
      <c r="B1282" s="29"/>
      <c r="C1282" s="30" t="str">
        <f>IFERROR(_xlfn.XLOOKUP(B1282,Insumo[DESCRIPCION],Insumo[UND],,0),"")</f>
        <v/>
      </c>
      <c r="D1282" s="31"/>
      <c r="E1282" s="32" t="str">
        <f>IFERROR(_xlfn.XLOOKUP($B1282,Insumo[DESCRIPCION],Insumo[VALOR],,0),"")</f>
        <v/>
      </c>
      <c r="F1282" s="33"/>
      <c r="G1282" s="34" t="str">
        <f>IFERROR(IF(F1282&gt;=0,D1282*E1282*(1+F1282/100),ABS(D1282*E1282/F1282)),"")</f>
        <v/>
      </c>
      <c r="H1282" s="43" t="str">
        <f>IFERROR(G1282*E1275,"")</f>
        <v/>
      </c>
    </row>
    <row r="1283" spans="1:11" ht="12.75" customHeight="1">
      <c r="A1283" s="21"/>
      <c r="B1283" s="22" t="s">
        <v>3731</v>
      </c>
      <c r="C1283" s="23"/>
      <c r="D1283" s="24"/>
      <c r="E1283" s="25"/>
      <c r="F1283" s="26"/>
      <c r="G1283" s="27">
        <f>SUM(G1284:G1286)</f>
        <v>1615.6191365437503</v>
      </c>
      <c r="H1283" s="44">
        <f>G1283*E1275</f>
        <v>0</v>
      </c>
    </row>
    <row r="1284" spans="1:11" ht="12.75" customHeight="1">
      <c r="A1284" s="28"/>
      <c r="B1284" s="29" t="s">
        <v>3573</v>
      </c>
      <c r="C1284" s="30" t="str">
        <f>IFERROR(_xlfn.XLOOKUP(B1284,Equipo[DESCRIPCION],Equipo[UND],,0),"")</f>
        <v>%MO</v>
      </c>
      <c r="D1284" s="31">
        <v>0.1</v>
      </c>
      <c r="E1284" s="32">
        <f>IF(C1284="%MO",G1290,IFERROR(_xlfn.XLOOKUP($B1284,Equipo[DESCRIPCION],Equipo[VALOR],,0),""))</f>
        <v>10770.794243625001</v>
      </c>
      <c r="F1284" s="33"/>
      <c r="G1284" s="34">
        <f>IFERROR(IF(F1284&gt;=0,D1284*E1284*(1+F1284/100),ABS(D1284*E1284/F1284)),"")</f>
        <v>1077.0794243625003</v>
      </c>
      <c r="H1284" s="43">
        <f>IFERROR(G1284*E1275,"")</f>
        <v>0</v>
      </c>
    </row>
    <row r="1285" spans="1:11" ht="12.75" customHeight="1">
      <c r="A1285" s="28"/>
      <c r="B1285" s="29" t="s">
        <v>3626</v>
      </c>
      <c r="C1285" s="30" t="str">
        <f>IFERROR(_xlfn.XLOOKUP(B1285,Equipo[DESCRIPCION],Equipo[UND],,0),"")</f>
        <v>%MO</v>
      </c>
      <c r="D1285" s="31">
        <v>0.05</v>
      </c>
      <c r="E1285" s="32">
        <f>IF(C1285="%MO",G1290,IFERROR(_xlfn.XLOOKUP($B1285,Equipo[DESCRIPCION],Equipo[VALOR],,0),""))</f>
        <v>10770.794243625001</v>
      </c>
      <c r="F1285" s="33"/>
      <c r="G1285" s="34">
        <f>IFERROR(IF(F1285&gt;=0,D1285*E1285*(1+F1285/100),ABS(D1285*E1285/F1285)),"")</f>
        <v>538.53971218125014</v>
      </c>
      <c r="H1285" s="43">
        <f>IFERROR(G1285*E1275,"")</f>
        <v>0</v>
      </c>
    </row>
    <row r="1286" spans="1:11" ht="12.75" customHeight="1">
      <c r="A1286" s="28"/>
      <c r="B1286" s="29"/>
      <c r="C1286" s="30" t="str">
        <f>IFERROR(_xlfn.XLOOKUP(B1286,Equipo[DESCRIPCION],Equipo[UND],,0),"")</f>
        <v/>
      </c>
      <c r="D1286" s="31"/>
      <c r="E1286" s="32" t="str">
        <f>IF(C1286="%MO",G1290,IFERROR(_xlfn.XLOOKUP($B1286,Equipo[DESCRIPCION],Equipo[VALOR],,0),""))</f>
        <v/>
      </c>
      <c r="F1286" s="33"/>
      <c r="G1286" s="34" t="str">
        <f>IFERROR(IF(F1286&gt;=0,D1286*E1286*(1+F1286/100),ABS(D1286*E1286/F1286)),"")</f>
        <v/>
      </c>
      <c r="H1286" s="43" t="str">
        <f>IFERROR(G1286*E1275,"")</f>
        <v/>
      </c>
    </row>
    <row r="1287" spans="1:11" ht="12.75" customHeight="1">
      <c r="A1287" s="21"/>
      <c r="B1287" s="22" t="s">
        <v>2533</v>
      </c>
      <c r="C1287" s="23"/>
      <c r="D1287" s="24"/>
      <c r="E1287" s="25"/>
      <c r="F1287" s="26"/>
      <c r="G1287" s="27">
        <f>SUM(G1288:G1289)</f>
        <v>0</v>
      </c>
      <c r="H1287" s="44">
        <f>G1287*E1275</f>
        <v>0</v>
      </c>
    </row>
    <row r="1288" spans="1:11" ht="12.75" customHeight="1">
      <c r="A1288" s="28"/>
      <c r="B1288" s="29"/>
      <c r="C1288" s="30" t="str">
        <f>IFERROR(_xlfn.XLOOKUP(B1288,Transporte[DESCRIPCION],Transporte[UND],,0),"")</f>
        <v/>
      </c>
      <c r="D1288" s="31"/>
      <c r="E1288" s="32" t="str">
        <f>IFERROR(_xlfn.XLOOKUP($B1288,Transporte[DESCRIPCION],Transporte[VALOR],,0),"")</f>
        <v/>
      </c>
      <c r="F1288" s="33"/>
      <c r="G1288" s="34" t="str">
        <f>IFERROR(IF(F1288&gt;=0,D1288*E1288*(1+F1288/100),ABS(D1288*E1288/F1288)),"")</f>
        <v/>
      </c>
      <c r="H1288" s="43" t="str">
        <f>IFERROR(G1288*E1275,"")</f>
        <v/>
      </c>
    </row>
    <row r="1289" spans="1:11" ht="12.75" customHeight="1">
      <c r="A1289" s="28"/>
      <c r="B1289" s="29"/>
      <c r="C1289" s="30" t="str">
        <f>IFERROR(_xlfn.XLOOKUP(B1289,Transporte[DESCRIPCION],Transporte[UND],,0),"")</f>
        <v/>
      </c>
      <c r="D1289" s="31"/>
      <c r="E1289" s="32" t="str">
        <f>IFERROR(_xlfn.XLOOKUP($B1289,Transporte[DESCRIPCION],Transporte[VALOR],,0),"")</f>
        <v/>
      </c>
      <c r="F1289" s="33"/>
      <c r="G1289" s="34" t="str">
        <f>IFERROR(IF(F1289&gt;=0,D1289*E1289*(1+F1289/100),ABS(D1289*E1289/F1289)),"")</f>
        <v/>
      </c>
      <c r="H1289" s="43" t="str">
        <f>IFERROR(G1289*E1275,"")</f>
        <v/>
      </c>
    </row>
    <row r="1290" spans="1:11" ht="12.75" customHeight="1">
      <c r="A1290" s="21"/>
      <c r="B1290" s="22" t="s">
        <v>3732</v>
      </c>
      <c r="C1290" s="23"/>
      <c r="D1290" s="24"/>
      <c r="E1290" s="25"/>
      <c r="F1290" s="26"/>
      <c r="G1290" s="27">
        <f>SUM(G1291:G1293)</f>
        <v>10770.794243625001</v>
      </c>
      <c r="H1290" s="44">
        <f>G1290*E1275</f>
        <v>0</v>
      </c>
    </row>
    <row r="1291" spans="1:11" ht="12.75" customHeight="1">
      <c r="A1291" s="28"/>
      <c r="B1291" s="29" t="s">
        <v>3711</v>
      </c>
      <c r="C1291" s="30" t="str">
        <f>IFERROR(_xlfn.XLOOKUP(B1291,MObra[DESCRIPCION],MObra[UN],,0),"")</f>
        <v>día</v>
      </c>
      <c r="D1291" s="31">
        <v>1</v>
      </c>
      <c r="E1291" s="32">
        <f>IFERROR(_xlfn.XLOOKUP($B1291,MObra[DESCRIPCION],MObra[VALOR UNIT],,0),"")</f>
        <v>430831.76974500006</v>
      </c>
      <c r="F1291" s="33">
        <v>-40</v>
      </c>
      <c r="G1291" s="34">
        <f>IFERROR(IF(F1291&gt;=0,D1291*E1291*(1+F1291/100),ABS(D1291*E1291/F1291)),"")</f>
        <v>10770.794243625001</v>
      </c>
      <c r="H1291" s="43">
        <f>IFERROR(G1291*E1275,"")</f>
        <v>0</v>
      </c>
    </row>
    <row r="1292" spans="1:11" ht="12.75" customHeight="1">
      <c r="A1292" s="28"/>
      <c r="B1292" s="29"/>
      <c r="C1292" s="30" t="str">
        <f t="array" ref="C1292">IFERROR(_xlfn.XLOOKUP(B1292,MObra[[#All],[DESCRIPCION]],MObra[[#All],[UN]],,0),"")</f>
        <v/>
      </c>
      <c r="D1292" s="31"/>
      <c r="E1292" s="32" t="str">
        <f>IFERROR(_xlfn.XLOOKUP($B1292,MObra[DESCRIPCION],MObra[VALOR UNIT],,0),"")</f>
        <v/>
      </c>
      <c r="F1292" s="33"/>
      <c r="G1292" s="34" t="str">
        <f>IFERROR(IF(F1292&gt;=0,D1292*E1292*(1+F1292/100),ABS(D1292*E1292/F1292)),"")</f>
        <v/>
      </c>
      <c r="H1292" s="43" t="str">
        <f>IFERROR(G1292*E1275,"")</f>
        <v/>
      </c>
    </row>
    <row r="1293" spans="1:11" ht="12.75" customHeight="1" thickBot="1">
      <c r="A1293" s="35"/>
      <c r="B1293" s="36"/>
      <c r="C1293" s="37" t="str">
        <f t="array" ref="C1293">IFERROR(_xlfn.XLOOKUP(B1293,MObra[[#All],[DESCRIPCION]],MObra[[#All],[UN]],,0),"")</f>
        <v/>
      </c>
      <c r="D1293" s="38"/>
      <c r="E1293" s="39" t="str">
        <f>IFERROR(_xlfn.XLOOKUP($B1293,MObra[DESCRIPCION],MObra[VALOR UNIT],,0),"")</f>
        <v/>
      </c>
      <c r="F1293" s="40"/>
      <c r="G1293" s="41" t="str">
        <f>IFERROR(IF(F1293&gt;=0,D1293*E1293*(1+F1293/100),ABS(D1293*E1293/F1293)),"")</f>
        <v/>
      </c>
      <c r="H1293" s="42" t="str">
        <f>IFERROR(G1293*E1275,"")</f>
        <v/>
      </c>
    </row>
    <row r="1294" spans="1:11" ht="12.75" customHeight="1" thickTop="1" thickBot="1"/>
    <row r="1295" spans="1:11" ht="12.75" customHeight="1" thickTop="1" thickBot="1">
      <c r="A1295" s="6" t="s">
        <v>1221</v>
      </c>
      <c r="B1295" s="7" t="str">
        <f>VLOOKUP($A1295,Presupuesto!$A:$D,2,FALSE())</f>
        <v>Cubierta teja ondulada FC</v>
      </c>
      <c r="C1295" s="8" t="str">
        <f>VLOOKUP($A1295,Presupuesto!$A:$D,3,FALSE())</f>
        <v>M2</v>
      </c>
      <c r="D1295" s="9"/>
      <c r="E1295" s="10">
        <f>VLOOKUP($A1295,Presupuesto!$A:$D,4,FALSE())</f>
        <v>0</v>
      </c>
      <c r="F1295" s="11" t="s">
        <v>2589</v>
      </c>
      <c r="G1295" s="12">
        <f>SUM(G1297:G1313)/2</f>
        <v>49452.519421987497</v>
      </c>
      <c r="H1295" s="13">
        <f>ROUND(SUM(H1297:H1313),0)/2</f>
        <v>0</v>
      </c>
      <c r="I1295" s="10">
        <f>VLOOKUP(A1295,Presupuesto!$A:$F,6,0)</f>
        <v>0</v>
      </c>
      <c r="J1295" s="10">
        <f>+H1295-I1295</f>
        <v>0</v>
      </c>
      <c r="K1295" s="46">
        <f>+H1295-G1295*E1295</f>
        <v>0</v>
      </c>
    </row>
    <row r="1296" spans="1:11" ht="12.75" customHeight="1" thickTop="1">
      <c r="A1296" s="14"/>
      <c r="B1296" s="15" t="s">
        <v>2586</v>
      </c>
      <c r="C1296" s="15" t="s">
        <v>5</v>
      </c>
      <c r="D1296" s="16" t="s">
        <v>6</v>
      </c>
      <c r="E1296" s="17" t="s">
        <v>7</v>
      </c>
      <c r="F1296" s="18" t="s">
        <v>3728</v>
      </c>
      <c r="G1296" s="19" t="s">
        <v>3729</v>
      </c>
      <c r="H1296" s="20" t="s">
        <v>3797</v>
      </c>
    </row>
    <row r="1297" spans="1:8" ht="12.75" customHeight="1">
      <c r="A1297" s="21"/>
      <c r="B1297" s="22" t="s">
        <v>3730</v>
      </c>
      <c r="C1297" s="23"/>
      <c r="D1297" s="24"/>
      <c r="E1297" s="25"/>
      <c r="F1297" s="26"/>
      <c r="G1297" s="27">
        <f>SUM(G1298:G1302)</f>
        <v>25843.072500000002</v>
      </c>
      <c r="H1297" s="27">
        <f>IFERROR(G1297*E1295,"")</f>
        <v>0</v>
      </c>
    </row>
    <row r="1298" spans="1:8" ht="12.75" customHeight="1">
      <c r="A1298" s="28"/>
      <c r="B1298" s="29" t="s">
        <v>3378</v>
      </c>
      <c r="C1298" s="30" t="str">
        <f>IFERROR(_xlfn.XLOOKUP(B1298,Insumo[DESCRIPCION],Insumo[UND],,0),"")</f>
        <v>M2</v>
      </c>
      <c r="D1298" s="31">
        <v>1</v>
      </c>
      <c r="E1298" s="32">
        <f>IFERROR(_xlfn.XLOOKUP($B1298,Insumo[DESCRIPCION],Insumo[VALOR],,0),"")</f>
        <v>22164.45</v>
      </c>
      <c r="F1298" s="33">
        <v>5</v>
      </c>
      <c r="G1298" s="34">
        <f>IFERROR(IF(F1298&gt;=0,D1298*E1298*(1+F1298/100),ABS(D1298*E1298/F1298)),"")</f>
        <v>23272.672500000001</v>
      </c>
      <c r="H1298" s="43">
        <f>IFERROR(G1298*E1295,"")</f>
        <v>0</v>
      </c>
    </row>
    <row r="1299" spans="1:8" ht="12.75" customHeight="1">
      <c r="A1299" s="28"/>
      <c r="B1299" s="29" t="s">
        <v>2962</v>
      </c>
      <c r="C1299" s="30" t="str">
        <f>IFERROR(_xlfn.XLOOKUP(B1299,Insumo[DESCRIPCION],Insumo[UND],,0),"")</f>
        <v xml:space="preserve"> Un </v>
      </c>
      <c r="D1299" s="31">
        <v>2</v>
      </c>
      <c r="E1299" s="32">
        <f>IFERROR(_xlfn.XLOOKUP($B1299,Insumo[DESCRIPCION],Insumo[VALOR],,0),"")</f>
        <v>1285.2</v>
      </c>
      <c r="F1299" s="33"/>
      <c r="G1299" s="34">
        <f>IFERROR(IF(F1299&gt;=0,D1299*E1299*(1+F1299/100),ABS(D1299*E1299/F1299)),"")</f>
        <v>2570.4</v>
      </c>
      <c r="H1299" s="43">
        <f>IFERROR(G1299*E1295,"")</f>
        <v>0</v>
      </c>
    </row>
    <row r="1300" spans="1:8" ht="12.75" customHeight="1">
      <c r="A1300" s="28"/>
      <c r="B1300" s="29"/>
      <c r="C1300" s="30" t="str">
        <f>IFERROR(_xlfn.XLOOKUP(B1300,Insumo[DESCRIPCION],Insumo[UND],,0),"")</f>
        <v/>
      </c>
      <c r="D1300" s="31"/>
      <c r="E1300" s="32" t="str">
        <f>IFERROR(_xlfn.XLOOKUP($B1300,Insumo[DESCRIPCION],Insumo[VALOR],,0),"")</f>
        <v/>
      </c>
      <c r="F1300" s="33"/>
      <c r="G1300" s="34" t="str">
        <f>IFERROR(IF(F1300&gt;=0,D1300*E1300*(1+F1300/100),ABS(D1300*E1300/F1300)),"")</f>
        <v/>
      </c>
      <c r="H1300" s="43" t="str">
        <f>IFERROR(G1300*E1295,"")</f>
        <v/>
      </c>
    </row>
    <row r="1301" spans="1:8" ht="12.75" customHeight="1">
      <c r="A1301" s="28"/>
      <c r="B1301" s="29"/>
      <c r="C1301" s="30" t="str">
        <f>IFERROR(_xlfn.XLOOKUP(B1301,Insumo[DESCRIPCION],Insumo[UND],,0),"")</f>
        <v/>
      </c>
      <c r="D1301" s="31"/>
      <c r="E1301" s="32" t="str">
        <f>IFERROR(_xlfn.XLOOKUP($B1301,Insumo[DESCRIPCION],Insumo[VALOR],,0),"")</f>
        <v/>
      </c>
      <c r="F1301" s="33"/>
      <c r="G1301" s="34" t="str">
        <f>IFERROR(IF(F1301&gt;=0,D1301*E1301*(1+F1301/100),ABS(D1301*E1301/F1301)),"")</f>
        <v/>
      </c>
      <c r="H1301" s="43" t="str">
        <f>IFERROR(G1301*E1295,"")</f>
        <v/>
      </c>
    </row>
    <row r="1302" spans="1:8" ht="12.75" customHeight="1">
      <c r="A1302" s="28"/>
      <c r="B1302" s="29"/>
      <c r="C1302" s="30" t="str">
        <f>IFERROR(_xlfn.XLOOKUP(B1302,Insumo[DESCRIPCION],Insumo[UND],,0),"")</f>
        <v/>
      </c>
      <c r="D1302" s="31"/>
      <c r="E1302" s="32" t="str">
        <f>IFERROR(_xlfn.XLOOKUP($B1302,Insumo[DESCRIPCION],Insumo[VALOR],,0),"")</f>
        <v/>
      </c>
      <c r="F1302" s="33"/>
      <c r="G1302" s="34" t="str">
        <f>IFERROR(IF(F1302&gt;=0,D1302*E1302*(1+F1302/100),ABS(D1302*E1302/F1302)),"")</f>
        <v/>
      </c>
      <c r="H1302" s="43" t="str">
        <f>IFERROR(G1302*E1295,"")</f>
        <v/>
      </c>
    </row>
    <row r="1303" spans="1:8" ht="12.75" customHeight="1">
      <c r="A1303" s="21"/>
      <c r="B1303" s="22" t="s">
        <v>3731</v>
      </c>
      <c r="C1303" s="23"/>
      <c r="D1303" s="24"/>
      <c r="E1303" s="25"/>
      <c r="F1303" s="26"/>
      <c r="G1303" s="27">
        <f>SUM(G1304:G1306)</f>
        <v>7889.9093772374999</v>
      </c>
      <c r="H1303" s="44">
        <f>G1303*E1295</f>
        <v>0</v>
      </c>
    </row>
    <row r="1304" spans="1:8" ht="12.75" customHeight="1">
      <c r="A1304" s="28"/>
      <c r="B1304" s="29" t="s">
        <v>3575</v>
      </c>
      <c r="C1304" s="30" t="str">
        <f>IFERROR(_xlfn.XLOOKUP(B1304,Equipo[DESCRIPCION],Equipo[UND],,0),"")</f>
        <v>Día</v>
      </c>
      <c r="D1304" s="31">
        <v>1</v>
      </c>
      <c r="E1304" s="32">
        <f>IF(C1304="%MO",G1310,IFERROR(_xlfn.XLOOKUP($B1304,Equipo[DESCRIPCION],Equipo[VALOR],,0),""))</f>
        <v>142078.65</v>
      </c>
      <c r="F1304" s="33">
        <v>-20</v>
      </c>
      <c r="G1304" s="34">
        <f>IFERROR(IF(F1304&gt;=0,D1304*E1304*(1+F1304/100),ABS(D1304*E1304/F1304)),"")</f>
        <v>7103.9324999999999</v>
      </c>
      <c r="H1304" s="43">
        <f>IFERROR(G1304*E1295,"")</f>
        <v>0</v>
      </c>
    </row>
    <row r="1305" spans="1:8" ht="12.75" customHeight="1">
      <c r="A1305" s="28"/>
      <c r="B1305" s="29" t="s">
        <v>3626</v>
      </c>
      <c r="C1305" s="30" t="str">
        <f>IFERROR(_xlfn.XLOOKUP(B1305,Equipo[DESCRIPCION],Equipo[UND],,0),"")</f>
        <v>%MO</v>
      </c>
      <c r="D1305" s="31">
        <v>0.05</v>
      </c>
      <c r="E1305" s="32">
        <f>IF(C1305="%MO",G1310,IFERROR(_xlfn.XLOOKUP($B1305,Equipo[DESCRIPCION],Equipo[VALOR],,0),""))</f>
        <v>15719.537544750003</v>
      </c>
      <c r="F1305" s="33"/>
      <c r="G1305" s="34">
        <f>IFERROR(IF(F1305&gt;=0,D1305*E1305*(1+F1305/100),ABS(D1305*E1305/F1305)),"")</f>
        <v>785.97687723750016</v>
      </c>
      <c r="H1305" s="43">
        <f>IFERROR(G1305*E1295,"")</f>
        <v>0</v>
      </c>
    </row>
    <row r="1306" spans="1:8" ht="12.75" customHeight="1">
      <c r="A1306" s="28"/>
      <c r="B1306" s="29"/>
      <c r="C1306" s="30" t="str">
        <f>IFERROR(_xlfn.XLOOKUP(B1306,Equipo[DESCRIPCION],Equipo[UND],,0),"")</f>
        <v/>
      </c>
      <c r="D1306" s="31"/>
      <c r="E1306" s="32" t="str">
        <f>IF(C1306="%MO",G1310,IFERROR(_xlfn.XLOOKUP($B1306,Equipo[DESCRIPCION],Equipo[VALOR],,0),""))</f>
        <v/>
      </c>
      <c r="F1306" s="33"/>
      <c r="G1306" s="34" t="str">
        <f>IFERROR(IF(F1306&gt;=0,D1306*E1306*(1+F1306/100),ABS(D1306*E1306/F1306)),"")</f>
        <v/>
      </c>
      <c r="H1306" s="43" t="str">
        <f>IFERROR(G1306*E1295,"")</f>
        <v/>
      </c>
    </row>
    <row r="1307" spans="1:8" ht="12.75" customHeight="1">
      <c r="A1307" s="21"/>
      <c r="B1307" s="22" t="s">
        <v>2533</v>
      </c>
      <c r="C1307" s="23"/>
      <c r="D1307" s="24"/>
      <c r="E1307" s="25"/>
      <c r="F1307" s="26"/>
      <c r="G1307" s="27">
        <f>SUM(G1308:G1309)</f>
        <v>0</v>
      </c>
      <c r="H1307" s="44">
        <f>G1307*E1295</f>
        <v>0</v>
      </c>
    </row>
    <row r="1308" spans="1:8" ht="12.75" customHeight="1">
      <c r="A1308" s="28"/>
      <c r="B1308" s="29"/>
      <c r="C1308" s="30" t="str">
        <f>IFERROR(_xlfn.XLOOKUP(B1308,Transporte[DESCRIPCION],Transporte[UND],,0),"")</f>
        <v/>
      </c>
      <c r="D1308" s="31"/>
      <c r="E1308" s="32" t="str">
        <f>IFERROR(_xlfn.XLOOKUP($B1308,Transporte[DESCRIPCION],Transporte[VALOR],,0),"")</f>
        <v/>
      </c>
      <c r="F1308" s="33"/>
      <c r="G1308" s="34" t="str">
        <f>IFERROR(IF(F1308&gt;=0,D1308*E1308*(1+F1308/100),ABS(D1308*E1308/F1308)),"")</f>
        <v/>
      </c>
      <c r="H1308" s="43" t="str">
        <f>IFERROR(G1308*E1295,"")</f>
        <v/>
      </c>
    </row>
    <row r="1309" spans="1:8" ht="12.75" customHeight="1">
      <c r="A1309" s="28"/>
      <c r="B1309" s="29"/>
      <c r="C1309" s="30" t="str">
        <f>IFERROR(_xlfn.XLOOKUP(B1309,Transporte[DESCRIPCION],Transporte[UND],,0),"")</f>
        <v/>
      </c>
      <c r="D1309" s="31"/>
      <c r="E1309" s="32" t="str">
        <f>IFERROR(_xlfn.XLOOKUP($B1309,Transporte[DESCRIPCION],Transporte[VALOR],,0),"")</f>
        <v/>
      </c>
      <c r="F1309" s="33"/>
      <c r="G1309" s="34" t="str">
        <f>IFERROR(IF(F1309&gt;=0,D1309*E1309*(1+F1309/100),ABS(D1309*E1309/F1309)),"")</f>
        <v/>
      </c>
      <c r="H1309" s="43" t="str">
        <f>IFERROR(G1309*E1295,"")</f>
        <v/>
      </c>
    </row>
    <row r="1310" spans="1:8" ht="12.75" customHeight="1">
      <c r="A1310" s="21"/>
      <c r="B1310" s="22" t="s">
        <v>3732</v>
      </c>
      <c r="C1310" s="23"/>
      <c r="D1310" s="24"/>
      <c r="E1310" s="25"/>
      <c r="F1310" s="26"/>
      <c r="G1310" s="27">
        <f>SUM(G1311:G1313)</f>
        <v>15719.537544750003</v>
      </c>
      <c r="H1310" s="44">
        <f>G1310*E1295</f>
        <v>0</v>
      </c>
    </row>
    <row r="1311" spans="1:8" ht="12.75" customHeight="1">
      <c r="A1311" s="28"/>
      <c r="B1311" s="29" t="s">
        <v>3710</v>
      </c>
      <c r="C1311" s="30" t="str">
        <f>IFERROR(_xlfn.XLOOKUP(B1311,MObra[DESCRIPCION],MObra[UN],,0),"")</f>
        <v>día</v>
      </c>
      <c r="D1311" s="31">
        <v>1</v>
      </c>
      <c r="E1311" s="32">
        <f>IFERROR(_xlfn.XLOOKUP($B1311,MObra[DESCRIPCION],MObra[VALOR UNIT],,0),"")</f>
        <v>314390.75089500006</v>
      </c>
      <c r="F1311" s="33">
        <v>-20</v>
      </c>
      <c r="G1311" s="34">
        <f>IFERROR(IF(F1311&gt;=0,D1311*E1311*(1+F1311/100),ABS(D1311*E1311/F1311)),"")</f>
        <v>15719.537544750003</v>
      </c>
      <c r="H1311" s="43">
        <f>IFERROR(G1311*E1295,"")</f>
        <v>0</v>
      </c>
    </row>
    <row r="1312" spans="1:8" ht="12.75" customHeight="1">
      <c r="A1312" s="28"/>
      <c r="B1312" s="29"/>
      <c r="C1312" s="30" t="str">
        <f t="array" ref="C1312">IFERROR(_xlfn.XLOOKUP(B1312,MObra[[#All],[DESCRIPCION]],MObra[[#All],[UN]],,0),"")</f>
        <v/>
      </c>
      <c r="D1312" s="31"/>
      <c r="E1312" s="32" t="str">
        <f>IFERROR(_xlfn.XLOOKUP($B1312,MObra[DESCRIPCION],MObra[VALOR UNIT],,0),"")</f>
        <v/>
      </c>
      <c r="F1312" s="33"/>
      <c r="G1312" s="34" t="str">
        <f>IFERROR(IF(F1312&gt;=0,D1312*E1312*(1+F1312/100),ABS(D1312*E1312/F1312)),"")</f>
        <v/>
      </c>
      <c r="H1312" s="43" t="str">
        <f>IFERROR(G1312*E1295,"")</f>
        <v/>
      </c>
    </row>
    <row r="1313" spans="1:11" ht="12.75" customHeight="1" thickBot="1">
      <c r="A1313" s="35"/>
      <c r="B1313" s="36"/>
      <c r="C1313" s="37" t="str">
        <f t="array" ref="C1313">IFERROR(_xlfn.XLOOKUP(B1313,MObra[[#All],[DESCRIPCION]],MObra[[#All],[UN]],,0),"")</f>
        <v/>
      </c>
      <c r="D1313" s="38"/>
      <c r="E1313" s="39" t="str">
        <f>IFERROR(_xlfn.XLOOKUP($B1313,MObra[DESCRIPCION],MObra[VALOR UNIT],,0),"")</f>
        <v/>
      </c>
      <c r="F1313" s="40"/>
      <c r="G1313" s="41" t="str">
        <f>IFERROR(IF(F1313&gt;=0,D1313*E1313*(1+F1313/100),ABS(D1313*E1313/F1313)),"")</f>
        <v/>
      </c>
      <c r="H1313" s="42" t="str">
        <f>IFERROR(G1313*E1295,"")</f>
        <v/>
      </c>
    </row>
    <row r="1314" spans="1:11" ht="12.75" customHeight="1" thickTop="1" thickBot="1"/>
    <row r="1315" spans="1:11" ht="12.75" customHeight="1" thickTop="1" thickBot="1">
      <c r="A1315" s="6" t="s">
        <v>1223</v>
      </c>
      <c r="B1315" s="7" t="str">
        <f>VLOOKUP($A1315,Presupuesto!$A:$D,2,FALSE())</f>
        <v>Cubierta teja ondulada FC pintada una cara</v>
      </c>
      <c r="C1315" s="8" t="str">
        <f>VLOOKUP($A1315,Presupuesto!$A:$D,3,FALSE())</f>
        <v>M2</v>
      </c>
      <c r="D1315" s="9"/>
      <c r="E1315" s="10">
        <f>VLOOKUP($A1315,Presupuesto!$A:$D,4,FALSE())</f>
        <v>0</v>
      </c>
      <c r="F1315" s="11" t="s">
        <v>2589</v>
      </c>
      <c r="G1315" s="12">
        <f>SUM(G1317:G1333)/2</f>
        <v>69095.019062649997</v>
      </c>
      <c r="H1315" s="13">
        <f>ROUND(SUM(H1317:H1333),0)/2</f>
        <v>0</v>
      </c>
      <c r="I1315" s="10">
        <f>VLOOKUP(A1315,Presupuesto!$A:$F,6,0)</f>
        <v>0</v>
      </c>
      <c r="J1315" s="10">
        <f>+H1315-I1315</f>
        <v>0</v>
      </c>
      <c r="K1315" s="46">
        <f>+H1315-G1315*E1315</f>
        <v>0</v>
      </c>
    </row>
    <row r="1316" spans="1:11" ht="12.75" customHeight="1" thickTop="1">
      <c r="A1316" s="14"/>
      <c r="B1316" s="15" t="s">
        <v>2586</v>
      </c>
      <c r="C1316" s="15" t="s">
        <v>5</v>
      </c>
      <c r="D1316" s="16" t="s">
        <v>6</v>
      </c>
      <c r="E1316" s="17" t="s">
        <v>7</v>
      </c>
      <c r="F1316" s="18" t="s">
        <v>3728</v>
      </c>
      <c r="G1316" s="19" t="s">
        <v>3729</v>
      </c>
      <c r="H1316" s="20" t="s">
        <v>3797</v>
      </c>
    </row>
    <row r="1317" spans="1:11" ht="12.75" customHeight="1">
      <c r="A1317" s="21"/>
      <c r="B1317" s="22" t="s">
        <v>3730</v>
      </c>
      <c r="C1317" s="23"/>
      <c r="D1317" s="24"/>
      <c r="E1317" s="25"/>
      <c r="F1317" s="26"/>
      <c r="G1317" s="27">
        <f>SUM(G1318:G1322)</f>
        <v>37615.756500000003</v>
      </c>
      <c r="H1317" s="27">
        <f>IFERROR(G1317*E1315,"")</f>
        <v>0</v>
      </c>
    </row>
    <row r="1318" spans="1:11" ht="12.75" customHeight="1">
      <c r="A1318" s="28"/>
      <c r="B1318" s="29" t="s">
        <v>3378</v>
      </c>
      <c r="C1318" s="30" t="str">
        <f>IFERROR(_xlfn.XLOOKUP(B1318,Insumo[DESCRIPCION],Insumo[UND],,0),"")</f>
        <v>M2</v>
      </c>
      <c r="D1318" s="31">
        <v>1</v>
      </c>
      <c r="E1318" s="32">
        <f>IFERROR(_xlfn.XLOOKUP($B1318,Insumo[DESCRIPCION],Insumo[VALOR],,0),"")</f>
        <v>22164.45</v>
      </c>
      <c r="F1318" s="33">
        <v>5</v>
      </c>
      <c r="G1318" s="34">
        <f>IFERROR(IF(F1318&gt;=0,D1318*E1318*(1+F1318/100),ABS(D1318*E1318/F1318)),"")</f>
        <v>23272.672500000001</v>
      </c>
      <c r="H1318" s="43">
        <f>IFERROR(G1318*E1315,"")</f>
        <v>0</v>
      </c>
    </row>
    <row r="1319" spans="1:11" ht="12.75" customHeight="1">
      <c r="A1319" s="28"/>
      <c r="B1319" s="29" t="s">
        <v>2962</v>
      </c>
      <c r="C1319" s="30" t="str">
        <f>IFERROR(_xlfn.XLOOKUP(B1319,Insumo[DESCRIPCION],Insumo[UND],,0),"")</f>
        <v xml:space="preserve"> Un </v>
      </c>
      <c r="D1319" s="31">
        <v>2</v>
      </c>
      <c r="E1319" s="32">
        <f>IFERROR(_xlfn.XLOOKUP($B1319,Insumo[DESCRIPCION],Insumo[VALOR],,0),"")</f>
        <v>1285.2</v>
      </c>
      <c r="F1319" s="33"/>
      <c r="G1319" s="34">
        <f>IFERROR(IF(F1319&gt;=0,D1319*E1319*(1+F1319/100),ABS(D1319*E1319/F1319)),"")</f>
        <v>2570.4</v>
      </c>
      <c r="H1319" s="43">
        <f>IFERROR(G1319*E1315,"")</f>
        <v>0</v>
      </c>
    </row>
    <row r="1320" spans="1:11" ht="12.75" customHeight="1">
      <c r="A1320" s="28"/>
      <c r="B1320" s="29" t="s">
        <v>3210</v>
      </c>
      <c r="C1320" s="30" t="str">
        <f>IFERROR(_xlfn.XLOOKUP(B1320,Insumo[DESCRIPCION],Insumo[UND],,0),"")</f>
        <v>galón</v>
      </c>
      <c r="D1320" s="31">
        <v>0.12</v>
      </c>
      <c r="E1320" s="32">
        <f>IFERROR(_xlfn.XLOOKUP($B1320,Insumo[DESCRIPCION],Insumo[VALOR],,0),"")</f>
        <v>98105.7</v>
      </c>
      <c r="F1320" s="33"/>
      <c r="G1320" s="34">
        <f>IFERROR(IF(F1320&gt;=0,D1320*E1320*(1+F1320/100),ABS(D1320*E1320/F1320)),"")</f>
        <v>11772.683999999999</v>
      </c>
      <c r="H1320" s="43">
        <f>IFERROR(G1320*E1315,"")</f>
        <v>0</v>
      </c>
    </row>
    <row r="1321" spans="1:11" ht="12.75" customHeight="1">
      <c r="A1321" s="28"/>
      <c r="B1321" s="29"/>
      <c r="C1321" s="30" t="str">
        <f>IFERROR(_xlfn.XLOOKUP(B1321,Insumo[DESCRIPCION],Insumo[UND],,0),"")</f>
        <v/>
      </c>
      <c r="D1321" s="31"/>
      <c r="E1321" s="32" t="str">
        <f>IFERROR(_xlfn.XLOOKUP($B1321,Insumo[DESCRIPCION],Insumo[VALOR],,0),"")</f>
        <v/>
      </c>
      <c r="F1321" s="33"/>
      <c r="G1321" s="34" t="str">
        <f>IFERROR(IF(F1321&gt;=0,D1321*E1321*(1+F1321/100),ABS(D1321*E1321/F1321)),"")</f>
        <v/>
      </c>
      <c r="H1321" s="43" t="str">
        <f>IFERROR(G1321*E1315,"")</f>
        <v/>
      </c>
    </row>
    <row r="1322" spans="1:11" ht="12.75" customHeight="1">
      <c r="A1322" s="28"/>
      <c r="B1322" s="29"/>
      <c r="C1322" s="30" t="str">
        <f>IFERROR(_xlfn.XLOOKUP(B1322,Insumo[DESCRIPCION],Insumo[UND],,0),"")</f>
        <v/>
      </c>
      <c r="D1322" s="31"/>
      <c r="E1322" s="32" t="str">
        <f>IFERROR(_xlfn.XLOOKUP($B1322,Insumo[DESCRIPCION],Insumo[VALOR],,0),"")</f>
        <v/>
      </c>
      <c r="F1322" s="33"/>
      <c r="G1322" s="34" t="str">
        <f>IFERROR(IF(F1322&gt;=0,D1322*E1322*(1+F1322/100),ABS(D1322*E1322/F1322)),"")</f>
        <v/>
      </c>
      <c r="H1322" s="43" t="str">
        <f>IFERROR(G1322*E1315,"")</f>
        <v/>
      </c>
    </row>
    <row r="1323" spans="1:11" ht="12.75" customHeight="1">
      <c r="A1323" s="21"/>
      <c r="B1323" s="22" t="s">
        <v>3731</v>
      </c>
      <c r="C1323" s="23"/>
      <c r="D1323" s="24"/>
      <c r="E1323" s="25"/>
      <c r="F1323" s="26"/>
      <c r="G1323" s="27">
        <f>SUM(G1324:G1326)</f>
        <v>10519.879169649999</v>
      </c>
      <c r="H1323" s="44">
        <f>G1323*E1315</f>
        <v>0</v>
      </c>
    </row>
    <row r="1324" spans="1:11" ht="12.75" customHeight="1">
      <c r="A1324" s="28"/>
      <c r="B1324" s="29" t="s">
        <v>3575</v>
      </c>
      <c r="C1324" s="30" t="str">
        <f>IFERROR(_xlfn.XLOOKUP(B1324,Equipo[DESCRIPCION],Equipo[UND],,0),"")</f>
        <v>Día</v>
      </c>
      <c r="D1324" s="31">
        <v>1</v>
      </c>
      <c r="E1324" s="32">
        <f>IF(C1324="%MO",G1330,IFERROR(_xlfn.XLOOKUP($B1324,Equipo[DESCRIPCION],Equipo[VALOR],,0),""))</f>
        <v>142078.65</v>
      </c>
      <c r="F1324" s="33">
        <v>-15</v>
      </c>
      <c r="G1324" s="34">
        <f>IFERROR(IF(F1324&gt;=0,D1324*E1324*(1+F1324/100),ABS(D1324*E1324/F1324)),"")</f>
        <v>9471.91</v>
      </c>
      <c r="H1324" s="43">
        <f>IFERROR(G1324*E1315,"")</f>
        <v>0</v>
      </c>
    </row>
    <row r="1325" spans="1:11" ht="12.75" customHeight="1">
      <c r="A1325" s="28"/>
      <c r="B1325" s="29" t="s">
        <v>3626</v>
      </c>
      <c r="C1325" s="30" t="str">
        <f>IFERROR(_xlfn.XLOOKUP(B1325,Equipo[DESCRIPCION],Equipo[UND],,0),"")</f>
        <v>%MO</v>
      </c>
      <c r="D1325" s="31">
        <v>0.05</v>
      </c>
      <c r="E1325" s="32">
        <f>IF(C1325="%MO",G1330,IFERROR(_xlfn.XLOOKUP($B1325,Equipo[DESCRIPCION],Equipo[VALOR],,0),""))</f>
        <v>20959.383393000004</v>
      </c>
      <c r="F1325" s="33"/>
      <c r="G1325" s="34">
        <f>IFERROR(IF(F1325&gt;=0,D1325*E1325*(1+F1325/100),ABS(D1325*E1325/F1325)),"")</f>
        <v>1047.9691696500001</v>
      </c>
      <c r="H1325" s="43">
        <f>IFERROR(G1325*E1315,"")</f>
        <v>0</v>
      </c>
    </row>
    <row r="1326" spans="1:11" ht="12.75" customHeight="1">
      <c r="A1326" s="28"/>
      <c r="B1326" s="29"/>
      <c r="C1326" s="30" t="str">
        <f>IFERROR(_xlfn.XLOOKUP(B1326,Equipo[DESCRIPCION],Equipo[UND],,0),"")</f>
        <v/>
      </c>
      <c r="D1326" s="31"/>
      <c r="E1326" s="32" t="str">
        <f>IF(C1326="%MO",G1330,IFERROR(_xlfn.XLOOKUP($B1326,Equipo[DESCRIPCION],Equipo[VALOR],,0),""))</f>
        <v/>
      </c>
      <c r="F1326" s="33"/>
      <c r="G1326" s="34" t="str">
        <f>IFERROR(IF(F1326&gt;=0,D1326*E1326*(1+F1326/100),ABS(D1326*E1326/F1326)),"")</f>
        <v/>
      </c>
      <c r="H1326" s="43" t="str">
        <f>IFERROR(G1326*E1315,"")</f>
        <v/>
      </c>
    </row>
    <row r="1327" spans="1:11" ht="12.75" customHeight="1">
      <c r="A1327" s="21"/>
      <c r="B1327" s="22" t="s">
        <v>2533</v>
      </c>
      <c r="C1327" s="23"/>
      <c r="D1327" s="24"/>
      <c r="E1327" s="25"/>
      <c r="F1327" s="26"/>
      <c r="G1327" s="27">
        <f>SUM(G1328:G1329)</f>
        <v>0</v>
      </c>
      <c r="H1327" s="44">
        <f>G1327*E1315</f>
        <v>0</v>
      </c>
    </row>
    <row r="1328" spans="1:11" ht="12.75" customHeight="1">
      <c r="A1328" s="28"/>
      <c r="B1328" s="29"/>
      <c r="C1328" s="30" t="str">
        <f>IFERROR(_xlfn.XLOOKUP(B1328,Transporte[DESCRIPCION],Transporte[UND],,0),"")</f>
        <v/>
      </c>
      <c r="D1328" s="31"/>
      <c r="E1328" s="32" t="str">
        <f>IFERROR(_xlfn.XLOOKUP($B1328,Transporte[DESCRIPCION],Transporte[VALOR],,0),"")</f>
        <v/>
      </c>
      <c r="F1328" s="33"/>
      <c r="G1328" s="34" t="str">
        <f>IFERROR(IF(F1328&gt;=0,D1328*E1328*(1+F1328/100),ABS(D1328*E1328/F1328)),"")</f>
        <v/>
      </c>
      <c r="H1328" s="43" t="str">
        <f>IFERROR(G1328*E1315,"")</f>
        <v/>
      </c>
    </row>
    <row r="1329" spans="1:11" ht="12.75" customHeight="1">
      <c r="A1329" s="28"/>
      <c r="B1329" s="29"/>
      <c r="C1329" s="30" t="str">
        <f>IFERROR(_xlfn.XLOOKUP(B1329,Transporte[DESCRIPCION],Transporte[UND],,0),"")</f>
        <v/>
      </c>
      <c r="D1329" s="31"/>
      <c r="E1329" s="32" t="str">
        <f>IFERROR(_xlfn.XLOOKUP($B1329,Transporte[DESCRIPCION],Transporte[VALOR],,0),"")</f>
        <v/>
      </c>
      <c r="F1329" s="33"/>
      <c r="G1329" s="34" t="str">
        <f>IFERROR(IF(F1329&gt;=0,D1329*E1329*(1+F1329/100),ABS(D1329*E1329/F1329)),"")</f>
        <v/>
      </c>
      <c r="H1329" s="43" t="str">
        <f>IFERROR(G1329*E1315,"")</f>
        <v/>
      </c>
    </row>
    <row r="1330" spans="1:11" ht="12.75" customHeight="1">
      <c r="A1330" s="21"/>
      <c r="B1330" s="22" t="s">
        <v>3732</v>
      </c>
      <c r="C1330" s="23"/>
      <c r="D1330" s="24"/>
      <c r="E1330" s="25"/>
      <c r="F1330" s="26"/>
      <c r="G1330" s="27">
        <f>SUM(G1331:G1333)</f>
        <v>20959.383393000004</v>
      </c>
      <c r="H1330" s="44">
        <f>G1330*E1315</f>
        <v>0</v>
      </c>
    </row>
    <row r="1331" spans="1:11" ht="12.75" customHeight="1">
      <c r="A1331" s="28"/>
      <c r="B1331" s="29" t="s">
        <v>3710</v>
      </c>
      <c r="C1331" s="30" t="str">
        <f>IFERROR(_xlfn.XLOOKUP(B1331,MObra[DESCRIPCION],MObra[UN],,0),"")</f>
        <v>día</v>
      </c>
      <c r="D1331" s="31">
        <v>1</v>
      </c>
      <c r="E1331" s="32">
        <f>IFERROR(_xlfn.XLOOKUP($B1331,MObra[DESCRIPCION],MObra[VALOR UNIT],,0),"")</f>
        <v>314390.75089500006</v>
      </c>
      <c r="F1331" s="33">
        <v>-15</v>
      </c>
      <c r="G1331" s="34">
        <f>IFERROR(IF(F1331&gt;=0,D1331*E1331*(1+F1331/100),ABS(D1331*E1331/F1331)),"")</f>
        <v>20959.383393000004</v>
      </c>
      <c r="H1331" s="43">
        <f>IFERROR(G1331*E1315,"")</f>
        <v>0</v>
      </c>
    </row>
    <row r="1332" spans="1:11" ht="12.75" customHeight="1">
      <c r="A1332" s="28"/>
      <c r="B1332" s="29"/>
      <c r="C1332" s="30" t="str">
        <f t="array" ref="C1332">IFERROR(_xlfn.XLOOKUP(B1332,MObra[[#All],[DESCRIPCION]],MObra[[#All],[UN]],,0),"")</f>
        <v/>
      </c>
      <c r="D1332" s="31"/>
      <c r="E1332" s="32" t="str">
        <f>IFERROR(_xlfn.XLOOKUP($B1332,MObra[DESCRIPCION],MObra[VALOR UNIT],,0),"")</f>
        <v/>
      </c>
      <c r="F1332" s="33"/>
      <c r="G1332" s="34" t="str">
        <f>IFERROR(IF(F1332&gt;=0,D1332*E1332*(1+F1332/100),ABS(D1332*E1332/F1332)),"")</f>
        <v/>
      </c>
      <c r="H1332" s="43" t="str">
        <f>IFERROR(G1332*E1315,"")</f>
        <v/>
      </c>
    </row>
    <row r="1333" spans="1:11" ht="12.75" customHeight="1" thickBot="1">
      <c r="A1333" s="35"/>
      <c r="B1333" s="36"/>
      <c r="C1333" s="37" t="str">
        <f t="array" ref="C1333">IFERROR(_xlfn.XLOOKUP(B1333,MObra[[#All],[DESCRIPCION]],MObra[[#All],[UN]],,0),"")</f>
        <v/>
      </c>
      <c r="D1333" s="38"/>
      <c r="E1333" s="39" t="str">
        <f>IFERROR(_xlfn.XLOOKUP($B1333,MObra[DESCRIPCION],MObra[VALOR UNIT],,0),"")</f>
        <v/>
      </c>
      <c r="F1333" s="40"/>
      <c r="G1333" s="41" t="str">
        <f>IFERROR(IF(F1333&gt;=0,D1333*E1333*(1+F1333/100),ABS(D1333*E1333/F1333)),"")</f>
        <v/>
      </c>
      <c r="H1333" s="42" t="str">
        <f>IFERROR(G1333*E1315,"")</f>
        <v/>
      </c>
    </row>
    <row r="1334" spans="1:11" ht="12.75" customHeight="1" thickTop="1" thickBot="1"/>
    <row r="1335" spans="1:11" ht="12.75" customHeight="1" thickTop="1" thickBot="1">
      <c r="A1335" s="6" t="s">
        <v>1225</v>
      </c>
      <c r="B1335" s="7" t="str">
        <f>VLOOKUP($A1335,Presupuesto!$A:$D,2,FALSE())</f>
        <v>Cubierta teja ondulada tipo española</v>
      </c>
      <c r="C1335" s="8" t="str">
        <f>VLOOKUP($A1335,Presupuesto!$A:$D,3,FALSE())</f>
        <v>M2</v>
      </c>
      <c r="D1335" s="9"/>
      <c r="E1335" s="10">
        <f>VLOOKUP($A1335,Presupuesto!$A:$D,4,FALSE())</f>
        <v>0</v>
      </c>
      <c r="F1335" s="11" t="s">
        <v>2589</v>
      </c>
      <c r="G1335" s="12">
        <f>SUM(G1337:G1353)/2</f>
        <v>99509.326921987493</v>
      </c>
      <c r="H1335" s="13">
        <f>ROUND(SUM(H1337:H1353),0)/2</f>
        <v>0</v>
      </c>
      <c r="I1335" s="10">
        <f>VLOOKUP(A1335,Presupuesto!$A:$F,6,0)</f>
        <v>0</v>
      </c>
      <c r="J1335" s="10">
        <f>+H1335-I1335</f>
        <v>0</v>
      </c>
      <c r="K1335" s="46">
        <f>+H1335-G1335*E1335</f>
        <v>0</v>
      </c>
    </row>
    <row r="1336" spans="1:11" ht="12.75" customHeight="1" thickTop="1">
      <c r="A1336" s="14"/>
      <c r="B1336" s="15" t="s">
        <v>2586</v>
      </c>
      <c r="C1336" s="15" t="s">
        <v>5</v>
      </c>
      <c r="D1336" s="16" t="s">
        <v>6</v>
      </c>
      <c r="E1336" s="17" t="s">
        <v>7</v>
      </c>
      <c r="F1336" s="18" t="s">
        <v>3728</v>
      </c>
      <c r="G1336" s="19" t="s">
        <v>3729</v>
      </c>
      <c r="H1336" s="20" t="s">
        <v>3797</v>
      </c>
    </row>
    <row r="1337" spans="1:11" ht="12.75" customHeight="1">
      <c r="A1337" s="21"/>
      <c r="B1337" s="22" t="s">
        <v>3730</v>
      </c>
      <c r="C1337" s="23"/>
      <c r="D1337" s="24"/>
      <c r="E1337" s="25"/>
      <c r="F1337" s="26"/>
      <c r="G1337" s="27">
        <f>SUM(G1338:G1342)</f>
        <v>75899.88</v>
      </c>
      <c r="H1337" s="27">
        <f>IFERROR(G1337*E1335,"")</f>
        <v>0</v>
      </c>
    </row>
    <row r="1338" spans="1:11" ht="12.75" customHeight="1">
      <c r="A1338" s="28"/>
      <c r="B1338" s="29" t="s">
        <v>3377</v>
      </c>
      <c r="C1338" s="30" t="str">
        <f>IFERROR(_xlfn.XLOOKUP(B1338,Insumo[DESCRIPCION],Insumo[UND],,0),"")</f>
        <v>M2</v>
      </c>
      <c r="D1338" s="31">
        <v>1</v>
      </c>
      <c r="E1338" s="32">
        <f>IFERROR(_xlfn.XLOOKUP($B1338,Insumo[DESCRIPCION],Insumo[VALOR],,0),"")</f>
        <v>69837.600000000006</v>
      </c>
      <c r="F1338" s="33">
        <v>5</v>
      </c>
      <c r="G1338" s="34">
        <f>IFERROR(IF(F1338&gt;=0,D1338*E1338*(1+F1338/100),ABS(D1338*E1338/F1338)),"")</f>
        <v>73329.48000000001</v>
      </c>
      <c r="H1338" s="43">
        <f>IFERROR(G1338*E1335,"")</f>
        <v>0</v>
      </c>
    </row>
    <row r="1339" spans="1:11" ht="12.75" customHeight="1">
      <c r="A1339" s="28"/>
      <c r="B1339" s="29" t="s">
        <v>2962</v>
      </c>
      <c r="C1339" s="30" t="str">
        <f>IFERROR(_xlfn.XLOOKUP(B1339,Insumo[DESCRIPCION],Insumo[UND],,0),"")</f>
        <v xml:space="preserve"> Un </v>
      </c>
      <c r="D1339" s="31">
        <v>2</v>
      </c>
      <c r="E1339" s="32">
        <f>IFERROR(_xlfn.XLOOKUP($B1339,Insumo[DESCRIPCION],Insumo[VALOR],,0),"")</f>
        <v>1285.2</v>
      </c>
      <c r="F1339" s="33"/>
      <c r="G1339" s="34">
        <f>IFERROR(IF(F1339&gt;=0,D1339*E1339*(1+F1339/100),ABS(D1339*E1339/F1339)),"")</f>
        <v>2570.4</v>
      </c>
      <c r="H1339" s="43">
        <f>IFERROR(G1339*E1335,"")</f>
        <v>0</v>
      </c>
    </row>
    <row r="1340" spans="1:11" ht="12.75" customHeight="1">
      <c r="A1340" s="28"/>
      <c r="B1340" s="29"/>
      <c r="C1340" s="30" t="str">
        <f>IFERROR(_xlfn.XLOOKUP(B1340,Insumo[DESCRIPCION],Insumo[UND],,0),"")</f>
        <v/>
      </c>
      <c r="D1340" s="31"/>
      <c r="E1340" s="32" t="str">
        <f>IFERROR(_xlfn.XLOOKUP($B1340,Insumo[DESCRIPCION],Insumo[VALOR],,0),"")</f>
        <v/>
      </c>
      <c r="F1340" s="33"/>
      <c r="G1340" s="34" t="str">
        <f>IFERROR(IF(F1340&gt;=0,D1340*E1340*(1+F1340/100),ABS(D1340*E1340/F1340)),"")</f>
        <v/>
      </c>
      <c r="H1340" s="43" t="str">
        <f>IFERROR(G1340*E1335,"")</f>
        <v/>
      </c>
    </row>
    <row r="1341" spans="1:11" ht="12.75" customHeight="1">
      <c r="A1341" s="28"/>
      <c r="B1341" s="29"/>
      <c r="C1341" s="30" t="str">
        <f>IFERROR(_xlfn.XLOOKUP(B1341,Insumo[DESCRIPCION],Insumo[UND],,0),"")</f>
        <v/>
      </c>
      <c r="D1341" s="31"/>
      <c r="E1341" s="32" t="str">
        <f>IFERROR(_xlfn.XLOOKUP($B1341,Insumo[DESCRIPCION],Insumo[VALOR],,0),"")</f>
        <v/>
      </c>
      <c r="F1341" s="33"/>
      <c r="G1341" s="34" t="str">
        <f>IFERROR(IF(F1341&gt;=0,D1341*E1341*(1+F1341/100),ABS(D1341*E1341/F1341)),"")</f>
        <v/>
      </c>
      <c r="H1341" s="43" t="str">
        <f>IFERROR(G1341*E1335,"")</f>
        <v/>
      </c>
    </row>
    <row r="1342" spans="1:11" ht="12.75" customHeight="1">
      <c r="A1342" s="28"/>
      <c r="B1342" s="29"/>
      <c r="C1342" s="30" t="str">
        <f>IFERROR(_xlfn.XLOOKUP(B1342,Insumo[DESCRIPCION],Insumo[UND],,0),"")</f>
        <v/>
      </c>
      <c r="D1342" s="31"/>
      <c r="E1342" s="32" t="str">
        <f>IFERROR(_xlfn.XLOOKUP($B1342,Insumo[DESCRIPCION],Insumo[VALOR],,0),"")</f>
        <v/>
      </c>
      <c r="F1342" s="33"/>
      <c r="G1342" s="34" t="str">
        <f>IFERROR(IF(F1342&gt;=0,D1342*E1342*(1+F1342/100),ABS(D1342*E1342/F1342)),"")</f>
        <v/>
      </c>
      <c r="H1342" s="43" t="str">
        <f>IFERROR(G1342*E1335,"")</f>
        <v/>
      </c>
    </row>
    <row r="1343" spans="1:11" ht="12.75" customHeight="1">
      <c r="A1343" s="21"/>
      <c r="B1343" s="22" t="s">
        <v>3731</v>
      </c>
      <c r="C1343" s="23"/>
      <c r="D1343" s="24"/>
      <c r="E1343" s="25"/>
      <c r="F1343" s="26"/>
      <c r="G1343" s="27">
        <f>SUM(G1344:G1346)</f>
        <v>7889.9093772374999</v>
      </c>
      <c r="H1343" s="44">
        <f>G1343*E1335</f>
        <v>0</v>
      </c>
    </row>
    <row r="1344" spans="1:11" ht="12.75" customHeight="1">
      <c r="A1344" s="28"/>
      <c r="B1344" s="29" t="s">
        <v>3575</v>
      </c>
      <c r="C1344" s="30" t="str">
        <f>IFERROR(_xlfn.XLOOKUP(B1344,Equipo[DESCRIPCION],Equipo[UND],,0),"")</f>
        <v>Día</v>
      </c>
      <c r="D1344" s="31">
        <v>1</v>
      </c>
      <c r="E1344" s="32">
        <f>IF(C1344="%MO",G1350,IFERROR(_xlfn.XLOOKUP($B1344,Equipo[DESCRIPCION],Equipo[VALOR],,0),""))</f>
        <v>142078.65</v>
      </c>
      <c r="F1344" s="33">
        <v>-20</v>
      </c>
      <c r="G1344" s="34">
        <f>IFERROR(IF(F1344&gt;=0,D1344*E1344*(1+F1344/100),ABS(D1344*E1344/F1344)),"")</f>
        <v>7103.9324999999999</v>
      </c>
      <c r="H1344" s="43">
        <f>IFERROR(G1344*E1335,"")</f>
        <v>0</v>
      </c>
    </row>
    <row r="1345" spans="1:11" ht="12.75" customHeight="1">
      <c r="A1345" s="28"/>
      <c r="B1345" s="29" t="s">
        <v>3626</v>
      </c>
      <c r="C1345" s="30" t="str">
        <f>IFERROR(_xlfn.XLOOKUP(B1345,Equipo[DESCRIPCION],Equipo[UND],,0),"")</f>
        <v>%MO</v>
      </c>
      <c r="D1345" s="31">
        <v>0.05</v>
      </c>
      <c r="E1345" s="32">
        <f>IF(C1345="%MO",G1350,IFERROR(_xlfn.XLOOKUP($B1345,Equipo[DESCRIPCION],Equipo[VALOR],,0),""))</f>
        <v>15719.537544750003</v>
      </c>
      <c r="F1345" s="33"/>
      <c r="G1345" s="34">
        <f>IFERROR(IF(F1345&gt;=0,D1345*E1345*(1+F1345/100),ABS(D1345*E1345/F1345)),"")</f>
        <v>785.97687723750016</v>
      </c>
      <c r="H1345" s="43">
        <f>IFERROR(G1345*E1335,"")</f>
        <v>0</v>
      </c>
    </row>
    <row r="1346" spans="1:11" ht="12.75" customHeight="1">
      <c r="A1346" s="28"/>
      <c r="B1346" s="29"/>
      <c r="C1346" s="30" t="str">
        <f>IFERROR(_xlfn.XLOOKUP(B1346,Equipo[DESCRIPCION],Equipo[UND],,0),"")</f>
        <v/>
      </c>
      <c r="D1346" s="31"/>
      <c r="E1346" s="32" t="str">
        <f>IF(C1346="%MO",G1350,IFERROR(_xlfn.XLOOKUP($B1346,Equipo[DESCRIPCION],Equipo[VALOR],,0),""))</f>
        <v/>
      </c>
      <c r="F1346" s="33"/>
      <c r="G1346" s="34" t="str">
        <f>IFERROR(IF(F1346&gt;=0,D1346*E1346*(1+F1346/100),ABS(D1346*E1346/F1346)),"")</f>
        <v/>
      </c>
      <c r="H1346" s="43" t="str">
        <f>IFERROR(G1346*E1335,"")</f>
        <v/>
      </c>
    </row>
    <row r="1347" spans="1:11" ht="12.75" customHeight="1">
      <c r="A1347" s="21"/>
      <c r="B1347" s="22" t="s">
        <v>2533</v>
      </c>
      <c r="C1347" s="23"/>
      <c r="D1347" s="24"/>
      <c r="E1347" s="25"/>
      <c r="F1347" s="26"/>
      <c r="G1347" s="27">
        <f>SUM(G1348:G1349)</f>
        <v>0</v>
      </c>
      <c r="H1347" s="44">
        <f>G1347*E1335</f>
        <v>0</v>
      </c>
    </row>
    <row r="1348" spans="1:11" ht="12.75" customHeight="1">
      <c r="A1348" s="28"/>
      <c r="B1348" s="29"/>
      <c r="C1348" s="30" t="str">
        <f>IFERROR(_xlfn.XLOOKUP(B1348,Transporte[DESCRIPCION],Transporte[UND],,0),"")</f>
        <v/>
      </c>
      <c r="D1348" s="31"/>
      <c r="E1348" s="32" t="str">
        <f>IFERROR(_xlfn.XLOOKUP($B1348,Transporte[DESCRIPCION],Transporte[VALOR],,0),"")</f>
        <v/>
      </c>
      <c r="F1348" s="33"/>
      <c r="G1348" s="34" t="str">
        <f>IFERROR(IF(F1348&gt;=0,D1348*E1348*(1+F1348/100),ABS(D1348*E1348/F1348)),"")</f>
        <v/>
      </c>
      <c r="H1348" s="43" t="str">
        <f>IFERROR(G1348*E1335,"")</f>
        <v/>
      </c>
    </row>
    <row r="1349" spans="1:11" ht="12.75" customHeight="1">
      <c r="A1349" s="28"/>
      <c r="B1349" s="29"/>
      <c r="C1349" s="30" t="str">
        <f>IFERROR(_xlfn.XLOOKUP(B1349,Transporte[DESCRIPCION],Transporte[UND],,0),"")</f>
        <v/>
      </c>
      <c r="D1349" s="31"/>
      <c r="E1349" s="32" t="str">
        <f>IFERROR(_xlfn.XLOOKUP($B1349,Transporte[DESCRIPCION],Transporte[VALOR],,0),"")</f>
        <v/>
      </c>
      <c r="F1349" s="33"/>
      <c r="G1349" s="34" t="str">
        <f>IFERROR(IF(F1349&gt;=0,D1349*E1349*(1+F1349/100),ABS(D1349*E1349/F1349)),"")</f>
        <v/>
      </c>
      <c r="H1349" s="43" t="str">
        <f>IFERROR(G1349*E1335,"")</f>
        <v/>
      </c>
    </row>
    <row r="1350" spans="1:11" ht="12.75" customHeight="1">
      <c r="A1350" s="21"/>
      <c r="B1350" s="22" t="s">
        <v>3732</v>
      </c>
      <c r="C1350" s="23"/>
      <c r="D1350" s="24"/>
      <c r="E1350" s="25"/>
      <c r="F1350" s="26"/>
      <c r="G1350" s="27">
        <f>SUM(G1351:G1353)</f>
        <v>15719.537544750003</v>
      </c>
      <c r="H1350" s="44">
        <f>G1350*E1335</f>
        <v>0</v>
      </c>
    </row>
    <row r="1351" spans="1:11" ht="12.75" customHeight="1">
      <c r="A1351" s="28"/>
      <c r="B1351" s="29" t="s">
        <v>3710</v>
      </c>
      <c r="C1351" s="30" t="str">
        <f>IFERROR(_xlfn.XLOOKUP(B1351,MObra[DESCRIPCION],MObra[UN],,0),"")</f>
        <v>día</v>
      </c>
      <c r="D1351" s="31">
        <v>1</v>
      </c>
      <c r="E1351" s="32">
        <f>IFERROR(_xlfn.XLOOKUP($B1351,MObra[DESCRIPCION],MObra[VALOR UNIT],,0),"")</f>
        <v>314390.75089500006</v>
      </c>
      <c r="F1351" s="33">
        <v>-20</v>
      </c>
      <c r="G1351" s="34">
        <f>IFERROR(IF(F1351&gt;=0,D1351*E1351*(1+F1351/100),ABS(D1351*E1351/F1351)),"")</f>
        <v>15719.537544750003</v>
      </c>
      <c r="H1351" s="43">
        <f>IFERROR(G1351*E1335,"")</f>
        <v>0</v>
      </c>
    </row>
    <row r="1352" spans="1:11" ht="12.75" customHeight="1">
      <c r="A1352" s="28"/>
      <c r="B1352" s="29"/>
      <c r="C1352" s="30" t="str">
        <f t="array" ref="C1352">IFERROR(_xlfn.XLOOKUP(B1352,MObra[[#All],[DESCRIPCION]],MObra[[#All],[UN]],,0),"")</f>
        <v/>
      </c>
      <c r="D1352" s="31"/>
      <c r="E1352" s="32" t="str">
        <f>IFERROR(_xlfn.XLOOKUP($B1352,MObra[DESCRIPCION],MObra[VALOR UNIT],,0),"")</f>
        <v/>
      </c>
      <c r="F1352" s="33"/>
      <c r="G1352" s="34" t="str">
        <f>IFERROR(IF(F1352&gt;=0,D1352*E1352*(1+F1352/100),ABS(D1352*E1352/F1352)),"")</f>
        <v/>
      </c>
      <c r="H1352" s="43" t="str">
        <f>IFERROR(G1352*E1335,"")</f>
        <v/>
      </c>
    </row>
    <row r="1353" spans="1:11" ht="12.75" customHeight="1" thickBot="1">
      <c r="A1353" s="35"/>
      <c r="B1353" s="36"/>
      <c r="C1353" s="37" t="str">
        <f t="array" ref="C1353">IFERROR(_xlfn.XLOOKUP(B1353,MObra[[#All],[DESCRIPCION]],MObra[[#All],[UN]],,0),"")</f>
        <v/>
      </c>
      <c r="D1353" s="38"/>
      <c r="E1353" s="39" t="str">
        <f>IFERROR(_xlfn.XLOOKUP($B1353,MObra[DESCRIPCION],MObra[VALOR UNIT],,0),"")</f>
        <v/>
      </c>
      <c r="F1353" s="40"/>
      <c r="G1353" s="41" t="str">
        <f>IFERROR(IF(F1353&gt;=0,D1353*E1353*(1+F1353/100),ABS(D1353*E1353/F1353)),"")</f>
        <v/>
      </c>
      <c r="H1353" s="42" t="str">
        <f>IFERROR(G1353*E1335,"")</f>
        <v/>
      </c>
    </row>
    <row r="1354" spans="1:11" ht="12.75" customHeight="1" thickTop="1" thickBot="1"/>
    <row r="1355" spans="1:11" ht="12.75" customHeight="1" thickTop="1" thickBot="1">
      <c r="A1355" s="6" t="s">
        <v>1227</v>
      </c>
      <c r="B1355" s="7" t="str">
        <f>VLOOKUP($A1355,Presupuesto!$A:$D,2,FALSE())</f>
        <v>Cubierta teja ondulada transparente</v>
      </c>
      <c r="C1355" s="8" t="str">
        <f>VLOOKUP($A1355,Presupuesto!$A:$D,3,FALSE())</f>
        <v>M2</v>
      </c>
      <c r="D1355" s="9"/>
      <c r="E1355" s="10">
        <f>VLOOKUP($A1355,Presupuesto!$A:$D,4,FALSE())</f>
        <v>0</v>
      </c>
      <c r="F1355" s="11" t="s">
        <v>2589</v>
      </c>
      <c r="G1355" s="12">
        <f>SUM(G1357:G1373)/2</f>
        <v>54226.344421987495</v>
      </c>
      <c r="H1355" s="13">
        <f>ROUND(SUM(H1357:H1373),0)/2</f>
        <v>0</v>
      </c>
      <c r="I1355" s="10">
        <f>VLOOKUP(A1355,Presupuesto!$A:$F,6,0)</f>
        <v>0</v>
      </c>
      <c r="J1355" s="10">
        <f>+H1355-I1355</f>
        <v>0</v>
      </c>
      <c r="K1355" s="46">
        <f>+H1355-G1355*E1355</f>
        <v>0</v>
      </c>
    </row>
    <row r="1356" spans="1:11" ht="12.75" customHeight="1" thickTop="1">
      <c r="A1356" s="14"/>
      <c r="B1356" s="15" t="s">
        <v>2586</v>
      </c>
      <c r="C1356" s="15" t="s">
        <v>5</v>
      </c>
      <c r="D1356" s="16" t="s">
        <v>6</v>
      </c>
      <c r="E1356" s="17" t="s">
        <v>7</v>
      </c>
      <c r="F1356" s="18" t="s">
        <v>3728</v>
      </c>
      <c r="G1356" s="19" t="s">
        <v>3729</v>
      </c>
      <c r="H1356" s="20" t="s">
        <v>3797</v>
      </c>
    </row>
    <row r="1357" spans="1:11" ht="12.75" customHeight="1">
      <c r="A1357" s="21"/>
      <c r="B1357" s="22" t="s">
        <v>3730</v>
      </c>
      <c r="C1357" s="23"/>
      <c r="D1357" s="24"/>
      <c r="E1357" s="25"/>
      <c r="F1357" s="26"/>
      <c r="G1357" s="27">
        <f>SUM(G1358:G1362)</f>
        <v>30616.897500000003</v>
      </c>
      <c r="H1357" s="27">
        <f>IFERROR(G1357*E1355,"")</f>
        <v>0</v>
      </c>
    </row>
    <row r="1358" spans="1:11" ht="12.75" customHeight="1">
      <c r="A1358" s="28"/>
      <c r="B1358" s="29" t="s">
        <v>3379</v>
      </c>
      <c r="C1358" s="30" t="str">
        <f>IFERROR(_xlfn.XLOOKUP(B1358,Insumo[DESCRIPCION],Insumo[UND],,0),"")</f>
        <v>M2</v>
      </c>
      <c r="D1358" s="31">
        <v>1</v>
      </c>
      <c r="E1358" s="32">
        <f>IFERROR(_xlfn.XLOOKUP($B1358,Insumo[DESCRIPCION],Insumo[VALOR],,0),"")</f>
        <v>26710.95</v>
      </c>
      <c r="F1358" s="33">
        <v>5</v>
      </c>
      <c r="G1358" s="34">
        <f>IFERROR(IF(F1358&gt;=0,D1358*E1358*(1+F1358/100),ABS(D1358*E1358/F1358)),"")</f>
        <v>28046.497500000001</v>
      </c>
      <c r="H1358" s="43">
        <f>IFERROR(G1358*E1355,"")</f>
        <v>0</v>
      </c>
    </row>
    <row r="1359" spans="1:11" ht="12.75" customHeight="1">
      <c r="A1359" s="28"/>
      <c r="B1359" s="29" t="s">
        <v>2962</v>
      </c>
      <c r="C1359" s="30" t="str">
        <f>IFERROR(_xlfn.XLOOKUP(B1359,Insumo[DESCRIPCION],Insumo[UND],,0),"")</f>
        <v xml:space="preserve"> Un </v>
      </c>
      <c r="D1359" s="31">
        <v>2</v>
      </c>
      <c r="E1359" s="32">
        <f>IFERROR(_xlfn.XLOOKUP($B1359,Insumo[DESCRIPCION],Insumo[VALOR],,0),"")</f>
        <v>1285.2</v>
      </c>
      <c r="F1359" s="33"/>
      <c r="G1359" s="34">
        <f>IFERROR(IF(F1359&gt;=0,D1359*E1359*(1+F1359/100),ABS(D1359*E1359/F1359)),"")</f>
        <v>2570.4</v>
      </c>
      <c r="H1359" s="43">
        <f>IFERROR(G1359*E1355,"")</f>
        <v>0</v>
      </c>
    </row>
    <row r="1360" spans="1:11" ht="12.75" customHeight="1">
      <c r="A1360" s="28"/>
      <c r="B1360" s="29"/>
      <c r="C1360" s="30" t="str">
        <f>IFERROR(_xlfn.XLOOKUP(B1360,Insumo[DESCRIPCION],Insumo[UND],,0),"")</f>
        <v/>
      </c>
      <c r="D1360" s="31"/>
      <c r="E1360" s="32" t="str">
        <f>IFERROR(_xlfn.XLOOKUP($B1360,Insumo[DESCRIPCION],Insumo[VALOR],,0),"")</f>
        <v/>
      </c>
      <c r="F1360" s="33"/>
      <c r="G1360" s="34" t="str">
        <f>IFERROR(IF(F1360&gt;=0,D1360*E1360*(1+F1360/100),ABS(D1360*E1360/F1360)),"")</f>
        <v/>
      </c>
      <c r="H1360" s="43" t="str">
        <f>IFERROR(G1360*E1355,"")</f>
        <v/>
      </c>
    </row>
    <row r="1361" spans="1:11" ht="12.75" customHeight="1">
      <c r="A1361" s="28"/>
      <c r="B1361" s="29"/>
      <c r="C1361" s="30" t="str">
        <f>IFERROR(_xlfn.XLOOKUP(B1361,Insumo[DESCRIPCION],Insumo[UND],,0),"")</f>
        <v/>
      </c>
      <c r="D1361" s="31"/>
      <c r="E1361" s="32" t="str">
        <f>IFERROR(_xlfn.XLOOKUP($B1361,Insumo[DESCRIPCION],Insumo[VALOR],,0),"")</f>
        <v/>
      </c>
      <c r="F1361" s="33"/>
      <c r="G1361" s="34" t="str">
        <f>IFERROR(IF(F1361&gt;=0,D1361*E1361*(1+F1361/100),ABS(D1361*E1361/F1361)),"")</f>
        <v/>
      </c>
      <c r="H1361" s="43" t="str">
        <f>IFERROR(G1361*E1355,"")</f>
        <v/>
      </c>
    </row>
    <row r="1362" spans="1:11" ht="12.75" customHeight="1">
      <c r="A1362" s="28"/>
      <c r="B1362" s="29"/>
      <c r="C1362" s="30" t="str">
        <f>IFERROR(_xlfn.XLOOKUP(B1362,Insumo[DESCRIPCION],Insumo[UND],,0),"")</f>
        <v/>
      </c>
      <c r="D1362" s="31"/>
      <c r="E1362" s="32" t="str">
        <f>IFERROR(_xlfn.XLOOKUP($B1362,Insumo[DESCRIPCION],Insumo[VALOR],,0),"")</f>
        <v/>
      </c>
      <c r="F1362" s="33"/>
      <c r="G1362" s="34" t="str">
        <f>IFERROR(IF(F1362&gt;=0,D1362*E1362*(1+F1362/100),ABS(D1362*E1362/F1362)),"")</f>
        <v/>
      </c>
      <c r="H1362" s="43" t="str">
        <f>IFERROR(G1362*E1355,"")</f>
        <v/>
      </c>
    </row>
    <row r="1363" spans="1:11" ht="12.75" customHeight="1">
      <c r="A1363" s="21"/>
      <c r="B1363" s="22" t="s">
        <v>3731</v>
      </c>
      <c r="C1363" s="23"/>
      <c r="D1363" s="24"/>
      <c r="E1363" s="25"/>
      <c r="F1363" s="26"/>
      <c r="G1363" s="27">
        <f>SUM(G1364:G1366)</f>
        <v>7889.9093772374999</v>
      </c>
      <c r="H1363" s="44">
        <f>G1363*E1355</f>
        <v>0</v>
      </c>
    </row>
    <row r="1364" spans="1:11" ht="12.75" customHeight="1">
      <c r="A1364" s="28"/>
      <c r="B1364" s="29" t="s">
        <v>3575</v>
      </c>
      <c r="C1364" s="30" t="str">
        <f>IFERROR(_xlfn.XLOOKUP(B1364,Equipo[DESCRIPCION],Equipo[UND],,0),"")</f>
        <v>Día</v>
      </c>
      <c r="D1364" s="31">
        <v>1</v>
      </c>
      <c r="E1364" s="32">
        <f>IF(C1364="%MO",G1370,IFERROR(_xlfn.XLOOKUP($B1364,Equipo[DESCRIPCION],Equipo[VALOR],,0),""))</f>
        <v>142078.65</v>
      </c>
      <c r="F1364" s="33">
        <v>-20</v>
      </c>
      <c r="G1364" s="34">
        <f>IFERROR(IF(F1364&gt;=0,D1364*E1364*(1+F1364/100),ABS(D1364*E1364/F1364)),"")</f>
        <v>7103.9324999999999</v>
      </c>
      <c r="H1364" s="43">
        <f>IFERROR(G1364*E1355,"")</f>
        <v>0</v>
      </c>
    </row>
    <row r="1365" spans="1:11" ht="12.75" customHeight="1">
      <c r="A1365" s="28"/>
      <c r="B1365" s="29" t="s">
        <v>3626</v>
      </c>
      <c r="C1365" s="30" t="str">
        <f>IFERROR(_xlfn.XLOOKUP(B1365,Equipo[DESCRIPCION],Equipo[UND],,0),"")</f>
        <v>%MO</v>
      </c>
      <c r="D1365" s="31">
        <v>0.05</v>
      </c>
      <c r="E1365" s="32">
        <f>IF(C1365="%MO",G1370,IFERROR(_xlfn.XLOOKUP($B1365,Equipo[DESCRIPCION],Equipo[VALOR],,0),""))</f>
        <v>15719.537544750003</v>
      </c>
      <c r="F1365" s="33"/>
      <c r="G1365" s="34">
        <f>IFERROR(IF(F1365&gt;=0,D1365*E1365*(1+F1365/100),ABS(D1365*E1365/F1365)),"")</f>
        <v>785.97687723750016</v>
      </c>
      <c r="H1365" s="43">
        <f>IFERROR(G1365*E1355,"")</f>
        <v>0</v>
      </c>
    </row>
    <row r="1366" spans="1:11" ht="12.75" customHeight="1">
      <c r="A1366" s="28"/>
      <c r="B1366" s="29"/>
      <c r="C1366" s="30" t="str">
        <f>IFERROR(_xlfn.XLOOKUP(B1366,Equipo[DESCRIPCION],Equipo[UND],,0),"")</f>
        <v/>
      </c>
      <c r="D1366" s="31"/>
      <c r="E1366" s="32" t="str">
        <f>IF(C1366="%MO",G1370,IFERROR(_xlfn.XLOOKUP($B1366,Equipo[DESCRIPCION],Equipo[VALOR],,0),""))</f>
        <v/>
      </c>
      <c r="F1366" s="33"/>
      <c r="G1366" s="34" t="str">
        <f>IFERROR(IF(F1366&gt;=0,D1366*E1366*(1+F1366/100),ABS(D1366*E1366/F1366)),"")</f>
        <v/>
      </c>
      <c r="H1366" s="43" t="str">
        <f>IFERROR(G1366*E1355,"")</f>
        <v/>
      </c>
    </row>
    <row r="1367" spans="1:11" ht="12.75" customHeight="1">
      <c r="A1367" s="21"/>
      <c r="B1367" s="22" t="s">
        <v>2533</v>
      </c>
      <c r="C1367" s="23"/>
      <c r="D1367" s="24"/>
      <c r="E1367" s="25"/>
      <c r="F1367" s="26"/>
      <c r="G1367" s="27">
        <f>SUM(G1368:G1369)</f>
        <v>0</v>
      </c>
      <c r="H1367" s="44">
        <f>G1367*E1355</f>
        <v>0</v>
      </c>
    </row>
    <row r="1368" spans="1:11" ht="12.75" customHeight="1">
      <c r="A1368" s="28"/>
      <c r="B1368" s="29"/>
      <c r="C1368" s="30" t="str">
        <f>IFERROR(_xlfn.XLOOKUP(B1368,Transporte[DESCRIPCION],Transporte[UND],,0),"")</f>
        <v/>
      </c>
      <c r="D1368" s="31"/>
      <c r="E1368" s="32" t="str">
        <f>IFERROR(_xlfn.XLOOKUP($B1368,Transporte[DESCRIPCION],Transporte[VALOR],,0),"")</f>
        <v/>
      </c>
      <c r="F1368" s="33"/>
      <c r="G1368" s="34" t="str">
        <f>IFERROR(IF(F1368&gt;=0,D1368*E1368*(1+F1368/100),ABS(D1368*E1368/F1368)),"")</f>
        <v/>
      </c>
      <c r="H1368" s="43" t="str">
        <f>IFERROR(G1368*E1355,"")</f>
        <v/>
      </c>
    </row>
    <row r="1369" spans="1:11" ht="12.75" customHeight="1">
      <c r="A1369" s="28"/>
      <c r="B1369" s="29"/>
      <c r="C1369" s="30" t="str">
        <f>IFERROR(_xlfn.XLOOKUP(B1369,Transporte[DESCRIPCION],Transporte[UND],,0),"")</f>
        <v/>
      </c>
      <c r="D1369" s="31"/>
      <c r="E1369" s="32" t="str">
        <f>IFERROR(_xlfn.XLOOKUP($B1369,Transporte[DESCRIPCION],Transporte[VALOR],,0),"")</f>
        <v/>
      </c>
      <c r="F1369" s="33"/>
      <c r="G1369" s="34" t="str">
        <f>IFERROR(IF(F1369&gt;=0,D1369*E1369*(1+F1369/100),ABS(D1369*E1369/F1369)),"")</f>
        <v/>
      </c>
      <c r="H1369" s="43" t="str">
        <f>IFERROR(G1369*E1355,"")</f>
        <v/>
      </c>
    </row>
    <row r="1370" spans="1:11" ht="12.75" customHeight="1">
      <c r="A1370" s="21"/>
      <c r="B1370" s="22" t="s">
        <v>3732</v>
      </c>
      <c r="C1370" s="23"/>
      <c r="D1370" s="24"/>
      <c r="E1370" s="25"/>
      <c r="F1370" s="26"/>
      <c r="G1370" s="27">
        <f>SUM(G1371:G1373)</f>
        <v>15719.537544750003</v>
      </c>
      <c r="H1370" s="44">
        <f>G1370*E1355</f>
        <v>0</v>
      </c>
    </row>
    <row r="1371" spans="1:11" ht="12.75" customHeight="1">
      <c r="A1371" s="28"/>
      <c r="B1371" s="29" t="s">
        <v>3710</v>
      </c>
      <c r="C1371" s="30" t="str">
        <f>IFERROR(_xlfn.XLOOKUP(B1371,MObra[DESCRIPCION],MObra[UN],,0),"")</f>
        <v>día</v>
      </c>
      <c r="D1371" s="31">
        <v>1</v>
      </c>
      <c r="E1371" s="32">
        <f>IFERROR(_xlfn.XLOOKUP($B1371,MObra[DESCRIPCION],MObra[VALOR UNIT],,0),"")</f>
        <v>314390.75089500006</v>
      </c>
      <c r="F1371" s="33">
        <v>-20</v>
      </c>
      <c r="G1371" s="34">
        <f>IFERROR(IF(F1371&gt;=0,D1371*E1371*(1+F1371/100),ABS(D1371*E1371/F1371)),"")</f>
        <v>15719.537544750003</v>
      </c>
      <c r="H1371" s="43">
        <f>IFERROR(G1371*E1355,"")</f>
        <v>0</v>
      </c>
    </row>
    <row r="1372" spans="1:11" ht="12.75" customHeight="1">
      <c r="A1372" s="28"/>
      <c r="B1372" s="29"/>
      <c r="C1372" s="30" t="str">
        <f t="array" ref="C1372">IFERROR(_xlfn.XLOOKUP(B1372,MObra[[#All],[DESCRIPCION]],MObra[[#All],[UN]],,0),"")</f>
        <v/>
      </c>
      <c r="D1372" s="31"/>
      <c r="E1372" s="32" t="str">
        <f>IFERROR(_xlfn.XLOOKUP($B1372,MObra[DESCRIPCION],MObra[VALOR UNIT],,0),"")</f>
        <v/>
      </c>
      <c r="F1372" s="33"/>
      <c r="G1372" s="34" t="str">
        <f>IFERROR(IF(F1372&gt;=0,D1372*E1372*(1+F1372/100),ABS(D1372*E1372/F1372)),"")</f>
        <v/>
      </c>
      <c r="H1372" s="43" t="str">
        <f>IFERROR(G1372*E1355,"")</f>
        <v/>
      </c>
    </row>
    <row r="1373" spans="1:11" ht="12.75" customHeight="1" thickBot="1">
      <c r="A1373" s="35"/>
      <c r="B1373" s="36"/>
      <c r="C1373" s="37" t="str">
        <f t="array" ref="C1373">IFERROR(_xlfn.XLOOKUP(B1373,MObra[[#All],[DESCRIPCION]],MObra[[#All],[UN]],,0),"")</f>
        <v/>
      </c>
      <c r="D1373" s="38"/>
      <c r="E1373" s="39" t="str">
        <f>IFERROR(_xlfn.XLOOKUP($B1373,MObra[DESCRIPCION],MObra[VALOR UNIT],,0),"")</f>
        <v/>
      </c>
      <c r="F1373" s="40"/>
      <c r="G1373" s="41" t="str">
        <f>IFERROR(IF(F1373&gt;=0,D1373*E1373*(1+F1373/100),ABS(D1373*E1373/F1373)),"")</f>
        <v/>
      </c>
      <c r="H1373" s="42" t="str">
        <f>IFERROR(G1373*E1355,"")</f>
        <v/>
      </c>
    </row>
    <row r="1374" spans="1:11" ht="12.75" customHeight="1" thickTop="1" thickBot="1"/>
    <row r="1375" spans="1:11" ht="12.75" customHeight="1" thickTop="1" thickBot="1">
      <c r="A1375" s="6" t="s">
        <v>1229</v>
      </c>
      <c r="B1375" s="7" t="str">
        <f>VLOOKUP($A1375,Presupuesto!$A:$D,2,FALSE())</f>
        <v>Cubierta teja Shingle</v>
      </c>
      <c r="C1375" s="8" t="str">
        <f>VLOOKUP($A1375,Presupuesto!$A:$D,3,FALSE())</f>
        <v>M2</v>
      </c>
      <c r="D1375" s="9"/>
      <c r="E1375" s="10">
        <f>VLOOKUP($A1375,Presupuesto!$A:$D,4,FALSE())</f>
        <v>0</v>
      </c>
      <c r="F1375" s="11" t="s">
        <v>2589</v>
      </c>
      <c r="G1375" s="12">
        <f>SUM(G1377:G1393)/2</f>
        <v>128844.22256264999</v>
      </c>
      <c r="H1375" s="13">
        <f>ROUND(SUM(H1377:H1393),0)/2</f>
        <v>0</v>
      </c>
      <c r="I1375" s="10">
        <f>VLOOKUP(A1375,Presupuesto!$A:$F,6,0)</f>
        <v>0</v>
      </c>
      <c r="J1375" s="10">
        <f>+H1375-I1375</f>
        <v>0</v>
      </c>
      <c r="K1375" s="46">
        <f>+H1375-G1375*E1375</f>
        <v>0</v>
      </c>
    </row>
    <row r="1376" spans="1:11" ht="12.75" customHeight="1" thickTop="1">
      <c r="A1376" s="14"/>
      <c r="B1376" s="15" t="s">
        <v>2586</v>
      </c>
      <c r="C1376" s="15" t="s">
        <v>5</v>
      </c>
      <c r="D1376" s="16" t="s">
        <v>6</v>
      </c>
      <c r="E1376" s="17" t="s">
        <v>7</v>
      </c>
      <c r="F1376" s="18" t="s">
        <v>3728</v>
      </c>
      <c r="G1376" s="19" t="s">
        <v>3729</v>
      </c>
      <c r="H1376" s="20" t="s">
        <v>3797</v>
      </c>
    </row>
    <row r="1377" spans="1:8" ht="12.75" customHeight="1">
      <c r="A1377" s="21"/>
      <c r="B1377" s="22" t="s">
        <v>3730</v>
      </c>
      <c r="C1377" s="23"/>
      <c r="D1377" s="24"/>
      <c r="E1377" s="25"/>
      <c r="F1377" s="26"/>
      <c r="G1377" s="27">
        <f>SUM(G1378:G1382)</f>
        <v>99732.9375</v>
      </c>
      <c r="H1377" s="27">
        <f>IFERROR(G1377*E1375,"")</f>
        <v>0</v>
      </c>
    </row>
    <row r="1378" spans="1:8" ht="12.75" customHeight="1">
      <c r="A1378" s="28"/>
      <c r="B1378" s="29" t="s">
        <v>3381</v>
      </c>
      <c r="C1378" s="30" t="str">
        <f>IFERROR(_xlfn.XLOOKUP(B1378,Insumo[DESCRIPCION],Insumo[UND],,0),"")</f>
        <v>M2</v>
      </c>
      <c r="D1378" s="31">
        <v>1</v>
      </c>
      <c r="E1378" s="32">
        <f>IFERROR(_xlfn.XLOOKUP($B1378,Insumo[DESCRIPCION],Insumo[VALOR],,0),"")</f>
        <v>70544.25</v>
      </c>
      <c r="F1378" s="33">
        <v>7</v>
      </c>
      <c r="G1378" s="34">
        <f>IFERROR(IF(F1378&gt;=0,D1378*E1378*(1+F1378/100),ABS(D1378*E1378/F1378)),"")</f>
        <v>75482.347500000003</v>
      </c>
      <c r="H1378" s="43">
        <f>IFERROR(G1378*E1375,"")</f>
        <v>0</v>
      </c>
    </row>
    <row r="1379" spans="1:8" ht="12.75" customHeight="1">
      <c r="A1379" s="28"/>
      <c r="B1379" s="29" t="s">
        <v>3148</v>
      </c>
      <c r="C1379" s="30" t="str">
        <f>IFERROR(_xlfn.XLOOKUP(B1379,Insumo[DESCRIPCION],Insumo[UND],,0),"")</f>
        <v>M2</v>
      </c>
      <c r="D1379" s="31">
        <v>1</v>
      </c>
      <c r="E1379" s="32">
        <f>IFERROR(_xlfn.XLOOKUP($B1379,Insumo[DESCRIPCION],Insumo[VALOR],,0),"")</f>
        <v>21243.600000000002</v>
      </c>
      <c r="F1379" s="33">
        <v>5</v>
      </c>
      <c r="G1379" s="34">
        <f>IFERROR(IF(F1379&gt;=0,D1379*E1379*(1+F1379/100),ABS(D1379*E1379/F1379)),"")</f>
        <v>22305.780000000002</v>
      </c>
      <c r="H1379" s="43">
        <f>IFERROR(G1379*E1375,"")</f>
        <v>0</v>
      </c>
    </row>
    <row r="1380" spans="1:8" ht="12.75" customHeight="1">
      <c r="A1380" s="28"/>
      <c r="B1380" s="29" t="s">
        <v>3253</v>
      </c>
      <c r="C1380" s="30" t="str">
        <f>IFERROR(_xlfn.XLOOKUP(B1380,Insumo[DESCRIPCION],Insumo[UND],,0),"")</f>
        <v>Lb</v>
      </c>
      <c r="D1380" s="31">
        <v>0.3</v>
      </c>
      <c r="E1380" s="32">
        <f>IFERROR(_xlfn.XLOOKUP($B1380,Insumo[DESCRIPCION],Insumo[VALOR],,0),"")</f>
        <v>6482.7000000000007</v>
      </c>
      <c r="F1380" s="33"/>
      <c r="G1380" s="34">
        <f>IFERROR(IF(F1380&gt;=0,D1380*E1380*(1+F1380/100),ABS(D1380*E1380/F1380)),"")</f>
        <v>1944.8100000000002</v>
      </c>
      <c r="H1380" s="43">
        <f>IFERROR(G1380*E1375,"")</f>
        <v>0</v>
      </c>
    </row>
    <row r="1381" spans="1:8" ht="12.75" customHeight="1">
      <c r="A1381" s="28"/>
      <c r="B1381" s="29"/>
      <c r="C1381" s="30" t="str">
        <f>IFERROR(_xlfn.XLOOKUP(B1381,Insumo[DESCRIPCION],Insumo[UND],,0),"")</f>
        <v/>
      </c>
      <c r="D1381" s="31"/>
      <c r="E1381" s="32" t="str">
        <f>IFERROR(_xlfn.XLOOKUP($B1381,Insumo[DESCRIPCION],Insumo[VALOR],,0),"")</f>
        <v/>
      </c>
      <c r="F1381" s="33"/>
      <c r="G1381" s="34" t="str">
        <f>IFERROR(IF(F1381&gt;=0,D1381*E1381*(1+F1381/100),ABS(D1381*E1381/F1381)),"")</f>
        <v/>
      </c>
      <c r="H1381" s="43" t="str">
        <f>IFERROR(G1381*E1375,"")</f>
        <v/>
      </c>
    </row>
    <row r="1382" spans="1:8" ht="12.75" customHeight="1">
      <c r="A1382" s="28"/>
      <c r="B1382" s="29"/>
      <c r="C1382" s="30" t="str">
        <f>IFERROR(_xlfn.XLOOKUP(B1382,Insumo[DESCRIPCION],Insumo[UND],,0),"")</f>
        <v/>
      </c>
      <c r="D1382" s="31"/>
      <c r="E1382" s="32" t="str">
        <f>IFERROR(_xlfn.XLOOKUP($B1382,Insumo[DESCRIPCION],Insumo[VALOR],,0),"")</f>
        <v/>
      </c>
      <c r="F1382" s="33"/>
      <c r="G1382" s="34" t="str">
        <f>IFERROR(IF(F1382&gt;=0,D1382*E1382*(1+F1382/100),ABS(D1382*E1382/F1382)),"")</f>
        <v/>
      </c>
      <c r="H1382" s="43" t="str">
        <f>IFERROR(G1382*E1375,"")</f>
        <v/>
      </c>
    </row>
    <row r="1383" spans="1:8" ht="12.75" customHeight="1">
      <c r="A1383" s="21"/>
      <c r="B1383" s="22" t="s">
        <v>3731</v>
      </c>
      <c r="C1383" s="23"/>
      <c r="D1383" s="24"/>
      <c r="E1383" s="25"/>
      <c r="F1383" s="26"/>
      <c r="G1383" s="27">
        <f>SUM(G1384:G1386)</f>
        <v>8151.9016696500003</v>
      </c>
      <c r="H1383" s="44">
        <f>G1383*E1375</f>
        <v>0</v>
      </c>
    </row>
    <row r="1384" spans="1:8" ht="12.75" customHeight="1">
      <c r="A1384" s="28"/>
      <c r="B1384" s="29" t="s">
        <v>3575</v>
      </c>
      <c r="C1384" s="30" t="str">
        <f>IFERROR(_xlfn.XLOOKUP(B1384,Equipo[DESCRIPCION],Equipo[UND],,0),"")</f>
        <v>Día</v>
      </c>
      <c r="D1384" s="31">
        <v>1</v>
      </c>
      <c r="E1384" s="32">
        <f>IF(C1384="%MO",G1390,IFERROR(_xlfn.XLOOKUP($B1384,Equipo[DESCRIPCION],Equipo[VALOR],,0),""))</f>
        <v>142078.65</v>
      </c>
      <c r="F1384" s="33">
        <v>-20</v>
      </c>
      <c r="G1384" s="34">
        <f>IFERROR(IF(F1384&gt;=0,D1384*E1384*(1+F1384/100),ABS(D1384*E1384/F1384)),"")</f>
        <v>7103.9324999999999</v>
      </c>
      <c r="H1384" s="43">
        <f>IFERROR(G1384*E1375,"")</f>
        <v>0</v>
      </c>
    </row>
    <row r="1385" spans="1:8" ht="12.75" customHeight="1">
      <c r="A1385" s="28"/>
      <c r="B1385" s="29" t="s">
        <v>3626</v>
      </c>
      <c r="C1385" s="30" t="str">
        <f>IFERROR(_xlfn.XLOOKUP(B1385,Equipo[DESCRIPCION],Equipo[UND],,0),"")</f>
        <v>%MO</v>
      </c>
      <c r="D1385" s="31">
        <v>0.05</v>
      </c>
      <c r="E1385" s="32">
        <f>IF(C1385="%MO",G1390,IFERROR(_xlfn.XLOOKUP($B1385,Equipo[DESCRIPCION],Equipo[VALOR],,0),""))</f>
        <v>20959.383393000004</v>
      </c>
      <c r="F1385" s="33"/>
      <c r="G1385" s="34">
        <f>IFERROR(IF(F1385&gt;=0,D1385*E1385*(1+F1385/100),ABS(D1385*E1385/F1385)),"")</f>
        <v>1047.9691696500001</v>
      </c>
      <c r="H1385" s="43">
        <f>IFERROR(G1385*E1375,"")</f>
        <v>0</v>
      </c>
    </row>
    <row r="1386" spans="1:8" ht="12.75" customHeight="1">
      <c r="A1386" s="28"/>
      <c r="B1386" s="29"/>
      <c r="C1386" s="30" t="str">
        <f>IFERROR(_xlfn.XLOOKUP(B1386,Equipo[DESCRIPCION],Equipo[UND],,0),"")</f>
        <v/>
      </c>
      <c r="D1386" s="31"/>
      <c r="E1386" s="32" t="str">
        <f>IF(C1386="%MO",G1390,IFERROR(_xlfn.XLOOKUP($B1386,Equipo[DESCRIPCION],Equipo[VALOR],,0),""))</f>
        <v/>
      </c>
      <c r="F1386" s="33"/>
      <c r="G1386" s="34" t="str">
        <f>IFERROR(IF(F1386&gt;=0,D1386*E1386*(1+F1386/100),ABS(D1386*E1386/F1386)),"")</f>
        <v/>
      </c>
      <c r="H1386" s="43" t="str">
        <f>IFERROR(G1386*E1375,"")</f>
        <v/>
      </c>
    </row>
    <row r="1387" spans="1:8" ht="12.75" customHeight="1">
      <c r="A1387" s="21"/>
      <c r="B1387" s="22" t="s">
        <v>2533</v>
      </c>
      <c r="C1387" s="23"/>
      <c r="D1387" s="24"/>
      <c r="E1387" s="25"/>
      <c r="F1387" s="26"/>
      <c r="G1387" s="27">
        <f>SUM(G1388:G1389)</f>
        <v>0</v>
      </c>
      <c r="H1387" s="44">
        <f>G1387*E1375</f>
        <v>0</v>
      </c>
    </row>
    <row r="1388" spans="1:8" ht="12.75" customHeight="1">
      <c r="A1388" s="28"/>
      <c r="B1388" s="29"/>
      <c r="C1388" s="30" t="str">
        <f>IFERROR(_xlfn.XLOOKUP(B1388,Transporte[DESCRIPCION],Transporte[UND],,0),"")</f>
        <v/>
      </c>
      <c r="D1388" s="31"/>
      <c r="E1388" s="32" t="str">
        <f>IFERROR(_xlfn.XLOOKUP($B1388,Transporte[DESCRIPCION],Transporte[VALOR],,0),"")</f>
        <v/>
      </c>
      <c r="F1388" s="33"/>
      <c r="G1388" s="34" t="str">
        <f>IFERROR(IF(F1388&gt;=0,D1388*E1388*(1+F1388/100),ABS(D1388*E1388/F1388)),"")</f>
        <v/>
      </c>
      <c r="H1388" s="43" t="str">
        <f>IFERROR(G1388*E1375,"")</f>
        <v/>
      </c>
    </row>
    <row r="1389" spans="1:8" ht="12.75" customHeight="1">
      <c r="A1389" s="28"/>
      <c r="B1389" s="29"/>
      <c r="C1389" s="30" t="str">
        <f>IFERROR(_xlfn.XLOOKUP(B1389,Transporte[DESCRIPCION],Transporte[UND],,0),"")</f>
        <v/>
      </c>
      <c r="D1389" s="31"/>
      <c r="E1389" s="32" t="str">
        <f>IFERROR(_xlfn.XLOOKUP($B1389,Transporte[DESCRIPCION],Transporte[VALOR],,0),"")</f>
        <v/>
      </c>
      <c r="F1389" s="33"/>
      <c r="G1389" s="34" t="str">
        <f>IFERROR(IF(F1389&gt;=0,D1389*E1389*(1+F1389/100),ABS(D1389*E1389/F1389)),"")</f>
        <v/>
      </c>
      <c r="H1389" s="43" t="str">
        <f>IFERROR(G1389*E1375,"")</f>
        <v/>
      </c>
    </row>
    <row r="1390" spans="1:8" ht="12.75" customHeight="1">
      <c r="A1390" s="21"/>
      <c r="B1390" s="22" t="s">
        <v>3732</v>
      </c>
      <c r="C1390" s="23"/>
      <c r="D1390" s="24"/>
      <c r="E1390" s="25"/>
      <c r="F1390" s="26"/>
      <c r="G1390" s="27">
        <f>SUM(G1391:G1393)</f>
        <v>20959.383393000004</v>
      </c>
      <c r="H1390" s="44">
        <f>G1390*E1375</f>
        <v>0</v>
      </c>
    </row>
    <row r="1391" spans="1:8" ht="12.75" customHeight="1">
      <c r="A1391" s="28"/>
      <c r="B1391" s="29" t="s">
        <v>3710</v>
      </c>
      <c r="C1391" s="30" t="str">
        <f>IFERROR(_xlfn.XLOOKUP(B1391,MObra[DESCRIPCION],MObra[UN],,0),"")</f>
        <v>día</v>
      </c>
      <c r="D1391" s="31">
        <v>1</v>
      </c>
      <c r="E1391" s="32">
        <f>IFERROR(_xlfn.XLOOKUP($B1391,MObra[DESCRIPCION],MObra[VALOR UNIT],,0),"")</f>
        <v>314390.75089500006</v>
      </c>
      <c r="F1391" s="33">
        <v>-15</v>
      </c>
      <c r="G1391" s="34">
        <f>IFERROR(IF(F1391&gt;=0,D1391*E1391*(1+F1391/100),ABS(D1391*E1391/F1391)),"")</f>
        <v>20959.383393000004</v>
      </c>
      <c r="H1391" s="43">
        <f>IFERROR(G1391*E1375,"")</f>
        <v>0</v>
      </c>
    </row>
    <row r="1392" spans="1:8" ht="12.75" customHeight="1">
      <c r="A1392" s="28"/>
      <c r="B1392" s="29"/>
      <c r="C1392" s="30" t="str">
        <f t="array" ref="C1392">IFERROR(_xlfn.XLOOKUP(B1392,MObra[[#All],[DESCRIPCION]],MObra[[#All],[UN]],,0),"")</f>
        <v/>
      </c>
      <c r="D1392" s="31"/>
      <c r="E1392" s="32" t="str">
        <f>IFERROR(_xlfn.XLOOKUP($B1392,MObra[DESCRIPCION],MObra[VALOR UNIT],,0),"")</f>
        <v/>
      </c>
      <c r="F1392" s="33"/>
      <c r="G1392" s="34" t="str">
        <f>IFERROR(IF(F1392&gt;=0,D1392*E1392*(1+F1392/100),ABS(D1392*E1392/F1392)),"")</f>
        <v/>
      </c>
      <c r="H1392" s="43" t="str">
        <f>IFERROR(G1392*E1375,"")</f>
        <v/>
      </c>
    </row>
    <row r="1393" spans="1:11" ht="12.75" customHeight="1" thickBot="1">
      <c r="A1393" s="35"/>
      <c r="B1393" s="36"/>
      <c r="C1393" s="37" t="str">
        <f t="array" ref="C1393">IFERROR(_xlfn.XLOOKUP(B1393,MObra[[#All],[DESCRIPCION]],MObra[[#All],[UN]],,0),"")</f>
        <v/>
      </c>
      <c r="D1393" s="38"/>
      <c r="E1393" s="39" t="str">
        <f>IFERROR(_xlfn.XLOOKUP($B1393,MObra[DESCRIPCION],MObra[VALOR UNIT],,0),"")</f>
        <v/>
      </c>
      <c r="F1393" s="40"/>
      <c r="G1393" s="41" t="str">
        <f>IFERROR(IF(F1393&gt;=0,D1393*E1393*(1+F1393/100),ABS(D1393*E1393/F1393)),"")</f>
        <v/>
      </c>
      <c r="H1393" s="42" t="str">
        <f>IFERROR(G1393*E1375,"")</f>
        <v/>
      </c>
    </row>
    <row r="1394" spans="1:11" ht="12.75" customHeight="1" thickTop="1" thickBot="1"/>
    <row r="1395" spans="1:11" ht="12.75" customHeight="1" thickTop="1" thickBot="1">
      <c r="A1395" s="6" t="s">
        <v>1231</v>
      </c>
      <c r="B1395" s="7" t="str">
        <f>VLOOKUP($A1395,Presupuesto!$A:$D,2,FALSE())</f>
        <v>Cubierta teja termoacústica</v>
      </c>
      <c r="C1395" s="8" t="str">
        <f>VLOOKUP($A1395,Presupuesto!$A:$D,3,FALSE())</f>
        <v>M2</v>
      </c>
      <c r="D1395" s="9"/>
      <c r="E1395" s="10">
        <f>VLOOKUP($A1395,Presupuesto!$A:$D,4,FALSE())</f>
        <v>0</v>
      </c>
      <c r="F1395" s="11" t="s">
        <v>2589</v>
      </c>
      <c r="G1395" s="12">
        <f>SUM(G1397:G1413)/2</f>
        <v>89161.382968874997</v>
      </c>
      <c r="H1395" s="13">
        <f>ROUND(SUM(H1397:H1413),0)/2</f>
        <v>0</v>
      </c>
      <c r="I1395" s="10">
        <f>VLOOKUP(A1395,Presupuesto!$A:$F,6,0)</f>
        <v>0</v>
      </c>
      <c r="J1395" s="10">
        <f>+H1395-I1395</f>
        <v>0</v>
      </c>
      <c r="K1395" s="46">
        <f>+H1395-G1395*E1395</f>
        <v>0</v>
      </c>
    </row>
    <row r="1396" spans="1:11" ht="12.75" customHeight="1" thickTop="1">
      <c r="A1396" s="14"/>
      <c r="B1396" s="15" t="s">
        <v>2586</v>
      </c>
      <c r="C1396" s="15" t="s">
        <v>5</v>
      </c>
      <c r="D1396" s="16" t="s">
        <v>6</v>
      </c>
      <c r="E1396" s="17" t="s">
        <v>7</v>
      </c>
      <c r="F1396" s="18" t="s">
        <v>3728</v>
      </c>
      <c r="G1396" s="19" t="s">
        <v>3729</v>
      </c>
      <c r="H1396" s="20" t="s">
        <v>3797</v>
      </c>
    </row>
    <row r="1397" spans="1:11" ht="12.75" customHeight="1">
      <c r="A1397" s="21"/>
      <c r="B1397" s="22" t="s">
        <v>3730</v>
      </c>
      <c r="C1397" s="23"/>
      <c r="D1397" s="24"/>
      <c r="E1397" s="25"/>
      <c r="F1397" s="26"/>
      <c r="G1397" s="27">
        <f>SUM(G1398:G1402)</f>
        <v>63717.990000000005</v>
      </c>
      <c r="H1397" s="27">
        <f>IFERROR(G1397*E1395,"")</f>
        <v>0</v>
      </c>
    </row>
    <row r="1398" spans="1:11" ht="12.75" customHeight="1">
      <c r="A1398" s="28"/>
      <c r="B1398" s="29" t="s">
        <v>3382</v>
      </c>
      <c r="C1398" s="30" t="str">
        <f>IFERROR(_xlfn.XLOOKUP(B1398,Insumo[DESCRIPCION],Insumo[UND],,0),"")</f>
        <v>M2</v>
      </c>
      <c r="D1398" s="31">
        <v>1</v>
      </c>
      <c r="E1398" s="32">
        <f>IFERROR(_xlfn.XLOOKUP($B1398,Insumo[DESCRIPCION],Insumo[VALOR],,0),"")</f>
        <v>59929.8</v>
      </c>
      <c r="F1398" s="33">
        <v>5</v>
      </c>
      <c r="G1398" s="34">
        <f>IFERROR(IF(F1398&gt;=0,D1398*E1398*(1+F1398/100),ABS(D1398*E1398/F1398)),"")</f>
        <v>62926.290000000008</v>
      </c>
      <c r="H1398" s="43">
        <f>IFERROR(G1398*E1395,"")</f>
        <v>0</v>
      </c>
    </row>
    <row r="1399" spans="1:11" ht="12.75" customHeight="1">
      <c r="A1399" s="28"/>
      <c r="B1399" s="29" t="s">
        <v>3402</v>
      </c>
      <c r="C1399" s="30" t="str">
        <f>IFERROR(_xlfn.XLOOKUP(B1399,Insumo[DESCRIPCION],Insumo[UND],,0),"")</f>
        <v>Un</v>
      </c>
      <c r="D1399" s="31">
        <v>2</v>
      </c>
      <c r="E1399" s="32">
        <f>IFERROR(_xlfn.XLOOKUP($B1399,Insumo[DESCRIPCION],Insumo[VALOR],,0),"")</f>
        <v>395.85</v>
      </c>
      <c r="F1399" s="33"/>
      <c r="G1399" s="34">
        <f>IFERROR(IF(F1399&gt;=0,D1399*E1399*(1+F1399/100),ABS(D1399*E1399/F1399)),"")</f>
        <v>791.7</v>
      </c>
      <c r="H1399" s="43">
        <f>IFERROR(G1399*E1395,"")</f>
        <v>0</v>
      </c>
    </row>
    <row r="1400" spans="1:11" ht="12.75" customHeight="1">
      <c r="A1400" s="28"/>
      <c r="B1400" s="29"/>
      <c r="C1400" s="30" t="str">
        <f>IFERROR(_xlfn.XLOOKUP(B1400,Insumo[DESCRIPCION],Insumo[UND],,0),"")</f>
        <v/>
      </c>
      <c r="D1400" s="31"/>
      <c r="E1400" s="32" t="str">
        <f>IFERROR(_xlfn.XLOOKUP($B1400,Insumo[DESCRIPCION],Insumo[VALOR],,0),"")</f>
        <v/>
      </c>
      <c r="F1400" s="33"/>
      <c r="G1400" s="34" t="str">
        <f>IFERROR(IF(F1400&gt;=0,D1400*E1400*(1+F1400/100),ABS(D1400*E1400/F1400)),"")</f>
        <v/>
      </c>
      <c r="H1400" s="43" t="str">
        <f>IFERROR(G1400*E1395,"")</f>
        <v/>
      </c>
    </row>
    <row r="1401" spans="1:11" ht="12.75" customHeight="1">
      <c r="A1401" s="28"/>
      <c r="B1401" s="29"/>
      <c r="C1401" s="30" t="str">
        <f>IFERROR(_xlfn.XLOOKUP(B1401,Insumo[DESCRIPCION],Insumo[UND],,0),"")</f>
        <v/>
      </c>
      <c r="D1401" s="31"/>
      <c r="E1401" s="32" t="str">
        <f>IFERROR(_xlfn.XLOOKUP($B1401,Insumo[DESCRIPCION],Insumo[VALOR],,0),"")</f>
        <v/>
      </c>
      <c r="F1401" s="33"/>
      <c r="G1401" s="34" t="str">
        <f>IFERROR(IF(F1401&gt;=0,D1401*E1401*(1+F1401/100),ABS(D1401*E1401/F1401)),"")</f>
        <v/>
      </c>
      <c r="H1401" s="43" t="str">
        <f>IFERROR(G1401*E1395,"")</f>
        <v/>
      </c>
    </row>
    <row r="1402" spans="1:11" ht="12.75" customHeight="1">
      <c r="A1402" s="28"/>
      <c r="B1402" s="29"/>
      <c r="C1402" s="30" t="str">
        <f>IFERROR(_xlfn.XLOOKUP(B1402,Insumo[DESCRIPCION],Insumo[UND],,0),"")</f>
        <v/>
      </c>
      <c r="D1402" s="31"/>
      <c r="E1402" s="32" t="str">
        <f>IFERROR(_xlfn.XLOOKUP($B1402,Insumo[DESCRIPCION],Insumo[VALOR],,0),"")</f>
        <v/>
      </c>
      <c r="F1402" s="33"/>
      <c r="G1402" s="34" t="str">
        <f>IFERROR(IF(F1402&gt;=0,D1402*E1402*(1+F1402/100),ABS(D1402*E1402/F1402)),"")</f>
        <v/>
      </c>
      <c r="H1402" s="43" t="str">
        <f>IFERROR(G1402*E1395,"")</f>
        <v/>
      </c>
    </row>
    <row r="1403" spans="1:11" ht="12.75" customHeight="1">
      <c r="A1403" s="21"/>
      <c r="B1403" s="22" t="s">
        <v>3731</v>
      </c>
      <c r="C1403" s="23"/>
      <c r="D1403" s="24"/>
      <c r="E1403" s="25"/>
      <c r="F1403" s="26"/>
      <c r="G1403" s="27">
        <f>SUM(G1404:G1406)</f>
        <v>7977.2401413750003</v>
      </c>
      <c r="H1403" s="44">
        <f>G1403*E1395</f>
        <v>0</v>
      </c>
    </row>
    <row r="1404" spans="1:11" ht="12.75" customHeight="1">
      <c r="A1404" s="28"/>
      <c r="B1404" s="29" t="s">
        <v>3575</v>
      </c>
      <c r="C1404" s="30" t="str">
        <f>IFERROR(_xlfn.XLOOKUP(B1404,Equipo[DESCRIPCION],Equipo[UND],,0),"")</f>
        <v>Día</v>
      </c>
      <c r="D1404" s="31">
        <v>1</v>
      </c>
      <c r="E1404" s="32">
        <f>IF(C1404="%MO",G1410,IFERROR(_xlfn.XLOOKUP($B1404,Equipo[DESCRIPCION],Equipo[VALOR],,0),""))</f>
        <v>142078.65</v>
      </c>
      <c r="F1404" s="33">
        <v>-20</v>
      </c>
      <c r="G1404" s="34">
        <f>IFERROR(IF(F1404&gt;=0,D1404*E1404*(1+F1404/100),ABS(D1404*E1404/F1404)),"")</f>
        <v>7103.9324999999999</v>
      </c>
      <c r="H1404" s="43">
        <f>IFERROR(G1404*E1395,"")</f>
        <v>0</v>
      </c>
    </row>
    <row r="1405" spans="1:11" ht="12.75" customHeight="1">
      <c r="A1405" s="28"/>
      <c r="B1405" s="29" t="s">
        <v>3626</v>
      </c>
      <c r="C1405" s="30" t="str">
        <f>IFERROR(_xlfn.XLOOKUP(B1405,Equipo[DESCRIPCION],Equipo[UND],,0),"")</f>
        <v>%MO</v>
      </c>
      <c r="D1405" s="31">
        <v>0.05</v>
      </c>
      <c r="E1405" s="32">
        <f>IF(C1405="%MO",G1410,IFERROR(_xlfn.XLOOKUP($B1405,Equipo[DESCRIPCION],Equipo[VALOR],,0),""))</f>
        <v>17466.152827500002</v>
      </c>
      <c r="F1405" s="33"/>
      <c r="G1405" s="34">
        <f>IFERROR(IF(F1405&gt;=0,D1405*E1405*(1+F1405/100),ABS(D1405*E1405/F1405)),"")</f>
        <v>873.30764137500012</v>
      </c>
      <c r="H1405" s="43">
        <f>IFERROR(G1405*E1395,"")</f>
        <v>0</v>
      </c>
    </row>
    <row r="1406" spans="1:11" ht="12.75" customHeight="1">
      <c r="A1406" s="28"/>
      <c r="B1406" s="29"/>
      <c r="C1406" s="30" t="str">
        <f>IFERROR(_xlfn.XLOOKUP(B1406,Equipo[DESCRIPCION],Equipo[UND],,0),"")</f>
        <v/>
      </c>
      <c r="D1406" s="31"/>
      <c r="E1406" s="32" t="str">
        <f>IF(C1406="%MO",G1410,IFERROR(_xlfn.XLOOKUP($B1406,Equipo[DESCRIPCION],Equipo[VALOR],,0),""))</f>
        <v/>
      </c>
      <c r="F1406" s="33"/>
      <c r="G1406" s="34" t="str">
        <f>IFERROR(IF(F1406&gt;=0,D1406*E1406*(1+F1406/100),ABS(D1406*E1406/F1406)),"")</f>
        <v/>
      </c>
      <c r="H1406" s="43" t="str">
        <f>IFERROR(G1406*E1395,"")</f>
        <v/>
      </c>
    </row>
    <row r="1407" spans="1:11" ht="12.75" customHeight="1">
      <c r="A1407" s="21"/>
      <c r="B1407" s="22" t="s">
        <v>2533</v>
      </c>
      <c r="C1407" s="23"/>
      <c r="D1407" s="24"/>
      <c r="E1407" s="25"/>
      <c r="F1407" s="26"/>
      <c r="G1407" s="27">
        <f>SUM(G1408:G1409)</f>
        <v>0</v>
      </c>
      <c r="H1407" s="44">
        <f>G1407*E1395</f>
        <v>0</v>
      </c>
    </row>
    <row r="1408" spans="1:11" ht="12.75" customHeight="1">
      <c r="A1408" s="28"/>
      <c r="B1408" s="29"/>
      <c r="C1408" s="30" t="str">
        <f>IFERROR(_xlfn.XLOOKUP(B1408,Transporte[DESCRIPCION],Transporte[UND],,0),"")</f>
        <v/>
      </c>
      <c r="D1408" s="31"/>
      <c r="E1408" s="32" t="str">
        <f>IFERROR(_xlfn.XLOOKUP($B1408,Transporte[DESCRIPCION],Transporte[VALOR],,0),"")</f>
        <v/>
      </c>
      <c r="F1408" s="33"/>
      <c r="G1408" s="34" t="str">
        <f>IFERROR(IF(F1408&gt;=0,D1408*E1408*(1+F1408/100),ABS(D1408*E1408/F1408)),"")</f>
        <v/>
      </c>
      <c r="H1408" s="43" t="str">
        <f>IFERROR(G1408*E1395,"")</f>
        <v/>
      </c>
    </row>
    <row r="1409" spans="1:11" ht="12.75" customHeight="1">
      <c r="A1409" s="28"/>
      <c r="B1409" s="29"/>
      <c r="C1409" s="30" t="str">
        <f>IFERROR(_xlfn.XLOOKUP(B1409,Transporte[DESCRIPCION],Transporte[UND],,0),"")</f>
        <v/>
      </c>
      <c r="D1409" s="31"/>
      <c r="E1409" s="32" t="str">
        <f>IFERROR(_xlfn.XLOOKUP($B1409,Transporte[DESCRIPCION],Transporte[VALOR],,0),"")</f>
        <v/>
      </c>
      <c r="F1409" s="33"/>
      <c r="G1409" s="34" t="str">
        <f>IFERROR(IF(F1409&gt;=0,D1409*E1409*(1+F1409/100),ABS(D1409*E1409/F1409)),"")</f>
        <v/>
      </c>
      <c r="H1409" s="43" t="str">
        <f>IFERROR(G1409*E1395,"")</f>
        <v/>
      </c>
    </row>
    <row r="1410" spans="1:11" ht="12.75" customHeight="1">
      <c r="A1410" s="21"/>
      <c r="B1410" s="22" t="s">
        <v>3732</v>
      </c>
      <c r="C1410" s="23"/>
      <c r="D1410" s="24"/>
      <c r="E1410" s="25"/>
      <c r="F1410" s="26"/>
      <c r="G1410" s="27">
        <f>SUM(G1411:G1413)</f>
        <v>17466.152827500002</v>
      </c>
      <c r="H1410" s="44">
        <f>G1410*E1395</f>
        <v>0</v>
      </c>
    </row>
    <row r="1411" spans="1:11" ht="12.75" customHeight="1">
      <c r="A1411" s="28"/>
      <c r="B1411" s="29" t="s">
        <v>3710</v>
      </c>
      <c r="C1411" s="30" t="str">
        <f>IFERROR(_xlfn.XLOOKUP(B1411,MObra[DESCRIPCION],MObra[UN],,0),"")</f>
        <v>día</v>
      </c>
      <c r="D1411" s="31">
        <v>1</v>
      </c>
      <c r="E1411" s="32">
        <f>IFERROR(_xlfn.XLOOKUP($B1411,MObra[DESCRIPCION],MObra[VALOR UNIT],,0),"")</f>
        <v>314390.75089500006</v>
      </c>
      <c r="F1411" s="33">
        <v>-18</v>
      </c>
      <c r="G1411" s="34">
        <f>IFERROR(IF(F1411&gt;=0,D1411*E1411*(1+F1411/100),ABS(D1411*E1411/F1411)),"")</f>
        <v>17466.152827500002</v>
      </c>
      <c r="H1411" s="43">
        <f>IFERROR(G1411*E1395,"")</f>
        <v>0</v>
      </c>
    </row>
    <row r="1412" spans="1:11" ht="12.75" customHeight="1">
      <c r="A1412" s="28"/>
      <c r="B1412" s="29"/>
      <c r="C1412" s="30" t="str">
        <f t="array" ref="C1412">IFERROR(_xlfn.XLOOKUP(B1412,MObra[[#All],[DESCRIPCION]],MObra[[#All],[UN]],,0),"")</f>
        <v/>
      </c>
      <c r="D1412" s="31"/>
      <c r="E1412" s="32" t="str">
        <f>IFERROR(_xlfn.XLOOKUP($B1412,MObra[DESCRIPCION],MObra[VALOR UNIT],,0),"")</f>
        <v/>
      </c>
      <c r="F1412" s="33"/>
      <c r="G1412" s="34" t="str">
        <f>IFERROR(IF(F1412&gt;=0,D1412*E1412*(1+F1412/100),ABS(D1412*E1412/F1412)),"")</f>
        <v/>
      </c>
      <c r="H1412" s="43" t="str">
        <f>IFERROR(G1412*E1395,"")</f>
        <v/>
      </c>
    </row>
    <row r="1413" spans="1:11" ht="12.75" customHeight="1" thickBot="1">
      <c r="A1413" s="35"/>
      <c r="B1413" s="36"/>
      <c r="C1413" s="37" t="str">
        <f t="array" ref="C1413">IFERROR(_xlfn.XLOOKUP(B1413,MObra[[#All],[DESCRIPCION]],MObra[[#All],[UN]],,0),"")</f>
        <v/>
      </c>
      <c r="D1413" s="38"/>
      <c r="E1413" s="39" t="str">
        <f>IFERROR(_xlfn.XLOOKUP($B1413,MObra[DESCRIPCION],MObra[VALOR UNIT],,0),"")</f>
        <v/>
      </c>
      <c r="F1413" s="40"/>
      <c r="G1413" s="41" t="str">
        <f>IFERROR(IF(F1413&gt;=0,D1413*E1413*(1+F1413/100),ABS(D1413*E1413/F1413)),"")</f>
        <v/>
      </c>
      <c r="H1413" s="42" t="str">
        <f>IFERROR(G1413*E1395,"")</f>
        <v/>
      </c>
    </row>
    <row r="1414" spans="1:11" ht="12.75" customHeight="1" thickTop="1" thickBot="1"/>
    <row r="1415" spans="1:11" ht="12.75" customHeight="1" thickTop="1" thickBot="1">
      <c r="A1415" s="6" t="s">
        <v>1233</v>
      </c>
      <c r="B1415" s="7" t="str">
        <f>VLOOKUP($A1415,Presupuesto!$A:$D,2,FALSE())</f>
        <v>Flashing en manto L&lt;0.6m</v>
      </c>
      <c r="C1415" s="8" t="str">
        <f>VLOOKUP($A1415,Presupuesto!$A:$D,3,FALSE())</f>
        <v>M2</v>
      </c>
      <c r="D1415" s="9"/>
      <c r="E1415" s="10">
        <f>VLOOKUP($A1415,Presupuesto!$A:$D,4,FALSE())</f>
        <v>0</v>
      </c>
      <c r="F1415" s="11" t="s">
        <v>2589</v>
      </c>
      <c r="G1415" s="12">
        <f>SUM(G1417:G1433)/2</f>
        <v>73852.591303312525</v>
      </c>
      <c r="H1415" s="13">
        <f>ROUND(SUM(H1417:H1433),0)/2</f>
        <v>0</v>
      </c>
      <c r="I1415" s="10">
        <f>VLOOKUP(A1415,Presupuesto!$A:$F,6,0)</f>
        <v>0</v>
      </c>
      <c r="J1415" s="10">
        <f>+H1415-I1415</f>
        <v>0</v>
      </c>
      <c r="K1415" s="46">
        <f>+H1415-G1415*E1415</f>
        <v>0</v>
      </c>
    </row>
    <row r="1416" spans="1:11" ht="12.75" customHeight="1" thickTop="1">
      <c r="A1416" s="14"/>
      <c r="B1416" s="15" t="s">
        <v>2586</v>
      </c>
      <c r="C1416" s="15" t="s">
        <v>5</v>
      </c>
      <c r="D1416" s="16" t="s">
        <v>6</v>
      </c>
      <c r="E1416" s="17" t="s">
        <v>7</v>
      </c>
      <c r="F1416" s="18" t="s">
        <v>3728</v>
      </c>
      <c r="G1416" s="19" t="s">
        <v>3729</v>
      </c>
      <c r="H1416" s="20" t="s">
        <v>3797</v>
      </c>
    </row>
    <row r="1417" spans="1:11" ht="12.75" customHeight="1">
      <c r="A1417" s="21"/>
      <c r="B1417" s="22" t="s">
        <v>3730</v>
      </c>
      <c r="C1417" s="23"/>
      <c r="D1417" s="24"/>
      <c r="E1417" s="25"/>
      <c r="F1417" s="26"/>
      <c r="G1417" s="27">
        <f>SUM(G1418:G1422)</f>
        <v>40660.275600000008</v>
      </c>
      <c r="H1417" s="27">
        <f>IFERROR(G1417*E1415,"")</f>
        <v>0</v>
      </c>
    </row>
    <row r="1418" spans="1:11" ht="12.75" customHeight="1">
      <c r="A1418" s="28"/>
      <c r="B1418" s="29" t="s">
        <v>3148</v>
      </c>
      <c r="C1418" s="30" t="str">
        <f>IFERROR(_xlfn.XLOOKUP(B1418,Insumo[DESCRIPCION],Insumo[UND],,0),"")</f>
        <v>M2</v>
      </c>
      <c r="D1418" s="31">
        <v>1.67</v>
      </c>
      <c r="E1418" s="32">
        <f>IFERROR(_xlfn.XLOOKUP($B1418,Insumo[DESCRIPCION],Insumo[VALOR],,0),"")</f>
        <v>21243.600000000002</v>
      </c>
      <c r="F1418" s="33">
        <v>5</v>
      </c>
      <c r="G1418" s="34">
        <f>IFERROR(IF(F1418&gt;=0,D1418*E1418*(1+F1418/100),ABS(D1418*E1418/F1418)),"")</f>
        <v>37250.652600000009</v>
      </c>
      <c r="H1418" s="43">
        <f>IFERROR(G1418*E1415,"")</f>
        <v>0</v>
      </c>
    </row>
    <row r="1419" spans="1:11" ht="12.75" customHeight="1">
      <c r="A1419" s="28"/>
      <c r="B1419" s="29" t="s">
        <v>3212</v>
      </c>
      <c r="C1419" s="30" t="str">
        <f>IFERROR(_xlfn.XLOOKUP(B1419,Insumo[DESCRIPCION],Insumo[UND],,0),"")</f>
        <v>Un</v>
      </c>
      <c r="D1419" s="31">
        <v>0.03</v>
      </c>
      <c r="E1419" s="32">
        <f>IFERROR(_xlfn.XLOOKUP($B1419,Insumo[DESCRIPCION],Insumo[VALOR],,0),"")</f>
        <v>113654.1</v>
      </c>
      <c r="F1419" s="33"/>
      <c r="G1419" s="34">
        <f>IFERROR(IF(F1419&gt;=0,D1419*E1419*(1+F1419/100),ABS(D1419*E1419/F1419)),"")</f>
        <v>3409.623</v>
      </c>
      <c r="H1419" s="43">
        <f>IFERROR(G1419*E1415,"")</f>
        <v>0</v>
      </c>
    </row>
    <row r="1420" spans="1:11" ht="12.75" customHeight="1">
      <c r="A1420" s="28"/>
      <c r="B1420" s="29"/>
      <c r="C1420" s="30" t="str">
        <f>IFERROR(_xlfn.XLOOKUP(B1420,Insumo[DESCRIPCION],Insumo[UND],,0),"")</f>
        <v/>
      </c>
      <c r="D1420" s="31"/>
      <c r="E1420" s="32" t="str">
        <f>IFERROR(_xlfn.XLOOKUP($B1420,Insumo[DESCRIPCION],Insumo[VALOR],,0),"")</f>
        <v/>
      </c>
      <c r="F1420" s="33"/>
      <c r="G1420" s="34" t="str">
        <f>IFERROR(IF(F1420&gt;=0,D1420*E1420*(1+F1420/100),ABS(D1420*E1420/F1420)),"")</f>
        <v/>
      </c>
      <c r="H1420" s="43" t="str">
        <f>IFERROR(G1420*E1415,"")</f>
        <v/>
      </c>
    </row>
    <row r="1421" spans="1:11" ht="12.75" customHeight="1">
      <c r="A1421" s="28"/>
      <c r="B1421" s="29"/>
      <c r="C1421" s="30" t="str">
        <f>IFERROR(_xlfn.XLOOKUP(B1421,Insumo[DESCRIPCION],Insumo[UND],,0),"")</f>
        <v/>
      </c>
      <c r="D1421" s="31"/>
      <c r="E1421" s="32" t="str">
        <f>IFERROR(_xlfn.XLOOKUP($B1421,Insumo[DESCRIPCION],Insumo[VALOR],,0),"")</f>
        <v/>
      </c>
      <c r="F1421" s="33"/>
      <c r="G1421" s="34" t="str">
        <f>IFERROR(IF(F1421&gt;=0,D1421*E1421*(1+F1421/100),ABS(D1421*E1421/F1421)),"")</f>
        <v/>
      </c>
      <c r="H1421" s="43" t="str">
        <f>IFERROR(G1421*E1415,"")</f>
        <v/>
      </c>
    </row>
    <row r="1422" spans="1:11" ht="12.75" customHeight="1">
      <c r="A1422" s="28"/>
      <c r="B1422" s="29"/>
      <c r="C1422" s="30" t="str">
        <f>IFERROR(_xlfn.XLOOKUP(B1422,Insumo[DESCRIPCION],Insumo[UND],,0),"")</f>
        <v/>
      </c>
      <c r="D1422" s="31"/>
      <c r="E1422" s="32" t="str">
        <f>IFERROR(_xlfn.XLOOKUP($B1422,Insumo[DESCRIPCION],Insumo[VALOR],,0),"")</f>
        <v/>
      </c>
      <c r="F1422" s="33"/>
      <c r="G1422" s="34" t="str">
        <f>IFERROR(IF(F1422&gt;=0,D1422*E1422*(1+F1422/100),ABS(D1422*E1422/F1422)),"")</f>
        <v/>
      </c>
      <c r="H1422" s="43" t="str">
        <f>IFERROR(G1422*E1415,"")</f>
        <v/>
      </c>
    </row>
    <row r="1423" spans="1:11" ht="12.75" customHeight="1">
      <c r="A1423" s="21"/>
      <c r="B1423" s="22" t="s">
        <v>3731</v>
      </c>
      <c r="C1423" s="23"/>
      <c r="D1423" s="24"/>
      <c r="E1423" s="25"/>
      <c r="F1423" s="26"/>
      <c r="G1423" s="27">
        <f>SUM(G1424:G1426)</f>
        <v>6993.0864620625007</v>
      </c>
      <c r="H1423" s="44">
        <f>G1423*E1415</f>
        <v>0</v>
      </c>
    </row>
    <row r="1424" spans="1:11" ht="12.75" customHeight="1">
      <c r="A1424" s="28"/>
      <c r="B1424" s="29" t="s">
        <v>3649</v>
      </c>
      <c r="C1424" s="30" t="str">
        <f>IFERROR(_xlfn.XLOOKUP(B1424,Equipo[DESCRIPCION],Equipo[UND],,0),"")</f>
        <v>Día</v>
      </c>
      <c r="D1424" s="31">
        <v>1</v>
      </c>
      <c r="E1424" s="32">
        <f>IF(C1424="%MO",G1430,IFERROR(_xlfn.XLOOKUP($B1424,Equipo[DESCRIPCION],Equipo[VALOR],,0),""))</f>
        <v>56831.25</v>
      </c>
      <c r="F1424" s="33">
        <v>-10</v>
      </c>
      <c r="G1424" s="34">
        <f>IFERROR(IF(F1424&gt;=0,D1424*E1424*(1+F1424/100),ABS(D1424*E1424/F1424)),"")</f>
        <v>5683.125</v>
      </c>
      <c r="H1424" s="43">
        <f>IFERROR(G1424*E1415,"")</f>
        <v>0</v>
      </c>
    </row>
    <row r="1425" spans="1:11" ht="12.75" customHeight="1">
      <c r="A1425" s="28"/>
      <c r="B1425" s="29" t="s">
        <v>3626</v>
      </c>
      <c r="C1425" s="30" t="str">
        <f>IFERROR(_xlfn.XLOOKUP(B1425,Equipo[DESCRIPCION],Equipo[UND],,0),"")</f>
        <v>%MO</v>
      </c>
      <c r="D1425" s="31">
        <v>0.05</v>
      </c>
      <c r="E1425" s="32">
        <f>IF(C1425="%MO",G1430,IFERROR(_xlfn.XLOOKUP($B1425,Equipo[DESCRIPCION],Equipo[VALOR],,0),""))</f>
        <v>26199.229241250006</v>
      </c>
      <c r="F1425" s="33"/>
      <c r="G1425" s="34">
        <f>IFERROR(IF(F1425&gt;=0,D1425*E1425*(1+F1425/100),ABS(D1425*E1425/F1425)),"")</f>
        <v>1309.9614620625005</v>
      </c>
      <c r="H1425" s="43">
        <f>IFERROR(G1425*E1415,"")</f>
        <v>0</v>
      </c>
    </row>
    <row r="1426" spans="1:11" ht="12.75" customHeight="1">
      <c r="A1426" s="28"/>
      <c r="B1426" s="29"/>
      <c r="C1426" s="30" t="str">
        <f>IFERROR(_xlfn.XLOOKUP(B1426,Equipo[DESCRIPCION],Equipo[UND],,0),"")</f>
        <v/>
      </c>
      <c r="D1426" s="31"/>
      <c r="E1426" s="32" t="str">
        <f>IF(C1426="%MO",G1430,IFERROR(_xlfn.XLOOKUP($B1426,Equipo[DESCRIPCION],Equipo[VALOR],,0),""))</f>
        <v/>
      </c>
      <c r="F1426" s="33"/>
      <c r="G1426" s="34" t="str">
        <f>IFERROR(IF(F1426&gt;=0,D1426*E1426*(1+F1426/100),ABS(D1426*E1426/F1426)),"")</f>
        <v/>
      </c>
      <c r="H1426" s="43" t="str">
        <f>IFERROR(G1426*E1415,"")</f>
        <v/>
      </c>
    </row>
    <row r="1427" spans="1:11" ht="12.75" customHeight="1">
      <c r="A1427" s="21"/>
      <c r="B1427" s="22" t="s">
        <v>2533</v>
      </c>
      <c r="C1427" s="23"/>
      <c r="D1427" s="24"/>
      <c r="E1427" s="25"/>
      <c r="F1427" s="26"/>
      <c r="G1427" s="27">
        <f>SUM(G1428:G1429)</f>
        <v>0</v>
      </c>
      <c r="H1427" s="44">
        <f>G1427*E1415</f>
        <v>0</v>
      </c>
    </row>
    <row r="1428" spans="1:11" ht="12.75" customHeight="1">
      <c r="A1428" s="28"/>
      <c r="B1428" s="29"/>
      <c r="C1428" s="30" t="str">
        <f>IFERROR(_xlfn.XLOOKUP(B1428,Transporte[DESCRIPCION],Transporte[UND],,0),"")</f>
        <v/>
      </c>
      <c r="D1428" s="31"/>
      <c r="E1428" s="32" t="str">
        <f>IFERROR(_xlfn.XLOOKUP($B1428,Transporte[DESCRIPCION],Transporte[VALOR],,0),"")</f>
        <v/>
      </c>
      <c r="F1428" s="33"/>
      <c r="G1428" s="34" t="str">
        <f>IFERROR(IF(F1428&gt;=0,D1428*E1428*(1+F1428/100),ABS(D1428*E1428/F1428)),"")</f>
        <v/>
      </c>
      <c r="H1428" s="43" t="str">
        <f>IFERROR(G1428*E1415,"")</f>
        <v/>
      </c>
    </row>
    <row r="1429" spans="1:11" ht="12.75" customHeight="1">
      <c r="A1429" s="28"/>
      <c r="B1429" s="29"/>
      <c r="C1429" s="30" t="str">
        <f>IFERROR(_xlfn.XLOOKUP(B1429,Transporte[DESCRIPCION],Transporte[UND],,0),"")</f>
        <v/>
      </c>
      <c r="D1429" s="31"/>
      <c r="E1429" s="32" t="str">
        <f>IFERROR(_xlfn.XLOOKUP($B1429,Transporte[DESCRIPCION],Transporte[VALOR],,0),"")</f>
        <v/>
      </c>
      <c r="F1429" s="33"/>
      <c r="G1429" s="34" t="str">
        <f>IFERROR(IF(F1429&gt;=0,D1429*E1429*(1+F1429/100),ABS(D1429*E1429/F1429)),"")</f>
        <v/>
      </c>
      <c r="H1429" s="43" t="str">
        <f>IFERROR(G1429*E1415,"")</f>
        <v/>
      </c>
    </row>
    <row r="1430" spans="1:11" ht="12.75" customHeight="1">
      <c r="A1430" s="21"/>
      <c r="B1430" s="22" t="s">
        <v>3732</v>
      </c>
      <c r="C1430" s="23"/>
      <c r="D1430" s="24"/>
      <c r="E1430" s="25"/>
      <c r="F1430" s="26"/>
      <c r="G1430" s="27">
        <f>SUM(G1431:G1433)</f>
        <v>26199.229241250006</v>
      </c>
      <c r="H1430" s="44">
        <f>G1430*E1415</f>
        <v>0</v>
      </c>
    </row>
    <row r="1431" spans="1:11" ht="12.75" customHeight="1">
      <c r="A1431" s="28"/>
      <c r="B1431" s="29" t="s">
        <v>3710</v>
      </c>
      <c r="C1431" s="30" t="str">
        <f>IFERROR(_xlfn.XLOOKUP(B1431,MObra[DESCRIPCION],MObra[UN],,0),"")</f>
        <v>día</v>
      </c>
      <c r="D1431" s="31">
        <v>1</v>
      </c>
      <c r="E1431" s="32">
        <f>IFERROR(_xlfn.XLOOKUP($B1431,MObra[DESCRIPCION],MObra[VALOR UNIT],,0),"")</f>
        <v>314390.75089500006</v>
      </c>
      <c r="F1431" s="33">
        <v>-12</v>
      </c>
      <c r="G1431" s="34">
        <f>IFERROR(IF(F1431&gt;=0,D1431*E1431*(1+F1431/100),ABS(D1431*E1431/F1431)),"")</f>
        <v>26199.229241250006</v>
      </c>
      <c r="H1431" s="43">
        <f>IFERROR(G1431*E1415,"")</f>
        <v>0</v>
      </c>
    </row>
    <row r="1432" spans="1:11" ht="12.75" customHeight="1">
      <c r="A1432" s="28"/>
      <c r="B1432" s="29"/>
      <c r="C1432" s="30" t="str">
        <f t="array" ref="C1432">IFERROR(_xlfn.XLOOKUP(B1432,MObra[[#All],[DESCRIPCION]],MObra[[#All],[UN]],,0),"")</f>
        <v/>
      </c>
      <c r="D1432" s="31"/>
      <c r="E1432" s="32" t="str">
        <f>IFERROR(_xlfn.XLOOKUP($B1432,MObra[DESCRIPCION],MObra[VALOR UNIT],,0),"")</f>
        <v/>
      </c>
      <c r="F1432" s="33"/>
      <c r="G1432" s="34" t="str">
        <f>IFERROR(IF(F1432&gt;=0,D1432*E1432*(1+F1432/100),ABS(D1432*E1432/F1432)),"")</f>
        <v/>
      </c>
      <c r="H1432" s="43" t="str">
        <f>IFERROR(G1432*E1415,"")</f>
        <v/>
      </c>
    </row>
    <row r="1433" spans="1:11" ht="12.75" customHeight="1" thickBot="1">
      <c r="A1433" s="35"/>
      <c r="B1433" s="36"/>
      <c r="C1433" s="37" t="str">
        <f t="array" ref="C1433">IFERROR(_xlfn.XLOOKUP(B1433,MObra[[#All],[DESCRIPCION]],MObra[[#All],[UN]],,0),"")</f>
        <v/>
      </c>
      <c r="D1433" s="38"/>
      <c r="E1433" s="39" t="str">
        <f>IFERROR(_xlfn.XLOOKUP($B1433,MObra[DESCRIPCION],MObra[VALOR UNIT],,0),"")</f>
        <v/>
      </c>
      <c r="F1433" s="40"/>
      <c r="G1433" s="41" t="str">
        <f>IFERROR(IF(F1433&gt;=0,D1433*E1433*(1+F1433/100),ABS(D1433*E1433/F1433)),"")</f>
        <v/>
      </c>
      <c r="H1433" s="42" t="str">
        <f>IFERROR(G1433*E1415,"")</f>
        <v/>
      </c>
    </row>
    <row r="1434" spans="1:11" ht="12.75" customHeight="1" thickTop="1" thickBot="1"/>
    <row r="1435" spans="1:11" ht="12.75" customHeight="1" thickTop="1" thickBot="1">
      <c r="A1435" s="6" t="s">
        <v>1235</v>
      </c>
      <c r="B1435" s="7" t="str">
        <f>VLOOKUP($A1435,Presupuesto!$A:$D,2,FALSE())</f>
        <v>Flashing lámina C 24</v>
      </c>
      <c r="C1435" s="8" t="str">
        <f>VLOOKUP($A1435,Presupuesto!$A:$D,3,FALSE())</f>
        <v>M</v>
      </c>
      <c r="D1435" s="9"/>
      <c r="E1435" s="10">
        <f>VLOOKUP($A1435,Presupuesto!$A:$D,4,FALSE())</f>
        <v>0</v>
      </c>
      <c r="F1435" s="11" t="s">
        <v>2589</v>
      </c>
      <c r="G1435" s="12">
        <f>SUM(G1437:G1453)/2</f>
        <v>41219.48935853572</v>
      </c>
      <c r="H1435" s="13">
        <f>ROUND(SUM(H1437:H1453),0)/2</f>
        <v>0</v>
      </c>
      <c r="I1435" s="10">
        <f>VLOOKUP(A1435,Presupuesto!$A:$F,6,0)</f>
        <v>0</v>
      </c>
      <c r="J1435" s="10">
        <f>+H1435-I1435</f>
        <v>0</v>
      </c>
      <c r="K1435" s="46">
        <f>+H1435-G1435*E1435</f>
        <v>0</v>
      </c>
    </row>
    <row r="1436" spans="1:11" ht="12.75" customHeight="1" thickTop="1">
      <c r="A1436" s="14"/>
      <c r="B1436" s="15" t="s">
        <v>2586</v>
      </c>
      <c r="C1436" s="15" t="s">
        <v>5</v>
      </c>
      <c r="D1436" s="16" t="s">
        <v>6</v>
      </c>
      <c r="E1436" s="17" t="s">
        <v>7</v>
      </c>
      <c r="F1436" s="18" t="s">
        <v>3728</v>
      </c>
      <c r="G1436" s="19" t="s">
        <v>3729</v>
      </c>
      <c r="H1436" s="20" t="s">
        <v>3797</v>
      </c>
    </row>
    <row r="1437" spans="1:11" ht="12.75" customHeight="1">
      <c r="A1437" s="21"/>
      <c r="B1437" s="22" t="s">
        <v>3730</v>
      </c>
      <c r="C1437" s="23"/>
      <c r="D1437" s="24"/>
      <c r="E1437" s="25"/>
      <c r="F1437" s="26"/>
      <c r="G1437" s="27">
        <f>SUM(G1438:G1442)</f>
        <v>24002.853000000003</v>
      </c>
      <c r="H1437" s="27">
        <f>IFERROR(G1437*E1435,"")</f>
        <v>0</v>
      </c>
    </row>
    <row r="1438" spans="1:11" ht="12.75" customHeight="1">
      <c r="A1438" s="28"/>
      <c r="B1438" s="29" t="s">
        <v>3032</v>
      </c>
      <c r="C1438" s="30" t="str">
        <f>IFERROR(_xlfn.XLOOKUP(B1438,Insumo[DESCRIPCION],Insumo[UND],,0),"")</f>
        <v>M2</v>
      </c>
      <c r="D1438" s="31">
        <v>0.15</v>
      </c>
      <c r="E1438" s="32">
        <f>IFERROR(_xlfn.XLOOKUP($B1438,Insumo[DESCRIPCION],Insumo[VALOR],,0),"")</f>
        <v>90921.600000000006</v>
      </c>
      <c r="F1438" s="33"/>
      <c r="G1438" s="34">
        <f>IFERROR(IF(F1438&gt;=0,D1438*E1438*(1+F1438/100),ABS(D1438*E1438/F1438)),"")</f>
        <v>13638.24</v>
      </c>
      <c r="H1438" s="43">
        <f>IFERROR(G1438*E1435,"")</f>
        <v>0</v>
      </c>
    </row>
    <row r="1439" spans="1:11" ht="12.75" customHeight="1">
      <c r="A1439" s="28"/>
      <c r="B1439" s="29" t="s">
        <v>3407</v>
      </c>
      <c r="C1439" s="30" t="str">
        <f>IFERROR(_xlfn.XLOOKUP(B1439,Insumo[DESCRIPCION],Insumo[UND],,0),"")</f>
        <v>Un</v>
      </c>
      <c r="D1439" s="31">
        <v>2</v>
      </c>
      <c r="E1439" s="32">
        <f>IFERROR(_xlfn.XLOOKUP($B1439,Insumo[DESCRIPCION],Insumo[VALOR],,0),"")</f>
        <v>77.7</v>
      </c>
      <c r="F1439" s="33"/>
      <c r="G1439" s="34">
        <f>IFERROR(IF(F1439&gt;=0,D1439*E1439*(1+F1439/100),ABS(D1439*E1439/F1439)),"")</f>
        <v>155.4</v>
      </c>
      <c r="H1439" s="43">
        <f>IFERROR(G1439*E1435,"")</f>
        <v>0</v>
      </c>
    </row>
    <row r="1440" spans="1:11" ht="12.75" customHeight="1">
      <c r="A1440" s="28"/>
      <c r="B1440" s="29" t="s">
        <v>3309</v>
      </c>
      <c r="C1440" s="30" t="str">
        <f>IFERROR(_xlfn.XLOOKUP(B1440,Insumo[DESCRIPCION],Insumo[UND],,0),"")</f>
        <v>Un</v>
      </c>
      <c r="D1440" s="31">
        <v>0.18</v>
      </c>
      <c r="E1440" s="32">
        <f>IFERROR(_xlfn.XLOOKUP($B1440,Insumo[DESCRIPCION],Insumo[VALOR],,0),"")</f>
        <v>56717.850000000006</v>
      </c>
      <c r="F1440" s="33"/>
      <c r="G1440" s="34">
        <f>IFERROR(IF(F1440&gt;=0,D1440*E1440*(1+F1440/100),ABS(D1440*E1440/F1440)),"")</f>
        <v>10209.213000000002</v>
      </c>
      <c r="H1440" s="43">
        <f>IFERROR(G1440*E1435,"")</f>
        <v>0</v>
      </c>
    </row>
    <row r="1441" spans="1:11" ht="12.75" customHeight="1">
      <c r="A1441" s="28"/>
      <c r="B1441" s="29"/>
      <c r="C1441" s="30" t="str">
        <f>IFERROR(_xlfn.XLOOKUP(B1441,Insumo[DESCRIPCION],Insumo[UND],,0),"")</f>
        <v/>
      </c>
      <c r="D1441" s="31"/>
      <c r="E1441" s="32" t="str">
        <f>IFERROR(_xlfn.XLOOKUP($B1441,Insumo[DESCRIPCION],Insumo[VALOR],,0),"")</f>
        <v/>
      </c>
      <c r="F1441" s="33"/>
      <c r="G1441" s="34" t="str">
        <f>IFERROR(IF(F1441&gt;=0,D1441*E1441*(1+F1441/100),ABS(D1441*E1441/F1441)),"")</f>
        <v/>
      </c>
      <c r="H1441" s="43" t="str">
        <f>IFERROR(G1441*E1435,"")</f>
        <v/>
      </c>
    </row>
    <row r="1442" spans="1:11" ht="12.75" customHeight="1">
      <c r="A1442" s="28"/>
      <c r="B1442" s="29"/>
      <c r="C1442" s="30" t="str">
        <f>IFERROR(_xlfn.XLOOKUP(B1442,Insumo[DESCRIPCION],Insumo[UND],,0),"")</f>
        <v/>
      </c>
      <c r="D1442" s="31"/>
      <c r="E1442" s="32" t="str">
        <f>IFERROR(_xlfn.XLOOKUP($B1442,Insumo[DESCRIPCION],Insumo[VALOR],,0),"")</f>
        <v/>
      </c>
      <c r="F1442" s="33"/>
      <c r="G1442" s="34" t="str">
        <f>IFERROR(IF(F1442&gt;=0,D1442*E1442*(1+F1442/100),ABS(D1442*E1442/F1442)),"")</f>
        <v/>
      </c>
      <c r="H1442" s="43" t="str">
        <f>IFERROR(G1442*E1435,"")</f>
        <v/>
      </c>
    </row>
    <row r="1443" spans="1:11" ht="12.75" customHeight="1">
      <c r="A1443" s="21"/>
      <c r="B1443" s="22" t="s">
        <v>3731</v>
      </c>
      <c r="C1443" s="23"/>
      <c r="D1443" s="24"/>
      <c r="E1443" s="25"/>
      <c r="F1443" s="26"/>
      <c r="G1443" s="27">
        <f>SUM(G1444:G1446)</f>
        <v>2245.6482206785722</v>
      </c>
      <c r="H1443" s="44">
        <f>G1443*E1435</f>
        <v>0</v>
      </c>
    </row>
    <row r="1444" spans="1:11" ht="12.75" customHeight="1">
      <c r="A1444" s="28"/>
      <c r="B1444" s="29" t="s">
        <v>3573</v>
      </c>
      <c r="C1444" s="30" t="str">
        <f>IFERROR(_xlfn.XLOOKUP(B1444,Equipo[DESCRIPCION],Equipo[UND],,0),"")</f>
        <v>%MO</v>
      </c>
      <c r="D1444" s="31">
        <v>0.1</v>
      </c>
      <c r="E1444" s="32">
        <f>IF(C1444="%MO",G1450,IFERROR(_xlfn.XLOOKUP($B1444,Equipo[DESCRIPCION],Equipo[VALOR],,0),""))</f>
        <v>14970.988137857146</v>
      </c>
      <c r="F1444" s="33"/>
      <c r="G1444" s="34">
        <f>IFERROR(IF(F1444&gt;=0,D1444*E1444*(1+F1444/100),ABS(D1444*E1444/F1444)),"")</f>
        <v>1497.0988137857148</v>
      </c>
      <c r="H1444" s="43">
        <f>IFERROR(G1444*E1435,"")</f>
        <v>0</v>
      </c>
    </row>
    <row r="1445" spans="1:11" ht="12.75" customHeight="1">
      <c r="A1445" s="28"/>
      <c r="B1445" s="29" t="s">
        <v>3626</v>
      </c>
      <c r="C1445" s="30" t="str">
        <f>IFERROR(_xlfn.XLOOKUP(B1445,Equipo[DESCRIPCION],Equipo[UND],,0),"")</f>
        <v>%MO</v>
      </c>
      <c r="D1445" s="31">
        <v>0.05</v>
      </c>
      <c r="E1445" s="32">
        <f>IF(C1445="%MO",G1450,IFERROR(_xlfn.XLOOKUP($B1445,Equipo[DESCRIPCION],Equipo[VALOR],,0),""))</f>
        <v>14970.988137857146</v>
      </c>
      <c r="F1445" s="33"/>
      <c r="G1445" s="34">
        <f>IFERROR(IF(F1445&gt;=0,D1445*E1445*(1+F1445/100),ABS(D1445*E1445/F1445)),"")</f>
        <v>748.54940689285741</v>
      </c>
      <c r="H1445" s="43">
        <f>IFERROR(G1445*E1435,"")</f>
        <v>0</v>
      </c>
    </row>
    <row r="1446" spans="1:11" ht="12.75" customHeight="1">
      <c r="A1446" s="28"/>
      <c r="B1446" s="29"/>
      <c r="C1446" s="30" t="str">
        <f>IFERROR(_xlfn.XLOOKUP(B1446,Equipo[DESCRIPCION],Equipo[UND],,0),"")</f>
        <v/>
      </c>
      <c r="D1446" s="31"/>
      <c r="E1446" s="32" t="str">
        <f>IF(C1446="%MO",G1450,IFERROR(_xlfn.XLOOKUP($B1446,Equipo[DESCRIPCION],Equipo[VALOR],,0),""))</f>
        <v/>
      </c>
      <c r="F1446" s="33"/>
      <c r="G1446" s="34" t="str">
        <f>IFERROR(IF(F1446&gt;=0,D1446*E1446*(1+F1446/100),ABS(D1446*E1446/F1446)),"")</f>
        <v/>
      </c>
      <c r="H1446" s="43" t="str">
        <f>IFERROR(G1446*E1435,"")</f>
        <v/>
      </c>
    </row>
    <row r="1447" spans="1:11" ht="12.75" customHeight="1">
      <c r="A1447" s="21"/>
      <c r="B1447" s="22" t="s">
        <v>2533</v>
      </c>
      <c r="C1447" s="23"/>
      <c r="D1447" s="24"/>
      <c r="E1447" s="25"/>
      <c r="F1447" s="26"/>
      <c r="G1447" s="27">
        <f>SUM(G1448:G1449)</f>
        <v>0</v>
      </c>
      <c r="H1447" s="44">
        <f>G1447*E1435</f>
        <v>0</v>
      </c>
    </row>
    <row r="1448" spans="1:11" ht="12.75" customHeight="1">
      <c r="A1448" s="28"/>
      <c r="B1448" s="29"/>
      <c r="C1448" s="30" t="str">
        <f>IFERROR(_xlfn.XLOOKUP(B1448,Transporte[DESCRIPCION],Transporte[UND],,0),"")</f>
        <v/>
      </c>
      <c r="D1448" s="31"/>
      <c r="E1448" s="32" t="str">
        <f>IFERROR(_xlfn.XLOOKUP($B1448,Transporte[DESCRIPCION],Transporte[VALOR],,0),"")</f>
        <v/>
      </c>
      <c r="F1448" s="33"/>
      <c r="G1448" s="34" t="str">
        <f>IFERROR(IF(F1448&gt;=0,D1448*E1448*(1+F1448/100),ABS(D1448*E1448/F1448)),"")</f>
        <v/>
      </c>
      <c r="H1448" s="43" t="str">
        <f>IFERROR(G1448*E1435,"")</f>
        <v/>
      </c>
    </row>
    <row r="1449" spans="1:11" ht="12.75" customHeight="1">
      <c r="A1449" s="28"/>
      <c r="B1449" s="29"/>
      <c r="C1449" s="30" t="str">
        <f>IFERROR(_xlfn.XLOOKUP(B1449,Transporte[DESCRIPCION],Transporte[UND],,0),"")</f>
        <v/>
      </c>
      <c r="D1449" s="31"/>
      <c r="E1449" s="32" t="str">
        <f>IFERROR(_xlfn.XLOOKUP($B1449,Transporte[DESCRIPCION],Transporte[VALOR],,0),"")</f>
        <v/>
      </c>
      <c r="F1449" s="33"/>
      <c r="G1449" s="34" t="str">
        <f>IFERROR(IF(F1449&gt;=0,D1449*E1449*(1+F1449/100),ABS(D1449*E1449/F1449)),"")</f>
        <v/>
      </c>
      <c r="H1449" s="43" t="str">
        <f>IFERROR(G1449*E1435,"")</f>
        <v/>
      </c>
    </row>
    <row r="1450" spans="1:11" ht="12.75" customHeight="1">
      <c r="A1450" s="21"/>
      <c r="B1450" s="22" t="s">
        <v>3732</v>
      </c>
      <c r="C1450" s="23"/>
      <c r="D1450" s="24"/>
      <c r="E1450" s="25"/>
      <c r="F1450" s="26"/>
      <c r="G1450" s="27">
        <f>SUM(G1451:G1453)</f>
        <v>14970.988137857146</v>
      </c>
      <c r="H1450" s="44">
        <f>G1450*E1435</f>
        <v>0</v>
      </c>
    </row>
    <row r="1451" spans="1:11" ht="12.75" customHeight="1">
      <c r="A1451" s="28"/>
      <c r="B1451" s="29" t="s">
        <v>3710</v>
      </c>
      <c r="C1451" s="30" t="str">
        <f>IFERROR(_xlfn.XLOOKUP(B1451,MObra[DESCRIPCION],MObra[UN],,0),"")</f>
        <v>día</v>
      </c>
      <c r="D1451" s="31">
        <v>1</v>
      </c>
      <c r="E1451" s="32">
        <f>IFERROR(_xlfn.XLOOKUP($B1451,MObra[DESCRIPCION],MObra[VALOR UNIT],,0),"")</f>
        <v>314390.75089500006</v>
      </c>
      <c r="F1451" s="33">
        <v>-21</v>
      </c>
      <c r="G1451" s="34">
        <f>IFERROR(IF(F1451&gt;=0,D1451*E1451*(1+F1451/100),ABS(D1451*E1451/F1451)),"")</f>
        <v>14970.988137857146</v>
      </c>
      <c r="H1451" s="43">
        <f>IFERROR(G1451*E1435,"")</f>
        <v>0</v>
      </c>
    </row>
    <row r="1452" spans="1:11" ht="12.75" customHeight="1">
      <c r="A1452" s="28"/>
      <c r="B1452" s="29"/>
      <c r="C1452" s="30" t="str">
        <f t="array" ref="C1452">IFERROR(_xlfn.XLOOKUP(B1452,MObra[[#All],[DESCRIPCION]],MObra[[#All],[UN]],,0),"")</f>
        <v/>
      </c>
      <c r="D1452" s="31"/>
      <c r="E1452" s="32" t="str">
        <f>IFERROR(_xlfn.XLOOKUP($B1452,MObra[DESCRIPCION],MObra[VALOR UNIT],,0),"")</f>
        <v/>
      </c>
      <c r="F1452" s="33"/>
      <c r="G1452" s="34" t="str">
        <f>IFERROR(IF(F1452&gt;=0,D1452*E1452*(1+F1452/100),ABS(D1452*E1452/F1452)),"")</f>
        <v/>
      </c>
      <c r="H1452" s="43" t="str">
        <f>IFERROR(G1452*E1435,"")</f>
        <v/>
      </c>
    </row>
    <row r="1453" spans="1:11" ht="12.75" customHeight="1" thickBot="1">
      <c r="A1453" s="35"/>
      <c r="B1453" s="36"/>
      <c r="C1453" s="37" t="str">
        <f t="array" ref="C1453">IFERROR(_xlfn.XLOOKUP(B1453,MObra[[#All],[DESCRIPCION]],MObra[[#All],[UN]],,0),"")</f>
        <v/>
      </c>
      <c r="D1453" s="38"/>
      <c r="E1453" s="39" t="str">
        <f>IFERROR(_xlfn.XLOOKUP($B1453,MObra[DESCRIPCION],MObra[VALOR UNIT],,0),"")</f>
        <v/>
      </c>
      <c r="F1453" s="40"/>
      <c r="G1453" s="41" t="str">
        <f>IFERROR(IF(F1453&gt;=0,D1453*E1453*(1+F1453/100),ABS(D1453*E1453/F1453)),"")</f>
        <v/>
      </c>
      <c r="H1453" s="42" t="str">
        <f>IFERROR(G1453*E1435,"")</f>
        <v/>
      </c>
    </row>
    <row r="1454" spans="1:11" ht="12.75" customHeight="1" thickTop="1" thickBot="1"/>
    <row r="1455" spans="1:11" ht="12.75" customHeight="1" thickTop="1" thickBot="1">
      <c r="A1455" s="6" t="s">
        <v>1237</v>
      </c>
      <c r="B1455" s="7" t="str">
        <f>VLOOKUP($A1455,Presupuesto!$A:$D,2,FALSE())</f>
        <v>Flashing lámina C 26</v>
      </c>
      <c r="C1455" s="8" t="str">
        <f>VLOOKUP($A1455,Presupuesto!$A:$D,3,FALSE())</f>
        <v>M</v>
      </c>
      <c r="D1455" s="9"/>
      <c r="E1455" s="10">
        <f>VLOOKUP($A1455,Presupuesto!$A:$D,4,FALSE())</f>
        <v>0</v>
      </c>
      <c r="F1455" s="11" t="s">
        <v>2589</v>
      </c>
      <c r="G1455" s="12">
        <f>SUM(G1457:G1473)/2</f>
        <v>40724.624358535722</v>
      </c>
      <c r="H1455" s="13">
        <f>ROUND(SUM(H1457:H1473),0)/2</f>
        <v>0</v>
      </c>
      <c r="I1455" s="10">
        <f>VLOOKUP(A1455,Presupuesto!$A:$F,6,0)</f>
        <v>0</v>
      </c>
      <c r="J1455" s="10">
        <f>+H1455-I1455</f>
        <v>0</v>
      </c>
      <c r="K1455" s="46">
        <f>+H1455-G1455*E1455</f>
        <v>0</v>
      </c>
    </row>
    <row r="1456" spans="1:11" ht="12.75" customHeight="1" thickTop="1">
      <c r="A1456" s="14"/>
      <c r="B1456" s="15" t="s">
        <v>2586</v>
      </c>
      <c r="C1456" s="15" t="s">
        <v>5</v>
      </c>
      <c r="D1456" s="16" t="s">
        <v>6</v>
      </c>
      <c r="E1456" s="17" t="s">
        <v>7</v>
      </c>
      <c r="F1456" s="18" t="s">
        <v>3728</v>
      </c>
      <c r="G1456" s="19" t="s">
        <v>3729</v>
      </c>
      <c r="H1456" s="20" t="s">
        <v>3797</v>
      </c>
    </row>
    <row r="1457" spans="1:8" ht="12.75" customHeight="1">
      <c r="A1457" s="21"/>
      <c r="B1457" s="22" t="s">
        <v>3730</v>
      </c>
      <c r="C1457" s="23"/>
      <c r="D1457" s="24"/>
      <c r="E1457" s="25"/>
      <c r="F1457" s="26"/>
      <c r="G1457" s="27">
        <f>SUM(G1458:G1462)</f>
        <v>23507.988000000001</v>
      </c>
      <c r="H1457" s="27">
        <f>IFERROR(G1457*E1455,"")</f>
        <v>0</v>
      </c>
    </row>
    <row r="1458" spans="1:8" ht="12.75" customHeight="1">
      <c r="A1458" s="28"/>
      <c r="B1458" s="29" t="s">
        <v>3033</v>
      </c>
      <c r="C1458" s="30" t="str">
        <f>IFERROR(_xlfn.XLOOKUP(B1458,Insumo[DESCRIPCION],Insumo[UND],,0),"")</f>
        <v>M2</v>
      </c>
      <c r="D1458" s="31">
        <v>0.15</v>
      </c>
      <c r="E1458" s="32">
        <f>IFERROR(_xlfn.XLOOKUP($B1458,Insumo[DESCRIPCION],Insumo[VALOR],,0),"")</f>
        <v>87622.5</v>
      </c>
      <c r="F1458" s="33"/>
      <c r="G1458" s="34">
        <f>IFERROR(IF(F1458&gt;=0,D1458*E1458*(1+F1458/100),ABS(D1458*E1458/F1458)),"")</f>
        <v>13143.375</v>
      </c>
      <c r="H1458" s="43">
        <f>IFERROR(G1458*E1455,"")</f>
        <v>0</v>
      </c>
    </row>
    <row r="1459" spans="1:8" ht="12.75" customHeight="1">
      <c r="A1459" s="28"/>
      <c r="B1459" s="29" t="s">
        <v>3407</v>
      </c>
      <c r="C1459" s="30" t="str">
        <f>IFERROR(_xlfn.XLOOKUP(B1459,Insumo[DESCRIPCION],Insumo[UND],,0),"")</f>
        <v>Un</v>
      </c>
      <c r="D1459" s="31">
        <v>2</v>
      </c>
      <c r="E1459" s="32">
        <f>IFERROR(_xlfn.XLOOKUP($B1459,Insumo[DESCRIPCION],Insumo[VALOR],,0),"")</f>
        <v>77.7</v>
      </c>
      <c r="F1459" s="33"/>
      <c r="G1459" s="34">
        <f>IFERROR(IF(F1459&gt;=0,D1459*E1459*(1+F1459/100),ABS(D1459*E1459/F1459)),"")</f>
        <v>155.4</v>
      </c>
      <c r="H1459" s="43">
        <f>IFERROR(G1459*E1455,"")</f>
        <v>0</v>
      </c>
    </row>
    <row r="1460" spans="1:8" ht="12.75" customHeight="1">
      <c r="A1460" s="28"/>
      <c r="B1460" s="29" t="s">
        <v>3309</v>
      </c>
      <c r="C1460" s="30" t="str">
        <f>IFERROR(_xlfn.XLOOKUP(B1460,Insumo[DESCRIPCION],Insumo[UND],,0),"")</f>
        <v>Un</v>
      </c>
      <c r="D1460" s="31">
        <v>0.18</v>
      </c>
      <c r="E1460" s="32">
        <f>IFERROR(_xlfn.XLOOKUP($B1460,Insumo[DESCRIPCION],Insumo[VALOR],,0),"")</f>
        <v>56717.850000000006</v>
      </c>
      <c r="F1460" s="33"/>
      <c r="G1460" s="34">
        <f>IFERROR(IF(F1460&gt;=0,D1460*E1460*(1+F1460/100),ABS(D1460*E1460/F1460)),"")</f>
        <v>10209.213000000002</v>
      </c>
      <c r="H1460" s="43">
        <f>IFERROR(G1460*E1455,"")</f>
        <v>0</v>
      </c>
    </row>
    <row r="1461" spans="1:8" ht="12.75" customHeight="1">
      <c r="A1461" s="28"/>
      <c r="B1461" s="29"/>
      <c r="C1461" s="30" t="str">
        <f>IFERROR(_xlfn.XLOOKUP(B1461,Insumo[DESCRIPCION],Insumo[UND],,0),"")</f>
        <v/>
      </c>
      <c r="D1461" s="31"/>
      <c r="E1461" s="32" t="str">
        <f>IFERROR(_xlfn.XLOOKUP($B1461,Insumo[DESCRIPCION],Insumo[VALOR],,0),"")</f>
        <v/>
      </c>
      <c r="F1461" s="33"/>
      <c r="G1461" s="34" t="str">
        <f>IFERROR(IF(F1461&gt;=0,D1461*E1461*(1+F1461/100),ABS(D1461*E1461/F1461)),"")</f>
        <v/>
      </c>
      <c r="H1461" s="43" t="str">
        <f>IFERROR(G1461*E1455,"")</f>
        <v/>
      </c>
    </row>
    <row r="1462" spans="1:8" ht="12.75" customHeight="1">
      <c r="A1462" s="28"/>
      <c r="B1462" s="29"/>
      <c r="C1462" s="30" t="str">
        <f>IFERROR(_xlfn.XLOOKUP(B1462,Insumo[DESCRIPCION],Insumo[UND],,0),"")</f>
        <v/>
      </c>
      <c r="D1462" s="31"/>
      <c r="E1462" s="32" t="str">
        <f>IFERROR(_xlfn.XLOOKUP($B1462,Insumo[DESCRIPCION],Insumo[VALOR],,0),"")</f>
        <v/>
      </c>
      <c r="F1462" s="33"/>
      <c r="G1462" s="34" t="str">
        <f>IFERROR(IF(F1462&gt;=0,D1462*E1462*(1+F1462/100),ABS(D1462*E1462/F1462)),"")</f>
        <v/>
      </c>
      <c r="H1462" s="43" t="str">
        <f>IFERROR(G1462*E1455,"")</f>
        <v/>
      </c>
    </row>
    <row r="1463" spans="1:8" ht="12.75" customHeight="1">
      <c r="A1463" s="21"/>
      <c r="B1463" s="22" t="s">
        <v>3731</v>
      </c>
      <c r="C1463" s="23"/>
      <c r="D1463" s="24"/>
      <c r="E1463" s="25"/>
      <c r="F1463" s="26"/>
      <c r="G1463" s="27">
        <f>SUM(G1464:G1466)</f>
        <v>2245.6482206785722</v>
      </c>
      <c r="H1463" s="44">
        <f>G1463*E1455</f>
        <v>0</v>
      </c>
    </row>
    <row r="1464" spans="1:8" ht="12.75" customHeight="1">
      <c r="A1464" s="28"/>
      <c r="B1464" s="29" t="s">
        <v>3573</v>
      </c>
      <c r="C1464" s="30" t="str">
        <f>IFERROR(_xlfn.XLOOKUP(B1464,Equipo[DESCRIPCION],Equipo[UND],,0),"")</f>
        <v>%MO</v>
      </c>
      <c r="D1464" s="31">
        <v>0.1</v>
      </c>
      <c r="E1464" s="32">
        <f>IF(C1464="%MO",G1470,IFERROR(_xlfn.XLOOKUP($B1464,Equipo[DESCRIPCION],Equipo[VALOR],,0),""))</f>
        <v>14970.988137857146</v>
      </c>
      <c r="F1464" s="33"/>
      <c r="G1464" s="34">
        <f>IFERROR(IF(F1464&gt;=0,D1464*E1464*(1+F1464/100),ABS(D1464*E1464/F1464)),"")</f>
        <v>1497.0988137857148</v>
      </c>
      <c r="H1464" s="43">
        <f>IFERROR(G1464*E1455,"")</f>
        <v>0</v>
      </c>
    </row>
    <row r="1465" spans="1:8" ht="12.75" customHeight="1">
      <c r="A1465" s="28"/>
      <c r="B1465" s="29" t="s">
        <v>3626</v>
      </c>
      <c r="C1465" s="30" t="str">
        <f>IFERROR(_xlfn.XLOOKUP(B1465,Equipo[DESCRIPCION],Equipo[UND],,0),"")</f>
        <v>%MO</v>
      </c>
      <c r="D1465" s="31">
        <v>0.05</v>
      </c>
      <c r="E1465" s="32">
        <f>IF(C1465="%MO",G1470,IFERROR(_xlfn.XLOOKUP($B1465,Equipo[DESCRIPCION],Equipo[VALOR],,0),""))</f>
        <v>14970.988137857146</v>
      </c>
      <c r="F1465" s="33"/>
      <c r="G1465" s="34">
        <f>IFERROR(IF(F1465&gt;=0,D1465*E1465*(1+F1465/100),ABS(D1465*E1465/F1465)),"")</f>
        <v>748.54940689285741</v>
      </c>
      <c r="H1465" s="43">
        <f>IFERROR(G1465*E1455,"")</f>
        <v>0</v>
      </c>
    </row>
    <row r="1466" spans="1:8" ht="12.75" customHeight="1">
      <c r="A1466" s="28"/>
      <c r="B1466" s="29"/>
      <c r="C1466" s="30" t="str">
        <f>IFERROR(_xlfn.XLOOKUP(B1466,Equipo[DESCRIPCION],Equipo[UND],,0),"")</f>
        <v/>
      </c>
      <c r="D1466" s="31"/>
      <c r="E1466" s="32" t="str">
        <f>IF(C1466="%MO",G1470,IFERROR(_xlfn.XLOOKUP($B1466,Equipo[DESCRIPCION],Equipo[VALOR],,0),""))</f>
        <v/>
      </c>
      <c r="F1466" s="33"/>
      <c r="G1466" s="34" t="str">
        <f>IFERROR(IF(F1466&gt;=0,D1466*E1466*(1+F1466/100),ABS(D1466*E1466/F1466)),"")</f>
        <v/>
      </c>
      <c r="H1466" s="43" t="str">
        <f>IFERROR(G1466*E1455,"")</f>
        <v/>
      </c>
    </row>
    <row r="1467" spans="1:8" ht="12.75" customHeight="1">
      <c r="A1467" s="21"/>
      <c r="B1467" s="22" t="s">
        <v>2533</v>
      </c>
      <c r="C1467" s="23"/>
      <c r="D1467" s="24"/>
      <c r="E1467" s="25"/>
      <c r="F1467" s="26"/>
      <c r="G1467" s="27">
        <f>SUM(G1468:G1469)</f>
        <v>0</v>
      </c>
      <c r="H1467" s="44">
        <f>G1467*E1455</f>
        <v>0</v>
      </c>
    </row>
    <row r="1468" spans="1:8" ht="12.75" customHeight="1">
      <c r="A1468" s="28"/>
      <c r="B1468" s="29"/>
      <c r="C1468" s="30" t="str">
        <f>IFERROR(_xlfn.XLOOKUP(B1468,Transporte[DESCRIPCION],Transporte[UND],,0),"")</f>
        <v/>
      </c>
      <c r="D1468" s="31"/>
      <c r="E1468" s="32" t="str">
        <f>IFERROR(_xlfn.XLOOKUP($B1468,Transporte[DESCRIPCION],Transporte[VALOR],,0),"")</f>
        <v/>
      </c>
      <c r="F1468" s="33"/>
      <c r="G1468" s="34" t="str">
        <f>IFERROR(IF(F1468&gt;=0,D1468*E1468*(1+F1468/100),ABS(D1468*E1468/F1468)),"")</f>
        <v/>
      </c>
      <c r="H1468" s="43" t="str">
        <f>IFERROR(G1468*E1455,"")</f>
        <v/>
      </c>
    </row>
    <row r="1469" spans="1:8" ht="12.75" customHeight="1">
      <c r="A1469" s="28"/>
      <c r="B1469" s="29"/>
      <c r="C1469" s="30" t="str">
        <f>IFERROR(_xlfn.XLOOKUP(B1469,Transporte[DESCRIPCION],Transporte[UND],,0),"")</f>
        <v/>
      </c>
      <c r="D1469" s="31"/>
      <c r="E1469" s="32" t="str">
        <f>IFERROR(_xlfn.XLOOKUP($B1469,Transporte[DESCRIPCION],Transporte[VALOR],,0),"")</f>
        <v/>
      </c>
      <c r="F1469" s="33"/>
      <c r="G1469" s="34" t="str">
        <f>IFERROR(IF(F1469&gt;=0,D1469*E1469*(1+F1469/100),ABS(D1469*E1469/F1469)),"")</f>
        <v/>
      </c>
      <c r="H1469" s="43" t="str">
        <f>IFERROR(G1469*E1455,"")</f>
        <v/>
      </c>
    </row>
    <row r="1470" spans="1:8" ht="12.75" customHeight="1">
      <c r="A1470" s="21"/>
      <c r="B1470" s="22" t="s">
        <v>3732</v>
      </c>
      <c r="C1470" s="23"/>
      <c r="D1470" s="24"/>
      <c r="E1470" s="25"/>
      <c r="F1470" s="26"/>
      <c r="G1470" s="27">
        <f>SUM(G1471:G1473)</f>
        <v>14970.988137857146</v>
      </c>
      <c r="H1470" s="44">
        <f>G1470*E1455</f>
        <v>0</v>
      </c>
    </row>
    <row r="1471" spans="1:8" ht="12.75" customHeight="1">
      <c r="A1471" s="28"/>
      <c r="B1471" s="29" t="s">
        <v>3710</v>
      </c>
      <c r="C1471" s="30" t="str">
        <f>IFERROR(_xlfn.XLOOKUP(B1471,MObra[DESCRIPCION],MObra[UN],,0),"")</f>
        <v>día</v>
      </c>
      <c r="D1471" s="31">
        <v>1</v>
      </c>
      <c r="E1471" s="32">
        <f>IFERROR(_xlfn.XLOOKUP($B1471,MObra[DESCRIPCION],MObra[VALOR UNIT],,0),"")</f>
        <v>314390.75089500006</v>
      </c>
      <c r="F1471" s="33">
        <v>-21</v>
      </c>
      <c r="G1471" s="34">
        <f>IFERROR(IF(F1471&gt;=0,D1471*E1471*(1+F1471/100),ABS(D1471*E1471/F1471)),"")</f>
        <v>14970.988137857146</v>
      </c>
      <c r="H1471" s="43">
        <f>IFERROR(G1471*E1455,"")</f>
        <v>0</v>
      </c>
    </row>
    <row r="1472" spans="1:8" ht="12.75" customHeight="1">
      <c r="A1472" s="28"/>
      <c r="B1472" s="29"/>
      <c r="C1472" s="30" t="str">
        <f t="array" ref="C1472">IFERROR(_xlfn.XLOOKUP(B1472,MObra[[#All],[DESCRIPCION]],MObra[[#All],[UN]],,0),"")</f>
        <v/>
      </c>
      <c r="D1472" s="31"/>
      <c r="E1472" s="32" t="str">
        <f>IFERROR(_xlfn.XLOOKUP($B1472,MObra[DESCRIPCION],MObra[VALOR UNIT],,0),"")</f>
        <v/>
      </c>
      <c r="F1472" s="33"/>
      <c r="G1472" s="34" t="str">
        <f>IFERROR(IF(F1472&gt;=0,D1472*E1472*(1+F1472/100),ABS(D1472*E1472/F1472)),"")</f>
        <v/>
      </c>
      <c r="H1472" s="43" t="str">
        <f>IFERROR(G1472*E1455,"")</f>
        <v/>
      </c>
    </row>
    <row r="1473" spans="1:11" ht="12.75" customHeight="1" thickBot="1">
      <c r="A1473" s="35"/>
      <c r="B1473" s="36"/>
      <c r="C1473" s="37" t="str">
        <f t="array" ref="C1473">IFERROR(_xlfn.XLOOKUP(B1473,MObra[[#All],[DESCRIPCION]],MObra[[#All],[UN]],,0),"")</f>
        <v/>
      </c>
      <c r="D1473" s="38"/>
      <c r="E1473" s="39" t="str">
        <f>IFERROR(_xlfn.XLOOKUP($B1473,MObra[DESCRIPCION],MObra[VALOR UNIT],,0),"")</f>
        <v/>
      </c>
      <c r="F1473" s="40"/>
      <c r="G1473" s="41" t="str">
        <f>IFERROR(IF(F1473&gt;=0,D1473*E1473*(1+F1473/100),ABS(D1473*E1473/F1473)),"")</f>
        <v/>
      </c>
      <c r="H1473" s="42" t="str">
        <f>IFERROR(G1473*E1455,"")</f>
        <v/>
      </c>
    </row>
    <row r="1474" spans="1:11" ht="12.75" customHeight="1" thickTop="1" thickBot="1"/>
    <row r="1475" spans="1:11" ht="12.75" customHeight="1" thickTop="1" thickBot="1">
      <c r="A1475" s="6" t="s">
        <v>1239</v>
      </c>
      <c r="B1475" s="7" t="str">
        <f>VLOOKUP($A1475,Presupuesto!$A:$D,2,FALSE())</f>
        <v>Gárgola desagüe sencilla L=0.3</v>
      </c>
      <c r="C1475" s="8" t="str">
        <f>VLOOKUP($A1475,Presupuesto!$A:$D,3,FALSE())</f>
        <v>Un</v>
      </c>
      <c r="D1475" s="9"/>
      <c r="E1475" s="10">
        <f>VLOOKUP($A1475,Presupuesto!$A:$D,4,FALSE())</f>
        <v>0</v>
      </c>
      <c r="F1475" s="11" t="s">
        <v>2589</v>
      </c>
      <c r="G1475" s="12">
        <f>SUM(G1477:G1493)/2</f>
        <v>81659.516237670003</v>
      </c>
      <c r="H1475" s="13">
        <f>ROUND(SUM(H1477:H1493),0)/2</f>
        <v>0</v>
      </c>
      <c r="I1475" s="10">
        <f>VLOOKUP(A1475,Presupuesto!$A:$F,6,0)</f>
        <v>0</v>
      </c>
      <c r="J1475" s="10">
        <f>+H1475-I1475</f>
        <v>0</v>
      </c>
      <c r="K1475" s="46">
        <f>+H1475-G1475*E1475</f>
        <v>0</v>
      </c>
    </row>
    <row r="1476" spans="1:11" ht="12.75" customHeight="1" thickTop="1">
      <c r="A1476" s="14"/>
      <c r="B1476" s="15" t="s">
        <v>2586</v>
      </c>
      <c r="C1476" s="15" t="s">
        <v>5</v>
      </c>
      <c r="D1476" s="16" t="s">
        <v>6</v>
      </c>
      <c r="E1476" s="17" t="s">
        <v>7</v>
      </c>
      <c r="F1476" s="18" t="s">
        <v>3728</v>
      </c>
      <c r="G1476" s="19" t="s">
        <v>3729</v>
      </c>
      <c r="H1476" s="20" t="s">
        <v>3797</v>
      </c>
    </row>
    <row r="1477" spans="1:11" ht="12.75" customHeight="1">
      <c r="A1477" s="21"/>
      <c r="B1477" s="22" t="s">
        <v>3730</v>
      </c>
      <c r="C1477" s="23"/>
      <c r="D1477" s="24"/>
      <c r="E1477" s="25"/>
      <c r="F1477" s="26"/>
      <c r="G1477" s="27">
        <f>SUM(G1478:G1482)</f>
        <v>56717.850000000006</v>
      </c>
      <c r="H1477" s="27">
        <f>IFERROR(G1477*E1475,"")</f>
        <v>0</v>
      </c>
    </row>
    <row r="1478" spans="1:11" ht="12.75" customHeight="1">
      <c r="A1478" s="28"/>
      <c r="B1478" s="29" t="s">
        <v>2963</v>
      </c>
      <c r="C1478" s="30" t="str">
        <f>IFERROR(_xlfn.XLOOKUP(B1478,Insumo[DESCRIPCION],Insumo[UND],,0),"")</f>
        <v>Un</v>
      </c>
      <c r="D1478" s="31">
        <v>1</v>
      </c>
      <c r="E1478" s="32">
        <f>IFERROR(_xlfn.XLOOKUP($B1478,Insumo[DESCRIPCION],Insumo[VALOR],,0),"")</f>
        <v>56717.850000000006</v>
      </c>
      <c r="F1478" s="33"/>
      <c r="G1478" s="34">
        <f>IFERROR(IF(F1478&gt;=0,D1478*E1478*(1+F1478/100),ABS(D1478*E1478/F1478)),"")</f>
        <v>56717.850000000006</v>
      </c>
      <c r="H1478" s="43">
        <f>IFERROR(G1478*E1475,"")</f>
        <v>0</v>
      </c>
    </row>
    <row r="1479" spans="1:11" ht="12.75" customHeight="1">
      <c r="A1479" s="28"/>
      <c r="B1479" s="29"/>
      <c r="C1479" s="30" t="str">
        <f>IFERROR(_xlfn.XLOOKUP(B1479,Insumo[DESCRIPCION],Insumo[UND],,0),"")</f>
        <v/>
      </c>
      <c r="D1479" s="31"/>
      <c r="E1479" s="32" t="str">
        <f>IFERROR(_xlfn.XLOOKUP($B1479,Insumo[DESCRIPCION],Insumo[VALOR],,0),"")</f>
        <v/>
      </c>
      <c r="F1479" s="33"/>
      <c r="G1479" s="34" t="str">
        <f>IFERROR(IF(F1479&gt;=0,D1479*E1479*(1+F1479/100),ABS(D1479*E1479/F1479)),"")</f>
        <v/>
      </c>
      <c r="H1479" s="43" t="str">
        <f>IFERROR(G1479*E1475,"")</f>
        <v/>
      </c>
    </row>
    <row r="1480" spans="1:11" ht="12.75" customHeight="1">
      <c r="A1480" s="28"/>
      <c r="B1480" s="29"/>
      <c r="C1480" s="30" t="str">
        <f>IFERROR(_xlfn.XLOOKUP(B1480,Insumo[DESCRIPCION],Insumo[UND],,0),"")</f>
        <v/>
      </c>
      <c r="D1480" s="31"/>
      <c r="E1480" s="32" t="str">
        <f>IFERROR(_xlfn.XLOOKUP($B1480,Insumo[DESCRIPCION],Insumo[VALOR],,0),"")</f>
        <v/>
      </c>
      <c r="F1480" s="33"/>
      <c r="G1480" s="34" t="str">
        <f>IFERROR(IF(F1480&gt;=0,D1480*E1480*(1+F1480/100),ABS(D1480*E1480/F1480)),"")</f>
        <v/>
      </c>
      <c r="H1480" s="43" t="str">
        <f>IFERROR(G1480*E1475,"")</f>
        <v/>
      </c>
    </row>
    <row r="1481" spans="1:11" ht="12.75" customHeight="1">
      <c r="A1481" s="28"/>
      <c r="B1481" s="29"/>
      <c r="C1481" s="30" t="str">
        <f>IFERROR(_xlfn.XLOOKUP(B1481,Insumo[DESCRIPCION],Insumo[UND],,0),"")</f>
        <v/>
      </c>
      <c r="D1481" s="31"/>
      <c r="E1481" s="32" t="str">
        <f>IFERROR(_xlfn.XLOOKUP($B1481,Insumo[DESCRIPCION],Insumo[VALOR],,0),"")</f>
        <v/>
      </c>
      <c r="F1481" s="33"/>
      <c r="G1481" s="34" t="str">
        <f>IFERROR(IF(F1481&gt;=0,D1481*E1481*(1+F1481/100),ABS(D1481*E1481/F1481)),"")</f>
        <v/>
      </c>
      <c r="H1481" s="43" t="str">
        <f>IFERROR(G1481*E1475,"")</f>
        <v/>
      </c>
    </row>
    <row r="1482" spans="1:11" ht="12.75" customHeight="1">
      <c r="A1482" s="28"/>
      <c r="B1482" s="29"/>
      <c r="C1482" s="30" t="str">
        <f>IFERROR(_xlfn.XLOOKUP(B1482,Insumo[DESCRIPCION],Insumo[UND],,0),"")</f>
        <v/>
      </c>
      <c r="D1482" s="31"/>
      <c r="E1482" s="32" t="str">
        <f>IFERROR(_xlfn.XLOOKUP($B1482,Insumo[DESCRIPCION],Insumo[VALOR],,0),"")</f>
        <v/>
      </c>
      <c r="F1482" s="33"/>
      <c r="G1482" s="34" t="str">
        <f>IFERROR(IF(F1482&gt;=0,D1482*E1482*(1+F1482/100),ABS(D1482*E1482/F1482)),"")</f>
        <v/>
      </c>
      <c r="H1482" s="43" t="str">
        <f>IFERROR(G1482*E1475,"")</f>
        <v/>
      </c>
    </row>
    <row r="1483" spans="1:11" ht="12.75" customHeight="1">
      <c r="A1483" s="21"/>
      <c r="B1483" s="22" t="s">
        <v>3731</v>
      </c>
      <c r="C1483" s="23"/>
      <c r="D1483" s="24"/>
      <c r="E1483" s="25"/>
      <c r="F1483" s="26"/>
      <c r="G1483" s="27">
        <f>SUM(G1484:G1486)</f>
        <v>3982.2828446700005</v>
      </c>
      <c r="H1483" s="44">
        <f>G1483*E1475</f>
        <v>0</v>
      </c>
    </row>
    <row r="1484" spans="1:11" ht="12.75" customHeight="1">
      <c r="A1484" s="28"/>
      <c r="B1484" s="29" t="s">
        <v>3573</v>
      </c>
      <c r="C1484" s="30" t="str">
        <f>IFERROR(_xlfn.XLOOKUP(B1484,Equipo[DESCRIPCION],Equipo[UND],,0),"")</f>
        <v>%MO</v>
      </c>
      <c r="D1484" s="31">
        <v>0.1</v>
      </c>
      <c r="E1484" s="32">
        <f>IF(C1484="%MO",G1490,IFERROR(_xlfn.XLOOKUP($B1484,Equipo[DESCRIPCION],Equipo[VALOR],,0),""))</f>
        <v>20959.383393000004</v>
      </c>
      <c r="F1484" s="33"/>
      <c r="G1484" s="34">
        <f>IFERROR(IF(F1484&gt;=0,D1484*E1484*(1+F1484/100),ABS(D1484*E1484/F1484)),"")</f>
        <v>2095.9383393000003</v>
      </c>
      <c r="H1484" s="43">
        <f>IFERROR(G1484*E1475,"")</f>
        <v>0</v>
      </c>
    </row>
    <row r="1485" spans="1:11" ht="12.75" customHeight="1">
      <c r="A1485" s="28"/>
      <c r="B1485" s="29" t="s">
        <v>3570</v>
      </c>
      <c r="C1485" s="30" t="str">
        <f>IFERROR(_xlfn.XLOOKUP(B1485,Equipo[DESCRIPCION],Equipo[UND],,0),"")</f>
        <v>%MO</v>
      </c>
      <c r="D1485" s="31">
        <v>0.04</v>
      </c>
      <c r="E1485" s="32">
        <f>IF(C1485="%MO",G1490,IFERROR(_xlfn.XLOOKUP($B1485,Equipo[DESCRIPCION],Equipo[VALOR],,0),""))</f>
        <v>20959.383393000004</v>
      </c>
      <c r="F1485" s="33"/>
      <c r="G1485" s="34">
        <f>IFERROR(IF(F1485&gt;=0,D1485*E1485*(1+F1485/100),ABS(D1485*E1485/F1485)),"")</f>
        <v>838.37533572000018</v>
      </c>
      <c r="H1485" s="43">
        <f>IFERROR(G1485*E1475,"")</f>
        <v>0</v>
      </c>
    </row>
    <row r="1486" spans="1:11" ht="12.75" customHeight="1">
      <c r="A1486" s="28"/>
      <c r="B1486" s="29" t="s">
        <v>3626</v>
      </c>
      <c r="C1486" s="30" t="str">
        <f>IFERROR(_xlfn.XLOOKUP(B1486,Equipo[DESCRIPCION],Equipo[UND],,0),"")</f>
        <v>%MO</v>
      </c>
      <c r="D1486" s="31">
        <v>0.05</v>
      </c>
      <c r="E1486" s="32">
        <f>IF(C1486="%MO",G1490,IFERROR(_xlfn.XLOOKUP($B1486,Equipo[DESCRIPCION],Equipo[VALOR],,0),""))</f>
        <v>20959.383393000004</v>
      </c>
      <c r="F1486" s="33"/>
      <c r="G1486" s="34">
        <f>IFERROR(IF(F1486&gt;=0,D1486*E1486*(1+F1486/100),ABS(D1486*E1486/F1486)),"")</f>
        <v>1047.9691696500001</v>
      </c>
      <c r="H1486" s="43">
        <f>IFERROR(G1486*E1475,"")</f>
        <v>0</v>
      </c>
    </row>
    <row r="1487" spans="1:11" ht="12.75" customHeight="1">
      <c r="A1487" s="21"/>
      <c r="B1487" s="22" t="s">
        <v>2533</v>
      </c>
      <c r="C1487" s="23"/>
      <c r="D1487" s="24"/>
      <c r="E1487" s="25"/>
      <c r="F1487" s="26"/>
      <c r="G1487" s="27">
        <f>SUM(G1488:G1489)</f>
        <v>0</v>
      </c>
      <c r="H1487" s="44">
        <f>G1487*E1475</f>
        <v>0</v>
      </c>
    </row>
    <row r="1488" spans="1:11" ht="12.75" customHeight="1">
      <c r="A1488" s="28"/>
      <c r="B1488" s="29"/>
      <c r="C1488" s="30" t="str">
        <f>IFERROR(_xlfn.XLOOKUP(B1488,Transporte[DESCRIPCION],Transporte[UND],,0),"")</f>
        <v/>
      </c>
      <c r="D1488" s="31"/>
      <c r="E1488" s="32" t="str">
        <f>IFERROR(_xlfn.XLOOKUP($B1488,Transporte[DESCRIPCION],Transporte[VALOR],,0),"")</f>
        <v/>
      </c>
      <c r="F1488" s="33"/>
      <c r="G1488" s="34" t="str">
        <f>IFERROR(IF(F1488&gt;=0,D1488*E1488*(1+F1488/100),ABS(D1488*E1488/F1488)),"")</f>
        <v/>
      </c>
      <c r="H1488" s="43" t="str">
        <f>IFERROR(G1488*E1475,"")</f>
        <v/>
      </c>
    </row>
    <row r="1489" spans="1:11" ht="12.75" customHeight="1">
      <c r="A1489" s="28"/>
      <c r="B1489" s="29"/>
      <c r="C1489" s="30" t="str">
        <f>IFERROR(_xlfn.XLOOKUP(B1489,Transporte[DESCRIPCION],Transporte[UND],,0),"")</f>
        <v/>
      </c>
      <c r="D1489" s="31"/>
      <c r="E1489" s="32" t="str">
        <f>IFERROR(_xlfn.XLOOKUP($B1489,Transporte[DESCRIPCION],Transporte[VALOR],,0),"")</f>
        <v/>
      </c>
      <c r="F1489" s="33"/>
      <c r="G1489" s="34" t="str">
        <f>IFERROR(IF(F1489&gt;=0,D1489*E1489*(1+F1489/100),ABS(D1489*E1489/F1489)),"")</f>
        <v/>
      </c>
      <c r="H1489" s="43" t="str">
        <f>IFERROR(G1489*E1475,"")</f>
        <v/>
      </c>
    </row>
    <row r="1490" spans="1:11" ht="12.75" customHeight="1">
      <c r="A1490" s="21"/>
      <c r="B1490" s="22" t="s">
        <v>3732</v>
      </c>
      <c r="C1490" s="23"/>
      <c r="D1490" s="24"/>
      <c r="E1490" s="25"/>
      <c r="F1490" s="26"/>
      <c r="G1490" s="27">
        <f>SUM(G1491:G1493)</f>
        <v>20959.383393000004</v>
      </c>
      <c r="H1490" s="44">
        <f>G1490*E1475</f>
        <v>0</v>
      </c>
    </row>
    <row r="1491" spans="1:11" ht="12.75" customHeight="1">
      <c r="A1491" s="28"/>
      <c r="B1491" s="29" t="s">
        <v>3710</v>
      </c>
      <c r="C1491" s="30" t="str">
        <f>IFERROR(_xlfn.XLOOKUP(B1491,MObra[DESCRIPCION],MObra[UN],,0),"")</f>
        <v>día</v>
      </c>
      <c r="D1491" s="31">
        <v>1</v>
      </c>
      <c r="E1491" s="32">
        <f>IFERROR(_xlfn.XLOOKUP($B1491,MObra[DESCRIPCION],MObra[VALOR UNIT],,0),"")</f>
        <v>314390.75089500006</v>
      </c>
      <c r="F1491" s="33">
        <v>-15</v>
      </c>
      <c r="G1491" s="34">
        <f>IFERROR(IF(F1491&gt;=0,D1491*E1491*(1+F1491/100),ABS(D1491*E1491/F1491)),"")</f>
        <v>20959.383393000004</v>
      </c>
      <c r="H1491" s="43">
        <f>IFERROR(G1491*E1475,"")</f>
        <v>0</v>
      </c>
    </row>
    <row r="1492" spans="1:11" ht="12.75" customHeight="1">
      <c r="A1492" s="28"/>
      <c r="B1492" s="29"/>
      <c r="C1492" s="30" t="str">
        <f t="array" ref="C1492">IFERROR(_xlfn.XLOOKUP(B1492,MObra[[#All],[DESCRIPCION]],MObra[[#All],[UN]],,0),"")</f>
        <v/>
      </c>
      <c r="D1492" s="31"/>
      <c r="E1492" s="32" t="str">
        <f>IFERROR(_xlfn.XLOOKUP($B1492,MObra[DESCRIPCION],MObra[VALOR UNIT],,0),"")</f>
        <v/>
      </c>
      <c r="F1492" s="33"/>
      <c r="G1492" s="34" t="str">
        <f>IFERROR(IF(F1492&gt;=0,D1492*E1492*(1+F1492/100),ABS(D1492*E1492/F1492)),"")</f>
        <v/>
      </c>
      <c r="H1492" s="43" t="str">
        <f>IFERROR(G1492*E1475,"")</f>
        <v/>
      </c>
    </row>
    <row r="1493" spans="1:11" ht="12.75" customHeight="1" thickBot="1">
      <c r="A1493" s="35"/>
      <c r="B1493" s="36"/>
      <c r="C1493" s="37" t="str">
        <f t="array" ref="C1493">IFERROR(_xlfn.XLOOKUP(B1493,MObra[[#All],[DESCRIPCION]],MObra[[#All],[UN]],,0),"")</f>
        <v/>
      </c>
      <c r="D1493" s="38"/>
      <c r="E1493" s="39" t="str">
        <f>IFERROR(_xlfn.XLOOKUP($B1493,MObra[DESCRIPCION],MObra[VALOR UNIT],,0),"")</f>
        <v/>
      </c>
      <c r="F1493" s="40"/>
      <c r="G1493" s="41" t="str">
        <f>IFERROR(IF(F1493&gt;=0,D1493*E1493*(1+F1493/100),ABS(D1493*E1493/F1493)),"")</f>
        <v/>
      </c>
      <c r="H1493" s="42" t="str">
        <f>IFERROR(G1493*E1475,"")</f>
        <v/>
      </c>
    </row>
    <row r="1494" spans="1:11" ht="12.75" customHeight="1" thickTop="1" thickBot="1"/>
    <row r="1495" spans="1:11" ht="12.75" customHeight="1" thickTop="1" thickBot="1">
      <c r="A1495" s="6" t="s">
        <v>1241</v>
      </c>
      <c r="B1495" s="7" t="str">
        <f>VLOOKUP($A1495,Presupuesto!$A:$D,2,FALSE())</f>
        <v>Impermeabilización viga canal S&lt;0.7 m</v>
      </c>
      <c r="C1495" s="8" t="str">
        <f>VLOOKUP($A1495,Presupuesto!$A:$D,3,FALSE())</f>
        <v>M</v>
      </c>
      <c r="D1495" s="9"/>
      <c r="E1495" s="10">
        <f>VLOOKUP($A1495,Presupuesto!$A:$D,4,FALSE())</f>
        <v>0</v>
      </c>
      <c r="F1495" s="11" t="s">
        <v>2589</v>
      </c>
      <c r="G1495" s="12">
        <f>SUM(G1497:G1513)/2</f>
        <v>29321.482739022002</v>
      </c>
      <c r="H1495" s="13">
        <f>ROUND(SUM(H1497:H1513),0)/2</f>
        <v>0</v>
      </c>
      <c r="I1495" s="10">
        <f>VLOOKUP(A1495,Presupuesto!$A:$F,6,0)</f>
        <v>0</v>
      </c>
      <c r="J1495" s="10">
        <f>+H1495-I1495</f>
        <v>0</v>
      </c>
      <c r="K1495" s="46">
        <f>+H1495-G1495*E1495</f>
        <v>0</v>
      </c>
    </row>
    <row r="1496" spans="1:11" ht="12.75" customHeight="1" thickTop="1">
      <c r="A1496" s="14"/>
      <c r="B1496" s="15" t="s">
        <v>2586</v>
      </c>
      <c r="C1496" s="15" t="s">
        <v>5</v>
      </c>
      <c r="D1496" s="16" t="s">
        <v>6</v>
      </c>
      <c r="E1496" s="17" t="s">
        <v>7</v>
      </c>
      <c r="F1496" s="18" t="s">
        <v>3728</v>
      </c>
      <c r="G1496" s="19" t="s">
        <v>3729</v>
      </c>
      <c r="H1496" s="20" t="s">
        <v>3797</v>
      </c>
    </row>
    <row r="1497" spans="1:11" ht="12.75" customHeight="1">
      <c r="A1497" s="21"/>
      <c r="B1497" s="22" t="s">
        <v>3730</v>
      </c>
      <c r="C1497" s="23"/>
      <c r="D1497" s="24"/>
      <c r="E1497" s="25"/>
      <c r="F1497" s="26"/>
      <c r="G1497" s="27">
        <f>SUM(G1498:G1502)</f>
        <v>15614.046</v>
      </c>
      <c r="H1497" s="27">
        <f>IFERROR(G1497*E1495,"")</f>
        <v>0</v>
      </c>
    </row>
    <row r="1498" spans="1:11" ht="12.75" customHeight="1">
      <c r="A1498" s="28"/>
      <c r="B1498" s="29" t="s">
        <v>3148</v>
      </c>
      <c r="C1498" s="30" t="str">
        <f>IFERROR(_xlfn.XLOOKUP(B1498,Insumo[DESCRIPCION],Insumo[UND],,0),"")</f>
        <v>M2</v>
      </c>
      <c r="D1498" s="31">
        <v>0.7</v>
      </c>
      <c r="E1498" s="32">
        <f>IFERROR(_xlfn.XLOOKUP($B1498,Insumo[DESCRIPCION],Insumo[VALOR],,0),"")</f>
        <v>21243.600000000002</v>
      </c>
      <c r="F1498" s="33">
        <v>5</v>
      </c>
      <c r="G1498" s="34">
        <f>IFERROR(IF(F1498&gt;=0,D1498*E1498*(1+F1498/100),ABS(D1498*E1498/F1498)),"")</f>
        <v>15614.046</v>
      </c>
      <c r="H1498" s="43">
        <f>IFERROR(G1498*E1495,"")</f>
        <v>0</v>
      </c>
    </row>
    <row r="1499" spans="1:11" ht="12.75" customHeight="1">
      <c r="A1499" s="28"/>
      <c r="B1499" s="29"/>
      <c r="C1499" s="30" t="str">
        <f>IFERROR(_xlfn.XLOOKUP(B1499,Insumo[DESCRIPCION],Insumo[UND],,0),"")</f>
        <v/>
      </c>
      <c r="D1499" s="31"/>
      <c r="E1499" s="32" t="str">
        <f>IFERROR(_xlfn.XLOOKUP($B1499,Insumo[DESCRIPCION],Insumo[VALOR],,0),"")</f>
        <v/>
      </c>
      <c r="F1499" s="33"/>
      <c r="G1499" s="34" t="str">
        <f>IFERROR(IF(F1499&gt;=0,D1499*E1499*(1+F1499/100),ABS(D1499*E1499/F1499)),"")</f>
        <v/>
      </c>
      <c r="H1499" s="43" t="str">
        <f>IFERROR(G1499*E1495,"")</f>
        <v/>
      </c>
    </row>
    <row r="1500" spans="1:11" ht="12.75" customHeight="1">
      <c r="A1500" s="28"/>
      <c r="B1500" s="29"/>
      <c r="C1500" s="30" t="str">
        <f>IFERROR(_xlfn.XLOOKUP(B1500,Insumo[DESCRIPCION],Insumo[UND],,0),"")</f>
        <v/>
      </c>
      <c r="D1500" s="31"/>
      <c r="E1500" s="32" t="str">
        <f>IFERROR(_xlfn.XLOOKUP($B1500,Insumo[DESCRIPCION],Insumo[VALOR],,0),"")</f>
        <v/>
      </c>
      <c r="F1500" s="33"/>
      <c r="G1500" s="34" t="str">
        <f>IFERROR(IF(F1500&gt;=0,D1500*E1500*(1+F1500/100),ABS(D1500*E1500/F1500)),"")</f>
        <v/>
      </c>
      <c r="H1500" s="43" t="str">
        <f>IFERROR(G1500*E1495,"")</f>
        <v/>
      </c>
    </row>
    <row r="1501" spans="1:11" ht="12.75" customHeight="1">
      <c r="A1501" s="28"/>
      <c r="B1501" s="29"/>
      <c r="C1501" s="30" t="str">
        <f>IFERROR(_xlfn.XLOOKUP(B1501,Insumo[DESCRIPCION],Insumo[UND],,0),"")</f>
        <v/>
      </c>
      <c r="D1501" s="31"/>
      <c r="E1501" s="32" t="str">
        <f>IFERROR(_xlfn.XLOOKUP($B1501,Insumo[DESCRIPCION],Insumo[VALOR],,0),"")</f>
        <v/>
      </c>
      <c r="F1501" s="33"/>
      <c r="G1501" s="34" t="str">
        <f>IFERROR(IF(F1501&gt;=0,D1501*E1501*(1+F1501/100),ABS(D1501*E1501/F1501)),"")</f>
        <v/>
      </c>
      <c r="H1501" s="43" t="str">
        <f>IFERROR(G1501*E1495,"")</f>
        <v/>
      </c>
    </row>
    <row r="1502" spans="1:11" ht="12.75" customHeight="1">
      <c r="A1502" s="28"/>
      <c r="B1502" s="29"/>
      <c r="C1502" s="30" t="str">
        <f>IFERROR(_xlfn.XLOOKUP(B1502,Insumo[DESCRIPCION],Insumo[UND],,0),"")</f>
        <v/>
      </c>
      <c r="D1502" s="31"/>
      <c r="E1502" s="32" t="str">
        <f>IFERROR(_xlfn.XLOOKUP($B1502,Insumo[DESCRIPCION],Insumo[VALOR],,0),"")</f>
        <v/>
      </c>
      <c r="F1502" s="33"/>
      <c r="G1502" s="34" t="str">
        <f>IFERROR(IF(F1502&gt;=0,D1502*E1502*(1+F1502/100),ABS(D1502*E1502/F1502)),"")</f>
        <v/>
      </c>
      <c r="H1502" s="43" t="str">
        <f>IFERROR(G1502*E1495,"")</f>
        <v/>
      </c>
    </row>
    <row r="1503" spans="1:11" ht="12.75" customHeight="1">
      <c r="A1503" s="21"/>
      <c r="B1503" s="22" t="s">
        <v>3731</v>
      </c>
      <c r="C1503" s="23"/>
      <c r="D1503" s="24"/>
      <c r="E1503" s="25"/>
      <c r="F1503" s="26"/>
      <c r="G1503" s="27">
        <f>SUM(G1504:G1506)</f>
        <v>1131.8067032220004</v>
      </c>
      <c r="H1503" s="44">
        <f>G1503*E1495</f>
        <v>0</v>
      </c>
    </row>
    <row r="1504" spans="1:11" ht="12.75" customHeight="1">
      <c r="A1504" s="28"/>
      <c r="B1504" s="29" t="s">
        <v>3570</v>
      </c>
      <c r="C1504" s="30" t="str">
        <f>IFERROR(_xlfn.XLOOKUP(B1504,Equipo[DESCRIPCION],Equipo[UND],,0),"")</f>
        <v>%MO</v>
      </c>
      <c r="D1504" s="31">
        <v>0.04</v>
      </c>
      <c r="E1504" s="32">
        <f>IF(C1504="%MO",G1510,IFERROR(_xlfn.XLOOKUP($B1504,Equipo[DESCRIPCION],Equipo[VALOR],,0),""))</f>
        <v>12575.630035800003</v>
      </c>
      <c r="F1504" s="33"/>
      <c r="G1504" s="34">
        <f>IFERROR(IF(F1504&gt;=0,D1504*E1504*(1+F1504/100),ABS(D1504*E1504/F1504)),"")</f>
        <v>503.02520143200013</v>
      </c>
      <c r="H1504" s="43">
        <f>IFERROR(G1504*E1495,"")</f>
        <v>0</v>
      </c>
    </row>
    <row r="1505" spans="1:11" ht="12.75" customHeight="1">
      <c r="A1505" s="28"/>
      <c r="B1505" s="29" t="s">
        <v>3626</v>
      </c>
      <c r="C1505" s="30" t="str">
        <f>IFERROR(_xlfn.XLOOKUP(B1505,Equipo[DESCRIPCION],Equipo[UND],,0),"")</f>
        <v>%MO</v>
      </c>
      <c r="D1505" s="31">
        <v>0.05</v>
      </c>
      <c r="E1505" s="32">
        <f>IF(C1505="%MO",G1510,IFERROR(_xlfn.XLOOKUP($B1505,Equipo[DESCRIPCION],Equipo[VALOR],,0),""))</f>
        <v>12575.630035800003</v>
      </c>
      <c r="F1505" s="33"/>
      <c r="G1505" s="34">
        <f>IFERROR(IF(F1505&gt;=0,D1505*E1505*(1+F1505/100),ABS(D1505*E1505/F1505)),"")</f>
        <v>628.78150179000022</v>
      </c>
      <c r="H1505" s="43">
        <f>IFERROR(G1505*E1495,"")</f>
        <v>0</v>
      </c>
    </row>
    <row r="1506" spans="1:11" ht="12.75" customHeight="1">
      <c r="A1506" s="28"/>
      <c r="B1506" s="29"/>
      <c r="C1506" s="30" t="str">
        <f>IFERROR(_xlfn.XLOOKUP(B1506,Equipo[DESCRIPCION],Equipo[UND],,0),"")</f>
        <v/>
      </c>
      <c r="D1506" s="31"/>
      <c r="E1506" s="32" t="str">
        <f>IF(C1506="%MO",G1510,IFERROR(_xlfn.XLOOKUP($B1506,Equipo[DESCRIPCION],Equipo[VALOR],,0),""))</f>
        <v/>
      </c>
      <c r="F1506" s="33"/>
      <c r="G1506" s="34" t="str">
        <f>IFERROR(IF(F1506&gt;=0,D1506*E1506*(1+F1506/100),ABS(D1506*E1506/F1506)),"")</f>
        <v/>
      </c>
      <c r="H1506" s="43" t="str">
        <f>IFERROR(G1506*E1495,"")</f>
        <v/>
      </c>
    </row>
    <row r="1507" spans="1:11" ht="12.75" customHeight="1">
      <c r="A1507" s="21"/>
      <c r="B1507" s="22" t="s">
        <v>2533</v>
      </c>
      <c r="C1507" s="23"/>
      <c r="D1507" s="24"/>
      <c r="E1507" s="25"/>
      <c r="F1507" s="26"/>
      <c r="G1507" s="27">
        <f>SUM(G1508:G1509)</f>
        <v>0</v>
      </c>
      <c r="H1507" s="44">
        <f>G1507*E1495</f>
        <v>0</v>
      </c>
    </row>
    <row r="1508" spans="1:11" ht="12.75" customHeight="1">
      <c r="A1508" s="28"/>
      <c r="B1508" s="29"/>
      <c r="C1508" s="30" t="str">
        <f>IFERROR(_xlfn.XLOOKUP(B1508,Transporte[DESCRIPCION],Transporte[UND],,0),"")</f>
        <v/>
      </c>
      <c r="D1508" s="31"/>
      <c r="E1508" s="32" t="str">
        <f>IFERROR(_xlfn.XLOOKUP($B1508,Transporte[DESCRIPCION],Transporte[VALOR],,0),"")</f>
        <v/>
      </c>
      <c r="F1508" s="33"/>
      <c r="G1508" s="34" t="str">
        <f>IFERROR(IF(F1508&gt;=0,D1508*E1508*(1+F1508/100),ABS(D1508*E1508/F1508)),"")</f>
        <v/>
      </c>
      <c r="H1508" s="43" t="str">
        <f>IFERROR(G1508*E1495,"")</f>
        <v/>
      </c>
    </row>
    <row r="1509" spans="1:11" ht="12.75" customHeight="1">
      <c r="A1509" s="28"/>
      <c r="B1509" s="29"/>
      <c r="C1509" s="30" t="str">
        <f>IFERROR(_xlfn.XLOOKUP(B1509,Transporte[DESCRIPCION],Transporte[UND],,0),"")</f>
        <v/>
      </c>
      <c r="D1509" s="31"/>
      <c r="E1509" s="32" t="str">
        <f>IFERROR(_xlfn.XLOOKUP($B1509,Transporte[DESCRIPCION],Transporte[VALOR],,0),"")</f>
        <v/>
      </c>
      <c r="F1509" s="33"/>
      <c r="G1509" s="34" t="str">
        <f>IFERROR(IF(F1509&gt;=0,D1509*E1509*(1+F1509/100),ABS(D1509*E1509/F1509)),"")</f>
        <v/>
      </c>
      <c r="H1509" s="43" t="str">
        <f>IFERROR(G1509*E1495,"")</f>
        <v/>
      </c>
    </row>
    <row r="1510" spans="1:11" ht="12.75" customHeight="1">
      <c r="A1510" s="21"/>
      <c r="B1510" s="22" t="s">
        <v>3732</v>
      </c>
      <c r="C1510" s="23"/>
      <c r="D1510" s="24"/>
      <c r="E1510" s="25"/>
      <c r="F1510" s="26"/>
      <c r="G1510" s="27">
        <f>SUM(G1511:G1513)</f>
        <v>12575.630035800003</v>
      </c>
      <c r="H1510" s="44">
        <f>G1510*E1495</f>
        <v>0</v>
      </c>
    </row>
    <row r="1511" spans="1:11" ht="12.75" customHeight="1">
      <c r="A1511" s="28"/>
      <c r="B1511" s="29" t="s">
        <v>3710</v>
      </c>
      <c r="C1511" s="30" t="str">
        <f>IFERROR(_xlfn.XLOOKUP(B1511,MObra[DESCRIPCION],MObra[UN],,0),"")</f>
        <v>día</v>
      </c>
      <c r="D1511" s="31">
        <v>1</v>
      </c>
      <c r="E1511" s="32">
        <f>IFERROR(_xlfn.XLOOKUP($B1511,MObra[DESCRIPCION],MObra[VALOR UNIT],,0),"")</f>
        <v>314390.75089500006</v>
      </c>
      <c r="F1511" s="33">
        <v>-25</v>
      </c>
      <c r="G1511" s="34">
        <f>IFERROR(IF(F1511&gt;=0,D1511*E1511*(1+F1511/100),ABS(D1511*E1511/F1511)),"")</f>
        <v>12575.630035800003</v>
      </c>
      <c r="H1511" s="43">
        <f>IFERROR(G1511*E1495,"")</f>
        <v>0</v>
      </c>
    </row>
    <row r="1512" spans="1:11" ht="12.75" customHeight="1">
      <c r="A1512" s="28"/>
      <c r="B1512" s="29"/>
      <c r="C1512" s="30" t="str">
        <f t="array" ref="C1512">IFERROR(_xlfn.XLOOKUP(B1512,MObra[[#All],[DESCRIPCION]],MObra[[#All],[UN]],,0),"")</f>
        <v/>
      </c>
      <c r="D1512" s="31"/>
      <c r="E1512" s="32" t="str">
        <f>IFERROR(_xlfn.XLOOKUP($B1512,MObra[DESCRIPCION],MObra[VALOR UNIT],,0),"")</f>
        <v/>
      </c>
      <c r="F1512" s="33"/>
      <c r="G1512" s="34" t="str">
        <f>IFERROR(IF(F1512&gt;=0,D1512*E1512*(1+F1512/100),ABS(D1512*E1512/F1512)),"")</f>
        <v/>
      </c>
      <c r="H1512" s="43" t="str">
        <f>IFERROR(G1512*E1495,"")</f>
        <v/>
      </c>
    </row>
    <row r="1513" spans="1:11" ht="12.75" customHeight="1" thickBot="1">
      <c r="A1513" s="35"/>
      <c r="B1513" s="36"/>
      <c r="C1513" s="37" t="str">
        <f t="array" ref="C1513">IFERROR(_xlfn.XLOOKUP(B1513,MObra[[#All],[DESCRIPCION]],MObra[[#All],[UN]],,0),"")</f>
        <v/>
      </c>
      <c r="D1513" s="38"/>
      <c r="E1513" s="39" t="str">
        <f>IFERROR(_xlfn.XLOOKUP($B1513,MObra[DESCRIPCION],MObra[VALOR UNIT],,0),"")</f>
        <v/>
      </c>
      <c r="F1513" s="40"/>
      <c r="G1513" s="41" t="str">
        <f>IFERROR(IF(F1513&gt;=0,D1513*E1513*(1+F1513/100),ABS(D1513*E1513/F1513)),"")</f>
        <v/>
      </c>
      <c r="H1513" s="42" t="str">
        <f>IFERROR(G1513*E1495,"")</f>
        <v/>
      </c>
    </row>
    <row r="1514" spans="1:11" ht="12.75" customHeight="1" thickTop="1" thickBot="1"/>
    <row r="1515" spans="1:11" ht="12.75" customHeight="1" thickTop="1" thickBot="1">
      <c r="A1515" s="6" t="s">
        <v>1243</v>
      </c>
      <c r="B1515" s="7" t="str">
        <f>VLOOKUP($A1515,Presupuesto!$A:$D,2,FALSE())</f>
        <v>Impermeabilización manto Fiberglass + imprimante</v>
      </c>
      <c r="C1515" s="8" t="str">
        <f>VLOOKUP($A1515,Presupuesto!$A:$D,3,FALSE())</f>
        <v>M2</v>
      </c>
      <c r="D1515" s="9"/>
      <c r="E1515" s="10">
        <f>VLOOKUP($A1515,Presupuesto!$A:$D,4,FALSE())</f>
        <v>0</v>
      </c>
      <c r="F1515" s="11" t="s">
        <v>2589</v>
      </c>
      <c r="G1515" s="12">
        <f>SUM(G1517:G1533)/2</f>
        <v>79295.206110750005</v>
      </c>
      <c r="H1515" s="13">
        <f>ROUND(SUM(H1517:H1533),0)/2</f>
        <v>0</v>
      </c>
      <c r="I1515" s="10">
        <f>VLOOKUP(A1515,Presupuesto!$A:$F,6,0)</f>
        <v>0</v>
      </c>
      <c r="J1515" s="10">
        <f>+H1515-I1515</f>
        <v>0</v>
      </c>
      <c r="K1515" s="46">
        <f>+H1515-G1515*E1515</f>
        <v>0</v>
      </c>
    </row>
    <row r="1516" spans="1:11" ht="12.75" customHeight="1" thickTop="1">
      <c r="A1516" s="14"/>
      <c r="B1516" s="15" t="s">
        <v>2586</v>
      </c>
      <c r="C1516" s="15" t="s">
        <v>5</v>
      </c>
      <c r="D1516" s="16" t="s">
        <v>6</v>
      </c>
      <c r="E1516" s="17" t="s">
        <v>7</v>
      </c>
      <c r="F1516" s="18" t="s">
        <v>3728</v>
      </c>
      <c r="G1516" s="19" t="s">
        <v>3729</v>
      </c>
      <c r="H1516" s="20" t="s">
        <v>3797</v>
      </c>
    </row>
    <row r="1517" spans="1:11" ht="12.75" customHeight="1">
      <c r="A1517" s="21"/>
      <c r="B1517" s="22" t="s">
        <v>3730</v>
      </c>
      <c r="C1517" s="23"/>
      <c r="D1517" s="24"/>
      <c r="E1517" s="25"/>
      <c r="F1517" s="26"/>
      <c r="G1517" s="27">
        <f>SUM(G1518:G1522)</f>
        <v>52765.482000000011</v>
      </c>
      <c r="H1517" s="27">
        <f>IFERROR(G1517*E1515,"")</f>
        <v>0</v>
      </c>
    </row>
    <row r="1518" spans="1:11" ht="12.75" customHeight="1">
      <c r="A1518" s="28"/>
      <c r="B1518" s="29" t="s">
        <v>3007</v>
      </c>
      <c r="C1518" s="30" t="str">
        <f>IFERROR(_xlfn.XLOOKUP(B1518,Insumo[DESCRIPCION],Insumo[UND],,0),"")</f>
        <v>M2</v>
      </c>
      <c r="D1518" s="31">
        <v>1</v>
      </c>
      <c r="E1518" s="32">
        <f>IFERROR(_xlfn.XLOOKUP($B1518,Insumo[DESCRIPCION],Insumo[VALOR],,0),"")</f>
        <v>19316.850000000002</v>
      </c>
      <c r="F1518" s="33"/>
      <c r="G1518" s="34">
        <f>IFERROR(IF(F1518&gt;=0,D1518*E1518*(1+F1518/100),ABS(D1518*E1518/F1518)),"")</f>
        <v>19316.850000000002</v>
      </c>
      <c r="H1518" s="43">
        <f>IFERROR(G1518*E1515,"")</f>
        <v>0</v>
      </c>
    </row>
    <row r="1519" spans="1:11" ht="12.75" customHeight="1">
      <c r="A1519" s="28"/>
      <c r="B1519" s="29" t="s">
        <v>3147</v>
      </c>
      <c r="C1519" s="30" t="str">
        <f>IFERROR(_xlfn.XLOOKUP(B1519,Insumo[DESCRIPCION],Insumo[UND],,0),"")</f>
        <v>M2</v>
      </c>
      <c r="D1519" s="31">
        <v>1</v>
      </c>
      <c r="E1519" s="32">
        <f>IFERROR(_xlfn.XLOOKUP($B1519,Insumo[DESCRIPCION],Insumo[VALOR],,0),"")</f>
        <v>31175.550000000003</v>
      </c>
      <c r="F1519" s="33"/>
      <c r="G1519" s="34">
        <f>IFERROR(IF(F1519&gt;=0,D1519*E1519*(1+F1519/100),ABS(D1519*E1519/F1519)),"")</f>
        <v>31175.550000000003</v>
      </c>
      <c r="H1519" s="43">
        <f>IFERROR(G1519*E1515,"")</f>
        <v>0</v>
      </c>
    </row>
    <row r="1520" spans="1:11" ht="12.75" customHeight="1">
      <c r="A1520" s="28"/>
      <c r="B1520" s="29" t="s">
        <v>3212</v>
      </c>
      <c r="C1520" s="30" t="str">
        <f>IFERROR(_xlfn.XLOOKUP(B1520,Insumo[DESCRIPCION],Insumo[UND],,0),"")</f>
        <v>Un</v>
      </c>
      <c r="D1520" s="31">
        <v>0.02</v>
      </c>
      <c r="E1520" s="32">
        <f>IFERROR(_xlfn.XLOOKUP($B1520,Insumo[DESCRIPCION],Insumo[VALOR],,0),"")</f>
        <v>113654.1</v>
      </c>
      <c r="F1520" s="33"/>
      <c r="G1520" s="34">
        <f>IFERROR(IF(F1520&gt;=0,D1520*E1520*(1+F1520/100),ABS(D1520*E1520/F1520)),"")</f>
        <v>2273.0820000000003</v>
      </c>
      <c r="H1520" s="43">
        <f>IFERROR(G1520*E1515,"")</f>
        <v>0</v>
      </c>
    </row>
    <row r="1521" spans="1:11" ht="12.75" customHeight="1">
      <c r="A1521" s="28"/>
      <c r="B1521" s="29"/>
      <c r="C1521" s="30" t="str">
        <f>IFERROR(_xlfn.XLOOKUP(B1521,Insumo[DESCRIPCION],Insumo[UND],,0),"")</f>
        <v/>
      </c>
      <c r="D1521" s="31"/>
      <c r="E1521" s="32" t="str">
        <f>IFERROR(_xlfn.XLOOKUP($B1521,Insumo[DESCRIPCION],Insumo[VALOR],,0),"")</f>
        <v/>
      </c>
      <c r="F1521" s="33"/>
      <c r="G1521" s="34" t="str">
        <f>IFERROR(IF(F1521&gt;=0,D1521*E1521*(1+F1521/100),ABS(D1521*E1521/F1521)),"")</f>
        <v/>
      </c>
      <c r="H1521" s="43" t="str">
        <f>IFERROR(G1521*E1515,"")</f>
        <v/>
      </c>
    </row>
    <row r="1522" spans="1:11" ht="12.75" customHeight="1">
      <c r="A1522" s="28"/>
      <c r="B1522" s="29"/>
      <c r="C1522" s="30" t="str">
        <f>IFERROR(_xlfn.XLOOKUP(B1522,Insumo[DESCRIPCION],Insumo[UND],,0),"")</f>
        <v/>
      </c>
      <c r="D1522" s="31"/>
      <c r="E1522" s="32" t="str">
        <f>IFERROR(_xlfn.XLOOKUP($B1522,Insumo[DESCRIPCION],Insumo[VALOR],,0),"")</f>
        <v/>
      </c>
      <c r="F1522" s="33"/>
      <c r="G1522" s="34" t="str">
        <f>IFERROR(IF(F1522&gt;=0,D1522*E1522*(1+F1522/100),ABS(D1522*E1522/F1522)),"")</f>
        <v/>
      </c>
      <c r="H1522" s="43" t="str">
        <f>IFERROR(G1522*E1515,"")</f>
        <v/>
      </c>
    </row>
    <row r="1523" spans="1:11" ht="12.75" customHeight="1">
      <c r="A1523" s="21"/>
      <c r="B1523" s="22" t="s">
        <v>3731</v>
      </c>
      <c r="C1523" s="23"/>
      <c r="D1523" s="24"/>
      <c r="E1523" s="25"/>
      <c r="F1523" s="26"/>
      <c r="G1523" s="27">
        <f>SUM(G1524:G1526)</f>
        <v>2345.8201957500005</v>
      </c>
      <c r="H1523" s="44">
        <f>G1523*E1515</f>
        <v>0</v>
      </c>
    </row>
    <row r="1524" spans="1:11" ht="12.75" customHeight="1">
      <c r="A1524" s="28"/>
      <c r="B1524" s="29" t="s">
        <v>3649</v>
      </c>
      <c r="C1524" s="30" t="str">
        <f>IFERROR(_xlfn.XLOOKUP(B1524,Equipo[DESCRIPCION],Equipo[UND],,0),"")</f>
        <v>Día</v>
      </c>
      <c r="D1524" s="31">
        <v>1</v>
      </c>
      <c r="E1524" s="32">
        <f>IF(C1524="%MO",G1530,IFERROR(_xlfn.XLOOKUP($B1524,Equipo[DESCRIPCION],Equipo[VALOR],,0),""))</f>
        <v>56831.25</v>
      </c>
      <c r="F1524" s="33">
        <v>-50</v>
      </c>
      <c r="G1524" s="34">
        <f>IFERROR(IF(F1524&gt;=0,D1524*E1524*(1+F1524/100),ABS(D1524*E1524/F1524)),"")</f>
        <v>1136.625</v>
      </c>
      <c r="H1524" s="43">
        <f>IFERROR(G1524*E1515,"")</f>
        <v>0</v>
      </c>
    </row>
    <row r="1525" spans="1:11" ht="12.75" customHeight="1">
      <c r="A1525" s="28"/>
      <c r="B1525" s="29" t="s">
        <v>3626</v>
      </c>
      <c r="C1525" s="30" t="str">
        <f>IFERROR(_xlfn.XLOOKUP(B1525,Equipo[DESCRIPCION],Equipo[UND],,0),"")</f>
        <v>%MO</v>
      </c>
      <c r="D1525" s="31">
        <v>0.05</v>
      </c>
      <c r="E1525" s="32">
        <f>IF(C1525="%MO",G1530,IFERROR(_xlfn.XLOOKUP($B1525,Equipo[DESCRIPCION],Equipo[VALOR],,0),""))</f>
        <v>24183.903915000006</v>
      </c>
      <c r="F1525" s="33"/>
      <c r="G1525" s="34">
        <f>IFERROR(IF(F1525&gt;=0,D1525*E1525*(1+F1525/100),ABS(D1525*E1525/F1525)),"")</f>
        <v>1209.1951957500003</v>
      </c>
      <c r="H1525" s="43">
        <f>IFERROR(G1525*E1515,"")</f>
        <v>0</v>
      </c>
    </row>
    <row r="1526" spans="1:11" ht="12.75" customHeight="1">
      <c r="A1526" s="28"/>
      <c r="B1526" s="29"/>
      <c r="C1526" s="30" t="str">
        <f>IFERROR(_xlfn.XLOOKUP(B1526,Equipo[DESCRIPCION],Equipo[UND],,0),"")</f>
        <v/>
      </c>
      <c r="D1526" s="31"/>
      <c r="E1526" s="32" t="str">
        <f>IF(C1526="%MO",G1530,IFERROR(_xlfn.XLOOKUP($B1526,Equipo[DESCRIPCION],Equipo[VALOR],,0),""))</f>
        <v/>
      </c>
      <c r="F1526" s="33"/>
      <c r="G1526" s="34" t="str">
        <f>IFERROR(IF(F1526&gt;=0,D1526*E1526*(1+F1526/100),ABS(D1526*E1526/F1526)),"")</f>
        <v/>
      </c>
      <c r="H1526" s="43" t="str">
        <f>IFERROR(G1526*E1515,"")</f>
        <v/>
      </c>
    </row>
    <row r="1527" spans="1:11" ht="12.75" customHeight="1">
      <c r="A1527" s="21"/>
      <c r="B1527" s="22" t="s">
        <v>2533</v>
      </c>
      <c r="C1527" s="23"/>
      <c r="D1527" s="24"/>
      <c r="E1527" s="25"/>
      <c r="F1527" s="26"/>
      <c r="G1527" s="27">
        <f>SUM(G1528:G1529)</f>
        <v>0</v>
      </c>
      <c r="H1527" s="44">
        <f>G1527*E1515</f>
        <v>0</v>
      </c>
    </row>
    <row r="1528" spans="1:11" ht="12.75" customHeight="1">
      <c r="A1528" s="28"/>
      <c r="B1528" s="29"/>
      <c r="C1528" s="30" t="str">
        <f>IFERROR(_xlfn.XLOOKUP(B1528,Transporte[DESCRIPCION],Transporte[UND],,0),"")</f>
        <v/>
      </c>
      <c r="D1528" s="31"/>
      <c r="E1528" s="32" t="str">
        <f>IFERROR(_xlfn.XLOOKUP($B1528,Transporte[DESCRIPCION],Transporte[VALOR],,0),"")</f>
        <v/>
      </c>
      <c r="F1528" s="33"/>
      <c r="G1528" s="34" t="str">
        <f>IFERROR(IF(F1528&gt;=0,D1528*E1528*(1+F1528/100),ABS(D1528*E1528/F1528)),"")</f>
        <v/>
      </c>
      <c r="H1528" s="43" t="str">
        <f>IFERROR(G1528*E1515,"")</f>
        <v/>
      </c>
    </row>
    <row r="1529" spans="1:11" ht="12.75" customHeight="1">
      <c r="A1529" s="28"/>
      <c r="B1529" s="29"/>
      <c r="C1529" s="30" t="str">
        <f>IFERROR(_xlfn.XLOOKUP(B1529,Transporte[DESCRIPCION],Transporte[UND],,0),"")</f>
        <v/>
      </c>
      <c r="D1529" s="31"/>
      <c r="E1529" s="32" t="str">
        <f>IFERROR(_xlfn.XLOOKUP($B1529,Transporte[DESCRIPCION],Transporte[VALOR],,0),"")</f>
        <v/>
      </c>
      <c r="F1529" s="33"/>
      <c r="G1529" s="34" t="str">
        <f>IFERROR(IF(F1529&gt;=0,D1529*E1529*(1+F1529/100),ABS(D1529*E1529/F1529)),"")</f>
        <v/>
      </c>
      <c r="H1529" s="43" t="str">
        <f>IFERROR(G1529*E1515,"")</f>
        <v/>
      </c>
    </row>
    <row r="1530" spans="1:11" ht="12.75" customHeight="1">
      <c r="A1530" s="21"/>
      <c r="B1530" s="22" t="s">
        <v>3732</v>
      </c>
      <c r="C1530" s="23"/>
      <c r="D1530" s="24"/>
      <c r="E1530" s="25"/>
      <c r="F1530" s="26"/>
      <c r="G1530" s="27">
        <f>SUM(G1531:G1533)</f>
        <v>24183.903915000006</v>
      </c>
      <c r="H1530" s="44">
        <f>G1530*E1515</f>
        <v>0</v>
      </c>
    </row>
    <row r="1531" spans="1:11" ht="12.75" customHeight="1">
      <c r="A1531" s="28"/>
      <c r="B1531" s="29" t="s">
        <v>3710</v>
      </c>
      <c r="C1531" s="30" t="str">
        <f>IFERROR(_xlfn.XLOOKUP(B1531,MObra[DESCRIPCION],MObra[UN],,0),"")</f>
        <v>día</v>
      </c>
      <c r="D1531" s="31">
        <v>1</v>
      </c>
      <c r="E1531" s="32">
        <f>IFERROR(_xlfn.XLOOKUP($B1531,MObra[DESCRIPCION],MObra[VALOR UNIT],,0),"")</f>
        <v>314390.75089500006</v>
      </c>
      <c r="F1531" s="33">
        <v>-13</v>
      </c>
      <c r="G1531" s="34">
        <f>IFERROR(IF(F1531&gt;=0,D1531*E1531*(1+F1531/100),ABS(D1531*E1531/F1531)),"")</f>
        <v>24183.903915000006</v>
      </c>
      <c r="H1531" s="43">
        <f>IFERROR(G1531*E1515,"")</f>
        <v>0</v>
      </c>
    </row>
    <row r="1532" spans="1:11" ht="12.75" customHeight="1">
      <c r="A1532" s="28"/>
      <c r="B1532" s="29"/>
      <c r="C1532" s="30" t="str">
        <f t="array" ref="C1532">IFERROR(_xlfn.XLOOKUP(B1532,MObra[[#All],[DESCRIPCION]],MObra[[#All],[UN]],,0),"")</f>
        <v/>
      </c>
      <c r="D1532" s="31"/>
      <c r="E1532" s="32" t="str">
        <f>IFERROR(_xlfn.XLOOKUP($B1532,MObra[DESCRIPCION],MObra[VALOR UNIT],,0),"")</f>
        <v/>
      </c>
      <c r="F1532" s="33"/>
      <c r="G1532" s="34" t="str">
        <f>IFERROR(IF(F1532&gt;=0,D1532*E1532*(1+F1532/100),ABS(D1532*E1532/F1532)),"")</f>
        <v/>
      </c>
      <c r="H1532" s="43" t="str">
        <f>IFERROR(G1532*E1515,"")</f>
        <v/>
      </c>
    </row>
    <row r="1533" spans="1:11" ht="12.75" customHeight="1" thickBot="1">
      <c r="A1533" s="35"/>
      <c r="B1533" s="36"/>
      <c r="C1533" s="37" t="str">
        <f t="array" ref="C1533">IFERROR(_xlfn.XLOOKUP(B1533,MObra[[#All],[DESCRIPCION]],MObra[[#All],[UN]],,0),"")</f>
        <v/>
      </c>
      <c r="D1533" s="38"/>
      <c r="E1533" s="39" t="str">
        <f>IFERROR(_xlfn.XLOOKUP($B1533,MObra[DESCRIPCION],MObra[VALOR UNIT],,0),"")</f>
        <v/>
      </c>
      <c r="F1533" s="40"/>
      <c r="G1533" s="41" t="str">
        <f>IFERROR(IF(F1533&gt;=0,D1533*E1533*(1+F1533/100),ABS(D1533*E1533/F1533)),"")</f>
        <v/>
      </c>
      <c r="H1533" s="42" t="str">
        <f>IFERROR(G1533*E1515,"")</f>
        <v/>
      </c>
    </row>
    <row r="1534" spans="1:11" ht="12.75" customHeight="1" thickTop="1" thickBot="1"/>
    <row r="1535" spans="1:11" ht="12.75" customHeight="1" thickTop="1" thickBot="1">
      <c r="A1535" s="6" t="s">
        <v>1245</v>
      </c>
      <c r="B1535" s="7" t="str">
        <f>VLOOKUP($A1535,Presupuesto!$A:$D,2,FALSE())</f>
        <v>Instalación canal aguas lluvias</v>
      </c>
      <c r="C1535" s="8" t="str">
        <f>VLOOKUP($A1535,Presupuesto!$A:$D,3,FALSE())</f>
        <v>M</v>
      </c>
      <c r="D1535" s="9"/>
      <c r="E1535" s="10">
        <f>VLOOKUP($A1535,Presupuesto!$A:$D,4,FALSE())</f>
        <v>0</v>
      </c>
      <c r="F1535" s="11" t="s">
        <v>2589</v>
      </c>
      <c r="G1535" s="12">
        <f>SUM(G1537:G1553)/2</f>
        <v>16045.984537590004</v>
      </c>
      <c r="H1535" s="13">
        <f>ROUND(SUM(H1537:H1553),0)/2</f>
        <v>0</v>
      </c>
      <c r="I1535" s="10">
        <f>VLOOKUP(A1535,Presupuesto!$A:$F,6,0)</f>
        <v>0</v>
      </c>
      <c r="J1535" s="10">
        <f>+H1535-I1535</f>
        <v>0</v>
      </c>
      <c r="K1535" s="46">
        <f>+H1535-G1535*E1535</f>
        <v>0</v>
      </c>
    </row>
    <row r="1536" spans="1:11" ht="12.75" customHeight="1" thickTop="1">
      <c r="A1536" s="14"/>
      <c r="B1536" s="15" t="s">
        <v>2586</v>
      </c>
      <c r="C1536" s="15" t="s">
        <v>5</v>
      </c>
      <c r="D1536" s="16" t="s">
        <v>6</v>
      </c>
      <c r="E1536" s="17" t="s">
        <v>7</v>
      </c>
      <c r="F1536" s="18" t="s">
        <v>3728</v>
      </c>
      <c r="G1536" s="19" t="s">
        <v>3729</v>
      </c>
      <c r="H1536" s="20" t="s">
        <v>3797</v>
      </c>
    </row>
    <row r="1537" spans="1:8" ht="12.75" customHeight="1">
      <c r="A1537" s="21"/>
      <c r="B1537" s="22" t="s">
        <v>3730</v>
      </c>
      <c r="C1537" s="23"/>
      <c r="D1537" s="24"/>
      <c r="E1537" s="25"/>
      <c r="F1537" s="26"/>
      <c r="G1537" s="27">
        <f>SUM(G1538:G1542)</f>
        <v>0</v>
      </c>
      <c r="H1537" s="27">
        <f>IFERROR(G1537*E1535,"")</f>
        <v>0</v>
      </c>
    </row>
    <row r="1538" spans="1:8" ht="12.75" customHeight="1">
      <c r="A1538" s="28"/>
      <c r="B1538" s="29"/>
      <c r="C1538" s="30" t="str">
        <f>IFERROR(_xlfn.XLOOKUP(B1538,Insumo[DESCRIPCION],Insumo[UND],,0),"")</f>
        <v/>
      </c>
      <c r="D1538" s="31"/>
      <c r="E1538" s="32" t="str">
        <f>IFERROR(_xlfn.XLOOKUP($B1538,Insumo[DESCRIPCION],Insumo[VALOR],,0),"")</f>
        <v/>
      </c>
      <c r="F1538" s="33"/>
      <c r="G1538" s="34" t="str">
        <f>IFERROR(IF(F1538&gt;=0,D1538*E1538*(1+F1538/100),ABS(D1538*E1538/F1538)),"")</f>
        <v/>
      </c>
      <c r="H1538" s="43" t="str">
        <f>IFERROR(G1538*E1535,"")</f>
        <v/>
      </c>
    </row>
    <row r="1539" spans="1:8" ht="12.75" customHeight="1">
      <c r="A1539" s="28"/>
      <c r="B1539" s="29"/>
      <c r="C1539" s="30" t="str">
        <f>IFERROR(_xlfn.XLOOKUP(B1539,Insumo[DESCRIPCION],Insumo[UND],,0),"")</f>
        <v/>
      </c>
      <c r="D1539" s="31"/>
      <c r="E1539" s="32" t="str">
        <f>IFERROR(_xlfn.XLOOKUP($B1539,Insumo[DESCRIPCION],Insumo[VALOR],,0),"")</f>
        <v/>
      </c>
      <c r="F1539" s="33"/>
      <c r="G1539" s="34" t="str">
        <f>IFERROR(IF(F1539&gt;=0,D1539*E1539*(1+F1539/100),ABS(D1539*E1539/F1539)),"")</f>
        <v/>
      </c>
      <c r="H1539" s="43" t="str">
        <f>IFERROR(G1539*E1535,"")</f>
        <v/>
      </c>
    </row>
    <row r="1540" spans="1:8" ht="12.75" customHeight="1">
      <c r="A1540" s="28"/>
      <c r="B1540" s="29"/>
      <c r="C1540" s="30" t="str">
        <f>IFERROR(_xlfn.XLOOKUP(B1540,Insumo[DESCRIPCION],Insumo[UND],,0),"")</f>
        <v/>
      </c>
      <c r="D1540" s="31"/>
      <c r="E1540" s="32" t="str">
        <f>IFERROR(_xlfn.XLOOKUP($B1540,Insumo[DESCRIPCION],Insumo[VALOR],,0),"")</f>
        <v/>
      </c>
      <c r="F1540" s="33"/>
      <c r="G1540" s="34" t="str">
        <f>IFERROR(IF(F1540&gt;=0,D1540*E1540*(1+F1540/100),ABS(D1540*E1540/F1540)),"")</f>
        <v/>
      </c>
      <c r="H1540" s="43" t="str">
        <f>IFERROR(G1540*E1535,"")</f>
        <v/>
      </c>
    </row>
    <row r="1541" spans="1:8" ht="12.75" customHeight="1">
      <c r="A1541" s="28"/>
      <c r="B1541" s="29"/>
      <c r="C1541" s="30" t="str">
        <f>IFERROR(_xlfn.XLOOKUP(B1541,Insumo[DESCRIPCION],Insumo[UND],,0),"")</f>
        <v/>
      </c>
      <c r="D1541" s="31"/>
      <c r="E1541" s="32" t="str">
        <f>IFERROR(_xlfn.XLOOKUP($B1541,Insumo[DESCRIPCION],Insumo[VALOR],,0),"")</f>
        <v/>
      </c>
      <c r="F1541" s="33"/>
      <c r="G1541" s="34" t="str">
        <f>IFERROR(IF(F1541&gt;=0,D1541*E1541*(1+F1541/100),ABS(D1541*E1541/F1541)),"")</f>
        <v/>
      </c>
      <c r="H1541" s="43" t="str">
        <f>IFERROR(G1541*E1535,"")</f>
        <v/>
      </c>
    </row>
    <row r="1542" spans="1:8" ht="12.75" customHeight="1">
      <c r="A1542" s="28"/>
      <c r="B1542" s="29"/>
      <c r="C1542" s="30" t="str">
        <f>IFERROR(_xlfn.XLOOKUP(B1542,Insumo[DESCRIPCION],Insumo[UND],,0),"")</f>
        <v/>
      </c>
      <c r="D1542" s="31"/>
      <c r="E1542" s="32" t="str">
        <f>IFERROR(_xlfn.XLOOKUP($B1542,Insumo[DESCRIPCION],Insumo[VALOR],,0),"")</f>
        <v/>
      </c>
      <c r="F1542" s="33"/>
      <c r="G1542" s="34" t="str">
        <f>IFERROR(IF(F1542&gt;=0,D1542*E1542*(1+F1542/100),ABS(D1542*E1542/F1542)),"")</f>
        <v/>
      </c>
      <c r="H1542" s="43" t="str">
        <f>IFERROR(G1542*E1535,"")</f>
        <v/>
      </c>
    </row>
    <row r="1543" spans="1:8" ht="12.75" customHeight="1">
      <c r="A1543" s="21"/>
      <c r="B1543" s="22" t="s">
        <v>3731</v>
      </c>
      <c r="C1543" s="23"/>
      <c r="D1543" s="24"/>
      <c r="E1543" s="25"/>
      <c r="F1543" s="26"/>
      <c r="G1543" s="27">
        <f>SUM(G1544:G1546)</f>
        <v>3470.3545017900001</v>
      </c>
      <c r="H1543" s="44">
        <f>G1543*E1535</f>
        <v>0</v>
      </c>
    </row>
    <row r="1544" spans="1:8" ht="12.75" customHeight="1">
      <c r="A1544" s="28"/>
      <c r="B1544" s="29" t="s">
        <v>3575</v>
      </c>
      <c r="C1544" s="30" t="str">
        <f>IFERROR(_xlfn.XLOOKUP(B1544,Equipo[DESCRIPCION],Equipo[UND],,0),"")</f>
        <v>Día</v>
      </c>
      <c r="D1544" s="31">
        <v>1</v>
      </c>
      <c r="E1544" s="32">
        <f>IF(C1544="%MO",G1550,IFERROR(_xlfn.XLOOKUP($B1544,Equipo[DESCRIPCION],Equipo[VALOR],,0),""))</f>
        <v>142078.65</v>
      </c>
      <c r="F1544" s="33">
        <v>-50</v>
      </c>
      <c r="G1544" s="34">
        <f>IFERROR(IF(F1544&gt;=0,D1544*E1544*(1+F1544/100),ABS(D1544*E1544/F1544)),"")</f>
        <v>2841.5729999999999</v>
      </c>
      <c r="H1544" s="43">
        <f>IFERROR(G1544*E1535,"")</f>
        <v>0</v>
      </c>
    </row>
    <row r="1545" spans="1:8" ht="12.75" customHeight="1">
      <c r="A1545" s="28"/>
      <c r="B1545" s="29" t="s">
        <v>3626</v>
      </c>
      <c r="C1545" s="30" t="str">
        <f>IFERROR(_xlfn.XLOOKUP(B1545,Equipo[DESCRIPCION],Equipo[UND],,0),"")</f>
        <v>%MO</v>
      </c>
      <c r="D1545" s="31">
        <v>0.05</v>
      </c>
      <c r="E1545" s="32">
        <f>IF(C1545="%MO",G1550,IFERROR(_xlfn.XLOOKUP($B1545,Equipo[DESCRIPCION],Equipo[VALOR],,0),""))</f>
        <v>12575.630035800003</v>
      </c>
      <c r="F1545" s="33"/>
      <c r="G1545" s="34">
        <f>IFERROR(IF(F1545&gt;=0,D1545*E1545*(1+F1545/100),ABS(D1545*E1545/F1545)),"")</f>
        <v>628.78150179000022</v>
      </c>
      <c r="H1545" s="43">
        <f>IFERROR(G1545*E1535,"")</f>
        <v>0</v>
      </c>
    </row>
    <row r="1546" spans="1:8" ht="12.75" customHeight="1">
      <c r="A1546" s="28"/>
      <c r="B1546" s="29"/>
      <c r="C1546" s="30" t="str">
        <f>IFERROR(_xlfn.XLOOKUP(B1546,Equipo[DESCRIPCION],Equipo[UND],,0),"")</f>
        <v/>
      </c>
      <c r="D1546" s="31"/>
      <c r="E1546" s="32" t="str">
        <f>IF(C1546="%MO",G1550,IFERROR(_xlfn.XLOOKUP($B1546,Equipo[DESCRIPCION],Equipo[VALOR],,0),""))</f>
        <v/>
      </c>
      <c r="F1546" s="33"/>
      <c r="G1546" s="34" t="str">
        <f>IFERROR(IF(F1546&gt;=0,D1546*E1546*(1+F1546/100),ABS(D1546*E1546/F1546)),"")</f>
        <v/>
      </c>
      <c r="H1546" s="43" t="str">
        <f>IFERROR(G1546*E1535,"")</f>
        <v/>
      </c>
    </row>
    <row r="1547" spans="1:8" ht="12.75" customHeight="1">
      <c r="A1547" s="21"/>
      <c r="B1547" s="22" t="s">
        <v>2533</v>
      </c>
      <c r="C1547" s="23"/>
      <c r="D1547" s="24"/>
      <c r="E1547" s="25"/>
      <c r="F1547" s="26"/>
      <c r="G1547" s="27">
        <f>SUM(G1548:G1549)</f>
        <v>0</v>
      </c>
      <c r="H1547" s="44">
        <f>G1547*E1535</f>
        <v>0</v>
      </c>
    </row>
    <row r="1548" spans="1:8" ht="12.75" customHeight="1">
      <c r="A1548" s="28"/>
      <c r="B1548" s="29"/>
      <c r="C1548" s="30" t="str">
        <f>IFERROR(_xlfn.XLOOKUP(B1548,Transporte[DESCRIPCION],Transporte[UND],,0),"")</f>
        <v/>
      </c>
      <c r="D1548" s="31"/>
      <c r="E1548" s="32" t="str">
        <f>IFERROR(_xlfn.XLOOKUP($B1548,Transporte[DESCRIPCION],Transporte[VALOR],,0),"")</f>
        <v/>
      </c>
      <c r="F1548" s="33"/>
      <c r="G1548" s="34" t="str">
        <f>IFERROR(IF(F1548&gt;=0,D1548*E1548*(1+F1548/100),ABS(D1548*E1548/F1548)),"")</f>
        <v/>
      </c>
      <c r="H1548" s="43" t="str">
        <f>IFERROR(G1548*E1535,"")</f>
        <v/>
      </c>
    </row>
    <row r="1549" spans="1:8" ht="12.75" customHeight="1">
      <c r="A1549" s="28"/>
      <c r="B1549" s="29"/>
      <c r="C1549" s="30" t="str">
        <f>IFERROR(_xlfn.XLOOKUP(B1549,Transporte[DESCRIPCION],Transporte[UND],,0),"")</f>
        <v/>
      </c>
      <c r="D1549" s="31"/>
      <c r="E1549" s="32" t="str">
        <f>IFERROR(_xlfn.XLOOKUP($B1549,Transporte[DESCRIPCION],Transporte[VALOR],,0),"")</f>
        <v/>
      </c>
      <c r="F1549" s="33"/>
      <c r="G1549" s="34" t="str">
        <f>IFERROR(IF(F1549&gt;=0,D1549*E1549*(1+F1549/100),ABS(D1549*E1549/F1549)),"")</f>
        <v/>
      </c>
      <c r="H1549" s="43" t="str">
        <f>IFERROR(G1549*E1535,"")</f>
        <v/>
      </c>
    </row>
    <row r="1550" spans="1:8" ht="12.75" customHeight="1">
      <c r="A1550" s="21"/>
      <c r="B1550" s="22" t="s">
        <v>3732</v>
      </c>
      <c r="C1550" s="23"/>
      <c r="D1550" s="24"/>
      <c r="E1550" s="25"/>
      <c r="F1550" s="26"/>
      <c r="G1550" s="27">
        <f>SUM(G1551:G1553)</f>
        <v>12575.630035800003</v>
      </c>
      <c r="H1550" s="44">
        <f>G1550*E1535</f>
        <v>0</v>
      </c>
    </row>
    <row r="1551" spans="1:8" ht="12.75" customHeight="1">
      <c r="A1551" s="28"/>
      <c r="B1551" s="29" t="s">
        <v>3710</v>
      </c>
      <c r="C1551" s="30" t="str">
        <f>IFERROR(_xlfn.XLOOKUP(B1551,MObra[DESCRIPCION],MObra[UN],,0),"")</f>
        <v>día</v>
      </c>
      <c r="D1551" s="31">
        <v>1</v>
      </c>
      <c r="E1551" s="32">
        <f>IFERROR(_xlfn.XLOOKUP($B1551,MObra[DESCRIPCION],MObra[VALOR UNIT],,0),"")</f>
        <v>314390.75089500006</v>
      </c>
      <c r="F1551" s="33">
        <v>-25</v>
      </c>
      <c r="G1551" s="34">
        <f>IFERROR(IF(F1551&gt;=0,D1551*E1551*(1+F1551/100),ABS(D1551*E1551/F1551)),"")</f>
        <v>12575.630035800003</v>
      </c>
      <c r="H1551" s="43">
        <f>IFERROR(G1551*E1535,"")</f>
        <v>0</v>
      </c>
    </row>
    <row r="1552" spans="1:8" ht="12.75" customHeight="1">
      <c r="A1552" s="28"/>
      <c r="B1552" s="29"/>
      <c r="C1552" s="30" t="str">
        <f t="array" ref="C1552">IFERROR(_xlfn.XLOOKUP(B1552,MObra[[#All],[DESCRIPCION]],MObra[[#All],[UN]],,0),"")</f>
        <v/>
      </c>
      <c r="D1552" s="31"/>
      <c r="E1552" s="32" t="str">
        <f>IFERROR(_xlfn.XLOOKUP($B1552,MObra[DESCRIPCION],MObra[VALOR UNIT],,0),"")</f>
        <v/>
      </c>
      <c r="F1552" s="33"/>
      <c r="G1552" s="34" t="str">
        <f>IFERROR(IF(F1552&gt;=0,D1552*E1552*(1+F1552/100),ABS(D1552*E1552/F1552)),"")</f>
        <v/>
      </c>
      <c r="H1552" s="43" t="str">
        <f>IFERROR(G1552*E1535,"")</f>
        <v/>
      </c>
    </row>
    <row r="1553" spans="1:11" ht="12.75" customHeight="1" thickBot="1">
      <c r="A1553" s="35"/>
      <c r="B1553" s="36"/>
      <c r="C1553" s="37" t="str">
        <f t="array" ref="C1553">IFERROR(_xlfn.XLOOKUP(B1553,MObra[[#All],[DESCRIPCION]],MObra[[#All],[UN]],,0),"")</f>
        <v/>
      </c>
      <c r="D1553" s="38"/>
      <c r="E1553" s="39" t="str">
        <f>IFERROR(_xlfn.XLOOKUP($B1553,MObra[DESCRIPCION],MObra[VALOR UNIT],,0),"")</f>
        <v/>
      </c>
      <c r="F1553" s="40"/>
      <c r="G1553" s="41" t="str">
        <f>IFERROR(IF(F1553&gt;=0,D1553*E1553*(1+F1553/100),ABS(D1553*E1553/F1553)),"")</f>
        <v/>
      </c>
      <c r="H1553" s="42" t="str">
        <f>IFERROR(G1553*E1535,"")</f>
        <v/>
      </c>
    </row>
    <row r="1554" spans="1:11" ht="12.75" customHeight="1" thickTop="1" thickBot="1"/>
    <row r="1555" spans="1:11" ht="12.75" customHeight="1" thickTop="1" thickBot="1">
      <c r="A1555" s="6" t="s">
        <v>1247</v>
      </c>
      <c r="B1555" s="7" t="str">
        <f>VLOOKUP($A1555,Presupuesto!$A:$D,2,FALSE())</f>
        <v>Instalación techo teja ondulada FC</v>
      </c>
      <c r="C1555" s="8" t="str">
        <f>VLOOKUP($A1555,Presupuesto!$A:$D,3,FALSE())</f>
        <v>M2</v>
      </c>
      <c r="D1555" s="9"/>
      <c r="E1555" s="10">
        <f>VLOOKUP($A1555,Presupuesto!$A:$D,4,FALSE())</f>
        <v>0</v>
      </c>
      <c r="F1555" s="11" t="s">
        <v>2589</v>
      </c>
      <c r="G1555" s="12">
        <f>SUM(G1557:G1573)/2</f>
        <v>23609.446921987503</v>
      </c>
      <c r="H1555" s="13">
        <f>ROUND(SUM(H1557:H1573),0)/2</f>
        <v>0</v>
      </c>
      <c r="I1555" s="10">
        <f>VLOOKUP(A1555,Presupuesto!$A:$F,6,0)</f>
        <v>0</v>
      </c>
      <c r="J1555" s="10">
        <f>+H1555-I1555</f>
        <v>0</v>
      </c>
      <c r="K1555" s="46">
        <f>+H1555-G1555*E1555</f>
        <v>0</v>
      </c>
    </row>
    <row r="1556" spans="1:11" ht="12.75" customHeight="1" thickTop="1">
      <c r="A1556" s="14"/>
      <c r="B1556" s="15" t="s">
        <v>2586</v>
      </c>
      <c r="C1556" s="15" t="s">
        <v>5</v>
      </c>
      <c r="D1556" s="16" t="s">
        <v>6</v>
      </c>
      <c r="E1556" s="17" t="s">
        <v>7</v>
      </c>
      <c r="F1556" s="18" t="s">
        <v>3728</v>
      </c>
      <c r="G1556" s="19" t="s">
        <v>3729</v>
      </c>
      <c r="H1556" s="20" t="s">
        <v>3797</v>
      </c>
    </row>
    <row r="1557" spans="1:11" ht="12.75" customHeight="1">
      <c r="A1557" s="21"/>
      <c r="B1557" s="22" t="s">
        <v>3730</v>
      </c>
      <c r="C1557" s="23"/>
      <c r="D1557" s="24"/>
      <c r="E1557" s="25"/>
      <c r="F1557" s="26"/>
      <c r="G1557" s="27">
        <f>SUM(G1558:G1562)</f>
        <v>0</v>
      </c>
      <c r="H1557" s="27">
        <f>IFERROR(G1557*E1555,"")</f>
        <v>0</v>
      </c>
    </row>
    <row r="1558" spans="1:11" ht="12.75" customHeight="1">
      <c r="A1558" s="28"/>
      <c r="B1558" s="29"/>
      <c r="C1558" s="30" t="str">
        <f>IFERROR(_xlfn.XLOOKUP(B1558,Insumo[DESCRIPCION],Insumo[UND],,0),"")</f>
        <v/>
      </c>
      <c r="D1558" s="31"/>
      <c r="E1558" s="32" t="str">
        <f>IFERROR(_xlfn.XLOOKUP($B1558,Insumo[DESCRIPCION],Insumo[VALOR],,0),"")</f>
        <v/>
      </c>
      <c r="F1558" s="33"/>
      <c r="G1558" s="34" t="str">
        <f>IFERROR(IF(F1558&gt;=0,D1558*E1558*(1+F1558/100),ABS(D1558*E1558/F1558)),"")</f>
        <v/>
      </c>
      <c r="H1558" s="43" t="str">
        <f>IFERROR(G1558*E1555,"")</f>
        <v/>
      </c>
    </row>
    <row r="1559" spans="1:11" ht="12.75" customHeight="1">
      <c r="A1559" s="28"/>
      <c r="B1559" s="29"/>
      <c r="C1559" s="30" t="str">
        <f>IFERROR(_xlfn.XLOOKUP(B1559,Insumo[DESCRIPCION],Insumo[UND],,0),"")</f>
        <v/>
      </c>
      <c r="D1559" s="31"/>
      <c r="E1559" s="32" t="str">
        <f>IFERROR(_xlfn.XLOOKUP($B1559,Insumo[DESCRIPCION],Insumo[VALOR],,0),"")</f>
        <v/>
      </c>
      <c r="F1559" s="33"/>
      <c r="G1559" s="34" t="str">
        <f>IFERROR(IF(F1559&gt;=0,D1559*E1559*(1+F1559/100),ABS(D1559*E1559/F1559)),"")</f>
        <v/>
      </c>
      <c r="H1559" s="43" t="str">
        <f>IFERROR(G1559*E1555,"")</f>
        <v/>
      </c>
    </row>
    <row r="1560" spans="1:11" ht="12.75" customHeight="1">
      <c r="A1560" s="28"/>
      <c r="B1560" s="29"/>
      <c r="C1560" s="30" t="str">
        <f>IFERROR(_xlfn.XLOOKUP(B1560,Insumo[DESCRIPCION],Insumo[UND],,0),"")</f>
        <v/>
      </c>
      <c r="D1560" s="31"/>
      <c r="E1560" s="32" t="str">
        <f>IFERROR(_xlfn.XLOOKUP($B1560,Insumo[DESCRIPCION],Insumo[VALOR],,0),"")</f>
        <v/>
      </c>
      <c r="F1560" s="33"/>
      <c r="G1560" s="34" t="str">
        <f>IFERROR(IF(F1560&gt;=0,D1560*E1560*(1+F1560/100),ABS(D1560*E1560/F1560)),"")</f>
        <v/>
      </c>
      <c r="H1560" s="43" t="str">
        <f>IFERROR(G1560*E1555,"")</f>
        <v/>
      </c>
    </row>
    <row r="1561" spans="1:11" ht="12.75" customHeight="1">
      <c r="A1561" s="28"/>
      <c r="B1561" s="29"/>
      <c r="C1561" s="30" t="str">
        <f>IFERROR(_xlfn.XLOOKUP(B1561,Insumo[DESCRIPCION],Insumo[UND],,0),"")</f>
        <v/>
      </c>
      <c r="D1561" s="31"/>
      <c r="E1561" s="32" t="str">
        <f>IFERROR(_xlfn.XLOOKUP($B1561,Insumo[DESCRIPCION],Insumo[VALOR],,0),"")</f>
        <v/>
      </c>
      <c r="F1561" s="33"/>
      <c r="G1561" s="34" t="str">
        <f>IFERROR(IF(F1561&gt;=0,D1561*E1561*(1+F1561/100),ABS(D1561*E1561/F1561)),"")</f>
        <v/>
      </c>
      <c r="H1561" s="43" t="str">
        <f>IFERROR(G1561*E1555,"")</f>
        <v/>
      </c>
    </row>
    <row r="1562" spans="1:11" ht="12.75" customHeight="1">
      <c r="A1562" s="28"/>
      <c r="B1562" s="29"/>
      <c r="C1562" s="30" t="str">
        <f>IFERROR(_xlfn.XLOOKUP(B1562,Insumo[DESCRIPCION],Insumo[UND],,0),"")</f>
        <v/>
      </c>
      <c r="D1562" s="31"/>
      <c r="E1562" s="32" t="str">
        <f>IFERROR(_xlfn.XLOOKUP($B1562,Insumo[DESCRIPCION],Insumo[VALOR],,0),"")</f>
        <v/>
      </c>
      <c r="F1562" s="33"/>
      <c r="G1562" s="34" t="str">
        <f>IFERROR(IF(F1562&gt;=0,D1562*E1562*(1+F1562/100),ABS(D1562*E1562/F1562)),"")</f>
        <v/>
      </c>
      <c r="H1562" s="43" t="str">
        <f>IFERROR(G1562*E1555,"")</f>
        <v/>
      </c>
    </row>
    <row r="1563" spans="1:11" ht="12.75" customHeight="1">
      <c r="A1563" s="21"/>
      <c r="B1563" s="22" t="s">
        <v>3731</v>
      </c>
      <c r="C1563" s="23"/>
      <c r="D1563" s="24"/>
      <c r="E1563" s="25"/>
      <c r="F1563" s="26"/>
      <c r="G1563" s="27">
        <f>SUM(G1564:G1566)</f>
        <v>7889.9093772374999</v>
      </c>
      <c r="H1563" s="44">
        <f>G1563*E1555</f>
        <v>0</v>
      </c>
    </row>
    <row r="1564" spans="1:11" ht="12.75" customHeight="1">
      <c r="A1564" s="28"/>
      <c r="B1564" s="29" t="s">
        <v>3575</v>
      </c>
      <c r="C1564" s="30" t="str">
        <f>IFERROR(_xlfn.XLOOKUP(B1564,Equipo[DESCRIPCION],Equipo[UND],,0),"")</f>
        <v>Día</v>
      </c>
      <c r="D1564" s="31">
        <v>1</v>
      </c>
      <c r="E1564" s="32">
        <f>IF(C1564="%MO",G1570,IFERROR(_xlfn.XLOOKUP($B1564,Equipo[DESCRIPCION],Equipo[VALOR],,0),""))</f>
        <v>142078.65</v>
      </c>
      <c r="F1564" s="33">
        <v>-20</v>
      </c>
      <c r="G1564" s="34">
        <f>IFERROR(IF(F1564&gt;=0,D1564*E1564*(1+F1564/100),ABS(D1564*E1564/F1564)),"")</f>
        <v>7103.9324999999999</v>
      </c>
      <c r="H1564" s="43">
        <f>IFERROR(G1564*E1555,"")</f>
        <v>0</v>
      </c>
    </row>
    <row r="1565" spans="1:11" ht="12.75" customHeight="1">
      <c r="A1565" s="28"/>
      <c r="B1565" s="29" t="s">
        <v>3626</v>
      </c>
      <c r="C1565" s="30" t="str">
        <f>IFERROR(_xlfn.XLOOKUP(B1565,Equipo[DESCRIPCION],Equipo[UND],,0),"")</f>
        <v>%MO</v>
      </c>
      <c r="D1565" s="31">
        <v>0.05</v>
      </c>
      <c r="E1565" s="32">
        <f>IF(C1565="%MO",G1570,IFERROR(_xlfn.XLOOKUP($B1565,Equipo[DESCRIPCION],Equipo[VALOR],,0),""))</f>
        <v>15719.537544750003</v>
      </c>
      <c r="F1565" s="33"/>
      <c r="G1565" s="34">
        <f>IFERROR(IF(F1565&gt;=0,D1565*E1565*(1+F1565/100),ABS(D1565*E1565/F1565)),"")</f>
        <v>785.97687723750016</v>
      </c>
      <c r="H1565" s="43">
        <f>IFERROR(G1565*E1555,"")</f>
        <v>0</v>
      </c>
    </row>
    <row r="1566" spans="1:11" ht="12.75" customHeight="1">
      <c r="A1566" s="28"/>
      <c r="B1566" s="29"/>
      <c r="C1566" s="30" t="str">
        <f>IFERROR(_xlfn.XLOOKUP(B1566,Equipo[DESCRIPCION],Equipo[UND],,0),"")</f>
        <v/>
      </c>
      <c r="D1566" s="31"/>
      <c r="E1566" s="32" t="str">
        <f>IF(C1566="%MO",G1570,IFERROR(_xlfn.XLOOKUP($B1566,Equipo[DESCRIPCION],Equipo[VALOR],,0),""))</f>
        <v/>
      </c>
      <c r="F1566" s="33"/>
      <c r="G1566" s="34" t="str">
        <f>IFERROR(IF(F1566&gt;=0,D1566*E1566*(1+F1566/100),ABS(D1566*E1566/F1566)),"")</f>
        <v/>
      </c>
      <c r="H1566" s="43" t="str">
        <f>IFERROR(G1566*E1555,"")</f>
        <v/>
      </c>
    </row>
    <row r="1567" spans="1:11" ht="12.75" customHeight="1">
      <c r="A1567" s="21"/>
      <c r="B1567" s="22" t="s">
        <v>2533</v>
      </c>
      <c r="C1567" s="23"/>
      <c r="D1567" s="24"/>
      <c r="E1567" s="25"/>
      <c r="F1567" s="26"/>
      <c r="G1567" s="27">
        <f>SUM(G1568:G1569)</f>
        <v>0</v>
      </c>
      <c r="H1567" s="44">
        <f>G1567*E1555</f>
        <v>0</v>
      </c>
    </row>
    <row r="1568" spans="1:11" ht="12.75" customHeight="1">
      <c r="A1568" s="28"/>
      <c r="B1568" s="29"/>
      <c r="C1568" s="30" t="str">
        <f>IFERROR(_xlfn.XLOOKUP(B1568,Transporte[DESCRIPCION],Transporte[UND],,0),"")</f>
        <v/>
      </c>
      <c r="D1568" s="31"/>
      <c r="E1568" s="32" t="str">
        <f>IFERROR(_xlfn.XLOOKUP($B1568,Transporte[DESCRIPCION],Transporte[VALOR],,0),"")</f>
        <v/>
      </c>
      <c r="F1568" s="33"/>
      <c r="G1568" s="34" t="str">
        <f>IFERROR(IF(F1568&gt;=0,D1568*E1568*(1+F1568/100),ABS(D1568*E1568/F1568)),"")</f>
        <v/>
      </c>
      <c r="H1568" s="43" t="str">
        <f>IFERROR(G1568*E1555,"")</f>
        <v/>
      </c>
    </row>
    <row r="1569" spans="1:11" ht="12.75" customHeight="1">
      <c r="A1569" s="28"/>
      <c r="B1569" s="29"/>
      <c r="C1569" s="30" t="str">
        <f>IFERROR(_xlfn.XLOOKUP(B1569,Transporte[DESCRIPCION],Transporte[UND],,0),"")</f>
        <v/>
      </c>
      <c r="D1569" s="31"/>
      <c r="E1569" s="32" t="str">
        <f>IFERROR(_xlfn.XLOOKUP($B1569,Transporte[DESCRIPCION],Transporte[VALOR],,0),"")</f>
        <v/>
      </c>
      <c r="F1569" s="33"/>
      <c r="G1569" s="34" t="str">
        <f>IFERROR(IF(F1569&gt;=0,D1569*E1569*(1+F1569/100),ABS(D1569*E1569/F1569)),"")</f>
        <v/>
      </c>
      <c r="H1569" s="43" t="str">
        <f>IFERROR(G1569*E1555,"")</f>
        <v/>
      </c>
    </row>
    <row r="1570" spans="1:11" ht="12.75" customHeight="1">
      <c r="A1570" s="21"/>
      <c r="B1570" s="22" t="s">
        <v>3732</v>
      </c>
      <c r="C1570" s="23"/>
      <c r="D1570" s="24"/>
      <c r="E1570" s="25"/>
      <c r="F1570" s="26"/>
      <c r="G1570" s="27">
        <f>SUM(G1571:G1573)</f>
        <v>15719.537544750003</v>
      </c>
      <c r="H1570" s="44">
        <f>G1570*E1555</f>
        <v>0</v>
      </c>
    </row>
    <row r="1571" spans="1:11" ht="12.75" customHeight="1">
      <c r="A1571" s="28"/>
      <c r="B1571" s="29" t="s">
        <v>3710</v>
      </c>
      <c r="C1571" s="30" t="str">
        <f>IFERROR(_xlfn.XLOOKUP(B1571,MObra[DESCRIPCION],MObra[UN],,0),"")</f>
        <v>día</v>
      </c>
      <c r="D1571" s="31">
        <v>1</v>
      </c>
      <c r="E1571" s="32">
        <f>IFERROR(_xlfn.XLOOKUP($B1571,MObra[DESCRIPCION],MObra[VALOR UNIT],,0),"")</f>
        <v>314390.75089500006</v>
      </c>
      <c r="F1571" s="33">
        <v>-20</v>
      </c>
      <c r="G1571" s="34">
        <f>IFERROR(IF(F1571&gt;=0,D1571*E1571*(1+F1571/100),ABS(D1571*E1571/F1571)),"")</f>
        <v>15719.537544750003</v>
      </c>
      <c r="H1571" s="43">
        <f>IFERROR(G1571*E1555,"")</f>
        <v>0</v>
      </c>
    </row>
    <row r="1572" spans="1:11" ht="12.75" customHeight="1">
      <c r="A1572" s="28"/>
      <c r="B1572" s="29"/>
      <c r="C1572" s="30" t="str">
        <f t="array" ref="C1572">IFERROR(_xlfn.XLOOKUP(B1572,MObra[[#All],[DESCRIPCION]],MObra[[#All],[UN]],,0),"")</f>
        <v/>
      </c>
      <c r="D1572" s="31"/>
      <c r="E1572" s="32" t="str">
        <f>IFERROR(_xlfn.XLOOKUP($B1572,MObra[DESCRIPCION],MObra[VALOR UNIT],,0),"")</f>
        <v/>
      </c>
      <c r="F1572" s="33"/>
      <c r="G1572" s="34" t="str">
        <f>IFERROR(IF(F1572&gt;=0,D1572*E1572*(1+F1572/100),ABS(D1572*E1572/F1572)),"")</f>
        <v/>
      </c>
      <c r="H1572" s="43" t="str">
        <f>IFERROR(G1572*E1555,"")</f>
        <v/>
      </c>
    </row>
    <row r="1573" spans="1:11" ht="12.75" customHeight="1" thickBot="1">
      <c r="A1573" s="35"/>
      <c r="B1573" s="36"/>
      <c r="C1573" s="37" t="str">
        <f t="array" ref="C1573">IFERROR(_xlfn.XLOOKUP(B1573,MObra[[#All],[DESCRIPCION]],MObra[[#All],[UN]],,0),"")</f>
        <v/>
      </c>
      <c r="D1573" s="38"/>
      <c r="E1573" s="39" t="str">
        <f>IFERROR(_xlfn.XLOOKUP($B1573,MObra[DESCRIPCION],MObra[VALOR UNIT],,0),"")</f>
        <v/>
      </c>
      <c r="F1573" s="40"/>
      <c r="G1573" s="41" t="str">
        <f>IFERROR(IF(F1573&gt;=0,D1573*E1573*(1+F1573/100),ABS(D1573*E1573/F1573)),"")</f>
        <v/>
      </c>
      <c r="H1573" s="42" t="str">
        <f>IFERROR(G1573*E1555,"")</f>
        <v/>
      </c>
    </row>
    <row r="1574" spans="1:11" ht="12.75" customHeight="1" thickTop="1" thickBot="1"/>
    <row r="1575" spans="1:11" ht="12.75" customHeight="1" thickTop="1" thickBot="1">
      <c r="A1575" s="6" t="s">
        <v>1249</v>
      </c>
      <c r="B1575" s="7" t="str">
        <f>VLOOKUP($A1575,Presupuesto!$A:$D,2,FALSE())</f>
        <v>Limatesa limahoya FC</v>
      </c>
      <c r="C1575" s="8" t="str">
        <f>VLOOKUP($A1575,Presupuesto!$A:$D,3,FALSE())</f>
        <v>M</v>
      </c>
      <c r="D1575" s="9"/>
      <c r="E1575" s="10">
        <f>VLOOKUP($A1575,Presupuesto!$A:$D,4,FALSE())</f>
        <v>0</v>
      </c>
      <c r="F1575" s="11" t="s">
        <v>2589</v>
      </c>
      <c r="G1575" s="12">
        <f>SUM(G1577:G1593)/2</f>
        <v>60403.397720578127</v>
      </c>
      <c r="H1575" s="13">
        <f>ROUND(SUM(H1577:H1593),0)/2</f>
        <v>0</v>
      </c>
      <c r="I1575" s="10">
        <f>VLOOKUP(A1575,Presupuesto!$A:$F,6,0)</f>
        <v>0</v>
      </c>
      <c r="J1575" s="10">
        <f>+H1575-I1575</f>
        <v>0</v>
      </c>
      <c r="K1575" s="46">
        <f>+H1575-G1575*E1575</f>
        <v>0</v>
      </c>
    </row>
    <row r="1576" spans="1:11" ht="12.75" customHeight="1" thickTop="1">
      <c r="A1576" s="14"/>
      <c r="B1576" s="15" t="s">
        <v>2586</v>
      </c>
      <c r="C1576" s="15" t="s">
        <v>5</v>
      </c>
      <c r="D1576" s="16" t="s">
        <v>6</v>
      </c>
      <c r="E1576" s="17" t="s">
        <v>7</v>
      </c>
      <c r="F1576" s="18" t="s">
        <v>3728</v>
      </c>
      <c r="G1576" s="19" t="s">
        <v>3729</v>
      </c>
      <c r="H1576" s="20" t="s">
        <v>3797</v>
      </c>
    </row>
    <row r="1577" spans="1:11" ht="12.75" customHeight="1">
      <c r="A1577" s="21"/>
      <c r="B1577" s="22" t="s">
        <v>3730</v>
      </c>
      <c r="C1577" s="23"/>
      <c r="D1577" s="24"/>
      <c r="E1577" s="25"/>
      <c r="F1577" s="26"/>
      <c r="G1577" s="27">
        <f>SUM(G1578:G1582)</f>
        <v>37806.5625</v>
      </c>
      <c r="H1577" s="27">
        <f>IFERROR(G1577*E1575,"")</f>
        <v>0</v>
      </c>
    </row>
    <row r="1578" spans="1:11" ht="12.75" customHeight="1">
      <c r="A1578" s="28"/>
      <c r="B1578" s="29" t="s">
        <v>3045</v>
      </c>
      <c r="C1578" s="30" t="str">
        <f>IFERROR(_xlfn.XLOOKUP(B1578,Insumo[DESCRIPCION],Insumo[UND],,0),"")</f>
        <v>M</v>
      </c>
      <c r="D1578" s="31">
        <v>1</v>
      </c>
      <c r="E1578" s="32">
        <f>IFERROR(_xlfn.XLOOKUP($B1578,Insumo[DESCRIPCION],Insumo[VALOR],,0),"")</f>
        <v>31952.550000000003</v>
      </c>
      <c r="F1578" s="33">
        <v>5</v>
      </c>
      <c r="G1578" s="34">
        <f>IFERROR(IF(F1578&gt;=0,D1578*E1578*(1+F1578/100),ABS(D1578*E1578/F1578)),"")</f>
        <v>33550.177500000005</v>
      </c>
      <c r="H1578" s="43">
        <f>IFERROR(G1578*E1575,"")</f>
        <v>0</v>
      </c>
    </row>
    <row r="1579" spans="1:11" ht="12.75" customHeight="1">
      <c r="A1579" s="28"/>
      <c r="B1579" s="29" t="s">
        <v>2702</v>
      </c>
      <c r="C1579" s="30" t="str">
        <f>IFERROR(_xlfn.XLOOKUP(B1579,Insumo[DESCRIPCION],Insumo[UND],,0),"")</f>
        <v>Un</v>
      </c>
      <c r="D1579" s="31">
        <v>2</v>
      </c>
      <c r="E1579" s="32">
        <f>IFERROR(_xlfn.XLOOKUP($B1579,Insumo[DESCRIPCION],Insumo[VALOR],,0),"")</f>
        <v>443.1</v>
      </c>
      <c r="F1579" s="33"/>
      <c r="G1579" s="34">
        <f>IFERROR(IF(F1579&gt;=0,D1579*E1579*(1+F1579/100),ABS(D1579*E1579/F1579)),"")</f>
        <v>886.2</v>
      </c>
      <c r="H1579" s="43">
        <f>IFERROR(G1579*E1575,"")</f>
        <v>0</v>
      </c>
    </row>
    <row r="1580" spans="1:11" ht="12.75" customHeight="1">
      <c r="A1580" s="28"/>
      <c r="B1580" s="29" t="s">
        <v>2999</v>
      </c>
      <c r="C1580" s="30" t="str">
        <f>IFERROR(_xlfn.XLOOKUP(B1580,Insumo[DESCRIPCION],Insumo[UND],,0),"")</f>
        <v>Kg</v>
      </c>
      <c r="D1580" s="31">
        <v>0.15</v>
      </c>
      <c r="E1580" s="32">
        <f>IFERROR(_xlfn.XLOOKUP($B1580,Insumo[DESCRIPCION],Insumo[VALOR],,0),"")</f>
        <v>22467.9</v>
      </c>
      <c r="F1580" s="33"/>
      <c r="G1580" s="34">
        <f>IFERROR(IF(F1580&gt;=0,D1580*E1580*(1+F1580/100),ABS(D1580*E1580/F1580)),"")</f>
        <v>3370.1849999999999</v>
      </c>
      <c r="H1580" s="43">
        <f>IFERROR(G1580*E1575,"")</f>
        <v>0</v>
      </c>
    </row>
    <row r="1581" spans="1:11" ht="12.75" customHeight="1">
      <c r="A1581" s="28"/>
      <c r="B1581" s="29"/>
      <c r="C1581" s="30" t="str">
        <f>IFERROR(_xlfn.XLOOKUP(B1581,Insumo[DESCRIPCION],Insumo[UND],,0),"")</f>
        <v/>
      </c>
      <c r="D1581" s="31"/>
      <c r="E1581" s="32" t="str">
        <f>IFERROR(_xlfn.XLOOKUP($B1581,Insumo[DESCRIPCION],Insumo[VALOR],,0),"")</f>
        <v/>
      </c>
      <c r="F1581" s="33"/>
      <c r="G1581" s="34" t="str">
        <f>IFERROR(IF(F1581&gt;=0,D1581*E1581*(1+F1581/100),ABS(D1581*E1581/F1581)),"")</f>
        <v/>
      </c>
      <c r="H1581" s="43" t="str">
        <f>IFERROR(G1581*E1575,"")</f>
        <v/>
      </c>
    </row>
    <row r="1582" spans="1:11" ht="12.75" customHeight="1">
      <c r="A1582" s="28"/>
      <c r="B1582" s="29"/>
      <c r="C1582" s="30" t="str">
        <f>IFERROR(_xlfn.XLOOKUP(B1582,Insumo[DESCRIPCION],Insumo[UND],,0),"")</f>
        <v/>
      </c>
      <c r="D1582" s="31"/>
      <c r="E1582" s="32" t="str">
        <f>IFERROR(_xlfn.XLOOKUP($B1582,Insumo[DESCRIPCION],Insumo[VALOR],,0),"")</f>
        <v/>
      </c>
      <c r="F1582" s="33"/>
      <c r="G1582" s="34" t="str">
        <f>IFERROR(IF(F1582&gt;=0,D1582*E1582*(1+F1582/100),ABS(D1582*E1582/F1582)),"")</f>
        <v/>
      </c>
      <c r="H1582" s="43" t="str">
        <f>IFERROR(G1582*E1575,"")</f>
        <v/>
      </c>
    </row>
    <row r="1583" spans="1:11" ht="12.75" customHeight="1">
      <c r="A1583" s="21"/>
      <c r="B1583" s="22" t="s">
        <v>3731</v>
      </c>
      <c r="C1583" s="23"/>
      <c r="D1583" s="24"/>
      <c r="E1583" s="25"/>
      <c r="F1583" s="26"/>
      <c r="G1583" s="27">
        <f>SUM(G1584:G1586)</f>
        <v>2947.4132896406259</v>
      </c>
      <c r="H1583" s="44">
        <f>G1583*E1575</f>
        <v>0</v>
      </c>
    </row>
    <row r="1584" spans="1:11" ht="12.75" customHeight="1">
      <c r="A1584" s="28"/>
      <c r="B1584" s="29" t="s">
        <v>3573</v>
      </c>
      <c r="C1584" s="30" t="str">
        <f>IFERROR(_xlfn.XLOOKUP(B1584,Equipo[DESCRIPCION],Equipo[UND],,0),"")</f>
        <v>%MO</v>
      </c>
      <c r="D1584" s="31">
        <v>0.1</v>
      </c>
      <c r="E1584" s="32">
        <f>IF(C1584="%MO",G1590,IFERROR(_xlfn.XLOOKUP($B1584,Equipo[DESCRIPCION],Equipo[VALOR],,0),""))</f>
        <v>19649.421930937504</v>
      </c>
      <c r="F1584" s="33"/>
      <c r="G1584" s="34">
        <f>IFERROR(IF(F1584&gt;=0,D1584*E1584*(1+F1584/100),ABS(D1584*E1584/F1584)),"")</f>
        <v>1964.9421930937506</v>
      </c>
      <c r="H1584" s="43">
        <f>IFERROR(G1584*E1575,"")</f>
        <v>0</v>
      </c>
    </row>
    <row r="1585" spans="1:11" ht="12.75" customHeight="1">
      <c r="A1585" s="28"/>
      <c r="B1585" s="29" t="s">
        <v>3626</v>
      </c>
      <c r="C1585" s="30" t="str">
        <f>IFERROR(_xlfn.XLOOKUP(B1585,Equipo[DESCRIPCION],Equipo[UND],,0),"")</f>
        <v>%MO</v>
      </c>
      <c r="D1585" s="31">
        <v>0.05</v>
      </c>
      <c r="E1585" s="32">
        <f>IF(C1585="%MO",G1590,IFERROR(_xlfn.XLOOKUP($B1585,Equipo[DESCRIPCION],Equipo[VALOR],,0),""))</f>
        <v>19649.421930937504</v>
      </c>
      <c r="F1585" s="33"/>
      <c r="G1585" s="34">
        <f>IFERROR(IF(F1585&gt;=0,D1585*E1585*(1+F1585/100),ABS(D1585*E1585/F1585)),"")</f>
        <v>982.47109654687529</v>
      </c>
      <c r="H1585" s="43">
        <f>IFERROR(G1585*E1575,"")</f>
        <v>0</v>
      </c>
    </row>
    <row r="1586" spans="1:11" ht="12.75" customHeight="1">
      <c r="A1586" s="28"/>
      <c r="B1586" s="29"/>
      <c r="C1586" s="30" t="str">
        <f>IFERROR(_xlfn.XLOOKUP(B1586,Equipo[DESCRIPCION],Equipo[UND],,0),"")</f>
        <v/>
      </c>
      <c r="D1586" s="31"/>
      <c r="E1586" s="32" t="str">
        <f>IF(C1586="%MO",G1590,IFERROR(_xlfn.XLOOKUP($B1586,Equipo[DESCRIPCION],Equipo[VALOR],,0),""))</f>
        <v/>
      </c>
      <c r="F1586" s="33"/>
      <c r="G1586" s="34" t="str">
        <f>IFERROR(IF(F1586&gt;=0,D1586*E1586*(1+F1586/100),ABS(D1586*E1586/F1586)),"")</f>
        <v/>
      </c>
      <c r="H1586" s="43" t="str">
        <f>IFERROR(G1586*E1575,"")</f>
        <v/>
      </c>
    </row>
    <row r="1587" spans="1:11" ht="12.75" customHeight="1">
      <c r="A1587" s="21"/>
      <c r="B1587" s="22" t="s">
        <v>2533</v>
      </c>
      <c r="C1587" s="23"/>
      <c r="D1587" s="24"/>
      <c r="E1587" s="25"/>
      <c r="F1587" s="26"/>
      <c r="G1587" s="27">
        <f>SUM(G1588:G1589)</f>
        <v>0</v>
      </c>
      <c r="H1587" s="44">
        <f>G1587*E1575</f>
        <v>0</v>
      </c>
    </row>
    <row r="1588" spans="1:11" ht="12.75" customHeight="1">
      <c r="A1588" s="28"/>
      <c r="B1588" s="29"/>
      <c r="C1588" s="30" t="str">
        <f>IFERROR(_xlfn.XLOOKUP(B1588,Transporte[DESCRIPCION],Transporte[UND],,0),"")</f>
        <v/>
      </c>
      <c r="D1588" s="31"/>
      <c r="E1588" s="32" t="str">
        <f>IFERROR(_xlfn.XLOOKUP($B1588,Transporte[DESCRIPCION],Transporte[VALOR],,0),"")</f>
        <v/>
      </c>
      <c r="F1588" s="33"/>
      <c r="G1588" s="34" t="str">
        <f>IFERROR(IF(F1588&gt;=0,D1588*E1588*(1+F1588/100),ABS(D1588*E1588/F1588)),"")</f>
        <v/>
      </c>
      <c r="H1588" s="43" t="str">
        <f>IFERROR(G1588*E1575,"")</f>
        <v/>
      </c>
    </row>
    <row r="1589" spans="1:11" ht="12.75" customHeight="1">
      <c r="A1589" s="28"/>
      <c r="B1589" s="29"/>
      <c r="C1589" s="30" t="str">
        <f>IFERROR(_xlfn.XLOOKUP(B1589,Transporte[DESCRIPCION],Transporte[UND],,0),"")</f>
        <v/>
      </c>
      <c r="D1589" s="31"/>
      <c r="E1589" s="32" t="str">
        <f>IFERROR(_xlfn.XLOOKUP($B1589,Transporte[DESCRIPCION],Transporte[VALOR],,0),"")</f>
        <v/>
      </c>
      <c r="F1589" s="33"/>
      <c r="G1589" s="34" t="str">
        <f>IFERROR(IF(F1589&gt;=0,D1589*E1589*(1+F1589/100),ABS(D1589*E1589/F1589)),"")</f>
        <v/>
      </c>
      <c r="H1589" s="43" t="str">
        <f>IFERROR(G1589*E1575,"")</f>
        <v/>
      </c>
    </row>
    <row r="1590" spans="1:11" ht="12.75" customHeight="1">
      <c r="A1590" s="21"/>
      <c r="B1590" s="22" t="s">
        <v>3732</v>
      </c>
      <c r="C1590" s="23"/>
      <c r="D1590" s="24"/>
      <c r="E1590" s="25"/>
      <c r="F1590" s="26"/>
      <c r="G1590" s="27">
        <f>SUM(G1591:G1593)</f>
        <v>19649.421930937504</v>
      </c>
      <c r="H1590" s="44">
        <f>G1590*E1575</f>
        <v>0</v>
      </c>
    </row>
    <row r="1591" spans="1:11" ht="12.75" customHeight="1">
      <c r="A1591" s="28"/>
      <c r="B1591" s="29" t="s">
        <v>3710</v>
      </c>
      <c r="C1591" s="30" t="str">
        <f>IFERROR(_xlfn.XLOOKUP(B1591,MObra[DESCRIPCION],MObra[UN],,0),"")</f>
        <v>día</v>
      </c>
      <c r="D1591" s="31">
        <v>1</v>
      </c>
      <c r="E1591" s="32">
        <f>IFERROR(_xlfn.XLOOKUP($B1591,MObra[DESCRIPCION],MObra[VALOR UNIT],,0),"")</f>
        <v>314390.75089500006</v>
      </c>
      <c r="F1591" s="33">
        <v>-16</v>
      </c>
      <c r="G1591" s="34">
        <f>IFERROR(IF(F1591&gt;=0,D1591*E1591*(1+F1591/100),ABS(D1591*E1591/F1591)),"")</f>
        <v>19649.421930937504</v>
      </c>
      <c r="H1591" s="43">
        <f>IFERROR(G1591*E1575,"")</f>
        <v>0</v>
      </c>
    </row>
    <row r="1592" spans="1:11" ht="12.75" customHeight="1">
      <c r="A1592" s="28"/>
      <c r="B1592" s="29"/>
      <c r="C1592" s="30" t="str">
        <f t="array" ref="C1592">IFERROR(_xlfn.XLOOKUP(B1592,MObra[[#All],[DESCRIPCION]],MObra[[#All],[UN]],,0),"")</f>
        <v/>
      </c>
      <c r="D1592" s="31"/>
      <c r="E1592" s="32" t="str">
        <f>IFERROR(_xlfn.XLOOKUP($B1592,MObra[DESCRIPCION],MObra[VALOR UNIT],,0),"")</f>
        <v/>
      </c>
      <c r="F1592" s="33"/>
      <c r="G1592" s="34" t="str">
        <f>IFERROR(IF(F1592&gt;=0,D1592*E1592*(1+F1592/100),ABS(D1592*E1592/F1592)),"")</f>
        <v/>
      </c>
      <c r="H1592" s="43" t="str">
        <f>IFERROR(G1592*E1575,"")</f>
        <v/>
      </c>
    </row>
    <row r="1593" spans="1:11" ht="12.75" customHeight="1" thickBot="1">
      <c r="A1593" s="35"/>
      <c r="B1593" s="36"/>
      <c r="C1593" s="37" t="str">
        <f t="array" ref="C1593">IFERROR(_xlfn.XLOOKUP(B1593,MObra[[#All],[DESCRIPCION]],MObra[[#All],[UN]],,0),"")</f>
        <v/>
      </c>
      <c r="D1593" s="38"/>
      <c r="E1593" s="39" t="str">
        <f>IFERROR(_xlfn.XLOOKUP($B1593,MObra[DESCRIPCION],MObra[VALOR UNIT],,0),"")</f>
        <v/>
      </c>
      <c r="F1593" s="40"/>
      <c r="G1593" s="41" t="str">
        <f>IFERROR(IF(F1593&gt;=0,D1593*E1593*(1+F1593/100),ABS(D1593*E1593/F1593)),"")</f>
        <v/>
      </c>
      <c r="H1593" s="42" t="str">
        <f>IFERROR(G1593*E1575,"")</f>
        <v/>
      </c>
    </row>
    <row r="1594" spans="1:11" ht="12.75" customHeight="1" thickTop="1" thickBot="1"/>
    <row r="1595" spans="1:11" ht="12.75" customHeight="1" thickTop="1" thickBot="1">
      <c r="A1595" s="6" t="s">
        <v>1251</v>
      </c>
      <c r="B1595" s="7" t="str">
        <f>VLOOKUP($A1595,Presupuesto!$A:$D,2,FALSE())</f>
        <v>Limatesa limahoya termoacústica</v>
      </c>
      <c r="C1595" s="8" t="str">
        <f>VLOOKUP($A1595,Presupuesto!$A:$D,3,FALSE())</f>
        <v>M</v>
      </c>
      <c r="D1595" s="9"/>
      <c r="E1595" s="10">
        <f>VLOOKUP($A1595,Presupuesto!$A:$D,4,FALSE())</f>
        <v>0</v>
      </c>
      <c r="F1595" s="11" t="s">
        <v>2589</v>
      </c>
      <c r="G1595" s="12">
        <f>SUM(G1597:G1613)/2</f>
        <v>119236.78203759003</v>
      </c>
      <c r="H1595" s="13">
        <f>ROUND(SUM(H1597:H1613),0)/2</f>
        <v>0</v>
      </c>
      <c r="I1595" s="10">
        <f>VLOOKUP(A1595,Presupuesto!$A:$F,6,0)</f>
        <v>0</v>
      </c>
      <c r="J1595" s="10">
        <f>+H1595-I1595</f>
        <v>0</v>
      </c>
      <c r="K1595" s="46">
        <f>+H1595-G1595*E1595</f>
        <v>0</v>
      </c>
    </row>
    <row r="1596" spans="1:11" ht="12.75" customHeight="1" thickTop="1">
      <c r="A1596" s="14"/>
      <c r="B1596" s="15" t="s">
        <v>2586</v>
      </c>
      <c r="C1596" s="15" t="s">
        <v>5</v>
      </c>
      <c r="D1596" s="16" t="s">
        <v>6</v>
      </c>
      <c r="E1596" s="17" t="s">
        <v>7</v>
      </c>
      <c r="F1596" s="18" t="s">
        <v>3728</v>
      </c>
      <c r="G1596" s="19" t="s">
        <v>3729</v>
      </c>
      <c r="H1596" s="20" t="s">
        <v>3797</v>
      </c>
    </row>
    <row r="1597" spans="1:11" ht="12.75" customHeight="1">
      <c r="A1597" s="21"/>
      <c r="B1597" s="22" t="s">
        <v>3730</v>
      </c>
      <c r="C1597" s="23"/>
      <c r="D1597" s="24"/>
      <c r="E1597" s="25"/>
      <c r="F1597" s="26"/>
      <c r="G1597" s="27">
        <f>SUM(G1598:G1602)</f>
        <v>103190.7975</v>
      </c>
      <c r="H1597" s="27">
        <f>IFERROR(G1597*E1595,"")</f>
        <v>0</v>
      </c>
    </row>
    <row r="1598" spans="1:11" ht="12.75" customHeight="1">
      <c r="A1598" s="28"/>
      <c r="B1598" s="29" t="s">
        <v>3044</v>
      </c>
      <c r="C1598" s="30" t="str">
        <f>IFERROR(_xlfn.XLOOKUP(B1598,Insumo[DESCRIPCION],Insumo[UND],,0),"")</f>
        <v>M</v>
      </c>
      <c r="D1598" s="31">
        <v>1</v>
      </c>
      <c r="E1598" s="32">
        <f>IFERROR(_xlfn.XLOOKUP($B1598,Insumo[DESCRIPCION],Insumo[VALOR],,0),"")</f>
        <v>97522.95</v>
      </c>
      <c r="F1598" s="33">
        <v>5</v>
      </c>
      <c r="G1598" s="34">
        <f>IFERROR(IF(F1598&gt;=0,D1598*E1598*(1+F1598/100),ABS(D1598*E1598/F1598)),"")</f>
        <v>102399.0975</v>
      </c>
      <c r="H1598" s="43">
        <f>IFERROR(G1598*E1595,"")</f>
        <v>0</v>
      </c>
    </row>
    <row r="1599" spans="1:11" ht="12.75" customHeight="1">
      <c r="A1599" s="28"/>
      <c r="B1599" s="29" t="s">
        <v>3402</v>
      </c>
      <c r="C1599" s="30" t="str">
        <f>IFERROR(_xlfn.XLOOKUP(B1599,Insumo[DESCRIPCION],Insumo[UND],,0),"")</f>
        <v>Un</v>
      </c>
      <c r="D1599" s="31">
        <v>2</v>
      </c>
      <c r="E1599" s="32">
        <f>IFERROR(_xlfn.XLOOKUP($B1599,Insumo[DESCRIPCION],Insumo[VALOR],,0),"")</f>
        <v>395.85</v>
      </c>
      <c r="F1599" s="33"/>
      <c r="G1599" s="34">
        <f>IFERROR(IF(F1599&gt;=0,D1599*E1599*(1+F1599/100),ABS(D1599*E1599/F1599)),"")</f>
        <v>791.7</v>
      </c>
      <c r="H1599" s="43">
        <f>IFERROR(G1599*E1595,"")</f>
        <v>0</v>
      </c>
    </row>
    <row r="1600" spans="1:11" ht="12.75" customHeight="1">
      <c r="A1600" s="28"/>
      <c r="B1600" s="29"/>
      <c r="C1600" s="30" t="str">
        <f>IFERROR(_xlfn.XLOOKUP(B1600,Insumo[DESCRIPCION],Insumo[UND],,0),"")</f>
        <v/>
      </c>
      <c r="D1600" s="31"/>
      <c r="E1600" s="32" t="str">
        <f>IFERROR(_xlfn.XLOOKUP($B1600,Insumo[DESCRIPCION],Insumo[VALOR],,0),"")</f>
        <v/>
      </c>
      <c r="F1600" s="33"/>
      <c r="G1600" s="34" t="str">
        <f>IFERROR(IF(F1600&gt;=0,D1600*E1600*(1+F1600/100),ABS(D1600*E1600/F1600)),"")</f>
        <v/>
      </c>
      <c r="H1600" s="43" t="str">
        <f>IFERROR(G1600*E1595,"")</f>
        <v/>
      </c>
    </row>
    <row r="1601" spans="1:11" ht="12.75" customHeight="1">
      <c r="A1601" s="28"/>
      <c r="B1601" s="29"/>
      <c r="C1601" s="30" t="str">
        <f>IFERROR(_xlfn.XLOOKUP(B1601,Insumo[DESCRIPCION],Insumo[UND],,0),"")</f>
        <v/>
      </c>
      <c r="D1601" s="31"/>
      <c r="E1601" s="32" t="str">
        <f>IFERROR(_xlfn.XLOOKUP($B1601,Insumo[DESCRIPCION],Insumo[VALOR],,0),"")</f>
        <v/>
      </c>
      <c r="F1601" s="33"/>
      <c r="G1601" s="34" t="str">
        <f>IFERROR(IF(F1601&gt;=0,D1601*E1601*(1+F1601/100),ABS(D1601*E1601/F1601)),"")</f>
        <v/>
      </c>
      <c r="H1601" s="43" t="str">
        <f>IFERROR(G1601*E1595,"")</f>
        <v/>
      </c>
    </row>
    <row r="1602" spans="1:11" ht="12.75" customHeight="1">
      <c r="A1602" s="28"/>
      <c r="B1602" s="29"/>
      <c r="C1602" s="30" t="str">
        <f>IFERROR(_xlfn.XLOOKUP(B1602,Insumo[DESCRIPCION],Insumo[UND],,0),"")</f>
        <v/>
      </c>
      <c r="D1602" s="31"/>
      <c r="E1602" s="32" t="str">
        <f>IFERROR(_xlfn.XLOOKUP($B1602,Insumo[DESCRIPCION],Insumo[VALOR],,0),"")</f>
        <v/>
      </c>
      <c r="F1602" s="33"/>
      <c r="G1602" s="34" t="str">
        <f>IFERROR(IF(F1602&gt;=0,D1602*E1602*(1+F1602/100),ABS(D1602*E1602/F1602)),"")</f>
        <v/>
      </c>
      <c r="H1602" s="43" t="str">
        <f>IFERROR(G1602*E1595,"")</f>
        <v/>
      </c>
    </row>
    <row r="1603" spans="1:11" ht="12.75" customHeight="1">
      <c r="A1603" s="21"/>
      <c r="B1603" s="22" t="s">
        <v>3731</v>
      </c>
      <c r="C1603" s="23"/>
      <c r="D1603" s="24"/>
      <c r="E1603" s="25"/>
      <c r="F1603" s="26"/>
      <c r="G1603" s="27">
        <f>SUM(G1604:G1606)</f>
        <v>3470.3545017900001</v>
      </c>
      <c r="H1603" s="44">
        <f>G1603*E1595</f>
        <v>0</v>
      </c>
    </row>
    <row r="1604" spans="1:11" ht="12.75" customHeight="1">
      <c r="A1604" s="28"/>
      <c r="B1604" s="29" t="s">
        <v>3575</v>
      </c>
      <c r="C1604" s="30" t="str">
        <f>IFERROR(_xlfn.XLOOKUP(B1604,Equipo[DESCRIPCION],Equipo[UND],,0),"")</f>
        <v>Día</v>
      </c>
      <c r="D1604" s="31">
        <v>1</v>
      </c>
      <c r="E1604" s="32">
        <f>IF(C1604="%MO",G1610,IFERROR(_xlfn.XLOOKUP($B1604,Equipo[DESCRIPCION],Equipo[VALOR],,0),""))</f>
        <v>142078.65</v>
      </c>
      <c r="F1604" s="33">
        <v>-50</v>
      </c>
      <c r="G1604" s="34">
        <f>IFERROR(IF(F1604&gt;=0,D1604*E1604*(1+F1604/100),ABS(D1604*E1604/F1604)),"")</f>
        <v>2841.5729999999999</v>
      </c>
      <c r="H1604" s="43">
        <f>IFERROR(G1604*E1595,"")</f>
        <v>0</v>
      </c>
    </row>
    <row r="1605" spans="1:11" ht="12.75" customHeight="1">
      <c r="A1605" s="28"/>
      <c r="B1605" s="29" t="s">
        <v>3626</v>
      </c>
      <c r="C1605" s="30" t="str">
        <f>IFERROR(_xlfn.XLOOKUP(B1605,Equipo[DESCRIPCION],Equipo[UND],,0),"")</f>
        <v>%MO</v>
      </c>
      <c r="D1605" s="31">
        <v>0.05</v>
      </c>
      <c r="E1605" s="32">
        <f>IF(C1605="%MO",G1610,IFERROR(_xlfn.XLOOKUP($B1605,Equipo[DESCRIPCION],Equipo[VALOR],,0),""))</f>
        <v>12575.630035800003</v>
      </c>
      <c r="F1605" s="33"/>
      <c r="G1605" s="34">
        <f>IFERROR(IF(F1605&gt;=0,D1605*E1605*(1+F1605/100),ABS(D1605*E1605/F1605)),"")</f>
        <v>628.78150179000022</v>
      </c>
      <c r="H1605" s="43">
        <f>IFERROR(G1605*E1595,"")</f>
        <v>0</v>
      </c>
    </row>
    <row r="1606" spans="1:11" ht="12.75" customHeight="1">
      <c r="A1606" s="28"/>
      <c r="B1606" s="29"/>
      <c r="C1606" s="30" t="str">
        <f>IFERROR(_xlfn.XLOOKUP(B1606,Equipo[DESCRIPCION],Equipo[UND],,0),"")</f>
        <v/>
      </c>
      <c r="D1606" s="31"/>
      <c r="E1606" s="32" t="str">
        <f>IF(C1606="%MO",G1610,IFERROR(_xlfn.XLOOKUP($B1606,Equipo[DESCRIPCION],Equipo[VALOR],,0),""))</f>
        <v/>
      </c>
      <c r="F1606" s="33"/>
      <c r="G1606" s="34" t="str">
        <f>IFERROR(IF(F1606&gt;=0,D1606*E1606*(1+F1606/100),ABS(D1606*E1606/F1606)),"")</f>
        <v/>
      </c>
      <c r="H1606" s="43" t="str">
        <f>IFERROR(G1606*E1595,"")</f>
        <v/>
      </c>
    </row>
    <row r="1607" spans="1:11" ht="12.75" customHeight="1">
      <c r="A1607" s="21"/>
      <c r="B1607" s="22" t="s">
        <v>2533</v>
      </c>
      <c r="C1607" s="23"/>
      <c r="D1607" s="24"/>
      <c r="E1607" s="25"/>
      <c r="F1607" s="26"/>
      <c r="G1607" s="27">
        <f>SUM(G1608:G1609)</f>
        <v>0</v>
      </c>
      <c r="H1607" s="44">
        <f>G1607*E1595</f>
        <v>0</v>
      </c>
    </row>
    <row r="1608" spans="1:11" ht="12.75" customHeight="1">
      <c r="A1608" s="28"/>
      <c r="B1608" s="29"/>
      <c r="C1608" s="30" t="str">
        <f>IFERROR(_xlfn.XLOOKUP(B1608,Transporte[DESCRIPCION],Transporte[UND],,0),"")</f>
        <v/>
      </c>
      <c r="D1608" s="31"/>
      <c r="E1608" s="32" t="str">
        <f>IFERROR(_xlfn.XLOOKUP($B1608,Transporte[DESCRIPCION],Transporte[VALOR],,0),"")</f>
        <v/>
      </c>
      <c r="F1608" s="33"/>
      <c r="G1608" s="34" t="str">
        <f>IFERROR(IF(F1608&gt;=0,D1608*E1608*(1+F1608/100),ABS(D1608*E1608/F1608)),"")</f>
        <v/>
      </c>
      <c r="H1608" s="43" t="str">
        <f>IFERROR(G1608*E1595,"")</f>
        <v/>
      </c>
    </row>
    <row r="1609" spans="1:11" ht="12.75" customHeight="1">
      <c r="A1609" s="28"/>
      <c r="B1609" s="29"/>
      <c r="C1609" s="30" t="str">
        <f>IFERROR(_xlfn.XLOOKUP(B1609,Transporte[DESCRIPCION],Transporte[UND],,0),"")</f>
        <v/>
      </c>
      <c r="D1609" s="31"/>
      <c r="E1609" s="32" t="str">
        <f>IFERROR(_xlfn.XLOOKUP($B1609,Transporte[DESCRIPCION],Transporte[VALOR],,0),"")</f>
        <v/>
      </c>
      <c r="F1609" s="33"/>
      <c r="G1609" s="34" t="str">
        <f>IFERROR(IF(F1609&gt;=0,D1609*E1609*(1+F1609/100),ABS(D1609*E1609/F1609)),"")</f>
        <v/>
      </c>
      <c r="H1609" s="43" t="str">
        <f>IFERROR(G1609*E1595,"")</f>
        <v/>
      </c>
    </row>
    <row r="1610" spans="1:11" ht="12.75" customHeight="1">
      <c r="A1610" s="21"/>
      <c r="B1610" s="22" t="s">
        <v>3732</v>
      </c>
      <c r="C1610" s="23"/>
      <c r="D1610" s="24"/>
      <c r="E1610" s="25"/>
      <c r="F1610" s="26"/>
      <c r="G1610" s="27">
        <f>SUM(G1611:G1613)</f>
        <v>12575.630035800003</v>
      </c>
      <c r="H1610" s="44">
        <f>G1610*E1595</f>
        <v>0</v>
      </c>
    </row>
    <row r="1611" spans="1:11" ht="12.75" customHeight="1">
      <c r="A1611" s="28"/>
      <c r="B1611" s="29" t="s">
        <v>3710</v>
      </c>
      <c r="C1611" s="30" t="str">
        <f>IFERROR(_xlfn.XLOOKUP(B1611,MObra[DESCRIPCION],MObra[UN],,0),"")</f>
        <v>día</v>
      </c>
      <c r="D1611" s="31">
        <v>1</v>
      </c>
      <c r="E1611" s="32">
        <f>IFERROR(_xlfn.XLOOKUP($B1611,MObra[DESCRIPCION],MObra[VALOR UNIT],,0),"")</f>
        <v>314390.75089500006</v>
      </c>
      <c r="F1611" s="33">
        <v>-25</v>
      </c>
      <c r="G1611" s="34">
        <f>IFERROR(IF(F1611&gt;=0,D1611*E1611*(1+F1611/100),ABS(D1611*E1611/F1611)),"")</f>
        <v>12575.630035800003</v>
      </c>
      <c r="H1611" s="43">
        <f>IFERROR(G1611*E1595,"")</f>
        <v>0</v>
      </c>
    </row>
    <row r="1612" spans="1:11" ht="12.75" customHeight="1">
      <c r="A1612" s="28"/>
      <c r="B1612" s="29"/>
      <c r="C1612" s="30" t="str">
        <f t="array" ref="C1612">IFERROR(_xlfn.XLOOKUP(B1612,MObra[[#All],[DESCRIPCION]],MObra[[#All],[UN]],,0),"")</f>
        <v/>
      </c>
      <c r="D1612" s="31"/>
      <c r="E1612" s="32" t="str">
        <f>IFERROR(_xlfn.XLOOKUP($B1612,MObra[DESCRIPCION],MObra[VALOR UNIT],,0),"")</f>
        <v/>
      </c>
      <c r="F1612" s="33"/>
      <c r="G1612" s="34" t="str">
        <f>IFERROR(IF(F1612&gt;=0,D1612*E1612*(1+F1612/100),ABS(D1612*E1612/F1612)),"")</f>
        <v/>
      </c>
      <c r="H1612" s="43" t="str">
        <f>IFERROR(G1612*E1595,"")</f>
        <v/>
      </c>
    </row>
    <row r="1613" spans="1:11" ht="12.75" customHeight="1" thickBot="1">
      <c r="A1613" s="35"/>
      <c r="B1613" s="36"/>
      <c r="C1613" s="37" t="str">
        <f t="array" ref="C1613">IFERROR(_xlfn.XLOOKUP(B1613,MObra[[#All],[DESCRIPCION]],MObra[[#All],[UN]],,0),"")</f>
        <v/>
      </c>
      <c r="D1613" s="38"/>
      <c r="E1613" s="39" t="str">
        <f>IFERROR(_xlfn.XLOOKUP($B1613,MObra[DESCRIPCION],MObra[VALOR UNIT],,0),"")</f>
        <v/>
      </c>
      <c r="F1613" s="40"/>
      <c r="G1613" s="41" t="str">
        <f>IFERROR(IF(F1613&gt;=0,D1613*E1613*(1+F1613/100),ABS(D1613*E1613/F1613)),"")</f>
        <v/>
      </c>
      <c r="H1613" s="42" t="str">
        <f>IFERROR(G1613*E1595,"")</f>
        <v/>
      </c>
    </row>
    <row r="1614" spans="1:11" ht="12.75" customHeight="1" thickTop="1" thickBot="1"/>
    <row r="1615" spans="1:11" ht="12.75" customHeight="1" thickTop="1" thickBot="1">
      <c r="A1615" s="6" t="s">
        <v>1253</v>
      </c>
      <c r="B1615" s="7" t="str">
        <f>VLOOKUP($A1615,Presupuesto!$A:$D,2,FALSE())</f>
        <v>Limpieza de canalas con impermeabilización</v>
      </c>
      <c r="C1615" s="8" t="str">
        <f>VLOOKUP($A1615,Presupuesto!$A:$D,3,FALSE())</f>
        <v>M</v>
      </c>
      <c r="D1615" s="9"/>
      <c r="E1615" s="10">
        <f>VLOOKUP($A1615,Presupuesto!$A:$D,4,FALSE())</f>
        <v>0</v>
      </c>
      <c r="F1615" s="11" t="s">
        <v>2589</v>
      </c>
      <c r="G1615" s="12">
        <f>SUM(G1617:G1633)/2</f>
        <v>64852.404271083338</v>
      </c>
      <c r="H1615" s="13">
        <f>ROUND(SUM(H1617:H1633),0)/2</f>
        <v>0</v>
      </c>
      <c r="I1615" s="10">
        <f>VLOOKUP(A1615,Presupuesto!$A:$F,6,0)</f>
        <v>0</v>
      </c>
      <c r="J1615" s="10">
        <f>+H1615-I1615</f>
        <v>0</v>
      </c>
      <c r="K1615" s="46">
        <f>+H1615-G1615*E1615</f>
        <v>0</v>
      </c>
    </row>
    <row r="1616" spans="1:11" ht="12.75" customHeight="1" thickTop="1">
      <c r="A1616" s="14"/>
      <c r="B1616" s="15" t="s">
        <v>2586</v>
      </c>
      <c r="C1616" s="15" t="s">
        <v>5</v>
      </c>
      <c r="D1616" s="16" t="s">
        <v>6</v>
      </c>
      <c r="E1616" s="17" t="s">
        <v>7</v>
      </c>
      <c r="F1616" s="18" t="s">
        <v>3728</v>
      </c>
      <c r="G1616" s="19" t="s">
        <v>3729</v>
      </c>
      <c r="H1616" s="20" t="s">
        <v>3797</v>
      </c>
    </row>
    <row r="1617" spans="1:8" ht="12.75" customHeight="1">
      <c r="A1617" s="21"/>
      <c r="B1617" s="22" t="s">
        <v>3730</v>
      </c>
      <c r="C1617" s="23"/>
      <c r="D1617" s="24"/>
      <c r="E1617" s="25"/>
      <c r="F1617" s="26"/>
      <c r="G1617" s="27">
        <f>SUM(G1618:G1622)</f>
        <v>20280.225000000002</v>
      </c>
      <c r="H1617" s="27">
        <f>IFERROR(G1617*E1615,"")</f>
        <v>0</v>
      </c>
    </row>
    <row r="1618" spans="1:8" ht="12.75" customHeight="1">
      <c r="A1618" s="28"/>
      <c r="B1618" s="29" t="s">
        <v>3148</v>
      </c>
      <c r="C1618" s="30" t="str">
        <f>IFERROR(_xlfn.XLOOKUP(B1618,Insumo[DESCRIPCION],Insumo[UND],,0),"")</f>
        <v>M2</v>
      </c>
      <c r="D1618" s="31">
        <v>0.5</v>
      </c>
      <c r="E1618" s="32">
        <f>IFERROR(_xlfn.XLOOKUP($B1618,Insumo[DESCRIPCION],Insumo[VALOR],,0),"")</f>
        <v>21243.600000000002</v>
      </c>
      <c r="F1618" s="33"/>
      <c r="G1618" s="34">
        <f>IFERROR(IF(F1618&gt;=0,D1618*E1618*(1+F1618/100),ABS(D1618*E1618/F1618)),"")</f>
        <v>10621.800000000001</v>
      </c>
      <c r="H1618" s="43">
        <f>IFERROR(G1618*E1615,"")</f>
        <v>0</v>
      </c>
    </row>
    <row r="1619" spans="1:8" ht="12.75" customHeight="1">
      <c r="A1619" s="28"/>
      <c r="B1619" s="29" t="s">
        <v>3007</v>
      </c>
      <c r="C1619" s="30" t="str">
        <f>IFERROR(_xlfn.XLOOKUP(B1619,Insumo[DESCRIPCION],Insumo[UND],,0),"")</f>
        <v>M2</v>
      </c>
      <c r="D1619" s="31">
        <v>0.5</v>
      </c>
      <c r="E1619" s="32">
        <f>IFERROR(_xlfn.XLOOKUP($B1619,Insumo[DESCRIPCION],Insumo[VALOR],,0),"")</f>
        <v>19316.850000000002</v>
      </c>
      <c r="F1619" s="33"/>
      <c r="G1619" s="34">
        <f>IFERROR(IF(F1619&gt;=0,D1619*E1619*(1+F1619/100),ABS(D1619*E1619/F1619)),"")</f>
        <v>9658.4250000000011</v>
      </c>
      <c r="H1619" s="43">
        <f>IFERROR(G1619*E1615,"")</f>
        <v>0</v>
      </c>
    </row>
    <row r="1620" spans="1:8" ht="12.75" customHeight="1">
      <c r="A1620" s="28"/>
      <c r="B1620" s="29"/>
      <c r="C1620" s="30" t="str">
        <f>IFERROR(_xlfn.XLOOKUP(B1620,Insumo[DESCRIPCION],Insumo[UND],,0),"")</f>
        <v/>
      </c>
      <c r="D1620" s="31"/>
      <c r="E1620" s="32" t="str">
        <f>IFERROR(_xlfn.XLOOKUP($B1620,Insumo[DESCRIPCION],Insumo[VALOR],,0),"")</f>
        <v/>
      </c>
      <c r="F1620" s="33"/>
      <c r="G1620" s="34" t="str">
        <f>IFERROR(IF(F1620&gt;=0,D1620*E1620*(1+F1620/100),ABS(D1620*E1620/F1620)),"")</f>
        <v/>
      </c>
      <c r="H1620" s="43" t="str">
        <f>IFERROR(G1620*E1615,"")</f>
        <v/>
      </c>
    </row>
    <row r="1621" spans="1:8" ht="12.75" customHeight="1">
      <c r="A1621" s="28"/>
      <c r="B1621" s="29"/>
      <c r="C1621" s="30" t="str">
        <f>IFERROR(_xlfn.XLOOKUP(B1621,Insumo[DESCRIPCION],Insumo[UND],,0),"")</f>
        <v/>
      </c>
      <c r="D1621" s="31"/>
      <c r="E1621" s="32" t="str">
        <f>IFERROR(_xlfn.XLOOKUP($B1621,Insumo[DESCRIPCION],Insumo[VALOR],,0),"")</f>
        <v/>
      </c>
      <c r="F1621" s="33"/>
      <c r="G1621" s="34" t="str">
        <f>IFERROR(IF(F1621&gt;=0,D1621*E1621*(1+F1621/100),ABS(D1621*E1621/F1621)),"")</f>
        <v/>
      </c>
      <c r="H1621" s="43" t="str">
        <f>IFERROR(G1621*E1615,"")</f>
        <v/>
      </c>
    </row>
    <row r="1622" spans="1:8" ht="12.75" customHeight="1">
      <c r="A1622" s="28"/>
      <c r="B1622" s="29"/>
      <c r="C1622" s="30" t="str">
        <f>IFERROR(_xlfn.XLOOKUP(B1622,Insumo[DESCRIPCION],Insumo[UND],,0),"")</f>
        <v/>
      </c>
      <c r="D1622" s="31"/>
      <c r="E1622" s="32" t="str">
        <f>IFERROR(_xlfn.XLOOKUP($B1622,Insumo[DESCRIPCION],Insumo[VALOR],,0),"")</f>
        <v/>
      </c>
      <c r="F1622" s="33"/>
      <c r="G1622" s="34" t="str">
        <f>IFERROR(IF(F1622&gt;=0,D1622*E1622*(1+F1622/100),ABS(D1622*E1622/F1622)),"")</f>
        <v/>
      </c>
      <c r="H1622" s="43" t="str">
        <f>IFERROR(G1622*E1615,"")</f>
        <v/>
      </c>
    </row>
    <row r="1623" spans="1:8" ht="12.75" customHeight="1">
      <c r="A1623" s="21"/>
      <c r="B1623" s="22" t="s">
        <v>3731</v>
      </c>
      <c r="C1623" s="23"/>
      <c r="D1623" s="24"/>
      <c r="E1623" s="25"/>
      <c r="F1623" s="26"/>
      <c r="G1623" s="27">
        <f>SUM(G1624:G1626)</f>
        <v>9639.8736160833341</v>
      </c>
      <c r="H1623" s="44">
        <f>G1623*E1615</f>
        <v>0</v>
      </c>
    </row>
    <row r="1624" spans="1:8" ht="12.75" customHeight="1">
      <c r="A1624" s="28"/>
      <c r="B1624" s="29" t="s">
        <v>3575</v>
      </c>
      <c r="C1624" s="30" t="str">
        <f>IFERROR(_xlfn.XLOOKUP(B1624,Equipo[DESCRIPCION],Equipo[UND],,0),"")</f>
        <v>Día</v>
      </c>
      <c r="D1624" s="31">
        <v>1</v>
      </c>
      <c r="E1624" s="32">
        <f>IF(C1624="%MO",G1630,IFERROR(_xlfn.XLOOKUP($B1624,Equipo[DESCRIPCION],Equipo[VALOR],,0),""))</f>
        <v>142078.65</v>
      </c>
      <c r="F1624" s="33">
        <v>-18</v>
      </c>
      <c r="G1624" s="34">
        <f>IFERROR(IF(F1624&gt;=0,D1624*E1624*(1+F1624/100),ABS(D1624*E1624/F1624)),"")</f>
        <v>7893.2583333333332</v>
      </c>
      <c r="H1624" s="43">
        <f>IFERROR(G1624*E1615,"")</f>
        <v>0</v>
      </c>
    </row>
    <row r="1625" spans="1:8" ht="12.75" customHeight="1">
      <c r="A1625" s="28"/>
      <c r="B1625" s="29" t="s">
        <v>3626</v>
      </c>
      <c r="C1625" s="30" t="str">
        <f>IFERROR(_xlfn.XLOOKUP(B1625,Equipo[DESCRIPCION],Equipo[UND],,0),"")</f>
        <v>%MO</v>
      </c>
      <c r="D1625" s="31">
        <v>0.05</v>
      </c>
      <c r="E1625" s="32">
        <f>IF(C1625="%MO",G1630,IFERROR(_xlfn.XLOOKUP($B1625,Equipo[DESCRIPCION],Equipo[VALOR],,0),""))</f>
        <v>34932.305655000004</v>
      </c>
      <c r="F1625" s="33"/>
      <c r="G1625" s="34">
        <f>IFERROR(IF(F1625&gt;=0,D1625*E1625*(1+F1625/100),ABS(D1625*E1625/F1625)),"")</f>
        <v>1746.6152827500002</v>
      </c>
      <c r="H1625" s="43">
        <f>IFERROR(G1625*E1615,"")</f>
        <v>0</v>
      </c>
    </row>
    <row r="1626" spans="1:8" ht="12.75" customHeight="1">
      <c r="A1626" s="28"/>
      <c r="B1626" s="29"/>
      <c r="C1626" s="30" t="str">
        <f>IFERROR(_xlfn.XLOOKUP(B1626,Equipo[DESCRIPCION],Equipo[UND],,0),"")</f>
        <v/>
      </c>
      <c r="D1626" s="31"/>
      <c r="E1626" s="32" t="str">
        <f>IF(C1626="%MO",G1630,IFERROR(_xlfn.XLOOKUP($B1626,Equipo[DESCRIPCION],Equipo[VALOR],,0),""))</f>
        <v/>
      </c>
      <c r="F1626" s="33"/>
      <c r="G1626" s="34" t="str">
        <f>IFERROR(IF(F1626&gt;=0,D1626*E1626*(1+F1626/100),ABS(D1626*E1626/F1626)),"")</f>
        <v/>
      </c>
      <c r="H1626" s="43" t="str">
        <f>IFERROR(G1626*E1615,"")</f>
        <v/>
      </c>
    </row>
    <row r="1627" spans="1:8" ht="12.75" customHeight="1">
      <c r="A1627" s="21"/>
      <c r="B1627" s="22" t="s">
        <v>2533</v>
      </c>
      <c r="C1627" s="23"/>
      <c r="D1627" s="24"/>
      <c r="E1627" s="25"/>
      <c r="F1627" s="26"/>
      <c r="G1627" s="27">
        <f>SUM(G1628:G1629)</f>
        <v>0</v>
      </c>
      <c r="H1627" s="44">
        <f>G1627*E1615</f>
        <v>0</v>
      </c>
    </row>
    <row r="1628" spans="1:8" ht="12.75" customHeight="1">
      <c r="A1628" s="28"/>
      <c r="B1628" s="29"/>
      <c r="C1628" s="30" t="str">
        <f>IFERROR(_xlfn.XLOOKUP(B1628,Transporte[DESCRIPCION],Transporte[UND],,0),"")</f>
        <v/>
      </c>
      <c r="D1628" s="31"/>
      <c r="E1628" s="32" t="str">
        <f>IFERROR(_xlfn.XLOOKUP($B1628,Transporte[DESCRIPCION],Transporte[VALOR],,0),"")</f>
        <v/>
      </c>
      <c r="F1628" s="33"/>
      <c r="G1628" s="34" t="str">
        <f>IFERROR(IF(F1628&gt;=0,D1628*E1628*(1+F1628/100),ABS(D1628*E1628/F1628)),"")</f>
        <v/>
      </c>
      <c r="H1628" s="43" t="str">
        <f>IFERROR(G1628*E1615,"")</f>
        <v/>
      </c>
    </row>
    <row r="1629" spans="1:8" ht="12.75" customHeight="1">
      <c r="A1629" s="28"/>
      <c r="B1629" s="29"/>
      <c r="C1629" s="30" t="str">
        <f>IFERROR(_xlfn.XLOOKUP(B1629,Transporte[DESCRIPCION],Transporte[UND],,0),"")</f>
        <v/>
      </c>
      <c r="D1629" s="31"/>
      <c r="E1629" s="32" t="str">
        <f>IFERROR(_xlfn.XLOOKUP($B1629,Transporte[DESCRIPCION],Transporte[VALOR],,0),"")</f>
        <v/>
      </c>
      <c r="F1629" s="33"/>
      <c r="G1629" s="34" t="str">
        <f>IFERROR(IF(F1629&gt;=0,D1629*E1629*(1+F1629/100),ABS(D1629*E1629/F1629)),"")</f>
        <v/>
      </c>
      <c r="H1629" s="43" t="str">
        <f>IFERROR(G1629*E1615,"")</f>
        <v/>
      </c>
    </row>
    <row r="1630" spans="1:8" ht="12.75" customHeight="1">
      <c r="A1630" s="21"/>
      <c r="B1630" s="22" t="s">
        <v>3732</v>
      </c>
      <c r="C1630" s="23"/>
      <c r="D1630" s="24"/>
      <c r="E1630" s="25"/>
      <c r="F1630" s="26"/>
      <c r="G1630" s="27">
        <f>SUM(G1631:G1633)</f>
        <v>34932.305655000004</v>
      </c>
      <c r="H1630" s="44">
        <f>G1630*E1615</f>
        <v>0</v>
      </c>
    </row>
    <row r="1631" spans="1:8" ht="12.75" customHeight="1">
      <c r="A1631" s="28"/>
      <c r="B1631" s="29" t="s">
        <v>3710</v>
      </c>
      <c r="C1631" s="30" t="str">
        <f>IFERROR(_xlfn.XLOOKUP(B1631,MObra[DESCRIPCION],MObra[UN],,0),"")</f>
        <v>día</v>
      </c>
      <c r="D1631" s="31">
        <v>1</v>
      </c>
      <c r="E1631" s="32">
        <f>IFERROR(_xlfn.XLOOKUP($B1631,MObra[DESCRIPCION],MObra[VALOR UNIT],,0),"")</f>
        <v>314390.75089500006</v>
      </c>
      <c r="F1631" s="33">
        <v>-9</v>
      </c>
      <c r="G1631" s="34">
        <f>IFERROR(IF(F1631&gt;=0,D1631*E1631*(1+F1631/100),ABS(D1631*E1631/F1631)),"")</f>
        <v>34932.305655000004</v>
      </c>
      <c r="H1631" s="43">
        <f>IFERROR(G1631*E1615,"")</f>
        <v>0</v>
      </c>
    </row>
    <row r="1632" spans="1:8" ht="12.75" customHeight="1">
      <c r="A1632" s="28"/>
      <c r="B1632" s="29"/>
      <c r="C1632" s="30" t="str">
        <f t="array" ref="C1632">IFERROR(_xlfn.XLOOKUP(B1632,MObra[[#All],[DESCRIPCION]],MObra[[#All],[UN]],,0),"")</f>
        <v/>
      </c>
      <c r="D1632" s="31"/>
      <c r="E1632" s="32" t="str">
        <f>IFERROR(_xlfn.XLOOKUP($B1632,MObra[DESCRIPCION],MObra[VALOR UNIT],,0),"")</f>
        <v/>
      </c>
      <c r="F1632" s="33"/>
      <c r="G1632" s="34" t="str">
        <f>IFERROR(IF(F1632&gt;=0,D1632*E1632*(1+F1632/100),ABS(D1632*E1632/F1632)),"")</f>
        <v/>
      </c>
      <c r="H1632" s="43" t="str">
        <f>IFERROR(G1632*E1615,"")</f>
        <v/>
      </c>
    </row>
    <row r="1633" spans="1:11" ht="12.75" customHeight="1" thickBot="1">
      <c r="A1633" s="35"/>
      <c r="B1633" s="36"/>
      <c r="C1633" s="37" t="str">
        <f t="array" ref="C1633">IFERROR(_xlfn.XLOOKUP(B1633,MObra[[#All],[DESCRIPCION]],MObra[[#All],[UN]],,0),"")</f>
        <v/>
      </c>
      <c r="D1633" s="38"/>
      <c r="E1633" s="39" t="str">
        <f>IFERROR(_xlfn.XLOOKUP($B1633,MObra[DESCRIPCION],MObra[VALOR UNIT],,0),"")</f>
        <v/>
      </c>
      <c r="F1633" s="40"/>
      <c r="G1633" s="41" t="str">
        <f>IFERROR(IF(F1633&gt;=0,D1633*E1633*(1+F1633/100),ABS(D1633*E1633/F1633)),"")</f>
        <v/>
      </c>
      <c r="H1633" s="42" t="str">
        <f>IFERROR(G1633*E1615,"")</f>
        <v/>
      </c>
    </row>
    <row r="1634" spans="1:11" ht="12.75" customHeight="1" thickTop="1" thickBot="1"/>
    <row r="1635" spans="1:11" ht="12.75" customHeight="1" thickTop="1" thickBot="1">
      <c r="A1635" s="6" t="s">
        <v>1255</v>
      </c>
      <c r="B1635" s="7" t="str">
        <f>VLOOKUP($A1635,Presupuesto!$A:$D,2,FALSE())</f>
        <v>Recorrido canales</v>
      </c>
      <c r="C1635" s="8" t="str">
        <f>VLOOKUP($A1635,Presupuesto!$A:$D,3,FALSE())</f>
        <v>M</v>
      </c>
      <c r="D1635" s="9"/>
      <c r="E1635" s="10">
        <f>VLOOKUP($A1635,Presupuesto!$A:$D,4,FALSE())</f>
        <v>0</v>
      </c>
      <c r="F1635" s="11" t="s">
        <v>2589</v>
      </c>
      <c r="G1635" s="12">
        <f>SUM(G1637:G1653)/2</f>
        <v>4011.496134397501</v>
      </c>
      <c r="H1635" s="13">
        <f>ROUND(SUM(H1637:H1653),0)/2</f>
        <v>0</v>
      </c>
      <c r="I1635" s="10">
        <f>VLOOKUP(A1635,Presupuesto!$A:$F,6,0)</f>
        <v>0</v>
      </c>
      <c r="J1635" s="10">
        <f>+H1635-I1635</f>
        <v>0</v>
      </c>
      <c r="K1635" s="46">
        <f>+H1635-G1635*E1635</f>
        <v>0</v>
      </c>
    </row>
    <row r="1636" spans="1:11" ht="12.75" customHeight="1" thickTop="1">
      <c r="A1636" s="14"/>
      <c r="B1636" s="15" t="s">
        <v>2586</v>
      </c>
      <c r="C1636" s="15" t="s">
        <v>5</v>
      </c>
      <c r="D1636" s="16" t="s">
        <v>6</v>
      </c>
      <c r="E1636" s="17" t="s">
        <v>7</v>
      </c>
      <c r="F1636" s="18" t="s">
        <v>3728</v>
      </c>
      <c r="G1636" s="19" t="s">
        <v>3729</v>
      </c>
      <c r="H1636" s="20" t="s">
        <v>3797</v>
      </c>
    </row>
    <row r="1637" spans="1:11" ht="12.75" customHeight="1">
      <c r="A1637" s="21"/>
      <c r="B1637" s="22" t="s">
        <v>3730</v>
      </c>
      <c r="C1637" s="23"/>
      <c r="D1637" s="24"/>
      <c r="E1637" s="25"/>
      <c r="F1637" s="26"/>
      <c r="G1637" s="27">
        <f>SUM(G1638:G1642)</f>
        <v>0</v>
      </c>
      <c r="H1637" s="27">
        <f>IFERROR(G1637*E1635,"")</f>
        <v>0</v>
      </c>
    </row>
    <row r="1638" spans="1:11" ht="12.75" customHeight="1">
      <c r="A1638" s="28"/>
      <c r="B1638" s="29"/>
      <c r="C1638" s="30" t="str">
        <f>IFERROR(_xlfn.XLOOKUP(B1638,Insumo[DESCRIPCION],Insumo[UND],,0),"")</f>
        <v/>
      </c>
      <c r="D1638" s="31"/>
      <c r="E1638" s="32" t="str">
        <f>IFERROR(_xlfn.XLOOKUP($B1638,Insumo[DESCRIPCION],Insumo[VALOR],,0),"")</f>
        <v/>
      </c>
      <c r="F1638" s="33"/>
      <c r="G1638" s="34" t="str">
        <f>IFERROR(IF(F1638&gt;=0,D1638*E1638*(1+F1638/100),ABS(D1638*E1638/F1638)),"")</f>
        <v/>
      </c>
      <c r="H1638" s="43" t="str">
        <f>IFERROR(G1638*E1635,"")</f>
        <v/>
      </c>
    </row>
    <row r="1639" spans="1:11" ht="12.75" customHeight="1">
      <c r="A1639" s="28"/>
      <c r="B1639" s="29"/>
      <c r="C1639" s="30" t="str">
        <f>IFERROR(_xlfn.XLOOKUP(B1639,Insumo[DESCRIPCION],Insumo[UND],,0),"")</f>
        <v/>
      </c>
      <c r="D1639" s="31"/>
      <c r="E1639" s="32" t="str">
        <f>IFERROR(_xlfn.XLOOKUP($B1639,Insumo[DESCRIPCION],Insumo[VALOR],,0),"")</f>
        <v/>
      </c>
      <c r="F1639" s="33"/>
      <c r="G1639" s="34" t="str">
        <f>IFERROR(IF(F1639&gt;=0,D1639*E1639*(1+F1639/100),ABS(D1639*E1639/F1639)),"")</f>
        <v/>
      </c>
      <c r="H1639" s="43" t="str">
        <f>IFERROR(G1639*E1635,"")</f>
        <v/>
      </c>
    </row>
    <row r="1640" spans="1:11" ht="12.75" customHeight="1">
      <c r="A1640" s="28"/>
      <c r="B1640" s="29"/>
      <c r="C1640" s="30" t="str">
        <f>IFERROR(_xlfn.XLOOKUP(B1640,Insumo[DESCRIPCION],Insumo[UND],,0),"")</f>
        <v/>
      </c>
      <c r="D1640" s="31"/>
      <c r="E1640" s="32" t="str">
        <f>IFERROR(_xlfn.XLOOKUP($B1640,Insumo[DESCRIPCION],Insumo[VALOR],,0),"")</f>
        <v/>
      </c>
      <c r="F1640" s="33"/>
      <c r="G1640" s="34" t="str">
        <f>IFERROR(IF(F1640&gt;=0,D1640*E1640*(1+F1640/100),ABS(D1640*E1640/F1640)),"")</f>
        <v/>
      </c>
      <c r="H1640" s="43" t="str">
        <f>IFERROR(G1640*E1635,"")</f>
        <v/>
      </c>
    </row>
    <row r="1641" spans="1:11" ht="12.75" customHeight="1">
      <c r="A1641" s="28"/>
      <c r="B1641" s="29"/>
      <c r="C1641" s="30" t="str">
        <f>IFERROR(_xlfn.XLOOKUP(B1641,Insumo[DESCRIPCION],Insumo[UND],,0),"")</f>
        <v/>
      </c>
      <c r="D1641" s="31"/>
      <c r="E1641" s="32" t="str">
        <f>IFERROR(_xlfn.XLOOKUP($B1641,Insumo[DESCRIPCION],Insumo[VALOR],,0),"")</f>
        <v/>
      </c>
      <c r="F1641" s="33"/>
      <c r="G1641" s="34" t="str">
        <f>IFERROR(IF(F1641&gt;=0,D1641*E1641*(1+F1641/100),ABS(D1641*E1641/F1641)),"")</f>
        <v/>
      </c>
      <c r="H1641" s="43" t="str">
        <f>IFERROR(G1641*E1635,"")</f>
        <v/>
      </c>
    </row>
    <row r="1642" spans="1:11" ht="12.75" customHeight="1">
      <c r="A1642" s="28"/>
      <c r="B1642" s="29"/>
      <c r="C1642" s="30" t="str">
        <f>IFERROR(_xlfn.XLOOKUP(B1642,Insumo[DESCRIPCION],Insumo[UND],,0),"")</f>
        <v/>
      </c>
      <c r="D1642" s="31"/>
      <c r="E1642" s="32" t="str">
        <f>IFERROR(_xlfn.XLOOKUP($B1642,Insumo[DESCRIPCION],Insumo[VALOR],,0),"")</f>
        <v/>
      </c>
      <c r="F1642" s="33"/>
      <c r="G1642" s="34" t="str">
        <f>IFERROR(IF(F1642&gt;=0,D1642*E1642*(1+F1642/100),ABS(D1642*E1642/F1642)),"")</f>
        <v/>
      </c>
      <c r="H1642" s="43" t="str">
        <f>IFERROR(G1642*E1635,"")</f>
        <v/>
      </c>
    </row>
    <row r="1643" spans="1:11" ht="12.75" customHeight="1">
      <c r="A1643" s="21"/>
      <c r="B1643" s="22" t="s">
        <v>3731</v>
      </c>
      <c r="C1643" s="23"/>
      <c r="D1643" s="24"/>
      <c r="E1643" s="25"/>
      <c r="F1643" s="26"/>
      <c r="G1643" s="27">
        <f>SUM(G1644:G1646)</f>
        <v>867.58862544750002</v>
      </c>
      <c r="H1643" s="44">
        <f>G1643*E1635</f>
        <v>0</v>
      </c>
    </row>
    <row r="1644" spans="1:11" ht="12.75" customHeight="1">
      <c r="A1644" s="28"/>
      <c r="B1644" s="29" t="s">
        <v>3575</v>
      </c>
      <c r="C1644" s="30" t="str">
        <f>IFERROR(_xlfn.XLOOKUP(B1644,Equipo[DESCRIPCION],Equipo[UND],,0),"")</f>
        <v>Día</v>
      </c>
      <c r="D1644" s="31">
        <v>1</v>
      </c>
      <c r="E1644" s="32">
        <f>IF(C1644="%MO",G1650,IFERROR(_xlfn.XLOOKUP($B1644,Equipo[DESCRIPCION],Equipo[VALOR],,0),""))</f>
        <v>142078.65</v>
      </c>
      <c r="F1644" s="33">
        <v>-200</v>
      </c>
      <c r="G1644" s="34">
        <f>IFERROR(IF(F1644&gt;=0,D1644*E1644*(1+F1644/100),ABS(D1644*E1644/F1644)),"")</f>
        <v>710.39324999999997</v>
      </c>
      <c r="H1644" s="43">
        <f>IFERROR(G1644*E1635,"")</f>
        <v>0</v>
      </c>
    </row>
    <row r="1645" spans="1:11" ht="12.75" customHeight="1">
      <c r="A1645" s="28"/>
      <c r="B1645" s="29" t="s">
        <v>3626</v>
      </c>
      <c r="C1645" s="30" t="str">
        <f>IFERROR(_xlfn.XLOOKUP(B1645,Equipo[DESCRIPCION],Equipo[UND],,0),"")</f>
        <v>%MO</v>
      </c>
      <c r="D1645" s="31">
        <v>0.05</v>
      </c>
      <c r="E1645" s="32">
        <f>IF(C1645="%MO",G1650,IFERROR(_xlfn.XLOOKUP($B1645,Equipo[DESCRIPCION],Equipo[VALOR],,0),""))</f>
        <v>3143.9075089500006</v>
      </c>
      <c r="F1645" s="33"/>
      <c r="G1645" s="34">
        <f>IFERROR(IF(F1645&gt;=0,D1645*E1645*(1+F1645/100),ABS(D1645*E1645/F1645)),"")</f>
        <v>157.19537544750006</v>
      </c>
      <c r="H1645" s="43">
        <f>IFERROR(G1645*E1635,"")</f>
        <v>0</v>
      </c>
    </row>
    <row r="1646" spans="1:11" ht="12.75" customHeight="1">
      <c r="A1646" s="28"/>
      <c r="B1646" s="29"/>
      <c r="C1646" s="30" t="str">
        <f>IFERROR(_xlfn.XLOOKUP(B1646,Equipo[DESCRIPCION],Equipo[UND],,0),"")</f>
        <v/>
      </c>
      <c r="D1646" s="31"/>
      <c r="E1646" s="32" t="str">
        <f>IF(C1646="%MO",G1650,IFERROR(_xlfn.XLOOKUP($B1646,Equipo[DESCRIPCION],Equipo[VALOR],,0),""))</f>
        <v/>
      </c>
      <c r="F1646" s="33"/>
      <c r="G1646" s="34" t="str">
        <f>IFERROR(IF(F1646&gt;=0,D1646*E1646*(1+F1646/100),ABS(D1646*E1646/F1646)),"")</f>
        <v/>
      </c>
      <c r="H1646" s="43" t="str">
        <f>IFERROR(G1646*E1635,"")</f>
        <v/>
      </c>
    </row>
    <row r="1647" spans="1:11" ht="12.75" customHeight="1">
      <c r="A1647" s="21"/>
      <c r="B1647" s="22" t="s">
        <v>2533</v>
      </c>
      <c r="C1647" s="23"/>
      <c r="D1647" s="24"/>
      <c r="E1647" s="25"/>
      <c r="F1647" s="26"/>
      <c r="G1647" s="27">
        <f>SUM(G1648:G1649)</f>
        <v>0</v>
      </c>
      <c r="H1647" s="44">
        <f>G1647*E1635</f>
        <v>0</v>
      </c>
    </row>
    <row r="1648" spans="1:11" ht="12.75" customHeight="1">
      <c r="A1648" s="28"/>
      <c r="B1648" s="29"/>
      <c r="C1648" s="30" t="str">
        <f>IFERROR(_xlfn.XLOOKUP(B1648,Transporte[DESCRIPCION],Transporte[UND],,0),"")</f>
        <v/>
      </c>
      <c r="D1648" s="31"/>
      <c r="E1648" s="32" t="str">
        <f>IFERROR(_xlfn.XLOOKUP($B1648,Transporte[DESCRIPCION],Transporte[VALOR],,0),"")</f>
        <v/>
      </c>
      <c r="F1648" s="33"/>
      <c r="G1648" s="34" t="str">
        <f>IFERROR(IF(F1648&gt;=0,D1648*E1648*(1+F1648/100),ABS(D1648*E1648/F1648)),"")</f>
        <v/>
      </c>
      <c r="H1648" s="43" t="str">
        <f>IFERROR(G1648*E1635,"")</f>
        <v/>
      </c>
    </row>
    <row r="1649" spans="1:11" ht="12.75" customHeight="1">
      <c r="A1649" s="28"/>
      <c r="B1649" s="29"/>
      <c r="C1649" s="30" t="str">
        <f>IFERROR(_xlfn.XLOOKUP(B1649,Transporte[DESCRIPCION],Transporte[UND],,0),"")</f>
        <v/>
      </c>
      <c r="D1649" s="31"/>
      <c r="E1649" s="32" t="str">
        <f>IFERROR(_xlfn.XLOOKUP($B1649,Transporte[DESCRIPCION],Transporte[VALOR],,0),"")</f>
        <v/>
      </c>
      <c r="F1649" s="33"/>
      <c r="G1649" s="34" t="str">
        <f>IFERROR(IF(F1649&gt;=0,D1649*E1649*(1+F1649/100),ABS(D1649*E1649/F1649)),"")</f>
        <v/>
      </c>
      <c r="H1649" s="43" t="str">
        <f>IFERROR(G1649*E1635,"")</f>
        <v/>
      </c>
    </row>
    <row r="1650" spans="1:11" ht="12.75" customHeight="1">
      <c r="A1650" s="21"/>
      <c r="B1650" s="22" t="s">
        <v>3732</v>
      </c>
      <c r="C1650" s="23"/>
      <c r="D1650" s="24"/>
      <c r="E1650" s="25"/>
      <c r="F1650" s="26"/>
      <c r="G1650" s="27">
        <f>SUM(G1651:G1653)</f>
        <v>3143.9075089500006</v>
      </c>
      <c r="H1650" s="44">
        <f>G1650*E1635</f>
        <v>0</v>
      </c>
    </row>
    <row r="1651" spans="1:11" ht="12.75" customHeight="1">
      <c r="A1651" s="28"/>
      <c r="B1651" s="29" t="s">
        <v>3710</v>
      </c>
      <c r="C1651" s="30" t="str">
        <f>IFERROR(_xlfn.XLOOKUP(B1651,MObra[DESCRIPCION],MObra[UN],,0),"")</f>
        <v>día</v>
      </c>
      <c r="D1651" s="31">
        <v>1</v>
      </c>
      <c r="E1651" s="32">
        <f>IFERROR(_xlfn.XLOOKUP($B1651,MObra[DESCRIPCION],MObra[VALOR UNIT],,0),"")</f>
        <v>314390.75089500006</v>
      </c>
      <c r="F1651" s="33">
        <v>-100</v>
      </c>
      <c r="G1651" s="34">
        <f>IFERROR(IF(F1651&gt;=0,D1651*E1651*(1+F1651/100),ABS(D1651*E1651/F1651)),"")</f>
        <v>3143.9075089500006</v>
      </c>
      <c r="H1651" s="43">
        <f>IFERROR(G1651*E1635,"")</f>
        <v>0</v>
      </c>
    </row>
    <row r="1652" spans="1:11" ht="12.75" customHeight="1">
      <c r="A1652" s="28"/>
      <c r="B1652" s="29"/>
      <c r="C1652" s="30" t="str">
        <f t="array" ref="C1652">IFERROR(_xlfn.XLOOKUP(B1652,MObra[[#All],[DESCRIPCION]],MObra[[#All],[UN]],,0),"")</f>
        <v/>
      </c>
      <c r="D1652" s="31"/>
      <c r="E1652" s="32" t="str">
        <f>IFERROR(_xlfn.XLOOKUP($B1652,MObra[DESCRIPCION],MObra[VALOR UNIT],,0),"")</f>
        <v/>
      </c>
      <c r="F1652" s="33"/>
      <c r="G1652" s="34" t="str">
        <f>IFERROR(IF(F1652&gt;=0,D1652*E1652*(1+F1652/100),ABS(D1652*E1652/F1652)),"")</f>
        <v/>
      </c>
      <c r="H1652" s="43" t="str">
        <f>IFERROR(G1652*E1635,"")</f>
        <v/>
      </c>
    </row>
    <row r="1653" spans="1:11" ht="12.75" customHeight="1" thickBot="1">
      <c r="A1653" s="35"/>
      <c r="B1653" s="36"/>
      <c r="C1653" s="37" t="str">
        <f t="array" ref="C1653">IFERROR(_xlfn.XLOOKUP(B1653,MObra[[#All],[DESCRIPCION]],MObra[[#All],[UN]],,0),"")</f>
        <v/>
      </c>
      <c r="D1653" s="38"/>
      <c r="E1653" s="39" t="str">
        <f>IFERROR(_xlfn.XLOOKUP($B1653,MObra[DESCRIPCION],MObra[VALOR UNIT],,0),"")</f>
        <v/>
      </c>
      <c r="F1653" s="40"/>
      <c r="G1653" s="41" t="str">
        <f>IFERROR(IF(F1653&gt;=0,D1653*E1653*(1+F1653/100),ABS(D1653*E1653/F1653)),"")</f>
        <v/>
      </c>
      <c r="H1653" s="42" t="str">
        <f>IFERROR(G1653*E1635,"")</f>
        <v/>
      </c>
    </row>
    <row r="1654" spans="1:11" ht="12.75" customHeight="1" thickTop="1" thickBot="1"/>
    <row r="1655" spans="1:11" ht="12.75" customHeight="1" thickTop="1" thickBot="1">
      <c r="A1655" s="6" t="s">
        <v>1257</v>
      </c>
      <c r="B1655" s="7" t="str">
        <f>VLOOKUP($A1655,Presupuesto!$A:$D,2,FALSE())</f>
        <v>Recorrido techos</v>
      </c>
      <c r="C1655" s="8" t="str">
        <f>VLOOKUP($A1655,Presupuesto!$A:$D,3,FALSE())</f>
        <v>M2</v>
      </c>
      <c r="D1655" s="9"/>
      <c r="E1655" s="10">
        <f>VLOOKUP($A1655,Presupuesto!$A:$D,4,FALSE())</f>
        <v>0</v>
      </c>
      <c r="F1655" s="11" t="s">
        <v>2589</v>
      </c>
      <c r="G1655" s="12">
        <f>SUM(G1657:G1673)/2</f>
        <v>10028.740335993753</v>
      </c>
      <c r="H1655" s="13">
        <f>ROUND(SUM(H1657:H1673),0)/2</f>
        <v>0</v>
      </c>
      <c r="I1655" s="10">
        <f>VLOOKUP(A1655,Presupuesto!$A:$F,6,0)</f>
        <v>0</v>
      </c>
      <c r="J1655" s="10">
        <f>+H1655-I1655</f>
        <v>0</v>
      </c>
      <c r="K1655" s="46">
        <f>+H1655-G1655*E1655</f>
        <v>0</v>
      </c>
    </row>
    <row r="1656" spans="1:11" ht="12.75" customHeight="1" thickTop="1">
      <c r="A1656" s="14"/>
      <c r="B1656" s="15" t="s">
        <v>2586</v>
      </c>
      <c r="C1656" s="15" t="s">
        <v>5</v>
      </c>
      <c r="D1656" s="16" t="s">
        <v>6</v>
      </c>
      <c r="E1656" s="17" t="s">
        <v>7</v>
      </c>
      <c r="F1656" s="18" t="s">
        <v>3728</v>
      </c>
      <c r="G1656" s="19" t="s">
        <v>3729</v>
      </c>
      <c r="H1656" s="20" t="s">
        <v>3797</v>
      </c>
    </row>
    <row r="1657" spans="1:11" ht="12.75" customHeight="1">
      <c r="A1657" s="21"/>
      <c r="B1657" s="22" t="s">
        <v>3730</v>
      </c>
      <c r="C1657" s="23"/>
      <c r="D1657" s="24"/>
      <c r="E1657" s="25"/>
      <c r="F1657" s="26"/>
      <c r="G1657" s="27">
        <f>SUM(G1658:G1662)</f>
        <v>0</v>
      </c>
      <c r="H1657" s="27">
        <f>IFERROR(G1657*E1655,"")</f>
        <v>0</v>
      </c>
    </row>
    <row r="1658" spans="1:11" ht="12.75" customHeight="1">
      <c r="A1658" s="28"/>
      <c r="B1658" s="29"/>
      <c r="C1658" s="30" t="str">
        <f>IFERROR(_xlfn.XLOOKUP(B1658,Insumo[DESCRIPCION],Insumo[UND],,0),"")</f>
        <v/>
      </c>
      <c r="D1658" s="31"/>
      <c r="E1658" s="32" t="str">
        <f>IFERROR(_xlfn.XLOOKUP($B1658,Insumo[DESCRIPCION],Insumo[VALOR],,0),"")</f>
        <v/>
      </c>
      <c r="F1658" s="33"/>
      <c r="G1658" s="34" t="str">
        <f>IFERROR(IF(F1658&gt;=0,D1658*E1658*(1+F1658/100),ABS(D1658*E1658/F1658)),"")</f>
        <v/>
      </c>
      <c r="H1658" s="43" t="str">
        <f>IFERROR(G1658*E1655,"")</f>
        <v/>
      </c>
    </row>
    <row r="1659" spans="1:11" ht="12.75" customHeight="1">
      <c r="A1659" s="28"/>
      <c r="B1659" s="29"/>
      <c r="C1659" s="30" t="str">
        <f>IFERROR(_xlfn.XLOOKUP(B1659,Insumo[DESCRIPCION],Insumo[UND],,0),"")</f>
        <v/>
      </c>
      <c r="D1659" s="31"/>
      <c r="E1659" s="32" t="str">
        <f>IFERROR(_xlfn.XLOOKUP($B1659,Insumo[DESCRIPCION],Insumo[VALOR],,0),"")</f>
        <v/>
      </c>
      <c r="F1659" s="33"/>
      <c r="G1659" s="34" t="str">
        <f>IFERROR(IF(F1659&gt;=0,D1659*E1659*(1+F1659/100),ABS(D1659*E1659/F1659)),"")</f>
        <v/>
      </c>
      <c r="H1659" s="43" t="str">
        <f>IFERROR(G1659*E1655,"")</f>
        <v/>
      </c>
    </row>
    <row r="1660" spans="1:11" ht="12.75" customHeight="1">
      <c r="A1660" s="28"/>
      <c r="B1660" s="29"/>
      <c r="C1660" s="30" t="str">
        <f>IFERROR(_xlfn.XLOOKUP(B1660,Insumo[DESCRIPCION],Insumo[UND],,0),"")</f>
        <v/>
      </c>
      <c r="D1660" s="31"/>
      <c r="E1660" s="32" t="str">
        <f>IFERROR(_xlfn.XLOOKUP($B1660,Insumo[DESCRIPCION],Insumo[VALOR],,0),"")</f>
        <v/>
      </c>
      <c r="F1660" s="33"/>
      <c r="G1660" s="34" t="str">
        <f>IFERROR(IF(F1660&gt;=0,D1660*E1660*(1+F1660/100),ABS(D1660*E1660/F1660)),"")</f>
        <v/>
      </c>
      <c r="H1660" s="43" t="str">
        <f>IFERROR(G1660*E1655,"")</f>
        <v/>
      </c>
    </row>
    <row r="1661" spans="1:11" ht="12.75" customHeight="1">
      <c r="A1661" s="28"/>
      <c r="B1661" s="29"/>
      <c r="C1661" s="30" t="str">
        <f>IFERROR(_xlfn.XLOOKUP(B1661,Insumo[DESCRIPCION],Insumo[UND],,0),"")</f>
        <v/>
      </c>
      <c r="D1661" s="31"/>
      <c r="E1661" s="32" t="str">
        <f>IFERROR(_xlfn.XLOOKUP($B1661,Insumo[DESCRIPCION],Insumo[VALOR],,0),"")</f>
        <v/>
      </c>
      <c r="F1661" s="33"/>
      <c r="G1661" s="34" t="str">
        <f>IFERROR(IF(F1661&gt;=0,D1661*E1661*(1+F1661/100),ABS(D1661*E1661/F1661)),"")</f>
        <v/>
      </c>
      <c r="H1661" s="43" t="str">
        <f>IFERROR(G1661*E1655,"")</f>
        <v/>
      </c>
    </row>
    <row r="1662" spans="1:11" ht="12.75" customHeight="1">
      <c r="A1662" s="28"/>
      <c r="B1662" s="29"/>
      <c r="C1662" s="30" t="str">
        <f>IFERROR(_xlfn.XLOOKUP(B1662,Insumo[DESCRIPCION],Insumo[UND],,0),"")</f>
        <v/>
      </c>
      <c r="D1662" s="31"/>
      <c r="E1662" s="32" t="str">
        <f>IFERROR(_xlfn.XLOOKUP($B1662,Insumo[DESCRIPCION],Insumo[VALOR],,0),"")</f>
        <v/>
      </c>
      <c r="F1662" s="33"/>
      <c r="G1662" s="34" t="str">
        <f>IFERROR(IF(F1662&gt;=0,D1662*E1662*(1+F1662/100),ABS(D1662*E1662/F1662)),"")</f>
        <v/>
      </c>
      <c r="H1662" s="43" t="str">
        <f>IFERROR(G1662*E1655,"")</f>
        <v/>
      </c>
    </row>
    <row r="1663" spans="1:11" ht="12.75" customHeight="1">
      <c r="A1663" s="21"/>
      <c r="B1663" s="22" t="s">
        <v>3731</v>
      </c>
      <c r="C1663" s="23"/>
      <c r="D1663" s="24"/>
      <c r="E1663" s="25"/>
      <c r="F1663" s="26"/>
      <c r="G1663" s="27">
        <f>SUM(G1664:G1666)</f>
        <v>2168.9715636187502</v>
      </c>
      <c r="H1663" s="44">
        <f>G1663*E1655</f>
        <v>0</v>
      </c>
    </row>
    <row r="1664" spans="1:11" ht="12.75" customHeight="1">
      <c r="A1664" s="28"/>
      <c r="B1664" s="29" t="s">
        <v>3575</v>
      </c>
      <c r="C1664" s="30" t="str">
        <f>IFERROR(_xlfn.XLOOKUP(B1664,Equipo[DESCRIPCION],Equipo[UND],,0),"")</f>
        <v>Día</v>
      </c>
      <c r="D1664" s="31">
        <v>1</v>
      </c>
      <c r="E1664" s="32">
        <f>IF(C1664="%MO",G1670,IFERROR(_xlfn.XLOOKUP($B1664,Equipo[DESCRIPCION],Equipo[VALOR],,0),""))</f>
        <v>142078.65</v>
      </c>
      <c r="F1664" s="33">
        <v>-80</v>
      </c>
      <c r="G1664" s="34">
        <f>IFERROR(IF(F1664&gt;=0,D1664*E1664*(1+F1664/100),ABS(D1664*E1664/F1664)),"")</f>
        <v>1775.983125</v>
      </c>
      <c r="H1664" s="43">
        <f>IFERROR(G1664*E1655,"")</f>
        <v>0</v>
      </c>
    </row>
    <row r="1665" spans="1:11" ht="12.75" customHeight="1">
      <c r="A1665" s="28"/>
      <c r="B1665" s="29" t="s">
        <v>3626</v>
      </c>
      <c r="C1665" s="30" t="str">
        <f>IFERROR(_xlfn.XLOOKUP(B1665,Equipo[DESCRIPCION],Equipo[UND],,0),"")</f>
        <v>%MO</v>
      </c>
      <c r="D1665" s="31">
        <v>0.05</v>
      </c>
      <c r="E1665" s="32">
        <f>IF(C1665="%MO",G1670,IFERROR(_xlfn.XLOOKUP($B1665,Equipo[DESCRIPCION],Equipo[VALOR],,0),""))</f>
        <v>7859.7687723750014</v>
      </c>
      <c r="F1665" s="33"/>
      <c r="G1665" s="34">
        <f>IFERROR(IF(F1665&gt;=0,D1665*E1665*(1+F1665/100),ABS(D1665*E1665/F1665)),"")</f>
        <v>392.98843861875008</v>
      </c>
      <c r="H1665" s="43">
        <f>IFERROR(G1665*E1655,"")</f>
        <v>0</v>
      </c>
    </row>
    <row r="1666" spans="1:11" ht="12.75" customHeight="1">
      <c r="A1666" s="28"/>
      <c r="B1666" s="29"/>
      <c r="C1666" s="30" t="str">
        <f>IFERROR(_xlfn.XLOOKUP(B1666,Equipo[DESCRIPCION],Equipo[UND],,0),"")</f>
        <v/>
      </c>
      <c r="D1666" s="31"/>
      <c r="E1666" s="32" t="str">
        <f>IF(C1666="%MO",G1670,IFERROR(_xlfn.XLOOKUP($B1666,Equipo[DESCRIPCION],Equipo[VALOR],,0),""))</f>
        <v/>
      </c>
      <c r="F1666" s="33"/>
      <c r="G1666" s="34" t="str">
        <f>IFERROR(IF(F1666&gt;=0,D1666*E1666*(1+F1666/100),ABS(D1666*E1666/F1666)),"")</f>
        <v/>
      </c>
      <c r="H1666" s="43" t="str">
        <f>IFERROR(G1666*E1655,"")</f>
        <v/>
      </c>
    </row>
    <row r="1667" spans="1:11" ht="12.75" customHeight="1">
      <c r="A1667" s="21"/>
      <c r="B1667" s="22" t="s">
        <v>2533</v>
      </c>
      <c r="C1667" s="23"/>
      <c r="D1667" s="24"/>
      <c r="E1667" s="25"/>
      <c r="F1667" s="26"/>
      <c r="G1667" s="27">
        <f>SUM(G1668:G1669)</f>
        <v>0</v>
      </c>
      <c r="H1667" s="44">
        <f>G1667*E1655</f>
        <v>0</v>
      </c>
    </row>
    <row r="1668" spans="1:11" ht="12.75" customHeight="1">
      <c r="A1668" s="28"/>
      <c r="B1668" s="29"/>
      <c r="C1668" s="30" t="str">
        <f>IFERROR(_xlfn.XLOOKUP(B1668,Transporte[DESCRIPCION],Transporte[UND],,0),"")</f>
        <v/>
      </c>
      <c r="D1668" s="31"/>
      <c r="E1668" s="32" t="str">
        <f>IFERROR(_xlfn.XLOOKUP($B1668,Transporte[DESCRIPCION],Transporte[VALOR],,0),"")</f>
        <v/>
      </c>
      <c r="F1668" s="33"/>
      <c r="G1668" s="34" t="str">
        <f>IFERROR(IF(F1668&gt;=0,D1668*E1668*(1+F1668/100),ABS(D1668*E1668/F1668)),"")</f>
        <v/>
      </c>
      <c r="H1668" s="43" t="str">
        <f>IFERROR(G1668*E1655,"")</f>
        <v/>
      </c>
    </row>
    <row r="1669" spans="1:11" ht="12.75" customHeight="1">
      <c r="A1669" s="28"/>
      <c r="B1669" s="29"/>
      <c r="C1669" s="30" t="str">
        <f>IFERROR(_xlfn.XLOOKUP(B1669,Transporte[DESCRIPCION],Transporte[UND],,0),"")</f>
        <v/>
      </c>
      <c r="D1669" s="31"/>
      <c r="E1669" s="32" t="str">
        <f>IFERROR(_xlfn.XLOOKUP($B1669,Transporte[DESCRIPCION],Transporte[VALOR],,0),"")</f>
        <v/>
      </c>
      <c r="F1669" s="33"/>
      <c r="G1669" s="34" t="str">
        <f>IFERROR(IF(F1669&gt;=0,D1669*E1669*(1+F1669/100),ABS(D1669*E1669/F1669)),"")</f>
        <v/>
      </c>
      <c r="H1669" s="43" t="str">
        <f>IFERROR(G1669*E1655,"")</f>
        <v/>
      </c>
    </row>
    <row r="1670" spans="1:11" ht="12.75" customHeight="1">
      <c r="A1670" s="21"/>
      <c r="B1670" s="22" t="s">
        <v>3732</v>
      </c>
      <c r="C1670" s="23"/>
      <c r="D1670" s="24"/>
      <c r="E1670" s="25"/>
      <c r="F1670" s="26"/>
      <c r="G1670" s="27">
        <f>SUM(G1671:G1673)</f>
        <v>7859.7687723750014</v>
      </c>
      <c r="H1670" s="44">
        <f>G1670*E1655</f>
        <v>0</v>
      </c>
    </row>
    <row r="1671" spans="1:11" ht="12.75" customHeight="1">
      <c r="A1671" s="28"/>
      <c r="B1671" s="29" t="s">
        <v>3710</v>
      </c>
      <c r="C1671" s="30" t="str">
        <f>IFERROR(_xlfn.XLOOKUP(B1671,MObra[DESCRIPCION],MObra[UN],,0),"")</f>
        <v>día</v>
      </c>
      <c r="D1671" s="31">
        <v>1</v>
      </c>
      <c r="E1671" s="32">
        <f>IFERROR(_xlfn.XLOOKUP($B1671,MObra[DESCRIPCION],MObra[VALOR UNIT],,0),"")</f>
        <v>314390.75089500006</v>
      </c>
      <c r="F1671" s="33">
        <v>-40</v>
      </c>
      <c r="G1671" s="34">
        <f>IFERROR(IF(F1671&gt;=0,D1671*E1671*(1+F1671/100),ABS(D1671*E1671/F1671)),"")</f>
        <v>7859.7687723750014</v>
      </c>
      <c r="H1671" s="43">
        <f>IFERROR(G1671*E1655,"")</f>
        <v>0</v>
      </c>
    </row>
    <row r="1672" spans="1:11" ht="12.75" customHeight="1">
      <c r="A1672" s="28"/>
      <c r="B1672" s="29"/>
      <c r="C1672" s="30" t="str">
        <f t="array" ref="C1672">IFERROR(_xlfn.XLOOKUP(B1672,MObra[[#All],[DESCRIPCION]],MObra[[#All],[UN]],,0),"")</f>
        <v/>
      </c>
      <c r="D1672" s="31"/>
      <c r="E1672" s="32" t="str">
        <f>IFERROR(_xlfn.XLOOKUP($B1672,MObra[DESCRIPCION],MObra[VALOR UNIT],,0),"")</f>
        <v/>
      </c>
      <c r="F1672" s="33"/>
      <c r="G1672" s="34" t="str">
        <f>IFERROR(IF(F1672&gt;=0,D1672*E1672*(1+F1672/100),ABS(D1672*E1672/F1672)),"")</f>
        <v/>
      </c>
      <c r="H1672" s="43" t="str">
        <f>IFERROR(G1672*E1655,"")</f>
        <v/>
      </c>
    </row>
    <row r="1673" spans="1:11" ht="12.75" customHeight="1" thickBot="1">
      <c r="A1673" s="35"/>
      <c r="B1673" s="36"/>
      <c r="C1673" s="37" t="str">
        <f t="array" ref="C1673">IFERROR(_xlfn.XLOOKUP(B1673,MObra[[#All],[DESCRIPCION]],MObra[[#All],[UN]],,0),"")</f>
        <v/>
      </c>
      <c r="D1673" s="38"/>
      <c r="E1673" s="39" t="str">
        <f>IFERROR(_xlfn.XLOOKUP($B1673,MObra[DESCRIPCION],MObra[VALOR UNIT],,0),"")</f>
        <v/>
      </c>
      <c r="F1673" s="40"/>
      <c r="G1673" s="41" t="str">
        <f>IFERROR(IF(F1673&gt;=0,D1673*E1673*(1+F1673/100),ABS(D1673*E1673/F1673)),"")</f>
        <v/>
      </c>
      <c r="H1673" s="42" t="str">
        <f>IFERROR(G1673*E1655,"")</f>
        <v/>
      </c>
    </row>
    <row r="1674" spans="1:11" ht="12.75" customHeight="1" thickTop="1" thickBot="1"/>
    <row r="1675" spans="1:11" ht="12.75" customHeight="1" thickTop="1" thickBot="1">
      <c r="A1675" s="6" t="s">
        <v>1259</v>
      </c>
      <c r="B1675" s="7" t="str">
        <f>VLOOKUP($A1675,Presupuesto!$A:$D,2,FALSE())</f>
        <v>Recuperación techo teja arcilla + estructura madera</v>
      </c>
      <c r="C1675" s="8" t="str">
        <f>VLOOKUP($A1675,Presupuesto!$A:$D,3,FALSE())</f>
        <v>M2</v>
      </c>
      <c r="D1675" s="9"/>
      <c r="E1675" s="10">
        <f>VLOOKUP($A1675,Presupuesto!$A:$D,4,FALSE())</f>
        <v>0</v>
      </c>
      <c r="F1675" s="11" t="s">
        <v>2589</v>
      </c>
      <c r="G1675" s="12">
        <f>SUM(G1677:G1693)/2</f>
        <v>93901.72756264999</v>
      </c>
      <c r="H1675" s="13">
        <f>ROUND(SUM(H1677:H1693),0)/2</f>
        <v>0</v>
      </c>
      <c r="I1675" s="10">
        <f>VLOOKUP(A1675,Presupuesto!$A:$F,6,0)</f>
        <v>0</v>
      </c>
      <c r="J1675" s="10">
        <f>+H1675-I1675</f>
        <v>0</v>
      </c>
      <c r="K1675" s="46">
        <f>+H1675-G1675*E1675</f>
        <v>0</v>
      </c>
    </row>
    <row r="1676" spans="1:11" ht="12.75" customHeight="1" thickTop="1">
      <c r="A1676" s="14"/>
      <c r="B1676" s="15" t="s">
        <v>2586</v>
      </c>
      <c r="C1676" s="15" t="s">
        <v>5</v>
      </c>
      <c r="D1676" s="16" t="s">
        <v>6</v>
      </c>
      <c r="E1676" s="17" t="s">
        <v>7</v>
      </c>
      <c r="F1676" s="18" t="s">
        <v>3728</v>
      </c>
      <c r="G1676" s="19" t="s">
        <v>3729</v>
      </c>
      <c r="H1676" s="20" t="s">
        <v>3797</v>
      </c>
    </row>
    <row r="1677" spans="1:11" ht="12.75" customHeight="1">
      <c r="A1677" s="21"/>
      <c r="B1677" s="22" t="s">
        <v>3730</v>
      </c>
      <c r="C1677" s="23"/>
      <c r="D1677" s="24"/>
      <c r="E1677" s="25"/>
      <c r="F1677" s="26"/>
      <c r="G1677" s="27">
        <f>SUM(G1678:G1682)</f>
        <v>67158.42</v>
      </c>
      <c r="H1677" s="27">
        <f>IFERROR(G1677*E1675,"")</f>
        <v>0</v>
      </c>
    </row>
    <row r="1678" spans="1:11" ht="12.75" customHeight="1">
      <c r="A1678" s="28"/>
      <c r="B1678" s="29" t="s">
        <v>3374</v>
      </c>
      <c r="C1678" s="30" t="str">
        <f>IFERROR(_xlfn.XLOOKUP(B1678,Insumo[DESCRIPCION],Insumo[UND],,0),"")</f>
        <v>Un</v>
      </c>
      <c r="D1678" s="31">
        <v>10</v>
      </c>
      <c r="E1678" s="32">
        <f>IFERROR(_xlfn.XLOOKUP($B1678,Insumo[DESCRIPCION],Insumo[VALOR],,0),"")</f>
        <v>3978.4500000000003</v>
      </c>
      <c r="F1678" s="33"/>
      <c r="G1678" s="34">
        <f>IFERROR(IF(F1678&gt;=0,D1678*E1678*(1+F1678/100),ABS(D1678*E1678/F1678)),"")</f>
        <v>39784.5</v>
      </c>
      <c r="H1678" s="43">
        <f>IFERROR(G1678*E1675,"")</f>
        <v>0</v>
      </c>
    </row>
    <row r="1679" spans="1:11" ht="12.75" customHeight="1">
      <c r="A1679" s="28"/>
      <c r="B1679" s="29" t="s">
        <v>2821</v>
      </c>
      <c r="C1679" s="30" t="str">
        <f>IFERROR(_xlfn.XLOOKUP(B1679,Insumo[DESCRIPCION],Insumo[UND],,0),"")</f>
        <v>Un</v>
      </c>
      <c r="D1679" s="31">
        <v>0.3</v>
      </c>
      <c r="E1679" s="32">
        <f>IFERROR(_xlfn.XLOOKUP($B1679,Insumo[DESCRIPCION],Insumo[VALOR],,0),"")</f>
        <v>1583.4</v>
      </c>
      <c r="F1679" s="33"/>
      <c r="G1679" s="34">
        <f>IFERROR(IF(F1679&gt;=0,D1679*E1679*(1+F1679/100),ABS(D1679*E1679/F1679)),"")</f>
        <v>475.02</v>
      </c>
      <c r="H1679" s="43">
        <f>IFERROR(G1679*E1675,"")</f>
        <v>0</v>
      </c>
    </row>
    <row r="1680" spans="1:11" ht="12.75" customHeight="1">
      <c r="A1680" s="28"/>
      <c r="B1680" s="29" t="s">
        <v>3253</v>
      </c>
      <c r="C1680" s="30" t="str">
        <f>IFERROR(_xlfn.XLOOKUP(B1680,Insumo[DESCRIPCION],Insumo[UND],,0),"")</f>
        <v>Lb</v>
      </c>
      <c r="D1680" s="31">
        <v>2</v>
      </c>
      <c r="E1680" s="32">
        <f>IFERROR(_xlfn.XLOOKUP($B1680,Insumo[DESCRIPCION],Insumo[VALOR],,0),"")</f>
        <v>6482.7000000000007</v>
      </c>
      <c r="F1680" s="33"/>
      <c r="G1680" s="34">
        <f>IFERROR(IF(F1680&gt;=0,D1680*E1680*(1+F1680/100),ABS(D1680*E1680/F1680)),"")</f>
        <v>12965.400000000001</v>
      </c>
      <c r="H1680" s="43">
        <f>IFERROR(G1680*E1675,"")</f>
        <v>0</v>
      </c>
    </row>
    <row r="1681" spans="1:11" ht="12.75" customHeight="1">
      <c r="A1681" s="28"/>
      <c r="B1681" s="29" t="s">
        <v>2900</v>
      </c>
      <c r="C1681" s="30" t="str">
        <f>IFERROR(_xlfn.XLOOKUP(B1681,Insumo[DESCRIPCION],Insumo[UND],,0),"")</f>
        <v>Un</v>
      </c>
      <c r="D1681" s="31">
        <v>1</v>
      </c>
      <c r="E1681" s="32">
        <f>IFERROR(_xlfn.XLOOKUP($B1681,Insumo[DESCRIPCION],Insumo[VALOR],,0),"")</f>
        <v>13933.5</v>
      </c>
      <c r="F1681" s="33"/>
      <c r="G1681" s="34">
        <f>IFERROR(IF(F1681&gt;=0,D1681*E1681*(1+F1681/100),ABS(D1681*E1681/F1681)),"")</f>
        <v>13933.5</v>
      </c>
      <c r="H1681" s="43">
        <f>IFERROR(G1681*E1675,"")</f>
        <v>0</v>
      </c>
    </row>
    <row r="1682" spans="1:11" ht="12.75" customHeight="1">
      <c r="A1682" s="28"/>
      <c r="B1682" s="29"/>
      <c r="C1682" s="30" t="str">
        <f>IFERROR(_xlfn.XLOOKUP(B1682,Insumo[DESCRIPCION],Insumo[UND],,0),"")</f>
        <v/>
      </c>
      <c r="D1682" s="31"/>
      <c r="E1682" s="32" t="str">
        <f>IFERROR(_xlfn.XLOOKUP($B1682,Insumo[DESCRIPCION],Insumo[VALOR],,0),"")</f>
        <v/>
      </c>
      <c r="F1682" s="33"/>
      <c r="G1682" s="34" t="str">
        <f>IFERROR(IF(F1682&gt;=0,D1682*E1682*(1+F1682/100),ABS(D1682*E1682/F1682)),"")</f>
        <v/>
      </c>
      <c r="H1682" s="43" t="str">
        <f>IFERROR(G1682*E1675,"")</f>
        <v/>
      </c>
    </row>
    <row r="1683" spans="1:11" ht="12.75" customHeight="1">
      <c r="A1683" s="21"/>
      <c r="B1683" s="22" t="s">
        <v>3731</v>
      </c>
      <c r="C1683" s="23"/>
      <c r="D1683" s="24"/>
      <c r="E1683" s="25"/>
      <c r="F1683" s="26"/>
      <c r="G1683" s="27">
        <f>SUM(G1684:G1686)</f>
        <v>5783.9241696500003</v>
      </c>
      <c r="H1683" s="44">
        <f>G1683*E1675</f>
        <v>0</v>
      </c>
    </row>
    <row r="1684" spans="1:11" ht="12.75" customHeight="1">
      <c r="A1684" s="28"/>
      <c r="B1684" s="29" t="s">
        <v>3575</v>
      </c>
      <c r="C1684" s="30" t="str">
        <f>IFERROR(_xlfn.XLOOKUP(B1684,Equipo[DESCRIPCION],Equipo[UND],,0),"")</f>
        <v>Día</v>
      </c>
      <c r="D1684" s="31">
        <v>1</v>
      </c>
      <c r="E1684" s="32">
        <f>IF(C1684="%MO",G1690,IFERROR(_xlfn.XLOOKUP($B1684,Equipo[DESCRIPCION],Equipo[VALOR],,0),""))</f>
        <v>142078.65</v>
      </c>
      <c r="F1684" s="33">
        <v>-30</v>
      </c>
      <c r="G1684" s="34">
        <f>IFERROR(IF(F1684&gt;=0,D1684*E1684*(1+F1684/100),ABS(D1684*E1684/F1684)),"")</f>
        <v>4735.9549999999999</v>
      </c>
      <c r="H1684" s="43">
        <f>IFERROR(G1684*E1675,"")</f>
        <v>0</v>
      </c>
    </row>
    <row r="1685" spans="1:11" ht="12.75" customHeight="1">
      <c r="A1685" s="28"/>
      <c r="B1685" s="29" t="s">
        <v>3626</v>
      </c>
      <c r="C1685" s="30" t="str">
        <f>IFERROR(_xlfn.XLOOKUP(B1685,Equipo[DESCRIPCION],Equipo[UND],,0),"")</f>
        <v>%MO</v>
      </c>
      <c r="D1685" s="31">
        <v>0.05</v>
      </c>
      <c r="E1685" s="32">
        <f>IF(C1685="%MO",G1690,IFERROR(_xlfn.XLOOKUP($B1685,Equipo[DESCRIPCION],Equipo[VALOR],,0),""))</f>
        <v>20959.383393000004</v>
      </c>
      <c r="F1685" s="33"/>
      <c r="G1685" s="34">
        <f>IFERROR(IF(F1685&gt;=0,D1685*E1685*(1+F1685/100),ABS(D1685*E1685/F1685)),"")</f>
        <v>1047.9691696500001</v>
      </c>
      <c r="H1685" s="43">
        <f>IFERROR(G1685*E1675,"")</f>
        <v>0</v>
      </c>
    </row>
    <row r="1686" spans="1:11" ht="12.75" customHeight="1">
      <c r="A1686" s="28"/>
      <c r="B1686" s="29"/>
      <c r="C1686" s="30" t="str">
        <f>IFERROR(_xlfn.XLOOKUP(B1686,Equipo[DESCRIPCION],Equipo[UND],,0),"")</f>
        <v/>
      </c>
      <c r="D1686" s="31"/>
      <c r="E1686" s="32" t="str">
        <f>IF(C1686="%MO",G1690,IFERROR(_xlfn.XLOOKUP($B1686,Equipo[DESCRIPCION],Equipo[VALOR],,0),""))</f>
        <v/>
      </c>
      <c r="F1686" s="33"/>
      <c r="G1686" s="34" t="str">
        <f>IFERROR(IF(F1686&gt;=0,D1686*E1686*(1+F1686/100),ABS(D1686*E1686/F1686)),"")</f>
        <v/>
      </c>
      <c r="H1686" s="43" t="str">
        <f>IFERROR(G1686*E1675,"")</f>
        <v/>
      </c>
    </row>
    <row r="1687" spans="1:11" ht="12.75" customHeight="1">
      <c r="A1687" s="21"/>
      <c r="B1687" s="22" t="s">
        <v>2533</v>
      </c>
      <c r="C1687" s="23"/>
      <c r="D1687" s="24"/>
      <c r="E1687" s="25"/>
      <c r="F1687" s="26"/>
      <c r="G1687" s="27">
        <f>SUM(G1688:G1689)</f>
        <v>0</v>
      </c>
      <c r="H1687" s="44">
        <f>G1687*E1675</f>
        <v>0</v>
      </c>
    </row>
    <row r="1688" spans="1:11" ht="12.75" customHeight="1">
      <c r="A1688" s="28"/>
      <c r="B1688" s="29"/>
      <c r="C1688" s="30" t="str">
        <f>IFERROR(_xlfn.XLOOKUP(B1688,Transporte[DESCRIPCION],Transporte[UND],,0),"")</f>
        <v/>
      </c>
      <c r="D1688" s="31"/>
      <c r="E1688" s="32" t="str">
        <f>IFERROR(_xlfn.XLOOKUP($B1688,Transporte[DESCRIPCION],Transporte[VALOR],,0),"")</f>
        <v/>
      </c>
      <c r="F1688" s="33"/>
      <c r="G1688" s="34" t="str">
        <f>IFERROR(IF(F1688&gt;=0,D1688*E1688*(1+F1688/100),ABS(D1688*E1688/F1688)),"")</f>
        <v/>
      </c>
      <c r="H1688" s="43" t="str">
        <f>IFERROR(G1688*E1675,"")</f>
        <v/>
      </c>
    </row>
    <row r="1689" spans="1:11" ht="12.75" customHeight="1">
      <c r="A1689" s="28"/>
      <c r="B1689" s="29"/>
      <c r="C1689" s="30" t="str">
        <f>IFERROR(_xlfn.XLOOKUP(B1689,Transporte[DESCRIPCION],Transporte[UND],,0),"")</f>
        <v/>
      </c>
      <c r="D1689" s="31"/>
      <c r="E1689" s="32" t="str">
        <f>IFERROR(_xlfn.XLOOKUP($B1689,Transporte[DESCRIPCION],Transporte[VALOR],,0),"")</f>
        <v/>
      </c>
      <c r="F1689" s="33"/>
      <c r="G1689" s="34" t="str">
        <f>IFERROR(IF(F1689&gt;=0,D1689*E1689*(1+F1689/100),ABS(D1689*E1689/F1689)),"")</f>
        <v/>
      </c>
      <c r="H1689" s="43" t="str">
        <f>IFERROR(G1689*E1675,"")</f>
        <v/>
      </c>
    </row>
    <row r="1690" spans="1:11" ht="12.75" customHeight="1">
      <c r="A1690" s="21"/>
      <c r="B1690" s="22" t="s">
        <v>3732</v>
      </c>
      <c r="C1690" s="23"/>
      <c r="D1690" s="24"/>
      <c r="E1690" s="25"/>
      <c r="F1690" s="26"/>
      <c r="G1690" s="27">
        <f>SUM(G1691:G1693)</f>
        <v>20959.383393000004</v>
      </c>
      <c r="H1690" s="44">
        <f>G1690*E1675</f>
        <v>0</v>
      </c>
    </row>
    <row r="1691" spans="1:11" ht="12.75" customHeight="1">
      <c r="A1691" s="28"/>
      <c r="B1691" s="29" t="s">
        <v>3710</v>
      </c>
      <c r="C1691" s="30" t="str">
        <f>IFERROR(_xlfn.XLOOKUP(B1691,MObra[DESCRIPCION],MObra[UN],,0),"")</f>
        <v>día</v>
      </c>
      <c r="D1691" s="31">
        <v>1</v>
      </c>
      <c r="E1691" s="32">
        <f>IFERROR(_xlfn.XLOOKUP($B1691,MObra[DESCRIPCION],MObra[VALOR UNIT],,0),"")</f>
        <v>314390.75089500006</v>
      </c>
      <c r="F1691" s="33">
        <v>-15</v>
      </c>
      <c r="G1691" s="34">
        <f>IFERROR(IF(F1691&gt;=0,D1691*E1691*(1+F1691/100),ABS(D1691*E1691/F1691)),"")</f>
        <v>20959.383393000004</v>
      </c>
      <c r="H1691" s="43">
        <f>IFERROR(G1691*E1675,"")</f>
        <v>0</v>
      </c>
    </row>
    <row r="1692" spans="1:11" ht="12.75" customHeight="1">
      <c r="A1692" s="28"/>
      <c r="B1692" s="29"/>
      <c r="C1692" s="30" t="str">
        <f t="array" ref="C1692">IFERROR(_xlfn.XLOOKUP(B1692,MObra[[#All],[DESCRIPCION]],MObra[[#All],[UN]],,0),"")</f>
        <v/>
      </c>
      <c r="D1692" s="31"/>
      <c r="E1692" s="32" t="str">
        <f>IFERROR(_xlfn.XLOOKUP($B1692,MObra[DESCRIPCION],MObra[VALOR UNIT],,0),"")</f>
        <v/>
      </c>
      <c r="F1692" s="33"/>
      <c r="G1692" s="34" t="str">
        <f>IFERROR(IF(F1692&gt;=0,D1692*E1692*(1+F1692/100),ABS(D1692*E1692/F1692)),"")</f>
        <v/>
      </c>
      <c r="H1692" s="43" t="str">
        <f>IFERROR(G1692*E1675,"")</f>
        <v/>
      </c>
    </row>
    <row r="1693" spans="1:11" ht="12.75" customHeight="1" thickBot="1">
      <c r="A1693" s="35"/>
      <c r="B1693" s="36"/>
      <c r="C1693" s="37" t="str">
        <f t="array" ref="C1693">IFERROR(_xlfn.XLOOKUP(B1693,MObra[[#All],[DESCRIPCION]],MObra[[#All],[UN]],,0),"")</f>
        <v/>
      </c>
      <c r="D1693" s="38"/>
      <c r="E1693" s="39" t="str">
        <f>IFERROR(_xlfn.XLOOKUP($B1693,MObra[DESCRIPCION],MObra[VALOR UNIT],,0),"")</f>
        <v/>
      </c>
      <c r="F1693" s="40"/>
      <c r="G1693" s="41" t="str">
        <f>IFERROR(IF(F1693&gt;=0,D1693*E1693*(1+F1693/100),ABS(D1693*E1693/F1693)),"")</f>
        <v/>
      </c>
      <c r="H1693" s="42" t="str">
        <f>IFERROR(G1693*E1675,"")</f>
        <v/>
      </c>
    </row>
    <row r="1694" spans="1:11" ht="12.75" customHeight="1" thickTop="1" thickBot="1"/>
    <row r="1695" spans="1:11" ht="12.75" customHeight="1" thickTop="1" thickBot="1">
      <c r="A1695" s="6" t="s">
        <v>1261</v>
      </c>
      <c r="B1695" s="7" t="str">
        <f>VLOOKUP($A1695,Presupuesto!$A:$D,2,FALSE())</f>
        <v>Reinstalación canal</v>
      </c>
      <c r="C1695" s="8" t="str">
        <f>VLOOKUP($A1695,Presupuesto!$A:$D,3,FALSE())</f>
        <v>M</v>
      </c>
      <c r="D1695" s="9"/>
      <c r="E1695" s="10">
        <f>VLOOKUP($A1695,Presupuesto!$A:$D,4,FALSE())</f>
        <v>0</v>
      </c>
      <c r="F1695" s="11" t="s">
        <v>2589</v>
      </c>
      <c r="G1695" s="12">
        <f>SUM(G1697:G1713)/2</f>
        <v>5348.6615125300004</v>
      </c>
      <c r="H1695" s="13">
        <f>ROUND(SUM(H1697:H1713),0)/2</f>
        <v>0</v>
      </c>
      <c r="I1695" s="10">
        <f>VLOOKUP(A1695,Presupuesto!$A:$F,6,0)</f>
        <v>0</v>
      </c>
      <c r="J1695" s="10">
        <f>+H1695-I1695</f>
        <v>0</v>
      </c>
      <c r="K1695" s="46">
        <f>+H1695-G1695*E1695</f>
        <v>0</v>
      </c>
    </row>
    <row r="1696" spans="1:11" ht="12.75" customHeight="1" thickTop="1">
      <c r="A1696" s="14"/>
      <c r="B1696" s="15" t="s">
        <v>2586</v>
      </c>
      <c r="C1696" s="15" t="s">
        <v>5</v>
      </c>
      <c r="D1696" s="16" t="s">
        <v>6</v>
      </c>
      <c r="E1696" s="17" t="s">
        <v>7</v>
      </c>
      <c r="F1696" s="18" t="s">
        <v>3728</v>
      </c>
      <c r="G1696" s="19" t="s">
        <v>3729</v>
      </c>
      <c r="H1696" s="20" t="s">
        <v>3797</v>
      </c>
    </row>
    <row r="1697" spans="1:8" ht="12.75" customHeight="1">
      <c r="A1697" s="21"/>
      <c r="B1697" s="22" t="s">
        <v>3730</v>
      </c>
      <c r="C1697" s="23"/>
      <c r="D1697" s="24"/>
      <c r="E1697" s="25"/>
      <c r="F1697" s="26"/>
      <c r="G1697" s="27">
        <f>SUM(G1698:G1702)</f>
        <v>0</v>
      </c>
      <c r="H1697" s="27">
        <f>IFERROR(G1697*E1695,"")</f>
        <v>0</v>
      </c>
    </row>
    <row r="1698" spans="1:8" ht="12.75" customHeight="1">
      <c r="A1698" s="28"/>
      <c r="B1698" s="29"/>
      <c r="C1698" s="30" t="str">
        <f>IFERROR(_xlfn.XLOOKUP(B1698,Insumo[DESCRIPCION],Insumo[UND],,0),"")</f>
        <v/>
      </c>
      <c r="D1698" s="31"/>
      <c r="E1698" s="32" t="str">
        <f>IFERROR(_xlfn.XLOOKUP($B1698,Insumo[DESCRIPCION],Insumo[VALOR],,0),"")</f>
        <v/>
      </c>
      <c r="F1698" s="33"/>
      <c r="G1698" s="34" t="str">
        <f>IFERROR(IF(F1698&gt;=0,D1698*E1698*(1+F1698/100),ABS(D1698*E1698/F1698)),"")</f>
        <v/>
      </c>
      <c r="H1698" s="43" t="str">
        <f>IFERROR(G1698*E1695,"")</f>
        <v/>
      </c>
    </row>
    <row r="1699" spans="1:8" ht="12.75" customHeight="1">
      <c r="A1699" s="28"/>
      <c r="B1699" s="29"/>
      <c r="C1699" s="30" t="str">
        <f>IFERROR(_xlfn.XLOOKUP(B1699,Insumo[DESCRIPCION],Insumo[UND],,0),"")</f>
        <v/>
      </c>
      <c r="D1699" s="31"/>
      <c r="E1699" s="32" t="str">
        <f>IFERROR(_xlfn.XLOOKUP($B1699,Insumo[DESCRIPCION],Insumo[VALOR],,0),"")</f>
        <v/>
      </c>
      <c r="F1699" s="33"/>
      <c r="G1699" s="34" t="str">
        <f>IFERROR(IF(F1699&gt;=0,D1699*E1699*(1+F1699/100),ABS(D1699*E1699/F1699)),"")</f>
        <v/>
      </c>
      <c r="H1699" s="43" t="str">
        <f>IFERROR(G1699*E1695,"")</f>
        <v/>
      </c>
    </row>
    <row r="1700" spans="1:8" ht="12.75" customHeight="1">
      <c r="A1700" s="28"/>
      <c r="B1700" s="29"/>
      <c r="C1700" s="30" t="str">
        <f>IFERROR(_xlfn.XLOOKUP(B1700,Insumo[DESCRIPCION],Insumo[UND],,0),"")</f>
        <v/>
      </c>
      <c r="D1700" s="31"/>
      <c r="E1700" s="32" t="str">
        <f>IFERROR(_xlfn.XLOOKUP($B1700,Insumo[DESCRIPCION],Insumo[VALOR],,0),"")</f>
        <v/>
      </c>
      <c r="F1700" s="33"/>
      <c r="G1700" s="34" t="str">
        <f>IFERROR(IF(F1700&gt;=0,D1700*E1700*(1+F1700/100),ABS(D1700*E1700/F1700)),"")</f>
        <v/>
      </c>
      <c r="H1700" s="43" t="str">
        <f>IFERROR(G1700*E1695,"")</f>
        <v/>
      </c>
    </row>
    <row r="1701" spans="1:8" ht="12.75" customHeight="1">
      <c r="A1701" s="28"/>
      <c r="B1701" s="29"/>
      <c r="C1701" s="30" t="str">
        <f>IFERROR(_xlfn.XLOOKUP(B1701,Insumo[DESCRIPCION],Insumo[UND],,0),"")</f>
        <v/>
      </c>
      <c r="D1701" s="31"/>
      <c r="E1701" s="32" t="str">
        <f>IFERROR(_xlfn.XLOOKUP($B1701,Insumo[DESCRIPCION],Insumo[VALOR],,0),"")</f>
        <v/>
      </c>
      <c r="F1701" s="33"/>
      <c r="G1701" s="34" t="str">
        <f>IFERROR(IF(F1701&gt;=0,D1701*E1701*(1+F1701/100),ABS(D1701*E1701/F1701)),"")</f>
        <v/>
      </c>
      <c r="H1701" s="43" t="str">
        <f>IFERROR(G1701*E1695,"")</f>
        <v/>
      </c>
    </row>
    <row r="1702" spans="1:8" ht="12.75" customHeight="1">
      <c r="A1702" s="28"/>
      <c r="B1702" s="29"/>
      <c r="C1702" s="30" t="str">
        <f>IFERROR(_xlfn.XLOOKUP(B1702,Insumo[DESCRIPCION],Insumo[UND],,0),"")</f>
        <v/>
      </c>
      <c r="D1702" s="31"/>
      <c r="E1702" s="32" t="str">
        <f>IFERROR(_xlfn.XLOOKUP($B1702,Insumo[DESCRIPCION],Insumo[VALOR],,0),"")</f>
        <v/>
      </c>
      <c r="F1702" s="33"/>
      <c r="G1702" s="34" t="str">
        <f>IFERROR(IF(F1702&gt;=0,D1702*E1702*(1+F1702/100),ABS(D1702*E1702/F1702)),"")</f>
        <v/>
      </c>
      <c r="H1702" s="43" t="str">
        <f>IFERROR(G1702*E1695,"")</f>
        <v/>
      </c>
    </row>
    <row r="1703" spans="1:8" ht="12.75" customHeight="1">
      <c r="A1703" s="21"/>
      <c r="B1703" s="22" t="s">
        <v>3731</v>
      </c>
      <c r="C1703" s="23"/>
      <c r="D1703" s="24"/>
      <c r="E1703" s="25"/>
      <c r="F1703" s="26"/>
      <c r="G1703" s="27">
        <f>SUM(G1704:G1706)</f>
        <v>1156.7848339299999</v>
      </c>
      <c r="H1703" s="44">
        <f>G1703*E1695</f>
        <v>0</v>
      </c>
    </row>
    <row r="1704" spans="1:8" ht="12.75" customHeight="1">
      <c r="A1704" s="28"/>
      <c r="B1704" s="29" t="s">
        <v>3575</v>
      </c>
      <c r="C1704" s="30" t="str">
        <f>IFERROR(_xlfn.XLOOKUP(B1704,Equipo[DESCRIPCION],Equipo[UND],,0),"")</f>
        <v>Día</v>
      </c>
      <c r="D1704" s="31">
        <v>1</v>
      </c>
      <c r="E1704" s="32">
        <f>IF(C1704="%MO",G1710,IFERROR(_xlfn.XLOOKUP($B1704,Equipo[DESCRIPCION],Equipo[VALOR],,0),""))</f>
        <v>142078.65</v>
      </c>
      <c r="F1704" s="33">
        <v>-150</v>
      </c>
      <c r="G1704" s="34">
        <f>IFERROR(IF(F1704&gt;=0,D1704*E1704*(1+F1704/100),ABS(D1704*E1704/F1704)),"")</f>
        <v>947.19099999999992</v>
      </c>
      <c r="H1704" s="43">
        <f>IFERROR(G1704*E1695,"")</f>
        <v>0</v>
      </c>
    </row>
    <row r="1705" spans="1:8" ht="12.75" customHeight="1">
      <c r="A1705" s="28"/>
      <c r="B1705" s="29" t="s">
        <v>3626</v>
      </c>
      <c r="C1705" s="30" t="str">
        <f>IFERROR(_xlfn.XLOOKUP(B1705,Equipo[DESCRIPCION],Equipo[UND],,0),"")</f>
        <v>%MO</v>
      </c>
      <c r="D1705" s="31">
        <v>0.05</v>
      </c>
      <c r="E1705" s="32">
        <f>IF(C1705="%MO",G1710,IFERROR(_xlfn.XLOOKUP($B1705,Equipo[DESCRIPCION],Equipo[VALOR],,0),""))</f>
        <v>4191.8766786000006</v>
      </c>
      <c r="F1705" s="33"/>
      <c r="G1705" s="34">
        <f>IFERROR(IF(F1705&gt;=0,D1705*E1705*(1+F1705/100),ABS(D1705*E1705/F1705)),"")</f>
        <v>209.59383393000005</v>
      </c>
      <c r="H1705" s="43">
        <f>IFERROR(G1705*E1695,"")</f>
        <v>0</v>
      </c>
    </row>
    <row r="1706" spans="1:8" ht="12.75" customHeight="1">
      <c r="A1706" s="28"/>
      <c r="B1706" s="29"/>
      <c r="C1706" s="30" t="str">
        <f>IFERROR(_xlfn.XLOOKUP(B1706,Equipo[DESCRIPCION],Equipo[UND],,0),"")</f>
        <v/>
      </c>
      <c r="D1706" s="31"/>
      <c r="E1706" s="32" t="str">
        <f>IF(C1706="%MO",G1710,IFERROR(_xlfn.XLOOKUP($B1706,Equipo[DESCRIPCION],Equipo[VALOR],,0),""))</f>
        <v/>
      </c>
      <c r="F1706" s="33"/>
      <c r="G1706" s="34" t="str">
        <f>IFERROR(IF(F1706&gt;=0,D1706*E1706*(1+F1706/100),ABS(D1706*E1706/F1706)),"")</f>
        <v/>
      </c>
      <c r="H1706" s="43" t="str">
        <f>IFERROR(G1706*E1695,"")</f>
        <v/>
      </c>
    </row>
    <row r="1707" spans="1:8" ht="12.75" customHeight="1">
      <c r="A1707" s="21"/>
      <c r="B1707" s="22" t="s">
        <v>2533</v>
      </c>
      <c r="C1707" s="23"/>
      <c r="D1707" s="24"/>
      <c r="E1707" s="25"/>
      <c r="F1707" s="26"/>
      <c r="G1707" s="27">
        <f>SUM(G1708:G1709)</f>
        <v>0</v>
      </c>
      <c r="H1707" s="44">
        <f>G1707*E1695</f>
        <v>0</v>
      </c>
    </row>
    <row r="1708" spans="1:8" ht="12.75" customHeight="1">
      <c r="A1708" s="28"/>
      <c r="B1708" s="29"/>
      <c r="C1708" s="30" t="str">
        <f>IFERROR(_xlfn.XLOOKUP(B1708,Transporte[DESCRIPCION],Transporte[UND],,0),"")</f>
        <v/>
      </c>
      <c r="D1708" s="31"/>
      <c r="E1708" s="32" t="str">
        <f>IFERROR(_xlfn.XLOOKUP($B1708,Transporte[DESCRIPCION],Transporte[VALOR],,0),"")</f>
        <v/>
      </c>
      <c r="F1708" s="33"/>
      <c r="G1708" s="34" t="str">
        <f>IFERROR(IF(F1708&gt;=0,D1708*E1708*(1+F1708/100),ABS(D1708*E1708/F1708)),"")</f>
        <v/>
      </c>
      <c r="H1708" s="43" t="str">
        <f>IFERROR(G1708*E1695,"")</f>
        <v/>
      </c>
    </row>
    <row r="1709" spans="1:8" ht="12.75" customHeight="1">
      <c r="A1709" s="28"/>
      <c r="B1709" s="29"/>
      <c r="C1709" s="30" t="str">
        <f>IFERROR(_xlfn.XLOOKUP(B1709,Transporte[DESCRIPCION],Transporte[UND],,0),"")</f>
        <v/>
      </c>
      <c r="D1709" s="31"/>
      <c r="E1709" s="32" t="str">
        <f>IFERROR(_xlfn.XLOOKUP($B1709,Transporte[DESCRIPCION],Transporte[VALOR],,0),"")</f>
        <v/>
      </c>
      <c r="F1709" s="33"/>
      <c r="G1709" s="34" t="str">
        <f>IFERROR(IF(F1709&gt;=0,D1709*E1709*(1+F1709/100),ABS(D1709*E1709/F1709)),"")</f>
        <v/>
      </c>
      <c r="H1709" s="43" t="str">
        <f>IFERROR(G1709*E1695,"")</f>
        <v/>
      </c>
    </row>
    <row r="1710" spans="1:8" ht="12.75" customHeight="1">
      <c r="A1710" s="21"/>
      <c r="B1710" s="22" t="s">
        <v>3732</v>
      </c>
      <c r="C1710" s="23"/>
      <c r="D1710" s="24"/>
      <c r="E1710" s="25"/>
      <c r="F1710" s="26"/>
      <c r="G1710" s="27">
        <f>SUM(G1711:G1713)</f>
        <v>4191.8766786000006</v>
      </c>
      <c r="H1710" s="44">
        <f>G1710*E1695</f>
        <v>0</v>
      </c>
    </row>
    <row r="1711" spans="1:8" ht="12.75" customHeight="1">
      <c r="A1711" s="28"/>
      <c r="B1711" s="29" t="s">
        <v>3710</v>
      </c>
      <c r="C1711" s="30" t="str">
        <f>IFERROR(_xlfn.XLOOKUP(B1711,MObra[DESCRIPCION],MObra[UN],,0),"")</f>
        <v>día</v>
      </c>
      <c r="D1711" s="31">
        <v>1</v>
      </c>
      <c r="E1711" s="32">
        <f>IFERROR(_xlfn.XLOOKUP($B1711,MObra[DESCRIPCION],MObra[VALOR UNIT],,0),"")</f>
        <v>314390.75089500006</v>
      </c>
      <c r="F1711" s="33">
        <v>-75</v>
      </c>
      <c r="G1711" s="34">
        <f>IFERROR(IF(F1711&gt;=0,D1711*E1711*(1+F1711/100),ABS(D1711*E1711/F1711)),"")</f>
        <v>4191.8766786000006</v>
      </c>
      <c r="H1711" s="43">
        <f>IFERROR(G1711*E1695,"")</f>
        <v>0</v>
      </c>
    </row>
    <row r="1712" spans="1:8" ht="12.75" customHeight="1">
      <c r="A1712" s="28"/>
      <c r="B1712" s="29"/>
      <c r="C1712" s="30" t="str">
        <f t="array" ref="C1712">IFERROR(_xlfn.XLOOKUP(B1712,MObra[[#All],[DESCRIPCION]],MObra[[#All],[UN]],,0),"")</f>
        <v/>
      </c>
      <c r="D1712" s="31"/>
      <c r="E1712" s="32" t="str">
        <f>IFERROR(_xlfn.XLOOKUP($B1712,MObra[DESCRIPCION],MObra[VALOR UNIT],,0),"")</f>
        <v/>
      </c>
      <c r="F1712" s="33"/>
      <c r="G1712" s="34" t="str">
        <f>IFERROR(IF(F1712&gt;=0,D1712*E1712*(1+F1712/100),ABS(D1712*E1712/F1712)),"")</f>
        <v/>
      </c>
      <c r="H1712" s="43" t="str">
        <f>IFERROR(G1712*E1695,"")</f>
        <v/>
      </c>
    </row>
    <row r="1713" spans="1:11" ht="12.75" customHeight="1" thickBot="1">
      <c r="A1713" s="35"/>
      <c r="B1713" s="36"/>
      <c r="C1713" s="37" t="str">
        <f t="array" ref="C1713">IFERROR(_xlfn.XLOOKUP(B1713,MObra[[#All],[DESCRIPCION]],MObra[[#All],[UN]],,0),"")</f>
        <v/>
      </c>
      <c r="D1713" s="38"/>
      <c r="E1713" s="39" t="str">
        <f>IFERROR(_xlfn.XLOOKUP($B1713,MObra[DESCRIPCION],MObra[VALOR UNIT],,0),"")</f>
        <v/>
      </c>
      <c r="F1713" s="40"/>
      <c r="G1713" s="41" t="str">
        <f>IFERROR(IF(F1713&gt;=0,D1713*E1713*(1+F1713/100),ABS(D1713*E1713/F1713)),"")</f>
        <v/>
      </c>
      <c r="H1713" s="42" t="str">
        <f>IFERROR(G1713*E1695,"")</f>
        <v/>
      </c>
    </row>
    <row r="1714" spans="1:11" ht="12.75" customHeight="1" thickTop="1" thickBot="1"/>
    <row r="1715" spans="1:11" ht="12.75" customHeight="1" thickTop="1" thickBot="1">
      <c r="A1715" s="6" t="s">
        <v>1263</v>
      </c>
      <c r="B1715" s="7" t="str">
        <f>VLOOKUP($A1715,Presupuesto!$A:$D,2,FALSE())</f>
        <v>Reparación + ajuste estructura cielo raso aluminio</v>
      </c>
      <c r="C1715" s="8" t="str">
        <f>VLOOKUP($A1715,Presupuesto!$A:$D,3,FALSE())</f>
        <v>M2</v>
      </c>
      <c r="D1715" s="9"/>
      <c r="E1715" s="10">
        <f>VLOOKUP($A1715,Presupuesto!$A:$D,4,FALSE())</f>
        <v>0</v>
      </c>
      <c r="F1715" s="11" t="s">
        <v>2589</v>
      </c>
      <c r="G1715" s="12">
        <f>SUM(G1717:G1733)/2</f>
        <v>12310.120390662501</v>
      </c>
      <c r="H1715" s="13">
        <f>ROUND(SUM(H1717:H1733),0)/2</f>
        <v>0</v>
      </c>
      <c r="I1715" s="10">
        <f>VLOOKUP(A1715,Presupuesto!$A:$F,6,0)</f>
        <v>0</v>
      </c>
      <c r="J1715" s="10">
        <f>+H1715-I1715</f>
        <v>0</v>
      </c>
      <c r="K1715" s="46">
        <f>+H1715-G1715*E1715</f>
        <v>0</v>
      </c>
    </row>
    <row r="1716" spans="1:11" ht="12.75" customHeight="1" thickTop="1">
      <c r="A1716" s="14"/>
      <c r="B1716" s="15" t="s">
        <v>2586</v>
      </c>
      <c r="C1716" s="15" t="s">
        <v>5</v>
      </c>
      <c r="D1716" s="16" t="s">
        <v>6</v>
      </c>
      <c r="E1716" s="17" t="s">
        <v>7</v>
      </c>
      <c r="F1716" s="18" t="s">
        <v>3728</v>
      </c>
      <c r="G1716" s="19" t="s">
        <v>3729</v>
      </c>
      <c r="H1716" s="20" t="s">
        <v>3797</v>
      </c>
    </row>
    <row r="1717" spans="1:11" ht="12.75" customHeight="1">
      <c r="A1717" s="21"/>
      <c r="B1717" s="22" t="s">
        <v>3730</v>
      </c>
      <c r="C1717" s="23"/>
      <c r="D1717" s="24"/>
      <c r="E1717" s="25"/>
      <c r="F1717" s="26"/>
      <c r="G1717" s="27">
        <f>SUM(G1718:G1722)</f>
        <v>5624.2935000000007</v>
      </c>
      <c r="H1717" s="27">
        <f>IFERROR(G1717*E1715,"")</f>
        <v>0</v>
      </c>
    </row>
    <row r="1718" spans="1:11" ht="12.75" customHeight="1">
      <c r="A1718" s="28"/>
      <c r="B1718" s="29" t="s">
        <v>3195</v>
      </c>
      <c r="C1718" s="30" t="str">
        <f>IFERROR(_xlfn.XLOOKUP(B1718,Insumo[DESCRIPCION],Insumo[UND],,0),"")</f>
        <v>Un</v>
      </c>
      <c r="D1718" s="31">
        <v>0.33</v>
      </c>
      <c r="E1718" s="32">
        <f>IFERROR(_xlfn.XLOOKUP($B1718,Insumo[DESCRIPCION],Insumo[VALOR],,0),"")</f>
        <v>15991.5</v>
      </c>
      <c r="F1718" s="33"/>
      <c r="G1718" s="34">
        <f>IFERROR(IF(F1718&gt;=0,D1718*E1718*(1+F1718/100),ABS(D1718*E1718/F1718)),"")</f>
        <v>5277.1950000000006</v>
      </c>
      <c r="H1718" s="43">
        <f>IFERROR(G1718*E1715,"")</f>
        <v>0</v>
      </c>
    </row>
    <row r="1719" spans="1:11" ht="12.75" customHeight="1">
      <c r="A1719" s="28"/>
      <c r="B1719" s="29" t="s">
        <v>2698</v>
      </c>
      <c r="C1719" s="30" t="str">
        <f>IFERROR(_xlfn.XLOOKUP(B1719,Insumo[DESCRIPCION],Insumo[UND],,0),"")</f>
        <v>Kg</v>
      </c>
      <c r="D1719" s="31">
        <v>0.03</v>
      </c>
      <c r="E1719" s="32">
        <f>IFERROR(_xlfn.XLOOKUP($B1719,Insumo[DESCRIPCION],Insumo[VALOR],,0),"")</f>
        <v>11569.95</v>
      </c>
      <c r="F1719" s="33"/>
      <c r="G1719" s="34">
        <f>IFERROR(IF(F1719&gt;=0,D1719*E1719*(1+F1719/100),ABS(D1719*E1719/F1719)),"")</f>
        <v>347.0985</v>
      </c>
      <c r="H1719" s="43">
        <f>IFERROR(G1719*E1715,"")</f>
        <v>0</v>
      </c>
    </row>
    <row r="1720" spans="1:11" ht="12.75" customHeight="1">
      <c r="A1720" s="28"/>
      <c r="B1720" s="29"/>
      <c r="C1720" s="30" t="str">
        <f>IFERROR(_xlfn.XLOOKUP(B1720,Insumo[DESCRIPCION],Insumo[UND],,0),"")</f>
        <v/>
      </c>
      <c r="D1720" s="31"/>
      <c r="E1720" s="32" t="str">
        <f>IFERROR(_xlfn.XLOOKUP($B1720,Insumo[DESCRIPCION],Insumo[VALOR],,0),"")</f>
        <v/>
      </c>
      <c r="F1720" s="33"/>
      <c r="G1720" s="34" t="str">
        <f>IFERROR(IF(F1720&gt;=0,D1720*E1720*(1+F1720/100),ABS(D1720*E1720/F1720)),"")</f>
        <v/>
      </c>
      <c r="H1720" s="43" t="str">
        <f>IFERROR(G1720*E1715,"")</f>
        <v/>
      </c>
    </row>
    <row r="1721" spans="1:11" ht="12.75" customHeight="1">
      <c r="A1721" s="28"/>
      <c r="B1721" s="29"/>
      <c r="C1721" s="30" t="str">
        <f>IFERROR(_xlfn.XLOOKUP(B1721,Insumo[DESCRIPCION],Insumo[UND],,0),"")</f>
        <v/>
      </c>
      <c r="D1721" s="31"/>
      <c r="E1721" s="32" t="str">
        <f>IFERROR(_xlfn.XLOOKUP($B1721,Insumo[DESCRIPCION],Insumo[VALOR],,0),"")</f>
        <v/>
      </c>
      <c r="F1721" s="33"/>
      <c r="G1721" s="34" t="str">
        <f>IFERROR(IF(F1721&gt;=0,D1721*E1721*(1+F1721/100),ABS(D1721*E1721/F1721)),"")</f>
        <v/>
      </c>
      <c r="H1721" s="43" t="str">
        <f>IFERROR(G1721*E1715,"")</f>
        <v/>
      </c>
    </row>
    <row r="1722" spans="1:11" ht="12.75" customHeight="1">
      <c r="A1722" s="28"/>
      <c r="B1722" s="29"/>
      <c r="C1722" s="30" t="str">
        <f>IFERROR(_xlfn.XLOOKUP(B1722,Insumo[DESCRIPCION],Insumo[UND],,0),"")</f>
        <v/>
      </c>
      <c r="D1722" s="31"/>
      <c r="E1722" s="32" t="str">
        <f>IFERROR(_xlfn.XLOOKUP($B1722,Insumo[DESCRIPCION],Insumo[VALOR],,0),"")</f>
        <v/>
      </c>
      <c r="F1722" s="33"/>
      <c r="G1722" s="34" t="str">
        <f>IFERROR(IF(F1722&gt;=0,D1722*E1722*(1+F1722/100),ABS(D1722*E1722/F1722)),"")</f>
        <v/>
      </c>
      <c r="H1722" s="43" t="str">
        <f>IFERROR(G1722*E1715,"")</f>
        <v/>
      </c>
    </row>
    <row r="1723" spans="1:11" ht="12.75" customHeight="1">
      <c r="A1723" s="21"/>
      <c r="B1723" s="22" t="s">
        <v>3731</v>
      </c>
      <c r="C1723" s="23"/>
      <c r="D1723" s="24"/>
      <c r="E1723" s="25"/>
      <c r="F1723" s="26"/>
      <c r="G1723" s="27">
        <f>SUM(G1724:G1726)</f>
        <v>1445.9810424125001</v>
      </c>
      <c r="H1723" s="44">
        <f>G1723*E1715</f>
        <v>0</v>
      </c>
    </row>
    <row r="1724" spans="1:11" ht="12.75" customHeight="1">
      <c r="A1724" s="28"/>
      <c r="B1724" s="29" t="s">
        <v>3575</v>
      </c>
      <c r="C1724" s="30" t="str">
        <f>IFERROR(_xlfn.XLOOKUP(B1724,Equipo[DESCRIPCION],Equipo[UND],,0),"")</f>
        <v>Día</v>
      </c>
      <c r="D1724" s="31">
        <v>1</v>
      </c>
      <c r="E1724" s="32">
        <f>IF(C1724="%MO",G1730,IFERROR(_xlfn.XLOOKUP($B1724,Equipo[DESCRIPCION],Equipo[VALOR],,0),""))</f>
        <v>142078.65</v>
      </c>
      <c r="F1724" s="33">
        <v>-120</v>
      </c>
      <c r="G1724" s="34">
        <f>IFERROR(IF(F1724&gt;=0,D1724*E1724*(1+F1724/100),ABS(D1724*E1724/F1724)),"")</f>
        <v>1183.98875</v>
      </c>
      <c r="H1724" s="43">
        <f>IFERROR(G1724*E1715,"")</f>
        <v>0</v>
      </c>
    </row>
    <row r="1725" spans="1:11" ht="12.75" customHeight="1">
      <c r="A1725" s="28"/>
      <c r="B1725" s="29" t="s">
        <v>3626</v>
      </c>
      <c r="C1725" s="30" t="str">
        <f>IFERROR(_xlfn.XLOOKUP(B1725,Equipo[DESCRIPCION],Equipo[UND],,0),"")</f>
        <v>%MO</v>
      </c>
      <c r="D1725" s="31">
        <v>0.05</v>
      </c>
      <c r="E1725" s="32">
        <f>IF(C1725="%MO",G1730,IFERROR(_xlfn.XLOOKUP($B1725,Equipo[DESCRIPCION],Equipo[VALOR],,0),""))</f>
        <v>5239.8458482500009</v>
      </c>
      <c r="F1725" s="33"/>
      <c r="G1725" s="34">
        <f>IFERROR(IF(F1725&gt;=0,D1725*E1725*(1+F1725/100),ABS(D1725*E1725/F1725)),"")</f>
        <v>261.99229241250003</v>
      </c>
      <c r="H1725" s="43">
        <f>IFERROR(G1725*E1715,"")</f>
        <v>0</v>
      </c>
    </row>
    <row r="1726" spans="1:11" ht="12.75" customHeight="1">
      <c r="A1726" s="28"/>
      <c r="B1726" s="29"/>
      <c r="C1726" s="30" t="str">
        <f>IFERROR(_xlfn.XLOOKUP(B1726,Equipo[DESCRIPCION],Equipo[UND],,0),"")</f>
        <v/>
      </c>
      <c r="D1726" s="31"/>
      <c r="E1726" s="32" t="str">
        <f>IF(C1726="%MO",G1730,IFERROR(_xlfn.XLOOKUP($B1726,Equipo[DESCRIPCION],Equipo[VALOR],,0),""))</f>
        <v/>
      </c>
      <c r="F1726" s="33"/>
      <c r="G1726" s="34" t="str">
        <f>IFERROR(IF(F1726&gt;=0,D1726*E1726*(1+F1726/100),ABS(D1726*E1726/F1726)),"")</f>
        <v/>
      </c>
      <c r="H1726" s="43" t="str">
        <f>IFERROR(G1726*E1715,"")</f>
        <v/>
      </c>
    </row>
    <row r="1727" spans="1:11" ht="12.75" customHeight="1">
      <c r="A1727" s="21"/>
      <c r="B1727" s="22" t="s">
        <v>2533</v>
      </c>
      <c r="C1727" s="23"/>
      <c r="D1727" s="24"/>
      <c r="E1727" s="25"/>
      <c r="F1727" s="26"/>
      <c r="G1727" s="27">
        <f>SUM(G1728:G1729)</f>
        <v>0</v>
      </c>
      <c r="H1727" s="44">
        <f>G1727*E1715</f>
        <v>0</v>
      </c>
    </row>
    <row r="1728" spans="1:11" ht="12.75" customHeight="1">
      <c r="A1728" s="28"/>
      <c r="B1728" s="29"/>
      <c r="C1728" s="30" t="str">
        <f>IFERROR(_xlfn.XLOOKUP(B1728,Transporte[DESCRIPCION],Transporte[UND],,0),"")</f>
        <v/>
      </c>
      <c r="D1728" s="31"/>
      <c r="E1728" s="32" t="str">
        <f>IFERROR(_xlfn.XLOOKUP($B1728,Transporte[DESCRIPCION],Transporte[VALOR],,0),"")</f>
        <v/>
      </c>
      <c r="F1728" s="33"/>
      <c r="G1728" s="34" t="str">
        <f>IFERROR(IF(F1728&gt;=0,D1728*E1728*(1+F1728/100),ABS(D1728*E1728/F1728)),"")</f>
        <v/>
      </c>
      <c r="H1728" s="43" t="str">
        <f>IFERROR(G1728*E1715,"")</f>
        <v/>
      </c>
    </row>
    <row r="1729" spans="1:11" ht="12.75" customHeight="1">
      <c r="A1729" s="28"/>
      <c r="B1729" s="29"/>
      <c r="C1729" s="30" t="str">
        <f>IFERROR(_xlfn.XLOOKUP(B1729,Transporte[DESCRIPCION],Transporte[UND],,0),"")</f>
        <v/>
      </c>
      <c r="D1729" s="31"/>
      <c r="E1729" s="32" t="str">
        <f>IFERROR(_xlfn.XLOOKUP($B1729,Transporte[DESCRIPCION],Transporte[VALOR],,0),"")</f>
        <v/>
      </c>
      <c r="F1729" s="33"/>
      <c r="G1729" s="34" t="str">
        <f>IFERROR(IF(F1729&gt;=0,D1729*E1729*(1+F1729/100),ABS(D1729*E1729/F1729)),"")</f>
        <v/>
      </c>
      <c r="H1729" s="43" t="str">
        <f>IFERROR(G1729*E1715,"")</f>
        <v/>
      </c>
    </row>
    <row r="1730" spans="1:11" ht="12.75" customHeight="1">
      <c r="A1730" s="21"/>
      <c r="B1730" s="22" t="s">
        <v>3732</v>
      </c>
      <c r="C1730" s="23"/>
      <c r="D1730" s="24"/>
      <c r="E1730" s="25"/>
      <c r="F1730" s="26"/>
      <c r="G1730" s="27">
        <f>SUM(G1731:G1733)</f>
        <v>5239.8458482500009</v>
      </c>
      <c r="H1730" s="44">
        <f>G1730*E1715</f>
        <v>0</v>
      </c>
    </row>
    <row r="1731" spans="1:11" ht="12.75" customHeight="1">
      <c r="A1731" s="28"/>
      <c r="B1731" s="29" t="s">
        <v>3710</v>
      </c>
      <c r="C1731" s="30" t="str">
        <f>IFERROR(_xlfn.XLOOKUP(B1731,MObra[DESCRIPCION],MObra[UN],,0),"")</f>
        <v>día</v>
      </c>
      <c r="D1731" s="31">
        <v>1</v>
      </c>
      <c r="E1731" s="32">
        <f>IFERROR(_xlfn.XLOOKUP($B1731,MObra[DESCRIPCION],MObra[VALOR UNIT],,0),"")</f>
        <v>314390.75089500006</v>
      </c>
      <c r="F1731" s="33">
        <v>-60</v>
      </c>
      <c r="G1731" s="34">
        <f>IFERROR(IF(F1731&gt;=0,D1731*E1731*(1+F1731/100),ABS(D1731*E1731/F1731)),"")</f>
        <v>5239.8458482500009</v>
      </c>
      <c r="H1731" s="43">
        <f>IFERROR(G1731*E1715,"")</f>
        <v>0</v>
      </c>
    </row>
    <row r="1732" spans="1:11" ht="12.75" customHeight="1">
      <c r="A1732" s="28"/>
      <c r="B1732" s="29"/>
      <c r="C1732" s="30" t="str">
        <f t="array" ref="C1732">IFERROR(_xlfn.XLOOKUP(B1732,MObra[[#All],[DESCRIPCION]],MObra[[#All],[UN]],,0),"")</f>
        <v/>
      </c>
      <c r="D1732" s="31"/>
      <c r="E1732" s="32" t="str">
        <f>IFERROR(_xlfn.XLOOKUP($B1732,MObra[DESCRIPCION],MObra[VALOR UNIT],,0),"")</f>
        <v/>
      </c>
      <c r="F1732" s="33"/>
      <c r="G1732" s="34" t="str">
        <f>IFERROR(IF(F1732&gt;=0,D1732*E1732*(1+F1732/100),ABS(D1732*E1732/F1732)),"")</f>
        <v/>
      </c>
      <c r="H1732" s="43" t="str">
        <f>IFERROR(G1732*E1715,"")</f>
        <v/>
      </c>
    </row>
    <row r="1733" spans="1:11" ht="12.75" customHeight="1" thickBot="1">
      <c r="A1733" s="35"/>
      <c r="B1733" s="36"/>
      <c r="C1733" s="37" t="str">
        <f t="array" ref="C1733">IFERROR(_xlfn.XLOOKUP(B1733,MObra[[#All],[DESCRIPCION]],MObra[[#All],[UN]],,0),"")</f>
        <v/>
      </c>
      <c r="D1733" s="38"/>
      <c r="E1733" s="39" t="str">
        <f>IFERROR(_xlfn.XLOOKUP($B1733,MObra[DESCRIPCION],MObra[VALOR UNIT],,0),"")</f>
        <v/>
      </c>
      <c r="F1733" s="40"/>
      <c r="G1733" s="41" t="str">
        <f>IFERROR(IF(F1733&gt;=0,D1733*E1733*(1+F1733/100),ABS(D1733*E1733/F1733)),"")</f>
        <v/>
      </c>
      <c r="H1733" s="42" t="str">
        <f>IFERROR(G1733*E1715,"")</f>
        <v/>
      </c>
    </row>
    <row r="1734" spans="1:11" ht="12.75" customHeight="1" thickTop="1" thickBot="1"/>
    <row r="1735" spans="1:11" ht="12.75" customHeight="1" thickTop="1" thickBot="1">
      <c r="A1735" s="6" t="s">
        <v>1265</v>
      </c>
      <c r="B1735" s="7" t="str">
        <f>VLOOKUP($A1735,Presupuesto!$A:$D,2,FALSE())</f>
        <v>Reparación bitumen teja FC reinstalada</v>
      </c>
      <c r="C1735" s="8" t="str">
        <f>VLOOKUP($A1735,Presupuesto!$A:$D,3,FALSE())</f>
        <v>M2</v>
      </c>
      <c r="D1735" s="9"/>
      <c r="E1735" s="10">
        <f>VLOOKUP($A1735,Presupuesto!$A:$D,4,FALSE())</f>
        <v>0</v>
      </c>
      <c r="F1735" s="11" t="s">
        <v>2589</v>
      </c>
      <c r="G1735" s="12">
        <f>SUM(G1737:G1753)/2</f>
        <v>12663.749012530003</v>
      </c>
      <c r="H1735" s="13">
        <f>ROUND(SUM(H1737:H1753),0)/2</f>
        <v>0</v>
      </c>
      <c r="I1735" s="10">
        <f>VLOOKUP(A1735,Presupuesto!$A:$F,6,0)</f>
        <v>0</v>
      </c>
      <c r="J1735" s="10">
        <f>+H1735-I1735</f>
        <v>0</v>
      </c>
      <c r="K1735" s="46">
        <f>+H1735-G1735*E1735</f>
        <v>0</v>
      </c>
    </row>
    <row r="1736" spans="1:11" ht="12.75" customHeight="1" thickTop="1">
      <c r="A1736" s="14"/>
      <c r="B1736" s="15" t="s">
        <v>2586</v>
      </c>
      <c r="C1736" s="15" t="s">
        <v>5</v>
      </c>
      <c r="D1736" s="16" t="s">
        <v>6</v>
      </c>
      <c r="E1736" s="17" t="s">
        <v>7</v>
      </c>
      <c r="F1736" s="18" t="s">
        <v>3728</v>
      </c>
      <c r="G1736" s="19" t="s">
        <v>3729</v>
      </c>
      <c r="H1736" s="20" t="s">
        <v>3797</v>
      </c>
    </row>
    <row r="1737" spans="1:11" ht="12.75" customHeight="1">
      <c r="A1737" s="21"/>
      <c r="B1737" s="22" t="s">
        <v>3730</v>
      </c>
      <c r="C1737" s="23"/>
      <c r="D1737" s="24"/>
      <c r="E1737" s="25"/>
      <c r="F1737" s="26"/>
      <c r="G1737" s="27">
        <f>SUM(G1738:G1742)</f>
        <v>7315.0875000000005</v>
      </c>
      <c r="H1737" s="27">
        <f>IFERROR(G1737*E1735,"")</f>
        <v>0</v>
      </c>
    </row>
    <row r="1738" spans="1:11" ht="12.75" customHeight="1">
      <c r="A1738" s="28"/>
      <c r="B1738" s="29" t="s">
        <v>3002</v>
      </c>
      <c r="C1738" s="30" t="str">
        <f>IFERROR(_xlfn.XLOOKUP(B1738,Insumo[DESCRIPCION],Insumo[UND],,0),"")</f>
        <v>M2</v>
      </c>
      <c r="D1738" s="31">
        <v>0.5</v>
      </c>
      <c r="E1738" s="32">
        <f>IFERROR(_xlfn.XLOOKUP($B1738,Insumo[DESCRIPCION],Insumo[VALOR],,0),"")</f>
        <v>13933.5</v>
      </c>
      <c r="F1738" s="33">
        <v>5</v>
      </c>
      <c r="G1738" s="34">
        <f>IFERROR(IF(F1738&gt;=0,D1738*E1738*(1+F1738/100),ABS(D1738*E1738/F1738)),"")</f>
        <v>7315.0875000000005</v>
      </c>
      <c r="H1738" s="43">
        <f>IFERROR(G1738*E1735,"")</f>
        <v>0</v>
      </c>
    </row>
    <row r="1739" spans="1:11" ht="12.75" customHeight="1">
      <c r="A1739" s="28"/>
      <c r="B1739" s="29"/>
      <c r="C1739" s="30" t="str">
        <f>IFERROR(_xlfn.XLOOKUP(B1739,Insumo[DESCRIPCION],Insumo[UND],,0),"")</f>
        <v/>
      </c>
      <c r="D1739" s="31"/>
      <c r="E1739" s="32" t="str">
        <f>IFERROR(_xlfn.XLOOKUP($B1739,Insumo[DESCRIPCION],Insumo[VALOR],,0),"")</f>
        <v/>
      </c>
      <c r="F1739" s="33"/>
      <c r="G1739" s="34" t="str">
        <f>IFERROR(IF(F1739&gt;=0,D1739*E1739*(1+F1739/100),ABS(D1739*E1739/F1739)),"")</f>
        <v/>
      </c>
      <c r="H1739" s="43" t="str">
        <f>IFERROR(G1739*E1735,"")</f>
        <v/>
      </c>
    </row>
    <row r="1740" spans="1:11" ht="12.75" customHeight="1">
      <c r="A1740" s="28"/>
      <c r="B1740" s="29"/>
      <c r="C1740" s="30" t="str">
        <f>IFERROR(_xlfn.XLOOKUP(B1740,Insumo[DESCRIPCION],Insumo[UND],,0),"")</f>
        <v/>
      </c>
      <c r="D1740" s="31"/>
      <c r="E1740" s="32" t="str">
        <f>IFERROR(_xlfn.XLOOKUP($B1740,Insumo[DESCRIPCION],Insumo[VALOR],,0),"")</f>
        <v/>
      </c>
      <c r="F1740" s="33"/>
      <c r="G1740" s="34" t="str">
        <f>IFERROR(IF(F1740&gt;=0,D1740*E1740*(1+F1740/100),ABS(D1740*E1740/F1740)),"")</f>
        <v/>
      </c>
      <c r="H1740" s="43" t="str">
        <f>IFERROR(G1740*E1735,"")</f>
        <v/>
      </c>
    </row>
    <row r="1741" spans="1:11" ht="12.75" customHeight="1">
      <c r="A1741" s="28"/>
      <c r="B1741" s="29"/>
      <c r="C1741" s="30" t="str">
        <f>IFERROR(_xlfn.XLOOKUP(B1741,Insumo[DESCRIPCION],Insumo[UND],,0),"")</f>
        <v/>
      </c>
      <c r="D1741" s="31"/>
      <c r="E1741" s="32" t="str">
        <f>IFERROR(_xlfn.XLOOKUP($B1741,Insumo[DESCRIPCION],Insumo[VALOR],,0),"")</f>
        <v/>
      </c>
      <c r="F1741" s="33"/>
      <c r="G1741" s="34" t="str">
        <f>IFERROR(IF(F1741&gt;=0,D1741*E1741*(1+F1741/100),ABS(D1741*E1741/F1741)),"")</f>
        <v/>
      </c>
      <c r="H1741" s="43" t="str">
        <f>IFERROR(G1741*E1735,"")</f>
        <v/>
      </c>
    </row>
    <row r="1742" spans="1:11" ht="12.75" customHeight="1">
      <c r="A1742" s="28"/>
      <c r="B1742" s="29"/>
      <c r="C1742" s="30" t="str">
        <f>IFERROR(_xlfn.XLOOKUP(B1742,Insumo[DESCRIPCION],Insumo[UND],,0),"")</f>
        <v/>
      </c>
      <c r="D1742" s="31"/>
      <c r="E1742" s="32" t="str">
        <f>IFERROR(_xlfn.XLOOKUP($B1742,Insumo[DESCRIPCION],Insumo[VALOR],,0),"")</f>
        <v/>
      </c>
      <c r="F1742" s="33"/>
      <c r="G1742" s="34" t="str">
        <f>IFERROR(IF(F1742&gt;=0,D1742*E1742*(1+F1742/100),ABS(D1742*E1742/F1742)),"")</f>
        <v/>
      </c>
      <c r="H1742" s="43" t="str">
        <f>IFERROR(G1742*E1735,"")</f>
        <v/>
      </c>
    </row>
    <row r="1743" spans="1:11" ht="12.75" customHeight="1">
      <c r="A1743" s="21"/>
      <c r="B1743" s="22" t="s">
        <v>3731</v>
      </c>
      <c r="C1743" s="23"/>
      <c r="D1743" s="24"/>
      <c r="E1743" s="25"/>
      <c r="F1743" s="26"/>
      <c r="G1743" s="27">
        <f>SUM(G1744:G1746)</f>
        <v>1156.7848339299999</v>
      </c>
      <c r="H1743" s="44">
        <f>G1743*E1735</f>
        <v>0</v>
      </c>
    </row>
    <row r="1744" spans="1:11" ht="12.75" customHeight="1">
      <c r="A1744" s="28"/>
      <c r="B1744" s="29" t="s">
        <v>3575</v>
      </c>
      <c r="C1744" s="30" t="str">
        <f>IFERROR(_xlfn.XLOOKUP(B1744,Equipo[DESCRIPCION],Equipo[UND],,0),"")</f>
        <v>Día</v>
      </c>
      <c r="D1744" s="31">
        <v>1</v>
      </c>
      <c r="E1744" s="32">
        <f>IF(C1744="%MO",G1750,IFERROR(_xlfn.XLOOKUP($B1744,Equipo[DESCRIPCION],Equipo[VALOR],,0),""))</f>
        <v>142078.65</v>
      </c>
      <c r="F1744" s="33">
        <v>-150</v>
      </c>
      <c r="G1744" s="34">
        <f>IFERROR(IF(F1744&gt;=0,D1744*E1744*(1+F1744/100),ABS(D1744*E1744/F1744)),"")</f>
        <v>947.19099999999992</v>
      </c>
      <c r="H1744" s="43">
        <f>IFERROR(G1744*E1735,"")</f>
        <v>0</v>
      </c>
    </row>
    <row r="1745" spans="1:11" ht="12.75" customHeight="1">
      <c r="A1745" s="28"/>
      <c r="B1745" s="29" t="s">
        <v>3626</v>
      </c>
      <c r="C1745" s="30" t="str">
        <f>IFERROR(_xlfn.XLOOKUP(B1745,Equipo[DESCRIPCION],Equipo[UND],,0),"")</f>
        <v>%MO</v>
      </c>
      <c r="D1745" s="31">
        <v>0.05</v>
      </c>
      <c r="E1745" s="32">
        <f>IF(C1745="%MO",G1750,IFERROR(_xlfn.XLOOKUP($B1745,Equipo[DESCRIPCION],Equipo[VALOR],,0),""))</f>
        <v>4191.8766786000006</v>
      </c>
      <c r="F1745" s="33"/>
      <c r="G1745" s="34">
        <f>IFERROR(IF(F1745&gt;=0,D1745*E1745*(1+F1745/100),ABS(D1745*E1745/F1745)),"")</f>
        <v>209.59383393000005</v>
      </c>
      <c r="H1745" s="43">
        <f>IFERROR(G1745*E1735,"")</f>
        <v>0</v>
      </c>
    </row>
    <row r="1746" spans="1:11" ht="12.75" customHeight="1">
      <c r="A1746" s="28"/>
      <c r="B1746" s="29"/>
      <c r="C1746" s="30" t="str">
        <f>IFERROR(_xlfn.XLOOKUP(B1746,Equipo[DESCRIPCION],Equipo[UND],,0),"")</f>
        <v/>
      </c>
      <c r="D1746" s="31"/>
      <c r="E1746" s="32" t="str">
        <f>IF(C1746="%MO",G1750,IFERROR(_xlfn.XLOOKUP($B1746,Equipo[DESCRIPCION],Equipo[VALOR],,0),""))</f>
        <v/>
      </c>
      <c r="F1746" s="33"/>
      <c r="G1746" s="34" t="str">
        <f>IFERROR(IF(F1746&gt;=0,D1746*E1746*(1+F1746/100),ABS(D1746*E1746/F1746)),"")</f>
        <v/>
      </c>
      <c r="H1746" s="43" t="str">
        <f>IFERROR(G1746*E1735,"")</f>
        <v/>
      </c>
    </row>
    <row r="1747" spans="1:11" ht="12.75" customHeight="1">
      <c r="A1747" s="21"/>
      <c r="B1747" s="22" t="s">
        <v>2533</v>
      </c>
      <c r="C1747" s="23"/>
      <c r="D1747" s="24"/>
      <c r="E1747" s="25"/>
      <c r="F1747" s="26"/>
      <c r="G1747" s="27">
        <f>SUM(G1748:G1749)</f>
        <v>0</v>
      </c>
      <c r="H1747" s="44">
        <f>G1747*E1735</f>
        <v>0</v>
      </c>
    </row>
    <row r="1748" spans="1:11" ht="12.75" customHeight="1">
      <c r="A1748" s="28"/>
      <c r="B1748" s="29"/>
      <c r="C1748" s="30" t="str">
        <f>IFERROR(_xlfn.XLOOKUP(B1748,Transporte[DESCRIPCION],Transporte[UND],,0),"")</f>
        <v/>
      </c>
      <c r="D1748" s="31"/>
      <c r="E1748" s="32" t="str">
        <f>IFERROR(_xlfn.XLOOKUP($B1748,Transporte[DESCRIPCION],Transporte[VALOR],,0),"")</f>
        <v/>
      </c>
      <c r="F1748" s="33"/>
      <c r="G1748" s="34" t="str">
        <f>IFERROR(IF(F1748&gt;=0,D1748*E1748*(1+F1748/100),ABS(D1748*E1748/F1748)),"")</f>
        <v/>
      </c>
      <c r="H1748" s="43" t="str">
        <f>IFERROR(G1748*E1735,"")</f>
        <v/>
      </c>
    </row>
    <row r="1749" spans="1:11" ht="12.75" customHeight="1">
      <c r="A1749" s="28"/>
      <c r="B1749" s="29"/>
      <c r="C1749" s="30" t="str">
        <f>IFERROR(_xlfn.XLOOKUP(B1749,Transporte[DESCRIPCION],Transporte[UND],,0),"")</f>
        <v/>
      </c>
      <c r="D1749" s="31"/>
      <c r="E1749" s="32" t="str">
        <f>IFERROR(_xlfn.XLOOKUP($B1749,Transporte[DESCRIPCION],Transporte[VALOR],,0),"")</f>
        <v/>
      </c>
      <c r="F1749" s="33"/>
      <c r="G1749" s="34" t="str">
        <f>IFERROR(IF(F1749&gt;=0,D1749*E1749*(1+F1749/100),ABS(D1749*E1749/F1749)),"")</f>
        <v/>
      </c>
      <c r="H1749" s="43" t="str">
        <f>IFERROR(G1749*E1735,"")</f>
        <v/>
      </c>
    </row>
    <row r="1750" spans="1:11" ht="12.75" customHeight="1">
      <c r="A1750" s="21"/>
      <c r="B1750" s="22" t="s">
        <v>3732</v>
      </c>
      <c r="C1750" s="23"/>
      <c r="D1750" s="24"/>
      <c r="E1750" s="25"/>
      <c r="F1750" s="26"/>
      <c r="G1750" s="27">
        <f>SUM(G1751:G1753)</f>
        <v>4191.8766786000006</v>
      </c>
      <c r="H1750" s="44">
        <f>G1750*E1735</f>
        <v>0</v>
      </c>
    </row>
    <row r="1751" spans="1:11" ht="12.75" customHeight="1">
      <c r="A1751" s="28"/>
      <c r="B1751" s="29" t="s">
        <v>3710</v>
      </c>
      <c r="C1751" s="30" t="str">
        <f>IFERROR(_xlfn.XLOOKUP(B1751,MObra[DESCRIPCION],MObra[UN],,0),"")</f>
        <v>día</v>
      </c>
      <c r="D1751" s="31">
        <v>1</v>
      </c>
      <c r="E1751" s="32">
        <f>IFERROR(_xlfn.XLOOKUP($B1751,MObra[DESCRIPCION],MObra[VALOR UNIT],,0),"")</f>
        <v>314390.75089500006</v>
      </c>
      <c r="F1751" s="33">
        <v>-75</v>
      </c>
      <c r="G1751" s="34">
        <f>IFERROR(IF(F1751&gt;=0,D1751*E1751*(1+F1751/100),ABS(D1751*E1751/F1751)),"")</f>
        <v>4191.8766786000006</v>
      </c>
      <c r="H1751" s="43">
        <f>IFERROR(G1751*E1735,"")</f>
        <v>0</v>
      </c>
    </row>
    <row r="1752" spans="1:11" ht="12.75" customHeight="1">
      <c r="A1752" s="28"/>
      <c r="B1752" s="29"/>
      <c r="C1752" s="30" t="str">
        <f t="array" ref="C1752">IFERROR(_xlfn.XLOOKUP(B1752,MObra[[#All],[DESCRIPCION]],MObra[[#All],[UN]],,0),"")</f>
        <v/>
      </c>
      <c r="D1752" s="31"/>
      <c r="E1752" s="32" t="str">
        <f>IFERROR(_xlfn.XLOOKUP($B1752,MObra[DESCRIPCION],MObra[VALOR UNIT],,0),"")</f>
        <v/>
      </c>
      <c r="F1752" s="33"/>
      <c r="G1752" s="34" t="str">
        <f>IFERROR(IF(F1752&gt;=0,D1752*E1752*(1+F1752/100),ABS(D1752*E1752/F1752)),"")</f>
        <v/>
      </c>
      <c r="H1752" s="43" t="str">
        <f>IFERROR(G1752*E1735,"")</f>
        <v/>
      </c>
    </row>
    <row r="1753" spans="1:11" ht="12.75" customHeight="1" thickBot="1">
      <c r="A1753" s="35"/>
      <c r="B1753" s="36"/>
      <c r="C1753" s="37" t="str">
        <f t="array" ref="C1753">IFERROR(_xlfn.XLOOKUP(B1753,MObra[[#All],[DESCRIPCION]],MObra[[#All],[UN]],,0),"")</f>
        <v/>
      </c>
      <c r="D1753" s="38"/>
      <c r="E1753" s="39" t="str">
        <f>IFERROR(_xlfn.XLOOKUP($B1753,MObra[DESCRIPCION],MObra[VALOR UNIT],,0),"")</f>
        <v/>
      </c>
      <c r="F1753" s="40"/>
      <c r="G1753" s="41" t="str">
        <f>IFERROR(IF(F1753&gt;=0,D1753*E1753*(1+F1753/100),ABS(D1753*E1753/F1753)),"")</f>
        <v/>
      </c>
      <c r="H1753" s="42" t="str">
        <f>IFERROR(G1753*E1735,"")</f>
        <v/>
      </c>
    </row>
    <row r="1754" spans="1:11" ht="12.75" customHeight="1" thickTop="1" thickBot="1"/>
    <row r="1755" spans="1:11" ht="12.75" customHeight="1" thickTop="1" thickBot="1">
      <c r="A1755" s="6" t="s">
        <v>1267</v>
      </c>
      <c r="B1755" s="7" t="str">
        <f>VLOOKUP($A1755,Presupuesto!$A:$D,2,FALSE())</f>
        <v>Reparación general cubierta teja Shingle</v>
      </c>
      <c r="C1755" s="8" t="str">
        <f>VLOOKUP($A1755,Presupuesto!$A:$D,3,FALSE())</f>
        <v>M2</v>
      </c>
      <c r="D1755" s="9"/>
      <c r="E1755" s="10">
        <f>VLOOKUP($A1755,Presupuesto!$A:$D,4,FALSE())</f>
        <v>0</v>
      </c>
      <c r="F1755" s="11" t="s">
        <v>2589</v>
      </c>
      <c r="G1755" s="12">
        <f>SUM(G1757:G1773)/2</f>
        <v>94682.221054968759</v>
      </c>
      <c r="H1755" s="13">
        <f>ROUND(SUM(H1757:H1773),0)/2</f>
        <v>0</v>
      </c>
      <c r="I1755" s="10">
        <f>VLOOKUP(A1755,Presupuesto!$A:$F,6,0)</f>
        <v>0</v>
      </c>
      <c r="J1755" s="10">
        <f>+H1755-I1755</f>
        <v>0</v>
      </c>
      <c r="K1755" s="46">
        <f>+H1755-G1755*E1755</f>
        <v>0</v>
      </c>
    </row>
    <row r="1756" spans="1:11" ht="12.75" customHeight="1" thickTop="1">
      <c r="A1756" s="14"/>
      <c r="B1756" s="15" t="s">
        <v>2586</v>
      </c>
      <c r="C1756" s="15" t="s">
        <v>5</v>
      </c>
      <c r="D1756" s="16" t="s">
        <v>6</v>
      </c>
      <c r="E1756" s="17" t="s">
        <v>7</v>
      </c>
      <c r="F1756" s="18" t="s">
        <v>3728</v>
      </c>
      <c r="G1756" s="19" t="s">
        <v>3729</v>
      </c>
      <c r="H1756" s="20" t="s">
        <v>3797</v>
      </c>
    </row>
    <row r="1757" spans="1:11" ht="12.75" customHeight="1">
      <c r="A1757" s="21"/>
      <c r="B1757" s="22" t="s">
        <v>3730</v>
      </c>
      <c r="C1757" s="23"/>
      <c r="D1757" s="24"/>
      <c r="E1757" s="25"/>
      <c r="F1757" s="26"/>
      <c r="G1757" s="27">
        <f>SUM(G1758:G1762)</f>
        <v>49866.46875</v>
      </c>
      <c r="H1757" s="27">
        <f>IFERROR(G1757*E1755,"")</f>
        <v>0</v>
      </c>
    </row>
    <row r="1758" spans="1:11" ht="12.75" customHeight="1">
      <c r="A1758" s="28"/>
      <c r="B1758" s="29" t="s">
        <v>3381</v>
      </c>
      <c r="C1758" s="30" t="str">
        <f>IFERROR(_xlfn.XLOOKUP(B1758,Insumo[DESCRIPCION],Insumo[UND],,0),"")</f>
        <v>M2</v>
      </c>
      <c r="D1758" s="31">
        <v>0.5</v>
      </c>
      <c r="E1758" s="32">
        <f>IFERROR(_xlfn.XLOOKUP($B1758,Insumo[DESCRIPCION],Insumo[VALOR],,0),"")</f>
        <v>70544.25</v>
      </c>
      <c r="F1758" s="33">
        <v>7</v>
      </c>
      <c r="G1758" s="34">
        <f>IFERROR(IF(F1758&gt;=0,D1758*E1758*(1+F1758/100),ABS(D1758*E1758/F1758)),"")</f>
        <v>37741.173750000002</v>
      </c>
      <c r="H1758" s="43">
        <f>IFERROR(G1758*E1755,"")</f>
        <v>0</v>
      </c>
    </row>
    <row r="1759" spans="1:11" ht="12.75" customHeight="1">
      <c r="A1759" s="28"/>
      <c r="B1759" s="29" t="s">
        <v>3148</v>
      </c>
      <c r="C1759" s="30" t="str">
        <f>IFERROR(_xlfn.XLOOKUP(B1759,Insumo[DESCRIPCION],Insumo[UND],,0),"")</f>
        <v>M2</v>
      </c>
      <c r="D1759" s="31">
        <v>0.5</v>
      </c>
      <c r="E1759" s="32">
        <f>IFERROR(_xlfn.XLOOKUP($B1759,Insumo[DESCRIPCION],Insumo[VALOR],,0),"")</f>
        <v>21243.600000000002</v>
      </c>
      <c r="F1759" s="33">
        <v>5</v>
      </c>
      <c r="G1759" s="34">
        <f>IFERROR(IF(F1759&gt;=0,D1759*E1759*(1+F1759/100),ABS(D1759*E1759/F1759)),"")</f>
        <v>11152.890000000001</v>
      </c>
      <c r="H1759" s="43">
        <f>IFERROR(G1759*E1755,"")</f>
        <v>0</v>
      </c>
    </row>
    <row r="1760" spans="1:11" ht="12.75" customHeight="1">
      <c r="A1760" s="28"/>
      <c r="B1760" s="29" t="s">
        <v>3253</v>
      </c>
      <c r="C1760" s="30" t="str">
        <f>IFERROR(_xlfn.XLOOKUP(B1760,Insumo[DESCRIPCION],Insumo[UND],,0),"")</f>
        <v>Lb</v>
      </c>
      <c r="D1760" s="31">
        <v>0.15</v>
      </c>
      <c r="E1760" s="32">
        <f>IFERROR(_xlfn.XLOOKUP($B1760,Insumo[DESCRIPCION],Insumo[VALOR],,0),"")</f>
        <v>6482.7000000000007</v>
      </c>
      <c r="F1760" s="33"/>
      <c r="G1760" s="34">
        <f>IFERROR(IF(F1760&gt;=0,D1760*E1760*(1+F1760/100),ABS(D1760*E1760/F1760)),"")</f>
        <v>972.40500000000009</v>
      </c>
      <c r="H1760" s="43">
        <f>IFERROR(G1760*E1755,"")</f>
        <v>0</v>
      </c>
    </row>
    <row r="1761" spans="1:11" ht="12.75" customHeight="1">
      <c r="A1761" s="28"/>
      <c r="B1761" s="29"/>
      <c r="C1761" s="30" t="str">
        <f>IFERROR(_xlfn.XLOOKUP(B1761,Insumo[DESCRIPCION],Insumo[UND],,0),"")</f>
        <v/>
      </c>
      <c r="D1761" s="31"/>
      <c r="E1761" s="32" t="str">
        <f>IFERROR(_xlfn.XLOOKUP($B1761,Insumo[DESCRIPCION],Insumo[VALOR],,0),"")</f>
        <v/>
      </c>
      <c r="F1761" s="33"/>
      <c r="G1761" s="34" t="str">
        <f>IFERROR(IF(F1761&gt;=0,D1761*E1761*(1+F1761/100),ABS(D1761*E1761/F1761)),"")</f>
        <v/>
      </c>
      <c r="H1761" s="43" t="str">
        <f>IFERROR(G1761*E1755,"")</f>
        <v/>
      </c>
    </row>
    <row r="1762" spans="1:11" ht="12.75" customHeight="1">
      <c r="A1762" s="28"/>
      <c r="B1762" s="29"/>
      <c r="C1762" s="30" t="str">
        <f>IFERROR(_xlfn.XLOOKUP(B1762,Insumo[DESCRIPCION],Insumo[UND],,0),"")</f>
        <v/>
      </c>
      <c r="D1762" s="31"/>
      <c r="E1762" s="32" t="str">
        <f>IFERROR(_xlfn.XLOOKUP($B1762,Insumo[DESCRIPCION],Insumo[VALOR],,0),"")</f>
        <v/>
      </c>
      <c r="F1762" s="33"/>
      <c r="G1762" s="34" t="str">
        <f>IFERROR(IF(F1762&gt;=0,D1762*E1762*(1+F1762/100),ABS(D1762*E1762/F1762)),"")</f>
        <v/>
      </c>
      <c r="H1762" s="43" t="str">
        <f>IFERROR(G1762*E1755,"")</f>
        <v/>
      </c>
    </row>
    <row r="1763" spans="1:11" ht="12.75" customHeight="1">
      <c r="A1763" s="21"/>
      <c r="B1763" s="22" t="s">
        <v>3731</v>
      </c>
      <c r="C1763" s="23"/>
      <c r="D1763" s="24"/>
      <c r="E1763" s="25"/>
      <c r="F1763" s="26"/>
      <c r="G1763" s="27">
        <f>SUM(G1764:G1766)</f>
        <v>5516.908443093751</v>
      </c>
      <c r="H1763" s="44">
        <f>G1763*E1755</f>
        <v>0</v>
      </c>
    </row>
    <row r="1764" spans="1:11" ht="12.75" customHeight="1">
      <c r="A1764" s="28"/>
      <c r="B1764" s="29" t="s">
        <v>3575</v>
      </c>
      <c r="C1764" s="30" t="str">
        <f>IFERROR(_xlfn.XLOOKUP(B1764,Equipo[DESCRIPCION],Equipo[UND],,0),"")</f>
        <v>Día</v>
      </c>
      <c r="D1764" s="31">
        <v>1</v>
      </c>
      <c r="E1764" s="32">
        <f>IF(C1764="%MO",G1770,IFERROR(_xlfn.XLOOKUP($B1764,Equipo[DESCRIPCION],Equipo[VALOR],,0),""))</f>
        <v>142078.65</v>
      </c>
      <c r="F1764" s="33">
        <v>-40</v>
      </c>
      <c r="G1764" s="34">
        <f>IFERROR(IF(F1764&gt;=0,D1764*E1764*(1+F1764/100),ABS(D1764*E1764/F1764)),"")</f>
        <v>3551.9662499999999</v>
      </c>
      <c r="H1764" s="43">
        <f>IFERROR(G1764*E1755,"")</f>
        <v>0</v>
      </c>
    </row>
    <row r="1765" spans="1:11" ht="12.75" customHeight="1">
      <c r="A1765" s="28"/>
      <c r="B1765" s="29" t="s">
        <v>3626</v>
      </c>
      <c r="C1765" s="30" t="str">
        <f>IFERROR(_xlfn.XLOOKUP(B1765,Equipo[DESCRIPCION],Equipo[UND],,0),"")</f>
        <v>%MO</v>
      </c>
      <c r="D1765" s="31">
        <v>0.05</v>
      </c>
      <c r="E1765" s="32">
        <f>IF(C1765="%MO",G1770,IFERROR(_xlfn.XLOOKUP($B1765,Equipo[DESCRIPCION],Equipo[VALOR],,0),""))</f>
        <v>39298.843861875008</v>
      </c>
      <c r="F1765" s="33"/>
      <c r="G1765" s="34">
        <f>IFERROR(IF(F1765&gt;=0,D1765*E1765*(1+F1765/100),ABS(D1765*E1765/F1765)),"")</f>
        <v>1964.9421930937506</v>
      </c>
      <c r="H1765" s="43">
        <f>IFERROR(G1765*E1755,"")</f>
        <v>0</v>
      </c>
    </row>
    <row r="1766" spans="1:11" ht="12.75" customHeight="1">
      <c r="A1766" s="28"/>
      <c r="B1766" s="29"/>
      <c r="C1766" s="30" t="str">
        <f>IFERROR(_xlfn.XLOOKUP(B1766,Equipo[DESCRIPCION],Equipo[UND],,0),"")</f>
        <v/>
      </c>
      <c r="D1766" s="31"/>
      <c r="E1766" s="32" t="str">
        <f>IF(C1766="%MO",G1770,IFERROR(_xlfn.XLOOKUP($B1766,Equipo[DESCRIPCION],Equipo[VALOR],,0),""))</f>
        <v/>
      </c>
      <c r="F1766" s="33"/>
      <c r="G1766" s="34" t="str">
        <f>IFERROR(IF(F1766&gt;=0,D1766*E1766*(1+F1766/100),ABS(D1766*E1766/F1766)),"")</f>
        <v/>
      </c>
      <c r="H1766" s="43" t="str">
        <f>IFERROR(G1766*E1755,"")</f>
        <v/>
      </c>
    </row>
    <row r="1767" spans="1:11" ht="12.75" customHeight="1">
      <c r="A1767" s="21"/>
      <c r="B1767" s="22" t="s">
        <v>2533</v>
      </c>
      <c r="C1767" s="23"/>
      <c r="D1767" s="24"/>
      <c r="E1767" s="25"/>
      <c r="F1767" s="26"/>
      <c r="G1767" s="27">
        <f>SUM(G1768:G1769)</f>
        <v>0</v>
      </c>
      <c r="H1767" s="44">
        <f>G1767*E1755</f>
        <v>0</v>
      </c>
    </row>
    <row r="1768" spans="1:11" ht="12.75" customHeight="1">
      <c r="A1768" s="28"/>
      <c r="B1768" s="29"/>
      <c r="C1768" s="30" t="str">
        <f>IFERROR(_xlfn.XLOOKUP(B1768,Transporte[DESCRIPCION],Transporte[UND],,0),"")</f>
        <v/>
      </c>
      <c r="D1768" s="31"/>
      <c r="E1768" s="32" t="str">
        <f>IFERROR(_xlfn.XLOOKUP($B1768,Transporte[DESCRIPCION],Transporte[VALOR],,0),"")</f>
        <v/>
      </c>
      <c r="F1768" s="33"/>
      <c r="G1768" s="34" t="str">
        <f>IFERROR(IF(F1768&gt;=0,D1768*E1768*(1+F1768/100),ABS(D1768*E1768/F1768)),"")</f>
        <v/>
      </c>
      <c r="H1768" s="43" t="str">
        <f>IFERROR(G1768*E1755,"")</f>
        <v/>
      </c>
    </row>
    <row r="1769" spans="1:11" ht="12.75" customHeight="1">
      <c r="A1769" s="28"/>
      <c r="B1769" s="29"/>
      <c r="C1769" s="30" t="str">
        <f>IFERROR(_xlfn.XLOOKUP(B1769,Transporte[DESCRIPCION],Transporte[UND],,0),"")</f>
        <v/>
      </c>
      <c r="D1769" s="31"/>
      <c r="E1769" s="32" t="str">
        <f>IFERROR(_xlfn.XLOOKUP($B1769,Transporte[DESCRIPCION],Transporte[VALOR],,0),"")</f>
        <v/>
      </c>
      <c r="F1769" s="33"/>
      <c r="G1769" s="34" t="str">
        <f>IFERROR(IF(F1769&gt;=0,D1769*E1769*(1+F1769/100),ABS(D1769*E1769/F1769)),"")</f>
        <v/>
      </c>
      <c r="H1769" s="43" t="str">
        <f>IFERROR(G1769*E1755,"")</f>
        <v/>
      </c>
    </row>
    <row r="1770" spans="1:11" ht="12.75" customHeight="1">
      <c r="A1770" s="21"/>
      <c r="B1770" s="22" t="s">
        <v>3732</v>
      </c>
      <c r="C1770" s="23"/>
      <c r="D1770" s="24"/>
      <c r="E1770" s="25"/>
      <c r="F1770" s="26"/>
      <c r="G1770" s="27">
        <f>SUM(G1771:G1773)</f>
        <v>39298.843861875008</v>
      </c>
      <c r="H1770" s="44">
        <f>G1770*E1755</f>
        <v>0</v>
      </c>
    </row>
    <row r="1771" spans="1:11" ht="12.75" customHeight="1">
      <c r="A1771" s="28"/>
      <c r="B1771" s="29" t="s">
        <v>3710</v>
      </c>
      <c r="C1771" s="30" t="str">
        <f>IFERROR(_xlfn.XLOOKUP(B1771,MObra[DESCRIPCION],MObra[UN],,0),"")</f>
        <v>día</v>
      </c>
      <c r="D1771" s="31">
        <v>1</v>
      </c>
      <c r="E1771" s="32">
        <f>IFERROR(_xlfn.XLOOKUP($B1771,MObra[DESCRIPCION],MObra[VALOR UNIT],,0),"")</f>
        <v>314390.75089500006</v>
      </c>
      <c r="F1771" s="33">
        <v>-8</v>
      </c>
      <c r="G1771" s="34">
        <f>IFERROR(IF(F1771&gt;=0,D1771*E1771*(1+F1771/100),ABS(D1771*E1771/F1771)),"")</f>
        <v>39298.843861875008</v>
      </c>
      <c r="H1771" s="43">
        <f>IFERROR(G1771*E1755,"")</f>
        <v>0</v>
      </c>
    </row>
    <row r="1772" spans="1:11" ht="12.75" customHeight="1">
      <c r="A1772" s="28"/>
      <c r="B1772" s="29"/>
      <c r="C1772" s="30" t="str">
        <f t="array" ref="C1772">IFERROR(_xlfn.XLOOKUP(B1772,MObra[[#All],[DESCRIPCION]],MObra[[#All],[UN]],,0),"")</f>
        <v/>
      </c>
      <c r="D1772" s="31"/>
      <c r="E1772" s="32" t="str">
        <f>IFERROR(_xlfn.XLOOKUP($B1772,MObra[DESCRIPCION],MObra[VALOR UNIT],,0),"")</f>
        <v/>
      </c>
      <c r="F1772" s="33"/>
      <c r="G1772" s="34" t="str">
        <f>IFERROR(IF(F1772&gt;=0,D1772*E1772*(1+F1772/100),ABS(D1772*E1772/F1772)),"")</f>
        <v/>
      </c>
      <c r="H1772" s="43" t="str">
        <f>IFERROR(G1772*E1755,"")</f>
        <v/>
      </c>
    </row>
    <row r="1773" spans="1:11" ht="12.75" customHeight="1" thickBot="1">
      <c r="A1773" s="35"/>
      <c r="B1773" s="36"/>
      <c r="C1773" s="37" t="str">
        <f t="array" ref="C1773">IFERROR(_xlfn.XLOOKUP(B1773,MObra[[#All],[DESCRIPCION]],MObra[[#All],[UN]],,0),"")</f>
        <v/>
      </c>
      <c r="D1773" s="38"/>
      <c r="E1773" s="39" t="str">
        <f>IFERROR(_xlfn.XLOOKUP($B1773,MObra[DESCRIPCION],MObra[VALOR UNIT],,0),"")</f>
        <v/>
      </c>
      <c r="F1773" s="40"/>
      <c r="G1773" s="41" t="str">
        <f>IFERROR(IF(F1773&gt;=0,D1773*E1773*(1+F1773/100),ABS(D1773*E1773/F1773)),"")</f>
        <v/>
      </c>
      <c r="H1773" s="42" t="str">
        <f>IFERROR(G1773*E1755,"")</f>
        <v/>
      </c>
    </row>
    <row r="1774" spans="1:11" ht="12.75" customHeight="1" thickTop="1" thickBot="1"/>
    <row r="1775" spans="1:11" ht="12.75" customHeight="1" thickTop="1" thickBot="1">
      <c r="A1775" s="6" t="s">
        <v>1269</v>
      </c>
      <c r="B1775" s="7" t="str">
        <f>VLOOKUP($A1775,Presupuesto!$A:$D,2,FALSE())</f>
        <v>Reposición panel icopor D30</v>
      </c>
      <c r="C1775" s="8" t="str">
        <f>VLOOKUP($A1775,Presupuesto!$A:$D,3,FALSE())</f>
        <v>M2</v>
      </c>
      <c r="D1775" s="9"/>
      <c r="E1775" s="10">
        <f>VLOOKUP($A1775,Presupuesto!$A:$D,4,FALSE())</f>
        <v>0</v>
      </c>
      <c r="F1775" s="11" t="s">
        <v>2589</v>
      </c>
      <c r="G1775" s="12">
        <f>SUM(G1777:G1793)/2</f>
        <v>16123.084088231253</v>
      </c>
      <c r="H1775" s="13">
        <f>ROUND(SUM(H1777:H1793),0)/2</f>
        <v>0</v>
      </c>
      <c r="I1775" s="10">
        <f>VLOOKUP(A1775,Presupuesto!$A:$F,6,0)</f>
        <v>0</v>
      </c>
      <c r="J1775" s="10">
        <f>+H1775-I1775</f>
        <v>0</v>
      </c>
      <c r="K1775" s="46">
        <f>+H1775-G1775*E1775</f>
        <v>0</v>
      </c>
    </row>
    <row r="1776" spans="1:11" ht="12.75" customHeight="1" thickTop="1">
      <c r="A1776" s="14"/>
      <c r="B1776" s="15" t="s">
        <v>2586</v>
      </c>
      <c r="C1776" s="15" t="s">
        <v>5</v>
      </c>
      <c r="D1776" s="16" t="s">
        <v>6</v>
      </c>
      <c r="E1776" s="17" t="s">
        <v>7</v>
      </c>
      <c r="F1776" s="18" t="s">
        <v>3728</v>
      </c>
      <c r="G1776" s="19" t="s">
        <v>3729</v>
      </c>
      <c r="H1776" s="20" t="s">
        <v>3797</v>
      </c>
    </row>
    <row r="1777" spans="1:8" ht="12.75" customHeight="1">
      <c r="A1777" s="21"/>
      <c r="B1777" s="22" t="s">
        <v>3730</v>
      </c>
      <c r="C1777" s="23"/>
      <c r="D1777" s="24"/>
      <c r="E1777" s="25"/>
      <c r="F1777" s="26"/>
      <c r="G1777" s="27">
        <f>SUM(G1778:G1782)</f>
        <v>7084.35</v>
      </c>
      <c r="H1777" s="27">
        <f>IFERROR(G1777*E1775,"")</f>
        <v>0</v>
      </c>
    </row>
    <row r="1778" spans="1:8" ht="12.75" customHeight="1">
      <c r="A1778" s="28"/>
      <c r="B1778" s="29" t="s">
        <v>2998</v>
      </c>
      <c r="C1778" s="30" t="str">
        <f>IFERROR(_xlfn.XLOOKUP(B1778,Insumo[DESCRIPCION],Insumo[UND],,0),"")</f>
        <v>M2</v>
      </c>
      <c r="D1778" s="31">
        <v>1</v>
      </c>
      <c r="E1778" s="32">
        <f>IFERROR(_xlfn.XLOOKUP($B1778,Insumo[DESCRIPCION],Insumo[VALOR],,0),"")</f>
        <v>7084.35</v>
      </c>
      <c r="F1778" s="33"/>
      <c r="G1778" s="34">
        <f>IFERROR(IF(F1778&gt;=0,D1778*E1778*(1+F1778/100),ABS(D1778*E1778/F1778)),"")</f>
        <v>7084.35</v>
      </c>
      <c r="H1778" s="43">
        <f>IFERROR(G1778*E1775,"")</f>
        <v>0</v>
      </c>
    </row>
    <row r="1779" spans="1:8" ht="12.75" customHeight="1">
      <c r="A1779" s="28"/>
      <c r="B1779" s="29"/>
      <c r="C1779" s="30" t="str">
        <f>IFERROR(_xlfn.XLOOKUP(B1779,Insumo[DESCRIPCION],Insumo[UND],,0),"")</f>
        <v/>
      </c>
      <c r="D1779" s="31"/>
      <c r="E1779" s="32" t="str">
        <f>IFERROR(_xlfn.XLOOKUP($B1779,Insumo[DESCRIPCION],Insumo[VALOR],,0),"")</f>
        <v/>
      </c>
      <c r="F1779" s="33"/>
      <c r="G1779" s="34" t="str">
        <f>IFERROR(IF(F1779&gt;=0,D1779*E1779*(1+F1779/100),ABS(D1779*E1779/F1779)),"")</f>
        <v/>
      </c>
      <c r="H1779" s="43" t="str">
        <f>IFERROR(G1779*E1775,"")</f>
        <v/>
      </c>
    </row>
    <row r="1780" spans="1:8" ht="12.75" customHeight="1">
      <c r="A1780" s="28"/>
      <c r="B1780" s="29"/>
      <c r="C1780" s="30" t="str">
        <f>IFERROR(_xlfn.XLOOKUP(B1780,Insumo[DESCRIPCION],Insumo[UND],,0),"")</f>
        <v/>
      </c>
      <c r="D1780" s="31"/>
      <c r="E1780" s="32" t="str">
        <f>IFERROR(_xlfn.XLOOKUP($B1780,Insumo[DESCRIPCION],Insumo[VALOR],,0),"")</f>
        <v/>
      </c>
      <c r="F1780" s="33"/>
      <c r="G1780" s="34" t="str">
        <f>IFERROR(IF(F1780&gt;=0,D1780*E1780*(1+F1780/100),ABS(D1780*E1780/F1780)),"")</f>
        <v/>
      </c>
      <c r="H1780" s="43" t="str">
        <f>IFERROR(G1780*E1775,"")</f>
        <v/>
      </c>
    </row>
    <row r="1781" spans="1:8" ht="12.75" customHeight="1">
      <c r="A1781" s="28"/>
      <c r="B1781" s="29"/>
      <c r="C1781" s="30" t="str">
        <f>IFERROR(_xlfn.XLOOKUP(B1781,Insumo[DESCRIPCION],Insumo[UND],,0),"")</f>
        <v/>
      </c>
      <c r="D1781" s="31"/>
      <c r="E1781" s="32" t="str">
        <f>IFERROR(_xlfn.XLOOKUP($B1781,Insumo[DESCRIPCION],Insumo[VALOR],,0),"")</f>
        <v/>
      </c>
      <c r="F1781" s="33"/>
      <c r="G1781" s="34" t="str">
        <f>IFERROR(IF(F1781&gt;=0,D1781*E1781*(1+F1781/100),ABS(D1781*E1781/F1781)),"")</f>
        <v/>
      </c>
      <c r="H1781" s="43" t="str">
        <f>IFERROR(G1781*E1775,"")</f>
        <v/>
      </c>
    </row>
    <row r="1782" spans="1:8" ht="12.75" customHeight="1">
      <c r="A1782" s="28"/>
      <c r="B1782" s="29"/>
      <c r="C1782" s="30" t="str">
        <f>IFERROR(_xlfn.XLOOKUP(B1782,Insumo[DESCRIPCION],Insumo[UND],,0),"")</f>
        <v/>
      </c>
      <c r="D1782" s="31"/>
      <c r="E1782" s="32" t="str">
        <f>IFERROR(_xlfn.XLOOKUP($B1782,Insumo[DESCRIPCION],Insumo[VALOR],,0),"")</f>
        <v/>
      </c>
      <c r="F1782" s="33"/>
      <c r="G1782" s="34" t="str">
        <f>IFERROR(IF(F1782&gt;=0,D1782*E1782*(1+F1782/100),ABS(D1782*E1782/F1782)),"")</f>
        <v/>
      </c>
      <c r="H1782" s="43" t="str">
        <f>IFERROR(G1782*E1775,"")</f>
        <v/>
      </c>
    </row>
    <row r="1783" spans="1:8" ht="12.75" customHeight="1">
      <c r="A1783" s="21"/>
      <c r="B1783" s="22" t="s">
        <v>3731</v>
      </c>
      <c r="C1783" s="23"/>
      <c r="D1783" s="24"/>
      <c r="E1783" s="25"/>
      <c r="F1783" s="26"/>
      <c r="G1783" s="27">
        <f>SUM(G1784:G1786)</f>
        <v>1178.9653158562503</v>
      </c>
      <c r="H1783" s="44">
        <f>G1783*E1775</f>
        <v>0</v>
      </c>
    </row>
    <row r="1784" spans="1:8" ht="12.75" customHeight="1">
      <c r="A1784" s="28"/>
      <c r="B1784" s="29" t="s">
        <v>3573</v>
      </c>
      <c r="C1784" s="30" t="str">
        <f>IFERROR(_xlfn.XLOOKUP(B1784,Equipo[DESCRIPCION],Equipo[UND],,0),"")</f>
        <v>%MO</v>
      </c>
      <c r="D1784" s="31">
        <v>0.1</v>
      </c>
      <c r="E1784" s="32">
        <f>IF(C1784="%MO",G1790,IFERROR(_xlfn.XLOOKUP($B1784,Equipo[DESCRIPCION],Equipo[VALOR],,0),""))</f>
        <v>7859.7687723750014</v>
      </c>
      <c r="F1784" s="33"/>
      <c r="G1784" s="34">
        <f>IFERROR(IF(F1784&gt;=0,D1784*E1784*(1+F1784/100),ABS(D1784*E1784/F1784)),"")</f>
        <v>785.97687723750016</v>
      </c>
      <c r="H1784" s="43">
        <f>IFERROR(G1784*E1775,"")</f>
        <v>0</v>
      </c>
    </row>
    <row r="1785" spans="1:8" ht="12.75" customHeight="1">
      <c r="A1785" s="28"/>
      <c r="B1785" s="29" t="s">
        <v>3626</v>
      </c>
      <c r="C1785" s="30" t="str">
        <f>IFERROR(_xlfn.XLOOKUP(B1785,Equipo[DESCRIPCION],Equipo[UND],,0),"")</f>
        <v>%MO</v>
      </c>
      <c r="D1785" s="31">
        <v>0.05</v>
      </c>
      <c r="E1785" s="32">
        <f>IF(C1785="%MO",G1790,IFERROR(_xlfn.XLOOKUP($B1785,Equipo[DESCRIPCION],Equipo[VALOR],,0),""))</f>
        <v>7859.7687723750014</v>
      </c>
      <c r="F1785" s="33"/>
      <c r="G1785" s="34">
        <f>IFERROR(IF(F1785&gt;=0,D1785*E1785*(1+F1785/100),ABS(D1785*E1785/F1785)),"")</f>
        <v>392.98843861875008</v>
      </c>
      <c r="H1785" s="43">
        <f>IFERROR(G1785*E1775,"")</f>
        <v>0</v>
      </c>
    </row>
    <row r="1786" spans="1:8" ht="12.75" customHeight="1">
      <c r="A1786" s="28"/>
      <c r="B1786" s="29"/>
      <c r="C1786" s="30" t="str">
        <f>IFERROR(_xlfn.XLOOKUP(B1786,Equipo[DESCRIPCION],Equipo[UND],,0),"")</f>
        <v/>
      </c>
      <c r="D1786" s="31"/>
      <c r="E1786" s="32" t="str">
        <f>IF(C1786="%MO",G1790,IFERROR(_xlfn.XLOOKUP($B1786,Equipo[DESCRIPCION],Equipo[VALOR],,0),""))</f>
        <v/>
      </c>
      <c r="F1786" s="33"/>
      <c r="G1786" s="34" t="str">
        <f>IFERROR(IF(F1786&gt;=0,D1786*E1786*(1+F1786/100),ABS(D1786*E1786/F1786)),"")</f>
        <v/>
      </c>
      <c r="H1786" s="43" t="str">
        <f>IFERROR(G1786*E1775,"")</f>
        <v/>
      </c>
    </row>
    <row r="1787" spans="1:8" ht="12.75" customHeight="1">
      <c r="A1787" s="21"/>
      <c r="B1787" s="22" t="s">
        <v>2533</v>
      </c>
      <c r="C1787" s="23"/>
      <c r="D1787" s="24"/>
      <c r="E1787" s="25"/>
      <c r="F1787" s="26"/>
      <c r="G1787" s="27">
        <f>SUM(G1788:G1789)</f>
        <v>0</v>
      </c>
      <c r="H1787" s="44">
        <f>G1787*E1775</f>
        <v>0</v>
      </c>
    </row>
    <row r="1788" spans="1:8" ht="12.75" customHeight="1">
      <c r="A1788" s="28"/>
      <c r="B1788" s="29"/>
      <c r="C1788" s="30" t="str">
        <f>IFERROR(_xlfn.XLOOKUP(B1788,Transporte[DESCRIPCION],Transporte[UND],,0),"")</f>
        <v/>
      </c>
      <c r="D1788" s="31"/>
      <c r="E1788" s="32" t="str">
        <f>IFERROR(_xlfn.XLOOKUP($B1788,Transporte[DESCRIPCION],Transporte[VALOR],,0),"")</f>
        <v/>
      </c>
      <c r="F1788" s="33"/>
      <c r="G1788" s="34" t="str">
        <f>IFERROR(IF(F1788&gt;=0,D1788*E1788*(1+F1788/100),ABS(D1788*E1788/F1788)),"")</f>
        <v/>
      </c>
      <c r="H1788" s="43" t="str">
        <f>IFERROR(G1788*E1775,"")</f>
        <v/>
      </c>
    </row>
    <row r="1789" spans="1:8" ht="12.75" customHeight="1">
      <c r="A1789" s="28"/>
      <c r="B1789" s="29"/>
      <c r="C1789" s="30" t="str">
        <f>IFERROR(_xlfn.XLOOKUP(B1789,Transporte[DESCRIPCION],Transporte[UND],,0),"")</f>
        <v/>
      </c>
      <c r="D1789" s="31"/>
      <c r="E1789" s="32" t="str">
        <f>IFERROR(_xlfn.XLOOKUP($B1789,Transporte[DESCRIPCION],Transporte[VALOR],,0),"")</f>
        <v/>
      </c>
      <c r="F1789" s="33"/>
      <c r="G1789" s="34" t="str">
        <f>IFERROR(IF(F1789&gt;=0,D1789*E1789*(1+F1789/100),ABS(D1789*E1789/F1789)),"")</f>
        <v/>
      </c>
      <c r="H1789" s="43" t="str">
        <f>IFERROR(G1789*E1775,"")</f>
        <v/>
      </c>
    </row>
    <row r="1790" spans="1:8" ht="12.75" customHeight="1">
      <c r="A1790" s="21"/>
      <c r="B1790" s="22" t="s">
        <v>3732</v>
      </c>
      <c r="C1790" s="23"/>
      <c r="D1790" s="24"/>
      <c r="E1790" s="25"/>
      <c r="F1790" s="26"/>
      <c r="G1790" s="27">
        <f>SUM(G1791:G1793)</f>
        <v>7859.7687723750014</v>
      </c>
      <c r="H1790" s="44">
        <f>G1790*E1775</f>
        <v>0</v>
      </c>
    </row>
    <row r="1791" spans="1:8" ht="12.75" customHeight="1">
      <c r="A1791" s="28"/>
      <c r="B1791" s="29" t="s">
        <v>3710</v>
      </c>
      <c r="C1791" s="30" t="str">
        <f>IFERROR(_xlfn.XLOOKUP(B1791,MObra[DESCRIPCION],MObra[UN],,0),"")</f>
        <v>día</v>
      </c>
      <c r="D1791" s="31">
        <v>1</v>
      </c>
      <c r="E1791" s="32">
        <f>IFERROR(_xlfn.XLOOKUP($B1791,MObra[DESCRIPCION],MObra[VALOR UNIT],,0),"")</f>
        <v>314390.75089500006</v>
      </c>
      <c r="F1791" s="33">
        <v>-40</v>
      </c>
      <c r="G1791" s="34">
        <f>IFERROR(IF(F1791&gt;=0,D1791*E1791*(1+F1791/100),ABS(D1791*E1791/F1791)),"")</f>
        <v>7859.7687723750014</v>
      </c>
      <c r="H1791" s="43">
        <f>IFERROR(G1791*E1775,"")</f>
        <v>0</v>
      </c>
    </row>
    <row r="1792" spans="1:8" ht="12.75" customHeight="1">
      <c r="A1792" s="28"/>
      <c r="B1792" s="29"/>
      <c r="C1792" s="30" t="str">
        <f t="array" ref="C1792">IFERROR(_xlfn.XLOOKUP(B1792,MObra[[#All],[DESCRIPCION]],MObra[[#All],[UN]],,0),"")</f>
        <v/>
      </c>
      <c r="D1792" s="31"/>
      <c r="E1792" s="32" t="str">
        <f>IFERROR(_xlfn.XLOOKUP($B1792,MObra[DESCRIPCION],MObra[VALOR UNIT],,0),"")</f>
        <v/>
      </c>
      <c r="F1792" s="33"/>
      <c r="G1792" s="34" t="str">
        <f>IFERROR(IF(F1792&gt;=0,D1792*E1792*(1+F1792/100),ABS(D1792*E1792/F1792)),"")</f>
        <v/>
      </c>
      <c r="H1792" s="43" t="str">
        <f>IFERROR(G1792*E1775,"")</f>
        <v/>
      </c>
    </row>
    <row r="1793" spans="1:11" ht="12.75" customHeight="1" thickBot="1">
      <c r="A1793" s="35"/>
      <c r="B1793" s="36"/>
      <c r="C1793" s="37" t="str">
        <f t="array" ref="C1793">IFERROR(_xlfn.XLOOKUP(B1793,MObra[[#All],[DESCRIPCION]],MObra[[#All],[UN]],,0),"")</f>
        <v/>
      </c>
      <c r="D1793" s="38"/>
      <c r="E1793" s="39" t="str">
        <f>IFERROR(_xlfn.XLOOKUP($B1793,MObra[DESCRIPCION],MObra[VALOR UNIT],,0),"")</f>
        <v/>
      </c>
      <c r="F1793" s="40"/>
      <c r="G1793" s="41" t="str">
        <f>IFERROR(IF(F1793&gt;=0,D1793*E1793*(1+F1793/100),ABS(D1793*E1793/F1793)),"")</f>
        <v/>
      </c>
      <c r="H1793" s="42" t="str">
        <f>IFERROR(G1793*E1775,"")</f>
        <v/>
      </c>
    </row>
    <row r="1794" spans="1:11" ht="12.75" customHeight="1" thickTop="1" thickBot="1"/>
    <row r="1795" spans="1:11" ht="12.75" customHeight="1" thickTop="1" thickBot="1">
      <c r="A1795" s="6" t="s">
        <v>1273</v>
      </c>
      <c r="B1795" s="7" t="str">
        <f>VLOOKUP($A1795,Presupuesto!$A:$D,2,FALSE())</f>
        <v>Charquera en cerámica</v>
      </c>
      <c r="C1795" s="8" t="str">
        <f>VLOOKUP($A1795,Presupuesto!$A:$D,3,FALSE())</f>
        <v>M</v>
      </c>
      <c r="D1795" s="9"/>
      <c r="E1795" s="10">
        <f>VLOOKUP($A1795,Presupuesto!$A:$D,4,FALSE())</f>
        <v>0</v>
      </c>
      <c r="F1795" s="11" t="s">
        <v>2589</v>
      </c>
      <c r="G1795" s="12">
        <f>SUM(G1797:G1813)/2</f>
        <v>39770.772831789262</v>
      </c>
      <c r="H1795" s="13">
        <f>ROUND(SUM(H1797:H1813),0)/2</f>
        <v>0</v>
      </c>
      <c r="I1795" s="10">
        <f>VLOOKUP(A1795,Presupuesto!$A:$F,6,0)</f>
        <v>0</v>
      </c>
      <c r="J1795" s="10">
        <f>+H1795-I1795</f>
        <v>0</v>
      </c>
      <c r="K1795" s="46">
        <f>+H1795-G1795*E1795</f>
        <v>0</v>
      </c>
    </row>
    <row r="1796" spans="1:11" ht="12.75" customHeight="1" thickTop="1">
      <c r="A1796" s="14"/>
      <c r="B1796" s="15" t="s">
        <v>2586</v>
      </c>
      <c r="C1796" s="15" t="s">
        <v>5</v>
      </c>
      <c r="D1796" s="16" t="s">
        <v>6</v>
      </c>
      <c r="E1796" s="17" t="s">
        <v>7</v>
      </c>
      <c r="F1796" s="18" t="s">
        <v>3728</v>
      </c>
      <c r="G1796" s="19" t="s">
        <v>3729</v>
      </c>
      <c r="H1796" s="20" t="s">
        <v>3797</v>
      </c>
    </row>
    <row r="1797" spans="1:11" ht="12.75" customHeight="1">
      <c r="A1797" s="21"/>
      <c r="B1797" s="22" t="s">
        <v>3730</v>
      </c>
      <c r="C1797" s="23"/>
      <c r="D1797" s="24"/>
      <c r="E1797" s="25"/>
      <c r="F1797" s="26"/>
      <c r="G1797" s="27">
        <f>SUM(G1798:G1802)</f>
        <v>23265.258409801754</v>
      </c>
      <c r="H1797" s="27">
        <f>IFERROR(G1797*E1795,"")</f>
        <v>0</v>
      </c>
    </row>
    <row r="1798" spans="1:11" ht="12.75" customHeight="1">
      <c r="A1798" s="28"/>
      <c r="B1798" s="29" t="s">
        <v>2939</v>
      </c>
      <c r="C1798" s="30" t="str">
        <f>IFERROR(_xlfn.XLOOKUP(B1798,Insumo[DESCRIPCION],Insumo[UND],,0),"")</f>
        <v>M2</v>
      </c>
      <c r="D1798" s="31">
        <v>0.25</v>
      </c>
      <c r="E1798" s="32">
        <f>IFERROR(_xlfn.XLOOKUP($B1798,Insumo[DESCRIPCION],Insumo[VALOR],,0),"")</f>
        <v>45351.6</v>
      </c>
      <c r="F1798" s="33">
        <v>5</v>
      </c>
      <c r="G1798" s="34">
        <f>IFERROR(IF(F1798&gt;=0,D1798*E1798*(1+F1798/100),ABS(D1798*E1798/F1798)),"")</f>
        <v>11904.795</v>
      </c>
      <c r="H1798" s="43">
        <f>IFERROR(G1798*E1795,"")</f>
        <v>0</v>
      </c>
    </row>
    <row r="1799" spans="1:11" ht="12.75" customHeight="1">
      <c r="A1799" s="28"/>
      <c r="B1799" s="29" t="s">
        <v>3238</v>
      </c>
      <c r="C1799" s="30" t="str">
        <f>IFERROR(_xlfn.XLOOKUP(B1799,Insumo[DESCRIPCION],Insumo[UND],,0),"")</f>
        <v>M3</v>
      </c>
      <c r="D1799" s="31">
        <f>0.15*0.1</f>
        <v>1.4999999999999999E-2</v>
      </c>
      <c r="E1799" s="32">
        <f>IFERROR(_xlfn.XLOOKUP($B1799,Insumo[DESCRIPCION],Insumo[VALOR],,0),"")</f>
        <v>488900.227320117</v>
      </c>
      <c r="F1799" s="33"/>
      <c r="G1799" s="34">
        <f>IFERROR(IF(F1799&gt;=0,D1799*E1799*(1+F1799/100),ABS(D1799*E1799/F1799)),"")</f>
        <v>7333.503409801755</v>
      </c>
      <c r="H1799" s="43">
        <f>IFERROR(G1799*E1795,"")</f>
        <v>0</v>
      </c>
    </row>
    <row r="1800" spans="1:11" ht="12.75" customHeight="1">
      <c r="A1800" s="28"/>
      <c r="B1800" s="29" t="s">
        <v>3193</v>
      </c>
      <c r="C1800" s="30" t="str">
        <f>IFERROR(_xlfn.XLOOKUP(B1800,Insumo[DESCRIPCION],Insumo[UND],,0),"")</f>
        <v>Kg</v>
      </c>
      <c r="D1800" s="31">
        <v>0.3</v>
      </c>
      <c r="E1800" s="32">
        <f>IFERROR(_xlfn.XLOOKUP($B1800,Insumo[DESCRIPCION],Insumo[VALOR],,0),"")</f>
        <v>13423.2</v>
      </c>
      <c r="F1800" s="33"/>
      <c r="G1800" s="34">
        <f>IFERROR(IF(F1800&gt;=0,D1800*E1800*(1+F1800/100),ABS(D1800*E1800/F1800)),"")</f>
        <v>4026.96</v>
      </c>
      <c r="H1800" s="43">
        <f>IFERROR(G1800*E1795,"")</f>
        <v>0</v>
      </c>
    </row>
    <row r="1801" spans="1:11" ht="12.75" customHeight="1">
      <c r="A1801" s="28"/>
      <c r="B1801" s="29"/>
      <c r="C1801" s="30" t="str">
        <f>IFERROR(_xlfn.XLOOKUP(B1801,Insumo[DESCRIPCION],Insumo[UND],,0),"")</f>
        <v/>
      </c>
      <c r="D1801" s="31"/>
      <c r="E1801" s="32" t="str">
        <f>IFERROR(_xlfn.XLOOKUP($B1801,Insumo[DESCRIPCION],Insumo[VALOR],,0),"")</f>
        <v/>
      </c>
      <c r="F1801" s="33"/>
      <c r="G1801" s="34" t="str">
        <f>IFERROR(IF(F1801&gt;=0,D1801*E1801*(1+F1801/100),ABS(D1801*E1801/F1801)),"")</f>
        <v/>
      </c>
      <c r="H1801" s="43" t="str">
        <f>IFERROR(G1801*E1795,"")</f>
        <v/>
      </c>
    </row>
    <row r="1802" spans="1:11" ht="12.75" customHeight="1">
      <c r="A1802" s="28"/>
      <c r="B1802" s="29"/>
      <c r="C1802" s="30" t="str">
        <f>IFERROR(_xlfn.XLOOKUP(B1802,Insumo[DESCRIPCION],Insumo[UND],,0),"")</f>
        <v/>
      </c>
      <c r="D1802" s="31"/>
      <c r="E1802" s="32" t="str">
        <f>IFERROR(_xlfn.XLOOKUP($B1802,Insumo[DESCRIPCION],Insumo[VALOR],,0),"")</f>
        <v/>
      </c>
      <c r="F1802" s="33"/>
      <c r="G1802" s="34" t="str">
        <f>IFERROR(IF(F1802&gt;=0,D1802*E1802*(1+F1802/100),ABS(D1802*E1802/F1802)),"")</f>
        <v/>
      </c>
      <c r="H1802" s="43" t="str">
        <f>IFERROR(G1802*E1795,"")</f>
        <v/>
      </c>
    </row>
    <row r="1803" spans="1:11" ht="12.75" customHeight="1">
      <c r="A1803" s="21"/>
      <c r="B1803" s="22" t="s">
        <v>3731</v>
      </c>
      <c r="C1803" s="23"/>
      <c r="D1803" s="24"/>
      <c r="E1803" s="25"/>
      <c r="F1803" s="26"/>
      <c r="G1803" s="27">
        <f>SUM(G1804:G1806)</f>
        <v>785.97687723750016</v>
      </c>
      <c r="H1803" s="44">
        <f>G1803*E1795</f>
        <v>0</v>
      </c>
    </row>
    <row r="1804" spans="1:11" ht="12.75" customHeight="1">
      <c r="A1804" s="28"/>
      <c r="B1804" s="29" t="s">
        <v>3626</v>
      </c>
      <c r="C1804" s="30" t="str">
        <f>IFERROR(_xlfn.XLOOKUP(B1804,Equipo[DESCRIPCION],Equipo[UND],,0),"")</f>
        <v>%MO</v>
      </c>
      <c r="D1804" s="31">
        <v>0.05</v>
      </c>
      <c r="E1804" s="32">
        <f>IF(C1804="%MO",G1810,IFERROR(_xlfn.XLOOKUP($B1804,Equipo[DESCRIPCION],Equipo[VALOR],,0),""))</f>
        <v>15719.537544750003</v>
      </c>
      <c r="F1804" s="33"/>
      <c r="G1804" s="34">
        <f>IFERROR(IF(F1804&gt;=0,D1804*E1804*(1+F1804/100),ABS(D1804*E1804/F1804)),"")</f>
        <v>785.97687723750016</v>
      </c>
      <c r="H1804" s="43">
        <f>IFERROR(G1804*E1795,"")</f>
        <v>0</v>
      </c>
    </row>
    <row r="1805" spans="1:11" ht="12.75" customHeight="1">
      <c r="A1805" s="28"/>
      <c r="B1805" s="29"/>
      <c r="C1805" s="30" t="str">
        <f>IFERROR(_xlfn.XLOOKUP(B1805,Equipo[DESCRIPCION],Equipo[UND],,0),"")</f>
        <v/>
      </c>
      <c r="D1805" s="31"/>
      <c r="E1805" s="32" t="str">
        <f>IF(C1805="%MO",G1810,IFERROR(_xlfn.XLOOKUP($B1805,Equipo[DESCRIPCION],Equipo[VALOR],,0),""))</f>
        <v/>
      </c>
      <c r="F1805" s="33"/>
      <c r="G1805" s="34" t="str">
        <f>IFERROR(IF(F1805&gt;=0,D1805*E1805*(1+F1805/100),ABS(D1805*E1805/F1805)),"")</f>
        <v/>
      </c>
      <c r="H1805" s="43" t="str">
        <f>IFERROR(G1805*E1795,"")</f>
        <v/>
      </c>
    </row>
    <row r="1806" spans="1:11" ht="12.75" customHeight="1">
      <c r="A1806" s="28"/>
      <c r="B1806" s="29"/>
      <c r="C1806" s="30" t="str">
        <f>IFERROR(_xlfn.XLOOKUP(B1806,Equipo[DESCRIPCION],Equipo[UND],,0),"")</f>
        <v/>
      </c>
      <c r="D1806" s="31"/>
      <c r="E1806" s="32" t="str">
        <f>IF(C1806="%MO",G1810,IFERROR(_xlfn.XLOOKUP($B1806,Equipo[DESCRIPCION],Equipo[VALOR],,0),""))</f>
        <v/>
      </c>
      <c r="F1806" s="33"/>
      <c r="G1806" s="34" t="str">
        <f>IFERROR(IF(F1806&gt;=0,D1806*E1806*(1+F1806/100),ABS(D1806*E1806/F1806)),"")</f>
        <v/>
      </c>
      <c r="H1806" s="43" t="str">
        <f>IFERROR(G1806*E1795,"")</f>
        <v/>
      </c>
    </row>
    <row r="1807" spans="1:11" ht="12.75" customHeight="1">
      <c r="A1807" s="21"/>
      <c r="B1807" s="22" t="s">
        <v>2533</v>
      </c>
      <c r="C1807" s="23"/>
      <c r="D1807" s="24"/>
      <c r="E1807" s="25"/>
      <c r="F1807" s="26"/>
      <c r="G1807" s="27">
        <f>SUM(G1808:G1809)</f>
        <v>0</v>
      </c>
      <c r="H1807" s="44">
        <f>G1807*E1795</f>
        <v>0</v>
      </c>
    </row>
    <row r="1808" spans="1:11" ht="12.75" customHeight="1">
      <c r="A1808" s="28"/>
      <c r="B1808" s="29"/>
      <c r="C1808" s="30" t="str">
        <f>IFERROR(_xlfn.XLOOKUP(B1808,Transporte[DESCRIPCION],Transporte[UND],,0),"")</f>
        <v/>
      </c>
      <c r="D1808" s="31"/>
      <c r="E1808" s="32" t="str">
        <f>IFERROR(_xlfn.XLOOKUP($B1808,Transporte[DESCRIPCION],Transporte[VALOR],,0),"")</f>
        <v/>
      </c>
      <c r="F1808" s="33"/>
      <c r="G1808" s="34" t="str">
        <f>IFERROR(IF(F1808&gt;=0,D1808*E1808*(1+F1808/100),ABS(D1808*E1808/F1808)),"")</f>
        <v/>
      </c>
      <c r="H1808" s="43" t="str">
        <f>IFERROR(G1808*E1795,"")</f>
        <v/>
      </c>
    </row>
    <row r="1809" spans="1:11" ht="12.75" customHeight="1">
      <c r="A1809" s="28"/>
      <c r="B1809" s="29"/>
      <c r="C1809" s="30" t="str">
        <f>IFERROR(_xlfn.XLOOKUP(B1809,Transporte[DESCRIPCION],Transporte[UND],,0),"")</f>
        <v/>
      </c>
      <c r="D1809" s="31"/>
      <c r="E1809" s="32" t="str">
        <f>IFERROR(_xlfn.XLOOKUP($B1809,Transporte[DESCRIPCION],Transporte[VALOR],,0),"")</f>
        <v/>
      </c>
      <c r="F1809" s="33"/>
      <c r="G1809" s="34" t="str">
        <f>IFERROR(IF(F1809&gt;=0,D1809*E1809*(1+F1809/100),ABS(D1809*E1809/F1809)),"")</f>
        <v/>
      </c>
      <c r="H1809" s="43" t="str">
        <f>IFERROR(G1809*E1795,"")</f>
        <v/>
      </c>
    </row>
    <row r="1810" spans="1:11" ht="12.75" customHeight="1">
      <c r="A1810" s="21"/>
      <c r="B1810" s="22" t="s">
        <v>3732</v>
      </c>
      <c r="C1810" s="23"/>
      <c r="D1810" s="24"/>
      <c r="E1810" s="25"/>
      <c r="F1810" s="26"/>
      <c r="G1810" s="27">
        <f>SUM(G1811:G1813)</f>
        <v>15719.537544750003</v>
      </c>
      <c r="H1810" s="44">
        <f>G1810*E1795</f>
        <v>0</v>
      </c>
    </row>
    <row r="1811" spans="1:11" ht="12.75" customHeight="1">
      <c r="A1811" s="28"/>
      <c r="B1811" s="29" t="s">
        <v>3710</v>
      </c>
      <c r="C1811" s="30" t="str">
        <f>IFERROR(_xlfn.XLOOKUP(B1811,MObra[DESCRIPCION],MObra[UN],,0),"")</f>
        <v>día</v>
      </c>
      <c r="D1811" s="31">
        <v>1</v>
      </c>
      <c r="E1811" s="32">
        <f>IFERROR(_xlfn.XLOOKUP($B1811,MObra[DESCRIPCION],MObra[VALOR UNIT],,0),"")</f>
        <v>314390.75089500006</v>
      </c>
      <c r="F1811" s="33">
        <v>-20</v>
      </c>
      <c r="G1811" s="34">
        <f>IFERROR(IF(F1811&gt;=0,D1811*E1811*(1+F1811/100),ABS(D1811*E1811/F1811)),"")</f>
        <v>15719.537544750003</v>
      </c>
      <c r="H1811" s="43">
        <f>IFERROR(G1811*E1795,"")</f>
        <v>0</v>
      </c>
    </row>
    <row r="1812" spans="1:11" ht="12.75" customHeight="1">
      <c r="A1812" s="28"/>
      <c r="B1812" s="29"/>
      <c r="C1812" s="30" t="str">
        <f t="array" ref="C1812">IFERROR(_xlfn.XLOOKUP(B1812,MObra[[#All],[DESCRIPCION]],MObra[[#All],[UN]],,0),"")</f>
        <v/>
      </c>
      <c r="D1812" s="31"/>
      <c r="E1812" s="32" t="str">
        <f>IFERROR(_xlfn.XLOOKUP($B1812,MObra[DESCRIPCION],MObra[VALOR UNIT],,0),"")</f>
        <v/>
      </c>
      <c r="F1812" s="33"/>
      <c r="G1812" s="34" t="str">
        <f>IFERROR(IF(F1812&gt;=0,D1812*E1812*(1+F1812/100),ABS(D1812*E1812/F1812)),"")</f>
        <v/>
      </c>
      <c r="H1812" s="43" t="str">
        <f>IFERROR(G1812*E1795,"")</f>
        <v/>
      </c>
    </row>
    <row r="1813" spans="1:11" ht="12.75" customHeight="1" thickBot="1">
      <c r="A1813" s="35"/>
      <c r="B1813" s="36"/>
      <c r="C1813" s="37" t="str">
        <f t="array" ref="C1813">IFERROR(_xlfn.XLOOKUP(B1813,MObra[[#All],[DESCRIPCION]],MObra[[#All],[UN]],,0),"")</f>
        <v/>
      </c>
      <c r="D1813" s="38"/>
      <c r="E1813" s="39" t="str">
        <f>IFERROR(_xlfn.XLOOKUP($B1813,MObra[DESCRIPCION],MObra[VALOR UNIT],,0),"")</f>
        <v/>
      </c>
      <c r="F1813" s="40"/>
      <c r="G1813" s="41" t="str">
        <f>IFERROR(IF(F1813&gt;=0,D1813*E1813*(1+F1813/100),ABS(D1813*E1813/F1813)),"")</f>
        <v/>
      </c>
      <c r="H1813" s="42" t="str">
        <f>IFERROR(G1813*E1795,"")</f>
        <v/>
      </c>
    </row>
    <row r="1814" spans="1:11" ht="12.75" customHeight="1" thickTop="1" thickBot="1"/>
    <row r="1815" spans="1:11" ht="12.75" customHeight="1" thickTop="1" thickBot="1">
      <c r="A1815" s="6" t="s">
        <v>1275</v>
      </c>
      <c r="B1815" s="7" t="str">
        <f>VLOOKUP($A1815,Presupuesto!$A:$D,2,FALSE())</f>
        <v>Enchape cielo raso en cerámica</v>
      </c>
      <c r="C1815" s="8" t="str">
        <f>VLOOKUP($A1815,Presupuesto!$A:$D,3,FALSE())</f>
        <v>M2</v>
      </c>
      <c r="D1815" s="9"/>
      <c r="E1815" s="10">
        <f>VLOOKUP($A1815,Presupuesto!$A:$D,4,FALSE())</f>
        <v>0</v>
      </c>
      <c r="F1815" s="11" t="s">
        <v>2589</v>
      </c>
      <c r="G1815" s="12">
        <f>SUM(G1817:G1833)/2</f>
        <v>112692.28907560714</v>
      </c>
      <c r="H1815" s="13">
        <f>ROUND(SUM(H1817:H1833),0)/2</f>
        <v>0</v>
      </c>
      <c r="I1815" s="10">
        <f>VLOOKUP(A1815,Presupuesto!$A:$F,6,0)</f>
        <v>0</v>
      </c>
      <c r="J1815" s="10">
        <f>+H1815-I1815</f>
        <v>0</v>
      </c>
      <c r="K1815" s="46">
        <f>+H1815-G1815*E1815</f>
        <v>0</v>
      </c>
    </row>
    <row r="1816" spans="1:11" ht="12.75" customHeight="1" thickTop="1">
      <c r="A1816" s="14"/>
      <c r="B1816" s="15" t="s">
        <v>2586</v>
      </c>
      <c r="C1816" s="15" t="s">
        <v>5</v>
      </c>
      <c r="D1816" s="16" t="s">
        <v>6</v>
      </c>
      <c r="E1816" s="17" t="s">
        <v>7</v>
      </c>
      <c r="F1816" s="18" t="s">
        <v>3728</v>
      </c>
      <c r="G1816" s="19" t="s">
        <v>3729</v>
      </c>
      <c r="H1816" s="20" t="s">
        <v>3797</v>
      </c>
    </row>
    <row r="1817" spans="1:11" ht="12.75" customHeight="1">
      <c r="A1817" s="21"/>
      <c r="B1817" s="22" t="s">
        <v>3730</v>
      </c>
      <c r="C1817" s="23"/>
      <c r="D1817" s="24"/>
      <c r="E1817" s="25"/>
      <c r="F1817" s="26"/>
      <c r="G1817" s="27">
        <f>SUM(G1818:G1822)</f>
        <v>61042.380000000005</v>
      </c>
      <c r="H1817" s="27">
        <f>IFERROR(G1817*E1815,"")</f>
        <v>0</v>
      </c>
    </row>
    <row r="1818" spans="1:11" ht="12.75" customHeight="1">
      <c r="A1818" s="28"/>
      <c r="B1818" s="29" t="s">
        <v>2939</v>
      </c>
      <c r="C1818" s="30" t="str">
        <f>IFERROR(_xlfn.XLOOKUP(B1818,Insumo[DESCRIPCION],Insumo[UND],,0),"")</f>
        <v>M2</v>
      </c>
      <c r="D1818" s="31">
        <v>1</v>
      </c>
      <c r="E1818" s="32">
        <f>IFERROR(_xlfn.XLOOKUP($B1818,Insumo[DESCRIPCION],Insumo[VALOR],,0),"")</f>
        <v>45351.6</v>
      </c>
      <c r="F1818" s="33">
        <v>5</v>
      </c>
      <c r="G1818" s="34">
        <f>IFERROR(IF(F1818&gt;=0,D1818*E1818*(1+F1818/100),ABS(D1818*E1818/F1818)),"")</f>
        <v>47619.18</v>
      </c>
      <c r="H1818" s="43">
        <f>IFERROR(G1818*E1815,"")</f>
        <v>0</v>
      </c>
    </row>
    <row r="1819" spans="1:11" ht="12.75" customHeight="1">
      <c r="A1819" s="28"/>
      <c r="B1819" s="29" t="s">
        <v>3193</v>
      </c>
      <c r="C1819" s="30" t="str">
        <f>IFERROR(_xlfn.XLOOKUP(B1819,Insumo[DESCRIPCION],Insumo[UND],,0),"")</f>
        <v>Kg</v>
      </c>
      <c r="D1819" s="31">
        <v>1</v>
      </c>
      <c r="E1819" s="32">
        <f>IFERROR(_xlfn.XLOOKUP($B1819,Insumo[DESCRIPCION],Insumo[VALOR],,0),"")</f>
        <v>13423.2</v>
      </c>
      <c r="F1819" s="33"/>
      <c r="G1819" s="34">
        <f>IFERROR(IF(F1819&gt;=0,D1819*E1819*(1+F1819/100),ABS(D1819*E1819/F1819)),"")</f>
        <v>13423.2</v>
      </c>
      <c r="H1819" s="43">
        <f>IFERROR(G1819*E1815,"")</f>
        <v>0</v>
      </c>
    </row>
    <row r="1820" spans="1:11" ht="12.75" customHeight="1">
      <c r="A1820" s="28"/>
      <c r="B1820" s="29"/>
      <c r="C1820" s="30" t="str">
        <f>IFERROR(_xlfn.XLOOKUP(B1820,Insumo[DESCRIPCION],Insumo[UND],,0),"")</f>
        <v/>
      </c>
      <c r="D1820" s="31"/>
      <c r="E1820" s="32" t="str">
        <f>IFERROR(_xlfn.XLOOKUP($B1820,Insumo[DESCRIPCION],Insumo[VALOR],,0),"")</f>
        <v/>
      </c>
      <c r="F1820" s="33"/>
      <c r="G1820" s="34" t="str">
        <f>IFERROR(IF(F1820&gt;=0,D1820*E1820*(1+F1820/100),ABS(D1820*E1820/F1820)),"")</f>
        <v/>
      </c>
      <c r="H1820" s="43" t="str">
        <f>IFERROR(G1820*E1815,"")</f>
        <v/>
      </c>
    </row>
    <row r="1821" spans="1:11" ht="12.75" customHeight="1">
      <c r="A1821" s="28"/>
      <c r="B1821" s="29"/>
      <c r="C1821" s="30" t="str">
        <f>IFERROR(_xlfn.XLOOKUP(B1821,Insumo[DESCRIPCION],Insumo[UND],,0),"")</f>
        <v/>
      </c>
      <c r="D1821" s="31"/>
      <c r="E1821" s="32" t="str">
        <f>IFERROR(_xlfn.XLOOKUP($B1821,Insumo[DESCRIPCION],Insumo[VALOR],,0),"")</f>
        <v/>
      </c>
      <c r="F1821" s="33"/>
      <c r="G1821" s="34" t="str">
        <f>IFERROR(IF(F1821&gt;=0,D1821*E1821*(1+F1821/100),ABS(D1821*E1821/F1821)),"")</f>
        <v/>
      </c>
      <c r="H1821" s="43" t="str">
        <f>IFERROR(G1821*E1815,"")</f>
        <v/>
      </c>
    </row>
    <row r="1822" spans="1:11" ht="12.75" customHeight="1">
      <c r="A1822" s="28"/>
      <c r="B1822" s="29"/>
      <c r="C1822" s="30" t="str">
        <f>IFERROR(_xlfn.XLOOKUP(B1822,Insumo[DESCRIPCION],Insumo[UND],,0),"")</f>
        <v/>
      </c>
      <c r="D1822" s="31"/>
      <c r="E1822" s="32" t="str">
        <f>IFERROR(_xlfn.XLOOKUP($B1822,Insumo[DESCRIPCION],Insumo[VALOR],,0),"")</f>
        <v/>
      </c>
      <c r="F1822" s="33"/>
      <c r="G1822" s="34" t="str">
        <f>IFERROR(IF(F1822&gt;=0,D1822*E1822*(1+F1822/100),ABS(D1822*E1822/F1822)),"")</f>
        <v/>
      </c>
      <c r="H1822" s="43" t="str">
        <f>IFERROR(G1822*E1815,"")</f>
        <v/>
      </c>
    </row>
    <row r="1823" spans="1:11" ht="12.75" customHeight="1">
      <c r="A1823" s="21"/>
      <c r="B1823" s="22" t="s">
        <v>3731</v>
      </c>
      <c r="C1823" s="23"/>
      <c r="D1823" s="24"/>
      <c r="E1823" s="25"/>
      <c r="F1823" s="26"/>
      <c r="G1823" s="27">
        <f>SUM(G1824:G1826)</f>
        <v>6736.9446620357166</v>
      </c>
      <c r="H1823" s="44">
        <f>G1823*E1815</f>
        <v>0</v>
      </c>
    </row>
    <row r="1824" spans="1:11" ht="12.75" customHeight="1">
      <c r="A1824" s="28"/>
      <c r="B1824" s="29" t="s">
        <v>3573</v>
      </c>
      <c r="C1824" s="30" t="str">
        <f>IFERROR(_xlfn.XLOOKUP(B1824,Equipo[DESCRIPCION],Equipo[UND],,0),"")</f>
        <v>%MO</v>
      </c>
      <c r="D1824" s="31">
        <v>0.1</v>
      </c>
      <c r="E1824" s="32">
        <f>IF(C1824="%MO",G1830,IFERROR(_xlfn.XLOOKUP($B1824,Equipo[DESCRIPCION],Equipo[VALOR],,0),""))</f>
        <v>44912.964413571441</v>
      </c>
      <c r="F1824" s="33"/>
      <c r="G1824" s="34">
        <f>IFERROR(IF(F1824&gt;=0,D1824*E1824*(1+F1824/100),ABS(D1824*E1824/F1824)),"")</f>
        <v>4491.2964413571444</v>
      </c>
      <c r="H1824" s="43">
        <f>IFERROR(G1824*E1815,"")</f>
        <v>0</v>
      </c>
    </row>
    <row r="1825" spans="1:11" ht="12.75" customHeight="1">
      <c r="A1825" s="28"/>
      <c r="B1825" s="29" t="s">
        <v>3626</v>
      </c>
      <c r="C1825" s="30" t="str">
        <f>IFERROR(_xlfn.XLOOKUP(B1825,Equipo[DESCRIPCION],Equipo[UND],,0),"")</f>
        <v>%MO</v>
      </c>
      <c r="D1825" s="31">
        <v>0.05</v>
      </c>
      <c r="E1825" s="32">
        <f>IF(C1825="%MO",G1830,IFERROR(_xlfn.XLOOKUP($B1825,Equipo[DESCRIPCION],Equipo[VALOR],,0),""))</f>
        <v>44912.964413571441</v>
      </c>
      <c r="F1825" s="33"/>
      <c r="G1825" s="34">
        <f>IFERROR(IF(F1825&gt;=0,D1825*E1825*(1+F1825/100),ABS(D1825*E1825/F1825)),"")</f>
        <v>2245.6482206785722</v>
      </c>
      <c r="H1825" s="43">
        <f>IFERROR(G1825*E1815,"")</f>
        <v>0</v>
      </c>
    </row>
    <row r="1826" spans="1:11" ht="12.75" customHeight="1">
      <c r="A1826" s="28"/>
      <c r="B1826" s="29"/>
      <c r="C1826" s="30" t="str">
        <f>IFERROR(_xlfn.XLOOKUP(B1826,Equipo[DESCRIPCION],Equipo[UND],,0),"")</f>
        <v/>
      </c>
      <c r="D1826" s="31"/>
      <c r="E1826" s="32" t="str">
        <f>IF(C1826="%MO",G1830,IFERROR(_xlfn.XLOOKUP($B1826,Equipo[DESCRIPCION],Equipo[VALOR],,0),""))</f>
        <v/>
      </c>
      <c r="F1826" s="33"/>
      <c r="G1826" s="34" t="str">
        <f>IFERROR(IF(F1826&gt;=0,D1826*E1826*(1+F1826/100),ABS(D1826*E1826/F1826)),"")</f>
        <v/>
      </c>
      <c r="H1826" s="43" t="str">
        <f>IFERROR(G1826*E1815,"")</f>
        <v/>
      </c>
    </row>
    <row r="1827" spans="1:11" ht="12.75" customHeight="1">
      <c r="A1827" s="21"/>
      <c r="B1827" s="22" t="s">
        <v>2533</v>
      </c>
      <c r="C1827" s="23"/>
      <c r="D1827" s="24"/>
      <c r="E1827" s="25"/>
      <c r="F1827" s="26"/>
      <c r="G1827" s="27">
        <f>SUM(G1828:G1829)</f>
        <v>0</v>
      </c>
      <c r="H1827" s="44">
        <f>G1827*E1815</f>
        <v>0</v>
      </c>
    </row>
    <row r="1828" spans="1:11" ht="12.75" customHeight="1">
      <c r="A1828" s="28"/>
      <c r="B1828" s="29"/>
      <c r="C1828" s="30" t="str">
        <f>IFERROR(_xlfn.XLOOKUP(B1828,Transporte[DESCRIPCION],Transporte[UND],,0),"")</f>
        <v/>
      </c>
      <c r="D1828" s="31"/>
      <c r="E1828" s="32" t="str">
        <f>IFERROR(_xlfn.XLOOKUP($B1828,Transporte[DESCRIPCION],Transporte[VALOR],,0),"")</f>
        <v/>
      </c>
      <c r="F1828" s="33"/>
      <c r="G1828" s="34" t="str">
        <f>IFERROR(IF(F1828&gt;=0,D1828*E1828*(1+F1828/100),ABS(D1828*E1828/F1828)),"")</f>
        <v/>
      </c>
      <c r="H1828" s="43" t="str">
        <f>IFERROR(G1828*E1815,"")</f>
        <v/>
      </c>
    </row>
    <row r="1829" spans="1:11" ht="12.75" customHeight="1">
      <c r="A1829" s="28"/>
      <c r="B1829" s="29"/>
      <c r="C1829" s="30" t="str">
        <f>IFERROR(_xlfn.XLOOKUP(B1829,Transporte[DESCRIPCION],Transporte[UND],,0),"")</f>
        <v/>
      </c>
      <c r="D1829" s="31"/>
      <c r="E1829" s="32" t="str">
        <f>IFERROR(_xlfn.XLOOKUP($B1829,Transporte[DESCRIPCION],Transporte[VALOR],,0),"")</f>
        <v/>
      </c>
      <c r="F1829" s="33"/>
      <c r="G1829" s="34" t="str">
        <f>IFERROR(IF(F1829&gt;=0,D1829*E1829*(1+F1829/100),ABS(D1829*E1829/F1829)),"")</f>
        <v/>
      </c>
      <c r="H1829" s="43" t="str">
        <f>IFERROR(G1829*E1815,"")</f>
        <v/>
      </c>
    </row>
    <row r="1830" spans="1:11" ht="12.75" customHeight="1">
      <c r="A1830" s="21"/>
      <c r="B1830" s="22" t="s">
        <v>3732</v>
      </c>
      <c r="C1830" s="23"/>
      <c r="D1830" s="24"/>
      <c r="E1830" s="25"/>
      <c r="F1830" s="26"/>
      <c r="G1830" s="27">
        <f>SUM(G1831:G1833)</f>
        <v>44912.964413571441</v>
      </c>
      <c r="H1830" s="44">
        <f>G1830*E1815</f>
        <v>0</v>
      </c>
    </row>
    <row r="1831" spans="1:11" ht="12.75" customHeight="1">
      <c r="A1831" s="28"/>
      <c r="B1831" s="29" t="s">
        <v>3710</v>
      </c>
      <c r="C1831" s="30" t="str">
        <f>IFERROR(_xlfn.XLOOKUP(B1831,MObra[DESCRIPCION],MObra[UN],,0),"")</f>
        <v>día</v>
      </c>
      <c r="D1831" s="31">
        <v>1</v>
      </c>
      <c r="E1831" s="32">
        <f>IFERROR(_xlfn.XLOOKUP($B1831,MObra[DESCRIPCION],MObra[VALOR UNIT],,0),"")</f>
        <v>314390.75089500006</v>
      </c>
      <c r="F1831" s="33">
        <v>-7</v>
      </c>
      <c r="G1831" s="34">
        <f>IFERROR(IF(F1831&gt;=0,D1831*E1831*(1+F1831/100),ABS(D1831*E1831/F1831)),"")</f>
        <v>44912.964413571441</v>
      </c>
      <c r="H1831" s="43">
        <f>IFERROR(G1831*E1815,"")</f>
        <v>0</v>
      </c>
    </row>
    <row r="1832" spans="1:11" ht="12.75" customHeight="1">
      <c r="A1832" s="28"/>
      <c r="B1832" s="29"/>
      <c r="C1832" s="30" t="str">
        <f t="array" ref="C1832">IFERROR(_xlfn.XLOOKUP(B1832,MObra[[#All],[DESCRIPCION]],MObra[[#All],[UN]],,0),"")</f>
        <v/>
      </c>
      <c r="D1832" s="31"/>
      <c r="E1832" s="32" t="str">
        <f>IFERROR(_xlfn.XLOOKUP($B1832,MObra[DESCRIPCION],MObra[VALOR UNIT],,0),"")</f>
        <v/>
      </c>
      <c r="F1832" s="33"/>
      <c r="G1832" s="34" t="str">
        <f>IFERROR(IF(F1832&gt;=0,D1832*E1832*(1+F1832/100),ABS(D1832*E1832/F1832)),"")</f>
        <v/>
      </c>
      <c r="H1832" s="43" t="str">
        <f>IFERROR(G1832*E1815,"")</f>
        <v/>
      </c>
    </row>
    <row r="1833" spans="1:11" ht="12.75" customHeight="1" thickBot="1">
      <c r="A1833" s="35"/>
      <c r="B1833" s="36"/>
      <c r="C1833" s="37" t="str">
        <f t="array" ref="C1833">IFERROR(_xlfn.XLOOKUP(B1833,MObra[[#All],[DESCRIPCION]],MObra[[#All],[UN]],,0),"")</f>
        <v/>
      </c>
      <c r="D1833" s="38"/>
      <c r="E1833" s="39" t="str">
        <f>IFERROR(_xlfn.XLOOKUP($B1833,MObra[DESCRIPCION],MObra[VALOR UNIT],,0),"")</f>
        <v/>
      </c>
      <c r="F1833" s="40"/>
      <c r="G1833" s="41" t="str">
        <f>IFERROR(IF(F1833&gt;=0,D1833*E1833*(1+F1833/100),ABS(D1833*E1833/F1833)),"")</f>
        <v/>
      </c>
      <c r="H1833" s="42" t="str">
        <f>IFERROR(G1833*E1815,"")</f>
        <v/>
      </c>
    </row>
    <row r="1834" spans="1:11" ht="12.75" customHeight="1" thickTop="1" thickBot="1"/>
    <row r="1835" spans="1:11" ht="12.75" customHeight="1" thickTop="1" thickBot="1">
      <c r="A1835" s="6" t="s">
        <v>1277</v>
      </c>
      <c r="B1835" s="7" t="str">
        <f>VLOOKUP($A1835,Presupuesto!$A:$D,2,FALSE())</f>
        <v>Enchape muro en cerámica</v>
      </c>
      <c r="C1835" s="8" t="str">
        <f>VLOOKUP($A1835,Presupuesto!$A:$D,3,FALSE())</f>
        <v>M2</v>
      </c>
      <c r="D1835" s="9"/>
      <c r="E1835" s="10">
        <f>VLOOKUP($A1835,Presupuesto!$A:$D,4,FALSE())</f>
        <v>0</v>
      </c>
      <c r="F1835" s="11" t="s">
        <v>2589</v>
      </c>
      <c r="G1835" s="12">
        <f>SUM(G1837:G1853)/2</f>
        <v>94252.246054968768</v>
      </c>
      <c r="H1835" s="13">
        <f>ROUND(SUM(H1837:H1853),0)/2</f>
        <v>0</v>
      </c>
      <c r="I1835" s="10">
        <f>VLOOKUP(A1835,Presupuesto!$A:$F,6,0)</f>
        <v>0</v>
      </c>
      <c r="J1835" s="10">
        <f>+H1835-I1835</f>
        <v>0</v>
      </c>
      <c r="K1835" s="46">
        <f>+H1835-G1835*E1835</f>
        <v>0</v>
      </c>
    </row>
    <row r="1836" spans="1:11" ht="12.75" customHeight="1" thickTop="1">
      <c r="A1836" s="14"/>
      <c r="B1836" s="15" t="s">
        <v>2586</v>
      </c>
      <c r="C1836" s="15" t="s">
        <v>5</v>
      </c>
      <c r="D1836" s="16" t="s">
        <v>6</v>
      </c>
      <c r="E1836" s="17" t="s">
        <v>7</v>
      </c>
      <c r="F1836" s="18" t="s">
        <v>3728</v>
      </c>
      <c r="G1836" s="19" t="s">
        <v>3729</v>
      </c>
      <c r="H1836" s="20" t="s">
        <v>3797</v>
      </c>
    </row>
    <row r="1837" spans="1:11" ht="12.75" customHeight="1">
      <c r="A1837" s="21"/>
      <c r="B1837" s="22" t="s">
        <v>3730</v>
      </c>
      <c r="C1837" s="23"/>
      <c r="D1837" s="24"/>
      <c r="E1837" s="25"/>
      <c r="F1837" s="26"/>
      <c r="G1837" s="27">
        <f>SUM(G1838:G1842)</f>
        <v>52988.46</v>
      </c>
      <c r="H1837" s="27">
        <f>IFERROR(G1837*E1835,"")</f>
        <v>0</v>
      </c>
    </row>
    <row r="1838" spans="1:11" ht="12.75" customHeight="1">
      <c r="A1838" s="28"/>
      <c r="B1838" s="29" t="s">
        <v>2939</v>
      </c>
      <c r="C1838" s="30" t="str">
        <f>IFERROR(_xlfn.XLOOKUP(B1838,Insumo[DESCRIPCION],Insumo[UND],,0),"")</f>
        <v>M2</v>
      </c>
      <c r="D1838" s="31">
        <v>1</v>
      </c>
      <c r="E1838" s="32">
        <f>IFERROR(_xlfn.XLOOKUP($B1838,Insumo[DESCRIPCION],Insumo[VALOR],,0),"")</f>
        <v>45351.6</v>
      </c>
      <c r="F1838" s="33">
        <v>5</v>
      </c>
      <c r="G1838" s="34">
        <f>IFERROR(IF(F1838&gt;=0,D1838*E1838*(1+F1838/100),ABS(D1838*E1838/F1838)),"")</f>
        <v>47619.18</v>
      </c>
      <c r="H1838" s="43">
        <f>IFERROR(G1838*E1835,"")</f>
        <v>0</v>
      </c>
    </row>
    <row r="1839" spans="1:11" ht="12.75" customHeight="1">
      <c r="A1839" s="28"/>
      <c r="B1839" s="29" t="s">
        <v>3193</v>
      </c>
      <c r="C1839" s="30" t="str">
        <f>IFERROR(_xlfn.XLOOKUP(B1839,Insumo[DESCRIPCION],Insumo[UND],,0),"")</f>
        <v>Kg</v>
      </c>
      <c r="D1839" s="31">
        <v>0.4</v>
      </c>
      <c r="E1839" s="32">
        <f>IFERROR(_xlfn.XLOOKUP($B1839,Insumo[DESCRIPCION],Insumo[VALOR],,0),"")</f>
        <v>13423.2</v>
      </c>
      <c r="F1839" s="33"/>
      <c r="G1839" s="34">
        <f>IFERROR(IF(F1839&gt;=0,D1839*E1839*(1+F1839/100),ABS(D1839*E1839/F1839)),"")</f>
        <v>5369.2800000000007</v>
      </c>
      <c r="H1839" s="43">
        <f>IFERROR(G1839*E1835,"")</f>
        <v>0</v>
      </c>
    </row>
    <row r="1840" spans="1:11" ht="12.75" customHeight="1">
      <c r="A1840" s="28"/>
      <c r="B1840" s="29"/>
      <c r="C1840" s="30" t="str">
        <f>IFERROR(_xlfn.XLOOKUP(B1840,Insumo[DESCRIPCION],Insumo[UND],,0),"")</f>
        <v/>
      </c>
      <c r="D1840" s="31"/>
      <c r="E1840" s="32" t="str">
        <f>IFERROR(_xlfn.XLOOKUP($B1840,Insumo[DESCRIPCION],Insumo[VALOR],,0),"")</f>
        <v/>
      </c>
      <c r="F1840" s="33"/>
      <c r="G1840" s="34" t="str">
        <f>IFERROR(IF(F1840&gt;=0,D1840*E1840*(1+F1840/100),ABS(D1840*E1840/F1840)),"")</f>
        <v/>
      </c>
      <c r="H1840" s="43" t="str">
        <f>IFERROR(G1840*E1835,"")</f>
        <v/>
      </c>
    </row>
    <row r="1841" spans="1:11" ht="12.75" customHeight="1">
      <c r="A1841" s="28"/>
      <c r="B1841" s="29"/>
      <c r="C1841" s="30" t="str">
        <f>IFERROR(_xlfn.XLOOKUP(B1841,Insumo[DESCRIPCION],Insumo[UND],,0),"")</f>
        <v/>
      </c>
      <c r="D1841" s="31"/>
      <c r="E1841" s="32" t="str">
        <f>IFERROR(_xlfn.XLOOKUP($B1841,Insumo[DESCRIPCION],Insumo[VALOR],,0),"")</f>
        <v/>
      </c>
      <c r="F1841" s="33"/>
      <c r="G1841" s="34" t="str">
        <f>IFERROR(IF(F1841&gt;=0,D1841*E1841*(1+F1841/100),ABS(D1841*E1841/F1841)),"")</f>
        <v/>
      </c>
      <c r="H1841" s="43" t="str">
        <f>IFERROR(G1841*E1835,"")</f>
        <v/>
      </c>
    </row>
    <row r="1842" spans="1:11" ht="12.75" customHeight="1">
      <c r="A1842" s="28"/>
      <c r="B1842" s="29"/>
      <c r="C1842" s="30" t="str">
        <f>IFERROR(_xlfn.XLOOKUP(B1842,Insumo[DESCRIPCION],Insumo[UND],,0),"")</f>
        <v/>
      </c>
      <c r="D1842" s="31"/>
      <c r="E1842" s="32" t="str">
        <f>IFERROR(_xlfn.XLOOKUP($B1842,Insumo[DESCRIPCION],Insumo[VALOR],,0),"")</f>
        <v/>
      </c>
      <c r="F1842" s="33"/>
      <c r="G1842" s="34" t="str">
        <f>IFERROR(IF(F1842&gt;=0,D1842*E1842*(1+F1842/100),ABS(D1842*E1842/F1842)),"")</f>
        <v/>
      </c>
      <c r="H1842" s="43" t="str">
        <f>IFERROR(G1842*E1835,"")</f>
        <v/>
      </c>
    </row>
    <row r="1843" spans="1:11" ht="12.75" customHeight="1">
      <c r="A1843" s="21"/>
      <c r="B1843" s="22" t="s">
        <v>3731</v>
      </c>
      <c r="C1843" s="23"/>
      <c r="D1843" s="24"/>
      <c r="E1843" s="25"/>
      <c r="F1843" s="26"/>
      <c r="G1843" s="27">
        <f>SUM(G1844:G1846)</f>
        <v>1964.9421930937506</v>
      </c>
      <c r="H1843" s="44">
        <f>G1843*E1835</f>
        <v>0</v>
      </c>
    </row>
    <row r="1844" spans="1:11" ht="12.75" customHeight="1">
      <c r="A1844" s="28"/>
      <c r="B1844" s="29" t="s">
        <v>3626</v>
      </c>
      <c r="C1844" s="30" t="str">
        <f>IFERROR(_xlfn.XLOOKUP(B1844,Equipo[DESCRIPCION],Equipo[UND],,0),"")</f>
        <v>%MO</v>
      </c>
      <c r="D1844" s="31">
        <v>0.05</v>
      </c>
      <c r="E1844" s="32">
        <f>IF(C1844="%MO",G1850,IFERROR(_xlfn.XLOOKUP($B1844,Equipo[DESCRIPCION],Equipo[VALOR],,0),""))</f>
        <v>39298.843861875008</v>
      </c>
      <c r="F1844" s="33"/>
      <c r="G1844" s="34">
        <f>IFERROR(IF(F1844&gt;=0,D1844*E1844*(1+F1844/100),ABS(D1844*E1844/F1844)),"")</f>
        <v>1964.9421930937506</v>
      </c>
      <c r="H1844" s="43">
        <f>IFERROR(G1844*E1835,"")</f>
        <v>0</v>
      </c>
    </row>
    <row r="1845" spans="1:11" ht="12.75" customHeight="1">
      <c r="A1845" s="28"/>
      <c r="B1845" s="29"/>
      <c r="C1845" s="30" t="str">
        <f>IFERROR(_xlfn.XLOOKUP(B1845,Equipo[DESCRIPCION],Equipo[UND],,0),"")</f>
        <v/>
      </c>
      <c r="D1845" s="31"/>
      <c r="E1845" s="32" t="str">
        <f>IF(C1845="%MO",G1850,IFERROR(_xlfn.XLOOKUP($B1845,Equipo[DESCRIPCION],Equipo[VALOR],,0),""))</f>
        <v/>
      </c>
      <c r="F1845" s="33"/>
      <c r="G1845" s="34" t="str">
        <f>IFERROR(IF(F1845&gt;=0,D1845*E1845*(1+F1845/100),ABS(D1845*E1845/F1845)),"")</f>
        <v/>
      </c>
      <c r="H1845" s="43" t="str">
        <f>IFERROR(G1845*E1835,"")</f>
        <v/>
      </c>
    </row>
    <row r="1846" spans="1:11" ht="12.75" customHeight="1">
      <c r="A1846" s="28"/>
      <c r="B1846" s="29"/>
      <c r="C1846" s="30" t="str">
        <f>IFERROR(_xlfn.XLOOKUP(B1846,Equipo[DESCRIPCION],Equipo[UND],,0),"")</f>
        <v/>
      </c>
      <c r="D1846" s="31"/>
      <c r="E1846" s="32" t="str">
        <f>IF(C1846="%MO",G1850,IFERROR(_xlfn.XLOOKUP($B1846,Equipo[DESCRIPCION],Equipo[VALOR],,0),""))</f>
        <v/>
      </c>
      <c r="F1846" s="33"/>
      <c r="G1846" s="34" t="str">
        <f>IFERROR(IF(F1846&gt;=0,D1846*E1846*(1+F1846/100),ABS(D1846*E1846/F1846)),"")</f>
        <v/>
      </c>
      <c r="H1846" s="43" t="str">
        <f>IFERROR(G1846*E1835,"")</f>
        <v/>
      </c>
    </row>
    <row r="1847" spans="1:11" ht="12.75" customHeight="1">
      <c r="A1847" s="21"/>
      <c r="B1847" s="22" t="s">
        <v>2533</v>
      </c>
      <c r="C1847" s="23"/>
      <c r="D1847" s="24"/>
      <c r="E1847" s="25"/>
      <c r="F1847" s="26"/>
      <c r="G1847" s="27">
        <f>SUM(G1848:G1849)</f>
        <v>0</v>
      </c>
      <c r="H1847" s="44">
        <f>G1847*E1835</f>
        <v>0</v>
      </c>
    </row>
    <row r="1848" spans="1:11" ht="12.75" customHeight="1">
      <c r="A1848" s="28"/>
      <c r="B1848" s="29"/>
      <c r="C1848" s="30" t="str">
        <f>IFERROR(_xlfn.XLOOKUP(B1848,Transporte[DESCRIPCION],Transporte[UND],,0),"")</f>
        <v/>
      </c>
      <c r="D1848" s="31"/>
      <c r="E1848" s="32" t="str">
        <f>IFERROR(_xlfn.XLOOKUP($B1848,Transporte[DESCRIPCION],Transporte[VALOR],,0),"")</f>
        <v/>
      </c>
      <c r="F1848" s="33"/>
      <c r="G1848" s="34" t="str">
        <f>IFERROR(IF(F1848&gt;=0,D1848*E1848*(1+F1848/100),ABS(D1848*E1848/F1848)),"")</f>
        <v/>
      </c>
      <c r="H1848" s="43" t="str">
        <f>IFERROR(G1848*E1835,"")</f>
        <v/>
      </c>
    </row>
    <row r="1849" spans="1:11" ht="12.75" customHeight="1">
      <c r="A1849" s="28"/>
      <c r="B1849" s="29"/>
      <c r="C1849" s="30" t="str">
        <f>IFERROR(_xlfn.XLOOKUP(B1849,Transporte[DESCRIPCION],Transporte[UND],,0),"")</f>
        <v/>
      </c>
      <c r="D1849" s="31"/>
      <c r="E1849" s="32" t="str">
        <f>IFERROR(_xlfn.XLOOKUP($B1849,Transporte[DESCRIPCION],Transporte[VALOR],,0),"")</f>
        <v/>
      </c>
      <c r="F1849" s="33"/>
      <c r="G1849" s="34" t="str">
        <f>IFERROR(IF(F1849&gt;=0,D1849*E1849*(1+F1849/100),ABS(D1849*E1849/F1849)),"")</f>
        <v/>
      </c>
      <c r="H1849" s="43" t="str">
        <f>IFERROR(G1849*E1835,"")</f>
        <v/>
      </c>
    </row>
    <row r="1850" spans="1:11" ht="12.75" customHeight="1">
      <c r="A1850" s="21"/>
      <c r="B1850" s="22" t="s">
        <v>3732</v>
      </c>
      <c r="C1850" s="23"/>
      <c r="D1850" s="24"/>
      <c r="E1850" s="25"/>
      <c r="F1850" s="26"/>
      <c r="G1850" s="27">
        <f>SUM(G1851:G1853)</f>
        <v>39298.843861875008</v>
      </c>
      <c r="H1850" s="44">
        <f>G1850*E1835</f>
        <v>0</v>
      </c>
    </row>
    <row r="1851" spans="1:11" ht="12.75" customHeight="1">
      <c r="A1851" s="28"/>
      <c r="B1851" s="29" t="s">
        <v>3710</v>
      </c>
      <c r="C1851" s="30" t="str">
        <f>IFERROR(_xlfn.XLOOKUP(B1851,MObra[DESCRIPCION],MObra[UN],,0),"")</f>
        <v>día</v>
      </c>
      <c r="D1851" s="31">
        <v>1</v>
      </c>
      <c r="E1851" s="32">
        <f>IFERROR(_xlfn.XLOOKUP($B1851,MObra[DESCRIPCION],MObra[VALOR UNIT],,0),"")</f>
        <v>314390.75089500006</v>
      </c>
      <c r="F1851" s="33">
        <v>-8</v>
      </c>
      <c r="G1851" s="34">
        <f>IFERROR(IF(F1851&gt;=0,D1851*E1851*(1+F1851/100),ABS(D1851*E1851/F1851)),"")</f>
        <v>39298.843861875008</v>
      </c>
      <c r="H1851" s="43">
        <f>IFERROR(G1851*E1835,"")</f>
        <v>0</v>
      </c>
    </row>
    <row r="1852" spans="1:11" ht="12.75" customHeight="1">
      <c r="A1852" s="28"/>
      <c r="B1852" s="29"/>
      <c r="C1852" s="30" t="str">
        <f t="array" ref="C1852">IFERROR(_xlfn.XLOOKUP(B1852,MObra[[#All],[DESCRIPCION]],MObra[[#All],[UN]],,0),"")</f>
        <v/>
      </c>
      <c r="D1852" s="31"/>
      <c r="E1852" s="32" t="str">
        <f>IFERROR(_xlfn.XLOOKUP($B1852,MObra[DESCRIPCION],MObra[VALOR UNIT],,0),"")</f>
        <v/>
      </c>
      <c r="F1852" s="33"/>
      <c r="G1852" s="34" t="str">
        <f>IFERROR(IF(F1852&gt;=0,D1852*E1852*(1+F1852/100),ABS(D1852*E1852/F1852)),"")</f>
        <v/>
      </c>
      <c r="H1852" s="43" t="str">
        <f>IFERROR(G1852*E1835,"")</f>
        <v/>
      </c>
    </row>
    <row r="1853" spans="1:11" ht="12.75" customHeight="1" thickBot="1">
      <c r="A1853" s="35"/>
      <c r="B1853" s="36"/>
      <c r="C1853" s="37" t="str">
        <f t="array" ref="C1853">IFERROR(_xlfn.XLOOKUP(B1853,MObra[[#All],[DESCRIPCION]],MObra[[#All],[UN]],,0),"")</f>
        <v/>
      </c>
      <c r="D1853" s="38"/>
      <c r="E1853" s="39" t="str">
        <f>IFERROR(_xlfn.XLOOKUP($B1853,MObra[DESCRIPCION],MObra[VALOR UNIT],,0),"")</f>
        <v/>
      </c>
      <c r="F1853" s="40"/>
      <c r="G1853" s="41" t="str">
        <f>IFERROR(IF(F1853&gt;=0,D1853*E1853*(1+F1853/100),ABS(D1853*E1853/F1853)),"")</f>
        <v/>
      </c>
      <c r="H1853" s="42" t="str">
        <f>IFERROR(G1853*E1835,"")</f>
        <v/>
      </c>
    </row>
    <row r="1854" spans="1:11" ht="12.75" customHeight="1" thickTop="1" thickBot="1"/>
    <row r="1855" spans="1:11" ht="12.75" customHeight="1" thickTop="1" thickBot="1">
      <c r="A1855" s="6" t="s">
        <v>1279</v>
      </c>
      <c r="B1855" s="7" t="str">
        <f>VLOOKUP($A1855,Presupuesto!$A:$D,2,FALSE())</f>
        <v>Enchape muro en piedra</v>
      </c>
      <c r="C1855" s="8" t="str">
        <f>VLOOKUP($A1855,Presupuesto!$A:$D,3,FALSE())</f>
        <v>M2</v>
      </c>
      <c r="D1855" s="9"/>
      <c r="E1855" s="10">
        <f>VLOOKUP($A1855,Presupuesto!$A:$D,4,FALSE())</f>
        <v>0</v>
      </c>
      <c r="F1855" s="11" t="s">
        <v>2589</v>
      </c>
      <c r="G1855" s="12">
        <f>SUM(G1857:G1873)/2</f>
        <v>156466.86140662504</v>
      </c>
      <c r="H1855" s="13">
        <f>ROUND(SUM(H1857:H1873),0)/2</f>
        <v>0</v>
      </c>
      <c r="I1855" s="10">
        <f>VLOOKUP(A1855,Presupuesto!$A:$F,6,0)</f>
        <v>0</v>
      </c>
      <c r="J1855" s="10">
        <f>+H1855-I1855</f>
        <v>0</v>
      </c>
      <c r="K1855" s="46">
        <f>+H1855-G1855*E1855</f>
        <v>0</v>
      </c>
    </row>
    <row r="1856" spans="1:11" ht="12.75" customHeight="1" thickTop="1">
      <c r="A1856" s="14"/>
      <c r="B1856" s="15" t="s">
        <v>2586</v>
      </c>
      <c r="C1856" s="15" t="s">
        <v>5</v>
      </c>
      <c r="D1856" s="16" t="s">
        <v>6</v>
      </c>
      <c r="E1856" s="17" t="s">
        <v>7</v>
      </c>
      <c r="F1856" s="18" t="s">
        <v>3728</v>
      </c>
      <c r="G1856" s="19" t="s">
        <v>3729</v>
      </c>
      <c r="H1856" s="20" t="s">
        <v>3797</v>
      </c>
    </row>
    <row r="1857" spans="1:8" ht="12.75" customHeight="1">
      <c r="A1857" s="21"/>
      <c r="B1857" s="22" t="s">
        <v>3730</v>
      </c>
      <c r="C1857" s="23"/>
      <c r="D1857" s="24"/>
      <c r="E1857" s="25"/>
      <c r="F1857" s="26"/>
      <c r="G1857" s="27">
        <f>SUM(G1858:G1862)</f>
        <v>101448.48000000001</v>
      </c>
      <c r="H1857" s="27">
        <f>IFERROR(G1857*E1855,"")</f>
        <v>0</v>
      </c>
    </row>
    <row r="1858" spans="1:8" ht="12.75" customHeight="1">
      <c r="A1858" s="28"/>
      <c r="B1858" s="29" t="s">
        <v>3202</v>
      </c>
      <c r="C1858" s="30" t="str">
        <f>IFERROR(_xlfn.XLOOKUP(B1858,Insumo[DESCRIPCION],Insumo[UND],,0),"")</f>
        <v>M2</v>
      </c>
      <c r="D1858" s="31">
        <v>1</v>
      </c>
      <c r="E1858" s="32">
        <f>IFERROR(_xlfn.XLOOKUP($B1858,Insumo[DESCRIPCION],Insumo[VALOR],,0),"")</f>
        <v>77582.400000000009</v>
      </c>
      <c r="F1858" s="33">
        <v>10</v>
      </c>
      <c r="G1858" s="34">
        <f>IFERROR(IF(F1858&gt;=0,D1858*E1858*(1+F1858/100),ABS(D1858*E1858/F1858)),"")</f>
        <v>85340.640000000014</v>
      </c>
      <c r="H1858" s="43">
        <f>IFERROR(G1858*E1855,"")</f>
        <v>0</v>
      </c>
    </row>
    <row r="1859" spans="1:8" ht="12.75" customHeight="1">
      <c r="A1859" s="28"/>
      <c r="B1859" s="29" t="s">
        <v>3193</v>
      </c>
      <c r="C1859" s="30" t="str">
        <f>IFERROR(_xlfn.XLOOKUP(B1859,Insumo[DESCRIPCION],Insumo[UND],,0),"")</f>
        <v>Kg</v>
      </c>
      <c r="D1859" s="31">
        <v>1.2</v>
      </c>
      <c r="E1859" s="32">
        <f>IFERROR(_xlfn.XLOOKUP($B1859,Insumo[DESCRIPCION],Insumo[VALOR],,0),"")</f>
        <v>13423.2</v>
      </c>
      <c r="F1859" s="33"/>
      <c r="G1859" s="34">
        <f>IFERROR(IF(F1859&gt;=0,D1859*E1859*(1+F1859/100),ABS(D1859*E1859/F1859)),"")</f>
        <v>16107.84</v>
      </c>
      <c r="H1859" s="43">
        <f>IFERROR(G1859*E1855,"")</f>
        <v>0</v>
      </c>
    </row>
    <row r="1860" spans="1:8" ht="12.75" customHeight="1">
      <c r="A1860" s="28"/>
      <c r="B1860" s="29"/>
      <c r="C1860" s="30" t="str">
        <f>IFERROR(_xlfn.XLOOKUP(B1860,Insumo[DESCRIPCION],Insumo[UND],,0),"")</f>
        <v/>
      </c>
      <c r="D1860" s="31"/>
      <c r="E1860" s="32" t="str">
        <f>IFERROR(_xlfn.XLOOKUP($B1860,Insumo[DESCRIPCION],Insumo[VALOR],,0),"")</f>
        <v/>
      </c>
      <c r="F1860" s="33"/>
      <c r="G1860" s="34" t="str">
        <f>IFERROR(IF(F1860&gt;=0,D1860*E1860*(1+F1860/100),ABS(D1860*E1860/F1860)),"")</f>
        <v/>
      </c>
      <c r="H1860" s="43" t="str">
        <f>IFERROR(G1860*E1855,"")</f>
        <v/>
      </c>
    </row>
    <row r="1861" spans="1:8" ht="12.75" customHeight="1">
      <c r="A1861" s="28"/>
      <c r="B1861" s="29"/>
      <c r="C1861" s="30" t="str">
        <f>IFERROR(_xlfn.XLOOKUP(B1861,Insumo[DESCRIPCION],Insumo[UND],,0),"")</f>
        <v/>
      </c>
      <c r="D1861" s="31"/>
      <c r="E1861" s="32" t="str">
        <f>IFERROR(_xlfn.XLOOKUP($B1861,Insumo[DESCRIPCION],Insumo[VALOR],,0),"")</f>
        <v/>
      </c>
      <c r="F1861" s="33"/>
      <c r="G1861" s="34" t="str">
        <f>IFERROR(IF(F1861&gt;=0,D1861*E1861*(1+F1861/100),ABS(D1861*E1861/F1861)),"")</f>
        <v/>
      </c>
      <c r="H1861" s="43" t="str">
        <f>IFERROR(G1861*E1855,"")</f>
        <v/>
      </c>
    </row>
    <row r="1862" spans="1:8" ht="12.75" customHeight="1">
      <c r="A1862" s="28"/>
      <c r="B1862" s="29"/>
      <c r="C1862" s="30" t="str">
        <f>IFERROR(_xlfn.XLOOKUP(B1862,Insumo[DESCRIPCION],Insumo[UND],,0),"")</f>
        <v/>
      </c>
      <c r="D1862" s="31"/>
      <c r="E1862" s="32" t="str">
        <f>IFERROR(_xlfn.XLOOKUP($B1862,Insumo[DESCRIPCION],Insumo[VALOR],,0),"")</f>
        <v/>
      </c>
      <c r="F1862" s="33"/>
      <c r="G1862" s="34" t="str">
        <f>IFERROR(IF(F1862&gt;=0,D1862*E1862*(1+F1862/100),ABS(D1862*E1862/F1862)),"")</f>
        <v/>
      </c>
      <c r="H1862" s="43" t="str">
        <f>IFERROR(G1862*E1855,"")</f>
        <v/>
      </c>
    </row>
    <row r="1863" spans="1:8" ht="12.75" customHeight="1">
      <c r="A1863" s="21"/>
      <c r="B1863" s="22" t="s">
        <v>3731</v>
      </c>
      <c r="C1863" s="23"/>
      <c r="D1863" s="24"/>
      <c r="E1863" s="25"/>
      <c r="F1863" s="26"/>
      <c r="G1863" s="27">
        <f>SUM(G1864:G1866)</f>
        <v>2619.9229241250009</v>
      </c>
      <c r="H1863" s="44">
        <f>G1863*E1855</f>
        <v>0</v>
      </c>
    </row>
    <row r="1864" spans="1:8" ht="12.75" customHeight="1">
      <c r="A1864" s="28"/>
      <c r="B1864" s="29" t="s">
        <v>3626</v>
      </c>
      <c r="C1864" s="30" t="str">
        <f>IFERROR(_xlfn.XLOOKUP(B1864,Equipo[DESCRIPCION],Equipo[UND],,0),"")</f>
        <v>%MO</v>
      </c>
      <c r="D1864" s="31">
        <v>0.05</v>
      </c>
      <c r="E1864" s="32">
        <f>IF(C1864="%MO",G1870,IFERROR(_xlfn.XLOOKUP($B1864,Equipo[DESCRIPCION],Equipo[VALOR],,0),""))</f>
        <v>52398.458482500013</v>
      </c>
      <c r="F1864" s="33"/>
      <c r="G1864" s="34">
        <f>IFERROR(IF(F1864&gt;=0,D1864*E1864*(1+F1864/100),ABS(D1864*E1864/F1864)),"")</f>
        <v>2619.9229241250009</v>
      </c>
      <c r="H1864" s="43">
        <f>IFERROR(G1864*E1855,"")</f>
        <v>0</v>
      </c>
    </row>
    <row r="1865" spans="1:8" ht="12.75" customHeight="1">
      <c r="A1865" s="28"/>
      <c r="B1865" s="29"/>
      <c r="C1865" s="30" t="str">
        <f>IFERROR(_xlfn.XLOOKUP(B1865,Equipo[DESCRIPCION],Equipo[UND],,0),"")</f>
        <v/>
      </c>
      <c r="D1865" s="31"/>
      <c r="E1865" s="32" t="str">
        <f>IF(C1865="%MO",G1870,IFERROR(_xlfn.XLOOKUP($B1865,Equipo[DESCRIPCION],Equipo[VALOR],,0),""))</f>
        <v/>
      </c>
      <c r="F1865" s="33"/>
      <c r="G1865" s="34" t="str">
        <f>IFERROR(IF(F1865&gt;=0,D1865*E1865*(1+F1865/100),ABS(D1865*E1865/F1865)),"")</f>
        <v/>
      </c>
      <c r="H1865" s="43" t="str">
        <f>IFERROR(G1865*E1855,"")</f>
        <v/>
      </c>
    </row>
    <row r="1866" spans="1:8" ht="12.75" customHeight="1">
      <c r="A1866" s="28"/>
      <c r="B1866" s="29"/>
      <c r="C1866" s="30" t="str">
        <f>IFERROR(_xlfn.XLOOKUP(B1866,Equipo[DESCRIPCION],Equipo[UND],,0),"")</f>
        <v/>
      </c>
      <c r="D1866" s="31"/>
      <c r="E1866" s="32" t="str">
        <f>IF(C1866="%MO",G1870,IFERROR(_xlfn.XLOOKUP($B1866,Equipo[DESCRIPCION],Equipo[VALOR],,0),""))</f>
        <v/>
      </c>
      <c r="F1866" s="33"/>
      <c r="G1866" s="34" t="str">
        <f>IFERROR(IF(F1866&gt;=0,D1866*E1866*(1+F1866/100),ABS(D1866*E1866/F1866)),"")</f>
        <v/>
      </c>
      <c r="H1866" s="43" t="str">
        <f>IFERROR(G1866*E1855,"")</f>
        <v/>
      </c>
    </row>
    <row r="1867" spans="1:8" ht="12.75" customHeight="1">
      <c r="A1867" s="21"/>
      <c r="B1867" s="22" t="s">
        <v>2533</v>
      </c>
      <c r="C1867" s="23"/>
      <c r="D1867" s="24"/>
      <c r="E1867" s="25"/>
      <c r="F1867" s="26"/>
      <c r="G1867" s="27">
        <f>SUM(G1868:G1869)</f>
        <v>0</v>
      </c>
      <c r="H1867" s="44">
        <f>G1867*E1855</f>
        <v>0</v>
      </c>
    </row>
    <row r="1868" spans="1:8" ht="12.75" customHeight="1">
      <c r="A1868" s="28"/>
      <c r="B1868" s="29"/>
      <c r="C1868" s="30" t="str">
        <f>IFERROR(_xlfn.XLOOKUP(B1868,Transporte[DESCRIPCION],Transporte[UND],,0),"")</f>
        <v/>
      </c>
      <c r="D1868" s="31"/>
      <c r="E1868" s="32" t="str">
        <f>IFERROR(_xlfn.XLOOKUP($B1868,Transporte[DESCRIPCION],Transporte[VALOR],,0),"")</f>
        <v/>
      </c>
      <c r="F1868" s="33"/>
      <c r="G1868" s="34" t="str">
        <f>IFERROR(IF(F1868&gt;=0,D1868*E1868*(1+F1868/100),ABS(D1868*E1868/F1868)),"")</f>
        <v/>
      </c>
      <c r="H1868" s="43" t="str">
        <f>IFERROR(G1868*E1855,"")</f>
        <v/>
      </c>
    </row>
    <row r="1869" spans="1:8" ht="12.75" customHeight="1">
      <c r="A1869" s="28"/>
      <c r="B1869" s="29"/>
      <c r="C1869" s="30" t="str">
        <f>IFERROR(_xlfn.XLOOKUP(B1869,Transporte[DESCRIPCION],Transporte[UND],,0),"")</f>
        <v/>
      </c>
      <c r="D1869" s="31"/>
      <c r="E1869" s="32" t="str">
        <f>IFERROR(_xlfn.XLOOKUP($B1869,Transporte[DESCRIPCION],Transporte[VALOR],,0),"")</f>
        <v/>
      </c>
      <c r="F1869" s="33"/>
      <c r="G1869" s="34" t="str">
        <f>IFERROR(IF(F1869&gt;=0,D1869*E1869*(1+F1869/100),ABS(D1869*E1869/F1869)),"")</f>
        <v/>
      </c>
      <c r="H1869" s="43" t="str">
        <f>IFERROR(G1869*E1855,"")</f>
        <v/>
      </c>
    </row>
    <row r="1870" spans="1:8" ht="12.75" customHeight="1">
      <c r="A1870" s="21"/>
      <c r="B1870" s="22" t="s">
        <v>3732</v>
      </c>
      <c r="C1870" s="23"/>
      <c r="D1870" s="24"/>
      <c r="E1870" s="25"/>
      <c r="F1870" s="26"/>
      <c r="G1870" s="27">
        <f>SUM(G1871:G1873)</f>
        <v>52398.458482500013</v>
      </c>
      <c r="H1870" s="44">
        <f>G1870*E1855</f>
        <v>0</v>
      </c>
    </row>
    <row r="1871" spans="1:8" ht="12.75" customHeight="1">
      <c r="A1871" s="28"/>
      <c r="B1871" s="29" t="s">
        <v>3710</v>
      </c>
      <c r="C1871" s="30" t="str">
        <f>IFERROR(_xlfn.XLOOKUP(B1871,MObra[DESCRIPCION],MObra[UN],,0),"")</f>
        <v>día</v>
      </c>
      <c r="D1871" s="31">
        <v>1</v>
      </c>
      <c r="E1871" s="32">
        <f>IFERROR(_xlfn.XLOOKUP($B1871,MObra[DESCRIPCION],MObra[VALOR UNIT],,0),"")</f>
        <v>314390.75089500006</v>
      </c>
      <c r="F1871" s="33">
        <v>-6</v>
      </c>
      <c r="G1871" s="34">
        <f>IFERROR(IF(F1871&gt;=0,D1871*E1871*(1+F1871/100),ABS(D1871*E1871/F1871)),"")</f>
        <v>52398.458482500013</v>
      </c>
      <c r="H1871" s="43">
        <f>IFERROR(G1871*E1855,"")</f>
        <v>0</v>
      </c>
    </row>
    <row r="1872" spans="1:8" ht="12.75" customHeight="1">
      <c r="A1872" s="28"/>
      <c r="B1872" s="29"/>
      <c r="C1872" s="30" t="str">
        <f t="array" ref="C1872">IFERROR(_xlfn.XLOOKUP(B1872,MObra[[#All],[DESCRIPCION]],MObra[[#All],[UN]],,0),"")</f>
        <v/>
      </c>
      <c r="D1872" s="31"/>
      <c r="E1872" s="32" t="str">
        <f>IFERROR(_xlfn.XLOOKUP($B1872,MObra[DESCRIPCION],MObra[VALOR UNIT],,0),"")</f>
        <v/>
      </c>
      <c r="F1872" s="33"/>
      <c r="G1872" s="34" t="str">
        <f>IFERROR(IF(F1872&gt;=0,D1872*E1872*(1+F1872/100),ABS(D1872*E1872/F1872)),"")</f>
        <v/>
      </c>
      <c r="H1872" s="43" t="str">
        <f>IFERROR(G1872*E1855,"")</f>
        <v/>
      </c>
    </row>
    <row r="1873" spans="1:11" ht="12.75" customHeight="1" thickBot="1">
      <c r="A1873" s="35"/>
      <c r="B1873" s="36"/>
      <c r="C1873" s="37" t="str">
        <f t="array" ref="C1873">IFERROR(_xlfn.XLOOKUP(B1873,MObra[[#All],[DESCRIPCION]],MObra[[#All],[UN]],,0),"")</f>
        <v/>
      </c>
      <c r="D1873" s="38"/>
      <c r="E1873" s="39" t="str">
        <f>IFERROR(_xlfn.XLOOKUP($B1873,MObra[DESCRIPCION],MObra[VALOR UNIT],,0),"")</f>
        <v/>
      </c>
      <c r="F1873" s="40"/>
      <c r="G1873" s="41" t="str">
        <f>IFERROR(IF(F1873&gt;=0,D1873*E1873*(1+F1873/100),ABS(D1873*E1873/F1873)),"")</f>
        <v/>
      </c>
      <c r="H1873" s="42" t="str">
        <f>IFERROR(G1873*E1855,"")</f>
        <v/>
      </c>
    </row>
    <row r="1874" spans="1:11" ht="12.75" customHeight="1" thickTop="1" thickBot="1"/>
    <row r="1875" spans="1:11" ht="12.75" customHeight="1" thickTop="1" thickBot="1">
      <c r="A1875" s="6" t="s">
        <v>1281</v>
      </c>
      <c r="B1875" s="7" t="str">
        <f>VLOOKUP($A1875,Presupuesto!$A:$D,2,FALSE())</f>
        <v>Enchape muro en fachaleta roja</v>
      </c>
      <c r="C1875" s="8" t="str">
        <f>VLOOKUP($A1875,Presupuesto!$A:$D,3,FALSE())</f>
        <v>M2</v>
      </c>
      <c r="D1875" s="9"/>
      <c r="E1875" s="10">
        <f>VLOOKUP($A1875,Presupuesto!$A:$D,4,FALSE())</f>
        <v>0</v>
      </c>
      <c r="F1875" s="11" t="s">
        <v>2589</v>
      </c>
      <c r="G1875" s="12">
        <f>SUM(G1877:G1893)/2</f>
        <v>72889.103554968766</v>
      </c>
      <c r="H1875" s="13">
        <f>ROUND(SUM(H1877:H1893),0)/2</f>
        <v>0</v>
      </c>
      <c r="I1875" s="10">
        <f>VLOOKUP(A1875,Presupuesto!$A:$F,6,0)</f>
        <v>0</v>
      </c>
      <c r="J1875" s="10">
        <f>+H1875-I1875</f>
        <v>0</v>
      </c>
      <c r="K1875" s="46">
        <f>+H1875-G1875*E1875</f>
        <v>0</v>
      </c>
    </row>
    <row r="1876" spans="1:11" ht="12.75" customHeight="1" thickTop="1">
      <c r="A1876" s="14"/>
      <c r="B1876" s="15" t="s">
        <v>2586</v>
      </c>
      <c r="C1876" s="15" t="s">
        <v>5</v>
      </c>
      <c r="D1876" s="16" t="s">
        <v>6</v>
      </c>
      <c r="E1876" s="17" t="s">
        <v>7</v>
      </c>
      <c r="F1876" s="18" t="s">
        <v>3728</v>
      </c>
      <c r="G1876" s="19" t="s">
        <v>3729</v>
      </c>
      <c r="H1876" s="20" t="s">
        <v>3797</v>
      </c>
    </row>
    <row r="1877" spans="1:11" ht="12.75" customHeight="1">
      <c r="A1877" s="21"/>
      <c r="B1877" s="22" t="s">
        <v>3730</v>
      </c>
      <c r="C1877" s="23"/>
      <c r="D1877" s="24"/>
      <c r="E1877" s="25"/>
      <c r="F1877" s="26"/>
      <c r="G1877" s="27">
        <f>SUM(G1878:G1882)</f>
        <v>31625.317500000005</v>
      </c>
      <c r="H1877" s="27">
        <f>IFERROR(G1877*E1875,"")</f>
        <v>0</v>
      </c>
    </row>
    <row r="1878" spans="1:11" ht="12.75" customHeight="1">
      <c r="A1878" s="28"/>
      <c r="B1878" s="29" t="s">
        <v>2950</v>
      </c>
      <c r="C1878" s="30" t="str">
        <f>IFERROR(_xlfn.XLOOKUP(B1878,Insumo[DESCRIPCION],Insumo[UND],,0),"")</f>
        <v>M2</v>
      </c>
      <c r="D1878" s="31">
        <v>1</v>
      </c>
      <c r="E1878" s="32">
        <f>IFERROR(_xlfn.XLOOKUP($B1878,Insumo[DESCRIPCION],Insumo[VALOR],,0),"")</f>
        <v>25005.75</v>
      </c>
      <c r="F1878" s="33">
        <v>5</v>
      </c>
      <c r="G1878" s="34">
        <f>IFERROR(IF(F1878&gt;=0,D1878*E1878*(1+F1878/100),ABS(D1878*E1878/F1878)),"")</f>
        <v>26256.037500000002</v>
      </c>
      <c r="H1878" s="43">
        <f>IFERROR(G1878*E1875,"")</f>
        <v>0</v>
      </c>
    </row>
    <row r="1879" spans="1:11" ht="12.75" customHeight="1">
      <c r="A1879" s="28"/>
      <c r="B1879" s="29" t="s">
        <v>3193</v>
      </c>
      <c r="C1879" s="30" t="str">
        <f>IFERROR(_xlfn.XLOOKUP(B1879,Insumo[DESCRIPCION],Insumo[UND],,0),"")</f>
        <v>Kg</v>
      </c>
      <c r="D1879" s="31">
        <v>0.4</v>
      </c>
      <c r="E1879" s="32">
        <f>IFERROR(_xlfn.XLOOKUP($B1879,Insumo[DESCRIPCION],Insumo[VALOR],,0),"")</f>
        <v>13423.2</v>
      </c>
      <c r="F1879" s="33"/>
      <c r="G1879" s="34">
        <f>IFERROR(IF(F1879&gt;=0,D1879*E1879*(1+F1879/100),ABS(D1879*E1879/F1879)),"")</f>
        <v>5369.2800000000007</v>
      </c>
      <c r="H1879" s="43">
        <f>IFERROR(G1879*E1875,"")</f>
        <v>0</v>
      </c>
    </row>
    <row r="1880" spans="1:11" ht="12.75" customHeight="1">
      <c r="A1880" s="28"/>
      <c r="B1880" s="29"/>
      <c r="C1880" s="30" t="str">
        <f>IFERROR(_xlfn.XLOOKUP(B1880,Insumo[DESCRIPCION],Insumo[UND],,0),"")</f>
        <v/>
      </c>
      <c r="D1880" s="31"/>
      <c r="E1880" s="32" t="str">
        <f>IFERROR(_xlfn.XLOOKUP($B1880,Insumo[DESCRIPCION],Insumo[VALOR],,0),"")</f>
        <v/>
      </c>
      <c r="F1880" s="33"/>
      <c r="G1880" s="34" t="str">
        <f>IFERROR(IF(F1880&gt;=0,D1880*E1880*(1+F1880/100),ABS(D1880*E1880/F1880)),"")</f>
        <v/>
      </c>
      <c r="H1880" s="43" t="str">
        <f>IFERROR(G1880*E1875,"")</f>
        <v/>
      </c>
    </row>
    <row r="1881" spans="1:11" ht="12.75" customHeight="1">
      <c r="A1881" s="28"/>
      <c r="B1881" s="29"/>
      <c r="C1881" s="30" t="str">
        <f>IFERROR(_xlfn.XLOOKUP(B1881,Insumo[DESCRIPCION],Insumo[UND],,0),"")</f>
        <v/>
      </c>
      <c r="D1881" s="31"/>
      <c r="E1881" s="32" t="str">
        <f>IFERROR(_xlfn.XLOOKUP($B1881,Insumo[DESCRIPCION],Insumo[VALOR],,0),"")</f>
        <v/>
      </c>
      <c r="F1881" s="33"/>
      <c r="G1881" s="34" t="str">
        <f>IFERROR(IF(F1881&gt;=0,D1881*E1881*(1+F1881/100),ABS(D1881*E1881/F1881)),"")</f>
        <v/>
      </c>
      <c r="H1881" s="43" t="str">
        <f>IFERROR(G1881*E1875,"")</f>
        <v/>
      </c>
    </row>
    <row r="1882" spans="1:11" ht="12.75" customHeight="1">
      <c r="A1882" s="28"/>
      <c r="B1882" s="29"/>
      <c r="C1882" s="30" t="str">
        <f>IFERROR(_xlfn.XLOOKUP(B1882,Insumo[DESCRIPCION],Insumo[UND],,0),"")</f>
        <v/>
      </c>
      <c r="D1882" s="31"/>
      <c r="E1882" s="32" t="str">
        <f>IFERROR(_xlfn.XLOOKUP($B1882,Insumo[DESCRIPCION],Insumo[VALOR],,0),"")</f>
        <v/>
      </c>
      <c r="F1882" s="33"/>
      <c r="G1882" s="34" t="str">
        <f>IFERROR(IF(F1882&gt;=0,D1882*E1882*(1+F1882/100),ABS(D1882*E1882/F1882)),"")</f>
        <v/>
      </c>
      <c r="H1882" s="43" t="str">
        <f>IFERROR(G1882*E1875,"")</f>
        <v/>
      </c>
    </row>
    <row r="1883" spans="1:11" ht="12.75" customHeight="1">
      <c r="A1883" s="21"/>
      <c r="B1883" s="22" t="s">
        <v>3731</v>
      </c>
      <c r="C1883" s="23"/>
      <c r="D1883" s="24"/>
      <c r="E1883" s="25"/>
      <c r="F1883" s="26"/>
      <c r="G1883" s="27">
        <f>SUM(G1884:G1886)</f>
        <v>1964.9421930937506</v>
      </c>
      <c r="H1883" s="44">
        <f>G1883*E1875</f>
        <v>0</v>
      </c>
    </row>
    <row r="1884" spans="1:11" ht="12.75" customHeight="1">
      <c r="A1884" s="28"/>
      <c r="B1884" s="29" t="s">
        <v>3626</v>
      </c>
      <c r="C1884" s="30" t="str">
        <f>IFERROR(_xlfn.XLOOKUP(B1884,Equipo[DESCRIPCION],Equipo[UND],,0),"")</f>
        <v>%MO</v>
      </c>
      <c r="D1884" s="31">
        <v>0.05</v>
      </c>
      <c r="E1884" s="32">
        <f>IF(C1884="%MO",G1890,IFERROR(_xlfn.XLOOKUP($B1884,Equipo[DESCRIPCION],Equipo[VALOR],,0),""))</f>
        <v>39298.843861875008</v>
      </c>
      <c r="F1884" s="33"/>
      <c r="G1884" s="34">
        <f>IFERROR(IF(F1884&gt;=0,D1884*E1884*(1+F1884/100),ABS(D1884*E1884/F1884)),"")</f>
        <v>1964.9421930937506</v>
      </c>
      <c r="H1884" s="43">
        <f>IFERROR(G1884*E1875,"")</f>
        <v>0</v>
      </c>
    </row>
    <row r="1885" spans="1:11" ht="12.75" customHeight="1">
      <c r="A1885" s="28"/>
      <c r="B1885" s="29"/>
      <c r="C1885" s="30" t="str">
        <f>IFERROR(_xlfn.XLOOKUP(B1885,Equipo[DESCRIPCION],Equipo[UND],,0),"")</f>
        <v/>
      </c>
      <c r="D1885" s="31"/>
      <c r="E1885" s="32" t="str">
        <f>IF(C1885="%MO",G1890,IFERROR(_xlfn.XLOOKUP($B1885,Equipo[DESCRIPCION],Equipo[VALOR],,0),""))</f>
        <v/>
      </c>
      <c r="F1885" s="33"/>
      <c r="G1885" s="34" t="str">
        <f>IFERROR(IF(F1885&gt;=0,D1885*E1885*(1+F1885/100),ABS(D1885*E1885/F1885)),"")</f>
        <v/>
      </c>
      <c r="H1885" s="43" t="str">
        <f>IFERROR(G1885*E1875,"")</f>
        <v/>
      </c>
    </row>
    <row r="1886" spans="1:11" ht="12.75" customHeight="1">
      <c r="A1886" s="28"/>
      <c r="B1886" s="29"/>
      <c r="C1886" s="30" t="str">
        <f>IFERROR(_xlfn.XLOOKUP(B1886,Equipo[DESCRIPCION],Equipo[UND],,0),"")</f>
        <v/>
      </c>
      <c r="D1886" s="31"/>
      <c r="E1886" s="32" t="str">
        <f>IF(C1886="%MO",G1890,IFERROR(_xlfn.XLOOKUP($B1886,Equipo[DESCRIPCION],Equipo[VALOR],,0),""))</f>
        <v/>
      </c>
      <c r="F1886" s="33"/>
      <c r="G1886" s="34" t="str">
        <f>IFERROR(IF(F1886&gt;=0,D1886*E1886*(1+F1886/100),ABS(D1886*E1886/F1886)),"")</f>
        <v/>
      </c>
      <c r="H1886" s="43" t="str">
        <f>IFERROR(G1886*E1875,"")</f>
        <v/>
      </c>
    </row>
    <row r="1887" spans="1:11" ht="12.75" customHeight="1">
      <c r="A1887" s="21"/>
      <c r="B1887" s="22" t="s">
        <v>2533</v>
      </c>
      <c r="C1887" s="23"/>
      <c r="D1887" s="24"/>
      <c r="E1887" s="25"/>
      <c r="F1887" s="26"/>
      <c r="G1887" s="27">
        <f>SUM(G1888:G1889)</f>
        <v>0</v>
      </c>
      <c r="H1887" s="44">
        <f>G1887*E1875</f>
        <v>0</v>
      </c>
    </row>
    <row r="1888" spans="1:11" ht="12.75" customHeight="1">
      <c r="A1888" s="28"/>
      <c r="B1888" s="29"/>
      <c r="C1888" s="30" t="str">
        <f>IFERROR(_xlfn.XLOOKUP(B1888,Transporte[DESCRIPCION],Transporte[UND],,0),"")</f>
        <v/>
      </c>
      <c r="D1888" s="31"/>
      <c r="E1888" s="32" t="str">
        <f>IFERROR(_xlfn.XLOOKUP($B1888,Transporte[DESCRIPCION],Transporte[VALOR],,0),"")</f>
        <v/>
      </c>
      <c r="F1888" s="33"/>
      <c r="G1888" s="34" t="str">
        <f>IFERROR(IF(F1888&gt;=0,D1888*E1888*(1+F1888/100),ABS(D1888*E1888/F1888)),"")</f>
        <v/>
      </c>
      <c r="H1888" s="43" t="str">
        <f>IFERROR(G1888*E1875,"")</f>
        <v/>
      </c>
    </row>
    <row r="1889" spans="1:10" ht="12.75" customHeight="1">
      <c r="A1889" s="28"/>
      <c r="B1889" s="29"/>
      <c r="C1889" s="30" t="str">
        <f>IFERROR(_xlfn.XLOOKUP(B1889,Transporte[DESCRIPCION],Transporte[UND],,0),"")</f>
        <v/>
      </c>
      <c r="D1889" s="31"/>
      <c r="E1889" s="32" t="str">
        <f>IFERROR(_xlfn.XLOOKUP($B1889,Transporte[DESCRIPCION],Transporte[VALOR],,0),"")</f>
        <v/>
      </c>
      <c r="F1889" s="33"/>
      <c r="G1889" s="34" t="str">
        <f>IFERROR(IF(F1889&gt;=0,D1889*E1889*(1+F1889/100),ABS(D1889*E1889/F1889)),"")</f>
        <v/>
      </c>
      <c r="H1889" s="43" t="str">
        <f>IFERROR(G1889*E1875,"")</f>
        <v/>
      </c>
    </row>
    <row r="1890" spans="1:10" ht="12.75" customHeight="1">
      <c r="A1890" s="21"/>
      <c r="B1890" s="22" t="s">
        <v>3732</v>
      </c>
      <c r="C1890" s="23"/>
      <c r="D1890" s="24"/>
      <c r="E1890" s="25"/>
      <c r="F1890" s="26"/>
      <c r="G1890" s="27">
        <f>SUM(G1891:G1893)</f>
        <v>39298.843861875008</v>
      </c>
      <c r="H1890" s="44">
        <f>G1890*E1875</f>
        <v>0</v>
      </c>
    </row>
    <row r="1891" spans="1:10" ht="12.75" customHeight="1">
      <c r="A1891" s="28"/>
      <c r="B1891" s="29" t="s">
        <v>3710</v>
      </c>
      <c r="C1891" s="30" t="str">
        <f>IFERROR(_xlfn.XLOOKUP(B1891,MObra[DESCRIPCION],MObra[UN],,0),"")</f>
        <v>día</v>
      </c>
      <c r="D1891" s="31">
        <v>1</v>
      </c>
      <c r="E1891" s="32">
        <f>IFERROR(_xlfn.XLOOKUP($B1891,MObra[DESCRIPCION],MObra[VALOR UNIT],,0),"")</f>
        <v>314390.75089500006</v>
      </c>
      <c r="F1891" s="33">
        <v>-8</v>
      </c>
      <c r="G1891" s="34">
        <f>IFERROR(IF(F1891&gt;=0,D1891*E1891*(1+F1891/100),ABS(D1891*E1891/F1891)),"")</f>
        <v>39298.843861875008</v>
      </c>
      <c r="H1891" s="43">
        <f>IFERROR(G1891*E1875,"")</f>
        <v>0</v>
      </c>
    </row>
    <row r="1892" spans="1:10" ht="12.75" customHeight="1">
      <c r="A1892" s="28"/>
      <c r="B1892" s="29"/>
      <c r="C1892" s="30" t="str">
        <f t="array" ref="C1892">IFERROR(_xlfn.XLOOKUP(B1892,MObra[[#All],[DESCRIPCION]],MObra[[#All],[UN]],,0),"")</f>
        <v/>
      </c>
      <c r="D1892" s="31"/>
      <c r="E1892" s="32" t="str">
        <f>IFERROR(_xlfn.XLOOKUP($B1892,MObra[DESCRIPCION],MObra[VALOR UNIT],,0),"")</f>
        <v/>
      </c>
      <c r="F1892" s="33"/>
      <c r="G1892" s="34" t="str">
        <f>IFERROR(IF(F1892&gt;=0,D1892*E1892*(1+F1892/100),ABS(D1892*E1892/F1892)),"")</f>
        <v/>
      </c>
      <c r="H1892" s="43" t="str">
        <f>IFERROR(G1892*E1875,"")</f>
        <v/>
      </c>
    </row>
    <row r="1893" spans="1:10" ht="12.75" customHeight="1" thickBot="1">
      <c r="A1893" s="35"/>
      <c r="B1893" s="36"/>
      <c r="C1893" s="37" t="str">
        <f t="array" ref="C1893">IFERROR(_xlfn.XLOOKUP(B1893,MObra[[#All],[DESCRIPCION]],MObra[[#All],[UN]],,0),"")</f>
        <v/>
      </c>
      <c r="D1893" s="38"/>
      <c r="E1893" s="39" t="str">
        <f>IFERROR(_xlfn.XLOOKUP($B1893,MObra[DESCRIPCION],MObra[VALOR UNIT],,0),"")</f>
        <v/>
      </c>
      <c r="F1893" s="40"/>
      <c r="G1893" s="41" t="str">
        <f>IFERROR(IF(F1893&gt;=0,D1893*E1893*(1+F1893/100),ABS(D1893*E1893/F1893)),"")</f>
        <v/>
      </c>
      <c r="H1893" s="42" t="str">
        <f>IFERROR(G1893*E1875,"")</f>
        <v/>
      </c>
    </row>
    <row r="1894" spans="1:10" ht="12.75" customHeight="1" thickTop="1" thickBot="1"/>
    <row r="1895" spans="1:10" ht="12.75" customHeight="1" thickTop="1" thickBot="1">
      <c r="A1895" s="6" t="s">
        <v>1285</v>
      </c>
      <c r="B1895" s="7" t="str">
        <f>VLOOKUP($A1895,Presupuesto!$A:$D,2,FALSE())</f>
        <v>Acabado piso madera Vitriflex</v>
      </c>
      <c r="C1895" s="8" t="str">
        <f>VLOOKUP($A1895,Presupuesto!$A:$D,3,FALSE())</f>
        <v>M2</v>
      </c>
      <c r="D1895" s="9"/>
      <c r="E1895" s="10">
        <f>VLOOKUP($A1895,Presupuesto!$A:$D,4,FALSE())</f>
        <v>0</v>
      </c>
      <c r="F1895" s="11" t="s">
        <v>2589</v>
      </c>
      <c r="G1895" s="12">
        <f>SUM(G1897:G1913)/2</f>
        <v>44629.716281324996</v>
      </c>
      <c r="H1895" s="13">
        <f>ROUND(SUM(H1897:H1913),0)/2</f>
        <v>0</v>
      </c>
      <c r="I1895" s="10">
        <f>VLOOKUP(A1895,Presupuesto!$A:$F,6,0)</f>
        <v>0</v>
      </c>
      <c r="J1895" s="10">
        <f>+H1895-I1895</f>
        <v>0</v>
      </c>
    </row>
    <row r="1896" spans="1:10" ht="12.75" customHeight="1" thickTop="1">
      <c r="A1896" s="14"/>
      <c r="B1896" s="15" t="s">
        <v>2586</v>
      </c>
      <c r="C1896" s="15" t="s">
        <v>5</v>
      </c>
      <c r="D1896" s="16" t="s">
        <v>6</v>
      </c>
      <c r="E1896" s="17" t="s">
        <v>7</v>
      </c>
      <c r="F1896" s="18" t="s">
        <v>3728</v>
      </c>
      <c r="G1896" s="19" t="s">
        <v>3729</v>
      </c>
      <c r="H1896" s="20" t="s">
        <v>3797</v>
      </c>
    </row>
    <row r="1897" spans="1:10" ht="12.75" customHeight="1">
      <c r="A1897" s="21"/>
      <c r="B1897" s="22" t="s">
        <v>3730</v>
      </c>
      <c r="C1897" s="23"/>
      <c r="D1897" s="24"/>
      <c r="E1897" s="25"/>
      <c r="F1897" s="26"/>
      <c r="G1897" s="27">
        <f>SUM(G1898:G1902)</f>
        <v>33626.04</v>
      </c>
      <c r="H1897" s="27">
        <f>IFERROR(G1897*E1895,"")</f>
        <v>0</v>
      </c>
    </row>
    <row r="1898" spans="1:10" ht="12.75" customHeight="1">
      <c r="A1898" s="28"/>
      <c r="B1898" s="29" t="s">
        <v>3554</v>
      </c>
      <c r="C1898" s="30" t="str">
        <f>IFERROR(_xlfn.XLOOKUP(B1898,Insumo[DESCRIPCION],Insumo[UND],,0),"")</f>
        <v>galón</v>
      </c>
      <c r="D1898" s="31">
        <f>1/5</f>
        <v>0.2</v>
      </c>
      <c r="E1898" s="32">
        <f>IFERROR(_xlfn.XLOOKUP($B1898,Insumo[DESCRIPCION],Insumo[VALOR],,0),"")</f>
        <v>157876.95000000001</v>
      </c>
      <c r="F1898" s="33"/>
      <c r="G1898" s="34">
        <f>IFERROR(IF(F1898&gt;=0,D1898*E1898*(1+F1898/100),ABS(D1898*E1898/F1898)),"")</f>
        <v>31575.390000000003</v>
      </c>
      <c r="H1898" s="43">
        <f>IFERROR(G1898*E1895,"")</f>
        <v>0</v>
      </c>
    </row>
    <row r="1899" spans="1:10" ht="12.75" customHeight="1">
      <c r="A1899" s="28"/>
      <c r="B1899" s="29" t="s">
        <v>3043</v>
      </c>
      <c r="C1899" s="30" t="str">
        <f>IFERROR(_xlfn.XLOOKUP(B1899,Insumo[DESCRIPCION],Insumo[UND],,0),"")</f>
        <v>Un</v>
      </c>
      <c r="D1899" s="31">
        <v>1</v>
      </c>
      <c r="E1899" s="32">
        <f>IFERROR(_xlfn.XLOOKUP($B1899,Insumo[DESCRIPCION],Insumo[VALOR],,0),"")</f>
        <v>2050.65</v>
      </c>
      <c r="F1899" s="33"/>
      <c r="G1899" s="34">
        <f>IFERROR(IF(F1899&gt;=0,D1899*E1899*(1+F1899/100),ABS(D1899*E1899/F1899)),"")</f>
        <v>2050.65</v>
      </c>
      <c r="H1899" s="43">
        <f>IFERROR(G1899*E1895,"")</f>
        <v>0</v>
      </c>
    </row>
    <row r="1900" spans="1:10" ht="12.75" customHeight="1">
      <c r="A1900" s="28"/>
      <c r="B1900" s="29"/>
      <c r="C1900" s="30" t="str">
        <f>IFERROR(_xlfn.XLOOKUP(B1900,Insumo[DESCRIPCION],Insumo[UND],,0),"")</f>
        <v/>
      </c>
      <c r="D1900" s="31"/>
      <c r="E1900" s="32" t="str">
        <f>IFERROR(_xlfn.XLOOKUP($B1900,Insumo[DESCRIPCION],Insumo[VALOR],,0),"")</f>
        <v/>
      </c>
      <c r="F1900" s="33"/>
      <c r="G1900" s="34" t="str">
        <f>IFERROR(IF(F1900&gt;=0,D1900*E1900*(1+F1900/100),ABS(D1900*E1900/F1900)),"")</f>
        <v/>
      </c>
      <c r="H1900" s="43" t="str">
        <f>IFERROR(G1900*E1895,"")</f>
        <v/>
      </c>
    </row>
    <row r="1901" spans="1:10" ht="12.75" customHeight="1">
      <c r="A1901" s="28"/>
      <c r="B1901" s="29"/>
      <c r="C1901" s="30" t="str">
        <f>IFERROR(_xlfn.XLOOKUP(B1901,Insumo[DESCRIPCION],Insumo[UND],,0),"")</f>
        <v/>
      </c>
      <c r="D1901" s="31"/>
      <c r="E1901" s="32" t="str">
        <f>IFERROR(_xlfn.XLOOKUP($B1901,Insumo[DESCRIPCION],Insumo[VALOR],,0),"")</f>
        <v/>
      </c>
      <c r="F1901" s="33"/>
      <c r="G1901" s="34" t="str">
        <f>IFERROR(IF(F1901&gt;=0,D1901*E1901*(1+F1901/100),ABS(D1901*E1901/F1901)),"")</f>
        <v/>
      </c>
      <c r="H1901" s="43" t="str">
        <f>IFERROR(G1901*E1895,"")</f>
        <v/>
      </c>
    </row>
    <row r="1902" spans="1:10" ht="12.75" customHeight="1">
      <c r="A1902" s="28"/>
      <c r="B1902" s="29"/>
      <c r="C1902" s="30" t="str">
        <f>IFERROR(_xlfn.XLOOKUP(B1902,Insumo[DESCRIPCION],Insumo[UND],,0),"")</f>
        <v/>
      </c>
      <c r="D1902" s="31"/>
      <c r="E1902" s="32" t="str">
        <f>IFERROR(_xlfn.XLOOKUP($B1902,Insumo[DESCRIPCION],Insumo[VALOR],,0),"")</f>
        <v/>
      </c>
      <c r="F1902" s="33"/>
      <c r="G1902" s="34" t="str">
        <f>IFERROR(IF(F1902&gt;=0,D1902*E1902*(1+F1902/100),ABS(D1902*E1902/F1902)),"")</f>
        <v/>
      </c>
      <c r="H1902" s="43" t="str">
        <f>IFERROR(G1902*E1895,"")</f>
        <v/>
      </c>
    </row>
    <row r="1903" spans="1:10" ht="12.75" customHeight="1">
      <c r="A1903" s="21"/>
      <c r="B1903" s="22" t="s">
        <v>3731</v>
      </c>
      <c r="C1903" s="23"/>
      <c r="D1903" s="24"/>
      <c r="E1903" s="25"/>
      <c r="F1903" s="26"/>
      <c r="G1903" s="27">
        <f>SUM(G1904:G1906)</f>
        <v>523.98458482500007</v>
      </c>
      <c r="H1903" s="44">
        <f>G1903*E1895</f>
        <v>0</v>
      </c>
    </row>
    <row r="1904" spans="1:10" ht="12.75" customHeight="1">
      <c r="A1904" s="28"/>
      <c r="B1904" s="29" t="s">
        <v>3626</v>
      </c>
      <c r="C1904" s="30" t="str">
        <f>IFERROR(_xlfn.XLOOKUP(B1904,Equipo[DESCRIPCION],Equipo[UND],,0),"")</f>
        <v>%MO</v>
      </c>
      <c r="D1904" s="31">
        <v>0.05</v>
      </c>
      <c r="E1904" s="32">
        <f>IF(C1904="%MO",G1910,IFERROR(_xlfn.XLOOKUP($B1904,Equipo[DESCRIPCION],Equipo[VALOR],,0),""))</f>
        <v>10479.691696500002</v>
      </c>
      <c r="F1904" s="33"/>
      <c r="G1904" s="34">
        <f>IFERROR(IF(F1904&gt;=0,D1904*E1904*(1+F1904/100),ABS(D1904*E1904/F1904)),"")</f>
        <v>523.98458482500007</v>
      </c>
      <c r="H1904" s="43">
        <f>IFERROR(G1904*E1895,"")</f>
        <v>0</v>
      </c>
    </row>
    <row r="1905" spans="1:10" ht="12.75" customHeight="1">
      <c r="A1905" s="28"/>
      <c r="B1905" s="29"/>
      <c r="C1905" s="30" t="str">
        <f>IFERROR(_xlfn.XLOOKUP(B1905,Equipo[DESCRIPCION],Equipo[UND],,0),"")</f>
        <v/>
      </c>
      <c r="D1905" s="31"/>
      <c r="E1905" s="32" t="str">
        <f>IF(C1905="%MO",G1910,IFERROR(_xlfn.XLOOKUP($B1905,Equipo[DESCRIPCION],Equipo[VALOR],,0),""))</f>
        <v/>
      </c>
      <c r="F1905" s="33"/>
      <c r="G1905" s="34" t="str">
        <f>IFERROR(IF(F1905&gt;=0,D1905*E1905*(1+F1905/100),ABS(D1905*E1905/F1905)),"")</f>
        <v/>
      </c>
      <c r="H1905" s="43" t="str">
        <f>IFERROR(G1905*E1895,"")</f>
        <v/>
      </c>
    </row>
    <row r="1906" spans="1:10" ht="12.75" customHeight="1">
      <c r="A1906" s="28"/>
      <c r="B1906" s="29"/>
      <c r="C1906" s="30" t="str">
        <f>IFERROR(_xlfn.XLOOKUP(B1906,Equipo[DESCRIPCION],Equipo[UND],,0),"")</f>
        <v/>
      </c>
      <c r="D1906" s="31"/>
      <c r="E1906" s="32" t="str">
        <f>IF(C1906="%MO",G1910,IFERROR(_xlfn.XLOOKUP($B1906,Equipo[DESCRIPCION],Equipo[VALOR],,0),""))</f>
        <v/>
      </c>
      <c r="F1906" s="33"/>
      <c r="G1906" s="34" t="str">
        <f>IFERROR(IF(F1906&gt;=0,D1906*E1906*(1+F1906/100),ABS(D1906*E1906/F1906)),"")</f>
        <v/>
      </c>
      <c r="H1906" s="43" t="str">
        <f>IFERROR(G1906*E1895,"")</f>
        <v/>
      </c>
    </row>
    <row r="1907" spans="1:10" ht="12.75" customHeight="1">
      <c r="A1907" s="21"/>
      <c r="B1907" s="22" t="s">
        <v>2533</v>
      </c>
      <c r="C1907" s="23"/>
      <c r="D1907" s="24"/>
      <c r="E1907" s="25"/>
      <c r="F1907" s="26"/>
      <c r="G1907" s="27">
        <f>SUM(G1908:G1909)</f>
        <v>0</v>
      </c>
      <c r="H1907" s="44">
        <f>G1907*E1895</f>
        <v>0</v>
      </c>
    </row>
    <row r="1908" spans="1:10" ht="12.75" customHeight="1">
      <c r="A1908" s="28"/>
      <c r="B1908" s="29"/>
      <c r="C1908" s="30" t="str">
        <f>IFERROR(_xlfn.XLOOKUP(B1908,Transporte[DESCRIPCION],Transporte[UND],,0),"")</f>
        <v/>
      </c>
      <c r="D1908" s="31"/>
      <c r="E1908" s="32" t="str">
        <f>IFERROR(_xlfn.XLOOKUP($B1908,Transporte[DESCRIPCION],Transporte[VALOR],,0),"")</f>
        <v/>
      </c>
      <c r="F1908" s="33"/>
      <c r="G1908" s="34" t="str">
        <f>IFERROR(IF(F1908&gt;=0,D1908*E1908*(1+F1908/100),ABS(D1908*E1908/F1908)),"")</f>
        <v/>
      </c>
      <c r="H1908" s="43" t="str">
        <f>IFERROR(G1908*E1895,"")</f>
        <v/>
      </c>
    </row>
    <row r="1909" spans="1:10" ht="12.75" customHeight="1">
      <c r="A1909" s="28"/>
      <c r="B1909" s="29"/>
      <c r="C1909" s="30" t="str">
        <f>IFERROR(_xlfn.XLOOKUP(B1909,Transporte[DESCRIPCION],Transporte[UND],,0),"")</f>
        <v/>
      </c>
      <c r="D1909" s="31"/>
      <c r="E1909" s="32" t="str">
        <f>IFERROR(_xlfn.XLOOKUP($B1909,Transporte[DESCRIPCION],Transporte[VALOR],,0),"")</f>
        <v/>
      </c>
      <c r="F1909" s="33"/>
      <c r="G1909" s="34" t="str">
        <f>IFERROR(IF(F1909&gt;=0,D1909*E1909*(1+F1909/100),ABS(D1909*E1909/F1909)),"")</f>
        <v/>
      </c>
      <c r="H1909" s="43" t="str">
        <f>IFERROR(G1909*E1895,"")</f>
        <v/>
      </c>
    </row>
    <row r="1910" spans="1:10" ht="12.75" customHeight="1">
      <c r="A1910" s="21"/>
      <c r="B1910" s="22" t="s">
        <v>3732</v>
      </c>
      <c r="C1910" s="23"/>
      <c r="D1910" s="24"/>
      <c r="E1910" s="25"/>
      <c r="F1910" s="26"/>
      <c r="G1910" s="27">
        <f>SUM(G1911:G1913)</f>
        <v>10479.691696500002</v>
      </c>
      <c r="H1910" s="44">
        <f>G1910*E1895</f>
        <v>0</v>
      </c>
    </row>
    <row r="1911" spans="1:10" ht="12.75" customHeight="1">
      <c r="A1911" s="28"/>
      <c r="B1911" s="29" t="s">
        <v>3710</v>
      </c>
      <c r="C1911" s="30" t="str">
        <f>IFERROR(_xlfn.XLOOKUP(B1911,MObra[DESCRIPCION],MObra[UN],,0),"")</f>
        <v>día</v>
      </c>
      <c r="D1911" s="31">
        <v>1</v>
      </c>
      <c r="E1911" s="32">
        <f>IFERROR(_xlfn.XLOOKUP($B1911,MObra[DESCRIPCION],MObra[VALOR UNIT],,0),"")</f>
        <v>314390.75089500006</v>
      </c>
      <c r="F1911" s="33">
        <v>-30</v>
      </c>
      <c r="G1911" s="34">
        <f>IFERROR(IF(F1911&gt;=0,D1911*E1911*(1+F1911/100),ABS(D1911*E1911/F1911)),"")</f>
        <v>10479.691696500002</v>
      </c>
      <c r="H1911" s="43">
        <f>IFERROR(G1911*E1895,"")</f>
        <v>0</v>
      </c>
    </row>
    <row r="1912" spans="1:10" ht="12.75" customHeight="1">
      <c r="A1912" s="28"/>
      <c r="B1912" s="29"/>
      <c r="C1912" s="30" t="str">
        <f>IFERROR(_xlfn.XLOOKUP(B1912,MObra[DESCRIPCION],MObra[UN],,0),"")</f>
        <v/>
      </c>
      <c r="D1912" s="31"/>
      <c r="E1912" s="32" t="str">
        <f>IFERROR(_xlfn.XLOOKUP($B1912,MObra[DESCRIPCION],MObra[VALOR UNIT],,0),"")</f>
        <v/>
      </c>
      <c r="F1912" s="33"/>
      <c r="G1912" s="34" t="str">
        <f>IFERROR(IF(F1912&gt;=0,D1912*E1912*(1+F1912/100),ABS(D1912*E1912/F1912)),"")</f>
        <v/>
      </c>
      <c r="H1912" s="43" t="str">
        <f>IFERROR(G1912*E1895,"")</f>
        <v/>
      </c>
    </row>
    <row r="1913" spans="1:10" ht="12.75" customHeight="1" thickBot="1">
      <c r="A1913" s="35"/>
      <c r="B1913" s="36"/>
      <c r="C1913" s="37" t="str">
        <f>IFERROR(_xlfn.XLOOKUP(B1913,MObra[DESCRIPCION],MObra[UN],,0),"")</f>
        <v/>
      </c>
      <c r="D1913" s="38"/>
      <c r="E1913" s="39" t="str">
        <f>IFERROR(_xlfn.XLOOKUP($B1913,MObra[DESCRIPCION],MObra[VALOR UNIT],,0),"")</f>
        <v/>
      </c>
      <c r="F1913" s="40"/>
      <c r="G1913" s="41" t="str">
        <f>IFERROR(IF(F1913&gt;=0,D1913*E1913*(1+F1913/100),ABS(D1913*E1913/F1913)),"")</f>
        <v/>
      </c>
      <c r="H1913" s="42" t="str">
        <f>IFERROR(G1913*E1895,"")</f>
        <v/>
      </c>
    </row>
    <row r="1914" spans="1:10" ht="12.75" customHeight="1" thickTop="1" thickBot="1"/>
    <row r="1915" spans="1:10" ht="12.75" customHeight="1" thickTop="1" thickBot="1">
      <c r="A1915" s="6" t="s">
        <v>1287</v>
      </c>
      <c r="B1915" s="7" t="str">
        <f>VLOOKUP($A1915,Presupuesto!$A:$D,2,FALSE())</f>
        <v>Escala gravilla lavada + mediacaña</v>
      </c>
      <c r="C1915" s="8" t="str">
        <f>VLOOKUP($A1915,Presupuesto!$A:$D,3,FALSE())</f>
        <v>M</v>
      </c>
      <c r="D1915" s="9"/>
      <c r="E1915" s="10">
        <f>VLOOKUP($A1915,Presupuesto!$A:$D,4,FALSE())</f>
        <v>0</v>
      </c>
      <c r="F1915" s="11" t="s">
        <v>2589</v>
      </c>
      <c r="G1915" s="12">
        <f>SUM(G1917:G1933)/2</f>
        <v>48440.484843975013</v>
      </c>
      <c r="H1915" s="13">
        <f>ROUND(SUM(H1917:H1933),0)/2</f>
        <v>0</v>
      </c>
      <c r="I1915" s="10">
        <f>VLOOKUP(A1915,Presupuesto!$A:$F,6,0)</f>
        <v>0</v>
      </c>
      <c r="J1915" s="10">
        <f>+H1915-I1915</f>
        <v>0</v>
      </c>
    </row>
    <row r="1916" spans="1:10" ht="12.75" customHeight="1" thickTop="1">
      <c r="A1916" s="14"/>
      <c r="B1916" s="15" t="s">
        <v>2586</v>
      </c>
      <c r="C1916" s="15" t="s">
        <v>5</v>
      </c>
      <c r="D1916" s="16" t="s">
        <v>6</v>
      </c>
      <c r="E1916" s="17" t="s">
        <v>7</v>
      </c>
      <c r="F1916" s="18" t="s">
        <v>3728</v>
      </c>
      <c r="G1916" s="19" t="s">
        <v>3729</v>
      </c>
      <c r="H1916" s="20" t="s">
        <v>3797</v>
      </c>
    </row>
    <row r="1917" spans="1:10" ht="12.75" customHeight="1">
      <c r="A1917" s="21"/>
      <c r="B1917" s="22" t="s">
        <v>3730</v>
      </c>
      <c r="C1917" s="23"/>
      <c r="D1917" s="24"/>
      <c r="E1917" s="25"/>
      <c r="F1917" s="26"/>
      <c r="G1917" s="27">
        <f>SUM(G1918:G1922)</f>
        <v>15429.456000000002</v>
      </c>
      <c r="H1917" s="27">
        <f>IFERROR(G1917*E1915,"")</f>
        <v>0</v>
      </c>
    </row>
    <row r="1918" spans="1:10" ht="12.75" customHeight="1">
      <c r="A1918" s="28"/>
      <c r="B1918" s="29" t="s">
        <v>2824</v>
      </c>
      <c r="C1918" s="30" t="str">
        <f>IFERROR(_xlfn.XLOOKUP(B1918,Insumo[DESCRIPCION],Insumo[UND],,0),"")</f>
        <v>Un</v>
      </c>
      <c r="D1918" s="31">
        <f>2/50</f>
        <v>0.04</v>
      </c>
      <c r="E1918" s="32">
        <f>IFERROR(_xlfn.XLOOKUP($B1918,Insumo[DESCRIPCION],Insumo[VALOR],,0),"")</f>
        <v>34230</v>
      </c>
      <c r="F1918" s="33"/>
      <c r="G1918" s="34">
        <f>IFERROR(IF(F1918&gt;=0,D1918*E1918*(1+F1918/100),ABS(D1918*E1918/F1918)),"")</f>
        <v>1369.2</v>
      </c>
      <c r="H1918" s="43">
        <f>IFERROR(G1918*E1915,"")</f>
        <v>0</v>
      </c>
    </row>
    <row r="1919" spans="1:10" ht="12.75" customHeight="1">
      <c r="A1919" s="28"/>
      <c r="B1919" s="29" t="s">
        <v>2979</v>
      </c>
      <c r="C1919" s="30" t="str">
        <f>IFERROR(_xlfn.XLOOKUP(B1919,Insumo[DESCRIPCION],Insumo[UND],,0),"")</f>
        <v>Un</v>
      </c>
      <c r="D1919" s="31">
        <v>0.25</v>
      </c>
      <c r="E1919" s="32">
        <f>IFERROR(_xlfn.XLOOKUP($B1919,Insumo[DESCRIPCION],Insumo[VALOR],,0),"")</f>
        <v>39667.950000000004</v>
      </c>
      <c r="F1919" s="33"/>
      <c r="G1919" s="34">
        <f>IFERROR(IF(F1919&gt;=0,D1919*E1919*(1+F1919/100),ABS(D1919*E1919/F1919)),"")</f>
        <v>9916.9875000000011</v>
      </c>
      <c r="H1919" s="43">
        <f>IFERROR(G1919*E1915,"")</f>
        <v>0</v>
      </c>
    </row>
    <row r="1920" spans="1:10" ht="12.75" customHeight="1">
      <c r="A1920" s="28"/>
      <c r="B1920" s="29" t="s">
        <v>2713</v>
      </c>
      <c r="C1920" s="30" t="str">
        <f>IFERROR(_xlfn.XLOOKUP(B1920,Insumo[DESCRIPCION],Insumo[UND],,0),"")</f>
        <v>M3</v>
      </c>
      <c r="D1920" s="31">
        <v>0.03</v>
      </c>
      <c r="E1920" s="32">
        <f>IFERROR(_xlfn.XLOOKUP($B1920,Insumo[DESCRIPCION],Insumo[VALOR],,0),"")</f>
        <v>81268.95</v>
      </c>
      <c r="F1920" s="33"/>
      <c r="G1920" s="34">
        <f>IFERROR(IF(F1920&gt;=0,D1920*E1920*(1+F1920/100),ABS(D1920*E1920/F1920)),"")</f>
        <v>2438.0684999999999</v>
      </c>
      <c r="H1920" s="43">
        <f>IFERROR(G1920*E1915,"")</f>
        <v>0</v>
      </c>
    </row>
    <row r="1921" spans="1:10" ht="12.75" customHeight="1">
      <c r="A1921" s="28"/>
      <c r="B1921" s="29" t="s">
        <v>2757</v>
      </c>
      <c r="C1921" s="30" t="str">
        <f>IFERROR(_xlfn.XLOOKUP(B1921,Insumo[DESCRIPCION],Insumo[UND],,0),"")</f>
        <v>Un</v>
      </c>
      <c r="D1921" s="31">
        <v>1</v>
      </c>
      <c r="E1921" s="32">
        <f>IFERROR(_xlfn.XLOOKUP($B1921,Insumo[DESCRIPCION],Insumo[VALOR],,0),"")</f>
        <v>1705.2</v>
      </c>
      <c r="F1921" s="33"/>
      <c r="G1921" s="34">
        <f>IFERROR(IF(F1921&gt;=0,D1921*E1921*(1+F1921/100),ABS(D1921*E1921/F1921)),"")</f>
        <v>1705.2</v>
      </c>
      <c r="H1921" s="43">
        <f>IFERROR(G1921*E1915,"")</f>
        <v>0</v>
      </c>
    </row>
    <row r="1922" spans="1:10" ht="12.75" customHeight="1">
      <c r="A1922" s="28"/>
      <c r="B1922" s="29"/>
      <c r="C1922" s="30" t="str">
        <f>IFERROR(_xlfn.XLOOKUP(B1922,Insumo[DESCRIPCION],Insumo[UND],,0),"")</f>
        <v/>
      </c>
      <c r="D1922" s="31"/>
      <c r="E1922" s="32" t="str">
        <f>IFERROR(_xlfn.XLOOKUP($B1922,Insumo[DESCRIPCION],Insumo[VALOR],,0),"")</f>
        <v/>
      </c>
      <c r="F1922" s="33"/>
      <c r="G1922" s="34" t="str">
        <f>IFERROR(IF(F1922&gt;=0,D1922*E1922*(1+F1922/100),ABS(D1922*E1922/F1922)),"")</f>
        <v/>
      </c>
      <c r="H1922" s="43" t="str">
        <f>IFERROR(G1922*E1915,"")</f>
        <v/>
      </c>
    </row>
    <row r="1923" spans="1:10" ht="12.75" customHeight="1">
      <c r="A1923" s="21"/>
      <c r="B1923" s="22" t="s">
        <v>3731</v>
      </c>
      <c r="C1923" s="23"/>
      <c r="D1923" s="24"/>
      <c r="E1923" s="25"/>
      <c r="F1923" s="26"/>
      <c r="G1923" s="27">
        <f>SUM(G1924:G1926)</f>
        <v>1571.9537544750003</v>
      </c>
      <c r="H1923" s="44">
        <f>G1923*E1915</f>
        <v>0</v>
      </c>
    </row>
    <row r="1924" spans="1:10" ht="12.75" customHeight="1">
      <c r="A1924" s="28"/>
      <c r="B1924" s="29" t="s">
        <v>3626</v>
      </c>
      <c r="C1924" s="30" t="str">
        <f>IFERROR(_xlfn.XLOOKUP(B1924,Equipo[DESCRIPCION],Equipo[UND],,0),"")</f>
        <v>%MO</v>
      </c>
      <c r="D1924" s="31">
        <v>0.05</v>
      </c>
      <c r="E1924" s="32">
        <f>IF(C1924="%MO",G1930,IFERROR(_xlfn.XLOOKUP($B1924,Equipo[DESCRIPCION],Equipo[VALOR],,0),""))</f>
        <v>31439.075089500006</v>
      </c>
      <c r="F1924" s="33"/>
      <c r="G1924" s="34">
        <f>IFERROR(IF(F1924&gt;=0,D1924*E1924*(1+F1924/100),ABS(D1924*E1924/F1924)),"")</f>
        <v>1571.9537544750003</v>
      </c>
      <c r="H1924" s="43">
        <f>IFERROR(G1924*E1915,"")</f>
        <v>0</v>
      </c>
    </row>
    <row r="1925" spans="1:10" ht="12.75" customHeight="1">
      <c r="A1925" s="28"/>
      <c r="B1925" s="29"/>
      <c r="C1925" s="30" t="str">
        <f>IFERROR(_xlfn.XLOOKUP(B1925,Equipo[DESCRIPCION],Equipo[UND],,0),"")</f>
        <v/>
      </c>
      <c r="D1925" s="31"/>
      <c r="E1925" s="32" t="str">
        <f>IF(C1925="%MO",G1930,IFERROR(_xlfn.XLOOKUP($B1925,Equipo[DESCRIPCION],Equipo[VALOR],,0),""))</f>
        <v/>
      </c>
      <c r="F1925" s="33"/>
      <c r="G1925" s="34" t="str">
        <f>IFERROR(IF(F1925&gt;=0,D1925*E1925*(1+F1925/100),ABS(D1925*E1925/F1925)),"")</f>
        <v/>
      </c>
      <c r="H1925" s="43" t="str">
        <f>IFERROR(G1925*E1915,"")</f>
        <v/>
      </c>
    </row>
    <row r="1926" spans="1:10" ht="12.75" customHeight="1">
      <c r="A1926" s="28"/>
      <c r="B1926" s="29"/>
      <c r="C1926" s="30" t="str">
        <f>IFERROR(_xlfn.XLOOKUP(B1926,Equipo[DESCRIPCION],Equipo[UND],,0),"")</f>
        <v/>
      </c>
      <c r="D1926" s="31"/>
      <c r="E1926" s="32" t="str">
        <f>IF(C1926="%MO",G1930,IFERROR(_xlfn.XLOOKUP($B1926,Equipo[DESCRIPCION],Equipo[VALOR],,0),""))</f>
        <v/>
      </c>
      <c r="F1926" s="33"/>
      <c r="G1926" s="34" t="str">
        <f>IFERROR(IF(F1926&gt;=0,D1926*E1926*(1+F1926/100),ABS(D1926*E1926/F1926)),"")</f>
        <v/>
      </c>
      <c r="H1926" s="43" t="str">
        <f>IFERROR(G1926*E1915,"")</f>
        <v/>
      </c>
    </row>
    <row r="1927" spans="1:10" ht="12.75" customHeight="1">
      <c r="A1927" s="21"/>
      <c r="B1927" s="22" t="s">
        <v>2533</v>
      </c>
      <c r="C1927" s="23"/>
      <c r="D1927" s="24"/>
      <c r="E1927" s="25"/>
      <c r="F1927" s="26"/>
      <c r="G1927" s="27">
        <f>SUM(G1928:G1929)</f>
        <v>0</v>
      </c>
      <c r="H1927" s="44">
        <f>G1927*E1915</f>
        <v>0</v>
      </c>
    </row>
    <row r="1928" spans="1:10" ht="12.75" customHeight="1">
      <c r="A1928" s="28"/>
      <c r="B1928" s="29"/>
      <c r="C1928" s="30" t="str">
        <f>IFERROR(_xlfn.XLOOKUP(B1928,Transporte[DESCRIPCION],Transporte[UND],,0),"")</f>
        <v/>
      </c>
      <c r="D1928" s="31"/>
      <c r="E1928" s="32" t="str">
        <f>IFERROR(_xlfn.XLOOKUP($B1928,Transporte[DESCRIPCION],Transporte[VALOR],,0),"")</f>
        <v/>
      </c>
      <c r="F1928" s="33"/>
      <c r="G1928" s="34" t="str">
        <f>IFERROR(IF(F1928&gt;=0,D1928*E1928*(1+F1928/100),ABS(D1928*E1928/F1928)),"")</f>
        <v/>
      </c>
      <c r="H1928" s="43" t="str">
        <f>IFERROR(G1928*E1915,"")</f>
        <v/>
      </c>
    </row>
    <row r="1929" spans="1:10" ht="12.75" customHeight="1">
      <c r="A1929" s="28"/>
      <c r="B1929" s="29"/>
      <c r="C1929" s="30" t="str">
        <f>IFERROR(_xlfn.XLOOKUP(B1929,Transporte[DESCRIPCION],Transporte[UND],,0),"")</f>
        <v/>
      </c>
      <c r="D1929" s="31"/>
      <c r="E1929" s="32" t="str">
        <f>IFERROR(_xlfn.XLOOKUP($B1929,Transporte[DESCRIPCION],Transporte[VALOR],,0),"")</f>
        <v/>
      </c>
      <c r="F1929" s="33"/>
      <c r="G1929" s="34" t="str">
        <f>IFERROR(IF(F1929&gt;=0,D1929*E1929*(1+F1929/100),ABS(D1929*E1929/F1929)),"")</f>
        <v/>
      </c>
      <c r="H1929" s="43" t="str">
        <f>IFERROR(G1929*E1915,"")</f>
        <v/>
      </c>
    </row>
    <row r="1930" spans="1:10" ht="12.75" customHeight="1">
      <c r="A1930" s="21"/>
      <c r="B1930" s="22" t="s">
        <v>3732</v>
      </c>
      <c r="C1930" s="23"/>
      <c r="D1930" s="24"/>
      <c r="E1930" s="25"/>
      <c r="F1930" s="26"/>
      <c r="G1930" s="27">
        <f>SUM(G1931:G1933)</f>
        <v>31439.075089500006</v>
      </c>
      <c r="H1930" s="44">
        <f>G1930*E1915</f>
        <v>0</v>
      </c>
    </row>
    <row r="1931" spans="1:10" ht="12.75" customHeight="1">
      <c r="A1931" s="28"/>
      <c r="B1931" s="29" t="s">
        <v>3710</v>
      </c>
      <c r="C1931" s="30" t="str">
        <f>IFERROR(_xlfn.XLOOKUP(B1931,MObra[DESCRIPCION],MObra[UN],,0),"")</f>
        <v>día</v>
      </c>
      <c r="D1931" s="31">
        <v>1</v>
      </c>
      <c r="E1931" s="32">
        <f>IFERROR(_xlfn.XLOOKUP($B1931,MObra[DESCRIPCION],MObra[VALOR UNIT],,0),"")</f>
        <v>314390.75089500006</v>
      </c>
      <c r="F1931" s="33">
        <v>-10</v>
      </c>
      <c r="G1931" s="34">
        <f>IFERROR(IF(F1931&gt;=0,D1931*E1931*(1+F1931/100),ABS(D1931*E1931/F1931)),"")</f>
        <v>31439.075089500006</v>
      </c>
      <c r="H1931" s="43">
        <f>IFERROR(G1931*E1915,"")</f>
        <v>0</v>
      </c>
    </row>
    <row r="1932" spans="1:10" ht="12.75" customHeight="1">
      <c r="A1932" s="28"/>
      <c r="B1932" s="29"/>
      <c r="C1932" s="30" t="str">
        <f>IFERROR(_xlfn.XLOOKUP(B1932,MObra[DESCRIPCION],MObra[UN],,0),"")</f>
        <v/>
      </c>
      <c r="D1932" s="31"/>
      <c r="E1932" s="32" t="str">
        <f>IFERROR(_xlfn.XLOOKUP($B1932,MObra[DESCRIPCION],MObra[VALOR UNIT],,0),"")</f>
        <v/>
      </c>
      <c r="F1932" s="33"/>
      <c r="G1932" s="34" t="str">
        <f>IFERROR(IF(F1932&gt;=0,D1932*E1932*(1+F1932/100),ABS(D1932*E1932/F1932)),"")</f>
        <v/>
      </c>
      <c r="H1932" s="43" t="str">
        <f>IFERROR(G1932*E1915,"")</f>
        <v/>
      </c>
    </row>
    <row r="1933" spans="1:10" ht="12.75" customHeight="1" thickBot="1">
      <c r="A1933" s="35"/>
      <c r="B1933" s="36"/>
      <c r="C1933" s="37" t="str">
        <f>IFERROR(_xlfn.XLOOKUP(B1933,MObra[DESCRIPCION],MObra[UN],,0),"")</f>
        <v/>
      </c>
      <c r="D1933" s="38"/>
      <c r="E1933" s="39" t="str">
        <f>IFERROR(_xlfn.XLOOKUP($B1933,MObra[DESCRIPCION],MObra[VALOR UNIT],,0),"")</f>
        <v/>
      </c>
      <c r="F1933" s="40"/>
      <c r="G1933" s="41" t="str">
        <f>IFERROR(IF(F1933&gt;=0,D1933*E1933*(1+F1933/100),ABS(D1933*E1933/F1933)),"")</f>
        <v/>
      </c>
      <c r="H1933" s="42" t="str">
        <f>IFERROR(G1933*E1915,"")</f>
        <v/>
      </c>
    </row>
    <row r="1934" spans="1:10" ht="12.75" customHeight="1" thickTop="1" thickBot="1"/>
    <row r="1935" spans="1:10" ht="12.75" customHeight="1" thickTop="1" thickBot="1">
      <c r="A1935" s="6" t="s">
        <v>1289</v>
      </c>
      <c r="B1935" s="7" t="str">
        <f>VLOOKUP($A1935,Presupuesto!$A:$D,2,FALSE())</f>
        <v>Escala gravilla lavada</v>
      </c>
      <c r="C1935" s="8" t="str">
        <f>VLOOKUP($A1935,Presupuesto!$A:$D,3,FALSE())</f>
        <v>M</v>
      </c>
      <c r="D1935" s="9"/>
      <c r="E1935" s="10">
        <f>VLOOKUP($A1935,Presupuesto!$A:$D,4,FALSE())</f>
        <v>0</v>
      </c>
      <c r="F1935" s="11" t="s">
        <v>2589</v>
      </c>
      <c r="G1935" s="12">
        <f>SUM(G1937:G1953)/2</f>
        <v>46735.284843975009</v>
      </c>
      <c r="H1935" s="13">
        <f>ROUND(SUM(H1937:H1953),0)/2</f>
        <v>0</v>
      </c>
      <c r="I1935" s="10">
        <f>VLOOKUP(A1935,Presupuesto!$A:$F,6,0)</f>
        <v>0</v>
      </c>
      <c r="J1935" s="10">
        <f>+H1935-I1935</f>
        <v>0</v>
      </c>
    </row>
    <row r="1936" spans="1:10" ht="12.75" customHeight="1" thickTop="1">
      <c r="A1936" s="14"/>
      <c r="B1936" s="15" t="s">
        <v>2586</v>
      </c>
      <c r="C1936" s="15" t="s">
        <v>5</v>
      </c>
      <c r="D1936" s="16" t="s">
        <v>6</v>
      </c>
      <c r="E1936" s="17" t="s">
        <v>7</v>
      </c>
      <c r="F1936" s="18" t="s">
        <v>3728</v>
      </c>
      <c r="G1936" s="19" t="s">
        <v>3729</v>
      </c>
      <c r="H1936" s="20" t="s">
        <v>3797</v>
      </c>
    </row>
    <row r="1937" spans="1:8" ht="12.75" customHeight="1">
      <c r="A1937" s="21"/>
      <c r="B1937" s="22" t="s">
        <v>3730</v>
      </c>
      <c r="C1937" s="23"/>
      <c r="D1937" s="24"/>
      <c r="E1937" s="25"/>
      <c r="F1937" s="26"/>
      <c r="G1937" s="27">
        <f>SUM(G1938:G1942)</f>
        <v>13724.256000000001</v>
      </c>
      <c r="H1937" s="27">
        <f>IFERROR(G1937*E1935,"")</f>
        <v>0</v>
      </c>
    </row>
    <row r="1938" spans="1:8" ht="12.75" customHeight="1">
      <c r="A1938" s="28"/>
      <c r="B1938" s="29" t="s">
        <v>2824</v>
      </c>
      <c r="C1938" s="30" t="str">
        <f>IFERROR(_xlfn.XLOOKUP(B1938,Insumo[DESCRIPCION],Insumo[UND],,0),"")</f>
        <v>Un</v>
      </c>
      <c r="D1938" s="31">
        <f>2/50</f>
        <v>0.04</v>
      </c>
      <c r="E1938" s="32">
        <f>IFERROR(_xlfn.XLOOKUP($B1938,Insumo[DESCRIPCION],Insumo[VALOR],,0),"")</f>
        <v>34230</v>
      </c>
      <c r="F1938" s="33"/>
      <c r="G1938" s="34">
        <f>IFERROR(IF(F1938&gt;=0,D1938*E1938*(1+F1938/100),ABS(D1938*E1938/F1938)),"")</f>
        <v>1369.2</v>
      </c>
      <c r="H1938" s="43">
        <f>IFERROR(G1938*E1935,"")</f>
        <v>0</v>
      </c>
    </row>
    <row r="1939" spans="1:8" ht="12.75" customHeight="1">
      <c r="A1939" s="28"/>
      <c r="B1939" s="29" t="s">
        <v>2979</v>
      </c>
      <c r="C1939" s="30" t="str">
        <f>IFERROR(_xlfn.XLOOKUP(B1939,Insumo[DESCRIPCION],Insumo[UND],,0),"")</f>
        <v>Un</v>
      </c>
      <c r="D1939" s="31">
        <v>0.25</v>
      </c>
      <c r="E1939" s="32">
        <f>IFERROR(_xlfn.XLOOKUP($B1939,Insumo[DESCRIPCION],Insumo[VALOR],,0),"")</f>
        <v>39667.950000000004</v>
      </c>
      <c r="F1939" s="33"/>
      <c r="G1939" s="34">
        <f>IFERROR(IF(F1939&gt;=0,D1939*E1939*(1+F1939/100),ABS(D1939*E1939/F1939)),"")</f>
        <v>9916.9875000000011</v>
      </c>
      <c r="H1939" s="43">
        <f>IFERROR(G1939*E1935,"")</f>
        <v>0</v>
      </c>
    </row>
    <row r="1940" spans="1:8" ht="12.75" customHeight="1">
      <c r="A1940" s="28"/>
      <c r="B1940" s="29" t="s">
        <v>2713</v>
      </c>
      <c r="C1940" s="30" t="str">
        <f>IFERROR(_xlfn.XLOOKUP(B1940,Insumo[DESCRIPCION],Insumo[UND],,0),"")</f>
        <v>M3</v>
      </c>
      <c r="D1940" s="31">
        <v>0.03</v>
      </c>
      <c r="E1940" s="32">
        <f>IFERROR(_xlfn.XLOOKUP($B1940,Insumo[DESCRIPCION],Insumo[VALOR],,0),"")</f>
        <v>81268.95</v>
      </c>
      <c r="F1940" s="33"/>
      <c r="G1940" s="34">
        <f>IFERROR(IF(F1940&gt;=0,D1940*E1940*(1+F1940/100),ABS(D1940*E1940/F1940)),"")</f>
        <v>2438.0684999999999</v>
      </c>
      <c r="H1940" s="43">
        <f>IFERROR(G1940*E1935,"")</f>
        <v>0</v>
      </c>
    </row>
    <row r="1941" spans="1:8" ht="12.75" customHeight="1">
      <c r="A1941" s="28"/>
      <c r="B1941" s="29"/>
      <c r="C1941" s="30" t="str">
        <f>IFERROR(_xlfn.XLOOKUP(B1941,Insumo[DESCRIPCION],Insumo[UND],,0),"")</f>
        <v/>
      </c>
      <c r="D1941" s="31"/>
      <c r="E1941" s="32" t="str">
        <f>IFERROR(_xlfn.XLOOKUP($B1941,Insumo[DESCRIPCION],Insumo[VALOR],,0),"")</f>
        <v/>
      </c>
      <c r="F1941" s="33"/>
      <c r="G1941" s="34" t="str">
        <f>IFERROR(IF(F1941&gt;=0,D1941*E1941*(1+F1941/100),ABS(D1941*E1941/F1941)),"")</f>
        <v/>
      </c>
      <c r="H1941" s="43" t="str">
        <f>IFERROR(G1941*E1935,"")</f>
        <v/>
      </c>
    </row>
    <row r="1942" spans="1:8" ht="12.75" customHeight="1">
      <c r="A1942" s="28"/>
      <c r="B1942" s="29"/>
      <c r="C1942" s="30" t="str">
        <f>IFERROR(_xlfn.XLOOKUP(B1942,Insumo[DESCRIPCION],Insumo[UND],,0),"")</f>
        <v/>
      </c>
      <c r="D1942" s="31"/>
      <c r="E1942" s="32" t="str">
        <f>IFERROR(_xlfn.XLOOKUP($B1942,Insumo[DESCRIPCION],Insumo[VALOR],,0),"")</f>
        <v/>
      </c>
      <c r="F1942" s="33"/>
      <c r="G1942" s="34" t="str">
        <f>IFERROR(IF(F1942&gt;=0,D1942*E1942*(1+F1942/100),ABS(D1942*E1942/F1942)),"")</f>
        <v/>
      </c>
      <c r="H1942" s="43" t="str">
        <f>IFERROR(G1942*E1935,"")</f>
        <v/>
      </c>
    </row>
    <row r="1943" spans="1:8" ht="12.75" customHeight="1">
      <c r="A1943" s="21"/>
      <c r="B1943" s="22" t="s">
        <v>3731</v>
      </c>
      <c r="C1943" s="23"/>
      <c r="D1943" s="24"/>
      <c r="E1943" s="25"/>
      <c r="F1943" s="26"/>
      <c r="G1943" s="27">
        <f>SUM(G1944:G1946)</f>
        <v>1571.9537544750003</v>
      </c>
      <c r="H1943" s="44">
        <f>G1943*E1935</f>
        <v>0</v>
      </c>
    </row>
    <row r="1944" spans="1:8" ht="12.75" customHeight="1">
      <c r="A1944" s="28"/>
      <c r="B1944" s="29" t="s">
        <v>3626</v>
      </c>
      <c r="C1944" s="30" t="str">
        <f>IFERROR(_xlfn.XLOOKUP(B1944,Equipo[DESCRIPCION],Equipo[UND],,0),"")</f>
        <v>%MO</v>
      </c>
      <c r="D1944" s="31">
        <v>0.05</v>
      </c>
      <c r="E1944" s="32">
        <f>IF(C1944="%MO",G1950,IFERROR(_xlfn.XLOOKUP($B1944,Equipo[DESCRIPCION],Equipo[VALOR],,0),""))</f>
        <v>31439.075089500006</v>
      </c>
      <c r="F1944" s="33"/>
      <c r="G1944" s="34">
        <f>IFERROR(IF(F1944&gt;=0,D1944*E1944*(1+F1944/100),ABS(D1944*E1944/F1944)),"")</f>
        <v>1571.9537544750003</v>
      </c>
      <c r="H1944" s="43">
        <f>IFERROR(G1944*E1935,"")</f>
        <v>0</v>
      </c>
    </row>
    <row r="1945" spans="1:8" ht="12.75" customHeight="1">
      <c r="A1945" s="28"/>
      <c r="B1945" s="29"/>
      <c r="C1945" s="30" t="str">
        <f>IFERROR(_xlfn.XLOOKUP(B1945,Equipo[DESCRIPCION],Equipo[UND],,0),"")</f>
        <v/>
      </c>
      <c r="D1945" s="31"/>
      <c r="E1945" s="32" t="str">
        <f>IF(C1945="%MO",G1950,IFERROR(_xlfn.XLOOKUP($B1945,Equipo[DESCRIPCION],Equipo[VALOR],,0),""))</f>
        <v/>
      </c>
      <c r="F1945" s="33"/>
      <c r="G1945" s="34" t="str">
        <f>IFERROR(IF(F1945&gt;=0,D1945*E1945*(1+F1945/100),ABS(D1945*E1945/F1945)),"")</f>
        <v/>
      </c>
      <c r="H1945" s="43" t="str">
        <f>IFERROR(G1945*E1935,"")</f>
        <v/>
      </c>
    </row>
    <row r="1946" spans="1:8" ht="12.75" customHeight="1">
      <c r="A1946" s="28"/>
      <c r="B1946" s="29"/>
      <c r="C1946" s="30" t="str">
        <f>IFERROR(_xlfn.XLOOKUP(B1946,Equipo[DESCRIPCION],Equipo[UND],,0),"")</f>
        <v/>
      </c>
      <c r="D1946" s="31"/>
      <c r="E1946" s="32" t="str">
        <f>IF(C1946="%MO",G1950,IFERROR(_xlfn.XLOOKUP($B1946,Equipo[DESCRIPCION],Equipo[VALOR],,0),""))</f>
        <v/>
      </c>
      <c r="F1946" s="33"/>
      <c r="G1946" s="34" t="str">
        <f>IFERROR(IF(F1946&gt;=0,D1946*E1946*(1+F1946/100),ABS(D1946*E1946/F1946)),"")</f>
        <v/>
      </c>
      <c r="H1946" s="43" t="str">
        <f>IFERROR(G1946*E1935,"")</f>
        <v/>
      </c>
    </row>
    <row r="1947" spans="1:8" ht="12.75" customHeight="1">
      <c r="A1947" s="21"/>
      <c r="B1947" s="22" t="s">
        <v>2533</v>
      </c>
      <c r="C1947" s="23"/>
      <c r="D1947" s="24"/>
      <c r="E1947" s="25"/>
      <c r="F1947" s="26"/>
      <c r="G1947" s="27">
        <f>SUM(G1948:G1949)</f>
        <v>0</v>
      </c>
      <c r="H1947" s="44">
        <f>G1947*E1935</f>
        <v>0</v>
      </c>
    </row>
    <row r="1948" spans="1:8" ht="12.75" customHeight="1">
      <c r="A1948" s="28"/>
      <c r="B1948" s="29"/>
      <c r="C1948" s="30" t="str">
        <f>IFERROR(_xlfn.XLOOKUP(B1948,Transporte[DESCRIPCION],Transporte[UND],,0),"")</f>
        <v/>
      </c>
      <c r="D1948" s="31"/>
      <c r="E1948" s="32" t="str">
        <f>IFERROR(_xlfn.XLOOKUP($B1948,Transporte[DESCRIPCION],Transporte[VALOR],,0),"")</f>
        <v/>
      </c>
      <c r="F1948" s="33"/>
      <c r="G1948" s="34" t="str">
        <f>IFERROR(IF(F1948&gt;=0,D1948*E1948*(1+F1948/100),ABS(D1948*E1948/F1948)),"")</f>
        <v/>
      </c>
      <c r="H1948" s="43" t="str">
        <f>IFERROR(G1948*E1935,"")</f>
        <v/>
      </c>
    </row>
    <row r="1949" spans="1:8" ht="12.75" customHeight="1">
      <c r="A1949" s="28"/>
      <c r="B1949" s="29"/>
      <c r="C1949" s="30" t="str">
        <f>IFERROR(_xlfn.XLOOKUP(B1949,Transporte[DESCRIPCION],Transporte[UND],,0),"")</f>
        <v/>
      </c>
      <c r="D1949" s="31"/>
      <c r="E1949" s="32" t="str">
        <f>IFERROR(_xlfn.XLOOKUP($B1949,Transporte[DESCRIPCION],Transporte[VALOR],,0),"")</f>
        <v/>
      </c>
      <c r="F1949" s="33"/>
      <c r="G1949" s="34" t="str">
        <f>IFERROR(IF(F1949&gt;=0,D1949*E1949*(1+F1949/100),ABS(D1949*E1949/F1949)),"")</f>
        <v/>
      </c>
      <c r="H1949" s="43" t="str">
        <f>IFERROR(G1949*E1935,"")</f>
        <v/>
      </c>
    </row>
    <row r="1950" spans="1:8" ht="12.75" customHeight="1">
      <c r="A1950" s="21"/>
      <c r="B1950" s="22" t="s">
        <v>3732</v>
      </c>
      <c r="C1950" s="23"/>
      <c r="D1950" s="24"/>
      <c r="E1950" s="25"/>
      <c r="F1950" s="26"/>
      <c r="G1950" s="27">
        <f>SUM(G1951:G1953)</f>
        <v>31439.075089500006</v>
      </c>
      <c r="H1950" s="44">
        <f>G1950*E1935</f>
        <v>0</v>
      </c>
    </row>
    <row r="1951" spans="1:8" ht="12.75" customHeight="1">
      <c r="A1951" s="28"/>
      <c r="B1951" s="29" t="s">
        <v>3710</v>
      </c>
      <c r="C1951" s="30" t="str">
        <f>IFERROR(_xlfn.XLOOKUP(B1951,MObra[DESCRIPCION],MObra[UN],,0),"")</f>
        <v>día</v>
      </c>
      <c r="D1951" s="31">
        <v>1</v>
      </c>
      <c r="E1951" s="32">
        <f>IFERROR(_xlfn.XLOOKUP($B1951,MObra[DESCRIPCION],MObra[VALOR UNIT],,0),"")</f>
        <v>314390.75089500006</v>
      </c>
      <c r="F1951" s="33">
        <v>-10</v>
      </c>
      <c r="G1951" s="34">
        <f>IFERROR(IF(F1951&gt;=0,D1951*E1951*(1+F1951/100),ABS(D1951*E1951/F1951)),"")</f>
        <v>31439.075089500006</v>
      </c>
      <c r="H1951" s="43">
        <f>IFERROR(G1951*E1935,"")</f>
        <v>0</v>
      </c>
    </row>
    <row r="1952" spans="1:8" ht="12.75" customHeight="1">
      <c r="A1952" s="28"/>
      <c r="B1952" s="29"/>
      <c r="C1952" s="30" t="str">
        <f>IFERROR(_xlfn.XLOOKUP(B1952,MObra[DESCRIPCION],MObra[UN],,0),"")</f>
        <v/>
      </c>
      <c r="D1952" s="31"/>
      <c r="E1952" s="32" t="str">
        <f>IFERROR(_xlfn.XLOOKUP($B1952,MObra[DESCRIPCION],MObra[VALOR UNIT],,0),"")</f>
        <v/>
      </c>
      <c r="F1952" s="33"/>
      <c r="G1952" s="34" t="str">
        <f>IFERROR(IF(F1952&gt;=0,D1952*E1952*(1+F1952/100),ABS(D1952*E1952/F1952)),"")</f>
        <v/>
      </c>
      <c r="H1952" s="43" t="str">
        <f>IFERROR(G1952*E1935,"")</f>
        <v/>
      </c>
    </row>
    <row r="1953" spans="1:10" ht="12.75" customHeight="1" thickBot="1">
      <c r="A1953" s="35"/>
      <c r="B1953" s="36"/>
      <c r="C1953" s="37" t="str">
        <f>IFERROR(_xlfn.XLOOKUP(B1953,MObra[DESCRIPCION],MObra[UN],,0),"")</f>
        <v/>
      </c>
      <c r="D1953" s="38"/>
      <c r="E1953" s="39" t="str">
        <f>IFERROR(_xlfn.XLOOKUP($B1953,MObra[DESCRIPCION],MObra[VALOR UNIT],,0),"")</f>
        <v/>
      </c>
      <c r="F1953" s="40"/>
      <c r="G1953" s="41" t="str">
        <f>IFERROR(IF(F1953&gt;=0,D1953*E1953*(1+F1953/100),ABS(D1953*E1953/F1953)),"")</f>
        <v/>
      </c>
      <c r="H1953" s="42" t="str">
        <f>IFERROR(G1953*E1935,"")</f>
        <v/>
      </c>
    </row>
    <row r="1954" spans="1:10" ht="12.75" customHeight="1" thickTop="1" thickBot="1"/>
    <row r="1955" spans="1:10" ht="12.75" customHeight="1" thickTop="1" thickBot="1">
      <c r="A1955" s="6" t="s">
        <v>1291</v>
      </c>
      <c r="B1955" s="7" t="str">
        <f>VLOOKUP($A1955,Presupuesto!$A:$D,2,FALSE())</f>
        <v>Guarda escoba baldosa cemento</v>
      </c>
      <c r="C1955" s="8" t="str">
        <f>VLOOKUP($A1955,Presupuesto!$A:$D,3,FALSE())</f>
        <v>M</v>
      </c>
      <c r="D1955" s="9"/>
      <c r="E1955" s="10">
        <f>VLOOKUP($A1955,Presupuesto!$A:$D,4,FALSE())</f>
        <v>0</v>
      </c>
      <c r="F1955" s="11" t="s">
        <v>2589</v>
      </c>
      <c r="G1955" s="12">
        <f>SUM(G1957:G1973)/2</f>
        <v>28577.033671987505</v>
      </c>
      <c r="H1955" s="13">
        <f>ROUND(SUM(H1957:H1973),0)/2</f>
        <v>0</v>
      </c>
      <c r="I1955" s="10">
        <f>VLOOKUP(A1955,Presupuesto!$A:$F,6,0)</f>
        <v>0</v>
      </c>
      <c r="J1955" s="10">
        <f>+H1955-I1955</f>
        <v>0</v>
      </c>
    </row>
    <row r="1956" spans="1:10" ht="12.75" customHeight="1" thickTop="1">
      <c r="A1956" s="14"/>
      <c r="B1956" s="15" t="s">
        <v>2586</v>
      </c>
      <c r="C1956" s="15" t="s">
        <v>5</v>
      </c>
      <c r="D1956" s="16" t="s">
        <v>6</v>
      </c>
      <c r="E1956" s="17" t="s">
        <v>7</v>
      </c>
      <c r="F1956" s="18" t="s">
        <v>3728</v>
      </c>
      <c r="G1956" s="19" t="s">
        <v>3729</v>
      </c>
      <c r="H1956" s="20" t="s">
        <v>3797</v>
      </c>
    </row>
    <row r="1957" spans="1:10" ht="12.75" customHeight="1">
      <c r="A1957" s="21"/>
      <c r="B1957" s="22" t="s">
        <v>3730</v>
      </c>
      <c r="C1957" s="23"/>
      <c r="D1957" s="24"/>
      <c r="E1957" s="25"/>
      <c r="F1957" s="26"/>
      <c r="G1957" s="27">
        <f>SUM(G1958:G1962)</f>
        <v>12071.519250000001</v>
      </c>
      <c r="H1957" s="27">
        <f>IFERROR(G1957*E1955,"")</f>
        <v>0</v>
      </c>
    </row>
    <row r="1958" spans="1:10" ht="12.75" customHeight="1">
      <c r="A1958" s="28"/>
      <c r="B1958" s="29" t="s">
        <v>2725</v>
      </c>
      <c r="C1958" s="30" t="str">
        <f>IFERROR(_xlfn.XLOOKUP(B1958,Insumo[DESCRIPCION],Insumo[UND],,0),"")</f>
        <v>M2</v>
      </c>
      <c r="D1958" s="31">
        <v>0.1</v>
      </c>
      <c r="E1958" s="32">
        <f>IFERROR(_xlfn.XLOOKUP($B1958,Insumo[DESCRIPCION],Insumo[VALOR],,0),"")</f>
        <v>102182.85</v>
      </c>
      <c r="F1958" s="33">
        <v>5</v>
      </c>
      <c r="G1958" s="34">
        <f>IFERROR(IF(F1958&gt;=0,D1958*E1958*(1+F1958/100),ABS(D1958*E1958/F1958)),"")</f>
        <v>10729.199250000001</v>
      </c>
      <c r="H1958" s="43">
        <f>IFERROR(G1958*E1955,"")</f>
        <v>0</v>
      </c>
    </row>
    <row r="1959" spans="1:10" ht="12.75" customHeight="1">
      <c r="A1959" s="28"/>
      <c r="B1959" s="29" t="s">
        <v>3193</v>
      </c>
      <c r="C1959" s="30" t="str">
        <f>IFERROR(_xlfn.XLOOKUP(B1959,Insumo[DESCRIPCION],Insumo[UND],,0),"")</f>
        <v>Kg</v>
      </c>
      <c r="D1959" s="31">
        <v>0.1</v>
      </c>
      <c r="E1959" s="32">
        <f>IFERROR(_xlfn.XLOOKUP($B1959,Insumo[DESCRIPCION],Insumo[VALOR],,0),"")</f>
        <v>13423.2</v>
      </c>
      <c r="F1959" s="33"/>
      <c r="G1959" s="34">
        <f>IFERROR(IF(F1959&gt;=0,D1959*E1959*(1+F1959/100),ABS(D1959*E1959/F1959)),"")</f>
        <v>1342.3200000000002</v>
      </c>
      <c r="H1959" s="43">
        <f>IFERROR(G1959*E1955,"")</f>
        <v>0</v>
      </c>
    </row>
    <row r="1960" spans="1:10" ht="12.75" customHeight="1">
      <c r="A1960" s="28"/>
      <c r="B1960" s="29"/>
      <c r="C1960" s="30" t="str">
        <f>IFERROR(_xlfn.XLOOKUP(B1960,Insumo[DESCRIPCION],Insumo[UND],,0),"")</f>
        <v/>
      </c>
      <c r="D1960" s="31"/>
      <c r="E1960" s="32" t="str">
        <f>IFERROR(_xlfn.XLOOKUP($B1960,Insumo[DESCRIPCION],Insumo[VALOR],,0),"")</f>
        <v/>
      </c>
      <c r="F1960" s="33"/>
      <c r="G1960" s="34" t="str">
        <f>IFERROR(IF(F1960&gt;=0,D1960*E1960*(1+F1960/100),ABS(D1960*E1960/F1960)),"")</f>
        <v/>
      </c>
      <c r="H1960" s="43" t="str">
        <f>IFERROR(G1960*E1955,"")</f>
        <v/>
      </c>
    </row>
    <row r="1961" spans="1:10" ht="12.75" customHeight="1">
      <c r="A1961" s="28"/>
      <c r="B1961" s="29"/>
      <c r="C1961" s="30" t="str">
        <f>IFERROR(_xlfn.XLOOKUP(B1961,Insumo[DESCRIPCION],Insumo[UND],,0),"")</f>
        <v/>
      </c>
      <c r="D1961" s="31"/>
      <c r="E1961" s="32" t="str">
        <f>IFERROR(_xlfn.XLOOKUP($B1961,Insumo[DESCRIPCION],Insumo[VALOR],,0),"")</f>
        <v/>
      </c>
      <c r="F1961" s="33"/>
      <c r="G1961" s="34" t="str">
        <f>IFERROR(IF(F1961&gt;=0,D1961*E1961*(1+F1961/100),ABS(D1961*E1961/F1961)),"")</f>
        <v/>
      </c>
      <c r="H1961" s="43" t="str">
        <f>IFERROR(G1961*E1955,"")</f>
        <v/>
      </c>
    </row>
    <row r="1962" spans="1:10" ht="12.75" customHeight="1">
      <c r="A1962" s="28"/>
      <c r="B1962" s="29"/>
      <c r="C1962" s="30" t="str">
        <f>IFERROR(_xlfn.XLOOKUP(B1962,Insumo[DESCRIPCION],Insumo[UND],,0),"")</f>
        <v/>
      </c>
      <c r="D1962" s="31"/>
      <c r="E1962" s="32" t="str">
        <f>IFERROR(_xlfn.XLOOKUP($B1962,Insumo[DESCRIPCION],Insumo[VALOR],,0),"")</f>
        <v/>
      </c>
      <c r="F1962" s="33"/>
      <c r="G1962" s="34" t="str">
        <f>IFERROR(IF(F1962&gt;=0,D1962*E1962*(1+F1962/100),ABS(D1962*E1962/F1962)),"")</f>
        <v/>
      </c>
      <c r="H1962" s="43" t="str">
        <f>IFERROR(G1962*E1955,"")</f>
        <v/>
      </c>
    </row>
    <row r="1963" spans="1:10" ht="12.75" customHeight="1">
      <c r="A1963" s="21"/>
      <c r="B1963" s="22" t="s">
        <v>3731</v>
      </c>
      <c r="C1963" s="23"/>
      <c r="D1963" s="24"/>
      <c r="E1963" s="25"/>
      <c r="F1963" s="26"/>
      <c r="G1963" s="27">
        <f>SUM(G1964:G1966)</f>
        <v>785.97687723750016</v>
      </c>
      <c r="H1963" s="44">
        <f>G1963*E1955</f>
        <v>0</v>
      </c>
    </row>
    <row r="1964" spans="1:10" ht="12.75" customHeight="1">
      <c r="A1964" s="28"/>
      <c r="B1964" s="29" t="s">
        <v>3626</v>
      </c>
      <c r="C1964" s="30" t="str">
        <f>IFERROR(_xlfn.XLOOKUP(B1964,Equipo[DESCRIPCION],Equipo[UND],,0),"")</f>
        <v>%MO</v>
      </c>
      <c r="D1964" s="31">
        <v>0.05</v>
      </c>
      <c r="E1964" s="32">
        <f>IF(C1964="%MO",G1970,IFERROR(_xlfn.XLOOKUP($B1964,Equipo[DESCRIPCION],Equipo[VALOR],,0),""))</f>
        <v>15719.537544750003</v>
      </c>
      <c r="F1964" s="33"/>
      <c r="G1964" s="34">
        <f>IFERROR(IF(F1964&gt;=0,D1964*E1964*(1+F1964/100),ABS(D1964*E1964/F1964)),"")</f>
        <v>785.97687723750016</v>
      </c>
      <c r="H1964" s="43">
        <f>IFERROR(G1964*E1955,"")</f>
        <v>0</v>
      </c>
    </row>
    <row r="1965" spans="1:10" ht="12.75" customHeight="1">
      <c r="A1965" s="28"/>
      <c r="B1965" s="29"/>
      <c r="C1965" s="30" t="str">
        <f>IFERROR(_xlfn.XLOOKUP(B1965,Equipo[DESCRIPCION],Equipo[UND],,0),"")</f>
        <v/>
      </c>
      <c r="D1965" s="31"/>
      <c r="E1965" s="32" t="str">
        <f>IF(C1965="%MO",G1970,IFERROR(_xlfn.XLOOKUP($B1965,Equipo[DESCRIPCION],Equipo[VALOR],,0),""))</f>
        <v/>
      </c>
      <c r="F1965" s="33"/>
      <c r="G1965" s="34" t="str">
        <f>IFERROR(IF(F1965&gt;=0,D1965*E1965*(1+F1965/100),ABS(D1965*E1965/F1965)),"")</f>
        <v/>
      </c>
      <c r="H1965" s="43" t="str">
        <f>IFERROR(G1965*E1955,"")</f>
        <v/>
      </c>
    </row>
    <row r="1966" spans="1:10" ht="12.75" customHeight="1">
      <c r="A1966" s="28"/>
      <c r="B1966" s="29"/>
      <c r="C1966" s="30" t="str">
        <f>IFERROR(_xlfn.XLOOKUP(B1966,Equipo[DESCRIPCION],Equipo[UND],,0),"")</f>
        <v/>
      </c>
      <c r="D1966" s="31"/>
      <c r="E1966" s="32" t="str">
        <f>IF(C1966="%MO",G1970,IFERROR(_xlfn.XLOOKUP($B1966,Equipo[DESCRIPCION],Equipo[VALOR],,0),""))</f>
        <v/>
      </c>
      <c r="F1966" s="33"/>
      <c r="G1966" s="34" t="str">
        <f>IFERROR(IF(F1966&gt;=0,D1966*E1966*(1+F1966/100),ABS(D1966*E1966/F1966)),"")</f>
        <v/>
      </c>
      <c r="H1966" s="43" t="str">
        <f>IFERROR(G1966*E1955,"")</f>
        <v/>
      </c>
    </row>
    <row r="1967" spans="1:10" ht="12.75" customHeight="1">
      <c r="A1967" s="21"/>
      <c r="B1967" s="22" t="s">
        <v>2533</v>
      </c>
      <c r="C1967" s="23"/>
      <c r="D1967" s="24"/>
      <c r="E1967" s="25"/>
      <c r="F1967" s="26"/>
      <c r="G1967" s="27">
        <f>SUM(G1968:G1969)</f>
        <v>0</v>
      </c>
      <c r="H1967" s="44">
        <f>G1967*E1955</f>
        <v>0</v>
      </c>
    </row>
    <row r="1968" spans="1:10" ht="12.75" customHeight="1">
      <c r="A1968" s="28"/>
      <c r="B1968" s="29"/>
      <c r="C1968" s="30" t="str">
        <f>IFERROR(_xlfn.XLOOKUP(B1968,Transporte[DESCRIPCION],Transporte[UND],,0),"")</f>
        <v/>
      </c>
      <c r="D1968" s="31"/>
      <c r="E1968" s="32" t="str">
        <f>IFERROR(_xlfn.XLOOKUP($B1968,Transporte[DESCRIPCION],Transporte[VALOR],,0),"")</f>
        <v/>
      </c>
      <c r="F1968" s="33"/>
      <c r="G1968" s="34" t="str">
        <f>IFERROR(IF(F1968&gt;=0,D1968*E1968*(1+F1968/100),ABS(D1968*E1968/F1968)),"")</f>
        <v/>
      </c>
      <c r="H1968" s="43" t="str">
        <f>IFERROR(G1968*E1955,"")</f>
        <v/>
      </c>
    </row>
    <row r="1969" spans="1:10" ht="12.75" customHeight="1">
      <c r="A1969" s="28"/>
      <c r="B1969" s="29"/>
      <c r="C1969" s="30" t="str">
        <f>IFERROR(_xlfn.XLOOKUP(B1969,Transporte[DESCRIPCION],Transporte[UND],,0),"")</f>
        <v/>
      </c>
      <c r="D1969" s="31"/>
      <c r="E1969" s="32" t="str">
        <f>IFERROR(_xlfn.XLOOKUP($B1969,Transporte[DESCRIPCION],Transporte[VALOR],,0),"")</f>
        <v/>
      </c>
      <c r="F1969" s="33"/>
      <c r="G1969" s="34" t="str">
        <f>IFERROR(IF(F1969&gt;=0,D1969*E1969*(1+F1969/100),ABS(D1969*E1969/F1969)),"")</f>
        <v/>
      </c>
      <c r="H1969" s="43" t="str">
        <f>IFERROR(G1969*E1955,"")</f>
        <v/>
      </c>
    </row>
    <row r="1970" spans="1:10" ht="12.75" customHeight="1">
      <c r="A1970" s="21"/>
      <c r="B1970" s="22" t="s">
        <v>3732</v>
      </c>
      <c r="C1970" s="23"/>
      <c r="D1970" s="24"/>
      <c r="E1970" s="25"/>
      <c r="F1970" s="26"/>
      <c r="G1970" s="27">
        <f>SUM(G1971:G1973)</f>
        <v>15719.537544750003</v>
      </c>
      <c r="H1970" s="44">
        <f>G1970*E1955</f>
        <v>0</v>
      </c>
    </row>
    <row r="1971" spans="1:10" ht="12.75" customHeight="1">
      <c r="A1971" s="28"/>
      <c r="B1971" s="29" t="s">
        <v>3710</v>
      </c>
      <c r="C1971" s="30" t="str">
        <f>IFERROR(_xlfn.XLOOKUP(B1971,MObra[DESCRIPCION],MObra[UN],,0),"")</f>
        <v>día</v>
      </c>
      <c r="D1971" s="31">
        <v>1</v>
      </c>
      <c r="E1971" s="32">
        <f>IFERROR(_xlfn.XLOOKUP($B1971,MObra[DESCRIPCION],MObra[VALOR UNIT],,0),"")</f>
        <v>314390.75089500006</v>
      </c>
      <c r="F1971" s="33">
        <v>-20</v>
      </c>
      <c r="G1971" s="34">
        <f>IFERROR(IF(F1971&gt;=0,D1971*E1971*(1+F1971/100),ABS(D1971*E1971/F1971)),"")</f>
        <v>15719.537544750003</v>
      </c>
      <c r="H1971" s="43">
        <f>IFERROR(G1971*E1955,"")</f>
        <v>0</v>
      </c>
    </row>
    <row r="1972" spans="1:10" ht="12.75" customHeight="1">
      <c r="A1972" s="28"/>
      <c r="B1972" s="29"/>
      <c r="C1972" s="30" t="str">
        <f>IFERROR(_xlfn.XLOOKUP(B1972,MObra[DESCRIPCION],MObra[UN],,0),"")</f>
        <v/>
      </c>
      <c r="D1972" s="31"/>
      <c r="E1972" s="32" t="str">
        <f>IFERROR(_xlfn.XLOOKUP($B1972,MObra[DESCRIPCION],MObra[VALOR UNIT],,0),"")</f>
        <v/>
      </c>
      <c r="F1972" s="33"/>
      <c r="G1972" s="34" t="str">
        <f>IFERROR(IF(F1972&gt;=0,D1972*E1972*(1+F1972/100),ABS(D1972*E1972/F1972)),"")</f>
        <v/>
      </c>
      <c r="H1972" s="43" t="str">
        <f>IFERROR(G1972*E1955,"")</f>
        <v/>
      </c>
    </row>
    <row r="1973" spans="1:10" ht="12.75" customHeight="1" thickBot="1">
      <c r="A1973" s="35"/>
      <c r="B1973" s="36"/>
      <c r="C1973" s="37" t="str">
        <f>IFERROR(_xlfn.XLOOKUP(B1973,MObra[DESCRIPCION],MObra[UN],,0),"")</f>
        <v/>
      </c>
      <c r="D1973" s="38"/>
      <c r="E1973" s="39" t="str">
        <f>IFERROR(_xlfn.XLOOKUP($B1973,MObra[DESCRIPCION],MObra[VALOR UNIT],,0),"")</f>
        <v/>
      </c>
      <c r="F1973" s="40"/>
      <c r="G1973" s="41" t="str">
        <f>IFERROR(IF(F1973&gt;=0,D1973*E1973*(1+F1973/100),ABS(D1973*E1973/F1973)),"")</f>
        <v/>
      </c>
      <c r="H1973" s="42" t="str">
        <f>IFERROR(G1973*E1955,"")</f>
        <v/>
      </c>
    </row>
    <row r="1974" spans="1:10" ht="12.75" customHeight="1" thickTop="1" thickBot="1"/>
    <row r="1975" spans="1:10" ht="12.75" customHeight="1" thickTop="1" thickBot="1">
      <c r="A1975" s="6" t="s">
        <v>1293</v>
      </c>
      <c r="B1975" s="7" t="str">
        <f>VLOOKUP($A1975,Presupuesto!$A:$D,2,FALSE())</f>
        <v>Guarda escoba baldosa cerámica</v>
      </c>
      <c r="C1975" s="8" t="str">
        <f>VLOOKUP($A1975,Presupuesto!$A:$D,3,FALSE())</f>
        <v>M</v>
      </c>
      <c r="D1975" s="9"/>
      <c r="E1975" s="10">
        <f>VLOOKUP($A1975,Presupuesto!$A:$D,4,FALSE())</f>
        <v>0</v>
      </c>
      <c r="F1975" s="11" t="s">
        <v>2589</v>
      </c>
      <c r="G1975" s="12">
        <f>SUM(G1977:G1993)/2</f>
        <v>23834.960671987505</v>
      </c>
      <c r="H1975" s="13">
        <f>ROUND(SUM(H1977:H1993),0)/2</f>
        <v>0</v>
      </c>
      <c r="I1975" s="10">
        <f>VLOOKUP(A1975,Presupuesto!$A:$F,6,0)</f>
        <v>0</v>
      </c>
      <c r="J1975" s="10">
        <f>+H1975-I1975</f>
        <v>0</v>
      </c>
    </row>
    <row r="1976" spans="1:10" ht="12.75" customHeight="1" thickTop="1">
      <c r="A1976" s="14"/>
      <c r="B1976" s="15" t="s">
        <v>2586</v>
      </c>
      <c r="C1976" s="15" t="s">
        <v>5</v>
      </c>
      <c r="D1976" s="16" t="s">
        <v>6</v>
      </c>
      <c r="E1976" s="17" t="s">
        <v>7</v>
      </c>
      <c r="F1976" s="18" t="s">
        <v>3728</v>
      </c>
      <c r="G1976" s="19" t="s">
        <v>3729</v>
      </c>
      <c r="H1976" s="20" t="s">
        <v>3797</v>
      </c>
    </row>
    <row r="1977" spans="1:10" ht="12.75" customHeight="1">
      <c r="A1977" s="21"/>
      <c r="B1977" s="22" t="s">
        <v>3730</v>
      </c>
      <c r="C1977" s="23"/>
      <c r="D1977" s="24"/>
      <c r="E1977" s="25"/>
      <c r="F1977" s="26"/>
      <c r="G1977" s="27">
        <f>SUM(G1978:G1982)</f>
        <v>7329.4462500000009</v>
      </c>
      <c r="H1977" s="27">
        <f>IFERROR(G1977*E1975,"")</f>
        <v>0</v>
      </c>
    </row>
    <row r="1978" spans="1:10" ht="12.75" customHeight="1">
      <c r="A1978" s="28"/>
      <c r="B1978" s="29" t="s">
        <v>2938</v>
      </c>
      <c r="C1978" s="30" t="str">
        <f>IFERROR(_xlfn.XLOOKUP(B1978,Insumo[DESCRIPCION],Insumo[UND],,0),"")</f>
        <v>M2</v>
      </c>
      <c r="D1978" s="31">
        <v>0.1</v>
      </c>
      <c r="E1978" s="32">
        <f>IFERROR(_xlfn.XLOOKUP($B1978,Insumo[DESCRIPCION],Insumo[VALOR],,0),"")</f>
        <v>57020.25</v>
      </c>
      <c r="F1978" s="33">
        <v>5</v>
      </c>
      <c r="G1978" s="34">
        <f>IFERROR(IF(F1978&gt;=0,D1978*E1978*(1+F1978/100),ABS(D1978*E1978/F1978)),"")</f>
        <v>5987.1262500000012</v>
      </c>
      <c r="H1978" s="43">
        <f>IFERROR(G1978*E1975,"")</f>
        <v>0</v>
      </c>
    </row>
    <row r="1979" spans="1:10" ht="12.75" customHeight="1">
      <c r="A1979" s="28"/>
      <c r="B1979" s="29" t="s">
        <v>3193</v>
      </c>
      <c r="C1979" s="30" t="str">
        <f>IFERROR(_xlfn.XLOOKUP(B1979,Insumo[DESCRIPCION],Insumo[UND],,0),"")</f>
        <v>Kg</v>
      </c>
      <c r="D1979" s="31">
        <v>0.1</v>
      </c>
      <c r="E1979" s="32">
        <f>IFERROR(_xlfn.XLOOKUP($B1979,Insumo[DESCRIPCION],Insumo[VALOR],,0),"")</f>
        <v>13423.2</v>
      </c>
      <c r="F1979" s="33"/>
      <c r="G1979" s="34">
        <f>IFERROR(IF(F1979&gt;=0,D1979*E1979*(1+F1979/100),ABS(D1979*E1979/F1979)),"")</f>
        <v>1342.3200000000002</v>
      </c>
      <c r="H1979" s="43">
        <f>IFERROR(G1979*E1975,"")</f>
        <v>0</v>
      </c>
    </row>
    <row r="1980" spans="1:10" ht="12.75" customHeight="1">
      <c r="A1980" s="28"/>
      <c r="B1980" s="29"/>
      <c r="C1980" s="30" t="str">
        <f>IFERROR(_xlfn.XLOOKUP(B1980,Insumo[DESCRIPCION],Insumo[UND],,0),"")</f>
        <v/>
      </c>
      <c r="D1980" s="31"/>
      <c r="E1980" s="32" t="str">
        <f>IFERROR(_xlfn.XLOOKUP($B1980,Insumo[DESCRIPCION],Insumo[VALOR],,0),"")</f>
        <v/>
      </c>
      <c r="F1980" s="33"/>
      <c r="G1980" s="34" t="str">
        <f>IFERROR(IF(F1980&gt;=0,D1980*E1980*(1+F1980/100),ABS(D1980*E1980/F1980)),"")</f>
        <v/>
      </c>
      <c r="H1980" s="43" t="str">
        <f>IFERROR(G1980*E1975,"")</f>
        <v/>
      </c>
    </row>
    <row r="1981" spans="1:10" ht="12.75" customHeight="1">
      <c r="A1981" s="28"/>
      <c r="B1981" s="29"/>
      <c r="C1981" s="30" t="str">
        <f>IFERROR(_xlfn.XLOOKUP(B1981,Insumo[DESCRIPCION],Insumo[UND],,0),"")</f>
        <v/>
      </c>
      <c r="D1981" s="31"/>
      <c r="E1981" s="32" t="str">
        <f>IFERROR(_xlfn.XLOOKUP($B1981,Insumo[DESCRIPCION],Insumo[VALOR],,0),"")</f>
        <v/>
      </c>
      <c r="F1981" s="33"/>
      <c r="G1981" s="34" t="str">
        <f>IFERROR(IF(F1981&gt;=0,D1981*E1981*(1+F1981/100),ABS(D1981*E1981/F1981)),"")</f>
        <v/>
      </c>
      <c r="H1981" s="43" t="str">
        <f>IFERROR(G1981*E1975,"")</f>
        <v/>
      </c>
    </row>
    <row r="1982" spans="1:10" ht="12.75" customHeight="1">
      <c r="A1982" s="28"/>
      <c r="B1982" s="29"/>
      <c r="C1982" s="30" t="str">
        <f>IFERROR(_xlfn.XLOOKUP(B1982,Insumo[DESCRIPCION],Insumo[UND],,0),"")</f>
        <v/>
      </c>
      <c r="D1982" s="31"/>
      <c r="E1982" s="32" t="str">
        <f>IFERROR(_xlfn.XLOOKUP($B1982,Insumo[DESCRIPCION],Insumo[VALOR],,0),"")</f>
        <v/>
      </c>
      <c r="F1982" s="33"/>
      <c r="G1982" s="34" t="str">
        <f>IFERROR(IF(F1982&gt;=0,D1982*E1982*(1+F1982/100),ABS(D1982*E1982/F1982)),"")</f>
        <v/>
      </c>
      <c r="H1982" s="43" t="str">
        <f>IFERROR(G1982*E1975,"")</f>
        <v/>
      </c>
    </row>
    <row r="1983" spans="1:10" ht="12.75" customHeight="1">
      <c r="A1983" s="21"/>
      <c r="B1983" s="22" t="s">
        <v>3731</v>
      </c>
      <c r="C1983" s="23"/>
      <c r="D1983" s="24"/>
      <c r="E1983" s="25"/>
      <c r="F1983" s="26"/>
      <c r="G1983" s="27">
        <f>SUM(G1984:G1986)</f>
        <v>785.97687723750016</v>
      </c>
      <c r="H1983" s="44">
        <f>G1983*E1975</f>
        <v>0</v>
      </c>
    </row>
    <row r="1984" spans="1:10" ht="12.75" customHeight="1">
      <c r="A1984" s="28"/>
      <c r="B1984" s="29" t="s">
        <v>3626</v>
      </c>
      <c r="C1984" s="30" t="str">
        <f>IFERROR(_xlfn.XLOOKUP(B1984,Equipo[DESCRIPCION],Equipo[UND],,0),"")</f>
        <v>%MO</v>
      </c>
      <c r="D1984" s="31">
        <v>0.05</v>
      </c>
      <c r="E1984" s="32">
        <f>IF(C1984="%MO",G1990,IFERROR(_xlfn.XLOOKUP($B1984,Equipo[DESCRIPCION],Equipo[VALOR],,0),""))</f>
        <v>15719.537544750003</v>
      </c>
      <c r="F1984" s="33"/>
      <c r="G1984" s="34">
        <f>IFERROR(IF(F1984&gt;=0,D1984*E1984*(1+F1984/100),ABS(D1984*E1984/F1984)),"")</f>
        <v>785.97687723750016</v>
      </c>
      <c r="H1984" s="43">
        <f>IFERROR(G1984*E1975,"")</f>
        <v>0</v>
      </c>
    </row>
    <row r="1985" spans="1:10" ht="12.75" customHeight="1">
      <c r="A1985" s="28"/>
      <c r="B1985" s="29"/>
      <c r="C1985" s="30" t="str">
        <f>IFERROR(_xlfn.XLOOKUP(B1985,Equipo[DESCRIPCION],Equipo[UND],,0),"")</f>
        <v/>
      </c>
      <c r="D1985" s="31"/>
      <c r="E1985" s="32" t="str">
        <f>IF(C1985="%MO",G1990,IFERROR(_xlfn.XLOOKUP($B1985,Equipo[DESCRIPCION],Equipo[VALOR],,0),""))</f>
        <v/>
      </c>
      <c r="F1985" s="33"/>
      <c r="G1985" s="34" t="str">
        <f>IFERROR(IF(F1985&gt;=0,D1985*E1985*(1+F1985/100),ABS(D1985*E1985/F1985)),"")</f>
        <v/>
      </c>
      <c r="H1985" s="43" t="str">
        <f>IFERROR(G1985*E1975,"")</f>
        <v/>
      </c>
    </row>
    <row r="1986" spans="1:10" ht="12.75" customHeight="1">
      <c r="A1986" s="28"/>
      <c r="B1986" s="29"/>
      <c r="C1986" s="30" t="str">
        <f>IFERROR(_xlfn.XLOOKUP(B1986,Equipo[DESCRIPCION],Equipo[UND],,0),"")</f>
        <v/>
      </c>
      <c r="D1986" s="31"/>
      <c r="E1986" s="32" t="str">
        <f>IF(C1986="%MO",G1990,IFERROR(_xlfn.XLOOKUP($B1986,Equipo[DESCRIPCION],Equipo[VALOR],,0),""))</f>
        <v/>
      </c>
      <c r="F1986" s="33"/>
      <c r="G1986" s="34" t="str">
        <f>IFERROR(IF(F1986&gt;=0,D1986*E1986*(1+F1986/100),ABS(D1986*E1986/F1986)),"")</f>
        <v/>
      </c>
      <c r="H1986" s="43" t="str">
        <f>IFERROR(G1986*E1975,"")</f>
        <v/>
      </c>
    </row>
    <row r="1987" spans="1:10" ht="12.75" customHeight="1">
      <c r="A1987" s="21"/>
      <c r="B1987" s="22" t="s">
        <v>2533</v>
      </c>
      <c r="C1987" s="23"/>
      <c r="D1987" s="24"/>
      <c r="E1987" s="25"/>
      <c r="F1987" s="26"/>
      <c r="G1987" s="27">
        <f>SUM(G1988:G1989)</f>
        <v>0</v>
      </c>
      <c r="H1987" s="44">
        <f>G1987*E1975</f>
        <v>0</v>
      </c>
    </row>
    <row r="1988" spans="1:10" ht="12.75" customHeight="1">
      <c r="A1988" s="28"/>
      <c r="B1988" s="29"/>
      <c r="C1988" s="30" t="str">
        <f>IFERROR(_xlfn.XLOOKUP(B1988,Transporte[DESCRIPCION],Transporte[UND],,0),"")</f>
        <v/>
      </c>
      <c r="D1988" s="31"/>
      <c r="E1988" s="32" t="str">
        <f>IFERROR(_xlfn.XLOOKUP($B1988,Transporte[DESCRIPCION],Transporte[VALOR],,0),"")</f>
        <v/>
      </c>
      <c r="F1988" s="33"/>
      <c r="G1988" s="34" t="str">
        <f>IFERROR(IF(F1988&gt;=0,D1988*E1988*(1+F1988/100),ABS(D1988*E1988/F1988)),"")</f>
        <v/>
      </c>
      <c r="H1988" s="43" t="str">
        <f>IFERROR(G1988*E1975,"")</f>
        <v/>
      </c>
    </row>
    <row r="1989" spans="1:10" ht="12.75" customHeight="1">
      <c r="A1989" s="28"/>
      <c r="B1989" s="29"/>
      <c r="C1989" s="30" t="str">
        <f>IFERROR(_xlfn.XLOOKUP(B1989,Transporte[DESCRIPCION],Transporte[UND],,0),"")</f>
        <v/>
      </c>
      <c r="D1989" s="31"/>
      <c r="E1989" s="32" t="str">
        <f>IFERROR(_xlfn.XLOOKUP($B1989,Transporte[DESCRIPCION],Transporte[VALOR],,0),"")</f>
        <v/>
      </c>
      <c r="F1989" s="33"/>
      <c r="G1989" s="34" t="str">
        <f>IFERROR(IF(F1989&gt;=0,D1989*E1989*(1+F1989/100),ABS(D1989*E1989/F1989)),"")</f>
        <v/>
      </c>
      <c r="H1989" s="43" t="str">
        <f>IFERROR(G1989*E1975,"")</f>
        <v/>
      </c>
    </row>
    <row r="1990" spans="1:10" ht="12.75" customHeight="1">
      <c r="A1990" s="21"/>
      <c r="B1990" s="22" t="s">
        <v>3732</v>
      </c>
      <c r="C1990" s="23"/>
      <c r="D1990" s="24"/>
      <c r="E1990" s="25"/>
      <c r="F1990" s="26"/>
      <c r="G1990" s="27">
        <f>SUM(G1991:G1993)</f>
        <v>15719.537544750003</v>
      </c>
      <c r="H1990" s="44">
        <f>G1990*E1975</f>
        <v>0</v>
      </c>
    </row>
    <row r="1991" spans="1:10" ht="12.75" customHeight="1">
      <c r="A1991" s="28"/>
      <c r="B1991" s="29" t="s">
        <v>3710</v>
      </c>
      <c r="C1991" s="30" t="str">
        <f>IFERROR(_xlfn.XLOOKUP(B1991,MObra[DESCRIPCION],MObra[UN],,0),"")</f>
        <v>día</v>
      </c>
      <c r="D1991" s="31">
        <v>1</v>
      </c>
      <c r="E1991" s="32">
        <f>IFERROR(_xlfn.XLOOKUP($B1991,MObra[DESCRIPCION],MObra[VALOR UNIT],,0),"")</f>
        <v>314390.75089500006</v>
      </c>
      <c r="F1991" s="33">
        <v>-20</v>
      </c>
      <c r="G1991" s="34">
        <f>IFERROR(IF(F1991&gt;=0,D1991*E1991*(1+F1991/100),ABS(D1991*E1991/F1991)),"")</f>
        <v>15719.537544750003</v>
      </c>
      <c r="H1991" s="43">
        <f>IFERROR(G1991*E1975,"")</f>
        <v>0</v>
      </c>
    </row>
    <row r="1992" spans="1:10" ht="12.75" customHeight="1">
      <c r="A1992" s="28"/>
      <c r="B1992" s="29"/>
      <c r="C1992" s="30" t="str">
        <f>IFERROR(_xlfn.XLOOKUP(B1992,MObra[DESCRIPCION],MObra[UN],,0),"")</f>
        <v/>
      </c>
      <c r="D1992" s="31"/>
      <c r="E1992" s="32" t="str">
        <f>IFERROR(_xlfn.XLOOKUP($B1992,MObra[DESCRIPCION],MObra[VALOR UNIT],,0),"")</f>
        <v/>
      </c>
      <c r="F1992" s="33"/>
      <c r="G1992" s="34" t="str">
        <f>IFERROR(IF(F1992&gt;=0,D1992*E1992*(1+F1992/100),ABS(D1992*E1992/F1992)),"")</f>
        <v/>
      </c>
      <c r="H1992" s="43" t="str">
        <f>IFERROR(G1992*E1975,"")</f>
        <v/>
      </c>
    </row>
    <row r="1993" spans="1:10" ht="12.75" customHeight="1" thickBot="1">
      <c r="A1993" s="35"/>
      <c r="B1993" s="36"/>
      <c r="C1993" s="37" t="str">
        <f>IFERROR(_xlfn.XLOOKUP(B1993,MObra[DESCRIPCION],MObra[UN],,0),"")</f>
        <v/>
      </c>
      <c r="D1993" s="38"/>
      <c r="E1993" s="39" t="str">
        <f>IFERROR(_xlfn.XLOOKUP($B1993,MObra[DESCRIPCION],MObra[VALOR UNIT],,0),"")</f>
        <v/>
      </c>
      <c r="F1993" s="40"/>
      <c r="G1993" s="41" t="str">
        <f>IFERROR(IF(F1993&gt;=0,D1993*E1993*(1+F1993/100),ABS(D1993*E1993/F1993)),"")</f>
        <v/>
      </c>
      <c r="H1993" s="42" t="str">
        <f>IFERROR(G1993*E1975,"")</f>
        <v/>
      </c>
    </row>
    <row r="1994" spans="1:10" ht="12.75" customHeight="1" thickTop="1" thickBot="1"/>
    <row r="1995" spans="1:10" ht="12.75" customHeight="1" thickTop="1" thickBot="1">
      <c r="A1995" s="6" t="s">
        <v>1295</v>
      </c>
      <c r="B1995" s="7" t="str">
        <f>VLOOKUP($A1995,Presupuesto!$A:$D,2,FALSE())</f>
        <v>Guarda escoba en madera H=0.12 m incluye pintura</v>
      </c>
      <c r="C1995" s="8" t="str">
        <f>VLOOKUP($A1995,Presupuesto!$A:$D,3,FALSE())</f>
        <v>M</v>
      </c>
      <c r="D1995" s="9"/>
      <c r="E1995" s="10">
        <f>VLOOKUP($A1995,Presupuesto!$A:$D,4,FALSE())</f>
        <v>0</v>
      </c>
      <c r="F1995" s="11" t="s">
        <v>2589</v>
      </c>
      <c r="G1995" s="12">
        <f>SUM(G1997:G2013)/2</f>
        <v>26147.541037590003</v>
      </c>
      <c r="H1995" s="13">
        <f>ROUND(SUM(H1997:H2013),0)/2</f>
        <v>0</v>
      </c>
      <c r="I1995" s="10">
        <f>VLOOKUP(A1995,Presupuesto!$A:$F,6,0)</f>
        <v>0</v>
      </c>
      <c r="J1995" s="10">
        <f>+H1995-I1995</f>
        <v>0</v>
      </c>
    </row>
    <row r="1996" spans="1:10" ht="12.75" customHeight="1" thickTop="1">
      <c r="A1996" s="14"/>
      <c r="B1996" s="15" t="s">
        <v>2586</v>
      </c>
      <c r="C1996" s="15" t="s">
        <v>5</v>
      </c>
      <c r="D1996" s="16" t="s">
        <v>6</v>
      </c>
      <c r="E1996" s="17" t="s">
        <v>7</v>
      </c>
      <c r="F1996" s="18" t="s">
        <v>3728</v>
      </c>
      <c r="G1996" s="19" t="s">
        <v>3729</v>
      </c>
      <c r="H1996" s="20" t="s">
        <v>3797</v>
      </c>
    </row>
    <row r="1997" spans="1:10" ht="12.75" customHeight="1">
      <c r="A1997" s="21"/>
      <c r="B1997" s="22" t="s">
        <v>3730</v>
      </c>
      <c r="C1997" s="23"/>
      <c r="D1997" s="24"/>
      <c r="E1997" s="25"/>
      <c r="F1997" s="26"/>
      <c r="G1997" s="27">
        <f>SUM(G1998:G2002)</f>
        <v>12943.129500000001</v>
      </c>
      <c r="H1997" s="27">
        <f>IFERROR(G1997*E1995,"")</f>
        <v>0</v>
      </c>
    </row>
    <row r="1998" spans="1:10" ht="12.75" customHeight="1">
      <c r="A1998" s="28"/>
      <c r="B1998" s="29" t="s">
        <v>2994</v>
      </c>
      <c r="C1998" s="30" t="str">
        <f>IFERROR(_xlfn.XLOOKUP(B1998,Insumo[DESCRIPCION],Insumo[UND],,0),"")</f>
        <v>M</v>
      </c>
      <c r="D1998" s="31">
        <v>1</v>
      </c>
      <c r="E1998" s="32">
        <f>IFERROR(_xlfn.XLOOKUP($B1998,Insumo[DESCRIPCION],Insumo[VALOR],,0),"")</f>
        <v>12265.050000000001</v>
      </c>
      <c r="F1998" s="33">
        <v>5</v>
      </c>
      <c r="G1998" s="34">
        <f>IFERROR(IF(F1998&gt;=0,D1998*E1998*(1+F1998/100),ABS(D1998*E1998/F1998)),"")</f>
        <v>12878.302500000002</v>
      </c>
      <c r="H1998" s="43">
        <f>IFERROR(G1998*E1995,"")</f>
        <v>0</v>
      </c>
    </row>
    <row r="1999" spans="1:10" ht="12.75" customHeight="1">
      <c r="A1999" s="28"/>
      <c r="B1999" s="29" t="s">
        <v>3253</v>
      </c>
      <c r="C1999" s="30" t="str">
        <f>IFERROR(_xlfn.XLOOKUP(B1999,Insumo[DESCRIPCION],Insumo[UND],,0),"")</f>
        <v>Lb</v>
      </c>
      <c r="D1999" s="31">
        <v>0.01</v>
      </c>
      <c r="E1999" s="32">
        <f>IFERROR(_xlfn.XLOOKUP($B1999,Insumo[DESCRIPCION],Insumo[VALOR],,0),"")</f>
        <v>6482.7000000000007</v>
      </c>
      <c r="F1999" s="33"/>
      <c r="G1999" s="34">
        <f>IFERROR(IF(F1999&gt;=0,D1999*E1999*(1+F1999/100),ABS(D1999*E1999/F1999)),"")</f>
        <v>64.827000000000012</v>
      </c>
      <c r="H1999" s="43">
        <f>IFERROR(G1999*E1995,"")</f>
        <v>0</v>
      </c>
    </row>
    <row r="2000" spans="1:10" ht="12.75" customHeight="1">
      <c r="A2000" s="28"/>
      <c r="B2000" s="29"/>
      <c r="C2000" s="30" t="str">
        <f>IFERROR(_xlfn.XLOOKUP(B2000,Insumo[DESCRIPCION],Insumo[UND],,0),"")</f>
        <v/>
      </c>
      <c r="D2000" s="31"/>
      <c r="E2000" s="32" t="str">
        <f>IFERROR(_xlfn.XLOOKUP($B2000,Insumo[DESCRIPCION],Insumo[VALOR],,0),"")</f>
        <v/>
      </c>
      <c r="F2000" s="33"/>
      <c r="G2000" s="34" t="str">
        <f>IFERROR(IF(F2000&gt;=0,D2000*E2000*(1+F2000/100),ABS(D2000*E2000/F2000)),"")</f>
        <v/>
      </c>
      <c r="H2000" s="43" t="str">
        <f>IFERROR(G2000*E1995,"")</f>
        <v/>
      </c>
    </row>
    <row r="2001" spans="1:10" ht="12.75" customHeight="1">
      <c r="A2001" s="28"/>
      <c r="B2001" s="29"/>
      <c r="C2001" s="30" t="str">
        <f>IFERROR(_xlfn.XLOOKUP(B2001,Insumo[DESCRIPCION],Insumo[UND],,0),"")</f>
        <v/>
      </c>
      <c r="D2001" s="31"/>
      <c r="E2001" s="32" t="str">
        <f>IFERROR(_xlfn.XLOOKUP($B2001,Insumo[DESCRIPCION],Insumo[VALOR],,0),"")</f>
        <v/>
      </c>
      <c r="F2001" s="33"/>
      <c r="G2001" s="34" t="str">
        <f>IFERROR(IF(F2001&gt;=0,D2001*E2001*(1+F2001/100),ABS(D2001*E2001/F2001)),"")</f>
        <v/>
      </c>
      <c r="H2001" s="43" t="str">
        <f>IFERROR(G2001*E1995,"")</f>
        <v/>
      </c>
    </row>
    <row r="2002" spans="1:10" ht="12.75" customHeight="1">
      <c r="A2002" s="28"/>
      <c r="B2002" s="29"/>
      <c r="C2002" s="30" t="str">
        <f>IFERROR(_xlfn.XLOOKUP(B2002,Insumo[DESCRIPCION],Insumo[UND],,0),"")</f>
        <v/>
      </c>
      <c r="D2002" s="31"/>
      <c r="E2002" s="32" t="str">
        <f>IFERROR(_xlfn.XLOOKUP($B2002,Insumo[DESCRIPCION],Insumo[VALOR],,0),"")</f>
        <v/>
      </c>
      <c r="F2002" s="33"/>
      <c r="G2002" s="34" t="str">
        <f>IFERROR(IF(F2002&gt;=0,D2002*E2002*(1+F2002/100),ABS(D2002*E2002/F2002)),"")</f>
        <v/>
      </c>
      <c r="H2002" s="43" t="str">
        <f>IFERROR(G2002*E1995,"")</f>
        <v/>
      </c>
    </row>
    <row r="2003" spans="1:10" ht="12.75" customHeight="1">
      <c r="A2003" s="21"/>
      <c r="B2003" s="22" t="s">
        <v>3731</v>
      </c>
      <c r="C2003" s="23"/>
      <c r="D2003" s="24"/>
      <c r="E2003" s="25"/>
      <c r="F2003" s="26"/>
      <c r="G2003" s="27">
        <f>SUM(G2004:G2006)</f>
        <v>628.78150179000022</v>
      </c>
      <c r="H2003" s="44">
        <f>G2003*E1995</f>
        <v>0</v>
      </c>
    </row>
    <row r="2004" spans="1:10" ht="12.75" customHeight="1">
      <c r="A2004" s="28"/>
      <c r="B2004" s="29" t="s">
        <v>3626</v>
      </c>
      <c r="C2004" s="30" t="str">
        <f>IFERROR(_xlfn.XLOOKUP(B2004,Equipo[DESCRIPCION],Equipo[UND],,0),"")</f>
        <v>%MO</v>
      </c>
      <c r="D2004" s="31">
        <v>0.05</v>
      </c>
      <c r="E2004" s="32">
        <f>IF(C2004="%MO",G2010,IFERROR(_xlfn.XLOOKUP($B2004,Equipo[DESCRIPCION],Equipo[VALOR],,0),""))</f>
        <v>12575.630035800003</v>
      </c>
      <c r="F2004" s="33"/>
      <c r="G2004" s="34">
        <f>IFERROR(IF(F2004&gt;=0,D2004*E2004*(1+F2004/100),ABS(D2004*E2004/F2004)),"")</f>
        <v>628.78150179000022</v>
      </c>
      <c r="H2004" s="43">
        <f>IFERROR(G2004*E1995,"")</f>
        <v>0</v>
      </c>
    </row>
    <row r="2005" spans="1:10" ht="12.75" customHeight="1">
      <c r="A2005" s="28"/>
      <c r="B2005" s="29"/>
      <c r="C2005" s="30" t="str">
        <f>IFERROR(_xlfn.XLOOKUP(B2005,Equipo[DESCRIPCION],Equipo[UND],,0),"")</f>
        <v/>
      </c>
      <c r="D2005" s="31"/>
      <c r="E2005" s="32" t="str">
        <f>IF(C2005="%MO",G2010,IFERROR(_xlfn.XLOOKUP($B2005,Equipo[DESCRIPCION],Equipo[VALOR],,0),""))</f>
        <v/>
      </c>
      <c r="F2005" s="33"/>
      <c r="G2005" s="34" t="str">
        <f>IFERROR(IF(F2005&gt;=0,D2005*E2005*(1+F2005/100),ABS(D2005*E2005/F2005)),"")</f>
        <v/>
      </c>
      <c r="H2005" s="43" t="str">
        <f>IFERROR(G2005*E1995,"")</f>
        <v/>
      </c>
    </row>
    <row r="2006" spans="1:10" ht="12.75" customHeight="1">
      <c r="A2006" s="28"/>
      <c r="B2006" s="29"/>
      <c r="C2006" s="30" t="str">
        <f>IFERROR(_xlfn.XLOOKUP(B2006,Equipo[DESCRIPCION],Equipo[UND],,0),"")</f>
        <v/>
      </c>
      <c r="D2006" s="31"/>
      <c r="E2006" s="32" t="str">
        <f>IF(C2006="%MO",G2010,IFERROR(_xlfn.XLOOKUP($B2006,Equipo[DESCRIPCION],Equipo[VALOR],,0),""))</f>
        <v/>
      </c>
      <c r="F2006" s="33"/>
      <c r="G2006" s="34" t="str">
        <f>IFERROR(IF(F2006&gt;=0,D2006*E2006*(1+F2006/100),ABS(D2006*E2006/F2006)),"")</f>
        <v/>
      </c>
      <c r="H2006" s="43" t="str">
        <f>IFERROR(G2006*E1995,"")</f>
        <v/>
      </c>
    </row>
    <row r="2007" spans="1:10" ht="12.75" customHeight="1">
      <c r="A2007" s="21"/>
      <c r="B2007" s="22" t="s">
        <v>2533</v>
      </c>
      <c r="C2007" s="23"/>
      <c r="D2007" s="24"/>
      <c r="E2007" s="25"/>
      <c r="F2007" s="26"/>
      <c r="G2007" s="27">
        <f>SUM(G2008:G2009)</f>
        <v>0</v>
      </c>
      <c r="H2007" s="44">
        <f>G2007*E1995</f>
        <v>0</v>
      </c>
    </row>
    <row r="2008" spans="1:10" ht="12.75" customHeight="1">
      <c r="A2008" s="28"/>
      <c r="B2008" s="29"/>
      <c r="C2008" s="30" t="str">
        <f>IFERROR(_xlfn.XLOOKUP(B2008,Transporte[DESCRIPCION],Transporte[UND],,0),"")</f>
        <v/>
      </c>
      <c r="D2008" s="31"/>
      <c r="E2008" s="32" t="str">
        <f>IFERROR(_xlfn.XLOOKUP($B2008,Transporte[DESCRIPCION],Transporte[VALOR],,0),"")</f>
        <v/>
      </c>
      <c r="F2008" s="33"/>
      <c r="G2008" s="34" t="str">
        <f>IFERROR(IF(F2008&gt;=0,D2008*E2008*(1+F2008/100),ABS(D2008*E2008/F2008)),"")</f>
        <v/>
      </c>
      <c r="H2008" s="43" t="str">
        <f>IFERROR(G2008*E1995,"")</f>
        <v/>
      </c>
    </row>
    <row r="2009" spans="1:10" ht="12.75" customHeight="1">
      <c r="A2009" s="28"/>
      <c r="B2009" s="29"/>
      <c r="C2009" s="30" t="str">
        <f>IFERROR(_xlfn.XLOOKUP(B2009,Transporte[DESCRIPCION],Transporte[UND],,0),"")</f>
        <v/>
      </c>
      <c r="D2009" s="31"/>
      <c r="E2009" s="32" t="str">
        <f>IFERROR(_xlfn.XLOOKUP($B2009,Transporte[DESCRIPCION],Transporte[VALOR],,0),"")</f>
        <v/>
      </c>
      <c r="F2009" s="33"/>
      <c r="G2009" s="34" t="str">
        <f>IFERROR(IF(F2009&gt;=0,D2009*E2009*(1+F2009/100),ABS(D2009*E2009/F2009)),"")</f>
        <v/>
      </c>
      <c r="H2009" s="43" t="str">
        <f>IFERROR(G2009*E1995,"")</f>
        <v/>
      </c>
    </row>
    <row r="2010" spans="1:10" ht="12.75" customHeight="1">
      <c r="A2010" s="21"/>
      <c r="B2010" s="22" t="s">
        <v>3732</v>
      </c>
      <c r="C2010" s="23"/>
      <c r="D2010" s="24"/>
      <c r="E2010" s="25"/>
      <c r="F2010" s="26"/>
      <c r="G2010" s="27">
        <f>SUM(G2011:G2013)</f>
        <v>12575.630035800003</v>
      </c>
      <c r="H2010" s="44">
        <f>G2010*E1995</f>
        <v>0</v>
      </c>
    </row>
    <row r="2011" spans="1:10" ht="12.75" customHeight="1">
      <c r="A2011" s="28"/>
      <c r="B2011" s="29" t="s">
        <v>3710</v>
      </c>
      <c r="C2011" s="30" t="str">
        <f>IFERROR(_xlfn.XLOOKUP(B2011,MObra[DESCRIPCION],MObra[UN],,0),"")</f>
        <v>día</v>
      </c>
      <c r="D2011" s="31">
        <v>1</v>
      </c>
      <c r="E2011" s="32">
        <f>IFERROR(_xlfn.XLOOKUP($B2011,MObra[DESCRIPCION],MObra[VALOR UNIT],,0),"")</f>
        <v>314390.75089500006</v>
      </c>
      <c r="F2011" s="33">
        <v>-25</v>
      </c>
      <c r="G2011" s="34">
        <f>IFERROR(IF(F2011&gt;=0,D2011*E2011*(1+F2011/100),ABS(D2011*E2011/F2011)),"")</f>
        <v>12575.630035800003</v>
      </c>
      <c r="H2011" s="43">
        <f>IFERROR(G2011*E1995,"")</f>
        <v>0</v>
      </c>
    </row>
    <row r="2012" spans="1:10" ht="12.75" customHeight="1">
      <c r="A2012" s="28"/>
      <c r="B2012" s="29"/>
      <c r="C2012" s="30" t="str">
        <f>IFERROR(_xlfn.XLOOKUP(B2012,MObra[DESCRIPCION],MObra[UN],,0),"")</f>
        <v/>
      </c>
      <c r="D2012" s="31"/>
      <c r="E2012" s="32" t="str">
        <f>IFERROR(_xlfn.XLOOKUP($B2012,MObra[DESCRIPCION],MObra[VALOR UNIT],,0),"")</f>
        <v/>
      </c>
      <c r="F2012" s="33"/>
      <c r="G2012" s="34" t="str">
        <f>IFERROR(IF(F2012&gt;=0,D2012*E2012*(1+F2012/100),ABS(D2012*E2012/F2012)),"")</f>
        <v/>
      </c>
      <c r="H2012" s="43" t="str">
        <f>IFERROR(G2012*E1995,"")</f>
        <v/>
      </c>
    </row>
    <row r="2013" spans="1:10" ht="12.75" customHeight="1" thickBot="1">
      <c r="A2013" s="35"/>
      <c r="B2013" s="36"/>
      <c r="C2013" s="37" t="str">
        <f>IFERROR(_xlfn.XLOOKUP(B2013,MObra[DESCRIPCION],MObra[UN],,0),"")</f>
        <v/>
      </c>
      <c r="D2013" s="38"/>
      <c r="E2013" s="39" t="str">
        <f>IFERROR(_xlfn.XLOOKUP($B2013,MObra[DESCRIPCION],MObra[VALOR UNIT],,0),"")</f>
        <v/>
      </c>
      <c r="F2013" s="40"/>
      <c r="G2013" s="41" t="str">
        <f>IFERROR(IF(F2013&gt;=0,D2013*E2013*(1+F2013/100),ABS(D2013*E2013/F2013)),"")</f>
        <v/>
      </c>
      <c r="H2013" s="42" t="str">
        <f>IFERROR(G2013*E1995,"")</f>
        <v/>
      </c>
    </row>
    <row r="2014" spans="1:10" ht="12.75" customHeight="1" thickTop="1" thickBot="1"/>
    <row r="2015" spans="1:10" ht="12.75" customHeight="1" thickTop="1" thickBot="1">
      <c r="A2015" s="6" t="s">
        <v>1297</v>
      </c>
      <c r="B2015" s="7" t="str">
        <f>VLOOKUP($A2015,Presupuesto!$A:$D,2,FALSE())</f>
        <v>Guarda escoba en porcelanato</v>
      </c>
      <c r="C2015" s="8" t="str">
        <f>VLOOKUP($A2015,Presupuesto!$A:$D,3,FALSE())</f>
        <v>M</v>
      </c>
      <c r="D2015" s="9"/>
      <c r="E2015" s="10">
        <f>VLOOKUP($A2015,Presupuesto!$A:$D,4,FALSE())</f>
        <v>0</v>
      </c>
      <c r="F2015" s="11" t="s">
        <v>2589</v>
      </c>
      <c r="G2015" s="12">
        <f>SUM(G2017:G2033)/2</f>
        <v>27541.523671987503</v>
      </c>
      <c r="H2015" s="13">
        <f>ROUND(SUM(H2017:H2033),0)/2</f>
        <v>0</v>
      </c>
      <c r="I2015" s="10">
        <f>VLOOKUP(A2015,Presupuesto!$A:$F,6,0)</f>
        <v>0</v>
      </c>
      <c r="J2015" s="10">
        <f>+H2015-I2015</f>
        <v>0</v>
      </c>
    </row>
    <row r="2016" spans="1:10" ht="12.75" customHeight="1" thickTop="1">
      <c r="A2016" s="14"/>
      <c r="B2016" s="15" t="s">
        <v>2586</v>
      </c>
      <c r="C2016" s="15" t="s">
        <v>5</v>
      </c>
      <c r="D2016" s="16" t="s">
        <v>6</v>
      </c>
      <c r="E2016" s="17" t="s">
        <v>7</v>
      </c>
      <c r="F2016" s="18" t="s">
        <v>3728</v>
      </c>
      <c r="G2016" s="19" t="s">
        <v>3729</v>
      </c>
      <c r="H2016" s="20" t="s">
        <v>3797</v>
      </c>
    </row>
    <row r="2017" spans="1:8" ht="12.75" customHeight="1">
      <c r="A2017" s="21"/>
      <c r="B2017" s="22" t="s">
        <v>3730</v>
      </c>
      <c r="C2017" s="23"/>
      <c r="D2017" s="24"/>
      <c r="E2017" s="25"/>
      <c r="F2017" s="26"/>
      <c r="G2017" s="27">
        <f>SUM(G2018:G2022)</f>
        <v>11036.009250000001</v>
      </c>
      <c r="H2017" s="27">
        <f>IFERROR(G2017*E2015,"")</f>
        <v>0</v>
      </c>
    </row>
    <row r="2018" spans="1:8" ht="12.75" customHeight="1">
      <c r="A2018" s="28"/>
      <c r="B2018" s="140" t="s">
        <v>3230</v>
      </c>
      <c r="C2018" s="30" t="str">
        <f>IFERROR(_xlfn.XLOOKUP(B2018,Insumo[DESCRIPCION],Insumo[UND],,0),"")</f>
        <v>M2</v>
      </c>
      <c r="D2018" s="31">
        <v>0.1</v>
      </c>
      <c r="E2018" s="32">
        <f>IFERROR(_xlfn.XLOOKUP($B2018,Insumo[DESCRIPCION],Insumo[VALOR],,0),"")</f>
        <v>85928.85</v>
      </c>
      <c r="F2018" s="33">
        <v>5</v>
      </c>
      <c r="G2018" s="34">
        <f>IFERROR(IF(F2018&gt;=0,D2018*E2018*(1+F2018/100),ABS(D2018*E2018/F2018)),"")</f>
        <v>9022.5292500000014</v>
      </c>
      <c r="H2018" s="43">
        <f>IFERROR(G2018*E2015,"")</f>
        <v>0</v>
      </c>
    </row>
    <row r="2019" spans="1:8" ht="12.75" customHeight="1">
      <c r="A2019" s="28"/>
      <c r="B2019" s="29" t="s">
        <v>3193</v>
      </c>
      <c r="C2019" s="30" t="str">
        <f>IFERROR(_xlfn.XLOOKUP(B2019,Insumo[DESCRIPCION],Insumo[UND],,0),"")</f>
        <v>Kg</v>
      </c>
      <c r="D2019" s="141">
        <v>0.15</v>
      </c>
      <c r="E2019" s="32">
        <f>IFERROR(_xlfn.XLOOKUP($B2019,Insumo[DESCRIPCION],Insumo[VALOR],,0),"")</f>
        <v>13423.2</v>
      </c>
      <c r="F2019" s="33"/>
      <c r="G2019" s="34">
        <f>IFERROR(IF(F2019&gt;=0,D2019*E2019*(1+F2019/100),ABS(D2019*E2019/F2019)),"")</f>
        <v>2013.48</v>
      </c>
      <c r="H2019" s="43">
        <f>IFERROR(G2019*E2015,"")</f>
        <v>0</v>
      </c>
    </row>
    <row r="2020" spans="1:8" ht="12.75" customHeight="1">
      <c r="A2020" s="28"/>
      <c r="B2020" s="29"/>
      <c r="C2020" s="30" t="str">
        <f>IFERROR(_xlfn.XLOOKUP(B2020,Insumo[DESCRIPCION],Insumo[UND],,0),"")</f>
        <v/>
      </c>
      <c r="D2020" s="31"/>
      <c r="E2020" s="32" t="str">
        <f>IFERROR(_xlfn.XLOOKUP($B2020,Insumo[DESCRIPCION],Insumo[VALOR],,0),"")</f>
        <v/>
      </c>
      <c r="F2020" s="33"/>
      <c r="G2020" s="34" t="str">
        <f>IFERROR(IF(F2020&gt;=0,D2020*E2020*(1+F2020/100),ABS(D2020*E2020/F2020)),"")</f>
        <v/>
      </c>
      <c r="H2020" s="43" t="str">
        <f>IFERROR(G2020*E2015,"")</f>
        <v/>
      </c>
    </row>
    <row r="2021" spans="1:8" ht="12.75" customHeight="1">
      <c r="A2021" s="28"/>
      <c r="B2021" s="29"/>
      <c r="C2021" s="30" t="str">
        <f>IFERROR(_xlfn.XLOOKUP(B2021,Insumo[DESCRIPCION],Insumo[UND],,0),"")</f>
        <v/>
      </c>
      <c r="D2021" s="31"/>
      <c r="E2021" s="32" t="str">
        <f>IFERROR(_xlfn.XLOOKUP($B2021,Insumo[DESCRIPCION],Insumo[VALOR],,0),"")</f>
        <v/>
      </c>
      <c r="F2021" s="33"/>
      <c r="G2021" s="34" t="str">
        <f>IFERROR(IF(F2021&gt;=0,D2021*E2021*(1+F2021/100),ABS(D2021*E2021/F2021)),"")</f>
        <v/>
      </c>
      <c r="H2021" s="43" t="str">
        <f>IFERROR(G2021*E2015,"")</f>
        <v/>
      </c>
    </row>
    <row r="2022" spans="1:8" ht="12.75" customHeight="1">
      <c r="A2022" s="28"/>
      <c r="B2022" s="29"/>
      <c r="C2022" s="30" t="str">
        <f>IFERROR(_xlfn.XLOOKUP(B2022,Insumo[DESCRIPCION],Insumo[UND],,0),"")</f>
        <v/>
      </c>
      <c r="D2022" s="31"/>
      <c r="E2022" s="32" t="str">
        <f>IFERROR(_xlfn.XLOOKUP($B2022,Insumo[DESCRIPCION],Insumo[VALOR],,0),"")</f>
        <v/>
      </c>
      <c r="F2022" s="33"/>
      <c r="G2022" s="34" t="str">
        <f>IFERROR(IF(F2022&gt;=0,D2022*E2022*(1+F2022/100),ABS(D2022*E2022/F2022)),"")</f>
        <v/>
      </c>
      <c r="H2022" s="43" t="str">
        <f>IFERROR(G2022*E2015,"")</f>
        <v/>
      </c>
    </row>
    <row r="2023" spans="1:8" ht="12.75" customHeight="1">
      <c r="A2023" s="21"/>
      <c r="B2023" s="22" t="s">
        <v>3731</v>
      </c>
      <c r="C2023" s="23"/>
      <c r="D2023" s="24"/>
      <c r="E2023" s="25"/>
      <c r="F2023" s="26"/>
      <c r="G2023" s="27">
        <f>SUM(G2024:G2026)</f>
        <v>785.97687723750016</v>
      </c>
      <c r="H2023" s="44">
        <f>G2023*E2015</f>
        <v>0</v>
      </c>
    </row>
    <row r="2024" spans="1:8" ht="12.75" customHeight="1">
      <c r="A2024" s="28"/>
      <c r="B2024" s="29" t="s">
        <v>3626</v>
      </c>
      <c r="C2024" s="30" t="str">
        <f>IFERROR(_xlfn.XLOOKUP(B2024,Equipo[DESCRIPCION],Equipo[UND],,0),"")</f>
        <v>%MO</v>
      </c>
      <c r="D2024" s="31">
        <v>0.05</v>
      </c>
      <c r="E2024" s="32">
        <f>IF(C2024="%MO",G2030,IFERROR(_xlfn.XLOOKUP($B2024,Equipo[DESCRIPCION],Equipo[VALOR],,0),""))</f>
        <v>15719.537544750003</v>
      </c>
      <c r="F2024" s="33"/>
      <c r="G2024" s="34">
        <f>IFERROR(IF(F2024&gt;=0,D2024*E2024*(1+F2024/100),ABS(D2024*E2024/F2024)),"")</f>
        <v>785.97687723750016</v>
      </c>
      <c r="H2024" s="43">
        <f>IFERROR(G2024*E2015,"")</f>
        <v>0</v>
      </c>
    </row>
    <row r="2025" spans="1:8" ht="12.75" customHeight="1">
      <c r="A2025" s="28"/>
      <c r="B2025" s="29"/>
      <c r="C2025" s="30" t="str">
        <f>IFERROR(_xlfn.XLOOKUP(B2025,Equipo[DESCRIPCION],Equipo[UND],,0),"")</f>
        <v/>
      </c>
      <c r="D2025" s="31"/>
      <c r="E2025" s="32" t="str">
        <f>IF(C2025="%MO",G2030,IFERROR(_xlfn.XLOOKUP($B2025,Equipo[DESCRIPCION],Equipo[VALOR],,0),""))</f>
        <v/>
      </c>
      <c r="F2025" s="33"/>
      <c r="G2025" s="34" t="str">
        <f>IFERROR(IF(F2025&gt;=0,D2025*E2025*(1+F2025/100),ABS(D2025*E2025/F2025)),"")</f>
        <v/>
      </c>
      <c r="H2025" s="43" t="str">
        <f>IFERROR(G2025*E2015,"")</f>
        <v/>
      </c>
    </row>
    <row r="2026" spans="1:8" ht="12.75" customHeight="1">
      <c r="A2026" s="28"/>
      <c r="B2026" s="29"/>
      <c r="C2026" s="30" t="str">
        <f>IFERROR(_xlfn.XLOOKUP(B2026,Equipo[DESCRIPCION],Equipo[UND],,0),"")</f>
        <v/>
      </c>
      <c r="D2026" s="31"/>
      <c r="E2026" s="32" t="str">
        <f>IF(C2026="%MO",G2030,IFERROR(_xlfn.XLOOKUP($B2026,Equipo[DESCRIPCION],Equipo[VALOR],,0),""))</f>
        <v/>
      </c>
      <c r="F2026" s="33"/>
      <c r="G2026" s="34" t="str">
        <f>IFERROR(IF(F2026&gt;=0,D2026*E2026*(1+F2026/100),ABS(D2026*E2026/F2026)),"")</f>
        <v/>
      </c>
      <c r="H2026" s="43" t="str">
        <f>IFERROR(G2026*E2015,"")</f>
        <v/>
      </c>
    </row>
    <row r="2027" spans="1:8" ht="12.75" customHeight="1">
      <c r="A2027" s="21"/>
      <c r="B2027" s="22" t="s">
        <v>2533</v>
      </c>
      <c r="C2027" s="23"/>
      <c r="D2027" s="24"/>
      <c r="E2027" s="25"/>
      <c r="F2027" s="26"/>
      <c r="G2027" s="27">
        <f>SUM(G2028:G2029)</f>
        <v>0</v>
      </c>
      <c r="H2027" s="44">
        <f>G2027*E2015</f>
        <v>0</v>
      </c>
    </row>
    <row r="2028" spans="1:8" ht="12.75" customHeight="1">
      <c r="A2028" s="28"/>
      <c r="B2028" s="29"/>
      <c r="C2028" s="30" t="str">
        <f>IFERROR(_xlfn.XLOOKUP(B2028,Transporte[DESCRIPCION],Transporte[UND],,0),"")</f>
        <v/>
      </c>
      <c r="D2028" s="31"/>
      <c r="E2028" s="32" t="str">
        <f>IFERROR(_xlfn.XLOOKUP($B2028,Transporte[DESCRIPCION],Transporte[VALOR],,0),"")</f>
        <v/>
      </c>
      <c r="F2028" s="33"/>
      <c r="G2028" s="34" t="str">
        <f>IFERROR(IF(F2028&gt;=0,D2028*E2028*(1+F2028/100),ABS(D2028*E2028/F2028)),"")</f>
        <v/>
      </c>
      <c r="H2028" s="43" t="str">
        <f>IFERROR(G2028*E2015,"")</f>
        <v/>
      </c>
    </row>
    <row r="2029" spans="1:8" ht="12.75" customHeight="1">
      <c r="A2029" s="28"/>
      <c r="B2029" s="29"/>
      <c r="C2029" s="30" t="str">
        <f>IFERROR(_xlfn.XLOOKUP(B2029,Transporte[DESCRIPCION],Transporte[UND],,0),"")</f>
        <v/>
      </c>
      <c r="D2029" s="31"/>
      <c r="E2029" s="32" t="str">
        <f>IFERROR(_xlfn.XLOOKUP($B2029,Transporte[DESCRIPCION],Transporte[VALOR],,0),"")</f>
        <v/>
      </c>
      <c r="F2029" s="33"/>
      <c r="G2029" s="34" t="str">
        <f>IFERROR(IF(F2029&gt;=0,D2029*E2029*(1+F2029/100),ABS(D2029*E2029/F2029)),"")</f>
        <v/>
      </c>
      <c r="H2029" s="43" t="str">
        <f>IFERROR(G2029*E2015,"")</f>
        <v/>
      </c>
    </row>
    <row r="2030" spans="1:8" ht="12.75" customHeight="1">
      <c r="A2030" s="21"/>
      <c r="B2030" s="22" t="s">
        <v>3732</v>
      </c>
      <c r="C2030" s="23"/>
      <c r="D2030" s="24"/>
      <c r="E2030" s="25"/>
      <c r="F2030" s="26"/>
      <c r="G2030" s="27">
        <f>SUM(G2031:G2033)</f>
        <v>15719.537544750003</v>
      </c>
      <c r="H2030" s="44">
        <f>G2030*E2015</f>
        <v>0</v>
      </c>
    </row>
    <row r="2031" spans="1:8" ht="12.75" customHeight="1">
      <c r="A2031" s="28"/>
      <c r="B2031" s="29" t="s">
        <v>3710</v>
      </c>
      <c r="C2031" s="30" t="str">
        <f>IFERROR(_xlfn.XLOOKUP(B2031,MObra[DESCRIPCION],MObra[UN],,0),"")</f>
        <v>día</v>
      </c>
      <c r="D2031" s="31">
        <v>1</v>
      </c>
      <c r="E2031" s="32">
        <f>IFERROR(_xlfn.XLOOKUP($B2031,MObra[DESCRIPCION],MObra[VALOR UNIT],,0),"")</f>
        <v>314390.75089500006</v>
      </c>
      <c r="F2031" s="33">
        <v>-20</v>
      </c>
      <c r="G2031" s="34">
        <f>IFERROR(IF(F2031&gt;=0,D2031*E2031*(1+F2031/100),ABS(D2031*E2031/F2031)),"")</f>
        <v>15719.537544750003</v>
      </c>
      <c r="H2031" s="43">
        <f>IFERROR(G2031*E2015,"")</f>
        <v>0</v>
      </c>
    </row>
    <row r="2032" spans="1:8" ht="12.75" customHeight="1">
      <c r="A2032" s="28"/>
      <c r="B2032" s="29"/>
      <c r="C2032" s="30" t="str">
        <f>IFERROR(_xlfn.XLOOKUP(B2032,MObra[DESCRIPCION],MObra[UN],,0),"")</f>
        <v/>
      </c>
      <c r="D2032" s="31"/>
      <c r="E2032" s="32" t="str">
        <f>IFERROR(_xlfn.XLOOKUP($B2032,MObra[DESCRIPCION],MObra[VALOR UNIT],,0),"")</f>
        <v/>
      </c>
      <c r="F2032" s="33"/>
      <c r="G2032" s="34" t="str">
        <f>IFERROR(IF(F2032&gt;=0,D2032*E2032*(1+F2032/100),ABS(D2032*E2032/F2032)),"")</f>
        <v/>
      </c>
      <c r="H2032" s="43" t="str">
        <f>IFERROR(G2032*E2015,"")</f>
        <v/>
      </c>
    </row>
    <row r="2033" spans="1:10" ht="12.75" customHeight="1" thickBot="1">
      <c r="A2033" s="35"/>
      <c r="B2033" s="36"/>
      <c r="C2033" s="37" t="str">
        <f>IFERROR(_xlfn.XLOOKUP(B2033,MObra[DESCRIPCION],MObra[UN],,0),"")</f>
        <v/>
      </c>
      <c r="D2033" s="38"/>
      <c r="E2033" s="39" t="str">
        <f>IFERROR(_xlfn.XLOOKUP($B2033,MObra[DESCRIPCION],MObra[VALOR UNIT],,0),"")</f>
        <v/>
      </c>
      <c r="F2033" s="40"/>
      <c r="G2033" s="41" t="str">
        <f>IFERROR(IF(F2033&gt;=0,D2033*E2033*(1+F2033/100),ABS(D2033*E2033/F2033)),"")</f>
        <v/>
      </c>
      <c r="H2033" s="42" t="str">
        <f>IFERROR(G2033*E2015,"")</f>
        <v/>
      </c>
    </row>
    <row r="2034" spans="1:10" ht="12.75" customHeight="1" thickTop="1" thickBot="1"/>
    <row r="2035" spans="1:10" ht="12.75" customHeight="1" thickTop="1" thickBot="1">
      <c r="A2035" s="6" t="s">
        <v>1299</v>
      </c>
      <c r="B2035" s="7" t="str">
        <f>VLOOKUP($A2035,Presupuesto!$A:$D,2,FALSE())</f>
        <v>Guarda escoba granito pulido 1/2 caña</v>
      </c>
      <c r="C2035" s="8" t="str">
        <f>VLOOKUP($A2035,Presupuesto!$A:$D,3,FALSE())</f>
        <v>M</v>
      </c>
      <c r="D2035" s="9"/>
      <c r="E2035" s="10">
        <f>VLOOKUP($A2035,Presupuesto!$A:$D,4,FALSE())</f>
        <v>0</v>
      </c>
      <c r="F2035" s="11" t="s">
        <v>2589</v>
      </c>
      <c r="G2035" s="12">
        <f>SUM(G2037:G2055)/2</f>
        <v>53318.45805496876</v>
      </c>
      <c r="H2035" s="13">
        <f>ROUND(SUM(H2037:H2055),0)/2</f>
        <v>0</v>
      </c>
      <c r="I2035" s="10">
        <f>VLOOKUP(A2035,Presupuesto!$A:$F,6,0)</f>
        <v>0</v>
      </c>
      <c r="J2035" s="10">
        <f>+H2035-I2035</f>
        <v>0</v>
      </c>
    </row>
    <row r="2036" spans="1:10" ht="12.75" customHeight="1" thickTop="1">
      <c r="A2036" s="14"/>
      <c r="B2036" s="15" t="s">
        <v>2586</v>
      </c>
      <c r="C2036" s="15" t="s">
        <v>5</v>
      </c>
      <c r="D2036" s="16" t="s">
        <v>6</v>
      </c>
      <c r="E2036" s="17" t="s">
        <v>7</v>
      </c>
      <c r="F2036" s="18" t="s">
        <v>3728</v>
      </c>
      <c r="G2036" s="19" t="s">
        <v>3729</v>
      </c>
      <c r="H2036" s="20" t="s">
        <v>3797</v>
      </c>
    </row>
    <row r="2037" spans="1:10" ht="12.75" customHeight="1">
      <c r="A2037" s="21"/>
      <c r="B2037" s="22" t="s">
        <v>3730</v>
      </c>
      <c r="C2037" s="23"/>
      <c r="D2037" s="24"/>
      <c r="E2037" s="25"/>
      <c r="F2037" s="26"/>
      <c r="G2037" s="27">
        <f>SUM(G2038:G2044)</f>
        <v>11504.892000000002</v>
      </c>
      <c r="H2037" s="27">
        <f>IFERROR(G2037*E2035,"")</f>
        <v>0</v>
      </c>
    </row>
    <row r="2038" spans="1:10" ht="12.75" customHeight="1">
      <c r="A2038" s="28"/>
      <c r="B2038" s="29" t="s">
        <v>2823</v>
      </c>
      <c r="C2038" s="30" t="str">
        <f>IFERROR(_xlfn.XLOOKUP(B2038,Insumo[DESCRIPCION],Insumo[UND],,0),"")</f>
        <v>Kg</v>
      </c>
      <c r="D2038" s="31">
        <v>0.52</v>
      </c>
      <c r="E2038" s="32">
        <f>IFERROR(_xlfn.XLOOKUP($B2038,Insumo[DESCRIPCION],Insumo[VALOR],,0),"")</f>
        <v>1680</v>
      </c>
      <c r="F2038" s="33"/>
      <c r="G2038" s="34">
        <f t="shared" ref="G2038:G2044" si="9">IFERROR(IF(F2038&gt;=0,D2038*E2038*(1+F2038/100),ABS(D2038*E2038/F2038)),"")</f>
        <v>873.6</v>
      </c>
      <c r="H2038" s="43">
        <f>IFERROR(G2038*E2035,"")</f>
        <v>0</v>
      </c>
    </row>
    <row r="2039" spans="1:10" ht="12.75" customHeight="1">
      <c r="A2039" s="28"/>
      <c r="B2039" s="29" t="s">
        <v>2824</v>
      </c>
      <c r="C2039" s="30" t="str">
        <f>IFERROR(_xlfn.XLOOKUP(B2039,Insumo[DESCRIPCION],Insumo[UND],,0),"")</f>
        <v>Un</v>
      </c>
      <c r="D2039" s="31">
        <v>0.02</v>
      </c>
      <c r="E2039" s="32">
        <f>IFERROR(_xlfn.XLOOKUP($B2039,Insumo[DESCRIPCION],Insumo[VALOR],,0),"")</f>
        <v>34230</v>
      </c>
      <c r="F2039" s="33"/>
      <c r="G2039" s="34">
        <f t="shared" si="9"/>
        <v>684.6</v>
      </c>
      <c r="H2039" s="43">
        <f>IFERROR(G2039*E2035,"")</f>
        <v>0</v>
      </c>
    </row>
    <row r="2040" spans="1:10" ht="12.75" customHeight="1">
      <c r="A2040" s="28"/>
      <c r="B2040" s="29" t="s">
        <v>2825</v>
      </c>
      <c r="C2040" s="30" t="str">
        <f>IFERROR(_xlfn.XLOOKUP(B2040,Insumo[DESCRIPCION],Insumo[UND],,0),"")</f>
        <v>Lb</v>
      </c>
      <c r="D2040" s="31">
        <v>0.1</v>
      </c>
      <c r="E2040" s="32">
        <f>IFERROR(_xlfn.XLOOKUP($B2040,Insumo[DESCRIPCION],Insumo[VALOR],,0),"")</f>
        <v>9657.9</v>
      </c>
      <c r="F2040" s="33"/>
      <c r="G2040" s="34">
        <f t="shared" si="9"/>
        <v>965.79</v>
      </c>
      <c r="H2040" s="43">
        <f>IFERROR(G2040*E2035,"")</f>
        <v>0</v>
      </c>
    </row>
    <row r="2041" spans="1:10" ht="12.75" customHeight="1">
      <c r="A2041" s="28"/>
      <c r="B2041" s="29" t="s">
        <v>2979</v>
      </c>
      <c r="C2041" s="30" t="str">
        <f>IFERROR(_xlfn.XLOOKUP(B2041,Insumo[DESCRIPCION],Insumo[UND],,0),"")</f>
        <v>Un</v>
      </c>
      <c r="D2041" s="31">
        <v>0.14000000000000001</v>
      </c>
      <c r="E2041" s="32">
        <f>IFERROR(_xlfn.XLOOKUP($B2041,Insumo[DESCRIPCION],Insumo[VALOR],,0),"")</f>
        <v>39667.950000000004</v>
      </c>
      <c r="F2041" s="33"/>
      <c r="G2041" s="34">
        <f t="shared" si="9"/>
        <v>5553.5130000000008</v>
      </c>
      <c r="H2041" s="43">
        <f>IFERROR(G2041*E2035,"")</f>
        <v>0</v>
      </c>
    </row>
    <row r="2042" spans="1:10" ht="12.75" customHeight="1">
      <c r="A2042" s="28"/>
      <c r="B2042" s="29" t="s">
        <v>2980</v>
      </c>
      <c r="C2042" s="30" t="str">
        <f>IFERROR(_xlfn.XLOOKUP(B2042,Insumo[DESCRIPCION],Insumo[UND],,0),"")</f>
        <v>Un</v>
      </c>
      <c r="D2042" s="31">
        <v>7.0000000000000007E-2</v>
      </c>
      <c r="E2042" s="32">
        <f>IFERROR(_xlfn.XLOOKUP($B2042,Insumo[DESCRIPCION],Insumo[VALOR],,0),"")</f>
        <v>231</v>
      </c>
      <c r="F2042" s="33"/>
      <c r="G2042" s="34">
        <f t="shared" si="9"/>
        <v>16.170000000000002</v>
      </c>
      <c r="H2042" s="43">
        <f>IFERROR(G2042*E2035,"")</f>
        <v>0</v>
      </c>
    </row>
    <row r="2043" spans="1:10" ht="12.75" customHeight="1">
      <c r="A2043" s="28"/>
      <c r="B2043" s="29" t="s">
        <v>2920</v>
      </c>
      <c r="C2043" s="30" t="str">
        <f>IFERROR(_xlfn.XLOOKUP(B2043,Insumo[DESCRIPCION],Insumo[UND],,0),"")</f>
        <v>M</v>
      </c>
      <c r="D2043" s="31">
        <v>0.1</v>
      </c>
      <c r="E2043" s="32">
        <f>IFERROR(_xlfn.XLOOKUP($B2043,Insumo[DESCRIPCION],Insumo[VALOR],,0),"")</f>
        <v>22687.350000000002</v>
      </c>
      <c r="F2043" s="33"/>
      <c r="G2043" s="34">
        <f t="shared" si="9"/>
        <v>2268.7350000000001</v>
      </c>
      <c r="H2043" s="43">
        <f>IFERROR(G2043*E2035,"")</f>
        <v>0</v>
      </c>
    </row>
    <row r="2044" spans="1:10" ht="12.75" customHeight="1">
      <c r="A2044" s="28"/>
      <c r="B2044" s="29" t="s">
        <v>2757</v>
      </c>
      <c r="C2044" s="30" t="str">
        <f>IFERROR(_xlfn.XLOOKUP(B2044,Insumo[DESCRIPCION],Insumo[UND],,0),"")</f>
        <v>Un</v>
      </c>
      <c r="D2044" s="31">
        <v>0.67</v>
      </c>
      <c r="E2044" s="32">
        <f>IFERROR(_xlfn.XLOOKUP($B2044,Insumo[DESCRIPCION],Insumo[VALOR],,0),"")</f>
        <v>1705.2</v>
      </c>
      <c r="F2044" s="33"/>
      <c r="G2044" s="34">
        <f t="shared" si="9"/>
        <v>1142.4840000000002</v>
      </c>
      <c r="H2044" s="43">
        <f>IFERROR(G2044*E2035,"")</f>
        <v>0</v>
      </c>
    </row>
    <row r="2045" spans="1:10" ht="12.75" customHeight="1">
      <c r="A2045" s="21"/>
      <c r="B2045" s="22" t="s">
        <v>3731</v>
      </c>
      <c r="C2045" s="23"/>
      <c r="D2045" s="24"/>
      <c r="E2045" s="25"/>
      <c r="F2045" s="26"/>
      <c r="G2045" s="27">
        <f>SUM(G2046:G2048)</f>
        <v>2514.7221930937503</v>
      </c>
      <c r="H2045" s="44">
        <f>G2045*E2035</f>
        <v>0</v>
      </c>
    </row>
    <row r="2046" spans="1:10" ht="12.75" customHeight="1">
      <c r="A2046" s="28"/>
      <c r="B2046" s="29" t="s">
        <v>3642</v>
      </c>
      <c r="C2046" s="30" t="str">
        <f>IFERROR(_xlfn.XLOOKUP(B2046,Equipo[DESCRIPCION],Equipo[UND],,0),"")</f>
        <v>Día</v>
      </c>
      <c r="D2046" s="31">
        <v>1</v>
      </c>
      <c r="E2046" s="32">
        <f>IF(C2046="%MO",G2052,IFERROR(_xlfn.XLOOKUP($B2046,Equipo[DESCRIPCION],Equipo[VALOR],,0),""))</f>
        <v>54978</v>
      </c>
      <c r="F2046" s="33">
        <v>-100</v>
      </c>
      <c r="G2046" s="34">
        <f>IFERROR(IF(F2046&gt;=0,D2046*E2046*(1+F2046/100),ABS(D2046*E2046/F2046)),"")</f>
        <v>549.78</v>
      </c>
      <c r="H2046" s="43">
        <f>IFERROR(G2046*E2035,"")</f>
        <v>0</v>
      </c>
    </row>
    <row r="2047" spans="1:10" ht="12.75" customHeight="1">
      <c r="A2047" s="28"/>
      <c r="B2047" s="29" t="s">
        <v>3626</v>
      </c>
      <c r="C2047" s="30" t="str">
        <f>IFERROR(_xlfn.XLOOKUP(B2047,Equipo[DESCRIPCION],Equipo[UND],,0),"")</f>
        <v>%MO</v>
      </c>
      <c r="D2047" s="31">
        <v>0.05</v>
      </c>
      <c r="E2047" s="32">
        <f>IF(C2047="%MO",G2052,IFERROR(_xlfn.XLOOKUP($B2047,Equipo[DESCRIPCION],Equipo[VALOR],,0),""))</f>
        <v>39298.843861875008</v>
      </c>
      <c r="F2047" s="33"/>
      <c r="G2047" s="34">
        <f>IFERROR(IF(F2047&gt;=0,D2047*E2047*(1+F2047/100),ABS(D2047*E2047/F2047)),"")</f>
        <v>1964.9421930937506</v>
      </c>
      <c r="H2047" s="43">
        <f>IFERROR(G2047*E2035,"")</f>
        <v>0</v>
      </c>
    </row>
    <row r="2048" spans="1:10" ht="12.75" customHeight="1">
      <c r="A2048" s="28"/>
      <c r="B2048" s="29"/>
      <c r="C2048" s="30" t="str">
        <f>IFERROR(_xlfn.XLOOKUP(B2048,Equipo[DESCRIPCION],Equipo[UND],,0),"")</f>
        <v/>
      </c>
      <c r="D2048" s="31"/>
      <c r="E2048" s="32" t="str">
        <f>IF(C2048="%MO",G2052,IFERROR(_xlfn.XLOOKUP($B2048,Equipo[DESCRIPCION],Equipo[VALOR],,0),""))</f>
        <v/>
      </c>
      <c r="F2048" s="33"/>
      <c r="G2048" s="34" t="str">
        <f>IFERROR(IF(F2048&gt;=0,D2048*E2048*(1+F2048/100),ABS(D2048*E2048/F2048)),"")</f>
        <v/>
      </c>
      <c r="H2048" s="43" t="str">
        <f>IFERROR(G2048*E2035,"")</f>
        <v/>
      </c>
    </row>
    <row r="2049" spans="1:10" ht="12.75" customHeight="1">
      <c r="A2049" s="21"/>
      <c r="B2049" s="22" t="s">
        <v>2533</v>
      </c>
      <c r="C2049" s="23"/>
      <c r="D2049" s="24"/>
      <c r="E2049" s="25"/>
      <c r="F2049" s="26"/>
      <c r="G2049" s="27">
        <f>SUM(G2050:G2051)</f>
        <v>0</v>
      </c>
      <c r="H2049" s="44">
        <f>G2049*E2035</f>
        <v>0</v>
      </c>
    </row>
    <row r="2050" spans="1:10" ht="12.75" customHeight="1">
      <c r="A2050" s="28"/>
      <c r="B2050" s="29"/>
      <c r="C2050" s="30" t="str">
        <f>IFERROR(_xlfn.XLOOKUP(B2050,Transporte[DESCRIPCION],Transporte[UND],,0),"")</f>
        <v/>
      </c>
      <c r="D2050" s="31"/>
      <c r="E2050" s="32" t="str">
        <f>IFERROR(_xlfn.XLOOKUP($B2050,Transporte[DESCRIPCION],Transporte[VALOR],,0),"")</f>
        <v/>
      </c>
      <c r="F2050" s="33"/>
      <c r="G2050" s="34" t="str">
        <f>IFERROR(IF(F2050&gt;=0,D2050*E2050*(1+F2050/100),ABS(D2050*E2050/F2050)),"")</f>
        <v/>
      </c>
      <c r="H2050" s="43" t="str">
        <f>IFERROR(G2050*E2035,"")</f>
        <v/>
      </c>
    </row>
    <row r="2051" spans="1:10" ht="12.75" customHeight="1">
      <c r="A2051" s="28"/>
      <c r="B2051" s="29"/>
      <c r="C2051" s="30" t="str">
        <f>IFERROR(_xlfn.XLOOKUP(B2051,Transporte[DESCRIPCION],Transporte[UND],,0),"")</f>
        <v/>
      </c>
      <c r="D2051" s="31"/>
      <c r="E2051" s="32" t="str">
        <f>IFERROR(_xlfn.XLOOKUP($B2051,Transporte[DESCRIPCION],Transporte[VALOR],,0),"")</f>
        <v/>
      </c>
      <c r="F2051" s="33"/>
      <c r="G2051" s="34" t="str">
        <f>IFERROR(IF(F2051&gt;=0,D2051*E2051*(1+F2051/100),ABS(D2051*E2051/F2051)),"")</f>
        <v/>
      </c>
      <c r="H2051" s="43" t="str">
        <f>IFERROR(G2051*E2035,"")</f>
        <v/>
      </c>
    </row>
    <row r="2052" spans="1:10" ht="12.75" customHeight="1">
      <c r="A2052" s="21"/>
      <c r="B2052" s="22" t="s">
        <v>3732</v>
      </c>
      <c r="C2052" s="23"/>
      <c r="D2052" s="24"/>
      <c r="E2052" s="25"/>
      <c r="F2052" s="26"/>
      <c r="G2052" s="27">
        <f>SUM(G2053:G2055)</f>
        <v>39298.843861875008</v>
      </c>
      <c r="H2052" s="44">
        <f>G2052*E2035</f>
        <v>0</v>
      </c>
    </row>
    <row r="2053" spans="1:10" ht="12.75" customHeight="1">
      <c r="A2053" s="28"/>
      <c r="B2053" s="29" t="s">
        <v>3710</v>
      </c>
      <c r="C2053" s="30" t="str">
        <f>IFERROR(_xlfn.XLOOKUP(B2053,MObra[DESCRIPCION],MObra[UN],,0),"")</f>
        <v>día</v>
      </c>
      <c r="D2053" s="31">
        <v>1</v>
      </c>
      <c r="E2053" s="32">
        <f>IFERROR(_xlfn.XLOOKUP($B2053,MObra[DESCRIPCION],MObra[VALOR UNIT],,0),"")</f>
        <v>314390.75089500006</v>
      </c>
      <c r="F2053" s="33">
        <v>-8</v>
      </c>
      <c r="G2053" s="34">
        <f>IFERROR(IF(F2053&gt;=0,D2053*E2053*(1+F2053/100),ABS(D2053*E2053/F2053)),"")</f>
        <v>39298.843861875008</v>
      </c>
      <c r="H2053" s="43">
        <f>IFERROR(G2053*E2035,"")</f>
        <v>0</v>
      </c>
    </row>
    <row r="2054" spans="1:10" ht="12.75" customHeight="1">
      <c r="A2054" s="28"/>
      <c r="B2054" s="29"/>
      <c r="C2054" s="30" t="str">
        <f>IFERROR(_xlfn.XLOOKUP(B2054,MObra[DESCRIPCION],MObra[UN],,0),"")</f>
        <v/>
      </c>
      <c r="D2054" s="31"/>
      <c r="E2054" s="32" t="str">
        <f>IFERROR(_xlfn.XLOOKUP($B2054,MObra[DESCRIPCION],MObra[VALOR UNIT],,0),"")</f>
        <v/>
      </c>
      <c r="F2054" s="33"/>
      <c r="G2054" s="34" t="str">
        <f>IFERROR(IF(F2054&gt;=0,D2054*E2054*(1+F2054/100),ABS(D2054*E2054/F2054)),"")</f>
        <v/>
      </c>
      <c r="H2054" s="43" t="str">
        <f>IFERROR(G2054*E2035,"")</f>
        <v/>
      </c>
    </row>
    <row r="2055" spans="1:10" ht="12.75" customHeight="1" thickBot="1">
      <c r="A2055" s="35"/>
      <c r="B2055" s="36"/>
      <c r="C2055" s="37" t="str">
        <f>IFERROR(_xlfn.XLOOKUP(B2055,MObra[DESCRIPCION],MObra[UN],,0),"")</f>
        <v/>
      </c>
      <c r="D2055" s="38"/>
      <c r="E2055" s="39" t="str">
        <f>IFERROR(_xlfn.XLOOKUP($B2055,MObra[DESCRIPCION],MObra[VALOR UNIT],,0),"")</f>
        <v/>
      </c>
      <c r="F2055" s="40"/>
      <c r="G2055" s="41" t="str">
        <f>IFERROR(IF(F2055&gt;=0,D2055*E2055*(1+F2055/100),ABS(D2055*E2055/F2055)),"")</f>
        <v/>
      </c>
      <c r="H2055" s="42" t="str">
        <f>IFERROR(G2055*E2035,"")</f>
        <v/>
      </c>
    </row>
    <row r="2056" spans="1:10" ht="12.75" customHeight="1" thickTop="1" thickBot="1"/>
    <row r="2057" spans="1:10" ht="12.75" customHeight="1" thickTop="1" thickBot="1">
      <c r="A2057" s="6" t="s">
        <v>1301</v>
      </c>
      <c r="B2057" s="7" t="str">
        <f>VLOOKUP($A2057,Presupuesto!$A:$D,2,FALSE())</f>
        <v>Guarda escoba gravilla lavada 1/2 caña</v>
      </c>
      <c r="C2057" s="8" t="str">
        <f>VLOOKUP($A2057,Presupuesto!$A:$D,3,FALSE())</f>
        <v>M</v>
      </c>
      <c r="D2057" s="9"/>
      <c r="E2057" s="10">
        <f>VLOOKUP($A2057,Presupuesto!$A:$D,4,FALSE())</f>
        <v>0</v>
      </c>
      <c r="F2057" s="11" t="s">
        <v>2589</v>
      </c>
      <c r="G2057" s="12">
        <f>SUM(G2059:G2075)/2</f>
        <v>34978.476843975004</v>
      </c>
      <c r="H2057" s="13">
        <f>ROUND(SUM(H2059:H2075),0)/2</f>
        <v>0</v>
      </c>
      <c r="I2057" s="10">
        <f>VLOOKUP(A2057,Presupuesto!$A:$F,6,0)</f>
        <v>0</v>
      </c>
      <c r="J2057" s="10">
        <f>+H2057-I2057</f>
        <v>0</v>
      </c>
    </row>
    <row r="2058" spans="1:10" ht="12.75" customHeight="1" thickTop="1">
      <c r="A2058" s="14"/>
      <c r="B2058" s="15" t="s">
        <v>2586</v>
      </c>
      <c r="C2058" s="15" t="s">
        <v>5</v>
      </c>
      <c r="D2058" s="16" t="s">
        <v>6</v>
      </c>
      <c r="E2058" s="17" t="s">
        <v>7</v>
      </c>
      <c r="F2058" s="18" t="s">
        <v>3728</v>
      </c>
      <c r="G2058" s="19" t="s">
        <v>3729</v>
      </c>
      <c r="H2058" s="20" t="s">
        <v>3797</v>
      </c>
    </row>
    <row r="2059" spans="1:10" ht="12.75" customHeight="1">
      <c r="A2059" s="21"/>
      <c r="B2059" s="22" t="s">
        <v>3730</v>
      </c>
      <c r="C2059" s="23"/>
      <c r="D2059" s="24"/>
      <c r="E2059" s="25"/>
      <c r="F2059" s="26"/>
      <c r="G2059" s="27">
        <f>SUM(G2060:G2064)</f>
        <v>1967.4480000000001</v>
      </c>
      <c r="H2059" s="27">
        <f>IFERROR(G2059*E2057,"")</f>
        <v>0</v>
      </c>
    </row>
    <row r="2060" spans="1:10" ht="12.75" customHeight="1">
      <c r="A2060" s="28"/>
      <c r="B2060" s="29" t="s">
        <v>2984</v>
      </c>
      <c r="C2060" s="30" t="str">
        <f>IFERROR(_xlfn.XLOOKUP(B2060,Insumo[DESCRIPCION],Insumo[UND],,0),"")</f>
        <v>Un</v>
      </c>
      <c r="D2060" s="31">
        <v>0.2</v>
      </c>
      <c r="E2060" s="32">
        <f>IFERROR(_xlfn.XLOOKUP($B2060,Insumo[DESCRIPCION],Insumo[VALOR],,0),"")</f>
        <v>3515.4</v>
      </c>
      <c r="F2060" s="33"/>
      <c r="G2060" s="34">
        <f>IFERROR(IF(F2060&gt;=0,D2060*E2060*(1+F2060/100),ABS(D2060*E2060/F2060)),"")</f>
        <v>703.08</v>
      </c>
      <c r="H2060" s="43">
        <f>IFERROR(G2060*E2057,"")</f>
        <v>0</v>
      </c>
    </row>
    <row r="2061" spans="1:10" ht="12.75" customHeight="1">
      <c r="A2061" s="28"/>
      <c r="B2061" s="29" t="s">
        <v>2824</v>
      </c>
      <c r="C2061" s="30" t="str">
        <f>IFERROR(_xlfn.XLOOKUP(B2061,Insumo[DESCRIPCION],Insumo[UND],,0),"")</f>
        <v>Un</v>
      </c>
      <c r="D2061" s="31">
        <v>0.02</v>
      </c>
      <c r="E2061" s="32">
        <f>IFERROR(_xlfn.XLOOKUP($B2061,Insumo[DESCRIPCION],Insumo[VALOR],,0),"")</f>
        <v>34230</v>
      </c>
      <c r="F2061" s="33"/>
      <c r="G2061" s="34">
        <f>IFERROR(IF(F2061&gt;=0,D2061*E2061*(1+F2061/100),ABS(D2061*E2061/F2061)),"")</f>
        <v>684.6</v>
      </c>
      <c r="H2061" s="43">
        <f>IFERROR(G2061*E2057,"")</f>
        <v>0</v>
      </c>
    </row>
    <row r="2062" spans="1:10" ht="12.75" customHeight="1">
      <c r="A2062" s="28"/>
      <c r="B2062" s="29" t="s">
        <v>2757</v>
      </c>
      <c r="C2062" s="30" t="str">
        <f>IFERROR(_xlfn.XLOOKUP(B2062,Insumo[DESCRIPCION],Insumo[UND],,0),"")</f>
        <v>Un</v>
      </c>
      <c r="D2062" s="31">
        <v>0.34</v>
      </c>
      <c r="E2062" s="32">
        <f>IFERROR(_xlfn.XLOOKUP($B2062,Insumo[DESCRIPCION],Insumo[VALOR],,0),"")</f>
        <v>1705.2</v>
      </c>
      <c r="F2062" s="33"/>
      <c r="G2062" s="34">
        <f>IFERROR(IF(F2062&gt;=0,D2062*E2062*(1+F2062/100),ABS(D2062*E2062/F2062)),"")</f>
        <v>579.76800000000003</v>
      </c>
      <c r="H2062" s="43">
        <f>IFERROR(G2062*E2057,"")</f>
        <v>0</v>
      </c>
    </row>
    <row r="2063" spans="1:10" ht="12.75" customHeight="1">
      <c r="A2063" s="28"/>
      <c r="B2063" s="29"/>
      <c r="C2063" s="30" t="str">
        <f>IFERROR(_xlfn.XLOOKUP(B2063,Insumo[DESCRIPCION],Insumo[UND],,0),"")</f>
        <v/>
      </c>
      <c r="D2063" s="31"/>
      <c r="E2063" s="32" t="str">
        <f>IFERROR(_xlfn.XLOOKUP($B2063,Insumo[DESCRIPCION],Insumo[VALOR],,0),"")</f>
        <v/>
      </c>
      <c r="F2063" s="33"/>
      <c r="G2063" s="34" t="str">
        <f>IFERROR(IF(F2063&gt;=0,D2063*E2063*(1+F2063/100),ABS(D2063*E2063/F2063)),"")</f>
        <v/>
      </c>
      <c r="H2063" s="43" t="str">
        <f>IFERROR(G2063*E2057,"")</f>
        <v/>
      </c>
    </row>
    <row r="2064" spans="1:10" ht="12.75" customHeight="1">
      <c r="A2064" s="28"/>
      <c r="B2064" s="29"/>
      <c r="C2064" s="30" t="str">
        <f>IFERROR(_xlfn.XLOOKUP(B2064,Insumo[DESCRIPCION],Insumo[UND],,0),"")</f>
        <v/>
      </c>
      <c r="D2064" s="31"/>
      <c r="E2064" s="32" t="str">
        <f>IFERROR(_xlfn.XLOOKUP($B2064,Insumo[DESCRIPCION],Insumo[VALOR],,0),"")</f>
        <v/>
      </c>
      <c r="F2064" s="33"/>
      <c r="G2064" s="34" t="str">
        <f>IFERROR(IF(F2064&gt;=0,D2064*E2064*(1+F2064/100),ABS(D2064*E2064/F2064)),"")</f>
        <v/>
      </c>
      <c r="H2064" s="43" t="str">
        <f>IFERROR(G2064*E2057,"")</f>
        <v/>
      </c>
    </row>
    <row r="2065" spans="1:10" ht="12.75" customHeight="1">
      <c r="A2065" s="21"/>
      <c r="B2065" s="22" t="s">
        <v>3731</v>
      </c>
      <c r="C2065" s="23"/>
      <c r="D2065" s="24"/>
      <c r="E2065" s="25"/>
      <c r="F2065" s="26"/>
      <c r="G2065" s="27">
        <f>SUM(G2066:G2068)</f>
        <v>1571.9537544750003</v>
      </c>
      <c r="H2065" s="44">
        <f>G2065*E2057</f>
        <v>0</v>
      </c>
    </row>
    <row r="2066" spans="1:10" ht="12.75" customHeight="1">
      <c r="A2066" s="28"/>
      <c r="B2066" s="29" t="s">
        <v>3626</v>
      </c>
      <c r="C2066" s="30" t="str">
        <f>IFERROR(_xlfn.XLOOKUP(B2066,Equipo[DESCRIPCION],Equipo[UND],,0),"")</f>
        <v>%MO</v>
      </c>
      <c r="D2066" s="31">
        <v>0.05</v>
      </c>
      <c r="E2066" s="32">
        <f>IF(C2066="%MO",G2072,IFERROR(_xlfn.XLOOKUP($B2066,Equipo[DESCRIPCION],Equipo[VALOR],,0),""))</f>
        <v>31439.075089500006</v>
      </c>
      <c r="F2066" s="33"/>
      <c r="G2066" s="34">
        <f>IFERROR(IF(F2066&gt;=0,D2066*E2066*(1+F2066/100),ABS(D2066*E2066/F2066)),"")</f>
        <v>1571.9537544750003</v>
      </c>
      <c r="H2066" s="43">
        <f>IFERROR(G2066*E2057,"")</f>
        <v>0</v>
      </c>
    </row>
    <row r="2067" spans="1:10" ht="12.75" customHeight="1">
      <c r="A2067" s="28"/>
      <c r="B2067" s="29"/>
      <c r="C2067" s="30" t="str">
        <f>IFERROR(_xlfn.XLOOKUP(B2067,Equipo[DESCRIPCION],Equipo[UND],,0),"")</f>
        <v/>
      </c>
      <c r="D2067" s="31"/>
      <c r="E2067" s="32" t="str">
        <f>IF(C2067="%MO",G2072,IFERROR(_xlfn.XLOOKUP($B2067,Equipo[DESCRIPCION],Equipo[VALOR],,0),""))</f>
        <v/>
      </c>
      <c r="F2067" s="33"/>
      <c r="G2067" s="34" t="str">
        <f>IFERROR(IF(F2067&gt;=0,D2067*E2067*(1+F2067/100),ABS(D2067*E2067/F2067)),"")</f>
        <v/>
      </c>
      <c r="H2067" s="43" t="str">
        <f>IFERROR(G2067*E2057,"")</f>
        <v/>
      </c>
    </row>
    <row r="2068" spans="1:10" ht="12.75" customHeight="1">
      <c r="A2068" s="28"/>
      <c r="B2068" s="29"/>
      <c r="C2068" s="30" t="str">
        <f>IFERROR(_xlfn.XLOOKUP(B2068,Equipo[DESCRIPCION],Equipo[UND],,0),"")</f>
        <v/>
      </c>
      <c r="D2068" s="31"/>
      <c r="E2068" s="32" t="str">
        <f>IF(C2068="%MO",G2072,IFERROR(_xlfn.XLOOKUP($B2068,Equipo[DESCRIPCION],Equipo[VALOR],,0),""))</f>
        <v/>
      </c>
      <c r="F2068" s="33"/>
      <c r="G2068" s="34" t="str">
        <f>IFERROR(IF(F2068&gt;=0,D2068*E2068*(1+F2068/100),ABS(D2068*E2068/F2068)),"")</f>
        <v/>
      </c>
      <c r="H2068" s="43" t="str">
        <f>IFERROR(G2068*E2057,"")</f>
        <v/>
      </c>
    </row>
    <row r="2069" spans="1:10" ht="12.75" customHeight="1">
      <c r="A2069" s="21"/>
      <c r="B2069" s="22" t="s">
        <v>2533</v>
      </c>
      <c r="C2069" s="23"/>
      <c r="D2069" s="24"/>
      <c r="E2069" s="25"/>
      <c r="F2069" s="26"/>
      <c r="G2069" s="27">
        <f>SUM(G2070:G2071)</f>
        <v>0</v>
      </c>
      <c r="H2069" s="44">
        <f>G2069*E2057</f>
        <v>0</v>
      </c>
    </row>
    <row r="2070" spans="1:10" ht="12.75" customHeight="1">
      <c r="A2070" s="28"/>
      <c r="B2070" s="29"/>
      <c r="C2070" s="30" t="str">
        <f>IFERROR(_xlfn.XLOOKUP(B2070,Transporte[DESCRIPCION],Transporte[UND],,0),"")</f>
        <v/>
      </c>
      <c r="D2070" s="31"/>
      <c r="E2070" s="32" t="str">
        <f>IFERROR(_xlfn.XLOOKUP($B2070,Transporte[DESCRIPCION],Transporte[VALOR],,0),"")</f>
        <v/>
      </c>
      <c r="F2070" s="33"/>
      <c r="G2070" s="34" t="str">
        <f>IFERROR(IF(F2070&gt;=0,D2070*E2070*(1+F2070/100),ABS(D2070*E2070/F2070)),"")</f>
        <v/>
      </c>
      <c r="H2070" s="43" t="str">
        <f>IFERROR(G2070*E2057,"")</f>
        <v/>
      </c>
    </row>
    <row r="2071" spans="1:10" ht="12.75" customHeight="1">
      <c r="A2071" s="28"/>
      <c r="B2071" s="29"/>
      <c r="C2071" s="30" t="str">
        <f>IFERROR(_xlfn.XLOOKUP(B2071,Transporte[DESCRIPCION],Transporte[UND],,0),"")</f>
        <v/>
      </c>
      <c r="D2071" s="31"/>
      <c r="E2071" s="32" t="str">
        <f>IFERROR(_xlfn.XLOOKUP($B2071,Transporte[DESCRIPCION],Transporte[VALOR],,0),"")</f>
        <v/>
      </c>
      <c r="F2071" s="33"/>
      <c r="G2071" s="34" t="str">
        <f>IFERROR(IF(F2071&gt;=0,D2071*E2071*(1+F2071/100),ABS(D2071*E2071/F2071)),"")</f>
        <v/>
      </c>
      <c r="H2071" s="43" t="str">
        <f>IFERROR(G2071*E2057,"")</f>
        <v/>
      </c>
    </row>
    <row r="2072" spans="1:10" ht="12.75" customHeight="1">
      <c r="A2072" s="21"/>
      <c r="B2072" s="22" t="s">
        <v>3732</v>
      </c>
      <c r="C2072" s="23"/>
      <c r="D2072" s="24"/>
      <c r="E2072" s="25"/>
      <c r="F2072" s="26"/>
      <c r="G2072" s="27">
        <f>SUM(G2073:G2075)</f>
        <v>31439.075089500006</v>
      </c>
      <c r="H2072" s="44">
        <f>G2072*E2057</f>
        <v>0</v>
      </c>
    </row>
    <row r="2073" spans="1:10" ht="12.75" customHeight="1">
      <c r="A2073" s="28"/>
      <c r="B2073" s="29" t="s">
        <v>3710</v>
      </c>
      <c r="C2073" s="30" t="str">
        <f>IFERROR(_xlfn.XLOOKUP(B2073,MObra[DESCRIPCION],MObra[UN],,0),"")</f>
        <v>día</v>
      </c>
      <c r="D2073" s="31">
        <v>1</v>
      </c>
      <c r="E2073" s="32">
        <f>IFERROR(_xlfn.XLOOKUP($B2073,MObra[DESCRIPCION],MObra[VALOR UNIT],,0),"")</f>
        <v>314390.75089500006</v>
      </c>
      <c r="F2073" s="33">
        <v>-10</v>
      </c>
      <c r="G2073" s="34">
        <f>IFERROR(IF(F2073&gt;=0,D2073*E2073*(1+F2073/100),ABS(D2073*E2073/F2073)),"")</f>
        <v>31439.075089500006</v>
      </c>
      <c r="H2073" s="43">
        <f>IFERROR(G2073*E2057,"")</f>
        <v>0</v>
      </c>
    </row>
    <row r="2074" spans="1:10" ht="12.75" customHeight="1">
      <c r="A2074" s="28"/>
      <c r="B2074" s="29"/>
      <c r="C2074" s="30" t="str">
        <f>IFERROR(_xlfn.XLOOKUP(B2074,MObra[DESCRIPCION],MObra[UN],,0),"")</f>
        <v/>
      </c>
      <c r="D2074" s="31"/>
      <c r="E2074" s="32" t="str">
        <f>IFERROR(_xlfn.XLOOKUP($B2074,MObra[DESCRIPCION],MObra[VALOR UNIT],,0),"")</f>
        <v/>
      </c>
      <c r="F2074" s="33"/>
      <c r="G2074" s="34" t="str">
        <f>IFERROR(IF(F2074&gt;=0,D2074*E2074*(1+F2074/100),ABS(D2074*E2074/F2074)),"")</f>
        <v/>
      </c>
      <c r="H2074" s="43" t="str">
        <f>IFERROR(G2074*E2057,"")</f>
        <v/>
      </c>
    </row>
    <row r="2075" spans="1:10" ht="12.75" customHeight="1" thickBot="1">
      <c r="A2075" s="35"/>
      <c r="B2075" s="36"/>
      <c r="C2075" s="37" t="str">
        <f>IFERROR(_xlfn.XLOOKUP(B2075,MObra[DESCRIPCION],MObra[UN],,0),"")</f>
        <v/>
      </c>
      <c r="D2075" s="38"/>
      <c r="E2075" s="39" t="str">
        <f>IFERROR(_xlfn.XLOOKUP($B2075,MObra[DESCRIPCION],MObra[VALOR UNIT],,0),"")</f>
        <v/>
      </c>
      <c r="F2075" s="40"/>
      <c r="G2075" s="41" t="str">
        <f>IFERROR(IF(F2075&gt;=0,D2075*E2075*(1+F2075/100),ABS(D2075*E2075/F2075)),"")</f>
        <v/>
      </c>
      <c r="H2075" s="42" t="str">
        <f>IFERROR(G2075*E2057,"")</f>
        <v/>
      </c>
    </row>
    <row r="2076" spans="1:10" ht="12.75" customHeight="1" thickTop="1" thickBot="1"/>
    <row r="2077" spans="1:10" ht="12.75" customHeight="1" thickTop="1" thickBot="1">
      <c r="A2077" s="6" t="s">
        <v>1303</v>
      </c>
      <c r="B2077" s="7" t="str">
        <f>VLOOKUP($A2077,Presupuesto!$A:$D,2,FALSE())</f>
        <v>Guarda escoba mortero</v>
      </c>
      <c r="C2077" s="8" t="str">
        <f>VLOOKUP($A2077,Presupuesto!$A:$D,3,FALSE())</f>
        <v>M</v>
      </c>
      <c r="D2077" s="9"/>
      <c r="E2077" s="10">
        <f>VLOOKUP($A2077,Presupuesto!$A:$D,4,FALSE())</f>
        <v>0</v>
      </c>
      <c r="F2077" s="11" t="s">
        <v>2589</v>
      </c>
      <c r="G2077" s="12">
        <f>SUM(G2079:G2095)/2</f>
        <v>35270.928158419279</v>
      </c>
      <c r="H2077" s="13">
        <f>ROUND(SUM(H2079:H2095),0)/2</f>
        <v>0</v>
      </c>
      <c r="I2077" s="10">
        <f>VLOOKUP(A2077,Presupuesto!$A:$F,6,0)</f>
        <v>0</v>
      </c>
      <c r="J2077" s="10">
        <f>+H2077-I2077</f>
        <v>0</v>
      </c>
    </row>
    <row r="2078" spans="1:10" ht="12.75" customHeight="1" thickTop="1">
      <c r="A2078" s="14"/>
      <c r="B2078" s="15" t="s">
        <v>2586</v>
      </c>
      <c r="C2078" s="15" t="s">
        <v>5</v>
      </c>
      <c r="D2078" s="16" t="s">
        <v>6</v>
      </c>
      <c r="E2078" s="17" t="s">
        <v>7</v>
      </c>
      <c r="F2078" s="18" t="s">
        <v>3728</v>
      </c>
      <c r="G2078" s="19" t="s">
        <v>3729</v>
      </c>
      <c r="H2078" s="20" t="s">
        <v>3797</v>
      </c>
    </row>
    <row r="2079" spans="1:10" ht="12.75" customHeight="1">
      <c r="A2079" s="21"/>
      <c r="B2079" s="22" t="s">
        <v>3730</v>
      </c>
      <c r="C2079" s="23"/>
      <c r="D2079" s="24"/>
      <c r="E2079" s="25"/>
      <c r="F2079" s="26"/>
      <c r="G2079" s="27">
        <f>SUM(G2080:G2084)</f>
        <v>2259.8993144442752</v>
      </c>
      <c r="H2079" s="27">
        <f>IFERROR(G2079*E2077,"")</f>
        <v>0</v>
      </c>
    </row>
    <row r="2080" spans="1:10" ht="12.75" customHeight="1">
      <c r="A2080" s="28"/>
      <c r="B2080" s="29" t="s">
        <v>3244</v>
      </c>
      <c r="C2080" s="30" t="str">
        <f>IFERROR(_xlfn.XLOOKUP(B2080,Insumo[DESCRIPCION],Insumo[UND],,0),"")</f>
        <v>M3</v>
      </c>
      <c r="D2080" s="31">
        <v>2E-3</v>
      </c>
      <c r="E2080" s="32">
        <f>IFERROR(_xlfn.XLOOKUP($B2080,Insumo[DESCRIPCION],Insumo[VALOR],,0),"")</f>
        <v>497765.65722213761</v>
      </c>
      <c r="F2080" s="33"/>
      <c r="G2080" s="34">
        <f>IFERROR(IF(F2080&gt;=0,D2080*E2080*(1+F2080/100),ABS(D2080*E2080/F2080)),"")</f>
        <v>995.53131444427527</v>
      </c>
      <c r="H2080" s="43">
        <f>IFERROR(G2080*E2077,"")</f>
        <v>0</v>
      </c>
    </row>
    <row r="2081" spans="1:8" ht="12.75" customHeight="1">
      <c r="A2081" s="28"/>
      <c r="B2081" s="29" t="s">
        <v>2824</v>
      </c>
      <c r="C2081" s="30" t="str">
        <f>IFERROR(_xlfn.XLOOKUP(B2081,Insumo[DESCRIPCION],Insumo[UND],,0),"")</f>
        <v>Un</v>
      </c>
      <c r="D2081" s="31">
        <v>0.02</v>
      </c>
      <c r="E2081" s="32">
        <f>IFERROR(_xlfn.XLOOKUP($B2081,Insumo[DESCRIPCION],Insumo[VALOR],,0),"")</f>
        <v>34230</v>
      </c>
      <c r="F2081" s="33"/>
      <c r="G2081" s="34">
        <f>IFERROR(IF(F2081&gt;=0,D2081*E2081*(1+F2081/100),ABS(D2081*E2081/F2081)),"")</f>
        <v>684.6</v>
      </c>
      <c r="H2081" s="43">
        <f>IFERROR(G2081*E2077,"")</f>
        <v>0</v>
      </c>
    </row>
    <row r="2082" spans="1:8" ht="12.75" customHeight="1">
      <c r="A2082" s="28"/>
      <c r="B2082" s="29" t="s">
        <v>2757</v>
      </c>
      <c r="C2082" s="30" t="str">
        <f>IFERROR(_xlfn.XLOOKUP(B2082,Insumo[DESCRIPCION],Insumo[UND],,0),"")</f>
        <v>Un</v>
      </c>
      <c r="D2082" s="31">
        <v>0.34</v>
      </c>
      <c r="E2082" s="32">
        <f>IFERROR(_xlfn.XLOOKUP($B2082,Insumo[DESCRIPCION],Insumo[VALOR],,0),"")</f>
        <v>1705.2</v>
      </c>
      <c r="F2082" s="33"/>
      <c r="G2082" s="34">
        <f>IFERROR(IF(F2082&gt;=0,D2082*E2082*(1+F2082/100),ABS(D2082*E2082/F2082)),"")</f>
        <v>579.76800000000003</v>
      </c>
      <c r="H2082" s="43">
        <f>IFERROR(G2082*E2077,"")</f>
        <v>0</v>
      </c>
    </row>
    <row r="2083" spans="1:8" ht="12.75" customHeight="1">
      <c r="A2083" s="28"/>
      <c r="B2083" s="29"/>
      <c r="C2083" s="30" t="str">
        <f>IFERROR(_xlfn.XLOOKUP(B2083,Insumo[DESCRIPCION],Insumo[UND],,0),"")</f>
        <v/>
      </c>
      <c r="D2083" s="31"/>
      <c r="E2083" s="32" t="str">
        <f>IFERROR(_xlfn.XLOOKUP($B2083,Insumo[DESCRIPCION],Insumo[VALOR],,0),"")</f>
        <v/>
      </c>
      <c r="F2083" s="33"/>
      <c r="G2083" s="34" t="str">
        <f>IFERROR(IF(F2083&gt;=0,D2083*E2083*(1+F2083/100),ABS(D2083*E2083/F2083)),"")</f>
        <v/>
      </c>
      <c r="H2083" s="43" t="str">
        <f>IFERROR(G2083*E2077,"")</f>
        <v/>
      </c>
    </row>
    <row r="2084" spans="1:8" ht="12.75" customHeight="1">
      <c r="A2084" s="28"/>
      <c r="B2084" s="29"/>
      <c r="C2084" s="30" t="str">
        <f>IFERROR(_xlfn.XLOOKUP(B2084,Insumo[DESCRIPCION],Insumo[UND],,0),"")</f>
        <v/>
      </c>
      <c r="D2084" s="31"/>
      <c r="E2084" s="32" t="str">
        <f>IFERROR(_xlfn.XLOOKUP($B2084,Insumo[DESCRIPCION],Insumo[VALOR],,0),"")</f>
        <v/>
      </c>
      <c r="F2084" s="33"/>
      <c r="G2084" s="34" t="str">
        <f>IFERROR(IF(F2084&gt;=0,D2084*E2084*(1+F2084/100),ABS(D2084*E2084/F2084)),"")</f>
        <v/>
      </c>
      <c r="H2084" s="43" t="str">
        <f>IFERROR(G2084*E2077,"")</f>
        <v/>
      </c>
    </row>
    <row r="2085" spans="1:8" ht="12.75" customHeight="1">
      <c r="A2085" s="21"/>
      <c r="B2085" s="22" t="s">
        <v>3731</v>
      </c>
      <c r="C2085" s="23"/>
      <c r="D2085" s="24"/>
      <c r="E2085" s="25"/>
      <c r="F2085" s="26"/>
      <c r="G2085" s="27">
        <f>SUM(G2086:G2088)</f>
        <v>1571.9537544750003</v>
      </c>
      <c r="H2085" s="44">
        <f>G2085*E2077</f>
        <v>0</v>
      </c>
    </row>
    <row r="2086" spans="1:8" ht="12.75" customHeight="1">
      <c r="A2086" s="28"/>
      <c r="B2086" s="29" t="s">
        <v>3626</v>
      </c>
      <c r="C2086" s="30" t="str">
        <f>IFERROR(_xlfn.XLOOKUP(B2086,Equipo[DESCRIPCION],Equipo[UND],,0),"")</f>
        <v>%MO</v>
      </c>
      <c r="D2086" s="31">
        <v>0.05</v>
      </c>
      <c r="E2086" s="32">
        <f>IF(C2086="%MO",G2092,IFERROR(_xlfn.XLOOKUP($B2086,Equipo[DESCRIPCION],Equipo[VALOR],,0),""))</f>
        <v>31439.075089500006</v>
      </c>
      <c r="F2086" s="33"/>
      <c r="G2086" s="34">
        <f>IFERROR(IF(F2086&gt;=0,D2086*E2086*(1+F2086/100),ABS(D2086*E2086/F2086)),"")</f>
        <v>1571.9537544750003</v>
      </c>
      <c r="H2086" s="43">
        <f>IFERROR(G2086*E2077,"")</f>
        <v>0</v>
      </c>
    </row>
    <row r="2087" spans="1:8" ht="12.75" customHeight="1">
      <c r="A2087" s="28"/>
      <c r="B2087" s="29"/>
      <c r="C2087" s="30" t="str">
        <f>IFERROR(_xlfn.XLOOKUP(B2087,Equipo[DESCRIPCION],Equipo[UND],,0),"")</f>
        <v/>
      </c>
      <c r="D2087" s="31"/>
      <c r="E2087" s="32" t="str">
        <f>IF(C2087="%MO",G2092,IFERROR(_xlfn.XLOOKUP($B2087,Equipo[DESCRIPCION],Equipo[VALOR],,0),""))</f>
        <v/>
      </c>
      <c r="F2087" s="33"/>
      <c r="G2087" s="34" t="str">
        <f>IFERROR(IF(F2087&gt;=0,D2087*E2087*(1+F2087/100),ABS(D2087*E2087/F2087)),"")</f>
        <v/>
      </c>
      <c r="H2087" s="43" t="str">
        <f>IFERROR(G2087*E2077,"")</f>
        <v/>
      </c>
    </row>
    <row r="2088" spans="1:8" ht="12.75" customHeight="1">
      <c r="A2088" s="28"/>
      <c r="B2088" s="29"/>
      <c r="C2088" s="30" t="str">
        <f>IFERROR(_xlfn.XLOOKUP(B2088,Equipo[DESCRIPCION],Equipo[UND],,0),"")</f>
        <v/>
      </c>
      <c r="D2088" s="31"/>
      <c r="E2088" s="32" t="str">
        <f>IF(C2088="%MO",G2092,IFERROR(_xlfn.XLOOKUP($B2088,Equipo[DESCRIPCION],Equipo[VALOR],,0),""))</f>
        <v/>
      </c>
      <c r="F2088" s="33"/>
      <c r="G2088" s="34" t="str">
        <f>IFERROR(IF(F2088&gt;=0,D2088*E2088*(1+F2088/100),ABS(D2088*E2088/F2088)),"")</f>
        <v/>
      </c>
      <c r="H2088" s="43" t="str">
        <f>IFERROR(G2088*E2077,"")</f>
        <v/>
      </c>
    </row>
    <row r="2089" spans="1:8" ht="12.75" customHeight="1">
      <c r="A2089" s="21"/>
      <c r="B2089" s="22" t="s">
        <v>2533</v>
      </c>
      <c r="C2089" s="23"/>
      <c r="D2089" s="24"/>
      <c r="E2089" s="25"/>
      <c r="F2089" s="26"/>
      <c r="G2089" s="27">
        <f>SUM(G2090:G2091)</f>
        <v>0</v>
      </c>
      <c r="H2089" s="44">
        <f>G2089*E2077</f>
        <v>0</v>
      </c>
    </row>
    <row r="2090" spans="1:8" ht="12.75" customHeight="1">
      <c r="A2090" s="28"/>
      <c r="B2090" s="29"/>
      <c r="C2090" s="30" t="str">
        <f>IFERROR(_xlfn.XLOOKUP(B2090,Transporte[DESCRIPCION],Transporte[UND],,0),"")</f>
        <v/>
      </c>
      <c r="D2090" s="31"/>
      <c r="E2090" s="32" t="str">
        <f>IFERROR(_xlfn.XLOOKUP($B2090,Transporte[DESCRIPCION],Transporte[VALOR],,0),"")</f>
        <v/>
      </c>
      <c r="F2090" s="33"/>
      <c r="G2090" s="34" t="str">
        <f>IFERROR(IF(F2090&gt;=0,D2090*E2090*(1+F2090/100),ABS(D2090*E2090/F2090)),"")</f>
        <v/>
      </c>
      <c r="H2090" s="43" t="str">
        <f>IFERROR(G2090*E2077,"")</f>
        <v/>
      </c>
    </row>
    <row r="2091" spans="1:8" ht="12.75" customHeight="1">
      <c r="A2091" s="28"/>
      <c r="B2091" s="29"/>
      <c r="C2091" s="30" t="str">
        <f>IFERROR(_xlfn.XLOOKUP(B2091,Transporte[DESCRIPCION],Transporte[UND],,0),"")</f>
        <v/>
      </c>
      <c r="D2091" s="31"/>
      <c r="E2091" s="32" t="str">
        <f>IFERROR(_xlfn.XLOOKUP($B2091,Transporte[DESCRIPCION],Transporte[VALOR],,0),"")</f>
        <v/>
      </c>
      <c r="F2091" s="33"/>
      <c r="G2091" s="34" t="str">
        <f>IFERROR(IF(F2091&gt;=0,D2091*E2091*(1+F2091/100),ABS(D2091*E2091/F2091)),"")</f>
        <v/>
      </c>
      <c r="H2091" s="43" t="str">
        <f>IFERROR(G2091*E2077,"")</f>
        <v/>
      </c>
    </row>
    <row r="2092" spans="1:8" ht="12.75" customHeight="1">
      <c r="A2092" s="21"/>
      <c r="B2092" s="22" t="s">
        <v>3732</v>
      </c>
      <c r="C2092" s="23"/>
      <c r="D2092" s="24"/>
      <c r="E2092" s="25"/>
      <c r="F2092" s="26"/>
      <c r="G2092" s="27">
        <f>SUM(G2093:G2095)</f>
        <v>31439.075089500006</v>
      </c>
      <c r="H2092" s="44">
        <f>G2092*E2077</f>
        <v>0</v>
      </c>
    </row>
    <row r="2093" spans="1:8" ht="12.75" customHeight="1">
      <c r="A2093" s="28"/>
      <c r="B2093" s="29" t="s">
        <v>3710</v>
      </c>
      <c r="C2093" s="30" t="str">
        <f>IFERROR(_xlfn.XLOOKUP(B2093,MObra[DESCRIPCION],MObra[UN],,0),"")</f>
        <v>día</v>
      </c>
      <c r="D2093" s="31">
        <v>1</v>
      </c>
      <c r="E2093" s="32">
        <f>IFERROR(_xlfn.XLOOKUP($B2093,MObra[DESCRIPCION],MObra[VALOR UNIT],,0),"")</f>
        <v>314390.75089500006</v>
      </c>
      <c r="F2093" s="33">
        <v>-10</v>
      </c>
      <c r="G2093" s="34">
        <f>IFERROR(IF(F2093&gt;=0,D2093*E2093*(1+F2093/100),ABS(D2093*E2093/F2093)),"")</f>
        <v>31439.075089500006</v>
      </c>
      <c r="H2093" s="43">
        <f>IFERROR(G2093*E2077,"")</f>
        <v>0</v>
      </c>
    </row>
    <row r="2094" spans="1:8" ht="12.75" customHeight="1">
      <c r="A2094" s="28"/>
      <c r="B2094" s="29"/>
      <c r="C2094" s="30" t="str">
        <f>IFERROR(_xlfn.XLOOKUP(B2094,MObra[DESCRIPCION],MObra[UN],,0),"")</f>
        <v/>
      </c>
      <c r="D2094" s="31"/>
      <c r="E2094" s="32" t="str">
        <f>IFERROR(_xlfn.XLOOKUP($B2094,MObra[DESCRIPCION],MObra[VALOR UNIT],,0),"")</f>
        <v/>
      </c>
      <c r="F2094" s="33"/>
      <c r="G2094" s="34" t="str">
        <f>IFERROR(IF(F2094&gt;=0,D2094*E2094*(1+F2094/100),ABS(D2094*E2094/F2094)),"")</f>
        <v/>
      </c>
      <c r="H2094" s="43" t="str">
        <f>IFERROR(G2094*E2077,"")</f>
        <v/>
      </c>
    </row>
    <row r="2095" spans="1:8" ht="12.75" customHeight="1" thickBot="1">
      <c r="A2095" s="35"/>
      <c r="B2095" s="36"/>
      <c r="C2095" s="37" t="str">
        <f>IFERROR(_xlfn.XLOOKUP(B2095,MObra[DESCRIPCION],MObra[UN],,0),"")</f>
        <v/>
      </c>
      <c r="D2095" s="38"/>
      <c r="E2095" s="39" t="str">
        <f>IFERROR(_xlfn.XLOOKUP($B2095,MObra[DESCRIPCION],MObra[VALOR UNIT],,0),"")</f>
        <v/>
      </c>
      <c r="F2095" s="40"/>
      <c r="G2095" s="41" t="str">
        <f>IFERROR(IF(F2095&gt;=0,D2095*E2095*(1+F2095/100),ABS(D2095*E2095/F2095)),"")</f>
        <v/>
      </c>
      <c r="H2095" s="42" t="str">
        <f>IFERROR(G2095*E2077,"")</f>
        <v/>
      </c>
    </row>
    <row r="2096" spans="1:8" ht="12.75" customHeight="1" thickTop="1" thickBot="1"/>
    <row r="2097" spans="1:10" ht="12.75" customHeight="1" thickTop="1" thickBot="1">
      <c r="A2097" s="6" t="s">
        <v>1305</v>
      </c>
      <c r="B2097" s="7" t="str">
        <f>VLOOKUP($A2097,Presupuesto!$A:$D,2,FALSE())</f>
        <v>Guarda escoba PVC 1/2 caña</v>
      </c>
      <c r="C2097" s="8" t="str">
        <f>VLOOKUP($A2097,Presupuesto!$A:$D,3,FALSE())</f>
        <v>M</v>
      </c>
      <c r="D2097" s="9"/>
      <c r="E2097" s="10">
        <f>VLOOKUP($A2097,Presupuesto!$A:$D,4,FALSE())</f>
        <v>0</v>
      </c>
      <c r="F2097" s="11" t="s">
        <v>2589</v>
      </c>
      <c r="G2097" s="12">
        <f>SUM(G2099:G2115)/2</f>
        <v>53817.108703312508</v>
      </c>
      <c r="H2097" s="13">
        <f>ROUND(SUM(H2099:H2115),0)/2</f>
        <v>0</v>
      </c>
      <c r="I2097" s="10">
        <f>VLOOKUP(A2097,Presupuesto!$A:$F,6,0)</f>
        <v>0</v>
      </c>
      <c r="J2097" s="10">
        <f>+H2097-I2097</f>
        <v>0</v>
      </c>
    </row>
    <row r="2098" spans="1:10" ht="12.75" customHeight="1" thickTop="1">
      <c r="A2098" s="14"/>
      <c r="B2098" s="15" t="s">
        <v>2586</v>
      </c>
      <c r="C2098" s="15" t="s">
        <v>5</v>
      </c>
      <c r="D2098" s="16" t="s">
        <v>6</v>
      </c>
      <c r="E2098" s="17" t="s">
        <v>7</v>
      </c>
      <c r="F2098" s="18" t="s">
        <v>3728</v>
      </c>
      <c r="G2098" s="19" t="s">
        <v>3729</v>
      </c>
      <c r="H2098" s="20" t="s">
        <v>3797</v>
      </c>
    </row>
    <row r="2099" spans="1:10" ht="12.75" customHeight="1">
      <c r="A2099" s="21"/>
      <c r="B2099" s="22" t="s">
        <v>3730</v>
      </c>
      <c r="C2099" s="23"/>
      <c r="D2099" s="24"/>
      <c r="E2099" s="25"/>
      <c r="F2099" s="26"/>
      <c r="G2099" s="27">
        <f>SUM(G2100:G2104)</f>
        <v>26307.918000000001</v>
      </c>
      <c r="H2099" s="27">
        <f>IFERROR(G2099*E2097,"")</f>
        <v>0</v>
      </c>
    </row>
    <row r="2100" spans="1:10" ht="12.75" customHeight="1">
      <c r="A2100" s="28"/>
      <c r="B2100" s="29" t="s">
        <v>2993</v>
      </c>
      <c r="C2100" s="30" t="str">
        <f>IFERROR(_xlfn.XLOOKUP(B2100,Insumo[DESCRIPCION],Insumo[UND],,0),"")</f>
        <v>M</v>
      </c>
      <c r="D2100" s="31">
        <v>1</v>
      </c>
      <c r="E2100" s="32">
        <f>IFERROR(_xlfn.XLOOKUP($B2100,Insumo[DESCRIPCION],Insumo[VALOR],,0),"")</f>
        <v>18906.3</v>
      </c>
      <c r="F2100" s="33">
        <v>5</v>
      </c>
      <c r="G2100" s="34">
        <f>IFERROR(IF(F2100&gt;=0,D2100*E2100*(1+F2100/100),ABS(D2100*E2100/F2100)),"")</f>
        <v>19851.615000000002</v>
      </c>
      <c r="H2100" s="43">
        <f>IFERROR(G2100*E2097,"")</f>
        <v>0</v>
      </c>
    </row>
    <row r="2101" spans="1:10" ht="12.75" customHeight="1">
      <c r="A2101" s="28"/>
      <c r="B2101" s="29" t="s">
        <v>2636</v>
      </c>
      <c r="C2101" s="30" t="str">
        <f>IFERROR(_xlfn.XLOOKUP(B2101,Insumo[DESCRIPCION],Insumo[UND],,0),"")</f>
        <v>Un</v>
      </c>
      <c r="D2101" s="31">
        <v>0.5</v>
      </c>
      <c r="E2101" s="32">
        <f>IFERROR(_xlfn.XLOOKUP($B2101,Insumo[DESCRIPCION],Insumo[VALOR],,0),"")</f>
        <v>7956.9000000000005</v>
      </c>
      <c r="F2101" s="33"/>
      <c r="G2101" s="34">
        <f>IFERROR(IF(F2101&gt;=0,D2101*E2101*(1+F2101/100),ABS(D2101*E2101/F2101)),"")</f>
        <v>3978.4500000000003</v>
      </c>
      <c r="H2101" s="43">
        <f>IFERROR(G2101*E2097,"")</f>
        <v>0</v>
      </c>
    </row>
    <row r="2102" spans="1:10" ht="12.75" customHeight="1">
      <c r="A2102" s="28"/>
      <c r="B2102" s="29" t="s">
        <v>3194</v>
      </c>
      <c r="C2102" s="30" t="str">
        <f>IFERROR(_xlfn.XLOOKUP(B2102,Insumo[DESCRIPCION],Insumo[UND],,0),"")</f>
        <v>galón</v>
      </c>
      <c r="D2102" s="31">
        <v>0.02</v>
      </c>
      <c r="E2102" s="32">
        <f>IFERROR(_xlfn.XLOOKUP($B2102,Insumo[DESCRIPCION],Insumo[VALOR],,0),"")</f>
        <v>123892.65000000001</v>
      </c>
      <c r="F2102" s="33"/>
      <c r="G2102" s="34">
        <f>IFERROR(IF(F2102&gt;=0,D2102*E2102*(1+F2102/100),ABS(D2102*E2102/F2102)),"")</f>
        <v>2477.8530000000001</v>
      </c>
      <c r="H2102" s="43">
        <f>IFERROR(G2102*E2097,"")</f>
        <v>0</v>
      </c>
    </row>
    <row r="2103" spans="1:10" ht="12.75" customHeight="1">
      <c r="A2103" s="28"/>
      <c r="B2103" s="29"/>
      <c r="C2103" s="30" t="str">
        <f>IFERROR(_xlfn.XLOOKUP(B2103,Insumo[DESCRIPCION],Insumo[UND],,0),"")</f>
        <v/>
      </c>
      <c r="D2103" s="31"/>
      <c r="E2103" s="32" t="str">
        <f>IFERROR(_xlfn.XLOOKUP($B2103,Insumo[DESCRIPCION],Insumo[VALOR],,0),"")</f>
        <v/>
      </c>
      <c r="F2103" s="33"/>
      <c r="G2103" s="34" t="str">
        <f>IFERROR(IF(F2103&gt;=0,D2103*E2103*(1+F2103/100),ABS(D2103*E2103/F2103)),"")</f>
        <v/>
      </c>
      <c r="H2103" s="43" t="str">
        <f>IFERROR(G2103*E2097,"")</f>
        <v/>
      </c>
    </row>
    <row r="2104" spans="1:10" ht="12.75" customHeight="1">
      <c r="A2104" s="28"/>
      <c r="B2104" s="29"/>
      <c r="C2104" s="30" t="str">
        <f>IFERROR(_xlfn.XLOOKUP(B2104,Insumo[DESCRIPCION],Insumo[UND],,0),"")</f>
        <v/>
      </c>
      <c r="D2104" s="31"/>
      <c r="E2104" s="32" t="str">
        <f>IFERROR(_xlfn.XLOOKUP($B2104,Insumo[DESCRIPCION],Insumo[VALOR],,0),"")</f>
        <v/>
      </c>
      <c r="F2104" s="33"/>
      <c r="G2104" s="34" t="str">
        <f>IFERROR(IF(F2104&gt;=0,D2104*E2104*(1+F2104/100),ABS(D2104*E2104/F2104)),"")</f>
        <v/>
      </c>
      <c r="H2104" s="43" t="str">
        <f>IFERROR(G2104*E2097,"")</f>
        <v/>
      </c>
    </row>
    <row r="2105" spans="1:10" ht="12.75" customHeight="1">
      <c r="A2105" s="21"/>
      <c r="B2105" s="22" t="s">
        <v>3731</v>
      </c>
      <c r="C2105" s="23"/>
      <c r="D2105" s="24"/>
      <c r="E2105" s="25"/>
      <c r="F2105" s="26"/>
      <c r="G2105" s="27">
        <f>SUM(G2106:G2108)</f>
        <v>1309.9614620625005</v>
      </c>
      <c r="H2105" s="44">
        <f>G2105*E2097</f>
        <v>0</v>
      </c>
    </row>
    <row r="2106" spans="1:10" ht="12.75" customHeight="1">
      <c r="A2106" s="28"/>
      <c r="B2106" s="29" t="s">
        <v>3626</v>
      </c>
      <c r="C2106" s="30" t="str">
        <f>IFERROR(_xlfn.XLOOKUP(B2106,Equipo[DESCRIPCION],Equipo[UND],,0),"")</f>
        <v>%MO</v>
      </c>
      <c r="D2106" s="31">
        <v>0.05</v>
      </c>
      <c r="E2106" s="32">
        <f>IF(C2106="%MO",G2112,IFERROR(_xlfn.XLOOKUP($B2106,Equipo[DESCRIPCION],Equipo[VALOR],,0),""))</f>
        <v>26199.229241250006</v>
      </c>
      <c r="F2106" s="33"/>
      <c r="G2106" s="34">
        <f>IFERROR(IF(F2106&gt;=0,D2106*E2106*(1+F2106/100),ABS(D2106*E2106/F2106)),"")</f>
        <v>1309.9614620625005</v>
      </c>
      <c r="H2106" s="43">
        <f>IFERROR(G2106*E2097,"")</f>
        <v>0</v>
      </c>
    </row>
    <row r="2107" spans="1:10" ht="12.75" customHeight="1">
      <c r="A2107" s="28"/>
      <c r="B2107" s="29"/>
      <c r="C2107" s="30" t="str">
        <f>IFERROR(_xlfn.XLOOKUP(B2107,Equipo[DESCRIPCION],Equipo[UND],,0),"")</f>
        <v/>
      </c>
      <c r="D2107" s="31"/>
      <c r="E2107" s="32" t="str">
        <f>IF(C2107="%MO",G2112,IFERROR(_xlfn.XLOOKUP($B2107,Equipo[DESCRIPCION],Equipo[VALOR],,0),""))</f>
        <v/>
      </c>
      <c r="F2107" s="33"/>
      <c r="G2107" s="34" t="str">
        <f>IFERROR(IF(F2107&gt;=0,D2107*E2107*(1+F2107/100),ABS(D2107*E2107/F2107)),"")</f>
        <v/>
      </c>
      <c r="H2107" s="43" t="str">
        <f>IFERROR(G2107*E2097,"")</f>
        <v/>
      </c>
    </row>
    <row r="2108" spans="1:10" ht="12.75" customHeight="1">
      <c r="A2108" s="28"/>
      <c r="B2108" s="29"/>
      <c r="C2108" s="30" t="str">
        <f>IFERROR(_xlfn.XLOOKUP(B2108,Equipo[DESCRIPCION],Equipo[UND],,0),"")</f>
        <v/>
      </c>
      <c r="D2108" s="31"/>
      <c r="E2108" s="32" t="str">
        <f>IF(C2108="%MO",G2112,IFERROR(_xlfn.XLOOKUP($B2108,Equipo[DESCRIPCION],Equipo[VALOR],,0),""))</f>
        <v/>
      </c>
      <c r="F2108" s="33"/>
      <c r="G2108" s="34" t="str">
        <f>IFERROR(IF(F2108&gt;=0,D2108*E2108*(1+F2108/100),ABS(D2108*E2108/F2108)),"")</f>
        <v/>
      </c>
      <c r="H2108" s="43" t="str">
        <f>IFERROR(G2108*E2097,"")</f>
        <v/>
      </c>
    </row>
    <row r="2109" spans="1:10" ht="12.75" customHeight="1">
      <c r="A2109" s="21"/>
      <c r="B2109" s="22" t="s">
        <v>2533</v>
      </c>
      <c r="C2109" s="23"/>
      <c r="D2109" s="24"/>
      <c r="E2109" s="25"/>
      <c r="F2109" s="26"/>
      <c r="G2109" s="27">
        <f>SUM(G2110:G2111)</f>
        <v>0</v>
      </c>
      <c r="H2109" s="44">
        <f>G2109*E2097</f>
        <v>0</v>
      </c>
    </row>
    <row r="2110" spans="1:10" ht="12.75" customHeight="1">
      <c r="A2110" s="28"/>
      <c r="B2110" s="29"/>
      <c r="C2110" s="30" t="str">
        <f>IFERROR(_xlfn.XLOOKUP(B2110,Transporte[DESCRIPCION],Transporte[UND],,0),"")</f>
        <v/>
      </c>
      <c r="D2110" s="31"/>
      <c r="E2110" s="32" t="str">
        <f>IFERROR(_xlfn.XLOOKUP($B2110,Transporte[DESCRIPCION],Transporte[VALOR],,0),"")</f>
        <v/>
      </c>
      <c r="F2110" s="33"/>
      <c r="G2110" s="34" t="str">
        <f>IFERROR(IF(F2110&gt;=0,D2110*E2110*(1+F2110/100),ABS(D2110*E2110/F2110)),"")</f>
        <v/>
      </c>
      <c r="H2110" s="43" t="str">
        <f>IFERROR(G2110*E2097,"")</f>
        <v/>
      </c>
    </row>
    <row r="2111" spans="1:10" ht="12.75" customHeight="1">
      <c r="A2111" s="28"/>
      <c r="B2111" s="29"/>
      <c r="C2111" s="30" t="str">
        <f>IFERROR(_xlfn.XLOOKUP(B2111,Transporte[DESCRIPCION],Transporte[UND],,0),"")</f>
        <v/>
      </c>
      <c r="D2111" s="31"/>
      <c r="E2111" s="32" t="str">
        <f>IFERROR(_xlfn.XLOOKUP($B2111,Transporte[DESCRIPCION],Transporte[VALOR],,0),"")</f>
        <v/>
      </c>
      <c r="F2111" s="33"/>
      <c r="G2111" s="34" t="str">
        <f>IFERROR(IF(F2111&gt;=0,D2111*E2111*(1+F2111/100),ABS(D2111*E2111/F2111)),"")</f>
        <v/>
      </c>
      <c r="H2111" s="43" t="str">
        <f>IFERROR(G2111*E2097,"")</f>
        <v/>
      </c>
    </row>
    <row r="2112" spans="1:10" ht="12.75" customHeight="1">
      <c r="A2112" s="21"/>
      <c r="B2112" s="22" t="s">
        <v>3732</v>
      </c>
      <c r="C2112" s="23"/>
      <c r="D2112" s="24"/>
      <c r="E2112" s="25"/>
      <c r="F2112" s="26"/>
      <c r="G2112" s="27">
        <f>SUM(G2113:G2115)</f>
        <v>26199.229241250006</v>
      </c>
      <c r="H2112" s="44">
        <f>G2112*E2097</f>
        <v>0</v>
      </c>
    </row>
    <row r="2113" spans="1:10" ht="12.75" customHeight="1">
      <c r="A2113" s="28"/>
      <c r="B2113" s="29" t="s">
        <v>3710</v>
      </c>
      <c r="C2113" s="30" t="str">
        <f>IFERROR(_xlfn.XLOOKUP(B2113,MObra[DESCRIPCION],MObra[UN],,0),"")</f>
        <v>día</v>
      </c>
      <c r="D2113" s="31">
        <v>1</v>
      </c>
      <c r="E2113" s="32">
        <f>IFERROR(_xlfn.XLOOKUP($B2113,MObra[DESCRIPCION],MObra[VALOR UNIT],,0),"")</f>
        <v>314390.75089500006</v>
      </c>
      <c r="F2113" s="33">
        <v>-12</v>
      </c>
      <c r="G2113" s="34">
        <f>IFERROR(IF(F2113&gt;=0,D2113*E2113*(1+F2113/100),ABS(D2113*E2113/F2113)),"")</f>
        <v>26199.229241250006</v>
      </c>
      <c r="H2113" s="43">
        <f>IFERROR(G2113*E2097,"")</f>
        <v>0</v>
      </c>
    </row>
    <row r="2114" spans="1:10" ht="12.75" customHeight="1">
      <c r="A2114" s="28"/>
      <c r="B2114" s="29"/>
      <c r="C2114" s="30" t="str">
        <f>IFERROR(_xlfn.XLOOKUP(B2114,MObra[DESCRIPCION],MObra[UN],,0),"")</f>
        <v/>
      </c>
      <c r="D2114" s="31"/>
      <c r="E2114" s="32" t="str">
        <f>IFERROR(_xlfn.XLOOKUP($B2114,MObra[DESCRIPCION],MObra[VALOR UNIT],,0),"")</f>
        <v/>
      </c>
      <c r="F2114" s="33"/>
      <c r="G2114" s="34" t="str">
        <f>IFERROR(IF(F2114&gt;=0,D2114*E2114*(1+F2114/100),ABS(D2114*E2114/F2114)),"")</f>
        <v/>
      </c>
      <c r="H2114" s="43" t="str">
        <f>IFERROR(G2114*E2097,"")</f>
        <v/>
      </c>
    </row>
    <row r="2115" spans="1:10" ht="12.75" customHeight="1" thickBot="1">
      <c r="A2115" s="35"/>
      <c r="B2115" s="36"/>
      <c r="C2115" s="37" t="str">
        <f>IFERROR(_xlfn.XLOOKUP(B2115,MObra[DESCRIPCION],MObra[UN],,0),"")</f>
        <v/>
      </c>
      <c r="D2115" s="38"/>
      <c r="E2115" s="39" t="str">
        <f>IFERROR(_xlfn.XLOOKUP($B2115,MObra[DESCRIPCION],MObra[VALOR UNIT],,0),"")</f>
        <v/>
      </c>
      <c r="F2115" s="40"/>
      <c r="G2115" s="41" t="str">
        <f>IFERROR(IF(F2115&gt;=0,D2115*E2115*(1+F2115/100),ABS(D2115*E2115/F2115)),"")</f>
        <v/>
      </c>
      <c r="H2115" s="42" t="str">
        <f>IFERROR(G2115*E2097,"")</f>
        <v/>
      </c>
    </row>
    <row r="2116" spans="1:10" ht="12.75" customHeight="1" thickTop="1" thickBot="1"/>
    <row r="2117" spans="1:10" ht="12.75" customHeight="1" thickTop="1" thickBot="1">
      <c r="A2117" s="6" t="s">
        <v>1306</v>
      </c>
      <c r="B2117" s="7" t="str">
        <f>VLOOKUP($A2117,Presupuesto!$A:$D,2,FALSE())</f>
        <v>Limpieza / desmanchado de pisos</v>
      </c>
      <c r="C2117" s="8" t="str">
        <f>VLOOKUP($A2117,Presupuesto!$A:$D,3,FALSE())</f>
        <v>M2</v>
      </c>
      <c r="D2117" s="9"/>
      <c r="E2117" s="10">
        <f>VLOOKUP($A2117,Presupuesto!$A:$D,4,FALSE())</f>
        <v>0</v>
      </c>
      <c r="F2117" s="11" t="s">
        <v>2589</v>
      </c>
      <c r="G2117" s="12">
        <f>SUM(G2119:G2135)/2</f>
        <v>4619.4623698125006</v>
      </c>
      <c r="H2117" s="13">
        <f>ROUND(SUM(H2119:H2135),0)/2</f>
        <v>0</v>
      </c>
      <c r="I2117" s="10">
        <f>VLOOKUP(A2117,Presupuesto!$A:$F,6,0)</f>
        <v>0</v>
      </c>
      <c r="J2117" s="10">
        <f>+H2117-I2117</f>
        <v>0</v>
      </c>
    </row>
    <row r="2118" spans="1:10" ht="12.75" customHeight="1" thickTop="1">
      <c r="A2118" s="14"/>
      <c r="B2118" s="15" t="s">
        <v>2586</v>
      </c>
      <c r="C2118" s="15" t="s">
        <v>5</v>
      </c>
      <c r="D2118" s="16" t="s">
        <v>6</v>
      </c>
      <c r="E2118" s="17" t="s">
        <v>7</v>
      </c>
      <c r="F2118" s="18" t="s">
        <v>3728</v>
      </c>
      <c r="G2118" s="19" t="s">
        <v>3729</v>
      </c>
      <c r="H2118" s="20" t="s">
        <v>3797</v>
      </c>
    </row>
    <row r="2119" spans="1:10" ht="12.75" customHeight="1">
      <c r="A2119" s="21"/>
      <c r="B2119" s="22" t="s">
        <v>3730</v>
      </c>
      <c r="C2119" s="23"/>
      <c r="D2119" s="24"/>
      <c r="E2119" s="25"/>
      <c r="F2119" s="26"/>
      <c r="G2119" s="27">
        <f>SUM(G2120:G2124)</f>
        <v>852.49500000000012</v>
      </c>
      <c r="H2119" s="27">
        <f>IFERROR(G2119*E2117,"")</f>
        <v>0</v>
      </c>
    </row>
    <row r="2120" spans="1:10" ht="12.75" customHeight="1">
      <c r="A2120" s="28"/>
      <c r="B2120" s="29" t="s">
        <v>3799</v>
      </c>
      <c r="C2120" s="30" t="str">
        <f>IFERROR(_xlfn.XLOOKUP(B2120,Insumo[DESCRIPCION],Insumo[UND],,0),"")</f>
        <v>Un</v>
      </c>
      <c r="D2120" s="31">
        <v>0.05</v>
      </c>
      <c r="E2120" s="32">
        <f>IFERROR(_xlfn.XLOOKUP($B2120,Insumo[DESCRIPCION],Insumo[VALOR],,0),"")</f>
        <v>17049.900000000001</v>
      </c>
      <c r="F2120" s="33"/>
      <c r="G2120" s="34">
        <f>IFERROR(IF(F2120&gt;=0,D2120*E2120*(1+F2120/100),ABS(D2120*E2120/F2120)),"")</f>
        <v>852.49500000000012</v>
      </c>
      <c r="H2120" s="43">
        <f>IFERROR(G2120*E2117,"")</f>
        <v>0</v>
      </c>
    </row>
    <row r="2121" spans="1:10" ht="12.75" customHeight="1">
      <c r="A2121" s="28"/>
      <c r="B2121" s="29"/>
      <c r="C2121" s="30" t="str">
        <f>IFERROR(_xlfn.XLOOKUP(B2121,Insumo[DESCRIPCION],Insumo[UND],,0),"")</f>
        <v/>
      </c>
      <c r="D2121" s="31"/>
      <c r="E2121" s="32" t="str">
        <f>IFERROR(_xlfn.XLOOKUP($B2121,Insumo[DESCRIPCION],Insumo[VALOR],,0),"")</f>
        <v/>
      </c>
      <c r="F2121" s="33"/>
      <c r="G2121" s="34" t="str">
        <f>IFERROR(IF(F2121&gt;=0,D2121*E2121*(1+F2121/100),ABS(D2121*E2121/F2121)),"")</f>
        <v/>
      </c>
      <c r="H2121" s="43" t="str">
        <f>IFERROR(G2121*E2117,"")</f>
        <v/>
      </c>
    </row>
    <row r="2122" spans="1:10" ht="12.75" customHeight="1">
      <c r="A2122" s="28"/>
      <c r="B2122" s="29"/>
      <c r="C2122" s="30" t="str">
        <f>IFERROR(_xlfn.XLOOKUP(B2122,Insumo[DESCRIPCION],Insumo[UND],,0),"")</f>
        <v/>
      </c>
      <c r="D2122" s="31"/>
      <c r="E2122" s="32" t="str">
        <f>IFERROR(_xlfn.XLOOKUP($B2122,Insumo[DESCRIPCION],Insumo[VALOR],,0),"")</f>
        <v/>
      </c>
      <c r="F2122" s="33"/>
      <c r="G2122" s="34" t="str">
        <f>IFERROR(IF(F2122&gt;=0,D2122*E2122*(1+F2122/100),ABS(D2122*E2122/F2122)),"")</f>
        <v/>
      </c>
      <c r="H2122" s="43" t="str">
        <f>IFERROR(G2122*E2117,"")</f>
        <v/>
      </c>
    </row>
    <row r="2123" spans="1:10" ht="12.75" customHeight="1">
      <c r="A2123" s="28"/>
      <c r="B2123" s="29"/>
      <c r="C2123" s="30" t="str">
        <f>IFERROR(_xlfn.XLOOKUP(B2123,Insumo[DESCRIPCION],Insumo[UND],,0),"")</f>
        <v/>
      </c>
      <c r="D2123" s="31"/>
      <c r="E2123" s="32" t="str">
        <f>IFERROR(_xlfn.XLOOKUP($B2123,Insumo[DESCRIPCION],Insumo[VALOR],,0),"")</f>
        <v/>
      </c>
      <c r="F2123" s="33"/>
      <c r="G2123" s="34" t="str">
        <f>IFERROR(IF(F2123&gt;=0,D2123*E2123*(1+F2123/100),ABS(D2123*E2123/F2123)),"")</f>
        <v/>
      </c>
      <c r="H2123" s="43" t="str">
        <f>IFERROR(G2123*E2117,"")</f>
        <v/>
      </c>
    </row>
    <row r="2124" spans="1:10" ht="12.75" customHeight="1">
      <c r="A2124" s="28"/>
      <c r="B2124" s="29"/>
      <c r="C2124" s="30" t="str">
        <f>IFERROR(_xlfn.XLOOKUP(B2124,Insumo[DESCRIPCION],Insumo[UND],,0),"")</f>
        <v/>
      </c>
      <c r="D2124" s="31"/>
      <c r="E2124" s="32" t="str">
        <f>IFERROR(_xlfn.XLOOKUP($B2124,Insumo[DESCRIPCION],Insumo[VALOR],,0),"")</f>
        <v/>
      </c>
      <c r="F2124" s="33"/>
      <c r="G2124" s="34" t="str">
        <f>IFERROR(IF(F2124&gt;=0,D2124*E2124*(1+F2124/100),ABS(D2124*E2124/F2124)),"")</f>
        <v/>
      </c>
      <c r="H2124" s="43" t="str">
        <f>IFERROR(G2124*E2117,"")</f>
        <v/>
      </c>
    </row>
    <row r="2125" spans="1:10" ht="12.75" customHeight="1">
      <c r="A2125" s="21"/>
      <c r="B2125" s="22" t="s">
        <v>3731</v>
      </c>
      <c r="C2125" s="23"/>
      <c r="D2125" s="24"/>
      <c r="E2125" s="25"/>
      <c r="F2125" s="26"/>
      <c r="G2125" s="27">
        <f>SUM(G2126:G2128)</f>
        <v>855.9418985625</v>
      </c>
      <c r="H2125" s="44">
        <f>G2125*E2117</f>
        <v>0</v>
      </c>
    </row>
    <row r="2126" spans="1:10" ht="12.75" customHeight="1">
      <c r="A2126" s="28"/>
      <c r="B2126" s="29" t="s">
        <v>3585</v>
      </c>
      <c r="C2126" s="30" t="str">
        <f>IFERROR(_xlfn.XLOOKUP(B2126,Equipo[DESCRIPCION],Equipo[UND],,0),"")</f>
        <v>Día</v>
      </c>
      <c r="D2126" s="31">
        <v>1</v>
      </c>
      <c r="E2126" s="32">
        <f>IF(C2126="%MO",G2132,IFERROR(_xlfn.XLOOKUP($B2126,Equipo[DESCRIPCION],Equipo[VALOR],,0),""))</f>
        <v>56831.25</v>
      </c>
      <c r="F2126" s="33">
        <v>-80</v>
      </c>
      <c r="G2126" s="34">
        <f>IFERROR(IF(F2126&gt;=0,D2126*E2126*(1+F2126/100),ABS(D2126*E2126/F2126)),"")</f>
        <v>710.390625</v>
      </c>
      <c r="H2126" s="43">
        <f>IFERROR(G2126*E2117,"")</f>
        <v>0</v>
      </c>
    </row>
    <row r="2127" spans="1:10" ht="12.75" customHeight="1">
      <c r="A2127" s="28"/>
      <c r="B2127" s="29" t="s">
        <v>3626</v>
      </c>
      <c r="C2127" s="30" t="str">
        <f>IFERROR(_xlfn.XLOOKUP(B2127,Equipo[DESCRIPCION],Equipo[UND],,0),"")</f>
        <v>%MO</v>
      </c>
      <c r="D2127" s="31">
        <v>0.05</v>
      </c>
      <c r="E2127" s="32">
        <f>IF(C2127="%MO",G2132,IFERROR(_xlfn.XLOOKUP($B2127,Equipo[DESCRIPCION],Equipo[VALOR],,0),""))</f>
        <v>2911.0254712500005</v>
      </c>
      <c r="F2127" s="33"/>
      <c r="G2127" s="34">
        <f>IFERROR(IF(F2127&gt;=0,D2127*E2127*(1+F2127/100),ABS(D2127*E2127/F2127)),"")</f>
        <v>145.55127356250003</v>
      </c>
      <c r="H2127" s="43">
        <f>IFERROR(G2127*E2117,"")</f>
        <v>0</v>
      </c>
    </row>
    <row r="2128" spans="1:10" ht="12.75" customHeight="1">
      <c r="A2128" s="28"/>
      <c r="B2128" s="29"/>
      <c r="C2128" s="30" t="str">
        <f>IFERROR(_xlfn.XLOOKUP(B2128,Equipo[DESCRIPCION],Equipo[UND],,0),"")</f>
        <v/>
      </c>
      <c r="D2128" s="31"/>
      <c r="E2128" s="32" t="str">
        <f>IF(C2128="%MO",G2132,IFERROR(_xlfn.XLOOKUP($B2128,Equipo[DESCRIPCION],Equipo[VALOR],,0),""))</f>
        <v/>
      </c>
      <c r="F2128" s="33"/>
      <c r="G2128" s="34" t="str">
        <f>IFERROR(IF(F2128&gt;=0,D2128*E2128*(1+F2128/100),ABS(D2128*E2128/F2128)),"")</f>
        <v/>
      </c>
      <c r="H2128" s="43" t="str">
        <f>IFERROR(G2128*E2117,"")</f>
        <v/>
      </c>
    </row>
    <row r="2129" spans="1:10" ht="12.75" customHeight="1">
      <c r="A2129" s="21"/>
      <c r="B2129" s="22" t="s">
        <v>2533</v>
      </c>
      <c r="C2129" s="23"/>
      <c r="D2129" s="24"/>
      <c r="E2129" s="25"/>
      <c r="F2129" s="26"/>
      <c r="G2129" s="27">
        <f>SUM(G2130:G2131)</f>
        <v>0</v>
      </c>
      <c r="H2129" s="44">
        <f>G2129*E2117</f>
        <v>0</v>
      </c>
    </row>
    <row r="2130" spans="1:10" ht="12.75" customHeight="1">
      <c r="A2130" s="28"/>
      <c r="B2130" s="29"/>
      <c r="C2130" s="30" t="str">
        <f>IFERROR(_xlfn.XLOOKUP(B2130,Transporte[DESCRIPCION],Transporte[UND],,0),"")</f>
        <v/>
      </c>
      <c r="D2130" s="31"/>
      <c r="E2130" s="32" t="str">
        <f>IFERROR(_xlfn.XLOOKUP($B2130,Transporte[DESCRIPCION],Transporte[VALOR],,0),"")</f>
        <v/>
      </c>
      <c r="F2130" s="33"/>
      <c r="G2130" s="34" t="str">
        <f>IFERROR(IF(F2130&gt;=0,D2130*E2130*(1+F2130/100),ABS(D2130*E2130/F2130)),"")</f>
        <v/>
      </c>
      <c r="H2130" s="43" t="str">
        <f>IFERROR(G2130*E2117,"")</f>
        <v/>
      </c>
    </row>
    <row r="2131" spans="1:10" ht="12.75" customHeight="1">
      <c r="A2131" s="28"/>
      <c r="B2131" s="29"/>
      <c r="C2131" s="30" t="str">
        <f>IFERROR(_xlfn.XLOOKUP(B2131,Transporte[DESCRIPCION],Transporte[UND],,0),"")</f>
        <v/>
      </c>
      <c r="D2131" s="31"/>
      <c r="E2131" s="32" t="str">
        <f>IFERROR(_xlfn.XLOOKUP($B2131,Transporte[DESCRIPCION],Transporte[VALOR],,0),"")</f>
        <v/>
      </c>
      <c r="F2131" s="33"/>
      <c r="G2131" s="34" t="str">
        <f>IFERROR(IF(F2131&gt;=0,D2131*E2131*(1+F2131/100),ABS(D2131*E2131/F2131)),"")</f>
        <v/>
      </c>
      <c r="H2131" s="43" t="str">
        <f>IFERROR(G2131*E2117,"")</f>
        <v/>
      </c>
    </row>
    <row r="2132" spans="1:10" ht="12.75" customHeight="1">
      <c r="A2132" s="21"/>
      <c r="B2132" s="22" t="s">
        <v>3732</v>
      </c>
      <c r="C2132" s="23"/>
      <c r="D2132" s="24"/>
      <c r="E2132" s="25"/>
      <c r="F2132" s="26"/>
      <c r="G2132" s="27">
        <f>SUM(G2133:G2135)</f>
        <v>2911.0254712500005</v>
      </c>
      <c r="H2132" s="44">
        <f>G2132*E2117</f>
        <v>0</v>
      </c>
    </row>
    <row r="2133" spans="1:10" ht="12.75" customHeight="1">
      <c r="A2133" s="28"/>
      <c r="B2133" s="29" t="s">
        <v>3719</v>
      </c>
      <c r="C2133" s="30" t="str">
        <f>IFERROR(_xlfn.XLOOKUP(B2133,MObra[DESCRIPCION],MObra[UN],,0),"")</f>
        <v>día</v>
      </c>
      <c r="D2133" s="31">
        <v>1</v>
      </c>
      <c r="E2133" s="32">
        <f>IFERROR(_xlfn.XLOOKUP($B2133,MObra[DESCRIPCION],MObra[VALOR UNIT],,0),"")</f>
        <v>232882.03770000004</v>
      </c>
      <c r="F2133" s="33">
        <v>-80</v>
      </c>
      <c r="G2133" s="34">
        <f>IFERROR(IF(F2133&gt;=0,D2133*E2133*(1+F2133/100),ABS(D2133*E2133/F2133)),"")</f>
        <v>2911.0254712500005</v>
      </c>
      <c r="H2133" s="43">
        <f>IFERROR(G2133*E2117,"")</f>
        <v>0</v>
      </c>
    </row>
    <row r="2134" spans="1:10" ht="12.75" customHeight="1">
      <c r="A2134" s="28"/>
      <c r="B2134" s="29"/>
      <c r="C2134" s="30" t="str">
        <f>IFERROR(_xlfn.XLOOKUP(B2134,MObra[DESCRIPCION],MObra[UN],,0),"")</f>
        <v/>
      </c>
      <c r="D2134" s="31"/>
      <c r="E2134" s="32" t="str">
        <f>IFERROR(_xlfn.XLOOKUP($B2134,MObra[DESCRIPCION],MObra[VALOR UNIT],,0),"")</f>
        <v/>
      </c>
      <c r="F2134" s="33"/>
      <c r="G2134" s="34" t="str">
        <f>IFERROR(IF(F2134&gt;=0,D2134*E2134*(1+F2134/100),ABS(D2134*E2134/F2134)),"")</f>
        <v/>
      </c>
      <c r="H2134" s="43" t="str">
        <f>IFERROR(G2134*E2117,"")</f>
        <v/>
      </c>
    </row>
    <row r="2135" spans="1:10" ht="12.75" customHeight="1" thickBot="1">
      <c r="A2135" s="35"/>
      <c r="B2135" s="36"/>
      <c r="C2135" s="37" t="str">
        <f>IFERROR(_xlfn.XLOOKUP(B2135,MObra[DESCRIPCION],MObra[UN],,0),"")</f>
        <v/>
      </c>
      <c r="D2135" s="38"/>
      <c r="E2135" s="39" t="str">
        <f>IFERROR(_xlfn.XLOOKUP($B2135,MObra[DESCRIPCION],MObra[VALOR UNIT],,0),"")</f>
        <v/>
      </c>
      <c r="F2135" s="40"/>
      <c r="G2135" s="41" t="str">
        <f>IFERROR(IF(F2135&gt;=0,D2135*E2135*(1+F2135/100),ABS(D2135*E2135/F2135)),"")</f>
        <v/>
      </c>
      <c r="H2135" s="42" t="str">
        <f>IFERROR(G2135*E2117,"")</f>
        <v/>
      </c>
    </row>
    <row r="2136" spans="1:10" ht="12.75" customHeight="1" thickTop="1" thickBot="1"/>
    <row r="2137" spans="1:10" ht="12.75" customHeight="1" thickTop="1" thickBot="1">
      <c r="A2137" s="6" t="s">
        <v>1308</v>
      </c>
      <c r="B2137" s="7" t="str">
        <f>VLOOKUP($A2137,Presupuesto!$A:$D,2,FALSE())</f>
        <v>Moldura 1/2 caña en yeso</v>
      </c>
      <c r="C2137" s="8" t="str">
        <f>VLOOKUP($A2137,Presupuesto!$A:$D,3,FALSE())</f>
        <v>M</v>
      </c>
      <c r="D2137" s="9"/>
      <c r="E2137" s="10">
        <f>VLOOKUP($A2137,Presupuesto!$A:$D,4,FALSE())</f>
        <v>0</v>
      </c>
      <c r="F2137" s="11" t="s">
        <v>2589</v>
      </c>
      <c r="G2137" s="12">
        <f>SUM(G2139:G2155)/2</f>
        <v>66030.210901949991</v>
      </c>
      <c r="H2137" s="13">
        <f>ROUND(SUM(H2139:H2155),0)/2</f>
        <v>0</v>
      </c>
      <c r="I2137" s="10">
        <f>VLOOKUP(A2137,Presupuesto!$A:$F,6,0)</f>
        <v>0</v>
      </c>
      <c r="J2137" s="10">
        <f>+H2137-I2137</f>
        <v>0</v>
      </c>
    </row>
    <row r="2138" spans="1:10" ht="12.75" customHeight="1" thickTop="1">
      <c r="A2138" s="14"/>
      <c r="B2138" s="15" t="s">
        <v>2586</v>
      </c>
      <c r="C2138" s="15" t="s">
        <v>5</v>
      </c>
      <c r="D2138" s="16" t="s">
        <v>6</v>
      </c>
      <c r="E2138" s="17" t="s">
        <v>7</v>
      </c>
      <c r="F2138" s="18" t="s">
        <v>3728</v>
      </c>
      <c r="G2138" s="19" t="s">
        <v>3729</v>
      </c>
      <c r="H2138" s="20" t="s">
        <v>3797</v>
      </c>
    </row>
    <row r="2139" spans="1:10" ht="12.75" customHeight="1">
      <c r="A2139" s="21"/>
      <c r="B2139" s="22" t="s">
        <v>3730</v>
      </c>
      <c r="C2139" s="23"/>
      <c r="D2139" s="24"/>
      <c r="E2139" s="25"/>
      <c r="F2139" s="26"/>
      <c r="G2139" s="27">
        <f>SUM(G2140:G2144)</f>
        <v>41926.920000000006</v>
      </c>
      <c r="H2139" s="27">
        <f>IFERROR(G2139*E2137,"")</f>
        <v>0</v>
      </c>
    </row>
    <row r="2140" spans="1:10" ht="12.75" customHeight="1">
      <c r="A2140" s="28"/>
      <c r="B2140" s="29" t="s">
        <v>2898</v>
      </c>
      <c r="C2140" s="30" t="str">
        <f>IFERROR(_xlfn.XLOOKUP(B2140,Insumo[DESCRIPCION],Insumo[UND],,0),"")</f>
        <v>M</v>
      </c>
      <c r="D2140" s="31">
        <v>1</v>
      </c>
      <c r="E2140" s="32">
        <f>IFERROR(_xlfn.XLOOKUP($B2140,Insumo[DESCRIPCION],Insumo[VALOR],,0),"")</f>
        <v>39782.400000000001</v>
      </c>
      <c r="F2140" s="33">
        <v>5</v>
      </c>
      <c r="G2140" s="34">
        <f>IFERROR(IF(F2140&gt;=0,D2140*E2140*(1+F2140/100),ABS(D2140*E2140/F2140)),"")</f>
        <v>41771.520000000004</v>
      </c>
      <c r="H2140" s="43">
        <f>IFERROR(G2140*E2137,"")</f>
        <v>0</v>
      </c>
    </row>
    <row r="2141" spans="1:10" ht="12.75" customHeight="1">
      <c r="A2141" s="28"/>
      <c r="B2141" s="29" t="s">
        <v>3407</v>
      </c>
      <c r="C2141" s="30" t="str">
        <f>IFERROR(_xlfn.XLOOKUP(B2141,Insumo[DESCRIPCION],Insumo[UND],,0),"")</f>
        <v>Un</v>
      </c>
      <c r="D2141" s="31">
        <v>2</v>
      </c>
      <c r="E2141" s="32">
        <f>IFERROR(_xlfn.XLOOKUP($B2141,Insumo[DESCRIPCION],Insumo[VALOR],,0),"")</f>
        <v>77.7</v>
      </c>
      <c r="F2141" s="33"/>
      <c r="G2141" s="34">
        <f>IFERROR(IF(F2141&gt;=0,D2141*E2141*(1+F2141/100),ABS(D2141*E2141/F2141)),"")</f>
        <v>155.4</v>
      </c>
      <c r="H2141" s="43">
        <f>IFERROR(G2141*E2137,"")</f>
        <v>0</v>
      </c>
    </row>
    <row r="2142" spans="1:10" ht="12.75" customHeight="1">
      <c r="A2142" s="28"/>
      <c r="B2142" s="29"/>
      <c r="C2142" s="30" t="str">
        <f>IFERROR(_xlfn.XLOOKUP(B2142,Insumo[DESCRIPCION],Insumo[UND],,0),"")</f>
        <v/>
      </c>
      <c r="D2142" s="31"/>
      <c r="E2142" s="32" t="str">
        <f>IFERROR(_xlfn.XLOOKUP($B2142,Insumo[DESCRIPCION],Insumo[VALOR],,0),"")</f>
        <v/>
      </c>
      <c r="F2142" s="33"/>
      <c r="G2142" s="34" t="str">
        <f>IFERROR(IF(F2142&gt;=0,D2142*E2142*(1+F2142/100),ABS(D2142*E2142/F2142)),"")</f>
        <v/>
      </c>
      <c r="H2142" s="43" t="str">
        <f>IFERROR(G2142*E2137,"")</f>
        <v/>
      </c>
    </row>
    <row r="2143" spans="1:10" ht="12.75" customHeight="1">
      <c r="A2143" s="28"/>
      <c r="B2143" s="29"/>
      <c r="C2143" s="30" t="str">
        <f>IFERROR(_xlfn.XLOOKUP(B2143,Insumo[DESCRIPCION],Insumo[UND],,0),"")</f>
        <v/>
      </c>
      <c r="D2143" s="31"/>
      <c r="E2143" s="32" t="str">
        <f>IFERROR(_xlfn.XLOOKUP($B2143,Insumo[DESCRIPCION],Insumo[VALOR],,0),"")</f>
        <v/>
      </c>
      <c r="F2143" s="33"/>
      <c r="G2143" s="34" t="str">
        <f>IFERROR(IF(F2143&gt;=0,D2143*E2143*(1+F2143/100),ABS(D2143*E2143/F2143)),"")</f>
        <v/>
      </c>
      <c r="H2143" s="43" t="str">
        <f>IFERROR(G2143*E2137,"")</f>
        <v/>
      </c>
    </row>
    <row r="2144" spans="1:10" ht="12.75" customHeight="1">
      <c r="A2144" s="28"/>
      <c r="B2144" s="29"/>
      <c r="C2144" s="30" t="str">
        <f>IFERROR(_xlfn.XLOOKUP(B2144,Insumo[DESCRIPCION],Insumo[UND],,0),"")</f>
        <v/>
      </c>
      <c r="D2144" s="31"/>
      <c r="E2144" s="32" t="str">
        <f>IFERROR(_xlfn.XLOOKUP($B2144,Insumo[DESCRIPCION],Insumo[VALOR],,0),"")</f>
        <v/>
      </c>
      <c r="F2144" s="33"/>
      <c r="G2144" s="34" t="str">
        <f>IFERROR(IF(F2144&gt;=0,D2144*E2144*(1+F2144/100),ABS(D2144*E2144/F2144)),"")</f>
        <v/>
      </c>
      <c r="H2144" s="43" t="str">
        <f>IFERROR(G2144*E2137,"")</f>
        <v/>
      </c>
    </row>
    <row r="2145" spans="1:10" ht="12.75" customHeight="1">
      <c r="A2145" s="21"/>
      <c r="B2145" s="22" t="s">
        <v>3731</v>
      </c>
      <c r="C2145" s="23"/>
      <c r="D2145" s="24"/>
      <c r="E2145" s="25"/>
      <c r="F2145" s="26"/>
      <c r="G2145" s="27">
        <f>SUM(G2146:G2148)</f>
        <v>3143.9075089500002</v>
      </c>
      <c r="H2145" s="44">
        <f>G2145*E2137</f>
        <v>0</v>
      </c>
    </row>
    <row r="2146" spans="1:10" ht="12.75" customHeight="1">
      <c r="A2146" s="28"/>
      <c r="B2146" s="29" t="s">
        <v>3573</v>
      </c>
      <c r="C2146" s="30" t="str">
        <f>IFERROR(_xlfn.XLOOKUP(B2146,Equipo[DESCRIPCION],Equipo[UND],,0),"")</f>
        <v>%MO</v>
      </c>
      <c r="D2146" s="31">
        <v>0.1</v>
      </c>
      <c r="E2146" s="32">
        <f>IF(C2146="%MO",G2152,IFERROR(_xlfn.XLOOKUP($B2146,Equipo[DESCRIPCION],Equipo[VALOR],,0),""))</f>
        <v>20959.383393000004</v>
      </c>
      <c r="F2146" s="33"/>
      <c r="G2146" s="34">
        <f>IFERROR(IF(F2146&gt;=0,D2146*E2146*(1+F2146/100),ABS(D2146*E2146/F2146)),"")</f>
        <v>2095.9383393000003</v>
      </c>
      <c r="H2146" s="43">
        <f>IFERROR(G2146*E2137,"")</f>
        <v>0</v>
      </c>
    </row>
    <row r="2147" spans="1:10" ht="12.75" customHeight="1">
      <c r="A2147" s="28"/>
      <c r="B2147" s="29" t="s">
        <v>3626</v>
      </c>
      <c r="C2147" s="30" t="str">
        <f>IFERROR(_xlfn.XLOOKUP(B2147,Equipo[DESCRIPCION],Equipo[UND],,0),"")</f>
        <v>%MO</v>
      </c>
      <c r="D2147" s="31">
        <v>0.05</v>
      </c>
      <c r="E2147" s="32">
        <f>IF(C2147="%MO",G2152,IFERROR(_xlfn.XLOOKUP($B2147,Equipo[DESCRIPCION],Equipo[VALOR],,0),""))</f>
        <v>20959.383393000004</v>
      </c>
      <c r="F2147" s="33"/>
      <c r="G2147" s="34">
        <f>IFERROR(IF(F2147&gt;=0,D2147*E2147*(1+F2147/100),ABS(D2147*E2147/F2147)),"")</f>
        <v>1047.9691696500001</v>
      </c>
      <c r="H2147" s="43">
        <f>IFERROR(G2147*E2137,"")</f>
        <v>0</v>
      </c>
    </row>
    <row r="2148" spans="1:10" ht="12.75" customHeight="1">
      <c r="A2148" s="28"/>
      <c r="B2148" s="29"/>
      <c r="C2148" s="30" t="str">
        <f>IFERROR(_xlfn.XLOOKUP(B2148,Equipo[DESCRIPCION],Equipo[UND],,0),"")</f>
        <v/>
      </c>
      <c r="D2148" s="31"/>
      <c r="E2148" s="32" t="str">
        <f>IF(C2148="%MO",G2152,IFERROR(_xlfn.XLOOKUP($B2148,Equipo[DESCRIPCION],Equipo[VALOR],,0),""))</f>
        <v/>
      </c>
      <c r="F2148" s="33"/>
      <c r="G2148" s="34" t="str">
        <f>IFERROR(IF(F2148&gt;=0,D2148*E2148*(1+F2148/100),ABS(D2148*E2148/F2148)),"")</f>
        <v/>
      </c>
      <c r="H2148" s="43" t="str">
        <f>IFERROR(G2148*E2137,"")</f>
        <v/>
      </c>
    </row>
    <row r="2149" spans="1:10" ht="12.75" customHeight="1">
      <c r="A2149" s="21"/>
      <c r="B2149" s="22" t="s">
        <v>2533</v>
      </c>
      <c r="C2149" s="23"/>
      <c r="D2149" s="24"/>
      <c r="E2149" s="25"/>
      <c r="F2149" s="26"/>
      <c r="G2149" s="27">
        <f>SUM(G2150:G2151)</f>
        <v>0</v>
      </c>
      <c r="H2149" s="44">
        <f>G2149*E2137</f>
        <v>0</v>
      </c>
    </row>
    <row r="2150" spans="1:10" ht="12.75" customHeight="1">
      <c r="A2150" s="28"/>
      <c r="B2150" s="29"/>
      <c r="C2150" s="30" t="str">
        <f>IFERROR(_xlfn.XLOOKUP(B2150,Transporte[DESCRIPCION],Transporte[UND],,0),"")</f>
        <v/>
      </c>
      <c r="D2150" s="31"/>
      <c r="E2150" s="32" t="str">
        <f>IFERROR(_xlfn.XLOOKUP($B2150,Transporte[DESCRIPCION],Transporte[VALOR],,0),"")</f>
        <v/>
      </c>
      <c r="F2150" s="33"/>
      <c r="G2150" s="34" t="str">
        <f>IFERROR(IF(F2150&gt;=0,D2150*E2150*(1+F2150/100),ABS(D2150*E2150/F2150)),"")</f>
        <v/>
      </c>
      <c r="H2150" s="43" t="str">
        <f>IFERROR(G2150*E2137,"")</f>
        <v/>
      </c>
    </row>
    <row r="2151" spans="1:10" ht="12.75" customHeight="1">
      <c r="A2151" s="28"/>
      <c r="B2151" s="29"/>
      <c r="C2151" s="30" t="str">
        <f>IFERROR(_xlfn.XLOOKUP(B2151,Transporte[DESCRIPCION],Transporte[UND],,0),"")</f>
        <v/>
      </c>
      <c r="D2151" s="31"/>
      <c r="E2151" s="32" t="str">
        <f>IFERROR(_xlfn.XLOOKUP($B2151,Transporte[DESCRIPCION],Transporte[VALOR],,0),"")</f>
        <v/>
      </c>
      <c r="F2151" s="33"/>
      <c r="G2151" s="34" t="str">
        <f>IFERROR(IF(F2151&gt;=0,D2151*E2151*(1+F2151/100),ABS(D2151*E2151/F2151)),"")</f>
        <v/>
      </c>
      <c r="H2151" s="43" t="str">
        <f>IFERROR(G2151*E2137,"")</f>
        <v/>
      </c>
    </row>
    <row r="2152" spans="1:10" ht="12.75" customHeight="1">
      <c r="A2152" s="21"/>
      <c r="B2152" s="22" t="s">
        <v>3732</v>
      </c>
      <c r="C2152" s="23"/>
      <c r="D2152" s="24"/>
      <c r="E2152" s="25"/>
      <c r="F2152" s="26"/>
      <c r="G2152" s="27">
        <f>SUM(G2153:G2155)</f>
        <v>20959.383393000004</v>
      </c>
      <c r="H2152" s="44">
        <f>G2152*E2137</f>
        <v>0</v>
      </c>
    </row>
    <row r="2153" spans="1:10" ht="12.75" customHeight="1">
      <c r="A2153" s="28"/>
      <c r="B2153" s="29" t="s">
        <v>3710</v>
      </c>
      <c r="C2153" s="30" t="str">
        <f>IFERROR(_xlfn.XLOOKUP(B2153,MObra[DESCRIPCION],MObra[UN],,0),"")</f>
        <v>día</v>
      </c>
      <c r="D2153" s="31">
        <v>1</v>
      </c>
      <c r="E2153" s="32">
        <f>IFERROR(_xlfn.XLOOKUP($B2153,MObra[DESCRIPCION],MObra[VALOR UNIT],,0),"")</f>
        <v>314390.75089500006</v>
      </c>
      <c r="F2153" s="33">
        <v>-15</v>
      </c>
      <c r="G2153" s="34">
        <f>IFERROR(IF(F2153&gt;=0,D2153*E2153*(1+F2153/100),ABS(D2153*E2153/F2153)),"")</f>
        <v>20959.383393000004</v>
      </c>
      <c r="H2153" s="43">
        <f>IFERROR(G2153*E2137,"")</f>
        <v>0</v>
      </c>
    </row>
    <row r="2154" spans="1:10" ht="12.75" customHeight="1">
      <c r="A2154" s="28"/>
      <c r="B2154" s="29"/>
      <c r="C2154" s="30" t="str">
        <f>IFERROR(_xlfn.XLOOKUP(B2154,MObra[DESCRIPCION],MObra[UN],,0),"")</f>
        <v/>
      </c>
      <c r="D2154" s="31"/>
      <c r="E2154" s="32" t="str">
        <f>IFERROR(_xlfn.XLOOKUP($B2154,MObra[DESCRIPCION],MObra[VALOR UNIT],,0),"")</f>
        <v/>
      </c>
      <c r="F2154" s="33"/>
      <c r="G2154" s="34" t="str">
        <f>IFERROR(IF(F2154&gt;=0,D2154*E2154*(1+F2154/100),ABS(D2154*E2154/F2154)),"")</f>
        <v/>
      </c>
      <c r="H2154" s="43" t="str">
        <f>IFERROR(G2154*E2137,"")</f>
        <v/>
      </c>
    </row>
    <row r="2155" spans="1:10" ht="12.75" customHeight="1" thickBot="1">
      <c r="A2155" s="35"/>
      <c r="B2155" s="36"/>
      <c r="C2155" s="37" t="str">
        <f>IFERROR(_xlfn.XLOOKUP(B2155,MObra[DESCRIPCION],MObra[UN],,0),"")</f>
        <v/>
      </c>
      <c r="D2155" s="38"/>
      <c r="E2155" s="39" t="str">
        <f>IFERROR(_xlfn.XLOOKUP($B2155,MObra[DESCRIPCION],MObra[VALOR UNIT],,0),"")</f>
        <v/>
      </c>
      <c r="F2155" s="40"/>
      <c r="G2155" s="41" t="str">
        <f>IFERROR(IF(F2155&gt;=0,D2155*E2155*(1+F2155/100),ABS(D2155*E2155/F2155)),"")</f>
        <v/>
      </c>
      <c r="H2155" s="42" t="str">
        <f>IFERROR(G2155*E2137,"")</f>
        <v/>
      </c>
    </row>
    <row r="2156" spans="1:10" ht="12.75" customHeight="1" thickTop="1" thickBot="1"/>
    <row r="2157" spans="1:10" ht="12.75" customHeight="1" thickTop="1" thickBot="1">
      <c r="A2157" s="6" t="s">
        <v>1310</v>
      </c>
      <c r="B2157" s="7" t="str">
        <f>VLOOKUP($A2157,Presupuesto!$A:$D,2,FALSE())</f>
        <v>Mortero 1:2</v>
      </c>
      <c r="C2157" s="8" t="str">
        <f>VLOOKUP($A2157,Presupuesto!$A:$D,3,FALSE())</f>
        <v>M3</v>
      </c>
      <c r="D2157" s="9"/>
      <c r="E2157" s="10">
        <f>VLOOKUP($A2157,Presupuesto!$A:$D,4,FALSE())</f>
        <v>0</v>
      </c>
      <c r="F2157" s="11" t="s">
        <v>2589</v>
      </c>
      <c r="G2157" s="12">
        <f>SUM(G2159:G2175)/2</f>
        <v>704860.35289649467</v>
      </c>
      <c r="H2157" s="13">
        <f>ROUND(SUM(H2159:H2175),0)/2</f>
        <v>0</v>
      </c>
      <c r="I2157" s="10">
        <f>VLOOKUP(A2157,Presupuesto!$A:$F,6,0)</f>
        <v>0</v>
      </c>
      <c r="J2157" s="10">
        <f>+H2157-I2157</f>
        <v>0</v>
      </c>
    </row>
    <row r="2158" spans="1:10" ht="12.75" customHeight="1" thickTop="1">
      <c r="A2158" s="14"/>
      <c r="B2158" s="15" t="s">
        <v>2586</v>
      </c>
      <c r="C2158" s="15" t="s">
        <v>5</v>
      </c>
      <c r="D2158" s="16" t="s">
        <v>6</v>
      </c>
      <c r="E2158" s="17" t="s">
        <v>7</v>
      </c>
      <c r="F2158" s="18" t="s">
        <v>3728</v>
      </c>
      <c r="G2158" s="19" t="s">
        <v>3729</v>
      </c>
      <c r="H2158" s="20" t="s">
        <v>3797</v>
      </c>
    </row>
    <row r="2159" spans="1:10" ht="12.75" customHeight="1">
      <c r="A2159" s="21"/>
      <c r="B2159" s="22" t="s">
        <v>3730</v>
      </c>
      <c r="C2159" s="23"/>
      <c r="D2159" s="24"/>
      <c r="E2159" s="25"/>
      <c r="F2159" s="26"/>
      <c r="G2159" s="27">
        <f>SUM(G2160:G2164)</f>
        <v>594823.59008324461</v>
      </c>
      <c r="H2159" s="27">
        <f>IFERROR(G2159*E2157,"")</f>
        <v>0</v>
      </c>
    </row>
    <row r="2160" spans="1:10" ht="12.75" customHeight="1">
      <c r="A2160" s="28"/>
      <c r="B2160" s="29" t="s">
        <v>3243</v>
      </c>
      <c r="C2160" s="30" t="str">
        <f>IFERROR(_xlfn.XLOOKUP(B2160,Insumo[DESCRIPCION],Insumo[UND],,0),"")</f>
        <v>M3</v>
      </c>
      <c r="D2160" s="31">
        <v>1</v>
      </c>
      <c r="E2160" s="32">
        <f>IFERROR(_xlfn.XLOOKUP($B2160,Insumo[DESCRIPCION],Insumo[VALOR],,0),"")</f>
        <v>566498.65722213767</v>
      </c>
      <c r="F2160" s="33">
        <v>5</v>
      </c>
      <c r="G2160" s="34">
        <f>IFERROR(IF(F2160&gt;=0,D2160*E2160*(1+F2160/100),ABS(D2160*E2160/F2160)),"")</f>
        <v>594823.59008324461</v>
      </c>
      <c r="H2160" s="43">
        <f>IFERROR(G2160*E2157,"")</f>
        <v>0</v>
      </c>
    </row>
    <row r="2161" spans="1:8" ht="12.75" customHeight="1">
      <c r="A2161" s="28"/>
      <c r="B2161" s="29"/>
      <c r="C2161" s="30" t="str">
        <f>IFERROR(_xlfn.XLOOKUP(B2161,Insumo[DESCRIPCION],Insumo[UND],,0),"")</f>
        <v/>
      </c>
      <c r="D2161" s="31"/>
      <c r="E2161" s="32" t="str">
        <f>IFERROR(_xlfn.XLOOKUP($B2161,Insumo[DESCRIPCION],Insumo[VALOR],,0),"")</f>
        <v/>
      </c>
      <c r="F2161" s="33"/>
      <c r="G2161" s="34" t="str">
        <f>IFERROR(IF(F2161&gt;=0,D2161*E2161*(1+F2161/100),ABS(D2161*E2161/F2161)),"")</f>
        <v/>
      </c>
      <c r="H2161" s="43" t="str">
        <f>IFERROR(G2161*E2157,"")</f>
        <v/>
      </c>
    </row>
    <row r="2162" spans="1:8" ht="12.75" customHeight="1">
      <c r="A2162" s="28"/>
      <c r="B2162" s="29"/>
      <c r="C2162" s="30" t="str">
        <f>IFERROR(_xlfn.XLOOKUP(B2162,Insumo[DESCRIPCION],Insumo[UND],,0),"")</f>
        <v/>
      </c>
      <c r="D2162" s="31"/>
      <c r="E2162" s="32" t="str">
        <f>IFERROR(_xlfn.XLOOKUP($B2162,Insumo[DESCRIPCION],Insumo[VALOR],,0),"")</f>
        <v/>
      </c>
      <c r="F2162" s="33"/>
      <c r="G2162" s="34" t="str">
        <f>IFERROR(IF(F2162&gt;=0,D2162*E2162*(1+F2162/100),ABS(D2162*E2162/F2162)),"")</f>
        <v/>
      </c>
      <c r="H2162" s="43" t="str">
        <f>IFERROR(G2162*E2157,"")</f>
        <v/>
      </c>
    </row>
    <row r="2163" spans="1:8" ht="12.75" customHeight="1">
      <c r="A2163" s="28"/>
      <c r="B2163" s="29"/>
      <c r="C2163" s="30" t="str">
        <f>IFERROR(_xlfn.XLOOKUP(B2163,Insumo[DESCRIPCION],Insumo[UND],,0),"")</f>
        <v/>
      </c>
      <c r="D2163" s="31"/>
      <c r="E2163" s="32" t="str">
        <f>IFERROR(_xlfn.XLOOKUP($B2163,Insumo[DESCRIPCION],Insumo[VALOR],,0),"")</f>
        <v/>
      </c>
      <c r="F2163" s="33"/>
      <c r="G2163" s="34" t="str">
        <f>IFERROR(IF(F2163&gt;=0,D2163*E2163*(1+F2163/100),ABS(D2163*E2163/F2163)),"")</f>
        <v/>
      </c>
      <c r="H2163" s="43" t="str">
        <f>IFERROR(G2163*E2157,"")</f>
        <v/>
      </c>
    </row>
    <row r="2164" spans="1:8" ht="12.75" customHeight="1">
      <c r="A2164" s="28"/>
      <c r="B2164" s="29"/>
      <c r="C2164" s="30" t="str">
        <f>IFERROR(_xlfn.XLOOKUP(B2164,Insumo[DESCRIPCION],Insumo[UND],,0),"")</f>
        <v/>
      </c>
      <c r="D2164" s="31"/>
      <c r="E2164" s="32" t="str">
        <f>IFERROR(_xlfn.XLOOKUP($B2164,Insumo[DESCRIPCION],Insumo[VALOR],,0),"")</f>
        <v/>
      </c>
      <c r="F2164" s="33"/>
      <c r="G2164" s="34" t="str">
        <f>IFERROR(IF(F2164&gt;=0,D2164*E2164*(1+F2164/100),ABS(D2164*E2164/F2164)),"")</f>
        <v/>
      </c>
      <c r="H2164" s="43" t="str">
        <f>IFERROR(G2164*E2157,"")</f>
        <v/>
      </c>
    </row>
    <row r="2165" spans="1:8" ht="12.75" customHeight="1">
      <c r="A2165" s="21"/>
      <c r="B2165" s="22" t="s">
        <v>3731</v>
      </c>
      <c r="C2165" s="23"/>
      <c r="D2165" s="24"/>
      <c r="E2165" s="25"/>
      <c r="F2165" s="26"/>
      <c r="G2165" s="27">
        <f>SUM(G2166:G2168)</f>
        <v>5239.8458482500018</v>
      </c>
      <c r="H2165" s="44">
        <f>G2165*E2157</f>
        <v>0</v>
      </c>
    </row>
    <row r="2166" spans="1:8" ht="12.75" customHeight="1">
      <c r="A2166" s="28"/>
      <c r="B2166" s="29" t="s">
        <v>3626</v>
      </c>
      <c r="C2166" s="30" t="str">
        <f>IFERROR(_xlfn.XLOOKUP(B2166,Equipo[DESCRIPCION],Equipo[UND],,0),"")</f>
        <v>%MO</v>
      </c>
      <c r="D2166" s="31">
        <v>0.05</v>
      </c>
      <c r="E2166" s="32">
        <f>IF(C2166="%MO",G2172,IFERROR(_xlfn.XLOOKUP($B2166,Equipo[DESCRIPCION],Equipo[VALOR],,0),""))</f>
        <v>104796.91696500003</v>
      </c>
      <c r="F2166" s="33"/>
      <c r="G2166" s="34">
        <f>IFERROR(IF(F2166&gt;=0,D2166*E2166*(1+F2166/100),ABS(D2166*E2166/F2166)),"")</f>
        <v>5239.8458482500018</v>
      </c>
      <c r="H2166" s="43">
        <f>IFERROR(G2166*E2157,"")</f>
        <v>0</v>
      </c>
    </row>
    <row r="2167" spans="1:8" ht="12.75" customHeight="1">
      <c r="A2167" s="28"/>
      <c r="B2167" s="29"/>
      <c r="C2167" s="30" t="str">
        <f>IFERROR(_xlfn.XLOOKUP(B2167,Equipo[DESCRIPCION],Equipo[UND],,0),"")</f>
        <v/>
      </c>
      <c r="D2167" s="31"/>
      <c r="E2167" s="32" t="str">
        <f>IF(C2167="%MO",G2172,IFERROR(_xlfn.XLOOKUP($B2167,Equipo[DESCRIPCION],Equipo[VALOR],,0),""))</f>
        <v/>
      </c>
      <c r="F2167" s="33"/>
      <c r="G2167" s="34" t="str">
        <f>IFERROR(IF(F2167&gt;=0,D2167*E2167*(1+F2167/100),ABS(D2167*E2167/F2167)),"")</f>
        <v/>
      </c>
      <c r="H2167" s="43" t="str">
        <f>IFERROR(G2167*E2157,"")</f>
        <v/>
      </c>
    </row>
    <row r="2168" spans="1:8" ht="12.75" customHeight="1">
      <c r="A2168" s="28"/>
      <c r="B2168" s="29"/>
      <c r="C2168" s="30" t="str">
        <f>IFERROR(_xlfn.XLOOKUP(B2168,Equipo[DESCRIPCION],Equipo[UND],,0),"")</f>
        <v/>
      </c>
      <c r="D2168" s="31"/>
      <c r="E2168" s="32" t="str">
        <f>IF(C2168="%MO",G2172,IFERROR(_xlfn.XLOOKUP($B2168,Equipo[DESCRIPCION],Equipo[VALOR],,0),""))</f>
        <v/>
      </c>
      <c r="F2168" s="33"/>
      <c r="G2168" s="34" t="str">
        <f>IFERROR(IF(F2168&gt;=0,D2168*E2168*(1+F2168/100),ABS(D2168*E2168/F2168)),"")</f>
        <v/>
      </c>
      <c r="H2168" s="43" t="str">
        <f>IFERROR(G2168*E2157,"")</f>
        <v/>
      </c>
    </row>
    <row r="2169" spans="1:8" ht="12.75" customHeight="1">
      <c r="A2169" s="21"/>
      <c r="B2169" s="22" t="s">
        <v>2533</v>
      </c>
      <c r="C2169" s="23"/>
      <c r="D2169" s="24"/>
      <c r="E2169" s="25"/>
      <c r="F2169" s="26"/>
      <c r="G2169" s="27">
        <f>SUM(G2170:G2171)</f>
        <v>0</v>
      </c>
      <c r="H2169" s="44">
        <f>G2169*E2157</f>
        <v>0</v>
      </c>
    </row>
    <row r="2170" spans="1:8" ht="12.75" customHeight="1">
      <c r="A2170" s="28"/>
      <c r="B2170" s="29"/>
      <c r="C2170" s="30" t="str">
        <f>IFERROR(_xlfn.XLOOKUP(B2170,Transporte[DESCRIPCION],Transporte[UND],,0),"")</f>
        <v/>
      </c>
      <c r="D2170" s="31"/>
      <c r="E2170" s="32" t="str">
        <f>IFERROR(_xlfn.XLOOKUP($B2170,Transporte[DESCRIPCION],Transporte[VALOR],,0),"")</f>
        <v/>
      </c>
      <c r="F2170" s="33"/>
      <c r="G2170" s="34" t="str">
        <f>IFERROR(IF(F2170&gt;=0,D2170*E2170*(1+F2170/100),ABS(D2170*E2170/F2170)),"")</f>
        <v/>
      </c>
      <c r="H2170" s="43" t="str">
        <f>IFERROR(G2170*E2157,"")</f>
        <v/>
      </c>
    </row>
    <row r="2171" spans="1:8" ht="12.75" customHeight="1">
      <c r="A2171" s="28"/>
      <c r="B2171" s="29"/>
      <c r="C2171" s="30" t="str">
        <f>IFERROR(_xlfn.XLOOKUP(B2171,Transporte[DESCRIPCION],Transporte[UND],,0),"")</f>
        <v/>
      </c>
      <c r="D2171" s="31"/>
      <c r="E2171" s="32" t="str">
        <f>IFERROR(_xlfn.XLOOKUP($B2171,Transporte[DESCRIPCION],Transporte[VALOR],,0),"")</f>
        <v/>
      </c>
      <c r="F2171" s="33"/>
      <c r="G2171" s="34" t="str">
        <f>IFERROR(IF(F2171&gt;=0,D2171*E2171*(1+F2171/100),ABS(D2171*E2171/F2171)),"")</f>
        <v/>
      </c>
      <c r="H2171" s="43" t="str">
        <f>IFERROR(G2171*E2157,"")</f>
        <v/>
      </c>
    </row>
    <row r="2172" spans="1:8" ht="12.75" customHeight="1">
      <c r="A2172" s="21"/>
      <c r="B2172" s="22" t="s">
        <v>3732</v>
      </c>
      <c r="C2172" s="23"/>
      <c r="D2172" s="24"/>
      <c r="E2172" s="25"/>
      <c r="F2172" s="26"/>
      <c r="G2172" s="27">
        <f>SUM(G2173:G2175)</f>
        <v>104796.91696500003</v>
      </c>
      <c r="H2172" s="44">
        <f>G2172*E2157</f>
        <v>0</v>
      </c>
    </row>
    <row r="2173" spans="1:8" ht="12.75" customHeight="1">
      <c r="A2173" s="28"/>
      <c r="B2173" s="29" t="s">
        <v>3710</v>
      </c>
      <c r="C2173" s="30" t="str">
        <f>IFERROR(_xlfn.XLOOKUP(B2173,MObra[DESCRIPCION],MObra[UN],,0),"")</f>
        <v>día</v>
      </c>
      <c r="D2173" s="31">
        <v>1</v>
      </c>
      <c r="E2173" s="32">
        <f>IFERROR(_xlfn.XLOOKUP($B2173,MObra[DESCRIPCION],MObra[VALOR UNIT],,0),"")</f>
        <v>314390.75089500006</v>
      </c>
      <c r="F2173" s="33">
        <v>-3</v>
      </c>
      <c r="G2173" s="34">
        <f>IFERROR(IF(F2173&gt;=0,D2173*E2173*(1+F2173/100),ABS(D2173*E2173/F2173)),"")</f>
        <v>104796.91696500003</v>
      </c>
      <c r="H2173" s="43">
        <f>IFERROR(G2173*E2157,"")</f>
        <v>0</v>
      </c>
    </row>
    <row r="2174" spans="1:8" ht="12.75" customHeight="1">
      <c r="A2174" s="28"/>
      <c r="B2174" s="29"/>
      <c r="C2174" s="30" t="str">
        <f>IFERROR(_xlfn.XLOOKUP(B2174,MObra[DESCRIPCION],MObra[UN],,0),"")</f>
        <v/>
      </c>
      <c r="D2174" s="31"/>
      <c r="E2174" s="32" t="str">
        <f>IFERROR(_xlfn.XLOOKUP($B2174,MObra[DESCRIPCION],MObra[VALOR UNIT],,0),"")</f>
        <v/>
      </c>
      <c r="F2174" s="33"/>
      <c r="G2174" s="34" t="str">
        <f>IFERROR(IF(F2174&gt;=0,D2174*E2174*(1+F2174/100),ABS(D2174*E2174/F2174)),"")</f>
        <v/>
      </c>
      <c r="H2174" s="43" t="str">
        <f>IFERROR(G2174*E2157,"")</f>
        <v/>
      </c>
    </row>
    <row r="2175" spans="1:8" ht="12.75" customHeight="1" thickBot="1">
      <c r="A2175" s="35"/>
      <c r="B2175" s="36"/>
      <c r="C2175" s="37" t="str">
        <f>IFERROR(_xlfn.XLOOKUP(B2175,MObra[DESCRIPCION],MObra[UN],,0),"")</f>
        <v/>
      </c>
      <c r="D2175" s="38"/>
      <c r="E2175" s="39" t="str">
        <f>IFERROR(_xlfn.XLOOKUP($B2175,MObra[DESCRIPCION],MObra[VALOR UNIT],,0),"")</f>
        <v/>
      </c>
      <c r="F2175" s="40"/>
      <c r="G2175" s="41" t="str">
        <f>IFERROR(IF(F2175&gt;=0,D2175*E2175*(1+F2175/100),ABS(D2175*E2175/F2175)),"")</f>
        <v/>
      </c>
      <c r="H2175" s="42" t="str">
        <f>IFERROR(G2175*E2157,"")</f>
        <v/>
      </c>
    </row>
    <row r="2176" spans="1:8" ht="12.75" customHeight="1" thickTop="1" thickBot="1"/>
    <row r="2177" spans="1:10" ht="12.75" customHeight="1" thickTop="1" thickBot="1">
      <c r="A2177" s="6" t="s">
        <v>1312</v>
      </c>
      <c r="B2177" s="7" t="str">
        <f>VLOOKUP($A2177,Presupuesto!$A:$D,2,FALSE())</f>
        <v>Mortero nivelacion 1:3 E=0.05 m</v>
      </c>
      <c r="C2177" s="8" t="str">
        <f>VLOOKUP($A2177,Presupuesto!$A:$D,3,FALSE())</f>
        <v>M2</v>
      </c>
      <c r="D2177" s="9"/>
      <c r="E2177" s="10">
        <f>VLOOKUP($A2177,Presupuesto!$A:$D,4,FALSE())</f>
        <v>0</v>
      </c>
      <c r="F2177" s="11" t="s">
        <v>2589</v>
      </c>
      <c r="G2177" s="12">
        <f>SUM(G2179:G2195)/2</f>
        <v>48140.049566812231</v>
      </c>
      <c r="H2177" s="13">
        <f>ROUND(SUM(H2179:H2195),0)/2</f>
        <v>0</v>
      </c>
      <c r="I2177" s="10">
        <f>VLOOKUP(A2177,Presupuesto!$A:$F,6,0)</f>
        <v>0</v>
      </c>
      <c r="J2177" s="10">
        <f>+H2177-I2177</f>
        <v>0</v>
      </c>
    </row>
    <row r="2178" spans="1:10" ht="12.75" customHeight="1" thickTop="1">
      <c r="A2178" s="14"/>
      <c r="B2178" s="15" t="s">
        <v>2586</v>
      </c>
      <c r="C2178" s="15" t="s">
        <v>5</v>
      </c>
      <c r="D2178" s="16" t="s">
        <v>6</v>
      </c>
      <c r="E2178" s="17" t="s">
        <v>7</v>
      </c>
      <c r="F2178" s="18" t="s">
        <v>3728</v>
      </c>
      <c r="G2178" s="19" t="s">
        <v>3729</v>
      </c>
      <c r="H2178" s="20" t="s">
        <v>3797</v>
      </c>
    </row>
    <row r="2179" spans="1:10" ht="12.75" customHeight="1">
      <c r="A2179" s="21"/>
      <c r="B2179" s="22" t="s">
        <v>3730</v>
      </c>
      <c r="C2179" s="23"/>
      <c r="D2179" s="24"/>
      <c r="E2179" s="25"/>
      <c r="F2179" s="26"/>
      <c r="G2179" s="27">
        <f>SUM(G2180:G2184)</f>
        <v>26132.69700416223</v>
      </c>
      <c r="H2179" s="27">
        <f>IFERROR(G2179*E2177,"")</f>
        <v>0</v>
      </c>
    </row>
    <row r="2180" spans="1:10" ht="12.75" customHeight="1">
      <c r="A2180" s="28"/>
      <c r="B2180" s="29" t="s">
        <v>3244</v>
      </c>
      <c r="C2180" s="30" t="str">
        <f>IFERROR(_xlfn.XLOOKUP(B2180,Insumo[DESCRIPCION],Insumo[UND],,0),"")</f>
        <v>M3</v>
      </c>
      <c r="D2180" s="31">
        <v>0.05</v>
      </c>
      <c r="E2180" s="32">
        <f>IFERROR(_xlfn.XLOOKUP($B2180,Insumo[DESCRIPCION],Insumo[VALOR],,0),"")</f>
        <v>497765.65722213761</v>
      </c>
      <c r="F2180" s="33">
        <v>5</v>
      </c>
      <c r="G2180" s="34">
        <f>IFERROR(IF(F2180&gt;=0,D2180*E2180*(1+F2180/100),ABS(D2180*E2180/F2180)),"")</f>
        <v>26132.69700416223</v>
      </c>
      <c r="H2180" s="43">
        <f>IFERROR(G2180*E2177,"")</f>
        <v>0</v>
      </c>
    </row>
    <row r="2181" spans="1:10" ht="12.75" customHeight="1">
      <c r="A2181" s="28"/>
      <c r="B2181" s="29"/>
      <c r="C2181" s="30" t="str">
        <f>IFERROR(_xlfn.XLOOKUP(B2181,Insumo[DESCRIPCION],Insumo[UND],,0),"")</f>
        <v/>
      </c>
      <c r="D2181" s="31"/>
      <c r="E2181" s="32" t="str">
        <f>IFERROR(_xlfn.XLOOKUP($B2181,Insumo[DESCRIPCION],Insumo[VALOR],,0),"")</f>
        <v/>
      </c>
      <c r="F2181" s="33"/>
      <c r="G2181" s="34" t="str">
        <f>IFERROR(IF(F2181&gt;=0,D2181*E2181*(1+F2181/100),ABS(D2181*E2181/F2181)),"")</f>
        <v/>
      </c>
      <c r="H2181" s="43" t="str">
        <f>IFERROR(G2181*E2177,"")</f>
        <v/>
      </c>
    </row>
    <row r="2182" spans="1:10" ht="12.75" customHeight="1">
      <c r="A2182" s="28"/>
      <c r="B2182" s="29"/>
      <c r="C2182" s="30" t="str">
        <f>IFERROR(_xlfn.XLOOKUP(B2182,Insumo[DESCRIPCION],Insumo[UND],,0),"")</f>
        <v/>
      </c>
      <c r="D2182" s="31"/>
      <c r="E2182" s="32" t="str">
        <f>IFERROR(_xlfn.XLOOKUP($B2182,Insumo[DESCRIPCION],Insumo[VALOR],,0),"")</f>
        <v/>
      </c>
      <c r="F2182" s="33"/>
      <c r="G2182" s="34" t="str">
        <f>IFERROR(IF(F2182&gt;=0,D2182*E2182*(1+F2182/100),ABS(D2182*E2182/F2182)),"")</f>
        <v/>
      </c>
      <c r="H2182" s="43" t="str">
        <f>IFERROR(G2182*E2177,"")</f>
        <v/>
      </c>
    </row>
    <row r="2183" spans="1:10" ht="12.75" customHeight="1">
      <c r="A2183" s="28"/>
      <c r="B2183" s="29"/>
      <c r="C2183" s="30" t="str">
        <f>IFERROR(_xlfn.XLOOKUP(B2183,Insumo[DESCRIPCION],Insumo[UND],,0),"")</f>
        <v/>
      </c>
      <c r="D2183" s="31"/>
      <c r="E2183" s="32" t="str">
        <f>IFERROR(_xlfn.XLOOKUP($B2183,Insumo[DESCRIPCION],Insumo[VALOR],,0),"")</f>
        <v/>
      </c>
      <c r="F2183" s="33"/>
      <c r="G2183" s="34" t="str">
        <f>IFERROR(IF(F2183&gt;=0,D2183*E2183*(1+F2183/100),ABS(D2183*E2183/F2183)),"")</f>
        <v/>
      </c>
      <c r="H2183" s="43" t="str">
        <f>IFERROR(G2183*E2177,"")</f>
        <v/>
      </c>
    </row>
    <row r="2184" spans="1:10" ht="12.75" customHeight="1">
      <c r="A2184" s="28"/>
      <c r="B2184" s="29"/>
      <c r="C2184" s="30" t="str">
        <f>IFERROR(_xlfn.XLOOKUP(B2184,Insumo[DESCRIPCION],Insumo[UND],,0),"")</f>
        <v/>
      </c>
      <c r="D2184" s="31"/>
      <c r="E2184" s="32" t="str">
        <f>IFERROR(_xlfn.XLOOKUP($B2184,Insumo[DESCRIPCION],Insumo[VALOR],,0),"")</f>
        <v/>
      </c>
      <c r="F2184" s="33"/>
      <c r="G2184" s="34" t="str">
        <f>IFERROR(IF(F2184&gt;=0,D2184*E2184*(1+F2184/100),ABS(D2184*E2184/F2184)),"")</f>
        <v/>
      </c>
      <c r="H2184" s="43" t="str">
        <f>IFERROR(G2184*E2177,"")</f>
        <v/>
      </c>
    </row>
    <row r="2185" spans="1:10" ht="12.75" customHeight="1">
      <c r="A2185" s="21"/>
      <c r="B2185" s="22" t="s">
        <v>3731</v>
      </c>
      <c r="C2185" s="23"/>
      <c r="D2185" s="24"/>
      <c r="E2185" s="25"/>
      <c r="F2185" s="26"/>
      <c r="G2185" s="27">
        <f>SUM(G2186:G2188)</f>
        <v>1047.9691696500001</v>
      </c>
      <c r="H2185" s="44">
        <f>G2185*E2177</f>
        <v>0</v>
      </c>
    </row>
    <row r="2186" spans="1:10" ht="12.75" customHeight="1">
      <c r="A2186" s="28"/>
      <c r="B2186" s="29" t="s">
        <v>3626</v>
      </c>
      <c r="C2186" s="30" t="str">
        <f>IFERROR(_xlfn.XLOOKUP(B2186,Equipo[DESCRIPCION],Equipo[UND],,0),"")</f>
        <v>%MO</v>
      </c>
      <c r="D2186" s="31">
        <v>0.05</v>
      </c>
      <c r="E2186" s="32">
        <f>IF(C2186="%MO",G2192,IFERROR(_xlfn.XLOOKUP($B2186,Equipo[DESCRIPCION],Equipo[VALOR],,0),""))</f>
        <v>20959.383393000004</v>
      </c>
      <c r="F2186" s="33"/>
      <c r="G2186" s="34">
        <f>IFERROR(IF(F2186&gt;=0,D2186*E2186*(1+F2186/100),ABS(D2186*E2186/F2186)),"")</f>
        <v>1047.9691696500001</v>
      </c>
      <c r="H2186" s="43">
        <f>IFERROR(G2186*E2177,"")</f>
        <v>0</v>
      </c>
    </row>
    <row r="2187" spans="1:10" ht="12.75" customHeight="1">
      <c r="A2187" s="28"/>
      <c r="B2187" s="29"/>
      <c r="C2187" s="30" t="str">
        <f>IFERROR(_xlfn.XLOOKUP(B2187,Equipo[DESCRIPCION],Equipo[UND],,0),"")</f>
        <v/>
      </c>
      <c r="D2187" s="31"/>
      <c r="E2187" s="32" t="str">
        <f>IF(C2187="%MO",G2192,IFERROR(_xlfn.XLOOKUP($B2187,Equipo[DESCRIPCION],Equipo[VALOR],,0),""))</f>
        <v/>
      </c>
      <c r="F2187" s="33"/>
      <c r="G2187" s="34" t="str">
        <f>IFERROR(IF(F2187&gt;=0,D2187*E2187*(1+F2187/100),ABS(D2187*E2187/F2187)),"")</f>
        <v/>
      </c>
      <c r="H2187" s="43" t="str">
        <f>IFERROR(G2187*E2177,"")</f>
        <v/>
      </c>
    </row>
    <row r="2188" spans="1:10" ht="12.75" customHeight="1">
      <c r="A2188" s="28"/>
      <c r="B2188" s="29"/>
      <c r="C2188" s="30" t="str">
        <f>IFERROR(_xlfn.XLOOKUP(B2188,Equipo[DESCRIPCION],Equipo[UND],,0),"")</f>
        <v/>
      </c>
      <c r="D2188" s="31"/>
      <c r="E2188" s="32" t="str">
        <f>IF(C2188="%MO",G2192,IFERROR(_xlfn.XLOOKUP($B2188,Equipo[DESCRIPCION],Equipo[VALOR],,0),""))</f>
        <v/>
      </c>
      <c r="F2188" s="33"/>
      <c r="G2188" s="34" t="str">
        <f>IFERROR(IF(F2188&gt;=0,D2188*E2188*(1+F2188/100),ABS(D2188*E2188/F2188)),"")</f>
        <v/>
      </c>
      <c r="H2188" s="43" t="str">
        <f>IFERROR(G2188*E2177,"")</f>
        <v/>
      </c>
    </row>
    <row r="2189" spans="1:10" ht="12.75" customHeight="1">
      <c r="A2189" s="21"/>
      <c r="B2189" s="22" t="s">
        <v>2533</v>
      </c>
      <c r="C2189" s="23"/>
      <c r="D2189" s="24"/>
      <c r="E2189" s="25"/>
      <c r="F2189" s="26"/>
      <c r="G2189" s="27">
        <f>SUM(G2190:G2191)</f>
        <v>0</v>
      </c>
      <c r="H2189" s="44">
        <f>G2189*E2177</f>
        <v>0</v>
      </c>
    </row>
    <row r="2190" spans="1:10" ht="12.75" customHeight="1">
      <c r="A2190" s="28"/>
      <c r="B2190" s="29"/>
      <c r="C2190" s="30" t="str">
        <f>IFERROR(_xlfn.XLOOKUP(B2190,Transporte[DESCRIPCION],Transporte[UND],,0),"")</f>
        <v/>
      </c>
      <c r="D2190" s="31"/>
      <c r="E2190" s="32" t="str">
        <f>IFERROR(_xlfn.XLOOKUP($B2190,Transporte[DESCRIPCION],Transporte[VALOR],,0),"")</f>
        <v/>
      </c>
      <c r="F2190" s="33"/>
      <c r="G2190" s="34" t="str">
        <f>IFERROR(IF(F2190&gt;=0,D2190*E2190*(1+F2190/100),ABS(D2190*E2190/F2190)),"")</f>
        <v/>
      </c>
      <c r="H2190" s="43" t="str">
        <f>IFERROR(G2190*E2177,"")</f>
        <v/>
      </c>
    </row>
    <row r="2191" spans="1:10" ht="12.75" customHeight="1">
      <c r="A2191" s="28"/>
      <c r="B2191" s="29"/>
      <c r="C2191" s="30" t="str">
        <f>IFERROR(_xlfn.XLOOKUP(B2191,Transporte[DESCRIPCION],Transporte[UND],,0),"")</f>
        <v/>
      </c>
      <c r="D2191" s="31"/>
      <c r="E2191" s="32" t="str">
        <f>IFERROR(_xlfn.XLOOKUP($B2191,Transporte[DESCRIPCION],Transporte[VALOR],,0),"")</f>
        <v/>
      </c>
      <c r="F2191" s="33"/>
      <c r="G2191" s="34" t="str">
        <f>IFERROR(IF(F2191&gt;=0,D2191*E2191*(1+F2191/100),ABS(D2191*E2191/F2191)),"")</f>
        <v/>
      </c>
      <c r="H2191" s="43" t="str">
        <f>IFERROR(G2191*E2177,"")</f>
        <v/>
      </c>
    </row>
    <row r="2192" spans="1:10" ht="12.75" customHeight="1">
      <c r="A2192" s="21"/>
      <c r="B2192" s="22" t="s">
        <v>3732</v>
      </c>
      <c r="C2192" s="23"/>
      <c r="D2192" s="24"/>
      <c r="E2192" s="25"/>
      <c r="F2192" s="26"/>
      <c r="G2192" s="27">
        <f>SUM(G2193:G2195)</f>
        <v>20959.383393000004</v>
      </c>
      <c r="H2192" s="44">
        <f>G2192*E2177</f>
        <v>0</v>
      </c>
    </row>
    <row r="2193" spans="1:10" ht="12.75" customHeight="1">
      <c r="A2193" s="28"/>
      <c r="B2193" s="29" t="s">
        <v>3710</v>
      </c>
      <c r="C2193" s="30" t="str">
        <f>IFERROR(_xlfn.XLOOKUP(B2193,MObra[DESCRIPCION],MObra[UN],,0),"")</f>
        <v>día</v>
      </c>
      <c r="D2193" s="31">
        <v>1</v>
      </c>
      <c r="E2193" s="32">
        <f>IFERROR(_xlfn.XLOOKUP($B2193,MObra[DESCRIPCION],MObra[VALOR UNIT],,0),"")</f>
        <v>314390.75089500006</v>
      </c>
      <c r="F2193" s="33">
        <v>-15</v>
      </c>
      <c r="G2193" s="34">
        <f>IFERROR(IF(F2193&gt;=0,D2193*E2193*(1+F2193/100),ABS(D2193*E2193/F2193)),"")</f>
        <v>20959.383393000004</v>
      </c>
      <c r="H2193" s="43">
        <f>IFERROR(G2193*E2177,"")</f>
        <v>0</v>
      </c>
    </row>
    <row r="2194" spans="1:10" ht="12.75" customHeight="1">
      <c r="A2194" s="28"/>
      <c r="B2194" s="29"/>
      <c r="C2194" s="30" t="str">
        <f>IFERROR(_xlfn.XLOOKUP(B2194,MObra[DESCRIPCION],MObra[UN],,0),"")</f>
        <v/>
      </c>
      <c r="D2194" s="31"/>
      <c r="E2194" s="32" t="str">
        <f>IFERROR(_xlfn.XLOOKUP($B2194,MObra[DESCRIPCION],MObra[VALOR UNIT],,0),"")</f>
        <v/>
      </c>
      <c r="F2194" s="33"/>
      <c r="G2194" s="34" t="str">
        <f>IFERROR(IF(F2194&gt;=0,D2194*E2194*(1+F2194/100),ABS(D2194*E2194/F2194)),"")</f>
        <v/>
      </c>
      <c r="H2194" s="43" t="str">
        <f>IFERROR(G2194*E2177,"")</f>
        <v/>
      </c>
    </row>
    <row r="2195" spans="1:10" ht="12.75" customHeight="1" thickBot="1">
      <c r="A2195" s="35"/>
      <c r="B2195" s="36"/>
      <c r="C2195" s="37" t="str">
        <f>IFERROR(_xlfn.XLOOKUP(B2195,MObra[DESCRIPCION],MObra[UN],,0),"")</f>
        <v/>
      </c>
      <c r="D2195" s="38"/>
      <c r="E2195" s="39" t="str">
        <f>IFERROR(_xlfn.XLOOKUP($B2195,MObra[DESCRIPCION],MObra[VALOR UNIT],,0),"")</f>
        <v/>
      </c>
      <c r="F2195" s="40"/>
      <c r="G2195" s="41" t="str">
        <f>IFERROR(IF(F2195&gt;=0,D2195*E2195*(1+F2195/100),ABS(D2195*E2195/F2195)),"")</f>
        <v/>
      </c>
      <c r="H2195" s="42" t="str">
        <f>IFERROR(G2195*E2177,"")</f>
        <v/>
      </c>
    </row>
    <row r="2196" spans="1:10" ht="12.75" customHeight="1" thickTop="1" thickBot="1"/>
    <row r="2197" spans="1:10" ht="12.75" customHeight="1" thickTop="1" thickBot="1">
      <c r="A2197" s="6" t="s">
        <v>1314</v>
      </c>
      <c r="B2197" s="7" t="str">
        <f>VLOOKUP($A2197,Presupuesto!$A:$D,2,FALSE())</f>
        <v>Mortero nivelación 1:3 E=0.05 m + afinado</v>
      </c>
      <c r="C2197" s="8" t="str">
        <f>VLOOKUP($A2197,Presupuesto!$A:$D,3,FALSE())</f>
        <v>M2</v>
      </c>
      <c r="D2197" s="9"/>
      <c r="E2197" s="10">
        <f>VLOOKUP($A2197,Presupuesto!$A:$D,4,FALSE())</f>
        <v>0</v>
      </c>
      <c r="F2197" s="11" t="s">
        <v>2589</v>
      </c>
      <c r="G2197" s="12">
        <f>SUM(G2199:G2215)/2</f>
        <v>53641.887707474736</v>
      </c>
      <c r="H2197" s="13">
        <f>ROUND(SUM(H2199:H2215),0)/2</f>
        <v>0</v>
      </c>
      <c r="I2197" s="10">
        <f>VLOOKUP(A2197,Presupuesto!$A:$F,6,0)</f>
        <v>0</v>
      </c>
      <c r="J2197" s="10">
        <f>+H2197-I2197</f>
        <v>0</v>
      </c>
    </row>
    <row r="2198" spans="1:10" ht="12.75" customHeight="1" thickTop="1">
      <c r="A2198" s="14"/>
      <c r="B2198" s="15" t="s">
        <v>2586</v>
      </c>
      <c r="C2198" s="15" t="s">
        <v>5</v>
      </c>
      <c r="D2198" s="16" t="s">
        <v>6</v>
      </c>
      <c r="E2198" s="17" t="s">
        <v>7</v>
      </c>
      <c r="F2198" s="18" t="s">
        <v>3728</v>
      </c>
      <c r="G2198" s="19" t="s">
        <v>3729</v>
      </c>
      <c r="H2198" s="20" t="s">
        <v>3797</v>
      </c>
    </row>
    <row r="2199" spans="1:10" ht="12.75" customHeight="1">
      <c r="A2199" s="21"/>
      <c r="B2199" s="22" t="s">
        <v>3730</v>
      </c>
      <c r="C2199" s="23"/>
      <c r="D2199" s="24"/>
      <c r="E2199" s="25"/>
      <c r="F2199" s="26"/>
      <c r="G2199" s="27">
        <f>SUM(G2200:G2204)</f>
        <v>26132.69700416223</v>
      </c>
      <c r="H2199" s="27">
        <f>IFERROR(G2199*E2197,"")</f>
        <v>0</v>
      </c>
    </row>
    <row r="2200" spans="1:10" ht="12.75" customHeight="1">
      <c r="A2200" s="28"/>
      <c r="B2200" s="29" t="s">
        <v>3244</v>
      </c>
      <c r="C2200" s="30" t="str">
        <f>IFERROR(_xlfn.XLOOKUP(B2200,Insumo[DESCRIPCION],Insumo[UND],,0),"")</f>
        <v>M3</v>
      </c>
      <c r="D2200" s="31">
        <v>0.05</v>
      </c>
      <c r="E2200" s="32">
        <f>IFERROR(_xlfn.XLOOKUP($B2200,Insumo[DESCRIPCION],Insumo[VALOR],,0),"")</f>
        <v>497765.65722213761</v>
      </c>
      <c r="F2200" s="33">
        <v>5</v>
      </c>
      <c r="G2200" s="34">
        <f>IFERROR(IF(F2200&gt;=0,D2200*E2200*(1+F2200/100),ABS(D2200*E2200/F2200)),"")</f>
        <v>26132.69700416223</v>
      </c>
      <c r="H2200" s="43">
        <f>IFERROR(G2200*E2197,"")</f>
        <v>0</v>
      </c>
    </row>
    <row r="2201" spans="1:10" ht="12.75" customHeight="1">
      <c r="A2201" s="28"/>
      <c r="B2201" s="29"/>
      <c r="C2201" s="30" t="str">
        <f>IFERROR(_xlfn.XLOOKUP(B2201,Insumo[DESCRIPCION],Insumo[UND],,0),"")</f>
        <v/>
      </c>
      <c r="D2201" s="31"/>
      <c r="E2201" s="32" t="str">
        <f>IFERROR(_xlfn.XLOOKUP($B2201,Insumo[DESCRIPCION],Insumo[VALOR],,0),"")</f>
        <v/>
      </c>
      <c r="F2201" s="33"/>
      <c r="G2201" s="34" t="str">
        <f>IFERROR(IF(F2201&gt;=0,D2201*E2201*(1+F2201/100),ABS(D2201*E2201/F2201)),"")</f>
        <v/>
      </c>
      <c r="H2201" s="43" t="str">
        <f>IFERROR(G2201*E2197,"")</f>
        <v/>
      </c>
    </row>
    <row r="2202" spans="1:10" ht="12.75" customHeight="1">
      <c r="A2202" s="28"/>
      <c r="B2202" s="29"/>
      <c r="C2202" s="30" t="str">
        <f>IFERROR(_xlfn.XLOOKUP(B2202,Insumo[DESCRIPCION],Insumo[UND],,0),"")</f>
        <v/>
      </c>
      <c r="D2202" s="31"/>
      <c r="E2202" s="32" t="str">
        <f>IFERROR(_xlfn.XLOOKUP($B2202,Insumo[DESCRIPCION],Insumo[VALOR],,0),"")</f>
        <v/>
      </c>
      <c r="F2202" s="33"/>
      <c r="G2202" s="34" t="str">
        <f>IFERROR(IF(F2202&gt;=0,D2202*E2202*(1+F2202/100),ABS(D2202*E2202/F2202)),"")</f>
        <v/>
      </c>
      <c r="H2202" s="43" t="str">
        <f>IFERROR(G2202*E2197,"")</f>
        <v/>
      </c>
    </row>
    <row r="2203" spans="1:10" ht="12.75" customHeight="1">
      <c r="A2203" s="28"/>
      <c r="B2203" s="29"/>
      <c r="C2203" s="30" t="str">
        <f>IFERROR(_xlfn.XLOOKUP(B2203,Insumo[DESCRIPCION],Insumo[UND],,0),"")</f>
        <v/>
      </c>
      <c r="D2203" s="31"/>
      <c r="E2203" s="32" t="str">
        <f>IFERROR(_xlfn.XLOOKUP($B2203,Insumo[DESCRIPCION],Insumo[VALOR],,0),"")</f>
        <v/>
      </c>
      <c r="F2203" s="33"/>
      <c r="G2203" s="34" t="str">
        <f>IFERROR(IF(F2203&gt;=0,D2203*E2203*(1+F2203/100),ABS(D2203*E2203/F2203)),"")</f>
        <v/>
      </c>
      <c r="H2203" s="43" t="str">
        <f>IFERROR(G2203*E2197,"")</f>
        <v/>
      </c>
    </row>
    <row r="2204" spans="1:10" ht="12.75" customHeight="1">
      <c r="A2204" s="28"/>
      <c r="B2204" s="29"/>
      <c r="C2204" s="30" t="str">
        <f>IFERROR(_xlfn.XLOOKUP(B2204,Insumo[DESCRIPCION],Insumo[UND],,0),"")</f>
        <v/>
      </c>
      <c r="D2204" s="31"/>
      <c r="E2204" s="32" t="str">
        <f>IFERROR(_xlfn.XLOOKUP($B2204,Insumo[DESCRIPCION],Insumo[VALOR],,0),"")</f>
        <v/>
      </c>
      <c r="F2204" s="33"/>
      <c r="G2204" s="34" t="str">
        <f>IFERROR(IF(F2204&gt;=0,D2204*E2204*(1+F2204/100),ABS(D2204*E2204/F2204)),"")</f>
        <v/>
      </c>
      <c r="H2204" s="43" t="str">
        <f>IFERROR(G2204*E2197,"")</f>
        <v/>
      </c>
    </row>
    <row r="2205" spans="1:10" ht="12.75" customHeight="1">
      <c r="A2205" s="21"/>
      <c r="B2205" s="22" t="s">
        <v>3731</v>
      </c>
      <c r="C2205" s="23"/>
      <c r="D2205" s="24"/>
      <c r="E2205" s="25"/>
      <c r="F2205" s="26"/>
      <c r="G2205" s="27">
        <f>SUM(G2206:G2208)</f>
        <v>1309.9614620625005</v>
      </c>
      <c r="H2205" s="44">
        <f>G2205*E2197</f>
        <v>0</v>
      </c>
    </row>
    <row r="2206" spans="1:10" ht="12.75" customHeight="1">
      <c r="A2206" s="28"/>
      <c r="B2206" s="29" t="s">
        <v>3626</v>
      </c>
      <c r="C2206" s="30" t="str">
        <f>IFERROR(_xlfn.XLOOKUP(B2206,Equipo[DESCRIPCION],Equipo[UND],,0),"")</f>
        <v>%MO</v>
      </c>
      <c r="D2206" s="31">
        <v>0.05</v>
      </c>
      <c r="E2206" s="32">
        <f>IF(C2206="%MO",G2212,IFERROR(_xlfn.XLOOKUP($B2206,Equipo[DESCRIPCION],Equipo[VALOR],,0),""))</f>
        <v>26199.229241250006</v>
      </c>
      <c r="F2206" s="33"/>
      <c r="G2206" s="34">
        <f>IFERROR(IF(F2206&gt;=0,D2206*E2206*(1+F2206/100),ABS(D2206*E2206/F2206)),"")</f>
        <v>1309.9614620625005</v>
      </c>
      <c r="H2206" s="43">
        <f>IFERROR(G2206*E2197,"")</f>
        <v>0</v>
      </c>
    </row>
    <row r="2207" spans="1:10" ht="12.75" customHeight="1">
      <c r="A2207" s="28"/>
      <c r="B2207" s="29"/>
      <c r="C2207" s="30" t="str">
        <f>IFERROR(_xlfn.XLOOKUP(B2207,Equipo[DESCRIPCION],Equipo[UND],,0),"")</f>
        <v/>
      </c>
      <c r="D2207" s="31"/>
      <c r="E2207" s="32" t="str">
        <f>IF(C2207="%MO",G2212,IFERROR(_xlfn.XLOOKUP($B2207,Equipo[DESCRIPCION],Equipo[VALOR],,0),""))</f>
        <v/>
      </c>
      <c r="F2207" s="33"/>
      <c r="G2207" s="34" t="str">
        <f>IFERROR(IF(F2207&gt;=0,D2207*E2207*(1+F2207/100),ABS(D2207*E2207/F2207)),"")</f>
        <v/>
      </c>
      <c r="H2207" s="43" t="str">
        <f>IFERROR(G2207*E2197,"")</f>
        <v/>
      </c>
    </row>
    <row r="2208" spans="1:10" ht="12.75" customHeight="1">
      <c r="A2208" s="28"/>
      <c r="B2208" s="29"/>
      <c r="C2208" s="30" t="str">
        <f>IFERROR(_xlfn.XLOOKUP(B2208,Equipo[DESCRIPCION],Equipo[UND],,0),"")</f>
        <v/>
      </c>
      <c r="D2208" s="31"/>
      <c r="E2208" s="32" t="str">
        <f>IF(C2208="%MO",G2212,IFERROR(_xlfn.XLOOKUP($B2208,Equipo[DESCRIPCION],Equipo[VALOR],,0),""))</f>
        <v/>
      </c>
      <c r="F2208" s="33"/>
      <c r="G2208" s="34" t="str">
        <f>IFERROR(IF(F2208&gt;=0,D2208*E2208*(1+F2208/100),ABS(D2208*E2208/F2208)),"")</f>
        <v/>
      </c>
      <c r="H2208" s="43" t="str">
        <f>IFERROR(G2208*E2197,"")</f>
        <v/>
      </c>
    </row>
    <row r="2209" spans="1:10" ht="12.75" customHeight="1">
      <c r="A2209" s="21"/>
      <c r="B2209" s="22" t="s">
        <v>2533</v>
      </c>
      <c r="C2209" s="23"/>
      <c r="D2209" s="24"/>
      <c r="E2209" s="25"/>
      <c r="F2209" s="26"/>
      <c r="G2209" s="27">
        <f>SUM(G2210:G2211)</f>
        <v>0</v>
      </c>
      <c r="H2209" s="44">
        <f>G2209*E2197</f>
        <v>0</v>
      </c>
    </row>
    <row r="2210" spans="1:10" ht="12.75" customHeight="1">
      <c r="A2210" s="28"/>
      <c r="B2210" s="29"/>
      <c r="C2210" s="30" t="str">
        <f>IFERROR(_xlfn.XLOOKUP(B2210,Transporte[DESCRIPCION],Transporte[UND],,0),"")</f>
        <v/>
      </c>
      <c r="D2210" s="31"/>
      <c r="E2210" s="32" t="str">
        <f>IFERROR(_xlfn.XLOOKUP($B2210,Transporte[DESCRIPCION],Transporte[VALOR],,0),"")</f>
        <v/>
      </c>
      <c r="F2210" s="33"/>
      <c r="G2210" s="34" t="str">
        <f>IFERROR(IF(F2210&gt;=0,D2210*E2210*(1+F2210/100),ABS(D2210*E2210/F2210)),"")</f>
        <v/>
      </c>
      <c r="H2210" s="43" t="str">
        <f>IFERROR(G2210*E2197,"")</f>
        <v/>
      </c>
    </row>
    <row r="2211" spans="1:10" ht="12.75" customHeight="1">
      <c r="A2211" s="28"/>
      <c r="B2211" s="29"/>
      <c r="C2211" s="30" t="str">
        <f>IFERROR(_xlfn.XLOOKUP(B2211,Transporte[DESCRIPCION],Transporte[UND],,0),"")</f>
        <v/>
      </c>
      <c r="D2211" s="31"/>
      <c r="E2211" s="32" t="str">
        <f>IFERROR(_xlfn.XLOOKUP($B2211,Transporte[DESCRIPCION],Transporte[VALOR],,0),"")</f>
        <v/>
      </c>
      <c r="F2211" s="33"/>
      <c r="G2211" s="34" t="str">
        <f>IFERROR(IF(F2211&gt;=0,D2211*E2211*(1+F2211/100),ABS(D2211*E2211/F2211)),"")</f>
        <v/>
      </c>
      <c r="H2211" s="43" t="str">
        <f>IFERROR(G2211*E2197,"")</f>
        <v/>
      </c>
    </row>
    <row r="2212" spans="1:10" ht="12.75" customHeight="1">
      <c r="A2212" s="21"/>
      <c r="B2212" s="22" t="s">
        <v>3732</v>
      </c>
      <c r="C2212" s="23"/>
      <c r="D2212" s="24"/>
      <c r="E2212" s="25"/>
      <c r="F2212" s="26"/>
      <c r="G2212" s="27">
        <f>SUM(G2213:G2215)</f>
        <v>26199.229241250006</v>
      </c>
      <c r="H2212" s="44">
        <f>G2212*E2197</f>
        <v>0</v>
      </c>
    </row>
    <row r="2213" spans="1:10" ht="12.75" customHeight="1">
      <c r="A2213" s="28"/>
      <c r="B2213" s="29" t="s">
        <v>3710</v>
      </c>
      <c r="C2213" s="30" t="str">
        <f>IFERROR(_xlfn.XLOOKUP(B2213,MObra[DESCRIPCION],MObra[UN],,0),"")</f>
        <v>día</v>
      </c>
      <c r="D2213" s="31">
        <v>1</v>
      </c>
      <c r="E2213" s="32">
        <f>IFERROR(_xlfn.XLOOKUP($B2213,MObra[DESCRIPCION],MObra[VALOR UNIT],,0),"")</f>
        <v>314390.75089500006</v>
      </c>
      <c r="F2213" s="33">
        <v>-12</v>
      </c>
      <c r="G2213" s="34">
        <f>IFERROR(IF(F2213&gt;=0,D2213*E2213*(1+F2213/100),ABS(D2213*E2213/F2213)),"")</f>
        <v>26199.229241250006</v>
      </c>
      <c r="H2213" s="43">
        <f>IFERROR(G2213*E2197,"")</f>
        <v>0</v>
      </c>
    </row>
    <row r="2214" spans="1:10" ht="12.75" customHeight="1">
      <c r="A2214" s="28"/>
      <c r="B2214" s="29"/>
      <c r="C2214" s="30" t="str">
        <f>IFERROR(_xlfn.XLOOKUP(B2214,MObra[DESCRIPCION],MObra[UN],,0),"")</f>
        <v/>
      </c>
      <c r="D2214" s="31"/>
      <c r="E2214" s="32" t="str">
        <f>IFERROR(_xlfn.XLOOKUP($B2214,MObra[DESCRIPCION],MObra[VALOR UNIT],,0),"")</f>
        <v/>
      </c>
      <c r="F2214" s="33"/>
      <c r="G2214" s="34" t="str">
        <f>IFERROR(IF(F2214&gt;=0,D2214*E2214*(1+F2214/100),ABS(D2214*E2214/F2214)),"")</f>
        <v/>
      </c>
      <c r="H2214" s="43" t="str">
        <f>IFERROR(G2214*E2197,"")</f>
        <v/>
      </c>
    </row>
    <row r="2215" spans="1:10" ht="12.75" customHeight="1" thickBot="1">
      <c r="A2215" s="35"/>
      <c r="B2215" s="36"/>
      <c r="C2215" s="37" t="str">
        <f>IFERROR(_xlfn.XLOOKUP(B2215,MObra[DESCRIPCION],MObra[UN],,0),"")</f>
        <v/>
      </c>
      <c r="D2215" s="38"/>
      <c r="E2215" s="39" t="str">
        <f>IFERROR(_xlfn.XLOOKUP($B2215,MObra[DESCRIPCION],MObra[VALOR UNIT],,0),"")</f>
        <v/>
      </c>
      <c r="F2215" s="40"/>
      <c r="G2215" s="41" t="str">
        <f>IFERROR(IF(F2215&gt;=0,D2215*E2215*(1+F2215/100),ABS(D2215*E2215/F2215)),"")</f>
        <v/>
      </c>
      <c r="H2215" s="42" t="str">
        <f>IFERROR(G2215*E2197,"")</f>
        <v/>
      </c>
    </row>
    <row r="2216" spans="1:10" ht="12.75" customHeight="1" thickTop="1" thickBot="1"/>
    <row r="2217" spans="1:10" ht="12.75" customHeight="1" thickTop="1" thickBot="1">
      <c r="A2217" s="6" t="s">
        <v>1316</v>
      </c>
      <c r="B2217" s="7" t="str">
        <f>VLOOKUP($A2217,Presupuesto!$A:$D,2,FALSE())</f>
        <v>Mortero nivelación 1:4 E=0.05 m</v>
      </c>
      <c r="C2217" s="8" t="str">
        <f>VLOOKUP($A2217,Presupuesto!$A:$D,3,FALSE())</f>
        <v>M2</v>
      </c>
      <c r="D2217" s="9"/>
      <c r="E2217" s="10">
        <f>VLOOKUP($A2217,Presupuesto!$A:$D,4,FALSE())</f>
        <v>0</v>
      </c>
      <c r="F2217" s="11" t="s">
        <v>2589</v>
      </c>
      <c r="G2217" s="12">
        <f>SUM(G2219:G2235)/2</f>
        <v>47392.147932274689</v>
      </c>
      <c r="H2217" s="13">
        <f>ROUND(SUM(H2219:H2235),0)/2</f>
        <v>0</v>
      </c>
      <c r="I2217" s="10">
        <f>VLOOKUP(A2217,Presupuesto!$A:$F,6,0)</f>
        <v>0</v>
      </c>
      <c r="J2217" s="10">
        <f>+H2217-I2217</f>
        <v>0</v>
      </c>
    </row>
    <row r="2218" spans="1:10" ht="12.75" customHeight="1" thickTop="1">
      <c r="A2218" s="14"/>
      <c r="B2218" s="15" t="s">
        <v>2586</v>
      </c>
      <c r="C2218" s="15" t="s">
        <v>5</v>
      </c>
      <c r="D2218" s="16" t="s">
        <v>6</v>
      </c>
      <c r="E2218" s="17" t="s">
        <v>7</v>
      </c>
      <c r="F2218" s="18" t="s">
        <v>3728</v>
      </c>
      <c r="G2218" s="19" t="s">
        <v>3729</v>
      </c>
      <c r="H2218" s="20" t="s">
        <v>3797</v>
      </c>
    </row>
    <row r="2219" spans="1:10" ht="12.75" customHeight="1">
      <c r="A2219" s="21"/>
      <c r="B2219" s="22" t="s">
        <v>3730</v>
      </c>
      <c r="C2219" s="23"/>
      <c r="D2219" s="24"/>
      <c r="E2219" s="25"/>
      <c r="F2219" s="26"/>
      <c r="G2219" s="27">
        <f>SUM(G2220:G2224)</f>
        <v>25384.795369624691</v>
      </c>
      <c r="H2219" s="27">
        <f>IFERROR(G2219*E2217,"")</f>
        <v>0</v>
      </c>
    </row>
    <row r="2220" spans="1:10" ht="12.75" customHeight="1">
      <c r="A2220" s="28"/>
      <c r="B2220" s="29" t="s">
        <v>3245</v>
      </c>
      <c r="C2220" s="30" t="str">
        <f>IFERROR(_xlfn.XLOOKUP(B2220,Insumo[DESCRIPCION],Insumo[UND],,0),"")</f>
        <v>M3</v>
      </c>
      <c r="D2220" s="31">
        <v>0.05</v>
      </c>
      <c r="E2220" s="32">
        <f>IFERROR(_xlfn.XLOOKUP($B2220,Insumo[DESCRIPCION],Insumo[VALOR],,0),"")</f>
        <v>483519.91180237505</v>
      </c>
      <c r="F2220" s="33">
        <v>5</v>
      </c>
      <c r="G2220" s="34">
        <f>IFERROR(IF(F2220&gt;=0,D2220*E2220*(1+F2220/100),ABS(D2220*E2220/F2220)),"")</f>
        <v>25384.795369624691</v>
      </c>
      <c r="H2220" s="43">
        <f>IFERROR(G2220*E2217,"")</f>
        <v>0</v>
      </c>
    </row>
    <row r="2221" spans="1:10" ht="12.75" customHeight="1">
      <c r="A2221" s="28"/>
      <c r="B2221" s="29"/>
      <c r="C2221" s="30" t="str">
        <f>IFERROR(_xlfn.XLOOKUP(B2221,Insumo[DESCRIPCION],Insumo[UND],,0),"")</f>
        <v/>
      </c>
      <c r="D2221" s="31"/>
      <c r="E2221" s="32" t="str">
        <f>IFERROR(_xlfn.XLOOKUP($B2221,Insumo[DESCRIPCION],Insumo[VALOR],,0),"")</f>
        <v/>
      </c>
      <c r="F2221" s="33"/>
      <c r="G2221" s="34" t="str">
        <f>IFERROR(IF(F2221&gt;=0,D2221*E2221*(1+F2221/100),ABS(D2221*E2221/F2221)),"")</f>
        <v/>
      </c>
      <c r="H2221" s="43" t="str">
        <f>IFERROR(G2221*E2217,"")</f>
        <v/>
      </c>
    </row>
    <row r="2222" spans="1:10" ht="12.75" customHeight="1">
      <c r="A2222" s="28"/>
      <c r="B2222" s="29"/>
      <c r="C2222" s="30" t="str">
        <f>IFERROR(_xlfn.XLOOKUP(B2222,Insumo[DESCRIPCION],Insumo[UND],,0),"")</f>
        <v/>
      </c>
      <c r="D2222" s="31"/>
      <c r="E2222" s="32" t="str">
        <f>IFERROR(_xlfn.XLOOKUP($B2222,Insumo[DESCRIPCION],Insumo[VALOR],,0),"")</f>
        <v/>
      </c>
      <c r="F2222" s="33"/>
      <c r="G2222" s="34" t="str">
        <f>IFERROR(IF(F2222&gt;=0,D2222*E2222*(1+F2222/100),ABS(D2222*E2222/F2222)),"")</f>
        <v/>
      </c>
      <c r="H2222" s="43" t="str">
        <f>IFERROR(G2222*E2217,"")</f>
        <v/>
      </c>
    </row>
    <row r="2223" spans="1:10" ht="12.75" customHeight="1">
      <c r="A2223" s="28"/>
      <c r="B2223" s="29"/>
      <c r="C2223" s="30" t="str">
        <f>IFERROR(_xlfn.XLOOKUP(B2223,Insumo[DESCRIPCION],Insumo[UND],,0),"")</f>
        <v/>
      </c>
      <c r="D2223" s="31"/>
      <c r="E2223" s="32" t="str">
        <f>IFERROR(_xlfn.XLOOKUP($B2223,Insumo[DESCRIPCION],Insumo[VALOR],,0),"")</f>
        <v/>
      </c>
      <c r="F2223" s="33"/>
      <c r="G2223" s="34" t="str">
        <f>IFERROR(IF(F2223&gt;=0,D2223*E2223*(1+F2223/100),ABS(D2223*E2223/F2223)),"")</f>
        <v/>
      </c>
      <c r="H2223" s="43" t="str">
        <f>IFERROR(G2223*E2217,"")</f>
        <v/>
      </c>
    </row>
    <row r="2224" spans="1:10" ht="12.75" customHeight="1">
      <c r="A2224" s="28"/>
      <c r="B2224" s="29"/>
      <c r="C2224" s="30" t="str">
        <f>IFERROR(_xlfn.XLOOKUP(B2224,Insumo[DESCRIPCION],Insumo[UND],,0),"")</f>
        <v/>
      </c>
      <c r="D2224" s="31"/>
      <c r="E2224" s="32" t="str">
        <f>IFERROR(_xlfn.XLOOKUP($B2224,Insumo[DESCRIPCION],Insumo[VALOR],,0),"")</f>
        <v/>
      </c>
      <c r="F2224" s="33"/>
      <c r="G2224" s="34" t="str">
        <f>IFERROR(IF(F2224&gt;=0,D2224*E2224*(1+F2224/100),ABS(D2224*E2224/F2224)),"")</f>
        <v/>
      </c>
      <c r="H2224" s="43" t="str">
        <f>IFERROR(G2224*E2217,"")</f>
        <v/>
      </c>
    </row>
    <row r="2225" spans="1:10" ht="12.75" customHeight="1">
      <c r="A2225" s="21"/>
      <c r="B2225" s="22" t="s">
        <v>3731</v>
      </c>
      <c r="C2225" s="23"/>
      <c r="D2225" s="24"/>
      <c r="E2225" s="25"/>
      <c r="F2225" s="26"/>
      <c r="G2225" s="27">
        <f>SUM(G2226:G2228)</f>
        <v>1047.9691696500001</v>
      </c>
      <c r="H2225" s="44">
        <f>G2225*E2217</f>
        <v>0</v>
      </c>
    </row>
    <row r="2226" spans="1:10" ht="12.75" customHeight="1">
      <c r="A2226" s="28"/>
      <c r="B2226" s="29" t="s">
        <v>3626</v>
      </c>
      <c r="C2226" s="30" t="str">
        <f>IFERROR(_xlfn.XLOOKUP(B2226,Equipo[DESCRIPCION],Equipo[UND],,0),"")</f>
        <v>%MO</v>
      </c>
      <c r="D2226" s="31">
        <v>0.05</v>
      </c>
      <c r="E2226" s="32">
        <f>IF(C2226="%MO",G2232,IFERROR(_xlfn.XLOOKUP($B2226,Equipo[DESCRIPCION],Equipo[VALOR],,0),""))</f>
        <v>20959.383393000004</v>
      </c>
      <c r="F2226" s="33"/>
      <c r="G2226" s="34">
        <f>IFERROR(IF(F2226&gt;=0,D2226*E2226*(1+F2226/100),ABS(D2226*E2226/F2226)),"")</f>
        <v>1047.9691696500001</v>
      </c>
      <c r="H2226" s="43">
        <f>IFERROR(G2226*E2217,"")</f>
        <v>0</v>
      </c>
    </row>
    <row r="2227" spans="1:10" ht="12.75" customHeight="1">
      <c r="A2227" s="28"/>
      <c r="B2227" s="29"/>
      <c r="C2227" s="30" t="str">
        <f>IFERROR(_xlfn.XLOOKUP(B2227,Equipo[DESCRIPCION],Equipo[UND],,0),"")</f>
        <v/>
      </c>
      <c r="D2227" s="31"/>
      <c r="E2227" s="32" t="str">
        <f>IF(C2227="%MO",G2232,IFERROR(_xlfn.XLOOKUP($B2227,Equipo[DESCRIPCION],Equipo[VALOR],,0),""))</f>
        <v/>
      </c>
      <c r="F2227" s="33"/>
      <c r="G2227" s="34" t="str">
        <f>IFERROR(IF(F2227&gt;=0,D2227*E2227*(1+F2227/100),ABS(D2227*E2227/F2227)),"")</f>
        <v/>
      </c>
      <c r="H2227" s="43" t="str">
        <f>IFERROR(G2227*E2217,"")</f>
        <v/>
      </c>
    </row>
    <row r="2228" spans="1:10" ht="12.75" customHeight="1">
      <c r="A2228" s="28"/>
      <c r="B2228" s="29"/>
      <c r="C2228" s="30" t="str">
        <f>IFERROR(_xlfn.XLOOKUP(B2228,Equipo[DESCRIPCION],Equipo[UND],,0),"")</f>
        <v/>
      </c>
      <c r="D2228" s="31"/>
      <c r="E2228" s="32" t="str">
        <f>IF(C2228="%MO",G2232,IFERROR(_xlfn.XLOOKUP($B2228,Equipo[DESCRIPCION],Equipo[VALOR],,0),""))</f>
        <v/>
      </c>
      <c r="F2228" s="33"/>
      <c r="G2228" s="34" t="str">
        <f>IFERROR(IF(F2228&gt;=0,D2228*E2228*(1+F2228/100),ABS(D2228*E2228/F2228)),"")</f>
        <v/>
      </c>
      <c r="H2228" s="43" t="str">
        <f>IFERROR(G2228*E2217,"")</f>
        <v/>
      </c>
    </row>
    <row r="2229" spans="1:10" ht="12.75" customHeight="1">
      <c r="A2229" s="21"/>
      <c r="B2229" s="22" t="s">
        <v>2533</v>
      </c>
      <c r="C2229" s="23"/>
      <c r="D2229" s="24"/>
      <c r="E2229" s="25"/>
      <c r="F2229" s="26"/>
      <c r="G2229" s="27">
        <f>SUM(G2230:G2231)</f>
        <v>0</v>
      </c>
      <c r="H2229" s="44">
        <f>G2229*E2217</f>
        <v>0</v>
      </c>
    </row>
    <row r="2230" spans="1:10" ht="12.75" customHeight="1">
      <c r="A2230" s="28"/>
      <c r="B2230" s="29"/>
      <c r="C2230" s="30" t="str">
        <f>IFERROR(_xlfn.XLOOKUP(B2230,Transporte[DESCRIPCION],Transporte[UND],,0),"")</f>
        <v/>
      </c>
      <c r="D2230" s="31"/>
      <c r="E2230" s="32" t="str">
        <f>IFERROR(_xlfn.XLOOKUP($B2230,Transporte[DESCRIPCION],Transporte[VALOR],,0),"")</f>
        <v/>
      </c>
      <c r="F2230" s="33"/>
      <c r="G2230" s="34" t="str">
        <f>IFERROR(IF(F2230&gt;=0,D2230*E2230*(1+F2230/100),ABS(D2230*E2230/F2230)),"")</f>
        <v/>
      </c>
      <c r="H2230" s="43" t="str">
        <f>IFERROR(G2230*E2217,"")</f>
        <v/>
      </c>
    </row>
    <row r="2231" spans="1:10" ht="12.75" customHeight="1">
      <c r="A2231" s="28"/>
      <c r="B2231" s="29"/>
      <c r="C2231" s="30" t="str">
        <f>IFERROR(_xlfn.XLOOKUP(B2231,Transporte[DESCRIPCION],Transporte[UND],,0),"")</f>
        <v/>
      </c>
      <c r="D2231" s="31"/>
      <c r="E2231" s="32" t="str">
        <f>IFERROR(_xlfn.XLOOKUP($B2231,Transporte[DESCRIPCION],Transporte[VALOR],,0),"")</f>
        <v/>
      </c>
      <c r="F2231" s="33"/>
      <c r="G2231" s="34" t="str">
        <f>IFERROR(IF(F2231&gt;=0,D2231*E2231*(1+F2231/100),ABS(D2231*E2231/F2231)),"")</f>
        <v/>
      </c>
      <c r="H2231" s="43" t="str">
        <f>IFERROR(G2231*E2217,"")</f>
        <v/>
      </c>
    </row>
    <row r="2232" spans="1:10" ht="12.75" customHeight="1">
      <c r="A2232" s="21"/>
      <c r="B2232" s="22" t="s">
        <v>3732</v>
      </c>
      <c r="C2232" s="23"/>
      <c r="D2232" s="24"/>
      <c r="E2232" s="25"/>
      <c r="F2232" s="26"/>
      <c r="G2232" s="27">
        <f>SUM(G2233:G2235)</f>
        <v>20959.383393000004</v>
      </c>
      <c r="H2232" s="44">
        <f>G2232*E2217</f>
        <v>0</v>
      </c>
    </row>
    <row r="2233" spans="1:10" ht="12.75" customHeight="1">
      <c r="A2233" s="28"/>
      <c r="B2233" s="29" t="s">
        <v>3710</v>
      </c>
      <c r="C2233" s="30" t="str">
        <f>IFERROR(_xlfn.XLOOKUP(B2233,MObra[DESCRIPCION],MObra[UN],,0),"")</f>
        <v>día</v>
      </c>
      <c r="D2233" s="31">
        <v>1</v>
      </c>
      <c r="E2233" s="32">
        <f>IFERROR(_xlfn.XLOOKUP($B2233,MObra[DESCRIPCION],MObra[VALOR UNIT],,0),"")</f>
        <v>314390.75089500006</v>
      </c>
      <c r="F2233" s="33">
        <v>-15</v>
      </c>
      <c r="G2233" s="34">
        <f>IFERROR(IF(F2233&gt;=0,D2233*E2233*(1+F2233/100),ABS(D2233*E2233/F2233)),"")</f>
        <v>20959.383393000004</v>
      </c>
      <c r="H2233" s="43">
        <f>IFERROR(G2233*E2217,"")</f>
        <v>0</v>
      </c>
    </row>
    <row r="2234" spans="1:10" ht="12.75" customHeight="1">
      <c r="A2234" s="28"/>
      <c r="B2234" s="29"/>
      <c r="C2234" s="30" t="str">
        <f>IFERROR(_xlfn.XLOOKUP(B2234,MObra[DESCRIPCION],MObra[UN],,0),"")</f>
        <v/>
      </c>
      <c r="D2234" s="31"/>
      <c r="E2234" s="32" t="str">
        <f>IFERROR(_xlfn.XLOOKUP($B2234,MObra[DESCRIPCION],MObra[VALOR UNIT],,0),"")</f>
        <v/>
      </c>
      <c r="F2234" s="33"/>
      <c r="G2234" s="34" t="str">
        <f>IFERROR(IF(F2234&gt;=0,D2234*E2234*(1+F2234/100),ABS(D2234*E2234/F2234)),"")</f>
        <v/>
      </c>
      <c r="H2234" s="43" t="str">
        <f>IFERROR(G2234*E2217,"")</f>
        <v/>
      </c>
    </row>
    <row r="2235" spans="1:10" ht="12.75" customHeight="1" thickBot="1">
      <c r="A2235" s="35"/>
      <c r="B2235" s="36"/>
      <c r="C2235" s="37" t="str">
        <f>IFERROR(_xlfn.XLOOKUP(B2235,MObra[DESCRIPCION],MObra[UN],,0),"")</f>
        <v/>
      </c>
      <c r="D2235" s="38"/>
      <c r="E2235" s="39" t="str">
        <f>IFERROR(_xlfn.XLOOKUP($B2235,MObra[DESCRIPCION],MObra[VALOR UNIT],,0),"")</f>
        <v/>
      </c>
      <c r="F2235" s="40"/>
      <c r="G2235" s="41" t="str">
        <f>IFERROR(IF(F2235&gt;=0,D2235*E2235*(1+F2235/100),ABS(D2235*E2235/F2235)),"")</f>
        <v/>
      </c>
      <c r="H2235" s="42" t="str">
        <f>IFERROR(G2235*E2217,"")</f>
        <v/>
      </c>
    </row>
    <row r="2236" spans="1:10" ht="12.75" customHeight="1" thickTop="1" thickBot="1"/>
    <row r="2237" spans="1:10" ht="12.75" customHeight="1" thickTop="1" thickBot="1">
      <c r="A2237" s="6" t="s">
        <v>1318</v>
      </c>
      <c r="B2237" s="7" t="str">
        <f>VLOOKUP($A2237,Presupuesto!$A:$D,2,FALSE())</f>
        <v>Pigmento para concreto (óxido de hierro)</v>
      </c>
      <c r="C2237" s="8" t="str">
        <f>VLOOKUP($A2237,Presupuesto!$A:$D,3,FALSE())</f>
        <v>Kg</v>
      </c>
      <c r="D2237" s="9"/>
      <c r="E2237" s="10">
        <f>VLOOKUP($A2237,Presupuesto!$A:$D,4,FALSE())</f>
        <v>0</v>
      </c>
      <c r="F2237" s="11" t="s">
        <v>2589</v>
      </c>
      <c r="G2237" s="12">
        <f>SUM(G2239:G2255)/2</f>
        <v>15523.194372944999</v>
      </c>
      <c r="H2237" s="13">
        <f>ROUND(SUM(H2239:H2255),0)/2</f>
        <v>0</v>
      </c>
      <c r="I2237" s="10">
        <f>VLOOKUP(A2237,Presupuesto!$A:$F,6,0)</f>
        <v>0</v>
      </c>
      <c r="J2237" s="10">
        <f>+H2237-I2237</f>
        <v>0</v>
      </c>
    </row>
    <row r="2238" spans="1:10" ht="12.75" customHeight="1" thickTop="1">
      <c r="A2238" s="14"/>
      <c r="B2238" s="15" t="s">
        <v>2586</v>
      </c>
      <c r="C2238" s="15" t="s">
        <v>5</v>
      </c>
      <c r="D2238" s="16" t="s">
        <v>6</v>
      </c>
      <c r="E2238" s="17" t="s">
        <v>7</v>
      </c>
      <c r="F2238" s="18" t="s">
        <v>3728</v>
      </c>
      <c r="G2238" s="19" t="s">
        <v>3729</v>
      </c>
      <c r="H2238" s="20" t="s">
        <v>3797</v>
      </c>
    </row>
    <row r="2239" spans="1:10" ht="12.75" customHeight="1">
      <c r="A2239" s="21"/>
      <c r="B2239" s="22" t="s">
        <v>3730</v>
      </c>
      <c r="C2239" s="23"/>
      <c r="D2239" s="24"/>
      <c r="E2239" s="25"/>
      <c r="F2239" s="26"/>
      <c r="G2239" s="27">
        <f>SUM(G2240:G2244)</f>
        <v>11366.25</v>
      </c>
      <c r="H2239" s="27">
        <f>IFERROR(G2239*E2237,"")</f>
        <v>0</v>
      </c>
    </row>
    <row r="2240" spans="1:10" ht="12.75" customHeight="1">
      <c r="A2240" s="28"/>
      <c r="B2240" s="29" t="s">
        <v>3181</v>
      </c>
      <c r="C2240" s="30" t="str">
        <f>IFERROR(_xlfn.XLOOKUP(B2240,Insumo[DESCRIPCION],Insumo[UND],,0),"")</f>
        <v>Kg</v>
      </c>
      <c r="D2240" s="31">
        <v>0.2</v>
      </c>
      <c r="E2240" s="32">
        <f>IFERROR(_xlfn.XLOOKUP($B2240,Insumo[DESCRIPCION],Insumo[VALOR],,0),"")</f>
        <v>56831.25</v>
      </c>
      <c r="F2240" s="33"/>
      <c r="G2240" s="34">
        <f>IFERROR(IF(F2240&gt;=0,D2240*E2240*(1+F2240/100),ABS(D2240*E2240/F2240)),"")</f>
        <v>11366.25</v>
      </c>
      <c r="H2240" s="43">
        <f>IFERROR(G2240*E2237,"")</f>
        <v>0</v>
      </c>
    </row>
    <row r="2241" spans="1:8" ht="12.75" customHeight="1">
      <c r="A2241" s="28"/>
      <c r="B2241" s="29"/>
      <c r="C2241" s="30" t="str">
        <f>IFERROR(_xlfn.XLOOKUP(B2241,Insumo[DESCRIPCION],Insumo[UND],,0),"")</f>
        <v/>
      </c>
      <c r="D2241" s="31"/>
      <c r="E2241" s="32" t="str">
        <f>IFERROR(_xlfn.XLOOKUP($B2241,Insumo[DESCRIPCION],Insumo[VALOR],,0),"")</f>
        <v/>
      </c>
      <c r="F2241" s="33"/>
      <c r="G2241" s="34" t="str">
        <f>IFERROR(IF(F2241&gt;=0,D2241*E2241*(1+F2241/100),ABS(D2241*E2241/F2241)),"")</f>
        <v/>
      </c>
      <c r="H2241" s="43" t="str">
        <f>IFERROR(G2241*E2237,"")</f>
        <v/>
      </c>
    </row>
    <row r="2242" spans="1:8" ht="12.75" customHeight="1">
      <c r="A2242" s="28"/>
      <c r="B2242" s="29"/>
      <c r="C2242" s="30" t="str">
        <f>IFERROR(_xlfn.XLOOKUP(B2242,Insumo[DESCRIPCION],Insumo[UND],,0),"")</f>
        <v/>
      </c>
      <c r="D2242" s="31"/>
      <c r="E2242" s="32" t="str">
        <f>IFERROR(_xlfn.XLOOKUP($B2242,Insumo[DESCRIPCION],Insumo[VALOR],,0),"")</f>
        <v/>
      </c>
      <c r="F2242" s="33"/>
      <c r="G2242" s="34" t="str">
        <f>IFERROR(IF(F2242&gt;=0,D2242*E2242*(1+F2242/100),ABS(D2242*E2242/F2242)),"")</f>
        <v/>
      </c>
      <c r="H2242" s="43" t="str">
        <f>IFERROR(G2242*E2237,"")</f>
        <v/>
      </c>
    </row>
    <row r="2243" spans="1:8" ht="12.75" customHeight="1">
      <c r="A2243" s="28"/>
      <c r="B2243" s="29"/>
      <c r="C2243" s="30" t="str">
        <f>IFERROR(_xlfn.XLOOKUP(B2243,Insumo[DESCRIPCION],Insumo[UND],,0),"")</f>
        <v/>
      </c>
      <c r="D2243" s="31"/>
      <c r="E2243" s="32" t="str">
        <f>IFERROR(_xlfn.XLOOKUP($B2243,Insumo[DESCRIPCION],Insumo[VALOR],,0),"")</f>
        <v/>
      </c>
      <c r="F2243" s="33"/>
      <c r="G2243" s="34" t="str">
        <f>IFERROR(IF(F2243&gt;=0,D2243*E2243*(1+F2243/100),ABS(D2243*E2243/F2243)),"")</f>
        <v/>
      </c>
      <c r="H2243" s="43" t="str">
        <f>IFERROR(G2243*E2237,"")</f>
        <v/>
      </c>
    </row>
    <row r="2244" spans="1:8" ht="12.75" customHeight="1">
      <c r="A2244" s="28"/>
      <c r="B2244" s="29"/>
      <c r="C2244" s="30" t="str">
        <f>IFERROR(_xlfn.XLOOKUP(B2244,Insumo[DESCRIPCION],Insumo[UND],,0),"")</f>
        <v/>
      </c>
      <c r="D2244" s="31"/>
      <c r="E2244" s="32" t="str">
        <f>IFERROR(_xlfn.XLOOKUP($B2244,Insumo[DESCRIPCION],Insumo[VALOR],,0),"")</f>
        <v/>
      </c>
      <c r="F2244" s="33"/>
      <c r="G2244" s="34" t="str">
        <f>IFERROR(IF(F2244&gt;=0,D2244*E2244*(1+F2244/100),ABS(D2244*E2244/F2244)),"")</f>
        <v/>
      </c>
      <c r="H2244" s="43" t="str">
        <f>IFERROR(G2244*E2237,"")</f>
        <v/>
      </c>
    </row>
    <row r="2245" spans="1:8" ht="12.75" customHeight="1">
      <c r="A2245" s="21"/>
      <c r="B2245" s="22" t="s">
        <v>3731</v>
      </c>
      <c r="C2245" s="23"/>
      <c r="D2245" s="24"/>
      <c r="E2245" s="25"/>
      <c r="F2245" s="26"/>
      <c r="G2245" s="27">
        <f>SUM(G2246:G2248)</f>
        <v>197.94973204500005</v>
      </c>
      <c r="H2245" s="44">
        <f>G2245*E2237</f>
        <v>0</v>
      </c>
    </row>
    <row r="2246" spans="1:8" ht="12.75" customHeight="1">
      <c r="A2246" s="28"/>
      <c r="B2246" s="29" t="s">
        <v>3626</v>
      </c>
      <c r="C2246" s="30" t="str">
        <f>IFERROR(_xlfn.XLOOKUP(B2246,Equipo[DESCRIPCION],Equipo[UND],,0),"")</f>
        <v>%MO</v>
      </c>
      <c r="D2246" s="31">
        <v>0.05</v>
      </c>
      <c r="E2246" s="32">
        <f>IF(C2246="%MO",G2252,IFERROR(_xlfn.XLOOKUP($B2246,Equipo[DESCRIPCION],Equipo[VALOR],,0),""))</f>
        <v>3958.9946409000008</v>
      </c>
      <c r="F2246" s="33"/>
      <c r="G2246" s="34">
        <f>IFERROR(IF(F2246&gt;=0,D2246*E2246*(1+F2246/100),ABS(D2246*E2246/F2246)),"")</f>
        <v>197.94973204500005</v>
      </c>
      <c r="H2246" s="43">
        <f>IFERROR(G2246*E2237,"")</f>
        <v>0</v>
      </c>
    </row>
    <row r="2247" spans="1:8" ht="12.75" customHeight="1">
      <c r="A2247" s="28"/>
      <c r="B2247" s="29"/>
      <c r="C2247" s="30" t="str">
        <f>IFERROR(_xlfn.XLOOKUP(B2247,Equipo[DESCRIPCION],Equipo[UND],,0),"")</f>
        <v/>
      </c>
      <c r="D2247" s="31"/>
      <c r="E2247" s="32" t="str">
        <f>IF(C2247="%MO",G2252,IFERROR(_xlfn.XLOOKUP($B2247,Equipo[DESCRIPCION],Equipo[VALOR],,0),""))</f>
        <v/>
      </c>
      <c r="F2247" s="33"/>
      <c r="G2247" s="34" t="str">
        <f>IFERROR(IF(F2247&gt;=0,D2247*E2247*(1+F2247/100),ABS(D2247*E2247/F2247)),"")</f>
        <v/>
      </c>
      <c r="H2247" s="43" t="str">
        <f>IFERROR(G2247*E2237,"")</f>
        <v/>
      </c>
    </row>
    <row r="2248" spans="1:8" ht="12.75" customHeight="1">
      <c r="A2248" s="28"/>
      <c r="B2248" s="29"/>
      <c r="C2248" s="30" t="str">
        <f>IFERROR(_xlfn.XLOOKUP(B2248,Equipo[DESCRIPCION],Equipo[UND],,0),"")</f>
        <v/>
      </c>
      <c r="D2248" s="31"/>
      <c r="E2248" s="32" t="str">
        <f>IF(C2248="%MO",G2252,IFERROR(_xlfn.XLOOKUP($B2248,Equipo[DESCRIPCION],Equipo[VALOR],,0),""))</f>
        <v/>
      </c>
      <c r="F2248" s="33"/>
      <c r="G2248" s="34" t="str">
        <f>IFERROR(IF(F2248&gt;=0,D2248*E2248*(1+F2248/100),ABS(D2248*E2248/F2248)),"")</f>
        <v/>
      </c>
      <c r="H2248" s="43" t="str">
        <f>IFERROR(G2248*E2237,"")</f>
        <v/>
      </c>
    </row>
    <row r="2249" spans="1:8" ht="12.75" customHeight="1">
      <c r="A2249" s="21"/>
      <c r="B2249" s="22" t="s">
        <v>2533</v>
      </c>
      <c r="C2249" s="23"/>
      <c r="D2249" s="24"/>
      <c r="E2249" s="25"/>
      <c r="F2249" s="26"/>
      <c r="G2249" s="27">
        <f>SUM(G2250:G2251)</f>
        <v>0</v>
      </c>
      <c r="H2249" s="44">
        <f>G2249*E2237</f>
        <v>0</v>
      </c>
    </row>
    <row r="2250" spans="1:8" ht="12.75" customHeight="1">
      <c r="A2250" s="28"/>
      <c r="B2250" s="29"/>
      <c r="C2250" s="30" t="str">
        <f>IFERROR(_xlfn.XLOOKUP(B2250,Transporte[DESCRIPCION],Transporte[UND],,0),"")</f>
        <v/>
      </c>
      <c r="D2250" s="31"/>
      <c r="E2250" s="32" t="str">
        <f>IFERROR(_xlfn.XLOOKUP($B2250,Transporte[DESCRIPCION],Transporte[VALOR],,0),"")</f>
        <v/>
      </c>
      <c r="F2250" s="33"/>
      <c r="G2250" s="34" t="str">
        <f>IFERROR(IF(F2250&gt;=0,D2250*E2250*(1+F2250/100),ABS(D2250*E2250/F2250)),"")</f>
        <v/>
      </c>
      <c r="H2250" s="43" t="str">
        <f>IFERROR(G2250*E2237,"")</f>
        <v/>
      </c>
    </row>
    <row r="2251" spans="1:8" ht="12.75" customHeight="1">
      <c r="A2251" s="28"/>
      <c r="B2251" s="29"/>
      <c r="C2251" s="30" t="str">
        <f>IFERROR(_xlfn.XLOOKUP(B2251,Transporte[DESCRIPCION],Transporte[UND],,0),"")</f>
        <v/>
      </c>
      <c r="D2251" s="31"/>
      <c r="E2251" s="32" t="str">
        <f>IFERROR(_xlfn.XLOOKUP($B2251,Transporte[DESCRIPCION],Transporte[VALOR],,0),"")</f>
        <v/>
      </c>
      <c r="F2251" s="33"/>
      <c r="G2251" s="34" t="str">
        <f>IFERROR(IF(F2251&gt;=0,D2251*E2251*(1+F2251/100),ABS(D2251*E2251/F2251)),"")</f>
        <v/>
      </c>
      <c r="H2251" s="43" t="str">
        <f>IFERROR(G2251*E2237,"")</f>
        <v/>
      </c>
    </row>
    <row r="2252" spans="1:8" ht="12.75" customHeight="1">
      <c r="A2252" s="21"/>
      <c r="B2252" s="22" t="s">
        <v>3732</v>
      </c>
      <c r="C2252" s="23"/>
      <c r="D2252" s="24"/>
      <c r="E2252" s="25"/>
      <c r="F2252" s="26"/>
      <c r="G2252" s="27">
        <f>SUM(G2253:G2255)</f>
        <v>3958.9946409000008</v>
      </c>
      <c r="H2252" s="44">
        <f>G2252*E2237</f>
        <v>0</v>
      </c>
    </row>
    <row r="2253" spans="1:8" ht="12.75" customHeight="1">
      <c r="A2253" s="28"/>
      <c r="B2253" s="29" t="s">
        <v>3705</v>
      </c>
      <c r="C2253" s="30" t="str">
        <f>IFERROR(_xlfn.XLOOKUP(B2253,MObra[DESCRIPCION],MObra[UN],,0),"")</f>
        <v>día</v>
      </c>
      <c r="D2253" s="31">
        <v>1</v>
      </c>
      <c r="E2253" s="32">
        <f>IFERROR(_xlfn.XLOOKUP($B2253,MObra[DESCRIPCION],MObra[VALOR UNIT],,0),"")</f>
        <v>197949.73204500004</v>
      </c>
      <c r="F2253" s="33">
        <v>-50</v>
      </c>
      <c r="G2253" s="34">
        <f>IFERROR(IF(F2253&gt;=0,D2253*E2253*(1+F2253/100),ABS(D2253*E2253/F2253)),"")</f>
        <v>3958.9946409000008</v>
      </c>
      <c r="H2253" s="43">
        <f>IFERROR(G2253*E2237,"")</f>
        <v>0</v>
      </c>
    </row>
    <row r="2254" spans="1:8" ht="12.75" customHeight="1">
      <c r="A2254" s="28"/>
      <c r="B2254" s="29"/>
      <c r="C2254" s="30" t="str">
        <f>IFERROR(_xlfn.XLOOKUP(B2254,MObra[DESCRIPCION],MObra[UN],,0),"")</f>
        <v/>
      </c>
      <c r="D2254" s="31"/>
      <c r="E2254" s="32" t="str">
        <f>IFERROR(_xlfn.XLOOKUP($B2254,MObra[DESCRIPCION],MObra[VALOR UNIT],,0),"")</f>
        <v/>
      </c>
      <c r="F2254" s="33"/>
      <c r="G2254" s="34" t="str">
        <f>IFERROR(IF(F2254&gt;=0,D2254*E2254*(1+F2254/100),ABS(D2254*E2254/F2254)),"")</f>
        <v/>
      </c>
      <c r="H2254" s="43" t="str">
        <f>IFERROR(G2254*E2237,"")</f>
        <v/>
      </c>
    </row>
    <row r="2255" spans="1:8" ht="12.75" customHeight="1" thickBot="1">
      <c r="A2255" s="35"/>
      <c r="B2255" s="36"/>
      <c r="C2255" s="37" t="str">
        <f>IFERROR(_xlfn.XLOOKUP(B2255,MObra[DESCRIPCION],MObra[UN],,0),"")</f>
        <v/>
      </c>
      <c r="D2255" s="38"/>
      <c r="E2255" s="39" t="str">
        <f>IFERROR(_xlfn.XLOOKUP($B2255,MObra[DESCRIPCION],MObra[VALOR UNIT],,0),"")</f>
        <v/>
      </c>
      <c r="F2255" s="40"/>
      <c r="G2255" s="41" t="str">
        <f>IFERROR(IF(F2255&gt;=0,D2255*E2255*(1+F2255/100),ABS(D2255*E2255/F2255)),"")</f>
        <v/>
      </c>
      <c r="H2255" s="42" t="str">
        <f>IFERROR(G2255*E2237,"")</f>
        <v/>
      </c>
    </row>
    <row r="2256" spans="1:8" ht="12.75" customHeight="1" thickTop="1" thickBot="1"/>
    <row r="2257" spans="1:10" ht="12.75" customHeight="1" thickTop="1" thickBot="1">
      <c r="A2257" s="6" t="s">
        <v>1320</v>
      </c>
      <c r="B2257" s="7" t="str">
        <f>VLOOKUP($A2257,Presupuesto!$A:$D,2,FALSE())</f>
        <v>Pirlán bronce</v>
      </c>
      <c r="C2257" s="8" t="str">
        <f>VLOOKUP($A2257,Presupuesto!$A:$D,3,FALSE())</f>
        <v>M</v>
      </c>
      <c r="D2257" s="9"/>
      <c r="E2257" s="10">
        <f>VLOOKUP($A2257,Presupuesto!$A:$D,4,FALSE())</f>
        <v>0</v>
      </c>
      <c r="F2257" s="11" t="s">
        <v>2589</v>
      </c>
      <c r="G2257" s="12">
        <f>SUM(G2259:G2275)/2</f>
        <v>28376.666690139609</v>
      </c>
      <c r="H2257" s="13">
        <f>ROUND(SUM(H2259:H2275),0)/2</f>
        <v>0</v>
      </c>
      <c r="I2257" s="10">
        <f>VLOOKUP(A2257,Presupuesto!$A:$F,6,0)</f>
        <v>0</v>
      </c>
      <c r="J2257" s="10">
        <f>+H2257-I2257</f>
        <v>0</v>
      </c>
    </row>
    <row r="2258" spans="1:10" ht="12.75" customHeight="1" thickTop="1">
      <c r="A2258" s="14"/>
      <c r="B2258" s="15" t="s">
        <v>2586</v>
      </c>
      <c r="C2258" s="15" t="s">
        <v>5</v>
      </c>
      <c r="D2258" s="16" t="s">
        <v>6</v>
      </c>
      <c r="E2258" s="17" t="s">
        <v>7</v>
      </c>
      <c r="F2258" s="18" t="s">
        <v>3728</v>
      </c>
      <c r="G2258" s="19" t="s">
        <v>3729</v>
      </c>
      <c r="H2258" s="20" t="s">
        <v>3797</v>
      </c>
    </row>
    <row r="2259" spans="1:10" ht="12.75" customHeight="1">
      <c r="A2259" s="21"/>
      <c r="B2259" s="22" t="s">
        <v>3730</v>
      </c>
      <c r="C2259" s="23"/>
      <c r="D2259" s="24"/>
      <c r="E2259" s="25"/>
      <c r="F2259" s="26"/>
      <c r="G2259" s="27">
        <f>SUM(G2260:G2264)</f>
        <v>17984.305757777103</v>
      </c>
      <c r="H2259" s="27">
        <f>IFERROR(G2259*E2257,"")</f>
        <v>0</v>
      </c>
    </row>
    <row r="2260" spans="1:10" ht="12.75" customHeight="1">
      <c r="A2260" s="28"/>
      <c r="B2260" s="29" t="s">
        <v>3213</v>
      </c>
      <c r="C2260" s="30" t="str">
        <f>IFERROR(_xlfn.XLOOKUP(B2260,Insumo[DESCRIPCION],Insumo[UND],,0),"")</f>
        <v>M</v>
      </c>
      <c r="D2260" s="31">
        <v>1</v>
      </c>
      <c r="E2260" s="32">
        <f>IFERROR(_xlfn.XLOOKUP($B2260,Insumo[DESCRIPCION],Insumo[VALOR],,0),"")</f>
        <v>13594.35</v>
      </c>
      <c r="F2260" s="33">
        <v>3</v>
      </c>
      <c r="G2260" s="34">
        <f>IFERROR(IF(F2260&gt;=0,D2260*E2260*(1+F2260/100),ABS(D2260*E2260/F2260)),"")</f>
        <v>14002.1805</v>
      </c>
      <c r="H2260" s="43">
        <f>IFERROR(G2260*E2257,"")</f>
        <v>0</v>
      </c>
    </row>
    <row r="2261" spans="1:10" ht="12.75" customHeight="1">
      <c r="A2261" s="28"/>
      <c r="B2261" s="29" t="s">
        <v>3244</v>
      </c>
      <c r="C2261" s="30" t="str">
        <f>IFERROR(_xlfn.XLOOKUP(B2261,Insumo[DESCRIPCION],Insumo[UND],,0),"")</f>
        <v>M3</v>
      </c>
      <c r="D2261" s="31">
        <v>8.0000000000000002E-3</v>
      </c>
      <c r="E2261" s="32">
        <f>IFERROR(_xlfn.XLOOKUP($B2261,Insumo[DESCRIPCION],Insumo[VALOR],,0),"")</f>
        <v>497765.65722213761</v>
      </c>
      <c r="F2261" s="33"/>
      <c r="G2261" s="34">
        <f>IFERROR(IF(F2261&gt;=0,D2261*E2261*(1+F2261/100),ABS(D2261*E2261/F2261)),"")</f>
        <v>3982.1252577771011</v>
      </c>
      <c r="H2261" s="43">
        <f>IFERROR(G2261*E2257,"")</f>
        <v>0</v>
      </c>
    </row>
    <row r="2262" spans="1:10" ht="12.75" customHeight="1">
      <c r="A2262" s="28"/>
      <c r="B2262" s="29"/>
      <c r="C2262" s="30" t="str">
        <f>IFERROR(_xlfn.XLOOKUP(B2262,Insumo[DESCRIPCION],Insumo[UND],,0),"")</f>
        <v/>
      </c>
      <c r="D2262" s="31"/>
      <c r="E2262" s="32" t="str">
        <f>IFERROR(_xlfn.XLOOKUP($B2262,Insumo[DESCRIPCION],Insumo[VALOR],,0),"")</f>
        <v/>
      </c>
      <c r="F2262" s="33"/>
      <c r="G2262" s="34" t="str">
        <f>IFERROR(IF(F2262&gt;=0,D2262*E2262*(1+F2262/100),ABS(D2262*E2262/F2262)),"")</f>
        <v/>
      </c>
      <c r="H2262" s="43" t="str">
        <f>IFERROR(G2262*E2257,"")</f>
        <v/>
      </c>
    </row>
    <row r="2263" spans="1:10" ht="12.75" customHeight="1">
      <c r="A2263" s="28"/>
      <c r="B2263" s="29"/>
      <c r="C2263" s="30" t="str">
        <f>IFERROR(_xlfn.XLOOKUP(B2263,Insumo[DESCRIPCION],Insumo[UND],,0),"")</f>
        <v/>
      </c>
      <c r="D2263" s="31"/>
      <c r="E2263" s="32" t="str">
        <f>IFERROR(_xlfn.XLOOKUP($B2263,Insumo[DESCRIPCION],Insumo[VALOR],,0),"")</f>
        <v/>
      </c>
      <c r="F2263" s="33"/>
      <c r="G2263" s="34" t="str">
        <f>IFERROR(IF(F2263&gt;=0,D2263*E2263*(1+F2263/100),ABS(D2263*E2263/F2263)),"")</f>
        <v/>
      </c>
      <c r="H2263" s="43" t="str">
        <f>IFERROR(G2263*E2257,"")</f>
        <v/>
      </c>
    </row>
    <row r="2264" spans="1:10" ht="12.75" customHeight="1">
      <c r="A2264" s="28"/>
      <c r="B2264" s="29"/>
      <c r="C2264" s="30" t="str">
        <f>IFERROR(_xlfn.XLOOKUP(B2264,Insumo[DESCRIPCION],Insumo[UND],,0),"")</f>
        <v/>
      </c>
      <c r="D2264" s="31"/>
      <c r="E2264" s="32" t="str">
        <f>IFERROR(_xlfn.XLOOKUP($B2264,Insumo[DESCRIPCION],Insumo[VALOR],,0),"")</f>
        <v/>
      </c>
      <c r="F2264" s="33"/>
      <c r="G2264" s="34" t="str">
        <f>IFERROR(IF(F2264&gt;=0,D2264*E2264*(1+F2264/100),ABS(D2264*E2264/F2264)),"")</f>
        <v/>
      </c>
      <c r="H2264" s="43" t="str">
        <f>IFERROR(G2264*E2257,"")</f>
        <v/>
      </c>
    </row>
    <row r="2265" spans="1:10" ht="12.75" customHeight="1">
      <c r="A2265" s="21"/>
      <c r="B2265" s="22" t="s">
        <v>3731</v>
      </c>
      <c r="C2265" s="23"/>
      <c r="D2265" s="24"/>
      <c r="E2265" s="25"/>
      <c r="F2265" s="26"/>
      <c r="G2265" s="27">
        <f>SUM(G2266:G2268)</f>
        <v>494.87433011250016</v>
      </c>
      <c r="H2265" s="44">
        <f>G2265*E2257</f>
        <v>0</v>
      </c>
    </row>
    <row r="2266" spans="1:10" ht="12.75" customHeight="1">
      <c r="A2266" s="28"/>
      <c r="B2266" s="29" t="s">
        <v>3626</v>
      </c>
      <c r="C2266" s="30" t="str">
        <f>IFERROR(_xlfn.XLOOKUP(B2266,Equipo[DESCRIPCION],Equipo[UND],,0),"")</f>
        <v>%MO</v>
      </c>
      <c r="D2266" s="31">
        <v>0.05</v>
      </c>
      <c r="E2266" s="32">
        <f>IF(C2266="%MO",G2272,IFERROR(_xlfn.XLOOKUP($B2266,Equipo[DESCRIPCION],Equipo[VALOR],,0),""))</f>
        <v>9897.4866022500028</v>
      </c>
      <c r="F2266" s="33"/>
      <c r="G2266" s="34">
        <f>IFERROR(IF(F2266&gt;=0,D2266*E2266*(1+F2266/100),ABS(D2266*E2266/F2266)),"")</f>
        <v>494.87433011250016</v>
      </c>
      <c r="H2266" s="43">
        <f>IFERROR(G2266*E2257,"")</f>
        <v>0</v>
      </c>
    </row>
    <row r="2267" spans="1:10" ht="12.75" customHeight="1">
      <c r="A2267" s="28"/>
      <c r="B2267" s="29"/>
      <c r="C2267" s="30" t="str">
        <f>IFERROR(_xlfn.XLOOKUP(B2267,Equipo[DESCRIPCION],Equipo[UND],,0),"")</f>
        <v/>
      </c>
      <c r="D2267" s="31"/>
      <c r="E2267" s="32" t="str">
        <f>IF(C2267="%MO",G2272,IFERROR(_xlfn.XLOOKUP($B2267,Equipo[DESCRIPCION],Equipo[VALOR],,0),""))</f>
        <v/>
      </c>
      <c r="F2267" s="33"/>
      <c r="G2267" s="34" t="str">
        <f>IFERROR(IF(F2267&gt;=0,D2267*E2267*(1+F2267/100),ABS(D2267*E2267/F2267)),"")</f>
        <v/>
      </c>
      <c r="H2267" s="43" t="str">
        <f>IFERROR(G2267*E2257,"")</f>
        <v/>
      </c>
    </row>
    <row r="2268" spans="1:10" ht="12.75" customHeight="1">
      <c r="A2268" s="28"/>
      <c r="B2268" s="29"/>
      <c r="C2268" s="30" t="str">
        <f>IFERROR(_xlfn.XLOOKUP(B2268,Equipo[DESCRIPCION],Equipo[UND],,0),"")</f>
        <v/>
      </c>
      <c r="D2268" s="31"/>
      <c r="E2268" s="32" t="str">
        <f>IF(C2268="%MO",G2272,IFERROR(_xlfn.XLOOKUP($B2268,Equipo[DESCRIPCION],Equipo[VALOR],,0),""))</f>
        <v/>
      </c>
      <c r="F2268" s="33"/>
      <c r="G2268" s="34" t="str">
        <f>IFERROR(IF(F2268&gt;=0,D2268*E2268*(1+F2268/100),ABS(D2268*E2268/F2268)),"")</f>
        <v/>
      </c>
      <c r="H2268" s="43" t="str">
        <f>IFERROR(G2268*E2257,"")</f>
        <v/>
      </c>
    </row>
    <row r="2269" spans="1:10" ht="12.75" customHeight="1">
      <c r="A2269" s="21"/>
      <c r="B2269" s="22" t="s">
        <v>2533</v>
      </c>
      <c r="C2269" s="23"/>
      <c r="D2269" s="24"/>
      <c r="E2269" s="25"/>
      <c r="F2269" s="26"/>
      <c r="G2269" s="27">
        <f>SUM(G2270:G2271)</f>
        <v>0</v>
      </c>
      <c r="H2269" s="44">
        <f>G2269*E2257</f>
        <v>0</v>
      </c>
    </row>
    <row r="2270" spans="1:10" ht="12.75" customHeight="1">
      <c r="A2270" s="28"/>
      <c r="B2270" s="29"/>
      <c r="C2270" s="30" t="str">
        <f>IFERROR(_xlfn.XLOOKUP(B2270,Transporte[DESCRIPCION],Transporte[UND],,0),"")</f>
        <v/>
      </c>
      <c r="D2270" s="31"/>
      <c r="E2270" s="32" t="str">
        <f>IFERROR(_xlfn.XLOOKUP($B2270,Transporte[DESCRIPCION],Transporte[VALOR],,0),"")</f>
        <v/>
      </c>
      <c r="F2270" s="33"/>
      <c r="G2270" s="34" t="str">
        <f>IFERROR(IF(F2270&gt;=0,D2270*E2270*(1+F2270/100),ABS(D2270*E2270/F2270)),"")</f>
        <v/>
      </c>
      <c r="H2270" s="43" t="str">
        <f>IFERROR(G2270*E2257,"")</f>
        <v/>
      </c>
    </row>
    <row r="2271" spans="1:10" ht="12.75" customHeight="1">
      <c r="A2271" s="28"/>
      <c r="B2271" s="29"/>
      <c r="C2271" s="30" t="str">
        <f>IFERROR(_xlfn.XLOOKUP(B2271,Transporte[DESCRIPCION],Transporte[UND],,0),"")</f>
        <v/>
      </c>
      <c r="D2271" s="31"/>
      <c r="E2271" s="32" t="str">
        <f>IFERROR(_xlfn.XLOOKUP($B2271,Transporte[DESCRIPCION],Transporte[VALOR],,0),"")</f>
        <v/>
      </c>
      <c r="F2271" s="33"/>
      <c r="G2271" s="34" t="str">
        <f>IFERROR(IF(F2271&gt;=0,D2271*E2271*(1+F2271/100),ABS(D2271*E2271/F2271)),"")</f>
        <v/>
      </c>
      <c r="H2271" s="43" t="str">
        <f>IFERROR(G2271*E2257,"")</f>
        <v/>
      </c>
    </row>
    <row r="2272" spans="1:10" ht="12.75" customHeight="1">
      <c r="A2272" s="21"/>
      <c r="B2272" s="22" t="s">
        <v>3732</v>
      </c>
      <c r="C2272" s="23"/>
      <c r="D2272" s="24"/>
      <c r="E2272" s="25"/>
      <c r="F2272" s="26"/>
      <c r="G2272" s="27">
        <f>SUM(G2273:G2275)</f>
        <v>9897.4866022500028</v>
      </c>
      <c r="H2272" s="44">
        <f>G2272*E2257</f>
        <v>0</v>
      </c>
    </row>
    <row r="2273" spans="1:10" ht="12.75" customHeight="1">
      <c r="A2273" s="28"/>
      <c r="B2273" s="29" t="s">
        <v>3705</v>
      </c>
      <c r="C2273" s="30" t="str">
        <f>IFERROR(_xlfn.XLOOKUP(B2273,MObra[DESCRIPCION],MObra[UN],,0),"")</f>
        <v>día</v>
      </c>
      <c r="D2273" s="31">
        <v>1</v>
      </c>
      <c r="E2273" s="32">
        <f>IFERROR(_xlfn.XLOOKUP($B2273,MObra[DESCRIPCION],MObra[VALOR UNIT],,0),"")</f>
        <v>197949.73204500004</v>
      </c>
      <c r="F2273" s="33">
        <v>-20</v>
      </c>
      <c r="G2273" s="34">
        <f>IFERROR(IF(F2273&gt;=0,D2273*E2273*(1+F2273/100),ABS(D2273*E2273/F2273)),"")</f>
        <v>9897.4866022500028</v>
      </c>
      <c r="H2273" s="43">
        <f>IFERROR(G2273*E2257,"")</f>
        <v>0</v>
      </c>
    </row>
    <row r="2274" spans="1:10" ht="12.75" customHeight="1">
      <c r="A2274" s="28"/>
      <c r="B2274" s="29"/>
      <c r="C2274" s="30" t="str">
        <f>IFERROR(_xlfn.XLOOKUP(B2274,MObra[DESCRIPCION],MObra[UN],,0),"")</f>
        <v/>
      </c>
      <c r="D2274" s="31"/>
      <c r="E2274" s="32" t="str">
        <f>IFERROR(_xlfn.XLOOKUP($B2274,MObra[DESCRIPCION],MObra[VALOR UNIT],,0),"")</f>
        <v/>
      </c>
      <c r="F2274" s="33"/>
      <c r="G2274" s="34" t="str">
        <f>IFERROR(IF(F2274&gt;=0,D2274*E2274*(1+F2274/100),ABS(D2274*E2274/F2274)),"")</f>
        <v/>
      </c>
      <c r="H2274" s="43" t="str">
        <f>IFERROR(G2274*E2257,"")</f>
        <v/>
      </c>
    </row>
    <row r="2275" spans="1:10" ht="12.75" customHeight="1" thickBot="1">
      <c r="A2275" s="35"/>
      <c r="B2275" s="36"/>
      <c r="C2275" s="37" t="str">
        <f>IFERROR(_xlfn.XLOOKUP(B2275,MObra[DESCRIPCION],MObra[UN],,0),"")</f>
        <v/>
      </c>
      <c r="D2275" s="38"/>
      <c r="E2275" s="39" t="str">
        <f>IFERROR(_xlfn.XLOOKUP($B2275,MObra[DESCRIPCION],MObra[VALOR UNIT],,0),"")</f>
        <v/>
      </c>
      <c r="F2275" s="40"/>
      <c r="G2275" s="41" t="str">
        <f>IFERROR(IF(F2275&gt;=0,D2275*E2275*(1+F2275/100),ABS(D2275*E2275/F2275)),"")</f>
        <v/>
      </c>
      <c r="H2275" s="42" t="str">
        <f>IFERROR(G2275*E2257,"")</f>
        <v/>
      </c>
    </row>
    <row r="2276" spans="1:10" ht="12.75" customHeight="1" thickTop="1" thickBot="1"/>
    <row r="2277" spans="1:10" ht="12.75" customHeight="1" thickTop="1" thickBot="1">
      <c r="A2277" s="6" t="s">
        <v>1322</v>
      </c>
      <c r="B2277" s="7" t="str">
        <f>VLOOKUP($A2277,Presupuesto!$A:$D,2,FALSE())</f>
        <v>Piso - pared porcelanato antideslizante</v>
      </c>
      <c r="C2277" s="8" t="str">
        <f>VLOOKUP($A2277,Presupuesto!$A:$D,3,FALSE())</f>
        <v>M2</v>
      </c>
      <c r="D2277" s="9"/>
      <c r="E2277" s="10">
        <f>VLOOKUP($A2277,Presupuesto!$A:$D,4,FALSE())</f>
        <v>0</v>
      </c>
      <c r="F2277" s="11" t="s">
        <v>2589</v>
      </c>
      <c r="G2277" s="12">
        <f>SUM(G2279:G2295)/2</f>
        <v>145229.37855496875</v>
      </c>
      <c r="H2277" s="13">
        <f>ROUND(SUM(H2279:H2295),0)/2</f>
        <v>0</v>
      </c>
      <c r="I2277" s="10">
        <f>VLOOKUP(A2277,Presupuesto!$A:$F,6,0)</f>
        <v>0</v>
      </c>
      <c r="J2277" s="10">
        <f>+H2277-I2277</f>
        <v>0</v>
      </c>
    </row>
    <row r="2278" spans="1:10" ht="12.75" customHeight="1" thickTop="1">
      <c r="A2278" s="14"/>
      <c r="B2278" s="15" t="s">
        <v>2586</v>
      </c>
      <c r="C2278" s="15" t="s">
        <v>5</v>
      </c>
      <c r="D2278" s="16" t="s">
        <v>6</v>
      </c>
      <c r="E2278" s="17" t="s">
        <v>7</v>
      </c>
      <c r="F2278" s="18" t="s">
        <v>3728</v>
      </c>
      <c r="G2278" s="19" t="s">
        <v>3729</v>
      </c>
      <c r="H2278" s="20" t="s">
        <v>3797</v>
      </c>
    </row>
    <row r="2279" spans="1:10" ht="12.75" customHeight="1">
      <c r="A2279" s="21"/>
      <c r="B2279" s="22" t="s">
        <v>3730</v>
      </c>
      <c r="C2279" s="23"/>
      <c r="D2279" s="24"/>
      <c r="E2279" s="25"/>
      <c r="F2279" s="26"/>
      <c r="G2279" s="27">
        <f>SUM(G2280:G2284)</f>
        <v>103965.59250000001</v>
      </c>
      <c r="H2279" s="27">
        <f>IFERROR(G2279*E2277,"")</f>
        <v>0</v>
      </c>
    </row>
    <row r="2280" spans="1:10" ht="12.75" customHeight="1">
      <c r="A2280" s="28"/>
      <c r="B2280" s="29" t="s">
        <v>3230</v>
      </c>
      <c r="C2280" s="30" t="str">
        <f>IFERROR(_xlfn.XLOOKUP(B2280,Insumo[DESCRIPCION],Insumo[UND],,0),"")</f>
        <v>M2</v>
      </c>
      <c r="D2280" s="31">
        <v>1</v>
      </c>
      <c r="E2280" s="32">
        <f>IFERROR(_xlfn.XLOOKUP($B2280,Insumo[DESCRIPCION],Insumo[VALOR],,0),"")</f>
        <v>85928.85</v>
      </c>
      <c r="F2280" s="33">
        <v>5</v>
      </c>
      <c r="G2280" s="34">
        <f>IFERROR(IF(F2280&gt;=0,D2280*E2280*(1+F2280/100),ABS(D2280*E2280/F2280)),"")</f>
        <v>90225.29250000001</v>
      </c>
      <c r="H2280" s="43">
        <f>IFERROR(G2280*E2277,"")</f>
        <v>0</v>
      </c>
    </row>
    <row r="2281" spans="1:10" ht="12.75" customHeight="1">
      <c r="A2281" s="28"/>
      <c r="B2281" s="29" t="s">
        <v>3193</v>
      </c>
      <c r="C2281" s="30" t="str">
        <f>IFERROR(_xlfn.XLOOKUP(B2281,Insumo[DESCRIPCION],Insumo[UND],,0),"")</f>
        <v>Kg</v>
      </c>
      <c r="D2281" s="31">
        <v>1</v>
      </c>
      <c r="E2281" s="32">
        <f>IFERROR(_xlfn.XLOOKUP($B2281,Insumo[DESCRIPCION],Insumo[VALOR],,0),"")</f>
        <v>13423.2</v>
      </c>
      <c r="F2281" s="33"/>
      <c r="G2281" s="34">
        <f>IFERROR(IF(F2281&gt;=0,D2281*E2281*(1+F2281/100),ABS(D2281*E2281/F2281)),"")</f>
        <v>13423.2</v>
      </c>
      <c r="H2281" s="43">
        <f>IFERROR(G2281*E2277,"")</f>
        <v>0</v>
      </c>
    </row>
    <row r="2282" spans="1:10" ht="12.75" customHeight="1">
      <c r="A2282" s="28"/>
      <c r="B2282" s="29" t="s">
        <v>2923</v>
      </c>
      <c r="C2282" s="30" t="str">
        <f>IFERROR(_xlfn.XLOOKUP(B2282,Insumo[DESCRIPCION],Insumo[UND],,0),"")</f>
        <v>Un</v>
      </c>
      <c r="D2282" s="31">
        <v>2</v>
      </c>
      <c r="E2282" s="32">
        <f>IFERROR(_xlfn.XLOOKUP($B2282,Insumo[DESCRIPCION],Insumo[VALOR],,0),"")</f>
        <v>158.55000000000001</v>
      </c>
      <c r="F2282" s="33"/>
      <c r="G2282" s="34">
        <f>IFERROR(IF(F2282&gt;=0,D2282*E2282*(1+F2282/100),ABS(D2282*E2282/F2282)),"")</f>
        <v>317.10000000000002</v>
      </c>
      <c r="H2282" s="43">
        <f>IFERROR(G2282*E2277,"")</f>
        <v>0</v>
      </c>
    </row>
    <row r="2283" spans="1:10" ht="12.75" customHeight="1">
      <c r="A2283" s="28"/>
      <c r="B2283" s="29"/>
      <c r="C2283" s="30" t="str">
        <f>IFERROR(_xlfn.XLOOKUP(B2283,Insumo[DESCRIPCION],Insumo[UND],,0),"")</f>
        <v/>
      </c>
      <c r="D2283" s="31"/>
      <c r="E2283" s="32" t="str">
        <f>IFERROR(_xlfn.XLOOKUP($B2283,Insumo[DESCRIPCION],Insumo[VALOR],,0),"")</f>
        <v/>
      </c>
      <c r="F2283" s="33"/>
      <c r="G2283" s="34" t="str">
        <f>IFERROR(IF(F2283&gt;=0,D2283*E2283*(1+F2283/100),ABS(D2283*E2283/F2283)),"")</f>
        <v/>
      </c>
      <c r="H2283" s="43" t="str">
        <f>IFERROR(G2283*E2277,"")</f>
        <v/>
      </c>
    </row>
    <row r="2284" spans="1:10" ht="12.75" customHeight="1">
      <c r="A2284" s="28"/>
      <c r="B2284" s="29"/>
      <c r="C2284" s="30" t="str">
        <f>IFERROR(_xlfn.XLOOKUP(B2284,Insumo[DESCRIPCION],Insumo[UND],,0),"")</f>
        <v/>
      </c>
      <c r="D2284" s="31"/>
      <c r="E2284" s="32" t="str">
        <f>IFERROR(_xlfn.XLOOKUP($B2284,Insumo[DESCRIPCION],Insumo[VALOR],,0),"")</f>
        <v/>
      </c>
      <c r="F2284" s="33"/>
      <c r="G2284" s="34" t="str">
        <f>IFERROR(IF(F2284&gt;=0,D2284*E2284*(1+F2284/100),ABS(D2284*E2284/F2284)),"")</f>
        <v/>
      </c>
      <c r="H2284" s="43" t="str">
        <f>IFERROR(G2284*E2277,"")</f>
        <v/>
      </c>
    </row>
    <row r="2285" spans="1:10" ht="12.75" customHeight="1">
      <c r="A2285" s="21"/>
      <c r="B2285" s="22" t="s">
        <v>3731</v>
      </c>
      <c r="C2285" s="23"/>
      <c r="D2285" s="24"/>
      <c r="E2285" s="25"/>
      <c r="F2285" s="26"/>
      <c r="G2285" s="27">
        <f>SUM(G2286:G2288)</f>
        <v>1964.9421930937506</v>
      </c>
      <c r="H2285" s="44">
        <f>G2285*E2277</f>
        <v>0</v>
      </c>
    </row>
    <row r="2286" spans="1:10" ht="12.75" customHeight="1">
      <c r="A2286" s="28"/>
      <c r="B2286" s="29" t="s">
        <v>3626</v>
      </c>
      <c r="C2286" s="30" t="str">
        <f>IFERROR(_xlfn.XLOOKUP(B2286,Equipo[DESCRIPCION],Equipo[UND],,0),"")</f>
        <v>%MO</v>
      </c>
      <c r="D2286" s="31">
        <v>0.05</v>
      </c>
      <c r="E2286" s="32">
        <f>IF(C2286="%MO",G2292,IFERROR(_xlfn.XLOOKUP($B2286,Equipo[DESCRIPCION],Equipo[VALOR],,0),""))</f>
        <v>39298.843861875008</v>
      </c>
      <c r="F2286" s="33"/>
      <c r="G2286" s="34">
        <f>IFERROR(IF(F2286&gt;=0,D2286*E2286*(1+F2286/100),ABS(D2286*E2286/F2286)),"")</f>
        <v>1964.9421930937506</v>
      </c>
      <c r="H2286" s="43">
        <f>IFERROR(G2286*E2277,"")</f>
        <v>0</v>
      </c>
    </row>
    <row r="2287" spans="1:10" ht="12.75" customHeight="1">
      <c r="A2287" s="28"/>
      <c r="B2287" s="29"/>
      <c r="C2287" s="30" t="str">
        <f>IFERROR(_xlfn.XLOOKUP(B2287,Equipo[DESCRIPCION],Equipo[UND],,0),"")</f>
        <v/>
      </c>
      <c r="D2287" s="31"/>
      <c r="E2287" s="32" t="str">
        <f>IF(C2287="%MO",G2292,IFERROR(_xlfn.XLOOKUP($B2287,Equipo[DESCRIPCION],Equipo[VALOR],,0),""))</f>
        <v/>
      </c>
      <c r="F2287" s="33"/>
      <c r="G2287" s="34" t="str">
        <f>IFERROR(IF(F2287&gt;=0,D2287*E2287*(1+F2287/100),ABS(D2287*E2287/F2287)),"")</f>
        <v/>
      </c>
      <c r="H2287" s="43" t="str">
        <f>IFERROR(G2287*E2277,"")</f>
        <v/>
      </c>
    </row>
    <row r="2288" spans="1:10" ht="12.75" customHeight="1">
      <c r="A2288" s="28"/>
      <c r="B2288" s="29"/>
      <c r="C2288" s="30" t="str">
        <f>IFERROR(_xlfn.XLOOKUP(B2288,Equipo[DESCRIPCION],Equipo[UND],,0),"")</f>
        <v/>
      </c>
      <c r="D2288" s="31"/>
      <c r="E2288" s="32" t="str">
        <f>IF(C2288="%MO",G2292,IFERROR(_xlfn.XLOOKUP($B2288,Equipo[DESCRIPCION],Equipo[VALOR],,0),""))</f>
        <v/>
      </c>
      <c r="F2288" s="33"/>
      <c r="G2288" s="34" t="str">
        <f>IFERROR(IF(F2288&gt;=0,D2288*E2288*(1+F2288/100),ABS(D2288*E2288/F2288)),"")</f>
        <v/>
      </c>
      <c r="H2288" s="43" t="str">
        <f>IFERROR(G2288*E2277,"")</f>
        <v/>
      </c>
    </row>
    <row r="2289" spans="1:10" ht="12.75" customHeight="1">
      <c r="A2289" s="21"/>
      <c r="B2289" s="22" t="s">
        <v>2533</v>
      </c>
      <c r="C2289" s="23"/>
      <c r="D2289" s="24"/>
      <c r="E2289" s="25"/>
      <c r="F2289" s="26"/>
      <c r="G2289" s="27">
        <f>SUM(G2290:G2291)</f>
        <v>0</v>
      </c>
      <c r="H2289" s="44">
        <f>G2289*E2277</f>
        <v>0</v>
      </c>
    </row>
    <row r="2290" spans="1:10" ht="12.75" customHeight="1">
      <c r="A2290" s="28"/>
      <c r="B2290" s="29"/>
      <c r="C2290" s="30" t="str">
        <f>IFERROR(_xlfn.XLOOKUP(B2290,Transporte[DESCRIPCION],Transporte[UND],,0),"")</f>
        <v/>
      </c>
      <c r="D2290" s="31"/>
      <c r="E2290" s="32" t="str">
        <f>IFERROR(_xlfn.XLOOKUP($B2290,Transporte[DESCRIPCION],Transporte[VALOR],,0),"")</f>
        <v/>
      </c>
      <c r="F2290" s="33"/>
      <c r="G2290" s="34" t="str">
        <f>IFERROR(IF(F2290&gt;=0,D2290*E2290*(1+F2290/100),ABS(D2290*E2290/F2290)),"")</f>
        <v/>
      </c>
      <c r="H2290" s="43" t="str">
        <f>IFERROR(G2290*E2277,"")</f>
        <v/>
      </c>
    </row>
    <row r="2291" spans="1:10" ht="12.75" customHeight="1">
      <c r="A2291" s="28"/>
      <c r="B2291" s="29"/>
      <c r="C2291" s="30" t="str">
        <f>IFERROR(_xlfn.XLOOKUP(B2291,Transporte[DESCRIPCION],Transporte[UND],,0),"")</f>
        <v/>
      </c>
      <c r="D2291" s="31"/>
      <c r="E2291" s="32" t="str">
        <f>IFERROR(_xlfn.XLOOKUP($B2291,Transporte[DESCRIPCION],Transporte[VALOR],,0),"")</f>
        <v/>
      </c>
      <c r="F2291" s="33"/>
      <c r="G2291" s="34" t="str">
        <f>IFERROR(IF(F2291&gt;=0,D2291*E2291*(1+F2291/100),ABS(D2291*E2291/F2291)),"")</f>
        <v/>
      </c>
      <c r="H2291" s="43" t="str">
        <f>IFERROR(G2291*E2277,"")</f>
        <v/>
      </c>
    </row>
    <row r="2292" spans="1:10" ht="12.75" customHeight="1">
      <c r="A2292" s="21"/>
      <c r="B2292" s="22" t="s">
        <v>3732</v>
      </c>
      <c r="C2292" s="23"/>
      <c r="D2292" s="24"/>
      <c r="E2292" s="25"/>
      <c r="F2292" s="26"/>
      <c r="G2292" s="27">
        <f>SUM(G2293:G2295)</f>
        <v>39298.843861875008</v>
      </c>
      <c r="H2292" s="44">
        <f>G2292*E2277</f>
        <v>0</v>
      </c>
    </row>
    <row r="2293" spans="1:10" ht="12.75" customHeight="1">
      <c r="A2293" s="28"/>
      <c r="B2293" s="29" t="s">
        <v>3710</v>
      </c>
      <c r="C2293" s="30" t="str">
        <f>IFERROR(_xlfn.XLOOKUP(B2293,MObra[DESCRIPCION],MObra[UN],,0),"")</f>
        <v>día</v>
      </c>
      <c r="D2293" s="31">
        <v>1</v>
      </c>
      <c r="E2293" s="32">
        <f>IFERROR(_xlfn.XLOOKUP($B2293,MObra[DESCRIPCION],MObra[VALOR UNIT],,0),"")</f>
        <v>314390.75089500006</v>
      </c>
      <c r="F2293" s="33">
        <v>-8</v>
      </c>
      <c r="G2293" s="34">
        <f>IFERROR(IF(F2293&gt;=0,D2293*E2293*(1+F2293/100),ABS(D2293*E2293/F2293)),"")</f>
        <v>39298.843861875008</v>
      </c>
      <c r="H2293" s="43">
        <f>IFERROR(G2293*E2277,"")</f>
        <v>0</v>
      </c>
    </row>
    <row r="2294" spans="1:10" ht="12.75" customHeight="1">
      <c r="A2294" s="28"/>
      <c r="B2294" s="29"/>
      <c r="C2294" s="30" t="str">
        <f>IFERROR(_xlfn.XLOOKUP(B2294,MObra[DESCRIPCION],MObra[UN],,0),"")</f>
        <v/>
      </c>
      <c r="D2294" s="31"/>
      <c r="E2294" s="32" t="str">
        <f>IFERROR(_xlfn.XLOOKUP($B2294,MObra[DESCRIPCION],MObra[VALOR UNIT],,0),"")</f>
        <v/>
      </c>
      <c r="F2294" s="33"/>
      <c r="G2294" s="34" t="str">
        <f>IFERROR(IF(F2294&gt;=0,D2294*E2294*(1+F2294/100),ABS(D2294*E2294/F2294)),"")</f>
        <v/>
      </c>
      <c r="H2294" s="43" t="str">
        <f>IFERROR(G2294*E2277,"")</f>
        <v/>
      </c>
    </row>
    <row r="2295" spans="1:10" ht="12.75" customHeight="1" thickBot="1">
      <c r="A2295" s="35"/>
      <c r="B2295" s="36"/>
      <c r="C2295" s="37" t="str">
        <f>IFERROR(_xlfn.XLOOKUP(B2295,MObra[DESCRIPCION],MObra[UN],,0),"")</f>
        <v/>
      </c>
      <c r="D2295" s="38"/>
      <c r="E2295" s="39" t="str">
        <f>IFERROR(_xlfn.XLOOKUP($B2295,MObra[DESCRIPCION],MObra[VALOR UNIT],,0),"")</f>
        <v/>
      </c>
      <c r="F2295" s="40"/>
      <c r="G2295" s="41" t="str">
        <f>IFERROR(IF(F2295&gt;=0,D2295*E2295*(1+F2295/100),ABS(D2295*E2295/F2295)),"")</f>
        <v/>
      </c>
      <c r="H2295" s="42" t="str">
        <f>IFERROR(G2295*E2277,"")</f>
        <v/>
      </c>
    </row>
    <row r="2296" spans="1:10" ht="12.75" customHeight="1" thickTop="1" thickBot="1"/>
    <row r="2297" spans="1:10" ht="12.75" customHeight="1" thickTop="1" thickBot="1">
      <c r="A2297" s="6" t="s">
        <v>1324</v>
      </c>
      <c r="B2297" s="7" t="str">
        <f>VLOOKUP($A2297,Presupuesto!$A:$D,2,FALSE())</f>
        <v>Piso baldosa cemento</v>
      </c>
      <c r="C2297" s="8" t="str">
        <f>VLOOKUP($A2297,Presupuesto!$A:$D,3,FALSE())</f>
        <v>M2</v>
      </c>
      <c r="D2297" s="9"/>
      <c r="E2297" s="10">
        <f>VLOOKUP($A2297,Presupuesto!$A:$D,4,FALSE())</f>
        <v>0</v>
      </c>
      <c r="F2297" s="11" t="s">
        <v>2589</v>
      </c>
      <c r="G2297" s="12">
        <f>SUM(G2299:G2315)/2</f>
        <v>163488.74827163288</v>
      </c>
      <c r="H2297" s="13">
        <f>ROUND(SUM(H2299:H2315),0)/2</f>
        <v>0</v>
      </c>
      <c r="I2297" s="10">
        <f>VLOOKUP(A2297,Presupuesto!$A:$F,6,0)</f>
        <v>0</v>
      </c>
      <c r="J2297" s="10">
        <f>+H2297-I2297</f>
        <v>0</v>
      </c>
    </row>
    <row r="2298" spans="1:10" ht="12.75" customHeight="1" thickTop="1">
      <c r="A2298" s="14"/>
      <c r="B2298" s="15" t="s">
        <v>2586</v>
      </c>
      <c r="C2298" s="15" t="s">
        <v>5</v>
      </c>
      <c r="D2298" s="16" t="s">
        <v>6</v>
      </c>
      <c r="E2298" s="17" t="s">
        <v>7</v>
      </c>
      <c r="F2298" s="18" t="s">
        <v>3728</v>
      </c>
      <c r="G2298" s="19" t="s">
        <v>3729</v>
      </c>
      <c r="H2298" s="20" t="s">
        <v>3797</v>
      </c>
    </row>
    <row r="2299" spans="1:10" ht="12.75" customHeight="1">
      <c r="A2299" s="21"/>
      <c r="B2299" s="22" t="s">
        <v>3730</v>
      </c>
      <c r="C2299" s="23"/>
      <c r="D2299" s="24"/>
      <c r="E2299" s="25"/>
      <c r="F2299" s="26"/>
      <c r="G2299" s="27">
        <f>SUM(G2300:G2304)</f>
        <v>122224.96221666413</v>
      </c>
      <c r="H2299" s="27">
        <f>IFERROR(G2299*E2297,"")</f>
        <v>0</v>
      </c>
    </row>
    <row r="2300" spans="1:10" ht="12.75" customHeight="1">
      <c r="A2300" s="28"/>
      <c r="B2300" s="29" t="s">
        <v>2725</v>
      </c>
      <c r="C2300" s="30" t="str">
        <f>IFERROR(_xlfn.XLOOKUP(B2300,Insumo[DESCRIPCION],Insumo[UND],,0),"")</f>
        <v>M2</v>
      </c>
      <c r="D2300" s="31">
        <v>1</v>
      </c>
      <c r="E2300" s="32">
        <f>IFERROR(_xlfn.XLOOKUP($B2300,Insumo[DESCRIPCION],Insumo[VALOR],,0),"")</f>
        <v>102182.85</v>
      </c>
      <c r="F2300" s="33">
        <v>5</v>
      </c>
      <c r="G2300" s="34">
        <f>IFERROR(IF(F2300&gt;=0,D2300*E2300*(1+F2300/100),ABS(D2300*E2300/F2300)),"")</f>
        <v>107291.99250000001</v>
      </c>
      <c r="H2300" s="43">
        <f>IFERROR(G2300*E2297,"")</f>
        <v>0</v>
      </c>
    </row>
    <row r="2301" spans="1:10" ht="12.75" customHeight="1">
      <c r="A2301" s="28"/>
      <c r="B2301" s="29" t="s">
        <v>3244</v>
      </c>
      <c r="C2301" s="30" t="str">
        <f>IFERROR(_xlfn.XLOOKUP(B2301,Insumo[DESCRIPCION],Insumo[UND],,0),"")</f>
        <v>M3</v>
      </c>
      <c r="D2301" s="31">
        <v>0.03</v>
      </c>
      <c r="E2301" s="32">
        <f>IFERROR(_xlfn.XLOOKUP($B2301,Insumo[DESCRIPCION],Insumo[VALOR],,0),"")</f>
        <v>497765.65722213761</v>
      </c>
      <c r="F2301" s="33"/>
      <c r="G2301" s="34">
        <f>IFERROR(IF(F2301&gt;=0,D2301*E2301*(1+F2301/100),ABS(D2301*E2301/F2301)),"")</f>
        <v>14932.969716664127</v>
      </c>
      <c r="H2301" s="43">
        <f>IFERROR(G2301*E2297,"")</f>
        <v>0</v>
      </c>
    </row>
    <row r="2302" spans="1:10" ht="12.75" customHeight="1">
      <c r="A2302" s="28"/>
      <c r="B2302" s="29"/>
      <c r="C2302" s="30" t="str">
        <f>IFERROR(_xlfn.XLOOKUP(B2302,Insumo[DESCRIPCION],Insumo[UND],,0),"")</f>
        <v/>
      </c>
      <c r="D2302" s="31"/>
      <c r="E2302" s="32" t="str">
        <f>IFERROR(_xlfn.XLOOKUP($B2302,Insumo[DESCRIPCION],Insumo[VALOR],,0),"")</f>
        <v/>
      </c>
      <c r="F2302" s="33"/>
      <c r="G2302" s="34" t="str">
        <f>IFERROR(IF(F2302&gt;=0,D2302*E2302*(1+F2302/100),ABS(D2302*E2302/F2302)),"")</f>
        <v/>
      </c>
      <c r="H2302" s="43" t="str">
        <f>IFERROR(G2302*E2297,"")</f>
        <v/>
      </c>
    </row>
    <row r="2303" spans="1:10" ht="12.75" customHeight="1">
      <c r="A2303" s="28"/>
      <c r="B2303" s="29"/>
      <c r="C2303" s="30" t="str">
        <f>IFERROR(_xlfn.XLOOKUP(B2303,Insumo[DESCRIPCION],Insumo[UND],,0),"")</f>
        <v/>
      </c>
      <c r="D2303" s="31"/>
      <c r="E2303" s="32" t="str">
        <f>IFERROR(_xlfn.XLOOKUP($B2303,Insumo[DESCRIPCION],Insumo[VALOR],,0),"")</f>
        <v/>
      </c>
      <c r="F2303" s="33"/>
      <c r="G2303" s="34" t="str">
        <f>IFERROR(IF(F2303&gt;=0,D2303*E2303*(1+F2303/100),ABS(D2303*E2303/F2303)),"")</f>
        <v/>
      </c>
      <c r="H2303" s="43" t="str">
        <f>IFERROR(G2303*E2297,"")</f>
        <v/>
      </c>
    </row>
    <row r="2304" spans="1:10" ht="12.75" customHeight="1">
      <c r="A2304" s="28"/>
      <c r="B2304" s="29"/>
      <c r="C2304" s="30" t="str">
        <f>IFERROR(_xlfn.XLOOKUP(B2304,Insumo[DESCRIPCION],Insumo[UND],,0),"")</f>
        <v/>
      </c>
      <c r="D2304" s="31"/>
      <c r="E2304" s="32" t="str">
        <f>IFERROR(_xlfn.XLOOKUP($B2304,Insumo[DESCRIPCION],Insumo[VALOR],,0),"")</f>
        <v/>
      </c>
      <c r="F2304" s="33"/>
      <c r="G2304" s="34" t="str">
        <f>IFERROR(IF(F2304&gt;=0,D2304*E2304*(1+F2304/100),ABS(D2304*E2304/F2304)),"")</f>
        <v/>
      </c>
      <c r="H2304" s="43" t="str">
        <f>IFERROR(G2304*E2297,"")</f>
        <v/>
      </c>
    </row>
    <row r="2305" spans="1:10" ht="12.75" customHeight="1">
      <c r="A2305" s="21"/>
      <c r="B2305" s="22" t="s">
        <v>3731</v>
      </c>
      <c r="C2305" s="23"/>
      <c r="D2305" s="24"/>
      <c r="E2305" s="25"/>
      <c r="F2305" s="26"/>
      <c r="G2305" s="27">
        <f>SUM(G2306:G2308)</f>
        <v>1964.9421930937506</v>
      </c>
      <c r="H2305" s="44">
        <f>G2305*E2297</f>
        <v>0</v>
      </c>
    </row>
    <row r="2306" spans="1:10" ht="12.75" customHeight="1">
      <c r="A2306" s="28"/>
      <c r="B2306" s="29" t="s">
        <v>3626</v>
      </c>
      <c r="C2306" s="30" t="str">
        <f>IFERROR(_xlfn.XLOOKUP(B2306,Equipo[DESCRIPCION],Equipo[UND],,0),"")</f>
        <v>%MO</v>
      </c>
      <c r="D2306" s="31">
        <v>0.05</v>
      </c>
      <c r="E2306" s="32">
        <f>IF(C2306="%MO",G2312,IFERROR(_xlfn.XLOOKUP($B2306,Equipo[DESCRIPCION],Equipo[VALOR],,0),""))</f>
        <v>39298.843861875008</v>
      </c>
      <c r="F2306" s="33"/>
      <c r="G2306" s="34">
        <f>IFERROR(IF(F2306&gt;=0,D2306*E2306*(1+F2306/100),ABS(D2306*E2306/F2306)),"")</f>
        <v>1964.9421930937506</v>
      </c>
      <c r="H2306" s="43">
        <f>IFERROR(G2306*E2297,"")</f>
        <v>0</v>
      </c>
    </row>
    <row r="2307" spans="1:10" ht="12.75" customHeight="1">
      <c r="A2307" s="28"/>
      <c r="B2307" s="29"/>
      <c r="C2307" s="30" t="str">
        <f>IFERROR(_xlfn.XLOOKUP(B2307,Equipo[DESCRIPCION],Equipo[UND],,0),"")</f>
        <v/>
      </c>
      <c r="D2307" s="31"/>
      <c r="E2307" s="32" t="str">
        <f>IF(C2307="%MO",G2312,IFERROR(_xlfn.XLOOKUP($B2307,Equipo[DESCRIPCION],Equipo[VALOR],,0),""))</f>
        <v/>
      </c>
      <c r="F2307" s="33"/>
      <c r="G2307" s="34" t="str">
        <f>IFERROR(IF(F2307&gt;=0,D2307*E2307*(1+F2307/100),ABS(D2307*E2307/F2307)),"")</f>
        <v/>
      </c>
      <c r="H2307" s="43" t="str">
        <f>IFERROR(G2307*E2297,"")</f>
        <v/>
      </c>
    </row>
    <row r="2308" spans="1:10" ht="12.75" customHeight="1">
      <c r="A2308" s="28"/>
      <c r="B2308" s="29"/>
      <c r="C2308" s="30" t="str">
        <f>IFERROR(_xlfn.XLOOKUP(B2308,Equipo[DESCRIPCION],Equipo[UND],,0),"")</f>
        <v/>
      </c>
      <c r="D2308" s="31"/>
      <c r="E2308" s="32" t="str">
        <f>IF(C2308="%MO",G2312,IFERROR(_xlfn.XLOOKUP($B2308,Equipo[DESCRIPCION],Equipo[VALOR],,0),""))</f>
        <v/>
      </c>
      <c r="F2308" s="33"/>
      <c r="G2308" s="34" t="str">
        <f>IFERROR(IF(F2308&gt;=0,D2308*E2308*(1+F2308/100),ABS(D2308*E2308/F2308)),"")</f>
        <v/>
      </c>
      <c r="H2308" s="43" t="str">
        <f>IFERROR(G2308*E2297,"")</f>
        <v/>
      </c>
    </row>
    <row r="2309" spans="1:10" ht="12.75" customHeight="1">
      <c r="A2309" s="21"/>
      <c r="B2309" s="22" t="s">
        <v>2533</v>
      </c>
      <c r="C2309" s="23"/>
      <c r="D2309" s="24"/>
      <c r="E2309" s="25"/>
      <c r="F2309" s="26"/>
      <c r="G2309" s="27">
        <f>SUM(G2310:G2311)</f>
        <v>0</v>
      </c>
      <c r="H2309" s="44">
        <f>G2309*E2297</f>
        <v>0</v>
      </c>
    </row>
    <row r="2310" spans="1:10" ht="12.75" customHeight="1">
      <c r="A2310" s="28"/>
      <c r="B2310" s="29"/>
      <c r="C2310" s="30" t="str">
        <f>IFERROR(_xlfn.XLOOKUP(B2310,Transporte[DESCRIPCION],Transporte[UND],,0),"")</f>
        <v/>
      </c>
      <c r="D2310" s="31"/>
      <c r="E2310" s="32" t="str">
        <f>IFERROR(_xlfn.XLOOKUP($B2310,Transporte[DESCRIPCION],Transporte[VALOR],,0),"")</f>
        <v/>
      </c>
      <c r="F2310" s="33"/>
      <c r="G2310" s="34" t="str">
        <f>IFERROR(IF(F2310&gt;=0,D2310*E2310*(1+F2310/100),ABS(D2310*E2310/F2310)),"")</f>
        <v/>
      </c>
      <c r="H2310" s="43" t="str">
        <f>IFERROR(G2310*E2297,"")</f>
        <v/>
      </c>
    </row>
    <row r="2311" spans="1:10" ht="12.75" customHeight="1">
      <c r="A2311" s="28"/>
      <c r="B2311" s="29"/>
      <c r="C2311" s="30" t="str">
        <f>IFERROR(_xlfn.XLOOKUP(B2311,Transporte[DESCRIPCION],Transporte[UND],,0),"")</f>
        <v/>
      </c>
      <c r="D2311" s="31"/>
      <c r="E2311" s="32" t="str">
        <f>IFERROR(_xlfn.XLOOKUP($B2311,Transporte[DESCRIPCION],Transporte[VALOR],,0),"")</f>
        <v/>
      </c>
      <c r="F2311" s="33"/>
      <c r="G2311" s="34" t="str">
        <f>IFERROR(IF(F2311&gt;=0,D2311*E2311*(1+F2311/100),ABS(D2311*E2311/F2311)),"")</f>
        <v/>
      </c>
      <c r="H2311" s="43" t="str">
        <f>IFERROR(G2311*E2297,"")</f>
        <v/>
      </c>
    </row>
    <row r="2312" spans="1:10" ht="12.75" customHeight="1">
      <c r="A2312" s="21"/>
      <c r="B2312" s="22" t="s">
        <v>3732</v>
      </c>
      <c r="C2312" s="23"/>
      <c r="D2312" s="24"/>
      <c r="E2312" s="25"/>
      <c r="F2312" s="26"/>
      <c r="G2312" s="27">
        <f>SUM(G2313:G2315)</f>
        <v>39298.843861875008</v>
      </c>
      <c r="H2312" s="44">
        <f>G2312*E2297</f>
        <v>0</v>
      </c>
    </row>
    <row r="2313" spans="1:10" ht="12.75" customHeight="1">
      <c r="A2313" s="28"/>
      <c r="B2313" s="29" t="s">
        <v>3710</v>
      </c>
      <c r="C2313" s="30" t="str">
        <f>IFERROR(_xlfn.XLOOKUP(B2313,MObra[DESCRIPCION],MObra[UN],,0),"")</f>
        <v>día</v>
      </c>
      <c r="D2313" s="31">
        <v>1</v>
      </c>
      <c r="E2313" s="32">
        <f>IFERROR(_xlfn.XLOOKUP($B2313,MObra[DESCRIPCION],MObra[VALOR UNIT],,0),"")</f>
        <v>314390.75089500006</v>
      </c>
      <c r="F2313" s="33">
        <v>-8</v>
      </c>
      <c r="G2313" s="34">
        <f>IFERROR(IF(F2313&gt;=0,D2313*E2313*(1+F2313/100),ABS(D2313*E2313/F2313)),"")</f>
        <v>39298.843861875008</v>
      </c>
      <c r="H2313" s="43">
        <f>IFERROR(G2313*E2297,"")</f>
        <v>0</v>
      </c>
    </row>
    <row r="2314" spans="1:10" ht="12.75" customHeight="1">
      <c r="A2314" s="28"/>
      <c r="B2314" s="29"/>
      <c r="C2314" s="30" t="str">
        <f>IFERROR(_xlfn.XLOOKUP(B2314,MObra[DESCRIPCION],MObra[UN],,0),"")</f>
        <v/>
      </c>
      <c r="D2314" s="31"/>
      <c r="E2314" s="32" t="str">
        <f>IFERROR(_xlfn.XLOOKUP($B2314,MObra[DESCRIPCION],MObra[VALOR UNIT],,0),"")</f>
        <v/>
      </c>
      <c r="F2314" s="33"/>
      <c r="G2314" s="34" t="str">
        <f>IFERROR(IF(F2314&gt;=0,D2314*E2314*(1+F2314/100),ABS(D2314*E2314/F2314)),"")</f>
        <v/>
      </c>
      <c r="H2314" s="43" t="str">
        <f>IFERROR(G2314*E2297,"")</f>
        <v/>
      </c>
    </row>
    <row r="2315" spans="1:10" ht="12.75" customHeight="1" thickBot="1">
      <c r="A2315" s="35"/>
      <c r="B2315" s="36"/>
      <c r="C2315" s="37" t="str">
        <f>IFERROR(_xlfn.XLOOKUP(B2315,MObra[DESCRIPCION],MObra[UN],,0),"")</f>
        <v/>
      </c>
      <c r="D2315" s="38"/>
      <c r="E2315" s="39" t="str">
        <f>IFERROR(_xlfn.XLOOKUP($B2315,MObra[DESCRIPCION],MObra[VALOR UNIT],,0),"")</f>
        <v/>
      </c>
      <c r="F2315" s="40"/>
      <c r="G2315" s="41" t="str">
        <f>IFERROR(IF(F2315&gt;=0,D2315*E2315*(1+F2315/100),ABS(D2315*E2315/F2315)),"")</f>
        <v/>
      </c>
      <c r="H2315" s="42" t="str">
        <f>IFERROR(G2315*E2297,"")</f>
        <v/>
      </c>
    </row>
    <row r="2316" spans="1:10" ht="12.75" customHeight="1" thickTop="1" thickBot="1"/>
    <row r="2317" spans="1:10" ht="12.75" customHeight="1" thickTop="1" thickBot="1">
      <c r="A2317" s="6" t="s">
        <v>1326</v>
      </c>
      <c r="B2317" s="7" t="str">
        <f>VLOOKUP($A2317,Presupuesto!$A:$D,2,FALSE())</f>
        <v>Piso baldosa tipo terrazo pulido</v>
      </c>
      <c r="C2317" s="8" t="str">
        <f>VLOOKUP($A2317,Presupuesto!$A:$D,3,FALSE())</f>
        <v>M2</v>
      </c>
      <c r="D2317" s="9"/>
      <c r="E2317" s="10">
        <f>VLOOKUP($A2317,Presupuesto!$A:$D,4,FALSE())</f>
        <v>0</v>
      </c>
      <c r="F2317" s="11" t="s">
        <v>2589</v>
      </c>
      <c r="G2317" s="12">
        <f>SUM(G2319:G2335)/2</f>
        <v>171452.91006791679</v>
      </c>
      <c r="H2317" s="13">
        <f>ROUND(SUM(H2319:H2335),0)/2</f>
        <v>0</v>
      </c>
      <c r="I2317" s="10">
        <f>VLOOKUP(A2317,Presupuesto!$A:$F,6,0)</f>
        <v>0</v>
      </c>
      <c r="J2317" s="10">
        <f>+H2317-I2317</f>
        <v>0</v>
      </c>
    </row>
    <row r="2318" spans="1:10" ht="12.75" customHeight="1" thickTop="1">
      <c r="A2318" s="14"/>
      <c r="B2318" s="15" t="s">
        <v>2586</v>
      </c>
      <c r="C2318" s="15" t="s">
        <v>5</v>
      </c>
      <c r="D2318" s="16" t="s">
        <v>6</v>
      </c>
      <c r="E2318" s="17" t="s">
        <v>7</v>
      </c>
      <c r="F2318" s="18" t="s">
        <v>3728</v>
      </c>
      <c r="G2318" s="19" t="s">
        <v>3729</v>
      </c>
      <c r="H2318" s="20" t="s">
        <v>3797</v>
      </c>
    </row>
    <row r="2319" spans="1:10" ht="12.75" customHeight="1">
      <c r="A2319" s="21"/>
      <c r="B2319" s="22" t="s">
        <v>3730</v>
      </c>
      <c r="C2319" s="23"/>
      <c r="D2319" s="24"/>
      <c r="E2319" s="25"/>
      <c r="F2319" s="26"/>
      <c r="G2319" s="27">
        <f>SUM(G2320:G2324)</f>
        <v>99244.090288885505</v>
      </c>
      <c r="H2319" s="27">
        <f>IFERROR(G2319*E2317,"")</f>
        <v>0</v>
      </c>
    </row>
    <row r="2320" spans="1:10" ht="12.75" customHeight="1">
      <c r="A2320" s="28"/>
      <c r="B2320" s="29" t="s">
        <v>2726</v>
      </c>
      <c r="C2320" s="30" t="str">
        <f>IFERROR(_xlfn.XLOOKUP(B2320,Insumo[DESCRIPCION],Insumo[UND],,0),"")</f>
        <v>M2</v>
      </c>
      <c r="D2320" s="31">
        <v>1</v>
      </c>
      <c r="E2320" s="32">
        <f>IFERROR(_xlfn.XLOOKUP($B2320,Insumo[DESCRIPCION],Insumo[VALOR],,0),"")</f>
        <v>71493.45</v>
      </c>
      <c r="F2320" s="33">
        <v>5</v>
      </c>
      <c r="G2320" s="34">
        <f>IFERROR(IF(F2320&gt;=0,D2320*E2320*(1+F2320/100),ABS(D2320*E2320/F2320)),"")</f>
        <v>75068.122499999998</v>
      </c>
      <c r="H2320" s="43">
        <f>IFERROR(G2320*E2317,"")</f>
        <v>0</v>
      </c>
    </row>
    <row r="2321" spans="1:8" ht="12.75" customHeight="1">
      <c r="A2321" s="28"/>
      <c r="B2321" s="29" t="s">
        <v>2823</v>
      </c>
      <c r="C2321" s="30" t="str">
        <f>IFERROR(_xlfn.XLOOKUP(B2321,Insumo[DESCRIPCION],Insumo[UND],,0),"")</f>
        <v>Kg</v>
      </c>
      <c r="D2321" s="31">
        <v>0.5</v>
      </c>
      <c r="E2321" s="32">
        <f>IFERROR(_xlfn.XLOOKUP($B2321,Insumo[DESCRIPCION],Insumo[VALOR],,0),"")</f>
        <v>1680</v>
      </c>
      <c r="F2321" s="33"/>
      <c r="G2321" s="34">
        <f>IFERROR(IF(F2321&gt;=0,D2321*E2321*(1+F2321/100),ABS(D2321*E2321/F2321)),"")</f>
        <v>840</v>
      </c>
      <c r="H2321" s="43">
        <f>IFERROR(G2321*E2317,"")</f>
        <v>0</v>
      </c>
    </row>
    <row r="2322" spans="1:8" ht="12.75" customHeight="1">
      <c r="A2322" s="28"/>
      <c r="B2322" s="29" t="s">
        <v>3243</v>
      </c>
      <c r="C2322" s="30" t="str">
        <f>IFERROR(_xlfn.XLOOKUP(B2322,Insumo[DESCRIPCION],Insumo[UND],,0),"")</f>
        <v>M3</v>
      </c>
      <c r="D2322" s="31">
        <v>0.04</v>
      </c>
      <c r="E2322" s="32">
        <f>IFERROR(_xlfn.XLOOKUP($B2322,Insumo[DESCRIPCION],Insumo[VALOR],,0),"")</f>
        <v>566498.65722213767</v>
      </c>
      <c r="F2322" s="33"/>
      <c r="G2322" s="34">
        <f>IFERROR(IF(F2322&gt;=0,D2322*E2322*(1+F2322/100),ABS(D2322*E2322/F2322)),"")</f>
        <v>22659.946288885509</v>
      </c>
      <c r="H2322" s="43">
        <f>IFERROR(G2322*E2317,"")</f>
        <v>0</v>
      </c>
    </row>
    <row r="2323" spans="1:8" ht="12.75" customHeight="1">
      <c r="A2323" s="28"/>
      <c r="B2323" s="29" t="s">
        <v>2825</v>
      </c>
      <c r="C2323" s="30" t="str">
        <f>IFERROR(_xlfn.XLOOKUP(B2323,Insumo[DESCRIPCION],Insumo[UND],,0),"")</f>
        <v>Lb</v>
      </c>
      <c r="D2323" s="31">
        <v>0.01</v>
      </c>
      <c r="E2323" s="32">
        <f>IFERROR(_xlfn.XLOOKUP($B2323,Insumo[DESCRIPCION],Insumo[VALOR],,0),"")</f>
        <v>9657.9</v>
      </c>
      <c r="F2323" s="33"/>
      <c r="G2323" s="34">
        <f>IFERROR(IF(F2323&gt;=0,D2323*E2323*(1+F2323/100),ABS(D2323*E2323/F2323)),"")</f>
        <v>96.578999999999994</v>
      </c>
      <c r="H2323" s="43">
        <f>IFERROR(G2323*E2317,"")</f>
        <v>0</v>
      </c>
    </row>
    <row r="2324" spans="1:8" ht="12.75" customHeight="1">
      <c r="A2324" s="28"/>
      <c r="B2324" s="29" t="s">
        <v>2922</v>
      </c>
      <c r="C2324" s="30" t="str">
        <f>IFERROR(_xlfn.XLOOKUP(B2324,Insumo[DESCRIPCION],Insumo[UND],,0),"")</f>
        <v>M</v>
      </c>
      <c r="D2324" s="31">
        <v>0.15</v>
      </c>
      <c r="E2324" s="32">
        <f>IFERROR(_xlfn.XLOOKUP($B2324,Insumo[DESCRIPCION],Insumo[VALOR],,0),"")</f>
        <v>3862.9500000000003</v>
      </c>
      <c r="F2324" s="33"/>
      <c r="G2324" s="34">
        <f>IFERROR(IF(F2324&gt;=0,D2324*E2324*(1+F2324/100),ABS(D2324*E2324/F2324)),"")</f>
        <v>579.4425</v>
      </c>
      <c r="H2324" s="43">
        <f>IFERROR(G2324*E2317,"")</f>
        <v>0</v>
      </c>
    </row>
    <row r="2325" spans="1:8" ht="12.75" customHeight="1">
      <c r="A2325" s="21"/>
      <c r="B2325" s="22" t="s">
        <v>3731</v>
      </c>
      <c r="C2325" s="23"/>
      <c r="D2325" s="24"/>
      <c r="E2325" s="25"/>
      <c r="F2325" s="26"/>
      <c r="G2325" s="27">
        <f>SUM(G2326:G2328)</f>
        <v>9564.9485609062503</v>
      </c>
      <c r="H2325" s="44">
        <f>G2325*E2317</f>
        <v>0</v>
      </c>
    </row>
    <row r="2326" spans="1:8" ht="12.75" customHeight="1">
      <c r="A2326" s="28"/>
      <c r="B2326" s="29" t="s">
        <v>3642</v>
      </c>
      <c r="C2326" s="30" t="str">
        <f>IFERROR(_xlfn.XLOOKUP(B2326,Equipo[DESCRIPCION],Equipo[UND],,0),"")</f>
        <v>Día</v>
      </c>
      <c r="D2326" s="31">
        <v>1</v>
      </c>
      <c r="E2326" s="32">
        <f>IF(C2326="%MO",G2332,IFERROR(_xlfn.XLOOKUP($B2326,Equipo[DESCRIPCION],Equipo[VALOR],,0),""))</f>
        <v>54978</v>
      </c>
      <c r="F2326" s="33">
        <v>-8</v>
      </c>
      <c r="G2326" s="34">
        <f>IFERROR(IF(F2326&gt;=0,D2326*E2326*(1+F2326/100),ABS(D2326*E2326/F2326)),"")</f>
        <v>6872.25</v>
      </c>
      <c r="H2326" s="43">
        <f>IFERROR(G2326*E2317,"")</f>
        <v>0</v>
      </c>
    </row>
    <row r="2327" spans="1:8" ht="12.75" customHeight="1">
      <c r="A2327" s="28"/>
      <c r="B2327" s="29" t="s">
        <v>3626</v>
      </c>
      <c r="C2327" s="30" t="str">
        <f>IFERROR(_xlfn.XLOOKUP(B2327,Equipo[DESCRIPCION],Equipo[UND],,0),"")</f>
        <v>%MO</v>
      </c>
      <c r="D2327" s="31">
        <v>0.05</v>
      </c>
      <c r="E2327" s="32">
        <f>IF(C2327="%MO",G2332,IFERROR(_xlfn.XLOOKUP($B2327,Equipo[DESCRIPCION],Equipo[VALOR],,0),""))</f>
        <v>53853.971218125007</v>
      </c>
      <c r="F2327" s="33"/>
      <c r="G2327" s="34">
        <f>IFERROR(IF(F2327&gt;=0,D2327*E2327*(1+F2327/100),ABS(D2327*E2327/F2327)),"")</f>
        <v>2692.6985609062503</v>
      </c>
      <c r="H2327" s="43">
        <f>IFERROR(G2327*E2317,"")</f>
        <v>0</v>
      </c>
    </row>
    <row r="2328" spans="1:8" ht="12.75" customHeight="1">
      <c r="A2328" s="28"/>
      <c r="B2328" s="29"/>
      <c r="C2328" s="30" t="str">
        <f>IFERROR(_xlfn.XLOOKUP(B2328,Equipo[DESCRIPCION],Equipo[UND],,0),"")</f>
        <v/>
      </c>
      <c r="D2328" s="31"/>
      <c r="E2328" s="32" t="str">
        <f>IF(C2328="%MO",G2332,IFERROR(_xlfn.XLOOKUP($B2328,Equipo[DESCRIPCION],Equipo[VALOR],,0),""))</f>
        <v/>
      </c>
      <c r="F2328" s="33"/>
      <c r="G2328" s="34" t="str">
        <f>IFERROR(IF(F2328&gt;=0,D2328*E2328*(1+F2328/100),ABS(D2328*E2328/F2328)),"")</f>
        <v/>
      </c>
      <c r="H2328" s="43" t="str">
        <f>IFERROR(G2328*E2317,"")</f>
        <v/>
      </c>
    </row>
    <row r="2329" spans="1:8" ht="12.75" customHeight="1">
      <c r="A2329" s="21"/>
      <c r="B2329" s="22" t="s">
        <v>2533</v>
      </c>
      <c r="C2329" s="23"/>
      <c r="D2329" s="24"/>
      <c r="E2329" s="25"/>
      <c r="F2329" s="26"/>
      <c r="G2329" s="27">
        <f>SUM(G2330:G2331)</f>
        <v>8789.9000000000015</v>
      </c>
      <c r="H2329" s="44">
        <f>G2329*E2317</f>
        <v>0</v>
      </c>
    </row>
    <row r="2330" spans="1:8" ht="12.75" customHeight="1">
      <c r="A2330" s="28"/>
      <c r="B2330" s="29" t="s">
        <v>3662</v>
      </c>
      <c r="C2330" s="30" t="str">
        <f>IFERROR(_xlfn.XLOOKUP(B2330,Transporte[DESCRIPCION],Transporte[UND],,0),"")</f>
        <v>Hr</v>
      </c>
      <c r="D2330" s="31">
        <v>1</v>
      </c>
      <c r="E2330" s="32">
        <f>IFERROR(_xlfn.XLOOKUP($B2330,Transporte[DESCRIPCION],Transporte[VALOR],,0),"")</f>
        <v>79109.100000000006</v>
      </c>
      <c r="F2330" s="33">
        <v>-9</v>
      </c>
      <c r="G2330" s="34">
        <f>IFERROR(IF(F2330&gt;=0,D2330*E2330*(1+F2330/100),ABS(D2330*E2330/F2330)),"")</f>
        <v>8789.9000000000015</v>
      </c>
      <c r="H2330" s="43">
        <f>IFERROR(G2330*E2317,"")</f>
        <v>0</v>
      </c>
    </row>
    <row r="2331" spans="1:8" ht="12.75" customHeight="1">
      <c r="A2331" s="28"/>
      <c r="B2331" s="29"/>
      <c r="C2331" s="30" t="str">
        <f>IFERROR(_xlfn.XLOOKUP(B2331,Transporte[DESCRIPCION],Transporte[UND],,0),"")</f>
        <v/>
      </c>
      <c r="D2331" s="31"/>
      <c r="E2331" s="32" t="str">
        <f>IFERROR(_xlfn.XLOOKUP($B2331,Transporte[DESCRIPCION],Transporte[VALOR],,0),"")</f>
        <v/>
      </c>
      <c r="F2331" s="33"/>
      <c r="G2331" s="34" t="str">
        <f>IFERROR(IF(F2331&gt;=0,D2331*E2331*(1+F2331/100),ABS(D2331*E2331/F2331)),"")</f>
        <v/>
      </c>
      <c r="H2331" s="43" t="str">
        <f>IFERROR(G2331*E2317,"")</f>
        <v/>
      </c>
    </row>
    <row r="2332" spans="1:8" ht="12.75" customHeight="1">
      <c r="A2332" s="21"/>
      <c r="B2332" s="22" t="s">
        <v>3732</v>
      </c>
      <c r="C2332" s="23"/>
      <c r="D2332" s="24"/>
      <c r="E2332" s="25"/>
      <c r="F2332" s="26"/>
      <c r="G2332" s="27">
        <f>SUM(G2333:G2335)</f>
        <v>53853.971218125007</v>
      </c>
      <c r="H2332" s="44">
        <f>G2332*E2317</f>
        <v>0</v>
      </c>
    </row>
    <row r="2333" spans="1:8" ht="12.75" customHeight="1">
      <c r="A2333" s="28"/>
      <c r="B2333" s="29" t="s">
        <v>3711</v>
      </c>
      <c r="C2333" s="30" t="str">
        <f>IFERROR(_xlfn.XLOOKUP(B2333,MObra[DESCRIPCION],MObra[UN],,0),"")</f>
        <v>día</v>
      </c>
      <c r="D2333" s="31">
        <v>1</v>
      </c>
      <c r="E2333" s="32">
        <f>IFERROR(_xlfn.XLOOKUP($B2333,MObra[DESCRIPCION],MObra[VALOR UNIT],,0),"")</f>
        <v>430831.76974500006</v>
      </c>
      <c r="F2333" s="33">
        <v>-8</v>
      </c>
      <c r="G2333" s="34">
        <f>IFERROR(IF(F2333&gt;=0,D2333*E2333*(1+F2333/100),ABS(D2333*E2333/F2333)),"")</f>
        <v>53853.971218125007</v>
      </c>
      <c r="H2333" s="43">
        <f>IFERROR(G2333*E2317,"")</f>
        <v>0</v>
      </c>
    </row>
    <row r="2334" spans="1:8" ht="12.75" customHeight="1">
      <c r="A2334" s="28"/>
      <c r="B2334" s="29"/>
      <c r="C2334" s="30" t="str">
        <f>IFERROR(_xlfn.XLOOKUP(B2334,MObra[DESCRIPCION],MObra[UN],,0),"")</f>
        <v/>
      </c>
      <c r="D2334" s="31"/>
      <c r="E2334" s="32" t="str">
        <f>IFERROR(_xlfn.XLOOKUP($B2334,MObra[DESCRIPCION],MObra[VALOR UNIT],,0),"")</f>
        <v/>
      </c>
      <c r="F2334" s="33"/>
      <c r="G2334" s="34" t="str">
        <f>IFERROR(IF(F2334&gt;=0,D2334*E2334*(1+F2334/100),ABS(D2334*E2334/F2334)),"")</f>
        <v/>
      </c>
      <c r="H2334" s="43" t="str">
        <f>IFERROR(G2334*E2317,"")</f>
        <v/>
      </c>
    </row>
    <row r="2335" spans="1:8" ht="12.75" customHeight="1" thickBot="1">
      <c r="A2335" s="35"/>
      <c r="B2335" s="36"/>
      <c r="C2335" s="37" t="str">
        <f>IFERROR(_xlfn.XLOOKUP(B2335,MObra[DESCRIPCION],MObra[UN],,0),"")</f>
        <v/>
      </c>
      <c r="D2335" s="38"/>
      <c r="E2335" s="39" t="str">
        <f>IFERROR(_xlfn.XLOOKUP($B2335,MObra[DESCRIPCION],MObra[VALOR UNIT],,0),"")</f>
        <v/>
      </c>
      <c r="F2335" s="40"/>
      <c r="G2335" s="41" t="str">
        <f>IFERROR(IF(F2335&gt;=0,D2335*E2335*(1+F2335/100),ABS(D2335*E2335/F2335)),"")</f>
        <v/>
      </c>
      <c r="H2335" s="42" t="str">
        <f>IFERROR(G2335*E2317,"")</f>
        <v/>
      </c>
    </row>
    <row r="2336" spans="1:8" ht="12.75" customHeight="1" thickTop="1" thickBot="1"/>
    <row r="2337" spans="1:10" ht="12.75" customHeight="1" thickTop="1" thickBot="1">
      <c r="A2337" s="6" t="s">
        <v>1328</v>
      </c>
      <c r="B2337" s="7" t="str">
        <f>VLOOKUP($A2337,Presupuesto!$A:$D,2,FALSE())</f>
        <v>Piso cerámica tráfico 4</v>
      </c>
      <c r="C2337" s="8" t="str">
        <f>VLOOKUP($A2337,Presupuesto!$A:$D,3,FALSE())</f>
        <v>M2</v>
      </c>
      <c r="D2337" s="9"/>
      <c r="E2337" s="10">
        <f>VLOOKUP($A2337,Presupuesto!$A:$D,4,FALSE())</f>
        <v>0</v>
      </c>
      <c r="F2337" s="11" t="s">
        <v>2589</v>
      </c>
      <c r="G2337" s="12">
        <f>SUM(G2339:G2355)/2</f>
        <v>86222.908437749997</v>
      </c>
      <c r="H2337" s="13">
        <f>ROUND(SUM(H2339:H2355),0)/2</f>
        <v>0</v>
      </c>
      <c r="I2337" s="10">
        <f>VLOOKUP(A2337,Presupuesto!$A:$F,6,0)</f>
        <v>0</v>
      </c>
      <c r="J2337" s="10">
        <f>+H2337-I2337</f>
        <v>0</v>
      </c>
    </row>
    <row r="2338" spans="1:10" ht="12.75" customHeight="1" thickTop="1">
      <c r="A2338" s="14"/>
      <c r="B2338" s="15" t="s">
        <v>2586</v>
      </c>
      <c r="C2338" s="15" t="s">
        <v>5</v>
      </c>
      <c r="D2338" s="16" t="s">
        <v>6</v>
      </c>
      <c r="E2338" s="17" t="s">
        <v>7</v>
      </c>
      <c r="F2338" s="18" t="s">
        <v>3728</v>
      </c>
      <c r="G2338" s="19" t="s">
        <v>3729</v>
      </c>
      <c r="H2338" s="20" t="s">
        <v>3797</v>
      </c>
    </row>
    <row r="2339" spans="1:10" ht="12.75" customHeight="1">
      <c r="A2339" s="21"/>
      <c r="B2339" s="22" t="s">
        <v>3730</v>
      </c>
      <c r="C2339" s="23"/>
      <c r="D2339" s="24"/>
      <c r="E2339" s="25"/>
      <c r="F2339" s="26"/>
      <c r="G2339" s="27">
        <f>SUM(G2340:G2344)</f>
        <v>49543.987499999996</v>
      </c>
      <c r="H2339" s="27">
        <f>IFERROR(G2339*E2337,"")</f>
        <v>0</v>
      </c>
    </row>
    <row r="2340" spans="1:10" ht="12.75" customHeight="1">
      <c r="A2340" s="28"/>
      <c r="B2340" s="29" t="s">
        <v>2827</v>
      </c>
      <c r="C2340" s="30" t="str">
        <f>IFERROR(_xlfn.XLOOKUP(B2340,Insumo[DESCRIPCION],Insumo[UND],,0),"")</f>
        <v>M2</v>
      </c>
      <c r="D2340" s="31">
        <v>1</v>
      </c>
      <c r="E2340" s="32">
        <f>IFERROR(_xlfn.XLOOKUP($B2340,Insumo[DESCRIPCION],Insumo[VALOR],,0),"")</f>
        <v>34098.75</v>
      </c>
      <c r="F2340" s="33">
        <v>5</v>
      </c>
      <c r="G2340" s="34">
        <f>IFERROR(IF(F2340&gt;=0,D2340*E2340*(1+F2340/100),ABS(D2340*E2340/F2340)),"")</f>
        <v>35803.6875</v>
      </c>
      <c r="H2340" s="43">
        <f>IFERROR(G2340*E2337,"")</f>
        <v>0</v>
      </c>
    </row>
    <row r="2341" spans="1:10" ht="12.75" customHeight="1">
      <c r="A2341" s="28"/>
      <c r="B2341" s="29" t="s">
        <v>3193</v>
      </c>
      <c r="C2341" s="30" t="str">
        <f>IFERROR(_xlfn.XLOOKUP(B2341,Insumo[DESCRIPCION],Insumo[UND],,0),"")</f>
        <v>Kg</v>
      </c>
      <c r="D2341" s="31">
        <v>1</v>
      </c>
      <c r="E2341" s="32">
        <f>IFERROR(_xlfn.XLOOKUP($B2341,Insumo[DESCRIPCION],Insumo[VALOR],,0),"")</f>
        <v>13423.2</v>
      </c>
      <c r="F2341" s="33"/>
      <c r="G2341" s="34">
        <f>IFERROR(IF(F2341&gt;=0,D2341*E2341*(1+F2341/100),ABS(D2341*E2341/F2341)),"")</f>
        <v>13423.2</v>
      </c>
      <c r="H2341" s="43">
        <f>IFERROR(G2341*E2337,"")</f>
        <v>0</v>
      </c>
    </row>
    <row r="2342" spans="1:10" ht="12.75" customHeight="1">
      <c r="A2342" s="28"/>
      <c r="B2342" s="29" t="s">
        <v>2923</v>
      </c>
      <c r="C2342" s="30" t="str">
        <f>IFERROR(_xlfn.XLOOKUP(B2342,Insumo[DESCRIPCION],Insumo[UND],,0),"")</f>
        <v>Un</v>
      </c>
      <c r="D2342" s="31">
        <v>2</v>
      </c>
      <c r="E2342" s="32">
        <f>IFERROR(_xlfn.XLOOKUP($B2342,Insumo[DESCRIPCION],Insumo[VALOR],,0),"")</f>
        <v>158.55000000000001</v>
      </c>
      <c r="F2342" s="33"/>
      <c r="G2342" s="34">
        <f>IFERROR(IF(F2342&gt;=0,D2342*E2342*(1+F2342/100),ABS(D2342*E2342/F2342)),"")</f>
        <v>317.10000000000002</v>
      </c>
      <c r="H2342" s="43">
        <f>IFERROR(G2342*E2337,"")</f>
        <v>0</v>
      </c>
    </row>
    <row r="2343" spans="1:10" ht="12.75" customHeight="1">
      <c r="A2343" s="28"/>
      <c r="B2343" s="29"/>
      <c r="C2343" s="30" t="str">
        <f>IFERROR(_xlfn.XLOOKUP(B2343,Insumo[DESCRIPCION],Insumo[UND],,0),"")</f>
        <v/>
      </c>
      <c r="D2343" s="31"/>
      <c r="E2343" s="32" t="str">
        <f>IFERROR(_xlfn.XLOOKUP($B2343,Insumo[DESCRIPCION],Insumo[VALOR],,0),"")</f>
        <v/>
      </c>
      <c r="F2343" s="33"/>
      <c r="G2343" s="34" t="str">
        <f>IFERROR(IF(F2343&gt;=0,D2343*E2343*(1+F2343/100),ABS(D2343*E2343/F2343)),"")</f>
        <v/>
      </c>
      <c r="H2343" s="43" t="str">
        <f>IFERROR(G2343*E2337,"")</f>
        <v/>
      </c>
    </row>
    <row r="2344" spans="1:10" ht="12.75" customHeight="1">
      <c r="A2344" s="28"/>
      <c r="B2344" s="29"/>
      <c r="C2344" s="30" t="str">
        <f>IFERROR(_xlfn.XLOOKUP(B2344,Insumo[DESCRIPCION],Insumo[UND],,0),"")</f>
        <v/>
      </c>
      <c r="D2344" s="31"/>
      <c r="E2344" s="32" t="str">
        <f>IFERROR(_xlfn.XLOOKUP($B2344,Insumo[DESCRIPCION],Insumo[VALOR],,0),"")</f>
        <v/>
      </c>
      <c r="F2344" s="33"/>
      <c r="G2344" s="34" t="str">
        <f>IFERROR(IF(F2344&gt;=0,D2344*E2344*(1+F2344/100),ABS(D2344*E2344/F2344)),"")</f>
        <v/>
      </c>
      <c r="H2344" s="43" t="str">
        <f>IFERROR(G2344*E2337,"")</f>
        <v/>
      </c>
    </row>
    <row r="2345" spans="1:10" ht="12.75" customHeight="1">
      <c r="A2345" s="21"/>
      <c r="B2345" s="22" t="s">
        <v>3731</v>
      </c>
      <c r="C2345" s="23"/>
      <c r="D2345" s="24"/>
      <c r="E2345" s="25"/>
      <c r="F2345" s="26"/>
      <c r="G2345" s="27">
        <f>SUM(G2346:G2348)</f>
        <v>1746.6152827500002</v>
      </c>
      <c r="H2345" s="44">
        <f>G2345*E2337</f>
        <v>0</v>
      </c>
    </row>
    <row r="2346" spans="1:10" ht="12.75" customHeight="1">
      <c r="A2346" s="28"/>
      <c r="B2346" s="29" t="s">
        <v>3626</v>
      </c>
      <c r="C2346" s="30" t="str">
        <f>IFERROR(_xlfn.XLOOKUP(B2346,Equipo[DESCRIPCION],Equipo[UND],,0),"")</f>
        <v>%MO</v>
      </c>
      <c r="D2346" s="31">
        <v>0.05</v>
      </c>
      <c r="E2346" s="32">
        <f>IF(C2346="%MO",G2352,IFERROR(_xlfn.XLOOKUP($B2346,Equipo[DESCRIPCION],Equipo[VALOR],,0),""))</f>
        <v>34932.305655000004</v>
      </c>
      <c r="F2346" s="33"/>
      <c r="G2346" s="34">
        <f>IFERROR(IF(F2346&gt;=0,D2346*E2346*(1+F2346/100),ABS(D2346*E2346/F2346)),"")</f>
        <v>1746.6152827500002</v>
      </c>
      <c r="H2346" s="43">
        <f>IFERROR(G2346*E2337,"")</f>
        <v>0</v>
      </c>
    </row>
    <row r="2347" spans="1:10" ht="12.75" customHeight="1">
      <c r="A2347" s="28"/>
      <c r="B2347" s="29"/>
      <c r="C2347" s="30" t="str">
        <f>IFERROR(_xlfn.XLOOKUP(B2347,Equipo[DESCRIPCION],Equipo[UND],,0),"")</f>
        <v/>
      </c>
      <c r="D2347" s="31"/>
      <c r="E2347" s="32" t="str">
        <f>IF(C2347="%MO",G2352,IFERROR(_xlfn.XLOOKUP($B2347,Equipo[DESCRIPCION],Equipo[VALOR],,0),""))</f>
        <v/>
      </c>
      <c r="F2347" s="33"/>
      <c r="G2347" s="34" t="str">
        <f>IFERROR(IF(F2347&gt;=0,D2347*E2347*(1+F2347/100),ABS(D2347*E2347/F2347)),"")</f>
        <v/>
      </c>
      <c r="H2347" s="43" t="str">
        <f>IFERROR(G2347*E2337,"")</f>
        <v/>
      </c>
    </row>
    <row r="2348" spans="1:10" ht="12.75" customHeight="1">
      <c r="A2348" s="28"/>
      <c r="B2348" s="29"/>
      <c r="C2348" s="30" t="str">
        <f>IFERROR(_xlfn.XLOOKUP(B2348,Equipo[DESCRIPCION],Equipo[UND],,0),"")</f>
        <v/>
      </c>
      <c r="D2348" s="31"/>
      <c r="E2348" s="32" t="str">
        <f>IF(C2348="%MO",G2352,IFERROR(_xlfn.XLOOKUP($B2348,Equipo[DESCRIPCION],Equipo[VALOR],,0),""))</f>
        <v/>
      </c>
      <c r="F2348" s="33"/>
      <c r="G2348" s="34" t="str">
        <f>IFERROR(IF(F2348&gt;=0,D2348*E2348*(1+F2348/100),ABS(D2348*E2348/F2348)),"")</f>
        <v/>
      </c>
      <c r="H2348" s="43" t="str">
        <f>IFERROR(G2348*E2337,"")</f>
        <v/>
      </c>
    </row>
    <row r="2349" spans="1:10" ht="12.75" customHeight="1">
      <c r="A2349" s="21"/>
      <c r="B2349" s="22" t="s">
        <v>2533</v>
      </c>
      <c r="C2349" s="23"/>
      <c r="D2349" s="24"/>
      <c r="E2349" s="25"/>
      <c r="F2349" s="26"/>
      <c r="G2349" s="27">
        <f>SUM(G2350:G2351)</f>
        <v>0</v>
      </c>
      <c r="H2349" s="44">
        <f>G2349*E2337</f>
        <v>0</v>
      </c>
    </row>
    <row r="2350" spans="1:10" ht="12.75" customHeight="1">
      <c r="A2350" s="28"/>
      <c r="B2350" s="29"/>
      <c r="C2350" s="30" t="str">
        <f>IFERROR(_xlfn.XLOOKUP(B2350,Transporte[DESCRIPCION],Transporte[UND],,0),"")</f>
        <v/>
      </c>
      <c r="D2350" s="31"/>
      <c r="E2350" s="32" t="str">
        <f>IFERROR(_xlfn.XLOOKUP($B2350,Transporte[DESCRIPCION],Transporte[VALOR],,0),"")</f>
        <v/>
      </c>
      <c r="F2350" s="33"/>
      <c r="G2350" s="34" t="str">
        <f>IFERROR(IF(F2350&gt;=0,D2350*E2350*(1+F2350/100),ABS(D2350*E2350/F2350)),"")</f>
        <v/>
      </c>
      <c r="H2350" s="43" t="str">
        <f>IFERROR(G2350*E2337,"")</f>
        <v/>
      </c>
    </row>
    <row r="2351" spans="1:10" ht="12.75" customHeight="1">
      <c r="A2351" s="28"/>
      <c r="B2351" s="29"/>
      <c r="C2351" s="30" t="str">
        <f>IFERROR(_xlfn.XLOOKUP(B2351,Transporte[DESCRIPCION],Transporte[UND],,0),"")</f>
        <v/>
      </c>
      <c r="D2351" s="31"/>
      <c r="E2351" s="32" t="str">
        <f>IFERROR(_xlfn.XLOOKUP($B2351,Transporte[DESCRIPCION],Transporte[VALOR],,0),"")</f>
        <v/>
      </c>
      <c r="F2351" s="33"/>
      <c r="G2351" s="34" t="str">
        <f>IFERROR(IF(F2351&gt;=0,D2351*E2351*(1+F2351/100),ABS(D2351*E2351/F2351)),"")</f>
        <v/>
      </c>
      <c r="H2351" s="43" t="str">
        <f>IFERROR(G2351*E2337,"")</f>
        <v/>
      </c>
    </row>
    <row r="2352" spans="1:10" ht="12.75" customHeight="1">
      <c r="A2352" s="21"/>
      <c r="B2352" s="22" t="s">
        <v>3732</v>
      </c>
      <c r="C2352" s="23"/>
      <c r="D2352" s="24"/>
      <c r="E2352" s="25"/>
      <c r="F2352" s="26"/>
      <c r="G2352" s="27">
        <f>SUM(G2353:G2355)</f>
        <v>34932.305655000004</v>
      </c>
      <c r="H2352" s="44">
        <f>G2352*E2337</f>
        <v>0</v>
      </c>
    </row>
    <row r="2353" spans="1:10" ht="12.75" customHeight="1">
      <c r="A2353" s="28"/>
      <c r="B2353" s="29" t="s">
        <v>3710</v>
      </c>
      <c r="C2353" s="30" t="str">
        <f>IFERROR(_xlfn.XLOOKUP(B2353,MObra[DESCRIPCION],MObra[UN],,0),"")</f>
        <v>día</v>
      </c>
      <c r="D2353" s="31">
        <v>1</v>
      </c>
      <c r="E2353" s="32">
        <f>IFERROR(_xlfn.XLOOKUP($B2353,MObra[DESCRIPCION],MObra[VALOR UNIT],,0),"")</f>
        <v>314390.75089500006</v>
      </c>
      <c r="F2353" s="33">
        <v>-9</v>
      </c>
      <c r="G2353" s="34">
        <f>IFERROR(IF(F2353&gt;=0,D2353*E2353*(1+F2353/100),ABS(D2353*E2353/F2353)),"")</f>
        <v>34932.305655000004</v>
      </c>
      <c r="H2353" s="43">
        <f>IFERROR(G2353*E2337,"")</f>
        <v>0</v>
      </c>
    </row>
    <row r="2354" spans="1:10" ht="12.75" customHeight="1">
      <c r="A2354" s="28"/>
      <c r="B2354" s="29"/>
      <c r="C2354" s="30" t="str">
        <f>IFERROR(_xlfn.XLOOKUP(B2354,MObra[DESCRIPCION],MObra[UN],,0),"")</f>
        <v/>
      </c>
      <c r="D2354" s="31"/>
      <c r="E2354" s="32" t="str">
        <f>IFERROR(_xlfn.XLOOKUP($B2354,MObra[DESCRIPCION],MObra[VALOR UNIT],,0),"")</f>
        <v/>
      </c>
      <c r="F2354" s="33"/>
      <c r="G2354" s="34" t="str">
        <f>IFERROR(IF(F2354&gt;=0,D2354*E2354*(1+F2354/100),ABS(D2354*E2354/F2354)),"")</f>
        <v/>
      </c>
      <c r="H2354" s="43" t="str">
        <f>IFERROR(G2354*E2337,"")</f>
        <v/>
      </c>
    </row>
    <row r="2355" spans="1:10" ht="12.75" customHeight="1" thickBot="1">
      <c r="A2355" s="35"/>
      <c r="B2355" s="36"/>
      <c r="C2355" s="37" t="str">
        <f>IFERROR(_xlfn.XLOOKUP(B2355,MObra[DESCRIPCION],MObra[UN],,0),"")</f>
        <v/>
      </c>
      <c r="D2355" s="38"/>
      <c r="E2355" s="39" t="str">
        <f>IFERROR(_xlfn.XLOOKUP($B2355,MObra[DESCRIPCION],MObra[VALOR UNIT],,0),"")</f>
        <v/>
      </c>
      <c r="F2355" s="40"/>
      <c r="G2355" s="41" t="str">
        <f>IFERROR(IF(F2355&gt;=0,D2355*E2355*(1+F2355/100),ABS(D2355*E2355/F2355)),"")</f>
        <v/>
      </c>
      <c r="H2355" s="42" t="str">
        <f>IFERROR(G2355*E2337,"")</f>
        <v/>
      </c>
    </row>
    <row r="2356" spans="1:10" ht="12.75" customHeight="1" thickTop="1" thickBot="1"/>
    <row r="2357" spans="1:10" ht="12.75" customHeight="1" thickTop="1" thickBot="1">
      <c r="A2357" s="6" t="s">
        <v>1330</v>
      </c>
      <c r="B2357" s="7" t="str">
        <f>VLOOKUP($A2357,Presupuesto!$A:$D,2,FALSE())</f>
        <v>Piso cerámica tráfico 5</v>
      </c>
      <c r="C2357" s="8" t="str">
        <f>VLOOKUP($A2357,Presupuesto!$A:$D,3,FALSE())</f>
        <v>M2</v>
      </c>
      <c r="D2357" s="9"/>
      <c r="E2357" s="10">
        <f>VLOOKUP($A2357,Presupuesto!$A:$D,4,FALSE())</f>
        <v>0</v>
      </c>
      <c r="F2357" s="11" t="s">
        <v>2589</v>
      </c>
      <c r="G2357" s="12">
        <f>SUM(G2359:G2375)/2</f>
        <v>107774.57843775001</v>
      </c>
      <c r="H2357" s="13">
        <f>ROUND(SUM(H2359:H2375),0)/2</f>
        <v>0</v>
      </c>
      <c r="I2357" s="10">
        <f>VLOOKUP(A2357,Presupuesto!$A:$F,6,0)</f>
        <v>0</v>
      </c>
      <c r="J2357" s="10">
        <f>+H2357-I2357</f>
        <v>0</v>
      </c>
    </row>
    <row r="2358" spans="1:10" ht="12.75" customHeight="1" thickTop="1">
      <c r="A2358" s="14"/>
      <c r="B2358" s="15" t="s">
        <v>2586</v>
      </c>
      <c r="C2358" s="15" t="s">
        <v>5</v>
      </c>
      <c r="D2358" s="16" t="s">
        <v>6</v>
      </c>
      <c r="E2358" s="17" t="s">
        <v>7</v>
      </c>
      <c r="F2358" s="18" t="s">
        <v>3728</v>
      </c>
      <c r="G2358" s="19" t="s">
        <v>3729</v>
      </c>
      <c r="H2358" s="20" t="s">
        <v>3797</v>
      </c>
    </row>
    <row r="2359" spans="1:10" ht="12.75" customHeight="1">
      <c r="A2359" s="21"/>
      <c r="B2359" s="22" t="s">
        <v>3730</v>
      </c>
      <c r="C2359" s="23"/>
      <c r="D2359" s="24"/>
      <c r="E2359" s="25"/>
      <c r="F2359" s="26"/>
      <c r="G2359" s="27">
        <f>SUM(G2360:G2364)</f>
        <v>71095.657500000016</v>
      </c>
      <c r="H2359" s="27">
        <f>IFERROR(G2359*E2357,"")</f>
        <v>0</v>
      </c>
    </row>
    <row r="2360" spans="1:10" ht="12.75" customHeight="1">
      <c r="A2360" s="28"/>
      <c r="B2360" s="29" t="s">
        <v>2940</v>
      </c>
      <c r="C2360" s="30" t="str">
        <f>IFERROR(_xlfn.XLOOKUP(B2360,Insumo[DESCRIPCION],Insumo[UND],,0),"")</f>
        <v>M2</v>
      </c>
      <c r="D2360" s="31">
        <v>1</v>
      </c>
      <c r="E2360" s="32">
        <f>IFERROR(_xlfn.XLOOKUP($B2360,Insumo[DESCRIPCION],Insumo[VALOR],,0),"")</f>
        <v>54624.15</v>
      </c>
      <c r="F2360" s="33">
        <v>5</v>
      </c>
      <c r="G2360" s="34">
        <f>IFERROR(IF(F2360&gt;=0,D2360*E2360*(1+F2360/100),ABS(D2360*E2360/F2360)),"")</f>
        <v>57355.357500000006</v>
      </c>
      <c r="H2360" s="43">
        <f>IFERROR(G2360*E2357,"")</f>
        <v>0</v>
      </c>
    </row>
    <row r="2361" spans="1:10" ht="12.75" customHeight="1">
      <c r="A2361" s="28"/>
      <c r="B2361" s="29" t="s">
        <v>3193</v>
      </c>
      <c r="C2361" s="30" t="str">
        <f>IFERROR(_xlfn.XLOOKUP(B2361,Insumo[DESCRIPCION],Insumo[UND],,0),"")</f>
        <v>Kg</v>
      </c>
      <c r="D2361" s="31">
        <v>1</v>
      </c>
      <c r="E2361" s="32">
        <f>IFERROR(_xlfn.XLOOKUP($B2361,Insumo[DESCRIPCION],Insumo[VALOR],,0),"")</f>
        <v>13423.2</v>
      </c>
      <c r="F2361" s="33"/>
      <c r="G2361" s="34">
        <f>IFERROR(IF(F2361&gt;=0,D2361*E2361*(1+F2361/100),ABS(D2361*E2361/F2361)),"")</f>
        <v>13423.2</v>
      </c>
      <c r="H2361" s="43">
        <f>IFERROR(G2361*E2357,"")</f>
        <v>0</v>
      </c>
    </row>
    <row r="2362" spans="1:10" ht="12.75" customHeight="1">
      <c r="A2362" s="28"/>
      <c r="B2362" s="29" t="s">
        <v>2923</v>
      </c>
      <c r="C2362" s="30" t="str">
        <f>IFERROR(_xlfn.XLOOKUP(B2362,Insumo[DESCRIPCION],Insumo[UND],,0),"")</f>
        <v>Un</v>
      </c>
      <c r="D2362" s="31">
        <v>2</v>
      </c>
      <c r="E2362" s="32">
        <f>IFERROR(_xlfn.XLOOKUP($B2362,Insumo[DESCRIPCION],Insumo[VALOR],,0),"")</f>
        <v>158.55000000000001</v>
      </c>
      <c r="F2362" s="33"/>
      <c r="G2362" s="34">
        <f>IFERROR(IF(F2362&gt;=0,D2362*E2362*(1+F2362/100),ABS(D2362*E2362/F2362)),"")</f>
        <v>317.10000000000002</v>
      </c>
      <c r="H2362" s="43">
        <f>IFERROR(G2362*E2357,"")</f>
        <v>0</v>
      </c>
    </row>
    <row r="2363" spans="1:10" ht="12.75" customHeight="1">
      <c r="A2363" s="28"/>
      <c r="B2363" s="29"/>
      <c r="C2363" s="30" t="str">
        <f>IFERROR(_xlfn.XLOOKUP(B2363,Insumo[DESCRIPCION],Insumo[UND],,0),"")</f>
        <v/>
      </c>
      <c r="D2363" s="31"/>
      <c r="E2363" s="32" t="str">
        <f>IFERROR(_xlfn.XLOOKUP($B2363,Insumo[DESCRIPCION],Insumo[VALOR],,0),"")</f>
        <v/>
      </c>
      <c r="F2363" s="33"/>
      <c r="G2363" s="34" t="str">
        <f>IFERROR(IF(F2363&gt;=0,D2363*E2363*(1+F2363/100),ABS(D2363*E2363/F2363)),"")</f>
        <v/>
      </c>
      <c r="H2363" s="43" t="str">
        <f>IFERROR(G2363*E2357,"")</f>
        <v/>
      </c>
    </row>
    <row r="2364" spans="1:10" ht="12.75" customHeight="1">
      <c r="A2364" s="28"/>
      <c r="B2364" s="29"/>
      <c r="C2364" s="30" t="str">
        <f>IFERROR(_xlfn.XLOOKUP(B2364,Insumo[DESCRIPCION],Insumo[UND],,0),"")</f>
        <v/>
      </c>
      <c r="D2364" s="31"/>
      <c r="E2364" s="32" t="str">
        <f>IFERROR(_xlfn.XLOOKUP($B2364,Insumo[DESCRIPCION],Insumo[VALOR],,0),"")</f>
        <v/>
      </c>
      <c r="F2364" s="33"/>
      <c r="G2364" s="34" t="str">
        <f>IFERROR(IF(F2364&gt;=0,D2364*E2364*(1+F2364/100),ABS(D2364*E2364/F2364)),"")</f>
        <v/>
      </c>
      <c r="H2364" s="43" t="str">
        <f>IFERROR(G2364*E2357,"")</f>
        <v/>
      </c>
    </row>
    <row r="2365" spans="1:10" ht="12.75" customHeight="1">
      <c r="A2365" s="21"/>
      <c r="B2365" s="22" t="s">
        <v>3731</v>
      </c>
      <c r="C2365" s="23"/>
      <c r="D2365" s="24"/>
      <c r="E2365" s="25"/>
      <c r="F2365" s="26"/>
      <c r="G2365" s="27">
        <f>SUM(G2366:G2368)</f>
        <v>1746.6152827500002</v>
      </c>
      <c r="H2365" s="44">
        <f>G2365*E2357</f>
        <v>0</v>
      </c>
    </row>
    <row r="2366" spans="1:10" ht="12.75" customHeight="1">
      <c r="A2366" s="28"/>
      <c r="B2366" s="29" t="s">
        <v>3626</v>
      </c>
      <c r="C2366" s="30" t="str">
        <f>IFERROR(_xlfn.XLOOKUP(B2366,Equipo[DESCRIPCION],Equipo[UND],,0),"")</f>
        <v>%MO</v>
      </c>
      <c r="D2366" s="31">
        <v>0.05</v>
      </c>
      <c r="E2366" s="32">
        <f>IF(C2366="%MO",G2372,IFERROR(_xlfn.XLOOKUP($B2366,Equipo[DESCRIPCION],Equipo[VALOR],,0),""))</f>
        <v>34932.305655000004</v>
      </c>
      <c r="F2366" s="33"/>
      <c r="G2366" s="34">
        <f>IFERROR(IF(F2366&gt;=0,D2366*E2366*(1+F2366/100),ABS(D2366*E2366/F2366)),"")</f>
        <v>1746.6152827500002</v>
      </c>
      <c r="H2366" s="43">
        <f>IFERROR(G2366*E2357,"")</f>
        <v>0</v>
      </c>
    </row>
    <row r="2367" spans="1:10" ht="12.75" customHeight="1">
      <c r="A2367" s="28"/>
      <c r="B2367" s="29"/>
      <c r="C2367" s="30" t="str">
        <f>IFERROR(_xlfn.XLOOKUP(B2367,Equipo[DESCRIPCION],Equipo[UND],,0),"")</f>
        <v/>
      </c>
      <c r="D2367" s="31"/>
      <c r="E2367" s="32" t="str">
        <f>IF(C2367="%MO",G2372,IFERROR(_xlfn.XLOOKUP($B2367,Equipo[DESCRIPCION],Equipo[VALOR],,0),""))</f>
        <v/>
      </c>
      <c r="F2367" s="33"/>
      <c r="G2367" s="34" t="str">
        <f>IFERROR(IF(F2367&gt;=0,D2367*E2367*(1+F2367/100),ABS(D2367*E2367/F2367)),"")</f>
        <v/>
      </c>
      <c r="H2367" s="43" t="str">
        <f>IFERROR(G2367*E2357,"")</f>
        <v/>
      </c>
    </row>
    <row r="2368" spans="1:10" ht="12.75" customHeight="1">
      <c r="A2368" s="28"/>
      <c r="B2368" s="29"/>
      <c r="C2368" s="30" t="str">
        <f>IFERROR(_xlfn.XLOOKUP(B2368,Equipo[DESCRIPCION],Equipo[UND],,0),"")</f>
        <v/>
      </c>
      <c r="D2368" s="31"/>
      <c r="E2368" s="32" t="str">
        <f>IF(C2368="%MO",G2372,IFERROR(_xlfn.XLOOKUP($B2368,Equipo[DESCRIPCION],Equipo[VALOR],,0),""))</f>
        <v/>
      </c>
      <c r="F2368" s="33"/>
      <c r="G2368" s="34" t="str">
        <f>IFERROR(IF(F2368&gt;=0,D2368*E2368*(1+F2368/100),ABS(D2368*E2368/F2368)),"")</f>
        <v/>
      </c>
      <c r="H2368" s="43" t="str">
        <f>IFERROR(G2368*E2357,"")</f>
        <v/>
      </c>
    </row>
    <row r="2369" spans="1:10" ht="12.75" customHeight="1">
      <c r="A2369" s="21"/>
      <c r="B2369" s="22" t="s">
        <v>2533</v>
      </c>
      <c r="C2369" s="23"/>
      <c r="D2369" s="24"/>
      <c r="E2369" s="25"/>
      <c r="F2369" s="26"/>
      <c r="G2369" s="27">
        <f>SUM(G2370:G2371)</f>
        <v>0</v>
      </c>
      <c r="H2369" s="44">
        <f>G2369*E2357</f>
        <v>0</v>
      </c>
    </row>
    <row r="2370" spans="1:10" ht="12.75" customHeight="1">
      <c r="A2370" s="28"/>
      <c r="B2370" s="29"/>
      <c r="C2370" s="30" t="str">
        <f>IFERROR(_xlfn.XLOOKUP(B2370,Transporte[DESCRIPCION],Transporte[UND],,0),"")</f>
        <v/>
      </c>
      <c r="D2370" s="31"/>
      <c r="E2370" s="32" t="str">
        <f>IFERROR(_xlfn.XLOOKUP($B2370,Transporte[DESCRIPCION],Transporte[VALOR],,0),"")</f>
        <v/>
      </c>
      <c r="F2370" s="33"/>
      <c r="G2370" s="34" t="str">
        <f>IFERROR(IF(F2370&gt;=0,D2370*E2370*(1+F2370/100),ABS(D2370*E2370/F2370)),"")</f>
        <v/>
      </c>
      <c r="H2370" s="43" t="str">
        <f>IFERROR(G2370*E2357,"")</f>
        <v/>
      </c>
    </row>
    <row r="2371" spans="1:10" ht="12.75" customHeight="1">
      <c r="A2371" s="28"/>
      <c r="B2371" s="29"/>
      <c r="C2371" s="30" t="str">
        <f>IFERROR(_xlfn.XLOOKUP(B2371,Transporte[DESCRIPCION],Transporte[UND],,0),"")</f>
        <v/>
      </c>
      <c r="D2371" s="31"/>
      <c r="E2371" s="32" t="str">
        <f>IFERROR(_xlfn.XLOOKUP($B2371,Transporte[DESCRIPCION],Transporte[VALOR],,0),"")</f>
        <v/>
      </c>
      <c r="F2371" s="33"/>
      <c r="G2371" s="34" t="str">
        <f>IFERROR(IF(F2371&gt;=0,D2371*E2371*(1+F2371/100),ABS(D2371*E2371/F2371)),"")</f>
        <v/>
      </c>
      <c r="H2371" s="43" t="str">
        <f>IFERROR(G2371*E2357,"")</f>
        <v/>
      </c>
    </row>
    <row r="2372" spans="1:10" ht="12.75" customHeight="1">
      <c r="A2372" s="21"/>
      <c r="B2372" s="22" t="s">
        <v>3732</v>
      </c>
      <c r="C2372" s="23"/>
      <c r="D2372" s="24"/>
      <c r="E2372" s="25"/>
      <c r="F2372" s="26"/>
      <c r="G2372" s="27">
        <f>SUM(G2373:G2375)</f>
        <v>34932.305655000004</v>
      </c>
      <c r="H2372" s="44">
        <f>G2372*E2357</f>
        <v>0</v>
      </c>
    </row>
    <row r="2373" spans="1:10" ht="12.75" customHeight="1">
      <c r="A2373" s="28"/>
      <c r="B2373" s="29" t="s">
        <v>3710</v>
      </c>
      <c r="C2373" s="30" t="str">
        <f>IFERROR(_xlfn.XLOOKUP(B2373,MObra[DESCRIPCION],MObra[UN],,0),"")</f>
        <v>día</v>
      </c>
      <c r="D2373" s="31">
        <v>1</v>
      </c>
      <c r="E2373" s="32">
        <f>IFERROR(_xlfn.XLOOKUP($B2373,MObra[DESCRIPCION],MObra[VALOR UNIT],,0),"")</f>
        <v>314390.75089500006</v>
      </c>
      <c r="F2373" s="33">
        <v>-9</v>
      </c>
      <c r="G2373" s="34">
        <f>IFERROR(IF(F2373&gt;=0,D2373*E2373*(1+F2373/100),ABS(D2373*E2373/F2373)),"")</f>
        <v>34932.305655000004</v>
      </c>
      <c r="H2373" s="43">
        <f>IFERROR(G2373*E2357,"")</f>
        <v>0</v>
      </c>
    </row>
    <row r="2374" spans="1:10" ht="12.75" customHeight="1">
      <c r="A2374" s="28"/>
      <c r="B2374" s="29"/>
      <c r="C2374" s="30" t="str">
        <f>IFERROR(_xlfn.XLOOKUP(B2374,MObra[DESCRIPCION],MObra[UN],,0),"")</f>
        <v/>
      </c>
      <c r="D2374" s="31"/>
      <c r="E2374" s="32" t="str">
        <f>IFERROR(_xlfn.XLOOKUP($B2374,MObra[DESCRIPCION],MObra[VALOR UNIT],,0),"")</f>
        <v/>
      </c>
      <c r="F2374" s="33"/>
      <c r="G2374" s="34" t="str">
        <f>IFERROR(IF(F2374&gt;=0,D2374*E2374*(1+F2374/100),ABS(D2374*E2374/F2374)),"")</f>
        <v/>
      </c>
      <c r="H2374" s="43" t="str">
        <f>IFERROR(G2374*E2357,"")</f>
        <v/>
      </c>
    </row>
    <row r="2375" spans="1:10" ht="12.75" customHeight="1" thickBot="1">
      <c r="A2375" s="35"/>
      <c r="B2375" s="36"/>
      <c r="C2375" s="37" t="str">
        <f>IFERROR(_xlfn.XLOOKUP(B2375,MObra[DESCRIPCION],MObra[UN],,0),"")</f>
        <v/>
      </c>
      <c r="D2375" s="38"/>
      <c r="E2375" s="39" t="str">
        <f>IFERROR(_xlfn.XLOOKUP($B2375,MObra[DESCRIPCION],MObra[VALOR UNIT],,0),"")</f>
        <v/>
      </c>
      <c r="F2375" s="40"/>
      <c r="G2375" s="41" t="str">
        <f>IFERROR(IF(F2375&gt;=0,D2375*E2375*(1+F2375/100),ABS(D2375*E2375/F2375)),"")</f>
        <v/>
      </c>
      <c r="H2375" s="42" t="str">
        <f>IFERROR(G2375*E2357,"")</f>
        <v/>
      </c>
    </row>
    <row r="2376" spans="1:10" ht="12.75" customHeight="1" thickTop="1" thickBot="1"/>
    <row r="2377" spans="1:10" ht="12.75" customHeight="1" thickTop="1" thickBot="1">
      <c r="A2377" s="6" t="s">
        <v>1332</v>
      </c>
      <c r="B2377" s="7" t="str">
        <f>VLOOKUP($A2377,Presupuesto!$A:$D,2,FALSE())</f>
        <v>Piso endurecido (industrializado incluye helicóptero)</v>
      </c>
      <c r="C2377" s="8" t="str">
        <f>VLOOKUP($A2377,Presupuesto!$A:$D,3,FALSE())</f>
        <v>M2</v>
      </c>
      <c r="D2377" s="9"/>
      <c r="E2377" s="10">
        <f>VLOOKUP($A2377,Presupuesto!$A:$D,4,FALSE())</f>
        <v>0</v>
      </c>
      <c r="F2377" s="11" t="s">
        <v>2589</v>
      </c>
      <c r="G2377" s="12">
        <f>SUM(G2379:G2395)/2</f>
        <v>47459.178882150009</v>
      </c>
      <c r="H2377" s="13">
        <f>ROUND(SUM(H2379:H2395),0)/2</f>
        <v>0</v>
      </c>
      <c r="I2377" s="10">
        <f>VLOOKUP(A2377,Presupuesto!$A:$F,6,0)</f>
        <v>0</v>
      </c>
      <c r="J2377" s="10">
        <f>+H2377-I2377</f>
        <v>0</v>
      </c>
    </row>
    <row r="2378" spans="1:10" ht="12.75" customHeight="1" thickTop="1">
      <c r="A2378" s="14"/>
      <c r="B2378" s="15" t="s">
        <v>2586</v>
      </c>
      <c r="C2378" s="15" t="s">
        <v>5</v>
      </c>
      <c r="D2378" s="16" t="s">
        <v>6</v>
      </c>
      <c r="E2378" s="17" t="s">
        <v>7</v>
      </c>
      <c r="F2378" s="18" t="s">
        <v>3728</v>
      </c>
      <c r="G2378" s="19" t="s">
        <v>3729</v>
      </c>
      <c r="H2378" s="20" t="s">
        <v>3797</v>
      </c>
    </row>
    <row r="2379" spans="1:10" ht="12.75" customHeight="1">
      <c r="A2379" s="21"/>
      <c r="B2379" s="22" t="s">
        <v>3730</v>
      </c>
      <c r="C2379" s="23"/>
      <c r="D2379" s="24"/>
      <c r="E2379" s="25"/>
      <c r="F2379" s="26"/>
      <c r="G2379" s="27">
        <f>SUM(G2380:G2384)</f>
        <v>11352.6</v>
      </c>
      <c r="H2379" s="27">
        <f>IFERROR(G2379*E2377,"")</f>
        <v>0</v>
      </c>
    </row>
    <row r="2380" spans="1:10" ht="12.75" customHeight="1">
      <c r="A2380" s="28"/>
      <c r="B2380" s="29" t="s">
        <v>3311</v>
      </c>
      <c r="C2380" s="30" t="str">
        <f>IFERROR(_xlfn.XLOOKUP(B2380,Insumo[DESCRIPCION],Insumo[UND],,0),"")</f>
        <v>Kg</v>
      </c>
      <c r="D2380" s="31">
        <v>4</v>
      </c>
      <c r="E2380" s="32">
        <f>IFERROR(_xlfn.XLOOKUP($B2380,Insumo[DESCRIPCION],Insumo[VALOR],,0),"")</f>
        <v>2838.15</v>
      </c>
      <c r="F2380" s="33"/>
      <c r="G2380" s="34">
        <f>IFERROR(IF(F2380&gt;=0,D2380*E2380*(1+F2380/100),ABS(D2380*E2380/F2380)),"")</f>
        <v>11352.6</v>
      </c>
      <c r="H2380" s="43">
        <f>IFERROR(G2380*E2377,"")</f>
        <v>0</v>
      </c>
    </row>
    <row r="2381" spans="1:10" ht="12.75" customHeight="1">
      <c r="A2381" s="28"/>
      <c r="B2381" s="29"/>
      <c r="C2381" s="30" t="str">
        <f>IFERROR(_xlfn.XLOOKUP(B2381,Insumo[DESCRIPCION],Insumo[UND],,0),"")</f>
        <v/>
      </c>
      <c r="D2381" s="31"/>
      <c r="E2381" s="32" t="str">
        <f>IFERROR(_xlfn.XLOOKUP($B2381,Insumo[DESCRIPCION],Insumo[VALOR],,0),"")</f>
        <v/>
      </c>
      <c r="F2381" s="33"/>
      <c r="G2381" s="34" t="str">
        <f>IFERROR(IF(F2381&gt;=0,D2381*E2381*(1+F2381/100),ABS(D2381*E2381/F2381)),"")</f>
        <v/>
      </c>
      <c r="H2381" s="43" t="str">
        <f>IFERROR(G2381*E2377,"")</f>
        <v/>
      </c>
    </row>
    <row r="2382" spans="1:10" ht="12.75" customHeight="1">
      <c r="A2382" s="28"/>
      <c r="B2382" s="29"/>
      <c r="C2382" s="30" t="str">
        <f>IFERROR(_xlfn.XLOOKUP(B2382,Insumo[DESCRIPCION],Insumo[UND],,0),"")</f>
        <v/>
      </c>
      <c r="D2382" s="31"/>
      <c r="E2382" s="32" t="str">
        <f>IFERROR(_xlfn.XLOOKUP($B2382,Insumo[DESCRIPCION],Insumo[VALOR],,0),"")</f>
        <v/>
      </c>
      <c r="F2382" s="33"/>
      <c r="G2382" s="34" t="str">
        <f>IFERROR(IF(F2382&gt;=0,D2382*E2382*(1+F2382/100),ABS(D2382*E2382/F2382)),"")</f>
        <v/>
      </c>
      <c r="H2382" s="43" t="str">
        <f>IFERROR(G2382*E2377,"")</f>
        <v/>
      </c>
    </row>
    <row r="2383" spans="1:10" ht="12.75" customHeight="1">
      <c r="A2383" s="28"/>
      <c r="B2383" s="29"/>
      <c r="C2383" s="30" t="str">
        <f>IFERROR(_xlfn.XLOOKUP(B2383,Insumo[DESCRIPCION],Insumo[UND],,0),"")</f>
        <v/>
      </c>
      <c r="D2383" s="31"/>
      <c r="E2383" s="32" t="str">
        <f>IFERROR(_xlfn.XLOOKUP($B2383,Insumo[DESCRIPCION],Insumo[VALOR],,0),"")</f>
        <v/>
      </c>
      <c r="F2383" s="33"/>
      <c r="G2383" s="34" t="str">
        <f>IFERROR(IF(F2383&gt;=0,D2383*E2383*(1+F2383/100),ABS(D2383*E2383/F2383)),"")</f>
        <v/>
      </c>
      <c r="H2383" s="43" t="str">
        <f>IFERROR(G2383*E2377,"")</f>
        <v/>
      </c>
    </row>
    <row r="2384" spans="1:10" ht="12.75" customHeight="1">
      <c r="A2384" s="28"/>
      <c r="B2384" s="29"/>
      <c r="C2384" s="30" t="str">
        <f>IFERROR(_xlfn.XLOOKUP(B2384,Insumo[DESCRIPCION],Insumo[UND],,0),"")</f>
        <v/>
      </c>
      <c r="D2384" s="31"/>
      <c r="E2384" s="32" t="str">
        <f>IFERROR(_xlfn.XLOOKUP($B2384,Insumo[DESCRIPCION],Insumo[VALOR],,0),"")</f>
        <v/>
      </c>
      <c r="F2384" s="33"/>
      <c r="G2384" s="34" t="str">
        <f>IFERROR(IF(F2384&gt;=0,D2384*E2384*(1+F2384/100),ABS(D2384*E2384/F2384)),"")</f>
        <v/>
      </c>
      <c r="H2384" s="43" t="str">
        <f>IFERROR(G2384*E2377,"")</f>
        <v/>
      </c>
    </row>
    <row r="2385" spans="1:10" ht="12.75" customHeight="1">
      <c r="A2385" s="21"/>
      <c r="B2385" s="22" t="s">
        <v>3731</v>
      </c>
      <c r="C2385" s="23"/>
      <c r="D2385" s="24"/>
      <c r="E2385" s="25"/>
      <c r="F2385" s="26"/>
      <c r="G2385" s="27">
        <f>SUM(G2386:G2388)</f>
        <v>7384.4608991499999</v>
      </c>
      <c r="H2385" s="44">
        <f>G2385*E2377</f>
        <v>0</v>
      </c>
    </row>
    <row r="2386" spans="1:10" ht="12.75" customHeight="1">
      <c r="A2386" s="28"/>
      <c r="B2386" s="29" t="s">
        <v>3625</v>
      </c>
      <c r="C2386" s="30" t="str">
        <f>IFERROR(_xlfn.XLOOKUP(B2386,Equipo[DESCRIPCION],Equipo[UND],,0),"")</f>
        <v>Día</v>
      </c>
      <c r="D2386" s="31">
        <v>1</v>
      </c>
      <c r="E2386" s="32">
        <f>IF(C2386="%MO",G2392,IFERROR(_xlfn.XLOOKUP($B2386,Equipo[DESCRIPCION],Equipo[VALOR],,0),""))</f>
        <v>178450.65</v>
      </c>
      <c r="F2386" s="33">
        <v>-30</v>
      </c>
      <c r="G2386" s="34">
        <f>IFERROR(IF(F2386&gt;=0,D2386*E2386*(1+F2386/100),ABS(D2386*E2386/F2386)),"")</f>
        <v>5948.3549999999996</v>
      </c>
      <c r="H2386" s="43">
        <f>IFERROR(G2386*E2377,"")</f>
        <v>0</v>
      </c>
    </row>
    <row r="2387" spans="1:10" ht="12.75" customHeight="1">
      <c r="A2387" s="28"/>
      <c r="B2387" s="29" t="s">
        <v>3626</v>
      </c>
      <c r="C2387" s="30" t="str">
        <f>IFERROR(_xlfn.XLOOKUP(B2387,Equipo[DESCRIPCION],Equipo[UND],,0),"")</f>
        <v>%MO</v>
      </c>
      <c r="D2387" s="31">
        <v>0.05</v>
      </c>
      <c r="E2387" s="32">
        <f>IF(C2387="%MO",G2392,IFERROR(_xlfn.XLOOKUP($B2387,Equipo[DESCRIPCION],Equipo[VALOR],,0),""))</f>
        <v>28722.117983000004</v>
      </c>
      <c r="F2387" s="33"/>
      <c r="G2387" s="34">
        <f>IFERROR(IF(F2387&gt;=0,D2387*E2387*(1+F2387/100),ABS(D2387*E2387/F2387)),"")</f>
        <v>1436.1058991500004</v>
      </c>
      <c r="H2387" s="43">
        <f>IFERROR(G2387*E2377,"")</f>
        <v>0</v>
      </c>
    </row>
    <row r="2388" spans="1:10" ht="12.75" customHeight="1">
      <c r="A2388" s="28"/>
      <c r="B2388" s="29"/>
      <c r="C2388" s="30" t="str">
        <f>IFERROR(_xlfn.XLOOKUP(B2388,Equipo[DESCRIPCION],Equipo[UND],,0),"")</f>
        <v/>
      </c>
      <c r="D2388" s="31"/>
      <c r="E2388" s="32" t="str">
        <f>IF(C2388="%MO",G2392,IFERROR(_xlfn.XLOOKUP($B2388,Equipo[DESCRIPCION],Equipo[VALOR],,0),""))</f>
        <v/>
      </c>
      <c r="F2388" s="33"/>
      <c r="G2388" s="34" t="str">
        <f>IFERROR(IF(F2388&gt;=0,D2388*E2388*(1+F2388/100),ABS(D2388*E2388/F2388)),"")</f>
        <v/>
      </c>
      <c r="H2388" s="43" t="str">
        <f>IFERROR(G2388*E2377,"")</f>
        <v/>
      </c>
    </row>
    <row r="2389" spans="1:10" ht="12.75" customHeight="1">
      <c r="A2389" s="21"/>
      <c r="B2389" s="22" t="s">
        <v>2533</v>
      </c>
      <c r="C2389" s="23"/>
      <c r="D2389" s="24"/>
      <c r="E2389" s="25"/>
      <c r="F2389" s="26"/>
      <c r="G2389" s="27">
        <f>SUM(G2390:G2391)</f>
        <v>0</v>
      </c>
      <c r="H2389" s="44">
        <f>G2389*E2377</f>
        <v>0</v>
      </c>
    </row>
    <row r="2390" spans="1:10" ht="12.75" customHeight="1">
      <c r="A2390" s="28"/>
      <c r="B2390" s="29"/>
      <c r="C2390" s="30" t="str">
        <f>IFERROR(_xlfn.XLOOKUP(B2390,Transporte[DESCRIPCION],Transporte[UND],,0),"")</f>
        <v/>
      </c>
      <c r="D2390" s="31"/>
      <c r="E2390" s="32" t="str">
        <f>IFERROR(_xlfn.XLOOKUP($B2390,Transporte[DESCRIPCION],Transporte[VALOR],,0),"")</f>
        <v/>
      </c>
      <c r="F2390" s="33"/>
      <c r="G2390" s="34" t="str">
        <f>IFERROR(IF(F2390&gt;=0,D2390*E2390*(1+F2390/100),ABS(D2390*E2390/F2390)),"")</f>
        <v/>
      </c>
      <c r="H2390" s="43" t="str">
        <f>IFERROR(G2390*E2377,"")</f>
        <v/>
      </c>
    </row>
    <row r="2391" spans="1:10" ht="12.75" customHeight="1">
      <c r="A2391" s="28"/>
      <c r="B2391" s="29"/>
      <c r="C2391" s="30" t="str">
        <f>IFERROR(_xlfn.XLOOKUP(B2391,Transporte[DESCRIPCION],Transporte[UND],,0),"")</f>
        <v/>
      </c>
      <c r="D2391" s="31"/>
      <c r="E2391" s="32" t="str">
        <f>IFERROR(_xlfn.XLOOKUP($B2391,Transporte[DESCRIPCION],Transporte[VALOR],,0),"")</f>
        <v/>
      </c>
      <c r="F2391" s="33"/>
      <c r="G2391" s="34" t="str">
        <f>IFERROR(IF(F2391&gt;=0,D2391*E2391*(1+F2391/100),ABS(D2391*E2391/F2391)),"")</f>
        <v/>
      </c>
      <c r="H2391" s="43" t="str">
        <f>IFERROR(G2391*E2377,"")</f>
        <v/>
      </c>
    </row>
    <row r="2392" spans="1:10" ht="12.75" customHeight="1">
      <c r="A2392" s="21"/>
      <c r="B2392" s="22" t="s">
        <v>3732</v>
      </c>
      <c r="C2392" s="23"/>
      <c r="D2392" s="24"/>
      <c r="E2392" s="25"/>
      <c r="F2392" s="26"/>
      <c r="G2392" s="27">
        <f>SUM(G2393:G2395)</f>
        <v>28722.117983000004</v>
      </c>
      <c r="H2392" s="44">
        <f>G2392*E2377</f>
        <v>0</v>
      </c>
    </row>
    <row r="2393" spans="1:10" ht="12.75" customHeight="1">
      <c r="A2393" s="28"/>
      <c r="B2393" s="29" t="s">
        <v>3711</v>
      </c>
      <c r="C2393" s="30" t="str">
        <f>IFERROR(_xlfn.XLOOKUP(B2393,MObra[DESCRIPCION],MObra[UN],,0),"")</f>
        <v>día</v>
      </c>
      <c r="D2393" s="31">
        <v>1</v>
      </c>
      <c r="E2393" s="32">
        <f>IFERROR(_xlfn.XLOOKUP($B2393,MObra[DESCRIPCION],MObra[VALOR UNIT],,0),"")</f>
        <v>430831.76974500006</v>
      </c>
      <c r="F2393" s="33">
        <v>-15</v>
      </c>
      <c r="G2393" s="34">
        <f>IFERROR(IF(F2393&gt;=0,D2393*E2393*(1+F2393/100),ABS(D2393*E2393/F2393)),"")</f>
        <v>28722.117983000004</v>
      </c>
      <c r="H2393" s="43">
        <f>IFERROR(G2393*E2377,"")</f>
        <v>0</v>
      </c>
    </row>
    <row r="2394" spans="1:10" ht="12.75" customHeight="1">
      <c r="A2394" s="28"/>
      <c r="B2394" s="29"/>
      <c r="C2394" s="30" t="str">
        <f>IFERROR(_xlfn.XLOOKUP(B2394,MObra[DESCRIPCION],MObra[UN],,0),"")</f>
        <v/>
      </c>
      <c r="D2394" s="31"/>
      <c r="E2394" s="32" t="str">
        <f>IFERROR(_xlfn.XLOOKUP($B2394,MObra[DESCRIPCION],MObra[VALOR UNIT],,0),"")</f>
        <v/>
      </c>
      <c r="F2394" s="33"/>
      <c r="G2394" s="34" t="str">
        <f>IFERROR(IF(F2394&gt;=0,D2394*E2394*(1+F2394/100),ABS(D2394*E2394/F2394)),"")</f>
        <v/>
      </c>
      <c r="H2394" s="43" t="str">
        <f>IFERROR(G2394*E2377,"")</f>
        <v/>
      </c>
    </row>
    <row r="2395" spans="1:10" ht="12.75" customHeight="1" thickBot="1">
      <c r="A2395" s="35"/>
      <c r="B2395" s="36"/>
      <c r="C2395" s="37" t="str">
        <f>IFERROR(_xlfn.XLOOKUP(B2395,MObra[DESCRIPCION],MObra[UN],,0),"")</f>
        <v/>
      </c>
      <c r="D2395" s="38"/>
      <c r="E2395" s="39" t="str">
        <f>IFERROR(_xlfn.XLOOKUP($B2395,MObra[DESCRIPCION],MObra[VALOR UNIT],,0),"")</f>
        <v/>
      </c>
      <c r="F2395" s="40"/>
      <c r="G2395" s="41" t="str">
        <f>IFERROR(IF(F2395&gt;=0,D2395*E2395*(1+F2395/100),ABS(D2395*E2395/F2395)),"")</f>
        <v/>
      </c>
      <c r="H2395" s="42" t="str">
        <f>IFERROR(G2395*E2377,"")</f>
        <v/>
      </c>
    </row>
    <row r="2396" spans="1:10" ht="12.75" customHeight="1" thickTop="1" thickBot="1"/>
    <row r="2397" spans="1:10" ht="12.75" customHeight="1" thickTop="1" thickBot="1">
      <c r="A2397" s="6" t="s">
        <v>1334</v>
      </c>
      <c r="B2397" s="7" t="str">
        <f>VLOOKUP($A2397,Presupuesto!$A:$D,2,FALSE())</f>
        <v>Piso granito pulido + dilatación</v>
      </c>
      <c r="C2397" s="8" t="str">
        <f>VLOOKUP($A2397,Presupuesto!$A:$D,3,FALSE())</f>
        <v>M2</v>
      </c>
      <c r="D2397" s="9"/>
      <c r="E2397" s="10">
        <f>VLOOKUP($A2397,Presupuesto!$A:$D,4,FALSE())</f>
        <v>0</v>
      </c>
      <c r="F2397" s="11" t="s">
        <v>2589</v>
      </c>
      <c r="G2397" s="12">
        <f>SUM(G2399:G2416)/2</f>
        <v>144190.26763425002</v>
      </c>
      <c r="H2397" s="13">
        <f>ROUND(SUM(H2399:H2416),0)/2</f>
        <v>0</v>
      </c>
      <c r="I2397" s="10">
        <f>VLOOKUP(A2397,Presupuesto!$A:$F,6,0)</f>
        <v>0</v>
      </c>
      <c r="J2397" s="10">
        <f>+H2397-I2397</f>
        <v>0</v>
      </c>
    </row>
    <row r="2398" spans="1:10" ht="12.75" customHeight="1" thickTop="1">
      <c r="A2398" s="14"/>
      <c r="B2398" s="15" t="s">
        <v>2586</v>
      </c>
      <c r="C2398" s="15" t="s">
        <v>5</v>
      </c>
      <c r="D2398" s="16" t="s">
        <v>6</v>
      </c>
      <c r="E2398" s="17" t="s">
        <v>7</v>
      </c>
      <c r="F2398" s="18" t="s">
        <v>3728</v>
      </c>
      <c r="G2398" s="19" t="s">
        <v>3729</v>
      </c>
      <c r="H2398" s="20" t="s">
        <v>3797</v>
      </c>
    </row>
    <row r="2399" spans="1:10" ht="12.75" customHeight="1">
      <c r="A2399" s="21"/>
      <c r="B2399" s="22" t="s">
        <v>3730</v>
      </c>
      <c r="C2399" s="23"/>
      <c r="D2399" s="24"/>
      <c r="E2399" s="25"/>
      <c r="F2399" s="26"/>
      <c r="G2399" s="27">
        <f>SUM(G2400:G2405)</f>
        <v>96481.875000000015</v>
      </c>
      <c r="H2399" s="27">
        <f>IFERROR(G2399*E2397,"")</f>
        <v>0</v>
      </c>
    </row>
    <row r="2400" spans="1:10" ht="12.75" customHeight="1">
      <c r="A2400" s="28"/>
      <c r="B2400" s="29" t="s">
        <v>2823</v>
      </c>
      <c r="C2400" s="30" t="str">
        <f>IFERROR(_xlfn.XLOOKUP(B2400,Insumo[DESCRIPCION],Insumo[UND],,0),"")</f>
        <v>Kg</v>
      </c>
      <c r="D2400" s="31">
        <v>5</v>
      </c>
      <c r="E2400" s="32">
        <f>IFERROR(_xlfn.XLOOKUP($B2400,Insumo[DESCRIPCION],Insumo[VALOR],,0),"")</f>
        <v>1680</v>
      </c>
      <c r="F2400" s="33"/>
      <c r="G2400" s="34">
        <f t="shared" ref="G2400:G2405" si="10">IFERROR(IF(F2400&gt;=0,D2400*E2400*(1+F2400/100),ABS(D2400*E2400/F2400)),"")</f>
        <v>8400</v>
      </c>
      <c r="H2400" s="43">
        <f>IFERROR(G2400*E2397,"")</f>
        <v>0</v>
      </c>
    </row>
    <row r="2401" spans="1:8" ht="12.75" customHeight="1">
      <c r="A2401" s="28"/>
      <c r="B2401" s="29" t="s">
        <v>2824</v>
      </c>
      <c r="C2401" s="30" t="str">
        <f>IFERROR(_xlfn.XLOOKUP(B2401,Insumo[DESCRIPCION],Insumo[UND],,0),"")</f>
        <v>Un</v>
      </c>
      <c r="D2401" s="31">
        <f>0.02*10</f>
        <v>0.2</v>
      </c>
      <c r="E2401" s="32">
        <f>IFERROR(_xlfn.XLOOKUP($B2401,Insumo[DESCRIPCION],Insumo[VALOR],,0),"")</f>
        <v>34230</v>
      </c>
      <c r="F2401" s="33"/>
      <c r="G2401" s="34">
        <f t="shared" si="10"/>
        <v>6846</v>
      </c>
      <c r="H2401" s="43">
        <f>IFERROR(G2401*E2397,"")</f>
        <v>0</v>
      </c>
    </row>
    <row r="2402" spans="1:8" ht="12.75" customHeight="1">
      <c r="A2402" s="28"/>
      <c r="B2402" s="29" t="s">
        <v>2825</v>
      </c>
      <c r="C2402" s="30" t="str">
        <f>IFERROR(_xlfn.XLOOKUP(B2402,Insumo[DESCRIPCION],Insumo[UND],,0),"")</f>
        <v>Lb</v>
      </c>
      <c r="D2402" s="31">
        <v>1</v>
      </c>
      <c r="E2402" s="32">
        <f>IFERROR(_xlfn.XLOOKUP($B2402,Insumo[DESCRIPCION],Insumo[VALOR],,0),"")</f>
        <v>9657.9</v>
      </c>
      <c r="F2402" s="33"/>
      <c r="G2402" s="34">
        <f t="shared" si="10"/>
        <v>9657.9</v>
      </c>
      <c r="H2402" s="43">
        <f>IFERROR(G2402*E2397,"")</f>
        <v>0</v>
      </c>
    </row>
    <row r="2403" spans="1:8" ht="12.75" customHeight="1">
      <c r="A2403" s="28"/>
      <c r="B2403" s="29" t="s">
        <v>2979</v>
      </c>
      <c r="C2403" s="30" t="str">
        <f>IFERROR(_xlfn.XLOOKUP(B2403,Insumo[DESCRIPCION],Insumo[UND],,0),"")</f>
        <v>Un</v>
      </c>
      <c r="D2403" s="31">
        <f>0.14*10</f>
        <v>1.4000000000000001</v>
      </c>
      <c r="E2403" s="32">
        <f>IFERROR(_xlfn.XLOOKUP($B2403,Insumo[DESCRIPCION],Insumo[VALOR],,0),"")</f>
        <v>39667.950000000004</v>
      </c>
      <c r="F2403" s="33"/>
      <c r="G2403" s="34">
        <f t="shared" si="10"/>
        <v>55535.130000000012</v>
      </c>
      <c r="H2403" s="43">
        <f>IFERROR(G2403*E2397,"")</f>
        <v>0</v>
      </c>
    </row>
    <row r="2404" spans="1:8" ht="12.75" customHeight="1">
      <c r="A2404" s="28"/>
      <c r="B2404" s="29" t="s">
        <v>2980</v>
      </c>
      <c r="C2404" s="30" t="str">
        <f>IFERROR(_xlfn.XLOOKUP(B2404,Insumo[DESCRIPCION],Insumo[UND],,0),"")</f>
        <v>Un</v>
      </c>
      <c r="D2404" s="31">
        <v>0.7</v>
      </c>
      <c r="E2404" s="32">
        <f>IFERROR(_xlfn.XLOOKUP($B2404,Insumo[DESCRIPCION],Insumo[VALOR],,0),"")</f>
        <v>231</v>
      </c>
      <c r="F2404" s="33"/>
      <c r="G2404" s="34">
        <f t="shared" si="10"/>
        <v>161.69999999999999</v>
      </c>
      <c r="H2404" s="43">
        <f>IFERROR(G2404*E2397,"")</f>
        <v>0</v>
      </c>
    </row>
    <row r="2405" spans="1:8" ht="12.75" customHeight="1">
      <c r="A2405" s="28"/>
      <c r="B2405" s="29" t="s">
        <v>2920</v>
      </c>
      <c r="C2405" s="30" t="str">
        <f>IFERROR(_xlfn.XLOOKUP(B2405,Insumo[DESCRIPCION],Insumo[UND],,0),"")</f>
        <v>M</v>
      </c>
      <c r="D2405" s="31">
        <v>0.7</v>
      </c>
      <c r="E2405" s="32">
        <f>IFERROR(_xlfn.XLOOKUP($B2405,Insumo[DESCRIPCION],Insumo[VALOR],,0),"")</f>
        <v>22687.350000000002</v>
      </c>
      <c r="F2405" s="33"/>
      <c r="G2405" s="34">
        <f t="shared" si="10"/>
        <v>15881.145</v>
      </c>
      <c r="H2405" s="43">
        <f>IFERROR(G2405*E2397,"")</f>
        <v>0</v>
      </c>
    </row>
    <row r="2406" spans="1:8" ht="12.75" customHeight="1">
      <c r="A2406" s="21"/>
      <c r="B2406" s="22" t="s">
        <v>3731</v>
      </c>
      <c r="C2406" s="23"/>
      <c r="D2406" s="24"/>
      <c r="E2406" s="25"/>
      <c r="F2406" s="26"/>
      <c r="G2406" s="27">
        <f>SUM(G2407:G2409)</f>
        <v>2795.428220678572</v>
      </c>
      <c r="H2406" s="44">
        <f>G2406*E2397</f>
        <v>0</v>
      </c>
    </row>
    <row r="2407" spans="1:8" ht="12.75" customHeight="1">
      <c r="A2407" s="28"/>
      <c r="B2407" s="29" t="s">
        <v>3642</v>
      </c>
      <c r="C2407" s="30" t="str">
        <f>IFERROR(_xlfn.XLOOKUP(B2407,Equipo[DESCRIPCION],Equipo[UND],,0),"")</f>
        <v>Día</v>
      </c>
      <c r="D2407" s="31">
        <v>1</v>
      </c>
      <c r="E2407" s="32">
        <f>IF(C2407="%MO",G2413,IFERROR(_xlfn.XLOOKUP($B2407,Equipo[DESCRIPCION],Equipo[VALOR],,0),""))</f>
        <v>54978</v>
      </c>
      <c r="F2407" s="33">
        <v>-100</v>
      </c>
      <c r="G2407" s="34">
        <f>IFERROR(IF(F2407&gt;=0,D2407*E2407*(1+F2407/100),ABS(D2407*E2407/F2407)),"")</f>
        <v>549.78</v>
      </c>
      <c r="H2407" s="43">
        <f>IFERROR(G2407*E2397,"")</f>
        <v>0</v>
      </c>
    </row>
    <row r="2408" spans="1:8" ht="12.75" customHeight="1">
      <c r="A2408" s="28"/>
      <c r="B2408" s="29" t="s">
        <v>3626</v>
      </c>
      <c r="C2408" s="30" t="str">
        <f>IFERROR(_xlfn.XLOOKUP(B2408,Equipo[DESCRIPCION],Equipo[UND],,0),"")</f>
        <v>%MO</v>
      </c>
      <c r="D2408" s="31">
        <v>0.05</v>
      </c>
      <c r="E2408" s="32">
        <f>IF(C2408="%MO",G2413,IFERROR(_xlfn.XLOOKUP($B2408,Equipo[DESCRIPCION],Equipo[VALOR],,0),""))</f>
        <v>44912.964413571441</v>
      </c>
      <c r="F2408" s="33"/>
      <c r="G2408" s="34">
        <f>IFERROR(IF(F2408&gt;=0,D2408*E2408*(1+F2408/100),ABS(D2408*E2408/F2408)),"")</f>
        <v>2245.6482206785722</v>
      </c>
      <c r="H2408" s="43">
        <f>IFERROR(G2408*E2397,"")</f>
        <v>0</v>
      </c>
    </row>
    <row r="2409" spans="1:8" ht="12.75" customHeight="1">
      <c r="A2409" s="28"/>
      <c r="B2409" s="29"/>
      <c r="C2409" s="30" t="str">
        <f>IFERROR(_xlfn.XLOOKUP(B2409,Equipo[DESCRIPCION],Equipo[UND],,0),"")</f>
        <v/>
      </c>
      <c r="D2409" s="31"/>
      <c r="E2409" s="32" t="str">
        <f>IF(C2409="%MO",G2413,IFERROR(_xlfn.XLOOKUP($B2409,Equipo[DESCRIPCION],Equipo[VALOR],,0),""))</f>
        <v/>
      </c>
      <c r="F2409" s="33"/>
      <c r="G2409" s="34" t="str">
        <f>IFERROR(IF(F2409&gt;=0,D2409*E2409*(1+F2409/100),ABS(D2409*E2409/F2409)),"")</f>
        <v/>
      </c>
      <c r="H2409" s="43" t="str">
        <f>IFERROR(G2409*E2397,"")</f>
        <v/>
      </c>
    </row>
    <row r="2410" spans="1:8" ht="12.75" customHeight="1">
      <c r="A2410" s="21"/>
      <c r="B2410" s="22" t="s">
        <v>2533</v>
      </c>
      <c r="C2410" s="23"/>
      <c r="D2410" s="24"/>
      <c r="E2410" s="25"/>
      <c r="F2410" s="26"/>
      <c r="G2410" s="27">
        <f>SUM(G2411:G2412)</f>
        <v>0</v>
      </c>
      <c r="H2410" s="44">
        <f>G2410*E2397</f>
        <v>0</v>
      </c>
    </row>
    <row r="2411" spans="1:8" ht="12.75" customHeight="1">
      <c r="A2411" s="28"/>
      <c r="B2411" s="29"/>
      <c r="C2411" s="30" t="str">
        <f>IFERROR(_xlfn.XLOOKUP(B2411,Transporte[DESCRIPCION],Transporte[UND],,0),"")</f>
        <v/>
      </c>
      <c r="D2411" s="31"/>
      <c r="E2411" s="32" t="str">
        <f>IFERROR(_xlfn.XLOOKUP($B2411,Transporte[DESCRIPCION],Transporte[VALOR],,0),"")</f>
        <v/>
      </c>
      <c r="F2411" s="33"/>
      <c r="G2411" s="34" t="str">
        <f>IFERROR(IF(F2411&gt;=0,D2411*E2411*(1+F2411/100),ABS(D2411*E2411/F2411)),"")</f>
        <v/>
      </c>
      <c r="H2411" s="43" t="str">
        <f>IFERROR(G2411*E2397,"")</f>
        <v/>
      </c>
    </row>
    <row r="2412" spans="1:8" ht="12.75" customHeight="1">
      <c r="A2412" s="28"/>
      <c r="B2412" s="29"/>
      <c r="C2412" s="30" t="str">
        <f>IFERROR(_xlfn.XLOOKUP(B2412,Transporte[DESCRIPCION],Transporte[UND],,0),"")</f>
        <v/>
      </c>
      <c r="D2412" s="31"/>
      <c r="E2412" s="32" t="str">
        <f>IFERROR(_xlfn.XLOOKUP($B2412,Transporte[DESCRIPCION],Transporte[VALOR],,0),"")</f>
        <v/>
      </c>
      <c r="F2412" s="33"/>
      <c r="G2412" s="34" t="str">
        <f>IFERROR(IF(F2412&gt;=0,D2412*E2412*(1+F2412/100),ABS(D2412*E2412/F2412)),"")</f>
        <v/>
      </c>
      <c r="H2412" s="43" t="str">
        <f>IFERROR(G2412*E2397,"")</f>
        <v/>
      </c>
    </row>
    <row r="2413" spans="1:8" ht="12.75" customHeight="1">
      <c r="A2413" s="21"/>
      <c r="B2413" s="22" t="s">
        <v>3732</v>
      </c>
      <c r="C2413" s="23"/>
      <c r="D2413" s="24"/>
      <c r="E2413" s="25"/>
      <c r="F2413" s="26"/>
      <c r="G2413" s="27">
        <f>SUM(G2414:G2416)</f>
        <v>44912.964413571441</v>
      </c>
      <c r="H2413" s="44">
        <f>G2413*E2397</f>
        <v>0</v>
      </c>
    </row>
    <row r="2414" spans="1:8" ht="12.75" customHeight="1">
      <c r="A2414" s="28"/>
      <c r="B2414" s="29" t="s">
        <v>3710</v>
      </c>
      <c r="C2414" s="30" t="str">
        <f>IFERROR(_xlfn.XLOOKUP(B2414,MObra[DESCRIPCION],MObra[UN],,0),"")</f>
        <v>día</v>
      </c>
      <c r="D2414" s="31">
        <v>1</v>
      </c>
      <c r="E2414" s="32">
        <f>IFERROR(_xlfn.XLOOKUP($B2414,MObra[DESCRIPCION],MObra[VALOR UNIT],,0),"")</f>
        <v>314390.75089500006</v>
      </c>
      <c r="F2414" s="33">
        <v>-7</v>
      </c>
      <c r="G2414" s="34">
        <f>IFERROR(IF(F2414&gt;=0,D2414*E2414*(1+F2414/100),ABS(D2414*E2414/F2414)),"")</f>
        <v>44912.964413571441</v>
      </c>
      <c r="H2414" s="43">
        <f>IFERROR(G2414*E2397,"")</f>
        <v>0</v>
      </c>
    </row>
    <row r="2415" spans="1:8" ht="12.75" customHeight="1">
      <c r="A2415" s="28"/>
      <c r="B2415" s="29"/>
      <c r="C2415" s="30" t="str">
        <f>IFERROR(_xlfn.XLOOKUP(B2415,MObra[DESCRIPCION],MObra[UN],,0),"")</f>
        <v/>
      </c>
      <c r="D2415" s="31"/>
      <c r="E2415" s="32" t="str">
        <f>IFERROR(_xlfn.XLOOKUP($B2415,MObra[DESCRIPCION],MObra[VALOR UNIT],,0),"")</f>
        <v/>
      </c>
      <c r="F2415" s="33"/>
      <c r="G2415" s="34" t="str">
        <f>IFERROR(IF(F2415&gt;=0,D2415*E2415*(1+F2415/100),ABS(D2415*E2415/F2415)),"")</f>
        <v/>
      </c>
      <c r="H2415" s="43" t="str">
        <f>IFERROR(G2415*E2397,"")</f>
        <v/>
      </c>
    </row>
    <row r="2416" spans="1:8" ht="12.75" customHeight="1" thickBot="1">
      <c r="A2416" s="35"/>
      <c r="B2416" s="36"/>
      <c r="C2416" s="37" t="str">
        <f>IFERROR(_xlfn.XLOOKUP(B2416,MObra[DESCRIPCION],MObra[UN],,0),"")</f>
        <v/>
      </c>
      <c r="D2416" s="38"/>
      <c r="E2416" s="39" t="str">
        <f>IFERROR(_xlfn.XLOOKUP($B2416,MObra[DESCRIPCION],MObra[VALOR UNIT],,0),"")</f>
        <v/>
      </c>
      <c r="F2416" s="40"/>
      <c r="G2416" s="41" t="str">
        <f>IFERROR(IF(F2416&gt;=0,D2416*E2416*(1+F2416/100),ABS(D2416*E2416/F2416)),"")</f>
        <v/>
      </c>
      <c r="H2416" s="42" t="str">
        <f>IFERROR(G2416*E2397,"")</f>
        <v/>
      </c>
    </row>
    <row r="2417" spans="1:10" ht="12.75" customHeight="1" thickTop="1" thickBot="1"/>
    <row r="2418" spans="1:10" ht="12.75" customHeight="1" thickTop="1" thickBot="1">
      <c r="A2418" s="6" t="s">
        <v>1336</v>
      </c>
      <c r="B2418" s="7" t="str">
        <f>VLOOKUP($A2418,Presupuesto!$A:$D,2,FALSE())</f>
        <v>Piso gravilla lavada + dilatación</v>
      </c>
      <c r="C2418" s="8" t="str">
        <f>VLOOKUP($A2418,Presupuesto!$A:$D,3,FALSE())</f>
        <v>M2</v>
      </c>
      <c r="D2418" s="9"/>
      <c r="E2418" s="10">
        <f>VLOOKUP($A2418,Presupuesto!$A:$D,4,FALSE())</f>
        <v>0</v>
      </c>
      <c r="F2418" s="11" t="s">
        <v>2589</v>
      </c>
      <c r="G2418" s="12">
        <f>SUM(G2420:G2436)/2</f>
        <v>82995.301054968761</v>
      </c>
      <c r="H2418" s="13">
        <f>ROUND(SUM(H2420:H2436),0)/2</f>
        <v>0</v>
      </c>
      <c r="I2418" s="10">
        <f>VLOOKUP(A2418,Presupuesto!$A:$F,6,0)</f>
        <v>0</v>
      </c>
      <c r="J2418" s="10">
        <f>+H2418-I2418</f>
        <v>0</v>
      </c>
    </row>
    <row r="2419" spans="1:10" ht="12.75" customHeight="1" thickTop="1">
      <c r="A2419" s="14"/>
      <c r="B2419" s="15" t="s">
        <v>2586</v>
      </c>
      <c r="C2419" s="15" t="s">
        <v>5</v>
      </c>
      <c r="D2419" s="16" t="s">
        <v>6</v>
      </c>
      <c r="E2419" s="17" t="s">
        <v>7</v>
      </c>
      <c r="F2419" s="18" t="s">
        <v>3728</v>
      </c>
      <c r="G2419" s="19" t="s">
        <v>3729</v>
      </c>
      <c r="H2419" s="20" t="s">
        <v>3797</v>
      </c>
    </row>
    <row r="2420" spans="1:10" ht="12.75" customHeight="1">
      <c r="A2420" s="21"/>
      <c r="B2420" s="22" t="s">
        <v>3730</v>
      </c>
      <c r="C2420" s="23"/>
      <c r="D2420" s="24"/>
      <c r="E2420" s="25"/>
      <c r="F2420" s="26"/>
      <c r="G2420" s="27">
        <f>SUM(G2421:G2425)</f>
        <v>41731.514999999999</v>
      </c>
      <c r="H2420" s="27">
        <f>IFERROR(G2420*E2418,"")</f>
        <v>0</v>
      </c>
    </row>
    <row r="2421" spans="1:10" ht="12.75" customHeight="1">
      <c r="A2421" s="28"/>
      <c r="B2421" s="29" t="s">
        <v>2984</v>
      </c>
      <c r="C2421" s="30" t="str">
        <f>IFERROR(_xlfn.XLOOKUP(B2421,Insumo[DESCRIPCION],Insumo[UND],,0),"")</f>
        <v>Un</v>
      </c>
      <c r="D2421" s="31">
        <v>3</v>
      </c>
      <c r="E2421" s="32">
        <f>IFERROR(_xlfn.XLOOKUP($B2421,Insumo[DESCRIPCION],Insumo[VALOR],,0),"")</f>
        <v>3515.4</v>
      </c>
      <c r="F2421" s="33"/>
      <c r="G2421" s="34">
        <f>IFERROR(IF(F2421&gt;=0,D2421*E2421*(1+F2421/100),ABS(D2421*E2421/F2421)),"")</f>
        <v>10546.2</v>
      </c>
      <c r="H2421" s="43">
        <f>IFERROR(G2421*E2418,"")</f>
        <v>0</v>
      </c>
    </row>
    <row r="2422" spans="1:10" ht="12.75" customHeight="1">
      <c r="A2422" s="28"/>
      <c r="B2422" s="29" t="s">
        <v>2824</v>
      </c>
      <c r="C2422" s="30" t="str">
        <f>IFERROR(_xlfn.XLOOKUP(B2422,Insumo[DESCRIPCION],Insumo[UND],,0),"")</f>
        <v>Un</v>
      </c>
      <c r="D2422" s="31">
        <v>0.5</v>
      </c>
      <c r="E2422" s="32">
        <f>IFERROR(_xlfn.XLOOKUP($B2422,Insumo[DESCRIPCION],Insumo[VALOR],,0),"")</f>
        <v>34230</v>
      </c>
      <c r="F2422" s="33"/>
      <c r="G2422" s="34">
        <f>IFERROR(IF(F2422&gt;=0,D2422*E2422*(1+F2422/100),ABS(D2422*E2422/F2422)),"")</f>
        <v>17115</v>
      </c>
      <c r="H2422" s="43">
        <f>IFERROR(G2422*E2418,"")</f>
        <v>0</v>
      </c>
    </row>
    <row r="2423" spans="1:10" ht="12.75" customHeight="1">
      <c r="A2423" s="28"/>
      <c r="B2423" s="29" t="s">
        <v>2922</v>
      </c>
      <c r="C2423" s="30" t="str">
        <f>IFERROR(_xlfn.XLOOKUP(B2423,Insumo[DESCRIPCION],Insumo[UND],,0),"")</f>
        <v>M</v>
      </c>
      <c r="D2423" s="31">
        <v>0.7</v>
      </c>
      <c r="E2423" s="32">
        <f>IFERROR(_xlfn.XLOOKUP($B2423,Insumo[DESCRIPCION],Insumo[VALOR],,0),"")</f>
        <v>3862.9500000000003</v>
      </c>
      <c r="F2423" s="33"/>
      <c r="G2423" s="34">
        <f>IFERROR(IF(F2423&gt;=0,D2423*E2423*(1+F2423/100),ABS(D2423*E2423/F2423)),"")</f>
        <v>2704.0650000000001</v>
      </c>
      <c r="H2423" s="43">
        <f>IFERROR(G2423*E2418,"")</f>
        <v>0</v>
      </c>
    </row>
    <row r="2424" spans="1:10" ht="12.75" customHeight="1">
      <c r="A2424" s="28"/>
      <c r="B2424" s="29" t="s">
        <v>2997</v>
      </c>
      <c r="C2424" s="30" t="str">
        <f>IFERROR(_xlfn.XLOOKUP(B2424,Insumo[DESCRIPCION],Insumo[UND],,0),"")</f>
        <v>Kg</v>
      </c>
      <c r="D2424" s="31">
        <v>1</v>
      </c>
      <c r="E2424" s="32">
        <f>IFERROR(_xlfn.XLOOKUP($B2424,Insumo[DESCRIPCION],Insumo[VALOR],,0),"")</f>
        <v>11366.25</v>
      </c>
      <c r="F2424" s="33"/>
      <c r="G2424" s="34">
        <f>IFERROR(IF(F2424&gt;=0,D2424*E2424*(1+F2424/100),ABS(D2424*E2424/F2424)),"")</f>
        <v>11366.25</v>
      </c>
      <c r="H2424" s="43">
        <f>IFERROR(G2424*E2418,"")</f>
        <v>0</v>
      </c>
    </row>
    <row r="2425" spans="1:10" ht="12.75" customHeight="1">
      <c r="A2425" s="28"/>
      <c r="B2425" s="29"/>
      <c r="C2425" s="30" t="str">
        <f>IFERROR(_xlfn.XLOOKUP(B2425,Insumo[DESCRIPCION],Insumo[UND],,0),"")</f>
        <v/>
      </c>
      <c r="D2425" s="31"/>
      <c r="E2425" s="32" t="str">
        <f>IFERROR(_xlfn.XLOOKUP($B2425,Insumo[DESCRIPCION],Insumo[VALOR],,0),"")</f>
        <v/>
      </c>
      <c r="F2425" s="33"/>
      <c r="G2425" s="34" t="str">
        <f>IFERROR(IF(F2425&gt;=0,D2425*E2425*(1+F2425/100),ABS(D2425*E2425/F2425)),"")</f>
        <v/>
      </c>
      <c r="H2425" s="43" t="str">
        <f>IFERROR(G2425*E2418,"")</f>
        <v/>
      </c>
    </row>
    <row r="2426" spans="1:10" ht="12.75" customHeight="1">
      <c r="A2426" s="21"/>
      <c r="B2426" s="22" t="s">
        <v>3731</v>
      </c>
      <c r="C2426" s="23"/>
      <c r="D2426" s="24"/>
      <c r="E2426" s="25"/>
      <c r="F2426" s="26"/>
      <c r="G2426" s="27">
        <f>SUM(G2427:G2429)</f>
        <v>1964.9421930937506</v>
      </c>
      <c r="H2426" s="44">
        <f>G2426*E2418</f>
        <v>0</v>
      </c>
    </row>
    <row r="2427" spans="1:10" ht="12.75" customHeight="1">
      <c r="A2427" s="28"/>
      <c r="B2427" s="29" t="s">
        <v>3626</v>
      </c>
      <c r="C2427" s="30" t="str">
        <f>IFERROR(_xlfn.XLOOKUP(B2427,Equipo[DESCRIPCION],Equipo[UND],,0),"")</f>
        <v>%MO</v>
      </c>
      <c r="D2427" s="31">
        <v>0.05</v>
      </c>
      <c r="E2427" s="32">
        <f>IF(C2427="%MO",G2433,IFERROR(_xlfn.XLOOKUP($B2427,Equipo[DESCRIPCION],Equipo[VALOR],,0),""))</f>
        <v>39298.843861875008</v>
      </c>
      <c r="F2427" s="33"/>
      <c r="G2427" s="34">
        <f>IFERROR(IF(F2427&gt;=0,D2427*E2427*(1+F2427/100),ABS(D2427*E2427/F2427)),"")</f>
        <v>1964.9421930937506</v>
      </c>
      <c r="H2427" s="43">
        <f>IFERROR(G2427*E2418,"")</f>
        <v>0</v>
      </c>
    </row>
    <row r="2428" spans="1:10" ht="12.75" customHeight="1">
      <c r="A2428" s="28"/>
      <c r="B2428" s="29"/>
      <c r="C2428" s="30" t="str">
        <f>IFERROR(_xlfn.XLOOKUP(B2428,Equipo[DESCRIPCION],Equipo[UND],,0),"")</f>
        <v/>
      </c>
      <c r="D2428" s="31"/>
      <c r="E2428" s="32" t="str">
        <f>IF(C2428="%MO",G2433,IFERROR(_xlfn.XLOOKUP($B2428,Equipo[DESCRIPCION],Equipo[VALOR],,0),""))</f>
        <v/>
      </c>
      <c r="F2428" s="33"/>
      <c r="G2428" s="34" t="str">
        <f>IFERROR(IF(F2428&gt;=0,D2428*E2428*(1+F2428/100),ABS(D2428*E2428/F2428)),"")</f>
        <v/>
      </c>
      <c r="H2428" s="43" t="str">
        <f>IFERROR(G2428*E2418,"")</f>
        <v/>
      </c>
    </row>
    <row r="2429" spans="1:10" ht="12.75" customHeight="1">
      <c r="A2429" s="28"/>
      <c r="B2429" s="29"/>
      <c r="C2429" s="30" t="str">
        <f>IFERROR(_xlfn.XLOOKUP(B2429,Equipo[DESCRIPCION],Equipo[UND],,0),"")</f>
        <v/>
      </c>
      <c r="D2429" s="31"/>
      <c r="E2429" s="32" t="str">
        <f>IF(C2429="%MO",G2433,IFERROR(_xlfn.XLOOKUP($B2429,Equipo[DESCRIPCION],Equipo[VALOR],,0),""))</f>
        <v/>
      </c>
      <c r="F2429" s="33"/>
      <c r="G2429" s="34" t="str">
        <f>IFERROR(IF(F2429&gt;=0,D2429*E2429*(1+F2429/100),ABS(D2429*E2429/F2429)),"")</f>
        <v/>
      </c>
      <c r="H2429" s="43" t="str">
        <f>IFERROR(G2429*E2418,"")</f>
        <v/>
      </c>
    </row>
    <row r="2430" spans="1:10" ht="12.75" customHeight="1">
      <c r="A2430" s="21"/>
      <c r="B2430" s="22" t="s">
        <v>2533</v>
      </c>
      <c r="C2430" s="23"/>
      <c r="D2430" s="24"/>
      <c r="E2430" s="25"/>
      <c r="F2430" s="26"/>
      <c r="G2430" s="27">
        <f>SUM(G2431:G2432)</f>
        <v>0</v>
      </c>
      <c r="H2430" s="44">
        <f>G2430*E2418</f>
        <v>0</v>
      </c>
    </row>
    <row r="2431" spans="1:10" ht="12.75" customHeight="1">
      <c r="A2431" s="28"/>
      <c r="B2431" s="29"/>
      <c r="C2431" s="30" t="str">
        <f>IFERROR(_xlfn.XLOOKUP(B2431,Transporte[DESCRIPCION],Transporte[UND],,0),"")</f>
        <v/>
      </c>
      <c r="D2431" s="31"/>
      <c r="E2431" s="32" t="str">
        <f>IFERROR(_xlfn.XLOOKUP($B2431,Transporte[DESCRIPCION],Transporte[VALOR],,0),"")</f>
        <v/>
      </c>
      <c r="F2431" s="33"/>
      <c r="G2431" s="34" t="str">
        <f>IFERROR(IF(F2431&gt;=0,D2431*E2431*(1+F2431/100),ABS(D2431*E2431/F2431)),"")</f>
        <v/>
      </c>
      <c r="H2431" s="43" t="str">
        <f>IFERROR(G2431*E2418,"")</f>
        <v/>
      </c>
    </row>
    <row r="2432" spans="1:10" ht="12.75" customHeight="1">
      <c r="A2432" s="28"/>
      <c r="B2432" s="29"/>
      <c r="C2432" s="30" t="str">
        <f>IFERROR(_xlfn.XLOOKUP(B2432,Transporte[DESCRIPCION],Transporte[UND],,0),"")</f>
        <v/>
      </c>
      <c r="D2432" s="31"/>
      <c r="E2432" s="32" t="str">
        <f>IFERROR(_xlfn.XLOOKUP($B2432,Transporte[DESCRIPCION],Transporte[VALOR],,0),"")</f>
        <v/>
      </c>
      <c r="F2432" s="33"/>
      <c r="G2432" s="34" t="str">
        <f>IFERROR(IF(F2432&gt;=0,D2432*E2432*(1+F2432/100),ABS(D2432*E2432/F2432)),"")</f>
        <v/>
      </c>
      <c r="H2432" s="43" t="str">
        <f>IFERROR(G2432*E2418,"")</f>
        <v/>
      </c>
    </row>
    <row r="2433" spans="1:10" ht="12.75" customHeight="1">
      <c r="A2433" s="21"/>
      <c r="B2433" s="22" t="s">
        <v>3732</v>
      </c>
      <c r="C2433" s="23"/>
      <c r="D2433" s="24"/>
      <c r="E2433" s="25"/>
      <c r="F2433" s="26"/>
      <c r="G2433" s="27">
        <f>SUM(G2434:G2436)</f>
        <v>39298.843861875008</v>
      </c>
      <c r="H2433" s="44">
        <f>G2433*E2418</f>
        <v>0</v>
      </c>
    </row>
    <row r="2434" spans="1:10" ht="12.75" customHeight="1">
      <c r="A2434" s="28"/>
      <c r="B2434" s="29" t="s">
        <v>3710</v>
      </c>
      <c r="C2434" s="30" t="str">
        <f>IFERROR(_xlfn.XLOOKUP(B2434,MObra[DESCRIPCION],MObra[UN],,0),"")</f>
        <v>día</v>
      </c>
      <c r="D2434" s="31">
        <v>1</v>
      </c>
      <c r="E2434" s="32">
        <f>IFERROR(_xlfn.XLOOKUP($B2434,MObra[DESCRIPCION],MObra[VALOR UNIT],,0),"")</f>
        <v>314390.75089500006</v>
      </c>
      <c r="F2434" s="33">
        <v>-8</v>
      </c>
      <c r="G2434" s="34">
        <f>IFERROR(IF(F2434&gt;=0,D2434*E2434*(1+F2434/100),ABS(D2434*E2434/F2434)),"")</f>
        <v>39298.843861875008</v>
      </c>
      <c r="H2434" s="43">
        <f>IFERROR(G2434*E2418,"")</f>
        <v>0</v>
      </c>
    </row>
    <row r="2435" spans="1:10" ht="12.75" customHeight="1">
      <c r="A2435" s="28"/>
      <c r="B2435" s="29"/>
      <c r="C2435" s="30" t="str">
        <f>IFERROR(_xlfn.XLOOKUP(B2435,MObra[DESCRIPCION],MObra[UN],,0),"")</f>
        <v/>
      </c>
      <c r="D2435" s="31"/>
      <c r="E2435" s="32" t="str">
        <f>IFERROR(_xlfn.XLOOKUP($B2435,MObra[DESCRIPCION],MObra[VALOR UNIT],,0),"")</f>
        <v/>
      </c>
      <c r="F2435" s="33"/>
      <c r="G2435" s="34" t="str">
        <f>IFERROR(IF(F2435&gt;=0,D2435*E2435*(1+F2435/100),ABS(D2435*E2435/F2435)),"")</f>
        <v/>
      </c>
      <c r="H2435" s="43" t="str">
        <f>IFERROR(G2435*E2418,"")</f>
        <v/>
      </c>
    </row>
    <row r="2436" spans="1:10" ht="12.75" customHeight="1" thickBot="1">
      <c r="A2436" s="35"/>
      <c r="B2436" s="36"/>
      <c r="C2436" s="37" t="str">
        <f>IFERROR(_xlfn.XLOOKUP(B2436,MObra[DESCRIPCION],MObra[UN],,0),"")</f>
        <v/>
      </c>
      <c r="D2436" s="38"/>
      <c r="E2436" s="39" t="str">
        <f>IFERROR(_xlfn.XLOOKUP($B2436,MObra[DESCRIPCION],MObra[VALOR UNIT],,0),"")</f>
        <v/>
      </c>
      <c r="F2436" s="40"/>
      <c r="G2436" s="41" t="str">
        <f>IFERROR(IF(F2436&gt;=0,D2436*E2436*(1+F2436/100),ABS(D2436*E2436/F2436)),"")</f>
        <v/>
      </c>
      <c r="H2436" s="42" t="str">
        <f>IFERROR(G2436*E2418,"")</f>
        <v/>
      </c>
    </row>
    <row r="2437" spans="1:10" ht="12.75" customHeight="1" thickTop="1" thickBot="1"/>
    <row r="2438" spans="1:10" ht="12.75" customHeight="1" thickTop="1" thickBot="1">
      <c r="A2438" s="6" t="s">
        <v>1338</v>
      </c>
      <c r="B2438" s="7" t="str">
        <f>VLOOKUP($A2438,Presupuesto!$A:$D,2,FALSE())</f>
        <v>Piso gravilla lavada + mayólica 56%</v>
      </c>
      <c r="C2438" s="8" t="str">
        <f>VLOOKUP($A2438,Presupuesto!$A:$D,3,FALSE())</f>
        <v>M2</v>
      </c>
      <c r="D2438" s="9"/>
      <c r="E2438" s="10">
        <f>VLOOKUP($A2438,Presupuesto!$A:$D,4,FALSE())</f>
        <v>0</v>
      </c>
      <c r="F2438" s="11" t="s">
        <v>2589</v>
      </c>
      <c r="G2438" s="12">
        <f>SUM(G2440:G2456)/2</f>
        <v>79429.81605496876</v>
      </c>
      <c r="H2438" s="13">
        <f>ROUND(SUM(H2440:H2456),0)/2</f>
        <v>0</v>
      </c>
      <c r="I2438" s="10">
        <f>VLOOKUP(A2438,Presupuesto!$A:$F,6,0)</f>
        <v>0</v>
      </c>
      <c r="J2438" s="10">
        <f>+H2438-I2438</f>
        <v>0</v>
      </c>
    </row>
    <row r="2439" spans="1:10" ht="12.75" customHeight="1" thickTop="1">
      <c r="A2439" s="14"/>
      <c r="B2439" s="15" t="s">
        <v>2586</v>
      </c>
      <c r="C2439" s="15" t="s">
        <v>5</v>
      </c>
      <c r="D2439" s="16" t="s">
        <v>6</v>
      </c>
      <c r="E2439" s="17" t="s">
        <v>7</v>
      </c>
      <c r="F2439" s="18" t="s">
        <v>3728</v>
      </c>
      <c r="G2439" s="19" t="s">
        <v>3729</v>
      </c>
      <c r="H2439" s="20" t="s">
        <v>3797</v>
      </c>
    </row>
    <row r="2440" spans="1:10" ht="12.75" customHeight="1">
      <c r="A2440" s="21"/>
      <c r="B2440" s="22" t="s">
        <v>3730</v>
      </c>
      <c r="C2440" s="23"/>
      <c r="D2440" s="24"/>
      <c r="E2440" s="25"/>
      <c r="F2440" s="26"/>
      <c r="G2440" s="27">
        <f>SUM(G2441:G2445)</f>
        <v>38166.03</v>
      </c>
      <c r="H2440" s="27">
        <f>IFERROR(G2440*E2438,"")</f>
        <v>0</v>
      </c>
    </row>
    <row r="2441" spans="1:10" ht="12.75" customHeight="1">
      <c r="A2441" s="28"/>
      <c r="B2441" s="29" t="s">
        <v>2984</v>
      </c>
      <c r="C2441" s="30" t="str">
        <f>IFERROR(_xlfn.XLOOKUP(B2441,Insumo[DESCRIPCION],Insumo[UND],,0),"")</f>
        <v>Un</v>
      </c>
      <c r="D2441" s="31">
        <v>2</v>
      </c>
      <c r="E2441" s="32">
        <f>IFERROR(_xlfn.XLOOKUP($B2441,Insumo[DESCRIPCION],Insumo[VALOR],,0),"")</f>
        <v>3515.4</v>
      </c>
      <c r="F2441" s="33"/>
      <c r="G2441" s="34">
        <f>IFERROR(IF(F2441&gt;=0,D2441*E2441*(1+F2441/100),ABS(D2441*E2441/F2441)),"")</f>
        <v>7030.8</v>
      </c>
      <c r="H2441" s="43">
        <f>IFERROR(G2441*E2438,"")</f>
        <v>0</v>
      </c>
    </row>
    <row r="2442" spans="1:10" ht="12.75" customHeight="1">
      <c r="A2442" s="28"/>
      <c r="B2442" s="29" t="s">
        <v>2824</v>
      </c>
      <c r="C2442" s="30" t="str">
        <f>IFERROR(_xlfn.XLOOKUP(B2442,Insumo[DESCRIPCION],Insumo[UND],,0),"")</f>
        <v>Un</v>
      </c>
      <c r="D2442" s="31">
        <v>0.3</v>
      </c>
      <c r="E2442" s="32">
        <f>IFERROR(_xlfn.XLOOKUP($B2442,Insumo[DESCRIPCION],Insumo[VALOR],,0),"")</f>
        <v>34230</v>
      </c>
      <c r="F2442" s="33"/>
      <c r="G2442" s="34">
        <f>IFERROR(IF(F2442&gt;=0,D2442*E2442*(1+F2442/100),ABS(D2442*E2442/F2442)),"")</f>
        <v>10269</v>
      </c>
      <c r="H2442" s="43">
        <f>IFERROR(G2442*E2438,"")</f>
        <v>0</v>
      </c>
    </row>
    <row r="2443" spans="1:10" ht="12.75" customHeight="1">
      <c r="A2443" s="28"/>
      <c r="B2443" s="29" t="s">
        <v>3214</v>
      </c>
      <c r="C2443" s="30" t="str">
        <f>IFERROR(_xlfn.XLOOKUP(B2443,Insumo[DESCRIPCION],Insumo[UND],,0),"")</f>
        <v>M2</v>
      </c>
      <c r="D2443" s="31">
        <v>0.4</v>
      </c>
      <c r="E2443" s="32">
        <f>IFERROR(_xlfn.XLOOKUP($B2443,Insumo[DESCRIPCION],Insumo[VALOR],,0),"")</f>
        <v>23749.95</v>
      </c>
      <c r="F2443" s="33"/>
      <c r="G2443" s="34">
        <f>IFERROR(IF(F2443&gt;=0,D2443*E2443*(1+F2443/100),ABS(D2443*E2443/F2443)),"")</f>
        <v>9499.9800000000014</v>
      </c>
      <c r="H2443" s="43">
        <f>IFERROR(G2443*E2438,"")</f>
        <v>0</v>
      </c>
    </row>
    <row r="2444" spans="1:10" ht="12.75" customHeight="1">
      <c r="A2444" s="28"/>
      <c r="B2444" s="29" t="s">
        <v>2997</v>
      </c>
      <c r="C2444" s="30" t="str">
        <f>IFERROR(_xlfn.XLOOKUP(B2444,Insumo[DESCRIPCION],Insumo[UND],,0),"")</f>
        <v>Kg</v>
      </c>
      <c r="D2444" s="31">
        <v>1</v>
      </c>
      <c r="E2444" s="32">
        <f>IFERROR(_xlfn.XLOOKUP($B2444,Insumo[DESCRIPCION],Insumo[VALOR],,0),"")</f>
        <v>11366.25</v>
      </c>
      <c r="F2444" s="33"/>
      <c r="G2444" s="34">
        <f>IFERROR(IF(F2444&gt;=0,D2444*E2444*(1+F2444/100),ABS(D2444*E2444/F2444)),"")</f>
        <v>11366.25</v>
      </c>
      <c r="H2444" s="43">
        <f>IFERROR(G2444*E2438,"")</f>
        <v>0</v>
      </c>
    </row>
    <row r="2445" spans="1:10" ht="12.75" customHeight="1">
      <c r="A2445" s="28"/>
      <c r="B2445" s="29"/>
      <c r="C2445" s="30" t="str">
        <f>IFERROR(_xlfn.XLOOKUP(B2445,Insumo[DESCRIPCION],Insumo[UND],,0),"")</f>
        <v/>
      </c>
      <c r="D2445" s="31"/>
      <c r="E2445" s="32" t="str">
        <f>IFERROR(_xlfn.XLOOKUP($B2445,Insumo[DESCRIPCION],Insumo[VALOR],,0),"")</f>
        <v/>
      </c>
      <c r="F2445" s="33"/>
      <c r="G2445" s="34" t="str">
        <f>IFERROR(IF(F2445&gt;=0,D2445*E2445*(1+F2445/100),ABS(D2445*E2445/F2445)),"")</f>
        <v/>
      </c>
      <c r="H2445" s="43" t="str">
        <f>IFERROR(G2445*E2438,"")</f>
        <v/>
      </c>
    </row>
    <row r="2446" spans="1:10" ht="12.75" customHeight="1">
      <c r="A2446" s="21"/>
      <c r="B2446" s="22" t="s">
        <v>3731</v>
      </c>
      <c r="C2446" s="23"/>
      <c r="D2446" s="24"/>
      <c r="E2446" s="25"/>
      <c r="F2446" s="26"/>
      <c r="G2446" s="27">
        <f>SUM(G2447:G2449)</f>
        <v>1964.9421930937506</v>
      </c>
      <c r="H2446" s="44">
        <f>G2446*E2438</f>
        <v>0</v>
      </c>
    </row>
    <row r="2447" spans="1:10" ht="12.75" customHeight="1">
      <c r="A2447" s="28"/>
      <c r="B2447" s="29" t="s">
        <v>3626</v>
      </c>
      <c r="C2447" s="30" t="str">
        <f>IFERROR(_xlfn.XLOOKUP(B2447,Equipo[DESCRIPCION],Equipo[UND],,0),"")</f>
        <v>%MO</v>
      </c>
      <c r="D2447" s="31">
        <v>0.05</v>
      </c>
      <c r="E2447" s="32">
        <f>IF(C2447="%MO",G2453,IFERROR(_xlfn.XLOOKUP($B2447,Equipo[DESCRIPCION],Equipo[VALOR],,0),""))</f>
        <v>39298.843861875008</v>
      </c>
      <c r="F2447" s="33"/>
      <c r="G2447" s="34">
        <f>IFERROR(IF(F2447&gt;=0,D2447*E2447*(1+F2447/100),ABS(D2447*E2447/F2447)),"")</f>
        <v>1964.9421930937506</v>
      </c>
      <c r="H2447" s="43">
        <f>IFERROR(G2447*E2438,"")</f>
        <v>0</v>
      </c>
    </row>
    <row r="2448" spans="1:10" ht="12.75" customHeight="1">
      <c r="A2448" s="28"/>
      <c r="B2448" s="29"/>
      <c r="C2448" s="30" t="str">
        <f>IFERROR(_xlfn.XLOOKUP(B2448,Equipo[DESCRIPCION],Equipo[UND],,0),"")</f>
        <v/>
      </c>
      <c r="D2448" s="31"/>
      <c r="E2448" s="32" t="str">
        <f>IF(C2448="%MO",G2453,IFERROR(_xlfn.XLOOKUP($B2448,Equipo[DESCRIPCION],Equipo[VALOR],,0),""))</f>
        <v/>
      </c>
      <c r="F2448" s="33"/>
      <c r="G2448" s="34" t="str">
        <f>IFERROR(IF(F2448&gt;=0,D2448*E2448*(1+F2448/100),ABS(D2448*E2448/F2448)),"")</f>
        <v/>
      </c>
      <c r="H2448" s="43" t="str">
        <f>IFERROR(G2448*E2438,"")</f>
        <v/>
      </c>
    </row>
    <row r="2449" spans="1:10" ht="12.75" customHeight="1">
      <c r="A2449" s="28"/>
      <c r="B2449" s="29"/>
      <c r="C2449" s="30" t="str">
        <f>IFERROR(_xlfn.XLOOKUP(B2449,Equipo[DESCRIPCION],Equipo[UND],,0),"")</f>
        <v/>
      </c>
      <c r="D2449" s="31"/>
      <c r="E2449" s="32" t="str">
        <f>IF(C2449="%MO",G2453,IFERROR(_xlfn.XLOOKUP($B2449,Equipo[DESCRIPCION],Equipo[VALOR],,0),""))</f>
        <v/>
      </c>
      <c r="F2449" s="33"/>
      <c r="G2449" s="34" t="str">
        <f>IFERROR(IF(F2449&gt;=0,D2449*E2449*(1+F2449/100),ABS(D2449*E2449/F2449)),"")</f>
        <v/>
      </c>
      <c r="H2449" s="43" t="str">
        <f>IFERROR(G2449*E2438,"")</f>
        <v/>
      </c>
    </row>
    <row r="2450" spans="1:10" ht="12.75" customHeight="1">
      <c r="A2450" s="21"/>
      <c r="B2450" s="22" t="s">
        <v>2533</v>
      </c>
      <c r="C2450" s="23"/>
      <c r="D2450" s="24"/>
      <c r="E2450" s="25"/>
      <c r="F2450" s="26"/>
      <c r="G2450" s="27">
        <f>SUM(G2451:G2452)</f>
        <v>0</v>
      </c>
      <c r="H2450" s="44">
        <f>G2450*E2438</f>
        <v>0</v>
      </c>
    </row>
    <row r="2451" spans="1:10" ht="12.75" customHeight="1">
      <c r="A2451" s="28"/>
      <c r="B2451" s="29"/>
      <c r="C2451" s="30" t="str">
        <f>IFERROR(_xlfn.XLOOKUP(B2451,Transporte[DESCRIPCION],Transporte[UND],,0),"")</f>
        <v/>
      </c>
      <c r="D2451" s="31"/>
      <c r="E2451" s="32" t="str">
        <f>IFERROR(_xlfn.XLOOKUP($B2451,Transporte[DESCRIPCION],Transporte[VALOR],,0),"")</f>
        <v/>
      </c>
      <c r="F2451" s="33"/>
      <c r="G2451" s="34" t="str">
        <f>IFERROR(IF(F2451&gt;=0,D2451*E2451*(1+F2451/100),ABS(D2451*E2451/F2451)),"")</f>
        <v/>
      </c>
      <c r="H2451" s="43" t="str">
        <f>IFERROR(G2451*E2438,"")</f>
        <v/>
      </c>
    </row>
    <row r="2452" spans="1:10" ht="12.75" customHeight="1">
      <c r="A2452" s="28"/>
      <c r="B2452" s="29"/>
      <c r="C2452" s="30" t="str">
        <f>IFERROR(_xlfn.XLOOKUP(B2452,Transporte[DESCRIPCION],Transporte[UND],,0),"")</f>
        <v/>
      </c>
      <c r="D2452" s="31"/>
      <c r="E2452" s="32" t="str">
        <f>IFERROR(_xlfn.XLOOKUP($B2452,Transporte[DESCRIPCION],Transporte[VALOR],,0),"")</f>
        <v/>
      </c>
      <c r="F2452" s="33"/>
      <c r="G2452" s="34" t="str">
        <f>IFERROR(IF(F2452&gt;=0,D2452*E2452*(1+F2452/100),ABS(D2452*E2452/F2452)),"")</f>
        <v/>
      </c>
      <c r="H2452" s="43" t="str">
        <f>IFERROR(G2452*E2438,"")</f>
        <v/>
      </c>
    </row>
    <row r="2453" spans="1:10" ht="12.75" customHeight="1">
      <c r="A2453" s="21"/>
      <c r="B2453" s="22" t="s">
        <v>3732</v>
      </c>
      <c r="C2453" s="23"/>
      <c r="D2453" s="24"/>
      <c r="E2453" s="25"/>
      <c r="F2453" s="26"/>
      <c r="G2453" s="27">
        <f>SUM(G2454:G2456)</f>
        <v>39298.843861875008</v>
      </c>
      <c r="H2453" s="44">
        <f>G2453*E2438</f>
        <v>0</v>
      </c>
    </row>
    <row r="2454" spans="1:10" ht="12.75" customHeight="1">
      <c r="A2454" s="28"/>
      <c r="B2454" s="29" t="s">
        <v>3710</v>
      </c>
      <c r="C2454" s="30" t="str">
        <f>IFERROR(_xlfn.XLOOKUP(B2454,MObra[DESCRIPCION],MObra[UN],,0),"")</f>
        <v>día</v>
      </c>
      <c r="D2454" s="31">
        <v>1</v>
      </c>
      <c r="E2454" s="32">
        <f>IFERROR(_xlfn.XLOOKUP($B2454,MObra[DESCRIPCION],MObra[VALOR UNIT],,0),"")</f>
        <v>314390.75089500006</v>
      </c>
      <c r="F2454" s="33">
        <v>-8</v>
      </c>
      <c r="G2454" s="34">
        <f>IFERROR(IF(F2454&gt;=0,D2454*E2454*(1+F2454/100),ABS(D2454*E2454/F2454)),"")</f>
        <v>39298.843861875008</v>
      </c>
      <c r="H2454" s="43">
        <f>IFERROR(G2454*E2438,"")</f>
        <v>0</v>
      </c>
    </row>
    <row r="2455" spans="1:10" ht="12.75" customHeight="1">
      <c r="A2455" s="28"/>
      <c r="B2455" s="29"/>
      <c r="C2455" s="30" t="str">
        <f>IFERROR(_xlfn.XLOOKUP(B2455,MObra[DESCRIPCION],MObra[UN],,0),"")</f>
        <v/>
      </c>
      <c r="D2455" s="31"/>
      <c r="E2455" s="32" t="str">
        <f>IFERROR(_xlfn.XLOOKUP($B2455,MObra[DESCRIPCION],MObra[VALOR UNIT],,0),"")</f>
        <v/>
      </c>
      <c r="F2455" s="33"/>
      <c r="G2455" s="34" t="str">
        <f>IFERROR(IF(F2455&gt;=0,D2455*E2455*(1+F2455/100),ABS(D2455*E2455/F2455)),"")</f>
        <v/>
      </c>
      <c r="H2455" s="43" t="str">
        <f>IFERROR(G2455*E2438,"")</f>
        <v/>
      </c>
    </row>
    <row r="2456" spans="1:10" ht="12.75" customHeight="1" thickBot="1">
      <c r="A2456" s="35"/>
      <c r="B2456" s="36"/>
      <c r="C2456" s="37" t="str">
        <f>IFERROR(_xlfn.XLOOKUP(B2456,MObra[DESCRIPCION],MObra[UN],,0),"")</f>
        <v/>
      </c>
      <c r="D2456" s="38"/>
      <c r="E2456" s="39" t="str">
        <f>IFERROR(_xlfn.XLOOKUP($B2456,MObra[DESCRIPCION],MObra[VALOR UNIT],,0),"")</f>
        <v/>
      </c>
      <c r="F2456" s="40"/>
      <c r="G2456" s="41" t="str">
        <f>IFERROR(IF(F2456&gt;=0,D2456*E2456*(1+F2456/100),ABS(D2456*E2456/F2456)),"")</f>
        <v/>
      </c>
      <c r="H2456" s="42" t="str">
        <f>IFERROR(G2456*E2438,"")</f>
        <v/>
      </c>
    </row>
    <row r="2457" spans="1:10" ht="12.75" customHeight="1" thickTop="1" thickBot="1"/>
    <row r="2458" spans="1:10" ht="12.75" customHeight="1" thickTop="1" thickBot="1">
      <c r="A2458" s="6" t="s">
        <v>1340</v>
      </c>
      <c r="B2458" s="7" t="str">
        <f>VLOOKUP($A2458,Presupuesto!$A:$D,2,FALSE())</f>
        <v>Piso ladrillo santa fe pulido</v>
      </c>
      <c r="C2458" s="8" t="str">
        <f>VLOOKUP($A2458,Presupuesto!$A:$D,3,FALSE())</f>
        <v>M2</v>
      </c>
      <c r="D2458" s="9"/>
      <c r="E2458" s="10">
        <f>VLOOKUP($A2458,Presupuesto!$A:$D,4,FALSE())</f>
        <v>0</v>
      </c>
      <c r="F2458" s="11" t="s">
        <v>2589</v>
      </c>
      <c r="G2458" s="12">
        <f>SUM(G2460:G2476)/2</f>
        <v>114332.70855496875</v>
      </c>
      <c r="H2458" s="13">
        <f>ROUND(SUM(H2460:H2476),0)/2</f>
        <v>0</v>
      </c>
      <c r="I2458" s="10">
        <f>VLOOKUP(A2458,Presupuesto!$A:$F,6,0)</f>
        <v>0</v>
      </c>
      <c r="J2458" s="10">
        <f>+H2458-I2458</f>
        <v>0</v>
      </c>
    </row>
    <row r="2459" spans="1:10" ht="12.75" customHeight="1" thickTop="1">
      <c r="A2459" s="14"/>
      <c r="B2459" s="15" t="s">
        <v>2586</v>
      </c>
      <c r="C2459" s="15" t="s">
        <v>5</v>
      </c>
      <c r="D2459" s="16" t="s">
        <v>6</v>
      </c>
      <c r="E2459" s="17" t="s">
        <v>7</v>
      </c>
      <c r="F2459" s="18" t="s">
        <v>3728</v>
      </c>
      <c r="G2459" s="19" t="s">
        <v>3729</v>
      </c>
      <c r="H2459" s="20" t="s">
        <v>3797</v>
      </c>
    </row>
    <row r="2460" spans="1:10" ht="12.75" customHeight="1">
      <c r="A2460" s="21"/>
      <c r="B2460" s="22" t="s">
        <v>3730</v>
      </c>
      <c r="C2460" s="23"/>
      <c r="D2460" s="24"/>
      <c r="E2460" s="25"/>
      <c r="F2460" s="26"/>
      <c r="G2460" s="27">
        <f>SUM(G2461:G2465)</f>
        <v>69632.797499999986</v>
      </c>
      <c r="H2460" s="27">
        <f>IFERROR(G2460*E2458,"")</f>
        <v>0</v>
      </c>
    </row>
    <row r="2461" spans="1:10" ht="12.75" customHeight="1">
      <c r="A2461" s="28"/>
      <c r="B2461" s="29" t="s">
        <v>3019</v>
      </c>
      <c r="C2461" s="30" t="str">
        <f>IFERROR(_xlfn.XLOOKUP(B2461,Insumo[DESCRIPCION],Insumo[UND],,0),"")</f>
        <v>Un</v>
      </c>
      <c r="D2461" s="31">
        <v>34</v>
      </c>
      <c r="E2461" s="32">
        <f>IFERROR(_xlfn.XLOOKUP($B2461,Insumo[DESCRIPCION],Insumo[VALOR],,0),"")</f>
        <v>1818.6000000000001</v>
      </c>
      <c r="F2461" s="33">
        <v>5</v>
      </c>
      <c r="G2461" s="34">
        <f>IFERROR(IF(F2461&gt;=0,D2461*E2461*(1+F2461/100),ABS(D2461*E2461/F2461)),"")</f>
        <v>64924.020000000004</v>
      </c>
      <c r="H2461" s="43">
        <f>IFERROR(G2461*E2458,"")</f>
        <v>0</v>
      </c>
    </row>
    <row r="2462" spans="1:10" ht="12.75" customHeight="1">
      <c r="A2462" s="28"/>
      <c r="B2462" s="29" t="s">
        <v>2824</v>
      </c>
      <c r="C2462" s="30" t="str">
        <f>IFERROR(_xlfn.XLOOKUP(B2462,Insumo[DESCRIPCION],Insumo[UND],,0),"")</f>
        <v>Un</v>
      </c>
      <c r="D2462" s="31">
        <f>1.5/50</f>
        <v>0.03</v>
      </c>
      <c r="E2462" s="32">
        <f>IFERROR(_xlfn.XLOOKUP($B2462,Insumo[DESCRIPCION],Insumo[VALOR],,0),"")</f>
        <v>34230</v>
      </c>
      <c r="F2462" s="33"/>
      <c r="G2462" s="34">
        <f>IFERROR(IF(F2462&gt;=0,D2462*E2462*(1+F2462/100),ABS(D2462*E2462/F2462)),"")</f>
        <v>1026.8999999999999</v>
      </c>
      <c r="H2462" s="43">
        <f>IFERROR(G2462*E2458,"")</f>
        <v>0</v>
      </c>
    </row>
    <row r="2463" spans="1:10" ht="12.75" customHeight="1">
      <c r="A2463" s="28"/>
      <c r="B2463" s="29" t="s">
        <v>2759</v>
      </c>
      <c r="C2463" s="30" t="str">
        <f>IFERROR(_xlfn.XLOOKUP(B2463,Insumo[DESCRIPCION],Insumo[UND],,0),"")</f>
        <v>Kg</v>
      </c>
      <c r="D2463" s="31">
        <v>0.25</v>
      </c>
      <c r="E2463" s="32">
        <f>IFERROR(_xlfn.XLOOKUP($B2463,Insumo[DESCRIPCION],Insumo[VALOR],,0),"")</f>
        <v>10864.35</v>
      </c>
      <c r="F2463" s="33"/>
      <c r="G2463" s="34">
        <f>IFERROR(IF(F2463&gt;=0,D2463*E2463*(1+F2463/100),ABS(D2463*E2463/F2463)),"")</f>
        <v>2716.0875000000001</v>
      </c>
      <c r="H2463" s="43">
        <f>IFERROR(G2463*E2458,"")</f>
        <v>0</v>
      </c>
    </row>
    <row r="2464" spans="1:10" ht="12.75" customHeight="1">
      <c r="A2464" s="28"/>
      <c r="B2464" s="29" t="s">
        <v>2825</v>
      </c>
      <c r="C2464" s="30" t="str">
        <f>IFERROR(_xlfn.XLOOKUP(B2464,Insumo[DESCRIPCION],Insumo[UND],,0),"")</f>
        <v>Lb</v>
      </c>
      <c r="D2464" s="31">
        <v>0.1</v>
      </c>
      <c r="E2464" s="32">
        <f>IFERROR(_xlfn.XLOOKUP($B2464,Insumo[DESCRIPCION],Insumo[VALOR],,0),"")</f>
        <v>9657.9</v>
      </c>
      <c r="F2464" s="33"/>
      <c r="G2464" s="34">
        <f>IFERROR(IF(F2464&gt;=0,D2464*E2464*(1+F2464/100),ABS(D2464*E2464/F2464)),"")</f>
        <v>965.79</v>
      </c>
      <c r="H2464" s="43">
        <f>IFERROR(G2464*E2458,"")</f>
        <v>0</v>
      </c>
    </row>
    <row r="2465" spans="1:10" ht="12.75" customHeight="1">
      <c r="A2465" s="28"/>
      <c r="B2465" s="29"/>
      <c r="C2465" s="30" t="str">
        <f>IFERROR(_xlfn.XLOOKUP(B2465,Insumo[DESCRIPCION],Insumo[UND],,0),"")</f>
        <v/>
      </c>
      <c r="D2465" s="31"/>
      <c r="E2465" s="32" t="str">
        <f>IFERROR(_xlfn.XLOOKUP($B2465,Insumo[DESCRIPCION],Insumo[VALOR],,0),"")</f>
        <v/>
      </c>
      <c r="F2465" s="33"/>
      <c r="G2465" s="34" t="str">
        <f>IFERROR(IF(F2465&gt;=0,D2465*E2465*(1+F2465/100),ABS(D2465*E2465/F2465)),"")</f>
        <v/>
      </c>
      <c r="H2465" s="43" t="str">
        <f>IFERROR(G2465*E2458,"")</f>
        <v/>
      </c>
    </row>
    <row r="2466" spans="1:10" ht="12.75" customHeight="1">
      <c r="A2466" s="21"/>
      <c r="B2466" s="22" t="s">
        <v>3731</v>
      </c>
      <c r="C2466" s="23"/>
      <c r="D2466" s="24"/>
      <c r="E2466" s="25"/>
      <c r="F2466" s="26"/>
      <c r="G2466" s="27">
        <f>SUM(G2467:G2469)</f>
        <v>5401.0671930937506</v>
      </c>
      <c r="H2466" s="44">
        <f>G2466*E2458</f>
        <v>0</v>
      </c>
    </row>
    <row r="2467" spans="1:10" ht="12.75" customHeight="1">
      <c r="A2467" s="28"/>
      <c r="B2467" s="29" t="s">
        <v>3642</v>
      </c>
      <c r="C2467" s="30" t="str">
        <f>IFERROR(_xlfn.XLOOKUP(B2467,Equipo[DESCRIPCION],Equipo[UND],,0),"")</f>
        <v>Día</v>
      </c>
      <c r="D2467" s="31">
        <v>1</v>
      </c>
      <c r="E2467" s="32">
        <f>IF(C2467="%MO",G2473,IFERROR(_xlfn.XLOOKUP($B2467,Equipo[DESCRIPCION],Equipo[VALOR],,0),""))</f>
        <v>54978</v>
      </c>
      <c r="F2467" s="33">
        <v>-16</v>
      </c>
      <c r="G2467" s="34">
        <f>IFERROR(IF(F2467&gt;=0,D2467*E2467*(1+F2467/100),ABS(D2467*E2467/F2467)),"")</f>
        <v>3436.125</v>
      </c>
      <c r="H2467" s="43">
        <f>IFERROR(G2467*E2458,"")</f>
        <v>0</v>
      </c>
    </row>
    <row r="2468" spans="1:10" ht="12.75" customHeight="1">
      <c r="A2468" s="28"/>
      <c r="B2468" s="29" t="s">
        <v>3626</v>
      </c>
      <c r="C2468" s="30" t="str">
        <f>IFERROR(_xlfn.XLOOKUP(B2468,Equipo[DESCRIPCION],Equipo[UND],,0),"")</f>
        <v>%MO</v>
      </c>
      <c r="D2468" s="31">
        <v>0.05</v>
      </c>
      <c r="E2468" s="32">
        <f>IF(C2468="%MO",G2473,IFERROR(_xlfn.XLOOKUP($B2468,Equipo[DESCRIPCION],Equipo[VALOR],,0),""))</f>
        <v>39298.843861875008</v>
      </c>
      <c r="F2468" s="33"/>
      <c r="G2468" s="34">
        <f>IFERROR(IF(F2468&gt;=0,D2468*E2468*(1+F2468/100),ABS(D2468*E2468/F2468)),"")</f>
        <v>1964.9421930937506</v>
      </c>
      <c r="H2468" s="43">
        <f>IFERROR(G2468*E2458,"")</f>
        <v>0</v>
      </c>
    </row>
    <row r="2469" spans="1:10" ht="12.75" customHeight="1">
      <c r="A2469" s="28"/>
      <c r="B2469" s="29"/>
      <c r="C2469" s="30" t="str">
        <f>IFERROR(_xlfn.XLOOKUP(B2469,Equipo[DESCRIPCION],Equipo[UND],,0),"")</f>
        <v/>
      </c>
      <c r="D2469" s="31"/>
      <c r="E2469" s="32" t="str">
        <f>IF(C2469="%MO",G2473,IFERROR(_xlfn.XLOOKUP($B2469,Equipo[DESCRIPCION],Equipo[VALOR],,0),""))</f>
        <v/>
      </c>
      <c r="F2469" s="33"/>
      <c r="G2469" s="34" t="str">
        <f>IFERROR(IF(F2469&gt;=0,D2469*E2469*(1+F2469/100),ABS(D2469*E2469/F2469)),"")</f>
        <v/>
      </c>
      <c r="H2469" s="43" t="str">
        <f>IFERROR(G2469*E2458,"")</f>
        <v/>
      </c>
    </row>
    <row r="2470" spans="1:10" ht="12.75" customHeight="1">
      <c r="A2470" s="21"/>
      <c r="B2470" s="22" t="s">
        <v>2533</v>
      </c>
      <c r="C2470" s="23"/>
      <c r="D2470" s="24"/>
      <c r="E2470" s="25"/>
      <c r="F2470" s="26"/>
      <c r="G2470" s="27">
        <f>SUM(G2471:G2472)</f>
        <v>0</v>
      </c>
      <c r="H2470" s="44">
        <f>G2470*E2458</f>
        <v>0</v>
      </c>
    </row>
    <row r="2471" spans="1:10" ht="12.75" customHeight="1">
      <c r="A2471" s="28"/>
      <c r="B2471" s="29"/>
      <c r="C2471" s="30" t="str">
        <f>IFERROR(_xlfn.XLOOKUP(B2471,Transporte[DESCRIPCION],Transporte[UND],,0),"")</f>
        <v/>
      </c>
      <c r="D2471" s="31"/>
      <c r="E2471" s="32" t="str">
        <f>IFERROR(_xlfn.XLOOKUP($B2471,Transporte[DESCRIPCION],Transporte[VALOR],,0),"")</f>
        <v/>
      </c>
      <c r="F2471" s="33"/>
      <c r="G2471" s="34" t="str">
        <f>IFERROR(IF(F2471&gt;=0,D2471*E2471*(1+F2471/100),ABS(D2471*E2471/F2471)),"")</f>
        <v/>
      </c>
      <c r="H2471" s="43" t="str">
        <f>IFERROR(G2471*E2458,"")</f>
        <v/>
      </c>
    </row>
    <row r="2472" spans="1:10" ht="12.75" customHeight="1">
      <c r="A2472" s="28"/>
      <c r="B2472" s="29"/>
      <c r="C2472" s="30" t="str">
        <f>IFERROR(_xlfn.XLOOKUP(B2472,Transporte[DESCRIPCION],Transporte[UND],,0),"")</f>
        <v/>
      </c>
      <c r="D2472" s="31"/>
      <c r="E2472" s="32" t="str">
        <f>IFERROR(_xlfn.XLOOKUP($B2472,Transporte[DESCRIPCION],Transporte[VALOR],,0),"")</f>
        <v/>
      </c>
      <c r="F2472" s="33"/>
      <c r="G2472" s="34" t="str">
        <f>IFERROR(IF(F2472&gt;=0,D2472*E2472*(1+F2472/100),ABS(D2472*E2472/F2472)),"")</f>
        <v/>
      </c>
      <c r="H2472" s="43" t="str">
        <f>IFERROR(G2472*E2458,"")</f>
        <v/>
      </c>
    </row>
    <row r="2473" spans="1:10" ht="12.75" customHeight="1">
      <c r="A2473" s="21"/>
      <c r="B2473" s="22" t="s">
        <v>3732</v>
      </c>
      <c r="C2473" s="23"/>
      <c r="D2473" s="24"/>
      <c r="E2473" s="25"/>
      <c r="F2473" s="26"/>
      <c r="G2473" s="27">
        <f>SUM(G2474:G2476)</f>
        <v>39298.843861875008</v>
      </c>
      <c r="H2473" s="44">
        <f>G2473*E2458</f>
        <v>0</v>
      </c>
    </row>
    <row r="2474" spans="1:10" ht="12.75" customHeight="1">
      <c r="A2474" s="28"/>
      <c r="B2474" s="29" t="s">
        <v>3710</v>
      </c>
      <c r="C2474" s="30" t="str">
        <f>IFERROR(_xlfn.XLOOKUP(B2474,MObra[DESCRIPCION],MObra[UN],,0),"")</f>
        <v>día</v>
      </c>
      <c r="D2474" s="31">
        <v>1</v>
      </c>
      <c r="E2474" s="32">
        <f>IFERROR(_xlfn.XLOOKUP($B2474,MObra[DESCRIPCION],MObra[VALOR UNIT],,0),"")</f>
        <v>314390.75089500006</v>
      </c>
      <c r="F2474" s="33">
        <v>-8</v>
      </c>
      <c r="G2474" s="34">
        <f>IFERROR(IF(F2474&gt;=0,D2474*E2474*(1+F2474/100),ABS(D2474*E2474/F2474)),"")</f>
        <v>39298.843861875008</v>
      </c>
      <c r="H2474" s="43">
        <f>IFERROR(G2474*E2458,"")</f>
        <v>0</v>
      </c>
    </row>
    <row r="2475" spans="1:10" ht="12.75" customHeight="1">
      <c r="A2475" s="28"/>
      <c r="B2475" s="29"/>
      <c r="C2475" s="30" t="str">
        <f>IFERROR(_xlfn.XLOOKUP(B2475,MObra[DESCRIPCION],MObra[UN],,0),"")</f>
        <v/>
      </c>
      <c r="D2475" s="31"/>
      <c r="E2475" s="32" t="str">
        <f>IFERROR(_xlfn.XLOOKUP($B2475,MObra[DESCRIPCION],MObra[VALOR UNIT],,0),"")</f>
        <v/>
      </c>
      <c r="F2475" s="33"/>
      <c r="G2475" s="34" t="str">
        <f>IFERROR(IF(F2475&gt;=0,D2475*E2475*(1+F2475/100),ABS(D2475*E2475/F2475)),"")</f>
        <v/>
      </c>
      <c r="H2475" s="43" t="str">
        <f>IFERROR(G2475*E2458,"")</f>
        <v/>
      </c>
    </row>
    <row r="2476" spans="1:10" ht="12.75" customHeight="1" thickBot="1">
      <c r="A2476" s="35"/>
      <c r="B2476" s="36"/>
      <c r="C2476" s="37" t="str">
        <f>IFERROR(_xlfn.XLOOKUP(B2476,MObra[DESCRIPCION],MObra[UN],,0),"")</f>
        <v/>
      </c>
      <c r="D2476" s="38"/>
      <c r="E2476" s="39" t="str">
        <f>IFERROR(_xlfn.XLOOKUP($B2476,MObra[DESCRIPCION],MObra[VALOR UNIT],,0),"")</f>
        <v/>
      </c>
      <c r="F2476" s="40"/>
      <c r="G2476" s="41" t="str">
        <f>IFERROR(IF(F2476&gt;=0,D2476*E2476*(1+F2476/100),ABS(D2476*E2476/F2476)),"")</f>
        <v/>
      </c>
      <c r="H2476" s="42" t="str">
        <f>IFERROR(G2476*E2458,"")</f>
        <v/>
      </c>
    </row>
    <row r="2477" spans="1:10" ht="12.75" customHeight="1" thickTop="1" thickBot="1"/>
    <row r="2478" spans="1:10" ht="12.75" customHeight="1" thickTop="1" thickBot="1">
      <c r="A2478" s="6" t="s">
        <v>1342</v>
      </c>
      <c r="B2478" s="7" t="str">
        <f>VLOOKUP($A2478,Presupuesto!$A:$D,2,FALSE())</f>
        <v>Piso lámina alfajor acero</v>
      </c>
      <c r="C2478" s="8" t="str">
        <f>VLOOKUP($A2478,Presupuesto!$A:$D,3,FALSE())</f>
        <v>M2</v>
      </c>
      <c r="D2478" s="9"/>
      <c r="E2478" s="10">
        <f>VLOOKUP($A2478,Presupuesto!$A:$D,4,FALSE())</f>
        <v>0</v>
      </c>
      <c r="F2478" s="11" t="s">
        <v>2589</v>
      </c>
      <c r="G2478" s="12">
        <f>SUM(G2480:G2496)/2</f>
        <v>202111.15017900002</v>
      </c>
      <c r="H2478" s="13">
        <f>ROUND(SUM(H2480:H2496),0)/2</f>
        <v>0</v>
      </c>
      <c r="I2478" s="10">
        <f>VLOOKUP(A2478,Presupuesto!$A:$F,6,0)</f>
        <v>0</v>
      </c>
      <c r="J2478" s="10">
        <f>+H2478-I2478</f>
        <v>0</v>
      </c>
    </row>
    <row r="2479" spans="1:10" ht="12.75" customHeight="1" thickTop="1">
      <c r="A2479" s="14"/>
      <c r="B2479" s="15" t="s">
        <v>2586</v>
      </c>
      <c r="C2479" s="15" t="s">
        <v>5</v>
      </c>
      <c r="D2479" s="16" t="s">
        <v>6</v>
      </c>
      <c r="E2479" s="17" t="s">
        <v>7</v>
      </c>
      <c r="F2479" s="18" t="s">
        <v>3728</v>
      </c>
      <c r="G2479" s="19" t="s">
        <v>3729</v>
      </c>
      <c r="H2479" s="20" t="s">
        <v>3797</v>
      </c>
    </row>
    <row r="2480" spans="1:10" ht="12.75" customHeight="1">
      <c r="A2480" s="21"/>
      <c r="B2480" s="22" t="s">
        <v>3730</v>
      </c>
      <c r="C2480" s="23"/>
      <c r="D2480" s="24"/>
      <c r="E2480" s="25"/>
      <c r="F2480" s="26"/>
      <c r="G2480" s="27">
        <f>SUM(G2481:G2485)</f>
        <v>135794.92500000002</v>
      </c>
      <c r="H2480" s="27">
        <f>IFERROR(G2480*E2478,"")</f>
        <v>0</v>
      </c>
    </row>
    <row r="2481" spans="1:8" ht="12.75" customHeight="1">
      <c r="A2481" s="28"/>
      <c r="B2481" s="29" t="s">
        <v>3022</v>
      </c>
      <c r="C2481" s="30" t="str">
        <f>IFERROR(_xlfn.XLOOKUP(B2481,Insumo[DESCRIPCION],Insumo[UND],,0),"")</f>
        <v>M2</v>
      </c>
      <c r="D2481" s="31">
        <v>1</v>
      </c>
      <c r="E2481" s="32">
        <f>IFERROR(_xlfn.XLOOKUP($B2481,Insumo[DESCRIPCION],Insumo[VALOR],,0),"")</f>
        <v>120368.85</v>
      </c>
      <c r="F2481" s="33">
        <v>5</v>
      </c>
      <c r="G2481" s="34">
        <f>IFERROR(IF(F2481&gt;=0,D2481*E2481*(1+F2481/100),ABS(D2481*E2481/F2481)),"")</f>
        <v>126387.29250000001</v>
      </c>
      <c r="H2481" s="43">
        <f>IFERROR(G2481*E2478,"")</f>
        <v>0</v>
      </c>
    </row>
    <row r="2482" spans="1:8" ht="12.75" customHeight="1">
      <c r="A2482" s="28"/>
      <c r="B2482" s="29" t="s">
        <v>3326</v>
      </c>
      <c r="C2482" s="30" t="str">
        <f>IFERROR(_xlfn.XLOOKUP(B2482,Insumo[DESCRIPCION],Insumo[UND],,0),"")</f>
        <v>Kg</v>
      </c>
      <c r="D2482" s="31">
        <v>0.1</v>
      </c>
      <c r="E2482" s="32">
        <f>IFERROR(_xlfn.XLOOKUP($B2482,Insumo[DESCRIPCION],Insumo[VALOR],,0),"")</f>
        <v>5978.7</v>
      </c>
      <c r="F2482" s="33"/>
      <c r="G2482" s="34">
        <f>IFERROR(IF(F2482&gt;=0,D2482*E2482*(1+F2482/100),ABS(D2482*E2482/F2482)),"")</f>
        <v>597.87</v>
      </c>
      <c r="H2482" s="43">
        <f>IFERROR(G2482*E2478,"")</f>
        <v>0</v>
      </c>
    </row>
    <row r="2483" spans="1:8" ht="12.75" customHeight="1">
      <c r="A2483" s="28"/>
      <c r="B2483" s="29" t="s">
        <v>2708</v>
      </c>
      <c r="C2483" s="30" t="str">
        <f>IFERROR(_xlfn.XLOOKUP(B2483,Insumo[DESCRIPCION],Insumo[UND],,0),"")</f>
        <v>galón</v>
      </c>
      <c r="D2483" s="31">
        <v>0.09</v>
      </c>
      <c r="E2483" s="32">
        <f>IFERROR(_xlfn.XLOOKUP($B2483,Insumo[DESCRIPCION],Insumo[VALOR],,0),"")</f>
        <v>97886.25</v>
      </c>
      <c r="F2483" s="33"/>
      <c r="G2483" s="34">
        <f>IFERROR(IF(F2483&gt;=0,D2483*E2483*(1+F2483/100),ABS(D2483*E2483/F2483)),"")</f>
        <v>8809.7624999999989</v>
      </c>
      <c r="H2483" s="43">
        <f>IFERROR(G2483*E2478,"")</f>
        <v>0</v>
      </c>
    </row>
    <row r="2484" spans="1:8" ht="12.75" customHeight="1">
      <c r="A2484" s="28"/>
      <c r="B2484" s="29"/>
      <c r="C2484" s="30" t="str">
        <f>IFERROR(_xlfn.XLOOKUP(B2484,Insumo[DESCRIPCION],Insumo[UND],,0),"")</f>
        <v/>
      </c>
      <c r="D2484" s="31"/>
      <c r="E2484" s="32" t="str">
        <f>IFERROR(_xlfn.XLOOKUP($B2484,Insumo[DESCRIPCION],Insumo[VALOR],,0),"")</f>
        <v/>
      </c>
      <c r="F2484" s="33"/>
      <c r="G2484" s="34" t="str">
        <f>IFERROR(IF(F2484&gt;=0,D2484*E2484*(1+F2484/100),ABS(D2484*E2484/F2484)),"")</f>
        <v/>
      </c>
      <c r="H2484" s="43" t="str">
        <f>IFERROR(G2484*E2478,"")</f>
        <v/>
      </c>
    </row>
    <row r="2485" spans="1:8" ht="12.75" customHeight="1">
      <c r="A2485" s="28"/>
      <c r="B2485" s="29"/>
      <c r="C2485" s="30" t="str">
        <f>IFERROR(_xlfn.XLOOKUP(B2485,Insumo[DESCRIPCION],Insumo[UND],,0),"")</f>
        <v/>
      </c>
      <c r="D2485" s="31"/>
      <c r="E2485" s="32" t="str">
        <f>IFERROR(_xlfn.XLOOKUP($B2485,Insumo[DESCRIPCION],Insumo[VALOR],,0),"")</f>
        <v/>
      </c>
      <c r="F2485" s="33"/>
      <c r="G2485" s="34" t="str">
        <f>IFERROR(IF(F2485&gt;=0,D2485*E2485*(1+F2485/100),ABS(D2485*E2485/F2485)),"")</f>
        <v/>
      </c>
      <c r="H2485" s="43" t="str">
        <f>IFERROR(G2485*E2478,"")</f>
        <v/>
      </c>
    </row>
    <row r="2486" spans="1:8" ht="12.75" customHeight="1">
      <c r="A2486" s="21"/>
      <c r="B2486" s="22" t="s">
        <v>3731</v>
      </c>
      <c r="C2486" s="23"/>
      <c r="D2486" s="24"/>
      <c r="E2486" s="25"/>
      <c r="F2486" s="26"/>
      <c r="G2486" s="27">
        <f>SUM(G2487:G2489)</f>
        <v>6432.2726275714294</v>
      </c>
      <c r="H2486" s="44">
        <f>G2486*E2478</f>
        <v>0</v>
      </c>
    </row>
    <row r="2487" spans="1:8" ht="12.75" customHeight="1">
      <c r="A2487" s="28"/>
      <c r="B2487" s="29" t="s">
        <v>3613</v>
      </c>
      <c r="C2487" s="30" t="str">
        <f>IFERROR(_xlfn.XLOOKUP(B2487,Equipo[DESCRIPCION],Equipo[UND],,0),"")</f>
        <v>Día</v>
      </c>
      <c r="D2487" s="31">
        <v>1</v>
      </c>
      <c r="E2487" s="32">
        <f>IF(C2487="%MO",G2493,IFERROR(_xlfn.XLOOKUP($B2487,Equipo[DESCRIPCION],Equipo[VALOR],,0),""))</f>
        <v>48133.05</v>
      </c>
      <c r="F2487" s="33">
        <v>-14</v>
      </c>
      <c r="G2487" s="34">
        <f>IFERROR(IF(F2487&gt;=0,D2487*E2487*(1+F2487/100),ABS(D2487*E2487/F2487)),"")</f>
        <v>3438.0750000000003</v>
      </c>
      <c r="H2487" s="43">
        <f>IFERROR(G2487*E2478,"")</f>
        <v>0</v>
      </c>
    </row>
    <row r="2488" spans="1:8" ht="12.75" customHeight="1">
      <c r="A2488" s="28"/>
      <c r="B2488" s="29" t="s">
        <v>3626</v>
      </c>
      <c r="C2488" s="30" t="str">
        <f>IFERROR(_xlfn.XLOOKUP(B2488,Equipo[DESCRIPCION],Equipo[UND],,0),"")</f>
        <v>%MO</v>
      </c>
      <c r="D2488" s="31">
        <v>0.05</v>
      </c>
      <c r="E2488" s="32">
        <f>IF(C2488="%MO",G2493,IFERROR(_xlfn.XLOOKUP($B2488,Equipo[DESCRIPCION],Equipo[VALOR],,0),""))</f>
        <v>59883.952551428578</v>
      </c>
      <c r="F2488" s="33"/>
      <c r="G2488" s="34">
        <f>IFERROR(IF(F2488&gt;=0,D2488*E2488*(1+F2488/100),ABS(D2488*E2488/F2488)),"")</f>
        <v>2994.1976275714292</v>
      </c>
      <c r="H2488" s="43">
        <f>IFERROR(G2488*E2478,"")</f>
        <v>0</v>
      </c>
    </row>
    <row r="2489" spans="1:8" ht="12.75" customHeight="1">
      <c r="A2489" s="28"/>
      <c r="B2489" s="29"/>
      <c r="C2489" s="30" t="str">
        <f>IFERROR(_xlfn.XLOOKUP(B2489,Equipo[DESCRIPCION],Equipo[UND],,0),"")</f>
        <v/>
      </c>
      <c r="D2489" s="31"/>
      <c r="E2489" s="32" t="str">
        <f>IF(C2489="%MO",G2493,IFERROR(_xlfn.XLOOKUP($B2489,Equipo[DESCRIPCION],Equipo[VALOR],,0),""))</f>
        <v/>
      </c>
      <c r="F2489" s="33"/>
      <c r="G2489" s="34" t="str">
        <f>IFERROR(IF(F2489&gt;=0,D2489*E2489*(1+F2489/100),ABS(D2489*E2489/F2489)),"")</f>
        <v/>
      </c>
      <c r="H2489" s="43" t="str">
        <f>IFERROR(G2489*E2478,"")</f>
        <v/>
      </c>
    </row>
    <row r="2490" spans="1:8" ht="12.75" customHeight="1">
      <c r="A2490" s="21"/>
      <c r="B2490" s="22" t="s">
        <v>2533</v>
      </c>
      <c r="C2490" s="23"/>
      <c r="D2490" s="24"/>
      <c r="E2490" s="25"/>
      <c r="F2490" s="26"/>
      <c r="G2490" s="27">
        <f>SUM(G2491:G2492)</f>
        <v>0</v>
      </c>
      <c r="H2490" s="44">
        <f>G2490*E2478</f>
        <v>0</v>
      </c>
    </row>
    <row r="2491" spans="1:8" ht="12.75" customHeight="1">
      <c r="A2491" s="28"/>
      <c r="B2491" s="29"/>
      <c r="C2491" s="30" t="str">
        <f>IFERROR(_xlfn.XLOOKUP(B2491,Transporte[DESCRIPCION],Transporte[UND],,0),"")</f>
        <v/>
      </c>
      <c r="D2491" s="31"/>
      <c r="E2491" s="32" t="str">
        <f>IFERROR(_xlfn.XLOOKUP($B2491,Transporte[DESCRIPCION],Transporte[VALOR],,0),"")</f>
        <v/>
      </c>
      <c r="F2491" s="33"/>
      <c r="G2491" s="34" t="str">
        <f>IFERROR(IF(F2491&gt;=0,D2491*E2491*(1+F2491/100),ABS(D2491*E2491/F2491)),"")</f>
        <v/>
      </c>
      <c r="H2491" s="43" t="str">
        <f>IFERROR(G2491*E2478,"")</f>
        <v/>
      </c>
    </row>
    <row r="2492" spans="1:8" ht="12.75" customHeight="1">
      <c r="A2492" s="28"/>
      <c r="B2492" s="29"/>
      <c r="C2492" s="30" t="str">
        <f>IFERROR(_xlfn.XLOOKUP(B2492,Transporte[DESCRIPCION],Transporte[UND],,0),"")</f>
        <v/>
      </c>
      <c r="D2492" s="31"/>
      <c r="E2492" s="32" t="str">
        <f>IFERROR(_xlfn.XLOOKUP($B2492,Transporte[DESCRIPCION],Transporte[VALOR],,0),"")</f>
        <v/>
      </c>
      <c r="F2492" s="33"/>
      <c r="G2492" s="34" t="str">
        <f>IFERROR(IF(F2492&gt;=0,D2492*E2492*(1+F2492/100),ABS(D2492*E2492/F2492)),"")</f>
        <v/>
      </c>
      <c r="H2492" s="43" t="str">
        <f>IFERROR(G2492*E2478,"")</f>
        <v/>
      </c>
    </row>
    <row r="2493" spans="1:8" ht="12.75" customHeight="1">
      <c r="A2493" s="21"/>
      <c r="B2493" s="22" t="s">
        <v>3732</v>
      </c>
      <c r="C2493" s="23"/>
      <c r="D2493" s="24"/>
      <c r="E2493" s="25"/>
      <c r="F2493" s="26"/>
      <c r="G2493" s="27">
        <f>SUM(G2494:G2496)</f>
        <v>59883.952551428578</v>
      </c>
      <c r="H2493" s="44">
        <f>G2493*E2478</f>
        <v>0</v>
      </c>
    </row>
    <row r="2494" spans="1:8" ht="12.75" customHeight="1">
      <c r="A2494" s="28"/>
      <c r="B2494" s="29" t="s">
        <v>3724</v>
      </c>
      <c r="C2494" s="30" t="str">
        <f>IFERROR(_xlfn.XLOOKUP(B2494,MObra[DESCRIPCION],MObra[UN],,0),"")</f>
        <v>día</v>
      </c>
      <c r="D2494" s="31">
        <v>1</v>
      </c>
      <c r="E2494" s="32">
        <f>IFERROR(_xlfn.XLOOKUP($B2494,MObra[DESCRIPCION],MObra[VALOR UNIT],,0),"")</f>
        <v>419187.66786000005</v>
      </c>
      <c r="F2494" s="33">
        <v>-7</v>
      </c>
      <c r="G2494" s="34">
        <f>IFERROR(IF(F2494&gt;=0,D2494*E2494*(1+F2494/100),ABS(D2494*E2494/F2494)),"")</f>
        <v>59883.952551428578</v>
      </c>
      <c r="H2494" s="43">
        <f>IFERROR(G2494*E2478,"")</f>
        <v>0</v>
      </c>
    </row>
    <row r="2495" spans="1:8" ht="12.75" customHeight="1">
      <c r="A2495" s="28"/>
      <c r="B2495" s="29"/>
      <c r="C2495" s="30" t="str">
        <f>IFERROR(_xlfn.XLOOKUP(B2495,MObra[DESCRIPCION],MObra[UN],,0),"")</f>
        <v/>
      </c>
      <c r="D2495" s="31"/>
      <c r="E2495" s="32" t="str">
        <f>IFERROR(_xlfn.XLOOKUP($B2495,MObra[DESCRIPCION],MObra[VALOR UNIT],,0),"")</f>
        <v/>
      </c>
      <c r="F2495" s="33"/>
      <c r="G2495" s="34" t="str">
        <f>IFERROR(IF(F2495&gt;=0,D2495*E2495*(1+F2495/100),ABS(D2495*E2495/F2495)),"")</f>
        <v/>
      </c>
      <c r="H2495" s="43" t="str">
        <f>IFERROR(G2495*E2478,"")</f>
        <v/>
      </c>
    </row>
    <row r="2496" spans="1:8" ht="12.75" customHeight="1" thickBot="1">
      <c r="A2496" s="35"/>
      <c r="B2496" s="36"/>
      <c r="C2496" s="37" t="str">
        <f>IFERROR(_xlfn.XLOOKUP(B2496,MObra[DESCRIPCION],MObra[UN],,0),"")</f>
        <v/>
      </c>
      <c r="D2496" s="38"/>
      <c r="E2496" s="39" t="str">
        <f>IFERROR(_xlfn.XLOOKUP($B2496,MObra[DESCRIPCION],MObra[VALOR UNIT],,0),"")</f>
        <v/>
      </c>
      <c r="F2496" s="40"/>
      <c r="G2496" s="41" t="str">
        <f>IFERROR(IF(F2496&gt;=0,D2496*E2496*(1+F2496/100),ABS(D2496*E2496/F2496)),"")</f>
        <v/>
      </c>
      <c r="H2496" s="42" t="str">
        <f>IFERROR(G2496*E2478,"")</f>
        <v/>
      </c>
    </row>
    <row r="2497" spans="1:10" ht="12.75" customHeight="1" thickTop="1" thickBot="1"/>
    <row r="2498" spans="1:10" ht="12.75" customHeight="1" thickTop="1" thickBot="1">
      <c r="A2498" s="6" t="s">
        <v>1344</v>
      </c>
      <c r="B2498" s="7" t="str">
        <f>VLOOKUP($A2498,Presupuesto!$A:$D,2,FALSE())</f>
        <v>Piso madera laminada tráfico comercial</v>
      </c>
      <c r="C2498" s="8" t="str">
        <f>VLOOKUP($A2498,Presupuesto!$A:$D,3,FALSE())</f>
        <v>M2</v>
      </c>
      <c r="D2498" s="9"/>
      <c r="E2498" s="10">
        <f>VLOOKUP($A2498,Presupuesto!$A:$D,4,FALSE())</f>
        <v>0</v>
      </c>
      <c r="F2498" s="11" t="s">
        <v>2589</v>
      </c>
      <c r="G2498" s="12">
        <f>SUM(G2500:G2516)/2</f>
        <v>157378.84066395002</v>
      </c>
      <c r="H2498" s="13">
        <f>ROUND(SUM(H2500:H2516),0)/2</f>
        <v>0</v>
      </c>
      <c r="I2498" s="10">
        <f>VLOOKUP(A2498,Presupuesto!$A:$F,6,0)</f>
        <v>0</v>
      </c>
      <c r="J2498" s="10">
        <f>+H2498-I2498</f>
        <v>0</v>
      </c>
    </row>
    <row r="2499" spans="1:10" ht="12.75" customHeight="1" thickTop="1">
      <c r="A2499" s="14"/>
      <c r="B2499" s="15" t="s">
        <v>2586</v>
      </c>
      <c r="C2499" s="15" t="s">
        <v>5</v>
      </c>
      <c r="D2499" s="16" t="s">
        <v>6</v>
      </c>
      <c r="E2499" s="17" t="s">
        <v>7</v>
      </c>
      <c r="F2499" s="18" t="s">
        <v>3728</v>
      </c>
      <c r="G2499" s="19" t="s">
        <v>3729</v>
      </c>
      <c r="H2499" s="20" t="s">
        <v>3797</v>
      </c>
    </row>
    <row r="2500" spans="1:10" ht="12.75" customHeight="1">
      <c r="A2500" s="21"/>
      <c r="B2500" s="22" t="s">
        <v>3730</v>
      </c>
      <c r="C2500" s="23"/>
      <c r="D2500" s="24"/>
      <c r="E2500" s="25"/>
      <c r="F2500" s="26"/>
      <c r="G2500" s="27">
        <f>SUM(G2501:G2505)</f>
        <v>119302.6275</v>
      </c>
      <c r="H2500" s="27">
        <f>IFERROR(G2500*E2498,"")</f>
        <v>0</v>
      </c>
    </row>
    <row r="2501" spans="1:10" ht="12.75" customHeight="1">
      <c r="A2501" s="28"/>
      <c r="B2501" s="29" t="s">
        <v>3127</v>
      </c>
      <c r="C2501" s="30" t="str">
        <f>IFERROR(_xlfn.XLOOKUP(B2501,Insumo[DESCRIPCION],Insumo[UND],,0),"")</f>
        <v>M2</v>
      </c>
      <c r="D2501" s="31">
        <v>1</v>
      </c>
      <c r="E2501" s="32">
        <f>IFERROR(_xlfn.XLOOKUP($B2501,Insumo[DESCRIPCION],Insumo[VALOR],,0),"")</f>
        <v>70543.199999999997</v>
      </c>
      <c r="F2501" s="33">
        <v>5</v>
      </c>
      <c r="G2501" s="34">
        <f>IFERROR(IF(F2501&gt;=0,D2501*E2501*(1+F2501/100),ABS(D2501*E2501/F2501)),"")</f>
        <v>74070.36</v>
      </c>
      <c r="H2501" s="43">
        <f>IFERROR(G2501*E2498,"")</f>
        <v>0</v>
      </c>
    </row>
    <row r="2502" spans="1:10" ht="12.75" customHeight="1">
      <c r="A2502" s="28"/>
      <c r="B2502" s="29" t="s">
        <v>2944</v>
      </c>
      <c r="C2502" s="30" t="str">
        <f>IFERROR(_xlfn.XLOOKUP(B2502,Insumo[DESCRIPCION],Insumo[UND],,0),"")</f>
        <v>M2</v>
      </c>
      <c r="D2502" s="31">
        <v>1</v>
      </c>
      <c r="E2502" s="32">
        <f>IFERROR(_xlfn.XLOOKUP($B2502,Insumo[DESCRIPCION],Insumo[VALOR],,0),"")</f>
        <v>43078.35</v>
      </c>
      <c r="F2502" s="33">
        <v>5</v>
      </c>
      <c r="G2502" s="34">
        <f>IFERROR(IF(F2502&gt;=0,D2502*E2502*(1+F2502/100),ABS(D2502*E2502/F2502)),"")</f>
        <v>45232.267500000002</v>
      </c>
      <c r="H2502" s="43">
        <f>IFERROR(G2502*E2498,"")</f>
        <v>0</v>
      </c>
    </row>
    <row r="2503" spans="1:10" ht="12.75" customHeight="1">
      <c r="A2503" s="28"/>
      <c r="B2503" s="29"/>
      <c r="C2503" s="30" t="str">
        <f>IFERROR(_xlfn.XLOOKUP(B2503,Insumo[DESCRIPCION],Insumo[UND],,0),"")</f>
        <v/>
      </c>
      <c r="D2503" s="31"/>
      <c r="E2503" s="32" t="str">
        <f>IFERROR(_xlfn.XLOOKUP($B2503,Insumo[DESCRIPCION],Insumo[VALOR],,0),"")</f>
        <v/>
      </c>
      <c r="F2503" s="33"/>
      <c r="G2503" s="34" t="str">
        <f>IFERROR(IF(F2503&gt;=0,D2503*E2503*(1+F2503/100),ABS(D2503*E2503/F2503)),"")</f>
        <v/>
      </c>
      <c r="H2503" s="43" t="str">
        <f>IFERROR(G2503*E2498,"")</f>
        <v/>
      </c>
    </row>
    <row r="2504" spans="1:10" ht="12.75" customHeight="1">
      <c r="A2504" s="28"/>
      <c r="B2504" s="29"/>
      <c r="C2504" s="30" t="str">
        <f>IFERROR(_xlfn.XLOOKUP(B2504,Insumo[DESCRIPCION],Insumo[UND],,0),"")</f>
        <v/>
      </c>
      <c r="D2504" s="31"/>
      <c r="E2504" s="32" t="str">
        <f>IFERROR(_xlfn.XLOOKUP($B2504,Insumo[DESCRIPCION],Insumo[VALOR],,0),"")</f>
        <v/>
      </c>
      <c r="F2504" s="33"/>
      <c r="G2504" s="34" t="str">
        <f>IFERROR(IF(F2504&gt;=0,D2504*E2504*(1+F2504/100),ABS(D2504*E2504/F2504)),"")</f>
        <v/>
      </c>
      <c r="H2504" s="43" t="str">
        <f>IFERROR(G2504*E2498,"")</f>
        <v/>
      </c>
    </row>
    <row r="2505" spans="1:10" ht="12.75" customHeight="1">
      <c r="A2505" s="28"/>
      <c r="B2505" s="29"/>
      <c r="C2505" s="30" t="str">
        <f>IFERROR(_xlfn.XLOOKUP(B2505,Insumo[DESCRIPCION],Insumo[UND],,0),"")</f>
        <v/>
      </c>
      <c r="D2505" s="31"/>
      <c r="E2505" s="32" t="str">
        <f>IFERROR(_xlfn.XLOOKUP($B2505,Insumo[DESCRIPCION],Insumo[VALOR],,0),"")</f>
        <v/>
      </c>
      <c r="F2505" s="33"/>
      <c r="G2505" s="34" t="str">
        <f>IFERROR(IF(F2505&gt;=0,D2505*E2505*(1+F2505/100),ABS(D2505*E2505/F2505)),"")</f>
        <v/>
      </c>
      <c r="H2505" s="43" t="str">
        <f>IFERROR(G2505*E2498,"")</f>
        <v/>
      </c>
    </row>
    <row r="2506" spans="1:10" ht="12.75" customHeight="1">
      <c r="A2506" s="21"/>
      <c r="B2506" s="22" t="s">
        <v>3731</v>
      </c>
      <c r="C2506" s="23"/>
      <c r="D2506" s="24"/>
      <c r="E2506" s="25"/>
      <c r="F2506" s="26"/>
      <c r="G2506" s="27">
        <f>SUM(G2507:G2509)</f>
        <v>3143.9075089500002</v>
      </c>
      <c r="H2506" s="44">
        <f>G2506*E2498</f>
        <v>0</v>
      </c>
    </row>
    <row r="2507" spans="1:10" ht="12.75" customHeight="1">
      <c r="A2507" s="28"/>
      <c r="B2507" s="29" t="s">
        <v>3570</v>
      </c>
      <c r="C2507" s="30" t="str">
        <f>IFERROR(_xlfn.XLOOKUP(B2507,Equipo[DESCRIPCION],Equipo[UND],,0),"")</f>
        <v>%MO</v>
      </c>
      <c r="D2507" s="31">
        <v>0.04</v>
      </c>
      <c r="E2507" s="32">
        <f>IF(C2507="%MO",G2513,IFERROR(_xlfn.XLOOKUP($B2507,Equipo[DESCRIPCION],Equipo[VALOR],,0),""))</f>
        <v>34932.305655000004</v>
      </c>
      <c r="F2507" s="33"/>
      <c r="G2507" s="34">
        <f>IFERROR(IF(F2507&gt;=0,D2507*E2507*(1+F2507/100),ABS(D2507*E2507/F2507)),"")</f>
        <v>1397.2922262000002</v>
      </c>
      <c r="H2507" s="43">
        <f>IFERROR(G2507*E2498,"")</f>
        <v>0</v>
      </c>
    </row>
    <row r="2508" spans="1:10" ht="12.75" customHeight="1">
      <c r="A2508" s="28"/>
      <c r="B2508" s="29" t="s">
        <v>3626</v>
      </c>
      <c r="C2508" s="30" t="str">
        <f>IFERROR(_xlfn.XLOOKUP(B2508,Equipo[DESCRIPCION],Equipo[UND],,0),"")</f>
        <v>%MO</v>
      </c>
      <c r="D2508" s="31">
        <v>0.05</v>
      </c>
      <c r="E2508" s="32">
        <f>IF(C2508="%MO",G2513,IFERROR(_xlfn.XLOOKUP($B2508,Equipo[DESCRIPCION],Equipo[VALOR],,0),""))</f>
        <v>34932.305655000004</v>
      </c>
      <c r="F2508" s="33"/>
      <c r="G2508" s="34">
        <f>IFERROR(IF(F2508&gt;=0,D2508*E2508*(1+F2508/100),ABS(D2508*E2508/F2508)),"")</f>
        <v>1746.6152827500002</v>
      </c>
      <c r="H2508" s="43">
        <f>IFERROR(G2508*E2498,"")</f>
        <v>0</v>
      </c>
    </row>
    <row r="2509" spans="1:10" ht="12.75" customHeight="1">
      <c r="A2509" s="28"/>
      <c r="B2509" s="29"/>
      <c r="C2509" s="30" t="str">
        <f>IFERROR(_xlfn.XLOOKUP(B2509,Equipo[DESCRIPCION],Equipo[UND],,0),"")</f>
        <v/>
      </c>
      <c r="D2509" s="31"/>
      <c r="E2509" s="32" t="str">
        <f>IF(C2509="%MO",G2513,IFERROR(_xlfn.XLOOKUP($B2509,Equipo[DESCRIPCION],Equipo[VALOR],,0),""))</f>
        <v/>
      </c>
      <c r="F2509" s="33"/>
      <c r="G2509" s="34" t="str">
        <f>IFERROR(IF(F2509&gt;=0,D2509*E2509*(1+F2509/100),ABS(D2509*E2509/F2509)),"")</f>
        <v/>
      </c>
      <c r="H2509" s="43" t="str">
        <f>IFERROR(G2509*E2498,"")</f>
        <v/>
      </c>
    </row>
    <row r="2510" spans="1:10" ht="12.75" customHeight="1">
      <c r="A2510" s="21"/>
      <c r="B2510" s="22" t="s">
        <v>2533</v>
      </c>
      <c r="C2510" s="23"/>
      <c r="D2510" s="24"/>
      <c r="E2510" s="25"/>
      <c r="F2510" s="26"/>
      <c r="G2510" s="27">
        <f>SUM(G2511:G2512)</f>
        <v>0</v>
      </c>
      <c r="H2510" s="44">
        <f>G2510*E2498</f>
        <v>0</v>
      </c>
    </row>
    <row r="2511" spans="1:10" ht="12.75" customHeight="1">
      <c r="A2511" s="28"/>
      <c r="B2511" s="29"/>
      <c r="C2511" s="30" t="str">
        <f>IFERROR(_xlfn.XLOOKUP(B2511,Transporte[DESCRIPCION],Transporte[UND],,0),"")</f>
        <v/>
      </c>
      <c r="D2511" s="31"/>
      <c r="E2511" s="32" t="str">
        <f>IFERROR(_xlfn.XLOOKUP($B2511,Transporte[DESCRIPCION],Transporte[VALOR],,0),"")</f>
        <v/>
      </c>
      <c r="F2511" s="33"/>
      <c r="G2511" s="34" t="str">
        <f>IFERROR(IF(F2511&gt;=0,D2511*E2511*(1+F2511/100),ABS(D2511*E2511/F2511)),"")</f>
        <v/>
      </c>
      <c r="H2511" s="43" t="str">
        <f>IFERROR(G2511*E2498,"")</f>
        <v/>
      </c>
    </row>
    <row r="2512" spans="1:10" ht="12.75" customHeight="1">
      <c r="A2512" s="28"/>
      <c r="B2512" s="29"/>
      <c r="C2512" s="30" t="str">
        <f>IFERROR(_xlfn.XLOOKUP(B2512,Transporte[DESCRIPCION],Transporte[UND],,0),"")</f>
        <v/>
      </c>
      <c r="D2512" s="31"/>
      <c r="E2512" s="32" t="str">
        <f>IFERROR(_xlfn.XLOOKUP($B2512,Transporte[DESCRIPCION],Transporte[VALOR],,0),"")</f>
        <v/>
      </c>
      <c r="F2512" s="33"/>
      <c r="G2512" s="34" t="str">
        <f>IFERROR(IF(F2512&gt;=0,D2512*E2512*(1+F2512/100),ABS(D2512*E2512/F2512)),"")</f>
        <v/>
      </c>
      <c r="H2512" s="43" t="str">
        <f>IFERROR(G2512*E2498,"")</f>
        <v/>
      </c>
    </row>
    <row r="2513" spans="1:10" ht="12.75" customHeight="1">
      <c r="A2513" s="21"/>
      <c r="B2513" s="22" t="s">
        <v>3732</v>
      </c>
      <c r="C2513" s="23"/>
      <c r="D2513" s="24"/>
      <c r="E2513" s="25"/>
      <c r="F2513" s="26"/>
      <c r="G2513" s="27">
        <f>SUM(G2514:G2516)</f>
        <v>34932.305655000004</v>
      </c>
      <c r="H2513" s="44">
        <f>G2513*E2498</f>
        <v>0</v>
      </c>
    </row>
    <row r="2514" spans="1:10" ht="12.75" customHeight="1">
      <c r="A2514" s="28"/>
      <c r="B2514" s="29" t="s">
        <v>3710</v>
      </c>
      <c r="C2514" s="30" t="str">
        <f>IFERROR(_xlfn.XLOOKUP(B2514,MObra[DESCRIPCION],MObra[UN],,0),"")</f>
        <v>día</v>
      </c>
      <c r="D2514" s="31">
        <v>1</v>
      </c>
      <c r="E2514" s="32">
        <f>IFERROR(_xlfn.XLOOKUP($B2514,MObra[DESCRIPCION],MObra[VALOR UNIT],,0),"")</f>
        <v>314390.75089500006</v>
      </c>
      <c r="F2514" s="33">
        <v>-9</v>
      </c>
      <c r="G2514" s="34">
        <f>IFERROR(IF(F2514&gt;=0,D2514*E2514*(1+F2514/100),ABS(D2514*E2514/F2514)),"")</f>
        <v>34932.305655000004</v>
      </c>
      <c r="H2514" s="43">
        <f>IFERROR(G2514*E2498,"")</f>
        <v>0</v>
      </c>
    </row>
    <row r="2515" spans="1:10" ht="12.75" customHeight="1">
      <c r="A2515" s="28"/>
      <c r="B2515" s="29"/>
      <c r="C2515" s="30" t="str">
        <f>IFERROR(_xlfn.XLOOKUP(B2515,MObra[DESCRIPCION],MObra[UN],,0),"")</f>
        <v/>
      </c>
      <c r="D2515" s="31"/>
      <c r="E2515" s="32" t="str">
        <f>IFERROR(_xlfn.XLOOKUP($B2515,MObra[DESCRIPCION],MObra[VALOR UNIT],,0),"")</f>
        <v/>
      </c>
      <c r="F2515" s="33"/>
      <c r="G2515" s="34" t="str">
        <f>IFERROR(IF(F2515&gt;=0,D2515*E2515*(1+F2515/100),ABS(D2515*E2515/F2515)),"")</f>
        <v/>
      </c>
      <c r="H2515" s="43" t="str">
        <f>IFERROR(G2515*E2498,"")</f>
        <v/>
      </c>
    </row>
    <row r="2516" spans="1:10" ht="12.75" customHeight="1" thickBot="1">
      <c r="A2516" s="35"/>
      <c r="B2516" s="36"/>
      <c r="C2516" s="37" t="str">
        <f>IFERROR(_xlfn.XLOOKUP(B2516,MObra[DESCRIPCION],MObra[UN],,0),"")</f>
        <v/>
      </c>
      <c r="D2516" s="38"/>
      <c r="E2516" s="39" t="str">
        <f>IFERROR(_xlfn.XLOOKUP($B2516,MObra[DESCRIPCION],MObra[VALOR UNIT],,0),"")</f>
        <v/>
      </c>
      <c r="F2516" s="40"/>
      <c r="G2516" s="41" t="str">
        <f>IFERROR(IF(F2516&gt;=0,D2516*E2516*(1+F2516/100),ABS(D2516*E2516/F2516)),"")</f>
        <v/>
      </c>
      <c r="H2516" s="42" t="str">
        <f>IFERROR(G2516*E2498,"")</f>
        <v/>
      </c>
    </row>
    <row r="2517" spans="1:10" ht="12.75" customHeight="1" thickTop="1" thickBot="1"/>
    <row r="2518" spans="1:10" ht="12.75" customHeight="1" thickTop="1" thickBot="1">
      <c r="A2518" s="6" t="s">
        <v>1346</v>
      </c>
      <c r="B2518" s="7" t="str">
        <f>VLOOKUP($A2518,Presupuesto!$A:$D,2,FALSE())</f>
        <v>Piso madera tablilla machimbre</v>
      </c>
      <c r="C2518" s="8" t="str">
        <f>VLOOKUP($A2518,Presupuesto!$A:$D,3,FALSE())</f>
        <v>M2</v>
      </c>
      <c r="D2518" s="9"/>
      <c r="E2518" s="10">
        <f>VLOOKUP($A2518,Presupuesto!$A:$D,4,FALSE())</f>
        <v>0</v>
      </c>
      <c r="F2518" s="11" t="s">
        <v>2589</v>
      </c>
      <c r="G2518" s="12">
        <f>SUM(G2520:G2536)/2</f>
        <v>66006.847634250007</v>
      </c>
      <c r="H2518" s="13">
        <f>ROUND(SUM(H2520:H2536),0)/2</f>
        <v>0</v>
      </c>
      <c r="I2518" s="10">
        <f>VLOOKUP(A2518,Presupuesto!$A:$F,6,0)</f>
        <v>0</v>
      </c>
      <c r="J2518" s="10">
        <f>+H2518-I2518</f>
        <v>0</v>
      </c>
    </row>
    <row r="2519" spans="1:10" ht="12.75" customHeight="1" thickTop="1">
      <c r="A2519" s="14"/>
      <c r="B2519" s="15" t="s">
        <v>2586</v>
      </c>
      <c r="C2519" s="15" t="s">
        <v>5</v>
      </c>
      <c r="D2519" s="16" t="s">
        <v>6</v>
      </c>
      <c r="E2519" s="17" t="s">
        <v>7</v>
      </c>
      <c r="F2519" s="18" t="s">
        <v>3728</v>
      </c>
      <c r="G2519" s="19" t="s">
        <v>3729</v>
      </c>
      <c r="H2519" s="20" t="s">
        <v>3797</v>
      </c>
    </row>
    <row r="2520" spans="1:10" ht="12.75" customHeight="1">
      <c r="A2520" s="21"/>
      <c r="B2520" s="22" t="s">
        <v>3730</v>
      </c>
      <c r="C2520" s="23"/>
      <c r="D2520" s="24"/>
      <c r="E2520" s="25"/>
      <c r="F2520" s="26"/>
      <c r="G2520" s="27">
        <f>SUM(G2521:G2525)</f>
        <v>14921.235000000002</v>
      </c>
      <c r="H2520" s="27">
        <f>IFERROR(G2520*E2518,"")</f>
        <v>0</v>
      </c>
    </row>
    <row r="2521" spans="1:10" ht="12.75" customHeight="1">
      <c r="A2521" s="28"/>
      <c r="B2521" s="29" t="s">
        <v>3357</v>
      </c>
      <c r="C2521" s="30" t="str">
        <f>IFERROR(_xlfn.XLOOKUP(B2521,Insumo[DESCRIPCION],Insumo[UND],,0),"")</f>
        <v>M2</v>
      </c>
      <c r="D2521" s="31">
        <v>1</v>
      </c>
      <c r="E2521" s="32">
        <f>IFERROR(_xlfn.XLOOKUP($B2521,Insumo[DESCRIPCION],Insumo[VALOR],,0),"")</f>
        <v>13593.300000000001</v>
      </c>
      <c r="F2521" s="33">
        <v>5</v>
      </c>
      <c r="G2521" s="34">
        <f>IFERROR(IF(F2521&gt;=0,D2521*E2521*(1+F2521/100),ABS(D2521*E2521/F2521)),"")</f>
        <v>14272.965000000002</v>
      </c>
      <c r="H2521" s="43">
        <f>IFERROR(G2521*E2518,"")</f>
        <v>0</v>
      </c>
    </row>
    <row r="2522" spans="1:10" ht="12.75" customHeight="1">
      <c r="A2522" s="28"/>
      <c r="B2522" s="29" t="s">
        <v>3253</v>
      </c>
      <c r="C2522" s="30" t="str">
        <f>IFERROR(_xlfn.XLOOKUP(B2522,Insumo[DESCRIPCION],Insumo[UND],,0),"")</f>
        <v>Lb</v>
      </c>
      <c r="D2522" s="31">
        <v>0.1</v>
      </c>
      <c r="E2522" s="32">
        <f>IFERROR(_xlfn.XLOOKUP($B2522,Insumo[DESCRIPCION],Insumo[VALOR],,0),"")</f>
        <v>6482.7000000000007</v>
      </c>
      <c r="F2522" s="33"/>
      <c r="G2522" s="34">
        <f>IFERROR(IF(F2522&gt;=0,D2522*E2522*(1+F2522/100),ABS(D2522*E2522/F2522)),"")</f>
        <v>648.2700000000001</v>
      </c>
      <c r="H2522" s="43">
        <f>IFERROR(G2522*E2518,"")</f>
        <v>0</v>
      </c>
    </row>
    <row r="2523" spans="1:10" ht="12.75" customHeight="1">
      <c r="A2523" s="28"/>
      <c r="B2523" s="29"/>
      <c r="C2523" s="30" t="str">
        <f>IFERROR(_xlfn.XLOOKUP(B2523,Insumo[DESCRIPCION],Insumo[UND],,0),"")</f>
        <v/>
      </c>
      <c r="D2523" s="31"/>
      <c r="E2523" s="32" t="str">
        <f>IFERROR(_xlfn.XLOOKUP($B2523,Insumo[DESCRIPCION],Insumo[VALOR],,0),"")</f>
        <v/>
      </c>
      <c r="F2523" s="33"/>
      <c r="G2523" s="34" t="str">
        <f>IFERROR(IF(F2523&gt;=0,D2523*E2523*(1+F2523/100),ABS(D2523*E2523/F2523)),"")</f>
        <v/>
      </c>
      <c r="H2523" s="43" t="str">
        <f>IFERROR(G2523*E2518,"")</f>
        <v/>
      </c>
    </row>
    <row r="2524" spans="1:10" ht="12.75" customHeight="1">
      <c r="A2524" s="28"/>
      <c r="B2524" s="29"/>
      <c r="C2524" s="30" t="str">
        <f>IFERROR(_xlfn.XLOOKUP(B2524,Insumo[DESCRIPCION],Insumo[UND],,0),"")</f>
        <v/>
      </c>
      <c r="D2524" s="31"/>
      <c r="E2524" s="32" t="str">
        <f>IFERROR(_xlfn.XLOOKUP($B2524,Insumo[DESCRIPCION],Insumo[VALOR],,0),"")</f>
        <v/>
      </c>
      <c r="F2524" s="33"/>
      <c r="G2524" s="34" t="str">
        <f>IFERROR(IF(F2524&gt;=0,D2524*E2524*(1+F2524/100),ABS(D2524*E2524/F2524)),"")</f>
        <v/>
      </c>
      <c r="H2524" s="43" t="str">
        <f>IFERROR(G2524*E2518,"")</f>
        <v/>
      </c>
    </row>
    <row r="2525" spans="1:10" ht="12.75" customHeight="1">
      <c r="A2525" s="28"/>
      <c r="B2525" s="29"/>
      <c r="C2525" s="30" t="str">
        <f>IFERROR(_xlfn.XLOOKUP(B2525,Insumo[DESCRIPCION],Insumo[UND],,0),"")</f>
        <v/>
      </c>
      <c r="D2525" s="31"/>
      <c r="E2525" s="32" t="str">
        <f>IFERROR(_xlfn.XLOOKUP($B2525,Insumo[DESCRIPCION],Insumo[VALOR],,0),"")</f>
        <v/>
      </c>
      <c r="F2525" s="33"/>
      <c r="G2525" s="34" t="str">
        <f>IFERROR(IF(F2525&gt;=0,D2525*E2525*(1+F2525/100),ABS(D2525*E2525/F2525)),"")</f>
        <v/>
      </c>
      <c r="H2525" s="43" t="str">
        <f>IFERROR(G2525*E2518,"")</f>
        <v/>
      </c>
    </row>
    <row r="2526" spans="1:10" ht="12.75" customHeight="1">
      <c r="A2526" s="21"/>
      <c r="B2526" s="22" t="s">
        <v>3731</v>
      </c>
      <c r="C2526" s="23"/>
      <c r="D2526" s="24"/>
      <c r="E2526" s="25"/>
      <c r="F2526" s="26"/>
      <c r="G2526" s="27">
        <f>SUM(G2527:G2529)</f>
        <v>6172.6482206785722</v>
      </c>
      <c r="H2526" s="44">
        <f>G2526*E2518</f>
        <v>0</v>
      </c>
    </row>
    <row r="2527" spans="1:10" ht="12.75" customHeight="1">
      <c r="A2527" s="28"/>
      <c r="B2527" s="29" t="s">
        <v>3642</v>
      </c>
      <c r="C2527" s="30" t="str">
        <f>IFERROR(_xlfn.XLOOKUP(B2527,Equipo[DESCRIPCION],Equipo[UND],,0),"")</f>
        <v>Día</v>
      </c>
      <c r="D2527" s="31">
        <v>1</v>
      </c>
      <c r="E2527" s="32">
        <f>IF(C2527="%MO",G2533,IFERROR(_xlfn.XLOOKUP($B2527,Equipo[DESCRIPCION],Equipo[VALOR],,0),""))</f>
        <v>54978</v>
      </c>
      <c r="F2527" s="33">
        <v>-14</v>
      </c>
      <c r="G2527" s="34">
        <f>IFERROR(IF(F2527&gt;=0,D2527*E2527*(1+F2527/100),ABS(D2527*E2527/F2527)),"")</f>
        <v>3927</v>
      </c>
      <c r="H2527" s="43">
        <f>IFERROR(G2527*E2518,"")</f>
        <v>0</v>
      </c>
    </row>
    <row r="2528" spans="1:10" ht="12.75" customHeight="1">
      <c r="A2528" s="28"/>
      <c r="B2528" s="29" t="s">
        <v>3626</v>
      </c>
      <c r="C2528" s="30" t="str">
        <f>IFERROR(_xlfn.XLOOKUP(B2528,Equipo[DESCRIPCION],Equipo[UND],,0),"")</f>
        <v>%MO</v>
      </c>
      <c r="D2528" s="31">
        <v>0.05</v>
      </c>
      <c r="E2528" s="32">
        <f>IF(C2528="%MO",G2533,IFERROR(_xlfn.XLOOKUP($B2528,Equipo[DESCRIPCION],Equipo[VALOR],,0),""))</f>
        <v>44912.964413571441</v>
      </c>
      <c r="F2528" s="33"/>
      <c r="G2528" s="34">
        <f>IFERROR(IF(F2528&gt;=0,D2528*E2528*(1+F2528/100),ABS(D2528*E2528/F2528)),"")</f>
        <v>2245.6482206785722</v>
      </c>
      <c r="H2528" s="43">
        <f>IFERROR(G2528*E2518,"")</f>
        <v>0</v>
      </c>
    </row>
    <row r="2529" spans="1:10" ht="12.75" customHeight="1">
      <c r="A2529" s="28"/>
      <c r="B2529" s="29"/>
      <c r="C2529" s="30" t="str">
        <f>IFERROR(_xlfn.XLOOKUP(B2529,Equipo[DESCRIPCION],Equipo[UND],,0),"")</f>
        <v/>
      </c>
      <c r="D2529" s="31"/>
      <c r="E2529" s="32" t="str">
        <f>IF(C2529="%MO",G2533,IFERROR(_xlfn.XLOOKUP($B2529,Equipo[DESCRIPCION],Equipo[VALOR],,0),""))</f>
        <v/>
      </c>
      <c r="F2529" s="33"/>
      <c r="G2529" s="34" t="str">
        <f>IFERROR(IF(F2529&gt;=0,D2529*E2529*(1+F2529/100),ABS(D2529*E2529/F2529)),"")</f>
        <v/>
      </c>
      <c r="H2529" s="43" t="str">
        <f>IFERROR(G2529*E2518,"")</f>
        <v/>
      </c>
    </row>
    <row r="2530" spans="1:10" ht="12.75" customHeight="1">
      <c r="A2530" s="21"/>
      <c r="B2530" s="22" t="s">
        <v>2533</v>
      </c>
      <c r="C2530" s="23"/>
      <c r="D2530" s="24"/>
      <c r="E2530" s="25"/>
      <c r="F2530" s="26"/>
      <c r="G2530" s="27">
        <f>SUM(G2531:G2532)</f>
        <v>0</v>
      </c>
      <c r="H2530" s="44">
        <f>G2530*E2518</f>
        <v>0</v>
      </c>
    </row>
    <row r="2531" spans="1:10" ht="12.75" customHeight="1">
      <c r="A2531" s="28"/>
      <c r="B2531" s="29"/>
      <c r="C2531" s="30" t="str">
        <f>IFERROR(_xlfn.XLOOKUP(B2531,Transporte[DESCRIPCION],Transporte[UND],,0),"")</f>
        <v/>
      </c>
      <c r="D2531" s="31"/>
      <c r="E2531" s="32" t="str">
        <f>IFERROR(_xlfn.XLOOKUP($B2531,Transporte[DESCRIPCION],Transporte[VALOR],,0),"")</f>
        <v/>
      </c>
      <c r="F2531" s="33"/>
      <c r="G2531" s="34" t="str">
        <f>IFERROR(IF(F2531&gt;=0,D2531*E2531*(1+F2531/100),ABS(D2531*E2531/F2531)),"")</f>
        <v/>
      </c>
      <c r="H2531" s="43" t="str">
        <f>IFERROR(G2531*E2518,"")</f>
        <v/>
      </c>
    </row>
    <row r="2532" spans="1:10" ht="12.75" customHeight="1">
      <c r="A2532" s="28"/>
      <c r="B2532" s="29"/>
      <c r="C2532" s="30" t="str">
        <f>IFERROR(_xlfn.XLOOKUP(B2532,Transporte[DESCRIPCION],Transporte[UND],,0),"")</f>
        <v/>
      </c>
      <c r="D2532" s="31"/>
      <c r="E2532" s="32" t="str">
        <f>IFERROR(_xlfn.XLOOKUP($B2532,Transporte[DESCRIPCION],Transporte[VALOR],,0),"")</f>
        <v/>
      </c>
      <c r="F2532" s="33"/>
      <c r="G2532" s="34" t="str">
        <f>IFERROR(IF(F2532&gt;=0,D2532*E2532*(1+F2532/100),ABS(D2532*E2532/F2532)),"")</f>
        <v/>
      </c>
      <c r="H2532" s="43" t="str">
        <f>IFERROR(G2532*E2518,"")</f>
        <v/>
      </c>
    </row>
    <row r="2533" spans="1:10" ht="12.75" customHeight="1">
      <c r="A2533" s="21"/>
      <c r="B2533" s="22" t="s">
        <v>3732</v>
      </c>
      <c r="C2533" s="23"/>
      <c r="D2533" s="24"/>
      <c r="E2533" s="25"/>
      <c r="F2533" s="26"/>
      <c r="G2533" s="27">
        <f>SUM(G2534:G2536)</f>
        <v>44912.964413571441</v>
      </c>
      <c r="H2533" s="44">
        <f>G2533*E2518</f>
        <v>0</v>
      </c>
    </row>
    <row r="2534" spans="1:10" ht="12.75" customHeight="1">
      <c r="A2534" s="28"/>
      <c r="B2534" s="29" t="s">
        <v>3710</v>
      </c>
      <c r="C2534" s="30" t="str">
        <f>IFERROR(_xlfn.XLOOKUP(B2534,MObra[DESCRIPCION],MObra[UN],,0),"")</f>
        <v>día</v>
      </c>
      <c r="D2534" s="31">
        <v>1</v>
      </c>
      <c r="E2534" s="32">
        <f>IFERROR(_xlfn.XLOOKUP($B2534,MObra[DESCRIPCION],MObra[VALOR UNIT],,0),"")</f>
        <v>314390.75089500006</v>
      </c>
      <c r="F2534" s="33">
        <v>-7</v>
      </c>
      <c r="G2534" s="34">
        <f>IFERROR(IF(F2534&gt;=0,D2534*E2534*(1+F2534/100),ABS(D2534*E2534/F2534)),"")</f>
        <v>44912.964413571441</v>
      </c>
      <c r="H2534" s="43">
        <f>IFERROR(G2534*E2518,"")</f>
        <v>0</v>
      </c>
    </row>
    <row r="2535" spans="1:10" ht="12.75" customHeight="1">
      <c r="A2535" s="28"/>
      <c r="B2535" s="29"/>
      <c r="C2535" s="30" t="str">
        <f>IFERROR(_xlfn.XLOOKUP(B2535,MObra[DESCRIPCION],MObra[UN],,0),"")</f>
        <v/>
      </c>
      <c r="D2535" s="31"/>
      <c r="E2535" s="32" t="str">
        <f>IFERROR(_xlfn.XLOOKUP($B2535,MObra[DESCRIPCION],MObra[VALOR UNIT],,0),"")</f>
        <v/>
      </c>
      <c r="F2535" s="33"/>
      <c r="G2535" s="34" t="str">
        <f>IFERROR(IF(F2535&gt;=0,D2535*E2535*(1+F2535/100),ABS(D2535*E2535/F2535)),"")</f>
        <v/>
      </c>
      <c r="H2535" s="43" t="str">
        <f>IFERROR(G2535*E2518,"")</f>
        <v/>
      </c>
    </row>
    <row r="2536" spans="1:10" ht="12.75" customHeight="1" thickBot="1">
      <c r="A2536" s="35"/>
      <c r="B2536" s="36"/>
      <c r="C2536" s="37" t="str">
        <f>IFERROR(_xlfn.XLOOKUP(B2536,MObra[DESCRIPCION],MObra[UN],,0),"")</f>
        <v/>
      </c>
      <c r="D2536" s="38"/>
      <c r="E2536" s="39" t="str">
        <f>IFERROR(_xlfn.XLOOKUP($B2536,MObra[DESCRIPCION],MObra[VALOR UNIT],,0),"")</f>
        <v/>
      </c>
      <c r="F2536" s="40"/>
      <c r="G2536" s="41" t="str">
        <f>IFERROR(IF(F2536&gt;=0,D2536*E2536*(1+F2536/100),ABS(D2536*E2536/F2536)),"")</f>
        <v/>
      </c>
      <c r="H2536" s="42" t="str">
        <f>IFERROR(G2536*E2518,"")</f>
        <v/>
      </c>
    </row>
    <row r="2537" spans="1:10" ht="12.75" customHeight="1" thickTop="1" thickBot="1"/>
    <row r="2538" spans="1:10" ht="12.75" customHeight="1" thickTop="1" thickBot="1">
      <c r="A2538" s="6" t="s">
        <v>1348</v>
      </c>
      <c r="B2538" s="7" t="str">
        <f>VLOOKUP($A2538,Presupuesto!$A:$D,2,FALSE())</f>
        <v>Piso mayólica</v>
      </c>
      <c r="C2538" s="8" t="str">
        <f>VLOOKUP($A2538,Presupuesto!$A:$D,3,FALSE())</f>
        <v>M2</v>
      </c>
      <c r="D2538" s="9"/>
      <c r="E2538" s="10">
        <f>VLOOKUP($A2538,Presupuesto!$A:$D,4,FALSE())</f>
        <v>0</v>
      </c>
      <c r="F2538" s="11" t="s">
        <v>2589</v>
      </c>
      <c r="G2538" s="12">
        <f>SUM(G2540:G2556)/2</f>
        <v>59659.97634397501</v>
      </c>
      <c r="H2538" s="13">
        <f>ROUND(SUM(H2540:H2556),0)/2</f>
        <v>0</v>
      </c>
      <c r="I2538" s="10">
        <f>VLOOKUP(A2538,Presupuesto!$A:$F,6,0)</f>
        <v>0</v>
      </c>
      <c r="J2538" s="10">
        <f>+H2538-I2538</f>
        <v>0</v>
      </c>
    </row>
    <row r="2539" spans="1:10" ht="12.75" customHeight="1" thickTop="1">
      <c r="A2539" s="14"/>
      <c r="B2539" s="15" t="s">
        <v>2586</v>
      </c>
      <c r="C2539" s="15" t="s">
        <v>5</v>
      </c>
      <c r="D2539" s="16" t="s">
        <v>6</v>
      </c>
      <c r="E2539" s="17" t="s">
        <v>7</v>
      </c>
      <c r="F2539" s="18" t="s">
        <v>3728</v>
      </c>
      <c r="G2539" s="19" t="s">
        <v>3729</v>
      </c>
      <c r="H2539" s="20" t="s">
        <v>3797</v>
      </c>
    </row>
    <row r="2540" spans="1:10" ht="12.75" customHeight="1">
      <c r="A2540" s="21"/>
      <c r="B2540" s="22" t="s">
        <v>3730</v>
      </c>
      <c r="C2540" s="23"/>
      <c r="D2540" s="24"/>
      <c r="E2540" s="25"/>
      <c r="F2540" s="26"/>
      <c r="G2540" s="27">
        <f>SUM(G2541:G2545)</f>
        <v>26648.947500000002</v>
      </c>
      <c r="H2540" s="27">
        <f>IFERROR(G2540*E2538,"")</f>
        <v>0</v>
      </c>
    </row>
    <row r="2541" spans="1:10" ht="12.75" customHeight="1">
      <c r="A2541" s="28"/>
      <c r="B2541" s="29" t="s">
        <v>3214</v>
      </c>
      <c r="C2541" s="30" t="str">
        <f>IFERROR(_xlfn.XLOOKUP(B2541,Insumo[DESCRIPCION],Insumo[UND],,0),"")</f>
        <v>M2</v>
      </c>
      <c r="D2541" s="31">
        <v>1</v>
      </c>
      <c r="E2541" s="32">
        <f>IFERROR(_xlfn.XLOOKUP($B2541,Insumo[DESCRIPCION],Insumo[VALOR],,0),"")</f>
        <v>23749.95</v>
      </c>
      <c r="F2541" s="33">
        <v>5</v>
      </c>
      <c r="G2541" s="34">
        <f>IFERROR(IF(F2541&gt;=0,D2541*E2541*(1+F2541/100),ABS(D2541*E2541/F2541)),"")</f>
        <v>24937.447500000002</v>
      </c>
      <c r="H2541" s="43">
        <f>IFERROR(G2541*E2538,"")</f>
        <v>0</v>
      </c>
    </row>
    <row r="2542" spans="1:10" ht="12.75" customHeight="1">
      <c r="A2542" s="28"/>
      <c r="B2542" s="29" t="s">
        <v>2824</v>
      </c>
      <c r="C2542" s="30" t="str">
        <f>IFERROR(_xlfn.XLOOKUP(B2542,Insumo[DESCRIPCION],Insumo[UND],,0),"")</f>
        <v>Un</v>
      </c>
      <c r="D2542" s="31">
        <v>0.05</v>
      </c>
      <c r="E2542" s="32">
        <f>IFERROR(_xlfn.XLOOKUP($B2542,Insumo[DESCRIPCION],Insumo[VALOR],,0),"")</f>
        <v>34230</v>
      </c>
      <c r="F2542" s="33"/>
      <c r="G2542" s="34">
        <f>IFERROR(IF(F2542&gt;=0,D2542*E2542*(1+F2542/100),ABS(D2542*E2542/F2542)),"")</f>
        <v>1711.5</v>
      </c>
      <c r="H2542" s="43">
        <f>IFERROR(G2542*E2538,"")</f>
        <v>0</v>
      </c>
    </row>
    <row r="2543" spans="1:10" ht="12.75" customHeight="1">
      <c r="A2543" s="28"/>
      <c r="B2543" s="29"/>
      <c r="C2543" s="30" t="str">
        <f>IFERROR(_xlfn.XLOOKUP(B2543,Insumo[DESCRIPCION],Insumo[UND],,0),"")</f>
        <v/>
      </c>
      <c r="D2543" s="31"/>
      <c r="E2543" s="32" t="str">
        <f>IFERROR(_xlfn.XLOOKUP($B2543,Insumo[DESCRIPCION],Insumo[VALOR],,0),"")</f>
        <v/>
      </c>
      <c r="F2543" s="33"/>
      <c r="G2543" s="34" t="str">
        <f>IFERROR(IF(F2543&gt;=0,D2543*E2543*(1+F2543/100),ABS(D2543*E2543/F2543)),"")</f>
        <v/>
      </c>
      <c r="H2543" s="43" t="str">
        <f>IFERROR(G2543*E2538,"")</f>
        <v/>
      </c>
    </row>
    <row r="2544" spans="1:10" ht="12.75" customHeight="1">
      <c r="A2544" s="28"/>
      <c r="B2544" s="29"/>
      <c r="C2544" s="30" t="str">
        <f>IFERROR(_xlfn.XLOOKUP(B2544,Insumo[DESCRIPCION],Insumo[UND],,0),"")</f>
        <v/>
      </c>
      <c r="D2544" s="31"/>
      <c r="E2544" s="32" t="str">
        <f>IFERROR(_xlfn.XLOOKUP($B2544,Insumo[DESCRIPCION],Insumo[VALOR],,0),"")</f>
        <v/>
      </c>
      <c r="F2544" s="33"/>
      <c r="G2544" s="34" t="str">
        <f>IFERROR(IF(F2544&gt;=0,D2544*E2544*(1+F2544/100),ABS(D2544*E2544/F2544)),"")</f>
        <v/>
      </c>
      <c r="H2544" s="43" t="str">
        <f>IFERROR(G2544*E2538,"")</f>
        <v/>
      </c>
    </row>
    <row r="2545" spans="1:10" ht="12.75" customHeight="1">
      <c r="A2545" s="28"/>
      <c r="B2545" s="29"/>
      <c r="C2545" s="30" t="str">
        <f>IFERROR(_xlfn.XLOOKUP(B2545,Insumo[DESCRIPCION],Insumo[UND],,0),"")</f>
        <v/>
      </c>
      <c r="D2545" s="31"/>
      <c r="E2545" s="32" t="str">
        <f>IFERROR(_xlfn.XLOOKUP($B2545,Insumo[DESCRIPCION],Insumo[VALOR],,0),"")</f>
        <v/>
      </c>
      <c r="F2545" s="33"/>
      <c r="G2545" s="34" t="str">
        <f>IFERROR(IF(F2545&gt;=0,D2545*E2545*(1+F2545/100),ABS(D2545*E2545/F2545)),"")</f>
        <v/>
      </c>
      <c r="H2545" s="43" t="str">
        <f>IFERROR(G2545*E2538,"")</f>
        <v/>
      </c>
    </row>
    <row r="2546" spans="1:10" ht="12.75" customHeight="1">
      <c r="A2546" s="21"/>
      <c r="B2546" s="22" t="s">
        <v>3731</v>
      </c>
      <c r="C2546" s="23"/>
      <c r="D2546" s="24"/>
      <c r="E2546" s="25"/>
      <c r="F2546" s="26"/>
      <c r="G2546" s="27">
        <f>SUM(G2547:G2549)</f>
        <v>1571.9537544750003</v>
      </c>
      <c r="H2546" s="44">
        <f>G2546*E2538</f>
        <v>0</v>
      </c>
    </row>
    <row r="2547" spans="1:10" ht="12.75" customHeight="1">
      <c r="A2547" s="28"/>
      <c r="B2547" s="29" t="s">
        <v>3626</v>
      </c>
      <c r="C2547" s="30" t="str">
        <f>IFERROR(_xlfn.XLOOKUP(B2547,Equipo[DESCRIPCION],Equipo[UND],,0),"")</f>
        <v>%MO</v>
      </c>
      <c r="D2547" s="31">
        <v>0.05</v>
      </c>
      <c r="E2547" s="32">
        <f>IF(C2547="%MO",G2553,IFERROR(_xlfn.XLOOKUP($B2547,Equipo[DESCRIPCION],Equipo[VALOR],,0),""))</f>
        <v>31439.075089500006</v>
      </c>
      <c r="F2547" s="33"/>
      <c r="G2547" s="34">
        <f>IFERROR(IF(F2547&gt;=0,D2547*E2547*(1+F2547/100),ABS(D2547*E2547/F2547)),"")</f>
        <v>1571.9537544750003</v>
      </c>
      <c r="H2547" s="43">
        <f>IFERROR(G2547*E2538,"")</f>
        <v>0</v>
      </c>
    </row>
    <row r="2548" spans="1:10" ht="12.75" customHeight="1">
      <c r="A2548" s="28"/>
      <c r="B2548" s="29"/>
      <c r="C2548" s="30" t="str">
        <f>IFERROR(_xlfn.XLOOKUP(B2548,Equipo[DESCRIPCION],Equipo[UND],,0),"")</f>
        <v/>
      </c>
      <c r="D2548" s="31"/>
      <c r="E2548" s="32" t="str">
        <f>IF(C2548="%MO",G2553,IFERROR(_xlfn.XLOOKUP($B2548,Equipo[DESCRIPCION],Equipo[VALOR],,0),""))</f>
        <v/>
      </c>
      <c r="F2548" s="33"/>
      <c r="G2548" s="34" t="str">
        <f>IFERROR(IF(F2548&gt;=0,D2548*E2548*(1+F2548/100),ABS(D2548*E2548/F2548)),"")</f>
        <v/>
      </c>
      <c r="H2548" s="43" t="str">
        <f>IFERROR(G2548*E2538,"")</f>
        <v/>
      </c>
    </row>
    <row r="2549" spans="1:10" ht="12.75" customHeight="1">
      <c r="A2549" s="28"/>
      <c r="B2549" s="29"/>
      <c r="C2549" s="30" t="str">
        <f>IFERROR(_xlfn.XLOOKUP(B2549,Equipo[DESCRIPCION],Equipo[UND],,0),"")</f>
        <v/>
      </c>
      <c r="D2549" s="31"/>
      <c r="E2549" s="32" t="str">
        <f>IF(C2549="%MO",G2553,IFERROR(_xlfn.XLOOKUP($B2549,Equipo[DESCRIPCION],Equipo[VALOR],,0),""))</f>
        <v/>
      </c>
      <c r="F2549" s="33"/>
      <c r="G2549" s="34" t="str">
        <f>IFERROR(IF(F2549&gt;=0,D2549*E2549*(1+F2549/100),ABS(D2549*E2549/F2549)),"")</f>
        <v/>
      </c>
      <c r="H2549" s="43" t="str">
        <f>IFERROR(G2549*E2538,"")</f>
        <v/>
      </c>
    </row>
    <row r="2550" spans="1:10" ht="12.75" customHeight="1">
      <c r="A2550" s="21"/>
      <c r="B2550" s="22" t="s">
        <v>2533</v>
      </c>
      <c r="C2550" s="23"/>
      <c r="D2550" s="24"/>
      <c r="E2550" s="25"/>
      <c r="F2550" s="26"/>
      <c r="G2550" s="27">
        <f>SUM(G2551:G2552)</f>
        <v>0</v>
      </c>
      <c r="H2550" s="44">
        <f>G2550*E2538</f>
        <v>0</v>
      </c>
    </row>
    <row r="2551" spans="1:10" ht="12.75" customHeight="1">
      <c r="A2551" s="28"/>
      <c r="B2551" s="29"/>
      <c r="C2551" s="30" t="str">
        <f>IFERROR(_xlfn.XLOOKUP(B2551,Transporte[DESCRIPCION],Transporte[UND],,0),"")</f>
        <v/>
      </c>
      <c r="D2551" s="31"/>
      <c r="E2551" s="32" t="str">
        <f>IFERROR(_xlfn.XLOOKUP($B2551,Transporte[DESCRIPCION],Transporte[VALOR],,0),"")</f>
        <v/>
      </c>
      <c r="F2551" s="33"/>
      <c r="G2551" s="34" t="str">
        <f>IFERROR(IF(F2551&gt;=0,D2551*E2551*(1+F2551/100),ABS(D2551*E2551/F2551)),"")</f>
        <v/>
      </c>
      <c r="H2551" s="43" t="str">
        <f>IFERROR(G2551*E2538,"")</f>
        <v/>
      </c>
    </row>
    <row r="2552" spans="1:10" ht="12.75" customHeight="1">
      <c r="A2552" s="28"/>
      <c r="B2552" s="29"/>
      <c r="C2552" s="30" t="str">
        <f>IFERROR(_xlfn.XLOOKUP(B2552,Transporte[DESCRIPCION],Transporte[UND],,0),"")</f>
        <v/>
      </c>
      <c r="D2552" s="31"/>
      <c r="E2552" s="32" t="str">
        <f>IFERROR(_xlfn.XLOOKUP($B2552,Transporte[DESCRIPCION],Transporte[VALOR],,0),"")</f>
        <v/>
      </c>
      <c r="F2552" s="33"/>
      <c r="G2552" s="34" t="str">
        <f>IFERROR(IF(F2552&gt;=0,D2552*E2552*(1+F2552/100),ABS(D2552*E2552/F2552)),"")</f>
        <v/>
      </c>
      <c r="H2552" s="43" t="str">
        <f>IFERROR(G2552*E2538,"")</f>
        <v/>
      </c>
    </row>
    <row r="2553" spans="1:10" ht="12.75" customHeight="1">
      <c r="A2553" s="21"/>
      <c r="B2553" s="22" t="s">
        <v>3732</v>
      </c>
      <c r="C2553" s="23"/>
      <c r="D2553" s="24"/>
      <c r="E2553" s="25"/>
      <c r="F2553" s="26"/>
      <c r="G2553" s="27">
        <f>SUM(G2554:G2556)</f>
        <v>31439.075089500006</v>
      </c>
      <c r="H2553" s="44">
        <f>G2553*E2538</f>
        <v>0</v>
      </c>
    </row>
    <row r="2554" spans="1:10" ht="12.75" customHeight="1">
      <c r="A2554" s="28"/>
      <c r="B2554" s="29" t="s">
        <v>3710</v>
      </c>
      <c r="C2554" s="30" t="str">
        <f>IFERROR(_xlfn.XLOOKUP(B2554,MObra[DESCRIPCION],MObra[UN],,0),"")</f>
        <v>día</v>
      </c>
      <c r="D2554" s="31">
        <v>1</v>
      </c>
      <c r="E2554" s="32">
        <f>IFERROR(_xlfn.XLOOKUP($B2554,MObra[DESCRIPCION],MObra[VALOR UNIT],,0),"")</f>
        <v>314390.75089500006</v>
      </c>
      <c r="F2554" s="33">
        <v>-10</v>
      </c>
      <c r="G2554" s="34">
        <f>IFERROR(IF(F2554&gt;=0,D2554*E2554*(1+F2554/100),ABS(D2554*E2554/F2554)),"")</f>
        <v>31439.075089500006</v>
      </c>
      <c r="H2554" s="43">
        <f>IFERROR(G2554*E2538,"")</f>
        <v>0</v>
      </c>
    </row>
    <row r="2555" spans="1:10" ht="12.75" customHeight="1">
      <c r="A2555" s="28"/>
      <c r="B2555" s="29"/>
      <c r="C2555" s="30" t="str">
        <f>IFERROR(_xlfn.XLOOKUP(B2555,MObra[DESCRIPCION],MObra[UN],,0),"")</f>
        <v/>
      </c>
      <c r="D2555" s="31"/>
      <c r="E2555" s="32" t="str">
        <f>IFERROR(_xlfn.XLOOKUP($B2555,MObra[DESCRIPCION],MObra[VALOR UNIT],,0),"")</f>
        <v/>
      </c>
      <c r="F2555" s="33"/>
      <c r="G2555" s="34" t="str">
        <f>IFERROR(IF(F2555&gt;=0,D2555*E2555*(1+F2555/100),ABS(D2555*E2555/F2555)),"")</f>
        <v/>
      </c>
      <c r="H2555" s="43" t="str">
        <f>IFERROR(G2555*E2538,"")</f>
        <v/>
      </c>
    </row>
    <row r="2556" spans="1:10" ht="12.75" customHeight="1" thickBot="1">
      <c r="A2556" s="35"/>
      <c r="B2556" s="36"/>
      <c r="C2556" s="37" t="str">
        <f>IFERROR(_xlfn.XLOOKUP(B2556,MObra[DESCRIPCION],MObra[UN],,0),"")</f>
        <v/>
      </c>
      <c r="D2556" s="38"/>
      <c r="E2556" s="39" t="str">
        <f>IFERROR(_xlfn.XLOOKUP($B2556,MObra[DESCRIPCION],MObra[VALOR UNIT],,0),"")</f>
        <v/>
      </c>
      <c r="F2556" s="40"/>
      <c r="G2556" s="41" t="str">
        <f>IFERROR(IF(F2556&gt;=0,D2556*E2556*(1+F2556/100),ABS(D2556*E2556/F2556)),"")</f>
        <v/>
      </c>
      <c r="H2556" s="42" t="str">
        <f>IFERROR(G2556*E2538,"")</f>
        <v/>
      </c>
    </row>
    <row r="2557" spans="1:10" ht="12.75" customHeight="1" thickTop="1" thickBot="1"/>
    <row r="2558" spans="1:10" ht="12.75" customHeight="1" thickTop="1" thickBot="1">
      <c r="A2558" s="6" t="s">
        <v>1350</v>
      </c>
      <c r="B2558" s="7" t="str">
        <f>VLOOKUP($A2558,Presupuesto!$A:$D,2,FALSE())</f>
        <v>Piso en vinilo</v>
      </c>
      <c r="C2558" s="8" t="str">
        <f>VLOOKUP($A2558,Presupuesto!$A:$D,3,FALSE())</f>
        <v>M2</v>
      </c>
      <c r="D2558" s="9"/>
      <c r="E2558" s="10">
        <f>VLOOKUP($A2558,Presupuesto!$A:$D,4,FALSE())</f>
        <v>0</v>
      </c>
      <c r="F2558" s="11" t="s">
        <v>2589</v>
      </c>
      <c r="G2558" s="12">
        <f>SUM(G2560:G2576)/2</f>
        <v>116633.20605496874</v>
      </c>
      <c r="H2558" s="13">
        <f>ROUND(SUM(H2560:H2576),0)/2</f>
        <v>0</v>
      </c>
      <c r="I2558" s="10">
        <f>VLOOKUP(A2558,Presupuesto!$A:$F,6,0)</f>
        <v>0</v>
      </c>
      <c r="J2558" s="10">
        <f>+H2558-I2558</f>
        <v>0</v>
      </c>
    </row>
    <row r="2559" spans="1:10" ht="12.75" customHeight="1" thickTop="1">
      <c r="A2559" s="14"/>
      <c r="B2559" s="15" t="s">
        <v>2586</v>
      </c>
      <c r="C2559" s="15" t="s">
        <v>5</v>
      </c>
      <c r="D2559" s="16" t="s">
        <v>6</v>
      </c>
      <c r="E2559" s="17" t="s">
        <v>7</v>
      </c>
      <c r="F2559" s="18" t="s">
        <v>3728</v>
      </c>
      <c r="G2559" s="19" t="s">
        <v>3729</v>
      </c>
      <c r="H2559" s="20" t="s">
        <v>3797</v>
      </c>
    </row>
    <row r="2560" spans="1:10" ht="12.75" customHeight="1">
      <c r="A2560" s="21"/>
      <c r="B2560" s="22" t="s">
        <v>3730</v>
      </c>
      <c r="C2560" s="23"/>
      <c r="D2560" s="24"/>
      <c r="E2560" s="25"/>
      <c r="F2560" s="26"/>
      <c r="G2560" s="27">
        <f>SUM(G2561:G2565)</f>
        <v>75369.42</v>
      </c>
      <c r="H2560" s="27">
        <f>IFERROR(G2560*E2558,"")</f>
        <v>0</v>
      </c>
    </row>
    <row r="2561" spans="1:8" ht="12.75" customHeight="1">
      <c r="A2561" s="28"/>
      <c r="B2561" s="29" t="s">
        <v>3215</v>
      </c>
      <c r="C2561" s="30" t="str">
        <f>IFERROR(_xlfn.XLOOKUP(B2561,Insumo[DESCRIPCION],Insumo[UND],,0),"")</f>
        <v>M2</v>
      </c>
      <c r="D2561" s="31">
        <v>1</v>
      </c>
      <c r="E2561" s="32">
        <f>IFERROR(_xlfn.XLOOKUP($B2561,Insumo[DESCRIPCION],Insumo[VALOR],,0),"")</f>
        <v>64995</v>
      </c>
      <c r="F2561" s="33">
        <v>5</v>
      </c>
      <c r="G2561" s="34">
        <f>IFERROR(IF(F2561&gt;=0,D2561*E2561*(1+F2561/100),ABS(D2561*E2561/F2561)),"")</f>
        <v>68244.75</v>
      </c>
      <c r="H2561" s="43">
        <f>IFERROR(G2561*E2558,"")</f>
        <v>0</v>
      </c>
    </row>
    <row r="2562" spans="1:8" ht="12.75" customHeight="1">
      <c r="A2562" s="28"/>
      <c r="B2562" s="29" t="s">
        <v>2677</v>
      </c>
      <c r="C2562" s="30" t="str">
        <f>IFERROR(_xlfn.XLOOKUP(B2562,Insumo[DESCRIPCION],Insumo[UND],,0),"")</f>
        <v>galón</v>
      </c>
      <c r="D2562" s="31">
        <v>0.05</v>
      </c>
      <c r="E2562" s="32">
        <f>IFERROR(_xlfn.XLOOKUP($B2562,Insumo[DESCRIPCION],Insumo[VALOR],,0),"")</f>
        <v>142493.4</v>
      </c>
      <c r="F2562" s="33"/>
      <c r="G2562" s="34">
        <f>IFERROR(IF(F2562&gt;=0,D2562*E2562*(1+F2562/100),ABS(D2562*E2562/F2562)),"")</f>
        <v>7124.67</v>
      </c>
      <c r="H2562" s="43">
        <f>IFERROR(G2562*E2558,"")</f>
        <v>0</v>
      </c>
    </row>
    <row r="2563" spans="1:8" ht="12.75" customHeight="1">
      <c r="A2563" s="28"/>
      <c r="B2563" s="29"/>
      <c r="C2563" s="30" t="str">
        <f>IFERROR(_xlfn.XLOOKUP(B2563,Insumo[DESCRIPCION],Insumo[UND],,0),"")</f>
        <v/>
      </c>
      <c r="D2563" s="31"/>
      <c r="E2563" s="32" t="str">
        <f>IFERROR(_xlfn.XLOOKUP($B2563,Insumo[DESCRIPCION],Insumo[VALOR],,0),"")</f>
        <v/>
      </c>
      <c r="F2563" s="33"/>
      <c r="G2563" s="34" t="str">
        <f>IFERROR(IF(F2563&gt;=0,D2563*E2563*(1+F2563/100),ABS(D2563*E2563/F2563)),"")</f>
        <v/>
      </c>
      <c r="H2563" s="43" t="str">
        <f>IFERROR(G2563*E2558,"")</f>
        <v/>
      </c>
    </row>
    <row r="2564" spans="1:8" ht="12.75" customHeight="1">
      <c r="A2564" s="28"/>
      <c r="B2564" s="29"/>
      <c r="C2564" s="30" t="str">
        <f>IFERROR(_xlfn.XLOOKUP(B2564,Insumo[DESCRIPCION],Insumo[UND],,0),"")</f>
        <v/>
      </c>
      <c r="D2564" s="31"/>
      <c r="E2564" s="32" t="str">
        <f>IFERROR(_xlfn.XLOOKUP($B2564,Insumo[DESCRIPCION],Insumo[VALOR],,0),"")</f>
        <v/>
      </c>
      <c r="F2564" s="33"/>
      <c r="G2564" s="34" t="str">
        <f>IFERROR(IF(F2564&gt;=0,D2564*E2564*(1+F2564/100),ABS(D2564*E2564/F2564)),"")</f>
        <v/>
      </c>
      <c r="H2564" s="43" t="str">
        <f>IFERROR(G2564*E2558,"")</f>
        <v/>
      </c>
    </row>
    <row r="2565" spans="1:8" ht="12.75" customHeight="1">
      <c r="A2565" s="28"/>
      <c r="B2565" s="29"/>
      <c r="C2565" s="30" t="str">
        <f>IFERROR(_xlfn.XLOOKUP(B2565,Insumo[DESCRIPCION],Insumo[UND],,0),"")</f>
        <v/>
      </c>
      <c r="D2565" s="31"/>
      <c r="E2565" s="32" t="str">
        <f>IFERROR(_xlfn.XLOOKUP($B2565,Insumo[DESCRIPCION],Insumo[VALOR],,0),"")</f>
        <v/>
      </c>
      <c r="F2565" s="33"/>
      <c r="G2565" s="34" t="str">
        <f>IFERROR(IF(F2565&gt;=0,D2565*E2565*(1+F2565/100),ABS(D2565*E2565/F2565)),"")</f>
        <v/>
      </c>
      <c r="H2565" s="43" t="str">
        <f>IFERROR(G2565*E2558,"")</f>
        <v/>
      </c>
    </row>
    <row r="2566" spans="1:8" ht="12.75" customHeight="1">
      <c r="A2566" s="21"/>
      <c r="B2566" s="22" t="s">
        <v>3731</v>
      </c>
      <c r="C2566" s="23"/>
      <c r="D2566" s="24"/>
      <c r="E2566" s="25"/>
      <c r="F2566" s="26"/>
      <c r="G2566" s="27">
        <f>SUM(G2567:G2569)</f>
        <v>1964.9421930937506</v>
      </c>
      <c r="H2566" s="44">
        <f>G2566*E2558</f>
        <v>0</v>
      </c>
    </row>
    <row r="2567" spans="1:8" ht="12.75" customHeight="1">
      <c r="A2567" s="28"/>
      <c r="B2567" s="29" t="s">
        <v>3626</v>
      </c>
      <c r="C2567" s="30" t="str">
        <f>IFERROR(_xlfn.XLOOKUP(B2567,Equipo[DESCRIPCION],Equipo[UND],,0),"")</f>
        <v>%MO</v>
      </c>
      <c r="D2567" s="31">
        <v>0.05</v>
      </c>
      <c r="E2567" s="32">
        <f>IF(C2567="%MO",G2573,IFERROR(_xlfn.XLOOKUP($B2567,Equipo[DESCRIPCION],Equipo[VALOR],,0),""))</f>
        <v>39298.843861875008</v>
      </c>
      <c r="F2567" s="33"/>
      <c r="G2567" s="34">
        <f>IFERROR(IF(F2567&gt;=0,D2567*E2567*(1+F2567/100),ABS(D2567*E2567/F2567)),"")</f>
        <v>1964.9421930937506</v>
      </c>
      <c r="H2567" s="43">
        <f>IFERROR(G2567*E2558,"")</f>
        <v>0</v>
      </c>
    </row>
    <row r="2568" spans="1:8" ht="12.75" customHeight="1">
      <c r="A2568" s="28"/>
      <c r="B2568" s="29"/>
      <c r="C2568" s="30" t="str">
        <f>IFERROR(_xlfn.XLOOKUP(B2568,Equipo[DESCRIPCION],Equipo[UND],,0),"")</f>
        <v/>
      </c>
      <c r="D2568" s="31"/>
      <c r="E2568" s="32" t="str">
        <f>IF(C2568="%MO",G2573,IFERROR(_xlfn.XLOOKUP($B2568,Equipo[DESCRIPCION],Equipo[VALOR],,0),""))</f>
        <v/>
      </c>
      <c r="F2568" s="33"/>
      <c r="G2568" s="34" t="str">
        <f>IFERROR(IF(F2568&gt;=0,D2568*E2568*(1+F2568/100),ABS(D2568*E2568/F2568)),"")</f>
        <v/>
      </c>
      <c r="H2568" s="43" t="str">
        <f>IFERROR(G2568*E2558,"")</f>
        <v/>
      </c>
    </row>
    <row r="2569" spans="1:8" ht="12.75" customHeight="1">
      <c r="A2569" s="28"/>
      <c r="B2569" s="29"/>
      <c r="C2569" s="30" t="str">
        <f>IFERROR(_xlfn.XLOOKUP(B2569,Equipo[DESCRIPCION],Equipo[UND],,0),"")</f>
        <v/>
      </c>
      <c r="D2569" s="31"/>
      <c r="E2569" s="32" t="str">
        <f>IF(C2569="%MO",G2573,IFERROR(_xlfn.XLOOKUP($B2569,Equipo[DESCRIPCION],Equipo[VALOR],,0),""))</f>
        <v/>
      </c>
      <c r="F2569" s="33"/>
      <c r="G2569" s="34" t="str">
        <f>IFERROR(IF(F2569&gt;=0,D2569*E2569*(1+F2569/100),ABS(D2569*E2569/F2569)),"")</f>
        <v/>
      </c>
      <c r="H2569" s="43" t="str">
        <f>IFERROR(G2569*E2558,"")</f>
        <v/>
      </c>
    </row>
    <row r="2570" spans="1:8" ht="12.75" customHeight="1">
      <c r="A2570" s="21"/>
      <c r="B2570" s="22" t="s">
        <v>2533</v>
      </c>
      <c r="C2570" s="23"/>
      <c r="D2570" s="24"/>
      <c r="E2570" s="25"/>
      <c r="F2570" s="26"/>
      <c r="G2570" s="27">
        <f>SUM(G2571:G2572)</f>
        <v>0</v>
      </c>
      <c r="H2570" s="44">
        <f>G2570*E2558</f>
        <v>0</v>
      </c>
    </row>
    <row r="2571" spans="1:8" ht="12.75" customHeight="1">
      <c r="A2571" s="28"/>
      <c r="B2571" s="29"/>
      <c r="C2571" s="30" t="str">
        <f>IFERROR(_xlfn.XLOOKUP(B2571,Transporte[DESCRIPCION],Transporte[UND],,0),"")</f>
        <v/>
      </c>
      <c r="D2571" s="31"/>
      <c r="E2571" s="32" t="str">
        <f>IFERROR(_xlfn.XLOOKUP($B2571,Transporte[DESCRIPCION],Transporte[VALOR],,0),"")</f>
        <v/>
      </c>
      <c r="F2571" s="33"/>
      <c r="G2571" s="34" t="str">
        <f>IFERROR(IF(F2571&gt;=0,D2571*E2571*(1+F2571/100),ABS(D2571*E2571/F2571)),"")</f>
        <v/>
      </c>
      <c r="H2571" s="43" t="str">
        <f>IFERROR(G2571*E2558,"")</f>
        <v/>
      </c>
    </row>
    <row r="2572" spans="1:8" ht="12.75" customHeight="1">
      <c r="A2572" s="28"/>
      <c r="B2572" s="29"/>
      <c r="C2572" s="30" t="str">
        <f>IFERROR(_xlfn.XLOOKUP(B2572,Transporte[DESCRIPCION],Transporte[UND],,0),"")</f>
        <v/>
      </c>
      <c r="D2572" s="31"/>
      <c r="E2572" s="32" t="str">
        <f>IFERROR(_xlfn.XLOOKUP($B2572,Transporte[DESCRIPCION],Transporte[VALOR],,0),"")</f>
        <v/>
      </c>
      <c r="F2572" s="33"/>
      <c r="G2572" s="34" t="str">
        <f>IFERROR(IF(F2572&gt;=0,D2572*E2572*(1+F2572/100),ABS(D2572*E2572/F2572)),"")</f>
        <v/>
      </c>
      <c r="H2572" s="43" t="str">
        <f>IFERROR(G2572*E2558,"")</f>
        <v/>
      </c>
    </row>
    <row r="2573" spans="1:8" ht="12.75" customHeight="1">
      <c r="A2573" s="21"/>
      <c r="B2573" s="22" t="s">
        <v>3732</v>
      </c>
      <c r="C2573" s="23"/>
      <c r="D2573" s="24"/>
      <c r="E2573" s="25"/>
      <c r="F2573" s="26"/>
      <c r="G2573" s="27">
        <f>SUM(G2574:G2576)</f>
        <v>39298.843861875008</v>
      </c>
      <c r="H2573" s="44">
        <f>G2573*E2558</f>
        <v>0</v>
      </c>
    </row>
    <row r="2574" spans="1:8" ht="12.75" customHeight="1">
      <c r="A2574" s="28"/>
      <c r="B2574" s="29" t="s">
        <v>3710</v>
      </c>
      <c r="C2574" s="30" t="str">
        <f>IFERROR(_xlfn.XLOOKUP(B2574,MObra[DESCRIPCION],MObra[UN],,0),"")</f>
        <v>día</v>
      </c>
      <c r="D2574" s="31">
        <v>1</v>
      </c>
      <c r="E2574" s="32">
        <f>IFERROR(_xlfn.XLOOKUP($B2574,MObra[DESCRIPCION],MObra[VALOR UNIT],,0),"")</f>
        <v>314390.75089500006</v>
      </c>
      <c r="F2574" s="33">
        <v>-8</v>
      </c>
      <c r="G2574" s="34">
        <f>IFERROR(IF(F2574&gt;=0,D2574*E2574*(1+F2574/100),ABS(D2574*E2574/F2574)),"")</f>
        <v>39298.843861875008</v>
      </c>
      <c r="H2574" s="43">
        <f>IFERROR(G2574*E2558,"")</f>
        <v>0</v>
      </c>
    </row>
    <row r="2575" spans="1:8" ht="12.75" customHeight="1">
      <c r="A2575" s="28"/>
      <c r="B2575" s="29"/>
      <c r="C2575" s="30" t="str">
        <f>IFERROR(_xlfn.XLOOKUP(B2575,MObra[DESCRIPCION],MObra[UN],,0),"")</f>
        <v/>
      </c>
      <c r="D2575" s="31"/>
      <c r="E2575" s="32" t="str">
        <f>IFERROR(_xlfn.XLOOKUP($B2575,MObra[DESCRIPCION],MObra[VALOR UNIT],,0),"")</f>
        <v/>
      </c>
      <c r="F2575" s="33"/>
      <c r="G2575" s="34" t="str">
        <f>IFERROR(IF(F2575&gt;=0,D2575*E2575*(1+F2575/100),ABS(D2575*E2575/F2575)),"")</f>
        <v/>
      </c>
      <c r="H2575" s="43" t="str">
        <f>IFERROR(G2575*E2558,"")</f>
        <v/>
      </c>
    </row>
    <row r="2576" spans="1:8" ht="12.75" customHeight="1" thickBot="1">
      <c r="A2576" s="35"/>
      <c r="B2576" s="36"/>
      <c r="C2576" s="37" t="str">
        <f>IFERROR(_xlfn.XLOOKUP(B2576,MObra[DESCRIPCION],MObra[UN],,0),"")</f>
        <v/>
      </c>
      <c r="D2576" s="38"/>
      <c r="E2576" s="39" t="str">
        <f>IFERROR(_xlfn.XLOOKUP($B2576,MObra[DESCRIPCION],MObra[VALOR UNIT],,0),"")</f>
        <v/>
      </c>
      <c r="F2576" s="40"/>
      <c r="G2576" s="41" t="str">
        <f>IFERROR(IF(F2576&gt;=0,D2576*E2576*(1+F2576/100),ABS(D2576*E2576/F2576)),"")</f>
        <v/>
      </c>
      <c r="H2576" s="42" t="str">
        <f>IFERROR(G2576*E2558,"")</f>
        <v/>
      </c>
    </row>
    <row r="2577" spans="1:10" ht="12.75" customHeight="1" thickTop="1" thickBot="1"/>
    <row r="2578" spans="1:10" ht="12.75" customHeight="1" thickTop="1" thickBot="1">
      <c r="A2578" s="6" t="s">
        <v>1352</v>
      </c>
      <c r="B2578" s="7" t="str">
        <f>VLOOKUP($A2578,Presupuesto!$A:$D,2,FALSE())</f>
        <v>Reparación pisos en madera</v>
      </c>
      <c r="C2578" s="8" t="str">
        <f>VLOOKUP($A2578,Presupuesto!$A:$D,3,FALSE())</f>
        <v>M2</v>
      </c>
      <c r="D2578" s="9"/>
      <c r="E2578" s="10">
        <f>VLOOKUP($A2578,Presupuesto!$A:$D,4,FALSE())</f>
        <v>0</v>
      </c>
      <c r="F2578" s="11" t="s">
        <v>2589</v>
      </c>
      <c r="G2578" s="12">
        <f>SUM(G2580:G2596)/2</f>
        <v>30148.83081712501</v>
      </c>
      <c r="H2578" s="13">
        <f>ROUND(SUM(H2580:H2596),0)/2</f>
        <v>0</v>
      </c>
      <c r="I2578" s="10">
        <f>VLOOKUP(A2578,Presupuesto!$A:$F,6,0)</f>
        <v>0</v>
      </c>
      <c r="J2578" s="10">
        <f>+H2578-I2578</f>
        <v>0</v>
      </c>
    </row>
    <row r="2579" spans="1:10" ht="12.75" customHeight="1" thickTop="1">
      <c r="A2579" s="14"/>
      <c r="B2579" s="15" t="s">
        <v>2586</v>
      </c>
      <c r="C2579" s="15" t="s">
        <v>5</v>
      </c>
      <c r="D2579" s="16" t="s">
        <v>6</v>
      </c>
      <c r="E2579" s="17" t="s">
        <v>7</v>
      </c>
      <c r="F2579" s="18" t="s">
        <v>3728</v>
      </c>
      <c r="G2579" s="19" t="s">
        <v>3729</v>
      </c>
      <c r="H2579" s="20" t="s">
        <v>3797</v>
      </c>
    </row>
    <row r="2580" spans="1:10" ht="12.75" customHeight="1">
      <c r="A2580" s="21"/>
      <c r="B2580" s="22" t="s">
        <v>3730</v>
      </c>
      <c r="C2580" s="23"/>
      <c r="D2580" s="24"/>
      <c r="E2580" s="25"/>
      <c r="F2580" s="26"/>
      <c r="G2580" s="27">
        <f>SUM(G2581:G2585)</f>
        <v>4606.0245000000004</v>
      </c>
      <c r="H2580" s="27">
        <f>IFERROR(G2580*E2578,"")</f>
        <v>0</v>
      </c>
    </row>
    <row r="2581" spans="1:10" ht="12.75" customHeight="1">
      <c r="A2581" s="28"/>
      <c r="B2581" s="29" t="s">
        <v>3357</v>
      </c>
      <c r="C2581" s="30" t="str">
        <f>IFERROR(_xlfn.XLOOKUP(B2581,Insumo[DESCRIPCION],Insumo[UND],,0),"")</f>
        <v>M2</v>
      </c>
      <c r="D2581" s="31">
        <v>0.3</v>
      </c>
      <c r="E2581" s="32">
        <f>IFERROR(_xlfn.XLOOKUP($B2581,Insumo[DESCRIPCION],Insumo[VALOR],,0),"")</f>
        <v>13593.300000000001</v>
      </c>
      <c r="F2581" s="33">
        <v>5</v>
      </c>
      <c r="G2581" s="34">
        <f>IFERROR(IF(F2581&gt;=0,D2581*E2581*(1+F2581/100),ABS(D2581*E2581/F2581)),"")</f>
        <v>4281.8895000000002</v>
      </c>
      <c r="H2581" s="43">
        <f>IFERROR(G2581*E2578,"")</f>
        <v>0</v>
      </c>
    </row>
    <row r="2582" spans="1:10" ht="12.75" customHeight="1">
      <c r="A2582" s="28"/>
      <c r="B2582" s="29" t="s">
        <v>3253</v>
      </c>
      <c r="C2582" s="30" t="str">
        <f>IFERROR(_xlfn.XLOOKUP(B2582,Insumo[DESCRIPCION],Insumo[UND],,0),"")</f>
        <v>Lb</v>
      </c>
      <c r="D2582" s="31">
        <v>0.05</v>
      </c>
      <c r="E2582" s="32">
        <f>IFERROR(_xlfn.XLOOKUP($B2582,Insumo[DESCRIPCION],Insumo[VALOR],,0),"")</f>
        <v>6482.7000000000007</v>
      </c>
      <c r="F2582" s="33"/>
      <c r="G2582" s="34">
        <f>IFERROR(IF(F2582&gt;=0,D2582*E2582*(1+F2582/100),ABS(D2582*E2582/F2582)),"")</f>
        <v>324.13500000000005</v>
      </c>
      <c r="H2582" s="43">
        <f>IFERROR(G2582*E2578,"")</f>
        <v>0</v>
      </c>
    </row>
    <row r="2583" spans="1:10" ht="12.75" customHeight="1">
      <c r="A2583" s="28"/>
      <c r="B2583" s="29"/>
      <c r="C2583" s="30" t="str">
        <f>IFERROR(_xlfn.XLOOKUP(B2583,Insumo[DESCRIPCION],Insumo[UND],,0),"")</f>
        <v/>
      </c>
      <c r="D2583" s="31"/>
      <c r="E2583" s="32" t="str">
        <f>IFERROR(_xlfn.XLOOKUP($B2583,Insumo[DESCRIPCION],Insumo[VALOR],,0),"")</f>
        <v/>
      </c>
      <c r="F2583" s="33"/>
      <c r="G2583" s="34" t="str">
        <f>IFERROR(IF(F2583&gt;=0,D2583*E2583*(1+F2583/100),ABS(D2583*E2583/F2583)),"")</f>
        <v/>
      </c>
      <c r="H2583" s="43" t="str">
        <f>IFERROR(G2583*E2578,"")</f>
        <v/>
      </c>
    </row>
    <row r="2584" spans="1:10" ht="12.75" customHeight="1">
      <c r="A2584" s="28"/>
      <c r="B2584" s="29"/>
      <c r="C2584" s="30" t="str">
        <f>IFERROR(_xlfn.XLOOKUP(B2584,Insumo[DESCRIPCION],Insumo[UND],,0),"")</f>
        <v/>
      </c>
      <c r="D2584" s="31"/>
      <c r="E2584" s="32" t="str">
        <f>IFERROR(_xlfn.XLOOKUP($B2584,Insumo[DESCRIPCION],Insumo[VALOR],,0),"")</f>
        <v/>
      </c>
      <c r="F2584" s="33"/>
      <c r="G2584" s="34" t="str">
        <f>IFERROR(IF(F2584&gt;=0,D2584*E2584*(1+F2584/100),ABS(D2584*E2584/F2584)),"")</f>
        <v/>
      </c>
      <c r="H2584" s="43" t="str">
        <f>IFERROR(G2584*E2578,"")</f>
        <v/>
      </c>
    </row>
    <row r="2585" spans="1:10" ht="12.75" customHeight="1">
      <c r="A2585" s="28"/>
      <c r="B2585" s="29"/>
      <c r="C2585" s="30" t="str">
        <f>IFERROR(_xlfn.XLOOKUP(B2585,Insumo[DESCRIPCION],Insumo[UND],,0),"")</f>
        <v/>
      </c>
      <c r="D2585" s="31"/>
      <c r="E2585" s="32" t="str">
        <f>IFERROR(_xlfn.XLOOKUP($B2585,Insumo[DESCRIPCION],Insumo[VALOR],,0),"")</f>
        <v/>
      </c>
      <c r="F2585" s="33"/>
      <c r="G2585" s="34" t="str">
        <f>IFERROR(IF(F2585&gt;=0,D2585*E2585*(1+F2585/100),ABS(D2585*E2585/F2585)),"")</f>
        <v/>
      </c>
      <c r="H2585" s="43" t="str">
        <f>IFERROR(G2585*E2578,"")</f>
        <v/>
      </c>
    </row>
    <row r="2586" spans="1:10" ht="12.75" customHeight="1">
      <c r="A2586" s="21"/>
      <c r="B2586" s="22" t="s">
        <v>3731</v>
      </c>
      <c r="C2586" s="23"/>
      <c r="D2586" s="24"/>
      <c r="E2586" s="25"/>
      <c r="F2586" s="26"/>
      <c r="G2586" s="27">
        <f>SUM(G2587:G2589)</f>
        <v>3086.3241103392861</v>
      </c>
      <c r="H2586" s="44">
        <f>G2586*E2578</f>
        <v>0</v>
      </c>
    </row>
    <row r="2587" spans="1:10" ht="12.75" customHeight="1">
      <c r="A2587" s="28"/>
      <c r="B2587" s="29" t="s">
        <v>3642</v>
      </c>
      <c r="C2587" s="30" t="str">
        <f>IFERROR(_xlfn.XLOOKUP(B2587,Equipo[DESCRIPCION],Equipo[UND],,0),"")</f>
        <v>Día</v>
      </c>
      <c r="D2587" s="31">
        <v>1</v>
      </c>
      <c r="E2587" s="32">
        <f>IF(C2587="%MO",G2593,IFERROR(_xlfn.XLOOKUP($B2587,Equipo[DESCRIPCION],Equipo[VALOR],,0),""))</f>
        <v>54978</v>
      </c>
      <c r="F2587" s="33">
        <v>-28</v>
      </c>
      <c r="G2587" s="34">
        <f>IFERROR(IF(F2587&gt;=0,D2587*E2587*(1+F2587/100),ABS(D2587*E2587/F2587)),"")</f>
        <v>1963.5</v>
      </c>
      <c r="H2587" s="43">
        <f>IFERROR(G2587*E2578,"")</f>
        <v>0</v>
      </c>
    </row>
    <row r="2588" spans="1:10" ht="12.75" customHeight="1">
      <c r="A2588" s="28"/>
      <c r="B2588" s="29" t="s">
        <v>3626</v>
      </c>
      <c r="C2588" s="30" t="str">
        <f>IFERROR(_xlfn.XLOOKUP(B2588,Equipo[DESCRIPCION],Equipo[UND],,0),"")</f>
        <v>%MO</v>
      </c>
      <c r="D2588" s="31">
        <v>0.05</v>
      </c>
      <c r="E2588" s="32">
        <f>IF(C2588="%MO",G2593,IFERROR(_xlfn.XLOOKUP($B2588,Equipo[DESCRIPCION],Equipo[VALOR],,0),""))</f>
        <v>22456.48220678572</v>
      </c>
      <c r="F2588" s="33"/>
      <c r="G2588" s="34">
        <f>IFERROR(IF(F2588&gt;=0,D2588*E2588*(1+F2588/100),ABS(D2588*E2588/F2588)),"")</f>
        <v>1122.8241103392861</v>
      </c>
      <c r="H2588" s="43">
        <f>IFERROR(G2588*E2578,"")</f>
        <v>0</v>
      </c>
    </row>
    <row r="2589" spans="1:10" ht="12.75" customHeight="1">
      <c r="A2589" s="28"/>
      <c r="B2589" s="29"/>
      <c r="C2589" s="30" t="str">
        <f>IFERROR(_xlfn.XLOOKUP(B2589,Equipo[DESCRIPCION],Equipo[UND],,0),"")</f>
        <v/>
      </c>
      <c r="D2589" s="31"/>
      <c r="E2589" s="32" t="str">
        <f>IF(C2589="%MO",G2593,IFERROR(_xlfn.XLOOKUP($B2589,Equipo[DESCRIPCION],Equipo[VALOR],,0),""))</f>
        <v/>
      </c>
      <c r="F2589" s="33"/>
      <c r="G2589" s="34" t="str">
        <f>IFERROR(IF(F2589&gt;=0,D2589*E2589*(1+F2589/100),ABS(D2589*E2589/F2589)),"")</f>
        <v/>
      </c>
      <c r="H2589" s="43" t="str">
        <f>IFERROR(G2589*E2578,"")</f>
        <v/>
      </c>
    </row>
    <row r="2590" spans="1:10" ht="12.75" customHeight="1">
      <c r="A2590" s="21"/>
      <c r="B2590" s="22" t="s">
        <v>2533</v>
      </c>
      <c r="C2590" s="23"/>
      <c r="D2590" s="24"/>
      <c r="E2590" s="25"/>
      <c r="F2590" s="26"/>
      <c r="G2590" s="27">
        <f>SUM(G2591:G2592)</f>
        <v>0</v>
      </c>
      <c r="H2590" s="44">
        <f>G2590*E2578</f>
        <v>0</v>
      </c>
    </row>
    <row r="2591" spans="1:10" ht="12.75" customHeight="1">
      <c r="A2591" s="28"/>
      <c r="B2591" s="29"/>
      <c r="C2591" s="30" t="str">
        <f>IFERROR(_xlfn.XLOOKUP(B2591,Transporte[DESCRIPCION],Transporte[UND],,0),"")</f>
        <v/>
      </c>
      <c r="D2591" s="31"/>
      <c r="E2591" s="32" t="str">
        <f>IFERROR(_xlfn.XLOOKUP($B2591,Transporte[DESCRIPCION],Transporte[VALOR],,0),"")</f>
        <v/>
      </c>
      <c r="F2591" s="33"/>
      <c r="G2591" s="34" t="str">
        <f>IFERROR(IF(F2591&gt;=0,D2591*E2591*(1+F2591/100),ABS(D2591*E2591/F2591)),"")</f>
        <v/>
      </c>
      <c r="H2591" s="43" t="str">
        <f>IFERROR(G2591*E2578,"")</f>
        <v/>
      </c>
    </row>
    <row r="2592" spans="1:10" ht="12.75" customHeight="1">
      <c r="A2592" s="28"/>
      <c r="B2592" s="29"/>
      <c r="C2592" s="30" t="str">
        <f>IFERROR(_xlfn.XLOOKUP(B2592,Transporte[DESCRIPCION],Transporte[UND],,0),"")</f>
        <v/>
      </c>
      <c r="D2592" s="31"/>
      <c r="E2592" s="32" t="str">
        <f>IFERROR(_xlfn.XLOOKUP($B2592,Transporte[DESCRIPCION],Transporte[VALOR],,0),"")</f>
        <v/>
      </c>
      <c r="F2592" s="33"/>
      <c r="G2592" s="34" t="str">
        <f>IFERROR(IF(F2592&gt;=0,D2592*E2592*(1+F2592/100),ABS(D2592*E2592/F2592)),"")</f>
        <v/>
      </c>
      <c r="H2592" s="43" t="str">
        <f>IFERROR(G2592*E2578,"")</f>
        <v/>
      </c>
    </row>
    <row r="2593" spans="1:10" ht="12.75" customHeight="1">
      <c r="A2593" s="21"/>
      <c r="B2593" s="22" t="s">
        <v>3732</v>
      </c>
      <c r="C2593" s="23"/>
      <c r="D2593" s="24"/>
      <c r="E2593" s="25"/>
      <c r="F2593" s="26"/>
      <c r="G2593" s="27">
        <f>SUM(G2594:G2596)</f>
        <v>22456.48220678572</v>
      </c>
      <c r="H2593" s="44">
        <f>G2593*E2578</f>
        <v>0</v>
      </c>
    </row>
    <row r="2594" spans="1:10" ht="12.75" customHeight="1">
      <c r="A2594" s="28"/>
      <c r="B2594" s="29" t="s">
        <v>3710</v>
      </c>
      <c r="C2594" s="30" t="str">
        <f>IFERROR(_xlfn.XLOOKUP(B2594,MObra[DESCRIPCION],MObra[UN],,0),"")</f>
        <v>día</v>
      </c>
      <c r="D2594" s="31">
        <v>1</v>
      </c>
      <c r="E2594" s="32">
        <f>IFERROR(_xlfn.XLOOKUP($B2594,MObra[DESCRIPCION],MObra[VALOR UNIT],,0),"")</f>
        <v>314390.75089500006</v>
      </c>
      <c r="F2594" s="33">
        <v>-14</v>
      </c>
      <c r="G2594" s="34">
        <f>IFERROR(IF(F2594&gt;=0,D2594*E2594*(1+F2594/100),ABS(D2594*E2594/F2594)),"")</f>
        <v>22456.48220678572</v>
      </c>
      <c r="H2594" s="43">
        <f>IFERROR(G2594*E2578,"")</f>
        <v>0</v>
      </c>
    </row>
    <row r="2595" spans="1:10" ht="12.75" customHeight="1">
      <c r="A2595" s="28"/>
      <c r="B2595" s="29"/>
      <c r="C2595" s="30" t="str">
        <f>IFERROR(_xlfn.XLOOKUP(B2595,MObra[DESCRIPCION],MObra[UN],,0),"")</f>
        <v/>
      </c>
      <c r="D2595" s="31"/>
      <c r="E2595" s="32" t="str">
        <f>IFERROR(_xlfn.XLOOKUP($B2595,MObra[DESCRIPCION],MObra[VALOR UNIT],,0),"")</f>
        <v/>
      </c>
      <c r="F2595" s="33"/>
      <c r="G2595" s="34" t="str">
        <f>IFERROR(IF(F2595&gt;=0,D2595*E2595*(1+F2595/100),ABS(D2595*E2595/F2595)),"")</f>
        <v/>
      </c>
      <c r="H2595" s="43" t="str">
        <f>IFERROR(G2595*E2578,"")</f>
        <v/>
      </c>
    </row>
    <row r="2596" spans="1:10" ht="12.75" customHeight="1" thickBot="1">
      <c r="A2596" s="35"/>
      <c r="B2596" s="36"/>
      <c r="C2596" s="37" t="str">
        <f>IFERROR(_xlfn.XLOOKUP(B2596,MObra[DESCRIPCION],MObra[UN],,0),"")</f>
        <v/>
      </c>
      <c r="D2596" s="38"/>
      <c r="E2596" s="39" t="str">
        <f>IFERROR(_xlfn.XLOOKUP($B2596,MObra[DESCRIPCION],MObra[VALOR UNIT],,0),"")</f>
        <v/>
      </c>
      <c r="F2596" s="40"/>
      <c r="G2596" s="41" t="str">
        <f>IFERROR(IF(F2596&gt;=0,D2596*E2596*(1+F2596/100),ABS(D2596*E2596/F2596)),"")</f>
        <v/>
      </c>
      <c r="H2596" s="42" t="str">
        <f>IFERROR(G2596*E2578,"")</f>
        <v/>
      </c>
    </row>
    <row r="2597" spans="1:10" ht="12.75" customHeight="1" thickTop="1" thickBot="1"/>
    <row r="2598" spans="1:10" ht="12.75" customHeight="1" thickTop="1" thickBot="1">
      <c r="A2598" s="6" t="s">
        <v>1354</v>
      </c>
      <c r="B2598" s="7" t="str">
        <f>VLOOKUP($A2598,Presupuesto!$A:$D,2,FALSE())</f>
        <v>Resane piso mortero 1:3 afinado</v>
      </c>
      <c r="C2598" s="8" t="str">
        <f>VLOOKUP($A2598,Presupuesto!$A:$D,3,FALSE())</f>
        <v>M2</v>
      </c>
      <c r="D2598" s="9"/>
      <c r="E2598" s="10">
        <f>VLOOKUP($A2598,Presupuesto!$A:$D,4,FALSE())</f>
        <v>0</v>
      </c>
      <c r="F2598" s="11" t="s">
        <v>2589</v>
      </c>
      <c r="G2598" s="12">
        <f>SUM(G2600:G2616)/2</f>
        <v>14068.690627127064</v>
      </c>
      <c r="H2598" s="13">
        <f>ROUND(SUM(H2600:H2616),0)/2</f>
        <v>0</v>
      </c>
      <c r="I2598" s="10">
        <f>VLOOKUP(A2598,Presupuesto!$A:$F,6,0)</f>
        <v>0</v>
      </c>
      <c r="J2598" s="10">
        <f>+H2598-I2598</f>
        <v>0</v>
      </c>
    </row>
    <row r="2599" spans="1:10" ht="12.75" customHeight="1" thickTop="1">
      <c r="A2599" s="14"/>
      <c r="B2599" s="15" t="s">
        <v>2586</v>
      </c>
      <c r="C2599" s="15" t="s">
        <v>5</v>
      </c>
      <c r="D2599" s="16" t="s">
        <v>6</v>
      </c>
      <c r="E2599" s="17" t="s">
        <v>7</v>
      </c>
      <c r="F2599" s="18" t="s">
        <v>3728</v>
      </c>
      <c r="G2599" s="19" t="s">
        <v>3729</v>
      </c>
      <c r="H2599" s="20" t="s">
        <v>3797</v>
      </c>
    </row>
    <row r="2600" spans="1:10" ht="12.75" customHeight="1">
      <c r="A2600" s="21"/>
      <c r="B2600" s="22" t="s">
        <v>3730</v>
      </c>
      <c r="C2600" s="23"/>
      <c r="D2600" s="24"/>
      <c r="E2600" s="25"/>
      <c r="F2600" s="26"/>
      <c r="G2600" s="27">
        <f>SUM(G2601:G2605)</f>
        <v>7466.4848583320636</v>
      </c>
      <c r="H2600" s="27">
        <f>IFERROR(G2600*E2598,"")</f>
        <v>0</v>
      </c>
    </row>
    <row r="2601" spans="1:10" ht="12.75" customHeight="1">
      <c r="A2601" s="28"/>
      <c r="B2601" s="29" t="s">
        <v>3244</v>
      </c>
      <c r="C2601" s="30" t="str">
        <f>IFERROR(_xlfn.XLOOKUP(B2601,Insumo[DESCRIPCION],Insumo[UND],,0),"")</f>
        <v>M3</v>
      </c>
      <c r="D2601" s="31">
        <v>1.4999999999999999E-2</v>
      </c>
      <c r="E2601" s="32">
        <f>IFERROR(_xlfn.XLOOKUP($B2601,Insumo[DESCRIPCION],Insumo[VALOR],,0),"")</f>
        <v>497765.65722213761</v>
      </c>
      <c r="F2601" s="33"/>
      <c r="G2601" s="34">
        <f>IFERROR(IF(F2601&gt;=0,D2601*E2601*(1+F2601/100),ABS(D2601*E2601/F2601)),"")</f>
        <v>7466.4848583320636</v>
      </c>
      <c r="H2601" s="43">
        <f>IFERROR(G2601*E2598,"")</f>
        <v>0</v>
      </c>
    </row>
    <row r="2602" spans="1:10" ht="12.75" customHeight="1">
      <c r="A2602" s="28"/>
      <c r="B2602" s="29"/>
      <c r="C2602" s="30" t="str">
        <f>IFERROR(_xlfn.XLOOKUP(B2602,Insumo[DESCRIPCION],Insumo[UND],,0),"")</f>
        <v/>
      </c>
      <c r="D2602" s="31"/>
      <c r="E2602" s="32" t="str">
        <f>IFERROR(_xlfn.XLOOKUP($B2602,Insumo[DESCRIPCION],Insumo[VALOR],,0),"")</f>
        <v/>
      </c>
      <c r="F2602" s="33"/>
      <c r="G2602" s="34" t="str">
        <f>IFERROR(IF(F2602&gt;=0,D2602*E2602*(1+F2602/100),ABS(D2602*E2602/F2602)),"")</f>
        <v/>
      </c>
      <c r="H2602" s="43" t="str">
        <f>IFERROR(G2602*E2598,"")</f>
        <v/>
      </c>
    </row>
    <row r="2603" spans="1:10" ht="12.75" customHeight="1">
      <c r="A2603" s="28"/>
      <c r="B2603" s="29"/>
      <c r="C2603" s="30" t="str">
        <f>IFERROR(_xlfn.XLOOKUP(B2603,Insumo[DESCRIPCION],Insumo[UND],,0),"")</f>
        <v/>
      </c>
      <c r="D2603" s="31"/>
      <c r="E2603" s="32" t="str">
        <f>IFERROR(_xlfn.XLOOKUP($B2603,Insumo[DESCRIPCION],Insumo[VALOR],,0),"")</f>
        <v/>
      </c>
      <c r="F2603" s="33"/>
      <c r="G2603" s="34" t="str">
        <f>IFERROR(IF(F2603&gt;=0,D2603*E2603*(1+F2603/100),ABS(D2603*E2603/F2603)),"")</f>
        <v/>
      </c>
      <c r="H2603" s="43" t="str">
        <f>IFERROR(G2603*E2598,"")</f>
        <v/>
      </c>
    </row>
    <row r="2604" spans="1:10" ht="12.75" customHeight="1">
      <c r="A2604" s="28"/>
      <c r="B2604" s="29"/>
      <c r="C2604" s="30" t="str">
        <f>IFERROR(_xlfn.XLOOKUP(B2604,Insumo[DESCRIPCION],Insumo[UND],,0),"")</f>
        <v/>
      </c>
      <c r="D2604" s="31"/>
      <c r="E2604" s="32" t="str">
        <f>IFERROR(_xlfn.XLOOKUP($B2604,Insumo[DESCRIPCION],Insumo[VALOR],,0),"")</f>
        <v/>
      </c>
      <c r="F2604" s="33"/>
      <c r="G2604" s="34" t="str">
        <f>IFERROR(IF(F2604&gt;=0,D2604*E2604*(1+F2604/100),ABS(D2604*E2604/F2604)),"")</f>
        <v/>
      </c>
      <c r="H2604" s="43" t="str">
        <f>IFERROR(G2604*E2598,"")</f>
        <v/>
      </c>
    </row>
    <row r="2605" spans="1:10" ht="12.75" customHeight="1">
      <c r="A2605" s="28"/>
      <c r="B2605" s="29"/>
      <c r="C2605" s="30" t="str">
        <f>IFERROR(_xlfn.XLOOKUP(B2605,Insumo[DESCRIPCION],Insumo[UND],,0),"")</f>
        <v/>
      </c>
      <c r="D2605" s="31"/>
      <c r="E2605" s="32" t="str">
        <f>IFERROR(_xlfn.XLOOKUP($B2605,Insumo[DESCRIPCION],Insumo[VALOR],,0),"")</f>
        <v/>
      </c>
      <c r="F2605" s="33"/>
      <c r="G2605" s="34" t="str">
        <f>IFERROR(IF(F2605&gt;=0,D2605*E2605*(1+F2605/100),ABS(D2605*E2605/F2605)),"")</f>
        <v/>
      </c>
      <c r="H2605" s="43" t="str">
        <f>IFERROR(G2605*E2598,"")</f>
        <v/>
      </c>
    </row>
    <row r="2606" spans="1:10" ht="12.75" customHeight="1">
      <c r="A2606" s="21"/>
      <c r="B2606" s="22" t="s">
        <v>3731</v>
      </c>
      <c r="C2606" s="23"/>
      <c r="D2606" s="24"/>
      <c r="E2606" s="25"/>
      <c r="F2606" s="26"/>
      <c r="G2606" s="27">
        <f>SUM(G2607:G2609)</f>
        <v>314.39075089500011</v>
      </c>
      <c r="H2606" s="44">
        <f>G2606*E2598</f>
        <v>0</v>
      </c>
    </row>
    <row r="2607" spans="1:10" ht="12.75" customHeight="1">
      <c r="A2607" s="28"/>
      <c r="B2607" s="29" t="s">
        <v>3626</v>
      </c>
      <c r="C2607" s="30" t="str">
        <f>IFERROR(_xlfn.XLOOKUP(B2607,Equipo[DESCRIPCION],Equipo[UND],,0),"")</f>
        <v>%MO</v>
      </c>
      <c r="D2607" s="31">
        <v>0.05</v>
      </c>
      <c r="E2607" s="32">
        <f>IF(C2607="%MO",G2613,IFERROR(_xlfn.XLOOKUP($B2607,Equipo[DESCRIPCION],Equipo[VALOR],,0),""))</f>
        <v>6287.8150179000013</v>
      </c>
      <c r="F2607" s="33"/>
      <c r="G2607" s="34">
        <f>IFERROR(IF(F2607&gt;=0,D2607*E2607*(1+F2607/100),ABS(D2607*E2607/F2607)),"")</f>
        <v>314.39075089500011</v>
      </c>
      <c r="H2607" s="43">
        <f>IFERROR(G2607*E2598,"")</f>
        <v>0</v>
      </c>
    </row>
    <row r="2608" spans="1:10" ht="12.75" customHeight="1">
      <c r="A2608" s="28"/>
      <c r="B2608" s="29"/>
      <c r="C2608" s="30" t="str">
        <f>IFERROR(_xlfn.XLOOKUP(B2608,Equipo[DESCRIPCION],Equipo[UND],,0),"")</f>
        <v/>
      </c>
      <c r="D2608" s="31"/>
      <c r="E2608" s="32" t="str">
        <f>IF(C2608="%MO",G2613,IFERROR(_xlfn.XLOOKUP($B2608,Equipo[DESCRIPCION],Equipo[VALOR],,0),""))</f>
        <v/>
      </c>
      <c r="F2608" s="33"/>
      <c r="G2608" s="34" t="str">
        <f>IFERROR(IF(F2608&gt;=0,D2608*E2608*(1+F2608/100),ABS(D2608*E2608/F2608)),"")</f>
        <v/>
      </c>
      <c r="H2608" s="43" t="str">
        <f>IFERROR(G2608*E2598,"")</f>
        <v/>
      </c>
    </row>
    <row r="2609" spans="1:10" ht="12.75" customHeight="1">
      <c r="A2609" s="28"/>
      <c r="B2609" s="29"/>
      <c r="C2609" s="30" t="str">
        <f>IFERROR(_xlfn.XLOOKUP(B2609,Equipo[DESCRIPCION],Equipo[UND],,0),"")</f>
        <v/>
      </c>
      <c r="D2609" s="31"/>
      <c r="E2609" s="32" t="str">
        <f>IF(C2609="%MO",G2613,IFERROR(_xlfn.XLOOKUP($B2609,Equipo[DESCRIPCION],Equipo[VALOR],,0),""))</f>
        <v/>
      </c>
      <c r="F2609" s="33"/>
      <c r="G2609" s="34" t="str">
        <f>IFERROR(IF(F2609&gt;=0,D2609*E2609*(1+F2609/100),ABS(D2609*E2609/F2609)),"")</f>
        <v/>
      </c>
      <c r="H2609" s="43" t="str">
        <f>IFERROR(G2609*E2598,"")</f>
        <v/>
      </c>
    </row>
    <row r="2610" spans="1:10" ht="12.75" customHeight="1">
      <c r="A2610" s="21"/>
      <c r="B2610" s="22" t="s">
        <v>2533</v>
      </c>
      <c r="C2610" s="23"/>
      <c r="D2610" s="24"/>
      <c r="E2610" s="25"/>
      <c r="F2610" s="26"/>
      <c r="G2610" s="27">
        <f>SUM(G2611:G2612)</f>
        <v>0</v>
      </c>
      <c r="H2610" s="44">
        <f>G2610*E2598</f>
        <v>0</v>
      </c>
    </row>
    <row r="2611" spans="1:10" ht="12.75" customHeight="1">
      <c r="A2611" s="28"/>
      <c r="B2611" s="29"/>
      <c r="C2611" s="30" t="str">
        <f>IFERROR(_xlfn.XLOOKUP(B2611,Transporte[DESCRIPCION],Transporte[UND],,0),"")</f>
        <v/>
      </c>
      <c r="D2611" s="31"/>
      <c r="E2611" s="32" t="str">
        <f>IFERROR(_xlfn.XLOOKUP($B2611,Transporte[DESCRIPCION],Transporte[VALOR],,0),"")</f>
        <v/>
      </c>
      <c r="F2611" s="33"/>
      <c r="G2611" s="34" t="str">
        <f>IFERROR(IF(F2611&gt;=0,D2611*E2611*(1+F2611/100),ABS(D2611*E2611/F2611)),"")</f>
        <v/>
      </c>
      <c r="H2611" s="43" t="str">
        <f>IFERROR(G2611*E2598,"")</f>
        <v/>
      </c>
    </row>
    <row r="2612" spans="1:10" ht="12.75" customHeight="1">
      <c r="A2612" s="28"/>
      <c r="B2612" s="29"/>
      <c r="C2612" s="30" t="str">
        <f>IFERROR(_xlfn.XLOOKUP(B2612,Transporte[DESCRIPCION],Transporte[UND],,0),"")</f>
        <v/>
      </c>
      <c r="D2612" s="31"/>
      <c r="E2612" s="32" t="str">
        <f>IFERROR(_xlfn.XLOOKUP($B2612,Transporte[DESCRIPCION],Transporte[VALOR],,0),"")</f>
        <v/>
      </c>
      <c r="F2612" s="33"/>
      <c r="G2612" s="34" t="str">
        <f>IFERROR(IF(F2612&gt;=0,D2612*E2612*(1+F2612/100),ABS(D2612*E2612/F2612)),"")</f>
        <v/>
      </c>
      <c r="H2612" s="43" t="str">
        <f>IFERROR(G2612*E2598,"")</f>
        <v/>
      </c>
    </row>
    <row r="2613" spans="1:10" ht="12.75" customHeight="1">
      <c r="A2613" s="21"/>
      <c r="B2613" s="22" t="s">
        <v>3732</v>
      </c>
      <c r="C2613" s="23"/>
      <c r="D2613" s="24"/>
      <c r="E2613" s="25"/>
      <c r="F2613" s="26"/>
      <c r="G2613" s="27">
        <f>SUM(G2614:G2616)</f>
        <v>6287.8150179000013</v>
      </c>
      <c r="H2613" s="44">
        <f>G2613*E2598</f>
        <v>0</v>
      </c>
    </row>
    <row r="2614" spans="1:10" ht="12.75" customHeight="1">
      <c r="A2614" s="28"/>
      <c r="B2614" s="29" t="s">
        <v>3710</v>
      </c>
      <c r="C2614" s="30" t="str">
        <f>IFERROR(_xlfn.XLOOKUP(B2614,MObra[DESCRIPCION],MObra[UN],,0),"")</f>
        <v>día</v>
      </c>
      <c r="D2614" s="31">
        <v>1</v>
      </c>
      <c r="E2614" s="32">
        <f>IFERROR(_xlfn.XLOOKUP($B2614,MObra[DESCRIPCION],MObra[VALOR UNIT],,0),"")</f>
        <v>314390.75089500006</v>
      </c>
      <c r="F2614" s="33">
        <v>-50</v>
      </c>
      <c r="G2614" s="34">
        <f>IFERROR(IF(F2614&gt;=0,D2614*E2614*(1+F2614/100),ABS(D2614*E2614/F2614)),"")</f>
        <v>6287.8150179000013</v>
      </c>
      <c r="H2614" s="43">
        <f>IFERROR(G2614*E2598,"")</f>
        <v>0</v>
      </c>
    </row>
    <row r="2615" spans="1:10" ht="12.75" customHeight="1">
      <c r="A2615" s="28"/>
      <c r="B2615" s="29"/>
      <c r="C2615" s="30" t="str">
        <f>IFERROR(_xlfn.XLOOKUP(B2615,MObra[DESCRIPCION],MObra[UN],,0),"")</f>
        <v/>
      </c>
      <c r="D2615" s="31"/>
      <c r="E2615" s="32" t="str">
        <f>IFERROR(_xlfn.XLOOKUP($B2615,MObra[DESCRIPCION],MObra[VALOR UNIT],,0),"")</f>
        <v/>
      </c>
      <c r="F2615" s="33"/>
      <c r="G2615" s="34" t="str">
        <f>IFERROR(IF(F2615&gt;=0,D2615*E2615*(1+F2615/100),ABS(D2615*E2615/F2615)),"")</f>
        <v/>
      </c>
      <c r="H2615" s="43" t="str">
        <f>IFERROR(G2615*E2598,"")</f>
        <v/>
      </c>
    </row>
    <row r="2616" spans="1:10" ht="12.75" customHeight="1" thickBot="1">
      <c r="A2616" s="35"/>
      <c r="B2616" s="36"/>
      <c r="C2616" s="37" t="str">
        <f>IFERROR(_xlfn.XLOOKUP(B2616,MObra[DESCRIPCION],MObra[UN],,0),"")</f>
        <v/>
      </c>
      <c r="D2616" s="38"/>
      <c r="E2616" s="39" t="str">
        <f>IFERROR(_xlfn.XLOOKUP($B2616,MObra[DESCRIPCION],MObra[VALOR UNIT],,0),"")</f>
        <v/>
      </c>
      <c r="F2616" s="40"/>
      <c r="G2616" s="41" t="str">
        <f>IFERROR(IF(F2616&gt;=0,D2616*E2616*(1+F2616/100),ABS(D2616*E2616/F2616)),"")</f>
        <v/>
      </c>
      <c r="H2616" s="42" t="str">
        <f>IFERROR(G2616*E2598,"")</f>
        <v/>
      </c>
    </row>
    <row r="2617" spans="1:10" ht="12.75" customHeight="1" thickTop="1" thickBot="1"/>
    <row r="2618" spans="1:10" ht="12.75" customHeight="1" thickTop="1" thickBot="1">
      <c r="A2618" s="6" t="s">
        <v>1356</v>
      </c>
      <c r="B2618" s="7" t="str">
        <f>VLOOKUP($A2618,Presupuesto!$A:$D,2,FALSE())</f>
        <v>Superficie en granito pulido</v>
      </c>
      <c r="C2618" s="8" t="str">
        <f>VLOOKUP($A2618,Presupuesto!$A:$D,3,FALSE())</f>
        <v>M2</v>
      </c>
      <c r="D2618" s="9"/>
      <c r="E2618" s="10">
        <f>VLOOKUP($A2618,Presupuesto!$A:$D,4,FALSE())</f>
        <v>0</v>
      </c>
      <c r="F2618" s="11" t="s">
        <v>2589</v>
      </c>
      <c r="G2618" s="12">
        <f>SUM(G2620:G2636)/2</f>
        <v>61398.881343975008</v>
      </c>
      <c r="H2618" s="13">
        <f>ROUND(SUM(H2620:H2636),0)/2</f>
        <v>0</v>
      </c>
      <c r="I2618" s="10">
        <f>VLOOKUP(A2618,Presupuesto!$A:$F,6,0)</f>
        <v>0</v>
      </c>
      <c r="J2618" s="10">
        <f>+H2618-I2618</f>
        <v>0</v>
      </c>
    </row>
    <row r="2619" spans="1:10" ht="12.75" customHeight="1" thickTop="1">
      <c r="A2619" s="14"/>
      <c r="B2619" s="15" t="s">
        <v>2586</v>
      </c>
      <c r="C2619" s="15" t="s">
        <v>5</v>
      </c>
      <c r="D2619" s="16" t="s">
        <v>6</v>
      </c>
      <c r="E2619" s="17" t="s">
        <v>7</v>
      </c>
      <c r="F2619" s="18" t="s">
        <v>3728</v>
      </c>
      <c r="G2619" s="19" t="s">
        <v>3729</v>
      </c>
      <c r="H2619" s="20" t="s">
        <v>3797</v>
      </c>
    </row>
    <row r="2620" spans="1:10" ht="12.75" customHeight="1">
      <c r="A2620" s="21"/>
      <c r="B2620" s="22" t="s">
        <v>3730</v>
      </c>
      <c r="C2620" s="23"/>
      <c r="D2620" s="24"/>
      <c r="E2620" s="25"/>
      <c r="F2620" s="26"/>
      <c r="G2620" s="27">
        <f>SUM(G2621:G2625)</f>
        <v>25638.952499999999</v>
      </c>
      <c r="H2620" s="27">
        <f>IFERROR(G2620*E2618,"")</f>
        <v>0</v>
      </c>
    </row>
    <row r="2621" spans="1:10" ht="12.75" customHeight="1">
      <c r="A2621" s="28"/>
      <c r="B2621" s="29" t="s">
        <v>2979</v>
      </c>
      <c r="C2621" s="30" t="str">
        <f>IFERROR(_xlfn.XLOOKUP(B2621,Insumo[DESCRIPCION],Insumo[UND],,0),"")</f>
        <v>Un</v>
      </c>
      <c r="D2621" s="31">
        <v>0.25</v>
      </c>
      <c r="E2621" s="32">
        <f>IFERROR(_xlfn.XLOOKUP($B2621,Insumo[DESCRIPCION],Insumo[VALOR],,0),"")</f>
        <v>39667.950000000004</v>
      </c>
      <c r="F2621" s="33"/>
      <c r="G2621" s="34">
        <f>IFERROR(IF(F2621&gt;=0,D2621*E2621*(1+F2621/100),ABS(D2621*E2621/F2621)),"")</f>
        <v>9916.9875000000011</v>
      </c>
      <c r="H2621" s="43">
        <f>IFERROR(G2621*E2618,"")</f>
        <v>0</v>
      </c>
    </row>
    <row r="2622" spans="1:10" ht="12.75" customHeight="1">
      <c r="A2622" s="28"/>
      <c r="B2622" s="29" t="s">
        <v>2823</v>
      </c>
      <c r="C2622" s="30" t="str">
        <f>IFERROR(_xlfn.XLOOKUP(B2622,Insumo[DESCRIPCION],Insumo[UND],,0),"")</f>
        <v>Kg</v>
      </c>
      <c r="D2622" s="31">
        <v>2</v>
      </c>
      <c r="E2622" s="32">
        <f>IFERROR(_xlfn.XLOOKUP($B2622,Insumo[DESCRIPCION],Insumo[VALOR],,0),"")</f>
        <v>1680</v>
      </c>
      <c r="F2622" s="33"/>
      <c r="G2622" s="34">
        <f>IFERROR(IF(F2622&gt;=0,D2622*E2622*(1+F2622/100),ABS(D2622*E2622/F2622)),"")</f>
        <v>3360</v>
      </c>
      <c r="H2622" s="43">
        <f>IFERROR(G2622*E2618,"")</f>
        <v>0</v>
      </c>
    </row>
    <row r="2623" spans="1:10" ht="12.75" customHeight="1">
      <c r="A2623" s="28"/>
      <c r="B2623" s="29" t="s">
        <v>2922</v>
      </c>
      <c r="C2623" s="30" t="str">
        <f>IFERROR(_xlfn.XLOOKUP(B2623,Insumo[DESCRIPCION],Insumo[UND],,0),"")</f>
        <v>M</v>
      </c>
      <c r="D2623" s="31">
        <v>0.7</v>
      </c>
      <c r="E2623" s="32">
        <f>IFERROR(_xlfn.XLOOKUP($B2623,Insumo[DESCRIPCION],Insumo[VALOR],,0),"")</f>
        <v>3862.9500000000003</v>
      </c>
      <c r="F2623" s="33"/>
      <c r="G2623" s="34">
        <f>IFERROR(IF(F2623&gt;=0,D2623*E2623*(1+F2623/100),ABS(D2623*E2623/F2623)),"")</f>
        <v>2704.0650000000001</v>
      </c>
      <c r="H2623" s="43">
        <f>IFERROR(G2623*E2618,"")</f>
        <v>0</v>
      </c>
    </row>
    <row r="2624" spans="1:10" ht="12.75" customHeight="1">
      <c r="A2624" s="28"/>
      <c r="B2624" s="29" t="s">
        <v>2825</v>
      </c>
      <c r="C2624" s="30" t="str">
        <f>IFERROR(_xlfn.XLOOKUP(B2624,Insumo[DESCRIPCION],Insumo[UND],,0),"")</f>
        <v>Lb</v>
      </c>
      <c r="D2624" s="31">
        <v>1</v>
      </c>
      <c r="E2624" s="32">
        <f>IFERROR(_xlfn.XLOOKUP($B2624,Insumo[DESCRIPCION],Insumo[VALOR],,0),"")</f>
        <v>9657.9</v>
      </c>
      <c r="F2624" s="33"/>
      <c r="G2624" s="34">
        <f>IFERROR(IF(F2624&gt;=0,D2624*E2624*(1+F2624/100),ABS(D2624*E2624/F2624)),"")</f>
        <v>9657.9</v>
      </c>
      <c r="H2624" s="43">
        <f>IFERROR(G2624*E2618,"")</f>
        <v>0</v>
      </c>
    </row>
    <row r="2625" spans="1:10" ht="12.75" customHeight="1">
      <c r="A2625" s="28"/>
      <c r="B2625" s="29"/>
      <c r="C2625" s="30" t="str">
        <f>IFERROR(_xlfn.XLOOKUP(B2625,Insumo[DESCRIPCION],Insumo[UND],,0),"")</f>
        <v/>
      </c>
      <c r="D2625" s="31"/>
      <c r="E2625" s="32" t="str">
        <f>IFERROR(_xlfn.XLOOKUP($B2625,Insumo[DESCRIPCION],Insumo[VALOR],,0),"")</f>
        <v/>
      </c>
      <c r="F2625" s="33"/>
      <c r="G2625" s="34" t="str">
        <f>IFERROR(IF(F2625&gt;=0,D2625*E2625*(1+F2625/100),ABS(D2625*E2625/F2625)),"")</f>
        <v/>
      </c>
      <c r="H2625" s="43" t="str">
        <f>IFERROR(G2625*E2618,"")</f>
        <v/>
      </c>
    </row>
    <row r="2626" spans="1:10" ht="12.75" customHeight="1">
      <c r="A2626" s="21"/>
      <c r="B2626" s="22" t="s">
        <v>3731</v>
      </c>
      <c r="C2626" s="23"/>
      <c r="D2626" s="24"/>
      <c r="E2626" s="25"/>
      <c r="F2626" s="26"/>
      <c r="G2626" s="27">
        <f>SUM(G2627:G2629)</f>
        <v>4320.8537544750006</v>
      </c>
      <c r="H2626" s="44">
        <f>G2626*E2618</f>
        <v>0</v>
      </c>
    </row>
    <row r="2627" spans="1:10" ht="12.75" customHeight="1">
      <c r="A2627" s="28"/>
      <c r="B2627" s="29" t="s">
        <v>3642</v>
      </c>
      <c r="C2627" s="30" t="str">
        <f>IFERROR(_xlfn.XLOOKUP(B2627,Equipo[DESCRIPCION],Equipo[UND],,0),"")</f>
        <v>Día</v>
      </c>
      <c r="D2627" s="31">
        <v>1</v>
      </c>
      <c r="E2627" s="32">
        <f>IF(C2627="%MO",G2633,IFERROR(_xlfn.XLOOKUP($B2627,Equipo[DESCRIPCION],Equipo[VALOR],,0),""))</f>
        <v>54978</v>
      </c>
      <c r="F2627" s="33">
        <v>-20</v>
      </c>
      <c r="G2627" s="34">
        <f>IFERROR(IF(F2627&gt;=0,D2627*E2627*(1+F2627/100),ABS(D2627*E2627/F2627)),"")</f>
        <v>2748.9</v>
      </c>
      <c r="H2627" s="43">
        <f>IFERROR(G2627*E2618,"")</f>
        <v>0</v>
      </c>
    </row>
    <row r="2628" spans="1:10" ht="12.75" customHeight="1">
      <c r="A2628" s="28"/>
      <c r="B2628" s="29" t="s">
        <v>3626</v>
      </c>
      <c r="C2628" s="30" t="str">
        <f>IFERROR(_xlfn.XLOOKUP(B2628,Equipo[DESCRIPCION],Equipo[UND],,0),"")</f>
        <v>%MO</v>
      </c>
      <c r="D2628" s="31">
        <v>0.05</v>
      </c>
      <c r="E2628" s="32">
        <f>IF(C2628="%MO",G2633,IFERROR(_xlfn.XLOOKUP($B2628,Equipo[DESCRIPCION],Equipo[VALOR],,0),""))</f>
        <v>31439.075089500006</v>
      </c>
      <c r="F2628" s="33"/>
      <c r="G2628" s="34">
        <f>IFERROR(IF(F2628&gt;=0,D2628*E2628*(1+F2628/100),ABS(D2628*E2628/F2628)),"")</f>
        <v>1571.9537544750003</v>
      </c>
      <c r="H2628" s="43">
        <f>IFERROR(G2628*E2618,"")</f>
        <v>0</v>
      </c>
    </row>
    <row r="2629" spans="1:10" ht="12.75" customHeight="1">
      <c r="A2629" s="28"/>
      <c r="B2629" s="29"/>
      <c r="C2629" s="30" t="str">
        <f>IFERROR(_xlfn.XLOOKUP(B2629,Equipo[DESCRIPCION],Equipo[UND],,0),"")</f>
        <v/>
      </c>
      <c r="D2629" s="31"/>
      <c r="E2629" s="32" t="str">
        <f>IF(C2629="%MO",G2633,IFERROR(_xlfn.XLOOKUP($B2629,Equipo[DESCRIPCION],Equipo[VALOR],,0),""))</f>
        <v/>
      </c>
      <c r="F2629" s="33"/>
      <c r="G2629" s="34" t="str">
        <f>IFERROR(IF(F2629&gt;=0,D2629*E2629*(1+F2629/100),ABS(D2629*E2629/F2629)),"")</f>
        <v/>
      </c>
      <c r="H2629" s="43" t="str">
        <f>IFERROR(G2629*E2618,"")</f>
        <v/>
      </c>
    </row>
    <row r="2630" spans="1:10" ht="12.75" customHeight="1">
      <c r="A2630" s="21"/>
      <c r="B2630" s="22" t="s">
        <v>2533</v>
      </c>
      <c r="C2630" s="23"/>
      <c r="D2630" s="24"/>
      <c r="E2630" s="25"/>
      <c r="F2630" s="26"/>
      <c r="G2630" s="27">
        <f>SUM(G2631:G2632)</f>
        <v>0</v>
      </c>
      <c r="H2630" s="44">
        <f>G2630*E2618</f>
        <v>0</v>
      </c>
    </row>
    <row r="2631" spans="1:10" ht="12.75" customHeight="1">
      <c r="A2631" s="28"/>
      <c r="B2631" s="29"/>
      <c r="C2631" s="30" t="str">
        <f>IFERROR(_xlfn.XLOOKUP(B2631,Transporte[DESCRIPCION],Transporte[UND],,0),"")</f>
        <v/>
      </c>
      <c r="D2631" s="31"/>
      <c r="E2631" s="32" t="str">
        <f>IFERROR(_xlfn.XLOOKUP($B2631,Transporte[DESCRIPCION],Transporte[VALOR],,0),"")</f>
        <v/>
      </c>
      <c r="F2631" s="33"/>
      <c r="G2631" s="34" t="str">
        <f>IFERROR(IF(F2631&gt;=0,D2631*E2631*(1+F2631/100),ABS(D2631*E2631/F2631)),"")</f>
        <v/>
      </c>
      <c r="H2631" s="43" t="str">
        <f>IFERROR(G2631*E2618,"")</f>
        <v/>
      </c>
    </row>
    <row r="2632" spans="1:10" ht="12.75" customHeight="1">
      <c r="A2632" s="28"/>
      <c r="B2632" s="29"/>
      <c r="C2632" s="30" t="str">
        <f>IFERROR(_xlfn.XLOOKUP(B2632,Transporte[DESCRIPCION],Transporte[UND],,0),"")</f>
        <v/>
      </c>
      <c r="D2632" s="31"/>
      <c r="E2632" s="32" t="str">
        <f>IFERROR(_xlfn.XLOOKUP($B2632,Transporte[DESCRIPCION],Transporte[VALOR],,0),"")</f>
        <v/>
      </c>
      <c r="F2632" s="33"/>
      <c r="G2632" s="34" t="str">
        <f>IFERROR(IF(F2632&gt;=0,D2632*E2632*(1+F2632/100),ABS(D2632*E2632/F2632)),"")</f>
        <v/>
      </c>
      <c r="H2632" s="43" t="str">
        <f>IFERROR(G2632*E2618,"")</f>
        <v/>
      </c>
    </row>
    <row r="2633" spans="1:10" ht="12.75" customHeight="1">
      <c r="A2633" s="21"/>
      <c r="B2633" s="22" t="s">
        <v>3732</v>
      </c>
      <c r="C2633" s="23"/>
      <c r="D2633" s="24"/>
      <c r="E2633" s="25"/>
      <c r="F2633" s="26"/>
      <c r="G2633" s="27">
        <f>SUM(G2634:G2636)</f>
        <v>31439.075089500006</v>
      </c>
      <c r="H2633" s="44">
        <f>G2633*E2618</f>
        <v>0</v>
      </c>
    </row>
    <row r="2634" spans="1:10" ht="12.75" customHeight="1">
      <c r="A2634" s="28"/>
      <c r="B2634" s="29" t="s">
        <v>3710</v>
      </c>
      <c r="C2634" s="30" t="str">
        <f>IFERROR(_xlfn.XLOOKUP(B2634,MObra[DESCRIPCION],MObra[UN],,0),"")</f>
        <v>día</v>
      </c>
      <c r="D2634" s="31">
        <v>1</v>
      </c>
      <c r="E2634" s="32">
        <f>IFERROR(_xlfn.XLOOKUP($B2634,MObra[DESCRIPCION],MObra[VALOR UNIT],,0),"")</f>
        <v>314390.75089500006</v>
      </c>
      <c r="F2634" s="33">
        <v>-10</v>
      </c>
      <c r="G2634" s="34">
        <f>IFERROR(IF(F2634&gt;=0,D2634*E2634*(1+F2634/100),ABS(D2634*E2634/F2634)),"")</f>
        <v>31439.075089500006</v>
      </c>
      <c r="H2634" s="43">
        <f>IFERROR(G2634*E2618,"")</f>
        <v>0</v>
      </c>
    </row>
    <row r="2635" spans="1:10" ht="12.75" customHeight="1">
      <c r="A2635" s="28"/>
      <c r="B2635" s="29"/>
      <c r="C2635" s="30" t="str">
        <f>IFERROR(_xlfn.XLOOKUP(B2635,MObra[DESCRIPCION],MObra[UN],,0),"")</f>
        <v/>
      </c>
      <c r="D2635" s="31"/>
      <c r="E2635" s="32" t="str">
        <f>IFERROR(_xlfn.XLOOKUP($B2635,MObra[DESCRIPCION],MObra[VALOR UNIT],,0),"")</f>
        <v/>
      </c>
      <c r="F2635" s="33"/>
      <c r="G2635" s="34" t="str">
        <f>IFERROR(IF(F2635&gt;=0,D2635*E2635*(1+F2635/100),ABS(D2635*E2635/F2635)),"")</f>
        <v/>
      </c>
      <c r="H2635" s="43" t="str">
        <f>IFERROR(G2635*E2618,"")</f>
        <v/>
      </c>
    </row>
    <row r="2636" spans="1:10" ht="12.75" customHeight="1" thickBot="1">
      <c r="A2636" s="35"/>
      <c r="B2636" s="36"/>
      <c r="C2636" s="37" t="str">
        <f>IFERROR(_xlfn.XLOOKUP(B2636,MObra[DESCRIPCION],MObra[UN],,0),"")</f>
        <v/>
      </c>
      <c r="D2636" s="38"/>
      <c r="E2636" s="39" t="str">
        <f>IFERROR(_xlfn.XLOOKUP($B2636,MObra[DESCRIPCION],MObra[VALOR UNIT],,0),"")</f>
        <v/>
      </c>
      <c r="F2636" s="40"/>
      <c r="G2636" s="41" t="str">
        <f>IFERROR(IF(F2636&gt;=0,D2636*E2636*(1+F2636/100),ABS(D2636*E2636/F2636)),"")</f>
        <v/>
      </c>
      <c r="H2636" s="42" t="str">
        <f>IFERROR(G2636*E2618,"")</f>
        <v/>
      </c>
    </row>
    <row r="2637" spans="1:10" ht="12.75" customHeight="1" thickTop="1" thickBot="1"/>
    <row r="2638" spans="1:10" ht="12.75" customHeight="1" thickTop="1" thickBot="1">
      <c r="A2638" s="6" t="s">
        <v>1358</v>
      </c>
      <c r="B2638" s="7" t="str">
        <f>VLOOKUP($A2638,Presupuesto!$A:$D,2,FALSE())</f>
        <v>Superficie en gravilla lavada</v>
      </c>
      <c r="C2638" s="8" t="str">
        <f>VLOOKUP($A2638,Presupuesto!$A:$D,3,FALSE())</f>
        <v>M2</v>
      </c>
      <c r="D2638" s="9"/>
      <c r="E2638" s="10">
        <f>VLOOKUP($A2638,Presupuesto!$A:$D,4,FALSE())</f>
        <v>0</v>
      </c>
      <c r="F2638" s="11" t="s">
        <v>2589</v>
      </c>
      <c r="G2638" s="12">
        <f>SUM(G2640:G2656)/2</f>
        <v>107895.50634397499</v>
      </c>
      <c r="H2638" s="13">
        <f>ROUND(SUM(H2640:H2656),0)/2</f>
        <v>0</v>
      </c>
      <c r="I2638" s="10">
        <f>VLOOKUP(A2638,Presupuesto!$A:$F,6,0)</f>
        <v>0</v>
      </c>
      <c r="J2638" s="10">
        <f>+H2638-I2638</f>
        <v>0</v>
      </c>
    </row>
    <row r="2639" spans="1:10" ht="12.75" customHeight="1" thickTop="1">
      <c r="A2639" s="14"/>
      <c r="B2639" s="15" t="s">
        <v>2586</v>
      </c>
      <c r="C2639" s="15" t="s">
        <v>5</v>
      </c>
      <c r="D2639" s="16" t="s">
        <v>6</v>
      </c>
      <c r="E2639" s="17" t="s">
        <v>7</v>
      </c>
      <c r="F2639" s="18" t="s">
        <v>3728</v>
      </c>
      <c r="G2639" s="19" t="s">
        <v>3729</v>
      </c>
      <c r="H2639" s="20" t="s">
        <v>3797</v>
      </c>
    </row>
    <row r="2640" spans="1:10" ht="12.75" customHeight="1">
      <c r="A2640" s="21"/>
      <c r="B2640" s="22" t="s">
        <v>3730</v>
      </c>
      <c r="C2640" s="23"/>
      <c r="D2640" s="24"/>
      <c r="E2640" s="25"/>
      <c r="F2640" s="26"/>
      <c r="G2640" s="27">
        <f>SUM(G2641:G2645)</f>
        <v>74884.477500000008</v>
      </c>
      <c r="H2640" s="27">
        <f>IFERROR(G2640*E2638,"")</f>
        <v>0</v>
      </c>
    </row>
    <row r="2641" spans="1:8" ht="12.75" customHeight="1">
      <c r="A2641" s="28"/>
      <c r="B2641" s="29" t="s">
        <v>2984</v>
      </c>
      <c r="C2641" s="30" t="str">
        <f>IFERROR(_xlfn.XLOOKUP(B2641,Insumo[DESCRIPCION],Insumo[UND],,0),"")</f>
        <v>Un</v>
      </c>
      <c r="D2641" s="31">
        <v>0.25</v>
      </c>
      <c r="E2641" s="32">
        <f>IFERROR(_xlfn.XLOOKUP($B2641,Insumo[DESCRIPCION],Insumo[VALOR],,0),"")</f>
        <v>3515.4</v>
      </c>
      <c r="F2641" s="33"/>
      <c r="G2641" s="34">
        <f>IFERROR(IF(F2641&gt;=0,D2641*E2641*(1+F2641/100),ABS(D2641*E2641/F2641)),"")</f>
        <v>878.85</v>
      </c>
      <c r="H2641" s="43">
        <f>IFERROR(G2641*E2638,"")</f>
        <v>0</v>
      </c>
    </row>
    <row r="2642" spans="1:8" ht="12.75" customHeight="1">
      <c r="A2642" s="28"/>
      <c r="B2642" s="29" t="s">
        <v>2824</v>
      </c>
      <c r="C2642" s="30" t="str">
        <f>IFERROR(_xlfn.XLOOKUP(B2642,Insumo[DESCRIPCION],Insumo[UND],,0),"")</f>
        <v>Un</v>
      </c>
      <c r="D2642" s="31">
        <v>2</v>
      </c>
      <c r="E2642" s="32">
        <f>IFERROR(_xlfn.XLOOKUP($B2642,Insumo[DESCRIPCION],Insumo[VALOR],,0),"")</f>
        <v>34230</v>
      </c>
      <c r="F2642" s="33"/>
      <c r="G2642" s="34">
        <f>IFERROR(IF(F2642&gt;=0,D2642*E2642*(1+F2642/100),ABS(D2642*E2642/F2642)),"")</f>
        <v>68460</v>
      </c>
      <c r="H2642" s="43">
        <f>IFERROR(G2642*E2638,"")</f>
        <v>0</v>
      </c>
    </row>
    <row r="2643" spans="1:8" ht="12.75" customHeight="1">
      <c r="A2643" s="28"/>
      <c r="B2643" s="29" t="s">
        <v>2922</v>
      </c>
      <c r="C2643" s="30" t="str">
        <f>IFERROR(_xlfn.XLOOKUP(B2643,Insumo[DESCRIPCION],Insumo[UND],,0),"")</f>
        <v>M</v>
      </c>
      <c r="D2643" s="31">
        <v>0.7</v>
      </c>
      <c r="E2643" s="32">
        <f>IFERROR(_xlfn.XLOOKUP($B2643,Insumo[DESCRIPCION],Insumo[VALOR],,0),"")</f>
        <v>3862.9500000000003</v>
      </c>
      <c r="F2643" s="33"/>
      <c r="G2643" s="34">
        <f>IFERROR(IF(F2643&gt;=0,D2643*E2643*(1+F2643/100),ABS(D2643*E2643/F2643)),"")</f>
        <v>2704.0650000000001</v>
      </c>
      <c r="H2643" s="43">
        <f>IFERROR(G2643*E2638,"")</f>
        <v>0</v>
      </c>
    </row>
    <row r="2644" spans="1:8" ht="12.75" customHeight="1">
      <c r="A2644" s="28"/>
      <c r="B2644" s="29" t="s">
        <v>2997</v>
      </c>
      <c r="C2644" s="30" t="str">
        <f>IFERROR(_xlfn.XLOOKUP(B2644,Insumo[DESCRIPCION],Insumo[UND],,0),"")</f>
        <v>Kg</v>
      </c>
      <c r="D2644" s="31">
        <v>0.25</v>
      </c>
      <c r="E2644" s="32">
        <f>IFERROR(_xlfn.XLOOKUP($B2644,Insumo[DESCRIPCION],Insumo[VALOR],,0),"")</f>
        <v>11366.25</v>
      </c>
      <c r="F2644" s="33"/>
      <c r="G2644" s="34">
        <f>IFERROR(IF(F2644&gt;=0,D2644*E2644*(1+F2644/100),ABS(D2644*E2644/F2644)),"")</f>
        <v>2841.5625</v>
      </c>
      <c r="H2644" s="43">
        <f>IFERROR(G2644*E2638,"")</f>
        <v>0</v>
      </c>
    </row>
    <row r="2645" spans="1:8" ht="12.75" customHeight="1">
      <c r="A2645" s="28"/>
      <c r="B2645" s="29"/>
      <c r="C2645" s="30" t="str">
        <f>IFERROR(_xlfn.XLOOKUP(B2645,Insumo[DESCRIPCION],Insumo[UND],,0),"")</f>
        <v/>
      </c>
      <c r="D2645" s="31"/>
      <c r="E2645" s="32" t="str">
        <f>IFERROR(_xlfn.XLOOKUP($B2645,Insumo[DESCRIPCION],Insumo[VALOR],,0),"")</f>
        <v/>
      </c>
      <c r="F2645" s="33"/>
      <c r="G2645" s="34" t="str">
        <f>IFERROR(IF(F2645&gt;=0,D2645*E2645*(1+F2645/100),ABS(D2645*E2645/F2645)),"")</f>
        <v/>
      </c>
      <c r="H2645" s="43" t="str">
        <f>IFERROR(G2645*E2638,"")</f>
        <v/>
      </c>
    </row>
    <row r="2646" spans="1:8" ht="12.75" customHeight="1">
      <c r="A2646" s="21"/>
      <c r="B2646" s="22" t="s">
        <v>3731</v>
      </c>
      <c r="C2646" s="23"/>
      <c r="D2646" s="24"/>
      <c r="E2646" s="25"/>
      <c r="F2646" s="26"/>
      <c r="G2646" s="27">
        <f>SUM(G2647:G2649)</f>
        <v>1571.9537544750003</v>
      </c>
      <c r="H2646" s="44">
        <f>G2646*E2638</f>
        <v>0</v>
      </c>
    </row>
    <row r="2647" spans="1:8" ht="12.75" customHeight="1">
      <c r="A2647" s="28"/>
      <c r="B2647" s="29" t="s">
        <v>3626</v>
      </c>
      <c r="C2647" s="30" t="str">
        <f>IFERROR(_xlfn.XLOOKUP(B2647,Equipo[DESCRIPCION],Equipo[UND],,0),"")</f>
        <v>%MO</v>
      </c>
      <c r="D2647" s="31">
        <v>0.05</v>
      </c>
      <c r="E2647" s="32">
        <f>IF(C2647="%MO",G2653,IFERROR(_xlfn.XLOOKUP($B2647,Equipo[DESCRIPCION],Equipo[VALOR],,0),""))</f>
        <v>31439.075089500006</v>
      </c>
      <c r="F2647" s="33"/>
      <c r="G2647" s="34">
        <f>IFERROR(IF(F2647&gt;=0,D2647*E2647*(1+F2647/100),ABS(D2647*E2647/F2647)),"")</f>
        <v>1571.9537544750003</v>
      </c>
      <c r="H2647" s="43">
        <f>IFERROR(G2647*E2638,"")</f>
        <v>0</v>
      </c>
    </row>
    <row r="2648" spans="1:8" ht="12.75" customHeight="1">
      <c r="A2648" s="28"/>
      <c r="B2648" s="29"/>
      <c r="C2648" s="30" t="str">
        <f>IFERROR(_xlfn.XLOOKUP(B2648,Equipo[DESCRIPCION],Equipo[UND],,0),"")</f>
        <v/>
      </c>
      <c r="D2648" s="31"/>
      <c r="E2648" s="32" t="str">
        <f>IF(C2648="%MO",G2653,IFERROR(_xlfn.XLOOKUP($B2648,Equipo[DESCRIPCION],Equipo[VALOR],,0),""))</f>
        <v/>
      </c>
      <c r="F2648" s="33"/>
      <c r="G2648" s="34" t="str">
        <f>IFERROR(IF(F2648&gt;=0,D2648*E2648*(1+F2648/100),ABS(D2648*E2648/F2648)),"")</f>
        <v/>
      </c>
      <c r="H2648" s="43" t="str">
        <f>IFERROR(G2648*E2638,"")</f>
        <v/>
      </c>
    </row>
    <row r="2649" spans="1:8" ht="12.75" customHeight="1">
      <c r="A2649" s="28"/>
      <c r="B2649" s="29"/>
      <c r="C2649" s="30" t="str">
        <f>IFERROR(_xlfn.XLOOKUP(B2649,Equipo[DESCRIPCION],Equipo[UND],,0),"")</f>
        <v/>
      </c>
      <c r="D2649" s="31"/>
      <c r="E2649" s="32" t="str">
        <f>IF(C2649="%MO",G2653,IFERROR(_xlfn.XLOOKUP($B2649,Equipo[DESCRIPCION],Equipo[VALOR],,0),""))</f>
        <v/>
      </c>
      <c r="F2649" s="33"/>
      <c r="G2649" s="34" t="str">
        <f>IFERROR(IF(F2649&gt;=0,D2649*E2649*(1+F2649/100),ABS(D2649*E2649/F2649)),"")</f>
        <v/>
      </c>
      <c r="H2649" s="43" t="str">
        <f>IFERROR(G2649*E2638,"")</f>
        <v/>
      </c>
    </row>
    <row r="2650" spans="1:8" ht="12.75" customHeight="1">
      <c r="A2650" s="21"/>
      <c r="B2650" s="22" t="s">
        <v>2533</v>
      </c>
      <c r="C2650" s="23"/>
      <c r="D2650" s="24"/>
      <c r="E2650" s="25"/>
      <c r="F2650" s="26"/>
      <c r="G2650" s="27">
        <f>SUM(G2651:G2652)</f>
        <v>0</v>
      </c>
      <c r="H2650" s="44">
        <f>G2650*E2638</f>
        <v>0</v>
      </c>
    </row>
    <row r="2651" spans="1:8" ht="12.75" customHeight="1">
      <c r="A2651" s="28"/>
      <c r="B2651" s="29"/>
      <c r="C2651" s="30" t="str">
        <f>IFERROR(_xlfn.XLOOKUP(B2651,Transporte[DESCRIPCION],Transporte[UND],,0),"")</f>
        <v/>
      </c>
      <c r="D2651" s="31"/>
      <c r="E2651" s="32" t="str">
        <f>IFERROR(_xlfn.XLOOKUP($B2651,Transporte[DESCRIPCION],Transporte[VALOR],,0),"")</f>
        <v/>
      </c>
      <c r="F2651" s="33"/>
      <c r="G2651" s="34" t="str">
        <f>IFERROR(IF(F2651&gt;=0,D2651*E2651*(1+F2651/100),ABS(D2651*E2651/F2651)),"")</f>
        <v/>
      </c>
      <c r="H2651" s="43" t="str">
        <f>IFERROR(G2651*E2638,"")</f>
        <v/>
      </c>
    </row>
    <row r="2652" spans="1:8" ht="12.75" customHeight="1">
      <c r="A2652" s="28"/>
      <c r="B2652" s="29"/>
      <c r="C2652" s="30" t="str">
        <f>IFERROR(_xlfn.XLOOKUP(B2652,Transporte[DESCRIPCION],Transporte[UND],,0),"")</f>
        <v/>
      </c>
      <c r="D2652" s="31"/>
      <c r="E2652" s="32" t="str">
        <f>IFERROR(_xlfn.XLOOKUP($B2652,Transporte[DESCRIPCION],Transporte[VALOR],,0),"")</f>
        <v/>
      </c>
      <c r="F2652" s="33"/>
      <c r="G2652" s="34" t="str">
        <f>IFERROR(IF(F2652&gt;=0,D2652*E2652*(1+F2652/100),ABS(D2652*E2652/F2652)),"")</f>
        <v/>
      </c>
      <c r="H2652" s="43" t="str">
        <f>IFERROR(G2652*E2638,"")</f>
        <v/>
      </c>
    </row>
    <row r="2653" spans="1:8" ht="12.75" customHeight="1">
      <c r="A2653" s="21"/>
      <c r="B2653" s="22" t="s">
        <v>3732</v>
      </c>
      <c r="C2653" s="23"/>
      <c r="D2653" s="24"/>
      <c r="E2653" s="25"/>
      <c r="F2653" s="26"/>
      <c r="G2653" s="27">
        <f>SUM(G2654:G2656)</f>
        <v>31439.075089500006</v>
      </c>
      <c r="H2653" s="44">
        <f>G2653*E2638</f>
        <v>0</v>
      </c>
    </row>
    <row r="2654" spans="1:8" ht="12.75" customHeight="1">
      <c r="A2654" s="28"/>
      <c r="B2654" s="29" t="s">
        <v>3710</v>
      </c>
      <c r="C2654" s="30" t="str">
        <f>IFERROR(_xlfn.XLOOKUP(B2654,MObra[DESCRIPCION],MObra[UN],,0),"")</f>
        <v>día</v>
      </c>
      <c r="D2654" s="31">
        <v>1</v>
      </c>
      <c r="E2654" s="32">
        <f>IFERROR(_xlfn.XLOOKUP($B2654,MObra[DESCRIPCION],MObra[VALOR UNIT],,0),"")</f>
        <v>314390.75089500006</v>
      </c>
      <c r="F2654" s="33">
        <v>-10</v>
      </c>
      <c r="G2654" s="34">
        <f>IFERROR(IF(F2654&gt;=0,D2654*E2654*(1+F2654/100),ABS(D2654*E2654/F2654)),"")</f>
        <v>31439.075089500006</v>
      </c>
      <c r="H2654" s="43">
        <f>IFERROR(G2654*E2638,"")</f>
        <v>0</v>
      </c>
    </row>
    <row r="2655" spans="1:8" ht="12.75" customHeight="1">
      <c r="A2655" s="28"/>
      <c r="B2655" s="29"/>
      <c r="C2655" s="30" t="str">
        <f>IFERROR(_xlfn.XLOOKUP(B2655,MObra[DESCRIPCION],MObra[UN],,0),"")</f>
        <v/>
      </c>
      <c r="D2655" s="31"/>
      <c r="E2655" s="32" t="str">
        <f>IFERROR(_xlfn.XLOOKUP($B2655,MObra[DESCRIPCION],MObra[VALOR UNIT],,0),"")</f>
        <v/>
      </c>
      <c r="F2655" s="33"/>
      <c r="G2655" s="34" t="str">
        <f>IFERROR(IF(F2655&gt;=0,D2655*E2655*(1+F2655/100),ABS(D2655*E2655/F2655)),"")</f>
        <v/>
      </c>
      <c r="H2655" s="43" t="str">
        <f>IFERROR(G2655*E2638,"")</f>
        <v/>
      </c>
    </row>
    <row r="2656" spans="1:8" ht="12.75" customHeight="1" thickBot="1">
      <c r="A2656" s="35"/>
      <c r="B2656" s="36"/>
      <c r="C2656" s="37" t="str">
        <f>IFERROR(_xlfn.XLOOKUP(B2656,MObra[DESCRIPCION],MObra[UN],,0),"")</f>
        <v/>
      </c>
      <c r="D2656" s="38"/>
      <c r="E2656" s="39" t="str">
        <f>IFERROR(_xlfn.XLOOKUP($B2656,MObra[DESCRIPCION],MObra[VALOR UNIT],,0),"")</f>
        <v/>
      </c>
      <c r="F2656" s="40"/>
      <c r="G2656" s="41" t="str">
        <f>IFERROR(IF(F2656&gt;=0,D2656*E2656*(1+F2656/100),ABS(D2656*E2656/F2656)),"")</f>
        <v/>
      </c>
      <c r="H2656" s="42" t="str">
        <f>IFERROR(G2656*E2638,"")</f>
        <v/>
      </c>
    </row>
    <row r="2657" spans="1:10" ht="12.75" customHeight="1" thickTop="1" thickBot="1"/>
    <row r="2658" spans="1:10" ht="12.75" customHeight="1" thickTop="1" thickBot="1">
      <c r="A2658" s="6" t="s">
        <v>1360</v>
      </c>
      <c r="B2658" s="7" t="str">
        <f>VLOOKUP($A2658,Presupuesto!$A:$D,2,FALSE())</f>
        <v>Superficie esmaltada gris</v>
      </c>
      <c r="C2658" s="8" t="str">
        <f>VLOOKUP($A2658,Presupuesto!$A:$D,3,FALSE())</f>
        <v>M2</v>
      </c>
      <c r="D2658" s="9"/>
      <c r="E2658" s="10">
        <f>VLOOKUP($A2658,Presupuesto!$A:$D,4,FALSE())</f>
        <v>0</v>
      </c>
      <c r="F2658" s="11" t="s">
        <v>2589</v>
      </c>
      <c r="G2658" s="12">
        <f>SUM(G2660:G2676)/2</f>
        <v>15942.811537590002</v>
      </c>
      <c r="H2658" s="13">
        <f>ROUND(SUM(H2660:H2676),0)/2</f>
        <v>0</v>
      </c>
      <c r="I2658" s="10">
        <f>VLOOKUP(A2658,Presupuesto!$A:$F,6,0)</f>
        <v>0</v>
      </c>
      <c r="J2658" s="10">
        <f>+H2658-I2658</f>
        <v>0</v>
      </c>
    </row>
    <row r="2659" spans="1:10" ht="12.75" customHeight="1" thickTop="1">
      <c r="A2659" s="14"/>
      <c r="B2659" s="15" t="s">
        <v>2586</v>
      </c>
      <c r="C2659" s="15" t="s">
        <v>5</v>
      </c>
      <c r="D2659" s="16" t="s">
        <v>6</v>
      </c>
      <c r="E2659" s="17" t="s">
        <v>7</v>
      </c>
      <c r="F2659" s="18" t="s">
        <v>3728</v>
      </c>
      <c r="G2659" s="19" t="s">
        <v>3729</v>
      </c>
      <c r="H2659" s="20" t="s">
        <v>3797</v>
      </c>
    </row>
    <row r="2660" spans="1:10" ht="12.75" customHeight="1">
      <c r="A2660" s="21"/>
      <c r="B2660" s="22" t="s">
        <v>3730</v>
      </c>
      <c r="C2660" s="23"/>
      <c r="D2660" s="24"/>
      <c r="E2660" s="25"/>
      <c r="F2660" s="26"/>
      <c r="G2660" s="27">
        <f>SUM(G2661:G2665)</f>
        <v>2738.4</v>
      </c>
      <c r="H2660" s="27">
        <f>IFERROR(G2660*E2658,"")</f>
        <v>0</v>
      </c>
    </row>
    <row r="2661" spans="1:10" ht="12.75" customHeight="1">
      <c r="A2661" s="28"/>
      <c r="B2661" s="29" t="s">
        <v>2824</v>
      </c>
      <c r="C2661" s="30" t="str">
        <f>IFERROR(_xlfn.XLOOKUP(B2661,Insumo[DESCRIPCION],Insumo[UND],,0),"")</f>
        <v>Un</v>
      </c>
      <c r="D2661" s="31">
        <f>4/50</f>
        <v>0.08</v>
      </c>
      <c r="E2661" s="32">
        <f>IFERROR(_xlfn.XLOOKUP($B2661,Insumo[DESCRIPCION],Insumo[VALOR],,0),"")</f>
        <v>34230</v>
      </c>
      <c r="F2661" s="33"/>
      <c r="G2661" s="34">
        <f>IFERROR(IF(F2661&gt;=0,D2661*E2661*(1+F2661/100),ABS(D2661*E2661/F2661)),"")</f>
        <v>2738.4</v>
      </c>
      <c r="H2661" s="43">
        <f>IFERROR(G2661*E2658,"")</f>
        <v>0</v>
      </c>
    </row>
    <row r="2662" spans="1:10" ht="12.75" customHeight="1">
      <c r="A2662" s="28"/>
      <c r="B2662" s="29"/>
      <c r="C2662" s="30" t="str">
        <f>IFERROR(_xlfn.XLOOKUP(B2662,Insumo[DESCRIPCION],Insumo[UND],,0),"")</f>
        <v/>
      </c>
      <c r="D2662" s="31"/>
      <c r="E2662" s="32" t="str">
        <f>IFERROR(_xlfn.XLOOKUP($B2662,Insumo[DESCRIPCION],Insumo[VALOR],,0),"")</f>
        <v/>
      </c>
      <c r="F2662" s="33"/>
      <c r="G2662" s="34" t="str">
        <f>IFERROR(IF(F2662&gt;=0,D2662*E2662*(1+F2662/100),ABS(D2662*E2662/F2662)),"")</f>
        <v/>
      </c>
      <c r="H2662" s="43" t="str">
        <f>IFERROR(G2662*E2658,"")</f>
        <v/>
      </c>
    </row>
    <row r="2663" spans="1:10" ht="12.75" customHeight="1">
      <c r="A2663" s="28"/>
      <c r="B2663" s="29"/>
      <c r="C2663" s="30" t="str">
        <f>IFERROR(_xlfn.XLOOKUP(B2663,Insumo[DESCRIPCION],Insumo[UND],,0),"")</f>
        <v/>
      </c>
      <c r="D2663" s="31"/>
      <c r="E2663" s="32" t="str">
        <f>IFERROR(_xlfn.XLOOKUP($B2663,Insumo[DESCRIPCION],Insumo[VALOR],,0),"")</f>
        <v/>
      </c>
      <c r="F2663" s="33"/>
      <c r="G2663" s="34" t="str">
        <f>IFERROR(IF(F2663&gt;=0,D2663*E2663*(1+F2663/100),ABS(D2663*E2663/F2663)),"")</f>
        <v/>
      </c>
      <c r="H2663" s="43" t="str">
        <f>IFERROR(G2663*E2658,"")</f>
        <v/>
      </c>
    </row>
    <row r="2664" spans="1:10" ht="12.75" customHeight="1">
      <c r="A2664" s="28"/>
      <c r="B2664" s="29"/>
      <c r="C2664" s="30" t="str">
        <f>IFERROR(_xlfn.XLOOKUP(B2664,Insumo[DESCRIPCION],Insumo[UND],,0),"")</f>
        <v/>
      </c>
      <c r="D2664" s="31"/>
      <c r="E2664" s="32" t="str">
        <f>IFERROR(_xlfn.XLOOKUP($B2664,Insumo[DESCRIPCION],Insumo[VALOR],,0),"")</f>
        <v/>
      </c>
      <c r="F2664" s="33"/>
      <c r="G2664" s="34" t="str">
        <f>IFERROR(IF(F2664&gt;=0,D2664*E2664*(1+F2664/100),ABS(D2664*E2664/F2664)),"")</f>
        <v/>
      </c>
      <c r="H2664" s="43" t="str">
        <f>IFERROR(G2664*E2658,"")</f>
        <v/>
      </c>
    </row>
    <row r="2665" spans="1:10" ht="12.75" customHeight="1">
      <c r="A2665" s="28"/>
      <c r="B2665" s="29"/>
      <c r="C2665" s="30" t="str">
        <f>IFERROR(_xlfn.XLOOKUP(B2665,Insumo[DESCRIPCION],Insumo[UND],,0),"")</f>
        <v/>
      </c>
      <c r="D2665" s="31"/>
      <c r="E2665" s="32" t="str">
        <f>IFERROR(_xlfn.XLOOKUP($B2665,Insumo[DESCRIPCION],Insumo[VALOR],,0),"")</f>
        <v/>
      </c>
      <c r="F2665" s="33"/>
      <c r="G2665" s="34" t="str">
        <f>IFERROR(IF(F2665&gt;=0,D2665*E2665*(1+F2665/100),ABS(D2665*E2665/F2665)),"")</f>
        <v/>
      </c>
      <c r="H2665" s="43" t="str">
        <f>IFERROR(G2665*E2658,"")</f>
        <v/>
      </c>
    </row>
    <row r="2666" spans="1:10" ht="12.75" customHeight="1">
      <c r="A2666" s="21"/>
      <c r="B2666" s="22" t="s">
        <v>3731</v>
      </c>
      <c r="C2666" s="23"/>
      <c r="D2666" s="24"/>
      <c r="E2666" s="25"/>
      <c r="F2666" s="26"/>
      <c r="G2666" s="27">
        <f>SUM(G2667:G2669)</f>
        <v>628.78150179000022</v>
      </c>
      <c r="H2666" s="44">
        <f>G2666*E2658</f>
        <v>0</v>
      </c>
    </row>
    <row r="2667" spans="1:10" ht="12.75" customHeight="1">
      <c r="A2667" s="28"/>
      <c r="B2667" s="29" t="s">
        <v>3626</v>
      </c>
      <c r="C2667" s="30" t="str">
        <f>IFERROR(_xlfn.XLOOKUP(B2667,Equipo[DESCRIPCION],Equipo[UND],,0),"")</f>
        <v>%MO</v>
      </c>
      <c r="D2667" s="31">
        <v>0.05</v>
      </c>
      <c r="E2667" s="32">
        <f>IF(C2667="%MO",G2673,IFERROR(_xlfn.XLOOKUP($B2667,Equipo[DESCRIPCION],Equipo[VALOR],,0),""))</f>
        <v>12575.630035800003</v>
      </c>
      <c r="F2667" s="33"/>
      <c r="G2667" s="34">
        <f>IFERROR(IF(F2667&gt;=0,D2667*E2667*(1+F2667/100),ABS(D2667*E2667/F2667)),"")</f>
        <v>628.78150179000022</v>
      </c>
      <c r="H2667" s="43">
        <f>IFERROR(G2667*E2658,"")</f>
        <v>0</v>
      </c>
    </row>
    <row r="2668" spans="1:10" ht="12.75" customHeight="1">
      <c r="A2668" s="28"/>
      <c r="B2668" s="29"/>
      <c r="C2668" s="30" t="str">
        <f>IFERROR(_xlfn.XLOOKUP(B2668,Equipo[DESCRIPCION],Equipo[UND],,0),"")</f>
        <v/>
      </c>
      <c r="D2668" s="31"/>
      <c r="E2668" s="32" t="str">
        <f>IF(C2668="%MO",G2673,IFERROR(_xlfn.XLOOKUP($B2668,Equipo[DESCRIPCION],Equipo[VALOR],,0),""))</f>
        <v/>
      </c>
      <c r="F2668" s="33"/>
      <c r="G2668" s="34" t="str">
        <f>IFERROR(IF(F2668&gt;=0,D2668*E2668*(1+F2668/100),ABS(D2668*E2668/F2668)),"")</f>
        <v/>
      </c>
      <c r="H2668" s="43" t="str">
        <f>IFERROR(G2668*E2658,"")</f>
        <v/>
      </c>
    </row>
    <row r="2669" spans="1:10" ht="12.75" customHeight="1">
      <c r="A2669" s="28"/>
      <c r="B2669" s="29"/>
      <c r="C2669" s="30" t="str">
        <f>IFERROR(_xlfn.XLOOKUP(B2669,Equipo[DESCRIPCION],Equipo[UND],,0),"")</f>
        <v/>
      </c>
      <c r="D2669" s="31"/>
      <c r="E2669" s="32" t="str">
        <f>IF(C2669="%MO",G2673,IFERROR(_xlfn.XLOOKUP($B2669,Equipo[DESCRIPCION],Equipo[VALOR],,0),""))</f>
        <v/>
      </c>
      <c r="F2669" s="33"/>
      <c r="G2669" s="34" t="str">
        <f>IFERROR(IF(F2669&gt;=0,D2669*E2669*(1+F2669/100),ABS(D2669*E2669/F2669)),"")</f>
        <v/>
      </c>
      <c r="H2669" s="43" t="str">
        <f>IFERROR(G2669*E2658,"")</f>
        <v/>
      </c>
    </row>
    <row r="2670" spans="1:10" ht="12.75" customHeight="1">
      <c r="A2670" s="21"/>
      <c r="B2670" s="22" t="s">
        <v>2533</v>
      </c>
      <c r="C2670" s="23"/>
      <c r="D2670" s="24"/>
      <c r="E2670" s="25"/>
      <c r="F2670" s="26"/>
      <c r="G2670" s="27">
        <f>SUM(G2671:G2672)</f>
        <v>0</v>
      </c>
      <c r="H2670" s="44">
        <f>G2670*E2658</f>
        <v>0</v>
      </c>
    </row>
    <row r="2671" spans="1:10" ht="12.75" customHeight="1">
      <c r="A2671" s="28"/>
      <c r="B2671" s="29"/>
      <c r="C2671" s="30" t="str">
        <f>IFERROR(_xlfn.XLOOKUP(B2671,Transporte[DESCRIPCION],Transporte[UND],,0),"")</f>
        <v/>
      </c>
      <c r="D2671" s="31"/>
      <c r="E2671" s="32" t="str">
        <f>IFERROR(_xlfn.XLOOKUP($B2671,Transporte[DESCRIPCION],Transporte[VALOR],,0),"")</f>
        <v/>
      </c>
      <c r="F2671" s="33"/>
      <c r="G2671" s="34" t="str">
        <f>IFERROR(IF(F2671&gt;=0,D2671*E2671*(1+F2671/100),ABS(D2671*E2671/F2671)),"")</f>
        <v/>
      </c>
      <c r="H2671" s="43" t="str">
        <f>IFERROR(G2671*E2658,"")</f>
        <v/>
      </c>
    </row>
    <row r="2672" spans="1:10" ht="12.75" customHeight="1">
      <c r="A2672" s="28"/>
      <c r="B2672" s="29"/>
      <c r="C2672" s="30" t="str">
        <f>IFERROR(_xlfn.XLOOKUP(B2672,Transporte[DESCRIPCION],Transporte[UND],,0),"")</f>
        <v/>
      </c>
      <c r="D2672" s="31"/>
      <c r="E2672" s="32" t="str">
        <f>IFERROR(_xlfn.XLOOKUP($B2672,Transporte[DESCRIPCION],Transporte[VALOR],,0),"")</f>
        <v/>
      </c>
      <c r="F2672" s="33"/>
      <c r="G2672" s="34" t="str">
        <f>IFERROR(IF(F2672&gt;=0,D2672*E2672*(1+F2672/100),ABS(D2672*E2672/F2672)),"")</f>
        <v/>
      </c>
      <c r="H2672" s="43" t="str">
        <f>IFERROR(G2672*E2658,"")</f>
        <v/>
      </c>
    </row>
    <row r="2673" spans="1:10" ht="12.75" customHeight="1">
      <c r="A2673" s="21"/>
      <c r="B2673" s="22" t="s">
        <v>3732</v>
      </c>
      <c r="C2673" s="23"/>
      <c r="D2673" s="24"/>
      <c r="E2673" s="25"/>
      <c r="F2673" s="26"/>
      <c r="G2673" s="27">
        <f>SUM(G2674:G2676)</f>
        <v>12575.630035800003</v>
      </c>
      <c r="H2673" s="44">
        <f>G2673*E2658</f>
        <v>0</v>
      </c>
    </row>
    <row r="2674" spans="1:10" ht="12.75" customHeight="1">
      <c r="A2674" s="28"/>
      <c r="B2674" s="29" t="s">
        <v>3710</v>
      </c>
      <c r="C2674" s="30" t="str">
        <f>IFERROR(_xlfn.XLOOKUP(B2674,MObra[DESCRIPCION],MObra[UN],,0),"")</f>
        <v>día</v>
      </c>
      <c r="D2674" s="31">
        <v>1</v>
      </c>
      <c r="E2674" s="32">
        <f>IFERROR(_xlfn.XLOOKUP($B2674,MObra[DESCRIPCION],MObra[VALOR UNIT],,0),"")</f>
        <v>314390.75089500006</v>
      </c>
      <c r="F2674" s="33">
        <v>-25</v>
      </c>
      <c r="G2674" s="34">
        <f>IFERROR(IF(F2674&gt;=0,D2674*E2674*(1+F2674/100),ABS(D2674*E2674/F2674)),"")</f>
        <v>12575.630035800003</v>
      </c>
      <c r="H2674" s="43">
        <f>IFERROR(G2674*E2658,"")</f>
        <v>0</v>
      </c>
    </row>
    <row r="2675" spans="1:10" ht="12.75" customHeight="1">
      <c r="A2675" s="28"/>
      <c r="B2675" s="29"/>
      <c r="C2675" s="30" t="str">
        <f>IFERROR(_xlfn.XLOOKUP(B2675,MObra[DESCRIPCION],MObra[UN],,0),"")</f>
        <v/>
      </c>
      <c r="D2675" s="31"/>
      <c r="E2675" s="32" t="str">
        <f>IFERROR(_xlfn.XLOOKUP($B2675,MObra[DESCRIPCION],MObra[VALOR UNIT],,0),"")</f>
        <v/>
      </c>
      <c r="F2675" s="33"/>
      <c r="G2675" s="34" t="str">
        <f>IFERROR(IF(F2675&gt;=0,D2675*E2675*(1+F2675/100),ABS(D2675*E2675/F2675)),"")</f>
        <v/>
      </c>
      <c r="H2675" s="43" t="str">
        <f>IFERROR(G2675*E2658,"")</f>
        <v/>
      </c>
    </row>
    <row r="2676" spans="1:10" ht="12.75" customHeight="1" thickBot="1">
      <c r="A2676" s="35"/>
      <c r="B2676" s="36"/>
      <c r="C2676" s="37" t="str">
        <f>IFERROR(_xlfn.XLOOKUP(B2676,MObra[DESCRIPCION],MObra[UN],,0),"")</f>
        <v/>
      </c>
      <c r="D2676" s="38"/>
      <c r="E2676" s="39" t="str">
        <f>IFERROR(_xlfn.XLOOKUP($B2676,MObra[DESCRIPCION],MObra[VALOR UNIT],,0),"")</f>
        <v/>
      </c>
      <c r="F2676" s="40"/>
      <c r="G2676" s="41" t="str">
        <f>IFERROR(IF(F2676&gt;=0,D2676*E2676*(1+F2676/100),ABS(D2676*E2676/F2676)),"")</f>
        <v/>
      </c>
      <c r="H2676" s="42" t="str">
        <f>IFERROR(G2676*E2658,"")</f>
        <v/>
      </c>
    </row>
    <row r="2677" spans="1:10" ht="12.75" customHeight="1" thickTop="1" thickBot="1"/>
    <row r="2678" spans="1:10" ht="12.75" customHeight="1" thickTop="1" thickBot="1">
      <c r="A2678" s="6" t="s">
        <v>1362</v>
      </c>
      <c r="B2678" s="7" t="str">
        <f>VLOOKUP($A2678,Presupuesto!$A:$D,2,FALSE())</f>
        <v>Superficie esmaltada + color mineral</v>
      </c>
      <c r="C2678" s="8" t="str">
        <f>VLOOKUP($A2678,Presupuesto!$A:$D,3,FALSE())</f>
        <v>M2</v>
      </c>
      <c r="D2678" s="9"/>
      <c r="E2678" s="10">
        <f>VLOOKUP($A2678,Presupuesto!$A:$D,4,FALSE())</f>
        <v>0</v>
      </c>
      <c r="F2678" s="11" t="s">
        <v>2589</v>
      </c>
      <c r="G2678" s="12">
        <f>SUM(G2680:G2696)/2</f>
        <v>51921.69070331251</v>
      </c>
      <c r="H2678" s="13">
        <f>ROUND(SUM(H2680:H2696),0)/2</f>
        <v>0</v>
      </c>
      <c r="I2678" s="10">
        <f>VLOOKUP(A2678,Presupuesto!$A:$F,6,0)</f>
        <v>0</v>
      </c>
      <c r="J2678" s="10">
        <f>+H2678-I2678</f>
        <v>0</v>
      </c>
    </row>
    <row r="2679" spans="1:10" ht="12.75" customHeight="1" thickTop="1">
      <c r="A2679" s="14"/>
      <c r="B2679" s="15" t="s">
        <v>2586</v>
      </c>
      <c r="C2679" s="15" t="s">
        <v>5</v>
      </c>
      <c r="D2679" s="16" t="s">
        <v>6</v>
      </c>
      <c r="E2679" s="17" t="s">
        <v>7</v>
      </c>
      <c r="F2679" s="18" t="s">
        <v>3728</v>
      </c>
      <c r="G2679" s="19" t="s">
        <v>3729</v>
      </c>
      <c r="H2679" s="20" t="s">
        <v>3797</v>
      </c>
    </row>
    <row r="2680" spans="1:10" ht="12.75" customHeight="1">
      <c r="A2680" s="21"/>
      <c r="B2680" s="22" t="s">
        <v>3730</v>
      </c>
      <c r="C2680" s="23"/>
      <c r="D2680" s="24"/>
      <c r="E2680" s="25"/>
      <c r="F2680" s="26"/>
      <c r="G2680" s="27">
        <f>SUM(G2681:G2685)</f>
        <v>24412.5</v>
      </c>
      <c r="H2680" s="27">
        <f>IFERROR(G2680*E2678,"")</f>
        <v>0</v>
      </c>
    </row>
    <row r="2681" spans="1:10" ht="12.75" customHeight="1">
      <c r="A2681" s="28"/>
      <c r="B2681" s="29" t="s">
        <v>2823</v>
      </c>
      <c r="C2681" s="30" t="str">
        <f>IFERROR(_xlfn.XLOOKUP(B2681,Insumo[DESCRIPCION],Insumo[UND],,0),"")</f>
        <v>Kg</v>
      </c>
      <c r="D2681" s="31">
        <v>1</v>
      </c>
      <c r="E2681" s="32">
        <f>IFERROR(_xlfn.XLOOKUP($B2681,Insumo[DESCRIPCION],Insumo[VALOR],,0),"")</f>
        <v>1680</v>
      </c>
      <c r="F2681" s="33"/>
      <c r="G2681" s="34">
        <f>IFERROR(IF(F2681&gt;=0,D2681*E2681*(1+F2681/100),ABS(D2681*E2681/F2681)),"")</f>
        <v>1680</v>
      </c>
      <c r="H2681" s="43">
        <f>IFERROR(G2681*E2678,"")</f>
        <v>0</v>
      </c>
    </row>
    <row r="2682" spans="1:10" ht="12.75" customHeight="1">
      <c r="A2682" s="28"/>
      <c r="B2682" s="29" t="s">
        <v>2863</v>
      </c>
      <c r="C2682" s="30" t="str">
        <f>IFERROR(_xlfn.XLOOKUP(B2682,Insumo[DESCRIPCION],Insumo[UND],,0),"")</f>
        <v>Lb</v>
      </c>
      <c r="D2682" s="31">
        <v>0.4</v>
      </c>
      <c r="E2682" s="32">
        <f>IFERROR(_xlfn.XLOOKUP($B2682,Insumo[DESCRIPCION],Insumo[VALOR],,0),"")</f>
        <v>56831.25</v>
      </c>
      <c r="F2682" s="33"/>
      <c r="G2682" s="34">
        <f>IFERROR(IF(F2682&gt;=0,D2682*E2682*(1+F2682/100),ABS(D2682*E2682/F2682)),"")</f>
        <v>22732.5</v>
      </c>
      <c r="H2682" s="43">
        <f>IFERROR(G2682*E2678,"")</f>
        <v>0</v>
      </c>
    </row>
    <row r="2683" spans="1:10" ht="12.75" customHeight="1">
      <c r="A2683" s="28"/>
      <c r="B2683" s="29"/>
      <c r="C2683" s="30" t="str">
        <f>IFERROR(_xlfn.XLOOKUP(B2683,Insumo[DESCRIPCION],Insumo[UND],,0),"")</f>
        <v/>
      </c>
      <c r="D2683" s="31"/>
      <c r="E2683" s="32" t="str">
        <f>IFERROR(_xlfn.XLOOKUP($B2683,Insumo[DESCRIPCION],Insumo[VALOR],,0),"")</f>
        <v/>
      </c>
      <c r="F2683" s="33"/>
      <c r="G2683" s="34" t="str">
        <f>IFERROR(IF(F2683&gt;=0,D2683*E2683*(1+F2683/100),ABS(D2683*E2683/F2683)),"")</f>
        <v/>
      </c>
      <c r="H2683" s="43" t="str">
        <f>IFERROR(G2683*E2678,"")</f>
        <v/>
      </c>
    </row>
    <row r="2684" spans="1:10" ht="12.75" customHeight="1">
      <c r="A2684" s="28"/>
      <c r="B2684" s="29"/>
      <c r="C2684" s="30" t="str">
        <f>IFERROR(_xlfn.XLOOKUP(B2684,Insumo[DESCRIPCION],Insumo[UND],,0),"")</f>
        <v/>
      </c>
      <c r="D2684" s="31"/>
      <c r="E2684" s="32" t="str">
        <f>IFERROR(_xlfn.XLOOKUP($B2684,Insumo[DESCRIPCION],Insumo[VALOR],,0),"")</f>
        <v/>
      </c>
      <c r="F2684" s="33"/>
      <c r="G2684" s="34" t="str">
        <f>IFERROR(IF(F2684&gt;=0,D2684*E2684*(1+F2684/100),ABS(D2684*E2684/F2684)),"")</f>
        <v/>
      </c>
      <c r="H2684" s="43" t="str">
        <f>IFERROR(G2684*E2678,"")</f>
        <v/>
      </c>
    </row>
    <row r="2685" spans="1:10" ht="12.75" customHeight="1">
      <c r="A2685" s="28"/>
      <c r="B2685" s="29"/>
      <c r="C2685" s="30" t="str">
        <f>IFERROR(_xlfn.XLOOKUP(B2685,Insumo[DESCRIPCION],Insumo[UND],,0),"")</f>
        <v/>
      </c>
      <c r="D2685" s="31"/>
      <c r="E2685" s="32" t="str">
        <f>IFERROR(_xlfn.XLOOKUP($B2685,Insumo[DESCRIPCION],Insumo[VALOR],,0),"")</f>
        <v/>
      </c>
      <c r="F2685" s="33"/>
      <c r="G2685" s="34" t="str">
        <f>IFERROR(IF(F2685&gt;=0,D2685*E2685*(1+F2685/100),ABS(D2685*E2685/F2685)),"")</f>
        <v/>
      </c>
      <c r="H2685" s="43" t="str">
        <f>IFERROR(G2685*E2678,"")</f>
        <v/>
      </c>
    </row>
    <row r="2686" spans="1:10" ht="12.75" customHeight="1">
      <c r="A2686" s="21"/>
      <c r="B2686" s="22" t="s">
        <v>3731</v>
      </c>
      <c r="C2686" s="23"/>
      <c r="D2686" s="24"/>
      <c r="E2686" s="25"/>
      <c r="F2686" s="26"/>
      <c r="G2686" s="27">
        <f>SUM(G2687:G2689)</f>
        <v>1309.9614620625005</v>
      </c>
      <c r="H2686" s="44">
        <f>G2686*E2678</f>
        <v>0</v>
      </c>
    </row>
    <row r="2687" spans="1:10" ht="12.75" customHeight="1">
      <c r="A2687" s="28"/>
      <c r="B2687" s="29" t="s">
        <v>3626</v>
      </c>
      <c r="C2687" s="30" t="str">
        <f>IFERROR(_xlfn.XLOOKUP(B2687,Equipo[DESCRIPCION],Equipo[UND],,0),"")</f>
        <v>%MO</v>
      </c>
      <c r="D2687" s="31">
        <v>0.05</v>
      </c>
      <c r="E2687" s="32">
        <f>IF(C2687="%MO",G2693,IFERROR(_xlfn.XLOOKUP($B2687,Equipo[DESCRIPCION],Equipo[VALOR],,0),""))</f>
        <v>26199.229241250006</v>
      </c>
      <c r="F2687" s="33"/>
      <c r="G2687" s="34">
        <f>IFERROR(IF(F2687&gt;=0,D2687*E2687*(1+F2687/100),ABS(D2687*E2687/F2687)),"")</f>
        <v>1309.9614620625005</v>
      </c>
      <c r="H2687" s="43">
        <f>IFERROR(G2687*E2678,"")</f>
        <v>0</v>
      </c>
    </row>
    <row r="2688" spans="1:10" ht="12.75" customHeight="1">
      <c r="A2688" s="28"/>
      <c r="B2688" s="29"/>
      <c r="C2688" s="30" t="str">
        <f>IFERROR(_xlfn.XLOOKUP(B2688,Equipo[DESCRIPCION],Equipo[UND],,0),"")</f>
        <v/>
      </c>
      <c r="D2688" s="31"/>
      <c r="E2688" s="32" t="str">
        <f>IF(C2688="%MO",G2693,IFERROR(_xlfn.XLOOKUP($B2688,Equipo[DESCRIPCION],Equipo[VALOR],,0),""))</f>
        <v/>
      </c>
      <c r="F2688" s="33"/>
      <c r="G2688" s="34" t="str">
        <f>IFERROR(IF(F2688&gt;=0,D2688*E2688*(1+F2688/100),ABS(D2688*E2688/F2688)),"")</f>
        <v/>
      </c>
      <c r="H2688" s="43" t="str">
        <f>IFERROR(G2688*E2678,"")</f>
        <v/>
      </c>
    </row>
    <row r="2689" spans="1:10" ht="12.75" customHeight="1">
      <c r="A2689" s="28"/>
      <c r="B2689" s="29"/>
      <c r="C2689" s="30" t="str">
        <f>IFERROR(_xlfn.XLOOKUP(B2689,Equipo[DESCRIPCION],Equipo[UND],,0),"")</f>
        <v/>
      </c>
      <c r="D2689" s="31"/>
      <c r="E2689" s="32" t="str">
        <f>IF(C2689="%MO",G2693,IFERROR(_xlfn.XLOOKUP($B2689,Equipo[DESCRIPCION],Equipo[VALOR],,0),""))</f>
        <v/>
      </c>
      <c r="F2689" s="33"/>
      <c r="G2689" s="34" t="str">
        <f>IFERROR(IF(F2689&gt;=0,D2689*E2689*(1+F2689/100),ABS(D2689*E2689/F2689)),"")</f>
        <v/>
      </c>
      <c r="H2689" s="43" t="str">
        <f>IFERROR(G2689*E2678,"")</f>
        <v/>
      </c>
    </row>
    <row r="2690" spans="1:10" ht="12.75" customHeight="1">
      <c r="A2690" s="21"/>
      <c r="B2690" s="22" t="s">
        <v>2533</v>
      </c>
      <c r="C2690" s="23"/>
      <c r="D2690" s="24"/>
      <c r="E2690" s="25"/>
      <c r="F2690" s="26"/>
      <c r="G2690" s="27">
        <f>SUM(G2691:G2692)</f>
        <v>0</v>
      </c>
      <c r="H2690" s="44">
        <f>G2690*E2678</f>
        <v>0</v>
      </c>
    </row>
    <row r="2691" spans="1:10" ht="12.75" customHeight="1">
      <c r="A2691" s="28"/>
      <c r="B2691" s="29"/>
      <c r="C2691" s="30" t="str">
        <f>IFERROR(_xlfn.XLOOKUP(B2691,Transporte[DESCRIPCION],Transporte[UND],,0),"")</f>
        <v/>
      </c>
      <c r="D2691" s="31"/>
      <c r="E2691" s="32" t="str">
        <f>IFERROR(_xlfn.XLOOKUP($B2691,Transporte[DESCRIPCION],Transporte[VALOR],,0),"")</f>
        <v/>
      </c>
      <c r="F2691" s="33"/>
      <c r="G2691" s="34" t="str">
        <f>IFERROR(IF(F2691&gt;=0,D2691*E2691*(1+F2691/100),ABS(D2691*E2691/F2691)),"")</f>
        <v/>
      </c>
      <c r="H2691" s="43" t="str">
        <f>IFERROR(G2691*E2678,"")</f>
        <v/>
      </c>
    </row>
    <row r="2692" spans="1:10" ht="12.75" customHeight="1">
      <c r="A2692" s="28"/>
      <c r="B2692" s="29"/>
      <c r="C2692" s="30" t="str">
        <f>IFERROR(_xlfn.XLOOKUP(B2692,Transporte[DESCRIPCION],Transporte[UND],,0),"")</f>
        <v/>
      </c>
      <c r="D2692" s="31"/>
      <c r="E2692" s="32" t="str">
        <f>IFERROR(_xlfn.XLOOKUP($B2692,Transporte[DESCRIPCION],Transporte[VALOR],,0),"")</f>
        <v/>
      </c>
      <c r="F2692" s="33"/>
      <c r="G2692" s="34" t="str">
        <f>IFERROR(IF(F2692&gt;=0,D2692*E2692*(1+F2692/100),ABS(D2692*E2692/F2692)),"")</f>
        <v/>
      </c>
      <c r="H2692" s="43" t="str">
        <f>IFERROR(G2692*E2678,"")</f>
        <v/>
      </c>
    </row>
    <row r="2693" spans="1:10" ht="12.75" customHeight="1">
      <c r="A2693" s="21"/>
      <c r="B2693" s="22" t="s">
        <v>3732</v>
      </c>
      <c r="C2693" s="23"/>
      <c r="D2693" s="24"/>
      <c r="E2693" s="25"/>
      <c r="F2693" s="26"/>
      <c r="G2693" s="27">
        <f>SUM(G2694:G2696)</f>
        <v>26199.229241250006</v>
      </c>
      <c r="H2693" s="44">
        <f>G2693*E2678</f>
        <v>0</v>
      </c>
    </row>
    <row r="2694" spans="1:10" ht="12.75" customHeight="1">
      <c r="A2694" s="28"/>
      <c r="B2694" s="29" t="s">
        <v>3710</v>
      </c>
      <c r="C2694" s="30" t="str">
        <f>IFERROR(_xlfn.XLOOKUP(B2694,MObra[DESCRIPCION],MObra[UN],,0),"")</f>
        <v>día</v>
      </c>
      <c r="D2694" s="31">
        <v>1</v>
      </c>
      <c r="E2694" s="32">
        <f>IFERROR(_xlfn.XLOOKUP($B2694,MObra[DESCRIPCION],MObra[VALOR UNIT],,0),"")</f>
        <v>314390.75089500006</v>
      </c>
      <c r="F2694" s="33">
        <v>-12</v>
      </c>
      <c r="G2694" s="34">
        <f>IFERROR(IF(F2694&gt;=0,D2694*E2694*(1+F2694/100),ABS(D2694*E2694/F2694)),"")</f>
        <v>26199.229241250006</v>
      </c>
      <c r="H2694" s="43">
        <f>IFERROR(G2694*E2678,"")</f>
        <v>0</v>
      </c>
    </row>
    <row r="2695" spans="1:10" ht="12.75" customHeight="1">
      <c r="A2695" s="28"/>
      <c r="B2695" s="29"/>
      <c r="C2695" s="30" t="str">
        <f>IFERROR(_xlfn.XLOOKUP(B2695,MObra[DESCRIPCION],MObra[UN],,0),"")</f>
        <v/>
      </c>
      <c r="D2695" s="31"/>
      <c r="E2695" s="32" t="str">
        <f>IFERROR(_xlfn.XLOOKUP($B2695,MObra[DESCRIPCION],MObra[VALOR UNIT],,0),"")</f>
        <v/>
      </c>
      <c r="F2695" s="33"/>
      <c r="G2695" s="34" t="str">
        <f>IFERROR(IF(F2695&gt;=0,D2695*E2695*(1+F2695/100),ABS(D2695*E2695/F2695)),"")</f>
        <v/>
      </c>
      <c r="H2695" s="43" t="str">
        <f>IFERROR(G2695*E2678,"")</f>
        <v/>
      </c>
    </row>
    <row r="2696" spans="1:10" ht="12.75" customHeight="1" thickBot="1">
      <c r="A2696" s="35"/>
      <c r="B2696" s="36"/>
      <c r="C2696" s="37" t="str">
        <f>IFERROR(_xlfn.XLOOKUP(B2696,MObra[DESCRIPCION],MObra[UN],,0),"")</f>
        <v/>
      </c>
      <c r="D2696" s="38"/>
      <c r="E2696" s="39" t="str">
        <f>IFERROR(_xlfn.XLOOKUP($B2696,MObra[DESCRIPCION],MObra[VALOR UNIT],,0),"")</f>
        <v/>
      </c>
      <c r="F2696" s="40"/>
      <c r="G2696" s="41" t="str">
        <f>IFERROR(IF(F2696&gt;=0,D2696*E2696*(1+F2696/100),ABS(D2696*E2696/F2696)),"")</f>
        <v/>
      </c>
      <c r="H2696" s="42" t="str">
        <f>IFERROR(G2696*E2678,"")</f>
        <v/>
      </c>
    </row>
    <row r="2697" spans="1:10" ht="12.75" customHeight="1" thickTop="1" thickBot="1"/>
    <row r="2698" spans="1:10" ht="12.75" customHeight="1" thickTop="1" thickBot="1">
      <c r="A2698" s="6" t="s">
        <v>1364</v>
      </c>
      <c r="B2698" s="7" t="str">
        <f>VLOOKUP($A2698,Presupuesto!$A:$D,2,FALSE())</f>
        <v>Zócalo gravilla lavada + dilatación vidrio</v>
      </c>
      <c r="C2698" s="8" t="str">
        <f>VLOOKUP($A2698,Presupuesto!$A:$D,3,FALSE())</f>
        <v>M2</v>
      </c>
      <c r="D2698" s="9"/>
      <c r="E2698" s="10">
        <f>VLOOKUP($A2698,Presupuesto!$A:$D,4,FALSE())</f>
        <v>0</v>
      </c>
      <c r="F2698" s="11" t="s">
        <v>2589</v>
      </c>
      <c r="G2698" s="12">
        <f>SUM(G2700:G2716)/2</f>
        <v>109668.95634397501</v>
      </c>
      <c r="H2698" s="13">
        <f>ROUND(SUM(H2700:H2716),0)/2</f>
        <v>0</v>
      </c>
      <c r="I2698" s="10">
        <f>VLOOKUP(A2698,Presupuesto!$A:$F,6,0)</f>
        <v>0</v>
      </c>
      <c r="J2698" s="10">
        <f>+H2698-I2698</f>
        <v>0</v>
      </c>
    </row>
    <row r="2699" spans="1:10" ht="12.75" customHeight="1" thickTop="1">
      <c r="A2699" s="14"/>
      <c r="B2699" s="15" t="s">
        <v>2586</v>
      </c>
      <c r="C2699" s="15" t="s">
        <v>5</v>
      </c>
      <c r="D2699" s="16" t="s">
        <v>6</v>
      </c>
      <c r="E2699" s="17" t="s">
        <v>7</v>
      </c>
      <c r="F2699" s="18" t="s">
        <v>3728</v>
      </c>
      <c r="G2699" s="19" t="s">
        <v>3729</v>
      </c>
      <c r="H2699" s="20" t="s">
        <v>3797</v>
      </c>
    </row>
    <row r="2700" spans="1:10" ht="12.75" customHeight="1">
      <c r="A2700" s="21"/>
      <c r="B2700" s="22" t="s">
        <v>3730</v>
      </c>
      <c r="C2700" s="23"/>
      <c r="D2700" s="24"/>
      <c r="E2700" s="25"/>
      <c r="F2700" s="26"/>
      <c r="G2700" s="27">
        <f>SUM(G2701:G2705)</f>
        <v>76657.927500000005</v>
      </c>
      <c r="H2700" s="27">
        <f>IFERROR(G2700*E2698,"")</f>
        <v>0</v>
      </c>
    </row>
    <row r="2701" spans="1:10" ht="12.75" customHeight="1">
      <c r="A2701" s="28"/>
      <c r="B2701" s="29" t="s">
        <v>2984</v>
      </c>
      <c r="C2701" s="30" t="str">
        <f>IFERROR(_xlfn.XLOOKUP(B2701,Insumo[DESCRIPCION],Insumo[UND],,0),"")</f>
        <v>Un</v>
      </c>
      <c r="D2701" s="31">
        <v>0.25</v>
      </c>
      <c r="E2701" s="32">
        <f>IFERROR(_xlfn.XLOOKUP($B2701,Insumo[DESCRIPCION],Insumo[VALOR],,0),"")</f>
        <v>3515.4</v>
      </c>
      <c r="F2701" s="33"/>
      <c r="G2701" s="34">
        <f>IFERROR(IF(F2701&gt;=0,D2701*E2701*(1+F2701/100),ABS(D2701*E2701/F2701)),"")</f>
        <v>878.85</v>
      </c>
      <c r="H2701" s="43">
        <f>IFERROR(G2701*E2698,"")</f>
        <v>0</v>
      </c>
    </row>
    <row r="2702" spans="1:10" ht="12.75" customHeight="1">
      <c r="A2702" s="28"/>
      <c r="B2702" s="29" t="s">
        <v>2824</v>
      </c>
      <c r="C2702" s="30" t="str">
        <f>IFERROR(_xlfn.XLOOKUP(B2702,Insumo[DESCRIPCION],Insumo[UND],,0),"")</f>
        <v>Un</v>
      </c>
      <c r="D2702" s="31">
        <v>2</v>
      </c>
      <c r="E2702" s="32">
        <f>IFERROR(_xlfn.XLOOKUP($B2702,Insumo[DESCRIPCION],Insumo[VALOR],,0),"")</f>
        <v>34230</v>
      </c>
      <c r="F2702" s="33"/>
      <c r="G2702" s="34">
        <f>IFERROR(IF(F2702&gt;=0,D2702*E2702*(1+F2702/100),ABS(D2702*E2702/F2702)),"")</f>
        <v>68460</v>
      </c>
      <c r="H2702" s="43">
        <f>IFERROR(G2702*E2698,"")</f>
        <v>0</v>
      </c>
    </row>
    <row r="2703" spans="1:10" ht="12.75" customHeight="1">
      <c r="A2703" s="28"/>
      <c r="B2703" s="29" t="s">
        <v>2922</v>
      </c>
      <c r="C2703" s="30" t="str">
        <f>IFERROR(_xlfn.XLOOKUP(B2703,Insumo[DESCRIPCION],Insumo[UND],,0),"")</f>
        <v>M</v>
      </c>
      <c r="D2703" s="31">
        <v>0.7</v>
      </c>
      <c r="E2703" s="32">
        <f>IFERROR(_xlfn.XLOOKUP($B2703,Insumo[DESCRIPCION],Insumo[VALOR],,0),"")</f>
        <v>3862.9500000000003</v>
      </c>
      <c r="F2703" s="33"/>
      <c r="G2703" s="34">
        <f>IFERROR(IF(F2703&gt;=0,D2703*E2703*(1+F2703/100),ABS(D2703*E2703/F2703)),"")</f>
        <v>2704.0650000000001</v>
      </c>
      <c r="H2703" s="43">
        <f>IFERROR(G2703*E2698,"")</f>
        <v>0</v>
      </c>
    </row>
    <row r="2704" spans="1:10" ht="12.75" customHeight="1">
      <c r="A2704" s="28"/>
      <c r="B2704" s="29" t="s">
        <v>2997</v>
      </c>
      <c r="C2704" s="30" t="str">
        <f>IFERROR(_xlfn.XLOOKUP(B2704,Insumo[DESCRIPCION],Insumo[UND],,0),"")</f>
        <v>Kg</v>
      </c>
      <c r="D2704" s="31">
        <v>0.25</v>
      </c>
      <c r="E2704" s="32">
        <f>IFERROR(_xlfn.XLOOKUP($B2704,Insumo[DESCRIPCION],Insumo[VALOR],,0),"")</f>
        <v>11366.25</v>
      </c>
      <c r="F2704" s="33"/>
      <c r="G2704" s="34">
        <f>IFERROR(IF(F2704&gt;=0,D2704*E2704*(1+F2704/100),ABS(D2704*E2704/F2704)),"")</f>
        <v>2841.5625</v>
      </c>
      <c r="H2704" s="43">
        <f>IFERROR(G2704*E2698,"")</f>
        <v>0</v>
      </c>
    </row>
    <row r="2705" spans="1:8" ht="12.75" customHeight="1">
      <c r="A2705" s="28"/>
      <c r="B2705" s="29" t="s">
        <v>2921</v>
      </c>
      <c r="C2705" s="30" t="str">
        <f>IFERROR(_xlfn.XLOOKUP(B2705,Insumo[DESCRIPCION],Insumo[UND],,0),"")</f>
        <v>M</v>
      </c>
      <c r="D2705" s="31">
        <v>1</v>
      </c>
      <c r="E2705" s="32">
        <f>IFERROR(_xlfn.XLOOKUP($B2705,Insumo[DESCRIPCION],Insumo[VALOR],,0),"")</f>
        <v>1773.45</v>
      </c>
      <c r="F2705" s="33"/>
      <c r="G2705" s="34">
        <f>IFERROR(IF(F2705&gt;=0,D2705*E2705*(1+F2705/100),ABS(D2705*E2705/F2705)),"")</f>
        <v>1773.45</v>
      </c>
      <c r="H2705" s="43">
        <f>IFERROR(G2705*E2698,"")</f>
        <v>0</v>
      </c>
    </row>
    <row r="2706" spans="1:8" ht="12.75" customHeight="1">
      <c r="A2706" s="21"/>
      <c r="B2706" s="22" t="s">
        <v>3731</v>
      </c>
      <c r="C2706" s="23"/>
      <c r="D2706" s="24"/>
      <c r="E2706" s="25"/>
      <c r="F2706" s="26"/>
      <c r="G2706" s="27">
        <f>SUM(G2707:G2709)</f>
        <v>1571.9537544750003</v>
      </c>
      <c r="H2706" s="44">
        <f>G2706*E2698</f>
        <v>0</v>
      </c>
    </row>
    <row r="2707" spans="1:8" ht="12.75" customHeight="1">
      <c r="A2707" s="28"/>
      <c r="B2707" s="29" t="s">
        <v>3626</v>
      </c>
      <c r="C2707" s="30" t="str">
        <f>IFERROR(_xlfn.XLOOKUP(B2707,Equipo[DESCRIPCION],Equipo[UND],,0),"")</f>
        <v>%MO</v>
      </c>
      <c r="D2707" s="31">
        <v>0.05</v>
      </c>
      <c r="E2707" s="32">
        <f>IF(C2707="%MO",G2713,IFERROR(_xlfn.XLOOKUP($B2707,Equipo[DESCRIPCION],Equipo[VALOR],,0),""))</f>
        <v>31439.075089500006</v>
      </c>
      <c r="F2707" s="33"/>
      <c r="G2707" s="34">
        <f>IFERROR(IF(F2707&gt;=0,D2707*E2707*(1+F2707/100),ABS(D2707*E2707/F2707)),"")</f>
        <v>1571.9537544750003</v>
      </c>
      <c r="H2707" s="43">
        <f>IFERROR(G2707*E2698,"")</f>
        <v>0</v>
      </c>
    </row>
    <row r="2708" spans="1:8" ht="12.75" customHeight="1">
      <c r="A2708" s="28"/>
      <c r="B2708" s="29"/>
      <c r="C2708" s="30" t="str">
        <f>IFERROR(_xlfn.XLOOKUP(B2708,Equipo[DESCRIPCION],Equipo[UND],,0),"")</f>
        <v/>
      </c>
      <c r="D2708" s="31"/>
      <c r="E2708" s="32" t="str">
        <f>IF(C2708="%MO",G2713,IFERROR(_xlfn.XLOOKUP($B2708,Equipo[DESCRIPCION],Equipo[VALOR],,0),""))</f>
        <v/>
      </c>
      <c r="F2708" s="33"/>
      <c r="G2708" s="34" t="str">
        <f>IFERROR(IF(F2708&gt;=0,D2708*E2708*(1+F2708/100),ABS(D2708*E2708/F2708)),"")</f>
        <v/>
      </c>
      <c r="H2708" s="43" t="str">
        <f>IFERROR(G2708*E2698,"")</f>
        <v/>
      </c>
    </row>
    <row r="2709" spans="1:8" ht="12.75" customHeight="1">
      <c r="A2709" s="28"/>
      <c r="B2709" s="29"/>
      <c r="C2709" s="30" t="str">
        <f>IFERROR(_xlfn.XLOOKUP(B2709,Equipo[DESCRIPCION],Equipo[UND],,0),"")</f>
        <v/>
      </c>
      <c r="D2709" s="31"/>
      <c r="E2709" s="32" t="str">
        <f>IF(C2709="%MO",G2713,IFERROR(_xlfn.XLOOKUP($B2709,Equipo[DESCRIPCION],Equipo[VALOR],,0),""))</f>
        <v/>
      </c>
      <c r="F2709" s="33"/>
      <c r="G2709" s="34" t="str">
        <f>IFERROR(IF(F2709&gt;=0,D2709*E2709*(1+F2709/100),ABS(D2709*E2709/F2709)),"")</f>
        <v/>
      </c>
      <c r="H2709" s="43" t="str">
        <f>IFERROR(G2709*E2698,"")</f>
        <v/>
      </c>
    </row>
    <row r="2710" spans="1:8" ht="12.75" customHeight="1">
      <c r="A2710" s="21"/>
      <c r="B2710" s="22" t="s">
        <v>2533</v>
      </c>
      <c r="C2710" s="23"/>
      <c r="D2710" s="24"/>
      <c r="E2710" s="25"/>
      <c r="F2710" s="26"/>
      <c r="G2710" s="27">
        <f>SUM(G2711:G2712)</f>
        <v>0</v>
      </c>
      <c r="H2710" s="44">
        <f>G2710*E2698</f>
        <v>0</v>
      </c>
    </row>
    <row r="2711" spans="1:8" ht="12.75" customHeight="1">
      <c r="A2711" s="28"/>
      <c r="B2711" s="29"/>
      <c r="C2711" s="30" t="str">
        <f>IFERROR(_xlfn.XLOOKUP(B2711,Transporte[DESCRIPCION],Transporte[UND],,0),"")</f>
        <v/>
      </c>
      <c r="D2711" s="31"/>
      <c r="E2711" s="32" t="str">
        <f>IFERROR(_xlfn.XLOOKUP($B2711,Transporte[DESCRIPCION],Transporte[VALOR],,0),"")</f>
        <v/>
      </c>
      <c r="F2711" s="33"/>
      <c r="G2711" s="34" t="str">
        <f>IFERROR(IF(F2711&gt;=0,D2711*E2711*(1+F2711/100),ABS(D2711*E2711/F2711)),"")</f>
        <v/>
      </c>
      <c r="H2711" s="43" t="str">
        <f>IFERROR(G2711*E2698,"")</f>
        <v/>
      </c>
    </row>
    <row r="2712" spans="1:8" ht="12.75" customHeight="1">
      <c r="A2712" s="28"/>
      <c r="B2712" s="29"/>
      <c r="C2712" s="30" t="str">
        <f>IFERROR(_xlfn.XLOOKUP(B2712,Transporte[DESCRIPCION],Transporte[UND],,0),"")</f>
        <v/>
      </c>
      <c r="D2712" s="31"/>
      <c r="E2712" s="32" t="str">
        <f>IFERROR(_xlfn.XLOOKUP($B2712,Transporte[DESCRIPCION],Transporte[VALOR],,0),"")</f>
        <v/>
      </c>
      <c r="F2712" s="33"/>
      <c r="G2712" s="34" t="str">
        <f>IFERROR(IF(F2712&gt;=0,D2712*E2712*(1+F2712/100),ABS(D2712*E2712/F2712)),"")</f>
        <v/>
      </c>
      <c r="H2712" s="43" t="str">
        <f>IFERROR(G2712*E2698,"")</f>
        <v/>
      </c>
    </row>
    <row r="2713" spans="1:8" ht="12.75" customHeight="1">
      <c r="A2713" s="21"/>
      <c r="B2713" s="22" t="s">
        <v>3732</v>
      </c>
      <c r="C2713" s="23"/>
      <c r="D2713" s="24"/>
      <c r="E2713" s="25"/>
      <c r="F2713" s="26"/>
      <c r="G2713" s="27">
        <f>SUM(G2714:G2716)</f>
        <v>31439.075089500006</v>
      </c>
      <c r="H2713" s="44">
        <f>G2713*E2698</f>
        <v>0</v>
      </c>
    </row>
    <row r="2714" spans="1:8" ht="12.75" customHeight="1">
      <c r="A2714" s="28"/>
      <c r="B2714" s="29" t="s">
        <v>3710</v>
      </c>
      <c r="C2714" s="30" t="str">
        <f>IFERROR(_xlfn.XLOOKUP(B2714,MObra[DESCRIPCION],MObra[UN],,0),"")</f>
        <v>día</v>
      </c>
      <c r="D2714" s="31">
        <v>1</v>
      </c>
      <c r="E2714" s="32">
        <f>IFERROR(_xlfn.XLOOKUP($B2714,MObra[DESCRIPCION],MObra[VALOR UNIT],,0),"")</f>
        <v>314390.75089500006</v>
      </c>
      <c r="F2714" s="33">
        <v>-10</v>
      </c>
      <c r="G2714" s="34">
        <f>IFERROR(IF(F2714&gt;=0,D2714*E2714*(1+F2714/100),ABS(D2714*E2714/F2714)),"")</f>
        <v>31439.075089500006</v>
      </c>
      <c r="H2714" s="43">
        <f>IFERROR(G2714*E2698,"")</f>
        <v>0</v>
      </c>
    </row>
    <row r="2715" spans="1:8" ht="12.75" customHeight="1">
      <c r="A2715" s="28"/>
      <c r="B2715" s="29"/>
      <c r="C2715" s="30" t="str">
        <f>IFERROR(_xlfn.XLOOKUP(B2715,MObra[DESCRIPCION],MObra[UN],,0),"")</f>
        <v/>
      </c>
      <c r="D2715" s="31"/>
      <c r="E2715" s="32" t="str">
        <f>IFERROR(_xlfn.XLOOKUP($B2715,MObra[DESCRIPCION],MObra[VALOR UNIT],,0),"")</f>
        <v/>
      </c>
      <c r="F2715" s="33"/>
      <c r="G2715" s="34" t="str">
        <f>IFERROR(IF(F2715&gt;=0,D2715*E2715*(1+F2715/100),ABS(D2715*E2715/F2715)),"")</f>
        <v/>
      </c>
      <c r="H2715" s="43" t="str">
        <f>IFERROR(G2715*E2698,"")</f>
        <v/>
      </c>
    </row>
    <row r="2716" spans="1:8" ht="12.75" customHeight="1" thickBot="1">
      <c r="A2716" s="35"/>
      <c r="B2716" s="36"/>
      <c r="C2716" s="37" t="str">
        <f>IFERROR(_xlfn.XLOOKUP(B2716,MObra[DESCRIPCION],MObra[UN],,0),"")</f>
        <v/>
      </c>
      <c r="D2716" s="38"/>
      <c r="E2716" s="39" t="str">
        <f>IFERROR(_xlfn.XLOOKUP($B2716,MObra[DESCRIPCION],MObra[VALOR UNIT],,0),"")</f>
        <v/>
      </c>
      <c r="F2716" s="40"/>
      <c r="G2716" s="41" t="str">
        <f>IFERROR(IF(F2716&gt;=0,D2716*E2716*(1+F2716/100),ABS(D2716*E2716/F2716)),"")</f>
        <v/>
      </c>
      <c r="H2716" s="42" t="str">
        <f>IFERROR(G2716*E2698,"")</f>
        <v/>
      </c>
    </row>
    <row r="2717" spans="1:8" ht="12.75" customHeight="1" thickTop="1"/>
  </sheetData>
  <mergeCells count="3">
    <mergeCell ref="B1:G1"/>
    <mergeCell ref="B2:G2"/>
    <mergeCell ref="B3:G3"/>
  </mergeCells>
  <dataValidations count="1">
    <dataValidation type="list" allowBlank="1" showInputMessage="1" showErrorMessage="1" sqref="B7:B11 B27:B31 B47:B51 B67:B71 B87:B91 B107:B111 B127:B131 B147:B151 B167:B171 B187:B191 B207:B211 B227:B231 B247:B251 B267:B271 B287:B291 B307:B311 B327:B331 B347:B351 B363 B367:B371 B387:B391 B407:B411 B427:B431 B443 B447:B451 B467:B474 B490:B494 B510:B517 B533:B540 B556:B560 B572 B576:B580 B596:B603 B619:B626 B882:B886 B662:B666 B678 B682:B686 B702:B706 B722:B726 B742:B746 B762:B766 B782:B786 B802:B806 B822:B826 B838 B842:B846 B862:B866 B642:B646 B902:B906 B922:B926 B942:B946 B962:B966 B982:B986 B1002:B1006 B1022:B1026 B1042:B1046 B1062:B1071 B1112:B1121 B1137:B1141 B1157:B1161 B1177:B1182 B1198:B1202 B1218:B1222 B1238:B1242 B1258:B1262 B1278:B1282 B1298:B1302 B1318:B1322 B1338:B1342 B1358:B1362 B1378:B1382 B1398:B1402 B1418:B1422 B1438:B1442 B1458:B1462 B1478:B1482 B1498:B1502 B1518:B1522 B1538:B1542 B1558:B1562 B1578:B1582 B1598:B1602 B1618:B1622 B1638:B1642 B1658:B1662 B1678:B1682 B1698:B1702 B1718:B1722 B1738:B1742 B1758:B1762 B1778:B1782 B1087:B1096 B1798:B1802 B1818:B1822 B1838:B1842 B1858:B1862 B1878:B1882 B1898:B1902 B1918:B1922 B1938:B1942 B1958:B1962 B1978:B1982 B1998:B2002 B2018:B2022 B2034 B2038:B2044 B2060:B2064 B2080:B2084 B2100:B2104 B2116 B2120:B2124 B2140:B2144 B2160:B2164 B2180:B2184 B2200:B2204 B2220:B2224 B2240:B2244 B2256 B2260:B2264 B2280:B2284 B2300:B2304 B2320:B2324 B2340:B2344 B2356 B2360:B2364 B2380:B2384 B2400:B2405 B2421:B2425 B2441:B2445 B2461:B2465 B2481:B2485 B2501:B2505 B2521:B2525 B2541:B2545 B2561:B2565 B2581:B2585 B2601:B2605 B2621:B2625 B2641:B2645 B2661:B2665 B2681:B2685 B2701:B2705" xr:uid="{00000000-0002-0000-0F00-000000000000}">
      <formula1>Desinsum</formula1>
      <formula2>0</formula2>
    </dataValidation>
  </dataValidations>
  <printOptions horizontalCentered="1"/>
  <pageMargins left="0.59055118110236227" right="0.59055118110236227" top="0.59055118110236227" bottom="0.59055118110236227" header="0.51181102362204722" footer="0.51181102362204722"/>
  <pageSetup scale="65" orientation="portrait" horizontalDpi="300" verticalDpi="300" r:id="rId1"/>
  <rowBreaks count="34" manualBreakCount="34">
    <brk id="82" max="6" man="1"/>
    <brk id="162" max="6" man="1"/>
    <brk id="242" max="6" man="1"/>
    <brk id="322" max="6" man="1"/>
    <brk id="402" max="6" man="1"/>
    <brk id="485" max="6" man="1"/>
    <brk id="551" max="6" man="1"/>
    <brk id="614" max="6" man="1"/>
    <brk id="697" max="6" man="1"/>
    <brk id="777" max="6" man="1"/>
    <brk id="857" max="6" man="1"/>
    <brk id="937" max="6" man="1"/>
    <brk id="1017" max="6" man="1"/>
    <brk id="1082" max="6" man="1"/>
    <brk id="1152" max="6" man="1"/>
    <brk id="1213" max="6" man="1"/>
    <brk id="1293" max="6" man="1"/>
    <brk id="1373" max="6" man="1"/>
    <brk id="1453" max="6" man="1"/>
    <brk id="1533" max="6" man="1"/>
    <brk id="1613" max="6" man="1"/>
    <brk id="1693" max="6" man="1"/>
    <brk id="1773" max="6" man="1"/>
    <brk id="1853" max="6" man="1"/>
    <brk id="1933" max="6" man="1"/>
    <brk id="2013" max="6" man="1"/>
    <brk id="2095" max="6" man="1"/>
    <brk id="2175" max="6" man="1"/>
    <brk id="2255" max="6" man="1"/>
    <brk id="2335" max="6" man="1"/>
    <brk id="2416" max="6" man="1"/>
    <brk id="2496" max="6" man="1"/>
    <brk id="2576" max="6" man="1"/>
    <brk id="2656" max="6" man="1"/>
  </rowBreaks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F00-000001000000}">
          <x14:formula1>
            <xm:f>'Mano de obra'!$B$31:$B$58</xm:f>
          </x14:formula1>
          <x14:formula2>
            <xm:f>0</xm:f>
          </x14:formula2>
          <xm:sqref>B20:B22 B40:B42 B60:B62 B80:B82 B100:B102 B120:B122 B140:B142 B160:B162 B180:B182 B200:B202 B220:B222 B240:B242 B260:B262 B280:B282 B300:B302 B320:B322 B340:B342 B360:B362 B380:B382 B400:B402 B420:B422 B440:B442 B460:B462 B483:B485 B503:B505 B526:B528 B549:B551 B569:B571 B589:B591 B612:B614 B635:B637 B655:B657 B675:B677 B695:B697 B715:B717 B735:B737 B755:B757 B775:B777 B795:B797 B815:B817 B835:B837 B855:B857 B875:B877 B895:B897 B915:B917 B935:B937 B955:B957 B975:B977 B995:B997 B1015:B1017 B1035:B1037 B1055:B1057 B1080:B1082 B1130:B1133 B1150:B1152 B1170:B1172 B1191:B1193 B1211:B1213 B1231:B1233 B1251:B1253 B1271:B1273 B1291:B1293 B1311:B1313 B1331:B1333 B1351:B1353 B1371:B1373 B1391:B1393 B1411:B1413 B1431:B1433 B1451:B1453 B1471:B1473 B1491:B1493 B1511:B1513 B1531:B1533 B1551:B1553 B1571:B1573 B1591:B1593 B1611:B1613 B1631:B1633 B1651:B1653 B1671:B1673 B1691:B1693 B1711:B1713 B1731:B1733 B1751:B1753 B1771:B1773 B1791:B1793 B1105:B1107 B1811:B1813 B1831:B1833 B1851:B1853 B1871:B1873 B1891:B1893 B1911:B1913 B1931:B1933 B1951:B1953 B1971:B1973 B1991:B1993 B2011:B2013 B2031:B2033 B2053:B2055 B2073:B2075 B2093:B2095 B2113:B2115 B2133:B2135 B2153:B2155 B2173:B2175 B2193:B2195 B2213:B2215 B2233:B2235 B2253:B2255 B2273:B2275 B2293:B2295 B2313:B2315 B2333:B2335 B2353:B2355 B2373:B2375 B2393:B2395 B2414:B2416 B2434:B2436 B2454:B2456 B2474:B2476 B2494:B2496 B2514:B2516 B2534:B2536 B2554:B2556 B2574:B2576 B2594:B2596 B2614:B2616 B2634:B2636 B2654:B2656 B2674:B2676 B2694:B2696 B2714:B2716</xm:sqref>
        </x14:dataValidation>
        <x14:dataValidation type="list" allowBlank="1" showInputMessage="1" showErrorMessage="1" xr:uid="{00000000-0002-0000-0F00-000002000000}">
          <x14:formula1>
            <xm:f>Transporte!$A$4:$A$9</xm:f>
          </x14:formula1>
          <x14:formula2>
            <xm:f>0</xm:f>
          </x14:formula2>
          <xm:sqref>B17:B18 B37:B38 B57:B58 B77:B78 B97:B98 B117:B118 B137:B138 B157:B158 B177:B178 B197:B198 B217:B218 B237:B238 B257:B258 B277:B278 B297:B298 B317:B318 B337:B338 B357:B358 B377:B378 B397:B398 B417:B418 B437:B438 B457:B458 B480:B481 B500:B501 B523:B524 B546:B547 B566:B567 B586:B587 B609:B610 B632:B633 B652:B653 B672:B673 B692:B693 B712:B713 B732:B733 B752:B753 B772:B773 B792:B793 B812:B813 B832:B833 B852:B853 B872:B873 B892:B893 B912:B913 B932:B933 B952:B953 B972:B973 B992:B993 B1012:B1013 B1032:B1033 B1052:B1053 B1077:B1078 B1127:B1128 B1147:B1148 B1167:B1168 B1188:B1189 B1208:B1209 B1228:B1229 B1248:B1249 B1268:B1269 B1288:B1289 B1308:B1309 B1328:B1329 B1348:B1349 B1368:B1369 B1388:B1389 B1408:B1409 B1428:B1429 B1448:B1449 B1468:B1469 B1488:B1489 B1508:B1509 B1528:B1529 B1548:B1549 B1568:B1569 B1588:B1589 B1608:B1609 B1628:B1629 B1648:B1649 B1668:B1669 B1688:B1689 B1708:B1709 B1728:B1729 B1748:B1749 B1768:B1769 B1788:B1789 B1102:B1103 B1808:B1809 B1828:B1829 B1848:B1849 B1868:B1869 B1888:B1889 B1908:B1909 B1928:B1929 B1948:B1949 B1968:B1969 B1988:B1989 B2008:B2009 B2028:B2029 B2050:B2051 B2070:B2071 B2090:B2091 B2110:B2111 B2130:B2131 B2150:B2151 B2170:B2171 B2190:B2191 B2210:B2211 B2230:B2231 B2250:B2251 B2270:B2271 B2290:B2291 B2310:B2311 B2330:B2331 B2350:B2351 B2370:B2371 B2390:B2391 B2411:B2412 B2431:B2432 B2451:B2452 B2471:B2472 B2491:B2492 B2511:B2512 B2531:B2532 B2551:B2552 B2571:B2572 B2591:B2592 B2611:B2612 B2631:B2632 B2651:B2652 B2671:B2672 B2691:B2692 B2711:B2712</xm:sqref>
        </x14:dataValidation>
        <x14:dataValidation type="list" allowBlank="1" showInputMessage="1" showErrorMessage="1" xr:uid="{00000000-0002-0000-0F00-000003000000}">
          <x14:formula1>
            <xm:f>Equipo!$A$4:$A$90</xm:f>
          </x14:formula1>
          <x14:formula2>
            <xm:f>0</xm:f>
          </x14:formula2>
          <xm:sqref>B13:B15 B213:B215 B193:B195 B173:B175 B153:B155 B133:B135 B113:B115 B93:B95 B73:B75 B53:B55 B33:B35 B233:B235 B888:B890 B868:B870 B848:B850 B828:B830 B808:B810 B788:B790 B768:B770 B748:B750 B728:B730 B708:B710 B688:B690 B668:B670 B648:B650 B628:B630 B605:B607 B582:B584 B562:B564 B542:B544 B519:B521 B496:B498 B476:B478 B453:B455 B433:B435 B413:B415 B393:B395 B373:B375 B353:B355 B333:B335 B313:B315 B293:B295 B273:B275 B253:B255 B1784:B1786 B1764:B1766 B1744:B1746 B1724:B1726 B1704:B1706 B1684:B1686 B1664:B1666 B1644:B1646 B1624:B1626 B1604:B1606 B1584:B1586 B1564:B1566 B1544:B1546 B1524:B1526 B1504:B1506 B1484:B1486 B1464:B1466 B1444:B1446 B1424:B1426 B1404:B1406 B1384:B1386 B1364:B1366 B1344:B1346 B1324:B1326 B1304:B1306 B1284:B1286 B1264:B1266 B1244:B1246 B1224:B1226 B1204:B1206 B1184:B1186 B1163:B1165 B1143:B1145 B1123:B1125 B1073:B1075 B1048:B1050 B1028:B1030 B1008:B1010 B988:B990 B968:B970 B948:B950 B928:B930 B908:B910 B1098:B1100 B1804:B1806 B1884:B1886 B1864:B1866 B1844:B1846 B1824:B1826 B1904:B1906 B2707:B2709 B2687:B2689 B2667:B2669 B2647:B2649 B2627:B2629 B2607:B2609 B2587:B2589 B2567:B2569 B2547:B2549 B2527:B2529 B2507:B2509 B2487:B2489 B2467:B2469 B2447:B2449 B2427:B2429 B2407:B2409 B2386:B2388 B2366:B2368 B2346:B2348 B2326:B2328 B2306:B2308 B2286:B2288 B2266:B2268 B2246:B2248 B2226:B2228 B2206:B2208 B2186:B2188 B2166:B2168 B2146:B2148 B2126:B2128 B2106:B2108 B2086:B2088 B2066:B2068 B2046:B2048 B2024:B2026 B2004:B2006 B1984:B1986 B1964:B1966 B1944:B1946 B1924:B1926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rgb="FF92D050"/>
  </sheetPr>
  <dimension ref="A1:K1847"/>
  <sheetViews>
    <sheetView view="pageBreakPreview" topLeftCell="A1382" zoomScale="90" zoomScaleNormal="90" zoomScaleSheetLayoutView="90" zoomScalePageLayoutView="80" workbookViewId="0">
      <selection activeCell="B1751" sqref="B1751:B1753"/>
    </sheetView>
  </sheetViews>
  <sheetFormatPr baseColWidth="10" defaultColWidth="10.73046875" defaultRowHeight="12.75" customHeight="1"/>
  <cols>
    <col min="1" max="1" width="8.73046875" style="48" customWidth="1"/>
    <col min="2" max="2" width="65.73046875" style="3" customWidth="1"/>
    <col min="3" max="3" width="10.73046875" style="3" customWidth="1"/>
    <col min="4" max="4" width="11.73046875" style="3" customWidth="1"/>
    <col min="5" max="5" width="13.73046875" style="49" customWidth="1"/>
    <col min="6" max="6" width="12.73046875" style="3" customWidth="1"/>
    <col min="7" max="10" width="14.73046875" style="3" customWidth="1"/>
    <col min="11" max="11" width="10.73046875" style="3" customWidth="1"/>
    <col min="12" max="16384" width="10.73046875" style="3"/>
  </cols>
  <sheetData>
    <row r="1" spans="1:11">
      <c r="A1" s="1"/>
      <c r="B1" s="316" t="str">
        <f>Presupuesto!A1</f>
        <v>ALCALDIA DE PEREIRA</v>
      </c>
      <c r="C1" s="316"/>
      <c r="D1" s="316"/>
      <c r="E1" s="316"/>
      <c r="F1" s="316"/>
      <c r="G1" s="316"/>
      <c r="H1" s="2"/>
    </row>
    <row r="2" spans="1:11">
      <c r="A2" s="1"/>
      <c r="B2" s="316" t="str">
        <f>Presupuesto!A2</f>
        <v>VERSION O BASE DE DATOS ALCALDIA DE PEREIRA 2026</v>
      </c>
      <c r="C2" s="316"/>
      <c r="D2" s="316"/>
      <c r="E2" s="316"/>
      <c r="F2" s="316"/>
      <c r="G2" s="316"/>
      <c r="H2" s="2"/>
    </row>
    <row r="3" spans="1:11" ht="14.85" customHeight="1">
      <c r="A3" s="4"/>
      <c r="B3" s="323" t="s">
        <v>3796</v>
      </c>
      <c r="C3" s="323"/>
      <c r="D3" s="323"/>
      <c r="E3" s="323"/>
      <c r="F3" s="323"/>
      <c r="G3" s="323"/>
      <c r="H3" s="5"/>
    </row>
    <row r="4" spans="1:11">
      <c r="A4" s="6" t="s">
        <v>1368</v>
      </c>
      <c r="B4" s="7" t="str">
        <f>VLOOKUP($A4,Presupuesto!$A:$D,2,FALSE())</f>
        <v>Acabado superficie en perlita</v>
      </c>
      <c r="C4" s="8" t="str">
        <f>VLOOKUP($A4,Presupuesto!$A:$D,3,FALSE())</f>
        <v>M2</v>
      </c>
      <c r="D4" s="9"/>
      <c r="E4" s="10">
        <f>VLOOKUP($A4,Presupuesto!$A:$D,4,FALSE())</f>
        <v>0</v>
      </c>
      <c r="F4" s="11" t="s">
        <v>2589</v>
      </c>
      <c r="G4" s="12">
        <f>SUM(G6:G22)/2</f>
        <v>32491.088627437508</v>
      </c>
      <c r="H4" s="13">
        <f>ROUND(SUM(H6:H22),0)/2</f>
        <v>0</v>
      </c>
      <c r="I4" s="10">
        <f>VLOOKUP(A4,Presupuesto!$A:$F,6,0)</f>
        <v>0</v>
      </c>
      <c r="J4" s="10">
        <f>+H4-I4</f>
        <v>0</v>
      </c>
      <c r="K4" s="46">
        <f>+H4-G4*E4</f>
        <v>0</v>
      </c>
    </row>
    <row r="5" spans="1:11">
      <c r="A5" s="14"/>
      <c r="B5" s="15" t="s">
        <v>2586</v>
      </c>
      <c r="C5" s="15" t="s">
        <v>5</v>
      </c>
      <c r="D5" s="16" t="s">
        <v>6</v>
      </c>
      <c r="E5" s="17" t="s">
        <v>7</v>
      </c>
      <c r="F5" s="18" t="s">
        <v>3728</v>
      </c>
      <c r="G5" s="19" t="s">
        <v>3729</v>
      </c>
      <c r="H5" s="20" t="s">
        <v>3797</v>
      </c>
    </row>
    <row r="6" spans="1:11">
      <c r="A6" s="21"/>
      <c r="B6" s="22" t="s">
        <v>3730</v>
      </c>
      <c r="C6" s="23"/>
      <c r="D6" s="24"/>
      <c r="E6" s="25"/>
      <c r="F6" s="26"/>
      <c r="G6" s="27">
        <f>SUM(G7:G11)</f>
        <v>2361.9749999999999</v>
      </c>
      <c r="H6" s="27">
        <f>IFERROR(G6*E4,"")</f>
        <v>0</v>
      </c>
    </row>
    <row r="7" spans="1:11">
      <c r="A7" s="28"/>
      <c r="B7" s="29" t="s">
        <v>3156</v>
      </c>
      <c r="C7" s="30" t="str">
        <f>IFERROR(_xlfn.XLOOKUP(B7,Insumo[DESCRIPCION],Insumo[UND],,0),"")</f>
        <v>Kg</v>
      </c>
      <c r="D7" s="31">
        <v>0.5</v>
      </c>
      <c r="E7" s="32">
        <f>IFERROR(_xlfn.XLOOKUP($B7,Insumo[DESCRIPCION],Insumo[VALOR],,0),"")</f>
        <v>1363.95</v>
      </c>
      <c r="F7" s="33"/>
      <c r="G7" s="34">
        <f>IFERROR(IF(F7&gt;=0,D7*E7*(1+F7/100),ABS(D7*E7/F7)),"")</f>
        <v>681.97500000000002</v>
      </c>
      <c r="H7" s="43">
        <f>IFERROR(G7*E4,"")</f>
        <v>0</v>
      </c>
    </row>
    <row r="8" spans="1:11">
      <c r="A8" s="28"/>
      <c r="B8" s="29" t="s">
        <v>2823</v>
      </c>
      <c r="C8" s="30" t="str">
        <f>IFERROR(_xlfn.XLOOKUP(B8,Insumo[DESCRIPCION],Insumo[UND],,0),"")</f>
        <v>Kg</v>
      </c>
      <c r="D8" s="31">
        <v>1</v>
      </c>
      <c r="E8" s="32">
        <f>IFERROR(_xlfn.XLOOKUP($B8,Insumo[DESCRIPCION],Insumo[VALOR],,0),"")</f>
        <v>1680</v>
      </c>
      <c r="F8" s="33"/>
      <c r="G8" s="34">
        <f>IFERROR(IF(F8&gt;=0,D8*E8*(1+F8/100),ABS(D8*E8/F8)),"")</f>
        <v>1680</v>
      </c>
      <c r="H8" s="43">
        <f>IFERROR(G8*E4,"")</f>
        <v>0</v>
      </c>
    </row>
    <row r="9" spans="1:11">
      <c r="A9" s="28"/>
      <c r="B9" s="29"/>
      <c r="C9" s="30" t="str">
        <f>IFERROR(_xlfn.XLOOKUP(B9,Insumo[DESCRIPCION],Insumo[UND],,0),"")</f>
        <v/>
      </c>
      <c r="D9" s="31"/>
      <c r="E9" s="32" t="str">
        <f>IFERROR(_xlfn.XLOOKUP($B9,Insumo[DESCRIPCION],Insumo[VALOR],,0),"")</f>
        <v/>
      </c>
      <c r="F9" s="33"/>
      <c r="G9" s="34" t="str">
        <f>IFERROR(IF(F9&gt;=0,D9*E9*(1+F9/100),ABS(D9*E9/F9)),"")</f>
        <v/>
      </c>
      <c r="H9" s="43" t="str">
        <f>IFERROR(G9*E4,"")</f>
        <v/>
      </c>
    </row>
    <row r="10" spans="1:11">
      <c r="A10" s="28"/>
      <c r="B10" s="29"/>
      <c r="C10" s="30" t="str">
        <f>IFERROR(_xlfn.XLOOKUP(B10,Insumo[DESCRIPCION],Insumo[UND],,0),"")</f>
        <v/>
      </c>
      <c r="D10" s="31"/>
      <c r="E10" s="32" t="str">
        <f>IFERROR(_xlfn.XLOOKUP($B10,Insumo[DESCRIPCION],Insumo[VALOR],,0),"")</f>
        <v/>
      </c>
      <c r="F10" s="33"/>
      <c r="G10" s="34" t="str">
        <f>IFERROR(IF(F10&gt;=0,D10*E10*(1+F10/100),ABS(D10*E10/F10)),"")</f>
        <v/>
      </c>
      <c r="H10" s="43" t="str">
        <f>IFERROR(G10*E4,"")</f>
        <v/>
      </c>
    </row>
    <row r="11" spans="1:11">
      <c r="A11" s="28"/>
      <c r="B11" s="29"/>
      <c r="C11" s="30" t="str">
        <f>IFERROR(_xlfn.XLOOKUP(B11,Insumo[DESCRIPCION],Insumo[UND],,0),"")</f>
        <v/>
      </c>
      <c r="D11" s="31"/>
      <c r="E11" s="32" t="str">
        <f>IFERROR(_xlfn.XLOOKUP($B11,Insumo[DESCRIPCION],Insumo[VALOR],,0),"")</f>
        <v/>
      </c>
      <c r="F11" s="33"/>
      <c r="G11" s="34" t="str">
        <f>IFERROR(IF(F11&gt;=0,D11*E11*(1+F11/100),ABS(D11*E11/F11)),"")</f>
        <v/>
      </c>
      <c r="H11" s="43" t="str">
        <f>IFERROR(G11*E4,"")</f>
        <v/>
      </c>
    </row>
    <row r="12" spans="1:11">
      <c r="A12" s="21"/>
      <c r="B12" s="22" t="s">
        <v>3731</v>
      </c>
      <c r="C12" s="23"/>
      <c r="D12" s="24"/>
      <c r="E12" s="25"/>
      <c r="F12" s="26"/>
      <c r="G12" s="27">
        <f>SUM(G13:G15)</f>
        <v>3929.8843861875011</v>
      </c>
      <c r="H12" s="44">
        <f>G12*E4</f>
        <v>0</v>
      </c>
    </row>
    <row r="13" spans="1:11">
      <c r="A13" s="28"/>
      <c r="B13" s="29" t="s">
        <v>3573</v>
      </c>
      <c r="C13" s="30" t="str">
        <f>IFERROR(_xlfn.XLOOKUP(B13,Equipo[DESCRIPCION],Equipo[UND],,0),"")</f>
        <v>%MO</v>
      </c>
      <c r="D13" s="31">
        <v>0.1</v>
      </c>
      <c r="E13" s="32">
        <f>IF(C13="%MO",G19,IFERROR(_xlfn.XLOOKUP($B13,Equipo[DESCRIPCION],Equipo[VALOR],,0),""))</f>
        <v>26199.229241250006</v>
      </c>
      <c r="F13" s="33"/>
      <c r="G13" s="34">
        <f>IFERROR(IF(F13&gt;=0,D13*E13*(1+F13/100),ABS(D13*E13/F13)),"")</f>
        <v>2619.9229241250009</v>
      </c>
      <c r="H13" s="43">
        <f>IFERROR(G13*E4,"")</f>
        <v>0</v>
      </c>
    </row>
    <row r="14" spans="1:11">
      <c r="A14" s="28"/>
      <c r="B14" s="29" t="s">
        <v>3626</v>
      </c>
      <c r="C14" s="30" t="str">
        <f>IFERROR(_xlfn.XLOOKUP(B14,Equipo[DESCRIPCION],Equipo[UND],,0),"")</f>
        <v>%MO</v>
      </c>
      <c r="D14" s="31">
        <v>0.05</v>
      </c>
      <c r="E14" s="32">
        <f>IF(C14="%MO",G19,IFERROR(_xlfn.XLOOKUP($B14,Equipo[DESCRIPCION],Equipo[VALOR],,0),""))</f>
        <v>26199.229241250006</v>
      </c>
      <c r="F14" s="33"/>
      <c r="G14" s="34">
        <f>IFERROR(IF(F14&gt;=0,D14*E14*(1+F14/100),ABS(D14*E14/F14)),"")</f>
        <v>1309.9614620625005</v>
      </c>
      <c r="H14" s="43">
        <f>IFERROR(G14*E4,"")</f>
        <v>0</v>
      </c>
    </row>
    <row r="15" spans="1:11">
      <c r="A15" s="28"/>
      <c r="B15" s="29"/>
      <c r="C15" s="30" t="str">
        <f>IFERROR(_xlfn.XLOOKUP(B15,Equipo[DESCRIPCION],Equipo[UND],,0),"")</f>
        <v/>
      </c>
      <c r="D15" s="31"/>
      <c r="E15" s="32" t="str">
        <f>IF(C15="%MO",G19,IFERROR(_xlfn.XLOOKUP($B15,Equipo[DESCRIPCION],Equipo[VALOR],,0),""))</f>
        <v/>
      </c>
      <c r="F15" s="33"/>
      <c r="G15" s="34" t="str">
        <f>IFERROR(IF(F15&gt;=0,D15*E15*(1+F15/100),ABS(D15*E15/F15)),"")</f>
        <v/>
      </c>
      <c r="H15" s="43" t="str">
        <f>IFERROR(G15*E4,"")</f>
        <v/>
      </c>
    </row>
    <row r="16" spans="1:11">
      <c r="A16" s="21"/>
      <c r="B16" s="22" t="s">
        <v>2533</v>
      </c>
      <c r="C16" s="23"/>
      <c r="D16" s="24"/>
      <c r="E16" s="25"/>
      <c r="F16" s="26"/>
      <c r="G16" s="27">
        <f>SUM(G17:G18)</f>
        <v>0</v>
      </c>
      <c r="H16" s="138">
        <f>IFERROR(G16*E4,"")</f>
        <v>0</v>
      </c>
    </row>
    <row r="17" spans="1:11">
      <c r="A17" s="28"/>
      <c r="B17" s="29"/>
      <c r="C17" s="30" t="str">
        <f>IFERROR(_xlfn.XLOOKUP(B17,Transporte[DESCRIPCION],Transporte[UND],,0),"")</f>
        <v/>
      </c>
      <c r="D17" s="31"/>
      <c r="E17" s="32" t="str">
        <f>IFERROR(_xlfn.XLOOKUP($B17,Transporte[DESCRIPCION],Transporte[VALOR],,0),"")</f>
        <v/>
      </c>
      <c r="F17" s="33"/>
      <c r="G17" s="34" t="str">
        <f>IFERROR(IF(F17&gt;=0,D17*E17*(1+F17/100),ABS(D17*E17/F17)),"")</f>
        <v/>
      </c>
      <c r="H17" s="43" t="str">
        <f>IFERROR(G17*E4,"")</f>
        <v/>
      </c>
    </row>
    <row r="18" spans="1:11">
      <c r="A18" s="28"/>
      <c r="B18" s="29"/>
      <c r="C18" s="30" t="str">
        <f>IFERROR(_xlfn.XLOOKUP(B18,Transporte[DESCRIPCION],Transporte[UND],,0),"")</f>
        <v/>
      </c>
      <c r="D18" s="31"/>
      <c r="E18" s="32" t="str">
        <f>IFERROR(_xlfn.XLOOKUP($B18,Transporte[DESCRIPCION],Transporte[VALOR],,0),"")</f>
        <v/>
      </c>
      <c r="F18" s="33"/>
      <c r="G18" s="34" t="str">
        <f>IFERROR(IF(F18&gt;=0,D18*E18*(1+F18/100),ABS(D18*E18/F18)),"")</f>
        <v/>
      </c>
      <c r="H18" s="43" t="str">
        <f>IFERROR(G18*E4,"")</f>
        <v/>
      </c>
    </row>
    <row r="19" spans="1:11">
      <c r="A19" s="21"/>
      <c r="B19" s="22" t="s">
        <v>3732</v>
      </c>
      <c r="C19" s="23"/>
      <c r="D19" s="24"/>
      <c r="E19" s="25"/>
      <c r="F19" s="26"/>
      <c r="G19" s="27">
        <f>SUM(G20:G22)</f>
        <v>26199.229241250006</v>
      </c>
      <c r="H19" s="43">
        <f>IFERROR(G19*E4,"")</f>
        <v>0</v>
      </c>
    </row>
    <row r="20" spans="1:11">
      <c r="A20" s="28"/>
      <c r="B20" s="29" t="s">
        <v>3710</v>
      </c>
      <c r="C20" s="30" t="str">
        <f>IFERROR(_xlfn.XLOOKUP(B20,MObra[DESCRIPCION],MObra[UN],,0),"")</f>
        <v>día</v>
      </c>
      <c r="D20" s="31">
        <v>1</v>
      </c>
      <c r="E20" s="32">
        <f>IFERROR(_xlfn.XLOOKUP($B20,MObra[DESCRIPCION],MObra[VALOR UNIT],,0),"")</f>
        <v>314390.75089500006</v>
      </c>
      <c r="F20" s="33">
        <v>-12</v>
      </c>
      <c r="G20" s="34">
        <f>IFERROR(IF(F20&gt;=0,D20*E20*(1+F20/100),ABS(D20*E20/F20)),"")</f>
        <v>26199.229241250006</v>
      </c>
      <c r="H20" s="43">
        <f>IFERROR(G20*E4,"")</f>
        <v>0</v>
      </c>
    </row>
    <row r="21" spans="1:11">
      <c r="A21" s="28"/>
      <c r="B21" s="29"/>
      <c r="C21" s="30" t="str">
        <f>IFERROR(_xlfn.XLOOKUP(B21,MObra[DESCRIPCION],MObra[UN],,0),"")</f>
        <v/>
      </c>
      <c r="D21" s="31"/>
      <c r="E21" s="32" t="str">
        <f>IFERROR(_xlfn.XLOOKUP($B21,MObra[DESCRIPCION],MObra[VALOR UNIT],,0),"")</f>
        <v/>
      </c>
      <c r="F21" s="33"/>
      <c r="G21" s="34" t="str">
        <f>IFERROR(IF(F21&gt;=0,D21*E21*(1+F21/100),ABS(D21*E21/F21)),"")</f>
        <v/>
      </c>
      <c r="H21" s="43" t="str">
        <f>IFERROR(G21*E4,"")</f>
        <v/>
      </c>
    </row>
    <row r="22" spans="1:11">
      <c r="A22" s="35"/>
      <c r="B22" s="36"/>
      <c r="C22" s="37" t="str">
        <f>IFERROR(_xlfn.XLOOKUP(B22,MObra[DESCRIPCION],MObra[UN],,0),"")</f>
        <v/>
      </c>
      <c r="D22" s="38"/>
      <c r="E22" s="39" t="str">
        <f>IFERROR(_xlfn.XLOOKUP($B22,MObra[DESCRIPCION],MObra[VALOR UNIT],,0),"")</f>
        <v/>
      </c>
      <c r="F22" s="40"/>
      <c r="G22" s="41" t="str">
        <f>IFERROR(IF(F22&gt;=0,D22*E22*(1+F22/100),ABS(D22*E22/F22)),"")</f>
        <v/>
      </c>
      <c r="H22" s="42" t="str">
        <f>IFERROR(G22*E4,"")</f>
        <v/>
      </c>
    </row>
    <row r="24" spans="1:11">
      <c r="A24" s="6" t="s">
        <v>1370</v>
      </c>
      <c r="B24" s="7" t="str">
        <f>VLOOKUP($A24,Presupuesto!$A:$D,2,FALSE())</f>
        <v>Acabado superficie en Sicoplast</v>
      </c>
      <c r="C24" s="8" t="str">
        <f>VLOOKUP($A24,Presupuesto!$A:$D,3,FALSE())</f>
        <v>M2</v>
      </c>
      <c r="D24" s="9"/>
      <c r="E24" s="10">
        <f>VLOOKUP($A24,Presupuesto!$A:$D,4,FALSE())</f>
        <v>0</v>
      </c>
      <c r="F24" s="11" t="s">
        <v>2589</v>
      </c>
      <c r="G24" s="12">
        <f>SUM(G26:G42)/2</f>
        <v>60838.328457204552</v>
      </c>
      <c r="H24" s="13">
        <f>ROUND(SUM(H26:H42),0)/2</f>
        <v>0</v>
      </c>
      <c r="I24" s="10">
        <f>VLOOKUP(A24,Presupuesto!$A:$F,6,0)</f>
        <v>0</v>
      </c>
      <c r="J24" s="10">
        <f>+H24-I24</f>
        <v>0</v>
      </c>
      <c r="K24" s="46">
        <f>+H24-G24*E24</f>
        <v>0</v>
      </c>
    </row>
    <row r="25" spans="1:11">
      <c r="A25" s="14"/>
      <c r="B25" s="15" t="s">
        <v>2586</v>
      </c>
      <c r="C25" s="15" t="s">
        <v>5</v>
      </c>
      <c r="D25" s="16" t="s">
        <v>6</v>
      </c>
      <c r="E25" s="17" t="s">
        <v>7</v>
      </c>
      <c r="F25" s="18" t="s">
        <v>3728</v>
      </c>
      <c r="G25" s="19" t="s">
        <v>3729</v>
      </c>
      <c r="H25" s="20" t="s">
        <v>3797</v>
      </c>
    </row>
    <row r="26" spans="1:11">
      <c r="A26" s="21"/>
      <c r="B26" s="22" t="s">
        <v>3730</v>
      </c>
      <c r="C26" s="23"/>
      <c r="D26" s="24"/>
      <c r="E26" s="25"/>
      <c r="F26" s="26"/>
      <c r="G26" s="27">
        <f>SUM(G27:G31)</f>
        <v>27970.204500000003</v>
      </c>
      <c r="H26" s="27">
        <f>IFERROR(G26*E24,"")</f>
        <v>0</v>
      </c>
    </row>
    <row r="27" spans="1:11">
      <c r="A27" s="28"/>
      <c r="B27" s="29" t="s">
        <v>3298</v>
      </c>
      <c r="C27" s="30" t="str">
        <f>IFERROR(_xlfn.XLOOKUP(B27,Insumo[DESCRIPCION],Insumo[UND],,0),"")</f>
        <v>cuñete</v>
      </c>
      <c r="D27" s="31">
        <v>7.0000000000000007E-2</v>
      </c>
      <c r="E27" s="32">
        <f>IFERROR(_xlfn.XLOOKUP($B27,Insumo[DESCRIPCION],Insumo[VALOR],,0),"")</f>
        <v>167816.25</v>
      </c>
      <c r="F27" s="33"/>
      <c r="G27" s="34">
        <f>IFERROR(IF(F27&gt;=0,D27*E27*(1+F27/100),ABS(D27*E27/F27)),"")</f>
        <v>11747.137500000001</v>
      </c>
      <c r="H27" s="43">
        <f>IFERROR(G27*E24,"")</f>
        <v>0</v>
      </c>
    </row>
    <row r="28" spans="1:11">
      <c r="A28" s="28"/>
      <c r="B28" s="29" t="s">
        <v>2748</v>
      </c>
      <c r="C28" s="30" t="str">
        <f>IFERROR(_xlfn.XLOOKUP(B28,Insumo[DESCRIPCION],Insumo[UND],,0),"")</f>
        <v>cuñete</v>
      </c>
      <c r="D28" s="31">
        <v>7.0000000000000007E-2</v>
      </c>
      <c r="E28" s="32">
        <f>IFERROR(_xlfn.XLOOKUP($B28,Insumo[DESCRIPCION],Insumo[VALOR],,0),"")</f>
        <v>231758.1</v>
      </c>
      <c r="F28" s="33"/>
      <c r="G28" s="34">
        <f>IFERROR(IF(F28&gt;=0,D28*E28*(1+F28/100),ABS(D28*E28/F28)),"")</f>
        <v>16223.067000000003</v>
      </c>
      <c r="H28" s="43">
        <f>IFERROR(G28*E24,"")</f>
        <v>0</v>
      </c>
    </row>
    <row r="29" spans="1:11">
      <c r="A29" s="28"/>
      <c r="B29" s="29"/>
      <c r="C29" s="30" t="str">
        <f>IFERROR(_xlfn.XLOOKUP(B29,Insumo[DESCRIPCION],Insumo[UND],,0),"")</f>
        <v/>
      </c>
      <c r="D29" s="31"/>
      <c r="E29" s="32" t="str">
        <f>IFERROR(_xlfn.XLOOKUP($B29,Insumo[DESCRIPCION],Insumo[VALOR],,0),"")</f>
        <v/>
      </c>
      <c r="F29" s="33"/>
      <c r="G29" s="34" t="str">
        <f>IFERROR(IF(F29&gt;=0,D29*E29*(1+F29/100),ABS(D29*E29/F29)),"")</f>
        <v/>
      </c>
      <c r="H29" s="43" t="str">
        <f>IFERROR(G29*E24,"")</f>
        <v/>
      </c>
    </row>
    <row r="30" spans="1:11">
      <c r="A30" s="28"/>
      <c r="B30" s="29"/>
      <c r="C30" s="30" t="str">
        <f>IFERROR(_xlfn.XLOOKUP(B30,Insumo[DESCRIPCION],Insumo[UND],,0),"")</f>
        <v/>
      </c>
      <c r="D30" s="31"/>
      <c r="E30" s="32" t="str">
        <f>IFERROR(_xlfn.XLOOKUP($B30,Insumo[DESCRIPCION],Insumo[VALOR],,0),"")</f>
        <v/>
      </c>
      <c r="F30" s="33"/>
      <c r="G30" s="34" t="str">
        <f>IFERROR(IF(F30&gt;=0,D30*E30*(1+F30/100),ABS(D30*E30/F30)),"")</f>
        <v/>
      </c>
      <c r="H30" s="43" t="str">
        <f>IFERROR(G30*E24,"")</f>
        <v/>
      </c>
    </row>
    <row r="31" spans="1:11">
      <c r="A31" s="28"/>
      <c r="B31" s="29"/>
      <c r="C31" s="30" t="str">
        <f>IFERROR(_xlfn.XLOOKUP(B31,Insumo[DESCRIPCION],Insumo[UND],,0),"")</f>
        <v/>
      </c>
      <c r="D31" s="31"/>
      <c r="E31" s="32" t="str">
        <f>IFERROR(_xlfn.XLOOKUP($B31,Insumo[DESCRIPCION],Insumo[VALOR],,0),"")</f>
        <v/>
      </c>
      <c r="F31" s="33"/>
      <c r="G31" s="34" t="str">
        <f>IFERROR(IF(F31&gt;=0,D31*E31*(1+F31/100),ABS(D31*E31/F31)),"")</f>
        <v/>
      </c>
      <c r="H31" s="43" t="str">
        <f>IFERROR(G31*E24,"")</f>
        <v/>
      </c>
    </row>
    <row r="32" spans="1:11">
      <c r="A32" s="21"/>
      <c r="B32" s="22" t="s">
        <v>3731</v>
      </c>
      <c r="C32" s="23"/>
      <c r="D32" s="24"/>
      <c r="E32" s="25"/>
      <c r="F32" s="26"/>
      <c r="G32" s="27">
        <f>SUM(G33:G35)</f>
        <v>4287.1466031136379</v>
      </c>
      <c r="H32" s="44">
        <f>G32*E24</f>
        <v>0</v>
      </c>
    </row>
    <row r="33" spans="1:11">
      <c r="A33" s="28"/>
      <c r="B33" s="29" t="s">
        <v>3573</v>
      </c>
      <c r="C33" s="30" t="str">
        <f>IFERROR(_xlfn.XLOOKUP(B33,Equipo[DESCRIPCION],Equipo[UND],,0),"")</f>
        <v>%MO</v>
      </c>
      <c r="D33" s="31">
        <v>0.1</v>
      </c>
      <c r="E33" s="32">
        <f>IF(C33="%MO",G39,IFERROR(_xlfn.XLOOKUP($B33,Equipo[DESCRIPCION],Equipo[VALOR],,0),""))</f>
        <v>28580.977354090915</v>
      </c>
      <c r="F33" s="33"/>
      <c r="G33" s="34">
        <f>IFERROR(IF(F33&gt;=0,D33*E33*(1+F33/100),ABS(D33*E33/F33)),"")</f>
        <v>2858.0977354090919</v>
      </c>
      <c r="H33" s="43">
        <f>IFERROR(G33*E24,"")</f>
        <v>0</v>
      </c>
    </row>
    <row r="34" spans="1:11">
      <c r="A34" s="28"/>
      <c r="B34" s="29" t="s">
        <v>3626</v>
      </c>
      <c r="C34" s="30" t="str">
        <f>IFERROR(_xlfn.XLOOKUP(B34,Equipo[DESCRIPCION],Equipo[UND],,0),"")</f>
        <v>%MO</v>
      </c>
      <c r="D34" s="31">
        <v>0.05</v>
      </c>
      <c r="E34" s="32">
        <f>IF(C34="%MO",G39,IFERROR(_xlfn.XLOOKUP($B34,Equipo[DESCRIPCION],Equipo[VALOR],,0),""))</f>
        <v>28580.977354090915</v>
      </c>
      <c r="F34" s="33"/>
      <c r="G34" s="34">
        <f>IFERROR(IF(F34&gt;=0,D34*E34*(1+F34/100),ABS(D34*E34/F34)),"")</f>
        <v>1429.048867704546</v>
      </c>
      <c r="H34" s="43">
        <f>IFERROR(G34*E24,"")</f>
        <v>0</v>
      </c>
    </row>
    <row r="35" spans="1:11">
      <c r="A35" s="28"/>
      <c r="B35" s="29"/>
      <c r="C35" s="30" t="str">
        <f>IFERROR(_xlfn.XLOOKUP(B35,Equipo[DESCRIPCION],Equipo[UND],,0),"")</f>
        <v/>
      </c>
      <c r="D35" s="31"/>
      <c r="E35" s="32" t="str">
        <f>IF(C35="%MO",G39,IFERROR(_xlfn.XLOOKUP($B35,Equipo[DESCRIPCION],Equipo[VALOR],,0),""))</f>
        <v/>
      </c>
      <c r="F35" s="33"/>
      <c r="G35" s="34" t="str">
        <f>IFERROR(IF(F35&gt;=0,D35*E35*(1+F35/100),ABS(D35*E35/F35)),"")</f>
        <v/>
      </c>
      <c r="H35" s="43" t="str">
        <f>IFERROR(G35*E24,"")</f>
        <v/>
      </c>
    </row>
    <row r="36" spans="1:11">
      <c r="A36" s="21"/>
      <c r="B36" s="22" t="s">
        <v>2533</v>
      </c>
      <c r="C36" s="23"/>
      <c r="D36" s="24"/>
      <c r="E36" s="25"/>
      <c r="F36" s="26"/>
      <c r="G36" s="27">
        <f>SUM(G37:G38)</f>
        <v>0</v>
      </c>
      <c r="H36" s="138">
        <f>IFERROR(G36*E24,"")</f>
        <v>0</v>
      </c>
    </row>
    <row r="37" spans="1:11">
      <c r="A37" s="28"/>
      <c r="B37" s="29"/>
      <c r="C37" s="30" t="str">
        <f>IFERROR(_xlfn.XLOOKUP(B37,Transporte[DESCRIPCION],Transporte[UND],,0),"")</f>
        <v/>
      </c>
      <c r="D37" s="31"/>
      <c r="E37" s="32" t="str">
        <f>IFERROR(_xlfn.XLOOKUP($B37,Transporte[DESCRIPCION],Transporte[VALOR],,0),"")</f>
        <v/>
      </c>
      <c r="F37" s="33"/>
      <c r="G37" s="34" t="str">
        <f>IFERROR(IF(F37&gt;=0,D37*E37*(1+F37/100),ABS(D37*E37/F37)),"")</f>
        <v/>
      </c>
      <c r="H37" s="43" t="str">
        <f>IFERROR(G37*E24,"")</f>
        <v/>
      </c>
    </row>
    <row r="38" spans="1:11">
      <c r="A38" s="28"/>
      <c r="B38" s="29"/>
      <c r="C38" s="30" t="str">
        <f>IFERROR(_xlfn.XLOOKUP(B38,Transporte[DESCRIPCION],Transporte[UND],,0),"")</f>
        <v/>
      </c>
      <c r="D38" s="31"/>
      <c r="E38" s="32" t="str">
        <f>IFERROR(_xlfn.XLOOKUP($B38,Transporte[DESCRIPCION],Transporte[VALOR],,0),"")</f>
        <v/>
      </c>
      <c r="F38" s="33"/>
      <c r="G38" s="34" t="str">
        <f>IFERROR(IF(F38&gt;=0,D38*E38*(1+F38/100),ABS(D38*E38/F38)),"")</f>
        <v/>
      </c>
      <c r="H38" s="43" t="str">
        <f>IFERROR(G38*E24,"")</f>
        <v/>
      </c>
    </row>
    <row r="39" spans="1:11">
      <c r="A39" s="21"/>
      <c r="B39" s="22" t="s">
        <v>3732</v>
      </c>
      <c r="C39" s="23"/>
      <c r="D39" s="24"/>
      <c r="E39" s="25"/>
      <c r="F39" s="26"/>
      <c r="G39" s="27">
        <f>SUM(G40:G42)</f>
        <v>28580.977354090915</v>
      </c>
      <c r="H39" s="43">
        <f>IFERROR(G39*E24,"")</f>
        <v>0</v>
      </c>
    </row>
    <row r="40" spans="1:11">
      <c r="A40" s="28"/>
      <c r="B40" s="29" t="s">
        <v>3710</v>
      </c>
      <c r="C40" s="30" t="str">
        <f>IFERROR(_xlfn.XLOOKUP(B40,MObra[DESCRIPCION],MObra[UN],,0),"")</f>
        <v>día</v>
      </c>
      <c r="D40" s="31">
        <v>1</v>
      </c>
      <c r="E40" s="32">
        <f>IFERROR(_xlfn.XLOOKUP($B40,MObra[DESCRIPCION],MObra[VALOR UNIT],,0),"")</f>
        <v>314390.75089500006</v>
      </c>
      <c r="F40" s="33">
        <v>-11</v>
      </c>
      <c r="G40" s="34">
        <f>IFERROR(IF(F40&gt;=0,D40*E40*(1+F40/100),ABS(D40*E40/F40)),"")</f>
        <v>28580.977354090915</v>
      </c>
      <c r="H40" s="43">
        <f>IFERROR(G40*E24,"")</f>
        <v>0</v>
      </c>
    </row>
    <row r="41" spans="1:11">
      <c r="A41" s="28"/>
      <c r="B41" s="29"/>
      <c r="C41" s="30" t="str">
        <f>IFERROR(_xlfn.XLOOKUP(B41,MObra[DESCRIPCION],MObra[UN],,0),"")</f>
        <v/>
      </c>
      <c r="D41" s="31"/>
      <c r="E41" s="32" t="str">
        <f>IFERROR(_xlfn.XLOOKUP($B41,MObra[DESCRIPCION],MObra[VALOR UNIT],,0),"")</f>
        <v/>
      </c>
      <c r="F41" s="33"/>
      <c r="G41" s="34" t="str">
        <f>IFERROR(IF(F41&gt;=0,D41*E41*(1+F41/100),ABS(D41*E41/F41)),"")</f>
        <v/>
      </c>
      <c r="H41" s="43" t="str">
        <f>IFERROR(G41*E24,"")</f>
        <v/>
      </c>
    </row>
    <row r="42" spans="1:11">
      <c r="A42" s="35"/>
      <c r="B42" s="36"/>
      <c r="C42" s="37" t="str">
        <f>IFERROR(_xlfn.XLOOKUP(B42,MObra[DESCRIPCION],MObra[UN],,0),"")</f>
        <v/>
      </c>
      <c r="D42" s="38"/>
      <c r="E42" s="39" t="str">
        <f>IFERROR(_xlfn.XLOOKUP($B42,MObra[DESCRIPCION],MObra[VALOR UNIT],,0),"")</f>
        <v/>
      </c>
      <c r="F42" s="40"/>
      <c r="G42" s="41" t="str">
        <f>IFERROR(IF(F42&gt;=0,D42*E42*(1+F42/100),ABS(D42*E42/F42)),"")</f>
        <v/>
      </c>
      <c r="H42" s="42" t="str">
        <f>IFERROR(G42*E24,"")</f>
        <v/>
      </c>
    </row>
    <row r="44" spans="1:11">
      <c r="A44" s="6" t="s">
        <v>1372</v>
      </c>
      <c r="B44" s="7" t="str">
        <f>VLOOKUP($A44,Presupuesto!$A:$D,2,FALSE())</f>
        <v>Argamasa con masilla Estucales o similar</v>
      </c>
      <c r="C44" s="8" t="str">
        <f>VLOOKUP($A44,Presupuesto!$A:$D,3,FALSE())</f>
        <v>M2</v>
      </c>
      <c r="D44" s="9"/>
      <c r="E44" s="10">
        <f>VLOOKUP($A44,Presupuesto!$A:$D,4,FALSE())</f>
        <v>0</v>
      </c>
      <c r="F44" s="11" t="s">
        <v>2589</v>
      </c>
      <c r="G44" s="12">
        <f>SUM(G46:G62)/2</f>
        <v>25411.428037590002</v>
      </c>
      <c r="H44" s="13">
        <f>ROUND(SUM(H46:H62),0)/2</f>
        <v>0</v>
      </c>
      <c r="I44" s="10">
        <f>VLOOKUP(A44,Presupuesto!$A:$F,6,0)</f>
        <v>0</v>
      </c>
      <c r="J44" s="10">
        <f>+H44-I44</f>
        <v>0</v>
      </c>
      <c r="K44" s="46">
        <f>+H44-G44*E44</f>
        <v>0</v>
      </c>
    </row>
    <row r="45" spans="1:11">
      <c r="A45" s="14"/>
      <c r="B45" s="15" t="s">
        <v>2586</v>
      </c>
      <c r="C45" s="15" t="s">
        <v>5</v>
      </c>
      <c r="D45" s="16" t="s">
        <v>6</v>
      </c>
      <c r="E45" s="17" t="s">
        <v>7</v>
      </c>
      <c r="F45" s="18" t="s">
        <v>3728</v>
      </c>
      <c r="G45" s="19" t="s">
        <v>3729</v>
      </c>
      <c r="H45" s="20" t="s">
        <v>3797</v>
      </c>
    </row>
    <row r="46" spans="1:11">
      <c r="A46" s="21"/>
      <c r="B46" s="22" t="s">
        <v>3730</v>
      </c>
      <c r="C46" s="23"/>
      <c r="D46" s="24"/>
      <c r="E46" s="25"/>
      <c r="F46" s="26"/>
      <c r="G46" s="27">
        <f>SUM(G47:G51)</f>
        <v>12207.0165</v>
      </c>
      <c r="H46" s="27">
        <f>IFERROR(G46*E44,"")</f>
        <v>0</v>
      </c>
    </row>
    <row r="47" spans="1:11">
      <c r="A47" s="28"/>
      <c r="B47" s="29" t="s">
        <v>3158</v>
      </c>
      <c r="C47" s="30" t="str">
        <f>IFERROR(_xlfn.XLOOKUP(B47,Insumo[DESCRIPCION],Insumo[UND],,0),"")</f>
        <v>Un</v>
      </c>
      <c r="D47" s="31">
        <v>0.25</v>
      </c>
      <c r="E47" s="32">
        <f>IFERROR(_xlfn.XLOOKUP($B47,Insumo[DESCRIPCION],Insumo[VALOR],,0),"")</f>
        <v>28416.15</v>
      </c>
      <c r="F47" s="33"/>
      <c r="G47" s="34">
        <f>IFERROR(IF(F47&gt;=0,D47*E47*(1+F47/100),ABS(D47*E47/F47)),"")</f>
        <v>7104.0375000000004</v>
      </c>
      <c r="H47" s="43">
        <f>IFERROR(G47*E44,"")</f>
        <v>0</v>
      </c>
    </row>
    <row r="48" spans="1:11">
      <c r="A48" s="28"/>
      <c r="B48" s="29" t="s">
        <v>2824</v>
      </c>
      <c r="C48" s="30" t="str">
        <f>IFERROR(_xlfn.XLOOKUP(B48,Insumo[DESCRIPCION],Insumo[UND],,0),"")</f>
        <v>Un</v>
      </c>
      <c r="D48" s="31">
        <f>5/50</f>
        <v>0.1</v>
      </c>
      <c r="E48" s="32">
        <f>IFERROR(_xlfn.XLOOKUP($B48,Insumo[DESCRIPCION],Insumo[VALOR],,0),"")</f>
        <v>34230</v>
      </c>
      <c r="F48" s="33"/>
      <c r="G48" s="34">
        <f>IFERROR(IF(F48&gt;=0,D48*E48*(1+F48/100),ABS(D48*E48/F48)),"")</f>
        <v>3423</v>
      </c>
      <c r="H48" s="43">
        <f>IFERROR(G48*E44,"")</f>
        <v>0</v>
      </c>
    </row>
    <row r="49" spans="1:11">
      <c r="A49" s="28"/>
      <c r="B49" s="29" t="s">
        <v>2713</v>
      </c>
      <c r="C49" s="30" t="str">
        <f>IFERROR(_xlfn.XLOOKUP(B49,Insumo[DESCRIPCION],Insumo[UND],,0),"")</f>
        <v>M3</v>
      </c>
      <c r="D49" s="31">
        <v>0.02</v>
      </c>
      <c r="E49" s="32">
        <f>IFERROR(_xlfn.XLOOKUP($B49,Insumo[DESCRIPCION],Insumo[VALOR],,0),"")</f>
        <v>81268.95</v>
      </c>
      <c r="F49" s="33"/>
      <c r="G49" s="34">
        <f>IFERROR(IF(F49&gt;=0,D49*E49*(1+F49/100),ABS(D49*E49/F49)),"")</f>
        <v>1625.3789999999999</v>
      </c>
      <c r="H49" s="43">
        <f>IFERROR(G49*E44,"")</f>
        <v>0</v>
      </c>
    </row>
    <row r="50" spans="1:11">
      <c r="A50" s="28"/>
      <c r="B50" s="29" t="s">
        <v>2685</v>
      </c>
      <c r="C50" s="30" t="str">
        <f>IFERROR(_xlfn.XLOOKUP(B50,Insumo[DESCRIPCION],Insumo[UND],,0),"")</f>
        <v>Lt</v>
      </c>
      <c r="D50" s="31">
        <v>2</v>
      </c>
      <c r="E50" s="32">
        <f>IFERROR(_xlfn.XLOOKUP($B50,Insumo[DESCRIPCION],Insumo[VALOR],,0),"")</f>
        <v>27.3</v>
      </c>
      <c r="F50" s="33"/>
      <c r="G50" s="34">
        <f>IFERROR(IF(F50&gt;=0,D50*E50*(1+F50/100),ABS(D50*E50/F50)),"")</f>
        <v>54.6</v>
      </c>
      <c r="H50" s="43">
        <f>IFERROR(G50*E44,"")</f>
        <v>0</v>
      </c>
    </row>
    <row r="51" spans="1:11">
      <c r="A51" s="28"/>
      <c r="B51" s="29"/>
      <c r="C51" s="30" t="str">
        <f>IFERROR(_xlfn.XLOOKUP(B51,Insumo[DESCRIPCION],Insumo[UND],,0),"")</f>
        <v/>
      </c>
      <c r="D51" s="31"/>
      <c r="E51" s="32" t="str">
        <f>IFERROR(_xlfn.XLOOKUP($B51,Insumo[DESCRIPCION],Insumo[VALOR],,0),"")</f>
        <v/>
      </c>
      <c r="F51" s="33"/>
      <c r="G51" s="34" t="str">
        <f>IFERROR(IF(F51&gt;=0,D51*E51*(1+F51/100),ABS(D51*E51/F51)),"")</f>
        <v/>
      </c>
      <c r="H51" s="43" t="str">
        <f>IFERROR(G51*E44,"")</f>
        <v/>
      </c>
    </row>
    <row r="52" spans="1:11">
      <c r="A52" s="21"/>
      <c r="B52" s="22" t="s">
        <v>3731</v>
      </c>
      <c r="C52" s="23"/>
      <c r="D52" s="24"/>
      <c r="E52" s="25"/>
      <c r="F52" s="26"/>
      <c r="G52" s="27">
        <f>SUM(G53:G55)</f>
        <v>628.78150179000022</v>
      </c>
      <c r="H52" s="44">
        <f>G52*E44</f>
        <v>0</v>
      </c>
    </row>
    <row r="53" spans="1:11">
      <c r="A53" s="28"/>
      <c r="B53" s="29" t="s">
        <v>3626</v>
      </c>
      <c r="C53" s="30" t="str">
        <f>IFERROR(_xlfn.XLOOKUP(B53,Equipo[DESCRIPCION],Equipo[UND],,0),"")</f>
        <v>%MO</v>
      </c>
      <c r="D53" s="31">
        <v>0.05</v>
      </c>
      <c r="E53" s="32">
        <f>IF(C53="%MO",G59,IFERROR(_xlfn.XLOOKUP($B53,Equipo[DESCRIPCION],Equipo[VALOR],,0),""))</f>
        <v>12575.630035800003</v>
      </c>
      <c r="F53" s="33"/>
      <c r="G53" s="34">
        <f>IFERROR(IF(F53&gt;=0,D53*E53*(1+F53/100),ABS(D53*E53/F53)),"")</f>
        <v>628.78150179000022</v>
      </c>
      <c r="H53" s="43">
        <f>IFERROR(G53*E44,"")</f>
        <v>0</v>
      </c>
    </row>
    <row r="54" spans="1:11">
      <c r="A54" s="28"/>
      <c r="B54" s="29"/>
      <c r="C54" s="30" t="str">
        <f>IFERROR(_xlfn.XLOOKUP(B54,Equipo[DESCRIPCION],Equipo[UND],,0),"")</f>
        <v/>
      </c>
      <c r="D54" s="31"/>
      <c r="E54" s="32" t="str">
        <f>IF(C54="%MO",G59,IFERROR(_xlfn.XLOOKUP($B54,Equipo[DESCRIPCION],Equipo[VALOR],,0),""))</f>
        <v/>
      </c>
      <c r="F54" s="33"/>
      <c r="G54" s="34" t="str">
        <f>IFERROR(IF(F54&gt;=0,D54*E54*(1+F54/100),ABS(D54*E54/F54)),"")</f>
        <v/>
      </c>
      <c r="H54" s="43" t="str">
        <f>IFERROR(G54*E44,"")</f>
        <v/>
      </c>
    </row>
    <row r="55" spans="1:11">
      <c r="A55" s="28"/>
      <c r="B55" s="29"/>
      <c r="C55" s="30" t="str">
        <f>IFERROR(_xlfn.XLOOKUP(B55,Equipo[DESCRIPCION],Equipo[UND],,0),"")</f>
        <v/>
      </c>
      <c r="D55" s="31"/>
      <c r="E55" s="32" t="str">
        <f>IF(C55="%MO",G59,IFERROR(_xlfn.XLOOKUP($B55,Equipo[DESCRIPCION],Equipo[VALOR],,0),""))</f>
        <v/>
      </c>
      <c r="F55" s="33"/>
      <c r="G55" s="34" t="str">
        <f>IFERROR(IF(F55&gt;=0,D55*E55*(1+F55/100),ABS(D55*E55/F55)),"")</f>
        <v/>
      </c>
      <c r="H55" s="43" t="str">
        <f>IFERROR(G55*E44,"")</f>
        <v/>
      </c>
    </row>
    <row r="56" spans="1:11">
      <c r="A56" s="21"/>
      <c r="B56" s="22" t="s">
        <v>2533</v>
      </c>
      <c r="C56" s="23"/>
      <c r="D56" s="24"/>
      <c r="E56" s="25"/>
      <c r="F56" s="26"/>
      <c r="G56" s="27">
        <f>SUM(G57:G58)</f>
        <v>0</v>
      </c>
      <c r="H56" s="138">
        <f>IFERROR(G56*E44,"")</f>
        <v>0</v>
      </c>
    </row>
    <row r="57" spans="1:11">
      <c r="A57" s="28"/>
      <c r="B57" s="29"/>
      <c r="C57" s="30" t="str">
        <f>IFERROR(_xlfn.XLOOKUP(B57,Transporte[DESCRIPCION],Transporte[UND],,0),"")</f>
        <v/>
      </c>
      <c r="D57" s="31"/>
      <c r="E57" s="32" t="str">
        <f>IFERROR(_xlfn.XLOOKUP($B57,Transporte[DESCRIPCION],Transporte[VALOR],,0),"")</f>
        <v/>
      </c>
      <c r="F57" s="33"/>
      <c r="G57" s="34" t="str">
        <f>IFERROR(IF(F57&gt;=0,D57*E57*(1+F57/100),ABS(D57*E57/F57)),"")</f>
        <v/>
      </c>
      <c r="H57" s="43" t="str">
        <f>IFERROR(G57*E44,"")</f>
        <v/>
      </c>
    </row>
    <row r="58" spans="1:11">
      <c r="A58" s="28"/>
      <c r="B58" s="29"/>
      <c r="C58" s="30" t="str">
        <f>IFERROR(_xlfn.XLOOKUP(B58,Transporte[DESCRIPCION],Transporte[UND],,0),"")</f>
        <v/>
      </c>
      <c r="D58" s="31"/>
      <c r="E58" s="32" t="str">
        <f>IFERROR(_xlfn.XLOOKUP($B58,Transporte[DESCRIPCION],Transporte[VALOR],,0),"")</f>
        <v/>
      </c>
      <c r="F58" s="33"/>
      <c r="G58" s="34" t="str">
        <f>IFERROR(IF(F58&gt;=0,D58*E58*(1+F58/100),ABS(D58*E58/F58)),"")</f>
        <v/>
      </c>
      <c r="H58" s="43" t="str">
        <f>IFERROR(G58*E44,"")</f>
        <v/>
      </c>
    </row>
    <row r="59" spans="1:11">
      <c r="A59" s="21"/>
      <c r="B59" s="22" t="s">
        <v>3732</v>
      </c>
      <c r="C59" s="23"/>
      <c r="D59" s="24"/>
      <c r="E59" s="25"/>
      <c r="F59" s="26"/>
      <c r="G59" s="27">
        <f>SUM(G60:G62)</f>
        <v>12575.630035800003</v>
      </c>
      <c r="H59" s="43">
        <f>IFERROR(G59*E44,"")</f>
        <v>0</v>
      </c>
    </row>
    <row r="60" spans="1:11">
      <c r="A60" s="28"/>
      <c r="B60" s="29" t="s">
        <v>3710</v>
      </c>
      <c r="C60" s="30" t="str">
        <f>IFERROR(_xlfn.XLOOKUP(B60,MObra[DESCRIPCION],MObra[UN],,0),"")</f>
        <v>día</v>
      </c>
      <c r="D60" s="31">
        <v>1</v>
      </c>
      <c r="E60" s="32">
        <f>IFERROR(_xlfn.XLOOKUP($B60,MObra[DESCRIPCION],MObra[VALOR UNIT],,0),"")</f>
        <v>314390.75089500006</v>
      </c>
      <c r="F60" s="33">
        <v>-25</v>
      </c>
      <c r="G60" s="34">
        <f>IFERROR(IF(F60&gt;=0,D60*E60*(1+F60/100),ABS(D60*E60/F60)),"")</f>
        <v>12575.630035800003</v>
      </c>
      <c r="H60" s="43">
        <f>IFERROR(G60*E44,"")</f>
        <v>0</v>
      </c>
    </row>
    <row r="61" spans="1:11">
      <c r="A61" s="28"/>
      <c r="B61" s="29"/>
      <c r="C61" s="30" t="str">
        <f>IFERROR(_xlfn.XLOOKUP(B61,MObra[DESCRIPCION],MObra[UN],,0),"")</f>
        <v/>
      </c>
      <c r="D61" s="31"/>
      <c r="E61" s="32" t="str">
        <f>IFERROR(_xlfn.XLOOKUP($B61,MObra[DESCRIPCION],MObra[VALOR UNIT],,0),"")</f>
        <v/>
      </c>
      <c r="F61" s="33"/>
      <c r="G61" s="34" t="str">
        <f>IFERROR(IF(F61&gt;=0,D61*E61*(1+F61/100),ABS(D61*E61/F61)),"")</f>
        <v/>
      </c>
      <c r="H61" s="43" t="str">
        <f>IFERROR(G61*E44,"")</f>
        <v/>
      </c>
    </row>
    <row r="62" spans="1:11">
      <c r="A62" s="35"/>
      <c r="B62" s="36"/>
      <c r="C62" s="37" t="str">
        <f>IFERROR(_xlfn.XLOOKUP(B62,MObra[DESCRIPCION],MObra[UN],,0),"")</f>
        <v/>
      </c>
      <c r="D62" s="38"/>
      <c r="E62" s="39" t="str">
        <f>IFERROR(_xlfn.XLOOKUP($B62,MObra[DESCRIPCION],MObra[VALOR UNIT],,0),"")</f>
        <v/>
      </c>
      <c r="F62" s="40"/>
      <c r="G62" s="41" t="str">
        <f>IFERROR(IF(F62&gt;=0,D62*E62*(1+F62/100),ABS(D62*E62/F62)),"")</f>
        <v/>
      </c>
      <c r="H62" s="42" t="str">
        <f>IFERROR(G62*E44,"")</f>
        <v/>
      </c>
    </row>
    <row r="64" spans="1:11">
      <c r="A64" s="6" t="s">
        <v>1374</v>
      </c>
      <c r="B64" s="7" t="str">
        <f>VLOOKUP($A64,Presupuesto!$A:$D,2,FALSE())</f>
        <v>Estuco + pintura koraza fachada</v>
      </c>
      <c r="C64" s="8" t="str">
        <f>VLOOKUP($A64,Presupuesto!$A:$D,3,FALSE())</f>
        <v>M2</v>
      </c>
      <c r="D64" s="9"/>
      <c r="E64" s="10">
        <f>VLOOKUP($A64,Presupuesto!$A:$D,4,FALSE())</f>
        <v>0</v>
      </c>
      <c r="F64" s="11" t="s">
        <v>2589</v>
      </c>
      <c r="G64" s="12">
        <f>SUM(G66:G82)/2</f>
        <v>60125.165703312508</v>
      </c>
      <c r="H64" s="13">
        <f>ROUND(SUM(H66:H82),0)/2</f>
        <v>0</v>
      </c>
      <c r="I64" s="10">
        <f>VLOOKUP(A64,Presupuesto!$A:$F,6,0)</f>
        <v>0</v>
      </c>
      <c r="J64" s="10">
        <f>+H64-I64</f>
        <v>0</v>
      </c>
      <c r="K64" s="46">
        <f>+H64-G64*E64</f>
        <v>0</v>
      </c>
    </row>
    <row r="65" spans="1:8">
      <c r="A65" s="14"/>
      <c r="B65" s="15" t="s">
        <v>2586</v>
      </c>
      <c r="C65" s="15" t="s">
        <v>5</v>
      </c>
      <c r="D65" s="16" t="s">
        <v>6</v>
      </c>
      <c r="E65" s="17" t="s">
        <v>7</v>
      </c>
      <c r="F65" s="18" t="s">
        <v>3728</v>
      </c>
      <c r="G65" s="19" t="s">
        <v>3729</v>
      </c>
      <c r="H65" s="20" t="s">
        <v>3797</v>
      </c>
    </row>
    <row r="66" spans="1:8">
      <c r="A66" s="21"/>
      <c r="B66" s="22" t="s">
        <v>3730</v>
      </c>
      <c r="C66" s="23"/>
      <c r="D66" s="24"/>
      <c r="E66" s="25"/>
      <c r="F66" s="26"/>
      <c r="G66" s="27">
        <f>SUM(G67:G71)</f>
        <v>27880.019999999997</v>
      </c>
      <c r="H66" s="27">
        <f>IFERROR(G66*E64,"")</f>
        <v>0</v>
      </c>
    </row>
    <row r="67" spans="1:8">
      <c r="A67" s="28"/>
      <c r="B67" s="29" t="s">
        <v>2948</v>
      </c>
      <c r="C67" s="30" t="str">
        <f>IFERROR(_xlfn.XLOOKUP(B67,Insumo[DESCRIPCION],Insumo[UND],,0),"")</f>
        <v>galón</v>
      </c>
      <c r="D67" s="31">
        <v>0.24</v>
      </c>
      <c r="E67" s="32">
        <f>IFERROR(_xlfn.XLOOKUP($B67,Insumo[DESCRIPCION],Insumo[VALOR],,0),"")</f>
        <v>41532.75</v>
      </c>
      <c r="F67" s="33"/>
      <c r="G67" s="34">
        <f>IFERROR(IF(F67&gt;=0,D67*E67*(1+F67/100),ABS(D67*E67/F67)),"")</f>
        <v>9967.8599999999988</v>
      </c>
      <c r="H67" s="43">
        <f>IFERROR(G67*E64,"")</f>
        <v>0</v>
      </c>
    </row>
    <row r="68" spans="1:8">
      <c r="A68" s="28"/>
      <c r="B68" s="29" t="s">
        <v>3211</v>
      </c>
      <c r="C68" s="30" t="str">
        <f>IFERROR(_xlfn.XLOOKUP(B68,Insumo[DESCRIPCION],Insumo[UND],,0),"")</f>
        <v>galón</v>
      </c>
      <c r="D68" s="31">
        <v>0.12</v>
      </c>
      <c r="E68" s="32">
        <f>IFERROR(_xlfn.XLOOKUP($B68,Insumo[DESCRIPCION],Insumo[VALOR],,0),"")</f>
        <v>149268</v>
      </c>
      <c r="F68" s="33"/>
      <c r="G68" s="34">
        <f>IFERROR(IF(F68&gt;=0,D68*E68*(1+F68/100),ABS(D68*E68/F68)),"")</f>
        <v>17912.16</v>
      </c>
      <c r="H68" s="43">
        <f>IFERROR(G68*E64,"")</f>
        <v>0</v>
      </c>
    </row>
    <row r="69" spans="1:8">
      <c r="A69" s="28"/>
      <c r="B69" s="29"/>
      <c r="C69" s="30" t="str">
        <f>IFERROR(_xlfn.XLOOKUP(B69,Insumo[DESCRIPCION],Insumo[UND],,0),"")</f>
        <v/>
      </c>
      <c r="D69" s="31"/>
      <c r="E69" s="32" t="str">
        <f>IFERROR(_xlfn.XLOOKUP($B69,Insumo[DESCRIPCION],Insumo[VALOR],,0),"")</f>
        <v/>
      </c>
      <c r="F69" s="33"/>
      <c r="G69" s="34" t="str">
        <f>IFERROR(IF(F69&gt;=0,D69*E69*(1+F69/100),ABS(D69*E69/F69)),"")</f>
        <v/>
      </c>
      <c r="H69" s="43" t="str">
        <f>IFERROR(G69*E64,"")</f>
        <v/>
      </c>
    </row>
    <row r="70" spans="1:8">
      <c r="A70" s="28"/>
      <c r="B70" s="29"/>
      <c r="C70" s="30" t="str">
        <f>IFERROR(_xlfn.XLOOKUP(B70,Insumo[DESCRIPCION],Insumo[UND],,0),"")</f>
        <v/>
      </c>
      <c r="D70" s="31"/>
      <c r="E70" s="32" t="str">
        <f>IFERROR(_xlfn.XLOOKUP($B70,Insumo[DESCRIPCION],Insumo[VALOR],,0),"")</f>
        <v/>
      </c>
      <c r="F70" s="33"/>
      <c r="G70" s="34" t="str">
        <f>IFERROR(IF(F70&gt;=0,D70*E70*(1+F70/100),ABS(D70*E70/F70)),"")</f>
        <v/>
      </c>
      <c r="H70" s="43" t="str">
        <f>IFERROR(G70*E64,"")</f>
        <v/>
      </c>
    </row>
    <row r="71" spans="1:8">
      <c r="A71" s="28"/>
      <c r="B71" s="29"/>
      <c r="C71" s="30" t="str">
        <f>IFERROR(_xlfn.XLOOKUP(B71,Insumo[DESCRIPCION],Insumo[UND],,0),"")</f>
        <v/>
      </c>
      <c r="D71" s="31"/>
      <c r="E71" s="32" t="str">
        <f>IFERROR(_xlfn.XLOOKUP($B71,Insumo[DESCRIPCION],Insumo[VALOR],,0),"")</f>
        <v/>
      </c>
      <c r="F71" s="33"/>
      <c r="G71" s="34" t="str">
        <f>IFERROR(IF(F71&gt;=0,D71*E71*(1+F71/100),ABS(D71*E71/F71)),"")</f>
        <v/>
      </c>
      <c r="H71" s="43" t="str">
        <f>IFERROR(G71*E64,"")</f>
        <v/>
      </c>
    </row>
    <row r="72" spans="1:8">
      <c r="A72" s="21"/>
      <c r="B72" s="22" t="s">
        <v>3731</v>
      </c>
      <c r="C72" s="23"/>
      <c r="D72" s="24"/>
      <c r="E72" s="25"/>
      <c r="F72" s="26"/>
      <c r="G72" s="27">
        <f>SUM(G73:G75)</f>
        <v>6045.9164620625006</v>
      </c>
      <c r="H72" s="44">
        <f>G72*E64</f>
        <v>0</v>
      </c>
    </row>
    <row r="73" spans="1:8">
      <c r="A73" s="28"/>
      <c r="B73" s="29" t="s">
        <v>3575</v>
      </c>
      <c r="C73" s="30" t="str">
        <f>IFERROR(_xlfn.XLOOKUP(B73,Equipo[DESCRIPCION],Equipo[UND],,0),"")</f>
        <v>Día</v>
      </c>
      <c r="D73" s="31">
        <v>1</v>
      </c>
      <c r="E73" s="32">
        <f>IF(C73="%MO",G79,IFERROR(_xlfn.XLOOKUP($B73,Equipo[DESCRIPCION],Equipo[VALOR],,0),""))</f>
        <v>142078.65</v>
      </c>
      <c r="F73" s="33">
        <v>-30</v>
      </c>
      <c r="G73" s="34">
        <f>IFERROR(IF(F73&gt;=0,D73*E73*(1+F73/100),ABS(D73*E73/F73)),"")</f>
        <v>4735.9549999999999</v>
      </c>
      <c r="H73" s="43">
        <f>IFERROR(G73*E64,"")</f>
        <v>0</v>
      </c>
    </row>
    <row r="74" spans="1:8">
      <c r="A74" s="28"/>
      <c r="B74" s="29" t="s">
        <v>3626</v>
      </c>
      <c r="C74" s="30" t="str">
        <f>IFERROR(_xlfn.XLOOKUP(B74,Equipo[DESCRIPCION],Equipo[UND],,0),"")</f>
        <v>%MO</v>
      </c>
      <c r="D74" s="31">
        <v>0.05</v>
      </c>
      <c r="E74" s="32">
        <f>IF(C74="%MO",G79,IFERROR(_xlfn.XLOOKUP($B74,Equipo[DESCRIPCION],Equipo[VALOR],,0),""))</f>
        <v>26199.229241250006</v>
      </c>
      <c r="F74" s="33"/>
      <c r="G74" s="34">
        <f>IFERROR(IF(F74&gt;=0,D74*E74*(1+F74/100),ABS(D74*E74/F74)),"")</f>
        <v>1309.9614620625005</v>
      </c>
      <c r="H74" s="43">
        <f>IFERROR(G74*E64,"")</f>
        <v>0</v>
      </c>
    </row>
    <row r="75" spans="1:8">
      <c r="A75" s="28"/>
      <c r="B75" s="29"/>
      <c r="C75" s="30" t="str">
        <f>IFERROR(_xlfn.XLOOKUP(B75,Equipo[DESCRIPCION],Equipo[UND],,0),"")</f>
        <v/>
      </c>
      <c r="D75" s="31"/>
      <c r="E75" s="32" t="str">
        <f>IF(C75="%MO",G79,IFERROR(_xlfn.XLOOKUP($B75,Equipo[DESCRIPCION],Equipo[VALOR],,0),""))</f>
        <v/>
      </c>
      <c r="F75" s="33"/>
      <c r="G75" s="34" t="str">
        <f>IFERROR(IF(F75&gt;=0,D75*E75*(1+F75/100),ABS(D75*E75/F75)),"")</f>
        <v/>
      </c>
      <c r="H75" s="43" t="str">
        <f>IFERROR(G75*E64,"")</f>
        <v/>
      </c>
    </row>
    <row r="76" spans="1:8">
      <c r="A76" s="21"/>
      <c r="B76" s="22" t="s">
        <v>2533</v>
      </c>
      <c r="C76" s="23"/>
      <c r="D76" s="24"/>
      <c r="E76" s="25"/>
      <c r="F76" s="26"/>
      <c r="G76" s="27">
        <f>SUM(G77:G78)</f>
        <v>0</v>
      </c>
      <c r="H76" s="138">
        <f>IFERROR(G76*E64,"")</f>
        <v>0</v>
      </c>
    </row>
    <row r="77" spans="1:8">
      <c r="A77" s="28"/>
      <c r="B77" s="29"/>
      <c r="C77" s="30" t="str">
        <f>IFERROR(_xlfn.XLOOKUP(B77,Transporte[DESCRIPCION],Transporte[UND],,0),"")</f>
        <v/>
      </c>
      <c r="D77" s="31"/>
      <c r="E77" s="32" t="str">
        <f>IFERROR(_xlfn.XLOOKUP($B77,Transporte[DESCRIPCION],Transporte[VALOR],,0),"")</f>
        <v/>
      </c>
      <c r="F77" s="33"/>
      <c r="G77" s="34" t="str">
        <f>IFERROR(IF(F77&gt;=0,D77*E77*(1+F77/100),ABS(D77*E77/F77)),"")</f>
        <v/>
      </c>
      <c r="H77" s="43" t="str">
        <f>IFERROR(G77*E64,"")</f>
        <v/>
      </c>
    </row>
    <row r="78" spans="1:8">
      <c r="A78" s="28"/>
      <c r="B78" s="29"/>
      <c r="C78" s="30" t="str">
        <f>IFERROR(_xlfn.XLOOKUP(B78,Transporte[DESCRIPCION],Transporte[UND],,0),"")</f>
        <v/>
      </c>
      <c r="D78" s="31"/>
      <c r="E78" s="32" t="str">
        <f>IFERROR(_xlfn.XLOOKUP($B78,Transporte[DESCRIPCION],Transporte[VALOR],,0),"")</f>
        <v/>
      </c>
      <c r="F78" s="33"/>
      <c r="G78" s="34" t="str">
        <f>IFERROR(IF(F78&gt;=0,D78*E78*(1+F78/100),ABS(D78*E78/F78)),"")</f>
        <v/>
      </c>
      <c r="H78" s="43" t="str">
        <f>IFERROR(G78*E64,"")</f>
        <v/>
      </c>
    </row>
    <row r="79" spans="1:8">
      <c r="A79" s="21"/>
      <c r="B79" s="22" t="s">
        <v>3732</v>
      </c>
      <c r="C79" s="23"/>
      <c r="D79" s="24"/>
      <c r="E79" s="25"/>
      <c r="F79" s="26"/>
      <c r="G79" s="27">
        <f>SUM(G80:G82)</f>
        <v>26199.229241250006</v>
      </c>
      <c r="H79" s="43">
        <f>IFERROR(G79*E64,"")</f>
        <v>0</v>
      </c>
    </row>
    <row r="80" spans="1:8">
      <c r="A80" s="28"/>
      <c r="B80" s="29" t="s">
        <v>3710</v>
      </c>
      <c r="C80" s="30" t="str">
        <f>IFERROR(_xlfn.XLOOKUP(B80,MObra[DESCRIPCION],MObra[UN],,0),"")</f>
        <v>día</v>
      </c>
      <c r="D80" s="31">
        <v>1</v>
      </c>
      <c r="E80" s="32">
        <f>IFERROR(_xlfn.XLOOKUP($B80,MObra[DESCRIPCION],MObra[VALOR UNIT],,0),"")</f>
        <v>314390.75089500006</v>
      </c>
      <c r="F80" s="33">
        <v>-12</v>
      </c>
      <c r="G80" s="34">
        <f>IFERROR(IF(F80&gt;=0,D80*E80*(1+F80/100),ABS(D80*E80/F80)),"")</f>
        <v>26199.229241250006</v>
      </c>
      <c r="H80" s="43">
        <f>IFERROR(G80*E64,"")</f>
        <v>0</v>
      </c>
    </row>
    <row r="81" spans="1:11">
      <c r="A81" s="28"/>
      <c r="B81" s="29"/>
      <c r="C81" s="30" t="str">
        <f>IFERROR(_xlfn.XLOOKUP(B81,MObra[DESCRIPCION],MObra[UN],,0),"")</f>
        <v/>
      </c>
      <c r="D81" s="31"/>
      <c r="E81" s="32" t="str">
        <f>IFERROR(_xlfn.XLOOKUP($B81,MObra[DESCRIPCION],MObra[VALOR UNIT],,0),"")</f>
        <v/>
      </c>
      <c r="F81" s="33"/>
      <c r="G81" s="34" t="str">
        <f>IFERROR(IF(F81&gt;=0,D81*E81*(1+F81/100),ABS(D81*E81/F81)),"")</f>
        <v/>
      </c>
      <c r="H81" s="43" t="str">
        <f>IFERROR(G81*E64,"")</f>
        <v/>
      </c>
    </row>
    <row r="82" spans="1:11">
      <c r="A82" s="35"/>
      <c r="B82" s="36"/>
      <c r="C82" s="37" t="str">
        <f>IFERROR(_xlfn.XLOOKUP(B82,MObra[DESCRIPCION],MObra[UN],,0),"")</f>
        <v/>
      </c>
      <c r="D82" s="38"/>
      <c r="E82" s="39" t="str">
        <f>IFERROR(_xlfn.XLOOKUP($B82,MObra[DESCRIPCION],MObra[VALOR UNIT],,0),"")</f>
        <v/>
      </c>
      <c r="F82" s="40"/>
      <c r="G82" s="41" t="str">
        <f>IFERROR(IF(F82&gt;=0,D82*E82*(1+F82/100),ABS(D82*E82/F82)),"")</f>
        <v/>
      </c>
      <c r="H82" s="42" t="str">
        <f>IFERROR(G82*E64,"")</f>
        <v/>
      </c>
    </row>
    <row r="84" spans="1:11">
      <c r="A84" s="6" t="s">
        <v>1376</v>
      </c>
      <c r="B84" s="7" t="str">
        <f>VLOOKUP($A84,Presupuesto!$A:$D,2,FALSE())</f>
        <v>Estuco + pintura vinilo 3 manos cielo raso</v>
      </c>
      <c r="C84" s="8" t="str">
        <f>VLOOKUP($A84,Presupuesto!$A:$D,3,FALSE())</f>
        <v>M2</v>
      </c>
      <c r="D84" s="9"/>
      <c r="E84" s="10">
        <f>VLOOKUP($A84,Presupuesto!$A:$D,4,FALSE())</f>
        <v>0</v>
      </c>
      <c r="F84" s="11" t="s">
        <v>2589</v>
      </c>
      <c r="G84" s="12">
        <f>SUM(G86:G102)/2</f>
        <v>50121.743627437507</v>
      </c>
      <c r="H84" s="13">
        <f>ROUND(SUM(H86:H102),0)/2</f>
        <v>0</v>
      </c>
      <c r="I84" s="10">
        <f>VLOOKUP(A84,Presupuesto!$A:$F,6,0)</f>
        <v>0</v>
      </c>
      <c r="J84" s="10">
        <f>+H84-I84</f>
        <v>0</v>
      </c>
      <c r="K84" s="46">
        <f>+H84-G84*E84</f>
        <v>0</v>
      </c>
    </row>
    <row r="85" spans="1:11">
      <c r="A85" s="14"/>
      <c r="B85" s="15" t="s">
        <v>2586</v>
      </c>
      <c r="C85" s="15" t="s">
        <v>5</v>
      </c>
      <c r="D85" s="16" t="s">
        <v>6</v>
      </c>
      <c r="E85" s="17" t="s">
        <v>7</v>
      </c>
      <c r="F85" s="18" t="s">
        <v>3728</v>
      </c>
      <c r="G85" s="19" t="s">
        <v>3729</v>
      </c>
      <c r="H85" s="20" t="s">
        <v>3797</v>
      </c>
    </row>
    <row r="86" spans="1:11">
      <c r="A86" s="21"/>
      <c r="B86" s="22" t="s">
        <v>3730</v>
      </c>
      <c r="C86" s="23"/>
      <c r="D86" s="24"/>
      <c r="E86" s="25"/>
      <c r="F86" s="26"/>
      <c r="G86" s="27">
        <f>SUM(G87:G91)</f>
        <v>19992.63</v>
      </c>
      <c r="H86" s="27">
        <f>IFERROR(G86*E84,"")</f>
        <v>0</v>
      </c>
    </row>
    <row r="87" spans="1:11">
      <c r="A87" s="28"/>
      <c r="B87" s="29" t="s">
        <v>2947</v>
      </c>
      <c r="C87" s="30" t="str">
        <f>IFERROR(_xlfn.XLOOKUP(B87,Insumo[DESCRIPCION],Insumo[UND],,0),"")</f>
        <v>Kg</v>
      </c>
      <c r="D87" s="31">
        <v>0.1</v>
      </c>
      <c r="E87" s="32">
        <f>IFERROR(_xlfn.XLOOKUP($B87,Insumo[DESCRIPCION],Insumo[VALOR],,0),"")</f>
        <v>52767.75</v>
      </c>
      <c r="F87" s="33"/>
      <c r="G87" s="34">
        <f>IFERROR(IF(F87&gt;=0,D87*E87*(1+F87/100),ABS(D87*E87/F87)),"")</f>
        <v>5276.7750000000005</v>
      </c>
      <c r="H87" s="43">
        <f>IFERROR(G87*E84,"")</f>
        <v>0</v>
      </c>
    </row>
    <row r="88" spans="1:11">
      <c r="A88" s="28"/>
      <c r="B88" s="29" t="s">
        <v>3210</v>
      </c>
      <c r="C88" s="30" t="str">
        <f>IFERROR(_xlfn.XLOOKUP(B88,Insumo[DESCRIPCION],Insumo[UND],,0),"")</f>
        <v>galón</v>
      </c>
      <c r="D88" s="31">
        <v>0.15</v>
      </c>
      <c r="E88" s="32">
        <f>IFERROR(_xlfn.XLOOKUP($B88,Insumo[DESCRIPCION],Insumo[VALOR],,0),"")</f>
        <v>98105.7</v>
      </c>
      <c r="F88" s="33"/>
      <c r="G88" s="34">
        <f>IFERROR(IF(F88&gt;=0,D88*E88*(1+F88/100),ABS(D88*E88/F88)),"")</f>
        <v>14715.855</v>
      </c>
      <c r="H88" s="43">
        <f>IFERROR(G88*E84,"")</f>
        <v>0</v>
      </c>
    </row>
    <row r="89" spans="1:11">
      <c r="A89" s="28"/>
      <c r="B89" s="29"/>
      <c r="C89" s="30" t="str">
        <f>IFERROR(_xlfn.XLOOKUP(B89,Insumo[DESCRIPCION],Insumo[UND],,0),"")</f>
        <v/>
      </c>
      <c r="D89" s="31"/>
      <c r="E89" s="32" t="str">
        <f>IFERROR(_xlfn.XLOOKUP($B89,Insumo[DESCRIPCION],Insumo[VALOR],,0),"")</f>
        <v/>
      </c>
      <c r="F89" s="33"/>
      <c r="G89" s="34" t="str">
        <f>IFERROR(IF(F89&gt;=0,D89*E89*(1+F89/100),ABS(D89*E89/F89)),"")</f>
        <v/>
      </c>
      <c r="H89" s="43" t="str">
        <f>IFERROR(G89*E84,"")</f>
        <v/>
      </c>
    </row>
    <row r="90" spans="1:11">
      <c r="A90" s="28"/>
      <c r="B90" s="29"/>
      <c r="C90" s="30" t="str">
        <f>IFERROR(_xlfn.XLOOKUP(B90,Insumo[DESCRIPCION],Insumo[UND],,0),"")</f>
        <v/>
      </c>
      <c r="D90" s="31"/>
      <c r="E90" s="32" t="str">
        <f>IFERROR(_xlfn.XLOOKUP($B90,Insumo[DESCRIPCION],Insumo[VALOR],,0),"")</f>
        <v/>
      </c>
      <c r="F90" s="33"/>
      <c r="G90" s="34" t="str">
        <f>IFERROR(IF(F90&gt;=0,D90*E90*(1+F90/100),ABS(D90*E90/F90)),"")</f>
        <v/>
      </c>
      <c r="H90" s="43" t="str">
        <f>IFERROR(G90*E84,"")</f>
        <v/>
      </c>
    </row>
    <row r="91" spans="1:11">
      <c r="A91" s="28"/>
      <c r="B91" s="29"/>
      <c r="C91" s="30" t="str">
        <f>IFERROR(_xlfn.XLOOKUP(B91,Insumo[DESCRIPCION],Insumo[UND],,0),"")</f>
        <v/>
      </c>
      <c r="D91" s="31"/>
      <c r="E91" s="32" t="str">
        <f>IFERROR(_xlfn.XLOOKUP($B91,Insumo[DESCRIPCION],Insumo[VALOR],,0),"")</f>
        <v/>
      </c>
      <c r="F91" s="33"/>
      <c r="G91" s="34" t="str">
        <f>IFERROR(IF(F91&gt;=0,D91*E91*(1+F91/100),ABS(D91*E91/F91)),"")</f>
        <v/>
      </c>
      <c r="H91" s="43" t="str">
        <f>IFERROR(G91*E84,"")</f>
        <v/>
      </c>
    </row>
    <row r="92" spans="1:11">
      <c r="A92" s="21"/>
      <c r="B92" s="22" t="s">
        <v>3731</v>
      </c>
      <c r="C92" s="23"/>
      <c r="D92" s="24"/>
      <c r="E92" s="25"/>
      <c r="F92" s="26"/>
      <c r="G92" s="27">
        <f>SUM(G93:G95)</f>
        <v>3929.8843861875011</v>
      </c>
      <c r="H92" s="44">
        <f>G92*E84</f>
        <v>0</v>
      </c>
    </row>
    <row r="93" spans="1:11">
      <c r="A93" s="28"/>
      <c r="B93" s="29" t="s">
        <v>3573</v>
      </c>
      <c r="C93" s="30" t="str">
        <f>IFERROR(_xlfn.XLOOKUP(B93,Equipo[DESCRIPCION],Equipo[UND],,0),"")</f>
        <v>%MO</v>
      </c>
      <c r="D93" s="31">
        <v>0.1</v>
      </c>
      <c r="E93" s="32">
        <f>IF(C93="%MO",G99,IFERROR(_xlfn.XLOOKUP($B93,Equipo[DESCRIPCION],Equipo[VALOR],,0),""))</f>
        <v>26199.229241250006</v>
      </c>
      <c r="F93" s="33"/>
      <c r="G93" s="34">
        <f>IFERROR(IF(F93&gt;=0,D93*E93*(1+F93/100),ABS(D93*E93/F93)),"")</f>
        <v>2619.9229241250009</v>
      </c>
      <c r="H93" s="43">
        <f>IFERROR(G93*E84,"")</f>
        <v>0</v>
      </c>
    </row>
    <row r="94" spans="1:11">
      <c r="A94" s="28"/>
      <c r="B94" s="29" t="s">
        <v>3626</v>
      </c>
      <c r="C94" s="30" t="str">
        <f>IFERROR(_xlfn.XLOOKUP(B94,Equipo[DESCRIPCION],Equipo[UND],,0),"")</f>
        <v>%MO</v>
      </c>
      <c r="D94" s="31">
        <v>0.05</v>
      </c>
      <c r="E94" s="32">
        <f>IF(C94="%MO",G99,IFERROR(_xlfn.XLOOKUP($B94,Equipo[DESCRIPCION],Equipo[VALOR],,0),""))</f>
        <v>26199.229241250006</v>
      </c>
      <c r="F94" s="33"/>
      <c r="G94" s="34">
        <f>IFERROR(IF(F94&gt;=0,D94*E94*(1+F94/100),ABS(D94*E94/F94)),"")</f>
        <v>1309.9614620625005</v>
      </c>
      <c r="H94" s="43">
        <f>IFERROR(G94*E84,"")</f>
        <v>0</v>
      </c>
    </row>
    <row r="95" spans="1:11">
      <c r="A95" s="28"/>
      <c r="B95" s="29"/>
      <c r="C95" s="30" t="str">
        <f>IFERROR(_xlfn.XLOOKUP(B95,Equipo[DESCRIPCION],Equipo[UND],,0),"")</f>
        <v/>
      </c>
      <c r="D95" s="31"/>
      <c r="E95" s="32" t="str">
        <f>IF(C95="%MO",G99,IFERROR(_xlfn.XLOOKUP($B95,Equipo[DESCRIPCION],Equipo[VALOR],,0),""))</f>
        <v/>
      </c>
      <c r="F95" s="33"/>
      <c r="G95" s="34" t="str">
        <f>IFERROR(IF(F95&gt;=0,D95*E95*(1+F95/100),ABS(D95*E95/F95)),"")</f>
        <v/>
      </c>
      <c r="H95" s="43" t="str">
        <f>IFERROR(G95*E84,"")</f>
        <v/>
      </c>
    </row>
    <row r="96" spans="1:11">
      <c r="A96" s="21"/>
      <c r="B96" s="22" t="s">
        <v>2533</v>
      </c>
      <c r="C96" s="23"/>
      <c r="D96" s="24"/>
      <c r="E96" s="25"/>
      <c r="F96" s="26"/>
      <c r="G96" s="27">
        <f>SUM(G97:G98)</f>
        <v>0</v>
      </c>
      <c r="H96" s="138">
        <f>IFERROR(G96*E84,"")</f>
        <v>0</v>
      </c>
    </row>
    <row r="97" spans="1:11">
      <c r="A97" s="28"/>
      <c r="B97" s="29"/>
      <c r="C97" s="30" t="str">
        <f>IFERROR(_xlfn.XLOOKUP(B97,Transporte[DESCRIPCION],Transporte[UND],,0),"")</f>
        <v/>
      </c>
      <c r="D97" s="31"/>
      <c r="E97" s="32" t="str">
        <f>IFERROR(_xlfn.XLOOKUP($B97,Transporte[DESCRIPCION],Transporte[VALOR],,0),"")</f>
        <v/>
      </c>
      <c r="F97" s="33"/>
      <c r="G97" s="34" t="str">
        <f>IFERROR(IF(F97&gt;=0,D97*E97*(1+F97/100),ABS(D97*E97/F97)),"")</f>
        <v/>
      </c>
      <c r="H97" s="43" t="str">
        <f>IFERROR(G97*E84,"")</f>
        <v/>
      </c>
    </row>
    <row r="98" spans="1:11">
      <c r="A98" s="28"/>
      <c r="B98" s="29"/>
      <c r="C98" s="30" t="str">
        <f>IFERROR(_xlfn.XLOOKUP(B98,Transporte[DESCRIPCION],Transporte[UND],,0),"")</f>
        <v/>
      </c>
      <c r="D98" s="31"/>
      <c r="E98" s="32" t="str">
        <f>IFERROR(_xlfn.XLOOKUP($B98,Transporte[DESCRIPCION],Transporte[VALOR],,0),"")</f>
        <v/>
      </c>
      <c r="F98" s="33"/>
      <c r="G98" s="34" t="str">
        <f>IFERROR(IF(F98&gt;=0,D98*E98*(1+F98/100),ABS(D98*E98/F98)),"")</f>
        <v/>
      </c>
      <c r="H98" s="43" t="str">
        <f>IFERROR(G98*E84,"")</f>
        <v/>
      </c>
    </row>
    <row r="99" spans="1:11">
      <c r="A99" s="21"/>
      <c r="B99" s="22" t="s">
        <v>3732</v>
      </c>
      <c r="C99" s="23"/>
      <c r="D99" s="24"/>
      <c r="E99" s="25"/>
      <c r="F99" s="26"/>
      <c r="G99" s="27">
        <f>SUM(G100:G102)</f>
        <v>26199.229241250006</v>
      </c>
      <c r="H99" s="43">
        <f>IFERROR(G99*E84,"")</f>
        <v>0</v>
      </c>
    </row>
    <row r="100" spans="1:11">
      <c r="A100" s="28"/>
      <c r="B100" s="29" t="s">
        <v>3710</v>
      </c>
      <c r="C100" s="30" t="str">
        <f>IFERROR(_xlfn.XLOOKUP(B100,MObra[DESCRIPCION],MObra[UN],,0),"")</f>
        <v>día</v>
      </c>
      <c r="D100" s="31">
        <v>1</v>
      </c>
      <c r="E100" s="32">
        <f>IFERROR(_xlfn.XLOOKUP($B100,MObra[DESCRIPCION],MObra[VALOR UNIT],,0),"")</f>
        <v>314390.75089500006</v>
      </c>
      <c r="F100" s="33">
        <v>-12</v>
      </c>
      <c r="G100" s="34">
        <f>IFERROR(IF(F100&gt;=0,D100*E100*(1+F100/100),ABS(D100*E100/F100)),"")</f>
        <v>26199.229241250006</v>
      </c>
      <c r="H100" s="43">
        <f>IFERROR(G100*E84,"")</f>
        <v>0</v>
      </c>
    </row>
    <row r="101" spans="1:11">
      <c r="A101" s="28"/>
      <c r="B101" s="29"/>
      <c r="C101" s="30" t="str">
        <f>IFERROR(_xlfn.XLOOKUP(B101,MObra[DESCRIPCION],MObra[UN],,0),"")</f>
        <v/>
      </c>
      <c r="D101" s="31"/>
      <c r="E101" s="32" t="str">
        <f>IFERROR(_xlfn.XLOOKUP($B101,MObra[DESCRIPCION],MObra[VALOR UNIT],,0),"")</f>
        <v/>
      </c>
      <c r="F101" s="33"/>
      <c r="G101" s="34" t="str">
        <f>IFERROR(IF(F101&gt;=0,D101*E101*(1+F101/100),ABS(D101*E101/F101)),"")</f>
        <v/>
      </c>
      <c r="H101" s="43" t="str">
        <f>IFERROR(G101*E84,"")</f>
        <v/>
      </c>
    </row>
    <row r="102" spans="1:11">
      <c r="A102" s="35"/>
      <c r="B102" s="36"/>
      <c r="C102" s="37" t="str">
        <f>IFERROR(_xlfn.XLOOKUP(B102,MObra[DESCRIPCION],MObra[UN],,0),"")</f>
        <v/>
      </c>
      <c r="D102" s="38"/>
      <c r="E102" s="39" t="str">
        <f>IFERROR(_xlfn.XLOOKUP($B102,MObra[DESCRIPCION],MObra[VALOR UNIT],,0),"")</f>
        <v/>
      </c>
      <c r="F102" s="40"/>
      <c r="G102" s="41" t="str">
        <f>IFERROR(IF(F102&gt;=0,D102*E102*(1+F102/100),ABS(D102*E102/F102)),"")</f>
        <v/>
      </c>
      <c r="H102" s="42" t="str">
        <f>IFERROR(G102*E84,"")</f>
        <v/>
      </c>
    </row>
    <row r="104" spans="1:11">
      <c r="A104" s="6" t="s">
        <v>1378</v>
      </c>
      <c r="B104" s="7" t="str">
        <f>VLOOKUP($A104,Presupuesto!$A:$D,2,FALSE())</f>
        <v>Estuco + pintura vinilo 3 manos muros</v>
      </c>
      <c r="C104" s="8" t="str">
        <f>VLOOKUP($A104,Presupuesto!$A:$D,3,FALSE())</f>
        <v>M2</v>
      </c>
      <c r="D104" s="9"/>
      <c r="E104" s="10">
        <f>VLOOKUP($A104,Presupuesto!$A:$D,4,FALSE())</f>
        <v>0</v>
      </c>
      <c r="F104" s="11" t="s">
        <v>2589</v>
      </c>
      <c r="G104" s="12">
        <f>SUM(G106:G122)/2</f>
        <v>47804.119502250003</v>
      </c>
      <c r="H104" s="13">
        <f>ROUND(SUM(H106:H122),0)/2</f>
        <v>0</v>
      </c>
      <c r="I104" s="10">
        <f>VLOOKUP(A104,Presupuesto!$A:$F,6,0)</f>
        <v>0</v>
      </c>
      <c r="J104" s="10">
        <f>+H104-I104</f>
        <v>0</v>
      </c>
      <c r="K104" s="46">
        <f>+H104-G104*E104</f>
        <v>0</v>
      </c>
    </row>
    <row r="105" spans="1:11">
      <c r="A105" s="14"/>
      <c r="B105" s="15" t="s">
        <v>2586</v>
      </c>
      <c r="C105" s="15" t="s">
        <v>5</v>
      </c>
      <c r="D105" s="16" t="s">
        <v>6</v>
      </c>
      <c r="E105" s="17" t="s">
        <v>7</v>
      </c>
      <c r="F105" s="18" t="s">
        <v>3728</v>
      </c>
      <c r="G105" s="19" t="s">
        <v>3729</v>
      </c>
      <c r="H105" s="20" t="s">
        <v>3797</v>
      </c>
    </row>
    <row r="106" spans="1:11">
      <c r="A106" s="21"/>
      <c r="B106" s="22" t="s">
        <v>3730</v>
      </c>
      <c r="C106" s="23"/>
      <c r="D106" s="24"/>
      <c r="E106" s="25"/>
      <c r="F106" s="26"/>
      <c r="G106" s="27">
        <f>SUM(G107:G111)</f>
        <v>19992.63</v>
      </c>
      <c r="H106" s="27">
        <f>IFERROR(G106*E104,"")</f>
        <v>0</v>
      </c>
    </row>
    <row r="107" spans="1:11">
      <c r="A107" s="28"/>
      <c r="B107" s="29" t="s">
        <v>2947</v>
      </c>
      <c r="C107" s="30" t="str">
        <f>IFERROR(_xlfn.XLOOKUP(B107,Insumo[DESCRIPCION],Insumo[UND],,0),"")</f>
        <v>Kg</v>
      </c>
      <c r="D107" s="31">
        <v>0.1</v>
      </c>
      <c r="E107" s="32">
        <f>IFERROR(_xlfn.XLOOKUP($B107,Insumo[DESCRIPCION],Insumo[VALOR],,0),"")</f>
        <v>52767.75</v>
      </c>
      <c r="F107" s="33"/>
      <c r="G107" s="34">
        <f>IFERROR(IF(F107&gt;=0,D107*E107*(1+F107/100),ABS(D107*E107/F107)),"")</f>
        <v>5276.7750000000005</v>
      </c>
      <c r="H107" s="43">
        <f>IFERROR(G107*E104,"")</f>
        <v>0</v>
      </c>
    </row>
    <row r="108" spans="1:11">
      <c r="A108" s="28"/>
      <c r="B108" s="29" t="s">
        <v>3210</v>
      </c>
      <c r="C108" s="30" t="str">
        <f>IFERROR(_xlfn.XLOOKUP(B108,Insumo[DESCRIPCION],Insumo[UND],,0),"")</f>
        <v>galón</v>
      </c>
      <c r="D108" s="31">
        <v>0.15</v>
      </c>
      <c r="E108" s="32">
        <f>IFERROR(_xlfn.XLOOKUP($B108,Insumo[DESCRIPCION],Insumo[VALOR],,0),"")</f>
        <v>98105.7</v>
      </c>
      <c r="F108" s="33"/>
      <c r="G108" s="34">
        <f>IFERROR(IF(F108&gt;=0,D108*E108*(1+F108/100),ABS(D108*E108/F108)),"")</f>
        <v>14715.855</v>
      </c>
      <c r="H108" s="43">
        <f>IFERROR(G108*E104,"")</f>
        <v>0</v>
      </c>
    </row>
    <row r="109" spans="1:11">
      <c r="A109" s="28"/>
      <c r="B109" s="29"/>
      <c r="C109" s="30" t="str">
        <f>IFERROR(_xlfn.XLOOKUP(B109,Insumo[DESCRIPCION],Insumo[UND],,0),"")</f>
        <v/>
      </c>
      <c r="D109" s="31"/>
      <c r="E109" s="32" t="str">
        <f>IFERROR(_xlfn.XLOOKUP($B109,Insumo[DESCRIPCION],Insumo[VALOR],,0),"")</f>
        <v/>
      </c>
      <c r="F109" s="33"/>
      <c r="G109" s="34" t="str">
        <f>IFERROR(IF(F109&gt;=0,D109*E109*(1+F109/100),ABS(D109*E109/F109)),"")</f>
        <v/>
      </c>
      <c r="H109" s="43" t="str">
        <f>IFERROR(G109*E104,"")</f>
        <v/>
      </c>
    </row>
    <row r="110" spans="1:11">
      <c r="A110" s="28"/>
      <c r="B110" s="29"/>
      <c r="C110" s="30" t="str">
        <f>IFERROR(_xlfn.XLOOKUP(B110,Insumo[DESCRIPCION],Insumo[UND],,0),"")</f>
        <v/>
      </c>
      <c r="D110" s="31"/>
      <c r="E110" s="32" t="str">
        <f>IFERROR(_xlfn.XLOOKUP($B110,Insumo[DESCRIPCION],Insumo[VALOR],,0),"")</f>
        <v/>
      </c>
      <c r="F110" s="33"/>
      <c r="G110" s="34" t="str">
        <f>IFERROR(IF(F110&gt;=0,D110*E110*(1+F110/100),ABS(D110*E110/F110)),"")</f>
        <v/>
      </c>
      <c r="H110" s="43" t="str">
        <f>IFERROR(G110*E104,"")</f>
        <v/>
      </c>
    </row>
    <row r="111" spans="1:11">
      <c r="A111" s="28"/>
      <c r="B111" s="29"/>
      <c r="C111" s="30" t="str">
        <f>IFERROR(_xlfn.XLOOKUP(B111,Insumo[DESCRIPCION],Insumo[UND],,0),"")</f>
        <v/>
      </c>
      <c r="D111" s="31"/>
      <c r="E111" s="32" t="str">
        <f>IFERROR(_xlfn.XLOOKUP($B111,Insumo[DESCRIPCION],Insumo[VALOR],,0),"")</f>
        <v/>
      </c>
      <c r="F111" s="33"/>
      <c r="G111" s="34" t="str">
        <f>IFERROR(IF(F111&gt;=0,D111*E111*(1+F111/100),ABS(D111*E111/F111)),"")</f>
        <v/>
      </c>
      <c r="H111" s="43" t="str">
        <f>IFERROR(G111*E104,"")</f>
        <v/>
      </c>
    </row>
    <row r="112" spans="1:11">
      <c r="A112" s="21"/>
      <c r="B112" s="22" t="s">
        <v>3731</v>
      </c>
      <c r="C112" s="23"/>
      <c r="D112" s="24"/>
      <c r="E112" s="25"/>
      <c r="F112" s="26"/>
      <c r="G112" s="27">
        <f>SUM(G113:G115)</f>
        <v>3627.5855872500006</v>
      </c>
      <c r="H112" s="44">
        <f>G112*E104</f>
        <v>0</v>
      </c>
    </row>
    <row r="113" spans="1:11">
      <c r="A113" s="28"/>
      <c r="B113" s="29" t="s">
        <v>3573</v>
      </c>
      <c r="C113" s="30" t="str">
        <f>IFERROR(_xlfn.XLOOKUP(B113,Equipo[DESCRIPCION],Equipo[UND],,0),"")</f>
        <v>%MO</v>
      </c>
      <c r="D113" s="31">
        <v>0.1</v>
      </c>
      <c r="E113" s="32">
        <f>IF(C113="%MO",G119,IFERROR(_xlfn.XLOOKUP($B113,Equipo[DESCRIPCION],Equipo[VALOR],,0),""))</f>
        <v>24183.903915000006</v>
      </c>
      <c r="F113" s="33"/>
      <c r="G113" s="34">
        <f>IFERROR(IF(F113&gt;=0,D113*E113*(1+F113/100),ABS(D113*E113/F113)),"")</f>
        <v>2418.3903915000005</v>
      </c>
      <c r="H113" s="43">
        <f>IFERROR(G113*E104,"")</f>
        <v>0</v>
      </c>
    </row>
    <row r="114" spans="1:11">
      <c r="A114" s="28"/>
      <c r="B114" s="29" t="s">
        <v>3626</v>
      </c>
      <c r="C114" s="30" t="str">
        <f>IFERROR(_xlfn.XLOOKUP(B114,Equipo[DESCRIPCION],Equipo[UND],,0),"")</f>
        <v>%MO</v>
      </c>
      <c r="D114" s="31">
        <v>0.05</v>
      </c>
      <c r="E114" s="32">
        <f>IF(C114="%MO",G119,IFERROR(_xlfn.XLOOKUP($B114,Equipo[DESCRIPCION],Equipo[VALOR],,0),""))</f>
        <v>24183.903915000006</v>
      </c>
      <c r="F114" s="33"/>
      <c r="G114" s="34">
        <f>IFERROR(IF(F114&gt;=0,D114*E114*(1+F114/100),ABS(D114*E114/F114)),"")</f>
        <v>1209.1951957500003</v>
      </c>
      <c r="H114" s="43">
        <f>IFERROR(G114*E104,"")</f>
        <v>0</v>
      </c>
    </row>
    <row r="115" spans="1:11">
      <c r="A115" s="28"/>
      <c r="B115" s="29"/>
      <c r="C115" s="30" t="str">
        <f>IFERROR(_xlfn.XLOOKUP(B115,Equipo[DESCRIPCION],Equipo[UND],,0),"")</f>
        <v/>
      </c>
      <c r="D115" s="31"/>
      <c r="E115" s="32" t="str">
        <f>IF(C115="%MO",G119,IFERROR(_xlfn.XLOOKUP($B115,Equipo[DESCRIPCION],Equipo[VALOR],,0),""))</f>
        <v/>
      </c>
      <c r="F115" s="33"/>
      <c r="G115" s="34" t="str">
        <f>IFERROR(IF(F115&gt;=0,D115*E115*(1+F115/100),ABS(D115*E115/F115)),"")</f>
        <v/>
      </c>
      <c r="H115" s="43" t="str">
        <f>IFERROR(G115*E104,"")</f>
        <v/>
      </c>
    </row>
    <row r="116" spans="1:11">
      <c r="A116" s="21"/>
      <c r="B116" s="22" t="s">
        <v>2533</v>
      </c>
      <c r="C116" s="23"/>
      <c r="D116" s="24"/>
      <c r="E116" s="25"/>
      <c r="F116" s="26"/>
      <c r="G116" s="27">
        <f>SUM(G117:G118)</f>
        <v>0</v>
      </c>
      <c r="H116" s="138">
        <f>IFERROR(G116*E104,"")</f>
        <v>0</v>
      </c>
    </row>
    <row r="117" spans="1:11">
      <c r="A117" s="28"/>
      <c r="B117" s="29"/>
      <c r="C117" s="30" t="str">
        <f>IFERROR(_xlfn.XLOOKUP(B117,Transporte[DESCRIPCION],Transporte[UND],,0),"")</f>
        <v/>
      </c>
      <c r="D117" s="31"/>
      <c r="E117" s="32" t="str">
        <f>IFERROR(_xlfn.XLOOKUP($B117,Transporte[DESCRIPCION],Transporte[VALOR],,0),"")</f>
        <v/>
      </c>
      <c r="F117" s="33"/>
      <c r="G117" s="34" t="str">
        <f>IFERROR(IF(F117&gt;=0,D117*E117*(1+F117/100),ABS(D117*E117/F117)),"")</f>
        <v/>
      </c>
      <c r="H117" s="43" t="str">
        <f>IFERROR(G117*E104,"")</f>
        <v/>
      </c>
    </row>
    <row r="118" spans="1:11">
      <c r="A118" s="28"/>
      <c r="B118" s="29"/>
      <c r="C118" s="30" t="str">
        <f>IFERROR(_xlfn.XLOOKUP(B118,Transporte[DESCRIPCION],Transporte[UND],,0),"")</f>
        <v/>
      </c>
      <c r="D118" s="31"/>
      <c r="E118" s="32" t="str">
        <f>IFERROR(_xlfn.XLOOKUP($B118,Transporte[DESCRIPCION],Transporte[VALOR],,0),"")</f>
        <v/>
      </c>
      <c r="F118" s="33"/>
      <c r="G118" s="34" t="str">
        <f>IFERROR(IF(F118&gt;=0,D118*E118*(1+F118/100),ABS(D118*E118/F118)),"")</f>
        <v/>
      </c>
      <c r="H118" s="43" t="str">
        <f>IFERROR(G118*E104,"")</f>
        <v/>
      </c>
    </row>
    <row r="119" spans="1:11">
      <c r="A119" s="21"/>
      <c r="B119" s="22" t="s">
        <v>3732</v>
      </c>
      <c r="C119" s="23"/>
      <c r="D119" s="24"/>
      <c r="E119" s="25"/>
      <c r="F119" s="26"/>
      <c r="G119" s="27">
        <f>SUM(G120:G122)</f>
        <v>24183.903915000006</v>
      </c>
      <c r="H119" s="43">
        <f>IFERROR(G119*E104,"")</f>
        <v>0</v>
      </c>
    </row>
    <row r="120" spans="1:11">
      <c r="A120" s="28"/>
      <c r="B120" s="29" t="s">
        <v>3710</v>
      </c>
      <c r="C120" s="30" t="str">
        <f>IFERROR(_xlfn.XLOOKUP(B120,MObra[DESCRIPCION],MObra[UN],,0),"")</f>
        <v>día</v>
      </c>
      <c r="D120" s="31">
        <v>1</v>
      </c>
      <c r="E120" s="32">
        <f>IFERROR(_xlfn.XLOOKUP($B120,MObra[DESCRIPCION],MObra[VALOR UNIT],,0),"")</f>
        <v>314390.75089500006</v>
      </c>
      <c r="F120" s="33">
        <v>-13</v>
      </c>
      <c r="G120" s="34">
        <f>IFERROR(IF(F120&gt;=0,D120*E120*(1+F120/100),ABS(D120*E120/F120)),"")</f>
        <v>24183.903915000006</v>
      </c>
      <c r="H120" s="43">
        <f>IFERROR(G120*E104,"")</f>
        <v>0</v>
      </c>
    </row>
    <row r="121" spans="1:11">
      <c r="A121" s="28"/>
      <c r="B121" s="29"/>
      <c r="C121" s="30" t="str">
        <f>IFERROR(_xlfn.XLOOKUP(B121,MObra[DESCRIPCION],MObra[UN],,0),"")</f>
        <v/>
      </c>
      <c r="D121" s="31"/>
      <c r="E121" s="32" t="str">
        <f>IFERROR(_xlfn.XLOOKUP($B121,MObra[DESCRIPCION],MObra[VALOR UNIT],,0),"")</f>
        <v/>
      </c>
      <c r="F121" s="33"/>
      <c r="G121" s="34" t="str">
        <f>IFERROR(IF(F121&gt;=0,D121*E121*(1+F121/100),ABS(D121*E121/F121)),"")</f>
        <v/>
      </c>
      <c r="H121" s="43" t="str">
        <f>IFERROR(G121*E104,"")</f>
        <v/>
      </c>
    </row>
    <row r="122" spans="1:11">
      <c r="A122" s="35"/>
      <c r="B122" s="36"/>
      <c r="C122" s="37" t="str">
        <f>IFERROR(_xlfn.XLOOKUP(B122,MObra[DESCRIPCION],MObra[UN],,0),"")</f>
        <v/>
      </c>
      <c r="D122" s="38"/>
      <c r="E122" s="39" t="str">
        <f>IFERROR(_xlfn.XLOOKUP($B122,MObra[DESCRIPCION],MObra[VALOR UNIT],,0),"")</f>
        <v/>
      </c>
      <c r="F122" s="40"/>
      <c r="G122" s="41" t="str">
        <f>IFERROR(IF(F122&gt;=0,D122*E122*(1+F122/100),ABS(D122*E122/F122)),"")</f>
        <v/>
      </c>
      <c r="H122" s="42" t="str">
        <f>IFERROR(G122*E104,"")</f>
        <v/>
      </c>
    </row>
    <row r="124" spans="1:11">
      <c r="A124" s="6" t="s">
        <v>1380</v>
      </c>
      <c r="B124" s="7" t="str">
        <f>VLOOKUP($A124,Presupuesto!$A:$D,2,FALSE())</f>
        <v>Graniplast fachada</v>
      </c>
      <c r="C124" s="8" t="str">
        <f>VLOOKUP($A124,Presupuesto!$A:$D,3,FALSE())</f>
        <v>M2</v>
      </c>
      <c r="D124" s="9"/>
      <c r="E124" s="10">
        <f>VLOOKUP($A124,Presupuesto!$A:$D,4,FALSE())</f>
        <v>0</v>
      </c>
      <c r="F124" s="11" t="s">
        <v>2589</v>
      </c>
      <c r="G124" s="12">
        <f>SUM(G126:G142)/2</f>
        <v>55085.646610750002</v>
      </c>
      <c r="H124" s="13">
        <f>ROUND(SUM(H126:H142),0)/2</f>
        <v>0</v>
      </c>
      <c r="I124" s="10">
        <f>VLOOKUP(A124,Presupuesto!$A:$F,6,0)</f>
        <v>0</v>
      </c>
      <c r="J124" s="10">
        <f>+H124-I124</f>
        <v>0</v>
      </c>
      <c r="K124" s="46">
        <f>+H124-G124*E124</f>
        <v>0</v>
      </c>
    </row>
    <row r="125" spans="1:11">
      <c r="A125" s="14"/>
      <c r="B125" s="15" t="s">
        <v>2586</v>
      </c>
      <c r="C125" s="15" t="s">
        <v>5</v>
      </c>
      <c r="D125" s="16" t="s">
        <v>6</v>
      </c>
      <c r="E125" s="17" t="s">
        <v>7</v>
      </c>
      <c r="F125" s="18" t="s">
        <v>3728</v>
      </c>
      <c r="G125" s="19" t="s">
        <v>3729</v>
      </c>
      <c r="H125" s="20" t="s">
        <v>3797</v>
      </c>
    </row>
    <row r="126" spans="1:11">
      <c r="A126" s="21"/>
      <c r="B126" s="22" t="s">
        <v>3730</v>
      </c>
      <c r="C126" s="23"/>
      <c r="D126" s="24"/>
      <c r="E126" s="25"/>
      <c r="F126" s="26"/>
      <c r="G126" s="27">
        <f>SUM(G127:G131)</f>
        <v>27324.57</v>
      </c>
      <c r="H126" s="27">
        <f>IFERROR(G126*E124,"")</f>
        <v>0</v>
      </c>
    </row>
    <row r="127" spans="1:11">
      <c r="A127" s="28"/>
      <c r="B127" s="29" t="s">
        <v>2978</v>
      </c>
      <c r="C127" s="30" t="str">
        <f>IFERROR(_xlfn.XLOOKUP(B127,Insumo[DESCRIPCION],Insumo[UND],,0),"")</f>
        <v>cuñete</v>
      </c>
      <c r="D127" s="31">
        <v>0.15</v>
      </c>
      <c r="E127" s="32">
        <f>IFERROR(_xlfn.XLOOKUP($B127,Insumo[DESCRIPCION],Insumo[VALOR],,0),"")</f>
        <v>144351.9</v>
      </c>
      <c r="F127" s="33"/>
      <c r="G127" s="34">
        <f>IFERROR(IF(F127&gt;=0,D127*E127*(1+F127/100),ABS(D127*E127/F127)),"")</f>
        <v>21652.785</v>
      </c>
      <c r="H127" s="43">
        <f>IFERROR(G127*E124,"")</f>
        <v>0</v>
      </c>
    </row>
    <row r="128" spans="1:11">
      <c r="A128" s="28"/>
      <c r="B128" s="29" t="s">
        <v>2661</v>
      </c>
      <c r="C128" s="30" t="str">
        <f>IFERROR(_xlfn.XLOOKUP(B128,Insumo[DESCRIPCION],Insumo[UND],,0),"")</f>
        <v>galón</v>
      </c>
      <c r="D128" s="31">
        <v>0.1</v>
      </c>
      <c r="E128" s="32">
        <f>IFERROR(_xlfn.XLOOKUP($B128,Insumo[DESCRIPCION],Insumo[VALOR],,0),"")</f>
        <v>56717.850000000006</v>
      </c>
      <c r="F128" s="33"/>
      <c r="G128" s="34">
        <f>IFERROR(IF(F128&gt;=0,D128*E128*(1+F128/100),ABS(D128*E128/F128)),"")</f>
        <v>5671.7850000000008</v>
      </c>
      <c r="H128" s="43">
        <f>IFERROR(G128*E124,"")</f>
        <v>0</v>
      </c>
    </row>
    <row r="129" spans="1:11">
      <c r="A129" s="28"/>
      <c r="B129" s="29"/>
      <c r="C129" s="30" t="str">
        <f>IFERROR(_xlfn.XLOOKUP(B129,Insumo[DESCRIPCION],Insumo[UND],,0),"")</f>
        <v/>
      </c>
      <c r="D129" s="31"/>
      <c r="E129" s="32" t="str">
        <f>IFERROR(_xlfn.XLOOKUP($B129,Insumo[DESCRIPCION],Insumo[VALOR],,0),"")</f>
        <v/>
      </c>
      <c r="F129" s="33"/>
      <c r="G129" s="34" t="str">
        <f>IFERROR(IF(F129&gt;=0,D129*E129*(1+F129/100),ABS(D129*E129/F129)),"")</f>
        <v/>
      </c>
      <c r="H129" s="43" t="str">
        <f>IFERROR(G129*E124,"")</f>
        <v/>
      </c>
    </row>
    <row r="130" spans="1:11">
      <c r="A130" s="28"/>
      <c r="B130" s="29"/>
      <c r="C130" s="30" t="str">
        <f>IFERROR(_xlfn.XLOOKUP(B130,Insumo[DESCRIPCION],Insumo[UND],,0),"")</f>
        <v/>
      </c>
      <c r="D130" s="31"/>
      <c r="E130" s="32" t="str">
        <f>IFERROR(_xlfn.XLOOKUP($B130,Insumo[DESCRIPCION],Insumo[VALOR],,0),"")</f>
        <v/>
      </c>
      <c r="F130" s="33"/>
      <c r="G130" s="34" t="str">
        <f>IFERROR(IF(F130&gt;=0,D130*E130*(1+F130/100),ABS(D130*E130/F130)),"")</f>
        <v/>
      </c>
      <c r="H130" s="43" t="str">
        <f>IFERROR(G130*E124,"")</f>
        <v/>
      </c>
    </row>
    <row r="131" spans="1:11">
      <c r="A131" s="28"/>
      <c r="B131" s="29"/>
      <c r="C131" s="30" t="str">
        <f>IFERROR(_xlfn.XLOOKUP(B131,Insumo[DESCRIPCION],Insumo[UND],,0),"")</f>
        <v/>
      </c>
      <c r="D131" s="31"/>
      <c r="E131" s="32" t="str">
        <f>IFERROR(_xlfn.XLOOKUP($B131,Insumo[DESCRIPCION],Insumo[VALOR],,0),"")</f>
        <v/>
      </c>
      <c r="F131" s="33"/>
      <c r="G131" s="34" t="str">
        <f>IFERROR(IF(F131&gt;=0,D131*E131*(1+F131/100),ABS(D131*E131/F131)),"")</f>
        <v/>
      </c>
      <c r="H131" s="43" t="str">
        <f>IFERROR(G131*E124,"")</f>
        <v/>
      </c>
    </row>
    <row r="132" spans="1:11">
      <c r="A132" s="21"/>
      <c r="B132" s="22" t="s">
        <v>3731</v>
      </c>
      <c r="C132" s="23"/>
      <c r="D132" s="24"/>
      <c r="E132" s="25"/>
      <c r="F132" s="26"/>
      <c r="G132" s="27">
        <f>SUM(G133:G135)</f>
        <v>3577.1726957500005</v>
      </c>
      <c r="H132" s="44">
        <f>G132*E124</f>
        <v>0</v>
      </c>
    </row>
    <row r="133" spans="1:11">
      <c r="A133" s="28"/>
      <c r="B133" s="29" t="s">
        <v>3575</v>
      </c>
      <c r="C133" s="30" t="str">
        <f>IFERROR(_xlfn.XLOOKUP(B133,Equipo[DESCRIPCION],Equipo[UND],,0),"")</f>
        <v>Día</v>
      </c>
      <c r="D133" s="31">
        <v>1</v>
      </c>
      <c r="E133" s="32">
        <f>IF(C133="%MO",G139,IFERROR(_xlfn.XLOOKUP($B133,Equipo[DESCRIPCION],Equipo[VALOR],,0),""))</f>
        <v>142078.65</v>
      </c>
      <c r="F133" s="33">
        <v>-60</v>
      </c>
      <c r="G133" s="34">
        <f>IFERROR(IF(F133&gt;=0,D133*E133*(1+F133/100),ABS(D133*E133/F133)),"")</f>
        <v>2367.9775</v>
      </c>
      <c r="H133" s="43">
        <f>IFERROR(G133*E124,"")</f>
        <v>0</v>
      </c>
    </row>
    <row r="134" spans="1:11">
      <c r="A134" s="28"/>
      <c r="B134" s="29" t="s">
        <v>3626</v>
      </c>
      <c r="C134" s="30" t="str">
        <f>IFERROR(_xlfn.XLOOKUP(B134,Equipo[DESCRIPCION],Equipo[UND],,0),"")</f>
        <v>%MO</v>
      </c>
      <c r="D134" s="31">
        <v>0.05</v>
      </c>
      <c r="E134" s="32">
        <f>IF(C134="%MO",G139,IFERROR(_xlfn.XLOOKUP($B134,Equipo[DESCRIPCION],Equipo[VALOR],,0),""))</f>
        <v>24183.903915000006</v>
      </c>
      <c r="F134" s="33"/>
      <c r="G134" s="34">
        <f>IFERROR(IF(F134&gt;=0,D134*E134*(1+F134/100),ABS(D134*E134/F134)),"")</f>
        <v>1209.1951957500003</v>
      </c>
      <c r="H134" s="43">
        <f>IFERROR(G134*E124,"")</f>
        <v>0</v>
      </c>
    </row>
    <row r="135" spans="1:11">
      <c r="A135" s="28"/>
      <c r="B135" s="29"/>
      <c r="C135" s="30" t="str">
        <f>IFERROR(_xlfn.XLOOKUP(B135,Equipo[DESCRIPCION],Equipo[UND],,0),"")</f>
        <v/>
      </c>
      <c r="D135" s="31"/>
      <c r="E135" s="32" t="str">
        <f>IF(C135="%MO",G139,IFERROR(_xlfn.XLOOKUP($B135,Equipo[DESCRIPCION],Equipo[VALOR],,0),""))</f>
        <v/>
      </c>
      <c r="F135" s="33"/>
      <c r="G135" s="34" t="str">
        <f>IFERROR(IF(F135&gt;=0,D135*E135*(1+F135/100),ABS(D135*E135/F135)),"")</f>
        <v/>
      </c>
      <c r="H135" s="43" t="str">
        <f>IFERROR(G135*E124,"")</f>
        <v/>
      </c>
    </row>
    <row r="136" spans="1:11">
      <c r="A136" s="21"/>
      <c r="B136" s="22" t="s">
        <v>2533</v>
      </c>
      <c r="C136" s="23"/>
      <c r="D136" s="24"/>
      <c r="E136" s="25"/>
      <c r="F136" s="26"/>
      <c r="G136" s="27">
        <f>SUM(G137:G138)</f>
        <v>0</v>
      </c>
      <c r="H136" s="138">
        <f>IFERROR(G136*E124,"")</f>
        <v>0</v>
      </c>
    </row>
    <row r="137" spans="1:11">
      <c r="A137" s="28"/>
      <c r="B137" s="29"/>
      <c r="C137" s="30" t="str">
        <f>IFERROR(_xlfn.XLOOKUP(B137,Transporte[DESCRIPCION],Transporte[UND],,0),"")</f>
        <v/>
      </c>
      <c r="D137" s="31"/>
      <c r="E137" s="32" t="str">
        <f>IFERROR(_xlfn.XLOOKUP($B137,Transporte[DESCRIPCION],Transporte[VALOR],,0),"")</f>
        <v/>
      </c>
      <c r="F137" s="33"/>
      <c r="G137" s="34" t="str">
        <f>IFERROR(IF(F137&gt;=0,D137*E137*(1+F137/100),ABS(D137*E137/F137)),"")</f>
        <v/>
      </c>
      <c r="H137" s="43" t="str">
        <f>IFERROR(G137*E124,"")</f>
        <v/>
      </c>
    </row>
    <row r="138" spans="1:11">
      <c r="A138" s="28"/>
      <c r="B138" s="29"/>
      <c r="C138" s="30" t="str">
        <f>IFERROR(_xlfn.XLOOKUP(B138,Transporte[DESCRIPCION],Transporte[UND],,0),"")</f>
        <v/>
      </c>
      <c r="D138" s="31"/>
      <c r="E138" s="32" t="str">
        <f>IFERROR(_xlfn.XLOOKUP($B138,Transporte[DESCRIPCION],Transporte[VALOR],,0),"")</f>
        <v/>
      </c>
      <c r="F138" s="33"/>
      <c r="G138" s="34" t="str">
        <f>IFERROR(IF(F138&gt;=0,D138*E138*(1+F138/100),ABS(D138*E138/F138)),"")</f>
        <v/>
      </c>
      <c r="H138" s="43" t="str">
        <f>IFERROR(G138*E124,"")</f>
        <v/>
      </c>
    </row>
    <row r="139" spans="1:11">
      <c r="A139" s="21"/>
      <c r="B139" s="22" t="s">
        <v>3732</v>
      </c>
      <c r="C139" s="23"/>
      <c r="D139" s="24"/>
      <c r="E139" s="25"/>
      <c r="F139" s="26"/>
      <c r="G139" s="27">
        <f>SUM(G140:G142)</f>
        <v>24183.903915000006</v>
      </c>
      <c r="H139" s="43">
        <f>IFERROR(G139*E124,"")</f>
        <v>0</v>
      </c>
    </row>
    <row r="140" spans="1:11">
      <c r="A140" s="28"/>
      <c r="B140" s="29" t="s">
        <v>3710</v>
      </c>
      <c r="C140" s="30" t="str">
        <f>IFERROR(_xlfn.XLOOKUP(B140,MObra[DESCRIPCION],MObra[UN],,0),"")</f>
        <v>día</v>
      </c>
      <c r="D140" s="31">
        <v>1</v>
      </c>
      <c r="E140" s="32">
        <f>IFERROR(_xlfn.XLOOKUP($B140,MObra[DESCRIPCION],MObra[VALOR UNIT],,0),"")</f>
        <v>314390.75089500006</v>
      </c>
      <c r="F140" s="33">
        <v>-13</v>
      </c>
      <c r="G140" s="34">
        <f>IFERROR(IF(F140&gt;=0,D140*E140*(1+F140/100),ABS(D140*E140/F140)),"")</f>
        <v>24183.903915000006</v>
      </c>
      <c r="H140" s="43">
        <f>IFERROR(G140*E124,"")</f>
        <v>0</v>
      </c>
    </row>
    <row r="141" spans="1:11">
      <c r="A141" s="28"/>
      <c r="B141" s="29"/>
      <c r="C141" s="30" t="str">
        <f>IFERROR(_xlfn.XLOOKUP(B141,MObra[DESCRIPCION],MObra[UN],,0),"")</f>
        <v/>
      </c>
      <c r="D141" s="31"/>
      <c r="E141" s="32" t="str">
        <f>IFERROR(_xlfn.XLOOKUP($B141,MObra[DESCRIPCION],MObra[VALOR UNIT],,0),"")</f>
        <v/>
      </c>
      <c r="F141" s="33"/>
      <c r="G141" s="34" t="str">
        <f>IFERROR(IF(F141&gt;=0,D141*E141*(1+F141/100),ABS(D141*E141/F141)),"")</f>
        <v/>
      </c>
      <c r="H141" s="43" t="str">
        <f>IFERROR(G141*E124,"")</f>
        <v/>
      </c>
    </row>
    <row r="142" spans="1:11">
      <c r="A142" s="35"/>
      <c r="B142" s="36"/>
      <c r="C142" s="37" t="str">
        <f>IFERROR(_xlfn.XLOOKUP(B142,MObra[DESCRIPCION],MObra[UN],,0),"")</f>
        <v/>
      </c>
      <c r="D142" s="38"/>
      <c r="E142" s="39" t="str">
        <f>IFERROR(_xlfn.XLOOKUP($B142,MObra[DESCRIPCION],MObra[VALOR UNIT],,0),"")</f>
        <v/>
      </c>
      <c r="F142" s="40"/>
      <c r="G142" s="41" t="str">
        <f>IFERROR(IF(F142&gt;=0,D142*E142*(1+F142/100),ABS(D142*E142/F142)),"")</f>
        <v/>
      </c>
      <c r="H142" s="42" t="str">
        <f>IFERROR(G142*E124,"")</f>
        <v/>
      </c>
    </row>
    <row r="144" spans="1:11">
      <c r="A144" s="6" t="s">
        <v>1382</v>
      </c>
      <c r="B144" s="7" t="str">
        <f>VLOOKUP($A144,Presupuesto!$A:$D,2,FALSE())</f>
        <v>Imprimación muros base sintética</v>
      </c>
      <c r="C144" s="8" t="str">
        <f>VLOOKUP($A144,Presupuesto!$A:$D,3,FALSE())</f>
        <v>M2</v>
      </c>
      <c r="D144" s="9"/>
      <c r="E144" s="10">
        <f>VLOOKUP($A144,Presupuesto!$A:$D,4,FALSE())</f>
        <v>0</v>
      </c>
      <c r="F144" s="11" t="s">
        <v>2589</v>
      </c>
      <c r="G144" s="12">
        <f>SUM(G146:G162)/2</f>
        <v>21605.945621575003</v>
      </c>
      <c r="H144" s="13">
        <f>ROUND(SUM(H146:H162),0)/2</f>
        <v>0</v>
      </c>
      <c r="I144" s="10">
        <f>VLOOKUP(A144,Presupuesto!$A:$F,6,0)</f>
        <v>0</v>
      </c>
      <c r="J144" s="10">
        <f>+H144-I144</f>
        <v>0</v>
      </c>
      <c r="K144" s="46">
        <f>+H144-G144*E144</f>
        <v>0</v>
      </c>
    </row>
    <row r="145" spans="1:8">
      <c r="A145" s="14"/>
      <c r="B145" s="15" t="s">
        <v>2586</v>
      </c>
      <c r="C145" s="15" t="s">
        <v>5</v>
      </c>
      <c r="D145" s="16" t="s">
        <v>6</v>
      </c>
      <c r="E145" s="17" t="s">
        <v>7</v>
      </c>
      <c r="F145" s="18" t="s">
        <v>3728</v>
      </c>
      <c r="G145" s="19" t="s">
        <v>3729</v>
      </c>
      <c r="H145" s="20" t="s">
        <v>3797</v>
      </c>
    </row>
    <row r="146" spans="1:8">
      <c r="A146" s="21"/>
      <c r="B146" s="22" t="s">
        <v>3730</v>
      </c>
      <c r="C146" s="23"/>
      <c r="D146" s="24"/>
      <c r="E146" s="25"/>
      <c r="F146" s="26"/>
      <c r="G146" s="27">
        <f>SUM(G147:G151)</f>
        <v>12309.727500000001</v>
      </c>
      <c r="H146" s="27">
        <f>IFERROR(G146*E144,"")</f>
        <v>0</v>
      </c>
    </row>
    <row r="147" spans="1:8">
      <c r="A147" s="28"/>
      <c r="B147" s="29" t="s">
        <v>3006</v>
      </c>
      <c r="C147" s="30" t="str">
        <f>IFERROR(_xlfn.XLOOKUP(B147,Insumo[DESCRIPCION],Insumo[UND],,0),"")</f>
        <v>Lt</v>
      </c>
      <c r="D147" s="31">
        <v>0.15</v>
      </c>
      <c r="E147" s="32">
        <f>IFERROR(_xlfn.XLOOKUP($B147,Insumo[DESCRIPCION],Insumo[VALOR],,0),"")</f>
        <v>82064.850000000006</v>
      </c>
      <c r="F147" s="33"/>
      <c r="G147" s="34">
        <f>IFERROR(IF(F147&gt;=0,D147*E147*(1+F147/100),ABS(D147*E147/F147)),"")</f>
        <v>12309.727500000001</v>
      </c>
      <c r="H147" s="43">
        <f>IFERROR(G147*E144,"")</f>
        <v>0</v>
      </c>
    </row>
    <row r="148" spans="1:8">
      <c r="A148" s="28"/>
      <c r="B148" s="29"/>
      <c r="C148" s="30" t="str">
        <f>IFERROR(_xlfn.XLOOKUP(B148,Insumo[DESCRIPCION],Insumo[UND],,0),"")</f>
        <v/>
      </c>
      <c r="D148" s="31"/>
      <c r="E148" s="32" t="str">
        <f>IFERROR(_xlfn.XLOOKUP($B148,Insumo[DESCRIPCION],Insumo[VALOR],,0),"")</f>
        <v/>
      </c>
      <c r="F148" s="33"/>
      <c r="G148" s="34" t="str">
        <f>IFERROR(IF(F148&gt;=0,D148*E148*(1+F148/100),ABS(D148*E148/F148)),"")</f>
        <v/>
      </c>
      <c r="H148" s="43" t="str">
        <f>IFERROR(G148*E144,"")</f>
        <v/>
      </c>
    </row>
    <row r="149" spans="1:8">
      <c r="A149" s="28"/>
      <c r="B149" s="29"/>
      <c r="C149" s="30" t="str">
        <f>IFERROR(_xlfn.XLOOKUP(B149,Insumo[DESCRIPCION],Insumo[UND],,0),"")</f>
        <v/>
      </c>
      <c r="D149" s="31"/>
      <c r="E149" s="32" t="str">
        <f>IFERROR(_xlfn.XLOOKUP($B149,Insumo[DESCRIPCION],Insumo[VALOR],,0),"")</f>
        <v/>
      </c>
      <c r="F149" s="33"/>
      <c r="G149" s="34" t="str">
        <f>IFERROR(IF(F149&gt;=0,D149*E149*(1+F149/100),ABS(D149*E149/F149)),"")</f>
        <v/>
      </c>
      <c r="H149" s="43" t="str">
        <f>IFERROR(G149*E144,"")</f>
        <v/>
      </c>
    </row>
    <row r="150" spans="1:8">
      <c r="A150" s="28"/>
      <c r="B150" s="29"/>
      <c r="C150" s="30" t="str">
        <f>IFERROR(_xlfn.XLOOKUP(B150,Insumo[DESCRIPCION],Insumo[UND],,0),"")</f>
        <v/>
      </c>
      <c r="D150" s="31"/>
      <c r="E150" s="32" t="str">
        <f>IFERROR(_xlfn.XLOOKUP($B150,Insumo[DESCRIPCION],Insumo[VALOR],,0),"")</f>
        <v/>
      </c>
      <c r="F150" s="33"/>
      <c r="G150" s="34" t="str">
        <f>IFERROR(IF(F150&gt;=0,D150*E150*(1+F150/100),ABS(D150*E150/F150)),"")</f>
        <v/>
      </c>
      <c r="H150" s="43" t="str">
        <f>IFERROR(G150*E144,"")</f>
        <v/>
      </c>
    </row>
    <row r="151" spans="1:8">
      <c r="A151" s="28"/>
      <c r="B151" s="29"/>
      <c r="C151" s="30" t="str">
        <f>IFERROR(_xlfn.XLOOKUP(B151,Insumo[DESCRIPCION],Insumo[UND],,0),"")</f>
        <v/>
      </c>
      <c r="D151" s="31"/>
      <c r="E151" s="32" t="str">
        <f>IFERROR(_xlfn.XLOOKUP($B151,Insumo[DESCRIPCION],Insumo[VALOR],,0),"")</f>
        <v/>
      </c>
      <c r="F151" s="33"/>
      <c r="G151" s="34" t="str">
        <f>IFERROR(IF(F151&gt;=0,D151*E151*(1+F151/100),ABS(D151*E151/F151)),"")</f>
        <v/>
      </c>
      <c r="H151" s="43" t="str">
        <f>IFERROR(G151*E144,"")</f>
        <v/>
      </c>
    </row>
    <row r="152" spans="1:8">
      <c r="A152" s="21"/>
      <c r="B152" s="22" t="s">
        <v>3731</v>
      </c>
      <c r="C152" s="23"/>
      <c r="D152" s="24"/>
      <c r="E152" s="25"/>
      <c r="F152" s="26"/>
      <c r="G152" s="27">
        <f>SUM(G153:G155)</f>
        <v>2697.8937200750001</v>
      </c>
      <c r="H152" s="44">
        <f>G152*E144</f>
        <v>0</v>
      </c>
    </row>
    <row r="153" spans="1:8">
      <c r="A153" s="28"/>
      <c r="B153" s="29" t="s">
        <v>3575</v>
      </c>
      <c r="C153" s="30" t="str">
        <f>IFERROR(_xlfn.XLOOKUP(B153,Equipo[DESCRIPCION],Equipo[UND],,0),"")</f>
        <v>Día</v>
      </c>
      <c r="D153" s="31">
        <v>1</v>
      </c>
      <c r="E153" s="32">
        <f>IF(C153="%MO",G159,IFERROR(_xlfn.XLOOKUP($B153,Equipo[DESCRIPCION],Equipo[VALOR],,0),""))</f>
        <v>142078.65</v>
      </c>
      <c r="F153" s="33">
        <v>-60</v>
      </c>
      <c r="G153" s="34">
        <f>IFERROR(IF(F153&gt;=0,D153*E153*(1+F153/100),ABS(D153*E153/F153)),"")</f>
        <v>2367.9775</v>
      </c>
      <c r="H153" s="43">
        <f>IFERROR(G153*E144,"")</f>
        <v>0</v>
      </c>
    </row>
    <row r="154" spans="1:8">
      <c r="A154" s="28"/>
      <c r="B154" s="29" t="s">
        <v>3626</v>
      </c>
      <c r="C154" s="30" t="str">
        <f>IFERROR(_xlfn.XLOOKUP(B154,Equipo[DESCRIPCION],Equipo[UND],,0),"")</f>
        <v>%MO</v>
      </c>
      <c r="D154" s="31">
        <v>0.05</v>
      </c>
      <c r="E154" s="32">
        <f>IF(C154="%MO",G159,IFERROR(_xlfn.XLOOKUP($B154,Equipo[DESCRIPCION],Equipo[VALOR],,0),""))</f>
        <v>6598.3244015000009</v>
      </c>
      <c r="F154" s="33"/>
      <c r="G154" s="34">
        <f>IFERROR(IF(F154&gt;=0,D154*E154*(1+F154/100),ABS(D154*E154/F154)),"")</f>
        <v>329.91622007500007</v>
      </c>
      <c r="H154" s="43">
        <f>IFERROR(G154*E144,"")</f>
        <v>0</v>
      </c>
    </row>
    <row r="155" spans="1:8">
      <c r="A155" s="28"/>
      <c r="B155" s="29"/>
      <c r="C155" s="30" t="str">
        <f>IFERROR(_xlfn.XLOOKUP(B155,Equipo[DESCRIPCION],Equipo[UND],,0),"")</f>
        <v/>
      </c>
      <c r="D155" s="31"/>
      <c r="E155" s="32" t="str">
        <f>IF(C155="%MO",G159,IFERROR(_xlfn.XLOOKUP($B155,Equipo[DESCRIPCION],Equipo[VALOR],,0),""))</f>
        <v/>
      </c>
      <c r="F155" s="33"/>
      <c r="G155" s="34" t="str">
        <f>IFERROR(IF(F155&gt;=0,D155*E155*(1+F155/100),ABS(D155*E155/F155)),"")</f>
        <v/>
      </c>
      <c r="H155" s="43" t="str">
        <f>IFERROR(G155*E144,"")</f>
        <v/>
      </c>
    </row>
    <row r="156" spans="1:8">
      <c r="A156" s="21"/>
      <c r="B156" s="22" t="s">
        <v>2533</v>
      </c>
      <c r="C156" s="23"/>
      <c r="D156" s="24"/>
      <c r="E156" s="25"/>
      <c r="F156" s="26"/>
      <c r="G156" s="27">
        <f>SUM(G157:G158)</f>
        <v>0</v>
      </c>
      <c r="H156" s="138">
        <f>IFERROR(G156*E144,"")</f>
        <v>0</v>
      </c>
    </row>
    <row r="157" spans="1:8">
      <c r="A157" s="28"/>
      <c r="B157" s="29"/>
      <c r="C157" s="30" t="str">
        <f>IFERROR(_xlfn.XLOOKUP(B157,Transporte[DESCRIPCION],Transporte[UND],,0),"")</f>
        <v/>
      </c>
      <c r="D157" s="31"/>
      <c r="E157" s="32" t="str">
        <f>IFERROR(_xlfn.XLOOKUP($B157,Transporte[DESCRIPCION],Transporte[VALOR],,0),"")</f>
        <v/>
      </c>
      <c r="F157" s="33"/>
      <c r="G157" s="34" t="str">
        <f>IFERROR(IF(F157&gt;=0,D157*E157*(1+F157/100),ABS(D157*E157/F157)),"")</f>
        <v/>
      </c>
      <c r="H157" s="43" t="str">
        <f>IFERROR(G157*E144,"")</f>
        <v/>
      </c>
    </row>
    <row r="158" spans="1:8">
      <c r="A158" s="28"/>
      <c r="B158" s="29"/>
      <c r="C158" s="30" t="str">
        <f>IFERROR(_xlfn.XLOOKUP(B158,Transporte[DESCRIPCION],Transporte[UND],,0),"")</f>
        <v/>
      </c>
      <c r="D158" s="31"/>
      <c r="E158" s="32" t="str">
        <f>IFERROR(_xlfn.XLOOKUP($B158,Transporte[DESCRIPCION],Transporte[VALOR],,0),"")</f>
        <v/>
      </c>
      <c r="F158" s="33"/>
      <c r="G158" s="34" t="str">
        <f>IFERROR(IF(F158&gt;=0,D158*E158*(1+F158/100),ABS(D158*E158/F158)),"")</f>
        <v/>
      </c>
      <c r="H158" s="43" t="str">
        <f>IFERROR(G158*E144,"")</f>
        <v/>
      </c>
    </row>
    <row r="159" spans="1:8">
      <c r="A159" s="21"/>
      <c r="B159" s="22" t="s">
        <v>3732</v>
      </c>
      <c r="C159" s="23"/>
      <c r="D159" s="24"/>
      <c r="E159" s="25"/>
      <c r="F159" s="26"/>
      <c r="G159" s="27">
        <f>SUM(G160:G162)</f>
        <v>6598.3244015000009</v>
      </c>
      <c r="H159" s="43">
        <f>IFERROR(G159*E144,"")</f>
        <v>0</v>
      </c>
    </row>
    <row r="160" spans="1:8">
      <c r="A160" s="28"/>
      <c r="B160" s="29" t="s">
        <v>3705</v>
      </c>
      <c r="C160" s="30" t="str">
        <f>IFERROR(_xlfn.XLOOKUP(B160,MObra[DESCRIPCION],MObra[UN],,0),"")</f>
        <v>día</v>
      </c>
      <c r="D160" s="31">
        <v>1</v>
      </c>
      <c r="E160" s="32">
        <f>IFERROR(_xlfn.XLOOKUP($B160,MObra[DESCRIPCION],MObra[VALOR UNIT],,0),"")</f>
        <v>197949.73204500004</v>
      </c>
      <c r="F160" s="33">
        <v>-30</v>
      </c>
      <c r="G160" s="34">
        <f>IFERROR(IF(F160&gt;=0,D160*E160*(1+F160/100),ABS(D160*E160/F160)),"")</f>
        <v>6598.3244015000009</v>
      </c>
      <c r="H160" s="43">
        <f>IFERROR(G160*E144,"")</f>
        <v>0</v>
      </c>
    </row>
    <row r="161" spans="1:11">
      <c r="A161" s="28"/>
      <c r="B161" s="29"/>
      <c r="C161" s="30" t="str">
        <f>IFERROR(_xlfn.XLOOKUP(B161,MObra[DESCRIPCION],MObra[UN],,0),"")</f>
        <v/>
      </c>
      <c r="D161" s="31"/>
      <c r="E161" s="32" t="str">
        <f>IFERROR(_xlfn.XLOOKUP($B161,MObra[DESCRIPCION],MObra[VALOR UNIT],,0),"")</f>
        <v/>
      </c>
      <c r="F161" s="33"/>
      <c r="G161" s="34" t="str">
        <f>IFERROR(IF(F161&gt;=0,D161*E161*(1+F161/100),ABS(D161*E161/F161)),"")</f>
        <v/>
      </c>
      <c r="H161" s="43" t="str">
        <f>IFERROR(G161*E144,"")</f>
        <v/>
      </c>
    </row>
    <row r="162" spans="1:11">
      <c r="A162" s="35"/>
      <c r="B162" s="36"/>
      <c r="C162" s="37" t="str">
        <f>IFERROR(_xlfn.XLOOKUP(B162,MObra[DESCRIPCION],MObra[UN],,0),"")</f>
        <v/>
      </c>
      <c r="D162" s="38"/>
      <c r="E162" s="39" t="str">
        <f>IFERROR(_xlfn.XLOOKUP($B162,MObra[DESCRIPCION],MObra[VALOR UNIT],,0),"")</f>
        <v/>
      </c>
      <c r="F162" s="40"/>
      <c r="G162" s="41" t="str">
        <f>IFERROR(IF(F162&gt;=0,D162*E162*(1+F162/100),ABS(D162*E162/F162)),"")</f>
        <v/>
      </c>
      <c r="H162" s="42" t="str">
        <f>IFERROR(G162*E144,"")</f>
        <v/>
      </c>
    </row>
    <row r="164" spans="1:11">
      <c r="A164" s="6" t="s">
        <v>1384</v>
      </c>
      <c r="B164" s="7" t="str">
        <f>VLOOKUP($A164,Presupuesto!$A:$D,2,FALSE())</f>
        <v>Impermeabilización de muros con remocion de estuco</v>
      </c>
      <c r="C164" s="8" t="str">
        <f>VLOOKUP($A164,Presupuesto!$A:$D,3,FALSE())</f>
        <v>M2</v>
      </c>
      <c r="D164" s="9"/>
      <c r="E164" s="10">
        <f>VLOOKUP($A164,Presupuesto!$A:$D,4,FALSE())</f>
        <v>0</v>
      </c>
      <c r="F164" s="11" t="s">
        <v>2589</v>
      </c>
      <c r="G164" s="12">
        <f>SUM(G166:G182)/2</f>
        <v>33940.405220578134</v>
      </c>
      <c r="H164" s="13">
        <f>ROUND(SUM(H166:H182),0)/2</f>
        <v>0</v>
      </c>
      <c r="I164" s="10">
        <f>VLOOKUP(A164,Presupuesto!$A:$F,6,0)</f>
        <v>0</v>
      </c>
      <c r="J164" s="10">
        <f>+H164-I164</f>
        <v>0</v>
      </c>
      <c r="K164" s="46">
        <f>+H164-G164*E164</f>
        <v>0</v>
      </c>
    </row>
    <row r="165" spans="1:11">
      <c r="A165" s="14"/>
      <c r="B165" s="15" t="s">
        <v>2586</v>
      </c>
      <c r="C165" s="15" t="s">
        <v>5</v>
      </c>
      <c r="D165" s="16" t="s">
        <v>6</v>
      </c>
      <c r="E165" s="17" t="s">
        <v>7</v>
      </c>
      <c r="F165" s="18" t="s">
        <v>3728</v>
      </c>
      <c r="G165" s="19" t="s">
        <v>3729</v>
      </c>
      <c r="H165" s="20" t="s">
        <v>3797</v>
      </c>
    </row>
    <row r="166" spans="1:11">
      <c r="A166" s="21"/>
      <c r="B166" s="22" t="s">
        <v>3730</v>
      </c>
      <c r="C166" s="23"/>
      <c r="D166" s="24"/>
      <c r="E166" s="25"/>
      <c r="F166" s="26"/>
      <c r="G166" s="27">
        <f>SUM(G167:G171)</f>
        <v>11343.570000000002</v>
      </c>
      <c r="H166" s="27">
        <f>IFERROR(G166*E164,"")</f>
        <v>0</v>
      </c>
    </row>
    <row r="167" spans="1:11">
      <c r="A167" s="28"/>
      <c r="B167" s="29" t="s">
        <v>2661</v>
      </c>
      <c r="C167" s="30" t="str">
        <f>IFERROR(_xlfn.XLOOKUP(B167,Insumo[DESCRIPCION],Insumo[UND],,0),"")</f>
        <v>galón</v>
      </c>
      <c r="D167" s="31">
        <v>0.2</v>
      </c>
      <c r="E167" s="32">
        <f>IFERROR(_xlfn.XLOOKUP($B167,Insumo[DESCRIPCION],Insumo[VALOR],,0),"")</f>
        <v>56717.850000000006</v>
      </c>
      <c r="F167" s="33"/>
      <c r="G167" s="34">
        <f>IFERROR(IF(F167&gt;=0,D167*E167*(1+F167/100),ABS(D167*E167/F167)),"")</f>
        <v>11343.570000000002</v>
      </c>
      <c r="H167" s="43">
        <f>IFERROR(G167*E164,"")</f>
        <v>0</v>
      </c>
    </row>
    <row r="168" spans="1:11">
      <c r="A168" s="28"/>
      <c r="B168" s="29"/>
      <c r="C168" s="30"/>
      <c r="D168" s="31"/>
      <c r="E168" s="32" t="str">
        <f>IFERROR(_xlfn.XLOOKUP($B168,Insumo[DESCRIPCION],Insumo[VALOR],,0),"")</f>
        <v/>
      </c>
      <c r="F168" s="33"/>
      <c r="G168" s="34" t="str">
        <f>IFERROR(IF(F168&gt;=0,D168*E168*(1+F168/100),ABS(D168*E168/F168)),"")</f>
        <v/>
      </c>
      <c r="H168" s="43" t="str">
        <f>IFERROR(G168*E164,"")</f>
        <v/>
      </c>
    </row>
    <row r="169" spans="1:11">
      <c r="A169" s="28"/>
      <c r="B169" s="29"/>
      <c r="C169" s="30" t="str">
        <f>IFERROR(_xlfn.XLOOKUP(B169,Insumo[DESCRIPCION],Insumo[UND],,0),"")</f>
        <v/>
      </c>
      <c r="D169" s="31"/>
      <c r="E169" s="32" t="str">
        <f>IFERROR(_xlfn.XLOOKUP($B169,Insumo[DESCRIPCION],Insumo[VALOR],,0),"")</f>
        <v/>
      </c>
      <c r="F169" s="33"/>
      <c r="G169" s="34" t="str">
        <f>IFERROR(IF(F169&gt;=0,D169*E169*(1+F169/100),ABS(D169*E169/F169)),"")</f>
        <v/>
      </c>
      <c r="H169" s="43" t="str">
        <f>IFERROR(G169*E164,"")</f>
        <v/>
      </c>
    </row>
    <row r="170" spans="1:11">
      <c r="A170" s="28"/>
      <c r="B170" s="29"/>
      <c r="C170" s="30" t="str">
        <f>IFERROR(_xlfn.XLOOKUP(B170,Insumo[DESCRIPCION],Insumo[UND],,0),"")</f>
        <v/>
      </c>
      <c r="D170" s="31"/>
      <c r="E170" s="32" t="str">
        <f>IFERROR(_xlfn.XLOOKUP($B170,Insumo[DESCRIPCION],Insumo[VALOR],,0),"")</f>
        <v/>
      </c>
      <c r="F170" s="33"/>
      <c r="G170" s="34" t="str">
        <f>IFERROR(IF(F170&gt;=0,D170*E170*(1+F170/100),ABS(D170*E170/F170)),"")</f>
        <v/>
      </c>
      <c r="H170" s="43" t="str">
        <f>IFERROR(G170*E164,"")</f>
        <v/>
      </c>
    </row>
    <row r="171" spans="1:11">
      <c r="A171" s="28"/>
      <c r="B171" s="29"/>
      <c r="C171" s="30" t="str">
        <f>IFERROR(_xlfn.XLOOKUP(B171,Insumo[DESCRIPCION],Insumo[UND],,0),"")</f>
        <v/>
      </c>
      <c r="D171" s="31"/>
      <c r="E171" s="32" t="str">
        <f>IFERROR(_xlfn.XLOOKUP($B171,Insumo[DESCRIPCION],Insumo[VALOR],,0),"")</f>
        <v/>
      </c>
      <c r="F171" s="33"/>
      <c r="G171" s="34" t="str">
        <f>IFERROR(IF(F171&gt;=0,D171*E171*(1+F171/100),ABS(D171*E171/F171)),"")</f>
        <v/>
      </c>
      <c r="H171" s="43" t="str">
        <f>IFERROR(G171*E164,"")</f>
        <v/>
      </c>
    </row>
    <row r="172" spans="1:11">
      <c r="A172" s="21"/>
      <c r="B172" s="22" t="s">
        <v>3731</v>
      </c>
      <c r="C172" s="23"/>
      <c r="D172" s="24"/>
      <c r="E172" s="25"/>
      <c r="F172" s="26"/>
      <c r="G172" s="27">
        <f>SUM(G173:G175)</f>
        <v>2947.4132896406259</v>
      </c>
      <c r="H172" s="44">
        <f>G172*E164</f>
        <v>0</v>
      </c>
    </row>
    <row r="173" spans="1:11">
      <c r="A173" s="28"/>
      <c r="B173" s="29" t="s">
        <v>3573</v>
      </c>
      <c r="C173" s="30" t="str">
        <f>IFERROR(_xlfn.XLOOKUP(B173,Equipo[DESCRIPCION],Equipo[UND],,0),"")</f>
        <v>%MO</v>
      </c>
      <c r="D173" s="31">
        <v>0.1</v>
      </c>
      <c r="E173" s="32">
        <f>IF(C173="%MO",G179,IFERROR(_xlfn.XLOOKUP($B173,Equipo[DESCRIPCION],Equipo[VALOR],,0),""))</f>
        <v>19649.421930937504</v>
      </c>
      <c r="F173" s="33"/>
      <c r="G173" s="34">
        <f>IFERROR(IF(F173&gt;=0,D173*E173*(1+F173/100),ABS(D173*E173/F173)),"")</f>
        <v>1964.9421930937506</v>
      </c>
      <c r="H173" s="43">
        <f>IFERROR(G173*E164,"")</f>
        <v>0</v>
      </c>
    </row>
    <row r="174" spans="1:11">
      <c r="A174" s="28"/>
      <c r="B174" s="29" t="s">
        <v>3626</v>
      </c>
      <c r="C174" s="30" t="str">
        <f>IFERROR(_xlfn.XLOOKUP(B174,Equipo[DESCRIPCION],Equipo[UND],,0),"")</f>
        <v>%MO</v>
      </c>
      <c r="D174" s="31">
        <v>0.05</v>
      </c>
      <c r="E174" s="32">
        <f>IF(C174="%MO",G179,IFERROR(_xlfn.XLOOKUP($B174,Equipo[DESCRIPCION],Equipo[VALOR],,0),""))</f>
        <v>19649.421930937504</v>
      </c>
      <c r="F174" s="33"/>
      <c r="G174" s="34">
        <f>IFERROR(IF(F174&gt;=0,D174*E174*(1+F174/100),ABS(D174*E174/F174)),"")</f>
        <v>982.47109654687529</v>
      </c>
      <c r="H174" s="43">
        <f>IFERROR(G174*E164,"")</f>
        <v>0</v>
      </c>
    </row>
    <row r="175" spans="1:11">
      <c r="A175" s="28"/>
      <c r="B175" s="29"/>
      <c r="C175" s="30" t="str">
        <f>IFERROR(_xlfn.XLOOKUP(B175,Equipo[DESCRIPCION],Equipo[UND],,0),"")</f>
        <v/>
      </c>
      <c r="D175" s="31"/>
      <c r="E175" s="32" t="str">
        <f>IF(C175="%MO",G179,IFERROR(_xlfn.XLOOKUP($B175,Equipo[DESCRIPCION],Equipo[VALOR],,0),""))</f>
        <v/>
      </c>
      <c r="F175" s="33"/>
      <c r="G175" s="34" t="str">
        <f>IFERROR(IF(F175&gt;=0,D175*E175*(1+F175/100),ABS(D175*E175/F175)),"")</f>
        <v/>
      </c>
      <c r="H175" s="43" t="str">
        <f>IFERROR(G175*E164,"")</f>
        <v/>
      </c>
    </row>
    <row r="176" spans="1:11">
      <c r="A176" s="21"/>
      <c r="B176" s="22" t="s">
        <v>2533</v>
      </c>
      <c r="C176" s="23"/>
      <c r="D176" s="24"/>
      <c r="E176" s="25"/>
      <c r="F176" s="26"/>
      <c r="G176" s="27">
        <f>SUM(G177:G178)</f>
        <v>0</v>
      </c>
      <c r="H176" s="138">
        <f>IFERROR(G176*E164,"")</f>
        <v>0</v>
      </c>
    </row>
    <row r="177" spans="1:11">
      <c r="A177" s="28"/>
      <c r="B177" s="29"/>
      <c r="C177" s="30" t="str">
        <f>IFERROR(_xlfn.XLOOKUP(B177,Transporte[DESCRIPCION],Transporte[UND],,0),"")</f>
        <v/>
      </c>
      <c r="D177" s="31"/>
      <c r="E177" s="32" t="str">
        <f>IFERROR(_xlfn.XLOOKUP($B177,Transporte[DESCRIPCION],Transporte[VALOR],,0),"")</f>
        <v/>
      </c>
      <c r="F177" s="33"/>
      <c r="G177" s="34" t="str">
        <f>IFERROR(IF(F177&gt;=0,D177*E177*(1+F177/100),ABS(D177*E177/F177)),"")</f>
        <v/>
      </c>
      <c r="H177" s="43" t="str">
        <f>IFERROR(G177*E164,"")</f>
        <v/>
      </c>
    </row>
    <row r="178" spans="1:11">
      <c r="A178" s="28"/>
      <c r="B178" s="29"/>
      <c r="C178" s="30" t="str">
        <f>IFERROR(_xlfn.XLOOKUP(B178,Transporte[DESCRIPCION],Transporte[UND],,0),"")</f>
        <v/>
      </c>
      <c r="D178" s="31"/>
      <c r="E178" s="32" t="str">
        <f>IFERROR(_xlfn.XLOOKUP($B178,Transporte[DESCRIPCION],Transporte[VALOR],,0),"")</f>
        <v/>
      </c>
      <c r="F178" s="33"/>
      <c r="G178" s="34" t="str">
        <f>IFERROR(IF(F178&gt;=0,D178*E178*(1+F178/100),ABS(D178*E178/F178)),"")</f>
        <v/>
      </c>
      <c r="H178" s="43" t="str">
        <f>IFERROR(G178*E164,"")</f>
        <v/>
      </c>
    </row>
    <row r="179" spans="1:11">
      <c r="A179" s="21"/>
      <c r="B179" s="22" t="s">
        <v>3732</v>
      </c>
      <c r="C179" s="23"/>
      <c r="D179" s="24"/>
      <c r="E179" s="25"/>
      <c r="F179" s="26"/>
      <c r="G179" s="27">
        <f>SUM(G180:G182)</f>
        <v>19649.421930937504</v>
      </c>
      <c r="H179" s="43">
        <f>IFERROR(G179*E164,"")</f>
        <v>0</v>
      </c>
    </row>
    <row r="180" spans="1:11">
      <c r="A180" s="28"/>
      <c r="B180" s="29" t="s">
        <v>3710</v>
      </c>
      <c r="C180" s="30" t="str">
        <f>IFERROR(_xlfn.XLOOKUP(B180,MObra[DESCRIPCION],MObra[UN],,0),"")</f>
        <v>día</v>
      </c>
      <c r="D180" s="31">
        <v>1</v>
      </c>
      <c r="E180" s="32">
        <f>IFERROR(_xlfn.XLOOKUP($B180,MObra[DESCRIPCION],MObra[VALOR UNIT],,0),"")</f>
        <v>314390.75089500006</v>
      </c>
      <c r="F180" s="33">
        <v>-16</v>
      </c>
      <c r="G180" s="34">
        <f>IFERROR(IF(F180&gt;=0,D180*E180*(1+F180/100),ABS(D180*E180/F180)),"")</f>
        <v>19649.421930937504</v>
      </c>
      <c r="H180" s="43">
        <f>IFERROR(G180*E164,"")</f>
        <v>0</v>
      </c>
    </row>
    <row r="181" spans="1:11">
      <c r="A181" s="28"/>
      <c r="B181" s="29"/>
      <c r="C181" s="30" t="str">
        <f>IFERROR(_xlfn.XLOOKUP(B181,MObra[DESCRIPCION],MObra[UN],,0),"")</f>
        <v/>
      </c>
      <c r="D181" s="31"/>
      <c r="E181" s="32" t="str">
        <f>IFERROR(_xlfn.XLOOKUP($B181,MObra[DESCRIPCION],MObra[VALOR UNIT],,0),"")</f>
        <v/>
      </c>
      <c r="F181" s="33"/>
      <c r="G181" s="34" t="str">
        <f>IFERROR(IF(F181&gt;=0,D181*E181*(1+F181/100),ABS(D181*E181/F181)),"")</f>
        <v/>
      </c>
      <c r="H181" s="43" t="str">
        <f>IFERROR(G181*E164,"")</f>
        <v/>
      </c>
    </row>
    <row r="182" spans="1:11">
      <c r="A182" s="35"/>
      <c r="B182" s="36"/>
      <c r="C182" s="37" t="str">
        <f>IFERROR(_xlfn.XLOOKUP(B182,MObra[DESCRIPCION],MObra[UN],,0),"")</f>
        <v/>
      </c>
      <c r="D182" s="38"/>
      <c r="E182" s="39" t="str">
        <f>IFERROR(_xlfn.XLOOKUP($B182,MObra[DESCRIPCION],MObra[VALOR UNIT],,0),"")</f>
        <v/>
      </c>
      <c r="F182" s="40"/>
      <c r="G182" s="41" t="str">
        <f>IFERROR(IF(F182&gt;=0,D182*E182*(1+F182/100),ABS(D182*E182/F182)),"")</f>
        <v/>
      </c>
      <c r="H182" s="42" t="str">
        <f>IFERROR(G182*E164,"")</f>
        <v/>
      </c>
    </row>
    <row r="184" spans="1:11">
      <c r="A184" s="6" t="s">
        <v>1386</v>
      </c>
      <c r="B184" s="7" t="str">
        <f>VLOOKUP($A184,Presupuesto!$A:$D,2,FALSE())</f>
        <v>Pintura esmalte barrera guarda vía</v>
      </c>
      <c r="C184" s="8" t="str">
        <f>VLOOKUP($A184,Presupuesto!$A:$D,3,FALSE())</f>
        <v>M</v>
      </c>
      <c r="D184" s="9"/>
      <c r="E184" s="10">
        <f>VLOOKUP($A184,Presupuesto!$A:$D,4,FALSE())</f>
        <v>0</v>
      </c>
      <c r="F184" s="11" t="s">
        <v>2589</v>
      </c>
      <c r="G184" s="12">
        <f>SUM(G186:G202)/2</f>
        <v>23852.72403759</v>
      </c>
      <c r="H184" s="13">
        <f>ROUND(SUM(H186:H202),0)/2</f>
        <v>0</v>
      </c>
      <c r="I184" s="10">
        <f>VLOOKUP(A184,Presupuesto!$A:$F,6,0)</f>
        <v>0</v>
      </c>
      <c r="J184" s="10">
        <f>+H184-I184</f>
        <v>0</v>
      </c>
      <c r="K184" s="46">
        <f>+H184-G184*E184</f>
        <v>0</v>
      </c>
    </row>
    <row r="185" spans="1:11">
      <c r="A185" s="14"/>
      <c r="B185" s="15" t="s">
        <v>2586</v>
      </c>
      <c r="C185" s="15" t="s">
        <v>5</v>
      </c>
      <c r="D185" s="16" t="s">
        <v>6</v>
      </c>
      <c r="E185" s="17" t="s">
        <v>7</v>
      </c>
      <c r="F185" s="18" t="s">
        <v>3728</v>
      </c>
      <c r="G185" s="19" t="s">
        <v>3729</v>
      </c>
      <c r="H185" s="20" t="s">
        <v>3797</v>
      </c>
    </row>
    <row r="186" spans="1:11">
      <c r="A186" s="21"/>
      <c r="B186" s="22" t="s">
        <v>3730</v>
      </c>
      <c r="C186" s="23"/>
      <c r="D186" s="24"/>
      <c r="E186" s="25"/>
      <c r="F186" s="26"/>
      <c r="G186" s="27">
        <f>SUM(G187:G191)</f>
        <v>10648.312500000002</v>
      </c>
      <c r="H186" s="27">
        <f>IFERROR(G186*E184,"")</f>
        <v>0</v>
      </c>
    </row>
    <row r="187" spans="1:11">
      <c r="A187" s="28"/>
      <c r="B187" s="29" t="s">
        <v>2925</v>
      </c>
      <c r="C187" s="30" t="str">
        <f>IFERROR(_xlfn.XLOOKUP(B187,Insumo[DESCRIPCION],Insumo[UND],,0),"")</f>
        <v>Lt</v>
      </c>
      <c r="D187" s="31">
        <v>0.13</v>
      </c>
      <c r="E187" s="32">
        <f>IFERROR(_xlfn.XLOOKUP($B187,Insumo[DESCRIPCION],Insumo[VALOR],,0),"")</f>
        <v>28923.300000000003</v>
      </c>
      <c r="F187" s="33"/>
      <c r="G187" s="34">
        <f>IFERROR(IF(F187&gt;=0,D187*E187*(1+F187/100),ABS(D187*E187/F187)),"")</f>
        <v>3760.0290000000005</v>
      </c>
      <c r="H187" s="43">
        <f>IFERROR(G187*E184,"")</f>
        <v>0</v>
      </c>
    </row>
    <row r="188" spans="1:11">
      <c r="A188" s="28"/>
      <c r="B188" s="29" t="s">
        <v>3204</v>
      </c>
      <c r="C188" s="30" t="str">
        <f>IFERROR(_xlfn.XLOOKUP(B188,Insumo[DESCRIPCION],Insumo[UND],,0),"")</f>
        <v>galón</v>
      </c>
      <c r="D188" s="31">
        <v>0.06</v>
      </c>
      <c r="E188" s="32">
        <f>IFERROR(_xlfn.XLOOKUP($B188,Insumo[DESCRIPCION],Insumo[VALOR],,0),"")</f>
        <v>107805.6</v>
      </c>
      <c r="F188" s="33"/>
      <c r="G188" s="34">
        <f>IFERROR(IF(F188&gt;=0,D188*E188*(1+F188/100),ABS(D188*E188/F188)),"")</f>
        <v>6468.3360000000002</v>
      </c>
      <c r="H188" s="43">
        <f>IFERROR(G188*E184,"")</f>
        <v>0</v>
      </c>
    </row>
    <row r="189" spans="1:11">
      <c r="A189" s="28"/>
      <c r="B189" s="29" t="s">
        <v>2845</v>
      </c>
      <c r="C189" s="30" t="str">
        <f>IFERROR(_xlfn.XLOOKUP(B189,Insumo[DESCRIPCION],Insumo[UND],,0),"")</f>
        <v>M</v>
      </c>
      <c r="D189" s="31">
        <v>1</v>
      </c>
      <c r="E189" s="32">
        <f>IFERROR(_xlfn.XLOOKUP($B189,Insumo[DESCRIPCION],Insumo[VALOR],,0),"")</f>
        <v>112.35000000000001</v>
      </c>
      <c r="F189" s="33"/>
      <c r="G189" s="34">
        <f>IFERROR(IF(F189&gt;=0,D189*E189*(1+F189/100),ABS(D189*E189/F189)),"")</f>
        <v>112.35000000000001</v>
      </c>
      <c r="H189" s="43">
        <f>IFERROR(G189*E184,"")</f>
        <v>0</v>
      </c>
    </row>
    <row r="190" spans="1:11">
      <c r="A190" s="28"/>
      <c r="B190" s="29" t="s">
        <v>3043</v>
      </c>
      <c r="C190" s="30" t="str">
        <f>IFERROR(_xlfn.XLOOKUP(B190,Insumo[DESCRIPCION],Insumo[UND],,0),"")</f>
        <v>Un</v>
      </c>
      <c r="D190" s="31">
        <v>0.15</v>
      </c>
      <c r="E190" s="32">
        <f>IFERROR(_xlfn.XLOOKUP($B190,Insumo[DESCRIPCION],Insumo[VALOR],,0),"")</f>
        <v>2050.65</v>
      </c>
      <c r="F190" s="33"/>
      <c r="G190" s="34">
        <f>IFERROR(IF(F190&gt;=0,D190*E190*(1+F190/100),ABS(D190*E190/F190)),"")</f>
        <v>307.59750000000003</v>
      </c>
      <c r="H190" s="43">
        <f>IFERROR(G190*E184,"")</f>
        <v>0</v>
      </c>
    </row>
    <row r="191" spans="1:11">
      <c r="A191" s="28"/>
      <c r="B191" s="29"/>
      <c r="C191" s="30" t="str">
        <f>IFERROR(_xlfn.XLOOKUP(B191,Insumo[DESCRIPCION],Insumo[UND],,0),"")</f>
        <v/>
      </c>
      <c r="D191" s="31"/>
      <c r="E191" s="32" t="str">
        <f>IFERROR(_xlfn.XLOOKUP($B191,Insumo[DESCRIPCION],Insumo[VALOR],,0),"")</f>
        <v/>
      </c>
      <c r="F191" s="33"/>
      <c r="G191" s="34" t="str">
        <f>IFERROR(IF(F191&gt;=0,D191*E191*(1+F191/100),ABS(D191*E191/F191)),"")</f>
        <v/>
      </c>
      <c r="H191" s="43" t="str">
        <f>IFERROR(G191*E184,"")</f>
        <v/>
      </c>
    </row>
    <row r="192" spans="1:11">
      <c r="A192" s="21"/>
      <c r="B192" s="22" t="s">
        <v>3731</v>
      </c>
      <c r="C192" s="23"/>
      <c r="D192" s="24"/>
      <c r="E192" s="25"/>
      <c r="F192" s="26"/>
      <c r="G192" s="27">
        <f>SUM(G193:G195)</f>
        <v>628.78150179000022</v>
      </c>
      <c r="H192" s="44">
        <f>G192*E184</f>
        <v>0</v>
      </c>
    </row>
    <row r="193" spans="1:11">
      <c r="A193" s="28"/>
      <c r="B193" s="29" t="s">
        <v>3626</v>
      </c>
      <c r="C193" s="30" t="str">
        <f>IFERROR(_xlfn.XLOOKUP(B193,Equipo[DESCRIPCION],Equipo[UND],,0),"")</f>
        <v>%MO</v>
      </c>
      <c r="D193" s="31">
        <v>0.05</v>
      </c>
      <c r="E193" s="32">
        <f>IF(C193="%MO",G199,IFERROR(_xlfn.XLOOKUP($B193,Equipo[DESCRIPCION],Equipo[VALOR],,0),""))</f>
        <v>12575.630035800003</v>
      </c>
      <c r="F193" s="33"/>
      <c r="G193" s="34">
        <f>IFERROR(IF(F193&gt;=0,D193*E193*(1+F193/100),ABS(D193*E193/F193)),"")</f>
        <v>628.78150179000022</v>
      </c>
      <c r="H193" s="43">
        <f>IFERROR(G193*E184,"")</f>
        <v>0</v>
      </c>
    </row>
    <row r="194" spans="1:11">
      <c r="A194" s="28"/>
      <c r="B194" s="29"/>
      <c r="C194" s="30" t="str">
        <f>IFERROR(_xlfn.XLOOKUP(B194,Equipo[DESCRIPCION],Equipo[UND],,0),"")</f>
        <v/>
      </c>
      <c r="D194" s="31"/>
      <c r="E194" s="32" t="str">
        <f>IF(C194="%MO",G199,IFERROR(_xlfn.XLOOKUP($B194,Equipo[DESCRIPCION],Equipo[VALOR],,0),""))</f>
        <v/>
      </c>
      <c r="F194" s="33"/>
      <c r="G194" s="34" t="str">
        <f>IFERROR(IF(F194&gt;=0,D194*E194*(1+F194/100),ABS(D194*E194/F194)),"")</f>
        <v/>
      </c>
      <c r="H194" s="43" t="str">
        <f>IFERROR(G194*E184,"")</f>
        <v/>
      </c>
    </row>
    <row r="195" spans="1:11">
      <c r="A195" s="28"/>
      <c r="B195" s="29"/>
      <c r="C195" s="30" t="str">
        <f>IFERROR(_xlfn.XLOOKUP(B195,Equipo[DESCRIPCION],Equipo[UND],,0),"")</f>
        <v/>
      </c>
      <c r="D195" s="31"/>
      <c r="E195" s="32" t="str">
        <f>IF(C195="%MO",G199,IFERROR(_xlfn.XLOOKUP($B195,Equipo[DESCRIPCION],Equipo[VALOR],,0),""))</f>
        <v/>
      </c>
      <c r="F195" s="33"/>
      <c r="G195" s="34" t="str">
        <f>IFERROR(IF(F195&gt;=0,D195*E195*(1+F195/100),ABS(D195*E195/F195)),"")</f>
        <v/>
      </c>
      <c r="H195" s="43" t="str">
        <f>IFERROR(G195*E184,"")</f>
        <v/>
      </c>
    </row>
    <row r="196" spans="1:11">
      <c r="A196" s="21"/>
      <c r="B196" s="22" t="s">
        <v>2533</v>
      </c>
      <c r="C196" s="23"/>
      <c r="D196" s="24"/>
      <c r="E196" s="25"/>
      <c r="F196" s="26"/>
      <c r="G196" s="27">
        <f>SUM(G197:G198)</f>
        <v>0</v>
      </c>
      <c r="H196" s="138">
        <f>IFERROR(G196*E184,"")</f>
        <v>0</v>
      </c>
    </row>
    <row r="197" spans="1:11">
      <c r="A197" s="28"/>
      <c r="B197" s="29"/>
      <c r="C197" s="30" t="str">
        <f>IFERROR(_xlfn.XLOOKUP(B197,Transporte[DESCRIPCION],Transporte[UND],,0),"")</f>
        <v/>
      </c>
      <c r="D197" s="31"/>
      <c r="E197" s="32" t="str">
        <f>IFERROR(_xlfn.XLOOKUP($B197,Transporte[DESCRIPCION],Transporte[VALOR],,0),"")</f>
        <v/>
      </c>
      <c r="F197" s="33"/>
      <c r="G197" s="34" t="str">
        <f>IFERROR(IF(F197&gt;=0,D197*E197*(1+F197/100),ABS(D197*E197/F197)),"")</f>
        <v/>
      </c>
      <c r="H197" s="43" t="str">
        <f>IFERROR(G197*E184,"")</f>
        <v/>
      </c>
    </row>
    <row r="198" spans="1:11">
      <c r="A198" s="28"/>
      <c r="B198" s="29"/>
      <c r="C198" s="30" t="str">
        <f>IFERROR(_xlfn.XLOOKUP(B198,Transporte[DESCRIPCION],Transporte[UND],,0),"")</f>
        <v/>
      </c>
      <c r="D198" s="31"/>
      <c r="E198" s="32" t="str">
        <f>IFERROR(_xlfn.XLOOKUP($B198,Transporte[DESCRIPCION],Transporte[VALOR],,0),"")</f>
        <v/>
      </c>
      <c r="F198" s="33"/>
      <c r="G198" s="34" t="str">
        <f>IFERROR(IF(F198&gt;=0,D198*E198*(1+F198/100),ABS(D198*E198/F198)),"")</f>
        <v/>
      </c>
      <c r="H198" s="43" t="str">
        <f>IFERROR(G198*E184,"")</f>
        <v/>
      </c>
    </row>
    <row r="199" spans="1:11">
      <c r="A199" s="21"/>
      <c r="B199" s="22" t="s">
        <v>3732</v>
      </c>
      <c r="C199" s="23"/>
      <c r="D199" s="24"/>
      <c r="E199" s="25"/>
      <c r="F199" s="26"/>
      <c r="G199" s="27">
        <f>SUM(G200:G202)</f>
        <v>12575.630035800003</v>
      </c>
      <c r="H199" s="43">
        <f>IFERROR(G199*E184,"")</f>
        <v>0</v>
      </c>
    </row>
    <row r="200" spans="1:11">
      <c r="A200" s="28"/>
      <c r="B200" s="29" t="s">
        <v>3710</v>
      </c>
      <c r="C200" s="30" t="str">
        <f>IFERROR(_xlfn.XLOOKUP(B200,MObra[DESCRIPCION],MObra[UN],,0),"")</f>
        <v>día</v>
      </c>
      <c r="D200" s="31">
        <v>1</v>
      </c>
      <c r="E200" s="32">
        <f>IFERROR(_xlfn.XLOOKUP($B200,MObra[DESCRIPCION],MObra[VALOR UNIT],,0),"")</f>
        <v>314390.75089500006</v>
      </c>
      <c r="F200" s="33">
        <v>-25</v>
      </c>
      <c r="G200" s="34">
        <f>IFERROR(IF(F200&gt;=0,D200*E200*(1+F200/100),ABS(D200*E200/F200)),"")</f>
        <v>12575.630035800003</v>
      </c>
      <c r="H200" s="43">
        <f>IFERROR(G200*E184,"")</f>
        <v>0</v>
      </c>
    </row>
    <row r="201" spans="1:11">
      <c r="A201" s="28"/>
      <c r="B201" s="29"/>
      <c r="C201" s="30" t="str">
        <f>IFERROR(_xlfn.XLOOKUP(B201,MObra[DESCRIPCION],MObra[UN],,0),"")</f>
        <v/>
      </c>
      <c r="D201" s="31"/>
      <c r="E201" s="32" t="str">
        <f>IFERROR(_xlfn.XLOOKUP($B201,MObra[DESCRIPCION],MObra[VALOR UNIT],,0),"")</f>
        <v/>
      </c>
      <c r="F201" s="33"/>
      <c r="G201" s="34" t="str">
        <f>IFERROR(IF(F201&gt;=0,D201*E201*(1+F201/100),ABS(D201*E201/F201)),"")</f>
        <v/>
      </c>
      <c r="H201" s="43" t="str">
        <f>IFERROR(G201*E184,"")</f>
        <v/>
      </c>
    </row>
    <row r="202" spans="1:11">
      <c r="A202" s="35"/>
      <c r="B202" s="36"/>
      <c r="C202" s="37" t="str">
        <f>IFERROR(_xlfn.XLOOKUP(B202,MObra[DESCRIPCION],MObra[UN],,0),"")</f>
        <v/>
      </c>
      <c r="D202" s="38"/>
      <c r="E202" s="39" t="str">
        <f>IFERROR(_xlfn.XLOOKUP($B202,MObra[DESCRIPCION],MObra[VALOR UNIT],,0),"")</f>
        <v/>
      </c>
      <c r="F202" s="40"/>
      <c r="G202" s="41" t="str">
        <f>IFERROR(IF(F202&gt;=0,D202*E202*(1+F202/100),ABS(D202*E202/F202)),"")</f>
        <v/>
      </c>
      <c r="H202" s="42" t="str">
        <f>IFERROR(G202*E184,"")</f>
        <v/>
      </c>
    </row>
    <row r="204" spans="1:11">
      <c r="A204" s="6" t="s">
        <v>1388</v>
      </c>
      <c r="B204" s="7" t="str">
        <f>VLOOKUP($A204,Presupuesto!$A:$D,2,FALSE())</f>
        <v>Pintura esmalte cerchas</v>
      </c>
      <c r="C204" s="8" t="str">
        <f>VLOOKUP($A204,Presupuesto!$A:$D,3,FALSE())</f>
        <v>M</v>
      </c>
      <c r="D204" s="9"/>
      <c r="E204" s="10">
        <f>VLOOKUP($A204,Presupuesto!$A:$D,4,FALSE())</f>
        <v>0</v>
      </c>
      <c r="F204" s="11" t="s">
        <v>2589</v>
      </c>
      <c r="G204" s="12">
        <f>SUM(G206:G222)/2</f>
        <v>17886.425621575003</v>
      </c>
      <c r="H204" s="13">
        <f>ROUND(SUM(H206:H222),0)/2</f>
        <v>0</v>
      </c>
      <c r="I204" s="10">
        <f>VLOOKUP(A204,Presupuesto!$A:$F,6,0)</f>
        <v>0</v>
      </c>
      <c r="J204" s="10">
        <f>+H204-I204</f>
        <v>0</v>
      </c>
      <c r="K204" s="46">
        <f>+H204-G204*E204</f>
        <v>0</v>
      </c>
    </row>
    <row r="205" spans="1:11">
      <c r="A205" s="14"/>
      <c r="B205" s="15" t="s">
        <v>2586</v>
      </c>
      <c r="C205" s="15" t="s">
        <v>5</v>
      </c>
      <c r="D205" s="16" t="s">
        <v>6</v>
      </c>
      <c r="E205" s="17" t="s">
        <v>7</v>
      </c>
      <c r="F205" s="18" t="s">
        <v>3728</v>
      </c>
      <c r="G205" s="19" t="s">
        <v>3729</v>
      </c>
      <c r="H205" s="20" t="s">
        <v>3797</v>
      </c>
    </row>
    <row r="206" spans="1:11">
      <c r="A206" s="21"/>
      <c r="B206" s="22" t="s">
        <v>3730</v>
      </c>
      <c r="C206" s="23"/>
      <c r="D206" s="24"/>
      <c r="E206" s="25"/>
      <c r="F206" s="26"/>
      <c r="G206" s="27">
        <f>SUM(G207:G211)</f>
        <v>8590.2075000000004</v>
      </c>
      <c r="H206" s="27">
        <f>IFERROR(G206*E204,"")</f>
        <v>0</v>
      </c>
    </row>
    <row r="207" spans="1:11">
      <c r="A207" s="28"/>
      <c r="B207" s="29" t="s">
        <v>2925</v>
      </c>
      <c r="C207" s="30" t="str">
        <f>IFERROR(_xlfn.XLOOKUP(B207,Insumo[DESCRIPCION],Insumo[UND],,0),"")</f>
        <v>Lt</v>
      </c>
      <c r="D207" s="31">
        <v>0.1</v>
      </c>
      <c r="E207" s="32">
        <f>IFERROR(_xlfn.XLOOKUP($B207,Insumo[DESCRIPCION],Insumo[VALOR],,0),"")</f>
        <v>28923.300000000003</v>
      </c>
      <c r="F207" s="33"/>
      <c r="G207" s="34">
        <f>IFERROR(IF(F207&gt;=0,D207*E207*(1+F207/100),ABS(D207*E207/F207)),"")</f>
        <v>2892.3300000000004</v>
      </c>
      <c r="H207" s="43">
        <f>IFERROR(G207*E204,"")</f>
        <v>0</v>
      </c>
    </row>
    <row r="208" spans="1:11">
      <c r="A208" s="28"/>
      <c r="B208" s="29" t="s">
        <v>3204</v>
      </c>
      <c r="C208" s="30" t="str">
        <f>IFERROR(_xlfn.XLOOKUP(B208,Insumo[DESCRIPCION],Insumo[UND],,0),"")</f>
        <v>galón</v>
      </c>
      <c r="D208" s="31">
        <v>0.05</v>
      </c>
      <c r="E208" s="32">
        <f>IFERROR(_xlfn.XLOOKUP($B208,Insumo[DESCRIPCION],Insumo[VALOR],,0),"")</f>
        <v>107805.6</v>
      </c>
      <c r="F208" s="33"/>
      <c r="G208" s="34">
        <f>IFERROR(IF(F208&gt;=0,D208*E208*(1+F208/100),ABS(D208*E208/F208)),"")</f>
        <v>5390.2800000000007</v>
      </c>
      <c r="H208" s="43">
        <f>IFERROR(G208*E204,"")</f>
        <v>0</v>
      </c>
    </row>
    <row r="209" spans="1:11">
      <c r="A209" s="28"/>
      <c r="B209" s="29" t="s">
        <v>3043</v>
      </c>
      <c r="C209" s="30" t="str">
        <f>IFERROR(_xlfn.XLOOKUP(B209,Insumo[DESCRIPCION],Insumo[UND],,0),"")</f>
        <v>Un</v>
      </c>
      <c r="D209" s="31">
        <v>0.15</v>
      </c>
      <c r="E209" s="32">
        <f>IFERROR(_xlfn.XLOOKUP($B209,Insumo[DESCRIPCION],Insumo[VALOR],,0),"")</f>
        <v>2050.65</v>
      </c>
      <c r="F209" s="33"/>
      <c r="G209" s="34">
        <f>IFERROR(IF(F209&gt;=0,D209*E209*(1+F209/100),ABS(D209*E209/F209)),"")</f>
        <v>307.59750000000003</v>
      </c>
      <c r="H209" s="43">
        <f>IFERROR(G209*E204,"")</f>
        <v>0</v>
      </c>
    </row>
    <row r="210" spans="1:11">
      <c r="A210" s="28"/>
      <c r="B210" s="29"/>
      <c r="C210" s="30" t="str">
        <f>IFERROR(_xlfn.XLOOKUP(B210,Insumo[DESCRIPCION],Insumo[UND],,0),"")</f>
        <v/>
      </c>
      <c r="D210" s="31"/>
      <c r="E210" s="32" t="str">
        <f>IFERROR(_xlfn.XLOOKUP($B210,Insumo[DESCRIPCION],Insumo[VALOR],,0),"")</f>
        <v/>
      </c>
      <c r="F210" s="33"/>
      <c r="G210" s="34" t="str">
        <f>IFERROR(IF(F210&gt;=0,D210*E210*(1+F210/100),ABS(D210*E210/F210)),"")</f>
        <v/>
      </c>
      <c r="H210" s="43" t="str">
        <f>IFERROR(G210*E204,"")</f>
        <v/>
      </c>
    </row>
    <row r="211" spans="1:11">
      <c r="A211" s="28"/>
      <c r="B211" s="29"/>
      <c r="C211" s="30" t="str">
        <f>IFERROR(_xlfn.XLOOKUP(B211,Insumo[DESCRIPCION],Insumo[UND],,0),"")</f>
        <v/>
      </c>
      <c r="D211" s="31"/>
      <c r="E211" s="32" t="str">
        <f>IFERROR(_xlfn.XLOOKUP($B211,Insumo[DESCRIPCION],Insumo[VALOR],,0),"")</f>
        <v/>
      </c>
      <c r="F211" s="33"/>
      <c r="G211" s="34" t="str">
        <f>IFERROR(IF(F211&gt;=0,D211*E211*(1+F211/100),ABS(D211*E211/F211)),"")</f>
        <v/>
      </c>
      <c r="H211" s="43" t="str">
        <f>IFERROR(G211*E204,"")</f>
        <v/>
      </c>
    </row>
    <row r="212" spans="1:11">
      <c r="A212" s="21"/>
      <c r="B212" s="22" t="s">
        <v>3731</v>
      </c>
      <c r="C212" s="23"/>
      <c r="D212" s="24"/>
      <c r="E212" s="25"/>
      <c r="F212" s="26"/>
      <c r="G212" s="27">
        <f>SUM(G213:G215)</f>
        <v>2697.8937200750001</v>
      </c>
      <c r="H212" s="44">
        <f>G212*E204</f>
        <v>0</v>
      </c>
    </row>
    <row r="213" spans="1:11">
      <c r="A213" s="28"/>
      <c r="B213" s="29" t="s">
        <v>3575</v>
      </c>
      <c r="C213" s="30" t="str">
        <f>IFERROR(_xlfn.XLOOKUP(B213,Equipo[DESCRIPCION],Equipo[UND],,0),"")</f>
        <v>Día</v>
      </c>
      <c r="D213" s="31">
        <v>1</v>
      </c>
      <c r="E213" s="32">
        <f>IF(C213="%MO",G219,IFERROR(_xlfn.XLOOKUP($B213,Equipo[DESCRIPCION],Equipo[VALOR],,0),""))</f>
        <v>142078.65</v>
      </c>
      <c r="F213" s="33">
        <v>-60</v>
      </c>
      <c r="G213" s="34">
        <f>IFERROR(IF(F213&gt;=0,D213*E213*(1+F213/100),ABS(D213*E213/F213)),"")</f>
        <v>2367.9775</v>
      </c>
      <c r="H213" s="43">
        <f>IFERROR(G213*E204,"")</f>
        <v>0</v>
      </c>
    </row>
    <row r="214" spans="1:11">
      <c r="A214" s="28"/>
      <c r="B214" s="29" t="s">
        <v>3626</v>
      </c>
      <c r="C214" s="30" t="str">
        <f>IFERROR(_xlfn.XLOOKUP(B214,Equipo[DESCRIPCION],Equipo[UND],,0),"")</f>
        <v>%MO</v>
      </c>
      <c r="D214" s="31">
        <v>0.05</v>
      </c>
      <c r="E214" s="32">
        <f>IF(C214="%MO",G219,IFERROR(_xlfn.XLOOKUP($B214,Equipo[DESCRIPCION],Equipo[VALOR],,0),""))</f>
        <v>6598.3244015000009</v>
      </c>
      <c r="F214" s="33"/>
      <c r="G214" s="34">
        <f>IFERROR(IF(F214&gt;=0,D214*E214*(1+F214/100),ABS(D214*E214/F214)),"")</f>
        <v>329.91622007500007</v>
      </c>
      <c r="H214" s="43">
        <f>IFERROR(G214*E204,"")</f>
        <v>0</v>
      </c>
    </row>
    <row r="215" spans="1:11">
      <c r="A215" s="28"/>
      <c r="B215" s="29"/>
      <c r="C215" s="30" t="str">
        <f>IFERROR(_xlfn.XLOOKUP(B215,Equipo[DESCRIPCION],Equipo[UND],,0),"")</f>
        <v/>
      </c>
      <c r="D215" s="31"/>
      <c r="E215" s="32" t="str">
        <f>IF(C215="%MO",G219,IFERROR(_xlfn.XLOOKUP($B215,Equipo[DESCRIPCION],Equipo[VALOR],,0),""))</f>
        <v/>
      </c>
      <c r="F215" s="33"/>
      <c r="G215" s="34" t="str">
        <f>IFERROR(IF(F215&gt;=0,D215*E215*(1+F215/100),ABS(D215*E215/F215)),"")</f>
        <v/>
      </c>
      <c r="H215" s="43" t="str">
        <f>IFERROR(G215*E204,"")</f>
        <v/>
      </c>
    </row>
    <row r="216" spans="1:11">
      <c r="A216" s="21"/>
      <c r="B216" s="22" t="s">
        <v>2533</v>
      </c>
      <c r="C216" s="23"/>
      <c r="D216" s="24"/>
      <c r="E216" s="25"/>
      <c r="F216" s="26"/>
      <c r="G216" s="27">
        <f>SUM(G217:G218)</f>
        <v>0</v>
      </c>
      <c r="H216" s="138">
        <f>IFERROR(G216*E204,"")</f>
        <v>0</v>
      </c>
    </row>
    <row r="217" spans="1:11">
      <c r="A217" s="28"/>
      <c r="B217" s="29"/>
      <c r="C217" s="30" t="str">
        <f>IFERROR(_xlfn.XLOOKUP(B217,Transporte[DESCRIPCION],Transporte[UND],,0),"")</f>
        <v/>
      </c>
      <c r="D217" s="31"/>
      <c r="E217" s="32" t="str">
        <f>IFERROR(_xlfn.XLOOKUP($B217,Transporte[DESCRIPCION],Transporte[VALOR],,0),"")</f>
        <v/>
      </c>
      <c r="F217" s="33"/>
      <c r="G217" s="34" t="str">
        <f>IFERROR(IF(F217&gt;=0,D217*E217*(1+F217/100),ABS(D217*E217/F217)),"")</f>
        <v/>
      </c>
      <c r="H217" s="43" t="str">
        <f>IFERROR(G217*E204,"")</f>
        <v/>
      </c>
    </row>
    <row r="218" spans="1:11">
      <c r="A218" s="28"/>
      <c r="B218" s="29"/>
      <c r="C218" s="30" t="str">
        <f>IFERROR(_xlfn.XLOOKUP(B218,Transporte[DESCRIPCION],Transporte[UND],,0),"")</f>
        <v/>
      </c>
      <c r="D218" s="31"/>
      <c r="E218" s="32" t="str">
        <f>IFERROR(_xlfn.XLOOKUP($B218,Transporte[DESCRIPCION],Transporte[VALOR],,0),"")</f>
        <v/>
      </c>
      <c r="F218" s="33"/>
      <c r="G218" s="34" t="str">
        <f>IFERROR(IF(F218&gt;=0,D218*E218*(1+F218/100),ABS(D218*E218/F218)),"")</f>
        <v/>
      </c>
      <c r="H218" s="43" t="str">
        <f>IFERROR(G218*E204,"")</f>
        <v/>
      </c>
    </row>
    <row r="219" spans="1:11">
      <c r="A219" s="21"/>
      <c r="B219" s="22" t="s">
        <v>3732</v>
      </c>
      <c r="C219" s="23"/>
      <c r="D219" s="24"/>
      <c r="E219" s="25"/>
      <c r="F219" s="26"/>
      <c r="G219" s="27">
        <f>SUM(G220:G222)</f>
        <v>6598.3244015000009</v>
      </c>
      <c r="H219" s="43">
        <f>IFERROR(G219*E204,"")</f>
        <v>0</v>
      </c>
    </row>
    <row r="220" spans="1:11">
      <c r="A220" s="28"/>
      <c r="B220" s="29" t="s">
        <v>3705</v>
      </c>
      <c r="C220" s="30" t="str">
        <f>IFERROR(_xlfn.XLOOKUP(B220,MObra[DESCRIPCION],MObra[UN],,0),"")</f>
        <v>día</v>
      </c>
      <c r="D220" s="31">
        <v>1</v>
      </c>
      <c r="E220" s="32">
        <f>IFERROR(_xlfn.XLOOKUP($B220,MObra[DESCRIPCION],MObra[VALOR UNIT],,0),"")</f>
        <v>197949.73204500004</v>
      </c>
      <c r="F220" s="33">
        <v>-30</v>
      </c>
      <c r="G220" s="34">
        <f>IFERROR(IF(F220&gt;=0,D220*E220*(1+F220/100),ABS(D220*E220/F220)),"")</f>
        <v>6598.3244015000009</v>
      </c>
      <c r="H220" s="43">
        <f>IFERROR(G220*E204,"")</f>
        <v>0</v>
      </c>
    </row>
    <row r="221" spans="1:11">
      <c r="A221" s="28"/>
      <c r="B221" s="29"/>
      <c r="C221" s="30" t="str">
        <f>IFERROR(_xlfn.XLOOKUP(B221,MObra[DESCRIPCION],MObra[UN],,0),"")</f>
        <v/>
      </c>
      <c r="D221" s="31"/>
      <c r="E221" s="32" t="str">
        <f>IFERROR(_xlfn.XLOOKUP($B221,MObra[DESCRIPCION],MObra[VALOR UNIT],,0),"")</f>
        <v/>
      </c>
      <c r="F221" s="33"/>
      <c r="G221" s="34" t="str">
        <f>IFERROR(IF(F221&gt;=0,D221*E221*(1+F221/100),ABS(D221*E221/F221)),"")</f>
        <v/>
      </c>
      <c r="H221" s="43" t="str">
        <f>IFERROR(G221*E204,"")</f>
        <v/>
      </c>
    </row>
    <row r="222" spans="1:11">
      <c r="A222" s="35"/>
      <c r="B222" s="36"/>
      <c r="C222" s="37" t="str">
        <f>IFERROR(_xlfn.XLOOKUP(B222,MObra[DESCRIPCION],MObra[UN],,0),"")</f>
        <v/>
      </c>
      <c r="D222" s="38"/>
      <c r="E222" s="39" t="str">
        <f>IFERROR(_xlfn.XLOOKUP($B222,MObra[DESCRIPCION],MObra[VALOR UNIT],,0),"")</f>
        <v/>
      </c>
      <c r="F222" s="40"/>
      <c r="G222" s="41" t="str">
        <f>IFERROR(IF(F222&gt;=0,D222*E222*(1+F222/100),ABS(D222*E222/F222)),"")</f>
        <v/>
      </c>
      <c r="H222" s="42" t="str">
        <f>IFERROR(G222*E204,"")</f>
        <v/>
      </c>
    </row>
    <row r="224" spans="1:11">
      <c r="A224" s="6" t="s">
        <v>1390</v>
      </c>
      <c r="B224" s="7" t="str">
        <f>VLOOKUP($A224,Presupuesto!$A:$D,2,FALSE())</f>
        <v>Pintura esmalte correas</v>
      </c>
      <c r="C224" s="8" t="str">
        <f>VLOOKUP($A224,Presupuesto!$A:$D,3,FALSE())</f>
        <v>M</v>
      </c>
      <c r="D224" s="9"/>
      <c r="E224" s="10">
        <f>VLOOKUP($A224,Presupuesto!$A:$D,4,FALSE())</f>
        <v>0</v>
      </c>
      <c r="F224" s="11" t="s">
        <v>2589</v>
      </c>
      <c r="G224" s="12">
        <f>SUM(G226:G242)/2</f>
        <v>15789.088621575002</v>
      </c>
      <c r="H224" s="13">
        <f>ROUND(SUM(H226:H242),0)/2</f>
        <v>0</v>
      </c>
      <c r="I224" s="10">
        <f>VLOOKUP(A224,Presupuesto!$A:$F,6,0)</f>
        <v>0</v>
      </c>
      <c r="J224" s="10">
        <f>+H224-I224</f>
        <v>0</v>
      </c>
      <c r="K224" s="46">
        <f>+H224-G224*E224</f>
        <v>0</v>
      </c>
    </row>
    <row r="225" spans="1:8">
      <c r="A225" s="14"/>
      <c r="B225" s="15" t="s">
        <v>2586</v>
      </c>
      <c r="C225" s="15" t="s">
        <v>5</v>
      </c>
      <c r="D225" s="16" t="s">
        <v>6</v>
      </c>
      <c r="E225" s="17" t="s">
        <v>7</v>
      </c>
      <c r="F225" s="18" t="s">
        <v>3728</v>
      </c>
      <c r="G225" s="19" t="s">
        <v>3729</v>
      </c>
      <c r="H225" s="20" t="s">
        <v>3797</v>
      </c>
    </row>
    <row r="226" spans="1:8">
      <c r="A226" s="21"/>
      <c r="B226" s="22" t="s">
        <v>3730</v>
      </c>
      <c r="C226" s="23"/>
      <c r="D226" s="24"/>
      <c r="E226" s="25"/>
      <c r="F226" s="26"/>
      <c r="G226" s="27">
        <f>SUM(G227:G231)</f>
        <v>6831.1530000000002</v>
      </c>
      <c r="H226" s="27">
        <f>IFERROR(G226*E224,"")</f>
        <v>0</v>
      </c>
    </row>
    <row r="227" spans="1:8">
      <c r="A227" s="28"/>
      <c r="B227" s="29" t="s">
        <v>2925</v>
      </c>
      <c r="C227" s="30" t="str">
        <f>IFERROR(_xlfn.XLOOKUP(B227,Insumo[DESCRIPCION],Insumo[UND],,0),"")</f>
        <v>Lt</v>
      </c>
      <c r="D227" s="31">
        <v>0.08</v>
      </c>
      <c r="E227" s="32">
        <f>IFERROR(_xlfn.XLOOKUP($B227,Insumo[DESCRIPCION],Insumo[VALOR],,0),"")</f>
        <v>28923.300000000003</v>
      </c>
      <c r="F227" s="33"/>
      <c r="G227" s="34">
        <f>IFERROR(IF(F227&gt;=0,D227*E227*(1+F227/100),ABS(D227*E227/F227)),"")</f>
        <v>2313.8640000000005</v>
      </c>
      <c r="H227" s="43">
        <f>IFERROR(G227*E224,"")</f>
        <v>0</v>
      </c>
    </row>
    <row r="228" spans="1:8">
      <c r="A228" s="28"/>
      <c r="B228" s="29" t="s">
        <v>3204</v>
      </c>
      <c r="C228" s="30" t="str">
        <f>IFERROR(_xlfn.XLOOKUP(B228,Insumo[DESCRIPCION],Insumo[UND],,0),"")</f>
        <v>galón</v>
      </c>
      <c r="D228" s="31">
        <v>0.04</v>
      </c>
      <c r="E228" s="32">
        <f>IFERROR(_xlfn.XLOOKUP($B228,Insumo[DESCRIPCION],Insumo[VALOR],,0),"")</f>
        <v>107805.6</v>
      </c>
      <c r="F228" s="33"/>
      <c r="G228" s="34">
        <f>IFERROR(IF(F228&gt;=0,D228*E228*(1+F228/100),ABS(D228*E228/F228)),"")</f>
        <v>4312.2240000000002</v>
      </c>
      <c r="H228" s="43">
        <f>IFERROR(G228*E224,"")</f>
        <v>0</v>
      </c>
    </row>
    <row r="229" spans="1:8">
      <c r="A229" s="28"/>
      <c r="B229" s="29" t="s">
        <v>3043</v>
      </c>
      <c r="C229" s="30" t="str">
        <f>IFERROR(_xlfn.XLOOKUP(B229,Insumo[DESCRIPCION],Insumo[UND],,0),"")</f>
        <v>Un</v>
      </c>
      <c r="D229" s="31">
        <v>0.1</v>
      </c>
      <c r="E229" s="32">
        <f>IFERROR(_xlfn.XLOOKUP($B229,Insumo[DESCRIPCION],Insumo[VALOR],,0),"")</f>
        <v>2050.65</v>
      </c>
      <c r="F229" s="33"/>
      <c r="G229" s="34">
        <f>IFERROR(IF(F229&gt;=0,D229*E229*(1+F229/100),ABS(D229*E229/F229)),"")</f>
        <v>205.06500000000003</v>
      </c>
      <c r="H229" s="43">
        <f>IFERROR(G229*E224,"")</f>
        <v>0</v>
      </c>
    </row>
    <row r="230" spans="1:8">
      <c r="A230" s="28"/>
      <c r="B230" s="29"/>
      <c r="C230" s="30" t="str">
        <f>IFERROR(_xlfn.XLOOKUP(B230,Insumo[DESCRIPCION],Insumo[UND],,0),"")</f>
        <v/>
      </c>
      <c r="D230" s="31"/>
      <c r="E230" s="32" t="str">
        <f>IFERROR(_xlfn.XLOOKUP($B230,Insumo[DESCRIPCION],Insumo[VALOR],,0),"")</f>
        <v/>
      </c>
      <c r="F230" s="33"/>
      <c r="G230" s="34" t="str">
        <f>IFERROR(IF(F230&gt;=0,D230*E230*(1+F230/100),ABS(D230*E230/F230)),"")</f>
        <v/>
      </c>
      <c r="H230" s="43" t="str">
        <f>IFERROR(G230*E224,"")</f>
        <v/>
      </c>
    </row>
    <row r="231" spans="1:8">
      <c r="A231" s="28"/>
      <c r="B231" s="29"/>
      <c r="C231" s="30" t="str">
        <f>IFERROR(_xlfn.XLOOKUP(B231,Insumo[DESCRIPCION],Insumo[UND],,0),"")</f>
        <v/>
      </c>
      <c r="D231" s="31"/>
      <c r="E231" s="32" t="str">
        <f>IFERROR(_xlfn.XLOOKUP($B231,Insumo[DESCRIPCION],Insumo[VALOR],,0),"")</f>
        <v/>
      </c>
      <c r="F231" s="33"/>
      <c r="G231" s="34" t="str">
        <f>IFERROR(IF(F231&gt;=0,D231*E231*(1+F231/100),ABS(D231*E231/F231)),"")</f>
        <v/>
      </c>
      <c r="H231" s="43" t="str">
        <f>IFERROR(G231*E224,"")</f>
        <v/>
      </c>
    </row>
    <row r="232" spans="1:8">
      <c r="A232" s="21"/>
      <c r="B232" s="22" t="s">
        <v>3731</v>
      </c>
      <c r="C232" s="23"/>
      <c r="D232" s="24"/>
      <c r="E232" s="25"/>
      <c r="F232" s="26"/>
      <c r="G232" s="27">
        <f>SUM(G233:G235)</f>
        <v>2359.6112200749999</v>
      </c>
      <c r="H232" s="44">
        <f>G232*E224</f>
        <v>0</v>
      </c>
    </row>
    <row r="233" spans="1:8">
      <c r="A233" s="28"/>
      <c r="B233" s="29" t="s">
        <v>3575</v>
      </c>
      <c r="C233" s="30" t="str">
        <f>IFERROR(_xlfn.XLOOKUP(B233,Equipo[DESCRIPCION],Equipo[UND],,0),"")</f>
        <v>Día</v>
      </c>
      <c r="D233" s="31">
        <v>1</v>
      </c>
      <c r="E233" s="32">
        <f>IF(C233="%MO",G239,IFERROR(_xlfn.XLOOKUP($B233,Equipo[DESCRIPCION],Equipo[VALOR],,0),""))</f>
        <v>142078.65</v>
      </c>
      <c r="F233" s="33">
        <v>-70</v>
      </c>
      <c r="G233" s="34">
        <f>IFERROR(IF(F233&gt;=0,D233*E233*(1+F233/100),ABS(D233*E233/F233)),"")</f>
        <v>2029.6949999999999</v>
      </c>
      <c r="H233" s="43">
        <f>IFERROR(G233*E224,"")</f>
        <v>0</v>
      </c>
    </row>
    <row r="234" spans="1:8">
      <c r="A234" s="28"/>
      <c r="B234" s="29" t="s">
        <v>3626</v>
      </c>
      <c r="C234" s="30" t="str">
        <f>IFERROR(_xlfn.XLOOKUP(B234,Equipo[DESCRIPCION],Equipo[UND],,0),"")</f>
        <v>%MO</v>
      </c>
      <c r="D234" s="31">
        <v>0.05</v>
      </c>
      <c r="E234" s="32">
        <f>IF(C234="%MO",G239,IFERROR(_xlfn.XLOOKUP($B234,Equipo[DESCRIPCION],Equipo[VALOR],,0),""))</f>
        <v>6598.3244015000009</v>
      </c>
      <c r="F234" s="33"/>
      <c r="G234" s="34">
        <f>IFERROR(IF(F234&gt;=0,D234*E234*(1+F234/100),ABS(D234*E234/F234)),"")</f>
        <v>329.91622007500007</v>
      </c>
      <c r="H234" s="43">
        <f>IFERROR(G234*E224,"")</f>
        <v>0</v>
      </c>
    </row>
    <row r="235" spans="1:8">
      <c r="A235" s="28"/>
      <c r="B235" s="29"/>
      <c r="C235" s="30" t="str">
        <f>IFERROR(_xlfn.XLOOKUP(B235,Equipo[DESCRIPCION],Equipo[UND],,0),"")</f>
        <v/>
      </c>
      <c r="D235" s="31"/>
      <c r="E235" s="32" t="str">
        <f>IF(C235="%MO",G239,IFERROR(_xlfn.XLOOKUP($B235,Equipo[DESCRIPCION],Equipo[VALOR],,0),""))</f>
        <v/>
      </c>
      <c r="F235" s="33"/>
      <c r="G235" s="34" t="str">
        <f>IFERROR(IF(F235&gt;=0,D235*E235*(1+F235/100),ABS(D235*E235/F235)),"")</f>
        <v/>
      </c>
      <c r="H235" s="43" t="str">
        <f>IFERROR(G235*E224,"")</f>
        <v/>
      </c>
    </row>
    <row r="236" spans="1:8">
      <c r="A236" s="21"/>
      <c r="B236" s="22" t="s">
        <v>2533</v>
      </c>
      <c r="C236" s="23"/>
      <c r="D236" s="24"/>
      <c r="E236" s="25"/>
      <c r="F236" s="26"/>
      <c r="G236" s="27">
        <f>SUM(G237:G238)</f>
        <v>0</v>
      </c>
      <c r="H236" s="138">
        <f>IFERROR(G236*E224,"")</f>
        <v>0</v>
      </c>
    </row>
    <row r="237" spans="1:8">
      <c r="A237" s="28"/>
      <c r="B237" s="29"/>
      <c r="C237" s="30" t="str">
        <f>IFERROR(_xlfn.XLOOKUP(B237,Transporte[DESCRIPCION],Transporte[UND],,0),"")</f>
        <v/>
      </c>
      <c r="D237" s="31"/>
      <c r="E237" s="32" t="str">
        <f>IFERROR(_xlfn.XLOOKUP($B237,Transporte[DESCRIPCION],Transporte[VALOR],,0),"")</f>
        <v/>
      </c>
      <c r="F237" s="33"/>
      <c r="G237" s="34" t="str">
        <f>IFERROR(IF(F237&gt;=0,D237*E237*(1+F237/100),ABS(D237*E237/F237)),"")</f>
        <v/>
      </c>
      <c r="H237" s="43" t="str">
        <f>IFERROR(G237*E224,"")</f>
        <v/>
      </c>
    </row>
    <row r="238" spans="1:8">
      <c r="A238" s="28"/>
      <c r="B238" s="29"/>
      <c r="C238" s="30" t="str">
        <f>IFERROR(_xlfn.XLOOKUP(B238,Transporte[DESCRIPCION],Transporte[UND],,0),"")</f>
        <v/>
      </c>
      <c r="D238" s="31"/>
      <c r="E238" s="32" t="str">
        <f>IFERROR(_xlfn.XLOOKUP($B238,Transporte[DESCRIPCION],Transporte[VALOR],,0),"")</f>
        <v/>
      </c>
      <c r="F238" s="33"/>
      <c r="G238" s="34" t="str">
        <f>IFERROR(IF(F238&gt;=0,D238*E238*(1+F238/100),ABS(D238*E238/F238)),"")</f>
        <v/>
      </c>
      <c r="H238" s="43" t="str">
        <f>IFERROR(G238*E224,"")</f>
        <v/>
      </c>
    </row>
    <row r="239" spans="1:8">
      <c r="A239" s="21"/>
      <c r="B239" s="22" t="s">
        <v>3732</v>
      </c>
      <c r="C239" s="23"/>
      <c r="D239" s="24"/>
      <c r="E239" s="25"/>
      <c r="F239" s="26"/>
      <c r="G239" s="27">
        <f>SUM(G240:G242)</f>
        <v>6598.3244015000009</v>
      </c>
      <c r="H239" s="43">
        <f>IFERROR(G239*E224,"")</f>
        <v>0</v>
      </c>
    </row>
    <row r="240" spans="1:8">
      <c r="A240" s="28"/>
      <c r="B240" s="29" t="s">
        <v>3705</v>
      </c>
      <c r="C240" s="30" t="str">
        <f>IFERROR(_xlfn.XLOOKUP(B240,MObra[DESCRIPCION],MObra[UN],,0),"")</f>
        <v>día</v>
      </c>
      <c r="D240" s="31">
        <v>1</v>
      </c>
      <c r="E240" s="32">
        <f>IFERROR(_xlfn.XLOOKUP($B240,MObra[DESCRIPCION],MObra[VALOR UNIT],,0),"")</f>
        <v>197949.73204500004</v>
      </c>
      <c r="F240" s="33">
        <v>-30</v>
      </c>
      <c r="G240" s="34">
        <f>IFERROR(IF(F240&gt;=0,D240*E240*(1+F240/100),ABS(D240*E240/F240)),"")</f>
        <v>6598.3244015000009</v>
      </c>
      <c r="H240" s="43">
        <f>IFERROR(G240*E224,"")</f>
        <v>0</v>
      </c>
    </row>
    <row r="241" spans="1:11">
      <c r="A241" s="28"/>
      <c r="B241" s="29"/>
      <c r="C241" s="30" t="str">
        <f>IFERROR(_xlfn.XLOOKUP(B241,MObra[DESCRIPCION],MObra[UN],,0),"")</f>
        <v/>
      </c>
      <c r="D241" s="31"/>
      <c r="E241" s="32" t="str">
        <f>IFERROR(_xlfn.XLOOKUP($B241,MObra[DESCRIPCION],MObra[VALOR UNIT],,0),"")</f>
        <v/>
      </c>
      <c r="F241" s="33"/>
      <c r="G241" s="34" t="str">
        <f>IFERROR(IF(F241&gt;=0,D241*E241*(1+F241/100),ABS(D241*E241/F241)),"")</f>
        <v/>
      </c>
      <c r="H241" s="43" t="str">
        <f>IFERROR(G241*E224,"")</f>
        <v/>
      </c>
    </row>
    <row r="242" spans="1:11">
      <c r="A242" s="35"/>
      <c r="B242" s="36"/>
      <c r="C242" s="37" t="str">
        <f>IFERROR(_xlfn.XLOOKUP(B242,MObra[DESCRIPCION],MObra[UN],,0),"")</f>
        <v/>
      </c>
      <c r="D242" s="38"/>
      <c r="E242" s="39" t="str">
        <f>IFERROR(_xlfn.XLOOKUP($B242,MObra[DESCRIPCION],MObra[VALOR UNIT],,0),"")</f>
        <v/>
      </c>
      <c r="F242" s="40"/>
      <c r="G242" s="41" t="str">
        <f>IFERROR(IF(F242&gt;=0,D242*E242*(1+F242/100),ABS(D242*E242/F242)),"")</f>
        <v/>
      </c>
      <c r="H242" s="42" t="str">
        <f>IFERROR(G242*E224,"")</f>
        <v/>
      </c>
    </row>
    <row r="244" spans="1:11">
      <c r="A244" s="6" t="s">
        <v>1392</v>
      </c>
      <c r="B244" s="7" t="str">
        <f>VLOOKUP($A244,Presupuesto!$A:$D,2,FALSE())</f>
        <v>Pintura esmalte rejas y estructura metálica</v>
      </c>
      <c r="C244" s="8" t="str">
        <f>VLOOKUP($A244,Presupuesto!$A:$D,3,FALSE())</f>
        <v>M2</v>
      </c>
      <c r="D244" s="9"/>
      <c r="E244" s="10">
        <f>VLOOKUP($A244,Presupuesto!$A:$D,4,FALSE())</f>
        <v>0</v>
      </c>
      <c r="F244" s="11" t="s">
        <v>2589</v>
      </c>
      <c r="G244" s="12">
        <f>SUM(G246:G262)/2</f>
        <v>30479.578537590001</v>
      </c>
      <c r="H244" s="13">
        <f>ROUND(SUM(H246:H262),0)/2</f>
        <v>0</v>
      </c>
      <c r="I244" s="10">
        <f>VLOOKUP(A244,Presupuesto!$A:$F,6,0)</f>
        <v>0</v>
      </c>
      <c r="J244" s="10">
        <f>+H244-I244</f>
        <v>0</v>
      </c>
      <c r="K244" s="46">
        <f>+H244-G244*E244</f>
        <v>0</v>
      </c>
    </row>
    <row r="245" spans="1:11">
      <c r="A245" s="14"/>
      <c r="B245" s="15" t="s">
        <v>2586</v>
      </c>
      <c r="C245" s="15" t="s">
        <v>5</v>
      </c>
      <c r="D245" s="16" t="s">
        <v>6</v>
      </c>
      <c r="E245" s="17" t="s">
        <v>7</v>
      </c>
      <c r="F245" s="18" t="s">
        <v>3728</v>
      </c>
      <c r="G245" s="19" t="s">
        <v>3729</v>
      </c>
      <c r="H245" s="20" t="s">
        <v>3797</v>
      </c>
    </row>
    <row r="246" spans="1:11">
      <c r="A246" s="21"/>
      <c r="B246" s="22" t="s">
        <v>3730</v>
      </c>
      <c r="C246" s="23"/>
      <c r="D246" s="24"/>
      <c r="E246" s="25"/>
      <c r="F246" s="26"/>
      <c r="G246" s="27">
        <f>SUM(G247:G251)</f>
        <v>17275.167000000001</v>
      </c>
      <c r="H246" s="27">
        <f>IFERROR(G246*E244,"")</f>
        <v>0</v>
      </c>
    </row>
    <row r="247" spans="1:11">
      <c r="A247" s="28"/>
      <c r="B247" s="29" t="s">
        <v>2925</v>
      </c>
      <c r="C247" s="30" t="str">
        <f>IFERROR(_xlfn.XLOOKUP(B247,Insumo[DESCRIPCION],Insumo[UND],,0),"")</f>
        <v>Lt</v>
      </c>
      <c r="D247" s="31">
        <v>0.15</v>
      </c>
      <c r="E247" s="32">
        <f>IFERROR(_xlfn.XLOOKUP($B247,Insumo[DESCRIPCION],Insumo[VALOR],,0),"")</f>
        <v>28923.300000000003</v>
      </c>
      <c r="F247" s="33"/>
      <c r="G247" s="34">
        <f>IFERROR(IF(F247&gt;=0,D247*E247*(1+F247/100),ABS(D247*E247/F247)),"")</f>
        <v>4338.4949999999999</v>
      </c>
      <c r="H247" s="43">
        <f>IFERROR(G247*E244,"")</f>
        <v>0</v>
      </c>
    </row>
    <row r="248" spans="1:11">
      <c r="A248" s="28"/>
      <c r="B248" s="29" t="s">
        <v>3204</v>
      </c>
      <c r="C248" s="30" t="str">
        <f>IFERROR(_xlfn.XLOOKUP(B248,Insumo[DESCRIPCION],Insumo[UND],,0),"")</f>
        <v>galón</v>
      </c>
      <c r="D248" s="31">
        <v>0.12</v>
      </c>
      <c r="E248" s="32">
        <f>IFERROR(_xlfn.XLOOKUP($B248,Insumo[DESCRIPCION],Insumo[VALOR],,0),"")</f>
        <v>107805.6</v>
      </c>
      <c r="F248" s="33"/>
      <c r="G248" s="34">
        <f>IFERROR(IF(F248&gt;=0,D248*E248*(1+F248/100),ABS(D248*E248/F248)),"")</f>
        <v>12936.672</v>
      </c>
      <c r="H248" s="43">
        <f>IFERROR(G248*E244,"")</f>
        <v>0</v>
      </c>
    </row>
    <row r="249" spans="1:11">
      <c r="A249" s="28"/>
      <c r="B249" s="29"/>
      <c r="C249" s="30" t="str">
        <f>IFERROR(_xlfn.XLOOKUP(B249,Insumo[DESCRIPCION],Insumo[UND],,0),"")</f>
        <v/>
      </c>
      <c r="D249" s="31"/>
      <c r="E249" s="32" t="str">
        <f>IFERROR(_xlfn.XLOOKUP($B249,Insumo[DESCRIPCION],Insumo[VALOR],,0),"")</f>
        <v/>
      </c>
      <c r="F249" s="33"/>
      <c r="G249" s="34" t="str">
        <f>IFERROR(IF(F249&gt;=0,D249*E249*(1+F249/100),ABS(D249*E249/F249)),"")</f>
        <v/>
      </c>
      <c r="H249" s="43" t="str">
        <f>IFERROR(G249*E244,"")</f>
        <v/>
      </c>
    </row>
    <row r="250" spans="1:11">
      <c r="A250" s="28"/>
      <c r="B250" s="29"/>
      <c r="C250" s="30" t="str">
        <f>IFERROR(_xlfn.XLOOKUP(B250,Insumo[DESCRIPCION],Insumo[UND],,0),"")</f>
        <v/>
      </c>
      <c r="D250" s="31"/>
      <c r="E250" s="32" t="str">
        <f>IFERROR(_xlfn.XLOOKUP($B250,Insumo[DESCRIPCION],Insumo[VALOR],,0),"")</f>
        <v/>
      </c>
      <c r="F250" s="33"/>
      <c r="G250" s="34" t="str">
        <f>IFERROR(IF(F250&gt;=0,D250*E250*(1+F250/100),ABS(D250*E250/F250)),"")</f>
        <v/>
      </c>
      <c r="H250" s="43" t="str">
        <f>IFERROR(G250*E244,"")</f>
        <v/>
      </c>
    </row>
    <row r="251" spans="1:11">
      <c r="A251" s="28"/>
      <c r="B251" s="29"/>
      <c r="C251" s="30" t="str">
        <f>IFERROR(_xlfn.XLOOKUP(B251,Insumo[DESCRIPCION],Insumo[UND],,0),"")</f>
        <v/>
      </c>
      <c r="D251" s="31"/>
      <c r="E251" s="32" t="str">
        <f>IFERROR(_xlfn.XLOOKUP($B251,Insumo[DESCRIPCION],Insumo[VALOR],,0),"")</f>
        <v/>
      </c>
      <c r="F251" s="33"/>
      <c r="G251" s="34" t="str">
        <f>IFERROR(IF(F251&gt;=0,D251*E251*(1+F251/100),ABS(D251*E251/F251)),"")</f>
        <v/>
      </c>
      <c r="H251" s="43" t="str">
        <f>IFERROR(G251*E244,"")</f>
        <v/>
      </c>
    </row>
    <row r="252" spans="1:11">
      <c r="A252" s="21"/>
      <c r="B252" s="22" t="s">
        <v>3731</v>
      </c>
      <c r="C252" s="23"/>
      <c r="D252" s="24"/>
      <c r="E252" s="25"/>
      <c r="F252" s="26"/>
      <c r="G252" s="27">
        <f>SUM(G253:G255)</f>
        <v>628.78150179000022</v>
      </c>
      <c r="H252" s="44">
        <f>G252*E244</f>
        <v>0</v>
      </c>
    </row>
    <row r="253" spans="1:11">
      <c r="A253" s="28"/>
      <c r="B253" s="29" t="s">
        <v>3626</v>
      </c>
      <c r="C253" s="30" t="str">
        <f>IFERROR(_xlfn.XLOOKUP(B253,Equipo[DESCRIPCION],Equipo[UND],,0),"")</f>
        <v>%MO</v>
      </c>
      <c r="D253" s="31">
        <v>0.05</v>
      </c>
      <c r="E253" s="32">
        <f>IF(C253="%MO",G259,IFERROR(_xlfn.XLOOKUP($B253,Equipo[DESCRIPCION],Equipo[VALOR],,0),""))</f>
        <v>12575.630035800003</v>
      </c>
      <c r="F253" s="33"/>
      <c r="G253" s="34">
        <f>IFERROR(IF(F253&gt;=0,D253*E253*(1+F253/100),ABS(D253*E253/F253)),"")</f>
        <v>628.78150179000022</v>
      </c>
      <c r="H253" s="43">
        <f>IFERROR(G253*E244,"")</f>
        <v>0</v>
      </c>
    </row>
    <row r="254" spans="1:11">
      <c r="A254" s="28"/>
      <c r="B254" s="29"/>
      <c r="C254" s="30" t="str">
        <f>IFERROR(_xlfn.XLOOKUP(B254,Equipo[DESCRIPCION],Equipo[UND],,0),"")</f>
        <v/>
      </c>
      <c r="D254" s="31"/>
      <c r="E254" s="32" t="str">
        <f>IF(C254="%MO",G259,IFERROR(_xlfn.XLOOKUP($B254,Equipo[DESCRIPCION],Equipo[VALOR],,0),""))</f>
        <v/>
      </c>
      <c r="F254" s="33"/>
      <c r="G254" s="34" t="str">
        <f>IFERROR(IF(F254&gt;=0,D254*E254*(1+F254/100),ABS(D254*E254/F254)),"")</f>
        <v/>
      </c>
      <c r="H254" s="43" t="str">
        <f>IFERROR(G254*E244,"")</f>
        <v/>
      </c>
    </row>
    <row r="255" spans="1:11">
      <c r="A255" s="28"/>
      <c r="B255" s="29"/>
      <c r="C255" s="30" t="str">
        <f>IFERROR(_xlfn.XLOOKUP(B255,Equipo[DESCRIPCION],Equipo[UND],,0),"")</f>
        <v/>
      </c>
      <c r="D255" s="31"/>
      <c r="E255" s="32" t="str">
        <f>IF(C255="%MO",G259,IFERROR(_xlfn.XLOOKUP($B255,Equipo[DESCRIPCION],Equipo[VALOR],,0),""))</f>
        <v/>
      </c>
      <c r="F255" s="33"/>
      <c r="G255" s="34" t="str">
        <f>IFERROR(IF(F255&gt;=0,D255*E255*(1+F255/100),ABS(D255*E255/F255)),"")</f>
        <v/>
      </c>
      <c r="H255" s="43" t="str">
        <f>IFERROR(G255*E244,"")</f>
        <v/>
      </c>
    </row>
    <row r="256" spans="1:11">
      <c r="A256" s="21"/>
      <c r="B256" s="22" t="s">
        <v>2533</v>
      </c>
      <c r="C256" s="23"/>
      <c r="D256" s="24"/>
      <c r="E256" s="25"/>
      <c r="F256" s="26"/>
      <c r="G256" s="27">
        <f>SUM(G257:G258)</f>
        <v>0</v>
      </c>
      <c r="H256" s="138">
        <f>IFERROR(G256*E244,"")</f>
        <v>0</v>
      </c>
    </row>
    <row r="257" spans="1:11">
      <c r="A257" s="28"/>
      <c r="B257" s="29"/>
      <c r="C257" s="30" t="str">
        <f>IFERROR(_xlfn.XLOOKUP(B257,Transporte[DESCRIPCION],Transporte[UND],,0),"")</f>
        <v/>
      </c>
      <c r="D257" s="31"/>
      <c r="E257" s="32" t="str">
        <f>IFERROR(_xlfn.XLOOKUP($B257,Transporte[DESCRIPCION],Transporte[VALOR],,0),"")</f>
        <v/>
      </c>
      <c r="F257" s="33"/>
      <c r="G257" s="34" t="str">
        <f>IFERROR(IF(F257&gt;=0,D257*E257*(1+F257/100),ABS(D257*E257/F257)),"")</f>
        <v/>
      </c>
      <c r="H257" s="43" t="str">
        <f>IFERROR(G257*E244,"")</f>
        <v/>
      </c>
    </row>
    <row r="258" spans="1:11">
      <c r="A258" s="28"/>
      <c r="B258" s="29"/>
      <c r="C258" s="30" t="str">
        <f>IFERROR(_xlfn.XLOOKUP(B258,Transporte[DESCRIPCION],Transporte[UND],,0),"")</f>
        <v/>
      </c>
      <c r="D258" s="31"/>
      <c r="E258" s="32" t="str">
        <f>IFERROR(_xlfn.XLOOKUP($B258,Transporte[DESCRIPCION],Transporte[VALOR],,0),"")</f>
        <v/>
      </c>
      <c r="F258" s="33"/>
      <c r="G258" s="34" t="str">
        <f>IFERROR(IF(F258&gt;=0,D258*E258*(1+F258/100),ABS(D258*E258/F258)),"")</f>
        <v/>
      </c>
      <c r="H258" s="43" t="str">
        <f>IFERROR(G258*E244,"")</f>
        <v/>
      </c>
    </row>
    <row r="259" spans="1:11">
      <c r="A259" s="21"/>
      <c r="B259" s="22" t="s">
        <v>3732</v>
      </c>
      <c r="C259" s="23"/>
      <c r="D259" s="24"/>
      <c r="E259" s="25"/>
      <c r="F259" s="26"/>
      <c r="G259" s="27">
        <f>SUM(G260:G262)</f>
        <v>12575.630035800003</v>
      </c>
      <c r="H259" s="43">
        <f>IFERROR(G259*E244,"")</f>
        <v>0</v>
      </c>
    </row>
    <row r="260" spans="1:11">
      <c r="A260" s="28"/>
      <c r="B260" s="29" t="s">
        <v>3710</v>
      </c>
      <c r="C260" s="30" t="str">
        <f>IFERROR(_xlfn.XLOOKUP(B260,MObra[DESCRIPCION],MObra[UN],,0),"")</f>
        <v>día</v>
      </c>
      <c r="D260" s="31">
        <v>1</v>
      </c>
      <c r="E260" s="32">
        <f>IFERROR(_xlfn.XLOOKUP($B260,MObra[DESCRIPCION],MObra[VALOR UNIT],,0),"")</f>
        <v>314390.75089500006</v>
      </c>
      <c r="F260" s="33">
        <v>-25</v>
      </c>
      <c r="G260" s="34">
        <f>IFERROR(IF(F260&gt;=0,D260*E260*(1+F260/100),ABS(D260*E260/F260)),"")</f>
        <v>12575.630035800003</v>
      </c>
      <c r="H260" s="43">
        <f>IFERROR(G260*E244,"")</f>
        <v>0</v>
      </c>
    </row>
    <row r="261" spans="1:11">
      <c r="A261" s="28"/>
      <c r="B261" s="29"/>
      <c r="C261" s="30" t="str">
        <f>IFERROR(_xlfn.XLOOKUP(B261,MObra[DESCRIPCION],MObra[UN],,0),"")</f>
        <v/>
      </c>
      <c r="D261" s="31"/>
      <c r="E261" s="32" t="str">
        <f>IFERROR(_xlfn.XLOOKUP($B261,MObra[DESCRIPCION],MObra[VALOR UNIT],,0),"")</f>
        <v/>
      </c>
      <c r="F261" s="33"/>
      <c r="G261" s="34" t="str">
        <f>IFERROR(IF(F261&gt;=0,D261*E261*(1+F261/100),ABS(D261*E261/F261)),"")</f>
        <v/>
      </c>
      <c r="H261" s="43" t="str">
        <f>IFERROR(G261*E244,"")</f>
        <v/>
      </c>
    </row>
    <row r="262" spans="1:11">
      <c r="A262" s="35"/>
      <c r="B262" s="36"/>
      <c r="C262" s="37" t="str">
        <f>IFERROR(_xlfn.XLOOKUP(B262,MObra[DESCRIPCION],MObra[UN],,0),"")</f>
        <v/>
      </c>
      <c r="D262" s="38"/>
      <c r="E262" s="39" t="str">
        <f>IFERROR(_xlfn.XLOOKUP($B262,MObra[DESCRIPCION],MObra[VALOR UNIT],,0),"")</f>
        <v/>
      </c>
      <c r="F262" s="40"/>
      <c r="G262" s="41" t="str">
        <f>IFERROR(IF(F262&gt;=0,D262*E262*(1+F262/100),ABS(D262*E262/F262)),"")</f>
        <v/>
      </c>
      <c r="H262" s="42" t="str">
        <f>IFERROR(G262*E244,"")</f>
        <v/>
      </c>
    </row>
    <row r="264" spans="1:11">
      <c r="A264" s="6" t="s">
        <v>1394</v>
      </c>
      <c r="B264" s="7" t="str">
        <f>VLOOKUP($A264,Presupuesto!$A:$D,2,FALSE())</f>
        <v>Pintura esmalte ventanas lámina</v>
      </c>
      <c r="C264" s="8" t="str">
        <f>VLOOKUP($A264,Presupuesto!$A:$D,3,FALSE())</f>
        <v>M2</v>
      </c>
      <c r="D264" s="9"/>
      <c r="E264" s="10">
        <f>VLOOKUP($A264,Presupuesto!$A:$D,4,FALSE())</f>
        <v>0</v>
      </c>
      <c r="F264" s="11" t="s">
        <v>2589</v>
      </c>
      <c r="G264" s="12">
        <f>SUM(G266:G282)/2</f>
        <v>54185.044110750008</v>
      </c>
      <c r="H264" s="13">
        <f>ROUND(SUM(H266:H282),0)/2</f>
        <v>0</v>
      </c>
      <c r="I264" s="10">
        <f>VLOOKUP(A264,Presupuesto!$A:$F,6,0)</f>
        <v>0</v>
      </c>
      <c r="J264" s="10">
        <f>+H264-I264</f>
        <v>0</v>
      </c>
      <c r="K264" s="46">
        <f>+H264-G264*E264</f>
        <v>0</v>
      </c>
    </row>
    <row r="265" spans="1:11">
      <c r="A265" s="14"/>
      <c r="B265" s="15" t="s">
        <v>2586</v>
      </c>
      <c r="C265" s="15" t="s">
        <v>5</v>
      </c>
      <c r="D265" s="16" t="s">
        <v>6</v>
      </c>
      <c r="E265" s="17" t="s">
        <v>7</v>
      </c>
      <c r="F265" s="18" t="s">
        <v>3728</v>
      </c>
      <c r="G265" s="19" t="s">
        <v>3729</v>
      </c>
      <c r="H265" s="20" t="s">
        <v>3797</v>
      </c>
    </row>
    <row r="266" spans="1:11">
      <c r="A266" s="21"/>
      <c r="B266" s="22" t="s">
        <v>3730</v>
      </c>
      <c r="C266" s="23"/>
      <c r="D266" s="24"/>
      <c r="E266" s="25"/>
      <c r="F266" s="26"/>
      <c r="G266" s="27">
        <f>SUM(G267:G271)</f>
        <v>28791.945000000003</v>
      </c>
      <c r="H266" s="27">
        <f>IFERROR(G266*E264,"")</f>
        <v>0</v>
      </c>
    </row>
    <row r="267" spans="1:11">
      <c r="A267" s="28"/>
      <c r="B267" s="29" t="s">
        <v>2925</v>
      </c>
      <c r="C267" s="30" t="str">
        <f>IFERROR(_xlfn.XLOOKUP(B267,Insumo[DESCRIPCION],Insumo[UND],,0),"")</f>
        <v>Lt</v>
      </c>
      <c r="D267" s="31">
        <v>0.25</v>
      </c>
      <c r="E267" s="32">
        <f>IFERROR(_xlfn.XLOOKUP($B267,Insumo[DESCRIPCION],Insumo[VALOR],,0),"")</f>
        <v>28923.300000000003</v>
      </c>
      <c r="F267" s="33"/>
      <c r="G267" s="34">
        <f>IFERROR(IF(F267&gt;=0,D267*E267*(1+F267/100),ABS(D267*E267/F267)),"")</f>
        <v>7230.8250000000007</v>
      </c>
      <c r="H267" s="43">
        <f>IFERROR(G267*E264,"")</f>
        <v>0</v>
      </c>
    </row>
    <row r="268" spans="1:11">
      <c r="A268" s="28"/>
      <c r="B268" s="29" t="s">
        <v>3204</v>
      </c>
      <c r="C268" s="30" t="str">
        <f>IFERROR(_xlfn.XLOOKUP(B268,Insumo[DESCRIPCION],Insumo[UND],,0),"")</f>
        <v>galón</v>
      </c>
      <c r="D268" s="31">
        <v>0.2</v>
      </c>
      <c r="E268" s="32">
        <f>IFERROR(_xlfn.XLOOKUP($B268,Insumo[DESCRIPCION],Insumo[VALOR],,0),"")</f>
        <v>107805.6</v>
      </c>
      <c r="F268" s="33"/>
      <c r="G268" s="34">
        <f>IFERROR(IF(F268&gt;=0,D268*E268*(1+F268/100),ABS(D268*E268/F268)),"")</f>
        <v>21561.120000000003</v>
      </c>
      <c r="H268" s="43">
        <f>IFERROR(G268*E264,"")</f>
        <v>0</v>
      </c>
    </row>
    <row r="269" spans="1:11">
      <c r="A269" s="28"/>
      <c r="B269" s="29"/>
      <c r="C269" s="30" t="str">
        <f>IFERROR(_xlfn.XLOOKUP(B269,Insumo[DESCRIPCION],Insumo[UND],,0),"")</f>
        <v/>
      </c>
      <c r="D269" s="31"/>
      <c r="E269" s="32" t="str">
        <f>IFERROR(_xlfn.XLOOKUP($B269,Insumo[DESCRIPCION],Insumo[VALOR],,0),"")</f>
        <v/>
      </c>
      <c r="F269" s="33"/>
      <c r="G269" s="34" t="str">
        <f>IFERROR(IF(F269&gt;=0,D269*E269*(1+F269/100),ABS(D269*E269/F269)),"")</f>
        <v/>
      </c>
      <c r="H269" s="43" t="str">
        <f>IFERROR(G269*E264,"")</f>
        <v/>
      </c>
    </row>
    <row r="270" spans="1:11">
      <c r="A270" s="28"/>
      <c r="B270" s="29"/>
      <c r="C270" s="30" t="str">
        <f>IFERROR(_xlfn.XLOOKUP(B270,Insumo[DESCRIPCION],Insumo[UND],,0),"")</f>
        <v/>
      </c>
      <c r="D270" s="31"/>
      <c r="E270" s="32" t="str">
        <f>IFERROR(_xlfn.XLOOKUP($B270,Insumo[DESCRIPCION],Insumo[VALOR],,0),"")</f>
        <v/>
      </c>
      <c r="F270" s="33"/>
      <c r="G270" s="34" t="str">
        <f>IFERROR(IF(F270&gt;=0,D270*E270*(1+F270/100),ABS(D270*E270/F270)),"")</f>
        <v/>
      </c>
      <c r="H270" s="43" t="str">
        <f>IFERROR(G270*E264,"")</f>
        <v/>
      </c>
    </row>
    <row r="271" spans="1:11">
      <c r="A271" s="28"/>
      <c r="B271" s="29"/>
      <c r="C271" s="30" t="str">
        <f>IFERROR(_xlfn.XLOOKUP(B271,Insumo[DESCRIPCION],Insumo[UND],,0),"")</f>
        <v/>
      </c>
      <c r="D271" s="31"/>
      <c r="E271" s="32" t="str">
        <f>IFERROR(_xlfn.XLOOKUP($B271,Insumo[DESCRIPCION],Insumo[VALOR],,0),"")</f>
        <v/>
      </c>
      <c r="F271" s="33"/>
      <c r="G271" s="34" t="str">
        <f>IFERROR(IF(F271&gt;=0,D271*E271*(1+F271/100),ABS(D271*E271/F271)),"")</f>
        <v/>
      </c>
      <c r="H271" s="43" t="str">
        <f>IFERROR(G271*E264,"")</f>
        <v/>
      </c>
    </row>
    <row r="272" spans="1:11">
      <c r="A272" s="21"/>
      <c r="B272" s="22" t="s">
        <v>3731</v>
      </c>
      <c r="C272" s="23"/>
      <c r="D272" s="24"/>
      <c r="E272" s="25"/>
      <c r="F272" s="26"/>
      <c r="G272" s="27">
        <f>SUM(G273:G275)</f>
        <v>1209.1951957500003</v>
      </c>
      <c r="H272" s="44">
        <f>G272*E264</f>
        <v>0</v>
      </c>
    </row>
    <row r="273" spans="1:11">
      <c r="A273" s="28"/>
      <c r="B273" s="29" t="s">
        <v>3626</v>
      </c>
      <c r="C273" s="30" t="str">
        <f>IFERROR(_xlfn.XLOOKUP(B273,Equipo[DESCRIPCION],Equipo[UND],,0),"")</f>
        <v>%MO</v>
      </c>
      <c r="D273" s="31">
        <v>0.05</v>
      </c>
      <c r="E273" s="32">
        <f>IF(C273="%MO",G279,IFERROR(_xlfn.XLOOKUP($B273,Equipo[DESCRIPCION],Equipo[VALOR],,0),""))</f>
        <v>24183.903915000006</v>
      </c>
      <c r="F273" s="33"/>
      <c r="G273" s="34">
        <f>IFERROR(IF(F273&gt;=0,D273*E273*(1+F273/100),ABS(D273*E273/F273)),"")</f>
        <v>1209.1951957500003</v>
      </c>
      <c r="H273" s="43">
        <f>IFERROR(G273*E264,"")</f>
        <v>0</v>
      </c>
    </row>
    <row r="274" spans="1:11">
      <c r="A274" s="28"/>
      <c r="B274" s="29"/>
      <c r="C274" s="30" t="str">
        <f>IFERROR(_xlfn.XLOOKUP(B274,Equipo[DESCRIPCION],Equipo[UND],,0),"")</f>
        <v/>
      </c>
      <c r="D274" s="31"/>
      <c r="E274" s="32" t="str">
        <f>IF(C274="%MO",G279,IFERROR(_xlfn.XLOOKUP($B274,Equipo[DESCRIPCION],Equipo[VALOR],,0),""))</f>
        <v/>
      </c>
      <c r="F274" s="33"/>
      <c r="G274" s="34" t="str">
        <f>IFERROR(IF(F274&gt;=0,D274*E274*(1+F274/100),ABS(D274*E274/F274)),"")</f>
        <v/>
      </c>
      <c r="H274" s="43" t="str">
        <f>IFERROR(G274*E264,"")</f>
        <v/>
      </c>
    </row>
    <row r="275" spans="1:11">
      <c r="A275" s="28"/>
      <c r="B275" s="29"/>
      <c r="C275" s="30" t="str">
        <f>IFERROR(_xlfn.XLOOKUP(B275,Equipo[DESCRIPCION],Equipo[UND],,0),"")</f>
        <v/>
      </c>
      <c r="D275" s="31"/>
      <c r="E275" s="32" t="str">
        <f>IF(C275="%MO",G279,IFERROR(_xlfn.XLOOKUP($B275,Equipo[DESCRIPCION],Equipo[VALOR],,0),""))</f>
        <v/>
      </c>
      <c r="F275" s="33"/>
      <c r="G275" s="34" t="str">
        <f>IFERROR(IF(F275&gt;=0,D275*E275*(1+F275/100),ABS(D275*E275/F275)),"")</f>
        <v/>
      </c>
      <c r="H275" s="43" t="str">
        <f>IFERROR(G275*E264,"")</f>
        <v/>
      </c>
    </row>
    <row r="276" spans="1:11">
      <c r="A276" s="21"/>
      <c r="B276" s="22" t="s">
        <v>2533</v>
      </c>
      <c r="C276" s="23"/>
      <c r="D276" s="24"/>
      <c r="E276" s="25"/>
      <c r="F276" s="26"/>
      <c r="G276" s="27">
        <f>SUM(G277:G278)</f>
        <v>0</v>
      </c>
      <c r="H276" s="138">
        <f>IFERROR(G276*E264,"")</f>
        <v>0</v>
      </c>
    </row>
    <row r="277" spans="1:11">
      <c r="A277" s="28"/>
      <c r="B277" s="29"/>
      <c r="C277" s="30" t="str">
        <f>IFERROR(_xlfn.XLOOKUP(B277,Transporte[DESCRIPCION],Transporte[UND],,0),"")</f>
        <v/>
      </c>
      <c r="D277" s="31"/>
      <c r="E277" s="32" t="str">
        <f>IFERROR(_xlfn.XLOOKUP($B277,Transporte[DESCRIPCION],Transporte[VALOR],,0),"")</f>
        <v/>
      </c>
      <c r="F277" s="33"/>
      <c r="G277" s="34" t="str">
        <f>IFERROR(IF(F277&gt;=0,D277*E277*(1+F277/100),ABS(D277*E277/F277)),"")</f>
        <v/>
      </c>
      <c r="H277" s="43" t="str">
        <f>IFERROR(G277*E264,"")</f>
        <v/>
      </c>
    </row>
    <row r="278" spans="1:11">
      <c r="A278" s="28"/>
      <c r="B278" s="29"/>
      <c r="C278" s="30" t="str">
        <f>IFERROR(_xlfn.XLOOKUP(B278,Transporte[DESCRIPCION],Transporte[UND],,0),"")</f>
        <v/>
      </c>
      <c r="D278" s="31"/>
      <c r="E278" s="32" t="str">
        <f>IFERROR(_xlfn.XLOOKUP($B278,Transporte[DESCRIPCION],Transporte[VALOR],,0),"")</f>
        <v/>
      </c>
      <c r="F278" s="33"/>
      <c r="G278" s="34" t="str">
        <f>IFERROR(IF(F278&gt;=0,D278*E278*(1+F278/100),ABS(D278*E278/F278)),"")</f>
        <v/>
      </c>
      <c r="H278" s="43" t="str">
        <f>IFERROR(G278*E264,"")</f>
        <v/>
      </c>
    </row>
    <row r="279" spans="1:11">
      <c r="A279" s="21"/>
      <c r="B279" s="22" t="s">
        <v>3732</v>
      </c>
      <c r="C279" s="23"/>
      <c r="D279" s="24"/>
      <c r="E279" s="25"/>
      <c r="F279" s="26"/>
      <c r="G279" s="27">
        <f>SUM(G280:G282)</f>
        <v>24183.903915000006</v>
      </c>
      <c r="H279" s="43">
        <f>IFERROR(G279*E264,"")</f>
        <v>0</v>
      </c>
    </row>
    <row r="280" spans="1:11">
      <c r="A280" s="28"/>
      <c r="B280" s="29" t="s">
        <v>3710</v>
      </c>
      <c r="C280" s="30" t="str">
        <f>IFERROR(_xlfn.XLOOKUP(B280,MObra[DESCRIPCION],MObra[UN],,0),"")</f>
        <v>día</v>
      </c>
      <c r="D280" s="31">
        <v>1</v>
      </c>
      <c r="E280" s="32">
        <f>IFERROR(_xlfn.XLOOKUP($B280,MObra[DESCRIPCION],MObra[VALOR UNIT],,0),"")</f>
        <v>314390.75089500006</v>
      </c>
      <c r="F280" s="33">
        <v>-13</v>
      </c>
      <c r="G280" s="34">
        <f>IFERROR(IF(F280&gt;=0,D280*E280*(1+F280/100),ABS(D280*E280/F280)),"")</f>
        <v>24183.903915000006</v>
      </c>
      <c r="H280" s="43">
        <f>IFERROR(G280*E264,"")</f>
        <v>0</v>
      </c>
    </row>
    <row r="281" spans="1:11">
      <c r="A281" s="28"/>
      <c r="B281" s="29"/>
      <c r="C281" s="30" t="str">
        <f>IFERROR(_xlfn.XLOOKUP(B281,MObra[DESCRIPCION],MObra[UN],,0),"")</f>
        <v/>
      </c>
      <c r="D281" s="31"/>
      <c r="E281" s="32" t="str">
        <f>IFERROR(_xlfn.XLOOKUP($B281,MObra[DESCRIPCION],MObra[VALOR UNIT],,0),"")</f>
        <v/>
      </c>
      <c r="F281" s="33"/>
      <c r="G281" s="34" t="str">
        <f>IFERROR(IF(F281&gt;=0,D281*E281*(1+F281/100),ABS(D281*E281/F281)),"")</f>
        <v/>
      </c>
      <c r="H281" s="43" t="str">
        <f>IFERROR(G281*E264,"")</f>
        <v/>
      </c>
    </row>
    <row r="282" spans="1:11">
      <c r="A282" s="35"/>
      <c r="B282" s="36"/>
      <c r="C282" s="37" t="str">
        <f>IFERROR(_xlfn.XLOOKUP(B282,MObra[DESCRIPCION],MObra[UN],,0),"")</f>
        <v/>
      </c>
      <c r="D282" s="38"/>
      <c r="E282" s="39" t="str">
        <f>IFERROR(_xlfn.XLOOKUP($B282,MObra[DESCRIPCION],MObra[VALOR UNIT],,0),"")</f>
        <v/>
      </c>
      <c r="F282" s="40"/>
      <c r="G282" s="41" t="str">
        <f>IFERROR(IF(F282&gt;=0,D282*E282*(1+F282/100),ABS(D282*E282/F282)),"")</f>
        <v/>
      </c>
      <c r="H282" s="42" t="str">
        <f>IFERROR(G282*E264,"")</f>
        <v/>
      </c>
    </row>
    <row r="284" spans="1:11">
      <c r="A284" s="6" t="s">
        <v>1396</v>
      </c>
      <c r="B284" s="7" t="str">
        <f>VLOOKUP($A284,Presupuesto!$A:$D,2,FALSE())</f>
        <v>Pintura epoxica muros</v>
      </c>
      <c r="C284" s="8" t="str">
        <f>VLOOKUP($A284,Presupuesto!$A:$D,3,FALSE())</f>
        <v>M2</v>
      </c>
      <c r="D284" s="9"/>
      <c r="E284" s="10">
        <f>VLOOKUP($A284,Presupuesto!$A:$D,4,FALSE())</f>
        <v>0</v>
      </c>
      <c r="F284" s="11" t="s">
        <v>2589</v>
      </c>
      <c r="G284" s="12">
        <f>SUM(G286:G302)/2</f>
        <v>62795.747627437515</v>
      </c>
      <c r="H284" s="13">
        <f>ROUND(SUM(H286:H302),0)/2</f>
        <v>0</v>
      </c>
      <c r="I284" s="10">
        <f>VLOOKUP(A284,Presupuesto!$A:$F,6,0)</f>
        <v>0</v>
      </c>
      <c r="J284" s="10">
        <f>+H284-I284</f>
        <v>0</v>
      </c>
      <c r="K284" s="46">
        <f>+H284-G284*E284</f>
        <v>0</v>
      </c>
    </row>
    <row r="285" spans="1:11">
      <c r="A285" s="14"/>
      <c r="B285" s="15" t="s">
        <v>2586</v>
      </c>
      <c r="C285" s="15" t="s">
        <v>5</v>
      </c>
      <c r="D285" s="16" t="s">
        <v>6</v>
      </c>
      <c r="E285" s="17" t="s">
        <v>7</v>
      </c>
      <c r="F285" s="18" t="s">
        <v>3728</v>
      </c>
      <c r="G285" s="19" t="s">
        <v>3729</v>
      </c>
      <c r="H285" s="20" t="s">
        <v>3797</v>
      </c>
    </row>
    <row r="286" spans="1:11">
      <c r="A286" s="21"/>
      <c r="B286" s="22" t="s">
        <v>3730</v>
      </c>
      <c r="C286" s="23"/>
      <c r="D286" s="24"/>
      <c r="E286" s="25"/>
      <c r="F286" s="26"/>
      <c r="G286" s="27">
        <f>SUM(G287:G291)</f>
        <v>32666.634000000002</v>
      </c>
      <c r="H286" s="27">
        <f>IFERROR(G286*E284,"")</f>
        <v>0</v>
      </c>
    </row>
    <row r="287" spans="1:11">
      <c r="A287" s="28"/>
      <c r="B287" s="29" t="s">
        <v>3205</v>
      </c>
      <c r="C287" s="30" t="str">
        <f>IFERROR(_xlfn.XLOOKUP(B287,Insumo[DESCRIPCION],Insumo[UND],,0),"")</f>
        <v>galón</v>
      </c>
      <c r="D287" s="31">
        <v>0.12</v>
      </c>
      <c r="E287" s="32">
        <f>IFERROR(_xlfn.XLOOKUP($B287,Insumo[DESCRIPCION],Insumo[VALOR],,0),"")</f>
        <v>272221.95</v>
      </c>
      <c r="F287" s="33"/>
      <c r="G287" s="34">
        <f>IFERROR(IF(F287&gt;=0,D287*E287*(1+F287/100),ABS(D287*E287/F287)),"")</f>
        <v>32666.634000000002</v>
      </c>
      <c r="H287" s="43">
        <f>IFERROR(G287*E284,"")</f>
        <v>0</v>
      </c>
    </row>
    <row r="288" spans="1:11">
      <c r="A288" s="28"/>
      <c r="B288" s="29"/>
      <c r="C288" s="30" t="str">
        <f>IFERROR(_xlfn.XLOOKUP(B288,Insumo[DESCRIPCION],Insumo[UND],,0),"")</f>
        <v/>
      </c>
      <c r="D288" s="31"/>
      <c r="E288" s="32" t="str">
        <f>IFERROR(_xlfn.XLOOKUP($B288,Insumo[DESCRIPCION],Insumo[VALOR],,0),"")</f>
        <v/>
      </c>
      <c r="F288" s="33"/>
      <c r="G288" s="34" t="str">
        <f>IFERROR(IF(F288&gt;=0,D288*E288*(1+F288/100),ABS(D288*E288/F288)),"")</f>
        <v/>
      </c>
      <c r="H288" s="43" t="str">
        <f>IFERROR(G288*E284,"")</f>
        <v/>
      </c>
    </row>
    <row r="289" spans="1:11">
      <c r="A289" s="28"/>
      <c r="B289" s="29"/>
      <c r="C289" s="30" t="str">
        <f>IFERROR(_xlfn.XLOOKUP(B289,Insumo[DESCRIPCION],Insumo[UND],,0),"")</f>
        <v/>
      </c>
      <c r="D289" s="31"/>
      <c r="E289" s="32" t="str">
        <f>IFERROR(_xlfn.XLOOKUP($B289,Insumo[DESCRIPCION],Insumo[VALOR],,0),"")</f>
        <v/>
      </c>
      <c r="F289" s="33"/>
      <c r="G289" s="34" t="str">
        <f>IFERROR(IF(F289&gt;=0,D289*E289*(1+F289/100),ABS(D289*E289/F289)),"")</f>
        <v/>
      </c>
      <c r="H289" s="43" t="str">
        <f>IFERROR(G289*E284,"")</f>
        <v/>
      </c>
    </row>
    <row r="290" spans="1:11">
      <c r="A290" s="28"/>
      <c r="B290" s="29"/>
      <c r="C290" s="30" t="str">
        <f>IFERROR(_xlfn.XLOOKUP(B290,Insumo[DESCRIPCION],Insumo[UND],,0),"")</f>
        <v/>
      </c>
      <c r="D290" s="31"/>
      <c r="E290" s="32" t="str">
        <f>IFERROR(_xlfn.XLOOKUP($B290,Insumo[DESCRIPCION],Insumo[VALOR],,0),"")</f>
        <v/>
      </c>
      <c r="F290" s="33"/>
      <c r="G290" s="34" t="str">
        <f>IFERROR(IF(F290&gt;=0,D290*E290*(1+F290/100),ABS(D290*E290/F290)),"")</f>
        <v/>
      </c>
      <c r="H290" s="43" t="str">
        <f>IFERROR(G290*E284,"")</f>
        <v/>
      </c>
    </row>
    <row r="291" spans="1:11">
      <c r="A291" s="28"/>
      <c r="B291" s="29"/>
      <c r="C291" s="30" t="str">
        <f>IFERROR(_xlfn.XLOOKUP(B291,Insumo[DESCRIPCION],Insumo[UND],,0),"")</f>
        <v/>
      </c>
      <c r="D291" s="31"/>
      <c r="E291" s="32" t="str">
        <f>IFERROR(_xlfn.XLOOKUP($B291,Insumo[DESCRIPCION],Insumo[VALOR],,0),"")</f>
        <v/>
      </c>
      <c r="F291" s="33"/>
      <c r="G291" s="34" t="str">
        <f>IFERROR(IF(F291&gt;=0,D291*E291*(1+F291/100),ABS(D291*E291/F291)),"")</f>
        <v/>
      </c>
      <c r="H291" s="43" t="str">
        <f>IFERROR(G291*E284,"")</f>
        <v/>
      </c>
    </row>
    <row r="292" spans="1:11">
      <c r="A292" s="21"/>
      <c r="B292" s="22" t="s">
        <v>3731</v>
      </c>
      <c r="C292" s="23"/>
      <c r="D292" s="24"/>
      <c r="E292" s="25"/>
      <c r="F292" s="26"/>
      <c r="G292" s="27">
        <f>SUM(G293:G295)</f>
        <v>3929.8843861875011</v>
      </c>
      <c r="H292" s="44">
        <f>G292*E284</f>
        <v>0</v>
      </c>
    </row>
    <row r="293" spans="1:11">
      <c r="A293" s="28"/>
      <c r="B293" s="29" t="s">
        <v>3573</v>
      </c>
      <c r="C293" s="30" t="str">
        <f>IFERROR(_xlfn.XLOOKUP(B293,Equipo[DESCRIPCION],Equipo[UND],,0),"")</f>
        <v>%MO</v>
      </c>
      <c r="D293" s="31">
        <v>0.1</v>
      </c>
      <c r="E293" s="32">
        <f>IF(C293="%MO",G299,IFERROR(_xlfn.XLOOKUP($B293,Equipo[DESCRIPCION],Equipo[VALOR],,0),""))</f>
        <v>26199.229241250006</v>
      </c>
      <c r="F293" s="33"/>
      <c r="G293" s="34">
        <f>IFERROR(IF(F293&gt;=0,D293*E293*(1+F293/100),ABS(D293*E293/F293)),"")</f>
        <v>2619.9229241250009</v>
      </c>
      <c r="H293" s="43">
        <f>IFERROR(G293*E284,"")</f>
        <v>0</v>
      </c>
    </row>
    <row r="294" spans="1:11">
      <c r="A294" s="28"/>
      <c r="B294" s="29" t="s">
        <v>3626</v>
      </c>
      <c r="C294" s="30" t="str">
        <f>IFERROR(_xlfn.XLOOKUP(B294,Equipo[DESCRIPCION],Equipo[UND],,0),"")</f>
        <v>%MO</v>
      </c>
      <c r="D294" s="31">
        <v>0.05</v>
      </c>
      <c r="E294" s="32">
        <f>IF(C294="%MO",G299,IFERROR(_xlfn.XLOOKUP($B294,Equipo[DESCRIPCION],Equipo[VALOR],,0),""))</f>
        <v>26199.229241250006</v>
      </c>
      <c r="F294" s="33"/>
      <c r="G294" s="34">
        <f>IFERROR(IF(F294&gt;=0,D294*E294*(1+F294/100),ABS(D294*E294/F294)),"")</f>
        <v>1309.9614620625005</v>
      </c>
      <c r="H294" s="43">
        <f>IFERROR(G294*E284,"")</f>
        <v>0</v>
      </c>
    </row>
    <row r="295" spans="1:11">
      <c r="A295" s="28"/>
      <c r="B295" s="29"/>
      <c r="C295" s="30" t="str">
        <f>IFERROR(_xlfn.XLOOKUP(B295,Equipo[DESCRIPCION],Equipo[UND],,0),"")</f>
        <v/>
      </c>
      <c r="D295" s="31"/>
      <c r="E295" s="32" t="str">
        <f>IF(C295="%MO",G299,IFERROR(_xlfn.XLOOKUP($B295,Equipo[DESCRIPCION],Equipo[VALOR],,0),""))</f>
        <v/>
      </c>
      <c r="F295" s="33"/>
      <c r="G295" s="34" t="str">
        <f>IFERROR(IF(F295&gt;=0,D295*E295*(1+F295/100),ABS(D295*E295/F295)),"")</f>
        <v/>
      </c>
      <c r="H295" s="43" t="str">
        <f>IFERROR(G295*E284,"")</f>
        <v/>
      </c>
    </row>
    <row r="296" spans="1:11">
      <c r="A296" s="21"/>
      <c r="B296" s="22" t="s">
        <v>2533</v>
      </c>
      <c r="C296" s="23"/>
      <c r="D296" s="24"/>
      <c r="E296" s="25"/>
      <c r="F296" s="26"/>
      <c r="G296" s="27">
        <f>SUM(G297:G298)</f>
        <v>0</v>
      </c>
      <c r="H296" s="138">
        <f>IFERROR(G296*E284,"")</f>
        <v>0</v>
      </c>
    </row>
    <row r="297" spans="1:11">
      <c r="A297" s="28"/>
      <c r="B297" s="29"/>
      <c r="C297" s="30" t="str">
        <f>IFERROR(_xlfn.XLOOKUP(B297,Transporte[DESCRIPCION],Transporte[UND],,0),"")</f>
        <v/>
      </c>
      <c r="D297" s="31"/>
      <c r="E297" s="32" t="str">
        <f>IFERROR(_xlfn.XLOOKUP($B297,Transporte[DESCRIPCION],Transporte[VALOR],,0),"")</f>
        <v/>
      </c>
      <c r="F297" s="33"/>
      <c r="G297" s="34" t="str">
        <f>IFERROR(IF(F297&gt;=0,D297*E297*(1+F297/100),ABS(D297*E297/F297)),"")</f>
        <v/>
      </c>
      <c r="H297" s="43" t="str">
        <f>IFERROR(G297*E284,"")</f>
        <v/>
      </c>
    </row>
    <row r="298" spans="1:11">
      <c r="A298" s="28"/>
      <c r="B298" s="29"/>
      <c r="C298" s="30" t="str">
        <f>IFERROR(_xlfn.XLOOKUP(B298,Transporte[DESCRIPCION],Transporte[UND],,0),"")</f>
        <v/>
      </c>
      <c r="D298" s="31"/>
      <c r="E298" s="32" t="str">
        <f>IFERROR(_xlfn.XLOOKUP($B298,Transporte[DESCRIPCION],Transporte[VALOR],,0),"")</f>
        <v/>
      </c>
      <c r="F298" s="33"/>
      <c r="G298" s="34" t="str">
        <f>IFERROR(IF(F298&gt;=0,D298*E298*(1+F298/100),ABS(D298*E298/F298)),"")</f>
        <v/>
      </c>
      <c r="H298" s="43" t="str">
        <f>IFERROR(G298*E284,"")</f>
        <v/>
      </c>
    </row>
    <row r="299" spans="1:11">
      <c r="A299" s="21"/>
      <c r="B299" s="22" t="s">
        <v>3732</v>
      </c>
      <c r="C299" s="23"/>
      <c r="D299" s="24"/>
      <c r="E299" s="25"/>
      <c r="F299" s="26"/>
      <c r="G299" s="27">
        <f>SUM(G300:G302)</f>
        <v>26199.229241250006</v>
      </c>
      <c r="H299" s="43">
        <f>IFERROR(G299*E284,"")</f>
        <v>0</v>
      </c>
    </row>
    <row r="300" spans="1:11">
      <c r="A300" s="28"/>
      <c r="B300" s="29" t="s">
        <v>3710</v>
      </c>
      <c r="C300" s="30" t="str">
        <f>IFERROR(_xlfn.XLOOKUP(B300,MObra[DESCRIPCION],MObra[UN],,0),"")</f>
        <v>día</v>
      </c>
      <c r="D300" s="31">
        <v>1</v>
      </c>
      <c r="E300" s="32">
        <f>IFERROR(_xlfn.XLOOKUP($B300,MObra[DESCRIPCION],MObra[VALOR UNIT],,0),"")</f>
        <v>314390.75089500006</v>
      </c>
      <c r="F300" s="33">
        <v>-12</v>
      </c>
      <c r="G300" s="34">
        <f>IFERROR(IF(F300&gt;=0,D300*E300*(1+F300/100),ABS(D300*E300/F300)),"")</f>
        <v>26199.229241250006</v>
      </c>
      <c r="H300" s="43">
        <f>IFERROR(G300*E284,"")</f>
        <v>0</v>
      </c>
    </row>
    <row r="301" spans="1:11">
      <c r="A301" s="28"/>
      <c r="B301" s="29"/>
      <c r="C301" s="30" t="str">
        <f>IFERROR(_xlfn.XLOOKUP(B301,MObra[DESCRIPCION],MObra[UN],,0),"")</f>
        <v/>
      </c>
      <c r="D301" s="31"/>
      <c r="E301" s="32" t="str">
        <f>IFERROR(_xlfn.XLOOKUP($B301,MObra[DESCRIPCION],MObra[VALOR UNIT],,0),"")</f>
        <v/>
      </c>
      <c r="F301" s="33"/>
      <c r="G301" s="34" t="str">
        <f>IFERROR(IF(F301&gt;=0,D301*E301*(1+F301/100),ABS(D301*E301/F301)),"")</f>
        <v/>
      </c>
      <c r="H301" s="43" t="str">
        <f>IFERROR(G301*E284,"")</f>
        <v/>
      </c>
    </row>
    <row r="302" spans="1:11">
      <c r="A302" s="35"/>
      <c r="B302" s="36"/>
      <c r="C302" s="37" t="str">
        <f>IFERROR(_xlfn.XLOOKUP(B302,MObra[DESCRIPCION],MObra[UN],,0),"")</f>
        <v/>
      </c>
      <c r="D302" s="38"/>
      <c r="E302" s="39" t="str">
        <f>IFERROR(_xlfn.XLOOKUP($B302,MObra[DESCRIPCION],MObra[VALOR UNIT],,0),"")</f>
        <v/>
      </c>
      <c r="F302" s="40"/>
      <c r="G302" s="41" t="str">
        <f>IFERROR(IF(F302&gt;=0,D302*E302*(1+F302/100),ABS(D302*E302/F302)),"")</f>
        <v/>
      </c>
      <c r="H302" s="42" t="str">
        <f>IFERROR(G302*E284,"")</f>
        <v/>
      </c>
    </row>
    <row r="304" spans="1:11">
      <c r="A304" s="6" t="s">
        <v>1398</v>
      </c>
      <c r="B304" s="7" t="str">
        <f>VLOOKUP($A304,Presupuesto!$A:$D,2,FALSE())</f>
        <v>Pintura guarda escoba esmalte</v>
      </c>
      <c r="C304" s="8" t="str">
        <f>VLOOKUP($A304,Presupuesto!$A:$D,3,FALSE())</f>
        <v>M</v>
      </c>
      <c r="D304" s="9"/>
      <c r="E304" s="10">
        <f>VLOOKUP($A304,Presupuesto!$A:$D,4,FALSE())</f>
        <v>0</v>
      </c>
      <c r="F304" s="11" t="s">
        <v>2589</v>
      </c>
      <c r="G304" s="12">
        <f>SUM(G306:G322)/2</f>
        <v>12684.080512530003</v>
      </c>
      <c r="H304" s="13">
        <f>ROUND(SUM(H306:H322),0)/2</f>
        <v>0</v>
      </c>
      <c r="I304" s="10">
        <f>VLOOKUP(A304,Presupuesto!$A:$F,6,0)</f>
        <v>0</v>
      </c>
      <c r="J304" s="10">
        <f>+H304-I304</f>
        <v>0</v>
      </c>
      <c r="K304" s="46">
        <f>+H304-G304*E304</f>
        <v>0</v>
      </c>
    </row>
    <row r="305" spans="1:8">
      <c r="A305" s="14"/>
      <c r="B305" s="15" t="s">
        <v>2586</v>
      </c>
      <c r="C305" s="15" t="s">
        <v>5</v>
      </c>
      <c r="D305" s="16" t="s">
        <v>6</v>
      </c>
      <c r="E305" s="17" t="s">
        <v>7</v>
      </c>
      <c r="F305" s="18" t="s">
        <v>3728</v>
      </c>
      <c r="G305" s="19" t="s">
        <v>3729</v>
      </c>
      <c r="H305" s="20" t="s">
        <v>3797</v>
      </c>
    </row>
    <row r="306" spans="1:8">
      <c r="A306" s="21"/>
      <c r="B306" s="22" t="s">
        <v>3730</v>
      </c>
      <c r="C306" s="23"/>
      <c r="D306" s="24"/>
      <c r="E306" s="25"/>
      <c r="F306" s="26"/>
      <c r="G306" s="27">
        <f>SUM(G307:G311)</f>
        <v>8282.61</v>
      </c>
      <c r="H306" s="27">
        <f>IFERROR(G306*E304,"")</f>
        <v>0</v>
      </c>
    </row>
    <row r="307" spans="1:8">
      <c r="A307" s="28"/>
      <c r="B307" s="29" t="s">
        <v>2925</v>
      </c>
      <c r="C307" s="30" t="str">
        <f>IFERROR(_xlfn.XLOOKUP(B307,Insumo[DESCRIPCION],Insumo[UND],,0),"")</f>
        <v>Lt</v>
      </c>
      <c r="D307" s="31">
        <v>0.1</v>
      </c>
      <c r="E307" s="32">
        <f>IFERROR(_xlfn.XLOOKUP($B307,Insumo[DESCRIPCION],Insumo[VALOR],,0),"")</f>
        <v>28923.300000000003</v>
      </c>
      <c r="F307" s="33"/>
      <c r="G307" s="34">
        <f>IFERROR(IF(F307&gt;=0,D307*E307*(1+F307/100),ABS(D307*E307/F307)),"")</f>
        <v>2892.3300000000004</v>
      </c>
      <c r="H307" s="43">
        <f>IFERROR(G307*E304,"")</f>
        <v>0</v>
      </c>
    </row>
    <row r="308" spans="1:8">
      <c r="A308" s="28"/>
      <c r="B308" s="29" t="s">
        <v>3204</v>
      </c>
      <c r="C308" s="30" t="str">
        <f>IFERROR(_xlfn.XLOOKUP(B308,Insumo[DESCRIPCION],Insumo[UND],,0),"")</f>
        <v>galón</v>
      </c>
      <c r="D308" s="31">
        <v>0.05</v>
      </c>
      <c r="E308" s="32">
        <f>IFERROR(_xlfn.XLOOKUP($B308,Insumo[DESCRIPCION],Insumo[VALOR],,0),"")</f>
        <v>107805.6</v>
      </c>
      <c r="F308" s="33"/>
      <c r="G308" s="34">
        <f>IFERROR(IF(F308&gt;=0,D308*E308*(1+F308/100),ABS(D308*E308/F308)),"")</f>
        <v>5390.2800000000007</v>
      </c>
      <c r="H308" s="43">
        <f>IFERROR(G308*E304,"")</f>
        <v>0</v>
      </c>
    </row>
    <row r="309" spans="1:8">
      <c r="A309" s="28"/>
      <c r="B309" s="29"/>
      <c r="C309" s="30" t="str">
        <f>IFERROR(_xlfn.XLOOKUP(B309,Insumo[DESCRIPCION],Insumo[UND],,0),"")</f>
        <v/>
      </c>
      <c r="D309" s="31"/>
      <c r="E309" s="32" t="str">
        <f>IFERROR(_xlfn.XLOOKUP($B309,Insumo[DESCRIPCION],Insumo[VALOR],,0),"")</f>
        <v/>
      </c>
      <c r="F309" s="33"/>
      <c r="G309" s="34" t="str">
        <f>IFERROR(IF(F309&gt;=0,D309*E309*(1+F309/100),ABS(D309*E309/F309)),"")</f>
        <v/>
      </c>
      <c r="H309" s="43" t="str">
        <f>IFERROR(G309*E304,"")</f>
        <v/>
      </c>
    </row>
    <row r="310" spans="1:8">
      <c r="A310" s="28"/>
      <c r="B310" s="29"/>
      <c r="C310" s="30" t="str">
        <f>IFERROR(_xlfn.XLOOKUP(B310,Insumo[DESCRIPCION],Insumo[UND],,0),"")</f>
        <v/>
      </c>
      <c r="D310" s="31"/>
      <c r="E310" s="32" t="str">
        <f>IFERROR(_xlfn.XLOOKUP($B310,Insumo[DESCRIPCION],Insumo[VALOR],,0),"")</f>
        <v/>
      </c>
      <c r="F310" s="33"/>
      <c r="G310" s="34" t="str">
        <f>IFERROR(IF(F310&gt;=0,D310*E310*(1+F310/100),ABS(D310*E310/F310)),"")</f>
        <v/>
      </c>
      <c r="H310" s="43" t="str">
        <f>IFERROR(G310*E304,"")</f>
        <v/>
      </c>
    </row>
    <row r="311" spans="1:8">
      <c r="A311" s="28"/>
      <c r="B311" s="29"/>
      <c r="C311" s="30" t="str">
        <f>IFERROR(_xlfn.XLOOKUP(B311,Insumo[DESCRIPCION],Insumo[UND],,0),"")</f>
        <v/>
      </c>
      <c r="D311" s="31"/>
      <c r="E311" s="32" t="str">
        <f>IFERROR(_xlfn.XLOOKUP($B311,Insumo[DESCRIPCION],Insumo[VALOR],,0),"")</f>
        <v/>
      </c>
      <c r="F311" s="33"/>
      <c r="G311" s="34" t="str">
        <f>IFERROR(IF(F311&gt;=0,D311*E311*(1+F311/100),ABS(D311*E311/F311)),"")</f>
        <v/>
      </c>
      <c r="H311" s="43" t="str">
        <f>IFERROR(G311*E304,"")</f>
        <v/>
      </c>
    </row>
    <row r="312" spans="1:8">
      <c r="A312" s="21"/>
      <c r="B312" s="22" t="s">
        <v>3731</v>
      </c>
      <c r="C312" s="23"/>
      <c r="D312" s="24"/>
      <c r="E312" s="25"/>
      <c r="F312" s="26"/>
      <c r="G312" s="27">
        <f>SUM(G313:G315)</f>
        <v>209.59383393000005</v>
      </c>
      <c r="H312" s="44">
        <f>G312*E304</f>
        <v>0</v>
      </c>
    </row>
    <row r="313" spans="1:8">
      <c r="A313" s="28"/>
      <c r="B313" s="29" t="s">
        <v>3626</v>
      </c>
      <c r="C313" s="30" t="str">
        <f>IFERROR(_xlfn.XLOOKUP(B313,Equipo[DESCRIPCION],Equipo[UND],,0),"")</f>
        <v>%MO</v>
      </c>
      <c r="D313" s="31">
        <v>0.05</v>
      </c>
      <c r="E313" s="32">
        <f>IF(C313="%MO",G319,IFERROR(_xlfn.XLOOKUP($B313,Equipo[DESCRIPCION],Equipo[VALOR],,0),""))</f>
        <v>4191.8766786000006</v>
      </c>
      <c r="F313" s="33"/>
      <c r="G313" s="34">
        <f>IFERROR(IF(F313&gt;=0,D313*E313*(1+F313/100),ABS(D313*E313/F313)),"")</f>
        <v>209.59383393000005</v>
      </c>
      <c r="H313" s="43">
        <f>IFERROR(G313*E304,"")</f>
        <v>0</v>
      </c>
    </row>
    <row r="314" spans="1:8">
      <c r="A314" s="28"/>
      <c r="B314" s="29"/>
      <c r="C314" s="30" t="str">
        <f>IFERROR(_xlfn.XLOOKUP(B314,Equipo[DESCRIPCION],Equipo[UND],,0),"")</f>
        <v/>
      </c>
      <c r="D314" s="31"/>
      <c r="E314" s="32" t="str">
        <f>IF(C314="%MO",G319,IFERROR(_xlfn.XLOOKUP($B314,Equipo[DESCRIPCION],Equipo[VALOR],,0),""))</f>
        <v/>
      </c>
      <c r="F314" s="33"/>
      <c r="G314" s="34" t="str">
        <f>IFERROR(IF(F314&gt;=0,D314*E314*(1+F314/100),ABS(D314*E314/F314)),"")</f>
        <v/>
      </c>
      <c r="H314" s="43" t="str">
        <f>IFERROR(G314*E304,"")</f>
        <v/>
      </c>
    </row>
    <row r="315" spans="1:8">
      <c r="A315" s="28"/>
      <c r="B315" s="29"/>
      <c r="C315" s="30" t="str">
        <f>IFERROR(_xlfn.XLOOKUP(B315,Equipo[DESCRIPCION],Equipo[UND],,0),"")</f>
        <v/>
      </c>
      <c r="D315" s="31"/>
      <c r="E315" s="32" t="str">
        <f>IF(C315="%MO",G319,IFERROR(_xlfn.XLOOKUP($B315,Equipo[DESCRIPCION],Equipo[VALOR],,0),""))</f>
        <v/>
      </c>
      <c r="F315" s="33"/>
      <c r="G315" s="34" t="str">
        <f>IFERROR(IF(F315&gt;=0,D315*E315*(1+F315/100),ABS(D315*E315/F315)),"")</f>
        <v/>
      </c>
      <c r="H315" s="43" t="str">
        <f>IFERROR(G315*E304,"")</f>
        <v/>
      </c>
    </row>
    <row r="316" spans="1:8">
      <c r="A316" s="21"/>
      <c r="B316" s="22" t="s">
        <v>2533</v>
      </c>
      <c r="C316" s="23"/>
      <c r="D316" s="24"/>
      <c r="E316" s="25"/>
      <c r="F316" s="26"/>
      <c r="G316" s="27">
        <f>SUM(G317:G318)</f>
        <v>0</v>
      </c>
      <c r="H316" s="138">
        <f>IFERROR(G316*E304,"")</f>
        <v>0</v>
      </c>
    </row>
    <row r="317" spans="1:8">
      <c r="A317" s="28"/>
      <c r="B317" s="29"/>
      <c r="C317" s="30" t="str">
        <f>IFERROR(_xlfn.XLOOKUP(B317,Transporte[DESCRIPCION],Transporte[UND],,0),"")</f>
        <v/>
      </c>
      <c r="D317" s="31"/>
      <c r="E317" s="32" t="str">
        <f>IFERROR(_xlfn.XLOOKUP($B317,Transporte[DESCRIPCION],Transporte[VALOR],,0),"")</f>
        <v/>
      </c>
      <c r="F317" s="33"/>
      <c r="G317" s="34" t="str">
        <f>IFERROR(IF(F317&gt;=0,D317*E317*(1+F317/100),ABS(D317*E317/F317)),"")</f>
        <v/>
      </c>
      <c r="H317" s="43" t="str">
        <f>IFERROR(G317*E304,"")</f>
        <v/>
      </c>
    </row>
    <row r="318" spans="1:8">
      <c r="A318" s="28"/>
      <c r="B318" s="29"/>
      <c r="C318" s="30" t="str">
        <f>IFERROR(_xlfn.XLOOKUP(B318,Transporte[DESCRIPCION],Transporte[UND],,0),"")</f>
        <v/>
      </c>
      <c r="D318" s="31"/>
      <c r="E318" s="32" t="str">
        <f>IFERROR(_xlfn.XLOOKUP($B318,Transporte[DESCRIPCION],Transporte[VALOR],,0),"")</f>
        <v/>
      </c>
      <c r="F318" s="33"/>
      <c r="G318" s="34" t="str">
        <f>IFERROR(IF(F318&gt;=0,D318*E318*(1+F318/100),ABS(D318*E318/F318)),"")</f>
        <v/>
      </c>
      <c r="H318" s="43" t="str">
        <f>IFERROR(G318*E304,"")</f>
        <v/>
      </c>
    </row>
    <row r="319" spans="1:8">
      <c r="A319" s="21"/>
      <c r="B319" s="22" t="s">
        <v>3732</v>
      </c>
      <c r="C319" s="23"/>
      <c r="D319" s="24"/>
      <c r="E319" s="25"/>
      <c r="F319" s="26"/>
      <c r="G319" s="27">
        <f>SUM(G320:G322)</f>
        <v>4191.8766786000006</v>
      </c>
      <c r="H319" s="43">
        <f>IFERROR(G319*E304,"")</f>
        <v>0</v>
      </c>
    </row>
    <row r="320" spans="1:8">
      <c r="A320" s="28"/>
      <c r="B320" s="29" t="s">
        <v>3710</v>
      </c>
      <c r="C320" s="30" t="str">
        <f>IFERROR(_xlfn.XLOOKUP(B320,MObra[DESCRIPCION],MObra[UN],,0),"")</f>
        <v>día</v>
      </c>
      <c r="D320" s="31">
        <v>1</v>
      </c>
      <c r="E320" s="32">
        <f>IFERROR(_xlfn.XLOOKUP($B320,MObra[DESCRIPCION],MObra[VALOR UNIT],,0),"")</f>
        <v>314390.75089500006</v>
      </c>
      <c r="F320" s="33">
        <v>-75</v>
      </c>
      <c r="G320" s="34">
        <f>IFERROR(IF(F320&gt;=0,D320*E320*(1+F320/100),ABS(D320*E320/F320)),"")</f>
        <v>4191.8766786000006</v>
      </c>
      <c r="H320" s="43">
        <f>IFERROR(G320*E304,"")</f>
        <v>0</v>
      </c>
    </row>
    <row r="321" spans="1:11">
      <c r="A321" s="28"/>
      <c r="B321" s="29"/>
      <c r="C321" s="30" t="str">
        <f>IFERROR(_xlfn.XLOOKUP(B321,MObra[DESCRIPCION],MObra[UN],,0),"")</f>
        <v/>
      </c>
      <c r="D321" s="31"/>
      <c r="E321" s="32" t="str">
        <f>IFERROR(_xlfn.XLOOKUP($B321,MObra[DESCRIPCION],MObra[VALOR UNIT],,0),"")</f>
        <v/>
      </c>
      <c r="F321" s="33"/>
      <c r="G321" s="34" t="str">
        <f>IFERROR(IF(F321&gt;=0,D321*E321*(1+F321/100),ABS(D321*E321/F321)),"")</f>
        <v/>
      </c>
      <c r="H321" s="43" t="str">
        <f>IFERROR(G321*E304,"")</f>
        <v/>
      </c>
    </row>
    <row r="322" spans="1:11">
      <c r="A322" s="35"/>
      <c r="B322" s="36"/>
      <c r="C322" s="37" t="str">
        <f>IFERROR(_xlfn.XLOOKUP(B322,MObra[DESCRIPCION],MObra[UN],,0),"")</f>
        <v/>
      </c>
      <c r="D322" s="38"/>
      <c r="E322" s="39" t="str">
        <f>IFERROR(_xlfn.XLOOKUP($B322,MObra[DESCRIPCION],MObra[VALOR UNIT],,0),"")</f>
        <v/>
      </c>
      <c r="F322" s="40"/>
      <c r="G322" s="41" t="str">
        <f>IFERROR(IF(F322&gt;=0,D322*E322*(1+F322/100),ABS(D322*E322/F322)),"")</f>
        <v/>
      </c>
      <c r="H322" s="42" t="str">
        <f>IFERROR(G322*E304,"")</f>
        <v/>
      </c>
    </row>
    <row r="324" spans="1:11">
      <c r="A324" s="6" t="s">
        <v>1400</v>
      </c>
      <c r="B324" s="7" t="str">
        <f>VLOOKUP($A324,Presupuesto!$A:$D,2,FALSE())</f>
        <v>Pintura koraza fachada</v>
      </c>
      <c r="C324" s="8" t="str">
        <f>VLOOKUP($A324,Presupuesto!$A:$D,3,FALSE())</f>
        <v>M2</v>
      </c>
      <c r="D324" s="9"/>
      <c r="E324" s="10">
        <f>VLOOKUP($A324,Presupuesto!$A:$D,4,FALSE())</f>
        <v>0</v>
      </c>
      <c r="F324" s="11" t="s">
        <v>2589</v>
      </c>
      <c r="G324" s="12">
        <f>SUM(G326:G342)/2</f>
        <v>51341.294453312505</v>
      </c>
      <c r="H324" s="13">
        <f>ROUND(SUM(H326:H342),0)/2</f>
        <v>0</v>
      </c>
      <c r="I324" s="10">
        <f>VLOOKUP(A324,Presupuesto!$A:$F,6,0)</f>
        <v>0</v>
      </c>
      <c r="J324" s="10">
        <f>+H324-I324</f>
        <v>0</v>
      </c>
      <c r="K324" s="46">
        <f>+H324-G324*E324</f>
        <v>0</v>
      </c>
    </row>
    <row r="325" spans="1:11">
      <c r="A325" s="14"/>
      <c r="B325" s="15" t="s">
        <v>2586</v>
      </c>
      <c r="C325" s="15" t="s">
        <v>5</v>
      </c>
      <c r="D325" s="16" t="s">
        <v>6</v>
      </c>
      <c r="E325" s="17" t="s">
        <v>7</v>
      </c>
      <c r="F325" s="18" t="s">
        <v>3728</v>
      </c>
      <c r="G325" s="19" t="s">
        <v>3729</v>
      </c>
      <c r="H325" s="20" t="s">
        <v>3797</v>
      </c>
    </row>
    <row r="326" spans="1:11">
      <c r="A326" s="21"/>
      <c r="B326" s="22" t="s">
        <v>3730</v>
      </c>
      <c r="C326" s="23"/>
      <c r="D326" s="24"/>
      <c r="E326" s="25"/>
      <c r="F326" s="26"/>
      <c r="G326" s="27">
        <f>SUM(G327:G331)</f>
        <v>17912.16</v>
      </c>
      <c r="H326" s="27">
        <f>IFERROR(G326*E324,"")</f>
        <v>0</v>
      </c>
    </row>
    <row r="327" spans="1:11">
      <c r="A327" s="28"/>
      <c r="B327" s="29" t="s">
        <v>3211</v>
      </c>
      <c r="C327" s="30" t="str">
        <f>IFERROR(_xlfn.XLOOKUP(B327,Insumo[DESCRIPCION],Insumo[UND],,0),"")</f>
        <v>galón</v>
      </c>
      <c r="D327" s="31">
        <v>0.12</v>
      </c>
      <c r="E327" s="32">
        <f>IFERROR(_xlfn.XLOOKUP($B327,Insumo[DESCRIPCION],Insumo[VALOR],,0),"")</f>
        <v>149268</v>
      </c>
      <c r="F327" s="33"/>
      <c r="G327" s="34">
        <f>IFERROR(IF(F327&gt;=0,D327*E327*(1+F327/100),ABS(D327*E327/F327)),"")</f>
        <v>17912.16</v>
      </c>
      <c r="H327" s="43">
        <f>IFERROR(G327*E324,"")</f>
        <v>0</v>
      </c>
    </row>
    <row r="328" spans="1:11">
      <c r="A328" s="28"/>
      <c r="B328" s="29"/>
      <c r="C328" s="30" t="str">
        <f>IFERROR(_xlfn.XLOOKUP(B328,Insumo[DESCRIPCION],Insumo[UND],,0),"")</f>
        <v/>
      </c>
      <c r="D328" s="31"/>
      <c r="E328" s="32" t="str">
        <f>IFERROR(_xlfn.XLOOKUP($B328,Insumo[DESCRIPCION],Insumo[VALOR],,0),"")</f>
        <v/>
      </c>
      <c r="F328" s="33"/>
      <c r="G328" s="34" t="str">
        <f>IFERROR(IF(F328&gt;=0,D328*E328*(1+F328/100),ABS(D328*E328/F328)),"")</f>
        <v/>
      </c>
      <c r="H328" s="43" t="str">
        <f>IFERROR(G328*E324,"")</f>
        <v/>
      </c>
    </row>
    <row r="329" spans="1:11">
      <c r="A329" s="28"/>
      <c r="B329" s="29"/>
      <c r="C329" s="30" t="str">
        <f>IFERROR(_xlfn.XLOOKUP(B329,Insumo[DESCRIPCION],Insumo[UND],,0),"")</f>
        <v/>
      </c>
      <c r="D329" s="31"/>
      <c r="E329" s="32" t="str">
        <f>IFERROR(_xlfn.XLOOKUP($B329,Insumo[DESCRIPCION],Insumo[VALOR],,0),"")</f>
        <v/>
      </c>
      <c r="F329" s="33"/>
      <c r="G329" s="34" t="str">
        <f>IFERROR(IF(F329&gt;=0,D329*E329*(1+F329/100),ABS(D329*E329/F329)),"")</f>
        <v/>
      </c>
      <c r="H329" s="43" t="str">
        <f>IFERROR(G329*E324,"")</f>
        <v/>
      </c>
    </row>
    <row r="330" spans="1:11">
      <c r="A330" s="28"/>
      <c r="B330" s="29"/>
      <c r="C330" s="30" t="str">
        <f>IFERROR(_xlfn.XLOOKUP(B330,Insumo[DESCRIPCION],Insumo[UND],,0),"")</f>
        <v/>
      </c>
      <c r="D330" s="31"/>
      <c r="E330" s="32" t="str">
        <f>IFERROR(_xlfn.XLOOKUP($B330,Insumo[DESCRIPCION],Insumo[VALOR],,0),"")</f>
        <v/>
      </c>
      <c r="F330" s="33"/>
      <c r="G330" s="34" t="str">
        <f>IFERROR(IF(F330&gt;=0,D330*E330*(1+F330/100),ABS(D330*E330/F330)),"")</f>
        <v/>
      </c>
      <c r="H330" s="43" t="str">
        <f>IFERROR(G330*E324,"")</f>
        <v/>
      </c>
    </row>
    <row r="331" spans="1:11">
      <c r="A331" s="28"/>
      <c r="B331" s="29"/>
      <c r="C331" s="30" t="str">
        <f>IFERROR(_xlfn.XLOOKUP(B331,Insumo[DESCRIPCION],Insumo[UND],,0),"")</f>
        <v/>
      </c>
      <c r="D331" s="31"/>
      <c r="E331" s="32" t="str">
        <f>IFERROR(_xlfn.XLOOKUP($B331,Insumo[DESCRIPCION],Insumo[VALOR],,0),"")</f>
        <v/>
      </c>
      <c r="F331" s="33"/>
      <c r="G331" s="34" t="str">
        <f>IFERROR(IF(F331&gt;=0,D331*E331*(1+F331/100),ABS(D331*E331/F331)),"")</f>
        <v/>
      </c>
      <c r="H331" s="43" t="str">
        <f>IFERROR(G331*E324,"")</f>
        <v/>
      </c>
    </row>
    <row r="332" spans="1:11">
      <c r="A332" s="21"/>
      <c r="B332" s="22" t="s">
        <v>3731</v>
      </c>
      <c r="C332" s="23"/>
      <c r="D332" s="24"/>
      <c r="E332" s="25"/>
      <c r="F332" s="26"/>
      <c r="G332" s="27">
        <f>SUM(G333:G335)</f>
        <v>7229.9052120625001</v>
      </c>
      <c r="H332" s="44">
        <f>G332*E324</f>
        <v>0</v>
      </c>
    </row>
    <row r="333" spans="1:11">
      <c r="A333" s="28"/>
      <c r="B333" s="29" t="s">
        <v>3575</v>
      </c>
      <c r="C333" s="30" t="str">
        <f>IFERROR(_xlfn.XLOOKUP(B333,Equipo[DESCRIPCION],Equipo[UND],,0),"")</f>
        <v>Día</v>
      </c>
      <c r="D333" s="31">
        <v>1</v>
      </c>
      <c r="E333" s="32">
        <f>IF(C333="%MO",G339,IFERROR(_xlfn.XLOOKUP($B333,Equipo[DESCRIPCION],Equipo[VALOR],,0),""))</f>
        <v>142078.65</v>
      </c>
      <c r="F333" s="33">
        <v>-24</v>
      </c>
      <c r="G333" s="34">
        <f>IFERROR(IF(F333&gt;=0,D333*E333*(1+F333/100),ABS(D333*E333/F333)),"")</f>
        <v>5919.9437499999995</v>
      </c>
      <c r="H333" s="43">
        <f>IFERROR(G333*E324,"")</f>
        <v>0</v>
      </c>
    </row>
    <row r="334" spans="1:11">
      <c r="A334" s="28"/>
      <c r="B334" s="29" t="s">
        <v>3626</v>
      </c>
      <c r="C334" s="30" t="str">
        <f>IFERROR(_xlfn.XLOOKUP(B334,Equipo[DESCRIPCION],Equipo[UND],,0),"")</f>
        <v>%MO</v>
      </c>
      <c r="D334" s="31">
        <v>0.05</v>
      </c>
      <c r="E334" s="32">
        <f>IF(C334="%MO",G339,IFERROR(_xlfn.XLOOKUP($B334,Equipo[DESCRIPCION],Equipo[VALOR],,0),""))</f>
        <v>26199.229241250006</v>
      </c>
      <c r="F334" s="33"/>
      <c r="G334" s="34">
        <f>IFERROR(IF(F334&gt;=0,D334*E334*(1+F334/100),ABS(D334*E334/F334)),"")</f>
        <v>1309.9614620625005</v>
      </c>
      <c r="H334" s="43">
        <f>IFERROR(G334*E324,"")</f>
        <v>0</v>
      </c>
    </row>
    <row r="335" spans="1:11">
      <c r="A335" s="28"/>
      <c r="B335" s="29"/>
      <c r="C335" s="30" t="str">
        <f>IFERROR(_xlfn.XLOOKUP(B335,Equipo[DESCRIPCION],Equipo[UND],,0),"")</f>
        <v/>
      </c>
      <c r="D335" s="31"/>
      <c r="E335" s="32" t="str">
        <f>IF(C335="%MO",G339,IFERROR(_xlfn.XLOOKUP($B335,Equipo[DESCRIPCION],Equipo[VALOR],,0),""))</f>
        <v/>
      </c>
      <c r="F335" s="33"/>
      <c r="G335" s="34" t="str">
        <f>IFERROR(IF(F335&gt;=0,D335*E335*(1+F335/100),ABS(D335*E335/F335)),"")</f>
        <v/>
      </c>
      <c r="H335" s="43" t="str">
        <f>IFERROR(G335*E324,"")</f>
        <v/>
      </c>
    </row>
    <row r="336" spans="1:11">
      <c r="A336" s="21"/>
      <c r="B336" s="22" t="s">
        <v>2533</v>
      </c>
      <c r="C336" s="23"/>
      <c r="D336" s="24"/>
      <c r="E336" s="25"/>
      <c r="F336" s="26"/>
      <c r="G336" s="27">
        <f>SUM(G337:G338)</f>
        <v>0</v>
      </c>
      <c r="H336" s="138">
        <f>IFERROR(G336*E324,"")</f>
        <v>0</v>
      </c>
    </row>
    <row r="337" spans="1:11">
      <c r="A337" s="28"/>
      <c r="B337" s="29"/>
      <c r="C337" s="30" t="str">
        <f>IFERROR(_xlfn.XLOOKUP(B337,Transporte[DESCRIPCION],Transporte[UND],,0),"")</f>
        <v/>
      </c>
      <c r="D337" s="31"/>
      <c r="E337" s="32" t="str">
        <f>IFERROR(_xlfn.XLOOKUP($B337,Transporte[DESCRIPCION],Transporte[VALOR],,0),"")</f>
        <v/>
      </c>
      <c r="F337" s="33"/>
      <c r="G337" s="34" t="str">
        <f>IFERROR(IF(F337&gt;=0,D337*E337*(1+F337/100),ABS(D337*E337/F337)),"")</f>
        <v/>
      </c>
      <c r="H337" s="43" t="str">
        <f>IFERROR(G337*E324,"")</f>
        <v/>
      </c>
    </row>
    <row r="338" spans="1:11">
      <c r="A338" s="28"/>
      <c r="B338" s="29"/>
      <c r="C338" s="30" t="str">
        <f>IFERROR(_xlfn.XLOOKUP(B338,Transporte[DESCRIPCION],Transporte[UND],,0),"")</f>
        <v/>
      </c>
      <c r="D338" s="31"/>
      <c r="E338" s="32" t="str">
        <f>IFERROR(_xlfn.XLOOKUP($B338,Transporte[DESCRIPCION],Transporte[VALOR],,0),"")</f>
        <v/>
      </c>
      <c r="F338" s="33"/>
      <c r="G338" s="34" t="str">
        <f>IFERROR(IF(F338&gt;=0,D338*E338*(1+F338/100),ABS(D338*E338/F338)),"")</f>
        <v/>
      </c>
      <c r="H338" s="43" t="str">
        <f>IFERROR(G338*E324,"")</f>
        <v/>
      </c>
    </row>
    <row r="339" spans="1:11">
      <c r="A339" s="21"/>
      <c r="B339" s="22" t="s">
        <v>3732</v>
      </c>
      <c r="C339" s="23"/>
      <c r="D339" s="24"/>
      <c r="E339" s="25"/>
      <c r="F339" s="26"/>
      <c r="G339" s="27">
        <f>SUM(G340:G342)</f>
        <v>26199.229241250006</v>
      </c>
      <c r="H339" s="43">
        <f>IFERROR(G339*E324,"")</f>
        <v>0</v>
      </c>
    </row>
    <row r="340" spans="1:11">
      <c r="A340" s="28"/>
      <c r="B340" s="29" t="s">
        <v>3710</v>
      </c>
      <c r="C340" s="30" t="str">
        <f>IFERROR(_xlfn.XLOOKUP(B340,MObra[DESCRIPCION],MObra[UN],,0),"")</f>
        <v>día</v>
      </c>
      <c r="D340" s="31">
        <v>1</v>
      </c>
      <c r="E340" s="32">
        <f>IFERROR(_xlfn.XLOOKUP($B340,MObra[DESCRIPCION],MObra[VALOR UNIT],,0),"")</f>
        <v>314390.75089500006</v>
      </c>
      <c r="F340" s="33">
        <v>-12</v>
      </c>
      <c r="G340" s="34">
        <f>IFERROR(IF(F340&gt;=0,D340*E340*(1+F340/100),ABS(D340*E340/F340)),"")</f>
        <v>26199.229241250006</v>
      </c>
      <c r="H340" s="43">
        <f>IFERROR(G340*E324,"")</f>
        <v>0</v>
      </c>
    </row>
    <row r="341" spans="1:11">
      <c r="A341" s="28"/>
      <c r="B341" s="29"/>
      <c r="C341" s="30" t="str">
        <f>IFERROR(_xlfn.XLOOKUP(B341,MObra[DESCRIPCION],MObra[UN],,0),"")</f>
        <v/>
      </c>
      <c r="D341" s="31"/>
      <c r="E341" s="32" t="str">
        <f>IFERROR(_xlfn.XLOOKUP($B341,MObra[DESCRIPCION],MObra[VALOR UNIT],,0),"")</f>
        <v/>
      </c>
      <c r="F341" s="33"/>
      <c r="G341" s="34" t="str">
        <f>IFERROR(IF(F341&gt;=0,D341*E341*(1+F341/100),ABS(D341*E341/F341)),"")</f>
        <v/>
      </c>
      <c r="H341" s="43" t="str">
        <f>IFERROR(G341*E324,"")</f>
        <v/>
      </c>
    </row>
    <row r="342" spans="1:11">
      <c r="A342" s="35"/>
      <c r="B342" s="36"/>
      <c r="C342" s="37" t="str">
        <f>IFERROR(_xlfn.XLOOKUP(B342,MObra[DESCRIPCION],MObra[UN],,0),"")</f>
        <v/>
      </c>
      <c r="D342" s="38"/>
      <c r="E342" s="39" t="str">
        <f>IFERROR(_xlfn.XLOOKUP($B342,MObra[DESCRIPCION],MObra[VALOR UNIT],,0),"")</f>
        <v/>
      </c>
      <c r="F342" s="40"/>
      <c r="G342" s="41" t="str">
        <f>IFERROR(IF(F342&gt;=0,D342*E342*(1+F342/100),ABS(D342*E342/F342)),"")</f>
        <v/>
      </c>
      <c r="H342" s="42" t="str">
        <f>IFERROR(G342*E324,"")</f>
        <v/>
      </c>
    </row>
    <row r="344" spans="1:11">
      <c r="A344" s="6" t="s">
        <v>1402</v>
      </c>
      <c r="B344" s="7" t="str">
        <f>VLOOKUP($A344,Presupuesto!$A:$D,2,FALSE())</f>
        <v>Pintura marcos metalicos esmalte</v>
      </c>
      <c r="C344" s="8" t="str">
        <f>VLOOKUP($A344,Presupuesto!$A:$D,3,FALSE())</f>
        <v>M</v>
      </c>
      <c r="D344" s="9"/>
      <c r="E344" s="10">
        <f>VLOOKUP($A344,Presupuesto!$A:$D,4,FALSE())</f>
        <v>0</v>
      </c>
      <c r="F344" s="11" t="s">
        <v>2589</v>
      </c>
      <c r="G344" s="12">
        <f>SUM(G346:G362)/2</f>
        <v>12071.361768795001</v>
      </c>
      <c r="H344" s="13">
        <f>ROUND(SUM(H346:H362),0)/2</f>
        <v>0</v>
      </c>
      <c r="I344" s="10">
        <f>VLOOKUP(A344,Presupuesto!$A:$F,6,0)</f>
        <v>0</v>
      </c>
      <c r="J344" s="10">
        <f>+H344-I344</f>
        <v>0</v>
      </c>
      <c r="K344" s="46">
        <f>+H344-G344*E344</f>
        <v>0</v>
      </c>
    </row>
    <row r="345" spans="1:11">
      <c r="A345" s="14"/>
      <c r="B345" s="15" t="s">
        <v>2586</v>
      </c>
      <c r="C345" s="15" t="s">
        <v>5</v>
      </c>
      <c r="D345" s="16" t="s">
        <v>6</v>
      </c>
      <c r="E345" s="17" t="s">
        <v>7</v>
      </c>
      <c r="F345" s="18" t="s">
        <v>3728</v>
      </c>
      <c r="G345" s="19" t="s">
        <v>3729</v>
      </c>
      <c r="H345" s="20" t="s">
        <v>3797</v>
      </c>
    </row>
    <row r="346" spans="1:11">
      <c r="A346" s="21"/>
      <c r="B346" s="22" t="s">
        <v>3730</v>
      </c>
      <c r="C346" s="23"/>
      <c r="D346" s="24"/>
      <c r="E346" s="25"/>
      <c r="F346" s="26"/>
      <c r="G346" s="27">
        <f>SUM(G347:G351)</f>
        <v>5469.1560000000009</v>
      </c>
      <c r="H346" s="27">
        <f>IFERROR(G346*E344,"")</f>
        <v>0</v>
      </c>
    </row>
    <row r="347" spans="1:11">
      <c r="A347" s="28"/>
      <c r="B347" s="29" t="s">
        <v>2925</v>
      </c>
      <c r="C347" s="30" t="str">
        <f>IFERROR(_xlfn.XLOOKUP(B347,Insumo[DESCRIPCION],Insumo[UND],,0),"")</f>
        <v>Lt</v>
      </c>
      <c r="D347" s="31">
        <v>0.04</v>
      </c>
      <c r="E347" s="32">
        <f>IFERROR(_xlfn.XLOOKUP($B347,Insumo[DESCRIPCION],Insumo[VALOR],,0),"")</f>
        <v>28923.300000000003</v>
      </c>
      <c r="F347" s="33"/>
      <c r="G347" s="34">
        <f>IFERROR(IF(F347&gt;=0,D347*E347*(1+F347/100),ABS(D347*E347/F347)),"")</f>
        <v>1156.9320000000002</v>
      </c>
      <c r="H347" s="43">
        <f>IFERROR(G347*E344,"")</f>
        <v>0</v>
      </c>
    </row>
    <row r="348" spans="1:11">
      <c r="A348" s="28"/>
      <c r="B348" s="29" t="s">
        <v>3204</v>
      </c>
      <c r="C348" s="30" t="str">
        <f>IFERROR(_xlfn.XLOOKUP(B348,Insumo[DESCRIPCION],Insumo[UND],,0),"")</f>
        <v>galón</v>
      </c>
      <c r="D348" s="31">
        <v>0.04</v>
      </c>
      <c r="E348" s="32">
        <f>IFERROR(_xlfn.XLOOKUP($B348,Insumo[DESCRIPCION],Insumo[VALOR],,0),"")</f>
        <v>107805.6</v>
      </c>
      <c r="F348" s="33"/>
      <c r="G348" s="34">
        <f>IFERROR(IF(F348&gt;=0,D348*E348*(1+F348/100),ABS(D348*E348/F348)),"")</f>
        <v>4312.2240000000002</v>
      </c>
      <c r="H348" s="43">
        <f>IFERROR(G348*E344,"")</f>
        <v>0</v>
      </c>
    </row>
    <row r="349" spans="1:11">
      <c r="A349" s="28"/>
      <c r="B349" s="29"/>
      <c r="C349" s="30" t="str">
        <f>IFERROR(_xlfn.XLOOKUP(B349,Insumo[DESCRIPCION],Insumo[UND],,0),"")</f>
        <v/>
      </c>
      <c r="D349" s="31"/>
      <c r="E349" s="32" t="str">
        <f>IFERROR(_xlfn.XLOOKUP($B349,Insumo[DESCRIPCION],Insumo[VALOR],,0),"")</f>
        <v/>
      </c>
      <c r="F349" s="33"/>
      <c r="G349" s="34" t="str">
        <f>IFERROR(IF(F349&gt;=0,D349*E349*(1+F349/100),ABS(D349*E349/F349)),"")</f>
        <v/>
      </c>
      <c r="H349" s="43" t="str">
        <f>IFERROR(G349*E344,"")</f>
        <v/>
      </c>
    </row>
    <row r="350" spans="1:11">
      <c r="A350" s="28"/>
      <c r="B350" s="29"/>
      <c r="C350" s="30" t="str">
        <f>IFERROR(_xlfn.XLOOKUP(B350,Insumo[DESCRIPCION],Insumo[UND],,0),"")</f>
        <v/>
      </c>
      <c r="D350" s="31"/>
      <c r="E350" s="32" t="str">
        <f>IFERROR(_xlfn.XLOOKUP($B350,Insumo[DESCRIPCION],Insumo[VALOR],,0),"")</f>
        <v/>
      </c>
      <c r="F350" s="33"/>
      <c r="G350" s="34" t="str">
        <f>IFERROR(IF(F350&gt;=0,D350*E350*(1+F350/100),ABS(D350*E350/F350)),"")</f>
        <v/>
      </c>
      <c r="H350" s="43" t="str">
        <f>IFERROR(G350*E344,"")</f>
        <v/>
      </c>
    </row>
    <row r="351" spans="1:11">
      <c r="A351" s="28"/>
      <c r="B351" s="29"/>
      <c r="C351" s="30" t="str">
        <f>IFERROR(_xlfn.XLOOKUP(B351,Insumo[DESCRIPCION],Insumo[UND],,0),"")</f>
        <v/>
      </c>
      <c r="D351" s="31"/>
      <c r="E351" s="32" t="str">
        <f>IFERROR(_xlfn.XLOOKUP($B351,Insumo[DESCRIPCION],Insumo[VALOR],,0),"")</f>
        <v/>
      </c>
      <c r="F351" s="33"/>
      <c r="G351" s="34" t="str">
        <f>IFERROR(IF(F351&gt;=0,D351*E351*(1+F351/100),ABS(D351*E351/F351)),"")</f>
        <v/>
      </c>
      <c r="H351" s="43" t="str">
        <f>IFERROR(G351*E344,"")</f>
        <v/>
      </c>
    </row>
    <row r="352" spans="1:11">
      <c r="A352" s="21"/>
      <c r="B352" s="22" t="s">
        <v>3731</v>
      </c>
      <c r="C352" s="23"/>
      <c r="D352" s="24"/>
      <c r="E352" s="25"/>
      <c r="F352" s="26"/>
      <c r="G352" s="27">
        <f>SUM(G353:G355)</f>
        <v>314.39075089500011</v>
      </c>
      <c r="H352" s="44">
        <f>G352*E344</f>
        <v>0</v>
      </c>
    </row>
    <row r="353" spans="1:11">
      <c r="A353" s="28"/>
      <c r="B353" s="29" t="s">
        <v>3626</v>
      </c>
      <c r="C353" s="30" t="str">
        <f>IFERROR(_xlfn.XLOOKUP(B353,Equipo[DESCRIPCION],Equipo[UND],,0),"")</f>
        <v>%MO</v>
      </c>
      <c r="D353" s="31">
        <v>0.05</v>
      </c>
      <c r="E353" s="32">
        <f>IF(C353="%MO",G359,IFERROR(_xlfn.XLOOKUP($B353,Equipo[DESCRIPCION],Equipo[VALOR],,0),""))</f>
        <v>6287.8150179000013</v>
      </c>
      <c r="F353" s="33"/>
      <c r="G353" s="34">
        <f>IFERROR(IF(F353&gt;=0,D353*E353*(1+F353/100),ABS(D353*E353/F353)),"")</f>
        <v>314.39075089500011</v>
      </c>
      <c r="H353" s="43">
        <f>IFERROR(G353*E344,"")</f>
        <v>0</v>
      </c>
    </row>
    <row r="354" spans="1:11">
      <c r="A354" s="28"/>
      <c r="B354" s="29"/>
      <c r="C354" s="30" t="str">
        <f>IFERROR(_xlfn.XLOOKUP(B354,Equipo[DESCRIPCION],Equipo[UND],,0),"")</f>
        <v/>
      </c>
      <c r="D354" s="31"/>
      <c r="E354" s="32" t="str">
        <f>IF(C354="%MO",G359,IFERROR(_xlfn.XLOOKUP($B354,Equipo[DESCRIPCION],Equipo[VALOR],,0),""))</f>
        <v/>
      </c>
      <c r="F354" s="33"/>
      <c r="G354" s="34" t="str">
        <f>IFERROR(IF(F354&gt;=0,D354*E354*(1+F354/100),ABS(D354*E354/F354)),"")</f>
        <v/>
      </c>
      <c r="H354" s="43" t="str">
        <f>IFERROR(G354*E344,"")</f>
        <v/>
      </c>
    </row>
    <row r="355" spans="1:11">
      <c r="A355" s="28"/>
      <c r="B355" s="29"/>
      <c r="C355" s="30" t="str">
        <f>IFERROR(_xlfn.XLOOKUP(B355,Equipo[DESCRIPCION],Equipo[UND],,0),"")</f>
        <v/>
      </c>
      <c r="D355" s="31"/>
      <c r="E355" s="32" t="str">
        <f>IF(C355="%MO",G359,IFERROR(_xlfn.XLOOKUP($B355,Equipo[DESCRIPCION],Equipo[VALOR],,0),""))</f>
        <v/>
      </c>
      <c r="F355" s="33"/>
      <c r="G355" s="34" t="str">
        <f>IFERROR(IF(F355&gt;=0,D355*E355*(1+F355/100),ABS(D355*E355/F355)),"")</f>
        <v/>
      </c>
      <c r="H355" s="43" t="str">
        <f>IFERROR(G355*E344,"")</f>
        <v/>
      </c>
    </row>
    <row r="356" spans="1:11">
      <c r="A356" s="21"/>
      <c r="B356" s="22" t="s">
        <v>2533</v>
      </c>
      <c r="C356" s="23"/>
      <c r="D356" s="24"/>
      <c r="E356" s="25"/>
      <c r="F356" s="26"/>
      <c r="G356" s="27">
        <f>SUM(G357:G358)</f>
        <v>0</v>
      </c>
      <c r="H356" s="138">
        <f>IFERROR(G356*E344,"")</f>
        <v>0</v>
      </c>
    </row>
    <row r="357" spans="1:11">
      <c r="A357" s="28"/>
      <c r="B357" s="29"/>
      <c r="C357" s="30" t="str">
        <f>IFERROR(_xlfn.XLOOKUP(B357,Transporte[DESCRIPCION],Transporte[UND],,0),"")</f>
        <v/>
      </c>
      <c r="D357" s="31"/>
      <c r="E357" s="32" t="str">
        <f>IFERROR(_xlfn.XLOOKUP($B357,Transporte[DESCRIPCION],Transporte[VALOR],,0),"")</f>
        <v/>
      </c>
      <c r="F357" s="33"/>
      <c r="G357" s="34" t="str">
        <f>IFERROR(IF(F357&gt;=0,D357*E357*(1+F357/100),ABS(D357*E357/F357)),"")</f>
        <v/>
      </c>
      <c r="H357" s="43" t="str">
        <f>IFERROR(G357*E344,"")</f>
        <v/>
      </c>
    </row>
    <row r="358" spans="1:11">
      <c r="A358" s="28"/>
      <c r="B358" s="29"/>
      <c r="C358" s="30" t="str">
        <f>IFERROR(_xlfn.XLOOKUP(B358,Transporte[DESCRIPCION],Transporte[UND],,0),"")</f>
        <v/>
      </c>
      <c r="D358" s="31"/>
      <c r="E358" s="32" t="str">
        <f>IFERROR(_xlfn.XLOOKUP($B358,Transporte[DESCRIPCION],Transporte[VALOR],,0),"")</f>
        <v/>
      </c>
      <c r="F358" s="33"/>
      <c r="G358" s="34" t="str">
        <f>IFERROR(IF(F358&gt;=0,D358*E358*(1+F358/100),ABS(D358*E358/F358)),"")</f>
        <v/>
      </c>
      <c r="H358" s="43" t="str">
        <f>IFERROR(G358*E344,"")</f>
        <v/>
      </c>
    </row>
    <row r="359" spans="1:11">
      <c r="A359" s="21"/>
      <c r="B359" s="22" t="s">
        <v>3732</v>
      </c>
      <c r="C359" s="23"/>
      <c r="D359" s="24"/>
      <c r="E359" s="25"/>
      <c r="F359" s="26"/>
      <c r="G359" s="27">
        <f>SUM(G360:G362)</f>
        <v>6287.8150179000013</v>
      </c>
      <c r="H359" s="43">
        <f>IFERROR(G359*E344,"")</f>
        <v>0</v>
      </c>
    </row>
    <row r="360" spans="1:11">
      <c r="A360" s="28"/>
      <c r="B360" s="29" t="s">
        <v>3710</v>
      </c>
      <c r="C360" s="30" t="str">
        <f>IFERROR(_xlfn.XLOOKUP(B360,MObra[DESCRIPCION],MObra[UN],,0),"")</f>
        <v>día</v>
      </c>
      <c r="D360" s="31">
        <v>1</v>
      </c>
      <c r="E360" s="32">
        <f>IFERROR(_xlfn.XLOOKUP($B360,MObra[DESCRIPCION],MObra[VALOR UNIT],,0),"")</f>
        <v>314390.75089500006</v>
      </c>
      <c r="F360" s="33">
        <v>-50</v>
      </c>
      <c r="G360" s="34">
        <f>IFERROR(IF(F360&gt;=0,D360*E360*(1+F360/100),ABS(D360*E360/F360)),"")</f>
        <v>6287.8150179000013</v>
      </c>
      <c r="H360" s="43">
        <f>IFERROR(G360*E344,"")</f>
        <v>0</v>
      </c>
    </row>
    <row r="361" spans="1:11">
      <c r="A361" s="28"/>
      <c r="B361" s="29"/>
      <c r="C361" s="30" t="str">
        <f>IFERROR(_xlfn.XLOOKUP(B361,MObra[DESCRIPCION],MObra[UN],,0),"")</f>
        <v/>
      </c>
      <c r="D361" s="31"/>
      <c r="E361" s="32" t="str">
        <f>IFERROR(_xlfn.XLOOKUP($B361,MObra[DESCRIPCION],MObra[VALOR UNIT],,0),"")</f>
        <v/>
      </c>
      <c r="F361" s="33"/>
      <c r="G361" s="34" t="str">
        <f>IFERROR(IF(F361&gt;=0,D361*E361*(1+F361/100),ABS(D361*E361/F361)),"")</f>
        <v/>
      </c>
      <c r="H361" s="43" t="str">
        <f>IFERROR(G361*E344,"")</f>
        <v/>
      </c>
    </row>
    <row r="362" spans="1:11">
      <c r="A362" s="35"/>
      <c r="B362" s="36"/>
      <c r="C362" s="37" t="str">
        <f>IFERROR(_xlfn.XLOOKUP(B362,MObra[DESCRIPCION],MObra[UN],,0),"")</f>
        <v/>
      </c>
      <c r="D362" s="38"/>
      <c r="E362" s="39" t="str">
        <f>IFERROR(_xlfn.XLOOKUP($B362,MObra[DESCRIPCION],MObra[VALOR UNIT],,0),"")</f>
        <v/>
      </c>
      <c r="F362" s="40"/>
      <c r="G362" s="41" t="str">
        <f>IFERROR(IF(F362&gt;=0,D362*E362*(1+F362/100),ABS(D362*E362/F362)),"")</f>
        <v/>
      </c>
      <c r="H362" s="42" t="str">
        <f>IFERROR(G362*E344,"")</f>
        <v/>
      </c>
    </row>
    <row r="364" spans="1:11">
      <c r="A364" s="6" t="s">
        <v>1404</v>
      </c>
      <c r="B364" s="7" t="str">
        <f>VLOOKUP($A364,Presupuesto!$A:$D,2,FALSE())</f>
        <v>Pintura muros esmalte</v>
      </c>
      <c r="C364" s="8" t="str">
        <f>VLOOKUP($A364,Presupuesto!$A:$D,3,FALSE())</f>
        <v>M2</v>
      </c>
      <c r="D364" s="9"/>
      <c r="E364" s="10">
        <f>VLOOKUP($A364,Presupuesto!$A:$D,4,FALSE())</f>
        <v>0</v>
      </c>
      <c r="F364" s="11" t="s">
        <v>2589</v>
      </c>
      <c r="G364" s="12">
        <f>SUM(G366:G382)/2</f>
        <v>39571.752562650006</v>
      </c>
      <c r="H364" s="13">
        <f>ROUND(SUM(H366:H382),0)/2</f>
        <v>0</v>
      </c>
      <c r="I364" s="10">
        <f>VLOOKUP(A364,Presupuesto!$A:$F,6,0)</f>
        <v>0</v>
      </c>
      <c r="J364" s="10">
        <f>+H364-I364</f>
        <v>0</v>
      </c>
      <c r="K364" s="46">
        <f>+H364-G364*E364</f>
        <v>0</v>
      </c>
    </row>
    <row r="365" spans="1:11">
      <c r="A365" s="14"/>
      <c r="B365" s="15" t="s">
        <v>2586</v>
      </c>
      <c r="C365" s="15" t="s">
        <v>5</v>
      </c>
      <c r="D365" s="16" t="s">
        <v>6</v>
      </c>
      <c r="E365" s="17" t="s">
        <v>7</v>
      </c>
      <c r="F365" s="18" t="s">
        <v>3728</v>
      </c>
      <c r="G365" s="19" t="s">
        <v>3729</v>
      </c>
      <c r="H365" s="20" t="s">
        <v>3797</v>
      </c>
    </row>
    <row r="366" spans="1:11">
      <c r="A366" s="21"/>
      <c r="B366" s="22" t="s">
        <v>3730</v>
      </c>
      <c r="C366" s="23"/>
      <c r="D366" s="24"/>
      <c r="E366" s="25"/>
      <c r="F366" s="26"/>
      <c r="G366" s="27">
        <f>SUM(G367:G371)</f>
        <v>17564.400000000001</v>
      </c>
      <c r="H366" s="27">
        <f>IFERROR(G366*E364,"")</f>
        <v>0</v>
      </c>
    </row>
    <row r="367" spans="1:11">
      <c r="A367" s="28"/>
      <c r="B367" s="29" t="s">
        <v>2925</v>
      </c>
      <c r="C367" s="30" t="str">
        <f>IFERROR(_xlfn.XLOOKUP(B367,Insumo[DESCRIPCION],Insumo[UND],,0),"")</f>
        <v>Lt</v>
      </c>
      <c r="D367" s="31">
        <v>0.16</v>
      </c>
      <c r="E367" s="32">
        <f>IFERROR(_xlfn.XLOOKUP($B367,Insumo[DESCRIPCION],Insumo[VALOR],,0),"")</f>
        <v>28923.300000000003</v>
      </c>
      <c r="F367" s="33"/>
      <c r="G367" s="34">
        <f>IFERROR(IF(F367&gt;=0,D367*E367*(1+F367/100),ABS(D367*E367/F367)),"")</f>
        <v>4627.728000000001</v>
      </c>
      <c r="H367" s="43">
        <f>IFERROR(G367*E364,"")</f>
        <v>0</v>
      </c>
    </row>
    <row r="368" spans="1:11">
      <c r="A368" s="28"/>
      <c r="B368" s="29" t="s">
        <v>3204</v>
      </c>
      <c r="C368" s="30" t="str">
        <f>IFERROR(_xlfn.XLOOKUP(B368,Insumo[DESCRIPCION],Insumo[UND],,0),"")</f>
        <v>galón</v>
      </c>
      <c r="D368" s="31">
        <v>0.12</v>
      </c>
      <c r="E368" s="32">
        <f>IFERROR(_xlfn.XLOOKUP($B368,Insumo[DESCRIPCION],Insumo[VALOR],,0),"")</f>
        <v>107805.6</v>
      </c>
      <c r="F368" s="33"/>
      <c r="G368" s="34">
        <f>IFERROR(IF(F368&gt;=0,D368*E368*(1+F368/100),ABS(D368*E368/F368)),"")</f>
        <v>12936.672</v>
      </c>
      <c r="H368" s="43">
        <f>IFERROR(G368*E364,"")</f>
        <v>0</v>
      </c>
    </row>
    <row r="369" spans="1:11">
      <c r="A369" s="28"/>
      <c r="B369" s="29"/>
      <c r="C369" s="30" t="str">
        <f>IFERROR(_xlfn.XLOOKUP(B369,Insumo[DESCRIPCION],Insumo[UND],,0),"")</f>
        <v/>
      </c>
      <c r="D369" s="31"/>
      <c r="E369" s="32" t="str">
        <f>IFERROR(_xlfn.XLOOKUP($B369,Insumo[DESCRIPCION],Insumo[VALOR],,0),"")</f>
        <v/>
      </c>
      <c r="F369" s="33"/>
      <c r="G369" s="34" t="str">
        <f>IFERROR(IF(F369&gt;=0,D369*E369*(1+F369/100),ABS(D369*E369/F369)),"")</f>
        <v/>
      </c>
      <c r="H369" s="43" t="str">
        <f>IFERROR(G369*E364,"")</f>
        <v/>
      </c>
    </row>
    <row r="370" spans="1:11">
      <c r="A370" s="28"/>
      <c r="B370" s="29"/>
      <c r="C370" s="30" t="str">
        <f>IFERROR(_xlfn.XLOOKUP(B370,Insumo[DESCRIPCION],Insumo[UND],,0),"")</f>
        <v/>
      </c>
      <c r="D370" s="31"/>
      <c r="E370" s="32" t="str">
        <f>IFERROR(_xlfn.XLOOKUP($B370,Insumo[DESCRIPCION],Insumo[VALOR],,0),"")</f>
        <v/>
      </c>
      <c r="F370" s="33"/>
      <c r="G370" s="34" t="str">
        <f>IFERROR(IF(F370&gt;=0,D370*E370*(1+F370/100),ABS(D370*E370/F370)),"")</f>
        <v/>
      </c>
      <c r="H370" s="43" t="str">
        <f>IFERROR(G370*E364,"")</f>
        <v/>
      </c>
    </row>
    <row r="371" spans="1:11">
      <c r="A371" s="28"/>
      <c r="B371" s="29"/>
      <c r="C371" s="30" t="str">
        <f>IFERROR(_xlfn.XLOOKUP(B371,Insumo[DESCRIPCION],Insumo[UND],,0),"")</f>
        <v/>
      </c>
      <c r="D371" s="31"/>
      <c r="E371" s="32" t="str">
        <f>IFERROR(_xlfn.XLOOKUP($B371,Insumo[DESCRIPCION],Insumo[VALOR],,0),"")</f>
        <v/>
      </c>
      <c r="F371" s="33"/>
      <c r="G371" s="34" t="str">
        <f>IFERROR(IF(F371&gt;=0,D371*E371*(1+F371/100),ABS(D371*E371/F371)),"")</f>
        <v/>
      </c>
      <c r="H371" s="43" t="str">
        <f>IFERROR(G371*E364,"")</f>
        <v/>
      </c>
    </row>
    <row r="372" spans="1:11">
      <c r="A372" s="21"/>
      <c r="B372" s="22" t="s">
        <v>3731</v>
      </c>
      <c r="C372" s="23"/>
      <c r="D372" s="24"/>
      <c r="E372" s="25"/>
      <c r="F372" s="26"/>
      <c r="G372" s="27">
        <f>SUM(G373:G375)</f>
        <v>1047.9691696500001</v>
      </c>
      <c r="H372" s="44">
        <f>G372*E364</f>
        <v>0</v>
      </c>
    </row>
    <row r="373" spans="1:11">
      <c r="A373" s="28"/>
      <c r="B373" s="29" t="s">
        <v>3626</v>
      </c>
      <c r="C373" s="30" t="str">
        <f>IFERROR(_xlfn.XLOOKUP(B373,Equipo[DESCRIPCION],Equipo[UND],,0),"")</f>
        <v>%MO</v>
      </c>
      <c r="D373" s="31">
        <v>0.05</v>
      </c>
      <c r="E373" s="32">
        <f>IF(C373="%MO",G379,IFERROR(_xlfn.XLOOKUP($B373,Equipo[DESCRIPCION],Equipo[VALOR],,0),""))</f>
        <v>20959.383393000004</v>
      </c>
      <c r="F373" s="33"/>
      <c r="G373" s="34">
        <f>IFERROR(IF(F373&gt;=0,D373*E373*(1+F373/100),ABS(D373*E373/F373)),"")</f>
        <v>1047.9691696500001</v>
      </c>
      <c r="H373" s="43">
        <f>IFERROR(G373*E364,"")</f>
        <v>0</v>
      </c>
    </row>
    <row r="374" spans="1:11">
      <c r="A374" s="28"/>
      <c r="B374" s="29"/>
      <c r="C374" s="30" t="str">
        <f>IFERROR(_xlfn.XLOOKUP(B374,Equipo[DESCRIPCION],Equipo[UND],,0),"")</f>
        <v/>
      </c>
      <c r="D374" s="31"/>
      <c r="E374" s="32" t="str">
        <f>IF(C374="%MO",G379,IFERROR(_xlfn.XLOOKUP($B374,Equipo[DESCRIPCION],Equipo[VALOR],,0),""))</f>
        <v/>
      </c>
      <c r="F374" s="33"/>
      <c r="G374" s="34" t="str">
        <f>IFERROR(IF(F374&gt;=0,D374*E374*(1+F374/100),ABS(D374*E374/F374)),"")</f>
        <v/>
      </c>
      <c r="H374" s="43" t="str">
        <f>IFERROR(G374*E364,"")</f>
        <v/>
      </c>
    </row>
    <row r="375" spans="1:11">
      <c r="A375" s="28"/>
      <c r="B375" s="29"/>
      <c r="C375" s="30" t="str">
        <f>IFERROR(_xlfn.XLOOKUP(B375,Equipo[DESCRIPCION],Equipo[UND],,0),"")</f>
        <v/>
      </c>
      <c r="D375" s="31"/>
      <c r="E375" s="32" t="str">
        <f>IF(C375="%MO",G379,IFERROR(_xlfn.XLOOKUP($B375,Equipo[DESCRIPCION],Equipo[VALOR],,0),""))</f>
        <v/>
      </c>
      <c r="F375" s="33"/>
      <c r="G375" s="34" t="str">
        <f>IFERROR(IF(F375&gt;=0,D375*E375*(1+F375/100),ABS(D375*E375/F375)),"")</f>
        <v/>
      </c>
      <c r="H375" s="43" t="str">
        <f>IFERROR(G375*E364,"")</f>
        <v/>
      </c>
    </row>
    <row r="376" spans="1:11">
      <c r="A376" s="21"/>
      <c r="B376" s="22" t="s">
        <v>2533</v>
      </c>
      <c r="C376" s="23"/>
      <c r="D376" s="24"/>
      <c r="E376" s="25"/>
      <c r="F376" s="26"/>
      <c r="G376" s="27">
        <f>SUM(G377:G378)</f>
        <v>0</v>
      </c>
      <c r="H376" s="138">
        <f>IFERROR(G376*E364,"")</f>
        <v>0</v>
      </c>
    </row>
    <row r="377" spans="1:11">
      <c r="A377" s="28"/>
      <c r="B377" s="29"/>
      <c r="C377" s="30" t="str">
        <f>IFERROR(_xlfn.XLOOKUP(B377,Transporte[DESCRIPCION],Transporte[UND],,0),"")</f>
        <v/>
      </c>
      <c r="D377" s="31"/>
      <c r="E377" s="32" t="str">
        <f>IFERROR(_xlfn.XLOOKUP($B377,Transporte[DESCRIPCION],Transporte[VALOR],,0),"")</f>
        <v/>
      </c>
      <c r="F377" s="33"/>
      <c r="G377" s="34" t="str">
        <f>IFERROR(IF(F377&gt;=0,D377*E377*(1+F377/100),ABS(D377*E377/F377)),"")</f>
        <v/>
      </c>
      <c r="H377" s="43" t="str">
        <f>IFERROR(G377*E364,"")</f>
        <v/>
      </c>
    </row>
    <row r="378" spans="1:11">
      <c r="A378" s="28"/>
      <c r="B378" s="29"/>
      <c r="C378" s="30" t="str">
        <f>IFERROR(_xlfn.XLOOKUP(B378,Transporte[DESCRIPCION],Transporte[UND],,0),"")</f>
        <v/>
      </c>
      <c r="D378" s="31"/>
      <c r="E378" s="32" t="str">
        <f>IFERROR(_xlfn.XLOOKUP($B378,Transporte[DESCRIPCION],Transporte[VALOR],,0),"")</f>
        <v/>
      </c>
      <c r="F378" s="33"/>
      <c r="G378" s="34" t="str">
        <f>IFERROR(IF(F378&gt;=0,D378*E378*(1+F378/100),ABS(D378*E378/F378)),"")</f>
        <v/>
      </c>
      <c r="H378" s="43" t="str">
        <f>IFERROR(G378*E364,"")</f>
        <v/>
      </c>
    </row>
    <row r="379" spans="1:11">
      <c r="A379" s="21"/>
      <c r="B379" s="22" t="s">
        <v>3732</v>
      </c>
      <c r="C379" s="23"/>
      <c r="D379" s="24"/>
      <c r="E379" s="25"/>
      <c r="F379" s="26"/>
      <c r="G379" s="27">
        <f>SUM(G380:G382)</f>
        <v>20959.383393000004</v>
      </c>
      <c r="H379" s="43">
        <f>IFERROR(G379*E364,"")</f>
        <v>0</v>
      </c>
    </row>
    <row r="380" spans="1:11">
      <c r="A380" s="28"/>
      <c r="B380" s="29" t="s">
        <v>3710</v>
      </c>
      <c r="C380" s="30" t="str">
        <f>IFERROR(_xlfn.XLOOKUP(B380,MObra[DESCRIPCION],MObra[UN],,0),"")</f>
        <v>día</v>
      </c>
      <c r="D380" s="31">
        <v>1</v>
      </c>
      <c r="E380" s="32">
        <f>IFERROR(_xlfn.XLOOKUP($B380,MObra[DESCRIPCION],MObra[VALOR UNIT],,0),"")</f>
        <v>314390.75089500006</v>
      </c>
      <c r="F380" s="33">
        <v>-15</v>
      </c>
      <c r="G380" s="34">
        <f>IFERROR(IF(F380&gt;=0,D380*E380*(1+F380/100),ABS(D380*E380/F380)),"")</f>
        <v>20959.383393000004</v>
      </c>
      <c r="H380" s="43">
        <f>IFERROR(G380*E364,"")</f>
        <v>0</v>
      </c>
    </row>
    <row r="381" spans="1:11">
      <c r="A381" s="28"/>
      <c r="B381" s="29"/>
      <c r="C381" s="30" t="str">
        <f>IFERROR(_xlfn.XLOOKUP(B381,MObra[DESCRIPCION],MObra[UN],,0),"")</f>
        <v/>
      </c>
      <c r="D381" s="31"/>
      <c r="E381" s="32" t="str">
        <f>IFERROR(_xlfn.XLOOKUP($B381,MObra[DESCRIPCION],MObra[VALOR UNIT],,0),"")</f>
        <v/>
      </c>
      <c r="F381" s="33"/>
      <c r="G381" s="34" t="str">
        <f>IFERROR(IF(F381&gt;=0,D381*E381*(1+F381/100),ABS(D381*E381/F381)),"")</f>
        <v/>
      </c>
      <c r="H381" s="43" t="str">
        <f>IFERROR(G381*E364,"")</f>
        <v/>
      </c>
    </row>
    <row r="382" spans="1:11">
      <c r="A382" s="35"/>
      <c r="B382" s="36"/>
      <c r="C382" s="37" t="str">
        <f>IFERROR(_xlfn.XLOOKUP(B382,MObra[DESCRIPCION],MObra[UN],,0),"")</f>
        <v/>
      </c>
      <c r="D382" s="38"/>
      <c r="E382" s="39" t="str">
        <f>IFERROR(_xlfn.XLOOKUP($B382,MObra[DESCRIPCION],MObra[VALOR UNIT],,0),"")</f>
        <v/>
      </c>
      <c r="F382" s="40"/>
      <c r="G382" s="41" t="str">
        <f>IFERROR(IF(F382&gt;=0,D382*E382*(1+F382/100),ABS(D382*E382/F382)),"")</f>
        <v/>
      </c>
      <c r="H382" s="42" t="str">
        <f>IFERROR(G382*E364,"")</f>
        <v/>
      </c>
    </row>
    <row r="384" spans="1:11">
      <c r="A384" s="6" t="s">
        <v>1406</v>
      </c>
      <c r="B384" s="7" t="str">
        <f>VLOOKUP($A384,Presupuesto!$A:$D,2,FALSE())</f>
        <v>Pintura puerta metalico esmalte</v>
      </c>
      <c r="C384" s="8" t="str">
        <f>VLOOKUP($A384,Presupuesto!$A:$D,3,FALSE())</f>
        <v>M2</v>
      </c>
      <c r="D384" s="9"/>
      <c r="E384" s="10">
        <f>VLOOKUP($A384,Presupuesto!$A:$D,4,FALSE())</f>
        <v>0</v>
      </c>
      <c r="F384" s="11" t="s">
        <v>2589</v>
      </c>
      <c r="G384" s="12">
        <f>SUM(G386:G402)/2</f>
        <v>43621.014562650002</v>
      </c>
      <c r="H384" s="13">
        <f>ROUND(SUM(H386:H402),0)/2</f>
        <v>0</v>
      </c>
      <c r="I384" s="10">
        <f>VLOOKUP(A384,Presupuesto!$A:$F,6,0)</f>
        <v>0</v>
      </c>
      <c r="J384" s="10">
        <f>+H384-I384</f>
        <v>0</v>
      </c>
      <c r="K384" s="46">
        <f>+H384-G384*E384</f>
        <v>0</v>
      </c>
    </row>
    <row r="385" spans="1:8">
      <c r="A385" s="14"/>
      <c r="B385" s="15" t="s">
        <v>2586</v>
      </c>
      <c r="C385" s="15" t="s">
        <v>5</v>
      </c>
      <c r="D385" s="16" t="s">
        <v>6</v>
      </c>
      <c r="E385" s="17" t="s">
        <v>7</v>
      </c>
      <c r="F385" s="18" t="s">
        <v>3728</v>
      </c>
      <c r="G385" s="19" t="s">
        <v>3729</v>
      </c>
      <c r="H385" s="20" t="s">
        <v>3797</v>
      </c>
    </row>
    <row r="386" spans="1:8">
      <c r="A386" s="21"/>
      <c r="B386" s="22" t="s">
        <v>3730</v>
      </c>
      <c r="C386" s="23"/>
      <c r="D386" s="24"/>
      <c r="E386" s="25"/>
      <c r="F386" s="26"/>
      <c r="G386" s="27">
        <f>SUM(G387:G391)</f>
        <v>21613.662</v>
      </c>
      <c r="H386" s="27">
        <f>IFERROR(G386*E384,"")</f>
        <v>0</v>
      </c>
    </row>
    <row r="387" spans="1:8">
      <c r="A387" s="28"/>
      <c r="B387" s="29" t="s">
        <v>2925</v>
      </c>
      <c r="C387" s="30" t="str">
        <f>IFERROR(_xlfn.XLOOKUP(B387,Insumo[DESCRIPCION],Insumo[UND],,0),"")</f>
        <v>Lt</v>
      </c>
      <c r="D387" s="31">
        <v>0.3</v>
      </c>
      <c r="E387" s="32">
        <f>IFERROR(_xlfn.XLOOKUP($B387,Insumo[DESCRIPCION],Insumo[VALOR],,0),"")</f>
        <v>28923.300000000003</v>
      </c>
      <c r="F387" s="33"/>
      <c r="G387" s="34">
        <f>IFERROR(IF(F387&gt;=0,D387*E387*(1+F387/100),ABS(D387*E387/F387)),"")</f>
        <v>8676.99</v>
      </c>
      <c r="H387" s="43">
        <f>IFERROR(G387*E384,"")</f>
        <v>0</v>
      </c>
    </row>
    <row r="388" spans="1:8">
      <c r="A388" s="28"/>
      <c r="B388" s="29" t="s">
        <v>3204</v>
      </c>
      <c r="C388" s="30" t="str">
        <f>IFERROR(_xlfn.XLOOKUP(B388,Insumo[DESCRIPCION],Insumo[UND],,0),"")</f>
        <v>galón</v>
      </c>
      <c r="D388" s="31">
        <v>0.12</v>
      </c>
      <c r="E388" s="32">
        <f>IFERROR(_xlfn.XLOOKUP($B388,Insumo[DESCRIPCION],Insumo[VALOR],,0),"")</f>
        <v>107805.6</v>
      </c>
      <c r="F388" s="33"/>
      <c r="G388" s="34">
        <f>IFERROR(IF(F388&gt;=0,D388*E388*(1+F388/100),ABS(D388*E388/F388)),"")</f>
        <v>12936.672</v>
      </c>
      <c r="H388" s="43">
        <f>IFERROR(G388*E384,"")</f>
        <v>0</v>
      </c>
    </row>
    <row r="389" spans="1:8">
      <c r="A389" s="28"/>
      <c r="B389" s="29"/>
      <c r="C389" s="30" t="str">
        <f>IFERROR(_xlfn.XLOOKUP(B389,Insumo[DESCRIPCION],Insumo[UND],,0),"")</f>
        <v/>
      </c>
      <c r="D389" s="31"/>
      <c r="E389" s="32" t="str">
        <f>IFERROR(_xlfn.XLOOKUP($B389,Insumo[DESCRIPCION],Insumo[VALOR],,0),"")</f>
        <v/>
      </c>
      <c r="F389" s="33"/>
      <c r="G389" s="34" t="str">
        <f>IFERROR(IF(F389&gt;=0,D389*E389*(1+F389/100),ABS(D389*E389/F389)),"")</f>
        <v/>
      </c>
      <c r="H389" s="43" t="str">
        <f>IFERROR(G389*E384,"")</f>
        <v/>
      </c>
    </row>
    <row r="390" spans="1:8">
      <c r="A390" s="28"/>
      <c r="B390" s="29"/>
      <c r="C390" s="30" t="str">
        <f>IFERROR(_xlfn.XLOOKUP(B390,Insumo[DESCRIPCION],Insumo[UND],,0),"")</f>
        <v/>
      </c>
      <c r="D390" s="31"/>
      <c r="E390" s="32" t="str">
        <f>IFERROR(_xlfn.XLOOKUP($B390,Insumo[DESCRIPCION],Insumo[VALOR],,0),"")</f>
        <v/>
      </c>
      <c r="F390" s="33"/>
      <c r="G390" s="34" t="str">
        <f>IFERROR(IF(F390&gt;=0,D390*E390*(1+F390/100),ABS(D390*E390/F390)),"")</f>
        <v/>
      </c>
      <c r="H390" s="43" t="str">
        <f>IFERROR(G390*E384,"")</f>
        <v/>
      </c>
    </row>
    <row r="391" spans="1:8">
      <c r="A391" s="28"/>
      <c r="B391" s="29"/>
      <c r="C391" s="30" t="str">
        <f>IFERROR(_xlfn.XLOOKUP(B391,Insumo[DESCRIPCION],Insumo[UND],,0),"")</f>
        <v/>
      </c>
      <c r="D391" s="31"/>
      <c r="E391" s="32" t="str">
        <f>IFERROR(_xlfn.XLOOKUP($B391,Insumo[DESCRIPCION],Insumo[VALOR],,0),"")</f>
        <v/>
      </c>
      <c r="F391" s="33"/>
      <c r="G391" s="34" t="str">
        <f>IFERROR(IF(F391&gt;=0,D391*E391*(1+F391/100),ABS(D391*E391/F391)),"")</f>
        <v/>
      </c>
      <c r="H391" s="43" t="str">
        <f>IFERROR(G391*E384,"")</f>
        <v/>
      </c>
    </row>
    <row r="392" spans="1:8">
      <c r="A392" s="21"/>
      <c r="B392" s="22" t="s">
        <v>3731</v>
      </c>
      <c r="C392" s="23"/>
      <c r="D392" s="24"/>
      <c r="E392" s="25"/>
      <c r="F392" s="26"/>
      <c r="G392" s="27">
        <f>SUM(G393:G395)</f>
        <v>1047.9691696500001</v>
      </c>
      <c r="H392" s="44">
        <f>G392*E384</f>
        <v>0</v>
      </c>
    </row>
    <row r="393" spans="1:8">
      <c r="A393" s="28"/>
      <c r="B393" s="29" t="s">
        <v>3626</v>
      </c>
      <c r="C393" s="30" t="str">
        <f>IFERROR(_xlfn.XLOOKUP(B393,Equipo[DESCRIPCION],Equipo[UND],,0),"")</f>
        <v>%MO</v>
      </c>
      <c r="D393" s="31">
        <v>0.05</v>
      </c>
      <c r="E393" s="32">
        <f>IF(C393="%MO",G399,IFERROR(_xlfn.XLOOKUP($B393,Equipo[DESCRIPCION],Equipo[VALOR],,0),""))</f>
        <v>20959.383393000004</v>
      </c>
      <c r="F393" s="33"/>
      <c r="G393" s="34">
        <f>IFERROR(IF(F393&gt;=0,D393*E393*(1+F393/100),ABS(D393*E393/F393)),"")</f>
        <v>1047.9691696500001</v>
      </c>
      <c r="H393" s="43">
        <f>IFERROR(G393*E384,"")</f>
        <v>0</v>
      </c>
    </row>
    <row r="394" spans="1:8">
      <c r="A394" s="28"/>
      <c r="B394" s="29"/>
      <c r="C394" s="30" t="str">
        <f>IFERROR(_xlfn.XLOOKUP(B394,Equipo[DESCRIPCION],Equipo[UND],,0),"")</f>
        <v/>
      </c>
      <c r="D394" s="31"/>
      <c r="E394" s="32" t="str">
        <f>IF(C394="%MO",G399,IFERROR(_xlfn.XLOOKUP($B394,Equipo[DESCRIPCION],Equipo[VALOR],,0),""))</f>
        <v/>
      </c>
      <c r="F394" s="33"/>
      <c r="G394" s="34" t="str">
        <f>IFERROR(IF(F394&gt;=0,D394*E394*(1+F394/100),ABS(D394*E394/F394)),"")</f>
        <v/>
      </c>
      <c r="H394" s="43" t="str">
        <f>IFERROR(G394*E384,"")</f>
        <v/>
      </c>
    </row>
    <row r="395" spans="1:8">
      <c r="A395" s="28"/>
      <c r="B395" s="29"/>
      <c r="C395" s="30" t="str">
        <f>IFERROR(_xlfn.XLOOKUP(B395,Equipo[DESCRIPCION],Equipo[UND],,0),"")</f>
        <v/>
      </c>
      <c r="D395" s="31"/>
      <c r="E395" s="32" t="str">
        <f>IF(C395="%MO",G399,IFERROR(_xlfn.XLOOKUP($B395,Equipo[DESCRIPCION],Equipo[VALOR],,0),""))</f>
        <v/>
      </c>
      <c r="F395" s="33"/>
      <c r="G395" s="34" t="str">
        <f>IFERROR(IF(F395&gt;=0,D395*E395*(1+F395/100),ABS(D395*E395/F395)),"")</f>
        <v/>
      </c>
      <c r="H395" s="43" t="str">
        <f>IFERROR(G395*E384,"")</f>
        <v/>
      </c>
    </row>
    <row r="396" spans="1:8">
      <c r="A396" s="21"/>
      <c r="B396" s="22" t="s">
        <v>2533</v>
      </c>
      <c r="C396" s="23"/>
      <c r="D396" s="24"/>
      <c r="E396" s="25"/>
      <c r="F396" s="26"/>
      <c r="G396" s="27">
        <f>SUM(G397:G398)</f>
        <v>0</v>
      </c>
      <c r="H396" s="138">
        <f>IFERROR(G396*E384,"")</f>
        <v>0</v>
      </c>
    </row>
    <row r="397" spans="1:8">
      <c r="A397" s="28"/>
      <c r="B397" s="29"/>
      <c r="C397" s="30" t="str">
        <f>IFERROR(_xlfn.XLOOKUP(B397,Transporte[DESCRIPCION],Transporte[UND],,0),"")</f>
        <v/>
      </c>
      <c r="D397" s="31"/>
      <c r="E397" s="32" t="str">
        <f>IFERROR(_xlfn.XLOOKUP($B397,Transporte[DESCRIPCION],Transporte[VALOR],,0),"")</f>
        <v/>
      </c>
      <c r="F397" s="33"/>
      <c r="G397" s="34" t="str">
        <f>IFERROR(IF(F397&gt;=0,D397*E397*(1+F397/100),ABS(D397*E397/F397)),"")</f>
        <v/>
      </c>
      <c r="H397" s="43" t="str">
        <f>IFERROR(G397*E384,"")</f>
        <v/>
      </c>
    </row>
    <row r="398" spans="1:8">
      <c r="A398" s="28"/>
      <c r="B398" s="29"/>
      <c r="C398" s="30" t="str">
        <f>IFERROR(_xlfn.XLOOKUP(B398,Transporte[DESCRIPCION],Transporte[UND],,0),"")</f>
        <v/>
      </c>
      <c r="D398" s="31"/>
      <c r="E398" s="32" t="str">
        <f>IFERROR(_xlfn.XLOOKUP($B398,Transporte[DESCRIPCION],Transporte[VALOR],,0),"")</f>
        <v/>
      </c>
      <c r="F398" s="33"/>
      <c r="G398" s="34" t="str">
        <f>IFERROR(IF(F398&gt;=0,D398*E398*(1+F398/100),ABS(D398*E398/F398)),"")</f>
        <v/>
      </c>
      <c r="H398" s="43" t="str">
        <f>IFERROR(G398*E384,"")</f>
        <v/>
      </c>
    </row>
    <row r="399" spans="1:8">
      <c r="A399" s="21"/>
      <c r="B399" s="22" t="s">
        <v>3732</v>
      </c>
      <c r="C399" s="23"/>
      <c r="D399" s="24"/>
      <c r="E399" s="25"/>
      <c r="F399" s="26"/>
      <c r="G399" s="27">
        <f>SUM(G400:G402)</f>
        <v>20959.383393000004</v>
      </c>
      <c r="H399" s="43">
        <f>IFERROR(G399*E384,"")</f>
        <v>0</v>
      </c>
    </row>
    <row r="400" spans="1:8">
      <c r="A400" s="28"/>
      <c r="B400" s="29" t="s">
        <v>3710</v>
      </c>
      <c r="C400" s="30" t="str">
        <f>IFERROR(_xlfn.XLOOKUP(B400,MObra[DESCRIPCION],MObra[UN],,0),"")</f>
        <v>día</v>
      </c>
      <c r="D400" s="31">
        <v>1</v>
      </c>
      <c r="E400" s="32">
        <f>IFERROR(_xlfn.XLOOKUP($B400,MObra[DESCRIPCION],MObra[VALOR UNIT],,0),"")</f>
        <v>314390.75089500006</v>
      </c>
      <c r="F400" s="33">
        <v>-15</v>
      </c>
      <c r="G400" s="34">
        <f>IFERROR(IF(F400&gt;=0,D400*E400*(1+F400/100),ABS(D400*E400/F400)),"")</f>
        <v>20959.383393000004</v>
      </c>
      <c r="H400" s="43">
        <f>IFERROR(G400*E384,"")</f>
        <v>0</v>
      </c>
    </row>
    <row r="401" spans="1:11">
      <c r="A401" s="28"/>
      <c r="B401" s="29"/>
      <c r="C401" s="30" t="str">
        <f>IFERROR(_xlfn.XLOOKUP(B401,MObra[DESCRIPCION],MObra[UN],,0),"")</f>
        <v/>
      </c>
      <c r="D401" s="31"/>
      <c r="E401" s="32" t="str">
        <f>IFERROR(_xlfn.XLOOKUP($B401,MObra[DESCRIPCION],MObra[VALOR UNIT],,0),"")</f>
        <v/>
      </c>
      <c r="F401" s="33"/>
      <c r="G401" s="34" t="str">
        <f>IFERROR(IF(F401&gt;=0,D401*E401*(1+F401/100),ABS(D401*E401/F401)),"")</f>
        <v/>
      </c>
      <c r="H401" s="43" t="str">
        <f>IFERROR(G401*E384,"")</f>
        <v/>
      </c>
    </row>
    <row r="402" spans="1:11">
      <c r="A402" s="35"/>
      <c r="B402" s="36"/>
      <c r="C402" s="37" t="str">
        <f>IFERROR(_xlfn.XLOOKUP(B402,MObra[DESCRIPCION],MObra[UN],,0),"")</f>
        <v/>
      </c>
      <c r="D402" s="38"/>
      <c r="E402" s="39" t="str">
        <f>IFERROR(_xlfn.XLOOKUP($B402,MObra[DESCRIPCION],MObra[VALOR UNIT],,0),"")</f>
        <v/>
      </c>
      <c r="F402" s="40"/>
      <c r="G402" s="41" t="str">
        <f>IFERROR(IF(F402&gt;=0,D402*E402*(1+F402/100),ABS(D402*E402/F402)),"")</f>
        <v/>
      </c>
      <c r="H402" s="42" t="str">
        <f>IFERROR(G402*E384,"")</f>
        <v/>
      </c>
    </row>
    <row r="404" spans="1:11">
      <c r="A404" s="6" t="s">
        <v>1408</v>
      </c>
      <c r="B404" s="7" t="str">
        <f>VLOOKUP($A404,Presupuesto!$A:$D,2,FALSE())</f>
        <v>Pintura vinilo 3 manos cielo</v>
      </c>
      <c r="C404" s="8" t="str">
        <f>VLOOKUP($A404,Presupuesto!$A:$D,3,FALSE())</f>
        <v>M2</v>
      </c>
      <c r="D404" s="9"/>
      <c r="E404" s="10">
        <f>VLOOKUP($A404,Presupuesto!$A:$D,4,FALSE())</f>
        <v>0</v>
      </c>
      <c r="F404" s="11" t="s">
        <v>2589</v>
      </c>
      <c r="G404" s="12">
        <f>SUM(G406:G422)/2</f>
        <v>41156.004537803579</v>
      </c>
      <c r="H404" s="13">
        <f>ROUND(SUM(H406:H422),0)/2</f>
        <v>0</v>
      </c>
      <c r="I404" s="10">
        <f>VLOOKUP(A404,Presupuesto!$A:$F,6,0)</f>
        <v>0</v>
      </c>
      <c r="J404" s="10">
        <f>+H404-I404</f>
        <v>0</v>
      </c>
      <c r="K404" s="46">
        <f>+H404-G404*E404</f>
        <v>0</v>
      </c>
    </row>
    <row r="405" spans="1:11">
      <c r="A405" s="14"/>
      <c r="B405" s="15" t="s">
        <v>2586</v>
      </c>
      <c r="C405" s="15" t="s">
        <v>5</v>
      </c>
      <c r="D405" s="16" t="s">
        <v>6</v>
      </c>
      <c r="E405" s="17" t="s">
        <v>7</v>
      </c>
      <c r="F405" s="18" t="s">
        <v>3728</v>
      </c>
      <c r="G405" s="19" t="s">
        <v>3729</v>
      </c>
      <c r="H405" s="20" t="s">
        <v>3797</v>
      </c>
    </row>
    <row r="406" spans="1:11">
      <c r="A406" s="21"/>
      <c r="B406" s="22" t="s">
        <v>3730</v>
      </c>
      <c r="C406" s="23"/>
      <c r="D406" s="24"/>
      <c r="E406" s="25"/>
      <c r="F406" s="26"/>
      <c r="G406" s="27">
        <f>SUM(G407:G411)</f>
        <v>15331.05</v>
      </c>
      <c r="H406" s="27">
        <f>IFERROR(G406*E404,"")</f>
        <v>0</v>
      </c>
    </row>
    <row r="407" spans="1:11">
      <c r="A407" s="28"/>
      <c r="B407" s="29" t="s">
        <v>3210</v>
      </c>
      <c r="C407" s="30" t="str">
        <f>IFERROR(_xlfn.XLOOKUP(B407,Insumo[DESCRIPCION],Insumo[UND],,0),"")</f>
        <v>galón</v>
      </c>
      <c r="D407" s="31">
        <v>0.15</v>
      </c>
      <c r="E407" s="32">
        <f>IFERROR(_xlfn.XLOOKUP($B407,Insumo[DESCRIPCION],Insumo[VALOR],,0),"")</f>
        <v>98105.7</v>
      </c>
      <c r="F407" s="33"/>
      <c r="G407" s="34">
        <f>IFERROR(IF(F407&gt;=0,D407*E407*(1+F407/100),ABS(D407*E407/F407)),"")</f>
        <v>14715.855</v>
      </c>
      <c r="H407" s="43">
        <f>IFERROR(G407*E404,"")</f>
        <v>0</v>
      </c>
    </row>
    <row r="408" spans="1:11">
      <c r="A408" s="28"/>
      <c r="B408" s="29" t="s">
        <v>3043</v>
      </c>
      <c r="C408" s="30" t="str">
        <f>IFERROR(_xlfn.XLOOKUP(B408,Insumo[DESCRIPCION],Insumo[UND],,0),"")</f>
        <v>Un</v>
      </c>
      <c r="D408" s="31">
        <v>0.3</v>
      </c>
      <c r="E408" s="32">
        <f>IFERROR(_xlfn.XLOOKUP($B408,Insumo[DESCRIPCION],Insumo[VALOR],,0),"")</f>
        <v>2050.65</v>
      </c>
      <c r="F408" s="33"/>
      <c r="G408" s="34">
        <f>IFERROR(IF(F408&gt;=0,D408*E408*(1+F408/100),ABS(D408*E408/F408)),"")</f>
        <v>615.19500000000005</v>
      </c>
      <c r="H408" s="43">
        <f>IFERROR(G408*E404,"")</f>
        <v>0</v>
      </c>
    </row>
    <row r="409" spans="1:11">
      <c r="A409" s="28"/>
      <c r="B409" s="29"/>
      <c r="C409" s="30" t="str">
        <f>IFERROR(_xlfn.XLOOKUP(B409,Insumo[DESCRIPCION],Insumo[UND],,0),"")</f>
        <v/>
      </c>
      <c r="D409" s="31"/>
      <c r="E409" s="32" t="str">
        <f>IFERROR(_xlfn.XLOOKUP($B409,Insumo[DESCRIPCION],Insumo[VALOR],,0),"")</f>
        <v/>
      </c>
      <c r="F409" s="33"/>
      <c r="G409" s="34" t="str">
        <f>IFERROR(IF(F409&gt;=0,D409*E409*(1+F409/100),ABS(D409*E409/F409)),"")</f>
        <v/>
      </c>
      <c r="H409" s="43" t="str">
        <f>IFERROR(G409*E404,"")</f>
        <v/>
      </c>
    </row>
    <row r="410" spans="1:11">
      <c r="A410" s="28"/>
      <c r="B410" s="29"/>
      <c r="C410" s="30" t="str">
        <f>IFERROR(_xlfn.XLOOKUP(B410,Insumo[DESCRIPCION],Insumo[UND],,0),"")</f>
        <v/>
      </c>
      <c r="D410" s="31"/>
      <c r="E410" s="32" t="str">
        <f>IFERROR(_xlfn.XLOOKUP($B410,Insumo[DESCRIPCION],Insumo[VALOR],,0),"")</f>
        <v/>
      </c>
      <c r="F410" s="33"/>
      <c r="G410" s="34" t="str">
        <f>IFERROR(IF(F410&gt;=0,D410*E410*(1+F410/100),ABS(D410*E410/F410)),"")</f>
        <v/>
      </c>
      <c r="H410" s="43" t="str">
        <f>IFERROR(G410*E404,"")</f>
        <v/>
      </c>
    </row>
    <row r="411" spans="1:11">
      <c r="A411" s="28"/>
      <c r="B411" s="29"/>
      <c r="C411" s="30" t="str">
        <f>IFERROR(_xlfn.XLOOKUP(B411,Insumo[DESCRIPCION],Insumo[UND],,0),"")</f>
        <v/>
      </c>
      <c r="D411" s="31"/>
      <c r="E411" s="32" t="str">
        <f>IFERROR(_xlfn.XLOOKUP($B411,Insumo[DESCRIPCION],Insumo[VALOR],,0),"")</f>
        <v/>
      </c>
      <c r="F411" s="33"/>
      <c r="G411" s="34" t="str">
        <f>IFERROR(IF(F411&gt;=0,D411*E411*(1+F411/100),ABS(D411*E411/F411)),"")</f>
        <v/>
      </c>
      <c r="H411" s="43" t="str">
        <f>IFERROR(G411*E404,"")</f>
        <v/>
      </c>
    </row>
    <row r="412" spans="1:11">
      <c r="A412" s="21"/>
      <c r="B412" s="22" t="s">
        <v>3731</v>
      </c>
      <c r="C412" s="23"/>
      <c r="D412" s="24"/>
      <c r="E412" s="25"/>
      <c r="F412" s="26"/>
      <c r="G412" s="27">
        <f>SUM(G413:G415)</f>
        <v>3368.4723310178583</v>
      </c>
      <c r="H412" s="44">
        <f>G412*E404</f>
        <v>0</v>
      </c>
    </row>
    <row r="413" spans="1:11">
      <c r="A413" s="28"/>
      <c r="B413" s="29" t="s">
        <v>3573</v>
      </c>
      <c r="C413" s="30" t="str">
        <f>IFERROR(_xlfn.XLOOKUP(B413,Equipo[DESCRIPCION],Equipo[UND],,0),"")</f>
        <v>%MO</v>
      </c>
      <c r="D413" s="31">
        <v>0.1</v>
      </c>
      <c r="E413" s="32">
        <f>IF(C413="%MO",G419,IFERROR(_xlfn.XLOOKUP($B413,Equipo[DESCRIPCION],Equipo[VALOR],,0),""))</f>
        <v>22456.48220678572</v>
      </c>
      <c r="F413" s="33"/>
      <c r="G413" s="34">
        <f>IFERROR(IF(F413&gt;=0,D413*E413*(1+F413/100),ABS(D413*E413/F413)),"")</f>
        <v>2245.6482206785722</v>
      </c>
      <c r="H413" s="43">
        <f>IFERROR(G413*E404,"")</f>
        <v>0</v>
      </c>
    </row>
    <row r="414" spans="1:11">
      <c r="A414" s="28"/>
      <c r="B414" s="29" t="s">
        <v>3626</v>
      </c>
      <c r="C414" s="30" t="str">
        <f>IFERROR(_xlfn.XLOOKUP(B414,Equipo[DESCRIPCION],Equipo[UND],,0),"")</f>
        <v>%MO</v>
      </c>
      <c r="D414" s="31">
        <v>0.05</v>
      </c>
      <c r="E414" s="32">
        <f>IF(C414="%MO",G419,IFERROR(_xlfn.XLOOKUP($B414,Equipo[DESCRIPCION],Equipo[VALOR],,0),""))</f>
        <v>22456.48220678572</v>
      </c>
      <c r="F414" s="33"/>
      <c r="G414" s="34">
        <f>IFERROR(IF(F414&gt;=0,D414*E414*(1+F414/100),ABS(D414*E414/F414)),"")</f>
        <v>1122.8241103392861</v>
      </c>
      <c r="H414" s="43">
        <f>IFERROR(G414*E404,"")</f>
        <v>0</v>
      </c>
    </row>
    <row r="415" spans="1:11">
      <c r="A415" s="28"/>
      <c r="B415" s="29"/>
      <c r="C415" s="30" t="str">
        <f>IFERROR(_xlfn.XLOOKUP(B415,Equipo[DESCRIPCION],Equipo[UND],,0),"")</f>
        <v/>
      </c>
      <c r="D415" s="31"/>
      <c r="E415" s="32" t="str">
        <f>IF(C415="%MO",G419,IFERROR(_xlfn.XLOOKUP($B415,Equipo[DESCRIPCION],Equipo[VALOR],,0),""))</f>
        <v/>
      </c>
      <c r="F415" s="33"/>
      <c r="G415" s="34" t="str">
        <f>IFERROR(IF(F415&gt;=0,D415*E415*(1+F415/100),ABS(D415*E415/F415)),"")</f>
        <v/>
      </c>
      <c r="H415" s="43" t="str">
        <f>IFERROR(G415*E404,"")</f>
        <v/>
      </c>
    </row>
    <row r="416" spans="1:11">
      <c r="A416" s="21"/>
      <c r="B416" s="22" t="s">
        <v>2533</v>
      </c>
      <c r="C416" s="23"/>
      <c r="D416" s="24"/>
      <c r="E416" s="25"/>
      <c r="F416" s="26"/>
      <c r="G416" s="27">
        <f>SUM(G417:G418)</f>
        <v>0</v>
      </c>
      <c r="H416" s="138">
        <f>IFERROR(G416*E404,"")</f>
        <v>0</v>
      </c>
    </row>
    <row r="417" spans="1:11">
      <c r="A417" s="28"/>
      <c r="B417" s="29"/>
      <c r="C417" s="30" t="str">
        <f>IFERROR(_xlfn.XLOOKUP(B417,Transporte[DESCRIPCION],Transporte[UND],,0),"")</f>
        <v/>
      </c>
      <c r="D417" s="31"/>
      <c r="E417" s="32" t="str">
        <f>IFERROR(_xlfn.XLOOKUP($B417,Transporte[DESCRIPCION],Transporte[VALOR],,0),"")</f>
        <v/>
      </c>
      <c r="F417" s="33"/>
      <c r="G417" s="34" t="str">
        <f>IFERROR(IF(F417&gt;=0,D417*E417*(1+F417/100),ABS(D417*E417/F417)),"")</f>
        <v/>
      </c>
      <c r="H417" s="43" t="str">
        <f>IFERROR(G417*E404,"")</f>
        <v/>
      </c>
    </row>
    <row r="418" spans="1:11">
      <c r="A418" s="28"/>
      <c r="B418" s="29"/>
      <c r="C418" s="30" t="str">
        <f>IFERROR(_xlfn.XLOOKUP(B418,Transporte[DESCRIPCION],Transporte[UND],,0),"")</f>
        <v/>
      </c>
      <c r="D418" s="31"/>
      <c r="E418" s="32" t="str">
        <f>IFERROR(_xlfn.XLOOKUP($B418,Transporte[DESCRIPCION],Transporte[VALOR],,0),"")</f>
        <v/>
      </c>
      <c r="F418" s="33"/>
      <c r="G418" s="34" t="str">
        <f>IFERROR(IF(F418&gt;=0,D418*E418*(1+F418/100),ABS(D418*E418/F418)),"")</f>
        <v/>
      </c>
      <c r="H418" s="43" t="str">
        <f>IFERROR(G418*E404,"")</f>
        <v/>
      </c>
    </row>
    <row r="419" spans="1:11">
      <c r="A419" s="21"/>
      <c r="B419" s="22" t="s">
        <v>3732</v>
      </c>
      <c r="C419" s="23"/>
      <c r="D419" s="24"/>
      <c r="E419" s="25"/>
      <c r="F419" s="26"/>
      <c r="G419" s="27">
        <f>SUM(G420:G422)</f>
        <v>22456.48220678572</v>
      </c>
      <c r="H419" s="43">
        <f>IFERROR(G419*E404,"")</f>
        <v>0</v>
      </c>
    </row>
    <row r="420" spans="1:11">
      <c r="A420" s="28"/>
      <c r="B420" s="29" t="s">
        <v>3710</v>
      </c>
      <c r="C420" s="30" t="str">
        <f>IFERROR(_xlfn.XLOOKUP(B420,MObra[DESCRIPCION],MObra[UN],,0),"")</f>
        <v>día</v>
      </c>
      <c r="D420" s="31">
        <v>1</v>
      </c>
      <c r="E420" s="32">
        <f>IFERROR(_xlfn.XLOOKUP($B420,MObra[DESCRIPCION],MObra[VALOR UNIT],,0),"")</f>
        <v>314390.75089500006</v>
      </c>
      <c r="F420" s="33">
        <v>-14</v>
      </c>
      <c r="G420" s="34">
        <f>IFERROR(IF(F420&gt;=0,D420*E420*(1+F420/100),ABS(D420*E420/F420)),"")</f>
        <v>22456.48220678572</v>
      </c>
      <c r="H420" s="43">
        <f>IFERROR(G420*E404,"")</f>
        <v>0</v>
      </c>
    </row>
    <row r="421" spans="1:11">
      <c r="A421" s="28"/>
      <c r="B421" s="29"/>
      <c r="C421" s="30" t="str">
        <f>IFERROR(_xlfn.XLOOKUP(B421,MObra[DESCRIPCION],MObra[UN],,0),"")</f>
        <v/>
      </c>
      <c r="D421" s="31"/>
      <c r="E421" s="32" t="str">
        <f>IFERROR(_xlfn.XLOOKUP($B421,MObra[DESCRIPCION],MObra[VALOR UNIT],,0),"")</f>
        <v/>
      </c>
      <c r="F421" s="33"/>
      <c r="G421" s="34" t="str">
        <f>IFERROR(IF(F421&gt;=0,D421*E421*(1+F421/100),ABS(D421*E421/F421)),"")</f>
        <v/>
      </c>
      <c r="H421" s="43" t="str">
        <f>IFERROR(G421*E404,"")</f>
        <v/>
      </c>
    </row>
    <row r="422" spans="1:11">
      <c r="A422" s="35"/>
      <c r="B422" s="36"/>
      <c r="C422" s="37" t="str">
        <f>IFERROR(_xlfn.XLOOKUP(B422,MObra[DESCRIPCION],MObra[UN],,0),"")</f>
        <v/>
      </c>
      <c r="D422" s="38"/>
      <c r="E422" s="39" t="str">
        <f>IFERROR(_xlfn.XLOOKUP($B422,MObra[DESCRIPCION],MObra[VALOR UNIT],,0),"")</f>
        <v/>
      </c>
      <c r="F422" s="40"/>
      <c r="G422" s="41" t="str">
        <f>IFERROR(IF(F422&gt;=0,D422*E422*(1+F422/100),ABS(D422*E422/F422)),"")</f>
        <v/>
      </c>
      <c r="H422" s="42" t="str">
        <f>IFERROR(G422*E404,"")</f>
        <v/>
      </c>
    </row>
    <row r="424" spans="1:11">
      <c r="A424" s="6" t="s">
        <v>1410</v>
      </c>
      <c r="B424" s="7" t="str">
        <f>VLOOKUP($A424,Presupuesto!$A:$D,2,FALSE())</f>
        <v>Pintura vinilo 3 manos muros</v>
      </c>
      <c r="C424" s="8" t="str">
        <f>VLOOKUP($A424,Presupuesto!$A:$D,3,FALSE())</f>
        <v>M2</v>
      </c>
      <c r="D424" s="9"/>
      <c r="E424" s="10">
        <f>VLOOKUP($A424,Presupuesto!$A:$D,4,FALSE())</f>
        <v>0</v>
      </c>
      <c r="F424" s="11" t="s">
        <v>2589</v>
      </c>
      <c r="G424" s="12">
        <f>SUM(G426:G442)/2</f>
        <v>36496.127119367651</v>
      </c>
      <c r="H424" s="13">
        <f>ROUND(SUM(H426:H442),0)/2</f>
        <v>0</v>
      </c>
      <c r="I424" s="10">
        <f>VLOOKUP(A424,Presupuesto!$A:$F,6,0)</f>
        <v>0</v>
      </c>
      <c r="J424" s="10">
        <f>+H424-I424</f>
        <v>0</v>
      </c>
      <c r="K424" s="46">
        <f>+H424-G424*E424</f>
        <v>0</v>
      </c>
    </row>
    <row r="425" spans="1:11">
      <c r="A425" s="14"/>
      <c r="B425" s="15" t="s">
        <v>2586</v>
      </c>
      <c r="C425" s="15" t="s">
        <v>5</v>
      </c>
      <c r="D425" s="16" t="s">
        <v>6</v>
      </c>
      <c r="E425" s="17" t="s">
        <v>7</v>
      </c>
      <c r="F425" s="18" t="s">
        <v>3728</v>
      </c>
      <c r="G425" s="19" t="s">
        <v>3729</v>
      </c>
      <c r="H425" s="20" t="s">
        <v>3797</v>
      </c>
    </row>
    <row r="426" spans="1:11">
      <c r="A426" s="21"/>
      <c r="B426" s="22" t="s">
        <v>3730</v>
      </c>
      <c r="C426" s="23"/>
      <c r="D426" s="24"/>
      <c r="E426" s="25"/>
      <c r="F426" s="26"/>
      <c r="G426" s="27">
        <f>SUM(G427:G431)</f>
        <v>15228.5175</v>
      </c>
      <c r="H426" s="27">
        <f>IFERROR(G426*E424,"")</f>
        <v>0</v>
      </c>
    </row>
    <row r="427" spans="1:11">
      <c r="A427" s="28"/>
      <c r="B427" s="29" t="s">
        <v>3210</v>
      </c>
      <c r="C427" s="30" t="str">
        <f>IFERROR(_xlfn.XLOOKUP(B427,Insumo[DESCRIPCION],Insumo[UND],,0),"")</f>
        <v>galón</v>
      </c>
      <c r="D427" s="31">
        <v>0.15</v>
      </c>
      <c r="E427" s="32">
        <f>IFERROR(_xlfn.XLOOKUP($B427,Insumo[DESCRIPCION],Insumo[VALOR],,0),"")</f>
        <v>98105.7</v>
      </c>
      <c r="F427" s="33"/>
      <c r="G427" s="34">
        <f>IFERROR(IF(F427&gt;=0,D427*E427*(1+F427/100),ABS(D427*E427/F427)),"")</f>
        <v>14715.855</v>
      </c>
      <c r="H427" s="43">
        <f>IFERROR(G427*E424,"")</f>
        <v>0</v>
      </c>
    </row>
    <row r="428" spans="1:11">
      <c r="A428" s="28"/>
      <c r="B428" s="29" t="s">
        <v>3043</v>
      </c>
      <c r="C428" s="30" t="str">
        <f>IFERROR(_xlfn.XLOOKUP(B428,Insumo[DESCRIPCION],Insumo[UND],,0),"")</f>
        <v>Un</v>
      </c>
      <c r="D428" s="31">
        <v>0.25</v>
      </c>
      <c r="E428" s="32">
        <f>IFERROR(_xlfn.XLOOKUP($B428,Insumo[DESCRIPCION],Insumo[VALOR],,0),"")</f>
        <v>2050.65</v>
      </c>
      <c r="F428" s="33"/>
      <c r="G428" s="34">
        <f>IFERROR(IF(F428&gt;=0,D428*E428*(1+F428/100),ABS(D428*E428/F428)),"")</f>
        <v>512.66250000000002</v>
      </c>
      <c r="H428" s="43">
        <f>IFERROR(G428*E424,"")</f>
        <v>0</v>
      </c>
    </row>
    <row r="429" spans="1:11">
      <c r="A429" s="28"/>
      <c r="B429" s="29"/>
      <c r="C429" s="30" t="str">
        <f>IFERROR(_xlfn.XLOOKUP(B429,Insumo[DESCRIPCION],Insumo[UND],,0),"")</f>
        <v/>
      </c>
      <c r="D429" s="31"/>
      <c r="E429" s="32" t="str">
        <f>IFERROR(_xlfn.XLOOKUP($B429,Insumo[DESCRIPCION],Insumo[VALOR],,0),"")</f>
        <v/>
      </c>
      <c r="F429" s="33"/>
      <c r="G429" s="34" t="str">
        <f>IFERROR(IF(F429&gt;=0,D429*E429*(1+F429/100),ABS(D429*E429/F429)),"")</f>
        <v/>
      </c>
      <c r="H429" s="43" t="str">
        <f>IFERROR(G429*E424,"")</f>
        <v/>
      </c>
    </row>
    <row r="430" spans="1:11">
      <c r="A430" s="28"/>
      <c r="B430" s="29"/>
      <c r="C430" s="30" t="str">
        <f>IFERROR(_xlfn.XLOOKUP(B430,Insumo[DESCRIPCION],Insumo[UND],,0),"")</f>
        <v/>
      </c>
      <c r="D430" s="31"/>
      <c r="E430" s="32" t="str">
        <f>IFERROR(_xlfn.XLOOKUP($B430,Insumo[DESCRIPCION],Insumo[VALOR],,0),"")</f>
        <v/>
      </c>
      <c r="F430" s="33"/>
      <c r="G430" s="34" t="str">
        <f>IFERROR(IF(F430&gt;=0,D430*E430*(1+F430/100),ABS(D430*E430/F430)),"")</f>
        <v/>
      </c>
      <c r="H430" s="43" t="str">
        <f>IFERROR(G430*E424,"")</f>
        <v/>
      </c>
    </row>
    <row r="431" spans="1:11">
      <c r="A431" s="28"/>
      <c r="B431" s="29"/>
      <c r="C431" s="30" t="str">
        <f>IFERROR(_xlfn.XLOOKUP(B431,Insumo[DESCRIPCION],Insumo[UND],,0),"")</f>
        <v/>
      </c>
      <c r="D431" s="31"/>
      <c r="E431" s="32" t="str">
        <f>IFERROR(_xlfn.XLOOKUP($B431,Insumo[DESCRIPCION],Insumo[VALOR],,0),"")</f>
        <v/>
      </c>
      <c r="F431" s="33"/>
      <c r="G431" s="34" t="str">
        <f>IFERROR(IF(F431&gt;=0,D431*E431*(1+F431/100),ABS(D431*E431/F431)),"")</f>
        <v/>
      </c>
      <c r="H431" s="43" t="str">
        <f>IFERROR(G431*E424,"")</f>
        <v/>
      </c>
    </row>
    <row r="432" spans="1:11">
      <c r="A432" s="21"/>
      <c r="B432" s="22" t="s">
        <v>3731</v>
      </c>
      <c r="C432" s="23"/>
      <c r="D432" s="24"/>
      <c r="E432" s="25"/>
      <c r="F432" s="26"/>
      <c r="G432" s="27">
        <f>SUM(G433:G435)</f>
        <v>2774.0360373088242</v>
      </c>
      <c r="H432" s="44">
        <f>G432*E424</f>
        <v>0</v>
      </c>
    </row>
    <row r="433" spans="1:11">
      <c r="A433" s="28"/>
      <c r="B433" s="29" t="s">
        <v>3573</v>
      </c>
      <c r="C433" s="30" t="str">
        <f>IFERROR(_xlfn.XLOOKUP(B433,Equipo[DESCRIPCION],Equipo[UND],,0),"")</f>
        <v>%MO</v>
      </c>
      <c r="D433" s="31">
        <v>0.1</v>
      </c>
      <c r="E433" s="32">
        <f>IF(C433="%MO",G439,IFERROR(_xlfn.XLOOKUP($B433,Equipo[DESCRIPCION],Equipo[VALOR],,0),""))</f>
        <v>18493.573582058827</v>
      </c>
      <c r="F433" s="33"/>
      <c r="G433" s="34">
        <f>IFERROR(IF(F433&gt;=0,D433*E433*(1+F433/100),ABS(D433*E433/F433)),"")</f>
        <v>1849.3573582058827</v>
      </c>
      <c r="H433" s="43">
        <f>IFERROR(G433*E424,"")</f>
        <v>0</v>
      </c>
    </row>
    <row r="434" spans="1:11">
      <c r="A434" s="28"/>
      <c r="B434" s="29" t="s">
        <v>3626</v>
      </c>
      <c r="C434" s="30" t="str">
        <f>IFERROR(_xlfn.XLOOKUP(B434,Equipo[DESCRIPCION],Equipo[UND],,0),"")</f>
        <v>%MO</v>
      </c>
      <c r="D434" s="31">
        <v>0.05</v>
      </c>
      <c r="E434" s="32">
        <f>IF(C434="%MO",G439,IFERROR(_xlfn.XLOOKUP($B434,Equipo[DESCRIPCION],Equipo[VALOR],,0),""))</f>
        <v>18493.573582058827</v>
      </c>
      <c r="F434" s="33"/>
      <c r="G434" s="34">
        <f>IFERROR(IF(F434&gt;=0,D434*E434*(1+F434/100),ABS(D434*E434/F434)),"")</f>
        <v>924.67867910294137</v>
      </c>
      <c r="H434" s="43">
        <f>IFERROR(G434*E424,"")</f>
        <v>0</v>
      </c>
    </row>
    <row r="435" spans="1:11">
      <c r="A435" s="28"/>
      <c r="B435" s="29"/>
      <c r="C435" s="30" t="str">
        <f>IFERROR(_xlfn.XLOOKUP(B435,Equipo[DESCRIPCION],Equipo[UND],,0),"")</f>
        <v/>
      </c>
      <c r="D435" s="31"/>
      <c r="E435" s="32" t="str">
        <f>IF(C435="%MO",G439,IFERROR(_xlfn.XLOOKUP($B435,Equipo[DESCRIPCION],Equipo[VALOR],,0),""))</f>
        <v/>
      </c>
      <c r="F435" s="33"/>
      <c r="G435" s="34" t="str">
        <f>IFERROR(IF(F435&gt;=0,D435*E435*(1+F435/100),ABS(D435*E435/F435)),"")</f>
        <v/>
      </c>
      <c r="H435" s="43" t="str">
        <f>IFERROR(G435*E424,"")</f>
        <v/>
      </c>
    </row>
    <row r="436" spans="1:11">
      <c r="A436" s="21"/>
      <c r="B436" s="22" t="s">
        <v>2533</v>
      </c>
      <c r="C436" s="23"/>
      <c r="D436" s="24"/>
      <c r="E436" s="25"/>
      <c r="F436" s="26"/>
      <c r="G436" s="27">
        <f>SUM(G437:G438)</f>
        <v>0</v>
      </c>
      <c r="H436" s="138">
        <f>IFERROR(G436*E424,"")</f>
        <v>0</v>
      </c>
    </row>
    <row r="437" spans="1:11">
      <c r="A437" s="28"/>
      <c r="B437" s="29"/>
      <c r="C437" s="30" t="str">
        <f>IFERROR(_xlfn.XLOOKUP(B437,Transporte[DESCRIPCION],Transporte[UND],,0),"")</f>
        <v/>
      </c>
      <c r="D437" s="31"/>
      <c r="E437" s="32" t="str">
        <f>IFERROR(_xlfn.XLOOKUP($B437,Transporte[DESCRIPCION],Transporte[VALOR],,0),"")</f>
        <v/>
      </c>
      <c r="F437" s="33"/>
      <c r="G437" s="34" t="str">
        <f>IFERROR(IF(F437&gt;=0,D437*E437*(1+F437/100),ABS(D437*E437/F437)),"")</f>
        <v/>
      </c>
      <c r="H437" s="43" t="str">
        <f>IFERROR(G437*E424,"")</f>
        <v/>
      </c>
    </row>
    <row r="438" spans="1:11">
      <c r="A438" s="28"/>
      <c r="B438" s="29"/>
      <c r="C438" s="30" t="str">
        <f>IFERROR(_xlfn.XLOOKUP(B438,Transporte[DESCRIPCION],Transporte[UND],,0),"")</f>
        <v/>
      </c>
      <c r="D438" s="31"/>
      <c r="E438" s="32" t="str">
        <f>IFERROR(_xlfn.XLOOKUP($B438,Transporte[DESCRIPCION],Transporte[VALOR],,0),"")</f>
        <v/>
      </c>
      <c r="F438" s="33"/>
      <c r="G438" s="34" t="str">
        <f>IFERROR(IF(F438&gt;=0,D438*E438*(1+F438/100),ABS(D438*E438/F438)),"")</f>
        <v/>
      </c>
      <c r="H438" s="43" t="str">
        <f>IFERROR(G438*E424,"")</f>
        <v/>
      </c>
    </row>
    <row r="439" spans="1:11">
      <c r="A439" s="21"/>
      <c r="B439" s="22" t="s">
        <v>3732</v>
      </c>
      <c r="C439" s="23"/>
      <c r="D439" s="24"/>
      <c r="E439" s="25"/>
      <c r="F439" s="26"/>
      <c r="G439" s="27">
        <f>SUM(G440:G442)</f>
        <v>18493.573582058827</v>
      </c>
      <c r="H439" s="43">
        <f>IFERROR(G439*E424,"")</f>
        <v>0</v>
      </c>
    </row>
    <row r="440" spans="1:11">
      <c r="A440" s="28"/>
      <c r="B440" s="29" t="s">
        <v>3710</v>
      </c>
      <c r="C440" s="30" t="str">
        <f>IFERROR(_xlfn.XLOOKUP(B440,MObra[DESCRIPCION],MObra[UN],,0),"")</f>
        <v>día</v>
      </c>
      <c r="D440" s="31">
        <v>1</v>
      </c>
      <c r="E440" s="32">
        <f>IFERROR(_xlfn.XLOOKUP($B440,MObra[DESCRIPCION],MObra[VALOR UNIT],,0),"")</f>
        <v>314390.75089500006</v>
      </c>
      <c r="F440" s="33">
        <v>-17</v>
      </c>
      <c r="G440" s="34">
        <f>IFERROR(IF(F440&gt;=0,D440*E440*(1+F440/100),ABS(D440*E440/F440)),"")</f>
        <v>18493.573582058827</v>
      </c>
      <c r="H440" s="43">
        <f>IFERROR(G440*E424,"")</f>
        <v>0</v>
      </c>
    </row>
    <row r="441" spans="1:11">
      <c r="A441" s="28"/>
      <c r="B441" s="29"/>
      <c r="C441" s="30" t="str">
        <f>IFERROR(_xlfn.XLOOKUP(B441,MObra[DESCRIPCION],MObra[UN],,0),"")</f>
        <v/>
      </c>
      <c r="D441" s="31"/>
      <c r="E441" s="32" t="str">
        <f>IFERROR(_xlfn.XLOOKUP($B441,MObra[DESCRIPCION],MObra[VALOR UNIT],,0),"")</f>
        <v/>
      </c>
      <c r="F441" s="33"/>
      <c r="G441" s="34" t="str">
        <f>IFERROR(IF(F441&gt;=0,D441*E441*(1+F441/100),ABS(D441*E441/F441)),"")</f>
        <v/>
      </c>
      <c r="H441" s="43" t="str">
        <f>IFERROR(G441*E424,"")</f>
        <v/>
      </c>
    </row>
    <row r="442" spans="1:11">
      <c r="A442" s="35"/>
      <c r="B442" s="36"/>
      <c r="C442" s="37" t="str">
        <f>IFERROR(_xlfn.XLOOKUP(B442,MObra[DESCRIPCION],MObra[UN],,0),"")</f>
        <v/>
      </c>
      <c r="D442" s="38"/>
      <c r="E442" s="39" t="str">
        <f>IFERROR(_xlfn.XLOOKUP($B442,MObra[DESCRIPCION],MObra[VALOR UNIT],,0),"")</f>
        <v/>
      </c>
      <c r="F442" s="40"/>
      <c r="G442" s="41" t="str">
        <f>IFERROR(IF(F442&gt;=0,D442*E442*(1+F442/100),ABS(D442*E442/F442)),"")</f>
        <v/>
      </c>
      <c r="H442" s="42" t="str">
        <f>IFERROR(G442*E424,"")</f>
        <v/>
      </c>
    </row>
    <row r="444" spans="1:11">
      <c r="A444" s="6" t="s">
        <v>1412</v>
      </c>
      <c r="B444" s="7" t="str">
        <f>VLOOKUP($A444,Presupuesto!$A:$D,2,FALSE())</f>
        <v>Pintura vinilo tablero madera 2 manos</v>
      </c>
      <c r="C444" s="8" t="str">
        <f>VLOOKUP($A444,Presupuesto!$A:$D,3,FALSE())</f>
        <v>M2</v>
      </c>
      <c r="D444" s="9"/>
      <c r="E444" s="10">
        <f>VLOOKUP($A444,Presupuesto!$A:$D,4,FALSE())</f>
        <v>0</v>
      </c>
      <c r="F444" s="11" t="s">
        <v>2589</v>
      </c>
      <c r="G444" s="12">
        <f>SUM(G446:G462)/2</f>
        <v>36845.147119367655</v>
      </c>
      <c r="H444" s="13">
        <f>ROUND(SUM(H446:H462),0)/2</f>
        <v>0</v>
      </c>
      <c r="I444" s="10">
        <f>VLOOKUP(A444,Presupuesto!$A:$F,6,0)</f>
        <v>0</v>
      </c>
      <c r="J444" s="10">
        <f>+H444-I444</f>
        <v>0</v>
      </c>
      <c r="K444" s="46">
        <f>+H444-G444*E444</f>
        <v>0</v>
      </c>
    </row>
    <row r="445" spans="1:11">
      <c r="A445" s="14"/>
      <c r="B445" s="15" t="s">
        <v>2586</v>
      </c>
      <c r="C445" s="15" t="s">
        <v>5</v>
      </c>
      <c r="D445" s="16" t="s">
        <v>6</v>
      </c>
      <c r="E445" s="17" t="s">
        <v>7</v>
      </c>
      <c r="F445" s="18" t="s">
        <v>3728</v>
      </c>
      <c r="G445" s="19" t="s">
        <v>3729</v>
      </c>
      <c r="H445" s="20" t="s">
        <v>3797</v>
      </c>
    </row>
    <row r="446" spans="1:11">
      <c r="A446" s="21"/>
      <c r="B446" s="22" t="s">
        <v>3730</v>
      </c>
      <c r="C446" s="23"/>
      <c r="D446" s="24"/>
      <c r="E446" s="25"/>
      <c r="F446" s="26"/>
      <c r="G446" s="27">
        <f>SUM(G447:G451)</f>
        <v>15577.537499999999</v>
      </c>
      <c r="H446" s="27">
        <f>IFERROR(G446*E444,"")</f>
        <v>0</v>
      </c>
    </row>
    <row r="447" spans="1:11">
      <c r="A447" s="28"/>
      <c r="B447" s="29" t="s">
        <v>3209</v>
      </c>
      <c r="C447" s="30" t="str">
        <f>IFERROR(_xlfn.XLOOKUP(B447,Insumo[DESCRIPCION],Insumo[UND],,0),"")</f>
        <v>galón</v>
      </c>
      <c r="D447" s="31">
        <v>0.15</v>
      </c>
      <c r="E447" s="32">
        <f>IFERROR(_xlfn.XLOOKUP($B447,Insumo[DESCRIPCION],Insumo[VALOR],,0),"")</f>
        <v>99748.95</v>
      </c>
      <c r="F447" s="33"/>
      <c r="G447" s="34">
        <f>IFERROR(IF(F447&gt;=0,D447*E447*(1+F447/100),ABS(D447*E447/F447)),"")</f>
        <v>14962.342499999999</v>
      </c>
      <c r="H447" s="43">
        <f>IFERROR(G447*E444,"")</f>
        <v>0</v>
      </c>
    </row>
    <row r="448" spans="1:11">
      <c r="A448" s="28"/>
      <c r="B448" s="29" t="s">
        <v>3043</v>
      </c>
      <c r="C448" s="30" t="str">
        <f>IFERROR(_xlfn.XLOOKUP(B448,Insumo[DESCRIPCION],Insumo[UND],,0),"")</f>
        <v>Un</v>
      </c>
      <c r="D448" s="31">
        <v>0.3</v>
      </c>
      <c r="E448" s="32">
        <f>IFERROR(_xlfn.XLOOKUP($B448,Insumo[DESCRIPCION],Insumo[VALOR],,0),"")</f>
        <v>2050.65</v>
      </c>
      <c r="F448" s="33"/>
      <c r="G448" s="34">
        <f>IFERROR(IF(F448&gt;=0,D448*E448*(1+F448/100),ABS(D448*E448/F448)),"")</f>
        <v>615.19500000000005</v>
      </c>
      <c r="H448" s="43">
        <f>IFERROR(G448*E444,"")</f>
        <v>0</v>
      </c>
    </row>
    <row r="449" spans="1:11">
      <c r="A449" s="28"/>
      <c r="B449" s="29"/>
      <c r="C449" s="30" t="str">
        <f>IFERROR(_xlfn.XLOOKUP(B449,Insumo[DESCRIPCION],Insumo[UND],,0),"")</f>
        <v/>
      </c>
      <c r="D449" s="31"/>
      <c r="E449" s="32" t="str">
        <f>IFERROR(_xlfn.XLOOKUP($B449,Insumo[DESCRIPCION],Insumo[VALOR],,0),"")</f>
        <v/>
      </c>
      <c r="F449" s="33"/>
      <c r="G449" s="34" t="str">
        <f>IFERROR(IF(F449&gt;=0,D449*E449*(1+F449/100),ABS(D449*E449/F449)),"")</f>
        <v/>
      </c>
      <c r="H449" s="43" t="str">
        <f>IFERROR(G449*E444,"")</f>
        <v/>
      </c>
    </row>
    <row r="450" spans="1:11">
      <c r="A450" s="28"/>
      <c r="B450" s="29"/>
      <c r="C450" s="30" t="str">
        <f>IFERROR(_xlfn.XLOOKUP(B450,Insumo[DESCRIPCION],Insumo[UND],,0),"")</f>
        <v/>
      </c>
      <c r="D450" s="31"/>
      <c r="E450" s="32" t="str">
        <f>IFERROR(_xlfn.XLOOKUP($B450,Insumo[DESCRIPCION],Insumo[VALOR],,0),"")</f>
        <v/>
      </c>
      <c r="F450" s="33"/>
      <c r="G450" s="34" t="str">
        <f>IFERROR(IF(F450&gt;=0,D450*E450*(1+F450/100),ABS(D450*E450/F450)),"")</f>
        <v/>
      </c>
      <c r="H450" s="43" t="str">
        <f>IFERROR(G450*E444,"")</f>
        <v/>
      </c>
    </row>
    <row r="451" spans="1:11">
      <c r="A451" s="28"/>
      <c r="B451" s="29"/>
      <c r="C451" s="30" t="str">
        <f>IFERROR(_xlfn.XLOOKUP(B451,Insumo[DESCRIPCION],Insumo[UND],,0),"")</f>
        <v/>
      </c>
      <c r="D451" s="31"/>
      <c r="E451" s="32" t="str">
        <f>IFERROR(_xlfn.XLOOKUP($B451,Insumo[DESCRIPCION],Insumo[VALOR],,0),"")</f>
        <v/>
      </c>
      <c r="F451" s="33"/>
      <c r="G451" s="34" t="str">
        <f>IFERROR(IF(F451&gt;=0,D451*E451*(1+F451/100),ABS(D451*E451/F451)),"")</f>
        <v/>
      </c>
      <c r="H451" s="43" t="str">
        <f>IFERROR(G451*E444,"")</f>
        <v/>
      </c>
    </row>
    <row r="452" spans="1:11">
      <c r="A452" s="21"/>
      <c r="B452" s="22" t="s">
        <v>3731</v>
      </c>
      <c r="C452" s="23"/>
      <c r="D452" s="24"/>
      <c r="E452" s="25"/>
      <c r="F452" s="26"/>
      <c r="G452" s="27">
        <f>SUM(G453:G455)</f>
        <v>2774.0360373088242</v>
      </c>
      <c r="H452" s="44">
        <f>G452*E444</f>
        <v>0</v>
      </c>
    </row>
    <row r="453" spans="1:11">
      <c r="A453" s="28"/>
      <c r="B453" s="29" t="s">
        <v>3573</v>
      </c>
      <c r="C453" s="30" t="str">
        <f>IFERROR(_xlfn.XLOOKUP(B453,Equipo[DESCRIPCION],Equipo[UND],,0),"")</f>
        <v>%MO</v>
      </c>
      <c r="D453" s="31">
        <v>0.1</v>
      </c>
      <c r="E453" s="32">
        <f>IF(C453="%MO",G459,IFERROR(_xlfn.XLOOKUP($B453,Equipo[DESCRIPCION],Equipo[VALOR],,0),""))</f>
        <v>18493.573582058827</v>
      </c>
      <c r="F453" s="33"/>
      <c r="G453" s="34">
        <f>IFERROR(IF(F453&gt;=0,D453*E453*(1+F453/100),ABS(D453*E453/F453)),"")</f>
        <v>1849.3573582058827</v>
      </c>
      <c r="H453" s="43">
        <f>IFERROR(G453*E444,"")</f>
        <v>0</v>
      </c>
    </row>
    <row r="454" spans="1:11">
      <c r="A454" s="28"/>
      <c r="B454" s="29" t="s">
        <v>3626</v>
      </c>
      <c r="C454" s="30" t="str">
        <f>IFERROR(_xlfn.XLOOKUP(B454,Equipo[DESCRIPCION],Equipo[UND],,0),"")</f>
        <v>%MO</v>
      </c>
      <c r="D454" s="31">
        <v>0.05</v>
      </c>
      <c r="E454" s="32">
        <f>IF(C454="%MO",G459,IFERROR(_xlfn.XLOOKUP($B454,Equipo[DESCRIPCION],Equipo[VALOR],,0),""))</f>
        <v>18493.573582058827</v>
      </c>
      <c r="F454" s="33"/>
      <c r="G454" s="34">
        <f>IFERROR(IF(F454&gt;=0,D454*E454*(1+F454/100),ABS(D454*E454/F454)),"")</f>
        <v>924.67867910294137</v>
      </c>
      <c r="H454" s="43">
        <f>IFERROR(G454*E444,"")</f>
        <v>0</v>
      </c>
    </row>
    <row r="455" spans="1:11">
      <c r="A455" s="28"/>
      <c r="B455" s="29"/>
      <c r="C455" s="30" t="str">
        <f>IFERROR(_xlfn.XLOOKUP(B455,Equipo[DESCRIPCION],Equipo[UND],,0),"")</f>
        <v/>
      </c>
      <c r="D455" s="31"/>
      <c r="E455" s="32" t="str">
        <f>IF(C455="%MO",G459,IFERROR(_xlfn.XLOOKUP($B455,Equipo[DESCRIPCION],Equipo[VALOR],,0),""))</f>
        <v/>
      </c>
      <c r="F455" s="33"/>
      <c r="G455" s="34" t="str">
        <f>IFERROR(IF(F455&gt;=0,D455*E455*(1+F455/100),ABS(D455*E455/F455)),"")</f>
        <v/>
      </c>
      <c r="H455" s="43" t="str">
        <f>IFERROR(G455*E444,"")</f>
        <v/>
      </c>
    </row>
    <row r="456" spans="1:11">
      <c r="A456" s="21"/>
      <c r="B456" s="22" t="s">
        <v>2533</v>
      </c>
      <c r="C456" s="23"/>
      <c r="D456" s="24"/>
      <c r="E456" s="25"/>
      <c r="F456" s="26"/>
      <c r="G456" s="27">
        <f>SUM(G457:G458)</f>
        <v>0</v>
      </c>
      <c r="H456" s="138">
        <f>IFERROR(G456*E444,"")</f>
        <v>0</v>
      </c>
    </row>
    <row r="457" spans="1:11">
      <c r="A457" s="28"/>
      <c r="B457" s="29"/>
      <c r="C457" s="30" t="str">
        <f>IFERROR(_xlfn.XLOOKUP(B457,Transporte[DESCRIPCION],Transporte[UND],,0),"")</f>
        <v/>
      </c>
      <c r="D457" s="31"/>
      <c r="E457" s="32" t="str">
        <f>IFERROR(_xlfn.XLOOKUP($B457,Transporte[DESCRIPCION],Transporte[VALOR],,0),"")</f>
        <v/>
      </c>
      <c r="F457" s="33"/>
      <c r="G457" s="34" t="str">
        <f>IFERROR(IF(F457&gt;=0,D457*E457*(1+F457/100),ABS(D457*E457/F457)),"")</f>
        <v/>
      </c>
      <c r="H457" s="43" t="str">
        <f>IFERROR(G457*E444,"")</f>
        <v/>
      </c>
    </row>
    <row r="458" spans="1:11">
      <c r="A458" s="28"/>
      <c r="B458" s="29"/>
      <c r="C458" s="30" t="str">
        <f>IFERROR(_xlfn.XLOOKUP(B458,Transporte[DESCRIPCION],Transporte[UND],,0),"")</f>
        <v/>
      </c>
      <c r="D458" s="31"/>
      <c r="E458" s="32" t="str">
        <f>IFERROR(_xlfn.XLOOKUP($B458,Transporte[DESCRIPCION],Transporte[VALOR],,0),"")</f>
        <v/>
      </c>
      <c r="F458" s="33"/>
      <c r="G458" s="34" t="str">
        <f>IFERROR(IF(F458&gt;=0,D458*E458*(1+F458/100),ABS(D458*E458/F458)),"")</f>
        <v/>
      </c>
      <c r="H458" s="43" t="str">
        <f>IFERROR(G458*E444,"")</f>
        <v/>
      </c>
    </row>
    <row r="459" spans="1:11">
      <c r="A459" s="21"/>
      <c r="B459" s="22" t="s">
        <v>3732</v>
      </c>
      <c r="C459" s="23"/>
      <c r="D459" s="24"/>
      <c r="E459" s="25"/>
      <c r="F459" s="26"/>
      <c r="G459" s="27">
        <f>SUM(G460:G462)</f>
        <v>18493.573582058827</v>
      </c>
      <c r="H459" s="43">
        <f>IFERROR(G459*E444,"")</f>
        <v>0</v>
      </c>
    </row>
    <row r="460" spans="1:11">
      <c r="A460" s="28"/>
      <c r="B460" s="29" t="s">
        <v>3710</v>
      </c>
      <c r="C460" s="30" t="str">
        <f>IFERROR(_xlfn.XLOOKUP(B460,MObra[DESCRIPCION],MObra[UN],,0),"")</f>
        <v>día</v>
      </c>
      <c r="D460" s="31">
        <v>1</v>
      </c>
      <c r="E460" s="32">
        <f>IFERROR(_xlfn.XLOOKUP($B460,MObra[DESCRIPCION],MObra[VALOR UNIT],,0),"")</f>
        <v>314390.75089500006</v>
      </c>
      <c r="F460" s="33">
        <v>-17</v>
      </c>
      <c r="G460" s="34">
        <f>IFERROR(IF(F460&gt;=0,D460*E460*(1+F460/100),ABS(D460*E460/F460)),"")</f>
        <v>18493.573582058827</v>
      </c>
      <c r="H460" s="43">
        <f>IFERROR(G460*E444,"")</f>
        <v>0</v>
      </c>
    </row>
    <row r="461" spans="1:11">
      <c r="A461" s="28"/>
      <c r="B461" s="29"/>
      <c r="C461" s="30" t="str">
        <f>IFERROR(_xlfn.XLOOKUP(B461,MObra[DESCRIPCION],MObra[UN],,0),"")</f>
        <v/>
      </c>
      <c r="D461" s="31"/>
      <c r="E461" s="32" t="str">
        <f>IFERROR(_xlfn.XLOOKUP($B461,MObra[DESCRIPCION],MObra[VALOR UNIT],,0),"")</f>
        <v/>
      </c>
      <c r="F461" s="33"/>
      <c r="G461" s="34" t="str">
        <f>IFERROR(IF(F461&gt;=0,D461*E461*(1+F461/100),ABS(D461*E461/F461)),"")</f>
        <v/>
      </c>
      <c r="H461" s="43" t="str">
        <f>IFERROR(G461*E444,"")</f>
        <v/>
      </c>
    </row>
    <row r="462" spans="1:11">
      <c r="A462" s="35"/>
      <c r="B462" s="36"/>
      <c r="C462" s="37" t="str">
        <f>IFERROR(_xlfn.XLOOKUP(B462,MObra[DESCRIPCION],MObra[UN],,0),"")</f>
        <v/>
      </c>
      <c r="D462" s="38"/>
      <c r="E462" s="39" t="str">
        <f>IFERROR(_xlfn.XLOOKUP($B462,MObra[DESCRIPCION],MObra[VALOR UNIT],,0),"")</f>
        <v/>
      </c>
      <c r="F462" s="40"/>
      <c r="G462" s="41" t="str">
        <f>IFERROR(IF(F462&gt;=0,D462*E462*(1+F462/100),ABS(D462*E462/F462)),"")</f>
        <v/>
      </c>
      <c r="H462" s="42" t="str">
        <f>IFERROR(G462*E444,"")</f>
        <v/>
      </c>
    </row>
    <row r="464" spans="1:11">
      <c r="A464" s="6" t="s">
        <v>1414</v>
      </c>
      <c r="B464" s="7" t="str">
        <f>VLOOKUP($A464,Presupuesto!$A:$D,2,FALSE())</f>
        <v>Pintura zócalos esmalte</v>
      </c>
      <c r="C464" s="8" t="str">
        <f>VLOOKUP($A464,Presupuesto!$A:$D,3,FALSE())</f>
        <v>M2</v>
      </c>
      <c r="D464" s="9"/>
      <c r="E464" s="10">
        <f>VLOOKUP($A464,Presupuesto!$A:$D,4,FALSE())</f>
        <v>0</v>
      </c>
      <c r="F464" s="11" t="s">
        <v>2589</v>
      </c>
      <c r="G464" s="12">
        <f>SUM(G466:G482)/2</f>
        <v>17034.957210993754</v>
      </c>
      <c r="H464" s="13">
        <f>ROUND(SUM(H466:H482),0)/2</f>
        <v>0</v>
      </c>
      <c r="I464" s="10">
        <f>VLOOKUP(A464,Presupuesto!$A:$F,6,0)</f>
        <v>0</v>
      </c>
      <c r="J464" s="10">
        <f>+H464-I464</f>
        <v>0</v>
      </c>
      <c r="K464" s="46">
        <f>+H464-G464*E464</f>
        <v>0</v>
      </c>
    </row>
    <row r="465" spans="1:8">
      <c r="A465" s="14"/>
      <c r="B465" s="15" t="s">
        <v>2586</v>
      </c>
      <c r="C465" s="15" t="s">
        <v>5</v>
      </c>
      <c r="D465" s="16" t="s">
        <v>6</v>
      </c>
      <c r="E465" s="17" t="s">
        <v>7</v>
      </c>
      <c r="F465" s="18" t="s">
        <v>3728</v>
      </c>
      <c r="G465" s="19" t="s">
        <v>3729</v>
      </c>
      <c r="H465" s="20" t="s">
        <v>3797</v>
      </c>
    </row>
    <row r="466" spans="1:8">
      <c r="A466" s="21"/>
      <c r="B466" s="22" t="s">
        <v>3730</v>
      </c>
      <c r="C466" s="23"/>
      <c r="D466" s="24"/>
      <c r="E466" s="25"/>
      <c r="F466" s="26"/>
      <c r="G466" s="27">
        <f>SUM(G467:G471)</f>
        <v>8782.2000000000007</v>
      </c>
      <c r="H466" s="27">
        <f>IFERROR(G466*E464,"")</f>
        <v>0</v>
      </c>
    </row>
    <row r="467" spans="1:8">
      <c r="A467" s="28"/>
      <c r="B467" s="29" t="s">
        <v>2925</v>
      </c>
      <c r="C467" s="30" t="str">
        <f>IFERROR(_xlfn.XLOOKUP(B467,Insumo[DESCRIPCION],Insumo[UND],,0),"")</f>
        <v>Lt</v>
      </c>
      <c r="D467" s="31">
        <v>0.08</v>
      </c>
      <c r="E467" s="32">
        <f>IFERROR(_xlfn.XLOOKUP($B467,Insumo[DESCRIPCION],Insumo[VALOR],,0),"")</f>
        <v>28923.300000000003</v>
      </c>
      <c r="F467" s="33"/>
      <c r="G467" s="34">
        <f>IFERROR(IF(F467&gt;=0,D467*E467*(1+F467/100),ABS(D467*E467/F467)),"")</f>
        <v>2313.8640000000005</v>
      </c>
      <c r="H467" s="43">
        <f>IFERROR(G467*E464,"")</f>
        <v>0</v>
      </c>
    </row>
    <row r="468" spans="1:8">
      <c r="A468" s="28"/>
      <c r="B468" s="29" t="s">
        <v>3204</v>
      </c>
      <c r="C468" s="30" t="str">
        <f>IFERROR(_xlfn.XLOOKUP(B468,Insumo[DESCRIPCION],Insumo[UND],,0),"")</f>
        <v>galón</v>
      </c>
      <c r="D468" s="31">
        <v>0.06</v>
      </c>
      <c r="E468" s="32">
        <f>IFERROR(_xlfn.XLOOKUP($B468,Insumo[DESCRIPCION],Insumo[VALOR],,0),"")</f>
        <v>107805.6</v>
      </c>
      <c r="F468" s="33"/>
      <c r="G468" s="34">
        <f>IFERROR(IF(F468&gt;=0,D468*E468*(1+F468/100),ABS(D468*E468/F468)),"")</f>
        <v>6468.3360000000002</v>
      </c>
      <c r="H468" s="43">
        <f>IFERROR(G468*E464,"")</f>
        <v>0</v>
      </c>
    </row>
    <row r="469" spans="1:8">
      <c r="A469" s="28"/>
      <c r="B469" s="29"/>
      <c r="C469" s="30" t="str">
        <f>IFERROR(_xlfn.XLOOKUP(B469,Insumo[DESCRIPCION],Insumo[UND],,0),"")</f>
        <v/>
      </c>
      <c r="D469" s="31"/>
      <c r="E469" s="32" t="str">
        <f>IFERROR(_xlfn.XLOOKUP($B469,Insumo[DESCRIPCION],Insumo[VALOR],,0),"")</f>
        <v/>
      </c>
      <c r="F469" s="33"/>
      <c r="G469" s="34" t="str">
        <f>IFERROR(IF(F469&gt;=0,D469*E469*(1+F469/100),ABS(D469*E469/F469)),"")</f>
        <v/>
      </c>
      <c r="H469" s="43" t="str">
        <f>IFERROR(G469*E464,"")</f>
        <v/>
      </c>
    </row>
    <row r="470" spans="1:8">
      <c r="A470" s="28"/>
      <c r="B470" s="29"/>
      <c r="C470" s="30" t="str">
        <f>IFERROR(_xlfn.XLOOKUP(B470,Insumo[DESCRIPCION],Insumo[UND],,0),"")</f>
        <v/>
      </c>
      <c r="D470" s="31"/>
      <c r="E470" s="32" t="str">
        <f>IFERROR(_xlfn.XLOOKUP($B470,Insumo[DESCRIPCION],Insumo[VALOR],,0),"")</f>
        <v/>
      </c>
      <c r="F470" s="33"/>
      <c r="G470" s="34" t="str">
        <f>IFERROR(IF(F470&gt;=0,D470*E470*(1+F470/100),ABS(D470*E470/F470)),"")</f>
        <v/>
      </c>
      <c r="H470" s="43" t="str">
        <f>IFERROR(G470*E464,"")</f>
        <v/>
      </c>
    </row>
    <row r="471" spans="1:8">
      <c r="A471" s="28"/>
      <c r="B471" s="29"/>
      <c r="C471" s="30" t="str">
        <f>IFERROR(_xlfn.XLOOKUP(B471,Insumo[DESCRIPCION],Insumo[UND],,0),"")</f>
        <v/>
      </c>
      <c r="D471" s="31"/>
      <c r="E471" s="32" t="str">
        <f>IFERROR(_xlfn.XLOOKUP($B471,Insumo[DESCRIPCION],Insumo[VALOR],,0),"")</f>
        <v/>
      </c>
      <c r="F471" s="33"/>
      <c r="G471" s="34" t="str">
        <f>IFERROR(IF(F471&gt;=0,D471*E471*(1+F471/100),ABS(D471*E471/F471)),"")</f>
        <v/>
      </c>
      <c r="H471" s="43" t="str">
        <f>IFERROR(G471*E464,"")</f>
        <v/>
      </c>
    </row>
    <row r="472" spans="1:8">
      <c r="A472" s="21"/>
      <c r="B472" s="22" t="s">
        <v>3731</v>
      </c>
      <c r="C472" s="23"/>
      <c r="D472" s="24"/>
      <c r="E472" s="25"/>
      <c r="F472" s="26"/>
      <c r="G472" s="27">
        <f>SUM(G473:G475)</f>
        <v>392.98843861875008</v>
      </c>
      <c r="H472" s="44">
        <f>G472*E464</f>
        <v>0</v>
      </c>
    </row>
    <row r="473" spans="1:8">
      <c r="A473" s="28"/>
      <c r="B473" s="29" t="s">
        <v>3626</v>
      </c>
      <c r="C473" s="30" t="str">
        <f>IFERROR(_xlfn.XLOOKUP(B473,Equipo[DESCRIPCION],Equipo[UND],,0),"")</f>
        <v>%MO</v>
      </c>
      <c r="D473" s="31">
        <v>0.05</v>
      </c>
      <c r="E473" s="32">
        <f>IF(C473="%MO",G479,IFERROR(_xlfn.XLOOKUP($B473,Equipo[DESCRIPCION],Equipo[VALOR],,0),""))</f>
        <v>7859.7687723750014</v>
      </c>
      <c r="F473" s="33"/>
      <c r="G473" s="34">
        <f>IFERROR(IF(F473&gt;=0,D473*E473*(1+F473/100),ABS(D473*E473/F473)),"")</f>
        <v>392.98843861875008</v>
      </c>
      <c r="H473" s="43">
        <f>IFERROR(G473*E464,"")</f>
        <v>0</v>
      </c>
    </row>
    <row r="474" spans="1:8">
      <c r="A474" s="28"/>
      <c r="B474" s="29"/>
      <c r="C474" s="30" t="str">
        <f>IFERROR(_xlfn.XLOOKUP(B474,Equipo[DESCRIPCION],Equipo[UND],,0),"")</f>
        <v/>
      </c>
      <c r="D474" s="31"/>
      <c r="E474" s="32" t="str">
        <f>IF(C474="%MO",G479,IFERROR(_xlfn.XLOOKUP($B474,Equipo[DESCRIPCION],Equipo[VALOR],,0),""))</f>
        <v/>
      </c>
      <c r="F474" s="33"/>
      <c r="G474" s="34" t="str">
        <f>IFERROR(IF(F474&gt;=0,D474*E474*(1+F474/100),ABS(D474*E474/F474)),"")</f>
        <v/>
      </c>
      <c r="H474" s="43" t="str">
        <f>IFERROR(G474*E464,"")</f>
        <v/>
      </c>
    </row>
    <row r="475" spans="1:8">
      <c r="A475" s="28"/>
      <c r="B475" s="29"/>
      <c r="C475" s="30" t="str">
        <f>IFERROR(_xlfn.XLOOKUP(B475,Equipo[DESCRIPCION],Equipo[UND],,0),"")</f>
        <v/>
      </c>
      <c r="D475" s="31"/>
      <c r="E475" s="32" t="str">
        <f>IF(C475="%MO",G479,IFERROR(_xlfn.XLOOKUP($B475,Equipo[DESCRIPCION],Equipo[VALOR],,0),""))</f>
        <v/>
      </c>
      <c r="F475" s="33"/>
      <c r="G475" s="34" t="str">
        <f>IFERROR(IF(F475&gt;=0,D475*E475*(1+F475/100),ABS(D475*E475/F475)),"")</f>
        <v/>
      </c>
      <c r="H475" s="43" t="str">
        <f>IFERROR(G475*E464,"")</f>
        <v/>
      </c>
    </row>
    <row r="476" spans="1:8">
      <c r="A476" s="21"/>
      <c r="B476" s="22" t="s">
        <v>2533</v>
      </c>
      <c r="C476" s="23"/>
      <c r="D476" s="24"/>
      <c r="E476" s="25"/>
      <c r="F476" s="26"/>
      <c r="G476" s="27">
        <f>SUM(G477:G478)</f>
        <v>0</v>
      </c>
      <c r="H476" s="138">
        <f>IFERROR(G476*E464,"")</f>
        <v>0</v>
      </c>
    </row>
    <row r="477" spans="1:8">
      <c r="A477" s="28"/>
      <c r="B477" s="29"/>
      <c r="C477" s="30" t="str">
        <f>IFERROR(_xlfn.XLOOKUP(B477,Transporte[DESCRIPCION],Transporte[UND],,0),"")</f>
        <v/>
      </c>
      <c r="D477" s="31"/>
      <c r="E477" s="32" t="str">
        <f>IFERROR(_xlfn.XLOOKUP($B477,Transporte[DESCRIPCION],Transporte[VALOR],,0),"")</f>
        <v/>
      </c>
      <c r="F477" s="33"/>
      <c r="G477" s="34" t="str">
        <f>IFERROR(IF(F477&gt;=0,D477*E477*(1+F477/100),ABS(D477*E477/F477)),"")</f>
        <v/>
      </c>
      <c r="H477" s="43" t="str">
        <f>IFERROR(G477*E464,"")</f>
        <v/>
      </c>
    </row>
    <row r="478" spans="1:8">
      <c r="A478" s="28"/>
      <c r="B478" s="29"/>
      <c r="C478" s="30" t="str">
        <f>IFERROR(_xlfn.XLOOKUP(B478,Transporte[DESCRIPCION],Transporte[UND],,0),"")</f>
        <v/>
      </c>
      <c r="D478" s="31"/>
      <c r="E478" s="32" t="str">
        <f>IFERROR(_xlfn.XLOOKUP($B478,Transporte[DESCRIPCION],Transporte[VALOR],,0),"")</f>
        <v/>
      </c>
      <c r="F478" s="33"/>
      <c r="G478" s="34" t="str">
        <f>IFERROR(IF(F478&gt;=0,D478*E478*(1+F478/100),ABS(D478*E478/F478)),"")</f>
        <v/>
      </c>
      <c r="H478" s="43" t="str">
        <f>IFERROR(G478*E464,"")</f>
        <v/>
      </c>
    </row>
    <row r="479" spans="1:8">
      <c r="A479" s="21"/>
      <c r="B479" s="22" t="s">
        <v>3732</v>
      </c>
      <c r="C479" s="23"/>
      <c r="D479" s="24"/>
      <c r="E479" s="25"/>
      <c r="F479" s="26"/>
      <c r="G479" s="27">
        <f>SUM(G480:G482)</f>
        <v>7859.7687723750014</v>
      </c>
      <c r="H479" s="43">
        <f>IFERROR(G479*E464,"")</f>
        <v>0</v>
      </c>
    </row>
    <row r="480" spans="1:8">
      <c r="A480" s="28"/>
      <c r="B480" s="29" t="s">
        <v>3710</v>
      </c>
      <c r="C480" s="30" t="str">
        <f>IFERROR(_xlfn.XLOOKUP(B480,MObra[DESCRIPCION],MObra[UN],,0),"")</f>
        <v>día</v>
      </c>
      <c r="D480" s="31">
        <v>1</v>
      </c>
      <c r="E480" s="32">
        <f>IFERROR(_xlfn.XLOOKUP($B480,MObra[DESCRIPCION],MObra[VALOR UNIT],,0),"")</f>
        <v>314390.75089500006</v>
      </c>
      <c r="F480" s="33">
        <v>-40</v>
      </c>
      <c r="G480" s="34">
        <f>IFERROR(IF(F480&gt;=0,D480*E480*(1+F480/100),ABS(D480*E480/F480)),"")</f>
        <v>7859.7687723750014</v>
      </c>
      <c r="H480" s="43">
        <f>IFERROR(G480*E464,"")</f>
        <v>0</v>
      </c>
    </row>
    <row r="481" spans="1:11">
      <c r="A481" s="28"/>
      <c r="B481" s="29"/>
      <c r="C481" s="30" t="str">
        <f>IFERROR(_xlfn.XLOOKUP(B481,MObra[DESCRIPCION],MObra[UN],,0),"")</f>
        <v/>
      </c>
      <c r="D481" s="31"/>
      <c r="E481" s="32" t="str">
        <f>IFERROR(_xlfn.XLOOKUP($B481,MObra[DESCRIPCION],MObra[VALOR UNIT],,0),"")</f>
        <v/>
      </c>
      <c r="F481" s="33"/>
      <c r="G481" s="34" t="str">
        <f>IFERROR(IF(F481&gt;=0,D481*E481*(1+F481/100),ABS(D481*E481/F481)),"")</f>
        <v/>
      </c>
      <c r="H481" s="43" t="str">
        <f>IFERROR(G481*E464,"")</f>
        <v/>
      </c>
    </row>
    <row r="482" spans="1:11">
      <c r="A482" s="35"/>
      <c r="B482" s="36"/>
      <c r="C482" s="37" t="str">
        <f>IFERROR(_xlfn.XLOOKUP(B482,MObra[DESCRIPCION],MObra[UN],,0),"")</f>
        <v/>
      </c>
      <c r="D482" s="38"/>
      <c r="E482" s="39" t="str">
        <f>IFERROR(_xlfn.XLOOKUP($B482,MObra[DESCRIPCION],MObra[VALOR UNIT],,0),"")</f>
        <v/>
      </c>
      <c r="F482" s="40"/>
      <c r="G482" s="41" t="str">
        <f>IFERROR(IF(F482&gt;=0,D482*E482*(1+F482/100),ABS(D482*E482/F482)),"")</f>
        <v/>
      </c>
      <c r="H482" s="42" t="str">
        <f>IFERROR(G482*E464,"")</f>
        <v/>
      </c>
    </row>
    <row r="484" spans="1:11">
      <c r="A484" s="6" t="s">
        <v>1416</v>
      </c>
      <c r="B484" s="7" t="str">
        <f>VLOOKUP($A484,Presupuesto!$A:$D,2,FALSE())</f>
        <v>Remoción cal muros + limpieza</v>
      </c>
      <c r="C484" s="8" t="str">
        <f>VLOOKUP($A484,Presupuesto!$A:$D,3,FALSE())</f>
        <v>M2</v>
      </c>
      <c r="D484" s="9"/>
      <c r="E484" s="10">
        <f>VLOOKUP($A484,Presupuesto!$A:$D,4,FALSE())</f>
        <v>0</v>
      </c>
      <c r="F484" s="11" t="s">
        <v>2589</v>
      </c>
      <c r="G484" s="12">
        <f>SUM(G486:G502)/2</f>
        <v>4208.5111098642865</v>
      </c>
      <c r="H484" s="13">
        <f>ROUND(SUM(H486:H502),0)/2</f>
        <v>0</v>
      </c>
      <c r="I484" s="10">
        <f>VLOOKUP(A484,Presupuesto!$A:$F,6,0)</f>
        <v>0</v>
      </c>
      <c r="J484" s="10">
        <f>+H484-I484</f>
        <v>0</v>
      </c>
      <c r="K484" s="46">
        <f>+H484-G484*E484</f>
        <v>0</v>
      </c>
    </row>
    <row r="485" spans="1:11">
      <c r="A485" s="14"/>
      <c r="B485" s="15" t="s">
        <v>2586</v>
      </c>
      <c r="C485" s="15" t="s">
        <v>5</v>
      </c>
      <c r="D485" s="16" t="s">
        <v>6</v>
      </c>
      <c r="E485" s="17" t="s">
        <v>7</v>
      </c>
      <c r="F485" s="18" t="s">
        <v>3728</v>
      </c>
      <c r="G485" s="19" t="s">
        <v>3729</v>
      </c>
      <c r="H485" s="20" t="s">
        <v>3797</v>
      </c>
    </row>
    <row r="486" spans="1:11">
      <c r="A486" s="21"/>
      <c r="B486" s="22" t="s">
        <v>3730</v>
      </c>
      <c r="C486" s="23"/>
      <c r="D486" s="24"/>
      <c r="E486" s="25"/>
      <c r="F486" s="26"/>
      <c r="G486" s="27">
        <f>SUM(G487:G491)</f>
        <v>0</v>
      </c>
      <c r="H486" s="27">
        <f>IFERROR(G486*E484,"")</f>
        <v>0</v>
      </c>
    </row>
    <row r="487" spans="1:11">
      <c r="A487" s="28"/>
      <c r="B487" s="29"/>
      <c r="C487" s="30" t="str">
        <f>IFERROR(_xlfn.XLOOKUP(B487,Insumo[DESCRIPCION],Insumo[UND],,0),"")</f>
        <v/>
      </c>
      <c r="D487" s="31"/>
      <c r="E487" s="32" t="str">
        <f>IFERROR(_xlfn.XLOOKUP($B487,Insumo[DESCRIPCION],Insumo[VALOR],,0),"")</f>
        <v/>
      </c>
      <c r="F487" s="33"/>
      <c r="G487" s="34" t="str">
        <f>IFERROR(IF(F487&gt;=0,D487*E487*(1+F487/100),ABS(D487*E487/F487)),"")</f>
        <v/>
      </c>
      <c r="H487" s="43" t="str">
        <f>IFERROR(G487*E484,"")</f>
        <v/>
      </c>
    </row>
    <row r="488" spans="1:11">
      <c r="A488" s="28"/>
      <c r="B488" s="29"/>
      <c r="C488" s="30" t="str">
        <f>IFERROR(_xlfn.XLOOKUP(B488,Insumo[DESCRIPCION],Insumo[UND],,0),"")</f>
        <v/>
      </c>
      <c r="D488" s="31"/>
      <c r="E488" s="32" t="str">
        <f>IFERROR(_xlfn.XLOOKUP($B488,Insumo[DESCRIPCION],Insumo[VALOR],,0),"")</f>
        <v/>
      </c>
      <c r="F488" s="33"/>
      <c r="G488" s="34" t="str">
        <f>IFERROR(IF(F488&gt;=0,D488*E488*(1+F488/100),ABS(D488*E488/F488)),"")</f>
        <v/>
      </c>
      <c r="H488" s="43" t="str">
        <f>IFERROR(G488*E484,"")</f>
        <v/>
      </c>
    </row>
    <row r="489" spans="1:11">
      <c r="A489" s="28"/>
      <c r="B489" s="29"/>
      <c r="C489" s="30" t="str">
        <f>IFERROR(_xlfn.XLOOKUP(B489,Insumo[DESCRIPCION],Insumo[UND],,0),"")</f>
        <v/>
      </c>
      <c r="D489" s="31"/>
      <c r="E489" s="32" t="str">
        <f>IFERROR(_xlfn.XLOOKUP($B489,Insumo[DESCRIPCION],Insumo[VALOR],,0),"")</f>
        <v/>
      </c>
      <c r="F489" s="33"/>
      <c r="G489" s="34" t="str">
        <f>IFERROR(IF(F489&gt;=0,D489*E489*(1+F489/100),ABS(D489*E489/F489)),"")</f>
        <v/>
      </c>
      <c r="H489" s="43" t="str">
        <f>IFERROR(G489*E484,"")</f>
        <v/>
      </c>
    </row>
    <row r="490" spans="1:11">
      <c r="A490" s="28"/>
      <c r="B490" s="29"/>
      <c r="C490" s="30" t="str">
        <f>IFERROR(_xlfn.XLOOKUP(B490,Insumo[DESCRIPCION],Insumo[UND],,0),"")</f>
        <v/>
      </c>
      <c r="D490" s="31"/>
      <c r="E490" s="32" t="str">
        <f>IFERROR(_xlfn.XLOOKUP($B490,Insumo[DESCRIPCION],Insumo[VALOR],,0),"")</f>
        <v/>
      </c>
      <c r="F490" s="33"/>
      <c r="G490" s="34" t="str">
        <f>IFERROR(IF(F490&gt;=0,D490*E490*(1+F490/100),ABS(D490*E490/F490)),"")</f>
        <v/>
      </c>
      <c r="H490" s="43" t="str">
        <f>IFERROR(G490*E484,"")</f>
        <v/>
      </c>
    </row>
    <row r="491" spans="1:11">
      <c r="A491" s="28"/>
      <c r="B491" s="29"/>
      <c r="C491" s="30" t="str">
        <f>IFERROR(_xlfn.XLOOKUP(B491,Insumo[DESCRIPCION],Insumo[UND],,0),"")</f>
        <v/>
      </c>
      <c r="D491" s="31"/>
      <c r="E491" s="32" t="str">
        <f>IFERROR(_xlfn.XLOOKUP($B491,Insumo[DESCRIPCION],Insumo[VALOR],,0),"")</f>
        <v/>
      </c>
      <c r="F491" s="33"/>
      <c r="G491" s="34" t="str">
        <f>IFERROR(IF(F491&gt;=0,D491*E491*(1+F491/100),ABS(D491*E491/F491)),"")</f>
        <v/>
      </c>
      <c r="H491" s="43" t="str">
        <f>IFERROR(G491*E484,"")</f>
        <v/>
      </c>
    </row>
    <row r="492" spans="1:11">
      <c r="A492" s="21"/>
      <c r="B492" s="22" t="s">
        <v>3731</v>
      </c>
      <c r="C492" s="23"/>
      <c r="D492" s="24"/>
      <c r="E492" s="25"/>
      <c r="F492" s="26"/>
      <c r="G492" s="27">
        <f>SUM(G493:G495)</f>
        <v>548.93623172142873</v>
      </c>
      <c r="H492" s="44">
        <f>G492*E484</f>
        <v>0</v>
      </c>
    </row>
    <row r="493" spans="1:11">
      <c r="A493" s="28"/>
      <c r="B493" s="29" t="s">
        <v>3573</v>
      </c>
      <c r="C493" s="30" t="str">
        <f>IFERROR(_xlfn.XLOOKUP(B493,Equipo[DESCRIPCION],Equipo[UND],,0),"")</f>
        <v>%MO</v>
      </c>
      <c r="D493" s="31">
        <v>0.1</v>
      </c>
      <c r="E493" s="32">
        <f>IF(C493="%MO",G499,IFERROR(_xlfn.XLOOKUP($B493,Equipo[DESCRIPCION],Equipo[VALOR],,0),""))</f>
        <v>3659.5748781428579</v>
      </c>
      <c r="F493" s="33"/>
      <c r="G493" s="34">
        <f>IFERROR(IF(F493&gt;=0,D493*E493*(1+F493/100),ABS(D493*E493/F493)),"")</f>
        <v>365.9574878142858</v>
      </c>
      <c r="H493" s="43">
        <f>IFERROR(G493*E484,"")</f>
        <v>0</v>
      </c>
    </row>
    <row r="494" spans="1:11">
      <c r="A494" s="28"/>
      <c r="B494" s="29" t="s">
        <v>3626</v>
      </c>
      <c r="C494" s="30" t="str">
        <f>IFERROR(_xlfn.XLOOKUP(B494,Equipo[DESCRIPCION],Equipo[UND],,0),"")</f>
        <v>%MO</v>
      </c>
      <c r="D494" s="31">
        <v>0.05</v>
      </c>
      <c r="E494" s="32">
        <f>IF(C494="%MO",G499,IFERROR(_xlfn.XLOOKUP($B494,Equipo[DESCRIPCION],Equipo[VALOR],,0),""))</f>
        <v>3659.5748781428579</v>
      </c>
      <c r="F494" s="33"/>
      <c r="G494" s="34">
        <f>IFERROR(IF(F494&gt;=0,D494*E494*(1+F494/100),ABS(D494*E494/F494)),"")</f>
        <v>182.9787439071429</v>
      </c>
      <c r="H494" s="43">
        <f>IFERROR(G494*E484,"")</f>
        <v>0</v>
      </c>
    </row>
    <row r="495" spans="1:11">
      <c r="A495" s="28"/>
      <c r="B495" s="29"/>
      <c r="C495" s="30" t="str">
        <f>IFERROR(_xlfn.XLOOKUP(B495,Equipo[DESCRIPCION],Equipo[UND],,0),"")</f>
        <v/>
      </c>
      <c r="D495" s="31"/>
      <c r="E495" s="32" t="str">
        <f>IF(C495="%MO",G499,IFERROR(_xlfn.XLOOKUP($B495,Equipo[DESCRIPCION],Equipo[VALOR],,0),""))</f>
        <v/>
      </c>
      <c r="F495" s="33"/>
      <c r="G495" s="34" t="str">
        <f>IFERROR(IF(F495&gt;=0,D495*E495*(1+F495/100),ABS(D495*E495/F495)),"")</f>
        <v/>
      </c>
      <c r="H495" s="43" t="str">
        <f>IFERROR(G495*E484,"")</f>
        <v/>
      </c>
    </row>
    <row r="496" spans="1:11">
      <c r="A496" s="21"/>
      <c r="B496" s="22" t="s">
        <v>2533</v>
      </c>
      <c r="C496" s="23"/>
      <c r="D496" s="24"/>
      <c r="E496" s="25"/>
      <c r="F496" s="26"/>
      <c r="G496" s="27">
        <f>SUM(G497:G498)</f>
        <v>0</v>
      </c>
      <c r="H496" s="138">
        <f>IFERROR(G496*E484,"")</f>
        <v>0</v>
      </c>
    </row>
    <row r="497" spans="1:11">
      <c r="A497" s="28"/>
      <c r="B497" s="29"/>
      <c r="C497" s="30" t="str">
        <f>IFERROR(_xlfn.XLOOKUP(B497,Transporte[DESCRIPCION],Transporte[UND],,0),"")</f>
        <v/>
      </c>
      <c r="D497" s="31"/>
      <c r="E497" s="32" t="str">
        <f>IFERROR(_xlfn.XLOOKUP($B497,Transporte[DESCRIPCION],Transporte[VALOR],,0),"")</f>
        <v/>
      </c>
      <c r="F497" s="33"/>
      <c r="G497" s="34" t="str">
        <f>IFERROR(IF(F497&gt;=0,D497*E497*(1+F497/100),ABS(D497*E497/F497)),"")</f>
        <v/>
      </c>
      <c r="H497" s="43" t="str">
        <f>IFERROR(G497*E484,"")</f>
        <v/>
      </c>
    </row>
    <row r="498" spans="1:11">
      <c r="A498" s="28"/>
      <c r="B498" s="29"/>
      <c r="C498" s="30" t="str">
        <f>IFERROR(_xlfn.XLOOKUP(B498,Transporte[DESCRIPCION],Transporte[UND],,0),"")</f>
        <v/>
      </c>
      <c r="D498" s="31"/>
      <c r="E498" s="32" t="str">
        <f>IFERROR(_xlfn.XLOOKUP($B498,Transporte[DESCRIPCION],Transporte[VALOR],,0),"")</f>
        <v/>
      </c>
      <c r="F498" s="33"/>
      <c r="G498" s="34" t="str">
        <f>IFERROR(IF(F498&gt;=0,D498*E498*(1+F498/100),ABS(D498*E498/F498)),"")</f>
        <v/>
      </c>
      <c r="H498" s="43" t="str">
        <f>IFERROR(G498*E484,"")</f>
        <v/>
      </c>
    </row>
    <row r="499" spans="1:11">
      <c r="A499" s="21"/>
      <c r="B499" s="22" t="s">
        <v>3732</v>
      </c>
      <c r="C499" s="23"/>
      <c r="D499" s="24"/>
      <c r="E499" s="25"/>
      <c r="F499" s="26"/>
      <c r="G499" s="27">
        <f>SUM(G500:G502)</f>
        <v>3659.5748781428579</v>
      </c>
      <c r="H499" s="43">
        <f>IFERROR(G499*E484,"")</f>
        <v>0</v>
      </c>
    </row>
    <row r="500" spans="1:11">
      <c r="A500" s="28"/>
      <c r="B500" s="29" t="s">
        <v>3701</v>
      </c>
      <c r="C500" s="30" t="str">
        <f>IFERROR(_xlfn.XLOOKUP(B500,MObra[DESCRIPCION],MObra[UN],,0),"")</f>
        <v>día</v>
      </c>
      <c r="D500" s="31">
        <v>1</v>
      </c>
      <c r="E500" s="32">
        <f>IFERROR(_xlfn.XLOOKUP($B500,MObra[DESCRIPCION],MObra[VALOR UNIT],,0),"")</f>
        <v>128085.12073500003</v>
      </c>
      <c r="F500" s="33">
        <v>-35</v>
      </c>
      <c r="G500" s="34">
        <f>IFERROR(IF(F500&gt;=0,D500*E500*(1+F500/100),ABS(D500*E500/F500)),"")</f>
        <v>3659.5748781428579</v>
      </c>
      <c r="H500" s="43">
        <f>IFERROR(G500*E484,"")</f>
        <v>0</v>
      </c>
    </row>
    <row r="501" spans="1:11">
      <c r="A501" s="28"/>
      <c r="B501" s="29"/>
      <c r="C501" s="30" t="str">
        <f>IFERROR(_xlfn.XLOOKUP(B501,MObra[DESCRIPCION],MObra[UN],,0),"")</f>
        <v/>
      </c>
      <c r="D501" s="31"/>
      <c r="E501" s="32" t="str">
        <f>IFERROR(_xlfn.XLOOKUP($B501,MObra[DESCRIPCION],MObra[VALOR UNIT],,0),"")</f>
        <v/>
      </c>
      <c r="F501" s="33"/>
      <c r="G501" s="34" t="str">
        <f>IFERROR(IF(F501&gt;=0,D501*E501*(1+F501/100),ABS(D501*E501/F501)),"")</f>
        <v/>
      </c>
      <c r="H501" s="43" t="str">
        <f>IFERROR(G501*E484,"")</f>
        <v/>
      </c>
    </row>
    <row r="502" spans="1:11">
      <c r="A502" s="35"/>
      <c r="B502" s="36"/>
      <c r="C502" s="37" t="str">
        <f>IFERROR(_xlfn.XLOOKUP(B502,MObra[DESCRIPCION],MObra[UN],,0),"")</f>
        <v/>
      </c>
      <c r="D502" s="38"/>
      <c r="E502" s="39" t="str">
        <f>IFERROR(_xlfn.XLOOKUP($B502,MObra[DESCRIPCION],MObra[VALOR UNIT],,0),"")</f>
        <v/>
      </c>
      <c r="F502" s="40"/>
      <c r="G502" s="41" t="str">
        <f>IFERROR(IF(F502&gt;=0,D502*E502*(1+F502/100),ABS(D502*E502/F502)),"")</f>
        <v/>
      </c>
      <c r="H502" s="42" t="str">
        <f>IFERROR(G502*E484,"")</f>
        <v/>
      </c>
    </row>
    <row r="504" spans="1:11">
      <c r="A504" s="6" t="s">
        <v>1418</v>
      </c>
      <c r="B504" s="7" t="str">
        <f>VLOOKUP($A504,Presupuesto!$A:$D,2,FALSE())</f>
        <v>Repinte pintura vinilo 2 manos</v>
      </c>
      <c r="C504" s="8" t="str">
        <f>VLOOKUP($A504,Presupuesto!$A:$D,3,FALSE())</f>
        <v>M2</v>
      </c>
      <c r="D504" s="9"/>
      <c r="E504" s="10">
        <f>VLOOKUP($A504,Presupuesto!$A:$D,4,FALSE())</f>
        <v>0</v>
      </c>
      <c r="F504" s="11" t="s">
        <v>2589</v>
      </c>
      <c r="G504" s="12">
        <f>SUM(G506:G522)/2</f>
        <v>25530.107544750004</v>
      </c>
      <c r="H504" s="13">
        <f>ROUND(SUM(H506:H522),0)/2</f>
        <v>0</v>
      </c>
      <c r="I504" s="10">
        <f>VLOOKUP(A504,Presupuesto!$A:$F,6,0)</f>
        <v>0</v>
      </c>
      <c r="J504" s="10">
        <f>+H504-I504</f>
        <v>0</v>
      </c>
      <c r="K504" s="46">
        <f>+H504-G504*E504</f>
        <v>0</v>
      </c>
    </row>
    <row r="505" spans="1:11">
      <c r="A505" s="14"/>
      <c r="B505" s="15" t="s">
        <v>2586</v>
      </c>
      <c r="C505" s="15" t="s">
        <v>5</v>
      </c>
      <c r="D505" s="16" t="s">
        <v>6</v>
      </c>
      <c r="E505" s="17" t="s">
        <v>7</v>
      </c>
      <c r="F505" s="18" t="s">
        <v>3728</v>
      </c>
      <c r="G505" s="19" t="s">
        <v>3729</v>
      </c>
      <c r="H505" s="20" t="s">
        <v>3797</v>
      </c>
    </row>
    <row r="506" spans="1:11">
      <c r="A506" s="21"/>
      <c r="B506" s="22" t="s">
        <v>3730</v>
      </c>
      <c r="C506" s="23"/>
      <c r="D506" s="24"/>
      <c r="E506" s="25"/>
      <c r="F506" s="26"/>
      <c r="G506" s="27">
        <f>SUM(G507:G511)</f>
        <v>9810.57</v>
      </c>
      <c r="H506" s="27">
        <f>IFERROR(G506*E504,"")</f>
        <v>0</v>
      </c>
    </row>
    <row r="507" spans="1:11">
      <c r="A507" s="28"/>
      <c r="B507" s="29" t="s">
        <v>3210</v>
      </c>
      <c r="C507" s="30" t="str">
        <f>IFERROR(_xlfn.XLOOKUP(B507,Insumo[DESCRIPCION],Insumo[UND],,0),"")</f>
        <v>galón</v>
      </c>
      <c r="D507" s="31">
        <v>0.1</v>
      </c>
      <c r="E507" s="32">
        <f>IFERROR(_xlfn.XLOOKUP($B507,Insumo[DESCRIPCION],Insumo[VALOR],,0),"")</f>
        <v>98105.7</v>
      </c>
      <c r="F507" s="33"/>
      <c r="G507" s="34">
        <f>IFERROR(IF(F507&gt;=0,D507*E507*(1+F507/100),ABS(D507*E507/F507)),"")</f>
        <v>9810.57</v>
      </c>
      <c r="H507" s="43">
        <f>IFERROR(G507*E504,"")</f>
        <v>0</v>
      </c>
    </row>
    <row r="508" spans="1:11">
      <c r="A508" s="28"/>
      <c r="B508" s="29"/>
      <c r="C508" s="30" t="str">
        <f>IFERROR(_xlfn.XLOOKUP(B508,Insumo[DESCRIPCION],Insumo[UND],,0),"")</f>
        <v/>
      </c>
      <c r="D508" s="31"/>
      <c r="E508" s="32" t="str">
        <f>IFERROR(_xlfn.XLOOKUP($B508,Insumo[DESCRIPCION],Insumo[VALOR],,0),"")</f>
        <v/>
      </c>
      <c r="F508" s="33"/>
      <c r="G508" s="34" t="str">
        <f>IFERROR(IF(F508&gt;=0,D508*E508*(1+F508/100),ABS(D508*E508/F508)),"")</f>
        <v/>
      </c>
      <c r="H508" s="43" t="str">
        <f>IFERROR(G508*E504,"")</f>
        <v/>
      </c>
    </row>
    <row r="509" spans="1:11">
      <c r="A509" s="28"/>
      <c r="B509" s="29"/>
      <c r="C509" s="30" t="str">
        <f>IFERROR(_xlfn.XLOOKUP(B509,Insumo[DESCRIPCION],Insumo[UND],,0),"")</f>
        <v/>
      </c>
      <c r="D509" s="31"/>
      <c r="E509" s="32" t="str">
        <f>IFERROR(_xlfn.XLOOKUP($B509,Insumo[DESCRIPCION],Insumo[VALOR],,0),"")</f>
        <v/>
      </c>
      <c r="F509" s="33"/>
      <c r="G509" s="34" t="str">
        <f>IFERROR(IF(F509&gt;=0,D509*E509*(1+F509/100),ABS(D509*E509/F509)),"")</f>
        <v/>
      </c>
      <c r="H509" s="43" t="str">
        <f>IFERROR(G509*E504,"")</f>
        <v/>
      </c>
    </row>
    <row r="510" spans="1:11">
      <c r="A510" s="28"/>
      <c r="B510" s="29"/>
      <c r="C510" s="30" t="str">
        <f>IFERROR(_xlfn.XLOOKUP(B510,Insumo[DESCRIPCION],Insumo[UND],,0),"")</f>
        <v/>
      </c>
      <c r="D510" s="31"/>
      <c r="E510" s="32" t="str">
        <f>IFERROR(_xlfn.XLOOKUP($B510,Insumo[DESCRIPCION],Insumo[VALOR],,0),"")</f>
        <v/>
      </c>
      <c r="F510" s="33"/>
      <c r="G510" s="34" t="str">
        <f>IFERROR(IF(F510&gt;=0,D510*E510*(1+F510/100),ABS(D510*E510/F510)),"")</f>
        <v/>
      </c>
      <c r="H510" s="43" t="str">
        <f>IFERROR(G510*E504,"")</f>
        <v/>
      </c>
    </row>
    <row r="511" spans="1:11">
      <c r="A511" s="28"/>
      <c r="B511" s="29"/>
      <c r="C511" s="30" t="str">
        <f>IFERROR(_xlfn.XLOOKUP(B511,Insumo[DESCRIPCION],Insumo[UND],,0),"")</f>
        <v/>
      </c>
      <c r="D511" s="31"/>
      <c r="E511" s="32" t="str">
        <f>IFERROR(_xlfn.XLOOKUP($B511,Insumo[DESCRIPCION],Insumo[VALOR],,0),"")</f>
        <v/>
      </c>
      <c r="F511" s="33"/>
      <c r="G511" s="34" t="str">
        <f>IFERROR(IF(F511&gt;=0,D511*E511*(1+F511/100),ABS(D511*E511/F511)),"")</f>
        <v/>
      </c>
      <c r="H511" s="43" t="str">
        <f>IFERROR(G511*E504,"")</f>
        <v/>
      </c>
    </row>
    <row r="512" spans="1:11">
      <c r="A512" s="21"/>
      <c r="B512" s="22" t="s">
        <v>3731</v>
      </c>
      <c r="C512" s="23"/>
      <c r="D512" s="24"/>
      <c r="E512" s="25"/>
      <c r="F512" s="26"/>
      <c r="G512" s="27">
        <f>SUM(G513:G515)</f>
        <v>2050.3744623586963</v>
      </c>
      <c r="H512" s="44">
        <f>G512*E504</f>
        <v>0</v>
      </c>
    </row>
    <row r="513" spans="1:11">
      <c r="A513" s="28"/>
      <c r="B513" s="29" t="s">
        <v>3573</v>
      </c>
      <c r="C513" s="30" t="str">
        <f>IFERROR(_xlfn.XLOOKUP(B513,Equipo[DESCRIPCION],Equipo[UND],,0),"")</f>
        <v>%MO</v>
      </c>
      <c r="D513" s="31">
        <v>0.1</v>
      </c>
      <c r="E513" s="32">
        <f>IF(C513="%MO",G519,IFERROR(_xlfn.XLOOKUP($B513,Equipo[DESCRIPCION],Equipo[VALOR],,0),""))</f>
        <v>13669.163082391307</v>
      </c>
      <c r="F513" s="33"/>
      <c r="G513" s="34">
        <f>IFERROR(IF(F513&gt;=0,D513*E513*(1+F513/100),ABS(D513*E513/F513)),"")</f>
        <v>1366.9163082391308</v>
      </c>
      <c r="H513" s="43">
        <f>IFERROR(G513*E504,"")</f>
        <v>0</v>
      </c>
    </row>
    <row r="514" spans="1:11">
      <c r="A514" s="28"/>
      <c r="B514" s="29" t="s">
        <v>3626</v>
      </c>
      <c r="C514" s="30" t="str">
        <f>IFERROR(_xlfn.XLOOKUP(B514,Equipo[DESCRIPCION],Equipo[UND],,0),"")</f>
        <v>%MO</v>
      </c>
      <c r="D514" s="31">
        <v>0.05</v>
      </c>
      <c r="E514" s="32">
        <f>IF(C514="%MO",G519,IFERROR(_xlfn.XLOOKUP($B514,Equipo[DESCRIPCION],Equipo[VALOR],,0),""))</f>
        <v>13669.163082391307</v>
      </c>
      <c r="F514" s="33"/>
      <c r="G514" s="34">
        <f>IFERROR(IF(F514&gt;=0,D514*E514*(1+F514/100),ABS(D514*E514/F514)),"")</f>
        <v>683.45815411956539</v>
      </c>
      <c r="H514" s="43">
        <f>IFERROR(G514*E504,"")</f>
        <v>0</v>
      </c>
    </row>
    <row r="515" spans="1:11">
      <c r="A515" s="28"/>
      <c r="B515" s="29"/>
      <c r="C515" s="30" t="str">
        <f>IFERROR(_xlfn.XLOOKUP(B515,Equipo[DESCRIPCION],Equipo[UND],,0),"")</f>
        <v/>
      </c>
      <c r="D515" s="31"/>
      <c r="E515" s="32" t="str">
        <f>IF(C515="%MO",G519,IFERROR(_xlfn.XLOOKUP($B515,Equipo[DESCRIPCION],Equipo[VALOR],,0),""))</f>
        <v/>
      </c>
      <c r="F515" s="33"/>
      <c r="G515" s="34" t="str">
        <f>IFERROR(IF(F515&gt;=0,D515*E515*(1+F515/100),ABS(D515*E515/F515)),"")</f>
        <v/>
      </c>
      <c r="H515" s="43" t="str">
        <f>IFERROR(G515*E504,"")</f>
        <v/>
      </c>
    </row>
    <row r="516" spans="1:11">
      <c r="A516" s="21"/>
      <c r="B516" s="22" t="s">
        <v>2533</v>
      </c>
      <c r="C516" s="23"/>
      <c r="D516" s="24"/>
      <c r="E516" s="25"/>
      <c r="F516" s="26"/>
      <c r="G516" s="27">
        <f>SUM(G517:G518)</f>
        <v>0</v>
      </c>
      <c r="H516" s="138">
        <f>IFERROR(G516*E504,"")</f>
        <v>0</v>
      </c>
    </row>
    <row r="517" spans="1:11">
      <c r="A517" s="28"/>
      <c r="B517" s="29"/>
      <c r="C517" s="30" t="str">
        <f>IFERROR(_xlfn.XLOOKUP(B517,Transporte[DESCRIPCION],Transporte[UND],,0),"")</f>
        <v/>
      </c>
      <c r="D517" s="31"/>
      <c r="E517" s="32" t="str">
        <f>IFERROR(_xlfn.XLOOKUP($B517,Transporte[DESCRIPCION],Transporte[VALOR],,0),"")</f>
        <v/>
      </c>
      <c r="F517" s="33"/>
      <c r="G517" s="34" t="str">
        <f>IFERROR(IF(F517&gt;=0,D517*E517*(1+F517/100),ABS(D517*E517/F517)),"")</f>
        <v/>
      </c>
      <c r="H517" s="43" t="str">
        <f>IFERROR(G517*E504,"")</f>
        <v/>
      </c>
    </row>
    <row r="518" spans="1:11">
      <c r="A518" s="28"/>
      <c r="B518" s="29"/>
      <c r="C518" s="30" t="str">
        <f>IFERROR(_xlfn.XLOOKUP(B518,Transporte[DESCRIPCION],Transporte[UND],,0),"")</f>
        <v/>
      </c>
      <c r="D518" s="31"/>
      <c r="E518" s="32" t="str">
        <f>IFERROR(_xlfn.XLOOKUP($B518,Transporte[DESCRIPCION],Transporte[VALOR],,0),"")</f>
        <v/>
      </c>
      <c r="F518" s="33"/>
      <c r="G518" s="34" t="str">
        <f>IFERROR(IF(F518&gt;=0,D518*E518*(1+F518/100),ABS(D518*E518/F518)),"")</f>
        <v/>
      </c>
      <c r="H518" s="43" t="str">
        <f>IFERROR(G518*E504,"")</f>
        <v/>
      </c>
    </row>
    <row r="519" spans="1:11">
      <c r="A519" s="21"/>
      <c r="B519" s="22" t="s">
        <v>3732</v>
      </c>
      <c r="C519" s="23"/>
      <c r="D519" s="24"/>
      <c r="E519" s="25"/>
      <c r="F519" s="26"/>
      <c r="G519" s="27">
        <f>SUM(G520:G522)</f>
        <v>13669.163082391307</v>
      </c>
      <c r="H519" s="43">
        <f>IFERROR(G519*E504,"")</f>
        <v>0</v>
      </c>
    </row>
    <row r="520" spans="1:11">
      <c r="A520" s="28"/>
      <c r="B520" s="29" t="s">
        <v>3710</v>
      </c>
      <c r="C520" s="30" t="str">
        <f>IFERROR(_xlfn.XLOOKUP(B520,MObra[DESCRIPCION],MObra[UN],,0),"")</f>
        <v>día</v>
      </c>
      <c r="D520" s="31">
        <v>1</v>
      </c>
      <c r="E520" s="32">
        <f>IFERROR(_xlfn.XLOOKUP($B520,MObra[DESCRIPCION],MObra[VALOR UNIT],,0),"")</f>
        <v>314390.75089500006</v>
      </c>
      <c r="F520" s="33">
        <v>-23</v>
      </c>
      <c r="G520" s="34">
        <f>IFERROR(IF(F520&gt;=0,D520*E520*(1+F520/100),ABS(D520*E520/F520)),"")</f>
        <v>13669.163082391307</v>
      </c>
      <c r="H520" s="43">
        <f>IFERROR(G520*E504,"")</f>
        <v>0</v>
      </c>
    </row>
    <row r="521" spans="1:11">
      <c r="A521" s="28"/>
      <c r="B521" s="29"/>
      <c r="C521" s="30" t="str">
        <f>IFERROR(_xlfn.XLOOKUP(B521,MObra[DESCRIPCION],MObra[UN],,0),"")</f>
        <v/>
      </c>
      <c r="D521" s="31"/>
      <c r="E521" s="32" t="str">
        <f>IFERROR(_xlfn.XLOOKUP($B521,MObra[DESCRIPCION],MObra[VALOR UNIT],,0),"")</f>
        <v/>
      </c>
      <c r="F521" s="33"/>
      <c r="G521" s="34" t="str">
        <f>IFERROR(IF(F521&gt;=0,D521*E521*(1+F521/100),ABS(D521*E521/F521)),"")</f>
        <v/>
      </c>
      <c r="H521" s="43" t="str">
        <f>IFERROR(G521*E504,"")</f>
        <v/>
      </c>
    </row>
    <row r="522" spans="1:11">
      <c r="A522" s="35"/>
      <c r="B522" s="36"/>
      <c r="C522" s="37" t="str">
        <f>IFERROR(_xlfn.XLOOKUP(B522,MObra[DESCRIPCION],MObra[UN],,0),"")</f>
        <v/>
      </c>
      <c r="D522" s="38"/>
      <c r="E522" s="39" t="str">
        <f>IFERROR(_xlfn.XLOOKUP($B522,MObra[DESCRIPCION],MObra[VALOR UNIT],,0),"")</f>
        <v/>
      </c>
      <c r="F522" s="40"/>
      <c r="G522" s="41" t="str">
        <f>IFERROR(IF(F522&gt;=0,D522*E522*(1+F522/100),ABS(D522*E522/F522)),"")</f>
        <v/>
      </c>
      <c r="H522" s="42" t="str">
        <f>IFERROR(G522*E504,"")</f>
        <v/>
      </c>
    </row>
    <row r="524" spans="1:11">
      <c r="A524" s="6" t="s">
        <v>1420</v>
      </c>
      <c r="B524" s="7" t="str">
        <f>VLOOKUP($A524,Presupuesto!$A:$D,2,FALSE())</f>
        <v>Resane estuco muros o cielo raso</v>
      </c>
      <c r="C524" s="8" t="str">
        <f>VLOOKUP($A524,Presupuesto!$A:$D,3,FALSE())</f>
        <v>M2</v>
      </c>
      <c r="D524" s="9"/>
      <c r="E524" s="10">
        <f>VLOOKUP($A524,Presupuesto!$A:$D,4,FALSE())</f>
        <v>0</v>
      </c>
      <c r="F524" s="11" t="s">
        <v>2589</v>
      </c>
      <c r="G524" s="12">
        <f>SUM(G526:G542)/2</f>
        <v>37131.323401950009</v>
      </c>
      <c r="H524" s="13">
        <f>ROUND(SUM(H526:H542),0)/2</f>
        <v>0</v>
      </c>
      <c r="I524" s="10">
        <f>VLOOKUP(A524,Presupuesto!$A:$F,6,0)</f>
        <v>0</v>
      </c>
      <c r="J524" s="10">
        <f>+H524-I524</f>
        <v>0</v>
      </c>
      <c r="K524" s="46">
        <f>+H524-G524*E524</f>
        <v>0</v>
      </c>
    </row>
    <row r="525" spans="1:11">
      <c r="A525" s="14"/>
      <c r="B525" s="15" t="s">
        <v>2586</v>
      </c>
      <c r="C525" s="15" t="s">
        <v>5</v>
      </c>
      <c r="D525" s="16" t="s">
        <v>6</v>
      </c>
      <c r="E525" s="17" t="s">
        <v>7</v>
      </c>
      <c r="F525" s="18" t="s">
        <v>3728</v>
      </c>
      <c r="G525" s="19" t="s">
        <v>3729</v>
      </c>
      <c r="H525" s="20" t="s">
        <v>3797</v>
      </c>
    </row>
    <row r="526" spans="1:11">
      <c r="A526" s="21"/>
      <c r="B526" s="22" t="s">
        <v>3730</v>
      </c>
      <c r="C526" s="23"/>
      <c r="D526" s="24"/>
      <c r="E526" s="25"/>
      <c r="F526" s="26"/>
      <c r="G526" s="27">
        <f>SUM(G527:G531)</f>
        <v>13028.032499999999</v>
      </c>
      <c r="H526" s="27">
        <f>IFERROR(G526*E524,"")</f>
        <v>0</v>
      </c>
    </row>
    <row r="527" spans="1:11">
      <c r="A527" s="28"/>
      <c r="B527" s="29" t="s">
        <v>2947</v>
      </c>
      <c r="C527" s="30" t="str">
        <f>IFERROR(_xlfn.XLOOKUP(B527,Insumo[DESCRIPCION],Insumo[UND],,0),"")</f>
        <v>Kg</v>
      </c>
      <c r="D527" s="31">
        <v>0.24</v>
      </c>
      <c r="E527" s="32">
        <f>IFERROR(_xlfn.XLOOKUP($B527,Insumo[DESCRIPCION],Insumo[VALOR],,0),"")</f>
        <v>52767.75</v>
      </c>
      <c r="F527" s="33"/>
      <c r="G527" s="34">
        <f>IFERROR(IF(F527&gt;=0,D527*E527*(1+F527/100),ABS(D527*E527/F527)),"")</f>
        <v>12664.26</v>
      </c>
      <c r="H527" s="43">
        <f>IFERROR(G527*E524,"")</f>
        <v>0</v>
      </c>
    </row>
    <row r="528" spans="1:11">
      <c r="A528" s="28"/>
      <c r="B528" s="29" t="s">
        <v>3043</v>
      </c>
      <c r="C528" s="30" t="str">
        <f>IFERROR(_xlfn.XLOOKUP(B528,Insumo[DESCRIPCION],Insumo[UND],,0),"")</f>
        <v>Un</v>
      </c>
      <c r="D528" s="31">
        <v>0.15</v>
      </c>
      <c r="E528" s="32">
        <f>IFERROR(_xlfn.XLOOKUP($B528,Insumo[DESCRIPCION],Insumo[VALOR],,0),"")</f>
        <v>2050.65</v>
      </c>
      <c r="F528" s="33"/>
      <c r="G528" s="34">
        <f>IFERROR(IF(F528&gt;=0,D528*E528*(1+F528/100),ABS(D528*E528/F528)),"")</f>
        <v>307.59750000000003</v>
      </c>
      <c r="H528" s="43">
        <f>IFERROR(G528*E524,"")</f>
        <v>0</v>
      </c>
    </row>
    <row r="529" spans="1:11">
      <c r="A529" s="28"/>
      <c r="B529" s="29" t="s">
        <v>2845</v>
      </c>
      <c r="C529" s="30" t="str">
        <f>IFERROR(_xlfn.XLOOKUP(B529,Insumo[DESCRIPCION],Insumo[UND],,0),"")</f>
        <v>M</v>
      </c>
      <c r="D529" s="31">
        <v>0.5</v>
      </c>
      <c r="E529" s="32">
        <f>IFERROR(_xlfn.XLOOKUP($B529,Insumo[DESCRIPCION],Insumo[VALOR],,0),"")</f>
        <v>112.35000000000001</v>
      </c>
      <c r="F529" s="33"/>
      <c r="G529" s="34">
        <f>IFERROR(IF(F529&gt;=0,D529*E529*(1+F529/100),ABS(D529*E529/F529)),"")</f>
        <v>56.175000000000004</v>
      </c>
      <c r="H529" s="43">
        <f>IFERROR(G529*E524,"")</f>
        <v>0</v>
      </c>
    </row>
    <row r="530" spans="1:11">
      <c r="A530" s="28"/>
      <c r="B530" s="29"/>
      <c r="C530" s="30" t="str">
        <f>IFERROR(_xlfn.XLOOKUP(B530,Insumo[DESCRIPCION],Insumo[UND],,0),"")</f>
        <v/>
      </c>
      <c r="D530" s="31"/>
      <c r="E530" s="32" t="str">
        <f>IFERROR(_xlfn.XLOOKUP($B530,Insumo[DESCRIPCION],Insumo[VALOR],,0),"")</f>
        <v/>
      </c>
      <c r="F530" s="33"/>
      <c r="G530" s="34" t="str">
        <f>IFERROR(IF(F530&gt;=0,D530*E530*(1+F530/100),ABS(D530*E530/F530)),"")</f>
        <v/>
      </c>
      <c r="H530" s="43" t="str">
        <f>IFERROR(G530*E524,"")</f>
        <v/>
      </c>
    </row>
    <row r="531" spans="1:11">
      <c r="A531" s="28"/>
      <c r="B531" s="29"/>
      <c r="C531" s="30" t="str">
        <f>IFERROR(_xlfn.XLOOKUP(B531,Insumo[DESCRIPCION],Insumo[UND],,0),"")</f>
        <v/>
      </c>
      <c r="D531" s="31"/>
      <c r="E531" s="32" t="str">
        <f>IFERROR(_xlfn.XLOOKUP($B531,Insumo[DESCRIPCION],Insumo[VALOR],,0),"")</f>
        <v/>
      </c>
      <c r="F531" s="33"/>
      <c r="G531" s="34" t="str">
        <f>IFERROR(IF(F531&gt;=0,D531*E531*(1+F531/100),ABS(D531*E531/F531)),"")</f>
        <v/>
      </c>
      <c r="H531" s="43" t="str">
        <f>IFERROR(G531*E524,"")</f>
        <v/>
      </c>
    </row>
    <row r="532" spans="1:11">
      <c r="A532" s="21"/>
      <c r="B532" s="22" t="s">
        <v>3731</v>
      </c>
      <c r="C532" s="23"/>
      <c r="D532" s="24"/>
      <c r="E532" s="25"/>
      <c r="F532" s="26"/>
      <c r="G532" s="27">
        <f>SUM(G533:G535)</f>
        <v>3143.9075089500002</v>
      </c>
      <c r="H532" s="44">
        <f>G532*E524</f>
        <v>0</v>
      </c>
    </row>
    <row r="533" spans="1:11">
      <c r="A533" s="28"/>
      <c r="B533" s="29" t="s">
        <v>3573</v>
      </c>
      <c r="C533" s="30" t="str">
        <f>IFERROR(_xlfn.XLOOKUP(B533,Equipo[DESCRIPCION],Equipo[UND],,0),"")</f>
        <v>%MO</v>
      </c>
      <c r="D533" s="31">
        <v>0.1</v>
      </c>
      <c r="E533" s="32">
        <f>IF(C533="%MO",G539,IFERROR(_xlfn.XLOOKUP($B533,Equipo[DESCRIPCION],Equipo[VALOR],,0),""))</f>
        <v>20959.383393000004</v>
      </c>
      <c r="F533" s="33"/>
      <c r="G533" s="34">
        <f>IFERROR(IF(F533&gt;=0,D533*E533*(1+F533/100),ABS(D533*E533/F533)),"")</f>
        <v>2095.9383393000003</v>
      </c>
      <c r="H533" s="43">
        <f>IFERROR(G533*E524,"")</f>
        <v>0</v>
      </c>
    </row>
    <row r="534" spans="1:11">
      <c r="A534" s="28"/>
      <c r="B534" s="29" t="s">
        <v>3626</v>
      </c>
      <c r="C534" s="30" t="str">
        <f>IFERROR(_xlfn.XLOOKUP(B534,Equipo[DESCRIPCION],Equipo[UND],,0),"")</f>
        <v>%MO</v>
      </c>
      <c r="D534" s="31">
        <v>0.05</v>
      </c>
      <c r="E534" s="32">
        <f>IF(C534="%MO",G539,IFERROR(_xlfn.XLOOKUP($B534,Equipo[DESCRIPCION],Equipo[VALOR],,0),""))</f>
        <v>20959.383393000004</v>
      </c>
      <c r="F534" s="33"/>
      <c r="G534" s="34">
        <f>IFERROR(IF(F534&gt;=0,D534*E534*(1+F534/100),ABS(D534*E534/F534)),"")</f>
        <v>1047.9691696500001</v>
      </c>
      <c r="H534" s="43">
        <f>IFERROR(G534*E524,"")</f>
        <v>0</v>
      </c>
    </row>
    <row r="535" spans="1:11">
      <c r="A535" s="28"/>
      <c r="B535" s="29"/>
      <c r="C535" s="30" t="str">
        <f>IFERROR(_xlfn.XLOOKUP(B535,Equipo[DESCRIPCION],Equipo[UND],,0),"")</f>
        <v/>
      </c>
      <c r="D535" s="31"/>
      <c r="E535" s="32" t="str">
        <f>IF(C535="%MO",G539,IFERROR(_xlfn.XLOOKUP($B535,Equipo[DESCRIPCION],Equipo[VALOR],,0),""))</f>
        <v/>
      </c>
      <c r="F535" s="33"/>
      <c r="G535" s="34" t="str">
        <f>IFERROR(IF(F535&gt;=0,D535*E535*(1+F535/100),ABS(D535*E535/F535)),"")</f>
        <v/>
      </c>
      <c r="H535" s="43" t="str">
        <f>IFERROR(G535*E524,"")</f>
        <v/>
      </c>
    </row>
    <row r="536" spans="1:11">
      <c r="A536" s="21"/>
      <c r="B536" s="22" t="s">
        <v>2533</v>
      </c>
      <c r="C536" s="23"/>
      <c r="D536" s="24"/>
      <c r="E536" s="25"/>
      <c r="F536" s="26"/>
      <c r="G536" s="27">
        <f>SUM(G537:G538)</f>
        <v>0</v>
      </c>
      <c r="H536" s="138">
        <f>IFERROR(G536*E524,"")</f>
        <v>0</v>
      </c>
    </row>
    <row r="537" spans="1:11">
      <c r="A537" s="28"/>
      <c r="B537" s="29"/>
      <c r="C537" s="30" t="str">
        <f>IFERROR(_xlfn.XLOOKUP(B537,Transporte[DESCRIPCION],Transporte[UND],,0),"")</f>
        <v/>
      </c>
      <c r="D537" s="31"/>
      <c r="E537" s="32" t="str">
        <f>IFERROR(_xlfn.XLOOKUP($B537,Transporte[DESCRIPCION],Transporte[VALOR],,0),"")</f>
        <v/>
      </c>
      <c r="F537" s="33"/>
      <c r="G537" s="34" t="str">
        <f>IFERROR(IF(F537&gt;=0,D537*E537*(1+F537/100),ABS(D537*E537/F537)),"")</f>
        <v/>
      </c>
      <c r="H537" s="43" t="str">
        <f>IFERROR(G537*E524,"")</f>
        <v/>
      </c>
    </row>
    <row r="538" spans="1:11">
      <c r="A538" s="28"/>
      <c r="B538" s="29"/>
      <c r="C538" s="30" t="str">
        <f>IFERROR(_xlfn.XLOOKUP(B538,Transporte[DESCRIPCION],Transporte[UND],,0),"")</f>
        <v/>
      </c>
      <c r="D538" s="31"/>
      <c r="E538" s="32" t="str">
        <f>IFERROR(_xlfn.XLOOKUP($B538,Transporte[DESCRIPCION],Transporte[VALOR],,0),"")</f>
        <v/>
      </c>
      <c r="F538" s="33"/>
      <c r="G538" s="34" t="str">
        <f>IFERROR(IF(F538&gt;=0,D538*E538*(1+F538/100),ABS(D538*E538/F538)),"")</f>
        <v/>
      </c>
      <c r="H538" s="43" t="str">
        <f>IFERROR(G538*E524,"")</f>
        <v/>
      </c>
    </row>
    <row r="539" spans="1:11">
      <c r="A539" s="21"/>
      <c r="B539" s="22" t="s">
        <v>3732</v>
      </c>
      <c r="C539" s="23"/>
      <c r="D539" s="24"/>
      <c r="E539" s="25"/>
      <c r="F539" s="26"/>
      <c r="G539" s="27">
        <f>SUM(G540:G542)</f>
        <v>20959.383393000004</v>
      </c>
      <c r="H539" s="43">
        <f>IFERROR(G539*E524,"")</f>
        <v>0</v>
      </c>
    </row>
    <row r="540" spans="1:11">
      <c r="A540" s="28"/>
      <c r="B540" s="29" t="s">
        <v>3710</v>
      </c>
      <c r="C540" s="30" t="str">
        <f>IFERROR(_xlfn.XLOOKUP(B540,MObra[DESCRIPCION],MObra[UN],,0),"")</f>
        <v>día</v>
      </c>
      <c r="D540" s="31">
        <v>1</v>
      </c>
      <c r="E540" s="32">
        <f>IFERROR(_xlfn.XLOOKUP($B540,MObra[DESCRIPCION],MObra[VALOR UNIT],,0),"")</f>
        <v>314390.75089500006</v>
      </c>
      <c r="F540" s="33">
        <v>-15</v>
      </c>
      <c r="G540" s="34">
        <f>IFERROR(IF(F540&gt;=0,D540*E540*(1+F540/100),ABS(D540*E540/F540)),"")</f>
        <v>20959.383393000004</v>
      </c>
      <c r="H540" s="43">
        <f>IFERROR(G540*E524,"")</f>
        <v>0</v>
      </c>
    </row>
    <row r="541" spans="1:11">
      <c r="A541" s="28"/>
      <c r="B541" s="29"/>
      <c r="C541" s="30" t="str">
        <f>IFERROR(_xlfn.XLOOKUP(B541,MObra[DESCRIPCION],MObra[UN],,0),"")</f>
        <v/>
      </c>
      <c r="D541" s="31"/>
      <c r="E541" s="32" t="str">
        <f>IFERROR(_xlfn.XLOOKUP($B541,MObra[DESCRIPCION],MObra[VALOR UNIT],,0),"")</f>
        <v/>
      </c>
      <c r="F541" s="33"/>
      <c r="G541" s="34" t="str">
        <f>IFERROR(IF(F541&gt;=0,D541*E541*(1+F541/100),ABS(D541*E541/F541)),"")</f>
        <v/>
      </c>
      <c r="H541" s="43" t="str">
        <f>IFERROR(G541*E524,"")</f>
        <v/>
      </c>
    </row>
    <row r="542" spans="1:11">
      <c r="A542" s="35"/>
      <c r="B542" s="36"/>
      <c r="C542" s="37" t="str">
        <f>IFERROR(_xlfn.XLOOKUP(B542,MObra[DESCRIPCION],MObra[UN],,0),"")</f>
        <v/>
      </c>
      <c r="D542" s="38"/>
      <c r="E542" s="39" t="str">
        <f>IFERROR(_xlfn.XLOOKUP($B542,MObra[DESCRIPCION],MObra[VALOR UNIT],,0),"")</f>
        <v/>
      </c>
      <c r="F542" s="40"/>
      <c r="G542" s="41" t="str">
        <f>IFERROR(IF(F542&gt;=0,D542*E542*(1+F542/100),ABS(D542*E542/F542)),"")</f>
        <v/>
      </c>
      <c r="H542" s="42" t="str">
        <f>IFERROR(G542*E524,"")</f>
        <v/>
      </c>
    </row>
    <row r="544" spans="1:11">
      <c r="A544" s="6" t="s">
        <v>1422</v>
      </c>
      <c r="B544" s="7" t="str">
        <f>VLOOKUP($A544,Presupuesto!$A:$D,2,FALSE())</f>
        <v>Resane fisuras muros malla vena</v>
      </c>
      <c r="C544" s="8" t="str">
        <f>VLOOKUP($A544,Presupuesto!$A:$D,3,FALSE())</f>
        <v>M</v>
      </c>
      <c r="D544" s="9"/>
      <c r="E544" s="10">
        <f>VLOOKUP($A544,Presupuesto!$A:$D,4,FALSE())</f>
        <v>0</v>
      </c>
      <c r="F544" s="11" t="s">
        <v>2589</v>
      </c>
      <c r="G544" s="12">
        <f>SUM(G546:G562)/2</f>
        <v>13400.352341016376</v>
      </c>
      <c r="H544" s="13">
        <f>ROUND(SUM(H546:H562),0)/2</f>
        <v>0</v>
      </c>
      <c r="I544" s="10">
        <f>VLOOKUP(A544,Presupuesto!$A:$F,6,0)</f>
        <v>0</v>
      </c>
      <c r="J544" s="10">
        <f>+H544-I544</f>
        <v>0</v>
      </c>
      <c r="K544" s="46">
        <f>+H544-G544*E544</f>
        <v>0</v>
      </c>
    </row>
    <row r="545" spans="1:8">
      <c r="A545" s="14"/>
      <c r="B545" s="15" t="s">
        <v>2586</v>
      </c>
      <c r="C545" s="15" t="s">
        <v>5</v>
      </c>
      <c r="D545" s="16" t="s">
        <v>6</v>
      </c>
      <c r="E545" s="17" t="s">
        <v>7</v>
      </c>
      <c r="F545" s="18" t="s">
        <v>3728</v>
      </c>
      <c r="G545" s="19" t="s">
        <v>3729</v>
      </c>
      <c r="H545" s="20" t="s">
        <v>3797</v>
      </c>
    </row>
    <row r="546" spans="1:8">
      <c r="A546" s="21"/>
      <c r="B546" s="22" t="s">
        <v>3730</v>
      </c>
      <c r="C546" s="23"/>
      <c r="D546" s="24"/>
      <c r="E546" s="25"/>
      <c r="F546" s="26"/>
      <c r="G546" s="27">
        <f>SUM(G547:G551)</f>
        <v>6798.1465722213761</v>
      </c>
      <c r="H546" s="27">
        <f>IFERROR(G546*E544,"")</f>
        <v>0</v>
      </c>
    </row>
    <row r="547" spans="1:8">
      <c r="A547" s="28"/>
      <c r="B547" s="29" t="s">
        <v>3130</v>
      </c>
      <c r="C547" s="30" t="str">
        <f>IFERROR(_xlfn.XLOOKUP(B547,Insumo[DESCRIPCION],Insumo[UND],,0),"")</f>
        <v>M2</v>
      </c>
      <c r="D547" s="31">
        <v>0.2</v>
      </c>
      <c r="E547" s="32">
        <f>IFERROR(_xlfn.XLOOKUP($B547,Insumo[DESCRIPCION],Insumo[VALOR],,0),"")</f>
        <v>9102.4500000000007</v>
      </c>
      <c r="F547" s="33"/>
      <c r="G547" s="34">
        <f>IFERROR(IF(F547&gt;=0,D547*E547*(1+F547/100),ABS(D547*E547/F547)),"")</f>
        <v>1820.4900000000002</v>
      </c>
      <c r="H547" s="43">
        <f>IFERROR(G547*E544,"")</f>
        <v>0</v>
      </c>
    </row>
    <row r="548" spans="1:8">
      <c r="A548" s="28"/>
      <c r="B548" s="29" t="s">
        <v>3244</v>
      </c>
      <c r="C548" s="30" t="str">
        <f>IFERROR(_xlfn.XLOOKUP(B548,Insumo[DESCRIPCION],Insumo[UND],,0),"")</f>
        <v>M3</v>
      </c>
      <c r="D548" s="31">
        <v>0.01</v>
      </c>
      <c r="E548" s="32">
        <f>IFERROR(_xlfn.XLOOKUP($B548,Insumo[DESCRIPCION],Insumo[VALOR],,0),"")</f>
        <v>497765.65722213761</v>
      </c>
      <c r="F548" s="33"/>
      <c r="G548" s="34">
        <f>IFERROR(IF(F548&gt;=0,D548*E548*(1+F548/100),ABS(D548*E548/F548)),"")</f>
        <v>4977.6565722213763</v>
      </c>
      <c r="H548" s="43">
        <f>IFERROR(G548*E544,"")</f>
        <v>0</v>
      </c>
    </row>
    <row r="549" spans="1:8">
      <c r="A549" s="28"/>
      <c r="B549" s="29"/>
      <c r="C549" s="30" t="str">
        <f>IFERROR(_xlfn.XLOOKUP(B549,Insumo[DESCRIPCION],Insumo[UND],,0),"")</f>
        <v/>
      </c>
      <c r="D549" s="31"/>
      <c r="E549" s="32" t="str">
        <f>IFERROR(_xlfn.XLOOKUP($B549,Insumo[DESCRIPCION],Insumo[VALOR],,0),"")</f>
        <v/>
      </c>
      <c r="F549" s="33"/>
      <c r="G549" s="34" t="str">
        <f>IFERROR(IF(F549&gt;=0,D549*E549*(1+F549/100),ABS(D549*E549/F549)),"")</f>
        <v/>
      </c>
      <c r="H549" s="43" t="str">
        <f>IFERROR(G549*E544,"")</f>
        <v/>
      </c>
    </row>
    <row r="550" spans="1:8">
      <c r="A550" s="28"/>
      <c r="B550" s="29"/>
      <c r="C550" s="30" t="str">
        <f>IFERROR(_xlfn.XLOOKUP(B550,Insumo[DESCRIPCION],Insumo[UND],,0),"")</f>
        <v/>
      </c>
      <c r="D550" s="31"/>
      <c r="E550" s="32" t="str">
        <f>IFERROR(_xlfn.XLOOKUP($B550,Insumo[DESCRIPCION],Insumo[VALOR],,0),"")</f>
        <v/>
      </c>
      <c r="F550" s="33"/>
      <c r="G550" s="34" t="str">
        <f>IFERROR(IF(F550&gt;=0,D550*E550*(1+F550/100),ABS(D550*E550/F550)),"")</f>
        <v/>
      </c>
      <c r="H550" s="43" t="str">
        <f>IFERROR(G550*E544,"")</f>
        <v/>
      </c>
    </row>
    <row r="551" spans="1:8">
      <c r="A551" s="28"/>
      <c r="B551" s="29"/>
      <c r="C551" s="30" t="str">
        <f>IFERROR(_xlfn.XLOOKUP(B551,Insumo[DESCRIPCION],Insumo[UND],,0),"")</f>
        <v/>
      </c>
      <c r="D551" s="31"/>
      <c r="E551" s="32" t="str">
        <f>IFERROR(_xlfn.XLOOKUP($B551,Insumo[DESCRIPCION],Insumo[VALOR],,0),"")</f>
        <v/>
      </c>
      <c r="F551" s="33"/>
      <c r="G551" s="34" t="str">
        <f>IFERROR(IF(F551&gt;=0,D551*E551*(1+F551/100),ABS(D551*E551/F551)),"")</f>
        <v/>
      </c>
      <c r="H551" s="43" t="str">
        <f>IFERROR(G551*E544,"")</f>
        <v/>
      </c>
    </row>
    <row r="552" spans="1:8">
      <c r="A552" s="21"/>
      <c r="B552" s="22" t="s">
        <v>3731</v>
      </c>
      <c r="C552" s="23"/>
      <c r="D552" s="24"/>
      <c r="E552" s="25"/>
      <c r="F552" s="26"/>
      <c r="G552" s="27">
        <f>SUM(G553:G555)</f>
        <v>314.39075089500011</v>
      </c>
      <c r="H552" s="44">
        <f>G552*E544</f>
        <v>0</v>
      </c>
    </row>
    <row r="553" spans="1:8">
      <c r="A553" s="28"/>
      <c r="B553" s="29" t="s">
        <v>3626</v>
      </c>
      <c r="C553" s="30" t="str">
        <f>IFERROR(_xlfn.XLOOKUP(B553,Equipo[DESCRIPCION],Equipo[UND],,0),"")</f>
        <v>%MO</v>
      </c>
      <c r="D553" s="31">
        <v>0.05</v>
      </c>
      <c r="E553" s="32">
        <f>IF(C553="%MO",G559,IFERROR(_xlfn.XLOOKUP($B553,Equipo[DESCRIPCION],Equipo[VALOR],,0),""))</f>
        <v>6287.8150179000013</v>
      </c>
      <c r="F553" s="33"/>
      <c r="G553" s="34">
        <f>IFERROR(IF(F553&gt;=0,D553*E553*(1+F553/100),ABS(D553*E553/F553)),"")</f>
        <v>314.39075089500011</v>
      </c>
      <c r="H553" s="43">
        <f>IFERROR(G553*E544,"")</f>
        <v>0</v>
      </c>
    </row>
    <row r="554" spans="1:8">
      <c r="A554" s="28"/>
      <c r="B554" s="29"/>
      <c r="C554" s="30" t="str">
        <f>IFERROR(_xlfn.XLOOKUP(B554,Equipo[DESCRIPCION],Equipo[UND],,0),"")</f>
        <v/>
      </c>
      <c r="D554" s="31"/>
      <c r="E554" s="32" t="str">
        <f>IF(C554="%MO",G559,IFERROR(_xlfn.XLOOKUP($B554,Equipo[DESCRIPCION],Equipo[VALOR],,0),""))</f>
        <v/>
      </c>
      <c r="F554" s="33"/>
      <c r="G554" s="34" t="str">
        <f>IFERROR(IF(F554&gt;=0,D554*E554*(1+F554/100),ABS(D554*E554/F554)),"")</f>
        <v/>
      </c>
      <c r="H554" s="43" t="str">
        <f>IFERROR(G554*E544,"")</f>
        <v/>
      </c>
    </row>
    <row r="555" spans="1:8">
      <c r="A555" s="28"/>
      <c r="B555" s="29"/>
      <c r="C555" s="30" t="str">
        <f>IFERROR(_xlfn.XLOOKUP(B555,Equipo[DESCRIPCION],Equipo[UND],,0),"")</f>
        <v/>
      </c>
      <c r="D555" s="31"/>
      <c r="E555" s="32" t="str">
        <f>IF(C555="%MO",G559,IFERROR(_xlfn.XLOOKUP($B555,Equipo[DESCRIPCION],Equipo[VALOR],,0),""))</f>
        <v/>
      </c>
      <c r="F555" s="33"/>
      <c r="G555" s="34" t="str">
        <f>IFERROR(IF(F555&gt;=0,D555*E555*(1+F555/100),ABS(D555*E555/F555)),"")</f>
        <v/>
      </c>
      <c r="H555" s="43" t="str">
        <f>IFERROR(G555*E544,"")</f>
        <v/>
      </c>
    </row>
    <row r="556" spans="1:8">
      <c r="A556" s="21"/>
      <c r="B556" s="22" t="s">
        <v>2533</v>
      </c>
      <c r="C556" s="23"/>
      <c r="D556" s="24"/>
      <c r="E556" s="25"/>
      <c r="F556" s="26"/>
      <c r="G556" s="27">
        <f>SUM(G557:G558)</f>
        <v>0</v>
      </c>
      <c r="H556" s="138">
        <f>IFERROR(G556*E544,"")</f>
        <v>0</v>
      </c>
    </row>
    <row r="557" spans="1:8">
      <c r="A557" s="28"/>
      <c r="B557" s="29"/>
      <c r="C557" s="30" t="str">
        <f>IFERROR(_xlfn.XLOOKUP(B557,Transporte[DESCRIPCION],Transporte[UND],,0),"")</f>
        <v/>
      </c>
      <c r="D557" s="31"/>
      <c r="E557" s="32" t="str">
        <f>IFERROR(_xlfn.XLOOKUP($B557,Transporte[DESCRIPCION],Transporte[VALOR],,0),"")</f>
        <v/>
      </c>
      <c r="F557" s="33"/>
      <c r="G557" s="34" t="str">
        <f>IFERROR(IF(F557&gt;=0,D557*E557*(1+F557/100),ABS(D557*E557/F557)),"")</f>
        <v/>
      </c>
      <c r="H557" s="43" t="str">
        <f>IFERROR(G557*E544,"")</f>
        <v/>
      </c>
    </row>
    <row r="558" spans="1:8">
      <c r="A558" s="28"/>
      <c r="B558" s="29"/>
      <c r="C558" s="30" t="str">
        <f>IFERROR(_xlfn.XLOOKUP(B558,Transporte[DESCRIPCION],Transporte[UND],,0),"")</f>
        <v/>
      </c>
      <c r="D558" s="31"/>
      <c r="E558" s="32" t="str">
        <f>IFERROR(_xlfn.XLOOKUP($B558,Transporte[DESCRIPCION],Transporte[VALOR],,0),"")</f>
        <v/>
      </c>
      <c r="F558" s="33"/>
      <c r="G558" s="34" t="str">
        <f>IFERROR(IF(F558&gt;=0,D558*E558*(1+F558/100),ABS(D558*E558/F558)),"")</f>
        <v/>
      </c>
      <c r="H558" s="43" t="str">
        <f>IFERROR(G558*E544,"")</f>
        <v/>
      </c>
    </row>
    <row r="559" spans="1:8">
      <c r="A559" s="21"/>
      <c r="B559" s="22" t="s">
        <v>3732</v>
      </c>
      <c r="C559" s="23"/>
      <c r="D559" s="24"/>
      <c r="E559" s="25"/>
      <c r="F559" s="26"/>
      <c r="G559" s="27">
        <f>SUM(G560:G562)</f>
        <v>6287.8150179000013</v>
      </c>
      <c r="H559" s="43">
        <f>IFERROR(G559*E544,"")</f>
        <v>0</v>
      </c>
    </row>
    <row r="560" spans="1:8">
      <c r="A560" s="28"/>
      <c r="B560" s="29" t="s">
        <v>3710</v>
      </c>
      <c r="C560" s="30" t="str">
        <f>IFERROR(_xlfn.XLOOKUP(B560,MObra[DESCRIPCION],MObra[UN],,0),"")</f>
        <v>día</v>
      </c>
      <c r="D560" s="31">
        <v>1</v>
      </c>
      <c r="E560" s="32">
        <f>IFERROR(_xlfn.XLOOKUP($B560,MObra[DESCRIPCION],MObra[VALOR UNIT],,0),"")</f>
        <v>314390.75089500006</v>
      </c>
      <c r="F560" s="33">
        <v>-50</v>
      </c>
      <c r="G560" s="34">
        <f>IFERROR(IF(F560&gt;=0,D560*E560*(1+F560/100),ABS(D560*E560/F560)),"")</f>
        <v>6287.8150179000013</v>
      </c>
      <c r="H560" s="43">
        <f>IFERROR(G560*E544,"")</f>
        <v>0</v>
      </c>
    </row>
    <row r="561" spans="1:11">
      <c r="A561" s="28"/>
      <c r="B561" s="29"/>
      <c r="C561" s="30" t="str">
        <f>IFERROR(_xlfn.XLOOKUP(B561,MObra[DESCRIPCION],MObra[UN],,0),"")</f>
        <v/>
      </c>
      <c r="D561" s="31"/>
      <c r="E561" s="32" t="str">
        <f>IFERROR(_xlfn.XLOOKUP($B561,MObra[DESCRIPCION],MObra[VALOR UNIT],,0),"")</f>
        <v/>
      </c>
      <c r="F561" s="33"/>
      <c r="G561" s="34" t="str">
        <f>IFERROR(IF(F561&gt;=0,D561*E561*(1+F561/100),ABS(D561*E561/F561)),"")</f>
        <v/>
      </c>
      <c r="H561" s="43" t="str">
        <f>IFERROR(G561*E544,"")</f>
        <v/>
      </c>
    </row>
    <row r="562" spans="1:11">
      <c r="A562" s="35"/>
      <c r="B562" s="36"/>
      <c r="C562" s="37" t="str">
        <f>IFERROR(_xlfn.XLOOKUP(B562,MObra[DESCRIPCION],MObra[UN],,0),"")</f>
        <v/>
      </c>
      <c r="D562" s="38"/>
      <c r="E562" s="39" t="str">
        <f>IFERROR(_xlfn.XLOOKUP($B562,MObra[DESCRIPCION],MObra[VALOR UNIT],,0),"")</f>
        <v/>
      </c>
      <c r="F562" s="40"/>
      <c r="G562" s="41" t="str">
        <f>IFERROR(IF(F562&gt;=0,D562*E562*(1+F562/100),ABS(D562*E562/F562)),"")</f>
        <v/>
      </c>
      <c r="H562" s="42" t="str">
        <f>IFERROR(G562*E544,"")</f>
        <v/>
      </c>
    </row>
    <row r="564" spans="1:11">
      <c r="A564" s="6" t="s">
        <v>1424</v>
      </c>
      <c r="B564" s="7" t="str">
        <f>VLOOKUP($A564,Presupuesto!$A:$D,2,FALSE())</f>
        <v>Retoque pintura muros esmalte 1 mano</v>
      </c>
      <c r="C564" s="8" t="str">
        <f>VLOOKUP($A564,Presupuesto!$A:$D,3,FALSE())</f>
        <v>M2</v>
      </c>
      <c r="D564" s="9"/>
      <c r="E564" s="10">
        <f>VLOOKUP($A564,Presupuesto!$A:$D,4,FALSE())</f>
        <v>0</v>
      </c>
      <c r="F564" s="11" t="s">
        <v>2589</v>
      </c>
      <c r="G564" s="12">
        <f>SUM(G566:G582)/2</f>
        <v>16867.372621575003</v>
      </c>
      <c r="H564" s="13">
        <f>ROUND(SUM(H566:H582),0)/2</f>
        <v>0</v>
      </c>
      <c r="I564" s="10">
        <f>VLOOKUP(A564,Presupuesto!$A:$F,6,0)</f>
        <v>0</v>
      </c>
      <c r="J564" s="10">
        <f>+H564-I564</f>
        <v>0</v>
      </c>
      <c r="K564" s="46">
        <f>+H564-G564*E564</f>
        <v>0</v>
      </c>
    </row>
    <row r="565" spans="1:11">
      <c r="A565" s="14"/>
      <c r="B565" s="15" t="s">
        <v>2586</v>
      </c>
      <c r="C565" s="15" t="s">
        <v>5</v>
      </c>
      <c r="D565" s="16" t="s">
        <v>6</v>
      </c>
      <c r="E565" s="17" t="s">
        <v>7</v>
      </c>
      <c r="F565" s="18" t="s">
        <v>3728</v>
      </c>
      <c r="G565" s="19" t="s">
        <v>3729</v>
      </c>
      <c r="H565" s="20" t="s">
        <v>3797</v>
      </c>
    </row>
    <row r="566" spans="1:11">
      <c r="A566" s="21"/>
      <c r="B566" s="22" t="s">
        <v>3730</v>
      </c>
      <c r="C566" s="23"/>
      <c r="D566" s="24"/>
      <c r="E566" s="25"/>
      <c r="F566" s="26"/>
      <c r="G566" s="27">
        <f>SUM(G567:G571)</f>
        <v>9939.1320000000014</v>
      </c>
      <c r="H566" s="27">
        <f>IFERROR(G566*E564,"")</f>
        <v>0</v>
      </c>
    </row>
    <row r="567" spans="1:11">
      <c r="A567" s="28"/>
      <c r="B567" s="29" t="s">
        <v>2925</v>
      </c>
      <c r="C567" s="30" t="str">
        <f>IFERROR(_xlfn.XLOOKUP(B567,Insumo[DESCRIPCION],Insumo[UND],,0),"")</f>
        <v>Lt</v>
      </c>
      <c r="D567" s="31">
        <v>0.12</v>
      </c>
      <c r="E567" s="32">
        <f>IFERROR(_xlfn.XLOOKUP($B567,Insumo[DESCRIPCION],Insumo[VALOR],,0),"")</f>
        <v>28923.300000000003</v>
      </c>
      <c r="F567" s="33"/>
      <c r="G567" s="34">
        <f>IFERROR(IF(F567&gt;=0,D567*E567*(1+F567/100),ABS(D567*E567/F567)),"")</f>
        <v>3470.7960000000003</v>
      </c>
      <c r="H567" s="43">
        <f>IFERROR(G567*E564,"")</f>
        <v>0</v>
      </c>
    </row>
    <row r="568" spans="1:11">
      <c r="A568" s="28"/>
      <c r="B568" s="29" t="s">
        <v>3204</v>
      </c>
      <c r="C568" s="30" t="str">
        <f>IFERROR(_xlfn.XLOOKUP(B568,Insumo[DESCRIPCION],Insumo[UND],,0),"")</f>
        <v>galón</v>
      </c>
      <c r="D568" s="31">
        <v>0.06</v>
      </c>
      <c r="E568" s="32">
        <f>IFERROR(_xlfn.XLOOKUP($B568,Insumo[DESCRIPCION],Insumo[VALOR],,0),"")</f>
        <v>107805.6</v>
      </c>
      <c r="F568" s="33"/>
      <c r="G568" s="34">
        <f>IFERROR(IF(F568&gt;=0,D568*E568*(1+F568/100),ABS(D568*E568/F568)),"")</f>
        <v>6468.3360000000002</v>
      </c>
      <c r="H568" s="43">
        <f>IFERROR(G568*E564,"")</f>
        <v>0</v>
      </c>
    </row>
    <row r="569" spans="1:11">
      <c r="A569" s="28"/>
      <c r="B569" s="29"/>
      <c r="C569" s="30" t="str">
        <f>IFERROR(_xlfn.XLOOKUP(B569,Insumo[DESCRIPCION],Insumo[UND],,0),"")</f>
        <v/>
      </c>
      <c r="D569" s="31"/>
      <c r="E569" s="32" t="str">
        <f>IFERROR(_xlfn.XLOOKUP($B569,Insumo[DESCRIPCION],Insumo[VALOR],,0),"")</f>
        <v/>
      </c>
      <c r="F569" s="33"/>
      <c r="G569" s="34" t="str">
        <f>IFERROR(IF(F569&gt;=0,D569*E569*(1+F569/100),ABS(D569*E569/F569)),"")</f>
        <v/>
      </c>
      <c r="H569" s="43" t="str">
        <f>IFERROR(G569*E564,"")</f>
        <v/>
      </c>
    </row>
    <row r="570" spans="1:11">
      <c r="A570" s="28"/>
      <c r="B570" s="29"/>
      <c r="C570" s="30" t="str">
        <f>IFERROR(_xlfn.XLOOKUP(B570,Insumo[DESCRIPCION],Insumo[UND],,0),"")</f>
        <v/>
      </c>
      <c r="D570" s="31"/>
      <c r="E570" s="32" t="str">
        <f>IFERROR(_xlfn.XLOOKUP($B570,Insumo[DESCRIPCION],Insumo[VALOR],,0),"")</f>
        <v/>
      </c>
      <c r="F570" s="33"/>
      <c r="G570" s="34" t="str">
        <f>IFERROR(IF(F570&gt;=0,D570*E570*(1+F570/100),ABS(D570*E570/F570)),"")</f>
        <v/>
      </c>
      <c r="H570" s="43" t="str">
        <f>IFERROR(G570*E564,"")</f>
        <v/>
      </c>
    </row>
    <row r="571" spans="1:11">
      <c r="A571" s="28"/>
      <c r="B571" s="29"/>
      <c r="C571" s="30" t="str">
        <f>IFERROR(_xlfn.XLOOKUP(B571,Insumo[DESCRIPCION],Insumo[UND],,0),"")</f>
        <v/>
      </c>
      <c r="D571" s="31"/>
      <c r="E571" s="32" t="str">
        <f>IFERROR(_xlfn.XLOOKUP($B571,Insumo[DESCRIPCION],Insumo[VALOR],,0),"")</f>
        <v/>
      </c>
      <c r="F571" s="33"/>
      <c r="G571" s="34" t="str">
        <f>IFERROR(IF(F571&gt;=0,D571*E571*(1+F571/100),ABS(D571*E571/F571)),"")</f>
        <v/>
      </c>
      <c r="H571" s="43" t="str">
        <f>IFERROR(G571*E564,"")</f>
        <v/>
      </c>
    </row>
    <row r="572" spans="1:11">
      <c r="A572" s="21"/>
      <c r="B572" s="22" t="s">
        <v>3731</v>
      </c>
      <c r="C572" s="23"/>
      <c r="D572" s="24"/>
      <c r="E572" s="25"/>
      <c r="F572" s="26"/>
      <c r="G572" s="27">
        <f>SUM(G573:G575)</f>
        <v>329.91622007500007</v>
      </c>
      <c r="H572" s="44">
        <f>G572*E564</f>
        <v>0</v>
      </c>
    </row>
    <row r="573" spans="1:11">
      <c r="A573" s="28"/>
      <c r="B573" s="29" t="s">
        <v>3626</v>
      </c>
      <c r="C573" s="30" t="str">
        <f>IFERROR(_xlfn.XLOOKUP(B573,Equipo[DESCRIPCION],Equipo[UND],,0),"")</f>
        <v>%MO</v>
      </c>
      <c r="D573" s="31">
        <v>0.05</v>
      </c>
      <c r="E573" s="32">
        <f>IF(C573="%MO",G579,IFERROR(_xlfn.XLOOKUP($B573,Equipo[DESCRIPCION],Equipo[VALOR],,0),""))</f>
        <v>6598.3244015000009</v>
      </c>
      <c r="F573" s="33"/>
      <c r="G573" s="34">
        <f>IFERROR(IF(F573&gt;=0,D573*E573*(1+F573/100),ABS(D573*E573/F573)),"")</f>
        <v>329.91622007500007</v>
      </c>
      <c r="H573" s="43">
        <f>IFERROR(G573*E564,"")</f>
        <v>0</v>
      </c>
    </row>
    <row r="574" spans="1:11">
      <c r="A574" s="28"/>
      <c r="B574" s="29"/>
      <c r="C574" s="30" t="str">
        <f>IFERROR(_xlfn.XLOOKUP(B574,Equipo[DESCRIPCION],Equipo[UND],,0),"")</f>
        <v/>
      </c>
      <c r="D574" s="31"/>
      <c r="E574" s="32" t="str">
        <f>IF(C574="%MO",G579,IFERROR(_xlfn.XLOOKUP($B574,Equipo[DESCRIPCION],Equipo[VALOR],,0),""))</f>
        <v/>
      </c>
      <c r="F574" s="33"/>
      <c r="G574" s="34" t="str">
        <f>IFERROR(IF(F574&gt;=0,D574*E574*(1+F574/100),ABS(D574*E574/F574)),"")</f>
        <v/>
      </c>
      <c r="H574" s="43" t="str">
        <f>IFERROR(G574*E564,"")</f>
        <v/>
      </c>
    </row>
    <row r="575" spans="1:11">
      <c r="A575" s="28"/>
      <c r="B575" s="29"/>
      <c r="C575" s="30" t="str">
        <f>IFERROR(_xlfn.XLOOKUP(B575,Equipo[DESCRIPCION],Equipo[UND],,0),"")</f>
        <v/>
      </c>
      <c r="D575" s="31"/>
      <c r="E575" s="32" t="str">
        <f>IF(C575="%MO",G579,IFERROR(_xlfn.XLOOKUP($B575,Equipo[DESCRIPCION],Equipo[VALOR],,0),""))</f>
        <v/>
      </c>
      <c r="F575" s="33"/>
      <c r="G575" s="34" t="str">
        <f>IFERROR(IF(F575&gt;=0,D575*E575*(1+F575/100),ABS(D575*E575/F575)),"")</f>
        <v/>
      </c>
      <c r="H575" s="43" t="str">
        <f>IFERROR(G575*E564,"")</f>
        <v/>
      </c>
    </row>
    <row r="576" spans="1:11">
      <c r="A576" s="21"/>
      <c r="B576" s="22" t="s">
        <v>2533</v>
      </c>
      <c r="C576" s="23"/>
      <c r="D576" s="24"/>
      <c r="E576" s="25"/>
      <c r="F576" s="26"/>
      <c r="G576" s="27">
        <f>SUM(G577:G578)</f>
        <v>0</v>
      </c>
      <c r="H576" s="138">
        <f>IFERROR(G576*E564,"")</f>
        <v>0</v>
      </c>
    </row>
    <row r="577" spans="1:11">
      <c r="A577" s="28"/>
      <c r="B577" s="29"/>
      <c r="C577" s="30" t="str">
        <f>IFERROR(_xlfn.XLOOKUP(B577,Transporte[DESCRIPCION],Transporte[UND],,0),"")</f>
        <v/>
      </c>
      <c r="D577" s="31"/>
      <c r="E577" s="32" t="str">
        <f>IFERROR(_xlfn.XLOOKUP($B577,Transporte[DESCRIPCION],Transporte[VALOR],,0),"")</f>
        <v/>
      </c>
      <c r="F577" s="33"/>
      <c r="G577" s="34" t="str">
        <f>IFERROR(IF(F577&gt;=0,D577*E577*(1+F577/100),ABS(D577*E577/F577)),"")</f>
        <v/>
      </c>
      <c r="H577" s="43" t="str">
        <f>IFERROR(G577*E564,"")</f>
        <v/>
      </c>
    </row>
    <row r="578" spans="1:11">
      <c r="A578" s="28"/>
      <c r="B578" s="29"/>
      <c r="C578" s="30" t="str">
        <f>IFERROR(_xlfn.XLOOKUP(B578,Transporte[DESCRIPCION],Transporte[UND],,0),"")</f>
        <v/>
      </c>
      <c r="D578" s="31"/>
      <c r="E578" s="32" t="str">
        <f>IFERROR(_xlfn.XLOOKUP($B578,Transporte[DESCRIPCION],Transporte[VALOR],,0),"")</f>
        <v/>
      </c>
      <c r="F578" s="33"/>
      <c r="G578" s="34" t="str">
        <f>IFERROR(IF(F578&gt;=0,D578*E578*(1+F578/100),ABS(D578*E578/F578)),"")</f>
        <v/>
      </c>
      <c r="H578" s="43" t="str">
        <f>IFERROR(G578*E564,"")</f>
        <v/>
      </c>
    </row>
    <row r="579" spans="1:11">
      <c r="A579" s="21"/>
      <c r="B579" s="22" t="s">
        <v>3732</v>
      </c>
      <c r="C579" s="23"/>
      <c r="D579" s="24"/>
      <c r="E579" s="25"/>
      <c r="F579" s="26"/>
      <c r="G579" s="27">
        <f>SUM(G580:G582)</f>
        <v>6598.3244015000009</v>
      </c>
      <c r="H579" s="43">
        <f>IFERROR(G579*E564,"")</f>
        <v>0</v>
      </c>
    </row>
    <row r="580" spans="1:11">
      <c r="A580" s="28"/>
      <c r="B580" s="29" t="s">
        <v>3705</v>
      </c>
      <c r="C580" s="30" t="str">
        <f>IFERROR(_xlfn.XLOOKUP(B580,MObra[DESCRIPCION],MObra[UN],,0),"")</f>
        <v>día</v>
      </c>
      <c r="D580" s="31">
        <v>1</v>
      </c>
      <c r="E580" s="32">
        <f>IFERROR(_xlfn.XLOOKUP($B580,MObra[DESCRIPCION],MObra[VALOR UNIT],,0),"")</f>
        <v>197949.73204500004</v>
      </c>
      <c r="F580" s="33">
        <v>-30</v>
      </c>
      <c r="G580" s="34">
        <f>IFERROR(IF(F580&gt;=0,D580*E580*(1+F580/100),ABS(D580*E580/F580)),"")</f>
        <v>6598.3244015000009</v>
      </c>
      <c r="H580" s="43">
        <f>IFERROR(G580*E564,"")</f>
        <v>0</v>
      </c>
    </row>
    <row r="581" spans="1:11">
      <c r="A581" s="28"/>
      <c r="B581" s="29"/>
      <c r="C581" s="30" t="str">
        <f>IFERROR(_xlfn.XLOOKUP(B581,MObra[DESCRIPCION],MObra[UN],,0),"")</f>
        <v/>
      </c>
      <c r="D581" s="31"/>
      <c r="E581" s="32" t="str">
        <f>IFERROR(_xlfn.XLOOKUP($B581,MObra[DESCRIPCION],MObra[VALOR UNIT],,0),"")</f>
        <v/>
      </c>
      <c r="F581" s="33"/>
      <c r="G581" s="34" t="str">
        <f>IFERROR(IF(F581&gt;=0,D581*E581*(1+F581/100),ABS(D581*E581/F581)),"")</f>
        <v/>
      </c>
      <c r="H581" s="43" t="str">
        <f>IFERROR(G581*E564,"")</f>
        <v/>
      </c>
    </row>
    <row r="582" spans="1:11">
      <c r="A582" s="35"/>
      <c r="B582" s="36"/>
      <c r="C582" s="37" t="str">
        <f>IFERROR(_xlfn.XLOOKUP(B582,MObra[DESCRIPCION],MObra[UN],,0),"")</f>
        <v/>
      </c>
      <c r="D582" s="38"/>
      <c r="E582" s="39" t="str">
        <f>IFERROR(_xlfn.XLOOKUP($B582,MObra[DESCRIPCION],MObra[VALOR UNIT],,0),"")</f>
        <v/>
      </c>
      <c r="F582" s="40"/>
      <c r="G582" s="41" t="str">
        <f>IFERROR(IF(F582&gt;=0,D582*E582*(1+F582/100),ABS(D582*E582/F582)),"")</f>
        <v/>
      </c>
      <c r="H582" s="42" t="str">
        <f>IFERROR(G582*E564,"")</f>
        <v/>
      </c>
    </row>
    <row r="584" spans="1:11">
      <c r="A584" s="6" t="s">
        <v>1426</v>
      </c>
      <c r="B584" s="7" t="str">
        <f>VLOOKUP($A584,Presupuesto!$A:$D,2,FALSE())</f>
        <v>Tratamiento fachada repele agua (hidrofugo)</v>
      </c>
      <c r="C584" s="8" t="str">
        <f>VLOOKUP($A584,Presupuesto!$A:$D,3,FALSE())</f>
        <v>M2</v>
      </c>
      <c r="D584" s="9"/>
      <c r="E584" s="10">
        <f>VLOOKUP($A584,Presupuesto!$A:$D,4,FALSE())</f>
        <v>0</v>
      </c>
      <c r="F584" s="11" t="s">
        <v>2589</v>
      </c>
      <c r="G584" s="12">
        <f>SUM(G586:G602)/2</f>
        <v>33057.902531325002</v>
      </c>
      <c r="H584" s="13">
        <f>ROUND(SUM(H586:H602),0)/2</f>
        <v>0</v>
      </c>
      <c r="I584" s="10">
        <f>VLOOKUP(A584,Presupuesto!$A:$F,6,0)</f>
        <v>0</v>
      </c>
      <c r="J584" s="10">
        <f>+H584-I584</f>
        <v>0</v>
      </c>
      <c r="K584" s="46">
        <f>+H584-G584*E584</f>
        <v>0</v>
      </c>
    </row>
    <row r="585" spans="1:11">
      <c r="A585" s="14"/>
      <c r="B585" s="15" t="s">
        <v>2586</v>
      </c>
      <c r="C585" s="15" t="s">
        <v>5</v>
      </c>
      <c r="D585" s="16" t="s">
        <v>6</v>
      </c>
      <c r="E585" s="17" t="s">
        <v>7</v>
      </c>
      <c r="F585" s="18" t="s">
        <v>3728</v>
      </c>
      <c r="G585" s="19" t="s">
        <v>3729</v>
      </c>
      <c r="H585" s="20" t="s">
        <v>3797</v>
      </c>
    </row>
    <row r="586" spans="1:11">
      <c r="A586" s="21"/>
      <c r="B586" s="22" t="s">
        <v>3730</v>
      </c>
      <c r="C586" s="23"/>
      <c r="D586" s="24"/>
      <c r="E586" s="25"/>
      <c r="F586" s="26"/>
      <c r="G586" s="27">
        <f>SUM(G587:G591)</f>
        <v>15753.36</v>
      </c>
      <c r="H586" s="27">
        <f>IFERROR(G586*E584,"")</f>
        <v>0</v>
      </c>
    </row>
    <row r="587" spans="1:11">
      <c r="A587" s="28"/>
      <c r="B587" s="29" t="s">
        <v>3207</v>
      </c>
      <c r="C587" s="30" t="str">
        <f>IFERROR(_xlfn.XLOOKUP(B587,Insumo[DESCRIPCION],Insumo[UND],,0),"")</f>
        <v>cuñete</v>
      </c>
      <c r="D587" s="31">
        <v>0.2</v>
      </c>
      <c r="E587" s="32">
        <f>IFERROR(_xlfn.XLOOKUP($B587,Insumo[DESCRIPCION],Insumo[VALOR],,0),"")</f>
        <v>78766.8</v>
      </c>
      <c r="F587" s="33"/>
      <c r="G587" s="34">
        <f>IFERROR(IF(F587&gt;=0,D587*E587*(1+F587/100),ABS(D587*E587/F587)),"")</f>
        <v>15753.36</v>
      </c>
      <c r="H587" s="43">
        <f>IFERROR(G587*E584,"")</f>
        <v>0</v>
      </c>
    </row>
    <row r="588" spans="1:11">
      <c r="A588" s="28"/>
      <c r="B588" s="29"/>
      <c r="C588" s="30" t="str">
        <f>IFERROR(_xlfn.XLOOKUP(B588,Insumo[DESCRIPCION],Insumo[UND],,0),"")</f>
        <v/>
      </c>
      <c r="D588" s="31"/>
      <c r="E588" s="32" t="str">
        <f>IFERROR(_xlfn.XLOOKUP($B588,Insumo[DESCRIPCION],Insumo[VALOR],,0),"")</f>
        <v/>
      </c>
      <c r="F588" s="33"/>
      <c r="G588" s="34" t="str">
        <f>IFERROR(IF(F588&gt;=0,D588*E588*(1+F588/100),ABS(D588*E588/F588)),"")</f>
        <v/>
      </c>
      <c r="H588" s="43" t="str">
        <f>IFERROR(G588*E584,"")</f>
        <v/>
      </c>
    </row>
    <row r="589" spans="1:11">
      <c r="A589" s="28"/>
      <c r="B589" s="29"/>
      <c r="C589" s="30" t="str">
        <f>IFERROR(_xlfn.XLOOKUP(B589,Insumo[DESCRIPCION],Insumo[UND],,0),"")</f>
        <v/>
      </c>
      <c r="D589" s="31"/>
      <c r="E589" s="32" t="str">
        <f>IFERROR(_xlfn.XLOOKUP($B589,Insumo[DESCRIPCION],Insumo[VALOR],,0),"")</f>
        <v/>
      </c>
      <c r="F589" s="33"/>
      <c r="G589" s="34" t="str">
        <f>IFERROR(IF(F589&gt;=0,D589*E589*(1+F589/100),ABS(D589*E589/F589)),"")</f>
        <v/>
      </c>
      <c r="H589" s="43" t="str">
        <f>IFERROR(G589*E584,"")</f>
        <v/>
      </c>
    </row>
    <row r="590" spans="1:11">
      <c r="A590" s="28"/>
      <c r="B590" s="29"/>
      <c r="C590" s="30" t="str">
        <f>IFERROR(_xlfn.XLOOKUP(B590,Insumo[DESCRIPCION],Insumo[UND],,0),"")</f>
        <v/>
      </c>
      <c r="D590" s="31"/>
      <c r="E590" s="32" t="str">
        <f>IFERROR(_xlfn.XLOOKUP($B590,Insumo[DESCRIPCION],Insumo[VALOR],,0),"")</f>
        <v/>
      </c>
      <c r="F590" s="33"/>
      <c r="G590" s="34" t="str">
        <f>IFERROR(IF(F590&gt;=0,D590*E590*(1+F590/100),ABS(D590*E590/F590)),"")</f>
        <v/>
      </c>
      <c r="H590" s="43" t="str">
        <f>IFERROR(G590*E584,"")</f>
        <v/>
      </c>
    </row>
    <row r="591" spans="1:11">
      <c r="A591" s="28"/>
      <c r="B591" s="29"/>
      <c r="C591" s="30" t="str">
        <f>IFERROR(_xlfn.XLOOKUP(B591,Insumo[DESCRIPCION],Insumo[UND],,0),"")</f>
        <v/>
      </c>
      <c r="D591" s="31"/>
      <c r="E591" s="32" t="str">
        <f>IFERROR(_xlfn.XLOOKUP($B591,Insumo[DESCRIPCION],Insumo[VALOR],,0),"")</f>
        <v/>
      </c>
      <c r="F591" s="33"/>
      <c r="G591" s="34" t="str">
        <f>IFERROR(IF(F591&gt;=0,D591*E591*(1+F591/100),ABS(D591*E591/F591)),"")</f>
        <v/>
      </c>
      <c r="H591" s="43" t="str">
        <f>IFERROR(G591*E584,"")</f>
        <v/>
      </c>
    </row>
    <row r="592" spans="1:11">
      <c r="A592" s="21"/>
      <c r="B592" s="22" t="s">
        <v>3731</v>
      </c>
      <c r="C592" s="23"/>
      <c r="D592" s="24"/>
      <c r="E592" s="25"/>
      <c r="F592" s="26"/>
      <c r="G592" s="27">
        <f>SUM(G593:G595)</f>
        <v>6824.8508348249998</v>
      </c>
      <c r="H592" s="44">
        <f>G592*E584</f>
        <v>0</v>
      </c>
    </row>
    <row r="593" spans="1:11">
      <c r="A593" s="28"/>
      <c r="B593" s="29" t="s">
        <v>3627</v>
      </c>
      <c r="C593" s="30" t="str">
        <f>IFERROR(_xlfn.XLOOKUP(B593,Equipo[DESCRIPCION],Equipo[UND],,0),"")</f>
        <v>Día</v>
      </c>
      <c r="D593" s="31">
        <v>1</v>
      </c>
      <c r="E593" s="32">
        <f>IF(C593="%MO",G599,IFERROR(_xlfn.XLOOKUP($B593,Equipo[DESCRIPCION],Equipo[VALOR],,0),""))</f>
        <v>109956</v>
      </c>
      <c r="F593" s="33">
        <v>-40</v>
      </c>
      <c r="G593" s="34">
        <f>IFERROR(IF(F593&gt;=0,D593*E593*(1+F593/100),ABS(D593*E593/F593)),"")</f>
        <v>2748.9</v>
      </c>
      <c r="H593" s="43">
        <f>IFERROR(G593*E584,"")</f>
        <v>0</v>
      </c>
    </row>
    <row r="594" spans="1:11">
      <c r="A594" s="28"/>
      <c r="B594" s="29" t="s">
        <v>3575</v>
      </c>
      <c r="C594" s="30" t="str">
        <f>IFERROR(_xlfn.XLOOKUP(B594,Equipo[DESCRIPCION],Equipo[UND],,0),"")</f>
        <v>Día</v>
      </c>
      <c r="D594" s="31">
        <v>1</v>
      </c>
      <c r="E594" s="32">
        <f>IF(C594="%MO",G599,IFERROR(_xlfn.XLOOKUP($B594,Equipo[DESCRIPCION],Equipo[VALOR],,0),""))</f>
        <v>142078.65</v>
      </c>
      <c r="F594" s="33">
        <v>-40</v>
      </c>
      <c r="G594" s="34">
        <f>IFERROR(IF(F594&gt;=0,D594*E594*(1+F594/100),ABS(D594*E594/F594)),"")</f>
        <v>3551.9662499999999</v>
      </c>
      <c r="H594" s="43">
        <f>IFERROR(G594*E584,"")</f>
        <v>0</v>
      </c>
    </row>
    <row r="595" spans="1:11">
      <c r="A595" s="28"/>
      <c r="B595" s="29" t="s">
        <v>3626</v>
      </c>
      <c r="C595" s="30" t="str">
        <f>IFERROR(_xlfn.XLOOKUP(B595,Equipo[DESCRIPCION],Equipo[UND],,0),"")</f>
        <v>%MO</v>
      </c>
      <c r="D595" s="31">
        <v>0.05</v>
      </c>
      <c r="E595" s="32">
        <f>IF(C595="%MO",G599,IFERROR(_xlfn.XLOOKUP($B595,Equipo[DESCRIPCION],Equipo[VALOR],,0),""))</f>
        <v>10479.691696500002</v>
      </c>
      <c r="F595" s="33"/>
      <c r="G595" s="34">
        <f>IFERROR(IF(F595&gt;=0,D595*E595*(1+F595/100),ABS(D595*E595/F595)),"")</f>
        <v>523.98458482500007</v>
      </c>
      <c r="H595" s="43">
        <f>IFERROR(G595*E584,"")</f>
        <v>0</v>
      </c>
    </row>
    <row r="596" spans="1:11">
      <c r="A596" s="21"/>
      <c r="B596" s="22" t="s">
        <v>2533</v>
      </c>
      <c r="C596" s="23"/>
      <c r="D596" s="24"/>
      <c r="E596" s="25"/>
      <c r="F596" s="26"/>
      <c r="G596" s="27">
        <f>SUM(G597:G598)</f>
        <v>0</v>
      </c>
      <c r="H596" s="138">
        <f>IFERROR(G596*E584,"")</f>
        <v>0</v>
      </c>
    </row>
    <row r="597" spans="1:11">
      <c r="A597" s="28"/>
      <c r="B597" s="29"/>
      <c r="C597" s="30" t="str">
        <f>IFERROR(_xlfn.XLOOKUP(B597,Transporte[DESCRIPCION],Transporte[UND],,0),"")</f>
        <v/>
      </c>
      <c r="D597" s="31"/>
      <c r="E597" s="32" t="str">
        <f>IFERROR(_xlfn.XLOOKUP($B597,Transporte[DESCRIPCION],Transporte[VALOR],,0),"")</f>
        <v/>
      </c>
      <c r="F597" s="33"/>
      <c r="G597" s="34" t="str">
        <f>IFERROR(IF(F597&gt;=0,D597*E597*(1+F597/100),ABS(D597*E597/F597)),"")</f>
        <v/>
      </c>
      <c r="H597" s="43" t="str">
        <f>IFERROR(G597*E584,"")</f>
        <v/>
      </c>
    </row>
    <row r="598" spans="1:11">
      <c r="A598" s="28"/>
      <c r="B598" s="29"/>
      <c r="C598" s="30" t="str">
        <f>IFERROR(_xlfn.XLOOKUP(B598,Transporte[DESCRIPCION],Transporte[UND],,0),"")</f>
        <v/>
      </c>
      <c r="D598" s="31"/>
      <c r="E598" s="32" t="str">
        <f>IFERROR(_xlfn.XLOOKUP($B598,Transporte[DESCRIPCION],Transporte[VALOR],,0),"")</f>
        <v/>
      </c>
      <c r="F598" s="33"/>
      <c r="G598" s="34" t="str">
        <f>IFERROR(IF(F598&gt;=0,D598*E598*(1+F598/100),ABS(D598*E598/F598)),"")</f>
        <v/>
      </c>
      <c r="H598" s="43" t="str">
        <f>IFERROR(G598*E584,"")</f>
        <v/>
      </c>
    </row>
    <row r="599" spans="1:11">
      <c r="A599" s="21"/>
      <c r="B599" s="22" t="s">
        <v>3732</v>
      </c>
      <c r="C599" s="23"/>
      <c r="D599" s="24"/>
      <c r="E599" s="25"/>
      <c r="F599" s="26"/>
      <c r="G599" s="27">
        <f>SUM(G600:G602)</f>
        <v>10479.691696500002</v>
      </c>
      <c r="H599" s="43">
        <f>IFERROR(G599*E584,"")</f>
        <v>0</v>
      </c>
    </row>
    <row r="600" spans="1:11">
      <c r="A600" s="28"/>
      <c r="B600" s="29" t="s">
        <v>3710</v>
      </c>
      <c r="C600" s="30" t="str">
        <f>IFERROR(_xlfn.XLOOKUP(B600,MObra[DESCRIPCION],MObra[UN],,0),"")</f>
        <v>día</v>
      </c>
      <c r="D600" s="31">
        <v>1</v>
      </c>
      <c r="E600" s="32">
        <f>IFERROR(_xlfn.XLOOKUP($B600,MObra[DESCRIPCION],MObra[VALOR UNIT],,0),"")</f>
        <v>314390.75089500006</v>
      </c>
      <c r="F600" s="33">
        <v>-30</v>
      </c>
      <c r="G600" s="34">
        <f>IFERROR(IF(F600&gt;=0,D600*E600*(1+F600/100),ABS(D600*E600/F600)),"")</f>
        <v>10479.691696500002</v>
      </c>
      <c r="H600" s="43">
        <f>IFERROR(G600*E584,"")</f>
        <v>0</v>
      </c>
    </row>
    <row r="601" spans="1:11">
      <c r="A601" s="28"/>
      <c r="B601" s="29"/>
      <c r="C601" s="30" t="str">
        <f>IFERROR(_xlfn.XLOOKUP(B601,MObra[DESCRIPCION],MObra[UN],,0),"")</f>
        <v/>
      </c>
      <c r="D601" s="31"/>
      <c r="E601" s="32" t="str">
        <f>IFERROR(_xlfn.XLOOKUP($B601,MObra[DESCRIPCION],MObra[VALOR UNIT],,0),"")</f>
        <v/>
      </c>
      <c r="F601" s="33"/>
      <c r="G601" s="34" t="str">
        <f>IFERROR(IF(F601&gt;=0,D601*E601*(1+F601/100),ABS(D601*E601/F601)),"")</f>
        <v/>
      </c>
      <c r="H601" s="43" t="str">
        <f>IFERROR(G601*E584,"")</f>
        <v/>
      </c>
    </row>
    <row r="602" spans="1:11">
      <c r="A602" s="35"/>
      <c r="B602" s="36"/>
      <c r="C602" s="37" t="str">
        <f>IFERROR(_xlfn.XLOOKUP(B602,MObra[DESCRIPCION],MObra[UN],,0),"")</f>
        <v/>
      </c>
      <c r="D602" s="38"/>
      <c r="E602" s="39" t="str">
        <f>IFERROR(_xlfn.XLOOKUP($B602,MObra[DESCRIPCION],MObra[VALOR UNIT],,0),"")</f>
        <v/>
      </c>
      <c r="F602" s="40"/>
      <c r="G602" s="41" t="str">
        <f>IFERROR(IF(F602&gt;=0,D602*E602*(1+F602/100),ABS(D602*E602/F602)),"")</f>
        <v/>
      </c>
      <c r="H602" s="42" t="str">
        <f>IFERROR(G602*E584,"")</f>
        <v/>
      </c>
    </row>
    <row r="603" spans="1:11" ht="13.5" thickTop="1" thickBot="1"/>
    <row r="604" spans="1:11" ht="12.75" customHeight="1" thickTop="1" thickBot="1">
      <c r="A604" s="6" t="s">
        <v>1430</v>
      </c>
      <c r="B604" s="7" t="str">
        <f>VLOOKUP($A604,Presupuesto!$A:$D,2,FALSE())</f>
        <v>Borde mesón granito pulido H=0.1m</v>
      </c>
      <c r="C604" s="8" t="str">
        <f>VLOOKUP($A604,Presupuesto!$A:$D,3,FALSE())</f>
        <v>M</v>
      </c>
      <c r="D604" s="9"/>
      <c r="E604" s="10">
        <f>VLOOKUP($A604,Presupuesto!$A:$D,4,FALSE())</f>
        <v>0</v>
      </c>
      <c r="F604" s="11" t="s">
        <v>2589</v>
      </c>
      <c r="G604" s="12">
        <f>SUM(G606:G622)/2</f>
        <v>21638.541781325002</v>
      </c>
      <c r="H604" s="13">
        <f>ROUND(SUM(H606:H622),0)/2</f>
        <v>0</v>
      </c>
      <c r="I604" s="10">
        <f>VLOOKUP(A604,Presupuesto!$A:$F,6,0)</f>
        <v>0</v>
      </c>
      <c r="J604" s="10">
        <f>+H604-I604</f>
        <v>0</v>
      </c>
      <c r="K604" s="46">
        <f>+H604-G604*E604</f>
        <v>0</v>
      </c>
    </row>
    <row r="605" spans="1:11" ht="12.75" customHeight="1" thickTop="1">
      <c r="A605" s="14"/>
      <c r="B605" s="15" t="s">
        <v>2586</v>
      </c>
      <c r="C605" s="15" t="s">
        <v>5</v>
      </c>
      <c r="D605" s="16" t="s">
        <v>6</v>
      </c>
      <c r="E605" s="17" t="s">
        <v>7</v>
      </c>
      <c r="F605" s="18" t="s">
        <v>3728</v>
      </c>
      <c r="G605" s="19" t="s">
        <v>3729</v>
      </c>
      <c r="H605" s="20" t="s">
        <v>3797</v>
      </c>
    </row>
    <row r="606" spans="1:11" ht="12.75" customHeight="1">
      <c r="A606" s="21"/>
      <c r="B606" s="22" t="s">
        <v>3730</v>
      </c>
      <c r="C606" s="23"/>
      <c r="D606" s="24"/>
      <c r="E606" s="25"/>
      <c r="F606" s="26"/>
      <c r="G606" s="27">
        <f>SUM(G607:G611)</f>
        <v>8802.2655000000013</v>
      </c>
      <c r="H606" s="27">
        <f>IFERROR(G606*E604,"")</f>
        <v>0</v>
      </c>
    </row>
    <row r="607" spans="1:11" ht="12.75" customHeight="1">
      <c r="A607" s="28"/>
      <c r="B607" s="29" t="s">
        <v>2979</v>
      </c>
      <c r="C607" s="30" t="str">
        <f>IFERROR(_xlfn.XLOOKUP(B607,Insumo[DESCRIPCION],Insumo[UND],,0),"")</f>
        <v>Un</v>
      </c>
      <c r="D607" s="31">
        <v>0.09</v>
      </c>
      <c r="E607" s="32">
        <f>IFERROR(_xlfn.XLOOKUP($B607,Insumo[DESCRIPCION],Insumo[VALOR],,0),"")</f>
        <v>39667.950000000004</v>
      </c>
      <c r="F607" s="33"/>
      <c r="G607" s="34">
        <f>IFERROR(IF(F607&gt;=0,D607*E607*(1+F607/100),ABS(D607*E607/F607)),"")</f>
        <v>3570.1155000000003</v>
      </c>
      <c r="H607" s="139">
        <f>IFERROR(G607*E604,"")</f>
        <v>0</v>
      </c>
    </row>
    <row r="608" spans="1:11" ht="12.75" customHeight="1">
      <c r="A608" s="28"/>
      <c r="B608" s="29" t="s">
        <v>2824</v>
      </c>
      <c r="C608" s="30" t="str">
        <f>IFERROR(_xlfn.XLOOKUP(B608,Insumo[DESCRIPCION],Insumo[UND],,0),"")</f>
        <v>Un</v>
      </c>
      <c r="D608" s="31">
        <v>0.04</v>
      </c>
      <c r="E608" s="32">
        <f>IFERROR(_xlfn.XLOOKUP($B608,Insumo[DESCRIPCION],Insumo[VALOR],,0),"")</f>
        <v>34230</v>
      </c>
      <c r="F608" s="33"/>
      <c r="G608" s="34">
        <f>IFERROR(IF(F608&gt;=0,D608*E608*(1+F608/100),ABS(D608*E608/F608)),"")</f>
        <v>1369.2</v>
      </c>
      <c r="H608" s="139">
        <f>IFERROR(G608*E604,"")</f>
        <v>0</v>
      </c>
    </row>
    <row r="609" spans="1:11" ht="12.75" customHeight="1">
      <c r="A609" s="28"/>
      <c r="B609" s="29" t="s">
        <v>2922</v>
      </c>
      <c r="C609" s="30" t="str">
        <f>IFERROR(_xlfn.XLOOKUP(B609,Insumo[DESCRIPCION],Insumo[UND],,0),"")</f>
        <v>M</v>
      </c>
      <c r="D609" s="31">
        <v>1</v>
      </c>
      <c r="E609" s="32">
        <f>IFERROR(_xlfn.XLOOKUP($B609,Insumo[DESCRIPCION],Insumo[VALOR],,0),"")</f>
        <v>3862.9500000000003</v>
      </c>
      <c r="F609" s="33"/>
      <c r="G609" s="34">
        <f>IFERROR(IF(F609&gt;=0,D609*E609*(1+F609/100),ABS(D609*E609/F609)),"")</f>
        <v>3862.9500000000003</v>
      </c>
      <c r="H609" s="139">
        <f>IFERROR(G609*E604,"")</f>
        <v>0</v>
      </c>
    </row>
    <row r="610" spans="1:11" ht="12.75" customHeight="1">
      <c r="A610" s="28"/>
      <c r="B610" s="29"/>
      <c r="C610" s="30" t="str">
        <f>IFERROR(_xlfn.XLOOKUP(B610,Insumo[DESCRIPCION],Insumo[UND],,0),"")</f>
        <v/>
      </c>
      <c r="D610" s="31"/>
      <c r="E610" s="32" t="str">
        <f>IFERROR(_xlfn.XLOOKUP($B610,Insumo[DESCRIPCION],Insumo[VALOR],,0),"")</f>
        <v/>
      </c>
      <c r="F610" s="33"/>
      <c r="G610" s="34" t="str">
        <f>IFERROR(IF(F610&gt;=0,D610*E610*(1+F610/100),ABS(D610*E610/F610)),"")</f>
        <v/>
      </c>
      <c r="H610" s="139" t="str">
        <f>IFERROR(G610*E604,"")</f>
        <v/>
      </c>
    </row>
    <row r="611" spans="1:11" ht="12.75" customHeight="1">
      <c r="A611" s="28"/>
      <c r="B611" s="29"/>
      <c r="C611" s="30" t="str">
        <f>IFERROR(_xlfn.XLOOKUP(B611,Insumo[DESCRIPCION],Insumo[UND],,0),"")</f>
        <v/>
      </c>
      <c r="D611" s="31"/>
      <c r="E611" s="32" t="str">
        <f>IFERROR(_xlfn.XLOOKUP($B611,Insumo[DESCRIPCION],Insumo[VALOR],,0),"")</f>
        <v/>
      </c>
      <c r="F611" s="33"/>
      <c r="G611" s="34" t="str">
        <f>IFERROR(IF(F611&gt;=0,D611*E611*(1+F611/100),ABS(D611*E611/F611)),"")</f>
        <v/>
      </c>
      <c r="H611" s="139" t="str">
        <f>IFERROR(G611*E604,"")</f>
        <v/>
      </c>
    </row>
    <row r="612" spans="1:11" ht="12.75" customHeight="1">
      <c r="A612" s="21"/>
      <c r="B612" s="22" t="s">
        <v>3731</v>
      </c>
      <c r="C612" s="23"/>
      <c r="D612" s="24"/>
      <c r="E612" s="25"/>
      <c r="F612" s="26"/>
      <c r="G612" s="27">
        <f>SUM(G613:G615)</f>
        <v>2356.5845848250001</v>
      </c>
      <c r="H612" s="27">
        <f>IFERROR(G612*E604,"")</f>
        <v>0</v>
      </c>
    </row>
    <row r="613" spans="1:11" ht="12.75" customHeight="1">
      <c r="A613" s="28"/>
      <c r="B613" s="29" t="s">
        <v>3642</v>
      </c>
      <c r="C613" s="30" t="str">
        <f>IFERROR(_xlfn.XLOOKUP(B613,Equipo[DESCRIPCION],Equipo[UND],,0),"")</f>
        <v>Día</v>
      </c>
      <c r="D613" s="31">
        <v>1</v>
      </c>
      <c r="E613" s="32">
        <f>IF(C613="%MO",G619,IFERROR(_xlfn.XLOOKUP($B613,Equipo[DESCRIPCION],Equipo[VALOR],,0),""))</f>
        <v>54978</v>
      </c>
      <c r="F613" s="33">
        <v>-30</v>
      </c>
      <c r="G613" s="34">
        <f>IFERROR(IF(F613&gt;=0,D613*E613*(1+F613/100),ABS(D613*E613/F613)),"")</f>
        <v>1832.6</v>
      </c>
      <c r="H613" s="139">
        <f>IFERROR(G613*E604,"")</f>
        <v>0</v>
      </c>
    </row>
    <row r="614" spans="1:11" ht="12.75" customHeight="1">
      <c r="A614" s="28"/>
      <c r="B614" s="29" t="s">
        <v>3626</v>
      </c>
      <c r="C614" s="30" t="str">
        <f>IFERROR(_xlfn.XLOOKUP(B614,Equipo[DESCRIPCION],Equipo[UND],,0),"")</f>
        <v>%MO</v>
      </c>
      <c r="D614" s="31">
        <v>0.05</v>
      </c>
      <c r="E614" s="32">
        <f>IF(C614="%MO",G619,IFERROR(_xlfn.XLOOKUP($B614,Equipo[DESCRIPCION],Equipo[VALOR],,0),""))</f>
        <v>10479.691696500002</v>
      </c>
      <c r="F614" s="33"/>
      <c r="G614" s="34">
        <f>IFERROR(IF(F614&gt;=0,D614*E614*(1+F614/100),ABS(D614*E614/F614)),"")</f>
        <v>523.98458482500007</v>
      </c>
      <c r="H614" s="139">
        <f>IFERROR(G614*E604,"")</f>
        <v>0</v>
      </c>
    </row>
    <row r="615" spans="1:11" ht="12.75" customHeight="1">
      <c r="A615" s="28"/>
      <c r="B615" s="29"/>
      <c r="C615" s="30" t="str">
        <f>IFERROR(_xlfn.XLOOKUP(B615,Equipo[DESCRIPCION],Equipo[UND],,0),"")</f>
        <v/>
      </c>
      <c r="D615" s="31"/>
      <c r="E615" s="32" t="str">
        <f>IF(C615="%MO",G619,IFERROR(_xlfn.XLOOKUP($B615,Equipo[DESCRIPCION],Equipo[VALOR],,0),""))</f>
        <v/>
      </c>
      <c r="F615" s="33"/>
      <c r="G615" s="34" t="str">
        <f>IFERROR(IF(F615&gt;=0,D615*E615*(1+F615/100),ABS(D615*E615/F615)),"")</f>
        <v/>
      </c>
      <c r="H615" s="139" t="str">
        <f>IFERROR(G615*E604,"")</f>
        <v/>
      </c>
    </row>
    <row r="616" spans="1:11" ht="12.75" customHeight="1">
      <c r="A616" s="21"/>
      <c r="B616" s="22" t="s">
        <v>2533</v>
      </c>
      <c r="C616" s="23"/>
      <c r="D616" s="24"/>
      <c r="E616" s="25"/>
      <c r="F616" s="26"/>
      <c r="G616" s="27">
        <f>SUM(G617:G618)</f>
        <v>0</v>
      </c>
      <c r="H616" s="27">
        <f>IFERROR(G616*E604,"")</f>
        <v>0</v>
      </c>
    </row>
    <row r="617" spans="1:11" ht="12.75" customHeight="1">
      <c r="A617" s="28"/>
      <c r="B617" s="29"/>
      <c r="C617" s="30" t="str">
        <f>IFERROR(_xlfn.XLOOKUP(B617,Transporte[DESCRIPCION],Transporte[UND],,0),"")</f>
        <v/>
      </c>
      <c r="D617" s="31"/>
      <c r="E617" s="32" t="str">
        <f>IFERROR(_xlfn.XLOOKUP($B617,Transporte[DESCRIPCION],Transporte[VALOR],,0),"")</f>
        <v/>
      </c>
      <c r="F617" s="33"/>
      <c r="G617" s="34" t="str">
        <f>IFERROR(IF(F617&gt;=0,D617*E617*(1+F617/100),ABS(D617*E617/F617)),"")</f>
        <v/>
      </c>
      <c r="H617" s="139" t="str">
        <f>IFERROR(G617*E604,"")</f>
        <v/>
      </c>
    </row>
    <row r="618" spans="1:11" ht="12.75" customHeight="1">
      <c r="A618" s="28"/>
      <c r="B618" s="29"/>
      <c r="C618" s="30" t="str">
        <f>IFERROR(_xlfn.XLOOKUP(B618,Transporte[DESCRIPCION],Transporte[UND],,0),"")</f>
        <v/>
      </c>
      <c r="D618" s="31"/>
      <c r="E618" s="32" t="str">
        <f>IFERROR(_xlfn.XLOOKUP($B618,Transporte[DESCRIPCION],Transporte[VALOR],,0),"")</f>
        <v/>
      </c>
      <c r="F618" s="33"/>
      <c r="G618" s="34" t="str">
        <f>IFERROR(IF(F618&gt;=0,D618*E618*(1+F618/100),ABS(D618*E618/F618)),"")</f>
        <v/>
      </c>
      <c r="H618" s="139" t="str">
        <f>IFERROR(G618*E604,"")</f>
        <v/>
      </c>
    </row>
    <row r="619" spans="1:11" ht="12.75" customHeight="1">
      <c r="A619" s="21"/>
      <c r="B619" s="22" t="s">
        <v>3732</v>
      </c>
      <c r="C619" s="23"/>
      <c r="D619" s="24"/>
      <c r="E619" s="25"/>
      <c r="F619" s="26"/>
      <c r="G619" s="27">
        <f>SUM(G620:G622)</f>
        <v>10479.691696500002</v>
      </c>
      <c r="H619" s="27">
        <f>IFERROR(G619*E604,"")</f>
        <v>0</v>
      </c>
    </row>
    <row r="620" spans="1:11" ht="12.75" customHeight="1">
      <c r="A620" s="28"/>
      <c r="B620" s="29" t="s">
        <v>3710</v>
      </c>
      <c r="C620" s="30" t="str">
        <f>IFERROR(_xlfn.XLOOKUP(B620,MObra[DESCRIPCION],MObra[UN],,0),"")</f>
        <v>día</v>
      </c>
      <c r="D620" s="31">
        <v>1</v>
      </c>
      <c r="E620" s="32">
        <f>IFERROR(_xlfn.XLOOKUP($B620,MObra[DESCRIPCION],MObra[VALOR UNIT],,0),"")</f>
        <v>314390.75089500006</v>
      </c>
      <c r="F620" s="33">
        <v>-30</v>
      </c>
      <c r="G620" s="34">
        <f>IFERROR(IF(F620&gt;=0,D620*E620*(1+F620/100),ABS(D620*E620/F620)),"")</f>
        <v>10479.691696500002</v>
      </c>
      <c r="H620" s="139">
        <f>IFERROR(G620*E604,"")</f>
        <v>0</v>
      </c>
    </row>
    <row r="621" spans="1:11" ht="12.75" customHeight="1">
      <c r="A621" s="28"/>
      <c r="B621" s="29"/>
      <c r="C621" s="30" t="str">
        <f>IFERROR(_xlfn.XLOOKUP(B621,MObra[DESCRIPCION],MObra[UN],,0),"")</f>
        <v/>
      </c>
      <c r="D621" s="31"/>
      <c r="E621" s="32" t="str">
        <f>IFERROR(_xlfn.XLOOKUP($B621,MObra[DESCRIPCION],MObra[VALOR UNIT],,0),"")</f>
        <v/>
      </c>
      <c r="F621" s="33"/>
      <c r="G621" s="34" t="str">
        <f>IFERROR(IF(F621&gt;=0,D621*E621*(1+F621/100),ABS(D621*E621/F621)),"")</f>
        <v/>
      </c>
      <c r="H621" s="139" t="str">
        <f>IFERROR(G621*E604,"")</f>
        <v/>
      </c>
    </row>
    <row r="622" spans="1:11" ht="12.75" customHeight="1" thickBot="1">
      <c r="A622" s="35"/>
      <c r="B622" s="36"/>
      <c r="C622" s="37" t="str">
        <f>IFERROR(_xlfn.XLOOKUP(B622,MObra[DESCRIPCION],MObra[UN],,0),"")</f>
        <v/>
      </c>
      <c r="D622" s="38"/>
      <c r="E622" s="39" t="str">
        <f>IFERROR(_xlfn.XLOOKUP($B622,MObra[DESCRIPCION],MObra[VALOR UNIT],,0),"")</f>
        <v/>
      </c>
      <c r="F622" s="40"/>
      <c r="G622" s="41" t="str">
        <f>IFERROR(IF(F622&gt;=0,D622*E622*(1+F622/100),ABS(D622*E622/F622)),"")</f>
        <v/>
      </c>
      <c r="H622" s="42" t="str">
        <f>IFERROR(G622*E604,"")</f>
        <v/>
      </c>
    </row>
    <row r="623" spans="1:11" ht="12.75" customHeight="1" thickTop="1" thickBot="1"/>
    <row r="624" spans="1:11" ht="12.75" customHeight="1" thickTop="1" thickBot="1">
      <c r="A624" s="6" t="s">
        <v>1432</v>
      </c>
      <c r="B624" s="7" t="str">
        <f>VLOOKUP($A624,Presupuesto!$A:$D,2,FALSE())</f>
        <v>Dispensador de papel en acero inoxidable</v>
      </c>
      <c r="C624" s="8" t="str">
        <f>VLOOKUP($A624,Presupuesto!$A:$D,3,FALSE())</f>
        <v>Un</v>
      </c>
      <c r="D624" s="9"/>
      <c r="E624" s="10">
        <f>VLOOKUP($A624,Presupuesto!$A:$D,4,FALSE())</f>
        <v>0</v>
      </c>
      <c r="F624" s="11" t="s">
        <v>2589</v>
      </c>
      <c r="G624" s="12">
        <f>SUM(G626:G642)/2</f>
        <v>161726.221864725</v>
      </c>
      <c r="H624" s="13">
        <f>ROUND(SUM(H626:H642),0)/2</f>
        <v>0</v>
      </c>
      <c r="I624" s="10">
        <f>VLOOKUP(A624,Presupuesto!$A:$F,6,0)</f>
        <v>0</v>
      </c>
      <c r="J624" s="10">
        <f>+H624-I624</f>
        <v>0</v>
      </c>
      <c r="K624" s="46">
        <f>+H624-G624*E624</f>
        <v>0</v>
      </c>
    </row>
    <row r="625" spans="1:8" ht="12.75" customHeight="1" thickTop="1">
      <c r="A625" s="14"/>
      <c r="B625" s="15" t="s">
        <v>2586</v>
      </c>
      <c r="C625" s="15" t="s">
        <v>5</v>
      </c>
      <c r="D625" s="16" t="s">
        <v>6</v>
      </c>
      <c r="E625" s="17" t="s">
        <v>7</v>
      </c>
      <c r="F625" s="18" t="s">
        <v>3728</v>
      </c>
      <c r="G625" s="19" t="s">
        <v>3729</v>
      </c>
      <c r="H625" s="20" t="s">
        <v>3797</v>
      </c>
    </row>
    <row r="626" spans="1:8" ht="12.75" customHeight="1">
      <c r="A626" s="21"/>
      <c r="B626" s="22" t="s">
        <v>3730</v>
      </c>
      <c r="C626" s="23"/>
      <c r="D626" s="24"/>
      <c r="E626" s="25"/>
      <c r="F626" s="26"/>
      <c r="G626" s="27">
        <f>SUM(G627:G631)</f>
        <v>140941.5</v>
      </c>
      <c r="H626" s="27">
        <f>IFERROR(G626*E624,"")</f>
        <v>0</v>
      </c>
    </row>
    <row r="627" spans="1:8" ht="12.75" customHeight="1">
      <c r="A627" s="28"/>
      <c r="B627" s="29" t="s">
        <v>2927</v>
      </c>
      <c r="C627" s="30" t="str">
        <f>IFERROR(_xlfn.XLOOKUP(B627,Insumo[DESCRIPCION],Insumo[UND],,0),"")</f>
        <v>Un</v>
      </c>
      <c r="D627" s="31">
        <v>1</v>
      </c>
      <c r="E627" s="32">
        <f>IFERROR(_xlfn.XLOOKUP($B627,Insumo[DESCRIPCION],Insumo[VALOR],,0),"")</f>
        <v>140941.5</v>
      </c>
      <c r="F627" s="33"/>
      <c r="G627" s="34">
        <f>IFERROR(IF(F627&gt;=0,D627*E627*(1+F627/100),ABS(D627*E627/F627)),"")</f>
        <v>140941.5</v>
      </c>
      <c r="H627" s="139">
        <f>IFERROR(G627*E624,"")</f>
        <v>0</v>
      </c>
    </row>
    <row r="628" spans="1:8" ht="12.75" customHeight="1">
      <c r="A628" s="28"/>
      <c r="B628" s="29"/>
      <c r="C628" s="30" t="str">
        <f>IFERROR(_xlfn.XLOOKUP(B628,Insumo[DESCRIPCION],Insumo[UND],,0),"")</f>
        <v/>
      </c>
      <c r="D628" s="31"/>
      <c r="E628" s="32" t="str">
        <f>IFERROR(_xlfn.XLOOKUP($B628,Insumo[DESCRIPCION],Insumo[VALOR],,0),"")</f>
        <v/>
      </c>
      <c r="F628" s="33"/>
      <c r="G628" s="34" t="str">
        <f>IFERROR(IF(F628&gt;=0,D628*E628*(1+F628/100),ABS(D628*E628/F628)),"")</f>
        <v/>
      </c>
      <c r="H628" s="139" t="str">
        <f>IFERROR(G628*E624,"")</f>
        <v/>
      </c>
    </row>
    <row r="629" spans="1:8" ht="12.75" customHeight="1">
      <c r="A629" s="28"/>
      <c r="B629" s="29"/>
      <c r="C629" s="30" t="str">
        <f>IFERROR(_xlfn.XLOOKUP(B629,Insumo[DESCRIPCION],Insumo[UND],,0),"")</f>
        <v/>
      </c>
      <c r="D629" s="31"/>
      <c r="E629" s="32" t="str">
        <f>IFERROR(_xlfn.XLOOKUP($B629,Insumo[DESCRIPCION],Insumo[VALOR],,0),"")</f>
        <v/>
      </c>
      <c r="F629" s="33"/>
      <c r="G629" s="34" t="str">
        <f>IFERROR(IF(F629&gt;=0,D629*E629*(1+F629/100),ABS(D629*E629/F629)),"")</f>
        <v/>
      </c>
      <c r="H629" s="139" t="str">
        <f>IFERROR(G629*E624,"")</f>
        <v/>
      </c>
    </row>
    <row r="630" spans="1:8" ht="12.75" customHeight="1">
      <c r="A630" s="28"/>
      <c r="B630" s="29"/>
      <c r="C630" s="30" t="str">
        <f>IFERROR(_xlfn.XLOOKUP(B630,Insumo[DESCRIPCION],Insumo[UND],,0),"")</f>
        <v/>
      </c>
      <c r="D630" s="31"/>
      <c r="E630" s="32" t="str">
        <f>IFERROR(_xlfn.XLOOKUP($B630,Insumo[DESCRIPCION],Insumo[VALOR],,0),"")</f>
        <v/>
      </c>
      <c r="F630" s="33"/>
      <c r="G630" s="34" t="str">
        <f>IFERROR(IF(F630&gt;=0,D630*E630*(1+F630/100),ABS(D630*E630/F630)),"")</f>
        <v/>
      </c>
      <c r="H630" s="139" t="str">
        <f>IFERROR(G630*E624,"")</f>
        <v/>
      </c>
    </row>
    <row r="631" spans="1:8" ht="12.75" customHeight="1">
      <c r="A631" s="28"/>
      <c r="B631" s="29"/>
      <c r="C631" s="30" t="str">
        <f>IFERROR(_xlfn.XLOOKUP(B631,Insumo[DESCRIPCION],Insumo[UND],,0),"")</f>
        <v/>
      </c>
      <c r="D631" s="31"/>
      <c r="E631" s="32" t="str">
        <f>IFERROR(_xlfn.XLOOKUP($B631,Insumo[DESCRIPCION],Insumo[VALOR],,0),"")</f>
        <v/>
      </c>
      <c r="F631" s="33"/>
      <c r="G631" s="34" t="str">
        <f>IFERROR(IF(F631&gt;=0,D631*E631*(1+F631/100),ABS(D631*E631/F631)),"")</f>
        <v/>
      </c>
      <c r="H631" s="139" t="str">
        <f>IFERROR(G631*E624,"")</f>
        <v/>
      </c>
    </row>
    <row r="632" spans="1:8" ht="12.75" customHeight="1">
      <c r="A632" s="21"/>
      <c r="B632" s="22" t="s">
        <v>3731</v>
      </c>
      <c r="C632" s="23"/>
      <c r="D632" s="24"/>
      <c r="E632" s="25"/>
      <c r="F632" s="26"/>
      <c r="G632" s="27">
        <f>SUM(G633:G635)</f>
        <v>989.74866022500032</v>
      </c>
      <c r="H632" s="27">
        <f>IFERROR(G632*E624,"")</f>
        <v>0</v>
      </c>
    </row>
    <row r="633" spans="1:8" ht="12.75" customHeight="1">
      <c r="A633" s="28"/>
      <c r="B633" s="29" t="s">
        <v>3626</v>
      </c>
      <c r="C633" s="30" t="str">
        <f>IFERROR(_xlfn.XLOOKUP(B633,Equipo[DESCRIPCION],Equipo[UND],,0),"")</f>
        <v>%MO</v>
      </c>
      <c r="D633" s="31">
        <v>0.05</v>
      </c>
      <c r="E633" s="32">
        <f>IF(C633="%MO",G639,IFERROR(_xlfn.XLOOKUP($B633,Equipo[DESCRIPCION],Equipo[VALOR],,0),""))</f>
        <v>19794.973204500006</v>
      </c>
      <c r="F633" s="33"/>
      <c r="G633" s="34">
        <f>IFERROR(IF(F633&gt;=0,D633*E633*(1+F633/100),ABS(D633*E633/F633)),"")</f>
        <v>989.74866022500032</v>
      </c>
      <c r="H633" s="139">
        <f>IFERROR(G633*E624,"")</f>
        <v>0</v>
      </c>
    </row>
    <row r="634" spans="1:8" ht="12.75" customHeight="1">
      <c r="A634" s="28"/>
      <c r="B634" s="29"/>
      <c r="C634" s="30" t="str">
        <f>IFERROR(_xlfn.XLOOKUP(B634,Equipo[DESCRIPCION],Equipo[UND],,0),"")</f>
        <v/>
      </c>
      <c r="D634" s="31"/>
      <c r="E634" s="32" t="str">
        <f>IF(C634="%MO",G639,IFERROR(_xlfn.XLOOKUP($B634,Equipo[DESCRIPCION],Equipo[VALOR],,0),""))</f>
        <v/>
      </c>
      <c r="F634" s="33"/>
      <c r="G634" s="34" t="str">
        <f>IFERROR(IF(F634&gt;=0,D634*E634*(1+F634/100),ABS(D634*E634/F634)),"")</f>
        <v/>
      </c>
      <c r="H634" s="139" t="str">
        <f>IFERROR(G634*E624,"")</f>
        <v/>
      </c>
    </row>
    <row r="635" spans="1:8" ht="12.75" customHeight="1">
      <c r="A635" s="28"/>
      <c r="B635" s="29"/>
      <c r="C635" s="30" t="str">
        <f>IFERROR(_xlfn.XLOOKUP(B635,Equipo[DESCRIPCION],Equipo[UND],,0),"")</f>
        <v/>
      </c>
      <c r="D635" s="31"/>
      <c r="E635" s="32" t="str">
        <f>IF(C635="%MO",G639,IFERROR(_xlfn.XLOOKUP($B635,Equipo[DESCRIPCION],Equipo[VALOR],,0),""))</f>
        <v/>
      </c>
      <c r="F635" s="33"/>
      <c r="G635" s="34" t="str">
        <f>IFERROR(IF(F635&gt;=0,D635*E635*(1+F635/100),ABS(D635*E635/F635)),"")</f>
        <v/>
      </c>
      <c r="H635" s="139" t="str">
        <f>IFERROR(G635*E624,"")</f>
        <v/>
      </c>
    </row>
    <row r="636" spans="1:8" ht="12.75" customHeight="1">
      <c r="A636" s="21"/>
      <c r="B636" s="22" t="s">
        <v>2533</v>
      </c>
      <c r="C636" s="23"/>
      <c r="D636" s="24"/>
      <c r="E636" s="25"/>
      <c r="F636" s="26"/>
      <c r="G636" s="27">
        <f>SUM(G637:G638)</f>
        <v>0</v>
      </c>
      <c r="H636" s="27">
        <f>IFERROR(G636*E624,"")</f>
        <v>0</v>
      </c>
    </row>
    <row r="637" spans="1:8" ht="12.75" customHeight="1">
      <c r="A637" s="28"/>
      <c r="B637" s="29"/>
      <c r="C637" s="30" t="str">
        <f>IFERROR(_xlfn.XLOOKUP(B637,Transporte[DESCRIPCION],Transporte[UND],,0),"")</f>
        <v/>
      </c>
      <c r="D637" s="31"/>
      <c r="E637" s="32" t="str">
        <f>IFERROR(_xlfn.XLOOKUP($B637,Transporte[DESCRIPCION],Transporte[VALOR],,0),"")</f>
        <v/>
      </c>
      <c r="F637" s="33"/>
      <c r="G637" s="34" t="str">
        <f>IFERROR(IF(F637&gt;=0,D637*E637*(1+F637/100),ABS(D637*E637/F637)),"")</f>
        <v/>
      </c>
      <c r="H637" s="139" t="str">
        <f>IFERROR(G637*E624,"")</f>
        <v/>
      </c>
    </row>
    <row r="638" spans="1:8" ht="12.75" customHeight="1">
      <c r="A638" s="28"/>
      <c r="B638" s="29"/>
      <c r="C638" s="30" t="str">
        <f>IFERROR(_xlfn.XLOOKUP(B638,Transporte[DESCRIPCION],Transporte[UND],,0),"")</f>
        <v/>
      </c>
      <c r="D638" s="31"/>
      <c r="E638" s="32" t="str">
        <f>IFERROR(_xlfn.XLOOKUP($B638,Transporte[DESCRIPCION],Transporte[VALOR],,0),"")</f>
        <v/>
      </c>
      <c r="F638" s="33"/>
      <c r="G638" s="34" t="str">
        <f>IFERROR(IF(F638&gt;=0,D638*E638*(1+F638/100),ABS(D638*E638/F638)),"")</f>
        <v/>
      </c>
      <c r="H638" s="139" t="str">
        <f>IFERROR(G638*E624,"")</f>
        <v/>
      </c>
    </row>
    <row r="639" spans="1:8" ht="12.75" customHeight="1">
      <c r="A639" s="21"/>
      <c r="B639" s="22" t="s">
        <v>3732</v>
      </c>
      <c r="C639" s="23"/>
      <c r="D639" s="24"/>
      <c r="E639" s="25"/>
      <c r="F639" s="26"/>
      <c r="G639" s="27">
        <f>SUM(G640:G642)</f>
        <v>19794.973204500006</v>
      </c>
      <c r="H639" s="27">
        <f>IFERROR(G639*E624,"")</f>
        <v>0</v>
      </c>
    </row>
    <row r="640" spans="1:8" ht="12.75" customHeight="1">
      <c r="A640" s="28"/>
      <c r="B640" s="29" t="s">
        <v>3705</v>
      </c>
      <c r="C640" s="30" t="str">
        <f>IFERROR(_xlfn.XLOOKUP(B640,MObra[DESCRIPCION],MObra[UN],,0),"")</f>
        <v>día</v>
      </c>
      <c r="D640" s="31">
        <v>1</v>
      </c>
      <c r="E640" s="32">
        <f>IFERROR(_xlfn.XLOOKUP($B640,MObra[DESCRIPCION],MObra[VALOR UNIT],,0),"")</f>
        <v>197949.73204500004</v>
      </c>
      <c r="F640" s="33">
        <v>-10</v>
      </c>
      <c r="G640" s="34">
        <f>IFERROR(IF(F640&gt;=0,D640*E640*(1+F640/100),ABS(D640*E640/F640)),"")</f>
        <v>19794.973204500006</v>
      </c>
      <c r="H640" s="139">
        <f>IFERROR(G640*E624,"")</f>
        <v>0</v>
      </c>
    </row>
    <row r="641" spans="1:11" ht="12.75" customHeight="1">
      <c r="A641" s="28"/>
      <c r="B641" s="29"/>
      <c r="C641" s="30" t="str">
        <f>IFERROR(_xlfn.XLOOKUP(B641,MObra[DESCRIPCION],MObra[UN],,0),"")</f>
        <v/>
      </c>
      <c r="D641" s="31"/>
      <c r="E641" s="32" t="str">
        <f>IFERROR(_xlfn.XLOOKUP($B641,MObra[DESCRIPCION],MObra[VALOR UNIT],,0),"")</f>
        <v/>
      </c>
      <c r="F641" s="33"/>
      <c r="G641" s="34" t="str">
        <f>IFERROR(IF(F641&gt;=0,D641*E641*(1+F641/100),ABS(D641*E641/F641)),"")</f>
        <v/>
      </c>
      <c r="H641" s="139" t="str">
        <f>IFERROR(G641*E624,"")</f>
        <v/>
      </c>
    </row>
    <row r="642" spans="1:11" ht="12.75" customHeight="1" thickBot="1">
      <c r="A642" s="35"/>
      <c r="B642" s="36"/>
      <c r="C642" s="37" t="str">
        <f>IFERROR(_xlfn.XLOOKUP(B642,MObra[DESCRIPCION],MObra[UN],,0),"")</f>
        <v/>
      </c>
      <c r="D642" s="38"/>
      <c r="E642" s="39" t="str">
        <f>IFERROR(_xlfn.XLOOKUP($B642,MObra[DESCRIPCION],MObra[VALOR UNIT],,0),"")</f>
        <v/>
      </c>
      <c r="F642" s="40"/>
      <c r="G642" s="41" t="str">
        <f>IFERROR(IF(F642&gt;=0,D642*E642*(1+F642/100),ABS(D642*E642/F642)),"")</f>
        <v/>
      </c>
      <c r="H642" s="42" t="str">
        <f>IFERROR(G642*E624,"")</f>
        <v/>
      </c>
    </row>
    <row r="643" spans="1:11" ht="12.75" customHeight="1" thickTop="1" thickBot="1"/>
    <row r="644" spans="1:11" ht="12.75" customHeight="1" thickTop="1" thickBot="1">
      <c r="A644" s="6" t="s">
        <v>1434</v>
      </c>
      <c r="B644" s="7" t="str">
        <f>VLOOKUP($A644,Presupuesto!$A:$D,2,FALSE())</f>
        <v>División con perfilería baños</v>
      </c>
      <c r="C644" s="8" t="str">
        <f>VLOOKUP($A644,Presupuesto!$A:$D,3,FALSE())</f>
        <v>M2</v>
      </c>
      <c r="D644" s="9"/>
      <c r="E644" s="10">
        <f>VLOOKUP($A644,Presupuesto!$A:$D,4,FALSE())</f>
        <v>0</v>
      </c>
      <c r="F644" s="11" t="s">
        <v>2589</v>
      </c>
      <c r="G644" s="12">
        <f>SUM(G646:G662)/2</f>
        <v>324151.90856265003</v>
      </c>
      <c r="H644" s="13">
        <f>ROUND(SUM(H646:H662),0)/2</f>
        <v>0</v>
      </c>
      <c r="I644" s="10">
        <f>VLOOKUP(A644,Presupuesto!$A:$F,6,0)</f>
        <v>0</v>
      </c>
      <c r="J644" s="10">
        <f>+H644-I644</f>
        <v>0</v>
      </c>
      <c r="K644" s="46">
        <f>+H644-G644*E644</f>
        <v>0</v>
      </c>
    </row>
    <row r="645" spans="1:11" ht="12.75" customHeight="1" thickTop="1">
      <c r="A645" s="14"/>
      <c r="B645" s="15" t="s">
        <v>2586</v>
      </c>
      <c r="C645" s="15" t="s">
        <v>5</v>
      </c>
      <c r="D645" s="16" t="s">
        <v>6</v>
      </c>
      <c r="E645" s="17" t="s">
        <v>7</v>
      </c>
      <c r="F645" s="18" t="s">
        <v>3728</v>
      </c>
      <c r="G645" s="19" t="s">
        <v>3729</v>
      </c>
      <c r="H645" s="20" t="s">
        <v>3797</v>
      </c>
    </row>
    <row r="646" spans="1:11" ht="12.75" customHeight="1">
      <c r="A646" s="21"/>
      <c r="B646" s="22" t="s">
        <v>3730</v>
      </c>
      <c r="C646" s="23"/>
      <c r="D646" s="24"/>
      <c r="E646" s="25"/>
      <c r="F646" s="26"/>
      <c r="G646" s="27">
        <f>SUM(G647:G651)</f>
        <v>302144.55600000004</v>
      </c>
      <c r="H646" s="27">
        <f>IFERROR(G646*E644,"")</f>
        <v>0</v>
      </c>
    </row>
    <row r="647" spans="1:11" ht="12.75" customHeight="1">
      <c r="A647" s="28"/>
      <c r="B647" s="29" t="s">
        <v>2929</v>
      </c>
      <c r="C647" s="30" t="str">
        <f>IFERROR(_xlfn.XLOOKUP(B647,Insumo[DESCRIPCION],Insumo[UND],,0),"")</f>
        <v>M2</v>
      </c>
      <c r="D647" s="31">
        <v>1</v>
      </c>
      <c r="E647" s="32">
        <f>IFERROR(_xlfn.XLOOKUP($B647,Insumo[DESCRIPCION],Insumo[VALOR],,0),"")</f>
        <v>292914.3</v>
      </c>
      <c r="F647" s="33"/>
      <c r="G647" s="34">
        <f>IFERROR(IF(F647&gt;=0,D647*E647*(1+F647/100),ABS(D647*E647/F647)),"")</f>
        <v>292914.3</v>
      </c>
      <c r="H647" s="139">
        <f>IFERROR(G647*E644,"")</f>
        <v>0</v>
      </c>
    </row>
    <row r="648" spans="1:11" ht="12.75" customHeight="1">
      <c r="A648" s="28"/>
      <c r="B648" s="29" t="s">
        <v>3407</v>
      </c>
      <c r="C648" s="30" t="str">
        <f>IFERROR(_xlfn.XLOOKUP(B648,Insumo[DESCRIPCION],Insumo[UND],,0),"")</f>
        <v>Un</v>
      </c>
      <c r="D648" s="31">
        <v>2</v>
      </c>
      <c r="E648" s="32">
        <f>IFERROR(_xlfn.XLOOKUP($B648,Insumo[DESCRIPCION],Insumo[VALOR],,0),"")</f>
        <v>77.7</v>
      </c>
      <c r="F648" s="33"/>
      <c r="G648" s="34">
        <f>IFERROR(IF(F648&gt;=0,D648*E648*(1+F648/100),ABS(D648*E648/F648)),"")</f>
        <v>155.4</v>
      </c>
      <c r="H648" s="139">
        <f>IFERROR(G648*E644,"")</f>
        <v>0</v>
      </c>
    </row>
    <row r="649" spans="1:11" ht="12.75" customHeight="1">
      <c r="A649" s="28"/>
      <c r="B649" s="29" t="s">
        <v>3309</v>
      </c>
      <c r="C649" s="30" t="str">
        <f>IFERROR(_xlfn.XLOOKUP(B649,Insumo[DESCRIPCION],Insumo[UND],,0),"")</f>
        <v>Un</v>
      </c>
      <c r="D649" s="31">
        <v>0.16</v>
      </c>
      <c r="E649" s="32">
        <f>IFERROR(_xlfn.XLOOKUP($B649,Insumo[DESCRIPCION],Insumo[VALOR],,0),"")</f>
        <v>56717.850000000006</v>
      </c>
      <c r="F649" s="33"/>
      <c r="G649" s="34">
        <f>IFERROR(IF(F649&gt;=0,D649*E649*(1+F649/100),ABS(D649*E649/F649)),"")</f>
        <v>9074.8560000000016</v>
      </c>
      <c r="H649" s="139">
        <f>IFERROR(G649*E644,"")</f>
        <v>0</v>
      </c>
    </row>
    <row r="650" spans="1:11" ht="12.75" customHeight="1">
      <c r="A650" s="28"/>
      <c r="B650" s="29"/>
      <c r="C650" s="30" t="str">
        <f>IFERROR(_xlfn.XLOOKUP(B650,Insumo[DESCRIPCION],Insumo[UND],,0),"")</f>
        <v/>
      </c>
      <c r="D650" s="31"/>
      <c r="E650" s="32" t="str">
        <f>IFERROR(_xlfn.XLOOKUP($B650,Insumo[DESCRIPCION],Insumo[VALOR],,0),"")</f>
        <v/>
      </c>
      <c r="F650" s="33"/>
      <c r="G650" s="34" t="str">
        <f>IFERROR(IF(F650&gt;=0,D650*E650*(1+F650/100),ABS(D650*E650/F650)),"")</f>
        <v/>
      </c>
      <c r="H650" s="139" t="str">
        <f>IFERROR(G650*E644,"")</f>
        <v/>
      </c>
    </row>
    <row r="651" spans="1:11" ht="12.75" customHeight="1">
      <c r="A651" s="28"/>
      <c r="B651" s="29"/>
      <c r="C651" s="30" t="str">
        <f>IFERROR(_xlfn.XLOOKUP(B651,Insumo[DESCRIPCION],Insumo[UND],,0),"")</f>
        <v/>
      </c>
      <c r="D651" s="31"/>
      <c r="E651" s="32" t="str">
        <f>IFERROR(_xlfn.XLOOKUP($B651,Insumo[DESCRIPCION],Insumo[VALOR],,0),"")</f>
        <v/>
      </c>
      <c r="F651" s="33"/>
      <c r="G651" s="34" t="str">
        <f>IFERROR(IF(F651&gt;=0,D651*E651*(1+F651/100),ABS(D651*E651/F651)),"")</f>
        <v/>
      </c>
      <c r="H651" s="139" t="str">
        <f>IFERROR(G651*E644,"")</f>
        <v/>
      </c>
    </row>
    <row r="652" spans="1:11" ht="12.75" customHeight="1">
      <c r="A652" s="21"/>
      <c r="B652" s="22" t="s">
        <v>3731</v>
      </c>
      <c r="C652" s="23"/>
      <c r="D652" s="24"/>
      <c r="E652" s="25"/>
      <c r="F652" s="26"/>
      <c r="G652" s="27">
        <f>SUM(G653:G655)</f>
        <v>1047.9691696500001</v>
      </c>
      <c r="H652" s="27">
        <f>IFERROR(G652*E644,"")</f>
        <v>0</v>
      </c>
    </row>
    <row r="653" spans="1:11" ht="12.75" customHeight="1">
      <c r="A653" s="28"/>
      <c r="B653" s="29" t="s">
        <v>3626</v>
      </c>
      <c r="C653" s="30" t="str">
        <f>IFERROR(_xlfn.XLOOKUP(B653,Equipo[DESCRIPCION],Equipo[UND],,0),"")</f>
        <v>%MO</v>
      </c>
      <c r="D653" s="31">
        <v>0.05</v>
      </c>
      <c r="E653" s="32">
        <f>IF(C653="%MO",G659,IFERROR(_xlfn.XLOOKUP($B653,Equipo[DESCRIPCION],Equipo[VALOR],,0),""))</f>
        <v>20959.383393000004</v>
      </c>
      <c r="F653" s="33"/>
      <c r="G653" s="34">
        <f>IFERROR(IF(F653&gt;=0,D653*E653*(1+F653/100),ABS(D653*E653/F653)),"")</f>
        <v>1047.9691696500001</v>
      </c>
      <c r="H653" s="139">
        <f>IFERROR(G653*E644,"")</f>
        <v>0</v>
      </c>
    </row>
    <row r="654" spans="1:11" ht="12.75" customHeight="1">
      <c r="A654" s="28"/>
      <c r="B654" s="29"/>
      <c r="C654" s="30" t="str">
        <f>IFERROR(_xlfn.XLOOKUP(B654,Equipo[DESCRIPCION],Equipo[UND],,0),"")</f>
        <v/>
      </c>
      <c r="D654" s="31"/>
      <c r="E654" s="32" t="str">
        <f>IF(C654="%MO",G659,IFERROR(_xlfn.XLOOKUP($B654,Equipo[DESCRIPCION],Equipo[VALOR],,0),""))</f>
        <v/>
      </c>
      <c r="F654" s="33"/>
      <c r="G654" s="34" t="str">
        <f>IFERROR(IF(F654&gt;=0,D654*E654*(1+F654/100),ABS(D654*E654/F654)),"")</f>
        <v/>
      </c>
      <c r="H654" s="139" t="str">
        <f>IFERROR(G654*E644,"")</f>
        <v/>
      </c>
    </row>
    <row r="655" spans="1:11" ht="12.75" customHeight="1">
      <c r="A655" s="28"/>
      <c r="B655" s="29"/>
      <c r="C655" s="30" t="str">
        <f>IFERROR(_xlfn.XLOOKUP(B655,Equipo[DESCRIPCION],Equipo[UND],,0),"")</f>
        <v/>
      </c>
      <c r="D655" s="31"/>
      <c r="E655" s="32" t="str">
        <f>IF(C655="%MO",G659,IFERROR(_xlfn.XLOOKUP($B655,Equipo[DESCRIPCION],Equipo[VALOR],,0),""))</f>
        <v/>
      </c>
      <c r="F655" s="33"/>
      <c r="G655" s="34" t="str">
        <f>IFERROR(IF(F655&gt;=0,D655*E655*(1+F655/100),ABS(D655*E655/F655)),"")</f>
        <v/>
      </c>
      <c r="H655" s="139" t="str">
        <f>IFERROR(G655*E644,"")</f>
        <v/>
      </c>
    </row>
    <row r="656" spans="1:11" ht="12.75" customHeight="1">
      <c r="A656" s="21"/>
      <c r="B656" s="22" t="s">
        <v>2533</v>
      </c>
      <c r="C656" s="23"/>
      <c r="D656" s="24"/>
      <c r="E656" s="25"/>
      <c r="F656" s="26"/>
      <c r="G656" s="27">
        <f>SUM(G657:G658)</f>
        <v>0</v>
      </c>
      <c r="H656" s="27">
        <f>IFERROR(G656*E644,"")</f>
        <v>0</v>
      </c>
    </row>
    <row r="657" spans="1:11" ht="12.75" customHeight="1">
      <c r="A657" s="28"/>
      <c r="B657" s="29"/>
      <c r="C657" s="30" t="str">
        <f>IFERROR(_xlfn.XLOOKUP(B657,Transporte[DESCRIPCION],Transporte[UND],,0),"")</f>
        <v/>
      </c>
      <c r="D657" s="31"/>
      <c r="E657" s="32" t="str">
        <f>IFERROR(_xlfn.XLOOKUP($B657,Transporte[DESCRIPCION],Transporte[VALOR],,0),"")</f>
        <v/>
      </c>
      <c r="F657" s="33"/>
      <c r="G657" s="34" t="str">
        <f>IFERROR(IF(F657&gt;=0,D657*E657*(1+F657/100),ABS(D657*E657/F657)),"")</f>
        <v/>
      </c>
      <c r="H657" s="139" t="str">
        <f>IFERROR(G657*E644,"")</f>
        <v/>
      </c>
    </row>
    <row r="658" spans="1:11" ht="12.75" customHeight="1">
      <c r="A658" s="28"/>
      <c r="B658" s="29"/>
      <c r="C658" s="30" t="str">
        <f>IFERROR(_xlfn.XLOOKUP(B658,Transporte[DESCRIPCION],Transporte[UND],,0),"")</f>
        <v/>
      </c>
      <c r="D658" s="31"/>
      <c r="E658" s="32" t="str">
        <f>IFERROR(_xlfn.XLOOKUP($B658,Transporte[DESCRIPCION],Transporte[VALOR],,0),"")</f>
        <v/>
      </c>
      <c r="F658" s="33"/>
      <c r="G658" s="34" t="str">
        <f>IFERROR(IF(F658&gt;=0,D658*E658*(1+F658/100),ABS(D658*E658/F658)),"")</f>
        <v/>
      </c>
      <c r="H658" s="139" t="str">
        <f>IFERROR(G658*E644,"")</f>
        <v/>
      </c>
    </row>
    <row r="659" spans="1:11" ht="12.75" customHeight="1">
      <c r="A659" s="21"/>
      <c r="B659" s="22" t="s">
        <v>3732</v>
      </c>
      <c r="C659" s="23"/>
      <c r="D659" s="24"/>
      <c r="E659" s="25"/>
      <c r="F659" s="26"/>
      <c r="G659" s="27">
        <f>SUM(G660:G662)</f>
        <v>20959.383393000004</v>
      </c>
      <c r="H659" s="27">
        <f>IFERROR(G659*E644,"")</f>
        <v>0</v>
      </c>
    </row>
    <row r="660" spans="1:11" ht="12.75" customHeight="1">
      <c r="A660" s="28"/>
      <c r="B660" s="29" t="s">
        <v>3710</v>
      </c>
      <c r="C660" s="30" t="str">
        <f>IFERROR(_xlfn.XLOOKUP(B660,MObra[DESCRIPCION],MObra[UN],,0),"")</f>
        <v>día</v>
      </c>
      <c r="D660" s="31">
        <v>1</v>
      </c>
      <c r="E660" s="32">
        <f>IFERROR(_xlfn.XLOOKUP($B660,MObra[DESCRIPCION],MObra[VALOR UNIT],,0),"")</f>
        <v>314390.75089500006</v>
      </c>
      <c r="F660" s="33">
        <v>-15</v>
      </c>
      <c r="G660" s="34">
        <f>IFERROR(IF(F660&gt;=0,D660*E660*(1+F660/100),ABS(D660*E660/F660)),"")</f>
        <v>20959.383393000004</v>
      </c>
      <c r="H660" s="139">
        <f>IFERROR(G660*E644,"")</f>
        <v>0</v>
      </c>
    </row>
    <row r="661" spans="1:11" ht="12.75" customHeight="1">
      <c r="A661" s="28"/>
      <c r="B661" s="29"/>
      <c r="C661" s="30" t="str">
        <f>IFERROR(_xlfn.XLOOKUP(B661,MObra[DESCRIPCION],MObra[UN],,0),"")</f>
        <v/>
      </c>
      <c r="D661" s="31"/>
      <c r="E661" s="32" t="str">
        <f>IFERROR(_xlfn.XLOOKUP($B661,MObra[DESCRIPCION],MObra[VALOR UNIT],,0),"")</f>
        <v/>
      </c>
      <c r="F661" s="33"/>
      <c r="G661" s="34" t="str">
        <f>IFERROR(IF(F661&gt;=0,D661*E661*(1+F661/100),ABS(D661*E661/F661)),"")</f>
        <v/>
      </c>
      <c r="H661" s="139" t="str">
        <f>IFERROR(G661*E644,"")</f>
        <v/>
      </c>
    </row>
    <row r="662" spans="1:11" ht="12.75" customHeight="1" thickBot="1">
      <c r="A662" s="35"/>
      <c r="B662" s="36"/>
      <c r="C662" s="37" t="str">
        <f>IFERROR(_xlfn.XLOOKUP(B662,MObra[DESCRIPCION],MObra[UN],,0),"")</f>
        <v/>
      </c>
      <c r="D662" s="38"/>
      <c r="E662" s="39" t="str">
        <f>IFERROR(_xlfn.XLOOKUP($B662,MObra[DESCRIPCION],MObra[VALOR UNIT],,0),"")</f>
        <v/>
      </c>
      <c r="F662" s="40"/>
      <c r="G662" s="41" t="str">
        <f>IFERROR(IF(F662&gt;=0,D662*E662*(1+F662/100),ABS(D662*E662/F662)),"")</f>
        <v/>
      </c>
      <c r="H662" s="42" t="str">
        <f>IFERROR(G662*E644,"")</f>
        <v/>
      </c>
    </row>
    <row r="663" spans="1:11" ht="12.75" customHeight="1" thickTop="1" thickBot="1"/>
    <row r="664" spans="1:11" ht="12.75" customHeight="1" thickTop="1" thickBot="1">
      <c r="A664" s="6" t="s">
        <v>1436</v>
      </c>
      <c r="B664" s="7" t="str">
        <f>VLOOKUP($A664,Presupuesto!$A:$D,2,FALSE())</f>
        <v>Ducha mezclador</v>
      </c>
      <c r="C664" s="8" t="str">
        <f>VLOOKUP($A664,Presupuesto!$A:$D,3,FALSE())</f>
        <v>Un</v>
      </c>
      <c r="D664" s="9"/>
      <c r="E664" s="10">
        <f>VLOOKUP($A664,Presupuesto!$A:$D,4,FALSE())</f>
        <v>0</v>
      </c>
      <c r="F664" s="11" t="s">
        <v>2589</v>
      </c>
      <c r="G664" s="12">
        <f>SUM(G666:G682)/2</f>
        <v>237785.76024315003</v>
      </c>
      <c r="H664" s="13">
        <f>ROUND(SUM(H666:H682),0)/2</f>
        <v>0</v>
      </c>
      <c r="I664" s="10">
        <f>VLOOKUP(A664,Presupuesto!$A:$F,6,0)</f>
        <v>0</v>
      </c>
      <c r="J664" s="10">
        <f>+H664-I664</f>
        <v>0</v>
      </c>
      <c r="K664" s="46">
        <f>+H664-G664*E664</f>
        <v>0</v>
      </c>
    </row>
    <row r="665" spans="1:11" ht="12.75" customHeight="1" thickTop="1">
      <c r="A665" s="14"/>
      <c r="B665" s="15" t="s">
        <v>2586</v>
      </c>
      <c r="C665" s="15" t="s">
        <v>5</v>
      </c>
      <c r="D665" s="16" t="s">
        <v>6</v>
      </c>
      <c r="E665" s="17" t="s">
        <v>7</v>
      </c>
      <c r="F665" s="18" t="s">
        <v>3728</v>
      </c>
      <c r="G665" s="19" t="s">
        <v>3729</v>
      </c>
      <c r="H665" s="20" t="s">
        <v>3797</v>
      </c>
    </row>
    <row r="666" spans="1:11" ht="12.75" customHeight="1">
      <c r="A666" s="21"/>
      <c r="B666" s="22" t="s">
        <v>3730</v>
      </c>
      <c r="C666" s="23"/>
      <c r="D666" s="24"/>
      <c r="E666" s="25"/>
      <c r="F666" s="26"/>
      <c r="G666" s="27">
        <f>SUM(G667:G671)</f>
        <v>223929.27900000001</v>
      </c>
      <c r="H666" s="27">
        <f>IFERROR(G666*E664,"")</f>
        <v>0</v>
      </c>
    </row>
    <row r="667" spans="1:11" ht="12.75" customHeight="1">
      <c r="A667" s="28"/>
      <c r="B667" s="29" t="s">
        <v>2933</v>
      </c>
      <c r="C667" s="30" t="str">
        <f>IFERROR(_xlfn.XLOOKUP(B667,Insumo[DESCRIPCION],Insumo[UND],,0),"")</f>
        <v>Un</v>
      </c>
      <c r="D667" s="31">
        <v>1</v>
      </c>
      <c r="E667" s="32">
        <f>IFERROR(_xlfn.XLOOKUP($B667,Insumo[DESCRIPCION],Insumo[VALOR],,0),"")</f>
        <v>223915.65000000002</v>
      </c>
      <c r="F667" s="33"/>
      <c r="G667" s="34">
        <f>IFERROR(IF(F667&gt;=0,D667*E667*(1+F667/100),ABS(D667*E667/F667)),"")</f>
        <v>223915.65000000002</v>
      </c>
      <c r="H667" s="139">
        <f>IFERROR(G667*E664,"")</f>
        <v>0</v>
      </c>
    </row>
    <row r="668" spans="1:11" ht="12.75" customHeight="1">
      <c r="A668" s="28"/>
      <c r="B668" s="29" t="s">
        <v>2847</v>
      </c>
      <c r="C668" s="30" t="str">
        <f>IFERROR(_xlfn.XLOOKUP(B668,Insumo[DESCRIPCION],Insumo[UND],,0),"")</f>
        <v>Un</v>
      </c>
      <c r="D668" s="31">
        <v>0.01</v>
      </c>
      <c r="E668" s="32">
        <f>IFERROR(_xlfn.XLOOKUP($B668,Insumo[DESCRIPCION],Insumo[VALOR],,0),"")</f>
        <v>1362.9</v>
      </c>
      <c r="F668" s="33"/>
      <c r="G668" s="34">
        <f>IFERROR(IF(F668&gt;=0,D668*E668*(1+F668/100),ABS(D668*E668/F668)),"")</f>
        <v>13.629000000000001</v>
      </c>
      <c r="H668" s="139">
        <f>IFERROR(G668*E664,"")</f>
        <v>0</v>
      </c>
    </row>
    <row r="669" spans="1:11" ht="12.75" customHeight="1">
      <c r="A669" s="28"/>
      <c r="B669" s="29"/>
      <c r="C669" s="30" t="str">
        <f>IFERROR(_xlfn.XLOOKUP(B669,Insumo[DESCRIPCION],Insumo[UND],,0),"")</f>
        <v/>
      </c>
      <c r="D669" s="31"/>
      <c r="E669" s="32" t="str">
        <f>IFERROR(_xlfn.XLOOKUP($B669,Insumo[DESCRIPCION],Insumo[VALOR],,0),"")</f>
        <v/>
      </c>
      <c r="F669" s="33"/>
      <c r="G669" s="34" t="str">
        <f>IFERROR(IF(F669&gt;=0,D669*E669*(1+F669/100),ABS(D669*E669/F669)),"")</f>
        <v/>
      </c>
      <c r="H669" s="139" t="str">
        <f>IFERROR(G669*E664,"")</f>
        <v/>
      </c>
    </row>
    <row r="670" spans="1:11" ht="12.75" customHeight="1">
      <c r="A670" s="28"/>
      <c r="B670" s="29"/>
      <c r="C670" s="30" t="str">
        <f>IFERROR(_xlfn.XLOOKUP(B670,Insumo[DESCRIPCION],Insumo[UND],,0),"")</f>
        <v/>
      </c>
      <c r="D670" s="31"/>
      <c r="E670" s="32" t="str">
        <f>IFERROR(_xlfn.XLOOKUP($B670,Insumo[DESCRIPCION],Insumo[VALOR],,0),"")</f>
        <v/>
      </c>
      <c r="F670" s="33"/>
      <c r="G670" s="34" t="str">
        <f>IFERROR(IF(F670&gt;=0,D670*E670*(1+F670/100),ABS(D670*E670/F670)),"")</f>
        <v/>
      </c>
      <c r="H670" s="139" t="str">
        <f>IFERROR(G670*E664,"")</f>
        <v/>
      </c>
    </row>
    <row r="671" spans="1:11" ht="12.75" customHeight="1">
      <c r="A671" s="28"/>
      <c r="B671" s="29"/>
      <c r="C671" s="30" t="str">
        <f>IFERROR(_xlfn.XLOOKUP(B671,Insumo[DESCRIPCION],Insumo[UND],,0),"")</f>
        <v/>
      </c>
      <c r="D671" s="31"/>
      <c r="E671" s="32" t="str">
        <f>IFERROR(_xlfn.XLOOKUP($B671,Insumo[DESCRIPCION],Insumo[VALOR],,0),"")</f>
        <v/>
      </c>
      <c r="F671" s="33"/>
      <c r="G671" s="34" t="str">
        <f>IFERROR(IF(F671&gt;=0,D671*E671*(1+F671/100),ABS(D671*E671/F671)),"")</f>
        <v/>
      </c>
      <c r="H671" s="139" t="str">
        <f>IFERROR(G671*E664,"")</f>
        <v/>
      </c>
    </row>
    <row r="672" spans="1:11" ht="12.75" customHeight="1">
      <c r="A672" s="21"/>
      <c r="B672" s="22" t="s">
        <v>3731</v>
      </c>
      <c r="C672" s="23"/>
      <c r="D672" s="24"/>
      <c r="E672" s="25"/>
      <c r="F672" s="26"/>
      <c r="G672" s="27">
        <f>SUM(G673:G675)</f>
        <v>659.83244015000014</v>
      </c>
      <c r="H672" s="27">
        <f>IFERROR(G672*E664,"")</f>
        <v>0</v>
      </c>
    </row>
    <row r="673" spans="1:11" ht="12.75" customHeight="1">
      <c r="A673" s="28"/>
      <c r="B673" s="29" t="s">
        <v>3626</v>
      </c>
      <c r="C673" s="30" t="str">
        <f>IFERROR(_xlfn.XLOOKUP(B673,Equipo[DESCRIPCION],Equipo[UND],,0),"")</f>
        <v>%MO</v>
      </c>
      <c r="D673" s="31">
        <v>0.05</v>
      </c>
      <c r="E673" s="32">
        <f>IF(C673="%MO",G679,IFERROR(_xlfn.XLOOKUP($B673,Equipo[DESCRIPCION],Equipo[VALOR],,0),""))</f>
        <v>13196.648803000002</v>
      </c>
      <c r="F673" s="33"/>
      <c r="G673" s="34">
        <f>IFERROR(IF(F673&gt;=0,D673*E673*(1+F673/100),ABS(D673*E673/F673)),"")</f>
        <v>659.83244015000014</v>
      </c>
      <c r="H673" s="139">
        <f>IFERROR(G673*E664,"")</f>
        <v>0</v>
      </c>
    </row>
    <row r="674" spans="1:11" ht="12.75" customHeight="1">
      <c r="A674" s="28"/>
      <c r="B674" s="29"/>
      <c r="C674" s="30" t="str">
        <f>IFERROR(_xlfn.XLOOKUP(B674,Equipo[DESCRIPCION],Equipo[UND],,0),"")</f>
        <v/>
      </c>
      <c r="D674" s="31"/>
      <c r="E674" s="32" t="str">
        <f>IF(C674="%MO",G679,IFERROR(_xlfn.XLOOKUP($B674,Equipo[DESCRIPCION],Equipo[VALOR],,0),""))</f>
        <v/>
      </c>
      <c r="F674" s="33"/>
      <c r="G674" s="34" t="str">
        <f>IFERROR(IF(F674&gt;=0,D674*E674*(1+F674/100),ABS(D674*E674/F674)),"")</f>
        <v/>
      </c>
      <c r="H674" s="139" t="str">
        <f>IFERROR(G674*E664,"")</f>
        <v/>
      </c>
    </row>
    <row r="675" spans="1:11" ht="12.75" customHeight="1">
      <c r="A675" s="28"/>
      <c r="B675" s="29"/>
      <c r="C675" s="30" t="str">
        <f>IFERROR(_xlfn.XLOOKUP(B675,Equipo[DESCRIPCION],Equipo[UND],,0),"")</f>
        <v/>
      </c>
      <c r="D675" s="31"/>
      <c r="E675" s="32" t="str">
        <f>IF(C675="%MO",G679,IFERROR(_xlfn.XLOOKUP($B675,Equipo[DESCRIPCION],Equipo[VALOR],,0),""))</f>
        <v/>
      </c>
      <c r="F675" s="33"/>
      <c r="G675" s="34" t="str">
        <f>IFERROR(IF(F675&gt;=0,D675*E675*(1+F675/100),ABS(D675*E675/F675)),"")</f>
        <v/>
      </c>
      <c r="H675" s="139" t="str">
        <f>IFERROR(G675*E664,"")</f>
        <v/>
      </c>
    </row>
    <row r="676" spans="1:11" ht="12.75" customHeight="1">
      <c r="A676" s="21"/>
      <c r="B676" s="22" t="s">
        <v>2533</v>
      </c>
      <c r="C676" s="23"/>
      <c r="D676" s="24"/>
      <c r="E676" s="25"/>
      <c r="F676" s="26"/>
      <c r="G676" s="27">
        <f>SUM(G677:G678)</f>
        <v>0</v>
      </c>
      <c r="H676" s="27">
        <f>IFERROR(G676*E664,"")</f>
        <v>0</v>
      </c>
    </row>
    <row r="677" spans="1:11" ht="12.75" customHeight="1">
      <c r="A677" s="28"/>
      <c r="B677" s="29"/>
      <c r="C677" s="30" t="str">
        <f>IFERROR(_xlfn.XLOOKUP(B677,Transporte[DESCRIPCION],Transporte[UND],,0),"")</f>
        <v/>
      </c>
      <c r="D677" s="31"/>
      <c r="E677" s="32" t="str">
        <f>IFERROR(_xlfn.XLOOKUP($B677,Transporte[DESCRIPCION],Transporte[VALOR],,0),"")</f>
        <v/>
      </c>
      <c r="F677" s="33"/>
      <c r="G677" s="34" t="str">
        <f>IFERROR(IF(F677&gt;=0,D677*E677*(1+F677/100),ABS(D677*E677/F677)),"")</f>
        <v/>
      </c>
      <c r="H677" s="139" t="str">
        <f>IFERROR(G677*E664,"")</f>
        <v/>
      </c>
    </row>
    <row r="678" spans="1:11" ht="12.75" customHeight="1">
      <c r="A678" s="28"/>
      <c r="B678" s="29"/>
      <c r="C678" s="30" t="str">
        <f>IFERROR(_xlfn.XLOOKUP(B678,Transporte[DESCRIPCION],Transporte[UND],,0),"")</f>
        <v/>
      </c>
      <c r="D678" s="31"/>
      <c r="E678" s="32" t="str">
        <f>IFERROR(_xlfn.XLOOKUP($B678,Transporte[DESCRIPCION],Transporte[VALOR],,0),"")</f>
        <v/>
      </c>
      <c r="F678" s="33"/>
      <c r="G678" s="34" t="str">
        <f>IFERROR(IF(F678&gt;=0,D678*E678*(1+F678/100),ABS(D678*E678/F678)),"")</f>
        <v/>
      </c>
      <c r="H678" s="139" t="str">
        <f>IFERROR(G678*E664,"")</f>
        <v/>
      </c>
    </row>
    <row r="679" spans="1:11" ht="12.75" customHeight="1">
      <c r="A679" s="21"/>
      <c r="B679" s="22" t="s">
        <v>3732</v>
      </c>
      <c r="C679" s="23"/>
      <c r="D679" s="24"/>
      <c r="E679" s="25"/>
      <c r="F679" s="26"/>
      <c r="G679" s="27">
        <f>SUM(G680:G682)</f>
        <v>13196.648803000002</v>
      </c>
      <c r="H679" s="27">
        <f>IFERROR(G679*E664,"")</f>
        <v>0</v>
      </c>
    </row>
    <row r="680" spans="1:11" ht="12.75" customHeight="1">
      <c r="A680" s="28"/>
      <c r="B680" s="29" t="s">
        <v>3705</v>
      </c>
      <c r="C680" s="30" t="str">
        <f>IFERROR(_xlfn.XLOOKUP(B680,MObra[DESCRIPCION],MObra[UN],,0),"")</f>
        <v>día</v>
      </c>
      <c r="D680" s="31">
        <v>1</v>
      </c>
      <c r="E680" s="32">
        <f>IFERROR(_xlfn.XLOOKUP($B680,MObra[DESCRIPCION],MObra[VALOR UNIT],,0),"")</f>
        <v>197949.73204500004</v>
      </c>
      <c r="F680" s="33">
        <v>-15</v>
      </c>
      <c r="G680" s="34">
        <f>IFERROR(IF(F680&gt;=0,D680*E680*(1+F680/100),ABS(D680*E680/F680)),"")</f>
        <v>13196.648803000002</v>
      </c>
      <c r="H680" s="139">
        <f>IFERROR(G680*E664,"")</f>
        <v>0</v>
      </c>
    </row>
    <row r="681" spans="1:11" ht="12.75" customHeight="1">
      <c r="A681" s="28"/>
      <c r="B681" s="29"/>
      <c r="C681" s="30" t="str">
        <f>IFERROR(_xlfn.XLOOKUP(B681,MObra[DESCRIPCION],MObra[UN],,0),"")</f>
        <v/>
      </c>
      <c r="D681" s="31"/>
      <c r="E681" s="32" t="str">
        <f>IFERROR(_xlfn.XLOOKUP($B681,MObra[DESCRIPCION],MObra[VALOR UNIT],,0),"")</f>
        <v/>
      </c>
      <c r="F681" s="33"/>
      <c r="G681" s="34" t="str">
        <f>IFERROR(IF(F681&gt;=0,D681*E681*(1+F681/100),ABS(D681*E681/F681)),"")</f>
        <v/>
      </c>
      <c r="H681" s="139" t="str">
        <f>IFERROR(G681*E664,"")</f>
        <v/>
      </c>
    </row>
    <row r="682" spans="1:11" ht="12.75" customHeight="1" thickBot="1">
      <c r="A682" s="35"/>
      <c r="B682" s="36"/>
      <c r="C682" s="37" t="str">
        <f>IFERROR(_xlfn.XLOOKUP(B682,MObra[DESCRIPCION],MObra[UN],,0),"")</f>
        <v/>
      </c>
      <c r="D682" s="38"/>
      <c r="E682" s="39" t="str">
        <f>IFERROR(_xlfn.XLOOKUP($B682,MObra[DESCRIPCION],MObra[VALOR UNIT],,0),"")</f>
        <v/>
      </c>
      <c r="F682" s="40"/>
      <c r="G682" s="41" t="str">
        <f>IFERROR(IF(F682&gt;=0,D682*E682*(1+F682/100),ABS(D682*E682/F682)),"")</f>
        <v/>
      </c>
      <c r="H682" s="42" t="str">
        <f>IFERROR(G682*E664,"")</f>
        <v/>
      </c>
    </row>
    <row r="683" spans="1:11" ht="12.75" customHeight="1" thickTop="1" thickBot="1"/>
    <row r="684" spans="1:11" ht="12.75" customHeight="1" thickTop="1" thickBot="1">
      <c r="A684" s="6" t="s">
        <v>1438</v>
      </c>
      <c r="B684" s="7" t="str">
        <f>VLOOKUP($A684,Presupuesto!$A:$D,2,FALSE())</f>
        <v>Ducha sencilla</v>
      </c>
      <c r="C684" s="8" t="str">
        <f>VLOOKUP($A684,Presupuesto!$A:$D,3,FALSE())</f>
        <v>Un</v>
      </c>
      <c r="D684" s="9"/>
      <c r="E684" s="10">
        <f>VLOOKUP($A684,Presupuesto!$A:$D,4,FALSE())</f>
        <v>0</v>
      </c>
      <c r="F684" s="11" t="s">
        <v>2589</v>
      </c>
      <c r="G684" s="12">
        <f>SUM(G686:G702)/2</f>
        <v>103664.01024314998</v>
      </c>
      <c r="H684" s="13">
        <f>ROUND(SUM(H686:H702),0)/2</f>
        <v>0</v>
      </c>
      <c r="I684" s="10">
        <f>VLOOKUP(A684,Presupuesto!$A:$F,6,0)</f>
        <v>0</v>
      </c>
      <c r="J684" s="10">
        <f>+H684-I684</f>
        <v>0</v>
      </c>
      <c r="K684" s="46">
        <f>+H684-G684*E684</f>
        <v>0</v>
      </c>
    </row>
    <row r="685" spans="1:11" ht="12.75" customHeight="1" thickTop="1">
      <c r="A685" s="14"/>
      <c r="B685" s="15" t="s">
        <v>2586</v>
      </c>
      <c r="C685" s="15" t="s">
        <v>5</v>
      </c>
      <c r="D685" s="16" t="s">
        <v>6</v>
      </c>
      <c r="E685" s="17" t="s">
        <v>7</v>
      </c>
      <c r="F685" s="18" t="s">
        <v>3728</v>
      </c>
      <c r="G685" s="19" t="s">
        <v>3729</v>
      </c>
      <c r="H685" s="20" t="s">
        <v>3797</v>
      </c>
    </row>
    <row r="686" spans="1:11" ht="12.75" customHeight="1">
      <c r="A686" s="21"/>
      <c r="B686" s="22" t="s">
        <v>3730</v>
      </c>
      <c r="C686" s="23"/>
      <c r="D686" s="24"/>
      <c r="E686" s="25"/>
      <c r="F686" s="26"/>
      <c r="G686" s="27">
        <f>SUM(G687:G691)</f>
        <v>89807.52900000001</v>
      </c>
      <c r="H686" s="27">
        <f>IFERROR(G686*E684,"")</f>
        <v>0</v>
      </c>
    </row>
    <row r="687" spans="1:11" ht="12.75" customHeight="1">
      <c r="A687" s="28"/>
      <c r="B687" s="29" t="s">
        <v>2932</v>
      </c>
      <c r="C687" s="30" t="str">
        <f>IFERROR(_xlfn.XLOOKUP(B687,Insumo[DESCRIPCION],Insumo[UND],,0),"")</f>
        <v>Un</v>
      </c>
      <c r="D687" s="31">
        <v>1</v>
      </c>
      <c r="E687" s="32">
        <f>IFERROR(_xlfn.XLOOKUP($B687,Insumo[DESCRIPCION],Insumo[VALOR],,0),"")</f>
        <v>89793.900000000009</v>
      </c>
      <c r="F687" s="33"/>
      <c r="G687" s="34">
        <f>IFERROR(IF(F687&gt;=0,D687*E687*(1+F687/100),ABS(D687*E687/F687)),"")</f>
        <v>89793.900000000009</v>
      </c>
      <c r="H687" s="139">
        <f>IFERROR(G687*E684,"")</f>
        <v>0</v>
      </c>
    </row>
    <row r="688" spans="1:11" ht="12.75" customHeight="1">
      <c r="A688" s="28"/>
      <c r="B688" s="29" t="s">
        <v>2847</v>
      </c>
      <c r="C688" s="30" t="str">
        <f>IFERROR(_xlfn.XLOOKUP(B688,Insumo[DESCRIPCION],Insumo[UND],,0),"")</f>
        <v>Un</v>
      </c>
      <c r="D688" s="31">
        <v>0.01</v>
      </c>
      <c r="E688" s="32">
        <f>IFERROR(_xlfn.XLOOKUP($B688,Insumo[DESCRIPCION],Insumo[VALOR],,0),"")</f>
        <v>1362.9</v>
      </c>
      <c r="F688" s="33"/>
      <c r="G688" s="34">
        <f>IFERROR(IF(F688&gt;=0,D688*E688*(1+F688/100),ABS(D688*E688/F688)),"")</f>
        <v>13.629000000000001</v>
      </c>
      <c r="H688" s="139">
        <f>IFERROR(G688*E684,"")</f>
        <v>0</v>
      </c>
    </row>
    <row r="689" spans="1:11" ht="12.75" customHeight="1">
      <c r="A689" s="28"/>
      <c r="B689" s="29"/>
      <c r="C689" s="30" t="str">
        <f>IFERROR(_xlfn.XLOOKUP(B689,Insumo[DESCRIPCION],Insumo[UND],,0),"")</f>
        <v/>
      </c>
      <c r="D689" s="31"/>
      <c r="E689" s="32" t="str">
        <f>IFERROR(_xlfn.XLOOKUP($B689,Insumo[DESCRIPCION],Insumo[VALOR],,0),"")</f>
        <v/>
      </c>
      <c r="F689" s="33"/>
      <c r="G689" s="34" t="str">
        <f>IFERROR(IF(F689&gt;=0,D689*E689*(1+F689/100),ABS(D689*E689/F689)),"")</f>
        <v/>
      </c>
      <c r="H689" s="139" t="str">
        <f>IFERROR(G689*E684,"")</f>
        <v/>
      </c>
    </row>
    <row r="690" spans="1:11" ht="12.75" customHeight="1">
      <c r="A690" s="28"/>
      <c r="B690" s="29"/>
      <c r="C690" s="30" t="str">
        <f>IFERROR(_xlfn.XLOOKUP(B690,Insumo[DESCRIPCION],Insumo[UND],,0),"")</f>
        <v/>
      </c>
      <c r="D690" s="31"/>
      <c r="E690" s="32" t="str">
        <f>IFERROR(_xlfn.XLOOKUP($B690,Insumo[DESCRIPCION],Insumo[VALOR],,0),"")</f>
        <v/>
      </c>
      <c r="F690" s="33"/>
      <c r="G690" s="34" t="str">
        <f>IFERROR(IF(F690&gt;=0,D690*E690*(1+F690/100),ABS(D690*E690/F690)),"")</f>
        <v/>
      </c>
      <c r="H690" s="139" t="str">
        <f>IFERROR(G690*E684,"")</f>
        <v/>
      </c>
    </row>
    <row r="691" spans="1:11" ht="12.75" customHeight="1">
      <c r="A691" s="28"/>
      <c r="B691" s="29"/>
      <c r="C691" s="30" t="str">
        <f>IFERROR(_xlfn.XLOOKUP(B691,Insumo[DESCRIPCION],Insumo[UND],,0),"")</f>
        <v/>
      </c>
      <c r="D691" s="31"/>
      <c r="E691" s="32" t="str">
        <f>IFERROR(_xlfn.XLOOKUP($B691,Insumo[DESCRIPCION],Insumo[VALOR],,0),"")</f>
        <v/>
      </c>
      <c r="F691" s="33"/>
      <c r="G691" s="34" t="str">
        <f>IFERROR(IF(F691&gt;=0,D691*E691*(1+F691/100),ABS(D691*E691/F691)),"")</f>
        <v/>
      </c>
      <c r="H691" s="139" t="str">
        <f>IFERROR(G691*E684,"")</f>
        <v/>
      </c>
    </row>
    <row r="692" spans="1:11" ht="12.75" customHeight="1">
      <c r="A692" s="21"/>
      <c r="B692" s="22" t="s">
        <v>3731</v>
      </c>
      <c r="C692" s="23"/>
      <c r="D692" s="24"/>
      <c r="E692" s="25"/>
      <c r="F692" s="26"/>
      <c r="G692" s="27">
        <f>SUM(G693:G695)</f>
        <v>659.83244015000014</v>
      </c>
      <c r="H692" s="27">
        <f>IFERROR(G692*E684,"")</f>
        <v>0</v>
      </c>
    </row>
    <row r="693" spans="1:11" ht="12.75" customHeight="1">
      <c r="A693" s="28"/>
      <c r="B693" s="29" t="s">
        <v>3626</v>
      </c>
      <c r="C693" s="30" t="str">
        <f>IFERROR(_xlfn.XLOOKUP(B693,Equipo[DESCRIPCION],Equipo[UND],,0),"")</f>
        <v>%MO</v>
      </c>
      <c r="D693" s="31">
        <v>0.05</v>
      </c>
      <c r="E693" s="32">
        <f>IF(C693="%MO",G699,IFERROR(_xlfn.XLOOKUP($B693,Equipo[DESCRIPCION],Equipo[VALOR],,0),""))</f>
        <v>13196.648803000002</v>
      </c>
      <c r="F693" s="33"/>
      <c r="G693" s="34">
        <f>IFERROR(IF(F693&gt;=0,D693*E693*(1+F693/100),ABS(D693*E693/F693)),"")</f>
        <v>659.83244015000014</v>
      </c>
      <c r="H693" s="139">
        <f>IFERROR(G693*E684,"")</f>
        <v>0</v>
      </c>
    </row>
    <row r="694" spans="1:11" ht="12.75" customHeight="1">
      <c r="A694" s="28"/>
      <c r="B694" s="29"/>
      <c r="C694" s="30" t="str">
        <f>IFERROR(_xlfn.XLOOKUP(B694,Equipo[DESCRIPCION],Equipo[UND],,0),"")</f>
        <v/>
      </c>
      <c r="D694" s="31"/>
      <c r="E694" s="32" t="str">
        <f>IF(C694="%MO",G699,IFERROR(_xlfn.XLOOKUP($B694,Equipo[DESCRIPCION],Equipo[VALOR],,0),""))</f>
        <v/>
      </c>
      <c r="F694" s="33"/>
      <c r="G694" s="34" t="str">
        <f>IFERROR(IF(F694&gt;=0,D694*E694*(1+F694/100),ABS(D694*E694/F694)),"")</f>
        <v/>
      </c>
      <c r="H694" s="139" t="str">
        <f>IFERROR(G694*E684,"")</f>
        <v/>
      </c>
    </row>
    <row r="695" spans="1:11" ht="12.75" customHeight="1">
      <c r="A695" s="28"/>
      <c r="B695" s="29"/>
      <c r="C695" s="30" t="str">
        <f>IFERROR(_xlfn.XLOOKUP(B695,Equipo[DESCRIPCION],Equipo[UND],,0),"")</f>
        <v/>
      </c>
      <c r="D695" s="31"/>
      <c r="E695" s="32" t="str">
        <f>IF(C695="%MO",G699,IFERROR(_xlfn.XLOOKUP($B695,Equipo[DESCRIPCION],Equipo[VALOR],,0),""))</f>
        <v/>
      </c>
      <c r="F695" s="33"/>
      <c r="G695" s="34" t="str">
        <f>IFERROR(IF(F695&gt;=0,D695*E695*(1+F695/100),ABS(D695*E695/F695)),"")</f>
        <v/>
      </c>
      <c r="H695" s="139" t="str">
        <f>IFERROR(G695*E684,"")</f>
        <v/>
      </c>
    </row>
    <row r="696" spans="1:11" ht="12.75" customHeight="1">
      <c r="A696" s="21"/>
      <c r="B696" s="22" t="s">
        <v>2533</v>
      </c>
      <c r="C696" s="23"/>
      <c r="D696" s="24"/>
      <c r="E696" s="25"/>
      <c r="F696" s="26"/>
      <c r="G696" s="27">
        <f>SUM(G697:G698)</f>
        <v>0</v>
      </c>
      <c r="H696" s="27">
        <f>IFERROR(G696*E684,"")</f>
        <v>0</v>
      </c>
    </row>
    <row r="697" spans="1:11" ht="12.75" customHeight="1">
      <c r="A697" s="28"/>
      <c r="B697" s="29"/>
      <c r="C697" s="30" t="str">
        <f>IFERROR(_xlfn.XLOOKUP(B697,Transporte[DESCRIPCION],Transporte[UND],,0),"")</f>
        <v/>
      </c>
      <c r="D697" s="31"/>
      <c r="E697" s="32" t="str">
        <f>IFERROR(_xlfn.XLOOKUP($B697,Transporte[DESCRIPCION],Transporte[VALOR],,0),"")</f>
        <v/>
      </c>
      <c r="F697" s="33"/>
      <c r="G697" s="34" t="str">
        <f>IFERROR(IF(F697&gt;=0,D697*E697*(1+F697/100),ABS(D697*E697/F697)),"")</f>
        <v/>
      </c>
      <c r="H697" s="139" t="str">
        <f>IFERROR(G697*E684,"")</f>
        <v/>
      </c>
    </row>
    <row r="698" spans="1:11" ht="12.75" customHeight="1">
      <c r="A698" s="28"/>
      <c r="B698" s="29"/>
      <c r="C698" s="30" t="str">
        <f>IFERROR(_xlfn.XLOOKUP(B698,Transporte[DESCRIPCION],Transporte[UND],,0),"")</f>
        <v/>
      </c>
      <c r="D698" s="31"/>
      <c r="E698" s="32" t="str">
        <f>IFERROR(_xlfn.XLOOKUP($B698,Transporte[DESCRIPCION],Transporte[VALOR],,0),"")</f>
        <v/>
      </c>
      <c r="F698" s="33"/>
      <c r="G698" s="34" t="str">
        <f>IFERROR(IF(F698&gt;=0,D698*E698*(1+F698/100),ABS(D698*E698/F698)),"")</f>
        <v/>
      </c>
      <c r="H698" s="139" t="str">
        <f>IFERROR(G698*E684,"")</f>
        <v/>
      </c>
    </row>
    <row r="699" spans="1:11" ht="12.75" customHeight="1">
      <c r="A699" s="21"/>
      <c r="B699" s="22" t="s">
        <v>3732</v>
      </c>
      <c r="C699" s="23"/>
      <c r="D699" s="24"/>
      <c r="E699" s="25"/>
      <c r="F699" s="26"/>
      <c r="G699" s="27">
        <f>SUM(G700:G702)</f>
        <v>13196.648803000002</v>
      </c>
      <c r="H699" s="27">
        <f>IFERROR(G699*E684,"")</f>
        <v>0</v>
      </c>
    </row>
    <row r="700" spans="1:11" ht="12.75" customHeight="1">
      <c r="A700" s="28"/>
      <c r="B700" s="29" t="s">
        <v>3705</v>
      </c>
      <c r="C700" s="30" t="str">
        <f>IFERROR(_xlfn.XLOOKUP(B700,MObra[DESCRIPCION],MObra[UN],,0),"")</f>
        <v>día</v>
      </c>
      <c r="D700" s="31">
        <v>1</v>
      </c>
      <c r="E700" s="32">
        <f>IFERROR(_xlfn.XLOOKUP($B700,MObra[DESCRIPCION],MObra[VALOR UNIT],,0),"")</f>
        <v>197949.73204500004</v>
      </c>
      <c r="F700" s="33">
        <v>-15</v>
      </c>
      <c r="G700" s="34">
        <f>IFERROR(IF(F700&gt;=0,D700*E700*(1+F700/100),ABS(D700*E700/F700)),"")</f>
        <v>13196.648803000002</v>
      </c>
      <c r="H700" s="139">
        <f>IFERROR(G700*E684,"")</f>
        <v>0</v>
      </c>
    </row>
    <row r="701" spans="1:11" ht="12.75" customHeight="1">
      <c r="A701" s="28"/>
      <c r="B701" s="29"/>
      <c r="C701" s="30" t="str">
        <f>IFERROR(_xlfn.XLOOKUP(B701,MObra[DESCRIPCION],MObra[UN],,0),"")</f>
        <v/>
      </c>
      <c r="D701" s="31"/>
      <c r="E701" s="32" t="str">
        <f>IFERROR(_xlfn.XLOOKUP($B701,MObra[DESCRIPCION],MObra[VALOR UNIT],,0),"")</f>
        <v/>
      </c>
      <c r="F701" s="33"/>
      <c r="G701" s="34" t="str">
        <f>IFERROR(IF(F701&gt;=0,D701*E701*(1+F701/100),ABS(D701*E701/F701)),"")</f>
        <v/>
      </c>
      <c r="H701" s="139" t="str">
        <f>IFERROR(G701*E684,"")</f>
        <v/>
      </c>
    </row>
    <row r="702" spans="1:11" ht="12.75" customHeight="1" thickBot="1">
      <c r="A702" s="35"/>
      <c r="B702" s="36"/>
      <c r="C702" s="37" t="str">
        <f>IFERROR(_xlfn.XLOOKUP(B702,MObra[DESCRIPCION],MObra[UN],,0),"")</f>
        <v/>
      </c>
      <c r="D702" s="38"/>
      <c r="E702" s="39" t="str">
        <f>IFERROR(_xlfn.XLOOKUP($B702,MObra[DESCRIPCION],MObra[VALOR UNIT],,0),"")</f>
        <v/>
      </c>
      <c r="F702" s="40"/>
      <c r="G702" s="41" t="str">
        <f>IFERROR(IF(F702&gt;=0,D702*E702*(1+F702/100),ABS(D702*E702/F702)),"")</f>
        <v/>
      </c>
      <c r="H702" s="42" t="str">
        <f>IFERROR(G702*E684,"")</f>
        <v/>
      </c>
    </row>
    <row r="703" spans="1:11" ht="12.75" customHeight="1" thickTop="1" thickBot="1"/>
    <row r="704" spans="1:11" ht="12.75" customHeight="1" thickTop="1" thickBot="1">
      <c r="A704" s="6" t="s">
        <v>1440</v>
      </c>
      <c r="B704" s="7" t="str">
        <f>VLOOKUP($A704,Presupuesto!$A:$D,2,FALSE())</f>
        <v>Espejo 4 mm</v>
      </c>
      <c r="C704" s="8" t="str">
        <f>VLOOKUP($A704,Presupuesto!$A:$D,3,FALSE())</f>
        <v>M2</v>
      </c>
      <c r="D704" s="9"/>
      <c r="E704" s="10">
        <f>VLOOKUP($A704,Presupuesto!$A:$D,4,FALSE())</f>
        <v>0</v>
      </c>
      <c r="F704" s="11" t="s">
        <v>2589</v>
      </c>
      <c r="G704" s="12">
        <f>SUM(G706:G722)/2</f>
        <v>101095.12884397499</v>
      </c>
      <c r="H704" s="13">
        <f>ROUND(SUM(H706:H722),0)/2</f>
        <v>0</v>
      </c>
      <c r="I704" s="10">
        <f>VLOOKUP(A704,Presupuesto!$A:$F,6,0)</f>
        <v>0</v>
      </c>
      <c r="J704" s="10">
        <f>+H704-I704</f>
        <v>0</v>
      </c>
      <c r="K704" s="46">
        <f>+H704-G704*E704</f>
        <v>0</v>
      </c>
    </row>
    <row r="705" spans="1:8" ht="12.75" customHeight="1" thickTop="1">
      <c r="A705" s="14"/>
      <c r="B705" s="15" t="s">
        <v>2586</v>
      </c>
      <c r="C705" s="15" t="s">
        <v>5</v>
      </c>
      <c r="D705" s="16" t="s">
        <v>6</v>
      </c>
      <c r="E705" s="17" t="s">
        <v>7</v>
      </c>
      <c r="F705" s="18" t="s">
        <v>3728</v>
      </c>
      <c r="G705" s="19" t="s">
        <v>3729</v>
      </c>
      <c r="H705" s="20" t="s">
        <v>3797</v>
      </c>
    </row>
    <row r="706" spans="1:8" ht="12.75" customHeight="1">
      <c r="A706" s="21"/>
      <c r="B706" s="22" t="s">
        <v>3730</v>
      </c>
      <c r="C706" s="23"/>
      <c r="D706" s="24"/>
      <c r="E706" s="25"/>
      <c r="F706" s="26"/>
      <c r="G706" s="27">
        <f>SUM(G707:G711)</f>
        <v>68084.100000000006</v>
      </c>
      <c r="H706" s="27">
        <f>IFERROR(G706*E704,"")</f>
        <v>0</v>
      </c>
    </row>
    <row r="707" spans="1:8" ht="12.75" customHeight="1">
      <c r="A707" s="28"/>
      <c r="B707" s="29" t="s">
        <v>2943</v>
      </c>
      <c r="C707" s="30" t="str">
        <f>IFERROR(_xlfn.XLOOKUP(B707,Insumo[DESCRIPCION],Insumo[UND],,0),"")</f>
        <v>M2</v>
      </c>
      <c r="D707" s="31">
        <v>1</v>
      </c>
      <c r="E707" s="32">
        <f>IFERROR(_xlfn.XLOOKUP($B707,Insumo[DESCRIPCION],Insumo[VALOR],,0),"")</f>
        <v>68084.100000000006</v>
      </c>
      <c r="F707" s="33"/>
      <c r="G707" s="34">
        <f>IFERROR(IF(F707&gt;=0,D707*E707*(1+F707/100),ABS(D707*E707/F707)),"")</f>
        <v>68084.100000000006</v>
      </c>
      <c r="H707" s="139">
        <f>IFERROR(G707*E704,"")</f>
        <v>0</v>
      </c>
    </row>
    <row r="708" spans="1:8" ht="12.75" customHeight="1">
      <c r="A708" s="28"/>
      <c r="B708" s="29"/>
      <c r="C708" s="30" t="str">
        <f>IFERROR(_xlfn.XLOOKUP(B708,Insumo[DESCRIPCION],Insumo[UND],,0),"")</f>
        <v/>
      </c>
      <c r="D708" s="31"/>
      <c r="E708" s="32" t="str">
        <f>IFERROR(_xlfn.XLOOKUP($B708,Insumo[DESCRIPCION],Insumo[VALOR],,0),"")</f>
        <v/>
      </c>
      <c r="F708" s="33"/>
      <c r="G708" s="34" t="str">
        <f>IFERROR(IF(F708&gt;=0,D708*E708*(1+F708/100),ABS(D708*E708/F708)),"")</f>
        <v/>
      </c>
      <c r="H708" s="139" t="str">
        <f>IFERROR(G708*E704,"")</f>
        <v/>
      </c>
    </row>
    <row r="709" spans="1:8" ht="12.75" customHeight="1">
      <c r="A709" s="28"/>
      <c r="B709" s="29"/>
      <c r="C709" s="30" t="str">
        <f>IFERROR(_xlfn.XLOOKUP(B709,Insumo[DESCRIPCION],Insumo[UND],,0),"")</f>
        <v/>
      </c>
      <c r="D709" s="31"/>
      <c r="E709" s="32" t="str">
        <f>IFERROR(_xlfn.XLOOKUP($B709,Insumo[DESCRIPCION],Insumo[VALOR],,0),"")</f>
        <v/>
      </c>
      <c r="F709" s="33"/>
      <c r="G709" s="34" t="str">
        <f>IFERROR(IF(F709&gt;=0,D709*E709*(1+F709/100),ABS(D709*E709/F709)),"")</f>
        <v/>
      </c>
      <c r="H709" s="139" t="str">
        <f>IFERROR(G709*E704,"")</f>
        <v/>
      </c>
    </row>
    <row r="710" spans="1:8" ht="12.75" customHeight="1">
      <c r="A710" s="28"/>
      <c r="B710" s="29"/>
      <c r="C710" s="30" t="str">
        <f>IFERROR(_xlfn.XLOOKUP(B710,Insumo[DESCRIPCION],Insumo[UND],,0),"")</f>
        <v/>
      </c>
      <c r="D710" s="31"/>
      <c r="E710" s="32" t="str">
        <f>IFERROR(_xlfn.XLOOKUP($B710,Insumo[DESCRIPCION],Insumo[VALOR],,0),"")</f>
        <v/>
      </c>
      <c r="F710" s="33"/>
      <c r="G710" s="34" t="str">
        <f>IFERROR(IF(F710&gt;=0,D710*E710*(1+F710/100),ABS(D710*E710/F710)),"")</f>
        <v/>
      </c>
      <c r="H710" s="139" t="str">
        <f>IFERROR(G710*E704,"")</f>
        <v/>
      </c>
    </row>
    <row r="711" spans="1:8" ht="12.75" customHeight="1">
      <c r="A711" s="28"/>
      <c r="B711" s="29"/>
      <c r="C711" s="30" t="str">
        <f>IFERROR(_xlfn.XLOOKUP(B711,Insumo[DESCRIPCION],Insumo[UND],,0),"")</f>
        <v/>
      </c>
      <c r="D711" s="31"/>
      <c r="E711" s="32" t="str">
        <f>IFERROR(_xlfn.XLOOKUP($B711,Insumo[DESCRIPCION],Insumo[VALOR],,0),"")</f>
        <v/>
      </c>
      <c r="F711" s="33"/>
      <c r="G711" s="34" t="str">
        <f>IFERROR(IF(F711&gt;=0,D711*E711*(1+F711/100),ABS(D711*E711/F711)),"")</f>
        <v/>
      </c>
      <c r="H711" s="139" t="str">
        <f>IFERROR(G711*E704,"")</f>
        <v/>
      </c>
    </row>
    <row r="712" spans="1:8" ht="12.75" customHeight="1">
      <c r="A712" s="21"/>
      <c r="B712" s="22" t="s">
        <v>3731</v>
      </c>
      <c r="C712" s="23"/>
      <c r="D712" s="24"/>
      <c r="E712" s="25"/>
      <c r="F712" s="26"/>
      <c r="G712" s="27">
        <f>SUM(G713:G715)</f>
        <v>1571.9537544750003</v>
      </c>
      <c r="H712" s="27">
        <f>IFERROR(G712*E704,"")</f>
        <v>0</v>
      </c>
    </row>
    <row r="713" spans="1:8" ht="12.75" customHeight="1">
      <c r="A713" s="28"/>
      <c r="B713" s="29" t="s">
        <v>3626</v>
      </c>
      <c r="C713" s="30" t="str">
        <f>IFERROR(_xlfn.XLOOKUP(B713,Equipo[DESCRIPCION],Equipo[UND],,0),"")</f>
        <v>%MO</v>
      </c>
      <c r="D713" s="31">
        <v>0.05</v>
      </c>
      <c r="E713" s="32">
        <f>IF(C713="%MO",G719,IFERROR(_xlfn.XLOOKUP($B713,Equipo[DESCRIPCION],Equipo[VALOR],,0),""))</f>
        <v>31439.075089500006</v>
      </c>
      <c r="F713" s="33"/>
      <c r="G713" s="34">
        <f>IFERROR(IF(F713&gt;=0,D713*E713*(1+F713/100),ABS(D713*E713/F713)),"")</f>
        <v>1571.9537544750003</v>
      </c>
      <c r="H713" s="139">
        <f>IFERROR(G713*E704,"")</f>
        <v>0</v>
      </c>
    </row>
    <row r="714" spans="1:8" ht="12.75" customHeight="1">
      <c r="A714" s="28"/>
      <c r="B714" s="29"/>
      <c r="C714" s="30" t="str">
        <f>IFERROR(_xlfn.XLOOKUP(B714,Equipo[DESCRIPCION],Equipo[UND],,0),"")</f>
        <v/>
      </c>
      <c r="D714" s="31"/>
      <c r="E714" s="32" t="str">
        <f>IF(C714="%MO",G719,IFERROR(_xlfn.XLOOKUP($B714,Equipo[DESCRIPCION],Equipo[VALOR],,0),""))</f>
        <v/>
      </c>
      <c r="F714" s="33"/>
      <c r="G714" s="34" t="str">
        <f>IFERROR(IF(F714&gt;=0,D714*E714*(1+F714/100),ABS(D714*E714/F714)),"")</f>
        <v/>
      </c>
      <c r="H714" s="139" t="str">
        <f>IFERROR(G714*E704,"")</f>
        <v/>
      </c>
    </row>
    <row r="715" spans="1:8" ht="12.75" customHeight="1">
      <c r="A715" s="28"/>
      <c r="B715" s="29"/>
      <c r="C715" s="30" t="str">
        <f>IFERROR(_xlfn.XLOOKUP(B715,Equipo[DESCRIPCION],Equipo[UND],,0),"")</f>
        <v/>
      </c>
      <c r="D715" s="31"/>
      <c r="E715" s="32" t="str">
        <f>IF(C715="%MO",G719,IFERROR(_xlfn.XLOOKUP($B715,Equipo[DESCRIPCION],Equipo[VALOR],,0),""))</f>
        <v/>
      </c>
      <c r="F715" s="33"/>
      <c r="G715" s="34" t="str">
        <f>IFERROR(IF(F715&gt;=0,D715*E715*(1+F715/100),ABS(D715*E715/F715)),"")</f>
        <v/>
      </c>
      <c r="H715" s="139" t="str">
        <f>IFERROR(G715*E704,"")</f>
        <v/>
      </c>
    </row>
    <row r="716" spans="1:8" ht="12.75" customHeight="1">
      <c r="A716" s="21"/>
      <c r="B716" s="22" t="s">
        <v>2533</v>
      </c>
      <c r="C716" s="23"/>
      <c r="D716" s="24"/>
      <c r="E716" s="25"/>
      <c r="F716" s="26"/>
      <c r="G716" s="27">
        <f>SUM(G717:G718)</f>
        <v>0</v>
      </c>
      <c r="H716" s="27">
        <f>IFERROR(G716*E704,"")</f>
        <v>0</v>
      </c>
    </row>
    <row r="717" spans="1:8" ht="12.75" customHeight="1">
      <c r="A717" s="28"/>
      <c r="B717" s="29"/>
      <c r="C717" s="30" t="str">
        <f>IFERROR(_xlfn.XLOOKUP(B717,Transporte[DESCRIPCION],Transporte[UND],,0),"")</f>
        <v/>
      </c>
      <c r="D717" s="31"/>
      <c r="E717" s="32" t="str">
        <f>IFERROR(_xlfn.XLOOKUP($B717,Transporte[DESCRIPCION],Transporte[VALOR],,0),"")</f>
        <v/>
      </c>
      <c r="F717" s="33"/>
      <c r="G717" s="34" t="str">
        <f>IFERROR(IF(F717&gt;=0,D717*E717*(1+F717/100),ABS(D717*E717/F717)),"")</f>
        <v/>
      </c>
      <c r="H717" s="139" t="str">
        <f>IFERROR(G717*E704,"")</f>
        <v/>
      </c>
    </row>
    <row r="718" spans="1:8" ht="12.75" customHeight="1">
      <c r="A718" s="28"/>
      <c r="B718" s="29"/>
      <c r="C718" s="30" t="str">
        <f>IFERROR(_xlfn.XLOOKUP(B718,Transporte[DESCRIPCION],Transporte[UND],,0),"")</f>
        <v/>
      </c>
      <c r="D718" s="31"/>
      <c r="E718" s="32" t="str">
        <f>IFERROR(_xlfn.XLOOKUP($B718,Transporte[DESCRIPCION],Transporte[VALOR],,0),"")</f>
        <v/>
      </c>
      <c r="F718" s="33"/>
      <c r="G718" s="34" t="str">
        <f>IFERROR(IF(F718&gt;=0,D718*E718*(1+F718/100),ABS(D718*E718/F718)),"")</f>
        <v/>
      </c>
      <c r="H718" s="139" t="str">
        <f>IFERROR(G718*E704,"")</f>
        <v/>
      </c>
    </row>
    <row r="719" spans="1:8" ht="12.75" customHeight="1">
      <c r="A719" s="21"/>
      <c r="B719" s="22" t="s">
        <v>3732</v>
      </c>
      <c r="C719" s="23"/>
      <c r="D719" s="24"/>
      <c r="E719" s="25"/>
      <c r="F719" s="26"/>
      <c r="G719" s="27">
        <f>SUM(G720:G722)</f>
        <v>31439.075089500006</v>
      </c>
      <c r="H719" s="27">
        <f>IFERROR(G719*E704,"")</f>
        <v>0</v>
      </c>
    </row>
    <row r="720" spans="1:8" ht="12.75" customHeight="1">
      <c r="A720" s="28"/>
      <c r="B720" s="29" t="s">
        <v>3710</v>
      </c>
      <c r="C720" s="30" t="str">
        <f>IFERROR(_xlfn.XLOOKUP(B720,MObra[DESCRIPCION],MObra[UN],,0),"")</f>
        <v>día</v>
      </c>
      <c r="D720" s="31">
        <v>1</v>
      </c>
      <c r="E720" s="32">
        <f>IFERROR(_xlfn.XLOOKUP($B720,MObra[DESCRIPCION],MObra[VALOR UNIT],,0),"")</f>
        <v>314390.75089500006</v>
      </c>
      <c r="F720" s="33">
        <v>-10</v>
      </c>
      <c r="G720" s="34">
        <f>IFERROR(IF(F720&gt;=0,D720*E720*(1+F720/100),ABS(D720*E720/F720)),"")</f>
        <v>31439.075089500006</v>
      </c>
      <c r="H720" s="139">
        <f>IFERROR(G720*E704,"")</f>
        <v>0</v>
      </c>
    </row>
    <row r="721" spans="1:11" ht="12.75" customHeight="1">
      <c r="A721" s="28"/>
      <c r="B721" s="29"/>
      <c r="C721" s="30" t="str">
        <f>IFERROR(_xlfn.XLOOKUP(B721,MObra[DESCRIPCION],MObra[UN],,0),"")</f>
        <v/>
      </c>
      <c r="D721" s="31"/>
      <c r="E721" s="32" t="str">
        <f>IFERROR(_xlfn.XLOOKUP($B721,MObra[DESCRIPCION],MObra[VALOR UNIT],,0),"")</f>
        <v/>
      </c>
      <c r="F721" s="33"/>
      <c r="G721" s="34" t="str">
        <f>IFERROR(IF(F721&gt;=0,D721*E721*(1+F721/100),ABS(D721*E721/F721)),"")</f>
        <v/>
      </c>
      <c r="H721" s="139" t="str">
        <f>IFERROR(G721*E704,"")</f>
        <v/>
      </c>
    </row>
    <row r="722" spans="1:11" ht="12.75" customHeight="1" thickBot="1">
      <c r="A722" s="35"/>
      <c r="B722" s="36"/>
      <c r="C722" s="37" t="str">
        <f>IFERROR(_xlfn.XLOOKUP(B722,MObra[DESCRIPCION],MObra[UN],,0),"")</f>
        <v/>
      </c>
      <c r="D722" s="38"/>
      <c r="E722" s="39" t="str">
        <f>IFERROR(_xlfn.XLOOKUP($B722,MObra[DESCRIPCION],MObra[VALOR UNIT],,0),"")</f>
        <v/>
      </c>
      <c r="F722" s="40"/>
      <c r="G722" s="41" t="str">
        <f>IFERROR(IF(F722&gt;=0,D722*E722*(1+F722/100),ABS(D722*E722/F722)),"")</f>
        <v/>
      </c>
      <c r="H722" s="42" t="str">
        <f>IFERROR(G722*E704,"")</f>
        <v/>
      </c>
    </row>
    <row r="723" spans="1:11" ht="12.75" customHeight="1" thickTop="1" thickBot="1"/>
    <row r="724" spans="1:11" ht="12.75" customHeight="1" thickTop="1" thickBot="1">
      <c r="A724" s="6" t="s">
        <v>1442</v>
      </c>
      <c r="B724" s="7" t="str">
        <f>VLOOKUP($A724,Presupuesto!$A:$D,2,FALSE())</f>
        <v>Herraje seguridad fluxómetro</v>
      </c>
      <c r="C724" s="8" t="str">
        <f>VLOOKUP($A724,Presupuesto!$A:$D,3,FALSE())</f>
        <v>Un</v>
      </c>
      <c r="D724" s="9"/>
      <c r="E724" s="10">
        <f>VLOOKUP($A724,Presupuesto!$A:$D,4,FALSE())</f>
        <v>0</v>
      </c>
      <c r="F724" s="11" t="s">
        <v>2589</v>
      </c>
      <c r="G724" s="12">
        <f>SUM(G726:G742)/2</f>
        <v>192876.67750050002</v>
      </c>
      <c r="H724" s="13">
        <f>ROUND(SUM(H726:H742),0)/2</f>
        <v>0</v>
      </c>
      <c r="I724" s="10">
        <f>VLOOKUP(A724,Presupuesto!$A:$F,6,0)</f>
        <v>0</v>
      </c>
      <c r="J724" s="10">
        <f>+H724-I724</f>
        <v>0</v>
      </c>
      <c r="K724" s="46">
        <f>+H724-G724*E724</f>
        <v>0</v>
      </c>
    </row>
    <row r="725" spans="1:11" ht="12.75" customHeight="1" thickTop="1">
      <c r="A725" s="14"/>
      <c r="B725" s="15" t="s">
        <v>2586</v>
      </c>
      <c r="C725" s="15" t="s">
        <v>5</v>
      </c>
      <c r="D725" s="16" t="s">
        <v>6</v>
      </c>
      <c r="E725" s="17" t="s">
        <v>7</v>
      </c>
      <c r="F725" s="18" t="s">
        <v>3728</v>
      </c>
      <c r="G725" s="19" t="s">
        <v>3729</v>
      </c>
      <c r="H725" s="20" t="s">
        <v>3797</v>
      </c>
    </row>
    <row r="726" spans="1:11" ht="12.75" customHeight="1">
      <c r="A726" s="21"/>
      <c r="B726" s="22" t="s">
        <v>3730</v>
      </c>
      <c r="C726" s="23"/>
      <c r="D726" s="24"/>
      <c r="E726" s="25"/>
      <c r="F726" s="26"/>
      <c r="G726" s="27">
        <f>SUM(G727:G731)</f>
        <v>109482.08250000002</v>
      </c>
      <c r="H726" s="27">
        <f>IFERROR(G726*E724,"")</f>
        <v>0</v>
      </c>
    </row>
    <row r="727" spans="1:11" ht="12.75" customHeight="1">
      <c r="A727" s="28"/>
      <c r="B727" s="29" t="s">
        <v>3225</v>
      </c>
      <c r="C727" s="30" t="str">
        <f>IFERROR(_xlfn.XLOOKUP(B727,Insumo[DESCRIPCION],Insumo[UND],,0),"")</f>
        <v>M</v>
      </c>
      <c r="D727" s="31">
        <v>5</v>
      </c>
      <c r="E727" s="32">
        <f>IFERROR(_xlfn.XLOOKUP($B727,Insumo[DESCRIPCION],Insumo[VALOR],,0),"")</f>
        <v>12280.800000000001</v>
      </c>
      <c r="F727" s="33"/>
      <c r="G727" s="34">
        <f>IFERROR(IF(F727&gt;=0,D727*E727*(1+F727/100),ABS(D727*E727/F727)),"")</f>
        <v>61404.000000000007</v>
      </c>
      <c r="H727" s="139">
        <f>IFERROR(G727*E724,"")</f>
        <v>0</v>
      </c>
    </row>
    <row r="728" spans="1:11" ht="12.75" customHeight="1">
      <c r="A728" s="28"/>
      <c r="B728" s="29" t="s">
        <v>3326</v>
      </c>
      <c r="C728" s="30" t="str">
        <f>IFERROR(_xlfn.XLOOKUP(B728,Insumo[DESCRIPCION],Insumo[UND],,0),"")</f>
        <v>Kg</v>
      </c>
      <c r="D728" s="31">
        <v>0.1</v>
      </c>
      <c r="E728" s="32">
        <f>IFERROR(_xlfn.XLOOKUP($B728,Insumo[DESCRIPCION],Insumo[VALOR],,0),"")</f>
        <v>5978.7</v>
      </c>
      <c r="F728" s="33"/>
      <c r="G728" s="34">
        <f>IFERROR(IF(F728&gt;=0,D728*E728*(1+F728/100),ABS(D728*E728/F728)),"")</f>
        <v>597.87</v>
      </c>
      <c r="H728" s="139">
        <f>IFERROR(G728*E724,"")</f>
        <v>0</v>
      </c>
    </row>
    <row r="729" spans="1:11" ht="12.75" customHeight="1">
      <c r="A729" s="28"/>
      <c r="B729" s="29" t="s">
        <v>3407</v>
      </c>
      <c r="C729" s="30" t="str">
        <f>IFERROR(_xlfn.XLOOKUP(B729,Insumo[DESCRIPCION],Insumo[UND],,0),"")</f>
        <v>Un</v>
      </c>
      <c r="D729" s="31">
        <v>4</v>
      </c>
      <c r="E729" s="32">
        <f>IFERROR(_xlfn.XLOOKUP($B729,Insumo[DESCRIPCION],Insumo[VALOR],,0),"")</f>
        <v>77.7</v>
      </c>
      <c r="F729" s="33"/>
      <c r="G729" s="34">
        <f>IFERROR(IF(F729&gt;=0,D729*E729*(1+F729/100),ABS(D729*E729/F729)),"")</f>
        <v>310.8</v>
      </c>
      <c r="H729" s="139">
        <f>IFERROR(G729*E724,"")</f>
        <v>0</v>
      </c>
    </row>
    <row r="730" spans="1:11" ht="12.75" customHeight="1">
      <c r="A730" s="28"/>
      <c r="B730" s="29" t="s">
        <v>2708</v>
      </c>
      <c r="C730" s="30" t="str">
        <f>IFERROR(_xlfn.XLOOKUP(B730,Insumo[DESCRIPCION],Insumo[UND],,0),"")</f>
        <v>galón</v>
      </c>
      <c r="D730" s="31">
        <v>0.05</v>
      </c>
      <c r="E730" s="32">
        <f>IFERROR(_xlfn.XLOOKUP($B730,Insumo[DESCRIPCION],Insumo[VALOR],,0),"")</f>
        <v>97886.25</v>
      </c>
      <c r="F730" s="33"/>
      <c r="G730" s="34">
        <f>IFERROR(IF(F730&gt;=0,D730*E730*(1+F730/100),ABS(D730*E730/F730)),"")</f>
        <v>4894.3125</v>
      </c>
      <c r="H730" s="139">
        <f>IFERROR(G730*E724,"")</f>
        <v>0</v>
      </c>
    </row>
    <row r="731" spans="1:11" ht="12.75" customHeight="1">
      <c r="A731" s="28"/>
      <c r="B731" s="29" t="s">
        <v>2820</v>
      </c>
      <c r="C731" s="30" t="str">
        <f>IFERROR(_xlfn.XLOOKUP(B731,Insumo[DESCRIPCION],Insumo[UND],,0),"")</f>
        <v>Un</v>
      </c>
      <c r="D731" s="31">
        <v>1</v>
      </c>
      <c r="E731" s="32">
        <f>IFERROR(_xlfn.XLOOKUP($B731,Insumo[DESCRIPCION],Insumo[VALOR],,0),"")</f>
        <v>42275.1</v>
      </c>
      <c r="F731" s="33"/>
      <c r="G731" s="34">
        <f>IFERROR(IF(F731&gt;=0,D731*E731*(1+F731/100),ABS(D731*E731/F731)),"")</f>
        <v>42275.1</v>
      </c>
      <c r="H731" s="139">
        <f>IFERROR(G731*E724,"")</f>
        <v>0</v>
      </c>
    </row>
    <row r="732" spans="1:11" ht="12.75" customHeight="1">
      <c r="A732" s="21"/>
      <c r="B732" s="22" t="s">
        <v>3731</v>
      </c>
      <c r="C732" s="23"/>
      <c r="D732" s="24"/>
      <c r="E732" s="25"/>
      <c r="F732" s="26"/>
      <c r="G732" s="27">
        <f>SUM(G733:G735)</f>
        <v>13529.983690499999</v>
      </c>
      <c r="H732" s="27">
        <f>IFERROR(G732*E724,"")</f>
        <v>0</v>
      </c>
    </row>
    <row r="733" spans="1:11" ht="12.75" customHeight="1">
      <c r="A733" s="28"/>
      <c r="B733" s="29" t="s">
        <v>3613</v>
      </c>
      <c r="C733" s="30" t="str">
        <f>IFERROR(_xlfn.XLOOKUP(B733,Equipo[DESCRIPCION],Equipo[UND],,0),"")</f>
        <v>Día</v>
      </c>
      <c r="D733" s="31">
        <v>1</v>
      </c>
      <c r="E733" s="32">
        <f>IF(C733="%MO",G739,IFERROR(_xlfn.XLOOKUP($B733,Equipo[DESCRIPCION],Equipo[VALOR],,0),""))</f>
        <v>48133.05</v>
      </c>
      <c r="F733" s="33">
        <v>-16</v>
      </c>
      <c r="G733" s="34">
        <f>IFERROR(IF(F733&gt;=0,D733*E733*(1+F733/100),ABS(D733*E733/F733)),"")</f>
        <v>3008.3156250000002</v>
      </c>
      <c r="H733" s="139">
        <f>IFERROR(G733*E724,"")</f>
        <v>0</v>
      </c>
    </row>
    <row r="734" spans="1:11" ht="12.75" customHeight="1">
      <c r="A734" s="28"/>
      <c r="B734" s="29" t="s">
        <v>3655</v>
      </c>
      <c r="C734" s="30" t="str">
        <f>IFERROR(_xlfn.XLOOKUP(B734,Equipo[DESCRIPCION],Equipo[UND],,0),"")</f>
        <v>Día</v>
      </c>
      <c r="D734" s="31">
        <v>1</v>
      </c>
      <c r="E734" s="32">
        <f>IF(C734="%MO",G739,IFERROR(_xlfn.XLOOKUP($B734,Equipo[DESCRIPCION],Equipo[VALOR],,0),""))</f>
        <v>112455</v>
      </c>
      <c r="F734" s="33">
        <v>-16</v>
      </c>
      <c r="G734" s="34">
        <f>IFERROR(IF(F734&gt;=0,D734*E734*(1+F734/100),ABS(D734*E734/F734)),"")</f>
        <v>7028.4375</v>
      </c>
      <c r="H734" s="139">
        <f>IFERROR(G734*E724,"")</f>
        <v>0</v>
      </c>
    </row>
    <row r="735" spans="1:11" ht="12.75" customHeight="1">
      <c r="A735" s="28"/>
      <c r="B735" s="29" t="s">
        <v>3626</v>
      </c>
      <c r="C735" s="30" t="str">
        <f>IFERROR(_xlfn.XLOOKUP(B735,Equipo[DESCRIPCION],Equipo[UND],,0),"")</f>
        <v>%MO</v>
      </c>
      <c r="D735" s="31">
        <v>0.05</v>
      </c>
      <c r="E735" s="32">
        <f>IF(C735="%MO",G739,IFERROR(_xlfn.XLOOKUP($B735,Equipo[DESCRIPCION],Equipo[VALOR],,0),""))</f>
        <v>69864.611310000008</v>
      </c>
      <c r="F735" s="33"/>
      <c r="G735" s="34">
        <f>IFERROR(IF(F735&gt;=0,D735*E735*(1+F735/100),ABS(D735*E735/F735)),"")</f>
        <v>3493.2305655000005</v>
      </c>
      <c r="H735" s="139">
        <f>IFERROR(G735*E724,"")</f>
        <v>0</v>
      </c>
    </row>
    <row r="736" spans="1:11" ht="12.75" customHeight="1">
      <c r="A736" s="21"/>
      <c r="B736" s="22" t="s">
        <v>2533</v>
      </c>
      <c r="C736" s="23"/>
      <c r="D736" s="24"/>
      <c r="E736" s="25"/>
      <c r="F736" s="26"/>
      <c r="G736" s="27">
        <f>SUM(G737:G738)</f>
        <v>0</v>
      </c>
      <c r="H736" s="27">
        <f>IFERROR(G736*E724,"")</f>
        <v>0</v>
      </c>
    </row>
    <row r="737" spans="1:11" ht="12.75" customHeight="1">
      <c r="A737" s="28"/>
      <c r="B737" s="29"/>
      <c r="C737" s="30" t="str">
        <f>IFERROR(_xlfn.XLOOKUP(B737,Transporte[DESCRIPCION],Transporte[UND],,0),"")</f>
        <v/>
      </c>
      <c r="D737" s="31"/>
      <c r="E737" s="32" t="str">
        <f>IFERROR(_xlfn.XLOOKUP($B737,Transporte[DESCRIPCION],Transporte[VALOR],,0),"")</f>
        <v/>
      </c>
      <c r="F737" s="33"/>
      <c r="G737" s="34" t="str">
        <f>IFERROR(IF(F737&gt;=0,D737*E737*(1+F737/100),ABS(D737*E737/F737)),"")</f>
        <v/>
      </c>
      <c r="H737" s="139" t="str">
        <f>IFERROR(G737*E724,"")</f>
        <v/>
      </c>
    </row>
    <row r="738" spans="1:11" ht="12.75" customHeight="1">
      <c r="A738" s="28"/>
      <c r="B738" s="29"/>
      <c r="C738" s="30" t="str">
        <f>IFERROR(_xlfn.XLOOKUP(B738,Transporte[DESCRIPCION],Transporte[UND],,0),"")</f>
        <v/>
      </c>
      <c r="D738" s="31"/>
      <c r="E738" s="32" t="str">
        <f>IFERROR(_xlfn.XLOOKUP($B738,Transporte[DESCRIPCION],Transporte[VALOR],,0),"")</f>
        <v/>
      </c>
      <c r="F738" s="33"/>
      <c r="G738" s="34" t="str">
        <f>IFERROR(IF(F738&gt;=0,D738*E738*(1+F738/100),ABS(D738*E738/F738)),"")</f>
        <v/>
      </c>
      <c r="H738" s="139" t="str">
        <f>IFERROR(G738*E724,"")</f>
        <v/>
      </c>
    </row>
    <row r="739" spans="1:11" ht="12.75" customHeight="1">
      <c r="A739" s="21"/>
      <c r="B739" s="22" t="s">
        <v>3732</v>
      </c>
      <c r="C739" s="23"/>
      <c r="D739" s="24"/>
      <c r="E739" s="25"/>
      <c r="F739" s="26"/>
      <c r="G739" s="27">
        <f>SUM(G740:G742)</f>
        <v>69864.611310000008</v>
      </c>
      <c r="H739" s="27">
        <f>IFERROR(G739*E724,"")</f>
        <v>0</v>
      </c>
    </row>
    <row r="740" spans="1:11" ht="12.75" customHeight="1">
      <c r="A740" s="28"/>
      <c r="B740" s="29" t="s">
        <v>3724</v>
      </c>
      <c r="C740" s="30" t="str">
        <f>IFERROR(_xlfn.XLOOKUP(B740,MObra[DESCRIPCION],MObra[UN],,0),"")</f>
        <v>día</v>
      </c>
      <c r="D740" s="31">
        <v>1</v>
      </c>
      <c r="E740" s="32">
        <f>IFERROR(_xlfn.XLOOKUP($B740,MObra[DESCRIPCION],MObra[VALOR UNIT],,0),"")</f>
        <v>419187.66786000005</v>
      </c>
      <c r="F740" s="33">
        <v>-6</v>
      </c>
      <c r="G740" s="34">
        <f>IFERROR(IF(F740&gt;=0,D740*E740*(1+F740/100),ABS(D740*E740/F740)),"")</f>
        <v>69864.611310000008</v>
      </c>
      <c r="H740" s="139">
        <f>IFERROR(G740*E724,"")</f>
        <v>0</v>
      </c>
    </row>
    <row r="741" spans="1:11" ht="12.75" customHeight="1">
      <c r="A741" s="28"/>
      <c r="B741" s="29"/>
      <c r="C741" s="30" t="str">
        <f>IFERROR(_xlfn.XLOOKUP(B741,MObra[DESCRIPCION],MObra[UN],,0),"")</f>
        <v/>
      </c>
      <c r="D741" s="31"/>
      <c r="E741" s="32" t="str">
        <f>IFERROR(_xlfn.XLOOKUP($B741,MObra[DESCRIPCION],MObra[VALOR UNIT],,0),"")</f>
        <v/>
      </c>
      <c r="F741" s="33"/>
      <c r="G741" s="34" t="str">
        <f>IFERROR(IF(F741&gt;=0,D741*E741*(1+F741/100),ABS(D741*E741/F741)),"")</f>
        <v/>
      </c>
      <c r="H741" s="139" t="str">
        <f>IFERROR(G741*E724,"")</f>
        <v/>
      </c>
    </row>
    <row r="742" spans="1:11" ht="12.75" customHeight="1" thickBot="1">
      <c r="A742" s="35"/>
      <c r="B742" s="36"/>
      <c r="C742" s="37" t="str">
        <f>IFERROR(_xlfn.XLOOKUP(B742,MObra[DESCRIPCION],MObra[UN],,0),"")</f>
        <v/>
      </c>
      <c r="D742" s="38"/>
      <c r="E742" s="39" t="str">
        <f>IFERROR(_xlfn.XLOOKUP($B742,MObra[DESCRIPCION],MObra[VALOR UNIT],,0),"")</f>
        <v/>
      </c>
      <c r="F742" s="40"/>
      <c r="G742" s="41" t="str">
        <f>IFERROR(IF(F742&gt;=0,D742*E742*(1+F742/100),ABS(D742*E742/F742)),"")</f>
        <v/>
      </c>
      <c r="H742" s="42" t="str">
        <f>IFERROR(G742*E724,"")</f>
        <v/>
      </c>
    </row>
    <row r="743" spans="1:11" ht="12.75" customHeight="1" thickTop="1" thickBot="1"/>
    <row r="744" spans="1:11" ht="12.75" customHeight="1" thickTop="1" thickBot="1">
      <c r="A744" s="6" t="s">
        <v>1444</v>
      </c>
      <c r="B744" s="7" t="str">
        <f>VLOOKUP($A744,Presupuesto!$A:$D,2,FALSE())</f>
        <v>Herraje seguridad tanque sanitario</v>
      </c>
      <c r="C744" s="8" t="str">
        <f>VLOOKUP($A744,Presupuesto!$A:$D,3,FALSE())</f>
        <v>Un</v>
      </c>
      <c r="D744" s="9"/>
      <c r="E744" s="10">
        <f>VLOOKUP($A744,Presupuesto!$A:$D,4,FALSE())</f>
        <v>0</v>
      </c>
      <c r="F744" s="11" t="s">
        <v>2589</v>
      </c>
      <c r="G744" s="12">
        <f>SUM(G746:G762)/2</f>
        <v>162256.41703162499</v>
      </c>
      <c r="H744" s="13">
        <f>ROUND(SUM(H746:H762),0)/2</f>
        <v>0</v>
      </c>
      <c r="I744" s="10">
        <f>VLOOKUP(A744,Presupuesto!$A:$F,6,0)</f>
        <v>0</v>
      </c>
      <c r="J744" s="10">
        <f>+H744-I744</f>
        <v>0</v>
      </c>
      <c r="K744" s="46">
        <f>+H744-G744*E744</f>
        <v>0</v>
      </c>
    </row>
    <row r="745" spans="1:11" ht="12.75" customHeight="1" thickTop="1">
      <c r="A745" s="14"/>
      <c r="B745" s="15" t="s">
        <v>2586</v>
      </c>
      <c r="C745" s="15" t="s">
        <v>5</v>
      </c>
      <c r="D745" s="16" t="s">
        <v>6</v>
      </c>
      <c r="E745" s="17" t="s">
        <v>7</v>
      </c>
      <c r="F745" s="18" t="s">
        <v>3728</v>
      </c>
      <c r="G745" s="19" t="s">
        <v>3729</v>
      </c>
      <c r="H745" s="20" t="s">
        <v>3797</v>
      </c>
    </row>
    <row r="746" spans="1:11" ht="12.75" customHeight="1">
      <c r="A746" s="21"/>
      <c r="B746" s="22" t="s">
        <v>3730</v>
      </c>
      <c r="C746" s="23"/>
      <c r="D746" s="24"/>
      <c r="E746" s="25"/>
      <c r="F746" s="26"/>
      <c r="G746" s="27">
        <f>SUM(G747:G751)</f>
        <v>97201.282500000001</v>
      </c>
      <c r="H746" s="27">
        <f>IFERROR(G746*E744,"")</f>
        <v>0</v>
      </c>
    </row>
    <row r="747" spans="1:11" ht="12.75" customHeight="1">
      <c r="A747" s="28"/>
      <c r="B747" s="29" t="s">
        <v>3225</v>
      </c>
      <c r="C747" s="30" t="str">
        <f>IFERROR(_xlfn.XLOOKUP(B747,Insumo[DESCRIPCION],Insumo[UND],,0),"")</f>
        <v>M</v>
      </c>
      <c r="D747" s="31">
        <v>4</v>
      </c>
      <c r="E747" s="32">
        <f>IFERROR(_xlfn.XLOOKUP($B747,Insumo[DESCRIPCION],Insumo[VALOR],,0),"")</f>
        <v>12280.800000000001</v>
      </c>
      <c r="F747" s="33"/>
      <c r="G747" s="34">
        <f>IFERROR(IF(F747&gt;=0,D747*E747*(1+F747/100),ABS(D747*E747/F747)),"")</f>
        <v>49123.200000000004</v>
      </c>
      <c r="H747" s="139">
        <f>IFERROR(G747*E744,"")</f>
        <v>0</v>
      </c>
    </row>
    <row r="748" spans="1:11" ht="12.75" customHeight="1">
      <c r="A748" s="28"/>
      <c r="B748" s="29" t="s">
        <v>3326</v>
      </c>
      <c r="C748" s="30" t="str">
        <f>IFERROR(_xlfn.XLOOKUP(B748,Insumo[DESCRIPCION],Insumo[UND],,0),"")</f>
        <v>Kg</v>
      </c>
      <c r="D748" s="31">
        <v>0.1</v>
      </c>
      <c r="E748" s="32">
        <f>IFERROR(_xlfn.XLOOKUP($B748,Insumo[DESCRIPCION],Insumo[VALOR],,0),"")</f>
        <v>5978.7</v>
      </c>
      <c r="F748" s="33"/>
      <c r="G748" s="34">
        <f>IFERROR(IF(F748&gt;=0,D748*E748*(1+F748/100),ABS(D748*E748/F748)),"")</f>
        <v>597.87</v>
      </c>
      <c r="H748" s="139">
        <f>IFERROR(G748*E744,"")</f>
        <v>0</v>
      </c>
    </row>
    <row r="749" spans="1:11" ht="12.75" customHeight="1">
      <c r="A749" s="28"/>
      <c r="B749" s="29" t="s">
        <v>3407</v>
      </c>
      <c r="C749" s="30" t="str">
        <f>IFERROR(_xlfn.XLOOKUP(B749,Insumo[DESCRIPCION],Insumo[UND],,0),"")</f>
        <v>Un</v>
      </c>
      <c r="D749" s="31">
        <v>4</v>
      </c>
      <c r="E749" s="32">
        <f>IFERROR(_xlfn.XLOOKUP($B749,Insumo[DESCRIPCION],Insumo[VALOR],,0),"")</f>
        <v>77.7</v>
      </c>
      <c r="F749" s="33"/>
      <c r="G749" s="34">
        <f>IFERROR(IF(F749&gt;=0,D749*E749*(1+F749/100),ABS(D749*E749/F749)),"")</f>
        <v>310.8</v>
      </c>
      <c r="H749" s="139">
        <f>IFERROR(G749*E744,"")</f>
        <v>0</v>
      </c>
    </row>
    <row r="750" spans="1:11" ht="12.75" customHeight="1">
      <c r="A750" s="28"/>
      <c r="B750" s="29" t="s">
        <v>2708</v>
      </c>
      <c r="C750" s="30" t="str">
        <f>IFERROR(_xlfn.XLOOKUP(B750,Insumo[DESCRIPCION],Insumo[UND],,0),"")</f>
        <v>galón</v>
      </c>
      <c r="D750" s="31">
        <v>0.05</v>
      </c>
      <c r="E750" s="32">
        <f>IFERROR(_xlfn.XLOOKUP($B750,Insumo[DESCRIPCION],Insumo[VALOR],,0),"")</f>
        <v>97886.25</v>
      </c>
      <c r="F750" s="33"/>
      <c r="G750" s="34">
        <f>IFERROR(IF(F750&gt;=0,D750*E750*(1+F750/100),ABS(D750*E750/F750)),"")</f>
        <v>4894.3125</v>
      </c>
      <c r="H750" s="139">
        <f>IFERROR(G750*E744,"")</f>
        <v>0</v>
      </c>
    </row>
    <row r="751" spans="1:11" ht="12.75" customHeight="1">
      <c r="A751" s="28"/>
      <c r="B751" s="29" t="s">
        <v>2820</v>
      </c>
      <c r="C751" s="30" t="str">
        <f>IFERROR(_xlfn.XLOOKUP(B751,Insumo[DESCRIPCION],Insumo[UND],,0),"")</f>
        <v>Un</v>
      </c>
      <c r="D751" s="31">
        <v>1</v>
      </c>
      <c r="E751" s="32">
        <f>IFERROR(_xlfn.XLOOKUP($B751,Insumo[DESCRIPCION],Insumo[VALOR],,0),"")</f>
        <v>42275.1</v>
      </c>
      <c r="F751" s="33"/>
      <c r="G751" s="34">
        <f>IFERROR(IF(F751&gt;=0,D751*E751*(1+F751/100),ABS(D751*E751/F751)),"")</f>
        <v>42275.1</v>
      </c>
      <c r="H751" s="139">
        <f>IFERROR(G751*E744,"")</f>
        <v>0</v>
      </c>
    </row>
    <row r="752" spans="1:11" ht="12.75" customHeight="1">
      <c r="A752" s="21"/>
      <c r="B752" s="22" t="s">
        <v>3731</v>
      </c>
      <c r="C752" s="23"/>
      <c r="D752" s="24"/>
      <c r="E752" s="25"/>
      <c r="F752" s="26"/>
      <c r="G752" s="27">
        <f>SUM(G753:G755)</f>
        <v>12656.676049124999</v>
      </c>
      <c r="H752" s="27">
        <f>IFERROR(G752*E744,"")</f>
        <v>0</v>
      </c>
    </row>
    <row r="753" spans="1:11" ht="12.75" customHeight="1">
      <c r="A753" s="28"/>
      <c r="B753" s="29" t="s">
        <v>3613</v>
      </c>
      <c r="C753" s="30" t="str">
        <f>IFERROR(_xlfn.XLOOKUP(B753,Equipo[DESCRIPCION],Equipo[UND],,0),"")</f>
        <v>Día</v>
      </c>
      <c r="D753" s="31">
        <v>1</v>
      </c>
      <c r="E753" s="32">
        <f>IF(C753="%MO",G759,IFERROR(_xlfn.XLOOKUP($B753,Equipo[DESCRIPCION],Equipo[VALOR],,0),""))</f>
        <v>48133.05</v>
      </c>
      <c r="F753" s="33">
        <v>-16</v>
      </c>
      <c r="G753" s="34">
        <f>IFERROR(IF(F753&gt;=0,D753*E753*(1+F753/100),ABS(D753*E753/F753)),"")</f>
        <v>3008.3156250000002</v>
      </c>
      <c r="H753" s="139">
        <f>IFERROR(G753*E744,"")</f>
        <v>0</v>
      </c>
    </row>
    <row r="754" spans="1:11" ht="12.75" customHeight="1">
      <c r="A754" s="28"/>
      <c r="B754" s="29" t="s">
        <v>3655</v>
      </c>
      <c r="C754" s="30" t="str">
        <f>IFERROR(_xlfn.XLOOKUP(B754,Equipo[DESCRIPCION],Equipo[UND],,0),"")</f>
        <v>Día</v>
      </c>
      <c r="D754" s="31">
        <v>1</v>
      </c>
      <c r="E754" s="32">
        <f>IF(C754="%MO",G759,IFERROR(_xlfn.XLOOKUP($B754,Equipo[DESCRIPCION],Equipo[VALOR],,0),""))</f>
        <v>112455</v>
      </c>
      <c r="F754" s="33">
        <v>-16</v>
      </c>
      <c r="G754" s="34">
        <f>IFERROR(IF(F754&gt;=0,D754*E754*(1+F754/100),ABS(D754*E754/F754)),"")</f>
        <v>7028.4375</v>
      </c>
      <c r="H754" s="139">
        <f>IFERROR(G754*E744,"")</f>
        <v>0</v>
      </c>
    </row>
    <row r="755" spans="1:11" ht="12.75" customHeight="1">
      <c r="A755" s="28"/>
      <c r="B755" s="29" t="s">
        <v>3626</v>
      </c>
      <c r="C755" s="30" t="str">
        <f>IFERROR(_xlfn.XLOOKUP(B755,Equipo[DESCRIPCION],Equipo[UND],,0),"")</f>
        <v>%MO</v>
      </c>
      <c r="D755" s="31">
        <v>0.05</v>
      </c>
      <c r="E755" s="32">
        <f>IF(C755="%MO",G759,IFERROR(_xlfn.XLOOKUP($B755,Equipo[DESCRIPCION],Equipo[VALOR],,0),""))</f>
        <v>52398.458482500006</v>
      </c>
      <c r="F755" s="33"/>
      <c r="G755" s="34">
        <f>IFERROR(IF(F755&gt;=0,D755*E755*(1+F755/100),ABS(D755*E755/F755)),"")</f>
        <v>2619.9229241250005</v>
      </c>
      <c r="H755" s="139">
        <f>IFERROR(G755*E744,"")</f>
        <v>0</v>
      </c>
    </row>
    <row r="756" spans="1:11" ht="12.75" customHeight="1">
      <c r="A756" s="21"/>
      <c r="B756" s="22" t="s">
        <v>2533</v>
      </c>
      <c r="C756" s="23"/>
      <c r="D756" s="24"/>
      <c r="E756" s="25"/>
      <c r="F756" s="26"/>
      <c r="G756" s="27">
        <f>SUM(G757:G758)</f>
        <v>0</v>
      </c>
      <c r="H756" s="27">
        <f>IFERROR(G756*E744,"")</f>
        <v>0</v>
      </c>
    </row>
    <row r="757" spans="1:11" ht="12.75" customHeight="1">
      <c r="A757" s="28"/>
      <c r="B757" s="29"/>
      <c r="C757" s="30" t="str">
        <f>IFERROR(_xlfn.XLOOKUP(B757,Transporte[DESCRIPCION],Transporte[UND],,0),"")</f>
        <v/>
      </c>
      <c r="D757" s="31"/>
      <c r="E757" s="32" t="str">
        <f>IFERROR(_xlfn.XLOOKUP($B757,Transporte[DESCRIPCION],Transporte[VALOR],,0),"")</f>
        <v/>
      </c>
      <c r="F757" s="33"/>
      <c r="G757" s="34" t="str">
        <f>IFERROR(IF(F757&gt;=0,D757*E757*(1+F757/100),ABS(D757*E757/F757)),"")</f>
        <v/>
      </c>
      <c r="H757" s="139" t="str">
        <f>IFERROR(G757*E744,"")</f>
        <v/>
      </c>
    </row>
    <row r="758" spans="1:11" ht="12.75" customHeight="1">
      <c r="A758" s="28"/>
      <c r="B758" s="29"/>
      <c r="C758" s="30" t="str">
        <f>IFERROR(_xlfn.XLOOKUP(B758,Transporte[DESCRIPCION],Transporte[UND],,0),"")</f>
        <v/>
      </c>
      <c r="D758" s="31"/>
      <c r="E758" s="32" t="str">
        <f>IFERROR(_xlfn.XLOOKUP($B758,Transporte[DESCRIPCION],Transporte[VALOR],,0),"")</f>
        <v/>
      </c>
      <c r="F758" s="33"/>
      <c r="G758" s="34" t="str">
        <f>IFERROR(IF(F758&gt;=0,D758*E758*(1+F758/100),ABS(D758*E758/F758)),"")</f>
        <v/>
      </c>
      <c r="H758" s="139" t="str">
        <f>IFERROR(G758*E744,"")</f>
        <v/>
      </c>
    </row>
    <row r="759" spans="1:11" ht="12.75" customHeight="1">
      <c r="A759" s="21"/>
      <c r="B759" s="22" t="s">
        <v>3732</v>
      </c>
      <c r="C759" s="23"/>
      <c r="D759" s="24"/>
      <c r="E759" s="25"/>
      <c r="F759" s="26"/>
      <c r="G759" s="27">
        <f>SUM(G760:G762)</f>
        <v>52398.458482500006</v>
      </c>
      <c r="H759" s="27">
        <f>IFERROR(G759*E744,"")</f>
        <v>0</v>
      </c>
    </row>
    <row r="760" spans="1:11" ht="12.75" customHeight="1">
      <c r="A760" s="28"/>
      <c r="B760" s="29" t="s">
        <v>3724</v>
      </c>
      <c r="C760" s="30" t="str">
        <f>IFERROR(_xlfn.XLOOKUP(B760,MObra[DESCRIPCION],MObra[UN],,0),"")</f>
        <v>día</v>
      </c>
      <c r="D760" s="31">
        <v>1</v>
      </c>
      <c r="E760" s="32">
        <f>IFERROR(_xlfn.XLOOKUP($B760,MObra[DESCRIPCION],MObra[VALOR UNIT],,0),"")</f>
        <v>419187.66786000005</v>
      </c>
      <c r="F760" s="33">
        <v>-8</v>
      </c>
      <c r="G760" s="34">
        <f>IFERROR(IF(F760&gt;=0,D760*E760*(1+F760/100),ABS(D760*E760/F760)),"")</f>
        <v>52398.458482500006</v>
      </c>
      <c r="H760" s="139">
        <f>IFERROR(G760*E744,"")</f>
        <v>0</v>
      </c>
    </row>
    <row r="761" spans="1:11" ht="12.75" customHeight="1">
      <c r="A761" s="28"/>
      <c r="B761" s="29"/>
      <c r="C761" s="30" t="str">
        <f>IFERROR(_xlfn.XLOOKUP(B761,MObra[DESCRIPCION],MObra[UN],,0),"")</f>
        <v/>
      </c>
      <c r="D761" s="31"/>
      <c r="E761" s="32" t="str">
        <f>IFERROR(_xlfn.XLOOKUP($B761,MObra[DESCRIPCION],MObra[VALOR UNIT],,0),"")</f>
        <v/>
      </c>
      <c r="F761" s="33"/>
      <c r="G761" s="34" t="str">
        <f>IFERROR(IF(F761&gt;=0,D761*E761*(1+F761/100),ABS(D761*E761/F761)),"")</f>
        <v/>
      </c>
      <c r="H761" s="139" t="str">
        <f>IFERROR(G761*E744,"")</f>
        <v/>
      </c>
    </row>
    <row r="762" spans="1:11" ht="12.75" customHeight="1" thickBot="1">
      <c r="A762" s="35"/>
      <c r="B762" s="36"/>
      <c r="C762" s="37" t="str">
        <f>IFERROR(_xlfn.XLOOKUP(B762,MObra[DESCRIPCION],MObra[UN],,0),"")</f>
        <v/>
      </c>
      <c r="D762" s="38"/>
      <c r="E762" s="39" t="str">
        <f>IFERROR(_xlfn.XLOOKUP($B762,MObra[DESCRIPCION],MObra[VALOR UNIT],,0),"")</f>
        <v/>
      </c>
      <c r="F762" s="40"/>
      <c r="G762" s="41" t="str">
        <f>IFERROR(IF(F762&gt;=0,D762*E762*(1+F762/100),ABS(D762*E762/F762)),"")</f>
        <v/>
      </c>
      <c r="H762" s="42" t="str">
        <f>IFERROR(G762*E744,"")</f>
        <v/>
      </c>
    </row>
    <row r="763" spans="1:11" ht="12.75" customHeight="1" thickTop="1" thickBot="1"/>
    <row r="764" spans="1:11" ht="12.75" customHeight="1" thickTop="1" thickBot="1">
      <c r="A764" s="6" t="s">
        <v>1446</v>
      </c>
      <c r="B764" s="7" t="str">
        <f>VLOOKUP($A764,Presupuesto!$A:$D,2,FALSE())</f>
        <v>Incrustaciones tipo Acuacer juego x 4 piezas</v>
      </c>
      <c r="C764" s="8" t="str">
        <f>VLOOKUP($A764,Presupuesto!$A:$D,3,FALSE())</f>
        <v>Un</v>
      </c>
      <c r="D764" s="9"/>
      <c r="E764" s="10">
        <f>VLOOKUP($A764,Presupuesto!$A:$D,4,FALSE())</f>
        <v>0</v>
      </c>
      <c r="F764" s="11" t="s">
        <v>2589</v>
      </c>
      <c r="G764" s="12">
        <f>SUM(G766:G782)/2</f>
        <v>106032.12186472504</v>
      </c>
      <c r="H764" s="13">
        <f>ROUND(SUM(H766:H782),0)/2</f>
        <v>0</v>
      </c>
      <c r="I764" s="10">
        <f>VLOOKUP(A764,Presupuesto!$A:$F,6,0)</f>
        <v>0</v>
      </c>
      <c r="J764" s="10">
        <f>+H764-I764</f>
        <v>0</v>
      </c>
      <c r="K764" s="46">
        <f>+H764-G764*E764</f>
        <v>0</v>
      </c>
    </row>
    <row r="765" spans="1:11" ht="12.75" customHeight="1" thickTop="1">
      <c r="A765" s="14"/>
      <c r="B765" s="15" t="s">
        <v>2586</v>
      </c>
      <c r="C765" s="15" t="s">
        <v>5</v>
      </c>
      <c r="D765" s="16" t="s">
        <v>6</v>
      </c>
      <c r="E765" s="17" t="s">
        <v>7</v>
      </c>
      <c r="F765" s="18" t="s">
        <v>3728</v>
      </c>
      <c r="G765" s="19" t="s">
        <v>3729</v>
      </c>
      <c r="H765" s="20" t="s">
        <v>3797</v>
      </c>
    </row>
    <row r="766" spans="1:11" ht="12.75" customHeight="1">
      <c r="A766" s="21"/>
      <c r="B766" s="22" t="s">
        <v>3730</v>
      </c>
      <c r="C766" s="23"/>
      <c r="D766" s="24"/>
      <c r="E766" s="25"/>
      <c r="F766" s="26"/>
      <c r="G766" s="27">
        <f>SUM(G767:G771)</f>
        <v>85247.400000000009</v>
      </c>
      <c r="H766" s="27">
        <f>IFERROR(G766*E764,"")</f>
        <v>0</v>
      </c>
    </row>
    <row r="767" spans="1:11" ht="12.75" customHeight="1">
      <c r="A767" s="28"/>
      <c r="B767" s="29" t="s">
        <v>3008</v>
      </c>
      <c r="C767" s="30" t="str">
        <f>IFERROR(_xlfn.XLOOKUP(B767,Insumo[DESCRIPCION],Insumo[UND],,0),"")</f>
        <v>Un</v>
      </c>
      <c r="D767" s="31">
        <v>1</v>
      </c>
      <c r="E767" s="32">
        <f>IFERROR(_xlfn.XLOOKUP($B767,Insumo[DESCRIPCION],Insumo[VALOR],,0),"")</f>
        <v>85247.400000000009</v>
      </c>
      <c r="F767" s="33"/>
      <c r="G767" s="34">
        <f>IFERROR(IF(F767&gt;=0,D767*E767*(1+F767/100),ABS(D767*E767/F767)),"")</f>
        <v>85247.400000000009</v>
      </c>
      <c r="H767" s="139">
        <f>IFERROR(G767*E764,"")</f>
        <v>0</v>
      </c>
    </row>
    <row r="768" spans="1:11" ht="12.75" customHeight="1">
      <c r="A768" s="28"/>
      <c r="B768" s="29"/>
      <c r="C768" s="30" t="str">
        <f>IFERROR(_xlfn.XLOOKUP(B768,Insumo[DESCRIPCION],Insumo[UND],,0),"")</f>
        <v/>
      </c>
      <c r="D768" s="31"/>
      <c r="E768" s="32" t="str">
        <f>IFERROR(_xlfn.XLOOKUP($B768,Insumo[DESCRIPCION],Insumo[VALOR],,0),"")</f>
        <v/>
      </c>
      <c r="F768" s="33"/>
      <c r="G768" s="34" t="str">
        <f>IFERROR(IF(F768&gt;=0,D768*E768*(1+F768/100),ABS(D768*E768/F768)),"")</f>
        <v/>
      </c>
      <c r="H768" s="139" t="str">
        <f>IFERROR(G768*E764,"")</f>
        <v/>
      </c>
    </row>
    <row r="769" spans="1:11" ht="12.75" customHeight="1">
      <c r="A769" s="28"/>
      <c r="B769" s="29"/>
      <c r="C769" s="30" t="str">
        <f>IFERROR(_xlfn.XLOOKUP(B769,Insumo[DESCRIPCION],Insumo[UND],,0),"")</f>
        <v/>
      </c>
      <c r="D769" s="31"/>
      <c r="E769" s="32" t="str">
        <f>IFERROR(_xlfn.XLOOKUP($B769,Insumo[DESCRIPCION],Insumo[VALOR],,0),"")</f>
        <v/>
      </c>
      <c r="F769" s="33"/>
      <c r="G769" s="34" t="str">
        <f>IFERROR(IF(F769&gt;=0,D769*E769*(1+F769/100),ABS(D769*E769/F769)),"")</f>
        <v/>
      </c>
      <c r="H769" s="139" t="str">
        <f>IFERROR(G769*E764,"")</f>
        <v/>
      </c>
    </row>
    <row r="770" spans="1:11" ht="12.75" customHeight="1">
      <c r="A770" s="28"/>
      <c r="B770" s="29"/>
      <c r="C770" s="30" t="str">
        <f>IFERROR(_xlfn.XLOOKUP(B770,Insumo[DESCRIPCION],Insumo[UND],,0),"")</f>
        <v/>
      </c>
      <c r="D770" s="31"/>
      <c r="E770" s="32" t="str">
        <f>IFERROR(_xlfn.XLOOKUP($B770,Insumo[DESCRIPCION],Insumo[VALOR],,0),"")</f>
        <v/>
      </c>
      <c r="F770" s="33"/>
      <c r="G770" s="34" t="str">
        <f>IFERROR(IF(F770&gt;=0,D770*E770*(1+F770/100),ABS(D770*E770/F770)),"")</f>
        <v/>
      </c>
      <c r="H770" s="139" t="str">
        <f>IFERROR(G770*E764,"")</f>
        <v/>
      </c>
    </row>
    <row r="771" spans="1:11" ht="12.75" customHeight="1">
      <c r="A771" s="28"/>
      <c r="B771" s="29"/>
      <c r="C771" s="30" t="str">
        <f>IFERROR(_xlfn.XLOOKUP(B771,Insumo[DESCRIPCION],Insumo[UND],,0),"")</f>
        <v/>
      </c>
      <c r="D771" s="31"/>
      <c r="E771" s="32" t="str">
        <f>IFERROR(_xlfn.XLOOKUP($B771,Insumo[DESCRIPCION],Insumo[VALOR],,0),"")</f>
        <v/>
      </c>
      <c r="F771" s="33"/>
      <c r="G771" s="34" t="str">
        <f>IFERROR(IF(F771&gt;=0,D771*E771*(1+F771/100),ABS(D771*E771/F771)),"")</f>
        <v/>
      </c>
      <c r="H771" s="139" t="str">
        <f>IFERROR(G771*E764,"")</f>
        <v/>
      </c>
    </row>
    <row r="772" spans="1:11" ht="12.75" customHeight="1">
      <c r="A772" s="21"/>
      <c r="B772" s="22" t="s">
        <v>3731</v>
      </c>
      <c r="C772" s="23"/>
      <c r="D772" s="24"/>
      <c r="E772" s="25"/>
      <c r="F772" s="26"/>
      <c r="G772" s="27">
        <f>SUM(G773:G775)</f>
        <v>989.74866022500032</v>
      </c>
      <c r="H772" s="27">
        <f>IFERROR(G772*E764,"")</f>
        <v>0</v>
      </c>
    </row>
    <row r="773" spans="1:11" ht="12.75" customHeight="1">
      <c r="A773" s="28"/>
      <c r="B773" s="29" t="s">
        <v>3626</v>
      </c>
      <c r="C773" s="30" t="str">
        <f>IFERROR(_xlfn.XLOOKUP(B773,Equipo[DESCRIPCION],Equipo[UND],,0),"")</f>
        <v>%MO</v>
      </c>
      <c r="D773" s="31">
        <v>0.05</v>
      </c>
      <c r="E773" s="32">
        <f>IF(C773="%MO",G779,IFERROR(_xlfn.XLOOKUP($B773,Equipo[DESCRIPCION],Equipo[VALOR],,0),""))</f>
        <v>19794.973204500006</v>
      </c>
      <c r="F773" s="33"/>
      <c r="G773" s="34">
        <f>IFERROR(IF(F773&gt;=0,D773*E773*(1+F773/100),ABS(D773*E773/F773)),"")</f>
        <v>989.74866022500032</v>
      </c>
      <c r="H773" s="139">
        <f>IFERROR(G773*E764,"")</f>
        <v>0</v>
      </c>
    </row>
    <row r="774" spans="1:11" ht="12.75" customHeight="1">
      <c r="A774" s="28"/>
      <c r="B774" s="29"/>
      <c r="C774" s="30" t="str">
        <f>IFERROR(_xlfn.XLOOKUP(B774,Equipo[DESCRIPCION],Equipo[UND],,0),"")</f>
        <v/>
      </c>
      <c r="D774" s="31"/>
      <c r="E774" s="32" t="str">
        <f>IF(C774="%MO",G779,IFERROR(_xlfn.XLOOKUP($B774,Equipo[DESCRIPCION],Equipo[VALOR],,0),""))</f>
        <v/>
      </c>
      <c r="F774" s="33"/>
      <c r="G774" s="34" t="str">
        <f>IFERROR(IF(F774&gt;=0,D774*E774*(1+F774/100),ABS(D774*E774/F774)),"")</f>
        <v/>
      </c>
      <c r="H774" s="139" t="str">
        <f>IFERROR(G774*E764,"")</f>
        <v/>
      </c>
    </row>
    <row r="775" spans="1:11" ht="12.75" customHeight="1">
      <c r="A775" s="28"/>
      <c r="B775" s="29"/>
      <c r="C775" s="30" t="str">
        <f>IFERROR(_xlfn.XLOOKUP(B775,Equipo[DESCRIPCION],Equipo[UND],,0),"")</f>
        <v/>
      </c>
      <c r="D775" s="31"/>
      <c r="E775" s="32" t="str">
        <f>IF(C775="%MO",G779,IFERROR(_xlfn.XLOOKUP($B775,Equipo[DESCRIPCION],Equipo[VALOR],,0),""))</f>
        <v/>
      </c>
      <c r="F775" s="33"/>
      <c r="G775" s="34" t="str">
        <f>IFERROR(IF(F775&gt;=0,D775*E775*(1+F775/100),ABS(D775*E775/F775)),"")</f>
        <v/>
      </c>
      <c r="H775" s="139" t="str">
        <f>IFERROR(G775*E764,"")</f>
        <v/>
      </c>
    </row>
    <row r="776" spans="1:11" ht="12.75" customHeight="1">
      <c r="A776" s="21"/>
      <c r="B776" s="22" t="s">
        <v>2533</v>
      </c>
      <c r="C776" s="23"/>
      <c r="D776" s="24"/>
      <c r="E776" s="25"/>
      <c r="F776" s="26"/>
      <c r="G776" s="27">
        <f>SUM(G777:G778)</f>
        <v>0</v>
      </c>
      <c r="H776" s="27">
        <f>IFERROR(G776*E764,"")</f>
        <v>0</v>
      </c>
    </row>
    <row r="777" spans="1:11" ht="12.75" customHeight="1">
      <c r="A777" s="28"/>
      <c r="B777" s="29"/>
      <c r="C777" s="30" t="str">
        <f>IFERROR(_xlfn.XLOOKUP(B777,Transporte[DESCRIPCION],Transporte[UND],,0),"")</f>
        <v/>
      </c>
      <c r="D777" s="31"/>
      <c r="E777" s="32" t="str">
        <f>IFERROR(_xlfn.XLOOKUP($B777,Transporte[DESCRIPCION],Transporte[VALOR],,0),"")</f>
        <v/>
      </c>
      <c r="F777" s="33"/>
      <c r="G777" s="34" t="str">
        <f>IFERROR(IF(F777&gt;=0,D777*E777*(1+F777/100),ABS(D777*E777/F777)),"")</f>
        <v/>
      </c>
      <c r="H777" s="139" t="str">
        <f>IFERROR(G777*E764,"")</f>
        <v/>
      </c>
    </row>
    <row r="778" spans="1:11" ht="12.75" customHeight="1">
      <c r="A778" s="28"/>
      <c r="B778" s="29"/>
      <c r="C778" s="30" t="str">
        <f>IFERROR(_xlfn.XLOOKUP(B778,Transporte[DESCRIPCION],Transporte[UND],,0),"")</f>
        <v/>
      </c>
      <c r="D778" s="31"/>
      <c r="E778" s="32" t="str">
        <f>IFERROR(_xlfn.XLOOKUP($B778,Transporte[DESCRIPCION],Transporte[VALOR],,0),"")</f>
        <v/>
      </c>
      <c r="F778" s="33"/>
      <c r="G778" s="34" t="str">
        <f>IFERROR(IF(F778&gt;=0,D778*E778*(1+F778/100),ABS(D778*E778/F778)),"")</f>
        <v/>
      </c>
      <c r="H778" s="139" t="str">
        <f>IFERROR(G778*E764,"")</f>
        <v/>
      </c>
    </row>
    <row r="779" spans="1:11" ht="12.75" customHeight="1">
      <c r="A779" s="21"/>
      <c r="B779" s="22" t="s">
        <v>3732</v>
      </c>
      <c r="C779" s="23"/>
      <c r="D779" s="24"/>
      <c r="E779" s="25"/>
      <c r="F779" s="26"/>
      <c r="G779" s="27">
        <f>SUM(G780:G782)</f>
        <v>19794.973204500006</v>
      </c>
      <c r="H779" s="27">
        <f>IFERROR(G779*E764,"")</f>
        <v>0</v>
      </c>
    </row>
    <row r="780" spans="1:11" ht="12.75" customHeight="1">
      <c r="A780" s="28"/>
      <c r="B780" s="29" t="s">
        <v>3705</v>
      </c>
      <c r="C780" s="30" t="str">
        <f>IFERROR(_xlfn.XLOOKUP(B780,MObra[DESCRIPCION],MObra[UN],,0),"")</f>
        <v>día</v>
      </c>
      <c r="D780" s="31">
        <v>1</v>
      </c>
      <c r="E780" s="32">
        <f>IFERROR(_xlfn.XLOOKUP($B780,MObra[DESCRIPCION],MObra[VALOR UNIT],,0),"")</f>
        <v>197949.73204500004</v>
      </c>
      <c r="F780" s="33">
        <v>-10</v>
      </c>
      <c r="G780" s="34">
        <f>IFERROR(IF(F780&gt;=0,D780*E780*(1+F780/100),ABS(D780*E780/F780)),"")</f>
        <v>19794.973204500006</v>
      </c>
      <c r="H780" s="139">
        <f>IFERROR(G780*E764,"")</f>
        <v>0</v>
      </c>
    </row>
    <row r="781" spans="1:11" ht="12.75" customHeight="1">
      <c r="A781" s="28"/>
      <c r="B781" s="29"/>
      <c r="C781" s="30" t="str">
        <f>IFERROR(_xlfn.XLOOKUP(B781,MObra[DESCRIPCION],MObra[UN],,0),"")</f>
        <v/>
      </c>
      <c r="D781" s="31"/>
      <c r="E781" s="32" t="str">
        <f>IFERROR(_xlfn.XLOOKUP($B781,MObra[DESCRIPCION],MObra[VALOR UNIT],,0),"")</f>
        <v/>
      </c>
      <c r="F781" s="33"/>
      <c r="G781" s="34" t="str">
        <f>IFERROR(IF(F781&gt;=0,D781*E781*(1+F781/100),ABS(D781*E781/F781)),"")</f>
        <v/>
      </c>
      <c r="H781" s="139" t="str">
        <f>IFERROR(G781*E764,"")</f>
        <v/>
      </c>
    </row>
    <row r="782" spans="1:11" ht="12.75" customHeight="1" thickBot="1">
      <c r="A782" s="35"/>
      <c r="B782" s="36"/>
      <c r="C782" s="37" t="str">
        <f>IFERROR(_xlfn.XLOOKUP(B782,MObra[DESCRIPCION],MObra[UN],,0),"")</f>
        <v/>
      </c>
      <c r="D782" s="38"/>
      <c r="E782" s="39" t="str">
        <f>IFERROR(_xlfn.XLOOKUP($B782,MObra[DESCRIPCION],MObra[VALOR UNIT],,0),"")</f>
        <v/>
      </c>
      <c r="F782" s="40"/>
      <c r="G782" s="41" t="str">
        <f>IFERROR(IF(F782&gt;=0,D782*E782*(1+F782/100),ABS(D782*E782/F782)),"")</f>
        <v/>
      </c>
      <c r="H782" s="42" t="str">
        <f>IFERROR(G782*E764,"")</f>
        <v/>
      </c>
    </row>
    <row r="783" spans="1:11" ht="12.75" customHeight="1" thickTop="1" thickBot="1"/>
    <row r="784" spans="1:11" ht="12.75" customHeight="1" thickTop="1" thickBot="1">
      <c r="A784" s="6" t="s">
        <v>1448</v>
      </c>
      <c r="B784" s="7" t="str">
        <f>VLOOKUP($A784,Presupuesto!$A:$D,2,FALSE())</f>
        <v>Instalación sanitario</v>
      </c>
      <c r="C784" s="8" t="str">
        <f>VLOOKUP($A784,Presupuesto!$A:$D,3,FALSE())</f>
        <v>Un</v>
      </c>
      <c r="D784" s="9"/>
      <c r="E784" s="10">
        <f>VLOOKUP($A784,Presupuesto!$A:$D,4,FALSE())</f>
        <v>0</v>
      </c>
      <c r="F784" s="11" t="s">
        <v>2589</v>
      </c>
      <c r="G784" s="12">
        <f>SUM(G786:G802)/2</f>
        <v>48838.612634250014</v>
      </c>
      <c r="H784" s="13">
        <f>ROUND(SUM(H786:H802),0)/2</f>
        <v>0</v>
      </c>
      <c r="I784" s="10">
        <f>VLOOKUP(A784,Presupuesto!$A:$F,6,0)</f>
        <v>0</v>
      </c>
      <c r="J784" s="10">
        <f>+H784-I784</f>
        <v>0</v>
      </c>
      <c r="K784" s="46">
        <f>+H784-G784*E784</f>
        <v>0</v>
      </c>
    </row>
    <row r="785" spans="1:8" ht="12.75" customHeight="1" thickTop="1">
      <c r="A785" s="14"/>
      <c r="B785" s="15" t="s">
        <v>2586</v>
      </c>
      <c r="C785" s="15" t="s">
        <v>5</v>
      </c>
      <c r="D785" s="16" t="s">
        <v>6</v>
      </c>
      <c r="E785" s="17" t="s">
        <v>7</v>
      </c>
      <c r="F785" s="18" t="s">
        <v>3728</v>
      </c>
      <c r="G785" s="19" t="s">
        <v>3729</v>
      </c>
      <c r="H785" s="20" t="s">
        <v>3797</v>
      </c>
    </row>
    <row r="786" spans="1:8" ht="12.75" customHeight="1">
      <c r="A786" s="21"/>
      <c r="B786" s="22" t="s">
        <v>3730</v>
      </c>
      <c r="C786" s="23"/>
      <c r="D786" s="24"/>
      <c r="E786" s="25"/>
      <c r="F786" s="26"/>
      <c r="G786" s="27">
        <f>SUM(G787:G791)</f>
        <v>1680</v>
      </c>
      <c r="H786" s="27">
        <f>IFERROR(G786*E784,"")</f>
        <v>0</v>
      </c>
    </row>
    <row r="787" spans="1:8" ht="12.75" customHeight="1">
      <c r="A787" s="28"/>
      <c r="B787" s="29" t="s">
        <v>2823</v>
      </c>
      <c r="C787" s="30" t="str">
        <f>IFERROR(_xlfn.XLOOKUP(B787,Insumo[DESCRIPCION],Insumo[UND],,0),"")</f>
        <v>Kg</v>
      </c>
      <c r="D787" s="31">
        <v>1</v>
      </c>
      <c r="E787" s="32">
        <f>IFERROR(_xlfn.XLOOKUP($B787,Insumo[DESCRIPCION],Insumo[VALOR],,0),"")</f>
        <v>1680</v>
      </c>
      <c r="F787" s="33"/>
      <c r="G787" s="34">
        <f>IFERROR(IF(F787&gt;=0,D787*E787*(1+F787/100),ABS(D787*E787/F787)),"")</f>
        <v>1680</v>
      </c>
      <c r="H787" s="139">
        <f>IFERROR(G787*E784,"")</f>
        <v>0</v>
      </c>
    </row>
    <row r="788" spans="1:8" ht="12.75" customHeight="1">
      <c r="A788" s="28"/>
      <c r="B788" s="29"/>
      <c r="C788" s="30" t="str">
        <f>IFERROR(_xlfn.XLOOKUP(B788,Insumo[DESCRIPCION],Insumo[UND],,0),"")</f>
        <v/>
      </c>
      <c r="D788" s="31"/>
      <c r="E788" s="32" t="str">
        <f>IFERROR(_xlfn.XLOOKUP($B788,Insumo[DESCRIPCION],Insumo[VALOR],,0),"")</f>
        <v/>
      </c>
      <c r="F788" s="33"/>
      <c r="G788" s="34" t="str">
        <f>IFERROR(IF(F788&gt;=0,D788*E788*(1+F788/100),ABS(D788*E788/F788)),"")</f>
        <v/>
      </c>
      <c r="H788" s="139" t="str">
        <f>IFERROR(G788*E784,"")</f>
        <v/>
      </c>
    </row>
    <row r="789" spans="1:8" ht="12.75" customHeight="1">
      <c r="A789" s="28"/>
      <c r="B789" s="29"/>
      <c r="C789" s="30" t="str">
        <f>IFERROR(_xlfn.XLOOKUP(B789,Insumo[DESCRIPCION],Insumo[UND],,0),"")</f>
        <v/>
      </c>
      <c r="D789" s="31"/>
      <c r="E789" s="32" t="str">
        <f>IFERROR(_xlfn.XLOOKUP($B789,Insumo[DESCRIPCION],Insumo[VALOR],,0),"")</f>
        <v/>
      </c>
      <c r="F789" s="33"/>
      <c r="G789" s="34" t="str">
        <f>IFERROR(IF(F789&gt;=0,D789*E789*(1+F789/100),ABS(D789*E789/F789)),"")</f>
        <v/>
      </c>
      <c r="H789" s="139" t="str">
        <f>IFERROR(G789*E784,"")</f>
        <v/>
      </c>
    </row>
    <row r="790" spans="1:8" ht="12.75" customHeight="1">
      <c r="A790" s="28"/>
      <c r="B790" s="29"/>
      <c r="C790" s="30" t="str">
        <f>IFERROR(_xlfn.XLOOKUP(B790,Insumo[DESCRIPCION],Insumo[UND],,0),"")</f>
        <v/>
      </c>
      <c r="D790" s="31"/>
      <c r="E790" s="32" t="str">
        <f>IFERROR(_xlfn.XLOOKUP($B790,Insumo[DESCRIPCION],Insumo[VALOR],,0),"")</f>
        <v/>
      </c>
      <c r="F790" s="33"/>
      <c r="G790" s="34" t="str">
        <f>IFERROR(IF(F790&gt;=0,D790*E790*(1+F790/100),ABS(D790*E790/F790)),"")</f>
        <v/>
      </c>
      <c r="H790" s="139" t="str">
        <f>IFERROR(G790*E784,"")</f>
        <v/>
      </c>
    </row>
    <row r="791" spans="1:8" ht="12.75" customHeight="1">
      <c r="A791" s="28"/>
      <c r="B791" s="29"/>
      <c r="C791" s="30" t="str">
        <f>IFERROR(_xlfn.XLOOKUP(B791,Insumo[DESCRIPCION],Insumo[UND],,0),"")</f>
        <v/>
      </c>
      <c r="D791" s="31"/>
      <c r="E791" s="32" t="str">
        <f>IFERROR(_xlfn.XLOOKUP($B791,Insumo[DESCRIPCION],Insumo[VALOR],,0),"")</f>
        <v/>
      </c>
      <c r="F791" s="33"/>
      <c r="G791" s="34" t="str">
        <f>IFERROR(IF(F791&gt;=0,D791*E791*(1+F791/100),ABS(D791*E791/F791)),"")</f>
        <v/>
      </c>
      <c r="H791" s="139" t="str">
        <f>IFERROR(G791*E784,"")</f>
        <v/>
      </c>
    </row>
    <row r="792" spans="1:8" ht="12.75" customHeight="1">
      <c r="A792" s="21"/>
      <c r="B792" s="22" t="s">
        <v>3731</v>
      </c>
      <c r="C792" s="23"/>
      <c r="D792" s="24"/>
      <c r="E792" s="25"/>
      <c r="F792" s="26"/>
      <c r="G792" s="27">
        <f>SUM(G793:G795)</f>
        <v>2245.6482206785722</v>
      </c>
      <c r="H792" s="27">
        <f>IFERROR(G792*E784,"")</f>
        <v>0</v>
      </c>
    </row>
    <row r="793" spans="1:8" ht="12.75" customHeight="1">
      <c r="A793" s="28"/>
      <c r="B793" s="29" t="s">
        <v>3626</v>
      </c>
      <c r="C793" s="30" t="str">
        <f>IFERROR(_xlfn.XLOOKUP(B793,Equipo[DESCRIPCION],Equipo[UND],,0),"")</f>
        <v>%MO</v>
      </c>
      <c r="D793" s="31">
        <v>0.05</v>
      </c>
      <c r="E793" s="32">
        <f>IF(C793="%MO",G799,IFERROR(_xlfn.XLOOKUP($B793,Equipo[DESCRIPCION],Equipo[VALOR],,0),""))</f>
        <v>44912.964413571441</v>
      </c>
      <c r="F793" s="33"/>
      <c r="G793" s="34">
        <f>IFERROR(IF(F793&gt;=0,D793*E793*(1+F793/100),ABS(D793*E793/F793)),"")</f>
        <v>2245.6482206785722</v>
      </c>
      <c r="H793" s="139">
        <f>IFERROR(G793*E784,"")</f>
        <v>0</v>
      </c>
    </row>
    <row r="794" spans="1:8" ht="12.75" customHeight="1">
      <c r="A794" s="28"/>
      <c r="B794" s="29"/>
      <c r="C794" s="30" t="str">
        <f>IFERROR(_xlfn.XLOOKUP(B794,Equipo[DESCRIPCION],Equipo[UND],,0),"")</f>
        <v/>
      </c>
      <c r="D794" s="31"/>
      <c r="E794" s="32" t="str">
        <f>IF(C794="%MO",G799,IFERROR(_xlfn.XLOOKUP($B794,Equipo[DESCRIPCION],Equipo[VALOR],,0),""))</f>
        <v/>
      </c>
      <c r="F794" s="33"/>
      <c r="G794" s="34" t="str">
        <f>IFERROR(IF(F794&gt;=0,D794*E794*(1+F794/100),ABS(D794*E794/F794)),"")</f>
        <v/>
      </c>
      <c r="H794" s="139" t="str">
        <f>IFERROR(G794*E784,"")</f>
        <v/>
      </c>
    </row>
    <row r="795" spans="1:8" ht="12.75" customHeight="1">
      <c r="A795" s="28"/>
      <c r="B795" s="29"/>
      <c r="C795" s="30" t="str">
        <f>IFERROR(_xlfn.XLOOKUP(B795,Equipo[DESCRIPCION],Equipo[UND],,0),"")</f>
        <v/>
      </c>
      <c r="D795" s="31"/>
      <c r="E795" s="32" t="str">
        <f>IF(C795="%MO",G799,IFERROR(_xlfn.XLOOKUP($B795,Equipo[DESCRIPCION],Equipo[VALOR],,0),""))</f>
        <v/>
      </c>
      <c r="F795" s="33"/>
      <c r="G795" s="34" t="str">
        <f>IFERROR(IF(F795&gt;=0,D795*E795*(1+F795/100),ABS(D795*E795/F795)),"")</f>
        <v/>
      </c>
      <c r="H795" s="139" t="str">
        <f>IFERROR(G795*E784,"")</f>
        <v/>
      </c>
    </row>
    <row r="796" spans="1:8" ht="12.75" customHeight="1">
      <c r="A796" s="21"/>
      <c r="B796" s="22" t="s">
        <v>2533</v>
      </c>
      <c r="C796" s="23"/>
      <c r="D796" s="24"/>
      <c r="E796" s="25"/>
      <c r="F796" s="26"/>
      <c r="G796" s="27">
        <f>SUM(G797:G798)</f>
        <v>0</v>
      </c>
      <c r="H796" s="27">
        <f>IFERROR(G796*E784,"")</f>
        <v>0</v>
      </c>
    </row>
    <row r="797" spans="1:8" ht="12.75" customHeight="1">
      <c r="A797" s="28"/>
      <c r="B797" s="29"/>
      <c r="C797" s="30" t="str">
        <f>IFERROR(_xlfn.XLOOKUP(B797,Transporte[DESCRIPCION],Transporte[UND],,0),"")</f>
        <v/>
      </c>
      <c r="D797" s="31"/>
      <c r="E797" s="32" t="str">
        <f>IFERROR(_xlfn.XLOOKUP($B797,Transporte[DESCRIPCION],Transporte[VALOR],,0),"")</f>
        <v/>
      </c>
      <c r="F797" s="33"/>
      <c r="G797" s="34" t="str">
        <f>IFERROR(IF(F797&gt;=0,D797*E797*(1+F797/100),ABS(D797*E797/F797)),"")</f>
        <v/>
      </c>
      <c r="H797" s="139" t="str">
        <f>IFERROR(G797*E784,"")</f>
        <v/>
      </c>
    </row>
    <row r="798" spans="1:8" ht="12.75" customHeight="1">
      <c r="A798" s="28"/>
      <c r="B798" s="29"/>
      <c r="C798" s="30" t="str">
        <f>IFERROR(_xlfn.XLOOKUP(B798,Transporte[DESCRIPCION],Transporte[UND],,0),"")</f>
        <v/>
      </c>
      <c r="D798" s="31"/>
      <c r="E798" s="32" t="str">
        <f>IFERROR(_xlfn.XLOOKUP($B798,Transporte[DESCRIPCION],Transporte[VALOR],,0),"")</f>
        <v/>
      </c>
      <c r="F798" s="33"/>
      <c r="G798" s="34" t="str">
        <f>IFERROR(IF(F798&gt;=0,D798*E798*(1+F798/100),ABS(D798*E798/F798)),"")</f>
        <v/>
      </c>
      <c r="H798" s="139" t="str">
        <f>IFERROR(G798*E784,"")</f>
        <v/>
      </c>
    </row>
    <row r="799" spans="1:8" ht="12.75" customHeight="1">
      <c r="A799" s="21"/>
      <c r="B799" s="22" t="s">
        <v>3732</v>
      </c>
      <c r="C799" s="23"/>
      <c r="D799" s="24"/>
      <c r="E799" s="25"/>
      <c r="F799" s="26"/>
      <c r="G799" s="27">
        <f>SUM(G800:G802)</f>
        <v>44912.964413571441</v>
      </c>
      <c r="H799" s="27">
        <f>IFERROR(G799*E784,"")</f>
        <v>0</v>
      </c>
    </row>
    <row r="800" spans="1:8" ht="12.75" customHeight="1">
      <c r="A800" s="28"/>
      <c r="B800" s="29" t="s">
        <v>3710</v>
      </c>
      <c r="C800" s="30" t="str">
        <f>IFERROR(_xlfn.XLOOKUP(B800,MObra[DESCRIPCION],MObra[UN],,0),"")</f>
        <v>día</v>
      </c>
      <c r="D800" s="31">
        <v>1</v>
      </c>
      <c r="E800" s="32">
        <f>IFERROR(_xlfn.XLOOKUP($B800,MObra[DESCRIPCION],MObra[VALOR UNIT],,0),"")</f>
        <v>314390.75089500006</v>
      </c>
      <c r="F800" s="33">
        <v>-7</v>
      </c>
      <c r="G800" s="34">
        <f>IFERROR(IF(F800&gt;=0,D800*E800*(1+F800/100),ABS(D800*E800/F800)),"")</f>
        <v>44912.964413571441</v>
      </c>
      <c r="H800" s="139">
        <f>IFERROR(G800*E784,"")</f>
        <v>0</v>
      </c>
    </row>
    <row r="801" spans="1:11" ht="12.75" customHeight="1">
      <c r="A801" s="28"/>
      <c r="B801" s="29"/>
      <c r="C801" s="30" t="str">
        <f>IFERROR(_xlfn.XLOOKUP(B801,MObra[DESCRIPCION],MObra[UN],,0),"")</f>
        <v/>
      </c>
      <c r="D801" s="31"/>
      <c r="E801" s="32" t="str">
        <f>IFERROR(_xlfn.XLOOKUP($B801,MObra[DESCRIPCION],MObra[VALOR UNIT],,0),"")</f>
        <v/>
      </c>
      <c r="F801" s="33"/>
      <c r="G801" s="34" t="str">
        <f>IFERROR(IF(F801&gt;=0,D801*E801*(1+F801/100),ABS(D801*E801/F801)),"")</f>
        <v/>
      </c>
      <c r="H801" s="139" t="str">
        <f>IFERROR(G801*E784,"")</f>
        <v/>
      </c>
    </row>
    <row r="802" spans="1:11" ht="12.75" customHeight="1" thickBot="1">
      <c r="A802" s="35"/>
      <c r="B802" s="36"/>
      <c r="C802" s="37" t="str">
        <f>IFERROR(_xlfn.XLOOKUP(B802,MObra[DESCRIPCION],MObra[UN],,0),"")</f>
        <v/>
      </c>
      <c r="D802" s="38"/>
      <c r="E802" s="39" t="str">
        <f>IFERROR(_xlfn.XLOOKUP($B802,MObra[DESCRIPCION],MObra[VALOR UNIT],,0),"")</f>
        <v/>
      </c>
      <c r="F802" s="40"/>
      <c r="G802" s="41" t="str">
        <f>IFERROR(IF(F802&gt;=0,D802*E802*(1+F802/100),ABS(D802*E802/F802)),"")</f>
        <v/>
      </c>
      <c r="H802" s="42" t="str">
        <f>IFERROR(G802*E784,"")</f>
        <v/>
      </c>
    </row>
    <row r="803" spans="1:11" ht="12.75" customHeight="1" thickTop="1" thickBot="1"/>
    <row r="804" spans="1:11" ht="12.75" customHeight="1" thickTop="1" thickBot="1">
      <c r="A804" s="6" t="s">
        <v>1450</v>
      </c>
      <c r="B804" s="7" t="str">
        <f>VLOOKUP($A804,Presupuesto!$A:$D,2,FALSE())</f>
        <v>Lavadero granito pulido</v>
      </c>
      <c r="C804" s="8" t="str">
        <f>VLOOKUP($A804,Presupuesto!$A:$D,3,FALSE())</f>
        <v>Un</v>
      </c>
      <c r="D804" s="9"/>
      <c r="E804" s="10">
        <f>VLOOKUP($A804,Presupuesto!$A:$D,4,FALSE())</f>
        <v>0</v>
      </c>
      <c r="F804" s="11" t="s">
        <v>2589</v>
      </c>
      <c r="G804" s="12">
        <f>SUM(G806:G822)/2</f>
        <v>353457.70256265003</v>
      </c>
      <c r="H804" s="13">
        <f>ROUND(SUM(H806:H822),0)/2</f>
        <v>0</v>
      </c>
      <c r="I804" s="10">
        <f>VLOOKUP(A804,Presupuesto!$A:$F,6,0)</f>
        <v>0</v>
      </c>
      <c r="J804" s="10">
        <f>+H804-I804</f>
        <v>0</v>
      </c>
      <c r="K804" s="46">
        <f>+H804-G804*E804</f>
        <v>0</v>
      </c>
    </row>
    <row r="805" spans="1:11" ht="12.75" customHeight="1" thickTop="1">
      <c r="A805" s="14"/>
      <c r="B805" s="15" t="s">
        <v>2586</v>
      </c>
      <c r="C805" s="15" t="s">
        <v>5</v>
      </c>
      <c r="D805" s="16" t="s">
        <v>6</v>
      </c>
      <c r="E805" s="17" t="s">
        <v>7</v>
      </c>
      <c r="F805" s="18" t="s">
        <v>3728</v>
      </c>
      <c r="G805" s="19" t="s">
        <v>3729</v>
      </c>
      <c r="H805" s="20" t="s">
        <v>3797</v>
      </c>
    </row>
    <row r="806" spans="1:11" ht="12.75" customHeight="1">
      <c r="A806" s="21"/>
      <c r="B806" s="22" t="s">
        <v>3730</v>
      </c>
      <c r="C806" s="23"/>
      <c r="D806" s="24"/>
      <c r="E806" s="25"/>
      <c r="F806" s="26"/>
      <c r="G806" s="27">
        <f>SUM(G807:G811)</f>
        <v>331450.35000000003</v>
      </c>
      <c r="H806" s="27">
        <f>IFERROR(G806*E804,"")</f>
        <v>0</v>
      </c>
    </row>
    <row r="807" spans="1:11" ht="12.75" customHeight="1">
      <c r="A807" s="28"/>
      <c r="B807" s="29" t="s">
        <v>3036</v>
      </c>
      <c r="C807" s="30" t="str">
        <f>IFERROR(_xlfn.XLOOKUP(B807,Insumo[DESCRIPCION],Insumo[UND],,0),"")</f>
        <v>Un</v>
      </c>
      <c r="D807" s="31">
        <v>1</v>
      </c>
      <c r="E807" s="32">
        <f>IFERROR(_xlfn.XLOOKUP($B807,Insumo[DESCRIPCION],Insumo[VALOR],,0),"")</f>
        <v>310867.20000000001</v>
      </c>
      <c r="F807" s="33"/>
      <c r="G807" s="34">
        <f>IFERROR(IF(F807&gt;=0,D807*E807*(1+F807/100),ABS(D807*E807/F807)),"")</f>
        <v>310867.20000000001</v>
      </c>
      <c r="H807" s="139">
        <f>IFERROR(G807*E804,"")</f>
        <v>0</v>
      </c>
    </row>
    <row r="808" spans="1:11" ht="12.75" customHeight="1">
      <c r="A808" s="28"/>
      <c r="B808" s="29" t="s">
        <v>2892</v>
      </c>
      <c r="C808" s="30" t="str">
        <f>IFERROR(_xlfn.XLOOKUP(B808,Insumo[DESCRIPCION],Insumo[UND],,0),"")</f>
        <v>Un</v>
      </c>
      <c r="D808" s="31">
        <v>1</v>
      </c>
      <c r="E808" s="32">
        <f>IFERROR(_xlfn.XLOOKUP($B808,Insumo[DESCRIPCION],Insumo[VALOR],,0),"")</f>
        <v>20583.150000000001</v>
      </c>
      <c r="F808" s="33"/>
      <c r="G808" s="34">
        <f>IFERROR(IF(F808&gt;=0,D808*E808*(1+F808/100),ABS(D808*E808/F808)),"")</f>
        <v>20583.150000000001</v>
      </c>
      <c r="H808" s="139">
        <f>IFERROR(G808*E804,"")</f>
        <v>0</v>
      </c>
    </row>
    <row r="809" spans="1:11" ht="12.75" customHeight="1">
      <c r="A809" s="28"/>
      <c r="B809" s="29"/>
      <c r="C809" s="30" t="str">
        <f>IFERROR(_xlfn.XLOOKUP(B809,Insumo[DESCRIPCION],Insumo[UND],,0),"")</f>
        <v/>
      </c>
      <c r="D809" s="31"/>
      <c r="E809" s="32" t="str">
        <f>IFERROR(_xlfn.XLOOKUP($B809,Insumo[DESCRIPCION],Insumo[VALOR],,0),"")</f>
        <v/>
      </c>
      <c r="F809" s="33"/>
      <c r="G809" s="34" t="str">
        <f>IFERROR(IF(F809&gt;=0,D809*E809*(1+F809/100),ABS(D809*E809/F809)),"")</f>
        <v/>
      </c>
      <c r="H809" s="139" t="str">
        <f>IFERROR(G809*E804,"")</f>
        <v/>
      </c>
    </row>
    <row r="810" spans="1:11" ht="12.75" customHeight="1">
      <c r="A810" s="28"/>
      <c r="B810" s="29"/>
      <c r="C810" s="30" t="str">
        <f>IFERROR(_xlfn.XLOOKUP(B810,Insumo[DESCRIPCION],Insumo[UND],,0),"")</f>
        <v/>
      </c>
      <c r="D810" s="31"/>
      <c r="E810" s="32" t="str">
        <f>IFERROR(_xlfn.XLOOKUP($B810,Insumo[DESCRIPCION],Insumo[VALOR],,0),"")</f>
        <v/>
      </c>
      <c r="F810" s="33"/>
      <c r="G810" s="34" t="str">
        <f>IFERROR(IF(F810&gt;=0,D810*E810*(1+F810/100),ABS(D810*E810/F810)),"")</f>
        <v/>
      </c>
      <c r="H810" s="139" t="str">
        <f>IFERROR(G810*E804,"")</f>
        <v/>
      </c>
    </row>
    <row r="811" spans="1:11" ht="12.75" customHeight="1">
      <c r="A811" s="28"/>
      <c r="B811" s="29"/>
      <c r="C811" s="30" t="str">
        <f>IFERROR(_xlfn.XLOOKUP(B811,Insumo[DESCRIPCION],Insumo[UND],,0),"")</f>
        <v/>
      </c>
      <c r="D811" s="31"/>
      <c r="E811" s="32" t="str">
        <f>IFERROR(_xlfn.XLOOKUP($B811,Insumo[DESCRIPCION],Insumo[VALOR],,0),"")</f>
        <v/>
      </c>
      <c r="F811" s="33"/>
      <c r="G811" s="34" t="str">
        <f>IFERROR(IF(F811&gt;=0,D811*E811*(1+F811/100),ABS(D811*E811/F811)),"")</f>
        <v/>
      </c>
      <c r="H811" s="139" t="str">
        <f>IFERROR(G811*E804,"")</f>
        <v/>
      </c>
    </row>
    <row r="812" spans="1:11" ht="12.75" customHeight="1">
      <c r="A812" s="21"/>
      <c r="B812" s="22" t="s">
        <v>3731</v>
      </c>
      <c r="C812" s="23"/>
      <c r="D812" s="24"/>
      <c r="E812" s="25"/>
      <c r="F812" s="26"/>
      <c r="G812" s="27">
        <f>SUM(G813:G815)</f>
        <v>1047.9691696500001</v>
      </c>
      <c r="H812" s="27">
        <f>IFERROR(G812*E804,"")</f>
        <v>0</v>
      </c>
    </row>
    <row r="813" spans="1:11" ht="12.75" customHeight="1">
      <c r="A813" s="28"/>
      <c r="B813" s="29" t="s">
        <v>3626</v>
      </c>
      <c r="C813" s="30" t="str">
        <f>IFERROR(_xlfn.XLOOKUP(B813,Equipo[DESCRIPCION],Equipo[UND],,0),"")</f>
        <v>%MO</v>
      </c>
      <c r="D813" s="31">
        <v>0.05</v>
      </c>
      <c r="E813" s="32">
        <f>IF(C813="%MO",G819,IFERROR(_xlfn.XLOOKUP($B813,Equipo[DESCRIPCION],Equipo[VALOR],,0),""))</f>
        <v>20959.383393000004</v>
      </c>
      <c r="F813" s="33"/>
      <c r="G813" s="34">
        <f>IFERROR(IF(F813&gt;=0,D813*E813*(1+F813/100),ABS(D813*E813/F813)),"")</f>
        <v>1047.9691696500001</v>
      </c>
      <c r="H813" s="139">
        <f>IFERROR(G813*E804,"")</f>
        <v>0</v>
      </c>
    </row>
    <row r="814" spans="1:11" ht="12.75" customHeight="1">
      <c r="A814" s="28"/>
      <c r="B814" s="29"/>
      <c r="C814" s="30" t="str">
        <f>IFERROR(_xlfn.XLOOKUP(B814,Equipo[DESCRIPCION],Equipo[UND],,0),"")</f>
        <v/>
      </c>
      <c r="D814" s="31"/>
      <c r="E814" s="32" t="str">
        <f>IF(C814="%MO",G819,IFERROR(_xlfn.XLOOKUP($B814,Equipo[DESCRIPCION],Equipo[VALOR],,0),""))</f>
        <v/>
      </c>
      <c r="F814" s="33"/>
      <c r="G814" s="34" t="str">
        <f>IFERROR(IF(F814&gt;=0,D814*E814*(1+F814/100),ABS(D814*E814/F814)),"")</f>
        <v/>
      </c>
      <c r="H814" s="139" t="str">
        <f>IFERROR(G814*E804,"")</f>
        <v/>
      </c>
    </row>
    <row r="815" spans="1:11" ht="12.75" customHeight="1">
      <c r="A815" s="28"/>
      <c r="B815" s="29"/>
      <c r="C815" s="30" t="str">
        <f>IFERROR(_xlfn.XLOOKUP(B815,Equipo[DESCRIPCION],Equipo[UND],,0),"")</f>
        <v/>
      </c>
      <c r="D815" s="31"/>
      <c r="E815" s="32" t="str">
        <f>IF(C815="%MO",G819,IFERROR(_xlfn.XLOOKUP($B815,Equipo[DESCRIPCION],Equipo[VALOR],,0),""))</f>
        <v/>
      </c>
      <c r="F815" s="33"/>
      <c r="G815" s="34" t="str">
        <f>IFERROR(IF(F815&gt;=0,D815*E815*(1+F815/100),ABS(D815*E815/F815)),"")</f>
        <v/>
      </c>
      <c r="H815" s="139" t="str">
        <f>IFERROR(G815*E804,"")</f>
        <v/>
      </c>
    </row>
    <row r="816" spans="1:11" ht="12.75" customHeight="1">
      <c r="A816" s="21"/>
      <c r="B816" s="22" t="s">
        <v>2533</v>
      </c>
      <c r="C816" s="23"/>
      <c r="D816" s="24"/>
      <c r="E816" s="25"/>
      <c r="F816" s="26"/>
      <c r="G816" s="27">
        <f>SUM(G817:G818)</f>
        <v>0</v>
      </c>
      <c r="H816" s="27">
        <f>IFERROR(G816*E804,"")</f>
        <v>0</v>
      </c>
    </row>
    <row r="817" spans="1:11" ht="12.75" customHeight="1">
      <c r="A817" s="28"/>
      <c r="B817" s="29"/>
      <c r="C817" s="30" t="str">
        <f>IFERROR(_xlfn.XLOOKUP(B817,Transporte[DESCRIPCION],Transporte[UND],,0),"")</f>
        <v/>
      </c>
      <c r="D817" s="31"/>
      <c r="E817" s="32" t="str">
        <f>IFERROR(_xlfn.XLOOKUP($B817,Transporte[DESCRIPCION],Transporte[VALOR],,0),"")</f>
        <v/>
      </c>
      <c r="F817" s="33"/>
      <c r="G817" s="34" t="str">
        <f>IFERROR(IF(F817&gt;=0,D817*E817*(1+F817/100),ABS(D817*E817/F817)),"")</f>
        <v/>
      </c>
      <c r="H817" s="139" t="str">
        <f>IFERROR(G817*E804,"")</f>
        <v/>
      </c>
    </row>
    <row r="818" spans="1:11" ht="12.75" customHeight="1">
      <c r="A818" s="28"/>
      <c r="B818" s="29"/>
      <c r="C818" s="30" t="str">
        <f>IFERROR(_xlfn.XLOOKUP(B818,Transporte[DESCRIPCION],Transporte[UND],,0),"")</f>
        <v/>
      </c>
      <c r="D818" s="31"/>
      <c r="E818" s="32" t="str">
        <f>IFERROR(_xlfn.XLOOKUP($B818,Transporte[DESCRIPCION],Transporte[VALOR],,0),"")</f>
        <v/>
      </c>
      <c r="F818" s="33"/>
      <c r="G818" s="34" t="str">
        <f>IFERROR(IF(F818&gt;=0,D818*E818*(1+F818/100),ABS(D818*E818/F818)),"")</f>
        <v/>
      </c>
      <c r="H818" s="139" t="str">
        <f>IFERROR(G818*E804,"")</f>
        <v/>
      </c>
    </row>
    <row r="819" spans="1:11" ht="12.75" customHeight="1">
      <c r="A819" s="21"/>
      <c r="B819" s="22" t="s">
        <v>3732</v>
      </c>
      <c r="C819" s="23"/>
      <c r="D819" s="24"/>
      <c r="E819" s="25"/>
      <c r="F819" s="26"/>
      <c r="G819" s="27">
        <f>SUM(G820:G822)</f>
        <v>20959.383393000004</v>
      </c>
      <c r="H819" s="27">
        <f>IFERROR(G819*E804,"")</f>
        <v>0</v>
      </c>
    </row>
    <row r="820" spans="1:11" ht="12.75" customHeight="1">
      <c r="A820" s="28"/>
      <c r="B820" s="29" t="s">
        <v>3710</v>
      </c>
      <c r="C820" s="30" t="str">
        <f>IFERROR(_xlfn.XLOOKUP(B820,MObra[DESCRIPCION],MObra[UN],,0),"")</f>
        <v>día</v>
      </c>
      <c r="D820" s="31">
        <v>1</v>
      </c>
      <c r="E820" s="32">
        <f>IFERROR(_xlfn.XLOOKUP($B820,MObra[DESCRIPCION],MObra[VALOR UNIT],,0),"")</f>
        <v>314390.75089500006</v>
      </c>
      <c r="F820" s="33">
        <v>-15</v>
      </c>
      <c r="G820" s="34">
        <f>IFERROR(IF(F820&gt;=0,D820*E820*(1+F820/100),ABS(D820*E820/F820)),"")</f>
        <v>20959.383393000004</v>
      </c>
      <c r="H820" s="139">
        <f>IFERROR(G820*E804,"")</f>
        <v>0</v>
      </c>
    </row>
    <row r="821" spans="1:11" ht="12.75" customHeight="1">
      <c r="A821" s="28"/>
      <c r="B821" s="29"/>
      <c r="C821" s="30" t="str">
        <f>IFERROR(_xlfn.XLOOKUP(B821,MObra[DESCRIPCION],MObra[UN],,0),"")</f>
        <v/>
      </c>
      <c r="D821" s="31"/>
      <c r="E821" s="32" t="str">
        <f>IFERROR(_xlfn.XLOOKUP($B821,MObra[DESCRIPCION],MObra[VALOR UNIT],,0),"")</f>
        <v/>
      </c>
      <c r="F821" s="33"/>
      <c r="G821" s="34" t="str">
        <f>IFERROR(IF(F821&gt;=0,D821*E821*(1+F821/100),ABS(D821*E821/F821)),"")</f>
        <v/>
      </c>
      <c r="H821" s="139" t="str">
        <f>IFERROR(G821*E804,"")</f>
        <v/>
      </c>
    </row>
    <row r="822" spans="1:11" ht="12.75" customHeight="1" thickBot="1">
      <c r="A822" s="35"/>
      <c r="B822" s="36"/>
      <c r="C822" s="37" t="str">
        <f>IFERROR(_xlfn.XLOOKUP(B822,MObra[DESCRIPCION],MObra[UN],,0),"")</f>
        <v/>
      </c>
      <c r="D822" s="38"/>
      <c r="E822" s="39" t="str">
        <f>IFERROR(_xlfn.XLOOKUP($B822,MObra[DESCRIPCION],MObra[VALOR UNIT],,0),"")</f>
        <v/>
      </c>
      <c r="F822" s="40"/>
      <c r="G822" s="41" t="str">
        <f>IFERROR(IF(F822&gt;=0,D822*E822*(1+F822/100),ABS(D822*E822/F822)),"")</f>
        <v/>
      </c>
      <c r="H822" s="42" t="str">
        <f>IFERROR(G822*E804,"")</f>
        <v/>
      </c>
    </row>
    <row r="823" spans="1:11" ht="12.75" customHeight="1" thickTop="1" thickBot="1"/>
    <row r="824" spans="1:11" ht="12.75" customHeight="1" thickTop="1" thickBot="1">
      <c r="A824" s="6" t="s">
        <v>1452</v>
      </c>
      <c r="B824" s="7" t="str">
        <f>VLOOKUP($A824,Presupuesto!$A:$D,2,FALSE())</f>
        <v>Lavadero grano lavado + enchape</v>
      </c>
      <c r="C824" s="8" t="str">
        <f>VLOOKUP($A824,Presupuesto!$A:$D,3,FALSE())</f>
        <v>Un</v>
      </c>
      <c r="D824" s="9"/>
      <c r="E824" s="10">
        <f>VLOOKUP($A824,Presupuesto!$A:$D,4,FALSE())</f>
        <v>0</v>
      </c>
      <c r="F824" s="11" t="s">
        <v>2589</v>
      </c>
      <c r="G824" s="12">
        <f>SUM(G826:G845)/2</f>
        <v>715660.30310120457</v>
      </c>
      <c r="H824" s="13">
        <f>ROUND(SUM(H826:H845),0)/2</f>
        <v>0</v>
      </c>
      <c r="I824" s="10">
        <f>VLOOKUP(A824,Presupuesto!$A:$F,6,0)</f>
        <v>0</v>
      </c>
      <c r="J824" s="10">
        <f>+H824-I824</f>
        <v>0</v>
      </c>
      <c r="K824" s="46">
        <f>+H824-G824*E824</f>
        <v>0</v>
      </c>
    </row>
    <row r="825" spans="1:11" ht="12.75" customHeight="1" thickTop="1">
      <c r="A825" s="14"/>
      <c r="B825" s="15" t="s">
        <v>2586</v>
      </c>
      <c r="C825" s="15" t="s">
        <v>5</v>
      </c>
      <c r="D825" s="16" t="s">
        <v>6</v>
      </c>
      <c r="E825" s="17" t="s">
        <v>7</v>
      </c>
      <c r="F825" s="18" t="s">
        <v>3728</v>
      </c>
      <c r="G825" s="19" t="s">
        <v>3729</v>
      </c>
      <c r="H825" s="20" t="s">
        <v>3797</v>
      </c>
    </row>
    <row r="826" spans="1:11" ht="12.75" customHeight="1">
      <c r="A826" s="21"/>
      <c r="B826" s="22" t="s">
        <v>3730</v>
      </c>
      <c r="C826" s="23"/>
      <c r="D826" s="24"/>
      <c r="E826" s="25"/>
      <c r="F826" s="26"/>
      <c r="G826" s="27">
        <f>SUM(G827:G834)</f>
        <v>417660.8960680794</v>
      </c>
      <c r="H826" s="27">
        <f>IFERROR(G826*E824,"")</f>
        <v>0</v>
      </c>
    </row>
    <row r="827" spans="1:11" ht="12.75" customHeight="1">
      <c r="A827" s="28"/>
      <c r="B827" s="29" t="s">
        <v>2954</v>
      </c>
      <c r="C827" s="30" t="str">
        <f>IFERROR(_xlfn.XLOOKUP(B827,Insumo[DESCRIPCION],Insumo[UND],,0),"")</f>
        <v>M2</v>
      </c>
      <c r="D827" s="31">
        <v>0.25</v>
      </c>
      <c r="E827" s="32">
        <f>IFERROR(_xlfn.XLOOKUP($B827,Insumo[DESCRIPCION],Insumo[VALOR],,0),"")</f>
        <v>102154.92581625449</v>
      </c>
      <c r="F827" s="33"/>
      <c r="G827" s="34">
        <f t="shared" ref="G827:G834" si="0">IFERROR(IF(F827&gt;=0,D827*E827*(1+F827/100),ABS(D827*E827/F827)),"")</f>
        <v>25538.731454063622</v>
      </c>
      <c r="H827" s="139">
        <f>IFERROR(G827*E824,"")</f>
        <v>0</v>
      </c>
    </row>
    <row r="828" spans="1:11" ht="12.75" customHeight="1">
      <c r="A828" s="28"/>
      <c r="B828" s="29" t="s">
        <v>2979</v>
      </c>
      <c r="C828" s="30" t="str">
        <f>IFERROR(_xlfn.XLOOKUP(B828,Insumo[DESCRIPCION],Insumo[UND],,0),"")</f>
        <v>Un</v>
      </c>
      <c r="D828" s="31">
        <v>0.5</v>
      </c>
      <c r="E828" s="32">
        <f>IFERROR(_xlfn.XLOOKUP($B828,Insumo[DESCRIPCION],Insumo[VALOR],,0),"")</f>
        <v>39667.950000000004</v>
      </c>
      <c r="F828" s="33"/>
      <c r="G828" s="34">
        <f t="shared" si="0"/>
        <v>19833.975000000002</v>
      </c>
      <c r="H828" s="139">
        <f>IFERROR(G828*E824,"")</f>
        <v>0</v>
      </c>
    </row>
    <row r="829" spans="1:11" ht="12.75" customHeight="1">
      <c r="A829" s="28"/>
      <c r="B829" s="29" t="s">
        <v>2824</v>
      </c>
      <c r="C829" s="30" t="str">
        <f>IFERROR(_xlfn.XLOOKUP(B829,Insumo[DESCRIPCION],Insumo[UND],,0),"")</f>
        <v>Un</v>
      </c>
      <c r="D829" s="31">
        <v>0.1</v>
      </c>
      <c r="E829" s="32">
        <f>IFERROR(_xlfn.XLOOKUP($B829,Insumo[DESCRIPCION],Insumo[VALOR],,0),"")</f>
        <v>34230</v>
      </c>
      <c r="F829" s="33"/>
      <c r="G829" s="34">
        <f t="shared" si="0"/>
        <v>3423</v>
      </c>
      <c r="H829" s="139">
        <f>IFERROR(G829*E824,"")</f>
        <v>0</v>
      </c>
    </row>
    <row r="830" spans="1:11" ht="12.75" customHeight="1">
      <c r="A830" s="28"/>
      <c r="B830" s="29" t="s">
        <v>3238</v>
      </c>
      <c r="C830" s="30" t="str">
        <f>IFERROR(_xlfn.XLOOKUP(B830,Insumo[DESCRIPCION],Insumo[UND],,0),"")</f>
        <v>M3</v>
      </c>
      <c r="D830" s="31">
        <v>0.2</v>
      </c>
      <c r="E830" s="32">
        <f>IFERROR(_xlfn.XLOOKUP($B830,Insumo[DESCRIPCION],Insumo[VALOR],,0),"")</f>
        <v>488900.227320117</v>
      </c>
      <c r="F830" s="33"/>
      <c r="G830" s="34">
        <f t="shared" si="0"/>
        <v>97780.045464023409</v>
      </c>
      <c r="H830" s="139">
        <f>IFERROR(G830*E824,"")</f>
        <v>0</v>
      </c>
    </row>
    <row r="831" spans="1:11" ht="12.75" customHeight="1">
      <c r="A831" s="28"/>
      <c r="B831" s="29" t="s">
        <v>2653</v>
      </c>
      <c r="C831" s="30" t="str">
        <f>IFERROR(_xlfn.XLOOKUP(B831,Insumo[DESCRIPCION],Insumo[UND],,0),"")</f>
        <v>Kg</v>
      </c>
      <c r="D831" s="31">
        <v>16</v>
      </c>
      <c r="E831" s="32">
        <f>IFERROR(_xlfn.XLOOKUP($B831,Insumo[DESCRIPCION],Insumo[VALOR],,0),"")</f>
        <v>5686.8</v>
      </c>
      <c r="F831" s="33"/>
      <c r="G831" s="34">
        <f t="shared" si="0"/>
        <v>90988.800000000003</v>
      </c>
      <c r="H831" s="139">
        <f>IFERROR(G831*E824,"")</f>
        <v>0</v>
      </c>
    </row>
    <row r="832" spans="1:11" ht="12.75" customHeight="1">
      <c r="A832" s="28"/>
      <c r="B832" s="29" t="s">
        <v>3244</v>
      </c>
      <c r="C832" s="30" t="str">
        <f>IFERROR(_xlfn.XLOOKUP(B832,Insumo[DESCRIPCION],Insumo[UND],,0),"")</f>
        <v>M3</v>
      </c>
      <c r="D832" s="31">
        <v>0.09</v>
      </c>
      <c r="E832" s="32">
        <f>IFERROR(_xlfn.XLOOKUP($B832,Insumo[DESCRIPCION],Insumo[VALOR],,0),"")</f>
        <v>497765.65722213761</v>
      </c>
      <c r="F832" s="33"/>
      <c r="G832" s="34">
        <f t="shared" si="0"/>
        <v>44798.909149992382</v>
      </c>
      <c r="H832" s="139">
        <f>IFERROR(G832*E824,"")</f>
        <v>0</v>
      </c>
    </row>
    <row r="833" spans="1:11" ht="12.75" customHeight="1">
      <c r="A833" s="28"/>
      <c r="B833" s="29" t="s">
        <v>2939</v>
      </c>
      <c r="C833" s="30" t="str">
        <f>IFERROR(_xlfn.XLOOKUP(B833,Insumo[DESCRIPCION],Insumo[UND],,0),"")</f>
        <v>M2</v>
      </c>
      <c r="D833" s="31">
        <v>2.6</v>
      </c>
      <c r="E833" s="32">
        <f>IFERROR(_xlfn.XLOOKUP($B833,Insumo[DESCRIPCION],Insumo[VALOR],,0),"")</f>
        <v>45351.6</v>
      </c>
      <c r="F833" s="33"/>
      <c r="G833" s="34">
        <f t="shared" si="0"/>
        <v>117914.16</v>
      </c>
      <c r="H833" s="139">
        <f>IFERROR(G833*E824,"")</f>
        <v>0</v>
      </c>
    </row>
    <row r="834" spans="1:11" ht="12.75" customHeight="1">
      <c r="A834" s="28"/>
      <c r="B834" s="29" t="s">
        <v>2922</v>
      </c>
      <c r="C834" s="30" t="str">
        <f>IFERROR(_xlfn.XLOOKUP(B834,Insumo[DESCRIPCION],Insumo[UND],,0),"")</f>
        <v>M</v>
      </c>
      <c r="D834" s="31">
        <v>4.5</v>
      </c>
      <c r="E834" s="32">
        <f>IFERROR(_xlfn.XLOOKUP($B834,Insumo[DESCRIPCION],Insumo[VALOR],,0),"")</f>
        <v>3862.9500000000003</v>
      </c>
      <c r="F834" s="33"/>
      <c r="G834" s="34">
        <f t="shared" si="0"/>
        <v>17383.275000000001</v>
      </c>
      <c r="H834" s="139">
        <f>IFERROR(G834*E824,"")</f>
        <v>0</v>
      </c>
    </row>
    <row r="835" spans="1:11" ht="12.75" customHeight="1">
      <c r="A835" s="21"/>
      <c r="B835" s="22" t="s">
        <v>3731</v>
      </c>
      <c r="C835" s="23"/>
      <c r="D835" s="24"/>
      <c r="E835" s="25"/>
      <c r="F835" s="26"/>
      <c r="G835" s="27">
        <f>SUM(G836:G838)</f>
        <v>36007.114620625005</v>
      </c>
      <c r="H835" s="27">
        <f>IFERROR(G835*E824,"")</f>
        <v>0</v>
      </c>
    </row>
    <row r="836" spans="1:11" ht="12.75" customHeight="1">
      <c r="A836" s="28"/>
      <c r="B836" s="29" t="s">
        <v>3642</v>
      </c>
      <c r="C836" s="30" t="str">
        <f>IFERROR(_xlfn.XLOOKUP(B836,Equipo[DESCRIPCION],Equipo[UND],,0),"")</f>
        <v>Día</v>
      </c>
      <c r="D836" s="31">
        <v>1</v>
      </c>
      <c r="E836" s="32">
        <f>IF(C836="%MO",G842,IFERROR(_xlfn.XLOOKUP($B836,Equipo[DESCRIPCION],Equipo[VALOR],,0),""))</f>
        <v>54978</v>
      </c>
      <c r="F836" s="33">
        <v>-2.4</v>
      </c>
      <c r="G836" s="34">
        <f>IFERROR(IF(F836&gt;=0,D836*E836*(1+F836/100),ABS(D836*E836/F836)),"")</f>
        <v>22907.5</v>
      </c>
      <c r="H836" s="139">
        <f>IFERROR(G836*E824,"")</f>
        <v>0</v>
      </c>
    </row>
    <row r="837" spans="1:11" ht="12.75" customHeight="1">
      <c r="A837" s="28"/>
      <c r="B837" s="29" t="s">
        <v>3626</v>
      </c>
      <c r="C837" s="30" t="str">
        <f>IFERROR(_xlfn.XLOOKUP(B837,Equipo[DESCRIPCION],Equipo[UND],,0),"")</f>
        <v>%MO</v>
      </c>
      <c r="D837" s="31">
        <v>0.05</v>
      </c>
      <c r="E837" s="32">
        <f>IF(C837="%MO",G842,IFERROR(_xlfn.XLOOKUP($B837,Equipo[DESCRIPCION],Equipo[VALOR],,0),""))</f>
        <v>261992.29241250007</v>
      </c>
      <c r="F837" s="33"/>
      <c r="G837" s="34">
        <f>IFERROR(IF(F837&gt;=0,D837*E837*(1+F837/100),ABS(D837*E837/F837)),"")</f>
        <v>13099.614620625005</v>
      </c>
      <c r="H837" s="139">
        <f>IFERROR(G837*E824,"")</f>
        <v>0</v>
      </c>
    </row>
    <row r="838" spans="1:11" ht="12.75" customHeight="1">
      <c r="A838" s="28"/>
      <c r="B838" s="29"/>
      <c r="C838" s="30" t="str">
        <f>IFERROR(_xlfn.XLOOKUP(B838,Equipo[DESCRIPCION],Equipo[UND],,0),"")</f>
        <v/>
      </c>
      <c r="D838" s="31"/>
      <c r="E838" s="32" t="str">
        <f>IF(C838="%MO",G842,IFERROR(_xlfn.XLOOKUP($B838,Equipo[DESCRIPCION],Equipo[VALOR],,0),""))</f>
        <v/>
      </c>
      <c r="F838" s="33"/>
      <c r="G838" s="34" t="str">
        <f>IFERROR(IF(F838&gt;=0,D838*E838*(1+F838/100),ABS(D838*E838/F838)),"")</f>
        <v/>
      </c>
      <c r="H838" s="139" t="str">
        <f>IFERROR(G838*E824,"")</f>
        <v/>
      </c>
    </row>
    <row r="839" spans="1:11" ht="12.75" customHeight="1">
      <c r="A839" s="21"/>
      <c r="B839" s="22" t="s">
        <v>2533</v>
      </c>
      <c r="C839" s="23"/>
      <c r="D839" s="24"/>
      <c r="E839" s="25"/>
      <c r="F839" s="26"/>
      <c r="G839" s="27">
        <f>SUM(G840:G841)</f>
        <v>0</v>
      </c>
      <c r="H839" s="27">
        <f>IFERROR(G839*E824,"")</f>
        <v>0</v>
      </c>
    </row>
    <row r="840" spans="1:11" ht="12.75" customHeight="1">
      <c r="A840" s="28"/>
      <c r="B840" s="29"/>
      <c r="C840" s="30" t="str">
        <f>IFERROR(_xlfn.XLOOKUP(B840,Transporte[DESCRIPCION],Transporte[UND],,0),"")</f>
        <v/>
      </c>
      <c r="D840" s="31"/>
      <c r="E840" s="32" t="str">
        <f>IFERROR(_xlfn.XLOOKUP($B840,Transporte[DESCRIPCION],Transporte[VALOR],,0),"")</f>
        <v/>
      </c>
      <c r="F840" s="33"/>
      <c r="G840" s="34" t="str">
        <f>IFERROR(IF(F840&gt;=0,D840*E840*(1+F840/100),ABS(D840*E840/F840)),"")</f>
        <v/>
      </c>
      <c r="H840" s="139" t="str">
        <f>IFERROR(G840*E824,"")</f>
        <v/>
      </c>
    </row>
    <row r="841" spans="1:11" ht="12.75" customHeight="1">
      <c r="A841" s="28"/>
      <c r="B841" s="29"/>
      <c r="C841" s="30" t="str">
        <f>IFERROR(_xlfn.XLOOKUP(B841,Transporte[DESCRIPCION],Transporte[UND],,0),"")</f>
        <v/>
      </c>
      <c r="D841" s="31"/>
      <c r="E841" s="32" t="str">
        <f>IFERROR(_xlfn.XLOOKUP($B841,Transporte[DESCRIPCION],Transporte[VALOR],,0),"")</f>
        <v/>
      </c>
      <c r="F841" s="33"/>
      <c r="G841" s="34" t="str">
        <f>IFERROR(IF(F841&gt;=0,D841*E841*(1+F841/100),ABS(D841*E841/F841)),"")</f>
        <v/>
      </c>
      <c r="H841" s="139" t="str">
        <f>IFERROR(G841*E824,"")</f>
        <v/>
      </c>
    </row>
    <row r="842" spans="1:11" ht="12.75" customHeight="1">
      <c r="A842" s="21"/>
      <c r="B842" s="22" t="s">
        <v>3732</v>
      </c>
      <c r="C842" s="23"/>
      <c r="D842" s="24"/>
      <c r="E842" s="25"/>
      <c r="F842" s="26"/>
      <c r="G842" s="27">
        <f>SUM(G843:G845)</f>
        <v>261992.29241250007</v>
      </c>
      <c r="H842" s="27">
        <f>IFERROR(G842*E824,"")</f>
        <v>0</v>
      </c>
    </row>
    <row r="843" spans="1:11" ht="12.75" customHeight="1">
      <c r="A843" s="28"/>
      <c r="B843" s="29" t="s">
        <v>3710</v>
      </c>
      <c r="C843" s="30" t="str">
        <f>IFERROR(_xlfn.XLOOKUP(B843,MObra[DESCRIPCION],MObra[UN],,0),"")</f>
        <v>día</v>
      </c>
      <c r="D843" s="31">
        <v>1</v>
      </c>
      <c r="E843" s="32">
        <f>IFERROR(_xlfn.XLOOKUP($B843,MObra[DESCRIPCION],MObra[VALOR UNIT],,0),"")</f>
        <v>314390.75089500006</v>
      </c>
      <c r="F843" s="33">
        <v>-1.2</v>
      </c>
      <c r="G843" s="34">
        <f>IFERROR(IF(F843&gt;=0,D843*E843*(1+F843/100),ABS(D843*E843/F843)),"")</f>
        <v>261992.29241250007</v>
      </c>
      <c r="H843" s="139">
        <f>IFERROR(G843*E824,"")</f>
        <v>0</v>
      </c>
    </row>
    <row r="844" spans="1:11" ht="12.75" customHeight="1">
      <c r="A844" s="28"/>
      <c r="B844" s="29"/>
      <c r="C844" s="30" t="str">
        <f>IFERROR(_xlfn.XLOOKUP(B844,MObra[DESCRIPCION],MObra[UN],,0),"")</f>
        <v/>
      </c>
      <c r="D844" s="31"/>
      <c r="E844" s="32" t="str">
        <f>IFERROR(_xlfn.XLOOKUP($B844,MObra[DESCRIPCION],MObra[VALOR UNIT],,0),"")</f>
        <v/>
      </c>
      <c r="F844" s="33"/>
      <c r="G844" s="34" t="str">
        <f>IFERROR(IF(F844&gt;=0,D844*E844*(1+F844/100),ABS(D844*E844/F844)),"")</f>
        <v/>
      </c>
      <c r="H844" s="139" t="str">
        <f>IFERROR(G844*E824,"")</f>
        <v/>
      </c>
    </row>
    <row r="845" spans="1:11" ht="12.75" customHeight="1" thickBot="1">
      <c r="A845" s="35"/>
      <c r="B845" s="36"/>
      <c r="C845" s="37" t="str">
        <f>IFERROR(_xlfn.XLOOKUP(B845,MObra[DESCRIPCION],MObra[UN],,0),"")</f>
        <v/>
      </c>
      <c r="D845" s="38"/>
      <c r="E845" s="39" t="str">
        <f>IFERROR(_xlfn.XLOOKUP($B845,MObra[DESCRIPCION],MObra[VALOR UNIT],,0),"")</f>
        <v/>
      </c>
      <c r="F845" s="40"/>
      <c r="G845" s="41" t="str">
        <f>IFERROR(IF(F845&gt;=0,D845*E845*(1+F845/100),ABS(D845*E845/F845)),"")</f>
        <v/>
      </c>
      <c r="H845" s="42" t="str">
        <f>IFERROR(G845*E824,"")</f>
        <v/>
      </c>
    </row>
    <row r="846" spans="1:11" ht="12.75" customHeight="1" thickTop="1" thickBot="1"/>
    <row r="847" spans="1:11" ht="12.75" customHeight="1" thickTop="1" thickBot="1">
      <c r="A847" s="6" t="s">
        <v>1454</v>
      </c>
      <c r="B847" s="7" t="str">
        <f>VLOOKUP($A847,Presupuesto!$A:$D,2,FALSE())</f>
        <v>Lavamanos Acuacer o similar (colgar)</v>
      </c>
      <c r="C847" s="8" t="str">
        <f>VLOOKUP($A847,Presupuesto!$A:$D,3,FALSE())</f>
        <v>Un</v>
      </c>
      <c r="D847" s="9"/>
      <c r="E847" s="10">
        <f>VLOOKUP($A847,Presupuesto!$A:$D,4,FALSE())</f>
        <v>0</v>
      </c>
      <c r="F847" s="11" t="s">
        <v>2589</v>
      </c>
      <c r="G847" s="12">
        <f>SUM(G849:G865)/2</f>
        <v>176361.55256265</v>
      </c>
      <c r="H847" s="13">
        <f>ROUND(SUM(H849:H865),0)/2</f>
        <v>0</v>
      </c>
      <c r="I847" s="10">
        <f>VLOOKUP(A847,Presupuesto!$A:$F,6,0)</f>
        <v>0</v>
      </c>
      <c r="J847" s="10">
        <f>+H847-I847</f>
        <v>0</v>
      </c>
      <c r="K847" s="46">
        <f>+H847-G847*E847</f>
        <v>0</v>
      </c>
    </row>
    <row r="848" spans="1:11" ht="12.75" customHeight="1" thickTop="1">
      <c r="A848" s="14"/>
      <c r="B848" s="15" t="s">
        <v>2586</v>
      </c>
      <c r="C848" s="15" t="s">
        <v>5</v>
      </c>
      <c r="D848" s="16" t="s">
        <v>6</v>
      </c>
      <c r="E848" s="17" t="s">
        <v>7</v>
      </c>
      <c r="F848" s="18" t="s">
        <v>3728</v>
      </c>
      <c r="G848" s="19" t="s">
        <v>3729</v>
      </c>
      <c r="H848" s="20" t="s">
        <v>3797</v>
      </c>
    </row>
    <row r="849" spans="1:8" ht="12.75" customHeight="1">
      <c r="A849" s="21"/>
      <c r="B849" s="22" t="s">
        <v>3730</v>
      </c>
      <c r="C849" s="23"/>
      <c r="D849" s="24"/>
      <c r="E849" s="25"/>
      <c r="F849" s="26"/>
      <c r="G849" s="27">
        <f>SUM(G850:G854)</f>
        <v>154354.20000000001</v>
      </c>
      <c r="H849" s="27">
        <f>IFERROR(G849*E847,"")</f>
        <v>0</v>
      </c>
    </row>
    <row r="850" spans="1:8" ht="12.75" customHeight="1">
      <c r="A850" s="28"/>
      <c r="B850" s="29" t="s">
        <v>3038</v>
      </c>
      <c r="C850" s="30" t="str">
        <f>IFERROR(_xlfn.XLOOKUP(B850,Insumo[DESCRIPCION],Insumo[UND],,0),"")</f>
        <v>Un</v>
      </c>
      <c r="D850" s="31">
        <v>1</v>
      </c>
      <c r="E850" s="32">
        <f>IFERROR(_xlfn.XLOOKUP($B850,Insumo[DESCRIPCION],Insumo[VALOR],,0),"")</f>
        <v>86270.1</v>
      </c>
      <c r="F850" s="33"/>
      <c r="G850" s="34">
        <f>IFERROR(IF(F850&gt;=0,D850*E850*(1+F850/100),ABS(D850*E850/F850)),"")</f>
        <v>86270.1</v>
      </c>
      <c r="H850" s="139">
        <f>IFERROR(G850*E847,"")</f>
        <v>0</v>
      </c>
    </row>
    <row r="851" spans="1:8" ht="12.75" customHeight="1">
      <c r="A851" s="28"/>
      <c r="B851" s="29" t="s">
        <v>2985</v>
      </c>
      <c r="C851" s="30" t="str">
        <f>IFERROR(_xlfn.XLOOKUP(B851,Insumo[DESCRIPCION],Insumo[UND],,0),"")</f>
        <v>Un</v>
      </c>
      <c r="D851" s="31">
        <v>1</v>
      </c>
      <c r="E851" s="32">
        <f>IFERROR(_xlfn.XLOOKUP($B851,Insumo[DESCRIPCION],Insumo[VALOR],,0),"")</f>
        <v>68084.100000000006</v>
      </c>
      <c r="F851" s="33"/>
      <c r="G851" s="34">
        <f>IFERROR(IF(F851&gt;=0,D851*E851*(1+F851/100),ABS(D851*E851/F851)),"")</f>
        <v>68084.100000000006</v>
      </c>
      <c r="H851" s="139">
        <f>IFERROR(G851*E847,"")</f>
        <v>0</v>
      </c>
    </row>
    <row r="852" spans="1:8" ht="12.75" customHeight="1">
      <c r="A852" s="28"/>
      <c r="B852" s="29"/>
      <c r="C852" s="30" t="str">
        <f>IFERROR(_xlfn.XLOOKUP(B852,Insumo[DESCRIPCION],Insumo[UND],,0),"")</f>
        <v/>
      </c>
      <c r="D852" s="31"/>
      <c r="E852" s="32" t="str">
        <f>IFERROR(_xlfn.XLOOKUP($B852,Insumo[DESCRIPCION],Insumo[VALOR],,0),"")</f>
        <v/>
      </c>
      <c r="F852" s="33"/>
      <c r="G852" s="34" t="str">
        <f>IFERROR(IF(F852&gt;=0,D852*E852*(1+F852/100),ABS(D852*E852/F852)),"")</f>
        <v/>
      </c>
      <c r="H852" s="139" t="str">
        <f>IFERROR(G852*E847,"")</f>
        <v/>
      </c>
    </row>
    <row r="853" spans="1:8" ht="12.75" customHeight="1">
      <c r="A853" s="28"/>
      <c r="B853" s="29"/>
      <c r="C853" s="30" t="str">
        <f>IFERROR(_xlfn.XLOOKUP(B853,Insumo[DESCRIPCION],Insumo[UND],,0),"")</f>
        <v/>
      </c>
      <c r="D853" s="31"/>
      <c r="E853" s="32" t="str">
        <f>IFERROR(_xlfn.XLOOKUP($B853,Insumo[DESCRIPCION],Insumo[VALOR],,0),"")</f>
        <v/>
      </c>
      <c r="F853" s="33"/>
      <c r="G853" s="34" t="str">
        <f>IFERROR(IF(F853&gt;=0,D853*E853*(1+F853/100),ABS(D853*E853/F853)),"")</f>
        <v/>
      </c>
      <c r="H853" s="139" t="str">
        <f>IFERROR(G853*E847,"")</f>
        <v/>
      </c>
    </row>
    <row r="854" spans="1:8" ht="12.75" customHeight="1">
      <c r="A854" s="28"/>
      <c r="B854" s="29"/>
      <c r="C854" s="30" t="str">
        <f>IFERROR(_xlfn.XLOOKUP(B854,Insumo[DESCRIPCION],Insumo[UND],,0),"")</f>
        <v/>
      </c>
      <c r="D854" s="31"/>
      <c r="E854" s="32" t="str">
        <f>IFERROR(_xlfn.XLOOKUP($B854,Insumo[DESCRIPCION],Insumo[VALOR],,0),"")</f>
        <v/>
      </c>
      <c r="F854" s="33"/>
      <c r="G854" s="34" t="str">
        <f>IFERROR(IF(F854&gt;=0,D854*E854*(1+F854/100),ABS(D854*E854/F854)),"")</f>
        <v/>
      </c>
      <c r="H854" s="139" t="str">
        <f>IFERROR(G854*E847,"")</f>
        <v/>
      </c>
    </row>
    <row r="855" spans="1:8" ht="12.75" customHeight="1">
      <c r="A855" s="21"/>
      <c r="B855" s="22" t="s">
        <v>3731</v>
      </c>
      <c r="C855" s="23"/>
      <c r="D855" s="24"/>
      <c r="E855" s="25"/>
      <c r="F855" s="26"/>
      <c r="G855" s="27">
        <f>SUM(G856:G858)</f>
        <v>1047.9691696500001</v>
      </c>
      <c r="H855" s="27">
        <f>IFERROR(G855*E847,"")</f>
        <v>0</v>
      </c>
    </row>
    <row r="856" spans="1:8" ht="12.75" customHeight="1">
      <c r="A856" s="28"/>
      <c r="B856" s="29" t="s">
        <v>3626</v>
      </c>
      <c r="C856" s="30" t="str">
        <f>IFERROR(_xlfn.XLOOKUP(B856,Equipo[DESCRIPCION],Equipo[UND],,0),"")</f>
        <v>%MO</v>
      </c>
      <c r="D856" s="31">
        <v>0.05</v>
      </c>
      <c r="E856" s="32">
        <f>IF(C856="%MO",G862,IFERROR(_xlfn.XLOOKUP($B856,Equipo[DESCRIPCION],Equipo[VALOR],,0),""))</f>
        <v>20959.383393000004</v>
      </c>
      <c r="F856" s="33"/>
      <c r="G856" s="34">
        <f>IFERROR(IF(F856&gt;=0,D856*E856*(1+F856/100),ABS(D856*E856/F856)),"")</f>
        <v>1047.9691696500001</v>
      </c>
      <c r="H856" s="139">
        <f>IFERROR(G856*E847,"")</f>
        <v>0</v>
      </c>
    </row>
    <row r="857" spans="1:8" ht="12.75" customHeight="1">
      <c r="A857" s="28"/>
      <c r="B857" s="29"/>
      <c r="C857" s="30" t="str">
        <f>IFERROR(_xlfn.XLOOKUP(B857,Equipo[DESCRIPCION],Equipo[UND],,0),"")</f>
        <v/>
      </c>
      <c r="D857" s="31"/>
      <c r="E857" s="32" t="str">
        <f>IF(C857="%MO",G862,IFERROR(_xlfn.XLOOKUP($B857,Equipo[DESCRIPCION],Equipo[VALOR],,0),""))</f>
        <v/>
      </c>
      <c r="F857" s="33"/>
      <c r="G857" s="34" t="str">
        <f>IFERROR(IF(F857&gt;=0,D857*E857*(1+F857/100),ABS(D857*E857/F857)),"")</f>
        <v/>
      </c>
      <c r="H857" s="139" t="str">
        <f>IFERROR(G857*E847,"")</f>
        <v/>
      </c>
    </row>
    <row r="858" spans="1:8" ht="12.75" customHeight="1">
      <c r="A858" s="28"/>
      <c r="B858" s="29"/>
      <c r="C858" s="30" t="str">
        <f>IFERROR(_xlfn.XLOOKUP(B858,Equipo[DESCRIPCION],Equipo[UND],,0),"")</f>
        <v/>
      </c>
      <c r="D858" s="31"/>
      <c r="E858" s="32" t="str">
        <f>IF(C858="%MO",G862,IFERROR(_xlfn.XLOOKUP($B858,Equipo[DESCRIPCION],Equipo[VALOR],,0),""))</f>
        <v/>
      </c>
      <c r="F858" s="33"/>
      <c r="G858" s="34" t="str">
        <f>IFERROR(IF(F858&gt;=0,D858*E858*(1+F858/100),ABS(D858*E858/F858)),"")</f>
        <v/>
      </c>
      <c r="H858" s="139" t="str">
        <f>IFERROR(G858*E847,"")</f>
        <v/>
      </c>
    </row>
    <row r="859" spans="1:8" ht="12.75" customHeight="1">
      <c r="A859" s="21"/>
      <c r="B859" s="22" t="s">
        <v>2533</v>
      </c>
      <c r="C859" s="23"/>
      <c r="D859" s="24"/>
      <c r="E859" s="25"/>
      <c r="F859" s="26"/>
      <c r="G859" s="27">
        <f>SUM(G860:G861)</f>
        <v>0</v>
      </c>
      <c r="H859" s="27">
        <f>IFERROR(G859*E847,"")</f>
        <v>0</v>
      </c>
    </row>
    <row r="860" spans="1:8" ht="12.75" customHeight="1">
      <c r="A860" s="28"/>
      <c r="B860" s="29"/>
      <c r="C860" s="30" t="str">
        <f>IFERROR(_xlfn.XLOOKUP(B860,Transporte[DESCRIPCION],Transporte[UND],,0),"")</f>
        <v/>
      </c>
      <c r="D860" s="31"/>
      <c r="E860" s="32" t="str">
        <f>IFERROR(_xlfn.XLOOKUP($B860,Transporte[DESCRIPCION],Transporte[VALOR],,0),"")</f>
        <v/>
      </c>
      <c r="F860" s="33"/>
      <c r="G860" s="34" t="str">
        <f>IFERROR(IF(F860&gt;=0,D860*E860*(1+F860/100),ABS(D860*E860/F860)),"")</f>
        <v/>
      </c>
      <c r="H860" s="139" t="str">
        <f>IFERROR(G860*E847,"")</f>
        <v/>
      </c>
    </row>
    <row r="861" spans="1:8" ht="12.75" customHeight="1">
      <c r="A861" s="28"/>
      <c r="B861" s="29"/>
      <c r="C861" s="30" t="str">
        <f>IFERROR(_xlfn.XLOOKUP(B861,Transporte[DESCRIPCION],Transporte[UND],,0),"")</f>
        <v/>
      </c>
      <c r="D861" s="31"/>
      <c r="E861" s="32" t="str">
        <f>IFERROR(_xlfn.XLOOKUP($B861,Transporte[DESCRIPCION],Transporte[VALOR],,0),"")</f>
        <v/>
      </c>
      <c r="F861" s="33"/>
      <c r="G861" s="34" t="str">
        <f>IFERROR(IF(F861&gt;=0,D861*E861*(1+F861/100),ABS(D861*E861/F861)),"")</f>
        <v/>
      </c>
      <c r="H861" s="139" t="str">
        <f>IFERROR(G861*E847,"")</f>
        <v/>
      </c>
    </row>
    <row r="862" spans="1:8" ht="12.75" customHeight="1">
      <c r="A862" s="21"/>
      <c r="B862" s="22" t="s">
        <v>3732</v>
      </c>
      <c r="C862" s="23"/>
      <c r="D862" s="24"/>
      <c r="E862" s="25"/>
      <c r="F862" s="26"/>
      <c r="G862" s="27">
        <f>SUM(G863:G865)</f>
        <v>20959.383393000004</v>
      </c>
      <c r="H862" s="27">
        <f>IFERROR(G862*E847,"")</f>
        <v>0</v>
      </c>
    </row>
    <row r="863" spans="1:8" ht="12.75" customHeight="1">
      <c r="A863" s="28"/>
      <c r="B863" s="29" t="s">
        <v>3710</v>
      </c>
      <c r="C863" s="30" t="str">
        <f>IFERROR(_xlfn.XLOOKUP(B863,MObra[DESCRIPCION],MObra[UN],,0),"")</f>
        <v>día</v>
      </c>
      <c r="D863" s="31">
        <v>1</v>
      </c>
      <c r="E863" s="32">
        <f>IFERROR(_xlfn.XLOOKUP($B863,MObra[DESCRIPCION],MObra[VALOR UNIT],,0),"")</f>
        <v>314390.75089500006</v>
      </c>
      <c r="F863" s="33">
        <v>-15</v>
      </c>
      <c r="G863" s="34">
        <f>IFERROR(IF(F863&gt;=0,D863*E863*(1+F863/100),ABS(D863*E863/F863)),"")</f>
        <v>20959.383393000004</v>
      </c>
      <c r="H863" s="139">
        <f>IFERROR(G863*E847,"")</f>
        <v>0</v>
      </c>
    </row>
    <row r="864" spans="1:8" ht="12.75" customHeight="1">
      <c r="A864" s="28"/>
      <c r="B864" s="29"/>
      <c r="C864" s="30" t="str">
        <f>IFERROR(_xlfn.XLOOKUP(B864,MObra[DESCRIPCION],MObra[UN],,0),"")</f>
        <v/>
      </c>
      <c r="D864" s="31"/>
      <c r="E864" s="32" t="str">
        <f>IFERROR(_xlfn.XLOOKUP($B864,MObra[DESCRIPCION],MObra[VALOR UNIT],,0),"")</f>
        <v/>
      </c>
      <c r="F864" s="33"/>
      <c r="G864" s="34" t="str">
        <f>IFERROR(IF(F864&gt;=0,D864*E864*(1+F864/100),ABS(D864*E864/F864)),"")</f>
        <v/>
      </c>
      <c r="H864" s="139" t="str">
        <f>IFERROR(G864*E847,"")</f>
        <v/>
      </c>
    </row>
    <row r="865" spans="1:11" ht="12.75" customHeight="1" thickBot="1">
      <c r="A865" s="35"/>
      <c r="B865" s="36"/>
      <c r="C865" s="37" t="str">
        <f>IFERROR(_xlfn.XLOOKUP(B865,MObra[DESCRIPCION],MObra[UN],,0),"")</f>
        <v/>
      </c>
      <c r="D865" s="38"/>
      <c r="E865" s="39" t="str">
        <f>IFERROR(_xlfn.XLOOKUP($B865,MObra[DESCRIPCION],MObra[VALOR UNIT],,0),"")</f>
        <v/>
      </c>
      <c r="F865" s="40"/>
      <c r="G865" s="41" t="str">
        <f>IFERROR(IF(F865&gt;=0,D865*E865*(1+F865/100),ABS(D865*E865/F865)),"")</f>
        <v/>
      </c>
      <c r="H865" s="42" t="str">
        <f>IFERROR(G865*E847,"")</f>
        <v/>
      </c>
    </row>
    <row r="866" spans="1:11" ht="12.75" customHeight="1" thickTop="1" thickBot="1"/>
    <row r="867" spans="1:11" ht="12.75" customHeight="1" thickTop="1" thickBot="1">
      <c r="A867" s="6" t="s">
        <v>1456</v>
      </c>
      <c r="B867" s="7" t="str">
        <f>VLOOKUP($A867,Presupuesto!$A:$D,2,FALSE())</f>
        <v>Lavamanos Acuacer o similar (pedestal)</v>
      </c>
      <c r="C867" s="8" t="str">
        <f>VLOOKUP($A867,Presupuesto!$A:$D,3,FALSE())</f>
        <v>Un</v>
      </c>
      <c r="D867" s="9"/>
      <c r="E867" s="10">
        <f>VLOOKUP($A867,Presupuesto!$A:$D,4,FALSE())</f>
        <v>0</v>
      </c>
      <c r="F867" s="11" t="s">
        <v>2589</v>
      </c>
      <c r="G867" s="12">
        <f>SUM(G869:G885)/2</f>
        <v>197956.90256264998</v>
      </c>
      <c r="H867" s="13">
        <f>ROUND(SUM(H869:H885),0)/2</f>
        <v>0</v>
      </c>
      <c r="I867" s="10">
        <f>VLOOKUP(A867,Presupuesto!$A:$F,6,0)</f>
        <v>0</v>
      </c>
      <c r="J867" s="10">
        <f>+H867-I867</f>
        <v>0</v>
      </c>
      <c r="K867" s="46">
        <f>+H867-G867*E867</f>
        <v>0</v>
      </c>
    </row>
    <row r="868" spans="1:11" ht="12.75" customHeight="1" thickTop="1">
      <c r="A868" s="14"/>
      <c r="B868" s="15" t="s">
        <v>2586</v>
      </c>
      <c r="C868" s="15" t="s">
        <v>5</v>
      </c>
      <c r="D868" s="16" t="s">
        <v>6</v>
      </c>
      <c r="E868" s="17" t="s">
        <v>7</v>
      </c>
      <c r="F868" s="18" t="s">
        <v>3728</v>
      </c>
      <c r="G868" s="19" t="s">
        <v>3729</v>
      </c>
      <c r="H868" s="20" t="s">
        <v>3797</v>
      </c>
    </row>
    <row r="869" spans="1:11" ht="12.75" customHeight="1">
      <c r="A869" s="21"/>
      <c r="B869" s="22" t="s">
        <v>3730</v>
      </c>
      <c r="C869" s="23"/>
      <c r="D869" s="24"/>
      <c r="E869" s="25"/>
      <c r="F869" s="26"/>
      <c r="G869" s="27">
        <f>SUM(G870:G874)</f>
        <v>175949.55000000002</v>
      </c>
      <c r="H869" s="27">
        <f>IFERROR(G869*E867,"")</f>
        <v>0</v>
      </c>
    </row>
    <row r="870" spans="1:11" ht="12.75" customHeight="1">
      <c r="A870" s="28"/>
      <c r="B870" s="29" t="s">
        <v>3039</v>
      </c>
      <c r="C870" s="30" t="str">
        <f>IFERROR(_xlfn.XLOOKUP(B870,Insumo[DESCRIPCION],Insumo[UND],,0),"")</f>
        <v>Un</v>
      </c>
      <c r="D870" s="31">
        <v>1</v>
      </c>
      <c r="E870" s="32">
        <f>IFERROR(_xlfn.XLOOKUP($B870,Insumo[DESCRIPCION],Insumo[VALOR],,0),"")</f>
        <v>107865.45000000001</v>
      </c>
      <c r="F870" s="33"/>
      <c r="G870" s="34">
        <f>IFERROR(IF(F870&gt;=0,D870*E870*(1+F870/100),ABS(D870*E870/F870)),"")</f>
        <v>107865.45000000001</v>
      </c>
      <c r="H870" s="139">
        <f>IFERROR(G870*E867,"")</f>
        <v>0</v>
      </c>
    </row>
    <row r="871" spans="1:11" ht="12.75" customHeight="1">
      <c r="A871" s="28"/>
      <c r="B871" s="29" t="s">
        <v>2985</v>
      </c>
      <c r="C871" s="30" t="str">
        <f>IFERROR(_xlfn.XLOOKUP(B871,Insumo[DESCRIPCION],Insumo[UND],,0),"")</f>
        <v>Un</v>
      </c>
      <c r="D871" s="31">
        <v>1</v>
      </c>
      <c r="E871" s="32">
        <f>IFERROR(_xlfn.XLOOKUP($B871,Insumo[DESCRIPCION],Insumo[VALOR],,0),"")</f>
        <v>68084.100000000006</v>
      </c>
      <c r="F871" s="33"/>
      <c r="G871" s="34">
        <f>IFERROR(IF(F871&gt;=0,D871*E871*(1+F871/100),ABS(D871*E871/F871)),"")</f>
        <v>68084.100000000006</v>
      </c>
      <c r="H871" s="139">
        <f>IFERROR(G871*E867,"")</f>
        <v>0</v>
      </c>
    </row>
    <row r="872" spans="1:11" ht="12.75" customHeight="1">
      <c r="A872" s="28"/>
      <c r="B872" s="29"/>
      <c r="C872" s="30" t="str">
        <f>IFERROR(_xlfn.XLOOKUP(B872,Insumo[DESCRIPCION],Insumo[UND],,0),"")</f>
        <v/>
      </c>
      <c r="D872" s="31"/>
      <c r="E872" s="32" t="str">
        <f>IFERROR(_xlfn.XLOOKUP($B872,Insumo[DESCRIPCION],Insumo[VALOR],,0),"")</f>
        <v/>
      </c>
      <c r="F872" s="33"/>
      <c r="G872" s="34" t="str">
        <f>IFERROR(IF(F872&gt;=0,D872*E872*(1+F872/100),ABS(D872*E872/F872)),"")</f>
        <v/>
      </c>
      <c r="H872" s="139" t="str">
        <f>IFERROR(G872*E867,"")</f>
        <v/>
      </c>
    </row>
    <row r="873" spans="1:11" ht="12.75" customHeight="1">
      <c r="A873" s="28"/>
      <c r="B873" s="29"/>
      <c r="C873" s="30" t="str">
        <f>IFERROR(_xlfn.XLOOKUP(B873,Insumo[DESCRIPCION],Insumo[UND],,0),"")</f>
        <v/>
      </c>
      <c r="D873" s="31"/>
      <c r="E873" s="32" t="str">
        <f>IFERROR(_xlfn.XLOOKUP($B873,Insumo[DESCRIPCION],Insumo[VALOR],,0),"")</f>
        <v/>
      </c>
      <c r="F873" s="33"/>
      <c r="G873" s="34" t="str">
        <f>IFERROR(IF(F873&gt;=0,D873*E873*(1+F873/100),ABS(D873*E873/F873)),"")</f>
        <v/>
      </c>
      <c r="H873" s="139" t="str">
        <f>IFERROR(G873*E867,"")</f>
        <v/>
      </c>
    </row>
    <row r="874" spans="1:11" ht="12.75" customHeight="1">
      <c r="A874" s="28"/>
      <c r="B874" s="29"/>
      <c r="C874" s="30" t="str">
        <f>IFERROR(_xlfn.XLOOKUP(B874,Insumo[DESCRIPCION],Insumo[UND],,0),"")</f>
        <v/>
      </c>
      <c r="D874" s="31"/>
      <c r="E874" s="32" t="str">
        <f>IFERROR(_xlfn.XLOOKUP($B874,Insumo[DESCRIPCION],Insumo[VALOR],,0),"")</f>
        <v/>
      </c>
      <c r="F874" s="33"/>
      <c r="G874" s="34" t="str">
        <f>IFERROR(IF(F874&gt;=0,D874*E874*(1+F874/100),ABS(D874*E874/F874)),"")</f>
        <v/>
      </c>
      <c r="H874" s="139" t="str">
        <f>IFERROR(G874*E867,"")</f>
        <v/>
      </c>
    </row>
    <row r="875" spans="1:11" ht="12.75" customHeight="1">
      <c r="A875" s="21"/>
      <c r="B875" s="22" t="s">
        <v>3731</v>
      </c>
      <c r="C875" s="23"/>
      <c r="D875" s="24"/>
      <c r="E875" s="25"/>
      <c r="F875" s="26"/>
      <c r="G875" s="27">
        <f>SUM(G876:G878)</f>
        <v>1047.9691696500001</v>
      </c>
      <c r="H875" s="27">
        <f>IFERROR(G875*E867,"")</f>
        <v>0</v>
      </c>
    </row>
    <row r="876" spans="1:11" ht="12.75" customHeight="1">
      <c r="A876" s="28"/>
      <c r="B876" s="29" t="s">
        <v>3626</v>
      </c>
      <c r="C876" s="30" t="str">
        <f>IFERROR(_xlfn.XLOOKUP(B876,Equipo[DESCRIPCION],Equipo[UND],,0),"")</f>
        <v>%MO</v>
      </c>
      <c r="D876" s="31">
        <v>0.05</v>
      </c>
      <c r="E876" s="32">
        <f>IF(C876="%MO",G882,IFERROR(_xlfn.XLOOKUP($B876,Equipo[DESCRIPCION],Equipo[VALOR],,0),""))</f>
        <v>20959.383393000004</v>
      </c>
      <c r="F876" s="33"/>
      <c r="G876" s="34">
        <f>IFERROR(IF(F876&gt;=0,D876*E876*(1+F876/100),ABS(D876*E876/F876)),"")</f>
        <v>1047.9691696500001</v>
      </c>
      <c r="H876" s="139">
        <f>IFERROR(G876*E867,"")</f>
        <v>0</v>
      </c>
    </row>
    <row r="877" spans="1:11" ht="12.75" customHeight="1">
      <c r="A877" s="28"/>
      <c r="B877" s="29"/>
      <c r="C877" s="30" t="str">
        <f>IFERROR(_xlfn.XLOOKUP(B877,Equipo[DESCRIPCION],Equipo[UND],,0),"")</f>
        <v/>
      </c>
      <c r="D877" s="31"/>
      <c r="E877" s="32" t="str">
        <f>IF(C877="%MO",G882,IFERROR(_xlfn.XLOOKUP($B877,Equipo[DESCRIPCION],Equipo[VALOR],,0),""))</f>
        <v/>
      </c>
      <c r="F877" s="33"/>
      <c r="G877" s="34" t="str">
        <f>IFERROR(IF(F877&gt;=0,D877*E877*(1+F877/100),ABS(D877*E877/F877)),"")</f>
        <v/>
      </c>
      <c r="H877" s="139" t="str">
        <f>IFERROR(G877*E867,"")</f>
        <v/>
      </c>
    </row>
    <row r="878" spans="1:11" ht="12.75" customHeight="1">
      <c r="A878" s="28"/>
      <c r="B878" s="29"/>
      <c r="C878" s="30" t="str">
        <f>IFERROR(_xlfn.XLOOKUP(B878,Equipo[DESCRIPCION],Equipo[UND],,0),"")</f>
        <v/>
      </c>
      <c r="D878" s="31"/>
      <c r="E878" s="32" t="str">
        <f>IF(C878="%MO",G882,IFERROR(_xlfn.XLOOKUP($B878,Equipo[DESCRIPCION],Equipo[VALOR],,0),""))</f>
        <v/>
      </c>
      <c r="F878" s="33"/>
      <c r="G878" s="34" t="str">
        <f>IFERROR(IF(F878&gt;=0,D878*E878*(1+F878/100),ABS(D878*E878/F878)),"")</f>
        <v/>
      </c>
      <c r="H878" s="139" t="str">
        <f>IFERROR(G878*E867,"")</f>
        <v/>
      </c>
    </row>
    <row r="879" spans="1:11" ht="12.75" customHeight="1">
      <c r="A879" s="21"/>
      <c r="B879" s="22" t="s">
        <v>2533</v>
      </c>
      <c r="C879" s="23"/>
      <c r="D879" s="24"/>
      <c r="E879" s="25"/>
      <c r="F879" s="26"/>
      <c r="G879" s="27">
        <f>SUM(G880:G881)</f>
        <v>0</v>
      </c>
      <c r="H879" s="27">
        <f>IFERROR(G879*E867,"")</f>
        <v>0</v>
      </c>
    </row>
    <row r="880" spans="1:11" ht="12.75" customHeight="1">
      <c r="A880" s="28"/>
      <c r="B880" s="29"/>
      <c r="C880" s="30" t="str">
        <f>IFERROR(_xlfn.XLOOKUP(B880,Transporte[DESCRIPCION],Transporte[UND],,0),"")</f>
        <v/>
      </c>
      <c r="D880" s="31"/>
      <c r="E880" s="32" t="str">
        <f>IFERROR(_xlfn.XLOOKUP($B880,Transporte[DESCRIPCION],Transporte[VALOR],,0),"")</f>
        <v/>
      </c>
      <c r="F880" s="33"/>
      <c r="G880" s="34" t="str">
        <f>IFERROR(IF(F880&gt;=0,D880*E880*(1+F880/100),ABS(D880*E880/F880)),"")</f>
        <v/>
      </c>
      <c r="H880" s="139" t="str">
        <f>IFERROR(G880*E867,"")</f>
        <v/>
      </c>
    </row>
    <row r="881" spans="1:11" ht="12.75" customHeight="1">
      <c r="A881" s="28"/>
      <c r="B881" s="29"/>
      <c r="C881" s="30" t="str">
        <f>IFERROR(_xlfn.XLOOKUP(B881,Transporte[DESCRIPCION],Transporte[UND],,0),"")</f>
        <v/>
      </c>
      <c r="D881" s="31"/>
      <c r="E881" s="32" t="str">
        <f>IFERROR(_xlfn.XLOOKUP($B881,Transporte[DESCRIPCION],Transporte[VALOR],,0),"")</f>
        <v/>
      </c>
      <c r="F881" s="33"/>
      <c r="G881" s="34" t="str">
        <f>IFERROR(IF(F881&gt;=0,D881*E881*(1+F881/100),ABS(D881*E881/F881)),"")</f>
        <v/>
      </c>
      <c r="H881" s="139" t="str">
        <f>IFERROR(G881*E867,"")</f>
        <v/>
      </c>
    </row>
    <row r="882" spans="1:11" ht="12.75" customHeight="1">
      <c r="A882" s="21"/>
      <c r="B882" s="22" t="s">
        <v>3732</v>
      </c>
      <c r="C882" s="23"/>
      <c r="D882" s="24"/>
      <c r="E882" s="25"/>
      <c r="F882" s="26"/>
      <c r="G882" s="27">
        <f>SUM(G883:G885)</f>
        <v>20959.383393000004</v>
      </c>
      <c r="H882" s="27">
        <f>IFERROR(G882*E867,"")</f>
        <v>0</v>
      </c>
    </row>
    <row r="883" spans="1:11" ht="12.75" customHeight="1">
      <c r="A883" s="28"/>
      <c r="B883" s="29" t="s">
        <v>3710</v>
      </c>
      <c r="C883" s="30" t="str">
        <f>IFERROR(_xlfn.XLOOKUP(B883,MObra[DESCRIPCION],MObra[UN],,0),"")</f>
        <v>día</v>
      </c>
      <c r="D883" s="31">
        <v>1</v>
      </c>
      <c r="E883" s="32">
        <f>IFERROR(_xlfn.XLOOKUP($B883,MObra[DESCRIPCION],MObra[VALOR UNIT],,0),"")</f>
        <v>314390.75089500006</v>
      </c>
      <c r="F883" s="33">
        <v>-15</v>
      </c>
      <c r="G883" s="34">
        <f>IFERROR(IF(F883&gt;=0,D883*E883*(1+F883/100),ABS(D883*E883/F883)),"")</f>
        <v>20959.383393000004</v>
      </c>
      <c r="H883" s="139">
        <f>IFERROR(G883*E867,"")</f>
        <v>0</v>
      </c>
    </row>
    <row r="884" spans="1:11" ht="12.75" customHeight="1">
      <c r="A884" s="28"/>
      <c r="B884" s="29"/>
      <c r="C884" s="30" t="str">
        <f>IFERROR(_xlfn.XLOOKUP(B884,MObra[DESCRIPCION],MObra[UN],,0),"")</f>
        <v/>
      </c>
      <c r="D884" s="31"/>
      <c r="E884" s="32" t="str">
        <f>IFERROR(_xlfn.XLOOKUP($B884,MObra[DESCRIPCION],MObra[VALOR UNIT],,0),"")</f>
        <v/>
      </c>
      <c r="F884" s="33"/>
      <c r="G884" s="34" t="str">
        <f>IFERROR(IF(F884&gt;=0,D884*E884*(1+F884/100),ABS(D884*E884/F884)),"")</f>
        <v/>
      </c>
      <c r="H884" s="139" t="str">
        <f>IFERROR(G884*E867,"")</f>
        <v/>
      </c>
    </row>
    <row r="885" spans="1:11" ht="12.75" customHeight="1" thickBot="1">
      <c r="A885" s="35"/>
      <c r="B885" s="36"/>
      <c r="C885" s="37" t="str">
        <f>IFERROR(_xlfn.XLOOKUP(B885,MObra[DESCRIPCION],MObra[UN],,0),"")</f>
        <v/>
      </c>
      <c r="D885" s="38"/>
      <c r="E885" s="39" t="str">
        <f>IFERROR(_xlfn.XLOOKUP($B885,MObra[DESCRIPCION],MObra[VALOR UNIT],,0),"")</f>
        <v/>
      </c>
      <c r="F885" s="40"/>
      <c r="G885" s="41" t="str">
        <f>IFERROR(IF(F885&gt;=0,D885*E885*(1+F885/100),ABS(D885*E885/F885)),"")</f>
        <v/>
      </c>
      <c r="H885" s="42" t="str">
        <f>IFERROR(G885*E867,"")</f>
        <v/>
      </c>
    </row>
    <row r="886" spans="1:11" ht="12.75" customHeight="1" thickTop="1" thickBot="1"/>
    <row r="887" spans="1:11" ht="12.75" customHeight="1" thickTop="1" thickBot="1">
      <c r="A887" s="6" t="s">
        <v>1458</v>
      </c>
      <c r="B887" s="7" t="str">
        <f>VLOOKUP($A887,Presupuesto!$A:$D,2,FALSE())</f>
        <v>Lavamanos corrido enchapado</v>
      </c>
      <c r="C887" s="8" t="str">
        <f>VLOOKUP($A887,Presupuesto!$A:$D,3,FALSE())</f>
        <v>M</v>
      </c>
      <c r="D887" s="9"/>
      <c r="E887" s="10">
        <f>VLOOKUP($A887,Presupuesto!$A:$D,4,FALSE())</f>
        <v>0</v>
      </c>
      <c r="F887" s="11" t="s">
        <v>2589</v>
      </c>
      <c r="G887" s="12">
        <f>SUM(G889:G907)/2</f>
        <v>262632.74254795449</v>
      </c>
      <c r="H887" s="13">
        <f>ROUND(SUM(H889:H907),0)/2</f>
        <v>0</v>
      </c>
      <c r="I887" s="10">
        <f>VLOOKUP(A887,Presupuesto!$A:$F,6,0)</f>
        <v>0</v>
      </c>
      <c r="J887" s="10">
        <f>+H887-I887</f>
        <v>0</v>
      </c>
      <c r="K887" s="46">
        <f>+H887-G887*E887</f>
        <v>0</v>
      </c>
    </row>
    <row r="888" spans="1:11" ht="12.75" customHeight="1" thickTop="1">
      <c r="A888" s="14"/>
      <c r="B888" s="15" t="s">
        <v>2586</v>
      </c>
      <c r="C888" s="15" t="s">
        <v>5</v>
      </c>
      <c r="D888" s="16" t="s">
        <v>6</v>
      </c>
      <c r="E888" s="17" t="s">
        <v>7</v>
      </c>
      <c r="F888" s="18" t="s">
        <v>3728</v>
      </c>
      <c r="G888" s="19" t="s">
        <v>3729</v>
      </c>
      <c r="H888" s="20" t="s">
        <v>3797</v>
      </c>
    </row>
    <row r="889" spans="1:11" ht="12.75" customHeight="1">
      <c r="A889" s="21"/>
      <c r="B889" s="22" t="s">
        <v>3730</v>
      </c>
      <c r="C889" s="23"/>
      <c r="D889" s="24"/>
      <c r="E889" s="25"/>
      <c r="F889" s="26"/>
      <c r="G889" s="27">
        <f>SUM(G890:G896)</f>
        <v>152595.97973470448</v>
      </c>
      <c r="H889" s="27">
        <f>IFERROR(G889*E887,"")</f>
        <v>0</v>
      </c>
    </row>
    <row r="890" spans="1:11" ht="12.75" customHeight="1">
      <c r="A890" s="28"/>
      <c r="B890" s="29" t="s">
        <v>2954</v>
      </c>
      <c r="C890" s="30" t="str">
        <f>IFERROR(_xlfn.XLOOKUP(B890,Insumo[DESCRIPCION],Insumo[UND],,0),"")</f>
        <v>M2</v>
      </c>
      <c r="D890" s="31">
        <v>0.7</v>
      </c>
      <c r="E890" s="32">
        <f>IFERROR(_xlfn.XLOOKUP($B890,Insumo[DESCRIPCION],Insumo[VALOR],,0),"")</f>
        <v>102154.92581625449</v>
      </c>
      <c r="F890" s="33"/>
      <c r="G890" s="34">
        <f t="shared" ref="G890:G896" si="1">IFERROR(IF(F890&gt;=0,D890*E890*(1+F890/100),ABS(D890*E890/F890)),"")</f>
        <v>71508.448071378138</v>
      </c>
      <c r="H890" s="139">
        <f>IFERROR(G890*E887,"")</f>
        <v>0</v>
      </c>
    </row>
    <row r="891" spans="1:11" ht="12.75" customHeight="1">
      <c r="A891" s="28"/>
      <c r="B891" s="29" t="s">
        <v>3239</v>
      </c>
      <c r="C891" s="30" t="str">
        <f>IFERROR(_xlfn.XLOOKUP(B891,Insumo[DESCRIPCION],Insumo[UND],,0),"")</f>
        <v>M3</v>
      </c>
      <c r="D891" s="31">
        <v>0.04</v>
      </c>
      <c r="E891" s="32">
        <f>IFERROR(_xlfn.XLOOKUP($B891,Insumo[DESCRIPCION],Insumo[VALOR],,0),"")</f>
        <v>521159.50227762427</v>
      </c>
      <c r="F891" s="33"/>
      <c r="G891" s="34">
        <f t="shared" si="1"/>
        <v>20846.380091104973</v>
      </c>
      <c r="H891" s="139">
        <f>IFERROR(G891*E887,"")</f>
        <v>0</v>
      </c>
    </row>
    <row r="892" spans="1:11" ht="12.75" customHeight="1">
      <c r="A892" s="28"/>
      <c r="B892" s="29" t="s">
        <v>3244</v>
      </c>
      <c r="C892" s="30" t="str">
        <f>IFERROR(_xlfn.XLOOKUP(B892,Insumo[DESCRIPCION],Insumo[UND],,0),"")</f>
        <v>M3</v>
      </c>
      <c r="D892" s="31">
        <v>0.01</v>
      </c>
      <c r="E892" s="32">
        <f>IFERROR(_xlfn.XLOOKUP($B892,Insumo[DESCRIPCION],Insumo[VALOR],,0),"")</f>
        <v>497765.65722213761</v>
      </c>
      <c r="F892" s="33"/>
      <c r="G892" s="34">
        <f t="shared" si="1"/>
        <v>4977.6565722213763</v>
      </c>
      <c r="H892" s="139">
        <f>IFERROR(G892*E887,"")</f>
        <v>0</v>
      </c>
    </row>
    <row r="893" spans="1:11" ht="12.75" customHeight="1">
      <c r="A893" s="28"/>
      <c r="B893" s="29" t="s">
        <v>2939</v>
      </c>
      <c r="C893" s="30" t="str">
        <f>IFERROR(_xlfn.XLOOKUP(B893,Insumo[DESCRIPCION],Insumo[UND],,0),"")</f>
        <v>M2</v>
      </c>
      <c r="D893" s="31">
        <v>0.7</v>
      </c>
      <c r="E893" s="32">
        <f>IFERROR(_xlfn.XLOOKUP($B893,Insumo[DESCRIPCION],Insumo[VALOR],,0),"")</f>
        <v>45351.6</v>
      </c>
      <c r="F893" s="33"/>
      <c r="G893" s="34">
        <f t="shared" si="1"/>
        <v>31746.119999999995</v>
      </c>
      <c r="H893" s="139">
        <f>IFERROR(G893*E887,"")</f>
        <v>0</v>
      </c>
    </row>
    <row r="894" spans="1:11" ht="12.75" customHeight="1">
      <c r="A894" s="28"/>
      <c r="B894" s="29" t="s">
        <v>3193</v>
      </c>
      <c r="C894" s="30" t="str">
        <f>IFERROR(_xlfn.XLOOKUP(B894,Insumo[DESCRIPCION],Insumo[UND],,0),"")</f>
        <v>Kg</v>
      </c>
      <c r="D894" s="31">
        <v>0.5</v>
      </c>
      <c r="E894" s="32">
        <f>IFERROR(_xlfn.XLOOKUP($B894,Insumo[DESCRIPCION],Insumo[VALOR],,0),"")</f>
        <v>13423.2</v>
      </c>
      <c r="F894" s="33"/>
      <c r="G894" s="34">
        <f t="shared" si="1"/>
        <v>6711.6</v>
      </c>
      <c r="H894" s="139">
        <f>IFERROR(G894*E887,"")</f>
        <v>0</v>
      </c>
    </row>
    <row r="895" spans="1:11" ht="12.75" customHeight="1">
      <c r="A895" s="28"/>
      <c r="B895" s="29" t="s">
        <v>2653</v>
      </c>
      <c r="C895" s="30" t="str">
        <f>IFERROR(_xlfn.XLOOKUP(B895,Insumo[DESCRIPCION],Insumo[UND],,0),"")</f>
        <v>Kg</v>
      </c>
      <c r="D895" s="31">
        <v>2</v>
      </c>
      <c r="E895" s="32">
        <f>IFERROR(_xlfn.XLOOKUP($B895,Insumo[DESCRIPCION],Insumo[VALOR],,0),"")</f>
        <v>5686.8</v>
      </c>
      <c r="F895" s="33"/>
      <c r="G895" s="34">
        <f t="shared" si="1"/>
        <v>11373.6</v>
      </c>
      <c r="H895" s="139">
        <f>IFERROR(G895*E887,"")</f>
        <v>0</v>
      </c>
    </row>
    <row r="896" spans="1:11" ht="12.75" customHeight="1">
      <c r="A896" s="28"/>
      <c r="B896" s="29" t="s">
        <v>2759</v>
      </c>
      <c r="C896" s="30" t="str">
        <f>IFERROR(_xlfn.XLOOKUP(B896,Insumo[DESCRIPCION],Insumo[UND],,0),"")</f>
        <v>Kg</v>
      </c>
      <c r="D896" s="31">
        <v>0.5</v>
      </c>
      <c r="E896" s="32">
        <f>IFERROR(_xlfn.XLOOKUP($B896,Insumo[DESCRIPCION],Insumo[VALOR],,0),"")</f>
        <v>10864.35</v>
      </c>
      <c r="F896" s="33"/>
      <c r="G896" s="34">
        <f t="shared" si="1"/>
        <v>5432.1750000000002</v>
      </c>
      <c r="H896" s="139">
        <f>IFERROR(G896*E887,"")</f>
        <v>0</v>
      </c>
    </row>
    <row r="897" spans="1:11" ht="12.75" customHeight="1">
      <c r="A897" s="21"/>
      <c r="B897" s="22" t="s">
        <v>3731</v>
      </c>
      <c r="C897" s="23"/>
      <c r="D897" s="24"/>
      <c r="E897" s="25"/>
      <c r="F897" s="26"/>
      <c r="G897" s="27">
        <f>SUM(G898:G900)</f>
        <v>5239.8458482500018</v>
      </c>
      <c r="H897" s="27">
        <f>IFERROR(G897*E887,"")</f>
        <v>0</v>
      </c>
    </row>
    <row r="898" spans="1:11" ht="12.75" customHeight="1">
      <c r="A898" s="28"/>
      <c r="B898" s="29" t="s">
        <v>3626</v>
      </c>
      <c r="C898" s="30" t="str">
        <f>IFERROR(_xlfn.XLOOKUP(B898,Equipo[DESCRIPCION],Equipo[UND],,0),"")</f>
        <v>%MO</v>
      </c>
      <c r="D898" s="31">
        <v>0.05</v>
      </c>
      <c r="E898" s="32">
        <f>IF(C898="%MO",G904,IFERROR(_xlfn.XLOOKUP($B898,Equipo[DESCRIPCION],Equipo[VALOR],,0),""))</f>
        <v>104796.91696500003</v>
      </c>
      <c r="F898" s="33"/>
      <c r="G898" s="34">
        <f>IFERROR(IF(F898&gt;=0,D898*E898*(1+F898/100),ABS(D898*E898/F898)),"")</f>
        <v>5239.8458482500018</v>
      </c>
      <c r="H898" s="139">
        <f>IFERROR(G898*E887,"")</f>
        <v>0</v>
      </c>
    </row>
    <row r="899" spans="1:11" ht="12.75" customHeight="1">
      <c r="A899" s="28"/>
      <c r="B899" s="29"/>
      <c r="C899" s="30" t="str">
        <f>IFERROR(_xlfn.XLOOKUP(B899,Equipo[DESCRIPCION],Equipo[UND],,0),"")</f>
        <v/>
      </c>
      <c r="D899" s="31"/>
      <c r="E899" s="32" t="str">
        <f>IF(C899="%MO",G904,IFERROR(_xlfn.XLOOKUP($B899,Equipo[DESCRIPCION],Equipo[VALOR],,0),""))</f>
        <v/>
      </c>
      <c r="F899" s="33"/>
      <c r="G899" s="34" t="str">
        <f>IFERROR(IF(F899&gt;=0,D899*E899*(1+F899/100),ABS(D899*E899/F899)),"")</f>
        <v/>
      </c>
      <c r="H899" s="139" t="str">
        <f>IFERROR(G899*E887,"")</f>
        <v/>
      </c>
    </row>
    <row r="900" spans="1:11" ht="12.75" customHeight="1">
      <c r="A900" s="28"/>
      <c r="B900" s="29"/>
      <c r="C900" s="30" t="str">
        <f>IFERROR(_xlfn.XLOOKUP(B900,Equipo[DESCRIPCION],Equipo[UND],,0),"")</f>
        <v/>
      </c>
      <c r="D900" s="31"/>
      <c r="E900" s="32" t="str">
        <f>IF(C900="%MO",G904,IFERROR(_xlfn.XLOOKUP($B900,Equipo[DESCRIPCION],Equipo[VALOR],,0),""))</f>
        <v/>
      </c>
      <c r="F900" s="33"/>
      <c r="G900" s="34" t="str">
        <f>IFERROR(IF(F900&gt;=0,D900*E900*(1+F900/100),ABS(D900*E900/F900)),"")</f>
        <v/>
      </c>
      <c r="H900" s="139" t="str">
        <f>IFERROR(G900*E887,"")</f>
        <v/>
      </c>
    </row>
    <row r="901" spans="1:11" ht="12.75" customHeight="1">
      <c r="A901" s="21"/>
      <c r="B901" s="22" t="s">
        <v>2533</v>
      </c>
      <c r="C901" s="23"/>
      <c r="D901" s="24"/>
      <c r="E901" s="25"/>
      <c r="F901" s="26"/>
      <c r="G901" s="27">
        <f>SUM(G902:G903)</f>
        <v>0</v>
      </c>
      <c r="H901" s="27">
        <f>IFERROR(G901*E887,"")</f>
        <v>0</v>
      </c>
    </row>
    <row r="902" spans="1:11" ht="12.75" customHeight="1">
      <c r="A902" s="28"/>
      <c r="B902" s="29"/>
      <c r="C902" s="30" t="str">
        <f>IFERROR(_xlfn.XLOOKUP(B902,Transporte[DESCRIPCION],Transporte[UND],,0),"")</f>
        <v/>
      </c>
      <c r="D902" s="31"/>
      <c r="E902" s="32" t="str">
        <f>IFERROR(_xlfn.XLOOKUP($B902,Transporte[DESCRIPCION],Transporte[VALOR],,0),"")</f>
        <v/>
      </c>
      <c r="F902" s="33"/>
      <c r="G902" s="34" t="str">
        <f>IFERROR(IF(F902&gt;=0,D902*E902*(1+F902/100),ABS(D902*E902/F902)),"")</f>
        <v/>
      </c>
      <c r="H902" s="139" t="str">
        <f>IFERROR(G902*E887,"")</f>
        <v/>
      </c>
    </row>
    <row r="903" spans="1:11" ht="12.75" customHeight="1">
      <c r="A903" s="28"/>
      <c r="B903" s="29"/>
      <c r="C903" s="30" t="str">
        <f>IFERROR(_xlfn.XLOOKUP(B903,Transporte[DESCRIPCION],Transporte[UND],,0),"")</f>
        <v/>
      </c>
      <c r="D903" s="31"/>
      <c r="E903" s="32" t="str">
        <f>IFERROR(_xlfn.XLOOKUP($B903,Transporte[DESCRIPCION],Transporte[VALOR],,0),"")</f>
        <v/>
      </c>
      <c r="F903" s="33"/>
      <c r="G903" s="34" t="str">
        <f>IFERROR(IF(F903&gt;=0,D903*E903*(1+F903/100),ABS(D903*E903/F903)),"")</f>
        <v/>
      </c>
      <c r="H903" s="139" t="str">
        <f>IFERROR(G903*E887,"")</f>
        <v/>
      </c>
    </row>
    <row r="904" spans="1:11" ht="12.75" customHeight="1">
      <c r="A904" s="21"/>
      <c r="B904" s="22" t="s">
        <v>3732</v>
      </c>
      <c r="C904" s="23"/>
      <c r="D904" s="24"/>
      <c r="E904" s="25"/>
      <c r="F904" s="26"/>
      <c r="G904" s="27">
        <f>SUM(G905:G907)</f>
        <v>104796.91696500003</v>
      </c>
      <c r="H904" s="27">
        <f>IFERROR(G904*E887,"")</f>
        <v>0</v>
      </c>
    </row>
    <row r="905" spans="1:11" ht="12.75" customHeight="1">
      <c r="A905" s="28"/>
      <c r="B905" s="29" t="s">
        <v>3710</v>
      </c>
      <c r="C905" s="30" t="str">
        <f>IFERROR(_xlfn.XLOOKUP(B905,MObra[DESCRIPCION],MObra[UN],,0),"")</f>
        <v>día</v>
      </c>
      <c r="D905" s="31">
        <v>1</v>
      </c>
      <c r="E905" s="32">
        <f>IFERROR(_xlfn.XLOOKUP($B905,MObra[DESCRIPCION],MObra[VALOR UNIT],,0),"")</f>
        <v>314390.75089500006</v>
      </c>
      <c r="F905" s="33">
        <v>-3</v>
      </c>
      <c r="G905" s="34">
        <f>IFERROR(IF(F905&gt;=0,D905*E905*(1+F905/100),ABS(D905*E905/F905)),"")</f>
        <v>104796.91696500003</v>
      </c>
      <c r="H905" s="139">
        <f>IFERROR(G905*E887,"")</f>
        <v>0</v>
      </c>
    </row>
    <row r="906" spans="1:11" ht="12.75" customHeight="1">
      <c r="A906" s="28"/>
      <c r="B906" s="29"/>
      <c r="C906" s="30" t="str">
        <f>IFERROR(_xlfn.XLOOKUP(B906,MObra[DESCRIPCION],MObra[UN],,0),"")</f>
        <v/>
      </c>
      <c r="D906" s="31"/>
      <c r="E906" s="32" t="str">
        <f>IFERROR(_xlfn.XLOOKUP($B906,MObra[DESCRIPCION],MObra[VALOR UNIT],,0),"")</f>
        <v/>
      </c>
      <c r="F906" s="33"/>
      <c r="G906" s="34" t="str">
        <f>IFERROR(IF(F906&gt;=0,D906*E906*(1+F906/100),ABS(D906*E906/F906)),"")</f>
        <v/>
      </c>
      <c r="H906" s="139" t="str">
        <f>IFERROR(G906*E887,"")</f>
        <v/>
      </c>
    </row>
    <row r="907" spans="1:11" ht="12.75" customHeight="1" thickBot="1">
      <c r="A907" s="35"/>
      <c r="B907" s="36"/>
      <c r="C907" s="37" t="str">
        <f>IFERROR(_xlfn.XLOOKUP(B907,MObra[DESCRIPCION],MObra[UN],,0),"")</f>
        <v/>
      </c>
      <c r="D907" s="38"/>
      <c r="E907" s="39" t="str">
        <f>IFERROR(_xlfn.XLOOKUP($B907,MObra[DESCRIPCION],MObra[VALOR UNIT],,0),"")</f>
        <v/>
      </c>
      <c r="F907" s="40"/>
      <c r="G907" s="41" t="str">
        <f>IFERROR(IF(F907&gt;=0,D907*E907*(1+F907/100),ABS(D907*E907/F907)),"")</f>
        <v/>
      </c>
      <c r="H907" s="42" t="str">
        <f>IFERROR(G907*E887,"")</f>
        <v/>
      </c>
    </row>
    <row r="908" spans="1:11" ht="12.75" customHeight="1" thickTop="1" thickBot="1"/>
    <row r="909" spans="1:11" ht="12.75" customHeight="1" thickTop="1" thickBot="1">
      <c r="A909" s="6" t="s">
        <v>1460</v>
      </c>
      <c r="B909" s="7" t="str">
        <f>VLOOKUP($A909,Presupuesto!$A:$D,2,FALSE())</f>
        <v>Lavamanos corrido granito pulido</v>
      </c>
      <c r="C909" s="8" t="str">
        <f>VLOOKUP($A909,Presupuesto!$A:$D,3,FALSE())</f>
        <v>M</v>
      </c>
      <c r="D909" s="9"/>
      <c r="E909" s="10">
        <f>VLOOKUP($A909,Presupuesto!$A:$D,4,FALSE())</f>
        <v>0</v>
      </c>
      <c r="F909" s="11" t="s">
        <v>2589</v>
      </c>
      <c r="G909" s="12">
        <f>SUM(G911:G930)/2</f>
        <v>624510.80153229018</v>
      </c>
      <c r="H909" s="13">
        <f>ROUND(SUM(H911:H930),0)/2</f>
        <v>0</v>
      </c>
      <c r="I909" s="10">
        <f>VLOOKUP(A909,Presupuesto!$A:$F,6,0)</f>
        <v>0</v>
      </c>
      <c r="J909" s="10">
        <f>+H909-I909</f>
        <v>0</v>
      </c>
      <c r="K909" s="46">
        <f>+H909-G909*E909</f>
        <v>0</v>
      </c>
    </row>
    <row r="910" spans="1:11" ht="12.75" customHeight="1" thickTop="1">
      <c r="A910" s="14"/>
      <c r="B910" s="15" t="s">
        <v>2586</v>
      </c>
      <c r="C910" s="15" t="s">
        <v>5</v>
      </c>
      <c r="D910" s="16" t="s">
        <v>6</v>
      </c>
      <c r="E910" s="17" t="s">
        <v>7</v>
      </c>
      <c r="F910" s="18" t="s">
        <v>3728</v>
      </c>
      <c r="G910" s="19" t="s">
        <v>3729</v>
      </c>
      <c r="H910" s="20" t="s">
        <v>3797</v>
      </c>
    </row>
    <row r="911" spans="1:11" ht="12.75" customHeight="1">
      <c r="A911" s="21"/>
      <c r="B911" s="22" t="s">
        <v>3730</v>
      </c>
      <c r="C911" s="23"/>
      <c r="D911" s="24"/>
      <c r="E911" s="25"/>
      <c r="F911" s="26"/>
      <c r="G911" s="27">
        <f>SUM(G912:G919)</f>
        <v>266911.51309254003</v>
      </c>
      <c r="H911" s="27">
        <f>IFERROR(G911*E909,"")</f>
        <v>0</v>
      </c>
    </row>
    <row r="912" spans="1:11" ht="12.75" customHeight="1">
      <c r="A912" s="28"/>
      <c r="B912" s="29" t="s">
        <v>2954</v>
      </c>
      <c r="C912" s="30" t="str">
        <f>IFERROR(_xlfn.XLOOKUP(B912,Insumo[DESCRIPCION],Insumo[UND],,0),"")</f>
        <v>M2</v>
      </c>
      <c r="D912" s="31">
        <v>0.35</v>
      </c>
      <c r="E912" s="32">
        <f>IFERROR(_xlfn.XLOOKUP($B912,Insumo[DESCRIPCION],Insumo[VALOR],,0),"")</f>
        <v>102154.92581625449</v>
      </c>
      <c r="F912" s="33"/>
      <c r="G912" s="34">
        <f t="shared" ref="G912:G919" si="2">IFERROR(IF(F912&gt;=0,D912*E912*(1+F912/100),ABS(D912*E912/F912)),"")</f>
        <v>35754.224035689069</v>
      </c>
      <c r="H912" s="139">
        <f>IFERROR(G912*E909,"")</f>
        <v>0</v>
      </c>
    </row>
    <row r="913" spans="1:8" ht="12.75" customHeight="1">
      <c r="A913" s="28"/>
      <c r="B913" s="29" t="s">
        <v>3020</v>
      </c>
      <c r="C913" s="30" t="str">
        <f>IFERROR(_xlfn.XLOOKUP(B913,Insumo[DESCRIPCION],Insumo[UND],,0),"")</f>
        <v>Un</v>
      </c>
      <c r="D913" s="31">
        <v>62</v>
      </c>
      <c r="E913" s="32">
        <f>IFERROR(_xlfn.XLOOKUP($B913,Insumo[DESCRIPCION],Insumo[VALOR],,0),"")</f>
        <v>909.30000000000007</v>
      </c>
      <c r="F913" s="33"/>
      <c r="G913" s="34">
        <f t="shared" si="2"/>
        <v>56376.600000000006</v>
      </c>
      <c r="H913" s="139">
        <f>IFERROR(G913*E909,"")</f>
        <v>0</v>
      </c>
    </row>
    <row r="914" spans="1:8" ht="12.75" customHeight="1">
      <c r="A914" s="28"/>
      <c r="B914" s="29" t="s">
        <v>2653</v>
      </c>
      <c r="C914" s="30" t="str">
        <f>IFERROR(_xlfn.XLOOKUP(B914,Insumo[DESCRIPCION],Insumo[UND],,0),"")</f>
        <v>Kg</v>
      </c>
      <c r="D914" s="31">
        <v>3.5</v>
      </c>
      <c r="E914" s="32">
        <f>IFERROR(_xlfn.XLOOKUP($B914,Insumo[DESCRIPCION],Insumo[VALOR],,0),"")</f>
        <v>5686.8</v>
      </c>
      <c r="F914" s="33"/>
      <c r="G914" s="34">
        <f t="shared" si="2"/>
        <v>19903.8</v>
      </c>
      <c r="H914" s="139">
        <f>IFERROR(G914*E909,"")</f>
        <v>0</v>
      </c>
    </row>
    <row r="915" spans="1:8" ht="12.75" customHeight="1">
      <c r="A915" s="28"/>
      <c r="B915" s="29" t="s">
        <v>3238</v>
      </c>
      <c r="C915" s="30" t="str">
        <f>IFERROR(_xlfn.XLOOKUP(B915,Insumo[DESCRIPCION],Insumo[UND],,0),"")</f>
        <v>M3</v>
      </c>
      <c r="D915" s="31">
        <v>7.0000000000000007E-2</v>
      </c>
      <c r="E915" s="32">
        <f>IFERROR(_xlfn.XLOOKUP($B915,Insumo[DESCRIPCION],Insumo[VALOR],,0),"")</f>
        <v>488900.227320117</v>
      </c>
      <c r="F915" s="33"/>
      <c r="G915" s="34">
        <f t="shared" si="2"/>
        <v>34223.015912408191</v>
      </c>
      <c r="H915" s="139">
        <f>IFERROR(G915*E909,"")</f>
        <v>0</v>
      </c>
    </row>
    <row r="916" spans="1:8" ht="12.75" customHeight="1">
      <c r="A916" s="28"/>
      <c r="B916" s="29" t="s">
        <v>2979</v>
      </c>
      <c r="C916" s="30" t="str">
        <f>IFERROR(_xlfn.XLOOKUP(B916,Insumo[DESCRIPCION],Insumo[UND],,0),"")</f>
        <v>Un</v>
      </c>
      <c r="D916" s="31">
        <v>2.5</v>
      </c>
      <c r="E916" s="32">
        <f>IFERROR(_xlfn.XLOOKUP($B916,Insumo[DESCRIPCION],Insumo[VALOR],,0),"")</f>
        <v>39667.950000000004</v>
      </c>
      <c r="F916" s="33"/>
      <c r="G916" s="34">
        <f t="shared" si="2"/>
        <v>99169.875000000015</v>
      </c>
      <c r="H916" s="139">
        <f>IFERROR(G916*E909,"")</f>
        <v>0</v>
      </c>
    </row>
    <row r="917" spans="1:8" ht="12.75" customHeight="1">
      <c r="A917" s="28"/>
      <c r="B917" s="29" t="s">
        <v>2823</v>
      </c>
      <c r="C917" s="30" t="str">
        <f>IFERROR(_xlfn.XLOOKUP(B917,Insumo[DESCRIPCION],Insumo[UND],,0),"")</f>
        <v>Kg</v>
      </c>
      <c r="D917" s="31">
        <v>6</v>
      </c>
      <c r="E917" s="32">
        <f>IFERROR(_xlfn.XLOOKUP($B917,Insumo[DESCRIPCION],Insumo[VALOR],,0),"")</f>
        <v>1680</v>
      </c>
      <c r="F917" s="33"/>
      <c r="G917" s="34">
        <f t="shared" si="2"/>
        <v>10080</v>
      </c>
      <c r="H917" s="139">
        <f>IFERROR(G917*E909,"")</f>
        <v>0</v>
      </c>
    </row>
    <row r="918" spans="1:8" ht="12.75" customHeight="1">
      <c r="A918" s="28"/>
      <c r="B918" s="29" t="s">
        <v>3244</v>
      </c>
      <c r="C918" s="30" t="str">
        <f>IFERROR(_xlfn.XLOOKUP(B918,Insumo[DESCRIPCION],Insumo[UND],,0),"")</f>
        <v>M3</v>
      </c>
      <c r="D918" s="31">
        <v>0.02</v>
      </c>
      <c r="E918" s="32">
        <f>IFERROR(_xlfn.XLOOKUP($B918,Insumo[DESCRIPCION],Insumo[VALOR],,0),"")</f>
        <v>497765.65722213761</v>
      </c>
      <c r="F918" s="33"/>
      <c r="G918" s="34">
        <f t="shared" si="2"/>
        <v>9955.3131444427527</v>
      </c>
      <c r="H918" s="139">
        <f>IFERROR(G918*E909,"")</f>
        <v>0</v>
      </c>
    </row>
    <row r="919" spans="1:8" ht="12.75" customHeight="1">
      <c r="A919" s="28"/>
      <c r="B919" s="29" t="s">
        <v>2825</v>
      </c>
      <c r="C919" s="30" t="str">
        <f>IFERROR(_xlfn.XLOOKUP(B919,Insumo[DESCRIPCION],Insumo[UND],,0),"")</f>
        <v>Lb</v>
      </c>
      <c r="D919" s="31">
        <v>0.15</v>
      </c>
      <c r="E919" s="32">
        <f>IFERROR(_xlfn.XLOOKUP($B919,Insumo[DESCRIPCION],Insumo[VALOR],,0),"")</f>
        <v>9657.9</v>
      </c>
      <c r="F919" s="33"/>
      <c r="G919" s="34">
        <f t="shared" si="2"/>
        <v>1448.6849999999999</v>
      </c>
      <c r="H919" s="139">
        <f>IFERROR(G919*E909,"")</f>
        <v>0</v>
      </c>
    </row>
    <row r="920" spans="1:8" ht="12.75" customHeight="1">
      <c r="A920" s="21"/>
      <c r="B920" s="22" t="s">
        <v>3731</v>
      </c>
      <c r="C920" s="23"/>
      <c r="D920" s="24"/>
      <c r="E920" s="25"/>
      <c r="F920" s="26"/>
      <c r="G920" s="27">
        <f>SUM(G921:G923)</f>
        <v>43208.537544750005</v>
      </c>
      <c r="H920" s="27">
        <f>IFERROR(G920*E909,"")</f>
        <v>0</v>
      </c>
    </row>
    <row r="921" spans="1:8" ht="12.75" customHeight="1">
      <c r="A921" s="28"/>
      <c r="B921" s="29" t="s">
        <v>3642</v>
      </c>
      <c r="C921" s="30" t="str">
        <f>IFERROR(_xlfn.XLOOKUP(B921,Equipo[DESCRIPCION],Equipo[UND],,0),"")</f>
        <v>Día</v>
      </c>
      <c r="D921" s="31">
        <v>1</v>
      </c>
      <c r="E921" s="32">
        <f>IF(C921="%MO",G927,IFERROR(_xlfn.XLOOKUP($B921,Equipo[DESCRIPCION],Equipo[VALOR],,0),""))</f>
        <v>54978</v>
      </c>
      <c r="F921" s="33">
        <v>-2</v>
      </c>
      <c r="G921" s="34">
        <f>IFERROR(IF(F921&gt;=0,D921*E921*(1+F921/100),ABS(D921*E921/F921)),"")</f>
        <v>27489</v>
      </c>
      <c r="H921" s="139">
        <f>IFERROR(G921*E909,"")</f>
        <v>0</v>
      </c>
    </row>
    <row r="922" spans="1:8" ht="12.75" customHeight="1">
      <c r="A922" s="28"/>
      <c r="B922" s="29" t="s">
        <v>3626</v>
      </c>
      <c r="C922" s="30" t="str">
        <f>IFERROR(_xlfn.XLOOKUP(B922,Equipo[DESCRIPCION],Equipo[UND],,0),"")</f>
        <v>%MO</v>
      </c>
      <c r="D922" s="31">
        <v>0.05</v>
      </c>
      <c r="E922" s="32">
        <f>IF(C922="%MO",G927,IFERROR(_xlfn.XLOOKUP($B922,Equipo[DESCRIPCION],Equipo[VALOR],,0),""))</f>
        <v>314390.75089500006</v>
      </c>
      <c r="F922" s="33"/>
      <c r="G922" s="34">
        <f>IFERROR(IF(F922&gt;=0,D922*E922*(1+F922/100),ABS(D922*E922/F922)),"")</f>
        <v>15719.537544750005</v>
      </c>
      <c r="H922" s="139">
        <f>IFERROR(G922*E909,"")</f>
        <v>0</v>
      </c>
    </row>
    <row r="923" spans="1:8" ht="12.75" customHeight="1">
      <c r="A923" s="28"/>
      <c r="B923" s="29"/>
      <c r="C923" s="30" t="str">
        <f>IFERROR(_xlfn.XLOOKUP(B923,Equipo[DESCRIPCION],Equipo[UND],,0),"")</f>
        <v/>
      </c>
      <c r="D923" s="31"/>
      <c r="E923" s="32" t="str">
        <f>IF(C923="%MO",G927,IFERROR(_xlfn.XLOOKUP($B923,Equipo[DESCRIPCION],Equipo[VALOR],,0),""))</f>
        <v/>
      </c>
      <c r="F923" s="33"/>
      <c r="G923" s="34" t="str">
        <f>IFERROR(IF(F923&gt;=0,D923*E923*(1+F923/100),ABS(D923*E923/F923)),"")</f>
        <v/>
      </c>
      <c r="H923" s="139" t="str">
        <f>IFERROR(G923*E909,"")</f>
        <v/>
      </c>
    </row>
    <row r="924" spans="1:8" ht="12.75" customHeight="1">
      <c r="A924" s="21"/>
      <c r="B924" s="22" t="s">
        <v>2533</v>
      </c>
      <c r="C924" s="23"/>
      <c r="D924" s="24"/>
      <c r="E924" s="25"/>
      <c r="F924" s="26"/>
      <c r="G924" s="27">
        <f>SUM(G925:G926)</f>
        <v>0</v>
      </c>
      <c r="H924" s="27">
        <f>IFERROR(G924*E909,"")</f>
        <v>0</v>
      </c>
    </row>
    <row r="925" spans="1:8" ht="12.75" customHeight="1">
      <c r="A925" s="28"/>
      <c r="B925" s="29"/>
      <c r="C925" s="30" t="str">
        <f>IFERROR(_xlfn.XLOOKUP(B925,Transporte[DESCRIPCION],Transporte[UND],,0),"")</f>
        <v/>
      </c>
      <c r="D925" s="31"/>
      <c r="E925" s="32" t="str">
        <f>IFERROR(_xlfn.XLOOKUP($B925,Transporte[DESCRIPCION],Transporte[VALOR],,0),"")</f>
        <v/>
      </c>
      <c r="F925" s="33"/>
      <c r="G925" s="34" t="str">
        <f>IFERROR(IF(F925&gt;=0,D925*E925*(1+F925/100),ABS(D925*E925/F925)),"")</f>
        <v/>
      </c>
      <c r="H925" s="139" t="str">
        <f>IFERROR(G925*E909,"")</f>
        <v/>
      </c>
    </row>
    <row r="926" spans="1:8" ht="12.75" customHeight="1">
      <c r="A926" s="28"/>
      <c r="B926" s="29"/>
      <c r="C926" s="30" t="str">
        <f>IFERROR(_xlfn.XLOOKUP(B926,Transporte[DESCRIPCION],Transporte[UND],,0),"")</f>
        <v/>
      </c>
      <c r="D926" s="31"/>
      <c r="E926" s="32" t="str">
        <f>IFERROR(_xlfn.XLOOKUP($B926,Transporte[DESCRIPCION],Transporte[VALOR],,0),"")</f>
        <v/>
      </c>
      <c r="F926" s="33"/>
      <c r="G926" s="34" t="str">
        <f>IFERROR(IF(F926&gt;=0,D926*E926*(1+F926/100),ABS(D926*E926/F926)),"")</f>
        <v/>
      </c>
      <c r="H926" s="139" t="str">
        <f>IFERROR(G926*E909,"")</f>
        <v/>
      </c>
    </row>
    <row r="927" spans="1:8" ht="12.75" customHeight="1">
      <c r="A927" s="21"/>
      <c r="B927" s="22" t="s">
        <v>3732</v>
      </c>
      <c r="C927" s="23"/>
      <c r="D927" s="24"/>
      <c r="E927" s="25"/>
      <c r="F927" s="26"/>
      <c r="G927" s="27">
        <f>SUM(G928:G930)</f>
        <v>314390.75089500006</v>
      </c>
      <c r="H927" s="27">
        <f>IFERROR(G927*E909,"")</f>
        <v>0</v>
      </c>
    </row>
    <row r="928" spans="1:8" ht="12.75" customHeight="1">
      <c r="A928" s="28"/>
      <c r="B928" s="29" t="s">
        <v>3710</v>
      </c>
      <c r="C928" s="30" t="str">
        <f>IFERROR(_xlfn.XLOOKUP(B928,MObra[DESCRIPCION],MObra[UN],,0),"")</f>
        <v>día</v>
      </c>
      <c r="D928" s="31">
        <v>1</v>
      </c>
      <c r="E928" s="32">
        <f>IFERROR(_xlfn.XLOOKUP($B928,MObra[DESCRIPCION],MObra[VALOR UNIT],,0),"")</f>
        <v>314390.75089500006</v>
      </c>
      <c r="F928" s="33">
        <v>-1</v>
      </c>
      <c r="G928" s="34">
        <f>IFERROR(IF(F928&gt;=0,D928*E928*(1+F928/100),ABS(D928*E928/F928)),"")</f>
        <v>314390.75089500006</v>
      </c>
      <c r="H928" s="139">
        <f>IFERROR(G928*E909,"")</f>
        <v>0</v>
      </c>
    </row>
    <row r="929" spans="1:11" ht="12.75" customHeight="1">
      <c r="A929" s="28"/>
      <c r="B929" s="29"/>
      <c r="C929" s="30" t="str">
        <f>IFERROR(_xlfn.XLOOKUP(B929,MObra[DESCRIPCION],MObra[UN],,0),"")</f>
        <v/>
      </c>
      <c r="D929" s="31"/>
      <c r="E929" s="32" t="str">
        <f>IFERROR(_xlfn.XLOOKUP($B929,MObra[DESCRIPCION],MObra[VALOR UNIT],,0),"")</f>
        <v/>
      </c>
      <c r="F929" s="33"/>
      <c r="G929" s="34" t="str">
        <f>IFERROR(IF(F929&gt;=0,D929*E929*(1+F929/100),ABS(D929*E929/F929)),"")</f>
        <v/>
      </c>
      <c r="H929" s="139" t="str">
        <f>IFERROR(G929*E909,"")</f>
        <v/>
      </c>
    </row>
    <row r="930" spans="1:11" ht="12.75" customHeight="1" thickBot="1">
      <c r="A930" s="35"/>
      <c r="B930" s="36"/>
      <c r="C930" s="37" t="str">
        <f>IFERROR(_xlfn.XLOOKUP(B930,MObra[DESCRIPCION],MObra[UN],,0),"")</f>
        <v/>
      </c>
      <c r="D930" s="38"/>
      <c r="E930" s="39" t="str">
        <f>IFERROR(_xlfn.XLOOKUP($B930,MObra[DESCRIPCION],MObra[VALOR UNIT],,0),"")</f>
        <v/>
      </c>
      <c r="F930" s="40"/>
      <c r="G930" s="41" t="str">
        <f>IFERROR(IF(F930&gt;=0,D930*E930*(1+F930/100),ABS(D930*E930/F930)),"")</f>
        <v/>
      </c>
      <c r="H930" s="42" t="str">
        <f>IFERROR(G930*E909,"")</f>
        <v/>
      </c>
    </row>
    <row r="931" spans="1:11" ht="12.75" customHeight="1" thickTop="1" thickBot="1"/>
    <row r="932" spans="1:11" ht="12.75" customHeight="1" thickTop="1" thickBot="1">
      <c r="A932" s="6" t="s">
        <v>1462</v>
      </c>
      <c r="B932" s="7" t="str">
        <f>VLOOKUP($A932,Presupuesto!$A:$D,2,FALSE())</f>
        <v>Lavamanos institucional línea infantil</v>
      </c>
      <c r="C932" s="8" t="str">
        <f>VLOOKUP($A932,Presupuesto!$A:$D,3,FALSE())</f>
        <v>Un</v>
      </c>
      <c r="D932" s="9"/>
      <c r="E932" s="10">
        <f>VLOOKUP($A932,Presupuesto!$A:$D,4,FALSE())</f>
        <v>0</v>
      </c>
      <c r="F932" s="11" t="s">
        <v>2589</v>
      </c>
      <c r="G932" s="12">
        <f>SUM(G934:G950)/2</f>
        <v>317303.05256265</v>
      </c>
      <c r="H932" s="13">
        <f>ROUND(SUM(H934:H950),0)/2</f>
        <v>0</v>
      </c>
      <c r="I932" s="10">
        <f>VLOOKUP(A932,Presupuesto!$A:$F,6,0)</f>
        <v>0</v>
      </c>
      <c r="J932" s="10">
        <f>+H932-I932</f>
        <v>0</v>
      </c>
      <c r="K932" s="46">
        <f>+H932-G932*E932</f>
        <v>0</v>
      </c>
    </row>
    <row r="933" spans="1:11" ht="12.75" customHeight="1" thickTop="1">
      <c r="A933" s="14"/>
      <c r="B933" s="15" t="s">
        <v>2586</v>
      </c>
      <c r="C933" s="15" t="s">
        <v>5</v>
      </c>
      <c r="D933" s="16" t="s">
        <v>6</v>
      </c>
      <c r="E933" s="17" t="s">
        <v>7</v>
      </c>
      <c r="F933" s="18" t="s">
        <v>3728</v>
      </c>
      <c r="G933" s="19" t="s">
        <v>3729</v>
      </c>
      <c r="H933" s="20" t="s">
        <v>3797</v>
      </c>
    </row>
    <row r="934" spans="1:11" ht="12.75" customHeight="1">
      <c r="A934" s="21"/>
      <c r="B934" s="22" t="s">
        <v>3730</v>
      </c>
      <c r="C934" s="23"/>
      <c r="D934" s="24"/>
      <c r="E934" s="25"/>
      <c r="F934" s="26"/>
      <c r="G934" s="27">
        <f>SUM(G935:G939)</f>
        <v>295295.7</v>
      </c>
      <c r="H934" s="27">
        <f>IFERROR(G934*E932,"")</f>
        <v>0</v>
      </c>
    </row>
    <row r="935" spans="1:11" ht="12.75" customHeight="1">
      <c r="A935" s="28"/>
      <c r="B935" s="29" t="s">
        <v>3037</v>
      </c>
      <c r="C935" s="30" t="str">
        <f>IFERROR(_xlfn.XLOOKUP(B935,Insumo[DESCRIPCION],Insumo[UND],,0),"")</f>
        <v>Un</v>
      </c>
      <c r="D935" s="31">
        <v>1</v>
      </c>
      <c r="E935" s="32">
        <f>IFERROR(_xlfn.XLOOKUP($B935,Insumo[DESCRIPCION],Insumo[VALOR],,0),"")</f>
        <v>227211.6</v>
      </c>
      <c r="F935" s="33"/>
      <c r="G935" s="34">
        <f>IFERROR(IF(F935&gt;=0,D935*E935*(1+F935/100),ABS(D935*E935/F935)),"")</f>
        <v>227211.6</v>
      </c>
      <c r="H935" s="139">
        <f>IFERROR(G935*E932,"")</f>
        <v>0</v>
      </c>
    </row>
    <row r="936" spans="1:11" ht="12.75" customHeight="1">
      <c r="A936" s="28"/>
      <c r="B936" s="29" t="s">
        <v>2985</v>
      </c>
      <c r="C936" s="30" t="str">
        <f>IFERROR(_xlfn.XLOOKUP(B936,Insumo[DESCRIPCION],Insumo[UND],,0),"")</f>
        <v>Un</v>
      </c>
      <c r="D936" s="31">
        <v>1</v>
      </c>
      <c r="E936" s="32">
        <f>IFERROR(_xlfn.XLOOKUP($B936,Insumo[DESCRIPCION],Insumo[VALOR],,0),"")</f>
        <v>68084.100000000006</v>
      </c>
      <c r="F936" s="33"/>
      <c r="G936" s="34">
        <f>IFERROR(IF(F936&gt;=0,D936*E936*(1+F936/100),ABS(D936*E936/F936)),"")</f>
        <v>68084.100000000006</v>
      </c>
      <c r="H936" s="139">
        <f>IFERROR(G936*E932,"")</f>
        <v>0</v>
      </c>
    </row>
    <row r="937" spans="1:11" ht="12.75" customHeight="1">
      <c r="A937" s="28"/>
      <c r="B937" s="29"/>
      <c r="C937" s="30" t="str">
        <f>IFERROR(_xlfn.XLOOKUP(B937,Insumo[DESCRIPCION],Insumo[UND],,0),"")</f>
        <v/>
      </c>
      <c r="D937" s="31"/>
      <c r="E937" s="32" t="str">
        <f>IFERROR(_xlfn.XLOOKUP($B937,Insumo[DESCRIPCION],Insumo[VALOR],,0),"")</f>
        <v/>
      </c>
      <c r="F937" s="33"/>
      <c r="G937" s="34" t="str">
        <f>IFERROR(IF(F937&gt;=0,D937*E937*(1+F937/100),ABS(D937*E937/F937)),"")</f>
        <v/>
      </c>
      <c r="H937" s="139" t="str">
        <f>IFERROR(G937*E932,"")</f>
        <v/>
      </c>
    </row>
    <row r="938" spans="1:11" ht="12.75" customHeight="1">
      <c r="A938" s="28"/>
      <c r="B938" s="29"/>
      <c r="C938" s="30" t="str">
        <f>IFERROR(_xlfn.XLOOKUP(B938,Insumo[DESCRIPCION],Insumo[UND],,0),"")</f>
        <v/>
      </c>
      <c r="D938" s="31"/>
      <c r="E938" s="32" t="str">
        <f>IFERROR(_xlfn.XLOOKUP($B938,Insumo[DESCRIPCION],Insumo[VALOR],,0),"")</f>
        <v/>
      </c>
      <c r="F938" s="33"/>
      <c r="G938" s="34" t="str">
        <f>IFERROR(IF(F938&gt;=0,D938*E938*(1+F938/100),ABS(D938*E938/F938)),"")</f>
        <v/>
      </c>
      <c r="H938" s="139" t="str">
        <f>IFERROR(G938*E932,"")</f>
        <v/>
      </c>
    </row>
    <row r="939" spans="1:11" ht="12.75" customHeight="1">
      <c r="A939" s="28"/>
      <c r="B939" s="29"/>
      <c r="C939" s="30" t="str">
        <f>IFERROR(_xlfn.XLOOKUP(B939,Insumo[DESCRIPCION],Insumo[UND],,0),"")</f>
        <v/>
      </c>
      <c r="D939" s="31"/>
      <c r="E939" s="32" t="str">
        <f>IFERROR(_xlfn.XLOOKUP($B939,Insumo[DESCRIPCION],Insumo[VALOR],,0),"")</f>
        <v/>
      </c>
      <c r="F939" s="33"/>
      <c r="G939" s="34" t="str">
        <f>IFERROR(IF(F939&gt;=0,D939*E939*(1+F939/100),ABS(D939*E939/F939)),"")</f>
        <v/>
      </c>
      <c r="H939" s="139" t="str">
        <f>IFERROR(G939*E932,"")</f>
        <v/>
      </c>
    </row>
    <row r="940" spans="1:11" ht="12.75" customHeight="1">
      <c r="A940" s="21"/>
      <c r="B940" s="22" t="s">
        <v>3731</v>
      </c>
      <c r="C940" s="23"/>
      <c r="D940" s="24"/>
      <c r="E940" s="25"/>
      <c r="F940" s="26"/>
      <c r="G940" s="27">
        <f>SUM(G941:G943)</f>
        <v>1047.9691696500001</v>
      </c>
      <c r="H940" s="27">
        <f>IFERROR(G940*E932,"")</f>
        <v>0</v>
      </c>
    </row>
    <row r="941" spans="1:11" ht="12.75" customHeight="1">
      <c r="A941" s="28"/>
      <c r="B941" s="29" t="s">
        <v>3626</v>
      </c>
      <c r="C941" s="30" t="str">
        <f>IFERROR(_xlfn.XLOOKUP(B941,Equipo[DESCRIPCION],Equipo[UND],,0),"")</f>
        <v>%MO</v>
      </c>
      <c r="D941" s="31">
        <v>0.05</v>
      </c>
      <c r="E941" s="32">
        <f>IF(C941="%MO",G947,IFERROR(_xlfn.XLOOKUP($B941,Equipo[DESCRIPCION],Equipo[VALOR],,0),""))</f>
        <v>20959.383393000004</v>
      </c>
      <c r="F941" s="33"/>
      <c r="G941" s="34">
        <f>IFERROR(IF(F941&gt;=0,D941*E941*(1+F941/100),ABS(D941*E941/F941)),"")</f>
        <v>1047.9691696500001</v>
      </c>
      <c r="H941" s="139">
        <f>IFERROR(G941*E932,"")</f>
        <v>0</v>
      </c>
    </row>
    <row r="942" spans="1:11" ht="12.75" customHeight="1">
      <c r="A942" s="28"/>
      <c r="B942" s="29"/>
      <c r="C942" s="30" t="str">
        <f>IFERROR(_xlfn.XLOOKUP(B942,Equipo[DESCRIPCION],Equipo[UND],,0),"")</f>
        <v/>
      </c>
      <c r="D942" s="31"/>
      <c r="E942" s="32" t="str">
        <f>IF(C942="%MO",G947,IFERROR(_xlfn.XLOOKUP($B942,Equipo[DESCRIPCION],Equipo[VALOR],,0),""))</f>
        <v/>
      </c>
      <c r="F942" s="33"/>
      <c r="G942" s="34" t="str">
        <f>IFERROR(IF(F942&gt;=0,D942*E942*(1+F942/100),ABS(D942*E942/F942)),"")</f>
        <v/>
      </c>
      <c r="H942" s="139" t="str">
        <f>IFERROR(G942*E932,"")</f>
        <v/>
      </c>
    </row>
    <row r="943" spans="1:11" ht="12.75" customHeight="1">
      <c r="A943" s="28"/>
      <c r="B943" s="29"/>
      <c r="C943" s="30" t="str">
        <f>IFERROR(_xlfn.XLOOKUP(B943,Equipo[DESCRIPCION],Equipo[UND],,0),"")</f>
        <v/>
      </c>
      <c r="D943" s="31"/>
      <c r="E943" s="32" t="str">
        <f>IF(C943="%MO",G947,IFERROR(_xlfn.XLOOKUP($B943,Equipo[DESCRIPCION],Equipo[VALOR],,0),""))</f>
        <v/>
      </c>
      <c r="F943" s="33"/>
      <c r="G943" s="34" t="str">
        <f>IFERROR(IF(F943&gt;=0,D943*E943*(1+F943/100),ABS(D943*E943/F943)),"")</f>
        <v/>
      </c>
      <c r="H943" s="139" t="str">
        <f>IFERROR(G943*E932,"")</f>
        <v/>
      </c>
    </row>
    <row r="944" spans="1:11" ht="12.75" customHeight="1">
      <c r="A944" s="21"/>
      <c r="B944" s="22" t="s">
        <v>2533</v>
      </c>
      <c r="C944" s="23"/>
      <c r="D944" s="24"/>
      <c r="E944" s="25"/>
      <c r="F944" s="26"/>
      <c r="G944" s="27">
        <f>SUM(G945:G946)</f>
        <v>0</v>
      </c>
      <c r="H944" s="27">
        <f>IFERROR(G944*E932,"")</f>
        <v>0</v>
      </c>
    </row>
    <row r="945" spans="1:11" ht="12.75" customHeight="1">
      <c r="A945" s="28"/>
      <c r="B945" s="29"/>
      <c r="C945" s="30" t="str">
        <f>IFERROR(_xlfn.XLOOKUP(B945,Transporte[DESCRIPCION],Transporte[UND],,0),"")</f>
        <v/>
      </c>
      <c r="D945" s="31"/>
      <c r="E945" s="32" t="str">
        <f>IFERROR(_xlfn.XLOOKUP($B945,Transporte[DESCRIPCION],Transporte[VALOR],,0),"")</f>
        <v/>
      </c>
      <c r="F945" s="33"/>
      <c r="G945" s="34" t="str">
        <f>IFERROR(IF(F945&gt;=0,D945*E945*(1+F945/100),ABS(D945*E945/F945)),"")</f>
        <v/>
      </c>
      <c r="H945" s="139" t="str">
        <f>IFERROR(G945*E932,"")</f>
        <v/>
      </c>
    </row>
    <row r="946" spans="1:11" ht="12.75" customHeight="1">
      <c r="A946" s="28"/>
      <c r="B946" s="29"/>
      <c r="C946" s="30" t="str">
        <f>IFERROR(_xlfn.XLOOKUP(B946,Transporte[DESCRIPCION],Transporte[UND],,0),"")</f>
        <v/>
      </c>
      <c r="D946" s="31"/>
      <c r="E946" s="32" t="str">
        <f>IFERROR(_xlfn.XLOOKUP($B946,Transporte[DESCRIPCION],Transporte[VALOR],,0),"")</f>
        <v/>
      </c>
      <c r="F946" s="33"/>
      <c r="G946" s="34" t="str">
        <f>IFERROR(IF(F946&gt;=0,D946*E946*(1+F946/100),ABS(D946*E946/F946)),"")</f>
        <v/>
      </c>
      <c r="H946" s="139" t="str">
        <f>IFERROR(G946*E932,"")</f>
        <v/>
      </c>
    </row>
    <row r="947" spans="1:11" ht="12.75" customHeight="1">
      <c r="A947" s="21"/>
      <c r="B947" s="22" t="s">
        <v>3732</v>
      </c>
      <c r="C947" s="23"/>
      <c r="D947" s="24"/>
      <c r="E947" s="25"/>
      <c r="F947" s="26"/>
      <c r="G947" s="27">
        <f>SUM(G948:G950)</f>
        <v>20959.383393000004</v>
      </c>
      <c r="H947" s="27">
        <f>IFERROR(G947*E932,"")</f>
        <v>0</v>
      </c>
    </row>
    <row r="948" spans="1:11" ht="12.75" customHeight="1">
      <c r="A948" s="28"/>
      <c r="B948" s="29" t="s">
        <v>3710</v>
      </c>
      <c r="C948" s="30" t="str">
        <f>IFERROR(_xlfn.XLOOKUP(B948,MObra[DESCRIPCION],MObra[UN],,0),"")</f>
        <v>día</v>
      </c>
      <c r="D948" s="31">
        <v>1</v>
      </c>
      <c r="E948" s="32">
        <f>IFERROR(_xlfn.XLOOKUP($B948,MObra[DESCRIPCION],MObra[VALOR UNIT],,0),"")</f>
        <v>314390.75089500006</v>
      </c>
      <c r="F948" s="33">
        <v>-15</v>
      </c>
      <c r="G948" s="34">
        <f>IFERROR(IF(F948&gt;=0,D948*E948*(1+F948/100),ABS(D948*E948/F948)),"")</f>
        <v>20959.383393000004</v>
      </c>
      <c r="H948" s="139">
        <f>IFERROR(G948*E932,"")</f>
        <v>0</v>
      </c>
    </row>
    <row r="949" spans="1:11" ht="12.75" customHeight="1">
      <c r="A949" s="28"/>
      <c r="B949" s="29"/>
      <c r="C949" s="30" t="str">
        <f>IFERROR(_xlfn.XLOOKUP(B949,MObra[DESCRIPCION],MObra[UN],,0),"")</f>
        <v/>
      </c>
      <c r="D949" s="31"/>
      <c r="E949" s="32" t="str">
        <f>IFERROR(_xlfn.XLOOKUP($B949,MObra[DESCRIPCION],MObra[VALOR UNIT],,0),"")</f>
        <v/>
      </c>
      <c r="F949" s="33"/>
      <c r="G949" s="34" t="str">
        <f>IFERROR(IF(F949&gt;=0,D949*E949*(1+F949/100),ABS(D949*E949/F949)),"")</f>
        <v/>
      </c>
      <c r="H949" s="139" t="str">
        <f>IFERROR(G949*E932,"")</f>
        <v/>
      </c>
    </row>
    <row r="950" spans="1:11" ht="12.75" customHeight="1" thickBot="1">
      <c r="A950" s="35"/>
      <c r="B950" s="36"/>
      <c r="C950" s="37" t="str">
        <f>IFERROR(_xlfn.XLOOKUP(B950,MObra[DESCRIPCION],MObra[UN],,0),"")</f>
        <v/>
      </c>
      <c r="D950" s="38"/>
      <c r="E950" s="39" t="str">
        <f>IFERROR(_xlfn.XLOOKUP($B950,MObra[DESCRIPCION],MObra[VALOR UNIT],,0),"")</f>
        <v/>
      </c>
      <c r="F950" s="40"/>
      <c r="G950" s="41" t="str">
        <f>IFERROR(IF(F950&gt;=0,D950*E950*(1+F950/100),ABS(D950*E950/F950)),"")</f>
        <v/>
      </c>
      <c r="H950" s="42" t="str">
        <f>IFERROR(G950*E932,"")</f>
        <v/>
      </c>
    </row>
    <row r="951" spans="1:11" ht="12.75" customHeight="1" thickTop="1" thickBot="1"/>
    <row r="952" spans="1:11" ht="12.75" customHeight="1" thickTop="1" thickBot="1">
      <c r="A952" s="6" t="s">
        <v>1464</v>
      </c>
      <c r="B952" s="7" t="str">
        <f>VLOOKUP($A952,Presupuesto!$A:$D,2,FALSE())</f>
        <v>Lavamanos institucional de montar en mesón</v>
      </c>
      <c r="C952" s="8" t="str">
        <f>VLOOKUP($A952,Presupuesto!$A:$D,3,FALSE())</f>
        <v>Un</v>
      </c>
      <c r="D952" s="9"/>
      <c r="E952" s="10">
        <f>VLOOKUP($A952,Presupuesto!$A:$D,4,FALSE())</f>
        <v>0</v>
      </c>
      <c r="F952" s="11" t="s">
        <v>2589</v>
      </c>
      <c r="G952" s="12">
        <f>SUM(G954:G970)/2</f>
        <v>338898.40256264998</v>
      </c>
      <c r="H952" s="13">
        <f>ROUND(SUM(H954:H970),0)/2</f>
        <v>0</v>
      </c>
      <c r="I952" s="10">
        <f>VLOOKUP(A952,Presupuesto!$A:$F,6,0)</f>
        <v>0</v>
      </c>
      <c r="J952" s="10">
        <f>+H952-I952</f>
        <v>0</v>
      </c>
      <c r="K952" s="46">
        <f>+H952-G952*E952</f>
        <v>0</v>
      </c>
    </row>
    <row r="953" spans="1:11" ht="12.75" customHeight="1" thickTop="1">
      <c r="A953" s="14"/>
      <c r="B953" s="15" t="s">
        <v>2586</v>
      </c>
      <c r="C953" s="15" t="s">
        <v>5</v>
      </c>
      <c r="D953" s="16" t="s">
        <v>6</v>
      </c>
      <c r="E953" s="17" t="s">
        <v>7</v>
      </c>
      <c r="F953" s="18" t="s">
        <v>3728</v>
      </c>
      <c r="G953" s="19" t="s">
        <v>3729</v>
      </c>
      <c r="H953" s="20" t="s">
        <v>3797</v>
      </c>
    </row>
    <row r="954" spans="1:11" ht="12.75" customHeight="1">
      <c r="A954" s="21"/>
      <c r="B954" s="22" t="s">
        <v>3730</v>
      </c>
      <c r="C954" s="23"/>
      <c r="D954" s="24"/>
      <c r="E954" s="25"/>
      <c r="F954" s="26"/>
      <c r="G954" s="27">
        <f>SUM(G955:G959)</f>
        <v>316891.05000000005</v>
      </c>
      <c r="H954" s="27">
        <f>IFERROR(G954*E952,"")</f>
        <v>0</v>
      </c>
    </row>
    <row r="955" spans="1:11" ht="12.75" customHeight="1">
      <c r="A955" s="28"/>
      <c r="B955" s="29" t="s">
        <v>3040</v>
      </c>
      <c r="C955" s="30" t="str">
        <f>IFERROR(_xlfn.XLOOKUP(B955,Insumo[DESCRIPCION],Insumo[UND],,0),"")</f>
        <v>Un</v>
      </c>
      <c r="D955" s="31">
        <v>1</v>
      </c>
      <c r="E955" s="32">
        <f>IFERROR(_xlfn.XLOOKUP($B955,Insumo[DESCRIPCION],Insumo[VALOR],,0),"")</f>
        <v>248806.95</v>
      </c>
      <c r="F955" s="33"/>
      <c r="G955" s="34">
        <f>IFERROR(IF(F955&gt;=0,D955*E955*(1+F955/100),ABS(D955*E955/F955)),"")</f>
        <v>248806.95</v>
      </c>
      <c r="H955" s="139">
        <f>IFERROR(G955*E952,"")</f>
        <v>0</v>
      </c>
    </row>
    <row r="956" spans="1:11" ht="12.75" customHeight="1">
      <c r="A956" s="28"/>
      <c r="B956" s="29" t="s">
        <v>2985</v>
      </c>
      <c r="C956" s="30" t="str">
        <f>IFERROR(_xlfn.XLOOKUP(B956,Insumo[DESCRIPCION],Insumo[UND],,0),"")</f>
        <v>Un</v>
      </c>
      <c r="D956" s="31">
        <v>1</v>
      </c>
      <c r="E956" s="32">
        <f>IFERROR(_xlfn.XLOOKUP($B956,Insumo[DESCRIPCION],Insumo[VALOR],,0),"")</f>
        <v>68084.100000000006</v>
      </c>
      <c r="F956" s="33"/>
      <c r="G956" s="34">
        <f>IFERROR(IF(F956&gt;=0,D956*E956*(1+F956/100),ABS(D956*E956/F956)),"")</f>
        <v>68084.100000000006</v>
      </c>
      <c r="H956" s="139">
        <f>IFERROR(G956*E952,"")</f>
        <v>0</v>
      </c>
    </row>
    <row r="957" spans="1:11" ht="12.75" customHeight="1">
      <c r="A957" s="28"/>
      <c r="B957" s="29"/>
      <c r="C957" s="30" t="str">
        <f>IFERROR(_xlfn.XLOOKUP(B957,Insumo[DESCRIPCION],Insumo[UND],,0),"")</f>
        <v/>
      </c>
      <c r="D957" s="31"/>
      <c r="E957" s="32" t="str">
        <f>IFERROR(_xlfn.XLOOKUP($B957,Insumo[DESCRIPCION],Insumo[VALOR],,0),"")</f>
        <v/>
      </c>
      <c r="F957" s="33"/>
      <c r="G957" s="34" t="str">
        <f>IFERROR(IF(F957&gt;=0,D957*E957*(1+F957/100),ABS(D957*E957/F957)),"")</f>
        <v/>
      </c>
      <c r="H957" s="139" t="str">
        <f>IFERROR(G957*E952,"")</f>
        <v/>
      </c>
    </row>
    <row r="958" spans="1:11" ht="12.75" customHeight="1">
      <c r="A958" s="28"/>
      <c r="B958" s="29"/>
      <c r="C958" s="30" t="str">
        <f>IFERROR(_xlfn.XLOOKUP(B958,Insumo[DESCRIPCION],Insumo[UND],,0),"")</f>
        <v/>
      </c>
      <c r="D958" s="31"/>
      <c r="E958" s="32" t="str">
        <f>IFERROR(_xlfn.XLOOKUP($B958,Insumo[DESCRIPCION],Insumo[VALOR],,0),"")</f>
        <v/>
      </c>
      <c r="F958" s="33"/>
      <c r="G958" s="34" t="str">
        <f>IFERROR(IF(F958&gt;=0,D958*E958*(1+F958/100),ABS(D958*E958/F958)),"")</f>
        <v/>
      </c>
      <c r="H958" s="139" t="str">
        <f>IFERROR(G958*E952,"")</f>
        <v/>
      </c>
    </row>
    <row r="959" spans="1:11" ht="12.75" customHeight="1">
      <c r="A959" s="28"/>
      <c r="B959" s="29"/>
      <c r="C959" s="30" t="str">
        <f>IFERROR(_xlfn.XLOOKUP(B959,Insumo[DESCRIPCION],Insumo[UND],,0),"")</f>
        <v/>
      </c>
      <c r="D959" s="31"/>
      <c r="E959" s="32" t="str">
        <f>IFERROR(_xlfn.XLOOKUP($B959,Insumo[DESCRIPCION],Insumo[VALOR],,0),"")</f>
        <v/>
      </c>
      <c r="F959" s="33"/>
      <c r="G959" s="34" t="str">
        <f>IFERROR(IF(F959&gt;=0,D959*E959*(1+F959/100),ABS(D959*E959/F959)),"")</f>
        <v/>
      </c>
      <c r="H959" s="139" t="str">
        <f>IFERROR(G959*E952,"")</f>
        <v/>
      </c>
    </row>
    <row r="960" spans="1:11" ht="12.75" customHeight="1">
      <c r="A960" s="21"/>
      <c r="B960" s="22" t="s">
        <v>3731</v>
      </c>
      <c r="C960" s="23"/>
      <c r="D960" s="24"/>
      <c r="E960" s="25"/>
      <c r="F960" s="26"/>
      <c r="G960" s="27">
        <f>SUM(G961:G963)</f>
        <v>1047.9691696500001</v>
      </c>
      <c r="H960" s="27">
        <f>IFERROR(G960*E952,"")</f>
        <v>0</v>
      </c>
    </row>
    <row r="961" spans="1:11" ht="12.75" customHeight="1">
      <c r="A961" s="28"/>
      <c r="B961" s="29" t="s">
        <v>3626</v>
      </c>
      <c r="C961" s="30" t="str">
        <f>IFERROR(_xlfn.XLOOKUP(B961,Equipo[DESCRIPCION],Equipo[UND],,0),"")</f>
        <v>%MO</v>
      </c>
      <c r="D961" s="31">
        <v>0.05</v>
      </c>
      <c r="E961" s="32">
        <f>IF(C961="%MO",G967,IFERROR(_xlfn.XLOOKUP($B961,Equipo[DESCRIPCION],Equipo[VALOR],,0),""))</f>
        <v>20959.383393000004</v>
      </c>
      <c r="F961" s="33"/>
      <c r="G961" s="34">
        <f>IFERROR(IF(F961&gt;=0,D961*E961*(1+F961/100),ABS(D961*E961/F961)),"")</f>
        <v>1047.9691696500001</v>
      </c>
      <c r="H961" s="139">
        <f>IFERROR(G961*E952,"")</f>
        <v>0</v>
      </c>
    </row>
    <row r="962" spans="1:11" ht="12.75" customHeight="1">
      <c r="A962" s="28"/>
      <c r="B962" s="29"/>
      <c r="C962" s="30" t="str">
        <f>IFERROR(_xlfn.XLOOKUP(B962,Equipo[DESCRIPCION],Equipo[UND],,0),"")</f>
        <v/>
      </c>
      <c r="D962" s="31"/>
      <c r="E962" s="32" t="str">
        <f>IF(C962="%MO",G967,IFERROR(_xlfn.XLOOKUP($B962,Equipo[DESCRIPCION],Equipo[VALOR],,0),""))</f>
        <v/>
      </c>
      <c r="F962" s="33"/>
      <c r="G962" s="34" t="str">
        <f>IFERROR(IF(F962&gt;=0,D962*E962*(1+F962/100),ABS(D962*E962/F962)),"")</f>
        <v/>
      </c>
      <c r="H962" s="139" t="str">
        <f>IFERROR(G962*E952,"")</f>
        <v/>
      </c>
    </row>
    <row r="963" spans="1:11" ht="12.75" customHeight="1">
      <c r="A963" s="28"/>
      <c r="B963" s="29"/>
      <c r="C963" s="30" t="str">
        <f>IFERROR(_xlfn.XLOOKUP(B963,Equipo[DESCRIPCION],Equipo[UND],,0),"")</f>
        <v/>
      </c>
      <c r="D963" s="31"/>
      <c r="E963" s="32" t="str">
        <f>IF(C963="%MO",G967,IFERROR(_xlfn.XLOOKUP($B963,Equipo[DESCRIPCION],Equipo[VALOR],,0),""))</f>
        <v/>
      </c>
      <c r="F963" s="33"/>
      <c r="G963" s="34" t="str">
        <f>IFERROR(IF(F963&gt;=0,D963*E963*(1+F963/100),ABS(D963*E963/F963)),"")</f>
        <v/>
      </c>
      <c r="H963" s="139" t="str">
        <f>IFERROR(G963*E952,"")</f>
        <v/>
      </c>
    </row>
    <row r="964" spans="1:11" ht="12.75" customHeight="1">
      <c r="A964" s="21"/>
      <c r="B964" s="22" t="s">
        <v>2533</v>
      </c>
      <c r="C964" s="23"/>
      <c r="D964" s="24"/>
      <c r="E964" s="25"/>
      <c r="F964" s="26"/>
      <c r="G964" s="27">
        <f>SUM(G965:G966)</f>
        <v>0</v>
      </c>
      <c r="H964" s="27">
        <f>IFERROR(G964*E952,"")</f>
        <v>0</v>
      </c>
    </row>
    <row r="965" spans="1:11" ht="12.75" customHeight="1">
      <c r="A965" s="28"/>
      <c r="B965" s="29"/>
      <c r="C965" s="30" t="str">
        <f>IFERROR(_xlfn.XLOOKUP(B965,Transporte[DESCRIPCION],Transporte[UND],,0),"")</f>
        <v/>
      </c>
      <c r="D965" s="31"/>
      <c r="E965" s="32" t="str">
        <f>IFERROR(_xlfn.XLOOKUP($B965,Transporte[DESCRIPCION],Transporte[VALOR],,0),"")</f>
        <v/>
      </c>
      <c r="F965" s="33"/>
      <c r="G965" s="34" t="str">
        <f>IFERROR(IF(F965&gt;=0,D965*E965*(1+F965/100),ABS(D965*E965/F965)),"")</f>
        <v/>
      </c>
      <c r="H965" s="139" t="str">
        <f>IFERROR(G965*E952,"")</f>
        <v/>
      </c>
    </row>
    <row r="966" spans="1:11" ht="12.75" customHeight="1">
      <c r="A966" s="28"/>
      <c r="B966" s="29"/>
      <c r="C966" s="30" t="str">
        <f>IFERROR(_xlfn.XLOOKUP(B966,Transporte[DESCRIPCION],Transporte[UND],,0),"")</f>
        <v/>
      </c>
      <c r="D966" s="31"/>
      <c r="E966" s="32" t="str">
        <f>IFERROR(_xlfn.XLOOKUP($B966,Transporte[DESCRIPCION],Transporte[VALOR],,0),"")</f>
        <v/>
      </c>
      <c r="F966" s="33"/>
      <c r="G966" s="34" t="str">
        <f>IFERROR(IF(F966&gt;=0,D966*E966*(1+F966/100),ABS(D966*E966/F966)),"")</f>
        <v/>
      </c>
      <c r="H966" s="139" t="str">
        <f>IFERROR(G966*E952,"")</f>
        <v/>
      </c>
    </row>
    <row r="967" spans="1:11" ht="12.75" customHeight="1">
      <c r="A967" s="21"/>
      <c r="B967" s="22" t="s">
        <v>3732</v>
      </c>
      <c r="C967" s="23"/>
      <c r="D967" s="24"/>
      <c r="E967" s="25"/>
      <c r="F967" s="26"/>
      <c r="G967" s="27">
        <f>SUM(G968:G970)</f>
        <v>20959.383393000004</v>
      </c>
      <c r="H967" s="27">
        <f>IFERROR(G967*E952,"")</f>
        <v>0</v>
      </c>
    </row>
    <row r="968" spans="1:11" ht="12.75" customHeight="1">
      <c r="A968" s="28"/>
      <c r="B968" s="29" t="s">
        <v>3710</v>
      </c>
      <c r="C968" s="30" t="str">
        <f>IFERROR(_xlfn.XLOOKUP(B968,MObra[DESCRIPCION],MObra[UN],,0),"")</f>
        <v>día</v>
      </c>
      <c r="D968" s="31">
        <v>1</v>
      </c>
      <c r="E968" s="32">
        <f>IFERROR(_xlfn.XLOOKUP($B968,MObra[DESCRIPCION],MObra[VALOR UNIT],,0),"")</f>
        <v>314390.75089500006</v>
      </c>
      <c r="F968" s="33">
        <v>-15</v>
      </c>
      <c r="G968" s="34">
        <f>IFERROR(IF(F968&gt;=0,D968*E968*(1+F968/100),ABS(D968*E968/F968)),"")</f>
        <v>20959.383393000004</v>
      </c>
      <c r="H968" s="139">
        <f>IFERROR(G968*E952,"")</f>
        <v>0</v>
      </c>
    </row>
    <row r="969" spans="1:11" ht="12.75" customHeight="1">
      <c r="A969" s="28"/>
      <c r="B969" s="29"/>
      <c r="C969" s="30" t="str">
        <f>IFERROR(_xlfn.XLOOKUP(B969,MObra[DESCRIPCION],MObra[UN],,0),"")</f>
        <v/>
      </c>
      <c r="D969" s="31"/>
      <c r="E969" s="32" t="str">
        <f>IFERROR(_xlfn.XLOOKUP($B969,MObra[DESCRIPCION],MObra[VALOR UNIT],,0),"")</f>
        <v/>
      </c>
      <c r="F969" s="33"/>
      <c r="G969" s="34" t="str">
        <f>IFERROR(IF(F969&gt;=0,D969*E969*(1+F969/100),ABS(D969*E969/F969)),"")</f>
        <v/>
      </c>
      <c r="H969" s="139" t="str">
        <f>IFERROR(G969*E952,"")</f>
        <v/>
      </c>
    </row>
    <row r="970" spans="1:11" ht="12.75" customHeight="1" thickBot="1">
      <c r="A970" s="35"/>
      <c r="B970" s="36"/>
      <c r="C970" s="37" t="str">
        <f>IFERROR(_xlfn.XLOOKUP(B970,MObra[DESCRIPCION],MObra[UN],,0),"")</f>
        <v/>
      </c>
      <c r="D970" s="38"/>
      <c r="E970" s="39" t="str">
        <f>IFERROR(_xlfn.XLOOKUP($B970,MObra[DESCRIPCION],MObra[VALOR UNIT],,0),"")</f>
        <v/>
      </c>
      <c r="F970" s="40"/>
      <c r="G970" s="41" t="str">
        <f>IFERROR(IF(F970&gt;=0,D970*E970*(1+F970/100),ABS(D970*E970/F970)),"")</f>
        <v/>
      </c>
      <c r="H970" s="42" t="str">
        <f>IFERROR(G970*E952,"")</f>
        <v/>
      </c>
    </row>
    <row r="971" spans="1:11" ht="12.75" customHeight="1" thickTop="1" thickBot="1"/>
    <row r="972" spans="1:11" ht="12.75" customHeight="1" thickTop="1" thickBot="1">
      <c r="A972" s="6" t="s">
        <v>1466</v>
      </c>
      <c r="B972" s="7" t="str">
        <f>VLOOKUP($A972,Presupuesto!$A:$D,2,FALSE())</f>
        <v>Lavaplatos acero doble</v>
      </c>
      <c r="C972" s="8" t="str">
        <f>VLOOKUP($A972,Presupuesto!$A:$D,3,FALSE())</f>
        <v>Un</v>
      </c>
      <c r="D972" s="9"/>
      <c r="E972" s="10">
        <f>VLOOKUP($A972,Presupuesto!$A:$D,4,FALSE())</f>
        <v>0</v>
      </c>
      <c r="F972" s="11" t="s">
        <v>2589</v>
      </c>
      <c r="G972" s="12">
        <f>SUM(G974:G990)/2</f>
        <v>483307.00256264996</v>
      </c>
      <c r="H972" s="13">
        <f>ROUND(SUM(H974:H990),0)/2</f>
        <v>0</v>
      </c>
      <c r="I972" s="10">
        <f>VLOOKUP(A972,Presupuesto!$A:$F,6,0)</f>
        <v>0</v>
      </c>
      <c r="J972" s="10">
        <f>+H972-I972</f>
        <v>0</v>
      </c>
      <c r="K972" s="46">
        <f>+H972-G972*E972</f>
        <v>0</v>
      </c>
    </row>
    <row r="973" spans="1:11" ht="12.75" customHeight="1" thickTop="1">
      <c r="A973" s="14"/>
      <c r="B973" s="15" t="s">
        <v>2586</v>
      </c>
      <c r="C973" s="15" t="s">
        <v>5</v>
      </c>
      <c r="D973" s="16" t="s">
        <v>6</v>
      </c>
      <c r="E973" s="17" t="s">
        <v>7</v>
      </c>
      <c r="F973" s="18" t="s">
        <v>3728</v>
      </c>
      <c r="G973" s="19" t="s">
        <v>3729</v>
      </c>
      <c r="H973" s="20" t="s">
        <v>3797</v>
      </c>
    </row>
    <row r="974" spans="1:11" ht="12.75" customHeight="1">
      <c r="A974" s="21"/>
      <c r="B974" s="22" t="s">
        <v>3730</v>
      </c>
      <c r="C974" s="23"/>
      <c r="D974" s="24"/>
      <c r="E974" s="25"/>
      <c r="F974" s="26"/>
      <c r="G974" s="27">
        <f>SUM(G975:G979)</f>
        <v>461299.65</v>
      </c>
      <c r="H974" s="27">
        <f>IFERROR(G974*E972,"")</f>
        <v>0</v>
      </c>
    </row>
    <row r="975" spans="1:11" ht="12.75" customHeight="1">
      <c r="A975" s="28"/>
      <c r="B975" s="29" t="s">
        <v>3042</v>
      </c>
      <c r="C975" s="30" t="str">
        <f>IFERROR(_xlfn.XLOOKUP(B975,Insumo[DESCRIPCION],Insumo[UND],,0),"")</f>
        <v>Un</v>
      </c>
      <c r="D975" s="31">
        <v>1</v>
      </c>
      <c r="E975" s="32">
        <f>IFERROR(_xlfn.XLOOKUP($B975,Insumo[DESCRIPCION],Insumo[VALOR],,0),"")</f>
        <v>393215.55</v>
      </c>
      <c r="F975" s="33"/>
      <c r="G975" s="34">
        <f>IFERROR(IF(F975&gt;=0,D975*E975*(1+F975/100),ABS(D975*E975/F975)),"")</f>
        <v>393215.55</v>
      </c>
      <c r="H975" s="139">
        <f>IFERROR(G975*E972,"")</f>
        <v>0</v>
      </c>
    </row>
    <row r="976" spans="1:11" ht="12.75" customHeight="1">
      <c r="A976" s="28"/>
      <c r="B976" s="29" t="s">
        <v>2985</v>
      </c>
      <c r="C976" s="30" t="str">
        <f>IFERROR(_xlfn.XLOOKUP(B976,Insumo[DESCRIPCION],Insumo[UND],,0),"")</f>
        <v>Un</v>
      </c>
      <c r="D976" s="31">
        <v>1</v>
      </c>
      <c r="E976" s="32">
        <f>IFERROR(_xlfn.XLOOKUP($B976,Insumo[DESCRIPCION],Insumo[VALOR],,0),"")</f>
        <v>68084.100000000006</v>
      </c>
      <c r="F976" s="33"/>
      <c r="G976" s="34">
        <f>IFERROR(IF(F976&gt;=0,D976*E976*(1+F976/100),ABS(D976*E976/F976)),"")</f>
        <v>68084.100000000006</v>
      </c>
      <c r="H976" s="139">
        <f>IFERROR(G976*E972,"")</f>
        <v>0</v>
      </c>
    </row>
    <row r="977" spans="1:11" ht="12.75" customHeight="1">
      <c r="A977" s="28"/>
      <c r="B977" s="29"/>
      <c r="C977" s="30" t="str">
        <f>IFERROR(_xlfn.XLOOKUP(B977,Insumo[DESCRIPCION],Insumo[UND],,0),"")</f>
        <v/>
      </c>
      <c r="D977" s="31"/>
      <c r="E977" s="32" t="str">
        <f>IFERROR(_xlfn.XLOOKUP($B977,Insumo[DESCRIPCION],Insumo[VALOR],,0),"")</f>
        <v/>
      </c>
      <c r="F977" s="33"/>
      <c r="G977" s="34" t="str">
        <f>IFERROR(IF(F977&gt;=0,D977*E977*(1+F977/100),ABS(D977*E977/F977)),"")</f>
        <v/>
      </c>
      <c r="H977" s="139" t="str">
        <f>IFERROR(G977*E972,"")</f>
        <v/>
      </c>
    </row>
    <row r="978" spans="1:11" ht="12.75" customHeight="1">
      <c r="A978" s="28"/>
      <c r="B978" s="29"/>
      <c r="C978" s="30" t="str">
        <f>IFERROR(_xlfn.XLOOKUP(B978,Insumo[DESCRIPCION],Insumo[UND],,0),"")</f>
        <v/>
      </c>
      <c r="D978" s="31"/>
      <c r="E978" s="32" t="str">
        <f>IFERROR(_xlfn.XLOOKUP($B978,Insumo[DESCRIPCION],Insumo[VALOR],,0),"")</f>
        <v/>
      </c>
      <c r="F978" s="33"/>
      <c r="G978" s="34" t="str">
        <f>IFERROR(IF(F978&gt;=0,D978*E978*(1+F978/100),ABS(D978*E978/F978)),"")</f>
        <v/>
      </c>
      <c r="H978" s="139" t="str">
        <f>IFERROR(G978*E972,"")</f>
        <v/>
      </c>
    </row>
    <row r="979" spans="1:11" ht="12.75" customHeight="1">
      <c r="A979" s="28"/>
      <c r="B979" s="29"/>
      <c r="C979" s="30" t="str">
        <f>IFERROR(_xlfn.XLOOKUP(B979,Insumo[DESCRIPCION],Insumo[UND],,0),"")</f>
        <v/>
      </c>
      <c r="D979" s="31"/>
      <c r="E979" s="32" t="str">
        <f>IFERROR(_xlfn.XLOOKUP($B979,Insumo[DESCRIPCION],Insumo[VALOR],,0),"")</f>
        <v/>
      </c>
      <c r="F979" s="33"/>
      <c r="G979" s="34" t="str">
        <f>IFERROR(IF(F979&gt;=0,D979*E979*(1+F979/100),ABS(D979*E979/F979)),"")</f>
        <v/>
      </c>
      <c r="H979" s="139" t="str">
        <f>IFERROR(G979*E972,"")</f>
        <v/>
      </c>
    </row>
    <row r="980" spans="1:11" ht="12.75" customHeight="1">
      <c r="A980" s="21"/>
      <c r="B980" s="22" t="s">
        <v>3731</v>
      </c>
      <c r="C980" s="23"/>
      <c r="D980" s="24"/>
      <c r="E980" s="25"/>
      <c r="F980" s="26"/>
      <c r="G980" s="27">
        <f>SUM(G981:G983)</f>
        <v>1047.9691696500001</v>
      </c>
      <c r="H980" s="27">
        <f>IFERROR(G980*E972,"")</f>
        <v>0</v>
      </c>
    </row>
    <row r="981" spans="1:11" ht="12.75" customHeight="1">
      <c r="A981" s="28"/>
      <c r="B981" s="29" t="s">
        <v>3626</v>
      </c>
      <c r="C981" s="30" t="str">
        <f>IFERROR(_xlfn.XLOOKUP(B981,Equipo[DESCRIPCION],Equipo[UND],,0),"")</f>
        <v>%MO</v>
      </c>
      <c r="D981" s="31">
        <v>0.05</v>
      </c>
      <c r="E981" s="32">
        <f>IF(C981="%MO",G987,IFERROR(_xlfn.XLOOKUP($B981,Equipo[DESCRIPCION],Equipo[VALOR],,0),""))</f>
        <v>20959.383393000004</v>
      </c>
      <c r="F981" s="33"/>
      <c r="G981" s="34">
        <f>IFERROR(IF(F981&gt;=0,D981*E981*(1+F981/100),ABS(D981*E981/F981)),"")</f>
        <v>1047.9691696500001</v>
      </c>
      <c r="H981" s="139">
        <f>IFERROR(G981*E972,"")</f>
        <v>0</v>
      </c>
    </row>
    <row r="982" spans="1:11" ht="12.75" customHeight="1">
      <c r="A982" s="28"/>
      <c r="B982" s="29"/>
      <c r="C982" s="30" t="str">
        <f>IFERROR(_xlfn.XLOOKUP(B982,Equipo[DESCRIPCION],Equipo[UND],,0),"")</f>
        <v/>
      </c>
      <c r="D982" s="31"/>
      <c r="E982" s="32" t="str">
        <f>IF(C982="%MO",G987,IFERROR(_xlfn.XLOOKUP($B982,Equipo[DESCRIPCION],Equipo[VALOR],,0),""))</f>
        <v/>
      </c>
      <c r="F982" s="33"/>
      <c r="G982" s="34" t="str">
        <f>IFERROR(IF(F982&gt;=0,D982*E982*(1+F982/100),ABS(D982*E982/F982)),"")</f>
        <v/>
      </c>
      <c r="H982" s="139" t="str">
        <f>IFERROR(G982*E972,"")</f>
        <v/>
      </c>
    </row>
    <row r="983" spans="1:11" ht="12.75" customHeight="1">
      <c r="A983" s="28"/>
      <c r="B983" s="29"/>
      <c r="C983" s="30" t="str">
        <f>IFERROR(_xlfn.XLOOKUP(B983,Equipo[DESCRIPCION],Equipo[UND],,0),"")</f>
        <v/>
      </c>
      <c r="D983" s="31"/>
      <c r="E983" s="32" t="str">
        <f>IF(C983="%MO",G987,IFERROR(_xlfn.XLOOKUP($B983,Equipo[DESCRIPCION],Equipo[VALOR],,0),""))</f>
        <v/>
      </c>
      <c r="F983" s="33"/>
      <c r="G983" s="34" t="str">
        <f>IFERROR(IF(F983&gt;=0,D983*E983*(1+F983/100),ABS(D983*E983/F983)),"")</f>
        <v/>
      </c>
      <c r="H983" s="139" t="str">
        <f>IFERROR(G983*E972,"")</f>
        <v/>
      </c>
    </row>
    <row r="984" spans="1:11" ht="12.75" customHeight="1">
      <c r="A984" s="21"/>
      <c r="B984" s="22" t="s">
        <v>2533</v>
      </c>
      <c r="C984" s="23"/>
      <c r="D984" s="24"/>
      <c r="E984" s="25"/>
      <c r="F984" s="26"/>
      <c r="G984" s="27">
        <f>SUM(G985:G986)</f>
        <v>0</v>
      </c>
      <c r="H984" s="27">
        <f>IFERROR(G984*E972,"")</f>
        <v>0</v>
      </c>
    </row>
    <row r="985" spans="1:11" ht="12.75" customHeight="1">
      <c r="A985" s="28"/>
      <c r="B985" s="29"/>
      <c r="C985" s="30" t="str">
        <f>IFERROR(_xlfn.XLOOKUP(B985,Transporte[DESCRIPCION],Transporte[UND],,0),"")</f>
        <v/>
      </c>
      <c r="D985" s="31"/>
      <c r="E985" s="32" t="str">
        <f>IFERROR(_xlfn.XLOOKUP($B985,Transporte[DESCRIPCION],Transporte[VALOR],,0),"")</f>
        <v/>
      </c>
      <c r="F985" s="33"/>
      <c r="G985" s="34" t="str">
        <f>IFERROR(IF(F985&gt;=0,D985*E985*(1+F985/100),ABS(D985*E985/F985)),"")</f>
        <v/>
      </c>
      <c r="H985" s="139" t="str">
        <f>IFERROR(G985*E972,"")</f>
        <v/>
      </c>
    </row>
    <row r="986" spans="1:11" ht="12.75" customHeight="1">
      <c r="A986" s="28"/>
      <c r="B986" s="29"/>
      <c r="C986" s="30" t="str">
        <f>IFERROR(_xlfn.XLOOKUP(B986,Transporte[DESCRIPCION],Transporte[UND],,0),"")</f>
        <v/>
      </c>
      <c r="D986" s="31"/>
      <c r="E986" s="32" t="str">
        <f>IFERROR(_xlfn.XLOOKUP($B986,Transporte[DESCRIPCION],Transporte[VALOR],,0),"")</f>
        <v/>
      </c>
      <c r="F986" s="33"/>
      <c r="G986" s="34" t="str">
        <f>IFERROR(IF(F986&gt;=0,D986*E986*(1+F986/100),ABS(D986*E986/F986)),"")</f>
        <v/>
      </c>
      <c r="H986" s="139" t="str">
        <f>IFERROR(G986*E972,"")</f>
        <v/>
      </c>
    </row>
    <row r="987" spans="1:11" ht="12.75" customHeight="1">
      <c r="A987" s="21"/>
      <c r="B987" s="22" t="s">
        <v>3732</v>
      </c>
      <c r="C987" s="23"/>
      <c r="D987" s="24"/>
      <c r="E987" s="25"/>
      <c r="F987" s="26"/>
      <c r="G987" s="27">
        <f>SUM(G988:G990)</f>
        <v>20959.383393000004</v>
      </c>
      <c r="H987" s="27">
        <f>IFERROR(G987*E972,"")</f>
        <v>0</v>
      </c>
    </row>
    <row r="988" spans="1:11" ht="12.75" customHeight="1">
      <c r="A988" s="28"/>
      <c r="B988" s="29" t="s">
        <v>3710</v>
      </c>
      <c r="C988" s="30" t="str">
        <f>IFERROR(_xlfn.XLOOKUP(B988,MObra[DESCRIPCION],MObra[UN],,0),"")</f>
        <v>día</v>
      </c>
      <c r="D988" s="31">
        <v>1</v>
      </c>
      <c r="E988" s="32">
        <f>IFERROR(_xlfn.XLOOKUP($B988,MObra[DESCRIPCION],MObra[VALOR UNIT],,0),"")</f>
        <v>314390.75089500006</v>
      </c>
      <c r="F988" s="33">
        <v>-15</v>
      </c>
      <c r="G988" s="34">
        <f>IFERROR(IF(F988&gt;=0,D988*E988*(1+F988/100),ABS(D988*E988/F988)),"")</f>
        <v>20959.383393000004</v>
      </c>
      <c r="H988" s="139">
        <f>IFERROR(G988*E972,"")</f>
        <v>0</v>
      </c>
    </row>
    <row r="989" spans="1:11" ht="12.75" customHeight="1">
      <c r="A989" s="28"/>
      <c r="B989" s="29"/>
      <c r="C989" s="30" t="str">
        <f>IFERROR(_xlfn.XLOOKUP(B989,MObra[DESCRIPCION],MObra[UN],,0),"")</f>
        <v/>
      </c>
      <c r="D989" s="31"/>
      <c r="E989" s="32" t="str">
        <f>IFERROR(_xlfn.XLOOKUP($B989,MObra[DESCRIPCION],MObra[VALOR UNIT],,0),"")</f>
        <v/>
      </c>
      <c r="F989" s="33"/>
      <c r="G989" s="34" t="str">
        <f>IFERROR(IF(F989&gt;=0,D989*E989*(1+F989/100),ABS(D989*E989/F989)),"")</f>
        <v/>
      </c>
      <c r="H989" s="139" t="str">
        <f>IFERROR(G989*E972,"")</f>
        <v/>
      </c>
    </row>
    <row r="990" spans="1:11" ht="12.75" customHeight="1" thickBot="1">
      <c r="A990" s="35"/>
      <c r="B990" s="36"/>
      <c r="C990" s="37" t="str">
        <f>IFERROR(_xlfn.XLOOKUP(B990,MObra[DESCRIPCION],MObra[UN],,0),"")</f>
        <v/>
      </c>
      <c r="D990" s="38"/>
      <c r="E990" s="39" t="str">
        <f>IFERROR(_xlfn.XLOOKUP($B990,MObra[DESCRIPCION],MObra[VALOR UNIT],,0),"")</f>
        <v/>
      </c>
      <c r="F990" s="40"/>
      <c r="G990" s="41" t="str">
        <f>IFERROR(IF(F990&gt;=0,D990*E990*(1+F990/100),ABS(D990*E990/F990)),"")</f>
        <v/>
      </c>
      <c r="H990" s="42" t="str">
        <f>IFERROR(G990*E972,"")</f>
        <v/>
      </c>
    </row>
    <row r="991" spans="1:11" ht="12.75" customHeight="1" thickTop="1" thickBot="1"/>
    <row r="992" spans="1:11" ht="12.75" customHeight="1" thickTop="1" thickBot="1">
      <c r="A992" s="6" t="s">
        <v>1468</v>
      </c>
      <c r="B992" s="7" t="str">
        <f>VLOOKUP($A992,Presupuesto!$A:$D,2,FALSE())</f>
        <v>Lavaplatos acero sencillo</v>
      </c>
      <c r="C992" s="8" t="str">
        <f>VLOOKUP($A992,Presupuesto!$A:$D,3,FALSE())</f>
        <v>Un</v>
      </c>
      <c r="D992" s="9"/>
      <c r="E992" s="10">
        <f>VLOOKUP($A992,Presupuesto!$A:$D,4,FALSE())</f>
        <v>0</v>
      </c>
      <c r="F992" s="11" t="s">
        <v>2589</v>
      </c>
      <c r="G992" s="12">
        <f>SUM(G994:G1010)/2</f>
        <v>276646.728843975</v>
      </c>
      <c r="H992" s="13">
        <f>ROUND(SUM(H994:H1010),0)/2</f>
        <v>0</v>
      </c>
      <c r="I992" s="10">
        <f>VLOOKUP(A992,Presupuesto!$A:$F,6,0)</f>
        <v>0</v>
      </c>
      <c r="J992" s="10">
        <f>+H992-I992</f>
        <v>0</v>
      </c>
      <c r="K992" s="46">
        <f>+H992-G992*E992</f>
        <v>0</v>
      </c>
    </row>
    <row r="993" spans="1:8" ht="12.75" customHeight="1" thickTop="1">
      <c r="A993" s="14"/>
      <c r="B993" s="15" t="s">
        <v>2586</v>
      </c>
      <c r="C993" s="15" t="s">
        <v>5</v>
      </c>
      <c r="D993" s="16" t="s">
        <v>6</v>
      </c>
      <c r="E993" s="17" t="s">
        <v>7</v>
      </c>
      <c r="F993" s="18" t="s">
        <v>3728</v>
      </c>
      <c r="G993" s="19" t="s">
        <v>3729</v>
      </c>
      <c r="H993" s="20" t="s">
        <v>3797</v>
      </c>
    </row>
    <row r="994" spans="1:8" ht="12.75" customHeight="1">
      <c r="A994" s="21"/>
      <c r="B994" s="22" t="s">
        <v>3730</v>
      </c>
      <c r="C994" s="23"/>
      <c r="D994" s="24"/>
      <c r="E994" s="25"/>
      <c r="F994" s="26"/>
      <c r="G994" s="27">
        <f>SUM(G995:G999)</f>
        <v>243635.7</v>
      </c>
      <c r="H994" s="27">
        <f>IFERROR(G994*E992,"")</f>
        <v>0</v>
      </c>
    </row>
    <row r="995" spans="1:8" ht="12.75" customHeight="1">
      <c r="A995" s="28"/>
      <c r="B995" s="29" t="s">
        <v>3041</v>
      </c>
      <c r="C995" s="30" t="str">
        <f>IFERROR(_xlfn.XLOOKUP(B995,Insumo[DESCRIPCION],Insumo[UND],,0),"")</f>
        <v>Un</v>
      </c>
      <c r="D995" s="31">
        <v>1</v>
      </c>
      <c r="E995" s="32">
        <f>IFERROR(_xlfn.XLOOKUP($B995,Insumo[DESCRIPCION],Insumo[VALOR],,0),"")</f>
        <v>175551.6</v>
      </c>
      <c r="F995" s="33"/>
      <c r="G995" s="34">
        <f>IFERROR(IF(F995&gt;=0,D995*E995*(1+F995/100),ABS(D995*E995/F995)),"")</f>
        <v>175551.6</v>
      </c>
      <c r="H995" s="139">
        <f>IFERROR(G995*E992,"")</f>
        <v>0</v>
      </c>
    </row>
    <row r="996" spans="1:8" ht="12.75" customHeight="1">
      <c r="A996" s="28"/>
      <c r="B996" s="29" t="s">
        <v>2985</v>
      </c>
      <c r="C996" s="30" t="str">
        <f>IFERROR(_xlfn.XLOOKUP(B996,Insumo[DESCRIPCION],Insumo[UND],,0),"")</f>
        <v>Un</v>
      </c>
      <c r="D996" s="31">
        <v>1</v>
      </c>
      <c r="E996" s="32">
        <f>IFERROR(_xlfn.XLOOKUP($B996,Insumo[DESCRIPCION],Insumo[VALOR],,0),"")</f>
        <v>68084.100000000006</v>
      </c>
      <c r="F996" s="33"/>
      <c r="G996" s="34">
        <f>IFERROR(IF(F996&gt;=0,D996*E996*(1+F996/100),ABS(D996*E996/F996)),"")</f>
        <v>68084.100000000006</v>
      </c>
      <c r="H996" s="139">
        <f>IFERROR(G996*E992,"")</f>
        <v>0</v>
      </c>
    </row>
    <row r="997" spans="1:8" ht="12.75" customHeight="1">
      <c r="A997" s="28"/>
      <c r="B997" s="29"/>
      <c r="C997" s="30" t="str">
        <f>IFERROR(_xlfn.XLOOKUP(B997,Insumo[DESCRIPCION],Insumo[UND],,0),"")</f>
        <v/>
      </c>
      <c r="D997" s="31"/>
      <c r="E997" s="32" t="str">
        <f>IFERROR(_xlfn.XLOOKUP($B997,Insumo[DESCRIPCION],Insumo[VALOR],,0),"")</f>
        <v/>
      </c>
      <c r="F997" s="33"/>
      <c r="G997" s="34" t="str">
        <f>IFERROR(IF(F997&gt;=0,D997*E997*(1+F997/100),ABS(D997*E997/F997)),"")</f>
        <v/>
      </c>
      <c r="H997" s="139" t="str">
        <f>IFERROR(G997*E992,"")</f>
        <v/>
      </c>
    </row>
    <row r="998" spans="1:8" ht="12.75" customHeight="1">
      <c r="A998" s="28"/>
      <c r="B998" s="29"/>
      <c r="C998" s="30" t="str">
        <f>IFERROR(_xlfn.XLOOKUP(B998,Insumo[DESCRIPCION],Insumo[UND],,0),"")</f>
        <v/>
      </c>
      <c r="D998" s="31"/>
      <c r="E998" s="32" t="str">
        <f>IFERROR(_xlfn.XLOOKUP($B998,Insumo[DESCRIPCION],Insumo[VALOR],,0),"")</f>
        <v/>
      </c>
      <c r="F998" s="33"/>
      <c r="G998" s="34" t="str">
        <f>IFERROR(IF(F998&gt;=0,D998*E998*(1+F998/100),ABS(D998*E998/F998)),"")</f>
        <v/>
      </c>
      <c r="H998" s="139" t="str">
        <f>IFERROR(G998*E992,"")</f>
        <v/>
      </c>
    </row>
    <row r="999" spans="1:8" ht="12.75" customHeight="1">
      <c r="A999" s="28"/>
      <c r="B999" s="29"/>
      <c r="C999" s="30" t="str">
        <f>IFERROR(_xlfn.XLOOKUP(B999,Insumo[DESCRIPCION],Insumo[UND],,0),"")</f>
        <v/>
      </c>
      <c r="D999" s="31"/>
      <c r="E999" s="32" t="str">
        <f>IFERROR(_xlfn.XLOOKUP($B999,Insumo[DESCRIPCION],Insumo[VALOR],,0),"")</f>
        <v/>
      </c>
      <c r="F999" s="33"/>
      <c r="G999" s="34" t="str">
        <f>IFERROR(IF(F999&gt;=0,D999*E999*(1+F999/100),ABS(D999*E999/F999)),"")</f>
        <v/>
      </c>
      <c r="H999" s="139" t="str">
        <f>IFERROR(G999*E992,"")</f>
        <v/>
      </c>
    </row>
    <row r="1000" spans="1:8" ht="12.75" customHeight="1">
      <c r="A1000" s="21"/>
      <c r="B1000" s="22" t="s">
        <v>3731</v>
      </c>
      <c r="C1000" s="23"/>
      <c r="D1000" s="24"/>
      <c r="E1000" s="25"/>
      <c r="F1000" s="26"/>
      <c r="G1000" s="27">
        <f>SUM(G1001:G1003)</f>
        <v>1571.9537544750003</v>
      </c>
      <c r="H1000" s="27">
        <f>IFERROR(G1000*E992,"")</f>
        <v>0</v>
      </c>
    </row>
    <row r="1001" spans="1:8" ht="12.75" customHeight="1">
      <c r="A1001" s="28"/>
      <c r="B1001" s="29" t="s">
        <v>3626</v>
      </c>
      <c r="C1001" s="30" t="str">
        <f>IFERROR(_xlfn.XLOOKUP(B1001,Equipo[DESCRIPCION],Equipo[UND],,0),"")</f>
        <v>%MO</v>
      </c>
      <c r="D1001" s="31">
        <v>0.05</v>
      </c>
      <c r="E1001" s="32">
        <f>IF(C1001="%MO",G1007,IFERROR(_xlfn.XLOOKUP($B1001,Equipo[DESCRIPCION],Equipo[VALOR],,0),""))</f>
        <v>31439.075089500006</v>
      </c>
      <c r="F1001" s="33"/>
      <c r="G1001" s="34">
        <f>IFERROR(IF(F1001&gt;=0,D1001*E1001*(1+F1001/100),ABS(D1001*E1001/F1001)),"")</f>
        <v>1571.9537544750003</v>
      </c>
      <c r="H1001" s="139">
        <f>IFERROR(G1001*E992,"")</f>
        <v>0</v>
      </c>
    </row>
    <row r="1002" spans="1:8" ht="12.75" customHeight="1">
      <c r="A1002" s="28"/>
      <c r="B1002" s="29"/>
      <c r="C1002" s="30" t="str">
        <f>IFERROR(_xlfn.XLOOKUP(B1002,Equipo[DESCRIPCION],Equipo[UND],,0),"")</f>
        <v/>
      </c>
      <c r="D1002" s="31"/>
      <c r="E1002" s="32" t="str">
        <f>IF(C1002="%MO",G1007,IFERROR(_xlfn.XLOOKUP($B1002,Equipo[DESCRIPCION],Equipo[VALOR],,0),""))</f>
        <v/>
      </c>
      <c r="F1002" s="33"/>
      <c r="G1002" s="34" t="str">
        <f>IFERROR(IF(F1002&gt;=0,D1002*E1002*(1+F1002/100),ABS(D1002*E1002/F1002)),"")</f>
        <v/>
      </c>
      <c r="H1002" s="139" t="str">
        <f>IFERROR(G1002*E992,"")</f>
        <v/>
      </c>
    </row>
    <row r="1003" spans="1:8" ht="12.75" customHeight="1">
      <c r="A1003" s="28"/>
      <c r="B1003" s="29"/>
      <c r="C1003" s="30" t="str">
        <f>IFERROR(_xlfn.XLOOKUP(B1003,Equipo[DESCRIPCION],Equipo[UND],,0),"")</f>
        <v/>
      </c>
      <c r="D1003" s="31"/>
      <c r="E1003" s="32" t="str">
        <f>IF(C1003="%MO",G1007,IFERROR(_xlfn.XLOOKUP($B1003,Equipo[DESCRIPCION],Equipo[VALOR],,0),""))</f>
        <v/>
      </c>
      <c r="F1003" s="33"/>
      <c r="G1003" s="34" t="str">
        <f>IFERROR(IF(F1003&gt;=0,D1003*E1003*(1+F1003/100),ABS(D1003*E1003/F1003)),"")</f>
        <v/>
      </c>
      <c r="H1003" s="139" t="str">
        <f>IFERROR(G1003*E992,"")</f>
        <v/>
      </c>
    </row>
    <row r="1004" spans="1:8" ht="12.75" customHeight="1">
      <c r="A1004" s="21"/>
      <c r="B1004" s="22" t="s">
        <v>2533</v>
      </c>
      <c r="C1004" s="23"/>
      <c r="D1004" s="24"/>
      <c r="E1004" s="25"/>
      <c r="F1004" s="26"/>
      <c r="G1004" s="27">
        <f>SUM(G1005:G1006)</f>
        <v>0</v>
      </c>
      <c r="H1004" s="27">
        <f>IFERROR(G1004*E992,"")</f>
        <v>0</v>
      </c>
    </row>
    <row r="1005" spans="1:8" ht="12.75" customHeight="1">
      <c r="A1005" s="28"/>
      <c r="B1005" s="29"/>
      <c r="C1005" s="30" t="str">
        <f>IFERROR(_xlfn.XLOOKUP(B1005,Transporte[DESCRIPCION],Transporte[UND],,0),"")</f>
        <v/>
      </c>
      <c r="D1005" s="31"/>
      <c r="E1005" s="32" t="str">
        <f>IFERROR(_xlfn.XLOOKUP($B1005,Transporte[DESCRIPCION],Transporte[VALOR],,0),"")</f>
        <v/>
      </c>
      <c r="F1005" s="33"/>
      <c r="G1005" s="34" t="str">
        <f>IFERROR(IF(F1005&gt;=0,D1005*E1005*(1+F1005/100),ABS(D1005*E1005/F1005)),"")</f>
        <v/>
      </c>
      <c r="H1005" s="139" t="str">
        <f>IFERROR(G1005*E992,"")</f>
        <v/>
      </c>
    </row>
    <row r="1006" spans="1:8" ht="12.75" customHeight="1">
      <c r="A1006" s="28"/>
      <c r="B1006" s="29"/>
      <c r="C1006" s="30" t="str">
        <f>IFERROR(_xlfn.XLOOKUP(B1006,Transporte[DESCRIPCION],Transporte[UND],,0),"")</f>
        <v/>
      </c>
      <c r="D1006" s="31"/>
      <c r="E1006" s="32" t="str">
        <f>IFERROR(_xlfn.XLOOKUP($B1006,Transporte[DESCRIPCION],Transporte[VALOR],,0),"")</f>
        <v/>
      </c>
      <c r="F1006" s="33"/>
      <c r="G1006" s="34" t="str">
        <f>IFERROR(IF(F1006&gt;=0,D1006*E1006*(1+F1006/100),ABS(D1006*E1006/F1006)),"")</f>
        <v/>
      </c>
      <c r="H1006" s="139" t="str">
        <f>IFERROR(G1006*E992,"")</f>
        <v/>
      </c>
    </row>
    <row r="1007" spans="1:8" ht="12.75" customHeight="1">
      <c r="A1007" s="21"/>
      <c r="B1007" s="22" t="s">
        <v>3732</v>
      </c>
      <c r="C1007" s="23"/>
      <c r="D1007" s="24"/>
      <c r="E1007" s="25"/>
      <c r="F1007" s="26"/>
      <c r="G1007" s="27">
        <f>SUM(G1008:G1010)</f>
        <v>31439.075089500006</v>
      </c>
      <c r="H1007" s="27">
        <f>IFERROR(G1007*E992,"")</f>
        <v>0</v>
      </c>
    </row>
    <row r="1008" spans="1:8" ht="12.75" customHeight="1">
      <c r="A1008" s="28"/>
      <c r="B1008" s="29" t="s">
        <v>3710</v>
      </c>
      <c r="C1008" s="30" t="str">
        <f>IFERROR(_xlfn.XLOOKUP(B1008,MObra[DESCRIPCION],MObra[UN],,0),"")</f>
        <v>día</v>
      </c>
      <c r="D1008" s="31">
        <v>1</v>
      </c>
      <c r="E1008" s="32">
        <f>IFERROR(_xlfn.XLOOKUP($B1008,MObra[DESCRIPCION],MObra[VALOR UNIT],,0),"")</f>
        <v>314390.75089500006</v>
      </c>
      <c r="F1008" s="33">
        <v>-10</v>
      </c>
      <c r="G1008" s="34">
        <f>IFERROR(IF(F1008&gt;=0,D1008*E1008*(1+F1008/100),ABS(D1008*E1008/F1008)),"")</f>
        <v>31439.075089500006</v>
      </c>
      <c r="H1008" s="139">
        <f>IFERROR(G1008*E992,"")</f>
        <v>0</v>
      </c>
    </row>
    <row r="1009" spans="1:11" ht="12.75" customHeight="1">
      <c r="A1009" s="28"/>
      <c r="B1009" s="29"/>
      <c r="C1009" s="30" t="str">
        <f>IFERROR(_xlfn.XLOOKUP(B1009,MObra[DESCRIPCION],MObra[UN],,0),"")</f>
        <v/>
      </c>
      <c r="D1009" s="31"/>
      <c r="E1009" s="32" t="str">
        <f>IFERROR(_xlfn.XLOOKUP($B1009,MObra[DESCRIPCION],MObra[VALOR UNIT],,0),"")</f>
        <v/>
      </c>
      <c r="F1009" s="33"/>
      <c r="G1009" s="34" t="str">
        <f>IFERROR(IF(F1009&gt;=0,D1009*E1009*(1+F1009/100),ABS(D1009*E1009/F1009)),"")</f>
        <v/>
      </c>
      <c r="H1009" s="139" t="str">
        <f>IFERROR(G1009*E992,"")</f>
        <v/>
      </c>
    </row>
    <row r="1010" spans="1:11" ht="12.75" customHeight="1" thickBot="1">
      <c r="A1010" s="35"/>
      <c r="B1010" s="36"/>
      <c r="C1010" s="37" t="str">
        <f>IFERROR(_xlfn.XLOOKUP(B1010,MObra[DESCRIPCION],MObra[UN],,0),"")</f>
        <v/>
      </c>
      <c r="D1010" s="38"/>
      <c r="E1010" s="39" t="str">
        <f>IFERROR(_xlfn.XLOOKUP($B1010,MObra[DESCRIPCION],MObra[VALOR UNIT],,0),"")</f>
        <v/>
      </c>
      <c r="F1010" s="40"/>
      <c r="G1010" s="41" t="str">
        <f>IFERROR(IF(F1010&gt;=0,D1010*E1010*(1+F1010/100),ABS(D1010*E1010/F1010)),"")</f>
        <v/>
      </c>
      <c r="H1010" s="42" t="str">
        <f>IFERROR(G1010*E992,"")</f>
        <v/>
      </c>
    </row>
    <row r="1011" spans="1:11" ht="12.75" customHeight="1" thickTop="1" thickBot="1"/>
    <row r="1012" spans="1:11" ht="12.75" customHeight="1" thickTop="1" thickBot="1">
      <c r="A1012" s="6" t="s">
        <v>1470</v>
      </c>
      <c r="B1012" s="7" t="str">
        <f>VLOOKUP($A1012,Presupuesto!$A:$D,2,FALSE())</f>
        <v>Llave lavaplatos sobreponer 1/2" ganso</v>
      </c>
      <c r="C1012" s="8" t="str">
        <f>VLOOKUP($A1012,Presupuesto!$A:$D,3,FALSE())</f>
        <v>Un</v>
      </c>
      <c r="D1012" s="9"/>
      <c r="E1012" s="10">
        <f>VLOOKUP($A1012,Presupuesto!$A:$D,4,FALSE())</f>
        <v>0</v>
      </c>
      <c r="F1012" s="11" t="s">
        <v>2589</v>
      </c>
      <c r="G1012" s="12">
        <f>SUM(G1014:G1030)/2</f>
        <v>59941.321864725003</v>
      </c>
      <c r="H1012" s="13">
        <f>ROUND(SUM(H1014:H1030),0)/2</f>
        <v>0</v>
      </c>
      <c r="I1012" s="10">
        <f>VLOOKUP(A1012,Presupuesto!$A:$F,6,0)</f>
        <v>0</v>
      </c>
      <c r="J1012" s="10">
        <f>+H1012-I1012</f>
        <v>0</v>
      </c>
      <c r="K1012" s="46">
        <f>+H1012-G1012*E1012</f>
        <v>0</v>
      </c>
    </row>
    <row r="1013" spans="1:11" ht="12.75" customHeight="1" thickTop="1">
      <c r="A1013" s="14"/>
      <c r="B1013" s="15" t="s">
        <v>2586</v>
      </c>
      <c r="C1013" s="15" t="s">
        <v>5</v>
      </c>
      <c r="D1013" s="16" t="s">
        <v>6</v>
      </c>
      <c r="E1013" s="17" t="s">
        <v>7</v>
      </c>
      <c r="F1013" s="18" t="s">
        <v>3728</v>
      </c>
      <c r="G1013" s="19" t="s">
        <v>3729</v>
      </c>
      <c r="H1013" s="20" t="s">
        <v>3797</v>
      </c>
    </row>
    <row r="1014" spans="1:11" ht="12.75" customHeight="1">
      <c r="A1014" s="21"/>
      <c r="B1014" s="22" t="s">
        <v>3730</v>
      </c>
      <c r="C1014" s="23"/>
      <c r="D1014" s="24"/>
      <c r="E1014" s="25"/>
      <c r="F1014" s="26"/>
      <c r="G1014" s="27">
        <f>SUM(G1015:G1019)</f>
        <v>39156.6</v>
      </c>
      <c r="H1014" s="27">
        <f>IFERROR(G1014*E1012,"")</f>
        <v>0</v>
      </c>
    </row>
    <row r="1015" spans="1:11" ht="12.75" customHeight="1">
      <c r="A1015" s="28"/>
      <c r="B1015" s="29" t="s">
        <v>3049</v>
      </c>
      <c r="C1015" s="30" t="str">
        <f>IFERROR(_xlfn.XLOOKUP(B1015,Insumo[DESCRIPCION],Insumo[UND],,0),"")</f>
        <v>Un</v>
      </c>
      <c r="D1015" s="31">
        <v>1</v>
      </c>
      <c r="E1015" s="32">
        <f>IFERROR(_xlfn.XLOOKUP($B1015,Insumo[DESCRIPCION],Insumo[VALOR],,0),"")</f>
        <v>39156.6</v>
      </c>
      <c r="F1015" s="33"/>
      <c r="G1015" s="34">
        <f>IFERROR(IF(F1015&gt;=0,D1015*E1015*(1+F1015/100),ABS(D1015*E1015/F1015)),"")</f>
        <v>39156.6</v>
      </c>
      <c r="H1015" s="139">
        <f>IFERROR(G1015*E1012,"")</f>
        <v>0</v>
      </c>
    </row>
    <row r="1016" spans="1:11" ht="12.75" customHeight="1">
      <c r="A1016" s="28"/>
      <c r="B1016" s="29"/>
      <c r="C1016" s="30" t="str">
        <f>IFERROR(_xlfn.XLOOKUP(B1016,Insumo[DESCRIPCION],Insumo[UND],,0),"")</f>
        <v/>
      </c>
      <c r="D1016" s="31"/>
      <c r="E1016" s="32" t="str">
        <f>IFERROR(_xlfn.XLOOKUP($B1016,Insumo[DESCRIPCION],Insumo[VALOR],,0),"")</f>
        <v/>
      </c>
      <c r="F1016" s="33"/>
      <c r="G1016" s="34" t="str">
        <f>IFERROR(IF(F1016&gt;=0,D1016*E1016*(1+F1016/100),ABS(D1016*E1016/F1016)),"")</f>
        <v/>
      </c>
      <c r="H1016" s="139" t="str">
        <f>IFERROR(G1016*E1012,"")</f>
        <v/>
      </c>
    </row>
    <row r="1017" spans="1:11" ht="12.75" customHeight="1">
      <c r="A1017" s="28"/>
      <c r="B1017" s="29"/>
      <c r="C1017" s="30" t="str">
        <f>IFERROR(_xlfn.XLOOKUP(B1017,Insumo[DESCRIPCION],Insumo[UND],,0),"")</f>
        <v/>
      </c>
      <c r="D1017" s="31"/>
      <c r="E1017" s="32" t="str">
        <f>IFERROR(_xlfn.XLOOKUP($B1017,Insumo[DESCRIPCION],Insumo[VALOR],,0),"")</f>
        <v/>
      </c>
      <c r="F1017" s="33"/>
      <c r="G1017" s="34" t="str">
        <f>IFERROR(IF(F1017&gt;=0,D1017*E1017*(1+F1017/100),ABS(D1017*E1017/F1017)),"")</f>
        <v/>
      </c>
      <c r="H1017" s="139" t="str">
        <f>IFERROR(G1017*E1012,"")</f>
        <v/>
      </c>
    </row>
    <row r="1018" spans="1:11" ht="12.75" customHeight="1">
      <c r="A1018" s="28"/>
      <c r="B1018" s="29"/>
      <c r="C1018" s="30" t="str">
        <f>IFERROR(_xlfn.XLOOKUP(B1018,Insumo[DESCRIPCION],Insumo[UND],,0),"")</f>
        <v/>
      </c>
      <c r="D1018" s="31"/>
      <c r="E1018" s="32" t="str">
        <f>IFERROR(_xlfn.XLOOKUP($B1018,Insumo[DESCRIPCION],Insumo[VALOR],,0),"")</f>
        <v/>
      </c>
      <c r="F1018" s="33"/>
      <c r="G1018" s="34" t="str">
        <f>IFERROR(IF(F1018&gt;=0,D1018*E1018*(1+F1018/100),ABS(D1018*E1018/F1018)),"")</f>
        <v/>
      </c>
      <c r="H1018" s="139" t="str">
        <f>IFERROR(G1018*E1012,"")</f>
        <v/>
      </c>
    </row>
    <row r="1019" spans="1:11" ht="12.75" customHeight="1">
      <c r="A1019" s="28"/>
      <c r="B1019" s="29"/>
      <c r="C1019" s="30" t="str">
        <f>IFERROR(_xlfn.XLOOKUP(B1019,Insumo[DESCRIPCION],Insumo[UND],,0),"")</f>
        <v/>
      </c>
      <c r="D1019" s="31"/>
      <c r="E1019" s="32" t="str">
        <f>IFERROR(_xlfn.XLOOKUP($B1019,Insumo[DESCRIPCION],Insumo[VALOR],,0),"")</f>
        <v/>
      </c>
      <c r="F1019" s="33"/>
      <c r="G1019" s="34" t="str">
        <f>IFERROR(IF(F1019&gt;=0,D1019*E1019*(1+F1019/100),ABS(D1019*E1019/F1019)),"")</f>
        <v/>
      </c>
      <c r="H1019" s="139" t="str">
        <f>IFERROR(G1019*E1012,"")</f>
        <v/>
      </c>
    </row>
    <row r="1020" spans="1:11" ht="12.75" customHeight="1">
      <c r="A1020" s="21"/>
      <c r="B1020" s="22" t="s">
        <v>3731</v>
      </c>
      <c r="C1020" s="23"/>
      <c r="D1020" s="24"/>
      <c r="E1020" s="25"/>
      <c r="F1020" s="26"/>
      <c r="G1020" s="27">
        <f>SUM(G1021:G1023)</f>
        <v>989.74866022500032</v>
      </c>
      <c r="H1020" s="27">
        <f>IFERROR(G1020*E1012,"")</f>
        <v>0</v>
      </c>
    </row>
    <row r="1021" spans="1:11" ht="12.75" customHeight="1">
      <c r="A1021" s="28"/>
      <c r="B1021" s="29" t="s">
        <v>3626</v>
      </c>
      <c r="C1021" s="30" t="str">
        <f>IFERROR(_xlfn.XLOOKUP(B1021,Equipo[DESCRIPCION],Equipo[UND],,0),"")</f>
        <v>%MO</v>
      </c>
      <c r="D1021" s="31">
        <v>0.05</v>
      </c>
      <c r="E1021" s="32">
        <f>IF(C1021="%MO",G1027,IFERROR(_xlfn.XLOOKUP($B1021,Equipo[DESCRIPCION],Equipo[VALOR],,0),""))</f>
        <v>19794.973204500006</v>
      </c>
      <c r="F1021" s="33"/>
      <c r="G1021" s="34">
        <f>IFERROR(IF(F1021&gt;=0,D1021*E1021*(1+F1021/100),ABS(D1021*E1021/F1021)),"")</f>
        <v>989.74866022500032</v>
      </c>
      <c r="H1021" s="139">
        <f>IFERROR(G1021*E1012,"")</f>
        <v>0</v>
      </c>
    </row>
    <row r="1022" spans="1:11" ht="12.75" customHeight="1">
      <c r="A1022" s="28"/>
      <c r="B1022" s="29"/>
      <c r="C1022" s="30" t="str">
        <f>IFERROR(_xlfn.XLOOKUP(B1022,Equipo[DESCRIPCION],Equipo[UND],,0),"")</f>
        <v/>
      </c>
      <c r="D1022" s="31"/>
      <c r="E1022" s="32" t="str">
        <f>IF(C1022="%MO",G1027,IFERROR(_xlfn.XLOOKUP($B1022,Equipo[DESCRIPCION],Equipo[VALOR],,0),""))</f>
        <v/>
      </c>
      <c r="F1022" s="33"/>
      <c r="G1022" s="34" t="str">
        <f>IFERROR(IF(F1022&gt;=0,D1022*E1022*(1+F1022/100),ABS(D1022*E1022/F1022)),"")</f>
        <v/>
      </c>
      <c r="H1022" s="139" t="str">
        <f>IFERROR(G1022*E1012,"")</f>
        <v/>
      </c>
    </row>
    <row r="1023" spans="1:11" ht="12.75" customHeight="1">
      <c r="A1023" s="28"/>
      <c r="B1023" s="29"/>
      <c r="C1023" s="30" t="str">
        <f>IFERROR(_xlfn.XLOOKUP(B1023,Equipo[DESCRIPCION],Equipo[UND],,0),"")</f>
        <v/>
      </c>
      <c r="D1023" s="31"/>
      <c r="E1023" s="32" t="str">
        <f>IF(C1023="%MO",G1027,IFERROR(_xlfn.XLOOKUP($B1023,Equipo[DESCRIPCION],Equipo[VALOR],,0),""))</f>
        <v/>
      </c>
      <c r="F1023" s="33"/>
      <c r="G1023" s="34" t="str">
        <f>IFERROR(IF(F1023&gt;=0,D1023*E1023*(1+F1023/100),ABS(D1023*E1023/F1023)),"")</f>
        <v/>
      </c>
      <c r="H1023" s="139" t="str">
        <f>IFERROR(G1023*E1012,"")</f>
        <v/>
      </c>
    </row>
    <row r="1024" spans="1:11" ht="12.75" customHeight="1">
      <c r="A1024" s="21"/>
      <c r="B1024" s="22" t="s">
        <v>2533</v>
      </c>
      <c r="C1024" s="23"/>
      <c r="D1024" s="24"/>
      <c r="E1024" s="25"/>
      <c r="F1024" s="26"/>
      <c r="G1024" s="27">
        <f>SUM(G1025:G1026)</f>
        <v>0</v>
      </c>
      <c r="H1024" s="27">
        <f>IFERROR(G1024*E1012,"")</f>
        <v>0</v>
      </c>
    </row>
    <row r="1025" spans="1:11" ht="12.75" customHeight="1">
      <c r="A1025" s="28"/>
      <c r="B1025" s="29"/>
      <c r="C1025" s="30" t="str">
        <f>IFERROR(_xlfn.XLOOKUP(B1025,Transporte[DESCRIPCION],Transporte[UND],,0),"")</f>
        <v/>
      </c>
      <c r="D1025" s="31"/>
      <c r="E1025" s="32" t="str">
        <f>IFERROR(_xlfn.XLOOKUP($B1025,Transporte[DESCRIPCION],Transporte[VALOR],,0),"")</f>
        <v/>
      </c>
      <c r="F1025" s="33"/>
      <c r="G1025" s="34" t="str">
        <f>IFERROR(IF(F1025&gt;=0,D1025*E1025*(1+F1025/100),ABS(D1025*E1025/F1025)),"")</f>
        <v/>
      </c>
      <c r="H1025" s="139" t="str">
        <f>IFERROR(G1025*E1012,"")</f>
        <v/>
      </c>
    </row>
    <row r="1026" spans="1:11" ht="12.75" customHeight="1">
      <c r="A1026" s="28"/>
      <c r="B1026" s="29"/>
      <c r="C1026" s="30" t="str">
        <f>IFERROR(_xlfn.XLOOKUP(B1026,Transporte[DESCRIPCION],Transporte[UND],,0),"")</f>
        <v/>
      </c>
      <c r="D1026" s="31"/>
      <c r="E1026" s="32" t="str">
        <f>IFERROR(_xlfn.XLOOKUP($B1026,Transporte[DESCRIPCION],Transporte[VALOR],,0),"")</f>
        <v/>
      </c>
      <c r="F1026" s="33"/>
      <c r="G1026" s="34" t="str">
        <f>IFERROR(IF(F1026&gt;=0,D1026*E1026*(1+F1026/100),ABS(D1026*E1026/F1026)),"")</f>
        <v/>
      </c>
      <c r="H1026" s="139" t="str">
        <f>IFERROR(G1026*E1012,"")</f>
        <v/>
      </c>
    </row>
    <row r="1027" spans="1:11" ht="12.75" customHeight="1">
      <c r="A1027" s="21"/>
      <c r="B1027" s="22" t="s">
        <v>3732</v>
      </c>
      <c r="C1027" s="23"/>
      <c r="D1027" s="24"/>
      <c r="E1027" s="25"/>
      <c r="F1027" s="26"/>
      <c r="G1027" s="27">
        <f>SUM(G1028:G1030)</f>
        <v>19794.973204500006</v>
      </c>
      <c r="H1027" s="27">
        <f>IFERROR(G1027*E1012,"")</f>
        <v>0</v>
      </c>
    </row>
    <row r="1028" spans="1:11" ht="12.75" customHeight="1">
      <c r="A1028" s="28"/>
      <c r="B1028" s="29" t="s">
        <v>3705</v>
      </c>
      <c r="C1028" s="30" t="str">
        <f>IFERROR(_xlfn.XLOOKUP(B1028,MObra[DESCRIPCION],MObra[UN],,0),"")</f>
        <v>día</v>
      </c>
      <c r="D1028" s="31">
        <v>1</v>
      </c>
      <c r="E1028" s="32">
        <f>IFERROR(_xlfn.XLOOKUP($B1028,MObra[DESCRIPCION],MObra[VALOR UNIT],,0),"")</f>
        <v>197949.73204500004</v>
      </c>
      <c r="F1028" s="33">
        <v>-10</v>
      </c>
      <c r="G1028" s="34">
        <f>IFERROR(IF(F1028&gt;=0,D1028*E1028*(1+F1028/100),ABS(D1028*E1028/F1028)),"")</f>
        <v>19794.973204500006</v>
      </c>
      <c r="H1028" s="139">
        <f>IFERROR(G1028*E1012,"")</f>
        <v>0</v>
      </c>
    </row>
    <row r="1029" spans="1:11" ht="12.75" customHeight="1">
      <c r="A1029" s="28"/>
      <c r="B1029" s="29"/>
      <c r="C1029" s="30" t="str">
        <f>IFERROR(_xlfn.XLOOKUP(B1029,MObra[DESCRIPCION],MObra[UN],,0),"")</f>
        <v/>
      </c>
      <c r="D1029" s="31"/>
      <c r="E1029" s="32" t="str">
        <f>IFERROR(_xlfn.XLOOKUP($B1029,MObra[DESCRIPCION],MObra[VALOR UNIT],,0),"")</f>
        <v/>
      </c>
      <c r="F1029" s="33"/>
      <c r="G1029" s="34" t="str">
        <f>IFERROR(IF(F1029&gt;=0,D1029*E1029*(1+F1029/100),ABS(D1029*E1029/F1029)),"")</f>
        <v/>
      </c>
      <c r="H1029" s="139" t="str">
        <f>IFERROR(G1029*E1012,"")</f>
        <v/>
      </c>
    </row>
    <row r="1030" spans="1:11" ht="12.75" customHeight="1" thickBot="1">
      <c r="A1030" s="35"/>
      <c r="B1030" s="36"/>
      <c r="C1030" s="37" t="str">
        <f>IFERROR(_xlfn.XLOOKUP(B1030,MObra[DESCRIPCION],MObra[UN],,0),"")</f>
        <v/>
      </c>
      <c r="D1030" s="38"/>
      <c r="E1030" s="39" t="str">
        <f>IFERROR(_xlfn.XLOOKUP($B1030,MObra[DESCRIPCION],MObra[VALOR UNIT],,0),"")</f>
        <v/>
      </c>
      <c r="F1030" s="40"/>
      <c r="G1030" s="41" t="str">
        <f>IFERROR(IF(F1030&gt;=0,D1030*E1030*(1+F1030/100),ABS(D1030*E1030/F1030)),"")</f>
        <v/>
      </c>
      <c r="H1030" s="42" t="str">
        <f>IFERROR(G1030*E1012,"")</f>
        <v/>
      </c>
    </row>
    <row r="1031" spans="1:11" ht="12.75" customHeight="1" thickTop="1" thickBot="1"/>
    <row r="1032" spans="1:11" ht="12.75" customHeight="1" thickTop="1" thickBot="1">
      <c r="A1032" s="6" t="s">
        <v>1472</v>
      </c>
      <c r="B1032" s="7" t="str">
        <f>VLOOKUP($A1032,Presupuesto!$A:$D,2,FALSE())</f>
        <v>Llave terminal 1/2"</v>
      </c>
      <c r="C1032" s="8" t="str">
        <f>VLOOKUP($A1032,Presupuesto!$A:$D,3,FALSE())</f>
        <v>Un</v>
      </c>
      <c r="D1032" s="9"/>
      <c r="E1032" s="10">
        <f>VLOOKUP($A1032,Presupuesto!$A:$D,4,FALSE())</f>
        <v>0</v>
      </c>
      <c r="F1032" s="11" t="s">
        <v>2589</v>
      </c>
      <c r="G1032" s="12">
        <f>SUM(G1034:G1050)/2</f>
        <v>60907.321864725003</v>
      </c>
      <c r="H1032" s="13">
        <f>ROUND(SUM(H1034:H1050),0)/2</f>
        <v>0</v>
      </c>
      <c r="I1032" s="10">
        <f>VLOOKUP(A1032,Presupuesto!$A:$F,6,0)</f>
        <v>0</v>
      </c>
      <c r="J1032" s="10">
        <f>+H1032-I1032</f>
        <v>0</v>
      </c>
      <c r="K1032" s="46">
        <f>+H1032-G1032*E1032</f>
        <v>0</v>
      </c>
    </row>
    <row r="1033" spans="1:11" ht="12.75" customHeight="1" thickTop="1">
      <c r="A1033" s="14"/>
      <c r="B1033" s="15" t="s">
        <v>2586</v>
      </c>
      <c r="C1033" s="15" t="s">
        <v>5</v>
      </c>
      <c r="D1033" s="16" t="s">
        <v>6</v>
      </c>
      <c r="E1033" s="17" t="s">
        <v>7</v>
      </c>
      <c r="F1033" s="18" t="s">
        <v>3728</v>
      </c>
      <c r="G1033" s="19" t="s">
        <v>3729</v>
      </c>
      <c r="H1033" s="20" t="s">
        <v>3797</v>
      </c>
    </row>
    <row r="1034" spans="1:11" ht="12.75" customHeight="1">
      <c r="A1034" s="21"/>
      <c r="B1034" s="22" t="s">
        <v>3730</v>
      </c>
      <c r="C1034" s="23"/>
      <c r="D1034" s="24"/>
      <c r="E1034" s="25"/>
      <c r="F1034" s="26"/>
      <c r="G1034" s="27">
        <f>SUM(G1035:G1039)</f>
        <v>40122.6</v>
      </c>
      <c r="H1034" s="27">
        <f>IFERROR(G1034*E1032,"")</f>
        <v>0</v>
      </c>
    </row>
    <row r="1035" spans="1:11" ht="12.75" customHeight="1">
      <c r="A1035" s="28"/>
      <c r="B1035" s="29" t="s">
        <v>3056</v>
      </c>
      <c r="C1035" s="30" t="str">
        <f>IFERROR(_xlfn.XLOOKUP(B1035,Insumo[DESCRIPCION],Insumo[UND],,0),"")</f>
        <v>Un</v>
      </c>
      <c r="D1035" s="31">
        <v>1</v>
      </c>
      <c r="E1035" s="32">
        <f>IFERROR(_xlfn.XLOOKUP($B1035,Insumo[DESCRIPCION],Insumo[VALOR],,0),"")</f>
        <v>40122.6</v>
      </c>
      <c r="F1035" s="33"/>
      <c r="G1035" s="34">
        <f>IFERROR(IF(F1035&gt;=0,D1035*E1035*(1+F1035/100),ABS(D1035*E1035/F1035)),"")</f>
        <v>40122.6</v>
      </c>
      <c r="H1035" s="139">
        <f>IFERROR(G1035*E1032,"")</f>
        <v>0</v>
      </c>
    </row>
    <row r="1036" spans="1:11" ht="12.75" customHeight="1">
      <c r="A1036" s="28"/>
      <c r="B1036" s="29"/>
      <c r="C1036" s="30" t="str">
        <f>IFERROR(_xlfn.XLOOKUP(B1036,Insumo[DESCRIPCION],Insumo[UND],,0),"")</f>
        <v/>
      </c>
      <c r="D1036" s="31"/>
      <c r="E1036" s="32" t="str">
        <f>IFERROR(_xlfn.XLOOKUP($B1036,Insumo[DESCRIPCION],Insumo[VALOR],,0),"")</f>
        <v/>
      </c>
      <c r="F1036" s="33"/>
      <c r="G1036" s="34" t="str">
        <f>IFERROR(IF(F1036&gt;=0,D1036*E1036*(1+F1036/100),ABS(D1036*E1036/F1036)),"")</f>
        <v/>
      </c>
      <c r="H1036" s="139" t="str">
        <f>IFERROR(G1036*E1032,"")</f>
        <v/>
      </c>
    </row>
    <row r="1037" spans="1:11" ht="12.75" customHeight="1">
      <c r="A1037" s="28"/>
      <c r="B1037" s="29"/>
      <c r="C1037" s="30" t="str">
        <f>IFERROR(_xlfn.XLOOKUP(B1037,Insumo[DESCRIPCION],Insumo[UND],,0),"")</f>
        <v/>
      </c>
      <c r="D1037" s="31"/>
      <c r="E1037" s="32" t="str">
        <f>IFERROR(_xlfn.XLOOKUP($B1037,Insumo[DESCRIPCION],Insumo[VALOR],,0),"")</f>
        <v/>
      </c>
      <c r="F1037" s="33"/>
      <c r="G1037" s="34" t="str">
        <f>IFERROR(IF(F1037&gt;=0,D1037*E1037*(1+F1037/100),ABS(D1037*E1037/F1037)),"")</f>
        <v/>
      </c>
      <c r="H1037" s="139" t="str">
        <f>IFERROR(G1037*E1032,"")</f>
        <v/>
      </c>
    </row>
    <row r="1038" spans="1:11" ht="12.75" customHeight="1">
      <c r="A1038" s="28"/>
      <c r="B1038" s="29"/>
      <c r="C1038" s="30" t="str">
        <f>IFERROR(_xlfn.XLOOKUP(B1038,Insumo[DESCRIPCION],Insumo[UND],,0),"")</f>
        <v/>
      </c>
      <c r="D1038" s="31"/>
      <c r="E1038" s="32" t="str">
        <f>IFERROR(_xlfn.XLOOKUP($B1038,Insumo[DESCRIPCION],Insumo[VALOR],,0),"")</f>
        <v/>
      </c>
      <c r="F1038" s="33"/>
      <c r="G1038" s="34" t="str">
        <f>IFERROR(IF(F1038&gt;=0,D1038*E1038*(1+F1038/100),ABS(D1038*E1038/F1038)),"")</f>
        <v/>
      </c>
      <c r="H1038" s="139" t="str">
        <f>IFERROR(G1038*E1032,"")</f>
        <v/>
      </c>
    </row>
    <row r="1039" spans="1:11" ht="12.75" customHeight="1">
      <c r="A1039" s="28"/>
      <c r="B1039" s="29"/>
      <c r="C1039" s="30" t="str">
        <f>IFERROR(_xlfn.XLOOKUP(B1039,Insumo[DESCRIPCION],Insumo[UND],,0),"")</f>
        <v/>
      </c>
      <c r="D1039" s="31"/>
      <c r="E1039" s="32" t="str">
        <f>IFERROR(_xlfn.XLOOKUP($B1039,Insumo[DESCRIPCION],Insumo[VALOR],,0),"")</f>
        <v/>
      </c>
      <c r="F1039" s="33"/>
      <c r="G1039" s="34" t="str">
        <f>IFERROR(IF(F1039&gt;=0,D1039*E1039*(1+F1039/100),ABS(D1039*E1039/F1039)),"")</f>
        <v/>
      </c>
      <c r="H1039" s="139" t="str">
        <f>IFERROR(G1039*E1032,"")</f>
        <v/>
      </c>
    </row>
    <row r="1040" spans="1:11" ht="12.75" customHeight="1">
      <c r="A1040" s="21"/>
      <c r="B1040" s="22" t="s">
        <v>3731</v>
      </c>
      <c r="C1040" s="23"/>
      <c r="D1040" s="24"/>
      <c r="E1040" s="25"/>
      <c r="F1040" s="26"/>
      <c r="G1040" s="27">
        <f>SUM(G1041:G1043)</f>
        <v>989.74866022500032</v>
      </c>
      <c r="H1040" s="27">
        <f>IFERROR(G1040*E1032,"")</f>
        <v>0</v>
      </c>
    </row>
    <row r="1041" spans="1:11" ht="12.75" customHeight="1">
      <c r="A1041" s="28"/>
      <c r="B1041" s="29" t="s">
        <v>3626</v>
      </c>
      <c r="C1041" s="30" t="str">
        <f>IFERROR(_xlfn.XLOOKUP(B1041,Equipo[DESCRIPCION],Equipo[UND],,0),"")</f>
        <v>%MO</v>
      </c>
      <c r="D1041" s="31">
        <v>0.05</v>
      </c>
      <c r="E1041" s="32">
        <f>IF(C1041="%MO",G1047,IFERROR(_xlfn.XLOOKUP($B1041,Equipo[DESCRIPCION],Equipo[VALOR],,0),""))</f>
        <v>19794.973204500006</v>
      </c>
      <c r="F1041" s="33"/>
      <c r="G1041" s="34">
        <f>IFERROR(IF(F1041&gt;=0,D1041*E1041*(1+F1041/100),ABS(D1041*E1041/F1041)),"")</f>
        <v>989.74866022500032</v>
      </c>
      <c r="H1041" s="139">
        <f>IFERROR(G1041*E1032,"")</f>
        <v>0</v>
      </c>
    </row>
    <row r="1042" spans="1:11" ht="12.75" customHeight="1">
      <c r="A1042" s="28"/>
      <c r="B1042" s="29"/>
      <c r="C1042" s="30" t="str">
        <f>IFERROR(_xlfn.XLOOKUP(B1042,Equipo[DESCRIPCION],Equipo[UND],,0),"")</f>
        <v/>
      </c>
      <c r="D1042" s="31"/>
      <c r="E1042" s="32" t="str">
        <f>IF(C1042="%MO",G1047,IFERROR(_xlfn.XLOOKUP($B1042,Equipo[DESCRIPCION],Equipo[VALOR],,0),""))</f>
        <v/>
      </c>
      <c r="F1042" s="33"/>
      <c r="G1042" s="34" t="str">
        <f>IFERROR(IF(F1042&gt;=0,D1042*E1042*(1+F1042/100),ABS(D1042*E1042/F1042)),"")</f>
        <v/>
      </c>
      <c r="H1042" s="139" t="str">
        <f>IFERROR(G1042*E1032,"")</f>
        <v/>
      </c>
    </row>
    <row r="1043" spans="1:11" ht="12.75" customHeight="1">
      <c r="A1043" s="28"/>
      <c r="B1043" s="29"/>
      <c r="C1043" s="30" t="str">
        <f>IFERROR(_xlfn.XLOOKUP(B1043,Equipo[DESCRIPCION],Equipo[UND],,0),"")</f>
        <v/>
      </c>
      <c r="D1043" s="31"/>
      <c r="E1043" s="32" t="str">
        <f>IF(C1043="%MO",G1047,IFERROR(_xlfn.XLOOKUP($B1043,Equipo[DESCRIPCION],Equipo[VALOR],,0),""))</f>
        <v/>
      </c>
      <c r="F1043" s="33"/>
      <c r="G1043" s="34" t="str">
        <f>IFERROR(IF(F1043&gt;=0,D1043*E1043*(1+F1043/100),ABS(D1043*E1043/F1043)),"")</f>
        <v/>
      </c>
      <c r="H1043" s="139" t="str">
        <f>IFERROR(G1043*E1032,"")</f>
        <v/>
      </c>
    </row>
    <row r="1044" spans="1:11" ht="12.75" customHeight="1">
      <c r="A1044" s="21"/>
      <c r="B1044" s="22" t="s">
        <v>2533</v>
      </c>
      <c r="C1044" s="23"/>
      <c r="D1044" s="24"/>
      <c r="E1044" s="25"/>
      <c r="F1044" s="26"/>
      <c r="G1044" s="27">
        <f>SUM(G1045:G1046)</f>
        <v>0</v>
      </c>
      <c r="H1044" s="27">
        <f>IFERROR(G1044*E1032,"")</f>
        <v>0</v>
      </c>
    </row>
    <row r="1045" spans="1:11" ht="12.75" customHeight="1">
      <c r="A1045" s="28"/>
      <c r="B1045" s="29"/>
      <c r="C1045" s="30" t="str">
        <f>IFERROR(_xlfn.XLOOKUP(B1045,Transporte[DESCRIPCION],Transporte[UND],,0),"")</f>
        <v/>
      </c>
      <c r="D1045" s="31"/>
      <c r="E1045" s="32" t="str">
        <f>IFERROR(_xlfn.XLOOKUP($B1045,Transporte[DESCRIPCION],Transporte[VALOR],,0),"")</f>
        <v/>
      </c>
      <c r="F1045" s="33"/>
      <c r="G1045" s="34" t="str">
        <f>IFERROR(IF(F1045&gt;=0,D1045*E1045*(1+F1045/100),ABS(D1045*E1045/F1045)),"")</f>
        <v/>
      </c>
      <c r="H1045" s="139" t="str">
        <f>IFERROR(G1045*E1032,"")</f>
        <v/>
      </c>
    </row>
    <row r="1046" spans="1:11" ht="12.75" customHeight="1">
      <c r="A1046" s="28"/>
      <c r="B1046" s="29"/>
      <c r="C1046" s="30" t="str">
        <f>IFERROR(_xlfn.XLOOKUP(B1046,Transporte[DESCRIPCION],Transporte[UND],,0),"")</f>
        <v/>
      </c>
      <c r="D1046" s="31"/>
      <c r="E1046" s="32" t="str">
        <f>IFERROR(_xlfn.XLOOKUP($B1046,Transporte[DESCRIPCION],Transporte[VALOR],,0),"")</f>
        <v/>
      </c>
      <c r="F1046" s="33"/>
      <c r="G1046" s="34" t="str">
        <f>IFERROR(IF(F1046&gt;=0,D1046*E1046*(1+F1046/100),ABS(D1046*E1046/F1046)),"")</f>
        <v/>
      </c>
      <c r="H1046" s="139" t="str">
        <f>IFERROR(G1046*E1032,"")</f>
        <v/>
      </c>
    </row>
    <row r="1047" spans="1:11" ht="12.75" customHeight="1">
      <c r="A1047" s="21"/>
      <c r="B1047" s="22" t="s">
        <v>3732</v>
      </c>
      <c r="C1047" s="23"/>
      <c r="D1047" s="24"/>
      <c r="E1047" s="25"/>
      <c r="F1047" s="26"/>
      <c r="G1047" s="27">
        <f>SUM(G1048:G1050)</f>
        <v>19794.973204500006</v>
      </c>
      <c r="H1047" s="27">
        <f>IFERROR(G1047*E1032,"")</f>
        <v>0</v>
      </c>
    </row>
    <row r="1048" spans="1:11" ht="12.75" customHeight="1">
      <c r="A1048" s="28"/>
      <c r="B1048" s="29" t="s">
        <v>3705</v>
      </c>
      <c r="C1048" s="30" t="str">
        <f>IFERROR(_xlfn.XLOOKUP(B1048,MObra[DESCRIPCION],MObra[UN],,0),"")</f>
        <v>día</v>
      </c>
      <c r="D1048" s="31">
        <v>1</v>
      </c>
      <c r="E1048" s="32">
        <f>IFERROR(_xlfn.XLOOKUP($B1048,MObra[DESCRIPCION],MObra[VALOR UNIT],,0),"")</f>
        <v>197949.73204500004</v>
      </c>
      <c r="F1048" s="33">
        <v>-10</v>
      </c>
      <c r="G1048" s="34">
        <f>IFERROR(IF(F1048&gt;=0,D1048*E1048*(1+F1048/100),ABS(D1048*E1048/F1048)),"")</f>
        <v>19794.973204500006</v>
      </c>
      <c r="H1048" s="139">
        <f>IFERROR(G1048*E1032,"")</f>
        <v>0</v>
      </c>
    </row>
    <row r="1049" spans="1:11" ht="12.75" customHeight="1">
      <c r="A1049" s="28"/>
      <c r="B1049" s="29"/>
      <c r="C1049" s="30" t="str">
        <f>IFERROR(_xlfn.XLOOKUP(B1049,MObra[DESCRIPCION],MObra[UN],,0),"")</f>
        <v/>
      </c>
      <c r="D1049" s="31"/>
      <c r="E1049" s="32" t="str">
        <f>IFERROR(_xlfn.XLOOKUP($B1049,MObra[DESCRIPCION],MObra[VALOR UNIT],,0),"")</f>
        <v/>
      </c>
      <c r="F1049" s="33"/>
      <c r="G1049" s="34" t="str">
        <f>IFERROR(IF(F1049&gt;=0,D1049*E1049*(1+F1049/100),ABS(D1049*E1049/F1049)),"")</f>
        <v/>
      </c>
      <c r="H1049" s="139" t="str">
        <f>IFERROR(G1049*E1032,"")</f>
        <v/>
      </c>
    </row>
    <row r="1050" spans="1:11" ht="12.75" customHeight="1" thickBot="1">
      <c r="A1050" s="35"/>
      <c r="B1050" s="36"/>
      <c r="C1050" s="37" t="str">
        <f>IFERROR(_xlfn.XLOOKUP(B1050,MObra[DESCRIPCION],MObra[UN],,0),"")</f>
        <v/>
      </c>
      <c r="D1050" s="38"/>
      <c r="E1050" s="39" t="str">
        <f>IFERROR(_xlfn.XLOOKUP($B1050,MObra[DESCRIPCION],MObra[VALOR UNIT],,0),"")</f>
        <v/>
      </c>
      <c r="F1050" s="40"/>
      <c r="G1050" s="41" t="str">
        <f>IFERROR(IF(F1050&gt;=0,D1050*E1050*(1+F1050/100),ABS(D1050*E1050/F1050)),"")</f>
        <v/>
      </c>
      <c r="H1050" s="42" t="str">
        <f>IFERROR(G1050*E1032,"")</f>
        <v/>
      </c>
    </row>
    <row r="1051" spans="1:11" ht="12.75" customHeight="1" thickTop="1" thickBot="1"/>
    <row r="1052" spans="1:11" ht="12.75" customHeight="1" thickTop="1" thickBot="1">
      <c r="A1052" s="6" t="s">
        <v>1474</v>
      </c>
      <c r="B1052" s="7" t="str">
        <f>VLOOKUP($A1052,Presupuesto!$A:$D,2,FALSE())</f>
        <v>Mesón concreto burdo W=0.60m</v>
      </c>
      <c r="C1052" s="8" t="str">
        <f>VLOOKUP($A1052,Presupuesto!$A:$D,3,FALSE())</f>
        <v>M</v>
      </c>
      <c r="D1052" s="9"/>
      <c r="E1052" s="10">
        <f>VLOOKUP($A1052,Presupuesto!$A:$D,4,FALSE())</f>
        <v>0</v>
      </c>
      <c r="F1052" s="11" t="s">
        <v>2589</v>
      </c>
      <c r="G1052" s="12">
        <f>SUM(G1054:G1070)/2</f>
        <v>259644.80167902511</v>
      </c>
      <c r="H1052" s="13">
        <f>ROUND(SUM(H1054:H1070),0)/2</f>
        <v>0</v>
      </c>
      <c r="I1052" s="10">
        <f>VLOOKUP(A1052,Presupuesto!$A:$F,6,0)</f>
        <v>0</v>
      </c>
      <c r="J1052" s="10">
        <f>+H1052-I1052</f>
        <v>0</v>
      </c>
      <c r="K1052" s="46">
        <f>+H1052-G1052*E1052</f>
        <v>0</v>
      </c>
    </row>
    <row r="1053" spans="1:11" ht="12.75" customHeight="1" thickTop="1">
      <c r="A1053" s="14"/>
      <c r="B1053" s="15" t="s">
        <v>2586</v>
      </c>
      <c r="C1053" s="15" t="s">
        <v>5</v>
      </c>
      <c r="D1053" s="16" t="s">
        <v>6</v>
      </c>
      <c r="E1053" s="17" t="s">
        <v>7</v>
      </c>
      <c r="F1053" s="18" t="s">
        <v>3728</v>
      </c>
      <c r="G1053" s="19" t="s">
        <v>3729</v>
      </c>
      <c r="H1053" s="20" t="s">
        <v>3797</v>
      </c>
    </row>
    <row r="1054" spans="1:11" ht="12.75" customHeight="1">
      <c r="A1054" s="21"/>
      <c r="B1054" s="22" t="s">
        <v>3730</v>
      </c>
      <c r="C1054" s="23"/>
      <c r="D1054" s="24"/>
      <c r="E1054" s="25"/>
      <c r="F1054" s="26"/>
      <c r="G1054" s="27">
        <f>SUM(G1055:G1059)</f>
        <v>149608.03886577504</v>
      </c>
      <c r="H1054" s="27">
        <f>IFERROR(G1054*E1052,"")</f>
        <v>0</v>
      </c>
    </row>
    <row r="1055" spans="1:11" ht="12.75" customHeight="1">
      <c r="A1055" s="28"/>
      <c r="B1055" s="29" t="s">
        <v>2954</v>
      </c>
      <c r="C1055" s="30" t="str">
        <f>IFERROR(_xlfn.XLOOKUP(B1055,Insumo[DESCRIPCION],Insumo[UND],,0),"")</f>
        <v>M2</v>
      </c>
      <c r="D1055" s="31">
        <v>0.8</v>
      </c>
      <c r="E1055" s="32">
        <f>IFERROR(_xlfn.XLOOKUP($B1055,Insumo[DESCRIPCION],Insumo[VALOR],,0),"")</f>
        <v>102154.92581625449</v>
      </c>
      <c r="F1055" s="33"/>
      <c r="G1055" s="34">
        <f>IFERROR(IF(F1055&gt;=0,D1055*E1055*(1+F1055/100),ABS(D1055*E1055/F1055)),"")</f>
        <v>81723.940653003592</v>
      </c>
      <c r="H1055" s="139">
        <f>IFERROR(G1055*E1052,"")</f>
        <v>0</v>
      </c>
    </row>
    <row r="1056" spans="1:11" ht="12.75" customHeight="1">
      <c r="A1056" s="28"/>
      <c r="B1056" s="29" t="s">
        <v>3239</v>
      </c>
      <c r="C1056" s="30" t="str">
        <f>IFERROR(_xlfn.XLOOKUP(B1056,Insumo[DESCRIPCION],Insumo[UND],,0),"")</f>
        <v>M3</v>
      </c>
      <c r="D1056" s="31">
        <v>0.03</v>
      </c>
      <c r="E1056" s="32">
        <f>IFERROR(_xlfn.XLOOKUP($B1056,Insumo[DESCRIPCION],Insumo[VALOR],,0),"")</f>
        <v>521159.50227762427</v>
      </c>
      <c r="F1056" s="33"/>
      <c r="G1056" s="34">
        <f>IFERROR(IF(F1056&gt;=0,D1056*E1056*(1+F1056/100),ABS(D1056*E1056/F1056)),"")</f>
        <v>15634.785068328727</v>
      </c>
      <c r="H1056" s="139">
        <f>IFERROR(G1056*E1052,"")</f>
        <v>0</v>
      </c>
    </row>
    <row r="1057" spans="1:11" ht="12.75" customHeight="1">
      <c r="A1057" s="28"/>
      <c r="B1057" s="29" t="s">
        <v>3134</v>
      </c>
      <c r="C1057" s="30" t="str">
        <f>IFERROR(_xlfn.XLOOKUP(B1057,Insumo[DESCRIPCION],Insumo[UND],,0),"")</f>
        <v>Un</v>
      </c>
      <c r="D1057" s="31">
        <v>0.09</v>
      </c>
      <c r="E1057" s="32">
        <f>IFERROR(_xlfn.XLOOKUP($B1057,Insumo[DESCRIPCION],Insumo[VALOR],,0),"")</f>
        <v>217350</v>
      </c>
      <c r="F1057" s="33"/>
      <c r="G1057" s="34">
        <f>IFERROR(IF(F1057&gt;=0,D1057*E1057*(1+F1057/100),ABS(D1057*E1057/F1057)),"")</f>
        <v>19561.5</v>
      </c>
      <c r="H1057" s="139">
        <f>IFERROR(G1057*E1052,"")</f>
        <v>0</v>
      </c>
    </row>
    <row r="1058" spans="1:11" ht="12.75" customHeight="1">
      <c r="A1058" s="28"/>
      <c r="B1058" s="29" t="s">
        <v>3020</v>
      </c>
      <c r="C1058" s="30" t="str">
        <f>IFERROR(_xlfn.XLOOKUP(B1058,Insumo[DESCRIPCION],Insumo[UND],,0),"")</f>
        <v>Un</v>
      </c>
      <c r="D1058" s="31">
        <v>25</v>
      </c>
      <c r="E1058" s="32">
        <f>IFERROR(_xlfn.XLOOKUP($B1058,Insumo[DESCRIPCION],Insumo[VALOR],,0),"")</f>
        <v>909.30000000000007</v>
      </c>
      <c r="F1058" s="33"/>
      <c r="G1058" s="34">
        <f>IFERROR(IF(F1058&gt;=0,D1058*E1058*(1+F1058/100),ABS(D1058*E1058/F1058)),"")</f>
        <v>22732.5</v>
      </c>
      <c r="H1058" s="139">
        <f>IFERROR(G1058*E1052,"")</f>
        <v>0</v>
      </c>
    </row>
    <row r="1059" spans="1:11" ht="12.75" customHeight="1">
      <c r="A1059" s="28"/>
      <c r="B1059" s="29" t="s">
        <v>3244</v>
      </c>
      <c r="C1059" s="30" t="str">
        <f>IFERROR(_xlfn.XLOOKUP(B1059,Insumo[DESCRIPCION],Insumo[UND],,0),"")</f>
        <v>M3</v>
      </c>
      <c r="D1059" s="31">
        <v>0.02</v>
      </c>
      <c r="E1059" s="32">
        <f>IFERROR(_xlfn.XLOOKUP($B1059,Insumo[DESCRIPCION],Insumo[VALOR],,0),"")</f>
        <v>497765.65722213761</v>
      </c>
      <c r="F1059" s="33"/>
      <c r="G1059" s="34">
        <f>IFERROR(IF(F1059&gt;=0,D1059*E1059*(1+F1059/100),ABS(D1059*E1059/F1059)),"")</f>
        <v>9955.3131444427527</v>
      </c>
      <c r="H1059" s="139">
        <f>IFERROR(G1059*E1052,"")</f>
        <v>0</v>
      </c>
    </row>
    <row r="1060" spans="1:11" ht="12.75" customHeight="1">
      <c r="A1060" s="21"/>
      <c r="B1060" s="22" t="s">
        <v>3731</v>
      </c>
      <c r="C1060" s="23"/>
      <c r="D1060" s="24"/>
      <c r="E1060" s="25"/>
      <c r="F1060" s="26"/>
      <c r="G1060" s="27">
        <f>SUM(G1061:G1063)</f>
        <v>5239.8458482500018</v>
      </c>
      <c r="H1060" s="27">
        <f>IFERROR(G1060*E1052,"")</f>
        <v>0</v>
      </c>
    </row>
    <row r="1061" spans="1:11" ht="12.75" customHeight="1">
      <c r="A1061" s="28"/>
      <c r="B1061" s="29" t="s">
        <v>3626</v>
      </c>
      <c r="C1061" s="30" t="str">
        <f>IFERROR(_xlfn.XLOOKUP(B1061,Equipo[DESCRIPCION],Equipo[UND],,0),"")</f>
        <v>%MO</v>
      </c>
      <c r="D1061" s="31">
        <v>0.05</v>
      </c>
      <c r="E1061" s="32">
        <f>IF(C1061="%MO",G1067,IFERROR(_xlfn.XLOOKUP($B1061,Equipo[DESCRIPCION],Equipo[VALOR],,0),""))</f>
        <v>104796.91696500003</v>
      </c>
      <c r="F1061" s="33"/>
      <c r="G1061" s="34">
        <f>IFERROR(IF(F1061&gt;=0,D1061*E1061*(1+F1061/100),ABS(D1061*E1061/F1061)),"")</f>
        <v>5239.8458482500018</v>
      </c>
      <c r="H1061" s="139">
        <f>IFERROR(G1061*E1052,"")</f>
        <v>0</v>
      </c>
    </row>
    <row r="1062" spans="1:11" ht="12.75" customHeight="1">
      <c r="A1062" s="28"/>
      <c r="B1062" s="29"/>
      <c r="C1062" s="30" t="str">
        <f>IFERROR(_xlfn.XLOOKUP(B1062,Equipo[DESCRIPCION],Equipo[UND],,0),"")</f>
        <v/>
      </c>
      <c r="D1062" s="31"/>
      <c r="E1062" s="32" t="str">
        <f>IF(C1062="%MO",G1067,IFERROR(_xlfn.XLOOKUP($B1062,Equipo[DESCRIPCION],Equipo[VALOR],,0),""))</f>
        <v/>
      </c>
      <c r="F1062" s="33"/>
      <c r="G1062" s="34" t="str">
        <f>IFERROR(IF(F1062&gt;=0,D1062*E1062*(1+F1062/100),ABS(D1062*E1062/F1062)),"")</f>
        <v/>
      </c>
      <c r="H1062" s="139" t="str">
        <f>IFERROR(G1062*E1052,"")</f>
        <v/>
      </c>
    </row>
    <row r="1063" spans="1:11" ht="12.75" customHeight="1">
      <c r="A1063" s="28"/>
      <c r="B1063" s="29"/>
      <c r="C1063" s="30" t="str">
        <f>IFERROR(_xlfn.XLOOKUP(B1063,Equipo[DESCRIPCION],Equipo[UND],,0),"")</f>
        <v/>
      </c>
      <c r="D1063" s="31"/>
      <c r="E1063" s="32" t="str">
        <f>IF(C1063="%MO",G1067,IFERROR(_xlfn.XLOOKUP($B1063,Equipo[DESCRIPCION],Equipo[VALOR],,0),""))</f>
        <v/>
      </c>
      <c r="F1063" s="33"/>
      <c r="G1063" s="34" t="str">
        <f>IFERROR(IF(F1063&gt;=0,D1063*E1063*(1+F1063/100),ABS(D1063*E1063/F1063)),"")</f>
        <v/>
      </c>
      <c r="H1063" s="139" t="str">
        <f>IFERROR(G1063*E1052,"")</f>
        <v/>
      </c>
    </row>
    <row r="1064" spans="1:11" ht="12.75" customHeight="1">
      <c r="A1064" s="21"/>
      <c r="B1064" s="22" t="s">
        <v>2533</v>
      </c>
      <c r="C1064" s="23"/>
      <c r="D1064" s="24"/>
      <c r="E1064" s="25"/>
      <c r="F1064" s="26"/>
      <c r="G1064" s="27">
        <f>SUM(G1065:G1066)</f>
        <v>0</v>
      </c>
      <c r="H1064" s="27">
        <f>IFERROR(G1064*E1052,"")</f>
        <v>0</v>
      </c>
    </row>
    <row r="1065" spans="1:11" ht="12.75" customHeight="1">
      <c r="A1065" s="28"/>
      <c r="B1065" s="29"/>
      <c r="C1065" s="30" t="str">
        <f>IFERROR(_xlfn.XLOOKUP(B1065,Transporte[DESCRIPCION],Transporte[UND],,0),"")</f>
        <v/>
      </c>
      <c r="D1065" s="31"/>
      <c r="E1065" s="32" t="str">
        <f>IFERROR(_xlfn.XLOOKUP($B1065,Transporte[DESCRIPCION],Transporte[VALOR],,0),"")</f>
        <v/>
      </c>
      <c r="F1065" s="33"/>
      <c r="G1065" s="34" t="str">
        <f>IFERROR(IF(F1065&gt;=0,D1065*E1065*(1+F1065/100),ABS(D1065*E1065/F1065)),"")</f>
        <v/>
      </c>
      <c r="H1065" s="139" t="str">
        <f>IFERROR(G1065*E1052,"")</f>
        <v/>
      </c>
    </row>
    <row r="1066" spans="1:11" ht="12.75" customHeight="1">
      <c r="A1066" s="28"/>
      <c r="B1066" s="29"/>
      <c r="C1066" s="30" t="str">
        <f>IFERROR(_xlfn.XLOOKUP(B1066,Transporte[DESCRIPCION],Transporte[UND],,0),"")</f>
        <v/>
      </c>
      <c r="D1066" s="31"/>
      <c r="E1066" s="32" t="str">
        <f>IFERROR(_xlfn.XLOOKUP($B1066,Transporte[DESCRIPCION],Transporte[VALOR],,0),"")</f>
        <v/>
      </c>
      <c r="F1066" s="33"/>
      <c r="G1066" s="34" t="str">
        <f>IFERROR(IF(F1066&gt;=0,D1066*E1066*(1+F1066/100),ABS(D1066*E1066/F1066)),"")</f>
        <v/>
      </c>
      <c r="H1066" s="139" t="str">
        <f>IFERROR(G1066*E1052,"")</f>
        <v/>
      </c>
    </row>
    <row r="1067" spans="1:11" ht="12.75" customHeight="1">
      <c r="A1067" s="21"/>
      <c r="B1067" s="22" t="s">
        <v>3732</v>
      </c>
      <c r="C1067" s="23"/>
      <c r="D1067" s="24"/>
      <c r="E1067" s="25"/>
      <c r="F1067" s="26"/>
      <c r="G1067" s="27">
        <f>SUM(G1068:G1070)</f>
        <v>104796.91696500003</v>
      </c>
      <c r="H1067" s="27">
        <f>IFERROR(G1067*E1052,"")</f>
        <v>0</v>
      </c>
    </row>
    <row r="1068" spans="1:11" ht="12.75" customHeight="1">
      <c r="A1068" s="28"/>
      <c r="B1068" s="29" t="s">
        <v>3710</v>
      </c>
      <c r="C1068" s="30" t="str">
        <f>IFERROR(_xlfn.XLOOKUP(B1068,MObra[DESCRIPCION],MObra[UN],,0),"")</f>
        <v>día</v>
      </c>
      <c r="D1068" s="31">
        <v>1</v>
      </c>
      <c r="E1068" s="32">
        <f>IFERROR(_xlfn.XLOOKUP($B1068,MObra[DESCRIPCION],MObra[VALOR UNIT],,0),"")</f>
        <v>314390.75089500006</v>
      </c>
      <c r="F1068" s="33">
        <v>-3</v>
      </c>
      <c r="G1068" s="34">
        <f>IFERROR(IF(F1068&gt;=0,D1068*E1068*(1+F1068/100),ABS(D1068*E1068/F1068)),"")</f>
        <v>104796.91696500003</v>
      </c>
      <c r="H1068" s="139">
        <f>IFERROR(G1068*E1052,"")</f>
        <v>0</v>
      </c>
    </row>
    <row r="1069" spans="1:11" ht="12.75" customHeight="1">
      <c r="A1069" s="28"/>
      <c r="B1069" s="29"/>
      <c r="C1069" s="30" t="str">
        <f>IFERROR(_xlfn.XLOOKUP(B1069,MObra[DESCRIPCION],MObra[UN],,0),"")</f>
        <v/>
      </c>
      <c r="D1069" s="31"/>
      <c r="E1069" s="32" t="str">
        <f>IFERROR(_xlfn.XLOOKUP($B1069,MObra[DESCRIPCION],MObra[VALOR UNIT],,0),"")</f>
        <v/>
      </c>
      <c r="F1069" s="33"/>
      <c r="G1069" s="34" t="str">
        <f>IFERROR(IF(F1069&gt;=0,D1069*E1069*(1+F1069/100),ABS(D1069*E1069/F1069)),"")</f>
        <v/>
      </c>
      <c r="H1069" s="139" t="str">
        <f>IFERROR(G1069*E1052,"")</f>
        <v/>
      </c>
    </row>
    <row r="1070" spans="1:11" ht="12.75" customHeight="1" thickBot="1">
      <c r="A1070" s="35"/>
      <c r="B1070" s="36"/>
      <c r="C1070" s="37" t="str">
        <f>IFERROR(_xlfn.XLOOKUP(B1070,MObra[DESCRIPCION],MObra[UN],,0),"")</f>
        <v/>
      </c>
      <c r="D1070" s="38"/>
      <c r="E1070" s="39" t="str">
        <f>IFERROR(_xlfn.XLOOKUP($B1070,MObra[DESCRIPCION],MObra[VALOR UNIT],,0),"")</f>
        <v/>
      </c>
      <c r="F1070" s="40"/>
      <c r="G1070" s="41" t="str">
        <f>IFERROR(IF(F1070&gt;=0,D1070*E1070*(1+F1070/100),ABS(D1070*E1070/F1070)),"")</f>
        <v/>
      </c>
      <c r="H1070" s="42" t="str">
        <f>IFERROR(G1070*E1052,"")</f>
        <v/>
      </c>
    </row>
    <row r="1071" spans="1:11" ht="12.75" customHeight="1" thickTop="1" thickBot="1"/>
    <row r="1072" spans="1:11" ht="12.75" customHeight="1" thickTop="1" thickBot="1">
      <c r="A1072" s="6" t="s">
        <v>1476</v>
      </c>
      <c r="B1072" s="7" t="str">
        <f>VLOOKUP($A1072,Presupuesto!$A:$D,2,FALSE())</f>
        <v>Mesón concreto burdo + mamposteria + enchape</v>
      </c>
      <c r="C1072" s="8" t="str">
        <f>VLOOKUP($A1072,Presupuesto!$A:$D,3,FALSE())</f>
        <v>M</v>
      </c>
      <c r="D1072" s="9"/>
      <c r="E1072" s="10">
        <f>VLOOKUP($A1072,Presupuesto!$A:$D,4,FALSE())</f>
        <v>0</v>
      </c>
      <c r="F1072" s="11" t="s">
        <v>2589</v>
      </c>
      <c r="G1072" s="12">
        <f>SUM(G1074:G1093)/2</f>
        <v>300850.05667902512</v>
      </c>
      <c r="H1072" s="13">
        <f>ROUND(SUM(H1074:H1093),0)/2</f>
        <v>0</v>
      </c>
      <c r="I1072" s="10">
        <f>VLOOKUP(A1072,Presupuesto!$A:$F,6,0)</f>
        <v>0</v>
      </c>
      <c r="J1072" s="10">
        <f>+H1072-I1072</f>
        <v>0</v>
      </c>
      <c r="K1072" s="46">
        <f>+H1072-G1072*E1072</f>
        <v>0</v>
      </c>
    </row>
    <row r="1073" spans="1:8" ht="12.75" customHeight="1" thickTop="1">
      <c r="A1073" s="14"/>
      <c r="B1073" s="15" t="s">
        <v>2586</v>
      </c>
      <c r="C1073" s="15" t="s">
        <v>5</v>
      </c>
      <c r="D1073" s="16" t="s">
        <v>6</v>
      </c>
      <c r="E1073" s="17" t="s">
        <v>7</v>
      </c>
      <c r="F1073" s="18" t="s">
        <v>3728</v>
      </c>
      <c r="G1073" s="19" t="s">
        <v>3729</v>
      </c>
      <c r="H1073" s="20" t="s">
        <v>3797</v>
      </c>
    </row>
    <row r="1074" spans="1:8" ht="12.75" customHeight="1">
      <c r="A1074" s="21"/>
      <c r="B1074" s="22" t="s">
        <v>3730</v>
      </c>
      <c r="C1074" s="23"/>
      <c r="D1074" s="24"/>
      <c r="E1074" s="25"/>
      <c r="F1074" s="26"/>
      <c r="G1074" s="27">
        <f>SUM(G1075:G1082)</f>
        <v>190813.29386577502</v>
      </c>
      <c r="H1074" s="27">
        <f>IFERROR(G1074*E1072,"")</f>
        <v>0</v>
      </c>
    </row>
    <row r="1075" spans="1:8" ht="12.75" customHeight="1">
      <c r="A1075" s="28"/>
      <c r="B1075" s="29" t="s">
        <v>2954</v>
      </c>
      <c r="C1075" s="30" t="str">
        <f>IFERROR(_xlfn.XLOOKUP(B1075,Insumo[DESCRIPCION],Insumo[UND],,0),"")</f>
        <v>M2</v>
      </c>
      <c r="D1075" s="31">
        <v>0.8</v>
      </c>
      <c r="E1075" s="32">
        <f>IFERROR(_xlfn.XLOOKUP($B1075,Insumo[DESCRIPCION],Insumo[VALOR],,0),"")</f>
        <v>102154.92581625449</v>
      </c>
      <c r="F1075" s="33"/>
      <c r="G1075" s="34">
        <f t="shared" ref="G1075:G1082" si="3">IFERROR(IF(F1075&gt;=0,D1075*E1075*(1+F1075/100),ABS(D1075*E1075/F1075)),"")</f>
        <v>81723.940653003592</v>
      </c>
      <c r="H1075" s="139">
        <f>IFERROR(G1075*E1072,"")</f>
        <v>0</v>
      </c>
    </row>
    <row r="1076" spans="1:8" ht="12.75" customHeight="1">
      <c r="A1076" s="28"/>
      <c r="B1076" s="29" t="s">
        <v>3239</v>
      </c>
      <c r="C1076" s="30" t="str">
        <f>IFERROR(_xlfn.XLOOKUP(B1076,Insumo[DESCRIPCION],Insumo[UND],,0),"")</f>
        <v>M3</v>
      </c>
      <c r="D1076" s="31">
        <f>0.6*0.05</f>
        <v>0.03</v>
      </c>
      <c r="E1076" s="32">
        <f>IFERROR(_xlfn.XLOOKUP($B1076,Insumo[DESCRIPCION],Insumo[VALOR],,0),"")</f>
        <v>521159.50227762427</v>
      </c>
      <c r="F1076" s="33"/>
      <c r="G1076" s="34">
        <f t="shared" si="3"/>
        <v>15634.785068328727</v>
      </c>
      <c r="H1076" s="139">
        <f>IFERROR(G1076*E1072,"")</f>
        <v>0</v>
      </c>
    </row>
    <row r="1077" spans="1:8" ht="12.75" customHeight="1">
      <c r="A1077" s="28"/>
      <c r="B1077" s="29" t="s">
        <v>3134</v>
      </c>
      <c r="C1077" s="30" t="str">
        <f>IFERROR(_xlfn.XLOOKUP(B1077,Insumo[DESCRIPCION],Insumo[UND],,0),"")</f>
        <v>Un</v>
      </c>
      <c r="D1077" s="31">
        <v>0.09</v>
      </c>
      <c r="E1077" s="32">
        <f>IFERROR(_xlfn.XLOOKUP($B1077,Insumo[DESCRIPCION],Insumo[VALOR],,0),"")</f>
        <v>217350</v>
      </c>
      <c r="F1077" s="33"/>
      <c r="G1077" s="34">
        <f t="shared" si="3"/>
        <v>19561.5</v>
      </c>
      <c r="H1077" s="139">
        <f>IFERROR(G1077*E1072,"")</f>
        <v>0</v>
      </c>
    </row>
    <row r="1078" spans="1:8" ht="12.75" customHeight="1">
      <c r="A1078" s="28"/>
      <c r="B1078" s="29" t="s">
        <v>3020</v>
      </c>
      <c r="C1078" s="30" t="str">
        <f>IFERROR(_xlfn.XLOOKUP(B1078,Insumo[DESCRIPCION],Insumo[UND],,0),"")</f>
        <v>Un</v>
      </c>
      <c r="D1078" s="31">
        <v>25</v>
      </c>
      <c r="E1078" s="32">
        <f>IFERROR(_xlfn.XLOOKUP($B1078,Insumo[DESCRIPCION],Insumo[VALOR],,0),"")</f>
        <v>909.30000000000007</v>
      </c>
      <c r="F1078" s="33"/>
      <c r="G1078" s="34">
        <f t="shared" si="3"/>
        <v>22732.5</v>
      </c>
      <c r="H1078" s="139">
        <f>IFERROR(G1078*E1072,"")</f>
        <v>0</v>
      </c>
    </row>
    <row r="1079" spans="1:8" ht="12.75" customHeight="1">
      <c r="A1079" s="28"/>
      <c r="B1079" s="29" t="s">
        <v>3244</v>
      </c>
      <c r="C1079" s="30" t="str">
        <f>IFERROR(_xlfn.XLOOKUP(B1079,Insumo[DESCRIPCION],Insumo[UND],,0),"")</f>
        <v>M3</v>
      </c>
      <c r="D1079" s="31">
        <v>0.02</v>
      </c>
      <c r="E1079" s="32">
        <f>IFERROR(_xlfn.XLOOKUP($B1079,Insumo[DESCRIPCION],Insumo[VALOR],,0),"")</f>
        <v>497765.65722213761</v>
      </c>
      <c r="F1079" s="33"/>
      <c r="G1079" s="34">
        <f t="shared" si="3"/>
        <v>9955.3131444427527</v>
      </c>
      <c r="H1079" s="139">
        <f>IFERROR(G1079*E1072,"")</f>
        <v>0</v>
      </c>
    </row>
    <row r="1080" spans="1:8" ht="12.75" customHeight="1">
      <c r="A1080" s="28"/>
      <c r="B1080" s="29" t="s">
        <v>2939</v>
      </c>
      <c r="C1080" s="30" t="str">
        <f>IFERROR(_xlfn.XLOOKUP(B1080,Insumo[DESCRIPCION],Insumo[UND],,0),"")</f>
        <v>M2</v>
      </c>
      <c r="D1080" s="31">
        <v>0.7</v>
      </c>
      <c r="E1080" s="32">
        <f>IFERROR(_xlfn.XLOOKUP($B1080,Insumo[DESCRIPCION],Insumo[VALOR],,0),"")</f>
        <v>45351.6</v>
      </c>
      <c r="F1080" s="33"/>
      <c r="G1080" s="34">
        <f t="shared" si="3"/>
        <v>31746.119999999995</v>
      </c>
      <c r="H1080" s="139">
        <f>IFERROR(G1080*E1072,"")</f>
        <v>0</v>
      </c>
    </row>
    <row r="1081" spans="1:8" ht="12.75" customHeight="1">
      <c r="A1081" s="28"/>
      <c r="B1081" s="29" t="s">
        <v>2759</v>
      </c>
      <c r="C1081" s="30" t="str">
        <f>IFERROR(_xlfn.XLOOKUP(B1081,Insumo[DESCRIPCION],Insumo[UND],,0),"")</f>
        <v>Kg</v>
      </c>
      <c r="D1081" s="31">
        <v>0.5</v>
      </c>
      <c r="E1081" s="32">
        <f>IFERROR(_xlfn.XLOOKUP($B1081,Insumo[DESCRIPCION],Insumo[VALOR],,0),"")</f>
        <v>10864.35</v>
      </c>
      <c r="F1081" s="33"/>
      <c r="G1081" s="34">
        <f t="shared" si="3"/>
        <v>5432.1750000000002</v>
      </c>
      <c r="H1081" s="139">
        <f>IFERROR(G1081*E1072,"")</f>
        <v>0</v>
      </c>
    </row>
    <row r="1082" spans="1:8" ht="12.75" customHeight="1">
      <c r="A1082" s="28"/>
      <c r="B1082" s="29" t="s">
        <v>3193</v>
      </c>
      <c r="C1082" s="30" t="str">
        <f>IFERROR(_xlfn.XLOOKUP(B1082,Insumo[DESCRIPCION],Insumo[UND],,0),"")</f>
        <v>Kg</v>
      </c>
      <c r="D1082" s="31">
        <v>0.3</v>
      </c>
      <c r="E1082" s="32">
        <f>IFERROR(_xlfn.XLOOKUP($B1082,Insumo[DESCRIPCION],Insumo[VALOR],,0),"")</f>
        <v>13423.2</v>
      </c>
      <c r="F1082" s="33"/>
      <c r="G1082" s="34">
        <f t="shared" si="3"/>
        <v>4026.96</v>
      </c>
      <c r="H1082" s="139">
        <f>IFERROR(G1082*E1072,"")</f>
        <v>0</v>
      </c>
    </row>
    <row r="1083" spans="1:8" ht="12.75" customHeight="1">
      <c r="A1083" s="21"/>
      <c r="B1083" s="22" t="s">
        <v>3731</v>
      </c>
      <c r="C1083" s="23"/>
      <c r="D1083" s="24"/>
      <c r="E1083" s="25"/>
      <c r="F1083" s="26"/>
      <c r="G1083" s="27">
        <f>SUM(G1084:G1086)</f>
        <v>5239.8458482500018</v>
      </c>
      <c r="H1083" s="27">
        <f>IFERROR(G1083*E1072,"")</f>
        <v>0</v>
      </c>
    </row>
    <row r="1084" spans="1:8" ht="12.75" customHeight="1">
      <c r="A1084" s="28"/>
      <c r="B1084" s="29" t="s">
        <v>3626</v>
      </c>
      <c r="C1084" s="30" t="str">
        <f>IFERROR(_xlfn.XLOOKUP(B1084,Equipo[DESCRIPCION],Equipo[UND],,0),"")</f>
        <v>%MO</v>
      </c>
      <c r="D1084" s="31">
        <v>0.05</v>
      </c>
      <c r="E1084" s="32">
        <f>IF(C1084="%MO",G1090,IFERROR(_xlfn.XLOOKUP($B1084,Equipo[DESCRIPCION],Equipo[VALOR],,0),""))</f>
        <v>104796.91696500003</v>
      </c>
      <c r="F1084" s="33"/>
      <c r="G1084" s="34">
        <f>IFERROR(IF(F1084&gt;=0,D1084*E1084*(1+F1084/100),ABS(D1084*E1084/F1084)),"")</f>
        <v>5239.8458482500018</v>
      </c>
      <c r="H1084" s="139">
        <f>IFERROR(G1084*E1072,"")</f>
        <v>0</v>
      </c>
    </row>
    <row r="1085" spans="1:8" ht="12.75" customHeight="1">
      <c r="A1085" s="28"/>
      <c r="B1085" s="29"/>
      <c r="C1085" s="30" t="str">
        <f>IFERROR(_xlfn.XLOOKUP(B1085,Equipo[DESCRIPCION],Equipo[UND],,0),"")</f>
        <v/>
      </c>
      <c r="D1085" s="31"/>
      <c r="E1085" s="32" t="str">
        <f>IF(C1085="%MO",G1090,IFERROR(_xlfn.XLOOKUP($B1085,Equipo[DESCRIPCION],Equipo[VALOR],,0),""))</f>
        <v/>
      </c>
      <c r="F1085" s="33"/>
      <c r="G1085" s="34" t="str">
        <f>IFERROR(IF(F1085&gt;=0,D1085*E1085*(1+F1085/100),ABS(D1085*E1085/F1085)),"")</f>
        <v/>
      </c>
      <c r="H1085" s="139" t="str">
        <f>IFERROR(G1085*E1072,"")</f>
        <v/>
      </c>
    </row>
    <row r="1086" spans="1:8" ht="12.75" customHeight="1">
      <c r="A1086" s="28"/>
      <c r="B1086" s="29"/>
      <c r="C1086" s="30" t="str">
        <f>IFERROR(_xlfn.XLOOKUP(B1086,Equipo[DESCRIPCION],Equipo[UND],,0),"")</f>
        <v/>
      </c>
      <c r="D1086" s="31"/>
      <c r="E1086" s="32" t="str">
        <f>IF(C1086="%MO",G1090,IFERROR(_xlfn.XLOOKUP($B1086,Equipo[DESCRIPCION],Equipo[VALOR],,0),""))</f>
        <v/>
      </c>
      <c r="F1086" s="33"/>
      <c r="G1086" s="34" t="str">
        <f>IFERROR(IF(F1086&gt;=0,D1086*E1086*(1+F1086/100),ABS(D1086*E1086/F1086)),"")</f>
        <v/>
      </c>
      <c r="H1086" s="139" t="str">
        <f>IFERROR(G1086*E1072,"")</f>
        <v/>
      </c>
    </row>
    <row r="1087" spans="1:8" ht="12.75" customHeight="1">
      <c r="A1087" s="21"/>
      <c r="B1087" s="22" t="s">
        <v>2533</v>
      </c>
      <c r="C1087" s="23"/>
      <c r="D1087" s="24"/>
      <c r="E1087" s="25"/>
      <c r="F1087" s="26"/>
      <c r="G1087" s="27">
        <f>SUM(G1088:G1089)</f>
        <v>0</v>
      </c>
      <c r="H1087" s="27">
        <f>IFERROR(G1087*E1072,"")</f>
        <v>0</v>
      </c>
    </row>
    <row r="1088" spans="1:8" ht="12.75" customHeight="1">
      <c r="A1088" s="28"/>
      <c r="B1088" s="29"/>
      <c r="C1088" s="30" t="str">
        <f>IFERROR(_xlfn.XLOOKUP(B1088,Transporte[DESCRIPCION],Transporte[UND],,0),"")</f>
        <v/>
      </c>
      <c r="D1088" s="31"/>
      <c r="E1088" s="32" t="str">
        <f>IFERROR(_xlfn.XLOOKUP($B1088,Transporte[DESCRIPCION],Transporte[VALOR],,0),"")</f>
        <v/>
      </c>
      <c r="F1088" s="33"/>
      <c r="G1088" s="34" t="str">
        <f>IFERROR(IF(F1088&gt;=0,D1088*E1088*(1+F1088/100),ABS(D1088*E1088/F1088)),"")</f>
        <v/>
      </c>
      <c r="H1088" s="139" t="str">
        <f>IFERROR(G1088*E1072,"")</f>
        <v/>
      </c>
    </row>
    <row r="1089" spans="1:11" ht="12.75" customHeight="1">
      <c r="A1089" s="28"/>
      <c r="B1089" s="29"/>
      <c r="C1089" s="30" t="str">
        <f>IFERROR(_xlfn.XLOOKUP(B1089,Transporte[DESCRIPCION],Transporte[UND],,0),"")</f>
        <v/>
      </c>
      <c r="D1089" s="31"/>
      <c r="E1089" s="32" t="str">
        <f>IFERROR(_xlfn.XLOOKUP($B1089,Transporte[DESCRIPCION],Transporte[VALOR],,0),"")</f>
        <v/>
      </c>
      <c r="F1089" s="33"/>
      <c r="G1089" s="34" t="str">
        <f>IFERROR(IF(F1089&gt;=0,D1089*E1089*(1+F1089/100),ABS(D1089*E1089/F1089)),"")</f>
        <v/>
      </c>
      <c r="H1089" s="139" t="str">
        <f>IFERROR(G1089*E1072,"")</f>
        <v/>
      </c>
    </row>
    <row r="1090" spans="1:11" ht="12.75" customHeight="1">
      <c r="A1090" s="21"/>
      <c r="B1090" s="22" t="s">
        <v>3732</v>
      </c>
      <c r="C1090" s="23"/>
      <c r="D1090" s="24"/>
      <c r="E1090" s="25"/>
      <c r="F1090" s="26"/>
      <c r="G1090" s="27">
        <f>SUM(G1091:G1093)</f>
        <v>104796.91696500003</v>
      </c>
      <c r="H1090" s="27">
        <f>IFERROR(G1090*E1072,"")</f>
        <v>0</v>
      </c>
    </row>
    <row r="1091" spans="1:11" ht="12.75" customHeight="1">
      <c r="A1091" s="28"/>
      <c r="B1091" s="29" t="s">
        <v>3710</v>
      </c>
      <c r="C1091" s="30" t="str">
        <f>IFERROR(_xlfn.XLOOKUP(B1091,MObra[DESCRIPCION],MObra[UN],,0),"")</f>
        <v>día</v>
      </c>
      <c r="D1091" s="31">
        <v>1</v>
      </c>
      <c r="E1091" s="32">
        <f>IFERROR(_xlfn.XLOOKUP($B1091,MObra[DESCRIPCION],MObra[VALOR UNIT],,0),"")</f>
        <v>314390.75089500006</v>
      </c>
      <c r="F1091" s="33">
        <v>-3</v>
      </c>
      <c r="G1091" s="34">
        <f>IFERROR(IF(F1091&gt;=0,D1091*E1091*(1+F1091/100),ABS(D1091*E1091/F1091)),"")</f>
        <v>104796.91696500003</v>
      </c>
      <c r="H1091" s="139">
        <f>IFERROR(G1091*E1072,"")</f>
        <v>0</v>
      </c>
    </row>
    <row r="1092" spans="1:11" ht="12.75" customHeight="1">
      <c r="A1092" s="28"/>
      <c r="B1092" s="29"/>
      <c r="C1092" s="30" t="str">
        <f>IFERROR(_xlfn.XLOOKUP(B1092,MObra[DESCRIPCION],MObra[UN],,0),"")</f>
        <v/>
      </c>
      <c r="D1092" s="31"/>
      <c r="E1092" s="32" t="str">
        <f>IFERROR(_xlfn.XLOOKUP($B1092,MObra[DESCRIPCION],MObra[VALOR UNIT],,0),"")</f>
        <v/>
      </c>
      <c r="F1092" s="33"/>
      <c r="G1092" s="34" t="str">
        <f>IFERROR(IF(F1092&gt;=0,D1092*E1092*(1+F1092/100),ABS(D1092*E1092/F1092)),"")</f>
        <v/>
      </c>
      <c r="H1092" s="139" t="str">
        <f>IFERROR(G1092*E1072,"")</f>
        <v/>
      </c>
    </row>
    <row r="1093" spans="1:11" ht="12.75" customHeight="1" thickBot="1">
      <c r="A1093" s="35"/>
      <c r="B1093" s="36"/>
      <c r="C1093" s="37" t="str">
        <f>IFERROR(_xlfn.XLOOKUP(B1093,MObra[DESCRIPCION],MObra[UN],,0),"")</f>
        <v/>
      </c>
      <c r="D1093" s="38"/>
      <c r="E1093" s="39" t="str">
        <f>IFERROR(_xlfn.XLOOKUP($B1093,MObra[DESCRIPCION],MObra[VALOR UNIT],,0),"")</f>
        <v/>
      </c>
      <c r="F1093" s="40"/>
      <c r="G1093" s="41" t="str">
        <f>IFERROR(IF(F1093&gt;=0,D1093*E1093*(1+F1093/100),ABS(D1093*E1093/F1093)),"")</f>
        <v/>
      </c>
      <c r="H1093" s="42" t="str">
        <f>IFERROR(G1093*E1072,"")</f>
        <v/>
      </c>
    </row>
    <row r="1094" spans="1:11" ht="12.75" customHeight="1" thickTop="1" thickBot="1"/>
    <row r="1095" spans="1:11" ht="12.75" customHeight="1" thickTop="1" thickBot="1">
      <c r="A1095" s="6" t="s">
        <v>1478</v>
      </c>
      <c r="B1095" s="7" t="str">
        <f>VLOOKUP($A1095,Presupuesto!$A:$D,2,FALSE())</f>
        <v>Mesón cubierta acero inoxidable FRT caído 0.6</v>
      </c>
      <c r="C1095" s="8" t="str">
        <f>VLOOKUP($A1095,Presupuesto!$A:$D,3,FALSE())</f>
        <v>M</v>
      </c>
      <c r="D1095" s="9"/>
      <c r="E1095" s="10">
        <f>VLOOKUP($A1095,Presupuesto!$A:$D,4,FALSE())</f>
        <v>0</v>
      </c>
      <c r="F1095" s="11" t="s">
        <v>2589</v>
      </c>
      <c r="G1095" s="12">
        <f>SUM(G1097:G1113)/2</f>
        <v>335504.80256265</v>
      </c>
      <c r="H1095" s="13">
        <f>ROUND(SUM(H1097:H1113),0)/2</f>
        <v>0</v>
      </c>
      <c r="I1095" s="10">
        <f>VLOOKUP(A1095,Presupuesto!$A:$F,6,0)</f>
        <v>0</v>
      </c>
      <c r="J1095" s="10">
        <f>+H1095-I1095</f>
        <v>0</v>
      </c>
      <c r="K1095" s="46">
        <f>+H1095-G1095*E1095</f>
        <v>0</v>
      </c>
    </row>
    <row r="1096" spans="1:11" ht="12.75" customHeight="1" thickTop="1">
      <c r="A1096" s="14"/>
      <c r="B1096" s="15" t="s">
        <v>2586</v>
      </c>
      <c r="C1096" s="15" t="s">
        <v>5</v>
      </c>
      <c r="D1096" s="16" t="s">
        <v>6</v>
      </c>
      <c r="E1096" s="17" t="s">
        <v>7</v>
      </c>
      <c r="F1096" s="18" t="s">
        <v>3728</v>
      </c>
      <c r="G1096" s="19" t="s">
        <v>3729</v>
      </c>
      <c r="H1096" s="20" t="s">
        <v>3797</v>
      </c>
    </row>
    <row r="1097" spans="1:11" ht="12.75" customHeight="1">
      <c r="A1097" s="21"/>
      <c r="B1097" s="22" t="s">
        <v>3730</v>
      </c>
      <c r="C1097" s="23"/>
      <c r="D1097" s="24"/>
      <c r="E1097" s="25"/>
      <c r="F1097" s="26"/>
      <c r="G1097" s="27">
        <f>SUM(G1098:G1102)</f>
        <v>313497.45</v>
      </c>
      <c r="H1097" s="27">
        <f>IFERROR(G1097*E1095,"")</f>
        <v>0</v>
      </c>
    </row>
    <row r="1098" spans="1:11" ht="12.75" customHeight="1">
      <c r="A1098" s="28"/>
      <c r="B1098" s="29" t="s">
        <v>2902</v>
      </c>
      <c r="C1098" s="30" t="str">
        <f>IFERROR(_xlfn.XLOOKUP(B1098,Insumo[DESCRIPCION],Insumo[UND],,0),"")</f>
        <v>M</v>
      </c>
      <c r="D1098" s="31">
        <v>1</v>
      </c>
      <c r="E1098" s="32">
        <f>IFERROR(_xlfn.XLOOKUP($B1098,Insumo[DESCRIPCION],Insumo[VALOR],,0),"")</f>
        <v>313497.45</v>
      </c>
      <c r="F1098" s="33"/>
      <c r="G1098" s="34">
        <f>IFERROR(IF(F1098&gt;=0,D1098*E1098*(1+F1098/100),ABS(D1098*E1098/F1098)),"")</f>
        <v>313497.45</v>
      </c>
      <c r="H1098" s="139">
        <f>IFERROR(G1098*E1095,"")</f>
        <v>0</v>
      </c>
    </row>
    <row r="1099" spans="1:11" ht="12.75" customHeight="1">
      <c r="A1099" s="28"/>
      <c r="B1099" s="29"/>
      <c r="C1099" s="30" t="str">
        <f>IFERROR(_xlfn.XLOOKUP(B1099,Insumo[DESCRIPCION],Insumo[UND],,0),"")</f>
        <v/>
      </c>
      <c r="D1099" s="31"/>
      <c r="E1099" s="32" t="str">
        <f>IFERROR(_xlfn.XLOOKUP($B1099,Insumo[DESCRIPCION],Insumo[VALOR],,0),"")</f>
        <v/>
      </c>
      <c r="F1099" s="33"/>
      <c r="G1099" s="34" t="str">
        <f>IFERROR(IF(F1099&gt;=0,D1099*E1099*(1+F1099/100),ABS(D1099*E1099/F1099)),"")</f>
        <v/>
      </c>
      <c r="H1099" s="139" t="str">
        <f>IFERROR(G1099*E1095,"")</f>
        <v/>
      </c>
    </row>
    <row r="1100" spans="1:11" ht="12.75" customHeight="1">
      <c r="A1100" s="28"/>
      <c r="B1100" s="29"/>
      <c r="C1100" s="30" t="str">
        <f>IFERROR(_xlfn.XLOOKUP(B1100,Insumo[DESCRIPCION],Insumo[UND],,0),"")</f>
        <v/>
      </c>
      <c r="D1100" s="31"/>
      <c r="E1100" s="32" t="str">
        <f>IFERROR(_xlfn.XLOOKUP($B1100,Insumo[DESCRIPCION],Insumo[VALOR],,0),"")</f>
        <v/>
      </c>
      <c r="F1100" s="33"/>
      <c r="G1100" s="34" t="str">
        <f>IFERROR(IF(F1100&gt;=0,D1100*E1100*(1+F1100/100),ABS(D1100*E1100/F1100)),"")</f>
        <v/>
      </c>
      <c r="H1100" s="139" t="str">
        <f>IFERROR(G1100*E1095,"")</f>
        <v/>
      </c>
    </row>
    <row r="1101" spans="1:11" ht="12.75" customHeight="1">
      <c r="A1101" s="28"/>
      <c r="B1101" s="29"/>
      <c r="C1101" s="30" t="str">
        <f>IFERROR(_xlfn.XLOOKUP(B1101,Insumo[DESCRIPCION],Insumo[UND],,0),"")</f>
        <v/>
      </c>
      <c r="D1101" s="31"/>
      <c r="E1101" s="32" t="str">
        <f>IFERROR(_xlfn.XLOOKUP($B1101,Insumo[DESCRIPCION],Insumo[VALOR],,0),"")</f>
        <v/>
      </c>
      <c r="F1101" s="33"/>
      <c r="G1101" s="34" t="str">
        <f>IFERROR(IF(F1101&gt;=0,D1101*E1101*(1+F1101/100),ABS(D1101*E1101/F1101)),"")</f>
        <v/>
      </c>
      <c r="H1101" s="139" t="str">
        <f>IFERROR(G1101*E1095,"")</f>
        <v/>
      </c>
    </row>
    <row r="1102" spans="1:11" ht="12.75" customHeight="1">
      <c r="A1102" s="28"/>
      <c r="B1102" s="29"/>
      <c r="C1102" s="30" t="str">
        <f>IFERROR(_xlfn.XLOOKUP(B1102,Insumo[DESCRIPCION],Insumo[UND],,0),"")</f>
        <v/>
      </c>
      <c r="D1102" s="31"/>
      <c r="E1102" s="32" t="str">
        <f>IFERROR(_xlfn.XLOOKUP($B1102,Insumo[DESCRIPCION],Insumo[VALOR],,0),"")</f>
        <v/>
      </c>
      <c r="F1102" s="33"/>
      <c r="G1102" s="34" t="str">
        <f>IFERROR(IF(F1102&gt;=0,D1102*E1102*(1+F1102/100),ABS(D1102*E1102/F1102)),"")</f>
        <v/>
      </c>
      <c r="H1102" s="139" t="str">
        <f>IFERROR(G1102*E1095,"")</f>
        <v/>
      </c>
    </row>
    <row r="1103" spans="1:11" ht="12.75" customHeight="1">
      <c r="A1103" s="21"/>
      <c r="B1103" s="22" t="s">
        <v>3731</v>
      </c>
      <c r="C1103" s="23"/>
      <c r="D1103" s="24"/>
      <c r="E1103" s="25"/>
      <c r="F1103" s="26"/>
      <c r="G1103" s="27">
        <f>SUM(G1104:G1106)</f>
        <v>1047.9691696500001</v>
      </c>
      <c r="H1103" s="27">
        <f>IFERROR(G1103*E1095,"")</f>
        <v>0</v>
      </c>
    </row>
    <row r="1104" spans="1:11" ht="12.75" customHeight="1">
      <c r="A1104" s="28"/>
      <c r="B1104" s="29" t="s">
        <v>3626</v>
      </c>
      <c r="C1104" s="30" t="str">
        <f>IFERROR(_xlfn.XLOOKUP(B1104,Equipo[DESCRIPCION],Equipo[UND],,0),"")</f>
        <v>%MO</v>
      </c>
      <c r="D1104" s="31">
        <v>0.05</v>
      </c>
      <c r="E1104" s="32">
        <f>IF(C1104="%MO",G1110,IFERROR(_xlfn.XLOOKUP($B1104,Equipo[DESCRIPCION],Equipo[VALOR],,0),""))</f>
        <v>20959.383393000004</v>
      </c>
      <c r="F1104" s="33"/>
      <c r="G1104" s="34">
        <f>IFERROR(IF(F1104&gt;=0,D1104*E1104*(1+F1104/100),ABS(D1104*E1104/F1104)),"")</f>
        <v>1047.9691696500001</v>
      </c>
      <c r="H1104" s="139">
        <f>IFERROR(G1104*E1095,"")</f>
        <v>0</v>
      </c>
    </row>
    <row r="1105" spans="1:11" ht="12.75" customHeight="1">
      <c r="A1105" s="28"/>
      <c r="B1105" s="29"/>
      <c r="C1105" s="30" t="str">
        <f>IFERROR(_xlfn.XLOOKUP(B1105,Equipo[DESCRIPCION],Equipo[UND],,0),"")</f>
        <v/>
      </c>
      <c r="D1105" s="31"/>
      <c r="E1105" s="32" t="str">
        <f>IF(C1105="%MO",G1110,IFERROR(_xlfn.XLOOKUP($B1105,Equipo[DESCRIPCION],Equipo[VALOR],,0),""))</f>
        <v/>
      </c>
      <c r="F1105" s="33"/>
      <c r="G1105" s="34" t="str">
        <f>IFERROR(IF(F1105&gt;=0,D1105*E1105*(1+F1105/100),ABS(D1105*E1105/F1105)),"")</f>
        <v/>
      </c>
      <c r="H1105" s="139" t="str">
        <f>IFERROR(G1105*E1095,"")</f>
        <v/>
      </c>
    </row>
    <row r="1106" spans="1:11" ht="12.75" customHeight="1">
      <c r="A1106" s="28"/>
      <c r="B1106" s="29"/>
      <c r="C1106" s="30" t="str">
        <f>IFERROR(_xlfn.XLOOKUP(B1106,Equipo[DESCRIPCION],Equipo[UND],,0),"")</f>
        <v/>
      </c>
      <c r="D1106" s="31"/>
      <c r="E1106" s="32" t="str">
        <f>IF(C1106="%MO",G1110,IFERROR(_xlfn.XLOOKUP($B1106,Equipo[DESCRIPCION],Equipo[VALOR],,0),""))</f>
        <v/>
      </c>
      <c r="F1106" s="33"/>
      <c r="G1106" s="34" t="str">
        <f>IFERROR(IF(F1106&gt;=0,D1106*E1106*(1+F1106/100),ABS(D1106*E1106/F1106)),"")</f>
        <v/>
      </c>
      <c r="H1106" s="139" t="str">
        <f>IFERROR(G1106*E1095,"")</f>
        <v/>
      </c>
    </row>
    <row r="1107" spans="1:11" ht="12.75" customHeight="1">
      <c r="A1107" s="21"/>
      <c r="B1107" s="22" t="s">
        <v>2533</v>
      </c>
      <c r="C1107" s="23"/>
      <c r="D1107" s="24"/>
      <c r="E1107" s="25"/>
      <c r="F1107" s="26"/>
      <c r="G1107" s="27">
        <f>SUM(G1108:G1109)</f>
        <v>0</v>
      </c>
      <c r="H1107" s="27">
        <f>IFERROR(G1107*E1095,"")</f>
        <v>0</v>
      </c>
    </row>
    <row r="1108" spans="1:11" ht="12.75" customHeight="1">
      <c r="A1108" s="28"/>
      <c r="B1108" s="29"/>
      <c r="C1108" s="30" t="str">
        <f>IFERROR(_xlfn.XLOOKUP(B1108,Transporte[DESCRIPCION],Transporte[UND],,0),"")</f>
        <v/>
      </c>
      <c r="D1108" s="31"/>
      <c r="E1108" s="32" t="str">
        <f>IFERROR(_xlfn.XLOOKUP($B1108,Transporte[DESCRIPCION],Transporte[VALOR],,0),"")</f>
        <v/>
      </c>
      <c r="F1108" s="33"/>
      <c r="G1108" s="34" t="str">
        <f>IFERROR(IF(F1108&gt;=0,D1108*E1108*(1+F1108/100),ABS(D1108*E1108/F1108)),"")</f>
        <v/>
      </c>
      <c r="H1108" s="139" t="str">
        <f>IFERROR(G1108*E1095,"")</f>
        <v/>
      </c>
    </row>
    <row r="1109" spans="1:11" ht="12.75" customHeight="1">
      <c r="A1109" s="28"/>
      <c r="B1109" s="29"/>
      <c r="C1109" s="30" t="str">
        <f>IFERROR(_xlfn.XLOOKUP(B1109,Transporte[DESCRIPCION],Transporte[UND],,0),"")</f>
        <v/>
      </c>
      <c r="D1109" s="31"/>
      <c r="E1109" s="32" t="str">
        <f>IFERROR(_xlfn.XLOOKUP($B1109,Transporte[DESCRIPCION],Transporte[VALOR],,0),"")</f>
        <v/>
      </c>
      <c r="F1109" s="33"/>
      <c r="G1109" s="34" t="str">
        <f>IFERROR(IF(F1109&gt;=0,D1109*E1109*(1+F1109/100),ABS(D1109*E1109/F1109)),"")</f>
        <v/>
      </c>
      <c r="H1109" s="139" t="str">
        <f>IFERROR(G1109*E1095,"")</f>
        <v/>
      </c>
    </row>
    <row r="1110" spans="1:11" ht="12.75" customHeight="1">
      <c r="A1110" s="21"/>
      <c r="B1110" s="22" t="s">
        <v>3732</v>
      </c>
      <c r="C1110" s="23"/>
      <c r="D1110" s="24"/>
      <c r="E1110" s="25"/>
      <c r="F1110" s="26"/>
      <c r="G1110" s="27">
        <f>SUM(G1111:G1113)</f>
        <v>20959.383393000004</v>
      </c>
      <c r="H1110" s="27">
        <f>IFERROR(G1110*E1095,"")</f>
        <v>0</v>
      </c>
    </row>
    <row r="1111" spans="1:11" ht="12.75" customHeight="1">
      <c r="A1111" s="28"/>
      <c r="B1111" s="29" t="s">
        <v>3710</v>
      </c>
      <c r="C1111" s="30" t="str">
        <f>IFERROR(_xlfn.XLOOKUP(B1111,MObra[DESCRIPCION],MObra[UN],,0),"")</f>
        <v>día</v>
      </c>
      <c r="D1111" s="31">
        <v>1</v>
      </c>
      <c r="E1111" s="32">
        <f>IFERROR(_xlfn.XLOOKUP($B1111,MObra[DESCRIPCION],MObra[VALOR UNIT],,0),"")</f>
        <v>314390.75089500006</v>
      </c>
      <c r="F1111" s="33">
        <v>-15</v>
      </c>
      <c r="G1111" s="34">
        <f>IFERROR(IF(F1111&gt;=0,D1111*E1111*(1+F1111/100),ABS(D1111*E1111/F1111)),"")</f>
        <v>20959.383393000004</v>
      </c>
      <c r="H1111" s="139">
        <f>IFERROR(G1111*E1095,"")</f>
        <v>0</v>
      </c>
    </row>
    <row r="1112" spans="1:11" ht="12.75" customHeight="1">
      <c r="A1112" s="28"/>
      <c r="B1112" s="29"/>
      <c r="C1112" s="30" t="str">
        <f>IFERROR(_xlfn.XLOOKUP(B1112,MObra[DESCRIPCION],MObra[UN],,0),"")</f>
        <v/>
      </c>
      <c r="D1112" s="31"/>
      <c r="E1112" s="32" t="str">
        <f>IFERROR(_xlfn.XLOOKUP($B1112,MObra[DESCRIPCION],MObra[VALOR UNIT],,0),"")</f>
        <v/>
      </c>
      <c r="F1112" s="33"/>
      <c r="G1112" s="34" t="str">
        <f>IFERROR(IF(F1112&gt;=0,D1112*E1112*(1+F1112/100),ABS(D1112*E1112/F1112)),"")</f>
        <v/>
      </c>
      <c r="H1112" s="139" t="str">
        <f>IFERROR(G1112*E1095,"")</f>
        <v/>
      </c>
    </row>
    <row r="1113" spans="1:11" ht="12.75" customHeight="1" thickBot="1">
      <c r="A1113" s="35"/>
      <c r="B1113" s="36"/>
      <c r="C1113" s="37" t="str">
        <f>IFERROR(_xlfn.XLOOKUP(B1113,MObra[DESCRIPCION],MObra[UN],,0),"")</f>
        <v/>
      </c>
      <c r="D1113" s="38"/>
      <c r="E1113" s="39" t="str">
        <f>IFERROR(_xlfn.XLOOKUP($B1113,MObra[DESCRIPCION],MObra[VALOR UNIT],,0),"")</f>
        <v/>
      </c>
      <c r="F1113" s="40"/>
      <c r="G1113" s="41" t="str">
        <f>IFERROR(IF(F1113&gt;=0,D1113*E1113*(1+F1113/100),ABS(D1113*E1113/F1113)),"")</f>
        <v/>
      </c>
      <c r="H1113" s="42" t="str">
        <f>IFERROR(G1113*E1095,"")</f>
        <v/>
      </c>
    </row>
    <row r="1114" spans="1:11" ht="12.75" customHeight="1" thickTop="1" thickBot="1"/>
    <row r="1115" spans="1:11" ht="12.75" customHeight="1" thickTop="1" thickBot="1">
      <c r="A1115" s="6" t="s">
        <v>1480</v>
      </c>
      <c r="B1115" s="7" t="str">
        <f>VLOOKUP($A1115,Presupuesto!$A:$D,2,FALSE())</f>
        <v>Mesón cubierta acero inoxidable FRT caído + poceta</v>
      </c>
      <c r="C1115" s="8" t="str">
        <f>VLOOKUP($A1115,Presupuesto!$A:$D,3,FALSE())</f>
        <v>M</v>
      </c>
      <c r="D1115" s="9"/>
      <c r="E1115" s="10">
        <f>VLOOKUP($A1115,Presupuesto!$A:$D,4,FALSE())</f>
        <v>0</v>
      </c>
      <c r="F1115" s="11" t="s">
        <v>2589</v>
      </c>
      <c r="G1115" s="12">
        <f>SUM(G1117:G1133)/2</f>
        <v>379862.94070331252</v>
      </c>
      <c r="H1115" s="13">
        <f>ROUND(SUM(H1117:H1133),0)/2</f>
        <v>0</v>
      </c>
      <c r="I1115" s="10">
        <f>VLOOKUP(A1115,Presupuesto!$A:$F,6,0)</f>
        <v>0</v>
      </c>
      <c r="J1115" s="10">
        <f>+H1115-I1115</f>
        <v>0</v>
      </c>
      <c r="K1115" s="46">
        <f>+H1115-G1115*E1115</f>
        <v>0</v>
      </c>
    </row>
    <row r="1116" spans="1:11" ht="12.75" customHeight="1" thickTop="1">
      <c r="A1116" s="14"/>
      <c r="B1116" s="15" t="s">
        <v>2586</v>
      </c>
      <c r="C1116" s="15" t="s">
        <v>5</v>
      </c>
      <c r="D1116" s="16" t="s">
        <v>6</v>
      </c>
      <c r="E1116" s="17" t="s">
        <v>7</v>
      </c>
      <c r="F1116" s="18" t="s">
        <v>3728</v>
      </c>
      <c r="G1116" s="19" t="s">
        <v>3729</v>
      </c>
      <c r="H1116" s="20" t="s">
        <v>3797</v>
      </c>
    </row>
    <row r="1117" spans="1:11" ht="12.75" customHeight="1">
      <c r="A1117" s="21"/>
      <c r="B1117" s="22" t="s">
        <v>3730</v>
      </c>
      <c r="C1117" s="23"/>
      <c r="D1117" s="24"/>
      <c r="E1117" s="25"/>
      <c r="F1117" s="26"/>
      <c r="G1117" s="27">
        <f>SUM(G1118:G1122)</f>
        <v>352353.75</v>
      </c>
      <c r="H1117" s="27">
        <f>IFERROR(G1117*E1115,"")</f>
        <v>0</v>
      </c>
    </row>
    <row r="1118" spans="1:11" ht="12.75" customHeight="1">
      <c r="A1118" s="28"/>
      <c r="B1118" s="29" t="s">
        <v>2903</v>
      </c>
      <c r="C1118" s="30" t="str">
        <f>IFERROR(_xlfn.XLOOKUP(B1118,Insumo[DESCRIPCION],Insumo[UND],,0),"")</f>
        <v>M</v>
      </c>
      <c r="D1118" s="31">
        <v>1</v>
      </c>
      <c r="E1118" s="32">
        <f>IFERROR(_xlfn.XLOOKUP($B1118,Insumo[DESCRIPCION],Insumo[VALOR],,0),"")</f>
        <v>352353.75</v>
      </c>
      <c r="F1118" s="33"/>
      <c r="G1118" s="34">
        <f>IFERROR(IF(F1118&gt;=0,D1118*E1118*(1+F1118/100),ABS(D1118*E1118/F1118)),"")</f>
        <v>352353.75</v>
      </c>
      <c r="H1118" s="139">
        <f>IFERROR(G1118*E1115,"")</f>
        <v>0</v>
      </c>
    </row>
    <row r="1119" spans="1:11" ht="12.75" customHeight="1">
      <c r="A1119" s="28"/>
      <c r="B1119" s="29"/>
      <c r="C1119" s="30" t="str">
        <f>IFERROR(_xlfn.XLOOKUP(B1119,Insumo[DESCRIPCION],Insumo[UND],,0),"")</f>
        <v/>
      </c>
      <c r="D1119" s="31"/>
      <c r="E1119" s="32" t="str">
        <f>IFERROR(_xlfn.XLOOKUP($B1119,Insumo[DESCRIPCION],Insumo[VALOR],,0),"")</f>
        <v/>
      </c>
      <c r="F1119" s="33"/>
      <c r="G1119" s="34" t="str">
        <f>IFERROR(IF(F1119&gt;=0,D1119*E1119*(1+F1119/100),ABS(D1119*E1119/F1119)),"")</f>
        <v/>
      </c>
      <c r="H1119" s="139" t="str">
        <f>IFERROR(G1119*E1115,"")</f>
        <v/>
      </c>
    </row>
    <row r="1120" spans="1:11" ht="12.75" customHeight="1">
      <c r="A1120" s="28"/>
      <c r="B1120" s="29"/>
      <c r="C1120" s="30" t="str">
        <f>IFERROR(_xlfn.XLOOKUP(B1120,Insumo[DESCRIPCION],Insumo[UND],,0),"")</f>
        <v/>
      </c>
      <c r="D1120" s="31"/>
      <c r="E1120" s="32" t="str">
        <f>IFERROR(_xlfn.XLOOKUP($B1120,Insumo[DESCRIPCION],Insumo[VALOR],,0),"")</f>
        <v/>
      </c>
      <c r="F1120" s="33"/>
      <c r="G1120" s="34" t="str">
        <f>IFERROR(IF(F1120&gt;=0,D1120*E1120*(1+F1120/100),ABS(D1120*E1120/F1120)),"")</f>
        <v/>
      </c>
      <c r="H1120" s="139" t="str">
        <f>IFERROR(G1120*E1115,"")</f>
        <v/>
      </c>
    </row>
    <row r="1121" spans="1:11" ht="12.75" customHeight="1">
      <c r="A1121" s="28"/>
      <c r="B1121" s="29"/>
      <c r="C1121" s="30" t="str">
        <f>IFERROR(_xlfn.XLOOKUP(B1121,Insumo[DESCRIPCION],Insumo[UND],,0),"")</f>
        <v/>
      </c>
      <c r="D1121" s="31"/>
      <c r="E1121" s="32" t="str">
        <f>IFERROR(_xlfn.XLOOKUP($B1121,Insumo[DESCRIPCION],Insumo[VALOR],,0),"")</f>
        <v/>
      </c>
      <c r="F1121" s="33"/>
      <c r="G1121" s="34" t="str">
        <f>IFERROR(IF(F1121&gt;=0,D1121*E1121*(1+F1121/100),ABS(D1121*E1121/F1121)),"")</f>
        <v/>
      </c>
      <c r="H1121" s="139" t="str">
        <f>IFERROR(G1121*E1115,"")</f>
        <v/>
      </c>
    </row>
    <row r="1122" spans="1:11" ht="12.75" customHeight="1">
      <c r="A1122" s="28"/>
      <c r="B1122" s="29"/>
      <c r="C1122" s="30" t="str">
        <f>IFERROR(_xlfn.XLOOKUP(B1122,Insumo[DESCRIPCION],Insumo[UND],,0),"")</f>
        <v/>
      </c>
      <c r="D1122" s="31"/>
      <c r="E1122" s="32" t="str">
        <f>IFERROR(_xlfn.XLOOKUP($B1122,Insumo[DESCRIPCION],Insumo[VALOR],,0),"")</f>
        <v/>
      </c>
      <c r="F1122" s="33"/>
      <c r="G1122" s="34" t="str">
        <f>IFERROR(IF(F1122&gt;=0,D1122*E1122*(1+F1122/100),ABS(D1122*E1122/F1122)),"")</f>
        <v/>
      </c>
      <c r="H1122" s="139" t="str">
        <f>IFERROR(G1122*E1115,"")</f>
        <v/>
      </c>
    </row>
    <row r="1123" spans="1:11" ht="12.75" customHeight="1">
      <c r="A1123" s="21"/>
      <c r="B1123" s="22" t="s">
        <v>3731</v>
      </c>
      <c r="C1123" s="23"/>
      <c r="D1123" s="24"/>
      <c r="E1123" s="25"/>
      <c r="F1123" s="26"/>
      <c r="G1123" s="27">
        <f>SUM(G1124:G1126)</f>
        <v>1309.9614620625005</v>
      </c>
      <c r="H1123" s="27">
        <f>IFERROR(G1123*E1115,"")</f>
        <v>0</v>
      </c>
    </row>
    <row r="1124" spans="1:11" ht="12.75" customHeight="1">
      <c r="A1124" s="28"/>
      <c r="B1124" s="29" t="s">
        <v>3626</v>
      </c>
      <c r="C1124" s="30" t="str">
        <f>IFERROR(_xlfn.XLOOKUP(B1124,Equipo[DESCRIPCION],Equipo[UND],,0),"")</f>
        <v>%MO</v>
      </c>
      <c r="D1124" s="31">
        <v>0.05</v>
      </c>
      <c r="E1124" s="32">
        <f>IF(C1124="%MO",G1130,IFERROR(_xlfn.XLOOKUP($B1124,Equipo[DESCRIPCION],Equipo[VALOR],,0),""))</f>
        <v>26199.229241250006</v>
      </c>
      <c r="F1124" s="33"/>
      <c r="G1124" s="34">
        <f>IFERROR(IF(F1124&gt;=0,D1124*E1124*(1+F1124/100),ABS(D1124*E1124/F1124)),"")</f>
        <v>1309.9614620625005</v>
      </c>
      <c r="H1124" s="139">
        <f>IFERROR(G1124*E1115,"")</f>
        <v>0</v>
      </c>
    </row>
    <row r="1125" spans="1:11" ht="12.75" customHeight="1">
      <c r="A1125" s="28"/>
      <c r="B1125" s="29"/>
      <c r="C1125" s="30" t="str">
        <f>IFERROR(_xlfn.XLOOKUP(B1125,Equipo[DESCRIPCION],Equipo[UND],,0),"")</f>
        <v/>
      </c>
      <c r="D1125" s="31"/>
      <c r="E1125" s="32" t="str">
        <f>IF(C1125="%MO",G1130,IFERROR(_xlfn.XLOOKUP($B1125,Equipo[DESCRIPCION],Equipo[VALOR],,0),""))</f>
        <v/>
      </c>
      <c r="F1125" s="33"/>
      <c r="G1125" s="34" t="str">
        <f>IFERROR(IF(F1125&gt;=0,D1125*E1125*(1+F1125/100),ABS(D1125*E1125/F1125)),"")</f>
        <v/>
      </c>
      <c r="H1125" s="139" t="str">
        <f>IFERROR(G1125*E1115,"")</f>
        <v/>
      </c>
    </row>
    <row r="1126" spans="1:11" ht="12.75" customHeight="1">
      <c r="A1126" s="28"/>
      <c r="B1126" s="29"/>
      <c r="C1126" s="30" t="str">
        <f>IFERROR(_xlfn.XLOOKUP(B1126,Equipo[DESCRIPCION],Equipo[UND],,0),"")</f>
        <v/>
      </c>
      <c r="D1126" s="31"/>
      <c r="E1126" s="32" t="str">
        <f>IF(C1126="%MO",G1130,IFERROR(_xlfn.XLOOKUP($B1126,Equipo[DESCRIPCION],Equipo[VALOR],,0),""))</f>
        <v/>
      </c>
      <c r="F1126" s="33"/>
      <c r="G1126" s="34" t="str">
        <f>IFERROR(IF(F1126&gt;=0,D1126*E1126*(1+F1126/100),ABS(D1126*E1126/F1126)),"")</f>
        <v/>
      </c>
      <c r="H1126" s="139" t="str">
        <f>IFERROR(G1126*E1115,"")</f>
        <v/>
      </c>
    </row>
    <row r="1127" spans="1:11" ht="12.75" customHeight="1">
      <c r="A1127" s="21"/>
      <c r="B1127" s="22" t="s">
        <v>2533</v>
      </c>
      <c r="C1127" s="23"/>
      <c r="D1127" s="24"/>
      <c r="E1127" s="25"/>
      <c r="F1127" s="26"/>
      <c r="G1127" s="27">
        <f>SUM(G1128:G1129)</f>
        <v>0</v>
      </c>
      <c r="H1127" s="27">
        <f>IFERROR(G1127*E1115,"")</f>
        <v>0</v>
      </c>
    </row>
    <row r="1128" spans="1:11" ht="12.75" customHeight="1">
      <c r="A1128" s="28"/>
      <c r="B1128" s="29"/>
      <c r="C1128" s="30" t="str">
        <f>IFERROR(_xlfn.XLOOKUP(B1128,Transporte[DESCRIPCION],Transporte[UND],,0),"")</f>
        <v/>
      </c>
      <c r="D1128" s="31"/>
      <c r="E1128" s="32" t="str">
        <f>IFERROR(_xlfn.XLOOKUP($B1128,Transporte[DESCRIPCION],Transporte[VALOR],,0),"")</f>
        <v/>
      </c>
      <c r="F1128" s="33"/>
      <c r="G1128" s="34" t="str">
        <f>IFERROR(IF(F1128&gt;=0,D1128*E1128*(1+F1128/100),ABS(D1128*E1128/F1128)),"")</f>
        <v/>
      </c>
      <c r="H1128" s="139" t="str">
        <f>IFERROR(G1128*E1115,"")</f>
        <v/>
      </c>
    </row>
    <row r="1129" spans="1:11" ht="12.75" customHeight="1">
      <c r="A1129" s="28"/>
      <c r="B1129" s="29"/>
      <c r="C1129" s="30" t="str">
        <f>IFERROR(_xlfn.XLOOKUP(B1129,Transporte[DESCRIPCION],Transporte[UND],,0),"")</f>
        <v/>
      </c>
      <c r="D1129" s="31"/>
      <c r="E1129" s="32" t="str">
        <f>IFERROR(_xlfn.XLOOKUP($B1129,Transporte[DESCRIPCION],Transporte[VALOR],,0),"")</f>
        <v/>
      </c>
      <c r="F1129" s="33"/>
      <c r="G1129" s="34" t="str">
        <f>IFERROR(IF(F1129&gt;=0,D1129*E1129*(1+F1129/100),ABS(D1129*E1129/F1129)),"")</f>
        <v/>
      </c>
      <c r="H1129" s="139" t="str">
        <f>IFERROR(G1129*E1115,"")</f>
        <v/>
      </c>
    </row>
    <row r="1130" spans="1:11" ht="12.75" customHeight="1">
      <c r="A1130" s="21"/>
      <c r="B1130" s="22" t="s">
        <v>3732</v>
      </c>
      <c r="C1130" s="23"/>
      <c r="D1130" s="24"/>
      <c r="E1130" s="25"/>
      <c r="F1130" s="26"/>
      <c r="G1130" s="27">
        <f>SUM(G1131:G1133)</f>
        <v>26199.229241250006</v>
      </c>
      <c r="H1130" s="27">
        <f>IFERROR(G1130*E1115,"")</f>
        <v>0</v>
      </c>
    </row>
    <row r="1131" spans="1:11" ht="12.75" customHeight="1">
      <c r="A1131" s="28"/>
      <c r="B1131" s="29" t="s">
        <v>3710</v>
      </c>
      <c r="C1131" s="30" t="str">
        <f>IFERROR(_xlfn.XLOOKUP(B1131,MObra[DESCRIPCION],MObra[UN],,0),"")</f>
        <v>día</v>
      </c>
      <c r="D1131" s="31">
        <v>1</v>
      </c>
      <c r="E1131" s="32">
        <f>IFERROR(_xlfn.XLOOKUP($B1131,MObra[DESCRIPCION],MObra[VALOR UNIT],,0),"")</f>
        <v>314390.75089500006</v>
      </c>
      <c r="F1131" s="33">
        <v>-12</v>
      </c>
      <c r="G1131" s="34">
        <f>IFERROR(IF(F1131&gt;=0,D1131*E1131*(1+F1131/100),ABS(D1131*E1131/F1131)),"")</f>
        <v>26199.229241250006</v>
      </c>
      <c r="H1131" s="139">
        <f>IFERROR(G1131*E1115,"")</f>
        <v>0</v>
      </c>
    </row>
    <row r="1132" spans="1:11" ht="12.75" customHeight="1">
      <c r="A1132" s="28"/>
      <c r="B1132" s="29"/>
      <c r="C1132" s="30" t="str">
        <f>IFERROR(_xlfn.XLOOKUP(B1132,MObra[DESCRIPCION],MObra[UN],,0),"")</f>
        <v/>
      </c>
      <c r="D1132" s="31"/>
      <c r="E1132" s="32" t="str">
        <f>IFERROR(_xlfn.XLOOKUP($B1132,MObra[DESCRIPCION],MObra[VALOR UNIT],,0),"")</f>
        <v/>
      </c>
      <c r="F1132" s="33"/>
      <c r="G1132" s="34" t="str">
        <f>IFERROR(IF(F1132&gt;=0,D1132*E1132*(1+F1132/100),ABS(D1132*E1132/F1132)),"")</f>
        <v/>
      </c>
      <c r="H1132" s="139" t="str">
        <f>IFERROR(G1132*E1115,"")</f>
        <v/>
      </c>
    </row>
    <row r="1133" spans="1:11" ht="12.75" customHeight="1" thickBot="1">
      <c r="A1133" s="35"/>
      <c r="B1133" s="36"/>
      <c r="C1133" s="37" t="str">
        <f>IFERROR(_xlfn.XLOOKUP(B1133,MObra[DESCRIPCION],MObra[UN],,0),"")</f>
        <v/>
      </c>
      <c r="D1133" s="38"/>
      <c r="E1133" s="39" t="str">
        <f>IFERROR(_xlfn.XLOOKUP($B1133,MObra[DESCRIPCION],MObra[VALOR UNIT],,0),"")</f>
        <v/>
      </c>
      <c r="F1133" s="40"/>
      <c r="G1133" s="41" t="str">
        <f>IFERROR(IF(F1133&gt;=0,D1133*E1133*(1+F1133/100),ABS(D1133*E1133/F1133)),"")</f>
        <v/>
      </c>
      <c r="H1133" s="42" t="str">
        <f>IFERROR(G1133*E1115,"")</f>
        <v/>
      </c>
    </row>
    <row r="1134" spans="1:11" ht="12.75" customHeight="1" thickTop="1" thickBot="1"/>
    <row r="1135" spans="1:11" ht="12.75" customHeight="1" thickTop="1" thickBot="1">
      <c r="A1135" s="6" t="s">
        <v>1482</v>
      </c>
      <c r="B1135" s="7" t="str">
        <f>VLOOKUP($A1135,Presupuesto!$A:$D,2,FALSE())</f>
        <v>Mesón granito pulido laboratorio W=0.80m</v>
      </c>
      <c r="C1135" s="8" t="str">
        <f>VLOOKUP($A1135,Presupuesto!$A:$D,3,FALSE())</f>
        <v>M</v>
      </c>
      <c r="D1135" s="9"/>
      <c r="E1135" s="10">
        <f>VLOOKUP($A1135,Presupuesto!$A:$D,4,FALSE())</f>
        <v>0</v>
      </c>
      <c r="F1135" s="11" t="s">
        <v>2589</v>
      </c>
      <c r="G1135" s="12">
        <f>SUM(G1137:G1156)/2</f>
        <v>315824.70167902508</v>
      </c>
      <c r="H1135" s="13">
        <f>ROUND(SUM(H1137:H1156),0)/2</f>
        <v>0</v>
      </c>
      <c r="I1135" s="10">
        <f>VLOOKUP(A1135,Presupuesto!$A:$F,6,0)</f>
        <v>0</v>
      </c>
      <c r="J1135" s="10">
        <f>+H1135-I1135</f>
        <v>0</v>
      </c>
      <c r="K1135" s="46">
        <f>+H1135-G1135*E1135</f>
        <v>0</v>
      </c>
    </row>
    <row r="1136" spans="1:11" ht="12.75" customHeight="1" thickTop="1">
      <c r="A1136" s="14"/>
      <c r="B1136" s="15" t="s">
        <v>2586</v>
      </c>
      <c r="C1136" s="15" t="s">
        <v>5</v>
      </c>
      <c r="D1136" s="16" t="s">
        <v>6</v>
      </c>
      <c r="E1136" s="17" t="s">
        <v>7</v>
      </c>
      <c r="F1136" s="18" t="s">
        <v>3728</v>
      </c>
      <c r="G1136" s="19" t="s">
        <v>3729</v>
      </c>
      <c r="H1136" s="20" t="s">
        <v>3797</v>
      </c>
    </row>
    <row r="1137" spans="1:8" ht="12.75" customHeight="1">
      <c r="A1137" s="21"/>
      <c r="B1137" s="22" t="s">
        <v>3730</v>
      </c>
      <c r="C1137" s="23"/>
      <c r="D1137" s="24"/>
      <c r="E1137" s="25"/>
      <c r="F1137" s="26"/>
      <c r="G1137" s="27">
        <f>SUM(G1138:G1145)</f>
        <v>196624.93886577507</v>
      </c>
      <c r="H1137" s="27">
        <f>IFERROR(G1137*E1135,"")</f>
        <v>0</v>
      </c>
    </row>
    <row r="1138" spans="1:8" ht="12.75" customHeight="1">
      <c r="A1138" s="28"/>
      <c r="B1138" s="29" t="s">
        <v>2954</v>
      </c>
      <c r="C1138" s="30" t="str">
        <f>IFERROR(_xlfn.XLOOKUP(B1138,Insumo[DESCRIPCION],Insumo[UND],,0),"")</f>
        <v>M2</v>
      </c>
      <c r="D1138" s="31">
        <v>0.8</v>
      </c>
      <c r="E1138" s="32">
        <f>IFERROR(_xlfn.XLOOKUP($B1138,Insumo[DESCRIPCION],Insumo[VALOR],,0),"")</f>
        <v>102154.92581625449</v>
      </c>
      <c r="F1138" s="33"/>
      <c r="G1138" s="34">
        <f t="shared" ref="G1138:G1145" si="4">IFERROR(IF(F1138&gt;=0,D1138*E1138*(1+F1138/100),ABS(D1138*E1138/F1138)),"")</f>
        <v>81723.940653003592</v>
      </c>
      <c r="H1138" s="139">
        <f>IFERROR(G1138*E1135,"")</f>
        <v>0</v>
      </c>
    </row>
    <row r="1139" spans="1:8" ht="12.75" customHeight="1">
      <c r="A1139" s="28"/>
      <c r="B1139" s="29" t="s">
        <v>3239</v>
      </c>
      <c r="C1139" s="30" t="str">
        <f>IFERROR(_xlfn.XLOOKUP(B1139,Insumo[DESCRIPCION],Insumo[UND],,0),"")</f>
        <v>M3</v>
      </c>
      <c r="D1139" s="31">
        <f>0.6*0.05</f>
        <v>0.03</v>
      </c>
      <c r="E1139" s="32">
        <f>IFERROR(_xlfn.XLOOKUP($B1139,Insumo[DESCRIPCION],Insumo[VALOR],,0),"")</f>
        <v>521159.50227762427</v>
      </c>
      <c r="F1139" s="33"/>
      <c r="G1139" s="34">
        <f t="shared" si="4"/>
        <v>15634.785068328727</v>
      </c>
      <c r="H1139" s="139">
        <f>IFERROR(G1139*E1135,"")</f>
        <v>0</v>
      </c>
    </row>
    <row r="1140" spans="1:8" ht="12.75" customHeight="1">
      <c r="A1140" s="28"/>
      <c r="B1140" s="29" t="s">
        <v>3134</v>
      </c>
      <c r="C1140" s="30" t="str">
        <f>IFERROR(_xlfn.XLOOKUP(B1140,Insumo[DESCRIPCION],Insumo[UND],,0),"")</f>
        <v>Un</v>
      </c>
      <c r="D1140" s="31">
        <v>0.09</v>
      </c>
      <c r="E1140" s="32">
        <f>IFERROR(_xlfn.XLOOKUP($B1140,Insumo[DESCRIPCION],Insumo[VALOR],,0),"")</f>
        <v>217350</v>
      </c>
      <c r="F1140" s="33"/>
      <c r="G1140" s="34">
        <f t="shared" si="4"/>
        <v>19561.5</v>
      </c>
      <c r="H1140" s="139">
        <f>IFERROR(G1140*E1135,"")</f>
        <v>0</v>
      </c>
    </row>
    <row r="1141" spans="1:8" ht="12.75" customHeight="1">
      <c r="A1141" s="28"/>
      <c r="B1141" s="29" t="s">
        <v>3020</v>
      </c>
      <c r="C1141" s="30" t="str">
        <f>IFERROR(_xlfn.XLOOKUP(B1141,Insumo[DESCRIPCION],Insumo[UND],,0),"")</f>
        <v>Un</v>
      </c>
      <c r="D1141" s="31">
        <v>25</v>
      </c>
      <c r="E1141" s="32">
        <f>IFERROR(_xlfn.XLOOKUP($B1141,Insumo[DESCRIPCION],Insumo[VALOR],,0),"")</f>
        <v>909.30000000000007</v>
      </c>
      <c r="F1141" s="33"/>
      <c r="G1141" s="34">
        <f t="shared" si="4"/>
        <v>22732.5</v>
      </c>
      <c r="H1141" s="139">
        <f>IFERROR(G1141*E1135,"")</f>
        <v>0</v>
      </c>
    </row>
    <row r="1142" spans="1:8" ht="12.75" customHeight="1">
      <c r="A1142" s="28"/>
      <c r="B1142" s="29" t="s">
        <v>3244</v>
      </c>
      <c r="C1142" s="30" t="str">
        <f>IFERROR(_xlfn.XLOOKUP(B1142,Insumo[DESCRIPCION],Insumo[UND],,0),"")</f>
        <v>M3</v>
      </c>
      <c r="D1142" s="31">
        <v>0.02</v>
      </c>
      <c r="E1142" s="32">
        <f>IFERROR(_xlfn.XLOOKUP($B1142,Insumo[DESCRIPCION],Insumo[VALOR],,0),"")</f>
        <v>497765.65722213761</v>
      </c>
      <c r="F1142" s="33"/>
      <c r="G1142" s="34">
        <f t="shared" si="4"/>
        <v>9955.3131444427527</v>
      </c>
      <c r="H1142" s="139">
        <f>IFERROR(G1142*E1135,"")</f>
        <v>0</v>
      </c>
    </row>
    <row r="1143" spans="1:8" ht="12.75" customHeight="1">
      <c r="A1143" s="28"/>
      <c r="B1143" s="29" t="s">
        <v>2979</v>
      </c>
      <c r="C1143" s="30" t="str">
        <f>IFERROR(_xlfn.XLOOKUP(B1143,Insumo[DESCRIPCION],Insumo[UND],,0),"")</f>
        <v>Un</v>
      </c>
      <c r="D1143" s="31">
        <v>1</v>
      </c>
      <c r="E1143" s="32">
        <f>IFERROR(_xlfn.XLOOKUP($B1143,Insumo[DESCRIPCION],Insumo[VALOR],,0),"")</f>
        <v>39667.950000000004</v>
      </c>
      <c r="F1143" s="33"/>
      <c r="G1143" s="34">
        <f t="shared" si="4"/>
        <v>39667.950000000004</v>
      </c>
      <c r="H1143" s="139">
        <f>IFERROR(G1143*E1135,"")</f>
        <v>0</v>
      </c>
    </row>
    <row r="1144" spans="1:8" ht="12.75" customHeight="1">
      <c r="A1144" s="28"/>
      <c r="B1144" s="29" t="s">
        <v>2823</v>
      </c>
      <c r="C1144" s="30" t="str">
        <f>IFERROR(_xlfn.XLOOKUP(B1144,Insumo[DESCRIPCION],Insumo[UND],,0),"")</f>
        <v>Kg</v>
      </c>
      <c r="D1144" s="31">
        <v>1.5</v>
      </c>
      <c r="E1144" s="32">
        <f>IFERROR(_xlfn.XLOOKUP($B1144,Insumo[DESCRIPCION],Insumo[VALOR],,0),"")</f>
        <v>1680</v>
      </c>
      <c r="F1144" s="33"/>
      <c r="G1144" s="34">
        <f t="shared" si="4"/>
        <v>2520</v>
      </c>
      <c r="H1144" s="139">
        <f>IFERROR(G1144*E1135,"")</f>
        <v>0</v>
      </c>
    </row>
    <row r="1145" spans="1:8" ht="12.75" customHeight="1">
      <c r="A1145" s="28"/>
      <c r="B1145" s="29" t="s">
        <v>2825</v>
      </c>
      <c r="C1145" s="30" t="str">
        <f>IFERROR(_xlfn.XLOOKUP(B1145,Insumo[DESCRIPCION],Insumo[UND],,0),"")</f>
        <v>Lb</v>
      </c>
      <c r="D1145" s="31">
        <v>0.5</v>
      </c>
      <c r="E1145" s="32">
        <f>IFERROR(_xlfn.XLOOKUP($B1145,Insumo[DESCRIPCION],Insumo[VALOR],,0),"")</f>
        <v>9657.9</v>
      </c>
      <c r="F1145" s="33"/>
      <c r="G1145" s="34">
        <f t="shared" si="4"/>
        <v>4828.95</v>
      </c>
      <c r="H1145" s="139">
        <f>IFERROR(G1145*E1135,"")</f>
        <v>0</v>
      </c>
    </row>
    <row r="1146" spans="1:8" ht="12.75" customHeight="1">
      <c r="A1146" s="21"/>
      <c r="B1146" s="22" t="s">
        <v>3731</v>
      </c>
      <c r="C1146" s="23"/>
      <c r="D1146" s="24"/>
      <c r="E1146" s="25"/>
      <c r="F1146" s="26"/>
      <c r="G1146" s="27">
        <f>SUM(G1147:G1149)</f>
        <v>14402.845848250003</v>
      </c>
      <c r="H1146" s="27">
        <f>IFERROR(G1146*E1135,"")</f>
        <v>0</v>
      </c>
    </row>
    <row r="1147" spans="1:8" ht="12.75" customHeight="1">
      <c r="A1147" s="28"/>
      <c r="B1147" s="29" t="s">
        <v>3642</v>
      </c>
      <c r="C1147" s="30" t="str">
        <f>IFERROR(_xlfn.XLOOKUP(B1147,Equipo[DESCRIPCION],Equipo[UND],,0),"")</f>
        <v>Día</v>
      </c>
      <c r="D1147" s="31">
        <v>1</v>
      </c>
      <c r="E1147" s="32">
        <f>IF(C1147="%MO",G1153,IFERROR(_xlfn.XLOOKUP($B1147,Equipo[DESCRIPCION],Equipo[VALOR],,0),""))</f>
        <v>54978</v>
      </c>
      <c r="F1147" s="33">
        <v>-6</v>
      </c>
      <c r="G1147" s="34">
        <f>IFERROR(IF(F1147&gt;=0,D1147*E1147*(1+F1147/100),ABS(D1147*E1147/F1147)),"")</f>
        <v>9163</v>
      </c>
      <c r="H1147" s="139">
        <f>IFERROR(G1147*E1135,"")</f>
        <v>0</v>
      </c>
    </row>
    <row r="1148" spans="1:8" ht="12.75" customHeight="1">
      <c r="A1148" s="28"/>
      <c r="B1148" s="29" t="s">
        <v>3626</v>
      </c>
      <c r="C1148" s="30" t="str">
        <f>IFERROR(_xlfn.XLOOKUP(B1148,Equipo[DESCRIPCION],Equipo[UND],,0),"")</f>
        <v>%MO</v>
      </c>
      <c r="D1148" s="31">
        <v>0.05</v>
      </c>
      <c r="E1148" s="32">
        <f>IF(C1148="%MO",G1153,IFERROR(_xlfn.XLOOKUP($B1148,Equipo[DESCRIPCION],Equipo[VALOR],,0),""))</f>
        <v>104796.91696500003</v>
      </c>
      <c r="F1148" s="33"/>
      <c r="G1148" s="34">
        <f>IFERROR(IF(F1148&gt;=0,D1148*E1148*(1+F1148/100),ABS(D1148*E1148/F1148)),"")</f>
        <v>5239.8458482500018</v>
      </c>
      <c r="H1148" s="139">
        <f>IFERROR(G1148*E1135,"")</f>
        <v>0</v>
      </c>
    </row>
    <row r="1149" spans="1:8" ht="12.75" customHeight="1">
      <c r="A1149" s="28"/>
      <c r="B1149" s="29"/>
      <c r="C1149" s="30" t="str">
        <f>IFERROR(_xlfn.XLOOKUP(B1149,Equipo[DESCRIPCION],Equipo[UND],,0),"")</f>
        <v/>
      </c>
      <c r="D1149" s="31"/>
      <c r="E1149" s="32" t="str">
        <f>IF(C1149="%MO",G1153,IFERROR(_xlfn.XLOOKUP($B1149,Equipo[DESCRIPCION],Equipo[VALOR],,0),""))</f>
        <v/>
      </c>
      <c r="F1149" s="33"/>
      <c r="G1149" s="34" t="str">
        <f>IFERROR(IF(F1149&gt;=0,D1149*E1149*(1+F1149/100),ABS(D1149*E1149/F1149)),"")</f>
        <v/>
      </c>
      <c r="H1149" s="139" t="str">
        <f>IFERROR(G1149*E1135,"")</f>
        <v/>
      </c>
    </row>
    <row r="1150" spans="1:8" ht="12.75" customHeight="1">
      <c r="A1150" s="21"/>
      <c r="B1150" s="22" t="s">
        <v>2533</v>
      </c>
      <c r="C1150" s="23"/>
      <c r="D1150" s="24"/>
      <c r="E1150" s="25"/>
      <c r="F1150" s="26"/>
      <c r="G1150" s="27">
        <f>SUM(G1151:G1152)</f>
        <v>0</v>
      </c>
      <c r="H1150" s="27">
        <f>IFERROR(G1150*E1135,"")</f>
        <v>0</v>
      </c>
    </row>
    <row r="1151" spans="1:8" ht="12.75" customHeight="1">
      <c r="A1151" s="28"/>
      <c r="B1151" s="29"/>
      <c r="C1151" s="30" t="str">
        <f>IFERROR(_xlfn.XLOOKUP(B1151,Transporte[DESCRIPCION],Transporte[UND],,0),"")</f>
        <v/>
      </c>
      <c r="D1151" s="31"/>
      <c r="E1151" s="32" t="str">
        <f>IFERROR(_xlfn.XLOOKUP($B1151,Transporte[DESCRIPCION],Transporte[VALOR],,0),"")</f>
        <v/>
      </c>
      <c r="F1151" s="33"/>
      <c r="G1151" s="34" t="str">
        <f>IFERROR(IF(F1151&gt;=0,D1151*E1151*(1+F1151/100),ABS(D1151*E1151/F1151)),"")</f>
        <v/>
      </c>
      <c r="H1151" s="139" t="str">
        <f>IFERROR(G1151*E1135,"")</f>
        <v/>
      </c>
    </row>
    <row r="1152" spans="1:8" ht="12.75" customHeight="1">
      <c r="A1152" s="28"/>
      <c r="B1152" s="29"/>
      <c r="C1152" s="30" t="str">
        <f>IFERROR(_xlfn.XLOOKUP(B1152,Transporte[DESCRIPCION],Transporte[UND],,0),"")</f>
        <v/>
      </c>
      <c r="D1152" s="31"/>
      <c r="E1152" s="32" t="str">
        <f>IFERROR(_xlfn.XLOOKUP($B1152,Transporte[DESCRIPCION],Transporte[VALOR],,0),"")</f>
        <v/>
      </c>
      <c r="F1152" s="33"/>
      <c r="G1152" s="34" t="str">
        <f>IFERROR(IF(F1152&gt;=0,D1152*E1152*(1+F1152/100),ABS(D1152*E1152/F1152)),"")</f>
        <v/>
      </c>
      <c r="H1152" s="139" t="str">
        <f>IFERROR(G1152*E1135,"")</f>
        <v/>
      </c>
    </row>
    <row r="1153" spans="1:11" ht="12.75" customHeight="1">
      <c r="A1153" s="21"/>
      <c r="B1153" s="22" t="s">
        <v>3732</v>
      </c>
      <c r="C1153" s="23"/>
      <c r="D1153" s="24"/>
      <c r="E1153" s="25"/>
      <c r="F1153" s="26"/>
      <c r="G1153" s="27">
        <f>SUM(G1154:G1156)</f>
        <v>104796.91696500003</v>
      </c>
      <c r="H1153" s="27">
        <f>IFERROR(G1153*E1135,"")</f>
        <v>0</v>
      </c>
    </row>
    <row r="1154" spans="1:11" ht="12.75" customHeight="1">
      <c r="A1154" s="28"/>
      <c r="B1154" s="29" t="s">
        <v>3710</v>
      </c>
      <c r="C1154" s="30" t="str">
        <f>IFERROR(_xlfn.XLOOKUP(B1154,MObra[DESCRIPCION],MObra[UN],,0),"")</f>
        <v>día</v>
      </c>
      <c r="D1154" s="31">
        <v>1</v>
      </c>
      <c r="E1154" s="32">
        <f>IFERROR(_xlfn.XLOOKUP($B1154,MObra[DESCRIPCION],MObra[VALOR UNIT],,0),"")</f>
        <v>314390.75089500006</v>
      </c>
      <c r="F1154" s="33">
        <v>-3</v>
      </c>
      <c r="G1154" s="34">
        <f>IFERROR(IF(F1154&gt;=0,D1154*E1154*(1+F1154/100),ABS(D1154*E1154/F1154)),"")</f>
        <v>104796.91696500003</v>
      </c>
      <c r="H1154" s="139">
        <f>IFERROR(G1154*E1135,"")</f>
        <v>0</v>
      </c>
    </row>
    <row r="1155" spans="1:11" ht="12.75" customHeight="1">
      <c r="A1155" s="28"/>
      <c r="B1155" s="29"/>
      <c r="C1155" s="30" t="str">
        <f>IFERROR(_xlfn.XLOOKUP(B1155,MObra[DESCRIPCION],MObra[UN],,0),"")</f>
        <v/>
      </c>
      <c r="D1155" s="31"/>
      <c r="E1155" s="32" t="str">
        <f>IFERROR(_xlfn.XLOOKUP($B1155,MObra[DESCRIPCION],MObra[VALOR UNIT],,0),"")</f>
        <v/>
      </c>
      <c r="F1155" s="33"/>
      <c r="G1155" s="34" t="str">
        <f>IFERROR(IF(F1155&gt;=0,D1155*E1155*(1+F1155/100),ABS(D1155*E1155/F1155)),"")</f>
        <v/>
      </c>
      <c r="H1155" s="139" t="str">
        <f>IFERROR(G1155*E1135,"")</f>
        <v/>
      </c>
    </row>
    <row r="1156" spans="1:11" ht="12.75" customHeight="1" thickBot="1">
      <c r="A1156" s="35"/>
      <c r="B1156" s="36"/>
      <c r="C1156" s="37" t="str">
        <f>IFERROR(_xlfn.XLOOKUP(B1156,MObra[DESCRIPCION],MObra[UN],,0),"")</f>
        <v/>
      </c>
      <c r="D1156" s="38"/>
      <c r="E1156" s="39" t="str">
        <f>IFERROR(_xlfn.XLOOKUP($B1156,MObra[DESCRIPCION],MObra[VALOR UNIT],,0),"")</f>
        <v/>
      </c>
      <c r="F1156" s="40"/>
      <c r="G1156" s="41" t="str">
        <f>IFERROR(IF(F1156&gt;=0,D1156*E1156*(1+F1156/100),ABS(D1156*E1156/F1156)),"")</f>
        <v/>
      </c>
      <c r="H1156" s="42" t="str">
        <f>IFERROR(G1156*E1135,"")</f>
        <v/>
      </c>
    </row>
    <row r="1157" spans="1:11" ht="12.75" customHeight="1" thickTop="1" thickBot="1"/>
    <row r="1158" spans="1:11" ht="12.75" customHeight="1" thickTop="1" thickBot="1">
      <c r="A1158" s="6" t="s">
        <v>1484</v>
      </c>
      <c r="B1158" s="7" t="str">
        <f>VLOOKUP($A1158,Presupuesto!$A:$D,2,FALSE())</f>
        <v>Mesón granito pulido sin borde</v>
      </c>
      <c r="C1158" s="8" t="str">
        <f>VLOOKUP($A1158,Presupuesto!$A:$D,3,FALSE())</f>
        <v>M</v>
      </c>
      <c r="D1158" s="9"/>
      <c r="E1158" s="10">
        <f>VLOOKUP($A1158,Presupuesto!$A:$D,4,FALSE())</f>
        <v>0</v>
      </c>
      <c r="F1158" s="11" t="s">
        <v>2589</v>
      </c>
      <c r="G1158" s="12">
        <f>SUM(G1160:G1179)/2</f>
        <v>283794.98155264964</v>
      </c>
      <c r="H1158" s="13">
        <f>ROUND(SUM(H1160:H1179),0)/2</f>
        <v>0</v>
      </c>
      <c r="I1158" s="10">
        <f>VLOOKUP(A1158,Presupuesto!$A:$F,6,0)</f>
        <v>0</v>
      </c>
      <c r="J1158" s="10">
        <f>+H1158-I1158</f>
        <v>0</v>
      </c>
      <c r="K1158" s="46">
        <f>+H1158-G1158*E1158</f>
        <v>0</v>
      </c>
    </row>
    <row r="1159" spans="1:11" ht="12.75" customHeight="1" thickTop="1">
      <c r="A1159" s="14"/>
      <c r="B1159" s="15" t="s">
        <v>2586</v>
      </c>
      <c r="C1159" s="15" t="s">
        <v>5</v>
      </c>
      <c r="D1159" s="16" t="s">
        <v>6</v>
      </c>
      <c r="E1159" s="17" t="s">
        <v>7</v>
      </c>
      <c r="F1159" s="18" t="s">
        <v>3728</v>
      </c>
      <c r="G1159" s="19" t="s">
        <v>3729</v>
      </c>
      <c r="H1159" s="20" t="s">
        <v>3797</v>
      </c>
    </row>
    <row r="1160" spans="1:11" ht="12.75" customHeight="1">
      <c r="A1160" s="21"/>
      <c r="B1160" s="22" t="s">
        <v>3730</v>
      </c>
      <c r="C1160" s="23"/>
      <c r="D1160" s="24"/>
      <c r="E1160" s="25"/>
      <c r="F1160" s="26"/>
      <c r="G1160" s="27">
        <f>SUM(G1161:G1168)</f>
        <v>181623.7562841496</v>
      </c>
      <c r="H1160" s="27">
        <f>IFERROR(G1160*E1158,"")</f>
        <v>0</v>
      </c>
    </row>
    <row r="1161" spans="1:11" ht="12.75" customHeight="1">
      <c r="A1161" s="28"/>
      <c r="B1161" s="29" t="s">
        <v>2954</v>
      </c>
      <c r="C1161" s="30" t="str">
        <f>IFERROR(_xlfn.XLOOKUP(B1161,Insumo[DESCRIPCION],Insumo[UND],,0),"")</f>
        <v>M2</v>
      </c>
      <c r="D1161" s="31">
        <v>0.7</v>
      </c>
      <c r="E1161" s="32">
        <f>IFERROR(_xlfn.XLOOKUP($B1161,Insumo[DESCRIPCION],Insumo[VALOR],,0),"")</f>
        <v>102154.92581625449</v>
      </c>
      <c r="F1161" s="33"/>
      <c r="G1161" s="34">
        <f t="shared" ref="G1161:G1168" si="5">IFERROR(IF(F1161&gt;=0,D1161*E1161*(1+F1161/100),ABS(D1161*E1161/F1161)),"")</f>
        <v>71508.448071378138</v>
      </c>
      <c r="H1161" s="139">
        <f>IFERROR(G1161*E1158,"")</f>
        <v>0</v>
      </c>
    </row>
    <row r="1162" spans="1:11" ht="12.75" customHeight="1">
      <c r="A1162" s="28"/>
      <c r="B1162" s="29" t="s">
        <v>3239</v>
      </c>
      <c r="C1162" s="30" t="str">
        <f>IFERROR(_xlfn.XLOOKUP(B1162,Insumo[DESCRIPCION],Insumo[UND],,0),"")</f>
        <v>M3</v>
      </c>
      <c r="D1162" s="31">
        <f>0.6*0.05</f>
        <v>0.03</v>
      </c>
      <c r="E1162" s="32">
        <f>IFERROR(_xlfn.XLOOKUP($B1162,Insumo[DESCRIPCION],Insumo[VALOR],,0),"")</f>
        <v>521159.50227762427</v>
      </c>
      <c r="F1162" s="33"/>
      <c r="G1162" s="34">
        <f t="shared" si="5"/>
        <v>15634.785068328727</v>
      </c>
      <c r="H1162" s="139">
        <f>IFERROR(G1162*E1158,"")</f>
        <v>0</v>
      </c>
    </row>
    <row r="1163" spans="1:11" ht="12.75" customHeight="1">
      <c r="A1163" s="28"/>
      <c r="B1163" s="29" t="s">
        <v>3134</v>
      </c>
      <c r="C1163" s="30" t="str">
        <f>IFERROR(_xlfn.XLOOKUP(B1163,Insumo[DESCRIPCION],Insumo[UND],,0),"")</f>
        <v>Un</v>
      </c>
      <c r="D1163" s="31">
        <v>0.09</v>
      </c>
      <c r="E1163" s="32">
        <f>IFERROR(_xlfn.XLOOKUP($B1163,Insumo[DESCRIPCION],Insumo[VALOR],,0),"")</f>
        <v>217350</v>
      </c>
      <c r="F1163" s="33"/>
      <c r="G1163" s="34">
        <f t="shared" si="5"/>
        <v>19561.5</v>
      </c>
      <c r="H1163" s="139">
        <f>IFERROR(G1163*E1158,"")</f>
        <v>0</v>
      </c>
    </row>
    <row r="1164" spans="1:11" ht="12.75" customHeight="1">
      <c r="A1164" s="28"/>
      <c r="B1164" s="29" t="s">
        <v>3020</v>
      </c>
      <c r="C1164" s="30" t="str">
        <f>IFERROR(_xlfn.XLOOKUP(B1164,Insumo[DESCRIPCION],Insumo[UND],,0),"")</f>
        <v>Un</v>
      </c>
      <c r="D1164" s="31">
        <v>25</v>
      </c>
      <c r="E1164" s="32">
        <f>IFERROR(_xlfn.XLOOKUP($B1164,Insumo[DESCRIPCION],Insumo[VALOR],,0),"")</f>
        <v>909.30000000000007</v>
      </c>
      <c r="F1164" s="33"/>
      <c r="G1164" s="34">
        <f t="shared" si="5"/>
        <v>22732.5</v>
      </c>
      <c r="H1164" s="139">
        <f>IFERROR(G1164*E1158,"")</f>
        <v>0</v>
      </c>
    </row>
    <row r="1165" spans="1:11" ht="12.75" customHeight="1">
      <c r="A1165" s="28"/>
      <c r="B1165" s="29" t="s">
        <v>3244</v>
      </c>
      <c r="C1165" s="30" t="str">
        <f>IFERROR(_xlfn.XLOOKUP(B1165,Insumo[DESCRIPCION],Insumo[UND],,0),"")</f>
        <v>M3</v>
      </c>
      <c r="D1165" s="31">
        <v>0.02</v>
      </c>
      <c r="E1165" s="32">
        <f>IFERROR(_xlfn.XLOOKUP($B1165,Insumo[DESCRIPCION],Insumo[VALOR],,0),"")</f>
        <v>497765.65722213761</v>
      </c>
      <c r="F1165" s="33"/>
      <c r="G1165" s="34">
        <f t="shared" si="5"/>
        <v>9955.3131444427527</v>
      </c>
      <c r="H1165" s="139">
        <f>IFERROR(G1165*E1158,"")</f>
        <v>0</v>
      </c>
    </row>
    <row r="1166" spans="1:11" ht="12.75" customHeight="1">
      <c r="A1166" s="28"/>
      <c r="B1166" s="29" t="s">
        <v>2979</v>
      </c>
      <c r="C1166" s="30" t="str">
        <f>IFERROR(_xlfn.XLOOKUP(B1166,Insumo[DESCRIPCION],Insumo[UND],,0),"")</f>
        <v>Un</v>
      </c>
      <c r="D1166" s="31">
        <v>0.9</v>
      </c>
      <c r="E1166" s="32">
        <f>IFERROR(_xlfn.XLOOKUP($B1166,Insumo[DESCRIPCION],Insumo[VALOR],,0),"")</f>
        <v>39667.950000000004</v>
      </c>
      <c r="F1166" s="33"/>
      <c r="G1166" s="34">
        <f t="shared" si="5"/>
        <v>35701.155000000006</v>
      </c>
      <c r="H1166" s="139">
        <f>IFERROR(G1166*E1158,"")</f>
        <v>0</v>
      </c>
    </row>
    <row r="1167" spans="1:11" ht="12.75" customHeight="1">
      <c r="A1167" s="28"/>
      <c r="B1167" s="29" t="s">
        <v>2823</v>
      </c>
      <c r="C1167" s="30" t="str">
        <f>IFERROR(_xlfn.XLOOKUP(B1167,Insumo[DESCRIPCION],Insumo[UND],,0),"")</f>
        <v>Kg</v>
      </c>
      <c r="D1167" s="31">
        <v>1.3</v>
      </c>
      <c r="E1167" s="32">
        <f>IFERROR(_xlfn.XLOOKUP($B1167,Insumo[DESCRIPCION],Insumo[VALOR],,0),"")</f>
        <v>1680</v>
      </c>
      <c r="F1167" s="33"/>
      <c r="G1167" s="34">
        <f t="shared" si="5"/>
        <v>2184</v>
      </c>
      <c r="H1167" s="139">
        <f>IFERROR(G1167*E1158,"")</f>
        <v>0</v>
      </c>
    </row>
    <row r="1168" spans="1:11" ht="12.75" customHeight="1">
      <c r="A1168" s="28"/>
      <c r="B1168" s="29" t="s">
        <v>2825</v>
      </c>
      <c r="C1168" s="30" t="str">
        <f>IFERROR(_xlfn.XLOOKUP(B1168,Insumo[DESCRIPCION],Insumo[UND],,0),"")</f>
        <v>Lb</v>
      </c>
      <c r="D1168" s="31">
        <v>0.45</v>
      </c>
      <c r="E1168" s="32">
        <f>IFERROR(_xlfn.XLOOKUP($B1168,Insumo[DESCRIPCION],Insumo[VALOR],,0),"")</f>
        <v>9657.9</v>
      </c>
      <c r="F1168" s="33"/>
      <c r="G1168" s="34">
        <f t="shared" si="5"/>
        <v>4346.0550000000003</v>
      </c>
      <c r="H1168" s="139">
        <f>IFERROR(G1168*E1158,"")</f>
        <v>0</v>
      </c>
    </row>
    <row r="1169" spans="1:11" ht="12.75" customHeight="1">
      <c r="A1169" s="21"/>
      <c r="B1169" s="22" t="s">
        <v>3731</v>
      </c>
      <c r="C1169" s="23"/>
      <c r="D1169" s="24"/>
      <c r="E1169" s="25"/>
      <c r="F1169" s="26"/>
      <c r="G1169" s="27">
        <f>SUM(G1170:G1172)</f>
        <v>12345.296441357144</v>
      </c>
      <c r="H1169" s="27">
        <f>IFERROR(G1169*E1158,"")</f>
        <v>0</v>
      </c>
    </row>
    <row r="1170" spans="1:11" ht="12.75" customHeight="1">
      <c r="A1170" s="28"/>
      <c r="B1170" s="29" t="s">
        <v>3642</v>
      </c>
      <c r="C1170" s="30" t="str">
        <f>IFERROR(_xlfn.XLOOKUP(B1170,Equipo[DESCRIPCION],Equipo[UND],,0),"")</f>
        <v>Día</v>
      </c>
      <c r="D1170" s="31">
        <v>1</v>
      </c>
      <c r="E1170" s="32">
        <f>IF(C1170="%MO",G1176,IFERROR(_xlfn.XLOOKUP($B1170,Equipo[DESCRIPCION],Equipo[VALOR],,0),""))</f>
        <v>54978</v>
      </c>
      <c r="F1170" s="33">
        <v>-7</v>
      </c>
      <c r="G1170" s="34">
        <f>IFERROR(IF(F1170&gt;=0,D1170*E1170*(1+F1170/100),ABS(D1170*E1170/F1170)),"")</f>
        <v>7854</v>
      </c>
      <c r="H1170" s="139">
        <f>IFERROR(G1170*E1158,"")</f>
        <v>0</v>
      </c>
    </row>
    <row r="1171" spans="1:11" ht="12.75" customHeight="1">
      <c r="A1171" s="28"/>
      <c r="B1171" s="29" t="s">
        <v>3626</v>
      </c>
      <c r="C1171" s="30" t="str">
        <f>IFERROR(_xlfn.XLOOKUP(B1171,Equipo[DESCRIPCION],Equipo[UND],,0),"")</f>
        <v>%MO</v>
      </c>
      <c r="D1171" s="31">
        <v>0.05</v>
      </c>
      <c r="E1171" s="32">
        <f>IF(C1171="%MO",G1176,IFERROR(_xlfn.XLOOKUP($B1171,Equipo[DESCRIPCION],Equipo[VALOR],,0),""))</f>
        <v>89825.928827142881</v>
      </c>
      <c r="F1171" s="33"/>
      <c r="G1171" s="34">
        <f>IFERROR(IF(F1171&gt;=0,D1171*E1171*(1+F1171/100),ABS(D1171*E1171/F1171)),"")</f>
        <v>4491.2964413571444</v>
      </c>
      <c r="H1171" s="139">
        <f>IFERROR(G1171*E1158,"")</f>
        <v>0</v>
      </c>
    </row>
    <row r="1172" spans="1:11" ht="12.75" customHeight="1">
      <c r="A1172" s="28"/>
      <c r="B1172" s="29"/>
      <c r="C1172" s="30" t="str">
        <f>IFERROR(_xlfn.XLOOKUP(B1172,Equipo[DESCRIPCION],Equipo[UND],,0),"")</f>
        <v/>
      </c>
      <c r="D1172" s="31"/>
      <c r="E1172" s="32" t="str">
        <f>IF(C1172="%MO",G1176,IFERROR(_xlfn.XLOOKUP($B1172,Equipo[DESCRIPCION],Equipo[VALOR],,0),""))</f>
        <v/>
      </c>
      <c r="F1172" s="33"/>
      <c r="G1172" s="34" t="str">
        <f>IFERROR(IF(F1172&gt;=0,D1172*E1172*(1+F1172/100),ABS(D1172*E1172/F1172)),"")</f>
        <v/>
      </c>
      <c r="H1172" s="139" t="str">
        <f>IFERROR(G1172*E1158,"")</f>
        <v/>
      </c>
    </row>
    <row r="1173" spans="1:11" ht="12.75" customHeight="1">
      <c r="A1173" s="21"/>
      <c r="B1173" s="22" t="s">
        <v>2533</v>
      </c>
      <c r="C1173" s="23"/>
      <c r="D1173" s="24"/>
      <c r="E1173" s="25"/>
      <c r="F1173" s="26"/>
      <c r="G1173" s="27">
        <f>SUM(G1174:G1175)</f>
        <v>0</v>
      </c>
      <c r="H1173" s="27">
        <f>IFERROR(G1173*E1158,"")</f>
        <v>0</v>
      </c>
    </row>
    <row r="1174" spans="1:11" ht="12.75" customHeight="1">
      <c r="A1174" s="28"/>
      <c r="B1174" s="29"/>
      <c r="C1174" s="30" t="str">
        <f>IFERROR(_xlfn.XLOOKUP(B1174,Transporte[DESCRIPCION],Transporte[UND],,0),"")</f>
        <v/>
      </c>
      <c r="D1174" s="31"/>
      <c r="E1174" s="32" t="str">
        <f>IFERROR(_xlfn.XLOOKUP($B1174,Transporte[DESCRIPCION],Transporte[VALOR],,0),"")</f>
        <v/>
      </c>
      <c r="F1174" s="33"/>
      <c r="G1174" s="34" t="str">
        <f>IFERROR(IF(F1174&gt;=0,D1174*E1174*(1+F1174/100),ABS(D1174*E1174/F1174)),"")</f>
        <v/>
      </c>
      <c r="H1174" s="139" t="str">
        <f>IFERROR(G1174*E1158,"")</f>
        <v/>
      </c>
    </row>
    <row r="1175" spans="1:11" ht="12.75" customHeight="1">
      <c r="A1175" s="28"/>
      <c r="B1175" s="29"/>
      <c r="C1175" s="30" t="str">
        <f>IFERROR(_xlfn.XLOOKUP(B1175,Transporte[DESCRIPCION],Transporte[UND],,0),"")</f>
        <v/>
      </c>
      <c r="D1175" s="31"/>
      <c r="E1175" s="32" t="str">
        <f>IFERROR(_xlfn.XLOOKUP($B1175,Transporte[DESCRIPCION],Transporte[VALOR],,0),"")</f>
        <v/>
      </c>
      <c r="F1175" s="33"/>
      <c r="G1175" s="34" t="str">
        <f>IFERROR(IF(F1175&gt;=0,D1175*E1175*(1+F1175/100),ABS(D1175*E1175/F1175)),"")</f>
        <v/>
      </c>
      <c r="H1175" s="139" t="str">
        <f>IFERROR(G1175*E1158,"")</f>
        <v/>
      </c>
    </row>
    <row r="1176" spans="1:11" ht="12.75" customHeight="1">
      <c r="A1176" s="21"/>
      <c r="B1176" s="22" t="s">
        <v>3732</v>
      </c>
      <c r="C1176" s="23"/>
      <c r="D1176" s="24"/>
      <c r="E1176" s="25"/>
      <c r="F1176" s="26"/>
      <c r="G1176" s="27">
        <f>SUM(G1177:G1179)</f>
        <v>89825.928827142881</v>
      </c>
      <c r="H1176" s="27">
        <f>IFERROR(G1176*E1158,"")</f>
        <v>0</v>
      </c>
    </row>
    <row r="1177" spans="1:11" ht="12.75" customHeight="1">
      <c r="A1177" s="28"/>
      <c r="B1177" s="29" t="s">
        <v>3710</v>
      </c>
      <c r="C1177" s="30" t="str">
        <f>IFERROR(_xlfn.XLOOKUP(B1177,MObra[DESCRIPCION],MObra[UN],,0),"")</f>
        <v>día</v>
      </c>
      <c r="D1177" s="31">
        <v>1</v>
      </c>
      <c r="E1177" s="32">
        <f>IFERROR(_xlfn.XLOOKUP($B1177,MObra[DESCRIPCION],MObra[VALOR UNIT],,0),"")</f>
        <v>314390.75089500006</v>
      </c>
      <c r="F1177" s="33">
        <v>-3.5</v>
      </c>
      <c r="G1177" s="34">
        <f>IFERROR(IF(F1177&gt;=0,D1177*E1177*(1+F1177/100),ABS(D1177*E1177/F1177)),"")</f>
        <v>89825.928827142881</v>
      </c>
      <c r="H1177" s="139">
        <f>IFERROR(G1177*E1158,"")</f>
        <v>0</v>
      </c>
    </row>
    <row r="1178" spans="1:11" ht="12.75" customHeight="1">
      <c r="A1178" s="28"/>
      <c r="B1178" s="29"/>
      <c r="C1178" s="30" t="str">
        <f>IFERROR(_xlfn.XLOOKUP(B1178,MObra[DESCRIPCION],MObra[UN],,0),"")</f>
        <v/>
      </c>
      <c r="D1178" s="31"/>
      <c r="E1178" s="32" t="str">
        <f>IFERROR(_xlfn.XLOOKUP($B1178,MObra[DESCRIPCION],MObra[VALOR UNIT],,0),"")</f>
        <v/>
      </c>
      <c r="F1178" s="33"/>
      <c r="G1178" s="34" t="str">
        <f>IFERROR(IF(F1178&gt;=0,D1178*E1178*(1+F1178/100),ABS(D1178*E1178/F1178)),"")</f>
        <v/>
      </c>
      <c r="H1178" s="139" t="str">
        <f>IFERROR(G1178*E1158,"")</f>
        <v/>
      </c>
    </row>
    <row r="1179" spans="1:11" ht="12.75" customHeight="1" thickBot="1">
      <c r="A1179" s="35"/>
      <c r="B1179" s="36"/>
      <c r="C1179" s="37" t="str">
        <f>IFERROR(_xlfn.XLOOKUP(B1179,MObra[DESCRIPCION],MObra[UN],,0),"")</f>
        <v/>
      </c>
      <c r="D1179" s="38"/>
      <c r="E1179" s="39" t="str">
        <f>IFERROR(_xlfn.XLOOKUP($B1179,MObra[DESCRIPCION],MObra[VALOR UNIT],,0),"")</f>
        <v/>
      </c>
      <c r="F1179" s="40"/>
      <c r="G1179" s="41" t="str">
        <f>IFERROR(IF(F1179&gt;=0,D1179*E1179*(1+F1179/100),ABS(D1179*E1179/F1179)),"")</f>
        <v/>
      </c>
      <c r="H1179" s="42" t="str">
        <f>IFERROR(G1179*E1158,"")</f>
        <v/>
      </c>
    </row>
    <row r="1180" spans="1:11" ht="12.75" customHeight="1" thickTop="1" thickBot="1"/>
    <row r="1181" spans="1:11" ht="12.75" customHeight="1" thickTop="1" thickBot="1">
      <c r="A1181" s="6" t="s">
        <v>1486</v>
      </c>
      <c r="B1181" s="7" t="str">
        <f>VLOOKUP($A1181,Presupuesto!$A:$D,2,FALSE())</f>
        <v>Mesón granito pulido W=0.50m</v>
      </c>
      <c r="C1181" s="8" t="str">
        <f>VLOOKUP($A1181,Presupuesto!$A:$D,3,FALSE())</f>
        <v>M</v>
      </c>
      <c r="D1181" s="9"/>
      <c r="E1181" s="10">
        <f>VLOOKUP($A1181,Presupuesto!$A:$D,4,FALSE())</f>
        <v>0</v>
      </c>
      <c r="F1181" s="11" t="s">
        <v>2589</v>
      </c>
      <c r="G1181" s="12">
        <f>SUM(G1183:G1202)/2</f>
        <v>248637.3007896854</v>
      </c>
      <c r="H1181" s="13">
        <f>ROUND(SUM(H1183:H1202),0)/2</f>
        <v>0</v>
      </c>
      <c r="I1181" s="10">
        <f>VLOOKUP(A1181,Presupuesto!$A:$F,6,0)</f>
        <v>0</v>
      </c>
      <c r="J1181" s="10">
        <f>+H1181-I1181</f>
        <v>0</v>
      </c>
      <c r="K1181" s="46">
        <f>+H1181-G1181*E1181</f>
        <v>0</v>
      </c>
    </row>
    <row r="1182" spans="1:11" ht="12.75" customHeight="1" thickTop="1">
      <c r="A1182" s="14"/>
      <c r="B1182" s="15" t="s">
        <v>2586</v>
      </c>
      <c r="C1182" s="15" t="s">
        <v>5</v>
      </c>
      <c r="D1182" s="16" t="s">
        <v>6</v>
      </c>
      <c r="E1182" s="17" t="s">
        <v>7</v>
      </c>
      <c r="F1182" s="18" t="s">
        <v>3728</v>
      </c>
      <c r="G1182" s="19" t="s">
        <v>3729</v>
      </c>
      <c r="H1182" s="20" t="s">
        <v>3797</v>
      </c>
    </row>
    <row r="1183" spans="1:11" ht="12.75" customHeight="1">
      <c r="A1183" s="21"/>
      <c r="B1183" s="22" t="s">
        <v>3730</v>
      </c>
      <c r="C1183" s="23"/>
      <c r="D1183" s="24"/>
      <c r="E1183" s="25"/>
      <c r="F1183" s="26"/>
      <c r="G1183" s="27">
        <f>SUM(G1184:G1191)</f>
        <v>159237.47867974793</v>
      </c>
      <c r="H1183" s="27">
        <f>IFERROR(G1183*E1181,"")</f>
        <v>0</v>
      </c>
    </row>
    <row r="1184" spans="1:11" ht="12.75" customHeight="1">
      <c r="A1184" s="28"/>
      <c r="B1184" s="29" t="s">
        <v>2954</v>
      </c>
      <c r="C1184" s="30" t="str">
        <f>IFERROR(_xlfn.XLOOKUP(B1184,Insumo[DESCRIPCION],Insumo[UND],,0),"")</f>
        <v>M2</v>
      </c>
      <c r="D1184" s="31">
        <v>0.6</v>
      </c>
      <c r="E1184" s="32">
        <f>IFERROR(_xlfn.XLOOKUP($B1184,Insumo[DESCRIPCION],Insumo[VALOR],,0),"")</f>
        <v>102154.92581625449</v>
      </c>
      <c r="F1184" s="33"/>
      <c r="G1184" s="34">
        <f t="shared" ref="G1184:G1191" si="6">IFERROR(IF(F1184&gt;=0,D1184*E1184*(1+F1184/100),ABS(D1184*E1184/F1184)),"")</f>
        <v>61292.95548975269</v>
      </c>
      <c r="H1184" s="139">
        <f>IFERROR(G1184*E1181,"")</f>
        <v>0</v>
      </c>
    </row>
    <row r="1185" spans="1:8" ht="12.75" customHeight="1">
      <c r="A1185" s="28"/>
      <c r="B1185" s="29" t="s">
        <v>3239</v>
      </c>
      <c r="C1185" s="30" t="str">
        <f>IFERROR(_xlfn.XLOOKUP(B1185,Insumo[DESCRIPCION],Insumo[UND],,0),"")</f>
        <v>M3</v>
      </c>
      <c r="D1185" s="31">
        <v>0.02</v>
      </c>
      <c r="E1185" s="32">
        <f>IFERROR(_xlfn.XLOOKUP($B1185,Insumo[DESCRIPCION],Insumo[VALOR],,0),"")</f>
        <v>521159.50227762427</v>
      </c>
      <c r="F1185" s="33"/>
      <c r="G1185" s="34">
        <f t="shared" si="6"/>
        <v>10423.190045552486</v>
      </c>
      <c r="H1185" s="139">
        <f>IFERROR(G1185*E1181,"")</f>
        <v>0</v>
      </c>
    </row>
    <row r="1186" spans="1:8" ht="12.75" customHeight="1">
      <c r="A1186" s="28"/>
      <c r="B1186" s="29" t="s">
        <v>3134</v>
      </c>
      <c r="C1186" s="30" t="str">
        <f>IFERROR(_xlfn.XLOOKUP(B1186,Insumo[DESCRIPCION],Insumo[UND],,0),"")</f>
        <v>Un</v>
      </c>
      <c r="D1186" s="31">
        <v>0.08</v>
      </c>
      <c r="E1186" s="32">
        <f>IFERROR(_xlfn.XLOOKUP($B1186,Insumo[DESCRIPCION],Insumo[VALOR],,0),"")</f>
        <v>217350</v>
      </c>
      <c r="F1186" s="33"/>
      <c r="G1186" s="34">
        <f t="shared" si="6"/>
        <v>17388</v>
      </c>
      <c r="H1186" s="139">
        <f>IFERROR(G1186*E1181,"")</f>
        <v>0</v>
      </c>
    </row>
    <row r="1187" spans="1:8" ht="12.75" customHeight="1">
      <c r="A1187" s="28"/>
      <c r="B1187" s="29" t="s">
        <v>3020</v>
      </c>
      <c r="C1187" s="30" t="str">
        <f>IFERROR(_xlfn.XLOOKUP(B1187,Insumo[DESCRIPCION],Insumo[UND],,0),"")</f>
        <v>Un</v>
      </c>
      <c r="D1187" s="31">
        <v>25</v>
      </c>
      <c r="E1187" s="32">
        <f>IFERROR(_xlfn.XLOOKUP($B1187,Insumo[DESCRIPCION],Insumo[VALOR],,0),"")</f>
        <v>909.30000000000007</v>
      </c>
      <c r="F1187" s="33"/>
      <c r="G1187" s="34">
        <f t="shared" si="6"/>
        <v>22732.5</v>
      </c>
      <c r="H1187" s="139">
        <f>IFERROR(G1187*E1181,"")</f>
        <v>0</v>
      </c>
    </row>
    <row r="1188" spans="1:8" ht="12.75" customHeight="1">
      <c r="A1188" s="28"/>
      <c r="B1188" s="29" t="s">
        <v>3244</v>
      </c>
      <c r="C1188" s="30" t="str">
        <f>IFERROR(_xlfn.XLOOKUP(B1188,Insumo[DESCRIPCION],Insumo[UND],,0),"")</f>
        <v>M3</v>
      </c>
      <c r="D1188" s="31">
        <v>0.02</v>
      </c>
      <c r="E1188" s="32">
        <f>IFERROR(_xlfn.XLOOKUP($B1188,Insumo[DESCRIPCION],Insumo[VALOR],,0),"")</f>
        <v>497765.65722213761</v>
      </c>
      <c r="F1188" s="33"/>
      <c r="G1188" s="34">
        <f t="shared" si="6"/>
        <v>9955.3131444427527</v>
      </c>
      <c r="H1188" s="139">
        <f>IFERROR(G1188*E1181,"")</f>
        <v>0</v>
      </c>
    </row>
    <row r="1189" spans="1:8" ht="12.75" customHeight="1">
      <c r="A1189" s="28"/>
      <c r="B1189" s="29" t="s">
        <v>2979</v>
      </c>
      <c r="C1189" s="30" t="str">
        <f>IFERROR(_xlfn.XLOOKUP(B1189,Insumo[DESCRIPCION],Insumo[UND],,0),"")</f>
        <v>Un</v>
      </c>
      <c r="D1189" s="31">
        <v>0.8</v>
      </c>
      <c r="E1189" s="32">
        <f>IFERROR(_xlfn.XLOOKUP($B1189,Insumo[DESCRIPCION],Insumo[VALOR],,0),"")</f>
        <v>39667.950000000004</v>
      </c>
      <c r="F1189" s="33"/>
      <c r="G1189" s="34">
        <f t="shared" si="6"/>
        <v>31734.360000000004</v>
      </c>
      <c r="H1189" s="139">
        <f>IFERROR(G1189*E1181,"")</f>
        <v>0</v>
      </c>
    </row>
    <row r="1190" spans="1:8" ht="12.75" customHeight="1">
      <c r="A1190" s="28"/>
      <c r="B1190" s="29" t="s">
        <v>2823</v>
      </c>
      <c r="C1190" s="30" t="str">
        <f>IFERROR(_xlfn.XLOOKUP(B1190,Insumo[DESCRIPCION],Insumo[UND],,0),"")</f>
        <v>Kg</v>
      </c>
      <c r="D1190" s="31">
        <v>1.1000000000000001</v>
      </c>
      <c r="E1190" s="32">
        <f>IFERROR(_xlfn.XLOOKUP($B1190,Insumo[DESCRIPCION],Insumo[VALOR],,0),"")</f>
        <v>1680</v>
      </c>
      <c r="F1190" s="33"/>
      <c r="G1190" s="34">
        <f t="shared" si="6"/>
        <v>1848.0000000000002</v>
      </c>
      <c r="H1190" s="139">
        <f>IFERROR(G1190*E1181,"")</f>
        <v>0</v>
      </c>
    </row>
    <row r="1191" spans="1:8" ht="12.75" customHeight="1">
      <c r="A1191" s="28"/>
      <c r="B1191" s="29" t="s">
        <v>2825</v>
      </c>
      <c r="C1191" s="30" t="str">
        <f>IFERROR(_xlfn.XLOOKUP(B1191,Insumo[DESCRIPCION],Insumo[UND],,0),"")</f>
        <v>Lb</v>
      </c>
      <c r="D1191" s="31">
        <v>0.4</v>
      </c>
      <c r="E1191" s="32">
        <f>IFERROR(_xlfn.XLOOKUP($B1191,Insumo[DESCRIPCION],Insumo[VALOR],,0),"")</f>
        <v>9657.9</v>
      </c>
      <c r="F1191" s="33"/>
      <c r="G1191" s="34">
        <f t="shared" si="6"/>
        <v>3863.16</v>
      </c>
      <c r="H1191" s="139">
        <f>IFERROR(G1191*E1181,"")</f>
        <v>0</v>
      </c>
    </row>
    <row r="1192" spans="1:8" ht="12.75" customHeight="1">
      <c r="A1192" s="21"/>
      <c r="B1192" s="22" t="s">
        <v>3731</v>
      </c>
      <c r="C1192" s="23"/>
      <c r="D1192" s="24"/>
      <c r="E1192" s="25"/>
      <c r="F1192" s="26"/>
      <c r="G1192" s="27">
        <f>SUM(G1193:G1195)</f>
        <v>10802.134386187501</v>
      </c>
      <c r="H1192" s="27">
        <f>IFERROR(G1192*E1181,"")</f>
        <v>0</v>
      </c>
    </row>
    <row r="1193" spans="1:8" ht="12.75" customHeight="1">
      <c r="A1193" s="28"/>
      <c r="B1193" s="29" t="s">
        <v>3642</v>
      </c>
      <c r="C1193" s="30" t="str">
        <f>IFERROR(_xlfn.XLOOKUP(B1193,Equipo[DESCRIPCION],Equipo[UND],,0),"")</f>
        <v>Día</v>
      </c>
      <c r="D1193" s="31">
        <v>1</v>
      </c>
      <c r="E1193" s="32">
        <f>IF(C1193="%MO",G1199,IFERROR(_xlfn.XLOOKUP($B1193,Equipo[DESCRIPCION],Equipo[VALOR],,0),""))</f>
        <v>54978</v>
      </c>
      <c r="F1193" s="33">
        <v>-8</v>
      </c>
      <c r="G1193" s="34">
        <f>IFERROR(IF(F1193&gt;=0,D1193*E1193*(1+F1193/100),ABS(D1193*E1193/F1193)),"")</f>
        <v>6872.25</v>
      </c>
      <c r="H1193" s="139">
        <f>IFERROR(G1193*E1181,"")</f>
        <v>0</v>
      </c>
    </row>
    <row r="1194" spans="1:8" ht="12.75" customHeight="1">
      <c r="A1194" s="28"/>
      <c r="B1194" s="29" t="s">
        <v>3626</v>
      </c>
      <c r="C1194" s="30" t="str">
        <f>IFERROR(_xlfn.XLOOKUP(B1194,Equipo[DESCRIPCION],Equipo[UND],,0),"")</f>
        <v>%MO</v>
      </c>
      <c r="D1194" s="31">
        <v>0.05</v>
      </c>
      <c r="E1194" s="32">
        <f>IF(C1194="%MO",G1199,IFERROR(_xlfn.XLOOKUP($B1194,Equipo[DESCRIPCION],Equipo[VALOR],,0),""))</f>
        <v>78597.687723750016</v>
      </c>
      <c r="F1194" s="33"/>
      <c r="G1194" s="34">
        <f>IFERROR(IF(F1194&gt;=0,D1194*E1194*(1+F1194/100),ABS(D1194*E1194/F1194)),"")</f>
        <v>3929.8843861875011</v>
      </c>
      <c r="H1194" s="139">
        <f>IFERROR(G1194*E1181,"")</f>
        <v>0</v>
      </c>
    </row>
    <row r="1195" spans="1:8" ht="12.75" customHeight="1">
      <c r="A1195" s="28"/>
      <c r="B1195" s="29"/>
      <c r="C1195" s="30" t="str">
        <f>IFERROR(_xlfn.XLOOKUP(B1195,Equipo[DESCRIPCION],Equipo[UND],,0),"")</f>
        <v/>
      </c>
      <c r="D1195" s="31"/>
      <c r="E1195" s="32" t="str">
        <f>IF(C1195="%MO",G1199,IFERROR(_xlfn.XLOOKUP($B1195,Equipo[DESCRIPCION],Equipo[VALOR],,0),""))</f>
        <v/>
      </c>
      <c r="F1195" s="33"/>
      <c r="G1195" s="34" t="str">
        <f>IFERROR(IF(F1195&gt;=0,D1195*E1195*(1+F1195/100),ABS(D1195*E1195/F1195)),"")</f>
        <v/>
      </c>
      <c r="H1195" s="139" t="str">
        <f>IFERROR(G1195*E1181,"")</f>
        <v/>
      </c>
    </row>
    <row r="1196" spans="1:8" ht="12.75" customHeight="1">
      <c r="A1196" s="21"/>
      <c r="B1196" s="22" t="s">
        <v>2533</v>
      </c>
      <c r="C1196" s="23"/>
      <c r="D1196" s="24"/>
      <c r="E1196" s="25"/>
      <c r="F1196" s="26"/>
      <c r="G1196" s="27">
        <f>SUM(G1197:G1198)</f>
        <v>0</v>
      </c>
      <c r="H1196" s="27">
        <f>IFERROR(G1196*E1181,"")</f>
        <v>0</v>
      </c>
    </row>
    <row r="1197" spans="1:8" ht="12.75" customHeight="1">
      <c r="A1197" s="28"/>
      <c r="B1197" s="29"/>
      <c r="C1197" s="30" t="str">
        <f>IFERROR(_xlfn.XLOOKUP(B1197,Transporte[DESCRIPCION],Transporte[UND],,0),"")</f>
        <v/>
      </c>
      <c r="D1197" s="31"/>
      <c r="E1197" s="32" t="str">
        <f>IFERROR(_xlfn.XLOOKUP($B1197,Transporte[DESCRIPCION],Transporte[VALOR],,0),"")</f>
        <v/>
      </c>
      <c r="F1197" s="33"/>
      <c r="G1197" s="34" t="str">
        <f>IFERROR(IF(F1197&gt;=0,D1197*E1197*(1+F1197/100),ABS(D1197*E1197/F1197)),"")</f>
        <v/>
      </c>
      <c r="H1197" s="139" t="str">
        <f>IFERROR(G1197*E1181,"")</f>
        <v/>
      </c>
    </row>
    <row r="1198" spans="1:8" ht="12.75" customHeight="1">
      <c r="A1198" s="28"/>
      <c r="B1198" s="29"/>
      <c r="C1198" s="30" t="str">
        <f>IFERROR(_xlfn.XLOOKUP(B1198,Transporte[DESCRIPCION],Transporte[UND],,0),"")</f>
        <v/>
      </c>
      <c r="D1198" s="31"/>
      <c r="E1198" s="32" t="str">
        <f>IFERROR(_xlfn.XLOOKUP($B1198,Transporte[DESCRIPCION],Transporte[VALOR],,0),"")</f>
        <v/>
      </c>
      <c r="F1198" s="33"/>
      <c r="G1198" s="34" t="str">
        <f>IFERROR(IF(F1198&gt;=0,D1198*E1198*(1+F1198/100),ABS(D1198*E1198/F1198)),"")</f>
        <v/>
      </c>
      <c r="H1198" s="139" t="str">
        <f>IFERROR(G1198*E1181,"")</f>
        <v/>
      </c>
    </row>
    <row r="1199" spans="1:8" ht="12.75" customHeight="1">
      <c r="A1199" s="21"/>
      <c r="B1199" s="22" t="s">
        <v>3732</v>
      </c>
      <c r="C1199" s="23"/>
      <c r="D1199" s="24"/>
      <c r="E1199" s="25"/>
      <c r="F1199" s="26"/>
      <c r="G1199" s="27">
        <f>SUM(G1200:G1202)</f>
        <v>78597.687723750016</v>
      </c>
      <c r="H1199" s="27">
        <f>IFERROR(G1199*E1181,"")</f>
        <v>0</v>
      </c>
    </row>
    <row r="1200" spans="1:8" ht="12.75" customHeight="1">
      <c r="A1200" s="28"/>
      <c r="B1200" s="29" t="s">
        <v>3710</v>
      </c>
      <c r="C1200" s="30" t="str">
        <f>IFERROR(_xlfn.XLOOKUP(B1200,MObra[DESCRIPCION],MObra[UN],,0),"")</f>
        <v>día</v>
      </c>
      <c r="D1200" s="31">
        <v>1</v>
      </c>
      <c r="E1200" s="32">
        <f>IFERROR(_xlfn.XLOOKUP($B1200,MObra[DESCRIPCION],MObra[VALOR UNIT],,0),"")</f>
        <v>314390.75089500006</v>
      </c>
      <c r="F1200" s="33">
        <v>-4</v>
      </c>
      <c r="G1200" s="34">
        <f>IFERROR(IF(F1200&gt;=0,D1200*E1200*(1+F1200/100),ABS(D1200*E1200/F1200)),"")</f>
        <v>78597.687723750016</v>
      </c>
      <c r="H1200" s="139">
        <f>IFERROR(G1200*E1181,"")</f>
        <v>0</v>
      </c>
    </row>
    <row r="1201" spans="1:11" ht="12.75" customHeight="1">
      <c r="A1201" s="28"/>
      <c r="B1201" s="29"/>
      <c r="C1201" s="30" t="str">
        <f>IFERROR(_xlfn.XLOOKUP(B1201,MObra[DESCRIPCION],MObra[UN],,0),"")</f>
        <v/>
      </c>
      <c r="D1201" s="31"/>
      <c r="E1201" s="32" t="str">
        <f>IFERROR(_xlfn.XLOOKUP($B1201,MObra[DESCRIPCION],MObra[VALOR UNIT],,0),"")</f>
        <v/>
      </c>
      <c r="F1201" s="33"/>
      <c r="G1201" s="34" t="str">
        <f>IFERROR(IF(F1201&gt;=0,D1201*E1201*(1+F1201/100),ABS(D1201*E1201/F1201)),"")</f>
        <v/>
      </c>
      <c r="H1201" s="139" t="str">
        <f>IFERROR(G1201*E1181,"")</f>
        <v/>
      </c>
    </row>
    <row r="1202" spans="1:11" ht="12.75" customHeight="1" thickBot="1">
      <c r="A1202" s="35"/>
      <c r="B1202" s="36"/>
      <c r="C1202" s="37" t="str">
        <f>IFERROR(_xlfn.XLOOKUP(B1202,MObra[DESCRIPCION],MObra[UN],,0),"")</f>
        <v/>
      </c>
      <c r="D1202" s="38"/>
      <c r="E1202" s="39" t="str">
        <f>IFERROR(_xlfn.XLOOKUP($B1202,MObra[DESCRIPCION],MObra[VALOR UNIT],,0),"")</f>
        <v/>
      </c>
      <c r="F1202" s="40"/>
      <c r="G1202" s="41" t="str">
        <f>IFERROR(IF(F1202&gt;=0,D1202*E1202*(1+F1202/100),ABS(D1202*E1202/F1202)),"")</f>
        <v/>
      </c>
      <c r="H1202" s="42" t="str">
        <f>IFERROR(G1202*E1181,"")</f>
        <v/>
      </c>
    </row>
    <row r="1203" spans="1:11" ht="12.75" customHeight="1" thickTop="1" thickBot="1"/>
    <row r="1204" spans="1:11" ht="12.75" customHeight="1" thickTop="1" thickBot="1">
      <c r="A1204" s="6" t="s">
        <v>1488</v>
      </c>
      <c r="B1204" s="7" t="str">
        <f>VLOOKUP($A1204,Presupuesto!$A:$D,2,FALSE())</f>
        <v>Mezclador lavaplatos</v>
      </c>
      <c r="C1204" s="8" t="str">
        <f>VLOOKUP($A1204,Presupuesto!$A:$D,3,FALSE())</f>
        <v>Un</v>
      </c>
      <c r="D1204" s="9"/>
      <c r="E1204" s="10">
        <f>VLOOKUP($A1204,Presupuesto!$A:$D,4,FALSE())</f>
        <v>0</v>
      </c>
      <c r="F1204" s="11" t="s">
        <v>2589</v>
      </c>
      <c r="G1204" s="12">
        <f>SUM(G1206:G1222)/2</f>
        <v>134419.30256265</v>
      </c>
      <c r="H1204" s="13">
        <f>ROUND(SUM(H1206:H1222),0)/2</f>
        <v>0</v>
      </c>
      <c r="I1204" s="10">
        <f>VLOOKUP(A1204,Presupuesto!$A:$F,6,0)</f>
        <v>0</v>
      </c>
      <c r="J1204" s="10">
        <f>+H1204-I1204</f>
        <v>0</v>
      </c>
      <c r="K1204" s="46">
        <f>+H1204-G1204*E1204</f>
        <v>0</v>
      </c>
    </row>
    <row r="1205" spans="1:11" ht="12.75" customHeight="1" thickTop="1">
      <c r="A1205" s="14"/>
      <c r="B1205" s="15" t="s">
        <v>2586</v>
      </c>
      <c r="C1205" s="15" t="s">
        <v>5</v>
      </c>
      <c r="D1205" s="16" t="s">
        <v>6</v>
      </c>
      <c r="E1205" s="17" t="s">
        <v>7</v>
      </c>
      <c r="F1205" s="18" t="s">
        <v>3728</v>
      </c>
      <c r="G1205" s="19" t="s">
        <v>3729</v>
      </c>
      <c r="H1205" s="20" t="s">
        <v>3797</v>
      </c>
    </row>
    <row r="1206" spans="1:11" ht="12.75" customHeight="1">
      <c r="A1206" s="21"/>
      <c r="B1206" s="22" t="s">
        <v>3730</v>
      </c>
      <c r="C1206" s="23"/>
      <c r="D1206" s="24"/>
      <c r="E1206" s="25"/>
      <c r="F1206" s="26"/>
      <c r="G1206" s="27">
        <f>SUM(G1207:G1211)</f>
        <v>112411.95000000001</v>
      </c>
      <c r="H1206" s="27">
        <f>IFERROR(G1206*E1204,"")</f>
        <v>0</v>
      </c>
    </row>
    <row r="1207" spans="1:11" ht="12.75" customHeight="1">
      <c r="A1207" s="28"/>
      <c r="B1207" s="29" t="s">
        <v>3172</v>
      </c>
      <c r="C1207" s="30" t="str">
        <f>IFERROR(_xlfn.XLOOKUP(B1207,Insumo[DESCRIPCION],Insumo[UND],,0),"")</f>
        <v>Un</v>
      </c>
      <c r="D1207" s="31">
        <v>1</v>
      </c>
      <c r="E1207" s="32">
        <f>IFERROR(_xlfn.XLOOKUP($B1207,Insumo[DESCRIPCION],Insumo[VALOR],,0),"")</f>
        <v>112411.95000000001</v>
      </c>
      <c r="F1207" s="33"/>
      <c r="G1207" s="34">
        <f>IFERROR(IF(F1207&gt;=0,D1207*E1207*(1+F1207/100),ABS(D1207*E1207/F1207)),"")</f>
        <v>112411.95000000001</v>
      </c>
      <c r="H1207" s="139">
        <f>IFERROR(G1207*E1204,"")</f>
        <v>0</v>
      </c>
    </row>
    <row r="1208" spans="1:11" ht="12.75" customHeight="1">
      <c r="A1208" s="28"/>
      <c r="B1208" s="29"/>
      <c r="C1208" s="30" t="str">
        <f>IFERROR(_xlfn.XLOOKUP(B1208,Insumo[DESCRIPCION],Insumo[UND],,0),"")</f>
        <v/>
      </c>
      <c r="D1208" s="31"/>
      <c r="E1208" s="32" t="str">
        <f>IFERROR(_xlfn.XLOOKUP($B1208,Insumo[DESCRIPCION],Insumo[VALOR],,0),"")</f>
        <v/>
      </c>
      <c r="F1208" s="33"/>
      <c r="G1208" s="34" t="str">
        <f>IFERROR(IF(F1208&gt;=0,D1208*E1208*(1+F1208/100),ABS(D1208*E1208/F1208)),"")</f>
        <v/>
      </c>
      <c r="H1208" s="139" t="str">
        <f>IFERROR(G1208*E1204,"")</f>
        <v/>
      </c>
    </row>
    <row r="1209" spans="1:11" ht="12.75" customHeight="1">
      <c r="A1209" s="28"/>
      <c r="B1209" s="29"/>
      <c r="C1209" s="30" t="str">
        <f>IFERROR(_xlfn.XLOOKUP(B1209,Insumo[DESCRIPCION],Insumo[UND],,0),"")</f>
        <v/>
      </c>
      <c r="D1209" s="31"/>
      <c r="E1209" s="32" t="str">
        <f>IFERROR(_xlfn.XLOOKUP($B1209,Insumo[DESCRIPCION],Insumo[VALOR],,0),"")</f>
        <v/>
      </c>
      <c r="F1209" s="33"/>
      <c r="G1209" s="34" t="str">
        <f>IFERROR(IF(F1209&gt;=0,D1209*E1209*(1+F1209/100),ABS(D1209*E1209/F1209)),"")</f>
        <v/>
      </c>
      <c r="H1209" s="139" t="str">
        <f>IFERROR(G1209*E1204,"")</f>
        <v/>
      </c>
    </row>
    <row r="1210" spans="1:11" ht="12.75" customHeight="1">
      <c r="A1210" s="28"/>
      <c r="B1210" s="29"/>
      <c r="C1210" s="30" t="str">
        <f>IFERROR(_xlfn.XLOOKUP(B1210,Insumo[DESCRIPCION],Insumo[UND],,0),"")</f>
        <v/>
      </c>
      <c r="D1210" s="31"/>
      <c r="E1210" s="32" t="str">
        <f>IFERROR(_xlfn.XLOOKUP($B1210,Insumo[DESCRIPCION],Insumo[VALOR],,0),"")</f>
        <v/>
      </c>
      <c r="F1210" s="33"/>
      <c r="G1210" s="34" t="str">
        <f>IFERROR(IF(F1210&gt;=0,D1210*E1210*(1+F1210/100),ABS(D1210*E1210/F1210)),"")</f>
        <v/>
      </c>
      <c r="H1210" s="139" t="str">
        <f>IFERROR(G1210*E1204,"")</f>
        <v/>
      </c>
    </row>
    <row r="1211" spans="1:11" ht="12.75" customHeight="1">
      <c r="A1211" s="28"/>
      <c r="B1211" s="29"/>
      <c r="C1211" s="30" t="str">
        <f>IFERROR(_xlfn.XLOOKUP(B1211,Insumo[DESCRIPCION],Insumo[UND],,0),"")</f>
        <v/>
      </c>
      <c r="D1211" s="31"/>
      <c r="E1211" s="32" t="str">
        <f>IFERROR(_xlfn.XLOOKUP($B1211,Insumo[DESCRIPCION],Insumo[VALOR],,0),"")</f>
        <v/>
      </c>
      <c r="F1211" s="33"/>
      <c r="G1211" s="34" t="str">
        <f>IFERROR(IF(F1211&gt;=0,D1211*E1211*(1+F1211/100),ABS(D1211*E1211/F1211)),"")</f>
        <v/>
      </c>
      <c r="H1211" s="139" t="str">
        <f>IFERROR(G1211*E1204,"")</f>
        <v/>
      </c>
    </row>
    <row r="1212" spans="1:11" ht="12.75" customHeight="1">
      <c r="A1212" s="21"/>
      <c r="B1212" s="22" t="s">
        <v>3731</v>
      </c>
      <c r="C1212" s="23"/>
      <c r="D1212" s="24"/>
      <c r="E1212" s="25"/>
      <c r="F1212" s="26"/>
      <c r="G1212" s="27">
        <f>SUM(G1213:G1215)</f>
        <v>1047.9691696500001</v>
      </c>
      <c r="H1212" s="27">
        <f>IFERROR(G1212*E1204,"")</f>
        <v>0</v>
      </c>
    </row>
    <row r="1213" spans="1:11" ht="12.75" customHeight="1">
      <c r="A1213" s="28"/>
      <c r="B1213" s="29" t="s">
        <v>3626</v>
      </c>
      <c r="C1213" s="30" t="str">
        <f>IFERROR(_xlfn.XLOOKUP(B1213,Equipo[DESCRIPCION],Equipo[UND],,0),"")</f>
        <v>%MO</v>
      </c>
      <c r="D1213" s="31">
        <v>0.05</v>
      </c>
      <c r="E1213" s="32">
        <f>IF(C1213="%MO",G1219,IFERROR(_xlfn.XLOOKUP($B1213,Equipo[DESCRIPCION],Equipo[VALOR],,0),""))</f>
        <v>20959.383393000004</v>
      </c>
      <c r="F1213" s="33"/>
      <c r="G1213" s="34">
        <f>IFERROR(IF(F1213&gt;=0,D1213*E1213*(1+F1213/100),ABS(D1213*E1213/F1213)),"")</f>
        <v>1047.9691696500001</v>
      </c>
      <c r="H1213" s="139">
        <f>IFERROR(G1213*E1204,"")</f>
        <v>0</v>
      </c>
    </row>
    <row r="1214" spans="1:11" ht="12.75" customHeight="1">
      <c r="A1214" s="28"/>
      <c r="B1214" s="29"/>
      <c r="C1214" s="30" t="str">
        <f>IFERROR(_xlfn.XLOOKUP(B1214,Equipo[DESCRIPCION],Equipo[UND],,0),"")</f>
        <v/>
      </c>
      <c r="D1214" s="31"/>
      <c r="E1214" s="32" t="str">
        <f>IF(C1214="%MO",G1219,IFERROR(_xlfn.XLOOKUP($B1214,Equipo[DESCRIPCION],Equipo[VALOR],,0),""))</f>
        <v/>
      </c>
      <c r="F1214" s="33"/>
      <c r="G1214" s="34" t="str">
        <f>IFERROR(IF(F1214&gt;=0,D1214*E1214*(1+F1214/100),ABS(D1214*E1214/F1214)),"")</f>
        <v/>
      </c>
      <c r="H1214" s="139" t="str">
        <f>IFERROR(G1214*E1204,"")</f>
        <v/>
      </c>
    </row>
    <row r="1215" spans="1:11" ht="12.75" customHeight="1">
      <c r="A1215" s="28"/>
      <c r="B1215" s="29"/>
      <c r="C1215" s="30" t="str">
        <f>IFERROR(_xlfn.XLOOKUP(B1215,Equipo[DESCRIPCION],Equipo[UND],,0),"")</f>
        <v/>
      </c>
      <c r="D1215" s="31"/>
      <c r="E1215" s="32" t="str">
        <f>IF(C1215="%MO",G1219,IFERROR(_xlfn.XLOOKUP($B1215,Equipo[DESCRIPCION],Equipo[VALOR],,0),""))</f>
        <v/>
      </c>
      <c r="F1215" s="33"/>
      <c r="G1215" s="34" t="str">
        <f>IFERROR(IF(F1215&gt;=0,D1215*E1215*(1+F1215/100),ABS(D1215*E1215/F1215)),"")</f>
        <v/>
      </c>
      <c r="H1215" s="139" t="str">
        <f>IFERROR(G1215*E1204,"")</f>
        <v/>
      </c>
    </row>
    <row r="1216" spans="1:11" ht="12.75" customHeight="1">
      <c r="A1216" s="21"/>
      <c r="B1216" s="22" t="s">
        <v>2533</v>
      </c>
      <c r="C1216" s="23"/>
      <c r="D1216" s="24"/>
      <c r="E1216" s="25"/>
      <c r="F1216" s="26"/>
      <c r="G1216" s="27">
        <f>SUM(G1217:G1218)</f>
        <v>0</v>
      </c>
      <c r="H1216" s="27">
        <f>IFERROR(G1216*E1204,"")</f>
        <v>0</v>
      </c>
    </row>
    <row r="1217" spans="1:11" ht="12.75" customHeight="1">
      <c r="A1217" s="28"/>
      <c r="B1217" s="29"/>
      <c r="C1217" s="30" t="str">
        <f>IFERROR(_xlfn.XLOOKUP(B1217,Transporte[DESCRIPCION],Transporte[UND],,0),"")</f>
        <v/>
      </c>
      <c r="D1217" s="31"/>
      <c r="E1217" s="32" t="str">
        <f>IFERROR(_xlfn.XLOOKUP($B1217,Transporte[DESCRIPCION],Transporte[VALOR],,0),"")</f>
        <v/>
      </c>
      <c r="F1217" s="33"/>
      <c r="G1217" s="34" t="str">
        <f>IFERROR(IF(F1217&gt;=0,D1217*E1217*(1+F1217/100),ABS(D1217*E1217/F1217)),"")</f>
        <v/>
      </c>
      <c r="H1217" s="139" t="str">
        <f>IFERROR(G1217*E1204,"")</f>
        <v/>
      </c>
    </row>
    <row r="1218" spans="1:11" ht="12.75" customHeight="1">
      <c r="A1218" s="28"/>
      <c r="B1218" s="29"/>
      <c r="C1218" s="30" t="str">
        <f>IFERROR(_xlfn.XLOOKUP(B1218,Transporte[DESCRIPCION],Transporte[UND],,0),"")</f>
        <v/>
      </c>
      <c r="D1218" s="31"/>
      <c r="E1218" s="32" t="str">
        <f>IFERROR(_xlfn.XLOOKUP($B1218,Transporte[DESCRIPCION],Transporte[VALOR],,0),"")</f>
        <v/>
      </c>
      <c r="F1218" s="33"/>
      <c r="G1218" s="34" t="str">
        <f>IFERROR(IF(F1218&gt;=0,D1218*E1218*(1+F1218/100),ABS(D1218*E1218/F1218)),"")</f>
        <v/>
      </c>
      <c r="H1218" s="139" t="str">
        <f>IFERROR(G1218*E1204,"")</f>
        <v/>
      </c>
    </row>
    <row r="1219" spans="1:11" ht="12.75" customHeight="1">
      <c r="A1219" s="21"/>
      <c r="B1219" s="22" t="s">
        <v>3732</v>
      </c>
      <c r="C1219" s="23"/>
      <c r="D1219" s="24"/>
      <c r="E1219" s="25"/>
      <c r="F1219" s="26"/>
      <c r="G1219" s="27">
        <f>SUM(G1220:G1222)</f>
        <v>20959.383393000004</v>
      </c>
      <c r="H1219" s="27">
        <f>IFERROR(G1219*E1204,"")</f>
        <v>0</v>
      </c>
    </row>
    <row r="1220" spans="1:11" ht="12.75" customHeight="1">
      <c r="A1220" s="28"/>
      <c r="B1220" s="29" t="s">
        <v>3710</v>
      </c>
      <c r="C1220" s="30" t="str">
        <f>IFERROR(_xlfn.XLOOKUP(B1220,MObra[DESCRIPCION],MObra[UN],,0),"")</f>
        <v>día</v>
      </c>
      <c r="D1220" s="31">
        <v>1</v>
      </c>
      <c r="E1220" s="32">
        <f>IFERROR(_xlfn.XLOOKUP($B1220,MObra[DESCRIPCION],MObra[VALOR UNIT],,0),"")</f>
        <v>314390.75089500006</v>
      </c>
      <c r="F1220" s="33">
        <v>-15</v>
      </c>
      <c r="G1220" s="34">
        <f>IFERROR(IF(F1220&gt;=0,D1220*E1220*(1+F1220/100),ABS(D1220*E1220/F1220)),"")</f>
        <v>20959.383393000004</v>
      </c>
      <c r="H1220" s="139">
        <f>IFERROR(G1220*E1204,"")</f>
        <v>0</v>
      </c>
    </row>
    <row r="1221" spans="1:11" ht="12.75" customHeight="1">
      <c r="A1221" s="28"/>
      <c r="B1221" s="29"/>
      <c r="C1221" s="30" t="str">
        <f>IFERROR(_xlfn.XLOOKUP(B1221,MObra[DESCRIPCION],MObra[UN],,0),"")</f>
        <v/>
      </c>
      <c r="D1221" s="31"/>
      <c r="E1221" s="32" t="str">
        <f>IFERROR(_xlfn.XLOOKUP($B1221,MObra[DESCRIPCION],MObra[VALOR UNIT],,0),"")</f>
        <v/>
      </c>
      <c r="F1221" s="33"/>
      <c r="G1221" s="34" t="str">
        <f>IFERROR(IF(F1221&gt;=0,D1221*E1221*(1+F1221/100),ABS(D1221*E1221/F1221)),"")</f>
        <v/>
      </c>
      <c r="H1221" s="139" t="str">
        <f>IFERROR(G1221*E1204,"")</f>
        <v/>
      </c>
    </row>
    <row r="1222" spans="1:11" ht="12.75" customHeight="1" thickBot="1">
      <c r="A1222" s="35"/>
      <c r="B1222" s="36"/>
      <c r="C1222" s="37" t="str">
        <f>IFERROR(_xlfn.XLOOKUP(B1222,MObra[DESCRIPCION],MObra[UN],,0),"")</f>
        <v/>
      </c>
      <c r="D1222" s="38"/>
      <c r="E1222" s="39" t="str">
        <f>IFERROR(_xlfn.XLOOKUP($B1222,MObra[DESCRIPCION],MObra[VALOR UNIT],,0),"")</f>
        <v/>
      </c>
      <c r="F1222" s="40"/>
      <c r="G1222" s="41" t="str">
        <f>IFERROR(IF(F1222&gt;=0,D1222*E1222*(1+F1222/100),ABS(D1222*E1222/F1222)),"")</f>
        <v/>
      </c>
      <c r="H1222" s="42" t="str">
        <f>IFERROR(G1222*E1204,"")</f>
        <v/>
      </c>
    </row>
    <row r="1223" spans="1:11" ht="12.75" customHeight="1" thickTop="1" thickBot="1"/>
    <row r="1224" spans="1:11" ht="12.75" customHeight="1" thickTop="1" thickBot="1">
      <c r="A1224" s="6" t="s">
        <v>1490</v>
      </c>
      <c r="B1224" s="7" t="str">
        <f>VLOOKUP($A1224,Presupuesto!$A:$D,2,FALSE())</f>
        <v>Orinal blanco acción automática</v>
      </c>
      <c r="C1224" s="8" t="str">
        <f>VLOOKUP($A1224,Presupuesto!$A:$D,3,FALSE())</f>
        <v>Un</v>
      </c>
      <c r="D1224" s="9"/>
      <c r="E1224" s="10">
        <f>VLOOKUP($A1224,Presupuesto!$A:$D,4,FALSE())</f>
        <v>0</v>
      </c>
      <c r="F1224" s="11" t="s">
        <v>2589</v>
      </c>
      <c r="G1224" s="12">
        <f>SUM(G1226:G1242)/2</f>
        <v>1279534.6814066255</v>
      </c>
      <c r="H1224" s="13">
        <f>ROUND(SUM(H1226:H1242),0)/2</f>
        <v>0</v>
      </c>
      <c r="I1224" s="10">
        <f>VLOOKUP(A1224,Presupuesto!$A:$F,6,0)</f>
        <v>0</v>
      </c>
      <c r="J1224" s="10">
        <f>+H1224-I1224</f>
        <v>0</v>
      </c>
      <c r="K1224" s="46">
        <f>+H1224-G1224*E1224</f>
        <v>0</v>
      </c>
    </row>
    <row r="1225" spans="1:11" ht="12.75" customHeight="1" thickTop="1">
      <c r="A1225" s="14"/>
      <c r="B1225" s="15" t="s">
        <v>2586</v>
      </c>
      <c r="C1225" s="15" t="s">
        <v>5</v>
      </c>
      <c r="D1225" s="16" t="s">
        <v>6</v>
      </c>
      <c r="E1225" s="17" t="s">
        <v>7</v>
      </c>
      <c r="F1225" s="18" t="s">
        <v>3728</v>
      </c>
      <c r="G1225" s="19" t="s">
        <v>3729</v>
      </c>
      <c r="H1225" s="20" t="s">
        <v>3797</v>
      </c>
    </row>
    <row r="1226" spans="1:11" ht="12.75" customHeight="1">
      <c r="A1226" s="21"/>
      <c r="B1226" s="22" t="s">
        <v>3730</v>
      </c>
      <c r="C1226" s="23"/>
      <c r="D1226" s="24"/>
      <c r="E1226" s="25"/>
      <c r="F1226" s="26"/>
      <c r="G1226" s="27">
        <f>SUM(G1227:G1231)</f>
        <v>1224516.3</v>
      </c>
      <c r="H1226" s="27">
        <f>IFERROR(G1226*E1224,"")</f>
        <v>0</v>
      </c>
    </row>
    <row r="1227" spans="1:11" ht="12.75" customHeight="1">
      <c r="A1227" s="28"/>
      <c r="B1227" s="29" t="s">
        <v>3178</v>
      </c>
      <c r="C1227" s="30" t="str">
        <f>IFERROR(_xlfn.XLOOKUP(B1227,Insumo[DESCRIPCION],Insumo[UND],,0),"")</f>
        <v>Un</v>
      </c>
      <c r="D1227" s="31">
        <v>1</v>
      </c>
      <c r="E1227" s="32">
        <f>IFERROR(_xlfn.XLOOKUP($B1227,Insumo[DESCRIPCION],Insumo[VALOR],,0),"")</f>
        <v>966616.35000000009</v>
      </c>
      <c r="F1227" s="33"/>
      <c r="G1227" s="34">
        <f>IFERROR(IF(F1227&gt;=0,D1227*E1227*(1+F1227/100),ABS(D1227*E1227/F1227)),"")</f>
        <v>966616.35000000009</v>
      </c>
      <c r="H1227" s="139">
        <f>IFERROR(G1227*E1224,"")</f>
        <v>0</v>
      </c>
    </row>
    <row r="1228" spans="1:11" ht="12.75" customHeight="1">
      <c r="A1228" s="28"/>
      <c r="B1228" s="29" t="s">
        <v>2986</v>
      </c>
      <c r="C1228" s="30" t="str">
        <f>IFERROR(_xlfn.XLOOKUP(B1228,Insumo[DESCRIPCION],Insumo[UND],,0),"")</f>
        <v>Un</v>
      </c>
      <c r="D1228" s="31">
        <v>1</v>
      </c>
      <c r="E1228" s="32">
        <f>IFERROR(_xlfn.XLOOKUP($B1228,Insumo[DESCRIPCION],Insumo[VALOR],,0),"")</f>
        <v>257899.95</v>
      </c>
      <c r="F1228" s="33"/>
      <c r="G1228" s="34">
        <f>IFERROR(IF(F1228&gt;=0,D1228*E1228*(1+F1228/100),ABS(D1228*E1228/F1228)),"")</f>
        <v>257899.95</v>
      </c>
      <c r="H1228" s="139">
        <f>IFERROR(G1228*E1224,"")</f>
        <v>0</v>
      </c>
    </row>
    <row r="1229" spans="1:11" ht="12.75" customHeight="1">
      <c r="A1229" s="28"/>
      <c r="B1229" s="29"/>
      <c r="C1229" s="30" t="str">
        <f>IFERROR(_xlfn.XLOOKUP(B1229,Insumo[DESCRIPCION],Insumo[UND],,0),"")</f>
        <v/>
      </c>
      <c r="D1229" s="31"/>
      <c r="E1229" s="32" t="str">
        <f>IFERROR(_xlfn.XLOOKUP($B1229,Insumo[DESCRIPCION],Insumo[VALOR],,0),"")</f>
        <v/>
      </c>
      <c r="F1229" s="33"/>
      <c r="G1229" s="34" t="str">
        <f>IFERROR(IF(F1229&gt;=0,D1229*E1229*(1+F1229/100),ABS(D1229*E1229/F1229)),"")</f>
        <v/>
      </c>
      <c r="H1229" s="139" t="str">
        <f>IFERROR(G1229*E1224,"")</f>
        <v/>
      </c>
    </row>
    <row r="1230" spans="1:11" ht="12.75" customHeight="1">
      <c r="A1230" s="28"/>
      <c r="B1230" s="29"/>
      <c r="C1230" s="30" t="str">
        <f>IFERROR(_xlfn.XLOOKUP(B1230,Insumo[DESCRIPCION],Insumo[UND],,0),"")</f>
        <v/>
      </c>
      <c r="D1230" s="31"/>
      <c r="E1230" s="32" t="str">
        <f>IFERROR(_xlfn.XLOOKUP($B1230,Insumo[DESCRIPCION],Insumo[VALOR],,0),"")</f>
        <v/>
      </c>
      <c r="F1230" s="33"/>
      <c r="G1230" s="34" t="str">
        <f>IFERROR(IF(F1230&gt;=0,D1230*E1230*(1+F1230/100),ABS(D1230*E1230/F1230)),"")</f>
        <v/>
      </c>
      <c r="H1230" s="139" t="str">
        <f>IFERROR(G1230*E1224,"")</f>
        <v/>
      </c>
    </row>
    <row r="1231" spans="1:11" ht="12.75" customHeight="1">
      <c r="A1231" s="28"/>
      <c r="B1231" s="29"/>
      <c r="C1231" s="30" t="str">
        <f>IFERROR(_xlfn.XLOOKUP(B1231,Insumo[DESCRIPCION],Insumo[UND],,0),"")</f>
        <v/>
      </c>
      <c r="D1231" s="31"/>
      <c r="E1231" s="32" t="str">
        <f>IFERROR(_xlfn.XLOOKUP($B1231,Insumo[DESCRIPCION],Insumo[VALOR],,0),"")</f>
        <v/>
      </c>
      <c r="F1231" s="33"/>
      <c r="G1231" s="34" t="str">
        <f>IFERROR(IF(F1231&gt;=0,D1231*E1231*(1+F1231/100),ABS(D1231*E1231/F1231)),"")</f>
        <v/>
      </c>
      <c r="H1231" s="139" t="str">
        <f>IFERROR(G1231*E1224,"")</f>
        <v/>
      </c>
    </row>
    <row r="1232" spans="1:11" ht="12.75" customHeight="1">
      <c r="A1232" s="21"/>
      <c r="B1232" s="22" t="s">
        <v>3731</v>
      </c>
      <c r="C1232" s="23"/>
      <c r="D1232" s="24"/>
      <c r="E1232" s="25"/>
      <c r="F1232" s="26"/>
      <c r="G1232" s="27">
        <f>SUM(G1233:G1235)</f>
        <v>2619.9229241250009</v>
      </c>
      <c r="H1232" s="27">
        <f>IFERROR(G1232*E1224,"")</f>
        <v>0</v>
      </c>
    </row>
    <row r="1233" spans="1:11" ht="12.75" customHeight="1">
      <c r="A1233" s="28"/>
      <c r="B1233" s="29" t="s">
        <v>3626</v>
      </c>
      <c r="C1233" s="30" t="str">
        <f>IFERROR(_xlfn.XLOOKUP(B1233,Equipo[DESCRIPCION],Equipo[UND],,0),"")</f>
        <v>%MO</v>
      </c>
      <c r="D1233" s="31">
        <v>0.05</v>
      </c>
      <c r="E1233" s="32">
        <f>IF(C1233="%MO",G1239,IFERROR(_xlfn.XLOOKUP($B1233,Equipo[DESCRIPCION],Equipo[VALOR],,0),""))</f>
        <v>52398.458482500013</v>
      </c>
      <c r="F1233" s="33"/>
      <c r="G1233" s="34">
        <f>IFERROR(IF(F1233&gt;=0,D1233*E1233*(1+F1233/100),ABS(D1233*E1233/F1233)),"")</f>
        <v>2619.9229241250009</v>
      </c>
      <c r="H1233" s="139">
        <f>IFERROR(G1233*E1224,"")</f>
        <v>0</v>
      </c>
    </row>
    <row r="1234" spans="1:11" ht="12.75" customHeight="1">
      <c r="A1234" s="28"/>
      <c r="B1234" s="29"/>
      <c r="C1234" s="30" t="str">
        <f>IFERROR(_xlfn.XLOOKUP(B1234,Equipo[DESCRIPCION],Equipo[UND],,0),"")</f>
        <v/>
      </c>
      <c r="D1234" s="31"/>
      <c r="E1234" s="32" t="str">
        <f>IF(C1234="%MO",G1239,IFERROR(_xlfn.XLOOKUP($B1234,Equipo[DESCRIPCION],Equipo[VALOR],,0),""))</f>
        <v/>
      </c>
      <c r="F1234" s="33"/>
      <c r="G1234" s="34" t="str">
        <f>IFERROR(IF(F1234&gt;=0,D1234*E1234*(1+F1234/100),ABS(D1234*E1234/F1234)),"")</f>
        <v/>
      </c>
      <c r="H1234" s="139" t="str">
        <f>IFERROR(G1234*E1224,"")</f>
        <v/>
      </c>
    </row>
    <row r="1235" spans="1:11" ht="12.75" customHeight="1">
      <c r="A1235" s="28"/>
      <c r="B1235" s="29"/>
      <c r="C1235" s="30" t="str">
        <f>IFERROR(_xlfn.XLOOKUP(B1235,Equipo[DESCRIPCION],Equipo[UND],,0),"")</f>
        <v/>
      </c>
      <c r="D1235" s="31"/>
      <c r="E1235" s="32" t="str">
        <f>IF(C1235="%MO",G1239,IFERROR(_xlfn.XLOOKUP($B1235,Equipo[DESCRIPCION],Equipo[VALOR],,0),""))</f>
        <v/>
      </c>
      <c r="F1235" s="33"/>
      <c r="G1235" s="34" t="str">
        <f>IFERROR(IF(F1235&gt;=0,D1235*E1235*(1+F1235/100),ABS(D1235*E1235/F1235)),"")</f>
        <v/>
      </c>
      <c r="H1235" s="139" t="str">
        <f>IFERROR(G1235*E1224,"")</f>
        <v/>
      </c>
    </row>
    <row r="1236" spans="1:11" ht="12.75" customHeight="1">
      <c r="A1236" s="21"/>
      <c r="B1236" s="22" t="s">
        <v>2533</v>
      </c>
      <c r="C1236" s="23"/>
      <c r="D1236" s="24"/>
      <c r="E1236" s="25"/>
      <c r="F1236" s="26"/>
      <c r="G1236" s="27">
        <f>SUM(G1237:G1238)</f>
        <v>0</v>
      </c>
      <c r="H1236" s="27">
        <f>IFERROR(G1236*E1224,"")</f>
        <v>0</v>
      </c>
    </row>
    <row r="1237" spans="1:11" ht="12.75" customHeight="1">
      <c r="A1237" s="28"/>
      <c r="B1237" s="29"/>
      <c r="C1237" s="30" t="str">
        <f>IFERROR(_xlfn.XLOOKUP(B1237,Transporte[DESCRIPCION],Transporte[UND],,0),"")</f>
        <v/>
      </c>
      <c r="D1237" s="31"/>
      <c r="E1237" s="32" t="str">
        <f>IFERROR(_xlfn.XLOOKUP($B1237,Transporte[DESCRIPCION],Transporte[VALOR],,0),"")</f>
        <v/>
      </c>
      <c r="F1237" s="33"/>
      <c r="G1237" s="34" t="str">
        <f>IFERROR(IF(F1237&gt;=0,D1237*E1237*(1+F1237/100),ABS(D1237*E1237/F1237)),"")</f>
        <v/>
      </c>
      <c r="H1237" s="139" t="str">
        <f>IFERROR(G1237*E1224,"")</f>
        <v/>
      </c>
    </row>
    <row r="1238" spans="1:11" ht="12.75" customHeight="1">
      <c r="A1238" s="28"/>
      <c r="B1238" s="29"/>
      <c r="C1238" s="30" t="str">
        <f>IFERROR(_xlfn.XLOOKUP(B1238,Transporte[DESCRIPCION],Transporte[UND],,0),"")</f>
        <v/>
      </c>
      <c r="D1238" s="31"/>
      <c r="E1238" s="32" t="str">
        <f>IFERROR(_xlfn.XLOOKUP($B1238,Transporte[DESCRIPCION],Transporte[VALOR],,0),"")</f>
        <v/>
      </c>
      <c r="F1238" s="33"/>
      <c r="G1238" s="34" t="str">
        <f>IFERROR(IF(F1238&gt;=0,D1238*E1238*(1+F1238/100),ABS(D1238*E1238/F1238)),"")</f>
        <v/>
      </c>
      <c r="H1238" s="139" t="str">
        <f>IFERROR(G1238*E1224,"")</f>
        <v/>
      </c>
    </row>
    <row r="1239" spans="1:11" ht="12.75" customHeight="1">
      <c r="A1239" s="21"/>
      <c r="B1239" s="22" t="s">
        <v>3732</v>
      </c>
      <c r="C1239" s="23"/>
      <c r="D1239" s="24"/>
      <c r="E1239" s="25"/>
      <c r="F1239" s="26"/>
      <c r="G1239" s="27">
        <f>SUM(G1240:G1242)</f>
        <v>52398.458482500013</v>
      </c>
      <c r="H1239" s="27">
        <f>IFERROR(G1239*E1224,"")</f>
        <v>0</v>
      </c>
    </row>
    <row r="1240" spans="1:11" ht="12.75" customHeight="1">
      <c r="A1240" s="28"/>
      <c r="B1240" s="29" t="s">
        <v>3710</v>
      </c>
      <c r="C1240" s="30" t="str">
        <f>IFERROR(_xlfn.XLOOKUP(B1240,MObra[DESCRIPCION],MObra[UN],,0),"")</f>
        <v>día</v>
      </c>
      <c r="D1240" s="31">
        <v>1</v>
      </c>
      <c r="E1240" s="32">
        <f>IFERROR(_xlfn.XLOOKUP($B1240,MObra[DESCRIPCION],MObra[VALOR UNIT],,0),"")</f>
        <v>314390.75089500006</v>
      </c>
      <c r="F1240" s="33">
        <v>-6</v>
      </c>
      <c r="G1240" s="34">
        <f>IFERROR(IF(F1240&gt;=0,D1240*E1240*(1+F1240/100),ABS(D1240*E1240/F1240)),"")</f>
        <v>52398.458482500013</v>
      </c>
      <c r="H1240" s="139">
        <f>IFERROR(G1240*E1224,"")</f>
        <v>0</v>
      </c>
    </row>
    <row r="1241" spans="1:11" ht="12.75" customHeight="1">
      <c r="A1241" s="28"/>
      <c r="B1241" s="29"/>
      <c r="C1241" s="30" t="str">
        <f>IFERROR(_xlfn.XLOOKUP(B1241,MObra[DESCRIPCION],MObra[UN],,0),"")</f>
        <v/>
      </c>
      <c r="D1241" s="31"/>
      <c r="E1241" s="32" t="str">
        <f>IFERROR(_xlfn.XLOOKUP($B1241,MObra[DESCRIPCION],MObra[VALOR UNIT],,0),"")</f>
        <v/>
      </c>
      <c r="F1241" s="33"/>
      <c r="G1241" s="34" t="str">
        <f>IFERROR(IF(F1241&gt;=0,D1241*E1241*(1+F1241/100),ABS(D1241*E1241/F1241)),"")</f>
        <v/>
      </c>
      <c r="H1241" s="139" t="str">
        <f>IFERROR(G1241*E1224,"")</f>
        <v/>
      </c>
    </row>
    <row r="1242" spans="1:11" ht="12.75" customHeight="1" thickBot="1">
      <c r="A1242" s="35"/>
      <c r="B1242" s="36"/>
      <c r="C1242" s="37" t="str">
        <f>IFERROR(_xlfn.XLOOKUP(B1242,MObra[DESCRIPCION],MObra[UN],,0),"")</f>
        <v/>
      </c>
      <c r="D1242" s="38"/>
      <c r="E1242" s="39" t="str">
        <f>IFERROR(_xlfn.XLOOKUP($B1242,MObra[DESCRIPCION],MObra[VALOR UNIT],,0),"")</f>
        <v/>
      </c>
      <c r="F1242" s="40"/>
      <c r="G1242" s="41" t="str">
        <f>IFERROR(IF(F1242&gt;=0,D1242*E1242*(1+F1242/100),ABS(D1242*E1242/F1242)),"")</f>
        <v/>
      </c>
      <c r="H1242" s="42" t="str">
        <f>IFERROR(G1242*E1224,"")</f>
        <v/>
      </c>
    </row>
    <row r="1243" spans="1:11" ht="12.75" customHeight="1" thickTop="1" thickBot="1"/>
    <row r="1244" spans="1:11" ht="12.75" customHeight="1" thickTop="1" thickBot="1">
      <c r="A1244" s="6" t="s">
        <v>1492</v>
      </c>
      <c r="B1244" s="7" t="str">
        <f>VLOOKUP($A1244,Presupuesto!$A:$D,2,FALSE())</f>
        <v>Orinal blanco acción normal</v>
      </c>
      <c r="C1244" s="8" t="str">
        <f>VLOOKUP($A1244,Presupuesto!$A:$D,3,FALSE())</f>
        <v>Un</v>
      </c>
      <c r="D1244" s="9"/>
      <c r="E1244" s="10">
        <f>VLOOKUP($A1244,Presupuesto!$A:$D,4,FALSE())</f>
        <v>0</v>
      </c>
      <c r="F1244" s="11" t="s">
        <v>2589</v>
      </c>
      <c r="G1244" s="12">
        <f>SUM(G1246:G1262)/2</f>
        <v>435162.48140662501</v>
      </c>
      <c r="H1244" s="13">
        <f>ROUND(SUM(H1246:H1262),0)/2</f>
        <v>0</v>
      </c>
      <c r="I1244" s="10">
        <f>VLOOKUP(A1244,Presupuesto!$A:$F,6,0)</f>
        <v>0</v>
      </c>
      <c r="J1244" s="10">
        <f>+H1244-I1244</f>
        <v>0</v>
      </c>
      <c r="K1244" s="46">
        <f>+H1244-G1244*E1244</f>
        <v>0</v>
      </c>
    </row>
    <row r="1245" spans="1:11" ht="12.75" customHeight="1" thickTop="1">
      <c r="A1245" s="14"/>
      <c r="B1245" s="15" t="s">
        <v>2586</v>
      </c>
      <c r="C1245" s="15" t="s">
        <v>5</v>
      </c>
      <c r="D1245" s="16" t="s">
        <v>6</v>
      </c>
      <c r="E1245" s="17" t="s">
        <v>7</v>
      </c>
      <c r="F1245" s="18" t="s">
        <v>3728</v>
      </c>
      <c r="G1245" s="19" t="s">
        <v>3729</v>
      </c>
      <c r="H1245" s="20" t="s">
        <v>3797</v>
      </c>
    </row>
    <row r="1246" spans="1:11" ht="12.75" customHeight="1">
      <c r="A1246" s="21"/>
      <c r="B1246" s="22" t="s">
        <v>3730</v>
      </c>
      <c r="C1246" s="23"/>
      <c r="D1246" s="24"/>
      <c r="E1246" s="25"/>
      <c r="F1246" s="26"/>
      <c r="G1246" s="27">
        <f>SUM(G1247:G1251)</f>
        <v>380144.1</v>
      </c>
      <c r="H1246" s="27">
        <f>IFERROR(G1246*E1244,"")</f>
        <v>0</v>
      </c>
    </row>
    <row r="1247" spans="1:11" ht="12.75" customHeight="1">
      <c r="A1247" s="28"/>
      <c r="B1247" s="29" t="s">
        <v>3180</v>
      </c>
      <c r="C1247" s="30" t="str">
        <f>IFERROR(_xlfn.XLOOKUP(B1247,Insumo[DESCRIPCION],Insumo[UND],,0),"")</f>
        <v>Un</v>
      </c>
      <c r="D1247" s="31">
        <v>1</v>
      </c>
      <c r="E1247" s="32">
        <f>IFERROR(_xlfn.XLOOKUP($B1247,Insumo[DESCRIPCION],Insumo[VALOR],,0),"")</f>
        <v>306888.75</v>
      </c>
      <c r="F1247" s="33"/>
      <c r="G1247" s="34">
        <f>IFERROR(IF(F1247&gt;=0,D1247*E1247*(1+F1247/100),ABS(D1247*E1247/F1247)),"")</f>
        <v>306888.75</v>
      </c>
      <c r="H1247" s="139">
        <f>IFERROR(G1247*E1244,"")</f>
        <v>0</v>
      </c>
    </row>
    <row r="1248" spans="1:11" ht="12.75" customHeight="1">
      <c r="A1248" s="28"/>
      <c r="B1248" s="29" t="s">
        <v>2988</v>
      </c>
      <c r="C1248" s="30" t="str">
        <f>IFERROR(_xlfn.XLOOKUP(B1248,Insumo[DESCRIPCION],Insumo[UND],,0),"")</f>
        <v>Un</v>
      </c>
      <c r="D1248" s="31">
        <v>1</v>
      </c>
      <c r="E1248" s="32">
        <f>IFERROR(_xlfn.XLOOKUP($B1248,Insumo[DESCRIPCION],Insumo[VALOR],,0),"")</f>
        <v>73255.350000000006</v>
      </c>
      <c r="F1248" s="33"/>
      <c r="G1248" s="34">
        <f>IFERROR(IF(F1248&gt;=0,D1248*E1248*(1+F1248/100),ABS(D1248*E1248/F1248)),"")</f>
        <v>73255.350000000006</v>
      </c>
      <c r="H1248" s="139">
        <f>IFERROR(G1248*E1244,"")</f>
        <v>0</v>
      </c>
    </row>
    <row r="1249" spans="1:11" ht="12.75" customHeight="1">
      <c r="A1249" s="28"/>
      <c r="B1249" s="29"/>
      <c r="C1249" s="30" t="str">
        <f>IFERROR(_xlfn.XLOOKUP(B1249,Insumo[DESCRIPCION],Insumo[UND],,0),"")</f>
        <v/>
      </c>
      <c r="D1249" s="31"/>
      <c r="E1249" s="32" t="str">
        <f>IFERROR(_xlfn.XLOOKUP($B1249,Insumo[DESCRIPCION],Insumo[VALOR],,0),"")</f>
        <v/>
      </c>
      <c r="F1249" s="33"/>
      <c r="G1249" s="34" t="str">
        <f>IFERROR(IF(F1249&gt;=0,D1249*E1249*(1+F1249/100),ABS(D1249*E1249/F1249)),"")</f>
        <v/>
      </c>
      <c r="H1249" s="139" t="str">
        <f>IFERROR(G1249*E1244,"")</f>
        <v/>
      </c>
    </row>
    <row r="1250" spans="1:11" ht="12.75" customHeight="1">
      <c r="A1250" s="28"/>
      <c r="B1250" s="29"/>
      <c r="C1250" s="30" t="str">
        <f>IFERROR(_xlfn.XLOOKUP(B1250,Insumo[DESCRIPCION],Insumo[UND],,0),"")</f>
        <v/>
      </c>
      <c r="D1250" s="31"/>
      <c r="E1250" s="32" t="str">
        <f>IFERROR(_xlfn.XLOOKUP($B1250,Insumo[DESCRIPCION],Insumo[VALOR],,0),"")</f>
        <v/>
      </c>
      <c r="F1250" s="33"/>
      <c r="G1250" s="34" t="str">
        <f>IFERROR(IF(F1250&gt;=0,D1250*E1250*(1+F1250/100),ABS(D1250*E1250/F1250)),"")</f>
        <v/>
      </c>
      <c r="H1250" s="139" t="str">
        <f>IFERROR(G1250*E1244,"")</f>
        <v/>
      </c>
    </row>
    <row r="1251" spans="1:11" ht="12.75" customHeight="1">
      <c r="A1251" s="28"/>
      <c r="B1251" s="29"/>
      <c r="C1251" s="30" t="str">
        <f>IFERROR(_xlfn.XLOOKUP(B1251,Insumo[DESCRIPCION],Insumo[UND],,0),"")</f>
        <v/>
      </c>
      <c r="D1251" s="31"/>
      <c r="E1251" s="32" t="str">
        <f>IFERROR(_xlfn.XLOOKUP($B1251,Insumo[DESCRIPCION],Insumo[VALOR],,0),"")</f>
        <v/>
      </c>
      <c r="F1251" s="33"/>
      <c r="G1251" s="34" t="str">
        <f>IFERROR(IF(F1251&gt;=0,D1251*E1251*(1+F1251/100),ABS(D1251*E1251/F1251)),"")</f>
        <v/>
      </c>
      <c r="H1251" s="139" t="str">
        <f>IFERROR(G1251*E1244,"")</f>
        <v/>
      </c>
    </row>
    <row r="1252" spans="1:11" ht="12.75" customHeight="1">
      <c r="A1252" s="21"/>
      <c r="B1252" s="22" t="s">
        <v>3731</v>
      </c>
      <c r="C1252" s="23"/>
      <c r="D1252" s="24"/>
      <c r="E1252" s="25"/>
      <c r="F1252" s="26"/>
      <c r="G1252" s="27">
        <f>SUM(G1253:G1255)</f>
        <v>2619.9229241250009</v>
      </c>
      <c r="H1252" s="27">
        <f>IFERROR(G1252*E1244,"")</f>
        <v>0</v>
      </c>
    </row>
    <row r="1253" spans="1:11" ht="12.75" customHeight="1">
      <c r="A1253" s="28"/>
      <c r="B1253" s="29" t="s">
        <v>3626</v>
      </c>
      <c r="C1253" s="30" t="str">
        <f>IFERROR(_xlfn.XLOOKUP(B1253,Equipo[DESCRIPCION],Equipo[UND],,0),"")</f>
        <v>%MO</v>
      </c>
      <c r="D1253" s="31">
        <v>0.05</v>
      </c>
      <c r="E1253" s="32">
        <f>IF(C1253="%MO",G1259,IFERROR(_xlfn.XLOOKUP($B1253,Equipo[DESCRIPCION],Equipo[VALOR],,0),""))</f>
        <v>52398.458482500013</v>
      </c>
      <c r="F1253" s="33"/>
      <c r="G1253" s="34">
        <f>IFERROR(IF(F1253&gt;=0,D1253*E1253*(1+F1253/100),ABS(D1253*E1253/F1253)),"")</f>
        <v>2619.9229241250009</v>
      </c>
      <c r="H1253" s="139">
        <f>IFERROR(G1253*E1244,"")</f>
        <v>0</v>
      </c>
    </row>
    <row r="1254" spans="1:11" ht="12.75" customHeight="1">
      <c r="A1254" s="28"/>
      <c r="B1254" s="29"/>
      <c r="C1254" s="30" t="str">
        <f>IFERROR(_xlfn.XLOOKUP(B1254,Equipo[DESCRIPCION],Equipo[UND],,0),"")</f>
        <v/>
      </c>
      <c r="D1254" s="31"/>
      <c r="E1254" s="32" t="str">
        <f>IF(C1254="%MO",G1259,IFERROR(_xlfn.XLOOKUP($B1254,Equipo[DESCRIPCION],Equipo[VALOR],,0),""))</f>
        <v/>
      </c>
      <c r="F1254" s="33"/>
      <c r="G1254" s="34" t="str">
        <f>IFERROR(IF(F1254&gt;=0,D1254*E1254*(1+F1254/100),ABS(D1254*E1254/F1254)),"")</f>
        <v/>
      </c>
      <c r="H1254" s="139" t="str">
        <f>IFERROR(G1254*E1244,"")</f>
        <v/>
      </c>
    </row>
    <row r="1255" spans="1:11" ht="12.75" customHeight="1">
      <c r="A1255" s="28"/>
      <c r="B1255" s="29"/>
      <c r="C1255" s="30" t="str">
        <f>IFERROR(_xlfn.XLOOKUP(B1255,Equipo[DESCRIPCION],Equipo[UND],,0),"")</f>
        <v/>
      </c>
      <c r="D1255" s="31"/>
      <c r="E1255" s="32" t="str">
        <f>IF(C1255="%MO",G1259,IFERROR(_xlfn.XLOOKUP($B1255,Equipo[DESCRIPCION],Equipo[VALOR],,0),""))</f>
        <v/>
      </c>
      <c r="F1255" s="33"/>
      <c r="G1255" s="34" t="str">
        <f>IFERROR(IF(F1255&gt;=0,D1255*E1255*(1+F1255/100),ABS(D1255*E1255/F1255)),"")</f>
        <v/>
      </c>
      <c r="H1255" s="139" t="str">
        <f>IFERROR(G1255*E1244,"")</f>
        <v/>
      </c>
    </row>
    <row r="1256" spans="1:11" ht="12.75" customHeight="1">
      <c r="A1256" s="21"/>
      <c r="B1256" s="22" t="s">
        <v>2533</v>
      </c>
      <c r="C1256" s="23"/>
      <c r="D1256" s="24"/>
      <c r="E1256" s="25"/>
      <c r="F1256" s="26"/>
      <c r="G1256" s="27">
        <f>SUM(G1257:G1258)</f>
        <v>0</v>
      </c>
      <c r="H1256" s="27">
        <f>IFERROR(G1256*E1244,"")</f>
        <v>0</v>
      </c>
    </row>
    <row r="1257" spans="1:11" ht="12.75" customHeight="1">
      <c r="A1257" s="28"/>
      <c r="B1257" s="29"/>
      <c r="C1257" s="30" t="str">
        <f>IFERROR(_xlfn.XLOOKUP(B1257,Transporte[DESCRIPCION],Transporte[UND],,0),"")</f>
        <v/>
      </c>
      <c r="D1257" s="31"/>
      <c r="E1257" s="32" t="str">
        <f>IFERROR(_xlfn.XLOOKUP($B1257,Transporte[DESCRIPCION],Transporte[VALOR],,0),"")</f>
        <v/>
      </c>
      <c r="F1257" s="33"/>
      <c r="G1257" s="34" t="str">
        <f>IFERROR(IF(F1257&gt;=0,D1257*E1257*(1+F1257/100),ABS(D1257*E1257/F1257)),"")</f>
        <v/>
      </c>
      <c r="H1257" s="139" t="str">
        <f>IFERROR(G1257*E1244,"")</f>
        <v/>
      </c>
    </row>
    <row r="1258" spans="1:11" ht="12.75" customHeight="1">
      <c r="A1258" s="28"/>
      <c r="B1258" s="29"/>
      <c r="C1258" s="30" t="str">
        <f>IFERROR(_xlfn.XLOOKUP(B1258,Transporte[DESCRIPCION],Transporte[UND],,0),"")</f>
        <v/>
      </c>
      <c r="D1258" s="31"/>
      <c r="E1258" s="32" t="str">
        <f>IFERROR(_xlfn.XLOOKUP($B1258,Transporte[DESCRIPCION],Transporte[VALOR],,0),"")</f>
        <v/>
      </c>
      <c r="F1258" s="33"/>
      <c r="G1258" s="34" t="str">
        <f>IFERROR(IF(F1258&gt;=0,D1258*E1258*(1+F1258/100),ABS(D1258*E1258/F1258)),"")</f>
        <v/>
      </c>
      <c r="H1258" s="139" t="str">
        <f>IFERROR(G1258*E1244,"")</f>
        <v/>
      </c>
    </row>
    <row r="1259" spans="1:11" ht="12.75" customHeight="1">
      <c r="A1259" s="21"/>
      <c r="B1259" s="22" t="s">
        <v>3732</v>
      </c>
      <c r="C1259" s="23"/>
      <c r="D1259" s="24"/>
      <c r="E1259" s="25"/>
      <c r="F1259" s="26"/>
      <c r="G1259" s="27">
        <f>SUM(G1260:G1262)</f>
        <v>52398.458482500013</v>
      </c>
      <c r="H1259" s="27">
        <f>IFERROR(G1259*E1244,"")</f>
        <v>0</v>
      </c>
    </row>
    <row r="1260" spans="1:11" ht="12.75" customHeight="1">
      <c r="A1260" s="28"/>
      <c r="B1260" s="29" t="s">
        <v>3710</v>
      </c>
      <c r="C1260" s="30" t="str">
        <f>IFERROR(_xlfn.XLOOKUP(B1260,MObra[DESCRIPCION],MObra[UN],,0),"")</f>
        <v>día</v>
      </c>
      <c r="D1260" s="31">
        <v>1</v>
      </c>
      <c r="E1260" s="32">
        <f>IFERROR(_xlfn.XLOOKUP($B1260,MObra[DESCRIPCION],MObra[VALOR UNIT],,0),"")</f>
        <v>314390.75089500006</v>
      </c>
      <c r="F1260" s="33">
        <v>-6</v>
      </c>
      <c r="G1260" s="34">
        <f>IFERROR(IF(F1260&gt;=0,D1260*E1260*(1+F1260/100),ABS(D1260*E1260/F1260)),"")</f>
        <v>52398.458482500013</v>
      </c>
      <c r="H1260" s="139">
        <f>IFERROR(G1260*E1244,"")</f>
        <v>0</v>
      </c>
    </row>
    <row r="1261" spans="1:11" ht="12.75" customHeight="1">
      <c r="A1261" s="28"/>
      <c r="B1261" s="29"/>
      <c r="C1261" s="30" t="str">
        <f>IFERROR(_xlfn.XLOOKUP(B1261,MObra[DESCRIPCION],MObra[UN],,0),"")</f>
        <v/>
      </c>
      <c r="D1261" s="31"/>
      <c r="E1261" s="32" t="str">
        <f>IFERROR(_xlfn.XLOOKUP($B1261,MObra[DESCRIPCION],MObra[VALOR UNIT],,0),"")</f>
        <v/>
      </c>
      <c r="F1261" s="33"/>
      <c r="G1261" s="34" t="str">
        <f>IFERROR(IF(F1261&gt;=0,D1261*E1261*(1+F1261/100),ABS(D1261*E1261/F1261)),"")</f>
        <v/>
      </c>
      <c r="H1261" s="139" t="str">
        <f>IFERROR(G1261*E1244,"")</f>
        <v/>
      </c>
    </row>
    <row r="1262" spans="1:11" ht="12.75" customHeight="1" thickBot="1">
      <c r="A1262" s="35"/>
      <c r="B1262" s="36"/>
      <c r="C1262" s="37" t="str">
        <f>IFERROR(_xlfn.XLOOKUP(B1262,MObra[DESCRIPCION],MObra[UN],,0),"")</f>
        <v/>
      </c>
      <c r="D1262" s="38"/>
      <c r="E1262" s="39" t="str">
        <f>IFERROR(_xlfn.XLOOKUP($B1262,MObra[DESCRIPCION],MObra[VALOR UNIT],,0),"")</f>
        <v/>
      </c>
      <c r="F1262" s="40"/>
      <c r="G1262" s="41" t="str">
        <f>IFERROR(IF(F1262&gt;=0,D1262*E1262*(1+F1262/100),ABS(D1262*E1262/F1262)),"")</f>
        <v/>
      </c>
      <c r="H1262" s="42" t="str">
        <f>IFERROR(G1262*E1244,"")</f>
        <v/>
      </c>
    </row>
    <row r="1263" spans="1:11" ht="12.75" customHeight="1" thickTop="1" thickBot="1"/>
    <row r="1264" spans="1:11" ht="12.75" customHeight="1" thickTop="1" thickBot="1">
      <c r="A1264" s="6" t="s">
        <v>1494</v>
      </c>
      <c r="B1264" s="7" t="str">
        <f>VLOOKUP($A1264,Presupuesto!$A:$D,2,FALSE())</f>
        <v>Orinal blanco acción push</v>
      </c>
      <c r="C1264" s="8" t="str">
        <f>VLOOKUP($A1264,Presupuesto!$A:$D,3,FALSE())</f>
        <v>Un</v>
      </c>
      <c r="D1264" s="9"/>
      <c r="E1264" s="10">
        <f>VLOOKUP($A1264,Presupuesto!$A:$D,4,FALSE())</f>
        <v>0</v>
      </c>
      <c r="F1264" s="11" t="s">
        <v>2589</v>
      </c>
      <c r="G1264" s="12">
        <f>SUM(G1266:G1282)/2</f>
        <v>606052.48605496879</v>
      </c>
      <c r="H1264" s="13">
        <f>ROUND(SUM(H1266:H1282),0)/2</f>
        <v>0</v>
      </c>
      <c r="I1264" s="10">
        <f>VLOOKUP(A1264,Presupuesto!$A:$F,6,0)</f>
        <v>0</v>
      </c>
      <c r="J1264" s="10">
        <f>+H1264-I1264</f>
        <v>0</v>
      </c>
      <c r="K1264" s="46">
        <f>+H1264-G1264*E1264</f>
        <v>0</v>
      </c>
    </row>
    <row r="1265" spans="1:8" ht="12.75" customHeight="1" thickTop="1">
      <c r="A1265" s="14"/>
      <c r="B1265" s="15" t="s">
        <v>2586</v>
      </c>
      <c r="C1265" s="15" t="s">
        <v>5</v>
      </c>
      <c r="D1265" s="16" t="s">
        <v>6</v>
      </c>
      <c r="E1265" s="17" t="s">
        <v>7</v>
      </c>
      <c r="F1265" s="18" t="s">
        <v>3728</v>
      </c>
      <c r="G1265" s="19" t="s">
        <v>3729</v>
      </c>
      <c r="H1265" s="20" t="s">
        <v>3797</v>
      </c>
    </row>
    <row r="1266" spans="1:8" ht="12.75" customHeight="1">
      <c r="A1266" s="21"/>
      <c r="B1266" s="22" t="s">
        <v>3730</v>
      </c>
      <c r="C1266" s="23"/>
      <c r="D1266" s="24"/>
      <c r="E1266" s="25"/>
      <c r="F1266" s="26"/>
      <c r="G1266" s="27">
        <f>SUM(G1267:G1271)</f>
        <v>564788.69999999995</v>
      </c>
      <c r="H1266" s="27">
        <f>IFERROR(G1266*E1264,"")</f>
        <v>0</v>
      </c>
    </row>
    <row r="1267" spans="1:8" ht="12.75" customHeight="1">
      <c r="A1267" s="28"/>
      <c r="B1267" s="29" t="s">
        <v>3180</v>
      </c>
      <c r="C1267" s="30" t="str">
        <f>IFERROR(_xlfn.XLOOKUP(B1267,Insumo[DESCRIPCION],Insumo[UND],,0),"")</f>
        <v>Un</v>
      </c>
      <c r="D1267" s="31">
        <v>1</v>
      </c>
      <c r="E1267" s="32">
        <f>IFERROR(_xlfn.XLOOKUP($B1267,Insumo[DESCRIPCION],Insumo[VALOR],,0),"")</f>
        <v>306888.75</v>
      </c>
      <c r="F1267" s="33"/>
      <c r="G1267" s="34">
        <f>IFERROR(IF(F1267&gt;=0,D1267*E1267*(1+F1267/100),ABS(D1267*E1267/F1267)),"")</f>
        <v>306888.75</v>
      </c>
      <c r="H1267" s="139">
        <f>IFERROR(G1267*E1264,"")</f>
        <v>0</v>
      </c>
    </row>
    <row r="1268" spans="1:8" ht="12.75" customHeight="1">
      <c r="A1268" s="28"/>
      <c r="B1268" s="29" t="s">
        <v>2986</v>
      </c>
      <c r="C1268" s="30" t="str">
        <f>IFERROR(_xlfn.XLOOKUP(B1268,Insumo[DESCRIPCION],Insumo[UND],,0),"")</f>
        <v>Un</v>
      </c>
      <c r="D1268" s="31">
        <v>1</v>
      </c>
      <c r="E1268" s="32">
        <f>IFERROR(_xlfn.XLOOKUP($B1268,Insumo[DESCRIPCION],Insumo[VALOR],,0),"")</f>
        <v>257899.95</v>
      </c>
      <c r="F1268" s="33"/>
      <c r="G1268" s="34">
        <f>IFERROR(IF(F1268&gt;=0,D1268*E1268*(1+F1268/100),ABS(D1268*E1268/F1268)),"")</f>
        <v>257899.95</v>
      </c>
      <c r="H1268" s="139">
        <f>IFERROR(G1268*E1264,"")</f>
        <v>0</v>
      </c>
    </row>
    <row r="1269" spans="1:8" ht="12.75" customHeight="1">
      <c r="A1269" s="28"/>
      <c r="B1269" s="29"/>
      <c r="C1269" s="30" t="str">
        <f>IFERROR(_xlfn.XLOOKUP(B1269,Insumo[DESCRIPCION],Insumo[UND],,0),"")</f>
        <v/>
      </c>
      <c r="D1269" s="31"/>
      <c r="E1269" s="32" t="str">
        <f>IFERROR(_xlfn.XLOOKUP($B1269,Insumo[DESCRIPCION],Insumo[VALOR],,0),"")</f>
        <v/>
      </c>
      <c r="F1269" s="33"/>
      <c r="G1269" s="34" t="str">
        <f>IFERROR(IF(F1269&gt;=0,D1269*E1269*(1+F1269/100),ABS(D1269*E1269/F1269)),"")</f>
        <v/>
      </c>
      <c r="H1269" s="139" t="str">
        <f>IFERROR(G1269*E1264,"")</f>
        <v/>
      </c>
    </row>
    <row r="1270" spans="1:8" ht="12.75" customHeight="1">
      <c r="A1270" s="28"/>
      <c r="B1270" s="29"/>
      <c r="C1270" s="30" t="str">
        <f>IFERROR(_xlfn.XLOOKUP(B1270,Insumo[DESCRIPCION],Insumo[UND],,0),"")</f>
        <v/>
      </c>
      <c r="D1270" s="31"/>
      <c r="E1270" s="32" t="str">
        <f>IFERROR(_xlfn.XLOOKUP($B1270,Insumo[DESCRIPCION],Insumo[VALOR],,0),"")</f>
        <v/>
      </c>
      <c r="F1270" s="33"/>
      <c r="G1270" s="34" t="str">
        <f>IFERROR(IF(F1270&gt;=0,D1270*E1270*(1+F1270/100),ABS(D1270*E1270/F1270)),"")</f>
        <v/>
      </c>
      <c r="H1270" s="139" t="str">
        <f>IFERROR(G1270*E1264,"")</f>
        <v/>
      </c>
    </row>
    <row r="1271" spans="1:8" ht="12.75" customHeight="1">
      <c r="A1271" s="28"/>
      <c r="B1271" s="29"/>
      <c r="C1271" s="30" t="str">
        <f>IFERROR(_xlfn.XLOOKUP(B1271,Insumo[DESCRIPCION],Insumo[UND],,0),"")</f>
        <v/>
      </c>
      <c r="D1271" s="31"/>
      <c r="E1271" s="32" t="str">
        <f>IFERROR(_xlfn.XLOOKUP($B1271,Insumo[DESCRIPCION],Insumo[VALOR],,0),"")</f>
        <v/>
      </c>
      <c r="F1271" s="33"/>
      <c r="G1271" s="34" t="str">
        <f>IFERROR(IF(F1271&gt;=0,D1271*E1271*(1+F1271/100),ABS(D1271*E1271/F1271)),"")</f>
        <v/>
      </c>
      <c r="H1271" s="139" t="str">
        <f>IFERROR(G1271*E1264,"")</f>
        <v/>
      </c>
    </row>
    <row r="1272" spans="1:8" ht="12.75" customHeight="1">
      <c r="A1272" s="21"/>
      <c r="B1272" s="22" t="s">
        <v>3731</v>
      </c>
      <c r="C1272" s="23"/>
      <c r="D1272" s="24"/>
      <c r="E1272" s="25"/>
      <c r="F1272" s="26"/>
      <c r="G1272" s="27">
        <f>SUM(G1273:G1275)</f>
        <v>1964.9421930937506</v>
      </c>
      <c r="H1272" s="27">
        <f>IFERROR(G1272*E1264,"")</f>
        <v>0</v>
      </c>
    </row>
    <row r="1273" spans="1:8" ht="12.75" customHeight="1">
      <c r="A1273" s="28"/>
      <c r="B1273" s="29" t="s">
        <v>3626</v>
      </c>
      <c r="C1273" s="30" t="str">
        <f>IFERROR(_xlfn.XLOOKUP(B1273,Equipo[DESCRIPCION],Equipo[UND],,0),"")</f>
        <v>%MO</v>
      </c>
      <c r="D1273" s="31">
        <v>0.05</v>
      </c>
      <c r="E1273" s="32">
        <f>IF(C1273="%MO",G1279,IFERROR(_xlfn.XLOOKUP($B1273,Equipo[DESCRIPCION],Equipo[VALOR],,0),""))</f>
        <v>39298.843861875008</v>
      </c>
      <c r="F1273" s="33"/>
      <c r="G1273" s="34">
        <f>IFERROR(IF(F1273&gt;=0,D1273*E1273*(1+F1273/100),ABS(D1273*E1273/F1273)),"")</f>
        <v>1964.9421930937506</v>
      </c>
      <c r="H1273" s="139">
        <f>IFERROR(G1273*E1264,"")</f>
        <v>0</v>
      </c>
    </row>
    <row r="1274" spans="1:8" ht="12.75" customHeight="1">
      <c r="A1274" s="28"/>
      <c r="B1274" s="29"/>
      <c r="C1274" s="30" t="str">
        <f>IFERROR(_xlfn.XLOOKUP(B1274,Equipo[DESCRIPCION],Equipo[UND],,0),"")</f>
        <v/>
      </c>
      <c r="D1274" s="31"/>
      <c r="E1274" s="32" t="str">
        <f>IF(C1274="%MO",G1279,IFERROR(_xlfn.XLOOKUP($B1274,Equipo[DESCRIPCION],Equipo[VALOR],,0),""))</f>
        <v/>
      </c>
      <c r="F1274" s="33"/>
      <c r="G1274" s="34" t="str">
        <f>IFERROR(IF(F1274&gt;=0,D1274*E1274*(1+F1274/100),ABS(D1274*E1274/F1274)),"")</f>
        <v/>
      </c>
      <c r="H1274" s="139" t="str">
        <f>IFERROR(G1274*E1264,"")</f>
        <v/>
      </c>
    </row>
    <row r="1275" spans="1:8" ht="12.75" customHeight="1">
      <c r="A1275" s="28"/>
      <c r="B1275" s="29"/>
      <c r="C1275" s="30" t="str">
        <f>IFERROR(_xlfn.XLOOKUP(B1275,Equipo[DESCRIPCION],Equipo[UND],,0),"")</f>
        <v/>
      </c>
      <c r="D1275" s="31"/>
      <c r="E1275" s="32" t="str">
        <f>IF(C1275="%MO",G1279,IFERROR(_xlfn.XLOOKUP($B1275,Equipo[DESCRIPCION],Equipo[VALOR],,0),""))</f>
        <v/>
      </c>
      <c r="F1275" s="33"/>
      <c r="G1275" s="34" t="str">
        <f>IFERROR(IF(F1275&gt;=0,D1275*E1275*(1+F1275/100),ABS(D1275*E1275/F1275)),"")</f>
        <v/>
      </c>
      <c r="H1275" s="139" t="str">
        <f>IFERROR(G1275*E1264,"")</f>
        <v/>
      </c>
    </row>
    <row r="1276" spans="1:8" ht="12.75" customHeight="1">
      <c r="A1276" s="21"/>
      <c r="B1276" s="22" t="s">
        <v>2533</v>
      </c>
      <c r="C1276" s="23"/>
      <c r="D1276" s="24"/>
      <c r="E1276" s="25"/>
      <c r="F1276" s="26"/>
      <c r="G1276" s="27">
        <f>SUM(G1277:G1278)</f>
        <v>0</v>
      </c>
      <c r="H1276" s="27">
        <f>IFERROR(G1276*E1264,"")</f>
        <v>0</v>
      </c>
    </row>
    <row r="1277" spans="1:8" ht="12.75" customHeight="1">
      <c r="A1277" s="28"/>
      <c r="B1277" s="29"/>
      <c r="C1277" s="30" t="str">
        <f>IFERROR(_xlfn.XLOOKUP(B1277,Transporte[DESCRIPCION],Transporte[UND],,0),"")</f>
        <v/>
      </c>
      <c r="D1277" s="31"/>
      <c r="E1277" s="32" t="str">
        <f>IFERROR(_xlfn.XLOOKUP($B1277,Transporte[DESCRIPCION],Transporte[VALOR],,0),"")</f>
        <v/>
      </c>
      <c r="F1277" s="33"/>
      <c r="G1277" s="34" t="str">
        <f>IFERROR(IF(F1277&gt;=0,D1277*E1277*(1+F1277/100),ABS(D1277*E1277/F1277)),"")</f>
        <v/>
      </c>
      <c r="H1277" s="139" t="str">
        <f>IFERROR(G1277*E1264,"")</f>
        <v/>
      </c>
    </row>
    <row r="1278" spans="1:8" ht="12.75" customHeight="1">
      <c r="A1278" s="28"/>
      <c r="B1278" s="29"/>
      <c r="C1278" s="30" t="str">
        <f>IFERROR(_xlfn.XLOOKUP(B1278,Transporte[DESCRIPCION],Transporte[UND],,0),"")</f>
        <v/>
      </c>
      <c r="D1278" s="31"/>
      <c r="E1278" s="32" t="str">
        <f>IFERROR(_xlfn.XLOOKUP($B1278,Transporte[DESCRIPCION],Transporte[VALOR],,0),"")</f>
        <v/>
      </c>
      <c r="F1278" s="33"/>
      <c r="G1278" s="34" t="str">
        <f>IFERROR(IF(F1278&gt;=0,D1278*E1278*(1+F1278/100),ABS(D1278*E1278/F1278)),"")</f>
        <v/>
      </c>
      <c r="H1278" s="139" t="str">
        <f>IFERROR(G1278*E1264,"")</f>
        <v/>
      </c>
    </row>
    <row r="1279" spans="1:8" ht="12.75" customHeight="1">
      <c r="A1279" s="21"/>
      <c r="B1279" s="22" t="s">
        <v>3732</v>
      </c>
      <c r="C1279" s="23"/>
      <c r="D1279" s="24"/>
      <c r="E1279" s="25"/>
      <c r="F1279" s="26"/>
      <c r="G1279" s="27">
        <f>SUM(G1280:G1282)</f>
        <v>39298.843861875008</v>
      </c>
      <c r="H1279" s="27">
        <f>IFERROR(G1279*E1264,"")</f>
        <v>0</v>
      </c>
    </row>
    <row r="1280" spans="1:8" ht="12.75" customHeight="1">
      <c r="A1280" s="28"/>
      <c r="B1280" s="29" t="s">
        <v>3710</v>
      </c>
      <c r="C1280" s="30" t="str">
        <f>IFERROR(_xlfn.XLOOKUP(B1280,MObra[DESCRIPCION],MObra[UN],,0),"")</f>
        <v>día</v>
      </c>
      <c r="D1280" s="31">
        <v>1</v>
      </c>
      <c r="E1280" s="32">
        <f>IFERROR(_xlfn.XLOOKUP($B1280,MObra[DESCRIPCION],MObra[VALOR UNIT],,0),"")</f>
        <v>314390.75089500006</v>
      </c>
      <c r="F1280" s="33">
        <v>-8</v>
      </c>
      <c r="G1280" s="34">
        <f>IFERROR(IF(F1280&gt;=0,D1280*E1280*(1+F1280/100),ABS(D1280*E1280/F1280)),"")</f>
        <v>39298.843861875008</v>
      </c>
      <c r="H1280" s="139">
        <f>IFERROR(G1280*E1264,"")</f>
        <v>0</v>
      </c>
    </row>
    <row r="1281" spans="1:11" ht="12.75" customHeight="1">
      <c r="A1281" s="28"/>
      <c r="B1281" s="29"/>
      <c r="C1281" s="30" t="str">
        <f>IFERROR(_xlfn.XLOOKUP(B1281,MObra[DESCRIPCION],MObra[UN],,0),"")</f>
        <v/>
      </c>
      <c r="D1281" s="31"/>
      <c r="E1281" s="32" t="str">
        <f>IFERROR(_xlfn.XLOOKUP($B1281,MObra[DESCRIPCION],MObra[VALOR UNIT],,0),"")</f>
        <v/>
      </c>
      <c r="F1281" s="33"/>
      <c r="G1281" s="34" t="str">
        <f>IFERROR(IF(F1281&gt;=0,D1281*E1281*(1+F1281/100),ABS(D1281*E1281/F1281)),"")</f>
        <v/>
      </c>
      <c r="H1281" s="139" t="str">
        <f>IFERROR(G1281*E1264,"")</f>
        <v/>
      </c>
    </row>
    <row r="1282" spans="1:11" ht="12.75" customHeight="1" thickBot="1">
      <c r="A1282" s="35"/>
      <c r="B1282" s="36"/>
      <c r="C1282" s="37" t="str">
        <f>IFERROR(_xlfn.XLOOKUP(B1282,MObra[DESCRIPCION],MObra[UN],,0),"")</f>
        <v/>
      </c>
      <c r="D1282" s="38"/>
      <c r="E1282" s="39" t="str">
        <f>IFERROR(_xlfn.XLOOKUP($B1282,MObra[DESCRIPCION],MObra[VALOR UNIT],,0),"")</f>
        <v/>
      </c>
      <c r="F1282" s="40"/>
      <c r="G1282" s="41" t="str">
        <f>IFERROR(IF(F1282&gt;=0,D1282*E1282*(1+F1282/100),ABS(D1282*E1282/F1282)),"")</f>
        <v/>
      </c>
      <c r="H1282" s="42" t="str">
        <f>IFERROR(G1282*E1264,"")</f>
        <v/>
      </c>
    </row>
    <row r="1283" spans="1:11" ht="12.75" customHeight="1" thickTop="1" thickBot="1"/>
    <row r="1284" spans="1:11" ht="12.75" customHeight="1" thickTop="1" thickBot="1">
      <c r="A1284" s="6" t="s">
        <v>1496</v>
      </c>
      <c r="B1284" s="7" t="str">
        <f>VLOOKUP($A1284,Presupuesto!$A:$D,2,FALSE())</f>
        <v>Orinal blanco institucional fluxómetro</v>
      </c>
      <c r="C1284" s="8" t="str">
        <f>VLOOKUP($A1284,Presupuesto!$A:$D,3,FALSE())</f>
        <v>Un</v>
      </c>
      <c r="D1284" s="9"/>
      <c r="E1284" s="10">
        <f>VLOOKUP($A1284,Presupuesto!$A:$D,4,FALSE())</f>
        <v>0</v>
      </c>
      <c r="F1284" s="11" t="s">
        <v>2589</v>
      </c>
      <c r="G1284" s="12">
        <f>SUM(G1286:G1302)/2</f>
        <v>1183573.0814066255</v>
      </c>
      <c r="H1284" s="13">
        <f>ROUND(SUM(H1286:H1302),0)/2</f>
        <v>0</v>
      </c>
      <c r="I1284" s="10">
        <f>VLOOKUP(A1284,Presupuesto!$A:$F,6,0)</f>
        <v>0</v>
      </c>
      <c r="J1284" s="10">
        <f>+H1284-I1284</f>
        <v>0</v>
      </c>
      <c r="K1284" s="46">
        <f>+H1284-G1284*E1284</f>
        <v>0</v>
      </c>
    </row>
    <row r="1285" spans="1:11" ht="12.75" customHeight="1" thickTop="1">
      <c r="A1285" s="14"/>
      <c r="B1285" s="15" t="s">
        <v>2586</v>
      </c>
      <c r="C1285" s="15" t="s">
        <v>5</v>
      </c>
      <c r="D1285" s="16" t="s">
        <v>6</v>
      </c>
      <c r="E1285" s="17" t="s">
        <v>7</v>
      </c>
      <c r="F1285" s="18" t="s">
        <v>3728</v>
      </c>
      <c r="G1285" s="19" t="s">
        <v>3729</v>
      </c>
      <c r="H1285" s="20" t="s">
        <v>3797</v>
      </c>
    </row>
    <row r="1286" spans="1:11" ht="12.75" customHeight="1">
      <c r="A1286" s="21"/>
      <c r="B1286" s="22" t="s">
        <v>3730</v>
      </c>
      <c r="C1286" s="23"/>
      <c r="D1286" s="24"/>
      <c r="E1286" s="25"/>
      <c r="F1286" s="26"/>
      <c r="G1286" s="27">
        <f>SUM(G1287:G1291)</f>
        <v>1128554.7000000002</v>
      </c>
      <c r="H1286" s="27">
        <f>IFERROR(G1286*E1284,"")</f>
        <v>0</v>
      </c>
    </row>
    <row r="1287" spans="1:11" ht="12.75" customHeight="1">
      <c r="A1287" s="28"/>
      <c r="B1287" s="29" t="s">
        <v>3180</v>
      </c>
      <c r="C1287" s="30" t="str">
        <f>IFERROR(_xlfn.XLOOKUP(B1287,Insumo[DESCRIPCION],Insumo[UND],,0),"")</f>
        <v>Un</v>
      </c>
      <c r="D1287" s="31">
        <v>1</v>
      </c>
      <c r="E1287" s="32">
        <f>IFERROR(_xlfn.XLOOKUP($B1287,Insumo[DESCRIPCION],Insumo[VALOR],,0),"")</f>
        <v>306888.75</v>
      </c>
      <c r="F1287" s="33"/>
      <c r="G1287" s="34">
        <f>IFERROR(IF(F1287&gt;=0,D1287*E1287*(1+F1287/100),ABS(D1287*E1287/F1287)),"")</f>
        <v>306888.75</v>
      </c>
      <c r="H1287" s="139">
        <f>IFERROR(G1287*E1284,"")</f>
        <v>0</v>
      </c>
    </row>
    <row r="1288" spans="1:11" ht="12.75" customHeight="1">
      <c r="A1288" s="28"/>
      <c r="B1288" s="29" t="s">
        <v>2953</v>
      </c>
      <c r="C1288" s="30" t="str">
        <f>IFERROR(_xlfn.XLOOKUP(B1288,Insumo[DESCRIPCION],Insumo[UND],,0),"")</f>
        <v>Un</v>
      </c>
      <c r="D1288" s="31">
        <v>1</v>
      </c>
      <c r="E1288" s="32">
        <f>IFERROR(_xlfn.XLOOKUP($B1288,Insumo[DESCRIPCION],Insumo[VALOR],,0),"")</f>
        <v>821665.95000000007</v>
      </c>
      <c r="F1288" s="33"/>
      <c r="G1288" s="34">
        <f>IFERROR(IF(F1288&gt;=0,D1288*E1288*(1+F1288/100),ABS(D1288*E1288/F1288)),"")</f>
        <v>821665.95000000007</v>
      </c>
      <c r="H1288" s="139">
        <f>IFERROR(G1288*E1284,"")</f>
        <v>0</v>
      </c>
    </row>
    <row r="1289" spans="1:11" ht="12.75" customHeight="1">
      <c r="A1289" s="28"/>
      <c r="B1289" s="29"/>
      <c r="C1289" s="30" t="str">
        <f>IFERROR(_xlfn.XLOOKUP(B1289,Insumo[DESCRIPCION],Insumo[UND],,0),"")</f>
        <v/>
      </c>
      <c r="D1289" s="31"/>
      <c r="E1289" s="32" t="str">
        <f>IFERROR(_xlfn.XLOOKUP($B1289,Insumo[DESCRIPCION],Insumo[VALOR],,0),"")</f>
        <v/>
      </c>
      <c r="F1289" s="33"/>
      <c r="G1289" s="34" t="str">
        <f>IFERROR(IF(F1289&gt;=0,D1289*E1289*(1+F1289/100),ABS(D1289*E1289/F1289)),"")</f>
        <v/>
      </c>
      <c r="H1289" s="139" t="str">
        <f>IFERROR(G1289*E1284,"")</f>
        <v/>
      </c>
    </row>
    <row r="1290" spans="1:11" ht="12.75" customHeight="1">
      <c r="A1290" s="28"/>
      <c r="B1290" s="29"/>
      <c r="C1290" s="30" t="str">
        <f>IFERROR(_xlfn.XLOOKUP(B1290,Insumo[DESCRIPCION],Insumo[UND],,0),"")</f>
        <v/>
      </c>
      <c r="D1290" s="31"/>
      <c r="E1290" s="32" t="str">
        <f>IFERROR(_xlfn.XLOOKUP($B1290,Insumo[DESCRIPCION],Insumo[VALOR],,0),"")</f>
        <v/>
      </c>
      <c r="F1290" s="33"/>
      <c r="G1290" s="34" t="str">
        <f>IFERROR(IF(F1290&gt;=0,D1290*E1290*(1+F1290/100),ABS(D1290*E1290/F1290)),"")</f>
        <v/>
      </c>
      <c r="H1290" s="139" t="str">
        <f>IFERROR(G1290*E1284,"")</f>
        <v/>
      </c>
    </row>
    <row r="1291" spans="1:11" ht="12.75" customHeight="1">
      <c r="A1291" s="28"/>
      <c r="B1291" s="29"/>
      <c r="C1291" s="30" t="str">
        <f>IFERROR(_xlfn.XLOOKUP(B1291,Insumo[DESCRIPCION],Insumo[UND],,0),"")</f>
        <v/>
      </c>
      <c r="D1291" s="31"/>
      <c r="E1291" s="32" t="str">
        <f>IFERROR(_xlfn.XLOOKUP($B1291,Insumo[DESCRIPCION],Insumo[VALOR],,0),"")</f>
        <v/>
      </c>
      <c r="F1291" s="33"/>
      <c r="G1291" s="34" t="str">
        <f>IFERROR(IF(F1291&gt;=0,D1291*E1291*(1+F1291/100),ABS(D1291*E1291/F1291)),"")</f>
        <v/>
      </c>
      <c r="H1291" s="139" t="str">
        <f>IFERROR(G1291*E1284,"")</f>
        <v/>
      </c>
    </row>
    <row r="1292" spans="1:11" ht="12.75" customHeight="1">
      <c r="A1292" s="21"/>
      <c r="B1292" s="22" t="s">
        <v>3731</v>
      </c>
      <c r="C1292" s="23"/>
      <c r="D1292" s="24"/>
      <c r="E1292" s="25"/>
      <c r="F1292" s="26"/>
      <c r="G1292" s="27">
        <f>SUM(G1293:G1295)</f>
        <v>2619.9229241250009</v>
      </c>
      <c r="H1292" s="27">
        <f>IFERROR(G1292*E1284,"")</f>
        <v>0</v>
      </c>
    </row>
    <row r="1293" spans="1:11" ht="12.75" customHeight="1">
      <c r="A1293" s="28"/>
      <c r="B1293" s="29" t="s">
        <v>3626</v>
      </c>
      <c r="C1293" s="30" t="str">
        <f>IFERROR(_xlfn.XLOOKUP(B1293,Equipo[DESCRIPCION],Equipo[UND],,0),"")</f>
        <v>%MO</v>
      </c>
      <c r="D1293" s="31">
        <v>0.05</v>
      </c>
      <c r="E1293" s="32">
        <f>IF(C1293="%MO",G1299,IFERROR(_xlfn.XLOOKUP($B1293,Equipo[DESCRIPCION],Equipo[VALOR],,0),""))</f>
        <v>52398.458482500013</v>
      </c>
      <c r="F1293" s="33"/>
      <c r="G1293" s="34">
        <f>IFERROR(IF(F1293&gt;=0,D1293*E1293*(1+F1293/100),ABS(D1293*E1293/F1293)),"")</f>
        <v>2619.9229241250009</v>
      </c>
      <c r="H1293" s="139">
        <f>IFERROR(G1293*E1284,"")</f>
        <v>0</v>
      </c>
    </row>
    <row r="1294" spans="1:11" ht="12.75" customHeight="1">
      <c r="A1294" s="28"/>
      <c r="B1294" s="29"/>
      <c r="C1294" s="30" t="str">
        <f>IFERROR(_xlfn.XLOOKUP(B1294,Equipo[DESCRIPCION],Equipo[UND],,0),"")</f>
        <v/>
      </c>
      <c r="D1294" s="31"/>
      <c r="E1294" s="32" t="str">
        <f>IF(C1294="%MO",G1299,IFERROR(_xlfn.XLOOKUP($B1294,Equipo[DESCRIPCION],Equipo[VALOR],,0),""))</f>
        <v/>
      </c>
      <c r="F1294" s="33"/>
      <c r="G1294" s="34" t="str">
        <f>IFERROR(IF(F1294&gt;=0,D1294*E1294*(1+F1294/100),ABS(D1294*E1294/F1294)),"")</f>
        <v/>
      </c>
      <c r="H1294" s="139" t="str">
        <f>IFERROR(G1294*E1284,"")</f>
        <v/>
      </c>
    </row>
    <row r="1295" spans="1:11" ht="12.75" customHeight="1">
      <c r="A1295" s="28"/>
      <c r="B1295" s="29"/>
      <c r="C1295" s="30" t="str">
        <f>IFERROR(_xlfn.XLOOKUP(B1295,Equipo[DESCRIPCION],Equipo[UND],,0),"")</f>
        <v/>
      </c>
      <c r="D1295" s="31"/>
      <c r="E1295" s="32" t="str">
        <f>IF(C1295="%MO",G1299,IFERROR(_xlfn.XLOOKUP($B1295,Equipo[DESCRIPCION],Equipo[VALOR],,0),""))</f>
        <v/>
      </c>
      <c r="F1295" s="33"/>
      <c r="G1295" s="34" t="str">
        <f>IFERROR(IF(F1295&gt;=0,D1295*E1295*(1+F1295/100),ABS(D1295*E1295/F1295)),"")</f>
        <v/>
      </c>
      <c r="H1295" s="139" t="str">
        <f>IFERROR(G1295*E1284,"")</f>
        <v/>
      </c>
    </row>
    <row r="1296" spans="1:11" ht="12.75" customHeight="1">
      <c r="A1296" s="21"/>
      <c r="B1296" s="22" t="s">
        <v>2533</v>
      </c>
      <c r="C1296" s="23"/>
      <c r="D1296" s="24"/>
      <c r="E1296" s="25"/>
      <c r="F1296" s="26"/>
      <c r="G1296" s="27">
        <f>SUM(G1297:G1298)</f>
        <v>0</v>
      </c>
      <c r="H1296" s="27">
        <f>IFERROR(G1296*E1284,"")</f>
        <v>0</v>
      </c>
    </row>
    <row r="1297" spans="1:11" ht="12.75" customHeight="1">
      <c r="A1297" s="28"/>
      <c r="B1297" s="29"/>
      <c r="C1297" s="30" t="str">
        <f>IFERROR(_xlfn.XLOOKUP(B1297,Transporte[DESCRIPCION],Transporte[UND],,0),"")</f>
        <v/>
      </c>
      <c r="D1297" s="31"/>
      <c r="E1297" s="32" t="str">
        <f>IFERROR(_xlfn.XLOOKUP($B1297,Transporte[DESCRIPCION],Transporte[VALOR],,0),"")</f>
        <v/>
      </c>
      <c r="F1297" s="33"/>
      <c r="G1297" s="34" t="str">
        <f>IFERROR(IF(F1297&gt;=0,D1297*E1297*(1+F1297/100),ABS(D1297*E1297/F1297)),"")</f>
        <v/>
      </c>
      <c r="H1297" s="139" t="str">
        <f>IFERROR(G1297*E1284,"")</f>
        <v/>
      </c>
    </row>
    <row r="1298" spans="1:11" ht="12.75" customHeight="1">
      <c r="A1298" s="28"/>
      <c r="B1298" s="29"/>
      <c r="C1298" s="30" t="str">
        <f>IFERROR(_xlfn.XLOOKUP(B1298,Transporte[DESCRIPCION],Transporte[UND],,0),"")</f>
        <v/>
      </c>
      <c r="D1298" s="31"/>
      <c r="E1298" s="32" t="str">
        <f>IFERROR(_xlfn.XLOOKUP($B1298,Transporte[DESCRIPCION],Transporte[VALOR],,0),"")</f>
        <v/>
      </c>
      <c r="F1298" s="33"/>
      <c r="G1298" s="34" t="str">
        <f>IFERROR(IF(F1298&gt;=0,D1298*E1298*(1+F1298/100),ABS(D1298*E1298/F1298)),"")</f>
        <v/>
      </c>
      <c r="H1298" s="139" t="str">
        <f>IFERROR(G1298*E1284,"")</f>
        <v/>
      </c>
    </row>
    <row r="1299" spans="1:11" ht="12.75" customHeight="1">
      <c r="A1299" s="21"/>
      <c r="B1299" s="22" t="s">
        <v>3732</v>
      </c>
      <c r="C1299" s="23"/>
      <c r="D1299" s="24"/>
      <c r="E1299" s="25"/>
      <c r="F1299" s="26"/>
      <c r="G1299" s="27">
        <f>SUM(G1300:G1302)</f>
        <v>52398.458482500013</v>
      </c>
      <c r="H1299" s="27">
        <f>IFERROR(G1299*E1284,"")</f>
        <v>0</v>
      </c>
    </row>
    <row r="1300" spans="1:11" ht="12.75" customHeight="1">
      <c r="A1300" s="28"/>
      <c r="B1300" s="29" t="s">
        <v>3710</v>
      </c>
      <c r="C1300" s="30" t="str">
        <f>IFERROR(_xlfn.XLOOKUP(B1300,MObra[DESCRIPCION],MObra[UN],,0),"")</f>
        <v>día</v>
      </c>
      <c r="D1300" s="31">
        <v>1</v>
      </c>
      <c r="E1300" s="32">
        <f>IFERROR(_xlfn.XLOOKUP($B1300,MObra[DESCRIPCION],MObra[VALOR UNIT],,0),"")</f>
        <v>314390.75089500006</v>
      </c>
      <c r="F1300" s="33">
        <v>-6</v>
      </c>
      <c r="G1300" s="34">
        <f>IFERROR(IF(F1300&gt;=0,D1300*E1300*(1+F1300/100),ABS(D1300*E1300/F1300)),"")</f>
        <v>52398.458482500013</v>
      </c>
      <c r="H1300" s="139">
        <f>IFERROR(G1300*E1284,"")</f>
        <v>0</v>
      </c>
    </row>
    <row r="1301" spans="1:11" ht="12.75" customHeight="1">
      <c r="A1301" s="28"/>
      <c r="B1301" s="29"/>
      <c r="C1301" s="30" t="str">
        <f>IFERROR(_xlfn.XLOOKUP(B1301,MObra[DESCRIPCION],MObra[UN],,0),"")</f>
        <v/>
      </c>
      <c r="D1301" s="31"/>
      <c r="E1301" s="32" t="str">
        <f>IFERROR(_xlfn.XLOOKUP($B1301,MObra[DESCRIPCION],MObra[VALOR UNIT],,0),"")</f>
        <v/>
      </c>
      <c r="F1301" s="33"/>
      <c r="G1301" s="34" t="str">
        <f>IFERROR(IF(F1301&gt;=0,D1301*E1301*(1+F1301/100),ABS(D1301*E1301/F1301)),"")</f>
        <v/>
      </c>
      <c r="H1301" s="139" t="str">
        <f>IFERROR(G1301*E1284,"")</f>
        <v/>
      </c>
    </row>
    <row r="1302" spans="1:11" ht="12.75" customHeight="1" thickBot="1">
      <c r="A1302" s="35"/>
      <c r="B1302" s="36"/>
      <c r="C1302" s="37" t="str">
        <f>IFERROR(_xlfn.XLOOKUP(B1302,MObra[DESCRIPCION],MObra[UN],,0),"")</f>
        <v/>
      </c>
      <c r="D1302" s="38"/>
      <c r="E1302" s="39" t="str">
        <f>IFERROR(_xlfn.XLOOKUP($B1302,MObra[DESCRIPCION],MObra[VALOR UNIT],,0),"")</f>
        <v/>
      </c>
      <c r="F1302" s="40"/>
      <c r="G1302" s="41" t="str">
        <f>IFERROR(IF(F1302&gt;=0,D1302*E1302*(1+F1302/100),ABS(D1302*E1302/F1302)),"")</f>
        <v/>
      </c>
      <c r="H1302" s="42" t="str">
        <f>IFERROR(G1302*E1284,"")</f>
        <v/>
      </c>
    </row>
    <row r="1303" spans="1:11" ht="12.75" customHeight="1" thickTop="1" thickBot="1"/>
    <row r="1304" spans="1:11" ht="12.75" customHeight="1" thickTop="1" thickBot="1">
      <c r="A1304" s="6" t="s">
        <v>1498</v>
      </c>
      <c r="B1304" s="7" t="str">
        <f>VLOOKUP($A1304,Presupuesto!$A:$D,2,FALSE())</f>
        <v>Orinal corrido granito pulido media caña</v>
      </c>
      <c r="C1304" s="8" t="str">
        <f>VLOOKUP($A1304,Presupuesto!$A:$D,3,FALSE())</f>
        <v>M</v>
      </c>
      <c r="D1304" s="9"/>
      <c r="E1304" s="10">
        <f>VLOOKUP($A1304,Presupuesto!$A:$D,4,FALSE())</f>
        <v>0</v>
      </c>
      <c r="F1304" s="11" t="s">
        <v>2589</v>
      </c>
      <c r="G1304" s="12">
        <f>SUM(G1306:G1326)/2</f>
        <v>380291.05088821234</v>
      </c>
      <c r="H1304" s="13">
        <f>ROUND(SUM(H1306:H1326),0)/2</f>
        <v>0</v>
      </c>
      <c r="I1304" s="10">
        <f>VLOOKUP(A1304,Presupuesto!$A:$F,6,0)</f>
        <v>0</v>
      </c>
      <c r="J1304" s="10">
        <f>+H1304-I1304</f>
        <v>0</v>
      </c>
      <c r="K1304" s="46">
        <f>+H1304-G1304*E1304</f>
        <v>0</v>
      </c>
    </row>
    <row r="1305" spans="1:11" ht="12.75" customHeight="1" thickTop="1">
      <c r="A1305" s="14"/>
      <c r="B1305" s="15" t="s">
        <v>2586</v>
      </c>
      <c r="C1305" s="15" t="s">
        <v>5</v>
      </c>
      <c r="D1305" s="16" t="s">
        <v>6</v>
      </c>
      <c r="E1305" s="17" t="s">
        <v>7</v>
      </c>
      <c r="F1305" s="18" t="s">
        <v>3728</v>
      </c>
      <c r="G1305" s="19" t="s">
        <v>3729</v>
      </c>
      <c r="H1305" s="20" t="s">
        <v>3797</v>
      </c>
    </row>
    <row r="1306" spans="1:11" ht="12.75" customHeight="1">
      <c r="A1306" s="21"/>
      <c r="B1306" s="22" t="s">
        <v>3730</v>
      </c>
      <c r="C1306" s="23"/>
      <c r="D1306" s="24"/>
      <c r="E1306" s="25"/>
      <c r="F1306" s="26"/>
      <c r="G1306" s="27">
        <f>SUM(G1307:G1315)</f>
        <v>263382.03807496233</v>
      </c>
      <c r="H1306" s="27">
        <f>IFERROR(G1306*E1304,"")</f>
        <v>0</v>
      </c>
    </row>
    <row r="1307" spans="1:11" ht="12.75" customHeight="1">
      <c r="A1307" s="28"/>
      <c r="B1307" s="29" t="s">
        <v>2954</v>
      </c>
      <c r="C1307" s="30" t="str">
        <f>IFERROR(_xlfn.XLOOKUP(B1307,Insumo[DESCRIPCION],Insumo[UND],,0),"")</f>
        <v>M2</v>
      </c>
      <c r="D1307" s="31">
        <v>0.75</v>
      </c>
      <c r="E1307" s="32">
        <f>IFERROR(_xlfn.XLOOKUP($B1307,Insumo[DESCRIPCION],Insumo[VALOR],,0),"")</f>
        <v>102154.92581625449</v>
      </c>
      <c r="F1307" s="33"/>
      <c r="G1307" s="34">
        <f t="shared" ref="G1307:G1315" si="7">IFERROR(IF(F1307&gt;=0,D1307*E1307*(1+F1307/100),ABS(D1307*E1307/F1307)),"")</f>
        <v>76616.194362190872</v>
      </c>
      <c r="H1307" s="139">
        <f>IFERROR(G1307*E1304,"")</f>
        <v>0</v>
      </c>
    </row>
    <row r="1308" spans="1:11" ht="12.75" customHeight="1">
      <c r="A1308" s="28"/>
      <c r="B1308" s="29" t="s">
        <v>3239</v>
      </c>
      <c r="C1308" s="30" t="str">
        <f>IFERROR(_xlfn.XLOOKUP(B1308,Insumo[DESCRIPCION],Insumo[UND],,0),"")</f>
        <v>M3</v>
      </c>
      <c r="D1308" s="31">
        <v>0.03</v>
      </c>
      <c r="E1308" s="32">
        <f>IFERROR(_xlfn.XLOOKUP($B1308,Insumo[DESCRIPCION],Insumo[VALOR],,0),"")</f>
        <v>521159.50227762427</v>
      </c>
      <c r="F1308" s="33"/>
      <c r="G1308" s="34">
        <f t="shared" si="7"/>
        <v>15634.785068328727</v>
      </c>
      <c r="H1308" s="139">
        <f>IFERROR(G1308*E1304,"")</f>
        <v>0</v>
      </c>
    </row>
    <row r="1309" spans="1:11" ht="12.75" customHeight="1">
      <c r="A1309" s="28"/>
      <c r="B1309" s="29" t="s">
        <v>3134</v>
      </c>
      <c r="C1309" s="30" t="str">
        <f>IFERROR(_xlfn.XLOOKUP(B1309,Insumo[DESCRIPCION],Insumo[UND],,0),"")</f>
        <v>Un</v>
      </c>
      <c r="D1309" s="31">
        <v>0.1</v>
      </c>
      <c r="E1309" s="32">
        <f>IFERROR(_xlfn.XLOOKUP($B1309,Insumo[DESCRIPCION],Insumo[VALOR],,0),"")</f>
        <v>217350</v>
      </c>
      <c r="F1309" s="33"/>
      <c r="G1309" s="34">
        <f t="shared" si="7"/>
        <v>21735</v>
      </c>
      <c r="H1309" s="139">
        <f>IFERROR(G1309*E1304,"")</f>
        <v>0</v>
      </c>
    </row>
    <row r="1310" spans="1:11" ht="12.75" customHeight="1">
      <c r="A1310" s="28"/>
      <c r="B1310" s="29" t="s">
        <v>3020</v>
      </c>
      <c r="C1310" s="30" t="str">
        <f>IFERROR(_xlfn.XLOOKUP(B1310,Insumo[DESCRIPCION],Insumo[UND],,0),"")</f>
        <v>Un</v>
      </c>
      <c r="D1310" s="31">
        <v>30</v>
      </c>
      <c r="E1310" s="32">
        <f>IFERROR(_xlfn.XLOOKUP($B1310,Insumo[DESCRIPCION],Insumo[VALOR],,0),"")</f>
        <v>909.30000000000007</v>
      </c>
      <c r="F1310" s="33"/>
      <c r="G1310" s="34">
        <f t="shared" si="7"/>
        <v>27279.000000000004</v>
      </c>
      <c r="H1310" s="139">
        <f>IFERROR(G1310*E1304,"")</f>
        <v>0</v>
      </c>
    </row>
    <row r="1311" spans="1:11" ht="12.75" customHeight="1">
      <c r="A1311" s="28"/>
      <c r="B1311" s="29" t="s">
        <v>3244</v>
      </c>
      <c r="C1311" s="30" t="str">
        <f>IFERROR(_xlfn.XLOOKUP(B1311,Insumo[DESCRIPCION],Insumo[UND],,0),"")</f>
        <v>M3</v>
      </c>
      <c r="D1311" s="31">
        <v>0.02</v>
      </c>
      <c r="E1311" s="32">
        <f>IFERROR(_xlfn.XLOOKUP($B1311,Insumo[DESCRIPCION],Insumo[VALOR],,0),"")</f>
        <v>497765.65722213761</v>
      </c>
      <c r="F1311" s="33"/>
      <c r="G1311" s="34">
        <f t="shared" si="7"/>
        <v>9955.3131444427527</v>
      </c>
      <c r="H1311" s="139">
        <f>IFERROR(G1311*E1304,"")</f>
        <v>0</v>
      </c>
    </row>
    <row r="1312" spans="1:11" ht="12.75" customHeight="1">
      <c r="A1312" s="28"/>
      <c r="B1312" s="29" t="s">
        <v>2979</v>
      </c>
      <c r="C1312" s="30" t="str">
        <f>IFERROR(_xlfn.XLOOKUP(B1312,Insumo[DESCRIPCION],Insumo[UND],,0),"")</f>
        <v>Un</v>
      </c>
      <c r="D1312" s="31">
        <v>2</v>
      </c>
      <c r="E1312" s="32">
        <f>IFERROR(_xlfn.XLOOKUP($B1312,Insumo[DESCRIPCION],Insumo[VALOR],,0),"")</f>
        <v>39667.950000000004</v>
      </c>
      <c r="F1312" s="33"/>
      <c r="G1312" s="34">
        <f t="shared" si="7"/>
        <v>79335.900000000009</v>
      </c>
      <c r="H1312" s="139">
        <f>IFERROR(G1312*E1304,"")</f>
        <v>0</v>
      </c>
    </row>
    <row r="1313" spans="1:11" ht="12.75" customHeight="1">
      <c r="A1313" s="28"/>
      <c r="B1313" s="29" t="s">
        <v>2823</v>
      </c>
      <c r="C1313" s="30" t="str">
        <f>IFERROR(_xlfn.XLOOKUP(B1313,Insumo[DESCRIPCION],Insumo[UND],,0),"")</f>
        <v>Kg</v>
      </c>
      <c r="D1313" s="31">
        <v>4</v>
      </c>
      <c r="E1313" s="32">
        <f>IFERROR(_xlfn.XLOOKUP($B1313,Insumo[DESCRIPCION],Insumo[VALOR],,0),"")</f>
        <v>1680</v>
      </c>
      <c r="F1313" s="33"/>
      <c r="G1313" s="34">
        <f t="shared" si="7"/>
        <v>6720</v>
      </c>
      <c r="H1313" s="139">
        <f>IFERROR(G1313*E1304,"")</f>
        <v>0</v>
      </c>
    </row>
    <row r="1314" spans="1:11" ht="12.75" customHeight="1">
      <c r="A1314" s="28"/>
      <c r="B1314" s="29" t="s">
        <v>2825</v>
      </c>
      <c r="C1314" s="30" t="str">
        <f>IFERROR(_xlfn.XLOOKUP(B1314,Insumo[DESCRIPCION],Insumo[UND],,0),"")</f>
        <v>Lb</v>
      </c>
      <c r="D1314" s="31">
        <v>0.2</v>
      </c>
      <c r="E1314" s="32">
        <f>IFERROR(_xlfn.XLOOKUP($B1314,Insumo[DESCRIPCION],Insumo[VALOR],,0),"")</f>
        <v>9657.9</v>
      </c>
      <c r="F1314" s="33"/>
      <c r="G1314" s="34">
        <f t="shared" si="7"/>
        <v>1931.58</v>
      </c>
      <c r="H1314" s="139">
        <f>IFERROR(G1314*E1304,"")</f>
        <v>0</v>
      </c>
    </row>
    <row r="1315" spans="1:11" ht="12.75" customHeight="1">
      <c r="A1315" s="28"/>
      <c r="B1315" s="29" t="s">
        <v>2988</v>
      </c>
      <c r="C1315" s="30" t="str">
        <f>IFERROR(_xlfn.XLOOKUP(B1315,Insumo[DESCRIPCION],Insumo[UND],,0),"")</f>
        <v>Un</v>
      </c>
      <c r="D1315" s="31">
        <v>0.33</v>
      </c>
      <c r="E1315" s="32">
        <f>IFERROR(_xlfn.XLOOKUP($B1315,Insumo[DESCRIPCION],Insumo[VALOR],,0),"")</f>
        <v>73255.350000000006</v>
      </c>
      <c r="F1315" s="33"/>
      <c r="G1315" s="34">
        <f t="shared" si="7"/>
        <v>24174.265500000001</v>
      </c>
      <c r="H1315" s="139">
        <f>IFERROR(G1315*E1304,"")</f>
        <v>0</v>
      </c>
    </row>
    <row r="1316" spans="1:11" ht="12.75" customHeight="1">
      <c r="A1316" s="21"/>
      <c r="B1316" s="22" t="s">
        <v>3731</v>
      </c>
      <c r="C1316" s="23"/>
      <c r="D1316" s="24"/>
      <c r="E1316" s="25"/>
      <c r="F1316" s="26"/>
      <c r="G1316" s="27">
        <f>SUM(G1317:G1319)</f>
        <v>12112.095848250003</v>
      </c>
      <c r="H1316" s="27">
        <f>IFERROR(G1316*E1304,"")</f>
        <v>0</v>
      </c>
    </row>
    <row r="1317" spans="1:11" ht="12.75" customHeight="1">
      <c r="A1317" s="28"/>
      <c r="B1317" s="29" t="s">
        <v>3642</v>
      </c>
      <c r="C1317" s="30" t="str">
        <f>IFERROR(_xlfn.XLOOKUP(B1317,Equipo[DESCRIPCION],Equipo[UND],,0),"")</f>
        <v>Día</v>
      </c>
      <c r="D1317" s="31">
        <v>1</v>
      </c>
      <c r="E1317" s="32">
        <f>IF(C1317="%MO",G1323,IFERROR(_xlfn.XLOOKUP($B1317,Equipo[DESCRIPCION],Equipo[VALOR],,0),""))</f>
        <v>54978</v>
      </c>
      <c r="F1317" s="33">
        <v>-8</v>
      </c>
      <c r="G1317" s="34">
        <f>IFERROR(IF(F1317&gt;=0,D1317*E1317*(1+F1317/100),ABS(D1317*E1317/F1317)),"")</f>
        <v>6872.25</v>
      </c>
      <c r="H1317" s="139">
        <f>IFERROR(G1317*E1304,"")</f>
        <v>0</v>
      </c>
    </row>
    <row r="1318" spans="1:11" ht="12.75" customHeight="1">
      <c r="A1318" s="28"/>
      <c r="B1318" s="29" t="s">
        <v>3626</v>
      </c>
      <c r="C1318" s="30" t="str">
        <f>IFERROR(_xlfn.XLOOKUP(B1318,Equipo[DESCRIPCION],Equipo[UND],,0),"")</f>
        <v>%MO</v>
      </c>
      <c r="D1318" s="31">
        <v>0.05</v>
      </c>
      <c r="E1318" s="32">
        <f>IF(C1318="%MO",G1323,IFERROR(_xlfn.XLOOKUP($B1318,Equipo[DESCRIPCION],Equipo[VALOR],,0),""))</f>
        <v>104796.91696500003</v>
      </c>
      <c r="F1318" s="33"/>
      <c r="G1318" s="34">
        <f>IFERROR(IF(F1318&gt;=0,D1318*E1318*(1+F1318/100),ABS(D1318*E1318/F1318)),"")</f>
        <v>5239.8458482500018</v>
      </c>
      <c r="H1318" s="139">
        <f>IFERROR(G1318*E1304,"")</f>
        <v>0</v>
      </c>
    </row>
    <row r="1319" spans="1:11" ht="12.75" customHeight="1">
      <c r="A1319" s="28"/>
      <c r="B1319" s="29"/>
      <c r="C1319" s="30" t="str">
        <f>IFERROR(_xlfn.XLOOKUP(B1319,Equipo[DESCRIPCION],Equipo[UND],,0),"")</f>
        <v/>
      </c>
      <c r="D1319" s="31"/>
      <c r="E1319" s="32" t="str">
        <f>IF(C1319="%MO",G1323,IFERROR(_xlfn.XLOOKUP($B1319,Equipo[DESCRIPCION],Equipo[VALOR],,0),""))</f>
        <v/>
      </c>
      <c r="F1319" s="33"/>
      <c r="G1319" s="34" t="str">
        <f>IFERROR(IF(F1319&gt;=0,D1319*E1319*(1+F1319/100),ABS(D1319*E1319/F1319)),"")</f>
        <v/>
      </c>
      <c r="H1319" s="139" t="str">
        <f>IFERROR(G1319*E1304,"")</f>
        <v/>
      </c>
    </row>
    <row r="1320" spans="1:11" ht="12.75" customHeight="1">
      <c r="A1320" s="21"/>
      <c r="B1320" s="22" t="s">
        <v>2533</v>
      </c>
      <c r="C1320" s="23"/>
      <c r="D1320" s="24"/>
      <c r="E1320" s="25"/>
      <c r="F1320" s="26"/>
      <c r="G1320" s="27">
        <f>SUM(G1321:G1322)</f>
        <v>0</v>
      </c>
      <c r="H1320" s="27">
        <f>IFERROR(G1320*E1304,"")</f>
        <v>0</v>
      </c>
    </row>
    <row r="1321" spans="1:11" ht="12.75" customHeight="1">
      <c r="A1321" s="28"/>
      <c r="B1321" s="29"/>
      <c r="C1321" s="30" t="str">
        <f>IFERROR(_xlfn.XLOOKUP(B1321,Transporte[DESCRIPCION],Transporte[UND],,0),"")</f>
        <v/>
      </c>
      <c r="D1321" s="31"/>
      <c r="E1321" s="32" t="str">
        <f>IFERROR(_xlfn.XLOOKUP($B1321,Transporte[DESCRIPCION],Transporte[VALOR],,0),"")</f>
        <v/>
      </c>
      <c r="F1321" s="33"/>
      <c r="G1321" s="34" t="str">
        <f>IFERROR(IF(F1321&gt;=0,D1321*E1321*(1+F1321/100),ABS(D1321*E1321/F1321)),"")</f>
        <v/>
      </c>
      <c r="H1321" s="139" t="str">
        <f>IFERROR(G1321*E1304,"")</f>
        <v/>
      </c>
    </row>
    <row r="1322" spans="1:11" ht="12.75" customHeight="1">
      <c r="A1322" s="28"/>
      <c r="B1322" s="29"/>
      <c r="C1322" s="30" t="str">
        <f>IFERROR(_xlfn.XLOOKUP(B1322,Transporte[DESCRIPCION],Transporte[UND],,0),"")</f>
        <v/>
      </c>
      <c r="D1322" s="31"/>
      <c r="E1322" s="32" t="str">
        <f>IFERROR(_xlfn.XLOOKUP($B1322,Transporte[DESCRIPCION],Transporte[VALOR],,0),"")</f>
        <v/>
      </c>
      <c r="F1322" s="33"/>
      <c r="G1322" s="34" t="str">
        <f>IFERROR(IF(F1322&gt;=0,D1322*E1322*(1+F1322/100),ABS(D1322*E1322/F1322)),"")</f>
        <v/>
      </c>
      <c r="H1322" s="139" t="str">
        <f>IFERROR(G1322*E1304,"")</f>
        <v/>
      </c>
    </row>
    <row r="1323" spans="1:11" ht="12.75" customHeight="1">
      <c r="A1323" s="21"/>
      <c r="B1323" s="22" t="s">
        <v>3732</v>
      </c>
      <c r="C1323" s="23"/>
      <c r="D1323" s="24"/>
      <c r="E1323" s="25"/>
      <c r="F1323" s="26"/>
      <c r="G1323" s="27">
        <f>SUM(G1324:G1326)</f>
        <v>104796.91696500003</v>
      </c>
      <c r="H1323" s="27">
        <f>IFERROR(G1323*E1304,"")</f>
        <v>0</v>
      </c>
    </row>
    <row r="1324" spans="1:11" ht="12.75" customHeight="1">
      <c r="A1324" s="28"/>
      <c r="B1324" s="29" t="s">
        <v>3710</v>
      </c>
      <c r="C1324" s="30" t="str">
        <f>IFERROR(_xlfn.XLOOKUP(B1324,MObra[DESCRIPCION],MObra[UN],,0),"")</f>
        <v>día</v>
      </c>
      <c r="D1324" s="31">
        <v>1</v>
      </c>
      <c r="E1324" s="32">
        <f>IFERROR(_xlfn.XLOOKUP($B1324,MObra[DESCRIPCION],MObra[VALOR UNIT],,0),"")</f>
        <v>314390.75089500006</v>
      </c>
      <c r="F1324" s="33">
        <v>-3</v>
      </c>
      <c r="G1324" s="34">
        <f>IFERROR(IF(F1324&gt;=0,D1324*E1324*(1+F1324/100),ABS(D1324*E1324/F1324)),"")</f>
        <v>104796.91696500003</v>
      </c>
      <c r="H1324" s="139">
        <f>IFERROR(G1324*E1304,"")</f>
        <v>0</v>
      </c>
    </row>
    <row r="1325" spans="1:11" ht="12.75" customHeight="1">
      <c r="A1325" s="28"/>
      <c r="B1325" s="29"/>
      <c r="C1325" s="30" t="str">
        <f>IFERROR(_xlfn.XLOOKUP(B1325,MObra[DESCRIPCION],MObra[UN],,0),"")</f>
        <v/>
      </c>
      <c r="D1325" s="31"/>
      <c r="E1325" s="32" t="str">
        <f>IFERROR(_xlfn.XLOOKUP($B1325,MObra[DESCRIPCION],MObra[VALOR UNIT],,0),"")</f>
        <v/>
      </c>
      <c r="F1325" s="33"/>
      <c r="G1325" s="34" t="str">
        <f>IFERROR(IF(F1325&gt;=0,D1325*E1325*(1+F1325/100),ABS(D1325*E1325/F1325)),"")</f>
        <v/>
      </c>
      <c r="H1325" s="139" t="str">
        <f>IFERROR(G1325*E1304,"")</f>
        <v/>
      </c>
    </row>
    <row r="1326" spans="1:11" ht="12.75" customHeight="1" thickBot="1">
      <c r="A1326" s="35"/>
      <c r="B1326" s="36"/>
      <c r="C1326" s="37" t="str">
        <f>IFERROR(_xlfn.XLOOKUP(B1326,MObra[DESCRIPCION],MObra[UN],,0),"")</f>
        <v/>
      </c>
      <c r="D1326" s="38"/>
      <c r="E1326" s="39" t="str">
        <f>IFERROR(_xlfn.XLOOKUP($B1326,MObra[DESCRIPCION],MObra[VALOR UNIT],,0),"")</f>
        <v/>
      </c>
      <c r="F1326" s="40"/>
      <c r="G1326" s="41" t="str">
        <f>IFERROR(IF(F1326&gt;=0,D1326*E1326*(1+F1326/100),ABS(D1326*E1326/F1326)),"")</f>
        <v/>
      </c>
      <c r="H1326" s="42" t="str">
        <f>IFERROR(G1326*E1304,"")</f>
        <v/>
      </c>
    </row>
    <row r="1327" spans="1:11" ht="12.75" customHeight="1" thickTop="1" thickBot="1"/>
    <row r="1328" spans="1:11" ht="12.75" customHeight="1" thickTop="1" thickBot="1">
      <c r="A1328" s="6" t="s">
        <v>1500</v>
      </c>
      <c r="B1328" s="7" t="str">
        <f>VLOOKUP($A1328,Presupuesto!$A:$D,2,FALSE())</f>
        <v>Orinal ecológico</v>
      </c>
      <c r="C1328" s="8" t="str">
        <f>VLOOKUP($A1328,Presupuesto!$A:$D,3,FALSE())</f>
        <v>Un</v>
      </c>
      <c r="D1328" s="9"/>
      <c r="E1328" s="10">
        <f>VLOOKUP($A1328,Presupuesto!$A:$D,4,FALSE())</f>
        <v>0</v>
      </c>
      <c r="F1328" s="11" t="s">
        <v>2589</v>
      </c>
      <c r="G1328" s="12">
        <f>SUM(G1330:G1346)/2</f>
        <v>492619.53140662506</v>
      </c>
      <c r="H1328" s="13">
        <f>ROUND(SUM(H1330:H1346),0)/2</f>
        <v>0</v>
      </c>
      <c r="I1328" s="10">
        <f>VLOOKUP(A1328,Presupuesto!$A:$F,6,0)</f>
        <v>0</v>
      </c>
      <c r="J1328" s="10">
        <f>+H1328-I1328</f>
        <v>0</v>
      </c>
      <c r="K1328" s="46">
        <f>+H1328-G1328*E1328</f>
        <v>0</v>
      </c>
    </row>
    <row r="1329" spans="1:8" ht="12.75" customHeight="1" thickTop="1">
      <c r="A1329" s="14"/>
      <c r="B1329" s="15" t="s">
        <v>2586</v>
      </c>
      <c r="C1329" s="15" t="s">
        <v>5</v>
      </c>
      <c r="D1329" s="16" t="s">
        <v>6</v>
      </c>
      <c r="E1329" s="17" t="s">
        <v>7</v>
      </c>
      <c r="F1329" s="18" t="s">
        <v>3728</v>
      </c>
      <c r="G1329" s="19" t="s">
        <v>3729</v>
      </c>
      <c r="H1329" s="20" t="s">
        <v>3797</v>
      </c>
    </row>
    <row r="1330" spans="1:8" ht="12.75" customHeight="1">
      <c r="A1330" s="21"/>
      <c r="B1330" s="22" t="s">
        <v>3730</v>
      </c>
      <c r="C1330" s="23"/>
      <c r="D1330" s="24"/>
      <c r="E1330" s="25"/>
      <c r="F1330" s="26"/>
      <c r="G1330" s="27">
        <f>SUM(G1331:G1335)</f>
        <v>437601.15</v>
      </c>
      <c r="H1330" s="27">
        <f>IFERROR(G1330*E1328,"")</f>
        <v>0</v>
      </c>
    </row>
    <row r="1331" spans="1:8" ht="12.75" customHeight="1">
      <c r="A1331" s="28"/>
      <c r="B1331" s="29" t="s">
        <v>3179</v>
      </c>
      <c r="C1331" s="30" t="str">
        <f>IFERROR(_xlfn.XLOOKUP(B1331,Insumo[DESCRIPCION],Insumo[UND],,0),"")</f>
        <v>Un</v>
      </c>
      <c r="D1331" s="31">
        <v>1</v>
      </c>
      <c r="E1331" s="32">
        <f>IFERROR(_xlfn.XLOOKUP($B1331,Insumo[DESCRIPCION],Insumo[VALOR],,0),"")</f>
        <v>437601.15</v>
      </c>
      <c r="F1331" s="33"/>
      <c r="G1331" s="34">
        <f>IFERROR(IF(F1331&gt;=0,D1331*E1331*(1+F1331/100),ABS(D1331*E1331/F1331)),"")</f>
        <v>437601.15</v>
      </c>
      <c r="H1331" s="139">
        <f>IFERROR(G1331*E1328,"")</f>
        <v>0</v>
      </c>
    </row>
    <row r="1332" spans="1:8" ht="12.75" customHeight="1">
      <c r="A1332" s="28"/>
      <c r="B1332" s="29"/>
      <c r="C1332" s="30" t="str">
        <f>IFERROR(_xlfn.XLOOKUP(B1332,Insumo[DESCRIPCION],Insumo[UND],,0),"")</f>
        <v/>
      </c>
      <c r="D1332" s="31"/>
      <c r="E1332" s="32" t="str">
        <f>IFERROR(_xlfn.XLOOKUP($B1332,Insumo[DESCRIPCION],Insumo[VALOR],,0),"")</f>
        <v/>
      </c>
      <c r="F1332" s="33"/>
      <c r="G1332" s="34" t="str">
        <f>IFERROR(IF(F1332&gt;=0,D1332*E1332*(1+F1332/100),ABS(D1332*E1332/F1332)),"")</f>
        <v/>
      </c>
      <c r="H1332" s="139" t="str">
        <f>IFERROR(G1332*E1328,"")</f>
        <v/>
      </c>
    </row>
    <row r="1333" spans="1:8" ht="12.75" customHeight="1">
      <c r="A1333" s="28"/>
      <c r="B1333" s="29"/>
      <c r="C1333" s="30" t="str">
        <f>IFERROR(_xlfn.XLOOKUP(B1333,Insumo[DESCRIPCION],Insumo[UND],,0),"")</f>
        <v/>
      </c>
      <c r="D1333" s="31"/>
      <c r="E1333" s="32" t="str">
        <f>IFERROR(_xlfn.XLOOKUP($B1333,Insumo[DESCRIPCION],Insumo[VALOR],,0),"")</f>
        <v/>
      </c>
      <c r="F1333" s="33"/>
      <c r="G1333" s="34" t="str">
        <f>IFERROR(IF(F1333&gt;=0,D1333*E1333*(1+F1333/100),ABS(D1333*E1333/F1333)),"")</f>
        <v/>
      </c>
      <c r="H1333" s="139" t="str">
        <f>IFERROR(G1333*E1328,"")</f>
        <v/>
      </c>
    </row>
    <row r="1334" spans="1:8" ht="12.75" customHeight="1">
      <c r="A1334" s="28"/>
      <c r="B1334" s="29"/>
      <c r="C1334" s="30" t="str">
        <f>IFERROR(_xlfn.XLOOKUP(B1334,Insumo[DESCRIPCION],Insumo[UND],,0),"")</f>
        <v/>
      </c>
      <c r="D1334" s="31"/>
      <c r="E1334" s="32" t="str">
        <f>IFERROR(_xlfn.XLOOKUP($B1334,Insumo[DESCRIPCION],Insumo[VALOR],,0),"")</f>
        <v/>
      </c>
      <c r="F1334" s="33"/>
      <c r="G1334" s="34" t="str">
        <f>IFERROR(IF(F1334&gt;=0,D1334*E1334*(1+F1334/100),ABS(D1334*E1334/F1334)),"")</f>
        <v/>
      </c>
      <c r="H1334" s="139" t="str">
        <f>IFERROR(G1334*E1328,"")</f>
        <v/>
      </c>
    </row>
    <row r="1335" spans="1:8" ht="12.75" customHeight="1">
      <c r="A1335" s="28"/>
      <c r="B1335" s="29"/>
      <c r="C1335" s="30" t="str">
        <f>IFERROR(_xlfn.XLOOKUP(B1335,Insumo[DESCRIPCION],Insumo[UND],,0),"")</f>
        <v/>
      </c>
      <c r="D1335" s="31"/>
      <c r="E1335" s="32" t="str">
        <f>IFERROR(_xlfn.XLOOKUP($B1335,Insumo[DESCRIPCION],Insumo[VALOR],,0),"")</f>
        <v/>
      </c>
      <c r="F1335" s="33"/>
      <c r="G1335" s="34" t="str">
        <f>IFERROR(IF(F1335&gt;=0,D1335*E1335*(1+F1335/100),ABS(D1335*E1335/F1335)),"")</f>
        <v/>
      </c>
      <c r="H1335" s="139" t="str">
        <f>IFERROR(G1335*E1328,"")</f>
        <v/>
      </c>
    </row>
    <row r="1336" spans="1:8" ht="12.75" customHeight="1">
      <c r="A1336" s="21"/>
      <c r="B1336" s="22" t="s">
        <v>3731</v>
      </c>
      <c r="C1336" s="23"/>
      <c r="D1336" s="24"/>
      <c r="E1336" s="25"/>
      <c r="F1336" s="26"/>
      <c r="G1336" s="27">
        <f>SUM(G1337:G1339)</f>
        <v>2619.9229241250009</v>
      </c>
      <c r="H1336" s="27">
        <f>IFERROR(G1336*E1328,"")</f>
        <v>0</v>
      </c>
    </row>
    <row r="1337" spans="1:8" ht="12.75" customHeight="1">
      <c r="A1337" s="28"/>
      <c r="B1337" s="29" t="s">
        <v>3626</v>
      </c>
      <c r="C1337" s="30" t="str">
        <f>IFERROR(_xlfn.XLOOKUP(B1337,Equipo[DESCRIPCION],Equipo[UND],,0),"")</f>
        <v>%MO</v>
      </c>
      <c r="D1337" s="31">
        <v>0.05</v>
      </c>
      <c r="E1337" s="32">
        <f>IF(C1337="%MO",G1343,IFERROR(_xlfn.XLOOKUP($B1337,Equipo[DESCRIPCION],Equipo[VALOR],,0),""))</f>
        <v>52398.458482500013</v>
      </c>
      <c r="F1337" s="33"/>
      <c r="G1337" s="34">
        <f>IFERROR(IF(F1337&gt;=0,D1337*E1337*(1+F1337/100),ABS(D1337*E1337/F1337)),"")</f>
        <v>2619.9229241250009</v>
      </c>
      <c r="H1337" s="139">
        <f>IFERROR(G1337*E1328,"")</f>
        <v>0</v>
      </c>
    </row>
    <row r="1338" spans="1:8" ht="12.75" customHeight="1">
      <c r="A1338" s="28"/>
      <c r="B1338" s="29"/>
      <c r="C1338" s="30" t="str">
        <f>IFERROR(_xlfn.XLOOKUP(B1338,Equipo[DESCRIPCION],Equipo[UND],,0),"")</f>
        <v/>
      </c>
      <c r="D1338" s="31"/>
      <c r="E1338" s="32" t="str">
        <f>IF(C1338="%MO",G1343,IFERROR(_xlfn.XLOOKUP($B1338,Equipo[DESCRIPCION],Equipo[VALOR],,0),""))</f>
        <v/>
      </c>
      <c r="F1338" s="33"/>
      <c r="G1338" s="34" t="str">
        <f>IFERROR(IF(F1338&gt;=0,D1338*E1338*(1+F1338/100),ABS(D1338*E1338/F1338)),"")</f>
        <v/>
      </c>
      <c r="H1338" s="139" t="str">
        <f>IFERROR(G1338*E1328,"")</f>
        <v/>
      </c>
    </row>
    <row r="1339" spans="1:8" ht="12.75" customHeight="1">
      <c r="A1339" s="28"/>
      <c r="B1339" s="29"/>
      <c r="C1339" s="30" t="str">
        <f>IFERROR(_xlfn.XLOOKUP(B1339,Equipo[DESCRIPCION],Equipo[UND],,0),"")</f>
        <v/>
      </c>
      <c r="D1339" s="31"/>
      <c r="E1339" s="32" t="str">
        <f>IF(C1339="%MO",G1343,IFERROR(_xlfn.XLOOKUP($B1339,Equipo[DESCRIPCION],Equipo[VALOR],,0),""))</f>
        <v/>
      </c>
      <c r="F1339" s="33"/>
      <c r="G1339" s="34" t="str">
        <f>IFERROR(IF(F1339&gt;=0,D1339*E1339*(1+F1339/100),ABS(D1339*E1339/F1339)),"")</f>
        <v/>
      </c>
      <c r="H1339" s="139" t="str">
        <f>IFERROR(G1339*E1328,"")</f>
        <v/>
      </c>
    </row>
    <row r="1340" spans="1:8" ht="12.75" customHeight="1">
      <c r="A1340" s="21"/>
      <c r="B1340" s="22" t="s">
        <v>2533</v>
      </c>
      <c r="C1340" s="23"/>
      <c r="D1340" s="24"/>
      <c r="E1340" s="25"/>
      <c r="F1340" s="26"/>
      <c r="G1340" s="27">
        <f>SUM(G1341:G1342)</f>
        <v>0</v>
      </c>
      <c r="H1340" s="27">
        <f>IFERROR(G1340*E1328,"")</f>
        <v>0</v>
      </c>
    </row>
    <row r="1341" spans="1:8" ht="12.75" customHeight="1">
      <c r="A1341" s="28"/>
      <c r="B1341" s="29"/>
      <c r="C1341" s="30" t="str">
        <f>IFERROR(_xlfn.XLOOKUP(B1341,Transporte[DESCRIPCION],Transporte[UND],,0),"")</f>
        <v/>
      </c>
      <c r="D1341" s="31"/>
      <c r="E1341" s="32" t="str">
        <f>IFERROR(_xlfn.XLOOKUP($B1341,Transporte[DESCRIPCION],Transporte[VALOR],,0),"")</f>
        <v/>
      </c>
      <c r="F1341" s="33"/>
      <c r="G1341" s="34" t="str">
        <f>IFERROR(IF(F1341&gt;=0,D1341*E1341*(1+F1341/100),ABS(D1341*E1341/F1341)),"")</f>
        <v/>
      </c>
      <c r="H1341" s="139" t="str">
        <f>IFERROR(G1341*E1328,"")</f>
        <v/>
      </c>
    </row>
    <row r="1342" spans="1:8" ht="12.75" customHeight="1">
      <c r="A1342" s="28"/>
      <c r="B1342" s="29"/>
      <c r="C1342" s="30" t="str">
        <f>IFERROR(_xlfn.XLOOKUP(B1342,Transporte[DESCRIPCION],Transporte[UND],,0),"")</f>
        <v/>
      </c>
      <c r="D1342" s="31"/>
      <c r="E1342" s="32" t="str">
        <f>IFERROR(_xlfn.XLOOKUP($B1342,Transporte[DESCRIPCION],Transporte[VALOR],,0),"")</f>
        <v/>
      </c>
      <c r="F1342" s="33"/>
      <c r="G1342" s="34" t="str">
        <f>IFERROR(IF(F1342&gt;=0,D1342*E1342*(1+F1342/100),ABS(D1342*E1342/F1342)),"")</f>
        <v/>
      </c>
      <c r="H1342" s="139" t="str">
        <f>IFERROR(G1342*E1328,"")</f>
        <v/>
      </c>
    </row>
    <row r="1343" spans="1:8" ht="12.75" customHeight="1">
      <c r="A1343" s="21"/>
      <c r="B1343" s="22" t="s">
        <v>3732</v>
      </c>
      <c r="C1343" s="23"/>
      <c r="D1343" s="24"/>
      <c r="E1343" s="25"/>
      <c r="F1343" s="26"/>
      <c r="G1343" s="27">
        <f>SUM(G1344:G1346)</f>
        <v>52398.458482500013</v>
      </c>
      <c r="H1343" s="27">
        <f>IFERROR(G1343*E1328,"")</f>
        <v>0</v>
      </c>
    </row>
    <row r="1344" spans="1:8" ht="12.75" customHeight="1">
      <c r="A1344" s="28"/>
      <c r="B1344" s="29" t="s">
        <v>3710</v>
      </c>
      <c r="C1344" s="30" t="str">
        <f>IFERROR(_xlfn.XLOOKUP(B1344,MObra[DESCRIPCION],MObra[UN],,0),"")</f>
        <v>día</v>
      </c>
      <c r="D1344" s="31">
        <v>1</v>
      </c>
      <c r="E1344" s="32">
        <f>IFERROR(_xlfn.XLOOKUP($B1344,MObra[DESCRIPCION],MObra[VALOR UNIT],,0),"")</f>
        <v>314390.75089500006</v>
      </c>
      <c r="F1344" s="33">
        <v>-6</v>
      </c>
      <c r="G1344" s="34">
        <f>IFERROR(IF(F1344&gt;=0,D1344*E1344*(1+F1344/100),ABS(D1344*E1344/F1344)),"")</f>
        <v>52398.458482500013</v>
      </c>
      <c r="H1344" s="139">
        <f>IFERROR(G1344*E1328,"")</f>
        <v>0</v>
      </c>
    </row>
    <row r="1345" spans="1:11" ht="12.75" customHeight="1">
      <c r="A1345" s="28"/>
      <c r="B1345" s="29"/>
      <c r="C1345" s="30" t="str">
        <f>IFERROR(_xlfn.XLOOKUP(B1345,MObra[DESCRIPCION],MObra[UN],,0),"")</f>
        <v/>
      </c>
      <c r="D1345" s="31"/>
      <c r="E1345" s="32" t="str">
        <f>IFERROR(_xlfn.XLOOKUP($B1345,MObra[DESCRIPCION],MObra[VALOR UNIT],,0),"")</f>
        <v/>
      </c>
      <c r="F1345" s="33"/>
      <c r="G1345" s="34" t="str">
        <f>IFERROR(IF(F1345&gt;=0,D1345*E1345*(1+F1345/100),ABS(D1345*E1345/F1345)),"")</f>
        <v/>
      </c>
      <c r="H1345" s="139" t="str">
        <f>IFERROR(G1345*E1328,"")</f>
        <v/>
      </c>
    </row>
    <row r="1346" spans="1:11" ht="12.75" customHeight="1" thickBot="1">
      <c r="A1346" s="35"/>
      <c r="B1346" s="36"/>
      <c r="C1346" s="37" t="str">
        <f>IFERROR(_xlfn.XLOOKUP(B1346,MObra[DESCRIPCION],MObra[UN],,0),"")</f>
        <v/>
      </c>
      <c r="D1346" s="38"/>
      <c r="E1346" s="39" t="str">
        <f>IFERROR(_xlfn.XLOOKUP($B1346,MObra[DESCRIPCION],MObra[VALOR UNIT],,0),"")</f>
        <v/>
      </c>
      <c r="F1346" s="40"/>
      <c r="G1346" s="41" t="str">
        <f>IFERROR(IF(F1346&gt;=0,D1346*E1346*(1+F1346/100),ABS(D1346*E1346/F1346)),"")</f>
        <v/>
      </c>
      <c r="H1346" s="42" t="str">
        <f>IFERROR(G1346*E1328,"")</f>
        <v/>
      </c>
    </row>
    <row r="1347" spans="1:11" ht="12.75" customHeight="1" thickTop="1" thickBot="1"/>
    <row r="1348" spans="1:11" ht="12.75" customHeight="1" thickTop="1" thickBot="1">
      <c r="A1348" s="6" t="s">
        <v>1502</v>
      </c>
      <c r="B1348" s="7" t="str">
        <f>VLOOKUP($A1348,Presupuesto!$A:$D,2,FALSE())</f>
        <v>Plaqueta mesón concreto E=0.05m</v>
      </c>
      <c r="C1348" s="8" t="str">
        <f>VLOOKUP($A1348,Presupuesto!$A:$D,3,FALSE())</f>
        <v>M2</v>
      </c>
      <c r="D1348" s="9"/>
      <c r="E1348" s="10">
        <f>VLOOKUP($A1348,Presupuesto!$A:$D,4,FALSE())</f>
        <v>0</v>
      </c>
      <c r="F1348" s="11" t="s">
        <v>2589</v>
      </c>
      <c r="G1348" s="12">
        <f>SUM(G1350:G1366)/2</f>
        <v>130367.93159027392</v>
      </c>
      <c r="H1348" s="13">
        <f>ROUND(SUM(H1350:H1366),0)/2</f>
        <v>0</v>
      </c>
      <c r="I1348" s="10">
        <f>VLOOKUP(A1348,Presupuesto!$A:$F,6,0)</f>
        <v>0</v>
      </c>
      <c r="J1348" s="10">
        <f>+H1348-I1348</f>
        <v>0</v>
      </c>
      <c r="K1348" s="46">
        <f>+H1348-G1348*E1348</f>
        <v>0</v>
      </c>
    </row>
    <row r="1349" spans="1:11" ht="12.75" customHeight="1" thickTop="1">
      <c r="A1349" s="14"/>
      <c r="B1349" s="15" t="s">
        <v>2586</v>
      </c>
      <c r="C1349" s="15" t="s">
        <v>5</v>
      </c>
      <c r="D1349" s="16" t="s">
        <v>6</v>
      </c>
      <c r="E1349" s="17" t="s">
        <v>7</v>
      </c>
      <c r="F1349" s="18" t="s">
        <v>3728</v>
      </c>
      <c r="G1349" s="19" t="s">
        <v>3729</v>
      </c>
      <c r="H1349" s="20" t="s">
        <v>3797</v>
      </c>
    </row>
    <row r="1350" spans="1:11" ht="12.75" customHeight="1">
      <c r="A1350" s="21"/>
      <c r="B1350" s="22" t="s">
        <v>3730</v>
      </c>
      <c r="C1350" s="23"/>
      <c r="D1350" s="24"/>
      <c r="E1350" s="25"/>
      <c r="F1350" s="26"/>
      <c r="G1350" s="27">
        <f>SUM(G1351:G1355)</f>
        <v>89104.145535305172</v>
      </c>
      <c r="H1350" s="27">
        <f>IFERROR(G1350*E1348,"")</f>
        <v>0</v>
      </c>
    </row>
    <row r="1351" spans="1:11" ht="12.75" customHeight="1">
      <c r="A1351" s="28"/>
      <c r="B1351" s="29" t="s">
        <v>2954</v>
      </c>
      <c r="C1351" s="30" t="str">
        <f>IFERROR(_xlfn.XLOOKUP(B1351,Insumo[DESCRIPCION],Insumo[UND],,0),"")</f>
        <v>M2</v>
      </c>
      <c r="D1351" s="31">
        <v>0.6</v>
      </c>
      <c r="E1351" s="32">
        <f>IFERROR(_xlfn.XLOOKUP($B1351,Insumo[DESCRIPCION],Insumo[VALOR],,0),"")</f>
        <v>102154.92581625449</v>
      </c>
      <c r="F1351" s="33"/>
      <c r="G1351" s="34">
        <f>IFERROR(IF(F1351&gt;=0,D1351*E1351*(1+F1351/100),ABS(D1351*E1351/F1351)),"")</f>
        <v>61292.95548975269</v>
      </c>
      <c r="H1351" s="139">
        <f>IFERROR(G1351*E1348,"")</f>
        <v>0</v>
      </c>
    </row>
    <row r="1352" spans="1:11" ht="12.75" customHeight="1">
      <c r="A1352" s="28"/>
      <c r="B1352" s="29" t="s">
        <v>3239</v>
      </c>
      <c r="C1352" s="30" t="str">
        <f>IFERROR(_xlfn.XLOOKUP(B1352,Insumo[DESCRIPCION],Insumo[UND],,0),"")</f>
        <v>M3</v>
      </c>
      <c r="D1352" s="31">
        <v>0.02</v>
      </c>
      <c r="E1352" s="32">
        <f>IFERROR(_xlfn.XLOOKUP($B1352,Insumo[DESCRIPCION],Insumo[VALOR],,0),"")</f>
        <v>521159.50227762427</v>
      </c>
      <c r="F1352" s="33"/>
      <c r="G1352" s="34">
        <f>IFERROR(IF(F1352&gt;=0,D1352*E1352*(1+F1352/100),ABS(D1352*E1352/F1352)),"")</f>
        <v>10423.190045552486</v>
      </c>
      <c r="H1352" s="139">
        <f>IFERROR(G1352*E1348,"")</f>
        <v>0</v>
      </c>
    </row>
    <row r="1353" spans="1:11" ht="12.75" customHeight="1">
      <c r="A1353" s="28"/>
      <c r="B1353" s="29" t="s">
        <v>3134</v>
      </c>
      <c r="C1353" s="30" t="str">
        <f>IFERROR(_xlfn.XLOOKUP(B1353,Insumo[DESCRIPCION],Insumo[UND],,0),"")</f>
        <v>Un</v>
      </c>
      <c r="D1353" s="31">
        <v>0.08</v>
      </c>
      <c r="E1353" s="32">
        <f>IFERROR(_xlfn.XLOOKUP($B1353,Insumo[DESCRIPCION],Insumo[VALOR],,0),"")</f>
        <v>217350</v>
      </c>
      <c r="F1353" s="33"/>
      <c r="G1353" s="34">
        <f>IFERROR(IF(F1353&gt;=0,D1353*E1353*(1+F1353/100),ABS(D1353*E1353/F1353)),"")</f>
        <v>17388</v>
      </c>
      <c r="H1353" s="139">
        <f>IFERROR(G1353*E1348,"")</f>
        <v>0</v>
      </c>
    </row>
    <row r="1354" spans="1:11" ht="12.75" customHeight="1">
      <c r="A1354" s="28"/>
      <c r="B1354" s="29"/>
      <c r="C1354" s="30" t="str">
        <f>IFERROR(_xlfn.XLOOKUP(B1354,Insumo[DESCRIPCION],Insumo[UND],,0),"")</f>
        <v/>
      </c>
      <c r="D1354" s="31"/>
      <c r="E1354" s="32" t="str">
        <f>IFERROR(_xlfn.XLOOKUP($B1354,Insumo[DESCRIPCION],Insumo[VALOR],,0),"")</f>
        <v/>
      </c>
      <c r="F1354" s="33"/>
      <c r="G1354" s="34" t="str">
        <f>IFERROR(IF(F1354&gt;=0,D1354*E1354*(1+F1354/100),ABS(D1354*E1354/F1354)),"")</f>
        <v/>
      </c>
      <c r="H1354" s="139" t="str">
        <f>IFERROR(G1354*E1348,"")</f>
        <v/>
      </c>
    </row>
    <row r="1355" spans="1:11" ht="12.75" customHeight="1">
      <c r="A1355" s="28"/>
      <c r="B1355" s="29"/>
      <c r="C1355" s="30" t="str">
        <f>IFERROR(_xlfn.XLOOKUP(B1355,Insumo[DESCRIPCION],Insumo[UND],,0),"")</f>
        <v/>
      </c>
      <c r="D1355" s="31"/>
      <c r="E1355" s="32" t="str">
        <f>IFERROR(_xlfn.XLOOKUP($B1355,Insumo[DESCRIPCION],Insumo[VALOR],,0),"")</f>
        <v/>
      </c>
      <c r="F1355" s="33"/>
      <c r="G1355" s="34" t="str">
        <f>IFERROR(IF(F1355&gt;=0,D1355*E1355*(1+F1355/100),ABS(D1355*E1355/F1355)),"")</f>
        <v/>
      </c>
      <c r="H1355" s="139" t="str">
        <f>IFERROR(G1355*E1348,"")</f>
        <v/>
      </c>
    </row>
    <row r="1356" spans="1:11" ht="12.75" customHeight="1">
      <c r="A1356" s="21"/>
      <c r="B1356" s="22" t="s">
        <v>3731</v>
      </c>
      <c r="C1356" s="23"/>
      <c r="D1356" s="24"/>
      <c r="E1356" s="25"/>
      <c r="F1356" s="26"/>
      <c r="G1356" s="27">
        <f>SUM(G1357:G1359)</f>
        <v>1964.9421930937506</v>
      </c>
      <c r="H1356" s="27">
        <f>IFERROR(G1356*E1348,"")</f>
        <v>0</v>
      </c>
    </row>
    <row r="1357" spans="1:11" ht="12.75" customHeight="1">
      <c r="A1357" s="28"/>
      <c r="B1357" s="29" t="s">
        <v>3626</v>
      </c>
      <c r="C1357" s="30" t="str">
        <f>IFERROR(_xlfn.XLOOKUP(B1357,Equipo[DESCRIPCION],Equipo[UND],,0),"")</f>
        <v>%MO</v>
      </c>
      <c r="D1357" s="31">
        <v>0.05</v>
      </c>
      <c r="E1357" s="32">
        <f>IF(C1357="%MO",G1363,IFERROR(_xlfn.XLOOKUP($B1357,Equipo[DESCRIPCION],Equipo[VALOR],,0),""))</f>
        <v>39298.843861875008</v>
      </c>
      <c r="F1357" s="33"/>
      <c r="G1357" s="34">
        <f>IFERROR(IF(F1357&gt;=0,D1357*E1357*(1+F1357/100),ABS(D1357*E1357/F1357)),"")</f>
        <v>1964.9421930937506</v>
      </c>
      <c r="H1357" s="139">
        <f>IFERROR(G1357*E1348,"")</f>
        <v>0</v>
      </c>
    </row>
    <row r="1358" spans="1:11" ht="12.75" customHeight="1">
      <c r="A1358" s="28"/>
      <c r="B1358" s="29"/>
      <c r="C1358" s="30" t="str">
        <f>IFERROR(_xlfn.XLOOKUP(B1358,Equipo[DESCRIPCION],Equipo[UND],,0),"")</f>
        <v/>
      </c>
      <c r="D1358" s="31"/>
      <c r="E1358" s="32" t="str">
        <f>IF(C1358="%MO",G1363,IFERROR(_xlfn.XLOOKUP($B1358,Equipo[DESCRIPCION],Equipo[VALOR],,0),""))</f>
        <v/>
      </c>
      <c r="F1358" s="33"/>
      <c r="G1358" s="34" t="str">
        <f>IFERROR(IF(F1358&gt;=0,D1358*E1358*(1+F1358/100),ABS(D1358*E1358/F1358)),"")</f>
        <v/>
      </c>
      <c r="H1358" s="139" t="str">
        <f>IFERROR(G1358*E1348,"")</f>
        <v/>
      </c>
    </row>
    <row r="1359" spans="1:11" ht="12.75" customHeight="1">
      <c r="A1359" s="28"/>
      <c r="B1359" s="29"/>
      <c r="C1359" s="30" t="str">
        <f>IFERROR(_xlfn.XLOOKUP(B1359,Equipo[DESCRIPCION],Equipo[UND],,0),"")</f>
        <v/>
      </c>
      <c r="D1359" s="31"/>
      <c r="E1359" s="32" t="str">
        <f>IF(C1359="%MO",G1363,IFERROR(_xlfn.XLOOKUP($B1359,Equipo[DESCRIPCION],Equipo[VALOR],,0),""))</f>
        <v/>
      </c>
      <c r="F1359" s="33"/>
      <c r="G1359" s="34" t="str">
        <f>IFERROR(IF(F1359&gt;=0,D1359*E1359*(1+F1359/100),ABS(D1359*E1359/F1359)),"")</f>
        <v/>
      </c>
      <c r="H1359" s="139" t="str">
        <f>IFERROR(G1359*E1348,"")</f>
        <v/>
      </c>
    </row>
    <row r="1360" spans="1:11" ht="12.75" customHeight="1">
      <c r="A1360" s="21"/>
      <c r="B1360" s="22" t="s">
        <v>2533</v>
      </c>
      <c r="C1360" s="23"/>
      <c r="D1360" s="24"/>
      <c r="E1360" s="25"/>
      <c r="F1360" s="26"/>
      <c r="G1360" s="27">
        <f>SUM(G1361:G1362)</f>
        <v>0</v>
      </c>
      <c r="H1360" s="27">
        <f>IFERROR(G1360*E1348,"")</f>
        <v>0</v>
      </c>
    </row>
    <row r="1361" spans="1:11" ht="12.75" customHeight="1">
      <c r="A1361" s="28"/>
      <c r="B1361" s="29"/>
      <c r="C1361" s="30" t="str">
        <f>IFERROR(_xlfn.XLOOKUP(B1361,Transporte[DESCRIPCION],Transporte[UND],,0),"")</f>
        <v/>
      </c>
      <c r="D1361" s="31"/>
      <c r="E1361" s="32" t="str">
        <f>IFERROR(_xlfn.XLOOKUP($B1361,Transporte[DESCRIPCION],Transporte[VALOR],,0),"")</f>
        <v/>
      </c>
      <c r="F1361" s="33"/>
      <c r="G1361" s="34" t="str">
        <f>IFERROR(IF(F1361&gt;=0,D1361*E1361*(1+F1361/100),ABS(D1361*E1361/F1361)),"")</f>
        <v/>
      </c>
      <c r="H1361" s="139" t="str">
        <f>IFERROR(G1361*E1348,"")</f>
        <v/>
      </c>
    </row>
    <row r="1362" spans="1:11" ht="12.75" customHeight="1">
      <c r="A1362" s="28"/>
      <c r="B1362" s="29"/>
      <c r="C1362" s="30" t="str">
        <f>IFERROR(_xlfn.XLOOKUP(B1362,Transporte[DESCRIPCION],Transporte[UND],,0),"")</f>
        <v/>
      </c>
      <c r="D1362" s="31"/>
      <c r="E1362" s="32" t="str">
        <f>IFERROR(_xlfn.XLOOKUP($B1362,Transporte[DESCRIPCION],Transporte[VALOR],,0),"")</f>
        <v/>
      </c>
      <c r="F1362" s="33"/>
      <c r="G1362" s="34" t="str">
        <f>IFERROR(IF(F1362&gt;=0,D1362*E1362*(1+F1362/100),ABS(D1362*E1362/F1362)),"")</f>
        <v/>
      </c>
      <c r="H1362" s="139" t="str">
        <f>IFERROR(G1362*E1348,"")</f>
        <v/>
      </c>
    </row>
    <row r="1363" spans="1:11" ht="12.75" customHeight="1">
      <c r="A1363" s="21"/>
      <c r="B1363" s="22" t="s">
        <v>3732</v>
      </c>
      <c r="C1363" s="23"/>
      <c r="D1363" s="24"/>
      <c r="E1363" s="25"/>
      <c r="F1363" s="26"/>
      <c r="G1363" s="27">
        <f>SUM(G1364:G1366)</f>
        <v>39298.843861875008</v>
      </c>
      <c r="H1363" s="27">
        <f>IFERROR(G1363*E1348,"")</f>
        <v>0</v>
      </c>
    </row>
    <row r="1364" spans="1:11" ht="12.75" customHeight="1">
      <c r="A1364" s="28"/>
      <c r="B1364" s="29" t="s">
        <v>3710</v>
      </c>
      <c r="C1364" s="30" t="str">
        <f>IFERROR(_xlfn.XLOOKUP(B1364,MObra[DESCRIPCION],MObra[UN],,0),"")</f>
        <v>día</v>
      </c>
      <c r="D1364" s="31">
        <v>1</v>
      </c>
      <c r="E1364" s="32">
        <f>IFERROR(_xlfn.XLOOKUP($B1364,MObra[DESCRIPCION],MObra[VALOR UNIT],,0),"")</f>
        <v>314390.75089500006</v>
      </c>
      <c r="F1364" s="33">
        <v>-8</v>
      </c>
      <c r="G1364" s="34">
        <f>IFERROR(IF(F1364&gt;=0,D1364*E1364*(1+F1364/100),ABS(D1364*E1364/F1364)),"")</f>
        <v>39298.843861875008</v>
      </c>
      <c r="H1364" s="139">
        <f>IFERROR(G1364*E1348,"")</f>
        <v>0</v>
      </c>
    </row>
    <row r="1365" spans="1:11" ht="12.75" customHeight="1">
      <c r="A1365" s="28"/>
      <c r="B1365" s="29"/>
      <c r="C1365" s="30" t="str">
        <f>IFERROR(_xlfn.XLOOKUP(B1365,MObra[DESCRIPCION],MObra[UN],,0),"")</f>
        <v/>
      </c>
      <c r="D1365" s="31"/>
      <c r="E1365" s="32" t="str">
        <f>IFERROR(_xlfn.XLOOKUP($B1365,MObra[DESCRIPCION],MObra[VALOR UNIT],,0),"")</f>
        <v/>
      </c>
      <c r="F1365" s="33"/>
      <c r="G1365" s="34" t="str">
        <f>IFERROR(IF(F1365&gt;=0,D1365*E1365*(1+F1365/100),ABS(D1365*E1365/F1365)),"")</f>
        <v/>
      </c>
      <c r="H1365" s="139" t="str">
        <f>IFERROR(G1365*E1348,"")</f>
        <v/>
      </c>
    </row>
    <row r="1366" spans="1:11" ht="12.75" customHeight="1" thickBot="1">
      <c r="A1366" s="35"/>
      <c r="B1366" s="36"/>
      <c r="C1366" s="37" t="str">
        <f>IFERROR(_xlfn.XLOOKUP(B1366,MObra[DESCRIPCION],MObra[UN],,0),"")</f>
        <v/>
      </c>
      <c r="D1366" s="38"/>
      <c r="E1366" s="39" t="str">
        <f>IFERROR(_xlfn.XLOOKUP($B1366,MObra[DESCRIPCION],MObra[VALOR UNIT],,0),"")</f>
        <v/>
      </c>
      <c r="F1366" s="40"/>
      <c r="G1366" s="41" t="str">
        <f>IFERROR(IF(F1366&gt;=0,D1366*E1366*(1+F1366/100),ABS(D1366*E1366/F1366)),"")</f>
        <v/>
      </c>
      <c r="H1366" s="42" t="str">
        <f>IFERROR(G1366*E1348,"")</f>
        <v/>
      </c>
    </row>
    <row r="1367" spans="1:11" ht="12.75" customHeight="1" thickTop="1" thickBot="1"/>
    <row r="1368" spans="1:11" ht="12.75" customHeight="1" thickTop="1" thickBot="1">
      <c r="A1368" s="6" t="s">
        <v>1504</v>
      </c>
      <c r="B1368" s="7" t="str">
        <f>VLOOKUP($A1368,Presupuesto!$A:$D,2,FALSE())</f>
        <v>Poceta aseo granito pulido</v>
      </c>
      <c r="C1368" s="8" t="str">
        <f>VLOOKUP($A1368,Presupuesto!$A:$D,3,FALSE())</f>
        <v>Un</v>
      </c>
      <c r="D1368" s="9"/>
      <c r="E1368" s="10">
        <f>VLOOKUP($A1368,Presupuesto!$A:$D,4,FALSE())</f>
        <v>0</v>
      </c>
      <c r="F1368" s="11" t="s">
        <v>2589</v>
      </c>
      <c r="G1368" s="12">
        <f>SUM(G1370:G1386)/2</f>
        <v>203504.77884397499</v>
      </c>
      <c r="H1368" s="13">
        <f>ROUND(SUM(H1370:H1386),0)/2</f>
        <v>0</v>
      </c>
      <c r="I1368" s="10">
        <f>VLOOKUP(A1368,Presupuesto!$A:$F,6,0)</f>
        <v>0</v>
      </c>
      <c r="J1368" s="10">
        <f>+H1368-I1368</f>
        <v>0</v>
      </c>
      <c r="K1368" s="46">
        <f>+H1368-G1368*E1368</f>
        <v>0</v>
      </c>
    </row>
    <row r="1369" spans="1:11" ht="12.75" customHeight="1" thickTop="1">
      <c r="A1369" s="14"/>
      <c r="B1369" s="15" t="s">
        <v>2586</v>
      </c>
      <c r="C1369" s="15" t="s">
        <v>5</v>
      </c>
      <c r="D1369" s="16" t="s">
        <v>6</v>
      </c>
      <c r="E1369" s="17" t="s">
        <v>7</v>
      </c>
      <c r="F1369" s="18" t="s">
        <v>3728</v>
      </c>
      <c r="G1369" s="19" t="s">
        <v>3729</v>
      </c>
      <c r="H1369" s="20" t="s">
        <v>3797</v>
      </c>
    </row>
    <row r="1370" spans="1:11" ht="12.75" customHeight="1">
      <c r="A1370" s="21"/>
      <c r="B1370" s="22" t="s">
        <v>3730</v>
      </c>
      <c r="C1370" s="23"/>
      <c r="D1370" s="24"/>
      <c r="E1370" s="25"/>
      <c r="F1370" s="26"/>
      <c r="G1370" s="27">
        <f>SUM(G1371:G1375)</f>
        <v>170493.75</v>
      </c>
      <c r="H1370" s="27">
        <f>IFERROR(G1370*E1368,"")</f>
        <v>0</v>
      </c>
    </row>
    <row r="1371" spans="1:11" ht="12.75" customHeight="1">
      <c r="A1371" s="28"/>
      <c r="B1371" s="29" t="s">
        <v>3800</v>
      </c>
      <c r="C1371" s="30" t="str">
        <f>IFERROR(_xlfn.XLOOKUP(B1371,Insumo[DESCRIPCION],Insumo[UND],,0),"")</f>
        <v>Un</v>
      </c>
      <c r="D1371" s="31">
        <v>1</v>
      </c>
      <c r="E1371" s="32">
        <f>IFERROR(_xlfn.XLOOKUP($B1371,Insumo[DESCRIPCION],Insumo[VALOR],,0),"")</f>
        <v>170493.75</v>
      </c>
      <c r="F1371" s="33"/>
      <c r="G1371" s="34">
        <f>IFERROR(IF(F1371&gt;=0,D1371*E1371*(1+F1371/100),ABS(D1371*E1371/F1371)),"")</f>
        <v>170493.75</v>
      </c>
      <c r="H1371" s="139">
        <f>IFERROR(G1371*E1368,"")</f>
        <v>0</v>
      </c>
    </row>
    <row r="1372" spans="1:11" ht="12.75" customHeight="1">
      <c r="A1372" s="28"/>
      <c r="B1372" s="29"/>
      <c r="C1372" s="30" t="str">
        <f>IFERROR(_xlfn.XLOOKUP(B1372,Insumo[DESCRIPCION],Insumo[UND],,0),"")</f>
        <v/>
      </c>
      <c r="D1372" s="31"/>
      <c r="E1372" s="32" t="str">
        <f>IFERROR(_xlfn.XLOOKUP($B1372,Insumo[DESCRIPCION],Insumo[VALOR],,0),"")</f>
        <v/>
      </c>
      <c r="F1372" s="33"/>
      <c r="G1372" s="34" t="str">
        <f>IFERROR(IF(F1372&gt;=0,D1372*E1372*(1+F1372/100),ABS(D1372*E1372/F1372)),"")</f>
        <v/>
      </c>
      <c r="H1372" s="139" t="str">
        <f>IFERROR(G1372*E1368,"")</f>
        <v/>
      </c>
    </row>
    <row r="1373" spans="1:11" ht="12.75" customHeight="1">
      <c r="A1373" s="28"/>
      <c r="B1373" s="29"/>
      <c r="C1373" s="30" t="str">
        <f>IFERROR(_xlfn.XLOOKUP(B1373,Insumo[DESCRIPCION],Insumo[UND],,0),"")</f>
        <v/>
      </c>
      <c r="D1373" s="31"/>
      <c r="E1373" s="32" t="str">
        <f>IFERROR(_xlfn.XLOOKUP($B1373,Insumo[DESCRIPCION],Insumo[VALOR],,0),"")</f>
        <v/>
      </c>
      <c r="F1373" s="33"/>
      <c r="G1373" s="34" t="str">
        <f>IFERROR(IF(F1373&gt;=0,D1373*E1373*(1+F1373/100),ABS(D1373*E1373/F1373)),"")</f>
        <v/>
      </c>
      <c r="H1373" s="139" t="str">
        <f>IFERROR(G1373*E1368,"")</f>
        <v/>
      </c>
    </row>
    <row r="1374" spans="1:11" ht="12.75" customHeight="1">
      <c r="A1374" s="28"/>
      <c r="B1374" s="29"/>
      <c r="C1374" s="30" t="str">
        <f>IFERROR(_xlfn.XLOOKUP(B1374,Insumo[DESCRIPCION],Insumo[UND],,0),"")</f>
        <v/>
      </c>
      <c r="D1374" s="31"/>
      <c r="E1374" s="32" t="str">
        <f>IFERROR(_xlfn.XLOOKUP($B1374,Insumo[DESCRIPCION],Insumo[VALOR],,0),"")</f>
        <v/>
      </c>
      <c r="F1374" s="33"/>
      <c r="G1374" s="34" t="str">
        <f>IFERROR(IF(F1374&gt;=0,D1374*E1374*(1+F1374/100),ABS(D1374*E1374/F1374)),"")</f>
        <v/>
      </c>
      <c r="H1374" s="139" t="str">
        <f>IFERROR(G1374*E1368,"")</f>
        <v/>
      </c>
    </row>
    <row r="1375" spans="1:11" ht="12.75" customHeight="1">
      <c r="A1375" s="28"/>
      <c r="B1375" s="29"/>
      <c r="C1375" s="30" t="str">
        <f>IFERROR(_xlfn.XLOOKUP(B1375,Insumo[DESCRIPCION],Insumo[UND],,0),"")</f>
        <v/>
      </c>
      <c r="D1375" s="31"/>
      <c r="E1375" s="32" t="str">
        <f>IFERROR(_xlfn.XLOOKUP($B1375,Insumo[DESCRIPCION],Insumo[VALOR],,0),"")</f>
        <v/>
      </c>
      <c r="F1375" s="33"/>
      <c r="G1375" s="34" t="str">
        <f>IFERROR(IF(F1375&gt;=0,D1375*E1375*(1+F1375/100),ABS(D1375*E1375/F1375)),"")</f>
        <v/>
      </c>
      <c r="H1375" s="139" t="str">
        <f>IFERROR(G1375*E1368,"")</f>
        <v/>
      </c>
    </row>
    <row r="1376" spans="1:11" ht="12.75" customHeight="1">
      <c r="A1376" s="21"/>
      <c r="B1376" s="22" t="s">
        <v>3731</v>
      </c>
      <c r="C1376" s="23"/>
      <c r="D1376" s="24"/>
      <c r="E1376" s="25"/>
      <c r="F1376" s="26"/>
      <c r="G1376" s="27">
        <f>SUM(G1377:G1379)</f>
        <v>1571.9537544750003</v>
      </c>
      <c r="H1376" s="27">
        <f>IFERROR(G1376*E1368,"")</f>
        <v>0</v>
      </c>
    </row>
    <row r="1377" spans="1:11" ht="12.75" customHeight="1">
      <c r="A1377" s="28"/>
      <c r="B1377" s="29" t="s">
        <v>3626</v>
      </c>
      <c r="C1377" s="30" t="str">
        <f>IFERROR(_xlfn.XLOOKUP(B1377,Equipo[DESCRIPCION],Equipo[UND],,0),"")</f>
        <v>%MO</v>
      </c>
      <c r="D1377" s="31">
        <v>0.05</v>
      </c>
      <c r="E1377" s="32">
        <f>IF(C1377="%MO",G1383,IFERROR(_xlfn.XLOOKUP($B1377,Equipo[DESCRIPCION],Equipo[VALOR],,0),""))</f>
        <v>31439.075089500006</v>
      </c>
      <c r="F1377" s="33"/>
      <c r="G1377" s="34">
        <f>IFERROR(IF(F1377&gt;=0,D1377*E1377*(1+F1377/100),ABS(D1377*E1377/F1377)),"")</f>
        <v>1571.9537544750003</v>
      </c>
      <c r="H1377" s="139">
        <f>IFERROR(G1377*E1368,"")</f>
        <v>0</v>
      </c>
    </row>
    <row r="1378" spans="1:11" ht="12.75" customHeight="1">
      <c r="A1378" s="28"/>
      <c r="B1378" s="29"/>
      <c r="C1378" s="30" t="str">
        <f>IFERROR(_xlfn.XLOOKUP(B1378,Equipo[DESCRIPCION],Equipo[UND],,0),"")</f>
        <v/>
      </c>
      <c r="D1378" s="31"/>
      <c r="E1378" s="32" t="str">
        <f>IF(C1378="%MO",G1383,IFERROR(_xlfn.XLOOKUP($B1378,Equipo[DESCRIPCION],Equipo[VALOR],,0),""))</f>
        <v/>
      </c>
      <c r="F1378" s="33"/>
      <c r="G1378" s="34" t="str">
        <f>IFERROR(IF(F1378&gt;=0,D1378*E1378*(1+F1378/100),ABS(D1378*E1378/F1378)),"")</f>
        <v/>
      </c>
      <c r="H1378" s="139" t="str">
        <f>IFERROR(G1378*E1368,"")</f>
        <v/>
      </c>
    </row>
    <row r="1379" spans="1:11" ht="12.75" customHeight="1">
      <c r="A1379" s="28"/>
      <c r="B1379" s="29"/>
      <c r="C1379" s="30" t="str">
        <f>IFERROR(_xlfn.XLOOKUP(B1379,Equipo[DESCRIPCION],Equipo[UND],,0),"")</f>
        <v/>
      </c>
      <c r="D1379" s="31"/>
      <c r="E1379" s="32" t="str">
        <f>IF(C1379="%MO",G1383,IFERROR(_xlfn.XLOOKUP($B1379,Equipo[DESCRIPCION],Equipo[VALOR],,0),""))</f>
        <v/>
      </c>
      <c r="F1379" s="33"/>
      <c r="G1379" s="34" t="str">
        <f>IFERROR(IF(F1379&gt;=0,D1379*E1379*(1+F1379/100),ABS(D1379*E1379/F1379)),"")</f>
        <v/>
      </c>
      <c r="H1379" s="139" t="str">
        <f>IFERROR(G1379*E1368,"")</f>
        <v/>
      </c>
    </row>
    <row r="1380" spans="1:11" ht="12.75" customHeight="1">
      <c r="A1380" s="21"/>
      <c r="B1380" s="22" t="s">
        <v>2533</v>
      </c>
      <c r="C1380" s="23"/>
      <c r="D1380" s="24"/>
      <c r="E1380" s="25"/>
      <c r="F1380" s="26"/>
      <c r="G1380" s="27">
        <f>SUM(G1381:G1382)</f>
        <v>0</v>
      </c>
      <c r="H1380" s="27">
        <f>IFERROR(G1380*E1368,"")</f>
        <v>0</v>
      </c>
    </row>
    <row r="1381" spans="1:11" ht="12.75" customHeight="1">
      <c r="A1381" s="28"/>
      <c r="B1381" s="29"/>
      <c r="C1381" s="30" t="str">
        <f>IFERROR(_xlfn.XLOOKUP(B1381,Transporte[DESCRIPCION],Transporte[UND],,0),"")</f>
        <v/>
      </c>
      <c r="D1381" s="31"/>
      <c r="E1381" s="32" t="str">
        <f>IFERROR(_xlfn.XLOOKUP($B1381,Transporte[DESCRIPCION],Transporte[VALOR],,0),"")</f>
        <v/>
      </c>
      <c r="F1381" s="33"/>
      <c r="G1381" s="34" t="str">
        <f>IFERROR(IF(F1381&gt;=0,D1381*E1381*(1+F1381/100),ABS(D1381*E1381/F1381)),"")</f>
        <v/>
      </c>
      <c r="H1381" s="139" t="str">
        <f>IFERROR(G1381*E1368,"")</f>
        <v/>
      </c>
    </row>
    <row r="1382" spans="1:11" ht="12.75" customHeight="1">
      <c r="A1382" s="28"/>
      <c r="B1382" s="29"/>
      <c r="C1382" s="30" t="str">
        <f>IFERROR(_xlfn.XLOOKUP(B1382,Transporte[DESCRIPCION],Transporte[UND],,0),"")</f>
        <v/>
      </c>
      <c r="D1382" s="31"/>
      <c r="E1382" s="32" t="str">
        <f>IFERROR(_xlfn.XLOOKUP($B1382,Transporte[DESCRIPCION],Transporte[VALOR],,0),"")</f>
        <v/>
      </c>
      <c r="F1382" s="33"/>
      <c r="G1382" s="34" t="str">
        <f>IFERROR(IF(F1382&gt;=0,D1382*E1382*(1+F1382/100),ABS(D1382*E1382/F1382)),"")</f>
        <v/>
      </c>
      <c r="H1382" s="139" t="str">
        <f>IFERROR(G1382*E1368,"")</f>
        <v/>
      </c>
    </row>
    <row r="1383" spans="1:11" ht="12.75" customHeight="1">
      <c r="A1383" s="21"/>
      <c r="B1383" s="22" t="s">
        <v>3732</v>
      </c>
      <c r="C1383" s="23"/>
      <c r="D1383" s="24"/>
      <c r="E1383" s="25"/>
      <c r="F1383" s="26"/>
      <c r="G1383" s="27">
        <f>SUM(G1384:G1386)</f>
        <v>31439.075089500006</v>
      </c>
      <c r="H1383" s="27">
        <f>IFERROR(G1383*E1368,"")</f>
        <v>0</v>
      </c>
    </row>
    <row r="1384" spans="1:11" ht="12.75" customHeight="1">
      <c r="A1384" s="28"/>
      <c r="B1384" s="29" t="s">
        <v>3710</v>
      </c>
      <c r="C1384" s="30" t="str">
        <f>IFERROR(_xlfn.XLOOKUP(B1384,MObra[DESCRIPCION],MObra[UN],,0),"")</f>
        <v>día</v>
      </c>
      <c r="D1384" s="31">
        <v>1</v>
      </c>
      <c r="E1384" s="32">
        <f>IFERROR(_xlfn.XLOOKUP($B1384,MObra[DESCRIPCION],MObra[VALOR UNIT],,0),"")</f>
        <v>314390.75089500006</v>
      </c>
      <c r="F1384" s="33">
        <v>-10</v>
      </c>
      <c r="G1384" s="34">
        <f>IFERROR(IF(F1384&gt;=0,D1384*E1384*(1+F1384/100),ABS(D1384*E1384/F1384)),"")</f>
        <v>31439.075089500006</v>
      </c>
      <c r="H1384" s="139">
        <f>IFERROR(G1384*E1368,"")</f>
        <v>0</v>
      </c>
    </row>
    <row r="1385" spans="1:11" ht="12.75" customHeight="1">
      <c r="A1385" s="28"/>
      <c r="B1385" s="29"/>
      <c r="C1385" s="30" t="str">
        <f>IFERROR(_xlfn.XLOOKUP(B1385,MObra[DESCRIPCION],MObra[UN],,0),"")</f>
        <v/>
      </c>
      <c r="D1385" s="31"/>
      <c r="E1385" s="32" t="str">
        <f>IFERROR(_xlfn.XLOOKUP($B1385,MObra[DESCRIPCION],MObra[VALOR UNIT],,0),"")</f>
        <v/>
      </c>
      <c r="F1385" s="33"/>
      <c r="G1385" s="34" t="str">
        <f>IFERROR(IF(F1385&gt;=0,D1385*E1385*(1+F1385/100),ABS(D1385*E1385/F1385)),"")</f>
        <v/>
      </c>
      <c r="H1385" s="139" t="str">
        <f>IFERROR(G1385*E1368,"")</f>
        <v/>
      </c>
    </row>
    <row r="1386" spans="1:11" ht="12.75" customHeight="1" thickBot="1">
      <c r="A1386" s="35"/>
      <c r="B1386" s="36"/>
      <c r="C1386" s="37" t="str">
        <f>IFERROR(_xlfn.XLOOKUP(B1386,MObra[DESCRIPCION],MObra[UN],,0),"")</f>
        <v/>
      </c>
      <c r="D1386" s="38"/>
      <c r="E1386" s="39" t="str">
        <f>IFERROR(_xlfn.XLOOKUP($B1386,MObra[DESCRIPCION],MObra[VALOR UNIT],,0),"")</f>
        <v/>
      </c>
      <c r="F1386" s="40"/>
      <c r="G1386" s="41" t="str">
        <f>IFERROR(IF(F1386&gt;=0,D1386*E1386*(1+F1386/100),ABS(D1386*E1386/F1386)),"")</f>
        <v/>
      </c>
      <c r="H1386" s="42" t="str">
        <f>IFERROR(G1386*E1368,"")</f>
        <v/>
      </c>
    </row>
    <row r="1387" spans="1:11" ht="12.75" customHeight="1" thickTop="1" thickBot="1"/>
    <row r="1388" spans="1:11" ht="12.75" customHeight="1" thickTop="1" thickBot="1">
      <c r="A1388" s="6" t="s">
        <v>1506</v>
      </c>
      <c r="B1388" s="7" t="str">
        <f>VLOOKUP($A1388,Presupuesto!$A:$D,2,FALSE())</f>
        <v>Poceta aseo granito pulido corrido</v>
      </c>
      <c r="C1388" s="8" t="str">
        <f>VLOOKUP($A1388,Presupuesto!$A:$D,3,FALSE())</f>
        <v>M</v>
      </c>
      <c r="D1388" s="9"/>
      <c r="E1388" s="10">
        <f>VLOOKUP($A1388,Presupuesto!$A:$D,4,FALSE())</f>
        <v>0</v>
      </c>
      <c r="F1388" s="11" t="s">
        <v>2589</v>
      </c>
      <c r="G1388" s="12">
        <f>SUM(G1390:G1406)/2</f>
        <v>254581.51281325007</v>
      </c>
      <c r="H1388" s="13">
        <f>ROUND(SUM(H1390:H1406),0)/2</f>
        <v>0</v>
      </c>
      <c r="I1388" s="10">
        <f>VLOOKUP(A1388,Presupuesto!$A:$F,6,0)</f>
        <v>0</v>
      </c>
      <c r="J1388" s="10">
        <f>+H1388-I1388</f>
        <v>0</v>
      </c>
      <c r="K1388" s="46">
        <f>+H1388-G1388*E1388</f>
        <v>0</v>
      </c>
    </row>
    <row r="1389" spans="1:11" ht="12.75" customHeight="1" thickTop="1">
      <c r="A1389" s="14"/>
      <c r="B1389" s="15" t="s">
        <v>2586</v>
      </c>
      <c r="C1389" s="15" t="s">
        <v>5</v>
      </c>
      <c r="D1389" s="16" t="s">
        <v>6</v>
      </c>
      <c r="E1389" s="17" t="s">
        <v>7</v>
      </c>
      <c r="F1389" s="18" t="s">
        <v>3728</v>
      </c>
      <c r="G1389" s="19" t="s">
        <v>3729</v>
      </c>
      <c r="H1389" s="20" t="s">
        <v>3797</v>
      </c>
    </row>
    <row r="1390" spans="1:11" ht="12.75" customHeight="1">
      <c r="A1390" s="21"/>
      <c r="B1390" s="22" t="s">
        <v>3730</v>
      </c>
      <c r="C1390" s="23"/>
      <c r="D1390" s="24"/>
      <c r="E1390" s="25"/>
      <c r="F1390" s="26"/>
      <c r="G1390" s="27">
        <f>SUM(G1391:G1395)</f>
        <v>135381.75</v>
      </c>
      <c r="H1390" s="27">
        <f>IFERROR(G1390*E1388,"")</f>
        <v>0</v>
      </c>
    </row>
    <row r="1391" spans="1:11" ht="12.75" customHeight="1">
      <c r="A1391" s="28"/>
      <c r="B1391" s="29" t="s">
        <v>2823</v>
      </c>
      <c r="C1391" s="30" t="str">
        <f>IFERROR(_xlfn.XLOOKUP(B1391,Insumo[DESCRIPCION],Insumo[UND],,0),"")</f>
        <v>Kg</v>
      </c>
      <c r="D1391" s="31">
        <v>4</v>
      </c>
      <c r="E1391" s="32">
        <f>IFERROR(_xlfn.XLOOKUP($B1391,Insumo[DESCRIPCION],Insumo[VALOR],,0),"")</f>
        <v>1680</v>
      </c>
      <c r="F1391" s="33"/>
      <c r="G1391" s="34">
        <f>IFERROR(IF(F1391&gt;=0,D1391*E1391*(1+F1391/100),ABS(D1391*E1391/F1391)),"")</f>
        <v>6720</v>
      </c>
      <c r="H1391" s="139">
        <f>IFERROR(G1391*E1388,"")</f>
        <v>0</v>
      </c>
    </row>
    <row r="1392" spans="1:11" ht="12.75" customHeight="1">
      <c r="A1392" s="28"/>
      <c r="B1392" s="29" t="s">
        <v>2979</v>
      </c>
      <c r="C1392" s="30" t="str">
        <f>IFERROR(_xlfn.XLOOKUP(B1392,Insumo[DESCRIPCION],Insumo[UND],,0),"")</f>
        <v>Un</v>
      </c>
      <c r="D1392" s="31">
        <v>3</v>
      </c>
      <c r="E1392" s="32">
        <f>IFERROR(_xlfn.XLOOKUP($B1392,Insumo[DESCRIPCION],Insumo[VALOR],,0),"")</f>
        <v>39667.950000000004</v>
      </c>
      <c r="F1392" s="33"/>
      <c r="G1392" s="34">
        <f>IFERROR(IF(F1392&gt;=0,D1392*E1392*(1+F1392/100),ABS(D1392*E1392/F1392)),"")</f>
        <v>119003.85</v>
      </c>
      <c r="H1392" s="139">
        <f>IFERROR(G1392*E1388,"")</f>
        <v>0</v>
      </c>
    </row>
    <row r="1393" spans="1:11" ht="12.75" customHeight="1">
      <c r="A1393" s="28"/>
      <c r="B1393" s="29" t="s">
        <v>2825</v>
      </c>
      <c r="C1393" s="30" t="str">
        <f>IFERROR(_xlfn.XLOOKUP(B1393,Insumo[DESCRIPCION],Insumo[UND],,0),"")</f>
        <v>Lb</v>
      </c>
      <c r="D1393" s="31">
        <v>1</v>
      </c>
      <c r="E1393" s="32">
        <f>IFERROR(_xlfn.XLOOKUP($B1393,Insumo[DESCRIPCION],Insumo[VALOR],,0),"")</f>
        <v>9657.9</v>
      </c>
      <c r="F1393" s="33"/>
      <c r="G1393" s="34">
        <f>IFERROR(IF(F1393&gt;=0,D1393*E1393*(1+F1393/100),ABS(D1393*E1393/F1393)),"")</f>
        <v>9657.9</v>
      </c>
      <c r="H1393" s="139">
        <f>IFERROR(G1393*E1388,"")</f>
        <v>0</v>
      </c>
    </row>
    <row r="1394" spans="1:11" ht="12.75" customHeight="1">
      <c r="A1394" s="28"/>
      <c r="B1394" s="29"/>
      <c r="C1394" s="30" t="str">
        <f>IFERROR(_xlfn.XLOOKUP(B1394,Insumo[DESCRIPCION],Insumo[UND],,0),"")</f>
        <v/>
      </c>
      <c r="D1394" s="31"/>
      <c r="E1394" s="32" t="str">
        <f>IFERROR(_xlfn.XLOOKUP($B1394,Insumo[DESCRIPCION],Insumo[VALOR],,0),"")</f>
        <v/>
      </c>
      <c r="F1394" s="33"/>
      <c r="G1394" s="34" t="str">
        <f>IFERROR(IF(F1394&gt;=0,D1394*E1394*(1+F1394/100),ABS(D1394*E1394/F1394)),"")</f>
        <v/>
      </c>
      <c r="H1394" s="139" t="str">
        <f>IFERROR(G1394*E1388,"")</f>
        <v/>
      </c>
    </row>
    <row r="1395" spans="1:11" ht="12.75" customHeight="1">
      <c r="A1395" s="28"/>
      <c r="B1395" s="29"/>
      <c r="C1395" s="30" t="str">
        <f>IFERROR(_xlfn.XLOOKUP(B1395,Insumo[DESCRIPCION],Insumo[UND],,0),"")</f>
        <v/>
      </c>
      <c r="D1395" s="31"/>
      <c r="E1395" s="32" t="str">
        <f>IFERROR(_xlfn.XLOOKUP($B1395,Insumo[DESCRIPCION],Insumo[VALOR],,0),"")</f>
        <v/>
      </c>
      <c r="F1395" s="33"/>
      <c r="G1395" s="34" t="str">
        <f>IFERROR(IF(F1395&gt;=0,D1395*E1395*(1+F1395/100),ABS(D1395*E1395/F1395)),"")</f>
        <v/>
      </c>
      <c r="H1395" s="139" t="str">
        <f>IFERROR(G1395*E1388,"")</f>
        <v/>
      </c>
    </row>
    <row r="1396" spans="1:11" ht="12.75" customHeight="1">
      <c r="A1396" s="21"/>
      <c r="B1396" s="22" t="s">
        <v>3731</v>
      </c>
      <c r="C1396" s="23"/>
      <c r="D1396" s="24"/>
      <c r="E1396" s="25"/>
      <c r="F1396" s="26"/>
      <c r="G1396" s="27">
        <f>SUM(G1397:G1399)</f>
        <v>14402.845848250003</v>
      </c>
      <c r="H1396" s="27">
        <f>IFERROR(G1396*E1388,"")</f>
        <v>0</v>
      </c>
    </row>
    <row r="1397" spans="1:11" ht="12.75" customHeight="1">
      <c r="A1397" s="28"/>
      <c r="B1397" s="29" t="s">
        <v>3642</v>
      </c>
      <c r="C1397" s="30" t="str">
        <f>IFERROR(_xlfn.XLOOKUP(B1397,Equipo[DESCRIPCION],Equipo[UND],,0),"")</f>
        <v>Día</v>
      </c>
      <c r="D1397" s="31">
        <v>1</v>
      </c>
      <c r="E1397" s="32">
        <f>IF(C1397="%MO",G1403,IFERROR(_xlfn.XLOOKUP($B1397,Equipo[DESCRIPCION],Equipo[VALOR],,0),""))</f>
        <v>54978</v>
      </c>
      <c r="F1397" s="33">
        <v>-6</v>
      </c>
      <c r="G1397" s="34">
        <f>IFERROR(IF(F1397&gt;=0,D1397*E1397*(1+F1397/100),ABS(D1397*E1397/F1397)),"")</f>
        <v>9163</v>
      </c>
      <c r="H1397" s="139">
        <f>IFERROR(G1397*E1388,"")</f>
        <v>0</v>
      </c>
    </row>
    <row r="1398" spans="1:11" ht="12.75" customHeight="1">
      <c r="A1398" s="28"/>
      <c r="B1398" s="29" t="s">
        <v>3626</v>
      </c>
      <c r="C1398" s="30" t="str">
        <f>IFERROR(_xlfn.XLOOKUP(B1398,Equipo[DESCRIPCION],Equipo[UND],,0),"")</f>
        <v>%MO</v>
      </c>
      <c r="D1398" s="31">
        <v>0.05</v>
      </c>
      <c r="E1398" s="32">
        <f>IF(C1398="%MO",G1403,IFERROR(_xlfn.XLOOKUP($B1398,Equipo[DESCRIPCION],Equipo[VALOR],,0),""))</f>
        <v>104796.91696500003</v>
      </c>
      <c r="F1398" s="33"/>
      <c r="G1398" s="34">
        <f>IFERROR(IF(F1398&gt;=0,D1398*E1398*(1+F1398/100),ABS(D1398*E1398/F1398)),"")</f>
        <v>5239.8458482500018</v>
      </c>
      <c r="H1398" s="139">
        <f>IFERROR(G1398*E1388,"")</f>
        <v>0</v>
      </c>
    </row>
    <row r="1399" spans="1:11" ht="12.75" customHeight="1">
      <c r="A1399" s="28"/>
      <c r="B1399" s="29"/>
      <c r="C1399" s="30" t="str">
        <f>IFERROR(_xlfn.XLOOKUP(B1399,Equipo[DESCRIPCION],Equipo[UND],,0),"")</f>
        <v/>
      </c>
      <c r="D1399" s="31"/>
      <c r="E1399" s="32" t="str">
        <f>IF(C1399="%MO",G1403,IFERROR(_xlfn.XLOOKUP($B1399,Equipo[DESCRIPCION],Equipo[VALOR],,0),""))</f>
        <v/>
      </c>
      <c r="F1399" s="33"/>
      <c r="G1399" s="34" t="str">
        <f>IFERROR(IF(F1399&gt;=0,D1399*E1399*(1+F1399/100),ABS(D1399*E1399/F1399)),"")</f>
        <v/>
      </c>
      <c r="H1399" s="139" t="str">
        <f>IFERROR(G1399*E1388,"")</f>
        <v/>
      </c>
    </row>
    <row r="1400" spans="1:11" ht="12.75" customHeight="1">
      <c r="A1400" s="21"/>
      <c r="B1400" s="22" t="s">
        <v>2533</v>
      </c>
      <c r="C1400" s="23"/>
      <c r="D1400" s="24"/>
      <c r="E1400" s="25"/>
      <c r="F1400" s="26"/>
      <c r="G1400" s="27">
        <f>SUM(G1401:G1402)</f>
        <v>0</v>
      </c>
      <c r="H1400" s="27">
        <f>IFERROR(G1400*E1388,"")</f>
        <v>0</v>
      </c>
    </row>
    <row r="1401" spans="1:11" ht="12.75" customHeight="1">
      <c r="A1401" s="28"/>
      <c r="B1401" s="29"/>
      <c r="C1401" s="30" t="str">
        <f>IFERROR(_xlfn.XLOOKUP(B1401,Transporte[DESCRIPCION],Transporte[UND],,0),"")</f>
        <v/>
      </c>
      <c r="D1401" s="31"/>
      <c r="E1401" s="32" t="str">
        <f>IFERROR(_xlfn.XLOOKUP($B1401,Transporte[DESCRIPCION],Transporte[VALOR],,0),"")</f>
        <v/>
      </c>
      <c r="F1401" s="33"/>
      <c r="G1401" s="34" t="str">
        <f>IFERROR(IF(F1401&gt;=0,D1401*E1401*(1+F1401/100),ABS(D1401*E1401/F1401)),"")</f>
        <v/>
      </c>
      <c r="H1401" s="139" t="str">
        <f>IFERROR(G1401*E1388,"")</f>
        <v/>
      </c>
    </row>
    <row r="1402" spans="1:11" ht="12.75" customHeight="1">
      <c r="A1402" s="28"/>
      <c r="B1402" s="29"/>
      <c r="C1402" s="30" t="str">
        <f>IFERROR(_xlfn.XLOOKUP(B1402,Transporte[DESCRIPCION],Transporte[UND],,0),"")</f>
        <v/>
      </c>
      <c r="D1402" s="31"/>
      <c r="E1402" s="32" t="str">
        <f>IFERROR(_xlfn.XLOOKUP($B1402,Transporte[DESCRIPCION],Transporte[VALOR],,0),"")</f>
        <v/>
      </c>
      <c r="F1402" s="33"/>
      <c r="G1402" s="34" t="str">
        <f>IFERROR(IF(F1402&gt;=0,D1402*E1402*(1+F1402/100),ABS(D1402*E1402/F1402)),"")</f>
        <v/>
      </c>
      <c r="H1402" s="139" t="str">
        <f>IFERROR(G1402*E1388,"")</f>
        <v/>
      </c>
    </row>
    <row r="1403" spans="1:11" ht="12.75" customHeight="1">
      <c r="A1403" s="21"/>
      <c r="B1403" s="22" t="s">
        <v>3732</v>
      </c>
      <c r="C1403" s="23"/>
      <c r="D1403" s="24"/>
      <c r="E1403" s="25"/>
      <c r="F1403" s="26"/>
      <c r="G1403" s="27">
        <f>SUM(G1404:G1406)</f>
        <v>104796.91696500003</v>
      </c>
      <c r="H1403" s="27">
        <f>IFERROR(G1403*E1388,"")</f>
        <v>0</v>
      </c>
    </row>
    <row r="1404" spans="1:11" ht="12.75" customHeight="1">
      <c r="A1404" s="28"/>
      <c r="B1404" s="29" t="s">
        <v>3710</v>
      </c>
      <c r="C1404" s="30" t="str">
        <f>IFERROR(_xlfn.XLOOKUP(B1404,MObra[DESCRIPCION],MObra[UN],,0),"")</f>
        <v>día</v>
      </c>
      <c r="D1404" s="31">
        <v>1</v>
      </c>
      <c r="E1404" s="32">
        <f>IFERROR(_xlfn.XLOOKUP($B1404,MObra[DESCRIPCION],MObra[VALOR UNIT],,0),"")</f>
        <v>314390.75089500006</v>
      </c>
      <c r="F1404" s="33">
        <v>-3</v>
      </c>
      <c r="G1404" s="34">
        <f>IFERROR(IF(F1404&gt;=0,D1404*E1404*(1+F1404/100),ABS(D1404*E1404/F1404)),"")</f>
        <v>104796.91696500003</v>
      </c>
      <c r="H1404" s="139">
        <f>IFERROR(G1404*E1388,"")</f>
        <v>0</v>
      </c>
    </row>
    <row r="1405" spans="1:11" ht="12.75" customHeight="1">
      <c r="A1405" s="28"/>
      <c r="B1405" s="29"/>
      <c r="C1405" s="30" t="str">
        <f>IFERROR(_xlfn.XLOOKUP(B1405,MObra[DESCRIPCION],MObra[UN],,0),"")</f>
        <v/>
      </c>
      <c r="D1405" s="31"/>
      <c r="E1405" s="32" t="str">
        <f>IFERROR(_xlfn.XLOOKUP($B1405,MObra[DESCRIPCION],MObra[VALOR UNIT],,0),"")</f>
        <v/>
      </c>
      <c r="F1405" s="33"/>
      <c r="G1405" s="34" t="str">
        <f>IFERROR(IF(F1405&gt;=0,D1405*E1405*(1+F1405/100),ABS(D1405*E1405/F1405)),"")</f>
        <v/>
      </c>
      <c r="H1405" s="139" t="str">
        <f>IFERROR(G1405*E1388,"")</f>
        <v/>
      </c>
    </row>
    <row r="1406" spans="1:11" ht="12.75" customHeight="1" thickBot="1">
      <c r="A1406" s="35"/>
      <c r="B1406" s="36"/>
      <c r="C1406" s="37" t="str">
        <f>IFERROR(_xlfn.XLOOKUP(B1406,MObra[DESCRIPCION],MObra[UN],,0),"")</f>
        <v/>
      </c>
      <c r="D1406" s="38"/>
      <c r="E1406" s="39" t="str">
        <f>IFERROR(_xlfn.XLOOKUP($B1406,MObra[DESCRIPCION],MObra[VALOR UNIT],,0),"")</f>
        <v/>
      </c>
      <c r="F1406" s="40"/>
      <c r="G1406" s="41" t="str">
        <f>IFERROR(IF(F1406&gt;=0,D1406*E1406*(1+F1406/100),ABS(D1406*E1406/F1406)),"")</f>
        <v/>
      </c>
      <c r="H1406" s="42" t="str">
        <f>IFERROR(G1406*E1388,"")</f>
        <v/>
      </c>
    </row>
    <row r="1407" spans="1:11" ht="12.75" customHeight="1" thickTop="1" thickBot="1"/>
    <row r="1408" spans="1:11" ht="12.75" customHeight="1" thickTop="1" thickBot="1">
      <c r="A1408" s="6" t="s">
        <v>1508</v>
      </c>
      <c r="B1408" s="7" t="str">
        <f>VLOOKUP($A1408,Presupuesto!$A:$D,2,FALSE())</f>
        <v>Poceta mesón granito pulido</v>
      </c>
      <c r="C1408" s="8" t="str">
        <f>VLOOKUP($A1408,Presupuesto!$A:$D,3,FALSE())</f>
        <v>Un</v>
      </c>
      <c r="D1408" s="9"/>
      <c r="E1408" s="10">
        <f>VLOOKUP($A1408,Presupuesto!$A:$D,4,FALSE())</f>
        <v>0</v>
      </c>
      <c r="F1408" s="11" t="s">
        <v>2589</v>
      </c>
      <c r="G1408" s="12">
        <f>SUM(G1410:G1426)/2</f>
        <v>147157.38354216667</v>
      </c>
      <c r="H1408" s="13">
        <f>ROUND(SUM(H1410:H1426),0)/2</f>
        <v>0</v>
      </c>
      <c r="I1408" s="10">
        <f>VLOOKUP(A1408,Presupuesto!$A:$F,6,0)</f>
        <v>0</v>
      </c>
      <c r="J1408" s="10">
        <f>+H1408-I1408</f>
        <v>0</v>
      </c>
      <c r="K1408" s="46">
        <f>+H1408-G1408*E1408</f>
        <v>0</v>
      </c>
    </row>
    <row r="1409" spans="1:8" ht="12.75" customHeight="1" thickTop="1">
      <c r="A1409" s="14"/>
      <c r="B1409" s="15" t="s">
        <v>2586</v>
      </c>
      <c r="C1409" s="15" t="s">
        <v>5</v>
      </c>
      <c r="D1409" s="16" t="s">
        <v>6</v>
      </c>
      <c r="E1409" s="17" t="s">
        <v>7</v>
      </c>
      <c r="F1409" s="18" t="s">
        <v>3728</v>
      </c>
      <c r="G1409" s="19" t="s">
        <v>3729</v>
      </c>
      <c r="H1409" s="20" t="s">
        <v>3797</v>
      </c>
    </row>
    <row r="1410" spans="1:8" ht="12.75" customHeight="1">
      <c r="A1410" s="21"/>
      <c r="B1410" s="22" t="s">
        <v>3730</v>
      </c>
      <c r="C1410" s="23"/>
      <c r="D1410" s="24"/>
      <c r="E1410" s="25"/>
      <c r="F1410" s="26"/>
      <c r="G1410" s="27">
        <f>SUM(G1411:G1415)</f>
        <v>67690.875</v>
      </c>
      <c r="H1410" s="27">
        <f>IFERROR(G1410*E1408,"")</f>
        <v>0</v>
      </c>
    </row>
    <row r="1411" spans="1:8" ht="12.75" customHeight="1">
      <c r="A1411" s="28"/>
      <c r="B1411" s="29" t="s">
        <v>2823</v>
      </c>
      <c r="C1411" s="30" t="str">
        <f>IFERROR(_xlfn.XLOOKUP(B1411,Insumo[DESCRIPCION],Insumo[UND],,0),"")</f>
        <v>Kg</v>
      </c>
      <c r="D1411" s="31">
        <v>2</v>
      </c>
      <c r="E1411" s="32">
        <f>IFERROR(_xlfn.XLOOKUP($B1411,Insumo[DESCRIPCION],Insumo[VALOR],,0),"")</f>
        <v>1680</v>
      </c>
      <c r="F1411" s="33"/>
      <c r="G1411" s="34">
        <f>IFERROR(IF(F1411&gt;=0,D1411*E1411*(1+F1411/100),ABS(D1411*E1411/F1411)),"")</f>
        <v>3360</v>
      </c>
      <c r="H1411" s="139">
        <f>IFERROR(G1411*E1408,"")</f>
        <v>0</v>
      </c>
    </row>
    <row r="1412" spans="1:8" ht="12.75" customHeight="1">
      <c r="A1412" s="28"/>
      <c r="B1412" s="29" t="s">
        <v>2979</v>
      </c>
      <c r="C1412" s="30" t="str">
        <f>IFERROR(_xlfn.XLOOKUP(B1412,Insumo[DESCRIPCION],Insumo[UND],,0),"")</f>
        <v>Un</v>
      </c>
      <c r="D1412" s="31">
        <v>1.5</v>
      </c>
      <c r="E1412" s="32">
        <f>IFERROR(_xlfn.XLOOKUP($B1412,Insumo[DESCRIPCION],Insumo[VALOR],,0),"")</f>
        <v>39667.950000000004</v>
      </c>
      <c r="F1412" s="33"/>
      <c r="G1412" s="34">
        <f>IFERROR(IF(F1412&gt;=0,D1412*E1412*(1+F1412/100),ABS(D1412*E1412/F1412)),"")</f>
        <v>59501.925000000003</v>
      </c>
      <c r="H1412" s="139">
        <f>IFERROR(G1412*E1408,"")</f>
        <v>0</v>
      </c>
    </row>
    <row r="1413" spans="1:8" ht="12.75" customHeight="1">
      <c r="A1413" s="28"/>
      <c r="B1413" s="29" t="s">
        <v>2825</v>
      </c>
      <c r="C1413" s="30" t="str">
        <f>IFERROR(_xlfn.XLOOKUP(B1413,Insumo[DESCRIPCION],Insumo[UND],,0),"")</f>
        <v>Lb</v>
      </c>
      <c r="D1413" s="31">
        <v>0.5</v>
      </c>
      <c r="E1413" s="32">
        <f>IFERROR(_xlfn.XLOOKUP($B1413,Insumo[DESCRIPCION],Insumo[VALOR],,0),"")</f>
        <v>9657.9</v>
      </c>
      <c r="F1413" s="33"/>
      <c r="G1413" s="34">
        <f>IFERROR(IF(F1413&gt;=0,D1413*E1413*(1+F1413/100),ABS(D1413*E1413/F1413)),"")</f>
        <v>4828.95</v>
      </c>
      <c r="H1413" s="139">
        <f>IFERROR(G1413*E1408,"")</f>
        <v>0</v>
      </c>
    </row>
    <row r="1414" spans="1:8" ht="12.75" customHeight="1">
      <c r="A1414" s="28"/>
      <c r="B1414" s="29"/>
      <c r="C1414" s="30" t="str">
        <f>IFERROR(_xlfn.XLOOKUP(B1414,Insumo[DESCRIPCION],Insumo[UND],,0),"")</f>
        <v/>
      </c>
      <c r="D1414" s="31"/>
      <c r="E1414" s="32" t="str">
        <f>IFERROR(_xlfn.XLOOKUP($B1414,Insumo[DESCRIPCION],Insumo[VALOR],,0),"")</f>
        <v/>
      </c>
      <c r="F1414" s="33"/>
      <c r="G1414" s="34" t="str">
        <f>IFERROR(IF(F1414&gt;=0,D1414*E1414*(1+F1414/100),ABS(D1414*E1414/F1414)),"")</f>
        <v/>
      </c>
      <c r="H1414" s="139" t="str">
        <f>IFERROR(G1414*E1408,"")</f>
        <v/>
      </c>
    </row>
    <row r="1415" spans="1:8" ht="12.75" customHeight="1">
      <c r="A1415" s="28"/>
      <c r="B1415" s="29"/>
      <c r="C1415" s="30" t="str">
        <f>IFERROR(_xlfn.XLOOKUP(B1415,Insumo[DESCRIPCION],Insumo[UND],,0),"")</f>
        <v/>
      </c>
      <c r="D1415" s="31"/>
      <c r="E1415" s="32" t="str">
        <f>IFERROR(_xlfn.XLOOKUP($B1415,Insumo[DESCRIPCION],Insumo[VALOR],,0),"")</f>
        <v/>
      </c>
      <c r="F1415" s="33"/>
      <c r="G1415" s="34" t="str">
        <f>IFERROR(IF(F1415&gt;=0,D1415*E1415*(1+F1415/100),ABS(D1415*E1415/F1415)),"")</f>
        <v/>
      </c>
      <c r="H1415" s="139" t="str">
        <f>IFERROR(G1415*E1408,"")</f>
        <v/>
      </c>
    </row>
    <row r="1416" spans="1:8" ht="12.75" customHeight="1">
      <c r="A1416" s="21"/>
      <c r="B1416" s="22" t="s">
        <v>3731</v>
      </c>
      <c r="C1416" s="23"/>
      <c r="D1416" s="24"/>
      <c r="E1416" s="25"/>
      <c r="F1416" s="26"/>
      <c r="G1416" s="27">
        <f>SUM(G1417:G1419)</f>
        <v>9601.8972321666679</v>
      </c>
      <c r="H1416" s="27">
        <f>IFERROR(G1416*E1408,"")</f>
        <v>0</v>
      </c>
    </row>
    <row r="1417" spans="1:8" ht="12.75" customHeight="1">
      <c r="A1417" s="28"/>
      <c r="B1417" s="29" t="s">
        <v>3642</v>
      </c>
      <c r="C1417" s="30" t="str">
        <f>IFERROR(_xlfn.XLOOKUP(B1417,Equipo[DESCRIPCION],Equipo[UND],,0),"")</f>
        <v>Día</v>
      </c>
      <c r="D1417" s="31">
        <v>1</v>
      </c>
      <c r="E1417" s="32">
        <f>IF(C1417="%MO",G1423,IFERROR(_xlfn.XLOOKUP($B1417,Equipo[DESCRIPCION],Equipo[VALOR],,0),""))</f>
        <v>54978</v>
      </c>
      <c r="F1417" s="33">
        <v>-9</v>
      </c>
      <c r="G1417" s="34">
        <f>IFERROR(IF(F1417&gt;=0,D1417*E1417*(1+F1417/100),ABS(D1417*E1417/F1417)),"")</f>
        <v>6108.666666666667</v>
      </c>
      <c r="H1417" s="139">
        <f>IFERROR(G1417*E1408,"")</f>
        <v>0</v>
      </c>
    </row>
    <row r="1418" spans="1:8" ht="12.75" customHeight="1">
      <c r="A1418" s="28"/>
      <c r="B1418" s="29" t="s">
        <v>3626</v>
      </c>
      <c r="C1418" s="30" t="str">
        <f>IFERROR(_xlfn.XLOOKUP(B1418,Equipo[DESCRIPCION],Equipo[UND],,0),"")</f>
        <v>%MO</v>
      </c>
      <c r="D1418" s="31">
        <v>0.05</v>
      </c>
      <c r="E1418" s="32">
        <f>IF(C1418="%MO",G1423,IFERROR(_xlfn.XLOOKUP($B1418,Equipo[DESCRIPCION],Equipo[VALOR],,0),""))</f>
        <v>69864.611310000008</v>
      </c>
      <c r="F1418" s="33"/>
      <c r="G1418" s="34">
        <f>IFERROR(IF(F1418&gt;=0,D1418*E1418*(1+F1418/100),ABS(D1418*E1418/F1418)),"")</f>
        <v>3493.2305655000005</v>
      </c>
      <c r="H1418" s="139">
        <f>IFERROR(G1418*E1408,"")</f>
        <v>0</v>
      </c>
    </row>
    <row r="1419" spans="1:8" ht="12.75" customHeight="1">
      <c r="A1419" s="28"/>
      <c r="B1419" s="29"/>
      <c r="C1419" s="30" t="str">
        <f>IFERROR(_xlfn.XLOOKUP(B1419,Equipo[DESCRIPCION],Equipo[UND],,0),"")</f>
        <v/>
      </c>
      <c r="D1419" s="31"/>
      <c r="E1419" s="32" t="str">
        <f>IF(C1419="%MO",G1423,IFERROR(_xlfn.XLOOKUP($B1419,Equipo[DESCRIPCION],Equipo[VALOR],,0),""))</f>
        <v/>
      </c>
      <c r="F1419" s="33"/>
      <c r="G1419" s="34" t="str">
        <f>IFERROR(IF(F1419&gt;=0,D1419*E1419*(1+F1419/100),ABS(D1419*E1419/F1419)),"")</f>
        <v/>
      </c>
      <c r="H1419" s="139" t="str">
        <f>IFERROR(G1419*E1408,"")</f>
        <v/>
      </c>
    </row>
    <row r="1420" spans="1:8" ht="12.75" customHeight="1">
      <c r="A1420" s="21"/>
      <c r="B1420" s="22" t="s">
        <v>2533</v>
      </c>
      <c r="C1420" s="23"/>
      <c r="D1420" s="24"/>
      <c r="E1420" s="25"/>
      <c r="F1420" s="26"/>
      <c r="G1420" s="27">
        <f>SUM(G1421:G1422)</f>
        <v>0</v>
      </c>
      <c r="H1420" s="27">
        <f>IFERROR(G1420*E1408,"")</f>
        <v>0</v>
      </c>
    </row>
    <row r="1421" spans="1:8" ht="12.75" customHeight="1">
      <c r="A1421" s="28"/>
      <c r="B1421" s="29"/>
      <c r="C1421" s="30" t="str">
        <f>IFERROR(_xlfn.XLOOKUP(B1421,Transporte[DESCRIPCION],Transporte[UND],,0),"")</f>
        <v/>
      </c>
      <c r="D1421" s="31"/>
      <c r="E1421" s="32" t="str">
        <f>IFERROR(_xlfn.XLOOKUP($B1421,Transporte[DESCRIPCION],Transporte[VALOR],,0),"")</f>
        <v/>
      </c>
      <c r="F1421" s="33"/>
      <c r="G1421" s="34" t="str">
        <f>IFERROR(IF(F1421&gt;=0,D1421*E1421*(1+F1421/100),ABS(D1421*E1421/F1421)),"")</f>
        <v/>
      </c>
      <c r="H1421" s="139" t="str">
        <f>IFERROR(G1421*E1408,"")</f>
        <v/>
      </c>
    </row>
    <row r="1422" spans="1:8" ht="12.75" customHeight="1">
      <c r="A1422" s="28"/>
      <c r="B1422" s="29"/>
      <c r="C1422" s="30" t="str">
        <f>IFERROR(_xlfn.XLOOKUP(B1422,Transporte[DESCRIPCION],Transporte[UND],,0),"")</f>
        <v/>
      </c>
      <c r="D1422" s="31"/>
      <c r="E1422" s="32" t="str">
        <f>IFERROR(_xlfn.XLOOKUP($B1422,Transporte[DESCRIPCION],Transporte[VALOR],,0),"")</f>
        <v/>
      </c>
      <c r="F1422" s="33"/>
      <c r="G1422" s="34" t="str">
        <f>IFERROR(IF(F1422&gt;=0,D1422*E1422*(1+F1422/100),ABS(D1422*E1422/F1422)),"")</f>
        <v/>
      </c>
      <c r="H1422" s="139" t="str">
        <f>IFERROR(G1422*E1408,"")</f>
        <v/>
      </c>
    </row>
    <row r="1423" spans="1:8" ht="12.75" customHeight="1">
      <c r="A1423" s="21"/>
      <c r="B1423" s="22" t="s">
        <v>3732</v>
      </c>
      <c r="C1423" s="23"/>
      <c r="D1423" s="24"/>
      <c r="E1423" s="25"/>
      <c r="F1423" s="26"/>
      <c r="G1423" s="27">
        <f>SUM(G1424:G1426)</f>
        <v>69864.611310000008</v>
      </c>
      <c r="H1423" s="27">
        <f>IFERROR(G1423*E1408,"")</f>
        <v>0</v>
      </c>
    </row>
    <row r="1424" spans="1:8" ht="12.75" customHeight="1">
      <c r="A1424" s="28"/>
      <c r="B1424" s="29" t="s">
        <v>3710</v>
      </c>
      <c r="C1424" s="30" t="str">
        <f>IFERROR(_xlfn.XLOOKUP(B1424,MObra[DESCRIPCION],MObra[UN],,0),"")</f>
        <v>día</v>
      </c>
      <c r="D1424" s="31">
        <v>1</v>
      </c>
      <c r="E1424" s="32">
        <f>IFERROR(_xlfn.XLOOKUP($B1424,MObra[DESCRIPCION],MObra[VALOR UNIT],,0),"")</f>
        <v>314390.75089500006</v>
      </c>
      <c r="F1424" s="33">
        <v>-4.5</v>
      </c>
      <c r="G1424" s="34">
        <f>IFERROR(IF(F1424&gt;=0,D1424*E1424*(1+F1424/100),ABS(D1424*E1424/F1424)),"")</f>
        <v>69864.611310000008</v>
      </c>
      <c r="H1424" s="139">
        <f>IFERROR(G1424*E1408,"")</f>
        <v>0</v>
      </c>
    </row>
    <row r="1425" spans="1:11" ht="12.75" customHeight="1">
      <c r="A1425" s="28"/>
      <c r="B1425" s="29"/>
      <c r="C1425" s="30" t="str">
        <f>IFERROR(_xlfn.XLOOKUP(B1425,MObra[DESCRIPCION],MObra[UN],,0),"")</f>
        <v/>
      </c>
      <c r="D1425" s="31"/>
      <c r="E1425" s="32" t="str">
        <f>IFERROR(_xlfn.XLOOKUP($B1425,MObra[DESCRIPCION],MObra[VALOR UNIT],,0),"")</f>
        <v/>
      </c>
      <c r="F1425" s="33"/>
      <c r="G1425" s="34" t="str">
        <f>IFERROR(IF(F1425&gt;=0,D1425*E1425*(1+F1425/100),ABS(D1425*E1425/F1425)),"")</f>
        <v/>
      </c>
      <c r="H1425" s="139" t="str">
        <f>IFERROR(G1425*E1408,"")</f>
        <v/>
      </c>
    </row>
    <row r="1426" spans="1:11" ht="12.75" customHeight="1" thickBot="1">
      <c r="A1426" s="35"/>
      <c r="B1426" s="36"/>
      <c r="C1426" s="37" t="str">
        <f>IFERROR(_xlfn.XLOOKUP(B1426,MObra[DESCRIPCION],MObra[UN],,0),"")</f>
        <v/>
      </c>
      <c r="D1426" s="38"/>
      <c r="E1426" s="39" t="str">
        <f>IFERROR(_xlfn.XLOOKUP($B1426,MObra[DESCRIPCION],MObra[VALOR UNIT],,0),"")</f>
        <v/>
      </c>
      <c r="F1426" s="40"/>
      <c r="G1426" s="41" t="str">
        <f>IFERROR(IF(F1426&gt;=0,D1426*E1426*(1+F1426/100),ABS(D1426*E1426/F1426)),"")</f>
        <v/>
      </c>
      <c r="H1426" s="42" t="str">
        <f>IFERROR(G1426*E1408,"")</f>
        <v/>
      </c>
    </row>
    <row r="1427" spans="1:11" ht="12.75" customHeight="1" thickTop="1" thickBot="1"/>
    <row r="1428" spans="1:11" ht="12.75" customHeight="1" thickTop="1" thickBot="1">
      <c r="A1428" s="6" t="s">
        <v>1510</v>
      </c>
      <c r="B1428" s="7" t="str">
        <f>VLOOKUP($A1428,Presupuesto!$A:$D,2,FALSE())</f>
        <v>Rejilla aluminio Zosco 3x1-1/2 anti cucaracha</v>
      </c>
      <c r="C1428" s="8" t="str">
        <f>VLOOKUP($A1428,Presupuesto!$A:$D,3,FALSE())</f>
        <v>Un</v>
      </c>
      <c r="D1428" s="9"/>
      <c r="E1428" s="10">
        <f>VLOOKUP($A1428,Presupuesto!$A:$D,4,FALSE())</f>
        <v>0</v>
      </c>
      <c r="F1428" s="11" t="s">
        <v>2589</v>
      </c>
      <c r="G1428" s="12">
        <f>SUM(G1430:G1446)/2</f>
        <v>92700.702562649996</v>
      </c>
      <c r="H1428" s="13">
        <f>ROUND(SUM(H1430:H1446),0)/2</f>
        <v>0</v>
      </c>
      <c r="I1428" s="10">
        <f>VLOOKUP(A1428,Presupuesto!$A:$F,6,0)</f>
        <v>0</v>
      </c>
      <c r="J1428" s="10">
        <f>+H1428-I1428</f>
        <v>0</v>
      </c>
      <c r="K1428" s="46">
        <f>+H1428-G1428*E1428</f>
        <v>0</v>
      </c>
    </row>
    <row r="1429" spans="1:11" ht="12.75" customHeight="1" thickTop="1">
      <c r="A1429" s="14"/>
      <c r="B1429" s="15" t="s">
        <v>2586</v>
      </c>
      <c r="C1429" s="15" t="s">
        <v>5</v>
      </c>
      <c r="D1429" s="16" t="s">
        <v>6</v>
      </c>
      <c r="E1429" s="17" t="s">
        <v>7</v>
      </c>
      <c r="F1429" s="18" t="s">
        <v>3728</v>
      </c>
      <c r="G1429" s="19" t="s">
        <v>3729</v>
      </c>
      <c r="H1429" s="20" t="s">
        <v>3797</v>
      </c>
    </row>
    <row r="1430" spans="1:11" ht="12.75" customHeight="1">
      <c r="A1430" s="21"/>
      <c r="B1430" s="22" t="s">
        <v>3730</v>
      </c>
      <c r="C1430" s="23"/>
      <c r="D1430" s="24"/>
      <c r="E1430" s="25"/>
      <c r="F1430" s="26"/>
      <c r="G1430" s="27">
        <f>SUM(G1431:G1435)</f>
        <v>70693.350000000006</v>
      </c>
      <c r="H1430" s="27">
        <f>IFERROR(G1430*E1428,"")</f>
        <v>0</v>
      </c>
    </row>
    <row r="1431" spans="1:11" ht="12.75" customHeight="1">
      <c r="A1431" s="28"/>
      <c r="B1431" s="29" t="s">
        <v>3268</v>
      </c>
      <c r="C1431" s="30" t="str">
        <f>IFERROR(_xlfn.XLOOKUP(B1431,Insumo[DESCRIPCION],Insumo[UND],,0),"")</f>
        <v>Un</v>
      </c>
      <c r="D1431" s="31">
        <v>1</v>
      </c>
      <c r="E1431" s="32">
        <f>IFERROR(_xlfn.XLOOKUP($B1431,Insumo[DESCRIPCION],Insumo[VALOR],,0),"")</f>
        <v>70357.350000000006</v>
      </c>
      <c r="F1431" s="33"/>
      <c r="G1431" s="34">
        <f>IFERROR(IF(F1431&gt;=0,D1431*E1431*(1+F1431/100),ABS(D1431*E1431/F1431)),"")</f>
        <v>70357.350000000006</v>
      </c>
      <c r="H1431" s="139">
        <f>IFERROR(G1431*E1428,"")</f>
        <v>0</v>
      </c>
    </row>
    <row r="1432" spans="1:11" ht="12.75" customHeight="1">
      <c r="A1432" s="28"/>
      <c r="B1432" s="29" t="s">
        <v>2823</v>
      </c>
      <c r="C1432" s="30" t="str">
        <f>IFERROR(_xlfn.XLOOKUP(B1432,Insumo[DESCRIPCION],Insumo[UND],,0),"")</f>
        <v>Kg</v>
      </c>
      <c r="D1432" s="31">
        <v>0.2</v>
      </c>
      <c r="E1432" s="32">
        <f>IFERROR(_xlfn.XLOOKUP($B1432,Insumo[DESCRIPCION],Insumo[VALOR],,0),"")</f>
        <v>1680</v>
      </c>
      <c r="F1432" s="33"/>
      <c r="G1432" s="34">
        <f>IFERROR(IF(F1432&gt;=0,D1432*E1432*(1+F1432/100),ABS(D1432*E1432/F1432)),"")</f>
        <v>336</v>
      </c>
      <c r="H1432" s="139">
        <f>IFERROR(G1432*E1428,"")</f>
        <v>0</v>
      </c>
    </row>
    <row r="1433" spans="1:11" ht="12.75" customHeight="1">
      <c r="A1433" s="28"/>
      <c r="B1433" s="29"/>
      <c r="C1433" s="30" t="str">
        <f>IFERROR(_xlfn.XLOOKUP(B1433,Insumo[DESCRIPCION],Insumo[UND],,0),"")</f>
        <v/>
      </c>
      <c r="D1433" s="31"/>
      <c r="E1433" s="32" t="str">
        <f>IFERROR(_xlfn.XLOOKUP($B1433,Insumo[DESCRIPCION],Insumo[VALOR],,0),"")</f>
        <v/>
      </c>
      <c r="F1433" s="33"/>
      <c r="G1433" s="34" t="str">
        <f>IFERROR(IF(F1433&gt;=0,D1433*E1433*(1+F1433/100),ABS(D1433*E1433/F1433)),"")</f>
        <v/>
      </c>
      <c r="H1433" s="139" t="str">
        <f>IFERROR(G1433*E1428,"")</f>
        <v/>
      </c>
    </row>
    <row r="1434" spans="1:11" ht="12.75" customHeight="1">
      <c r="A1434" s="28"/>
      <c r="B1434" s="29"/>
      <c r="C1434" s="30" t="str">
        <f>IFERROR(_xlfn.XLOOKUP(B1434,Insumo[DESCRIPCION],Insumo[UND],,0),"")</f>
        <v/>
      </c>
      <c r="D1434" s="31"/>
      <c r="E1434" s="32" t="str">
        <f>IFERROR(_xlfn.XLOOKUP($B1434,Insumo[DESCRIPCION],Insumo[VALOR],,0),"")</f>
        <v/>
      </c>
      <c r="F1434" s="33"/>
      <c r="G1434" s="34" t="str">
        <f>IFERROR(IF(F1434&gt;=0,D1434*E1434*(1+F1434/100),ABS(D1434*E1434/F1434)),"")</f>
        <v/>
      </c>
      <c r="H1434" s="139" t="str">
        <f>IFERROR(G1434*E1428,"")</f>
        <v/>
      </c>
    </row>
    <row r="1435" spans="1:11" ht="12.75" customHeight="1">
      <c r="A1435" s="28"/>
      <c r="B1435" s="29"/>
      <c r="C1435" s="30" t="str">
        <f>IFERROR(_xlfn.XLOOKUP(B1435,Insumo[DESCRIPCION],Insumo[UND],,0),"")</f>
        <v/>
      </c>
      <c r="D1435" s="31"/>
      <c r="E1435" s="32" t="str">
        <f>IFERROR(_xlfn.XLOOKUP($B1435,Insumo[DESCRIPCION],Insumo[VALOR],,0),"")</f>
        <v/>
      </c>
      <c r="F1435" s="33"/>
      <c r="G1435" s="34" t="str">
        <f>IFERROR(IF(F1435&gt;=0,D1435*E1435*(1+F1435/100),ABS(D1435*E1435/F1435)),"")</f>
        <v/>
      </c>
      <c r="H1435" s="139" t="str">
        <f>IFERROR(G1435*E1428,"")</f>
        <v/>
      </c>
    </row>
    <row r="1436" spans="1:11" ht="12.75" customHeight="1">
      <c r="A1436" s="21"/>
      <c r="B1436" s="22" t="s">
        <v>3731</v>
      </c>
      <c r="C1436" s="23"/>
      <c r="D1436" s="24"/>
      <c r="E1436" s="25"/>
      <c r="F1436" s="26"/>
      <c r="G1436" s="27">
        <f>SUM(G1437:G1439)</f>
        <v>1047.9691696500001</v>
      </c>
      <c r="H1436" s="27">
        <f>IFERROR(G1436*E1428,"")</f>
        <v>0</v>
      </c>
    </row>
    <row r="1437" spans="1:11" ht="12.75" customHeight="1">
      <c r="A1437" s="28"/>
      <c r="B1437" s="29" t="s">
        <v>3626</v>
      </c>
      <c r="C1437" s="30" t="str">
        <f>IFERROR(_xlfn.XLOOKUP(B1437,Equipo[DESCRIPCION],Equipo[UND],,0),"")</f>
        <v>%MO</v>
      </c>
      <c r="D1437" s="31">
        <v>0.05</v>
      </c>
      <c r="E1437" s="32">
        <f>IF(C1437="%MO",G1443,IFERROR(_xlfn.XLOOKUP($B1437,Equipo[DESCRIPCION],Equipo[VALOR],,0),""))</f>
        <v>20959.383393000004</v>
      </c>
      <c r="F1437" s="33"/>
      <c r="G1437" s="34">
        <f>IFERROR(IF(F1437&gt;=0,D1437*E1437*(1+F1437/100),ABS(D1437*E1437/F1437)),"")</f>
        <v>1047.9691696500001</v>
      </c>
      <c r="H1437" s="139">
        <f>IFERROR(G1437*E1428,"")</f>
        <v>0</v>
      </c>
    </row>
    <row r="1438" spans="1:11" ht="12.75" customHeight="1">
      <c r="A1438" s="28"/>
      <c r="B1438" s="29"/>
      <c r="C1438" s="30" t="str">
        <f>IFERROR(_xlfn.XLOOKUP(B1438,Equipo[DESCRIPCION],Equipo[UND],,0),"")</f>
        <v/>
      </c>
      <c r="D1438" s="31"/>
      <c r="E1438" s="32" t="str">
        <f>IF(C1438="%MO",G1443,IFERROR(_xlfn.XLOOKUP($B1438,Equipo[DESCRIPCION],Equipo[VALOR],,0),""))</f>
        <v/>
      </c>
      <c r="F1438" s="33"/>
      <c r="G1438" s="34" t="str">
        <f>IFERROR(IF(F1438&gt;=0,D1438*E1438*(1+F1438/100),ABS(D1438*E1438/F1438)),"")</f>
        <v/>
      </c>
      <c r="H1438" s="139" t="str">
        <f>IFERROR(G1438*E1428,"")</f>
        <v/>
      </c>
    </row>
    <row r="1439" spans="1:11" ht="12.75" customHeight="1">
      <c r="A1439" s="28"/>
      <c r="B1439" s="29"/>
      <c r="C1439" s="30" t="str">
        <f>IFERROR(_xlfn.XLOOKUP(B1439,Equipo[DESCRIPCION],Equipo[UND],,0),"")</f>
        <v/>
      </c>
      <c r="D1439" s="31"/>
      <c r="E1439" s="32" t="str">
        <f>IF(C1439="%MO",G1443,IFERROR(_xlfn.XLOOKUP($B1439,Equipo[DESCRIPCION],Equipo[VALOR],,0),""))</f>
        <v/>
      </c>
      <c r="F1439" s="33"/>
      <c r="G1439" s="34" t="str">
        <f>IFERROR(IF(F1439&gt;=0,D1439*E1439*(1+F1439/100),ABS(D1439*E1439/F1439)),"")</f>
        <v/>
      </c>
      <c r="H1439" s="139" t="str">
        <f>IFERROR(G1439*E1428,"")</f>
        <v/>
      </c>
    </row>
    <row r="1440" spans="1:11" ht="12.75" customHeight="1">
      <c r="A1440" s="21"/>
      <c r="B1440" s="22" t="s">
        <v>2533</v>
      </c>
      <c r="C1440" s="23"/>
      <c r="D1440" s="24"/>
      <c r="E1440" s="25"/>
      <c r="F1440" s="26"/>
      <c r="G1440" s="27">
        <f>SUM(G1441:G1442)</f>
        <v>0</v>
      </c>
      <c r="H1440" s="27">
        <f>IFERROR(G1440*E1428,"")</f>
        <v>0</v>
      </c>
    </row>
    <row r="1441" spans="1:11" ht="12.75" customHeight="1">
      <c r="A1441" s="28"/>
      <c r="B1441" s="29"/>
      <c r="C1441" s="30" t="str">
        <f>IFERROR(_xlfn.XLOOKUP(B1441,Transporte[DESCRIPCION],Transporte[UND],,0),"")</f>
        <v/>
      </c>
      <c r="D1441" s="31"/>
      <c r="E1441" s="32" t="str">
        <f>IFERROR(_xlfn.XLOOKUP($B1441,Transporte[DESCRIPCION],Transporte[VALOR],,0),"")</f>
        <v/>
      </c>
      <c r="F1441" s="33"/>
      <c r="G1441" s="34" t="str">
        <f>IFERROR(IF(F1441&gt;=0,D1441*E1441*(1+F1441/100),ABS(D1441*E1441/F1441)),"")</f>
        <v/>
      </c>
      <c r="H1441" s="139" t="str">
        <f>IFERROR(G1441*E1428,"")</f>
        <v/>
      </c>
    </row>
    <row r="1442" spans="1:11" ht="12.75" customHeight="1">
      <c r="A1442" s="28"/>
      <c r="B1442" s="29"/>
      <c r="C1442" s="30" t="str">
        <f>IFERROR(_xlfn.XLOOKUP(B1442,Transporte[DESCRIPCION],Transporte[UND],,0),"")</f>
        <v/>
      </c>
      <c r="D1442" s="31"/>
      <c r="E1442" s="32" t="str">
        <f>IFERROR(_xlfn.XLOOKUP($B1442,Transporte[DESCRIPCION],Transporte[VALOR],,0),"")</f>
        <v/>
      </c>
      <c r="F1442" s="33"/>
      <c r="G1442" s="34" t="str">
        <f>IFERROR(IF(F1442&gt;=0,D1442*E1442*(1+F1442/100),ABS(D1442*E1442/F1442)),"")</f>
        <v/>
      </c>
      <c r="H1442" s="139" t="str">
        <f>IFERROR(G1442*E1428,"")</f>
        <v/>
      </c>
    </row>
    <row r="1443" spans="1:11" ht="12.75" customHeight="1">
      <c r="A1443" s="21"/>
      <c r="B1443" s="22" t="s">
        <v>3732</v>
      </c>
      <c r="C1443" s="23"/>
      <c r="D1443" s="24"/>
      <c r="E1443" s="25"/>
      <c r="F1443" s="26"/>
      <c r="G1443" s="27">
        <f>SUM(G1444:G1446)</f>
        <v>20959.383393000004</v>
      </c>
      <c r="H1443" s="27">
        <f>IFERROR(G1443*E1428,"")</f>
        <v>0</v>
      </c>
    </row>
    <row r="1444" spans="1:11" ht="12.75" customHeight="1">
      <c r="A1444" s="28"/>
      <c r="B1444" s="29" t="s">
        <v>3710</v>
      </c>
      <c r="C1444" s="30" t="str">
        <f>IFERROR(_xlfn.XLOOKUP(B1444,MObra[DESCRIPCION],MObra[UN],,0),"")</f>
        <v>día</v>
      </c>
      <c r="D1444" s="31">
        <v>1</v>
      </c>
      <c r="E1444" s="32">
        <f>IFERROR(_xlfn.XLOOKUP($B1444,MObra[DESCRIPCION],MObra[VALOR UNIT],,0),"")</f>
        <v>314390.75089500006</v>
      </c>
      <c r="F1444" s="33">
        <v>-15</v>
      </c>
      <c r="G1444" s="34">
        <f>IFERROR(IF(F1444&gt;=0,D1444*E1444*(1+F1444/100),ABS(D1444*E1444/F1444)),"")</f>
        <v>20959.383393000004</v>
      </c>
      <c r="H1444" s="139">
        <f>IFERROR(G1444*E1428,"")</f>
        <v>0</v>
      </c>
    </row>
    <row r="1445" spans="1:11" ht="12.75" customHeight="1">
      <c r="A1445" s="28"/>
      <c r="B1445" s="29"/>
      <c r="C1445" s="30" t="str">
        <f>IFERROR(_xlfn.XLOOKUP(B1445,MObra[DESCRIPCION],MObra[UN],,0),"")</f>
        <v/>
      </c>
      <c r="D1445" s="31"/>
      <c r="E1445" s="32" t="str">
        <f>IFERROR(_xlfn.XLOOKUP($B1445,MObra[DESCRIPCION],MObra[VALOR UNIT],,0),"")</f>
        <v/>
      </c>
      <c r="F1445" s="33"/>
      <c r="G1445" s="34" t="str">
        <f>IFERROR(IF(F1445&gt;=0,D1445*E1445*(1+F1445/100),ABS(D1445*E1445/F1445)),"")</f>
        <v/>
      </c>
      <c r="H1445" s="139" t="str">
        <f>IFERROR(G1445*E1428,"")</f>
        <v/>
      </c>
    </row>
    <row r="1446" spans="1:11" ht="12.75" customHeight="1" thickBot="1">
      <c r="A1446" s="35"/>
      <c r="B1446" s="36"/>
      <c r="C1446" s="37" t="str">
        <f>IFERROR(_xlfn.XLOOKUP(B1446,MObra[DESCRIPCION],MObra[UN],,0),"")</f>
        <v/>
      </c>
      <c r="D1446" s="38"/>
      <c r="E1446" s="39" t="str">
        <f>IFERROR(_xlfn.XLOOKUP($B1446,MObra[DESCRIPCION],MObra[VALOR UNIT],,0),"")</f>
        <v/>
      </c>
      <c r="F1446" s="40"/>
      <c r="G1446" s="41" t="str">
        <f>IFERROR(IF(F1446&gt;=0,D1446*E1446*(1+F1446/100),ABS(D1446*E1446/F1446)),"")</f>
        <v/>
      </c>
      <c r="H1446" s="42" t="str">
        <f>IFERROR(G1446*E1428,"")</f>
        <v/>
      </c>
    </row>
    <row r="1447" spans="1:11" ht="12.75" customHeight="1" thickTop="1" thickBot="1"/>
    <row r="1448" spans="1:11" ht="12.75" customHeight="1" thickTop="1" thickBot="1">
      <c r="A1448" s="6" t="s">
        <v>1512</v>
      </c>
      <c r="B1448" s="7" t="str">
        <f>VLOOKUP($A1448,Presupuesto!$A:$D,2,FALSE())</f>
        <v>Rejilla aluminio Zosco 3x2 anti cucaracha</v>
      </c>
      <c r="C1448" s="8" t="str">
        <f>VLOOKUP($A1448,Presupuesto!$A:$D,3,FALSE())</f>
        <v>Un</v>
      </c>
      <c r="D1448" s="9"/>
      <c r="E1448" s="10">
        <f>VLOOKUP($A1448,Presupuesto!$A:$D,4,FALSE())</f>
        <v>0</v>
      </c>
      <c r="F1448" s="11" t="s">
        <v>2589</v>
      </c>
      <c r="G1448" s="12">
        <f>SUM(G1450:G1466)/2</f>
        <v>36870.102562650005</v>
      </c>
      <c r="H1448" s="13">
        <f>ROUND(SUM(H1450:H1466),0)/2</f>
        <v>0</v>
      </c>
      <c r="I1448" s="10">
        <f>VLOOKUP(A1448,Presupuesto!$A:$F,6,0)</f>
        <v>0</v>
      </c>
      <c r="J1448" s="10">
        <f>+H1448-I1448</f>
        <v>0</v>
      </c>
      <c r="K1448" s="46">
        <f>+H1448-G1448*E1448</f>
        <v>0</v>
      </c>
    </row>
    <row r="1449" spans="1:11" ht="12.75" customHeight="1" thickTop="1">
      <c r="A1449" s="14"/>
      <c r="B1449" s="15" t="s">
        <v>2586</v>
      </c>
      <c r="C1449" s="15" t="s">
        <v>5</v>
      </c>
      <c r="D1449" s="16" t="s">
        <v>6</v>
      </c>
      <c r="E1449" s="17" t="s">
        <v>7</v>
      </c>
      <c r="F1449" s="18" t="s">
        <v>3728</v>
      </c>
      <c r="G1449" s="19" t="s">
        <v>3729</v>
      </c>
      <c r="H1449" s="20" t="s">
        <v>3797</v>
      </c>
    </row>
    <row r="1450" spans="1:11" ht="12.75" customHeight="1">
      <c r="A1450" s="21"/>
      <c r="B1450" s="22" t="s">
        <v>3730</v>
      </c>
      <c r="C1450" s="23"/>
      <c r="D1450" s="24"/>
      <c r="E1450" s="25"/>
      <c r="F1450" s="26"/>
      <c r="G1450" s="27">
        <f>SUM(G1451:G1455)</f>
        <v>14862.75</v>
      </c>
      <c r="H1450" s="27">
        <f>IFERROR(G1450*E1448,"")</f>
        <v>0</v>
      </c>
    </row>
    <row r="1451" spans="1:11" ht="12.75" customHeight="1">
      <c r="A1451" s="28"/>
      <c r="B1451" s="29" t="s">
        <v>3264</v>
      </c>
      <c r="C1451" s="30" t="str">
        <f>IFERROR(_xlfn.XLOOKUP(B1451,Insumo[DESCRIPCION],Insumo[UND],,0),"")</f>
        <v>Un</v>
      </c>
      <c r="D1451" s="31">
        <v>1</v>
      </c>
      <c r="E1451" s="32">
        <f>IFERROR(_xlfn.XLOOKUP($B1451,Insumo[DESCRIPCION],Insumo[VALOR],,0),"")</f>
        <v>14526.75</v>
      </c>
      <c r="F1451" s="33"/>
      <c r="G1451" s="34">
        <f>IFERROR(IF(F1451&gt;=0,D1451*E1451*(1+F1451/100),ABS(D1451*E1451/F1451)),"")</f>
        <v>14526.75</v>
      </c>
      <c r="H1451" s="139">
        <f>IFERROR(G1451*E1448,"")</f>
        <v>0</v>
      </c>
    </row>
    <row r="1452" spans="1:11" ht="12.75" customHeight="1">
      <c r="A1452" s="28"/>
      <c r="B1452" s="29" t="s">
        <v>2823</v>
      </c>
      <c r="C1452" s="30" t="str">
        <f>IFERROR(_xlfn.XLOOKUP(B1452,Insumo[DESCRIPCION],Insumo[UND],,0),"")</f>
        <v>Kg</v>
      </c>
      <c r="D1452" s="31">
        <v>0.2</v>
      </c>
      <c r="E1452" s="32">
        <f>IFERROR(_xlfn.XLOOKUP($B1452,Insumo[DESCRIPCION],Insumo[VALOR],,0),"")</f>
        <v>1680</v>
      </c>
      <c r="F1452" s="33"/>
      <c r="G1452" s="34">
        <f>IFERROR(IF(F1452&gt;=0,D1452*E1452*(1+F1452/100),ABS(D1452*E1452/F1452)),"")</f>
        <v>336</v>
      </c>
      <c r="H1452" s="139">
        <f>IFERROR(G1452*E1448,"")</f>
        <v>0</v>
      </c>
    </row>
    <row r="1453" spans="1:11" ht="12.75" customHeight="1">
      <c r="A1453" s="28"/>
      <c r="B1453" s="29"/>
      <c r="C1453" s="30" t="str">
        <f>IFERROR(_xlfn.XLOOKUP(B1453,Insumo[DESCRIPCION],Insumo[UND],,0),"")</f>
        <v/>
      </c>
      <c r="D1453" s="31"/>
      <c r="E1453" s="32" t="str">
        <f>IFERROR(_xlfn.XLOOKUP($B1453,Insumo[DESCRIPCION],Insumo[VALOR],,0),"")</f>
        <v/>
      </c>
      <c r="F1453" s="33"/>
      <c r="G1453" s="34" t="str">
        <f>IFERROR(IF(F1453&gt;=0,D1453*E1453*(1+F1453/100),ABS(D1453*E1453/F1453)),"")</f>
        <v/>
      </c>
      <c r="H1453" s="139" t="str">
        <f>IFERROR(G1453*E1448,"")</f>
        <v/>
      </c>
    </row>
    <row r="1454" spans="1:11" ht="12.75" customHeight="1">
      <c r="A1454" s="28"/>
      <c r="B1454" s="29"/>
      <c r="C1454" s="30" t="str">
        <f>IFERROR(_xlfn.XLOOKUP(B1454,Insumo[DESCRIPCION],Insumo[UND],,0),"")</f>
        <v/>
      </c>
      <c r="D1454" s="31"/>
      <c r="E1454" s="32" t="str">
        <f>IFERROR(_xlfn.XLOOKUP($B1454,Insumo[DESCRIPCION],Insumo[VALOR],,0),"")</f>
        <v/>
      </c>
      <c r="F1454" s="33"/>
      <c r="G1454" s="34" t="str">
        <f>IFERROR(IF(F1454&gt;=0,D1454*E1454*(1+F1454/100),ABS(D1454*E1454/F1454)),"")</f>
        <v/>
      </c>
      <c r="H1454" s="139" t="str">
        <f>IFERROR(G1454*E1448,"")</f>
        <v/>
      </c>
    </row>
    <row r="1455" spans="1:11" ht="12.75" customHeight="1">
      <c r="A1455" s="28"/>
      <c r="B1455" s="29"/>
      <c r="C1455" s="30" t="str">
        <f>IFERROR(_xlfn.XLOOKUP(B1455,Insumo[DESCRIPCION],Insumo[UND],,0),"")</f>
        <v/>
      </c>
      <c r="D1455" s="31"/>
      <c r="E1455" s="32" t="str">
        <f>IFERROR(_xlfn.XLOOKUP($B1455,Insumo[DESCRIPCION],Insumo[VALOR],,0),"")</f>
        <v/>
      </c>
      <c r="F1455" s="33"/>
      <c r="G1455" s="34" t="str">
        <f>IFERROR(IF(F1455&gt;=0,D1455*E1455*(1+F1455/100),ABS(D1455*E1455/F1455)),"")</f>
        <v/>
      </c>
      <c r="H1455" s="139" t="str">
        <f>IFERROR(G1455*E1448,"")</f>
        <v/>
      </c>
    </row>
    <row r="1456" spans="1:11" ht="12.75" customHeight="1">
      <c r="A1456" s="21"/>
      <c r="B1456" s="22" t="s">
        <v>3731</v>
      </c>
      <c r="C1456" s="23"/>
      <c r="D1456" s="24"/>
      <c r="E1456" s="25"/>
      <c r="F1456" s="26"/>
      <c r="G1456" s="27">
        <f>SUM(G1457:G1459)</f>
        <v>1047.9691696500001</v>
      </c>
      <c r="H1456" s="27">
        <f>IFERROR(G1456*E1448,"")</f>
        <v>0</v>
      </c>
    </row>
    <row r="1457" spans="1:11" ht="12.75" customHeight="1">
      <c r="A1457" s="28"/>
      <c r="B1457" s="29" t="s">
        <v>3626</v>
      </c>
      <c r="C1457" s="30" t="str">
        <f>IFERROR(_xlfn.XLOOKUP(B1457,Equipo[DESCRIPCION],Equipo[UND],,0),"")</f>
        <v>%MO</v>
      </c>
      <c r="D1457" s="31">
        <v>0.05</v>
      </c>
      <c r="E1457" s="32">
        <f>IF(C1457="%MO",G1463,IFERROR(_xlfn.XLOOKUP($B1457,Equipo[DESCRIPCION],Equipo[VALOR],,0),""))</f>
        <v>20959.383393000004</v>
      </c>
      <c r="F1457" s="33"/>
      <c r="G1457" s="34">
        <f>IFERROR(IF(F1457&gt;=0,D1457*E1457*(1+F1457/100),ABS(D1457*E1457/F1457)),"")</f>
        <v>1047.9691696500001</v>
      </c>
      <c r="H1457" s="139">
        <f>IFERROR(G1457*E1448,"")</f>
        <v>0</v>
      </c>
    </row>
    <row r="1458" spans="1:11" ht="12.75" customHeight="1">
      <c r="A1458" s="28"/>
      <c r="B1458" s="29"/>
      <c r="C1458" s="30" t="str">
        <f>IFERROR(_xlfn.XLOOKUP(B1458,Equipo[DESCRIPCION],Equipo[UND],,0),"")</f>
        <v/>
      </c>
      <c r="D1458" s="31"/>
      <c r="E1458" s="32" t="str">
        <f>IF(C1458="%MO",G1463,IFERROR(_xlfn.XLOOKUP($B1458,Equipo[DESCRIPCION],Equipo[VALOR],,0),""))</f>
        <v/>
      </c>
      <c r="F1458" s="33"/>
      <c r="G1458" s="34" t="str">
        <f>IFERROR(IF(F1458&gt;=0,D1458*E1458*(1+F1458/100),ABS(D1458*E1458/F1458)),"")</f>
        <v/>
      </c>
      <c r="H1458" s="139" t="str">
        <f>IFERROR(G1458*E1448,"")</f>
        <v/>
      </c>
    </row>
    <row r="1459" spans="1:11" ht="12.75" customHeight="1">
      <c r="A1459" s="28"/>
      <c r="B1459" s="29"/>
      <c r="C1459" s="30" t="str">
        <f>IFERROR(_xlfn.XLOOKUP(B1459,Equipo[DESCRIPCION],Equipo[UND],,0),"")</f>
        <v/>
      </c>
      <c r="D1459" s="31"/>
      <c r="E1459" s="32" t="str">
        <f>IF(C1459="%MO",G1463,IFERROR(_xlfn.XLOOKUP($B1459,Equipo[DESCRIPCION],Equipo[VALOR],,0),""))</f>
        <v/>
      </c>
      <c r="F1459" s="33"/>
      <c r="G1459" s="34" t="str">
        <f>IFERROR(IF(F1459&gt;=0,D1459*E1459*(1+F1459/100),ABS(D1459*E1459/F1459)),"")</f>
        <v/>
      </c>
      <c r="H1459" s="139" t="str">
        <f>IFERROR(G1459*E1448,"")</f>
        <v/>
      </c>
    </row>
    <row r="1460" spans="1:11" ht="12.75" customHeight="1">
      <c r="A1460" s="21"/>
      <c r="B1460" s="22" t="s">
        <v>2533</v>
      </c>
      <c r="C1460" s="23"/>
      <c r="D1460" s="24"/>
      <c r="E1460" s="25"/>
      <c r="F1460" s="26"/>
      <c r="G1460" s="27">
        <f>SUM(G1461:G1462)</f>
        <v>0</v>
      </c>
      <c r="H1460" s="27">
        <f>IFERROR(G1460*E1448,"")</f>
        <v>0</v>
      </c>
    </row>
    <row r="1461" spans="1:11" ht="12.75" customHeight="1">
      <c r="A1461" s="28"/>
      <c r="B1461" s="29"/>
      <c r="C1461" s="30" t="str">
        <f>IFERROR(_xlfn.XLOOKUP(B1461,Transporte[DESCRIPCION],Transporte[UND],,0),"")</f>
        <v/>
      </c>
      <c r="D1461" s="31"/>
      <c r="E1461" s="32" t="str">
        <f>IFERROR(_xlfn.XLOOKUP($B1461,Transporte[DESCRIPCION],Transporte[VALOR],,0),"")</f>
        <v/>
      </c>
      <c r="F1461" s="33"/>
      <c r="G1461" s="34" t="str">
        <f>IFERROR(IF(F1461&gt;=0,D1461*E1461*(1+F1461/100),ABS(D1461*E1461/F1461)),"")</f>
        <v/>
      </c>
      <c r="H1461" s="139" t="str">
        <f>IFERROR(G1461*E1448,"")</f>
        <v/>
      </c>
    </row>
    <row r="1462" spans="1:11" ht="12.75" customHeight="1">
      <c r="A1462" s="28"/>
      <c r="B1462" s="29"/>
      <c r="C1462" s="30" t="str">
        <f>IFERROR(_xlfn.XLOOKUP(B1462,Transporte[DESCRIPCION],Transporte[UND],,0),"")</f>
        <v/>
      </c>
      <c r="D1462" s="31"/>
      <c r="E1462" s="32" t="str">
        <f>IFERROR(_xlfn.XLOOKUP($B1462,Transporte[DESCRIPCION],Transporte[VALOR],,0),"")</f>
        <v/>
      </c>
      <c r="F1462" s="33"/>
      <c r="G1462" s="34" t="str">
        <f>IFERROR(IF(F1462&gt;=0,D1462*E1462*(1+F1462/100),ABS(D1462*E1462/F1462)),"")</f>
        <v/>
      </c>
      <c r="H1462" s="139" t="str">
        <f>IFERROR(G1462*E1448,"")</f>
        <v/>
      </c>
    </row>
    <row r="1463" spans="1:11" ht="12.75" customHeight="1">
      <c r="A1463" s="21"/>
      <c r="B1463" s="22" t="s">
        <v>3732</v>
      </c>
      <c r="C1463" s="23"/>
      <c r="D1463" s="24"/>
      <c r="E1463" s="25"/>
      <c r="F1463" s="26"/>
      <c r="G1463" s="27">
        <f>SUM(G1464:G1466)</f>
        <v>20959.383393000004</v>
      </c>
      <c r="H1463" s="27">
        <f>IFERROR(G1463*E1448,"")</f>
        <v>0</v>
      </c>
    </row>
    <row r="1464" spans="1:11" ht="12.75" customHeight="1">
      <c r="A1464" s="28"/>
      <c r="B1464" s="29" t="s">
        <v>3710</v>
      </c>
      <c r="C1464" s="30" t="str">
        <f>IFERROR(_xlfn.XLOOKUP(B1464,MObra[DESCRIPCION],MObra[UN],,0),"")</f>
        <v>día</v>
      </c>
      <c r="D1464" s="31">
        <v>1</v>
      </c>
      <c r="E1464" s="32">
        <f>IFERROR(_xlfn.XLOOKUP($B1464,MObra[DESCRIPCION],MObra[VALOR UNIT],,0),"")</f>
        <v>314390.75089500006</v>
      </c>
      <c r="F1464" s="33">
        <v>-15</v>
      </c>
      <c r="G1464" s="34">
        <f>IFERROR(IF(F1464&gt;=0,D1464*E1464*(1+F1464/100),ABS(D1464*E1464/F1464)),"")</f>
        <v>20959.383393000004</v>
      </c>
      <c r="H1464" s="139">
        <f>IFERROR(G1464*E1448,"")</f>
        <v>0</v>
      </c>
    </row>
    <row r="1465" spans="1:11" ht="12.75" customHeight="1">
      <c r="A1465" s="28"/>
      <c r="B1465" s="29"/>
      <c r="C1465" s="30" t="str">
        <f>IFERROR(_xlfn.XLOOKUP(B1465,MObra[DESCRIPCION],MObra[UN],,0),"")</f>
        <v/>
      </c>
      <c r="D1465" s="31"/>
      <c r="E1465" s="32" t="str">
        <f>IFERROR(_xlfn.XLOOKUP($B1465,MObra[DESCRIPCION],MObra[VALOR UNIT],,0),"")</f>
        <v/>
      </c>
      <c r="F1465" s="33"/>
      <c r="G1465" s="34" t="str">
        <f>IFERROR(IF(F1465&gt;=0,D1465*E1465*(1+F1465/100),ABS(D1465*E1465/F1465)),"")</f>
        <v/>
      </c>
      <c r="H1465" s="139" t="str">
        <f>IFERROR(G1465*E1448,"")</f>
        <v/>
      </c>
    </row>
    <row r="1466" spans="1:11" ht="12.75" customHeight="1" thickBot="1">
      <c r="A1466" s="35"/>
      <c r="B1466" s="36"/>
      <c r="C1466" s="37" t="str">
        <f>IFERROR(_xlfn.XLOOKUP(B1466,MObra[DESCRIPCION],MObra[UN],,0),"")</f>
        <v/>
      </c>
      <c r="D1466" s="38"/>
      <c r="E1466" s="39" t="str">
        <f>IFERROR(_xlfn.XLOOKUP($B1466,MObra[DESCRIPCION],MObra[VALOR UNIT],,0),"")</f>
        <v/>
      </c>
      <c r="F1466" s="40"/>
      <c r="G1466" s="41" t="str">
        <f>IFERROR(IF(F1466&gt;=0,D1466*E1466*(1+F1466/100),ABS(D1466*E1466/F1466)),"")</f>
        <v/>
      </c>
      <c r="H1466" s="42" t="str">
        <f>IFERROR(G1466*E1448,"")</f>
        <v/>
      </c>
    </row>
    <row r="1467" spans="1:11" ht="12.75" customHeight="1" thickTop="1" thickBot="1"/>
    <row r="1468" spans="1:11" ht="12.75" customHeight="1" thickTop="1" thickBot="1">
      <c r="A1468" s="6" t="s">
        <v>1514</v>
      </c>
      <c r="B1468" s="7" t="str">
        <f>VLOOKUP($A1468,Presupuesto!$A:$D,2,FALSE())</f>
        <v>Rejilla aluminio Zosco 4x2 anti cucaracha</v>
      </c>
      <c r="C1468" s="8" t="str">
        <f>VLOOKUP($A1468,Presupuesto!$A:$D,3,FALSE())</f>
        <v>Un</v>
      </c>
      <c r="D1468" s="9"/>
      <c r="E1468" s="10">
        <f>VLOOKUP($A1468,Presupuesto!$A:$D,4,FALSE())</f>
        <v>0</v>
      </c>
      <c r="F1468" s="11" t="s">
        <v>2589</v>
      </c>
      <c r="G1468" s="12">
        <f>SUM(G1470:G1486)/2</f>
        <v>38256.102562650005</v>
      </c>
      <c r="H1468" s="13">
        <f>ROUND(SUM(H1470:H1486),0)/2</f>
        <v>0</v>
      </c>
      <c r="I1468" s="10">
        <f>VLOOKUP(A1468,Presupuesto!$A:$F,6,0)</f>
        <v>0</v>
      </c>
      <c r="J1468" s="10">
        <f>+H1468-I1468</f>
        <v>0</v>
      </c>
      <c r="K1468" s="46">
        <f>+H1468-G1468*E1468</f>
        <v>0</v>
      </c>
    </row>
    <row r="1469" spans="1:11" ht="12.75" customHeight="1" thickTop="1">
      <c r="A1469" s="14"/>
      <c r="B1469" s="15" t="s">
        <v>2586</v>
      </c>
      <c r="C1469" s="15" t="s">
        <v>5</v>
      </c>
      <c r="D1469" s="16" t="s">
        <v>6</v>
      </c>
      <c r="E1469" s="17" t="s">
        <v>7</v>
      </c>
      <c r="F1469" s="18" t="s">
        <v>3728</v>
      </c>
      <c r="G1469" s="19" t="s">
        <v>3729</v>
      </c>
      <c r="H1469" s="20" t="s">
        <v>3797</v>
      </c>
    </row>
    <row r="1470" spans="1:11" ht="12.75" customHeight="1">
      <c r="A1470" s="21"/>
      <c r="B1470" s="22" t="s">
        <v>3730</v>
      </c>
      <c r="C1470" s="23"/>
      <c r="D1470" s="24"/>
      <c r="E1470" s="25"/>
      <c r="F1470" s="26"/>
      <c r="G1470" s="27">
        <f>SUM(G1471:G1475)</f>
        <v>16248.75</v>
      </c>
      <c r="H1470" s="27">
        <f>IFERROR(G1470*E1468,"")</f>
        <v>0</v>
      </c>
    </row>
    <row r="1471" spans="1:11" ht="12.75" customHeight="1">
      <c r="A1471" s="28"/>
      <c r="B1471" s="29" t="s">
        <v>3266</v>
      </c>
      <c r="C1471" s="30" t="str">
        <f>IFERROR(_xlfn.XLOOKUP(B1471,Insumo[DESCRIPCION],Insumo[UND],,0),"")</f>
        <v>Un</v>
      </c>
      <c r="D1471" s="31">
        <v>1</v>
      </c>
      <c r="E1471" s="32">
        <f>IFERROR(_xlfn.XLOOKUP($B1471,Insumo[DESCRIPCION],Insumo[VALOR],,0),"")</f>
        <v>15912.75</v>
      </c>
      <c r="F1471" s="33"/>
      <c r="G1471" s="34">
        <f>IFERROR(IF(F1471&gt;=0,D1471*E1471*(1+F1471/100),ABS(D1471*E1471/F1471)),"")</f>
        <v>15912.75</v>
      </c>
      <c r="H1471" s="139">
        <f>IFERROR(G1471*E1468,"")</f>
        <v>0</v>
      </c>
    </row>
    <row r="1472" spans="1:11" ht="12.75" customHeight="1">
      <c r="A1472" s="28"/>
      <c r="B1472" s="29" t="s">
        <v>2823</v>
      </c>
      <c r="C1472" s="30" t="str">
        <f>IFERROR(_xlfn.XLOOKUP(B1472,Insumo[DESCRIPCION],Insumo[UND],,0),"")</f>
        <v>Kg</v>
      </c>
      <c r="D1472" s="31">
        <v>0.2</v>
      </c>
      <c r="E1472" s="32">
        <f>IFERROR(_xlfn.XLOOKUP($B1472,Insumo[DESCRIPCION],Insumo[VALOR],,0),"")</f>
        <v>1680</v>
      </c>
      <c r="F1472" s="33"/>
      <c r="G1472" s="34">
        <f>IFERROR(IF(F1472&gt;=0,D1472*E1472*(1+F1472/100),ABS(D1472*E1472/F1472)),"")</f>
        <v>336</v>
      </c>
      <c r="H1472" s="139">
        <f>IFERROR(G1472*E1468,"")</f>
        <v>0</v>
      </c>
    </row>
    <row r="1473" spans="1:11" ht="12.75" customHeight="1">
      <c r="A1473" s="28"/>
      <c r="B1473" s="29"/>
      <c r="C1473" s="30" t="str">
        <f>IFERROR(_xlfn.XLOOKUP(B1473,Insumo[DESCRIPCION],Insumo[UND],,0),"")</f>
        <v/>
      </c>
      <c r="D1473" s="31"/>
      <c r="E1473" s="32" t="str">
        <f>IFERROR(_xlfn.XLOOKUP($B1473,Insumo[DESCRIPCION],Insumo[VALOR],,0),"")</f>
        <v/>
      </c>
      <c r="F1473" s="33"/>
      <c r="G1473" s="34" t="str">
        <f>IFERROR(IF(F1473&gt;=0,D1473*E1473*(1+F1473/100),ABS(D1473*E1473/F1473)),"")</f>
        <v/>
      </c>
      <c r="H1473" s="139" t="str">
        <f>IFERROR(G1473*E1468,"")</f>
        <v/>
      </c>
    </row>
    <row r="1474" spans="1:11" ht="12.75" customHeight="1">
      <c r="A1474" s="28"/>
      <c r="B1474" s="29"/>
      <c r="C1474" s="30" t="str">
        <f>IFERROR(_xlfn.XLOOKUP(B1474,Insumo[DESCRIPCION],Insumo[UND],,0),"")</f>
        <v/>
      </c>
      <c r="D1474" s="31"/>
      <c r="E1474" s="32" t="str">
        <f>IFERROR(_xlfn.XLOOKUP($B1474,Insumo[DESCRIPCION],Insumo[VALOR],,0),"")</f>
        <v/>
      </c>
      <c r="F1474" s="33"/>
      <c r="G1474" s="34" t="str">
        <f>IFERROR(IF(F1474&gt;=0,D1474*E1474*(1+F1474/100),ABS(D1474*E1474/F1474)),"")</f>
        <v/>
      </c>
      <c r="H1474" s="139" t="str">
        <f>IFERROR(G1474*E1468,"")</f>
        <v/>
      </c>
    </row>
    <row r="1475" spans="1:11" ht="12.75" customHeight="1">
      <c r="A1475" s="28"/>
      <c r="B1475" s="29"/>
      <c r="C1475" s="30" t="str">
        <f>IFERROR(_xlfn.XLOOKUP(B1475,Insumo[DESCRIPCION],Insumo[UND],,0),"")</f>
        <v/>
      </c>
      <c r="D1475" s="31"/>
      <c r="E1475" s="32" t="str">
        <f>IFERROR(_xlfn.XLOOKUP($B1475,Insumo[DESCRIPCION],Insumo[VALOR],,0),"")</f>
        <v/>
      </c>
      <c r="F1475" s="33"/>
      <c r="G1475" s="34" t="str">
        <f>IFERROR(IF(F1475&gt;=0,D1475*E1475*(1+F1475/100),ABS(D1475*E1475/F1475)),"")</f>
        <v/>
      </c>
      <c r="H1475" s="139" t="str">
        <f>IFERROR(G1475*E1468,"")</f>
        <v/>
      </c>
    </row>
    <row r="1476" spans="1:11" ht="12.75" customHeight="1">
      <c r="A1476" s="21"/>
      <c r="B1476" s="22" t="s">
        <v>3731</v>
      </c>
      <c r="C1476" s="23"/>
      <c r="D1476" s="24"/>
      <c r="E1476" s="25"/>
      <c r="F1476" s="26"/>
      <c r="G1476" s="27">
        <f>SUM(G1477:G1479)</f>
        <v>1047.9691696500001</v>
      </c>
      <c r="H1476" s="27">
        <f>IFERROR(G1476*E1468,"")</f>
        <v>0</v>
      </c>
    </row>
    <row r="1477" spans="1:11" ht="12.75" customHeight="1">
      <c r="A1477" s="28"/>
      <c r="B1477" s="29" t="s">
        <v>3626</v>
      </c>
      <c r="C1477" s="30" t="str">
        <f>IFERROR(_xlfn.XLOOKUP(B1477,Equipo[DESCRIPCION],Equipo[UND],,0),"")</f>
        <v>%MO</v>
      </c>
      <c r="D1477" s="31">
        <v>0.05</v>
      </c>
      <c r="E1477" s="32">
        <f>IF(C1477="%MO",G1483,IFERROR(_xlfn.XLOOKUP($B1477,Equipo[DESCRIPCION],Equipo[VALOR],,0),""))</f>
        <v>20959.383393000004</v>
      </c>
      <c r="F1477" s="33"/>
      <c r="G1477" s="34">
        <f>IFERROR(IF(F1477&gt;=0,D1477*E1477*(1+F1477/100),ABS(D1477*E1477/F1477)),"")</f>
        <v>1047.9691696500001</v>
      </c>
      <c r="H1477" s="139">
        <f>IFERROR(G1477*E1468,"")</f>
        <v>0</v>
      </c>
    </row>
    <row r="1478" spans="1:11" ht="12.75" customHeight="1">
      <c r="A1478" s="28"/>
      <c r="B1478" s="29"/>
      <c r="C1478" s="30" t="str">
        <f>IFERROR(_xlfn.XLOOKUP(B1478,Equipo[DESCRIPCION],Equipo[UND],,0),"")</f>
        <v/>
      </c>
      <c r="D1478" s="31"/>
      <c r="E1478" s="32" t="str">
        <f>IF(C1478="%MO",G1483,IFERROR(_xlfn.XLOOKUP($B1478,Equipo[DESCRIPCION],Equipo[VALOR],,0),""))</f>
        <v/>
      </c>
      <c r="F1478" s="33"/>
      <c r="G1478" s="34" t="str">
        <f>IFERROR(IF(F1478&gt;=0,D1478*E1478*(1+F1478/100),ABS(D1478*E1478/F1478)),"")</f>
        <v/>
      </c>
      <c r="H1478" s="139" t="str">
        <f>IFERROR(G1478*E1468,"")</f>
        <v/>
      </c>
    </row>
    <row r="1479" spans="1:11" ht="12.75" customHeight="1">
      <c r="A1479" s="28"/>
      <c r="B1479" s="29"/>
      <c r="C1479" s="30" t="str">
        <f>IFERROR(_xlfn.XLOOKUP(B1479,Equipo[DESCRIPCION],Equipo[UND],,0),"")</f>
        <v/>
      </c>
      <c r="D1479" s="31"/>
      <c r="E1479" s="32" t="str">
        <f>IF(C1479="%MO",G1483,IFERROR(_xlfn.XLOOKUP($B1479,Equipo[DESCRIPCION],Equipo[VALOR],,0),""))</f>
        <v/>
      </c>
      <c r="F1479" s="33"/>
      <c r="G1479" s="34" t="str">
        <f>IFERROR(IF(F1479&gt;=0,D1479*E1479*(1+F1479/100),ABS(D1479*E1479/F1479)),"")</f>
        <v/>
      </c>
      <c r="H1479" s="139" t="str">
        <f>IFERROR(G1479*E1468,"")</f>
        <v/>
      </c>
    </row>
    <row r="1480" spans="1:11" ht="12.75" customHeight="1">
      <c r="A1480" s="21"/>
      <c r="B1480" s="22" t="s">
        <v>2533</v>
      </c>
      <c r="C1480" s="23"/>
      <c r="D1480" s="24"/>
      <c r="E1480" s="25"/>
      <c r="F1480" s="26"/>
      <c r="G1480" s="27">
        <f>SUM(G1481:G1482)</f>
        <v>0</v>
      </c>
      <c r="H1480" s="27">
        <f>IFERROR(G1480*E1468,"")</f>
        <v>0</v>
      </c>
    </row>
    <row r="1481" spans="1:11" ht="12.75" customHeight="1">
      <c r="A1481" s="28"/>
      <c r="B1481" s="29"/>
      <c r="C1481" s="30" t="str">
        <f>IFERROR(_xlfn.XLOOKUP(B1481,Transporte[DESCRIPCION],Transporte[UND],,0),"")</f>
        <v/>
      </c>
      <c r="D1481" s="31"/>
      <c r="E1481" s="32" t="str">
        <f>IFERROR(_xlfn.XLOOKUP($B1481,Transporte[DESCRIPCION],Transporte[VALOR],,0),"")</f>
        <v/>
      </c>
      <c r="F1481" s="33"/>
      <c r="G1481" s="34" t="str">
        <f>IFERROR(IF(F1481&gt;=0,D1481*E1481*(1+F1481/100),ABS(D1481*E1481/F1481)),"")</f>
        <v/>
      </c>
      <c r="H1481" s="139" t="str">
        <f>IFERROR(G1481*E1468,"")</f>
        <v/>
      </c>
    </row>
    <row r="1482" spans="1:11" ht="12.75" customHeight="1">
      <c r="A1482" s="28"/>
      <c r="B1482" s="29"/>
      <c r="C1482" s="30" t="str">
        <f>IFERROR(_xlfn.XLOOKUP(B1482,Transporte[DESCRIPCION],Transporte[UND],,0),"")</f>
        <v/>
      </c>
      <c r="D1482" s="31"/>
      <c r="E1482" s="32" t="str">
        <f>IFERROR(_xlfn.XLOOKUP($B1482,Transporte[DESCRIPCION],Transporte[VALOR],,0),"")</f>
        <v/>
      </c>
      <c r="F1482" s="33"/>
      <c r="G1482" s="34" t="str">
        <f>IFERROR(IF(F1482&gt;=0,D1482*E1482*(1+F1482/100),ABS(D1482*E1482/F1482)),"")</f>
        <v/>
      </c>
      <c r="H1482" s="139" t="str">
        <f>IFERROR(G1482*E1468,"")</f>
        <v/>
      </c>
    </row>
    <row r="1483" spans="1:11" ht="12.75" customHeight="1">
      <c r="A1483" s="21"/>
      <c r="B1483" s="22" t="s">
        <v>3732</v>
      </c>
      <c r="C1483" s="23"/>
      <c r="D1483" s="24"/>
      <c r="E1483" s="25"/>
      <c r="F1483" s="26"/>
      <c r="G1483" s="27">
        <f>SUM(G1484:G1486)</f>
        <v>20959.383393000004</v>
      </c>
      <c r="H1483" s="27">
        <f>IFERROR(G1483*E1468,"")</f>
        <v>0</v>
      </c>
    </row>
    <row r="1484" spans="1:11" ht="12.75" customHeight="1">
      <c r="A1484" s="28"/>
      <c r="B1484" s="29" t="s">
        <v>3710</v>
      </c>
      <c r="C1484" s="30" t="str">
        <f>IFERROR(_xlfn.XLOOKUP(B1484,MObra[DESCRIPCION],MObra[UN],,0),"")</f>
        <v>día</v>
      </c>
      <c r="D1484" s="31">
        <v>1</v>
      </c>
      <c r="E1484" s="32">
        <f>IFERROR(_xlfn.XLOOKUP($B1484,MObra[DESCRIPCION],MObra[VALOR UNIT],,0),"")</f>
        <v>314390.75089500006</v>
      </c>
      <c r="F1484" s="33">
        <v>-15</v>
      </c>
      <c r="G1484" s="34">
        <f>IFERROR(IF(F1484&gt;=0,D1484*E1484*(1+F1484/100),ABS(D1484*E1484/F1484)),"")</f>
        <v>20959.383393000004</v>
      </c>
      <c r="H1484" s="139">
        <f>IFERROR(G1484*E1468,"")</f>
        <v>0</v>
      </c>
    </row>
    <row r="1485" spans="1:11" ht="12.75" customHeight="1">
      <c r="A1485" s="28"/>
      <c r="B1485" s="29"/>
      <c r="C1485" s="30" t="str">
        <f>IFERROR(_xlfn.XLOOKUP(B1485,MObra[DESCRIPCION],MObra[UN],,0),"")</f>
        <v/>
      </c>
      <c r="D1485" s="31"/>
      <c r="E1485" s="32" t="str">
        <f>IFERROR(_xlfn.XLOOKUP($B1485,MObra[DESCRIPCION],MObra[VALOR UNIT],,0),"")</f>
        <v/>
      </c>
      <c r="F1485" s="33"/>
      <c r="G1485" s="34" t="str">
        <f>IFERROR(IF(F1485&gt;=0,D1485*E1485*(1+F1485/100),ABS(D1485*E1485/F1485)),"")</f>
        <v/>
      </c>
      <c r="H1485" s="139" t="str">
        <f>IFERROR(G1485*E1468,"")</f>
        <v/>
      </c>
    </row>
    <row r="1486" spans="1:11" ht="12.75" customHeight="1" thickBot="1">
      <c r="A1486" s="35"/>
      <c r="B1486" s="36"/>
      <c r="C1486" s="37" t="str">
        <f>IFERROR(_xlfn.XLOOKUP(B1486,MObra[DESCRIPCION],MObra[UN],,0),"")</f>
        <v/>
      </c>
      <c r="D1486" s="38"/>
      <c r="E1486" s="39" t="str">
        <f>IFERROR(_xlfn.XLOOKUP($B1486,MObra[DESCRIPCION],MObra[VALOR UNIT],,0),"")</f>
        <v/>
      </c>
      <c r="F1486" s="40"/>
      <c r="G1486" s="41" t="str">
        <f>IFERROR(IF(F1486&gt;=0,D1486*E1486*(1+F1486/100),ABS(D1486*E1486/F1486)),"")</f>
        <v/>
      </c>
      <c r="H1486" s="42" t="str">
        <f>IFERROR(G1486*E1468,"")</f>
        <v/>
      </c>
    </row>
    <row r="1487" spans="1:11" ht="12.75" customHeight="1" thickTop="1" thickBot="1"/>
    <row r="1488" spans="1:11" ht="12.75" customHeight="1" thickTop="1" thickBot="1">
      <c r="A1488" s="6" t="s">
        <v>1516</v>
      </c>
      <c r="B1488" s="7" t="str">
        <f>VLOOKUP($A1488,Presupuesto!$A:$D,2,FALSE())</f>
        <v>Rejilla aluminio Zosco 4x3 anti cucaracha</v>
      </c>
      <c r="C1488" s="8" t="str">
        <f>VLOOKUP($A1488,Presupuesto!$A:$D,3,FALSE())</f>
        <v>Un</v>
      </c>
      <c r="D1488" s="9"/>
      <c r="E1488" s="10">
        <f>VLOOKUP($A1488,Presupuesto!$A:$D,4,FALSE())</f>
        <v>0</v>
      </c>
      <c r="F1488" s="11" t="s">
        <v>2589</v>
      </c>
      <c r="G1488" s="12">
        <f>SUM(G1490:G1506)/2</f>
        <v>42456.102562650005</v>
      </c>
      <c r="H1488" s="13">
        <f>ROUND(SUM(H1490:H1506),0)/2</f>
        <v>0</v>
      </c>
      <c r="I1488" s="10">
        <f>VLOOKUP(A1488,Presupuesto!$A:$F,6,0)</f>
        <v>0</v>
      </c>
      <c r="J1488" s="10">
        <f>+H1488-I1488</f>
        <v>0</v>
      </c>
      <c r="K1488" s="46">
        <f>+H1488-G1488*E1488</f>
        <v>0</v>
      </c>
    </row>
    <row r="1489" spans="1:8" ht="12.75" customHeight="1" thickTop="1">
      <c r="A1489" s="14"/>
      <c r="B1489" s="15" t="s">
        <v>2586</v>
      </c>
      <c r="C1489" s="15" t="s">
        <v>5</v>
      </c>
      <c r="D1489" s="16" t="s">
        <v>6</v>
      </c>
      <c r="E1489" s="17" t="s">
        <v>7</v>
      </c>
      <c r="F1489" s="18" t="s">
        <v>3728</v>
      </c>
      <c r="G1489" s="19" t="s">
        <v>3729</v>
      </c>
      <c r="H1489" s="20" t="s">
        <v>3797</v>
      </c>
    </row>
    <row r="1490" spans="1:8" ht="12.75" customHeight="1">
      <c r="A1490" s="21"/>
      <c r="B1490" s="22" t="s">
        <v>3730</v>
      </c>
      <c r="C1490" s="23"/>
      <c r="D1490" s="24"/>
      <c r="E1490" s="25"/>
      <c r="F1490" s="26"/>
      <c r="G1490" s="27">
        <f>SUM(G1491:G1495)</f>
        <v>20448.75</v>
      </c>
      <c r="H1490" s="27">
        <f>IFERROR(G1490*E1488,"")</f>
        <v>0</v>
      </c>
    </row>
    <row r="1491" spans="1:8" ht="12.75" customHeight="1">
      <c r="A1491" s="28"/>
      <c r="B1491" s="29" t="s">
        <v>3267</v>
      </c>
      <c r="C1491" s="30" t="str">
        <f>IFERROR(_xlfn.XLOOKUP(B1491,Insumo[DESCRIPCION],Insumo[UND],,0),"")</f>
        <v>Un</v>
      </c>
      <c r="D1491" s="31">
        <v>1</v>
      </c>
      <c r="E1491" s="32">
        <f>IFERROR(_xlfn.XLOOKUP($B1491,Insumo[DESCRIPCION],Insumo[VALOR],,0),"")</f>
        <v>20112.75</v>
      </c>
      <c r="F1491" s="33"/>
      <c r="G1491" s="34">
        <f>IFERROR(IF(F1491&gt;=0,D1491*E1491*(1+F1491/100),ABS(D1491*E1491/F1491)),"")</f>
        <v>20112.75</v>
      </c>
      <c r="H1491" s="139">
        <f>IFERROR(G1491*E1488,"")</f>
        <v>0</v>
      </c>
    </row>
    <row r="1492" spans="1:8" ht="12.75" customHeight="1">
      <c r="A1492" s="28"/>
      <c r="B1492" s="29" t="s">
        <v>2823</v>
      </c>
      <c r="C1492" s="30" t="str">
        <f>IFERROR(_xlfn.XLOOKUP(B1492,Insumo[DESCRIPCION],Insumo[UND],,0),"")</f>
        <v>Kg</v>
      </c>
      <c r="D1492" s="31">
        <v>0.2</v>
      </c>
      <c r="E1492" s="32">
        <f>IFERROR(_xlfn.XLOOKUP($B1492,Insumo[DESCRIPCION],Insumo[VALOR],,0),"")</f>
        <v>1680</v>
      </c>
      <c r="F1492" s="33"/>
      <c r="G1492" s="34">
        <f>IFERROR(IF(F1492&gt;=0,D1492*E1492*(1+F1492/100),ABS(D1492*E1492/F1492)),"")</f>
        <v>336</v>
      </c>
      <c r="H1492" s="139">
        <f>IFERROR(G1492*E1488,"")</f>
        <v>0</v>
      </c>
    </row>
    <row r="1493" spans="1:8" ht="12.75" customHeight="1">
      <c r="A1493" s="28"/>
      <c r="B1493" s="29"/>
      <c r="C1493" s="30" t="str">
        <f>IFERROR(_xlfn.XLOOKUP(B1493,Insumo[DESCRIPCION],Insumo[UND],,0),"")</f>
        <v/>
      </c>
      <c r="D1493" s="31"/>
      <c r="E1493" s="32" t="str">
        <f>IFERROR(_xlfn.XLOOKUP($B1493,Insumo[DESCRIPCION],Insumo[VALOR],,0),"")</f>
        <v/>
      </c>
      <c r="F1493" s="33"/>
      <c r="G1493" s="34" t="str">
        <f>IFERROR(IF(F1493&gt;=0,D1493*E1493*(1+F1493/100),ABS(D1493*E1493/F1493)),"")</f>
        <v/>
      </c>
      <c r="H1493" s="139" t="str">
        <f>IFERROR(G1493*E1488,"")</f>
        <v/>
      </c>
    </row>
    <row r="1494" spans="1:8" ht="12.75" customHeight="1">
      <c r="A1494" s="28"/>
      <c r="B1494" s="29"/>
      <c r="C1494" s="30" t="str">
        <f>IFERROR(_xlfn.XLOOKUP(B1494,Insumo[DESCRIPCION],Insumo[UND],,0),"")</f>
        <v/>
      </c>
      <c r="D1494" s="31"/>
      <c r="E1494" s="32" t="str">
        <f>IFERROR(_xlfn.XLOOKUP($B1494,Insumo[DESCRIPCION],Insumo[VALOR],,0),"")</f>
        <v/>
      </c>
      <c r="F1494" s="33"/>
      <c r="G1494" s="34" t="str">
        <f>IFERROR(IF(F1494&gt;=0,D1494*E1494*(1+F1494/100),ABS(D1494*E1494/F1494)),"")</f>
        <v/>
      </c>
      <c r="H1494" s="139" t="str">
        <f>IFERROR(G1494*E1488,"")</f>
        <v/>
      </c>
    </row>
    <row r="1495" spans="1:8" ht="12.75" customHeight="1">
      <c r="A1495" s="28"/>
      <c r="B1495" s="29"/>
      <c r="C1495" s="30" t="str">
        <f>IFERROR(_xlfn.XLOOKUP(B1495,Insumo[DESCRIPCION],Insumo[UND],,0),"")</f>
        <v/>
      </c>
      <c r="D1495" s="31"/>
      <c r="E1495" s="32" t="str">
        <f>IFERROR(_xlfn.XLOOKUP($B1495,Insumo[DESCRIPCION],Insumo[VALOR],,0),"")</f>
        <v/>
      </c>
      <c r="F1495" s="33"/>
      <c r="G1495" s="34" t="str">
        <f>IFERROR(IF(F1495&gt;=0,D1495*E1495*(1+F1495/100),ABS(D1495*E1495/F1495)),"")</f>
        <v/>
      </c>
      <c r="H1495" s="139" t="str">
        <f>IFERROR(G1495*E1488,"")</f>
        <v/>
      </c>
    </row>
    <row r="1496" spans="1:8" ht="12.75" customHeight="1">
      <c r="A1496" s="21"/>
      <c r="B1496" s="22" t="s">
        <v>3731</v>
      </c>
      <c r="C1496" s="23"/>
      <c r="D1496" s="24"/>
      <c r="E1496" s="25"/>
      <c r="F1496" s="26"/>
      <c r="G1496" s="27">
        <f>SUM(G1497:G1499)</f>
        <v>1047.9691696500001</v>
      </c>
      <c r="H1496" s="27">
        <f>IFERROR(G1496*E1488,"")</f>
        <v>0</v>
      </c>
    </row>
    <row r="1497" spans="1:8" ht="12.75" customHeight="1">
      <c r="A1497" s="28"/>
      <c r="B1497" s="29" t="s">
        <v>3626</v>
      </c>
      <c r="C1497" s="30" t="str">
        <f>IFERROR(_xlfn.XLOOKUP(B1497,Equipo[DESCRIPCION],Equipo[UND],,0),"")</f>
        <v>%MO</v>
      </c>
      <c r="D1497" s="31">
        <v>0.05</v>
      </c>
      <c r="E1497" s="32">
        <f>IF(C1497="%MO",G1503,IFERROR(_xlfn.XLOOKUP($B1497,Equipo[DESCRIPCION],Equipo[VALOR],,0),""))</f>
        <v>20959.383393000004</v>
      </c>
      <c r="F1497" s="33"/>
      <c r="G1497" s="34">
        <f>IFERROR(IF(F1497&gt;=0,D1497*E1497*(1+F1497/100),ABS(D1497*E1497/F1497)),"")</f>
        <v>1047.9691696500001</v>
      </c>
      <c r="H1497" s="139">
        <f>IFERROR(G1497*E1488,"")</f>
        <v>0</v>
      </c>
    </row>
    <row r="1498" spans="1:8" ht="12.75" customHeight="1">
      <c r="A1498" s="28"/>
      <c r="B1498" s="29"/>
      <c r="C1498" s="30" t="str">
        <f>IFERROR(_xlfn.XLOOKUP(B1498,Equipo[DESCRIPCION],Equipo[UND],,0),"")</f>
        <v/>
      </c>
      <c r="D1498" s="31"/>
      <c r="E1498" s="32" t="str">
        <f>IF(C1498="%MO",G1503,IFERROR(_xlfn.XLOOKUP($B1498,Equipo[DESCRIPCION],Equipo[VALOR],,0),""))</f>
        <v/>
      </c>
      <c r="F1498" s="33"/>
      <c r="G1498" s="34" t="str">
        <f>IFERROR(IF(F1498&gt;=0,D1498*E1498*(1+F1498/100),ABS(D1498*E1498/F1498)),"")</f>
        <v/>
      </c>
      <c r="H1498" s="139" t="str">
        <f>IFERROR(G1498*E1488,"")</f>
        <v/>
      </c>
    </row>
    <row r="1499" spans="1:8" ht="12.75" customHeight="1">
      <c r="A1499" s="28"/>
      <c r="B1499" s="29"/>
      <c r="C1499" s="30" t="str">
        <f>IFERROR(_xlfn.XLOOKUP(B1499,Equipo[DESCRIPCION],Equipo[UND],,0),"")</f>
        <v/>
      </c>
      <c r="D1499" s="31"/>
      <c r="E1499" s="32" t="str">
        <f>IF(C1499="%MO",G1503,IFERROR(_xlfn.XLOOKUP($B1499,Equipo[DESCRIPCION],Equipo[VALOR],,0),""))</f>
        <v/>
      </c>
      <c r="F1499" s="33"/>
      <c r="G1499" s="34" t="str">
        <f>IFERROR(IF(F1499&gt;=0,D1499*E1499*(1+F1499/100),ABS(D1499*E1499/F1499)),"")</f>
        <v/>
      </c>
      <c r="H1499" s="139" t="str">
        <f>IFERROR(G1499*E1488,"")</f>
        <v/>
      </c>
    </row>
    <row r="1500" spans="1:8" ht="12.75" customHeight="1">
      <c r="A1500" s="21"/>
      <c r="B1500" s="22" t="s">
        <v>2533</v>
      </c>
      <c r="C1500" s="23"/>
      <c r="D1500" s="24"/>
      <c r="E1500" s="25"/>
      <c r="F1500" s="26"/>
      <c r="G1500" s="27">
        <f>SUM(G1501:G1502)</f>
        <v>0</v>
      </c>
      <c r="H1500" s="27">
        <f>IFERROR(G1500*E1488,"")</f>
        <v>0</v>
      </c>
    </row>
    <row r="1501" spans="1:8" ht="12.75" customHeight="1">
      <c r="A1501" s="28"/>
      <c r="B1501" s="29"/>
      <c r="C1501" s="30" t="str">
        <f>IFERROR(_xlfn.XLOOKUP(B1501,Transporte[DESCRIPCION],Transporte[UND],,0),"")</f>
        <v/>
      </c>
      <c r="D1501" s="31"/>
      <c r="E1501" s="32" t="str">
        <f>IFERROR(_xlfn.XLOOKUP($B1501,Transporte[DESCRIPCION],Transporte[VALOR],,0),"")</f>
        <v/>
      </c>
      <c r="F1501" s="33"/>
      <c r="G1501" s="34" t="str">
        <f>IFERROR(IF(F1501&gt;=0,D1501*E1501*(1+F1501/100),ABS(D1501*E1501/F1501)),"")</f>
        <v/>
      </c>
      <c r="H1501" s="139" t="str">
        <f>IFERROR(G1501*E1488,"")</f>
        <v/>
      </c>
    </row>
    <row r="1502" spans="1:8" ht="12.75" customHeight="1">
      <c r="A1502" s="28"/>
      <c r="B1502" s="29"/>
      <c r="C1502" s="30" t="str">
        <f>IFERROR(_xlfn.XLOOKUP(B1502,Transporte[DESCRIPCION],Transporte[UND],,0),"")</f>
        <v/>
      </c>
      <c r="D1502" s="31"/>
      <c r="E1502" s="32" t="str">
        <f>IFERROR(_xlfn.XLOOKUP($B1502,Transporte[DESCRIPCION],Transporte[VALOR],,0),"")</f>
        <v/>
      </c>
      <c r="F1502" s="33"/>
      <c r="G1502" s="34" t="str">
        <f>IFERROR(IF(F1502&gt;=0,D1502*E1502*(1+F1502/100),ABS(D1502*E1502/F1502)),"")</f>
        <v/>
      </c>
      <c r="H1502" s="139" t="str">
        <f>IFERROR(G1502*E1488,"")</f>
        <v/>
      </c>
    </row>
    <row r="1503" spans="1:8" ht="12.75" customHeight="1">
      <c r="A1503" s="21"/>
      <c r="B1503" s="22" t="s">
        <v>3732</v>
      </c>
      <c r="C1503" s="23"/>
      <c r="D1503" s="24"/>
      <c r="E1503" s="25"/>
      <c r="F1503" s="26"/>
      <c r="G1503" s="27">
        <f>SUM(G1504:G1506)</f>
        <v>20959.383393000004</v>
      </c>
      <c r="H1503" s="27">
        <f>IFERROR(G1503*E1488,"")</f>
        <v>0</v>
      </c>
    </row>
    <row r="1504" spans="1:8" ht="12.75" customHeight="1">
      <c r="A1504" s="28"/>
      <c r="B1504" s="29" t="s">
        <v>3710</v>
      </c>
      <c r="C1504" s="30" t="str">
        <f>IFERROR(_xlfn.XLOOKUP(B1504,MObra[DESCRIPCION],MObra[UN],,0),"")</f>
        <v>día</v>
      </c>
      <c r="D1504" s="31">
        <v>1</v>
      </c>
      <c r="E1504" s="32">
        <f>IFERROR(_xlfn.XLOOKUP($B1504,MObra[DESCRIPCION],MObra[VALOR UNIT],,0),"")</f>
        <v>314390.75089500006</v>
      </c>
      <c r="F1504" s="33">
        <v>-15</v>
      </c>
      <c r="G1504" s="34">
        <f>IFERROR(IF(F1504&gt;=0,D1504*E1504*(1+F1504/100),ABS(D1504*E1504/F1504)),"")</f>
        <v>20959.383393000004</v>
      </c>
      <c r="H1504" s="139">
        <f>IFERROR(G1504*E1488,"")</f>
        <v>0</v>
      </c>
    </row>
    <row r="1505" spans="1:11" ht="12.75" customHeight="1">
      <c r="A1505" s="28"/>
      <c r="B1505" s="29"/>
      <c r="C1505" s="30" t="str">
        <f>IFERROR(_xlfn.XLOOKUP(B1505,MObra[DESCRIPCION],MObra[UN],,0),"")</f>
        <v/>
      </c>
      <c r="D1505" s="31"/>
      <c r="E1505" s="32" t="str">
        <f>IFERROR(_xlfn.XLOOKUP($B1505,MObra[DESCRIPCION],MObra[VALOR UNIT],,0),"")</f>
        <v/>
      </c>
      <c r="F1505" s="33"/>
      <c r="G1505" s="34" t="str">
        <f>IFERROR(IF(F1505&gt;=0,D1505*E1505*(1+F1505/100),ABS(D1505*E1505/F1505)),"")</f>
        <v/>
      </c>
      <c r="H1505" s="139" t="str">
        <f>IFERROR(G1505*E1488,"")</f>
        <v/>
      </c>
    </row>
    <row r="1506" spans="1:11" ht="12.75" customHeight="1" thickBot="1">
      <c r="A1506" s="35"/>
      <c r="B1506" s="36"/>
      <c r="C1506" s="37" t="str">
        <f>IFERROR(_xlfn.XLOOKUP(B1506,MObra[DESCRIPCION],MObra[UN],,0),"")</f>
        <v/>
      </c>
      <c r="D1506" s="38"/>
      <c r="E1506" s="39" t="str">
        <f>IFERROR(_xlfn.XLOOKUP($B1506,MObra[DESCRIPCION],MObra[VALOR UNIT],,0),"")</f>
        <v/>
      </c>
      <c r="F1506" s="40"/>
      <c r="G1506" s="41" t="str">
        <f>IFERROR(IF(F1506&gt;=0,D1506*E1506*(1+F1506/100),ABS(D1506*E1506/F1506)),"")</f>
        <v/>
      </c>
      <c r="H1506" s="42" t="str">
        <f>IFERROR(G1506*E1488,"")</f>
        <v/>
      </c>
    </row>
    <row r="1507" spans="1:11" ht="12.75" customHeight="1" thickTop="1" thickBot="1"/>
    <row r="1508" spans="1:11" ht="12.75" customHeight="1" thickTop="1" thickBot="1">
      <c r="A1508" s="6" t="s">
        <v>1518</v>
      </c>
      <c r="B1508" s="7" t="str">
        <f>VLOOKUP($A1508,Presupuesto!$A:$D,2,FALSE())</f>
        <v>Rejilla cúpula aluminio Zosco 4x2</v>
      </c>
      <c r="C1508" s="8" t="str">
        <f>VLOOKUP($A1508,Presupuesto!$A:$D,3,FALSE())</f>
        <v>Un</v>
      </c>
      <c r="D1508" s="9"/>
      <c r="E1508" s="10">
        <f>VLOOKUP($A1508,Presupuesto!$A:$D,4,FALSE())</f>
        <v>0</v>
      </c>
      <c r="F1508" s="11" t="s">
        <v>2589</v>
      </c>
      <c r="G1508" s="12">
        <f>SUM(G1510:G1526)/2</f>
        <v>37384.602562650005</v>
      </c>
      <c r="H1508" s="13">
        <f>ROUND(SUM(H1510:H1526),0)/2</f>
        <v>0</v>
      </c>
      <c r="I1508" s="10">
        <f>VLOOKUP(A1508,Presupuesto!$A:$F,6,0)</f>
        <v>0</v>
      </c>
      <c r="J1508" s="10">
        <f>+H1508-I1508</f>
        <v>0</v>
      </c>
      <c r="K1508" s="46">
        <f>+H1508-G1508*E1508</f>
        <v>0</v>
      </c>
    </row>
    <row r="1509" spans="1:11" ht="12.75" customHeight="1" thickTop="1">
      <c r="A1509" s="14"/>
      <c r="B1509" s="15" t="s">
        <v>2586</v>
      </c>
      <c r="C1509" s="15" t="s">
        <v>5</v>
      </c>
      <c r="D1509" s="16" t="s">
        <v>6</v>
      </c>
      <c r="E1509" s="17" t="s">
        <v>7</v>
      </c>
      <c r="F1509" s="18" t="s">
        <v>3728</v>
      </c>
      <c r="G1509" s="19" t="s">
        <v>3729</v>
      </c>
      <c r="H1509" s="20" t="s">
        <v>3797</v>
      </c>
    </row>
    <row r="1510" spans="1:11" ht="12.75" customHeight="1">
      <c r="A1510" s="21"/>
      <c r="B1510" s="22" t="s">
        <v>3730</v>
      </c>
      <c r="C1510" s="23"/>
      <c r="D1510" s="24"/>
      <c r="E1510" s="25"/>
      <c r="F1510" s="26"/>
      <c r="G1510" s="27">
        <f>SUM(G1511:G1515)</f>
        <v>15377.25</v>
      </c>
      <c r="H1510" s="27">
        <f>IFERROR(G1510*E1508,"")</f>
        <v>0</v>
      </c>
    </row>
    <row r="1511" spans="1:11" ht="12.75" customHeight="1">
      <c r="A1511" s="28"/>
      <c r="B1511" s="29" t="s">
        <v>3270</v>
      </c>
      <c r="C1511" s="30" t="str">
        <f>IFERROR(_xlfn.XLOOKUP(B1511,Insumo[DESCRIPCION],Insumo[UND],,0),"")</f>
        <v>Un</v>
      </c>
      <c r="D1511" s="31">
        <v>1</v>
      </c>
      <c r="E1511" s="32">
        <f>IFERROR(_xlfn.XLOOKUP($B1511,Insumo[DESCRIPCION],Insumo[VALOR],,0),"")</f>
        <v>15041.25</v>
      </c>
      <c r="F1511" s="33"/>
      <c r="G1511" s="34">
        <f>IFERROR(IF(F1511&gt;=0,D1511*E1511*(1+F1511/100),ABS(D1511*E1511/F1511)),"")</f>
        <v>15041.25</v>
      </c>
      <c r="H1511" s="139">
        <f>IFERROR(G1511*E1508,"")</f>
        <v>0</v>
      </c>
    </row>
    <row r="1512" spans="1:11" ht="12.75" customHeight="1">
      <c r="A1512" s="28"/>
      <c r="B1512" s="29" t="s">
        <v>2823</v>
      </c>
      <c r="C1512" s="30" t="str">
        <f>IFERROR(_xlfn.XLOOKUP(B1512,Insumo[DESCRIPCION],Insumo[UND],,0),"")</f>
        <v>Kg</v>
      </c>
      <c r="D1512" s="31">
        <v>0.2</v>
      </c>
      <c r="E1512" s="32">
        <f>IFERROR(_xlfn.XLOOKUP($B1512,Insumo[DESCRIPCION],Insumo[VALOR],,0),"")</f>
        <v>1680</v>
      </c>
      <c r="F1512" s="33"/>
      <c r="G1512" s="34">
        <f>IFERROR(IF(F1512&gt;=0,D1512*E1512*(1+F1512/100),ABS(D1512*E1512/F1512)),"")</f>
        <v>336</v>
      </c>
      <c r="H1512" s="139">
        <f>IFERROR(G1512*E1508,"")</f>
        <v>0</v>
      </c>
    </row>
    <row r="1513" spans="1:11" ht="12.75" customHeight="1">
      <c r="A1513" s="28"/>
      <c r="B1513" s="29"/>
      <c r="C1513" s="30" t="str">
        <f>IFERROR(_xlfn.XLOOKUP(B1513,Insumo[DESCRIPCION],Insumo[UND],,0),"")</f>
        <v/>
      </c>
      <c r="D1513" s="31"/>
      <c r="E1513" s="32" t="str">
        <f>IFERROR(_xlfn.XLOOKUP($B1513,Insumo[DESCRIPCION],Insumo[VALOR],,0),"")</f>
        <v/>
      </c>
      <c r="F1513" s="33"/>
      <c r="G1513" s="34" t="str">
        <f>IFERROR(IF(F1513&gt;=0,D1513*E1513*(1+F1513/100),ABS(D1513*E1513/F1513)),"")</f>
        <v/>
      </c>
      <c r="H1513" s="139" t="str">
        <f>IFERROR(G1513*E1508,"")</f>
        <v/>
      </c>
    </row>
    <row r="1514" spans="1:11" ht="12.75" customHeight="1">
      <c r="A1514" s="28"/>
      <c r="B1514" s="29"/>
      <c r="C1514" s="30" t="str">
        <f>IFERROR(_xlfn.XLOOKUP(B1514,Insumo[DESCRIPCION],Insumo[UND],,0),"")</f>
        <v/>
      </c>
      <c r="D1514" s="31"/>
      <c r="E1514" s="32" t="str">
        <f>IFERROR(_xlfn.XLOOKUP($B1514,Insumo[DESCRIPCION],Insumo[VALOR],,0),"")</f>
        <v/>
      </c>
      <c r="F1514" s="33"/>
      <c r="G1514" s="34" t="str">
        <f>IFERROR(IF(F1514&gt;=0,D1514*E1514*(1+F1514/100),ABS(D1514*E1514/F1514)),"")</f>
        <v/>
      </c>
      <c r="H1514" s="139" t="str">
        <f>IFERROR(G1514*E1508,"")</f>
        <v/>
      </c>
    </row>
    <row r="1515" spans="1:11" ht="12.75" customHeight="1">
      <c r="A1515" s="28"/>
      <c r="B1515" s="29"/>
      <c r="C1515" s="30" t="str">
        <f>IFERROR(_xlfn.XLOOKUP(B1515,Insumo[DESCRIPCION],Insumo[UND],,0),"")</f>
        <v/>
      </c>
      <c r="D1515" s="31"/>
      <c r="E1515" s="32" t="str">
        <f>IFERROR(_xlfn.XLOOKUP($B1515,Insumo[DESCRIPCION],Insumo[VALOR],,0),"")</f>
        <v/>
      </c>
      <c r="F1515" s="33"/>
      <c r="G1515" s="34" t="str">
        <f>IFERROR(IF(F1515&gt;=0,D1515*E1515*(1+F1515/100),ABS(D1515*E1515/F1515)),"")</f>
        <v/>
      </c>
      <c r="H1515" s="139" t="str">
        <f>IFERROR(G1515*E1508,"")</f>
        <v/>
      </c>
    </row>
    <row r="1516" spans="1:11" ht="12.75" customHeight="1">
      <c r="A1516" s="21"/>
      <c r="B1516" s="22" t="s">
        <v>3731</v>
      </c>
      <c r="C1516" s="23"/>
      <c r="D1516" s="24"/>
      <c r="E1516" s="25"/>
      <c r="F1516" s="26"/>
      <c r="G1516" s="27">
        <f>SUM(G1517:G1519)</f>
        <v>1047.9691696500001</v>
      </c>
      <c r="H1516" s="27">
        <f>IFERROR(G1516*E1508,"")</f>
        <v>0</v>
      </c>
    </row>
    <row r="1517" spans="1:11" ht="12.75" customHeight="1">
      <c r="A1517" s="28"/>
      <c r="B1517" s="29" t="s">
        <v>3626</v>
      </c>
      <c r="C1517" s="30" t="str">
        <f>IFERROR(_xlfn.XLOOKUP(B1517,Equipo[DESCRIPCION],Equipo[UND],,0),"")</f>
        <v>%MO</v>
      </c>
      <c r="D1517" s="31">
        <v>0.05</v>
      </c>
      <c r="E1517" s="32">
        <f>IF(C1517="%MO",G1523,IFERROR(_xlfn.XLOOKUP($B1517,Equipo[DESCRIPCION],Equipo[VALOR],,0),""))</f>
        <v>20959.383393000004</v>
      </c>
      <c r="F1517" s="33"/>
      <c r="G1517" s="34">
        <f>IFERROR(IF(F1517&gt;=0,D1517*E1517*(1+F1517/100),ABS(D1517*E1517/F1517)),"")</f>
        <v>1047.9691696500001</v>
      </c>
      <c r="H1517" s="139">
        <f>IFERROR(G1517*E1508,"")</f>
        <v>0</v>
      </c>
    </row>
    <row r="1518" spans="1:11" ht="12.75" customHeight="1">
      <c r="A1518" s="28"/>
      <c r="B1518" s="29"/>
      <c r="C1518" s="30" t="str">
        <f>IFERROR(_xlfn.XLOOKUP(B1518,Equipo[DESCRIPCION],Equipo[UND],,0),"")</f>
        <v/>
      </c>
      <c r="D1518" s="31"/>
      <c r="E1518" s="32" t="str">
        <f>IF(C1518="%MO",G1523,IFERROR(_xlfn.XLOOKUP($B1518,Equipo[DESCRIPCION],Equipo[VALOR],,0),""))</f>
        <v/>
      </c>
      <c r="F1518" s="33"/>
      <c r="G1518" s="34" t="str">
        <f>IFERROR(IF(F1518&gt;=0,D1518*E1518*(1+F1518/100),ABS(D1518*E1518/F1518)),"")</f>
        <v/>
      </c>
      <c r="H1518" s="139" t="str">
        <f>IFERROR(G1518*E1508,"")</f>
        <v/>
      </c>
    </row>
    <row r="1519" spans="1:11" ht="12.75" customHeight="1">
      <c r="A1519" s="28"/>
      <c r="B1519" s="29"/>
      <c r="C1519" s="30" t="str">
        <f>IFERROR(_xlfn.XLOOKUP(B1519,Equipo[DESCRIPCION],Equipo[UND],,0),"")</f>
        <v/>
      </c>
      <c r="D1519" s="31"/>
      <c r="E1519" s="32" t="str">
        <f>IF(C1519="%MO",G1523,IFERROR(_xlfn.XLOOKUP($B1519,Equipo[DESCRIPCION],Equipo[VALOR],,0),""))</f>
        <v/>
      </c>
      <c r="F1519" s="33"/>
      <c r="G1519" s="34" t="str">
        <f>IFERROR(IF(F1519&gt;=0,D1519*E1519*(1+F1519/100),ABS(D1519*E1519/F1519)),"")</f>
        <v/>
      </c>
      <c r="H1519" s="139" t="str">
        <f>IFERROR(G1519*E1508,"")</f>
        <v/>
      </c>
    </row>
    <row r="1520" spans="1:11" ht="12.75" customHeight="1">
      <c r="A1520" s="21"/>
      <c r="B1520" s="22" t="s">
        <v>2533</v>
      </c>
      <c r="C1520" s="23"/>
      <c r="D1520" s="24"/>
      <c r="E1520" s="25"/>
      <c r="F1520" s="26"/>
      <c r="G1520" s="27">
        <f>SUM(G1521:G1522)</f>
        <v>0</v>
      </c>
      <c r="H1520" s="27">
        <f>IFERROR(G1520*E1508,"")</f>
        <v>0</v>
      </c>
    </row>
    <row r="1521" spans="1:11" ht="12.75" customHeight="1">
      <c r="A1521" s="28"/>
      <c r="B1521" s="29"/>
      <c r="C1521" s="30" t="str">
        <f>IFERROR(_xlfn.XLOOKUP(B1521,Transporte[DESCRIPCION],Transporte[UND],,0),"")</f>
        <v/>
      </c>
      <c r="D1521" s="31"/>
      <c r="E1521" s="32" t="str">
        <f>IFERROR(_xlfn.XLOOKUP($B1521,Transporte[DESCRIPCION],Transporte[VALOR],,0),"")</f>
        <v/>
      </c>
      <c r="F1521" s="33"/>
      <c r="G1521" s="34" t="str">
        <f>IFERROR(IF(F1521&gt;=0,D1521*E1521*(1+F1521/100),ABS(D1521*E1521/F1521)),"")</f>
        <v/>
      </c>
      <c r="H1521" s="139" t="str">
        <f>IFERROR(G1521*E1508,"")</f>
        <v/>
      </c>
    </row>
    <row r="1522" spans="1:11" ht="12.75" customHeight="1">
      <c r="A1522" s="28"/>
      <c r="B1522" s="29"/>
      <c r="C1522" s="30" t="str">
        <f>IFERROR(_xlfn.XLOOKUP(B1522,Transporte[DESCRIPCION],Transporte[UND],,0),"")</f>
        <v/>
      </c>
      <c r="D1522" s="31"/>
      <c r="E1522" s="32" t="str">
        <f>IFERROR(_xlfn.XLOOKUP($B1522,Transporte[DESCRIPCION],Transporte[VALOR],,0),"")</f>
        <v/>
      </c>
      <c r="F1522" s="33"/>
      <c r="G1522" s="34" t="str">
        <f>IFERROR(IF(F1522&gt;=0,D1522*E1522*(1+F1522/100),ABS(D1522*E1522/F1522)),"")</f>
        <v/>
      </c>
      <c r="H1522" s="139" t="str">
        <f>IFERROR(G1522*E1508,"")</f>
        <v/>
      </c>
    </row>
    <row r="1523" spans="1:11" ht="12.75" customHeight="1">
      <c r="A1523" s="21"/>
      <c r="B1523" s="22" t="s">
        <v>3732</v>
      </c>
      <c r="C1523" s="23"/>
      <c r="D1523" s="24"/>
      <c r="E1523" s="25"/>
      <c r="F1523" s="26"/>
      <c r="G1523" s="27">
        <f>SUM(G1524:G1526)</f>
        <v>20959.383393000004</v>
      </c>
      <c r="H1523" s="27">
        <f>IFERROR(G1523*E1508,"")</f>
        <v>0</v>
      </c>
    </row>
    <row r="1524" spans="1:11" ht="12.75" customHeight="1">
      <c r="A1524" s="28"/>
      <c r="B1524" s="29" t="s">
        <v>3710</v>
      </c>
      <c r="C1524" s="30" t="str">
        <f>IFERROR(_xlfn.XLOOKUP(B1524,MObra[DESCRIPCION],MObra[UN],,0),"")</f>
        <v>día</v>
      </c>
      <c r="D1524" s="31">
        <v>1</v>
      </c>
      <c r="E1524" s="32">
        <f>IFERROR(_xlfn.XLOOKUP($B1524,MObra[DESCRIPCION],MObra[VALOR UNIT],,0),"")</f>
        <v>314390.75089500006</v>
      </c>
      <c r="F1524" s="33">
        <v>-15</v>
      </c>
      <c r="G1524" s="34">
        <f>IFERROR(IF(F1524&gt;=0,D1524*E1524*(1+F1524/100),ABS(D1524*E1524/F1524)),"")</f>
        <v>20959.383393000004</v>
      </c>
      <c r="H1524" s="139">
        <f>IFERROR(G1524*E1508,"")</f>
        <v>0</v>
      </c>
    </row>
    <row r="1525" spans="1:11" ht="12.75" customHeight="1">
      <c r="A1525" s="28"/>
      <c r="B1525" s="29"/>
      <c r="C1525" s="30" t="str">
        <f>IFERROR(_xlfn.XLOOKUP(B1525,MObra[DESCRIPCION],MObra[UN],,0),"")</f>
        <v/>
      </c>
      <c r="D1525" s="31"/>
      <c r="E1525" s="32" t="str">
        <f>IFERROR(_xlfn.XLOOKUP($B1525,MObra[DESCRIPCION],MObra[VALOR UNIT],,0),"")</f>
        <v/>
      </c>
      <c r="F1525" s="33"/>
      <c r="G1525" s="34" t="str">
        <f>IFERROR(IF(F1525&gt;=0,D1525*E1525*(1+F1525/100),ABS(D1525*E1525/F1525)),"")</f>
        <v/>
      </c>
      <c r="H1525" s="139" t="str">
        <f>IFERROR(G1525*E1508,"")</f>
        <v/>
      </c>
    </row>
    <row r="1526" spans="1:11" ht="12.75" customHeight="1" thickBot="1">
      <c r="A1526" s="35"/>
      <c r="B1526" s="36"/>
      <c r="C1526" s="37" t="str">
        <f>IFERROR(_xlfn.XLOOKUP(B1526,MObra[DESCRIPCION],MObra[UN],,0),"")</f>
        <v/>
      </c>
      <c r="D1526" s="38"/>
      <c r="E1526" s="39" t="str">
        <f>IFERROR(_xlfn.XLOOKUP($B1526,MObra[DESCRIPCION],MObra[VALOR UNIT],,0),"")</f>
        <v/>
      </c>
      <c r="F1526" s="40"/>
      <c r="G1526" s="41" t="str">
        <f>IFERROR(IF(F1526&gt;=0,D1526*E1526*(1+F1526/100),ABS(D1526*E1526/F1526)),"")</f>
        <v/>
      </c>
      <c r="H1526" s="42" t="str">
        <f>IFERROR(G1526*E1508,"")</f>
        <v/>
      </c>
    </row>
    <row r="1527" spans="1:11" ht="12.75" customHeight="1" thickTop="1" thickBot="1"/>
    <row r="1528" spans="1:11" ht="12.75" customHeight="1" thickTop="1" thickBot="1">
      <c r="A1528" s="6" t="s">
        <v>1520</v>
      </c>
      <c r="B1528" s="7" t="str">
        <f>VLOOKUP($A1528,Presupuesto!$A:$D,2,FALSE())</f>
        <v>Rejilla cúpula aluminio Zosco 5x3</v>
      </c>
      <c r="C1528" s="8" t="str">
        <f>VLOOKUP($A1528,Presupuesto!$A:$D,3,FALSE())</f>
        <v>Un</v>
      </c>
      <c r="D1528" s="9"/>
      <c r="E1528" s="10">
        <f>VLOOKUP($A1528,Presupuesto!$A:$D,4,FALSE())</f>
        <v>0</v>
      </c>
      <c r="F1528" s="11" t="s">
        <v>2589</v>
      </c>
      <c r="G1528" s="12">
        <f>SUM(G1530:G1546)/2</f>
        <v>51782.202562650011</v>
      </c>
      <c r="H1528" s="13">
        <f>ROUND(SUM(H1530:H1546),0)/2</f>
        <v>0</v>
      </c>
      <c r="I1528" s="10">
        <f>VLOOKUP(A1528,Presupuesto!$A:$F,6,0)</f>
        <v>0</v>
      </c>
      <c r="J1528" s="10">
        <f>+H1528-I1528</f>
        <v>0</v>
      </c>
      <c r="K1528" s="46">
        <f>+H1528-G1528*E1528</f>
        <v>0</v>
      </c>
    </row>
    <row r="1529" spans="1:11" ht="12.75" customHeight="1" thickTop="1">
      <c r="A1529" s="14"/>
      <c r="B1529" s="15" t="s">
        <v>2586</v>
      </c>
      <c r="C1529" s="15" t="s">
        <v>5</v>
      </c>
      <c r="D1529" s="16" t="s">
        <v>6</v>
      </c>
      <c r="E1529" s="17" t="s">
        <v>7</v>
      </c>
      <c r="F1529" s="18" t="s">
        <v>3728</v>
      </c>
      <c r="G1529" s="19" t="s">
        <v>3729</v>
      </c>
      <c r="H1529" s="20" t="s">
        <v>3797</v>
      </c>
    </row>
    <row r="1530" spans="1:11" ht="12.75" customHeight="1">
      <c r="A1530" s="21"/>
      <c r="B1530" s="22" t="s">
        <v>3730</v>
      </c>
      <c r="C1530" s="23"/>
      <c r="D1530" s="24"/>
      <c r="E1530" s="25"/>
      <c r="F1530" s="26"/>
      <c r="G1530" s="27">
        <f>SUM(G1531:G1535)</f>
        <v>29774.850000000002</v>
      </c>
      <c r="H1530" s="27">
        <f>IFERROR(G1530*E1528,"")</f>
        <v>0</v>
      </c>
    </row>
    <row r="1531" spans="1:11" ht="12.75" customHeight="1">
      <c r="A1531" s="28"/>
      <c r="B1531" s="29" t="s">
        <v>3271</v>
      </c>
      <c r="C1531" s="30" t="str">
        <f>IFERROR(_xlfn.XLOOKUP(B1531,Insumo[DESCRIPCION],Insumo[UND],,0),"")</f>
        <v>Un</v>
      </c>
      <c r="D1531" s="31">
        <v>1</v>
      </c>
      <c r="E1531" s="32">
        <f>IFERROR(_xlfn.XLOOKUP($B1531,Insumo[DESCRIPCION],Insumo[VALOR],,0),"")</f>
        <v>29438.850000000002</v>
      </c>
      <c r="F1531" s="33"/>
      <c r="G1531" s="34">
        <f>IFERROR(IF(F1531&gt;=0,D1531*E1531*(1+F1531/100),ABS(D1531*E1531/F1531)),"")</f>
        <v>29438.850000000002</v>
      </c>
      <c r="H1531" s="139">
        <f>IFERROR(G1531*E1528,"")</f>
        <v>0</v>
      </c>
    </row>
    <row r="1532" spans="1:11" ht="12.75" customHeight="1">
      <c r="A1532" s="28"/>
      <c r="B1532" s="29" t="s">
        <v>2823</v>
      </c>
      <c r="C1532" s="30" t="str">
        <f>IFERROR(_xlfn.XLOOKUP(B1532,Insumo[DESCRIPCION],Insumo[UND],,0),"")</f>
        <v>Kg</v>
      </c>
      <c r="D1532" s="31">
        <v>0.2</v>
      </c>
      <c r="E1532" s="32">
        <f>IFERROR(_xlfn.XLOOKUP($B1532,Insumo[DESCRIPCION],Insumo[VALOR],,0),"")</f>
        <v>1680</v>
      </c>
      <c r="F1532" s="33"/>
      <c r="G1532" s="34">
        <f>IFERROR(IF(F1532&gt;=0,D1532*E1532*(1+F1532/100),ABS(D1532*E1532/F1532)),"")</f>
        <v>336</v>
      </c>
      <c r="H1532" s="139">
        <f>IFERROR(G1532*E1528,"")</f>
        <v>0</v>
      </c>
    </row>
    <row r="1533" spans="1:11" ht="12.75" customHeight="1">
      <c r="A1533" s="28"/>
      <c r="B1533" s="29"/>
      <c r="C1533" s="30" t="str">
        <f>IFERROR(_xlfn.XLOOKUP(B1533,Insumo[DESCRIPCION],Insumo[UND],,0),"")</f>
        <v/>
      </c>
      <c r="D1533" s="31"/>
      <c r="E1533" s="32" t="str">
        <f>IFERROR(_xlfn.XLOOKUP($B1533,Insumo[DESCRIPCION],Insumo[VALOR],,0),"")</f>
        <v/>
      </c>
      <c r="F1533" s="33"/>
      <c r="G1533" s="34" t="str">
        <f>IFERROR(IF(F1533&gt;=0,D1533*E1533*(1+F1533/100),ABS(D1533*E1533/F1533)),"")</f>
        <v/>
      </c>
      <c r="H1533" s="139" t="str">
        <f>IFERROR(G1533*E1528,"")</f>
        <v/>
      </c>
    </row>
    <row r="1534" spans="1:11" ht="12.75" customHeight="1">
      <c r="A1534" s="28"/>
      <c r="B1534" s="29"/>
      <c r="C1534" s="30" t="str">
        <f>IFERROR(_xlfn.XLOOKUP(B1534,Insumo[DESCRIPCION],Insumo[UND],,0),"")</f>
        <v/>
      </c>
      <c r="D1534" s="31"/>
      <c r="E1534" s="32" t="str">
        <f>IFERROR(_xlfn.XLOOKUP($B1534,Insumo[DESCRIPCION],Insumo[VALOR],,0),"")</f>
        <v/>
      </c>
      <c r="F1534" s="33"/>
      <c r="G1534" s="34" t="str">
        <f>IFERROR(IF(F1534&gt;=0,D1534*E1534*(1+F1534/100),ABS(D1534*E1534/F1534)),"")</f>
        <v/>
      </c>
      <c r="H1534" s="139" t="str">
        <f>IFERROR(G1534*E1528,"")</f>
        <v/>
      </c>
    </row>
    <row r="1535" spans="1:11" ht="12.75" customHeight="1">
      <c r="A1535" s="28"/>
      <c r="B1535" s="29"/>
      <c r="C1535" s="30" t="str">
        <f>IFERROR(_xlfn.XLOOKUP(B1535,Insumo[DESCRIPCION],Insumo[UND],,0),"")</f>
        <v/>
      </c>
      <c r="D1535" s="31"/>
      <c r="E1535" s="32" t="str">
        <f>IFERROR(_xlfn.XLOOKUP($B1535,Insumo[DESCRIPCION],Insumo[VALOR],,0),"")</f>
        <v/>
      </c>
      <c r="F1535" s="33"/>
      <c r="G1535" s="34" t="str">
        <f>IFERROR(IF(F1535&gt;=0,D1535*E1535*(1+F1535/100),ABS(D1535*E1535/F1535)),"")</f>
        <v/>
      </c>
      <c r="H1535" s="139" t="str">
        <f>IFERROR(G1535*E1528,"")</f>
        <v/>
      </c>
    </row>
    <row r="1536" spans="1:11" ht="12.75" customHeight="1">
      <c r="A1536" s="21"/>
      <c r="B1536" s="22" t="s">
        <v>3731</v>
      </c>
      <c r="C1536" s="23"/>
      <c r="D1536" s="24"/>
      <c r="E1536" s="25"/>
      <c r="F1536" s="26"/>
      <c r="G1536" s="27">
        <f>SUM(G1537:G1539)</f>
        <v>1047.9691696500001</v>
      </c>
      <c r="H1536" s="27">
        <f>IFERROR(G1536*E1528,"")</f>
        <v>0</v>
      </c>
    </row>
    <row r="1537" spans="1:11" ht="12.75" customHeight="1">
      <c r="A1537" s="28"/>
      <c r="B1537" s="29" t="s">
        <v>3626</v>
      </c>
      <c r="C1537" s="30" t="str">
        <f>IFERROR(_xlfn.XLOOKUP(B1537,Equipo[DESCRIPCION],Equipo[UND],,0),"")</f>
        <v>%MO</v>
      </c>
      <c r="D1537" s="31">
        <v>0.05</v>
      </c>
      <c r="E1537" s="32">
        <f>IF(C1537="%MO",G1543,IFERROR(_xlfn.XLOOKUP($B1537,Equipo[DESCRIPCION],Equipo[VALOR],,0),""))</f>
        <v>20959.383393000004</v>
      </c>
      <c r="F1537" s="33"/>
      <c r="G1537" s="34">
        <f>IFERROR(IF(F1537&gt;=0,D1537*E1537*(1+F1537/100),ABS(D1537*E1537/F1537)),"")</f>
        <v>1047.9691696500001</v>
      </c>
      <c r="H1537" s="139">
        <f>IFERROR(G1537*E1528,"")</f>
        <v>0</v>
      </c>
    </row>
    <row r="1538" spans="1:11" ht="12.75" customHeight="1">
      <c r="A1538" s="28"/>
      <c r="B1538" s="29"/>
      <c r="C1538" s="30" t="str">
        <f>IFERROR(_xlfn.XLOOKUP(B1538,Equipo[DESCRIPCION],Equipo[UND],,0),"")</f>
        <v/>
      </c>
      <c r="D1538" s="31"/>
      <c r="E1538" s="32" t="str">
        <f>IF(C1538="%MO",G1543,IFERROR(_xlfn.XLOOKUP($B1538,Equipo[DESCRIPCION],Equipo[VALOR],,0),""))</f>
        <v/>
      </c>
      <c r="F1538" s="33"/>
      <c r="G1538" s="34" t="str">
        <f>IFERROR(IF(F1538&gt;=0,D1538*E1538*(1+F1538/100),ABS(D1538*E1538/F1538)),"")</f>
        <v/>
      </c>
      <c r="H1538" s="139" t="str">
        <f>IFERROR(G1538*E1528,"")</f>
        <v/>
      </c>
    </row>
    <row r="1539" spans="1:11" ht="12.75" customHeight="1">
      <c r="A1539" s="28"/>
      <c r="B1539" s="29"/>
      <c r="C1539" s="30" t="str">
        <f>IFERROR(_xlfn.XLOOKUP(B1539,Equipo[DESCRIPCION],Equipo[UND],,0),"")</f>
        <v/>
      </c>
      <c r="D1539" s="31"/>
      <c r="E1539" s="32" t="str">
        <f>IF(C1539="%MO",G1543,IFERROR(_xlfn.XLOOKUP($B1539,Equipo[DESCRIPCION],Equipo[VALOR],,0),""))</f>
        <v/>
      </c>
      <c r="F1539" s="33"/>
      <c r="G1539" s="34" t="str">
        <f>IFERROR(IF(F1539&gt;=0,D1539*E1539*(1+F1539/100),ABS(D1539*E1539/F1539)),"")</f>
        <v/>
      </c>
      <c r="H1539" s="139" t="str">
        <f>IFERROR(G1539*E1528,"")</f>
        <v/>
      </c>
    </row>
    <row r="1540" spans="1:11" ht="12.75" customHeight="1">
      <c r="A1540" s="21"/>
      <c r="B1540" s="22" t="s">
        <v>2533</v>
      </c>
      <c r="C1540" s="23"/>
      <c r="D1540" s="24"/>
      <c r="E1540" s="25"/>
      <c r="F1540" s="26"/>
      <c r="G1540" s="27">
        <f>SUM(G1541:G1542)</f>
        <v>0</v>
      </c>
      <c r="H1540" s="27">
        <f>IFERROR(G1540*E1528,"")</f>
        <v>0</v>
      </c>
    </row>
    <row r="1541" spans="1:11" ht="12.75" customHeight="1">
      <c r="A1541" s="28"/>
      <c r="B1541" s="29"/>
      <c r="C1541" s="30" t="str">
        <f>IFERROR(_xlfn.XLOOKUP(B1541,Transporte[DESCRIPCION],Transporte[UND],,0),"")</f>
        <v/>
      </c>
      <c r="D1541" s="31"/>
      <c r="E1541" s="32" t="str">
        <f>IFERROR(_xlfn.XLOOKUP($B1541,Transporte[DESCRIPCION],Transporte[VALOR],,0),"")</f>
        <v/>
      </c>
      <c r="F1541" s="33"/>
      <c r="G1541" s="34" t="str">
        <f>IFERROR(IF(F1541&gt;=0,D1541*E1541*(1+F1541/100),ABS(D1541*E1541/F1541)),"")</f>
        <v/>
      </c>
      <c r="H1541" s="139" t="str">
        <f>IFERROR(G1541*E1528,"")</f>
        <v/>
      </c>
    </row>
    <row r="1542" spans="1:11" ht="12.75" customHeight="1">
      <c r="A1542" s="28"/>
      <c r="B1542" s="29"/>
      <c r="C1542" s="30" t="str">
        <f>IFERROR(_xlfn.XLOOKUP(B1542,Transporte[DESCRIPCION],Transporte[UND],,0),"")</f>
        <v/>
      </c>
      <c r="D1542" s="31"/>
      <c r="E1542" s="32" t="str">
        <f>IFERROR(_xlfn.XLOOKUP($B1542,Transporte[DESCRIPCION],Transporte[VALOR],,0),"")</f>
        <v/>
      </c>
      <c r="F1542" s="33"/>
      <c r="G1542" s="34" t="str">
        <f>IFERROR(IF(F1542&gt;=0,D1542*E1542*(1+F1542/100),ABS(D1542*E1542/F1542)),"")</f>
        <v/>
      </c>
      <c r="H1542" s="139" t="str">
        <f>IFERROR(G1542*E1528,"")</f>
        <v/>
      </c>
    </row>
    <row r="1543" spans="1:11" ht="12.75" customHeight="1">
      <c r="A1543" s="21"/>
      <c r="B1543" s="22" t="s">
        <v>3732</v>
      </c>
      <c r="C1543" s="23"/>
      <c r="D1543" s="24"/>
      <c r="E1543" s="25"/>
      <c r="F1543" s="26"/>
      <c r="G1543" s="27">
        <f>SUM(G1544:G1546)</f>
        <v>20959.383393000004</v>
      </c>
      <c r="H1543" s="27">
        <f>IFERROR(G1543*E1528,"")</f>
        <v>0</v>
      </c>
    </row>
    <row r="1544" spans="1:11" ht="12.75" customHeight="1">
      <c r="A1544" s="28"/>
      <c r="B1544" s="29" t="s">
        <v>3710</v>
      </c>
      <c r="C1544" s="30" t="str">
        <f>IFERROR(_xlfn.XLOOKUP(B1544,MObra[DESCRIPCION],MObra[UN],,0),"")</f>
        <v>día</v>
      </c>
      <c r="D1544" s="31">
        <v>1</v>
      </c>
      <c r="E1544" s="32">
        <f>IFERROR(_xlfn.XLOOKUP($B1544,MObra[DESCRIPCION],MObra[VALOR UNIT],,0),"")</f>
        <v>314390.75089500006</v>
      </c>
      <c r="F1544" s="33">
        <v>-15</v>
      </c>
      <c r="G1544" s="34">
        <f>IFERROR(IF(F1544&gt;=0,D1544*E1544*(1+F1544/100),ABS(D1544*E1544/F1544)),"")</f>
        <v>20959.383393000004</v>
      </c>
      <c r="H1544" s="139">
        <f>IFERROR(G1544*E1528,"")</f>
        <v>0</v>
      </c>
    </row>
    <row r="1545" spans="1:11" ht="12.75" customHeight="1">
      <c r="A1545" s="28"/>
      <c r="B1545" s="29"/>
      <c r="C1545" s="30" t="str">
        <f>IFERROR(_xlfn.XLOOKUP(B1545,MObra[DESCRIPCION],MObra[UN],,0),"")</f>
        <v/>
      </c>
      <c r="D1545" s="31"/>
      <c r="E1545" s="32" t="str">
        <f>IFERROR(_xlfn.XLOOKUP($B1545,MObra[DESCRIPCION],MObra[VALOR UNIT],,0),"")</f>
        <v/>
      </c>
      <c r="F1545" s="33"/>
      <c r="G1545" s="34" t="str">
        <f>IFERROR(IF(F1545&gt;=0,D1545*E1545*(1+F1545/100),ABS(D1545*E1545/F1545)),"")</f>
        <v/>
      </c>
      <c r="H1545" s="139" t="str">
        <f>IFERROR(G1545*E1528,"")</f>
        <v/>
      </c>
    </row>
    <row r="1546" spans="1:11" ht="12.75" customHeight="1" thickBot="1">
      <c r="A1546" s="35"/>
      <c r="B1546" s="36"/>
      <c r="C1546" s="37" t="str">
        <f>IFERROR(_xlfn.XLOOKUP(B1546,MObra[DESCRIPCION],MObra[UN],,0),"")</f>
        <v/>
      </c>
      <c r="D1546" s="38"/>
      <c r="E1546" s="39" t="str">
        <f>IFERROR(_xlfn.XLOOKUP($B1546,MObra[DESCRIPCION],MObra[VALOR UNIT],,0),"")</f>
        <v/>
      </c>
      <c r="F1546" s="40"/>
      <c r="G1546" s="41" t="str">
        <f>IFERROR(IF(F1546&gt;=0,D1546*E1546*(1+F1546/100),ABS(D1546*E1546/F1546)),"")</f>
        <v/>
      </c>
      <c r="H1546" s="42" t="str">
        <f>IFERROR(G1546*E1528,"")</f>
        <v/>
      </c>
    </row>
    <row r="1547" spans="1:11" ht="12.75" customHeight="1" thickTop="1" thickBot="1"/>
    <row r="1548" spans="1:11" ht="12.75" customHeight="1" thickTop="1" thickBot="1">
      <c r="A1548" s="6" t="s">
        <v>1522</v>
      </c>
      <c r="B1548" s="7" t="str">
        <f>VLOOKUP($A1548,Presupuesto!$A:$D,2,FALSE())</f>
        <v>Rejilla cúpula aluminio Zosco 6x4</v>
      </c>
      <c r="C1548" s="8" t="str">
        <f>VLOOKUP($A1548,Presupuesto!$A:$D,3,FALSE())</f>
        <v>Un</v>
      </c>
      <c r="D1548" s="9"/>
      <c r="E1548" s="10">
        <f>VLOOKUP($A1548,Presupuesto!$A:$D,4,FALSE())</f>
        <v>0</v>
      </c>
      <c r="F1548" s="11" t="s">
        <v>2589</v>
      </c>
      <c r="G1548" s="12">
        <f>SUM(G1550:G1566)/2</f>
        <v>69968.202562649996</v>
      </c>
      <c r="H1548" s="13">
        <f>ROUND(SUM(H1550:H1566),0)/2</f>
        <v>0</v>
      </c>
      <c r="I1548" s="10">
        <f>VLOOKUP(A1548,Presupuesto!$A:$F,6,0)</f>
        <v>0</v>
      </c>
      <c r="J1548" s="10">
        <f>+H1548-I1548</f>
        <v>0</v>
      </c>
      <c r="K1548" s="46">
        <f>+H1548-G1548*E1548</f>
        <v>0</v>
      </c>
    </row>
    <row r="1549" spans="1:11" ht="12.75" customHeight="1" thickTop="1">
      <c r="A1549" s="14"/>
      <c r="B1549" s="15" t="s">
        <v>2586</v>
      </c>
      <c r="C1549" s="15" t="s">
        <v>5</v>
      </c>
      <c r="D1549" s="16" t="s">
        <v>6</v>
      </c>
      <c r="E1549" s="17" t="s">
        <v>7</v>
      </c>
      <c r="F1549" s="18" t="s">
        <v>3728</v>
      </c>
      <c r="G1549" s="19" t="s">
        <v>3729</v>
      </c>
      <c r="H1549" s="20" t="s">
        <v>3797</v>
      </c>
    </row>
    <row r="1550" spans="1:11" ht="12.75" customHeight="1">
      <c r="A1550" s="21"/>
      <c r="B1550" s="22" t="s">
        <v>3730</v>
      </c>
      <c r="C1550" s="23"/>
      <c r="D1550" s="24"/>
      <c r="E1550" s="25"/>
      <c r="F1550" s="26"/>
      <c r="G1550" s="27">
        <f>SUM(G1551:G1555)</f>
        <v>47960.85</v>
      </c>
      <c r="H1550" s="27">
        <f>IFERROR(G1550*E1548,"")</f>
        <v>0</v>
      </c>
    </row>
    <row r="1551" spans="1:11" ht="12.75" customHeight="1">
      <c r="A1551" s="28"/>
      <c r="B1551" s="29" t="s">
        <v>3272</v>
      </c>
      <c r="C1551" s="30" t="str">
        <f>IFERROR(_xlfn.XLOOKUP(B1551,Insumo[DESCRIPCION],Insumo[UND],,0),"")</f>
        <v>Un</v>
      </c>
      <c r="D1551" s="31">
        <v>1</v>
      </c>
      <c r="E1551" s="32">
        <f>IFERROR(_xlfn.XLOOKUP($B1551,Insumo[DESCRIPCION],Insumo[VALOR],,0),"")</f>
        <v>47624.85</v>
      </c>
      <c r="F1551" s="33"/>
      <c r="G1551" s="34">
        <f>IFERROR(IF(F1551&gt;=0,D1551*E1551*(1+F1551/100),ABS(D1551*E1551/F1551)),"")</f>
        <v>47624.85</v>
      </c>
      <c r="H1551" s="139">
        <f>IFERROR(G1551*E1548,"")</f>
        <v>0</v>
      </c>
    </row>
    <row r="1552" spans="1:11" ht="12.75" customHeight="1">
      <c r="A1552" s="28"/>
      <c r="B1552" s="29" t="s">
        <v>2823</v>
      </c>
      <c r="C1552" s="30" t="str">
        <f>IFERROR(_xlfn.XLOOKUP(B1552,Insumo[DESCRIPCION],Insumo[UND],,0),"")</f>
        <v>Kg</v>
      </c>
      <c r="D1552" s="31">
        <v>0.2</v>
      </c>
      <c r="E1552" s="32">
        <f>IFERROR(_xlfn.XLOOKUP($B1552,Insumo[DESCRIPCION],Insumo[VALOR],,0),"")</f>
        <v>1680</v>
      </c>
      <c r="F1552" s="33"/>
      <c r="G1552" s="34">
        <f>IFERROR(IF(F1552&gt;=0,D1552*E1552*(1+F1552/100),ABS(D1552*E1552/F1552)),"")</f>
        <v>336</v>
      </c>
      <c r="H1552" s="139">
        <f>IFERROR(G1552*E1548,"")</f>
        <v>0</v>
      </c>
    </row>
    <row r="1553" spans="1:11" ht="12.75" customHeight="1">
      <c r="A1553" s="28"/>
      <c r="B1553" s="29"/>
      <c r="C1553" s="30" t="str">
        <f>IFERROR(_xlfn.XLOOKUP(B1553,Insumo[DESCRIPCION],Insumo[UND],,0),"")</f>
        <v/>
      </c>
      <c r="D1553" s="31"/>
      <c r="E1553" s="32" t="str">
        <f>IFERROR(_xlfn.XLOOKUP($B1553,Insumo[DESCRIPCION],Insumo[VALOR],,0),"")</f>
        <v/>
      </c>
      <c r="F1553" s="33"/>
      <c r="G1553" s="34" t="str">
        <f>IFERROR(IF(F1553&gt;=0,D1553*E1553*(1+F1553/100),ABS(D1553*E1553/F1553)),"")</f>
        <v/>
      </c>
      <c r="H1553" s="139" t="str">
        <f>IFERROR(G1553*E1548,"")</f>
        <v/>
      </c>
    </row>
    <row r="1554" spans="1:11" ht="12.75" customHeight="1">
      <c r="A1554" s="28"/>
      <c r="B1554" s="29"/>
      <c r="C1554" s="30" t="str">
        <f>IFERROR(_xlfn.XLOOKUP(B1554,Insumo[DESCRIPCION],Insumo[UND],,0),"")</f>
        <v/>
      </c>
      <c r="D1554" s="31"/>
      <c r="E1554" s="32" t="str">
        <f>IFERROR(_xlfn.XLOOKUP($B1554,Insumo[DESCRIPCION],Insumo[VALOR],,0),"")</f>
        <v/>
      </c>
      <c r="F1554" s="33"/>
      <c r="G1554" s="34" t="str">
        <f>IFERROR(IF(F1554&gt;=0,D1554*E1554*(1+F1554/100),ABS(D1554*E1554/F1554)),"")</f>
        <v/>
      </c>
      <c r="H1554" s="139" t="str">
        <f>IFERROR(G1554*E1548,"")</f>
        <v/>
      </c>
    </row>
    <row r="1555" spans="1:11" ht="12.75" customHeight="1">
      <c r="A1555" s="28"/>
      <c r="B1555" s="29"/>
      <c r="C1555" s="30" t="str">
        <f>IFERROR(_xlfn.XLOOKUP(B1555,Insumo[DESCRIPCION],Insumo[UND],,0),"")</f>
        <v/>
      </c>
      <c r="D1555" s="31"/>
      <c r="E1555" s="32" t="str">
        <f>IFERROR(_xlfn.XLOOKUP($B1555,Insumo[DESCRIPCION],Insumo[VALOR],,0),"")</f>
        <v/>
      </c>
      <c r="F1555" s="33"/>
      <c r="G1555" s="34" t="str">
        <f>IFERROR(IF(F1555&gt;=0,D1555*E1555*(1+F1555/100),ABS(D1555*E1555/F1555)),"")</f>
        <v/>
      </c>
      <c r="H1555" s="139" t="str">
        <f>IFERROR(G1555*E1548,"")</f>
        <v/>
      </c>
    </row>
    <row r="1556" spans="1:11" ht="12.75" customHeight="1">
      <c r="A1556" s="21"/>
      <c r="B1556" s="22" t="s">
        <v>3731</v>
      </c>
      <c r="C1556" s="23"/>
      <c r="D1556" s="24"/>
      <c r="E1556" s="25"/>
      <c r="F1556" s="26"/>
      <c r="G1556" s="27">
        <f>SUM(G1557:G1559)</f>
        <v>1047.9691696500001</v>
      </c>
      <c r="H1556" s="27">
        <f>IFERROR(G1556*E1548,"")</f>
        <v>0</v>
      </c>
    </row>
    <row r="1557" spans="1:11" ht="12.75" customHeight="1">
      <c r="A1557" s="28"/>
      <c r="B1557" s="29" t="s">
        <v>3626</v>
      </c>
      <c r="C1557" s="30" t="str">
        <f>IFERROR(_xlfn.XLOOKUP(B1557,Equipo[DESCRIPCION],Equipo[UND],,0),"")</f>
        <v>%MO</v>
      </c>
      <c r="D1557" s="31">
        <v>0.05</v>
      </c>
      <c r="E1557" s="32">
        <f>IF(C1557="%MO",G1563,IFERROR(_xlfn.XLOOKUP($B1557,Equipo[DESCRIPCION],Equipo[VALOR],,0),""))</f>
        <v>20959.383393000004</v>
      </c>
      <c r="F1557" s="33"/>
      <c r="G1557" s="34">
        <f>IFERROR(IF(F1557&gt;=0,D1557*E1557*(1+F1557/100),ABS(D1557*E1557/F1557)),"")</f>
        <v>1047.9691696500001</v>
      </c>
      <c r="H1557" s="139">
        <f>IFERROR(G1557*E1548,"")</f>
        <v>0</v>
      </c>
    </row>
    <row r="1558" spans="1:11" ht="12.75" customHeight="1">
      <c r="A1558" s="28"/>
      <c r="B1558" s="29"/>
      <c r="C1558" s="30" t="str">
        <f>IFERROR(_xlfn.XLOOKUP(B1558,Equipo[DESCRIPCION],Equipo[UND],,0),"")</f>
        <v/>
      </c>
      <c r="D1558" s="31"/>
      <c r="E1558" s="32" t="str">
        <f>IF(C1558="%MO",G1563,IFERROR(_xlfn.XLOOKUP($B1558,Equipo[DESCRIPCION],Equipo[VALOR],,0),""))</f>
        <v/>
      </c>
      <c r="F1558" s="33"/>
      <c r="G1558" s="34" t="str">
        <f>IFERROR(IF(F1558&gt;=0,D1558*E1558*(1+F1558/100),ABS(D1558*E1558/F1558)),"")</f>
        <v/>
      </c>
      <c r="H1558" s="139" t="str">
        <f>IFERROR(G1558*E1548,"")</f>
        <v/>
      </c>
    </row>
    <row r="1559" spans="1:11" ht="12.75" customHeight="1">
      <c r="A1559" s="28"/>
      <c r="B1559" s="29"/>
      <c r="C1559" s="30" t="str">
        <f>IFERROR(_xlfn.XLOOKUP(B1559,Equipo[DESCRIPCION],Equipo[UND],,0),"")</f>
        <v/>
      </c>
      <c r="D1559" s="31"/>
      <c r="E1559" s="32" t="str">
        <f>IF(C1559="%MO",G1563,IFERROR(_xlfn.XLOOKUP($B1559,Equipo[DESCRIPCION],Equipo[VALOR],,0),""))</f>
        <v/>
      </c>
      <c r="F1559" s="33"/>
      <c r="G1559" s="34" t="str">
        <f>IFERROR(IF(F1559&gt;=0,D1559*E1559*(1+F1559/100),ABS(D1559*E1559/F1559)),"")</f>
        <v/>
      </c>
      <c r="H1559" s="139" t="str">
        <f>IFERROR(G1559*E1548,"")</f>
        <v/>
      </c>
    </row>
    <row r="1560" spans="1:11" ht="12.75" customHeight="1">
      <c r="A1560" s="21"/>
      <c r="B1560" s="22" t="s">
        <v>2533</v>
      </c>
      <c r="C1560" s="23"/>
      <c r="D1560" s="24"/>
      <c r="E1560" s="25"/>
      <c r="F1560" s="26"/>
      <c r="G1560" s="27">
        <f>SUM(G1561:G1562)</f>
        <v>0</v>
      </c>
      <c r="H1560" s="27">
        <f>IFERROR(G1560*E1548,"")</f>
        <v>0</v>
      </c>
    </row>
    <row r="1561" spans="1:11" ht="12.75" customHeight="1">
      <c r="A1561" s="28"/>
      <c r="B1561" s="29"/>
      <c r="C1561" s="30" t="str">
        <f>IFERROR(_xlfn.XLOOKUP(B1561,Transporte[DESCRIPCION],Transporte[UND],,0),"")</f>
        <v/>
      </c>
      <c r="D1561" s="31"/>
      <c r="E1561" s="32" t="str">
        <f>IFERROR(_xlfn.XLOOKUP($B1561,Transporte[DESCRIPCION],Transporte[VALOR],,0),"")</f>
        <v/>
      </c>
      <c r="F1561" s="33"/>
      <c r="G1561" s="34" t="str">
        <f>IFERROR(IF(F1561&gt;=0,D1561*E1561*(1+F1561/100),ABS(D1561*E1561/F1561)),"")</f>
        <v/>
      </c>
      <c r="H1561" s="139" t="str">
        <f>IFERROR(G1561*E1548,"")</f>
        <v/>
      </c>
    </row>
    <row r="1562" spans="1:11" ht="12.75" customHeight="1">
      <c r="A1562" s="28"/>
      <c r="B1562" s="29"/>
      <c r="C1562" s="30" t="str">
        <f>IFERROR(_xlfn.XLOOKUP(B1562,Transporte[DESCRIPCION],Transporte[UND],,0),"")</f>
        <v/>
      </c>
      <c r="D1562" s="31"/>
      <c r="E1562" s="32" t="str">
        <f>IFERROR(_xlfn.XLOOKUP($B1562,Transporte[DESCRIPCION],Transporte[VALOR],,0),"")</f>
        <v/>
      </c>
      <c r="F1562" s="33"/>
      <c r="G1562" s="34" t="str">
        <f>IFERROR(IF(F1562&gt;=0,D1562*E1562*(1+F1562/100),ABS(D1562*E1562/F1562)),"")</f>
        <v/>
      </c>
      <c r="H1562" s="139" t="str">
        <f>IFERROR(G1562*E1548,"")</f>
        <v/>
      </c>
    </row>
    <row r="1563" spans="1:11" ht="12.75" customHeight="1">
      <c r="A1563" s="21"/>
      <c r="B1563" s="22" t="s">
        <v>3732</v>
      </c>
      <c r="C1563" s="23"/>
      <c r="D1563" s="24"/>
      <c r="E1563" s="25"/>
      <c r="F1563" s="26"/>
      <c r="G1563" s="27">
        <f>SUM(G1564:G1566)</f>
        <v>20959.383393000004</v>
      </c>
      <c r="H1563" s="27">
        <f>IFERROR(G1563*E1548,"")</f>
        <v>0</v>
      </c>
    </row>
    <row r="1564" spans="1:11" ht="12.75" customHeight="1">
      <c r="A1564" s="28"/>
      <c r="B1564" s="29" t="s">
        <v>3710</v>
      </c>
      <c r="C1564" s="30" t="str">
        <f>IFERROR(_xlfn.XLOOKUP(B1564,MObra[DESCRIPCION],MObra[UN],,0),"")</f>
        <v>día</v>
      </c>
      <c r="D1564" s="31">
        <v>1</v>
      </c>
      <c r="E1564" s="32">
        <f>IFERROR(_xlfn.XLOOKUP($B1564,MObra[DESCRIPCION],MObra[VALOR UNIT],,0),"")</f>
        <v>314390.75089500006</v>
      </c>
      <c r="F1564" s="33">
        <v>-15</v>
      </c>
      <c r="G1564" s="34">
        <f>IFERROR(IF(F1564&gt;=0,D1564*E1564*(1+F1564/100),ABS(D1564*E1564/F1564)),"")</f>
        <v>20959.383393000004</v>
      </c>
      <c r="H1564" s="139">
        <f>IFERROR(G1564*E1548,"")</f>
        <v>0</v>
      </c>
    </row>
    <row r="1565" spans="1:11" ht="12.75" customHeight="1">
      <c r="A1565" s="28"/>
      <c r="B1565" s="29"/>
      <c r="C1565" s="30" t="str">
        <f>IFERROR(_xlfn.XLOOKUP(B1565,MObra[DESCRIPCION],MObra[UN],,0),"")</f>
        <v/>
      </c>
      <c r="D1565" s="31"/>
      <c r="E1565" s="32" t="str">
        <f>IFERROR(_xlfn.XLOOKUP($B1565,MObra[DESCRIPCION],MObra[VALOR UNIT],,0),"")</f>
        <v/>
      </c>
      <c r="F1565" s="33"/>
      <c r="G1565" s="34" t="str">
        <f>IFERROR(IF(F1565&gt;=0,D1565*E1565*(1+F1565/100),ABS(D1565*E1565/F1565)),"")</f>
        <v/>
      </c>
      <c r="H1565" s="139" t="str">
        <f>IFERROR(G1565*E1548,"")</f>
        <v/>
      </c>
    </row>
    <row r="1566" spans="1:11" ht="12.75" customHeight="1" thickBot="1">
      <c r="A1566" s="35"/>
      <c r="B1566" s="36"/>
      <c r="C1566" s="37" t="str">
        <f>IFERROR(_xlfn.XLOOKUP(B1566,MObra[DESCRIPCION],MObra[UN],,0),"")</f>
        <v/>
      </c>
      <c r="D1566" s="38"/>
      <c r="E1566" s="39" t="str">
        <f>IFERROR(_xlfn.XLOOKUP($B1566,MObra[DESCRIPCION],MObra[VALOR UNIT],,0),"")</f>
        <v/>
      </c>
      <c r="F1566" s="40"/>
      <c r="G1566" s="41" t="str">
        <f>IFERROR(IF(F1566&gt;=0,D1566*E1566*(1+F1566/100),ABS(D1566*E1566/F1566)),"")</f>
        <v/>
      </c>
      <c r="H1566" s="42" t="str">
        <f>IFERROR(G1566*E1548,"")</f>
        <v/>
      </c>
    </row>
    <row r="1567" spans="1:11" ht="12.75" customHeight="1" thickTop="1" thickBot="1"/>
    <row r="1568" spans="1:11" ht="12.75" customHeight="1" thickTop="1" thickBot="1">
      <c r="A1568" s="6" t="s">
        <v>1524</v>
      </c>
      <c r="B1568" s="7" t="str">
        <f>VLOOKUP($A1568,Presupuesto!$A:$D,2,FALSE())</f>
        <v>Rejilla sifón aluminio Zosco 3x2</v>
      </c>
      <c r="C1568" s="8" t="str">
        <f>VLOOKUP($A1568,Presupuesto!$A:$D,3,FALSE())</f>
        <v>Un</v>
      </c>
      <c r="D1568" s="9"/>
      <c r="E1568" s="10">
        <f>VLOOKUP($A1568,Presupuesto!$A:$D,4,FALSE())</f>
        <v>0</v>
      </c>
      <c r="F1568" s="11" t="s">
        <v>2589</v>
      </c>
      <c r="G1568" s="12">
        <f>SUM(G1570:G1586)/2</f>
        <v>36870.102562650005</v>
      </c>
      <c r="H1568" s="13">
        <f>ROUND(SUM(H1570:H1586),0)/2</f>
        <v>0</v>
      </c>
      <c r="I1568" s="10">
        <f>VLOOKUP(A1568,Presupuesto!$A:$F,6,0)</f>
        <v>0</v>
      </c>
      <c r="J1568" s="10">
        <f>+H1568-I1568</f>
        <v>0</v>
      </c>
      <c r="K1568" s="46">
        <f>+H1568-G1568*E1568</f>
        <v>0</v>
      </c>
    </row>
    <row r="1569" spans="1:8" ht="12.75" customHeight="1" thickTop="1">
      <c r="A1569" s="14"/>
      <c r="B1569" s="15" t="s">
        <v>2586</v>
      </c>
      <c r="C1569" s="15" t="s">
        <v>5</v>
      </c>
      <c r="D1569" s="16" t="s">
        <v>6</v>
      </c>
      <c r="E1569" s="17" t="s">
        <v>7</v>
      </c>
      <c r="F1569" s="18" t="s">
        <v>3728</v>
      </c>
      <c r="G1569" s="19" t="s">
        <v>3729</v>
      </c>
      <c r="H1569" s="20" t="s">
        <v>3797</v>
      </c>
    </row>
    <row r="1570" spans="1:8" ht="12.75" customHeight="1">
      <c r="A1570" s="21"/>
      <c r="B1570" s="22" t="s">
        <v>3730</v>
      </c>
      <c r="C1570" s="23"/>
      <c r="D1570" s="24"/>
      <c r="E1570" s="25"/>
      <c r="F1570" s="26"/>
      <c r="G1570" s="27">
        <f>SUM(G1571:G1575)</f>
        <v>14862.75</v>
      </c>
      <c r="H1570" s="27">
        <f>IFERROR(G1570*E1568,"")</f>
        <v>0</v>
      </c>
    </row>
    <row r="1571" spans="1:8" ht="12.75" customHeight="1">
      <c r="A1571" s="28"/>
      <c r="B1571" s="29" t="s">
        <v>3264</v>
      </c>
      <c r="C1571" s="30" t="str">
        <f>IFERROR(_xlfn.XLOOKUP(B1571,Insumo[DESCRIPCION],Insumo[UND],,0),"")</f>
        <v>Un</v>
      </c>
      <c r="D1571" s="31">
        <v>1</v>
      </c>
      <c r="E1571" s="32">
        <f>IFERROR(_xlfn.XLOOKUP($B1571,Insumo[DESCRIPCION],Insumo[VALOR],,0),"")</f>
        <v>14526.75</v>
      </c>
      <c r="F1571" s="33"/>
      <c r="G1571" s="34">
        <f>IFERROR(IF(F1571&gt;=0,D1571*E1571*(1+F1571/100),ABS(D1571*E1571/F1571)),"")</f>
        <v>14526.75</v>
      </c>
      <c r="H1571" s="139">
        <f>IFERROR(G1571*E1568,"")</f>
        <v>0</v>
      </c>
    </row>
    <row r="1572" spans="1:8" ht="12.75" customHeight="1">
      <c r="A1572" s="28"/>
      <c r="B1572" s="29" t="s">
        <v>2823</v>
      </c>
      <c r="C1572" s="30" t="str">
        <f>IFERROR(_xlfn.XLOOKUP(B1572,Insumo[DESCRIPCION],Insumo[UND],,0),"")</f>
        <v>Kg</v>
      </c>
      <c r="D1572" s="31">
        <v>0.2</v>
      </c>
      <c r="E1572" s="32">
        <f>IFERROR(_xlfn.XLOOKUP($B1572,Insumo[DESCRIPCION],Insumo[VALOR],,0),"")</f>
        <v>1680</v>
      </c>
      <c r="F1572" s="33"/>
      <c r="G1572" s="34">
        <f>IFERROR(IF(F1572&gt;=0,D1572*E1572*(1+F1572/100),ABS(D1572*E1572/F1572)),"")</f>
        <v>336</v>
      </c>
      <c r="H1572" s="139">
        <f>IFERROR(G1572*E1568,"")</f>
        <v>0</v>
      </c>
    </row>
    <row r="1573" spans="1:8" ht="12.75" customHeight="1">
      <c r="A1573" s="28"/>
      <c r="B1573" s="29"/>
      <c r="C1573" s="30" t="str">
        <f>IFERROR(_xlfn.XLOOKUP(B1573,Insumo[DESCRIPCION],Insumo[UND],,0),"")</f>
        <v/>
      </c>
      <c r="D1573" s="31"/>
      <c r="E1573" s="32" t="str">
        <f>IFERROR(_xlfn.XLOOKUP($B1573,Insumo[DESCRIPCION],Insumo[VALOR],,0),"")</f>
        <v/>
      </c>
      <c r="F1573" s="33"/>
      <c r="G1573" s="34" t="str">
        <f>IFERROR(IF(F1573&gt;=0,D1573*E1573*(1+F1573/100),ABS(D1573*E1573/F1573)),"")</f>
        <v/>
      </c>
      <c r="H1573" s="139" t="str">
        <f>IFERROR(G1573*E1568,"")</f>
        <v/>
      </c>
    </row>
    <row r="1574" spans="1:8" ht="12.75" customHeight="1">
      <c r="A1574" s="28"/>
      <c r="B1574" s="29"/>
      <c r="C1574" s="30" t="str">
        <f>IFERROR(_xlfn.XLOOKUP(B1574,Insumo[DESCRIPCION],Insumo[UND],,0),"")</f>
        <v/>
      </c>
      <c r="D1574" s="31"/>
      <c r="E1574" s="32" t="str">
        <f>IFERROR(_xlfn.XLOOKUP($B1574,Insumo[DESCRIPCION],Insumo[VALOR],,0),"")</f>
        <v/>
      </c>
      <c r="F1574" s="33"/>
      <c r="G1574" s="34" t="str">
        <f>IFERROR(IF(F1574&gt;=0,D1574*E1574*(1+F1574/100),ABS(D1574*E1574/F1574)),"")</f>
        <v/>
      </c>
      <c r="H1574" s="139" t="str">
        <f>IFERROR(G1574*E1568,"")</f>
        <v/>
      </c>
    </row>
    <row r="1575" spans="1:8" ht="12.75" customHeight="1">
      <c r="A1575" s="28"/>
      <c r="B1575" s="29"/>
      <c r="C1575" s="30" t="str">
        <f>IFERROR(_xlfn.XLOOKUP(B1575,Insumo[DESCRIPCION],Insumo[UND],,0),"")</f>
        <v/>
      </c>
      <c r="D1575" s="31"/>
      <c r="E1575" s="32" t="str">
        <f>IFERROR(_xlfn.XLOOKUP($B1575,Insumo[DESCRIPCION],Insumo[VALOR],,0),"")</f>
        <v/>
      </c>
      <c r="F1575" s="33"/>
      <c r="G1575" s="34" t="str">
        <f>IFERROR(IF(F1575&gt;=0,D1575*E1575*(1+F1575/100),ABS(D1575*E1575/F1575)),"")</f>
        <v/>
      </c>
      <c r="H1575" s="139" t="str">
        <f>IFERROR(G1575*E1568,"")</f>
        <v/>
      </c>
    </row>
    <row r="1576" spans="1:8" ht="12.75" customHeight="1">
      <c r="A1576" s="21"/>
      <c r="B1576" s="22" t="s">
        <v>3731</v>
      </c>
      <c r="C1576" s="23"/>
      <c r="D1576" s="24"/>
      <c r="E1576" s="25"/>
      <c r="F1576" s="26"/>
      <c r="G1576" s="27">
        <f>SUM(G1577:G1579)</f>
        <v>1047.9691696500001</v>
      </c>
      <c r="H1576" s="27">
        <f>IFERROR(G1576*E1568,"")</f>
        <v>0</v>
      </c>
    </row>
    <row r="1577" spans="1:8" ht="12.75" customHeight="1">
      <c r="A1577" s="28"/>
      <c r="B1577" s="29" t="s">
        <v>3626</v>
      </c>
      <c r="C1577" s="30" t="str">
        <f>IFERROR(_xlfn.XLOOKUP(B1577,Equipo[DESCRIPCION],Equipo[UND],,0),"")</f>
        <v>%MO</v>
      </c>
      <c r="D1577" s="31">
        <v>0.05</v>
      </c>
      <c r="E1577" s="32">
        <f>IF(C1577="%MO",G1583,IFERROR(_xlfn.XLOOKUP($B1577,Equipo[DESCRIPCION],Equipo[VALOR],,0),""))</f>
        <v>20959.383393000004</v>
      </c>
      <c r="F1577" s="33"/>
      <c r="G1577" s="34">
        <f>IFERROR(IF(F1577&gt;=0,D1577*E1577*(1+F1577/100),ABS(D1577*E1577/F1577)),"")</f>
        <v>1047.9691696500001</v>
      </c>
      <c r="H1577" s="139">
        <f>IFERROR(G1577*E1568,"")</f>
        <v>0</v>
      </c>
    </row>
    <row r="1578" spans="1:8" ht="12.75" customHeight="1">
      <c r="A1578" s="28"/>
      <c r="B1578" s="29"/>
      <c r="C1578" s="30" t="str">
        <f>IFERROR(_xlfn.XLOOKUP(B1578,Equipo[DESCRIPCION],Equipo[UND],,0),"")</f>
        <v/>
      </c>
      <c r="D1578" s="31"/>
      <c r="E1578" s="32" t="str">
        <f>IF(C1578="%MO",G1583,IFERROR(_xlfn.XLOOKUP($B1578,Equipo[DESCRIPCION],Equipo[VALOR],,0),""))</f>
        <v/>
      </c>
      <c r="F1578" s="33"/>
      <c r="G1578" s="34" t="str">
        <f>IFERROR(IF(F1578&gt;=0,D1578*E1578*(1+F1578/100),ABS(D1578*E1578/F1578)),"")</f>
        <v/>
      </c>
      <c r="H1578" s="139" t="str">
        <f>IFERROR(G1578*E1568,"")</f>
        <v/>
      </c>
    </row>
    <row r="1579" spans="1:8" ht="12.75" customHeight="1">
      <c r="A1579" s="28"/>
      <c r="B1579" s="29"/>
      <c r="C1579" s="30" t="str">
        <f>IFERROR(_xlfn.XLOOKUP(B1579,Equipo[DESCRIPCION],Equipo[UND],,0),"")</f>
        <v/>
      </c>
      <c r="D1579" s="31"/>
      <c r="E1579" s="32" t="str">
        <f>IF(C1579="%MO",G1583,IFERROR(_xlfn.XLOOKUP($B1579,Equipo[DESCRIPCION],Equipo[VALOR],,0),""))</f>
        <v/>
      </c>
      <c r="F1579" s="33"/>
      <c r="G1579" s="34" t="str">
        <f>IFERROR(IF(F1579&gt;=0,D1579*E1579*(1+F1579/100),ABS(D1579*E1579/F1579)),"")</f>
        <v/>
      </c>
      <c r="H1579" s="139" t="str">
        <f>IFERROR(G1579*E1568,"")</f>
        <v/>
      </c>
    </row>
    <row r="1580" spans="1:8" ht="12.75" customHeight="1">
      <c r="A1580" s="21"/>
      <c r="B1580" s="22" t="s">
        <v>2533</v>
      </c>
      <c r="C1580" s="23"/>
      <c r="D1580" s="24"/>
      <c r="E1580" s="25"/>
      <c r="F1580" s="26"/>
      <c r="G1580" s="27">
        <f>SUM(G1581:G1582)</f>
        <v>0</v>
      </c>
      <c r="H1580" s="27">
        <f>IFERROR(G1580*E1568,"")</f>
        <v>0</v>
      </c>
    </row>
    <row r="1581" spans="1:8" ht="12.75" customHeight="1">
      <c r="A1581" s="28"/>
      <c r="B1581" s="29"/>
      <c r="C1581" s="30" t="str">
        <f>IFERROR(_xlfn.XLOOKUP(B1581,Transporte[DESCRIPCION],Transporte[UND],,0),"")</f>
        <v/>
      </c>
      <c r="D1581" s="31"/>
      <c r="E1581" s="32" t="str">
        <f>IFERROR(_xlfn.XLOOKUP($B1581,Transporte[DESCRIPCION],Transporte[VALOR],,0),"")</f>
        <v/>
      </c>
      <c r="F1581" s="33"/>
      <c r="G1581" s="34" t="str">
        <f>IFERROR(IF(F1581&gt;=0,D1581*E1581*(1+F1581/100),ABS(D1581*E1581/F1581)),"")</f>
        <v/>
      </c>
      <c r="H1581" s="139" t="str">
        <f>IFERROR(G1581*E1568,"")</f>
        <v/>
      </c>
    </row>
    <row r="1582" spans="1:8" ht="12.75" customHeight="1">
      <c r="A1582" s="28"/>
      <c r="B1582" s="29"/>
      <c r="C1582" s="30" t="str">
        <f>IFERROR(_xlfn.XLOOKUP(B1582,Transporte[DESCRIPCION],Transporte[UND],,0),"")</f>
        <v/>
      </c>
      <c r="D1582" s="31"/>
      <c r="E1582" s="32" t="str">
        <f>IFERROR(_xlfn.XLOOKUP($B1582,Transporte[DESCRIPCION],Transporte[VALOR],,0),"")</f>
        <v/>
      </c>
      <c r="F1582" s="33"/>
      <c r="G1582" s="34" t="str">
        <f>IFERROR(IF(F1582&gt;=0,D1582*E1582*(1+F1582/100),ABS(D1582*E1582/F1582)),"")</f>
        <v/>
      </c>
      <c r="H1582" s="139" t="str">
        <f>IFERROR(G1582*E1568,"")</f>
        <v/>
      </c>
    </row>
    <row r="1583" spans="1:8" ht="12.75" customHeight="1">
      <c r="A1583" s="21"/>
      <c r="B1583" s="22" t="s">
        <v>3732</v>
      </c>
      <c r="C1583" s="23"/>
      <c r="D1583" s="24"/>
      <c r="E1583" s="25"/>
      <c r="F1583" s="26"/>
      <c r="G1583" s="27">
        <f>SUM(G1584:G1586)</f>
        <v>20959.383393000004</v>
      </c>
      <c r="H1583" s="27">
        <f>IFERROR(G1583*E1568,"")</f>
        <v>0</v>
      </c>
    </row>
    <row r="1584" spans="1:8" ht="12.75" customHeight="1">
      <c r="A1584" s="28"/>
      <c r="B1584" s="29" t="s">
        <v>3710</v>
      </c>
      <c r="C1584" s="30" t="str">
        <f>IFERROR(_xlfn.XLOOKUP(B1584,MObra[DESCRIPCION],MObra[UN],,0),"")</f>
        <v>día</v>
      </c>
      <c r="D1584" s="31">
        <v>1</v>
      </c>
      <c r="E1584" s="32">
        <f>IFERROR(_xlfn.XLOOKUP($B1584,MObra[DESCRIPCION],MObra[VALOR UNIT],,0),"")</f>
        <v>314390.75089500006</v>
      </c>
      <c r="F1584" s="33">
        <v>-15</v>
      </c>
      <c r="G1584" s="34">
        <f>IFERROR(IF(F1584&gt;=0,D1584*E1584*(1+F1584/100),ABS(D1584*E1584/F1584)),"")</f>
        <v>20959.383393000004</v>
      </c>
      <c r="H1584" s="139">
        <f>IFERROR(G1584*E1568,"")</f>
        <v>0</v>
      </c>
    </row>
    <row r="1585" spans="1:11" ht="12.75" customHeight="1">
      <c r="A1585" s="28"/>
      <c r="B1585" s="29"/>
      <c r="C1585" s="30" t="str">
        <f>IFERROR(_xlfn.XLOOKUP(B1585,MObra[DESCRIPCION],MObra[UN],,0),"")</f>
        <v/>
      </c>
      <c r="D1585" s="31"/>
      <c r="E1585" s="32" t="str">
        <f>IFERROR(_xlfn.XLOOKUP($B1585,MObra[DESCRIPCION],MObra[VALOR UNIT],,0),"")</f>
        <v/>
      </c>
      <c r="F1585" s="33"/>
      <c r="G1585" s="34" t="str">
        <f>IFERROR(IF(F1585&gt;=0,D1585*E1585*(1+F1585/100),ABS(D1585*E1585/F1585)),"")</f>
        <v/>
      </c>
      <c r="H1585" s="139" t="str">
        <f>IFERROR(G1585*E1568,"")</f>
        <v/>
      </c>
    </row>
    <row r="1586" spans="1:11" ht="12.75" customHeight="1" thickBot="1">
      <c r="A1586" s="35"/>
      <c r="B1586" s="36"/>
      <c r="C1586" s="37" t="str">
        <f>IFERROR(_xlfn.XLOOKUP(B1586,MObra[DESCRIPCION],MObra[UN],,0),"")</f>
        <v/>
      </c>
      <c r="D1586" s="38"/>
      <c r="E1586" s="39" t="str">
        <f>IFERROR(_xlfn.XLOOKUP($B1586,MObra[DESCRIPCION],MObra[VALOR UNIT],,0),"")</f>
        <v/>
      </c>
      <c r="F1586" s="40"/>
      <c r="G1586" s="41" t="str">
        <f>IFERROR(IF(F1586&gt;=0,D1586*E1586*(1+F1586/100),ABS(D1586*E1586/F1586)),"")</f>
        <v/>
      </c>
      <c r="H1586" s="42" t="str">
        <f>IFERROR(G1586*E1568,"")</f>
        <v/>
      </c>
    </row>
    <row r="1587" spans="1:11" ht="12.75" customHeight="1" thickTop="1" thickBot="1"/>
    <row r="1588" spans="1:11" ht="12.75" customHeight="1" thickTop="1" thickBot="1">
      <c r="A1588" s="6" t="s">
        <v>1526</v>
      </c>
      <c r="B1588" s="7" t="str">
        <f>VLOOKUP($A1588,Presupuesto!$A:$D,2,FALSE())</f>
        <v>Rejilla sifón aluminio Zosco 6x4</v>
      </c>
      <c r="C1588" s="8" t="str">
        <f>VLOOKUP($A1588,Presupuesto!$A:$D,3,FALSE())</f>
        <v>Un</v>
      </c>
      <c r="D1588" s="9"/>
      <c r="E1588" s="10">
        <f>VLOOKUP($A1588,Presupuesto!$A:$D,4,FALSE())</f>
        <v>0</v>
      </c>
      <c r="F1588" s="11" t="s">
        <v>2589</v>
      </c>
      <c r="G1588" s="12">
        <f>SUM(G1590:G1606)/2</f>
        <v>69968.202562649996</v>
      </c>
      <c r="H1588" s="13">
        <f>ROUND(SUM(H1590:H1606),0)/2</f>
        <v>0</v>
      </c>
      <c r="I1588" s="10">
        <f>VLOOKUP(A1588,Presupuesto!$A:$F,6,0)</f>
        <v>0</v>
      </c>
      <c r="J1588" s="10">
        <f>+H1588-I1588</f>
        <v>0</v>
      </c>
      <c r="K1588" s="46">
        <f>+H1588-G1588*E1588</f>
        <v>0</v>
      </c>
    </row>
    <row r="1589" spans="1:11" ht="12.75" customHeight="1" thickTop="1">
      <c r="A1589" s="14"/>
      <c r="B1589" s="15" t="s">
        <v>2586</v>
      </c>
      <c r="C1589" s="15" t="s">
        <v>5</v>
      </c>
      <c r="D1589" s="16" t="s">
        <v>6</v>
      </c>
      <c r="E1589" s="17" t="s">
        <v>7</v>
      </c>
      <c r="F1589" s="18" t="s">
        <v>3728</v>
      </c>
      <c r="G1589" s="19" t="s">
        <v>3729</v>
      </c>
      <c r="H1589" s="20" t="s">
        <v>3797</v>
      </c>
    </row>
    <row r="1590" spans="1:11" ht="12.75" customHeight="1">
      <c r="A1590" s="21"/>
      <c r="B1590" s="22" t="s">
        <v>3730</v>
      </c>
      <c r="C1590" s="23"/>
      <c r="D1590" s="24"/>
      <c r="E1590" s="25"/>
      <c r="F1590" s="26"/>
      <c r="G1590" s="27">
        <f>SUM(G1591:G1595)</f>
        <v>47960.85</v>
      </c>
      <c r="H1590" s="27">
        <f>IFERROR(G1590*E1588,"")</f>
        <v>0</v>
      </c>
    </row>
    <row r="1591" spans="1:11" ht="12.75" customHeight="1">
      <c r="A1591" s="28"/>
      <c r="B1591" s="29" t="s">
        <v>3272</v>
      </c>
      <c r="C1591" s="30" t="str">
        <f>IFERROR(_xlfn.XLOOKUP(B1591,Insumo[DESCRIPCION],Insumo[UND],,0),"")</f>
        <v>Un</v>
      </c>
      <c r="D1591" s="31">
        <v>1</v>
      </c>
      <c r="E1591" s="32">
        <f>IFERROR(_xlfn.XLOOKUP($B1591,Insumo[DESCRIPCION],Insumo[VALOR],,0),"")</f>
        <v>47624.85</v>
      </c>
      <c r="F1591" s="33"/>
      <c r="G1591" s="34">
        <f>IFERROR(IF(F1591&gt;=0,D1591*E1591*(1+F1591/100),ABS(D1591*E1591/F1591)),"")</f>
        <v>47624.85</v>
      </c>
      <c r="H1591" s="139">
        <f>IFERROR(G1591*E1588,"")</f>
        <v>0</v>
      </c>
    </row>
    <row r="1592" spans="1:11" ht="12.75" customHeight="1">
      <c r="A1592" s="28"/>
      <c r="B1592" s="29" t="s">
        <v>2823</v>
      </c>
      <c r="C1592" s="30" t="str">
        <f>IFERROR(_xlfn.XLOOKUP(B1592,Insumo[DESCRIPCION],Insumo[UND],,0),"")</f>
        <v>Kg</v>
      </c>
      <c r="D1592" s="31">
        <v>0.2</v>
      </c>
      <c r="E1592" s="32">
        <f>IFERROR(_xlfn.XLOOKUP($B1592,Insumo[DESCRIPCION],Insumo[VALOR],,0),"")</f>
        <v>1680</v>
      </c>
      <c r="F1592" s="33"/>
      <c r="G1592" s="34">
        <f>IFERROR(IF(F1592&gt;=0,D1592*E1592*(1+F1592/100),ABS(D1592*E1592/F1592)),"")</f>
        <v>336</v>
      </c>
      <c r="H1592" s="139">
        <f>IFERROR(G1592*E1588,"")</f>
        <v>0</v>
      </c>
    </row>
    <row r="1593" spans="1:11" ht="12.75" customHeight="1">
      <c r="A1593" s="28"/>
      <c r="B1593" s="29"/>
      <c r="C1593" s="30" t="str">
        <f>IFERROR(_xlfn.XLOOKUP(B1593,Insumo[DESCRIPCION],Insumo[UND],,0),"")</f>
        <v/>
      </c>
      <c r="D1593" s="31"/>
      <c r="E1593" s="32" t="str">
        <f>IFERROR(_xlfn.XLOOKUP($B1593,Insumo[DESCRIPCION],Insumo[VALOR],,0),"")</f>
        <v/>
      </c>
      <c r="F1593" s="33"/>
      <c r="G1593" s="34" t="str">
        <f>IFERROR(IF(F1593&gt;=0,D1593*E1593*(1+F1593/100),ABS(D1593*E1593/F1593)),"")</f>
        <v/>
      </c>
      <c r="H1593" s="139" t="str">
        <f>IFERROR(G1593*E1588,"")</f>
        <v/>
      </c>
    </row>
    <row r="1594" spans="1:11" ht="12.75" customHeight="1">
      <c r="A1594" s="28"/>
      <c r="B1594" s="29"/>
      <c r="C1594" s="30" t="str">
        <f>IFERROR(_xlfn.XLOOKUP(B1594,Insumo[DESCRIPCION],Insumo[UND],,0),"")</f>
        <v/>
      </c>
      <c r="D1594" s="31"/>
      <c r="E1594" s="32" t="str">
        <f>IFERROR(_xlfn.XLOOKUP($B1594,Insumo[DESCRIPCION],Insumo[VALOR],,0),"")</f>
        <v/>
      </c>
      <c r="F1594" s="33"/>
      <c r="G1594" s="34" t="str">
        <f>IFERROR(IF(F1594&gt;=0,D1594*E1594*(1+F1594/100),ABS(D1594*E1594/F1594)),"")</f>
        <v/>
      </c>
      <c r="H1594" s="139" t="str">
        <f>IFERROR(G1594*E1588,"")</f>
        <v/>
      </c>
    </row>
    <row r="1595" spans="1:11" ht="12.75" customHeight="1">
      <c r="A1595" s="28"/>
      <c r="B1595" s="29"/>
      <c r="C1595" s="30" t="str">
        <f>IFERROR(_xlfn.XLOOKUP(B1595,Insumo[DESCRIPCION],Insumo[UND],,0),"")</f>
        <v/>
      </c>
      <c r="D1595" s="31"/>
      <c r="E1595" s="32" t="str">
        <f>IFERROR(_xlfn.XLOOKUP($B1595,Insumo[DESCRIPCION],Insumo[VALOR],,0),"")</f>
        <v/>
      </c>
      <c r="F1595" s="33"/>
      <c r="G1595" s="34" t="str">
        <f>IFERROR(IF(F1595&gt;=0,D1595*E1595*(1+F1595/100),ABS(D1595*E1595/F1595)),"")</f>
        <v/>
      </c>
      <c r="H1595" s="139" t="str">
        <f>IFERROR(G1595*E1588,"")</f>
        <v/>
      </c>
    </row>
    <row r="1596" spans="1:11" ht="12.75" customHeight="1">
      <c r="A1596" s="21"/>
      <c r="B1596" s="22" t="s">
        <v>3731</v>
      </c>
      <c r="C1596" s="23"/>
      <c r="D1596" s="24"/>
      <c r="E1596" s="25"/>
      <c r="F1596" s="26"/>
      <c r="G1596" s="27">
        <f>SUM(G1597:G1599)</f>
        <v>1047.9691696500001</v>
      </c>
      <c r="H1596" s="27">
        <f>IFERROR(G1596*E1588,"")</f>
        <v>0</v>
      </c>
    </row>
    <row r="1597" spans="1:11" ht="12.75" customHeight="1">
      <c r="A1597" s="28"/>
      <c r="B1597" s="29" t="s">
        <v>3626</v>
      </c>
      <c r="C1597" s="30" t="str">
        <f>IFERROR(_xlfn.XLOOKUP(B1597,Equipo[DESCRIPCION],Equipo[UND],,0),"")</f>
        <v>%MO</v>
      </c>
      <c r="D1597" s="31">
        <v>0.05</v>
      </c>
      <c r="E1597" s="32">
        <f>IF(C1597="%MO",G1603,IFERROR(_xlfn.XLOOKUP($B1597,Equipo[DESCRIPCION],Equipo[VALOR],,0),""))</f>
        <v>20959.383393000004</v>
      </c>
      <c r="F1597" s="33"/>
      <c r="G1597" s="34">
        <f>IFERROR(IF(F1597&gt;=0,D1597*E1597*(1+F1597/100),ABS(D1597*E1597/F1597)),"")</f>
        <v>1047.9691696500001</v>
      </c>
      <c r="H1597" s="139">
        <f>IFERROR(G1597*E1588,"")</f>
        <v>0</v>
      </c>
    </row>
    <row r="1598" spans="1:11" ht="12.75" customHeight="1">
      <c r="A1598" s="28"/>
      <c r="B1598" s="29"/>
      <c r="C1598" s="30" t="str">
        <f>IFERROR(_xlfn.XLOOKUP(B1598,Equipo[DESCRIPCION],Equipo[UND],,0),"")</f>
        <v/>
      </c>
      <c r="D1598" s="31"/>
      <c r="E1598" s="32" t="str">
        <f>IF(C1598="%MO",G1603,IFERROR(_xlfn.XLOOKUP($B1598,Equipo[DESCRIPCION],Equipo[VALOR],,0),""))</f>
        <v/>
      </c>
      <c r="F1598" s="33"/>
      <c r="G1598" s="34" t="str">
        <f>IFERROR(IF(F1598&gt;=0,D1598*E1598*(1+F1598/100),ABS(D1598*E1598/F1598)),"")</f>
        <v/>
      </c>
      <c r="H1598" s="139" t="str">
        <f>IFERROR(G1598*E1588,"")</f>
        <v/>
      </c>
    </row>
    <row r="1599" spans="1:11" ht="12.75" customHeight="1">
      <c r="A1599" s="28"/>
      <c r="B1599" s="29"/>
      <c r="C1599" s="30" t="str">
        <f>IFERROR(_xlfn.XLOOKUP(B1599,Equipo[DESCRIPCION],Equipo[UND],,0),"")</f>
        <v/>
      </c>
      <c r="D1599" s="31"/>
      <c r="E1599" s="32" t="str">
        <f>IF(C1599="%MO",G1603,IFERROR(_xlfn.XLOOKUP($B1599,Equipo[DESCRIPCION],Equipo[VALOR],,0),""))</f>
        <v/>
      </c>
      <c r="F1599" s="33"/>
      <c r="G1599" s="34" t="str">
        <f>IFERROR(IF(F1599&gt;=0,D1599*E1599*(1+F1599/100),ABS(D1599*E1599/F1599)),"")</f>
        <v/>
      </c>
      <c r="H1599" s="139" t="str">
        <f>IFERROR(G1599*E1588,"")</f>
        <v/>
      </c>
    </row>
    <row r="1600" spans="1:11" ht="12.75" customHeight="1">
      <c r="A1600" s="21"/>
      <c r="B1600" s="22" t="s">
        <v>2533</v>
      </c>
      <c r="C1600" s="23"/>
      <c r="D1600" s="24"/>
      <c r="E1600" s="25"/>
      <c r="F1600" s="26"/>
      <c r="G1600" s="27">
        <f>SUM(G1601:G1602)</f>
        <v>0</v>
      </c>
      <c r="H1600" s="27">
        <f>IFERROR(G1600*E1588,"")</f>
        <v>0</v>
      </c>
    </row>
    <row r="1601" spans="1:11" ht="12.75" customHeight="1">
      <c r="A1601" s="28"/>
      <c r="B1601" s="29"/>
      <c r="C1601" s="30" t="str">
        <f>IFERROR(_xlfn.XLOOKUP(B1601,Transporte[DESCRIPCION],Transporte[UND],,0),"")</f>
        <v/>
      </c>
      <c r="D1601" s="31"/>
      <c r="E1601" s="32" t="str">
        <f>IFERROR(_xlfn.XLOOKUP($B1601,Transporte[DESCRIPCION],Transporte[VALOR],,0),"")</f>
        <v/>
      </c>
      <c r="F1601" s="33"/>
      <c r="G1601" s="34" t="str">
        <f>IFERROR(IF(F1601&gt;=0,D1601*E1601*(1+F1601/100),ABS(D1601*E1601/F1601)),"")</f>
        <v/>
      </c>
      <c r="H1601" s="139" t="str">
        <f>IFERROR(G1601*E1588,"")</f>
        <v/>
      </c>
    </row>
    <row r="1602" spans="1:11" ht="12.75" customHeight="1">
      <c r="A1602" s="28"/>
      <c r="B1602" s="29"/>
      <c r="C1602" s="30" t="str">
        <f>IFERROR(_xlfn.XLOOKUP(B1602,Transporte[DESCRIPCION],Transporte[UND],,0),"")</f>
        <v/>
      </c>
      <c r="D1602" s="31"/>
      <c r="E1602" s="32" t="str">
        <f>IFERROR(_xlfn.XLOOKUP($B1602,Transporte[DESCRIPCION],Transporte[VALOR],,0),"")</f>
        <v/>
      </c>
      <c r="F1602" s="33"/>
      <c r="G1602" s="34" t="str">
        <f>IFERROR(IF(F1602&gt;=0,D1602*E1602*(1+F1602/100),ABS(D1602*E1602/F1602)),"")</f>
        <v/>
      </c>
      <c r="H1602" s="139" t="str">
        <f>IFERROR(G1602*E1588,"")</f>
        <v/>
      </c>
    </row>
    <row r="1603" spans="1:11" ht="12.75" customHeight="1">
      <c r="A1603" s="21"/>
      <c r="B1603" s="22" t="s">
        <v>3732</v>
      </c>
      <c r="C1603" s="23"/>
      <c r="D1603" s="24"/>
      <c r="E1603" s="25"/>
      <c r="F1603" s="26"/>
      <c r="G1603" s="27">
        <f>SUM(G1604:G1606)</f>
        <v>20959.383393000004</v>
      </c>
      <c r="H1603" s="27">
        <f>IFERROR(G1603*E1588,"")</f>
        <v>0</v>
      </c>
    </row>
    <row r="1604" spans="1:11" ht="12.75" customHeight="1">
      <c r="A1604" s="28"/>
      <c r="B1604" s="29" t="s">
        <v>3710</v>
      </c>
      <c r="C1604" s="30" t="str">
        <f>IFERROR(_xlfn.XLOOKUP(B1604,MObra[DESCRIPCION],MObra[UN],,0),"")</f>
        <v>día</v>
      </c>
      <c r="D1604" s="31">
        <v>1</v>
      </c>
      <c r="E1604" s="32">
        <f>IFERROR(_xlfn.XLOOKUP($B1604,MObra[DESCRIPCION],MObra[VALOR UNIT],,0),"")</f>
        <v>314390.75089500006</v>
      </c>
      <c r="F1604" s="33">
        <v>-15</v>
      </c>
      <c r="G1604" s="34">
        <f>IFERROR(IF(F1604&gt;=0,D1604*E1604*(1+F1604/100),ABS(D1604*E1604/F1604)),"")</f>
        <v>20959.383393000004</v>
      </c>
      <c r="H1604" s="139">
        <f>IFERROR(G1604*E1588,"")</f>
        <v>0</v>
      </c>
    </row>
    <row r="1605" spans="1:11" ht="12.75" customHeight="1">
      <c r="A1605" s="28"/>
      <c r="B1605" s="29"/>
      <c r="C1605" s="30" t="str">
        <f>IFERROR(_xlfn.XLOOKUP(B1605,MObra[DESCRIPCION],MObra[UN],,0),"")</f>
        <v/>
      </c>
      <c r="D1605" s="31"/>
      <c r="E1605" s="32" t="str">
        <f>IFERROR(_xlfn.XLOOKUP($B1605,MObra[DESCRIPCION],MObra[VALOR UNIT],,0),"")</f>
        <v/>
      </c>
      <c r="F1605" s="33"/>
      <c r="G1605" s="34" t="str">
        <f>IFERROR(IF(F1605&gt;=0,D1605*E1605*(1+F1605/100),ABS(D1605*E1605/F1605)),"")</f>
        <v/>
      </c>
      <c r="H1605" s="139" t="str">
        <f>IFERROR(G1605*E1588,"")</f>
        <v/>
      </c>
    </row>
    <row r="1606" spans="1:11" ht="12.75" customHeight="1" thickBot="1">
      <c r="A1606" s="35"/>
      <c r="B1606" s="36"/>
      <c r="C1606" s="37" t="str">
        <f>IFERROR(_xlfn.XLOOKUP(B1606,MObra[DESCRIPCION],MObra[UN],,0),"")</f>
        <v/>
      </c>
      <c r="D1606" s="38"/>
      <c r="E1606" s="39" t="str">
        <f>IFERROR(_xlfn.XLOOKUP($B1606,MObra[DESCRIPCION],MObra[VALOR UNIT],,0),"")</f>
        <v/>
      </c>
      <c r="F1606" s="40"/>
      <c r="G1606" s="41" t="str">
        <f>IFERROR(IF(F1606&gt;=0,D1606*E1606*(1+F1606/100),ABS(D1606*E1606/F1606)),"")</f>
        <v/>
      </c>
      <c r="H1606" s="42" t="str">
        <f>IFERROR(G1606*E1588,"")</f>
        <v/>
      </c>
    </row>
    <row r="1607" spans="1:11" ht="12.75" customHeight="1" thickTop="1" thickBot="1"/>
    <row r="1608" spans="1:11" ht="12.75" customHeight="1" thickTop="1" thickBot="1">
      <c r="A1608" s="6" t="s">
        <v>1528</v>
      </c>
      <c r="B1608" s="7" t="str">
        <f>VLOOKUP($A1608,Presupuesto!$A:$D,2,FALSE())</f>
        <v>Rejilla sifón aluminio Zosco 8x6</v>
      </c>
      <c r="C1608" s="8" t="str">
        <f>VLOOKUP($A1608,Presupuesto!$A:$D,3,FALSE())</f>
        <v>Un</v>
      </c>
      <c r="D1608" s="9"/>
      <c r="E1608" s="10">
        <f>VLOOKUP($A1608,Presupuesto!$A:$D,4,FALSE())</f>
        <v>0</v>
      </c>
      <c r="F1608" s="11" t="s">
        <v>2589</v>
      </c>
      <c r="G1608" s="12">
        <f>SUM(G1610:G1626)/2</f>
        <v>118957.00256265</v>
      </c>
      <c r="H1608" s="13">
        <f>ROUND(SUM(H1610:H1626),0)/2</f>
        <v>0</v>
      </c>
      <c r="I1608" s="10">
        <f>VLOOKUP(A1608,Presupuesto!$A:$F,6,0)</f>
        <v>0</v>
      </c>
      <c r="J1608" s="10">
        <f>+H1608-I1608</f>
        <v>0</v>
      </c>
      <c r="K1608" s="46">
        <f>+H1608-G1608*E1608</f>
        <v>0</v>
      </c>
    </row>
    <row r="1609" spans="1:11" ht="12.75" customHeight="1" thickTop="1">
      <c r="A1609" s="14"/>
      <c r="B1609" s="15" t="s">
        <v>2586</v>
      </c>
      <c r="C1609" s="15" t="s">
        <v>5</v>
      </c>
      <c r="D1609" s="16" t="s">
        <v>6</v>
      </c>
      <c r="E1609" s="17" t="s">
        <v>7</v>
      </c>
      <c r="F1609" s="18" t="s">
        <v>3728</v>
      </c>
      <c r="G1609" s="19" t="s">
        <v>3729</v>
      </c>
      <c r="H1609" s="20" t="s">
        <v>3797</v>
      </c>
    </row>
    <row r="1610" spans="1:11" ht="12.75" customHeight="1">
      <c r="A1610" s="21"/>
      <c r="B1610" s="22" t="s">
        <v>3730</v>
      </c>
      <c r="C1610" s="23"/>
      <c r="D1610" s="24"/>
      <c r="E1610" s="25"/>
      <c r="F1610" s="26"/>
      <c r="G1610" s="27">
        <f>SUM(G1611:G1615)</f>
        <v>96949.650000000009</v>
      </c>
      <c r="H1610" s="27">
        <f>IFERROR(G1610*E1608,"")</f>
        <v>0</v>
      </c>
    </row>
    <row r="1611" spans="1:11" ht="12.75" customHeight="1">
      <c r="A1611" s="28"/>
      <c r="B1611" s="29" t="s">
        <v>3269</v>
      </c>
      <c r="C1611" s="30" t="str">
        <f>IFERROR(_xlfn.XLOOKUP(B1611,Insumo[DESCRIPCION],Insumo[UND],,0),"")</f>
        <v>Un</v>
      </c>
      <c r="D1611" s="31">
        <v>1</v>
      </c>
      <c r="E1611" s="32">
        <f>IFERROR(_xlfn.XLOOKUP($B1611,Insumo[DESCRIPCION],Insumo[VALOR],,0),"")</f>
        <v>96613.650000000009</v>
      </c>
      <c r="F1611" s="33"/>
      <c r="G1611" s="34">
        <f>IFERROR(IF(F1611&gt;=0,D1611*E1611*(1+F1611/100),ABS(D1611*E1611/F1611)),"")</f>
        <v>96613.650000000009</v>
      </c>
      <c r="H1611" s="139">
        <f>IFERROR(G1611*E1608,"")</f>
        <v>0</v>
      </c>
    </row>
    <row r="1612" spans="1:11" ht="12.75" customHeight="1">
      <c r="A1612" s="28"/>
      <c r="B1612" s="29" t="s">
        <v>2823</v>
      </c>
      <c r="C1612" s="30" t="str">
        <f>IFERROR(_xlfn.XLOOKUP(B1612,Insumo[DESCRIPCION],Insumo[UND],,0),"")</f>
        <v>Kg</v>
      </c>
      <c r="D1612" s="31">
        <v>0.2</v>
      </c>
      <c r="E1612" s="32">
        <f>IFERROR(_xlfn.XLOOKUP($B1612,Insumo[DESCRIPCION],Insumo[VALOR],,0),"")</f>
        <v>1680</v>
      </c>
      <c r="F1612" s="33"/>
      <c r="G1612" s="34">
        <f>IFERROR(IF(F1612&gt;=0,D1612*E1612*(1+F1612/100),ABS(D1612*E1612/F1612)),"")</f>
        <v>336</v>
      </c>
      <c r="H1612" s="139">
        <f>IFERROR(G1612*E1608,"")</f>
        <v>0</v>
      </c>
    </row>
    <row r="1613" spans="1:11" ht="12.75" customHeight="1">
      <c r="A1613" s="28"/>
      <c r="B1613" s="29"/>
      <c r="C1613" s="30" t="str">
        <f>IFERROR(_xlfn.XLOOKUP(B1613,Insumo[DESCRIPCION],Insumo[UND],,0),"")</f>
        <v/>
      </c>
      <c r="D1613" s="31"/>
      <c r="E1613" s="32" t="str">
        <f>IFERROR(_xlfn.XLOOKUP($B1613,Insumo[DESCRIPCION],Insumo[VALOR],,0),"")</f>
        <v/>
      </c>
      <c r="F1613" s="33"/>
      <c r="G1613" s="34" t="str">
        <f>IFERROR(IF(F1613&gt;=0,D1613*E1613*(1+F1613/100),ABS(D1613*E1613/F1613)),"")</f>
        <v/>
      </c>
      <c r="H1613" s="139" t="str">
        <f>IFERROR(G1613*E1608,"")</f>
        <v/>
      </c>
    </row>
    <row r="1614" spans="1:11" ht="12.75" customHeight="1">
      <c r="A1614" s="28"/>
      <c r="B1614" s="29"/>
      <c r="C1614" s="30" t="str">
        <f>IFERROR(_xlfn.XLOOKUP(B1614,Insumo[DESCRIPCION],Insumo[UND],,0),"")</f>
        <v/>
      </c>
      <c r="D1614" s="31"/>
      <c r="E1614" s="32" t="str">
        <f>IFERROR(_xlfn.XLOOKUP($B1614,Insumo[DESCRIPCION],Insumo[VALOR],,0),"")</f>
        <v/>
      </c>
      <c r="F1614" s="33"/>
      <c r="G1614" s="34" t="str">
        <f>IFERROR(IF(F1614&gt;=0,D1614*E1614*(1+F1614/100),ABS(D1614*E1614/F1614)),"")</f>
        <v/>
      </c>
      <c r="H1614" s="139" t="str">
        <f>IFERROR(G1614*E1608,"")</f>
        <v/>
      </c>
    </row>
    <row r="1615" spans="1:11" ht="12.75" customHeight="1">
      <c r="A1615" s="28"/>
      <c r="B1615" s="29"/>
      <c r="C1615" s="30" t="str">
        <f>IFERROR(_xlfn.XLOOKUP(B1615,Insumo[DESCRIPCION],Insumo[UND],,0),"")</f>
        <v/>
      </c>
      <c r="D1615" s="31"/>
      <c r="E1615" s="32" t="str">
        <f>IFERROR(_xlfn.XLOOKUP($B1615,Insumo[DESCRIPCION],Insumo[VALOR],,0),"")</f>
        <v/>
      </c>
      <c r="F1615" s="33"/>
      <c r="G1615" s="34" t="str">
        <f>IFERROR(IF(F1615&gt;=0,D1615*E1615*(1+F1615/100),ABS(D1615*E1615/F1615)),"")</f>
        <v/>
      </c>
      <c r="H1615" s="139" t="str">
        <f>IFERROR(G1615*E1608,"")</f>
        <v/>
      </c>
    </row>
    <row r="1616" spans="1:11" ht="12.75" customHeight="1">
      <c r="A1616" s="21"/>
      <c r="B1616" s="22" t="s">
        <v>3731</v>
      </c>
      <c r="C1616" s="23"/>
      <c r="D1616" s="24"/>
      <c r="E1616" s="25"/>
      <c r="F1616" s="26"/>
      <c r="G1616" s="27">
        <f>SUM(G1617:G1619)</f>
        <v>1047.9691696500001</v>
      </c>
      <c r="H1616" s="27">
        <f>IFERROR(G1616*E1608,"")</f>
        <v>0</v>
      </c>
    </row>
    <row r="1617" spans="1:11" ht="12.75" customHeight="1">
      <c r="A1617" s="28"/>
      <c r="B1617" s="29" t="s">
        <v>3626</v>
      </c>
      <c r="C1617" s="30" t="str">
        <f>IFERROR(_xlfn.XLOOKUP(B1617,Equipo[DESCRIPCION],Equipo[UND],,0),"")</f>
        <v>%MO</v>
      </c>
      <c r="D1617" s="31">
        <v>0.05</v>
      </c>
      <c r="E1617" s="32">
        <f>IF(C1617="%MO",G1623,IFERROR(_xlfn.XLOOKUP($B1617,Equipo[DESCRIPCION],Equipo[VALOR],,0),""))</f>
        <v>20959.383393000004</v>
      </c>
      <c r="F1617" s="33"/>
      <c r="G1617" s="34">
        <f>IFERROR(IF(F1617&gt;=0,D1617*E1617*(1+F1617/100),ABS(D1617*E1617/F1617)),"")</f>
        <v>1047.9691696500001</v>
      </c>
      <c r="H1617" s="139">
        <f>IFERROR(G1617*E1608,"")</f>
        <v>0</v>
      </c>
    </row>
    <row r="1618" spans="1:11" ht="12.75" customHeight="1">
      <c r="A1618" s="28"/>
      <c r="B1618" s="29"/>
      <c r="C1618" s="30" t="str">
        <f>IFERROR(_xlfn.XLOOKUP(B1618,Equipo[DESCRIPCION],Equipo[UND],,0),"")</f>
        <v/>
      </c>
      <c r="D1618" s="31"/>
      <c r="E1618" s="32" t="str">
        <f>IF(C1618="%MO",G1623,IFERROR(_xlfn.XLOOKUP($B1618,Equipo[DESCRIPCION],Equipo[VALOR],,0),""))</f>
        <v/>
      </c>
      <c r="F1618" s="33"/>
      <c r="G1618" s="34" t="str">
        <f>IFERROR(IF(F1618&gt;=0,D1618*E1618*(1+F1618/100),ABS(D1618*E1618/F1618)),"")</f>
        <v/>
      </c>
      <c r="H1618" s="139" t="str">
        <f>IFERROR(G1618*E1608,"")</f>
        <v/>
      </c>
    </row>
    <row r="1619" spans="1:11" ht="12.75" customHeight="1">
      <c r="A1619" s="28"/>
      <c r="B1619" s="29"/>
      <c r="C1619" s="30" t="str">
        <f>IFERROR(_xlfn.XLOOKUP(B1619,Equipo[DESCRIPCION],Equipo[UND],,0),"")</f>
        <v/>
      </c>
      <c r="D1619" s="31"/>
      <c r="E1619" s="32" t="str">
        <f>IF(C1619="%MO",G1623,IFERROR(_xlfn.XLOOKUP($B1619,Equipo[DESCRIPCION],Equipo[VALOR],,0),""))</f>
        <v/>
      </c>
      <c r="F1619" s="33"/>
      <c r="G1619" s="34" t="str">
        <f>IFERROR(IF(F1619&gt;=0,D1619*E1619*(1+F1619/100),ABS(D1619*E1619/F1619)),"")</f>
        <v/>
      </c>
      <c r="H1619" s="139" t="str">
        <f>IFERROR(G1619*E1608,"")</f>
        <v/>
      </c>
    </row>
    <row r="1620" spans="1:11" ht="12.75" customHeight="1">
      <c r="A1620" s="21"/>
      <c r="B1620" s="22" t="s">
        <v>2533</v>
      </c>
      <c r="C1620" s="23"/>
      <c r="D1620" s="24"/>
      <c r="E1620" s="25"/>
      <c r="F1620" s="26"/>
      <c r="G1620" s="27">
        <f>SUM(G1621:G1622)</f>
        <v>0</v>
      </c>
      <c r="H1620" s="27">
        <f>IFERROR(G1620*E1608,"")</f>
        <v>0</v>
      </c>
    </row>
    <row r="1621" spans="1:11" ht="12.75" customHeight="1">
      <c r="A1621" s="28"/>
      <c r="B1621" s="29"/>
      <c r="C1621" s="30" t="str">
        <f>IFERROR(_xlfn.XLOOKUP(B1621,Transporte[DESCRIPCION],Transporte[UND],,0),"")</f>
        <v/>
      </c>
      <c r="D1621" s="31"/>
      <c r="E1621" s="32" t="str">
        <f>IFERROR(_xlfn.XLOOKUP($B1621,Transporte[DESCRIPCION],Transporte[VALOR],,0),"")</f>
        <v/>
      </c>
      <c r="F1621" s="33"/>
      <c r="G1621" s="34" t="str">
        <f>IFERROR(IF(F1621&gt;=0,D1621*E1621*(1+F1621/100),ABS(D1621*E1621/F1621)),"")</f>
        <v/>
      </c>
      <c r="H1621" s="139" t="str">
        <f>IFERROR(G1621*E1608,"")</f>
        <v/>
      </c>
    </row>
    <row r="1622" spans="1:11" ht="12.75" customHeight="1">
      <c r="A1622" s="28"/>
      <c r="B1622" s="29"/>
      <c r="C1622" s="30" t="str">
        <f>IFERROR(_xlfn.XLOOKUP(B1622,Transporte[DESCRIPCION],Transporte[UND],,0),"")</f>
        <v/>
      </c>
      <c r="D1622" s="31"/>
      <c r="E1622" s="32" t="str">
        <f>IFERROR(_xlfn.XLOOKUP($B1622,Transporte[DESCRIPCION],Transporte[VALOR],,0),"")</f>
        <v/>
      </c>
      <c r="F1622" s="33"/>
      <c r="G1622" s="34" t="str">
        <f>IFERROR(IF(F1622&gt;=0,D1622*E1622*(1+F1622/100),ABS(D1622*E1622/F1622)),"")</f>
        <v/>
      </c>
      <c r="H1622" s="139" t="str">
        <f>IFERROR(G1622*E1608,"")</f>
        <v/>
      </c>
    </row>
    <row r="1623" spans="1:11" ht="12.75" customHeight="1">
      <c r="A1623" s="21"/>
      <c r="B1623" s="22" t="s">
        <v>3732</v>
      </c>
      <c r="C1623" s="23"/>
      <c r="D1623" s="24"/>
      <c r="E1623" s="25"/>
      <c r="F1623" s="26"/>
      <c r="G1623" s="27">
        <f>SUM(G1624:G1626)</f>
        <v>20959.383393000004</v>
      </c>
      <c r="H1623" s="27">
        <f>IFERROR(G1623*E1608,"")</f>
        <v>0</v>
      </c>
    </row>
    <row r="1624" spans="1:11" ht="12.75" customHeight="1">
      <c r="A1624" s="28"/>
      <c r="B1624" s="29" t="s">
        <v>3710</v>
      </c>
      <c r="C1624" s="30" t="str">
        <f>IFERROR(_xlfn.XLOOKUP(B1624,MObra[DESCRIPCION],MObra[UN],,0),"")</f>
        <v>día</v>
      </c>
      <c r="D1624" s="31">
        <v>1</v>
      </c>
      <c r="E1624" s="32">
        <f>IFERROR(_xlfn.XLOOKUP($B1624,MObra[DESCRIPCION],MObra[VALOR UNIT],,0),"")</f>
        <v>314390.75089500006</v>
      </c>
      <c r="F1624" s="33">
        <v>-15</v>
      </c>
      <c r="G1624" s="34">
        <f>IFERROR(IF(F1624&gt;=0,D1624*E1624*(1+F1624/100),ABS(D1624*E1624/F1624)),"")</f>
        <v>20959.383393000004</v>
      </c>
      <c r="H1624" s="139">
        <f>IFERROR(G1624*E1608,"")</f>
        <v>0</v>
      </c>
    </row>
    <row r="1625" spans="1:11" ht="12.75" customHeight="1">
      <c r="A1625" s="28"/>
      <c r="B1625" s="29"/>
      <c r="C1625" s="30" t="str">
        <f>IFERROR(_xlfn.XLOOKUP(B1625,MObra[DESCRIPCION],MObra[UN],,0),"")</f>
        <v/>
      </c>
      <c r="D1625" s="31"/>
      <c r="E1625" s="32" t="str">
        <f>IFERROR(_xlfn.XLOOKUP($B1625,MObra[DESCRIPCION],MObra[VALOR UNIT],,0),"")</f>
        <v/>
      </c>
      <c r="F1625" s="33"/>
      <c r="G1625" s="34" t="str">
        <f>IFERROR(IF(F1625&gt;=0,D1625*E1625*(1+F1625/100),ABS(D1625*E1625/F1625)),"")</f>
        <v/>
      </c>
      <c r="H1625" s="139" t="str">
        <f>IFERROR(G1625*E1608,"")</f>
        <v/>
      </c>
    </row>
    <row r="1626" spans="1:11" ht="12.75" customHeight="1" thickBot="1">
      <c r="A1626" s="35"/>
      <c r="B1626" s="36"/>
      <c r="C1626" s="37" t="str">
        <f>IFERROR(_xlfn.XLOOKUP(B1626,MObra[DESCRIPCION],MObra[UN],,0),"")</f>
        <v/>
      </c>
      <c r="D1626" s="38"/>
      <c r="E1626" s="39" t="str">
        <f>IFERROR(_xlfn.XLOOKUP($B1626,MObra[DESCRIPCION],MObra[VALOR UNIT],,0),"")</f>
        <v/>
      </c>
      <c r="F1626" s="40"/>
      <c r="G1626" s="41" t="str">
        <f>IFERROR(IF(F1626&gt;=0,D1626*E1626*(1+F1626/100),ABS(D1626*E1626/F1626)),"")</f>
        <v/>
      </c>
      <c r="H1626" s="42" t="str">
        <f>IFERROR(G1626*E1608,"")</f>
        <v/>
      </c>
    </row>
    <row r="1627" spans="1:11" ht="12.75" customHeight="1" thickTop="1" thickBot="1"/>
    <row r="1628" spans="1:11" ht="12.75" customHeight="1" thickTop="1" thickBot="1">
      <c r="A1628" s="6" t="s">
        <v>1530</v>
      </c>
      <c r="B1628" s="7" t="str">
        <f>VLOOKUP($A1628,Presupuesto!$A:$D,2,FALSE())</f>
        <v>Reposición tapa tanque sanitario</v>
      </c>
      <c r="C1628" s="8" t="str">
        <f>VLOOKUP($A1628,Presupuesto!$A:$D,3,FALSE())</f>
        <v>Un</v>
      </c>
      <c r="D1628" s="9"/>
      <c r="E1628" s="10">
        <f>VLOOKUP($A1628,Presupuesto!$A:$D,4,FALSE())</f>
        <v>0</v>
      </c>
      <c r="F1628" s="11" t="s">
        <v>2589</v>
      </c>
      <c r="G1628" s="12">
        <f>SUM(G1630:G1646)/2</f>
        <v>115329.11883858753</v>
      </c>
      <c r="H1628" s="13">
        <f>ROUND(SUM(H1630:H1646),0)/2</f>
        <v>0</v>
      </c>
      <c r="I1628" s="10">
        <f>VLOOKUP(A1628,Presupuesto!$A:$F,6,0)</f>
        <v>0</v>
      </c>
      <c r="J1628" s="10">
        <f>+H1628-I1628</f>
        <v>0</v>
      </c>
      <c r="K1628" s="46">
        <f>+H1628-G1628*E1628</f>
        <v>0</v>
      </c>
    </row>
    <row r="1629" spans="1:11" ht="12.75" customHeight="1" thickTop="1">
      <c r="A1629" s="14"/>
      <c r="B1629" s="15" t="s">
        <v>2586</v>
      </c>
      <c r="C1629" s="15" t="s">
        <v>5</v>
      </c>
      <c r="D1629" s="16" t="s">
        <v>6</v>
      </c>
      <c r="E1629" s="17" t="s">
        <v>7</v>
      </c>
      <c r="F1629" s="18" t="s">
        <v>3728</v>
      </c>
      <c r="G1629" s="19" t="s">
        <v>3729</v>
      </c>
      <c r="H1629" s="20" t="s">
        <v>3797</v>
      </c>
    </row>
    <row r="1630" spans="1:11" ht="12.75" customHeight="1">
      <c r="A1630" s="21"/>
      <c r="B1630" s="22" t="s">
        <v>3730</v>
      </c>
      <c r="C1630" s="23"/>
      <c r="D1630" s="24"/>
      <c r="E1630" s="25"/>
      <c r="F1630" s="26"/>
      <c r="G1630" s="27">
        <f>SUM(G1631:G1635)</f>
        <v>108604.65000000001</v>
      </c>
      <c r="H1630" s="27">
        <f>IFERROR(G1630*E1628,"")</f>
        <v>0</v>
      </c>
    </row>
    <row r="1631" spans="1:11" ht="12.75" customHeight="1">
      <c r="A1631" s="28"/>
      <c r="B1631" s="29" t="s">
        <v>3366</v>
      </c>
      <c r="C1631" s="30" t="str">
        <f>IFERROR(_xlfn.XLOOKUP(B1631,Insumo[DESCRIPCION],Insumo[UND],,0),"")</f>
        <v>Un</v>
      </c>
      <c r="D1631" s="31">
        <v>1</v>
      </c>
      <c r="E1631" s="32">
        <f>IFERROR(_xlfn.XLOOKUP($B1631,Insumo[DESCRIPCION],Insumo[VALOR],,0),"")</f>
        <v>108604.65000000001</v>
      </c>
      <c r="F1631" s="33"/>
      <c r="G1631" s="34">
        <f>IFERROR(IF(F1631&gt;=0,D1631*E1631*(1+F1631/100),ABS(D1631*E1631/F1631)),"")</f>
        <v>108604.65000000001</v>
      </c>
      <c r="H1631" s="139">
        <f>IFERROR(G1631*E1628,"")</f>
        <v>0</v>
      </c>
    </row>
    <row r="1632" spans="1:11" ht="12.75" customHeight="1">
      <c r="A1632" s="28"/>
      <c r="B1632" s="29"/>
      <c r="C1632" s="30" t="str">
        <f>IFERROR(_xlfn.XLOOKUP(B1632,Insumo[DESCRIPCION],Insumo[UND],,0),"")</f>
        <v/>
      </c>
      <c r="D1632" s="31"/>
      <c r="E1632" s="32" t="str">
        <f>IFERROR(_xlfn.XLOOKUP($B1632,Insumo[DESCRIPCION],Insumo[VALOR],,0),"")</f>
        <v/>
      </c>
      <c r="F1632" s="33"/>
      <c r="G1632" s="34" t="str">
        <f>IFERROR(IF(F1632&gt;=0,D1632*E1632*(1+F1632/100),ABS(D1632*E1632/F1632)),"")</f>
        <v/>
      </c>
      <c r="H1632" s="139" t="str">
        <f>IFERROR(G1632*E1628,"")</f>
        <v/>
      </c>
    </row>
    <row r="1633" spans="1:11" ht="12.75" customHeight="1">
      <c r="A1633" s="28"/>
      <c r="B1633" s="29"/>
      <c r="C1633" s="30" t="str">
        <f>IFERROR(_xlfn.XLOOKUP(B1633,Insumo[DESCRIPCION],Insumo[UND],,0),"")</f>
        <v/>
      </c>
      <c r="D1633" s="31"/>
      <c r="E1633" s="32" t="str">
        <f>IFERROR(_xlfn.XLOOKUP($B1633,Insumo[DESCRIPCION],Insumo[VALOR],,0),"")</f>
        <v/>
      </c>
      <c r="F1633" s="33"/>
      <c r="G1633" s="34" t="str">
        <f>IFERROR(IF(F1633&gt;=0,D1633*E1633*(1+F1633/100),ABS(D1633*E1633/F1633)),"")</f>
        <v/>
      </c>
      <c r="H1633" s="139" t="str">
        <f>IFERROR(G1633*E1628,"")</f>
        <v/>
      </c>
    </row>
    <row r="1634" spans="1:11" ht="12.75" customHeight="1">
      <c r="A1634" s="28"/>
      <c r="B1634" s="29"/>
      <c r="C1634" s="30" t="str">
        <f>IFERROR(_xlfn.XLOOKUP(B1634,Insumo[DESCRIPCION],Insumo[UND],,0),"")</f>
        <v/>
      </c>
      <c r="D1634" s="31"/>
      <c r="E1634" s="32" t="str">
        <f>IFERROR(_xlfn.XLOOKUP($B1634,Insumo[DESCRIPCION],Insumo[VALOR],,0),"")</f>
        <v/>
      </c>
      <c r="F1634" s="33"/>
      <c r="G1634" s="34" t="str">
        <f>IFERROR(IF(F1634&gt;=0,D1634*E1634*(1+F1634/100),ABS(D1634*E1634/F1634)),"")</f>
        <v/>
      </c>
      <c r="H1634" s="139" t="str">
        <f>IFERROR(G1634*E1628,"")</f>
        <v/>
      </c>
    </row>
    <row r="1635" spans="1:11" ht="12.75" customHeight="1">
      <c r="A1635" s="28"/>
      <c r="B1635" s="29"/>
      <c r="C1635" s="30" t="str">
        <f>IFERROR(_xlfn.XLOOKUP(B1635,Insumo[DESCRIPCION],Insumo[UND],,0),"")</f>
        <v/>
      </c>
      <c r="D1635" s="31"/>
      <c r="E1635" s="32" t="str">
        <f>IFERROR(_xlfn.XLOOKUP($B1635,Insumo[DESCRIPCION],Insumo[VALOR],,0),"")</f>
        <v/>
      </c>
      <c r="F1635" s="33"/>
      <c r="G1635" s="34" t="str">
        <f>IFERROR(IF(F1635&gt;=0,D1635*E1635*(1+F1635/100),ABS(D1635*E1635/F1635)),"")</f>
        <v/>
      </c>
      <c r="H1635" s="139" t="str">
        <f>IFERROR(G1635*E1628,"")</f>
        <v/>
      </c>
    </row>
    <row r="1636" spans="1:11" ht="12.75" customHeight="1">
      <c r="A1636" s="21"/>
      <c r="B1636" s="22" t="s">
        <v>3731</v>
      </c>
      <c r="C1636" s="23"/>
      <c r="D1636" s="24"/>
      <c r="E1636" s="25"/>
      <c r="F1636" s="26"/>
      <c r="G1636" s="27">
        <f>SUM(G1637:G1639)</f>
        <v>320.21280183750014</v>
      </c>
      <c r="H1636" s="27">
        <f>IFERROR(G1636*E1628,"")</f>
        <v>0</v>
      </c>
    </row>
    <row r="1637" spans="1:11" ht="12.75" customHeight="1">
      <c r="A1637" s="28"/>
      <c r="B1637" s="29" t="s">
        <v>3626</v>
      </c>
      <c r="C1637" s="30" t="str">
        <f>IFERROR(_xlfn.XLOOKUP(B1637,Equipo[DESCRIPCION],Equipo[UND],,0),"")</f>
        <v>%MO</v>
      </c>
      <c r="D1637" s="31">
        <v>0.05</v>
      </c>
      <c r="E1637" s="32">
        <f>IF(C1637="%MO",G1643,IFERROR(_xlfn.XLOOKUP($B1637,Equipo[DESCRIPCION],Equipo[VALOR],,0),""))</f>
        <v>6404.2560367500018</v>
      </c>
      <c r="F1637" s="33"/>
      <c r="G1637" s="34">
        <f>IFERROR(IF(F1637&gt;=0,D1637*E1637*(1+F1637/100),ABS(D1637*E1637/F1637)),"")</f>
        <v>320.21280183750014</v>
      </c>
      <c r="H1637" s="139">
        <f>IFERROR(G1637*E1628,"")</f>
        <v>0</v>
      </c>
    </row>
    <row r="1638" spans="1:11" ht="12.75" customHeight="1">
      <c r="A1638" s="28"/>
      <c r="B1638" s="29"/>
      <c r="C1638" s="30" t="str">
        <f>IFERROR(_xlfn.XLOOKUP(B1638,Equipo[DESCRIPCION],Equipo[UND],,0),"")</f>
        <v/>
      </c>
      <c r="D1638" s="31"/>
      <c r="E1638" s="32" t="str">
        <f>IF(C1638="%MO",G1643,IFERROR(_xlfn.XLOOKUP($B1638,Equipo[DESCRIPCION],Equipo[VALOR],,0),""))</f>
        <v/>
      </c>
      <c r="F1638" s="33"/>
      <c r="G1638" s="34" t="str">
        <f>IFERROR(IF(F1638&gt;=0,D1638*E1638*(1+F1638/100),ABS(D1638*E1638/F1638)),"")</f>
        <v/>
      </c>
      <c r="H1638" s="139" t="str">
        <f>IFERROR(G1638*E1628,"")</f>
        <v/>
      </c>
    </row>
    <row r="1639" spans="1:11" ht="12.75" customHeight="1">
      <c r="A1639" s="28"/>
      <c r="B1639" s="29"/>
      <c r="C1639" s="30" t="str">
        <f>IFERROR(_xlfn.XLOOKUP(B1639,Equipo[DESCRIPCION],Equipo[UND],,0),"")</f>
        <v/>
      </c>
      <c r="D1639" s="31"/>
      <c r="E1639" s="32" t="str">
        <f>IF(C1639="%MO",G1643,IFERROR(_xlfn.XLOOKUP($B1639,Equipo[DESCRIPCION],Equipo[VALOR],,0),""))</f>
        <v/>
      </c>
      <c r="F1639" s="33"/>
      <c r="G1639" s="34" t="str">
        <f>IFERROR(IF(F1639&gt;=0,D1639*E1639*(1+F1639/100),ABS(D1639*E1639/F1639)),"")</f>
        <v/>
      </c>
      <c r="H1639" s="139" t="str">
        <f>IFERROR(G1639*E1628,"")</f>
        <v/>
      </c>
    </row>
    <row r="1640" spans="1:11" ht="12.75" customHeight="1">
      <c r="A1640" s="21"/>
      <c r="B1640" s="22" t="s">
        <v>2533</v>
      </c>
      <c r="C1640" s="23"/>
      <c r="D1640" s="24"/>
      <c r="E1640" s="25"/>
      <c r="F1640" s="26"/>
      <c r="G1640" s="27">
        <f>SUM(G1641:G1642)</f>
        <v>0</v>
      </c>
      <c r="H1640" s="27">
        <f>IFERROR(G1640*E1628,"")</f>
        <v>0</v>
      </c>
    </row>
    <row r="1641" spans="1:11" ht="12.75" customHeight="1">
      <c r="A1641" s="28"/>
      <c r="B1641" s="29"/>
      <c r="C1641" s="30" t="str">
        <f>IFERROR(_xlfn.XLOOKUP(B1641,Transporte[DESCRIPCION],Transporte[UND],,0),"")</f>
        <v/>
      </c>
      <c r="D1641" s="31"/>
      <c r="E1641" s="32" t="str">
        <f>IFERROR(_xlfn.XLOOKUP($B1641,Transporte[DESCRIPCION],Transporte[VALOR],,0),"")</f>
        <v/>
      </c>
      <c r="F1641" s="33"/>
      <c r="G1641" s="34" t="str">
        <f>IFERROR(IF(F1641&gt;=0,D1641*E1641*(1+F1641/100),ABS(D1641*E1641/F1641)),"")</f>
        <v/>
      </c>
      <c r="H1641" s="139" t="str">
        <f>IFERROR(G1641*E1628,"")</f>
        <v/>
      </c>
    </row>
    <row r="1642" spans="1:11" ht="12.75" customHeight="1">
      <c r="A1642" s="28"/>
      <c r="B1642" s="29"/>
      <c r="C1642" s="30" t="str">
        <f>IFERROR(_xlfn.XLOOKUP(B1642,Transporte[DESCRIPCION],Transporte[UND],,0),"")</f>
        <v/>
      </c>
      <c r="D1642" s="31"/>
      <c r="E1642" s="32" t="str">
        <f>IFERROR(_xlfn.XLOOKUP($B1642,Transporte[DESCRIPCION],Transporte[VALOR],,0),"")</f>
        <v/>
      </c>
      <c r="F1642" s="33"/>
      <c r="G1642" s="34" t="str">
        <f>IFERROR(IF(F1642&gt;=0,D1642*E1642*(1+F1642/100),ABS(D1642*E1642/F1642)),"")</f>
        <v/>
      </c>
      <c r="H1642" s="139" t="str">
        <f>IFERROR(G1642*E1628,"")</f>
        <v/>
      </c>
    </row>
    <row r="1643" spans="1:11" ht="12.75" customHeight="1">
      <c r="A1643" s="21"/>
      <c r="B1643" s="22" t="s">
        <v>3732</v>
      </c>
      <c r="C1643" s="23"/>
      <c r="D1643" s="24"/>
      <c r="E1643" s="25"/>
      <c r="F1643" s="26"/>
      <c r="G1643" s="27">
        <f>SUM(G1644:G1646)</f>
        <v>6404.2560367500018</v>
      </c>
      <c r="H1643" s="27">
        <f>IFERROR(G1643*E1628,"")</f>
        <v>0</v>
      </c>
    </row>
    <row r="1644" spans="1:11" ht="12.75" customHeight="1">
      <c r="A1644" s="28"/>
      <c r="B1644" s="29" t="s">
        <v>3701</v>
      </c>
      <c r="C1644" s="30" t="str">
        <f>IFERROR(_xlfn.XLOOKUP(B1644,MObra[DESCRIPCION],MObra[UN],,0),"")</f>
        <v>día</v>
      </c>
      <c r="D1644" s="31">
        <v>1</v>
      </c>
      <c r="E1644" s="32">
        <f>IFERROR(_xlfn.XLOOKUP($B1644,MObra[DESCRIPCION],MObra[VALOR UNIT],,0),"")</f>
        <v>128085.12073500003</v>
      </c>
      <c r="F1644" s="33">
        <v>-20</v>
      </c>
      <c r="G1644" s="34">
        <f>IFERROR(IF(F1644&gt;=0,D1644*E1644*(1+F1644/100),ABS(D1644*E1644/F1644)),"")</f>
        <v>6404.2560367500018</v>
      </c>
      <c r="H1644" s="139">
        <f>IFERROR(G1644*E1628,"")</f>
        <v>0</v>
      </c>
    </row>
    <row r="1645" spans="1:11" ht="12.75" customHeight="1">
      <c r="A1645" s="28"/>
      <c r="B1645" s="29"/>
      <c r="C1645" s="30" t="str">
        <f>IFERROR(_xlfn.XLOOKUP(B1645,MObra[DESCRIPCION],MObra[UN],,0),"")</f>
        <v/>
      </c>
      <c r="D1645" s="31"/>
      <c r="E1645" s="32" t="str">
        <f>IFERROR(_xlfn.XLOOKUP($B1645,MObra[DESCRIPCION],MObra[VALOR UNIT],,0),"")</f>
        <v/>
      </c>
      <c r="F1645" s="33"/>
      <c r="G1645" s="34" t="str">
        <f>IFERROR(IF(F1645&gt;=0,D1645*E1645*(1+F1645/100),ABS(D1645*E1645/F1645)),"")</f>
        <v/>
      </c>
      <c r="H1645" s="139" t="str">
        <f>IFERROR(G1645*E1628,"")</f>
        <v/>
      </c>
    </row>
    <row r="1646" spans="1:11" ht="12.75" customHeight="1" thickBot="1">
      <c r="A1646" s="35"/>
      <c r="B1646" s="36"/>
      <c r="C1646" s="37" t="str">
        <f>IFERROR(_xlfn.XLOOKUP(B1646,MObra[DESCRIPCION],MObra[UN],,0),"")</f>
        <v/>
      </c>
      <c r="D1646" s="38"/>
      <c r="E1646" s="39" t="str">
        <f>IFERROR(_xlfn.XLOOKUP($B1646,MObra[DESCRIPCION],MObra[VALOR UNIT],,0),"")</f>
        <v/>
      </c>
      <c r="F1646" s="40"/>
      <c r="G1646" s="41" t="str">
        <f>IFERROR(IF(F1646&gt;=0,D1646*E1646*(1+F1646/100),ABS(D1646*E1646/F1646)),"")</f>
        <v/>
      </c>
      <c r="H1646" s="42" t="str">
        <f>IFERROR(G1646*E1628,"")</f>
        <v/>
      </c>
    </row>
    <row r="1647" spans="1:11" ht="12.75" customHeight="1" thickTop="1" thickBot="1"/>
    <row r="1648" spans="1:11" ht="12.75" customHeight="1" thickTop="1" thickBot="1">
      <c r="A1648" s="6" t="s">
        <v>1532</v>
      </c>
      <c r="B1648" s="7" t="str">
        <f>VLOOKUP($A1648,Presupuesto!$A:$D,2,FALSE())</f>
        <v>Reposición llave terminal 1/2"</v>
      </c>
      <c r="C1648" s="8" t="str">
        <f>VLOOKUP($A1648,Presupuesto!$A:$D,3,FALSE())</f>
        <v>Un</v>
      </c>
      <c r="D1648" s="9"/>
      <c r="E1648" s="10">
        <f>VLOOKUP($A1648,Presupuesto!$A:$D,4,FALSE())</f>
        <v>0</v>
      </c>
      <c r="F1648" s="11" t="s">
        <v>2589</v>
      </c>
      <c r="G1648" s="12">
        <f>SUM(G1650:G1666)/2</f>
        <v>58270.018838587494</v>
      </c>
      <c r="H1648" s="13">
        <f>ROUND(SUM(H1650:H1666),0)/2</f>
        <v>0</v>
      </c>
      <c r="I1648" s="10">
        <f>VLOOKUP(A1648,Presupuesto!$A:$F,6,0)</f>
        <v>0</v>
      </c>
      <c r="J1648" s="10">
        <f>+H1648-I1648</f>
        <v>0</v>
      </c>
      <c r="K1648" s="46">
        <f>+H1648-G1648*E1648</f>
        <v>0</v>
      </c>
    </row>
    <row r="1649" spans="1:8" ht="12.75" customHeight="1" thickTop="1">
      <c r="A1649" s="14"/>
      <c r="B1649" s="15" t="s">
        <v>2586</v>
      </c>
      <c r="C1649" s="15" t="s">
        <v>5</v>
      </c>
      <c r="D1649" s="16" t="s">
        <v>6</v>
      </c>
      <c r="E1649" s="17" t="s">
        <v>7</v>
      </c>
      <c r="F1649" s="18" t="s">
        <v>3728</v>
      </c>
      <c r="G1649" s="19" t="s">
        <v>3729</v>
      </c>
      <c r="H1649" s="20" t="s">
        <v>3797</v>
      </c>
    </row>
    <row r="1650" spans="1:8" ht="12.75" customHeight="1">
      <c r="A1650" s="21"/>
      <c r="B1650" s="22" t="s">
        <v>3730</v>
      </c>
      <c r="C1650" s="23"/>
      <c r="D1650" s="24"/>
      <c r="E1650" s="25"/>
      <c r="F1650" s="26"/>
      <c r="G1650" s="27">
        <f>SUM(G1651:G1655)</f>
        <v>51545.55</v>
      </c>
      <c r="H1650" s="27">
        <f>IFERROR(G1650*E1648,"")</f>
        <v>0</v>
      </c>
    </row>
    <row r="1651" spans="1:8" ht="12.75" customHeight="1">
      <c r="A1651" s="28"/>
      <c r="B1651" s="29" t="s">
        <v>3057</v>
      </c>
      <c r="C1651" s="30" t="str">
        <f>IFERROR(_xlfn.XLOOKUP(B1651,Insumo[DESCRIPCION],Insumo[UND],,0),"")</f>
        <v>Un</v>
      </c>
      <c r="D1651" s="31">
        <v>1</v>
      </c>
      <c r="E1651" s="32">
        <f>IFERROR(_xlfn.XLOOKUP($B1651,Insumo[DESCRIPCION],Insumo[VALOR],,0),"")</f>
        <v>51545.55</v>
      </c>
      <c r="F1651" s="33"/>
      <c r="G1651" s="34">
        <f>IFERROR(IF(F1651&gt;=0,D1651*E1651*(1+F1651/100),ABS(D1651*E1651/F1651)),"")</f>
        <v>51545.55</v>
      </c>
      <c r="H1651" s="139">
        <f>IFERROR(G1651*E1648,"")</f>
        <v>0</v>
      </c>
    </row>
    <row r="1652" spans="1:8" ht="12.75" customHeight="1">
      <c r="A1652" s="28"/>
      <c r="B1652" s="29"/>
      <c r="C1652" s="30" t="str">
        <f>IFERROR(_xlfn.XLOOKUP(B1652,Insumo[DESCRIPCION],Insumo[UND],,0),"")</f>
        <v/>
      </c>
      <c r="D1652" s="31"/>
      <c r="E1652" s="32" t="str">
        <f>IFERROR(_xlfn.XLOOKUP($B1652,Insumo[DESCRIPCION],Insumo[VALOR],,0),"")</f>
        <v/>
      </c>
      <c r="F1652" s="33"/>
      <c r="G1652" s="34" t="str">
        <f>IFERROR(IF(F1652&gt;=0,D1652*E1652*(1+F1652/100),ABS(D1652*E1652/F1652)),"")</f>
        <v/>
      </c>
      <c r="H1652" s="139" t="str">
        <f>IFERROR(G1652*E1648,"")</f>
        <v/>
      </c>
    </row>
    <row r="1653" spans="1:8" ht="12.75" customHeight="1">
      <c r="A1653" s="28"/>
      <c r="B1653" s="29"/>
      <c r="C1653" s="30" t="str">
        <f>IFERROR(_xlfn.XLOOKUP(B1653,Insumo[DESCRIPCION],Insumo[UND],,0),"")</f>
        <v/>
      </c>
      <c r="D1653" s="31"/>
      <c r="E1653" s="32" t="str">
        <f>IFERROR(_xlfn.XLOOKUP($B1653,Insumo[DESCRIPCION],Insumo[VALOR],,0),"")</f>
        <v/>
      </c>
      <c r="F1653" s="33"/>
      <c r="G1653" s="34" t="str">
        <f>IFERROR(IF(F1653&gt;=0,D1653*E1653*(1+F1653/100),ABS(D1653*E1653/F1653)),"")</f>
        <v/>
      </c>
      <c r="H1653" s="139" t="str">
        <f>IFERROR(G1653*E1648,"")</f>
        <v/>
      </c>
    </row>
    <row r="1654" spans="1:8" ht="12.75" customHeight="1">
      <c r="A1654" s="28"/>
      <c r="B1654" s="29"/>
      <c r="C1654" s="30" t="str">
        <f>IFERROR(_xlfn.XLOOKUP(B1654,Insumo[DESCRIPCION],Insumo[UND],,0),"")</f>
        <v/>
      </c>
      <c r="D1654" s="31"/>
      <c r="E1654" s="32" t="str">
        <f>IFERROR(_xlfn.XLOOKUP($B1654,Insumo[DESCRIPCION],Insumo[VALOR],,0),"")</f>
        <v/>
      </c>
      <c r="F1654" s="33"/>
      <c r="G1654" s="34" t="str">
        <f>IFERROR(IF(F1654&gt;=0,D1654*E1654*(1+F1654/100),ABS(D1654*E1654/F1654)),"")</f>
        <v/>
      </c>
      <c r="H1654" s="139" t="str">
        <f>IFERROR(G1654*E1648,"")</f>
        <v/>
      </c>
    </row>
    <row r="1655" spans="1:8" ht="12.75" customHeight="1">
      <c r="A1655" s="28"/>
      <c r="B1655" s="29"/>
      <c r="C1655" s="30" t="str">
        <f>IFERROR(_xlfn.XLOOKUP(B1655,Insumo[DESCRIPCION],Insumo[UND],,0),"")</f>
        <v/>
      </c>
      <c r="D1655" s="31"/>
      <c r="E1655" s="32" t="str">
        <f>IFERROR(_xlfn.XLOOKUP($B1655,Insumo[DESCRIPCION],Insumo[VALOR],,0),"")</f>
        <v/>
      </c>
      <c r="F1655" s="33"/>
      <c r="G1655" s="34" t="str">
        <f>IFERROR(IF(F1655&gt;=0,D1655*E1655*(1+F1655/100),ABS(D1655*E1655/F1655)),"")</f>
        <v/>
      </c>
      <c r="H1655" s="139" t="str">
        <f>IFERROR(G1655*E1648,"")</f>
        <v/>
      </c>
    </row>
    <row r="1656" spans="1:8" ht="12.75" customHeight="1">
      <c r="A1656" s="21"/>
      <c r="B1656" s="22" t="s">
        <v>3731</v>
      </c>
      <c r="C1656" s="23"/>
      <c r="D1656" s="24"/>
      <c r="E1656" s="25"/>
      <c r="F1656" s="26"/>
      <c r="G1656" s="27">
        <f>SUM(G1657:G1659)</f>
        <v>320.21280183750014</v>
      </c>
      <c r="H1656" s="27">
        <f>IFERROR(G1656*E1648,"")</f>
        <v>0</v>
      </c>
    </row>
    <row r="1657" spans="1:8" ht="12.75" customHeight="1">
      <c r="A1657" s="28"/>
      <c r="B1657" s="29" t="s">
        <v>3626</v>
      </c>
      <c r="C1657" s="30" t="str">
        <f>IFERROR(_xlfn.XLOOKUP(B1657,Equipo[DESCRIPCION],Equipo[UND],,0),"")</f>
        <v>%MO</v>
      </c>
      <c r="D1657" s="31">
        <v>0.05</v>
      </c>
      <c r="E1657" s="32">
        <f>IF(C1657="%MO",G1663,IFERROR(_xlfn.XLOOKUP($B1657,Equipo[DESCRIPCION],Equipo[VALOR],,0),""))</f>
        <v>6404.2560367500018</v>
      </c>
      <c r="F1657" s="33"/>
      <c r="G1657" s="34">
        <f>IFERROR(IF(F1657&gt;=0,D1657*E1657*(1+F1657/100),ABS(D1657*E1657/F1657)),"")</f>
        <v>320.21280183750014</v>
      </c>
      <c r="H1657" s="139">
        <f>IFERROR(G1657*E1648,"")</f>
        <v>0</v>
      </c>
    </row>
    <row r="1658" spans="1:8" ht="12.75" customHeight="1">
      <c r="A1658" s="28"/>
      <c r="B1658" s="29"/>
      <c r="C1658" s="30" t="str">
        <f>IFERROR(_xlfn.XLOOKUP(B1658,Equipo[DESCRIPCION],Equipo[UND],,0),"")</f>
        <v/>
      </c>
      <c r="D1658" s="31"/>
      <c r="E1658" s="32" t="str">
        <f>IF(C1658="%MO",G1663,IFERROR(_xlfn.XLOOKUP($B1658,Equipo[DESCRIPCION],Equipo[VALOR],,0),""))</f>
        <v/>
      </c>
      <c r="F1658" s="33"/>
      <c r="G1658" s="34" t="str">
        <f>IFERROR(IF(F1658&gt;=0,D1658*E1658*(1+F1658/100),ABS(D1658*E1658/F1658)),"")</f>
        <v/>
      </c>
      <c r="H1658" s="139" t="str">
        <f>IFERROR(G1658*E1648,"")</f>
        <v/>
      </c>
    </row>
    <row r="1659" spans="1:8" ht="12.75" customHeight="1">
      <c r="A1659" s="28"/>
      <c r="B1659" s="29"/>
      <c r="C1659" s="30" t="str">
        <f>IFERROR(_xlfn.XLOOKUP(B1659,Equipo[DESCRIPCION],Equipo[UND],,0),"")</f>
        <v/>
      </c>
      <c r="D1659" s="31"/>
      <c r="E1659" s="32" t="str">
        <f>IF(C1659="%MO",G1663,IFERROR(_xlfn.XLOOKUP($B1659,Equipo[DESCRIPCION],Equipo[VALOR],,0),""))</f>
        <v/>
      </c>
      <c r="F1659" s="33"/>
      <c r="G1659" s="34" t="str">
        <f>IFERROR(IF(F1659&gt;=0,D1659*E1659*(1+F1659/100),ABS(D1659*E1659/F1659)),"")</f>
        <v/>
      </c>
      <c r="H1659" s="139" t="str">
        <f>IFERROR(G1659*E1648,"")</f>
        <v/>
      </c>
    </row>
    <row r="1660" spans="1:8" ht="12.75" customHeight="1">
      <c r="A1660" s="21"/>
      <c r="B1660" s="22" t="s">
        <v>2533</v>
      </c>
      <c r="C1660" s="23"/>
      <c r="D1660" s="24"/>
      <c r="E1660" s="25"/>
      <c r="F1660" s="26"/>
      <c r="G1660" s="27">
        <f>SUM(G1661:G1662)</f>
        <v>0</v>
      </c>
      <c r="H1660" s="27">
        <f>IFERROR(G1660*E1648,"")</f>
        <v>0</v>
      </c>
    </row>
    <row r="1661" spans="1:8" ht="12.75" customHeight="1">
      <c r="A1661" s="28"/>
      <c r="B1661" s="29"/>
      <c r="C1661" s="30" t="str">
        <f>IFERROR(_xlfn.XLOOKUP(B1661,Transporte[DESCRIPCION],Transporte[UND],,0),"")</f>
        <v/>
      </c>
      <c r="D1661" s="31"/>
      <c r="E1661" s="32" t="str">
        <f>IFERROR(_xlfn.XLOOKUP($B1661,Transporte[DESCRIPCION],Transporte[VALOR],,0),"")</f>
        <v/>
      </c>
      <c r="F1661" s="33"/>
      <c r="G1661" s="34" t="str">
        <f>IFERROR(IF(F1661&gt;=0,D1661*E1661*(1+F1661/100),ABS(D1661*E1661/F1661)),"")</f>
        <v/>
      </c>
      <c r="H1661" s="139" t="str">
        <f>IFERROR(G1661*E1648,"")</f>
        <v/>
      </c>
    </row>
    <row r="1662" spans="1:8" ht="12.75" customHeight="1">
      <c r="A1662" s="28"/>
      <c r="B1662" s="29"/>
      <c r="C1662" s="30" t="str">
        <f>IFERROR(_xlfn.XLOOKUP(B1662,Transporte[DESCRIPCION],Transporte[UND],,0),"")</f>
        <v/>
      </c>
      <c r="D1662" s="31"/>
      <c r="E1662" s="32" t="str">
        <f>IFERROR(_xlfn.XLOOKUP($B1662,Transporte[DESCRIPCION],Transporte[VALOR],,0),"")</f>
        <v/>
      </c>
      <c r="F1662" s="33"/>
      <c r="G1662" s="34" t="str">
        <f>IFERROR(IF(F1662&gt;=0,D1662*E1662*(1+F1662/100),ABS(D1662*E1662/F1662)),"")</f>
        <v/>
      </c>
      <c r="H1662" s="139" t="str">
        <f>IFERROR(G1662*E1648,"")</f>
        <v/>
      </c>
    </row>
    <row r="1663" spans="1:8" ht="12.75" customHeight="1">
      <c r="A1663" s="21"/>
      <c r="B1663" s="22" t="s">
        <v>3732</v>
      </c>
      <c r="C1663" s="23"/>
      <c r="D1663" s="24"/>
      <c r="E1663" s="25"/>
      <c r="F1663" s="26"/>
      <c r="G1663" s="27">
        <f>SUM(G1664:G1666)</f>
        <v>6404.2560367500018</v>
      </c>
      <c r="H1663" s="27">
        <f>IFERROR(G1663*E1648,"")</f>
        <v>0</v>
      </c>
    </row>
    <row r="1664" spans="1:8" ht="12.75" customHeight="1">
      <c r="A1664" s="28"/>
      <c r="B1664" s="29" t="s">
        <v>3701</v>
      </c>
      <c r="C1664" s="30" t="str">
        <f>IFERROR(_xlfn.XLOOKUP(B1664,MObra[DESCRIPCION],MObra[UN],,0),"")</f>
        <v>día</v>
      </c>
      <c r="D1664" s="31">
        <v>1</v>
      </c>
      <c r="E1664" s="32">
        <f>IFERROR(_xlfn.XLOOKUP($B1664,MObra[DESCRIPCION],MObra[VALOR UNIT],,0),"")</f>
        <v>128085.12073500003</v>
      </c>
      <c r="F1664" s="33">
        <v>-20</v>
      </c>
      <c r="G1664" s="34">
        <f>IFERROR(IF(F1664&gt;=0,D1664*E1664*(1+F1664/100),ABS(D1664*E1664/F1664)),"")</f>
        <v>6404.2560367500018</v>
      </c>
      <c r="H1664" s="139">
        <f>IFERROR(G1664*E1648,"")</f>
        <v>0</v>
      </c>
    </row>
    <row r="1665" spans="1:11" ht="12.75" customHeight="1">
      <c r="A1665" s="28"/>
      <c r="B1665" s="29"/>
      <c r="C1665" s="30" t="str">
        <f>IFERROR(_xlfn.XLOOKUP(B1665,MObra[DESCRIPCION],MObra[UN],,0),"")</f>
        <v/>
      </c>
      <c r="D1665" s="31"/>
      <c r="E1665" s="32" t="str">
        <f>IFERROR(_xlfn.XLOOKUP($B1665,MObra[DESCRIPCION],MObra[VALOR UNIT],,0),"")</f>
        <v/>
      </c>
      <c r="F1665" s="33"/>
      <c r="G1665" s="34" t="str">
        <f>IFERROR(IF(F1665&gt;=0,D1665*E1665*(1+F1665/100),ABS(D1665*E1665/F1665)),"")</f>
        <v/>
      </c>
      <c r="H1665" s="139" t="str">
        <f>IFERROR(G1665*E1648,"")</f>
        <v/>
      </c>
    </row>
    <row r="1666" spans="1:11" ht="12.75" customHeight="1" thickBot="1">
      <c r="A1666" s="35"/>
      <c r="B1666" s="36"/>
      <c r="C1666" s="37" t="str">
        <f>IFERROR(_xlfn.XLOOKUP(B1666,MObra[DESCRIPCION],MObra[UN],,0),"")</f>
        <v/>
      </c>
      <c r="D1666" s="38"/>
      <c r="E1666" s="39" t="str">
        <f>IFERROR(_xlfn.XLOOKUP($B1666,MObra[DESCRIPCION],MObra[VALOR UNIT],,0),"")</f>
        <v/>
      </c>
      <c r="F1666" s="40"/>
      <c r="G1666" s="41" t="str">
        <f>IFERROR(IF(F1666&gt;=0,D1666*E1666*(1+F1666/100),ABS(D1666*E1666/F1666)),"")</f>
        <v/>
      </c>
      <c r="H1666" s="42" t="str">
        <f>IFERROR(G1666*E1648,"")</f>
        <v/>
      </c>
    </row>
    <row r="1667" spans="1:11" ht="12.75" customHeight="1" thickTop="1" thickBot="1"/>
    <row r="1668" spans="1:11" ht="12.75" customHeight="1" thickTop="1" thickBot="1">
      <c r="A1668" s="6" t="s">
        <v>1534</v>
      </c>
      <c r="B1668" s="7" t="str">
        <f>VLOOKUP($A1668,Presupuesto!$A:$D,2,FALSE())</f>
        <v>Sanitario Acuacer blanco econoagua</v>
      </c>
      <c r="C1668" s="8" t="str">
        <f>VLOOKUP($A1668,Presupuesto!$A:$D,3,FALSE())</f>
        <v>Un</v>
      </c>
      <c r="D1668" s="9"/>
      <c r="E1668" s="10">
        <f>VLOOKUP($A1668,Presupuesto!$A:$D,4,FALSE())</f>
        <v>0</v>
      </c>
      <c r="F1668" s="11" t="s">
        <v>2589</v>
      </c>
      <c r="G1668" s="12">
        <f>SUM(G1670:G1686)/2</f>
        <v>334317.97884397506</v>
      </c>
      <c r="H1668" s="13">
        <f>ROUND(SUM(H1670:H1686),0)/2</f>
        <v>0</v>
      </c>
      <c r="I1668" s="10">
        <f>VLOOKUP(A1668,Presupuesto!$A:$F,6,0)</f>
        <v>0</v>
      </c>
      <c r="J1668" s="10">
        <f>+H1668-I1668</f>
        <v>0</v>
      </c>
      <c r="K1668" s="46">
        <f>+H1668-G1668*E1668</f>
        <v>0</v>
      </c>
    </row>
    <row r="1669" spans="1:11" ht="12.75" customHeight="1" thickTop="1">
      <c r="A1669" s="14"/>
      <c r="B1669" s="15" t="s">
        <v>2586</v>
      </c>
      <c r="C1669" s="15" t="s">
        <v>5</v>
      </c>
      <c r="D1669" s="16" t="s">
        <v>6</v>
      </c>
      <c r="E1669" s="17" t="s">
        <v>7</v>
      </c>
      <c r="F1669" s="18" t="s">
        <v>3728</v>
      </c>
      <c r="G1669" s="19" t="s">
        <v>3729</v>
      </c>
      <c r="H1669" s="20" t="s">
        <v>3797</v>
      </c>
    </row>
    <row r="1670" spans="1:11" ht="12.75" customHeight="1">
      <c r="A1670" s="21"/>
      <c r="B1670" s="22" t="s">
        <v>3730</v>
      </c>
      <c r="C1670" s="23"/>
      <c r="D1670" s="24"/>
      <c r="E1670" s="25"/>
      <c r="F1670" s="26"/>
      <c r="G1670" s="27">
        <f>SUM(G1671:G1675)</f>
        <v>301306.95</v>
      </c>
      <c r="H1670" s="27">
        <f>IFERROR(G1670*E1668,"")</f>
        <v>0</v>
      </c>
    </row>
    <row r="1671" spans="1:11" ht="12.75" customHeight="1">
      <c r="A1671" s="28"/>
      <c r="B1671" s="29" t="s">
        <v>3279</v>
      </c>
      <c r="C1671" s="30" t="str">
        <f>IFERROR(_xlfn.XLOOKUP(B1671,Insumo[DESCRIPCION],Insumo[UND],,0),"")</f>
        <v>Un</v>
      </c>
      <c r="D1671" s="31">
        <v>1</v>
      </c>
      <c r="E1671" s="32">
        <f>IFERROR(_xlfn.XLOOKUP($B1671,Insumo[DESCRIPCION],Insumo[VALOR],,0),"")</f>
        <v>227211.6</v>
      </c>
      <c r="F1671" s="33"/>
      <c r="G1671" s="34">
        <f>IFERROR(IF(F1671&gt;=0,D1671*E1671*(1+F1671/100),ABS(D1671*E1671/F1671)),"")</f>
        <v>227211.6</v>
      </c>
      <c r="H1671" s="139">
        <f>IFERROR(G1671*E1668,"")</f>
        <v>0</v>
      </c>
    </row>
    <row r="1672" spans="1:11" ht="12.75" customHeight="1">
      <c r="A1672" s="28"/>
      <c r="B1672" s="29" t="s">
        <v>2823</v>
      </c>
      <c r="C1672" s="30" t="str">
        <f>IFERROR(_xlfn.XLOOKUP(B1672,Insumo[DESCRIPCION],Insumo[UND],,0),"")</f>
        <v>Kg</v>
      </c>
      <c r="D1672" s="31">
        <v>0.5</v>
      </c>
      <c r="E1672" s="32">
        <f>IFERROR(_xlfn.XLOOKUP($B1672,Insumo[DESCRIPCION],Insumo[VALOR],,0),"")</f>
        <v>1680</v>
      </c>
      <c r="F1672" s="33"/>
      <c r="G1672" s="34">
        <f>IFERROR(IF(F1672&gt;=0,D1672*E1672*(1+F1672/100),ABS(D1672*E1672/F1672)),"")</f>
        <v>840</v>
      </c>
      <c r="H1672" s="139">
        <f>IFERROR(G1672*E1668,"")</f>
        <v>0</v>
      </c>
    </row>
    <row r="1673" spans="1:11" ht="12.75" customHeight="1">
      <c r="A1673" s="28"/>
      <c r="B1673" s="29" t="s">
        <v>2988</v>
      </c>
      <c r="C1673" s="30" t="str">
        <f>IFERROR(_xlfn.XLOOKUP(B1673,Insumo[DESCRIPCION],Insumo[UND],,0),"")</f>
        <v>Un</v>
      </c>
      <c r="D1673" s="31">
        <v>1</v>
      </c>
      <c r="E1673" s="32">
        <f>IFERROR(_xlfn.XLOOKUP($B1673,Insumo[DESCRIPCION],Insumo[VALOR],,0),"")</f>
        <v>73255.350000000006</v>
      </c>
      <c r="F1673" s="33"/>
      <c r="G1673" s="34">
        <f>IFERROR(IF(F1673&gt;=0,D1673*E1673*(1+F1673/100),ABS(D1673*E1673/F1673)),"")</f>
        <v>73255.350000000006</v>
      </c>
      <c r="H1673" s="139">
        <f>IFERROR(G1673*E1668,"")</f>
        <v>0</v>
      </c>
    </row>
    <row r="1674" spans="1:11" ht="12.75" customHeight="1">
      <c r="A1674" s="28"/>
      <c r="B1674" s="29"/>
      <c r="C1674" s="30" t="str">
        <f>IFERROR(_xlfn.XLOOKUP(B1674,Insumo[DESCRIPCION],Insumo[UND],,0),"")</f>
        <v/>
      </c>
      <c r="D1674" s="31"/>
      <c r="E1674" s="32" t="str">
        <f>IFERROR(_xlfn.XLOOKUP($B1674,Insumo[DESCRIPCION],Insumo[VALOR],,0),"")</f>
        <v/>
      </c>
      <c r="F1674" s="33"/>
      <c r="G1674" s="34" t="str">
        <f>IFERROR(IF(F1674&gt;=0,D1674*E1674*(1+F1674/100),ABS(D1674*E1674/F1674)),"")</f>
        <v/>
      </c>
      <c r="H1674" s="139" t="str">
        <f>IFERROR(G1674*E1668,"")</f>
        <v/>
      </c>
    </row>
    <row r="1675" spans="1:11" ht="12.75" customHeight="1">
      <c r="A1675" s="28"/>
      <c r="B1675" s="29"/>
      <c r="C1675" s="30" t="str">
        <f>IFERROR(_xlfn.XLOOKUP(B1675,Insumo[DESCRIPCION],Insumo[UND],,0),"")</f>
        <v/>
      </c>
      <c r="D1675" s="31"/>
      <c r="E1675" s="32" t="str">
        <f>IFERROR(_xlfn.XLOOKUP($B1675,Insumo[DESCRIPCION],Insumo[VALOR],,0),"")</f>
        <v/>
      </c>
      <c r="F1675" s="33"/>
      <c r="G1675" s="34" t="str">
        <f>IFERROR(IF(F1675&gt;=0,D1675*E1675*(1+F1675/100),ABS(D1675*E1675/F1675)),"")</f>
        <v/>
      </c>
      <c r="H1675" s="139" t="str">
        <f>IFERROR(G1675*E1668,"")</f>
        <v/>
      </c>
    </row>
    <row r="1676" spans="1:11" ht="12.75" customHeight="1">
      <c r="A1676" s="21"/>
      <c r="B1676" s="22" t="s">
        <v>3731</v>
      </c>
      <c r="C1676" s="23"/>
      <c r="D1676" s="24"/>
      <c r="E1676" s="25"/>
      <c r="F1676" s="26"/>
      <c r="G1676" s="27">
        <f>SUM(G1677:G1679)</f>
        <v>1571.9537544750003</v>
      </c>
      <c r="H1676" s="27">
        <f>IFERROR(G1676*E1668,"")</f>
        <v>0</v>
      </c>
    </row>
    <row r="1677" spans="1:11" ht="12.75" customHeight="1">
      <c r="A1677" s="28"/>
      <c r="B1677" s="29" t="s">
        <v>3626</v>
      </c>
      <c r="C1677" s="30" t="str">
        <f>IFERROR(_xlfn.XLOOKUP(B1677,Equipo[DESCRIPCION],Equipo[UND],,0),"")</f>
        <v>%MO</v>
      </c>
      <c r="D1677" s="31">
        <v>0.05</v>
      </c>
      <c r="E1677" s="32">
        <f>IF(C1677="%MO",G1683,IFERROR(_xlfn.XLOOKUP($B1677,Equipo[DESCRIPCION],Equipo[VALOR],,0),""))</f>
        <v>31439.075089500006</v>
      </c>
      <c r="F1677" s="33"/>
      <c r="G1677" s="34">
        <f>IFERROR(IF(F1677&gt;=0,D1677*E1677*(1+F1677/100),ABS(D1677*E1677/F1677)),"")</f>
        <v>1571.9537544750003</v>
      </c>
      <c r="H1677" s="139">
        <f>IFERROR(G1677*E1668,"")</f>
        <v>0</v>
      </c>
    </row>
    <row r="1678" spans="1:11" ht="12.75" customHeight="1">
      <c r="A1678" s="28"/>
      <c r="B1678" s="29"/>
      <c r="C1678" s="30" t="str">
        <f>IFERROR(_xlfn.XLOOKUP(B1678,Equipo[DESCRIPCION],Equipo[UND],,0),"")</f>
        <v/>
      </c>
      <c r="D1678" s="31"/>
      <c r="E1678" s="32" t="str">
        <f>IF(C1678="%MO",G1683,IFERROR(_xlfn.XLOOKUP($B1678,Equipo[DESCRIPCION],Equipo[VALOR],,0),""))</f>
        <v/>
      </c>
      <c r="F1678" s="33"/>
      <c r="G1678" s="34" t="str">
        <f>IFERROR(IF(F1678&gt;=0,D1678*E1678*(1+F1678/100),ABS(D1678*E1678/F1678)),"")</f>
        <v/>
      </c>
      <c r="H1678" s="139" t="str">
        <f>IFERROR(G1678*E1668,"")</f>
        <v/>
      </c>
    </row>
    <row r="1679" spans="1:11" ht="12.75" customHeight="1">
      <c r="A1679" s="28"/>
      <c r="B1679" s="29"/>
      <c r="C1679" s="30" t="str">
        <f>IFERROR(_xlfn.XLOOKUP(B1679,Equipo[DESCRIPCION],Equipo[UND],,0),"")</f>
        <v/>
      </c>
      <c r="D1679" s="31"/>
      <c r="E1679" s="32" t="str">
        <f>IF(C1679="%MO",G1683,IFERROR(_xlfn.XLOOKUP($B1679,Equipo[DESCRIPCION],Equipo[VALOR],,0),""))</f>
        <v/>
      </c>
      <c r="F1679" s="33"/>
      <c r="G1679" s="34" t="str">
        <f>IFERROR(IF(F1679&gt;=0,D1679*E1679*(1+F1679/100),ABS(D1679*E1679/F1679)),"")</f>
        <v/>
      </c>
      <c r="H1679" s="139" t="str">
        <f>IFERROR(G1679*E1668,"")</f>
        <v/>
      </c>
    </row>
    <row r="1680" spans="1:11" ht="12.75" customHeight="1">
      <c r="A1680" s="21"/>
      <c r="B1680" s="22" t="s">
        <v>2533</v>
      </c>
      <c r="C1680" s="23"/>
      <c r="D1680" s="24"/>
      <c r="E1680" s="25"/>
      <c r="F1680" s="26"/>
      <c r="G1680" s="27">
        <f>SUM(G1681:G1682)</f>
        <v>0</v>
      </c>
      <c r="H1680" s="27">
        <f>IFERROR(G1680*E1668,"")</f>
        <v>0</v>
      </c>
    </row>
    <row r="1681" spans="1:11" ht="12.75" customHeight="1">
      <c r="A1681" s="28"/>
      <c r="B1681" s="29"/>
      <c r="C1681" s="30" t="str">
        <f>IFERROR(_xlfn.XLOOKUP(B1681,Transporte[DESCRIPCION],Transporte[UND],,0),"")</f>
        <v/>
      </c>
      <c r="D1681" s="31"/>
      <c r="E1681" s="32" t="str">
        <f>IFERROR(_xlfn.XLOOKUP($B1681,Transporte[DESCRIPCION],Transporte[VALOR],,0),"")</f>
        <v/>
      </c>
      <c r="F1681" s="33"/>
      <c r="G1681" s="34" t="str">
        <f>IFERROR(IF(F1681&gt;=0,D1681*E1681*(1+F1681/100),ABS(D1681*E1681/F1681)),"")</f>
        <v/>
      </c>
      <c r="H1681" s="139" t="str">
        <f>IFERROR(G1681*E1668,"")</f>
        <v/>
      </c>
    </row>
    <row r="1682" spans="1:11" ht="12.75" customHeight="1">
      <c r="A1682" s="28"/>
      <c r="B1682" s="29"/>
      <c r="C1682" s="30" t="str">
        <f>IFERROR(_xlfn.XLOOKUP(B1682,Transporte[DESCRIPCION],Transporte[UND],,0),"")</f>
        <v/>
      </c>
      <c r="D1682" s="31"/>
      <c r="E1682" s="32" t="str">
        <f>IFERROR(_xlfn.XLOOKUP($B1682,Transporte[DESCRIPCION],Transporte[VALOR],,0),"")</f>
        <v/>
      </c>
      <c r="F1682" s="33"/>
      <c r="G1682" s="34" t="str">
        <f>IFERROR(IF(F1682&gt;=0,D1682*E1682*(1+F1682/100),ABS(D1682*E1682/F1682)),"")</f>
        <v/>
      </c>
      <c r="H1682" s="139" t="str">
        <f>IFERROR(G1682*E1668,"")</f>
        <v/>
      </c>
    </row>
    <row r="1683" spans="1:11" ht="12.75" customHeight="1">
      <c r="A1683" s="21"/>
      <c r="B1683" s="22" t="s">
        <v>3732</v>
      </c>
      <c r="C1683" s="23"/>
      <c r="D1683" s="24"/>
      <c r="E1683" s="25"/>
      <c r="F1683" s="26"/>
      <c r="G1683" s="27">
        <f>SUM(G1684:G1686)</f>
        <v>31439.075089500006</v>
      </c>
      <c r="H1683" s="27">
        <f>IFERROR(G1683*E1668,"")</f>
        <v>0</v>
      </c>
    </row>
    <row r="1684" spans="1:11" ht="12.75" customHeight="1">
      <c r="A1684" s="28"/>
      <c r="B1684" s="29" t="s">
        <v>3710</v>
      </c>
      <c r="C1684" s="30" t="str">
        <f>IFERROR(_xlfn.XLOOKUP(B1684,MObra[DESCRIPCION],MObra[UN],,0),"")</f>
        <v>día</v>
      </c>
      <c r="D1684" s="31">
        <v>1</v>
      </c>
      <c r="E1684" s="32">
        <f>IFERROR(_xlfn.XLOOKUP($B1684,MObra[DESCRIPCION],MObra[VALOR UNIT],,0),"")</f>
        <v>314390.75089500006</v>
      </c>
      <c r="F1684" s="33">
        <v>-10</v>
      </c>
      <c r="G1684" s="34">
        <f>IFERROR(IF(F1684&gt;=0,D1684*E1684*(1+F1684/100),ABS(D1684*E1684/F1684)),"")</f>
        <v>31439.075089500006</v>
      </c>
      <c r="H1684" s="139">
        <f>IFERROR(G1684*E1668,"")</f>
        <v>0</v>
      </c>
    </row>
    <row r="1685" spans="1:11" ht="12.75" customHeight="1">
      <c r="A1685" s="28"/>
      <c r="B1685" s="29"/>
      <c r="C1685" s="30" t="str">
        <f>IFERROR(_xlfn.XLOOKUP(B1685,MObra[DESCRIPCION],MObra[UN],,0),"")</f>
        <v/>
      </c>
      <c r="D1685" s="31"/>
      <c r="E1685" s="32" t="str">
        <f>IFERROR(_xlfn.XLOOKUP($B1685,MObra[DESCRIPCION],MObra[VALOR UNIT],,0),"")</f>
        <v/>
      </c>
      <c r="F1685" s="33"/>
      <c r="G1685" s="34" t="str">
        <f>IFERROR(IF(F1685&gt;=0,D1685*E1685*(1+F1685/100),ABS(D1685*E1685/F1685)),"")</f>
        <v/>
      </c>
      <c r="H1685" s="139" t="str">
        <f>IFERROR(G1685*E1668,"")</f>
        <v/>
      </c>
    </row>
    <row r="1686" spans="1:11" ht="12.75" customHeight="1" thickBot="1">
      <c r="A1686" s="35"/>
      <c r="B1686" s="36"/>
      <c r="C1686" s="37" t="str">
        <f>IFERROR(_xlfn.XLOOKUP(B1686,MObra[DESCRIPCION],MObra[UN],,0),"")</f>
        <v/>
      </c>
      <c r="D1686" s="38"/>
      <c r="E1686" s="39" t="str">
        <f>IFERROR(_xlfn.XLOOKUP($B1686,MObra[DESCRIPCION],MObra[VALOR UNIT],,0),"")</f>
        <v/>
      </c>
      <c r="F1686" s="40"/>
      <c r="G1686" s="41" t="str">
        <f>IFERROR(IF(F1686&gt;=0,D1686*E1686*(1+F1686/100),ABS(D1686*E1686/F1686)),"")</f>
        <v/>
      </c>
      <c r="H1686" s="42" t="str">
        <f>IFERROR(G1686*E1668,"")</f>
        <v/>
      </c>
    </row>
    <row r="1687" spans="1:11" ht="12.75" customHeight="1" thickTop="1" thickBot="1"/>
    <row r="1688" spans="1:11" ht="12.75" customHeight="1" thickTop="1" thickBot="1">
      <c r="A1688" s="6" t="s">
        <v>1536</v>
      </c>
      <c r="B1688" s="7" t="str">
        <f>VLOOKUP($A1688,Presupuesto!$A:$D,2,FALSE())</f>
        <v>Sanitario discapacitados</v>
      </c>
      <c r="C1688" s="8" t="str">
        <f>VLOOKUP($A1688,Presupuesto!$A:$D,3,FALSE())</f>
        <v>Un</v>
      </c>
      <c r="D1688" s="9"/>
      <c r="E1688" s="10">
        <f>VLOOKUP($A1688,Presupuesto!$A:$D,4,FALSE())</f>
        <v>0</v>
      </c>
      <c r="F1688" s="11" t="s">
        <v>2589</v>
      </c>
      <c r="G1688" s="12">
        <f>SUM(G1690:G1706)/2</f>
        <v>3103136.4788439758</v>
      </c>
      <c r="H1688" s="13">
        <f>ROUND(SUM(H1690:H1706),0)/2</f>
        <v>0</v>
      </c>
      <c r="I1688" s="10">
        <f>VLOOKUP(A1688,Presupuesto!$A:$F,6,0)</f>
        <v>0</v>
      </c>
      <c r="J1688" s="10">
        <f>+H1688-I1688</f>
        <v>0</v>
      </c>
      <c r="K1688" s="46">
        <f>+H1688-G1688*E1688</f>
        <v>0</v>
      </c>
    </row>
    <row r="1689" spans="1:11" ht="12.75" customHeight="1" thickTop="1">
      <c r="A1689" s="14"/>
      <c r="B1689" s="15" t="s">
        <v>2586</v>
      </c>
      <c r="C1689" s="15" t="s">
        <v>5</v>
      </c>
      <c r="D1689" s="16" t="s">
        <v>6</v>
      </c>
      <c r="E1689" s="17" t="s">
        <v>7</v>
      </c>
      <c r="F1689" s="18" t="s">
        <v>3728</v>
      </c>
      <c r="G1689" s="19" t="s">
        <v>3729</v>
      </c>
      <c r="H1689" s="20" t="s">
        <v>3797</v>
      </c>
    </row>
    <row r="1690" spans="1:11" ht="12.75" customHeight="1">
      <c r="A1690" s="21"/>
      <c r="B1690" s="22" t="s">
        <v>3730</v>
      </c>
      <c r="C1690" s="23"/>
      <c r="D1690" s="24"/>
      <c r="E1690" s="25"/>
      <c r="F1690" s="26"/>
      <c r="G1690" s="27">
        <f>SUM(G1691:G1695)</f>
        <v>3070125.45</v>
      </c>
      <c r="H1690" s="27">
        <f>IFERROR(G1690*E1688,"")</f>
        <v>0</v>
      </c>
    </row>
    <row r="1691" spans="1:11" ht="12.75" customHeight="1">
      <c r="A1691" s="28"/>
      <c r="B1691" s="29" t="s">
        <v>3276</v>
      </c>
      <c r="C1691" s="30" t="str">
        <f>IFERROR(_xlfn.XLOOKUP(B1691,Insumo[DESCRIPCION],Insumo[UND],,0),"")</f>
        <v>Un</v>
      </c>
      <c r="D1691" s="31">
        <v>1</v>
      </c>
      <c r="E1691" s="32">
        <f>IFERROR(_xlfn.XLOOKUP($B1691,Insumo[DESCRIPCION],Insumo[VALOR],,0),"")</f>
        <v>2996030.1</v>
      </c>
      <c r="F1691" s="33"/>
      <c r="G1691" s="34">
        <f>IFERROR(IF(F1691&gt;=0,D1691*E1691*(1+F1691/100),ABS(D1691*E1691/F1691)),"")</f>
        <v>2996030.1</v>
      </c>
      <c r="H1691" s="139">
        <f>IFERROR(G1691*E1688,"")</f>
        <v>0</v>
      </c>
    </row>
    <row r="1692" spans="1:11" ht="12.75" customHeight="1">
      <c r="A1692" s="28"/>
      <c r="B1692" s="29" t="s">
        <v>2823</v>
      </c>
      <c r="C1692" s="30" t="str">
        <f>IFERROR(_xlfn.XLOOKUP(B1692,Insumo[DESCRIPCION],Insumo[UND],,0),"")</f>
        <v>Kg</v>
      </c>
      <c r="D1692" s="31">
        <v>0.5</v>
      </c>
      <c r="E1692" s="32">
        <f>IFERROR(_xlfn.XLOOKUP($B1692,Insumo[DESCRIPCION],Insumo[VALOR],,0),"")</f>
        <v>1680</v>
      </c>
      <c r="F1692" s="33"/>
      <c r="G1692" s="34">
        <f>IFERROR(IF(F1692&gt;=0,D1692*E1692*(1+F1692/100),ABS(D1692*E1692/F1692)),"")</f>
        <v>840</v>
      </c>
      <c r="H1692" s="139">
        <f>IFERROR(G1692*E1688,"")</f>
        <v>0</v>
      </c>
    </row>
    <row r="1693" spans="1:11" ht="12.75" customHeight="1">
      <c r="A1693" s="28"/>
      <c r="B1693" s="29" t="s">
        <v>2988</v>
      </c>
      <c r="C1693" s="30" t="str">
        <f>IFERROR(_xlfn.XLOOKUP(B1693,Insumo[DESCRIPCION],Insumo[UND],,0),"")</f>
        <v>Un</v>
      </c>
      <c r="D1693" s="31">
        <v>1</v>
      </c>
      <c r="E1693" s="32">
        <f>IFERROR(_xlfn.XLOOKUP($B1693,Insumo[DESCRIPCION],Insumo[VALOR],,0),"")</f>
        <v>73255.350000000006</v>
      </c>
      <c r="F1693" s="33"/>
      <c r="G1693" s="34">
        <f>IFERROR(IF(F1693&gt;=0,D1693*E1693*(1+F1693/100),ABS(D1693*E1693/F1693)),"")</f>
        <v>73255.350000000006</v>
      </c>
      <c r="H1693" s="139">
        <f>IFERROR(G1693*E1688,"")</f>
        <v>0</v>
      </c>
    </row>
    <row r="1694" spans="1:11" ht="12.75" customHeight="1">
      <c r="A1694" s="28"/>
      <c r="B1694" s="29"/>
      <c r="C1694" s="30" t="str">
        <f>IFERROR(_xlfn.XLOOKUP(B1694,Insumo[DESCRIPCION],Insumo[UND],,0),"")</f>
        <v/>
      </c>
      <c r="D1694" s="31"/>
      <c r="E1694" s="32" t="str">
        <f>IFERROR(_xlfn.XLOOKUP($B1694,Insumo[DESCRIPCION],Insumo[VALOR],,0),"")</f>
        <v/>
      </c>
      <c r="F1694" s="33"/>
      <c r="G1694" s="34" t="str">
        <f>IFERROR(IF(F1694&gt;=0,D1694*E1694*(1+F1694/100),ABS(D1694*E1694/F1694)),"")</f>
        <v/>
      </c>
      <c r="H1694" s="139" t="str">
        <f>IFERROR(G1694*E1688,"")</f>
        <v/>
      </c>
    </row>
    <row r="1695" spans="1:11" ht="12.75" customHeight="1">
      <c r="A1695" s="28"/>
      <c r="B1695" s="29"/>
      <c r="C1695" s="30" t="str">
        <f>IFERROR(_xlfn.XLOOKUP(B1695,Insumo[DESCRIPCION],Insumo[UND],,0),"")</f>
        <v/>
      </c>
      <c r="D1695" s="31"/>
      <c r="E1695" s="32" t="str">
        <f>IFERROR(_xlfn.XLOOKUP($B1695,Insumo[DESCRIPCION],Insumo[VALOR],,0),"")</f>
        <v/>
      </c>
      <c r="F1695" s="33"/>
      <c r="G1695" s="34" t="str">
        <f>IFERROR(IF(F1695&gt;=0,D1695*E1695*(1+F1695/100),ABS(D1695*E1695/F1695)),"")</f>
        <v/>
      </c>
      <c r="H1695" s="139" t="str">
        <f>IFERROR(G1695*E1688,"")</f>
        <v/>
      </c>
    </row>
    <row r="1696" spans="1:11" ht="12.75" customHeight="1">
      <c r="A1696" s="21"/>
      <c r="B1696" s="22" t="s">
        <v>3731</v>
      </c>
      <c r="C1696" s="23"/>
      <c r="D1696" s="24"/>
      <c r="E1696" s="25"/>
      <c r="F1696" s="26"/>
      <c r="G1696" s="27">
        <f>SUM(G1697:G1699)</f>
        <v>1571.9537544750003</v>
      </c>
      <c r="H1696" s="27">
        <f>IFERROR(G1696*E1688,"")</f>
        <v>0</v>
      </c>
    </row>
    <row r="1697" spans="1:11" ht="12.75" customHeight="1">
      <c r="A1697" s="28"/>
      <c r="B1697" s="29" t="s">
        <v>3626</v>
      </c>
      <c r="C1697" s="30" t="str">
        <f>IFERROR(_xlfn.XLOOKUP(B1697,Equipo[DESCRIPCION],Equipo[UND],,0),"")</f>
        <v>%MO</v>
      </c>
      <c r="D1697" s="31">
        <v>0.05</v>
      </c>
      <c r="E1697" s="32">
        <f>IF(C1697="%MO",G1703,IFERROR(_xlfn.XLOOKUP($B1697,Equipo[DESCRIPCION],Equipo[VALOR],,0),""))</f>
        <v>31439.075089500006</v>
      </c>
      <c r="F1697" s="33"/>
      <c r="G1697" s="34">
        <f>IFERROR(IF(F1697&gt;=0,D1697*E1697*(1+F1697/100),ABS(D1697*E1697/F1697)),"")</f>
        <v>1571.9537544750003</v>
      </c>
      <c r="H1697" s="139">
        <f>IFERROR(G1697*E1688,"")</f>
        <v>0</v>
      </c>
    </row>
    <row r="1698" spans="1:11" ht="12.75" customHeight="1">
      <c r="A1698" s="28"/>
      <c r="B1698" s="29"/>
      <c r="C1698" s="30" t="str">
        <f>IFERROR(_xlfn.XLOOKUP(B1698,Equipo[DESCRIPCION],Equipo[UND],,0),"")</f>
        <v/>
      </c>
      <c r="D1698" s="31"/>
      <c r="E1698" s="32" t="str">
        <f>IF(C1698="%MO",G1703,IFERROR(_xlfn.XLOOKUP($B1698,Equipo[DESCRIPCION],Equipo[VALOR],,0),""))</f>
        <v/>
      </c>
      <c r="F1698" s="33"/>
      <c r="G1698" s="34" t="str">
        <f>IFERROR(IF(F1698&gt;=0,D1698*E1698*(1+F1698/100),ABS(D1698*E1698/F1698)),"")</f>
        <v/>
      </c>
      <c r="H1698" s="139" t="str">
        <f>IFERROR(G1698*E1688,"")</f>
        <v/>
      </c>
    </row>
    <row r="1699" spans="1:11" ht="12.75" customHeight="1">
      <c r="A1699" s="28"/>
      <c r="B1699" s="29"/>
      <c r="C1699" s="30" t="str">
        <f>IFERROR(_xlfn.XLOOKUP(B1699,Equipo[DESCRIPCION],Equipo[UND],,0),"")</f>
        <v/>
      </c>
      <c r="D1699" s="31"/>
      <c r="E1699" s="32" t="str">
        <f>IF(C1699="%MO",G1703,IFERROR(_xlfn.XLOOKUP($B1699,Equipo[DESCRIPCION],Equipo[VALOR],,0),""))</f>
        <v/>
      </c>
      <c r="F1699" s="33"/>
      <c r="G1699" s="34" t="str">
        <f>IFERROR(IF(F1699&gt;=0,D1699*E1699*(1+F1699/100),ABS(D1699*E1699/F1699)),"")</f>
        <v/>
      </c>
      <c r="H1699" s="139" t="str">
        <f>IFERROR(G1699*E1688,"")</f>
        <v/>
      </c>
    </row>
    <row r="1700" spans="1:11" ht="12.75" customHeight="1">
      <c r="A1700" s="21"/>
      <c r="B1700" s="22" t="s">
        <v>2533</v>
      </c>
      <c r="C1700" s="23"/>
      <c r="D1700" s="24"/>
      <c r="E1700" s="25"/>
      <c r="F1700" s="26"/>
      <c r="G1700" s="27">
        <f>SUM(G1701:G1702)</f>
        <v>0</v>
      </c>
      <c r="H1700" s="27">
        <f>IFERROR(G1700*E1688,"")</f>
        <v>0</v>
      </c>
    </row>
    <row r="1701" spans="1:11" ht="12.75" customHeight="1">
      <c r="A1701" s="28"/>
      <c r="B1701" s="29"/>
      <c r="C1701" s="30" t="str">
        <f>IFERROR(_xlfn.XLOOKUP(B1701,Transporte[DESCRIPCION],Transporte[UND],,0),"")</f>
        <v/>
      </c>
      <c r="D1701" s="31"/>
      <c r="E1701" s="32" t="str">
        <f>IFERROR(_xlfn.XLOOKUP($B1701,Transporte[DESCRIPCION],Transporte[VALOR],,0),"")</f>
        <v/>
      </c>
      <c r="F1701" s="33"/>
      <c r="G1701" s="34" t="str">
        <f>IFERROR(IF(F1701&gt;=0,D1701*E1701*(1+F1701/100),ABS(D1701*E1701/F1701)),"")</f>
        <v/>
      </c>
      <c r="H1701" s="139" t="str">
        <f>IFERROR(G1701*E1688,"")</f>
        <v/>
      </c>
    </row>
    <row r="1702" spans="1:11" ht="12.75" customHeight="1">
      <c r="A1702" s="28"/>
      <c r="B1702" s="29"/>
      <c r="C1702" s="30" t="str">
        <f>IFERROR(_xlfn.XLOOKUP(B1702,Transporte[DESCRIPCION],Transporte[UND],,0),"")</f>
        <v/>
      </c>
      <c r="D1702" s="31"/>
      <c r="E1702" s="32" t="str">
        <f>IFERROR(_xlfn.XLOOKUP($B1702,Transporte[DESCRIPCION],Transporte[VALOR],,0),"")</f>
        <v/>
      </c>
      <c r="F1702" s="33"/>
      <c r="G1702" s="34" t="str">
        <f>IFERROR(IF(F1702&gt;=0,D1702*E1702*(1+F1702/100),ABS(D1702*E1702/F1702)),"")</f>
        <v/>
      </c>
      <c r="H1702" s="139" t="str">
        <f>IFERROR(G1702*E1688,"")</f>
        <v/>
      </c>
    </row>
    <row r="1703" spans="1:11" ht="12.75" customHeight="1">
      <c r="A1703" s="21"/>
      <c r="B1703" s="22" t="s">
        <v>3732</v>
      </c>
      <c r="C1703" s="23"/>
      <c r="D1703" s="24"/>
      <c r="E1703" s="25"/>
      <c r="F1703" s="26"/>
      <c r="G1703" s="27">
        <f>SUM(G1704:G1706)</f>
        <v>31439.075089500006</v>
      </c>
      <c r="H1703" s="27">
        <f>IFERROR(G1703*E1688,"")</f>
        <v>0</v>
      </c>
    </row>
    <row r="1704" spans="1:11" ht="12.75" customHeight="1">
      <c r="A1704" s="28"/>
      <c r="B1704" s="29" t="s">
        <v>3710</v>
      </c>
      <c r="C1704" s="30" t="str">
        <f>IFERROR(_xlfn.XLOOKUP(B1704,MObra[DESCRIPCION],MObra[UN],,0),"")</f>
        <v>día</v>
      </c>
      <c r="D1704" s="31">
        <v>1</v>
      </c>
      <c r="E1704" s="32">
        <f>IFERROR(_xlfn.XLOOKUP($B1704,MObra[DESCRIPCION],MObra[VALOR UNIT],,0),"")</f>
        <v>314390.75089500006</v>
      </c>
      <c r="F1704" s="33">
        <v>-10</v>
      </c>
      <c r="G1704" s="34">
        <f>IFERROR(IF(F1704&gt;=0,D1704*E1704*(1+F1704/100),ABS(D1704*E1704/F1704)),"")</f>
        <v>31439.075089500006</v>
      </c>
      <c r="H1704" s="139">
        <f>IFERROR(G1704*E1688,"")</f>
        <v>0</v>
      </c>
    </row>
    <row r="1705" spans="1:11" ht="12.75" customHeight="1">
      <c r="A1705" s="28"/>
      <c r="B1705" s="29"/>
      <c r="C1705" s="30" t="str">
        <f>IFERROR(_xlfn.XLOOKUP(B1705,MObra[DESCRIPCION],MObra[UN],,0),"")</f>
        <v/>
      </c>
      <c r="D1705" s="31"/>
      <c r="E1705" s="32" t="str">
        <f>IFERROR(_xlfn.XLOOKUP($B1705,MObra[DESCRIPCION],MObra[VALOR UNIT],,0),"")</f>
        <v/>
      </c>
      <c r="F1705" s="33"/>
      <c r="G1705" s="34" t="str">
        <f>IFERROR(IF(F1705&gt;=0,D1705*E1705*(1+F1705/100),ABS(D1705*E1705/F1705)),"")</f>
        <v/>
      </c>
      <c r="H1705" s="139" t="str">
        <f>IFERROR(G1705*E1688,"")</f>
        <v/>
      </c>
    </row>
    <row r="1706" spans="1:11" ht="12.75" customHeight="1" thickBot="1">
      <c r="A1706" s="35"/>
      <c r="B1706" s="36"/>
      <c r="C1706" s="37" t="str">
        <f>IFERROR(_xlfn.XLOOKUP(B1706,MObra[DESCRIPCION],MObra[UN],,0),"")</f>
        <v/>
      </c>
      <c r="D1706" s="38"/>
      <c r="E1706" s="39" t="str">
        <f>IFERROR(_xlfn.XLOOKUP($B1706,MObra[DESCRIPCION],MObra[VALOR UNIT],,0),"")</f>
        <v/>
      </c>
      <c r="F1706" s="40"/>
      <c r="G1706" s="41" t="str">
        <f>IFERROR(IF(F1706&gt;=0,D1706*E1706*(1+F1706/100),ABS(D1706*E1706/F1706)),"")</f>
        <v/>
      </c>
      <c r="H1706" s="42" t="str">
        <f>IFERROR(G1706*E1688,"")</f>
        <v/>
      </c>
    </row>
    <row r="1707" spans="1:11" ht="12.75" customHeight="1" thickTop="1" thickBot="1"/>
    <row r="1708" spans="1:11" ht="12.75" customHeight="1" thickTop="1" thickBot="1">
      <c r="A1708" s="6" t="s">
        <v>1538</v>
      </c>
      <c r="B1708" s="7" t="str">
        <f>VLOOKUP($A1708,Presupuesto!$A:$D,2,FALSE())</f>
        <v>Sanitario institucional</v>
      </c>
      <c r="C1708" s="8" t="str">
        <f>VLOOKUP($A1708,Presupuesto!$A:$D,3,FALSE())</f>
        <v>Un</v>
      </c>
      <c r="D1708" s="9"/>
      <c r="E1708" s="10">
        <f>VLOOKUP($A1708,Presupuesto!$A:$D,4,FALSE())</f>
        <v>0</v>
      </c>
      <c r="F1708" s="11" t="s">
        <v>2589</v>
      </c>
      <c r="G1708" s="12">
        <f>SUM(G1710:G1726)/2</f>
        <v>862848.07884397521</v>
      </c>
      <c r="H1708" s="13">
        <f>ROUND(SUM(H1710:H1726),0)/2</f>
        <v>0</v>
      </c>
      <c r="I1708" s="10">
        <f>VLOOKUP(A1708,Presupuesto!$A:$F,6,0)</f>
        <v>0</v>
      </c>
      <c r="J1708" s="10">
        <f>+H1708-I1708</f>
        <v>0</v>
      </c>
      <c r="K1708" s="46">
        <f>+H1708-G1708*E1708</f>
        <v>0</v>
      </c>
    </row>
    <row r="1709" spans="1:11" ht="12.75" customHeight="1" thickTop="1">
      <c r="A1709" s="14"/>
      <c r="B1709" s="15" t="s">
        <v>2586</v>
      </c>
      <c r="C1709" s="15" t="s">
        <v>5</v>
      </c>
      <c r="D1709" s="16" t="s">
        <v>6</v>
      </c>
      <c r="E1709" s="17" t="s">
        <v>7</v>
      </c>
      <c r="F1709" s="18" t="s">
        <v>3728</v>
      </c>
      <c r="G1709" s="19" t="s">
        <v>3729</v>
      </c>
      <c r="H1709" s="20" t="s">
        <v>3797</v>
      </c>
    </row>
    <row r="1710" spans="1:11" ht="12.75" customHeight="1">
      <c r="A1710" s="21"/>
      <c r="B1710" s="22" t="s">
        <v>3730</v>
      </c>
      <c r="C1710" s="23"/>
      <c r="D1710" s="24"/>
      <c r="E1710" s="25"/>
      <c r="F1710" s="26"/>
      <c r="G1710" s="27">
        <f>SUM(G1711:G1715)</f>
        <v>829837.05</v>
      </c>
      <c r="H1710" s="27">
        <f>IFERROR(G1710*E1708,"")</f>
        <v>0</v>
      </c>
    </row>
    <row r="1711" spans="1:11" ht="12.75" customHeight="1">
      <c r="A1711" s="28"/>
      <c r="B1711" s="29" t="s">
        <v>3277</v>
      </c>
      <c r="C1711" s="30" t="str">
        <f>IFERROR(_xlfn.XLOOKUP(B1711,Insumo[DESCRIPCION],Insumo[UND],,0),"")</f>
        <v>Un</v>
      </c>
      <c r="D1711" s="31">
        <v>1</v>
      </c>
      <c r="E1711" s="32">
        <f>IFERROR(_xlfn.XLOOKUP($B1711,Insumo[DESCRIPCION],Insumo[VALOR],,0),"")</f>
        <v>755741.70000000007</v>
      </c>
      <c r="F1711" s="33"/>
      <c r="G1711" s="34">
        <f>IFERROR(IF(F1711&gt;=0,D1711*E1711*(1+F1711/100),ABS(D1711*E1711/F1711)),"")</f>
        <v>755741.70000000007</v>
      </c>
      <c r="H1711" s="139">
        <f>IFERROR(G1711*E1708,"")</f>
        <v>0</v>
      </c>
    </row>
    <row r="1712" spans="1:11" ht="12.75" customHeight="1">
      <c r="A1712" s="28"/>
      <c r="B1712" s="29" t="s">
        <v>2823</v>
      </c>
      <c r="C1712" s="30" t="str">
        <f>IFERROR(_xlfn.XLOOKUP(B1712,Insumo[DESCRIPCION],Insumo[UND],,0),"")</f>
        <v>Kg</v>
      </c>
      <c r="D1712" s="31">
        <v>0.5</v>
      </c>
      <c r="E1712" s="32">
        <f>IFERROR(_xlfn.XLOOKUP($B1712,Insumo[DESCRIPCION],Insumo[VALOR],,0),"")</f>
        <v>1680</v>
      </c>
      <c r="F1712" s="33"/>
      <c r="G1712" s="34">
        <f>IFERROR(IF(F1712&gt;=0,D1712*E1712*(1+F1712/100),ABS(D1712*E1712/F1712)),"")</f>
        <v>840</v>
      </c>
      <c r="H1712" s="139">
        <f>IFERROR(G1712*E1708,"")</f>
        <v>0</v>
      </c>
    </row>
    <row r="1713" spans="1:11" ht="12.75" customHeight="1">
      <c r="A1713" s="28"/>
      <c r="B1713" s="29" t="s">
        <v>2988</v>
      </c>
      <c r="C1713" s="30" t="str">
        <f>IFERROR(_xlfn.XLOOKUP(B1713,Insumo[DESCRIPCION],Insumo[UND],,0),"")</f>
        <v>Un</v>
      </c>
      <c r="D1713" s="31">
        <v>1</v>
      </c>
      <c r="E1713" s="32">
        <f>IFERROR(_xlfn.XLOOKUP($B1713,Insumo[DESCRIPCION],Insumo[VALOR],,0),"")</f>
        <v>73255.350000000006</v>
      </c>
      <c r="F1713" s="33"/>
      <c r="G1713" s="34">
        <f>IFERROR(IF(F1713&gt;=0,D1713*E1713*(1+F1713/100),ABS(D1713*E1713/F1713)),"")</f>
        <v>73255.350000000006</v>
      </c>
      <c r="H1713" s="139">
        <f>IFERROR(G1713*E1708,"")</f>
        <v>0</v>
      </c>
    </row>
    <row r="1714" spans="1:11" ht="12.75" customHeight="1">
      <c r="A1714" s="28"/>
      <c r="B1714" s="29"/>
      <c r="C1714" s="30" t="str">
        <f>IFERROR(_xlfn.XLOOKUP(B1714,Insumo[DESCRIPCION],Insumo[UND],,0),"")</f>
        <v/>
      </c>
      <c r="D1714" s="31"/>
      <c r="E1714" s="32" t="str">
        <f>IFERROR(_xlfn.XLOOKUP($B1714,Insumo[DESCRIPCION],Insumo[VALOR],,0),"")</f>
        <v/>
      </c>
      <c r="F1714" s="33"/>
      <c r="G1714" s="34" t="str">
        <f>IFERROR(IF(F1714&gt;=0,D1714*E1714*(1+F1714/100),ABS(D1714*E1714/F1714)),"")</f>
        <v/>
      </c>
      <c r="H1714" s="139" t="str">
        <f>IFERROR(G1714*E1708,"")</f>
        <v/>
      </c>
    </row>
    <row r="1715" spans="1:11" ht="12.75" customHeight="1">
      <c r="A1715" s="28"/>
      <c r="B1715" s="29"/>
      <c r="C1715" s="30" t="str">
        <f>IFERROR(_xlfn.XLOOKUP(B1715,Insumo[DESCRIPCION],Insumo[UND],,0),"")</f>
        <v/>
      </c>
      <c r="D1715" s="31"/>
      <c r="E1715" s="32" t="str">
        <f>IFERROR(_xlfn.XLOOKUP($B1715,Insumo[DESCRIPCION],Insumo[VALOR],,0),"")</f>
        <v/>
      </c>
      <c r="F1715" s="33"/>
      <c r="G1715" s="34" t="str">
        <f>IFERROR(IF(F1715&gt;=0,D1715*E1715*(1+F1715/100),ABS(D1715*E1715/F1715)),"")</f>
        <v/>
      </c>
      <c r="H1715" s="139" t="str">
        <f>IFERROR(G1715*E1708,"")</f>
        <v/>
      </c>
    </row>
    <row r="1716" spans="1:11" ht="12.75" customHeight="1">
      <c r="A1716" s="21"/>
      <c r="B1716" s="22" t="s">
        <v>3731</v>
      </c>
      <c r="C1716" s="23"/>
      <c r="D1716" s="24"/>
      <c r="E1716" s="25"/>
      <c r="F1716" s="26"/>
      <c r="G1716" s="27">
        <f>SUM(G1717:G1719)</f>
        <v>1571.9537544750003</v>
      </c>
      <c r="H1716" s="27">
        <f>IFERROR(G1716*E1708,"")</f>
        <v>0</v>
      </c>
    </row>
    <row r="1717" spans="1:11" ht="12.75" customHeight="1">
      <c r="A1717" s="28"/>
      <c r="B1717" s="29" t="s">
        <v>3626</v>
      </c>
      <c r="C1717" s="30" t="str">
        <f>IFERROR(_xlfn.XLOOKUP(B1717,Equipo[DESCRIPCION],Equipo[UND],,0),"")</f>
        <v>%MO</v>
      </c>
      <c r="D1717" s="31">
        <v>0.05</v>
      </c>
      <c r="E1717" s="32">
        <f>IF(C1717="%MO",G1723,IFERROR(_xlfn.XLOOKUP($B1717,Equipo[DESCRIPCION],Equipo[VALOR],,0),""))</f>
        <v>31439.075089500006</v>
      </c>
      <c r="F1717" s="33"/>
      <c r="G1717" s="34">
        <f>IFERROR(IF(F1717&gt;=0,D1717*E1717*(1+F1717/100),ABS(D1717*E1717/F1717)),"")</f>
        <v>1571.9537544750003</v>
      </c>
      <c r="H1717" s="139">
        <f>IFERROR(G1717*E1708,"")</f>
        <v>0</v>
      </c>
    </row>
    <row r="1718" spans="1:11" ht="12.75" customHeight="1">
      <c r="A1718" s="28"/>
      <c r="B1718" s="29"/>
      <c r="C1718" s="30" t="str">
        <f>IFERROR(_xlfn.XLOOKUP(B1718,Equipo[DESCRIPCION],Equipo[UND],,0),"")</f>
        <v/>
      </c>
      <c r="D1718" s="31"/>
      <c r="E1718" s="32" t="str">
        <f>IF(C1718="%MO",G1723,IFERROR(_xlfn.XLOOKUP($B1718,Equipo[DESCRIPCION],Equipo[VALOR],,0),""))</f>
        <v/>
      </c>
      <c r="F1718" s="33"/>
      <c r="G1718" s="34" t="str">
        <f>IFERROR(IF(F1718&gt;=0,D1718*E1718*(1+F1718/100),ABS(D1718*E1718/F1718)),"")</f>
        <v/>
      </c>
      <c r="H1718" s="139" t="str">
        <f>IFERROR(G1718*E1708,"")</f>
        <v/>
      </c>
    </row>
    <row r="1719" spans="1:11" ht="12.75" customHeight="1">
      <c r="A1719" s="28"/>
      <c r="B1719" s="29"/>
      <c r="C1719" s="30" t="str">
        <f>IFERROR(_xlfn.XLOOKUP(B1719,Equipo[DESCRIPCION],Equipo[UND],,0),"")</f>
        <v/>
      </c>
      <c r="D1719" s="31"/>
      <c r="E1719" s="32" t="str">
        <f>IF(C1719="%MO",G1723,IFERROR(_xlfn.XLOOKUP($B1719,Equipo[DESCRIPCION],Equipo[VALOR],,0),""))</f>
        <v/>
      </c>
      <c r="F1719" s="33"/>
      <c r="G1719" s="34" t="str">
        <f>IFERROR(IF(F1719&gt;=0,D1719*E1719*(1+F1719/100),ABS(D1719*E1719/F1719)),"")</f>
        <v/>
      </c>
      <c r="H1719" s="139" t="str">
        <f>IFERROR(G1719*E1708,"")</f>
        <v/>
      </c>
    </row>
    <row r="1720" spans="1:11" ht="12.75" customHeight="1">
      <c r="A1720" s="21"/>
      <c r="B1720" s="22" t="s">
        <v>2533</v>
      </c>
      <c r="C1720" s="23"/>
      <c r="D1720" s="24"/>
      <c r="E1720" s="25"/>
      <c r="F1720" s="26"/>
      <c r="G1720" s="27">
        <f>SUM(G1721:G1722)</f>
        <v>0</v>
      </c>
      <c r="H1720" s="27">
        <f>IFERROR(G1720*E1708,"")</f>
        <v>0</v>
      </c>
    </row>
    <row r="1721" spans="1:11" ht="12.75" customHeight="1">
      <c r="A1721" s="28"/>
      <c r="B1721" s="29"/>
      <c r="C1721" s="30" t="str">
        <f>IFERROR(_xlfn.XLOOKUP(B1721,Transporte[DESCRIPCION],Transporte[UND],,0),"")</f>
        <v/>
      </c>
      <c r="D1721" s="31"/>
      <c r="E1721" s="32" t="str">
        <f>IFERROR(_xlfn.XLOOKUP($B1721,Transporte[DESCRIPCION],Transporte[VALOR],,0),"")</f>
        <v/>
      </c>
      <c r="F1721" s="33"/>
      <c r="G1721" s="34" t="str">
        <f>IFERROR(IF(F1721&gt;=0,D1721*E1721*(1+F1721/100),ABS(D1721*E1721/F1721)),"")</f>
        <v/>
      </c>
      <c r="H1721" s="139" t="str">
        <f>IFERROR(G1721*E1708,"")</f>
        <v/>
      </c>
    </row>
    <row r="1722" spans="1:11" ht="12.75" customHeight="1">
      <c r="A1722" s="28"/>
      <c r="B1722" s="29"/>
      <c r="C1722" s="30" t="str">
        <f>IFERROR(_xlfn.XLOOKUP(B1722,Transporte[DESCRIPCION],Transporte[UND],,0),"")</f>
        <v/>
      </c>
      <c r="D1722" s="31"/>
      <c r="E1722" s="32" t="str">
        <f>IFERROR(_xlfn.XLOOKUP($B1722,Transporte[DESCRIPCION],Transporte[VALOR],,0),"")</f>
        <v/>
      </c>
      <c r="F1722" s="33"/>
      <c r="G1722" s="34" t="str">
        <f>IFERROR(IF(F1722&gt;=0,D1722*E1722*(1+F1722/100),ABS(D1722*E1722/F1722)),"")</f>
        <v/>
      </c>
      <c r="H1722" s="139" t="str">
        <f>IFERROR(G1722*E1708,"")</f>
        <v/>
      </c>
    </row>
    <row r="1723" spans="1:11" ht="12.75" customHeight="1">
      <c r="A1723" s="21"/>
      <c r="B1723" s="22" t="s">
        <v>3732</v>
      </c>
      <c r="C1723" s="23"/>
      <c r="D1723" s="24"/>
      <c r="E1723" s="25"/>
      <c r="F1723" s="26"/>
      <c r="G1723" s="27">
        <f>SUM(G1724:G1726)</f>
        <v>31439.075089500006</v>
      </c>
      <c r="H1723" s="27">
        <f>IFERROR(G1723*E1708,"")</f>
        <v>0</v>
      </c>
    </row>
    <row r="1724" spans="1:11" ht="12.75" customHeight="1">
      <c r="A1724" s="28"/>
      <c r="B1724" s="29" t="s">
        <v>3710</v>
      </c>
      <c r="C1724" s="30" t="str">
        <f>IFERROR(_xlfn.XLOOKUP(B1724,MObra[DESCRIPCION],MObra[UN],,0),"")</f>
        <v>día</v>
      </c>
      <c r="D1724" s="31">
        <v>1</v>
      </c>
      <c r="E1724" s="32">
        <f>IFERROR(_xlfn.XLOOKUP($B1724,MObra[DESCRIPCION],MObra[VALOR UNIT],,0),"")</f>
        <v>314390.75089500006</v>
      </c>
      <c r="F1724" s="33">
        <v>-10</v>
      </c>
      <c r="G1724" s="34">
        <f>IFERROR(IF(F1724&gt;=0,D1724*E1724*(1+F1724/100),ABS(D1724*E1724/F1724)),"")</f>
        <v>31439.075089500006</v>
      </c>
      <c r="H1724" s="139">
        <f>IFERROR(G1724*E1708,"")</f>
        <v>0</v>
      </c>
    </row>
    <row r="1725" spans="1:11" ht="12.75" customHeight="1">
      <c r="A1725" s="28"/>
      <c r="B1725" s="29"/>
      <c r="C1725" s="30" t="str">
        <f>IFERROR(_xlfn.XLOOKUP(B1725,MObra[DESCRIPCION],MObra[UN],,0),"")</f>
        <v/>
      </c>
      <c r="D1725" s="31"/>
      <c r="E1725" s="32" t="str">
        <f>IFERROR(_xlfn.XLOOKUP($B1725,MObra[DESCRIPCION],MObra[VALOR UNIT],,0),"")</f>
        <v/>
      </c>
      <c r="F1725" s="33"/>
      <c r="G1725" s="34" t="str">
        <f>IFERROR(IF(F1725&gt;=0,D1725*E1725*(1+F1725/100),ABS(D1725*E1725/F1725)),"")</f>
        <v/>
      </c>
      <c r="H1725" s="139" t="str">
        <f>IFERROR(G1725*E1708,"")</f>
        <v/>
      </c>
    </row>
    <row r="1726" spans="1:11" ht="12.75" customHeight="1" thickBot="1">
      <c r="A1726" s="35"/>
      <c r="B1726" s="36"/>
      <c r="C1726" s="37" t="str">
        <f>IFERROR(_xlfn.XLOOKUP(B1726,MObra[DESCRIPCION],MObra[UN],,0),"")</f>
        <v/>
      </c>
      <c r="D1726" s="38"/>
      <c r="E1726" s="39" t="str">
        <f>IFERROR(_xlfn.XLOOKUP($B1726,MObra[DESCRIPCION],MObra[VALOR UNIT],,0),"")</f>
        <v/>
      </c>
      <c r="F1726" s="40"/>
      <c r="G1726" s="41" t="str">
        <f>IFERROR(IF(F1726&gt;=0,D1726*E1726*(1+F1726/100),ABS(D1726*E1726/F1726)),"")</f>
        <v/>
      </c>
      <c r="H1726" s="42" t="str">
        <f>IFERROR(G1726*E1708,"")</f>
        <v/>
      </c>
    </row>
    <row r="1727" spans="1:11" ht="12.75" customHeight="1" thickTop="1" thickBot="1"/>
    <row r="1728" spans="1:11" ht="12.75" customHeight="1" thickTop="1" thickBot="1">
      <c r="A1728" s="6" t="s">
        <v>1540</v>
      </c>
      <c r="B1728" s="7" t="str">
        <f>VLOOKUP($A1728,Presupuesto!$A:$D,2,FALSE())</f>
        <v>Sanitario institucional + fluxómetro</v>
      </c>
      <c r="C1728" s="8" t="str">
        <f>VLOOKUP($A1728,Presupuesto!$A:$D,3,FALSE())</f>
        <v>Un</v>
      </c>
      <c r="D1728" s="9"/>
      <c r="E1728" s="10">
        <f>VLOOKUP($A1728,Presupuesto!$A:$D,4,FALSE())</f>
        <v>0</v>
      </c>
      <c r="F1728" s="11" t="s">
        <v>2589</v>
      </c>
      <c r="G1728" s="12">
        <f>SUM(G1730:G1746)/2</f>
        <v>1641322.2788439749</v>
      </c>
      <c r="H1728" s="13">
        <f>ROUND(SUM(H1730:H1746),0)/2</f>
        <v>0</v>
      </c>
      <c r="I1728" s="10">
        <f>VLOOKUP(A1728,Presupuesto!$A:$F,6,0)</f>
        <v>0</v>
      </c>
      <c r="J1728" s="10">
        <f>+H1728-I1728</f>
        <v>0</v>
      </c>
      <c r="K1728" s="46">
        <f>+H1728-G1728*E1728</f>
        <v>0</v>
      </c>
    </row>
    <row r="1729" spans="1:8" ht="12.75" customHeight="1" thickTop="1">
      <c r="A1729" s="14"/>
      <c r="B1729" s="15" t="s">
        <v>2586</v>
      </c>
      <c r="C1729" s="15" t="s">
        <v>5</v>
      </c>
      <c r="D1729" s="16" t="s">
        <v>6</v>
      </c>
      <c r="E1729" s="17" t="s">
        <v>7</v>
      </c>
      <c r="F1729" s="18" t="s">
        <v>3728</v>
      </c>
      <c r="G1729" s="19" t="s">
        <v>3729</v>
      </c>
      <c r="H1729" s="20" t="s">
        <v>3797</v>
      </c>
    </row>
    <row r="1730" spans="1:8" ht="12.75" customHeight="1">
      <c r="A1730" s="21"/>
      <c r="B1730" s="22" t="s">
        <v>3730</v>
      </c>
      <c r="C1730" s="23"/>
      <c r="D1730" s="24"/>
      <c r="E1730" s="25"/>
      <c r="F1730" s="26"/>
      <c r="G1730" s="27">
        <f>SUM(G1731:G1735)</f>
        <v>1608311.25</v>
      </c>
      <c r="H1730" s="27">
        <f>IFERROR(G1730*E1728,"")</f>
        <v>0</v>
      </c>
    </row>
    <row r="1731" spans="1:8" ht="12.75" customHeight="1">
      <c r="A1731" s="28"/>
      <c r="B1731" s="29" t="s">
        <v>3277</v>
      </c>
      <c r="C1731" s="30" t="str">
        <f>IFERROR(_xlfn.XLOOKUP(B1731,Insumo[DESCRIPCION],Insumo[UND],,0),"")</f>
        <v>Un</v>
      </c>
      <c r="D1731" s="31">
        <v>1</v>
      </c>
      <c r="E1731" s="32">
        <f>IFERROR(_xlfn.XLOOKUP($B1731,Insumo[DESCRIPCION],Insumo[VALOR],,0),"")</f>
        <v>755741.70000000007</v>
      </c>
      <c r="F1731" s="33"/>
      <c r="G1731" s="34">
        <f>IFERROR(IF(F1731&gt;=0,D1731*E1731*(1+F1731/100),ABS(D1731*E1731/F1731)),"")</f>
        <v>755741.70000000007</v>
      </c>
      <c r="H1731" s="139">
        <f>IFERROR(G1731*E1728,"")</f>
        <v>0</v>
      </c>
    </row>
    <row r="1732" spans="1:8" ht="12.75" customHeight="1">
      <c r="A1732" s="28"/>
      <c r="B1732" s="29" t="s">
        <v>2823</v>
      </c>
      <c r="C1732" s="30" t="str">
        <f>IFERROR(_xlfn.XLOOKUP(B1732,Insumo[DESCRIPCION],Insumo[UND],,0),"")</f>
        <v>Kg</v>
      </c>
      <c r="D1732" s="31">
        <v>0.5</v>
      </c>
      <c r="E1732" s="32">
        <f>IFERROR(_xlfn.XLOOKUP($B1732,Insumo[DESCRIPCION],Insumo[VALOR],,0),"")</f>
        <v>1680</v>
      </c>
      <c r="F1732" s="33"/>
      <c r="G1732" s="34">
        <f>IFERROR(IF(F1732&gt;=0,D1732*E1732*(1+F1732/100),ABS(D1732*E1732/F1732)),"")</f>
        <v>840</v>
      </c>
      <c r="H1732" s="139">
        <f>IFERROR(G1732*E1728,"")</f>
        <v>0</v>
      </c>
    </row>
    <row r="1733" spans="1:8" ht="12.75" customHeight="1">
      <c r="A1733" s="28"/>
      <c r="B1733" s="29" t="s">
        <v>2988</v>
      </c>
      <c r="C1733" s="30" t="str">
        <f>IFERROR(_xlfn.XLOOKUP(B1733,Insumo[DESCRIPCION],Insumo[UND],,0),"")</f>
        <v>Un</v>
      </c>
      <c r="D1733" s="31">
        <v>1</v>
      </c>
      <c r="E1733" s="32">
        <f>IFERROR(_xlfn.XLOOKUP($B1733,Insumo[DESCRIPCION],Insumo[VALOR],,0),"")</f>
        <v>73255.350000000006</v>
      </c>
      <c r="F1733" s="33"/>
      <c r="G1733" s="34">
        <f>IFERROR(IF(F1733&gt;=0,D1733*E1733*(1+F1733/100),ABS(D1733*E1733/F1733)),"")</f>
        <v>73255.350000000006</v>
      </c>
      <c r="H1733" s="139">
        <f>IFERROR(G1733*E1728,"")</f>
        <v>0</v>
      </c>
    </row>
    <row r="1734" spans="1:8" ht="12.75" customHeight="1">
      <c r="A1734" s="28"/>
      <c r="B1734" s="29" t="s">
        <v>2952</v>
      </c>
      <c r="C1734" s="30" t="str">
        <f>IFERROR(_xlfn.XLOOKUP(B1734,Insumo[DESCRIPCION],Insumo[UND],,0),"")</f>
        <v>Un</v>
      </c>
      <c r="D1734" s="31">
        <v>1</v>
      </c>
      <c r="E1734" s="32">
        <f>IFERROR(_xlfn.XLOOKUP($B1734,Insumo[DESCRIPCION],Insumo[VALOR],,0),"")</f>
        <v>778474.20000000007</v>
      </c>
      <c r="F1734" s="33"/>
      <c r="G1734" s="34">
        <f>IFERROR(IF(F1734&gt;=0,D1734*E1734*(1+F1734/100),ABS(D1734*E1734/F1734)),"")</f>
        <v>778474.20000000007</v>
      </c>
      <c r="H1734" s="139">
        <f>IFERROR(G1734*E1728,"")</f>
        <v>0</v>
      </c>
    </row>
    <row r="1735" spans="1:8" ht="12.75" customHeight="1">
      <c r="A1735" s="28"/>
      <c r="B1735" s="29"/>
      <c r="C1735" s="30" t="str">
        <f>IFERROR(_xlfn.XLOOKUP(B1735,Insumo[DESCRIPCION],Insumo[UND],,0),"")</f>
        <v/>
      </c>
      <c r="D1735" s="31"/>
      <c r="E1735" s="32" t="str">
        <f>IFERROR(_xlfn.XLOOKUP($B1735,Insumo[DESCRIPCION],Insumo[VALOR],,0),"")</f>
        <v/>
      </c>
      <c r="F1735" s="33"/>
      <c r="G1735" s="34" t="str">
        <f>IFERROR(IF(F1735&gt;=0,D1735*E1735*(1+F1735/100),ABS(D1735*E1735/F1735)),"")</f>
        <v/>
      </c>
      <c r="H1735" s="139" t="str">
        <f>IFERROR(G1735*E1728,"")</f>
        <v/>
      </c>
    </row>
    <row r="1736" spans="1:8" ht="12.75" customHeight="1">
      <c r="A1736" s="21"/>
      <c r="B1736" s="22" t="s">
        <v>3731</v>
      </c>
      <c r="C1736" s="23"/>
      <c r="D1736" s="24"/>
      <c r="E1736" s="25"/>
      <c r="F1736" s="26"/>
      <c r="G1736" s="27">
        <f>SUM(G1737:G1739)</f>
        <v>1571.9537544750003</v>
      </c>
      <c r="H1736" s="27">
        <f>IFERROR(G1736*E1728,"")</f>
        <v>0</v>
      </c>
    </row>
    <row r="1737" spans="1:8" ht="12.75" customHeight="1">
      <c r="A1737" s="28"/>
      <c r="B1737" s="29" t="s">
        <v>3626</v>
      </c>
      <c r="C1737" s="30" t="str">
        <f>IFERROR(_xlfn.XLOOKUP(B1737,Equipo[DESCRIPCION],Equipo[UND],,0),"")</f>
        <v>%MO</v>
      </c>
      <c r="D1737" s="31">
        <v>0.05</v>
      </c>
      <c r="E1737" s="32">
        <f>IF(C1737="%MO",G1743,IFERROR(_xlfn.XLOOKUP($B1737,Equipo[DESCRIPCION],Equipo[VALOR],,0),""))</f>
        <v>31439.075089500006</v>
      </c>
      <c r="F1737" s="33"/>
      <c r="G1737" s="34">
        <f>IFERROR(IF(F1737&gt;=0,D1737*E1737*(1+F1737/100),ABS(D1737*E1737/F1737)),"")</f>
        <v>1571.9537544750003</v>
      </c>
      <c r="H1737" s="139">
        <f>IFERROR(G1737*E1728,"")</f>
        <v>0</v>
      </c>
    </row>
    <row r="1738" spans="1:8" ht="12.75" customHeight="1">
      <c r="A1738" s="28"/>
      <c r="B1738" s="29"/>
      <c r="C1738" s="30" t="str">
        <f>IFERROR(_xlfn.XLOOKUP(B1738,Equipo[DESCRIPCION],Equipo[UND],,0),"")</f>
        <v/>
      </c>
      <c r="D1738" s="31"/>
      <c r="E1738" s="32" t="str">
        <f>IF(C1738="%MO",G1743,IFERROR(_xlfn.XLOOKUP($B1738,Equipo[DESCRIPCION],Equipo[VALOR],,0),""))</f>
        <v/>
      </c>
      <c r="F1738" s="33"/>
      <c r="G1738" s="34" t="str">
        <f>IFERROR(IF(F1738&gt;=0,D1738*E1738*(1+F1738/100),ABS(D1738*E1738/F1738)),"")</f>
        <v/>
      </c>
      <c r="H1738" s="139" t="str">
        <f>IFERROR(G1738*E1728,"")</f>
        <v/>
      </c>
    </row>
    <row r="1739" spans="1:8" ht="12.75" customHeight="1">
      <c r="A1739" s="28"/>
      <c r="B1739" s="29"/>
      <c r="C1739" s="30" t="str">
        <f>IFERROR(_xlfn.XLOOKUP(B1739,Equipo[DESCRIPCION],Equipo[UND],,0),"")</f>
        <v/>
      </c>
      <c r="D1739" s="31"/>
      <c r="E1739" s="32" t="str">
        <f>IF(C1739="%MO",G1743,IFERROR(_xlfn.XLOOKUP($B1739,Equipo[DESCRIPCION],Equipo[VALOR],,0),""))</f>
        <v/>
      </c>
      <c r="F1739" s="33"/>
      <c r="G1739" s="34" t="str">
        <f>IFERROR(IF(F1739&gt;=0,D1739*E1739*(1+F1739/100),ABS(D1739*E1739/F1739)),"")</f>
        <v/>
      </c>
      <c r="H1739" s="139" t="str">
        <f>IFERROR(G1739*E1728,"")</f>
        <v/>
      </c>
    </row>
    <row r="1740" spans="1:8" ht="12.75" customHeight="1">
      <c r="A1740" s="21"/>
      <c r="B1740" s="22" t="s">
        <v>2533</v>
      </c>
      <c r="C1740" s="23"/>
      <c r="D1740" s="24"/>
      <c r="E1740" s="25"/>
      <c r="F1740" s="26"/>
      <c r="G1740" s="27">
        <f>SUM(G1741:G1742)</f>
        <v>0</v>
      </c>
      <c r="H1740" s="27">
        <f>IFERROR(G1740*E1728,"")</f>
        <v>0</v>
      </c>
    </row>
    <row r="1741" spans="1:8" ht="12.75" customHeight="1">
      <c r="A1741" s="28"/>
      <c r="B1741" s="29"/>
      <c r="C1741" s="30" t="str">
        <f>IFERROR(_xlfn.XLOOKUP(B1741,Transporte[DESCRIPCION],Transporte[UND],,0),"")</f>
        <v/>
      </c>
      <c r="D1741" s="31"/>
      <c r="E1741" s="32" t="str">
        <f>IFERROR(_xlfn.XLOOKUP($B1741,Transporte[DESCRIPCION],Transporte[VALOR],,0),"")</f>
        <v/>
      </c>
      <c r="F1741" s="33"/>
      <c r="G1741" s="34" t="str">
        <f>IFERROR(IF(F1741&gt;=0,D1741*E1741*(1+F1741/100),ABS(D1741*E1741/F1741)),"")</f>
        <v/>
      </c>
      <c r="H1741" s="139" t="str">
        <f>IFERROR(G1741*E1728,"")</f>
        <v/>
      </c>
    </row>
    <row r="1742" spans="1:8" ht="12.75" customHeight="1">
      <c r="A1742" s="28"/>
      <c r="B1742" s="29"/>
      <c r="C1742" s="30" t="str">
        <f>IFERROR(_xlfn.XLOOKUP(B1742,Transporte[DESCRIPCION],Transporte[UND],,0),"")</f>
        <v/>
      </c>
      <c r="D1742" s="31"/>
      <c r="E1742" s="32" t="str">
        <f>IFERROR(_xlfn.XLOOKUP($B1742,Transporte[DESCRIPCION],Transporte[VALOR],,0),"")</f>
        <v/>
      </c>
      <c r="F1742" s="33"/>
      <c r="G1742" s="34" t="str">
        <f>IFERROR(IF(F1742&gt;=0,D1742*E1742*(1+F1742/100),ABS(D1742*E1742/F1742)),"")</f>
        <v/>
      </c>
      <c r="H1742" s="139" t="str">
        <f>IFERROR(G1742*E1728,"")</f>
        <v/>
      </c>
    </row>
    <row r="1743" spans="1:8" ht="12.75" customHeight="1">
      <c r="A1743" s="21"/>
      <c r="B1743" s="22" t="s">
        <v>3732</v>
      </c>
      <c r="C1743" s="23"/>
      <c r="D1743" s="24"/>
      <c r="E1743" s="25"/>
      <c r="F1743" s="26"/>
      <c r="G1743" s="27">
        <f>SUM(G1744:G1746)</f>
        <v>31439.075089500006</v>
      </c>
      <c r="H1743" s="27">
        <f>IFERROR(G1743*E1728,"")</f>
        <v>0</v>
      </c>
    </row>
    <row r="1744" spans="1:8" ht="12.75" customHeight="1">
      <c r="A1744" s="28"/>
      <c r="B1744" s="29" t="s">
        <v>3710</v>
      </c>
      <c r="C1744" s="30" t="str">
        <f>IFERROR(_xlfn.XLOOKUP(B1744,MObra[DESCRIPCION],MObra[UN],,0),"")</f>
        <v>día</v>
      </c>
      <c r="D1744" s="31">
        <v>1</v>
      </c>
      <c r="E1744" s="32">
        <f>IFERROR(_xlfn.XLOOKUP($B1744,MObra[DESCRIPCION],MObra[VALOR UNIT],,0),"")</f>
        <v>314390.75089500006</v>
      </c>
      <c r="F1744" s="33">
        <v>-10</v>
      </c>
      <c r="G1744" s="34">
        <f>IFERROR(IF(F1744&gt;=0,D1744*E1744*(1+F1744/100),ABS(D1744*E1744/F1744)),"")</f>
        <v>31439.075089500006</v>
      </c>
      <c r="H1744" s="139">
        <f>IFERROR(G1744*E1728,"")</f>
        <v>0</v>
      </c>
    </row>
    <row r="1745" spans="1:11" ht="12.75" customHeight="1">
      <c r="A1745" s="28"/>
      <c r="B1745" s="29"/>
      <c r="C1745" s="30" t="str">
        <f>IFERROR(_xlfn.XLOOKUP(B1745,MObra[DESCRIPCION],MObra[UN],,0),"")</f>
        <v/>
      </c>
      <c r="D1745" s="31"/>
      <c r="E1745" s="32" t="str">
        <f>IFERROR(_xlfn.XLOOKUP($B1745,MObra[DESCRIPCION],MObra[VALOR UNIT],,0),"")</f>
        <v/>
      </c>
      <c r="F1745" s="33"/>
      <c r="G1745" s="34" t="str">
        <f>IFERROR(IF(F1745&gt;=0,D1745*E1745*(1+F1745/100),ABS(D1745*E1745/F1745)),"")</f>
        <v/>
      </c>
      <c r="H1745" s="139" t="str">
        <f>IFERROR(G1745*E1728,"")</f>
        <v/>
      </c>
    </row>
    <row r="1746" spans="1:11" ht="12.75" customHeight="1" thickBot="1">
      <c r="A1746" s="35"/>
      <c r="B1746" s="36"/>
      <c r="C1746" s="37" t="str">
        <f>IFERROR(_xlfn.XLOOKUP(B1746,MObra[DESCRIPCION],MObra[UN],,0),"")</f>
        <v/>
      </c>
      <c r="D1746" s="38"/>
      <c r="E1746" s="39" t="str">
        <f>IFERROR(_xlfn.XLOOKUP($B1746,MObra[DESCRIPCION],MObra[VALOR UNIT],,0),"")</f>
        <v/>
      </c>
      <c r="F1746" s="40"/>
      <c r="G1746" s="41" t="str">
        <f>IFERROR(IF(F1746&gt;=0,D1746*E1746*(1+F1746/100),ABS(D1746*E1746/F1746)),"")</f>
        <v/>
      </c>
      <c r="H1746" s="42" t="str">
        <f>IFERROR(G1746*E1728,"")</f>
        <v/>
      </c>
    </row>
    <row r="1747" spans="1:11" ht="12.75" customHeight="1" thickTop="1" thickBot="1"/>
    <row r="1748" spans="1:11" ht="12.75" customHeight="1" thickTop="1" thickBot="1">
      <c r="A1748" s="6" t="s">
        <v>1542</v>
      </c>
      <c r="B1748" s="7" t="str">
        <f>VLOOKUP($A1748,Presupuesto!$A:$D,2,FALSE())</f>
        <v>Sanitario institucional línea infantil</v>
      </c>
      <c r="C1748" s="8" t="str">
        <f>VLOOKUP($A1748,Presupuesto!$A:$D,3,FALSE())</f>
        <v>Un</v>
      </c>
      <c r="D1748" s="9"/>
      <c r="E1748" s="10">
        <f>VLOOKUP($A1748,Presupuesto!$A:$D,4,FALSE())</f>
        <v>0</v>
      </c>
      <c r="F1748" s="11" t="s">
        <v>2589</v>
      </c>
      <c r="G1748" s="12">
        <f>SUM(G1750:G1766)/2</f>
        <v>746329.57884397521</v>
      </c>
      <c r="H1748" s="13">
        <f>ROUND(SUM(H1750:H1766),0)/2</f>
        <v>0</v>
      </c>
      <c r="I1748" s="10">
        <f>VLOOKUP(A1748,Presupuesto!$A:$F,6,0)</f>
        <v>0</v>
      </c>
      <c r="J1748" s="10">
        <f>+H1748-I1748</f>
        <v>0</v>
      </c>
      <c r="K1748" s="46">
        <f>+H1748-G1748*E1748</f>
        <v>0</v>
      </c>
    </row>
    <row r="1749" spans="1:11" ht="12.75" customHeight="1" thickTop="1">
      <c r="A1749" s="14"/>
      <c r="B1749" s="15" t="s">
        <v>2586</v>
      </c>
      <c r="C1749" s="15" t="s">
        <v>5</v>
      </c>
      <c r="D1749" s="16" t="s">
        <v>6</v>
      </c>
      <c r="E1749" s="17" t="s">
        <v>7</v>
      </c>
      <c r="F1749" s="18" t="s">
        <v>3728</v>
      </c>
      <c r="G1749" s="19" t="s">
        <v>3729</v>
      </c>
      <c r="H1749" s="20" t="s">
        <v>3797</v>
      </c>
    </row>
    <row r="1750" spans="1:11" ht="12.75" customHeight="1">
      <c r="A1750" s="21"/>
      <c r="B1750" s="22" t="s">
        <v>3730</v>
      </c>
      <c r="C1750" s="23"/>
      <c r="D1750" s="24"/>
      <c r="E1750" s="25"/>
      <c r="F1750" s="26"/>
      <c r="G1750" s="27">
        <f>SUM(G1751:G1755)</f>
        <v>713318.55</v>
      </c>
      <c r="H1750" s="27">
        <f>IFERROR(G1750*E1748,"")</f>
        <v>0</v>
      </c>
    </row>
    <row r="1751" spans="1:11" ht="12.75" customHeight="1">
      <c r="A1751" s="28"/>
      <c r="B1751" s="29" t="s">
        <v>3278</v>
      </c>
      <c r="C1751" s="30" t="str">
        <f>IFERROR(_xlfn.XLOOKUP(B1751,Insumo[DESCRIPCION],Insumo[UND],,0),"")</f>
        <v>Un</v>
      </c>
      <c r="D1751" s="31">
        <v>1</v>
      </c>
      <c r="E1751" s="32">
        <f>IFERROR(_xlfn.XLOOKUP($B1751,Insumo[DESCRIPCION],Insumo[VALOR],,0),"")</f>
        <v>639223.20000000007</v>
      </c>
      <c r="F1751" s="33"/>
      <c r="G1751" s="34">
        <f>IFERROR(IF(F1751&gt;=0,D1751*E1751*(1+F1751/100),ABS(D1751*E1751/F1751)),"")</f>
        <v>639223.20000000007</v>
      </c>
      <c r="H1751" s="139">
        <f>IFERROR(G1751*E1748,"")</f>
        <v>0</v>
      </c>
    </row>
    <row r="1752" spans="1:11" ht="12.75" customHeight="1">
      <c r="A1752" s="28"/>
      <c r="B1752" s="29" t="s">
        <v>2823</v>
      </c>
      <c r="C1752" s="30" t="str">
        <f>IFERROR(_xlfn.XLOOKUP(B1752,Insumo[DESCRIPCION],Insumo[UND],,0),"")</f>
        <v>Kg</v>
      </c>
      <c r="D1752" s="31">
        <v>0.5</v>
      </c>
      <c r="E1752" s="32">
        <f>IFERROR(_xlfn.XLOOKUP($B1752,Insumo[DESCRIPCION],Insumo[VALOR],,0),"")</f>
        <v>1680</v>
      </c>
      <c r="F1752" s="33"/>
      <c r="G1752" s="34">
        <f>IFERROR(IF(F1752&gt;=0,D1752*E1752*(1+F1752/100),ABS(D1752*E1752/F1752)),"")</f>
        <v>840</v>
      </c>
      <c r="H1752" s="139">
        <f>IFERROR(G1752*E1748,"")</f>
        <v>0</v>
      </c>
    </row>
    <row r="1753" spans="1:11" ht="12.75" customHeight="1">
      <c r="A1753" s="28"/>
      <c r="B1753" s="29" t="s">
        <v>2988</v>
      </c>
      <c r="C1753" s="30" t="str">
        <f>IFERROR(_xlfn.XLOOKUP(B1753,Insumo[DESCRIPCION],Insumo[UND],,0),"")</f>
        <v>Un</v>
      </c>
      <c r="D1753" s="31">
        <v>1</v>
      </c>
      <c r="E1753" s="32">
        <f>IFERROR(_xlfn.XLOOKUP($B1753,Insumo[DESCRIPCION],Insumo[VALOR],,0),"")</f>
        <v>73255.350000000006</v>
      </c>
      <c r="F1753" s="33"/>
      <c r="G1753" s="34">
        <f>IFERROR(IF(F1753&gt;=0,D1753*E1753*(1+F1753/100),ABS(D1753*E1753/F1753)),"")</f>
        <v>73255.350000000006</v>
      </c>
      <c r="H1753" s="139">
        <f>IFERROR(G1753*E1748,"")</f>
        <v>0</v>
      </c>
    </row>
    <row r="1754" spans="1:11" ht="12.75" customHeight="1">
      <c r="A1754" s="28"/>
      <c r="B1754" s="29"/>
      <c r="C1754" s="30" t="str">
        <f>IFERROR(_xlfn.XLOOKUP(B1754,Insumo[DESCRIPCION],Insumo[UND],,0),"")</f>
        <v/>
      </c>
      <c r="D1754" s="31"/>
      <c r="E1754" s="32" t="str">
        <f>IFERROR(_xlfn.XLOOKUP($B1754,Insumo[DESCRIPCION],Insumo[VALOR],,0),"")</f>
        <v/>
      </c>
      <c r="F1754" s="33"/>
      <c r="G1754" s="34" t="str">
        <f>IFERROR(IF(F1754&gt;=0,D1754*E1754*(1+F1754/100),ABS(D1754*E1754/F1754)),"")</f>
        <v/>
      </c>
      <c r="H1754" s="139" t="str">
        <f>IFERROR(G1754*E1748,"")</f>
        <v/>
      </c>
    </row>
    <row r="1755" spans="1:11" ht="12.75" customHeight="1">
      <c r="A1755" s="28"/>
      <c r="B1755" s="29"/>
      <c r="C1755" s="30" t="str">
        <f>IFERROR(_xlfn.XLOOKUP(B1755,Insumo[DESCRIPCION],Insumo[UND],,0),"")</f>
        <v/>
      </c>
      <c r="D1755" s="31"/>
      <c r="E1755" s="32" t="str">
        <f>IFERROR(_xlfn.XLOOKUP($B1755,Insumo[DESCRIPCION],Insumo[VALOR],,0),"")</f>
        <v/>
      </c>
      <c r="F1755" s="33"/>
      <c r="G1755" s="34" t="str">
        <f>IFERROR(IF(F1755&gt;=0,D1755*E1755*(1+F1755/100),ABS(D1755*E1755/F1755)),"")</f>
        <v/>
      </c>
      <c r="H1755" s="139" t="str">
        <f>IFERROR(G1755*E1748,"")</f>
        <v/>
      </c>
    </row>
    <row r="1756" spans="1:11" ht="12.75" customHeight="1">
      <c r="A1756" s="21"/>
      <c r="B1756" s="22" t="s">
        <v>3731</v>
      </c>
      <c r="C1756" s="23"/>
      <c r="D1756" s="24"/>
      <c r="E1756" s="25"/>
      <c r="F1756" s="26"/>
      <c r="G1756" s="27">
        <f>SUM(G1757:G1759)</f>
        <v>1571.9537544750003</v>
      </c>
      <c r="H1756" s="27">
        <f>IFERROR(G1756*E1748,"")</f>
        <v>0</v>
      </c>
    </row>
    <row r="1757" spans="1:11" ht="12.75" customHeight="1">
      <c r="A1757" s="28"/>
      <c r="B1757" s="29" t="s">
        <v>3626</v>
      </c>
      <c r="C1757" s="30" t="str">
        <f>IFERROR(_xlfn.XLOOKUP(B1757,Equipo[DESCRIPCION],Equipo[UND],,0),"")</f>
        <v>%MO</v>
      </c>
      <c r="D1757" s="31">
        <v>0.05</v>
      </c>
      <c r="E1757" s="32">
        <f>IF(C1757="%MO",G1763,IFERROR(_xlfn.XLOOKUP($B1757,Equipo[DESCRIPCION],Equipo[VALOR],,0),""))</f>
        <v>31439.075089500006</v>
      </c>
      <c r="F1757" s="33"/>
      <c r="G1757" s="34">
        <f>IFERROR(IF(F1757&gt;=0,D1757*E1757*(1+F1757/100),ABS(D1757*E1757/F1757)),"")</f>
        <v>1571.9537544750003</v>
      </c>
      <c r="H1757" s="139">
        <f>IFERROR(G1757*E1748,"")</f>
        <v>0</v>
      </c>
    </row>
    <row r="1758" spans="1:11" ht="12.75" customHeight="1">
      <c r="A1758" s="28"/>
      <c r="B1758" s="29"/>
      <c r="C1758" s="30" t="str">
        <f>IFERROR(_xlfn.XLOOKUP(B1758,Equipo[DESCRIPCION],Equipo[UND],,0),"")</f>
        <v/>
      </c>
      <c r="D1758" s="31"/>
      <c r="E1758" s="32" t="str">
        <f>IF(C1758="%MO",G1763,IFERROR(_xlfn.XLOOKUP($B1758,Equipo[DESCRIPCION],Equipo[VALOR],,0),""))</f>
        <v/>
      </c>
      <c r="F1758" s="33"/>
      <c r="G1758" s="34" t="str">
        <f>IFERROR(IF(F1758&gt;=0,D1758*E1758*(1+F1758/100),ABS(D1758*E1758/F1758)),"")</f>
        <v/>
      </c>
      <c r="H1758" s="139" t="str">
        <f>IFERROR(G1758*E1748,"")</f>
        <v/>
      </c>
    </row>
    <row r="1759" spans="1:11" ht="12.75" customHeight="1">
      <c r="A1759" s="28"/>
      <c r="B1759" s="29"/>
      <c r="C1759" s="30" t="str">
        <f>IFERROR(_xlfn.XLOOKUP(B1759,Equipo[DESCRIPCION],Equipo[UND],,0),"")</f>
        <v/>
      </c>
      <c r="D1759" s="31"/>
      <c r="E1759" s="32" t="str">
        <f>IF(C1759="%MO",G1763,IFERROR(_xlfn.XLOOKUP($B1759,Equipo[DESCRIPCION],Equipo[VALOR],,0),""))</f>
        <v/>
      </c>
      <c r="F1759" s="33"/>
      <c r="G1759" s="34" t="str">
        <f>IFERROR(IF(F1759&gt;=0,D1759*E1759*(1+F1759/100),ABS(D1759*E1759/F1759)),"")</f>
        <v/>
      </c>
      <c r="H1759" s="139" t="str">
        <f>IFERROR(G1759*E1748,"")</f>
        <v/>
      </c>
    </row>
    <row r="1760" spans="1:11" ht="12.75" customHeight="1">
      <c r="A1760" s="21"/>
      <c r="B1760" s="22" t="s">
        <v>2533</v>
      </c>
      <c r="C1760" s="23"/>
      <c r="D1760" s="24"/>
      <c r="E1760" s="25"/>
      <c r="F1760" s="26"/>
      <c r="G1760" s="27">
        <f>SUM(G1761:G1762)</f>
        <v>0</v>
      </c>
      <c r="H1760" s="27">
        <f>IFERROR(G1760*E1748,"")</f>
        <v>0</v>
      </c>
    </row>
    <row r="1761" spans="1:11" ht="12.75" customHeight="1">
      <c r="A1761" s="28"/>
      <c r="B1761" s="29"/>
      <c r="C1761" s="30" t="str">
        <f>IFERROR(_xlfn.XLOOKUP(B1761,Transporte[DESCRIPCION],Transporte[UND],,0),"")</f>
        <v/>
      </c>
      <c r="D1761" s="31"/>
      <c r="E1761" s="32" t="str">
        <f>IFERROR(_xlfn.XLOOKUP($B1761,Transporte[DESCRIPCION],Transporte[VALOR],,0),"")</f>
        <v/>
      </c>
      <c r="F1761" s="33"/>
      <c r="G1761" s="34" t="str">
        <f>IFERROR(IF(F1761&gt;=0,D1761*E1761*(1+F1761/100),ABS(D1761*E1761/F1761)),"")</f>
        <v/>
      </c>
      <c r="H1761" s="139" t="str">
        <f>IFERROR(G1761*E1748,"")</f>
        <v/>
      </c>
    </row>
    <row r="1762" spans="1:11" ht="12.75" customHeight="1">
      <c r="A1762" s="28"/>
      <c r="B1762" s="29"/>
      <c r="C1762" s="30" t="str">
        <f>IFERROR(_xlfn.XLOOKUP(B1762,Transporte[DESCRIPCION],Transporte[UND],,0),"")</f>
        <v/>
      </c>
      <c r="D1762" s="31"/>
      <c r="E1762" s="32" t="str">
        <f>IFERROR(_xlfn.XLOOKUP($B1762,Transporte[DESCRIPCION],Transporte[VALOR],,0),"")</f>
        <v/>
      </c>
      <c r="F1762" s="33"/>
      <c r="G1762" s="34" t="str">
        <f>IFERROR(IF(F1762&gt;=0,D1762*E1762*(1+F1762/100),ABS(D1762*E1762/F1762)),"")</f>
        <v/>
      </c>
      <c r="H1762" s="139" t="str">
        <f>IFERROR(G1762*E1748,"")</f>
        <v/>
      </c>
    </row>
    <row r="1763" spans="1:11" ht="12.75" customHeight="1">
      <c r="A1763" s="21"/>
      <c r="B1763" s="22" t="s">
        <v>3732</v>
      </c>
      <c r="C1763" s="23"/>
      <c r="D1763" s="24"/>
      <c r="E1763" s="25"/>
      <c r="F1763" s="26"/>
      <c r="G1763" s="27">
        <f>SUM(G1764:G1766)</f>
        <v>31439.075089500006</v>
      </c>
      <c r="H1763" s="27">
        <f>IFERROR(G1763*E1748,"")</f>
        <v>0</v>
      </c>
    </row>
    <row r="1764" spans="1:11" ht="12.75" customHeight="1">
      <c r="A1764" s="28"/>
      <c r="B1764" s="29" t="s">
        <v>3710</v>
      </c>
      <c r="C1764" s="30" t="str">
        <f>IFERROR(_xlfn.XLOOKUP(B1764,MObra[DESCRIPCION],MObra[UN],,0),"")</f>
        <v>día</v>
      </c>
      <c r="D1764" s="31">
        <v>1</v>
      </c>
      <c r="E1764" s="32">
        <f>IFERROR(_xlfn.XLOOKUP($B1764,MObra[DESCRIPCION],MObra[VALOR UNIT],,0),"")</f>
        <v>314390.75089500006</v>
      </c>
      <c r="F1764" s="33">
        <v>-10</v>
      </c>
      <c r="G1764" s="34">
        <f>IFERROR(IF(F1764&gt;=0,D1764*E1764*(1+F1764/100),ABS(D1764*E1764/F1764)),"")</f>
        <v>31439.075089500006</v>
      </c>
      <c r="H1764" s="139">
        <f>IFERROR(G1764*E1748,"")</f>
        <v>0</v>
      </c>
    </row>
    <row r="1765" spans="1:11" ht="12.75" customHeight="1">
      <c r="A1765" s="28"/>
      <c r="B1765" s="29"/>
      <c r="C1765" s="30" t="str">
        <f>IFERROR(_xlfn.XLOOKUP(B1765,MObra[DESCRIPCION],MObra[UN],,0),"")</f>
        <v/>
      </c>
      <c r="D1765" s="31"/>
      <c r="E1765" s="32" t="str">
        <f>IFERROR(_xlfn.XLOOKUP($B1765,MObra[DESCRIPCION],MObra[VALOR UNIT],,0),"")</f>
        <v/>
      </c>
      <c r="F1765" s="33"/>
      <c r="G1765" s="34" t="str">
        <f>IFERROR(IF(F1765&gt;=0,D1765*E1765*(1+F1765/100),ABS(D1765*E1765/F1765)),"")</f>
        <v/>
      </c>
      <c r="H1765" s="139" t="str">
        <f>IFERROR(G1765*E1748,"")</f>
        <v/>
      </c>
    </row>
    <row r="1766" spans="1:11" ht="12.75" customHeight="1" thickBot="1">
      <c r="A1766" s="35"/>
      <c r="B1766" s="36"/>
      <c r="C1766" s="37" t="str">
        <f>IFERROR(_xlfn.XLOOKUP(B1766,MObra[DESCRIPCION],MObra[UN],,0),"")</f>
        <v/>
      </c>
      <c r="D1766" s="38"/>
      <c r="E1766" s="39" t="str">
        <f>IFERROR(_xlfn.XLOOKUP($B1766,MObra[DESCRIPCION],MObra[VALOR UNIT],,0),"")</f>
        <v/>
      </c>
      <c r="F1766" s="40"/>
      <c r="G1766" s="41" t="str">
        <f>IFERROR(IF(F1766&gt;=0,D1766*E1766*(1+F1766/100),ABS(D1766*E1766/F1766)),"")</f>
        <v/>
      </c>
      <c r="H1766" s="42" t="str">
        <f>IFERROR(G1766*E1748,"")</f>
        <v/>
      </c>
    </row>
    <row r="1767" spans="1:11" ht="12.75" customHeight="1" thickTop="1" thickBot="1"/>
    <row r="1768" spans="1:11" ht="12.75" customHeight="1" thickTop="1" thickBot="1">
      <c r="A1768" s="6" t="s">
        <v>1544</v>
      </c>
      <c r="B1768" s="7" t="str">
        <f>VLOOKUP($A1768,Presupuesto!$A:$D,2,FALSE())</f>
        <v>Suministro mesa plástica 4 patas</v>
      </c>
      <c r="C1768" s="8" t="str">
        <f>VLOOKUP($A1768,Presupuesto!$A:$D,3,FALSE())</f>
        <v>Un</v>
      </c>
      <c r="D1768" s="9"/>
      <c r="E1768" s="10">
        <f>VLOOKUP($A1768,Presupuesto!$A:$D,4,FALSE())</f>
        <v>0</v>
      </c>
      <c r="F1768" s="11" t="s">
        <v>2589</v>
      </c>
      <c r="G1768" s="12">
        <f>SUM(G1770:G1786)/2</f>
        <v>51034.200000000004</v>
      </c>
      <c r="H1768" s="13">
        <f>ROUND(SUM(H1770:H1786),0)/2</f>
        <v>0</v>
      </c>
      <c r="I1768" s="10">
        <f>VLOOKUP(A1768,Presupuesto!$A:$F,6,0)</f>
        <v>0</v>
      </c>
      <c r="J1768" s="10">
        <f>+H1768-I1768</f>
        <v>0</v>
      </c>
      <c r="K1768" s="46">
        <f>+H1768-G1768*E1768</f>
        <v>0</v>
      </c>
    </row>
    <row r="1769" spans="1:11" ht="12.75" customHeight="1" thickTop="1">
      <c r="A1769" s="14"/>
      <c r="B1769" s="15" t="s">
        <v>2586</v>
      </c>
      <c r="C1769" s="15" t="s">
        <v>5</v>
      </c>
      <c r="D1769" s="16" t="s">
        <v>6</v>
      </c>
      <c r="E1769" s="17" t="s">
        <v>7</v>
      </c>
      <c r="F1769" s="18" t="s">
        <v>3728</v>
      </c>
      <c r="G1769" s="19" t="s">
        <v>3729</v>
      </c>
      <c r="H1769" s="20" t="s">
        <v>3797</v>
      </c>
    </row>
    <row r="1770" spans="1:11" ht="12.75" customHeight="1">
      <c r="A1770" s="21"/>
      <c r="B1770" s="22" t="s">
        <v>3730</v>
      </c>
      <c r="C1770" s="23"/>
      <c r="D1770" s="24"/>
      <c r="E1770" s="25"/>
      <c r="F1770" s="26"/>
      <c r="G1770" s="27">
        <f>SUM(G1771:G1775)</f>
        <v>51034.200000000004</v>
      </c>
      <c r="H1770" s="27">
        <f>IFERROR(G1770*E1768,"")</f>
        <v>0</v>
      </c>
    </row>
    <row r="1771" spans="1:11" ht="12.75" customHeight="1">
      <c r="A1771" s="28"/>
      <c r="B1771" s="29" t="s">
        <v>3170</v>
      </c>
      <c r="C1771" s="30" t="str">
        <f>IFERROR(_xlfn.XLOOKUP(B1771,Insumo[DESCRIPCION],Insumo[UND],,0),"")</f>
        <v>Un</v>
      </c>
      <c r="D1771" s="31">
        <v>1</v>
      </c>
      <c r="E1771" s="32">
        <f>IFERROR(_xlfn.XLOOKUP($B1771,Insumo[DESCRIPCION],Insumo[VALOR],,0),"")</f>
        <v>51034.200000000004</v>
      </c>
      <c r="F1771" s="33"/>
      <c r="G1771" s="34">
        <f>IFERROR(IF(F1771&gt;=0,D1771*E1771*(1+F1771/100),ABS(D1771*E1771/F1771)),"")</f>
        <v>51034.200000000004</v>
      </c>
      <c r="H1771" s="139">
        <f>IFERROR(G1771*E1768,"")</f>
        <v>0</v>
      </c>
    </row>
    <row r="1772" spans="1:11" ht="12.75" customHeight="1">
      <c r="A1772" s="28"/>
      <c r="B1772" s="29"/>
      <c r="C1772" s="30" t="str">
        <f>IFERROR(_xlfn.XLOOKUP(B1772,Insumo[DESCRIPCION],Insumo[UND],,0),"")</f>
        <v/>
      </c>
      <c r="D1772" s="31"/>
      <c r="E1772" s="32" t="str">
        <f>IFERROR(_xlfn.XLOOKUP($B1772,Insumo[DESCRIPCION],Insumo[VALOR],,0),"")</f>
        <v/>
      </c>
      <c r="F1772" s="33"/>
      <c r="G1772" s="34" t="str">
        <f>IFERROR(IF(F1772&gt;=0,D1772*E1772*(1+F1772/100),ABS(D1772*E1772/F1772)),"")</f>
        <v/>
      </c>
      <c r="H1772" s="139" t="str">
        <f>IFERROR(G1772*E1768,"")</f>
        <v/>
      </c>
    </row>
    <row r="1773" spans="1:11" ht="12.75" customHeight="1">
      <c r="A1773" s="28"/>
      <c r="B1773" s="29"/>
      <c r="C1773" s="30" t="str">
        <f>IFERROR(_xlfn.XLOOKUP(B1773,Insumo[DESCRIPCION],Insumo[UND],,0),"")</f>
        <v/>
      </c>
      <c r="D1773" s="31"/>
      <c r="E1773" s="32" t="str">
        <f>IFERROR(_xlfn.XLOOKUP($B1773,Insumo[DESCRIPCION],Insumo[VALOR],,0),"")</f>
        <v/>
      </c>
      <c r="F1773" s="33"/>
      <c r="G1773" s="34" t="str">
        <f>IFERROR(IF(F1773&gt;=0,D1773*E1773*(1+F1773/100),ABS(D1773*E1773/F1773)),"")</f>
        <v/>
      </c>
      <c r="H1773" s="139" t="str">
        <f>IFERROR(G1773*E1768,"")</f>
        <v/>
      </c>
    </row>
    <row r="1774" spans="1:11" ht="12.75" customHeight="1">
      <c r="A1774" s="28"/>
      <c r="B1774" s="29"/>
      <c r="C1774" s="30" t="str">
        <f>IFERROR(_xlfn.XLOOKUP(B1774,Insumo[DESCRIPCION],Insumo[UND],,0),"")</f>
        <v/>
      </c>
      <c r="D1774" s="31"/>
      <c r="E1774" s="32" t="str">
        <f>IFERROR(_xlfn.XLOOKUP($B1774,Insumo[DESCRIPCION],Insumo[VALOR],,0),"")</f>
        <v/>
      </c>
      <c r="F1774" s="33"/>
      <c r="G1774" s="34" t="str">
        <f>IFERROR(IF(F1774&gt;=0,D1774*E1774*(1+F1774/100),ABS(D1774*E1774/F1774)),"")</f>
        <v/>
      </c>
      <c r="H1774" s="139" t="str">
        <f>IFERROR(G1774*E1768,"")</f>
        <v/>
      </c>
    </row>
    <row r="1775" spans="1:11" ht="12.75" customHeight="1">
      <c r="A1775" s="28"/>
      <c r="B1775" s="29"/>
      <c r="C1775" s="30" t="str">
        <f>IFERROR(_xlfn.XLOOKUP(B1775,Insumo[DESCRIPCION],Insumo[UND],,0),"")</f>
        <v/>
      </c>
      <c r="D1775" s="31"/>
      <c r="E1775" s="32" t="str">
        <f>IFERROR(_xlfn.XLOOKUP($B1775,Insumo[DESCRIPCION],Insumo[VALOR],,0),"")</f>
        <v/>
      </c>
      <c r="F1775" s="33"/>
      <c r="G1775" s="34" t="str">
        <f>IFERROR(IF(F1775&gt;=0,D1775*E1775*(1+F1775/100),ABS(D1775*E1775/F1775)),"")</f>
        <v/>
      </c>
      <c r="H1775" s="139" t="str">
        <f>IFERROR(G1775*E1768,"")</f>
        <v/>
      </c>
    </row>
    <row r="1776" spans="1:11" ht="12.75" customHeight="1">
      <c r="A1776" s="21"/>
      <c r="B1776" s="22" t="s">
        <v>3731</v>
      </c>
      <c r="C1776" s="23"/>
      <c r="D1776" s="24"/>
      <c r="E1776" s="25"/>
      <c r="F1776" s="26"/>
      <c r="G1776" s="27">
        <f>SUM(G1777:G1779)</f>
        <v>0</v>
      </c>
      <c r="H1776" s="27">
        <f>IFERROR(G1776*E1768,"")</f>
        <v>0</v>
      </c>
    </row>
    <row r="1777" spans="1:11" ht="12.75" customHeight="1">
      <c r="A1777" s="28"/>
      <c r="B1777" s="29"/>
      <c r="C1777" s="30" t="str">
        <f>IFERROR(_xlfn.XLOOKUP(B1777,Equipo[DESCRIPCION],Equipo[UND],,0),"")</f>
        <v/>
      </c>
      <c r="D1777" s="31"/>
      <c r="E1777" s="32" t="str">
        <f>IF(C1777="%MO",G1783,IFERROR(_xlfn.XLOOKUP($B1777,Equipo[DESCRIPCION],Equipo[VALOR],,0),""))</f>
        <v/>
      </c>
      <c r="F1777" s="33"/>
      <c r="G1777" s="34" t="str">
        <f>IFERROR(IF(F1777&gt;=0,D1777*E1777*(1+F1777/100),ABS(D1777*E1777/F1777)),"")</f>
        <v/>
      </c>
      <c r="H1777" s="139" t="str">
        <f>IFERROR(G1777*E1768,"")</f>
        <v/>
      </c>
    </row>
    <row r="1778" spans="1:11" ht="12.75" customHeight="1">
      <c r="A1778" s="28"/>
      <c r="B1778" s="29"/>
      <c r="C1778" s="30" t="str">
        <f>IFERROR(_xlfn.XLOOKUP(B1778,Equipo[DESCRIPCION],Equipo[UND],,0),"")</f>
        <v/>
      </c>
      <c r="D1778" s="31"/>
      <c r="E1778" s="32" t="str">
        <f>IF(C1778="%MO",G1783,IFERROR(_xlfn.XLOOKUP($B1778,Equipo[DESCRIPCION],Equipo[VALOR],,0),""))</f>
        <v/>
      </c>
      <c r="F1778" s="33"/>
      <c r="G1778" s="34" t="str">
        <f>IFERROR(IF(F1778&gt;=0,D1778*E1778*(1+F1778/100),ABS(D1778*E1778/F1778)),"")</f>
        <v/>
      </c>
      <c r="H1778" s="139" t="str">
        <f>IFERROR(G1778*E1768,"")</f>
        <v/>
      </c>
    </row>
    <row r="1779" spans="1:11" ht="12.75" customHeight="1">
      <c r="A1779" s="28"/>
      <c r="B1779" s="29"/>
      <c r="C1779" s="30" t="str">
        <f>IFERROR(_xlfn.XLOOKUP(B1779,Equipo[DESCRIPCION],Equipo[UND],,0),"")</f>
        <v/>
      </c>
      <c r="D1779" s="31"/>
      <c r="E1779" s="32" t="str">
        <f>IF(C1779="%MO",G1783,IFERROR(_xlfn.XLOOKUP($B1779,Equipo[DESCRIPCION],Equipo[VALOR],,0),""))</f>
        <v/>
      </c>
      <c r="F1779" s="33"/>
      <c r="G1779" s="34" t="str">
        <f>IFERROR(IF(F1779&gt;=0,D1779*E1779*(1+F1779/100),ABS(D1779*E1779/F1779)),"")</f>
        <v/>
      </c>
      <c r="H1779" s="139" t="str">
        <f>IFERROR(G1779*E1768,"")</f>
        <v/>
      </c>
    </row>
    <row r="1780" spans="1:11" ht="12.75" customHeight="1">
      <c r="A1780" s="21"/>
      <c r="B1780" s="22" t="s">
        <v>2533</v>
      </c>
      <c r="C1780" s="23"/>
      <c r="D1780" s="24"/>
      <c r="E1780" s="25"/>
      <c r="F1780" s="26"/>
      <c r="G1780" s="27">
        <f>SUM(G1781:G1782)</f>
        <v>0</v>
      </c>
      <c r="H1780" s="27">
        <f>IFERROR(G1780*E1768,"")</f>
        <v>0</v>
      </c>
    </row>
    <row r="1781" spans="1:11" ht="12.75" customHeight="1">
      <c r="A1781" s="28"/>
      <c r="B1781" s="29"/>
      <c r="C1781" s="30" t="str">
        <f>IFERROR(_xlfn.XLOOKUP(B1781,Transporte[DESCRIPCION],Transporte[UND],,0),"")</f>
        <v/>
      </c>
      <c r="D1781" s="31"/>
      <c r="E1781" s="32" t="str">
        <f>IFERROR(_xlfn.XLOOKUP($B1781,Transporte[DESCRIPCION],Transporte[VALOR],,0),"")</f>
        <v/>
      </c>
      <c r="F1781" s="33"/>
      <c r="G1781" s="34" t="str">
        <f>IFERROR(IF(F1781&gt;=0,D1781*E1781*(1+F1781/100),ABS(D1781*E1781/F1781)),"")</f>
        <v/>
      </c>
      <c r="H1781" s="139" t="str">
        <f>IFERROR(G1781*E1768,"")</f>
        <v/>
      </c>
    </row>
    <row r="1782" spans="1:11" ht="12.75" customHeight="1">
      <c r="A1782" s="28"/>
      <c r="B1782" s="29"/>
      <c r="C1782" s="30" t="str">
        <f>IFERROR(_xlfn.XLOOKUP(B1782,Transporte[DESCRIPCION],Transporte[UND],,0),"")</f>
        <v/>
      </c>
      <c r="D1782" s="31"/>
      <c r="E1782" s="32" t="str">
        <f>IFERROR(_xlfn.XLOOKUP($B1782,Transporte[DESCRIPCION],Transporte[VALOR],,0),"")</f>
        <v/>
      </c>
      <c r="F1782" s="33"/>
      <c r="G1782" s="34" t="str">
        <f>IFERROR(IF(F1782&gt;=0,D1782*E1782*(1+F1782/100),ABS(D1782*E1782/F1782)),"")</f>
        <v/>
      </c>
      <c r="H1782" s="139" t="str">
        <f>IFERROR(G1782*E1768,"")</f>
        <v/>
      </c>
    </row>
    <row r="1783" spans="1:11" ht="12.75" customHeight="1">
      <c r="A1783" s="21"/>
      <c r="B1783" s="22" t="s">
        <v>3732</v>
      </c>
      <c r="C1783" s="23"/>
      <c r="D1783" s="24"/>
      <c r="E1783" s="25"/>
      <c r="F1783" s="26"/>
      <c r="G1783" s="27">
        <f>SUM(G1784:G1786)</f>
        <v>0</v>
      </c>
      <c r="H1783" s="27">
        <f>IFERROR(G1783*E1768,"")</f>
        <v>0</v>
      </c>
    </row>
    <row r="1784" spans="1:11" ht="12.75" customHeight="1">
      <c r="A1784" s="28"/>
      <c r="B1784" s="29"/>
      <c r="C1784" s="30" t="str">
        <f>IFERROR(_xlfn.XLOOKUP(B1784,MObra[DESCRIPCION],MObra[UN],,0),"")</f>
        <v/>
      </c>
      <c r="D1784" s="31"/>
      <c r="E1784" s="32" t="str">
        <f>IFERROR(_xlfn.XLOOKUP($B1784,MObra[DESCRIPCION],MObra[VALOR UNIT],,0),"")</f>
        <v/>
      </c>
      <c r="F1784" s="33"/>
      <c r="G1784" s="34" t="str">
        <f>IFERROR(IF(F1784&gt;=0,D1784*E1784*(1+F1784/100),ABS(D1784*E1784/F1784)),"")</f>
        <v/>
      </c>
      <c r="H1784" s="139" t="str">
        <f>IFERROR(G1784*E1768,"")</f>
        <v/>
      </c>
    </row>
    <row r="1785" spans="1:11" ht="12.75" customHeight="1">
      <c r="A1785" s="28"/>
      <c r="B1785" s="29"/>
      <c r="C1785" s="30" t="str">
        <f>IFERROR(_xlfn.XLOOKUP(B1785,MObra[DESCRIPCION],MObra[UN],,0),"")</f>
        <v/>
      </c>
      <c r="D1785" s="31"/>
      <c r="E1785" s="32" t="str">
        <f>IFERROR(_xlfn.XLOOKUP($B1785,MObra[DESCRIPCION],MObra[VALOR UNIT],,0),"")</f>
        <v/>
      </c>
      <c r="F1785" s="33"/>
      <c r="G1785" s="34" t="str">
        <f>IFERROR(IF(F1785&gt;=0,D1785*E1785*(1+F1785/100),ABS(D1785*E1785/F1785)),"")</f>
        <v/>
      </c>
      <c r="H1785" s="139" t="str">
        <f>IFERROR(G1785*E1768,"")</f>
        <v/>
      </c>
    </row>
    <row r="1786" spans="1:11" ht="12.75" customHeight="1" thickBot="1">
      <c r="A1786" s="35"/>
      <c r="B1786" s="36"/>
      <c r="C1786" s="37" t="str">
        <f>IFERROR(_xlfn.XLOOKUP(B1786,MObra[DESCRIPCION],MObra[UN],,0),"")</f>
        <v/>
      </c>
      <c r="D1786" s="38"/>
      <c r="E1786" s="39" t="str">
        <f>IFERROR(_xlfn.XLOOKUP($B1786,MObra[DESCRIPCION],MObra[VALOR UNIT],,0),"")</f>
        <v/>
      </c>
      <c r="F1786" s="40"/>
      <c r="G1786" s="41" t="str">
        <f>IFERROR(IF(F1786&gt;=0,D1786*E1786*(1+F1786/100),ABS(D1786*E1786/F1786)),"")</f>
        <v/>
      </c>
      <c r="H1786" s="42" t="str">
        <f>IFERROR(G1786*E1768,"")</f>
        <v/>
      </c>
    </row>
    <row r="1787" spans="1:11" ht="12.75" customHeight="1" thickTop="1" thickBot="1"/>
    <row r="1788" spans="1:11" ht="12.75" customHeight="1" thickTop="1" thickBot="1">
      <c r="A1788" s="6" t="s">
        <v>1546</v>
      </c>
      <c r="B1788" s="7" t="str">
        <f>VLOOKUP($A1788,Presupuesto!$A:$D,2,FALSE())</f>
        <v>Suministro silla plástica</v>
      </c>
      <c r="C1788" s="8" t="str">
        <f>VLOOKUP($A1788,Presupuesto!$A:$D,3,FALSE())</f>
        <v>Un</v>
      </c>
      <c r="D1788" s="9"/>
      <c r="E1788" s="10">
        <f>VLOOKUP($A1788,Presupuesto!$A:$D,4,FALSE())</f>
        <v>0</v>
      </c>
      <c r="F1788" s="11" t="s">
        <v>2589</v>
      </c>
      <c r="G1788" s="12">
        <f>SUM(G1790:G1806)/2</f>
        <v>66122.7</v>
      </c>
      <c r="H1788" s="13">
        <f>ROUND(SUM(H1790:H1806),0)/2</f>
        <v>0</v>
      </c>
      <c r="I1788" s="10">
        <f>VLOOKUP(A1788,Presupuesto!$A:$F,6,0)</f>
        <v>0</v>
      </c>
      <c r="J1788" s="10">
        <f>+H1788-I1788</f>
        <v>0</v>
      </c>
      <c r="K1788" s="46">
        <f>+H1788-G1788*E1788</f>
        <v>0</v>
      </c>
    </row>
    <row r="1789" spans="1:11" ht="12.75" customHeight="1" thickTop="1">
      <c r="A1789" s="14"/>
      <c r="B1789" s="15" t="s">
        <v>2586</v>
      </c>
      <c r="C1789" s="15" t="s">
        <v>5</v>
      </c>
      <c r="D1789" s="16" t="s">
        <v>6</v>
      </c>
      <c r="E1789" s="17" t="s">
        <v>7</v>
      </c>
      <c r="F1789" s="18" t="s">
        <v>3728</v>
      </c>
      <c r="G1789" s="19" t="s">
        <v>3729</v>
      </c>
      <c r="H1789" s="20" t="s">
        <v>3797</v>
      </c>
    </row>
    <row r="1790" spans="1:11" ht="12.75" customHeight="1">
      <c r="A1790" s="21"/>
      <c r="B1790" s="22" t="s">
        <v>3730</v>
      </c>
      <c r="C1790" s="23"/>
      <c r="D1790" s="24"/>
      <c r="E1790" s="25"/>
      <c r="F1790" s="26"/>
      <c r="G1790" s="27">
        <f>SUM(G1791:G1795)</f>
        <v>66122.7</v>
      </c>
      <c r="H1790" s="27">
        <f>IFERROR(G1790*E1788,"")</f>
        <v>0</v>
      </c>
    </row>
    <row r="1791" spans="1:11" ht="12.75" customHeight="1">
      <c r="A1791" s="28"/>
      <c r="B1791" s="29" t="s">
        <v>3317</v>
      </c>
      <c r="C1791" s="30" t="str">
        <f>IFERROR(_xlfn.XLOOKUP(B1791,Insumo[DESCRIPCION],Insumo[UND],,0),"")</f>
        <v>Un</v>
      </c>
      <c r="D1791" s="31">
        <v>1</v>
      </c>
      <c r="E1791" s="32">
        <f>IFERROR(_xlfn.XLOOKUP($B1791,Insumo[DESCRIPCION],Insumo[VALOR],,0),"")</f>
        <v>66122.7</v>
      </c>
      <c r="F1791" s="33"/>
      <c r="G1791" s="34">
        <f>IFERROR(IF(F1791&gt;=0,D1791*E1791*(1+F1791/100),ABS(D1791*E1791/F1791)),"")</f>
        <v>66122.7</v>
      </c>
      <c r="H1791" s="139">
        <f>IFERROR(G1791*E1788,"")</f>
        <v>0</v>
      </c>
    </row>
    <row r="1792" spans="1:11" ht="12.75" customHeight="1">
      <c r="A1792" s="28"/>
      <c r="B1792" s="29"/>
      <c r="C1792" s="30" t="str">
        <f>IFERROR(_xlfn.XLOOKUP(B1792,Insumo[DESCRIPCION],Insumo[UND],,0),"")</f>
        <v/>
      </c>
      <c r="D1792" s="31"/>
      <c r="E1792" s="32" t="str">
        <f>IFERROR(_xlfn.XLOOKUP($B1792,Insumo[DESCRIPCION],Insumo[VALOR],,0),"")</f>
        <v/>
      </c>
      <c r="F1792" s="33"/>
      <c r="G1792" s="34" t="str">
        <f>IFERROR(IF(F1792&gt;=0,D1792*E1792*(1+F1792/100),ABS(D1792*E1792/F1792)),"")</f>
        <v/>
      </c>
      <c r="H1792" s="139" t="str">
        <f>IFERROR(G1792*E1788,"")</f>
        <v/>
      </c>
    </row>
    <row r="1793" spans="1:11" ht="12.75" customHeight="1">
      <c r="A1793" s="28"/>
      <c r="B1793" s="29"/>
      <c r="C1793" s="30" t="str">
        <f>IFERROR(_xlfn.XLOOKUP(B1793,Insumo[DESCRIPCION],Insumo[UND],,0),"")</f>
        <v/>
      </c>
      <c r="D1793" s="31"/>
      <c r="E1793" s="32" t="str">
        <f>IFERROR(_xlfn.XLOOKUP($B1793,Insumo[DESCRIPCION],Insumo[VALOR],,0),"")</f>
        <v/>
      </c>
      <c r="F1793" s="33"/>
      <c r="G1793" s="34" t="str">
        <f>IFERROR(IF(F1793&gt;=0,D1793*E1793*(1+F1793/100),ABS(D1793*E1793/F1793)),"")</f>
        <v/>
      </c>
      <c r="H1793" s="139" t="str">
        <f>IFERROR(G1793*E1788,"")</f>
        <v/>
      </c>
    </row>
    <row r="1794" spans="1:11" ht="12.75" customHeight="1">
      <c r="A1794" s="28"/>
      <c r="B1794" s="29"/>
      <c r="C1794" s="30" t="str">
        <f>IFERROR(_xlfn.XLOOKUP(B1794,Insumo[DESCRIPCION],Insumo[UND],,0),"")</f>
        <v/>
      </c>
      <c r="D1794" s="31"/>
      <c r="E1794" s="32" t="str">
        <f>IFERROR(_xlfn.XLOOKUP($B1794,Insumo[DESCRIPCION],Insumo[VALOR],,0),"")</f>
        <v/>
      </c>
      <c r="F1794" s="33"/>
      <c r="G1794" s="34" t="str">
        <f>IFERROR(IF(F1794&gt;=0,D1794*E1794*(1+F1794/100),ABS(D1794*E1794/F1794)),"")</f>
        <v/>
      </c>
      <c r="H1794" s="139" t="str">
        <f>IFERROR(G1794*E1788,"")</f>
        <v/>
      </c>
    </row>
    <row r="1795" spans="1:11" ht="12.75" customHeight="1">
      <c r="A1795" s="28"/>
      <c r="B1795" s="29"/>
      <c r="C1795" s="30" t="str">
        <f>IFERROR(_xlfn.XLOOKUP(B1795,Insumo[DESCRIPCION],Insumo[UND],,0),"")</f>
        <v/>
      </c>
      <c r="D1795" s="31"/>
      <c r="E1795" s="32" t="str">
        <f>IFERROR(_xlfn.XLOOKUP($B1795,Insumo[DESCRIPCION],Insumo[VALOR],,0),"")</f>
        <v/>
      </c>
      <c r="F1795" s="33"/>
      <c r="G1795" s="34" t="str">
        <f>IFERROR(IF(F1795&gt;=0,D1795*E1795*(1+F1795/100),ABS(D1795*E1795/F1795)),"")</f>
        <v/>
      </c>
      <c r="H1795" s="139" t="str">
        <f>IFERROR(G1795*E1788,"")</f>
        <v/>
      </c>
    </row>
    <row r="1796" spans="1:11" ht="12.75" customHeight="1">
      <c r="A1796" s="21"/>
      <c r="B1796" s="22" t="s">
        <v>3731</v>
      </c>
      <c r="C1796" s="23"/>
      <c r="D1796" s="24"/>
      <c r="E1796" s="25"/>
      <c r="F1796" s="26"/>
      <c r="G1796" s="27">
        <f>SUM(G1797:G1799)</f>
        <v>0</v>
      </c>
      <c r="H1796" s="27">
        <f>IFERROR(G1796*E1788,"")</f>
        <v>0</v>
      </c>
    </row>
    <row r="1797" spans="1:11" ht="12.75" customHeight="1">
      <c r="A1797" s="28"/>
      <c r="B1797" s="29"/>
      <c r="C1797" s="30" t="str">
        <f>IFERROR(_xlfn.XLOOKUP(B1797,Equipo[DESCRIPCION],Equipo[UND],,0),"")</f>
        <v/>
      </c>
      <c r="D1797" s="31"/>
      <c r="E1797" s="32" t="str">
        <f>IF(C1797="%MO",G1803,IFERROR(_xlfn.XLOOKUP($B1797,Equipo[DESCRIPCION],Equipo[VALOR],,0),""))</f>
        <v/>
      </c>
      <c r="F1797" s="33"/>
      <c r="G1797" s="34" t="str">
        <f>IFERROR(IF(F1797&gt;=0,D1797*E1797*(1+F1797/100),ABS(D1797*E1797/F1797)),"")</f>
        <v/>
      </c>
      <c r="H1797" s="139" t="str">
        <f>IFERROR(G1797*E1788,"")</f>
        <v/>
      </c>
    </row>
    <row r="1798" spans="1:11" ht="12.75" customHeight="1">
      <c r="A1798" s="28"/>
      <c r="B1798" s="29"/>
      <c r="C1798" s="30" t="str">
        <f>IFERROR(_xlfn.XLOOKUP(B1798,Equipo[DESCRIPCION],Equipo[UND],,0),"")</f>
        <v/>
      </c>
      <c r="D1798" s="31"/>
      <c r="E1798" s="32" t="str">
        <f>IF(C1798="%MO",G1803,IFERROR(_xlfn.XLOOKUP($B1798,Equipo[DESCRIPCION],Equipo[VALOR],,0),""))</f>
        <v/>
      </c>
      <c r="F1798" s="33"/>
      <c r="G1798" s="34" t="str">
        <f>IFERROR(IF(F1798&gt;=0,D1798*E1798*(1+F1798/100),ABS(D1798*E1798/F1798)),"")</f>
        <v/>
      </c>
      <c r="H1798" s="139" t="str">
        <f>IFERROR(G1798*E1788,"")</f>
        <v/>
      </c>
    </row>
    <row r="1799" spans="1:11" ht="12.75" customHeight="1">
      <c r="A1799" s="28"/>
      <c r="B1799" s="29"/>
      <c r="C1799" s="30" t="str">
        <f>IFERROR(_xlfn.XLOOKUP(B1799,Equipo[DESCRIPCION],Equipo[UND],,0),"")</f>
        <v/>
      </c>
      <c r="D1799" s="31"/>
      <c r="E1799" s="32" t="str">
        <f>IF(C1799="%MO",G1803,IFERROR(_xlfn.XLOOKUP($B1799,Equipo[DESCRIPCION],Equipo[VALOR],,0),""))</f>
        <v/>
      </c>
      <c r="F1799" s="33"/>
      <c r="G1799" s="34" t="str">
        <f>IFERROR(IF(F1799&gt;=0,D1799*E1799*(1+F1799/100),ABS(D1799*E1799/F1799)),"")</f>
        <v/>
      </c>
      <c r="H1799" s="139" t="str">
        <f>IFERROR(G1799*E1788,"")</f>
        <v/>
      </c>
    </row>
    <row r="1800" spans="1:11" ht="12.75" customHeight="1">
      <c r="A1800" s="21"/>
      <c r="B1800" s="22" t="s">
        <v>2533</v>
      </c>
      <c r="C1800" s="23"/>
      <c r="D1800" s="24"/>
      <c r="E1800" s="25"/>
      <c r="F1800" s="26"/>
      <c r="G1800" s="27">
        <f>SUM(G1801:G1802)</f>
        <v>0</v>
      </c>
      <c r="H1800" s="27">
        <f>IFERROR(G1800*E1788,"")</f>
        <v>0</v>
      </c>
    </row>
    <row r="1801" spans="1:11" ht="12.75" customHeight="1">
      <c r="A1801" s="28"/>
      <c r="B1801" s="29"/>
      <c r="C1801" s="30" t="str">
        <f>IFERROR(_xlfn.XLOOKUP(B1801,Transporte[DESCRIPCION],Transporte[UND],,0),"")</f>
        <v/>
      </c>
      <c r="D1801" s="31"/>
      <c r="E1801" s="32" t="str">
        <f>IFERROR(_xlfn.XLOOKUP($B1801,Transporte[DESCRIPCION],Transporte[VALOR],,0),"")</f>
        <v/>
      </c>
      <c r="F1801" s="33"/>
      <c r="G1801" s="34" t="str">
        <f>IFERROR(IF(F1801&gt;=0,D1801*E1801*(1+F1801/100),ABS(D1801*E1801/F1801)),"")</f>
        <v/>
      </c>
      <c r="H1801" s="139" t="str">
        <f>IFERROR(G1801*E1788,"")</f>
        <v/>
      </c>
    </row>
    <row r="1802" spans="1:11" ht="12.75" customHeight="1">
      <c r="A1802" s="28"/>
      <c r="B1802" s="29"/>
      <c r="C1802" s="30" t="str">
        <f>IFERROR(_xlfn.XLOOKUP(B1802,Transporte[DESCRIPCION],Transporte[UND],,0),"")</f>
        <v/>
      </c>
      <c r="D1802" s="31"/>
      <c r="E1802" s="32" t="str">
        <f>IFERROR(_xlfn.XLOOKUP($B1802,Transporte[DESCRIPCION],Transporte[VALOR],,0),"")</f>
        <v/>
      </c>
      <c r="F1802" s="33"/>
      <c r="G1802" s="34" t="str">
        <f>IFERROR(IF(F1802&gt;=0,D1802*E1802*(1+F1802/100),ABS(D1802*E1802/F1802)),"")</f>
        <v/>
      </c>
      <c r="H1802" s="139" t="str">
        <f>IFERROR(G1802*E1788,"")</f>
        <v/>
      </c>
    </row>
    <row r="1803" spans="1:11" ht="12.75" customHeight="1">
      <c r="A1803" s="21"/>
      <c r="B1803" s="22" t="s">
        <v>3732</v>
      </c>
      <c r="C1803" s="23"/>
      <c r="D1803" s="24"/>
      <c r="E1803" s="25"/>
      <c r="F1803" s="26"/>
      <c r="G1803" s="27">
        <f>SUM(G1804:G1806)</f>
        <v>0</v>
      </c>
      <c r="H1803" s="27">
        <f>IFERROR(G1803*E1788,"")</f>
        <v>0</v>
      </c>
    </row>
    <row r="1804" spans="1:11" ht="12.75" customHeight="1">
      <c r="A1804" s="28"/>
      <c r="B1804" s="29"/>
      <c r="C1804" s="30" t="str">
        <f>IFERROR(_xlfn.XLOOKUP(B1804,MObra[DESCRIPCION],MObra[UN],,0),"")</f>
        <v/>
      </c>
      <c r="D1804" s="31"/>
      <c r="E1804" s="32" t="str">
        <f>IFERROR(_xlfn.XLOOKUP($B1804,MObra[DESCRIPCION],MObra[VALOR UNIT],,0),"")</f>
        <v/>
      </c>
      <c r="F1804" s="33"/>
      <c r="G1804" s="34" t="str">
        <f>IFERROR(IF(F1804&gt;=0,D1804*E1804*(1+F1804/100),ABS(D1804*E1804/F1804)),"")</f>
        <v/>
      </c>
      <c r="H1804" s="139" t="str">
        <f>IFERROR(G1804*E1788,"")</f>
        <v/>
      </c>
    </row>
    <row r="1805" spans="1:11" ht="12.75" customHeight="1">
      <c r="A1805" s="28"/>
      <c r="B1805" s="29"/>
      <c r="C1805" s="30" t="str">
        <f>IFERROR(_xlfn.XLOOKUP(B1805,MObra[DESCRIPCION],MObra[UN],,0),"")</f>
        <v/>
      </c>
      <c r="D1805" s="31"/>
      <c r="E1805" s="32" t="str">
        <f>IFERROR(_xlfn.XLOOKUP($B1805,MObra[DESCRIPCION],MObra[VALOR UNIT],,0),"")</f>
        <v/>
      </c>
      <c r="F1805" s="33"/>
      <c r="G1805" s="34" t="str">
        <f>IFERROR(IF(F1805&gt;=0,D1805*E1805*(1+F1805/100),ABS(D1805*E1805/F1805)),"")</f>
        <v/>
      </c>
      <c r="H1805" s="139" t="str">
        <f>IFERROR(G1805*E1788,"")</f>
        <v/>
      </c>
    </row>
    <row r="1806" spans="1:11" ht="12.75" customHeight="1" thickBot="1">
      <c r="A1806" s="35"/>
      <c r="B1806" s="36"/>
      <c r="C1806" s="37" t="str">
        <f>IFERROR(_xlfn.XLOOKUP(B1806,MObra[DESCRIPCION],MObra[UN],,0),"")</f>
        <v/>
      </c>
      <c r="D1806" s="38"/>
      <c r="E1806" s="39" t="str">
        <f>IFERROR(_xlfn.XLOOKUP($B1806,MObra[DESCRIPCION],MObra[VALOR UNIT],,0),"")</f>
        <v/>
      </c>
      <c r="F1806" s="40"/>
      <c r="G1806" s="41" t="str">
        <f>IFERROR(IF(F1806&gt;=0,D1806*E1806*(1+F1806/100),ABS(D1806*E1806/F1806)),"")</f>
        <v/>
      </c>
      <c r="H1806" s="42" t="str">
        <f>IFERROR(G1806*E1788,"")</f>
        <v/>
      </c>
    </row>
    <row r="1807" spans="1:11" ht="12.75" customHeight="1" thickTop="1" thickBot="1"/>
    <row r="1808" spans="1:11" ht="12.75" customHeight="1" thickTop="1" thickBot="1">
      <c r="A1808" s="6" t="s">
        <v>1548</v>
      </c>
      <c r="B1808" s="7" t="str">
        <f>VLOOKUP($A1808,Presupuesto!$A:$D,2,FALSE())</f>
        <v>Vidrio 4 mm</v>
      </c>
      <c r="C1808" s="8" t="str">
        <f>VLOOKUP($A1808,Presupuesto!$A:$D,3,FALSE())</f>
        <v>M2</v>
      </c>
      <c r="D1808" s="9"/>
      <c r="E1808" s="10">
        <f>VLOOKUP($A1808,Presupuesto!$A:$D,4,FALSE())</f>
        <v>0</v>
      </c>
      <c r="F1808" s="11" t="s">
        <v>2589</v>
      </c>
      <c r="G1808" s="12">
        <f>SUM(G1810:G1826)/2</f>
        <v>58898.844421987495</v>
      </c>
      <c r="H1808" s="13">
        <f>ROUND(SUM(H1810:H1826),0)/2</f>
        <v>0</v>
      </c>
      <c r="I1808" s="10">
        <f>VLOOKUP(A1808,Presupuesto!$A:$F,6,0)</f>
        <v>0</v>
      </c>
      <c r="J1808" s="10">
        <f>+H1808-I1808</f>
        <v>0</v>
      </c>
      <c r="K1808" s="46">
        <f>+H1808-G1808*E1808</f>
        <v>0</v>
      </c>
    </row>
    <row r="1809" spans="1:8" ht="12.75" customHeight="1" thickTop="1">
      <c r="A1809" s="14"/>
      <c r="B1809" s="15" t="s">
        <v>2586</v>
      </c>
      <c r="C1809" s="15" t="s">
        <v>5</v>
      </c>
      <c r="D1809" s="16" t="s">
        <v>6</v>
      </c>
      <c r="E1809" s="17" t="s">
        <v>7</v>
      </c>
      <c r="F1809" s="18" t="s">
        <v>3728</v>
      </c>
      <c r="G1809" s="19" t="s">
        <v>3729</v>
      </c>
      <c r="H1809" s="20" t="s">
        <v>3797</v>
      </c>
    </row>
    <row r="1810" spans="1:8" ht="12.75" customHeight="1">
      <c r="A1810" s="21"/>
      <c r="B1810" s="22" t="s">
        <v>3730</v>
      </c>
      <c r="C1810" s="23"/>
      <c r="D1810" s="24"/>
      <c r="E1810" s="25"/>
      <c r="F1810" s="26"/>
      <c r="G1810" s="27">
        <f>SUM(G1811:G1815)</f>
        <v>42393.33</v>
      </c>
      <c r="H1810" s="27">
        <f>IFERROR(G1810*E1808,"")</f>
        <v>0</v>
      </c>
    </row>
    <row r="1811" spans="1:8" ht="12.75" customHeight="1">
      <c r="A1811" s="28"/>
      <c r="B1811" s="29" t="s">
        <v>3549</v>
      </c>
      <c r="C1811" s="30" t="str">
        <f>IFERROR(_xlfn.XLOOKUP(B1811,Insumo[DESCRIPCION],Insumo[UND],,0),"")</f>
        <v>M2</v>
      </c>
      <c r="D1811" s="31">
        <v>1</v>
      </c>
      <c r="E1811" s="32">
        <f>IFERROR(_xlfn.XLOOKUP($B1811,Insumo[DESCRIPCION],Insumo[VALOR],,0),"")</f>
        <v>40374.6</v>
      </c>
      <c r="F1811" s="33">
        <v>5</v>
      </c>
      <c r="G1811" s="34">
        <f>IFERROR(IF(F1811&gt;=0,D1811*E1811*(1+F1811/100),ABS(D1811*E1811/F1811)),"")</f>
        <v>42393.33</v>
      </c>
      <c r="H1811" s="139">
        <f>IFERROR(G1811*E1808,"")</f>
        <v>0</v>
      </c>
    </row>
    <row r="1812" spans="1:8" ht="12.75" customHeight="1">
      <c r="A1812" s="28"/>
      <c r="B1812" s="29"/>
      <c r="C1812" s="30" t="str">
        <f>IFERROR(_xlfn.XLOOKUP(B1812,Insumo[DESCRIPCION],Insumo[UND],,0),"")</f>
        <v/>
      </c>
      <c r="D1812" s="31"/>
      <c r="E1812" s="32" t="str">
        <f>IFERROR(_xlfn.XLOOKUP($B1812,Insumo[DESCRIPCION],Insumo[VALOR],,0),"")</f>
        <v/>
      </c>
      <c r="F1812" s="33"/>
      <c r="G1812" s="34" t="str">
        <f>IFERROR(IF(F1812&gt;=0,D1812*E1812*(1+F1812/100),ABS(D1812*E1812/F1812)),"")</f>
        <v/>
      </c>
      <c r="H1812" s="139" t="str">
        <f>IFERROR(G1812*E1808,"")</f>
        <v/>
      </c>
    </row>
    <row r="1813" spans="1:8" ht="12.75" customHeight="1">
      <c r="A1813" s="28"/>
      <c r="B1813" s="29"/>
      <c r="C1813" s="30" t="str">
        <f>IFERROR(_xlfn.XLOOKUP(B1813,Insumo[DESCRIPCION],Insumo[UND],,0),"")</f>
        <v/>
      </c>
      <c r="D1813" s="31"/>
      <c r="E1813" s="32" t="str">
        <f>IFERROR(_xlfn.XLOOKUP($B1813,Insumo[DESCRIPCION],Insumo[VALOR],,0),"")</f>
        <v/>
      </c>
      <c r="F1813" s="33"/>
      <c r="G1813" s="34" t="str">
        <f>IFERROR(IF(F1813&gt;=0,D1813*E1813*(1+F1813/100),ABS(D1813*E1813/F1813)),"")</f>
        <v/>
      </c>
      <c r="H1813" s="139" t="str">
        <f>IFERROR(G1813*E1808,"")</f>
        <v/>
      </c>
    </row>
    <row r="1814" spans="1:8" ht="12.75" customHeight="1">
      <c r="A1814" s="28"/>
      <c r="B1814" s="29"/>
      <c r="C1814" s="30" t="str">
        <f>IFERROR(_xlfn.XLOOKUP(B1814,Insumo[DESCRIPCION],Insumo[UND],,0),"")</f>
        <v/>
      </c>
      <c r="D1814" s="31"/>
      <c r="E1814" s="32" t="str">
        <f>IFERROR(_xlfn.XLOOKUP($B1814,Insumo[DESCRIPCION],Insumo[VALOR],,0),"")</f>
        <v/>
      </c>
      <c r="F1814" s="33"/>
      <c r="G1814" s="34" t="str">
        <f>IFERROR(IF(F1814&gt;=0,D1814*E1814*(1+F1814/100),ABS(D1814*E1814/F1814)),"")</f>
        <v/>
      </c>
      <c r="H1814" s="139" t="str">
        <f>IFERROR(G1814*E1808,"")</f>
        <v/>
      </c>
    </row>
    <row r="1815" spans="1:8" ht="12.75" customHeight="1">
      <c r="A1815" s="28"/>
      <c r="B1815" s="29"/>
      <c r="C1815" s="30" t="str">
        <f>IFERROR(_xlfn.XLOOKUP(B1815,Insumo[DESCRIPCION],Insumo[UND],,0),"")</f>
        <v/>
      </c>
      <c r="D1815" s="31"/>
      <c r="E1815" s="32" t="str">
        <f>IFERROR(_xlfn.XLOOKUP($B1815,Insumo[DESCRIPCION],Insumo[VALOR],,0),"")</f>
        <v/>
      </c>
      <c r="F1815" s="33"/>
      <c r="G1815" s="34" t="str">
        <f>IFERROR(IF(F1815&gt;=0,D1815*E1815*(1+F1815/100),ABS(D1815*E1815/F1815)),"")</f>
        <v/>
      </c>
      <c r="H1815" s="139" t="str">
        <f>IFERROR(G1815*E1808,"")</f>
        <v/>
      </c>
    </row>
    <row r="1816" spans="1:8" ht="12.75" customHeight="1">
      <c r="A1816" s="21"/>
      <c r="B1816" s="22" t="s">
        <v>3731</v>
      </c>
      <c r="C1816" s="23"/>
      <c r="D1816" s="24"/>
      <c r="E1816" s="25"/>
      <c r="F1816" s="26"/>
      <c r="G1816" s="27">
        <f>SUM(G1817:G1819)</f>
        <v>785.97687723750016</v>
      </c>
      <c r="H1816" s="27">
        <f>IFERROR(G1816*E1808,"")</f>
        <v>0</v>
      </c>
    </row>
    <row r="1817" spans="1:8" ht="12.75" customHeight="1">
      <c r="A1817" s="28"/>
      <c r="B1817" s="29" t="s">
        <v>3626</v>
      </c>
      <c r="C1817" s="30" t="str">
        <f>IFERROR(_xlfn.XLOOKUP(B1817,Equipo[DESCRIPCION],Equipo[UND],,0),"")</f>
        <v>%MO</v>
      </c>
      <c r="D1817" s="31">
        <v>0.05</v>
      </c>
      <c r="E1817" s="32">
        <f>IF(C1817="%MO",G1823,IFERROR(_xlfn.XLOOKUP($B1817,Equipo[DESCRIPCION],Equipo[VALOR],,0),""))</f>
        <v>15719.537544750003</v>
      </c>
      <c r="F1817" s="33"/>
      <c r="G1817" s="34">
        <f>IFERROR(IF(F1817&gt;=0,D1817*E1817*(1+F1817/100),ABS(D1817*E1817/F1817)),"")</f>
        <v>785.97687723750016</v>
      </c>
      <c r="H1817" s="139">
        <f>IFERROR(G1817*E1808,"")</f>
        <v>0</v>
      </c>
    </row>
    <row r="1818" spans="1:8" ht="12.75" customHeight="1">
      <c r="A1818" s="28"/>
      <c r="B1818" s="29"/>
      <c r="C1818" s="30" t="str">
        <f>IFERROR(_xlfn.XLOOKUP(B1818,Equipo[DESCRIPCION],Equipo[UND],,0),"")</f>
        <v/>
      </c>
      <c r="D1818" s="31"/>
      <c r="E1818" s="32" t="str">
        <f>IF(C1818="%MO",G1823,IFERROR(_xlfn.XLOOKUP($B1818,Equipo[DESCRIPCION],Equipo[VALOR],,0),""))</f>
        <v/>
      </c>
      <c r="F1818" s="33"/>
      <c r="G1818" s="34" t="str">
        <f>IFERROR(IF(F1818&gt;=0,D1818*E1818*(1+F1818/100),ABS(D1818*E1818/F1818)),"")</f>
        <v/>
      </c>
      <c r="H1818" s="139" t="str">
        <f>IFERROR(G1818*E1808,"")</f>
        <v/>
      </c>
    </row>
    <row r="1819" spans="1:8" ht="12.75" customHeight="1">
      <c r="A1819" s="28"/>
      <c r="B1819" s="29"/>
      <c r="C1819" s="30" t="str">
        <f>IFERROR(_xlfn.XLOOKUP(B1819,Equipo[DESCRIPCION],Equipo[UND],,0),"")</f>
        <v/>
      </c>
      <c r="D1819" s="31"/>
      <c r="E1819" s="32" t="str">
        <f>IF(C1819="%MO",G1823,IFERROR(_xlfn.XLOOKUP($B1819,Equipo[DESCRIPCION],Equipo[VALOR],,0),""))</f>
        <v/>
      </c>
      <c r="F1819" s="33"/>
      <c r="G1819" s="34" t="str">
        <f>IFERROR(IF(F1819&gt;=0,D1819*E1819*(1+F1819/100),ABS(D1819*E1819/F1819)),"")</f>
        <v/>
      </c>
      <c r="H1819" s="139" t="str">
        <f>IFERROR(G1819*E1808,"")</f>
        <v/>
      </c>
    </row>
    <row r="1820" spans="1:8" ht="12.75" customHeight="1">
      <c r="A1820" s="21"/>
      <c r="B1820" s="22" t="s">
        <v>2533</v>
      </c>
      <c r="C1820" s="23"/>
      <c r="D1820" s="24"/>
      <c r="E1820" s="25"/>
      <c r="F1820" s="26"/>
      <c r="G1820" s="27">
        <f>SUM(G1821:G1822)</f>
        <v>0</v>
      </c>
      <c r="H1820" s="27">
        <f>IFERROR(G1820*E1808,"")</f>
        <v>0</v>
      </c>
    </row>
    <row r="1821" spans="1:8" ht="12.75" customHeight="1">
      <c r="A1821" s="28"/>
      <c r="B1821" s="29"/>
      <c r="C1821" s="30" t="str">
        <f>IFERROR(_xlfn.XLOOKUP(B1821,Transporte[DESCRIPCION],Transporte[UND],,0),"")</f>
        <v/>
      </c>
      <c r="D1821" s="31"/>
      <c r="E1821" s="32" t="str">
        <f>IFERROR(_xlfn.XLOOKUP($B1821,Transporte[DESCRIPCION],Transporte[VALOR],,0),"")</f>
        <v/>
      </c>
      <c r="F1821" s="33"/>
      <c r="G1821" s="34" t="str">
        <f>IFERROR(IF(F1821&gt;=0,D1821*E1821*(1+F1821/100),ABS(D1821*E1821/F1821)),"")</f>
        <v/>
      </c>
      <c r="H1821" s="139" t="str">
        <f>IFERROR(G1821*E1808,"")</f>
        <v/>
      </c>
    </row>
    <row r="1822" spans="1:8" ht="12.75" customHeight="1">
      <c r="A1822" s="28"/>
      <c r="B1822" s="29"/>
      <c r="C1822" s="30" t="str">
        <f>IFERROR(_xlfn.XLOOKUP(B1822,Transporte[DESCRIPCION],Transporte[UND],,0),"")</f>
        <v/>
      </c>
      <c r="D1822" s="31"/>
      <c r="E1822" s="32" t="str">
        <f>IFERROR(_xlfn.XLOOKUP($B1822,Transporte[DESCRIPCION],Transporte[VALOR],,0),"")</f>
        <v/>
      </c>
      <c r="F1822" s="33"/>
      <c r="G1822" s="34" t="str">
        <f>IFERROR(IF(F1822&gt;=0,D1822*E1822*(1+F1822/100),ABS(D1822*E1822/F1822)),"")</f>
        <v/>
      </c>
      <c r="H1822" s="139" t="str">
        <f>IFERROR(G1822*E1808,"")</f>
        <v/>
      </c>
    </row>
    <row r="1823" spans="1:8" ht="12.75" customHeight="1">
      <c r="A1823" s="21"/>
      <c r="B1823" s="22" t="s">
        <v>3732</v>
      </c>
      <c r="C1823" s="23"/>
      <c r="D1823" s="24"/>
      <c r="E1823" s="25"/>
      <c r="F1823" s="26"/>
      <c r="G1823" s="27">
        <f>SUM(G1824:G1826)</f>
        <v>15719.537544750003</v>
      </c>
      <c r="H1823" s="27">
        <f>IFERROR(G1823*E1808,"")</f>
        <v>0</v>
      </c>
    </row>
    <row r="1824" spans="1:8" ht="12.75" customHeight="1">
      <c r="A1824" s="28"/>
      <c r="B1824" s="29" t="s">
        <v>3710</v>
      </c>
      <c r="C1824" s="30" t="str">
        <f>IFERROR(_xlfn.XLOOKUP(B1824,MObra[DESCRIPCION],MObra[UN],,0),"")</f>
        <v>día</v>
      </c>
      <c r="D1824" s="31">
        <v>1</v>
      </c>
      <c r="E1824" s="32">
        <f>IFERROR(_xlfn.XLOOKUP($B1824,MObra[DESCRIPCION],MObra[VALOR UNIT],,0),"")</f>
        <v>314390.75089500006</v>
      </c>
      <c r="F1824" s="33">
        <v>-20</v>
      </c>
      <c r="G1824" s="34">
        <f>IFERROR(IF(F1824&gt;=0,D1824*E1824*(1+F1824/100),ABS(D1824*E1824/F1824)),"")</f>
        <v>15719.537544750003</v>
      </c>
      <c r="H1824" s="139">
        <f>IFERROR(G1824*E1808,"")</f>
        <v>0</v>
      </c>
    </row>
    <row r="1825" spans="1:11" ht="12.75" customHeight="1">
      <c r="A1825" s="28"/>
      <c r="B1825" s="29"/>
      <c r="C1825" s="30" t="str">
        <f>IFERROR(_xlfn.XLOOKUP(B1825,MObra[DESCRIPCION],MObra[UN],,0),"")</f>
        <v/>
      </c>
      <c r="D1825" s="31"/>
      <c r="E1825" s="32" t="str">
        <f>IFERROR(_xlfn.XLOOKUP($B1825,MObra[DESCRIPCION],MObra[VALOR UNIT],,0),"")</f>
        <v/>
      </c>
      <c r="F1825" s="33"/>
      <c r="G1825" s="34" t="str">
        <f>IFERROR(IF(F1825&gt;=0,D1825*E1825*(1+F1825/100),ABS(D1825*E1825/F1825)),"")</f>
        <v/>
      </c>
      <c r="H1825" s="139" t="str">
        <f>IFERROR(G1825*E1808,"")</f>
        <v/>
      </c>
    </row>
    <row r="1826" spans="1:11" ht="12.75" customHeight="1" thickBot="1">
      <c r="A1826" s="35"/>
      <c r="B1826" s="36"/>
      <c r="C1826" s="37" t="str">
        <f>IFERROR(_xlfn.XLOOKUP(B1826,MObra[DESCRIPCION],MObra[UN],,0),"")</f>
        <v/>
      </c>
      <c r="D1826" s="38"/>
      <c r="E1826" s="39" t="str">
        <f>IFERROR(_xlfn.XLOOKUP($B1826,MObra[DESCRIPCION],MObra[VALOR UNIT],,0),"")</f>
        <v/>
      </c>
      <c r="F1826" s="40"/>
      <c r="G1826" s="41" t="str">
        <f>IFERROR(IF(F1826&gt;=0,D1826*E1826*(1+F1826/100),ABS(D1826*E1826/F1826)),"")</f>
        <v/>
      </c>
      <c r="H1826" s="42" t="str">
        <f>IFERROR(G1826*E1808,"")</f>
        <v/>
      </c>
    </row>
    <row r="1827" spans="1:11" ht="12.75" customHeight="1" thickTop="1" thickBot="1"/>
    <row r="1828" spans="1:11" ht="12.75" customHeight="1" thickTop="1" thickBot="1">
      <c r="A1828" s="6" t="s">
        <v>1550</v>
      </c>
      <c r="B1828" s="7" t="str">
        <f>VLOOKUP($A1828,Presupuesto!$A:$D,2,FALSE())</f>
        <v>Vidrio 5 mm</v>
      </c>
      <c r="C1828" s="8" t="str">
        <f>VLOOKUP($A1828,Presupuesto!$A:$D,3,FALSE())</f>
        <v>M2</v>
      </c>
      <c r="D1828" s="9"/>
      <c r="E1828" s="10">
        <f>VLOOKUP($A1828,Presupuesto!$A:$D,4,FALSE())</f>
        <v>0</v>
      </c>
      <c r="F1828" s="11" t="s">
        <v>2589</v>
      </c>
      <c r="G1828" s="12">
        <f>SUM(G1830:G1846)/2</f>
        <v>70211.596921987497</v>
      </c>
      <c r="H1828" s="13">
        <f>ROUND(SUM(H1830:H1846),0)/2</f>
        <v>0</v>
      </c>
      <c r="I1828" s="10">
        <f>VLOOKUP(A1828,Presupuesto!$A:$F,6,0)</f>
        <v>0</v>
      </c>
      <c r="J1828" s="10">
        <f>+H1828-I1828</f>
        <v>0</v>
      </c>
      <c r="K1828" s="46">
        <f>+H1828-G1828*E1828</f>
        <v>0</v>
      </c>
    </row>
    <row r="1829" spans="1:11" ht="12.75" customHeight="1" thickTop="1">
      <c r="A1829" s="14"/>
      <c r="B1829" s="15" t="s">
        <v>2586</v>
      </c>
      <c r="C1829" s="15" t="s">
        <v>5</v>
      </c>
      <c r="D1829" s="16" t="s">
        <v>6</v>
      </c>
      <c r="E1829" s="17" t="s">
        <v>7</v>
      </c>
      <c r="F1829" s="18" t="s">
        <v>3728</v>
      </c>
      <c r="G1829" s="19" t="s">
        <v>3729</v>
      </c>
      <c r="H1829" s="20" t="s">
        <v>3797</v>
      </c>
    </row>
    <row r="1830" spans="1:11" ht="12.75" customHeight="1">
      <c r="A1830" s="21"/>
      <c r="B1830" s="22" t="s">
        <v>3730</v>
      </c>
      <c r="C1830" s="23"/>
      <c r="D1830" s="24"/>
      <c r="E1830" s="25"/>
      <c r="F1830" s="26"/>
      <c r="G1830" s="27">
        <f>SUM(G1831:G1835)</f>
        <v>53706.082500000004</v>
      </c>
      <c r="H1830" s="27">
        <f>IFERROR(G1830*E1828,"")</f>
        <v>0</v>
      </c>
    </row>
    <row r="1831" spans="1:11" ht="12.75" customHeight="1">
      <c r="A1831" s="28"/>
      <c r="B1831" s="29" t="s">
        <v>3550</v>
      </c>
      <c r="C1831" s="30" t="str">
        <f>IFERROR(_xlfn.XLOOKUP(B1831,Insumo[DESCRIPCION],Insumo[UND],,0),"")</f>
        <v>M2</v>
      </c>
      <c r="D1831" s="31">
        <v>1</v>
      </c>
      <c r="E1831" s="32">
        <f>IFERROR(_xlfn.XLOOKUP($B1831,Insumo[DESCRIPCION],Insumo[VALOR],,0),"")</f>
        <v>51148.65</v>
      </c>
      <c r="F1831" s="33">
        <v>5</v>
      </c>
      <c r="G1831" s="34">
        <f>IFERROR(IF(F1831&gt;=0,D1831*E1831*(1+F1831/100),ABS(D1831*E1831/F1831)),"")</f>
        <v>53706.082500000004</v>
      </c>
      <c r="H1831" s="139">
        <f>IFERROR(G1831*E1828,"")</f>
        <v>0</v>
      </c>
    </row>
    <row r="1832" spans="1:11" ht="12.75" customHeight="1">
      <c r="A1832" s="28"/>
      <c r="B1832" s="29"/>
      <c r="C1832" s="30" t="str">
        <f>IFERROR(_xlfn.XLOOKUP(B1832,Insumo[DESCRIPCION],Insumo[UND],,0),"")</f>
        <v/>
      </c>
      <c r="D1832" s="31"/>
      <c r="E1832" s="32" t="str">
        <f>IFERROR(_xlfn.XLOOKUP($B1832,Insumo[DESCRIPCION],Insumo[VALOR],,0),"")</f>
        <v/>
      </c>
      <c r="F1832" s="33"/>
      <c r="G1832" s="34" t="str">
        <f>IFERROR(IF(F1832&gt;=0,D1832*E1832*(1+F1832/100),ABS(D1832*E1832/F1832)),"")</f>
        <v/>
      </c>
      <c r="H1832" s="139" t="str">
        <f>IFERROR(G1832*E1828,"")</f>
        <v/>
      </c>
    </row>
    <row r="1833" spans="1:11" ht="12.75" customHeight="1">
      <c r="A1833" s="28"/>
      <c r="B1833" s="29"/>
      <c r="C1833" s="30" t="str">
        <f>IFERROR(_xlfn.XLOOKUP(B1833,Insumo[DESCRIPCION],Insumo[UND],,0),"")</f>
        <v/>
      </c>
      <c r="D1833" s="31"/>
      <c r="E1833" s="32" t="str">
        <f>IFERROR(_xlfn.XLOOKUP($B1833,Insumo[DESCRIPCION],Insumo[VALOR],,0),"")</f>
        <v/>
      </c>
      <c r="F1833" s="33"/>
      <c r="G1833" s="34" t="str">
        <f>IFERROR(IF(F1833&gt;=0,D1833*E1833*(1+F1833/100),ABS(D1833*E1833/F1833)),"")</f>
        <v/>
      </c>
      <c r="H1833" s="139" t="str">
        <f>IFERROR(G1833*E1828,"")</f>
        <v/>
      </c>
    </row>
    <row r="1834" spans="1:11" ht="12.75" customHeight="1">
      <c r="A1834" s="28"/>
      <c r="B1834" s="29"/>
      <c r="C1834" s="30" t="str">
        <f>IFERROR(_xlfn.XLOOKUP(B1834,Insumo[DESCRIPCION],Insumo[UND],,0),"")</f>
        <v/>
      </c>
      <c r="D1834" s="31"/>
      <c r="E1834" s="32" t="str">
        <f>IFERROR(_xlfn.XLOOKUP($B1834,Insumo[DESCRIPCION],Insumo[VALOR],,0),"")</f>
        <v/>
      </c>
      <c r="F1834" s="33"/>
      <c r="G1834" s="34" t="str">
        <f>IFERROR(IF(F1834&gt;=0,D1834*E1834*(1+F1834/100),ABS(D1834*E1834/F1834)),"")</f>
        <v/>
      </c>
      <c r="H1834" s="139" t="str">
        <f>IFERROR(G1834*E1828,"")</f>
        <v/>
      </c>
    </row>
    <row r="1835" spans="1:11" ht="12.75" customHeight="1">
      <c r="A1835" s="28"/>
      <c r="B1835" s="29"/>
      <c r="C1835" s="30" t="str">
        <f>IFERROR(_xlfn.XLOOKUP(B1835,Insumo[DESCRIPCION],Insumo[UND],,0),"")</f>
        <v/>
      </c>
      <c r="D1835" s="31"/>
      <c r="E1835" s="32" t="str">
        <f>IFERROR(_xlfn.XLOOKUP($B1835,Insumo[DESCRIPCION],Insumo[VALOR],,0),"")</f>
        <v/>
      </c>
      <c r="F1835" s="33"/>
      <c r="G1835" s="34" t="str">
        <f>IFERROR(IF(F1835&gt;=0,D1835*E1835*(1+F1835/100),ABS(D1835*E1835/F1835)),"")</f>
        <v/>
      </c>
      <c r="H1835" s="139" t="str">
        <f>IFERROR(G1835*E1828,"")</f>
        <v/>
      </c>
    </row>
    <row r="1836" spans="1:11" ht="12.75" customHeight="1">
      <c r="A1836" s="21"/>
      <c r="B1836" s="22" t="s">
        <v>3731</v>
      </c>
      <c r="C1836" s="23"/>
      <c r="D1836" s="24"/>
      <c r="E1836" s="25"/>
      <c r="F1836" s="26"/>
      <c r="G1836" s="27">
        <f>SUM(G1837:G1839)</f>
        <v>785.97687723750016</v>
      </c>
      <c r="H1836" s="27">
        <f>IFERROR(G1836*E1828,"")</f>
        <v>0</v>
      </c>
    </row>
    <row r="1837" spans="1:11" ht="12.75" customHeight="1">
      <c r="A1837" s="28"/>
      <c r="B1837" s="29" t="s">
        <v>3626</v>
      </c>
      <c r="C1837" s="30" t="str">
        <f>IFERROR(_xlfn.XLOOKUP(B1837,Equipo[DESCRIPCION],Equipo[UND],,0),"")</f>
        <v>%MO</v>
      </c>
      <c r="D1837" s="31">
        <v>0.05</v>
      </c>
      <c r="E1837" s="32">
        <f>IF(C1837="%MO",G1843,IFERROR(_xlfn.XLOOKUP($B1837,Equipo[DESCRIPCION],Equipo[VALOR],,0),""))</f>
        <v>15719.537544750003</v>
      </c>
      <c r="F1837" s="33"/>
      <c r="G1837" s="34">
        <f>IFERROR(IF(F1837&gt;=0,D1837*E1837*(1+F1837/100),ABS(D1837*E1837/F1837)),"")</f>
        <v>785.97687723750016</v>
      </c>
      <c r="H1837" s="139">
        <f>IFERROR(G1837*E1828,"")</f>
        <v>0</v>
      </c>
    </row>
    <row r="1838" spans="1:11" ht="12.75" customHeight="1">
      <c r="A1838" s="28"/>
      <c r="B1838" s="29"/>
      <c r="C1838" s="30" t="str">
        <f>IFERROR(_xlfn.XLOOKUP(B1838,Equipo[DESCRIPCION],Equipo[UND],,0),"")</f>
        <v/>
      </c>
      <c r="D1838" s="31"/>
      <c r="E1838" s="32" t="str">
        <f>IF(C1838="%MO",G1843,IFERROR(_xlfn.XLOOKUP($B1838,Equipo[DESCRIPCION],Equipo[VALOR],,0),""))</f>
        <v/>
      </c>
      <c r="F1838" s="33"/>
      <c r="G1838" s="34" t="str">
        <f>IFERROR(IF(F1838&gt;=0,D1838*E1838*(1+F1838/100),ABS(D1838*E1838/F1838)),"")</f>
        <v/>
      </c>
      <c r="H1838" s="139" t="str">
        <f>IFERROR(G1838*E1828,"")</f>
        <v/>
      </c>
    </row>
    <row r="1839" spans="1:11" ht="12.75" customHeight="1">
      <c r="A1839" s="28"/>
      <c r="B1839" s="29"/>
      <c r="C1839" s="30" t="str">
        <f>IFERROR(_xlfn.XLOOKUP(B1839,Equipo[DESCRIPCION],Equipo[UND],,0),"")</f>
        <v/>
      </c>
      <c r="D1839" s="31"/>
      <c r="E1839" s="32" t="str">
        <f>IF(C1839="%MO",G1843,IFERROR(_xlfn.XLOOKUP($B1839,Equipo[DESCRIPCION],Equipo[VALOR],,0),""))</f>
        <v/>
      </c>
      <c r="F1839" s="33"/>
      <c r="G1839" s="34" t="str">
        <f>IFERROR(IF(F1839&gt;=0,D1839*E1839*(1+F1839/100),ABS(D1839*E1839/F1839)),"")</f>
        <v/>
      </c>
      <c r="H1839" s="139" t="str">
        <f>IFERROR(G1839*E1828,"")</f>
        <v/>
      </c>
    </row>
    <row r="1840" spans="1:11" ht="12.75" customHeight="1">
      <c r="A1840" s="21"/>
      <c r="B1840" s="22" t="s">
        <v>2533</v>
      </c>
      <c r="C1840" s="23"/>
      <c r="D1840" s="24"/>
      <c r="E1840" s="25"/>
      <c r="F1840" s="26"/>
      <c r="G1840" s="27">
        <f>SUM(G1841:G1842)</f>
        <v>0</v>
      </c>
      <c r="H1840" s="27">
        <f>IFERROR(G1840*E1828,"")</f>
        <v>0</v>
      </c>
    </row>
    <row r="1841" spans="1:8" ht="12.75" customHeight="1">
      <c r="A1841" s="28"/>
      <c r="B1841" s="29"/>
      <c r="C1841" s="30" t="str">
        <f>IFERROR(_xlfn.XLOOKUP(B1841,Transporte[DESCRIPCION],Transporte[UND],,0),"")</f>
        <v/>
      </c>
      <c r="D1841" s="31"/>
      <c r="E1841" s="32" t="str">
        <f>IFERROR(_xlfn.XLOOKUP($B1841,Transporte[DESCRIPCION],Transporte[VALOR],,0),"")</f>
        <v/>
      </c>
      <c r="F1841" s="33"/>
      <c r="G1841" s="34" t="str">
        <f>IFERROR(IF(F1841&gt;=0,D1841*E1841*(1+F1841/100),ABS(D1841*E1841/F1841)),"")</f>
        <v/>
      </c>
      <c r="H1841" s="139" t="str">
        <f>IFERROR(G1841*E1828,"")</f>
        <v/>
      </c>
    </row>
    <row r="1842" spans="1:8" ht="12.75" customHeight="1">
      <c r="A1842" s="28"/>
      <c r="B1842" s="29"/>
      <c r="C1842" s="30" t="str">
        <f>IFERROR(_xlfn.XLOOKUP(B1842,Transporte[DESCRIPCION],Transporte[UND],,0),"")</f>
        <v/>
      </c>
      <c r="D1842" s="31"/>
      <c r="E1842" s="32" t="str">
        <f>IFERROR(_xlfn.XLOOKUP($B1842,Transporte[DESCRIPCION],Transporte[VALOR],,0),"")</f>
        <v/>
      </c>
      <c r="F1842" s="33"/>
      <c r="G1842" s="34" t="str">
        <f>IFERROR(IF(F1842&gt;=0,D1842*E1842*(1+F1842/100),ABS(D1842*E1842/F1842)),"")</f>
        <v/>
      </c>
      <c r="H1842" s="139" t="str">
        <f>IFERROR(G1842*E1828,"")</f>
        <v/>
      </c>
    </row>
    <row r="1843" spans="1:8" ht="12.75" customHeight="1">
      <c r="A1843" s="21"/>
      <c r="B1843" s="22" t="s">
        <v>3732</v>
      </c>
      <c r="C1843" s="23"/>
      <c r="D1843" s="24"/>
      <c r="E1843" s="25"/>
      <c r="F1843" s="26"/>
      <c r="G1843" s="27">
        <f>SUM(G1844:G1846)</f>
        <v>15719.537544750003</v>
      </c>
      <c r="H1843" s="27">
        <f>IFERROR(G1843*E1828,"")</f>
        <v>0</v>
      </c>
    </row>
    <row r="1844" spans="1:8" ht="12.75" customHeight="1">
      <c r="A1844" s="28"/>
      <c r="B1844" s="29" t="s">
        <v>3710</v>
      </c>
      <c r="C1844" s="30" t="str">
        <f>IFERROR(_xlfn.XLOOKUP(B1844,MObra[DESCRIPCION],MObra[UN],,0),"")</f>
        <v>día</v>
      </c>
      <c r="D1844" s="31">
        <v>1</v>
      </c>
      <c r="E1844" s="32">
        <f>IFERROR(_xlfn.XLOOKUP($B1844,MObra[DESCRIPCION],MObra[VALOR UNIT],,0),"")</f>
        <v>314390.75089500006</v>
      </c>
      <c r="F1844" s="33">
        <v>-20</v>
      </c>
      <c r="G1844" s="34">
        <f>IFERROR(IF(F1844&gt;=0,D1844*E1844*(1+F1844/100),ABS(D1844*E1844/F1844)),"")</f>
        <v>15719.537544750003</v>
      </c>
      <c r="H1844" s="139">
        <f>IFERROR(G1844*E1828,"")</f>
        <v>0</v>
      </c>
    </row>
    <row r="1845" spans="1:8" ht="12.75" customHeight="1">
      <c r="A1845" s="28"/>
      <c r="B1845" s="29"/>
      <c r="C1845" s="30" t="str">
        <f>IFERROR(_xlfn.XLOOKUP(B1845,MObra[DESCRIPCION],MObra[UN],,0),"")</f>
        <v/>
      </c>
      <c r="D1845" s="31"/>
      <c r="E1845" s="32" t="str">
        <f>IFERROR(_xlfn.XLOOKUP($B1845,MObra[DESCRIPCION],MObra[VALOR UNIT],,0),"")</f>
        <v/>
      </c>
      <c r="F1845" s="33"/>
      <c r="G1845" s="34" t="str">
        <f>IFERROR(IF(F1845&gt;=0,D1845*E1845*(1+F1845/100),ABS(D1845*E1845/F1845)),"")</f>
        <v/>
      </c>
      <c r="H1845" s="139" t="str">
        <f>IFERROR(G1845*E1828,"")</f>
        <v/>
      </c>
    </row>
    <row r="1846" spans="1:8" ht="12.75" customHeight="1" thickBot="1">
      <c r="A1846" s="35"/>
      <c r="B1846" s="36"/>
      <c r="C1846" s="37" t="str">
        <f>IFERROR(_xlfn.XLOOKUP(B1846,MObra[DESCRIPCION],MObra[UN],,0),"")</f>
        <v/>
      </c>
      <c r="D1846" s="38"/>
      <c r="E1846" s="39" t="str">
        <f>IFERROR(_xlfn.XLOOKUP($B1846,MObra[DESCRIPCION],MObra[VALOR UNIT],,0),"")</f>
        <v/>
      </c>
      <c r="F1846" s="40"/>
      <c r="G1846" s="41" t="str">
        <f>IFERROR(IF(F1846&gt;=0,D1846*E1846*(1+F1846/100),ABS(D1846*E1846/F1846)),"")</f>
        <v/>
      </c>
      <c r="H1846" s="42" t="str">
        <f>IFERROR(G1846*E1828,"")</f>
        <v/>
      </c>
    </row>
    <row r="1847" spans="1:8" ht="12.75" customHeight="1" thickTop="1"/>
  </sheetData>
  <mergeCells count="3">
    <mergeCell ref="B1:G1"/>
    <mergeCell ref="B2:G2"/>
    <mergeCell ref="B3:G3"/>
  </mergeCells>
  <dataValidations count="1">
    <dataValidation type="list" allowBlank="1" showInputMessage="1" showErrorMessage="1" sqref="B7:B11 B27:B31 B47:B51 B67:B71 B87:B91 B107:B111 B127:B131 B143 B147:B151 B167:B171 B187:B191 B207:B211 B227:B231 B243 B247:B251 B267:B271 B287:B291 B307:B311 B327:B331 B347:B351 B363 B367:B371 B387:B391 B407:B411 B587:B591 B447:B451 B463 B467:B471 B487:B491 B507:B511 B527:B531 B547:B551 B567:B571 B427:B431 B607:B611 B627:B631 B647:B651 B667:B671 B687:B691 B707:B711 B723 B727:B731 B767:B771 B787:B791 B803 B807:B811 B747:B751 B850:B854 B870:B874 B890:B896 B827:B834 B931 B935:B939 B955:B959 B975:B979 B995:B999 B1015:B1019 B1031 B1035:B1039 B1055:B1059 B1075:B1082 B1098:B1102 B1118:B1122 B1138:B1145 B1161:B1168 B1184:B1191 B1207:B1211 B1223 B1227:B1231 B1247:B1251 B1267:B1271 B1287:B1291 B1303 B912:B919 B1331:B1335 B1351:B1355 B1371:B1375 B1391:B1395 B1411:B1415 B1427 B1431:B1435 B1451:B1455 B1471:B1475 B1491:B1495 B1511:B1515 B1527 B1531:B1535 B1551:B1555 B1831:B1835 B1571:B1575 B1591:B1595 B1631:B1635 B1651:B1655 B1671:B1675 B1687 B1691:B1695 B1711:B1715 B1731:B1735 B1751:B1755 B1767 B1771:B1775 B1791:B1795 B1811:B1815 B1611:B1615 B1307:B1315" xr:uid="{00000000-0002-0000-1400-000000000000}">
      <formula1>Desinsum</formula1>
      <formula2>0</formula2>
    </dataValidation>
  </dataValidations>
  <printOptions horizontalCentered="1"/>
  <pageMargins left="0.59055118110236227" right="0.59055118110236227" top="0.59055118110236227" bottom="0.59055118110236227" header="0.51181102362204722" footer="0.51181102362204722"/>
  <pageSetup scale="65" orientation="portrait" horizontalDpi="300" verticalDpi="300" r:id="rId1"/>
  <rowBreaks count="22" manualBreakCount="22">
    <brk id="82" max="6" man="1"/>
    <brk id="162" max="6" man="1"/>
    <brk id="242" max="6" man="1"/>
    <brk id="322" max="6" man="1"/>
    <brk id="402" max="6" man="1"/>
    <brk id="482" max="6" man="1"/>
    <brk id="562" max="6" man="1"/>
    <brk id="642" max="6" man="1"/>
    <brk id="722" max="6" man="1"/>
    <brk id="802" max="6" man="1"/>
    <brk id="885" max="6" man="1"/>
    <brk id="1050" max="6" man="1"/>
    <brk id="1113" max="6" man="1"/>
    <brk id="1179" max="6" man="1"/>
    <brk id="1262" max="6" man="1"/>
    <brk id="1326" max="6" man="1"/>
    <brk id="1406" max="6" man="1"/>
    <brk id="1486" max="6" man="1"/>
    <brk id="1566" max="6" man="1"/>
    <brk id="1646" max="6" man="1"/>
    <brk id="1726" max="6" man="1"/>
    <brk id="1806" max="6" man="1"/>
  </rowBreaks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1400-000001000000}">
          <x14:formula1>
            <xm:f>'Mano de obra'!$B$31:$B$58</xm:f>
          </x14:formula1>
          <x14:formula2>
            <xm:f>0</xm:f>
          </x14:formula2>
          <xm:sqref>B20:B22 B40:B42 B60:B62 B80:B82 B100:B102 B120:B122 B140:B142 B160:B162 B180:B182 B200:B202 B220:B222 B240:B242 B260:B262 B280:B282 B300:B302 B320:B322 B340:B342 B360:B362 B380:B382 B400:B402 B420:B422 B440:B442 B460:B462 B480:B482 B500:B502 B520:B522 B540:B542 B560:B562 B580:B582 B600:B602 B620:B622 B640:B642 B660:B662 B680:B682 B700:B702 B720:B722 B740:B742 B780:B782 B800:B802 B820:B822 B843:B845 B863:B865 B883:B885 B905:B907 B928:B930 B948:B950 B968:B970 B988:B990 B1008:B1010 B1028:B1030 B1048:B1050 B1068:B1070 B1091:B1093 B1111:B1113 B1131:B1133 B1154:B1156 B1177:B1179 B1200:B1202 B1220:B1222 B1240:B1242 B1260:B1262 B1280:B1282 B1300:B1302 B760:B762 B1344:B1346 B1364:B1366 B1384:B1386 B1404:B1406 B1424:B1426 B1444:B1446 B1464:B1466 B1484:B1486 B1504:B1506 B1524:B1526 B1544:B1546 B1564:B1566 B1324:B1326 B1584:B1586 B1604:B1606 B1644:B1646 B1664:B1666 B1684:B1686 B1704:B1706 B1724:B1726 B1744:B1746 B1764:B1766 B1784:B1786 B1804:B1806 B1824:B1826 B1624:B1626 B1844:B1846</xm:sqref>
        </x14:dataValidation>
        <x14:dataValidation type="list" allowBlank="1" showInputMessage="1" showErrorMessage="1" xr:uid="{00000000-0002-0000-1400-000002000000}">
          <x14:formula1>
            <xm:f>Transporte!$A$4:$A$9</xm:f>
          </x14:formula1>
          <x14:formula2>
            <xm:f>0</xm:f>
          </x14:formula2>
          <xm:sqref>B17:B18 B37:B38 B57:B58 B77:B78 B97:B98 B117:B118 B137:B138 B157:B158 B177:B178 B197:B198 B217:B218 B237:B238 B257:B258 B277:B278 B297:B298 B317:B318 B337:B338 B357:B358 B377:B378 B397:B398 B417:B418 B437:B438 B457:B458 B477:B478 B497:B498 B517:B518 B537:B538 B557:B558 B577:B578 B597:B598 B617:B618 B637:B638 B657:B658 B677:B678 B697:B698 B717:B718 B737:B738 B777:B778 B797:B798 B817:B818 B840:B841 B860:B861 B880:B881 B902:B903 B925:B926 B945:B946 B965:B966 B985:B986 B1005:B1006 B1025:B1026 B1045:B1046 B1065:B1066 B1088:B1089 B1108:B1109 B1128:B1129 B1151:B1152 B1174:B1175 B1197:B1198 B1217:B1218 B1237:B1238 B1257:B1258 B1277:B1278 B1297:B1298 B757:B758 B1341:B1342 B1361:B1362 B1381:B1382 B1401:B1402 B1421:B1422 B1441:B1442 B1461:B1462 B1481:B1482 B1501:B1502 B1521:B1522 B1541:B1542 B1561:B1562 B1321:B1322 B1581:B1582 B1601:B1602 B1641:B1642 B1661:B1662 B1681:B1682 B1701:B1702 B1721:B1722 B1741:B1742 B1761:B1762 B1781:B1782 B1801:B1802 B1821:B1822 B1621:B1622 B1841:B1842</xm:sqref>
        </x14:dataValidation>
        <x14:dataValidation type="list" allowBlank="1" showInputMessage="1" showErrorMessage="1" xr:uid="{00000000-0002-0000-1400-000003000000}">
          <x14:formula1>
            <xm:f>Equipo!$A$4:$A$90</xm:f>
          </x14:formula1>
          <x14:formula2>
            <xm:f>0</xm:f>
          </x14:formula2>
          <xm:sqref>B13:B15 B593:B595 B573:B575 B553:B555 B533:B535 B513:B515 B493:B495 B473:B475 B453:B455 B433:B435 B413:B415 B393:B395 B373:B375 B353:B355 B333:B335 B313:B315 B293:B295 B273:B275 B253:B255 B233:B235 B213:B215 B193:B195 B173:B175 B153:B155 B133:B135 B113:B115 B93:B95 B73:B75 B53:B55 B33:B35 B613:B615 B1837:B1839 B1617:B1619 B1817:B1819 B1797:B1799 B1777:B1779 B1757:B1759 B1737:B1739 B1717:B1719 B1697:B1699 B1677:B1679 B1657:B1659 B1637:B1639 B1597:B1599 B1577:B1579 B1317:B1319 B1557:B1559 B1537:B1539 B1517:B1519 B1497:B1499 B1477:B1479 B1457:B1459 B1437:B1439 B1417:B1419 B1397:B1399 B1377:B1379 B1357:B1359 B1337:B1339 B753:B755 B1293:B1295 B1273:B1275 B1253:B1255 B1233:B1235 B1213:B1215 B1193:B1195 B1170:B1172 B1147:B1149 B1124:B1126 B1104:B1106 B1084:B1086 B1061:B1063 B1041:B1043 B1021:B1023 B1001:B1003 B981:B983 B961:B963 B941:B943 B921:B923 B898:B900 B876:B878 B856:B858 B836:B838 B813:B815 B793:B795 B773:B775 B733:B735 B713:B715 B693:B695 B673:B675 B653:B655 B633:B635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rgb="FF92D050"/>
  </sheetPr>
  <dimension ref="A1:K1751"/>
  <sheetViews>
    <sheetView view="pageBreakPreview" topLeftCell="A1707" zoomScale="80" zoomScaleNormal="100" zoomScaleSheetLayoutView="80" zoomScalePageLayoutView="80" workbookViewId="0">
      <selection activeCell="F1742" sqref="F1742"/>
    </sheetView>
  </sheetViews>
  <sheetFormatPr baseColWidth="10" defaultColWidth="10.73046875" defaultRowHeight="12.75" customHeight="1"/>
  <cols>
    <col min="1" max="1" width="8.73046875" style="48" customWidth="1"/>
    <col min="2" max="2" width="65.73046875" style="3" customWidth="1"/>
    <col min="3" max="3" width="10.73046875" style="3" customWidth="1"/>
    <col min="4" max="4" width="11.73046875" style="3" customWidth="1"/>
    <col min="5" max="5" width="14.3984375" style="49" bestFit="1" customWidth="1"/>
    <col min="6" max="6" width="12.73046875" style="3" customWidth="1"/>
    <col min="7" max="8" width="14.73046875" style="3" customWidth="1"/>
    <col min="9" max="9" width="14.73046875" style="136" customWidth="1"/>
    <col min="10" max="10" width="14.73046875" style="3" customWidth="1"/>
    <col min="11" max="11" width="10.73046875" style="3" customWidth="1"/>
    <col min="12" max="16384" width="10.73046875" style="3"/>
  </cols>
  <sheetData>
    <row r="1" spans="1:11">
      <c r="A1" s="1"/>
      <c r="B1" s="316" t="str">
        <f>Presupuesto!A1</f>
        <v>ALCALDIA DE PEREIRA</v>
      </c>
      <c r="C1" s="316"/>
      <c r="D1" s="316"/>
      <c r="E1" s="316"/>
      <c r="F1" s="316"/>
      <c r="G1" s="316"/>
      <c r="H1" s="2"/>
    </row>
    <row r="2" spans="1:11">
      <c r="A2" s="1"/>
      <c r="B2" s="316" t="str">
        <f>Presupuesto!A2</f>
        <v>VERSION O BASE DE DATOS ALCALDIA DE PEREIRA 2026</v>
      </c>
      <c r="C2" s="316"/>
      <c r="D2" s="316"/>
      <c r="E2" s="316"/>
      <c r="F2" s="316"/>
      <c r="G2" s="316"/>
      <c r="H2" s="2"/>
    </row>
    <row r="3" spans="1:11" ht="12.75" customHeight="1" thickBot="1">
      <c r="A3" s="4"/>
      <c r="B3" s="323" t="s">
        <v>3796</v>
      </c>
      <c r="C3" s="323"/>
      <c r="D3" s="323"/>
      <c r="E3" s="323"/>
      <c r="F3" s="323"/>
      <c r="G3" s="323"/>
      <c r="H3" s="5"/>
    </row>
    <row r="4" spans="1:11" ht="12.75" customHeight="1" thickTop="1" thickBot="1">
      <c r="A4" s="6" t="s">
        <v>1554</v>
      </c>
      <c r="B4" s="7" t="str">
        <f>VLOOKUP($A4,Presupuesto!$A:$D,2,FALSE())</f>
        <v>Barra de seguridad 18" para discapacitado</v>
      </c>
      <c r="C4" s="8" t="str">
        <f>VLOOKUP($A4,Presupuesto!$A:$D,3,FALSE())</f>
        <v>Un</v>
      </c>
      <c r="D4" s="9"/>
      <c r="E4" s="10">
        <f>VLOOKUP($A4,Presupuesto!$A:$D,4,FALSE())</f>
        <v>0</v>
      </c>
      <c r="F4" s="11" t="s">
        <v>2589</v>
      </c>
      <c r="G4" s="12">
        <f>SUM(G6:G22)/2</f>
        <v>135571.60155393751</v>
      </c>
      <c r="H4" s="13">
        <f>ROUND(SUM(H6:H22),0)/2</f>
        <v>0</v>
      </c>
      <c r="I4" s="10">
        <f>VLOOKUP(A4,Presupuesto!$A:$F,6,0)</f>
        <v>0</v>
      </c>
      <c r="J4" s="10">
        <f>+H4-I4</f>
        <v>0</v>
      </c>
      <c r="K4" s="46">
        <f>+H4-G4*E4</f>
        <v>0</v>
      </c>
    </row>
    <row r="5" spans="1:11" ht="12.75" customHeight="1" thickTop="1">
      <c r="A5" s="14"/>
      <c r="B5" s="15" t="s">
        <v>2586</v>
      </c>
      <c r="C5" s="15" t="s">
        <v>5</v>
      </c>
      <c r="D5" s="16" t="s">
        <v>6</v>
      </c>
      <c r="E5" s="17" t="s">
        <v>7</v>
      </c>
      <c r="F5" s="18" t="s">
        <v>3728</v>
      </c>
      <c r="G5" s="19" t="s">
        <v>3729</v>
      </c>
      <c r="H5" s="20" t="s">
        <v>3797</v>
      </c>
      <c r="I5" s="3"/>
    </row>
    <row r="6" spans="1:11" ht="12.75" customHeight="1">
      <c r="A6" s="21"/>
      <c r="B6" s="22" t="s">
        <v>3730</v>
      </c>
      <c r="C6" s="23"/>
      <c r="D6" s="24"/>
      <c r="E6" s="25"/>
      <c r="F6" s="26"/>
      <c r="G6" s="27">
        <f>SUM(G7:G11)</f>
        <v>118251</v>
      </c>
      <c r="H6" s="27">
        <f>IFERROR(G6*E4,"")</f>
        <v>0</v>
      </c>
      <c r="I6" s="3"/>
    </row>
    <row r="7" spans="1:11" ht="12.75" customHeight="1">
      <c r="A7" s="28"/>
      <c r="B7" s="29" t="s">
        <v>2745</v>
      </c>
      <c r="C7" s="30" t="str">
        <f>IFERROR(_xlfn.XLOOKUP(B7,Insumo[DESCRIPCION],Insumo[UND],,0),"")</f>
        <v>Un</v>
      </c>
      <c r="D7" s="31">
        <v>1</v>
      </c>
      <c r="E7" s="32">
        <f>IFERROR(_xlfn.XLOOKUP($B7,Insumo[DESCRIPCION],Insumo[VALOR],,0),"")</f>
        <v>118095.6</v>
      </c>
      <c r="F7" s="33"/>
      <c r="G7" s="34">
        <f>IFERROR(IF(F7&gt;=0,D7*E7*(1+F7/100),ABS(D7*E7/F7)),"")</f>
        <v>118095.6</v>
      </c>
      <c r="H7" s="43">
        <f>IFERROR(G7*E4,"")</f>
        <v>0</v>
      </c>
      <c r="I7" s="3"/>
    </row>
    <row r="8" spans="1:11" ht="12.75" customHeight="1">
      <c r="A8" s="28"/>
      <c r="B8" s="29" t="s">
        <v>3407</v>
      </c>
      <c r="C8" s="30" t="str">
        <f>IFERROR(_xlfn.XLOOKUP(B8,Insumo[DESCRIPCION],Insumo[UND],,0),"")</f>
        <v>Un</v>
      </c>
      <c r="D8" s="31">
        <v>2</v>
      </c>
      <c r="E8" s="32">
        <f>IFERROR(_xlfn.XLOOKUP($B8,Insumo[DESCRIPCION],Insumo[VALOR],,0),"")</f>
        <v>77.7</v>
      </c>
      <c r="F8" s="33"/>
      <c r="G8" s="34">
        <f>IFERROR(IF(F8&gt;=0,D8*E8*(1+F8/100),ABS(D8*E8/F8)),"")</f>
        <v>155.4</v>
      </c>
      <c r="H8" s="43">
        <f>IFERROR(G8*E4,"")</f>
        <v>0</v>
      </c>
      <c r="I8" s="3"/>
    </row>
    <row r="9" spans="1:11" ht="12.75" customHeight="1">
      <c r="A9" s="28"/>
      <c r="B9" s="29"/>
      <c r="C9" s="30" t="str">
        <f>IFERROR(_xlfn.XLOOKUP(B9,Insumo[DESCRIPCION],Insumo[UND],,0),"")</f>
        <v/>
      </c>
      <c r="D9" s="31"/>
      <c r="E9" s="32" t="str">
        <f>IFERROR(_xlfn.XLOOKUP($B9,Insumo[DESCRIPCION],Insumo[VALOR],,0),"")</f>
        <v/>
      </c>
      <c r="F9" s="33"/>
      <c r="G9" s="34" t="str">
        <f>IFERROR(IF(F9&gt;=0,D9*E9*(1+F9/100),ABS(D9*E9/F9)),"")</f>
        <v/>
      </c>
      <c r="H9" s="43" t="str">
        <f>IFERROR(G9*E4,"")</f>
        <v/>
      </c>
      <c r="I9" s="3"/>
    </row>
    <row r="10" spans="1:11" ht="12.75" customHeight="1">
      <c r="A10" s="28"/>
      <c r="B10" s="29"/>
      <c r="C10" s="30" t="str">
        <f>IFERROR(_xlfn.XLOOKUP(B10,Insumo[DESCRIPCION],Insumo[UND],,0),"")</f>
        <v/>
      </c>
      <c r="D10" s="31"/>
      <c r="E10" s="32" t="str">
        <f>IFERROR(_xlfn.XLOOKUP($B10,Insumo[DESCRIPCION],Insumo[VALOR],,0),"")</f>
        <v/>
      </c>
      <c r="F10" s="33"/>
      <c r="G10" s="34" t="str">
        <f>IFERROR(IF(F10&gt;=0,D10*E10*(1+F10/100),ABS(D10*E10/F10)),"")</f>
        <v/>
      </c>
      <c r="H10" s="43" t="str">
        <f>IFERROR(G10*E4,"")</f>
        <v/>
      </c>
      <c r="I10" s="3"/>
    </row>
    <row r="11" spans="1:11" ht="12.75" customHeight="1">
      <c r="A11" s="28"/>
      <c r="B11" s="29"/>
      <c r="C11" s="30" t="str">
        <f>IFERROR(_xlfn.XLOOKUP(B11,Insumo[DESCRIPCION],Insumo[UND],,0),"")</f>
        <v/>
      </c>
      <c r="D11" s="31"/>
      <c r="E11" s="32" t="str">
        <f>IFERROR(_xlfn.XLOOKUP($B11,Insumo[DESCRIPCION],Insumo[VALOR],,0),"")</f>
        <v/>
      </c>
      <c r="F11" s="33"/>
      <c r="G11" s="34" t="str">
        <f>IFERROR(IF(F11&gt;=0,D11*E11*(1+F11/100),ABS(D11*E11/F11)),"")</f>
        <v/>
      </c>
      <c r="H11" s="43" t="str">
        <f>IFERROR(G11*E4,"")</f>
        <v/>
      </c>
      <c r="I11" s="3"/>
    </row>
    <row r="12" spans="1:11" ht="12.75" customHeight="1">
      <c r="A12" s="21"/>
      <c r="B12" s="22" t="s">
        <v>3731</v>
      </c>
      <c r="C12" s="23"/>
      <c r="D12" s="24"/>
      <c r="E12" s="25"/>
      <c r="F12" s="26"/>
      <c r="G12" s="27">
        <f>SUM(G13:G15)</f>
        <v>824.79055018750023</v>
      </c>
      <c r="H12" s="27">
        <f>IFERROR(G12*E4,"")</f>
        <v>0</v>
      </c>
      <c r="I12" s="3"/>
    </row>
    <row r="13" spans="1:11" ht="12.75" customHeight="1">
      <c r="A13" s="28"/>
      <c r="B13" s="29" t="s">
        <v>3626</v>
      </c>
      <c r="C13" s="30" t="str">
        <f>IFERROR(_xlfn.XLOOKUP(B13,Equipo[DESCRIPCION],Equipo[UND],,0),"")</f>
        <v>%MO</v>
      </c>
      <c r="D13" s="31">
        <v>0.05</v>
      </c>
      <c r="E13" s="32">
        <f>IF(C13="%MO",G19,IFERROR(_xlfn.XLOOKUP($B13,Equipo[DESCRIPCION],Equipo[VALOR],,0),""))</f>
        <v>16495.811003750005</v>
      </c>
      <c r="F13" s="33"/>
      <c r="G13" s="34">
        <f>IFERROR(IF(F13&gt;=0,D13*E13*(1+F13/100),ABS(D13*E13/F13)),"")</f>
        <v>824.79055018750023</v>
      </c>
      <c r="H13" s="43">
        <f>IFERROR(G13*E4,"")</f>
        <v>0</v>
      </c>
      <c r="I13" s="3"/>
    </row>
    <row r="14" spans="1:11" ht="12.75" customHeight="1">
      <c r="A14" s="28"/>
      <c r="B14" s="29"/>
      <c r="C14" s="30" t="str">
        <f>IFERROR(_xlfn.XLOOKUP(B14,Equipo[DESCRIPCION],Equipo[UND],,0),"")</f>
        <v/>
      </c>
      <c r="D14" s="31"/>
      <c r="E14" s="32" t="str">
        <f>IF(C14="%MO",G19,IFERROR(_xlfn.XLOOKUP($B14,Equipo[DESCRIPCION],Equipo[VALOR],,0),""))</f>
        <v/>
      </c>
      <c r="F14" s="33"/>
      <c r="G14" s="34" t="str">
        <f>IFERROR(IF(F14&gt;=0,D14*E14*(1+F14/100),ABS(D14*E14/F14)),"")</f>
        <v/>
      </c>
      <c r="H14" s="43" t="str">
        <f>IFERROR(G14*E4,"")</f>
        <v/>
      </c>
      <c r="I14" s="3"/>
    </row>
    <row r="15" spans="1:11" ht="12.75" customHeight="1">
      <c r="A15" s="28"/>
      <c r="B15" s="29"/>
      <c r="C15" s="30" t="str">
        <f>IFERROR(_xlfn.XLOOKUP(B15,Equipo[DESCRIPCION],Equipo[UND],,0),"")</f>
        <v/>
      </c>
      <c r="D15" s="31"/>
      <c r="E15" s="32" t="str">
        <f>IF(C15="%MO",G19,IFERROR(_xlfn.XLOOKUP($B15,Equipo[DESCRIPCION],Equipo[VALOR],,0),""))</f>
        <v/>
      </c>
      <c r="F15" s="33"/>
      <c r="G15" s="34" t="str">
        <f>IFERROR(IF(F15&gt;=0,D15*E15*(1+F15/100),ABS(D15*E15/F15)),"")</f>
        <v/>
      </c>
      <c r="H15" s="43" t="str">
        <f>IFERROR(G15*E4,"")</f>
        <v/>
      </c>
      <c r="I15" s="3"/>
    </row>
    <row r="16" spans="1:11" ht="12.75" customHeight="1">
      <c r="A16" s="21"/>
      <c r="B16" s="22" t="s">
        <v>2533</v>
      </c>
      <c r="C16" s="23"/>
      <c r="D16" s="24"/>
      <c r="E16" s="25"/>
      <c r="F16" s="26"/>
      <c r="G16" s="27">
        <f>SUM(G17:G18)</f>
        <v>0</v>
      </c>
      <c r="H16" s="27">
        <f>IFERROR(G16*E4,"")</f>
        <v>0</v>
      </c>
      <c r="I16" s="3"/>
    </row>
    <row r="17" spans="1:11" ht="12.75" customHeight="1">
      <c r="A17" s="28"/>
      <c r="B17" s="29"/>
      <c r="C17" s="30" t="str">
        <f>IFERROR(_xlfn.XLOOKUP(B17,Transporte[DESCRIPCION],Transporte[UND],,0),"")</f>
        <v/>
      </c>
      <c r="D17" s="31"/>
      <c r="E17" s="32" t="str">
        <f>IFERROR(_xlfn.XLOOKUP($B17,Transporte[DESCRIPCION],Transporte[VALOR],,0),"")</f>
        <v/>
      </c>
      <c r="F17" s="33"/>
      <c r="G17" s="34" t="str">
        <f>IFERROR(IF(F17&gt;=0,D17*E17*(1+F17/100),ABS(D17*E17/F17)),"")</f>
        <v/>
      </c>
      <c r="H17" s="43" t="str">
        <f>IFERROR(G17*E4,"")</f>
        <v/>
      </c>
      <c r="I17" s="3"/>
    </row>
    <row r="18" spans="1:11" ht="12.75" customHeight="1">
      <c r="A18" s="28"/>
      <c r="B18" s="29"/>
      <c r="C18" s="30" t="str">
        <f>IFERROR(_xlfn.XLOOKUP(B18,Transporte[DESCRIPCION],Transporte[UND],,0),"")</f>
        <v/>
      </c>
      <c r="D18" s="31"/>
      <c r="E18" s="32" t="str">
        <f>IFERROR(_xlfn.XLOOKUP($B18,Transporte[DESCRIPCION],Transporte[VALOR],,0),"")</f>
        <v/>
      </c>
      <c r="F18" s="33"/>
      <c r="G18" s="34" t="str">
        <f>IFERROR(IF(F18&gt;=0,D18*E18*(1+F18/100),ABS(D18*E18/F18)),"")</f>
        <v/>
      </c>
      <c r="H18" s="43" t="str">
        <f>IFERROR(G18*E4,"")</f>
        <v/>
      </c>
      <c r="I18" s="3"/>
    </row>
    <row r="19" spans="1:11" ht="12.75" customHeight="1">
      <c r="A19" s="21"/>
      <c r="B19" s="22" t="s">
        <v>3732</v>
      </c>
      <c r="C19" s="23"/>
      <c r="D19" s="24"/>
      <c r="E19" s="25"/>
      <c r="F19" s="26"/>
      <c r="G19" s="27">
        <f>SUM(G20:G22)</f>
        <v>16495.811003750005</v>
      </c>
      <c r="H19" s="27">
        <f>IFERROR(G19*E4,"")</f>
        <v>0</v>
      </c>
      <c r="I19" s="3"/>
    </row>
    <row r="20" spans="1:11" ht="12.75" customHeight="1">
      <c r="A20" s="28"/>
      <c r="B20" s="29" t="s">
        <v>3705</v>
      </c>
      <c r="C20" s="30" t="str">
        <f>IFERROR(_xlfn.XLOOKUP(B20,MObra[DESCRIPCION],MObra[UN],,0),"")</f>
        <v>día</v>
      </c>
      <c r="D20" s="31">
        <v>1</v>
      </c>
      <c r="E20" s="32">
        <f>IFERROR(_xlfn.XLOOKUP($B20,MObra[DESCRIPCION],MObra[VALOR UNIT],,0),"")</f>
        <v>197949.73204500004</v>
      </c>
      <c r="F20" s="33">
        <v>-12</v>
      </c>
      <c r="G20" s="34">
        <f>IFERROR(IF(F20&gt;=0,D20*E20*(1+F20/100),ABS(D20*E20/F20)),"")</f>
        <v>16495.811003750005</v>
      </c>
      <c r="H20" s="43">
        <f>IFERROR(G20*E4,"")</f>
        <v>0</v>
      </c>
      <c r="I20" s="3"/>
    </row>
    <row r="21" spans="1:11" ht="12.75" customHeight="1">
      <c r="A21" s="28"/>
      <c r="B21" s="29"/>
      <c r="C21" s="30" t="str">
        <f>IFERROR(_xlfn.XLOOKUP(B21,MObra[DESCRIPCION],MObra[UN],,0),"")</f>
        <v/>
      </c>
      <c r="D21" s="31"/>
      <c r="E21" s="32" t="str">
        <f>IFERROR(_xlfn.XLOOKUP($B21,MObra[DESCRIPCION],MObra[VALOR UNIT],,0),"")</f>
        <v/>
      </c>
      <c r="F21" s="33"/>
      <c r="G21" s="34" t="str">
        <f>IFERROR(IF(F21&gt;=0,D21*E21*(1+F21/100),ABS(D21*E21/F21)),"")</f>
        <v/>
      </c>
      <c r="H21" s="43" t="str">
        <f>IFERROR(G21*E4,"")</f>
        <v/>
      </c>
      <c r="I21" s="3"/>
    </row>
    <row r="22" spans="1:11" ht="12.75" customHeight="1" thickBot="1">
      <c r="A22" s="35"/>
      <c r="B22" s="36"/>
      <c r="C22" s="37" t="str">
        <f>IFERROR(_xlfn.XLOOKUP(B22,MObra[DESCRIPCION],MObra[UN],,0),"")</f>
        <v/>
      </c>
      <c r="D22" s="38"/>
      <c r="E22" s="39" t="str">
        <f>IFERROR(_xlfn.XLOOKUP($B22,MObra[DESCRIPCION],MObra[VALOR UNIT],,0),"")</f>
        <v/>
      </c>
      <c r="F22" s="40"/>
      <c r="G22" s="41" t="str">
        <f>IFERROR(IF(F22&gt;=0,D22*E22*(1+F22/100),ABS(D22*E22/F22)),"")</f>
        <v/>
      </c>
      <c r="H22" s="42" t="str">
        <f>IFERROR(G22*E4,"")</f>
        <v/>
      </c>
      <c r="I22" s="3"/>
    </row>
    <row r="23" spans="1:11" ht="12.75" customHeight="1" thickTop="1" thickBot="1">
      <c r="I23" s="3"/>
    </row>
    <row r="24" spans="1:11" ht="12.75" customHeight="1" thickTop="1" thickBot="1">
      <c r="A24" s="6" t="s">
        <v>1556</v>
      </c>
      <c r="B24" s="7" t="str">
        <f>VLOOKUP($A24,Presupuesto!$A:$D,2,FALSE())</f>
        <v>Celosía lámina C 20 tipo Bv</v>
      </c>
      <c r="C24" s="8" t="str">
        <f>VLOOKUP($A24,Presupuesto!$A:$D,3,FALSE())</f>
        <v>M2</v>
      </c>
      <c r="D24" s="9"/>
      <c r="E24" s="10">
        <f>VLOOKUP($A24,Presupuesto!$A:$D,4,FALSE())</f>
        <v>0</v>
      </c>
      <c r="F24" s="11" t="s">
        <v>2589</v>
      </c>
      <c r="G24" s="12">
        <f>SUM(G26:G42)/2</f>
        <v>909380.2136265001</v>
      </c>
      <c r="H24" s="13">
        <f>ROUND(SUM(H26:H42),0)/2</f>
        <v>0</v>
      </c>
      <c r="I24" s="10">
        <f>VLOOKUP(A24,Presupuesto!$A:$F,6,0)</f>
        <v>0</v>
      </c>
      <c r="J24" s="10">
        <f>+H24-I24</f>
        <v>0</v>
      </c>
      <c r="K24" s="46">
        <f>+H24-G24*E24</f>
        <v>0</v>
      </c>
    </row>
    <row r="25" spans="1:11" ht="12.75" customHeight="1" thickTop="1">
      <c r="A25" s="14"/>
      <c r="B25" s="15" t="s">
        <v>2586</v>
      </c>
      <c r="C25" s="15" t="s">
        <v>5</v>
      </c>
      <c r="D25" s="16" t="s">
        <v>6</v>
      </c>
      <c r="E25" s="17" t="s">
        <v>7</v>
      </c>
      <c r="F25" s="18" t="s">
        <v>3728</v>
      </c>
      <c r="G25" s="19" t="s">
        <v>3729</v>
      </c>
      <c r="H25" s="20" t="s">
        <v>3797</v>
      </c>
      <c r="I25" s="3"/>
    </row>
    <row r="26" spans="1:11" ht="12.75" customHeight="1">
      <c r="A26" s="21"/>
      <c r="B26" s="22" t="s">
        <v>3730</v>
      </c>
      <c r="C26" s="23"/>
      <c r="D26" s="24"/>
      <c r="E26" s="25"/>
      <c r="F26" s="26"/>
      <c r="G26" s="27">
        <f>SUM(G27:G31)</f>
        <v>665240.16300000018</v>
      </c>
      <c r="H26" s="27">
        <f>IFERROR(G26*E24,"")</f>
        <v>0</v>
      </c>
      <c r="I26" s="3"/>
    </row>
    <row r="27" spans="1:11" ht="12.75" customHeight="1">
      <c r="A27" s="28"/>
      <c r="B27" s="29" t="s">
        <v>3024</v>
      </c>
      <c r="C27" s="30" t="str">
        <f>IFERROR(_xlfn.XLOOKUP(B27,Insumo[DESCRIPCION],Insumo[UND],,0),"")</f>
        <v>M2</v>
      </c>
      <c r="D27" s="31">
        <v>4.28</v>
      </c>
      <c r="E27" s="32">
        <f>IFERROR(_xlfn.XLOOKUP($B27,Insumo[DESCRIPCION],Insumo[VALOR],,0),"")</f>
        <v>139918.80000000002</v>
      </c>
      <c r="F27" s="33"/>
      <c r="G27" s="34">
        <f>IFERROR(IF(F27&gt;=0,D27*E27*(1+F27/100),ABS(D27*E27/F27)),"")</f>
        <v>598852.46400000015</v>
      </c>
      <c r="H27" s="43">
        <f>IFERROR(G27*E24,"")</f>
        <v>0</v>
      </c>
      <c r="I27" s="3"/>
    </row>
    <row r="28" spans="1:11" ht="12.75" customHeight="1">
      <c r="A28" s="28"/>
      <c r="B28" s="29" t="s">
        <v>3326</v>
      </c>
      <c r="C28" s="30" t="str">
        <f>IFERROR(_xlfn.XLOOKUP(B28,Insumo[DESCRIPCION],Insumo[UND],,0),"")</f>
        <v>Kg</v>
      </c>
      <c r="D28" s="31">
        <v>0.03</v>
      </c>
      <c r="E28" s="32">
        <f>IFERROR(_xlfn.XLOOKUP($B28,Insumo[DESCRIPCION],Insumo[VALOR],,0),"")</f>
        <v>5978.7</v>
      </c>
      <c r="F28" s="33"/>
      <c r="G28" s="34">
        <f>IFERROR(IF(F28&gt;=0,D28*E28*(1+F28/100),ABS(D28*E28/F28)),"")</f>
        <v>179.36099999999999</v>
      </c>
      <c r="H28" s="43">
        <f>IFERROR(G28*E24,"")</f>
        <v>0</v>
      </c>
      <c r="I28" s="3"/>
    </row>
    <row r="29" spans="1:11" ht="12.75" customHeight="1">
      <c r="A29" s="28"/>
      <c r="B29" s="29" t="s">
        <v>3204</v>
      </c>
      <c r="C29" s="30" t="str">
        <f>IFERROR(_xlfn.XLOOKUP(B29,Insumo[DESCRIPCION],Insumo[UND],,0),"")</f>
        <v>galón</v>
      </c>
      <c r="D29" s="31">
        <f>0.12*4</f>
        <v>0.48</v>
      </c>
      <c r="E29" s="32">
        <f>IFERROR(_xlfn.XLOOKUP($B29,Insumo[DESCRIPCION],Insumo[VALOR],,0),"")</f>
        <v>107805.6</v>
      </c>
      <c r="F29" s="33"/>
      <c r="G29" s="34">
        <f>IFERROR(IF(F29&gt;=0,D29*E29*(1+F29/100),ABS(D29*E29/F29)),"")</f>
        <v>51746.688000000002</v>
      </c>
      <c r="H29" s="43">
        <f>IFERROR(G29*E24,"")</f>
        <v>0</v>
      </c>
      <c r="I29" s="3"/>
    </row>
    <row r="30" spans="1:11" ht="12.75" customHeight="1">
      <c r="A30" s="28"/>
      <c r="B30" s="29" t="s">
        <v>2925</v>
      </c>
      <c r="C30" s="30" t="str">
        <f>IFERROR(_xlfn.XLOOKUP(B30,Insumo[DESCRIPCION],Insumo[UND],,0),"")</f>
        <v>Lt</v>
      </c>
      <c r="D30" s="31">
        <v>0.5</v>
      </c>
      <c r="E30" s="32">
        <f>IFERROR(_xlfn.XLOOKUP($B30,Insumo[DESCRIPCION],Insumo[VALOR],,0),"")</f>
        <v>28923.300000000003</v>
      </c>
      <c r="F30" s="33"/>
      <c r="G30" s="34">
        <f>IFERROR(IF(F30&gt;=0,D30*E30*(1+F30/100),ABS(D30*E30/F30)),"")</f>
        <v>14461.650000000001</v>
      </c>
      <c r="H30" s="43">
        <f>IFERROR(G30*E24,"")</f>
        <v>0</v>
      </c>
      <c r="I30" s="3"/>
    </row>
    <row r="31" spans="1:11" ht="12.75" customHeight="1">
      <c r="A31" s="28"/>
      <c r="B31" s="29"/>
      <c r="C31" s="30" t="str">
        <f>IFERROR(_xlfn.XLOOKUP(B31,Insumo[DESCRIPCION],Insumo[UND],,0),"")</f>
        <v/>
      </c>
      <c r="D31" s="31"/>
      <c r="E31" s="32" t="str">
        <f>IFERROR(_xlfn.XLOOKUP($B31,Insumo[DESCRIPCION],Insumo[VALOR],,0),"")</f>
        <v/>
      </c>
      <c r="F31" s="33"/>
      <c r="G31" s="34" t="str">
        <f>IFERROR(IF(F31&gt;=0,D31*E31*(1+F31/100),ABS(D31*E31/F31)),"")</f>
        <v/>
      </c>
      <c r="H31" s="43" t="str">
        <f>IFERROR(G31*E24,"")</f>
        <v/>
      </c>
      <c r="I31" s="3"/>
    </row>
    <row r="32" spans="1:11" ht="12.75" customHeight="1">
      <c r="A32" s="21"/>
      <c r="B32" s="22" t="s">
        <v>3731</v>
      </c>
      <c r="C32" s="23"/>
      <c r="D32" s="24"/>
      <c r="E32" s="25"/>
      <c r="F32" s="26"/>
      <c r="G32" s="27">
        <f>SUM(G33:G35)</f>
        <v>34546.216696500007</v>
      </c>
      <c r="H32" s="27">
        <f>IFERROR(G32*E24,"")</f>
        <v>0</v>
      </c>
      <c r="I32" s="3"/>
    </row>
    <row r="33" spans="1:11" ht="12.75" customHeight="1">
      <c r="A33" s="28"/>
      <c r="B33" s="29" t="s">
        <v>3613</v>
      </c>
      <c r="C33" s="30" t="str">
        <f>IFERROR(_xlfn.XLOOKUP(B33,Equipo[DESCRIPCION],Equipo[UND],,0),"")</f>
        <v>Día</v>
      </c>
      <c r="D33" s="31">
        <v>1</v>
      </c>
      <c r="E33" s="32">
        <f>IF(C33="%MO",G39,IFERROR(_xlfn.XLOOKUP($B33,Equipo[DESCRIPCION],Equipo[VALOR],,0),""))</f>
        <v>48133.05</v>
      </c>
      <c r="F33" s="33">
        <v>-2</v>
      </c>
      <c r="G33" s="34">
        <f>IFERROR(IF(F33&gt;=0,D33*E33*(1+F33/100),ABS(D33*E33/F33)),"")</f>
        <v>24066.525000000001</v>
      </c>
      <c r="H33" s="43">
        <f>IFERROR(G33*E24,"")</f>
        <v>0</v>
      </c>
      <c r="I33" s="3"/>
    </row>
    <row r="34" spans="1:11" ht="12.75" customHeight="1">
      <c r="A34" s="28"/>
      <c r="B34" s="29" t="s">
        <v>3626</v>
      </c>
      <c r="C34" s="30" t="str">
        <f>IFERROR(_xlfn.XLOOKUP(B34,Equipo[DESCRIPCION],Equipo[UND],,0),"")</f>
        <v>%MO</v>
      </c>
      <c r="D34" s="31">
        <v>0.05</v>
      </c>
      <c r="E34" s="32">
        <f>IF(C34="%MO",G39,IFERROR(_xlfn.XLOOKUP($B34,Equipo[DESCRIPCION],Equipo[VALOR],,0),""))</f>
        <v>209593.83393000002</v>
      </c>
      <c r="F34" s="33"/>
      <c r="G34" s="34">
        <f>IFERROR(IF(F34&gt;=0,D34*E34*(1+F34/100),ABS(D34*E34/F34)),"")</f>
        <v>10479.691696500002</v>
      </c>
      <c r="H34" s="43">
        <f>IFERROR(G34*E24,"")</f>
        <v>0</v>
      </c>
      <c r="I34" s="3"/>
    </row>
    <row r="35" spans="1:11" ht="12.75" customHeight="1">
      <c r="A35" s="28"/>
      <c r="B35" s="29"/>
      <c r="C35" s="30" t="str">
        <f>IFERROR(_xlfn.XLOOKUP(B35,Equipo[DESCRIPCION],Equipo[UND],,0),"")</f>
        <v/>
      </c>
      <c r="D35" s="31"/>
      <c r="E35" s="32" t="str">
        <f>IF(C35="%MO",G39,IFERROR(_xlfn.XLOOKUP($B35,Equipo[DESCRIPCION],Equipo[VALOR],,0),""))</f>
        <v/>
      </c>
      <c r="F35" s="33"/>
      <c r="G35" s="34" t="str">
        <f>IFERROR(IF(F35&gt;=0,D35*E35*(1+F35/100),ABS(D35*E35/F35)),"")</f>
        <v/>
      </c>
      <c r="H35" s="43" t="str">
        <f>IFERROR(G35*E24,"")</f>
        <v/>
      </c>
      <c r="I35" s="3"/>
    </row>
    <row r="36" spans="1:11" ht="12.75" customHeight="1">
      <c r="A36" s="21"/>
      <c r="B36" s="22" t="s">
        <v>2533</v>
      </c>
      <c r="C36" s="23"/>
      <c r="D36" s="24"/>
      <c r="E36" s="25"/>
      <c r="F36" s="26"/>
      <c r="G36" s="27">
        <f>SUM(G37:G38)</f>
        <v>0</v>
      </c>
      <c r="H36" s="27">
        <f>IFERROR(G36*E24,"")</f>
        <v>0</v>
      </c>
      <c r="I36" s="3"/>
    </row>
    <row r="37" spans="1:11" ht="12.75" customHeight="1">
      <c r="A37" s="28"/>
      <c r="B37" s="29"/>
      <c r="C37" s="30" t="str">
        <f>IFERROR(_xlfn.XLOOKUP(B37,Transporte[DESCRIPCION],Transporte[UND],,0),"")</f>
        <v/>
      </c>
      <c r="D37" s="31"/>
      <c r="E37" s="32" t="str">
        <f>IFERROR(_xlfn.XLOOKUP($B37,Transporte[DESCRIPCION],Transporte[VALOR],,0),"")</f>
        <v/>
      </c>
      <c r="F37" s="33"/>
      <c r="G37" s="34" t="str">
        <f>IFERROR(IF(F37&gt;=0,D37*E37*(1+F37/100),ABS(D37*E37/F37)),"")</f>
        <v/>
      </c>
      <c r="H37" s="43" t="str">
        <f>IFERROR(G37*E24,"")</f>
        <v/>
      </c>
      <c r="I37" s="3"/>
    </row>
    <row r="38" spans="1:11" ht="12.75" customHeight="1">
      <c r="A38" s="28"/>
      <c r="B38" s="29"/>
      <c r="C38" s="30" t="str">
        <f>IFERROR(_xlfn.XLOOKUP(B38,Transporte[DESCRIPCION],Transporte[UND],,0),"")</f>
        <v/>
      </c>
      <c r="D38" s="31"/>
      <c r="E38" s="32" t="str">
        <f>IFERROR(_xlfn.XLOOKUP($B38,Transporte[DESCRIPCION],Transporte[VALOR],,0),"")</f>
        <v/>
      </c>
      <c r="F38" s="33"/>
      <c r="G38" s="34" t="str">
        <f>IFERROR(IF(F38&gt;=0,D38*E38*(1+F38/100),ABS(D38*E38/F38)),"")</f>
        <v/>
      </c>
      <c r="H38" s="43" t="str">
        <f>IFERROR(G38*E24,"")</f>
        <v/>
      </c>
      <c r="I38" s="3"/>
    </row>
    <row r="39" spans="1:11" ht="12.75" customHeight="1">
      <c r="A39" s="21"/>
      <c r="B39" s="22" t="s">
        <v>3732</v>
      </c>
      <c r="C39" s="23"/>
      <c r="D39" s="24"/>
      <c r="E39" s="25"/>
      <c r="F39" s="26"/>
      <c r="G39" s="27">
        <f>SUM(G40:G42)</f>
        <v>209593.83393000002</v>
      </c>
      <c r="H39" s="27">
        <f>IFERROR(G39*E24,"")</f>
        <v>0</v>
      </c>
      <c r="I39" s="3"/>
    </row>
    <row r="40" spans="1:11" ht="12.75" customHeight="1">
      <c r="A40" s="28"/>
      <c r="B40" s="29" t="s">
        <v>3724</v>
      </c>
      <c r="C40" s="30" t="str">
        <f>IFERROR(_xlfn.XLOOKUP(B40,MObra[DESCRIPCION],MObra[UN],,0),"")</f>
        <v>día</v>
      </c>
      <c r="D40" s="31">
        <v>1</v>
      </c>
      <c r="E40" s="32">
        <f>IFERROR(_xlfn.XLOOKUP($B40,MObra[DESCRIPCION],MObra[VALOR UNIT],,0),"")</f>
        <v>419187.66786000005</v>
      </c>
      <c r="F40" s="33">
        <v>-2</v>
      </c>
      <c r="G40" s="34">
        <f>IFERROR(IF(F40&gt;=0,D40*E40*(1+F40/100),ABS(D40*E40/F40)),"")</f>
        <v>209593.83393000002</v>
      </c>
      <c r="H40" s="43">
        <f>IFERROR(G40*E24,"")</f>
        <v>0</v>
      </c>
      <c r="I40" s="3"/>
    </row>
    <row r="41" spans="1:11" ht="12.75" customHeight="1">
      <c r="A41" s="28"/>
      <c r="B41" s="29"/>
      <c r="C41" s="30" t="str">
        <f>IFERROR(_xlfn.XLOOKUP(B41,MObra[DESCRIPCION],MObra[UN],,0),"")</f>
        <v/>
      </c>
      <c r="D41" s="31"/>
      <c r="E41" s="32" t="str">
        <f>IFERROR(_xlfn.XLOOKUP($B41,MObra[DESCRIPCION],MObra[VALOR UNIT],,0),"")</f>
        <v/>
      </c>
      <c r="F41" s="33"/>
      <c r="G41" s="34" t="str">
        <f>IFERROR(IF(F41&gt;=0,D41*E41*(1+F41/100),ABS(D41*E41/F41)),"")</f>
        <v/>
      </c>
      <c r="H41" s="43" t="str">
        <f>IFERROR(G41*E24,"")</f>
        <v/>
      </c>
      <c r="I41" s="3"/>
    </row>
    <row r="42" spans="1:11" ht="12.75" customHeight="1" thickBot="1">
      <c r="A42" s="35"/>
      <c r="B42" s="36"/>
      <c r="C42" s="37" t="str">
        <f>IFERROR(_xlfn.XLOOKUP(B42,MObra[DESCRIPCION],MObra[UN],,0),"")</f>
        <v/>
      </c>
      <c r="D42" s="38"/>
      <c r="E42" s="39" t="str">
        <f>IFERROR(_xlfn.XLOOKUP($B42,MObra[DESCRIPCION],MObra[VALOR UNIT],,0),"")</f>
        <v/>
      </c>
      <c r="F42" s="40"/>
      <c r="G42" s="41" t="str">
        <f>IFERROR(IF(F42&gt;=0,D42*E42*(1+F42/100),ABS(D42*E42/F42)),"")</f>
        <v/>
      </c>
      <c r="H42" s="42" t="str">
        <f>IFERROR(G42*E24,"")</f>
        <v/>
      </c>
      <c r="I42" s="3"/>
    </row>
    <row r="43" spans="1:11" ht="12.75" customHeight="1" thickTop="1" thickBot="1">
      <c r="I43" s="3"/>
    </row>
    <row r="44" spans="1:11" ht="12.75" customHeight="1" thickTop="1" thickBot="1">
      <c r="A44" s="6" t="s">
        <v>1558</v>
      </c>
      <c r="B44" s="7" t="str">
        <f>VLOOKUP($A44,Presupuesto!$A:$D,2,FALSE())</f>
        <v>Cercha madera cubierta L=4-6m</v>
      </c>
      <c r="C44" s="8" t="str">
        <f>VLOOKUP($A44,Presupuesto!$A:$D,3,FALSE())</f>
        <v>M</v>
      </c>
      <c r="D44" s="9"/>
      <c r="E44" s="10">
        <f>VLOOKUP($A44,Presupuesto!$A:$D,4,FALSE())</f>
        <v>0</v>
      </c>
      <c r="F44" s="11" t="s">
        <v>2589</v>
      </c>
      <c r="G44" s="12">
        <f>SUM(G46:G62)/2</f>
        <v>122874.08718795002</v>
      </c>
      <c r="H44" s="13">
        <f>ROUND(SUM(H46:H62),0)/2</f>
        <v>0</v>
      </c>
      <c r="I44" s="10">
        <f>VLOOKUP(A44,Presupuesto!$A:$F,6,0)</f>
        <v>0</v>
      </c>
      <c r="J44" s="10">
        <f>+H44-I44</f>
        <v>0</v>
      </c>
      <c r="K44" s="46">
        <f>+H44-G44*E44</f>
        <v>0</v>
      </c>
    </row>
    <row r="45" spans="1:11" ht="12.75" customHeight="1" thickTop="1">
      <c r="A45" s="14"/>
      <c r="B45" s="15" t="s">
        <v>2586</v>
      </c>
      <c r="C45" s="15" t="s">
        <v>5</v>
      </c>
      <c r="D45" s="16" t="s">
        <v>6</v>
      </c>
      <c r="E45" s="17" t="s">
        <v>7</v>
      </c>
      <c r="F45" s="18" t="s">
        <v>3728</v>
      </c>
      <c r="G45" s="19" t="s">
        <v>3729</v>
      </c>
      <c r="H45" s="20" t="s">
        <v>3797</v>
      </c>
      <c r="I45" s="3"/>
    </row>
    <row r="46" spans="1:11" ht="12.75" customHeight="1">
      <c r="A46" s="21"/>
      <c r="B46" s="22" t="s">
        <v>3730</v>
      </c>
      <c r="C46" s="23"/>
      <c r="D46" s="24"/>
      <c r="E46" s="25"/>
      <c r="F46" s="26"/>
      <c r="G46" s="27">
        <f>SUM(G47:G51)</f>
        <v>28436.299500000005</v>
      </c>
      <c r="H46" s="27">
        <f>IFERROR(G46*E44,"")</f>
        <v>0</v>
      </c>
      <c r="I46" s="3"/>
    </row>
    <row r="47" spans="1:11" ht="12.75" customHeight="1">
      <c r="A47" s="28"/>
      <c r="B47" s="29" t="s">
        <v>3551</v>
      </c>
      <c r="C47" s="30" t="str">
        <f>IFERROR(_xlfn.XLOOKUP(B47,Insumo[DESCRIPCION],Insumo[UND],,0),"")</f>
        <v>M</v>
      </c>
      <c r="D47" s="31">
        <v>1</v>
      </c>
      <c r="E47" s="32">
        <f>IFERROR(_xlfn.XLOOKUP($B47,Insumo[DESCRIPCION],Insumo[VALOR],,0),"")</f>
        <v>9927.75</v>
      </c>
      <c r="F47" s="33">
        <v>5</v>
      </c>
      <c r="G47" s="34">
        <f>IFERROR(IF(F47&gt;=0,D47*E47*(1+F47/100),ABS(D47*E47/F47)),"")</f>
        <v>10424.137500000001</v>
      </c>
      <c r="H47" s="43">
        <f>IFERROR(G47*E44,"")</f>
        <v>0</v>
      </c>
      <c r="I47" s="3"/>
    </row>
    <row r="48" spans="1:11" ht="12.75" customHeight="1">
      <c r="A48" s="28"/>
      <c r="B48" s="29" t="s">
        <v>3305</v>
      </c>
      <c r="C48" s="30" t="str">
        <f>IFERROR(_xlfn.XLOOKUP(B48,Insumo[DESCRIPCION],Insumo[UND],,0),"")</f>
        <v>Kg</v>
      </c>
      <c r="D48" s="31">
        <v>0.1</v>
      </c>
      <c r="E48" s="32">
        <f>IFERROR(_xlfn.XLOOKUP($B48,Insumo[DESCRIPCION],Insumo[VALOR],,0),"")</f>
        <v>179473.35</v>
      </c>
      <c r="F48" s="33"/>
      <c r="G48" s="34">
        <f>IFERROR(IF(F48&gt;=0,D48*E48*(1+F48/100),ABS(D48*E48/F48)),"")</f>
        <v>17947.335000000003</v>
      </c>
      <c r="H48" s="43">
        <f>IFERROR(G48*E44,"")</f>
        <v>0</v>
      </c>
      <c r="I48" s="3"/>
    </row>
    <row r="49" spans="1:11" ht="12.75" customHeight="1">
      <c r="A49" s="28"/>
      <c r="B49" s="29" t="s">
        <v>3253</v>
      </c>
      <c r="C49" s="30" t="str">
        <f>IFERROR(_xlfn.XLOOKUP(B49,Insumo[DESCRIPCION],Insumo[UND],,0),"")</f>
        <v>Lb</v>
      </c>
      <c r="D49" s="31">
        <v>0.01</v>
      </c>
      <c r="E49" s="32">
        <f>IFERROR(_xlfn.XLOOKUP($B49,Insumo[DESCRIPCION],Insumo[VALOR],,0),"")</f>
        <v>6482.7000000000007</v>
      </c>
      <c r="F49" s="33"/>
      <c r="G49" s="34">
        <f>IFERROR(IF(F49&gt;=0,D49*E49*(1+F49/100),ABS(D49*E49/F49)),"")</f>
        <v>64.827000000000012</v>
      </c>
      <c r="H49" s="43">
        <f>IFERROR(G49*E44,"")</f>
        <v>0</v>
      </c>
      <c r="I49" s="3"/>
    </row>
    <row r="50" spans="1:11" ht="12.75" customHeight="1">
      <c r="A50" s="28"/>
      <c r="B50" s="29"/>
      <c r="C50" s="30" t="str">
        <f>IFERROR(_xlfn.XLOOKUP(B50,Insumo[DESCRIPCION],Insumo[UND],,0),"")</f>
        <v/>
      </c>
      <c r="D50" s="31"/>
      <c r="E50" s="32" t="str">
        <f>IFERROR(_xlfn.XLOOKUP($B50,Insumo[DESCRIPCION],Insumo[VALOR],,0),"")</f>
        <v/>
      </c>
      <c r="F50" s="33"/>
      <c r="G50" s="34" t="str">
        <f>IFERROR(IF(F50&gt;=0,D50*E50*(1+F50/100),ABS(D50*E50/F50)),"")</f>
        <v/>
      </c>
      <c r="H50" s="43" t="str">
        <f>IFERROR(G50*E44,"")</f>
        <v/>
      </c>
      <c r="I50" s="3"/>
    </row>
    <row r="51" spans="1:11" ht="12.75" customHeight="1">
      <c r="A51" s="28"/>
      <c r="B51" s="29"/>
      <c r="C51" s="30" t="str">
        <f>IFERROR(_xlfn.XLOOKUP(B51,Insumo[DESCRIPCION],Insumo[UND],,0),"")</f>
        <v/>
      </c>
      <c r="D51" s="31"/>
      <c r="E51" s="32" t="str">
        <f>IFERROR(_xlfn.XLOOKUP($B51,Insumo[DESCRIPCION],Insumo[VALOR],,0),"")</f>
        <v/>
      </c>
      <c r="F51" s="33"/>
      <c r="G51" s="34" t="str">
        <f>IFERROR(IF(F51&gt;=0,D51*E51*(1+F51/100),ABS(D51*E51/F51)),"")</f>
        <v/>
      </c>
      <c r="H51" s="43" t="str">
        <f>IFERROR(G51*E44,"")</f>
        <v/>
      </c>
      <c r="I51" s="3"/>
    </row>
    <row r="52" spans="1:11" ht="12.75" customHeight="1">
      <c r="A52" s="21"/>
      <c r="B52" s="22" t="s">
        <v>3731</v>
      </c>
      <c r="C52" s="23"/>
      <c r="D52" s="24"/>
      <c r="E52" s="25"/>
      <c r="F52" s="26"/>
      <c r="G52" s="27">
        <f>SUM(G53:G55)</f>
        <v>31559.63750895</v>
      </c>
      <c r="H52" s="27">
        <f>IFERROR(G52*E44,"")</f>
        <v>0</v>
      </c>
      <c r="I52" s="3"/>
    </row>
    <row r="53" spans="1:11" ht="12.75" customHeight="1">
      <c r="A53" s="28"/>
      <c r="B53" s="29" t="s">
        <v>3575</v>
      </c>
      <c r="C53" s="30" t="str">
        <f>IFERROR(_xlfn.XLOOKUP(B53,Equipo[DESCRIPCION],Equipo[UND],,0),"")</f>
        <v>Día</v>
      </c>
      <c r="D53" s="31">
        <v>1</v>
      </c>
      <c r="E53" s="32">
        <f>IF(C53="%MO",G59,IFERROR(_xlfn.XLOOKUP($B53,Equipo[DESCRIPCION],Equipo[VALOR],,0),""))</f>
        <v>142078.65</v>
      </c>
      <c r="F53" s="33">
        <v>-5</v>
      </c>
      <c r="G53" s="34">
        <f>IFERROR(IF(F53&gt;=0,D53*E53*(1+F53/100),ABS(D53*E53/F53)),"")</f>
        <v>28415.73</v>
      </c>
      <c r="H53" s="43">
        <f>IFERROR(G53*E44,"")</f>
        <v>0</v>
      </c>
      <c r="I53" s="3"/>
    </row>
    <row r="54" spans="1:11" ht="12.75" customHeight="1">
      <c r="A54" s="28"/>
      <c r="B54" s="29" t="s">
        <v>3626</v>
      </c>
      <c r="C54" s="30" t="str">
        <f>IFERROR(_xlfn.XLOOKUP(B54,Equipo[DESCRIPCION],Equipo[UND],,0),"")</f>
        <v>%MO</v>
      </c>
      <c r="D54" s="31">
        <v>0.05</v>
      </c>
      <c r="E54" s="32">
        <f>IF(C54="%MO",G59,IFERROR(_xlfn.XLOOKUP($B54,Equipo[DESCRIPCION],Equipo[VALOR],,0),""))</f>
        <v>62878.150179000011</v>
      </c>
      <c r="F54" s="33"/>
      <c r="G54" s="34">
        <f>IFERROR(IF(F54&gt;=0,D54*E54*(1+F54/100),ABS(D54*E54/F54)),"")</f>
        <v>3143.9075089500006</v>
      </c>
      <c r="H54" s="43">
        <f>IFERROR(G54*E44,"")</f>
        <v>0</v>
      </c>
      <c r="I54" s="3"/>
    </row>
    <row r="55" spans="1:11" ht="12.75" customHeight="1">
      <c r="A55" s="28"/>
      <c r="B55" s="29"/>
      <c r="C55" s="30" t="str">
        <f>IFERROR(_xlfn.XLOOKUP(B55,Equipo[DESCRIPCION],Equipo[UND],,0),"")</f>
        <v/>
      </c>
      <c r="D55" s="31"/>
      <c r="E55" s="32" t="str">
        <f>IF(C55="%MO",G59,IFERROR(_xlfn.XLOOKUP($B55,Equipo[DESCRIPCION],Equipo[VALOR],,0),""))</f>
        <v/>
      </c>
      <c r="F55" s="33"/>
      <c r="G55" s="34" t="str">
        <f>IFERROR(IF(F55&gt;=0,D55*E55*(1+F55/100),ABS(D55*E55/F55)),"")</f>
        <v/>
      </c>
      <c r="H55" s="43" t="str">
        <f>IFERROR(G55*E44,"")</f>
        <v/>
      </c>
      <c r="I55" s="3"/>
    </row>
    <row r="56" spans="1:11" ht="12.75" customHeight="1">
      <c r="A56" s="21"/>
      <c r="B56" s="22" t="s">
        <v>2533</v>
      </c>
      <c r="C56" s="23"/>
      <c r="D56" s="24"/>
      <c r="E56" s="25"/>
      <c r="F56" s="26"/>
      <c r="G56" s="27">
        <f>SUM(G57:G58)</f>
        <v>0</v>
      </c>
      <c r="H56" s="27">
        <f>IFERROR(G56*E44,"")</f>
        <v>0</v>
      </c>
      <c r="I56" s="3"/>
    </row>
    <row r="57" spans="1:11" ht="12.75" customHeight="1">
      <c r="A57" s="28"/>
      <c r="B57" s="29"/>
      <c r="C57" s="30" t="str">
        <f>IFERROR(_xlfn.XLOOKUP(B57,Transporte[DESCRIPCION],Transporte[UND],,0),"")</f>
        <v/>
      </c>
      <c r="D57" s="31"/>
      <c r="E57" s="32" t="str">
        <f>IFERROR(_xlfn.XLOOKUP($B57,Transporte[DESCRIPCION],Transporte[VALOR],,0),"")</f>
        <v/>
      </c>
      <c r="F57" s="33"/>
      <c r="G57" s="34" t="str">
        <f>IFERROR(IF(F57&gt;=0,D57*E57*(1+F57/100),ABS(D57*E57/F57)),"")</f>
        <v/>
      </c>
      <c r="H57" s="43" t="str">
        <f>IFERROR(G57*E44,"")</f>
        <v/>
      </c>
      <c r="I57" s="3"/>
    </row>
    <row r="58" spans="1:11" ht="12.75" customHeight="1">
      <c r="A58" s="28"/>
      <c r="B58" s="29"/>
      <c r="C58" s="30" t="str">
        <f>IFERROR(_xlfn.XLOOKUP(B58,Transporte[DESCRIPCION],Transporte[UND],,0),"")</f>
        <v/>
      </c>
      <c r="D58" s="31"/>
      <c r="E58" s="32" t="str">
        <f>IFERROR(_xlfn.XLOOKUP($B58,Transporte[DESCRIPCION],Transporte[VALOR],,0),"")</f>
        <v/>
      </c>
      <c r="F58" s="33"/>
      <c r="G58" s="34" t="str">
        <f>IFERROR(IF(F58&gt;=0,D58*E58*(1+F58/100),ABS(D58*E58/F58)),"")</f>
        <v/>
      </c>
      <c r="H58" s="43" t="str">
        <f>IFERROR(G58*E44,"")</f>
        <v/>
      </c>
      <c r="I58" s="3"/>
    </row>
    <row r="59" spans="1:11" ht="12.75" customHeight="1">
      <c r="A59" s="21"/>
      <c r="B59" s="22" t="s">
        <v>3732</v>
      </c>
      <c r="C59" s="23"/>
      <c r="D59" s="24"/>
      <c r="E59" s="25"/>
      <c r="F59" s="26"/>
      <c r="G59" s="27">
        <f>SUM(G60:G62)</f>
        <v>62878.150179000011</v>
      </c>
      <c r="H59" s="27">
        <f>IFERROR(G59*E44,"")</f>
        <v>0</v>
      </c>
      <c r="I59" s="3"/>
    </row>
    <row r="60" spans="1:11" ht="12.75" customHeight="1">
      <c r="A60" s="28"/>
      <c r="B60" s="29" t="s">
        <v>3710</v>
      </c>
      <c r="C60" s="30" t="str">
        <f>IFERROR(_xlfn.XLOOKUP(B60,MObra[DESCRIPCION],MObra[UN],,0),"")</f>
        <v>día</v>
      </c>
      <c r="D60" s="31">
        <v>1</v>
      </c>
      <c r="E60" s="32">
        <f>IFERROR(_xlfn.XLOOKUP($B60,MObra[DESCRIPCION],MObra[VALOR UNIT],,0),"")</f>
        <v>314390.75089500006</v>
      </c>
      <c r="F60" s="33">
        <v>-5</v>
      </c>
      <c r="G60" s="34">
        <f>IFERROR(IF(F60&gt;=0,D60*E60*(1+F60/100),ABS(D60*E60/F60)),"")</f>
        <v>62878.150179000011</v>
      </c>
      <c r="H60" s="43">
        <f>IFERROR(G60*E44,"")</f>
        <v>0</v>
      </c>
      <c r="I60" s="3"/>
    </row>
    <row r="61" spans="1:11" ht="12.75" customHeight="1">
      <c r="A61" s="28"/>
      <c r="B61" s="29"/>
      <c r="C61" s="30" t="str">
        <f>IFERROR(_xlfn.XLOOKUP(B61,MObra[DESCRIPCION],MObra[UN],,0),"")</f>
        <v/>
      </c>
      <c r="D61" s="31"/>
      <c r="E61" s="32" t="str">
        <f>IFERROR(_xlfn.XLOOKUP($B61,MObra[DESCRIPCION],MObra[VALOR UNIT],,0),"")</f>
        <v/>
      </c>
      <c r="F61" s="33"/>
      <c r="G61" s="34" t="str">
        <f>IFERROR(IF(F61&gt;=0,D61*E61*(1+F61/100),ABS(D61*E61/F61)),"")</f>
        <v/>
      </c>
      <c r="H61" s="43" t="str">
        <f>IFERROR(G61*E44,"")</f>
        <v/>
      </c>
      <c r="I61" s="3"/>
    </row>
    <row r="62" spans="1:11" ht="12.75" customHeight="1" thickBot="1">
      <c r="A62" s="35"/>
      <c r="B62" s="36"/>
      <c r="C62" s="37" t="str">
        <f>IFERROR(_xlfn.XLOOKUP(B62,MObra[DESCRIPCION],MObra[UN],,0),"")</f>
        <v/>
      </c>
      <c r="D62" s="38"/>
      <c r="E62" s="39" t="str">
        <f>IFERROR(_xlfn.XLOOKUP($B62,MObra[DESCRIPCION],MObra[VALOR UNIT],,0),"")</f>
        <v/>
      </c>
      <c r="F62" s="40"/>
      <c r="G62" s="41" t="str">
        <f>IFERROR(IF(F62&gt;=0,D62*E62*(1+F62/100),ABS(D62*E62/F62)),"")</f>
        <v/>
      </c>
      <c r="H62" s="42" t="str">
        <f>IFERROR(G62*E44,"")</f>
        <v/>
      </c>
      <c r="I62" s="3"/>
    </row>
    <row r="63" spans="1:11" ht="12.75" customHeight="1" thickTop="1" thickBot="1">
      <c r="I63" s="3"/>
    </row>
    <row r="64" spans="1:11" ht="12.75" customHeight="1" thickTop="1" thickBot="1">
      <c r="A64" s="6" t="s">
        <v>1560</v>
      </c>
      <c r="B64" s="7" t="str">
        <f>VLOOKUP($A64,Presupuesto!$A:$D,2,FALSE())</f>
        <v>Cercha metálica cajón + anticorrosivo</v>
      </c>
      <c r="C64" s="8" t="str">
        <f>VLOOKUP($A64,Presupuesto!$A:$D,3,FALSE())</f>
        <v>Kg</v>
      </c>
      <c r="D64" s="9"/>
      <c r="E64" s="10">
        <f>VLOOKUP($A64,Presupuesto!$A:$D,4,FALSE())</f>
        <v>0</v>
      </c>
      <c r="F64" s="11" t="s">
        <v>2589</v>
      </c>
      <c r="G64" s="12">
        <f>SUM(G66:G82)/2</f>
        <v>355639.41012529994</v>
      </c>
      <c r="H64" s="13">
        <f>ROUND(SUM(H66:H82),0)/2</f>
        <v>0</v>
      </c>
      <c r="I64" s="10">
        <f>VLOOKUP(A64,Presupuesto!$A:$F,6,0)</f>
        <v>0</v>
      </c>
      <c r="J64" s="10">
        <f>+H64-I64</f>
        <v>0</v>
      </c>
      <c r="K64" s="46">
        <f>+H64-G64*E64</f>
        <v>0</v>
      </c>
    </row>
    <row r="65" spans="1:9" ht="12.75" customHeight="1" thickTop="1">
      <c r="A65" s="14"/>
      <c r="B65" s="15" t="s">
        <v>2586</v>
      </c>
      <c r="C65" s="15" t="s">
        <v>5</v>
      </c>
      <c r="D65" s="16" t="s">
        <v>6</v>
      </c>
      <c r="E65" s="17" t="s">
        <v>7</v>
      </c>
      <c r="F65" s="18" t="s">
        <v>3728</v>
      </c>
      <c r="G65" s="19" t="s">
        <v>3729</v>
      </c>
      <c r="H65" s="20" t="s">
        <v>3797</v>
      </c>
      <c r="I65" s="3"/>
    </row>
    <row r="66" spans="1:9" ht="12.75" customHeight="1">
      <c r="A66" s="21"/>
      <c r="B66" s="22" t="s">
        <v>3730</v>
      </c>
      <c r="C66" s="23"/>
      <c r="D66" s="24"/>
      <c r="E66" s="25"/>
      <c r="F66" s="26"/>
      <c r="G66" s="27">
        <f>SUM(G67:G71)</f>
        <v>306888.75</v>
      </c>
      <c r="H66" s="27">
        <f>IFERROR(G66*E64,"")</f>
        <v>0</v>
      </c>
      <c r="I66" s="3"/>
    </row>
    <row r="67" spans="1:9" ht="12.75" customHeight="1">
      <c r="A67" s="28"/>
      <c r="B67" s="29" t="s">
        <v>2828</v>
      </c>
      <c r="C67" s="30" t="str">
        <f>IFERROR(_xlfn.XLOOKUP(B67,Insumo[DESCRIPCION],Insumo[UND],,0),"")</f>
        <v>M</v>
      </c>
      <c r="D67" s="31">
        <v>1</v>
      </c>
      <c r="E67" s="32">
        <f>IFERROR(_xlfn.XLOOKUP($B67,Insumo[DESCRIPCION],Insumo[VALOR],,0),"")</f>
        <v>306888.75</v>
      </c>
      <c r="F67" s="33"/>
      <c r="G67" s="34">
        <f>IFERROR(IF(F67&gt;=0,D67*E67*(1+F67/100),ABS(D67*E67/F67)),"")</f>
        <v>306888.75</v>
      </c>
      <c r="H67" s="43">
        <f>IFERROR(G67*E64,"")</f>
        <v>0</v>
      </c>
      <c r="I67" s="3"/>
    </row>
    <row r="68" spans="1:9" ht="12.75" customHeight="1">
      <c r="A68" s="28"/>
      <c r="B68" s="29"/>
      <c r="C68" s="30" t="str">
        <f>IFERROR(_xlfn.XLOOKUP(B68,Insumo[DESCRIPCION],Insumo[UND],,0),"")</f>
        <v/>
      </c>
      <c r="D68" s="31"/>
      <c r="E68" s="32" t="str">
        <f>IFERROR(_xlfn.XLOOKUP($B68,Insumo[DESCRIPCION],Insumo[VALOR],,0),"")</f>
        <v/>
      </c>
      <c r="F68" s="33"/>
      <c r="G68" s="34" t="str">
        <f>IFERROR(IF(F68&gt;=0,D68*E68*(1+F68/100),ABS(D68*E68/F68)),"")</f>
        <v/>
      </c>
      <c r="H68" s="43" t="str">
        <f>IFERROR(G68*E64,"")</f>
        <v/>
      </c>
      <c r="I68" s="3"/>
    </row>
    <row r="69" spans="1:9" ht="12.75" customHeight="1">
      <c r="A69" s="28"/>
      <c r="B69" s="29"/>
      <c r="C69" s="30" t="str">
        <f>IFERROR(_xlfn.XLOOKUP(B69,Insumo[DESCRIPCION],Insumo[UND],,0),"")</f>
        <v/>
      </c>
      <c r="D69" s="31"/>
      <c r="E69" s="32" t="str">
        <f>IFERROR(_xlfn.XLOOKUP($B69,Insumo[DESCRIPCION],Insumo[VALOR],,0),"")</f>
        <v/>
      </c>
      <c r="F69" s="33"/>
      <c r="G69" s="34" t="str">
        <f>IFERROR(IF(F69&gt;=0,D69*E69*(1+F69/100),ABS(D69*E69/F69)),"")</f>
        <v/>
      </c>
      <c r="H69" s="43" t="str">
        <f>IFERROR(G69*E64,"")</f>
        <v/>
      </c>
      <c r="I69" s="3"/>
    </row>
    <row r="70" spans="1:9" ht="12.75" customHeight="1">
      <c r="A70" s="28"/>
      <c r="B70" s="29"/>
      <c r="C70" s="30" t="str">
        <f>IFERROR(_xlfn.XLOOKUP(B70,Insumo[DESCRIPCION],Insumo[UND],,0),"")</f>
        <v/>
      </c>
      <c r="D70" s="31"/>
      <c r="E70" s="32" t="str">
        <f>IFERROR(_xlfn.XLOOKUP($B70,Insumo[DESCRIPCION],Insumo[VALOR],,0),"")</f>
        <v/>
      </c>
      <c r="F70" s="33"/>
      <c r="G70" s="34" t="str">
        <f>IFERROR(IF(F70&gt;=0,D70*E70*(1+F70/100),ABS(D70*E70/F70)),"")</f>
        <v/>
      </c>
      <c r="H70" s="43" t="str">
        <f>IFERROR(G70*E64,"")</f>
        <v/>
      </c>
      <c r="I70" s="3"/>
    </row>
    <row r="71" spans="1:9" ht="12.75" customHeight="1">
      <c r="A71" s="28"/>
      <c r="B71" s="29"/>
      <c r="C71" s="30" t="str">
        <f>IFERROR(_xlfn.XLOOKUP(B71,Insumo[DESCRIPCION],Insumo[UND],,0),"")</f>
        <v/>
      </c>
      <c r="D71" s="31"/>
      <c r="E71" s="32" t="str">
        <f>IFERROR(_xlfn.XLOOKUP($B71,Insumo[DESCRIPCION],Insumo[VALOR],,0),"")</f>
        <v/>
      </c>
      <c r="F71" s="33"/>
      <c r="G71" s="34" t="str">
        <f>IFERROR(IF(F71&gt;=0,D71*E71*(1+F71/100),ABS(D71*E71/F71)),"")</f>
        <v/>
      </c>
      <c r="H71" s="43" t="str">
        <f>IFERROR(G71*E64,"")</f>
        <v/>
      </c>
      <c r="I71" s="3"/>
    </row>
    <row r="72" spans="1:9" ht="12.75" customHeight="1">
      <c r="A72" s="21"/>
      <c r="B72" s="22" t="s">
        <v>3731</v>
      </c>
      <c r="C72" s="23"/>
      <c r="D72" s="24"/>
      <c r="E72" s="25"/>
      <c r="F72" s="26"/>
      <c r="G72" s="27">
        <f>SUM(G73:G75)</f>
        <v>6831.8933393000007</v>
      </c>
      <c r="H72" s="27">
        <f>IFERROR(G72*E64,"")</f>
        <v>0</v>
      </c>
      <c r="I72" s="3"/>
    </row>
    <row r="73" spans="1:9" ht="12.75" customHeight="1">
      <c r="A73" s="28"/>
      <c r="B73" s="29" t="s">
        <v>3575</v>
      </c>
      <c r="C73" s="30" t="str">
        <f>IFERROR(_xlfn.XLOOKUP(B73,Equipo[DESCRIPCION],Equipo[UND],,0),"")</f>
        <v>Día</v>
      </c>
      <c r="D73" s="31">
        <v>1</v>
      </c>
      <c r="E73" s="32">
        <f>IF(C73="%MO",G79,IFERROR(_xlfn.XLOOKUP($B73,Equipo[DESCRIPCION],Equipo[VALOR],,0),""))</f>
        <v>142078.65</v>
      </c>
      <c r="F73" s="33">
        <v>-30</v>
      </c>
      <c r="G73" s="34">
        <f>IFERROR(IF(F73&gt;=0,D73*E73*(1+F73/100),ABS(D73*E73/F73)),"")</f>
        <v>4735.9549999999999</v>
      </c>
      <c r="H73" s="43">
        <f>IFERROR(G73*E64,"")</f>
        <v>0</v>
      </c>
      <c r="I73" s="3"/>
    </row>
    <row r="74" spans="1:9" ht="12.75" customHeight="1">
      <c r="A74" s="28"/>
      <c r="B74" s="29" t="s">
        <v>3626</v>
      </c>
      <c r="C74" s="30" t="str">
        <f>IFERROR(_xlfn.XLOOKUP(B74,Equipo[DESCRIPCION],Equipo[UND],,0),"")</f>
        <v>%MO</v>
      </c>
      <c r="D74" s="31">
        <v>0.05</v>
      </c>
      <c r="E74" s="32">
        <f>IF(C74="%MO",G79,IFERROR(_xlfn.XLOOKUP($B74,Equipo[DESCRIPCION],Equipo[VALOR],,0),""))</f>
        <v>41918.766786000007</v>
      </c>
      <c r="F74" s="33"/>
      <c r="G74" s="34">
        <f>IFERROR(IF(F74&gt;=0,D74*E74*(1+F74/100),ABS(D74*E74/F74)),"")</f>
        <v>2095.9383393000003</v>
      </c>
      <c r="H74" s="43">
        <f>IFERROR(G74*E64,"")</f>
        <v>0</v>
      </c>
      <c r="I74" s="3"/>
    </row>
    <row r="75" spans="1:9" ht="12.75" customHeight="1">
      <c r="A75" s="28"/>
      <c r="B75" s="29"/>
      <c r="C75" s="30" t="str">
        <f>IFERROR(_xlfn.XLOOKUP(B75,Equipo[DESCRIPCION],Equipo[UND],,0),"")</f>
        <v/>
      </c>
      <c r="D75" s="31"/>
      <c r="E75" s="32" t="str">
        <f>IF(C75="%MO",G79,IFERROR(_xlfn.XLOOKUP($B75,Equipo[DESCRIPCION],Equipo[VALOR],,0),""))</f>
        <v/>
      </c>
      <c r="F75" s="33"/>
      <c r="G75" s="34" t="str">
        <f>IFERROR(IF(F75&gt;=0,D75*E75*(1+F75/100),ABS(D75*E75/F75)),"")</f>
        <v/>
      </c>
      <c r="H75" s="43" t="str">
        <f>IFERROR(G75*E64,"")</f>
        <v/>
      </c>
      <c r="I75" s="3"/>
    </row>
    <row r="76" spans="1:9" ht="12.75" customHeight="1">
      <c r="A76" s="21"/>
      <c r="B76" s="22" t="s">
        <v>2533</v>
      </c>
      <c r="C76" s="23"/>
      <c r="D76" s="24"/>
      <c r="E76" s="25"/>
      <c r="F76" s="26"/>
      <c r="G76" s="27">
        <f>SUM(G77:G78)</f>
        <v>0</v>
      </c>
      <c r="H76" s="27">
        <f>IFERROR(G76*E64,"")</f>
        <v>0</v>
      </c>
      <c r="I76" s="3"/>
    </row>
    <row r="77" spans="1:9" ht="12.75" customHeight="1">
      <c r="A77" s="28"/>
      <c r="B77" s="29"/>
      <c r="C77" s="30" t="str">
        <f>IFERROR(_xlfn.XLOOKUP(B77,Transporte[DESCRIPCION],Transporte[UND],,0),"")</f>
        <v/>
      </c>
      <c r="D77" s="31"/>
      <c r="E77" s="32" t="str">
        <f>IFERROR(_xlfn.XLOOKUP($B77,Transporte[DESCRIPCION],Transporte[VALOR],,0),"")</f>
        <v/>
      </c>
      <c r="F77" s="33"/>
      <c r="G77" s="34" t="str">
        <f>IFERROR(IF(F77&gt;=0,D77*E77*(1+F77/100),ABS(D77*E77/F77)),"")</f>
        <v/>
      </c>
      <c r="H77" s="43" t="str">
        <f>IFERROR(G77*E64,"")</f>
        <v/>
      </c>
      <c r="I77" s="3"/>
    </row>
    <row r="78" spans="1:9" ht="12.75" customHeight="1">
      <c r="A78" s="28"/>
      <c r="B78" s="29"/>
      <c r="C78" s="30" t="str">
        <f>IFERROR(_xlfn.XLOOKUP(B78,Transporte[DESCRIPCION],Transporte[UND],,0),"")</f>
        <v/>
      </c>
      <c r="D78" s="31"/>
      <c r="E78" s="32" t="str">
        <f>IFERROR(_xlfn.XLOOKUP($B78,Transporte[DESCRIPCION],Transporte[VALOR],,0),"")</f>
        <v/>
      </c>
      <c r="F78" s="33"/>
      <c r="G78" s="34" t="str">
        <f>IFERROR(IF(F78&gt;=0,D78*E78*(1+F78/100),ABS(D78*E78/F78)),"")</f>
        <v/>
      </c>
      <c r="H78" s="43" t="str">
        <f>IFERROR(G78*E64,"")</f>
        <v/>
      </c>
      <c r="I78" s="3"/>
    </row>
    <row r="79" spans="1:9" ht="12.75" customHeight="1">
      <c r="A79" s="21"/>
      <c r="B79" s="22" t="s">
        <v>3732</v>
      </c>
      <c r="C79" s="23"/>
      <c r="D79" s="24"/>
      <c r="E79" s="25"/>
      <c r="F79" s="26"/>
      <c r="G79" s="27">
        <f>SUM(G80:G82)</f>
        <v>41918.766786000007</v>
      </c>
      <c r="H79" s="27">
        <f>IFERROR(G79*E64,"")</f>
        <v>0</v>
      </c>
      <c r="I79" s="3"/>
    </row>
    <row r="80" spans="1:9" ht="12.75" customHeight="1">
      <c r="A80" s="28"/>
      <c r="B80" s="29" t="s">
        <v>3724</v>
      </c>
      <c r="C80" s="30" t="str">
        <f>IFERROR(_xlfn.XLOOKUP(B80,MObra[DESCRIPCION],MObra[UN],,0),"")</f>
        <v>día</v>
      </c>
      <c r="D80" s="31">
        <v>1</v>
      </c>
      <c r="E80" s="32">
        <f>IFERROR(_xlfn.XLOOKUP($B80,MObra[DESCRIPCION],MObra[VALOR UNIT],,0),"")</f>
        <v>419187.66786000005</v>
      </c>
      <c r="F80" s="33">
        <v>-10</v>
      </c>
      <c r="G80" s="34">
        <f>IFERROR(IF(F80&gt;=0,D80*E80*(1+F80/100),ABS(D80*E80/F80)),"")</f>
        <v>41918.766786000007</v>
      </c>
      <c r="H80" s="43">
        <f>IFERROR(G80*E64,"")</f>
        <v>0</v>
      </c>
      <c r="I80" s="3"/>
    </row>
    <row r="81" spans="1:11" ht="12.75" customHeight="1">
      <c r="A81" s="28"/>
      <c r="B81" s="29"/>
      <c r="C81" s="30" t="str">
        <f>IFERROR(_xlfn.XLOOKUP(B81,MObra[DESCRIPCION],MObra[UN],,0),"")</f>
        <v/>
      </c>
      <c r="D81" s="31"/>
      <c r="E81" s="32" t="str">
        <f>IFERROR(_xlfn.XLOOKUP($B81,MObra[DESCRIPCION],MObra[VALOR UNIT],,0),"")</f>
        <v/>
      </c>
      <c r="F81" s="33"/>
      <c r="G81" s="34" t="str">
        <f>IFERROR(IF(F81&gt;=0,D81*E81*(1+F81/100),ABS(D81*E81/F81)),"")</f>
        <v/>
      </c>
      <c r="H81" s="43" t="str">
        <f>IFERROR(G81*E64,"")</f>
        <v/>
      </c>
      <c r="I81" s="3"/>
    </row>
    <row r="82" spans="1:11" ht="12.75" customHeight="1" thickBot="1">
      <c r="A82" s="35"/>
      <c r="B82" s="36"/>
      <c r="C82" s="37" t="str">
        <f>IFERROR(_xlfn.XLOOKUP(B82,MObra[DESCRIPCION],MObra[UN],,0),"")</f>
        <v/>
      </c>
      <c r="D82" s="38"/>
      <c r="E82" s="39" t="str">
        <f>IFERROR(_xlfn.XLOOKUP($B82,MObra[DESCRIPCION],MObra[VALOR UNIT],,0),"")</f>
        <v/>
      </c>
      <c r="F82" s="40"/>
      <c r="G82" s="41" t="str">
        <f>IFERROR(IF(F82&gt;=0,D82*E82*(1+F82/100),ABS(D82*E82/F82)),"")</f>
        <v/>
      </c>
      <c r="H82" s="42" t="str">
        <f>IFERROR(G82*E64,"")</f>
        <v/>
      </c>
      <c r="I82" s="3"/>
    </row>
    <row r="83" spans="1:11" ht="12.75" customHeight="1" thickTop="1" thickBot="1">
      <c r="I83" s="3"/>
    </row>
    <row r="84" spans="1:11" ht="12.75" customHeight="1" thickTop="1" thickBot="1">
      <c r="A84" s="6" t="s">
        <v>1562</v>
      </c>
      <c r="B84" s="7" t="str">
        <f>VLOOKUP($A84,Presupuesto!$A:$D,2,FALSE())</f>
        <v>Cercha metálica pie de amigo liviana</v>
      </c>
      <c r="C84" s="8" t="str">
        <f>VLOOKUP($A84,Presupuesto!$A:$D,3,FALSE())</f>
        <v>Un</v>
      </c>
      <c r="D84" s="9"/>
      <c r="E84" s="10">
        <f>VLOOKUP($A84,Presupuesto!$A:$D,4,FALSE())</f>
        <v>0</v>
      </c>
      <c r="F84" s="11" t="s">
        <v>2589</v>
      </c>
      <c r="G84" s="12">
        <f>SUM(G86:G102)/2</f>
        <v>223896.89741766668</v>
      </c>
      <c r="H84" s="13">
        <f>ROUND(SUM(H86:H102),0)/2</f>
        <v>0</v>
      </c>
      <c r="I84" s="10">
        <f>VLOOKUP(A84,Presupuesto!$A:$F,6,0)</f>
        <v>0</v>
      </c>
      <c r="J84" s="10">
        <f>+H84-I84</f>
        <v>0</v>
      </c>
      <c r="K84" s="46">
        <f>+H84-G84*E84</f>
        <v>0</v>
      </c>
    </row>
    <row r="85" spans="1:11" ht="12.75" customHeight="1" thickTop="1">
      <c r="A85" s="14"/>
      <c r="B85" s="15" t="s">
        <v>2586</v>
      </c>
      <c r="C85" s="15" t="s">
        <v>5</v>
      </c>
      <c r="D85" s="16" t="s">
        <v>6</v>
      </c>
      <c r="E85" s="17" t="s">
        <v>7</v>
      </c>
      <c r="F85" s="18" t="s">
        <v>3728</v>
      </c>
      <c r="G85" s="19" t="s">
        <v>3729</v>
      </c>
      <c r="H85" s="20" t="s">
        <v>3797</v>
      </c>
      <c r="I85" s="3"/>
    </row>
    <row r="86" spans="1:11" ht="12.75" customHeight="1">
      <c r="A86" s="21"/>
      <c r="B86" s="22" t="s">
        <v>3730</v>
      </c>
      <c r="C86" s="23"/>
      <c r="D86" s="24"/>
      <c r="E86" s="25"/>
      <c r="F86" s="26"/>
      <c r="G86" s="27">
        <f>SUM(G87:G91)</f>
        <v>61394.697000000007</v>
      </c>
      <c r="H86" s="27">
        <f>IFERROR(G86*E84,"")</f>
        <v>0</v>
      </c>
      <c r="I86" s="3"/>
    </row>
    <row r="87" spans="1:11" ht="12.75" customHeight="1">
      <c r="A87" s="28"/>
      <c r="B87" s="29" t="s">
        <v>2703</v>
      </c>
      <c r="C87" s="30" t="str">
        <f>IFERROR(_xlfn.XLOOKUP(B87,Insumo[DESCRIPCION],Insumo[UND],,0),"")</f>
        <v>M</v>
      </c>
      <c r="D87" s="31">
        <v>4.5</v>
      </c>
      <c r="E87" s="32">
        <f>IFERROR(_xlfn.XLOOKUP($B87,Insumo[DESCRIPCION],Insumo[VALOR],,0),"")</f>
        <v>11388.300000000001</v>
      </c>
      <c r="F87" s="33"/>
      <c r="G87" s="34">
        <f>IFERROR(IF(F87&gt;=0,D87*E87*(1+F87/100),ABS(D87*E87/F87)),"")</f>
        <v>51247.350000000006</v>
      </c>
      <c r="H87" s="43">
        <f>IFERROR(G87*E84,"")</f>
        <v>0</v>
      </c>
      <c r="I87" s="3"/>
    </row>
    <row r="88" spans="1:11" ht="12.75" customHeight="1">
      <c r="A88" s="28"/>
      <c r="B88" s="29" t="s">
        <v>3326</v>
      </c>
      <c r="C88" s="30" t="str">
        <f>IFERROR(_xlfn.XLOOKUP(B88,Insumo[DESCRIPCION],Insumo[UND],,0),"")</f>
        <v>Kg</v>
      </c>
      <c r="D88" s="31">
        <v>0.06</v>
      </c>
      <c r="E88" s="32">
        <f>IFERROR(_xlfn.XLOOKUP($B88,Insumo[DESCRIPCION],Insumo[VALOR],,0),"")</f>
        <v>5978.7</v>
      </c>
      <c r="F88" s="33"/>
      <c r="G88" s="34">
        <f>IFERROR(IF(F88&gt;=0,D88*E88*(1+F88/100),ABS(D88*E88/F88)),"")</f>
        <v>358.72199999999998</v>
      </c>
      <c r="H88" s="43">
        <f>IFERROR(G88*E84,"")</f>
        <v>0</v>
      </c>
      <c r="I88" s="3"/>
    </row>
    <row r="89" spans="1:11" ht="12.75" customHeight="1">
      <c r="A89" s="28"/>
      <c r="B89" s="29" t="s">
        <v>2708</v>
      </c>
      <c r="C89" s="30" t="str">
        <f>IFERROR(_xlfn.XLOOKUP(B89,Insumo[DESCRIPCION],Insumo[UND],,0),"")</f>
        <v>galón</v>
      </c>
      <c r="D89" s="31">
        <v>0.1</v>
      </c>
      <c r="E89" s="32">
        <f>IFERROR(_xlfn.XLOOKUP($B89,Insumo[DESCRIPCION],Insumo[VALOR],,0),"")</f>
        <v>97886.25</v>
      </c>
      <c r="F89" s="33"/>
      <c r="G89" s="34">
        <f>IFERROR(IF(F89&gt;=0,D89*E89*(1+F89/100),ABS(D89*E89/F89)),"")</f>
        <v>9788.625</v>
      </c>
      <c r="H89" s="43">
        <f>IFERROR(G89*E84,"")</f>
        <v>0</v>
      </c>
      <c r="I89" s="3"/>
    </row>
    <row r="90" spans="1:11" ht="12.75" customHeight="1">
      <c r="A90" s="28"/>
      <c r="B90" s="29"/>
      <c r="C90" s="30" t="str">
        <f>IFERROR(_xlfn.XLOOKUP(B90,Insumo[DESCRIPCION],Insumo[UND],,0),"")</f>
        <v/>
      </c>
      <c r="D90" s="31"/>
      <c r="E90" s="32" t="str">
        <f>IFERROR(_xlfn.XLOOKUP($B90,Insumo[DESCRIPCION],Insumo[VALOR],,0),"")</f>
        <v/>
      </c>
      <c r="F90" s="33"/>
      <c r="G90" s="34" t="str">
        <f>IFERROR(IF(F90&gt;=0,D90*E90*(1+F90/100),ABS(D90*E90/F90)),"")</f>
        <v/>
      </c>
      <c r="H90" s="43" t="str">
        <f>IFERROR(G90*E84,"")</f>
        <v/>
      </c>
      <c r="I90" s="3"/>
    </row>
    <row r="91" spans="1:11" ht="12.75" customHeight="1">
      <c r="A91" s="28"/>
      <c r="B91" s="29"/>
      <c r="C91" s="30" t="str">
        <f>IFERROR(_xlfn.XLOOKUP(B91,Insumo[DESCRIPCION],Insumo[UND],,0),"")</f>
        <v/>
      </c>
      <c r="D91" s="31"/>
      <c r="E91" s="32" t="str">
        <f>IFERROR(_xlfn.XLOOKUP($B91,Insumo[DESCRIPCION],Insumo[VALOR],,0),"")</f>
        <v/>
      </c>
      <c r="F91" s="33"/>
      <c r="G91" s="34" t="str">
        <f>IFERROR(IF(F91&gt;=0,D91*E91*(1+F91/100),ABS(D91*E91/F91)),"")</f>
        <v/>
      </c>
      <c r="H91" s="43" t="str">
        <f>IFERROR(G91*E84,"")</f>
        <v/>
      </c>
      <c r="I91" s="3"/>
    </row>
    <row r="92" spans="1:11" ht="12.75" customHeight="1">
      <c r="A92" s="21"/>
      <c r="B92" s="22" t="s">
        <v>3731</v>
      </c>
      <c r="C92" s="23"/>
      <c r="D92" s="24"/>
      <c r="E92" s="25"/>
      <c r="F92" s="26"/>
      <c r="G92" s="27">
        <f>SUM(G93:G95)</f>
        <v>22772.977797666666</v>
      </c>
      <c r="H92" s="27">
        <f>IFERROR(G92*E84,"")</f>
        <v>0</v>
      </c>
      <c r="I92" s="3"/>
    </row>
    <row r="93" spans="1:11" ht="12.75" customHeight="1">
      <c r="A93" s="28"/>
      <c r="B93" s="29" t="s">
        <v>3575</v>
      </c>
      <c r="C93" s="30" t="str">
        <f>IFERROR(_xlfn.XLOOKUP(B93,Equipo[DESCRIPCION],Equipo[UND],,0),"")</f>
        <v>Día</v>
      </c>
      <c r="D93" s="31">
        <v>1</v>
      </c>
      <c r="E93" s="32">
        <f>IF(C93="%MO",G99,IFERROR(_xlfn.XLOOKUP($B93,Equipo[DESCRIPCION],Equipo[VALOR],,0),""))</f>
        <v>142078.65</v>
      </c>
      <c r="F93" s="33">
        <v>-9</v>
      </c>
      <c r="G93" s="34">
        <f>IFERROR(IF(F93&gt;=0,D93*E93*(1+F93/100),ABS(D93*E93/F93)),"")</f>
        <v>15786.516666666666</v>
      </c>
      <c r="H93" s="43">
        <f>IFERROR(G93*E84,"")</f>
        <v>0</v>
      </c>
      <c r="I93" s="3"/>
    </row>
    <row r="94" spans="1:11" ht="12.75" customHeight="1">
      <c r="A94" s="28"/>
      <c r="B94" s="29" t="s">
        <v>3626</v>
      </c>
      <c r="C94" s="30" t="str">
        <f>IFERROR(_xlfn.XLOOKUP(B94,Equipo[DESCRIPCION],Equipo[UND],,0),"")</f>
        <v>%MO</v>
      </c>
      <c r="D94" s="31">
        <v>0.05</v>
      </c>
      <c r="E94" s="32">
        <f>IF(C94="%MO",G99,IFERROR(_xlfn.XLOOKUP($B94,Equipo[DESCRIPCION],Equipo[VALOR],,0),""))</f>
        <v>139729.22262000002</v>
      </c>
      <c r="F94" s="33"/>
      <c r="G94" s="34">
        <f>IFERROR(IF(F94&gt;=0,D94*E94*(1+F94/100),ABS(D94*E94/F94)),"")</f>
        <v>6986.4611310000009</v>
      </c>
      <c r="H94" s="43">
        <f>IFERROR(G94*E84,"")</f>
        <v>0</v>
      </c>
      <c r="I94" s="3"/>
    </row>
    <row r="95" spans="1:11" ht="12.75" customHeight="1">
      <c r="A95" s="28"/>
      <c r="B95" s="29"/>
      <c r="C95" s="30" t="str">
        <f>IFERROR(_xlfn.XLOOKUP(B95,Equipo[DESCRIPCION],Equipo[UND],,0),"")</f>
        <v/>
      </c>
      <c r="D95" s="31"/>
      <c r="E95" s="32" t="str">
        <f>IF(C95="%MO",G99,IFERROR(_xlfn.XLOOKUP($B95,Equipo[DESCRIPCION],Equipo[VALOR],,0),""))</f>
        <v/>
      </c>
      <c r="F95" s="33"/>
      <c r="G95" s="34" t="str">
        <f>IFERROR(IF(F95&gt;=0,D95*E95*(1+F95/100),ABS(D95*E95/F95)),"")</f>
        <v/>
      </c>
      <c r="H95" s="43" t="str">
        <f>IFERROR(G95*E84,"")</f>
        <v/>
      </c>
      <c r="I95" s="3"/>
    </row>
    <row r="96" spans="1:11" ht="12.75" customHeight="1">
      <c r="A96" s="21"/>
      <c r="B96" s="22" t="s">
        <v>2533</v>
      </c>
      <c r="C96" s="23"/>
      <c r="D96" s="24"/>
      <c r="E96" s="25"/>
      <c r="F96" s="26"/>
      <c r="G96" s="27">
        <f>SUM(G97:G98)</f>
        <v>0</v>
      </c>
      <c r="H96" s="27">
        <f>IFERROR(G96*E84,"")</f>
        <v>0</v>
      </c>
      <c r="I96" s="3"/>
    </row>
    <row r="97" spans="1:11" ht="12.75" customHeight="1">
      <c r="A97" s="28"/>
      <c r="B97" s="29"/>
      <c r="C97" s="30" t="str">
        <f>IFERROR(_xlfn.XLOOKUP(B97,Transporte[DESCRIPCION],Transporte[UND],,0),"")</f>
        <v/>
      </c>
      <c r="D97" s="31"/>
      <c r="E97" s="32" t="str">
        <f>IFERROR(_xlfn.XLOOKUP($B97,Transporte[DESCRIPCION],Transporte[VALOR],,0),"")</f>
        <v/>
      </c>
      <c r="F97" s="33"/>
      <c r="G97" s="34" t="str">
        <f>IFERROR(IF(F97&gt;=0,D97*E97*(1+F97/100),ABS(D97*E97/F97)),"")</f>
        <v/>
      </c>
      <c r="H97" s="43" t="str">
        <f>IFERROR(G97*E84,"")</f>
        <v/>
      </c>
      <c r="I97" s="3"/>
    </row>
    <row r="98" spans="1:11" ht="12.75" customHeight="1">
      <c r="A98" s="28"/>
      <c r="B98" s="29"/>
      <c r="C98" s="30" t="str">
        <f>IFERROR(_xlfn.XLOOKUP(B98,Transporte[DESCRIPCION],Transporte[UND],,0),"")</f>
        <v/>
      </c>
      <c r="D98" s="31"/>
      <c r="E98" s="32" t="str">
        <f>IFERROR(_xlfn.XLOOKUP($B98,Transporte[DESCRIPCION],Transporte[VALOR],,0),"")</f>
        <v/>
      </c>
      <c r="F98" s="33"/>
      <c r="G98" s="34" t="str">
        <f>IFERROR(IF(F98&gt;=0,D98*E98*(1+F98/100),ABS(D98*E98/F98)),"")</f>
        <v/>
      </c>
      <c r="H98" s="43" t="str">
        <f>IFERROR(G98*E84,"")</f>
        <v/>
      </c>
      <c r="I98" s="3"/>
    </row>
    <row r="99" spans="1:11" ht="12.75" customHeight="1">
      <c r="A99" s="21"/>
      <c r="B99" s="22" t="s">
        <v>3732</v>
      </c>
      <c r="C99" s="23"/>
      <c r="D99" s="24"/>
      <c r="E99" s="25"/>
      <c r="F99" s="26"/>
      <c r="G99" s="27">
        <f>SUM(G100:G102)</f>
        <v>139729.22262000002</v>
      </c>
      <c r="H99" s="27">
        <f>IFERROR(G99*E84,"")</f>
        <v>0</v>
      </c>
      <c r="I99" s="3"/>
    </row>
    <row r="100" spans="1:11" ht="12.75" customHeight="1">
      <c r="A100" s="28"/>
      <c r="B100" s="29" t="s">
        <v>3724</v>
      </c>
      <c r="C100" s="30" t="str">
        <f>IFERROR(_xlfn.XLOOKUP(B100,MObra[DESCRIPCION],MObra[UN],,0),"")</f>
        <v>día</v>
      </c>
      <c r="D100" s="31">
        <v>1</v>
      </c>
      <c r="E100" s="32">
        <f>IFERROR(_xlfn.XLOOKUP($B100,MObra[DESCRIPCION],MObra[VALOR UNIT],,0),"")</f>
        <v>419187.66786000005</v>
      </c>
      <c r="F100" s="33">
        <v>-3</v>
      </c>
      <c r="G100" s="34">
        <f>IFERROR(IF(F100&gt;=0,D100*E100*(1+F100/100),ABS(D100*E100/F100)),"")</f>
        <v>139729.22262000002</v>
      </c>
      <c r="H100" s="43">
        <f>IFERROR(G100*E84,"")</f>
        <v>0</v>
      </c>
      <c r="I100" s="3"/>
    </row>
    <row r="101" spans="1:11" ht="12.75" customHeight="1">
      <c r="A101" s="28"/>
      <c r="B101" s="29"/>
      <c r="C101" s="30" t="str">
        <f>IFERROR(_xlfn.XLOOKUP(B101,MObra[DESCRIPCION],MObra[UN],,0),"")</f>
        <v/>
      </c>
      <c r="D101" s="31"/>
      <c r="E101" s="32" t="str">
        <f>IFERROR(_xlfn.XLOOKUP($B101,MObra[DESCRIPCION],MObra[VALOR UNIT],,0),"")</f>
        <v/>
      </c>
      <c r="F101" s="33"/>
      <c r="G101" s="34" t="str">
        <f>IFERROR(IF(F101&gt;=0,D101*E101*(1+F101/100),ABS(D101*E101/F101)),"")</f>
        <v/>
      </c>
      <c r="H101" s="43" t="str">
        <f>IFERROR(G101*E84,"")</f>
        <v/>
      </c>
      <c r="I101" s="3"/>
    </row>
    <row r="102" spans="1:11" ht="12.75" customHeight="1" thickBot="1">
      <c r="A102" s="35"/>
      <c r="B102" s="36"/>
      <c r="C102" s="37" t="str">
        <f>IFERROR(_xlfn.XLOOKUP(B102,MObra[DESCRIPCION],MObra[UN],,0),"")</f>
        <v/>
      </c>
      <c r="D102" s="38"/>
      <c r="E102" s="39" t="str">
        <f>IFERROR(_xlfn.XLOOKUP($B102,MObra[DESCRIPCION],MObra[VALOR UNIT],,0),"")</f>
        <v/>
      </c>
      <c r="F102" s="40"/>
      <c r="G102" s="41" t="str">
        <f>IFERROR(IF(F102&gt;=0,D102*E102*(1+F102/100),ABS(D102*E102/F102)),"")</f>
        <v/>
      </c>
      <c r="H102" s="42" t="str">
        <f>IFERROR(G102*E84,"")</f>
        <v/>
      </c>
      <c r="I102" s="3"/>
    </row>
    <row r="103" spans="1:11" ht="12.75" customHeight="1" thickTop="1" thickBot="1">
      <c r="I103" s="3"/>
    </row>
    <row r="104" spans="1:11" ht="12.75" customHeight="1" thickTop="1" thickBot="1">
      <c r="A104" s="6" t="s">
        <v>1564</v>
      </c>
      <c r="B104" s="7" t="str">
        <f>VLOOKUP($A104,Presupuesto!$A:$D,2,FALSE())</f>
        <v>Correa metálica triangular + anticorrosivo</v>
      </c>
      <c r="C104" s="8" t="str">
        <f>VLOOKUP($A104,Presupuesto!$A:$D,3,FALSE())</f>
        <v>Kg</v>
      </c>
      <c r="D104" s="9"/>
      <c r="E104" s="10">
        <f>VLOOKUP($A104,Presupuesto!$A:$D,4,FALSE())</f>
        <v>0</v>
      </c>
      <c r="F104" s="11" t="s">
        <v>2589</v>
      </c>
      <c r="G104" s="12">
        <f>SUM(G106:G122)/2</f>
        <v>178609.55589598333</v>
      </c>
      <c r="H104" s="13">
        <f>ROUND(SUM(H106:H122),0)/2</f>
        <v>0</v>
      </c>
      <c r="I104" s="10">
        <f>VLOOKUP(A104,Presupuesto!$A:$F,6,0)</f>
        <v>0</v>
      </c>
      <c r="J104" s="10">
        <f>+H104-I104</f>
        <v>0</v>
      </c>
      <c r="K104" s="46">
        <f>+H104-G104*E104</f>
        <v>0</v>
      </c>
    </row>
    <row r="105" spans="1:11" ht="12.75" customHeight="1" thickTop="1">
      <c r="A105" s="14"/>
      <c r="B105" s="15" t="s">
        <v>2586</v>
      </c>
      <c r="C105" s="15" t="s">
        <v>5</v>
      </c>
      <c r="D105" s="16" t="s">
        <v>6</v>
      </c>
      <c r="E105" s="17" t="s">
        <v>7</v>
      </c>
      <c r="F105" s="18" t="s">
        <v>3728</v>
      </c>
      <c r="G105" s="19" t="s">
        <v>3729</v>
      </c>
      <c r="H105" s="20" t="s">
        <v>3797</v>
      </c>
      <c r="I105" s="3"/>
    </row>
    <row r="106" spans="1:11" ht="12.75" customHeight="1">
      <c r="A106" s="21"/>
      <c r="B106" s="22" t="s">
        <v>3730</v>
      </c>
      <c r="C106" s="23"/>
      <c r="D106" s="24"/>
      <c r="E106" s="25"/>
      <c r="F106" s="26"/>
      <c r="G106" s="27">
        <f>SUM(G107:G111)</f>
        <v>153444.9</v>
      </c>
      <c r="H106" s="27">
        <f>IFERROR(G106*E104,"")</f>
        <v>0</v>
      </c>
      <c r="I106" s="3"/>
    </row>
    <row r="107" spans="1:11" ht="12.75" customHeight="1">
      <c r="A107" s="28"/>
      <c r="B107" s="29" t="s">
        <v>2899</v>
      </c>
      <c r="C107" s="30" t="str">
        <f>IFERROR(_xlfn.XLOOKUP(B107,Insumo[DESCRIPCION],Insumo[UND],,0),"")</f>
        <v>M</v>
      </c>
      <c r="D107" s="31">
        <v>1</v>
      </c>
      <c r="E107" s="32">
        <f>IFERROR(_xlfn.XLOOKUP($B107,Insumo[DESCRIPCION],Insumo[VALOR],,0),"")</f>
        <v>153444.9</v>
      </c>
      <c r="F107" s="33"/>
      <c r="G107" s="34">
        <f>IFERROR(IF(F107&gt;=0,D107*E107*(1+F107/100),ABS(D107*E107/F107)),"")</f>
        <v>153444.9</v>
      </c>
      <c r="H107" s="43">
        <f>IFERROR(G107*E104,"")</f>
        <v>0</v>
      </c>
      <c r="I107" s="3"/>
    </row>
    <row r="108" spans="1:11" ht="12.75" customHeight="1">
      <c r="A108" s="28"/>
      <c r="B108" s="29"/>
      <c r="C108" s="30" t="str">
        <f>IFERROR(_xlfn.XLOOKUP(B108,Insumo[DESCRIPCION],Insumo[UND],,0),"")</f>
        <v/>
      </c>
      <c r="D108" s="31"/>
      <c r="E108" s="32" t="str">
        <f>IFERROR(_xlfn.XLOOKUP($B108,Insumo[DESCRIPCION],Insumo[VALOR],,0),"")</f>
        <v/>
      </c>
      <c r="F108" s="33"/>
      <c r="G108" s="34" t="str">
        <f>IFERROR(IF(F108&gt;=0,D108*E108*(1+F108/100),ABS(D108*E108/F108)),"")</f>
        <v/>
      </c>
      <c r="H108" s="43" t="str">
        <f>IFERROR(G108*E104,"")</f>
        <v/>
      </c>
      <c r="I108" s="3"/>
    </row>
    <row r="109" spans="1:11" ht="12.75" customHeight="1">
      <c r="A109" s="28"/>
      <c r="B109" s="29"/>
      <c r="C109" s="30" t="str">
        <f>IFERROR(_xlfn.XLOOKUP(B109,Insumo[DESCRIPCION],Insumo[UND],,0),"")</f>
        <v/>
      </c>
      <c r="D109" s="31"/>
      <c r="E109" s="32" t="str">
        <f>IFERROR(_xlfn.XLOOKUP($B109,Insumo[DESCRIPCION],Insumo[VALOR],,0),"")</f>
        <v/>
      </c>
      <c r="F109" s="33"/>
      <c r="G109" s="34" t="str">
        <f>IFERROR(IF(F109&gt;=0,D109*E109*(1+F109/100),ABS(D109*E109/F109)),"")</f>
        <v/>
      </c>
      <c r="H109" s="43" t="str">
        <f>IFERROR(G109*E104,"")</f>
        <v/>
      </c>
      <c r="I109" s="3"/>
    </row>
    <row r="110" spans="1:11" ht="12.75" customHeight="1">
      <c r="A110" s="28"/>
      <c r="B110" s="29"/>
      <c r="C110" s="30" t="str">
        <f>IFERROR(_xlfn.XLOOKUP(B110,Insumo[DESCRIPCION],Insumo[UND],,0),"")</f>
        <v/>
      </c>
      <c r="D110" s="31"/>
      <c r="E110" s="32" t="str">
        <f>IFERROR(_xlfn.XLOOKUP($B110,Insumo[DESCRIPCION],Insumo[VALOR],,0),"")</f>
        <v/>
      </c>
      <c r="F110" s="33"/>
      <c r="G110" s="34" t="str">
        <f>IFERROR(IF(F110&gt;=0,D110*E110*(1+F110/100),ABS(D110*E110/F110)),"")</f>
        <v/>
      </c>
      <c r="H110" s="43" t="str">
        <f>IFERROR(G110*E104,"")</f>
        <v/>
      </c>
      <c r="I110" s="3"/>
    </row>
    <row r="111" spans="1:11" ht="12.75" customHeight="1">
      <c r="A111" s="28"/>
      <c r="B111" s="29"/>
      <c r="C111" s="30" t="str">
        <f>IFERROR(_xlfn.XLOOKUP(B111,Insumo[DESCRIPCION],Insumo[UND],,0),"")</f>
        <v/>
      </c>
      <c r="D111" s="31"/>
      <c r="E111" s="32" t="str">
        <f>IFERROR(_xlfn.XLOOKUP($B111,Insumo[DESCRIPCION],Insumo[VALOR],,0),"")</f>
        <v/>
      </c>
      <c r="F111" s="33"/>
      <c r="G111" s="34" t="str">
        <f>IFERROR(IF(F111&gt;=0,D111*E111*(1+F111/100),ABS(D111*E111/F111)),"")</f>
        <v/>
      </c>
      <c r="H111" s="43" t="str">
        <f>IFERROR(G111*E104,"")</f>
        <v/>
      </c>
      <c r="I111" s="3"/>
    </row>
    <row r="112" spans="1:11" ht="12.75" customHeight="1">
      <c r="A112" s="21"/>
      <c r="B112" s="22" t="s">
        <v>3731</v>
      </c>
      <c r="C112" s="23"/>
      <c r="D112" s="24"/>
      <c r="E112" s="25"/>
      <c r="F112" s="26"/>
      <c r="G112" s="27">
        <f>SUM(G113:G115)</f>
        <v>4205.2725029833337</v>
      </c>
      <c r="H112" s="27">
        <f>IFERROR(G112*E104,"")</f>
        <v>0</v>
      </c>
      <c r="I112" s="3"/>
    </row>
    <row r="113" spans="1:11" ht="12.75" customHeight="1">
      <c r="A113" s="28"/>
      <c r="B113" s="29" t="s">
        <v>3575</v>
      </c>
      <c r="C113" s="30" t="str">
        <f>IFERROR(_xlfn.XLOOKUP(B113,Equipo[DESCRIPCION],Equipo[UND],,0),"")</f>
        <v>Día</v>
      </c>
      <c r="D113" s="31">
        <v>1</v>
      </c>
      <c r="E113" s="32">
        <f>IF(C113="%MO",G119,IFERROR(_xlfn.XLOOKUP($B113,Equipo[DESCRIPCION],Equipo[VALOR],,0),""))</f>
        <v>142078.65</v>
      </c>
      <c r="F113" s="33">
        <v>-45</v>
      </c>
      <c r="G113" s="34">
        <f>IFERROR(IF(F113&gt;=0,D113*E113*(1+F113/100),ABS(D113*E113/F113)),"")</f>
        <v>3157.3033333333333</v>
      </c>
      <c r="H113" s="43">
        <f>IFERROR(G113*E104,"")</f>
        <v>0</v>
      </c>
      <c r="I113" s="3"/>
    </row>
    <row r="114" spans="1:11" ht="12.75" customHeight="1">
      <c r="A114" s="28"/>
      <c r="B114" s="29" t="s">
        <v>3626</v>
      </c>
      <c r="C114" s="30" t="str">
        <f>IFERROR(_xlfn.XLOOKUP(B114,Equipo[DESCRIPCION],Equipo[UND],,0),"")</f>
        <v>%MO</v>
      </c>
      <c r="D114" s="31">
        <v>0.05</v>
      </c>
      <c r="E114" s="32">
        <f>IF(C114="%MO",G119,IFERROR(_xlfn.XLOOKUP($B114,Equipo[DESCRIPCION],Equipo[VALOR],,0),""))</f>
        <v>20959.383393000004</v>
      </c>
      <c r="F114" s="33"/>
      <c r="G114" s="34">
        <f>IFERROR(IF(F114&gt;=0,D114*E114*(1+F114/100),ABS(D114*E114/F114)),"")</f>
        <v>1047.9691696500001</v>
      </c>
      <c r="H114" s="43">
        <f>IFERROR(G114*E104,"")</f>
        <v>0</v>
      </c>
      <c r="I114" s="3"/>
    </row>
    <row r="115" spans="1:11" ht="12.75" customHeight="1">
      <c r="A115" s="28"/>
      <c r="B115" s="29"/>
      <c r="C115" s="30" t="str">
        <f>IFERROR(_xlfn.XLOOKUP(B115,Equipo[DESCRIPCION],Equipo[UND],,0),"")</f>
        <v/>
      </c>
      <c r="D115" s="31"/>
      <c r="E115" s="32" t="str">
        <f>IF(C115="%MO",G119,IFERROR(_xlfn.XLOOKUP($B115,Equipo[DESCRIPCION],Equipo[VALOR],,0),""))</f>
        <v/>
      </c>
      <c r="F115" s="33"/>
      <c r="G115" s="34" t="str">
        <f>IFERROR(IF(F115&gt;=0,D115*E115*(1+F115/100),ABS(D115*E115/F115)),"")</f>
        <v/>
      </c>
      <c r="H115" s="43" t="str">
        <f>IFERROR(G115*E104,"")</f>
        <v/>
      </c>
      <c r="I115" s="3"/>
    </row>
    <row r="116" spans="1:11" ht="12.75" customHeight="1">
      <c r="A116" s="21"/>
      <c r="B116" s="22" t="s">
        <v>2533</v>
      </c>
      <c r="C116" s="23"/>
      <c r="D116" s="24"/>
      <c r="E116" s="25"/>
      <c r="F116" s="26"/>
      <c r="G116" s="27">
        <f>SUM(G117:G118)</f>
        <v>0</v>
      </c>
      <c r="H116" s="27">
        <f>IFERROR(G116*E104,"")</f>
        <v>0</v>
      </c>
      <c r="I116" s="3"/>
    </row>
    <row r="117" spans="1:11" ht="12.75" customHeight="1">
      <c r="A117" s="28"/>
      <c r="B117" s="29"/>
      <c r="C117" s="30" t="str">
        <f>IFERROR(_xlfn.XLOOKUP(B117,Transporte[DESCRIPCION],Transporte[UND],,0),"")</f>
        <v/>
      </c>
      <c r="D117" s="31"/>
      <c r="E117" s="32" t="str">
        <f>IFERROR(_xlfn.XLOOKUP($B117,Transporte[DESCRIPCION],Transporte[VALOR],,0),"")</f>
        <v/>
      </c>
      <c r="F117" s="33"/>
      <c r="G117" s="34" t="str">
        <f>IFERROR(IF(F117&gt;=0,D117*E117*(1+F117/100),ABS(D117*E117/F117)),"")</f>
        <v/>
      </c>
      <c r="H117" s="43" t="str">
        <f>IFERROR(G117*E104,"")</f>
        <v/>
      </c>
      <c r="I117" s="3"/>
    </row>
    <row r="118" spans="1:11" ht="12.75" customHeight="1">
      <c r="A118" s="28"/>
      <c r="B118" s="29"/>
      <c r="C118" s="30" t="str">
        <f>IFERROR(_xlfn.XLOOKUP(B118,Transporte[DESCRIPCION],Transporte[UND],,0),"")</f>
        <v/>
      </c>
      <c r="D118" s="31"/>
      <c r="E118" s="32" t="str">
        <f>IFERROR(_xlfn.XLOOKUP($B118,Transporte[DESCRIPCION],Transporte[VALOR],,0),"")</f>
        <v/>
      </c>
      <c r="F118" s="33"/>
      <c r="G118" s="34" t="str">
        <f>IFERROR(IF(F118&gt;=0,D118*E118*(1+F118/100),ABS(D118*E118/F118)),"")</f>
        <v/>
      </c>
      <c r="H118" s="43" t="str">
        <f>IFERROR(G118*E104,"")</f>
        <v/>
      </c>
      <c r="I118" s="3"/>
    </row>
    <row r="119" spans="1:11" ht="12.75" customHeight="1">
      <c r="A119" s="21"/>
      <c r="B119" s="22" t="s">
        <v>3732</v>
      </c>
      <c r="C119" s="23"/>
      <c r="D119" s="24"/>
      <c r="E119" s="25"/>
      <c r="F119" s="26"/>
      <c r="G119" s="27">
        <f>SUM(G120:G122)</f>
        <v>20959.383393000004</v>
      </c>
      <c r="H119" s="27">
        <f>IFERROR(G119*E104,"")</f>
        <v>0</v>
      </c>
      <c r="I119" s="3"/>
    </row>
    <row r="120" spans="1:11" ht="12.75" customHeight="1">
      <c r="A120" s="28"/>
      <c r="B120" s="29" t="s">
        <v>3710</v>
      </c>
      <c r="C120" s="30" t="str">
        <f>IFERROR(_xlfn.XLOOKUP(B120,MObra[DESCRIPCION],MObra[UN],,0),"")</f>
        <v>día</v>
      </c>
      <c r="D120" s="31">
        <v>1</v>
      </c>
      <c r="E120" s="32">
        <f>IFERROR(_xlfn.XLOOKUP($B120,MObra[DESCRIPCION],MObra[VALOR UNIT],,0),"")</f>
        <v>314390.75089500006</v>
      </c>
      <c r="F120" s="33">
        <v>-15</v>
      </c>
      <c r="G120" s="34">
        <f>IFERROR(IF(F120&gt;=0,D120*E120*(1+F120/100),ABS(D120*E120/F120)),"")</f>
        <v>20959.383393000004</v>
      </c>
      <c r="H120" s="43">
        <f>IFERROR(G120*E104,"")</f>
        <v>0</v>
      </c>
      <c r="I120" s="3"/>
    </row>
    <row r="121" spans="1:11" ht="12.75" customHeight="1">
      <c r="A121" s="28"/>
      <c r="B121" s="29"/>
      <c r="C121" s="30" t="str">
        <f>IFERROR(_xlfn.XLOOKUP(B121,MObra[DESCRIPCION],MObra[UN],,0),"")</f>
        <v/>
      </c>
      <c r="D121" s="31"/>
      <c r="E121" s="32" t="str">
        <f>IFERROR(_xlfn.XLOOKUP($B121,MObra[DESCRIPCION],MObra[VALOR UNIT],,0),"")</f>
        <v/>
      </c>
      <c r="F121" s="33"/>
      <c r="G121" s="34" t="str">
        <f>IFERROR(IF(F121&gt;=0,D121*E121*(1+F121/100),ABS(D121*E121/F121)),"")</f>
        <v/>
      </c>
      <c r="H121" s="43" t="str">
        <f>IFERROR(G121*E104,"")</f>
        <v/>
      </c>
      <c r="I121" s="3"/>
    </row>
    <row r="122" spans="1:11" ht="12.75" customHeight="1" thickBot="1">
      <c r="A122" s="35"/>
      <c r="B122" s="36"/>
      <c r="C122" s="37" t="str">
        <f>IFERROR(_xlfn.XLOOKUP(B122,MObra[DESCRIPCION],MObra[UN],,0),"")</f>
        <v/>
      </c>
      <c r="D122" s="38"/>
      <c r="E122" s="39" t="str">
        <f>IFERROR(_xlfn.XLOOKUP($B122,MObra[DESCRIPCION],MObra[VALOR UNIT],,0),"")</f>
        <v/>
      </c>
      <c r="F122" s="40"/>
      <c r="G122" s="41" t="str">
        <f>IFERROR(IF(F122&gt;=0,D122*E122*(1+F122/100),ABS(D122*E122/F122)),"")</f>
        <v/>
      </c>
      <c r="H122" s="42" t="str">
        <f>IFERROR(G122*E104,"")</f>
        <v/>
      </c>
      <c r="I122" s="3"/>
    </row>
    <row r="123" spans="1:11" ht="12.75" customHeight="1" thickTop="1" thickBot="1">
      <c r="I123" s="3"/>
    </row>
    <row r="124" spans="1:11" ht="12.75" customHeight="1" thickTop="1" thickBot="1">
      <c r="A124" s="6" t="s">
        <v>1566</v>
      </c>
      <c r="B124" s="7" t="str">
        <f>VLOOKUP($A124,Presupuesto!$A:$D,2,FALSE())</f>
        <v>Chapa bola fina madera seguridad</v>
      </c>
      <c r="C124" s="8" t="str">
        <f>VLOOKUP($A124,Presupuesto!$A:$D,3,FALSE())</f>
        <v>Un</v>
      </c>
      <c r="D124" s="9"/>
      <c r="E124" s="10">
        <f>VLOOKUP($A124,Presupuesto!$A:$D,4,FALSE())</f>
        <v>0</v>
      </c>
      <c r="F124" s="11" t="s">
        <v>2589</v>
      </c>
      <c r="G124" s="12">
        <f>SUM(G126:G142)/2</f>
        <v>78510.231243149989</v>
      </c>
      <c r="H124" s="13">
        <f>ROUND(SUM(H126:H142),0)/2</f>
        <v>0</v>
      </c>
      <c r="I124" s="10">
        <f>VLOOKUP(A124,Presupuesto!$A:$F,6,0)</f>
        <v>0</v>
      </c>
      <c r="J124" s="10">
        <f>+H124-I124</f>
        <v>0</v>
      </c>
      <c r="K124" s="46">
        <f>+H124-G124*E124</f>
        <v>0</v>
      </c>
    </row>
    <row r="125" spans="1:11" ht="12.75" customHeight="1" thickTop="1">
      <c r="A125" s="14"/>
      <c r="B125" s="15" t="s">
        <v>2586</v>
      </c>
      <c r="C125" s="15" t="s">
        <v>5</v>
      </c>
      <c r="D125" s="16" t="s">
        <v>6</v>
      </c>
      <c r="E125" s="17" t="s">
        <v>7</v>
      </c>
      <c r="F125" s="18" t="s">
        <v>3728</v>
      </c>
      <c r="G125" s="19" t="s">
        <v>3729</v>
      </c>
      <c r="H125" s="20" t="s">
        <v>3797</v>
      </c>
      <c r="I125" s="3"/>
    </row>
    <row r="126" spans="1:11" ht="12.75" customHeight="1">
      <c r="A126" s="21"/>
      <c r="B126" s="22" t="s">
        <v>3730</v>
      </c>
      <c r="C126" s="23"/>
      <c r="D126" s="24"/>
      <c r="E126" s="25"/>
      <c r="F126" s="26"/>
      <c r="G126" s="27">
        <f>SUM(G127:G131)</f>
        <v>64653.75</v>
      </c>
      <c r="H126" s="27">
        <f>IFERROR(G126*E124,"")</f>
        <v>0</v>
      </c>
      <c r="I126" s="3"/>
    </row>
    <row r="127" spans="1:11" ht="12.75" customHeight="1">
      <c r="A127" s="28"/>
      <c r="B127" s="29" t="s">
        <v>2830</v>
      </c>
      <c r="C127" s="30" t="str">
        <f>IFERROR(_xlfn.XLOOKUP(B127,Insumo[DESCRIPCION],Insumo[UND],,0),"")</f>
        <v>Un</v>
      </c>
      <c r="D127" s="31">
        <v>1</v>
      </c>
      <c r="E127" s="32">
        <f>IFERROR(_xlfn.XLOOKUP($B127,Insumo[DESCRIPCION],Insumo[VALOR],,0),"")</f>
        <v>64653.75</v>
      </c>
      <c r="F127" s="33"/>
      <c r="G127" s="34">
        <f>IFERROR(IF(F127&gt;=0,D127*E127*(1+F127/100),ABS(D127*E127/F127)),"")</f>
        <v>64653.75</v>
      </c>
      <c r="H127" s="43">
        <f>IFERROR(G127*E124,"")</f>
        <v>0</v>
      </c>
      <c r="I127" s="3"/>
    </row>
    <row r="128" spans="1:11" ht="12.75" customHeight="1">
      <c r="A128" s="28"/>
      <c r="B128" s="29"/>
      <c r="C128" s="30" t="str">
        <f>IFERROR(_xlfn.XLOOKUP(B128,Insumo[DESCRIPCION],Insumo[UND],,0),"")</f>
        <v/>
      </c>
      <c r="D128" s="31"/>
      <c r="E128" s="32" t="str">
        <f>IFERROR(_xlfn.XLOOKUP($B128,Insumo[DESCRIPCION],Insumo[VALOR],,0),"")</f>
        <v/>
      </c>
      <c r="F128" s="33"/>
      <c r="G128" s="34" t="str">
        <f>IFERROR(IF(F128&gt;=0,D128*E128*(1+F128/100),ABS(D128*E128/F128)),"")</f>
        <v/>
      </c>
      <c r="H128" s="43" t="str">
        <f>IFERROR(G128*E124,"")</f>
        <v/>
      </c>
      <c r="I128" s="3"/>
    </row>
    <row r="129" spans="1:11" ht="12.75" customHeight="1">
      <c r="A129" s="28"/>
      <c r="B129" s="29"/>
      <c r="C129" s="30" t="str">
        <f>IFERROR(_xlfn.XLOOKUP(B129,Insumo[DESCRIPCION],Insumo[UND],,0),"")</f>
        <v/>
      </c>
      <c r="D129" s="31"/>
      <c r="E129" s="32" t="str">
        <f>IFERROR(_xlfn.XLOOKUP($B129,Insumo[DESCRIPCION],Insumo[VALOR],,0),"")</f>
        <v/>
      </c>
      <c r="F129" s="33"/>
      <c r="G129" s="34" t="str">
        <f>IFERROR(IF(F129&gt;=0,D129*E129*(1+F129/100),ABS(D129*E129/F129)),"")</f>
        <v/>
      </c>
      <c r="H129" s="43" t="str">
        <f>IFERROR(G129*E124,"")</f>
        <v/>
      </c>
      <c r="I129" s="3"/>
    </row>
    <row r="130" spans="1:11" ht="12.75" customHeight="1">
      <c r="A130" s="28"/>
      <c r="B130" s="29"/>
      <c r="C130" s="30" t="str">
        <f>IFERROR(_xlfn.XLOOKUP(B130,Insumo[DESCRIPCION],Insumo[UND],,0),"")</f>
        <v/>
      </c>
      <c r="D130" s="31"/>
      <c r="E130" s="32" t="str">
        <f>IFERROR(_xlfn.XLOOKUP($B130,Insumo[DESCRIPCION],Insumo[VALOR],,0),"")</f>
        <v/>
      </c>
      <c r="F130" s="33"/>
      <c r="G130" s="34" t="str">
        <f>IFERROR(IF(F130&gt;=0,D130*E130*(1+F130/100),ABS(D130*E130/F130)),"")</f>
        <v/>
      </c>
      <c r="H130" s="43" t="str">
        <f>IFERROR(G130*E124,"")</f>
        <v/>
      </c>
      <c r="I130" s="3"/>
    </row>
    <row r="131" spans="1:11" ht="12.75" customHeight="1">
      <c r="A131" s="28"/>
      <c r="B131" s="29"/>
      <c r="C131" s="30" t="str">
        <f>IFERROR(_xlfn.XLOOKUP(B131,Insumo[DESCRIPCION],Insumo[UND],,0),"")</f>
        <v/>
      </c>
      <c r="D131" s="31"/>
      <c r="E131" s="32" t="str">
        <f>IFERROR(_xlfn.XLOOKUP($B131,Insumo[DESCRIPCION],Insumo[VALOR],,0),"")</f>
        <v/>
      </c>
      <c r="F131" s="33"/>
      <c r="G131" s="34" t="str">
        <f>IFERROR(IF(F131&gt;=0,D131*E131*(1+F131/100),ABS(D131*E131/F131)),"")</f>
        <v/>
      </c>
      <c r="H131" s="43" t="str">
        <f>IFERROR(G131*E124,"")</f>
        <v/>
      </c>
      <c r="I131" s="3"/>
    </row>
    <row r="132" spans="1:11" ht="12.75" customHeight="1">
      <c r="A132" s="21"/>
      <c r="B132" s="22" t="s">
        <v>3731</v>
      </c>
      <c r="C132" s="23"/>
      <c r="D132" s="24"/>
      <c r="E132" s="25"/>
      <c r="F132" s="26"/>
      <c r="G132" s="27">
        <f>SUM(G133:G135)</f>
        <v>659.83244015000014</v>
      </c>
      <c r="H132" s="27">
        <f>IFERROR(G132*E124,"")</f>
        <v>0</v>
      </c>
      <c r="I132" s="3"/>
    </row>
    <row r="133" spans="1:11" ht="12.75" customHeight="1">
      <c r="A133" s="28"/>
      <c r="B133" s="29" t="s">
        <v>3626</v>
      </c>
      <c r="C133" s="30" t="str">
        <f>IFERROR(_xlfn.XLOOKUP(B133,Equipo[DESCRIPCION],Equipo[UND],,0),"")</f>
        <v>%MO</v>
      </c>
      <c r="D133" s="31">
        <v>0.05</v>
      </c>
      <c r="E133" s="32">
        <f>IF(C133="%MO",G139,IFERROR(_xlfn.XLOOKUP($B133,Equipo[DESCRIPCION],Equipo[VALOR],,0),""))</f>
        <v>13196.648803000002</v>
      </c>
      <c r="F133" s="33"/>
      <c r="G133" s="34">
        <f>IFERROR(IF(F133&gt;=0,D133*E133*(1+F133/100),ABS(D133*E133/F133)),"")</f>
        <v>659.83244015000014</v>
      </c>
      <c r="H133" s="43">
        <f>IFERROR(G133*E124,"")</f>
        <v>0</v>
      </c>
      <c r="I133" s="3"/>
    </row>
    <row r="134" spans="1:11" ht="12.75" customHeight="1">
      <c r="A134" s="28"/>
      <c r="B134" s="29"/>
      <c r="C134" s="30" t="str">
        <f>IFERROR(_xlfn.XLOOKUP(B134,Equipo[DESCRIPCION],Equipo[UND],,0),"")</f>
        <v/>
      </c>
      <c r="D134" s="31"/>
      <c r="E134" s="32" t="str">
        <f>IF(C134="%MO",G139,IFERROR(_xlfn.XLOOKUP($B134,Equipo[DESCRIPCION],Equipo[VALOR],,0),""))</f>
        <v/>
      </c>
      <c r="F134" s="33"/>
      <c r="G134" s="34" t="str">
        <f>IFERROR(IF(F134&gt;=0,D134*E134*(1+F134/100),ABS(D134*E134/F134)),"")</f>
        <v/>
      </c>
      <c r="H134" s="43" t="str">
        <f>IFERROR(G134*E124,"")</f>
        <v/>
      </c>
      <c r="I134" s="3"/>
    </row>
    <row r="135" spans="1:11" ht="12.75" customHeight="1">
      <c r="A135" s="28"/>
      <c r="B135" s="29"/>
      <c r="C135" s="30" t="str">
        <f>IFERROR(_xlfn.XLOOKUP(B135,Equipo[DESCRIPCION],Equipo[UND],,0),"")</f>
        <v/>
      </c>
      <c r="D135" s="31"/>
      <c r="E135" s="32" t="str">
        <f>IF(C135="%MO",G139,IFERROR(_xlfn.XLOOKUP($B135,Equipo[DESCRIPCION],Equipo[VALOR],,0),""))</f>
        <v/>
      </c>
      <c r="F135" s="33"/>
      <c r="G135" s="34" t="str">
        <f>IFERROR(IF(F135&gt;=0,D135*E135*(1+F135/100),ABS(D135*E135/F135)),"")</f>
        <v/>
      </c>
      <c r="H135" s="43" t="str">
        <f>IFERROR(G135*E124,"")</f>
        <v/>
      </c>
      <c r="I135" s="3"/>
    </row>
    <row r="136" spans="1:11" ht="12.75" customHeight="1">
      <c r="A136" s="21"/>
      <c r="B136" s="22" t="s">
        <v>2533</v>
      </c>
      <c r="C136" s="23"/>
      <c r="D136" s="24"/>
      <c r="E136" s="25"/>
      <c r="F136" s="26"/>
      <c r="G136" s="27">
        <f>SUM(G137:G138)</f>
        <v>0</v>
      </c>
      <c r="H136" s="27">
        <f>IFERROR(G136*E124,"")</f>
        <v>0</v>
      </c>
      <c r="I136" s="3"/>
    </row>
    <row r="137" spans="1:11" ht="12.75" customHeight="1">
      <c r="A137" s="28"/>
      <c r="B137" s="29"/>
      <c r="C137" s="30" t="str">
        <f>IFERROR(_xlfn.XLOOKUP(B137,Transporte[DESCRIPCION],Transporte[UND],,0),"")</f>
        <v/>
      </c>
      <c r="D137" s="31"/>
      <c r="E137" s="32" t="str">
        <f>IFERROR(_xlfn.XLOOKUP($B137,Transporte[DESCRIPCION],Transporte[VALOR],,0),"")</f>
        <v/>
      </c>
      <c r="F137" s="33"/>
      <c r="G137" s="34" t="str">
        <f>IFERROR(IF(F137&gt;=0,D137*E137*(1+F137/100),ABS(D137*E137/F137)),"")</f>
        <v/>
      </c>
      <c r="H137" s="43" t="str">
        <f>IFERROR(G137*E124,"")</f>
        <v/>
      </c>
      <c r="I137" s="3"/>
    </row>
    <row r="138" spans="1:11" ht="12.75" customHeight="1">
      <c r="A138" s="28"/>
      <c r="B138" s="29"/>
      <c r="C138" s="30" t="str">
        <f>IFERROR(_xlfn.XLOOKUP(B138,Transporte[DESCRIPCION],Transporte[UND],,0),"")</f>
        <v/>
      </c>
      <c r="D138" s="31"/>
      <c r="E138" s="32" t="str">
        <f>IFERROR(_xlfn.XLOOKUP($B138,Transporte[DESCRIPCION],Transporte[VALOR],,0),"")</f>
        <v/>
      </c>
      <c r="F138" s="33"/>
      <c r="G138" s="34" t="str">
        <f>IFERROR(IF(F138&gt;=0,D138*E138*(1+F138/100),ABS(D138*E138/F138)),"")</f>
        <v/>
      </c>
      <c r="H138" s="43" t="str">
        <f>IFERROR(G138*E124,"")</f>
        <v/>
      </c>
      <c r="I138" s="3"/>
    </row>
    <row r="139" spans="1:11" ht="12.75" customHeight="1">
      <c r="A139" s="21"/>
      <c r="B139" s="22" t="s">
        <v>3732</v>
      </c>
      <c r="C139" s="23"/>
      <c r="D139" s="24"/>
      <c r="E139" s="25"/>
      <c r="F139" s="26"/>
      <c r="G139" s="27">
        <f>SUM(G140:G142)</f>
        <v>13196.648803000002</v>
      </c>
      <c r="H139" s="27">
        <f>IFERROR(G139*E124,"")</f>
        <v>0</v>
      </c>
      <c r="I139" s="3"/>
    </row>
    <row r="140" spans="1:11" ht="12.75" customHeight="1">
      <c r="A140" s="28"/>
      <c r="B140" s="29" t="s">
        <v>3705</v>
      </c>
      <c r="C140" s="30" t="str">
        <f>IFERROR(_xlfn.XLOOKUP(B140,MObra[DESCRIPCION],MObra[UN],,0),"")</f>
        <v>día</v>
      </c>
      <c r="D140" s="31">
        <v>1</v>
      </c>
      <c r="E140" s="32">
        <f>IFERROR(_xlfn.XLOOKUP($B140,MObra[DESCRIPCION],MObra[VALOR UNIT],,0),"")</f>
        <v>197949.73204500004</v>
      </c>
      <c r="F140" s="33">
        <v>-15</v>
      </c>
      <c r="G140" s="34">
        <f>IFERROR(IF(F140&gt;=0,D140*E140*(1+F140/100),ABS(D140*E140/F140)),"")</f>
        <v>13196.648803000002</v>
      </c>
      <c r="H140" s="43">
        <f>IFERROR(G140*E124,"")</f>
        <v>0</v>
      </c>
      <c r="I140" s="3"/>
    </row>
    <row r="141" spans="1:11" ht="12.75" customHeight="1">
      <c r="A141" s="28"/>
      <c r="B141" s="29"/>
      <c r="C141" s="30" t="str">
        <f>IFERROR(_xlfn.XLOOKUP(B141,MObra[DESCRIPCION],MObra[UN],,0),"")</f>
        <v/>
      </c>
      <c r="D141" s="31"/>
      <c r="E141" s="32" t="str">
        <f>IFERROR(_xlfn.XLOOKUP($B141,MObra[DESCRIPCION],MObra[VALOR UNIT],,0),"")</f>
        <v/>
      </c>
      <c r="F141" s="33"/>
      <c r="G141" s="34" t="str">
        <f>IFERROR(IF(F141&gt;=0,D141*E141*(1+F141/100),ABS(D141*E141/F141)),"")</f>
        <v/>
      </c>
      <c r="H141" s="43" t="str">
        <f>IFERROR(G141*E124,"")</f>
        <v/>
      </c>
      <c r="I141" s="3"/>
    </row>
    <row r="142" spans="1:11" ht="12.75" customHeight="1" thickBot="1">
      <c r="A142" s="35"/>
      <c r="B142" s="36"/>
      <c r="C142" s="37" t="str">
        <f>IFERROR(_xlfn.XLOOKUP(B142,MObra[DESCRIPCION],MObra[UN],,0),"")</f>
        <v/>
      </c>
      <c r="D142" s="38"/>
      <c r="E142" s="39" t="str">
        <f>IFERROR(_xlfn.XLOOKUP($B142,MObra[DESCRIPCION],MObra[VALOR UNIT],,0),"")</f>
        <v/>
      </c>
      <c r="F142" s="40"/>
      <c r="G142" s="41" t="str">
        <f>IFERROR(IF(F142&gt;=0,D142*E142*(1+F142/100),ABS(D142*E142/F142)),"")</f>
        <v/>
      </c>
      <c r="H142" s="42" t="str">
        <f>IFERROR(G142*E124,"")</f>
        <v/>
      </c>
      <c r="I142" s="3"/>
    </row>
    <row r="143" spans="1:11" ht="12.75" customHeight="1" thickTop="1" thickBot="1">
      <c r="I143" s="3"/>
    </row>
    <row r="144" spans="1:11" ht="12.75" customHeight="1" thickTop="1" thickBot="1">
      <c r="A144" s="6" t="s">
        <v>1568</v>
      </c>
      <c r="B144" s="7" t="str">
        <f>VLOOKUP($A144,Presupuesto!$A:$D,2,FALSE())</f>
        <v>Chapa seguridad 3 topes</v>
      </c>
      <c r="C144" s="8" t="str">
        <f>VLOOKUP($A144,Presupuesto!$A:$D,3,FALSE())</f>
        <v>Un</v>
      </c>
      <c r="D144" s="9"/>
      <c r="E144" s="10">
        <f>VLOOKUP($A144,Presupuesto!$A:$D,4,FALSE())</f>
        <v>0</v>
      </c>
      <c r="F144" s="11" t="s">
        <v>2589</v>
      </c>
      <c r="G144" s="12">
        <f>SUM(G146:G162)/2</f>
        <v>108247.62186472504</v>
      </c>
      <c r="H144" s="13">
        <f>ROUND(SUM(H146:H162),0)/2</f>
        <v>0</v>
      </c>
      <c r="I144" s="10">
        <f>VLOOKUP(A144,Presupuesto!$A:$F,6,0)</f>
        <v>0</v>
      </c>
      <c r="J144" s="10">
        <f>+H144-I144</f>
        <v>0</v>
      </c>
      <c r="K144" s="46">
        <f>+H144-G144*E144</f>
        <v>0</v>
      </c>
    </row>
    <row r="145" spans="1:9" ht="12.75" customHeight="1" thickTop="1">
      <c r="A145" s="14"/>
      <c r="B145" s="15" t="s">
        <v>2586</v>
      </c>
      <c r="C145" s="15" t="s">
        <v>5</v>
      </c>
      <c r="D145" s="16" t="s">
        <v>6</v>
      </c>
      <c r="E145" s="17" t="s">
        <v>7</v>
      </c>
      <c r="F145" s="18" t="s">
        <v>3728</v>
      </c>
      <c r="G145" s="19" t="s">
        <v>3729</v>
      </c>
      <c r="H145" s="20" t="s">
        <v>3797</v>
      </c>
      <c r="I145" s="3"/>
    </row>
    <row r="146" spans="1:9" ht="12.75" customHeight="1">
      <c r="A146" s="21"/>
      <c r="B146" s="22" t="s">
        <v>3730</v>
      </c>
      <c r="C146" s="23"/>
      <c r="D146" s="24"/>
      <c r="E146" s="25"/>
      <c r="F146" s="26"/>
      <c r="G146" s="27">
        <f>SUM(G147:G151)</f>
        <v>87462.900000000009</v>
      </c>
      <c r="H146" s="27">
        <f>IFERROR(G146*E144,"")</f>
        <v>0</v>
      </c>
      <c r="I146" s="3"/>
    </row>
    <row r="147" spans="1:9" ht="12.75" customHeight="1">
      <c r="A147" s="28"/>
      <c r="B147" s="29" t="s">
        <v>2832</v>
      </c>
      <c r="C147" s="30" t="str">
        <f>IFERROR(_xlfn.XLOOKUP(B147,Insumo[DESCRIPCION],Insumo[UND],,0),"")</f>
        <v>Un</v>
      </c>
      <c r="D147" s="31">
        <v>1</v>
      </c>
      <c r="E147" s="32">
        <f>IFERROR(_xlfn.XLOOKUP($B147,Insumo[DESCRIPCION],Insumo[VALOR],,0),"")</f>
        <v>87462.900000000009</v>
      </c>
      <c r="F147" s="33"/>
      <c r="G147" s="34">
        <f>IFERROR(IF(F147&gt;=0,D147*E147*(1+F147/100),ABS(D147*E147/F147)),"")</f>
        <v>87462.900000000009</v>
      </c>
      <c r="H147" s="43">
        <f>IFERROR(G147*E144,"")</f>
        <v>0</v>
      </c>
      <c r="I147" s="3"/>
    </row>
    <row r="148" spans="1:9" ht="12.75" customHeight="1">
      <c r="A148" s="28"/>
      <c r="B148" s="29"/>
      <c r="C148" s="30" t="str">
        <f>IFERROR(_xlfn.XLOOKUP(B148,Insumo[DESCRIPCION],Insumo[UND],,0),"")</f>
        <v/>
      </c>
      <c r="D148" s="31"/>
      <c r="E148" s="32" t="str">
        <f>IFERROR(_xlfn.XLOOKUP($B148,Insumo[DESCRIPCION],Insumo[VALOR],,0),"")</f>
        <v/>
      </c>
      <c r="F148" s="33"/>
      <c r="G148" s="34" t="str">
        <f>IFERROR(IF(F148&gt;=0,D148*E148*(1+F148/100),ABS(D148*E148/F148)),"")</f>
        <v/>
      </c>
      <c r="H148" s="43" t="str">
        <f>IFERROR(G148*E144,"")</f>
        <v/>
      </c>
      <c r="I148" s="3"/>
    </row>
    <row r="149" spans="1:9" ht="12.75" customHeight="1">
      <c r="A149" s="28"/>
      <c r="B149" s="29"/>
      <c r="C149" s="30" t="str">
        <f>IFERROR(_xlfn.XLOOKUP(B149,Insumo[DESCRIPCION],Insumo[UND],,0),"")</f>
        <v/>
      </c>
      <c r="D149" s="31"/>
      <c r="E149" s="32" t="str">
        <f>IFERROR(_xlfn.XLOOKUP($B149,Insumo[DESCRIPCION],Insumo[VALOR],,0),"")</f>
        <v/>
      </c>
      <c r="F149" s="33"/>
      <c r="G149" s="34" t="str">
        <f>IFERROR(IF(F149&gt;=0,D149*E149*(1+F149/100),ABS(D149*E149/F149)),"")</f>
        <v/>
      </c>
      <c r="H149" s="43" t="str">
        <f>IFERROR(G149*E144,"")</f>
        <v/>
      </c>
      <c r="I149" s="3"/>
    </row>
    <row r="150" spans="1:9" ht="12.75" customHeight="1">
      <c r="A150" s="28"/>
      <c r="B150" s="29"/>
      <c r="C150" s="30" t="str">
        <f>IFERROR(_xlfn.XLOOKUP(B150,Insumo[DESCRIPCION],Insumo[UND],,0),"")</f>
        <v/>
      </c>
      <c r="D150" s="31"/>
      <c r="E150" s="32" t="str">
        <f>IFERROR(_xlfn.XLOOKUP($B150,Insumo[DESCRIPCION],Insumo[VALOR],,0),"")</f>
        <v/>
      </c>
      <c r="F150" s="33"/>
      <c r="G150" s="34" t="str">
        <f>IFERROR(IF(F150&gt;=0,D150*E150*(1+F150/100),ABS(D150*E150/F150)),"")</f>
        <v/>
      </c>
      <c r="H150" s="43" t="str">
        <f>IFERROR(G150*E144,"")</f>
        <v/>
      </c>
      <c r="I150" s="3"/>
    </row>
    <row r="151" spans="1:9" ht="12.75" customHeight="1">
      <c r="A151" s="28"/>
      <c r="B151" s="29"/>
      <c r="C151" s="30" t="str">
        <f>IFERROR(_xlfn.XLOOKUP(B151,Insumo[DESCRIPCION],Insumo[UND],,0),"")</f>
        <v/>
      </c>
      <c r="D151" s="31"/>
      <c r="E151" s="32" t="str">
        <f>IFERROR(_xlfn.XLOOKUP($B151,Insumo[DESCRIPCION],Insumo[VALOR],,0),"")</f>
        <v/>
      </c>
      <c r="F151" s="33"/>
      <c r="G151" s="34" t="str">
        <f>IFERROR(IF(F151&gt;=0,D151*E151*(1+F151/100),ABS(D151*E151/F151)),"")</f>
        <v/>
      </c>
      <c r="H151" s="43" t="str">
        <f>IFERROR(G151*E144,"")</f>
        <v/>
      </c>
      <c r="I151" s="3"/>
    </row>
    <row r="152" spans="1:9" ht="12.75" customHeight="1">
      <c r="A152" s="21"/>
      <c r="B152" s="22" t="s">
        <v>3731</v>
      </c>
      <c r="C152" s="23"/>
      <c r="D152" s="24"/>
      <c r="E152" s="25"/>
      <c r="F152" s="26"/>
      <c r="G152" s="27">
        <f>SUM(G153:G155)</f>
        <v>989.74866022500032</v>
      </c>
      <c r="H152" s="27">
        <f>IFERROR(G152*E144,"")</f>
        <v>0</v>
      </c>
      <c r="I152" s="3"/>
    </row>
    <row r="153" spans="1:9" ht="12.75" customHeight="1">
      <c r="A153" s="28"/>
      <c r="B153" s="29" t="s">
        <v>3626</v>
      </c>
      <c r="C153" s="30" t="str">
        <f>IFERROR(_xlfn.XLOOKUP(B153,Equipo[DESCRIPCION],Equipo[UND],,0),"")</f>
        <v>%MO</v>
      </c>
      <c r="D153" s="31">
        <v>0.05</v>
      </c>
      <c r="E153" s="32">
        <f>IF(C153="%MO",G159,IFERROR(_xlfn.XLOOKUP($B153,Equipo[DESCRIPCION],Equipo[VALOR],,0),""))</f>
        <v>19794.973204500006</v>
      </c>
      <c r="F153" s="33"/>
      <c r="G153" s="34">
        <f>IFERROR(IF(F153&gt;=0,D153*E153*(1+F153/100),ABS(D153*E153/F153)),"")</f>
        <v>989.74866022500032</v>
      </c>
      <c r="H153" s="43">
        <f>IFERROR(G153*E144,"")</f>
        <v>0</v>
      </c>
      <c r="I153" s="3"/>
    </row>
    <row r="154" spans="1:9" ht="12.75" customHeight="1">
      <c r="A154" s="28"/>
      <c r="B154" s="29"/>
      <c r="C154" s="30" t="str">
        <f>IFERROR(_xlfn.XLOOKUP(B154,Equipo[DESCRIPCION],Equipo[UND],,0),"")</f>
        <v/>
      </c>
      <c r="D154" s="31"/>
      <c r="E154" s="32" t="str">
        <f>IF(C154="%MO",G159,IFERROR(_xlfn.XLOOKUP($B154,Equipo[DESCRIPCION],Equipo[VALOR],,0),""))</f>
        <v/>
      </c>
      <c r="F154" s="33"/>
      <c r="G154" s="34" t="str">
        <f>IFERROR(IF(F154&gt;=0,D154*E154*(1+F154/100),ABS(D154*E154/F154)),"")</f>
        <v/>
      </c>
      <c r="H154" s="43" t="str">
        <f>IFERROR(G154*E144,"")</f>
        <v/>
      </c>
      <c r="I154" s="3"/>
    </row>
    <row r="155" spans="1:9" ht="12.75" customHeight="1">
      <c r="A155" s="28"/>
      <c r="B155" s="29"/>
      <c r="C155" s="30" t="str">
        <f>IFERROR(_xlfn.XLOOKUP(B155,Equipo[DESCRIPCION],Equipo[UND],,0),"")</f>
        <v/>
      </c>
      <c r="D155" s="31"/>
      <c r="E155" s="32" t="str">
        <f>IF(C155="%MO",G159,IFERROR(_xlfn.XLOOKUP($B155,Equipo[DESCRIPCION],Equipo[VALOR],,0),""))</f>
        <v/>
      </c>
      <c r="F155" s="33"/>
      <c r="G155" s="34" t="str">
        <f>IFERROR(IF(F155&gt;=0,D155*E155*(1+F155/100),ABS(D155*E155/F155)),"")</f>
        <v/>
      </c>
      <c r="H155" s="43" t="str">
        <f>IFERROR(G155*E144,"")</f>
        <v/>
      </c>
      <c r="I155" s="3"/>
    </row>
    <row r="156" spans="1:9" ht="12.75" customHeight="1">
      <c r="A156" s="21"/>
      <c r="B156" s="22" t="s">
        <v>2533</v>
      </c>
      <c r="C156" s="23"/>
      <c r="D156" s="24"/>
      <c r="E156" s="25"/>
      <c r="F156" s="26"/>
      <c r="G156" s="27">
        <f>SUM(G157:G158)</f>
        <v>0</v>
      </c>
      <c r="H156" s="27">
        <f>IFERROR(G156*E144,"")</f>
        <v>0</v>
      </c>
      <c r="I156" s="3"/>
    </row>
    <row r="157" spans="1:9" ht="12.75" customHeight="1">
      <c r="A157" s="28"/>
      <c r="B157" s="29"/>
      <c r="C157" s="30" t="str">
        <f>IFERROR(_xlfn.XLOOKUP(B157,Transporte[DESCRIPCION],Transporte[UND],,0),"")</f>
        <v/>
      </c>
      <c r="D157" s="31"/>
      <c r="E157" s="32" t="str">
        <f>IFERROR(_xlfn.XLOOKUP($B157,Transporte[DESCRIPCION],Transporte[VALOR],,0),"")</f>
        <v/>
      </c>
      <c r="F157" s="33"/>
      <c r="G157" s="34" t="str">
        <f>IFERROR(IF(F157&gt;=0,D157*E157*(1+F157/100),ABS(D157*E157/F157)),"")</f>
        <v/>
      </c>
      <c r="H157" s="43" t="str">
        <f>IFERROR(G157*E144,"")</f>
        <v/>
      </c>
      <c r="I157" s="3"/>
    </row>
    <row r="158" spans="1:9" ht="12.75" customHeight="1">
      <c r="A158" s="28"/>
      <c r="B158" s="29"/>
      <c r="C158" s="30" t="str">
        <f>IFERROR(_xlfn.XLOOKUP(B158,Transporte[DESCRIPCION],Transporte[UND],,0),"")</f>
        <v/>
      </c>
      <c r="D158" s="31"/>
      <c r="E158" s="32" t="str">
        <f>IFERROR(_xlfn.XLOOKUP($B158,Transporte[DESCRIPCION],Transporte[VALOR],,0),"")</f>
        <v/>
      </c>
      <c r="F158" s="33"/>
      <c r="G158" s="34" t="str">
        <f>IFERROR(IF(F158&gt;=0,D158*E158*(1+F158/100),ABS(D158*E158/F158)),"")</f>
        <v/>
      </c>
      <c r="H158" s="43" t="str">
        <f>IFERROR(G158*E144,"")</f>
        <v/>
      </c>
      <c r="I158" s="3"/>
    </row>
    <row r="159" spans="1:9" ht="12.75" customHeight="1">
      <c r="A159" s="21"/>
      <c r="B159" s="22" t="s">
        <v>3732</v>
      </c>
      <c r="C159" s="23"/>
      <c r="D159" s="24"/>
      <c r="E159" s="25"/>
      <c r="F159" s="26"/>
      <c r="G159" s="27">
        <f>SUM(G160:G162)</f>
        <v>19794.973204500006</v>
      </c>
      <c r="H159" s="27">
        <f>IFERROR(G159*E144,"")</f>
        <v>0</v>
      </c>
      <c r="I159" s="3"/>
    </row>
    <row r="160" spans="1:9" ht="12.75" customHeight="1">
      <c r="A160" s="28"/>
      <c r="B160" s="29" t="s">
        <v>3705</v>
      </c>
      <c r="C160" s="30" t="str">
        <f>IFERROR(_xlfn.XLOOKUP(B160,MObra[DESCRIPCION],MObra[UN],,0),"")</f>
        <v>día</v>
      </c>
      <c r="D160" s="31">
        <v>1</v>
      </c>
      <c r="E160" s="32">
        <f>IFERROR(_xlfn.XLOOKUP($B160,MObra[DESCRIPCION],MObra[VALOR UNIT],,0),"")</f>
        <v>197949.73204500004</v>
      </c>
      <c r="F160" s="33">
        <v>-10</v>
      </c>
      <c r="G160" s="34">
        <f>IFERROR(IF(F160&gt;=0,D160*E160*(1+F160/100),ABS(D160*E160/F160)),"")</f>
        <v>19794.973204500006</v>
      </c>
      <c r="H160" s="43">
        <f>IFERROR(G160*E144,"")</f>
        <v>0</v>
      </c>
      <c r="I160" s="3"/>
    </row>
    <row r="161" spans="1:11" ht="12.75" customHeight="1">
      <c r="A161" s="28"/>
      <c r="B161" s="29"/>
      <c r="C161" s="30" t="str">
        <f>IFERROR(_xlfn.XLOOKUP(B161,MObra[DESCRIPCION],MObra[UN],,0),"")</f>
        <v/>
      </c>
      <c r="D161" s="31"/>
      <c r="E161" s="32" t="str">
        <f>IFERROR(_xlfn.XLOOKUP($B161,MObra[DESCRIPCION],MObra[VALOR UNIT],,0),"")</f>
        <v/>
      </c>
      <c r="F161" s="33"/>
      <c r="G161" s="34" t="str">
        <f>IFERROR(IF(F161&gt;=0,D161*E161*(1+F161/100),ABS(D161*E161/F161)),"")</f>
        <v/>
      </c>
      <c r="H161" s="43" t="str">
        <f>IFERROR(G161*E144,"")</f>
        <v/>
      </c>
      <c r="I161" s="3"/>
    </row>
    <row r="162" spans="1:11" ht="12.75" customHeight="1" thickBot="1">
      <c r="A162" s="35"/>
      <c r="B162" s="36"/>
      <c r="C162" s="37" t="str">
        <f>IFERROR(_xlfn.XLOOKUP(B162,MObra[DESCRIPCION],MObra[UN],,0),"")</f>
        <v/>
      </c>
      <c r="D162" s="38"/>
      <c r="E162" s="39" t="str">
        <f>IFERROR(_xlfn.XLOOKUP($B162,MObra[DESCRIPCION],MObra[VALOR UNIT],,0),"")</f>
        <v/>
      </c>
      <c r="F162" s="40"/>
      <c r="G162" s="41" t="str">
        <f>IFERROR(IF(F162&gt;=0,D162*E162*(1+F162/100),ABS(D162*E162/F162)),"")</f>
        <v/>
      </c>
      <c r="H162" s="42" t="str">
        <f>IFERROR(G162*E144,"")</f>
        <v/>
      </c>
      <c r="I162" s="3"/>
    </row>
    <row r="163" spans="1:11" ht="12.75" customHeight="1" thickTop="1" thickBot="1">
      <c r="I163" s="3"/>
    </row>
    <row r="164" spans="1:11" ht="12.75" customHeight="1" thickTop="1" thickBot="1">
      <c r="A164" s="6" t="s">
        <v>1570</v>
      </c>
      <c r="B164" s="7" t="str">
        <f>VLOOKUP($A164,Presupuesto!$A:$D,2,FALSE())</f>
        <v>Cinta viga Chanul 80x150 mm inmunizada</v>
      </c>
      <c r="C164" s="8" t="str">
        <f>VLOOKUP($A164,Presupuesto!$A:$D,3,FALSE())</f>
        <v>M</v>
      </c>
      <c r="D164" s="9"/>
      <c r="E164" s="10">
        <f>VLOOKUP($A164,Presupuesto!$A:$D,4,FALSE())</f>
        <v>0</v>
      </c>
      <c r="F164" s="11" t="s">
        <v>2589</v>
      </c>
      <c r="G164" s="12">
        <f>SUM(G166:G182)/2</f>
        <v>62546.995062649992</v>
      </c>
      <c r="H164" s="13">
        <f>ROUND(SUM(H166:H182),0)/2</f>
        <v>0</v>
      </c>
      <c r="I164" s="10">
        <f>VLOOKUP(A164,Presupuesto!$A:$F,6,0)</f>
        <v>0</v>
      </c>
      <c r="J164" s="10">
        <f>+H164-I164</f>
        <v>0</v>
      </c>
      <c r="K164" s="46">
        <f>+H164-G164*E164</f>
        <v>0</v>
      </c>
    </row>
    <row r="165" spans="1:11" ht="12.75" customHeight="1" thickTop="1">
      <c r="A165" s="14"/>
      <c r="B165" s="15" t="s">
        <v>2586</v>
      </c>
      <c r="C165" s="15" t="s">
        <v>5</v>
      </c>
      <c r="D165" s="16" t="s">
        <v>6</v>
      </c>
      <c r="E165" s="17" t="s">
        <v>7</v>
      </c>
      <c r="F165" s="18" t="s">
        <v>3728</v>
      </c>
      <c r="G165" s="19" t="s">
        <v>3729</v>
      </c>
      <c r="H165" s="20" t="s">
        <v>3797</v>
      </c>
      <c r="I165" s="3"/>
    </row>
    <row r="166" spans="1:11" ht="12.75" customHeight="1">
      <c r="A166" s="21"/>
      <c r="B166" s="22" t="s">
        <v>3730</v>
      </c>
      <c r="C166" s="23"/>
      <c r="D166" s="24"/>
      <c r="E166" s="25"/>
      <c r="F166" s="26"/>
      <c r="G166" s="27">
        <f>SUM(G167:G171)</f>
        <v>35803.6875</v>
      </c>
      <c r="H166" s="27">
        <f>IFERROR(G166*E164,"")</f>
        <v>0</v>
      </c>
      <c r="I166" s="3"/>
    </row>
    <row r="167" spans="1:11" ht="12.75" customHeight="1">
      <c r="A167" s="28"/>
      <c r="B167" s="29" t="s">
        <v>3126</v>
      </c>
      <c r="C167" s="30" t="str">
        <f>IFERROR(_xlfn.XLOOKUP(B167,Insumo[DESCRIPCION],Insumo[UND],,0),"")</f>
        <v>M</v>
      </c>
      <c r="D167" s="31">
        <v>1</v>
      </c>
      <c r="E167" s="32">
        <f>IFERROR(_xlfn.XLOOKUP($B167,Insumo[DESCRIPCION],Insumo[VALOR],,0),"")</f>
        <v>34098.75</v>
      </c>
      <c r="F167" s="33">
        <v>5</v>
      </c>
      <c r="G167" s="34">
        <f>IFERROR(IF(F167&gt;=0,D167*E167*(1+F167/100),ABS(D167*E167/F167)),"")</f>
        <v>35803.6875</v>
      </c>
      <c r="H167" s="43">
        <f>IFERROR(G167*E164,"")</f>
        <v>0</v>
      </c>
      <c r="I167" s="3"/>
    </row>
    <row r="168" spans="1:11" ht="12.75" customHeight="1">
      <c r="A168" s="28"/>
      <c r="B168" s="29"/>
      <c r="C168" s="30" t="str">
        <f>IFERROR(_xlfn.XLOOKUP(B168,Insumo[DESCRIPCION],Insumo[UND],,0),"")</f>
        <v/>
      </c>
      <c r="D168" s="31"/>
      <c r="E168" s="32" t="str">
        <f>IFERROR(_xlfn.XLOOKUP($B168,Insumo[DESCRIPCION],Insumo[VALOR],,0),"")</f>
        <v/>
      </c>
      <c r="F168" s="33"/>
      <c r="G168" s="34" t="str">
        <f>IFERROR(IF(F168&gt;=0,D168*E168*(1+F168/100),ABS(D168*E168/F168)),"")</f>
        <v/>
      </c>
      <c r="H168" s="43" t="str">
        <f>IFERROR(G168*E164,"")</f>
        <v/>
      </c>
      <c r="I168" s="3"/>
    </row>
    <row r="169" spans="1:11" ht="12.75" customHeight="1">
      <c r="A169" s="28"/>
      <c r="B169" s="29"/>
      <c r="C169" s="30" t="str">
        <f>IFERROR(_xlfn.XLOOKUP(B169,Insumo[DESCRIPCION],Insumo[UND],,0),"")</f>
        <v/>
      </c>
      <c r="D169" s="31"/>
      <c r="E169" s="32" t="str">
        <f>IFERROR(_xlfn.XLOOKUP($B169,Insumo[DESCRIPCION],Insumo[VALOR],,0),"")</f>
        <v/>
      </c>
      <c r="F169" s="33"/>
      <c r="G169" s="34" t="str">
        <f>IFERROR(IF(F169&gt;=0,D169*E169*(1+F169/100),ABS(D169*E169/F169)),"")</f>
        <v/>
      </c>
      <c r="H169" s="43" t="str">
        <f>IFERROR(G169*E164,"")</f>
        <v/>
      </c>
      <c r="I169" s="3"/>
    </row>
    <row r="170" spans="1:11" ht="12.75" customHeight="1">
      <c r="A170" s="28"/>
      <c r="B170" s="29"/>
      <c r="C170" s="30" t="str">
        <f>IFERROR(_xlfn.XLOOKUP(B170,Insumo[DESCRIPCION],Insumo[UND],,0),"")</f>
        <v/>
      </c>
      <c r="D170" s="31"/>
      <c r="E170" s="32" t="str">
        <f>IFERROR(_xlfn.XLOOKUP($B170,Insumo[DESCRIPCION],Insumo[VALOR],,0),"")</f>
        <v/>
      </c>
      <c r="F170" s="33"/>
      <c r="G170" s="34" t="str">
        <f>IFERROR(IF(F170&gt;=0,D170*E170*(1+F170/100),ABS(D170*E170/F170)),"")</f>
        <v/>
      </c>
      <c r="H170" s="43" t="str">
        <f>IFERROR(G170*E164,"")</f>
        <v/>
      </c>
      <c r="I170" s="3"/>
    </row>
    <row r="171" spans="1:11" ht="12.75" customHeight="1">
      <c r="A171" s="28"/>
      <c r="B171" s="29"/>
      <c r="C171" s="30" t="str">
        <f>IFERROR(_xlfn.XLOOKUP(B171,Insumo[DESCRIPCION],Insumo[UND],,0),"")</f>
        <v/>
      </c>
      <c r="D171" s="31"/>
      <c r="E171" s="32" t="str">
        <f>IFERROR(_xlfn.XLOOKUP($B171,Insumo[DESCRIPCION],Insumo[VALOR],,0),"")</f>
        <v/>
      </c>
      <c r="F171" s="33"/>
      <c r="G171" s="34" t="str">
        <f>IFERROR(IF(F171&gt;=0,D171*E171*(1+F171/100),ABS(D171*E171/F171)),"")</f>
        <v/>
      </c>
      <c r="H171" s="43" t="str">
        <f>IFERROR(G171*E164,"")</f>
        <v/>
      </c>
      <c r="I171" s="3"/>
    </row>
    <row r="172" spans="1:11" ht="12.75" customHeight="1">
      <c r="A172" s="21"/>
      <c r="B172" s="22" t="s">
        <v>3731</v>
      </c>
      <c r="C172" s="23"/>
      <c r="D172" s="24"/>
      <c r="E172" s="25"/>
      <c r="F172" s="26"/>
      <c r="G172" s="27">
        <f>SUM(G173:G175)</f>
        <v>5783.9241696500003</v>
      </c>
      <c r="H172" s="27">
        <f>IFERROR(G172*E164,"")</f>
        <v>0</v>
      </c>
      <c r="I172" s="3"/>
    </row>
    <row r="173" spans="1:11" ht="12.75" customHeight="1">
      <c r="A173" s="28"/>
      <c r="B173" s="29" t="s">
        <v>3575</v>
      </c>
      <c r="C173" s="30" t="str">
        <f>IFERROR(_xlfn.XLOOKUP(B173,Equipo[DESCRIPCION],Equipo[UND],,0),"")</f>
        <v>Día</v>
      </c>
      <c r="D173" s="31">
        <v>1</v>
      </c>
      <c r="E173" s="32">
        <f>IF(C173="%MO",G179,IFERROR(_xlfn.XLOOKUP($B173,Equipo[DESCRIPCION],Equipo[VALOR],,0),""))</f>
        <v>142078.65</v>
      </c>
      <c r="F173" s="33">
        <v>-30</v>
      </c>
      <c r="G173" s="34">
        <f>IFERROR(IF(F173&gt;=0,D173*E173*(1+F173/100),ABS(D173*E173/F173)),"")</f>
        <v>4735.9549999999999</v>
      </c>
      <c r="H173" s="43">
        <f>IFERROR(G173*E164,"")</f>
        <v>0</v>
      </c>
      <c r="I173" s="3"/>
    </row>
    <row r="174" spans="1:11" ht="12.75" customHeight="1">
      <c r="A174" s="28"/>
      <c r="B174" s="29" t="s">
        <v>3626</v>
      </c>
      <c r="C174" s="30" t="str">
        <f>IFERROR(_xlfn.XLOOKUP(B174,Equipo[DESCRIPCION],Equipo[UND],,0),"")</f>
        <v>%MO</v>
      </c>
      <c r="D174" s="31">
        <v>0.05</v>
      </c>
      <c r="E174" s="32">
        <f>IF(C174="%MO",G179,IFERROR(_xlfn.XLOOKUP($B174,Equipo[DESCRIPCION],Equipo[VALOR],,0),""))</f>
        <v>20959.383393000004</v>
      </c>
      <c r="F174" s="33"/>
      <c r="G174" s="34">
        <f>IFERROR(IF(F174&gt;=0,D174*E174*(1+F174/100),ABS(D174*E174/F174)),"")</f>
        <v>1047.9691696500001</v>
      </c>
      <c r="H174" s="43">
        <f>IFERROR(G174*E164,"")</f>
        <v>0</v>
      </c>
      <c r="I174" s="3"/>
    </row>
    <row r="175" spans="1:11" ht="12.75" customHeight="1">
      <c r="A175" s="28"/>
      <c r="B175" s="29"/>
      <c r="C175" s="30" t="str">
        <f>IFERROR(_xlfn.XLOOKUP(B175,Equipo[DESCRIPCION],Equipo[UND],,0),"")</f>
        <v/>
      </c>
      <c r="D175" s="31"/>
      <c r="E175" s="32" t="str">
        <f>IF(C175="%MO",G179,IFERROR(_xlfn.XLOOKUP($B175,Equipo[DESCRIPCION],Equipo[VALOR],,0),""))</f>
        <v/>
      </c>
      <c r="F175" s="33"/>
      <c r="G175" s="34" t="str">
        <f>IFERROR(IF(F175&gt;=0,D175*E175*(1+F175/100),ABS(D175*E175/F175)),"")</f>
        <v/>
      </c>
      <c r="H175" s="43" t="str">
        <f>IFERROR(G175*E164,"")</f>
        <v/>
      </c>
      <c r="I175" s="3"/>
    </row>
    <row r="176" spans="1:11" ht="12.75" customHeight="1">
      <c r="A176" s="21"/>
      <c r="B176" s="22" t="s">
        <v>2533</v>
      </c>
      <c r="C176" s="23"/>
      <c r="D176" s="24"/>
      <c r="E176" s="25"/>
      <c r="F176" s="26"/>
      <c r="G176" s="27">
        <f>SUM(G177:G178)</f>
        <v>0</v>
      </c>
      <c r="H176" s="27">
        <f>IFERROR(G176*E164,"")</f>
        <v>0</v>
      </c>
      <c r="I176" s="3"/>
    </row>
    <row r="177" spans="1:11" ht="12.75" customHeight="1">
      <c r="A177" s="28"/>
      <c r="B177" s="29"/>
      <c r="C177" s="30" t="str">
        <f>IFERROR(_xlfn.XLOOKUP(B177,Transporte[DESCRIPCION],Transporte[UND],,0),"")</f>
        <v/>
      </c>
      <c r="D177" s="31"/>
      <c r="E177" s="32" t="str">
        <f>IFERROR(_xlfn.XLOOKUP($B177,Transporte[DESCRIPCION],Transporte[VALOR],,0),"")</f>
        <v/>
      </c>
      <c r="F177" s="33"/>
      <c r="G177" s="34" t="str">
        <f>IFERROR(IF(F177&gt;=0,D177*E177*(1+F177/100),ABS(D177*E177/F177)),"")</f>
        <v/>
      </c>
      <c r="H177" s="43" t="str">
        <f>IFERROR(G177*E164,"")</f>
        <v/>
      </c>
      <c r="I177" s="3"/>
    </row>
    <row r="178" spans="1:11" ht="12.75" customHeight="1">
      <c r="A178" s="28"/>
      <c r="B178" s="29"/>
      <c r="C178" s="30" t="str">
        <f>IFERROR(_xlfn.XLOOKUP(B178,Transporte[DESCRIPCION],Transporte[UND],,0),"")</f>
        <v/>
      </c>
      <c r="D178" s="31"/>
      <c r="E178" s="32" t="str">
        <f>IFERROR(_xlfn.XLOOKUP($B178,Transporte[DESCRIPCION],Transporte[VALOR],,0),"")</f>
        <v/>
      </c>
      <c r="F178" s="33"/>
      <c r="G178" s="34" t="str">
        <f>IFERROR(IF(F178&gt;=0,D178*E178*(1+F178/100),ABS(D178*E178/F178)),"")</f>
        <v/>
      </c>
      <c r="H178" s="43" t="str">
        <f>IFERROR(G178*E164,"")</f>
        <v/>
      </c>
      <c r="I178" s="3"/>
    </row>
    <row r="179" spans="1:11" ht="12.75" customHeight="1">
      <c r="A179" s="21"/>
      <c r="B179" s="22" t="s">
        <v>3732</v>
      </c>
      <c r="C179" s="23"/>
      <c r="D179" s="24"/>
      <c r="E179" s="25"/>
      <c r="F179" s="26"/>
      <c r="G179" s="27">
        <f>SUM(G180:G182)</f>
        <v>20959.383393000004</v>
      </c>
      <c r="H179" s="27">
        <f>IFERROR(G179*E164,"")</f>
        <v>0</v>
      </c>
      <c r="I179" s="3"/>
    </row>
    <row r="180" spans="1:11" ht="12.75" customHeight="1">
      <c r="A180" s="28"/>
      <c r="B180" s="29" t="s">
        <v>3710</v>
      </c>
      <c r="C180" s="30" t="str">
        <f>IFERROR(_xlfn.XLOOKUP(B180,MObra[DESCRIPCION],MObra[UN],,0),"")</f>
        <v>día</v>
      </c>
      <c r="D180" s="31">
        <v>1</v>
      </c>
      <c r="E180" s="32">
        <f>IFERROR(_xlfn.XLOOKUP($B180,MObra[DESCRIPCION],MObra[VALOR UNIT],,0),"")</f>
        <v>314390.75089500006</v>
      </c>
      <c r="F180" s="33">
        <v>-15</v>
      </c>
      <c r="G180" s="34">
        <f>IFERROR(IF(F180&gt;=0,D180*E180*(1+F180/100),ABS(D180*E180/F180)),"")</f>
        <v>20959.383393000004</v>
      </c>
      <c r="H180" s="43">
        <f>IFERROR(G180*E164,"")</f>
        <v>0</v>
      </c>
      <c r="I180" s="3"/>
    </row>
    <row r="181" spans="1:11" ht="12.75" customHeight="1">
      <c r="A181" s="28"/>
      <c r="B181" s="29"/>
      <c r="C181" s="30" t="str">
        <f>IFERROR(_xlfn.XLOOKUP(B181,MObra[DESCRIPCION],MObra[UN],,0),"")</f>
        <v/>
      </c>
      <c r="D181" s="31"/>
      <c r="E181" s="32" t="str">
        <f>IFERROR(_xlfn.XLOOKUP($B181,MObra[DESCRIPCION],MObra[VALOR UNIT],,0),"")</f>
        <v/>
      </c>
      <c r="F181" s="33"/>
      <c r="G181" s="34" t="str">
        <f>IFERROR(IF(F181&gt;=0,D181*E181*(1+F181/100),ABS(D181*E181/F181)),"")</f>
        <v/>
      </c>
      <c r="H181" s="43" t="str">
        <f>IFERROR(G181*E164,"")</f>
        <v/>
      </c>
      <c r="I181" s="3"/>
    </row>
    <row r="182" spans="1:11" ht="12.75" customHeight="1" thickBot="1">
      <c r="A182" s="35"/>
      <c r="B182" s="36"/>
      <c r="C182" s="37" t="str">
        <f>IFERROR(_xlfn.XLOOKUP(B182,MObra[DESCRIPCION],MObra[UN],,0),"")</f>
        <v/>
      </c>
      <c r="D182" s="38"/>
      <c r="E182" s="39" t="str">
        <f>IFERROR(_xlfn.XLOOKUP($B182,MObra[DESCRIPCION],MObra[VALOR UNIT],,0),"")</f>
        <v/>
      </c>
      <c r="F182" s="40"/>
      <c r="G182" s="41" t="str">
        <f>IFERROR(IF(F182&gt;=0,D182*E182*(1+F182/100),ABS(D182*E182/F182)),"")</f>
        <v/>
      </c>
      <c r="H182" s="42" t="str">
        <f>IFERROR(G182*E164,"")</f>
        <v/>
      </c>
      <c r="I182" s="3"/>
    </row>
    <row r="183" spans="1:11" ht="12.75" customHeight="1" thickTop="1" thickBot="1">
      <c r="I183" s="3"/>
    </row>
    <row r="184" spans="1:11" ht="12.75" customHeight="1" thickTop="1" thickBot="1">
      <c r="A184" s="6" t="s">
        <v>1572</v>
      </c>
      <c r="B184" s="7" t="str">
        <f>VLOOKUP($A184,Presupuesto!$A:$D,2,FALSE())</f>
        <v>Correa cuartón Chanul 50x75 mm inmunizada</v>
      </c>
      <c r="C184" s="8" t="str">
        <f>VLOOKUP($A184,Presupuesto!$A:$D,3,FALSE())</f>
        <v>M</v>
      </c>
      <c r="D184" s="9"/>
      <c r="E184" s="10">
        <f>VLOOKUP($A184,Presupuesto!$A:$D,4,FALSE())</f>
        <v>0</v>
      </c>
      <c r="F184" s="11" t="s">
        <v>2589</v>
      </c>
      <c r="G184" s="12">
        <f>SUM(G186:G202)/2</f>
        <v>44645.702562650011</v>
      </c>
      <c r="H184" s="13">
        <f>ROUND(SUM(H186:H202),0)/2</f>
        <v>0</v>
      </c>
      <c r="I184" s="10">
        <f>VLOOKUP(A184,Presupuesto!$A:$F,6,0)</f>
        <v>0</v>
      </c>
      <c r="J184" s="10">
        <f>+H184-I184</f>
        <v>0</v>
      </c>
      <c r="K184" s="46">
        <f>+H184-G184*E184</f>
        <v>0</v>
      </c>
    </row>
    <row r="185" spans="1:11" ht="12.75" customHeight="1" thickTop="1">
      <c r="A185" s="14"/>
      <c r="B185" s="15" t="s">
        <v>2586</v>
      </c>
      <c r="C185" s="15" t="s">
        <v>5</v>
      </c>
      <c r="D185" s="16" t="s">
        <v>6</v>
      </c>
      <c r="E185" s="17" t="s">
        <v>7</v>
      </c>
      <c r="F185" s="18" t="s">
        <v>3728</v>
      </c>
      <c r="G185" s="19" t="s">
        <v>3729</v>
      </c>
      <c r="H185" s="20" t="s">
        <v>3797</v>
      </c>
      <c r="I185" s="3"/>
    </row>
    <row r="186" spans="1:11" ht="12.75" customHeight="1">
      <c r="A186" s="21"/>
      <c r="B186" s="22" t="s">
        <v>3730</v>
      </c>
      <c r="C186" s="23"/>
      <c r="D186" s="24"/>
      <c r="E186" s="25"/>
      <c r="F186" s="26"/>
      <c r="G186" s="27">
        <f>SUM(G187:G191)</f>
        <v>17902.395000000004</v>
      </c>
      <c r="H186" s="27">
        <f>IFERROR(G186*E184,"")</f>
        <v>0</v>
      </c>
      <c r="I186" s="3"/>
    </row>
    <row r="187" spans="1:11" ht="12.75" customHeight="1">
      <c r="A187" s="28"/>
      <c r="B187" s="29" t="s">
        <v>3125</v>
      </c>
      <c r="C187" s="30" t="str">
        <f>IFERROR(_xlfn.XLOOKUP(B187,Insumo[DESCRIPCION],Insumo[UND],,0),"")</f>
        <v>M</v>
      </c>
      <c r="D187" s="31">
        <v>1</v>
      </c>
      <c r="E187" s="32">
        <f>IFERROR(_xlfn.XLOOKUP($B187,Insumo[DESCRIPCION],Insumo[VALOR],,0),"")</f>
        <v>17049.900000000001</v>
      </c>
      <c r="F187" s="33">
        <v>5</v>
      </c>
      <c r="G187" s="34">
        <f>IFERROR(IF(F187&gt;=0,D187*E187*(1+F187/100),ABS(D187*E187/F187)),"")</f>
        <v>17902.395000000004</v>
      </c>
      <c r="H187" s="43">
        <f>IFERROR(G187*E184,"")</f>
        <v>0</v>
      </c>
      <c r="I187" s="3"/>
    </row>
    <row r="188" spans="1:11" ht="12.75" customHeight="1">
      <c r="A188" s="28"/>
      <c r="B188" s="29"/>
      <c r="C188" s="30" t="str">
        <f>IFERROR(_xlfn.XLOOKUP(B188,Insumo[DESCRIPCION],Insumo[UND],,0),"")</f>
        <v/>
      </c>
      <c r="D188" s="31"/>
      <c r="E188" s="32" t="str">
        <f>IFERROR(_xlfn.XLOOKUP($B188,Insumo[DESCRIPCION],Insumo[VALOR],,0),"")</f>
        <v/>
      </c>
      <c r="F188" s="33"/>
      <c r="G188" s="34" t="str">
        <f>IFERROR(IF(F188&gt;=0,D188*E188*(1+F188/100),ABS(D188*E188/F188)),"")</f>
        <v/>
      </c>
      <c r="H188" s="43" t="str">
        <f>IFERROR(G188*E184,"")</f>
        <v/>
      </c>
      <c r="I188" s="3"/>
    </row>
    <row r="189" spans="1:11" ht="12.75" customHeight="1">
      <c r="A189" s="28"/>
      <c r="B189" s="29"/>
      <c r="C189" s="30" t="str">
        <f>IFERROR(_xlfn.XLOOKUP(B189,Insumo[DESCRIPCION],Insumo[UND],,0),"")</f>
        <v/>
      </c>
      <c r="D189" s="31"/>
      <c r="E189" s="32" t="str">
        <f>IFERROR(_xlfn.XLOOKUP($B189,Insumo[DESCRIPCION],Insumo[VALOR],,0),"")</f>
        <v/>
      </c>
      <c r="F189" s="33"/>
      <c r="G189" s="34" t="str">
        <f>IFERROR(IF(F189&gt;=0,D189*E189*(1+F189/100),ABS(D189*E189/F189)),"")</f>
        <v/>
      </c>
      <c r="H189" s="43" t="str">
        <f>IFERROR(G189*E184,"")</f>
        <v/>
      </c>
      <c r="I189" s="3"/>
    </row>
    <row r="190" spans="1:11" ht="12.75" customHeight="1">
      <c r="A190" s="28"/>
      <c r="B190" s="29"/>
      <c r="C190" s="30" t="str">
        <f>IFERROR(_xlfn.XLOOKUP(B190,Insumo[DESCRIPCION],Insumo[UND],,0),"")</f>
        <v/>
      </c>
      <c r="D190" s="31"/>
      <c r="E190" s="32" t="str">
        <f>IFERROR(_xlfn.XLOOKUP($B190,Insumo[DESCRIPCION],Insumo[VALOR],,0),"")</f>
        <v/>
      </c>
      <c r="F190" s="33"/>
      <c r="G190" s="34" t="str">
        <f>IFERROR(IF(F190&gt;=0,D190*E190*(1+F190/100),ABS(D190*E190/F190)),"")</f>
        <v/>
      </c>
      <c r="H190" s="43" t="str">
        <f>IFERROR(G190*E184,"")</f>
        <v/>
      </c>
      <c r="I190" s="3"/>
    </row>
    <row r="191" spans="1:11" ht="12.75" customHeight="1">
      <c r="A191" s="28"/>
      <c r="B191" s="29"/>
      <c r="C191" s="30" t="str">
        <f>IFERROR(_xlfn.XLOOKUP(B191,Insumo[DESCRIPCION],Insumo[UND],,0),"")</f>
        <v/>
      </c>
      <c r="D191" s="31"/>
      <c r="E191" s="32" t="str">
        <f>IFERROR(_xlfn.XLOOKUP($B191,Insumo[DESCRIPCION],Insumo[VALOR],,0),"")</f>
        <v/>
      </c>
      <c r="F191" s="33"/>
      <c r="G191" s="34" t="str">
        <f>IFERROR(IF(F191&gt;=0,D191*E191*(1+F191/100),ABS(D191*E191/F191)),"")</f>
        <v/>
      </c>
      <c r="H191" s="43" t="str">
        <f>IFERROR(G191*E184,"")</f>
        <v/>
      </c>
      <c r="I191" s="3"/>
    </row>
    <row r="192" spans="1:11" ht="12.75" customHeight="1">
      <c r="A192" s="21"/>
      <c r="B192" s="22" t="s">
        <v>3731</v>
      </c>
      <c r="C192" s="23"/>
      <c r="D192" s="24"/>
      <c r="E192" s="25"/>
      <c r="F192" s="26"/>
      <c r="G192" s="27">
        <f>SUM(G193:G195)</f>
        <v>5783.9241696500003</v>
      </c>
      <c r="H192" s="27">
        <f>IFERROR(G192*E184,"")</f>
        <v>0</v>
      </c>
      <c r="I192" s="3"/>
    </row>
    <row r="193" spans="1:11" ht="12.75" customHeight="1">
      <c r="A193" s="28"/>
      <c r="B193" s="29" t="s">
        <v>3575</v>
      </c>
      <c r="C193" s="30" t="str">
        <f>IFERROR(_xlfn.XLOOKUP(B193,Equipo[DESCRIPCION],Equipo[UND],,0),"")</f>
        <v>Día</v>
      </c>
      <c r="D193" s="31">
        <v>1</v>
      </c>
      <c r="E193" s="32">
        <f>IF(C193="%MO",G199,IFERROR(_xlfn.XLOOKUP($B193,Equipo[DESCRIPCION],Equipo[VALOR],,0),""))</f>
        <v>142078.65</v>
      </c>
      <c r="F193" s="33">
        <v>-30</v>
      </c>
      <c r="G193" s="34">
        <f>IFERROR(IF(F193&gt;=0,D193*E193*(1+F193/100),ABS(D193*E193/F193)),"")</f>
        <v>4735.9549999999999</v>
      </c>
      <c r="H193" s="43">
        <f>IFERROR(G193*E184,"")</f>
        <v>0</v>
      </c>
      <c r="I193" s="3"/>
    </row>
    <row r="194" spans="1:11" ht="12.75" customHeight="1">
      <c r="A194" s="28"/>
      <c r="B194" s="29" t="s">
        <v>3626</v>
      </c>
      <c r="C194" s="30" t="str">
        <f>IFERROR(_xlfn.XLOOKUP(B194,Equipo[DESCRIPCION],Equipo[UND],,0),"")</f>
        <v>%MO</v>
      </c>
      <c r="D194" s="31">
        <v>0.05</v>
      </c>
      <c r="E194" s="32">
        <f>IF(C194="%MO",G199,IFERROR(_xlfn.XLOOKUP($B194,Equipo[DESCRIPCION],Equipo[VALOR],,0),""))</f>
        <v>20959.383393000004</v>
      </c>
      <c r="F194" s="33"/>
      <c r="G194" s="34">
        <f>IFERROR(IF(F194&gt;=0,D194*E194*(1+F194/100),ABS(D194*E194/F194)),"")</f>
        <v>1047.9691696500001</v>
      </c>
      <c r="H194" s="43">
        <f>IFERROR(G194*E184,"")</f>
        <v>0</v>
      </c>
      <c r="I194" s="3"/>
    </row>
    <row r="195" spans="1:11" ht="12.75" customHeight="1">
      <c r="A195" s="28"/>
      <c r="B195" s="29"/>
      <c r="C195" s="30" t="str">
        <f>IFERROR(_xlfn.XLOOKUP(B195,Equipo[DESCRIPCION],Equipo[UND],,0),"")</f>
        <v/>
      </c>
      <c r="D195" s="31"/>
      <c r="E195" s="32" t="str">
        <f>IF(C195="%MO",G199,IFERROR(_xlfn.XLOOKUP($B195,Equipo[DESCRIPCION],Equipo[VALOR],,0),""))</f>
        <v/>
      </c>
      <c r="F195" s="33"/>
      <c r="G195" s="34" t="str">
        <f>IFERROR(IF(F195&gt;=0,D195*E195*(1+F195/100),ABS(D195*E195/F195)),"")</f>
        <v/>
      </c>
      <c r="H195" s="43" t="str">
        <f>IFERROR(G195*E184,"")</f>
        <v/>
      </c>
      <c r="I195" s="3"/>
    </row>
    <row r="196" spans="1:11" ht="12.75" customHeight="1">
      <c r="A196" s="21"/>
      <c r="B196" s="22" t="s">
        <v>2533</v>
      </c>
      <c r="C196" s="23"/>
      <c r="D196" s="24"/>
      <c r="E196" s="25"/>
      <c r="F196" s="26"/>
      <c r="G196" s="27">
        <f>SUM(G197:G198)</f>
        <v>0</v>
      </c>
      <c r="H196" s="27">
        <f>IFERROR(G196*E184,"")</f>
        <v>0</v>
      </c>
      <c r="I196" s="3"/>
    </row>
    <row r="197" spans="1:11" ht="12.75" customHeight="1">
      <c r="A197" s="28"/>
      <c r="B197" s="29"/>
      <c r="C197" s="30" t="str">
        <f>IFERROR(_xlfn.XLOOKUP(B197,Transporte[DESCRIPCION],Transporte[UND],,0),"")</f>
        <v/>
      </c>
      <c r="D197" s="31"/>
      <c r="E197" s="32" t="str">
        <f>IFERROR(_xlfn.XLOOKUP($B197,Transporte[DESCRIPCION],Transporte[VALOR],,0),"")</f>
        <v/>
      </c>
      <c r="F197" s="33"/>
      <c r="G197" s="34" t="str">
        <f>IFERROR(IF(F197&gt;=0,D197*E197*(1+F197/100),ABS(D197*E197/F197)),"")</f>
        <v/>
      </c>
      <c r="H197" s="43" t="str">
        <f>IFERROR(G197*E184,"")</f>
        <v/>
      </c>
      <c r="I197" s="3"/>
    </row>
    <row r="198" spans="1:11" ht="12.75" customHeight="1">
      <c r="A198" s="28"/>
      <c r="B198" s="29"/>
      <c r="C198" s="30" t="str">
        <f>IFERROR(_xlfn.XLOOKUP(B198,Transporte[DESCRIPCION],Transporte[UND],,0),"")</f>
        <v/>
      </c>
      <c r="D198" s="31"/>
      <c r="E198" s="32" t="str">
        <f>IFERROR(_xlfn.XLOOKUP($B198,Transporte[DESCRIPCION],Transporte[VALOR],,0),"")</f>
        <v/>
      </c>
      <c r="F198" s="33"/>
      <c r="G198" s="34" t="str">
        <f>IFERROR(IF(F198&gt;=0,D198*E198*(1+F198/100),ABS(D198*E198/F198)),"")</f>
        <v/>
      </c>
      <c r="H198" s="43" t="str">
        <f>IFERROR(G198*E184,"")</f>
        <v/>
      </c>
      <c r="I198" s="3"/>
    </row>
    <row r="199" spans="1:11" ht="12.75" customHeight="1">
      <c r="A199" s="21"/>
      <c r="B199" s="22" t="s">
        <v>3732</v>
      </c>
      <c r="C199" s="23"/>
      <c r="D199" s="24"/>
      <c r="E199" s="25"/>
      <c r="F199" s="26"/>
      <c r="G199" s="27">
        <f>SUM(G200:G202)</f>
        <v>20959.383393000004</v>
      </c>
      <c r="H199" s="27">
        <f>IFERROR(G199*E184,"")</f>
        <v>0</v>
      </c>
      <c r="I199" s="3"/>
    </row>
    <row r="200" spans="1:11" ht="12.75" customHeight="1">
      <c r="A200" s="28"/>
      <c r="B200" s="29" t="s">
        <v>3710</v>
      </c>
      <c r="C200" s="30" t="str">
        <f>IFERROR(_xlfn.XLOOKUP(B200,MObra[DESCRIPCION],MObra[UN],,0),"")</f>
        <v>día</v>
      </c>
      <c r="D200" s="31">
        <v>1</v>
      </c>
      <c r="E200" s="32">
        <f>IFERROR(_xlfn.XLOOKUP($B200,MObra[DESCRIPCION],MObra[VALOR UNIT],,0),"")</f>
        <v>314390.75089500006</v>
      </c>
      <c r="F200" s="33">
        <v>-15</v>
      </c>
      <c r="G200" s="34">
        <f>IFERROR(IF(F200&gt;=0,D200*E200*(1+F200/100),ABS(D200*E200/F200)),"")</f>
        <v>20959.383393000004</v>
      </c>
      <c r="H200" s="43">
        <f>IFERROR(G200*E184,"")</f>
        <v>0</v>
      </c>
      <c r="I200" s="3"/>
    </row>
    <row r="201" spans="1:11" ht="12.75" customHeight="1">
      <c r="A201" s="28"/>
      <c r="B201" s="29"/>
      <c r="C201" s="30" t="str">
        <f>IFERROR(_xlfn.XLOOKUP(B201,MObra[DESCRIPCION],MObra[UN],,0),"")</f>
        <v/>
      </c>
      <c r="D201" s="31"/>
      <c r="E201" s="32" t="str">
        <f>IFERROR(_xlfn.XLOOKUP($B201,MObra[DESCRIPCION],MObra[VALOR UNIT],,0),"")</f>
        <v/>
      </c>
      <c r="F201" s="33"/>
      <c r="G201" s="34" t="str">
        <f>IFERROR(IF(F201&gt;=0,D201*E201*(1+F201/100),ABS(D201*E201/F201)),"")</f>
        <v/>
      </c>
      <c r="H201" s="43" t="str">
        <f>IFERROR(G201*E184,"")</f>
        <v/>
      </c>
      <c r="I201" s="3"/>
    </row>
    <row r="202" spans="1:11" ht="12.75" customHeight="1" thickBot="1">
      <c r="A202" s="35"/>
      <c r="B202" s="36"/>
      <c r="C202" s="37" t="str">
        <f>IFERROR(_xlfn.XLOOKUP(B202,MObra[DESCRIPCION],MObra[UN],,0),"")</f>
        <v/>
      </c>
      <c r="D202" s="38"/>
      <c r="E202" s="39" t="str">
        <f>IFERROR(_xlfn.XLOOKUP($B202,MObra[DESCRIPCION],MObra[VALOR UNIT],,0),"")</f>
        <v/>
      </c>
      <c r="F202" s="40"/>
      <c r="G202" s="41" t="str">
        <f>IFERROR(IF(F202&gt;=0,D202*E202*(1+F202/100),ABS(D202*E202/F202)),"")</f>
        <v/>
      </c>
      <c r="H202" s="42" t="str">
        <f>IFERROR(G202*E184,"")</f>
        <v/>
      </c>
      <c r="I202" s="3"/>
    </row>
    <row r="203" spans="1:11" ht="12.75" customHeight="1" thickTop="1" thickBot="1">
      <c r="I203" s="3"/>
    </row>
    <row r="204" spans="1:11" ht="12.75" customHeight="1" thickTop="1" thickBot="1">
      <c r="A204" s="6" t="s">
        <v>1574</v>
      </c>
      <c r="B204" s="7" t="str">
        <f>VLOOKUP($A204,Presupuesto!$A:$D,2,FALSE())</f>
        <v>División en acero inoxidable</v>
      </c>
      <c r="C204" s="8" t="str">
        <f>VLOOKUP($A204,Presupuesto!$A:$D,3,FALSE())</f>
        <v>M2</v>
      </c>
      <c r="D204" s="9"/>
      <c r="E204" s="10">
        <f>VLOOKUP($A204,Presupuesto!$A:$D,4,FALSE())</f>
        <v>0</v>
      </c>
      <c r="F204" s="11" t="s">
        <v>2589</v>
      </c>
      <c r="G204" s="12">
        <f>SUM(G206:G222)/2</f>
        <v>898820.02884397516</v>
      </c>
      <c r="H204" s="13">
        <f>ROUND(SUM(H206:H222),0)/2</f>
        <v>0</v>
      </c>
      <c r="I204" s="10">
        <f>VLOOKUP(A204,Presupuesto!$A:$F,6,0)</f>
        <v>0</v>
      </c>
      <c r="J204" s="10">
        <f>+H204-I204</f>
        <v>0</v>
      </c>
      <c r="K204" s="46">
        <f>+H204-G204*E204</f>
        <v>0</v>
      </c>
    </row>
    <row r="205" spans="1:11" ht="12.75" customHeight="1" thickTop="1">
      <c r="A205" s="14"/>
      <c r="B205" s="15" t="s">
        <v>2586</v>
      </c>
      <c r="C205" s="15" t="s">
        <v>5</v>
      </c>
      <c r="D205" s="16" t="s">
        <v>6</v>
      </c>
      <c r="E205" s="17" t="s">
        <v>7</v>
      </c>
      <c r="F205" s="18" t="s">
        <v>3728</v>
      </c>
      <c r="G205" s="19" t="s">
        <v>3729</v>
      </c>
      <c r="H205" s="20" t="s">
        <v>3797</v>
      </c>
      <c r="I205" s="3"/>
    </row>
    <row r="206" spans="1:11" ht="12.75" customHeight="1">
      <c r="A206" s="21"/>
      <c r="B206" s="22" t="s">
        <v>3730</v>
      </c>
      <c r="C206" s="23"/>
      <c r="D206" s="24"/>
      <c r="E206" s="25"/>
      <c r="F206" s="26"/>
      <c r="G206" s="27">
        <f>SUM(G207:G211)</f>
        <v>865809.00000000012</v>
      </c>
      <c r="H206" s="27">
        <f>IFERROR(G206*E204,"")</f>
        <v>0</v>
      </c>
      <c r="I206" s="3"/>
    </row>
    <row r="207" spans="1:11" ht="12.75" customHeight="1">
      <c r="A207" s="28"/>
      <c r="B207" s="29" t="s">
        <v>2930</v>
      </c>
      <c r="C207" s="30" t="str">
        <f>IFERROR(_xlfn.XLOOKUP(B207,Insumo[DESCRIPCION],Insumo[UND],,0),"")</f>
        <v>M2</v>
      </c>
      <c r="D207" s="31">
        <v>1</v>
      </c>
      <c r="E207" s="32">
        <f>IFERROR(_xlfn.XLOOKUP($B207,Insumo[DESCRIPCION],Insumo[VALOR],,0),"")</f>
        <v>865653.60000000009</v>
      </c>
      <c r="F207" s="33"/>
      <c r="G207" s="34">
        <f>IFERROR(IF(F207&gt;=0,D207*E207*(1+F207/100),ABS(D207*E207/F207)),"")</f>
        <v>865653.60000000009</v>
      </c>
      <c r="H207" s="43">
        <f>IFERROR(G207*E204,"")</f>
        <v>0</v>
      </c>
      <c r="I207" s="3"/>
    </row>
    <row r="208" spans="1:11" ht="12.75" customHeight="1">
      <c r="A208" s="28"/>
      <c r="B208" s="29" t="s">
        <v>3407</v>
      </c>
      <c r="C208" s="30" t="str">
        <f>IFERROR(_xlfn.XLOOKUP(B208,Insumo[DESCRIPCION],Insumo[UND],,0),"")</f>
        <v>Un</v>
      </c>
      <c r="D208" s="31">
        <v>2</v>
      </c>
      <c r="E208" s="32">
        <f>IFERROR(_xlfn.XLOOKUP($B208,Insumo[DESCRIPCION],Insumo[VALOR],,0),"")</f>
        <v>77.7</v>
      </c>
      <c r="F208" s="33"/>
      <c r="G208" s="34">
        <f>IFERROR(IF(F208&gt;=0,D208*E208*(1+F208/100),ABS(D208*E208/F208)),"")</f>
        <v>155.4</v>
      </c>
      <c r="H208" s="43">
        <f>IFERROR(G208*E204,"")</f>
        <v>0</v>
      </c>
      <c r="I208" s="3"/>
    </row>
    <row r="209" spans="1:11" ht="12.75" customHeight="1">
      <c r="A209" s="28"/>
      <c r="B209" s="29"/>
      <c r="C209" s="30" t="str">
        <f>IFERROR(_xlfn.XLOOKUP(B209,Insumo[DESCRIPCION],Insumo[UND],,0),"")</f>
        <v/>
      </c>
      <c r="D209" s="31"/>
      <c r="E209" s="32" t="str">
        <f>IFERROR(_xlfn.XLOOKUP($B209,Insumo[DESCRIPCION],Insumo[VALOR],,0),"")</f>
        <v/>
      </c>
      <c r="F209" s="33"/>
      <c r="G209" s="34" t="str">
        <f>IFERROR(IF(F209&gt;=0,D209*E209*(1+F209/100),ABS(D209*E209/F209)),"")</f>
        <v/>
      </c>
      <c r="H209" s="43" t="str">
        <f>IFERROR(G209*E204,"")</f>
        <v/>
      </c>
      <c r="I209" s="3"/>
    </row>
    <row r="210" spans="1:11" ht="12.75" customHeight="1">
      <c r="A210" s="28"/>
      <c r="B210" s="29"/>
      <c r="C210" s="30" t="str">
        <f>IFERROR(_xlfn.XLOOKUP(B210,Insumo[DESCRIPCION],Insumo[UND],,0),"")</f>
        <v/>
      </c>
      <c r="D210" s="31"/>
      <c r="E210" s="32" t="str">
        <f>IFERROR(_xlfn.XLOOKUP($B210,Insumo[DESCRIPCION],Insumo[VALOR],,0),"")</f>
        <v/>
      </c>
      <c r="F210" s="33"/>
      <c r="G210" s="34" t="str">
        <f>IFERROR(IF(F210&gt;=0,D210*E210*(1+F210/100),ABS(D210*E210/F210)),"")</f>
        <v/>
      </c>
      <c r="H210" s="43" t="str">
        <f>IFERROR(G210*E204,"")</f>
        <v/>
      </c>
      <c r="I210" s="3"/>
    </row>
    <row r="211" spans="1:11" ht="12.75" customHeight="1">
      <c r="A211" s="28"/>
      <c r="B211" s="29"/>
      <c r="C211" s="30" t="str">
        <f>IFERROR(_xlfn.XLOOKUP(B211,Insumo[DESCRIPCION],Insumo[UND],,0),"")</f>
        <v/>
      </c>
      <c r="D211" s="31"/>
      <c r="E211" s="32" t="str">
        <f>IFERROR(_xlfn.XLOOKUP($B211,Insumo[DESCRIPCION],Insumo[VALOR],,0),"")</f>
        <v/>
      </c>
      <c r="F211" s="33"/>
      <c r="G211" s="34" t="str">
        <f>IFERROR(IF(F211&gt;=0,D211*E211*(1+F211/100),ABS(D211*E211/F211)),"")</f>
        <v/>
      </c>
      <c r="H211" s="43" t="str">
        <f>IFERROR(G211*E204,"")</f>
        <v/>
      </c>
      <c r="I211" s="3"/>
    </row>
    <row r="212" spans="1:11" ht="12.75" customHeight="1">
      <c r="A212" s="21"/>
      <c r="B212" s="22" t="s">
        <v>3731</v>
      </c>
      <c r="C212" s="23"/>
      <c r="D212" s="24"/>
      <c r="E212" s="25"/>
      <c r="F212" s="26"/>
      <c r="G212" s="27">
        <f>SUM(G213:G215)</f>
        <v>1571.9537544750003</v>
      </c>
      <c r="H212" s="27">
        <f>IFERROR(G212*E204,"")</f>
        <v>0</v>
      </c>
      <c r="I212" s="3"/>
    </row>
    <row r="213" spans="1:11" ht="12.75" customHeight="1">
      <c r="A213" s="28"/>
      <c r="B213" s="29" t="s">
        <v>3626</v>
      </c>
      <c r="C213" s="30" t="str">
        <f>IFERROR(_xlfn.XLOOKUP(B213,Equipo[DESCRIPCION],Equipo[UND],,0),"")</f>
        <v>%MO</v>
      </c>
      <c r="D213" s="31">
        <v>0.05</v>
      </c>
      <c r="E213" s="32">
        <f>IF(C213="%MO",G219,IFERROR(_xlfn.XLOOKUP($B213,Equipo[DESCRIPCION],Equipo[VALOR],,0),""))</f>
        <v>31439.075089500006</v>
      </c>
      <c r="F213" s="33"/>
      <c r="G213" s="34">
        <f>IFERROR(IF(F213&gt;=0,D213*E213*(1+F213/100),ABS(D213*E213/F213)),"")</f>
        <v>1571.9537544750003</v>
      </c>
      <c r="H213" s="43">
        <f>IFERROR(G213*E204,"")</f>
        <v>0</v>
      </c>
      <c r="I213" s="3"/>
    </row>
    <row r="214" spans="1:11" ht="12.75" customHeight="1">
      <c r="A214" s="28"/>
      <c r="B214" s="29"/>
      <c r="C214" s="30" t="str">
        <f>IFERROR(_xlfn.XLOOKUP(B214,Equipo[DESCRIPCION],Equipo[UND],,0),"")</f>
        <v/>
      </c>
      <c r="D214" s="31"/>
      <c r="E214" s="32" t="str">
        <f>IF(C214="%MO",G219,IFERROR(_xlfn.XLOOKUP($B214,Equipo[DESCRIPCION],Equipo[VALOR],,0),""))</f>
        <v/>
      </c>
      <c r="F214" s="33"/>
      <c r="G214" s="34" t="str">
        <f>IFERROR(IF(F214&gt;=0,D214*E214*(1+F214/100),ABS(D214*E214/F214)),"")</f>
        <v/>
      </c>
      <c r="H214" s="43" t="str">
        <f>IFERROR(G214*E204,"")</f>
        <v/>
      </c>
      <c r="I214" s="3"/>
    </row>
    <row r="215" spans="1:11" ht="12.75" customHeight="1">
      <c r="A215" s="28"/>
      <c r="B215" s="29"/>
      <c r="C215" s="30" t="str">
        <f>IFERROR(_xlfn.XLOOKUP(B215,Equipo[DESCRIPCION],Equipo[UND],,0),"")</f>
        <v/>
      </c>
      <c r="D215" s="31"/>
      <c r="E215" s="32" t="str">
        <f>IF(C215="%MO",G219,IFERROR(_xlfn.XLOOKUP($B215,Equipo[DESCRIPCION],Equipo[VALOR],,0),""))</f>
        <v/>
      </c>
      <c r="F215" s="33"/>
      <c r="G215" s="34" t="str">
        <f>IFERROR(IF(F215&gt;=0,D215*E215*(1+F215/100),ABS(D215*E215/F215)),"")</f>
        <v/>
      </c>
      <c r="H215" s="43" t="str">
        <f>IFERROR(G215*E204,"")</f>
        <v/>
      </c>
      <c r="I215" s="3"/>
    </row>
    <row r="216" spans="1:11" ht="12.75" customHeight="1">
      <c r="A216" s="21"/>
      <c r="B216" s="22" t="s">
        <v>2533</v>
      </c>
      <c r="C216" s="23"/>
      <c r="D216" s="24"/>
      <c r="E216" s="25"/>
      <c r="F216" s="26"/>
      <c r="G216" s="27">
        <f>SUM(G217:G218)</f>
        <v>0</v>
      </c>
      <c r="H216" s="27">
        <f>IFERROR(G216*E204,"")</f>
        <v>0</v>
      </c>
      <c r="I216" s="3"/>
    </row>
    <row r="217" spans="1:11" ht="12.75" customHeight="1">
      <c r="A217" s="28"/>
      <c r="B217" s="29"/>
      <c r="C217" s="30" t="str">
        <f>IFERROR(_xlfn.XLOOKUP(B217,Transporte[DESCRIPCION],Transporte[UND],,0),"")</f>
        <v/>
      </c>
      <c r="D217" s="31"/>
      <c r="E217" s="32" t="str">
        <f>IFERROR(_xlfn.XLOOKUP($B217,Transporte[DESCRIPCION],Transporte[VALOR],,0),"")</f>
        <v/>
      </c>
      <c r="F217" s="33"/>
      <c r="G217" s="34" t="str">
        <f>IFERROR(IF(F217&gt;=0,D217*E217*(1+F217/100),ABS(D217*E217/F217)),"")</f>
        <v/>
      </c>
      <c r="H217" s="43" t="str">
        <f>IFERROR(G217*E204,"")</f>
        <v/>
      </c>
      <c r="I217" s="3"/>
    </row>
    <row r="218" spans="1:11" ht="12.75" customHeight="1">
      <c r="A218" s="28"/>
      <c r="B218" s="29"/>
      <c r="C218" s="30" t="str">
        <f>IFERROR(_xlfn.XLOOKUP(B218,Transporte[DESCRIPCION],Transporte[UND],,0),"")</f>
        <v/>
      </c>
      <c r="D218" s="31"/>
      <c r="E218" s="32" t="str">
        <f>IFERROR(_xlfn.XLOOKUP($B218,Transporte[DESCRIPCION],Transporte[VALOR],,0),"")</f>
        <v/>
      </c>
      <c r="F218" s="33"/>
      <c r="G218" s="34" t="str">
        <f>IFERROR(IF(F218&gt;=0,D218*E218*(1+F218/100),ABS(D218*E218/F218)),"")</f>
        <v/>
      </c>
      <c r="H218" s="43" t="str">
        <f>IFERROR(G218*E204,"")</f>
        <v/>
      </c>
      <c r="I218" s="3"/>
    </row>
    <row r="219" spans="1:11" ht="12.75" customHeight="1">
      <c r="A219" s="21"/>
      <c r="B219" s="22" t="s">
        <v>3732</v>
      </c>
      <c r="C219" s="23"/>
      <c r="D219" s="24"/>
      <c r="E219" s="25"/>
      <c r="F219" s="26"/>
      <c r="G219" s="27">
        <f>SUM(G220:G222)</f>
        <v>31439.075089500006</v>
      </c>
      <c r="H219" s="27">
        <f>IFERROR(G219*E204,"")</f>
        <v>0</v>
      </c>
      <c r="I219" s="3"/>
    </row>
    <row r="220" spans="1:11" ht="12.75" customHeight="1">
      <c r="A220" s="28"/>
      <c r="B220" s="29" t="s">
        <v>3710</v>
      </c>
      <c r="C220" s="30" t="str">
        <f>IFERROR(_xlfn.XLOOKUP(B220,MObra[DESCRIPCION],MObra[UN],,0),"")</f>
        <v>día</v>
      </c>
      <c r="D220" s="31">
        <v>1</v>
      </c>
      <c r="E220" s="32">
        <f>IFERROR(_xlfn.XLOOKUP($B220,MObra[DESCRIPCION],MObra[VALOR UNIT],,0),"")</f>
        <v>314390.75089500006</v>
      </c>
      <c r="F220" s="33">
        <v>-10</v>
      </c>
      <c r="G220" s="34">
        <f>IFERROR(IF(F220&gt;=0,D220*E220*(1+F220/100),ABS(D220*E220/F220)),"")</f>
        <v>31439.075089500006</v>
      </c>
      <c r="H220" s="43">
        <f>IFERROR(G220*E204,"")</f>
        <v>0</v>
      </c>
      <c r="I220" s="3"/>
    </row>
    <row r="221" spans="1:11" ht="12.75" customHeight="1">
      <c r="A221" s="28"/>
      <c r="B221" s="29"/>
      <c r="C221" s="30" t="str">
        <f>IFERROR(_xlfn.XLOOKUP(B221,MObra[DESCRIPCION],MObra[UN],,0),"")</f>
        <v/>
      </c>
      <c r="D221" s="31"/>
      <c r="E221" s="32" t="str">
        <f>IFERROR(_xlfn.XLOOKUP($B221,MObra[DESCRIPCION],MObra[VALOR UNIT],,0),"")</f>
        <v/>
      </c>
      <c r="F221" s="33"/>
      <c r="G221" s="34" t="str">
        <f>IFERROR(IF(F221&gt;=0,D221*E221*(1+F221/100),ABS(D221*E221/F221)),"")</f>
        <v/>
      </c>
      <c r="H221" s="43" t="str">
        <f>IFERROR(G221*E204,"")</f>
        <v/>
      </c>
      <c r="I221" s="3"/>
    </row>
    <row r="222" spans="1:11" ht="12.75" customHeight="1" thickBot="1">
      <c r="A222" s="35"/>
      <c r="B222" s="36"/>
      <c r="C222" s="37" t="str">
        <f>IFERROR(_xlfn.XLOOKUP(B222,MObra[DESCRIPCION],MObra[UN],,0),"")</f>
        <v/>
      </c>
      <c r="D222" s="38"/>
      <c r="E222" s="39" t="str">
        <f>IFERROR(_xlfn.XLOOKUP($B222,MObra[DESCRIPCION],MObra[VALOR UNIT],,0),"")</f>
        <v/>
      </c>
      <c r="F222" s="40"/>
      <c r="G222" s="41" t="str">
        <f>IFERROR(IF(F222&gt;=0,D222*E222*(1+F222/100),ABS(D222*E222/F222)),"")</f>
        <v/>
      </c>
      <c r="H222" s="42" t="str">
        <f>IFERROR(G222*E204,"")</f>
        <v/>
      </c>
      <c r="I222" s="3"/>
    </row>
    <row r="223" spans="1:11" ht="12.75" customHeight="1" thickTop="1" thickBot="1">
      <c r="I223" s="3"/>
    </row>
    <row r="224" spans="1:11" ht="12.75" customHeight="1" thickTop="1" thickBot="1">
      <c r="A224" s="6" t="s">
        <v>1576</v>
      </c>
      <c r="B224" s="7" t="str">
        <f>VLOOKUP($A224,Presupuesto!$A:$D,2,FALSE())</f>
        <v>División en vidrio templado 6mm para baño</v>
      </c>
      <c r="C224" s="8" t="str">
        <f>VLOOKUP($A224,Presupuesto!$A:$D,3,FALSE())</f>
        <v>M2</v>
      </c>
      <c r="D224" s="9"/>
      <c r="E224" s="10">
        <f>VLOOKUP($A224,Presupuesto!$A:$D,4,FALSE())</f>
        <v>0</v>
      </c>
      <c r="F224" s="11" t="s">
        <v>2589</v>
      </c>
      <c r="G224" s="12">
        <f>SUM(G226:G242)/2</f>
        <v>547745.17884397507</v>
      </c>
      <c r="H224" s="13">
        <f>ROUND(SUM(H226:H242),0)/2</f>
        <v>0</v>
      </c>
      <c r="I224" s="10">
        <f>VLOOKUP(A224,Presupuesto!$A:$F,6,0)</f>
        <v>0</v>
      </c>
      <c r="J224" s="10">
        <f>+H224-I224</f>
        <v>0</v>
      </c>
      <c r="K224" s="46">
        <f>+H224-G224*E224</f>
        <v>0</v>
      </c>
    </row>
    <row r="225" spans="1:9" ht="12.75" customHeight="1" thickTop="1">
      <c r="A225" s="14"/>
      <c r="B225" s="15" t="s">
        <v>2586</v>
      </c>
      <c r="C225" s="15" t="s">
        <v>5</v>
      </c>
      <c r="D225" s="16" t="s">
        <v>6</v>
      </c>
      <c r="E225" s="17" t="s">
        <v>7</v>
      </c>
      <c r="F225" s="18" t="s">
        <v>3728</v>
      </c>
      <c r="G225" s="19" t="s">
        <v>3729</v>
      </c>
      <c r="H225" s="20" t="s">
        <v>3797</v>
      </c>
      <c r="I225" s="3"/>
    </row>
    <row r="226" spans="1:9" ht="12.75" customHeight="1">
      <c r="A226" s="21"/>
      <c r="B226" s="22" t="s">
        <v>3730</v>
      </c>
      <c r="C226" s="23"/>
      <c r="D226" s="24"/>
      <c r="E226" s="25"/>
      <c r="F226" s="26"/>
      <c r="G226" s="27">
        <f>SUM(G227:G231)</f>
        <v>514734.15</v>
      </c>
      <c r="H226" s="27">
        <f>IFERROR(G226*E224,"")</f>
        <v>0</v>
      </c>
      <c r="I226" s="3"/>
    </row>
    <row r="227" spans="1:9" ht="12.75" customHeight="1">
      <c r="A227" s="28"/>
      <c r="B227" s="29" t="s">
        <v>2931</v>
      </c>
      <c r="C227" s="30" t="str">
        <f>IFERROR(_xlfn.XLOOKUP(B227,Insumo[DESCRIPCION],Insumo[UND],,0),"")</f>
        <v>M2</v>
      </c>
      <c r="D227" s="31">
        <v>1</v>
      </c>
      <c r="E227" s="32">
        <f>IFERROR(_xlfn.XLOOKUP($B227,Insumo[DESCRIPCION],Insumo[VALOR],,0),"")</f>
        <v>514578.75</v>
      </c>
      <c r="F227" s="33"/>
      <c r="G227" s="34">
        <f>IFERROR(IF(F227&gt;=0,D227*E227*(1+F227/100),ABS(D227*E227/F227)),"")</f>
        <v>514578.75</v>
      </c>
      <c r="H227" s="43">
        <f>IFERROR(G227*E224,"")</f>
        <v>0</v>
      </c>
      <c r="I227" s="3"/>
    </row>
    <row r="228" spans="1:9" ht="12.75" customHeight="1">
      <c r="A228" s="28"/>
      <c r="B228" s="29" t="s">
        <v>3407</v>
      </c>
      <c r="C228" s="30" t="str">
        <f>IFERROR(_xlfn.XLOOKUP(B228,Insumo[DESCRIPCION],Insumo[UND],,0),"")</f>
        <v>Un</v>
      </c>
      <c r="D228" s="31">
        <v>2</v>
      </c>
      <c r="E228" s="32">
        <f>IFERROR(_xlfn.XLOOKUP($B228,Insumo[DESCRIPCION],Insumo[VALOR],,0),"")</f>
        <v>77.7</v>
      </c>
      <c r="F228" s="33"/>
      <c r="G228" s="34">
        <f>IFERROR(IF(F228&gt;=0,D228*E228*(1+F228/100),ABS(D228*E228/F228)),"")</f>
        <v>155.4</v>
      </c>
      <c r="H228" s="43">
        <f>IFERROR(G228*E224,"")</f>
        <v>0</v>
      </c>
      <c r="I228" s="3"/>
    </row>
    <row r="229" spans="1:9" ht="12.75" customHeight="1">
      <c r="A229" s="28"/>
      <c r="B229" s="29"/>
      <c r="C229" s="30" t="str">
        <f>IFERROR(_xlfn.XLOOKUP(B229,Insumo[DESCRIPCION],Insumo[UND],,0),"")</f>
        <v/>
      </c>
      <c r="D229" s="31"/>
      <c r="E229" s="32" t="str">
        <f>IFERROR(_xlfn.XLOOKUP($B229,Insumo[DESCRIPCION],Insumo[VALOR],,0),"")</f>
        <v/>
      </c>
      <c r="F229" s="33"/>
      <c r="G229" s="34" t="str">
        <f>IFERROR(IF(F229&gt;=0,D229*E229*(1+F229/100),ABS(D229*E229/F229)),"")</f>
        <v/>
      </c>
      <c r="H229" s="43" t="str">
        <f>IFERROR(G229*E224,"")</f>
        <v/>
      </c>
      <c r="I229" s="3"/>
    </row>
    <row r="230" spans="1:9" ht="12.75" customHeight="1">
      <c r="A230" s="28"/>
      <c r="B230" s="29"/>
      <c r="C230" s="30" t="str">
        <f>IFERROR(_xlfn.XLOOKUP(B230,Insumo[DESCRIPCION],Insumo[UND],,0),"")</f>
        <v/>
      </c>
      <c r="D230" s="31"/>
      <c r="E230" s="32" t="str">
        <f>IFERROR(_xlfn.XLOOKUP($B230,Insumo[DESCRIPCION],Insumo[VALOR],,0),"")</f>
        <v/>
      </c>
      <c r="F230" s="33"/>
      <c r="G230" s="34" t="str">
        <f>IFERROR(IF(F230&gt;=0,D230*E230*(1+F230/100),ABS(D230*E230/F230)),"")</f>
        <v/>
      </c>
      <c r="H230" s="43" t="str">
        <f>IFERROR(G230*E224,"")</f>
        <v/>
      </c>
      <c r="I230" s="3"/>
    </row>
    <row r="231" spans="1:9" ht="12.75" customHeight="1">
      <c r="A231" s="28"/>
      <c r="B231" s="29"/>
      <c r="C231" s="30" t="str">
        <f>IFERROR(_xlfn.XLOOKUP(B231,Insumo[DESCRIPCION],Insumo[UND],,0),"")</f>
        <v/>
      </c>
      <c r="D231" s="31"/>
      <c r="E231" s="32" t="str">
        <f>IFERROR(_xlfn.XLOOKUP($B231,Insumo[DESCRIPCION],Insumo[VALOR],,0),"")</f>
        <v/>
      </c>
      <c r="F231" s="33"/>
      <c r="G231" s="34" t="str">
        <f>IFERROR(IF(F231&gt;=0,D231*E231*(1+F231/100),ABS(D231*E231/F231)),"")</f>
        <v/>
      </c>
      <c r="H231" s="43" t="str">
        <f>IFERROR(G231*E224,"")</f>
        <v/>
      </c>
      <c r="I231" s="3"/>
    </row>
    <row r="232" spans="1:9" ht="12.75" customHeight="1">
      <c r="A232" s="21"/>
      <c r="B232" s="22" t="s">
        <v>3731</v>
      </c>
      <c r="C232" s="23"/>
      <c r="D232" s="24"/>
      <c r="E232" s="25"/>
      <c r="F232" s="26"/>
      <c r="G232" s="27">
        <f>SUM(G233:G235)</f>
        <v>1571.9537544750003</v>
      </c>
      <c r="H232" s="27">
        <f>IFERROR(G232*E224,"")</f>
        <v>0</v>
      </c>
      <c r="I232" s="3"/>
    </row>
    <row r="233" spans="1:9" ht="12.75" customHeight="1">
      <c r="A233" s="28"/>
      <c r="B233" s="29" t="s">
        <v>3626</v>
      </c>
      <c r="C233" s="30" t="str">
        <f>IFERROR(_xlfn.XLOOKUP(B233,Equipo[DESCRIPCION],Equipo[UND],,0),"")</f>
        <v>%MO</v>
      </c>
      <c r="D233" s="31">
        <v>0.05</v>
      </c>
      <c r="E233" s="32">
        <f>IF(C233="%MO",G239,IFERROR(_xlfn.XLOOKUP($B233,Equipo[DESCRIPCION],Equipo[VALOR],,0),""))</f>
        <v>31439.075089500006</v>
      </c>
      <c r="F233" s="33"/>
      <c r="G233" s="34">
        <f>IFERROR(IF(F233&gt;=0,D233*E233*(1+F233/100),ABS(D233*E233/F233)),"")</f>
        <v>1571.9537544750003</v>
      </c>
      <c r="H233" s="43">
        <f>IFERROR(G233*E224,"")</f>
        <v>0</v>
      </c>
      <c r="I233" s="3"/>
    </row>
    <row r="234" spans="1:9" ht="12.75" customHeight="1">
      <c r="A234" s="28"/>
      <c r="B234" s="29"/>
      <c r="C234" s="30" t="str">
        <f>IFERROR(_xlfn.XLOOKUP(B234,Equipo[DESCRIPCION],Equipo[UND],,0),"")</f>
        <v/>
      </c>
      <c r="D234" s="31"/>
      <c r="E234" s="32" t="str">
        <f>IF(C234="%MO",G239,IFERROR(_xlfn.XLOOKUP($B234,Equipo[DESCRIPCION],Equipo[VALOR],,0),""))</f>
        <v/>
      </c>
      <c r="F234" s="33"/>
      <c r="G234" s="34" t="str">
        <f>IFERROR(IF(F234&gt;=0,D234*E234*(1+F234/100),ABS(D234*E234/F234)),"")</f>
        <v/>
      </c>
      <c r="H234" s="43" t="str">
        <f>IFERROR(G234*E224,"")</f>
        <v/>
      </c>
      <c r="I234" s="3"/>
    </row>
    <row r="235" spans="1:9" ht="12.75" customHeight="1">
      <c r="A235" s="28"/>
      <c r="B235" s="29"/>
      <c r="C235" s="30" t="str">
        <f>IFERROR(_xlfn.XLOOKUP(B235,Equipo[DESCRIPCION],Equipo[UND],,0),"")</f>
        <v/>
      </c>
      <c r="D235" s="31"/>
      <c r="E235" s="32" t="str">
        <f>IF(C235="%MO",G239,IFERROR(_xlfn.XLOOKUP($B235,Equipo[DESCRIPCION],Equipo[VALOR],,0),""))</f>
        <v/>
      </c>
      <c r="F235" s="33"/>
      <c r="G235" s="34" t="str">
        <f>IFERROR(IF(F235&gt;=0,D235*E235*(1+F235/100),ABS(D235*E235/F235)),"")</f>
        <v/>
      </c>
      <c r="H235" s="43" t="str">
        <f>IFERROR(G235*E224,"")</f>
        <v/>
      </c>
      <c r="I235" s="3"/>
    </row>
    <row r="236" spans="1:9" ht="12.75" customHeight="1">
      <c r="A236" s="21"/>
      <c r="B236" s="22" t="s">
        <v>2533</v>
      </c>
      <c r="C236" s="23"/>
      <c r="D236" s="24"/>
      <c r="E236" s="25"/>
      <c r="F236" s="26"/>
      <c r="G236" s="27">
        <f>SUM(G237:G238)</f>
        <v>0</v>
      </c>
      <c r="H236" s="27">
        <f>IFERROR(G236*E224,"")</f>
        <v>0</v>
      </c>
      <c r="I236" s="3"/>
    </row>
    <row r="237" spans="1:9" ht="12.75" customHeight="1">
      <c r="A237" s="28"/>
      <c r="B237" s="29"/>
      <c r="C237" s="30" t="str">
        <f>IFERROR(_xlfn.XLOOKUP(B237,Transporte[DESCRIPCION],Transporte[UND],,0),"")</f>
        <v/>
      </c>
      <c r="D237" s="31"/>
      <c r="E237" s="32" t="str">
        <f>IFERROR(_xlfn.XLOOKUP($B237,Transporte[DESCRIPCION],Transporte[VALOR],,0),"")</f>
        <v/>
      </c>
      <c r="F237" s="33"/>
      <c r="G237" s="34" t="str">
        <f>IFERROR(IF(F237&gt;=0,D237*E237*(1+F237/100),ABS(D237*E237/F237)),"")</f>
        <v/>
      </c>
      <c r="H237" s="43" t="str">
        <f>IFERROR(G237*E224,"")</f>
        <v/>
      </c>
      <c r="I237" s="3"/>
    </row>
    <row r="238" spans="1:9" ht="12.75" customHeight="1">
      <c r="A238" s="28"/>
      <c r="B238" s="29"/>
      <c r="C238" s="30" t="str">
        <f>IFERROR(_xlfn.XLOOKUP(B238,Transporte[DESCRIPCION],Transporte[UND],,0),"")</f>
        <v/>
      </c>
      <c r="D238" s="31"/>
      <c r="E238" s="32" t="str">
        <f>IFERROR(_xlfn.XLOOKUP($B238,Transporte[DESCRIPCION],Transporte[VALOR],,0),"")</f>
        <v/>
      </c>
      <c r="F238" s="33"/>
      <c r="G238" s="34" t="str">
        <f>IFERROR(IF(F238&gt;=0,D238*E238*(1+F238/100),ABS(D238*E238/F238)),"")</f>
        <v/>
      </c>
      <c r="H238" s="43" t="str">
        <f>IFERROR(G238*E224,"")</f>
        <v/>
      </c>
      <c r="I238" s="3"/>
    </row>
    <row r="239" spans="1:9" ht="12.75" customHeight="1">
      <c r="A239" s="21"/>
      <c r="B239" s="22" t="s">
        <v>3732</v>
      </c>
      <c r="C239" s="23"/>
      <c r="D239" s="24"/>
      <c r="E239" s="25"/>
      <c r="F239" s="26"/>
      <c r="G239" s="27">
        <f>SUM(G240:G242)</f>
        <v>31439.075089500006</v>
      </c>
      <c r="H239" s="27">
        <f>IFERROR(G239*E224,"")</f>
        <v>0</v>
      </c>
      <c r="I239" s="3"/>
    </row>
    <row r="240" spans="1:9" ht="12.75" customHeight="1">
      <c r="A240" s="28"/>
      <c r="B240" s="29" t="s">
        <v>3710</v>
      </c>
      <c r="C240" s="30" t="str">
        <f>IFERROR(_xlfn.XLOOKUP(B240,MObra[DESCRIPCION],MObra[UN],,0),"")</f>
        <v>día</v>
      </c>
      <c r="D240" s="31">
        <v>1</v>
      </c>
      <c r="E240" s="32">
        <f>IFERROR(_xlfn.XLOOKUP($B240,MObra[DESCRIPCION],MObra[VALOR UNIT],,0),"")</f>
        <v>314390.75089500006</v>
      </c>
      <c r="F240" s="33">
        <v>-10</v>
      </c>
      <c r="G240" s="34">
        <f>IFERROR(IF(F240&gt;=0,D240*E240*(1+F240/100),ABS(D240*E240/F240)),"")</f>
        <v>31439.075089500006</v>
      </c>
      <c r="H240" s="43">
        <f>IFERROR(G240*E224,"")</f>
        <v>0</v>
      </c>
      <c r="I240" s="3"/>
    </row>
    <row r="241" spans="1:11" ht="12.75" customHeight="1">
      <c r="A241" s="28"/>
      <c r="B241" s="29"/>
      <c r="C241" s="30" t="str">
        <f>IFERROR(_xlfn.XLOOKUP(B241,MObra[DESCRIPCION],MObra[UN],,0),"")</f>
        <v/>
      </c>
      <c r="D241" s="31"/>
      <c r="E241" s="32" t="str">
        <f>IFERROR(_xlfn.XLOOKUP($B241,MObra[DESCRIPCION],MObra[VALOR UNIT],,0),"")</f>
        <v/>
      </c>
      <c r="F241" s="33"/>
      <c r="G241" s="34" t="str">
        <f>IFERROR(IF(F241&gt;=0,D241*E241*(1+F241/100),ABS(D241*E241/F241)),"")</f>
        <v/>
      </c>
      <c r="H241" s="43" t="str">
        <f>IFERROR(G241*E224,"")</f>
        <v/>
      </c>
      <c r="I241" s="3"/>
    </row>
    <row r="242" spans="1:11" ht="12.75" customHeight="1" thickBot="1">
      <c r="A242" s="35"/>
      <c r="B242" s="36"/>
      <c r="C242" s="37" t="str">
        <f>IFERROR(_xlfn.XLOOKUP(B242,MObra[DESCRIPCION],MObra[UN],,0),"")</f>
        <v/>
      </c>
      <c r="D242" s="38"/>
      <c r="E242" s="39" t="str">
        <f>IFERROR(_xlfn.XLOOKUP($B242,MObra[DESCRIPCION],MObra[VALOR UNIT],,0),"")</f>
        <v/>
      </c>
      <c r="F242" s="40"/>
      <c r="G242" s="41" t="str">
        <f>IFERROR(IF(F242&gt;=0,D242*E242*(1+F242/100),ABS(D242*E242/F242)),"")</f>
        <v/>
      </c>
      <c r="H242" s="42" t="str">
        <f>IFERROR(G242*E224,"")</f>
        <v/>
      </c>
      <c r="I242" s="3"/>
    </row>
    <row r="243" spans="1:11" ht="12.75" customHeight="1" thickTop="1" thickBot="1">
      <c r="I243" s="3"/>
    </row>
    <row r="244" spans="1:11" ht="12.75" customHeight="1" thickTop="1" thickBot="1">
      <c r="A244" s="6" t="s">
        <v>1578</v>
      </c>
      <c r="B244" s="7" t="str">
        <f>VLOOKUP($A244,Presupuesto!$A:$D,2,FALSE())</f>
        <v>División lámina C 20 doble</v>
      </c>
      <c r="C244" s="8" t="str">
        <f>VLOOKUP($A244,Presupuesto!$A:$D,3,FALSE())</f>
        <v>M2</v>
      </c>
      <c r="D244" s="9"/>
      <c r="E244" s="10">
        <f>VLOOKUP($A244,Presupuesto!$A:$D,4,FALSE())</f>
        <v>0</v>
      </c>
      <c r="F244" s="11" t="s">
        <v>2589</v>
      </c>
      <c r="G244" s="12">
        <f>SUM(G246:G262)/2</f>
        <v>344032.69256264996</v>
      </c>
      <c r="H244" s="13">
        <f>ROUND(SUM(H246:H262),0)/2</f>
        <v>0</v>
      </c>
      <c r="I244" s="10">
        <f>VLOOKUP(A244,Presupuesto!$A:$F,6,0)</f>
        <v>0</v>
      </c>
      <c r="J244" s="10">
        <f>+H244-I244</f>
        <v>0</v>
      </c>
      <c r="K244" s="46">
        <f>+H244-G244*E244</f>
        <v>0</v>
      </c>
    </row>
    <row r="245" spans="1:11" ht="12.75" customHeight="1" thickTop="1">
      <c r="A245" s="14"/>
      <c r="B245" s="15" t="s">
        <v>2586</v>
      </c>
      <c r="C245" s="15" t="s">
        <v>5</v>
      </c>
      <c r="D245" s="16" t="s">
        <v>6</v>
      </c>
      <c r="E245" s="17" t="s">
        <v>7</v>
      </c>
      <c r="F245" s="18" t="s">
        <v>3728</v>
      </c>
      <c r="G245" s="19" t="s">
        <v>3729</v>
      </c>
      <c r="H245" s="20" t="s">
        <v>3797</v>
      </c>
      <c r="I245" s="3"/>
    </row>
    <row r="246" spans="1:11" ht="12.75" customHeight="1">
      <c r="A246" s="21"/>
      <c r="B246" s="22" t="s">
        <v>3730</v>
      </c>
      <c r="C246" s="23"/>
      <c r="D246" s="24"/>
      <c r="E246" s="25"/>
      <c r="F246" s="26"/>
      <c r="G246" s="27">
        <f>SUM(G247:G251)</f>
        <v>322025.33999999997</v>
      </c>
      <c r="H246" s="27">
        <f>IFERROR(G246*E244,"")</f>
        <v>0</v>
      </c>
      <c r="I246" s="3"/>
    </row>
    <row r="247" spans="1:11" ht="12.75" customHeight="1">
      <c r="A247" s="28"/>
      <c r="B247" s="29" t="s">
        <v>2928</v>
      </c>
      <c r="C247" s="30" t="str">
        <f>IFERROR(_xlfn.XLOOKUP(B247,Insumo[DESCRIPCION],Insumo[UND],,0),"")</f>
        <v>M2</v>
      </c>
      <c r="D247" s="31">
        <v>1</v>
      </c>
      <c r="E247" s="32">
        <f>IFERROR(_xlfn.XLOOKUP($B247,Insumo[DESCRIPCION],Insumo[VALOR],,0),"")</f>
        <v>284156.25</v>
      </c>
      <c r="F247" s="33"/>
      <c r="G247" s="34">
        <f>IFERROR(IF(F247&gt;=0,D247*E247*(1+F247/100),ABS(D247*E247/F247)),"")</f>
        <v>284156.25</v>
      </c>
      <c r="H247" s="43">
        <f>IFERROR(G247*E244,"")</f>
        <v>0</v>
      </c>
      <c r="I247" s="3"/>
    </row>
    <row r="248" spans="1:11" ht="12.75" customHeight="1">
      <c r="A248" s="28"/>
      <c r="B248" s="29" t="s">
        <v>2654</v>
      </c>
      <c r="C248" s="30" t="str">
        <f>IFERROR(_xlfn.XLOOKUP(B248,Insumo[DESCRIPCION],Insumo[UND],,0),"")</f>
        <v>Kg</v>
      </c>
      <c r="D248" s="31">
        <v>1</v>
      </c>
      <c r="E248" s="32">
        <f>IFERROR(_xlfn.XLOOKUP($B248,Insumo[DESCRIPCION],Insumo[VALOR],,0),"")</f>
        <v>8524.9500000000007</v>
      </c>
      <c r="F248" s="33"/>
      <c r="G248" s="34">
        <f>IFERROR(IF(F248&gt;=0,D248*E248*(1+F248/100),ABS(D248*E248/F248)),"")</f>
        <v>8524.9500000000007</v>
      </c>
      <c r="H248" s="43">
        <f>IFERROR(G248*E244,"")</f>
        <v>0</v>
      </c>
      <c r="I248" s="3"/>
    </row>
    <row r="249" spans="1:11" ht="12.75" customHeight="1">
      <c r="A249" s="28"/>
      <c r="B249" s="29" t="s">
        <v>2925</v>
      </c>
      <c r="C249" s="30" t="str">
        <f>IFERROR(_xlfn.XLOOKUP(B249,Insumo[DESCRIPCION],Insumo[UND],,0),"")</f>
        <v>Lt</v>
      </c>
      <c r="D249" s="31">
        <v>0.12</v>
      </c>
      <c r="E249" s="32">
        <f>IFERROR(_xlfn.XLOOKUP($B249,Insumo[DESCRIPCION],Insumo[VALOR],,0),"")</f>
        <v>28923.300000000003</v>
      </c>
      <c r="F249" s="33"/>
      <c r="G249" s="34">
        <f>IFERROR(IF(F249&gt;=0,D249*E249*(1+F249/100),ABS(D249*E249/F249)),"")</f>
        <v>3470.7960000000003</v>
      </c>
      <c r="H249" s="43">
        <f>IFERROR(G249*E244,"")</f>
        <v>0</v>
      </c>
      <c r="I249" s="3"/>
    </row>
    <row r="250" spans="1:11" ht="12.75" customHeight="1">
      <c r="A250" s="28"/>
      <c r="B250" s="29" t="s">
        <v>3204</v>
      </c>
      <c r="C250" s="30" t="str">
        <f>IFERROR(_xlfn.XLOOKUP(B250,Insumo[DESCRIPCION],Insumo[UND],,0),"")</f>
        <v>galón</v>
      </c>
      <c r="D250" s="31">
        <v>0.24</v>
      </c>
      <c r="E250" s="32">
        <f>IFERROR(_xlfn.XLOOKUP($B250,Insumo[DESCRIPCION],Insumo[VALOR],,0),"")</f>
        <v>107805.6</v>
      </c>
      <c r="F250" s="33"/>
      <c r="G250" s="34">
        <f>IFERROR(IF(F250&gt;=0,D250*E250*(1+F250/100),ABS(D250*E250/F250)),"")</f>
        <v>25873.344000000001</v>
      </c>
      <c r="H250" s="43">
        <f>IFERROR(G250*E244,"")</f>
        <v>0</v>
      </c>
      <c r="I250" s="3"/>
    </row>
    <row r="251" spans="1:11" ht="12.75" customHeight="1">
      <c r="A251" s="28"/>
      <c r="B251" s="29"/>
      <c r="C251" s="30" t="str">
        <f>IFERROR(_xlfn.XLOOKUP(B251,Insumo[DESCRIPCION],Insumo[UND],,0),"")</f>
        <v/>
      </c>
      <c r="D251" s="31"/>
      <c r="E251" s="32" t="str">
        <f>IFERROR(_xlfn.XLOOKUP($B251,Insumo[DESCRIPCION],Insumo[VALOR],,0),"")</f>
        <v/>
      </c>
      <c r="F251" s="33"/>
      <c r="G251" s="34" t="str">
        <f>IFERROR(IF(F251&gt;=0,D251*E251*(1+F251/100),ABS(D251*E251/F251)),"")</f>
        <v/>
      </c>
      <c r="H251" s="43" t="str">
        <f>IFERROR(G251*E244,"")</f>
        <v/>
      </c>
      <c r="I251" s="3"/>
    </row>
    <row r="252" spans="1:11" ht="12.75" customHeight="1">
      <c r="A252" s="21"/>
      <c r="B252" s="22" t="s">
        <v>3731</v>
      </c>
      <c r="C252" s="23"/>
      <c r="D252" s="24"/>
      <c r="E252" s="25"/>
      <c r="F252" s="26"/>
      <c r="G252" s="27">
        <f>SUM(G253:G255)</f>
        <v>1047.9691696500001</v>
      </c>
      <c r="H252" s="27">
        <f>IFERROR(G252*E244,"")</f>
        <v>0</v>
      </c>
      <c r="I252" s="3"/>
    </row>
    <row r="253" spans="1:11" ht="12.75" customHeight="1">
      <c r="A253" s="28"/>
      <c r="B253" s="29" t="s">
        <v>3626</v>
      </c>
      <c r="C253" s="30" t="str">
        <f>IFERROR(_xlfn.XLOOKUP(B253,Equipo[DESCRIPCION],Equipo[UND],,0),"")</f>
        <v>%MO</v>
      </c>
      <c r="D253" s="31">
        <v>0.05</v>
      </c>
      <c r="E253" s="32">
        <f>IF(C253="%MO",G259,IFERROR(_xlfn.XLOOKUP($B253,Equipo[DESCRIPCION],Equipo[VALOR],,0),""))</f>
        <v>20959.383393000004</v>
      </c>
      <c r="F253" s="33"/>
      <c r="G253" s="34">
        <f>IFERROR(IF(F253&gt;=0,D253*E253*(1+F253/100),ABS(D253*E253/F253)),"")</f>
        <v>1047.9691696500001</v>
      </c>
      <c r="H253" s="43">
        <f>IFERROR(G253*E244,"")</f>
        <v>0</v>
      </c>
      <c r="I253" s="3"/>
    </row>
    <row r="254" spans="1:11" ht="12.75" customHeight="1">
      <c r="A254" s="28"/>
      <c r="B254" s="29"/>
      <c r="C254" s="30" t="str">
        <f>IFERROR(_xlfn.XLOOKUP(B254,Equipo[DESCRIPCION],Equipo[UND],,0),"")</f>
        <v/>
      </c>
      <c r="D254" s="31"/>
      <c r="E254" s="32" t="str">
        <f>IF(C254="%MO",G259,IFERROR(_xlfn.XLOOKUP($B254,Equipo[DESCRIPCION],Equipo[VALOR],,0),""))</f>
        <v/>
      </c>
      <c r="F254" s="33"/>
      <c r="G254" s="34" t="str">
        <f>IFERROR(IF(F254&gt;=0,D254*E254*(1+F254/100),ABS(D254*E254/F254)),"")</f>
        <v/>
      </c>
      <c r="H254" s="43" t="str">
        <f>IFERROR(G254*E244,"")</f>
        <v/>
      </c>
      <c r="I254" s="3"/>
    </row>
    <row r="255" spans="1:11" ht="12.75" customHeight="1">
      <c r="A255" s="28"/>
      <c r="B255" s="29"/>
      <c r="C255" s="30" t="str">
        <f>IFERROR(_xlfn.XLOOKUP(B255,Equipo[DESCRIPCION],Equipo[UND],,0),"")</f>
        <v/>
      </c>
      <c r="D255" s="31"/>
      <c r="E255" s="32" t="str">
        <f>IF(C255="%MO",G259,IFERROR(_xlfn.XLOOKUP($B255,Equipo[DESCRIPCION],Equipo[VALOR],,0),""))</f>
        <v/>
      </c>
      <c r="F255" s="33"/>
      <c r="G255" s="34" t="str">
        <f>IFERROR(IF(F255&gt;=0,D255*E255*(1+F255/100),ABS(D255*E255/F255)),"")</f>
        <v/>
      </c>
      <c r="H255" s="43" t="str">
        <f>IFERROR(G255*E244,"")</f>
        <v/>
      </c>
      <c r="I255" s="3"/>
    </row>
    <row r="256" spans="1:11" ht="12.75" customHeight="1">
      <c r="A256" s="21"/>
      <c r="B256" s="22" t="s">
        <v>2533</v>
      </c>
      <c r="C256" s="23"/>
      <c r="D256" s="24"/>
      <c r="E256" s="25"/>
      <c r="F256" s="26"/>
      <c r="G256" s="27">
        <f>SUM(G257:G258)</f>
        <v>0</v>
      </c>
      <c r="H256" s="27">
        <f>IFERROR(G256*E244,"")</f>
        <v>0</v>
      </c>
      <c r="I256" s="3"/>
    </row>
    <row r="257" spans="1:11" ht="12.75" customHeight="1">
      <c r="A257" s="28"/>
      <c r="B257" s="29"/>
      <c r="C257" s="30" t="str">
        <f>IFERROR(_xlfn.XLOOKUP(B257,Transporte[DESCRIPCION],Transporte[UND],,0),"")</f>
        <v/>
      </c>
      <c r="D257" s="31"/>
      <c r="E257" s="32" t="str">
        <f>IFERROR(_xlfn.XLOOKUP($B257,Transporte[DESCRIPCION],Transporte[VALOR],,0),"")</f>
        <v/>
      </c>
      <c r="F257" s="33"/>
      <c r="G257" s="34" t="str">
        <f>IFERROR(IF(F257&gt;=0,D257*E257*(1+F257/100),ABS(D257*E257/F257)),"")</f>
        <v/>
      </c>
      <c r="H257" s="43" t="str">
        <f>IFERROR(G257*E244,"")</f>
        <v/>
      </c>
      <c r="I257" s="3"/>
    </row>
    <row r="258" spans="1:11" ht="12.75" customHeight="1">
      <c r="A258" s="28"/>
      <c r="B258" s="29"/>
      <c r="C258" s="30" t="str">
        <f>IFERROR(_xlfn.XLOOKUP(B258,Transporte[DESCRIPCION],Transporte[UND],,0),"")</f>
        <v/>
      </c>
      <c r="D258" s="31"/>
      <c r="E258" s="32" t="str">
        <f>IFERROR(_xlfn.XLOOKUP($B258,Transporte[DESCRIPCION],Transporte[VALOR],,0),"")</f>
        <v/>
      </c>
      <c r="F258" s="33"/>
      <c r="G258" s="34" t="str">
        <f>IFERROR(IF(F258&gt;=0,D258*E258*(1+F258/100),ABS(D258*E258/F258)),"")</f>
        <v/>
      </c>
      <c r="H258" s="43" t="str">
        <f>IFERROR(G258*E244,"")</f>
        <v/>
      </c>
      <c r="I258" s="3"/>
    </row>
    <row r="259" spans="1:11" ht="12.75" customHeight="1">
      <c r="A259" s="21"/>
      <c r="B259" s="22" t="s">
        <v>3732</v>
      </c>
      <c r="C259" s="23"/>
      <c r="D259" s="24"/>
      <c r="E259" s="25"/>
      <c r="F259" s="26"/>
      <c r="G259" s="27">
        <f>SUM(G260:G262)</f>
        <v>20959.383393000004</v>
      </c>
      <c r="H259" s="27">
        <f>IFERROR(G259*E244,"")</f>
        <v>0</v>
      </c>
      <c r="I259" s="3"/>
    </row>
    <row r="260" spans="1:11" ht="12.75" customHeight="1">
      <c r="A260" s="28"/>
      <c r="B260" s="29" t="s">
        <v>3710</v>
      </c>
      <c r="C260" s="30" t="str">
        <f>IFERROR(_xlfn.XLOOKUP(B260,MObra[DESCRIPCION],MObra[UN],,0),"")</f>
        <v>día</v>
      </c>
      <c r="D260" s="31">
        <v>1</v>
      </c>
      <c r="E260" s="32">
        <f>IFERROR(_xlfn.XLOOKUP($B260,MObra[DESCRIPCION],MObra[VALOR UNIT],,0),"")</f>
        <v>314390.75089500006</v>
      </c>
      <c r="F260" s="33">
        <v>-15</v>
      </c>
      <c r="G260" s="34">
        <f>IFERROR(IF(F260&gt;=0,D260*E260*(1+F260/100),ABS(D260*E260/F260)),"")</f>
        <v>20959.383393000004</v>
      </c>
      <c r="H260" s="43">
        <f>IFERROR(G260*E244,"")</f>
        <v>0</v>
      </c>
      <c r="I260" s="3"/>
    </row>
    <row r="261" spans="1:11" ht="12.75" customHeight="1">
      <c r="A261" s="28"/>
      <c r="B261" s="29"/>
      <c r="C261" s="30" t="str">
        <f>IFERROR(_xlfn.XLOOKUP(B261,MObra[DESCRIPCION],MObra[UN],,0),"")</f>
        <v/>
      </c>
      <c r="D261" s="31"/>
      <c r="E261" s="32" t="str">
        <f>IFERROR(_xlfn.XLOOKUP($B261,MObra[DESCRIPCION],MObra[VALOR UNIT],,0),"")</f>
        <v/>
      </c>
      <c r="F261" s="33"/>
      <c r="G261" s="34" t="str">
        <f>IFERROR(IF(F261&gt;=0,D261*E261*(1+F261/100),ABS(D261*E261/F261)),"")</f>
        <v/>
      </c>
      <c r="H261" s="43" t="str">
        <f>IFERROR(G261*E244,"")</f>
        <v/>
      </c>
      <c r="I261" s="3"/>
    </row>
    <row r="262" spans="1:11" ht="12.75" customHeight="1" thickBot="1">
      <c r="A262" s="35"/>
      <c r="B262" s="36"/>
      <c r="C262" s="37" t="str">
        <f>IFERROR(_xlfn.XLOOKUP(B262,MObra[DESCRIPCION],MObra[UN],,0),"")</f>
        <v/>
      </c>
      <c r="D262" s="38"/>
      <c r="E262" s="39" t="str">
        <f>IFERROR(_xlfn.XLOOKUP($B262,MObra[DESCRIPCION],MObra[VALOR UNIT],,0),"")</f>
        <v/>
      </c>
      <c r="F262" s="40"/>
      <c r="G262" s="41" t="str">
        <f>IFERROR(IF(F262&gt;=0,D262*E262*(1+F262/100),ABS(D262*E262/F262)),"")</f>
        <v/>
      </c>
      <c r="H262" s="42" t="str">
        <f>IFERROR(G262*E244,"")</f>
        <v/>
      </c>
      <c r="I262" s="3"/>
    </row>
    <row r="263" spans="1:11" ht="12.75" customHeight="1" thickTop="1" thickBot="1">
      <c r="I263" s="3"/>
    </row>
    <row r="264" spans="1:11" ht="12.75" customHeight="1" thickTop="1" thickBot="1">
      <c r="A264" s="6" t="s">
        <v>1580</v>
      </c>
      <c r="B264" s="7" t="str">
        <f>VLOOKUP($A264,Presupuesto!$A:$D,2,FALSE())</f>
        <v>Escala lámina alfajor B=1.00 m</v>
      </c>
      <c r="C264" s="8" t="str">
        <f>VLOOKUP($A264,Presupuesto!$A:$D,3,FALSE())</f>
        <v>Paso</v>
      </c>
      <c r="D264" s="9"/>
      <c r="E264" s="10">
        <f>VLOOKUP($A264,Presupuesto!$A:$D,4,FALSE())</f>
        <v>0</v>
      </c>
      <c r="F264" s="11" t="s">
        <v>2589</v>
      </c>
      <c r="G264" s="12">
        <f>SUM(G266:G282)/2</f>
        <v>106742.95462530002</v>
      </c>
      <c r="H264" s="13">
        <f>ROUND(SUM(H266:H282),0)/2</f>
        <v>0</v>
      </c>
      <c r="I264" s="10">
        <f>VLOOKUP(A264,Presupuesto!$A:$F,6,0)</f>
        <v>0</v>
      </c>
      <c r="J264" s="10">
        <f>+H264-I264</f>
        <v>0</v>
      </c>
      <c r="K264" s="46">
        <f>+H264-G264*E264</f>
        <v>0</v>
      </c>
    </row>
    <row r="265" spans="1:11" ht="12.75" customHeight="1" thickTop="1">
      <c r="A265" s="14"/>
      <c r="B265" s="15" t="s">
        <v>2586</v>
      </c>
      <c r="C265" s="15" t="s">
        <v>5</v>
      </c>
      <c r="D265" s="16" t="s">
        <v>6</v>
      </c>
      <c r="E265" s="17" t="s">
        <v>7</v>
      </c>
      <c r="F265" s="18" t="s">
        <v>3728</v>
      </c>
      <c r="G265" s="19" t="s">
        <v>3729</v>
      </c>
      <c r="H265" s="20" t="s">
        <v>3797</v>
      </c>
      <c r="I265" s="3"/>
    </row>
    <row r="266" spans="1:11" ht="12.75" customHeight="1">
      <c r="A266" s="21"/>
      <c r="B266" s="22" t="s">
        <v>3730</v>
      </c>
      <c r="C266" s="23"/>
      <c r="D266" s="24"/>
      <c r="E266" s="25"/>
      <c r="F266" s="26"/>
      <c r="G266" s="27">
        <f>SUM(G267:G271)</f>
        <v>53101.639500000005</v>
      </c>
      <c r="H266" s="27">
        <f>IFERROR(G266*E264,"")</f>
        <v>0</v>
      </c>
      <c r="I266" s="3"/>
    </row>
    <row r="267" spans="1:11" ht="12.75" customHeight="1">
      <c r="A267" s="28"/>
      <c r="B267" s="29" t="s">
        <v>3022</v>
      </c>
      <c r="C267" s="30" t="str">
        <f>IFERROR(_xlfn.XLOOKUP(B267,Insumo[DESCRIPCION],Insumo[UND],,0),"")</f>
        <v>M2</v>
      </c>
      <c r="D267" s="31">
        <v>0.4</v>
      </c>
      <c r="E267" s="32">
        <f>IFERROR(_xlfn.XLOOKUP($B267,Insumo[DESCRIPCION],Insumo[VALOR],,0),"")</f>
        <v>120368.85</v>
      </c>
      <c r="F267" s="33"/>
      <c r="G267" s="34">
        <f>IFERROR(IF(F267&gt;=0,D267*E267*(1+F267/100),ABS(D267*E267/F267)),"")</f>
        <v>48147.540000000008</v>
      </c>
      <c r="H267" s="43">
        <f>IFERROR(G267*E264,"")</f>
        <v>0</v>
      </c>
      <c r="I267" s="3"/>
    </row>
    <row r="268" spans="1:11" ht="12.75" customHeight="1">
      <c r="A268" s="28"/>
      <c r="B268" s="29" t="s">
        <v>3326</v>
      </c>
      <c r="C268" s="30" t="str">
        <f>IFERROR(_xlfn.XLOOKUP(B268,Insumo[DESCRIPCION],Insumo[UND],,0),"")</f>
        <v>Kg</v>
      </c>
      <c r="D268" s="31">
        <v>0.01</v>
      </c>
      <c r="E268" s="32">
        <f>IFERROR(_xlfn.XLOOKUP($B268,Insumo[DESCRIPCION],Insumo[VALOR],,0),"")</f>
        <v>5978.7</v>
      </c>
      <c r="F268" s="33"/>
      <c r="G268" s="34">
        <f>IFERROR(IF(F268&gt;=0,D268*E268*(1+F268/100),ABS(D268*E268/F268)),"")</f>
        <v>59.786999999999999</v>
      </c>
      <c r="H268" s="43">
        <f>IFERROR(G268*E264,"")</f>
        <v>0</v>
      </c>
      <c r="I268" s="3"/>
    </row>
    <row r="269" spans="1:11" ht="12.75" customHeight="1">
      <c r="A269" s="28"/>
      <c r="B269" s="29" t="s">
        <v>2708</v>
      </c>
      <c r="C269" s="30" t="str">
        <f>IFERROR(_xlfn.XLOOKUP(B269,Insumo[DESCRIPCION],Insumo[UND],,0),"")</f>
        <v>galón</v>
      </c>
      <c r="D269" s="31">
        <v>0.05</v>
      </c>
      <c r="E269" s="32">
        <f>IFERROR(_xlfn.XLOOKUP($B269,Insumo[DESCRIPCION],Insumo[VALOR],,0),"")</f>
        <v>97886.25</v>
      </c>
      <c r="F269" s="33"/>
      <c r="G269" s="34">
        <f>IFERROR(IF(F269&gt;=0,D269*E269*(1+F269/100),ABS(D269*E269/F269)),"")</f>
        <v>4894.3125</v>
      </c>
      <c r="H269" s="43">
        <f>IFERROR(G269*E264,"")</f>
        <v>0</v>
      </c>
      <c r="I269" s="3"/>
    </row>
    <row r="270" spans="1:11" ht="12.75" customHeight="1">
      <c r="A270" s="28"/>
      <c r="B270" s="29"/>
      <c r="C270" s="30" t="str">
        <f>IFERROR(_xlfn.XLOOKUP(B270,Insumo[DESCRIPCION],Insumo[UND],,0),"")</f>
        <v/>
      </c>
      <c r="D270" s="31"/>
      <c r="E270" s="32" t="str">
        <f>IFERROR(_xlfn.XLOOKUP($B270,Insumo[DESCRIPCION],Insumo[VALOR],,0),"")</f>
        <v/>
      </c>
      <c r="F270" s="33"/>
      <c r="G270" s="34" t="str">
        <f>IFERROR(IF(F270&gt;=0,D270*E270*(1+F270/100),ABS(D270*E270/F270)),"")</f>
        <v/>
      </c>
      <c r="H270" s="43" t="str">
        <f>IFERROR(G270*E264,"")</f>
        <v/>
      </c>
      <c r="I270" s="3"/>
    </row>
    <row r="271" spans="1:11" ht="12.75" customHeight="1">
      <c r="A271" s="28"/>
      <c r="B271" s="29"/>
      <c r="C271" s="30" t="str">
        <f>IFERROR(_xlfn.XLOOKUP(B271,Insumo[DESCRIPCION],Insumo[UND],,0),"")</f>
        <v/>
      </c>
      <c r="D271" s="31"/>
      <c r="E271" s="32" t="str">
        <f>IFERROR(_xlfn.XLOOKUP($B271,Insumo[DESCRIPCION],Insumo[VALOR],,0),"")</f>
        <v/>
      </c>
      <c r="F271" s="33"/>
      <c r="G271" s="34" t="str">
        <f>IFERROR(IF(F271&gt;=0,D271*E271*(1+F271/100),ABS(D271*E271/F271)),"")</f>
        <v/>
      </c>
      <c r="H271" s="43" t="str">
        <f>IFERROR(G271*E264,"")</f>
        <v/>
      </c>
      <c r="I271" s="3"/>
    </row>
    <row r="272" spans="1:11" ht="12.75" customHeight="1">
      <c r="A272" s="21"/>
      <c r="B272" s="22" t="s">
        <v>3731</v>
      </c>
      <c r="C272" s="23"/>
      <c r="D272" s="24"/>
      <c r="E272" s="25"/>
      <c r="F272" s="26"/>
      <c r="G272" s="27">
        <f>SUM(G273:G275)</f>
        <v>11722.548339300001</v>
      </c>
      <c r="H272" s="27">
        <f>IFERROR(G272*E264,"")</f>
        <v>0</v>
      </c>
      <c r="I272" s="3"/>
    </row>
    <row r="273" spans="1:11" ht="12.75" customHeight="1">
      <c r="A273" s="28"/>
      <c r="B273" s="29" t="s">
        <v>3613</v>
      </c>
      <c r="C273" s="30" t="str">
        <f>IFERROR(_xlfn.XLOOKUP(B273,Equipo[DESCRIPCION],Equipo[UND],,0),"")</f>
        <v>Día</v>
      </c>
      <c r="D273" s="31">
        <v>1</v>
      </c>
      <c r="E273" s="32">
        <f>IF(C273="%MO",G279,IFERROR(_xlfn.XLOOKUP($B273,Equipo[DESCRIPCION],Equipo[VALOR],,0),""))</f>
        <v>48133.05</v>
      </c>
      <c r="F273" s="33">
        <v>-5</v>
      </c>
      <c r="G273" s="34">
        <f>IFERROR(IF(F273&gt;=0,D273*E273*(1+F273/100),ABS(D273*E273/F273)),"")</f>
        <v>9626.61</v>
      </c>
      <c r="H273" s="43">
        <f>IFERROR(G273*E264,"")</f>
        <v>0</v>
      </c>
      <c r="I273" s="3"/>
    </row>
    <row r="274" spans="1:11" ht="12.75" customHeight="1">
      <c r="A274" s="28"/>
      <c r="B274" s="29" t="s">
        <v>3626</v>
      </c>
      <c r="C274" s="30" t="str">
        <f>IFERROR(_xlfn.XLOOKUP(B274,Equipo[DESCRIPCION],Equipo[UND],,0),"")</f>
        <v>%MO</v>
      </c>
      <c r="D274" s="31">
        <v>0.05</v>
      </c>
      <c r="E274" s="32">
        <f>IF(C274="%MO",G279,IFERROR(_xlfn.XLOOKUP($B274,Equipo[DESCRIPCION],Equipo[VALOR],,0),""))</f>
        <v>41918.766786000007</v>
      </c>
      <c r="F274" s="33"/>
      <c r="G274" s="34">
        <f>IFERROR(IF(F274&gt;=0,D274*E274*(1+F274/100),ABS(D274*E274/F274)),"")</f>
        <v>2095.9383393000003</v>
      </c>
      <c r="H274" s="43">
        <f>IFERROR(G274*E264,"")</f>
        <v>0</v>
      </c>
      <c r="I274" s="3"/>
    </row>
    <row r="275" spans="1:11" ht="12.75" customHeight="1">
      <c r="A275" s="28"/>
      <c r="B275" s="29"/>
      <c r="C275" s="30" t="str">
        <f>IFERROR(_xlfn.XLOOKUP(B275,Equipo[DESCRIPCION],Equipo[UND],,0),"")</f>
        <v/>
      </c>
      <c r="D275" s="31"/>
      <c r="E275" s="32" t="str">
        <f>IF(C275="%MO",G279,IFERROR(_xlfn.XLOOKUP($B275,Equipo[DESCRIPCION],Equipo[VALOR],,0),""))</f>
        <v/>
      </c>
      <c r="F275" s="33"/>
      <c r="G275" s="34" t="str">
        <f>IFERROR(IF(F275&gt;=0,D275*E275*(1+F275/100),ABS(D275*E275/F275)),"")</f>
        <v/>
      </c>
      <c r="H275" s="43" t="str">
        <f>IFERROR(G275*E264,"")</f>
        <v/>
      </c>
      <c r="I275" s="3"/>
    </row>
    <row r="276" spans="1:11" ht="12.75" customHeight="1">
      <c r="A276" s="21"/>
      <c r="B276" s="22" t="s">
        <v>2533</v>
      </c>
      <c r="C276" s="23"/>
      <c r="D276" s="24"/>
      <c r="E276" s="25"/>
      <c r="F276" s="26"/>
      <c r="G276" s="27">
        <f>SUM(G277:G278)</f>
        <v>0</v>
      </c>
      <c r="H276" s="27">
        <f>IFERROR(G276*E264,"")</f>
        <v>0</v>
      </c>
      <c r="I276" s="3"/>
    </row>
    <row r="277" spans="1:11" ht="12.75" customHeight="1">
      <c r="A277" s="28"/>
      <c r="B277" s="29"/>
      <c r="C277" s="30" t="str">
        <f>IFERROR(_xlfn.XLOOKUP(B277,Transporte[DESCRIPCION],Transporte[UND],,0),"")</f>
        <v/>
      </c>
      <c r="D277" s="31"/>
      <c r="E277" s="32" t="str">
        <f>IFERROR(_xlfn.XLOOKUP($B277,Transporte[DESCRIPCION],Transporte[VALOR],,0),"")</f>
        <v/>
      </c>
      <c r="F277" s="33"/>
      <c r="G277" s="34" t="str">
        <f>IFERROR(IF(F277&gt;=0,D277*E277*(1+F277/100),ABS(D277*E277/F277)),"")</f>
        <v/>
      </c>
      <c r="H277" s="43" t="str">
        <f>IFERROR(G277*E264,"")</f>
        <v/>
      </c>
      <c r="I277" s="3"/>
    </row>
    <row r="278" spans="1:11" ht="12.75" customHeight="1">
      <c r="A278" s="28"/>
      <c r="B278" s="29"/>
      <c r="C278" s="30" t="str">
        <f>IFERROR(_xlfn.XLOOKUP(B278,Transporte[DESCRIPCION],Transporte[UND],,0),"")</f>
        <v/>
      </c>
      <c r="D278" s="31"/>
      <c r="E278" s="32" t="str">
        <f>IFERROR(_xlfn.XLOOKUP($B278,Transporte[DESCRIPCION],Transporte[VALOR],,0),"")</f>
        <v/>
      </c>
      <c r="F278" s="33"/>
      <c r="G278" s="34" t="str">
        <f>IFERROR(IF(F278&gt;=0,D278*E278*(1+F278/100),ABS(D278*E278/F278)),"")</f>
        <v/>
      </c>
      <c r="H278" s="43" t="str">
        <f>IFERROR(G278*E264,"")</f>
        <v/>
      </c>
      <c r="I278" s="3"/>
    </row>
    <row r="279" spans="1:11" ht="12.75" customHeight="1">
      <c r="A279" s="21"/>
      <c r="B279" s="22" t="s">
        <v>3732</v>
      </c>
      <c r="C279" s="23"/>
      <c r="D279" s="24"/>
      <c r="E279" s="25"/>
      <c r="F279" s="26"/>
      <c r="G279" s="27">
        <f>SUM(G280:G282)</f>
        <v>41918.766786000007</v>
      </c>
      <c r="H279" s="27">
        <f>IFERROR(G279*E264,"")</f>
        <v>0</v>
      </c>
      <c r="I279" s="3"/>
    </row>
    <row r="280" spans="1:11" ht="12.75" customHeight="1">
      <c r="A280" s="28"/>
      <c r="B280" s="29" t="s">
        <v>3724</v>
      </c>
      <c r="C280" s="30" t="str">
        <f>IFERROR(_xlfn.XLOOKUP(B280,MObra[DESCRIPCION],MObra[UN],,0),"")</f>
        <v>día</v>
      </c>
      <c r="D280" s="31">
        <v>1</v>
      </c>
      <c r="E280" s="32">
        <f>IFERROR(_xlfn.XLOOKUP($B280,MObra[DESCRIPCION],MObra[VALOR UNIT],,0),"")</f>
        <v>419187.66786000005</v>
      </c>
      <c r="F280" s="33">
        <v>-10</v>
      </c>
      <c r="G280" s="34">
        <f>IFERROR(IF(F280&gt;=0,D280*E280*(1+F280/100),ABS(D280*E280/F280)),"")</f>
        <v>41918.766786000007</v>
      </c>
      <c r="H280" s="43">
        <f>IFERROR(G280*E264,"")</f>
        <v>0</v>
      </c>
      <c r="I280" s="3"/>
    </row>
    <row r="281" spans="1:11" ht="12.75" customHeight="1">
      <c r="A281" s="28"/>
      <c r="B281" s="29"/>
      <c r="C281" s="30" t="str">
        <f>IFERROR(_xlfn.XLOOKUP(B281,MObra[DESCRIPCION],MObra[UN],,0),"")</f>
        <v/>
      </c>
      <c r="D281" s="31"/>
      <c r="E281" s="32" t="str">
        <f>IFERROR(_xlfn.XLOOKUP($B281,MObra[DESCRIPCION],MObra[VALOR UNIT],,0),"")</f>
        <v/>
      </c>
      <c r="F281" s="33"/>
      <c r="G281" s="34" t="str">
        <f>IFERROR(IF(F281&gt;=0,D281*E281*(1+F281/100),ABS(D281*E281/F281)),"")</f>
        <v/>
      </c>
      <c r="H281" s="43" t="str">
        <f>IFERROR(G281*E264,"")</f>
        <v/>
      </c>
      <c r="I281" s="3"/>
    </row>
    <row r="282" spans="1:11" ht="12.75" customHeight="1" thickBot="1">
      <c r="A282" s="35"/>
      <c r="B282" s="36"/>
      <c r="C282" s="37" t="str">
        <f>IFERROR(_xlfn.XLOOKUP(B282,MObra[DESCRIPCION],MObra[UN],,0),"")</f>
        <v/>
      </c>
      <c r="D282" s="38"/>
      <c r="E282" s="39" t="str">
        <f>IFERROR(_xlfn.XLOOKUP($B282,MObra[DESCRIPCION],MObra[VALOR UNIT],,0),"")</f>
        <v/>
      </c>
      <c r="F282" s="40"/>
      <c r="G282" s="41" t="str">
        <f>IFERROR(IF(F282&gt;=0,D282*E282*(1+F282/100),ABS(D282*E282/F282)),"")</f>
        <v/>
      </c>
      <c r="H282" s="42" t="str">
        <f>IFERROR(G282*E264,"")</f>
        <v/>
      </c>
      <c r="I282" s="3"/>
    </row>
    <row r="283" spans="1:11" ht="12.75" customHeight="1" thickTop="1" thickBot="1">
      <c r="I283" s="3"/>
    </row>
    <row r="284" spans="1:11" ht="12.75" customHeight="1" thickTop="1" thickBot="1">
      <c r="A284" s="6" t="s">
        <v>1583</v>
      </c>
      <c r="B284" s="7" t="str">
        <f>VLOOKUP($A284,Presupuesto!$A:$D,2,FALSE())</f>
        <v>Escalera gato 3/4" L=1 m, incluye anclajes de 3/4"</v>
      </c>
      <c r="C284" s="8" t="str">
        <f>VLOOKUP($A284,Presupuesto!$A:$D,3,FALSE())</f>
        <v>Un</v>
      </c>
      <c r="D284" s="9"/>
      <c r="E284" s="10">
        <f>VLOOKUP($A284,Presupuesto!$A:$D,4,FALSE())</f>
        <v>0</v>
      </c>
      <c r="F284" s="11" t="s">
        <v>2589</v>
      </c>
      <c r="G284" s="12">
        <f>SUM(G286:G302)/2</f>
        <v>419463.52884397504</v>
      </c>
      <c r="H284" s="13">
        <f>ROUND(SUM(H286:H302),0)/2</f>
        <v>0</v>
      </c>
      <c r="I284" s="10">
        <f>VLOOKUP(A284,Presupuesto!$A:$F,6,0)</f>
        <v>0</v>
      </c>
      <c r="J284" s="10">
        <f>+H284-I284</f>
        <v>0</v>
      </c>
      <c r="K284" s="46">
        <f>+H284-G284*E284</f>
        <v>0</v>
      </c>
    </row>
    <row r="285" spans="1:11" ht="12.75" customHeight="1" thickTop="1">
      <c r="A285" s="14"/>
      <c r="B285" s="15" t="s">
        <v>2586</v>
      </c>
      <c r="C285" s="15" t="s">
        <v>5</v>
      </c>
      <c r="D285" s="16" t="s">
        <v>6</v>
      </c>
      <c r="E285" s="17" t="s">
        <v>7</v>
      </c>
      <c r="F285" s="18" t="s">
        <v>3728</v>
      </c>
      <c r="G285" s="19" t="s">
        <v>3729</v>
      </c>
      <c r="H285" s="20" t="s">
        <v>3797</v>
      </c>
      <c r="I285" s="3"/>
    </row>
    <row r="286" spans="1:11" ht="12.75" customHeight="1">
      <c r="A286" s="21"/>
      <c r="B286" s="22" t="s">
        <v>3730</v>
      </c>
      <c r="C286" s="23"/>
      <c r="D286" s="24"/>
      <c r="E286" s="25"/>
      <c r="F286" s="26"/>
      <c r="G286" s="27">
        <f>SUM(G287:G291)</f>
        <v>386452.5</v>
      </c>
      <c r="H286" s="27">
        <f>IFERROR(G286*E284,"")</f>
        <v>0</v>
      </c>
      <c r="I286" s="3"/>
    </row>
    <row r="287" spans="1:11" ht="12.75" customHeight="1">
      <c r="A287" s="28"/>
      <c r="B287" s="29" t="s">
        <v>2941</v>
      </c>
      <c r="C287" s="30" t="str">
        <f>IFERROR(_xlfn.XLOOKUP(B287,Insumo[DESCRIPCION],Insumo[UND],,0),"")</f>
        <v>Un</v>
      </c>
      <c r="D287" s="31">
        <v>1</v>
      </c>
      <c r="E287" s="32">
        <f>IFERROR(_xlfn.XLOOKUP($B287,Insumo[DESCRIPCION],Insumo[VALOR],,0),"")</f>
        <v>386452.5</v>
      </c>
      <c r="F287" s="33"/>
      <c r="G287" s="34">
        <f>IFERROR(IF(F287&gt;=0,D287*E287*(1+F287/100),ABS(D287*E287/F287)),"")</f>
        <v>386452.5</v>
      </c>
      <c r="H287" s="43">
        <f>IFERROR(G287*E284,"")</f>
        <v>0</v>
      </c>
      <c r="I287" s="3"/>
    </row>
    <row r="288" spans="1:11" ht="12.75" customHeight="1">
      <c r="A288" s="28"/>
      <c r="B288" s="29"/>
      <c r="C288" s="30" t="str">
        <f>IFERROR(_xlfn.XLOOKUP(B288,Insumo[DESCRIPCION],Insumo[UND],,0),"")</f>
        <v/>
      </c>
      <c r="D288" s="31"/>
      <c r="E288" s="32" t="str">
        <f>IFERROR(_xlfn.XLOOKUP($B288,Insumo[DESCRIPCION],Insumo[VALOR],,0),"")</f>
        <v/>
      </c>
      <c r="F288" s="33"/>
      <c r="G288" s="34" t="str">
        <f>IFERROR(IF(F288&gt;=0,D288*E288*(1+F288/100),ABS(D288*E288/F288)),"")</f>
        <v/>
      </c>
      <c r="H288" s="43" t="str">
        <f>IFERROR(G288*E284,"")</f>
        <v/>
      </c>
      <c r="I288" s="3"/>
    </row>
    <row r="289" spans="1:11" ht="12.75" customHeight="1">
      <c r="A289" s="28"/>
      <c r="B289" s="29"/>
      <c r="C289" s="30" t="str">
        <f>IFERROR(_xlfn.XLOOKUP(B289,Insumo[DESCRIPCION],Insumo[UND],,0),"")</f>
        <v/>
      </c>
      <c r="D289" s="31"/>
      <c r="E289" s="32" t="str">
        <f>IFERROR(_xlfn.XLOOKUP($B289,Insumo[DESCRIPCION],Insumo[VALOR],,0),"")</f>
        <v/>
      </c>
      <c r="F289" s="33"/>
      <c r="G289" s="34" t="str">
        <f>IFERROR(IF(F289&gt;=0,D289*E289*(1+F289/100),ABS(D289*E289/F289)),"")</f>
        <v/>
      </c>
      <c r="H289" s="43" t="str">
        <f>IFERROR(G289*E284,"")</f>
        <v/>
      </c>
      <c r="I289" s="3"/>
    </row>
    <row r="290" spans="1:11" ht="12.75" customHeight="1">
      <c r="A290" s="28"/>
      <c r="B290" s="29"/>
      <c r="C290" s="30" t="str">
        <f>IFERROR(_xlfn.XLOOKUP(B290,Insumo[DESCRIPCION],Insumo[UND],,0),"")</f>
        <v/>
      </c>
      <c r="D290" s="31"/>
      <c r="E290" s="32" t="str">
        <f>IFERROR(_xlfn.XLOOKUP($B290,Insumo[DESCRIPCION],Insumo[VALOR],,0),"")</f>
        <v/>
      </c>
      <c r="F290" s="33"/>
      <c r="G290" s="34" t="str">
        <f>IFERROR(IF(F290&gt;=0,D290*E290*(1+F290/100),ABS(D290*E290/F290)),"")</f>
        <v/>
      </c>
      <c r="H290" s="43" t="str">
        <f>IFERROR(G290*E284,"")</f>
        <v/>
      </c>
      <c r="I290" s="3"/>
    </row>
    <row r="291" spans="1:11" ht="12.75" customHeight="1">
      <c r="A291" s="28"/>
      <c r="B291" s="29"/>
      <c r="C291" s="30" t="str">
        <f>IFERROR(_xlfn.XLOOKUP(B291,Insumo[DESCRIPCION],Insumo[UND],,0),"")</f>
        <v/>
      </c>
      <c r="D291" s="31"/>
      <c r="E291" s="32" t="str">
        <f>IFERROR(_xlfn.XLOOKUP($B291,Insumo[DESCRIPCION],Insumo[VALOR],,0),"")</f>
        <v/>
      </c>
      <c r="F291" s="33"/>
      <c r="G291" s="34" t="str">
        <f>IFERROR(IF(F291&gt;=0,D291*E291*(1+F291/100),ABS(D291*E291/F291)),"")</f>
        <v/>
      </c>
      <c r="H291" s="43" t="str">
        <f>IFERROR(G291*E284,"")</f>
        <v/>
      </c>
      <c r="I291" s="3"/>
    </row>
    <row r="292" spans="1:11" ht="12.75" customHeight="1">
      <c r="A292" s="21"/>
      <c r="B292" s="22" t="s">
        <v>3731</v>
      </c>
      <c r="C292" s="23"/>
      <c r="D292" s="24"/>
      <c r="E292" s="25"/>
      <c r="F292" s="26"/>
      <c r="G292" s="27">
        <f>SUM(G293:G295)</f>
        <v>1571.9537544750003</v>
      </c>
      <c r="H292" s="27">
        <f>IFERROR(G292*E284,"")</f>
        <v>0</v>
      </c>
      <c r="I292" s="3"/>
    </row>
    <row r="293" spans="1:11" ht="12.75" customHeight="1">
      <c r="A293" s="28"/>
      <c r="B293" s="29" t="s">
        <v>3626</v>
      </c>
      <c r="C293" s="30" t="str">
        <f>IFERROR(_xlfn.XLOOKUP(B293,Equipo[DESCRIPCION],Equipo[UND],,0),"")</f>
        <v>%MO</v>
      </c>
      <c r="D293" s="31">
        <v>0.05</v>
      </c>
      <c r="E293" s="32">
        <f>IF(C293="%MO",G299,IFERROR(_xlfn.XLOOKUP($B293,Equipo[DESCRIPCION],Equipo[VALOR],,0),""))</f>
        <v>31439.075089500006</v>
      </c>
      <c r="F293" s="33"/>
      <c r="G293" s="34">
        <f>IFERROR(IF(F293&gt;=0,D293*E293*(1+F293/100),ABS(D293*E293/F293)),"")</f>
        <v>1571.9537544750003</v>
      </c>
      <c r="H293" s="43">
        <f>IFERROR(G293*E284,"")</f>
        <v>0</v>
      </c>
      <c r="I293" s="3"/>
    </row>
    <row r="294" spans="1:11" ht="12.75" customHeight="1">
      <c r="A294" s="28"/>
      <c r="B294" s="29"/>
      <c r="C294" s="30" t="str">
        <f>IFERROR(_xlfn.XLOOKUP(B294,Equipo[DESCRIPCION],Equipo[UND],,0),"")</f>
        <v/>
      </c>
      <c r="D294" s="31"/>
      <c r="E294" s="32" t="str">
        <f>IF(C294="%MO",G299,IFERROR(_xlfn.XLOOKUP($B294,Equipo[DESCRIPCION],Equipo[VALOR],,0),""))</f>
        <v/>
      </c>
      <c r="F294" s="33"/>
      <c r="G294" s="34" t="str">
        <f>IFERROR(IF(F294&gt;=0,D294*E294*(1+F294/100),ABS(D294*E294/F294)),"")</f>
        <v/>
      </c>
      <c r="H294" s="43" t="str">
        <f>IFERROR(G294*E284,"")</f>
        <v/>
      </c>
      <c r="I294" s="3"/>
    </row>
    <row r="295" spans="1:11" ht="12.75" customHeight="1">
      <c r="A295" s="28"/>
      <c r="B295" s="29"/>
      <c r="C295" s="30" t="str">
        <f>IFERROR(_xlfn.XLOOKUP(B295,Equipo[DESCRIPCION],Equipo[UND],,0),"")</f>
        <v/>
      </c>
      <c r="D295" s="31"/>
      <c r="E295" s="32" t="str">
        <f>IF(C295="%MO",G299,IFERROR(_xlfn.XLOOKUP($B295,Equipo[DESCRIPCION],Equipo[VALOR],,0),""))</f>
        <v/>
      </c>
      <c r="F295" s="33"/>
      <c r="G295" s="34" t="str">
        <f>IFERROR(IF(F295&gt;=0,D295*E295*(1+F295/100),ABS(D295*E295/F295)),"")</f>
        <v/>
      </c>
      <c r="H295" s="43" t="str">
        <f>IFERROR(G295*E284,"")</f>
        <v/>
      </c>
      <c r="I295" s="3"/>
    </row>
    <row r="296" spans="1:11" ht="12.75" customHeight="1">
      <c r="A296" s="21"/>
      <c r="B296" s="22" t="s">
        <v>2533</v>
      </c>
      <c r="C296" s="23"/>
      <c r="D296" s="24"/>
      <c r="E296" s="25"/>
      <c r="F296" s="26"/>
      <c r="G296" s="27">
        <f>SUM(G297:G298)</f>
        <v>0</v>
      </c>
      <c r="H296" s="27">
        <f>IFERROR(G296*E284,"")</f>
        <v>0</v>
      </c>
      <c r="I296" s="3"/>
    </row>
    <row r="297" spans="1:11" ht="12.75" customHeight="1">
      <c r="A297" s="28"/>
      <c r="B297" s="29"/>
      <c r="C297" s="30" t="str">
        <f>IFERROR(_xlfn.XLOOKUP(B297,Transporte[DESCRIPCION],Transporte[UND],,0),"")</f>
        <v/>
      </c>
      <c r="D297" s="31"/>
      <c r="E297" s="32" t="str">
        <f>IFERROR(_xlfn.XLOOKUP($B297,Transporte[DESCRIPCION],Transporte[VALOR],,0),"")</f>
        <v/>
      </c>
      <c r="F297" s="33"/>
      <c r="G297" s="34" t="str">
        <f>IFERROR(IF(F297&gt;=0,D297*E297*(1+F297/100),ABS(D297*E297/F297)),"")</f>
        <v/>
      </c>
      <c r="H297" s="43" t="str">
        <f>IFERROR(G297*E284,"")</f>
        <v/>
      </c>
      <c r="I297" s="3"/>
    </row>
    <row r="298" spans="1:11" ht="12.75" customHeight="1">
      <c r="A298" s="28"/>
      <c r="B298" s="29"/>
      <c r="C298" s="30" t="str">
        <f>IFERROR(_xlfn.XLOOKUP(B298,Transporte[DESCRIPCION],Transporte[UND],,0),"")</f>
        <v/>
      </c>
      <c r="D298" s="31"/>
      <c r="E298" s="32" t="str">
        <f>IFERROR(_xlfn.XLOOKUP($B298,Transporte[DESCRIPCION],Transporte[VALOR],,0),"")</f>
        <v/>
      </c>
      <c r="F298" s="33"/>
      <c r="G298" s="34" t="str">
        <f>IFERROR(IF(F298&gt;=0,D298*E298*(1+F298/100),ABS(D298*E298/F298)),"")</f>
        <v/>
      </c>
      <c r="H298" s="43" t="str">
        <f>IFERROR(G298*E284,"")</f>
        <v/>
      </c>
      <c r="I298" s="3"/>
    </row>
    <row r="299" spans="1:11" ht="12.75" customHeight="1">
      <c r="A299" s="21"/>
      <c r="B299" s="22" t="s">
        <v>3732</v>
      </c>
      <c r="C299" s="23"/>
      <c r="D299" s="24"/>
      <c r="E299" s="25"/>
      <c r="F299" s="26"/>
      <c r="G299" s="27">
        <f>SUM(G300:G302)</f>
        <v>31439.075089500006</v>
      </c>
      <c r="H299" s="27">
        <f>IFERROR(G299*E284,"")</f>
        <v>0</v>
      </c>
      <c r="I299" s="3"/>
    </row>
    <row r="300" spans="1:11" ht="12.75" customHeight="1">
      <c r="A300" s="28"/>
      <c r="B300" s="29" t="s">
        <v>3710</v>
      </c>
      <c r="C300" s="30" t="str">
        <f>IFERROR(_xlfn.XLOOKUP(B300,MObra[DESCRIPCION],MObra[UN],,0),"")</f>
        <v>día</v>
      </c>
      <c r="D300" s="31">
        <v>1</v>
      </c>
      <c r="E300" s="32">
        <f>IFERROR(_xlfn.XLOOKUP($B300,MObra[DESCRIPCION],MObra[VALOR UNIT],,0),"")</f>
        <v>314390.75089500006</v>
      </c>
      <c r="F300" s="33">
        <v>-10</v>
      </c>
      <c r="G300" s="34">
        <f>IFERROR(IF(F300&gt;=0,D300*E300*(1+F300/100),ABS(D300*E300/F300)),"")</f>
        <v>31439.075089500006</v>
      </c>
      <c r="H300" s="43">
        <f>IFERROR(G300*E284,"")</f>
        <v>0</v>
      </c>
      <c r="I300" s="3"/>
    </row>
    <row r="301" spans="1:11" ht="12.75" customHeight="1">
      <c r="A301" s="28"/>
      <c r="B301" s="29"/>
      <c r="C301" s="30" t="str">
        <f>IFERROR(_xlfn.XLOOKUP(B301,MObra[DESCRIPCION],MObra[UN],,0),"")</f>
        <v/>
      </c>
      <c r="D301" s="31"/>
      <c r="E301" s="32" t="str">
        <f>IFERROR(_xlfn.XLOOKUP($B301,MObra[DESCRIPCION],MObra[VALOR UNIT],,0),"")</f>
        <v/>
      </c>
      <c r="F301" s="33"/>
      <c r="G301" s="34" t="str">
        <f>IFERROR(IF(F301&gt;=0,D301*E301*(1+F301/100),ABS(D301*E301/F301)),"")</f>
        <v/>
      </c>
      <c r="H301" s="43" t="str">
        <f>IFERROR(G301*E284,"")</f>
        <v/>
      </c>
      <c r="I301" s="3"/>
    </row>
    <row r="302" spans="1:11" ht="12.75" customHeight="1" thickBot="1">
      <c r="A302" s="35"/>
      <c r="B302" s="36"/>
      <c r="C302" s="37" t="str">
        <f>IFERROR(_xlfn.XLOOKUP(B302,MObra[DESCRIPCION],MObra[UN],,0),"")</f>
        <v/>
      </c>
      <c r="D302" s="38"/>
      <c r="E302" s="39" t="str">
        <f>IFERROR(_xlfn.XLOOKUP($B302,MObra[DESCRIPCION],MObra[VALOR UNIT],,0),"")</f>
        <v/>
      </c>
      <c r="F302" s="40"/>
      <c r="G302" s="41" t="str">
        <f>IFERROR(IF(F302&gt;=0,D302*E302*(1+F302/100),ABS(D302*E302/F302)),"")</f>
        <v/>
      </c>
      <c r="H302" s="42" t="str">
        <f>IFERROR(G302*E284,"")</f>
        <v/>
      </c>
      <c r="I302" s="3"/>
    </row>
    <row r="303" spans="1:11" ht="12.75" customHeight="1" thickTop="1" thickBot="1">
      <c r="I303" s="3"/>
    </row>
    <row r="304" spans="1:11" ht="12.75" customHeight="1" thickTop="1" thickBot="1">
      <c r="A304" s="6" t="s">
        <v>1585</v>
      </c>
      <c r="B304" s="7" t="str">
        <f>VLOOKUP($A304,Presupuesto!$A:$D,2,FALSE())</f>
        <v>Estructura metalica para cubiertas + anticorrosivo</v>
      </c>
      <c r="C304" s="8" t="str">
        <f>VLOOKUP($A304,Presupuesto!$A:$D,3,FALSE())</f>
        <v>Kg</v>
      </c>
      <c r="D304" s="9"/>
      <c r="E304" s="10">
        <f>VLOOKUP($A304,Presupuesto!$A:$D,4,FALSE())</f>
        <v>0</v>
      </c>
      <c r="F304" s="11" t="s">
        <v>2589</v>
      </c>
      <c r="G304" s="12">
        <f>SUM(G306:G322)/2</f>
        <v>21739.909110024004</v>
      </c>
      <c r="H304" s="13">
        <f>ROUND(SUM(H306:H322),0)/2</f>
        <v>0</v>
      </c>
      <c r="I304" s="10">
        <f>VLOOKUP(A304,Presupuesto!$A:$F,6,0)</f>
        <v>0</v>
      </c>
      <c r="J304" s="10">
        <f>+H304-I304</f>
        <v>0</v>
      </c>
      <c r="K304" s="46">
        <f>+H304-G304*E304</f>
        <v>0</v>
      </c>
    </row>
    <row r="305" spans="1:9" ht="12.75" customHeight="1" thickTop="1">
      <c r="A305" s="14"/>
      <c r="B305" s="15" t="s">
        <v>2586</v>
      </c>
      <c r="C305" s="15" t="s">
        <v>5</v>
      </c>
      <c r="D305" s="16" t="s">
        <v>6</v>
      </c>
      <c r="E305" s="17" t="s">
        <v>7</v>
      </c>
      <c r="F305" s="18" t="s">
        <v>3728</v>
      </c>
      <c r="G305" s="19" t="s">
        <v>3729</v>
      </c>
      <c r="H305" s="20" t="s">
        <v>3797</v>
      </c>
      <c r="I305" s="3"/>
    </row>
    <row r="306" spans="1:9" ht="12.75" customHeight="1">
      <c r="A306" s="21"/>
      <c r="B306" s="22" t="s">
        <v>3730</v>
      </c>
      <c r="C306" s="23"/>
      <c r="D306" s="24"/>
      <c r="E306" s="25"/>
      <c r="F306" s="26"/>
      <c r="G306" s="27">
        <f>SUM(G307:G311)</f>
        <v>16119.442500000001</v>
      </c>
      <c r="H306" s="27">
        <f>IFERROR(G306*E304,"")</f>
        <v>0</v>
      </c>
      <c r="I306" s="3"/>
    </row>
    <row r="307" spans="1:9" ht="12.75" customHeight="1">
      <c r="A307" s="28"/>
      <c r="B307" s="29" t="s">
        <v>2654</v>
      </c>
      <c r="C307" s="30" t="str">
        <f>IFERROR(_xlfn.XLOOKUP(B307,Insumo[DESCRIPCION],Insumo[UND],,0),"")</f>
        <v>Kg</v>
      </c>
      <c r="D307" s="31">
        <v>1</v>
      </c>
      <c r="E307" s="32">
        <f>IFERROR(_xlfn.XLOOKUP($B307,Insumo[DESCRIPCION],Insumo[VALOR],,0),"")</f>
        <v>8524.9500000000007</v>
      </c>
      <c r="F307" s="33">
        <v>3</v>
      </c>
      <c r="G307" s="34">
        <f>IFERROR(IF(F307&gt;=0,D307*E307*(1+F307/100),ABS(D307*E307/F307)),"")</f>
        <v>8780.6985000000004</v>
      </c>
      <c r="H307" s="43">
        <f>IFERROR(G307*E304,"")</f>
        <v>0</v>
      </c>
      <c r="I307" s="3"/>
    </row>
    <row r="308" spans="1:9" ht="12.75" customHeight="1">
      <c r="A308" s="28"/>
      <c r="B308" s="29" t="s">
        <v>3326</v>
      </c>
      <c r="C308" s="30" t="str">
        <f>IFERROR(_xlfn.XLOOKUP(B308,Insumo[DESCRIPCION],Insumo[UND],,0),"")</f>
        <v>Kg</v>
      </c>
      <c r="D308" s="31">
        <v>0.1</v>
      </c>
      <c r="E308" s="32">
        <f>IFERROR(_xlfn.XLOOKUP($B308,Insumo[DESCRIPCION],Insumo[VALOR],,0),"")</f>
        <v>5978.7</v>
      </c>
      <c r="F308" s="33"/>
      <c r="G308" s="34">
        <f>IFERROR(IF(F308&gt;=0,D308*E308*(1+F308/100),ABS(D308*E308/F308)),"")</f>
        <v>597.87</v>
      </c>
      <c r="H308" s="43">
        <f>IFERROR(G308*E304,"")</f>
        <v>0</v>
      </c>
      <c r="I308" s="3"/>
    </row>
    <row r="309" spans="1:9" ht="12.75" customHeight="1">
      <c r="A309" s="28"/>
      <c r="B309" s="29" t="s">
        <v>2925</v>
      </c>
      <c r="C309" s="30" t="str">
        <f>IFERROR(_xlfn.XLOOKUP(B309,Insumo[DESCRIPCION],Insumo[UND],,0),"")</f>
        <v>Lt</v>
      </c>
      <c r="D309" s="31">
        <v>0.03</v>
      </c>
      <c r="E309" s="32">
        <f>IFERROR(_xlfn.XLOOKUP($B309,Insumo[DESCRIPCION],Insumo[VALOR],,0),"")</f>
        <v>28923.300000000003</v>
      </c>
      <c r="F309" s="33"/>
      <c r="G309" s="34">
        <f>IFERROR(IF(F309&gt;=0,D309*E309*(1+F309/100),ABS(D309*E309/F309)),"")</f>
        <v>867.69900000000007</v>
      </c>
      <c r="H309" s="43">
        <f>IFERROR(G309*E304,"")</f>
        <v>0</v>
      </c>
      <c r="I309" s="3"/>
    </row>
    <row r="310" spans="1:9" ht="12.75" customHeight="1">
      <c r="A310" s="28"/>
      <c r="B310" s="29" t="s">
        <v>2708</v>
      </c>
      <c r="C310" s="30" t="str">
        <f>IFERROR(_xlfn.XLOOKUP(B310,Insumo[DESCRIPCION],Insumo[UND],,0),"")</f>
        <v>galón</v>
      </c>
      <c r="D310" s="31">
        <v>0.06</v>
      </c>
      <c r="E310" s="32">
        <f>IFERROR(_xlfn.XLOOKUP($B310,Insumo[DESCRIPCION],Insumo[VALOR],,0),"")</f>
        <v>97886.25</v>
      </c>
      <c r="F310" s="33"/>
      <c r="G310" s="34">
        <f>IFERROR(IF(F310&gt;=0,D310*E310*(1+F310/100),ABS(D310*E310/F310)),"")</f>
        <v>5873.1750000000002</v>
      </c>
      <c r="H310" s="43">
        <f>IFERROR(G310*E304,"")</f>
        <v>0</v>
      </c>
      <c r="I310" s="3"/>
    </row>
    <row r="311" spans="1:9" ht="12.75" customHeight="1">
      <c r="A311" s="28"/>
      <c r="B311" s="29"/>
      <c r="C311" s="30" t="str">
        <f>IFERROR(_xlfn.XLOOKUP(B311,Insumo[DESCRIPCION],Insumo[UND],,0),"")</f>
        <v/>
      </c>
      <c r="D311" s="31"/>
      <c r="E311" s="32" t="str">
        <f>IFERROR(_xlfn.XLOOKUP($B311,Insumo[DESCRIPCION],Insumo[VALOR],,0),"")</f>
        <v/>
      </c>
      <c r="F311" s="33"/>
      <c r="G311" s="34" t="str">
        <f>IFERROR(IF(F311&gt;=0,D311*E311*(1+F311/100),ABS(D311*E311/F311)),"")</f>
        <v/>
      </c>
      <c r="H311" s="43" t="str">
        <f>IFERROR(G311*E304,"")</f>
        <v/>
      </c>
      <c r="I311" s="3"/>
    </row>
    <row r="312" spans="1:9" ht="12.75" customHeight="1">
      <c r="A312" s="21"/>
      <c r="B312" s="22" t="s">
        <v>3731</v>
      </c>
      <c r="C312" s="23"/>
      <c r="D312" s="24"/>
      <c r="E312" s="25"/>
      <c r="F312" s="26"/>
      <c r="G312" s="27">
        <f>SUM(G313:G315)</f>
        <v>2266.9652671439999</v>
      </c>
      <c r="H312" s="27">
        <f>IFERROR(G312*E304,"")</f>
        <v>0</v>
      </c>
      <c r="I312" s="3"/>
    </row>
    <row r="313" spans="1:9" ht="12.75" customHeight="1">
      <c r="A313" s="28"/>
      <c r="B313" s="29" t="s">
        <v>3575</v>
      </c>
      <c r="C313" s="30" t="str">
        <f>IFERROR(_xlfn.XLOOKUP(B313,Equipo[DESCRIPCION],Equipo[UND],,0),"")</f>
        <v>Día</v>
      </c>
      <c r="D313" s="31">
        <v>1</v>
      </c>
      <c r="E313" s="32">
        <f>IF(C313="%MO",G319,IFERROR(_xlfn.XLOOKUP($B313,Equipo[DESCRIPCION],Equipo[VALOR],,0),""))</f>
        <v>142078.65</v>
      </c>
      <c r="F313" s="33">
        <v>-125</v>
      </c>
      <c r="G313" s="34">
        <f>IFERROR(IF(F313&gt;=0,D313*E313*(1+F313/100),ABS(D313*E313/F313)),"")</f>
        <v>1136.6291999999999</v>
      </c>
      <c r="H313" s="43">
        <f>IFERROR(G313*E304,"")</f>
        <v>0</v>
      </c>
      <c r="I313" s="3"/>
    </row>
    <row r="314" spans="1:9" ht="12.75" customHeight="1">
      <c r="A314" s="28"/>
      <c r="B314" s="29" t="s">
        <v>3613</v>
      </c>
      <c r="C314" s="30" t="str">
        <f>IFERROR(_xlfn.XLOOKUP(B314,Equipo[DESCRIPCION],Equipo[UND],,0),"")</f>
        <v>Día</v>
      </c>
      <c r="D314" s="31">
        <v>1</v>
      </c>
      <c r="E314" s="32">
        <f>IF(C314="%MO",G319,IFERROR(_xlfn.XLOOKUP($B314,Equipo[DESCRIPCION],Equipo[VALOR],,0),""))</f>
        <v>48133.05</v>
      </c>
      <c r="F314" s="33">
        <v>-50</v>
      </c>
      <c r="G314" s="34">
        <f>IFERROR(IF(F314&gt;=0,D314*E314*(1+F314/100),ABS(D314*E314/F314)),"")</f>
        <v>962.66100000000006</v>
      </c>
      <c r="H314" s="43">
        <f>IFERROR(G314*E304,"")</f>
        <v>0</v>
      </c>
      <c r="I314" s="3"/>
    </row>
    <row r="315" spans="1:9" ht="12.75" customHeight="1">
      <c r="A315" s="28"/>
      <c r="B315" s="29" t="s">
        <v>3626</v>
      </c>
      <c r="C315" s="30" t="str">
        <f>IFERROR(_xlfn.XLOOKUP(B315,Equipo[DESCRIPCION],Equipo[UND],,0),"")</f>
        <v>%MO</v>
      </c>
      <c r="D315" s="31">
        <v>0.05</v>
      </c>
      <c r="E315" s="32">
        <f>IF(C315="%MO",G319,IFERROR(_xlfn.XLOOKUP($B315,Equipo[DESCRIPCION],Equipo[VALOR],,0),""))</f>
        <v>3353.5013428800003</v>
      </c>
      <c r="F315" s="33"/>
      <c r="G315" s="34">
        <f>IFERROR(IF(F315&gt;=0,D315*E315*(1+F315/100),ABS(D315*E315/F315)),"")</f>
        <v>167.67506714400002</v>
      </c>
      <c r="H315" s="43">
        <f>IFERROR(G315*E304,"")</f>
        <v>0</v>
      </c>
      <c r="I315" s="3"/>
    </row>
    <row r="316" spans="1:9" ht="12.75" customHeight="1">
      <c r="A316" s="21"/>
      <c r="B316" s="22" t="s">
        <v>2533</v>
      </c>
      <c r="C316" s="23"/>
      <c r="D316" s="24"/>
      <c r="E316" s="25"/>
      <c r="F316" s="26"/>
      <c r="G316" s="27">
        <f>SUM(G317:G318)</f>
        <v>0</v>
      </c>
      <c r="H316" s="27">
        <f>IFERROR(G316*E304,"")</f>
        <v>0</v>
      </c>
      <c r="I316" s="3"/>
    </row>
    <row r="317" spans="1:9" ht="12.75" customHeight="1">
      <c r="A317" s="28"/>
      <c r="B317" s="29"/>
      <c r="C317" s="30" t="str">
        <f>IFERROR(_xlfn.XLOOKUP(B317,Transporte[DESCRIPCION],Transporte[UND],,0),"")</f>
        <v/>
      </c>
      <c r="D317" s="31"/>
      <c r="E317" s="32" t="str">
        <f>IFERROR(_xlfn.XLOOKUP($B317,Transporte[DESCRIPCION],Transporte[VALOR],,0),"")</f>
        <v/>
      </c>
      <c r="F317" s="33"/>
      <c r="G317" s="34" t="str">
        <f>IFERROR(IF(F317&gt;=0,D317*E317*(1+F317/100),ABS(D317*E317/F317)),"")</f>
        <v/>
      </c>
      <c r="H317" s="43" t="str">
        <f>IFERROR(G317*E304,"")</f>
        <v/>
      </c>
      <c r="I317" s="3"/>
    </row>
    <row r="318" spans="1:9" ht="12.75" customHeight="1">
      <c r="A318" s="28"/>
      <c r="B318" s="29"/>
      <c r="C318" s="30" t="str">
        <f>IFERROR(_xlfn.XLOOKUP(B318,Transporte[DESCRIPCION],Transporte[UND],,0),"")</f>
        <v/>
      </c>
      <c r="D318" s="31"/>
      <c r="E318" s="32" t="str">
        <f>IFERROR(_xlfn.XLOOKUP($B318,Transporte[DESCRIPCION],Transporte[VALOR],,0),"")</f>
        <v/>
      </c>
      <c r="F318" s="33"/>
      <c r="G318" s="34" t="str">
        <f>IFERROR(IF(F318&gt;=0,D318*E318*(1+F318/100),ABS(D318*E318/F318)),"")</f>
        <v/>
      </c>
      <c r="H318" s="43" t="str">
        <f>IFERROR(G318*E304,"")</f>
        <v/>
      </c>
      <c r="I318" s="3"/>
    </row>
    <row r="319" spans="1:9" ht="12.75" customHeight="1">
      <c r="A319" s="21"/>
      <c r="B319" s="22" t="s">
        <v>3732</v>
      </c>
      <c r="C319" s="23"/>
      <c r="D319" s="24"/>
      <c r="E319" s="25"/>
      <c r="F319" s="26"/>
      <c r="G319" s="27">
        <f>SUM(G320:G322)</f>
        <v>3353.5013428800003</v>
      </c>
      <c r="H319" s="27">
        <f>IFERROR(G319*E304,"")</f>
        <v>0</v>
      </c>
      <c r="I319" s="3"/>
    </row>
    <row r="320" spans="1:9" ht="12.75" customHeight="1">
      <c r="A320" s="28"/>
      <c r="B320" s="29" t="s">
        <v>3724</v>
      </c>
      <c r="C320" s="30" t="str">
        <f>IFERROR(_xlfn.XLOOKUP(B320,MObra[DESCRIPCION],MObra[UN],,0),"")</f>
        <v>día</v>
      </c>
      <c r="D320" s="31">
        <v>1</v>
      </c>
      <c r="E320" s="32">
        <f>IFERROR(_xlfn.XLOOKUP($B320,MObra[DESCRIPCION],MObra[VALOR UNIT],,0),"")</f>
        <v>419187.66786000005</v>
      </c>
      <c r="F320" s="33">
        <v>-125</v>
      </c>
      <c r="G320" s="34">
        <f>IFERROR(IF(F320&gt;=0,D320*E320*(1+F320/100),ABS(D320*E320/F320)),"")</f>
        <v>3353.5013428800003</v>
      </c>
      <c r="H320" s="43">
        <f>IFERROR(G320*E304,"")</f>
        <v>0</v>
      </c>
      <c r="I320" s="3"/>
    </row>
    <row r="321" spans="1:11" ht="12.75" customHeight="1">
      <c r="A321" s="28"/>
      <c r="B321" s="29"/>
      <c r="C321" s="30" t="str">
        <f>IFERROR(_xlfn.XLOOKUP(B321,MObra[DESCRIPCION],MObra[UN],,0),"")</f>
        <v/>
      </c>
      <c r="D321" s="31"/>
      <c r="E321" s="32" t="str">
        <f>IFERROR(_xlfn.XLOOKUP($B321,MObra[DESCRIPCION],MObra[VALOR UNIT],,0),"")</f>
        <v/>
      </c>
      <c r="F321" s="33"/>
      <c r="G321" s="34" t="str">
        <f>IFERROR(IF(F321&gt;=0,D321*E321*(1+F321/100),ABS(D321*E321/F321)),"")</f>
        <v/>
      </c>
      <c r="H321" s="43" t="str">
        <f>IFERROR(G321*E304,"")</f>
        <v/>
      </c>
      <c r="I321" s="3"/>
    </row>
    <row r="322" spans="1:11" ht="12.75" customHeight="1" thickBot="1">
      <c r="A322" s="35"/>
      <c r="B322" s="36"/>
      <c r="C322" s="37" t="str">
        <f>IFERROR(_xlfn.XLOOKUP(B322,MObra[DESCRIPCION],MObra[UN],,0),"")</f>
        <v/>
      </c>
      <c r="D322" s="38"/>
      <c r="E322" s="39" t="str">
        <f>IFERROR(_xlfn.XLOOKUP($B322,MObra[DESCRIPCION],MObra[VALOR UNIT],,0),"")</f>
        <v/>
      </c>
      <c r="F322" s="40"/>
      <c r="G322" s="41" t="str">
        <f>IFERROR(IF(F322&gt;=0,D322*E322*(1+F322/100),ABS(D322*E322/F322)),"")</f>
        <v/>
      </c>
      <c r="H322" s="42" t="str">
        <f>IFERROR(G322*E304,"")</f>
        <v/>
      </c>
      <c r="I322" s="3"/>
    </row>
    <row r="323" spans="1:11" ht="12.75" customHeight="1" thickTop="1" thickBot="1">
      <c r="I323" s="3"/>
    </row>
    <row r="324" spans="1:11" ht="12.75" customHeight="1" thickTop="1" thickBot="1">
      <c r="A324" s="6" t="s">
        <v>1587</v>
      </c>
      <c r="B324" s="7" t="str">
        <f>VLOOKUP($A324,Presupuesto!$A:$D,2,FALSE())</f>
        <v>Instalación correa metálica + pintura</v>
      </c>
      <c r="C324" s="8" t="str">
        <f>VLOOKUP($A324,Presupuesto!$A:$D,3,FALSE())</f>
        <v>M</v>
      </c>
      <c r="D324" s="9"/>
      <c r="E324" s="10">
        <f>VLOOKUP($A324,Presupuesto!$A:$D,4,FALSE())</f>
        <v>0</v>
      </c>
      <c r="F324" s="11" t="s">
        <v>2589</v>
      </c>
      <c r="G324" s="12">
        <f>SUM(G326:G342)/2</f>
        <v>15691.000017900002</v>
      </c>
      <c r="H324" s="13">
        <f>ROUND(SUM(H326:H342),0)/2</f>
        <v>0</v>
      </c>
      <c r="I324" s="10">
        <f>VLOOKUP(A324,Presupuesto!$A:$F,6,0)</f>
        <v>0</v>
      </c>
      <c r="J324" s="10">
        <f>+H324-I324</f>
        <v>0</v>
      </c>
      <c r="K324" s="46">
        <f>+H324-G324*E324</f>
        <v>0</v>
      </c>
    </row>
    <row r="325" spans="1:11" ht="12.75" customHeight="1" thickTop="1">
      <c r="A325" s="14"/>
      <c r="B325" s="15" t="s">
        <v>2586</v>
      </c>
      <c r="C325" s="15" t="s">
        <v>5</v>
      </c>
      <c r="D325" s="16" t="s">
        <v>6</v>
      </c>
      <c r="E325" s="17" t="s">
        <v>7</v>
      </c>
      <c r="F325" s="18" t="s">
        <v>3728</v>
      </c>
      <c r="G325" s="19" t="s">
        <v>3729</v>
      </c>
      <c r="H325" s="20" t="s">
        <v>3797</v>
      </c>
      <c r="I325" s="3"/>
    </row>
    <row r="326" spans="1:11" ht="12.75" customHeight="1">
      <c r="A326" s="21"/>
      <c r="B326" s="22" t="s">
        <v>3730</v>
      </c>
      <c r="C326" s="23"/>
      <c r="D326" s="24"/>
      <c r="E326" s="25"/>
      <c r="F326" s="26"/>
      <c r="G326" s="27">
        <f>SUM(G327:G331)</f>
        <v>6685.8750000000009</v>
      </c>
      <c r="H326" s="27">
        <f>IFERROR(G326*E324,"")</f>
        <v>0</v>
      </c>
      <c r="I326" s="3"/>
    </row>
    <row r="327" spans="1:11" ht="12.75" customHeight="1">
      <c r="A327" s="28"/>
      <c r="B327" s="29" t="s">
        <v>2925</v>
      </c>
      <c r="C327" s="30" t="str">
        <f>IFERROR(_xlfn.XLOOKUP(B327,Insumo[DESCRIPCION],Insumo[UND],,0),"")</f>
        <v>Lt</v>
      </c>
      <c r="D327" s="31">
        <v>0.08</v>
      </c>
      <c r="E327" s="32">
        <f>IFERROR(_xlfn.XLOOKUP($B327,Insumo[DESCRIPCION],Insumo[VALOR],,0),"")</f>
        <v>28923.300000000003</v>
      </c>
      <c r="F327" s="33"/>
      <c r="G327" s="34">
        <f>IFERROR(IF(F327&gt;=0,D327*E327*(1+F327/100),ABS(D327*E327/F327)),"")</f>
        <v>2313.8640000000005</v>
      </c>
      <c r="H327" s="43">
        <f>IFERROR(G327*E324,"")</f>
        <v>0</v>
      </c>
      <c r="I327" s="3"/>
    </row>
    <row r="328" spans="1:11" ht="12.75" customHeight="1">
      <c r="A328" s="28"/>
      <c r="B328" s="29" t="s">
        <v>3204</v>
      </c>
      <c r="C328" s="30" t="str">
        <f>IFERROR(_xlfn.XLOOKUP(B328,Insumo[DESCRIPCION],Insumo[UND],,0),"")</f>
        <v>galón</v>
      </c>
      <c r="D328" s="31">
        <v>0.04</v>
      </c>
      <c r="E328" s="32">
        <f>IFERROR(_xlfn.XLOOKUP($B328,Insumo[DESCRIPCION],Insumo[VALOR],,0),"")</f>
        <v>107805.6</v>
      </c>
      <c r="F328" s="33"/>
      <c r="G328" s="34">
        <f>IFERROR(IF(F328&gt;=0,D328*E328*(1+F328/100),ABS(D328*E328/F328)),"")</f>
        <v>4312.2240000000002</v>
      </c>
      <c r="H328" s="43">
        <f>IFERROR(G328*E324,"")</f>
        <v>0</v>
      </c>
      <c r="I328" s="3"/>
    </row>
    <row r="329" spans="1:11" ht="12.75" customHeight="1">
      <c r="A329" s="28"/>
      <c r="B329" s="29" t="s">
        <v>3326</v>
      </c>
      <c r="C329" s="30" t="str">
        <f>IFERROR(_xlfn.XLOOKUP(B329,Insumo[DESCRIPCION],Insumo[UND],,0),"")</f>
        <v>Kg</v>
      </c>
      <c r="D329" s="31">
        <v>0.01</v>
      </c>
      <c r="E329" s="32">
        <f>IFERROR(_xlfn.XLOOKUP($B329,Insumo[DESCRIPCION],Insumo[VALOR],,0),"")</f>
        <v>5978.7</v>
      </c>
      <c r="F329" s="33"/>
      <c r="G329" s="34">
        <f>IFERROR(IF(F329&gt;=0,D329*E329*(1+F329/100),ABS(D329*E329/F329)),"")</f>
        <v>59.786999999999999</v>
      </c>
      <c r="H329" s="43">
        <f>IFERROR(G329*E324,"")</f>
        <v>0</v>
      </c>
      <c r="I329" s="3"/>
    </row>
    <row r="330" spans="1:11" ht="12.75" customHeight="1">
      <c r="A330" s="28"/>
      <c r="B330" s="29"/>
      <c r="C330" s="30" t="str">
        <f>IFERROR(_xlfn.XLOOKUP(B330,Insumo[DESCRIPCION],Insumo[UND],,0),"")</f>
        <v/>
      </c>
      <c r="D330" s="31"/>
      <c r="E330" s="32" t="str">
        <f>IFERROR(_xlfn.XLOOKUP($B330,Insumo[DESCRIPCION],Insumo[VALOR],,0),"")</f>
        <v/>
      </c>
      <c r="F330" s="33"/>
      <c r="G330" s="34" t="str">
        <f>IFERROR(IF(F330&gt;=0,D330*E330*(1+F330/100),ABS(D330*E330/F330)),"")</f>
        <v/>
      </c>
      <c r="H330" s="43" t="str">
        <f>IFERROR(G330*E324,"")</f>
        <v/>
      </c>
      <c r="I330" s="3"/>
    </row>
    <row r="331" spans="1:11" ht="12.75" customHeight="1">
      <c r="A331" s="28"/>
      <c r="B331" s="29"/>
      <c r="C331" s="30" t="str">
        <f>IFERROR(_xlfn.XLOOKUP(B331,Insumo[DESCRIPCION],Insumo[UND],,0),"")</f>
        <v/>
      </c>
      <c r="D331" s="31"/>
      <c r="E331" s="32" t="str">
        <f>IFERROR(_xlfn.XLOOKUP($B331,Insumo[DESCRIPCION],Insumo[VALOR],,0),"")</f>
        <v/>
      </c>
      <c r="F331" s="33"/>
      <c r="G331" s="34" t="str">
        <f>IFERROR(IF(F331&gt;=0,D331*E331*(1+F331/100),ABS(D331*E331/F331)),"")</f>
        <v/>
      </c>
      <c r="H331" s="43" t="str">
        <f>IFERROR(G331*E324,"")</f>
        <v/>
      </c>
      <c r="I331" s="3"/>
    </row>
    <row r="332" spans="1:11" ht="12.75" customHeight="1">
      <c r="A332" s="21"/>
      <c r="B332" s="22" t="s">
        <v>3731</v>
      </c>
      <c r="C332" s="23"/>
      <c r="D332" s="24"/>
      <c r="E332" s="25"/>
      <c r="F332" s="26"/>
      <c r="G332" s="27">
        <f>SUM(G333:G335)</f>
        <v>3016.7297627571429</v>
      </c>
      <c r="H332" s="27">
        <f>IFERROR(G332*E324,"")</f>
        <v>0</v>
      </c>
      <c r="I332" s="3"/>
    </row>
    <row r="333" spans="1:11" ht="12.75" customHeight="1">
      <c r="A333" s="28"/>
      <c r="B333" s="29" t="s">
        <v>3613</v>
      </c>
      <c r="C333" s="30" t="str">
        <f>IFERROR(_xlfn.XLOOKUP(B333,Equipo[DESCRIPCION],Equipo[UND],,0),"")</f>
        <v>Día</v>
      </c>
      <c r="D333" s="31">
        <v>1</v>
      </c>
      <c r="E333" s="32">
        <f>IF(C333="%MO",G339,IFERROR(_xlfn.XLOOKUP($B333,Equipo[DESCRIPCION],Equipo[VALOR],,0),""))</f>
        <v>48133.05</v>
      </c>
      <c r="F333" s="33">
        <v>-70</v>
      </c>
      <c r="G333" s="34">
        <f>IFERROR(IF(F333&gt;=0,D333*E333*(1+F333/100),ABS(D333*E333/F333)),"")</f>
        <v>687.61500000000001</v>
      </c>
      <c r="H333" s="43">
        <f>IFERROR(G333*E324,"")</f>
        <v>0</v>
      </c>
      <c r="I333" s="3"/>
    </row>
    <row r="334" spans="1:11" ht="12.75" customHeight="1">
      <c r="A334" s="28"/>
      <c r="B334" s="29" t="s">
        <v>3575</v>
      </c>
      <c r="C334" s="30" t="str">
        <f>IFERROR(_xlfn.XLOOKUP(B334,Equipo[DESCRIPCION],Equipo[UND],,0),"")</f>
        <v>Día</v>
      </c>
      <c r="D334" s="31">
        <v>1</v>
      </c>
      <c r="E334" s="32">
        <f>IF(C334="%MO",G339,IFERROR(_xlfn.XLOOKUP($B334,Equipo[DESCRIPCION],Equipo[VALOR],,0),""))</f>
        <v>142078.65</v>
      </c>
      <c r="F334" s="33">
        <v>-70</v>
      </c>
      <c r="G334" s="34">
        <f>IFERROR(IF(F334&gt;=0,D334*E334*(1+F334/100),ABS(D334*E334/F334)),"")</f>
        <v>2029.6949999999999</v>
      </c>
      <c r="H334" s="43">
        <f>IFERROR(G334*E324,"")</f>
        <v>0</v>
      </c>
      <c r="I334" s="3"/>
    </row>
    <row r="335" spans="1:11" ht="12.75" customHeight="1">
      <c r="A335" s="28"/>
      <c r="B335" s="29" t="s">
        <v>3626</v>
      </c>
      <c r="C335" s="30" t="str">
        <f>IFERROR(_xlfn.XLOOKUP(B335,Equipo[DESCRIPCION],Equipo[UND],,0),"")</f>
        <v>%MO</v>
      </c>
      <c r="D335" s="31">
        <v>0.05</v>
      </c>
      <c r="E335" s="32">
        <f>IF(C335="%MO",G339,IFERROR(_xlfn.XLOOKUP($B335,Equipo[DESCRIPCION],Equipo[VALOR],,0),""))</f>
        <v>5988.3952551428574</v>
      </c>
      <c r="F335" s="33"/>
      <c r="G335" s="34">
        <f>IFERROR(IF(F335&gt;=0,D335*E335*(1+F335/100),ABS(D335*E335/F335)),"")</f>
        <v>299.41976275714291</v>
      </c>
      <c r="H335" s="43">
        <f>IFERROR(G335*E324,"")</f>
        <v>0</v>
      </c>
      <c r="I335" s="3"/>
    </row>
    <row r="336" spans="1:11" ht="12.75" customHeight="1">
      <c r="A336" s="21"/>
      <c r="B336" s="22" t="s">
        <v>2533</v>
      </c>
      <c r="C336" s="23"/>
      <c r="D336" s="24"/>
      <c r="E336" s="25"/>
      <c r="F336" s="26"/>
      <c r="G336" s="27">
        <f>SUM(G337:G338)</f>
        <v>0</v>
      </c>
      <c r="H336" s="27">
        <f>IFERROR(G336*E324,"")</f>
        <v>0</v>
      </c>
      <c r="I336" s="3"/>
    </row>
    <row r="337" spans="1:11" ht="12.75" customHeight="1">
      <c r="A337" s="28"/>
      <c r="B337" s="29"/>
      <c r="C337" s="30" t="str">
        <f>IFERROR(_xlfn.XLOOKUP(B337,Transporte[DESCRIPCION],Transporte[UND],,0),"")</f>
        <v/>
      </c>
      <c r="D337" s="31"/>
      <c r="E337" s="32" t="str">
        <f>IFERROR(_xlfn.XLOOKUP($B337,Transporte[DESCRIPCION],Transporte[VALOR],,0),"")</f>
        <v/>
      </c>
      <c r="F337" s="33"/>
      <c r="G337" s="34" t="str">
        <f>IFERROR(IF(F337&gt;=0,D337*E337*(1+F337/100),ABS(D337*E337/F337)),"")</f>
        <v/>
      </c>
      <c r="H337" s="43" t="str">
        <f>IFERROR(G337*E324,"")</f>
        <v/>
      </c>
      <c r="I337" s="3"/>
    </row>
    <row r="338" spans="1:11" ht="12.75" customHeight="1">
      <c r="A338" s="28"/>
      <c r="B338" s="29"/>
      <c r="C338" s="30" t="str">
        <f>IFERROR(_xlfn.XLOOKUP(B338,Transporte[DESCRIPCION],Transporte[UND],,0),"")</f>
        <v/>
      </c>
      <c r="D338" s="31"/>
      <c r="E338" s="32" t="str">
        <f>IFERROR(_xlfn.XLOOKUP($B338,Transporte[DESCRIPCION],Transporte[VALOR],,0),"")</f>
        <v/>
      </c>
      <c r="F338" s="33"/>
      <c r="G338" s="34" t="str">
        <f>IFERROR(IF(F338&gt;=0,D338*E338*(1+F338/100),ABS(D338*E338/F338)),"")</f>
        <v/>
      </c>
      <c r="H338" s="43" t="str">
        <f>IFERROR(G338*E324,"")</f>
        <v/>
      </c>
      <c r="I338" s="3"/>
    </row>
    <row r="339" spans="1:11" ht="12.75" customHeight="1">
      <c r="A339" s="21"/>
      <c r="B339" s="22" t="s">
        <v>3732</v>
      </c>
      <c r="C339" s="23"/>
      <c r="D339" s="24"/>
      <c r="E339" s="25"/>
      <c r="F339" s="26"/>
      <c r="G339" s="27">
        <f>SUM(G340:G342)</f>
        <v>5988.3952551428574</v>
      </c>
      <c r="H339" s="27">
        <f>IFERROR(G339*E324,"")</f>
        <v>0</v>
      </c>
      <c r="I339" s="3"/>
    </row>
    <row r="340" spans="1:11" ht="12.75" customHeight="1">
      <c r="A340" s="28"/>
      <c r="B340" s="29" t="s">
        <v>3724</v>
      </c>
      <c r="C340" s="30" t="str">
        <f>IFERROR(_xlfn.XLOOKUP(B340,MObra[DESCRIPCION],MObra[UN],,0),"")</f>
        <v>día</v>
      </c>
      <c r="D340" s="31">
        <v>1</v>
      </c>
      <c r="E340" s="32">
        <f>IFERROR(_xlfn.XLOOKUP($B340,MObra[DESCRIPCION],MObra[VALOR UNIT],,0),"")</f>
        <v>419187.66786000005</v>
      </c>
      <c r="F340" s="33">
        <v>-70</v>
      </c>
      <c r="G340" s="34">
        <f>IFERROR(IF(F340&gt;=0,D340*E340*(1+F340/100),ABS(D340*E340/F340)),"")</f>
        <v>5988.3952551428574</v>
      </c>
      <c r="H340" s="43">
        <f>IFERROR(G340*E324,"")</f>
        <v>0</v>
      </c>
      <c r="I340" s="3"/>
    </row>
    <row r="341" spans="1:11" ht="12.75" customHeight="1">
      <c r="A341" s="28"/>
      <c r="B341" s="29"/>
      <c r="C341" s="30" t="str">
        <f>IFERROR(_xlfn.XLOOKUP(B341,MObra[DESCRIPCION],MObra[UN],,0),"")</f>
        <v/>
      </c>
      <c r="D341" s="31"/>
      <c r="E341" s="32" t="str">
        <f>IFERROR(_xlfn.XLOOKUP($B341,MObra[DESCRIPCION],MObra[VALOR UNIT],,0),"")</f>
        <v/>
      </c>
      <c r="F341" s="33"/>
      <c r="G341" s="34" t="str">
        <f>IFERROR(IF(F341&gt;=0,D341*E341*(1+F341/100),ABS(D341*E341/F341)),"")</f>
        <v/>
      </c>
      <c r="H341" s="43" t="str">
        <f>IFERROR(G341*E324,"")</f>
        <v/>
      </c>
      <c r="I341" s="3"/>
    </row>
    <row r="342" spans="1:11" ht="12.75" customHeight="1" thickBot="1">
      <c r="A342" s="35"/>
      <c r="B342" s="36"/>
      <c r="C342" s="37" t="str">
        <f>IFERROR(_xlfn.XLOOKUP(B342,MObra[DESCRIPCION],MObra[UN],,0),"")</f>
        <v/>
      </c>
      <c r="D342" s="38"/>
      <c r="E342" s="39" t="str">
        <f>IFERROR(_xlfn.XLOOKUP($B342,MObra[DESCRIPCION],MObra[VALOR UNIT],,0),"")</f>
        <v/>
      </c>
      <c r="F342" s="40"/>
      <c r="G342" s="41" t="str">
        <f>IFERROR(IF(F342&gt;=0,D342*E342*(1+F342/100),ABS(D342*E342/F342)),"")</f>
        <v/>
      </c>
      <c r="H342" s="42" t="str">
        <f>IFERROR(G342*E324,"")</f>
        <v/>
      </c>
      <c r="I342" s="3"/>
    </row>
    <row r="343" spans="1:11" ht="12.75" customHeight="1" thickTop="1" thickBot="1">
      <c r="I343" s="3"/>
    </row>
    <row r="344" spans="1:11" ht="12.75" customHeight="1" thickTop="1" thickBot="1">
      <c r="A344" s="6" t="s">
        <v>1589</v>
      </c>
      <c r="B344" s="7" t="str">
        <f>VLOOKUP($A344,Presupuesto!$A:$D,2,FALSE())</f>
        <v>Instalación marco lamina C 20</v>
      </c>
      <c r="C344" s="8" t="str">
        <f>VLOOKUP($A344,Presupuesto!$A:$D,3,FALSE())</f>
        <v>Un</v>
      </c>
      <c r="D344" s="9"/>
      <c r="E344" s="10">
        <f>VLOOKUP($A344,Presupuesto!$A:$D,4,FALSE())</f>
        <v>0</v>
      </c>
      <c r="F344" s="11" t="s">
        <v>2589</v>
      </c>
      <c r="G344" s="12">
        <f>SUM(G346:G362)/2</f>
        <v>71241.961217734439</v>
      </c>
      <c r="H344" s="13">
        <f>ROUND(SUM(H346:H362),0)/2</f>
        <v>0</v>
      </c>
      <c r="I344" s="10">
        <f>VLOOKUP(A344,Presupuesto!$A:$F,6,0)</f>
        <v>0</v>
      </c>
      <c r="J344" s="10">
        <f>+H344-I344</f>
        <v>0</v>
      </c>
      <c r="K344" s="46">
        <f>+H344-G344*E344</f>
        <v>0</v>
      </c>
    </row>
    <row r="345" spans="1:11" ht="12.75" customHeight="1" thickTop="1">
      <c r="A345" s="14"/>
      <c r="B345" s="15" t="s">
        <v>2586</v>
      </c>
      <c r="C345" s="15" t="s">
        <v>5</v>
      </c>
      <c r="D345" s="16" t="s">
        <v>6</v>
      </c>
      <c r="E345" s="17" t="s">
        <v>7</v>
      </c>
      <c r="F345" s="18" t="s">
        <v>3728</v>
      </c>
      <c r="G345" s="19" t="s">
        <v>3729</v>
      </c>
      <c r="H345" s="20" t="s">
        <v>3797</v>
      </c>
      <c r="I345" s="3"/>
    </row>
    <row r="346" spans="1:11" ht="12.75" customHeight="1">
      <c r="A346" s="21"/>
      <c r="B346" s="22" t="s">
        <v>3730</v>
      </c>
      <c r="C346" s="23"/>
      <c r="D346" s="24"/>
      <c r="E346" s="25"/>
      <c r="F346" s="26"/>
      <c r="G346" s="27">
        <f>SUM(G347:G351)</f>
        <v>10576.913144442753</v>
      </c>
      <c r="H346" s="27">
        <f>IFERROR(G346*E344,"")</f>
        <v>0</v>
      </c>
      <c r="I346" s="3"/>
    </row>
    <row r="347" spans="1:11" ht="12.75" customHeight="1">
      <c r="A347" s="28"/>
      <c r="B347" s="29" t="s">
        <v>3407</v>
      </c>
      <c r="C347" s="30" t="str">
        <f>IFERROR(_xlfn.XLOOKUP(B347,Insumo[DESCRIPCION],Insumo[UND],,0),"")</f>
        <v>Un</v>
      </c>
      <c r="D347" s="31">
        <v>8</v>
      </c>
      <c r="E347" s="32">
        <f>IFERROR(_xlfn.XLOOKUP($B347,Insumo[DESCRIPCION],Insumo[VALOR],,0),"")</f>
        <v>77.7</v>
      </c>
      <c r="F347" s="33"/>
      <c r="G347" s="34">
        <f>IFERROR(IF(F347&gt;=0,D347*E347*(1+F347/100),ABS(D347*E347/F347)),"")</f>
        <v>621.6</v>
      </c>
      <c r="H347" s="43">
        <f>IFERROR(G347*E344,"")</f>
        <v>0</v>
      </c>
      <c r="I347" s="3"/>
    </row>
    <row r="348" spans="1:11" ht="12.75" customHeight="1">
      <c r="A348" s="28"/>
      <c r="B348" s="29" t="s">
        <v>3244</v>
      </c>
      <c r="C348" s="30" t="str">
        <f>IFERROR(_xlfn.XLOOKUP(B348,Insumo[DESCRIPCION],Insumo[UND],,0),"")</f>
        <v>M3</v>
      </c>
      <c r="D348" s="31">
        <v>0.02</v>
      </c>
      <c r="E348" s="32">
        <f>IFERROR(_xlfn.XLOOKUP($B348,Insumo[DESCRIPCION],Insumo[VALOR],,0),"")</f>
        <v>497765.65722213761</v>
      </c>
      <c r="F348" s="33"/>
      <c r="G348" s="34">
        <f>IFERROR(IF(F348&gt;=0,D348*E348*(1+F348/100),ABS(D348*E348/F348)),"")</f>
        <v>9955.3131444427527</v>
      </c>
      <c r="H348" s="43">
        <f>IFERROR(G348*E344,"")</f>
        <v>0</v>
      </c>
      <c r="I348" s="3"/>
    </row>
    <row r="349" spans="1:11" ht="12.75" customHeight="1">
      <c r="A349" s="28"/>
      <c r="B349" s="29"/>
      <c r="C349" s="30" t="str">
        <f>IFERROR(_xlfn.XLOOKUP(B349,Insumo[DESCRIPCION],Insumo[UND],,0),"")</f>
        <v/>
      </c>
      <c r="D349" s="31"/>
      <c r="E349" s="32" t="str">
        <f>IFERROR(_xlfn.XLOOKUP($B349,Insumo[DESCRIPCION],Insumo[VALOR],,0),"")</f>
        <v/>
      </c>
      <c r="F349" s="33"/>
      <c r="G349" s="34" t="str">
        <f>IFERROR(IF(F349&gt;=0,D349*E349*(1+F349/100),ABS(D349*E349/F349)),"")</f>
        <v/>
      </c>
      <c r="H349" s="43" t="str">
        <f>IFERROR(G349*E344,"")</f>
        <v/>
      </c>
      <c r="I349" s="3"/>
    </row>
    <row r="350" spans="1:11" ht="12.75" customHeight="1">
      <c r="A350" s="28"/>
      <c r="B350" s="29"/>
      <c r="C350" s="30" t="str">
        <f>IFERROR(_xlfn.XLOOKUP(B350,Insumo[DESCRIPCION],Insumo[UND],,0),"")</f>
        <v/>
      </c>
      <c r="D350" s="31"/>
      <c r="E350" s="32" t="str">
        <f>IFERROR(_xlfn.XLOOKUP($B350,Insumo[DESCRIPCION],Insumo[VALOR],,0),"")</f>
        <v/>
      </c>
      <c r="F350" s="33"/>
      <c r="G350" s="34" t="str">
        <f>IFERROR(IF(F350&gt;=0,D350*E350*(1+F350/100),ABS(D350*E350/F350)),"")</f>
        <v/>
      </c>
      <c r="H350" s="43" t="str">
        <f>IFERROR(G350*E344,"")</f>
        <v/>
      </c>
      <c r="I350" s="3"/>
    </row>
    <row r="351" spans="1:11" ht="12.75" customHeight="1">
      <c r="A351" s="28"/>
      <c r="B351" s="29"/>
      <c r="C351" s="30" t="str">
        <f>IFERROR(_xlfn.XLOOKUP(B351,Insumo[DESCRIPCION],Insumo[UND],,0),"")</f>
        <v/>
      </c>
      <c r="D351" s="31"/>
      <c r="E351" s="32" t="str">
        <f>IFERROR(_xlfn.XLOOKUP($B351,Insumo[DESCRIPCION],Insumo[VALOR],,0),"")</f>
        <v/>
      </c>
      <c r="F351" s="33"/>
      <c r="G351" s="34" t="str">
        <f>IFERROR(IF(F351&gt;=0,D351*E351*(1+F351/100),ABS(D351*E351/F351)),"")</f>
        <v/>
      </c>
      <c r="H351" s="43" t="str">
        <f>IFERROR(G351*E344,"")</f>
        <v/>
      </c>
      <c r="I351" s="3"/>
    </row>
    <row r="352" spans="1:11" ht="12.75" customHeight="1">
      <c r="A352" s="21"/>
      <c r="B352" s="22" t="s">
        <v>3731</v>
      </c>
      <c r="C352" s="23"/>
      <c r="D352" s="24"/>
      <c r="E352" s="25"/>
      <c r="F352" s="26"/>
      <c r="G352" s="27">
        <f>SUM(G353:G355)</f>
        <v>8266.5895907916674</v>
      </c>
      <c r="H352" s="27">
        <f>IFERROR(G352*E344,"")</f>
        <v>0</v>
      </c>
      <c r="I352" s="3"/>
    </row>
    <row r="353" spans="1:11" ht="12.75" customHeight="1">
      <c r="A353" s="28"/>
      <c r="B353" s="29" t="s">
        <v>3654</v>
      </c>
      <c r="C353" s="30" t="str">
        <f>IFERROR(_xlfn.XLOOKUP(B353,Equipo[DESCRIPCION],Equipo[UND],,0),"")</f>
        <v>Día</v>
      </c>
      <c r="D353" s="31">
        <v>1</v>
      </c>
      <c r="E353" s="32">
        <f>IF(C353="%MO",G359,IFERROR(_xlfn.XLOOKUP($B353,Equipo[DESCRIPCION],Equipo[VALOR],,0),""))</f>
        <v>101640</v>
      </c>
      <c r="F353" s="33">
        <v>-18</v>
      </c>
      <c r="G353" s="34">
        <f>IFERROR(IF(F353&gt;=0,D353*E353*(1+F353/100),ABS(D353*E353/F353)),"")</f>
        <v>5646.666666666667</v>
      </c>
      <c r="H353" s="43">
        <f>IFERROR(G353*E344,"")</f>
        <v>0</v>
      </c>
      <c r="I353" s="3"/>
    </row>
    <row r="354" spans="1:11" ht="12.75" customHeight="1">
      <c r="A354" s="28"/>
      <c r="B354" s="29" t="s">
        <v>3626</v>
      </c>
      <c r="C354" s="30" t="str">
        <f>IFERROR(_xlfn.XLOOKUP(B354,Equipo[DESCRIPCION],Equipo[UND],,0),"")</f>
        <v>%MO</v>
      </c>
      <c r="D354" s="31">
        <v>0.05</v>
      </c>
      <c r="E354" s="32">
        <f>IF(C354="%MO",G359,IFERROR(_xlfn.XLOOKUP($B354,Equipo[DESCRIPCION],Equipo[VALOR],,0),""))</f>
        <v>52398.458482500013</v>
      </c>
      <c r="F354" s="33"/>
      <c r="G354" s="34">
        <f>IFERROR(IF(F354&gt;=0,D354*E354*(1+F354/100),ABS(D354*E354/F354)),"")</f>
        <v>2619.9229241250009</v>
      </c>
      <c r="H354" s="43">
        <f>IFERROR(G354*E344,"")</f>
        <v>0</v>
      </c>
      <c r="I354" s="3"/>
    </row>
    <row r="355" spans="1:11" ht="12.75" customHeight="1">
      <c r="A355" s="28"/>
      <c r="B355" s="29"/>
      <c r="C355" s="30" t="str">
        <f>IFERROR(_xlfn.XLOOKUP(B355,Equipo[DESCRIPCION],Equipo[UND],,0),"")</f>
        <v/>
      </c>
      <c r="D355" s="31"/>
      <c r="E355" s="32" t="str">
        <f>IF(C355="%MO",G359,IFERROR(_xlfn.XLOOKUP($B355,Equipo[DESCRIPCION],Equipo[VALOR],,0),""))</f>
        <v/>
      </c>
      <c r="F355" s="33"/>
      <c r="G355" s="34" t="str">
        <f>IFERROR(IF(F355&gt;=0,D355*E355*(1+F355/100),ABS(D355*E355/F355)),"")</f>
        <v/>
      </c>
      <c r="H355" s="43" t="str">
        <f>IFERROR(G355*E344,"")</f>
        <v/>
      </c>
      <c r="I355" s="3"/>
    </row>
    <row r="356" spans="1:11" ht="12.75" customHeight="1">
      <c r="A356" s="21"/>
      <c r="B356" s="22" t="s">
        <v>2533</v>
      </c>
      <c r="C356" s="23"/>
      <c r="D356" s="24"/>
      <c r="E356" s="25"/>
      <c r="F356" s="26"/>
      <c r="G356" s="27">
        <f>SUM(G357:G358)</f>
        <v>0</v>
      </c>
      <c r="H356" s="27">
        <f>IFERROR(G356*E344,"")</f>
        <v>0</v>
      </c>
      <c r="I356" s="3"/>
    </row>
    <row r="357" spans="1:11" ht="12.75" customHeight="1">
      <c r="A357" s="28"/>
      <c r="B357" s="29"/>
      <c r="C357" s="30" t="str">
        <f>IFERROR(_xlfn.XLOOKUP(B357,Transporte[DESCRIPCION],Transporte[UND],,0),"")</f>
        <v/>
      </c>
      <c r="D357" s="31"/>
      <c r="E357" s="32" t="str">
        <f>IFERROR(_xlfn.XLOOKUP($B357,Transporte[DESCRIPCION],Transporte[VALOR],,0),"")</f>
        <v/>
      </c>
      <c r="F357" s="33"/>
      <c r="G357" s="34" t="str">
        <f>IFERROR(IF(F357&gt;=0,D357*E357*(1+F357/100),ABS(D357*E357/F357)),"")</f>
        <v/>
      </c>
      <c r="H357" s="43" t="str">
        <f>IFERROR(G357*E344,"")</f>
        <v/>
      </c>
      <c r="I357" s="3"/>
    </row>
    <row r="358" spans="1:11" ht="12.75" customHeight="1">
      <c r="A358" s="28"/>
      <c r="B358" s="29"/>
      <c r="C358" s="30" t="str">
        <f>IFERROR(_xlfn.XLOOKUP(B358,Transporte[DESCRIPCION],Transporte[UND],,0),"")</f>
        <v/>
      </c>
      <c r="D358" s="31"/>
      <c r="E358" s="32" t="str">
        <f>IFERROR(_xlfn.XLOOKUP($B358,Transporte[DESCRIPCION],Transporte[VALOR],,0),"")</f>
        <v/>
      </c>
      <c r="F358" s="33"/>
      <c r="G358" s="34" t="str">
        <f>IFERROR(IF(F358&gt;=0,D358*E358*(1+F358/100),ABS(D358*E358/F358)),"")</f>
        <v/>
      </c>
      <c r="H358" s="43" t="str">
        <f>IFERROR(G358*E344,"")</f>
        <v/>
      </c>
      <c r="I358" s="3"/>
    </row>
    <row r="359" spans="1:11" ht="12.75" customHeight="1">
      <c r="A359" s="21"/>
      <c r="B359" s="22" t="s">
        <v>3732</v>
      </c>
      <c r="C359" s="23"/>
      <c r="D359" s="24"/>
      <c r="E359" s="25"/>
      <c r="F359" s="26"/>
      <c r="G359" s="27">
        <f>SUM(G360:G362)</f>
        <v>52398.458482500013</v>
      </c>
      <c r="H359" s="27">
        <f>IFERROR(G359*E344,"")</f>
        <v>0</v>
      </c>
      <c r="I359" s="3"/>
    </row>
    <row r="360" spans="1:11" ht="12.75" customHeight="1">
      <c r="A360" s="28"/>
      <c r="B360" s="29" t="s">
        <v>3710</v>
      </c>
      <c r="C360" s="30" t="str">
        <f>IFERROR(_xlfn.XLOOKUP(B360,MObra[DESCRIPCION],MObra[UN],,0),"")</f>
        <v>día</v>
      </c>
      <c r="D360" s="31">
        <v>1</v>
      </c>
      <c r="E360" s="32">
        <f>IFERROR(_xlfn.XLOOKUP($B360,MObra[DESCRIPCION],MObra[VALOR UNIT],,0),"")</f>
        <v>314390.75089500006</v>
      </c>
      <c r="F360" s="33">
        <v>-6</v>
      </c>
      <c r="G360" s="34">
        <f>IFERROR(IF(F360&gt;=0,D360*E360*(1+F360/100),ABS(D360*E360/F360)),"")</f>
        <v>52398.458482500013</v>
      </c>
      <c r="H360" s="43">
        <f>IFERROR(G360*E344,"")</f>
        <v>0</v>
      </c>
      <c r="I360" s="3"/>
    </row>
    <row r="361" spans="1:11" ht="12.75" customHeight="1">
      <c r="A361" s="28"/>
      <c r="B361" s="29"/>
      <c r="C361" s="30" t="str">
        <f>IFERROR(_xlfn.XLOOKUP(B361,MObra[DESCRIPCION],MObra[UN],,0),"")</f>
        <v/>
      </c>
      <c r="D361" s="31"/>
      <c r="E361" s="32" t="str">
        <f>IFERROR(_xlfn.XLOOKUP($B361,MObra[DESCRIPCION],MObra[VALOR UNIT],,0),"")</f>
        <v/>
      </c>
      <c r="F361" s="33"/>
      <c r="G361" s="34" t="str">
        <f>IFERROR(IF(F361&gt;=0,D361*E361*(1+F361/100),ABS(D361*E361/F361)),"")</f>
        <v/>
      </c>
      <c r="H361" s="43" t="str">
        <f>IFERROR(G361*E344,"")</f>
        <v/>
      </c>
      <c r="I361" s="3"/>
    </row>
    <row r="362" spans="1:11" ht="12.75" customHeight="1" thickBot="1">
      <c r="A362" s="35"/>
      <c r="B362" s="36"/>
      <c r="C362" s="37" t="str">
        <f>IFERROR(_xlfn.XLOOKUP(B362,MObra[DESCRIPCION],MObra[UN],,0),"")</f>
        <v/>
      </c>
      <c r="D362" s="38"/>
      <c r="E362" s="39" t="str">
        <f>IFERROR(_xlfn.XLOOKUP($B362,MObra[DESCRIPCION],MObra[VALOR UNIT],,0),"")</f>
        <v/>
      </c>
      <c r="F362" s="40"/>
      <c r="G362" s="41" t="str">
        <f>IFERROR(IF(F362&gt;=0,D362*E362*(1+F362/100),ABS(D362*E362/F362)),"")</f>
        <v/>
      </c>
      <c r="H362" s="42" t="str">
        <f>IFERROR(G362*E344,"")</f>
        <v/>
      </c>
      <c r="I362" s="3"/>
    </row>
    <row r="363" spans="1:11" ht="12.75" customHeight="1" thickTop="1" thickBot="1">
      <c r="I363" s="3"/>
    </row>
    <row r="364" spans="1:11" ht="12.75" customHeight="1" thickTop="1" thickBot="1">
      <c r="A364" s="6" t="s">
        <v>1591</v>
      </c>
      <c r="B364" s="7" t="str">
        <f>VLOOKUP($A364,Presupuesto!$A:$D,2,FALSE())</f>
        <v>Instalación persianas</v>
      </c>
      <c r="C364" s="8" t="str">
        <f>VLOOKUP($A364,Presupuesto!$A:$D,3,FALSE())</f>
        <v>M</v>
      </c>
      <c r="D364" s="9"/>
      <c r="E364" s="10">
        <f>VLOOKUP($A364,Presupuesto!$A:$D,4,FALSE())</f>
        <v>0</v>
      </c>
      <c r="F364" s="11" t="s">
        <v>2589</v>
      </c>
      <c r="G364" s="12">
        <f>SUM(G366:G382)/2</f>
        <v>18005.374541170004</v>
      </c>
      <c r="H364" s="13">
        <f>ROUND(SUM(H366:H382),0)/2</f>
        <v>0</v>
      </c>
      <c r="I364" s="10">
        <f>VLOOKUP(A364,Presupuesto!$A:$F,6,0)</f>
        <v>0</v>
      </c>
      <c r="J364" s="10">
        <f>+H364-I364</f>
        <v>0</v>
      </c>
      <c r="K364" s="46">
        <f>+H364-G364*E364</f>
        <v>0</v>
      </c>
    </row>
    <row r="365" spans="1:11" ht="12.75" customHeight="1" thickTop="1">
      <c r="A365" s="14"/>
      <c r="B365" s="15" t="s">
        <v>2586</v>
      </c>
      <c r="C365" s="15" t="s">
        <v>5</v>
      </c>
      <c r="D365" s="16" t="s">
        <v>6</v>
      </c>
      <c r="E365" s="17" t="s">
        <v>7</v>
      </c>
      <c r="F365" s="18" t="s">
        <v>3728</v>
      </c>
      <c r="G365" s="19" t="s">
        <v>3729</v>
      </c>
      <c r="H365" s="20" t="s">
        <v>3797</v>
      </c>
      <c r="I365" s="3"/>
    </row>
    <row r="366" spans="1:11" ht="12.75" customHeight="1">
      <c r="A366" s="21"/>
      <c r="B366" s="22" t="s">
        <v>3730</v>
      </c>
      <c r="C366" s="23"/>
      <c r="D366" s="24"/>
      <c r="E366" s="25"/>
      <c r="F366" s="26"/>
      <c r="G366" s="27">
        <f>SUM(G367:G371)</f>
        <v>155.4</v>
      </c>
      <c r="H366" s="27">
        <f>IFERROR(G366*E364,"")</f>
        <v>0</v>
      </c>
      <c r="I366" s="3"/>
    </row>
    <row r="367" spans="1:11" ht="12.75" customHeight="1">
      <c r="A367" s="28"/>
      <c r="B367" s="29" t="s">
        <v>3407</v>
      </c>
      <c r="C367" s="30" t="str">
        <f>IFERROR(_xlfn.XLOOKUP(B367,Insumo[DESCRIPCION],Insumo[UND],,0),"")</f>
        <v>Un</v>
      </c>
      <c r="D367" s="31">
        <v>2</v>
      </c>
      <c r="E367" s="32">
        <f>IFERROR(_xlfn.XLOOKUP($B367,Insumo[DESCRIPCION],Insumo[VALOR],,0),"")</f>
        <v>77.7</v>
      </c>
      <c r="F367" s="33"/>
      <c r="G367" s="34">
        <f>IFERROR(IF(F367&gt;=0,D367*E367*(1+F367/100),ABS(D367*E367/F367)),"")</f>
        <v>155.4</v>
      </c>
      <c r="H367" s="43">
        <f>IFERROR(G367*E364,"")</f>
        <v>0</v>
      </c>
      <c r="I367" s="3"/>
    </row>
    <row r="368" spans="1:11" ht="12.75" customHeight="1">
      <c r="A368" s="28"/>
      <c r="B368" s="29"/>
      <c r="C368" s="30" t="str">
        <f>IFERROR(_xlfn.XLOOKUP(B368,Insumo[DESCRIPCION],Insumo[UND],,0),"")</f>
        <v/>
      </c>
      <c r="D368" s="31"/>
      <c r="E368" s="32" t="str">
        <f>IFERROR(_xlfn.XLOOKUP($B368,Insumo[DESCRIPCION],Insumo[VALOR],,0),"")</f>
        <v/>
      </c>
      <c r="F368" s="33"/>
      <c r="G368" s="34" t="str">
        <f>IFERROR(IF(F368&gt;=0,D368*E368*(1+F368/100),ABS(D368*E368/F368)),"")</f>
        <v/>
      </c>
      <c r="H368" s="43" t="str">
        <f>IFERROR(G368*E364,"")</f>
        <v/>
      </c>
      <c r="I368" s="3"/>
    </row>
    <row r="369" spans="1:11" ht="12.75" customHeight="1">
      <c r="A369" s="28"/>
      <c r="B369" s="29"/>
      <c r="C369" s="30" t="str">
        <f>IFERROR(_xlfn.XLOOKUP(B369,Insumo[DESCRIPCION],Insumo[UND],,0),"")</f>
        <v/>
      </c>
      <c r="D369" s="31"/>
      <c r="E369" s="32" t="str">
        <f>IFERROR(_xlfn.XLOOKUP($B369,Insumo[DESCRIPCION],Insumo[VALOR],,0),"")</f>
        <v/>
      </c>
      <c r="F369" s="33"/>
      <c r="G369" s="34" t="str">
        <f>IFERROR(IF(F369&gt;=0,D369*E369*(1+F369/100),ABS(D369*E369/F369)),"")</f>
        <v/>
      </c>
      <c r="H369" s="43" t="str">
        <f>IFERROR(G369*E364,"")</f>
        <v/>
      </c>
      <c r="I369" s="3"/>
    </row>
    <row r="370" spans="1:11" ht="12.75" customHeight="1">
      <c r="A370" s="28"/>
      <c r="B370" s="29"/>
      <c r="C370" s="30" t="str">
        <f>IFERROR(_xlfn.XLOOKUP(B370,Insumo[DESCRIPCION],Insumo[UND],,0),"")</f>
        <v/>
      </c>
      <c r="D370" s="31"/>
      <c r="E370" s="32" t="str">
        <f>IFERROR(_xlfn.XLOOKUP($B370,Insumo[DESCRIPCION],Insumo[VALOR],,0),"")</f>
        <v/>
      </c>
      <c r="F370" s="33"/>
      <c r="G370" s="34" t="str">
        <f>IFERROR(IF(F370&gt;=0,D370*E370*(1+F370/100),ABS(D370*E370/F370)),"")</f>
        <v/>
      </c>
      <c r="H370" s="43" t="str">
        <f>IFERROR(G370*E364,"")</f>
        <v/>
      </c>
      <c r="I370" s="3"/>
    </row>
    <row r="371" spans="1:11" ht="12.75" customHeight="1">
      <c r="A371" s="28"/>
      <c r="B371" s="29"/>
      <c r="C371" s="30" t="str">
        <f>IFERROR(_xlfn.XLOOKUP(B371,Insumo[DESCRIPCION],Insumo[UND],,0),"")</f>
        <v/>
      </c>
      <c r="D371" s="31"/>
      <c r="E371" s="32" t="str">
        <f>IFERROR(_xlfn.XLOOKUP($B371,Insumo[DESCRIPCION],Insumo[VALOR],,0),"")</f>
        <v/>
      </c>
      <c r="F371" s="33"/>
      <c r="G371" s="34" t="str">
        <f>IFERROR(IF(F371&gt;=0,D371*E371*(1+F371/100),ABS(D371*E371/F371)),"")</f>
        <v/>
      </c>
      <c r="H371" s="43" t="str">
        <f>IFERROR(G371*E364,"")</f>
        <v/>
      </c>
      <c r="I371" s="3"/>
    </row>
    <row r="372" spans="1:11" ht="12.75" customHeight="1">
      <c r="A372" s="21"/>
      <c r="B372" s="22" t="s">
        <v>3731</v>
      </c>
      <c r="C372" s="23"/>
      <c r="D372" s="24"/>
      <c r="E372" s="25"/>
      <c r="F372" s="26"/>
      <c r="G372" s="27">
        <f>SUM(G373:G375)</f>
        <v>5274.3445053700007</v>
      </c>
      <c r="H372" s="27">
        <f>IFERROR(G372*E364,"")</f>
        <v>0</v>
      </c>
      <c r="I372" s="3"/>
    </row>
    <row r="373" spans="1:11" ht="12.75" customHeight="1">
      <c r="A373" s="28"/>
      <c r="B373" s="29" t="s">
        <v>3573</v>
      </c>
      <c r="C373" s="30" t="str">
        <f>IFERROR(_xlfn.XLOOKUP(B373,Equipo[DESCRIPCION],Equipo[UND],,0),"")</f>
        <v>%MO</v>
      </c>
      <c r="D373" s="31">
        <v>0.1</v>
      </c>
      <c r="E373" s="32">
        <f>IF(C373="%MO",G379,IFERROR(_xlfn.XLOOKUP($B373,Equipo[DESCRIPCION],Equipo[VALOR],,0),""))</f>
        <v>12575.630035800003</v>
      </c>
      <c r="F373" s="33"/>
      <c r="G373" s="34">
        <f>IFERROR(IF(F373&gt;=0,D373*E373*(1+F373/100),ABS(D373*E373/F373)),"")</f>
        <v>1257.5630035800004</v>
      </c>
      <c r="H373" s="43">
        <f>IFERROR(G373*E364,"")</f>
        <v>0</v>
      </c>
      <c r="I373" s="3"/>
    </row>
    <row r="374" spans="1:11" ht="12.75" customHeight="1">
      <c r="A374" s="28"/>
      <c r="B374" s="29" t="s">
        <v>3654</v>
      </c>
      <c r="C374" s="30" t="str">
        <f>IFERROR(_xlfn.XLOOKUP(B374,Equipo[DESCRIPCION],Equipo[UND],,0),"")</f>
        <v>Día</v>
      </c>
      <c r="D374" s="31">
        <v>1</v>
      </c>
      <c r="E374" s="32">
        <f>IF(C374="%MO",G379,IFERROR(_xlfn.XLOOKUP($B374,Equipo[DESCRIPCION],Equipo[VALOR],,0),""))</f>
        <v>101640</v>
      </c>
      <c r="F374" s="33">
        <v>-30</v>
      </c>
      <c r="G374" s="34">
        <f>IFERROR(IF(F374&gt;=0,D374*E374*(1+F374/100),ABS(D374*E374/F374)),"")</f>
        <v>3388</v>
      </c>
      <c r="H374" s="43">
        <f>IFERROR(G374*E364,"")</f>
        <v>0</v>
      </c>
      <c r="I374" s="3"/>
    </row>
    <row r="375" spans="1:11" ht="12.75" customHeight="1">
      <c r="A375" s="28"/>
      <c r="B375" s="29" t="s">
        <v>3626</v>
      </c>
      <c r="C375" s="30" t="str">
        <f>IFERROR(_xlfn.XLOOKUP(B375,Equipo[DESCRIPCION],Equipo[UND],,0),"")</f>
        <v>%MO</v>
      </c>
      <c r="D375" s="31">
        <v>0.05</v>
      </c>
      <c r="E375" s="32">
        <f>IF(C375="%MO",G379,IFERROR(_xlfn.XLOOKUP($B375,Equipo[DESCRIPCION],Equipo[VALOR],,0),""))</f>
        <v>12575.630035800003</v>
      </c>
      <c r="F375" s="33"/>
      <c r="G375" s="34">
        <f>IFERROR(IF(F375&gt;=0,D375*E375*(1+F375/100),ABS(D375*E375/F375)),"")</f>
        <v>628.78150179000022</v>
      </c>
      <c r="H375" s="43">
        <f>IFERROR(G375*E364,"")</f>
        <v>0</v>
      </c>
      <c r="I375" s="3"/>
    </row>
    <row r="376" spans="1:11" ht="12.75" customHeight="1">
      <c r="A376" s="21"/>
      <c r="B376" s="22" t="s">
        <v>2533</v>
      </c>
      <c r="C376" s="23"/>
      <c r="D376" s="24"/>
      <c r="E376" s="25"/>
      <c r="F376" s="26"/>
      <c r="G376" s="27">
        <f>SUM(G377:G378)</f>
        <v>0</v>
      </c>
      <c r="H376" s="27">
        <f>IFERROR(G376*E364,"")</f>
        <v>0</v>
      </c>
      <c r="I376" s="3"/>
    </row>
    <row r="377" spans="1:11" ht="12.75" customHeight="1">
      <c r="A377" s="28"/>
      <c r="B377" s="29"/>
      <c r="C377" s="30" t="str">
        <f>IFERROR(_xlfn.XLOOKUP(B377,Transporte[DESCRIPCION],Transporte[UND],,0),"")</f>
        <v/>
      </c>
      <c r="D377" s="31"/>
      <c r="E377" s="32" t="str">
        <f>IFERROR(_xlfn.XLOOKUP($B377,Transporte[DESCRIPCION],Transporte[VALOR],,0),"")</f>
        <v/>
      </c>
      <c r="F377" s="33"/>
      <c r="G377" s="34" t="str">
        <f>IFERROR(IF(F377&gt;=0,D377*E377*(1+F377/100),ABS(D377*E377/F377)),"")</f>
        <v/>
      </c>
      <c r="H377" s="43" t="str">
        <f>IFERROR(G377*E364,"")</f>
        <v/>
      </c>
      <c r="I377" s="3"/>
    </row>
    <row r="378" spans="1:11" ht="12.75" customHeight="1">
      <c r="A378" s="28"/>
      <c r="B378" s="29"/>
      <c r="C378" s="30" t="str">
        <f>IFERROR(_xlfn.XLOOKUP(B378,Transporte[DESCRIPCION],Transporte[UND],,0),"")</f>
        <v/>
      </c>
      <c r="D378" s="31"/>
      <c r="E378" s="32" t="str">
        <f>IFERROR(_xlfn.XLOOKUP($B378,Transporte[DESCRIPCION],Transporte[VALOR],,0),"")</f>
        <v/>
      </c>
      <c r="F378" s="33"/>
      <c r="G378" s="34" t="str">
        <f>IFERROR(IF(F378&gt;=0,D378*E378*(1+F378/100),ABS(D378*E378/F378)),"")</f>
        <v/>
      </c>
      <c r="H378" s="43" t="str">
        <f>IFERROR(G378*E364,"")</f>
        <v/>
      </c>
      <c r="I378" s="3"/>
    </row>
    <row r="379" spans="1:11" ht="12.75" customHeight="1">
      <c r="A379" s="21"/>
      <c r="B379" s="22" t="s">
        <v>3732</v>
      </c>
      <c r="C379" s="23"/>
      <c r="D379" s="24"/>
      <c r="E379" s="25"/>
      <c r="F379" s="26"/>
      <c r="G379" s="27">
        <f>SUM(G380:G382)</f>
        <v>12575.630035800003</v>
      </c>
      <c r="H379" s="27">
        <f>IFERROR(G379*E364,"")</f>
        <v>0</v>
      </c>
      <c r="I379" s="3"/>
    </row>
    <row r="380" spans="1:11" ht="12.75" customHeight="1">
      <c r="A380" s="28"/>
      <c r="B380" s="29" t="s">
        <v>3710</v>
      </c>
      <c r="C380" s="30" t="str">
        <f>IFERROR(_xlfn.XLOOKUP(B380,MObra[DESCRIPCION],MObra[UN],,0),"")</f>
        <v>día</v>
      </c>
      <c r="D380" s="31">
        <v>1</v>
      </c>
      <c r="E380" s="32">
        <f>IFERROR(_xlfn.XLOOKUP($B380,MObra[DESCRIPCION],MObra[VALOR UNIT],,0),"")</f>
        <v>314390.75089500006</v>
      </c>
      <c r="F380" s="33">
        <v>-25</v>
      </c>
      <c r="G380" s="34">
        <f>IFERROR(IF(F380&gt;=0,D380*E380*(1+F380/100),ABS(D380*E380/F380)),"")</f>
        <v>12575.630035800003</v>
      </c>
      <c r="H380" s="43">
        <f>IFERROR(G380*E364,"")</f>
        <v>0</v>
      </c>
      <c r="I380" s="3"/>
    </row>
    <row r="381" spans="1:11" ht="12.75" customHeight="1">
      <c r="A381" s="28"/>
      <c r="B381" s="29"/>
      <c r="C381" s="30" t="str">
        <f>IFERROR(_xlfn.XLOOKUP(B381,MObra[DESCRIPCION],MObra[UN],,0),"")</f>
        <v/>
      </c>
      <c r="D381" s="31"/>
      <c r="E381" s="32" t="str">
        <f>IFERROR(_xlfn.XLOOKUP($B381,MObra[DESCRIPCION],MObra[VALOR UNIT],,0),"")</f>
        <v/>
      </c>
      <c r="F381" s="33"/>
      <c r="G381" s="34" t="str">
        <f>IFERROR(IF(F381&gt;=0,D381*E381*(1+F381/100),ABS(D381*E381/F381)),"")</f>
        <v/>
      </c>
      <c r="H381" s="43" t="str">
        <f>IFERROR(G381*E364,"")</f>
        <v/>
      </c>
      <c r="I381" s="3"/>
    </row>
    <row r="382" spans="1:11" ht="12.75" customHeight="1" thickBot="1">
      <c r="A382" s="35"/>
      <c r="B382" s="36"/>
      <c r="C382" s="37" t="str">
        <f>IFERROR(_xlfn.XLOOKUP(B382,MObra[DESCRIPCION],MObra[UN],,0),"")</f>
        <v/>
      </c>
      <c r="D382" s="38"/>
      <c r="E382" s="39" t="str">
        <f>IFERROR(_xlfn.XLOOKUP($B382,MObra[DESCRIPCION],MObra[VALOR UNIT],,0),"")</f>
        <v/>
      </c>
      <c r="F382" s="40"/>
      <c r="G382" s="41" t="str">
        <f>IFERROR(IF(F382&gt;=0,D382*E382*(1+F382/100),ABS(D382*E382/F382)),"")</f>
        <v/>
      </c>
      <c r="H382" s="42" t="str">
        <f>IFERROR(G382*E364,"")</f>
        <v/>
      </c>
      <c r="I382" s="3"/>
    </row>
    <row r="383" spans="1:11" ht="12.75" customHeight="1" thickTop="1" thickBot="1">
      <c r="I383" s="3"/>
    </row>
    <row r="384" spans="1:11" ht="12.75" customHeight="1" thickTop="1" thickBot="1">
      <c r="A384" s="6" t="s">
        <v>1593</v>
      </c>
      <c r="B384" s="7" t="str">
        <f>VLOOKUP($A384,Presupuesto!$A:$D,2,FALSE())</f>
        <v>Instalación puerta lamina C 20</v>
      </c>
      <c r="C384" s="8" t="str">
        <f>VLOOKUP($A384,Presupuesto!$A:$D,3,FALSE())</f>
        <v>Un</v>
      </c>
      <c r="D384" s="9"/>
      <c r="E384" s="10">
        <f>VLOOKUP($A384,Presupuesto!$A:$D,4,FALSE())</f>
        <v>0</v>
      </c>
      <c r="F384" s="11" t="s">
        <v>2589</v>
      </c>
      <c r="G384" s="12">
        <f>SUM(G386:G402)/2</f>
        <v>95596.681406625023</v>
      </c>
      <c r="H384" s="13">
        <f>ROUND(SUM(H386:H402),0)/2</f>
        <v>0</v>
      </c>
      <c r="I384" s="10">
        <f>VLOOKUP(A384,Presupuesto!$A:$F,6,0)</f>
        <v>0</v>
      </c>
      <c r="J384" s="10">
        <f>+H384-I384</f>
        <v>0</v>
      </c>
      <c r="K384" s="46">
        <f>+H384-G384*E384</f>
        <v>0</v>
      </c>
    </row>
    <row r="385" spans="1:9" ht="12.75" customHeight="1" thickTop="1">
      <c r="A385" s="14"/>
      <c r="B385" s="15" t="s">
        <v>2586</v>
      </c>
      <c r="C385" s="15" t="s">
        <v>5</v>
      </c>
      <c r="D385" s="16" t="s">
        <v>6</v>
      </c>
      <c r="E385" s="17" t="s">
        <v>7</v>
      </c>
      <c r="F385" s="18" t="s">
        <v>3728</v>
      </c>
      <c r="G385" s="19" t="s">
        <v>3729</v>
      </c>
      <c r="H385" s="20" t="s">
        <v>3797</v>
      </c>
      <c r="I385" s="3"/>
    </row>
    <row r="386" spans="1:9" ht="12.75" customHeight="1">
      <c r="A386" s="21"/>
      <c r="B386" s="22" t="s">
        <v>3730</v>
      </c>
      <c r="C386" s="23"/>
      <c r="D386" s="24"/>
      <c r="E386" s="25"/>
      <c r="F386" s="26"/>
      <c r="G386" s="27">
        <f>SUM(G387:G391)</f>
        <v>40578.300000000003</v>
      </c>
      <c r="H386" s="27">
        <f>IFERROR(G386*E384,"")</f>
        <v>0</v>
      </c>
      <c r="I386" s="3"/>
    </row>
    <row r="387" spans="1:9" ht="12.75" customHeight="1">
      <c r="A387" s="28"/>
      <c r="B387" s="29" t="s">
        <v>2750</v>
      </c>
      <c r="C387" s="30" t="str">
        <f>IFERROR(_xlfn.XLOOKUP(B387,Insumo[DESCRIPCION],Insumo[UND],,0),"")</f>
        <v>Un</v>
      </c>
      <c r="D387" s="31">
        <v>3</v>
      </c>
      <c r="E387" s="32">
        <f>IFERROR(_xlfn.XLOOKUP($B387,Insumo[DESCRIPCION],Insumo[VALOR],,0),"")</f>
        <v>13526.1</v>
      </c>
      <c r="F387" s="33"/>
      <c r="G387" s="34">
        <f>IFERROR(IF(F387&gt;=0,D387*E387*(1+F387/100),ABS(D387*E387/F387)),"")</f>
        <v>40578.300000000003</v>
      </c>
      <c r="H387" s="43">
        <f>IFERROR(G387*E384,"")</f>
        <v>0</v>
      </c>
      <c r="I387" s="3"/>
    </row>
    <row r="388" spans="1:9" ht="12.75" customHeight="1">
      <c r="A388" s="28"/>
      <c r="B388" s="29"/>
      <c r="C388" s="30" t="str">
        <f>IFERROR(_xlfn.XLOOKUP(B388,Insumo[DESCRIPCION],Insumo[UND],,0),"")</f>
        <v/>
      </c>
      <c r="D388" s="31"/>
      <c r="E388" s="32" t="str">
        <f>IFERROR(_xlfn.XLOOKUP($B388,Insumo[DESCRIPCION],Insumo[VALOR],,0),"")</f>
        <v/>
      </c>
      <c r="F388" s="33"/>
      <c r="G388" s="34" t="str">
        <f>IFERROR(IF(F388&gt;=0,D388*E388*(1+F388/100),ABS(D388*E388/F388)),"")</f>
        <v/>
      </c>
      <c r="H388" s="43" t="str">
        <f>IFERROR(G388*E384,"")</f>
        <v/>
      </c>
      <c r="I388" s="3"/>
    </row>
    <row r="389" spans="1:9" ht="12.75" customHeight="1">
      <c r="A389" s="28"/>
      <c r="B389" s="29"/>
      <c r="C389" s="30" t="str">
        <f>IFERROR(_xlfn.XLOOKUP(B389,Insumo[DESCRIPCION],Insumo[UND],,0),"")</f>
        <v/>
      </c>
      <c r="D389" s="31"/>
      <c r="E389" s="32" t="str">
        <f>IFERROR(_xlfn.XLOOKUP($B389,Insumo[DESCRIPCION],Insumo[VALOR],,0),"")</f>
        <v/>
      </c>
      <c r="F389" s="33"/>
      <c r="G389" s="34" t="str">
        <f>IFERROR(IF(F389&gt;=0,D389*E389*(1+F389/100),ABS(D389*E389/F389)),"")</f>
        <v/>
      </c>
      <c r="H389" s="43" t="str">
        <f>IFERROR(G389*E384,"")</f>
        <v/>
      </c>
      <c r="I389" s="3"/>
    </row>
    <row r="390" spans="1:9" ht="12.75" customHeight="1">
      <c r="A390" s="28"/>
      <c r="B390" s="29"/>
      <c r="C390" s="30" t="str">
        <f>IFERROR(_xlfn.XLOOKUP(B390,Insumo[DESCRIPCION],Insumo[UND],,0),"")</f>
        <v/>
      </c>
      <c r="D390" s="31"/>
      <c r="E390" s="32" t="str">
        <f>IFERROR(_xlfn.XLOOKUP($B390,Insumo[DESCRIPCION],Insumo[VALOR],,0),"")</f>
        <v/>
      </c>
      <c r="F390" s="33"/>
      <c r="G390" s="34" t="str">
        <f>IFERROR(IF(F390&gt;=0,D390*E390*(1+F390/100),ABS(D390*E390/F390)),"")</f>
        <v/>
      </c>
      <c r="H390" s="43" t="str">
        <f>IFERROR(G390*E384,"")</f>
        <v/>
      </c>
      <c r="I390" s="3"/>
    </row>
    <row r="391" spans="1:9" ht="12.75" customHeight="1">
      <c r="A391" s="28"/>
      <c r="B391" s="29"/>
      <c r="C391" s="30" t="str">
        <f>IFERROR(_xlfn.XLOOKUP(B391,Insumo[DESCRIPCION],Insumo[UND],,0),"")</f>
        <v/>
      </c>
      <c r="D391" s="31"/>
      <c r="E391" s="32" t="str">
        <f>IFERROR(_xlfn.XLOOKUP($B391,Insumo[DESCRIPCION],Insumo[VALOR],,0),"")</f>
        <v/>
      </c>
      <c r="F391" s="33"/>
      <c r="G391" s="34" t="str">
        <f>IFERROR(IF(F391&gt;=0,D391*E391*(1+F391/100),ABS(D391*E391/F391)),"")</f>
        <v/>
      </c>
      <c r="H391" s="43" t="str">
        <f>IFERROR(G391*E384,"")</f>
        <v/>
      </c>
      <c r="I391" s="3"/>
    </row>
    <row r="392" spans="1:9" ht="12.75" customHeight="1">
      <c r="A392" s="21"/>
      <c r="B392" s="22" t="s">
        <v>3731</v>
      </c>
      <c r="C392" s="23"/>
      <c r="D392" s="24"/>
      <c r="E392" s="25"/>
      <c r="F392" s="26"/>
      <c r="G392" s="27">
        <f>SUM(G393:G395)</f>
        <v>2619.9229241250009</v>
      </c>
      <c r="H392" s="27">
        <f>IFERROR(G392*E384,"")</f>
        <v>0</v>
      </c>
      <c r="I392" s="3"/>
    </row>
    <row r="393" spans="1:9" ht="12.75" customHeight="1">
      <c r="A393" s="28"/>
      <c r="B393" s="29" t="s">
        <v>3626</v>
      </c>
      <c r="C393" s="30" t="str">
        <f>IFERROR(_xlfn.XLOOKUP(B393,Equipo[DESCRIPCION],Equipo[UND],,0),"")</f>
        <v>%MO</v>
      </c>
      <c r="D393" s="31">
        <v>0.05</v>
      </c>
      <c r="E393" s="32">
        <f>IF(C393="%MO",G399,IFERROR(_xlfn.XLOOKUP($B393,Equipo[DESCRIPCION],Equipo[VALOR],,0),""))</f>
        <v>52398.458482500013</v>
      </c>
      <c r="F393" s="33"/>
      <c r="G393" s="34">
        <f>IFERROR(IF(F393&gt;=0,D393*E393*(1+F393/100),ABS(D393*E393/F393)),"")</f>
        <v>2619.9229241250009</v>
      </c>
      <c r="H393" s="43">
        <f>IFERROR(G393*E384,"")</f>
        <v>0</v>
      </c>
      <c r="I393" s="3"/>
    </row>
    <row r="394" spans="1:9" ht="12.75" customHeight="1">
      <c r="A394" s="28"/>
      <c r="B394" s="29"/>
      <c r="C394" s="30" t="str">
        <f>IFERROR(_xlfn.XLOOKUP(B394,Equipo[DESCRIPCION],Equipo[UND],,0),"")</f>
        <v/>
      </c>
      <c r="D394" s="31"/>
      <c r="E394" s="32" t="str">
        <f>IF(C394="%MO",G399,IFERROR(_xlfn.XLOOKUP($B394,Equipo[DESCRIPCION],Equipo[VALOR],,0),""))</f>
        <v/>
      </c>
      <c r="F394" s="33"/>
      <c r="G394" s="34" t="str">
        <f>IFERROR(IF(F394&gt;=0,D394*E394*(1+F394/100),ABS(D394*E394/F394)),"")</f>
        <v/>
      </c>
      <c r="H394" s="43" t="str">
        <f>IFERROR(G394*E384,"")</f>
        <v/>
      </c>
      <c r="I394" s="3"/>
    </row>
    <row r="395" spans="1:9" ht="12.75" customHeight="1">
      <c r="A395" s="28"/>
      <c r="B395" s="29"/>
      <c r="C395" s="30" t="str">
        <f>IFERROR(_xlfn.XLOOKUP(B395,Equipo[DESCRIPCION],Equipo[UND],,0),"")</f>
        <v/>
      </c>
      <c r="D395" s="31"/>
      <c r="E395" s="32" t="str">
        <f>IF(C395="%MO",G399,IFERROR(_xlfn.XLOOKUP($B395,Equipo[DESCRIPCION],Equipo[VALOR],,0),""))</f>
        <v/>
      </c>
      <c r="F395" s="33"/>
      <c r="G395" s="34" t="str">
        <f>IFERROR(IF(F395&gt;=0,D395*E395*(1+F395/100),ABS(D395*E395/F395)),"")</f>
        <v/>
      </c>
      <c r="H395" s="43" t="str">
        <f>IFERROR(G395*E384,"")</f>
        <v/>
      </c>
      <c r="I395" s="3"/>
    </row>
    <row r="396" spans="1:9" ht="12.75" customHeight="1">
      <c r="A396" s="21"/>
      <c r="B396" s="22" t="s">
        <v>2533</v>
      </c>
      <c r="C396" s="23"/>
      <c r="D396" s="24"/>
      <c r="E396" s="25"/>
      <c r="F396" s="26"/>
      <c r="G396" s="27">
        <f>SUM(G397:G398)</f>
        <v>0</v>
      </c>
      <c r="H396" s="27">
        <f>IFERROR(G396*E384,"")</f>
        <v>0</v>
      </c>
      <c r="I396" s="3"/>
    </row>
    <row r="397" spans="1:9" ht="12.75" customHeight="1">
      <c r="A397" s="28"/>
      <c r="B397" s="29"/>
      <c r="C397" s="30" t="str">
        <f>IFERROR(_xlfn.XLOOKUP(B397,Transporte[DESCRIPCION],Transporte[UND],,0),"")</f>
        <v/>
      </c>
      <c r="D397" s="31"/>
      <c r="E397" s="32" t="str">
        <f>IFERROR(_xlfn.XLOOKUP($B397,Transporte[DESCRIPCION],Transporte[VALOR],,0),"")</f>
        <v/>
      </c>
      <c r="F397" s="33"/>
      <c r="G397" s="34" t="str">
        <f>IFERROR(IF(F397&gt;=0,D397*E397*(1+F397/100),ABS(D397*E397/F397)),"")</f>
        <v/>
      </c>
      <c r="H397" s="43" t="str">
        <f>IFERROR(G397*E384,"")</f>
        <v/>
      </c>
      <c r="I397" s="3"/>
    </row>
    <row r="398" spans="1:9" ht="12.75" customHeight="1">
      <c r="A398" s="28"/>
      <c r="B398" s="29"/>
      <c r="C398" s="30" t="str">
        <f>IFERROR(_xlfn.XLOOKUP(B398,Transporte[DESCRIPCION],Transporte[UND],,0),"")</f>
        <v/>
      </c>
      <c r="D398" s="31"/>
      <c r="E398" s="32" t="str">
        <f>IFERROR(_xlfn.XLOOKUP($B398,Transporte[DESCRIPCION],Transporte[VALOR],,0),"")</f>
        <v/>
      </c>
      <c r="F398" s="33"/>
      <c r="G398" s="34" t="str">
        <f>IFERROR(IF(F398&gt;=0,D398*E398*(1+F398/100),ABS(D398*E398/F398)),"")</f>
        <v/>
      </c>
      <c r="H398" s="43" t="str">
        <f>IFERROR(G398*E384,"")</f>
        <v/>
      </c>
      <c r="I398" s="3"/>
    </row>
    <row r="399" spans="1:9" ht="12.75" customHeight="1">
      <c r="A399" s="21"/>
      <c r="B399" s="22" t="s">
        <v>3732</v>
      </c>
      <c r="C399" s="23"/>
      <c r="D399" s="24"/>
      <c r="E399" s="25"/>
      <c r="F399" s="26"/>
      <c r="G399" s="27">
        <f>SUM(G400:G402)</f>
        <v>52398.458482500013</v>
      </c>
      <c r="H399" s="27">
        <f>IFERROR(G399*E384,"")</f>
        <v>0</v>
      </c>
      <c r="I399" s="3"/>
    </row>
    <row r="400" spans="1:9" ht="12.75" customHeight="1">
      <c r="A400" s="28"/>
      <c r="B400" s="29" t="s">
        <v>3710</v>
      </c>
      <c r="C400" s="30" t="str">
        <f>IFERROR(_xlfn.XLOOKUP(B400,MObra[DESCRIPCION],MObra[UN],,0),"")</f>
        <v>día</v>
      </c>
      <c r="D400" s="31">
        <v>1</v>
      </c>
      <c r="E400" s="32">
        <f>IFERROR(_xlfn.XLOOKUP($B400,MObra[DESCRIPCION],MObra[VALOR UNIT],,0),"")</f>
        <v>314390.75089500006</v>
      </c>
      <c r="F400" s="33">
        <v>-6</v>
      </c>
      <c r="G400" s="34">
        <f>IFERROR(IF(F400&gt;=0,D400*E400*(1+F400/100),ABS(D400*E400/F400)),"")</f>
        <v>52398.458482500013</v>
      </c>
      <c r="H400" s="43">
        <f>IFERROR(G400*E384,"")</f>
        <v>0</v>
      </c>
      <c r="I400" s="3"/>
    </row>
    <row r="401" spans="1:11" ht="12.75" customHeight="1">
      <c r="A401" s="28"/>
      <c r="B401" s="29"/>
      <c r="C401" s="30" t="str">
        <f>IFERROR(_xlfn.XLOOKUP(B401,MObra[DESCRIPCION],MObra[UN],,0),"")</f>
        <v/>
      </c>
      <c r="D401" s="31"/>
      <c r="E401" s="32" t="str">
        <f>IFERROR(_xlfn.XLOOKUP($B401,MObra[DESCRIPCION],MObra[VALOR UNIT],,0),"")</f>
        <v/>
      </c>
      <c r="F401" s="33"/>
      <c r="G401" s="34" t="str">
        <f>IFERROR(IF(F401&gt;=0,D401*E401*(1+F401/100),ABS(D401*E401/F401)),"")</f>
        <v/>
      </c>
      <c r="H401" s="43" t="str">
        <f>IFERROR(G401*E384,"")</f>
        <v/>
      </c>
      <c r="I401" s="3"/>
    </row>
    <row r="402" spans="1:11" ht="12.75" customHeight="1" thickBot="1">
      <c r="A402" s="35"/>
      <c r="B402" s="36"/>
      <c r="C402" s="37" t="str">
        <f>IFERROR(_xlfn.XLOOKUP(B402,MObra[DESCRIPCION],MObra[UN],,0),"")</f>
        <v/>
      </c>
      <c r="D402" s="38"/>
      <c r="E402" s="39" t="str">
        <f>IFERROR(_xlfn.XLOOKUP($B402,MObra[DESCRIPCION],MObra[VALOR UNIT],,0),"")</f>
        <v/>
      </c>
      <c r="F402" s="40"/>
      <c r="G402" s="41" t="str">
        <f>IFERROR(IF(F402&gt;=0,D402*E402*(1+F402/100),ABS(D402*E402/F402)),"")</f>
        <v/>
      </c>
      <c r="H402" s="42" t="str">
        <f>IFERROR(G402*E384,"")</f>
        <v/>
      </c>
      <c r="I402" s="3"/>
    </row>
    <row r="403" spans="1:11" ht="12.75" customHeight="1" thickTop="1" thickBot="1">
      <c r="I403" s="3"/>
    </row>
    <row r="404" spans="1:11" ht="12.75" customHeight="1" thickTop="1" thickBot="1">
      <c r="A404" s="6" t="s">
        <v>1595</v>
      </c>
      <c r="B404" s="7" t="str">
        <f>VLOOKUP($A404,Presupuesto!$A:$D,2,FALSE())</f>
        <v>Instalación puerta madera</v>
      </c>
      <c r="C404" s="8" t="str">
        <f>VLOOKUP($A404,Presupuesto!$A:$D,3,FALSE())</f>
        <v>Un</v>
      </c>
      <c r="D404" s="9"/>
      <c r="E404" s="10">
        <f>VLOOKUP($A404,Presupuesto!$A:$D,4,FALSE())</f>
        <v>0</v>
      </c>
      <c r="F404" s="11" t="s">
        <v>2589</v>
      </c>
      <c r="G404" s="12">
        <f>SUM(G406:G422)/2</f>
        <v>77011.681406625023</v>
      </c>
      <c r="H404" s="13">
        <f>ROUND(SUM(H406:H422),0)/2</f>
        <v>0</v>
      </c>
      <c r="I404" s="10">
        <f>VLOOKUP(A404,Presupuesto!$A:$F,6,0)</f>
        <v>0</v>
      </c>
      <c r="J404" s="10">
        <f>+H404-I404</f>
        <v>0</v>
      </c>
      <c r="K404" s="46">
        <f>+H404-G404*E404</f>
        <v>0</v>
      </c>
    </row>
    <row r="405" spans="1:11" ht="12.75" customHeight="1" thickTop="1">
      <c r="A405" s="14"/>
      <c r="B405" s="15" t="s">
        <v>2586</v>
      </c>
      <c r="C405" s="15" t="s">
        <v>5</v>
      </c>
      <c r="D405" s="16" t="s">
        <v>6</v>
      </c>
      <c r="E405" s="17" t="s">
        <v>7</v>
      </c>
      <c r="F405" s="18" t="s">
        <v>3728</v>
      </c>
      <c r="G405" s="19" t="s">
        <v>3729</v>
      </c>
      <c r="H405" s="20" t="s">
        <v>3797</v>
      </c>
      <c r="I405" s="3"/>
    </row>
    <row r="406" spans="1:11" ht="12.75" customHeight="1">
      <c r="A406" s="21"/>
      <c r="B406" s="22" t="s">
        <v>3730</v>
      </c>
      <c r="C406" s="23"/>
      <c r="D406" s="24"/>
      <c r="E406" s="25"/>
      <c r="F406" s="26"/>
      <c r="G406" s="27">
        <f>SUM(G407:G411)</f>
        <v>21993.300000000003</v>
      </c>
      <c r="H406" s="27">
        <f>IFERROR(G406*E404,"")</f>
        <v>0</v>
      </c>
      <c r="I406" s="3"/>
    </row>
    <row r="407" spans="1:11" ht="12.75" customHeight="1">
      <c r="A407" s="28"/>
      <c r="B407" s="29" t="s">
        <v>2751</v>
      </c>
      <c r="C407" s="30" t="str">
        <f>IFERROR(_xlfn.XLOOKUP(B407,Insumo[DESCRIPCION],Insumo[UND],,0),"")</f>
        <v>Un</v>
      </c>
      <c r="D407" s="31">
        <v>3</v>
      </c>
      <c r="E407" s="32">
        <f>IFERROR(_xlfn.XLOOKUP($B407,Insumo[DESCRIPCION],Insumo[VALOR],,0),"")</f>
        <v>7331.1</v>
      </c>
      <c r="F407" s="33"/>
      <c r="G407" s="34">
        <f>IFERROR(IF(F407&gt;=0,D407*E407*(1+F407/100),ABS(D407*E407/F407)),"")</f>
        <v>21993.300000000003</v>
      </c>
      <c r="H407" s="43">
        <f>IFERROR(G407*E404,"")</f>
        <v>0</v>
      </c>
      <c r="I407" s="3"/>
    </row>
    <row r="408" spans="1:11" ht="12.75" customHeight="1">
      <c r="A408" s="28"/>
      <c r="B408" s="29"/>
      <c r="C408" s="30" t="str">
        <f>IFERROR(_xlfn.XLOOKUP(B408,Insumo[DESCRIPCION],Insumo[UND],,0),"")</f>
        <v/>
      </c>
      <c r="D408" s="31"/>
      <c r="E408" s="32" t="str">
        <f>IFERROR(_xlfn.XLOOKUP($B408,Insumo[DESCRIPCION],Insumo[VALOR],,0),"")</f>
        <v/>
      </c>
      <c r="F408" s="33"/>
      <c r="G408" s="34" t="str">
        <f>IFERROR(IF(F408&gt;=0,D408*E408*(1+F408/100),ABS(D408*E408/F408)),"")</f>
        <v/>
      </c>
      <c r="H408" s="43" t="str">
        <f>IFERROR(G408*E404,"")</f>
        <v/>
      </c>
      <c r="I408" s="3"/>
    </row>
    <row r="409" spans="1:11" ht="12.75" customHeight="1">
      <c r="A409" s="28"/>
      <c r="B409" s="29"/>
      <c r="C409" s="30" t="str">
        <f>IFERROR(_xlfn.XLOOKUP(B409,Insumo[DESCRIPCION],Insumo[UND],,0),"")</f>
        <v/>
      </c>
      <c r="D409" s="31"/>
      <c r="E409" s="32" t="str">
        <f>IFERROR(_xlfn.XLOOKUP($B409,Insumo[DESCRIPCION],Insumo[VALOR],,0),"")</f>
        <v/>
      </c>
      <c r="F409" s="33"/>
      <c r="G409" s="34" t="str">
        <f>IFERROR(IF(F409&gt;=0,D409*E409*(1+F409/100),ABS(D409*E409/F409)),"")</f>
        <v/>
      </c>
      <c r="H409" s="43" t="str">
        <f>IFERROR(G409*E404,"")</f>
        <v/>
      </c>
      <c r="I409" s="3"/>
    </row>
    <row r="410" spans="1:11" ht="12.75" customHeight="1">
      <c r="A410" s="28"/>
      <c r="B410" s="29"/>
      <c r="C410" s="30" t="str">
        <f>IFERROR(_xlfn.XLOOKUP(B410,Insumo[DESCRIPCION],Insumo[UND],,0),"")</f>
        <v/>
      </c>
      <c r="D410" s="31"/>
      <c r="E410" s="32" t="str">
        <f>IFERROR(_xlfn.XLOOKUP($B410,Insumo[DESCRIPCION],Insumo[VALOR],,0),"")</f>
        <v/>
      </c>
      <c r="F410" s="33"/>
      <c r="G410" s="34" t="str">
        <f>IFERROR(IF(F410&gt;=0,D410*E410*(1+F410/100),ABS(D410*E410/F410)),"")</f>
        <v/>
      </c>
      <c r="H410" s="43" t="str">
        <f>IFERROR(G410*E404,"")</f>
        <v/>
      </c>
      <c r="I410" s="3"/>
    </row>
    <row r="411" spans="1:11" ht="12.75" customHeight="1">
      <c r="A411" s="28"/>
      <c r="B411" s="29"/>
      <c r="C411" s="30" t="str">
        <f>IFERROR(_xlfn.XLOOKUP(B411,Insumo[DESCRIPCION],Insumo[UND],,0),"")</f>
        <v/>
      </c>
      <c r="D411" s="31"/>
      <c r="E411" s="32" t="str">
        <f>IFERROR(_xlfn.XLOOKUP($B411,Insumo[DESCRIPCION],Insumo[VALOR],,0),"")</f>
        <v/>
      </c>
      <c r="F411" s="33"/>
      <c r="G411" s="34" t="str">
        <f>IFERROR(IF(F411&gt;=0,D411*E411*(1+F411/100),ABS(D411*E411/F411)),"")</f>
        <v/>
      </c>
      <c r="H411" s="43" t="str">
        <f>IFERROR(G411*E404,"")</f>
        <v/>
      </c>
      <c r="I411" s="3"/>
    </row>
    <row r="412" spans="1:11" ht="12.75" customHeight="1">
      <c r="A412" s="21"/>
      <c r="B412" s="22" t="s">
        <v>3731</v>
      </c>
      <c r="C412" s="23"/>
      <c r="D412" s="24"/>
      <c r="E412" s="25"/>
      <c r="F412" s="26"/>
      <c r="G412" s="27">
        <f>SUM(G413:G415)</f>
        <v>2619.9229241250009</v>
      </c>
      <c r="H412" s="27">
        <f>IFERROR(G412*E404,"")</f>
        <v>0</v>
      </c>
      <c r="I412" s="3"/>
    </row>
    <row r="413" spans="1:11" ht="12.75" customHeight="1">
      <c r="A413" s="28"/>
      <c r="B413" s="29" t="s">
        <v>3626</v>
      </c>
      <c r="C413" s="30" t="str">
        <f>IFERROR(_xlfn.XLOOKUP(B413,Equipo[DESCRIPCION],Equipo[UND],,0),"")</f>
        <v>%MO</v>
      </c>
      <c r="D413" s="31">
        <v>0.05</v>
      </c>
      <c r="E413" s="32">
        <f>IF(C413="%MO",G419,IFERROR(_xlfn.XLOOKUP($B413,Equipo[DESCRIPCION],Equipo[VALOR],,0),""))</f>
        <v>52398.458482500013</v>
      </c>
      <c r="F413" s="33"/>
      <c r="G413" s="34">
        <f>IFERROR(IF(F413&gt;=0,D413*E413*(1+F413/100),ABS(D413*E413/F413)),"")</f>
        <v>2619.9229241250009</v>
      </c>
      <c r="H413" s="43">
        <f>IFERROR(G413*E404,"")</f>
        <v>0</v>
      </c>
      <c r="I413" s="3"/>
    </row>
    <row r="414" spans="1:11" ht="12.75" customHeight="1">
      <c r="A414" s="28"/>
      <c r="B414" s="29"/>
      <c r="C414" s="30" t="str">
        <f>IFERROR(_xlfn.XLOOKUP(B414,Equipo[DESCRIPCION],Equipo[UND],,0),"")</f>
        <v/>
      </c>
      <c r="D414" s="31"/>
      <c r="E414" s="32" t="str">
        <f>IF(C414="%MO",G419,IFERROR(_xlfn.XLOOKUP($B414,Equipo[DESCRIPCION],Equipo[VALOR],,0),""))</f>
        <v/>
      </c>
      <c r="F414" s="33"/>
      <c r="G414" s="34" t="str">
        <f>IFERROR(IF(F414&gt;=0,D414*E414*(1+F414/100),ABS(D414*E414/F414)),"")</f>
        <v/>
      </c>
      <c r="H414" s="43" t="str">
        <f>IFERROR(G414*E404,"")</f>
        <v/>
      </c>
      <c r="I414" s="3"/>
    </row>
    <row r="415" spans="1:11" ht="12.75" customHeight="1">
      <c r="A415" s="28"/>
      <c r="B415" s="29"/>
      <c r="C415" s="30" t="str">
        <f>IFERROR(_xlfn.XLOOKUP(B415,Equipo[DESCRIPCION],Equipo[UND],,0),"")</f>
        <v/>
      </c>
      <c r="D415" s="31"/>
      <c r="E415" s="32" t="str">
        <f>IF(C415="%MO",G419,IFERROR(_xlfn.XLOOKUP($B415,Equipo[DESCRIPCION],Equipo[VALOR],,0),""))</f>
        <v/>
      </c>
      <c r="F415" s="33"/>
      <c r="G415" s="34" t="str">
        <f>IFERROR(IF(F415&gt;=0,D415*E415*(1+F415/100),ABS(D415*E415/F415)),"")</f>
        <v/>
      </c>
      <c r="H415" s="43" t="str">
        <f>IFERROR(G415*E404,"")</f>
        <v/>
      </c>
      <c r="I415" s="3"/>
    </row>
    <row r="416" spans="1:11" ht="12.75" customHeight="1">
      <c r="A416" s="21"/>
      <c r="B416" s="22" t="s">
        <v>2533</v>
      </c>
      <c r="C416" s="23"/>
      <c r="D416" s="24"/>
      <c r="E416" s="25"/>
      <c r="F416" s="26"/>
      <c r="G416" s="27">
        <f>SUM(G417:G418)</f>
        <v>0</v>
      </c>
      <c r="H416" s="27">
        <f>IFERROR(G416*E404,"")</f>
        <v>0</v>
      </c>
      <c r="I416" s="3"/>
    </row>
    <row r="417" spans="1:11" ht="12.75" customHeight="1">
      <c r="A417" s="28"/>
      <c r="B417" s="29"/>
      <c r="C417" s="30" t="str">
        <f>IFERROR(_xlfn.XLOOKUP(B417,Transporte[DESCRIPCION],Transporte[UND],,0),"")</f>
        <v/>
      </c>
      <c r="D417" s="31"/>
      <c r="E417" s="32" t="str">
        <f>IFERROR(_xlfn.XLOOKUP($B417,Transporte[DESCRIPCION],Transporte[VALOR],,0),"")</f>
        <v/>
      </c>
      <c r="F417" s="33"/>
      <c r="G417" s="34" t="str">
        <f>IFERROR(IF(F417&gt;=0,D417*E417*(1+F417/100),ABS(D417*E417/F417)),"")</f>
        <v/>
      </c>
      <c r="H417" s="43" t="str">
        <f>IFERROR(G417*E404,"")</f>
        <v/>
      </c>
      <c r="I417" s="3"/>
    </row>
    <row r="418" spans="1:11" ht="12.75" customHeight="1">
      <c r="A418" s="28"/>
      <c r="B418" s="29"/>
      <c r="C418" s="30" t="str">
        <f>IFERROR(_xlfn.XLOOKUP(B418,Transporte[DESCRIPCION],Transporte[UND],,0),"")</f>
        <v/>
      </c>
      <c r="D418" s="31"/>
      <c r="E418" s="32" t="str">
        <f>IFERROR(_xlfn.XLOOKUP($B418,Transporte[DESCRIPCION],Transporte[VALOR],,0),"")</f>
        <v/>
      </c>
      <c r="F418" s="33"/>
      <c r="G418" s="34" t="str">
        <f>IFERROR(IF(F418&gt;=0,D418*E418*(1+F418/100),ABS(D418*E418/F418)),"")</f>
        <v/>
      </c>
      <c r="H418" s="43" t="str">
        <f>IFERROR(G418*E404,"")</f>
        <v/>
      </c>
      <c r="I418" s="3"/>
    </row>
    <row r="419" spans="1:11" ht="12.75" customHeight="1">
      <c r="A419" s="21"/>
      <c r="B419" s="22" t="s">
        <v>3732</v>
      </c>
      <c r="C419" s="23"/>
      <c r="D419" s="24"/>
      <c r="E419" s="25"/>
      <c r="F419" s="26"/>
      <c r="G419" s="27">
        <f>SUM(G420:G422)</f>
        <v>52398.458482500013</v>
      </c>
      <c r="H419" s="27">
        <f>IFERROR(G419*E404,"")</f>
        <v>0</v>
      </c>
      <c r="I419" s="3"/>
    </row>
    <row r="420" spans="1:11" ht="12.75" customHeight="1">
      <c r="A420" s="28"/>
      <c r="B420" s="29" t="s">
        <v>3710</v>
      </c>
      <c r="C420" s="30" t="str">
        <f>IFERROR(_xlfn.XLOOKUP(B420,MObra[DESCRIPCION],MObra[UN],,0),"")</f>
        <v>día</v>
      </c>
      <c r="D420" s="31">
        <v>1</v>
      </c>
      <c r="E420" s="32">
        <f>IFERROR(_xlfn.XLOOKUP($B420,MObra[DESCRIPCION],MObra[VALOR UNIT],,0),"")</f>
        <v>314390.75089500006</v>
      </c>
      <c r="F420" s="33">
        <v>-6</v>
      </c>
      <c r="G420" s="34">
        <f>IFERROR(IF(F420&gt;=0,D420*E420*(1+F420/100),ABS(D420*E420/F420)),"")</f>
        <v>52398.458482500013</v>
      </c>
      <c r="H420" s="43">
        <f>IFERROR(G420*E404,"")</f>
        <v>0</v>
      </c>
      <c r="I420" s="3"/>
    </row>
    <row r="421" spans="1:11" ht="12.75" customHeight="1">
      <c r="A421" s="28"/>
      <c r="B421" s="29"/>
      <c r="C421" s="30" t="str">
        <f>IFERROR(_xlfn.XLOOKUP(B421,MObra[DESCRIPCION],MObra[UN],,0),"")</f>
        <v/>
      </c>
      <c r="D421" s="31"/>
      <c r="E421" s="32" t="str">
        <f>IFERROR(_xlfn.XLOOKUP($B421,MObra[DESCRIPCION],MObra[VALOR UNIT],,0),"")</f>
        <v/>
      </c>
      <c r="F421" s="33"/>
      <c r="G421" s="34" t="str">
        <f>IFERROR(IF(F421&gt;=0,D421*E421*(1+F421/100),ABS(D421*E421/F421)),"")</f>
        <v/>
      </c>
      <c r="H421" s="43" t="str">
        <f>IFERROR(G421*E404,"")</f>
        <v/>
      </c>
      <c r="I421" s="3"/>
    </row>
    <row r="422" spans="1:11" ht="12.75" customHeight="1" thickBot="1">
      <c r="A422" s="35"/>
      <c r="B422" s="36"/>
      <c r="C422" s="37" t="str">
        <f>IFERROR(_xlfn.XLOOKUP(B422,MObra[DESCRIPCION],MObra[UN],,0),"")</f>
        <v/>
      </c>
      <c r="D422" s="38"/>
      <c r="E422" s="39" t="str">
        <f>IFERROR(_xlfn.XLOOKUP($B422,MObra[DESCRIPCION],MObra[VALOR UNIT],,0),"")</f>
        <v/>
      </c>
      <c r="F422" s="40"/>
      <c r="G422" s="41" t="str">
        <f>IFERROR(IF(F422&gt;=0,D422*E422*(1+F422/100),ABS(D422*E422/F422)),"")</f>
        <v/>
      </c>
      <c r="H422" s="42" t="str">
        <f>IFERROR(G422*E404,"")</f>
        <v/>
      </c>
      <c r="I422" s="3"/>
    </row>
    <row r="423" spans="1:11" ht="12.75" customHeight="1" thickTop="1" thickBot="1">
      <c r="I423" s="3"/>
    </row>
    <row r="424" spans="1:11" ht="12.75" customHeight="1" thickTop="1" thickBot="1">
      <c r="A424" s="6" t="s">
        <v>1597</v>
      </c>
      <c r="B424" s="7" t="str">
        <f>VLOOKUP($A424,Presupuesto!$A:$D,2,FALSE())</f>
        <v>Instalación ventana aluminio</v>
      </c>
      <c r="C424" s="8" t="str">
        <f>VLOOKUP($A424,Presupuesto!$A:$D,3,FALSE())</f>
        <v>M2</v>
      </c>
      <c r="D424" s="9"/>
      <c r="E424" s="10">
        <f>VLOOKUP($A424,Presupuesto!$A:$D,4,FALSE())</f>
        <v>0</v>
      </c>
      <c r="F424" s="11" t="s">
        <v>2589</v>
      </c>
      <c r="G424" s="12">
        <f>SUM(G426:G442)/2</f>
        <v>39698.336352925005</v>
      </c>
      <c r="H424" s="13">
        <f>ROUND(SUM(H426:H442),0)/2</f>
        <v>0</v>
      </c>
      <c r="I424" s="10">
        <f>VLOOKUP(A424,Presupuesto!$A:$F,6,0)</f>
        <v>0</v>
      </c>
      <c r="J424" s="10">
        <f>+H424-I424</f>
        <v>0</v>
      </c>
      <c r="K424" s="46">
        <f>+H424-G424*E424</f>
        <v>0</v>
      </c>
    </row>
    <row r="425" spans="1:11" ht="12.75" customHeight="1" thickTop="1">
      <c r="A425" s="14"/>
      <c r="B425" s="15" t="s">
        <v>2586</v>
      </c>
      <c r="C425" s="15" t="s">
        <v>5</v>
      </c>
      <c r="D425" s="16" t="s">
        <v>6</v>
      </c>
      <c r="E425" s="17" t="s">
        <v>7</v>
      </c>
      <c r="F425" s="18" t="s">
        <v>3728</v>
      </c>
      <c r="G425" s="19" t="s">
        <v>3729</v>
      </c>
      <c r="H425" s="20" t="s">
        <v>3797</v>
      </c>
      <c r="I425" s="3"/>
    </row>
    <row r="426" spans="1:11" ht="12.75" customHeight="1">
      <c r="A426" s="21"/>
      <c r="B426" s="22" t="s">
        <v>3730</v>
      </c>
      <c r="C426" s="23"/>
      <c r="D426" s="24"/>
      <c r="E426" s="25"/>
      <c r="F426" s="26"/>
      <c r="G426" s="27">
        <f>SUM(G427:G431)</f>
        <v>155.4</v>
      </c>
      <c r="H426" s="27">
        <f>IFERROR(G426*E424,"")</f>
        <v>0</v>
      </c>
      <c r="I426" s="3"/>
    </row>
    <row r="427" spans="1:11" ht="12.75" customHeight="1">
      <c r="A427" s="28"/>
      <c r="B427" s="29" t="s">
        <v>3407</v>
      </c>
      <c r="C427" s="30" t="str">
        <f>IFERROR(_xlfn.XLOOKUP(B427,Insumo[DESCRIPCION],Insumo[UND],,0),"")</f>
        <v>Un</v>
      </c>
      <c r="D427" s="31">
        <v>2</v>
      </c>
      <c r="E427" s="32">
        <f>IFERROR(_xlfn.XLOOKUP($B427,Insumo[DESCRIPCION],Insumo[VALOR],,0),"")</f>
        <v>77.7</v>
      </c>
      <c r="F427" s="33"/>
      <c r="G427" s="34">
        <f>IFERROR(IF(F427&gt;=0,D427*E427*(1+F427/100),ABS(D427*E427/F427)),"")</f>
        <v>155.4</v>
      </c>
      <c r="H427" s="43">
        <f>IFERROR(G427*E424,"")</f>
        <v>0</v>
      </c>
      <c r="I427" s="3"/>
    </row>
    <row r="428" spans="1:11" ht="12.75" customHeight="1">
      <c r="A428" s="28"/>
      <c r="B428" s="29"/>
      <c r="C428" s="30" t="str">
        <f>IFERROR(_xlfn.XLOOKUP(B428,Insumo[DESCRIPCION],Insumo[UND],,0),"")</f>
        <v/>
      </c>
      <c r="D428" s="31"/>
      <c r="E428" s="32" t="str">
        <f>IFERROR(_xlfn.XLOOKUP($B428,Insumo[DESCRIPCION],Insumo[VALOR],,0),"")</f>
        <v/>
      </c>
      <c r="F428" s="33"/>
      <c r="G428" s="34" t="str">
        <f>IFERROR(IF(F428&gt;=0,D428*E428*(1+F428/100),ABS(D428*E428/F428)),"")</f>
        <v/>
      </c>
      <c r="H428" s="43" t="str">
        <f>IFERROR(G428*E424,"")</f>
        <v/>
      </c>
      <c r="I428" s="3"/>
    </row>
    <row r="429" spans="1:11" ht="12.75" customHeight="1">
      <c r="A429" s="28"/>
      <c r="B429" s="29"/>
      <c r="C429" s="30" t="str">
        <f>IFERROR(_xlfn.XLOOKUP(B429,Insumo[DESCRIPCION],Insumo[UND],,0),"")</f>
        <v/>
      </c>
      <c r="D429" s="31"/>
      <c r="E429" s="32" t="str">
        <f>IFERROR(_xlfn.XLOOKUP($B429,Insumo[DESCRIPCION],Insumo[VALOR],,0),"")</f>
        <v/>
      </c>
      <c r="F429" s="33"/>
      <c r="G429" s="34" t="str">
        <f>IFERROR(IF(F429&gt;=0,D429*E429*(1+F429/100),ABS(D429*E429/F429)),"")</f>
        <v/>
      </c>
      <c r="H429" s="43" t="str">
        <f>IFERROR(G429*E424,"")</f>
        <v/>
      </c>
      <c r="I429" s="3"/>
    </row>
    <row r="430" spans="1:11" ht="12.75" customHeight="1">
      <c r="A430" s="28"/>
      <c r="B430" s="29"/>
      <c r="C430" s="30" t="str">
        <f>IFERROR(_xlfn.XLOOKUP(B430,Insumo[DESCRIPCION],Insumo[UND],,0),"")</f>
        <v/>
      </c>
      <c r="D430" s="31"/>
      <c r="E430" s="32" t="str">
        <f>IFERROR(_xlfn.XLOOKUP($B430,Insumo[DESCRIPCION],Insumo[VALOR],,0),"")</f>
        <v/>
      </c>
      <c r="F430" s="33"/>
      <c r="G430" s="34" t="str">
        <f>IFERROR(IF(F430&gt;=0,D430*E430*(1+F430/100),ABS(D430*E430/F430)),"")</f>
        <v/>
      </c>
      <c r="H430" s="43" t="str">
        <f>IFERROR(G430*E424,"")</f>
        <v/>
      </c>
      <c r="I430" s="3"/>
    </row>
    <row r="431" spans="1:11" ht="12.75" customHeight="1">
      <c r="A431" s="28"/>
      <c r="B431" s="29"/>
      <c r="C431" s="30" t="str">
        <f>IFERROR(_xlfn.XLOOKUP(B431,Insumo[DESCRIPCION],Insumo[UND],,0),"")</f>
        <v/>
      </c>
      <c r="D431" s="31"/>
      <c r="E431" s="32" t="str">
        <f>IFERROR(_xlfn.XLOOKUP($B431,Insumo[DESCRIPCION],Insumo[VALOR],,0),"")</f>
        <v/>
      </c>
      <c r="F431" s="33"/>
      <c r="G431" s="34" t="str">
        <f>IFERROR(IF(F431&gt;=0,D431*E431*(1+F431/100),ABS(D431*E431/F431)),"")</f>
        <v/>
      </c>
      <c r="H431" s="43" t="str">
        <f>IFERROR(G431*E424,"")</f>
        <v/>
      </c>
      <c r="I431" s="3"/>
    </row>
    <row r="432" spans="1:11" ht="12.75" customHeight="1">
      <c r="A432" s="21"/>
      <c r="B432" s="22" t="s">
        <v>3731</v>
      </c>
      <c r="C432" s="23"/>
      <c r="D432" s="24"/>
      <c r="E432" s="25"/>
      <c r="F432" s="26"/>
      <c r="G432" s="27">
        <f>SUM(G433:G435)</f>
        <v>8103.8612634250003</v>
      </c>
      <c r="H432" s="27">
        <f>IFERROR(G432*E424,"")</f>
        <v>0</v>
      </c>
      <c r="I432" s="3"/>
    </row>
    <row r="433" spans="1:11" ht="12.75" customHeight="1">
      <c r="A433" s="28"/>
      <c r="B433" s="29" t="s">
        <v>3654</v>
      </c>
      <c r="C433" s="30" t="str">
        <f>IFERROR(_xlfn.XLOOKUP(B433,Equipo[DESCRIPCION],Equipo[UND],,0),"")</f>
        <v>Día</v>
      </c>
      <c r="D433" s="31">
        <v>1</v>
      </c>
      <c r="E433" s="32">
        <f>IF(C433="%MO",G439,IFERROR(_xlfn.XLOOKUP($B433,Equipo[DESCRIPCION],Equipo[VALOR],,0),""))</f>
        <v>101640</v>
      </c>
      <c r="F433" s="33">
        <v>-30</v>
      </c>
      <c r="G433" s="34">
        <f>IFERROR(IF(F433&gt;=0,D433*E433*(1+F433/100),ABS(D433*E433/F433)),"")</f>
        <v>3388</v>
      </c>
      <c r="H433" s="43">
        <f>IFERROR(G433*E424,"")</f>
        <v>0</v>
      </c>
      <c r="I433" s="3"/>
    </row>
    <row r="434" spans="1:11" ht="12.75" customHeight="1">
      <c r="A434" s="28"/>
      <c r="B434" s="29" t="s">
        <v>3573</v>
      </c>
      <c r="C434" s="30" t="str">
        <f>IFERROR(_xlfn.XLOOKUP(B434,Equipo[DESCRIPCION],Equipo[UND],,0),"")</f>
        <v>%MO</v>
      </c>
      <c r="D434" s="31">
        <v>0.1</v>
      </c>
      <c r="E434" s="32">
        <f>IF(C434="%MO",G439,IFERROR(_xlfn.XLOOKUP($B434,Equipo[DESCRIPCION],Equipo[VALOR],,0),""))</f>
        <v>31439.075089500006</v>
      </c>
      <c r="F434" s="33"/>
      <c r="G434" s="34">
        <f>IFERROR(IF(F434&gt;=0,D434*E434*(1+F434/100),ABS(D434*E434/F434)),"")</f>
        <v>3143.9075089500006</v>
      </c>
      <c r="H434" s="43">
        <f>IFERROR(G434*E424,"")</f>
        <v>0</v>
      </c>
      <c r="I434" s="3"/>
    </row>
    <row r="435" spans="1:11" ht="12.75" customHeight="1">
      <c r="A435" s="28"/>
      <c r="B435" s="29" t="s">
        <v>3626</v>
      </c>
      <c r="C435" s="30" t="str">
        <f>IFERROR(_xlfn.XLOOKUP(B435,Equipo[DESCRIPCION],Equipo[UND],,0),"")</f>
        <v>%MO</v>
      </c>
      <c r="D435" s="31">
        <v>0.05</v>
      </c>
      <c r="E435" s="32">
        <f>IF(C435="%MO",G439,IFERROR(_xlfn.XLOOKUP($B435,Equipo[DESCRIPCION],Equipo[VALOR],,0),""))</f>
        <v>31439.075089500006</v>
      </c>
      <c r="F435" s="33"/>
      <c r="G435" s="34">
        <f>IFERROR(IF(F435&gt;=0,D435*E435*(1+F435/100),ABS(D435*E435/F435)),"")</f>
        <v>1571.9537544750003</v>
      </c>
      <c r="H435" s="43">
        <f>IFERROR(G435*E424,"")</f>
        <v>0</v>
      </c>
      <c r="I435" s="3"/>
    </row>
    <row r="436" spans="1:11" ht="12.75" customHeight="1">
      <c r="A436" s="21"/>
      <c r="B436" s="22" t="s">
        <v>2533</v>
      </c>
      <c r="C436" s="23"/>
      <c r="D436" s="24"/>
      <c r="E436" s="25"/>
      <c r="F436" s="26"/>
      <c r="G436" s="27">
        <f>SUM(G437:G438)</f>
        <v>0</v>
      </c>
      <c r="H436" s="27">
        <f>IFERROR(G436*E424,"")</f>
        <v>0</v>
      </c>
      <c r="I436" s="3"/>
    </row>
    <row r="437" spans="1:11" ht="12.75" customHeight="1">
      <c r="A437" s="28"/>
      <c r="B437" s="29"/>
      <c r="C437" s="30" t="str">
        <f>IFERROR(_xlfn.XLOOKUP(B437,Transporte[DESCRIPCION],Transporte[UND],,0),"")</f>
        <v/>
      </c>
      <c r="D437" s="31"/>
      <c r="E437" s="32" t="str">
        <f>IFERROR(_xlfn.XLOOKUP($B437,Transporte[DESCRIPCION],Transporte[VALOR],,0),"")</f>
        <v/>
      </c>
      <c r="F437" s="33"/>
      <c r="G437" s="34" t="str">
        <f>IFERROR(IF(F437&gt;=0,D437*E437*(1+F437/100),ABS(D437*E437/F437)),"")</f>
        <v/>
      </c>
      <c r="H437" s="43" t="str">
        <f>IFERROR(G437*E424,"")</f>
        <v/>
      </c>
      <c r="I437" s="3"/>
    </row>
    <row r="438" spans="1:11" ht="12.75" customHeight="1">
      <c r="A438" s="28"/>
      <c r="B438" s="29"/>
      <c r="C438" s="30" t="str">
        <f>IFERROR(_xlfn.XLOOKUP(B438,Transporte[DESCRIPCION],Transporte[UND],,0),"")</f>
        <v/>
      </c>
      <c r="D438" s="31"/>
      <c r="E438" s="32" t="str">
        <f>IFERROR(_xlfn.XLOOKUP($B438,Transporte[DESCRIPCION],Transporte[VALOR],,0),"")</f>
        <v/>
      </c>
      <c r="F438" s="33"/>
      <c r="G438" s="34" t="str">
        <f>IFERROR(IF(F438&gt;=0,D438*E438*(1+F438/100),ABS(D438*E438/F438)),"")</f>
        <v/>
      </c>
      <c r="H438" s="43" t="str">
        <f>IFERROR(G438*E424,"")</f>
        <v/>
      </c>
      <c r="I438" s="3"/>
    </row>
    <row r="439" spans="1:11" ht="12.75" customHeight="1">
      <c r="A439" s="21"/>
      <c r="B439" s="22" t="s">
        <v>3732</v>
      </c>
      <c r="C439" s="23"/>
      <c r="D439" s="24"/>
      <c r="E439" s="25"/>
      <c r="F439" s="26"/>
      <c r="G439" s="27">
        <f>SUM(G440:G442)</f>
        <v>31439.075089500006</v>
      </c>
      <c r="H439" s="27">
        <f>IFERROR(G439*E424,"")</f>
        <v>0</v>
      </c>
      <c r="I439" s="3"/>
    </row>
    <row r="440" spans="1:11" ht="12.75" customHeight="1">
      <c r="A440" s="28"/>
      <c r="B440" s="29" t="s">
        <v>3710</v>
      </c>
      <c r="C440" s="30" t="str">
        <f>IFERROR(_xlfn.XLOOKUP(B440,MObra[DESCRIPCION],MObra[UN],,0),"")</f>
        <v>día</v>
      </c>
      <c r="D440" s="31">
        <v>1</v>
      </c>
      <c r="E440" s="32">
        <f>IFERROR(_xlfn.XLOOKUP($B440,MObra[DESCRIPCION],MObra[VALOR UNIT],,0),"")</f>
        <v>314390.75089500006</v>
      </c>
      <c r="F440" s="33">
        <v>-10</v>
      </c>
      <c r="G440" s="34">
        <f>IFERROR(IF(F440&gt;=0,D440*E440*(1+F440/100),ABS(D440*E440/F440)),"")</f>
        <v>31439.075089500006</v>
      </c>
      <c r="H440" s="43">
        <f>IFERROR(G440*E424,"")</f>
        <v>0</v>
      </c>
      <c r="I440" s="3"/>
    </row>
    <row r="441" spans="1:11" ht="12.75" customHeight="1">
      <c r="A441" s="28"/>
      <c r="B441" s="29"/>
      <c r="C441" s="30" t="str">
        <f>IFERROR(_xlfn.XLOOKUP(B441,MObra[DESCRIPCION],MObra[UN],,0),"")</f>
        <v/>
      </c>
      <c r="D441" s="31"/>
      <c r="E441" s="32" t="str">
        <f>IFERROR(_xlfn.XLOOKUP($B441,MObra[DESCRIPCION],MObra[VALOR UNIT],,0),"")</f>
        <v/>
      </c>
      <c r="F441" s="33"/>
      <c r="G441" s="34" t="str">
        <f>IFERROR(IF(F441&gt;=0,D441*E441*(1+F441/100),ABS(D441*E441/F441)),"")</f>
        <v/>
      </c>
      <c r="H441" s="43" t="str">
        <f>IFERROR(G441*E424,"")</f>
        <v/>
      </c>
      <c r="I441" s="3"/>
    </row>
    <row r="442" spans="1:11" ht="12.75" customHeight="1" thickBot="1">
      <c r="A442" s="35"/>
      <c r="B442" s="36"/>
      <c r="C442" s="37" t="str">
        <f>IFERROR(_xlfn.XLOOKUP(B442,MObra[DESCRIPCION],MObra[UN],,0),"")</f>
        <v/>
      </c>
      <c r="D442" s="38"/>
      <c r="E442" s="39" t="str">
        <f>IFERROR(_xlfn.XLOOKUP($B442,MObra[DESCRIPCION],MObra[VALOR UNIT],,0),"")</f>
        <v/>
      </c>
      <c r="F442" s="40"/>
      <c r="G442" s="41" t="str">
        <f>IFERROR(IF(F442&gt;=0,D442*E442*(1+F442/100),ABS(D442*E442/F442)),"")</f>
        <v/>
      </c>
      <c r="H442" s="42" t="str">
        <f>IFERROR(G442*E424,"")</f>
        <v/>
      </c>
      <c r="I442" s="3"/>
    </row>
    <row r="443" spans="1:11" ht="12.75" customHeight="1" thickTop="1" thickBot="1">
      <c r="I443" s="3"/>
    </row>
    <row r="444" spans="1:11" ht="12.75" customHeight="1" thickTop="1" thickBot="1">
      <c r="A444" s="6" t="s">
        <v>1599</v>
      </c>
      <c r="B444" s="7" t="str">
        <f>VLOOKUP($A444,Presupuesto!$A:$D,2,FALSE())</f>
        <v>Instalación ventana metálica</v>
      </c>
      <c r="C444" s="8" t="str">
        <f>VLOOKUP($A444,Presupuesto!$A:$D,3,FALSE())</f>
        <v>M2</v>
      </c>
      <c r="D444" s="9"/>
      <c r="E444" s="10">
        <f>VLOOKUP($A444,Presupuesto!$A:$D,4,FALSE())</f>
        <v>0</v>
      </c>
      <c r="F444" s="11" t="s">
        <v>2589</v>
      </c>
      <c r="G444" s="12">
        <f>SUM(G446:G462)/2</f>
        <v>49653.649497367762</v>
      </c>
      <c r="H444" s="13">
        <f>ROUND(SUM(H446:H462),0)/2</f>
        <v>0</v>
      </c>
      <c r="I444" s="10">
        <f>VLOOKUP(A444,Presupuesto!$A:$F,6,0)</f>
        <v>0</v>
      </c>
      <c r="J444" s="10">
        <f>+H444-I444</f>
        <v>0</v>
      </c>
      <c r="K444" s="46">
        <f>+H444-G444*E444</f>
        <v>0</v>
      </c>
    </row>
    <row r="445" spans="1:11" ht="12.75" customHeight="1" thickTop="1">
      <c r="A445" s="14"/>
      <c r="B445" s="15" t="s">
        <v>2586</v>
      </c>
      <c r="C445" s="15" t="s">
        <v>5</v>
      </c>
      <c r="D445" s="16" t="s">
        <v>6</v>
      </c>
      <c r="E445" s="17" t="s">
        <v>7</v>
      </c>
      <c r="F445" s="18" t="s">
        <v>3728</v>
      </c>
      <c r="G445" s="19" t="s">
        <v>3729</v>
      </c>
      <c r="H445" s="20" t="s">
        <v>3797</v>
      </c>
      <c r="I445" s="3"/>
    </row>
    <row r="446" spans="1:11" ht="12.75" customHeight="1">
      <c r="A446" s="21"/>
      <c r="B446" s="22" t="s">
        <v>3730</v>
      </c>
      <c r="C446" s="23"/>
      <c r="D446" s="24"/>
      <c r="E446" s="25"/>
      <c r="F446" s="26"/>
      <c r="G446" s="27">
        <f>SUM(G447:G451)</f>
        <v>10110.713144442752</v>
      </c>
      <c r="H446" s="27">
        <f>IFERROR(G446*E444,"")</f>
        <v>0</v>
      </c>
      <c r="I446" s="3"/>
    </row>
    <row r="447" spans="1:11" ht="12.75" customHeight="1">
      <c r="A447" s="28"/>
      <c r="B447" s="29" t="s">
        <v>3407</v>
      </c>
      <c r="C447" s="30" t="str">
        <f>IFERROR(_xlfn.XLOOKUP(B447,Insumo[DESCRIPCION],Insumo[UND],,0),"")</f>
        <v>Un</v>
      </c>
      <c r="D447" s="31">
        <v>2</v>
      </c>
      <c r="E447" s="32">
        <f>IFERROR(_xlfn.XLOOKUP($B447,Insumo[DESCRIPCION],Insumo[VALOR],,0),"")</f>
        <v>77.7</v>
      </c>
      <c r="F447" s="33"/>
      <c r="G447" s="34">
        <f>IFERROR(IF(F447&gt;=0,D447*E447*(1+F447/100),ABS(D447*E447/F447)),"")</f>
        <v>155.4</v>
      </c>
      <c r="H447" s="43">
        <f>IFERROR(G447*E444,"")</f>
        <v>0</v>
      </c>
      <c r="I447" s="3"/>
    </row>
    <row r="448" spans="1:11" ht="12.75" customHeight="1">
      <c r="A448" s="28"/>
      <c r="B448" s="29" t="s">
        <v>3244</v>
      </c>
      <c r="C448" s="30" t="str">
        <f>IFERROR(_xlfn.XLOOKUP(B448,Insumo[DESCRIPCION],Insumo[UND],,0),"")</f>
        <v>M3</v>
      </c>
      <c r="D448" s="31">
        <v>0.02</v>
      </c>
      <c r="E448" s="32">
        <f>IFERROR(_xlfn.XLOOKUP($B448,Insumo[DESCRIPCION],Insumo[VALOR],,0),"")</f>
        <v>497765.65722213761</v>
      </c>
      <c r="F448" s="33"/>
      <c r="G448" s="34">
        <f>IFERROR(IF(F448&gt;=0,D448*E448*(1+F448/100),ABS(D448*E448/F448)),"")</f>
        <v>9955.3131444427527</v>
      </c>
      <c r="H448" s="43">
        <f>IFERROR(G448*E444,"")</f>
        <v>0</v>
      </c>
      <c r="I448" s="3"/>
    </row>
    <row r="449" spans="1:11" ht="12.75" customHeight="1">
      <c r="A449" s="28"/>
      <c r="B449" s="29"/>
      <c r="C449" s="30" t="str">
        <f>IFERROR(_xlfn.XLOOKUP(B449,Insumo[DESCRIPCION],Insumo[UND],,0),"")</f>
        <v/>
      </c>
      <c r="D449" s="31"/>
      <c r="E449" s="32" t="str">
        <f>IFERROR(_xlfn.XLOOKUP($B449,Insumo[DESCRIPCION],Insumo[VALOR],,0),"")</f>
        <v/>
      </c>
      <c r="F449" s="33"/>
      <c r="G449" s="34" t="str">
        <f>IFERROR(IF(F449&gt;=0,D449*E449*(1+F449/100),ABS(D449*E449/F449)),"")</f>
        <v/>
      </c>
      <c r="H449" s="43" t="str">
        <f>IFERROR(G449*E444,"")</f>
        <v/>
      </c>
      <c r="I449" s="3"/>
    </row>
    <row r="450" spans="1:11" ht="12.75" customHeight="1">
      <c r="A450" s="28"/>
      <c r="B450" s="29"/>
      <c r="C450" s="30" t="str">
        <f>IFERROR(_xlfn.XLOOKUP(B450,Insumo[DESCRIPCION],Insumo[UND],,0),"")</f>
        <v/>
      </c>
      <c r="D450" s="31"/>
      <c r="E450" s="32" t="str">
        <f>IFERROR(_xlfn.XLOOKUP($B450,Insumo[DESCRIPCION],Insumo[VALOR],,0),"")</f>
        <v/>
      </c>
      <c r="F450" s="33"/>
      <c r="G450" s="34" t="str">
        <f>IFERROR(IF(F450&gt;=0,D450*E450*(1+F450/100),ABS(D450*E450/F450)),"")</f>
        <v/>
      </c>
      <c r="H450" s="43" t="str">
        <f>IFERROR(G450*E444,"")</f>
        <v/>
      </c>
      <c r="I450" s="3"/>
    </row>
    <row r="451" spans="1:11" ht="12.75" customHeight="1">
      <c r="A451" s="28"/>
      <c r="B451" s="29"/>
      <c r="C451" s="30" t="str">
        <f>IFERROR(_xlfn.XLOOKUP(B451,Insumo[DESCRIPCION],Insumo[UND],,0),"")</f>
        <v/>
      </c>
      <c r="D451" s="31"/>
      <c r="E451" s="32" t="str">
        <f>IFERROR(_xlfn.XLOOKUP($B451,Insumo[DESCRIPCION],Insumo[VALOR],,0),"")</f>
        <v/>
      </c>
      <c r="F451" s="33"/>
      <c r="G451" s="34" t="str">
        <f>IFERROR(IF(F451&gt;=0,D451*E451*(1+F451/100),ABS(D451*E451/F451)),"")</f>
        <v/>
      </c>
      <c r="H451" s="43" t="str">
        <f>IFERROR(G451*E444,"")</f>
        <v/>
      </c>
      <c r="I451" s="3"/>
    </row>
    <row r="452" spans="1:11" ht="12.75" customHeight="1">
      <c r="A452" s="21"/>
      <c r="B452" s="22" t="s">
        <v>3731</v>
      </c>
      <c r="C452" s="23"/>
      <c r="D452" s="24"/>
      <c r="E452" s="25"/>
      <c r="F452" s="26"/>
      <c r="G452" s="27">
        <f>SUM(G453:G455)</f>
        <v>8103.8612634250003</v>
      </c>
      <c r="H452" s="27">
        <f>IFERROR(G452*E444,"")</f>
        <v>0</v>
      </c>
      <c r="I452" s="3"/>
    </row>
    <row r="453" spans="1:11" ht="12.75" customHeight="1">
      <c r="A453" s="28"/>
      <c r="B453" s="29" t="s">
        <v>3654</v>
      </c>
      <c r="C453" s="30" t="str">
        <f>IFERROR(_xlfn.XLOOKUP(B453,Equipo[DESCRIPCION],Equipo[UND],,0),"")</f>
        <v>Día</v>
      </c>
      <c r="D453" s="31">
        <v>1</v>
      </c>
      <c r="E453" s="32">
        <f>IF(C453="%MO",G459,IFERROR(_xlfn.XLOOKUP($B453,Equipo[DESCRIPCION],Equipo[VALOR],,0),""))</f>
        <v>101640</v>
      </c>
      <c r="F453" s="33">
        <v>-30</v>
      </c>
      <c r="G453" s="34">
        <f>IFERROR(IF(F453&gt;=0,D453*E453*(1+F453/100),ABS(D453*E453/F453)),"")</f>
        <v>3388</v>
      </c>
      <c r="H453" s="43">
        <f>IFERROR(G453*E444,"")</f>
        <v>0</v>
      </c>
      <c r="I453" s="3"/>
    </row>
    <row r="454" spans="1:11" ht="12.75" customHeight="1">
      <c r="A454" s="28"/>
      <c r="B454" s="29" t="s">
        <v>3573</v>
      </c>
      <c r="C454" s="30" t="str">
        <f>IFERROR(_xlfn.XLOOKUP(B454,Equipo[DESCRIPCION],Equipo[UND],,0),"")</f>
        <v>%MO</v>
      </c>
      <c r="D454" s="31">
        <v>0.1</v>
      </c>
      <c r="E454" s="32">
        <f>IF(C454="%MO",G459,IFERROR(_xlfn.XLOOKUP($B454,Equipo[DESCRIPCION],Equipo[VALOR],,0),""))</f>
        <v>31439.075089500006</v>
      </c>
      <c r="F454" s="33"/>
      <c r="G454" s="34">
        <f>IFERROR(IF(F454&gt;=0,D454*E454*(1+F454/100),ABS(D454*E454/F454)),"")</f>
        <v>3143.9075089500006</v>
      </c>
      <c r="H454" s="43">
        <f>IFERROR(G454*E444,"")</f>
        <v>0</v>
      </c>
      <c r="I454" s="3"/>
    </row>
    <row r="455" spans="1:11" ht="12.75" customHeight="1">
      <c r="A455" s="28"/>
      <c r="B455" s="29" t="s">
        <v>3626</v>
      </c>
      <c r="C455" s="30" t="str">
        <f>IFERROR(_xlfn.XLOOKUP(B455,Equipo[DESCRIPCION],Equipo[UND],,0),"")</f>
        <v>%MO</v>
      </c>
      <c r="D455" s="31">
        <v>0.05</v>
      </c>
      <c r="E455" s="32">
        <f>IF(C455="%MO",G459,IFERROR(_xlfn.XLOOKUP($B455,Equipo[DESCRIPCION],Equipo[VALOR],,0),""))</f>
        <v>31439.075089500006</v>
      </c>
      <c r="F455" s="33"/>
      <c r="G455" s="34">
        <f>IFERROR(IF(F455&gt;=0,D455*E455*(1+F455/100),ABS(D455*E455/F455)),"")</f>
        <v>1571.9537544750003</v>
      </c>
      <c r="H455" s="43">
        <f>IFERROR(G455*E444,"")</f>
        <v>0</v>
      </c>
      <c r="I455" s="3"/>
    </row>
    <row r="456" spans="1:11" ht="12.75" customHeight="1">
      <c r="A456" s="21"/>
      <c r="B456" s="22" t="s">
        <v>2533</v>
      </c>
      <c r="C456" s="23"/>
      <c r="D456" s="24"/>
      <c r="E456" s="25"/>
      <c r="F456" s="26"/>
      <c r="G456" s="27">
        <f>SUM(G457:G458)</f>
        <v>0</v>
      </c>
      <c r="H456" s="27">
        <f>IFERROR(G456*E444,"")</f>
        <v>0</v>
      </c>
      <c r="I456" s="3"/>
    </row>
    <row r="457" spans="1:11" ht="12.75" customHeight="1">
      <c r="A457" s="28"/>
      <c r="B457" s="29"/>
      <c r="C457" s="30" t="str">
        <f>IFERROR(_xlfn.XLOOKUP(B457,Transporte[DESCRIPCION],Transporte[UND],,0),"")</f>
        <v/>
      </c>
      <c r="D457" s="31"/>
      <c r="E457" s="32" t="str">
        <f>IFERROR(_xlfn.XLOOKUP($B457,Transporte[DESCRIPCION],Transporte[VALOR],,0),"")</f>
        <v/>
      </c>
      <c r="F457" s="33"/>
      <c r="G457" s="34" t="str">
        <f>IFERROR(IF(F457&gt;=0,D457*E457*(1+F457/100),ABS(D457*E457/F457)),"")</f>
        <v/>
      </c>
      <c r="H457" s="43" t="str">
        <f>IFERROR(G457*E444,"")</f>
        <v/>
      </c>
      <c r="I457" s="3"/>
    </row>
    <row r="458" spans="1:11" ht="12.75" customHeight="1">
      <c r="A458" s="28"/>
      <c r="B458" s="29"/>
      <c r="C458" s="30" t="str">
        <f>IFERROR(_xlfn.XLOOKUP(B458,Transporte[DESCRIPCION],Transporte[UND],,0),"")</f>
        <v/>
      </c>
      <c r="D458" s="31"/>
      <c r="E458" s="32" t="str">
        <f>IFERROR(_xlfn.XLOOKUP($B458,Transporte[DESCRIPCION],Transporte[VALOR],,0),"")</f>
        <v/>
      </c>
      <c r="F458" s="33"/>
      <c r="G458" s="34" t="str">
        <f>IFERROR(IF(F458&gt;=0,D458*E458*(1+F458/100),ABS(D458*E458/F458)),"")</f>
        <v/>
      </c>
      <c r="H458" s="43" t="str">
        <f>IFERROR(G458*E444,"")</f>
        <v/>
      </c>
      <c r="I458" s="3"/>
    </row>
    <row r="459" spans="1:11" ht="12.75" customHeight="1">
      <c r="A459" s="21"/>
      <c r="B459" s="22" t="s">
        <v>3732</v>
      </c>
      <c r="C459" s="23"/>
      <c r="D459" s="24"/>
      <c r="E459" s="25"/>
      <c r="F459" s="26"/>
      <c r="G459" s="27">
        <f>SUM(G460:G462)</f>
        <v>31439.075089500006</v>
      </c>
      <c r="H459" s="27">
        <f>IFERROR(G459*E444,"")</f>
        <v>0</v>
      </c>
      <c r="I459" s="3"/>
    </row>
    <row r="460" spans="1:11" ht="12.75" customHeight="1">
      <c r="A460" s="28"/>
      <c r="B460" s="29" t="s">
        <v>3710</v>
      </c>
      <c r="C460" s="30" t="str">
        <f>IFERROR(_xlfn.XLOOKUP(B460,MObra[DESCRIPCION],MObra[UN],,0),"")</f>
        <v>día</v>
      </c>
      <c r="D460" s="31">
        <v>1</v>
      </c>
      <c r="E460" s="32">
        <f>IFERROR(_xlfn.XLOOKUP($B460,MObra[DESCRIPCION],MObra[VALOR UNIT],,0),"")</f>
        <v>314390.75089500006</v>
      </c>
      <c r="F460" s="33">
        <v>-10</v>
      </c>
      <c r="G460" s="34">
        <f>IFERROR(IF(F460&gt;=0,D460*E460*(1+F460/100),ABS(D460*E460/F460)),"")</f>
        <v>31439.075089500006</v>
      </c>
      <c r="H460" s="43">
        <f>IFERROR(G460*E444,"")</f>
        <v>0</v>
      </c>
      <c r="I460" s="3"/>
    </row>
    <row r="461" spans="1:11" ht="12.75" customHeight="1">
      <c r="A461" s="28"/>
      <c r="B461" s="29"/>
      <c r="C461" s="30" t="str">
        <f>IFERROR(_xlfn.XLOOKUP(B461,MObra[DESCRIPCION],MObra[UN],,0),"")</f>
        <v/>
      </c>
      <c r="D461" s="31"/>
      <c r="E461" s="32" t="str">
        <f>IFERROR(_xlfn.XLOOKUP($B461,MObra[DESCRIPCION],MObra[VALOR UNIT],,0),"")</f>
        <v/>
      </c>
      <c r="F461" s="33"/>
      <c r="G461" s="34" t="str">
        <f>IFERROR(IF(F461&gt;=0,D461*E461*(1+F461/100),ABS(D461*E461/F461)),"")</f>
        <v/>
      </c>
      <c r="H461" s="43" t="str">
        <f>IFERROR(G461*E444,"")</f>
        <v/>
      </c>
      <c r="I461" s="3"/>
    </row>
    <row r="462" spans="1:11" ht="12.75" customHeight="1" thickBot="1">
      <c r="A462" s="35"/>
      <c r="B462" s="36"/>
      <c r="C462" s="37" t="str">
        <f>IFERROR(_xlfn.XLOOKUP(B462,MObra[DESCRIPCION],MObra[UN],,0),"")</f>
        <v/>
      </c>
      <c r="D462" s="38"/>
      <c r="E462" s="39" t="str">
        <f>IFERROR(_xlfn.XLOOKUP($B462,MObra[DESCRIPCION],MObra[VALOR UNIT],,0),"")</f>
        <v/>
      </c>
      <c r="F462" s="40"/>
      <c r="G462" s="41" t="str">
        <f>IFERROR(IF(F462&gt;=0,D462*E462*(1+F462/100),ABS(D462*E462/F462)),"")</f>
        <v/>
      </c>
      <c r="H462" s="42" t="str">
        <f>IFERROR(G462*E444,"")</f>
        <v/>
      </c>
      <c r="I462" s="3"/>
    </row>
    <row r="463" spans="1:11" ht="12.75" customHeight="1" thickTop="1" thickBot="1">
      <c r="I463" s="3"/>
    </row>
    <row r="464" spans="1:11" ht="12.75" customHeight="1" thickTop="1" thickBot="1">
      <c r="A464" s="6" t="s">
        <v>1601</v>
      </c>
      <c r="B464" s="7" t="str">
        <f>VLOOKUP($A464,Presupuesto!$A:$D,2,FALSE())</f>
        <v>Jaula seguridad cilindro gas H=&lt;1m</v>
      </c>
      <c r="C464" s="8" t="str">
        <f>VLOOKUP($A464,Presupuesto!$A:$D,3,FALSE())</f>
        <v>Un</v>
      </c>
      <c r="D464" s="9"/>
      <c r="E464" s="10">
        <f>VLOOKUP($A464,Presupuesto!$A:$D,4,FALSE())</f>
        <v>0</v>
      </c>
      <c r="F464" s="11" t="s">
        <v>2589</v>
      </c>
      <c r="G464" s="12">
        <f>SUM(G466:G483)/2</f>
        <v>639227.62250200007</v>
      </c>
      <c r="H464" s="13">
        <f>ROUND(SUM(H466:H483),0)/2</f>
        <v>0</v>
      </c>
      <c r="I464" s="10">
        <f>VLOOKUP(A464,Presupuesto!$A:$F,6,0)</f>
        <v>0</v>
      </c>
      <c r="J464" s="10">
        <f>+H464-I464</f>
        <v>0</v>
      </c>
      <c r="K464" s="46">
        <f>+H464-G464*E464</f>
        <v>0</v>
      </c>
    </row>
    <row r="465" spans="1:9" ht="12.75" customHeight="1" thickTop="1">
      <c r="A465" s="14"/>
      <c r="B465" s="15" t="s">
        <v>2586</v>
      </c>
      <c r="C465" s="15" t="s">
        <v>5</v>
      </c>
      <c r="D465" s="16" t="s">
        <v>6</v>
      </c>
      <c r="E465" s="17" t="s">
        <v>7</v>
      </c>
      <c r="F465" s="18" t="s">
        <v>3728</v>
      </c>
      <c r="G465" s="19" t="s">
        <v>3729</v>
      </c>
      <c r="H465" s="20" t="s">
        <v>3797</v>
      </c>
      <c r="I465" s="3"/>
    </row>
    <row r="466" spans="1:9" ht="12.75" customHeight="1">
      <c r="A466" s="21"/>
      <c r="B466" s="22" t="s">
        <v>3730</v>
      </c>
      <c r="C466" s="23"/>
      <c r="D466" s="24"/>
      <c r="E466" s="25"/>
      <c r="F466" s="26"/>
      <c r="G466" s="27">
        <f>SUM(G467:G472)</f>
        <v>313707.55499999999</v>
      </c>
      <c r="H466" s="27">
        <f>IFERROR(G466*E464,"")</f>
        <v>0</v>
      </c>
      <c r="I466" s="3"/>
    </row>
    <row r="467" spans="1:9" ht="12.75" customHeight="1">
      <c r="A467" s="28"/>
      <c r="B467" s="29" t="s">
        <v>3023</v>
      </c>
      <c r="C467" s="30" t="str">
        <f>IFERROR(_xlfn.XLOOKUP(B467,Insumo[DESCRIPCION],Insumo[UND],,0),"")</f>
        <v>M2</v>
      </c>
      <c r="D467" s="31">
        <v>1</v>
      </c>
      <c r="E467" s="32">
        <f>IFERROR(_xlfn.XLOOKUP($B467,Insumo[DESCRIPCION],Insumo[VALOR],,0),"")</f>
        <v>150830.39999999999</v>
      </c>
      <c r="F467" s="33"/>
      <c r="G467" s="34">
        <f t="shared" ref="G467:G472" si="0">IFERROR(IF(F467&gt;=0,D467*E467*(1+F467/100),ABS(D467*E467/F467)),"")</f>
        <v>150830.39999999999</v>
      </c>
      <c r="H467" s="43">
        <f>IFERROR(G467*E464,"")</f>
        <v>0</v>
      </c>
      <c r="I467" s="3"/>
    </row>
    <row r="468" spans="1:9" ht="12.75" customHeight="1">
      <c r="A468" s="28"/>
      <c r="B468" s="29" t="s">
        <v>2707</v>
      </c>
      <c r="C468" s="30" t="str">
        <f>IFERROR(_xlfn.XLOOKUP(B468,Insumo[DESCRIPCION],Insumo[UND],,0),"")</f>
        <v>M</v>
      </c>
      <c r="D468" s="31">
        <v>15.2</v>
      </c>
      <c r="E468" s="32">
        <f>IFERROR(_xlfn.XLOOKUP($B468,Insumo[DESCRIPCION],Insumo[VALOR],,0),"")</f>
        <v>3231.9</v>
      </c>
      <c r="F468" s="33"/>
      <c r="G468" s="34">
        <f t="shared" si="0"/>
        <v>49124.88</v>
      </c>
      <c r="H468" s="43">
        <f>IFERROR(G468*E464,"")</f>
        <v>0</v>
      </c>
      <c r="I468" s="3"/>
    </row>
    <row r="469" spans="1:9" ht="12.75" customHeight="1">
      <c r="A469" s="28"/>
      <c r="B469" s="29" t="s">
        <v>3226</v>
      </c>
      <c r="C469" s="30" t="str">
        <f>IFERROR(_xlfn.XLOOKUP(B469,Insumo[DESCRIPCION],Insumo[UND],,0),"")</f>
        <v>M</v>
      </c>
      <c r="D469" s="31">
        <v>0.2</v>
      </c>
      <c r="E469" s="32">
        <f>IFERROR(_xlfn.XLOOKUP($B469,Insumo[DESCRIPCION],Insumo[VALOR],,0),"")</f>
        <v>10183.950000000001</v>
      </c>
      <c r="F469" s="33"/>
      <c r="G469" s="34">
        <f t="shared" si="0"/>
        <v>2036.7900000000002</v>
      </c>
      <c r="H469" s="43">
        <f>IFERROR(G469*E464,"")</f>
        <v>0</v>
      </c>
      <c r="I469" s="3"/>
    </row>
    <row r="470" spans="1:9" ht="12.75" customHeight="1">
      <c r="A470" s="28"/>
      <c r="B470" s="29" t="s">
        <v>3138</v>
      </c>
      <c r="C470" s="30" t="str">
        <f>IFERROR(_xlfn.XLOOKUP(B470,Insumo[DESCRIPCION],Insumo[UND],,0),"")</f>
        <v>M2</v>
      </c>
      <c r="D470" s="31">
        <v>2</v>
      </c>
      <c r="E470" s="32">
        <f>IFERROR(_xlfn.XLOOKUP($B470,Insumo[DESCRIPCION],Insumo[VALOR],,0),"")</f>
        <v>26005.350000000002</v>
      </c>
      <c r="F470" s="33"/>
      <c r="G470" s="34">
        <f t="shared" si="0"/>
        <v>52010.700000000004</v>
      </c>
      <c r="H470" s="43">
        <f>IFERROR(G470*E464,"")</f>
        <v>0</v>
      </c>
      <c r="I470" s="3"/>
    </row>
    <row r="471" spans="1:9" ht="12.75" customHeight="1">
      <c r="A471" s="28"/>
      <c r="B471" s="29" t="s">
        <v>3326</v>
      </c>
      <c r="C471" s="30" t="str">
        <f>IFERROR(_xlfn.XLOOKUP(B471,Insumo[DESCRIPCION],Insumo[UND],,0),"")</f>
        <v>Kg</v>
      </c>
      <c r="D471" s="31">
        <v>1.8</v>
      </c>
      <c r="E471" s="32">
        <f>IFERROR(_xlfn.XLOOKUP($B471,Insumo[DESCRIPCION],Insumo[VALOR],,0),"")</f>
        <v>5978.7</v>
      </c>
      <c r="F471" s="33"/>
      <c r="G471" s="34">
        <f t="shared" si="0"/>
        <v>10761.66</v>
      </c>
      <c r="H471" s="43">
        <f>IFERROR(G471*E464,"")</f>
        <v>0</v>
      </c>
      <c r="I471" s="3"/>
    </row>
    <row r="472" spans="1:9" ht="12.75" customHeight="1">
      <c r="A472" s="28"/>
      <c r="B472" s="29" t="s">
        <v>2708</v>
      </c>
      <c r="C472" s="30" t="str">
        <f>IFERROR(_xlfn.XLOOKUP(B472,Insumo[DESCRIPCION],Insumo[UND],,0),"")</f>
        <v>galón</v>
      </c>
      <c r="D472" s="31">
        <v>0.5</v>
      </c>
      <c r="E472" s="32">
        <f>IFERROR(_xlfn.XLOOKUP($B472,Insumo[DESCRIPCION],Insumo[VALOR],,0),"")</f>
        <v>97886.25</v>
      </c>
      <c r="F472" s="33"/>
      <c r="G472" s="34">
        <f t="shared" si="0"/>
        <v>48943.125</v>
      </c>
      <c r="H472" s="43">
        <f>IFERROR(G472*E464,"")</f>
        <v>0</v>
      </c>
      <c r="I472" s="3"/>
    </row>
    <row r="473" spans="1:9" ht="12.75" customHeight="1">
      <c r="A473" s="21"/>
      <c r="B473" s="22" t="s">
        <v>3731</v>
      </c>
      <c r="C473" s="23"/>
      <c r="D473" s="24"/>
      <c r="E473" s="25"/>
      <c r="F473" s="26"/>
      <c r="G473" s="27">
        <f>SUM(G474:G476)</f>
        <v>46061.622262000004</v>
      </c>
      <c r="H473" s="27">
        <f>IFERROR(G473*E464,"")</f>
        <v>0</v>
      </c>
      <c r="I473" s="3"/>
    </row>
    <row r="474" spans="1:9" ht="12.75" customHeight="1">
      <c r="A474" s="28"/>
      <c r="B474" s="29" t="s">
        <v>3613</v>
      </c>
      <c r="C474" s="30" t="str">
        <f>IFERROR(_xlfn.XLOOKUP(B474,Equipo[DESCRIPCION],Equipo[UND],,0),"")</f>
        <v>Día</v>
      </c>
      <c r="D474" s="31">
        <v>1</v>
      </c>
      <c r="E474" s="32">
        <f>IF(C474="%MO",G480,IFERROR(_xlfn.XLOOKUP($B474,Equipo[DESCRIPCION],Equipo[VALOR],,0),""))</f>
        <v>48133.05</v>
      </c>
      <c r="F474" s="33">
        <v>-1.5</v>
      </c>
      <c r="G474" s="34">
        <f>IFERROR(IF(F474&gt;=0,D474*E474*(1+F474/100),ABS(D474*E474/F474)),"")</f>
        <v>32088.7</v>
      </c>
      <c r="H474" s="43">
        <f>IFERROR(G474*E464,"")</f>
        <v>0</v>
      </c>
      <c r="I474" s="3"/>
    </row>
    <row r="475" spans="1:9" ht="12.75" customHeight="1">
      <c r="A475" s="28"/>
      <c r="B475" s="29" t="s">
        <v>3626</v>
      </c>
      <c r="C475" s="30" t="str">
        <f>IFERROR(_xlfn.XLOOKUP(B475,Equipo[DESCRIPCION],Equipo[UND],,0),"")</f>
        <v>%MO</v>
      </c>
      <c r="D475" s="31">
        <v>0.05</v>
      </c>
      <c r="E475" s="32">
        <f>IF(C475="%MO",G480,IFERROR(_xlfn.XLOOKUP($B475,Equipo[DESCRIPCION],Equipo[VALOR],,0),""))</f>
        <v>279458.44524000003</v>
      </c>
      <c r="F475" s="33"/>
      <c r="G475" s="34">
        <f>IFERROR(IF(F475&gt;=0,D475*E475*(1+F475/100),ABS(D475*E475/F475)),"")</f>
        <v>13972.922262000002</v>
      </c>
      <c r="H475" s="43">
        <f>IFERROR(G475*E464,"")</f>
        <v>0</v>
      </c>
      <c r="I475" s="3"/>
    </row>
    <row r="476" spans="1:9" ht="12.75" customHeight="1">
      <c r="A476" s="28"/>
      <c r="B476" s="29"/>
      <c r="C476" s="30" t="str">
        <f>IFERROR(_xlfn.XLOOKUP(B476,Equipo[DESCRIPCION],Equipo[UND],,0),"")</f>
        <v/>
      </c>
      <c r="D476" s="31"/>
      <c r="E476" s="32" t="str">
        <f>IF(C476="%MO",G480,IFERROR(_xlfn.XLOOKUP($B476,Equipo[DESCRIPCION],Equipo[VALOR],,0),""))</f>
        <v/>
      </c>
      <c r="F476" s="33"/>
      <c r="G476" s="34" t="str">
        <f>IFERROR(IF(F476&gt;=0,D476*E476*(1+F476/100),ABS(D476*E476/F476)),"")</f>
        <v/>
      </c>
      <c r="H476" s="43" t="str">
        <f>IFERROR(G476*E464,"")</f>
        <v/>
      </c>
      <c r="I476" s="3"/>
    </row>
    <row r="477" spans="1:9" ht="12.75" customHeight="1">
      <c r="A477" s="21"/>
      <c r="B477" s="22" t="s">
        <v>2533</v>
      </c>
      <c r="C477" s="23"/>
      <c r="D477" s="24"/>
      <c r="E477" s="25"/>
      <c r="F477" s="26"/>
      <c r="G477" s="27">
        <f>SUM(G478:G479)</f>
        <v>0</v>
      </c>
      <c r="H477" s="27">
        <f>IFERROR(G477*E464,"")</f>
        <v>0</v>
      </c>
      <c r="I477" s="3"/>
    </row>
    <row r="478" spans="1:9" ht="12.75" customHeight="1">
      <c r="A478" s="28"/>
      <c r="B478" s="29"/>
      <c r="C478" s="30" t="str">
        <f>IFERROR(_xlfn.XLOOKUP(B478,Transporte[DESCRIPCION],Transporte[UND],,0),"")</f>
        <v/>
      </c>
      <c r="D478" s="31"/>
      <c r="E478" s="32" t="str">
        <f>IFERROR(_xlfn.XLOOKUP($B478,Transporte[DESCRIPCION],Transporte[VALOR],,0),"")</f>
        <v/>
      </c>
      <c r="F478" s="33"/>
      <c r="G478" s="34" t="str">
        <f>IFERROR(IF(F478&gt;=0,D478*E478*(1+F478/100),ABS(D478*E478/F478)),"")</f>
        <v/>
      </c>
      <c r="H478" s="43" t="str">
        <f>IFERROR(G478*E464,"")</f>
        <v/>
      </c>
      <c r="I478" s="3"/>
    </row>
    <row r="479" spans="1:9" ht="12.75" customHeight="1">
      <c r="A479" s="28"/>
      <c r="B479" s="29"/>
      <c r="C479" s="30" t="str">
        <f>IFERROR(_xlfn.XLOOKUP(B479,Transporte[DESCRIPCION],Transporte[UND],,0),"")</f>
        <v/>
      </c>
      <c r="D479" s="31"/>
      <c r="E479" s="32" t="str">
        <f>IFERROR(_xlfn.XLOOKUP($B479,Transporte[DESCRIPCION],Transporte[VALOR],,0),"")</f>
        <v/>
      </c>
      <c r="F479" s="33"/>
      <c r="G479" s="34" t="str">
        <f>IFERROR(IF(F479&gt;=0,D479*E479*(1+F479/100),ABS(D479*E479/F479)),"")</f>
        <v/>
      </c>
      <c r="H479" s="43" t="str">
        <f>IFERROR(G479*E464,"")</f>
        <v/>
      </c>
      <c r="I479" s="3"/>
    </row>
    <row r="480" spans="1:9" ht="12.75" customHeight="1">
      <c r="A480" s="21"/>
      <c r="B480" s="22" t="s">
        <v>3732</v>
      </c>
      <c r="C480" s="23"/>
      <c r="D480" s="24"/>
      <c r="E480" s="25"/>
      <c r="F480" s="26"/>
      <c r="G480" s="27">
        <f>SUM(G481:G483)</f>
        <v>279458.44524000003</v>
      </c>
      <c r="H480" s="27">
        <f>IFERROR(G480*E464,"")</f>
        <v>0</v>
      </c>
      <c r="I480" s="3"/>
    </row>
    <row r="481" spans="1:11" ht="12.75" customHeight="1">
      <c r="A481" s="28"/>
      <c r="B481" s="29" t="s">
        <v>3724</v>
      </c>
      <c r="C481" s="30" t="str">
        <f>IFERROR(_xlfn.XLOOKUP(B481,MObra[DESCRIPCION],MObra[UN],,0),"")</f>
        <v>día</v>
      </c>
      <c r="D481" s="31">
        <v>1</v>
      </c>
      <c r="E481" s="32">
        <f>IFERROR(_xlfn.XLOOKUP($B481,MObra[DESCRIPCION],MObra[VALOR UNIT],,0),"")</f>
        <v>419187.66786000005</v>
      </c>
      <c r="F481" s="33">
        <v>-1.5</v>
      </c>
      <c r="G481" s="34">
        <f>IFERROR(IF(F481&gt;=0,D481*E481*(1+F481/100),ABS(D481*E481/F481)),"")</f>
        <v>279458.44524000003</v>
      </c>
      <c r="H481" s="43">
        <f>IFERROR(G481*E464,"")</f>
        <v>0</v>
      </c>
      <c r="I481" s="3"/>
    </row>
    <row r="482" spans="1:11" ht="12.75" customHeight="1">
      <c r="A482" s="28"/>
      <c r="B482" s="29"/>
      <c r="C482" s="30" t="str">
        <f>IFERROR(_xlfn.XLOOKUP(B482,MObra[DESCRIPCION],MObra[UN],,0),"")</f>
        <v/>
      </c>
      <c r="D482" s="31"/>
      <c r="E482" s="32" t="str">
        <f>IFERROR(_xlfn.XLOOKUP($B482,MObra[DESCRIPCION],MObra[VALOR UNIT],,0),"")</f>
        <v/>
      </c>
      <c r="F482" s="33"/>
      <c r="G482" s="34" t="str">
        <f>IFERROR(IF(F482&gt;=0,D482*E482*(1+F482/100),ABS(D482*E482/F482)),"")</f>
        <v/>
      </c>
      <c r="H482" s="43" t="str">
        <f>IFERROR(G482*E464,"")</f>
        <v/>
      </c>
      <c r="I482" s="3"/>
    </row>
    <row r="483" spans="1:11" ht="12.75" customHeight="1" thickBot="1">
      <c r="A483" s="35"/>
      <c r="B483" s="36"/>
      <c r="C483" s="37" t="str">
        <f>IFERROR(_xlfn.XLOOKUP(B483,MObra[DESCRIPCION],MObra[UN],,0),"")</f>
        <v/>
      </c>
      <c r="D483" s="38"/>
      <c r="E483" s="39" t="str">
        <f>IFERROR(_xlfn.XLOOKUP($B483,MObra[DESCRIPCION],MObra[VALOR UNIT],,0),"")</f>
        <v/>
      </c>
      <c r="F483" s="40"/>
      <c r="G483" s="41" t="str">
        <f>IFERROR(IF(F483&gt;=0,D483*E483*(1+F483/100),ABS(D483*E483/F483)),"")</f>
        <v/>
      </c>
      <c r="H483" s="42" t="str">
        <f>IFERROR(G483*E464,"")</f>
        <v/>
      </c>
      <c r="I483" s="3"/>
    </row>
    <row r="484" spans="1:11" ht="12.75" customHeight="1" thickTop="1" thickBot="1">
      <c r="I484" s="3"/>
    </row>
    <row r="485" spans="1:11" ht="12.75" customHeight="1" thickTop="1" thickBot="1">
      <c r="A485" s="6" t="s">
        <v>1603</v>
      </c>
      <c r="B485" s="7" t="str">
        <f>VLOOKUP($A485,Presupuesto!$A:$D,2,FALSE())</f>
        <v>Malla mosquitero</v>
      </c>
      <c r="C485" s="8" t="str">
        <f>VLOOKUP($A485,Presupuesto!$A:$D,3,FALSE())</f>
        <v>M2</v>
      </c>
      <c r="D485" s="9"/>
      <c r="E485" s="10">
        <f>VLOOKUP($A485,Presupuesto!$A:$D,4,FALSE())</f>
        <v>0</v>
      </c>
      <c r="F485" s="11" t="s">
        <v>2589</v>
      </c>
      <c r="G485" s="12">
        <f>SUM(G487:G503)/2</f>
        <v>120821.83156063911</v>
      </c>
      <c r="H485" s="13">
        <f>ROUND(SUM(H487:H503),0)/2</f>
        <v>0</v>
      </c>
      <c r="I485" s="10">
        <f>VLOOKUP(A485,Presupuesto!$A:$F,6,0)</f>
        <v>0</v>
      </c>
      <c r="J485" s="10">
        <f>+H485-I485</f>
        <v>0</v>
      </c>
      <c r="K485" s="46">
        <f>+H485-G485*E485</f>
        <v>0</v>
      </c>
    </row>
    <row r="486" spans="1:11" ht="12.75" customHeight="1" thickTop="1">
      <c r="A486" s="14"/>
      <c r="B486" s="15" t="s">
        <v>2586</v>
      </c>
      <c r="C486" s="15" t="s">
        <v>5</v>
      </c>
      <c r="D486" s="16" t="s">
        <v>6</v>
      </c>
      <c r="E486" s="17" t="s">
        <v>7</v>
      </c>
      <c r="F486" s="18" t="s">
        <v>3728</v>
      </c>
      <c r="G486" s="19" t="s">
        <v>3729</v>
      </c>
      <c r="H486" s="20" t="s">
        <v>3797</v>
      </c>
      <c r="I486" s="3"/>
    </row>
    <row r="487" spans="1:11" ht="12.75" customHeight="1">
      <c r="A487" s="21"/>
      <c r="B487" s="22" t="s">
        <v>3730</v>
      </c>
      <c r="C487" s="23"/>
      <c r="D487" s="24"/>
      <c r="E487" s="25"/>
      <c r="F487" s="26"/>
      <c r="G487" s="27">
        <f>SUM(G488:G492)</f>
        <v>87810.802716664126</v>
      </c>
      <c r="H487" s="27">
        <f>IFERROR(G487*E485,"")</f>
        <v>0</v>
      </c>
      <c r="I487" s="3"/>
    </row>
    <row r="488" spans="1:11" ht="12.75" customHeight="1">
      <c r="A488" s="28"/>
      <c r="B488" s="29" t="s">
        <v>3150</v>
      </c>
      <c r="C488" s="30" t="str">
        <f>IFERROR(_xlfn.XLOOKUP(B488,Insumo[DESCRIPCION],Insumo[UND],,0),"")</f>
        <v>Un</v>
      </c>
      <c r="D488" s="31">
        <v>0.5</v>
      </c>
      <c r="E488" s="69">
        <f>IFERROR(_xlfn.XLOOKUP($B488,Insumo[DESCRIPCION],Insumo[VALOR],,0),"")</f>
        <v>136395</v>
      </c>
      <c r="F488" s="33"/>
      <c r="G488" s="34">
        <f>IFERROR(IF(F488&gt;=0,D488*E488*(1+F488/100),ABS(D488*E488/F488)),"")</f>
        <v>68197.5</v>
      </c>
      <c r="H488" s="43">
        <f>IFERROR(G488*E485,"")</f>
        <v>0</v>
      </c>
      <c r="I488" s="3"/>
    </row>
    <row r="489" spans="1:11" ht="12.75" customHeight="1">
      <c r="A489" s="28"/>
      <c r="B489" s="29" t="s">
        <v>2925</v>
      </c>
      <c r="C489" s="30" t="str">
        <f>IFERROR(_xlfn.XLOOKUP(B489,Insumo[DESCRIPCION],Insumo[UND],,0),"")</f>
        <v>Lt</v>
      </c>
      <c r="D489" s="31">
        <v>0.05</v>
      </c>
      <c r="E489" s="69">
        <f>IFERROR(_xlfn.XLOOKUP($B489,Insumo[DESCRIPCION],Insumo[VALOR],,0),"")</f>
        <v>28923.300000000003</v>
      </c>
      <c r="F489" s="33"/>
      <c r="G489" s="34">
        <f>IFERROR(IF(F489&gt;=0,D489*E489*(1+F489/100),ABS(D489*E489/F489)),"")</f>
        <v>1446.1650000000002</v>
      </c>
      <c r="H489" s="43">
        <f>IFERROR(G489*E485,"")</f>
        <v>0</v>
      </c>
      <c r="I489" s="3"/>
    </row>
    <row r="490" spans="1:11" ht="12.75" customHeight="1">
      <c r="A490" s="28"/>
      <c r="B490" s="29" t="s">
        <v>3204</v>
      </c>
      <c r="C490" s="30" t="str">
        <f>IFERROR(_xlfn.XLOOKUP(B490,Insumo[DESCRIPCION],Insumo[UND],,0),"")</f>
        <v>galón</v>
      </c>
      <c r="D490" s="31">
        <v>0.03</v>
      </c>
      <c r="E490" s="69">
        <f>IFERROR(_xlfn.XLOOKUP($B490,Insumo[DESCRIPCION],Insumo[VALOR],,0),"")</f>
        <v>107805.6</v>
      </c>
      <c r="F490" s="33"/>
      <c r="G490" s="34">
        <f>IFERROR(IF(F490&gt;=0,D490*E490*(1+F490/100),ABS(D490*E490/F490)),"")</f>
        <v>3234.1680000000001</v>
      </c>
      <c r="H490" s="43">
        <f>IFERROR(G490*E485,"")</f>
        <v>0</v>
      </c>
      <c r="I490" s="3"/>
    </row>
    <row r="491" spans="1:11" ht="12.75" customHeight="1">
      <c r="A491" s="28"/>
      <c r="B491" s="29" t="s">
        <v>3244</v>
      </c>
      <c r="C491" s="30" t="str">
        <f>IFERROR(_xlfn.XLOOKUP(B491,Insumo[DESCRIPCION],Insumo[UND],,0),"")</f>
        <v>M3</v>
      </c>
      <c r="D491" s="31">
        <v>0.03</v>
      </c>
      <c r="E491" s="69">
        <f>IFERROR(_xlfn.XLOOKUP($B491,Insumo[DESCRIPCION],Insumo[VALOR],,0),"")</f>
        <v>497765.65722213761</v>
      </c>
      <c r="F491" s="33"/>
      <c r="G491" s="34">
        <f>IFERROR(IF(F491&gt;=0,D491*E491*(1+F491/100),ABS(D491*E491/F491)),"")</f>
        <v>14932.969716664127</v>
      </c>
      <c r="H491" s="43">
        <f>IFERROR(G491*E485,"")</f>
        <v>0</v>
      </c>
      <c r="I491" s="3"/>
    </row>
    <row r="492" spans="1:11" ht="12.75" customHeight="1">
      <c r="A492" s="28"/>
      <c r="B492" s="29"/>
      <c r="C492" s="30" t="str">
        <f>IFERROR(_xlfn.XLOOKUP(B492,Insumo[DESCRIPCION],Insumo[UND],,0),"")</f>
        <v/>
      </c>
      <c r="D492" s="31"/>
      <c r="E492" s="32" t="str">
        <f>IFERROR(_xlfn.XLOOKUP($B492,Insumo[DESCRIPCION],Insumo[VALOR],,0),"")</f>
        <v/>
      </c>
      <c r="F492" s="33"/>
      <c r="G492" s="34" t="str">
        <f>IFERROR(IF(F492&gt;=0,D492*E492*(1+F492/100),ABS(D492*E492/F492)),"")</f>
        <v/>
      </c>
      <c r="H492" s="43" t="str">
        <f>IFERROR(G492*E485,"")</f>
        <v/>
      </c>
      <c r="I492" s="3"/>
    </row>
    <row r="493" spans="1:11" ht="12.75" customHeight="1">
      <c r="A493" s="21"/>
      <c r="B493" s="22" t="s">
        <v>3731</v>
      </c>
      <c r="C493" s="23"/>
      <c r="D493" s="24"/>
      <c r="E493" s="25"/>
      <c r="F493" s="26"/>
      <c r="G493" s="27">
        <f>SUM(G494:G496)</f>
        <v>1571.9537544750003</v>
      </c>
      <c r="H493" s="27">
        <f>IFERROR(G493*E485,"")</f>
        <v>0</v>
      </c>
      <c r="I493" s="3"/>
    </row>
    <row r="494" spans="1:11" ht="12.75" customHeight="1">
      <c r="A494" s="28"/>
      <c r="B494" s="29" t="s">
        <v>3626</v>
      </c>
      <c r="C494" s="30" t="str">
        <f>IFERROR(_xlfn.XLOOKUP(B494,Equipo[DESCRIPCION],Equipo[UND],,0),"")</f>
        <v>%MO</v>
      </c>
      <c r="D494" s="31">
        <v>0.05</v>
      </c>
      <c r="E494" s="32">
        <f>IF(C494="%MO",G500,IFERROR(_xlfn.XLOOKUP($B494,Equipo[DESCRIPCION],Equipo[VALOR],,0),""))</f>
        <v>31439.075089500006</v>
      </c>
      <c r="F494" s="33"/>
      <c r="G494" s="34">
        <f>IFERROR(IF(F494&gt;=0,D494*E494*(1+F494/100),ABS(D494*E494/F494)),"")</f>
        <v>1571.9537544750003</v>
      </c>
      <c r="H494" s="43">
        <f>IFERROR(G494*E485,"")</f>
        <v>0</v>
      </c>
      <c r="I494" s="3"/>
    </row>
    <row r="495" spans="1:11" ht="12.75" customHeight="1">
      <c r="A495" s="28"/>
      <c r="B495" s="29"/>
      <c r="C495" s="30" t="str">
        <f>IFERROR(_xlfn.XLOOKUP(B495,Equipo[DESCRIPCION],Equipo[UND],,0),"")</f>
        <v/>
      </c>
      <c r="D495" s="31"/>
      <c r="E495" s="32" t="str">
        <f>IF(C495="%MO",G500,IFERROR(_xlfn.XLOOKUP($B495,Equipo[DESCRIPCION],Equipo[VALOR],,0),""))</f>
        <v/>
      </c>
      <c r="F495" s="33"/>
      <c r="G495" s="34" t="str">
        <f>IFERROR(IF(F495&gt;=0,D495*E495*(1+F495/100),ABS(D495*E495/F495)),"")</f>
        <v/>
      </c>
      <c r="H495" s="43" t="str">
        <f>IFERROR(G495*E485,"")</f>
        <v/>
      </c>
      <c r="I495" s="3"/>
    </row>
    <row r="496" spans="1:11" ht="12.75" customHeight="1">
      <c r="A496" s="28"/>
      <c r="B496" s="29"/>
      <c r="C496" s="30" t="str">
        <f>IFERROR(_xlfn.XLOOKUP(B496,Equipo[DESCRIPCION],Equipo[UND],,0),"")</f>
        <v/>
      </c>
      <c r="D496" s="31"/>
      <c r="E496" s="32" t="str">
        <f>IF(C496="%MO",G500,IFERROR(_xlfn.XLOOKUP($B496,Equipo[DESCRIPCION],Equipo[VALOR],,0),""))</f>
        <v/>
      </c>
      <c r="F496" s="33"/>
      <c r="G496" s="34" t="str">
        <f>IFERROR(IF(F496&gt;=0,D496*E496*(1+F496/100),ABS(D496*E496/F496)),"")</f>
        <v/>
      </c>
      <c r="H496" s="43" t="str">
        <f>IFERROR(G496*E485,"")</f>
        <v/>
      </c>
      <c r="I496" s="3"/>
    </row>
    <row r="497" spans="1:11" ht="12.75" customHeight="1">
      <c r="A497" s="21"/>
      <c r="B497" s="22" t="s">
        <v>2533</v>
      </c>
      <c r="C497" s="23"/>
      <c r="D497" s="24"/>
      <c r="E497" s="25"/>
      <c r="F497" s="26"/>
      <c r="G497" s="27">
        <f>SUM(G498:G499)</f>
        <v>0</v>
      </c>
      <c r="H497" s="27">
        <f>IFERROR(G497*E485,"")</f>
        <v>0</v>
      </c>
      <c r="I497" s="3"/>
    </row>
    <row r="498" spans="1:11" ht="12.75" customHeight="1">
      <c r="A498" s="28"/>
      <c r="B498" s="29"/>
      <c r="C498" s="30" t="str">
        <f>IFERROR(_xlfn.XLOOKUP(B498,Transporte[DESCRIPCION],Transporte[UND],,0),"")</f>
        <v/>
      </c>
      <c r="D498" s="31"/>
      <c r="E498" s="32" t="str">
        <f>IFERROR(_xlfn.XLOOKUP($B498,Transporte[DESCRIPCION],Transporte[VALOR],,0),"")</f>
        <v/>
      </c>
      <c r="F498" s="33"/>
      <c r="G498" s="34" t="str">
        <f>IFERROR(IF(F498&gt;=0,D498*E498*(1+F498/100),ABS(D498*E498/F498)),"")</f>
        <v/>
      </c>
      <c r="H498" s="43" t="str">
        <f>IFERROR(G498*E485,"")</f>
        <v/>
      </c>
      <c r="I498" s="3"/>
    </row>
    <row r="499" spans="1:11" ht="12.75" customHeight="1">
      <c r="A499" s="28"/>
      <c r="B499" s="29"/>
      <c r="C499" s="30" t="str">
        <f>IFERROR(_xlfn.XLOOKUP(B499,Transporte[DESCRIPCION],Transporte[UND],,0),"")</f>
        <v/>
      </c>
      <c r="D499" s="31"/>
      <c r="E499" s="32" t="str">
        <f>IFERROR(_xlfn.XLOOKUP($B499,Transporte[DESCRIPCION],Transporte[VALOR],,0),"")</f>
        <v/>
      </c>
      <c r="F499" s="33"/>
      <c r="G499" s="34" t="str">
        <f>IFERROR(IF(F499&gt;=0,D499*E499*(1+F499/100),ABS(D499*E499/F499)),"")</f>
        <v/>
      </c>
      <c r="H499" s="43" t="str">
        <f>IFERROR(G499*E485,"")</f>
        <v/>
      </c>
      <c r="I499" s="3"/>
    </row>
    <row r="500" spans="1:11" ht="12.75" customHeight="1">
      <c r="A500" s="21"/>
      <c r="B500" s="22" t="s">
        <v>3732</v>
      </c>
      <c r="C500" s="23"/>
      <c r="D500" s="24"/>
      <c r="E500" s="25"/>
      <c r="F500" s="26"/>
      <c r="G500" s="27">
        <f>SUM(G501:G503)</f>
        <v>31439.075089500006</v>
      </c>
      <c r="H500" s="27">
        <f>IFERROR(G500*E485,"")</f>
        <v>0</v>
      </c>
      <c r="I500" s="3"/>
    </row>
    <row r="501" spans="1:11" ht="12.75" customHeight="1">
      <c r="A501" s="28"/>
      <c r="B501" s="29" t="s">
        <v>3710</v>
      </c>
      <c r="C501" s="30" t="str">
        <f>IFERROR(_xlfn.XLOOKUP(B501,MObra[DESCRIPCION],MObra[UN],,0),"")</f>
        <v>día</v>
      </c>
      <c r="D501" s="31">
        <v>1</v>
      </c>
      <c r="E501" s="32">
        <f>IFERROR(_xlfn.XLOOKUP($B501,MObra[DESCRIPCION],MObra[VALOR UNIT],,0),"")</f>
        <v>314390.75089500006</v>
      </c>
      <c r="F501" s="33">
        <v>-10</v>
      </c>
      <c r="G501" s="34">
        <f>IFERROR(IF(F501&gt;=0,D501*E501*(1+F501/100),ABS(D501*E501/F501)),"")</f>
        <v>31439.075089500006</v>
      </c>
      <c r="H501" s="43">
        <f>IFERROR(G501*E485,"")</f>
        <v>0</v>
      </c>
      <c r="I501" s="3"/>
    </row>
    <row r="502" spans="1:11" ht="12.75" customHeight="1">
      <c r="A502" s="28"/>
      <c r="B502" s="29"/>
      <c r="C502" s="30" t="str">
        <f>IFERROR(_xlfn.XLOOKUP(B502,MObra[DESCRIPCION],MObra[UN],,0),"")</f>
        <v/>
      </c>
      <c r="D502" s="31"/>
      <c r="E502" s="32" t="str">
        <f>IFERROR(_xlfn.XLOOKUP($B502,MObra[DESCRIPCION],MObra[VALOR UNIT],,0),"")</f>
        <v/>
      </c>
      <c r="F502" s="33"/>
      <c r="G502" s="34" t="str">
        <f>IFERROR(IF(F502&gt;=0,D502*E502*(1+F502/100),ABS(D502*E502/F502)),"")</f>
        <v/>
      </c>
      <c r="H502" s="43" t="str">
        <f>IFERROR(G502*E485,"")</f>
        <v/>
      </c>
      <c r="I502" s="3"/>
    </row>
    <row r="503" spans="1:11" ht="12.75" customHeight="1" thickBot="1">
      <c r="A503" s="35"/>
      <c r="B503" s="36"/>
      <c r="C503" s="37" t="str">
        <f>IFERROR(_xlfn.XLOOKUP(B503,MObra[DESCRIPCION],MObra[UN],,0),"")</f>
        <v/>
      </c>
      <c r="D503" s="38"/>
      <c r="E503" s="39" t="str">
        <f>IFERROR(_xlfn.XLOOKUP($B503,MObra[DESCRIPCION],MObra[VALOR UNIT],,0),"")</f>
        <v/>
      </c>
      <c r="F503" s="40"/>
      <c r="G503" s="41" t="str">
        <f>IFERROR(IF(F503&gt;=0,D503*E503*(1+F503/100),ABS(D503*E503/F503)),"")</f>
        <v/>
      </c>
      <c r="H503" s="42" t="str">
        <f>IFERROR(G503*E485,"")</f>
        <v/>
      </c>
      <c r="I503" s="3"/>
    </row>
    <row r="504" spans="1:11" ht="12.75" customHeight="1" thickTop="1" thickBot="1">
      <c r="I504" s="3"/>
    </row>
    <row r="505" spans="1:11" ht="12.75" customHeight="1" thickTop="1" thickBot="1">
      <c r="A505" s="6" t="s">
        <v>1605</v>
      </c>
      <c r="B505" s="7" t="str">
        <f>VLOOKUP($A505,Presupuesto!$A:$D,2,FALSE())</f>
        <v>Marco lámina C 20 sanitario</v>
      </c>
      <c r="C505" s="8" t="str">
        <f>VLOOKUP($A505,Presupuesto!$A:$D,3,FALSE())</f>
        <v>Un</v>
      </c>
      <c r="D505" s="9"/>
      <c r="E505" s="10">
        <f>VLOOKUP($A505,Presupuesto!$A:$D,4,FALSE())</f>
        <v>0</v>
      </c>
      <c r="F505" s="11" t="s">
        <v>2589</v>
      </c>
      <c r="G505" s="12">
        <f>SUM(G507:G523)/2</f>
        <v>169164.52948841773</v>
      </c>
      <c r="H505" s="13">
        <f>ROUND(SUM(H507:H523),0)/2</f>
        <v>0</v>
      </c>
      <c r="I505" s="10">
        <f>VLOOKUP(A505,Presupuesto!$A:$F,6,0)</f>
        <v>0</v>
      </c>
      <c r="J505" s="10">
        <f>+H505-I505</f>
        <v>0</v>
      </c>
      <c r="K505" s="46">
        <f>+H505-G505*E505</f>
        <v>0</v>
      </c>
    </row>
    <row r="506" spans="1:11" ht="12.75" customHeight="1" thickTop="1">
      <c r="A506" s="14"/>
      <c r="B506" s="15" t="s">
        <v>2586</v>
      </c>
      <c r="C506" s="15" t="s">
        <v>5</v>
      </c>
      <c r="D506" s="16" t="s">
        <v>6</v>
      </c>
      <c r="E506" s="17" t="s">
        <v>7</v>
      </c>
      <c r="F506" s="18" t="s">
        <v>3728</v>
      </c>
      <c r="G506" s="19" t="s">
        <v>3729</v>
      </c>
      <c r="H506" s="20" t="s">
        <v>3797</v>
      </c>
      <c r="I506" s="3"/>
    </row>
    <row r="507" spans="1:11" ht="12.75" customHeight="1">
      <c r="A507" s="21"/>
      <c r="B507" s="22" t="s">
        <v>3730</v>
      </c>
      <c r="C507" s="23"/>
      <c r="D507" s="24"/>
      <c r="E507" s="25"/>
      <c r="F507" s="26"/>
      <c r="G507" s="27">
        <f>SUM(G508:G512)</f>
        <v>136153.50064444277</v>
      </c>
      <c r="H507" s="27">
        <f>IFERROR(G507*E505,"")</f>
        <v>0</v>
      </c>
      <c r="I507" s="3"/>
    </row>
    <row r="508" spans="1:11" ht="12.75" customHeight="1">
      <c r="A508" s="28"/>
      <c r="B508" s="29" t="s">
        <v>3154</v>
      </c>
      <c r="C508" s="30" t="str">
        <f>IFERROR(_xlfn.XLOOKUP(B508,Insumo[DESCRIPCION],Insumo[UND],,0),"")</f>
        <v>Un</v>
      </c>
      <c r="D508" s="31">
        <v>1</v>
      </c>
      <c r="E508" s="32">
        <f>IFERROR(_xlfn.XLOOKUP($B508,Insumo[DESCRIPCION],Insumo[VALOR],,0),"")</f>
        <v>119346.15000000001</v>
      </c>
      <c r="F508" s="33"/>
      <c r="G508" s="34">
        <f>IFERROR(IF(F508&gt;=0,D508*E508*(1+F508/100),ABS(D508*E508/F508)),"")</f>
        <v>119346.15000000001</v>
      </c>
      <c r="H508" s="43">
        <f>IFERROR(G508*E505,"")</f>
        <v>0</v>
      </c>
      <c r="I508" s="3"/>
    </row>
    <row r="509" spans="1:11" ht="12.75" customHeight="1">
      <c r="A509" s="28"/>
      <c r="B509" s="29" t="s">
        <v>3244</v>
      </c>
      <c r="C509" s="30" t="str">
        <f>IFERROR(_xlfn.XLOOKUP(B509,Insumo[DESCRIPCION],Insumo[UND],,0),"")</f>
        <v>M3</v>
      </c>
      <c r="D509" s="31">
        <v>0.02</v>
      </c>
      <c r="E509" s="32">
        <f>IFERROR(_xlfn.XLOOKUP($B509,Insumo[DESCRIPCION],Insumo[VALOR],,0),"")</f>
        <v>497765.65722213761</v>
      </c>
      <c r="F509" s="33"/>
      <c r="G509" s="34">
        <f>IFERROR(IF(F509&gt;=0,D509*E509*(1+F509/100),ABS(D509*E509/F509)),"")</f>
        <v>9955.3131444427527</v>
      </c>
      <c r="H509" s="43">
        <f>IFERROR(G509*E505,"")</f>
        <v>0</v>
      </c>
      <c r="I509" s="3"/>
    </row>
    <row r="510" spans="1:11" ht="12.75" customHeight="1">
      <c r="A510" s="28"/>
      <c r="B510" s="29" t="s">
        <v>2708</v>
      </c>
      <c r="C510" s="30" t="str">
        <f>IFERROR(_xlfn.XLOOKUP(B510,Insumo[DESCRIPCION],Insumo[UND],,0),"")</f>
        <v>galón</v>
      </c>
      <c r="D510" s="31">
        <v>7.0000000000000007E-2</v>
      </c>
      <c r="E510" s="32">
        <f>IFERROR(_xlfn.XLOOKUP($B510,Insumo[DESCRIPCION],Insumo[VALOR],,0),"")</f>
        <v>97886.25</v>
      </c>
      <c r="F510" s="33"/>
      <c r="G510" s="34">
        <f>IFERROR(IF(F510&gt;=0,D510*E510*(1+F510/100),ABS(D510*E510/F510)),"")</f>
        <v>6852.0375000000004</v>
      </c>
      <c r="H510" s="43">
        <f>IFERROR(G510*E505,"")</f>
        <v>0</v>
      </c>
      <c r="I510" s="3"/>
    </row>
    <row r="511" spans="1:11" ht="12.75" customHeight="1">
      <c r="A511" s="28"/>
      <c r="B511" s="29"/>
      <c r="C511" s="30" t="str">
        <f>IFERROR(_xlfn.XLOOKUP(B511,Insumo[DESCRIPCION],Insumo[UND],,0),"")</f>
        <v/>
      </c>
      <c r="D511" s="31"/>
      <c r="E511" s="32" t="str">
        <f>IFERROR(_xlfn.XLOOKUP($B511,Insumo[DESCRIPCION],Insumo[VALOR],,0),"")</f>
        <v/>
      </c>
      <c r="F511" s="33"/>
      <c r="G511" s="34" t="str">
        <f>IFERROR(IF(F511&gt;=0,D511*E511*(1+F511/100),ABS(D511*E511/F511)),"")</f>
        <v/>
      </c>
      <c r="H511" s="43" t="str">
        <f>IFERROR(G511*E505,"")</f>
        <v/>
      </c>
      <c r="I511" s="3"/>
    </row>
    <row r="512" spans="1:11" ht="12.75" customHeight="1">
      <c r="A512" s="28"/>
      <c r="B512" s="29"/>
      <c r="C512" s="30" t="str">
        <f>IFERROR(_xlfn.XLOOKUP(B512,Insumo[DESCRIPCION],Insumo[UND],,0),"")</f>
        <v/>
      </c>
      <c r="D512" s="31"/>
      <c r="E512" s="32" t="str">
        <f>IFERROR(_xlfn.XLOOKUP($B512,Insumo[DESCRIPCION],Insumo[VALOR],,0),"")</f>
        <v/>
      </c>
      <c r="F512" s="33"/>
      <c r="G512" s="34" t="str">
        <f>IFERROR(IF(F512&gt;=0,D512*E512*(1+F512/100),ABS(D512*E512/F512)),"")</f>
        <v/>
      </c>
      <c r="H512" s="43" t="str">
        <f>IFERROR(G512*E505,"")</f>
        <v/>
      </c>
      <c r="I512" s="3"/>
    </row>
    <row r="513" spans="1:11" ht="12.75" customHeight="1">
      <c r="A513" s="21"/>
      <c r="B513" s="22" t="s">
        <v>3731</v>
      </c>
      <c r="C513" s="23"/>
      <c r="D513" s="24"/>
      <c r="E513" s="25"/>
      <c r="F513" s="26"/>
      <c r="G513" s="27">
        <f>SUM(G514:G516)</f>
        <v>1571.9537544750003</v>
      </c>
      <c r="H513" s="27">
        <f>IFERROR(G513*E505,"")</f>
        <v>0</v>
      </c>
      <c r="I513" s="3"/>
    </row>
    <row r="514" spans="1:11" ht="12.75" customHeight="1">
      <c r="A514" s="28"/>
      <c r="B514" s="29" t="s">
        <v>3626</v>
      </c>
      <c r="C514" s="30" t="str">
        <f>IFERROR(_xlfn.XLOOKUP(B514,Equipo[DESCRIPCION],Equipo[UND],,0),"")</f>
        <v>%MO</v>
      </c>
      <c r="D514" s="31">
        <v>0.05</v>
      </c>
      <c r="E514" s="32">
        <f>IF(C514="%MO",G520,IFERROR(_xlfn.XLOOKUP($B514,Equipo[DESCRIPCION],Equipo[VALOR],,0),""))</f>
        <v>31439.075089500006</v>
      </c>
      <c r="F514" s="33"/>
      <c r="G514" s="34">
        <f>IFERROR(IF(F514&gt;=0,D514*E514*(1+F514/100),ABS(D514*E514/F514)),"")</f>
        <v>1571.9537544750003</v>
      </c>
      <c r="H514" s="43">
        <f>IFERROR(G514*E505,"")</f>
        <v>0</v>
      </c>
      <c r="I514" s="3"/>
    </row>
    <row r="515" spans="1:11" ht="12.75" customHeight="1">
      <c r="A515" s="28"/>
      <c r="B515" s="29"/>
      <c r="C515" s="30" t="str">
        <f>IFERROR(_xlfn.XLOOKUP(B515,Equipo[DESCRIPCION],Equipo[UND],,0),"")</f>
        <v/>
      </c>
      <c r="D515" s="31"/>
      <c r="E515" s="32" t="str">
        <f>IF(C515="%MO",G520,IFERROR(_xlfn.XLOOKUP($B515,Equipo[DESCRIPCION],Equipo[VALOR],,0),""))</f>
        <v/>
      </c>
      <c r="F515" s="33"/>
      <c r="G515" s="34" t="str">
        <f>IFERROR(IF(F515&gt;=0,D515*E515*(1+F515/100),ABS(D515*E515/F515)),"")</f>
        <v/>
      </c>
      <c r="H515" s="43" t="str">
        <f>IFERROR(G515*E505,"")</f>
        <v/>
      </c>
      <c r="I515" s="3"/>
    </row>
    <row r="516" spans="1:11" ht="12.75" customHeight="1">
      <c r="A516" s="28"/>
      <c r="B516" s="29"/>
      <c r="C516" s="30" t="str">
        <f>IFERROR(_xlfn.XLOOKUP(B516,Equipo[DESCRIPCION],Equipo[UND],,0),"")</f>
        <v/>
      </c>
      <c r="D516" s="31"/>
      <c r="E516" s="32" t="str">
        <f>IF(C516="%MO",G520,IFERROR(_xlfn.XLOOKUP($B516,Equipo[DESCRIPCION],Equipo[VALOR],,0),""))</f>
        <v/>
      </c>
      <c r="F516" s="33"/>
      <c r="G516" s="34" t="str">
        <f>IFERROR(IF(F516&gt;=0,D516*E516*(1+F516/100),ABS(D516*E516/F516)),"")</f>
        <v/>
      </c>
      <c r="H516" s="43" t="str">
        <f>IFERROR(G516*E505,"")</f>
        <v/>
      </c>
      <c r="I516" s="3"/>
    </row>
    <row r="517" spans="1:11" ht="12.75" customHeight="1">
      <c r="A517" s="21"/>
      <c r="B517" s="22" t="s">
        <v>2533</v>
      </c>
      <c r="C517" s="23"/>
      <c r="D517" s="24"/>
      <c r="E517" s="25"/>
      <c r="F517" s="26"/>
      <c r="G517" s="27">
        <f>SUM(G518:G519)</f>
        <v>0</v>
      </c>
      <c r="H517" s="27">
        <f>IFERROR(G517*E505,"")</f>
        <v>0</v>
      </c>
      <c r="I517" s="3"/>
    </row>
    <row r="518" spans="1:11" ht="12.75" customHeight="1">
      <c r="A518" s="28"/>
      <c r="B518" s="29"/>
      <c r="C518" s="30" t="str">
        <f>IFERROR(_xlfn.XLOOKUP(B518,Transporte[DESCRIPCION],Transporte[UND],,0),"")</f>
        <v/>
      </c>
      <c r="D518" s="31"/>
      <c r="E518" s="32" t="str">
        <f>IFERROR(_xlfn.XLOOKUP($B518,Transporte[DESCRIPCION],Transporte[VALOR],,0),"")</f>
        <v/>
      </c>
      <c r="F518" s="33"/>
      <c r="G518" s="34" t="str">
        <f>IFERROR(IF(F518&gt;=0,D518*E518*(1+F518/100),ABS(D518*E518/F518)),"")</f>
        <v/>
      </c>
      <c r="H518" s="43" t="str">
        <f>IFERROR(G518*E505,"")</f>
        <v/>
      </c>
      <c r="I518" s="3"/>
    </row>
    <row r="519" spans="1:11" ht="12.75" customHeight="1">
      <c r="A519" s="28"/>
      <c r="B519" s="29"/>
      <c r="C519" s="30" t="str">
        <f>IFERROR(_xlfn.XLOOKUP(B519,Transporte[DESCRIPCION],Transporte[UND],,0),"")</f>
        <v/>
      </c>
      <c r="D519" s="31"/>
      <c r="E519" s="32" t="str">
        <f>IFERROR(_xlfn.XLOOKUP($B519,Transporte[DESCRIPCION],Transporte[VALOR],,0),"")</f>
        <v/>
      </c>
      <c r="F519" s="33"/>
      <c r="G519" s="34" t="str">
        <f>IFERROR(IF(F519&gt;=0,D519*E519*(1+F519/100),ABS(D519*E519/F519)),"")</f>
        <v/>
      </c>
      <c r="H519" s="43" t="str">
        <f>IFERROR(G519*E505,"")</f>
        <v/>
      </c>
      <c r="I519" s="3"/>
    </row>
    <row r="520" spans="1:11" ht="12.75" customHeight="1">
      <c r="A520" s="21"/>
      <c r="B520" s="22" t="s">
        <v>3732</v>
      </c>
      <c r="C520" s="23"/>
      <c r="D520" s="24"/>
      <c r="E520" s="25"/>
      <c r="F520" s="26"/>
      <c r="G520" s="27">
        <f>SUM(G521:G523)</f>
        <v>31439.075089500006</v>
      </c>
      <c r="H520" s="27">
        <f>IFERROR(G520*E505,"")</f>
        <v>0</v>
      </c>
      <c r="I520" s="3"/>
    </row>
    <row r="521" spans="1:11" ht="12.75" customHeight="1">
      <c r="A521" s="28"/>
      <c r="B521" s="29" t="s">
        <v>3710</v>
      </c>
      <c r="C521" s="30" t="str">
        <f>IFERROR(_xlfn.XLOOKUP(B521,MObra[DESCRIPCION],MObra[UN],,0),"")</f>
        <v>día</v>
      </c>
      <c r="D521" s="31">
        <v>1</v>
      </c>
      <c r="E521" s="32">
        <f>IFERROR(_xlfn.XLOOKUP($B521,MObra[DESCRIPCION],MObra[VALOR UNIT],,0),"")</f>
        <v>314390.75089500006</v>
      </c>
      <c r="F521" s="33">
        <v>-10</v>
      </c>
      <c r="G521" s="34">
        <f>IFERROR(IF(F521&gt;=0,D521*E521*(1+F521/100),ABS(D521*E521/F521)),"")</f>
        <v>31439.075089500006</v>
      </c>
      <c r="H521" s="43">
        <f>IFERROR(G521*E505,"")</f>
        <v>0</v>
      </c>
      <c r="I521" s="3"/>
    </row>
    <row r="522" spans="1:11" ht="12.75" customHeight="1">
      <c r="A522" s="28"/>
      <c r="B522" s="29"/>
      <c r="C522" s="30" t="str">
        <f>IFERROR(_xlfn.XLOOKUP(B522,MObra[DESCRIPCION],MObra[UN],,0),"")</f>
        <v/>
      </c>
      <c r="D522" s="31"/>
      <c r="E522" s="32" t="str">
        <f>IFERROR(_xlfn.XLOOKUP($B522,MObra[DESCRIPCION],MObra[VALOR UNIT],,0),"")</f>
        <v/>
      </c>
      <c r="F522" s="33"/>
      <c r="G522" s="34" t="str">
        <f>IFERROR(IF(F522&gt;=0,D522*E522*(1+F522/100),ABS(D522*E522/F522)),"")</f>
        <v/>
      </c>
      <c r="H522" s="43" t="str">
        <f>IFERROR(G522*E505,"")</f>
        <v/>
      </c>
      <c r="I522" s="3"/>
    </row>
    <row r="523" spans="1:11" ht="12.75" customHeight="1" thickBot="1">
      <c r="A523" s="35"/>
      <c r="B523" s="36"/>
      <c r="C523" s="37" t="str">
        <f>IFERROR(_xlfn.XLOOKUP(B523,MObra[DESCRIPCION],MObra[UN],,0),"")</f>
        <v/>
      </c>
      <c r="D523" s="38"/>
      <c r="E523" s="39" t="str">
        <f>IFERROR(_xlfn.XLOOKUP($B523,MObra[DESCRIPCION],MObra[VALOR UNIT],,0),"")</f>
        <v/>
      </c>
      <c r="F523" s="40"/>
      <c r="G523" s="41" t="str">
        <f>IFERROR(IF(F523&gt;=0,D523*E523*(1+F523/100),ABS(D523*E523/F523)),"")</f>
        <v/>
      </c>
      <c r="H523" s="42" t="str">
        <f>IFERROR(G523*E505,"")</f>
        <v/>
      </c>
      <c r="I523" s="3"/>
    </row>
    <row r="524" spans="1:11" ht="12.75" customHeight="1" thickTop="1" thickBot="1">
      <c r="I524" s="3"/>
    </row>
    <row r="525" spans="1:11" ht="12.75" customHeight="1" thickTop="1" thickBot="1">
      <c r="A525" s="6" t="s">
        <v>1607</v>
      </c>
      <c r="B525" s="7" t="str">
        <f>VLOOKUP($A525,Presupuesto!$A:$D,2,FALSE())</f>
        <v>Marco lámina C 20 0.00 - 0.11</v>
      </c>
      <c r="C525" s="8" t="str">
        <f>VLOOKUP($A525,Presupuesto!$A:$D,3,FALSE())</f>
        <v>Un</v>
      </c>
      <c r="D525" s="9"/>
      <c r="E525" s="10">
        <f>VLOOKUP($A525,Presupuesto!$A:$D,4,FALSE())</f>
        <v>0</v>
      </c>
      <c r="F525" s="11" t="s">
        <v>2589</v>
      </c>
      <c r="G525" s="12">
        <f>SUM(G527:G543)/2</f>
        <v>169365.07948841774</v>
      </c>
      <c r="H525" s="13">
        <f>ROUND(SUM(H527:H543),0)/2</f>
        <v>0</v>
      </c>
      <c r="I525" s="10">
        <f>VLOOKUP(A525,Presupuesto!$A:$F,6,0)</f>
        <v>0</v>
      </c>
      <c r="J525" s="10">
        <f>+H525-I525</f>
        <v>0</v>
      </c>
      <c r="K525" s="46">
        <f>+H525-G525*E525</f>
        <v>0</v>
      </c>
    </row>
    <row r="526" spans="1:11" ht="12.75" customHeight="1" thickTop="1">
      <c r="A526" s="14"/>
      <c r="B526" s="15" t="s">
        <v>2586</v>
      </c>
      <c r="C526" s="15" t="s">
        <v>5</v>
      </c>
      <c r="D526" s="16" t="s">
        <v>6</v>
      </c>
      <c r="E526" s="17" t="s">
        <v>7</v>
      </c>
      <c r="F526" s="18" t="s">
        <v>3728</v>
      </c>
      <c r="G526" s="19" t="s">
        <v>3729</v>
      </c>
      <c r="H526" s="20" t="s">
        <v>3797</v>
      </c>
      <c r="I526" s="3"/>
    </row>
    <row r="527" spans="1:11" ht="12.75" customHeight="1">
      <c r="A527" s="21"/>
      <c r="B527" s="22" t="s">
        <v>3730</v>
      </c>
      <c r="C527" s="23"/>
      <c r="D527" s="24"/>
      <c r="E527" s="25"/>
      <c r="F527" s="26"/>
      <c r="G527" s="27">
        <f>SUM(G528:G532)</f>
        <v>136354.05064444276</v>
      </c>
      <c r="H527" s="27">
        <f>IFERROR(G527*E525,"")</f>
        <v>0</v>
      </c>
      <c r="I527" s="3"/>
    </row>
    <row r="528" spans="1:11" ht="12.75" customHeight="1">
      <c r="A528" s="28"/>
      <c r="B528" s="29" t="s">
        <v>3151</v>
      </c>
      <c r="C528" s="30" t="str">
        <f>IFERROR(_xlfn.XLOOKUP(B528,Insumo[DESCRIPCION],Insumo[UND],,0),"")</f>
        <v>Un</v>
      </c>
      <c r="D528" s="31">
        <v>1</v>
      </c>
      <c r="E528" s="32">
        <f>IFERROR(_xlfn.XLOOKUP($B528,Insumo[DESCRIPCION],Insumo[VALOR],,0),"")</f>
        <v>119546.70000000001</v>
      </c>
      <c r="F528" s="33"/>
      <c r="G528" s="34">
        <f>IFERROR(IF(F528&gt;=0,D528*E528*(1+F528/100),ABS(D528*E528/F528)),"")</f>
        <v>119546.70000000001</v>
      </c>
      <c r="H528" s="43">
        <f>IFERROR(G528*E525,"")</f>
        <v>0</v>
      </c>
      <c r="I528" s="3"/>
    </row>
    <row r="529" spans="1:9" ht="12.75" customHeight="1">
      <c r="A529" s="28"/>
      <c r="B529" s="29" t="s">
        <v>3244</v>
      </c>
      <c r="C529" s="30" t="str">
        <f>IFERROR(_xlfn.XLOOKUP(B529,Insumo[DESCRIPCION],Insumo[UND],,0),"")</f>
        <v>M3</v>
      </c>
      <c r="D529" s="31">
        <v>0.02</v>
      </c>
      <c r="E529" s="32">
        <f>IFERROR(_xlfn.XLOOKUP($B529,Insumo[DESCRIPCION],Insumo[VALOR],,0),"")</f>
        <v>497765.65722213761</v>
      </c>
      <c r="F529" s="33"/>
      <c r="G529" s="34">
        <f>IFERROR(IF(F529&gt;=0,D529*E529*(1+F529/100),ABS(D529*E529/F529)),"")</f>
        <v>9955.3131444427527</v>
      </c>
      <c r="H529" s="43">
        <f>IFERROR(G529*E525,"")</f>
        <v>0</v>
      </c>
      <c r="I529" s="3"/>
    </row>
    <row r="530" spans="1:9" ht="12.75" customHeight="1">
      <c r="A530" s="28"/>
      <c r="B530" s="29" t="s">
        <v>2708</v>
      </c>
      <c r="C530" s="30" t="str">
        <f>IFERROR(_xlfn.XLOOKUP(B530,Insumo[DESCRIPCION],Insumo[UND],,0),"")</f>
        <v>galón</v>
      </c>
      <c r="D530" s="31">
        <v>7.0000000000000007E-2</v>
      </c>
      <c r="E530" s="32">
        <f>IFERROR(_xlfn.XLOOKUP($B530,Insumo[DESCRIPCION],Insumo[VALOR],,0),"")</f>
        <v>97886.25</v>
      </c>
      <c r="F530" s="33"/>
      <c r="G530" s="34">
        <f>IFERROR(IF(F530&gt;=0,D530*E530*(1+F530/100),ABS(D530*E530/F530)),"")</f>
        <v>6852.0375000000004</v>
      </c>
      <c r="H530" s="43">
        <f>IFERROR(G530*E525,"")</f>
        <v>0</v>
      </c>
      <c r="I530" s="3"/>
    </row>
    <row r="531" spans="1:9" ht="12.75" customHeight="1">
      <c r="A531" s="28"/>
      <c r="B531" s="29"/>
      <c r="C531" s="30" t="str">
        <f>IFERROR(_xlfn.XLOOKUP(B531,Insumo[DESCRIPCION],Insumo[UND],,0),"")</f>
        <v/>
      </c>
      <c r="D531" s="31"/>
      <c r="E531" s="32" t="str">
        <f>IFERROR(_xlfn.XLOOKUP($B531,Insumo[DESCRIPCION],Insumo[VALOR],,0),"")</f>
        <v/>
      </c>
      <c r="F531" s="33"/>
      <c r="G531" s="34" t="str">
        <f>IFERROR(IF(F531&gt;=0,D531*E531*(1+F531/100),ABS(D531*E531/F531)),"")</f>
        <v/>
      </c>
      <c r="H531" s="43" t="str">
        <f>IFERROR(G531*E525,"")</f>
        <v/>
      </c>
      <c r="I531" s="3"/>
    </row>
    <row r="532" spans="1:9" ht="12.75" customHeight="1">
      <c r="A532" s="28"/>
      <c r="B532" s="29"/>
      <c r="C532" s="30" t="str">
        <f>IFERROR(_xlfn.XLOOKUP(B532,Insumo[DESCRIPCION],Insumo[UND],,0),"")</f>
        <v/>
      </c>
      <c r="D532" s="31"/>
      <c r="E532" s="32" t="str">
        <f>IFERROR(_xlfn.XLOOKUP($B532,Insumo[DESCRIPCION],Insumo[VALOR],,0),"")</f>
        <v/>
      </c>
      <c r="F532" s="33"/>
      <c r="G532" s="34" t="str">
        <f>IFERROR(IF(F532&gt;=0,D532*E532*(1+F532/100),ABS(D532*E532/F532)),"")</f>
        <v/>
      </c>
      <c r="H532" s="43" t="str">
        <f>IFERROR(G532*E525,"")</f>
        <v/>
      </c>
      <c r="I532" s="3"/>
    </row>
    <row r="533" spans="1:9" ht="12.75" customHeight="1">
      <c r="A533" s="21"/>
      <c r="B533" s="22" t="s">
        <v>3731</v>
      </c>
      <c r="C533" s="23"/>
      <c r="D533" s="24"/>
      <c r="E533" s="25"/>
      <c r="F533" s="26"/>
      <c r="G533" s="27">
        <f>SUM(G534:G536)</f>
        <v>1571.9537544750003</v>
      </c>
      <c r="H533" s="27">
        <f>IFERROR(G533*E525,"")</f>
        <v>0</v>
      </c>
      <c r="I533" s="3"/>
    </row>
    <row r="534" spans="1:9" ht="12.75" customHeight="1">
      <c r="A534" s="28"/>
      <c r="B534" s="29" t="s">
        <v>3626</v>
      </c>
      <c r="C534" s="30" t="str">
        <f>IFERROR(_xlfn.XLOOKUP(B534,Equipo[DESCRIPCION],Equipo[UND],,0),"")</f>
        <v>%MO</v>
      </c>
      <c r="D534" s="31">
        <v>0.05</v>
      </c>
      <c r="E534" s="32">
        <f>IF(C534="%MO",G540,IFERROR(_xlfn.XLOOKUP($B534,Equipo[DESCRIPCION],Equipo[VALOR],,0),""))</f>
        <v>31439.075089500006</v>
      </c>
      <c r="F534" s="33"/>
      <c r="G534" s="34">
        <f>IFERROR(IF(F534&gt;=0,D534*E534*(1+F534/100),ABS(D534*E534/F534)),"")</f>
        <v>1571.9537544750003</v>
      </c>
      <c r="H534" s="43">
        <f>IFERROR(G534*E525,"")</f>
        <v>0</v>
      </c>
      <c r="I534" s="3"/>
    </row>
    <row r="535" spans="1:9" ht="12.75" customHeight="1">
      <c r="A535" s="28"/>
      <c r="B535" s="29"/>
      <c r="C535" s="30" t="str">
        <f>IFERROR(_xlfn.XLOOKUP(B535,Equipo[DESCRIPCION],Equipo[UND],,0),"")</f>
        <v/>
      </c>
      <c r="D535" s="31"/>
      <c r="E535" s="32" t="str">
        <f>IF(C535="%MO",G540,IFERROR(_xlfn.XLOOKUP($B535,Equipo[DESCRIPCION],Equipo[VALOR],,0),""))</f>
        <v/>
      </c>
      <c r="F535" s="33"/>
      <c r="G535" s="34" t="str">
        <f>IFERROR(IF(F535&gt;=0,D535*E535*(1+F535/100),ABS(D535*E535/F535)),"")</f>
        <v/>
      </c>
      <c r="H535" s="43" t="str">
        <f>IFERROR(G535*E525,"")</f>
        <v/>
      </c>
      <c r="I535" s="3"/>
    </row>
    <row r="536" spans="1:9" ht="12.75" customHeight="1">
      <c r="A536" s="28"/>
      <c r="B536" s="29"/>
      <c r="C536" s="30" t="str">
        <f>IFERROR(_xlfn.XLOOKUP(B536,Equipo[DESCRIPCION],Equipo[UND],,0),"")</f>
        <v/>
      </c>
      <c r="D536" s="31"/>
      <c r="E536" s="32" t="str">
        <f>IF(C536="%MO",G540,IFERROR(_xlfn.XLOOKUP($B536,Equipo[DESCRIPCION],Equipo[VALOR],,0),""))</f>
        <v/>
      </c>
      <c r="F536" s="33"/>
      <c r="G536" s="34" t="str">
        <f>IFERROR(IF(F536&gt;=0,D536*E536*(1+F536/100),ABS(D536*E536/F536)),"")</f>
        <v/>
      </c>
      <c r="H536" s="43" t="str">
        <f>IFERROR(G536*E525,"")</f>
        <v/>
      </c>
      <c r="I536" s="3"/>
    </row>
    <row r="537" spans="1:9" ht="12.75" customHeight="1">
      <c r="A537" s="21"/>
      <c r="B537" s="22" t="s">
        <v>2533</v>
      </c>
      <c r="C537" s="23"/>
      <c r="D537" s="24"/>
      <c r="E537" s="25"/>
      <c r="F537" s="26"/>
      <c r="G537" s="27">
        <f>SUM(G538:G539)</f>
        <v>0</v>
      </c>
      <c r="H537" s="27">
        <f>IFERROR(G537*E525,"")</f>
        <v>0</v>
      </c>
      <c r="I537" s="3"/>
    </row>
    <row r="538" spans="1:9" ht="12.75" customHeight="1">
      <c r="A538" s="28"/>
      <c r="B538" s="29"/>
      <c r="C538" s="30" t="str">
        <f>IFERROR(_xlfn.XLOOKUP(B538,Transporte[DESCRIPCION],Transporte[UND],,0),"")</f>
        <v/>
      </c>
      <c r="D538" s="31"/>
      <c r="E538" s="32" t="str">
        <f>IFERROR(_xlfn.XLOOKUP($B538,Transporte[DESCRIPCION],Transporte[VALOR],,0),"")</f>
        <v/>
      </c>
      <c r="F538" s="33"/>
      <c r="G538" s="34" t="str">
        <f>IFERROR(IF(F538&gt;=0,D538*E538*(1+F538/100),ABS(D538*E538/F538)),"")</f>
        <v/>
      </c>
      <c r="H538" s="43" t="str">
        <f>IFERROR(G538*E525,"")</f>
        <v/>
      </c>
      <c r="I538" s="3"/>
    </row>
    <row r="539" spans="1:9" ht="12.75" customHeight="1">
      <c r="A539" s="28"/>
      <c r="B539" s="29"/>
      <c r="C539" s="30" t="str">
        <f>IFERROR(_xlfn.XLOOKUP(B539,Transporte[DESCRIPCION],Transporte[UND],,0),"")</f>
        <v/>
      </c>
      <c r="D539" s="31"/>
      <c r="E539" s="32" t="str">
        <f>IFERROR(_xlfn.XLOOKUP($B539,Transporte[DESCRIPCION],Transporte[VALOR],,0),"")</f>
        <v/>
      </c>
      <c r="F539" s="33"/>
      <c r="G539" s="34" t="str">
        <f>IFERROR(IF(F539&gt;=0,D539*E539*(1+F539/100),ABS(D539*E539/F539)),"")</f>
        <v/>
      </c>
      <c r="H539" s="43" t="str">
        <f>IFERROR(G539*E525,"")</f>
        <v/>
      </c>
      <c r="I539" s="3"/>
    </row>
    <row r="540" spans="1:9" ht="12.75" customHeight="1">
      <c r="A540" s="21"/>
      <c r="B540" s="22" t="s">
        <v>3732</v>
      </c>
      <c r="C540" s="23"/>
      <c r="D540" s="24"/>
      <c r="E540" s="25"/>
      <c r="F540" s="26"/>
      <c r="G540" s="27">
        <f>SUM(G541:G543)</f>
        <v>31439.075089500006</v>
      </c>
      <c r="H540" s="27">
        <f>IFERROR(G540*E525,"")</f>
        <v>0</v>
      </c>
      <c r="I540" s="3"/>
    </row>
    <row r="541" spans="1:9" ht="12.75" customHeight="1">
      <c r="A541" s="28"/>
      <c r="B541" s="29" t="s">
        <v>3710</v>
      </c>
      <c r="C541" s="30" t="str">
        <f>IFERROR(_xlfn.XLOOKUP(B541,MObra[DESCRIPCION],MObra[UN],,0),"")</f>
        <v>día</v>
      </c>
      <c r="D541" s="31">
        <v>1</v>
      </c>
      <c r="E541" s="32">
        <f>IFERROR(_xlfn.XLOOKUP($B541,MObra[DESCRIPCION],MObra[VALOR UNIT],,0),"")</f>
        <v>314390.75089500006</v>
      </c>
      <c r="F541" s="33">
        <v>-10</v>
      </c>
      <c r="G541" s="34">
        <f>IFERROR(IF(F541&gt;=0,D541*E541*(1+F541/100),ABS(D541*E541/F541)),"")</f>
        <v>31439.075089500006</v>
      </c>
      <c r="H541" s="43">
        <f>IFERROR(G541*E525,"")</f>
        <v>0</v>
      </c>
      <c r="I541" s="3"/>
    </row>
    <row r="542" spans="1:9" ht="12.75" customHeight="1">
      <c r="A542" s="28"/>
      <c r="B542" s="29"/>
      <c r="C542" s="30" t="str">
        <f>IFERROR(_xlfn.XLOOKUP(B542,MObra[DESCRIPCION],MObra[UN],,0),"")</f>
        <v/>
      </c>
      <c r="D542" s="31"/>
      <c r="E542" s="32" t="str">
        <f>IFERROR(_xlfn.XLOOKUP($B542,MObra[DESCRIPCION],MObra[VALOR UNIT],,0),"")</f>
        <v/>
      </c>
      <c r="F542" s="33"/>
      <c r="G542" s="34" t="str">
        <f>IFERROR(IF(F542&gt;=0,D542*E542*(1+F542/100),ABS(D542*E542/F542)),"")</f>
        <v/>
      </c>
      <c r="H542" s="43" t="str">
        <f>IFERROR(G542*E525,"")</f>
        <v/>
      </c>
      <c r="I542" s="3"/>
    </row>
    <row r="543" spans="1:9" ht="12.75" customHeight="1" thickBot="1">
      <c r="A543" s="35"/>
      <c r="B543" s="36"/>
      <c r="C543" s="37" t="str">
        <f>IFERROR(_xlfn.XLOOKUP(B543,MObra[DESCRIPCION],MObra[UN],,0),"")</f>
        <v/>
      </c>
      <c r="D543" s="38"/>
      <c r="E543" s="39" t="str">
        <f>IFERROR(_xlfn.XLOOKUP($B543,MObra[DESCRIPCION],MObra[VALOR UNIT],,0),"")</f>
        <v/>
      </c>
      <c r="F543" s="40"/>
      <c r="G543" s="41" t="str">
        <f>IFERROR(IF(F543&gt;=0,D543*E543*(1+F543/100),ABS(D543*E543/F543)),"")</f>
        <v/>
      </c>
      <c r="H543" s="42" t="str">
        <f>IFERROR(G543*E525,"")</f>
        <v/>
      </c>
      <c r="I543" s="3"/>
    </row>
    <row r="544" spans="1:9" ht="12.75" customHeight="1" thickTop="1" thickBot="1">
      <c r="I544" s="3"/>
    </row>
    <row r="545" spans="1:11" ht="12.75" customHeight="1" thickTop="1" thickBot="1">
      <c r="A545" s="6" t="s">
        <v>1609</v>
      </c>
      <c r="B545" s="7" t="str">
        <f>VLOOKUP($A545,Presupuesto!$A:$D,2,FALSE())</f>
        <v>Marco lámina C 20 0.11 - 0.15</v>
      </c>
      <c r="C545" s="8" t="str">
        <f>VLOOKUP($A545,Presupuesto!$A:$D,3,FALSE())</f>
        <v>Un</v>
      </c>
      <c r="D545" s="9"/>
      <c r="E545" s="10">
        <f>VLOOKUP($A545,Presupuesto!$A:$D,4,FALSE())</f>
        <v>0</v>
      </c>
      <c r="F545" s="11" t="s">
        <v>2589</v>
      </c>
      <c r="G545" s="12">
        <f>SUM(G547:G563)/2</f>
        <v>180530.77948841773</v>
      </c>
      <c r="H545" s="13">
        <f>ROUND(SUM(H547:H563),0)/2</f>
        <v>0</v>
      </c>
      <c r="I545" s="10">
        <f>VLOOKUP(A545,Presupuesto!$A:$F,6,0)</f>
        <v>0</v>
      </c>
      <c r="J545" s="10">
        <f>+H545-I545</f>
        <v>0</v>
      </c>
      <c r="K545" s="46">
        <f>+H545-G545*E545</f>
        <v>0</v>
      </c>
    </row>
    <row r="546" spans="1:11" ht="12.75" customHeight="1" thickTop="1">
      <c r="A546" s="14"/>
      <c r="B546" s="15" t="s">
        <v>2586</v>
      </c>
      <c r="C546" s="15" t="s">
        <v>5</v>
      </c>
      <c r="D546" s="16" t="s">
        <v>6</v>
      </c>
      <c r="E546" s="17" t="s">
        <v>7</v>
      </c>
      <c r="F546" s="18" t="s">
        <v>3728</v>
      </c>
      <c r="G546" s="19" t="s">
        <v>3729</v>
      </c>
      <c r="H546" s="20" t="s">
        <v>3797</v>
      </c>
      <c r="I546" s="3"/>
    </row>
    <row r="547" spans="1:11" ht="12.75" customHeight="1">
      <c r="A547" s="21"/>
      <c r="B547" s="22" t="s">
        <v>3730</v>
      </c>
      <c r="C547" s="23"/>
      <c r="D547" s="24"/>
      <c r="E547" s="25"/>
      <c r="F547" s="26"/>
      <c r="G547" s="27">
        <f>SUM(G548:G552)</f>
        <v>147519.75064444277</v>
      </c>
      <c r="H547" s="27">
        <f>IFERROR(G547*E545,"")</f>
        <v>0</v>
      </c>
      <c r="I547" s="3"/>
    </row>
    <row r="548" spans="1:11" ht="12.75" customHeight="1">
      <c r="A548" s="28"/>
      <c r="B548" s="29" t="s">
        <v>3152</v>
      </c>
      <c r="C548" s="30" t="str">
        <f>IFERROR(_xlfn.XLOOKUP(B548,Insumo[DESCRIPCION],Insumo[UND],,0),"")</f>
        <v>Un</v>
      </c>
      <c r="D548" s="31">
        <v>1</v>
      </c>
      <c r="E548" s="32">
        <f>IFERROR(_xlfn.XLOOKUP($B548,Insumo[DESCRIPCION],Insumo[VALOR],,0),"")</f>
        <v>130712.40000000001</v>
      </c>
      <c r="F548" s="33"/>
      <c r="G548" s="34">
        <f>IFERROR(IF(F548&gt;=0,D548*E548*(1+F548/100),ABS(D548*E548/F548)),"")</f>
        <v>130712.40000000001</v>
      </c>
      <c r="H548" s="43">
        <f>IFERROR(G548*E545,"")</f>
        <v>0</v>
      </c>
      <c r="I548" s="3"/>
    </row>
    <row r="549" spans="1:11" ht="12.75" customHeight="1">
      <c r="A549" s="28"/>
      <c r="B549" s="29" t="s">
        <v>3244</v>
      </c>
      <c r="C549" s="30" t="str">
        <f>IFERROR(_xlfn.XLOOKUP(B549,Insumo[DESCRIPCION],Insumo[UND],,0),"")</f>
        <v>M3</v>
      </c>
      <c r="D549" s="31">
        <v>0.02</v>
      </c>
      <c r="E549" s="32">
        <f>IFERROR(_xlfn.XLOOKUP($B549,Insumo[DESCRIPCION],Insumo[VALOR],,0),"")</f>
        <v>497765.65722213761</v>
      </c>
      <c r="F549" s="33"/>
      <c r="G549" s="34">
        <f>IFERROR(IF(F549&gt;=0,D549*E549*(1+F549/100),ABS(D549*E549/F549)),"")</f>
        <v>9955.3131444427527</v>
      </c>
      <c r="H549" s="43">
        <f>IFERROR(G549*E545,"")</f>
        <v>0</v>
      </c>
      <c r="I549" s="3"/>
    </row>
    <row r="550" spans="1:11" ht="12.75" customHeight="1">
      <c r="A550" s="28"/>
      <c r="B550" s="29" t="s">
        <v>2708</v>
      </c>
      <c r="C550" s="30" t="str">
        <f>IFERROR(_xlfn.XLOOKUP(B550,Insumo[DESCRIPCION],Insumo[UND],,0),"")</f>
        <v>galón</v>
      </c>
      <c r="D550" s="31">
        <v>7.0000000000000007E-2</v>
      </c>
      <c r="E550" s="32">
        <f>IFERROR(_xlfn.XLOOKUP($B550,Insumo[DESCRIPCION],Insumo[VALOR],,0),"")</f>
        <v>97886.25</v>
      </c>
      <c r="F550" s="33"/>
      <c r="G550" s="34">
        <f>IFERROR(IF(F550&gt;=0,D550*E550*(1+F550/100),ABS(D550*E550/F550)),"")</f>
        <v>6852.0375000000004</v>
      </c>
      <c r="H550" s="43">
        <f>IFERROR(G550*E545,"")</f>
        <v>0</v>
      </c>
      <c r="I550" s="3"/>
    </row>
    <row r="551" spans="1:11" ht="12.75" customHeight="1">
      <c r="A551" s="28"/>
      <c r="B551" s="29"/>
      <c r="C551" s="30" t="str">
        <f>IFERROR(_xlfn.XLOOKUP(B551,Insumo[DESCRIPCION],Insumo[UND],,0),"")</f>
        <v/>
      </c>
      <c r="D551" s="31"/>
      <c r="E551" s="32" t="str">
        <f>IFERROR(_xlfn.XLOOKUP($B551,Insumo[DESCRIPCION],Insumo[VALOR],,0),"")</f>
        <v/>
      </c>
      <c r="F551" s="33"/>
      <c r="G551" s="34" t="str">
        <f>IFERROR(IF(F551&gt;=0,D551*E551*(1+F551/100),ABS(D551*E551/F551)),"")</f>
        <v/>
      </c>
      <c r="H551" s="43" t="str">
        <f>IFERROR(G551*E545,"")</f>
        <v/>
      </c>
      <c r="I551" s="3"/>
    </row>
    <row r="552" spans="1:11" ht="12.75" customHeight="1">
      <c r="A552" s="28"/>
      <c r="B552" s="29"/>
      <c r="C552" s="30" t="str">
        <f>IFERROR(_xlfn.XLOOKUP(B552,Insumo[DESCRIPCION],Insumo[UND],,0),"")</f>
        <v/>
      </c>
      <c r="D552" s="31"/>
      <c r="E552" s="32" t="str">
        <f>IFERROR(_xlfn.XLOOKUP($B552,Insumo[DESCRIPCION],Insumo[VALOR],,0),"")</f>
        <v/>
      </c>
      <c r="F552" s="33"/>
      <c r="G552" s="34" t="str">
        <f>IFERROR(IF(F552&gt;=0,D552*E552*(1+F552/100),ABS(D552*E552/F552)),"")</f>
        <v/>
      </c>
      <c r="H552" s="43" t="str">
        <f>IFERROR(G552*E545,"")</f>
        <v/>
      </c>
      <c r="I552" s="3"/>
    </row>
    <row r="553" spans="1:11" ht="12.75" customHeight="1">
      <c r="A553" s="21"/>
      <c r="B553" s="22" t="s">
        <v>3731</v>
      </c>
      <c r="C553" s="23"/>
      <c r="D553" s="24"/>
      <c r="E553" s="25"/>
      <c r="F553" s="26"/>
      <c r="G553" s="27">
        <f>SUM(G554:G556)</f>
        <v>1571.9537544750003</v>
      </c>
      <c r="H553" s="27">
        <f>IFERROR(G553*E545,"")</f>
        <v>0</v>
      </c>
      <c r="I553" s="3"/>
    </row>
    <row r="554" spans="1:11" ht="12.75" customHeight="1">
      <c r="A554" s="28"/>
      <c r="B554" s="29" t="s">
        <v>3626</v>
      </c>
      <c r="C554" s="30" t="str">
        <f>IFERROR(_xlfn.XLOOKUP(B554,Equipo[DESCRIPCION],Equipo[UND],,0),"")</f>
        <v>%MO</v>
      </c>
      <c r="D554" s="31">
        <v>0.05</v>
      </c>
      <c r="E554" s="32">
        <f>IF(C554="%MO",G560,IFERROR(_xlfn.XLOOKUP($B554,Equipo[DESCRIPCION],Equipo[VALOR],,0),""))</f>
        <v>31439.075089500006</v>
      </c>
      <c r="F554" s="33"/>
      <c r="G554" s="34">
        <f>IFERROR(IF(F554&gt;=0,D554*E554*(1+F554/100),ABS(D554*E554/F554)),"")</f>
        <v>1571.9537544750003</v>
      </c>
      <c r="H554" s="43">
        <f>IFERROR(G554*E545,"")</f>
        <v>0</v>
      </c>
      <c r="I554" s="3"/>
    </row>
    <row r="555" spans="1:11" ht="12.75" customHeight="1">
      <c r="A555" s="28"/>
      <c r="B555" s="29"/>
      <c r="C555" s="30" t="str">
        <f>IFERROR(_xlfn.XLOOKUP(B555,Equipo[DESCRIPCION],Equipo[UND],,0),"")</f>
        <v/>
      </c>
      <c r="D555" s="31"/>
      <c r="E555" s="32" t="str">
        <f>IF(C555="%MO",G560,IFERROR(_xlfn.XLOOKUP($B555,Equipo[DESCRIPCION],Equipo[VALOR],,0),""))</f>
        <v/>
      </c>
      <c r="F555" s="33"/>
      <c r="G555" s="34" t="str">
        <f>IFERROR(IF(F555&gt;=0,D555*E555*(1+F555/100),ABS(D555*E555/F555)),"")</f>
        <v/>
      </c>
      <c r="H555" s="43" t="str">
        <f>IFERROR(G555*E545,"")</f>
        <v/>
      </c>
      <c r="I555" s="3"/>
    </row>
    <row r="556" spans="1:11" ht="12.75" customHeight="1">
      <c r="A556" s="28"/>
      <c r="B556" s="29"/>
      <c r="C556" s="30" t="str">
        <f>IFERROR(_xlfn.XLOOKUP(B556,Equipo[DESCRIPCION],Equipo[UND],,0),"")</f>
        <v/>
      </c>
      <c r="D556" s="31"/>
      <c r="E556" s="32" t="str">
        <f>IF(C556="%MO",G560,IFERROR(_xlfn.XLOOKUP($B556,Equipo[DESCRIPCION],Equipo[VALOR],,0),""))</f>
        <v/>
      </c>
      <c r="F556" s="33"/>
      <c r="G556" s="34" t="str">
        <f>IFERROR(IF(F556&gt;=0,D556*E556*(1+F556/100),ABS(D556*E556/F556)),"")</f>
        <v/>
      </c>
      <c r="H556" s="43" t="str">
        <f>IFERROR(G556*E545,"")</f>
        <v/>
      </c>
      <c r="I556" s="3"/>
    </row>
    <row r="557" spans="1:11" ht="12.75" customHeight="1">
      <c r="A557" s="21"/>
      <c r="B557" s="22" t="s">
        <v>2533</v>
      </c>
      <c r="C557" s="23"/>
      <c r="D557" s="24"/>
      <c r="E557" s="25"/>
      <c r="F557" s="26"/>
      <c r="G557" s="27">
        <f>SUM(G558:G559)</f>
        <v>0</v>
      </c>
      <c r="H557" s="27">
        <f>IFERROR(G557*E545,"")</f>
        <v>0</v>
      </c>
      <c r="I557" s="3"/>
    </row>
    <row r="558" spans="1:11" ht="12.75" customHeight="1">
      <c r="A558" s="28"/>
      <c r="B558" s="29"/>
      <c r="C558" s="30" t="str">
        <f>IFERROR(_xlfn.XLOOKUP(B558,Transporte[DESCRIPCION],Transporte[UND],,0),"")</f>
        <v/>
      </c>
      <c r="D558" s="31"/>
      <c r="E558" s="32" t="str">
        <f>IFERROR(_xlfn.XLOOKUP($B558,Transporte[DESCRIPCION],Transporte[VALOR],,0),"")</f>
        <v/>
      </c>
      <c r="F558" s="33"/>
      <c r="G558" s="34" t="str">
        <f>IFERROR(IF(F558&gt;=0,D558*E558*(1+F558/100),ABS(D558*E558/F558)),"")</f>
        <v/>
      </c>
      <c r="H558" s="43" t="str">
        <f>IFERROR(G558*E545,"")</f>
        <v/>
      </c>
      <c r="I558" s="3"/>
    </row>
    <row r="559" spans="1:11" ht="12.75" customHeight="1">
      <c r="A559" s="28"/>
      <c r="B559" s="29"/>
      <c r="C559" s="30" t="str">
        <f>IFERROR(_xlfn.XLOOKUP(B559,Transporte[DESCRIPCION],Transporte[UND],,0),"")</f>
        <v/>
      </c>
      <c r="D559" s="31"/>
      <c r="E559" s="32" t="str">
        <f>IFERROR(_xlfn.XLOOKUP($B559,Transporte[DESCRIPCION],Transporte[VALOR],,0),"")</f>
        <v/>
      </c>
      <c r="F559" s="33"/>
      <c r="G559" s="34" t="str">
        <f>IFERROR(IF(F559&gt;=0,D559*E559*(1+F559/100),ABS(D559*E559/F559)),"")</f>
        <v/>
      </c>
      <c r="H559" s="43" t="str">
        <f>IFERROR(G559*E545,"")</f>
        <v/>
      </c>
      <c r="I559" s="3"/>
    </row>
    <row r="560" spans="1:11" ht="12.75" customHeight="1">
      <c r="A560" s="21"/>
      <c r="B560" s="22" t="s">
        <v>3732</v>
      </c>
      <c r="C560" s="23"/>
      <c r="D560" s="24"/>
      <c r="E560" s="25"/>
      <c r="F560" s="26"/>
      <c r="G560" s="27">
        <f>SUM(G561:G563)</f>
        <v>31439.075089500006</v>
      </c>
      <c r="H560" s="27">
        <f>IFERROR(G560*E545,"")</f>
        <v>0</v>
      </c>
      <c r="I560" s="3"/>
    </row>
    <row r="561" spans="1:11" ht="12.75" customHeight="1">
      <c r="A561" s="28"/>
      <c r="B561" s="29" t="s">
        <v>3710</v>
      </c>
      <c r="C561" s="30" t="str">
        <f>IFERROR(_xlfn.XLOOKUP(B561,MObra[DESCRIPCION],MObra[UN],,0),"")</f>
        <v>día</v>
      </c>
      <c r="D561" s="31">
        <v>1</v>
      </c>
      <c r="E561" s="32">
        <f>IFERROR(_xlfn.XLOOKUP($B561,MObra[DESCRIPCION],MObra[VALOR UNIT],,0),"")</f>
        <v>314390.75089500006</v>
      </c>
      <c r="F561" s="33">
        <v>-10</v>
      </c>
      <c r="G561" s="34">
        <f>IFERROR(IF(F561&gt;=0,D561*E561*(1+F561/100),ABS(D561*E561/F561)),"")</f>
        <v>31439.075089500006</v>
      </c>
      <c r="H561" s="43">
        <f>IFERROR(G561*E545,"")</f>
        <v>0</v>
      </c>
      <c r="I561" s="3"/>
    </row>
    <row r="562" spans="1:11" ht="12.75" customHeight="1">
      <c r="A562" s="28"/>
      <c r="B562" s="29"/>
      <c r="C562" s="30" t="str">
        <f>IFERROR(_xlfn.XLOOKUP(B562,MObra[DESCRIPCION],MObra[UN],,0),"")</f>
        <v/>
      </c>
      <c r="D562" s="31"/>
      <c r="E562" s="32" t="str">
        <f>IFERROR(_xlfn.XLOOKUP($B562,MObra[DESCRIPCION],MObra[VALOR UNIT],,0),"")</f>
        <v/>
      </c>
      <c r="F562" s="33"/>
      <c r="G562" s="34" t="str">
        <f>IFERROR(IF(F562&gt;=0,D562*E562*(1+F562/100),ABS(D562*E562/F562)),"")</f>
        <v/>
      </c>
      <c r="H562" s="43" t="str">
        <f>IFERROR(G562*E545,"")</f>
        <v/>
      </c>
      <c r="I562" s="3"/>
    </row>
    <row r="563" spans="1:11" ht="12.75" customHeight="1" thickBot="1">
      <c r="A563" s="35"/>
      <c r="B563" s="36"/>
      <c r="C563" s="37" t="str">
        <f>IFERROR(_xlfn.XLOOKUP(B563,MObra[DESCRIPCION],MObra[UN],,0),"")</f>
        <v/>
      </c>
      <c r="D563" s="38"/>
      <c r="E563" s="39" t="str">
        <f>IFERROR(_xlfn.XLOOKUP($B563,MObra[DESCRIPCION],MObra[VALOR UNIT],,0),"")</f>
        <v/>
      </c>
      <c r="F563" s="40"/>
      <c r="G563" s="41" t="str">
        <f>IFERROR(IF(F563&gt;=0,D563*E563*(1+F563/100),ABS(D563*E563/F563)),"")</f>
        <v/>
      </c>
      <c r="H563" s="42" t="str">
        <f>IFERROR(G563*E545,"")</f>
        <v/>
      </c>
      <c r="I563" s="3"/>
    </row>
    <row r="564" spans="1:11" ht="12.75" customHeight="1" thickTop="1" thickBot="1">
      <c r="I564" s="3"/>
    </row>
    <row r="565" spans="1:11" ht="12.75" customHeight="1" thickTop="1" thickBot="1">
      <c r="A565" s="6" t="s">
        <v>1611</v>
      </c>
      <c r="B565" s="7" t="str">
        <f>VLOOKUP($A565,Presupuesto!$A:$D,2,FALSE())</f>
        <v>Marco lamina C 20 0.16 - 0.20</v>
      </c>
      <c r="C565" s="8" t="str">
        <f>VLOOKUP($A565,Presupuesto!$A:$D,3,FALSE())</f>
        <v>Un</v>
      </c>
      <c r="D565" s="9"/>
      <c r="E565" s="10">
        <f>VLOOKUP($A565,Presupuesto!$A:$D,4,FALSE())</f>
        <v>0</v>
      </c>
      <c r="F565" s="11" t="s">
        <v>2589</v>
      </c>
      <c r="G565" s="12">
        <f>SUM(G567:G583)/2</f>
        <v>189322.42948841775</v>
      </c>
      <c r="H565" s="13">
        <f>ROUND(SUM(H567:H583),0)/2</f>
        <v>0</v>
      </c>
      <c r="I565" s="10">
        <f>VLOOKUP(A565,Presupuesto!$A:$F,6,0)</f>
        <v>0</v>
      </c>
      <c r="J565" s="10">
        <f>+H565-I565</f>
        <v>0</v>
      </c>
      <c r="K565" s="46">
        <f>+H565-G565*E565</f>
        <v>0</v>
      </c>
    </row>
    <row r="566" spans="1:11" ht="12.75" customHeight="1" thickTop="1">
      <c r="A566" s="14"/>
      <c r="B566" s="15" t="s">
        <v>2586</v>
      </c>
      <c r="C566" s="15" t="s">
        <v>5</v>
      </c>
      <c r="D566" s="16" t="s">
        <v>6</v>
      </c>
      <c r="E566" s="17" t="s">
        <v>7</v>
      </c>
      <c r="F566" s="18" t="s">
        <v>3728</v>
      </c>
      <c r="G566" s="19" t="s">
        <v>3729</v>
      </c>
      <c r="H566" s="20" t="s">
        <v>3797</v>
      </c>
      <c r="I566" s="3"/>
    </row>
    <row r="567" spans="1:11" ht="12.75" customHeight="1">
      <c r="A567" s="21"/>
      <c r="B567" s="22" t="s">
        <v>3730</v>
      </c>
      <c r="C567" s="23"/>
      <c r="D567" s="24"/>
      <c r="E567" s="25"/>
      <c r="F567" s="26"/>
      <c r="G567" s="27">
        <f>SUM(G568:G572)</f>
        <v>156311.40064444277</v>
      </c>
      <c r="H567" s="27">
        <f>IFERROR(G567*E565,"")</f>
        <v>0</v>
      </c>
      <c r="I567" s="3"/>
    </row>
    <row r="568" spans="1:11" ht="12.75" customHeight="1">
      <c r="A568" s="28"/>
      <c r="B568" s="29" t="s">
        <v>3153</v>
      </c>
      <c r="C568" s="30" t="str">
        <f>IFERROR(_xlfn.XLOOKUP(B568,Insumo[DESCRIPCION],Insumo[UND],,0),"")</f>
        <v>Un</v>
      </c>
      <c r="D568" s="31">
        <v>1</v>
      </c>
      <c r="E568" s="32">
        <f>IFERROR(_xlfn.XLOOKUP($B568,Insumo[DESCRIPCION],Insumo[VALOR],,0),"")</f>
        <v>139504.05000000002</v>
      </c>
      <c r="F568" s="33"/>
      <c r="G568" s="34">
        <f>IFERROR(IF(F568&gt;=0,D568*E568*(1+F568/100),ABS(D568*E568/F568)),"")</f>
        <v>139504.05000000002</v>
      </c>
      <c r="H568" s="43">
        <f>IFERROR(G568*E565,"")</f>
        <v>0</v>
      </c>
      <c r="I568" s="3"/>
    </row>
    <row r="569" spans="1:11" ht="12.75" customHeight="1">
      <c r="A569" s="28"/>
      <c r="B569" s="29" t="s">
        <v>3244</v>
      </c>
      <c r="C569" s="30" t="str">
        <f>IFERROR(_xlfn.XLOOKUP(B569,Insumo[DESCRIPCION],Insumo[UND],,0),"")</f>
        <v>M3</v>
      </c>
      <c r="D569" s="31">
        <v>0.02</v>
      </c>
      <c r="E569" s="32">
        <f>IFERROR(_xlfn.XLOOKUP($B569,Insumo[DESCRIPCION],Insumo[VALOR],,0),"")</f>
        <v>497765.65722213761</v>
      </c>
      <c r="F569" s="33"/>
      <c r="G569" s="34">
        <f>IFERROR(IF(F569&gt;=0,D569*E569*(1+F569/100),ABS(D569*E569/F569)),"")</f>
        <v>9955.3131444427527</v>
      </c>
      <c r="H569" s="43">
        <f>IFERROR(G569*E565,"")</f>
        <v>0</v>
      </c>
      <c r="I569" s="3"/>
    </row>
    <row r="570" spans="1:11" ht="12.75" customHeight="1">
      <c r="A570" s="28"/>
      <c r="B570" s="29" t="s">
        <v>2708</v>
      </c>
      <c r="C570" s="30" t="str">
        <f>IFERROR(_xlfn.XLOOKUP(B570,Insumo[DESCRIPCION],Insumo[UND],,0),"")</f>
        <v>galón</v>
      </c>
      <c r="D570" s="31">
        <v>7.0000000000000007E-2</v>
      </c>
      <c r="E570" s="32">
        <f>IFERROR(_xlfn.XLOOKUP($B570,Insumo[DESCRIPCION],Insumo[VALOR],,0),"")</f>
        <v>97886.25</v>
      </c>
      <c r="F570" s="33"/>
      <c r="G570" s="34">
        <f>IFERROR(IF(F570&gt;=0,D570*E570*(1+F570/100),ABS(D570*E570/F570)),"")</f>
        <v>6852.0375000000004</v>
      </c>
      <c r="H570" s="43">
        <f>IFERROR(G570*E565,"")</f>
        <v>0</v>
      </c>
      <c r="I570" s="3"/>
    </row>
    <row r="571" spans="1:11" ht="12.75" customHeight="1">
      <c r="A571" s="28"/>
      <c r="B571" s="29"/>
      <c r="C571" s="30" t="str">
        <f>IFERROR(_xlfn.XLOOKUP(B571,Insumo[DESCRIPCION],Insumo[UND],,0),"")</f>
        <v/>
      </c>
      <c r="D571" s="31"/>
      <c r="E571" s="32" t="str">
        <f>IFERROR(_xlfn.XLOOKUP($B571,Insumo[DESCRIPCION],Insumo[VALOR],,0),"")</f>
        <v/>
      </c>
      <c r="F571" s="33"/>
      <c r="G571" s="34" t="str">
        <f>IFERROR(IF(F571&gt;=0,D571*E571*(1+F571/100),ABS(D571*E571/F571)),"")</f>
        <v/>
      </c>
      <c r="H571" s="43" t="str">
        <f>IFERROR(G571*E565,"")</f>
        <v/>
      </c>
      <c r="I571" s="3"/>
    </row>
    <row r="572" spans="1:11" ht="12.75" customHeight="1">
      <c r="A572" s="28"/>
      <c r="B572" s="29"/>
      <c r="C572" s="30" t="str">
        <f>IFERROR(_xlfn.XLOOKUP(B572,Insumo[DESCRIPCION],Insumo[UND],,0),"")</f>
        <v/>
      </c>
      <c r="D572" s="31"/>
      <c r="E572" s="32" t="str">
        <f>IFERROR(_xlfn.XLOOKUP($B572,Insumo[DESCRIPCION],Insumo[VALOR],,0),"")</f>
        <v/>
      </c>
      <c r="F572" s="33"/>
      <c r="G572" s="34" t="str">
        <f>IFERROR(IF(F572&gt;=0,D572*E572*(1+F572/100),ABS(D572*E572/F572)),"")</f>
        <v/>
      </c>
      <c r="H572" s="43" t="str">
        <f>IFERROR(G572*E565,"")</f>
        <v/>
      </c>
      <c r="I572" s="3"/>
    </row>
    <row r="573" spans="1:11" ht="12.75" customHeight="1">
      <c r="A573" s="21"/>
      <c r="B573" s="22" t="s">
        <v>3731</v>
      </c>
      <c r="C573" s="23"/>
      <c r="D573" s="24"/>
      <c r="E573" s="25"/>
      <c r="F573" s="26"/>
      <c r="G573" s="27">
        <f>SUM(G574:G576)</f>
        <v>1571.9537544750003</v>
      </c>
      <c r="H573" s="27">
        <f>IFERROR(G573*E565,"")</f>
        <v>0</v>
      </c>
      <c r="I573" s="3"/>
    </row>
    <row r="574" spans="1:11" ht="12.75" customHeight="1">
      <c r="A574" s="28"/>
      <c r="B574" s="29" t="s">
        <v>3626</v>
      </c>
      <c r="C574" s="30" t="str">
        <f>IFERROR(_xlfn.XLOOKUP(B574,Equipo[DESCRIPCION],Equipo[UND],,0),"")</f>
        <v>%MO</v>
      </c>
      <c r="D574" s="31">
        <v>0.05</v>
      </c>
      <c r="E574" s="32">
        <f>IF(C574="%MO",G580,IFERROR(_xlfn.XLOOKUP($B574,Equipo[DESCRIPCION],Equipo[VALOR],,0),""))</f>
        <v>31439.075089500006</v>
      </c>
      <c r="F574" s="33"/>
      <c r="G574" s="34">
        <f>IFERROR(IF(F574&gt;=0,D574*E574*(1+F574/100),ABS(D574*E574/F574)),"")</f>
        <v>1571.9537544750003</v>
      </c>
      <c r="H574" s="43">
        <f>IFERROR(G574*E565,"")</f>
        <v>0</v>
      </c>
      <c r="I574" s="3"/>
    </row>
    <row r="575" spans="1:11" ht="12.75" customHeight="1">
      <c r="A575" s="28"/>
      <c r="B575" s="29"/>
      <c r="C575" s="30" t="str">
        <f>IFERROR(_xlfn.XLOOKUP(B575,Equipo[DESCRIPCION],Equipo[UND],,0),"")</f>
        <v/>
      </c>
      <c r="D575" s="31"/>
      <c r="E575" s="32" t="str">
        <f>IF(C575="%MO",G580,IFERROR(_xlfn.XLOOKUP($B575,Equipo[DESCRIPCION],Equipo[VALOR],,0),""))</f>
        <v/>
      </c>
      <c r="F575" s="33"/>
      <c r="G575" s="34" t="str">
        <f>IFERROR(IF(F575&gt;=0,D575*E575*(1+F575/100),ABS(D575*E575/F575)),"")</f>
        <v/>
      </c>
      <c r="H575" s="43" t="str">
        <f>IFERROR(G575*E565,"")</f>
        <v/>
      </c>
      <c r="I575" s="3"/>
    </row>
    <row r="576" spans="1:11" ht="12.75" customHeight="1">
      <c r="A576" s="28"/>
      <c r="B576" s="29"/>
      <c r="C576" s="30" t="str">
        <f>IFERROR(_xlfn.XLOOKUP(B576,Equipo[DESCRIPCION],Equipo[UND],,0),"")</f>
        <v/>
      </c>
      <c r="D576" s="31"/>
      <c r="E576" s="32" t="str">
        <f>IF(C576="%MO",G580,IFERROR(_xlfn.XLOOKUP($B576,Equipo[DESCRIPCION],Equipo[VALOR],,0),""))</f>
        <v/>
      </c>
      <c r="F576" s="33"/>
      <c r="G576" s="34" t="str">
        <f>IFERROR(IF(F576&gt;=0,D576*E576*(1+F576/100),ABS(D576*E576/F576)),"")</f>
        <v/>
      </c>
      <c r="H576" s="43" t="str">
        <f>IFERROR(G576*E565,"")</f>
        <v/>
      </c>
      <c r="I576" s="3"/>
    </row>
    <row r="577" spans="1:11" ht="12.75" customHeight="1">
      <c r="A577" s="21"/>
      <c r="B577" s="22" t="s">
        <v>2533</v>
      </c>
      <c r="C577" s="23"/>
      <c r="D577" s="24"/>
      <c r="E577" s="25"/>
      <c r="F577" s="26"/>
      <c r="G577" s="27">
        <f>SUM(G578:G579)</f>
        <v>0</v>
      </c>
      <c r="H577" s="27">
        <f>IFERROR(G577*E565,"")</f>
        <v>0</v>
      </c>
      <c r="I577" s="3"/>
    </row>
    <row r="578" spans="1:11" ht="12.75" customHeight="1">
      <c r="A578" s="28"/>
      <c r="B578" s="29"/>
      <c r="C578" s="30" t="str">
        <f>IFERROR(_xlfn.XLOOKUP(B578,Transporte[DESCRIPCION],Transporte[UND],,0),"")</f>
        <v/>
      </c>
      <c r="D578" s="31"/>
      <c r="E578" s="32" t="str">
        <f>IFERROR(_xlfn.XLOOKUP($B578,Transporte[DESCRIPCION],Transporte[VALOR],,0),"")</f>
        <v/>
      </c>
      <c r="F578" s="33"/>
      <c r="G578" s="34" t="str">
        <f>IFERROR(IF(F578&gt;=0,D578*E578*(1+F578/100),ABS(D578*E578/F578)),"")</f>
        <v/>
      </c>
      <c r="H578" s="43" t="str">
        <f>IFERROR(G578*E565,"")</f>
        <v/>
      </c>
      <c r="I578" s="3"/>
    </row>
    <row r="579" spans="1:11" ht="12.75" customHeight="1">
      <c r="A579" s="28"/>
      <c r="B579" s="29"/>
      <c r="C579" s="30" t="str">
        <f>IFERROR(_xlfn.XLOOKUP(B579,Transporte[DESCRIPCION],Transporte[UND],,0),"")</f>
        <v/>
      </c>
      <c r="D579" s="31"/>
      <c r="E579" s="32" t="str">
        <f>IFERROR(_xlfn.XLOOKUP($B579,Transporte[DESCRIPCION],Transporte[VALOR],,0),"")</f>
        <v/>
      </c>
      <c r="F579" s="33"/>
      <c r="G579" s="34" t="str">
        <f>IFERROR(IF(F579&gt;=0,D579*E579*(1+F579/100),ABS(D579*E579/F579)),"")</f>
        <v/>
      </c>
      <c r="H579" s="43" t="str">
        <f>IFERROR(G579*E565,"")</f>
        <v/>
      </c>
      <c r="I579" s="3"/>
    </row>
    <row r="580" spans="1:11" ht="12.75" customHeight="1">
      <c r="A580" s="21"/>
      <c r="B580" s="22" t="s">
        <v>3732</v>
      </c>
      <c r="C580" s="23"/>
      <c r="D580" s="24"/>
      <c r="E580" s="25"/>
      <c r="F580" s="26"/>
      <c r="G580" s="27">
        <f>SUM(G581:G583)</f>
        <v>31439.075089500006</v>
      </c>
      <c r="H580" s="27">
        <f>IFERROR(G580*E565,"")</f>
        <v>0</v>
      </c>
      <c r="I580" s="3"/>
    </row>
    <row r="581" spans="1:11" ht="12.75" customHeight="1">
      <c r="A581" s="28"/>
      <c r="B581" s="29" t="s">
        <v>3710</v>
      </c>
      <c r="C581" s="30" t="str">
        <f>IFERROR(_xlfn.XLOOKUP(B581,MObra[DESCRIPCION],MObra[UN],,0),"")</f>
        <v>día</v>
      </c>
      <c r="D581" s="31">
        <v>1</v>
      </c>
      <c r="E581" s="32">
        <f>IFERROR(_xlfn.XLOOKUP($B581,MObra[DESCRIPCION],MObra[VALOR UNIT],,0),"")</f>
        <v>314390.75089500006</v>
      </c>
      <c r="F581" s="33">
        <v>-10</v>
      </c>
      <c r="G581" s="34">
        <f>IFERROR(IF(F581&gt;=0,D581*E581*(1+F581/100),ABS(D581*E581/F581)),"")</f>
        <v>31439.075089500006</v>
      </c>
      <c r="H581" s="43">
        <f>IFERROR(G581*E565,"")</f>
        <v>0</v>
      </c>
      <c r="I581" s="3"/>
    </row>
    <row r="582" spans="1:11" ht="12.75" customHeight="1">
      <c r="A582" s="28"/>
      <c r="B582" s="29"/>
      <c r="C582" s="30" t="str">
        <f>IFERROR(_xlfn.XLOOKUP(B582,MObra[DESCRIPCION],MObra[UN],,0),"")</f>
        <v/>
      </c>
      <c r="D582" s="31"/>
      <c r="E582" s="32" t="str">
        <f>IFERROR(_xlfn.XLOOKUP($B582,MObra[DESCRIPCION],MObra[VALOR UNIT],,0),"")</f>
        <v/>
      </c>
      <c r="F582" s="33"/>
      <c r="G582" s="34" t="str">
        <f>IFERROR(IF(F582&gt;=0,D582*E582*(1+F582/100),ABS(D582*E582/F582)),"")</f>
        <v/>
      </c>
      <c r="H582" s="43" t="str">
        <f>IFERROR(G582*E565,"")</f>
        <v/>
      </c>
      <c r="I582" s="3"/>
    </row>
    <row r="583" spans="1:11" ht="12.75" customHeight="1" thickBot="1">
      <c r="A583" s="35"/>
      <c r="B583" s="36"/>
      <c r="C583" s="37" t="str">
        <f>IFERROR(_xlfn.XLOOKUP(B583,MObra[DESCRIPCION],MObra[UN],,0),"")</f>
        <v/>
      </c>
      <c r="D583" s="38"/>
      <c r="E583" s="39" t="str">
        <f>IFERROR(_xlfn.XLOOKUP($B583,MObra[DESCRIPCION],MObra[VALOR UNIT],,0),"")</f>
        <v/>
      </c>
      <c r="F583" s="40"/>
      <c r="G583" s="41" t="str">
        <f>IFERROR(IF(F583&gt;=0,D583*E583*(1+F583/100),ABS(D583*E583/F583)),"")</f>
        <v/>
      </c>
      <c r="H583" s="42" t="str">
        <f>IFERROR(G583*E565,"")</f>
        <v/>
      </c>
      <c r="I583" s="3"/>
    </row>
    <row r="584" spans="1:11" ht="12.75" customHeight="1" thickTop="1" thickBot="1">
      <c r="I584" s="3"/>
    </row>
    <row r="585" spans="1:11" ht="12.75" customHeight="1" thickTop="1" thickBot="1">
      <c r="A585" s="6" t="s">
        <v>1613</v>
      </c>
      <c r="B585" s="7" t="str">
        <f>VLOOKUP($A585,Presupuesto!$A:$D,2,FALSE())</f>
        <v>Marco ventana metálica C 22 + anticorrosivo</v>
      </c>
      <c r="C585" s="8" t="str">
        <f>VLOOKUP($A585,Presupuesto!$A:$D,3,FALSE())</f>
        <v>M</v>
      </c>
      <c r="D585" s="9"/>
      <c r="E585" s="10">
        <f>VLOOKUP($A585,Presupuesto!$A:$D,4,FALSE())</f>
        <v>0</v>
      </c>
      <c r="F585" s="11" t="s">
        <v>2589</v>
      </c>
      <c r="G585" s="12">
        <f>SUM(G587:G603)/2</f>
        <v>93988.941421987489</v>
      </c>
      <c r="H585" s="13">
        <f>ROUND(SUM(H587:H603),0)/2</f>
        <v>0</v>
      </c>
      <c r="I585" s="10">
        <f>VLOOKUP(A585,Presupuesto!$A:$F,6,0)</f>
        <v>0</v>
      </c>
      <c r="J585" s="10">
        <f>+H585-I585</f>
        <v>0</v>
      </c>
      <c r="K585" s="46">
        <f>+H585-G585*E585</f>
        <v>0</v>
      </c>
    </row>
    <row r="586" spans="1:11" ht="12.75" customHeight="1" thickTop="1">
      <c r="A586" s="14"/>
      <c r="B586" s="15" t="s">
        <v>2586</v>
      </c>
      <c r="C586" s="15" t="s">
        <v>5</v>
      </c>
      <c r="D586" s="16" t="s">
        <v>6</v>
      </c>
      <c r="E586" s="17" t="s">
        <v>7</v>
      </c>
      <c r="F586" s="18" t="s">
        <v>3728</v>
      </c>
      <c r="G586" s="19" t="s">
        <v>3729</v>
      </c>
      <c r="H586" s="20" t="s">
        <v>3797</v>
      </c>
      <c r="I586" s="3"/>
    </row>
    <row r="587" spans="1:11" ht="12.75" customHeight="1">
      <c r="A587" s="21"/>
      <c r="B587" s="22" t="s">
        <v>3730</v>
      </c>
      <c r="C587" s="23"/>
      <c r="D587" s="24"/>
      <c r="E587" s="25"/>
      <c r="F587" s="26"/>
      <c r="G587" s="27">
        <f>SUM(G588:G592)</f>
        <v>77483.426999999996</v>
      </c>
      <c r="H587" s="27">
        <f>IFERROR(G587*E585,"")</f>
        <v>0</v>
      </c>
      <c r="I587" s="3"/>
    </row>
    <row r="588" spans="1:11" ht="12.75" customHeight="1">
      <c r="A588" s="28"/>
      <c r="B588" s="29" t="s">
        <v>3155</v>
      </c>
      <c r="C588" s="30" t="str">
        <f>IFERROR(_xlfn.XLOOKUP(B588,Insumo[DESCRIPCION],Insumo[UND],,0),"")</f>
        <v>M</v>
      </c>
      <c r="D588" s="31">
        <v>1</v>
      </c>
      <c r="E588" s="32">
        <f>IFERROR(_xlfn.XLOOKUP($B588,Insumo[DESCRIPCION],Insumo[VALOR],,0),"")</f>
        <v>73881.150000000009</v>
      </c>
      <c r="F588" s="33"/>
      <c r="G588" s="34">
        <f>IFERROR(IF(F588&gt;=0,D588*E588*(1+F588/100),ABS(D588*E588/F588)),"")</f>
        <v>73881.150000000009</v>
      </c>
      <c r="H588" s="43">
        <f>IFERROR(G588*E585,"")</f>
        <v>0</v>
      </c>
      <c r="I588" s="3"/>
    </row>
    <row r="589" spans="1:11" ht="12.75" customHeight="1">
      <c r="A589" s="28"/>
      <c r="B589" s="29" t="s">
        <v>2925</v>
      </c>
      <c r="C589" s="30" t="str">
        <f>IFERROR(_xlfn.XLOOKUP(B589,Insumo[DESCRIPCION],Insumo[UND],,0),"")</f>
        <v>Lt</v>
      </c>
      <c r="D589" s="31">
        <v>0.05</v>
      </c>
      <c r="E589" s="32">
        <f>IFERROR(_xlfn.XLOOKUP($B589,Insumo[DESCRIPCION],Insumo[VALOR],,0),"")</f>
        <v>28923.300000000003</v>
      </c>
      <c r="F589" s="33"/>
      <c r="G589" s="34">
        <f>IFERROR(IF(F589&gt;=0,D589*E589*(1+F589/100),ABS(D589*E589/F589)),"")</f>
        <v>1446.1650000000002</v>
      </c>
      <c r="H589" s="43">
        <f>IFERROR(G589*E585,"")</f>
        <v>0</v>
      </c>
      <c r="I589" s="3"/>
    </row>
    <row r="590" spans="1:11" ht="12.75" customHeight="1">
      <c r="A590" s="28"/>
      <c r="B590" s="29" t="s">
        <v>3204</v>
      </c>
      <c r="C590" s="30" t="str">
        <f>IFERROR(_xlfn.XLOOKUP(B590,Insumo[DESCRIPCION],Insumo[UND],,0),"")</f>
        <v>galón</v>
      </c>
      <c r="D590" s="31">
        <v>0.02</v>
      </c>
      <c r="E590" s="32">
        <f>IFERROR(_xlfn.XLOOKUP($B590,Insumo[DESCRIPCION],Insumo[VALOR],,0),"")</f>
        <v>107805.6</v>
      </c>
      <c r="F590" s="33"/>
      <c r="G590" s="34">
        <f>IFERROR(IF(F590&gt;=0,D590*E590*(1+F590/100),ABS(D590*E590/F590)),"")</f>
        <v>2156.1120000000001</v>
      </c>
      <c r="H590" s="43">
        <f>IFERROR(G590*E585,"")</f>
        <v>0</v>
      </c>
      <c r="I590" s="3"/>
    </row>
    <row r="591" spans="1:11" ht="12.75" customHeight="1">
      <c r="A591" s="28"/>
      <c r="B591" s="29"/>
      <c r="C591" s="30" t="str">
        <f>IFERROR(_xlfn.XLOOKUP(B591,Insumo[DESCRIPCION],Insumo[UND],,0),"")</f>
        <v/>
      </c>
      <c r="D591" s="31"/>
      <c r="E591" s="32" t="str">
        <f>IFERROR(_xlfn.XLOOKUP($B591,Insumo[DESCRIPCION],Insumo[VALOR],,0),"")</f>
        <v/>
      </c>
      <c r="F591" s="33"/>
      <c r="G591" s="34" t="str">
        <f>IFERROR(IF(F591&gt;=0,D591*E591*(1+F591/100),ABS(D591*E591/F591)),"")</f>
        <v/>
      </c>
      <c r="H591" s="43" t="str">
        <f>IFERROR(G591*E585,"")</f>
        <v/>
      </c>
      <c r="I591" s="3"/>
    </row>
    <row r="592" spans="1:11" ht="12.75" customHeight="1">
      <c r="A592" s="28"/>
      <c r="B592" s="29"/>
      <c r="C592" s="30" t="str">
        <f>IFERROR(_xlfn.XLOOKUP(B592,Insumo[DESCRIPCION],Insumo[UND],,0),"")</f>
        <v/>
      </c>
      <c r="D592" s="31"/>
      <c r="E592" s="32" t="str">
        <f>IFERROR(_xlfn.XLOOKUP($B592,Insumo[DESCRIPCION],Insumo[VALOR],,0),"")</f>
        <v/>
      </c>
      <c r="F592" s="33"/>
      <c r="G592" s="34" t="str">
        <f>IFERROR(IF(F592&gt;=0,D592*E592*(1+F592/100),ABS(D592*E592/F592)),"")</f>
        <v/>
      </c>
      <c r="H592" s="43" t="str">
        <f>IFERROR(G592*E585,"")</f>
        <v/>
      </c>
      <c r="I592" s="3"/>
    </row>
    <row r="593" spans="1:11" ht="12.75" customHeight="1">
      <c r="A593" s="21"/>
      <c r="B593" s="22" t="s">
        <v>3731</v>
      </c>
      <c r="C593" s="23"/>
      <c r="D593" s="24"/>
      <c r="E593" s="25"/>
      <c r="F593" s="26"/>
      <c r="G593" s="27">
        <f>SUM(G594:G596)</f>
        <v>785.97687723750016</v>
      </c>
      <c r="H593" s="27">
        <f>IFERROR(G593*E585,"")</f>
        <v>0</v>
      </c>
      <c r="I593" s="3"/>
    </row>
    <row r="594" spans="1:11" ht="12.75" customHeight="1">
      <c r="A594" s="28"/>
      <c r="B594" s="29" t="s">
        <v>3626</v>
      </c>
      <c r="C594" s="30" t="str">
        <f>IFERROR(_xlfn.XLOOKUP(B594,Equipo[DESCRIPCION],Equipo[UND],,0),"")</f>
        <v>%MO</v>
      </c>
      <c r="D594" s="31">
        <v>0.05</v>
      </c>
      <c r="E594" s="32">
        <f>IF(C594="%MO",G600,IFERROR(_xlfn.XLOOKUP($B594,Equipo[DESCRIPCION],Equipo[VALOR],,0),""))</f>
        <v>15719.537544750003</v>
      </c>
      <c r="F594" s="33"/>
      <c r="G594" s="34">
        <f>IFERROR(IF(F594&gt;=0,D594*E594*(1+F594/100),ABS(D594*E594/F594)),"")</f>
        <v>785.97687723750016</v>
      </c>
      <c r="H594" s="43">
        <f>IFERROR(G594*E585,"")</f>
        <v>0</v>
      </c>
      <c r="I594" s="3"/>
    </row>
    <row r="595" spans="1:11" ht="12.75" customHeight="1">
      <c r="A595" s="28"/>
      <c r="B595" s="29"/>
      <c r="C595" s="30" t="str">
        <f>IFERROR(_xlfn.XLOOKUP(B595,Equipo[DESCRIPCION],Equipo[UND],,0),"")</f>
        <v/>
      </c>
      <c r="D595" s="31"/>
      <c r="E595" s="32" t="str">
        <f>IF(C595="%MO",G600,IFERROR(_xlfn.XLOOKUP($B595,Equipo[DESCRIPCION],Equipo[VALOR],,0),""))</f>
        <v/>
      </c>
      <c r="F595" s="33"/>
      <c r="G595" s="34" t="str">
        <f>IFERROR(IF(F595&gt;=0,D595*E595*(1+F595/100),ABS(D595*E595/F595)),"")</f>
        <v/>
      </c>
      <c r="H595" s="43" t="str">
        <f>IFERROR(G595*E585,"")</f>
        <v/>
      </c>
      <c r="I595" s="3"/>
    </row>
    <row r="596" spans="1:11" ht="12.75" customHeight="1">
      <c r="A596" s="28"/>
      <c r="B596" s="29"/>
      <c r="C596" s="30" t="str">
        <f>IFERROR(_xlfn.XLOOKUP(B596,Equipo[DESCRIPCION],Equipo[UND],,0),"")</f>
        <v/>
      </c>
      <c r="D596" s="31"/>
      <c r="E596" s="32" t="str">
        <f>IF(C596="%MO",G600,IFERROR(_xlfn.XLOOKUP($B596,Equipo[DESCRIPCION],Equipo[VALOR],,0),""))</f>
        <v/>
      </c>
      <c r="F596" s="33"/>
      <c r="G596" s="34" t="str">
        <f>IFERROR(IF(F596&gt;=0,D596*E596*(1+F596/100),ABS(D596*E596/F596)),"")</f>
        <v/>
      </c>
      <c r="H596" s="43" t="str">
        <f>IFERROR(G596*E585,"")</f>
        <v/>
      </c>
      <c r="I596" s="3"/>
    </row>
    <row r="597" spans="1:11" ht="12.75" customHeight="1">
      <c r="A597" s="21"/>
      <c r="B597" s="22" t="s">
        <v>2533</v>
      </c>
      <c r="C597" s="23"/>
      <c r="D597" s="24"/>
      <c r="E597" s="25"/>
      <c r="F597" s="26"/>
      <c r="G597" s="27">
        <f>SUM(G598:G599)</f>
        <v>0</v>
      </c>
      <c r="H597" s="27">
        <f>IFERROR(G597*E585,"")</f>
        <v>0</v>
      </c>
      <c r="I597" s="3"/>
    </row>
    <row r="598" spans="1:11" ht="12.75" customHeight="1">
      <c r="A598" s="28"/>
      <c r="B598" s="29"/>
      <c r="C598" s="30" t="str">
        <f>IFERROR(_xlfn.XLOOKUP(B598,Transporte[DESCRIPCION],Transporte[UND],,0),"")</f>
        <v/>
      </c>
      <c r="D598" s="31"/>
      <c r="E598" s="32" t="str">
        <f>IFERROR(_xlfn.XLOOKUP($B598,Transporte[DESCRIPCION],Transporte[VALOR],,0),"")</f>
        <v/>
      </c>
      <c r="F598" s="33"/>
      <c r="G598" s="34" t="str">
        <f>IFERROR(IF(F598&gt;=0,D598*E598*(1+F598/100),ABS(D598*E598/F598)),"")</f>
        <v/>
      </c>
      <c r="H598" s="43" t="str">
        <f>IFERROR(G598*E585,"")</f>
        <v/>
      </c>
      <c r="I598" s="3"/>
    </row>
    <row r="599" spans="1:11" ht="12.75" customHeight="1">
      <c r="A599" s="28"/>
      <c r="B599" s="29"/>
      <c r="C599" s="30" t="str">
        <f>IFERROR(_xlfn.XLOOKUP(B599,Transporte[DESCRIPCION],Transporte[UND],,0),"")</f>
        <v/>
      </c>
      <c r="D599" s="31"/>
      <c r="E599" s="32" t="str">
        <f>IFERROR(_xlfn.XLOOKUP($B599,Transporte[DESCRIPCION],Transporte[VALOR],,0),"")</f>
        <v/>
      </c>
      <c r="F599" s="33"/>
      <c r="G599" s="34" t="str">
        <f>IFERROR(IF(F599&gt;=0,D599*E599*(1+F599/100),ABS(D599*E599/F599)),"")</f>
        <v/>
      </c>
      <c r="H599" s="43" t="str">
        <f>IFERROR(G599*E585,"")</f>
        <v/>
      </c>
      <c r="I599" s="3"/>
    </row>
    <row r="600" spans="1:11" ht="12.75" customHeight="1">
      <c r="A600" s="21"/>
      <c r="B600" s="22" t="s">
        <v>3732</v>
      </c>
      <c r="C600" s="23"/>
      <c r="D600" s="24"/>
      <c r="E600" s="25"/>
      <c r="F600" s="26"/>
      <c r="G600" s="27">
        <f>SUM(G601:G603)</f>
        <v>15719.537544750003</v>
      </c>
      <c r="H600" s="27">
        <f>IFERROR(G600*E585,"")</f>
        <v>0</v>
      </c>
      <c r="I600" s="3"/>
    </row>
    <row r="601" spans="1:11" ht="12.75" customHeight="1">
      <c r="A601" s="28"/>
      <c r="B601" s="29" t="s">
        <v>3710</v>
      </c>
      <c r="C601" s="30" t="str">
        <f>IFERROR(_xlfn.XLOOKUP(B601,MObra[DESCRIPCION],MObra[UN],,0),"")</f>
        <v>día</v>
      </c>
      <c r="D601" s="31">
        <v>1</v>
      </c>
      <c r="E601" s="32">
        <f>IFERROR(_xlfn.XLOOKUP($B601,MObra[DESCRIPCION],MObra[VALOR UNIT],,0),"")</f>
        <v>314390.75089500006</v>
      </c>
      <c r="F601" s="33">
        <v>-20</v>
      </c>
      <c r="G601" s="34">
        <f>IFERROR(IF(F601&gt;=0,D601*E601*(1+F601/100),ABS(D601*E601/F601)),"")</f>
        <v>15719.537544750003</v>
      </c>
      <c r="H601" s="43">
        <f>IFERROR(G601*E585,"")</f>
        <v>0</v>
      </c>
      <c r="I601" s="3"/>
    </row>
    <row r="602" spans="1:11" ht="12.75" customHeight="1">
      <c r="A602" s="28"/>
      <c r="B602" s="29"/>
      <c r="C602" s="30" t="str">
        <f>IFERROR(_xlfn.XLOOKUP(B602,MObra[DESCRIPCION],MObra[UN],,0),"")</f>
        <v/>
      </c>
      <c r="D602" s="31"/>
      <c r="E602" s="32" t="str">
        <f>IFERROR(_xlfn.XLOOKUP($B602,MObra[DESCRIPCION],MObra[VALOR UNIT],,0),"")</f>
        <v/>
      </c>
      <c r="F602" s="33"/>
      <c r="G602" s="34" t="str">
        <f>IFERROR(IF(F602&gt;=0,D602*E602*(1+F602/100),ABS(D602*E602/F602)),"")</f>
        <v/>
      </c>
      <c r="H602" s="43" t="str">
        <f>IFERROR(G602*E585,"")</f>
        <v/>
      </c>
      <c r="I602" s="3"/>
    </row>
    <row r="603" spans="1:11" ht="12.75" customHeight="1" thickBot="1">
      <c r="A603" s="35"/>
      <c r="B603" s="36"/>
      <c r="C603" s="37" t="str">
        <f>IFERROR(_xlfn.XLOOKUP(B603,MObra[DESCRIPCION],MObra[UN],,0),"")</f>
        <v/>
      </c>
      <c r="D603" s="38"/>
      <c r="E603" s="39" t="str">
        <f>IFERROR(_xlfn.XLOOKUP($B603,MObra[DESCRIPCION],MObra[VALOR UNIT],,0),"")</f>
        <v/>
      </c>
      <c r="F603" s="40"/>
      <c r="G603" s="41" t="str">
        <f>IFERROR(IF(F603&gt;=0,D603*E603*(1+F603/100),ABS(D603*E603/F603)),"")</f>
        <v/>
      </c>
      <c r="H603" s="42" t="str">
        <f>IFERROR(G603*E585,"")</f>
        <v/>
      </c>
      <c r="I603" s="3"/>
    </row>
    <row r="604" spans="1:11" ht="12.75" customHeight="1" thickTop="1" thickBot="1">
      <c r="I604" s="3"/>
    </row>
    <row r="605" spans="1:11" ht="12.75" customHeight="1" thickTop="1" thickBot="1">
      <c r="A605" s="6" t="s">
        <v>1615</v>
      </c>
      <c r="B605" s="7" t="str">
        <f>VLOOKUP($A605,Presupuesto!$A:$D,2,FALSE())</f>
        <v>Media viga pino pátula 4"x3m inmunizada cilíndrica</v>
      </c>
      <c r="C605" s="8" t="str">
        <f>VLOOKUP($A605,Presupuesto!$A:$D,3,FALSE())</f>
        <v>Un</v>
      </c>
      <c r="D605" s="9"/>
      <c r="E605" s="10">
        <f>VLOOKUP($A605,Presupuesto!$A:$D,4,FALSE())</f>
        <v>0</v>
      </c>
      <c r="F605" s="11" t="s">
        <v>2589</v>
      </c>
      <c r="G605" s="12">
        <f>SUM(G607:G623)/2</f>
        <v>240594.24135292499</v>
      </c>
      <c r="H605" s="13">
        <f>ROUND(SUM(H607:H623),0)/2</f>
        <v>0</v>
      </c>
      <c r="I605" s="10">
        <f>VLOOKUP(A605,Presupuesto!$A:$F,6,0)</f>
        <v>0</v>
      </c>
      <c r="J605" s="10">
        <f>+H605-I605</f>
        <v>0</v>
      </c>
      <c r="K605" s="46">
        <f>+H605-G605*E605</f>
        <v>0</v>
      </c>
    </row>
    <row r="606" spans="1:11" ht="12.75" customHeight="1" thickTop="1">
      <c r="A606" s="14"/>
      <c r="B606" s="15" t="s">
        <v>2586</v>
      </c>
      <c r="C606" s="15" t="s">
        <v>5</v>
      </c>
      <c r="D606" s="16" t="s">
        <v>6</v>
      </c>
      <c r="E606" s="17" t="s">
        <v>7</v>
      </c>
      <c r="F606" s="18" t="s">
        <v>3728</v>
      </c>
      <c r="G606" s="19" t="s">
        <v>3729</v>
      </c>
      <c r="H606" s="20" t="s">
        <v>3797</v>
      </c>
      <c r="I606" s="3"/>
    </row>
    <row r="607" spans="1:11" ht="12.75" customHeight="1">
      <c r="A607" s="21"/>
      <c r="B607" s="22" t="s">
        <v>3730</v>
      </c>
      <c r="C607" s="23"/>
      <c r="D607" s="24"/>
      <c r="E607" s="25"/>
      <c r="F607" s="26"/>
      <c r="G607" s="27">
        <f>SUM(G608:G612)</f>
        <v>198187.815</v>
      </c>
      <c r="H607" s="27">
        <f>IFERROR(G607*E605,"")</f>
        <v>0</v>
      </c>
      <c r="I607" s="3"/>
    </row>
    <row r="608" spans="1:11" ht="12.75" customHeight="1">
      <c r="A608" s="28"/>
      <c r="B608" s="29" t="s">
        <v>3552</v>
      </c>
      <c r="C608" s="30" t="str">
        <f>IFERROR(_xlfn.XLOOKUP(B608,Insumo[DESCRIPCION],Insumo[UND],,0),"")</f>
        <v>Un</v>
      </c>
      <c r="D608" s="31">
        <v>0.5</v>
      </c>
      <c r="E608" s="32">
        <f>IFERROR(_xlfn.XLOOKUP($B608,Insumo[DESCRIPCION],Insumo[VALOR],,0),"")</f>
        <v>90930</v>
      </c>
      <c r="F608" s="33"/>
      <c r="G608" s="34">
        <f>IFERROR(IF(F608&gt;=0,D608*E608*(1+F608/100),ABS(D608*E608/F608)),"")</f>
        <v>45465</v>
      </c>
      <c r="H608" s="43">
        <f>IFERROR(G608*E605,"")</f>
        <v>0</v>
      </c>
      <c r="I608" s="3"/>
    </row>
    <row r="609" spans="1:9" ht="12.75" customHeight="1">
      <c r="A609" s="28"/>
      <c r="B609" s="29" t="s">
        <v>3405</v>
      </c>
      <c r="C609" s="30" t="str">
        <f>IFERROR(_xlfn.XLOOKUP(B609,Insumo[DESCRIPCION],Insumo[UND],,0),"")</f>
        <v>Un</v>
      </c>
      <c r="D609" s="31">
        <v>2</v>
      </c>
      <c r="E609" s="32">
        <f>IFERROR(_xlfn.XLOOKUP($B609,Insumo[DESCRIPCION],Insumo[VALOR],,0),"")</f>
        <v>45.15</v>
      </c>
      <c r="F609" s="33"/>
      <c r="G609" s="34">
        <f>IFERROR(IF(F609&gt;=0,D609*E609*(1+F609/100),ABS(D609*E609/F609)),"")</f>
        <v>90.3</v>
      </c>
      <c r="H609" s="43">
        <f>IFERROR(G609*E605,"")</f>
        <v>0</v>
      </c>
      <c r="I609" s="3"/>
    </row>
    <row r="610" spans="1:9" ht="12.75" customHeight="1">
      <c r="A610" s="28"/>
      <c r="B610" s="29" t="s">
        <v>3386</v>
      </c>
      <c r="C610" s="30" t="str">
        <f>IFERROR(_xlfn.XLOOKUP(B610,Insumo[DESCRIPCION],Insumo[UND],,0),"")</f>
        <v>M</v>
      </c>
      <c r="D610" s="31">
        <v>2</v>
      </c>
      <c r="E610" s="32">
        <f>IFERROR(_xlfn.XLOOKUP($B610,Insumo[DESCRIPCION],Insumo[VALOR],,0),"")</f>
        <v>71118.600000000006</v>
      </c>
      <c r="F610" s="33"/>
      <c r="G610" s="34">
        <f>IFERROR(IF(F610&gt;=0,D610*E610*(1+F610/100),ABS(D610*E610/F610)),"")</f>
        <v>142237.20000000001</v>
      </c>
      <c r="H610" s="43">
        <f>IFERROR(G610*E605,"")</f>
        <v>0</v>
      </c>
      <c r="I610" s="3"/>
    </row>
    <row r="611" spans="1:9" ht="12.75" customHeight="1">
      <c r="A611" s="28"/>
      <c r="B611" s="29" t="s">
        <v>3009</v>
      </c>
      <c r="C611" s="30" t="str">
        <f>IFERROR(_xlfn.XLOOKUP(B611,Insumo[DESCRIPCION],Insumo[UND],,0),"")</f>
        <v>Kg</v>
      </c>
      <c r="D611" s="31">
        <v>0.3</v>
      </c>
      <c r="E611" s="32">
        <f>IFERROR(_xlfn.XLOOKUP($B611,Insumo[DESCRIPCION],Insumo[VALOR],,0),"")</f>
        <v>34651.050000000003</v>
      </c>
      <c r="F611" s="33"/>
      <c r="G611" s="34">
        <f>IFERROR(IF(F611&gt;=0,D611*E611*(1+F611/100),ABS(D611*E611/F611)),"")</f>
        <v>10395.315000000001</v>
      </c>
      <c r="H611" s="43">
        <f>IFERROR(G611*E605,"")</f>
        <v>0</v>
      </c>
      <c r="I611" s="3"/>
    </row>
    <row r="612" spans="1:9" ht="12.75" customHeight="1">
      <c r="A612" s="28"/>
      <c r="B612" s="29"/>
      <c r="C612" s="30" t="str">
        <f>IFERROR(_xlfn.XLOOKUP(B612,Insumo[DESCRIPCION],Insumo[UND],,0),"")</f>
        <v/>
      </c>
      <c r="D612" s="31"/>
      <c r="E612" s="32" t="str">
        <f>IFERROR(_xlfn.XLOOKUP($B612,Insumo[DESCRIPCION],Insumo[VALOR],,0),"")</f>
        <v/>
      </c>
      <c r="F612" s="33"/>
      <c r="G612" s="34" t="str">
        <f>IFERROR(IF(F612&gt;=0,D612*E612*(1+F612/100),ABS(D612*E612/F612)),"")</f>
        <v/>
      </c>
      <c r="H612" s="43" t="str">
        <f>IFERROR(G612*E605,"")</f>
        <v/>
      </c>
      <c r="I612" s="3"/>
    </row>
    <row r="613" spans="1:9" ht="12.75" customHeight="1">
      <c r="A613" s="21"/>
      <c r="B613" s="22" t="s">
        <v>3731</v>
      </c>
      <c r="C613" s="23"/>
      <c r="D613" s="24"/>
      <c r="E613" s="25"/>
      <c r="F613" s="26"/>
      <c r="G613" s="27">
        <f>SUM(G614:G616)</f>
        <v>10967.351263425</v>
      </c>
      <c r="H613" s="27">
        <f>IFERROR(G613*E605,"")</f>
        <v>0</v>
      </c>
      <c r="I613" s="3"/>
    </row>
    <row r="614" spans="1:9" ht="12.75" customHeight="1">
      <c r="A614" s="28"/>
      <c r="B614" s="29" t="s">
        <v>3573</v>
      </c>
      <c r="C614" s="30" t="str">
        <f>IFERROR(_xlfn.XLOOKUP(B614,Equipo[DESCRIPCION],Equipo[UND],,0),"")</f>
        <v>%MO</v>
      </c>
      <c r="D614" s="31">
        <v>0.1</v>
      </c>
      <c r="E614" s="32">
        <f>IF(C614="%MO",G620,IFERROR(_xlfn.XLOOKUP($B614,Equipo[DESCRIPCION],Equipo[VALOR],,0),""))</f>
        <v>31439.075089500006</v>
      </c>
      <c r="F614" s="33"/>
      <c r="G614" s="34">
        <f>IFERROR(IF(F614&gt;=0,D614*E614*(1+F614/100),ABS(D614*E614/F614)),"")</f>
        <v>3143.9075089500006</v>
      </c>
      <c r="H614" s="43">
        <f>IFERROR(G614*E605,"")</f>
        <v>0</v>
      </c>
      <c r="I614" s="3"/>
    </row>
    <row r="615" spans="1:9" ht="12.75" customHeight="1">
      <c r="A615" s="28"/>
      <c r="B615" s="29" t="s">
        <v>3648</v>
      </c>
      <c r="C615" s="30" t="str">
        <f>IFERROR(_xlfn.XLOOKUP(B615,Equipo[DESCRIPCION],Equipo[UND],,0),"")</f>
        <v>Día</v>
      </c>
      <c r="D615" s="31">
        <v>1</v>
      </c>
      <c r="E615" s="32">
        <f>IF(C615="%MO",G620,IFERROR(_xlfn.XLOOKUP($B615,Equipo[DESCRIPCION],Equipo[VALOR],,0),""))</f>
        <v>62514.9</v>
      </c>
      <c r="F615" s="33">
        <v>-10</v>
      </c>
      <c r="G615" s="34">
        <f>IFERROR(IF(F615&gt;=0,D615*E615*(1+F615/100),ABS(D615*E615/F615)),"")</f>
        <v>6251.49</v>
      </c>
      <c r="H615" s="43">
        <f>IFERROR(G615*E605,"")</f>
        <v>0</v>
      </c>
      <c r="I615" s="3"/>
    </row>
    <row r="616" spans="1:9" ht="12.75" customHeight="1">
      <c r="A616" s="28"/>
      <c r="B616" s="29" t="s">
        <v>3626</v>
      </c>
      <c r="C616" s="30" t="str">
        <f>IFERROR(_xlfn.XLOOKUP(B616,Equipo[DESCRIPCION],Equipo[UND],,0),"")</f>
        <v>%MO</v>
      </c>
      <c r="D616" s="31">
        <v>0.05</v>
      </c>
      <c r="E616" s="32">
        <f>IF(C616="%MO",G620,IFERROR(_xlfn.XLOOKUP($B616,Equipo[DESCRIPCION],Equipo[VALOR],,0),""))</f>
        <v>31439.075089500006</v>
      </c>
      <c r="F616" s="33"/>
      <c r="G616" s="34">
        <f>IFERROR(IF(F616&gt;=0,D616*E616*(1+F616/100),ABS(D616*E616/F616)),"")</f>
        <v>1571.9537544750003</v>
      </c>
      <c r="H616" s="43">
        <f>IFERROR(G616*E605,"")</f>
        <v>0</v>
      </c>
      <c r="I616" s="3"/>
    </row>
    <row r="617" spans="1:9" ht="12.75" customHeight="1">
      <c r="A617" s="21"/>
      <c r="B617" s="22" t="s">
        <v>2533</v>
      </c>
      <c r="C617" s="23"/>
      <c r="D617" s="24"/>
      <c r="E617" s="25"/>
      <c r="F617" s="26"/>
      <c r="G617" s="27">
        <f>SUM(G618:G619)</f>
        <v>0</v>
      </c>
      <c r="H617" s="27">
        <f>IFERROR(G617*E605,"")</f>
        <v>0</v>
      </c>
      <c r="I617" s="3"/>
    </row>
    <row r="618" spans="1:9" ht="12.75" customHeight="1">
      <c r="A618" s="28"/>
      <c r="B618" s="29"/>
      <c r="C618" s="30" t="str">
        <f>IFERROR(_xlfn.XLOOKUP(B618,Transporte[DESCRIPCION],Transporte[UND],,0),"")</f>
        <v/>
      </c>
      <c r="D618" s="31"/>
      <c r="E618" s="32" t="str">
        <f>IFERROR(_xlfn.XLOOKUP($B618,Transporte[DESCRIPCION],Transporte[VALOR],,0),"")</f>
        <v/>
      </c>
      <c r="F618" s="33"/>
      <c r="G618" s="34" t="str">
        <f>IFERROR(IF(F618&gt;=0,D618*E618*(1+F618/100),ABS(D618*E618/F618)),"")</f>
        <v/>
      </c>
      <c r="H618" s="43" t="str">
        <f>IFERROR(G618*E605,"")</f>
        <v/>
      </c>
      <c r="I618" s="3"/>
    </row>
    <row r="619" spans="1:9" ht="12.75" customHeight="1">
      <c r="A619" s="28"/>
      <c r="B619" s="29"/>
      <c r="C619" s="30" t="str">
        <f>IFERROR(_xlfn.XLOOKUP(B619,Transporte[DESCRIPCION],Transporte[UND],,0),"")</f>
        <v/>
      </c>
      <c r="D619" s="31"/>
      <c r="E619" s="32" t="str">
        <f>IFERROR(_xlfn.XLOOKUP($B619,Transporte[DESCRIPCION],Transporte[VALOR],,0),"")</f>
        <v/>
      </c>
      <c r="F619" s="33"/>
      <c r="G619" s="34" t="str">
        <f>IFERROR(IF(F619&gt;=0,D619*E619*(1+F619/100),ABS(D619*E619/F619)),"")</f>
        <v/>
      </c>
      <c r="H619" s="43" t="str">
        <f>IFERROR(G619*E605,"")</f>
        <v/>
      </c>
      <c r="I619" s="3"/>
    </row>
    <row r="620" spans="1:9" ht="12.75" customHeight="1">
      <c r="A620" s="21"/>
      <c r="B620" s="22" t="s">
        <v>3732</v>
      </c>
      <c r="C620" s="23"/>
      <c r="D620" s="24"/>
      <c r="E620" s="25"/>
      <c r="F620" s="26"/>
      <c r="G620" s="27">
        <f>SUM(G621:G623)</f>
        <v>31439.075089500006</v>
      </c>
      <c r="H620" s="27">
        <f>IFERROR(G620*E605,"")</f>
        <v>0</v>
      </c>
      <c r="I620" s="3"/>
    </row>
    <row r="621" spans="1:9" ht="12.75" customHeight="1">
      <c r="A621" s="28"/>
      <c r="B621" s="29" t="s">
        <v>3710</v>
      </c>
      <c r="C621" s="30" t="str">
        <f>IFERROR(_xlfn.XLOOKUP(B621,MObra[DESCRIPCION],MObra[UN],,0),"")</f>
        <v>día</v>
      </c>
      <c r="D621" s="31">
        <v>1</v>
      </c>
      <c r="E621" s="32">
        <f>IFERROR(_xlfn.XLOOKUP($B621,MObra[DESCRIPCION],MObra[VALOR UNIT],,0),"")</f>
        <v>314390.75089500006</v>
      </c>
      <c r="F621" s="33">
        <v>-10</v>
      </c>
      <c r="G621" s="34">
        <f>IFERROR(IF(F621&gt;=0,D621*E621*(1+F621/100),ABS(D621*E621/F621)),"")</f>
        <v>31439.075089500006</v>
      </c>
      <c r="H621" s="43">
        <f>IFERROR(G621*E605,"")</f>
        <v>0</v>
      </c>
      <c r="I621" s="3"/>
    </row>
    <row r="622" spans="1:9" ht="12.75" customHeight="1">
      <c r="A622" s="28"/>
      <c r="B622" s="29"/>
      <c r="C622" s="30" t="str">
        <f>IFERROR(_xlfn.XLOOKUP(B622,MObra[DESCRIPCION],MObra[UN],,0),"")</f>
        <v/>
      </c>
      <c r="D622" s="31"/>
      <c r="E622" s="32" t="str">
        <f>IFERROR(_xlfn.XLOOKUP($B622,MObra[DESCRIPCION],MObra[VALOR UNIT],,0),"")</f>
        <v/>
      </c>
      <c r="F622" s="33"/>
      <c r="G622" s="34" t="str">
        <f>IFERROR(IF(F622&gt;=0,D622*E622*(1+F622/100),ABS(D622*E622/F622)),"")</f>
        <v/>
      </c>
      <c r="H622" s="43" t="str">
        <f>IFERROR(G622*E605,"")</f>
        <v/>
      </c>
      <c r="I622" s="3"/>
    </row>
    <row r="623" spans="1:9" ht="12.75" customHeight="1" thickBot="1">
      <c r="A623" s="35"/>
      <c r="B623" s="36"/>
      <c r="C623" s="37" t="str">
        <f>IFERROR(_xlfn.XLOOKUP(B623,MObra[DESCRIPCION],MObra[UN],,0),"")</f>
        <v/>
      </c>
      <c r="D623" s="38"/>
      <c r="E623" s="39" t="str">
        <f>IFERROR(_xlfn.XLOOKUP($B623,MObra[DESCRIPCION],MObra[VALOR UNIT],,0),"")</f>
        <v/>
      </c>
      <c r="F623" s="40"/>
      <c r="G623" s="41" t="str">
        <f>IFERROR(IF(F623&gt;=0,D623*E623*(1+F623/100),ABS(D623*E623/F623)),"")</f>
        <v/>
      </c>
      <c r="H623" s="42" t="str">
        <f>IFERROR(G623*E605,"")</f>
        <v/>
      </c>
      <c r="I623" s="3"/>
    </row>
    <row r="624" spans="1:9" ht="12.75" customHeight="1" thickTop="1" thickBot="1">
      <c r="I624" s="3"/>
    </row>
    <row r="625" spans="1:11" ht="12.75" customHeight="1" thickTop="1" thickBot="1">
      <c r="A625" s="6" t="s">
        <v>1617</v>
      </c>
      <c r="B625" s="7" t="str">
        <f>VLOOKUP($A625,Presupuesto!$A:$D,2,FALSE())</f>
        <v>Paral ángulo + lámina + forja</v>
      </c>
      <c r="C625" s="8" t="str">
        <f>VLOOKUP($A625,Presupuesto!$A:$D,3,FALSE())</f>
        <v>M</v>
      </c>
      <c r="D625" s="9"/>
      <c r="E625" s="10">
        <f>VLOOKUP($A625,Presupuesto!$A:$D,4,FALSE())</f>
        <v>0</v>
      </c>
      <c r="F625" s="11" t="s">
        <v>2589</v>
      </c>
      <c r="G625" s="12">
        <f>SUM(G627:G643)/2</f>
        <v>322958.30025059998</v>
      </c>
      <c r="H625" s="13">
        <f>ROUND(SUM(H627:H643),0)/2</f>
        <v>0</v>
      </c>
      <c r="I625" s="10">
        <f>VLOOKUP(A625,Presupuesto!$A:$F,6,0)</f>
        <v>0</v>
      </c>
      <c r="J625" s="10">
        <f>+H625-I625</f>
        <v>0</v>
      </c>
      <c r="K625" s="46">
        <f>+H625-G625*E625</f>
        <v>0</v>
      </c>
    </row>
    <row r="626" spans="1:11" ht="12.75" customHeight="1" thickTop="1">
      <c r="A626" s="14"/>
      <c r="B626" s="15" t="s">
        <v>2586</v>
      </c>
      <c r="C626" s="15" t="s">
        <v>5</v>
      </c>
      <c r="D626" s="16" t="s">
        <v>6</v>
      </c>
      <c r="E626" s="17" t="s">
        <v>7</v>
      </c>
      <c r="F626" s="18" t="s">
        <v>3728</v>
      </c>
      <c r="G626" s="19" t="s">
        <v>3729</v>
      </c>
      <c r="H626" s="20" t="s">
        <v>3797</v>
      </c>
      <c r="I626" s="3"/>
    </row>
    <row r="627" spans="1:11" ht="12.75" customHeight="1">
      <c r="A627" s="21"/>
      <c r="B627" s="22" t="s">
        <v>3730</v>
      </c>
      <c r="C627" s="23"/>
      <c r="D627" s="24"/>
      <c r="E627" s="25"/>
      <c r="F627" s="26"/>
      <c r="G627" s="27">
        <f>SUM(G628:G632)</f>
        <v>230115.58499999999</v>
      </c>
      <c r="H627" s="27">
        <f>IFERROR(G627*E625,"")</f>
        <v>0</v>
      </c>
      <c r="I627" s="3"/>
    </row>
    <row r="628" spans="1:11" ht="12.75" customHeight="1">
      <c r="A628" s="28"/>
      <c r="B628" s="29" t="s">
        <v>2703</v>
      </c>
      <c r="C628" s="30" t="str">
        <f>IFERROR(_xlfn.XLOOKUP(B628,Insumo[DESCRIPCION],Insumo[UND],,0),"")</f>
        <v>M</v>
      </c>
      <c r="D628" s="31">
        <v>5.2</v>
      </c>
      <c r="E628" s="32">
        <f>IFERROR(_xlfn.XLOOKUP($B628,Insumo[DESCRIPCION],Insumo[VALOR],,0),"")</f>
        <v>11388.300000000001</v>
      </c>
      <c r="F628" s="33"/>
      <c r="G628" s="34">
        <f>IFERROR(IF(F628&gt;=0,D628*E628*(1+F628/100),ABS(D628*E628/F628)),"")</f>
        <v>59219.160000000011</v>
      </c>
      <c r="H628" s="43">
        <f>IFERROR(G628*E625,"")</f>
        <v>0</v>
      </c>
      <c r="I628" s="3"/>
    </row>
    <row r="629" spans="1:11" ht="12.75" customHeight="1">
      <c r="A629" s="28"/>
      <c r="B629" s="29" t="s">
        <v>3024</v>
      </c>
      <c r="C629" s="30" t="str">
        <f>IFERROR(_xlfn.XLOOKUP(B629,Insumo[DESCRIPCION],Insumo[UND],,0),"")</f>
        <v>M2</v>
      </c>
      <c r="D629" s="31">
        <v>0.85</v>
      </c>
      <c r="E629" s="32">
        <f>IFERROR(_xlfn.XLOOKUP($B629,Insumo[DESCRIPCION],Insumo[VALOR],,0),"")</f>
        <v>139918.80000000002</v>
      </c>
      <c r="F629" s="33"/>
      <c r="G629" s="34">
        <f>IFERROR(IF(F629&gt;=0,D629*E629*(1+F629/100),ABS(D629*E629/F629)),"")</f>
        <v>118930.98000000001</v>
      </c>
      <c r="H629" s="43">
        <f>IFERROR(G629*E625,"")</f>
        <v>0</v>
      </c>
      <c r="I629" s="3"/>
    </row>
    <row r="630" spans="1:11" ht="12.75" customHeight="1">
      <c r="A630" s="28"/>
      <c r="B630" s="29" t="s">
        <v>3326</v>
      </c>
      <c r="C630" s="30" t="str">
        <f>IFERROR(_xlfn.XLOOKUP(B630,Insumo[DESCRIPCION],Insumo[UND],,0),"")</f>
        <v>Kg</v>
      </c>
      <c r="D630" s="31">
        <v>0.1</v>
      </c>
      <c r="E630" s="32">
        <f>IFERROR(_xlfn.XLOOKUP($B630,Insumo[DESCRIPCION],Insumo[VALOR],,0),"")</f>
        <v>5978.7</v>
      </c>
      <c r="F630" s="33"/>
      <c r="G630" s="34">
        <f>IFERROR(IF(F630&gt;=0,D630*E630*(1+F630/100),ABS(D630*E630/F630)),"")</f>
        <v>597.87</v>
      </c>
      <c r="H630" s="43">
        <f>IFERROR(G630*E625,"")</f>
        <v>0</v>
      </c>
      <c r="I630" s="3"/>
    </row>
    <row r="631" spans="1:11" ht="12.75" customHeight="1">
      <c r="A631" s="28"/>
      <c r="B631" s="29" t="s">
        <v>2653</v>
      </c>
      <c r="C631" s="30" t="str">
        <f>IFERROR(_xlfn.XLOOKUP(B631,Insumo[DESCRIPCION],Insumo[UND],,0),"")</f>
        <v>Kg</v>
      </c>
      <c r="D631" s="31">
        <v>8</v>
      </c>
      <c r="E631" s="32">
        <f>IFERROR(_xlfn.XLOOKUP($B631,Insumo[DESCRIPCION],Insumo[VALOR],,0),"")</f>
        <v>5686.8</v>
      </c>
      <c r="F631" s="33"/>
      <c r="G631" s="34">
        <f>IFERROR(IF(F631&gt;=0,D631*E631*(1+F631/100),ABS(D631*E631/F631)),"")</f>
        <v>45494.400000000001</v>
      </c>
      <c r="H631" s="43">
        <f>IFERROR(G631*E625,"")</f>
        <v>0</v>
      </c>
      <c r="I631" s="3"/>
    </row>
    <row r="632" spans="1:11" ht="12.75" customHeight="1">
      <c r="A632" s="28"/>
      <c r="B632" s="29" t="s">
        <v>2708</v>
      </c>
      <c r="C632" s="30" t="str">
        <f>IFERROR(_xlfn.XLOOKUP(B632,Insumo[DESCRIPCION],Insumo[UND],,0),"")</f>
        <v>galón</v>
      </c>
      <c r="D632" s="31">
        <v>0.06</v>
      </c>
      <c r="E632" s="32">
        <f>IFERROR(_xlfn.XLOOKUP($B632,Insumo[DESCRIPCION],Insumo[VALOR],,0),"")</f>
        <v>97886.25</v>
      </c>
      <c r="F632" s="33"/>
      <c r="G632" s="34">
        <f>IFERROR(IF(F632&gt;=0,D632*E632*(1+F632/100),ABS(D632*E632/F632)),"")</f>
        <v>5873.1750000000002</v>
      </c>
      <c r="H632" s="43">
        <f>IFERROR(G632*E625,"")</f>
        <v>0</v>
      </c>
      <c r="I632" s="3"/>
    </row>
    <row r="633" spans="1:11" ht="12.75" customHeight="1">
      <c r="A633" s="21"/>
      <c r="B633" s="22" t="s">
        <v>3731</v>
      </c>
      <c r="C633" s="23"/>
      <c r="D633" s="24"/>
      <c r="E633" s="25"/>
      <c r="F633" s="26"/>
      <c r="G633" s="27">
        <f>SUM(G634:G636)</f>
        <v>9005.1816786000018</v>
      </c>
      <c r="H633" s="27">
        <f>IFERROR(G633*E625,"")</f>
        <v>0</v>
      </c>
      <c r="I633" s="3"/>
    </row>
    <row r="634" spans="1:11" ht="12.75" customHeight="1">
      <c r="A634" s="28"/>
      <c r="B634" s="29" t="s">
        <v>3613</v>
      </c>
      <c r="C634" s="30" t="str">
        <f>IFERROR(_xlfn.XLOOKUP(B634,Equipo[DESCRIPCION],Equipo[UND],,0),"")</f>
        <v>Día</v>
      </c>
      <c r="D634" s="31">
        <v>1</v>
      </c>
      <c r="E634" s="32">
        <f>IF(C634="%MO",G640,IFERROR(_xlfn.XLOOKUP($B634,Equipo[DESCRIPCION],Equipo[VALOR],,0),""))</f>
        <v>48133.05</v>
      </c>
      <c r="F634" s="33">
        <v>-10</v>
      </c>
      <c r="G634" s="34">
        <f>IFERROR(IF(F634&gt;=0,D634*E634*(1+F634/100),ABS(D634*E634/F634)),"")</f>
        <v>4813.3050000000003</v>
      </c>
      <c r="H634" s="43">
        <f>IFERROR(G634*E625,"")</f>
        <v>0</v>
      </c>
      <c r="I634" s="3"/>
    </row>
    <row r="635" spans="1:11" ht="12.75" customHeight="1">
      <c r="A635" s="28"/>
      <c r="B635" s="29" t="s">
        <v>3626</v>
      </c>
      <c r="C635" s="30" t="str">
        <f>IFERROR(_xlfn.XLOOKUP(B635,Equipo[DESCRIPCION],Equipo[UND],,0),"")</f>
        <v>%MO</v>
      </c>
      <c r="D635" s="31">
        <v>0.05</v>
      </c>
      <c r="E635" s="32">
        <f>IF(C635="%MO",G640,IFERROR(_xlfn.XLOOKUP($B635,Equipo[DESCRIPCION],Equipo[VALOR],,0),""))</f>
        <v>83837.533572000015</v>
      </c>
      <c r="F635" s="33"/>
      <c r="G635" s="34">
        <f>IFERROR(IF(F635&gt;=0,D635*E635*(1+F635/100),ABS(D635*E635/F635)),"")</f>
        <v>4191.8766786000006</v>
      </c>
      <c r="H635" s="43">
        <f>IFERROR(G635*E625,"")</f>
        <v>0</v>
      </c>
      <c r="I635" s="3"/>
    </row>
    <row r="636" spans="1:11" ht="12.75" customHeight="1">
      <c r="A636" s="28"/>
      <c r="B636" s="29"/>
      <c r="C636" s="30" t="str">
        <f>IFERROR(_xlfn.XLOOKUP(B636,Equipo[DESCRIPCION],Equipo[UND],,0),"")</f>
        <v/>
      </c>
      <c r="D636" s="31"/>
      <c r="E636" s="32" t="str">
        <f>IF(C636="%MO",G640,IFERROR(_xlfn.XLOOKUP($B636,Equipo[DESCRIPCION],Equipo[VALOR],,0),""))</f>
        <v/>
      </c>
      <c r="F636" s="33"/>
      <c r="G636" s="34" t="str">
        <f>IFERROR(IF(F636&gt;=0,D636*E636*(1+F636/100),ABS(D636*E636/F636)),"")</f>
        <v/>
      </c>
      <c r="H636" s="43" t="str">
        <f>IFERROR(G636*E625,"")</f>
        <v/>
      </c>
      <c r="I636" s="3"/>
    </row>
    <row r="637" spans="1:11" ht="12.75" customHeight="1">
      <c r="A637" s="21"/>
      <c r="B637" s="22" t="s">
        <v>2533</v>
      </c>
      <c r="C637" s="23"/>
      <c r="D637" s="24"/>
      <c r="E637" s="25"/>
      <c r="F637" s="26"/>
      <c r="G637" s="27">
        <f>SUM(G638:G639)</f>
        <v>0</v>
      </c>
      <c r="H637" s="27">
        <f>IFERROR(G637*E625,"")</f>
        <v>0</v>
      </c>
      <c r="I637" s="3"/>
    </row>
    <row r="638" spans="1:11" ht="12.75" customHeight="1">
      <c r="A638" s="28"/>
      <c r="B638" s="29"/>
      <c r="C638" s="30" t="str">
        <f>IFERROR(_xlfn.XLOOKUP(B638,Transporte[DESCRIPCION],Transporte[UND],,0),"")</f>
        <v/>
      </c>
      <c r="D638" s="31"/>
      <c r="E638" s="32" t="str">
        <f>IFERROR(_xlfn.XLOOKUP($B638,Transporte[DESCRIPCION],Transporte[VALOR],,0),"")</f>
        <v/>
      </c>
      <c r="F638" s="33"/>
      <c r="G638" s="34" t="str">
        <f>IFERROR(IF(F638&gt;=0,D638*E638*(1+F638/100),ABS(D638*E638/F638)),"")</f>
        <v/>
      </c>
      <c r="H638" s="43" t="str">
        <f>IFERROR(G638*E625,"")</f>
        <v/>
      </c>
      <c r="I638" s="3"/>
    </row>
    <row r="639" spans="1:11" ht="12.75" customHeight="1">
      <c r="A639" s="28"/>
      <c r="B639" s="29"/>
      <c r="C639" s="30" t="str">
        <f>IFERROR(_xlfn.XLOOKUP(B639,Transporte[DESCRIPCION],Transporte[UND],,0),"")</f>
        <v/>
      </c>
      <c r="D639" s="31"/>
      <c r="E639" s="32" t="str">
        <f>IFERROR(_xlfn.XLOOKUP($B639,Transporte[DESCRIPCION],Transporte[VALOR],,0),"")</f>
        <v/>
      </c>
      <c r="F639" s="33"/>
      <c r="G639" s="34" t="str">
        <f>IFERROR(IF(F639&gt;=0,D639*E639*(1+F639/100),ABS(D639*E639/F639)),"")</f>
        <v/>
      </c>
      <c r="H639" s="43" t="str">
        <f>IFERROR(G639*E625,"")</f>
        <v/>
      </c>
      <c r="I639" s="3"/>
    </row>
    <row r="640" spans="1:11" ht="12.75" customHeight="1">
      <c r="A640" s="21"/>
      <c r="B640" s="22" t="s">
        <v>3732</v>
      </c>
      <c r="C640" s="23"/>
      <c r="D640" s="24"/>
      <c r="E640" s="25"/>
      <c r="F640" s="26"/>
      <c r="G640" s="27">
        <f>SUM(G641:G643)</f>
        <v>83837.533572000015</v>
      </c>
      <c r="H640" s="27">
        <f>IFERROR(G640*E625,"")</f>
        <v>0</v>
      </c>
      <c r="I640" s="3"/>
    </row>
    <row r="641" spans="1:11" ht="12.75" customHeight="1">
      <c r="A641" s="28"/>
      <c r="B641" s="29" t="s">
        <v>3724</v>
      </c>
      <c r="C641" s="30" t="str">
        <f>IFERROR(_xlfn.XLOOKUP(B641,MObra[DESCRIPCION],MObra[UN],,0),"")</f>
        <v>día</v>
      </c>
      <c r="D641" s="31">
        <v>1</v>
      </c>
      <c r="E641" s="32">
        <f>IFERROR(_xlfn.XLOOKUP($B641,MObra[DESCRIPCION],MObra[VALOR UNIT],,0),"")</f>
        <v>419187.66786000005</v>
      </c>
      <c r="F641" s="33">
        <v>-5</v>
      </c>
      <c r="G641" s="34">
        <f>IFERROR(IF(F641&gt;=0,D641*E641*(1+F641/100),ABS(D641*E641/F641)),"")</f>
        <v>83837.533572000015</v>
      </c>
      <c r="H641" s="43">
        <f>IFERROR(G641*E625,"")</f>
        <v>0</v>
      </c>
      <c r="I641" s="3"/>
    </row>
    <row r="642" spans="1:11" ht="12.75" customHeight="1">
      <c r="A642" s="28"/>
      <c r="B642" s="29"/>
      <c r="C642" s="30" t="str">
        <f>IFERROR(_xlfn.XLOOKUP(B642,MObra[DESCRIPCION],MObra[UN],,0),"")</f>
        <v/>
      </c>
      <c r="D642" s="31"/>
      <c r="E642" s="32" t="str">
        <f>IFERROR(_xlfn.XLOOKUP($B642,MObra[DESCRIPCION],MObra[VALOR UNIT],,0),"")</f>
        <v/>
      </c>
      <c r="F642" s="33"/>
      <c r="G642" s="34" t="str">
        <f>IFERROR(IF(F642&gt;=0,D642*E642*(1+F642/100),ABS(D642*E642/F642)),"")</f>
        <v/>
      </c>
      <c r="H642" s="43" t="str">
        <f>IFERROR(G642*E625,"")</f>
        <v/>
      </c>
      <c r="I642" s="3"/>
    </row>
    <row r="643" spans="1:11" ht="12.75" customHeight="1" thickBot="1">
      <c r="A643" s="35"/>
      <c r="B643" s="36"/>
      <c r="C643" s="37" t="str">
        <f>IFERROR(_xlfn.XLOOKUP(B643,MObra[DESCRIPCION],MObra[UN],,0),"")</f>
        <v/>
      </c>
      <c r="D643" s="38"/>
      <c r="E643" s="39" t="str">
        <f>IFERROR(_xlfn.XLOOKUP($B643,MObra[DESCRIPCION],MObra[VALOR UNIT],,0),"")</f>
        <v/>
      </c>
      <c r="F643" s="40"/>
      <c r="G643" s="41" t="str">
        <f>IFERROR(IF(F643&gt;=0,D643*E643*(1+F643/100),ABS(D643*E643/F643)),"")</f>
        <v/>
      </c>
      <c r="H643" s="42" t="str">
        <f>IFERROR(G643*E625,"")</f>
        <v/>
      </c>
      <c r="I643" s="3"/>
    </row>
    <row r="644" spans="1:11" ht="12.75" customHeight="1" thickTop="1" thickBot="1">
      <c r="I644" s="3"/>
    </row>
    <row r="645" spans="1:11" ht="12.75" customHeight="1" thickTop="1" thickBot="1">
      <c r="A645" s="6" t="s">
        <v>1619</v>
      </c>
      <c r="B645" s="7" t="str">
        <f>VLOOKUP($A645,Presupuesto!$A:$D,2,FALSE())</f>
        <v>Puerta / reja metálica tubería cuadrada 1-½" C 20</v>
      </c>
      <c r="C645" s="8" t="str">
        <f>VLOOKUP($A645,Presupuesto!$A:$D,3,FALSE())</f>
        <v>M2</v>
      </c>
      <c r="D645" s="9"/>
      <c r="E645" s="10">
        <f>VLOOKUP($A645,Presupuesto!$A:$D,4,FALSE())</f>
        <v>0</v>
      </c>
      <c r="F645" s="11" t="s">
        <v>2589</v>
      </c>
      <c r="G645" s="12">
        <f>SUM(G647:G663)/2</f>
        <v>192501.10256264999</v>
      </c>
      <c r="H645" s="13">
        <f>ROUND(SUM(H647:H663),0)/2</f>
        <v>0</v>
      </c>
      <c r="I645" s="10">
        <f>VLOOKUP(A645,Presupuesto!$A:$F,6,0)</f>
        <v>0</v>
      </c>
      <c r="J645" s="10">
        <f>+H645-I645</f>
        <v>0</v>
      </c>
      <c r="K645" s="46">
        <f>+H645-G645*E645</f>
        <v>0</v>
      </c>
    </row>
    <row r="646" spans="1:11" ht="12.75" customHeight="1" thickTop="1">
      <c r="A646" s="14"/>
      <c r="B646" s="15" t="s">
        <v>2586</v>
      </c>
      <c r="C646" s="15" t="s">
        <v>5</v>
      </c>
      <c r="D646" s="16" t="s">
        <v>6</v>
      </c>
      <c r="E646" s="17" t="s">
        <v>7</v>
      </c>
      <c r="F646" s="18" t="s">
        <v>3728</v>
      </c>
      <c r="G646" s="19" t="s">
        <v>3729</v>
      </c>
      <c r="H646" s="20" t="s">
        <v>3797</v>
      </c>
      <c r="I646" s="3"/>
    </row>
    <row r="647" spans="1:11" ht="12.75" customHeight="1">
      <c r="A647" s="21"/>
      <c r="B647" s="22" t="s">
        <v>3730</v>
      </c>
      <c r="C647" s="23"/>
      <c r="D647" s="24"/>
      <c r="E647" s="25"/>
      <c r="F647" s="26"/>
      <c r="G647" s="27">
        <f>SUM(G648:G652)</f>
        <v>170493.75</v>
      </c>
      <c r="H647" s="27">
        <f>IFERROR(G647*E645,"")</f>
        <v>0</v>
      </c>
      <c r="I647" s="3"/>
    </row>
    <row r="648" spans="1:11" ht="12.75" customHeight="1">
      <c r="A648" s="28"/>
      <c r="B648" s="29" t="s">
        <v>3251</v>
      </c>
      <c r="C648" s="30" t="str">
        <f>IFERROR(_xlfn.XLOOKUP(B648,Insumo[DESCRIPCION],Insumo[UND],,0),"")</f>
        <v>M2</v>
      </c>
      <c r="D648" s="31">
        <v>1</v>
      </c>
      <c r="E648" s="32">
        <f>IFERROR(_xlfn.XLOOKUP($B648,Insumo[DESCRIPCION],Insumo[VALOR],,0),"")</f>
        <v>170493.75</v>
      </c>
      <c r="F648" s="33"/>
      <c r="G648" s="34">
        <f>IFERROR(IF(F648&gt;=0,D648*E648*(1+F648/100),ABS(D648*E648/F648)),"")</f>
        <v>170493.75</v>
      </c>
      <c r="H648" s="43">
        <f>IFERROR(G648*E645,"")</f>
        <v>0</v>
      </c>
      <c r="I648" s="3"/>
    </row>
    <row r="649" spans="1:11" ht="12.75" customHeight="1">
      <c r="A649" s="28"/>
      <c r="B649" s="29"/>
      <c r="C649" s="30" t="str">
        <f>IFERROR(_xlfn.XLOOKUP(B649,Insumo[DESCRIPCION],Insumo[UND],,0),"")</f>
        <v/>
      </c>
      <c r="D649" s="31"/>
      <c r="E649" s="32" t="str">
        <f>IFERROR(_xlfn.XLOOKUP($B649,Insumo[DESCRIPCION],Insumo[VALOR],,0),"")</f>
        <v/>
      </c>
      <c r="F649" s="33"/>
      <c r="G649" s="34" t="str">
        <f>IFERROR(IF(F649&gt;=0,D649*E649*(1+F649/100),ABS(D649*E649/F649)),"")</f>
        <v/>
      </c>
      <c r="H649" s="43" t="str">
        <f>IFERROR(G649*E645,"")</f>
        <v/>
      </c>
      <c r="I649" s="3"/>
    </row>
    <row r="650" spans="1:11" ht="12.75" customHeight="1">
      <c r="A650" s="28"/>
      <c r="B650" s="29"/>
      <c r="C650" s="30" t="str">
        <f>IFERROR(_xlfn.XLOOKUP(B650,Insumo[DESCRIPCION],Insumo[UND],,0),"")</f>
        <v/>
      </c>
      <c r="D650" s="31"/>
      <c r="E650" s="32" t="str">
        <f>IFERROR(_xlfn.XLOOKUP($B650,Insumo[DESCRIPCION],Insumo[VALOR],,0),"")</f>
        <v/>
      </c>
      <c r="F650" s="33"/>
      <c r="G650" s="34" t="str">
        <f>IFERROR(IF(F650&gt;=0,D650*E650*(1+F650/100),ABS(D650*E650/F650)),"")</f>
        <v/>
      </c>
      <c r="H650" s="43" t="str">
        <f>IFERROR(G650*E645,"")</f>
        <v/>
      </c>
      <c r="I650" s="3"/>
    </row>
    <row r="651" spans="1:11" ht="12.75" customHeight="1">
      <c r="A651" s="28"/>
      <c r="B651" s="29"/>
      <c r="C651" s="30" t="str">
        <f>IFERROR(_xlfn.XLOOKUP(B651,Insumo[DESCRIPCION],Insumo[UND],,0),"")</f>
        <v/>
      </c>
      <c r="D651" s="31"/>
      <c r="E651" s="32" t="str">
        <f>IFERROR(_xlfn.XLOOKUP($B651,Insumo[DESCRIPCION],Insumo[VALOR],,0),"")</f>
        <v/>
      </c>
      <c r="F651" s="33"/>
      <c r="G651" s="34" t="str">
        <f>IFERROR(IF(F651&gt;=0,D651*E651*(1+F651/100),ABS(D651*E651/F651)),"")</f>
        <v/>
      </c>
      <c r="H651" s="43" t="str">
        <f>IFERROR(G651*E645,"")</f>
        <v/>
      </c>
      <c r="I651" s="3"/>
    </row>
    <row r="652" spans="1:11" ht="12.75" customHeight="1">
      <c r="A652" s="28"/>
      <c r="B652" s="29"/>
      <c r="C652" s="30" t="str">
        <f>IFERROR(_xlfn.XLOOKUP(B652,Insumo[DESCRIPCION],Insumo[UND],,0),"")</f>
        <v/>
      </c>
      <c r="D652" s="31"/>
      <c r="E652" s="32" t="str">
        <f>IFERROR(_xlfn.XLOOKUP($B652,Insumo[DESCRIPCION],Insumo[VALOR],,0),"")</f>
        <v/>
      </c>
      <c r="F652" s="33"/>
      <c r="G652" s="34" t="str">
        <f>IFERROR(IF(F652&gt;=0,D652*E652*(1+F652/100),ABS(D652*E652/F652)),"")</f>
        <v/>
      </c>
      <c r="H652" s="43" t="str">
        <f>IFERROR(G652*E645,"")</f>
        <v/>
      </c>
      <c r="I652" s="3"/>
    </row>
    <row r="653" spans="1:11" ht="12.75" customHeight="1">
      <c r="A653" s="21"/>
      <c r="B653" s="22" t="s">
        <v>3731</v>
      </c>
      <c r="C653" s="23"/>
      <c r="D653" s="24"/>
      <c r="E653" s="25"/>
      <c r="F653" s="26"/>
      <c r="G653" s="27">
        <f>SUM(G654:G656)</f>
        <v>1047.9691696500001</v>
      </c>
      <c r="H653" s="27">
        <f>IFERROR(G653*E645,"")</f>
        <v>0</v>
      </c>
      <c r="I653" s="3"/>
    </row>
    <row r="654" spans="1:11" ht="12.75" customHeight="1">
      <c r="A654" s="28"/>
      <c r="B654" s="29" t="s">
        <v>3626</v>
      </c>
      <c r="C654" s="30" t="str">
        <f>IFERROR(_xlfn.XLOOKUP(B654,Equipo[DESCRIPCION],Equipo[UND],,0),"")</f>
        <v>%MO</v>
      </c>
      <c r="D654" s="31">
        <v>0.05</v>
      </c>
      <c r="E654" s="32">
        <f>IF(C654="%MO",G660,IFERROR(_xlfn.XLOOKUP($B654,Equipo[DESCRIPCION],Equipo[VALOR],,0),""))</f>
        <v>20959.383393000004</v>
      </c>
      <c r="F654" s="33"/>
      <c r="G654" s="34">
        <f>IFERROR(IF(F654&gt;=0,D654*E654*(1+F654/100),ABS(D654*E654/F654)),"")</f>
        <v>1047.9691696500001</v>
      </c>
      <c r="H654" s="43">
        <f>IFERROR(G654*E645,"")</f>
        <v>0</v>
      </c>
      <c r="I654" s="3"/>
    </row>
    <row r="655" spans="1:11" ht="12.75" customHeight="1">
      <c r="A655" s="28"/>
      <c r="B655" s="29"/>
      <c r="C655" s="30" t="str">
        <f>IFERROR(_xlfn.XLOOKUP(B655,Equipo[DESCRIPCION],Equipo[UND],,0),"")</f>
        <v/>
      </c>
      <c r="D655" s="31"/>
      <c r="E655" s="32" t="str">
        <f>IF(C655="%MO",G660,IFERROR(_xlfn.XLOOKUP($B655,Equipo[DESCRIPCION],Equipo[VALOR],,0),""))</f>
        <v/>
      </c>
      <c r="F655" s="33"/>
      <c r="G655" s="34" t="str">
        <f>IFERROR(IF(F655&gt;=0,D655*E655*(1+F655/100),ABS(D655*E655/F655)),"")</f>
        <v/>
      </c>
      <c r="H655" s="43" t="str">
        <f>IFERROR(G655*E645,"")</f>
        <v/>
      </c>
      <c r="I655" s="3"/>
    </row>
    <row r="656" spans="1:11" ht="12.75" customHeight="1">
      <c r="A656" s="28"/>
      <c r="B656" s="29"/>
      <c r="C656" s="30" t="str">
        <f>IFERROR(_xlfn.XLOOKUP(B656,Equipo[DESCRIPCION],Equipo[UND],,0),"")</f>
        <v/>
      </c>
      <c r="D656" s="31"/>
      <c r="E656" s="32" t="str">
        <f>IF(C656="%MO",G660,IFERROR(_xlfn.XLOOKUP($B656,Equipo[DESCRIPCION],Equipo[VALOR],,0),""))</f>
        <v/>
      </c>
      <c r="F656" s="33"/>
      <c r="G656" s="34" t="str">
        <f>IFERROR(IF(F656&gt;=0,D656*E656*(1+F656/100),ABS(D656*E656/F656)),"")</f>
        <v/>
      </c>
      <c r="H656" s="43" t="str">
        <f>IFERROR(G656*E645,"")</f>
        <v/>
      </c>
      <c r="I656" s="3"/>
    </row>
    <row r="657" spans="1:11" ht="12.75" customHeight="1">
      <c r="A657" s="21"/>
      <c r="B657" s="22" t="s">
        <v>2533</v>
      </c>
      <c r="C657" s="23"/>
      <c r="D657" s="24"/>
      <c r="E657" s="25"/>
      <c r="F657" s="26"/>
      <c r="G657" s="27">
        <f>SUM(G658:G659)</f>
        <v>0</v>
      </c>
      <c r="H657" s="27">
        <f>IFERROR(G657*E645,"")</f>
        <v>0</v>
      </c>
      <c r="I657" s="3"/>
    </row>
    <row r="658" spans="1:11" ht="12.75" customHeight="1">
      <c r="A658" s="28"/>
      <c r="B658" s="29"/>
      <c r="C658" s="30" t="str">
        <f>IFERROR(_xlfn.XLOOKUP(B658,Transporte[DESCRIPCION],Transporte[UND],,0),"")</f>
        <v/>
      </c>
      <c r="D658" s="31"/>
      <c r="E658" s="32" t="str">
        <f>IFERROR(_xlfn.XLOOKUP($B658,Transporte[DESCRIPCION],Transporte[VALOR],,0),"")</f>
        <v/>
      </c>
      <c r="F658" s="33"/>
      <c r="G658" s="34" t="str">
        <f>IFERROR(IF(F658&gt;=0,D658*E658*(1+F658/100),ABS(D658*E658/F658)),"")</f>
        <v/>
      </c>
      <c r="H658" s="43" t="str">
        <f>IFERROR(G658*E645,"")</f>
        <v/>
      </c>
      <c r="I658" s="3"/>
    </row>
    <row r="659" spans="1:11" ht="12.75" customHeight="1">
      <c r="A659" s="28"/>
      <c r="B659" s="29"/>
      <c r="C659" s="30" t="str">
        <f>IFERROR(_xlfn.XLOOKUP(B659,Transporte[DESCRIPCION],Transporte[UND],,0),"")</f>
        <v/>
      </c>
      <c r="D659" s="31"/>
      <c r="E659" s="32" t="str">
        <f>IFERROR(_xlfn.XLOOKUP($B659,Transporte[DESCRIPCION],Transporte[VALOR],,0),"")</f>
        <v/>
      </c>
      <c r="F659" s="33"/>
      <c r="G659" s="34" t="str">
        <f>IFERROR(IF(F659&gt;=0,D659*E659*(1+F659/100),ABS(D659*E659/F659)),"")</f>
        <v/>
      </c>
      <c r="H659" s="43" t="str">
        <f>IFERROR(G659*E645,"")</f>
        <v/>
      </c>
      <c r="I659" s="3"/>
    </row>
    <row r="660" spans="1:11" ht="12.75" customHeight="1">
      <c r="A660" s="21"/>
      <c r="B660" s="22" t="s">
        <v>3732</v>
      </c>
      <c r="C660" s="23"/>
      <c r="D660" s="24"/>
      <c r="E660" s="25"/>
      <c r="F660" s="26"/>
      <c r="G660" s="27">
        <f>SUM(G661:G663)</f>
        <v>20959.383393000004</v>
      </c>
      <c r="H660" s="27">
        <f>IFERROR(G660*E645,"")</f>
        <v>0</v>
      </c>
      <c r="I660" s="3"/>
    </row>
    <row r="661" spans="1:11" ht="12.75" customHeight="1">
      <c r="A661" s="28"/>
      <c r="B661" s="29" t="s">
        <v>3710</v>
      </c>
      <c r="C661" s="30" t="str">
        <f>IFERROR(_xlfn.XLOOKUP(B661,MObra[DESCRIPCION],MObra[UN],,0),"")</f>
        <v>día</v>
      </c>
      <c r="D661" s="31">
        <v>1</v>
      </c>
      <c r="E661" s="32">
        <f>IFERROR(_xlfn.XLOOKUP($B661,MObra[DESCRIPCION],MObra[VALOR UNIT],,0),"")</f>
        <v>314390.75089500006</v>
      </c>
      <c r="F661" s="33">
        <v>-15</v>
      </c>
      <c r="G661" s="34">
        <f>IFERROR(IF(F661&gt;=0,D661*E661*(1+F661/100),ABS(D661*E661/F661)),"")</f>
        <v>20959.383393000004</v>
      </c>
      <c r="H661" s="43">
        <f>IFERROR(G661*E645,"")</f>
        <v>0</v>
      </c>
      <c r="I661" s="3"/>
    </row>
    <row r="662" spans="1:11" ht="12.75" customHeight="1">
      <c r="A662" s="28"/>
      <c r="B662" s="29"/>
      <c r="C662" s="30" t="str">
        <f>IFERROR(_xlfn.XLOOKUP(B662,MObra[DESCRIPCION],MObra[UN],,0),"")</f>
        <v/>
      </c>
      <c r="D662" s="31"/>
      <c r="E662" s="32" t="str">
        <f>IFERROR(_xlfn.XLOOKUP($B662,MObra[DESCRIPCION],MObra[VALOR UNIT],,0),"")</f>
        <v/>
      </c>
      <c r="F662" s="33"/>
      <c r="G662" s="34" t="str">
        <f>IFERROR(IF(F662&gt;=0,D662*E662*(1+F662/100),ABS(D662*E662/F662)),"")</f>
        <v/>
      </c>
      <c r="H662" s="43" t="str">
        <f>IFERROR(G662*E645,"")</f>
        <v/>
      </c>
      <c r="I662" s="3"/>
    </row>
    <row r="663" spans="1:11" ht="12.75" customHeight="1" thickBot="1">
      <c r="A663" s="35"/>
      <c r="B663" s="36"/>
      <c r="C663" s="37" t="str">
        <f>IFERROR(_xlfn.XLOOKUP(B663,MObra[DESCRIPCION],MObra[UN],,0),"")</f>
        <v/>
      </c>
      <c r="D663" s="38"/>
      <c r="E663" s="39" t="str">
        <f>IFERROR(_xlfn.XLOOKUP($B663,MObra[DESCRIPCION],MObra[VALOR UNIT],,0),"")</f>
        <v/>
      </c>
      <c r="F663" s="40"/>
      <c r="G663" s="41" t="str">
        <f>IFERROR(IF(F663&gt;=0,D663*E663*(1+F663/100),ABS(D663*E663/F663)),"")</f>
        <v/>
      </c>
      <c r="H663" s="42" t="str">
        <f>IFERROR(G663*E645,"")</f>
        <v/>
      </c>
      <c r="I663" s="3"/>
    </row>
    <row r="664" spans="1:11" ht="12.75" customHeight="1" thickTop="1" thickBot="1">
      <c r="I664" s="3"/>
    </row>
    <row r="665" spans="1:11" ht="12.75" customHeight="1" thickTop="1" thickBot="1">
      <c r="A665" s="6" t="s">
        <v>1621</v>
      </c>
      <c r="B665" s="7" t="str">
        <f>VLOOKUP($A665,Presupuesto!$A:$D,2,FALSE())</f>
        <v>Puerta corrediza aluminio Pc744</v>
      </c>
      <c r="C665" s="8" t="str">
        <f>VLOOKUP($A665,Presupuesto!$A:$D,3,FALSE())</f>
        <v>M2</v>
      </c>
      <c r="D665" s="9"/>
      <c r="E665" s="10">
        <f>VLOOKUP($A665,Presupuesto!$A:$D,4,FALSE())</f>
        <v>0</v>
      </c>
      <c r="F665" s="11" t="s">
        <v>2589</v>
      </c>
      <c r="G665" s="12">
        <f>SUM(G667:G683)/2</f>
        <v>383473.61762719008</v>
      </c>
      <c r="H665" s="13">
        <f>ROUND(SUM(H667:H683),0)/2</f>
        <v>0</v>
      </c>
      <c r="I665" s="10">
        <f>VLOOKUP(A665,Presupuesto!$A:$F,6,0)</f>
        <v>0</v>
      </c>
      <c r="J665" s="10">
        <f>+H665-I665</f>
        <v>0</v>
      </c>
      <c r="K665" s="46">
        <f>+H665-G665*E665</f>
        <v>0</v>
      </c>
    </row>
    <row r="666" spans="1:11" ht="12.75" customHeight="1" thickTop="1">
      <c r="A666" s="14"/>
      <c r="B666" s="15" t="s">
        <v>2586</v>
      </c>
      <c r="C666" s="15" t="s">
        <v>5</v>
      </c>
      <c r="D666" s="16" t="s">
        <v>6</v>
      </c>
      <c r="E666" s="17" t="s">
        <v>7</v>
      </c>
      <c r="F666" s="18" t="s">
        <v>3728</v>
      </c>
      <c r="G666" s="19" t="s">
        <v>3729</v>
      </c>
      <c r="H666" s="20" t="s">
        <v>3797</v>
      </c>
      <c r="I666" s="3"/>
    </row>
    <row r="667" spans="1:11" ht="12.75" customHeight="1">
      <c r="A667" s="21"/>
      <c r="B667" s="22" t="s">
        <v>3730</v>
      </c>
      <c r="C667" s="23"/>
      <c r="D667" s="24"/>
      <c r="E667" s="25"/>
      <c r="F667" s="26"/>
      <c r="G667" s="27">
        <f>SUM(G668:G672)</f>
        <v>342209.83157222136</v>
      </c>
      <c r="H667" s="27">
        <f>IFERROR(G667*E665,"")</f>
        <v>0</v>
      </c>
      <c r="I667" s="3"/>
    </row>
    <row r="668" spans="1:11" ht="12.75" customHeight="1">
      <c r="A668" s="28"/>
      <c r="B668" s="29" t="s">
        <v>3248</v>
      </c>
      <c r="C668" s="30" t="str">
        <f>IFERROR(_xlfn.XLOOKUP(B668,Insumo[DESCRIPCION],Insumo[UND],,0),"")</f>
        <v>M2</v>
      </c>
      <c r="D668" s="31">
        <v>1</v>
      </c>
      <c r="E668" s="32">
        <f>IFERROR(_xlfn.XLOOKUP($B668,Insumo[DESCRIPCION],Insumo[VALOR],,0),"")</f>
        <v>318255</v>
      </c>
      <c r="F668" s="33"/>
      <c r="G668" s="34">
        <f>IFERROR(IF(F668&gt;=0,D668*E668*(1+F668/100),ABS(D668*E668/F668)),"")</f>
        <v>318255</v>
      </c>
      <c r="H668" s="43">
        <f>IFERROR(G668*E665,"")</f>
        <v>0</v>
      </c>
      <c r="I668" s="3"/>
    </row>
    <row r="669" spans="1:11" ht="12.75" customHeight="1">
      <c r="A669" s="28"/>
      <c r="B669" s="29" t="s">
        <v>2708</v>
      </c>
      <c r="C669" s="30" t="str">
        <f>IFERROR(_xlfn.XLOOKUP(B669,Insumo[DESCRIPCION],Insumo[UND],,0),"")</f>
        <v>galón</v>
      </c>
      <c r="D669" s="31">
        <v>0.12</v>
      </c>
      <c r="E669" s="32">
        <f>IFERROR(_xlfn.XLOOKUP($B669,Insumo[DESCRIPCION],Insumo[VALOR],,0),"")</f>
        <v>97886.25</v>
      </c>
      <c r="F669" s="33"/>
      <c r="G669" s="34">
        <f>IFERROR(IF(F669&gt;=0,D669*E669*(1+F669/100),ABS(D669*E669/F669)),"")</f>
        <v>11746.35</v>
      </c>
      <c r="H669" s="43">
        <f>IFERROR(G669*E665,"")</f>
        <v>0</v>
      </c>
      <c r="I669" s="3"/>
    </row>
    <row r="670" spans="1:11" ht="12.75" customHeight="1">
      <c r="A670" s="28"/>
      <c r="B670" s="29" t="s">
        <v>2925</v>
      </c>
      <c r="C670" s="30" t="str">
        <f>IFERROR(_xlfn.XLOOKUP(B670,Insumo[DESCRIPCION],Insumo[UND],,0),"")</f>
        <v>Lt</v>
      </c>
      <c r="D670" s="31">
        <v>0.25</v>
      </c>
      <c r="E670" s="32">
        <f>IFERROR(_xlfn.XLOOKUP($B670,Insumo[DESCRIPCION],Insumo[VALOR],,0),"")</f>
        <v>28923.300000000003</v>
      </c>
      <c r="F670" s="33"/>
      <c r="G670" s="34">
        <f>IFERROR(IF(F670&gt;=0,D670*E670*(1+F670/100),ABS(D670*E670/F670)),"")</f>
        <v>7230.8250000000007</v>
      </c>
      <c r="H670" s="43">
        <f>IFERROR(G670*E665,"")</f>
        <v>0</v>
      </c>
      <c r="I670" s="3"/>
    </row>
    <row r="671" spans="1:11" ht="12.75" customHeight="1">
      <c r="A671" s="28"/>
      <c r="B671" s="29" t="s">
        <v>3244</v>
      </c>
      <c r="C671" s="30" t="str">
        <f>IFERROR(_xlfn.XLOOKUP(B671,Insumo[DESCRIPCION],Insumo[UND],,0),"")</f>
        <v>M3</v>
      </c>
      <c r="D671" s="31">
        <v>0.01</v>
      </c>
      <c r="E671" s="32">
        <f>IFERROR(_xlfn.XLOOKUP($B671,Insumo[DESCRIPCION],Insumo[VALOR],,0),"")</f>
        <v>497765.65722213761</v>
      </c>
      <c r="F671" s="33"/>
      <c r="G671" s="34">
        <f>IFERROR(IF(F671&gt;=0,D671*E671*(1+F671/100),ABS(D671*E671/F671)),"")</f>
        <v>4977.6565722213763</v>
      </c>
      <c r="H671" s="43">
        <f>IFERROR(G671*E665,"")</f>
        <v>0</v>
      </c>
      <c r="I671" s="3"/>
    </row>
    <row r="672" spans="1:11" ht="12.75" customHeight="1">
      <c r="A672" s="28"/>
      <c r="B672" s="29"/>
      <c r="C672" s="30" t="str">
        <f>IFERROR(_xlfn.XLOOKUP(B672,Insumo[DESCRIPCION],Insumo[UND],,0),"")</f>
        <v/>
      </c>
      <c r="D672" s="31"/>
      <c r="E672" s="32" t="str">
        <f>IFERROR(_xlfn.XLOOKUP($B672,Insumo[DESCRIPCION],Insumo[VALOR],,0),"")</f>
        <v/>
      </c>
      <c r="F672" s="33"/>
      <c r="G672" s="34" t="str">
        <f>IFERROR(IF(F672&gt;=0,D672*E672*(1+F672/100),ABS(D672*E672/F672)),"")</f>
        <v/>
      </c>
      <c r="H672" s="43" t="str">
        <f>IFERROR(G672*E665,"")</f>
        <v/>
      </c>
      <c r="I672" s="3"/>
    </row>
    <row r="673" spans="1:11" ht="12.75" customHeight="1">
      <c r="A673" s="21"/>
      <c r="B673" s="22" t="s">
        <v>3731</v>
      </c>
      <c r="C673" s="23"/>
      <c r="D673" s="24"/>
      <c r="E673" s="25"/>
      <c r="F673" s="26"/>
      <c r="G673" s="27">
        <f>SUM(G674:G676)</f>
        <v>1964.9421930937506</v>
      </c>
      <c r="H673" s="27">
        <f>IFERROR(G673*E665,"")</f>
        <v>0</v>
      </c>
      <c r="I673" s="3"/>
    </row>
    <row r="674" spans="1:11" ht="12.75" customHeight="1">
      <c r="A674" s="28"/>
      <c r="B674" s="29" t="s">
        <v>3626</v>
      </c>
      <c r="C674" s="30" t="str">
        <f>IFERROR(_xlfn.XLOOKUP(B674,Equipo[DESCRIPCION],Equipo[UND],,0),"")</f>
        <v>%MO</v>
      </c>
      <c r="D674" s="31">
        <v>0.05</v>
      </c>
      <c r="E674" s="32">
        <f>IF(C674="%MO",G680,IFERROR(_xlfn.XLOOKUP($B674,Equipo[DESCRIPCION],Equipo[VALOR],,0),""))</f>
        <v>39298.843861875008</v>
      </c>
      <c r="F674" s="33"/>
      <c r="G674" s="34">
        <f>IFERROR(IF(F674&gt;=0,D674*E674*(1+F674/100),ABS(D674*E674/F674)),"")</f>
        <v>1964.9421930937506</v>
      </c>
      <c r="H674" s="43">
        <f>IFERROR(G674*E665,"")</f>
        <v>0</v>
      </c>
      <c r="I674" s="3"/>
    </row>
    <row r="675" spans="1:11" ht="12.75" customHeight="1">
      <c r="A675" s="28"/>
      <c r="B675" s="29"/>
      <c r="C675" s="30" t="str">
        <f>IFERROR(_xlfn.XLOOKUP(B675,Equipo[DESCRIPCION],Equipo[UND],,0),"")</f>
        <v/>
      </c>
      <c r="D675" s="31"/>
      <c r="E675" s="32" t="str">
        <f>IF(C675="%MO",G680,IFERROR(_xlfn.XLOOKUP($B675,Equipo[DESCRIPCION],Equipo[VALOR],,0),""))</f>
        <v/>
      </c>
      <c r="F675" s="33"/>
      <c r="G675" s="34" t="str">
        <f>IFERROR(IF(F675&gt;=0,D675*E675*(1+F675/100),ABS(D675*E675/F675)),"")</f>
        <v/>
      </c>
      <c r="H675" s="43" t="str">
        <f>IFERROR(G675*E665,"")</f>
        <v/>
      </c>
      <c r="I675" s="3"/>
    </row>
    <row r="676" spans="1:11" ht="12.75" customHeight="1">
      <c r="A676" s="28"/>
      <c r="B676" s="29"/>
      <c r="C676" s="30" t="str">
        <f>IFERROR(_xlfn.XLOOKUP(B676,Equipo[DESCRIPCION],Equipo[UND],,0),"")</f>
        <v/>
      </c>
      <c r="D676" s="31"/>
      <c r="E676" s="32" t="str">
        <f>IF(C676="%MO",G680,IFERROR(_xlfn.XLOOKUP($B676,Equipo[DESCRIPCION],Equipo[VALOR],,0),""))</f>
        <v/>
      </c>
      <c r="F676" s="33"/>
      <c r="G676" s="34" t="str">
        <f>IFERROR(IF(F676&gt;=0,D676*E676*(1+F676/100),ABS(D676*E676/F676)),"")</f>
        <v/>
      </c>
      <c r="H676" s="43" t="str">
        <f>IFERROR(G676*E665,"")</f>
        <v/>
      </c>
      <c r="I676" s="3"/>
    </row>
    <row r="677" spans="1:11" ht="12.75" customHeight="1">
      <c r="A677" s="21"/>
      <c r="B677" s="22" t="s">
        <v>2533</v>
      </c>
      <c r="C677" s="23"/>
      <c r="D677" s="24"/>
      <c r="E677" s="25"/>
      <c r="F677" s="26"/>
      <c r="G677" s="27">
        <f>SUM(G678:G679)</f>
        <v>0</v>
      </c>
      <c r="H677" s="27">
        <f>IFERROR(G677*E665,"")</f>
        <v>0</v>
      </c>
      <c r="I677" s="3"/>
    </row>
    <row r="678" spans="1:11" ht="12.75" customHeight="1">
      <c r="A678" s="28"/>
      <c r="B678" s="29"/>
      <c r="C678" s="30" t="str">
        <f>IFERROR(_xlfn.XLOOKUP(B678,Transporte[DESCRIPCION],Transporte[UND],,0),"")</f>
        <v/>
      </c>
      <c r="D678" s="31"/>
      <c r="E678" s="32" t="str">
        <f>IFERROR(_xlfn.XLOOKUP($B678,Transporte[DESCRIPCION],Transporte[VALOR],,0),"")</f>
        <v/>
      </c>
      <c r="F678" s="33"/>
      <c r="G678" s="34" t="str">
        <f>IFERROR(IF(F678&gt;=0,D678*E678*(1+F678/100),ABS(D678*E678/F678)),"")</f>
        <v/>
      </c>
      <c r="H678" s="43" t="str">
        <f>IFERROR(G678*E665,"")</f>
        <v/>
      </c>
      <c r="I678" s="3"/>
    </row>
    <row r="679" spans="1:11" ht="12.75" customHeight="1">
      <c r="A679" s="28"/>
      <c r="B679" s="29"/>
      <c r="C679" s="30" t="str">
        <f>IFERROR(_xlfn.XLOOKUP(B679,Transporte[DESCRIPCION],Transporte[UND],,0),"")</f>
        <v/>
      </c>
      <c r="D679" s="31"/>
      <c r="E679" s="32" t="str">
        <f>IFERROR(_xlfn.XLOOKUP($B679,Transporte[DESCRIPCION],Transporte[VALOR],,0),"")</f>
        <v/>
      </c>
      <c r="F679" s="33"/>
      <c r="G679" s="34" t="str">
        <f>IFERROR(IF(F679&gt;=0,D679*E679*(1+F679/100),ABS(D679*E679/F679)),"")</f>
        <v/>
      </c>
      <c r="H679" s="43" t="str">
        <f>IFERROR(G679*E665,"")</f>
        <v/>
      </c>
      <c r="I679" s="3"/>
    </row>
    <row r="680" spans="1:11" ht="12.75" customHeight="1">
      <c r="A680" s="21"/>
      <c r="B680" s="22" t="s">
        <v>3732</v>
      </c>
      <c r="C680" s="23"/>
      <c r="D680" s="24"/>
      <c r="E680" s="25"/>
      <c r="F680" s="26"/>
      <c r="G680" s="27">
        <f>SUM(G681:G683)</f>
        <v>39298.843861875008</v>
      </c>
      <c r="H680" s="27">
        <f>IFERROR(G680*E665,"")</f>
        <v>0</v>
      </c>
      <c r="I680" s="3"/>
    </row>
    <row r="681" spans="1:11" ht="12.75" customHeight="1">
      <c r="A681" s="28"/>
      <c r="B681" s="29" t="s">
        <v>3710</v>
      </c>
      <c r="C681" s="30" t="str">
        <f>IFERROR(_xlfn.XLOOKUP(B681,MObra[DESCRIPCION],MObra[UN],,0),"")</f>
        <v>día</v>
      </c>
      <c r="D681" s="31">
        <v>1</v>
      </c>
      <c r="E681" s="32">
        <f>IFERROR(_xlfn.XLOOKUP($B681,MObra[DESCRIPCION],MObra[VALOR UNIT],,0),"")</f>
        <v>314390.75089500006</v>
      </c>
      <c r="F681" s="33">
        <v>-8</v>
      </c>
      <c r="G681" s="34">
        <f>IFERROR(IF(F681&gt;=0,D681*E681*(1+F681/100),ABS(D681*E681/F681)),"")</f>
        <v>39298.843861875008</v>
      </c>
      <c r="H681" s="43">
        <f>IFERROR(G681*E665,"")</f>
        <v>0</v>
      </c>
      <c r="I681" s="3"/>
    </row>
    <row r="682" spans="1:11" ht="12.75" customHeight="1">
      <c r="A682" s="28"/>
      <c r="B682" s="29"/>
      <c r="C682" s="30" t="str">
        <f>IFERROR(_xlfn.XLOOKUP(B682,MObra[DESCRIPCION],MObra[UN],,0),"")</f>
        <v/>
      </c>
      <c r="D682" s="31"/>
      <c r="E682" s="32" t="str">
        <f>IFERROR(_xlfn.XLOOKUP($B682,MObra[DESCRIPCION],MObra[VALOR UNIT],,0),"")</f>
        <v/>
      </c>
      <c r="F682" s="33"/>
      <c r="G682" s="34" t="str">
        <f>IFERROR(IF(F682&gt;=0,D682*E682*(1+F682/100),ABS(D682*E682/F682)),"")</f>
        <v/>
      </c>
      <c r="H682" s="43" t="str">
        <f>IFERROR(G682*E665,"")</f>
        <v/>
      </c>
      <c r="I682" s="3"/>
    </row>
    <row r="683" spans="1:11" ht="12.75" customHeight="1" thickBot="1">
      <c r="A683" s="35"/>
      <c r="B683" s="36"/>
      <c r="C683" s="37" t="str">
        <f>IFERROR(_xlfn.XLOOKUP(B683,MObra[DESCRIPCION],MObra[UN],,0),"")</f>
        <v/>
      </c>
      <c r="D683" s="38"/>
      <c r="E683" s="39" t="str">
        <f>IFERROR(_xlfn.XLOOKUP($B683,MObra[DESCRIPCION],MObra[VALOR UNIT],,0),"")</f>
        <v/>
      </c>
      <c r="F683" s="40"/>
      <c r="G683" s="41" t="str">
        <f>IFERROR(IF(F683&gt;=0,D683*E683*(1+F683/100),ABS(D683*E683/F683)),"")</f>
        <v/>
      </c>
      <c r="H683" s="42" t="str">
        <f>IFERROR(G683*E665,"")</f>
        <v/>
      </c>
      <c r="I683" s="3"/>
    </row>
    <row r="684" spans="1:11" ht="12.75" customHeight="1" thickTop="1" thickBot="1">
      <c r="I684" s="3"/>
    </row>
    <row r="685" spans="1:11" ht="12.75" customHeight="1" thickTop="1" thickBot="1">
      <c r="A685" s="6" t="s">
        <v>1623</v>
      </c>
      <c r="B685" s="7" t="str">
        <f>VLOOKUP($A685,Presupuesto!$A:$D,2,FALSE())</f>
        <v>Puerta lámina C 20 de 0.60 &lt; ancho &lt;= 1.0</v>
      </c>
      <c r="C685" s="8" t="str">
        <f>VLOOKUP($A685,Presupuesto!$A:$D,3,FALSE())</f>
        <v>M2</v>
      </c>
      <c r="D685" s="9"/>
      <c r="E685" s="10">
        <f>VLOOKUP($A685,Presupuesto!$A:$D,4,FALSE())</f>
        <v>0</v>
      </c>
      <c r="F685" s="11" t="s">
        <v>2589</v>
      </c>
      <c r="G685" s="12">
        <f>SUM(G687:G703)/2</f>
        <v>398450.54455106775</v>
      </c>
      <c r="H685" s="13">
        <f>ROUND(SUM(H687:H703),0)/2</f>
        <v>0</v>
      </c>
      <c r="I685" s="10">
        <f>VLOOKUP(A685,Presupuesto!$A:$F,6,0)</f>
        <v>0</v>
      </c>
      <c r="J685" s="10">
        <f>+H685-I685</f>
        <v>0</v>
      </c>
      <c r="K685" s="46">
        <f>+H685-G685*E685</f>
        <v>0</v>
      </c>
    </row>
    <row r="686" spans="1:11" ht="12.75" customHeight="1" thickTop="1">
      <c r="A686" s="14"/>
      <c r="B686" s="15" t="s">
        <v>2586</v>
      </c>
      <c r="C686" s="15" t="s">
        <v>5</v>
      </c>
      <c r="D686" s="16" t="s">
        <v>6</v>
      </c>
      <c r="E686" s="17" t="s">
        <v>7</v>
      </c>
      <c r="F686" s="18" t="s">
        <v>3728</v>
      </c>
      <c r="G686" s="19" t="s">
        <v>3729</v>
      </c>
      <c r="H686" s="20" t="s">
        <v>3797</v>
      </c>
      <c r="I686" s="3"/>
    </row>
    <row r="687" spans="1:11" ht="12.75" customHeight="1">
      <c r="A687" s="21"/>
      <c r="B687" s="22" t="s">
        <v>3730</v>
      </c>
      <c r="C687" s="23"/>
      <c r="D687" s="24"/>
      <c r="E687" s="25"/>
      <c r="F687" s="26"/>
      <c r="G687" s="27">
        <f>SUM(G688:G692)</f>
        <v>343432.16314444278</v>
      </c>
      <c r="H687" s="27">
        <f>IFERROR(G687*E685,"")</f>
        <v>0</v>
      </c>
      <c r="I687" s="3"/>
    </row>
    <row r="688" spans="1:11" ht="12.75" customHeight="1">
      <c r="A688" s="28"/>
      <c r="B688" s="29" t="s">
        <v>3249</v>
      </c>
      <c r="C688" s="30" t="str">
        <f>IFERROR(_xlfn.XLOOKUP(B688,Insumo[DESCRIPCION],Insumo[UND],,0),"")</f>
        <v>M2</v>
      </c>
      <c r="D688" s="31">
        <v>1</v>
      </c>
      <c r="E688" s="32">
        <f>IFERROR(_xlfn.XLOOKUP($B688,Insumo[DESCRIPCION],Insumo[VALOR],,0),"")</f>
        <v>295522.5</v>
      </c>
      <c r="F688" s="33"/>
      <c r="G688" s="34">
        <f>IFERROR(IF(F688&gt;=0,D688*E688*(1+F688/100),ABS(D688*E688/F688)),"")</f>
        <v>295522.5</v>
      </c>
      <c r="H688" s="43">
        <f>IFERROR(G688*E685,"")</f>
        <v>0</v>
      </c>
      <c r="I688" s="3"/>
    </row>
    <row r="689" spans="1:9" ht="12.75" customHeight="1">
      <c r="A689" s="28"/>
      <c r="B689" s="29" t="s">
        <v>2708</v>
      </c>
      <c r="C689" s="30" t="str">
        <f>IFERROR(_xlfn.XLOOKUP(B689,Insumo[DESCRIPCION],Insumo[UND],,0),"")</f>
        <v>galón</v>
      </c>
      <c r="D689" s="31">
        <v>0.24</v>
      </c>
      <c r="E689" s="32">
        <f>IFERROR(_xlfn.XLOOKUP($B689,Insumo[DESCRIPCION],Insumo[VALOR],,0),"")</f>
        <v>97886.25</v>
      </c>
      <c r="F689" s="33"/>
      <c r="G689" s="34">
        <f>IFERROR(IF(F689&gt;=0,D689*E689*(1+F689/100),ABS(D689*E689/F689)),"")</f>
        <v>23492.7</v>
      </c>
      <c r="H689" s="43">
        <f>IFERROR(G689*E685,"")</f>
        <v>0</v>
      </c>
      <c r="I689" s="3"/>
    </row>
    <row r="690" spans="1:9" ht="12.75" customHeight="1">
      <c r="A690" s="28"/>
      <c r="B690" s="29" t="s">
        <v>2925</v>
      </c>
      <c r="C690" s="30" t="str">
        <f>IFERROR(_xlfn.XLOOKUP(B690,Insumo[DESCRIPCION],Insumo[UND],,0),"")</f>
        <v>Lt</v>
      </c>
      <c r="D690" s="31">
        <v>0.5</v>
      </c>
      <c r="E690" s="32">
        <f>IFERROR(_xlfn.XLOOKUP($B690,Insumo[DESCRIPCION],Insumo[VALOR],,0),"")</f>
        <v>28923.300000000003</v>
      </c>
      <c r="F690" s="33"/>
      <c r="G690" s="34">
        <f>IFERROR(IF(F690&gt;=0,D690*E690*(1+F690/100),ABS(D690*E690/F690)),"")</f>
        <v>14461.650000000001</v>
      </c>
      <c r="H690" s="43">
        <f>IFERROR(G690*E685,"")</f>
        <v>0</v>
      </c>
      <c r="I690" s="3"/>
    </row>
    <row r="691" spans="1:9" ht="12.75" customHeight="1">
      <c r="A691" s="28"/>
      <c r="B691" s="29" t="s">
        <v>3244</v>
      </c>
      <c r="C691" s="30" t="str">
        <f>IFERROR(_xlfn.XLOOKUP(B691,Insumo[DESCRIPCION],Insumo[UND],,0),"")</f>
        <v>M3</v>
      </c>
      <c r="D691" s="31">
        <v>0.02</v>
      </c>
      <c r="E691" s="32">
        <f>IFERROR(_xlfn.XLOOKUP($B691,Insumo[DESCRIPCION],Insumo[VALOR],,0),"")</f>
        <v>497765.65722213761</v>
      </c>
      <c r="F691" s="33"/>
      <c r="G691" s="34">
        <f>IFERROR(IF(F691&gt;=0,D691*E691*(1+F691/100),ABS(D691*E691/F691)),"")</f>
        <v>9955.3131444427527</v>
      </c>
      <c r="H691" s="43">
        <f>IFERROR(G691*E685,"")</f>
        <v>0</v>
      </c>
      <c r="I691" s="3"/>
    </row>
    <row r="692" spans="1:9" ht="12.75" customHeight="1">
      <c r="A692" s="28"/>
      <c r="B692" s="29"/>
      <c r="C692" s="30" t="str">
        <f>IFERROR(_xlfn.XLOOKUP(B692,Insumo[DESCRIPCION],Insumo[UND],,0),"")</f>
        <v/>
      </c>
      <c r="D692" s="31"/>
      <c r="E692" s="32" t="str">
        <f>IFERROR(_xlfn.XLOOKUP($B692,Insumo[DESCRIPCION],Insumo[VALOR],,0),"")</f>
        <v/>
      </c>
      <c r="F692" s="33"/>
      <c r="G692" s="34" t="str">
        <f>IFERROR(IF(F692&gt;=0,D692*E692*(1+F692/100),ABS(D692*E692/F692)),"")</f>
        <v/>
      </c>
      <c r="H692" s="43" t="str">
        <f>IFERROR(G692*E685,"")</f>
        <v/>
      </c>
      <c r="I692" s="3"/>
    </row>
    <row r="693" spans="1:9" ht="12.75" customHeight="1">
      <c r="A693" s="21"/>
      <c r="B693" s="22" t="s">
        <v>3731</v>
      </c>
      <c r="C693" s="23"/>
      <c r="D693" s="24"/>
      <c r="E693" s="25"/>
      <c r="F693" s="26"/>
      <c r="G693" s="27">
        <f>SUM(G694:G696)</f>
        <v>2619.9229241250009</v>
      </c>
      <c r="H693" s="27">
        <f>IFERROR(G693*E685,"")</f>
        <v>0</v>
      </c>
      <c r="I693" s="3"/>
    </row>
    <row r="694" spans="1:9" ht="12.75" customHeight="1">
      <c r="A694" s="28"/>
      <c r="B694" s="29" t="s">
        <v>3626</v>
      </c>
      <c r="C694" s="30" t="str">
        <f>IFERROR(_xlfn.XLOOKUP(B694,Equipo[DESCRIPCION],Equipo[UND],,0),"")</f>
        <v>%MO</v>
      </c>
      <c r="D694" s="31">
        <v>0.05</v>
      </c>
      <c r="E694" s="32">
        <f>IF(C694="%MO",G700,IFERROR(_xlfn.XLOOKUP($B694,Equipo[DESCRIPCION],Equipo[VALOR],,0),""))</f>
        <v>52398.458482500013</v>
      </c>
      <c r="F694" s="33"/>
      <c r="G694" s="34">
        <f>IFERROR(IF(F694&gt;=0,D694*E694*(1+F694/100),ABS(D694*E694/F694)),"")</f>
        <v>2619.9229241250009</v>
      </c>
      <c r="H694" s="43">
        <f>IFERROR(G694*E685,"")</f>
        <v>0</v>
      </c>
      <c r="I694" s="3"/>
    </row>
    <row r="695" spans="1:9" ht="12.75" customHeight="1">
      <c r="A695" s="28"/>
      <c r="B695" s="29"/>
      <c r="C695" s="30" t="str">
        <f>IFERROR(_xlfn.XLOOKUP(B695,Equipo[DESCRIPCION],Equipo[UND],,0),"")</f>
        <v/>
      </c>
      <c r="D695" s="31"/>
      <c r="E695" s="32" t="str">
        <f>IF(C695="%MO",G700,IFERROR(_xlfn.XLOOKUP($B695,Equipo[DESCRIPCION],Equipo[VALOR],,0),""))</f>
        <v/>
      </c>
      <c r="F695" s="33"/>
      <c r="G695" s="34" t="str">
        <f>IFERROR(IF(F695&gt;=0,D695*E695*(1+F695/100),ABS(D695*E695/F695)),"")</f>
        <v/>
      </c>
      <c r="H695" s="43" t="str">
        <f>IFERROR(G695*E685,"")</f>
        <v/>
      </c>
      <c r="I695" s="3"/>
    </row>
    <row r="696" spans="1:9" ht="12.75" customHeight="1">
      <c r="A696" s="28"/>
      <c r="B696" s="29"/>
      <c r="C696" s="30" t="str">
        <f>IFERROR(_xlfn.XLOOKUP(B696,Equipo[DESCRIPCION],Equipo[UND],,0),"")</f>
        <v/>
      </c>
      <c r="D696" s="31"/>
      <c r="E696" s="32" t="str">
        <f>IF(C696="%MO",G700,IFERROR(_xlfn.XLOOKUP($B696,Equipo[DESCRIPCION],Equipo[VALOR],,0),""))</f>
        <v/>
      </c>
      <c r="F696" s="33"/>
      <c r="G696" s="34" t="str">
        <f>IFERROR(IF(F696&gt;=0,D696*E696*(1+F696/100),ABS(D696*E696/F696)),"")</f>
        <v/>
      </c>
      <c r="H696" s="43" t="str">
        <f>IFERROR(G696*E685,"")</f>
        <v/>
      </c>
      <c r="I696" s="3"/>
    </row>
    <row r="697" spans="1:9" ht="12.75" customHeight="1">
      <c r="A697" s="21"/>
      <c r="B697" s="22" t="s">
        <v>2533</v>
      </c>
      <c r="C697" s="23"/>
      <c r="D697" s="24"/>
      <c r="E697" s="25"/>
      <c r="F697" s="26"/>
      <c r="G697" s="27">
        <f>SUM(G698:G699)</f>
        <v>0</v>
      </c>
      <c r="H697" s="27">
        <f>IFERROR(G697*E685,"")</f>
        <v>0</v>
      </c>
      <c r="I697" s="3"/>
    </row>
    <row r="698" spans="1:9" ht="12.75" customHeight="1">
      <c r="A698" s="28"/>
      <c r="B698" s="29"/>
      <c r="C698" s="30" t="str">
        <f>IFERROR(_xlfn.XLOOKUP(B698,Transporte[DESCRIPCION],Transporte[UND],,0),"")</f>
        <v/>
      </c>
      <c r="D698" s="31"/>
      <c r="E698" s="32" t="str">
        <f>IFERROR(_xlfn.XLOOKUP($B698,Transporte[DESCRIPCION],Transporte[VALOR],,0),"")</f>
        <v/>
      </c>
      <c r="F698" s="33"/>
      <c r="G698" s="34" t="str">
        <f>IFERROR(IF(F698&gt;=0,D698*E698*(1+F698/100),ABS(D698*E698/F698)),"")</f>
        <v/>
      </c>
      <c r="H698" s="43" t="str">
        <f>IFERROR(G698*E685,"")</f>
        <v/>
      </c>
      <c r="I698" s="3"/>
    </row>
    <row r="699" spans="1:9" ht="12.75" customHeight="1">
      <c r="A699" s="28"/>
      <c r="B699" s="29"/>
      <c r="C699" s="30" t="str">
        <f>IFERROR(_xlfn.XLOOKUP(B699,Transporte[DESCRIPCION],Transporte[UND],,0),"")</f>
        <v/>
      </c>
      <c r="D699" s="31"/>
      <c r="E699" s="32" t="str">
        <f>IFERROR(_xlfn.XLOOKUP($B699,Transporte[DESCRIPCION],Transporte[VALOR],,0),"")</f>
        <v/>
      </c>
      <c r="F699" s="33"/>
      <c r="G699" s="34" t="str">
        <f>IFERROR(IF(F699&gt;=0,D699*E699*(1+F699/100),ABS(D699*E699/F699)),"")</f>
        <v/>
      </c>
      <c r="H699" s="43" t="str">
        <f>IFERROR(G699*E685,"")</f>
        <v/>
      </c>
      <c r="I699" s="3"/>
    </row>
    <row r="700" spans="1:9" ht="12.75" customHeight="1">
      <c r="A700" s="21"/>
      <c r="B700" s="22" t="s">
        <v>3732</v>
      </c>
      <c r="C700" s="23"/>
      <c r="D700" s="24"/>
      <c r="E700" s="25"/>
      <c r="F700" s="26"/>
      <c r="G700" s="27">
        <f>SUM(G701:G703)</f>
        <v>52398.458482500013</v>
      </c>
      <c r="H700" s="27">
        <f>IFERROR(G700*E685,"")</f>
        <v>0</v>
      </c>
      <c r="I700" s="3"/>
    </row>
    <row r="701" spans="1:9" ht="12.75" customHeight="1">
      <c r="A701" s="28"/>
      <c r="B701" s="29" t="s">
        <v>3710</v>
      </c>
      <c r="C701" s="30" t="str">
        <f>IFERROR(_xlfn.XLOOKUP(B701,MObra[DESCRIPCION],MObra[UN],,0),"")</f>
        <v>día</v>
      </c>
      <c r="D701" s="31">
        <v>1</v>
      </c>
      <c r="E701" s="32">
        <f>IFERROR(_xlfn.XLOOKUP($B701,MObra[DESCRIPCION],MObra[VALOR UNIT],,0),"")</f>
        <v>314390.75089500006</v>
      </c>
      <c r="F701" s="33">
        <v>-6</v>
      </c>
      <c r="G701" s="34">
        <f>IFERROR(IF(F701&gt;=0,D701*E701*(1+F701/100),ABS(D701*E701/F701)),"")</f>
        <v>52398.458482500013</v>
      </c>
      <c r="H701" s="43">
        <f>IFERROR(G701*E685,"")</f>
        <v>0</v>
      </c>
      <c r="I701" s="3"/>
    </row>
    <row r="702" spans="1:9" ht="12.75" customHeight="1">
      <c r="A702" s="28"/>
      <c r="B702" s="29"/>
      <c r="C702" s="30" t="str">
        <f>IFERROR(_xlfn.XLOOKUP(B702,MObra[DESCRIPCION],MObra[UN],,0),"")</f>
        <v/>
      </c>
      <c r="D702" s="31"/>
      <c r="E702" s="32" t="str">
        <f>IFERROR(_xlfn.XLOOKUP($B702,MObra[DESCRIPCION],MObra[VALOR UNIT],,0),"")</f>
        <v/>
      </c>
      <c r="F702" s="33"/>
      <c r="G702" s="34" t="str">
        <f>IFERROR(IF(F702&gt;=0,D702*E702*(1+F702/100),ABS(D702*E702/F702)),"")</f>
        <v/>
      </c>
      <c r="H702" s="43" t="str">
        <f>IFERROR(G702*E685,"")</f>
        <v/>
      </c>
      <c r="I702" s="3"/>
    </row>
    <row r="703" spans="1:9" ht="12.75" customHeight="1" thickBot="1">
      <c r="A703" s="35"/>
      <c r="B703" s="36"/>
      <c r="C703" s="37" t="str">
        <f>IFERROR(_xlfn.XLOOKUP(B703,MObra[DESCRIPCION],MObra[UN],,0),"")</f>
        <v/>
      </c>
      <c r="D703" s="38"/>
      <c r="E703" s="39" t="str">
        <f>IFERROR(_xlfn.XLOOKUP($B703,MObra[DESCRIPCION],MObra[VALOR UNIT],,0),"")</f>
        <v/>
      </c>
      <c r="F703" s="40"/>
      <c r="G703" s="41" t="str">
        <f>IFERROR(IF(F703&gt;=0,D703*E703*(1+F703/100),ABS(D703*E703/F703)),"")</f>
        <v/>
      </c>
      <c r="H703" s="42" t="str">
        <f>IFERROR(G703*E685,"")</f>
        <v/>
      </c>
      <c r="I703" s="3"/>
    </row>
    <row r="704" spans="1:9" ht="12.75" customHeight="1" thickTop="1" thickBot="1">
      <c r="I704" s="3"/>
    </row>
    <row r="705" spans="1:11" ht="12.75" customHeight="1" thickTop="1" thickBot="1">
      <c r="A705" s="6" t="s">
        <v>1625</v>
      </c>
      <c r="B705" s="7" t="str">
        <f>VLOOKUP($A705,Presupuesto!$A:$D,2,FALSE())</f>
        <v>Puerta lámina C 20 de 1.0 &lt; ancho &lt;= 2.4</v>
      </c>
      <c r="C705" s="8" t="str">
        <f>VLOOKUP($A705,Presupuesto!$A:$D,3,FALSE())</f>
        <v>M2</v>
      </c>
      <c r="D705" s="9"/>
      <c r="E705" s="10">
        <f>VLOOKUP($A705,Presupuesto!$A:$D,4,FALSE())</f>
        <v>0</v>
      </c>
      <c r="F705" s="11" t="s">
        <v>2589</v>
      </c>
      <c r="G705" s="12">
        <f>SUM(G707:G723)/2</f>
        <v>360741.11762719008</v>
      </c>
      <c r="H705" s="13">
        <f>ROUND(SUM(H707:H723),0)/2</f>
        <v>0</v>
      </c>
      <c r="I705" s="10">
        <f>VLOOKUP(A705,Presupuesto!$A:$F,6,0)</f>
        <v>0</v>
      </c>
      <c r="J705" s="10">
        <f>+H705-I705</f>
        <v>0</v>
      </c>
      <c r="K705" s="46">
        <f>+H705-G705*E705</f>
        <v>0</v>
      </c>
    </row>
    <row r="706" spans="1:11" ht="12.75" customHeight="1" thickTop="1">
      <c r="A706" s="14"/>
      <c r="B706" s="15" t="s">
        <v>2586</v>
      </c>
      <c r="C706" s="15" t="s">
        <v>5</v>
      </c>
      <c r="D706" s="16" t="s">
        <v>6</v>
      </c>
      <c r="E706" s="17" t="s">
        <v>7</v>
      </c>
      <c r="F706" s="18" t="s">
        <v>3728</v>
      </c>
      <c r="G706" s="19" t="s">
        <v>3729</v>
      </c>
      <c r="H706" s="20" t="s">
        <v>3797</v>
      </c>
      <c r="I706" s="3"/>
    </row>
    <row r="707" spans="1:11" ht="12.75" customHeight="1">
      <c r="A707" s="21"/>
      <c r="B707" s="22" t="s">
        <v>3730</v>
      </c>
      <c r="C707" s="23"/>
      <c r="D707" s="24"/>
      <c r="E707" s="25"/>
      <c r="F707" s="26"/>
      <c r="G707" s="27">
        <f>SUM(G708:G712)</f>
        <v>319477.33157222136</v>
      </c>
      <c r="H707" s="27">
        <f>IFERROR(G707*E705,"")</f>
        <v>0</v>
      </c>
      <c r="I707" s="3"/>
    </row>
    <row r="708" spans="1:11" ht="12.75" customHeight="1">
      <c r="A708" s="28"/>
      <c r="B708" s="29" t="s">
        <v>3249</v>
      </c>
      <c r="C708" s="30" t="str">
        <f>IFERROR(_xlfn.XLOOKUP(B708,Insumo[DESCRIPCION],Insumo[UND],,0),"")</f>
        <v>M2</v>
      </c>
      <c r="D708" s="31">
        <v>1</v>
      </c>
      <c r="E708" s="32">
        <f>IFERROR(_xlfn.XLOOKUP($B708,Insumo[DESCRIPCION],Insumo[VALOR],,0),"")</f>
        <v>295522.5</v>
      </c>
      <c r="F708" s="33"/>
      <c r="G708" s="34">
        <f>IFERROR(IF(F708&gt;=0,D708*E708*(1+F708/100),ABS(D708*E708/F708)),"")</f>
        <v>295522.5</v>
      </c>
      <c r="H708" s="43">
        <f>IFERROR(G708*E705,"")</f>
        <v>0</v>
      </c>
      <c r="I708" s="3"/>
    </row>
    <row r="709" spans="1:11" ht="12.75" customHeight="1">
      <c r="A709" s="28"/>
      <c r="B709" s="29" t="s">
        <v>2708</v>
      </c>
      <c r="C709" s="30" t="str">
        <f>IFERROR(_xlfn.XLOOKUP(B709,Insumo[DESCRIPCION],Insumo[UND],,0),"")</f>
        <v>galón</v>
      </c>
      <c r="D709" s="31">
        <v>0.12</v>
      </c>
      <c r="E709" s="32">
        <f>IFERROR(_xlfn.XLOOKUP($B709,Insumo[DESCRIPCION],Insumo[VALOR],,0),"")</f>
        <v>97886.25</v>
      </c>
      <c r="F709" s="33"/>
      <c r="G709" s="34">
        <f>IFERROR(IF(F709&gt;=0,D709*E709*(1+F709/100),ABS(D709*E709/F709)),"")</f>
        <v>11746.35</v>
      </c>
      <c r="H709" s="43">
        <f>IFERROR(G709*E705,"")</f>
        <v>0</v>
      </c>
      <c r="I709" s="3"/>
    </row>
    <row r="710" spans="1:11" ht="12.75" customHeight="1">
      <c r="A710" s="28"/>
      <c r="B710" s="29" t="s">
        <v>2925</v>
      </c>
      <c r="C710" s="30" t="str">
        <f>IFERROR(_xlfn.XLOOKUP(B710,Insumo[DESCRIPCION],Insumo[UND],,0),"")</f>
        <v>Lt</v>
      </c>
      <c r="D710" s="31">
        <v>0.25</v>
      </c>
      <c r="E710" s="32">
        <f>IFERROR(_xlfn.XLOOKUP($B710,Insumo[DESCRIPCION],Insumo[VALOR],,0),"")</f>
        <v>28923.300000000003</v>
      </c>
      <c r="F710" s="33"/>
      <c r="G710" s="34">
        <f>IFERROR(IF(F710&gt;=0,D710*E710*(1+F710/100),ABS(D710*E710/F710)),"")</f>
        <v>7230.8250000000007</v>
      </c>
      <c r="H710" s="43">
        <f>IFERROR(G710*E705,"")</f>
        <v>0</v>
      </c>
      <c r="I710" s="3"/>
    </row>
    <row r="711" spans="1:11" ht="12.75" customHeight="1">
      <c r="A711" s="28"/>
      <c r="B711" s="29" t="s">
        <v>3244</v>
      </c>
      <c r="C711" s="30" t="str">
        <f>IFERROR(_xlfn.XLOOKUP(B711,Insumo[DESCRIPCION],Insumo[UND],,0),"")</f>
        <v>M3</v>
      </c>
      <c r="D711" s="31">
        <v>0.01</v>
      </c>
      <c r="E711" s="32">
        <f>IFERROR(_xlfn.XLOOKUP($B711,Insumo[DESCRIPCION],Insumo[VALOR],,0),"")</f>
        <v>497765.65722213761</v>
      </c>
      <c r="F711" s="33"/>
      <c r="G711" s="34">
        <f>IFERROR(IF(F711&gt;=0,D711*E711*(1+F711/100),ABS(D711*E711/F711)),"")</f>
        <v>4977.6565722213763</v>
      </c>
      <c r="H711" s="43">
        <f>IFERROR(G711*E705,"")</f>
        <v>0</v>
      </c>
      <c r="I711" s="3"/>
    </row>
    <row r="712" spans="1:11" ht="12.75" customHeight="1">
      <c r="A712" s="28"/>
      <c r="B712" s="29"/>
      <c r="C712" s="30" t="str">
        <f>IFERROR(_xlfn.XLOOKUP(B712,Insumo[DESCRIPCION],Insumo[UND],,0),"")</f>
        <v/>
      </c>
      <c r="D712" s="31"/>
      <c r="E712" s="32" t="str">
        <f>IFERROR(_xlfn.XLOOKUP($B712,Insumo[DESCRIPCION],Insumo[VALOR],,0),"")</f>
        <v/>
      </c>
      <c r="F712" s="33"/>
      <c r="G712" s="34" t="str">
        <f>IFERROR(IF(F712&gt;=0,D712*E712*(1+F712/100),ABS(D712*E712/F712)),"")</f>
        <v/>
      </c>
      <c r="H712" s="43" t="str">
        <f>IFERROR(G712*E705,"")</f>
        <v/>
      </c>
      <c r="I712" s="3"/>
    </row>
    <row r="713" spans="1:11" ht="12.75" customHeight="1">
      <c r="A713" s="21"/>
      <c r="B713" s="22" t="s">
        <v>3731</v>
      </c>
      <c r="C713" s="23"/>
      <c r="D713" s="24"/>
      <c r="E713" s="25"/>
      <c r="F713" s="26"/>
      <c r="G713" s="27">
        <f>SUM(G714:G716)</f>
        <v>1964.9421930937506</v>
      </c>
      <c r="H713" s="27">
        <f>IFERROR(G713*E705,"")</f>
        <v>0</v>
      </c>
      <c r="I713" s="3"/>
    </row>
    <row r="714" spans="1:11" ht="12.75" customHeight="1">
      <c r="A714" s="28"/>
      <c r="B714" s="29" t="s">
        <v>3626</v>
      </c>
      <c r="C714" s="30" t="str">
        <f>IFERROR(_xlfn.XLOOKUP(B714,Equipo[DESCRIPCION],Equipo[UND],,0),"")</f>
        <v>%MO</v>
      </c>
      <c r="D714" s="31">
        <v>0.05</v>
      </c>
      <c r="E714" s="32">
        <f>IF(C714="%MO",G720,IFERROR(_xlfn.XLOOKUP($B714,Equipo[DESCRIPCION],Equipo[VALOR],,0),""))</f>
        <v>39298.843861875008</v>
      </c>
      <c r="F714" s="33"/>
      <c r="G714" s="34">
        <f>IFERROR(IF(F714&gt;=0,D714*E714*(1+F714/100),ABS(D714*E714/F714)),"")</f>
        <v>1964.9421930937506</v>
      </c>
      <c r="H714" s="43">
        <f>IFERROR(G714*E705,"")</f>
        <v>0</v>
      </c>
      <c r="I714" s="3"/>
    </row>
    <row r="715" spans="1:11" ht="12.75" customHeight="1">
      <c r="A715" s="28"/>
      <c r="B715" s="29"/>
      <c r="C715" s="30" t="str">
        <f>IFERROR(_xlfn.XLOOKUP(B715,Equipo[DESCRIPCION],Equipo[UND],,0),"")</f>
        <v/>
      </c>
      <c r="D715" s="31"/>
      <c r="E715" s="32" t="str">
        <f>IF(C715="%MO",G720,IFERROR(_xlfn.XLOOKUP($B715,Equipo[DESCRIPCION],Equipo[VALOR],,0),""))</f>
        <v/>
      </c>
      <c r="F715" s="33"/>
      <c r="G715" s="34" t="str">
        <f>IFERROR(IF(F715&gt;=0,D715*E715*(1+F715/100),ABS(D715*E715/F715)),"")</f>
        <v/>
      </c>
      <c r="H715" s="43" t="str">
        <f>IFERROR(G715*E705,"")</f>
        <v/>
      </c>
      <c r="I715" s="3"/>
    </row>
    <row r="716" spans="1:11" ht="12.75" customHeight="1">
      <c r="A716" s="28"/>
      <c r="B716" s="29"/>
      <c r="C716" s="30" t="str">
        <f>IFERROR(_xlfn.XLOOKUP(B716,Equipo[DESCRIPCION],Equipo[UND],,0),"")</f>
        <v/>
      </c>
      <c r="D716" s="31"/>
      <c r="E716" s="32" t="str">
        <f>IF(C716="%MO",G720,IFERROR(_xlfn.XLOOKUP($B716,Equipo[DESCRIPCION],Equipo[VALOR],,0),""))</f>
        <v/>
      </c>
      <c r="F716" s="33"/>
      <c r="G716" s="34" t="str">
        <f>IFERROR(IF(F716&gt;=0,D716*E716*(1+F716/100),ABS(D716*E716/F716)),"")</f>
        <v/>
      </c>
      <c r="H716" s="43" t="str">
        <f>IFERROR(G716*E705,"")</f>
        <v/>
      </c>
      <c r="I716" s="3"/>
    </row>
    <row r="717" spans="1:11" ht="12.75" customHeight="1">
      <c r="A717" s="21"/>
      <c r="B717" s="22" t="s">
        <v>2533</v>
      </c>
      <c r="C717" s="23"/>
      <c r="D717" s="24"/>
      <c r="E717" s="25"/>
      <c r="F717" s="26"/>
      <c r="G717" s="27">
        <f>SUM(G718:G719)</f>
        <v>0</v>
      </c>
      <c r="H717" s="27">
        <f>IFERROR(G717*E705,"")</f>
        <v>0</v>
      </c>
      <c r="I717" s="3"/>
    </row>
    <row r="718" spans="1:11" ht="12.75" customHeight="1">
      <c r="A718" s="28"/>
      <c r="B718" s="29"/>
      <c r="C718" s="30" t="str">
        <f>IFERROR(_xlfn.XLOOKUP(B718,Transporte[DESCRIPCION],Transporte[UND],,0),"")</f>
        <v/>
      </c>
      <c r="D718" s="31"/>
      <c r="E718" s="32" t="str">
        <f>IFERROR(_xlfn.XLOOKUP($B718,Transporte[DESCRIPCION],Transporte[VALOR],,0),"")</f>
        <v/>
      </c>
      <c r="F718" s="33"/>
      <c r="G718" s="34" t="str">
        <f>IFERROR(IF(F718&gt;=0,D718*E718*(1+F718/100),ABS(D718*E718/F718)),"")</f>
        <v/>
      </c>
      <c r="H718" s="43" t="str">
        <f>IFERROR(G718*E705,"")</f>
        <v/>
      </c>
      <c r="I718" s="3"/>
    </row>
    <row r="719" spans="1:11" ht="12.75" customHeight="1">
      <c r="A719" s="28"/>
      <c r="B719" s="29"/>
      <c r="C719" s="30" t="str">
        <f>IFERROR(_xlfn.XLOOKUP(B719,Transporte[DESCRIPCION],Transporte[UND],,0),"")</f>
        <v/>
      </c>
      <c r="D719" s="31"/>
      <c r="E719" s="32" t="str">
        <f>IFERROR(_xlfn.XLOOKUP($B719,Transporte[DESCRIPCION],Transporte[VALOR],,0),"")</f>
        <v/>
      </c>
      <c r="F719" s="33"/>
      <c r="G719" s="34" t="str">
        <f>IFERROR(IF(F719&gt;=0,D719*E719*(1+F719/100),ABS(D719*E719/F719)),"")</f>
        <v/>
      </c>
      <c r="H719" s="43" t="str">
        <f>IFERROR(G719*E705,"")</f>
        <v/>
      </c>
      <c r="I719" s="3"/>
    </row>
    <row r="720" spans="1:11" ht="12.75" customHeight="1">
      <c r="A720" s="21"/>
      <c r="B720" s="22" t="s">
        <v>3732</v>
      </c>
      <c r="C720" s="23"/>
      <c r="D720" s="24"/>
      <c r="E720" s="25"/>
      <c r="F720" s="26"/>
      <c r="G720" s="27">
        <f>SUM(G721:G723)</f>
        <v>39298.843861875008</v>
      </c>
      <c r="H720" s="27">
        <f>IFERROR(G720*E705,"")</f>
        <v>0</v>
      </c>
      <c r="I720" s="3"/>
    </row>
    <row r="721" spans="1:11" ht="12.75" customHeight="1">
      <c r="A721" s="28"/>
      <c r="B721" s="29" t="s">
        <v>3710</v>
      </c>
      <c r="C721" s="30" t="str">
        <f>IFERROR(_xlfn.XLOOKUP(B721,MObra[DESCRIPCION],MObra[UN],,0),"")</f>
        <v>día</v>
      </c>
      <c r="D721" s="31">
        <v>1</v>
      </c>
      <c r="E721" s="32">
        <f>IFERROR(_xlfn.XLOOKUP($B721,MObra[DESCRIPCION],MObra[VALOR UNIT],,0),"")</f>
        <v>314390.75089500006</v>
      </c>
      <c r="F721" s="33">
        <v>-8</v>
      </c>
      <c r="G721" s="34">
        <f>IFERROR(IF(F721&gt;=0,D721*E721*(1+F721/100),ABS(D721*E721/F721)),"")</f>
        <v>39298.843861875008</v>
      </c>
      <c r="H721" s="43">
        <f>IFERROR(G721*E705,"")</f>
        <v>0</v>
      </c>
      <c r="I721" s="3"/>
    </row>
    <row r="722" spans="1:11" ht="12.75" customHeight="1">
      <c r="A722" s="28"/>
      <c r="B722" s="29"/>
      <c r="C722" s="30" t="str">
        <f>IFERROR(_xlfn.XLOOKUP(B722,MObra[DESCRIPCION],MObra[UN],,0),"")</f>
        <v/>
      </c>
      <c r="D722" s="31"/>
      <c r="E722" s="32" t="str">
        <f>IFERROR(_xlfn.XLOOKUP($B722,MObra[DESCRIPCION],MObra[VALOR UNIT],,0),"")</f>
        <v/>
      </c>
      <c r="F722" s="33"/>
      <c r="G722" s="34" t="str">
        <f>IFERROR(IF(F722&gt;=0,D722*E722*(1+F722/100),ABS(D722*E722/F722)),"")</f>
        <v/>
      </c>
      <c r="H722" s="43" t="str">
        <f>IFERROR(G722*E705,"")</f>
        <v/>
      </c>
      <c r="I722" s="3"/>
    </row>
    <row r="723" spans="1:11" ht="12.75" customHeight="1" thickBot="1">
      <c r="A723" s="35"/>
      <c r="B723" s="36"/>
      <c r="C723" s="37" t="str">
        <f>IFERROR(_xlfn.XLOOKUP(B723,MObra[DESCRIPCION],MObra[UN],,0),"")</f>
        <v/>
      </c>
      <c r="D723" s="38"/>
      <c r="E723" s="39" t="str">
        <f>IFERROR(_xlfn.XLOOKUP($B723,MObra[DESCRIPCION],MObra[VALOR UNIT],,0),"")</f>
        <v/>
      </c>
      <c r="F723" s="40"/>
      <c r="G723" s="41" t="str">
        <f>IFERROR(IF(F723&gt;=0,D723*E723*(1+F723/100),ABS(D723*E723/F723)),"")</f>
        <v/>
      </c>
      <c r="H723" s="42" t="str">
        <f>IFERROR(G723*E705,"")</f>
        <v/>
      </c>
      <c r="I723" s="3"/>
    </row>
    <row r="724" spans="1:11" ht="12.75" customHeight="1" thickTop="1" thickBot="1">
      <c r="I724" s="3"/>
    </row>
    <row r="725" spans="1:11" ht="12.75" customHeight="1" thickTop="1" thickBot="1">
      <c r="A725" s="6" t="s">
        <v>1627</v>
      </c>
      <c r="B725" s="7" t="str">
        <f>VLOOKUP($A725,Presupuesto!$A:$D,2,FALSE())</f>
        <v>Puerta lámina C 20 doble sanitario</v>
      </c>
      <c r="C725" s="8" t="str">
        <f>VLOOKUP($A725,Presupuesto!$A:$D,3,FALSE())</f>
        <v>Un</v>
      </c>
      <c r="D725" s="9"/>
      <c r="E725" s="10">
        <f>VLOOKUP($A725,Presupuesto!$A:$D,4,FALSE())</f>
        <v>0</v>
      </c>
      <c r="F725" s="11" t="s">
        <v>2589</v>
      </c>
      <c r="G725" s="12">
        <f>SUM(G727:G743)/2</f>
        <v>446742.52884397504</v>
      </c>
      <c r="H725" s="13">
        <f>ROUND(SUM(H727:H743),0)/2</f>
        <v>0</v>
      </c>
      <c r="I725" s="10">
        <f>VLOOKUP(A725,Presupuesto!$A:$F,6,0)</f>
        <v>0</v>
      </c>
      <c r="J725" s="10">
        <f>+H725-I725</f>
        <v>0</v>
      </c>
      <c r="K725" s="46">
        <f>+H725-G725*E725</f>
        <v>0</v>
      </c>
    </row>
    <row r="726" spans="1:11" ht="12.75" customHeight="1" thickTop="1">
      <c r="A726" s="14"/>
      <c r="B726" s="15" t="s">
        <v>2586</v>
      </c>
      <c r="C726" s="15" t="s">
        <v>5</v>
      </c>
      <c r="D726" s="16" t="s">
        <v>6</v>
      </c>
      <c r="E726" s="17" t="s">
        <v>7</v>
      </c>
      <c r="F726" s="18" t="s">
        <v>3728</v>
      </c>
      <c r="G726" s="19" t="s">
        <v>3729</v>
      </c>
      <c r="H726" s="20" t="s">
        <v>3797</v>
      </c>
      <c r="I726" s="3"/>
    </row>
    <row r="727" spans="1:11" ht="12.75" customHeight="1">
      <c r="A727" s="21"/>
      <c r="B727" s="22" t="s">
        <v>3730</v>
      </c>
      <c r="C727" s="23"/>
      <c r="D727" s="24"/>
      <c r="E727" s="25"/>
      <c r="F727" s="26"/>
      <c r="G727" s="27">
        <f>SUM(G728:G732)</f>
        <v>413731.5</v>
      </c>
      <c r="H727" s="27">
        <f>IFERROR(G727*E725,"")</f>
        <v>0</v>
      </c>
      <c r="I727" s="3"/>
    </row>
    <row r="728" spans="1:11" ht="12.75" customHeight="1">
      <c r="A728" s="28"/>
      <c r="B728" s="29" t="s">
        <v>3250</v>
      </c>
      <c r="C728" s="30" t="str">
        <f>IFERROR(_xlfn.XLOOKUP(B728,Insumo[DESCRIPCION],Insumo[UND],,0),"")</f>
        <v>Un</v>
      </c>
      <c r="D728" s="31">
        <v>1</v>
      </c>
      <c r="E728" s="32">
        <f>IFERROR(_xlfn.XLOOKUP($B728,Insumo[DESCRIPCION],Insumo[VALOR],,0),"")</f>
        <v>413731.5</v>
      </c>
      <c r="F728" s="33"/>
      <c r="G728" s="34">
        <f>IFERROR(IF(F728&gt;=0,D728*E728*(1+F728/100),ABS(D728*E728/F728)),"")</f>
        <v>413731.5</v>
      </c>
      <c r="H728" s="43">
        <f>IFERROR(G728*E725,"")</f>
        <v>0</v>
      </c>
      <c r="I728" s="3"/>
    </row>
    <row r="729" spans="1:11" ht="12.75" customHeight="1">
      <c r="A729" s="28"/>
      <c r="B729" s="29"/>
      <c r="C729" s="30" t="str">
        <f>IFERROR(_xlfn.XLOOKUP(B729,Insumo[DESCRIPCION],Insumo[UND],,0),"")</f>
        <v/>
      </c>
      <c r="D729" s="31"/>
      <c r="E729" s="32" t="str">
        <f>IFERROR(_xlfn.XLOOKUP($B729,Insumo[DESCRIPCION],Insumo[VALOR],,0),"")</f>
        <v/>
      </c>
      <c r="F729" s="33"/>
      <c r="G729" s="34" t="str">
        <f>IFERROR(IF(F729&gt;=0,D729*E729*(1+F729/100),ABS(D729*E729/F729)),"")</f>
        <v/>
      </c>
      <c r="H729" s="43" t="str">
        <f>IFERROR(G729*E725,"")</f>
        <v/>
      </c>
      <c r="I729" s="3"/>
    </row>
    <row r="730" spans="1:11" ht="12.75" customHeight="1">
      <c r="A730" s="28"/>
      <c r="B730" s="29"/>
      <c r="C730" s="30" t="str">
        <f>IFERROR(_xlfn.XLOOKUP(B730,Insumo[DESCRIPCION],Insumo[UND],,0),"")</f>
        <v/>
      </c>
      <c r="D730" s="31"/>
      <c r="E730" s="32" t="str">
        <f>IFERROR(_xlfn.XLOOKUP($B730,Insumo[DESCRIPCION],Insumo[VALOR],,0),"")</f>
        <v/>
      </c>
      <c r="F730" s="33"/>
      <c r="G730" s="34" t="str">
        <f>IFERROR(IF(F730&gt;=0,D730*E730*(1+F730/100),ABS(D730*E730/F730)),"")</f>
        <v/>
      </c>
      <c r="H730" s="43" t="str">
        <f>IFERROR(G730*E725,"")</f>
        <v/>
      </c>
      <c r="I730" s="3"/>
    </row>
    <row r="731" spans="1:11" ht="12.75" customHeight="1">
      <c r="A731" s="28"/>
      <c r="B731" s="29"/>
      <c r="C731" s="30" t="str">
        <f>IFERROR(_xlfn.XLOOKUP(B731,Insumo[DESCRIPCION],Insumo[UND],,0),"")</f>
        <v/>
      </c>
      <c r="D731" s="31"/>
      <c r="E731" s="32" t="str">
        <f>IFERROR(_xlfn.XLOOKUP($B731,Insumo[DESCRIPCION],Insumo[VALOR],,0),"")</f>
        <v/>
      </c>
      <c r="F731" s="33"/>
      <c r="G731" s="34" t="str">
        <f>IFERROR(IF(F731&gt;=0,D731*E731*(1+F731/100),ABS(D731*E731/F731)),"")</f>
        <v/>
      </c>
      <c r="H731" s="43" t="str">
        <f>IFERROR(G731*E725,"")</f>
        <v/>
      </c>
      <c r="I731" s="3"/>
    </row>
    <row r="732" spans="1:11" ht="12.75" customHeight="1">
      <c r="A732" s="28"/>
      <c r="B732" s="29"/>
      <c r="C732" s="30" t="str">
        <f>IFERROR(_xlfn.XLOOKUP(B732,Insumo[DESCRIPCION],Insumo[UND],,0),"")</f>
        <v/>
      </c>
      <c r="D732" s="31"/>
      <c r="E732" s="32" t="str">
        <f>IFERROR(_xlfn.XLOOKUP($B732,Insumo[DESCRIPCION],Insumo[VALOR],,0),"")</f>
        <v/>
      </c>
      <c r="F732" s="33"/>
      <c r="G732" s="34" t="str">
        <f>IFERROR(IF(F732&gt;=0,D732*E732*(1+F732/100),ABS(D732*E732/F732)),"")</f>
        <v/>
      </c>
      <c r="H732" s="43" t="str">
        <f>IFERROR(G732*E725,"")</f>
        <v/>
      </c>
      <c r="I732" s="3"/>
    </row>
    <row r="733" spans="1:11" ht="12.75" customHeight="1">
      <c r="A733" s="21"/>
      <c r="B733" s="22" t="s">
        <v>3731</v>
      </c>
      <c r="C733" s="23"/>
      <c r="D733" s="24"/>
      <c r="E733" s="25"/>
      <c r="F733" s="26"/>
      <c r="G733" s="27">
        <f>SUM(G734:G736)</f>
        <v>1571.9537544750003</v>
      </c>
      <c r="H733" s="27">
        <f>IFERROR(G733*E725,"")</f>
        <v>0</v>
      </c>
      <c r="I733" s="3"/>
    </row>
    <row r="734" spans="1:11" ht="12.75" customHeight="1">
      <c r="A734" s="28"/>
      <c r="B734" s="29" t="s">
        <v>3626</v>
      </c>
      <c r="C734" s="30" t="str">
        <f>IFERROR(_xlfn.XLOOKUP(B734,Equipo[DESCRIPCION],Equipo[UND],,0),"")</f>
        <v>%MO</v>
      </c>
      <c r="D734" s="31">
        <v>0.05</v>
      </c>
      <c r="E734" s="32">
        <f>IF(C734="%MO",G740,IFERROR(_xlfn.XLOOKUP($B734,Equipo[DESCRIPCION],Equipo[VALOR],,0),""))</f>
        <v>31439.075089500006</v>
      </c>
      <c r="F734" s="33"/>
      <c r="G734" s="34">
        <f>IFERROR(IF(F734&gt;=0,D734*E734*(1+F734/100),ABS(D734*E734/F734)),"")</f>
        <v>1571.9537544750003</v>
      </c>
      <c r="H734" s="43">
        <f>IFERROR(G734*E725,"")</f>
        <v>0</v>
      </c>
      <c r="I734" s="3"/>
    </row>
    <row r="735" spans="1:11" ht="12.75" customHeight="1">
      <c r="A735" s="28"/>
      <c r="B735" s="29"/>
      <c r="C735" s="30" t="str">
        <f>IFERROR(_xlfn.XLOOKUP(B735,Equipo[DESCRIPCION],Equipo[UND],,0),"")</f>
        <v/>
      </c>
      <c r="D735" s="31"/>
      <c r="E735" s="32" t="str">
        <f>IF(C735="%MO",G740,IFERROR(_xlfn.XLOOKUP($B735,Equipo[DESCRIPCION],Equipo[VALOR],,0),""))</f>
        <v/>
      </c>
      <c r="F735" s="33"/>
      <c r="G735" s="34" t="str">
        <f>IFERROR(IF(F735&gt;=0,D735*E735*(1+F735/100),ABS(D735*E735/F735)),"")</f>
        <v/>
      </c>
      <c r="H735" s="43" t="str">
        <f>IFERROR(G735*E725,"")</f>
        <v/>
      </c>
      <c r="I735" s="3"/>
    </row>
    <row r="736" spans="1:11" ht="12.75" customHeight="1">
      <c r="A736" s="28"/>
      <c r="B736" s="29"/>
      <c r="C736" s="30" t="str">
        <f>IFERROR(_xlfn.XLOOKUP(B736,Equipo[DESCRIPCION],Equipo[UND],,0),"")</f>
        <v/>
      </c>
      <c r="D736" s="31"/>
      <c r="E736" s="32" t="str">
        <f>IF(C736="%MO",G740,IFERROR(_xlfn.XLOOKUP($B736,Equipo[DESCRIPCION],Equipo[VALOR],,0),""))</f>
        <v/>
      </c>
      <c r="F736" s="33"/>
      <c r="G736" s="34" t="str">
        <f>IFERROR(IF(F736&gt;=0,D736*E736*(1+F736/100),ABS(D736*E736/F736)),"")</f>
        <v/>
      </c>
      <c r="H736" s="43" t="str">
        <f>IFERROR(G736*E725,"")</f>
        <v/>
      </c>
      <c r="I736" s="3"/>
    </row>
    <row r="737" spans="1:11" ht="12.75" customHeight="1">
      <c r="A737" s="21"/>
      <c r="B737" s="22" t="s">
        <v>2533</v>
      </c>
      <c r="C737" s="23"/>
      <c r="D737" s="24"/>
      <c r="E737" s="25"/>
      <c r="F737" s="26"/>
      <c r="G737" s="27">
        <f>SUM(G738:G739)</f>
        <v>0</v>
      </c>
      <c r="H737" s="27">
        <f>IFERROR(G737*E725,"")</f>
        <v>0</v>
      </c>
      <c r="I737" s="3"/>
    </row>
    <row r="738" spans="1:11" ht="12.75" customHeight="1">
      <c r="A738" s="28"/>
      <c r="B738" s="29"/>
      <c r="C738" s="30" t="str">
        <f>IFERROR(_xlfn.XLOOKUP(B738,Transporte[DESCRIPCION],Transporte[UND],,0),"")</f>
        <v/>
      </c>
      <c r="D738" s="31"/>
      <c r="E738" s="32" t="str">
        <f>IFERROR(_xlfn.XLOOKUP($B738,Transporte[DESCRIPCION],Transporte[VALOR],,0),"")</f>
        <v/>
      </c>
      <c r="F738" s="33"/>
      <c r="G738" s="34" t="str">
        <f>IFERROR(IF(F738&gt;=0,D738*E738*(1+F738/100),ABS(D738*E738/F738)),"")</f>
        <v/>
      </c>
      <c r="H738" s="43" t="str">
        <f>IFERROR(G738*E725,"")</f>
        <v/>
      </c>
      <c r="I738" s="3"/>
    </row>
    <row r="739" spans="1:11" ht="12.75" customHeight="1">
      <c r="A739" s="28"/>
      <c r="B739" s="29"/>
      <c r="C739" s="30" t="str">
        <f>IFERROR(_xlfn.XLOOKUP(B739,Transporte[DESCRIPCION],Transporte[UND],,0),"")</f>
        <v/>
      </c>
      <c r="D739" s="31"/>
      <c r="E739" s="32" t="str">
        <f>IFERROR(_xlfn.XLOOKUP($B739,Transporte[DESCRIPCION],Transporte[VALOR],,0),"")</f>
        <v/>
      </c>
      <c r="F739" s="33"/>
      <c r="G739" s="34" t="str">
        <f>IFERROR(IF(F739&gt;=0,D739*E739*(1+F739/100),ABS(D739*E739/F739)),"")</f>
        <v/>
      </c>
      <c r="H739" s="43" t="str">
        <f>IFERROR(G739*E725,"")</f>
        <v/>
      </c>
      <c r="I739" s="3"/>
    </row>
    <row r="740" spans="1:11" ht="12.75" customHeight="1">
      <c r="A740" s="21"/>
      <c r="B740" s="22" t="s">
        <v>3732</v>
      </c>
      <c r="C740" s="23"/>
      <c r="D740" s="24"/>
      <c r="E740" s="25"/>
      <c r="F740" s="26"/>
      <c r="G740" s="27">
        <f>SUM(G741:G743)</f>
        <v>31439.075089500006</v>
      </c>
      <c r="H740" s="27">
        <f>IFERROR(G740*E725,"")</f>
        <v>0</v>
      </c>
      <c r="I740" s="3"/>
    </row>
    <row r="741" spans="1:11" ht="12.75" customHeight="1">
      <c r="A741" s="28"/>
      <c r="B741" s="29" t="s">
        <v>3710</v>
      </c>
      <c r="C741" s="30" t="str">
        <f>IFERROR(_xlfn.XLOOKUP(B741,MObra[DESCRIPCION],MObra[UN],,0),"")</f>
        <v>día</v>
      </c>
      <c r="D741" s="31">
        <v>1</v>
      </c>
      <c r="E741" s="32">
        <f>IFERROR(_xlfn.XLOOKUP($B741,MObra[DESCRIPCION],MObra[VALOR UNIT],,0),"")</f>
        <v>314390.75089500006</v>
      </c>
      <c r="F741" s="33">
        <v>-10</v>
      </c>
      <c r="G741" s="34">
        <f>IFERROR(IF(F741&gt;=0,D741*E741*(1+F741/100),ABS(D741*E741/F741)),"")</f>
        <v>31439.075089500006</v>
      </c>
      <c r="H741" s="43">
        <f>IFERROR(G741*E725,"")</f>
        <v>0</v>
      </c>
      <c r="I741" s="3"/>
    </row>
    <row r="742" spans="1:11" ht="12.75" customHeight="1">
      <c r="A742" s="28"/>
      <c r="B742" s="29"/>
      <c r="C742" s="30" t="str">
        <f>IFERROR(_xlfn.XLOOKUP(B742,MObra[DESCRIPCION],MObra[UN],,0),"")</f>
        <v/>
      </c>
      <c r="D742" s="31"/>
      <c r="E742" s="32" t="str">
        <f>IFERROR(_xlfn.XLOOKUP($B742,MObra[DESCRIPCION],MObra[VALOR UNIT],,0),"")</f>
        <v/>
      </c>
      <c r="F742" s="33"/>
      <c r="G742" s="34" t="str">
        <f>IFERROR(IF(F742&gt;=0,D742*E742*(1+F742/100),ABS(D742*E742/F742)),"")</f>
        <v/>
      </c>
      <c r="H742" s="43" t="str">
        <f>IFERROR(G742*E725,"")</f>
        <v/>
      </c>
      <c r="I742" s="3"/>
    </row>
    <row r="743" spans="1:11" ht="12.75" customHeight="1" thickBot="1">
      <c r="A743" s="35"/>
      <c r="B743" s="36"/>
      <c r="C743" s="37" t="str">
        <f>IFERROR(_xlfn.XLOOKUP(B743,MObra[DESCRIPCION],MObra[UN],,0),"")</f>
        <v/>
      </c>
      <c r="D743" s="38"/>
      <c r="E743" s="39" t="str">
        <f>IFERROR(_xlfn.XLOOKUP($B743,MObra[DESCRIPCION],MObra[VALOR UNIT],,0),"")</f>
        <v/>
      </c>
      <c r="F743" s="40"/>
      <c r="G743" s="41" t="str">
        <f>IFERROR(IF(F743&gt;=0,D743*E743*(1+F743/100),ABS(D743*E743/F743)),"")</f>
        <v/>
      </c>
      <c r="H743" s="42" t="str">
        <f>IFERROR(G743*E725,"")</f>
        <v/>
      </c>
      <c r="I743" s="3"/>
    </row>
    <row r="744" spans="1:11" ht="12.75" customHeight="1" thickTop="1" thickBot="1">
      <c r="I744" s="3"/>
    </row>
    <row r="745" spans="1:11" ht="12.75" customHeight="1" thickTop="1" thickBot="1">
      <c r="A745" s="6" t="s">
        <v>1629</v>
      </c>
      <c r="B745" s="7" t="str">
        <f>VLOOKUP($A745,Presupuesto!$A:$D,2,FALSE())</f>
        <v>Puerta lámina C 20 corrediza 2 alas</v>
      </c>
      <c r="C745" s="8" t="str">
        <f>VLOOKUP($A745,Presupuesto!$A:$D,3,FALSE())</f>
        <v>Un</v>
      </c>
      <c r="D745" s="9"/>
      <c r="E745" s="10">
        <f>VLOOKUP($A745,Presupuesto!$A:$D,4,FALSE())</f>
        <v>0</v>
      </c>
      <c r="F745" s="11" t="s">
        <v>2589</v>
      </c>
      <c r="G745" s="12">
        <f>SUM(G747:G763)/2</f>
        <v>430829.77884397504</v>
      </c>
      <c r="H745" s="13">
        <f>ROUND(SUM(H747:H763),0)/2</f>
        <v>0</v>
      </c>
      <c r="I745" s="10">
        <f>VLOOKUP(A745,Presupuesto!$A:$F,6,0)</f>
        <v>0</v>
      </c>
      <c r="J745" s="10">
        <f>+H745-I745</f>
        <v>0</v>
      </c>
      <c r="K745" s="46">
        <f>+H745-G745*E745</f>
        <v>0</v>
      </c>
    </row>
    <row r="746" spans="1:11" ht="12.75" customHeight="1" thickTop="1">
      <c r="A746" s="14"/>
      <c r="B746" s="15" t="s">
        <v>2586</v>
      </c>
      <c r="C746" s="15" t="s">
        <v>5</v>
      </c>
      <c r="D746" s="16" t="s">
        <v>6</v>
      </c>
      <c r="E746" s="17" t="s">
        <v>7</v>
      </c>
      <c r="F746" s="18" t="s">
        <v>3728</v>
      </c>
      <c r="G746" s="19" t="s">
        <v>3729</v>
      </c>
      <c r="H746" s="20" t="s">
        <v>3797</v>
      </c>
      <c r="I746" s="3"/>
    </row>
    <row r="747" spans="1:11" ht="12.75" customHeight="1">
      <c r="A747" s="21"/>
      <c r="B747" s="22" t="s">
        <v>3730</v>
      </c>
      <c r="C747" s="23"/>
      <c r="D747" s="24"/>
      <c r="E747" s="25"/>
      <c r="F747" s="26"/>
      <c r="G747" s="27">
        <f>SUM(G748:G752)</f>
        <v>397818.75</v>
      </c>
      <c r="H747" s="27">
        <f>IFERROR(G747*E745,"")</f>
        <v>0</v>
      </c>
      <c r="I747" s="3"/>
    </row>
    <row r="748" spans="1:11" ht="12.75" customHeight="1">
      <c r="A748" s="28"/>
      <c r="B748" s="29" t="s">
        <v>3252</v>
      </c>
      <c r="C748" s="30" t="str">
        <f>IFERROR(_xlfn.XLOOKUP(B748,Insumo[DESCRIPCION],Insumo[UND],,0),"")</f>
        <v>Un</v>
      </c>
      <c r="D748" s="31">
        <v>1</v>
      </c>
      <c r="E748" s="32">
        <f>IFERROR(_xlfn.XLOOKUP($B748,Insumo[DESCRIPCION],Insumo[VALOR],,0),"")</f>
        <v>397818.75</v>
      </c>
      <c r="F748" s="33"/>
      <c r="G748" s="34">
        <f>IFERROR(IF(F748&gt;=0,D748*E748*(1+F748/100),ABS(D748*E748/F748)),"")</f>
        <v>397818.75</v>
      </c>
      <c r="H748" s="43">
        <f>IFERROR(G748*E745,"")</f>
        <v>0</v>
      </c>
      <c r="I748" s="3"/>
    </row>
    <row r="749" spans="1:11" ht="12.75" customHeight="1">
      <c r="A749" s="28"/>
      <c r="B749" s="29"/>
      <c r="C749" s="30" t="str">
        <f>IFERROR(_xlfn.XLOOKUP(B749,Insumo[DESCRIPCION],Insumo[UND],,0),"")</f>
        <v/>
      </c>
      <c r="D749" s="31"/>
      <c r="E749" s="32" t="str">
        <f>IFERROR(_xlfn.XLOOKUP($B749,Insumo[DESCRIPCION],Insumo[VALOR],,0),"")</f>
        <v/>
      </c>
      <c r="F749" s="33"/>
      <c r="G749" s="34" t="str">
        <f>IFERROR(IF(F749&gt;=0,D749*E749*(1+F749/100),ABS(D749*E749/F749)),"")</f>
        <v/>
      </c>
      <c r="H749" s="43" t="str">
        <f>IFERROR(G749*E745,"")</f>
        <v/>
      </c>
      <c r="I749" s="3"/>
    </row>
    <row r="750" spans="1:11" ht="12.75" customHeight="1">
      <c r="A750" s="28"/>
      <c r="B750" s="29"/>
      <c r="C750" s="30" t="str">
        <f>IFERROR(_xlfn.XLOOKUP(B750,Insumo[DESCRIPCION],Insumo[UND],,0),"")</f>
        <v/>
      </c>
      <c r="D750" s="31"/>
      <c r="E750" s="32" t="str">
        <f>IFERROR(_xlfn.XLOOKUP($B750,Insumo[DESCRIPCION],Insumo[VALOR],,0),"")</f>
        <v/>
      </c>
      <c r="F750" s="33"/>
      <c r="G750" s="34" t="str">
        <f>IFERROR(IF(F750&gt;=0,D750*E750*(1+F750/100),ABS(D750*E750/F750)),"")</f>
        <v/>
      </c>
      <c r="H750" s="43" t="str">
        <f>IFERROR(G750*E745,"")</f>
        <v/>
      </c>
      <c r="I750" s="3"/>
    </row>
    <row r="751" spans="1:11" ht="12.75" customHeight="1">
      <c r="A751" s="28"/>
      <c r="B751" s="29"/>
      <c r="C751" s="30" t="str">
        <f>IFERROR(_xlfn.XLOOKUP(B751,Insumo[DESCRIPCION],Insumo[UND],,0),"")</f>
        <v/>
      </c>
      <c r="D751" s="31"/>
      <c r="E751" s="32" t="str">
        <f>IFERROR(_xlfn.XLOOKUP($B751,Insumo[DESCRIPCION],Insumo[VALOR],,0),"")</f>
        <v/>
      </c>
      <c r="F751" s="33"/>
      <c r="G751" s="34" t="str">
        <f>IFERROR(IF(F751&gt;=0,D751*E751*(1+F751/100),ABS(D751*E751/F751)),"")</f>
        <v/>
      </c>
      <c r="H751" s="43" t="str">
        <f>IFERROR(G751*E745,"")</f>
        <v/>
      </c>
      <c r="I751" s="3"/>
    </row>
    <row r="752" spans="1:11" ht="12.75" customHeight="1">
      <c r="A752" s="28"/>
      <c r="B752" s="29"/>
      <c r="C752" s="30" t="str">
        <f>IFERROR(_xlfn.XLOOKUP(B752,Insumo[DESCRIPCION],Insumo[UND],,0),"")</f>
        <v/>
      </c>
      <c r="D752" s="31"/>
      <c r="E752" s="32" t="str">
        <f>IFERROR(_xlfn.XLOOKUP($B752,Insumo[DESCRIPCION],Insumo[VALOR],,0),"")</f>
        <v/>
      </c>
      <c r="F752" s="33"/>
      <c r="G752" s="34" t="str">
        <f>IFERROR(IF(F752&gt;=0,D752*E752*(1+F752/100),ABS(D752*E752/F752)),"")</f>
        <v/>
      </c>
      <c r="H752" s="43" t="str">
        <f>IFERROR(G752*E745,"")</f>
        <v/>
      </c>
      <c r="I752" s="3"/>
    </row>
    <row r="753" spans="1:11" ht="12.75" customHeight="1">
      <c r="A753" s="21"/>
      <c r="B753" s="22" t="s">
        <v>3731</v>
      </c>
      <c r="C753" s="23"/>
      <c r="D753" s="24"/>
      <c r="E753" s="25"/>
      <c r="F753" s="26"/>
      <c r="G753" s="27">
        <f>SUM(G754:G756)</f>
        <v>1571.9537544750003</v>
      </c>
      <c r="H753" s="27">
        <f>IFERROR(G753*E745,"")</f>
        <v>0</v>
      </c>
      <c r="I753" s="3"/>
    </row>
    <row r="754" spans="1:11" ht="12.75" customHeight="1">
      <c r="A754" s="28"/>
      <c r="B754" s="29" t="s">
        <v>3626</v>
      </c>
      <c r="C754" s="30" t="str">
        <f>IFERROR(_xlfn.XLOOKUP(B754,Equipo[DESCRIPCION],Equipo[UND],,0),"")</f>
        <v>%MO</v>
      </c>
      <c r="D754" s="31">
        <v>0.05</v>
      </c>
      <c r="E754" s="32">
        <f>IF(C754="%MO",G760,IFERROR(_xlfn.XLOOKUP($B754,Equipo[DESCRIPCION],Equipo[VALOR],,0),""))</f>
        <v>31439.075089500006</v>
      </c>
      <c r="F754" s="33"/>
      <c r="G754" s="34">
        <f>IFERROR(IF(F754&gt;=0,D754*E754*(1+F754/100),ABS(D754*E754/F754)),"")</f>
        <v>1571.9537544750003</v>
      </c>
      <c r="H754" s="43">
        <f>IFERROR(G754*E745,"")</f>
        <v>0</v>
      </c>
      <c r="I754" s="3"/>
    </row>
    <row r="755" spans="1:11" ht="12.75" customHeight="1">
      <c r="A755" s="28"/>
      <c r="B755" s="29"/>
      <c r="C755" s="30" t="str">
        <f>IFERROR(_xlfn.XLOOKUP(B755,Equipo[DESCRIPCION],Equipo[UND],,0),"")</f>
        <v/>
      </c>
      <c r="D755" s="31"/>
      <c r="E755" s="32" t="str">
        <f>IF(C755="%MO",G760,IFERROR(_xlfn.XLOOKUP($B755,Equipo[DESCRIPCION],Equipo[VALOR],,0),""))</f>
        <v/>
      </c>
      <c r="F755" s="33"/>
      <c r="G755" s="34" t="str">
        <f>IFERROR(IF(F755&gt;=0,D755*E755*(1+F755/100),ABS(D755*E755/F755)),"")</f>
        <v/>
      </c>
      <c r="H755" s="43" t="str">
        <f>IFERROR(G755*E745,"")</f>
        <v/>
      </c>
      <c r="I755" s="3"/>
    </row>
    <row r="756" spans="1:11" ht="12.75" customHeight="1">
      <c r="A756" s="28"/>
      <c r="B756" s="29"/>
      <c r="C756" s="30" t="str">
        <f>IFERROR(_xlfn.XLOOKUP(B756,Equipo[DESCRIPCION],Equipo[UND],,0),"")</f>
        <v/>
      </c>
      <c r="D756" s="31"/>
      <c r="E756" s="32" t="str">
        <f>IF(C756="%MO",G760,IFERROR(_xlfn.XLOOKUP($B756,Equipo[DESCRIPCION],Equipo[VALOR],,0),""))</f>
        <v/>
      </c>
      <c r="F756" s="33"/>
      <c r="G756" s="34" t="str">
        <f>IFERROR(IF(F756&gt;=0,D756*E756*(1+F756/100),ABS(D756*E756/F756)),"")</f>
        <v/>
      </c>
      <c r="H756" s="43" t="str">
        <f>IFERROR(G756*E745,"")</f>
        <v/>
      </c>
      <c r="I756" s="3"/>
    </row>
    <row r="757" spans="1:11" ht="12.75" customHeight="1">
      <c r="A757" s="21"/>
      <c r="B757" s="22" t="s">
        <v>2533</v>
      </c>
      <c r="C757" s="23"/>
      <c r="D757" s="24"/>
      <c r="E757" s="25"/>
      <c r="F757" s="26"/>
      <c r="G757" s="27">
        <f>SUM(G758:G759)</f>
        <v>0</v>
      </c>
      <c r="H757" s="27">
        <f>IFERROR(G757*E745,"")</f>
        <v>0</v>
      </c>
      <c r="I757" s="3"/>
    </row>
    <row r="758" spans="1:11" ht="12.75" customHeight="1">
      <c r="A758" s="28"/>
      <c r="B758" s="29"/>
      <c r="C758" s="30" t="str">
        <f>IFERROR(_xlfn.XLOOKUP(B758,Transporte[DESCRIPCION],Transporte[UND],,0),"")</f>
        <v/>
      </c>
      <c r="D758" s="31"/>
      <c r="E758" s="32" t="str">
        <f>IFERROR(_xlfn.XLOOKUP($B758,Transporte[DESCRIPCION],Transporte[VALOR],,0),"")</f>
        <v/>
      </c>
      <c r="F758" s="33"/>
      <c r="G758" s="34" t="str">
        <f>IFERROR(IF(F758&gt;=0,D758*E758*(1+F758/100),ABS(D758*E758/F758)),"")</f>
        <v/>
      </c>
      <c r="H758" s="43" t="str">
        <f>IFERROR(G758*E745,"")</f>
        <v/>
      </c>
      <c r="I758" s="3"/>
    </row>
    <row r="759" spans="1:11" ht="12.75" customHeight="1">
      <c r="A759" s="28"/>
      <c r="B759" s="29"/>
      <c r="C759" s="30" t="str">
        <f>IFERROR(_xlfn.XLOOKUP(B759,Transporte[DESCRIPCION],Transporte[UND],,0),"")</f>
        <v/>
      </c>
      <c r="D759" s="31"/>
      <c r="E759" s="32" t="str">
        <f>IFERROR(_xlfn.XLOOKUP($B759,Transporte[DESCRIPCION],Transporte[VALOR],,0),"")</f>
        <v/>
      </c>
      <c r="F759" s="33"/>
      <c r="G759" s="34" t="str">
        <f>IFERROR(IF(F759&gt;=0,D759*E759*(1+F759/100),ABS(D759*E759/F759)),"")</f>
        <v/>
      </c>
      <c r="H759" s="43" t="str">
        <f>IFERROR(G759*E745,"")</f>
        <v/>
      </c>
      <c r="I759" s="3"/>
    </row>
    <row r="760" spans="1:11" ht="12.75" customHeight="1">
      <c r="A760" s="21"/>
      <c r="B760" s="22" t="s">
        <v>3732</v>
      </c>
      <c r="C760" s="23"/>
      <c r="D760" s="24"/>
      <c r="E760" s="25"/>
      <c r="F760" s="26"/>
      <c r="G760" s="27">
        <f>SUM(G761:G763)</f>
        <v>31439.075089500006</v>
      </c>
      <c r="H760" s="27">
        <f>IFERROR(G760*E745,"")</f>
        <v>0</v>
      </c>
      <c r="I760" s="3"/>
    </row>
    <row r="761" spans="1:11" ht="12.75" customHeight="1">
      <c r="A761" s="28"/>
      <c r="B761" s="29" t="s">
        <v>3710</v>
      </c>
      <c r="C761" s="30" t="str">
        <f>IFERROR(_xlfn.XLOOKUP(B761,MObra[DESCRIPCION],MObra[UN],,0),"")</f>
        <v>día</v>
      </c>
      <c r="D761" s="31">
        <v>1</v>
      </c>
      <c r="E761" s="32">
        <f>IFERROR(_xlfn.XLOOKUP($B761,MObra[DESCRIPCION],MObra[VALOR UNIT],,0),"")</f>
        <v>314390.75089500006</v>
      </c>
      <c r="F761" s="33">
        <v>-10</v>
      </c>
      <c r="G761" s="34">
        <f>IFERROR(IF(F761&gt;=0,D761*E761*(1+F761/100),ABS(D761*E761/F761)),"")</f>
        <v>31439.075089500006</v>
      </c>
      <c r="H761" s="43">
        <f>IFERROR(G761*E745,"")</f>
        <v>0</v>
      </c>
      <c r="I761" s="3"/>
    </row>
    <row r="762" spans="1:11" ht="12.75" customHeight="1">
      <c r="A762" s="28"/>
      <c r="B762" s="29"/>
      <c r="C762" s="30" t="str">
        <f>IFERROR(_xlfn.XLOOKUP(B762,MObra[DESCRIPCION],MObra[UN],,0),"")</f>
        <v/>
      </c>
      <c r="D762" s="31"/>
      <c r="E762" s="32" t="str">
        <f>IFERROR(_xlfn.XLOOKUP($B762,MObra[DESCRIPCION],MObra[VALOR UNIT],,0),"")</f>
        <v/>
      </c>
      <c r="F762" s="33"/>
      <c r="G762" s="34" t="str">
        <f>IFERROR(IF(F762&gt;=0,D762*E762*(1+F762/100),ABS(D762*E762/F762)),"")</f>
        <v/>
      </c>
      <c r="H762" s="43" t="str">
        <f>IFERROR(G762*E745,"")</f>
        <v/>
      </c>
      <c r="I762" s="3"/>
    </row>
    <row r="763" spans="1:11" ht="12.75" customHeight="1" thickBot="1">
      <c r="A763" s="35"/>
      <c r="B763" s="36"/>
      <c r="C763" s="37" t="str">
        <f>IFERROR(_xlfn.XLOOKUP(B763,MObra[DESCRIPCION],MObra[UN],,0),"")</f>
        <v/>
      </c>
      <c r="D763" s="38"/>
      <c r="E763" s="39" t="str">
        <f>IFERROR(_xlfn.XLOOKUP($B763,MObra[DESCRIPCION],MObra[VALOR UNIT],,0),"")</f>
        <v/>
      </c>
      <c r="F763" s="40"/>
      <c r="G763" s="41" t="str">
        <f>IFERROR(IF(F763&gt;=0,D763*E763*(1+F763/100),ABS(D763*E763/F763)),"")</f>
        <v/>
      </c>
      <c r="H763" s="42" t="str">
        <f>IFERROR(G763*E745,"")</f>
        <v/>
      </c>
      <c r="I763" s="3"/>
    </row>
    <row r="764" spans="1:11" ht="12.75" customHeight="1" thickTop="1" thickBot="1">
      <c r="I764" s="3"/>
    </row>
    <row r="765" spans="1:11" ht="12.75" customHeight="1" thickTop="1" thickBot="1">
      <c r="A765" s="6" t="s">
        <v>1631</v>
      </c>
      <c r="B765" s="7" t="str">
        <f>VLOOKUP($A765,Presupuesto!$A:$D,2,FALSE())</f>
        <v>Puerta madera económica</v>
      </c>
      <c r="C765" s="8" t="str">
        <f>VLOOKUP($A765,Presupuesto!$A:$D,3,FALSE())</f>
        <v>M2</v>
      </c>
      <c r="D765" s="9"/>
      <c r="E765" s="10">
        <f>VLOOKUP($A765,Presupuesto!$A:$D,4,FALSE())</f>
        <v>0</v>
      </c>
      <c r="F765" s="11" t="s">
        <v>2589</v>
      </c>
      <c r="G765" s="12">
        <f>SUM(G767:G783)/2</f>
        <v>168579.67884397501</v>
      </c>
      <c r="H765" s="13">
        <f>ROUND(SUM(H767:H783),0)/2</f>
        <v>0</v>
      </c>
      <c r="I765" s="10">
        <f>VLOOKUP(A765,Presupuesto!$A:$F,6,0)</f>
        <v>0</v>
      </c>
      <c r="J765" s="10">
        <f>+H765-I765</f>
        <v>0</v>
      </c>
      <c r="K765" s="46">
        <f>+H765-G765*E765</f>
        <v>0</v>
      </c>
    </row>
    <row r="766" spans="1:11" ht="12.75" customHeight="1" thickTop="1">
      <c r="A766" s="14"/>
      <c r="B766" s="15" t="s">
        <v>2586</v>
      </c>
      <c r="C766" s="15" t="s">
        <v>5</v>
      </c>
      <c r="D766" s="16" t="s">
        <v>6</v>
      </c>
      <c r="E766" s="17" t="s">
        <v>7</v>
      </c>
      <c r="F766" s="18" t="s">
        <v>3728</v>
      </c>
      <c r="G766" s="19" t="s">
        <v>3729</v>
      </c>
      <c r="H766" s="20" t="s">
        <v>3797</v>
      </c>
      <c r="I766" s="3"/>
    </row>
    <row r="767" spans="1:11" ht="12.75" customHeight="1">
      <c r="A767" s="21"/>
      <c r="B767" s="22" t="s">
        <v>3730</v>
      </c>
      <c r="C767" s="23"/>
      <c r="D767" s="24"/>
      <c r="E767" s="25"/>
      <c r="F767" s="26"/>
      <c r="G767" s="27">
        <f>SUM(G768:G772)</f>
        <v>135568.65000000002</v>
      </c>
      <c r="H767" s="27">
        <f>IFERROR(G767*E765,"")</f>
        <v>0</v>
      </c>
      <c r="I767" s="3"/>
    </row>
    <row r="768" spans="1:11" ht="12.75" customHeight="1">
      <c r="A768" s="28"/>
      <c r="B768" s="29" t="s">
        <v>3247</v>
      </c>
      <c r="C768" s="30" t="str">
        <f>IFERROR(_xlfn.XLOOKUP(B768,Insumo[DESCRIPCION],Insumo[UND],,0),"")</f>
        <v>Un</v>
      </c>
      <c r="D768" s="31">
        <v>1</v>
      </c>
      <c r="E768" s="32">
        <f>IFERROR(_xlfn.XLOOKUP($B768,Insumo[DESCRIPCION],Insumo[VALOR],,0),"")</f>
        <v>90816.6</v>
      </c>
      <c r="F768" s="33"/>
      <c r="G768" s="34">
        <f>IFERROR(IF(F768&gt;=0,D768*E768*(1+F768/100),ABS(D768*E768/F768)),"")</f>
        <v>90816.6</v>
      </c>
      <c r="H768" s="43">
        <f>IFERROR(G768*E765,"")</f>
        <v>0</v>
      </c>
      <c r="I768" s="3"/>
    </row>
    <row r="769" spans="1:9" ht="12.75" customHeight="1">
      <c r="A769" s="28"/>
      <c r="B769" s="29" t="s">
        <v>2744</v>
      </c>
      <c r="C769" s="30" t="str">
        <f>IFERROR(_xlfn.XLOOKUP(B769,Insumo[DESCRIPCION],Insumo[UND],,0),"")</f>
        <v>galón</v>
      </c>
      <c r="D769" s="31">
        <v>0.2</v>
      </c>
      <c r="E769" s="32">
        <f>IFERROR(_xlfn.XLOOKUP($B769,Insumo[DESCRIPCION],Insumo[VALOR],,0),"")</f>
        <v>122528.70000000001</v>
      </c>
      <c r="F769" s="33"/>
      <c r="G769" s="34">
        <f>IFERROR(IF(F769&gt;=0,D769*E769*(1+F769/100),ABS(D769*E769/F769)),"")</f>
        <v>24505.740000000005</v>
      </c>
      <c r="H769" s="43">
        <f>IFERROR(G769*E765,"")</f>
        <v>0</v>
      </c>
      <c r="I769" s="3"/>
    </row>
    <row r="770" spans="1:9" ht="12.75" customHeight="1">
      <c r="A770" s="28"/>
      <c r="B770" s="29" t="s">
        <v>2925</v>
      </c>
      <c r="C770" s="30" t="str">
        <f>IFERROR(_xlfn.XLOOKUP(B770,Insumo[DESCRIPCION],Insumo[UND],,0),"")</f>
        <v>Lt</v>
      </c>
      <c r="D770" s="31">
        <v>0.7</v>
      </c>
      <c r="E770" s="32">
        <f>IFERROR(_xlfn.XLOOKUP($B770,Insumo[DESCRIPCION],Insumo[VALOR],,0),"")</f>
        <v>28923.300000000003</v>
      </c>
      <c r="F770" s="33"/>
      <c r="G770" s="34">
        <f>IFERROR(IF(F770&gt;=0,D770*E770*(1+F770/100),ABS(D770*E770/F770)),"")</f>
        <v>20246.310000000001</v>
      </c>
      <c r="H770" s="43">
        <f>IFERROR(G770*E765,"")</f>
        <v>0</v>
      </c>
      <c r="I770" s="3"/>
    </row>
    <row r="771" spans="1:9" ht="12.75" customHeight="1">
      <c r="A771" s="28"/>
      <c r="B771" s="29"/>
      <c r="C771" s="30" t="str">
        <f>IFERROR(_xlfn.XLOOKUP(B771,Insumo[DESCRIPCION],Insumo[UND],,0),"")</f>
        <v/>
      </c>
      <c r="D771" s="31"/>
      <c r="E771" s="32" t="str">
        <f>IFERROR(_xlfn.XLOOKUP($B771,Insumo[DESCRIPCION],Insumo[VALOR],,0),"")</f>
        <v/>
      </c>
      <c r="F771" s="33"/>
      <c r="G771" s="34" t="str">
        <f>IFERROR(IF(F771&gt;=0,D771*E771*(1+F771/100),ABS(D771*E771/F771)),"")</f>
        <v/>
      </c>
      <c r="H771" s="43" t="str">
        <f>IFERROR(G771*E765,"")</f>
        <v/>
      </c>
      <c r="I771" s="3"/>
    </row>
    <row r="772" spans="1:9" ht="12.75" customHeight="1">
      <c r="A772" s="28"/>
      <c r="B772" s="29"/>
      <c r="C772" s="30" t="str">
        <f>IFERROR(_xlfn.XLOOKUP(B772,Insumo[DESCRIPCION],Insumo[UND],,0),"")</f>
        <v/>
      </c>
      <c r="D772" s="31"/>
      <c r="E772" s="32" t="str">
        <f>IFERROR(_xlfn.XLOOKUP($B772,Insumo[DESCRIPCION],Insumo[VALOR],,0),"")</f>
        <v/>
      </c>
      <c r="F772" s="33"/>
      <c r="G772" s="34" t="str">
        <f>IFERROR(IF(F772&gt;=0,D772*E772*(1+F772/100),ABS(D772*E772/F772)),"")</f>
        <v/>
      </c>
      <c r="H772" s="43" t="str">
        <f>IFERROR(G772*E765,"")</f>
        <v/>
      </c>
      <c r="I772" s="3"/>
    </row>
    <row r="773" spans="1:9" ht="12.75" customHeight="1">
      <c r="A773" s="21"/>
      <c r="B773" s="22" t="s">
        <v>3731</v>
      </c>
      <c r="C773" s="23"/>
      <c r="D773" s="24"/>
      <c r="E773" s="25"/>
      <c r="F773" s="26"/>
      <c r="G773" s="27">
        <f>SUM(G774:G776)</f>
        <v>1571.9537544750003</v>
      </c>
      <c r="H773" s="27">
        <f>IFERROR(G773*E765,"")</f>
        <v>0</v>
      </c>
      <c r="I773" s="3"/>
    </row>
    <row r="774" spans="1:9" ht="12.75" customHeight="1">
      <c r="A774" s="28"/>
      <c r="B774" s="29" t="s">
        <v>3626</v>
      </c>
      <c r="C774" s="30" t="str">
        <f>IFERROR(_xlfn.XLOOKUP(B774,Equipo[DESCRIPCION],Equipo[UND],,0),"")</f>
        <v>%MO</v>
      </c>
      <c r="D774" s="31">
        <v>0.05</v>
      </c>
      <c r="E774" s="32">
        <f>IF(C774="%MO",G780,IFERROR(_xlfn.XLOOKUP($B774,Equipo[DESCRIPCION],Equipo[VALOR],,0),""))</f>
        <v>31439.075089500006</v>
      </c>
      <c r="F774" s="33"/>
      <c r="G774" s="34">
        <f>IFERROR(IF(F774&gt;=0,D774*E774*(1+F774/100),ABS(D774*E774/F774)),"")</f>
        <v>1571.9537544750003</v>
      </c>
      <c r="H774" s="43">
        <f>IFERROR(G774*E765,"")</f>
        <v>0</v>
      </c>
      <c r="I774" s="3"/>
    </row>
    <row r="775" spans="1:9" ht="12.75" customHeight="1">
      <c r="A775" s="28"/>
      <c r="B775" s="29"/>
      <c r="C775" s="30" t="str">
        <f>IFERROR(_xlfn.XLOOKUP(B775,Equipo[DESCRIPCION],Equipo[UND],,0),"")</f>
        <v/>
      </c>
      <c r="D775" s="31"/>
      <c r="E775" s="32" t="str">
        <f>IF(C775="%MO",G780,IFERROR(_xlfn.XLOOKUP($B775,Equipo[DESCRIPCION],Equipo[VALOR],,0),""))</f>
        <v/>
      </c>
      <c r="F775" s="33"/>
      <c r="G775" s="34" t="str">
        <f>IFERROR(IF(F775&gt;=0,D775*E775*(1+F775/100),ABS(D775*E775/F775)),"")</f>
        <v/>
      </c>
      <c r="H775" s="43" t="str">
        <f>IFERROR(G775*E765,"")</f>
        <v/>
      </c>
      <c r="I775" s="3"/>
    </row>
    <row r="776" spans="1:9" ht="12.75" customHeight="1">
      <c r="A776" s="28"/>
      <c r="B776" s="29"/>
      <c r="C776" s="30" t="str">
        <f>IFERROR(_xlfn.XLOOKUP(B776,Equipo[DESCRIPCION],Equipo[UND],,0),"")</f>
        <v/>
      </c>
      <c r="D776" s="31"/>
      <c r="E776" s="32" t="str">
        <f>IF(C776="%MO",G780,IFERROR(_xlfn.XLOOKUP($B776,Equipo[DESCRIPCION],Equipo[VALOR],,0),""))</f>
        <v/>
      </c>
      <c r="F776" s="33"/>
      <c r="G776" s="34" t="str">
        <f>IFERROR(IF(F776&gt;=0,D776*E776*(1+F776/100),ABS(D776*E776/F776)),"")</f>
        <v/>
      </c>
      <c r="H776" s="43" t="str">
        <f>IFERROR(G776*E765,"")</f>
        <v/>
      </c>
      <c r="I776" s="3"/>
    </row>
    <row r="777" spans="1:9" ht="12.75" customHeight="1">
      <c r="A777" s="21"/>
      <c r="B777" s="22" t="s">
        <v>2533</v>
      </c>
      <c r="C777" s="23"/>
      <c r="D777" s="24"/>
      <c r="E777" s="25"/>
      <c r="F777" s="26"/>
      <c r="G777" s="27">
        <f>SUM(G778:G779)</f>
        <v>0</v>
      </c>
      <c r="H777" s="27">
        <f>IFERROR(G777*E765,"")</f>
        <v>0</v>
      </c>
      <c r="I777" s="3"/>
    </row>
    <row r="778" spans="1:9" ht="12.75" customHeight="1">
      <c r="A778" s="28"/>
      <c r="B778" s="29"/>
      <c r="C778" s="30" t="str">
        <f>IFERROR(_xlfn.XLOOKUP(B778,Transporte[DESCRIPCION],Transporte[UND],,0),"")</f>
        <v/>
      </c>
      <c r="D778" s="31"/>
      <c r="E778" s="32" t="str">
        <f>IFERROR(_xlfn.XLOOKUP($B778,Transporte[DESCRIPCION],Transporte[VALOR],,0),"")</f>
        <v/>
      </c>
      <c r="F778" s="33"/>
      <c r="G778" s="34" t="str">
        <f>IFERROR(IF(F778&gt;=0,D778*E778*(1+F778/100),ABS(D778*E778/F778)),"")</f>
        <v/>
      </c>
      <c r="H778" s="43" t="str">
        <f>IFERROR(G778*E765,"")</f>
        <v/>
      </c>
      <c r="I778" s="3"/>
    </row>
    <row r="779" spans="1:9" ht="12.75" customHeight="1">
      <c r="A779" s="28"/>
      <c r="B779" s="29"/>
      <c r="C779" s="30" t="str">
        <f>IFERROR(_xlfn.XLOOKUP(B779,Transporte[DESCRIPCION],Transporte[UND],,0),"")</f>
        <v/>
      </c>
      <c r="D779" s="31"/>
      <c r="E779" s="32" t="str">
        <f>IFERROR(_xlfn.XLOOKUP($B779,Transporte[DESCRIPCION],Transporte[VALOR],,0),"")</f>
        <v/>
      </c>
      <c r="F779" s="33"/>
      <c r="G779" s="34" t="str">
        <f>IFERROR(IF(F779&gt;=0,D779*E779*(1+F779/100),ABS(D779*E779/F779)),"")</f>
        <v/>
      </c>
      <c r="H779" s="43" t="str">
        <f>IFERROR(G779*E765,"")</f>
        <v/>
      </c>
      <c r="I779" s="3"/>
    </row>
    <row r="780" spans="1:9" ht="12.75" customHeight="1">
      <c r="A780" s="21"/>
      <c r="B780" s="22" t="s">
        <v>3732</v>
      </c>
      <c r="C780" s="23"/>
      <c r="D780" s="24"/>
      <c r="E780" s="25"/>
      <c r="F780" s="26"/>
      <c r="G780" s="27">
        <f>SUM(G781:G783)</f>
        <v>31439.075089500006</v>
      </c>
      <c r="H780" s="27">
        <f>IFERROR(G780*E765,"")</f>
        <v>0</v>
      </c>
      <c r="I780" s="3"/>
    </row>
    <row r="781" spans="1:9" ht="12.75" customHeight="1">
      <c r="A781" s="28"/>
      <c r="B781" s="29" t="s">
        <v>3710</v>
      </c>
      <c r="C781" s="30" t="str">
        <f>IFERROR(_xlfn.XLOOKUP(B781,MObra[DESCRIPCION],MObra[UN],,0),"")</f>
        <v>día</v>
      </c>
      <c r="D781" s="31">
        <v>1</v>
      </c>
      <c r="E781" s="32">
        <f>IFERROR(_xlfn.XLOOKUP($B781,MObra[DESCRIPCION],MObra[VALOR UNIT],,0),"")</f>
        <v>314390.75089500006</v>
      </c>
      <c r="F781" s="33">
        <v>-10</v>
      </c>
      <c r="G781" s="34">
        <f>IFERROR(IF(F781&gt;=0,D781*E781*(1+F781/100),ABS(D781*E781/F781)),"")</f>
        <v>31439.075089500006</v>
      </c>
      <c r="H781" s="43">
        <f>IFERROR(G781*E765,"")</f>
        <v>0</v>
      </c>
      <c r="I781" s="3"/>
    </row>
    <row r="782" spans="1:9" ht="12.75" customHeight="1">
      <c r="A782" s="28"/>
      <c r="B782" s="29"/>
      <c r="C782" s="30" t="str">
        <f>IFERROR(_xlfn.XLOOKUP(B782,MObra[DESCRIPCION],MObra[UN],,0),"")</f>
        <v/>
      </c>
      <c r="D782" s="31"/>
      <c r="E782" s="32" t="str">
        <f>IFERROR(_xlfn.XLOOKUP($B782,MObra[DESCRIPCION],MObra[VALOR UNIT],,0),"")</f>
        <v/>
      </c>
      <c r="F782" s="33"/>
      <c r="G782" s="34" t="str">
        <f>IFERROR(IF(F782&gt;=0,D782*E782*(1+F782/100),ABS(D782*E782/F782)),"")</f>
        <v/>
      </c>
      <c r="H782" s="43" t="str">
        <f>IFERROR(G782*E765,"")</f>
        <v/>
      </c>
      <c r="I782" s="3"/>
    </row>
    <row r="783" spans="1:9" ht="12.75" customHeight="1" thickBot="1">
      <c r="A783" s="35"/>
      <c r="B783" s="36"/>
      <c r="C783" s="37" t="str">
        <f>IFERROR(_xlfn.XLOOKUP(B783,MObra[DESCRIPCION],MObra[UN],,0),"")</f>
        <v/>
      </c>
      <c r="D783" s="38"/>
      <c r="E783" s="39" t="str">
        <f>IFERROR(_xlfn.XLOOKUP($B783,MObra[DESCRIPCION],MObra[VALOR UNIT],,0),"")</f>
        <v/>
      </c>
      <c r="F783" s="40"/>
      <c r="G783" s="41" t="str">
        <f>IFERROR(IF(F783&gt;=0,D783*E783*(1+F783/100),ABS(D783*E783/F783)),"")</f>
        <v/>
      </c>
      <c r="H783" s="42" t="str">
        <f>IFERROR(G783*E765,"")</f>
        <v/>
      </c>
      <c r="I783" s="3"/>
    </row>
    <row r="784" spans="1:9" ht="12.75" customHeight="1" thickTop="1" thickBot="1">
      <c r="I784" s="3"/>
    </row>
    <row r="785" spans="1:11" ht="12.75" customHeight="1" thickTop="1" thickBot="1">
      <c r="A785" s="6" t="s">
        <v>1633</v>
      </c>
      <c r="B785" s="7" t="str">
        <f>VLOOKUP($A785,Presupuesto!$A:$D,2,FALSE())</f>
        <v>Puerta metálica ángulo 1-1/2" + malla eslabonada</v>
      </c>
      <c r="C785" s="8" t="str">
        <f>VLOOKUP($A785,Presupuesto!$A:$D,3,FALSE())</f>
        <v>M2</v>
      </c>
      <c r="D785" s="9"/>
      <c r="E785" s="10">
        <f>VLOOKUP($A785,Presupuesto!$A:$D,4,FALSE())</f>
        <v>0</v>
      </c>
      <c r="F785" s="11" t="s">
        <v>2589</v>
      </c>
      <c r="G785" s="12">
        <f>SUM(G787:G806)/2</f>
        <v>402494.1555012</v>
      </c>
      <c r="H785" s="13">
        <f>ROUND(SUM(H787:H806),0)/2</f>
        <v>0</v>
      </c>
      <c r="I785" s="10">
        <f>VLOOKUP(A785,Presupuesto!$A:$F,6,0)</f>
        <v>0</v>
      </c>
      <c r="J785" s="10">
        <f>+H785-I785</f>
        <v>0</v>
      </c>
      <c r="K785" s="46">
        <f>+H785-G785*E785</f>
        <v>0</v>
      </c>
    </row>
    <row r="786" spans="1:11" ht="12.75" customHeight="1" thickTop="1">
      <c r="A786" s="14"/>
      <c r="B786" s="15" t="s">
        <v>2586</v>
      </c>
      <c r="C786" s="15" t="s">
        <v>5</v>
      </c>
      <c r="D786" s="16" t="s">
        <v>6</v>
      </c>
      <c r="E786" s="17" t="s">
        <v>7</v>
      </c>
      <c r="F786" s="18" t="s">
        <v>3728</v>
      </c>
      <c r="G786" s="19" t="s">
        <v>3729</v>
      </c>
      <c r="H786" s="20" t="s">
        <v>3797</v>
      </c>
      <c r="I786" s="3"/>
    </row>
    <row r="787" spans="1:11" ht="12.75" customHeight="1">
      <c r="A787" s="21"/>
      <c r="B787" s="22" t="s">
        <v>3730</v>
      </c>
      <c r="C787" s="23"/>
      <c r="D787" s="24"/>
      <c r="E787" s="25"/>
      <c r="F787" s="26"/>
      <c r="G787" s="27">
        <f>SUM(G788:G795)</f>
        <v>216808.72500000003</v>
      </c>
      <c r="H787" s="27">
        <f>IFERROR(G787*E785,"")</f>
        <v>0</v>
      </c>
      <c r="I787" s="3"/>
    </row>
    <row r="788" spans="1:11" ht="12.75" customHeight="1">
      <c r="A788" s="28"/>
      <c r="B788" s="29" t="s">
        <v>2706</v>
      </c>
      <c r="C788" s="30" t="str">
        <f>IFERROR(_xlfn.XLOOKUP(B788,Insumo[DESCRIPCION],Insumo[UND],,0),"")</f>
        <v>M</v>
      </c>
      <c r="D788" s="31">
        <v>4.8</v>
      </c>
      <c r="E788" s="32">
        <f>IFERROR(_xlfn.XLOOKUP($B788,Insumo[DESCRIPCION],Insumo[VALOR],,0),"")</f>
        <v>31556.7</v>
      </c>
      <c r="F788" s="33"/>
      <c r="G788" s="34">
        <f t="shared" ref="G788:G795" si="1">IFERROR(IF(F788&gt;=0,D788*E788*(1+F788/100),ABS(D788*E788/F788)),"")</f>
        <v>151472.16</v>
      </c>
      <c r="H788" s="43">
        <f>IFERROR(G788*E785,"")</f>
        <v>0</v>
      </c>
      <c r="I788" s="3"/>
    </row>
    <row r="789" spans="1:11" ht="12.75" customHeight="1">
      <c r="A789" s="28"/>
      <c r="B789" s="29" t="s">
        <v>3138</v>
      </c>
      <c r="C789" s="30" t="str">
        <f>IFERROR(_xlfn.XLOOKUP(B789,Insumo[DESCRIPCION],Insumo[UND],,0),"")</f>
        <v>M2</v>
      </c>
      <c r="D789" s="31">
        <v>1</v>
      </c>
      <c r="E789" s="32">
        <f>IFERROR(_xlfn.XLOOKUP($B789,Insumo[DESCRIPCION],Insumo[VALOR],,0),"")</f>
        <v>26005.350000000002</v>
      </c>
      <c r="F789" s="33"/>
      <c r="G789" s="34">
        <f t="shared" si="1"/>
        <v>26005.350000000002</v>
      </c>
      <c r="H789" s="43">
        <f>IFERROR(G789*E785,"")</f>
        <v>0</v>
      </c>
      <c r="I789" s="3"/>
    </row>
    <row r="790" spans="1:11" ht="12.75" customHeight="1">
      <c r="A790" s="28"/>
      <c r="B790" s="29" t="s">
        <v>2697</v>
      </c>
      <c r="C790" s="30" t="str">
        <f>IFERROR(_xlfn.XLOOKUP(B790,Insumo[DESCRIPCION],Insumo[UND],,0),"")</f>
        <v>Kg</v>
      </c>
      <c r="D790" s="31">
        <v>0.3</v>
      </c>
      <c r="E790" s="32">
        <f>IFERROR(_xlfn.XLOOKUP($B790,Insumo[DESCRIPCION],Insumo[VALOR],,0),"")</f>
        <v>11461.800000000001</v>
      </c>
      <c r="F790" s="33"/>
      <c r="G790" s="34">
        <f t="shared" si="1"/>
        <v>3438.5400000000004</v>
      </c>
      <c r="H790" s="43">
        <f>IFERROR(G790*E785,"")</f>
        <v>0</v>
      </c>
      <c r="I790" s="3"/>
    </row>
    <row r="791" spans="1:11" ht="12.75" customHeight="1">
      <c r="A791" s="28"/>
      <c r="B791" s="29" t="s">
        <v>3326</v>
      </c>
      <c r="C791" s="30" t="str">
        <f>IFERROR(_xlfn.XLOOKUP(B791,Insumo[DESCRIPCION],Insumo[UND],,0),"")</f>
        <v>Kg</v>
      </c>
      <c r="D791" s="31">
        <v>0.4</v>
      </c>
      <c r="E791" s="32">
        <f>IFERROR(_xlfn.XLOOKUP($B791,Insumo[DESCRIPCION],Insumo[VALOR],,0),"")</f>
        <v>5978.7</v>
      </c>
      <c r="F791" s="33"/>
      <c r="G791" s="34">
        <f t="shared" si="1"/>
        <v>2391.48</v>
      </c>
      <c r="H791" s="43">
        <f>IFERROR(G791*E785,"")</f>
        <v>0</v>
      </c>
      <c r="I791" s="3"/>
    </row>
    <row r="792" spans="1:11" ht="12.75" customHeight="1">
      <c r="A792" s="28"/>
      <c r="B792" s="29" t="s">
        <v>3189</v>
      </c>
      <c r="C792" s="30" t="str">
        <f>IFERROR(_xlfn.XLOOKUP(B792,Insumo[DESCRIPCION],Insumo[UND],,0),"")</f>
        <v xml:space="preserve"> Un </v>
      </c>
      <c r="D792" s="31">
        <v>0.5</v>
      </c>
      <c r="E792" s="32">
        <f>IFERROR(_xlfn.XLOOKUP($B792,Insumo[DESCRIPCION],Insumo[VALOR],,0),"")</f>
        <v>6819.75</v>
      </c>
      <c r="F792" s="33"/>
      <c r="G792" s="34">
        <f t="shared" si="1"/>
        <v>3409.875</v>
      </c>
      <c r="H792" s="43">
        <f>IFERROR(G792*E785,"")</f>
        <v>0</v>
      </c>
      <c r="I792" s="3"/>
    </row>
    <row r="793" spans="1:11" ht="12.75" customHeight="1">
      <c r="A793" s="28"/>
      <c r="B793" s="29" t="s">
        <v>2750</v>
      </c>
      <c r="C793" s="30" t="str">
        <f>IFERROR(_xlfn.XLOOKUP(B793,Insumo[DESCRIPCION],Insumo[UND],,0),"")</f>
        <v>Un</v>
      </c>
      <c r="D793" s="31">
        <v>1</v>
      </c>
      <c r="E793" s="32">
        <f>IFERROR(_xlfn.XLOOKUP($B793,Insumo[DESCRIPCION],Insumo[VALOR],,0),"")</f>
        <v>13526.1</v>
      </c>
      <c r="F793" s="33"/>
      <c r="G793" s="34">
        <f t="shared" si="1"/>
        <v>13526.1</v>
      </c>
      <c r="H793" s="43">
        <f>IFERROR(G793*E785,"")</f>
        <v>0</v>
      </c>
      <c r="I793" s="3"/>
    </row>
    <row r="794" spans="1:11" ht="12.75" customHeight="1">
      <c r="A794" s="28"/>
      <c r="B794" s="29" t="s">
        <v>2925</v>
      </c>
      <c r="C794" s="30" t="str">
        <f>IFERROR(_xlfn.XLOOKUP(B794,Insumo[DESCRIPCION],Insumo[UND],,0),"")</f>
        <v>Lt</v>
      </c>
      <c r="D794" s="31">
        <v>0.2</v>
      </c>
      <c r="E794" s="32">
        <f>IFERROR(_xlfn.XLOOKUP($B794,Insumo[DESCRIPCION],Insumo[VALOR],,0),"")</f>
        <v>28923.300000000003</v>
      </c>
      <c r="F794" s="33"/>
      <c r="G794" s="34">
        <f t="shared" si="1"/>
        <v>5784.6600000000008</v>
      </c>
      <c r="H794" s="43">
        <f>IFERROR(G794*E785,"")</f>
        <v>0</v>
      </c>
      <c r="I794" s="3"/>
    </row>
    <row r="795" spans="1:11" ht="12.75" customHeight="1">
      <c r="A795" s="28"/>
      <c r="B795" s="29" t="s">
        <v>3204</v>
      </c>
      <c r="C795" s="30" t="str">
        <f>IFERROR(_xlfn.XLOOKUP(B795,Insumo[DESCRIPCION],Insumo[UND],,0),"")</f>
        <v>galón</v>
      </c>
      <c r="D795" s="31">
        <v>0.1</v>
      </c>
      <c r="E795" s="32">
        <f>IFERROR(_xlfn.XLOOKUP($B795,Insumo[DESCRIPCION],Insumo[VALOR],,0),"")</f>
        <v>107805.6</v>
      </c>
      <c r="F795" s="33"/>
      <c r="G795" s="34">
        <f t="shared" si="1"/>
        <v>10780.560000000001</v>
      </c>
      <c r="H795" s="43">
        <f>IFERROR(G795*E785,"")</f>
        <v>0</v>
      </c>
      <c r="I795" s="3"/>
    </row>
    <row r="796" spans="1:11" ht="12.75" customHeight="1">
      <c r="A796" s="21"/>
      <c r="B796" s="22" t="s">
        <v>3731</v>
      </c>
      <c r="C796" s="23"/>
      <c r="D796" s="24"/>
      <c r="E796" s="25"/>
      <c r="F796" s="26"/>
      <c r="G796" s="27">
        <f>SUM(G797:G799)</f>
        <v>18010.363357200004</v>
      </c>
      <c r="H796" s="27">
        <f>IFERROR(G796*E785,"")</f>
        <v>0</v>
      </c>
      <c r="I796" s="3"/>
    </row>
    <row r="797" spans="1:11" ht="12.75" customHeight="1">
      <c r="A797" s="28"/>
      <c r="B797" s="29" t="s">
        <v>3613</v>
      </c>
      <c r="C797" s="30" t="str">
        <f>IFERROR(_xlfn.XLOOKUP(B797,Equipo[DESCRIPCION],Equipo[UND],,0),"")</f>
        <v>Día</v>
      </c>
      <c r="D797" s="31">
        <v>1</v>
      </c>
      <c r="E797" s="32">
        <f>IF(C797="%MO",G803,IFERROR(_xlfn.XLOOKUP($B797,Equipo[DESCRIPCION],Equipo[VALOR],,0),""))</f>
        <v>48133.05</v>
      </c>
      <c r="F797" s="33">
        <v>-5</v>
      </c>
      <c r="G797" s="34">
        <f>IFERROR(IF(F797&gt;=0,D797*E797*(1+F797/100),ABS(D797*E797/F797)),"")</f>
        <v>9626.61</v>
      </c>
      <c r="H797" s="43">
        <f>IFERROR(G797*E785,"")</f>
        <v>0</v>
      </c>
      <c r="I797" s="3"/>
    </row>
    <row r="798" spans="1:11" ht="12.75" customHeight="1">
      <c r="A798" s="28"/>
      <c r="B798" s="29" t="s">
        <v>3626</v>
      </c>
      <c r="C798" s="30" t="str">
        <f>IFERROR(_xlfn.XLOOKUP(B798,Equipo[DESCRIPCION],Equipo[UND],,0),"")</f>
        <v>%MO</v>
      </c>
      <c r="D798" s="31">
        <v>0.05</v>
      </c>
      <c r="E798" s="32">
        <f>IF(C798="%MO",G803,IFERROR(_xlfn.XLOOKUP($B798,Equipo[DESCRIPCION],Equipo[VALOR],,0),""))</f>
        <v>167675.06714400003</v>
      </c>
      <c r="F798" s="33"/>
      <c r="G798" s="34">
        <f>IFERROR(IF(F798&gt;=0,D798*E798*(1+F798/100),ABS(D798*E798/F798)),"")</f>
        <v>8383.7533572000011</v>
      </c>
      <c r="H798" s="43">
        <f>IFERROR(G798*E785,"")</f>
        <v>0</v>
      </c>
      <c r="I798" s="3"/>
    </row>
    <row r="799" spans="1:11" ht="12.75" customHeight="1">
      <c r="A799" s="28"/>
      <c r="B799" s="29"/>
      <c r="C799" s="30" t="str">
        <f>IFERROR(_xlfn.XLOOKUP(B799,Equipo[DESCRIPCION],Equipo[UND],,0),"")</f>
        <v/>
      </c>
      <c r="D799" s="31"/>
      <c r="E799" s="32" t="str">
        <f>IF(C799="%MO",G803,IFERROR(_xlfn.XLOOKUP($B799,Equipo[DESCRIPCION],Equipo[VALOR],,0),""))</f>
        <v/>
      </c>
      <c r="F799" s="33"/>
      <c r="G799" s="34" t="str">
        <f>IFERROR(IF(F799&gt;=0,D799*E799*(1+F799/100),ABS(D799*E799/F799)),"")</f>
        <v/>
      </c>
      <c r="H799" s="43" t="str">
        <f>IFERROR(G799*E785,"")</f>
        <v/>
      </c>
      <c r="I799" s="3"/>
    </row>
    <row r="800" spans="1:11" ht="12.75" customHeight="1">
      <c r="A800" s="21"/>
      <c r="B800" s="22" t="s">
        <v>2533</v>
      </c>
      <c r="C800" s="23"/>
      <c r="D800" s="24"/>
      <c r="E800" s="25"/>
      <c r="F800" s="26"/>
      <c r="G800" s="27">
        <f>SUM(G801:G802)</f>
        <v>0</v>
      </c>
      <c r="H800" s="27">
        <f>IFERROR(G800*E785,"")</f>
        <v>0</v>
      </c>
      <c r="I800" s="3"/>
    </row>
    <row r="801" spans="1:11" ht="12.75" customHeight="1">
      <c r="A801" s="28"/>
      <c r="B801" s="29"/>
      <c r="C801" s="30" t="str">
        <f>IFERROR(_xlfn.XLOOKUP(B801,Transporte[DESCRIPCION],Transporte[UND],,0),"")</f>
        <v/>
      </c>
      <c r="D801" s="31"/>
      <c r="E801" s="32" t="str">
        <f>IFERROR(_xlfn.XLOOKUP($B801,Transporte[DESCRIPCION],Transporte[VALOR],,0),"")</f>
        <v/>
      </c>
      <c r="F801" s="33"/>
      <c r="G801" s="34" t="str">
        <f>IFERROR(IF(F801&gt;=0,D801*E801*(1+F801/100),ABS(D801*E801/F801)),"")</f>
        <v/>
      </c>
      <c r="H801" s="43" t="str">
        <f>IFERROR(G801*E785,"")</f>
        <v/>
      </c>
      <c r="I801" s="3"/>
    </row>
    <row r="802" spans="1:11" ht="12.75" customHeight="1">
      <c r="A802" s="28"/>
      <c r="B802" s="29"/>
      <c r="C802" s="30" t="str">
        <f>IFERROR(_xlfn.XLOOKUP(B802,Transporte[DESCRIPCION],Transporte[UND],,0),"")</f>
        <v/>
      </c>
      <c r="D802" s="31"/>
      <c r="E802" s="32" t="str">
        <f>IFERROR(_xlfn.XLOOKUP($B802,Transporte[DESCRIPCION],Transporte[VALOR],,0),"")</f>
        <v/>
      </c>
      <c r="F802" s="33"/>
      <c r="G802" s="34" t="str">
        <f>IFERROR(IF(F802&gt;=0,D802*E802*(1+F802/100),ABS(D802*E802/F802)),"")</f>
        <v/>
      </c>
      <c r="H802" s="43" t="str">
        <f>IFERROR(G802*E785,"")</f>
        <v/>
      </c>
      <c r="I802" s="3"/>
    </row>
    <row r="803" spans="1:11" ht="12.75" customHeight="1">
      <c r="A803" s="21"/>
      <c r="B803" s="22" t="s">
        <v>3732</v>
      </c>
      <c r="C803" s="23"/>
      <c r="D803" s="24"/>
      <c r="E803" s="25"/>
      <c r="F803" s="26"/>
      <c r="G803" s="27">
        <f>SUM(G804:G806)</f>
        <v>167675.06714400003</v>
      </c>
      <c r="H803" s="27">
        <f>IFERROR(G803*E785,"")</f>
        <v>0</v>
      </c>
      <c r="I803" s="3"/>
    </row>
    <row r="804" spans="1:11" ht="12.75" customHeight="1">
      <c r="A804" s="28"/>
      <c r="B804" s="29" t="s">
        <v>3724</v>
      </c>
      <c r="C804" s="30" t="str">
        <f>IFERROR(_xlfn.XLOOKUP(B804,MObra[DESCRIPCION],MObra[UN],,0),"")</f>
        <v>día</v>
      </c>
      <c r="D804" s="31">
        <v>1</v>
      </c>
      <c r="E804" s="32">
        <f>IFERROR(_xlfn.XLOOKUP($B804,MObra[DESCRIPCION],MObra[VALOR UNIT],,0),"")</f>
        <v>419187.66786000005</v>
      </c>
      <c r="F804" s="33">
        <v>-2.5</v>
      </c>
      <c r="G804" s="34">
        <f>IFERROR(IF(F804&gt;=0,D804*E804*(1+F804/100),ABS(D804*E804/F804)),"")</f>
        <v>167675.06714400003</v>
      </c>
      <c r="H804" s="43">
        <f>IFERROR(G804*E785,"")</f>
        <v>0</v>
      </c>
      <c r="I804" s="3"/>
    </row>
    <row r="805" spans="1:11" ht="12.75" customHeight="1">
      <c r="A805" s="28"/>
      <c r="B805" s="29"/>
      <c r="C805" s="30" t="str">
        <f>IFERROR(_xlfn.XLOOKUP(B805,MObra[DESCRIPCION],MObra[UN],,0),"")</f>
        <v/>
      </c>
      <c r="D805" s="31"/>
      <c r="E805" s="32" t="str">
        <f>IFERROR(_xlfn.XLOOKUP($B805,MObra[DESCRIPCION],MObra[VALOR UNIT],,0),"")</f>
        <v/>
      </c>
      <c r="F805" s="33"/>
      <c r="G805" s="34" t="str">
        <f>IFERROR(IF(F805&gt;=0,D805*E805*(1+F805/100),ABS(D805*E805/F805)),"")</f>
        <v/>
      </c>
      <c r="H805" s="43" t="str">
        <f>IFERROR(G805*E785,"")</f>
        <v/>
      </c>
      <c r="I805" s="3"/>
    </row>
    <row r="806" spans="1:11" ht="12.75" customHeight="1" thickBot="1">
      <c r="A806" s="35"/>
      <c r="B806" s="36"/>
      <c r="C806" s="37" t="str">
        <f>IFERROR(_xlfn.XLOOKUP(B806,MObra[DESCRIPCION],MObra[UN],,0),"")</f>
        <v/>
      </c>
      <c r="D806" s="38"/>
      <c r="E806" s="39" t="str">
        <f>IFERROR(_xlfn.XLOOKUP($B806,MObra[DESCRIPCION],MObra[VALOR UNIT],,0),"")</f>
        <v/>
      </c>
      <c r="F806" s="40"/>
      <c r="G806" s="41" t="str">
        <f>IFERROR(IF(F806&gt;=0,D806*E806*(1+F806/100),ABS(D806*E806/F806)),"")</f>
        <v/>
      </c>
      <c r="H806" s="42" t="str">
        <f>IFERROR(G806*E785,"")</f>
        <v/>
      </c>
      <c r="I806" s="3"/>
    </row>
    <row r="807" spans="1:11" ht="12.75" customHeight="1" thickTop="1" thickBot="1">
      <c r="I807" s="3"/>
    </row>
    <row r="808" spans="1:11" ht="12.75" customHeight="1" thickTop="1" thickBot="1">
      <c r="A808" s="6" t="s">
        <v>1635</v>
      </c>
      <c r="B808" s="7" t="str">
        <f>VLOOKUP($A808,Presupuesto!$A:$D,2,FALSE())</f>
        <v>Puerta metálica corrediza reglada B=0.5m H=2.5m</v>
      </c>
      <c r="C808" s="8" t="str">
        <f>VLOOKUP($A808,Presupuesto!$A:$D,3,FALSE())</f>
        <v>M2</v>
      </c>
      <c r="D808" s="9"/>
      <c r="E808" s="10">
        <f>VLOOKUP($A808,Presupuesto!$A:$D,4,FALSE())</f>
        <v>0</v>
      </c>
      <c r="F808" s="11" t="s">
        <v>2589</v>
      </c>
      <c r="G808" s="12">
        <f>SUM(G810:G830)/2</f>
        <v>680408.79262650013</v>
      </c>
      <c r="H808" s="13">
        <f>ROUND(SUM(H810:H830),0)/2</f>
        <v>0</v>
      </c>
      <c r="I808" s="10">
        <f>VLOOKUP(A808,Presupuesto!$A:$F,6,0)</f>
        <v>0</v>
      </c>
      <c r="J808" s="10">
        <f>+H808-I808</f>
        <v>0</v>
      </c>
      <c r="K808" s="46">
        <f>+H808-G808*E808</f>
        <v>0</v>
      </c>
    </row>
    <row r="809" spans="1:11" ht="12.75" customHeight="1" thickTop="1">
      <c r="A809" s="14"/>
      <c r="B809" s="15" t="s">
        <v>2586</v>
      </c>
      <c r="C809" s="15" t="s">
        <v>5</v>
      </c>
      <c r="D809" s="16" t="s">
        <v>6</v>
      </c>
      <c r="E809" s="17" t="s">
        <v>7</v>
      </c>
      <c r="F809" s="18" t="s">
        <v>3728</v>
      </c>
      <c r="G809" s="19" t="s">
        <v>3729</v>
      </c>
      <c r="H809" s="20" t="s">
        <v>3797</v>
      </c>
      <c r="I809" s="3"/>
    </row>
    <row r="810" spans="1:11" ht="12.75" customHeight="1">
      <c r="A810" s="21"/>
      <c r="B810" s="22" t="s">
        <v>3730</v>
      </c>
      <c r="C810" s="23"/>
      <c r="D810" s="24"/>
      <c r="E810" s="25"/>
      <c r="F810" s="26"/>
      <c r="G810" s="27">
        <f>SUM(G811:G819)</f>
        <v>436268.74199999991</v>
      </c>
      <c r="H810" s="27">
        <f>IFERROR(G810*E808,"")</f>
        <v>0</v>
      </c>
      <c r="I810" s="3"/>
    </row>
    <row r="811" spans="1:11" ht="12.75" customHeight="1">
      <c r="A811" s="28"/>
      <c r="B811" s="29" t="s">
        <v>3226</v>
      </c>
      <c r="C811" s="30" t="str">
        <f>IFERROR(_xlfn.XLOOKUP(B811,Insumo[DESCRIPCION],Insumo[UND],,0),"")</f>
        <v>M</v>
      </c>
      <c r="D811" s="31">
        <v>0.4</v>
      </c>
      <c r="E811" s="32">
        <f>IFERROR(_xlfn.XLOOKUP($B811,Insumo[DESCRIPCION],Insumo[VALOR],,0),"")</f>
        <v>10183.950000000001</v>
      </c>
      <c r="F811" s="33"/>
      <c r="G811" s="34">
        <f t="shared" ref="G811:G819" si="2">IFERROR(IF(F811&gt;=0,D811*E811*(1+F811/100),ABS(D811*E811/F811)),"")</f>
        <v>4073.5800000000004</v>
      </c>
      <c r="H811" s="43">
        <f>IFERROR(G811*E808,"")</f>
        <v>0</v>
      </c>
      <c r="I811" s="3"/>
    </row>
    <row r="812" spans="1:11" ht="12.75" customHeight="1">
      <c r="A812" s="28"/>
      <c r="B812" s="29" t="s">
        <v>2703</v>
      </c>
      <c r="C812" s="30" t="str">
        <f>IFERROR(_xlfn.XLOOKUP(B812,Insumo[DESCRIPCION],Insumo[UND],,0),"")</f>
        <v>M</v>
      </c>
      <c r="D812" s="31">
        <v>0.67</v>
      </c>
      <c r="E812" s="32">
        <f>IFERROR(_xlfn.XLOOKUP($B812,Insumo[DESCRIPCION],Insumo[VALOR],,0),"")</f>
        <v>11388.300000000001</v>
      </c>
      <c r="F812" s="33"/>
      <c r="G812" s="34">
        <f t="shared" si="2"/>
        <v>7630.161000000001</v>
      </c>
      <c r="H812" s="43">
        <f>IFERROR(G812*E808,"")</f>
        <v>0</v>
      </c>
      <c r="I812" s="3"/>
    </row>
    <row r="813" spans="1:11" ht="12.75" customHeight="1">
      <c r="A813" s="28"/>
      <c r="B813" s="29" t="s">
        <v>3024</v>
      </c>
      <c r="C813" s="30" t="str">
        <f>IFERROR(_xlfn.XLOOKUP(B813,Insumo[DESCRIPCION],Insumo[UND],,0),"")</f>
        <v>M2</v>
      </c>
      <c r="D813" s="31">
        <v>2.17</v>
      </c>
      <c r="E813" s="32">
        <f>IFERROR(_xlfn.XLOOKUP($B813,Insumo[DESCRIPCION],Insumo[VALOR],,0),"")</f>
        <v>139918.80000000002</v>
      </c>
      <c r="F813" s="33"/>
      <c r="G813" s="34">
        <f t="shared" si="2"/>
        <v>303623.79600000003</v>
      </c>
      <c r="H813" s="43">
        <f>IFERROR(G813*E808,"")</f>
        <v>0</v>
      </c>
      <c r="I813" s="3"/>
    </row>
    <row r="814" spans="1:11" ht="12.75" customHeight="1">
      <c r="A814" s="28"/>
      <c r="B814" s="29" t="s">
        <v>3326</v>
      </c>
      <c r="C814" s="30" t="str">
        <f>IFERROR(_xlfn.XLOOKUP(B814,Insumo[DESCRIPCION],Insumo[UND],,0),"")</f>
        <v>Kg</v>
      </c>
      <c r="D814" s="31">
        <v>0.1</v>
      </c>
      <c r="E814" s="32">
        <f>IFERROR(_xlfn.XLOOKUP($B814,Insumo[DESCRIPCION],Insumo[VALOR],,0),"")</f>
        <v>5978.7</v>
      </c>
      <c r="F814" s="33"/>
      <c r="G814" s="34">
        <f t="shared" si="2"/>
        <v>597.87</v>
      </c>
      <c r="H814" s="43">
        <f>IFERROR(G814*E808,"")</f>
        <v>0</v>
      </c>
      <c r="I814" s="3"/>
    </row>
    <row r="815" spans="1:11" ht="12.75" customHeight="1">
      <c r="A815" s="28"/>
      <c r="B815" s="29" t="s">
        <v>2653</v>
      </c>
      <c r="C815" s="30" t="str">
        <f>IFERROR(_xlfn.XLOOKUP(B815,Insumo[DESCRIPCION],Insumo[UND],,0),"")</f>
        <v>Kg</v>
      </c>
      <c r="D815" s="31">
        <v>0.3</v>
      </c>
      <c r="E815" s="32">
        <f>IFERROR(_xlfn.XLOOKUP($B815,Insumo[DESCRIPCION],Insumo[VALOR],,0),"")</f>
        <v>5686.8</v>
      </c>
      <c r="F815" s="33"/>
      <c r="G815" s="34">
        <f t="shared" si="2"/>
        <v>1706.04</v>
      </c>
      <c r="H815" s="43">
        <f>IFERROR(G815*E808,"")</f>
        <v>0</v>
      </c>
      <c r="I815" s="3"/>
    </row>
    <row r="816" spans="1:11" ht="12.75" customHeight="1">
      <c r="A816" s="28"/>
      <c r="B816" s="29" t="s">
        <v>3274</v>
      </c>
      <c r="C816" s="30" t="str">
        <f>IFERROR(_xlfn.XLOOKUP(B816,Insumo[DESCRIPCION],Insumo[UND],,0),"")</f>
        <v>Un</v>
      </c>
      <c r="D816" s="31">
        <v>1.6</v>
      </c>
      <c r="E816" s="32">
        <f>IFERROR(_xlfn.XLOOKUP($B816,Insumo[DESCRIPCION],Insumo[VALOR],,0),"")</f>
        <v>17416.350000000002</v>
      </c>
      <c r="F816" s="33"/>
      <c r="G816" s="34">
        <f t="shared" si="2"/>
        <v>27866.160000000003</v>
      </c>
      <c r="H816" s="43">
        <f>IFERROR(G816*E808,"")</f>
        <v>0</v>
      </c>
      <c r="I816" s="3"/>
    </row>
    <row r="817" spans="1:11" ht="12.75" customHeight="1">
      <c r="A817" s="28"/>
      <c r="B817" s="29" t="s">
        <v>2829</v>
      </c>
      <c r="C817" s="30" t="str">
        <f>IFERROR(_xlfn.XLOOKUP(B817,Insumo[DESCRIPCION],Insumo[UND],,0),"")</f>
        <v>Un</v>
      </c>
      <c r="D817" s="31">
        <v>0.1</v>
      </c>
      <c r="E817" s="32">
        <f>IFERROR(_xlfn.XLOOKUP($B817,Insumo[DESCRIPCION],Insumo[VALOR],,0),"")</f>
        <v>79450.350000000006</v>
      </c>
      <c r="F817" s="33"/>
      <c r="G817" s="34">
        <f t="shared" si="2"/>
        <v>7945.0350000000008</v>
      </c>
      <c r="H817" s="43">
        <f>IFERROR(G817*E808,"")</f>
        <v>0</v>
      </c>
      <c r="I817" s="3"/>
    </row>
    <row r="818" spans="1:11" ht="12.75" customHeight="1">
      <c r="A818" s="28"/>
      <c r="B818" s="29" t="s">
        <v>2925</v>
      </c>
      <c r="C818" s="30" t="str">
        <f>IFERROR(_xlfn.XLOOKUP(B818,Insumo[DESCRIPCION],Insumo[UND],,0),"")</f>
        <v>Lt</v>
      </c>
      <c r="D818" s="31">
        <v>1</v>
      </c>
      <c r="E818" s="32">
        <f>IFERROR(_xlfn.XLOOKUP($B818,Insumo[DESCRIPCION],Insumo[VALOR],,0),"")</f>
        <v>28923.300000000003</v>
      </c>
      <c r="F818" s="33"/>
      <c r="G818" s="34">
        <f t="shared" si="2"/>
        <v>28923.300000000003</v>
      </c>
      <c r="H818" s="43">
        <f>IFERROR(G818*E808,"")</f>
        <v>0</v>
      </c>
      <c r="I818" s="3"/>
    </row>
    <row r="819" spans="1:11" ht="12.75" customHeight="1">
      <c r="A819" s="28"/>
      <c r="B819" s="29" t="s">
        <v>3204</v>
      </c>
      <c r="C819" s="30" t="str">
        <f>IFERROR(_xlfn.XLOOKUP(B819,Insumo[DESCRIPCION],Insumo[UND],,0),"")</f>
        <v>galón</v>
      </c>
      <c r="D819" s="31">
        <v>0.5</v>
      </c>
      <c r="E819" s="32">
        <f>IFERROR(_xlfn.XLOOKUP($B819,Insumo[DESCRIPCION],Insumo[VALOR],,0),"")</f>
        <v>107805.6</v>
      </c>
      <c r="F819" s="33"/>
      <c r="G819" s="34">
        <f t="shared" si="2"/>
        <v>53902.8</v>
      </c>
      <c r="H819" s="43">
        <f>IFERROR(G819*E808,"")</f>
        <v>0</v>
      </c>
      <c r="I819" s="3"/>
    </row>
    <row r="820" spans="1:11" ht="12.75" customHeight="1">
      <c r="A820" s="21"/>
      <c r="B820" s="22" t="s">
        <v>3731</v>
      </c>
      <c r="C820" s="23"/>
      <c r="D820" s="24"/>
      <c r="E820" s="25"/>
      <c r="F820" s="26"/>
      <c r="G820" s="27">
        <f>SUM(G821:G823)</f>
        <v>34546.216696500007</v>
      </c>
      <c r="H820" s="27">
        <f>IFERROR(G820*E808,"")</f>
        <v>0</v>
      </c>
      <c r="I820" s="3"/>
    </row>
    <row r="821" spans="1:11" ht="12.75" customHeight="1">
      <c r="A821" s="28"/>
      <c r="B821" s="29" t="s">
        <v>3613</v>
      </c>
      <c r="C821" s="30" t="str">
        <f>IFERROR(_xlfn.XLOOKUP(B821,Equipo[DESCRIPCION],Equipo[UND],,0),"")</f>
        <v>Día</v>
      </c>
      <c r="D821" s="31">
        <v>1</v>
      </c>
      <c r="E821" s="32">
        <f>IF(C821="%MO",G827,IFERROR(_xlfn.XLOOKUP($B821,Equipo[DESCRIPCION],Equipo[VALOR],,0),""))</f>
        <v>48133.05</v>
      </c>
      <c r="F821" s="33">
        <v>-2</v>
      </c>
      <c r="G821" s="34">
        <f>IFERROR(IF(F821&gt;=0,D821*E821*(1+F821/100),ABS(D821*E821/F821)),"")</f>
        <v>24066.525000000001</v>
      </c>
      <c r="H821" s="43">
        <f>IFERROR(G821*E808,"")</f>
        <v>0</v>
      </c>
      <c r="I821" s="3"/>
    </row>
    <row r="822" spans="1:11" ht="12.75" customHeight="1">
      <c r="A822" s="28"/>
      <c r="B822" s="29" t="s">
        <v>3626</v>
      </c>
      <c r="C822" s="30" t="str">
        <f>IFERROR(_xlfn.XLOOKUP(B822,Equipo[DESCRIPCION],Equipo[UND],,0),"")</f>
        <v>%MO</v>
      </c>
      <c r="D822" s="31">
        <v>0.05</v>
      </c>
      <c r="E822" s="32">
        <f>IF(C822="%MO",G827,IFERROR(_xlfn.XLOOKUP($B822,Equipo[DESCRIPCION],Equipo[VALOR],,0),""))</f>
        <v>209593.83393000002</v>
      </c>
      <c r="F822" s="33"/>
      <c r="G822" s="34">
        <f>IFERROR(IF(F822&gt;=0,D822*E822*(1+F822/100),ABS(D822*E822/F822)),"")</f>
        <v>10479.691696500002</v>
      </c>
      <c r="H822" s="43">
        <f>IFERROR(G822*E808,"")</f>
        <v>0</v>
      </c>
      <c r="I822" s="3"/>
    </row>
    <row r="823" spans="1:11" ht="12.75" customHeight="1">
      <c r="A823" s="28"/>
      <c r="B823" s="29"/>
      <c r="C823" s="30" t="str">
        <f>IFERROR(_xlfn.XLOOKUP(B823,Equipo[DESCRIPCION],Equipo[UND],,0),"")</f>
        <v/>
      </c>
      <c r="D823" s="31"/>
      <c r="E823" s="32" t="str">
        <f>IF(C823="%MO",G827,IFERROR(_xlfn.XLOOKUP($B823,Equipo[DESCRIPCION],Equipo[VALOR],,0),""))</f>
        <v/>
      </c>
      <c r="F823" s="33"/>
      <c r="G823" s="34" t="str">
        <f>IFERROR(IF(F823&gt;=0,D823*E823*(1+F823/100),ABS(D823*E823/F823)),"")</f>
        <v/>
      </c>
      <c r="H823" s="43" t="str">
        <f>IFERROR(G823*E808,"")</f>
        <v/>
      </c>
      <c r="I823" s="3"/>
    </row>
    <row r="824" spans="1:11" ht="12.75" customHeight="1">
      <c r="A824" s="21"/>
      <c r="B824" s="22" t="s">
        <v>2533</v>
      </c>
      <c r="C824" s="23"/>
      <c r="D824" s="24"/>
      <c r="E824" s="25"/>
      <c r="F824" s="26"/>
      <c r="G824" s="27">
        <f>SUM(G825:G826)</f>
        <v>0</v>
      </c>
      <c r="H824" s="27">
        <f>IFERROR(G824*E808,"")</f>
        <v>0</v>
      </c>
      <c r="I824" s="3"/>
    </row>
    <row r="825" spans="1:11" ht="12.75" customHeight="1">
      <c r="A825" s="28"/>
      <c r="B825" s="29"/>
      <c r="C825" s="30" t="str">
        <f>IFERROR(_xlfn.XLOOKUP(B825,Transporte[DESCRIPCION],Transporte[UND],,0),"")</f>
        <v/>
      </c>
      <c r="D825" s="31"/>
      <c r="E825" s="32" t="str">
        <f>IFERROR(_xlfn.XLOOKUP($B825,Transporte[DESCRIPCION],Transporte[VALOR],,0),"")</f>
        <v/>
      </c>
      <c r="F825" s="33"/>
      <c r="G825" s="34" t="str">
        <f>IFERROR(IF(F825&gt;=0,D825*E825*(1+F825/100),ABS(D825*E825/F825)),"")</f>
        <v/>
      </c>
      <c r="H825" s="43" t="str">
        <f>IFERROR(G825*E808,"")</f>
        <v/>
      </c>
      <c r="I825" s="3"/>
    </row>
    <row r="826" spans="1:11" ht="12.75" customHeight="1">
      <c r="A826" s="28"/>
      <c r="B826" s="29"/>
      <c r="C826" s="30" t="str">
        <f>IFERROR(_xlfn.XLOOKUP(B826,Transporte[DESCRIPCION],Transporte[UND],,0),"")</f>
        <v/>
      </c>
      <c r="D826" s="31"/>
      <c r="E826" s="32" t="str">
        <f>IFERROR(_xlfn.XLOOKUP($B826,Transporte[DESCRIPCION],Transporte[VALOR],,0),"")</f>
        <v/>
      </c>
      <c r="F826" s="33"/>
      <c r="G826" s="34" t="str">
        <f>IFERROR(IF(F826&gt;=0,D826*E826*(1+F826/100),ABS(D826*E826/F826)),"")</f>
        <v/>
      </c>
      <c r="H826" s="43" t="str">
        <f>IFERROR(G826*E808,"")</f>
        <v/>
      </c>
      <c r="I826" s="3"/>
    </row>
    <row r="827" spans="1:11" ht="12.75" customHeight="1">
      <c r="A827" s="21"/>
      <c r="B827" s="22" t="s">
        <v>3732</v>
      </c>
      <c r="C827" s="23"/>
      <c r="D827" s="24"/>
      <c r="E827" s="25"/>
      <c r="F827" s="26"/>
      <c r="G827" s="27">
        <f>SUM(G828:G830)</f>
        <v>209593.83393000002</v>
      </c>
      <c r="H827" s="27">
        <f>IFERROR(G827*E808,"")</f>
        <v>0</v>
      </c>
      <c r="I827" s="3"/>
    </row>
    <row r="828" spans="1:11" ht="12.75" customHeight="1">
      <c r="A828" s="28"/>
      <c r="B828" s="29" t="s">
        <v>3724</v>
      </c>
      <c r="C828" s="30" t="str">
        <f>IFERROR(_xlfn.XLOOKUP(B828,MObra[DESCRIPCION],MObra[UN],,0),"")</f>
        <v>día</v>
      </c>
      <c r="D828" s="31">
        <v>1</v>
      </c>
      <c r="E828" s="32">
        <f>IFERROR(_xlfn.XLOOKUP($B828,MObra[DESCRIPCION],MObra[VALOR UNIT],,0),"")</f>
        <v>419187.66786000005</v>
      </c>
      <c r="F828" s="33">
        <v>-2</v>
      </c>
      <c r="G828" s="34">
        <f>IFERROR(IF(F828&gt;=0,D828*E828*(1+F828/100),ABS(D828*E828/F828)),"")</f>
        <v>209593.83393000002</v>
      </c>
      <c r="H828" s="43">
        <f>IFERROR(G828*E808,"")</f>
        <v>0</v>
      </c>
      <c r="I828" s="3"/>
    </row>
    <row r="829" spans="1:11" ht="12.75" customHeight="1">
      <c r="A829" s="28"/>
      <c r="B829" s="29"/>
      <c r="C829" s="30" t="str">
        <f>IFERROR(_xlfn.XLOOKUP(B829,MObra[DESCRIPCION],MObra[UN],,0),"")</f>
        <v/>
      </c>
      <c r="D829" s="31"/>
      <c r="E829" s="32" t="str">
        <f>IFERROR(_xlfn.XLOOKUP($B829,MObra[DESCRIPCION],MObra[VALOR UNIT],,0),"")</f>
        <v/>
      </c>
      <c r="F829" s="33"/>
      <c r="G829" s="34" t="str">
        <f>IFERROR(IF(F829&gt;=0,D829*E829*(1+F829/100),ABS(D829*E829/F829)),"")</f>
        <v/>
      </c>
      <c r="H829" s="43" t="str">
        <f>IFERROR(G829*E808,"")</f>
        <v/>
      </c>
      <c r="I829" s="3"/>
    </row>
    <row r="830" spans="1:11" ht="12.75" customHeight="1" thickBot="1">
      <c r="A830" s="35"/>
      <c r="B830" s="36"/>
      <c r="C830" s="37" t="str">
        <f>IFERROR(_xlfn.XLOOKUP(B830,MObra[DESCRIPCION],MObra[UN],,0),"")</f>
        <v/>
      </c>
      <c r="D830" s="38"/>
      <c r="E830" s="39" t="str">
        <f>IFERROR(_xlfn.XLOOKUP($B830,MObra[DESCRIPCION],MObra[VALOR UNIT],,0),"")</f>
        <v/>
      </c>
      <c r="F830" s="40"/>
      <c r="G830" s="41" t="str">
        <f>IFERROR(IF(F830&gt;=0,D830*E830*(1+F830/100),ABS(D830*E830/F830)),"")</f>
        <v/>
      </c>
      <c r="H830" s="42" t="str">
        <f>IFERROR(G830*E808,"")</f>
        <v/>
      </c>
      <c r="I830" s="3"/>
    </row>
    <row r="831" spans="1:11" ht="12.75" customHeight="1" thickTop="1" thickBot="1">
      <c r="I831" s="3"/>
    </row>
    <row r="832" spans="1:11" ht="12.75" customHeight="1" thickTop="1" thickBot="1">
      <c r="A832" s="6" t="s">
        <v>1637</v>
      </c>
      <c r="B832" s="7" t="str">
        <f>VLOOKUP($A832,Presupuesto!$A:$D,2,FALSE())</f>
        <v>Puerta metálica tubería cuadrada 2" C 16</v>
      </c>
      <c r="C832" s="8" t="str">
        <f>VLOOKUP($A832,Presupuesto!$A:$D,3,FALSE())</f>
        <v>M2</v>
      </c>
      <c r="D832" s="9"/>
      <c r="E832" s="10">
        <f>VLOOKUP($A832,Presupuesto!$A:$D,4,FALSE())</f>
        <v>0</v>
      </c>
      <c r="F832" s="11" t="s">
        <v>2589</v>
      </c>
      <c r="G832" s="12">
        <f>SUM(G834:G852)/2</f>
        <v>219066.61017900001</v>
      </c>
      <c r="H832" s="13">
        <f>ROUND(SUM(H834:H852),0)/2</f>
        <v>0</v>
      </c>
      <c r="I832" s="10">
        <f>VLOOKUP(A832,Presupuesto!$A:$F,6,0)</f>
        <v>0</v>
      </c>
      <c r="J832" s="10">
        <f>+H832-I832</f>
        <v>0</v>
      </c>
      <c r="K832" s="46">
        <f>+H832-G832*E832</f>
        <v>0</v>
      </c>
    </row>
    <row r="833" spans="1:9" ht="12.75" customHeight="1" thickTop="1">
      <c r="A833" s="14"/>
      <c r="B833" s="15" t="s">
        <v>2586</v>
      </c>
      <c r="C833" s="15" t="s">
        <v>5</v>
      </c>
      <c r="D833" s="16" t="s">
        <v>6</v>
      </c>
      <c r="E833" s="17" t="s">
        <v>7</v>
      </c>
      <c r="F833" s="18" t="s">
        <v>3728</v>
      </c>
      <c r="G833" s="19" t="s">
        <v>3729</v>
      </c>
      <c r="H833" s="20" t="s">
        <v>3797</v>
      </c>
      <c r="I833" s="3"/>
    </row>
    <row r="834" spans="1:9" ht="12.75" customHeight="1">
      <c r="A834" s="21"/>
      <c r="B834" s="22" t="s">
        <v>3730</v>
      </c>
      <c r="C834" s="23"/>
      <c r="D834" s="24"/>
      <c r="E834" s="25"/>
      <c r="F834" s="26"/>
      <c r="G834" s="27">
        <f>SUM(G835:G841)</f>
        <v>149312.31000000003</v>
      </c>
      <c r="H834" s="27">
        <f>IFERROR(G834*E832,"")</f>
        <v>0</v>
      </c>
      <c r="I834" s="3"/>
    </row>
    <row r="835" spans="1:9" ht="12.75" customHeight="1">
      <c r="A835" s="28"/>
      <c r="B835" s="29" t="s">
        <v>3225</v>
      </c>
      <c r="C835" s="30" t="str">
        <f>IFERROR(_xlfn.XLOOKUP(B835,Insumo[DESCRIPCION],Insumo[UND],,0),"")</f>
        <v>M</v>
      </c>
      <c r="D835" s="31">
        <v>2.8</v>
      </c>
      <c r="E835" s="32">
        <f>IFERROR(_xlfn.XLOOKUP($B835,Insumo[DESCRIPCION],Insumo[VALOR],,0),"")</f>
        <v>12280.800000000001</v>
      </c>
      <c r="F835" s="33"/>
      <c r="G835" s="34">
        <f t="shared" ref="G835:G841" si="3">IFERROR(IF(F835&gt;=0,D835*E835*(1+F835/100),ABS(D835*E835/F835)),"")</f>
        <v>34386.239999999998</v>
      </c>
      <c r="H835" s="43">
        <f>IFERROR(G835*E832,"")</f>
        <v>0</v>
      </c>
      <c r="I835" s="3"/>
    </row>
    <row r="836" spans="1:9" ht="12.75" customHeight="1">
      <c r="A836" s="28"/>
      <c r="B836" s="29" t="s">
        <v>3138</v>
      </c>
      <c r="C836" s="30" t="str">
        <f>IFERROR(_xlfn.XLOOKUP(B836,Insumo[DESCRIPCION],Insumo[UND],,0),"")</f>
        <v>M2</v>
      </c>
      <c r="D836" s="31">
        <v>1</v>
      </c>
      <c r="E836" s="32">
        <f>IFERROR(_xlfn.XLOOKUP($B836,Insumo[DESCRIPCION],Insumo[VALOR],,0),"")</f>
        <v>26005.350000000002</v>
      </c>
      <c r="F836" s="33"/>
      <c r="G836" s="34">
        <f t="shared" si="3"/>
        <v>26005.350000000002</v>
      </c>
      <c r="H836" s="43">
        <f>IFERROR(G836*E832,"")</f>
        <v>0</v>
      </c>
      <c r="I836" s="3"/>
    </row>
    <row r="837" spans="1:9" ht="12.75" customHeight="1">
      <c r="A837" s="28"/>
      <c r="B837" s="29" t="s">
        <v>3449</v>
      </c>
      <c r="C837" s="30" t="str">
        <f>IFERROR(_xlfn.XLOOKUP(B837,Insumo[DESCRIPCION],Insumo[UND],,0),"")</f>
        <v>M</v>
      </c>
      <c r="D837" s="31">
        <v>3.2</v>
      </c>
      <c r="E837" s="32">
        <f>IFERROR(_xlfn.XLOOKUP($B837,Insumo[DESCRIPCION],Insumo[VALOR],,0),"")</f>
        <v>21998.025000000001</v>
      </c>
      <c r="F837" s="33"/>
      <c r="G837" s="34">
        <f t="shared" si="3"/>
        <v>70393.680000000008</v>
      </c>
      <c r="H837" s="43">
        <f>IFERROR(G837*E832,"")</f>
        <v>0</v>
      </c>
      <c r="I837" s="3"/>
    </row>
    <row r="838" spans="1:9" ht="12.75" customHeight="1">
      <c r="A838" s="28"/>
      <c r="B838" s="29" t="s">
        <v>3326</v>
      </c>
      <c r="C838" s="30" t="str">
        <f>IFERROR(_xlfn.XLOOKUP(B838,Insumo[DESCRIPCION],Insumo[UND],,0),"")</f>
        <v>Kg</v>
      </c>
      <c r="D838" s="31">
        <v>0.1</v>
      </c>
      <c r="E838" s="32">
        <f>IFERROR(_xlfn.XLOOKUP($B838,Insumo[DESCRIPCION],Insumo[VALOR],,0),"")</f>
        <v>5978.7</v>
      </c>
      <c r="F838" s="33"/>
      <c r="G838" s="34">
        <f t="shared" si="3"/>
        <v>597.87</v>
      </c>
      <c r="H838" s="43">
        <f>IFERROR(G838*E832,"")</f>
        <v>0</v>
      </c>
      <c r="I838" s="3"/>
    </row>
    <row r="839" spans="1:9" ht="12.75" customHeight="1">
      <c r="A839" s="28"/>
      <c r="B839" s="29" t="s">
        <v>2925</v>
      </c>
      <c r="C839" s="30" t="str">
        <f>IFERROR(_xlfn.XLOOKUP(B839,Insumo[DESCRIPCION],Insumo[UND],,0),"")</f>
        <v>Lt</v>
      </c>
      <c r="D839" s="31">
        <v>0.2</v>
      </c>
      <c r="E839" s="32">
        <f>IFERROR(_xlfn.XLOOKUP($B839,Insumo[DESCRIPCION],Insumo[VALOR],,0),"")</f>
        <v>28923.300000000003</v>
      </c>
      <c r="F839" s="33"/>
      <c r="G839" s="34">
        <f t="shared" si="3"/>
        <v>5784.6600000000008</v>
      </c>
      <c r="H839" s="43">
        <f>IFERROR(G839*E832,"")</f>
        <v>0</v>
      </c>
      <c r="I839" s="3"/>
    </row>
    <row r="840" spans="1:9" ht="12.75" customHeight="1">
      <c r="A840" s="28"/>
      <c r="B840" s="29" t="s">
        <v>3204</v>
      </c>
      <c r="C840" s="30" t="str">
        <f>IFERROR(_xlfn.XLOOKUP(B840,Insumo[DESCRIPCION],Insumo[UND],,0),"")</f>
        <v>galón</v>
      </c>
      <c r="D840" s="31">
        <v>0.1</v>
      </c>
      <c r="E840" s="32">
        <f>IFERROR(_xlfn.XLOOKUP($B840,Insumo[DESCRIPCION],Insumo[VALOR],,0),"")</f>
        <v>107805.6</v>
      </c>
      <c r="F840" s="33"/>
      <c r="G840" s="34">
        <f t="shared" si="3"/>
        <v>10780.560000000001</v>
      </c>
      <c r="H840" s="43">
        <f>IFERROR(G840*E832,"")</f>
        <v>0</v>
      </c>
      <c r="I840" s="3"/>
    </row>
    <row r="841" spans="1:9" ht="12.75" customHeight="1">
      <c r="A841" s="28"/>
      <c r="B841" s="29" t="s">
        <v>3189</v>
      </c>
      <c r="C841" s="30" t="str">
        <f>IFERROR(_xlfn.XLOOKUP(B841,Insumo[DESCRIPCION],Insumo[UND],,0),"")</f>
        <v xml:space="preserve"> Un </v>
      </c>
      <c r="D841" s="31">
        <v>0.2</v>
      </c>
      <c r="E841" s="32">
        <f>IFERROR(_xlfn.XLOOKUP($B841,Insumo[DESCRIPCION],Insumo[VALOR],,0),"")</f>
        <v>6819.75</v>
      </c>
      <c r="F841" s="33"/>
      <c r="G841" s="34">
        <f t="shared" si="3"/>
        <v>1363.95</v>
      </c>
      <c r="H841" s="43">
        <f>IFERROR(G841*E832,"")</f>
        <v>0</v>
      </c>
      <c r="I841" s="3"/>
    </row>
    <row r="842" spans="1:9" ht="12.75" customHeight="1">
      <c r="A842" s="21"/>
      <c r="B842" s="22" t="s">
        <v>3731</v>
      </c>
      <c r="C842" s="23"/>
      <c r="D842" s="24"/>
      <c r="E842" s="25"/>
      <c r="F842" s="26"/>
      <c r="G842" s="27">
        <f>SUM(G843:G845)</f>
        <v>9870.3476275714293</v>
      </c>
      <c r="H842" s="27">
        <f>IFERROR(G842*E832,"")</f>
        <v>0</v>
      </c>
      <c r="I842" s="3"/>
    </row>
    <row r="843" spans="1:9" ht="12.75" customHeight="1">
      <c r="A843" s="28"/>
      <c r="B843" s="29" t="s">
        <v>3613</v>
      </c>
      <c r="C843" s="30" t="str">
        <f>IFERROR(_xlfn.XLOOKUP(B843,Equipo[DESCRIPCION],Equipo[UND],,0),"")</f>
        <v>Día</v>
      </c>
      <c r="D843" s="31">
        <v>1</v>
      </c>
      <c r="E843" s="32">
        <f>IF(C843="%MO",G849,IFERROR(_xlfn.XLOOKUP($B843,Equipo[DESCRIPCION],Equipo[VALOR],,0),""))</f>
        <v>48133.05</v>
      </c>
      <c r="F843" s="33">
        <v>-7</v>
      </c>
      <c r="G843" s="34">
        <f>IFERROR(IF(F843&gt;=0,D843*E843*(1+F843/100),ABS(D843*E843/F843)),"")</f>
        <v>6876.1500000000005</v>
      </c>
      <c r="H843" s="43">
        <f>IFERROR(G843*E832,"")</f>
        <v>0</v>
      </c>
      <c r="I843" s="3"/>
    </row>
    <row r="844" spans="1:9" ht="12.75" customHeight="1">
      <c r="A844" s="28"/>
      <c r="B844" s="29" t="s">
        <v>3626</v>
      </c>
      <c r="C844" s="30" t="str">
        <f>IFERROR(_xlfn.XLOOKUP(B844,Equipo[DESCRIPCION],Equipo[UND],,0),"")</f>
        <v>%MO</v>
      </c>
      <c r="D844" s="31">
        <v>0.05</v>
      </c>
      <c r="E844" s="32">
        <f>IF(C844="%MO",G849,IFERROR(_xlfn.XLOOKUP($B844,Equipo[DESCRIPCION],Equipo[VALOR],,0),""))</f>
        <v>59883.952551428578</v>
      </c>
      <c r="F844" s="33"/>
      <c r="G844" s="34">
        <f>IFERROR(IF(F844&gt;=0,D844*E844*(1+F844/100),ABS(D844*E844/F844)),"")</f>
        <v>2994.1976275714292</v>
      </c>
      <c r="H844" s="43">
        <f>IFERROR(G844*E832,"")</f>
        <v>0</v>
      </c>
      <c r="I844" s="3"/>
    </row>
    <row r="845" spans="1:9" ht="12.75" customHeight="1">
      <c r="A845" s="28"/>
      <c r="B845" s="29"/>
      <c r="C845" s="30" t="str">
        <f>IFERROR(_xlfn.XLOOKUP(B845,Equipo[DESCRIPCION],Equipo[UND],,0),"")</f>
        <v/>
      </c>
      <c r="D845" s="31"/>
      <c r="E845" s="32" t="str">
        <f>IF(C845="%MO",G849,IFERROR(_xlfn.XLOOKUP($B845,Equipo[DESCRIPCION],Equipo[VALOR],,0),""))</f>
        <v/>
      </c>
      <c r="F845" s="33"/>
      <c r="G845" s="34" t="str">
        <f>IFERROR(IF(F845&gt;=0,D845*E845*(1+F845/100),ABS(D845*E845/F845)),"")</f>
        <v/>
      </c>
      <c r="H845" s="43" t="str">
        <f>IFERROR(G845*E832,"")</f>
        <v/>
      </c>
      <c r="I845" s="3"/>
    </row>
    <row r="846" spans="1:9" ht="12.75" customHeight="1">
      <c r="A846" s="21"/>
      <c r="B846" s="22" t="s">
        <v>2533</v>
      </c>
      <c r="C846" s="23"/>
      <c r="D846" s="24"/>
      <c r="E846" s="25"/>
      <c r="F846" s="26"/>
      <c r="G846" s="27">
        <f>SUM(G847:G848)</f>
        <v>0</v>
      </c>
      <c r="H846" s="27">
        <f>IFERROR(G846*E832,"")</f>
        <v>0</v>
      </c>
      <c r="I846" s="3"/>
    </row>
    <row r="847" spans="1:9" ht="12.75" customHeight="1">
      <c r="A847" s="28"/>
      <c r="B847" s="29"/>
      <c r="C847" s="30" t="str">
        <f>IFERROR(_xlfn.XLOOKUP(B847,Transporte[DESCRIPCION],Transporte[UND],,0),"")</f>
        <v/>
      </c>
      <c r="D847" s="31"/>
      <c r="E847" s="32" t="str">
        <f>IFERROR(_xlfn.XLOOKUP($B847,Transporte[DESCRIPCION],Transporte[VALOR],,0),"")</f>
        <v/>
      </c>
      <c r="F847" s="33"/>
      <c r="G847" s="34" t="str">
        <f>IFERROR(IF(F847&gt;=0,D847*E847*(1+F847/100),ABS(D847*E847/F847)),"")</f>
        <v/>
      </c>
      <c r="H847" s="43" t="str">
        <f>IFERROR(G847*E832,"")</f>
        <v/>
      </c>
      <c r="I847" s="3"/>
    </row>
    <row r="848" spans="1:9" ht="12.75" customHeight="1">
      <c r="A848" s="28"/>
      <c r="B848" s="29"/>
      <c r="C848" s="30" t="str">
        <f>IFERROR(_xlfn.XLOOKUP(B848,Transporte[DESCRIPCION],Transporte[UND],,0),"")</f>
        <v/>
      </c>
      <c r="D848" s="31"/>
      <c r="E848" s="32" t="str">
        <f>IFERROR(_xlfn.XLOOKUP($B848,Transporte[DESCRIPCION],Transporte[VALOR],,0),"")</f>
        <v/>
      </c>
      <c r="F848" s="33"/>
      <c r="G848" s="34" t="str">
        <f>IFERROR(IF(F848&gt;=0,D848*E848*(1+F848/100),ABS(D848*E848/F848)),"")</f>
        <v/>
      </c>
      <c r="H848" s="43" t="str">
        <f>IFERROR(G848*E832,"")</f>
        <v/>
      </c>
      <c r="I848" s="3"/>
    </row>
    <row r="849" spans="1:11" ht="12.75" customHeight="1">
      <c r="A849" s="21"/>
      <c r="B849" s="22" t="s">
        <v>3732</v>
      </c>
      <c r="C849" s="23"/>
      <c r="D849" s="24"/>
      <c r="E849" s="25"/>
      <c r="F849" s="26"/>
      <c r="G849" s="27">
        <f>SUM(G850:G852)</f>
        <v>59883.952551428578</v>
      </c>
      <c r="H849" s="27">
        <f>IFERROR(G849*E832,"")</f>
        <v>0</v>
      </c>
      <c r="I849" s="3"/>
    </row>
    <row r="850" spans="1:11" ht="12.75" customHeight="1">
      <c r="A850" s="28"/>
      <c r="B850" s="29" t="s">
        <v>3724</v>
      </c>
      <c r="C850" s="30" t="str">
        <f>IFERROR(_xlfn.XLOOKUP(B850,MObra[DESCRIPCION],MObra[UN],,0),"")</f>
        <v>día</v>
      </c>
      <c r="D850" s="31">
        <v>1</v>
      </c>
      <c r="E850" s="32">
        <f>IFERROR(_xlfn.XLOOKUP($B850,MObra[DESCRIPCION],MObra[VALOR UNIT],,0),"")</f>
        <v>419187.66786000005</v>
      </c>
      <c r="F850" s="33">
        <v>-7</v>
      </c>
      <c r="G850" s="34">
        <f>IFERROR(IF(F850&gt;=0,D850*E850*(1+F850/100),ABS(D850*E850/F850)),"")</f>
        <v>59883.952551428578</v>
      </c>
      <c r="H850" s="43">
        <f>IFERROR(G850*E832,"")</f>
        <v>0</v>
      </c>
      <c r="I850" s="3"/>
    </row>
    <row r="851" spans="1:11" ht="12.75" customHeight="1">
      <c r="A851" s="28"/>
      <c r="B851" s="29"/>
      <c r="C851" s="30" t="str">
        <f>IFERROR(_xlfn.XLOOKUP(B851,MObra[DESCRIPCION],MObra[UN],,0),"")</f>
        <v/>
      </c>
      <c r="D851" s="31"/>
      <c r="E851" s="32" t="str">
        <f>IFERROR(_xlfn.XLOOKUP($B851,MObra[DESCRIPCION],MObra[VALOR UNIT],,0),"")</f>
        <v/>
      </c>
      <c r="F851" s="33"/>
      <c r="G851" s="34" t="str">
        <f>IFERROR(IF(F851&gt;=0,D851*E851*(1+F851/100),ABS(D851*E851/F851)),"")</f>
        <v/>
      </c>
      <c r="H851" s="43" t="str">
        <f>IFERROR(G851*E832,"")</f>
        <v/>
      </c>
      <c r="I851" s="3"/>
    </row>
    <row r="852" spans="1:11" ht="12.75" customHeight="1" thickBot="1">
      <c r="A852" s="35"/>
      <c r="B852" s="36"/>
      <c r="C852" s="37" t="str">
        <f>IFERROR(_xlfn.XLOOKUP(B852,MObra[DESCRIPCION],MObra[UN],,0),"")</f>
        <v/>
      </c>
      <c r="D852" s="38"/>
      <c r="E852" s="39" t="str">
        <f>IFERROR(_xlfn.XLOOKUP($B852,MObra[DESCRIPCION],MObra[VALOR UNIT],,0),"")</f>
        <v/>
      </c>
      <c r="F852" s="40"/>
      <c r="G852" s="41" t="str">
        <f>IFERROR(IF(F852&gt;=0,D852*E852*(1+F852/100),ABS(D852*E852/F852)),"")</f>
        <v/>
      </c>
      <c r="H852" s="42" t="str">
        <f>IFERROR(G852*E832,"")</f>
        <v/>
      </c>
      <c r="I852" s="3"/>
    </row>
    <row r="853" spans="1:11" ht="12.75" customHeight="1" thickTop="1" thickBot="1">
      <c r="I853" s="3"/>
    </row>
    <row r="854" spans="1:11" ht="12.75" customHeight="1" thickTop="1" thickBot="1">
      <c r="A854" s="6" t="s">
        <v>1639</v>
      </c>
      <c r="B854" s="7" t="str">
        <f>VLOOKUP($A854,Presupuesto!$A:$D,2,FALSE())</f>
        <v>Puerta metálica tubería cuadrada 1" C 16</v>
      </c>
      <c r="C854" s="8" t="str">
        <f>VLOOKUP($A854,Presupuesto!$A:$D,3,FALSE())</f>
        <v>M2</v>
      </c>
      <c r="D854" s="9"/>
      <c r="E854" s="10">
        <f>VLOOKUP($A854,Presupuesto!$A:$D,4,FALSE())</f>
        <v>0</v>
      </c>
      <c r="F854" s="11" t="s">
        <v>2589</v>
      </c>
      <c r="G854" s="12">
        <f>SUM(G856:G873)/2</f>
        <v>356364.92425099999</v>
      </c>
      <c r="H854" s="13">
        <f>ROUND(SUM(H856:H873),0)/2</f>
        <v>0</v>
      </c>
      <c r="I854" s="10">
        <f>VLOOKUP(A854,Presupuesto!$A:$F,6,0)</f>
        <v>0</v>
      </c>
      <c r="J854" s="10">
        <f>+H854-I854</f>
        <v>0</v>
      </c>
      <c r="K854" s="46">
        <f>+H854-G854*E854</f>
        <v>0</v>
      </c>
    </row>
    <row r="855" spans="1:11" ht="12.75" customHeight="1" thickTop="1">
      <c r="A855" s="14"/>
      <c r="B855" s="15" t="s">
        <v>2586</v>
      </c>
      <c r="C855" s="15" t="s">
        <v>5</v>
      </c>
      <c r="D855" s="16" t="s">
        <v>6</v>
      </c>
      <c r="E855" s="17" t="s">
        <v>7</v>
      </c>
      <c r="F855" s="18" t="s">
        <v>3728</v>
      </c>
      <c r="G855" s="19" t="s">
        <v>3729</v>
      </c>
      <c r="H855" s="20" t="s">
        <v>3797</v>
      </c>
      <c r="I855" s="3"/>
    </row>
    <row r="856" spans="1:11" ht="12.75" customHeight="1">
      <c r="A856" s="21"/>
      <c r="B856" s="22" t="s">
        <v>3730</v>
      </c>
      <c r="C856" s="23"/>
      <c r="D856" s="24"/>
      <c r="E856" s="25"/>
      <c r="F856" s="26"/>
      <c r="G856" s="27">
        <f>SUM(G857:G862)</f>
        <v>193604.89050000001</v>
      </c>
      <c r="H856" s="27">
        <f>IFERROR(G856*E854,"")</f>
        <v>0</v>
      </c>
      <c r="I856" s="3"/>
    </row>
    <row r="857" spans="1:11" ht="12.75" customHeight="1">
      <c r="A857" s="28"/>
      <c r="B857" s="29" t="s">
        <v>3442</v>
      </c>
      <c r="C857" s="30" t="str">
        <f>IFERROR(_xlfn.XLOOKUP(B857,Insumo[DESCRIPCION],Insumo[UND],,0),"")</f>
        <v>M</v>
      </c>
      <c r="D857" s="31">
        <v>9.8000000000000007</v>
      </c>
      <c r="E857" s="32">
        <f>IFERROR(_xlfn.XLOOKUP($B857,Insumo[DESCRIPCION],Insumo[VALOR],,0),"")</f>
        <v>15480.675000000001</v>
      </c>
      <c r="F857" s="33"/>
      <c r="G857" s="34">
        <f t="shared" ref="G857:G862" si="4">IFERROR(IF(F857&gt;=0,D857*E857*(1+F857/100),ABS(D857*E857/F857)),"")</f>
        <v>151710.61500000002</v>
      </c>
      <c r="H857" s="43">
        <f>IFERROR(G857*E854,"")</f>
        <v>0</v>
      </c>
      <c r="I857" s="3"/>
    </row>
    <row r="858" spans="1:11" ht="12.75" customHeight="1">
      <c r="A858" s="28"/>
      <c r="B858" s="29" t="s">
        <v>3326</v>
      </c>
      <c r="C858" s="30" t="str">
        <f>IFERROR(_xlfn.XLOOKUP(B858,Insumo[DESCRIPCION],Insumo[UND],,0),"")</f>
        <v>Kg</v>
      </c>
      <c r="D858" s="31">
        <v>0.04</v>
      </c>
      <c r="E858" s="32">
        <f>IFERROR(_xlfn.XLOOKUP($B858,Insumo[DESCRIPCION],Insumo[VALOR],,0),"")</f>
        <v>5978.7</v>
      </c>
      <c r="F858" s="33"/>
      <c r="G858" s="34">
        <f t="shared" si="4"/>
        <v>239.148</v>
      </c>
      <c r="H858" s="43">
        <f>IFERROR(G858*E854,"")</f>
        <v>0</v>
      </c>
      <c r="I858" s="3"/>
    </row>
    <row r="859" spans="1:11" ht="12.75" customHeight="1">
      <c r="A859" s="28"/>
      <c r="B859" s="29" t="s">
        <v>2925</v>
      </c>
      <c r="C859" s="30" t="str">
        <f>IFERROR(_xlfn.XLOOKUP(B859,Insumo[DESCRIPCION],Insumo[UND],,0),"")</f>
        <v>Lt</v>
      </c>
      <c r="D859" s="31">
        <v>0.4</v>
      </c>
      <c r="E859" s="32">
        <f>IFERROR(_xlfn.XLOOKUP($B859,Insumo[DESCRIPCION],Insumo[VALOR],,0),"")</f>
        <v>28923.300000000003</v>
      </c>
      <c r="F859" s="33"/>
      <c r="G859" s="34">
        <f t="shared" si="4"/>
        <v>11569.320000000002</v>
      </c>
      <c r="H859" s="43">
        <f>IFERROR(G859*E854,"")</f>
        <v>0</v>
      </c>
      <c r="I859" s="3"/>
    </row>
    <row r="860" spans="1:11" ht="12.75" customHeight="1">
      <c r="A860" s="28"/>
      <c r="B860" s="29" t="s">
        <v>3204</v>
      </c>
      <c r="C860" s="30" t="str">
        <f>IFERROR(_xlfn.XLOOKUP(B860,Insumo[DESCRIPCION],Insumo[UND],,0),"")</f>
        <v>galón</v>
      </c>
      <c r="D860" s="31">
        <v>0.2</v>
      </c>
      <c r="E860" s="32">
        <f>IFERROR(_xlfn.XLOOKUP($B860,Insumo[DESCRIPCION],Insumo[VALOR],,0),"")</f>
        <v>107805.6</v>
      </c>
      <c r="F860" s="33"/>
      <c r="G860" s="34">
        <f t="shared" si="4"/>
        <v>21561.120000000003</v>
      </c>
      <c r="H860" s="43">
        <f>IFERROR(G860*E854,"")</f>
        <v>0</v>
      </c>
      <c r="I860" s="3"/>
    </row>
    <row r="861" spans="1:11" ht="12.75" customHeight="1">
      <c r="A861" s="28"/>
      <c r="B861" s="29" t="s">
        <v>3189</v>
      </c>
      <c r="C861" s="30" t="str">
        <f>IFERROR(_xlfn.XLOOKUP(B861,Insumo[DESCRIPCION],Insumo[UND],,0),"")</f>
        <v xml:space="preserve"> Un </v>
      </c>
      <c r="D861" s="31">
        <v>0.25</v>
      </c>
      <c r="E861" s="32">
        <f>IFERROR(_xlfn.XLOOKUP($B861,Insumo[DESCRIPCION],Insumo[VALOR],,0),"")</f>
        <v>6819.75</v>
      </c>
      <c r="F861" s="33"/>
      <c r="G861" s="34">
        <f t="shared" si="4"/>
        <v>1704.9375</v>
      </c>
      <c r="H861" s="43">
        <f>IFERROR(G861*E854,"")</f>
        <v>0</v>
      </c>
      <c r="I861" s="3"/>
    </row>
    <row r="862" spans="1:11" ht="12.75" customHeight="1">
      <c r="A862" s="28"/>
      <c r="B862" s="29" t="s">
        <v>3189</v>
      </c>
      <c r="C862" s="30" t="str">
        <f>IFERROR(_xlfn.XLOOKUP(B862,Insumo[DESCRIPCION],Insumo[UND],,0),"")</f>
        <v xml:space="preserve"> Un </v>
      </c>
      <c r="D862" s="31">
        <v>1</v>
      </c>
      <c r="E862" s="32">
        <f>IFERROR(_xlfn.XLOOKUP($B862,Insumo[DESCRIPCION],Insumo[VALOR],,0),"")</f>
        <v>6819.75</v>
      </c>
      <c r="F862" s="33"/>
      <c r="G862" s="34">
        <f t="shared" si="4"/>
        <v>6819.75</v>
      </c>
      <c r="H862" s="43">
        <f>IFERROR(G862*E854,"")</f>
        <v>0</v>
      </c>
      <c r="I862" s="3"/>
    </row>
    <row r="863" spans="1:11" ht="12.75" customHeight="1">
      <c r="A863" s="21"/>
      <c r="B863" s="22" t="s">
        <v>3731</v>
      </c>
      <c r="C863" s="23"/>
      <c r="D863" s="24"/>
      <c r="E863" s="25"/>
      <c r="F863" s="26"/>
      <c r="G863" s="27">
        <f>SUM(G864:G866)</f>
        <v>23030.811131000002</v>
      </c>
      <c r="H863" s="27">
        <f>IFERROR(G863*E854,"")</f>
        <v>0</v>
      </c>
      <c r="I863" s="3"/>
    </row>
    <row r="864" spans="1:11" ht="12.75" customHeight="1">
      <c r="A864" s="28"/>
      <c r="B864" s="29" t="s">
        <v>3613</v>
      </c>
      <c r="C864" s="30" t="str">
        <f>IFERROR(_xlfn.XLOOKUP(B864,Equipo[DESCRIPCION],Equipo[UND],,0),"")</f>
        <v>Día</v>
      </c>
      <c r="D864" s="31">
        <v>1</v>
      </c>
      <c r="E864" s="32">
        <f>IF(C864="%MO",G870,IFERROR(_xlfn.XLOOKUP($B864,Equipo[DESCRIPCION],Equipo[VALOR],,0),""))</f>
        <v>48133.05</v>
      </c>
      <c r="F864" s="33">
        <v>-3</v>
      </c>
      <c r="G864" s="34">
        <f>IFERROR(IF(F864&gt;=0,D864*E864*(1+F864/100),ABS(D864*E864/F864)),"")</f>
        <v>16044.35</v>
      </c>
      <c r="H864" s="43">
        <f>IFERROR(G864*E854,"")</f>
        <v>0</v>
      </c>
      <c r="I864" s="3"/>
    </row>
    <row r="865" spans="1:11" ht="12.75" customHeight="1">
      <c r="A865" s="28"/>
      <c r="B865" s="29" t="s">
        <v>3626</v>
      </c>
      <c r="C865" s="30" t="str">
        <f>IFERROR(_xlfn.XLOOKUP(B865,Equipo[DESCRIPCION],Equipo[UND],,0),"")</f>
        <v>%MO</v>
      </c>
      <c r="D865" s="31">
        <v>0.05</v>
      </c>
      <c r="E865" s="32">
        <f>IF(C865="%MO",G870,IFERROR(_xlfn.XLOOKUP($B865,Equipo[DESCRIPCION],Equipo[VALOR],,0),""))</f>
        <v>139729.22262000002</v>
      </c>
      <c r="F865" s="33"/>
      <c r="G865" s="34">
        <f>IFERROR(IF(F865&gt;=0,D865*E865*(1+F865/100),ABS(D865*E865/F865)),"")</f>
        <v>6986.4611310000009</v>
      </c>
      <c r="H865" s="43">
        <f>IFERROR(G865*E854,"")</f>
        <v>0</v>
      </c>
      <c r="I865" s="3"/>
    </row>
    <row r="866" spans="1:11" ht="12.75" customHeight="1">
      <c r="A866" s="28"/>
      <c r="B866" s="29"/>
      <c r="C866" s="30" t="str">
        <f>IFERROR(_xlfn.XLOOKUP(B866,Equipo[DESCRIPCION],Equipo[UND],,0),"")</f>
        <v/>
      </c>
      <c r="D866" s="31"/>
      <c r="E866" s="32" t="str">
        <f>IF(C866="%MO",G870,IFERROR(_xlfn.XLOOKUP($B866,Equipo[DESCRIPCION],Equipo[VALOR],,0),""))</f>
        <v/>
      </c>
      <c r="F866" s="33"/>
      <c r="G866" s="34" t="str">
        <f>IFERROR(IF(F866&gt;=0,D866*E866*(1+F866/100),ABS(D866*E866/F866)),"")</f>
        <v/>
      </c>
      <c r="H866" s="43" t="str">
        <f>IFERROR(G866*E854,"")</f>
        <v/>
      </c>
      <c r="I866" s="3"/>
    </row>
    <row r="867" spans="1:11" ht="12.75" customHeight="1">
      <c r="A867" s="21"/>
      <c r="B867" s="22" t="s">
        <v>2533</v>
      </c>
      <c r="C867" s="23"/>
      <c r="D867" s="24"/>
      <c r="E867" s="25"/>
      <c r="F867" s="26"/>
      <c r="G867" s="27">
        <f>SUM(G868:G869)</f>
        <v>0</v>
      </c>
      <c r="H867" s="27">
        <f>IFERROR(G867*E854,"")</f>
        <v>0</v>
      </c>
      <c r="I867" s="3"/>
    </row>
    <row r="868" spans="1:11" ht="12.75" customHeight="1">
      <c r="A868" s="28"/>
      <c r="B868" s="29"/>
      <c r="C868" s="30" t="str">
        <f>IFERROR(_xlfn.XLOOKUP(B868,Transporte[DESCRIPCION],Transporte[UND],,0),"")</f>
        <v/>
      </c>
      <c r="D868" s="31"/>
      <c r="E868" s="32" t="str">
        <f>IFERROR(_xlfn.XLOOKUP($B868,Transporte[DESCRIPCION],Transporte[VALOR],,0),"")</f>
        <v/>
      </c>
      <c r="F868" s="33"/>
      <c r="G868" s="34" t="str">
        <f>IFERROR(IF(F868&gt;=0,D868*E868*(1+F868/100),ABS(D868*E868/F868)),"")</f>
        <v/>
      </c>
      <c r="H868" s="43" t="str">
        <f>IFERROR(G868*E854,"")</f>
        <v/>
      </c>
      <c r="I868" s="3"/>
    </row>
    <row r="869" spans="1:11" ht="12.75" customHeight="1">
      <c r="A869" s="28"/>
      <c r="B869" s="29"/>
      <c r="C869" s="30" t="str">
        <f>IFERROR(_xlfn.XLOOKUP(B869,Transporte[DESCRIPCION],Transporte[UND],,0),"")</f>
        <v/>
      </c>
      <c r="D869" s="31"/>
      <c r="E869" s="32" t="str">
        <f>IFERROR(_xlfn.XLOOKUP($B869,Transporte[DESCRIPCION],Transporte[VALOR],,0),"")</f>
        <v/>
      </c>
      <c r="F869" s="33"/>
      <c r="G869" s="34" t="str">
        <f>IFERROR(IF(F869&gt;=0,D869*E869*(1+F869/100),ABS(D869*E869/F869)),"")</f>
        <v/>
      </c>
      <c r="H869" s="43" t="str">
        <f>IFERROR(G869*E854,"")</f>
        <v/>
      </c>
      <c r="I869" s="3"/>
    </row>
    <row r="870" spans="1:11" ht="12.75" customHeight="1">
      <c r="A870" s="21"/>
      <c r="B870" s="22" t="s">
        <v>3732</v>
      </c>
      <c r="C870" s="23"/>
      <c r="D870" s="24"/>
      <c r="E870" s="25"/>
      <c r="F870" s="26"/>
      <c r="G870" s="27">
        <f>SUM(G871:G873)</f>
        <v>139729.22262000002</v>
      </c>
      <c r="H870" s="27">
        <f>IFERROR(G870*E854,"")</f>
        <v>0</v>
      </c>
      <c r="I870" s="3"/>
    </row>
    <row r="871" spans="1:11" ht="12.75" customHeight="1">
      <c r="A871" s="28"/>
      <c r="B871" s="29" t="s">
        <v>3724</v>
      </c>
      <c r="C871" s="30" t="str">
        <f>IFERROR(_xlfn.XLOOKUP(B871,MObra[DESCRIPCION],MObra[UN],,0),"")</f>
        <v>día</v>
      </c>
      <c r="D871" s="31">
        <v>1</v>
      </c>
      <c r="E871" s="32">
        <f>IFERROR(_xlfn.XLOOKUP($B871,MObra[DESCRIPCION],MObra[VALOR UNIT],,0),"")</f>
        <v>419187.66786000005</v>
      </c>
      <c r="F871" s="33">
        <v>-3</v>
      </c>
      <c r="G871" s="34">
        <f>IFERROR(IF(F871&gt;=0,D871*E871*(1+F871/100),ABS(D871*E871/F871)),"")</f>
        <v>139729.22262000002</v>
      </c>
      <c r="H871" s="43">
        <f>IFERROR(G871*E854,"")</f>
        <v>0</v>
      </c>
      <c r="I871" s="3"/>
    </row>
    <row r="872" spans="1:11" ht="12.75" customHeight="1">
      <c r="A872" s="28"/>
      <c r="B872" s="29"/>
      <c r="C872" s="30" t="str">
        <f>IFERROR(_xlfn.XLOOKUP(B872,MObra[DESCRIPCION],MObra[UN],,0),"")</f>
        <v/>
      </c>
      <c r="D872" s="31"/>
      <c r="E872" s="32" t="str">
        <f>IFERROR(_xlfn.XLOOKUP($B872,MObra[DESCRIPCION],MObra[VALOR UNIT],,0),"")</f>
        <v/>
      </c>
      <c r="F872" s="33"/>
      <c r="G872" s="34" t="str">
        <f>IFERROR(IF(F872&gt;=0,D872*E872*(1+F872/100),ABS(D872*E872/F872)),"")</f>
        <v/>
      </c>
      <c r="H872" s="43" t="str">
        <f>IFERROR(G872*E854,"")</f>
        <v/>
      </c>
      <c r="I872" s="3"/>
    </row>
    <row r="873" spans="1:11" ht="12.75" customHeight="1" thickBot="1">
      <c r="A873" s="35"/>
      <c r="B873" s="36"/>
      <c r="C873" s="37" t="str">
        <f>IFERROR(_xlfn.XLOOKUP(B873,MObra[DESCRIPCION],MObra[UN],,0),"")</f>
        <v/>
      </c>
      <c r="D873" s="38"/>
      <c r="E873" s="39" t="str">
        <f>IFERROR(_xlfn.XLOOKUP($B873,MObra[DESCRIPCION],MObra[VALOR UNIT],,0),"")</f>
        <v/>
      </c>
      <c r="F873" s="40"/>
      <c r="G873" s="41" t="str">
        <f>IFERROR(IF(F873&gt;=0,D873*E873*(1+F873/100),ABS(D873*E873/F873)),"")</f>
        <v/>
      </c>
      <c r="H873" s="42" t="str">
        <f>IFERROR(G873*E854,"")</f>
        <v/>
      </c>
      <c r="I873" s="3"/>
    </row>
    <row r="874" spans="1:11" ht="12.75" customHeight="1" thickTop="1" thickBot="1">
      <c r="I874" s="3"/>
    </row>
    <row r="875" spans="1:11" ht="12.75" customHeight="1" thickTop="1" thickBot="1">
      <c r="A875" s="6" t="s">
        <v>1641</v>
      </c>
      <c r="B875" s="7" t="str">
        <f>VLOOKUP($A875,Presupuesto!$A:$D,2,FALSE())</f>
        <v>Puerta metálica tubería Hg 1-1/2" sección 1.2x2.3 m</v>
      </c>
      <c r="C875" s="8" t="str">
        <f>VLOOKUP($A875,Presupuesto!$A:$D,3,FALSE())</f>
        <v>M2</v>
      </c>
      <c r="D875" s="9"/>
      <c r="E875" s="10">
        <f>VLOOKUP($A875,Presupuesto!$A:$D,4,FALSE())</f>
        <v>0</v>
      </c>
      <c r="F875" s="11" t="s">
        <v>2589</v>
      </c>
      <c r="G875" s="12">
        <f>SUM(G877:G895)/2</f>
        <v>234981.32025059999</v>
      </c>
      <c r="H875" s="13">
        <f>ROUND(SUM(H877:H895),0)/2</f>
        <v>0</v>
      </c>
      <c r="I875" s="10">
        <f>VLOOKUP(A875,Presupuesto!$A:$F,6,0)</f>
        <v>0</v>
      </c>
      <c r="J875" s="10">
        <f>+H875-I875</f>
        <v>0</v>
      </c>
      <c r="K875" s="46">
        <f>+H875-G875*E875</f>
        <v>0</v>
      </c>
    </row>
    <row r="876" spans="1:11" ht="12.75" customHeight="1" thickTop="1">
      <c r="A876" s="14"/>
      <c r="B876" s="15" t="s">
        <v>2586</v>
      </c>
      <c r="C876" s="15" t="s">
        <v>5</v>
      </c>
      <c r="D876" s="16" t="s">
        <v>6</v>
      </c>
      <c r="E876" s="17" t="s">
        <v>7</v>
      </c>
      <c r="F876" s="18" t="s">
        <v>3728</v>
      </c>
      <c r="G876" s="19" t="s">
        <v>3729</v>
      </c>
      <c r="H876" s="20" t="s">
        <v>3797</v>
      </c>
      <c r="I876" s="3"/>
    </row>
    <row r="877" spans="1:11" ht="12.75" customHeight="1">
      <c r="A877" s="21"/>
      <c r="B877" s="22" t="s">
        <v>3730</v>
      </c>
      <c r="C877" s="23"/>
      <c r="D877" s="24"/>
      <c r="E877" s="25"/>
      <c r="F877" s="26"/>
      <c r="G877" s="27">
        <f>SUM(G878:G884)</f>
        <v>137325.30000000002</v>
      </c>
      <c r="H877" s="27">
        <f>IFERROR(G877*E875,"")</f>
        <v>0</v>
      </c>
      <c r="I877" s="3"/>
    </row>
    <row r="878" spans="1:11" ht="12.75" customHeight="1">
      <c r="A878" s="28"/>
      <c r="B878" s="29" t="s">
        <v>3449</v>
      </c>
      <c r="C878" s="30" t="str">
        <f>IFERROR(_xlfn.XLOOKUP(B878,Insumo[DESCRIPCION],Insumo[UND],,0),"")</f>
        <v>M</v>
      </c>
      <c r="D878" s="31">
        <v>2</v>
      </c>
      <c r="E878" s="32">
        <f>IFERROR(_xlfn.XLOOKUP($B878,Insumo[DESCRIPCION],Insumo[VALOR],,0),"")</f>
        <v>21998.025000000001</v>
      </c>
      <c r="F878" s="33"/>
      <c r="G878" s="34">
        <f t="shared" ref="G878:G884" si="5">IFERROR(IF(F878&gt;=0,D878*E878*(1+F878/100),ABS(D878*E878/F878)),"")</f>
        <v>43996.05</v>
      </c>
      <c r="H878" s="43">
        <f>IFERROR(G878*E875,"")</f>
        <v>0</v>
      </c>
      <c r="I878" s="3"/>
    </row>
    <row r="879" spans="1:11" ht="12.75" customHeight="1">
      <c r="A879" s="28"/>
      <c r="B879" s="29" t="s">
        <v>3443</v>
      </c>
      <c r="C879" s="30" t="str">
        <f>IFERROR(_xlfn.XLOOKUP(B879,Insumo[DESCRIPCION],Insumo[UND],,0),"")</f>
        <v>M</v>
      </c>
      <c r="D879" s="31">
        <v>1.4</v>
      </c>
      <c r="E879" s="32">
        <f>IFERROR(_xlfn.XLOOKUP($B879,Insumo[DESCRIPCION],Insumo[VALOR],,0),"")</f>
        <v>23287.424999999999</v>
      </c>
      <c r="F879" s="33"/>
      <c r="G879" s="34">
        <f t="shared" si="5"/>
        <v>32602.394999999997</v>
      </c>
      <c r="H879" s="43">
        <f>IFERROR(G879*E875,"")</f>
        <v>0</v>
      </c>
      <c r="I879" s="3"/>
    </row>
    <row r="880" spans="1:11" ht="12.75" customHeight="1">
      <c r="A880" s="28"/>
      <c r="B880" s="29" t="s">
        <v>2707</v>
      </c>
      <c r="C880" s="30" t="str">
        <f>IFERROR(_xlfn.XLOOKUP(B880,Insumo[DESCRIPCION],Insumo[UND],,0),"")</f>
        <v>M</v>
      </c>
      <c r="D880" s="31">
        <v>2</v>
      </c>
      <c r="E880" s="32">
        <f>IFERROR(_xlfn.XLOOKUP($B880,Insumo[DESCRIPCION],Insumo[VALOR],,0),"")</f>
        <v>3231.9</v>
      </c>
      <c r="F880" s="33"/>
      <c r="G880" s="34">
        <f t="shared" si="5"/>
        <v>6463.8</v>
      </c>
      <c r="H880" s="43">
        <f>IFERROR(G880*E875,"")</f>
        <v>0</v>
      </c>
      <c r="I880" s="3"/>
    </row>
    <row r="881" spans="1:9" ht="12.75" customHeight="1">
      <c r="A881" s="28"/>
      <c r="B881" s="29" t="s">
        <v>3138</v>
      </c>
      <c r="C881" s="30" t="str">
        <f>IFERROR(_xlfn.XLOOKUP(B881,Insumo[DESCRIPCION],Insumo[UND],,0),"")</f>
        <v>M2</v>
      </c>
      <c r="D881" s="31">
        <v>1</v>
      </c>
      <c r="E881" s="32">
        <f>IFERROR(_xlfn.XLOOKUP($B881,Insumo[DESCRIPCION],Insumo[VALOR],,0),"")</f>
        <v>26005.350000000002</v>
      </c>
      <c r="F881" s="33"/>
      <c r="G881" s="34">
        <f t="shared" si="5"/>
        <v>26005.350000000002</v>
      </c>
      <c r="H881" s="43">
        <f>IFERROR(G881*E875,"")</f>
        <v>0</v>
      </c>
      <c r="I881" s="3"/>
    </row>
    <row r="882" spans="1:9" ht="12.75" customHeight="1">
      <c r="A882" s="28"/>
      <c r="B882" s="29" t="s">
        <v>2925</v>
      </c>
      <c r="C882" s="30" t="str">
        <f>IFERROR(_xlfn.XLOOKUP(B882,Insumo[DESCRIPCION],Insumo[UND],,0),"")</f>
        <v>Lt</v>
      </c>
      <c r="D882" s="31">
        <v>0.3</v>
      </c>
      <c r="E882" s="32">
        <f>IFERROR(_xlfn.XLOOKUP($B882,Insumo[DESCRIPCION],Insumo[VALOR],,0),"")</f>
        <v>28923.300000000003</v>
      </c>
      <c r="F882" s="33"/>
      <c r="G882" s="34">
        <f t="shared" si="5"/>
        <v>8676.99</v>
      </c>
      <c r="H882" s="43">
        <f>IFERROR(G882*E875,"")</f>
        <v>0</v>
      </c>
      <c r="I882" s="3"/>
    </row>
    <row r="883" spans="1:9" ht="12.75" customHeight="1">
      <c r="A883" s="28"/>
      <c r="B883" s="29" t="s">
        <v>3204</v>
      </c>
      <c r="C883" s="30" t="str">
        <f>IFERROR(_xlfn.XLOOKUP(B883,Insumo[DESCRIPCION],Insumo[UND],,0),"")</f>
        <v>galón</v>
      </c>
      <c r="D883" s="31">
        <v>0.15</v>
      </c>
      <c r="E883" s="32">
        <f>IFERROR(_xlfn.XLOOKUP($B883,Insumo[DESCRIPCION],Insumo[VALOR],,0),"")</f>
        <v>107805.6</v>
      </c>
      <c r="F883" s="33"/>
      <c r="G883" s="34">
        <f t="shared" si="5"/>
        <v>16170.84</v>
      </c>
      <c r="H883" s="43">
        <f>IFERROR(G883*E875,"")</f>
        <v>0</v>
      </c>
      <c r="I883" s="3"/>
    </row>
    <row r="884" spans="1:9" ht="12.75" customHeight="1">
      <c r="A884" s="28"/>
      <c r="B884" s="29" t="s">
        <v>3189</v>
      </c>
      <c r="C884" s="30" t="str">
        <f>IFERROR(_xlfn.XLOOKUP(B884,Insumo[DESCRIPCION],Insumo[UND],,0),"")</f>
        <v xml:space="preserve"> Un </v>
      </c>
      <c r="D884" s="31">
        <v>0.5</v>
      </c>
      <c r="E884" s="32">
        <f>IFERROR(_xlfn.XLOOKUP($B884,Insumo[DESCRIPCION],Insumo[VALOR],,0),"")</f>
        <v>6819.75</v>
      </c>
      <c r="F884" s="33"/>
      <c r="G884" s="34">
        <f t="shared" si="5"/>
        <v>3409.875</v>
      </c>
      <c r="H884" s="43">
        <f>IFERROR(G884*E875,"")</f>
        <v>0</v>
      </c>
      <c r="I884" s="3"/>
    </row>
    <row r="885" spans="1:9" ht="12.75" customHeight="1">
      <c r="A885" s="21"/>
      <c r="B885" s="22" t="s">
        <v>3731</v>
      </c>
      <c r="C885" s="23"/>
      <c r="D885" s="24"/>
      <c r="E885" s="25"/>
      <c r="F885" s="26"/>
      <c r="G885" s="27">
        <f>SUM(G886:G888)</f>
        <v>13818.486678600002</v>
      </c>
      <c r="H885" s="27">
        <f>IFERROR(G885*E875,"")</f>
        <v>0</v>
      </c>
      <c r="I885" s="3"/>
    </row>
    <row r="886" spans="1:9" ht="12.75" customHeight="1">
      <c r="A886" s="28"/>
      <c r="B886" s="29" t="s">
        <v>3613</v>
      </c>
      <c r="C886" s="30" t="str">
        <f>IFERROR(_xlfn.XLOOKUP(B886,Equipo[DESCRIPCION],Equipo[UND],,0),"")</f>
        <v>Día</v>
      </c>
      <c r="D886" s="31">
        <v>1</v>
      </c>
      <c r="E886" s="32">
        <f>IF(C886="%MO",G892,IFERROR(_xlfn.XLOOKUP($B886,Equipo[DESCRIPCION],Equipo[VALOR],,0),""))</f>
        <v>48133.05</v>
      </c>
      <c r="F886" s="33">
        <v>-5</v>
      </c>
      <c r="G886" s="34">
        <f>IFERROR(IF(F886&gt;=0,D886*E886*(1+F886/100),ABS(D886*E886/F886)),"")</f>
        <v>9626.61</v>
      </c>
      <c r="H886" s="43">
        <f>IFERROR(G886*E875,"")</f>
        <v>0</v>
      </c>
      <c r="I886" s="3"/>
    </row>
    <row r="887" spans="1:9" ht="12.75" customHeight="1">
      <c r="A887" s="28"/>
      <c r="B887" s="29" t="s">
        <v>3626</v>
      </c>
      <c r="C887" s="30" t="str">
        <f>IFERROR(_xlfn.XLOOKUP(B887,Equipo[DESCRIPCION],Equipo[UND],,0),"")</f>
        <v>%MO</v>
      </c>
      <c r="D887" s="31">
        <v>0.05</v>
      </c>
      <c r="E887" s="32">
        <f>IF(C887="%MO",G892,IFERROR(_xlfn.XLOOKUP($B887,Equipo[DESCRIPCION],Equipo[VALOR],,0),""))</f>
        <v>83837.533572000015</v>
      </c>
      <c r="F887" s="33"/>
      <c r="G887" s="34">
        <f>IFERROR(IF(F887&gt;=0,D887*E887*(1+F887/100),ABS(D887*E887/F887)),"")</f>
        <v>4191.8766786000006</v>
      </c>
      <c r="H887" s="43">
        <f>IFERROR(G887*E875,"")</f>
        <v>0</v>
      </c>
      <c r="I887" s="3"/>
    </row>
    <row r="888" spans="1:9" ht="12.75" customHeight="1">
      <c r="A888" s="28"/>
      <c r="B888" s="29"/>
      <c r="C888" s="30" t="str">
        <f>IFERROR(_xlfn.XLOOKUP(B888,Equipo[DESCRIPCION],Equipo[UND],,0),"")</f>
        <v/>
      </c>
      <c r="D888" s="31"/>
      <c r="E888" s="32" t="str">
        <f>IF(C888="%MO",G892,IFERROR(_xlfn.XLOOKUP($B888,Equipo[DESCRIPCION],Equipo[VALOR],,0),""))</f>
        <v/>
      </c>
      <c r="F888" s="33"/>
      <c r="G888" s="34" t="str">
        <f>IFERROR(IF(F888&gt;=0,D888*E888*(1+F888/100),ABS(D888*E888/F888)),"")</f>
        <v/>
      </c>
      <c r="H888" s="43" t="str">
        <f>IFERROR(G888*E875,"")</f>
        <v/>
      </c>
      <c r="I888" s="3"/>
    </row>
    <row r="889" spans="1:9" ht="12.75" customHeight="1">
      <c r="A889" s="21"/>
      <c r="B889" s="22" t="s">
        <v>2533</v>
      </c>
      <c r="C889" s="23"/>
      <c r="D889" s="24"/>
      <c r="E889" s="25"/>
      <c r="F889" s="26"/>
      <c r="G889" s="27">
        <f>SUM(G890:G891)</f>
        <v>0</v>
      </c>
      <c r="H889" s="27">
        <f>IFERROR(G889*E875,"")</f>
        <v>0</v>
      </c>
      <c r="I889" s="3"/>
    </row>
    <row r="890" spans="1:9" ht="12.75" customHeight="1">
      <c r="A890" s="28"/>
      <c r="B890" s="29"/>
      <c r="C890" s="30" t="str">
        <f>IFERROR(_xlfn.XLOOKUP(B890,Transporte[DESCRIPCION],Transporte[UND],,0),"")</f>
        <v/>
      </c>
      <c r="D890" s="31"/>
      <c r="E890" s="32" t="str">
        <f>IFERROR(_xlfn.XLOOKUP($B890,Transporte[DESCRIPCION],Transporte[VALOR],,0),"")</f>
        <v/>
      </c>
      <c r="F890" s="33"/>
      <c r="G890" s="34" t="str">
        <f>IFERROR(IF(F890&gt;=0,D890*E890*(1+F890/100),ABS(D890*E890/F890)),"")</f>
        <v/>
      </c>
      <c r="H890" s="43" t="str">
        <f>IFERROR(G890*E875,"")</f>
        <v/>
      </c>
      <c r="I890" s="3"/>
    </row>
    <row r="891" spans="1:9" ht="12.75" customHeight="1">
      <c r="A891" s="28"/>
      <c r="B891" s="29"/>
      <c r="C891" s="30" t="str">
        <f>IFERROR(_xlfn.XLOOKUP(B891,Transporte[DESCRIPCION],Transporte[UND],,0),"")</f>
        <v/>
      </c>
      <c r="D891" s="31"/>
      <c r="E891" s="32" t="str">
        <f>IFERROR(_xlfn.XLOOKUP($B891,Transporte[DESCRIPCION],Transporte[VALOR],,0),"")</f>
        <v/>
      </c>
      <c r="F891" s="33"/>
      <c r="G891" s="34" t="str">
        <f>IFERROR(IF(F891&gt;=0,D891*E891*(1+F891/100),ABS(D891*E891/F891)),"")</f>
        <v/>
      </c>
      <c r="H891" s="43" t="str">
        <f>IFERROR(G891*E875,"")</f>
        <v/>
      </c>
      <c r="I891" s="3"/>
    </row>
    <row r="892" spans="1:9" ht="12.75" customHeight="1">
      <c r="A892" s="21"/>
      <c r="B892" s="22" t="s">
        <v>3732</v>
      </c>
      <c r="C892" s="23"/>
      <c r="D892" s="24"/>
      <c r="E892" s="25"/>
      <c r="F892" s="26"/>
      <c r="G892" s="27">
        <f>SUM(G893:G895)</f>
        <v>83837.533572000015</v>
      </c>
      <c r="H892" s="27">
        <f>IFERROR(G892*E875,"")</f>
        <v>0</v>
      </c>
      <c r="I892" s="3"/>
    </row>
    <row r="893" spans="1:9" ht="12.75" customHeight="1">
      <c r="A893" s="28"/>
      <c r="B893" s="29" t="s">
        <v>3724</v>
      </c>
      <c r="C893" s="30" t="str">
        <f>IFERROR(_xlfn.XLOOKUP(B893,MObra[DESCRIPCION],MObra[UN],,0),"")</f>
        <v>día</v>
      </c>
      <c r="D893" s="31">
        <v>1</v>
      </c>
      <c r="E893" s="32">
        <f>IFERROR(_xlfn.XLOOKUP($B893,MObra[DESCRIPCION],MObra[VALOR UNIT],,0),"")</f>
        <v>419187.66786000005</v>
      </c>
      <c r="F893" s="33">
        <v>-5</v>
      </c>
      <c r="G893" s="34">
        <f>IFERROR(IF(F893&gt;=0,D893*E893*(1+F893/100),ABS(D893*E893/F893)),"")</f>
        <v>83837.533572000015</v>
      </c>
      <c r="H893" s="43">
        <f>IFERROR(G893*E875,"")</f>
        <v>0</v>
      </c>
      <c r="I893" s="3"/>
    </row>
    <row r="894" spans="1:9" ht="12.75" customHeight="1">
      <c r="A894" s="28"/>
      <c r="B894" s="29"/>
      <c r="C894" s="30" t="str">
        <f>IFERROR(_xlfn.XLOOKUP(B894,MObra[DESCRIPCION],MObra[UN],,0),"")</f>
        <v/>
      </c>
      <c r="D894" s="31"/>
      <c r="E894" s="32" t="str">
        <f>IFERROR(_xlfn.XLOOKUP($B894,MObra[DESCRIPCION],MObra[VALOR UNIT],,0),"")</f>
        <v/>
      </c>
      <c r="F894" s="33"/>
      <c r="G894" s="34" t="str">
        <f>IFERROR(IF(F894&gt;=0,D894*E894*(1+F894/100),ABS(D894*E894/F894)),"")</f>
        <v/>
      </c>
      <c r="H894" s="43" t="str">
        <f>IFERROR(G894*E875,"")</f>
        <v/>
      </c>
      <c r="I894" s="3"/>
    </row>
    <row r="895" spans="1:9" ht="12.75" customHeight="1" thickBot="1">
      <c r="A895" s="35"/>
      <c r="B895" s="36"/>
      <c r="C895" s="37" t="str">
        <f>IFERROR(_xlfn.XLOOKUP(B895,MObra[DESCRIPCION],MObra[UN],,0),"")</f>
        <v/>
      </c>
      <c r="D895" s="38"/>
      <c r="E895" s="39" t="str">
        <f>IFERROR(_xlfn.XLOOKUP($B895,MObra[DESCRIPCION],MObra[VALOR UNIT],,0),"")</f>
        <v/>
      </c>
      <c r="F895" s="40"/>
      <c r="G895" s="41" t="str">
        <f>IFERROR(IF(F895&gt;=0,D895*E895*(1+F895/100),ABS(D895*E895/F895)),"")</f>
        <v/>
      </c>
      <c r="H895" s="42" t="str">
        <f>IFERROR(G895*E875,"")</f>
        <v/>
      </c>
      <c r="I895" s="3"/>
    </row>
    <row r="896" spans="1:9" ht="12.75" customHeight="1" thickTop="1" thickBot="1">
      <c r="I896" s="3"/>
    </row>
    <row r="897" spans="1:11" ht="12.75" customHeight="1" thickTop="1" thickBot="1">
      <c r="A897" s="6" t="s">
        <v>1643</v>
      </c>
      <c r="B897" s="7" t="str">
        <f>VLOOKUP($A897,Presupuesto!$A:$D,2,FALSE())</f>
        <v>Puerta metálica tubería Hg 2-1/2" sección 3.0x2.5 m</v>
      </c>
      <c r="C897" s="8" t="str">
        <f>VLOOKUP($A897,Presupuesto!$A:$D,3,FALSE())</f>
        <v>M2</v>
      </c>
      <c r="D897" s="9"/>
      <c r="E897" s="10">
        <f>VLOOKUP($A897,Presupuesto!$A:$D,4,FALSE())</f>
        <v>0</v>
      </c>
      <c r="F897" s="11" t="s">
        <v>2589</v>
      </c>
      <c r="G897" s="12">
        <f>SUM(G899:G917)/2</f>
        <v>261991.36275059998</v>
      </c>
      <c r="H897" s="13">
        <f>ROUND(SUM(H899:H917),0)/2</f>
        <v>0</v>
      </c>
      <c r="I897" s="10">
        <f>VLOOKUP(A897,Presupuesto!$A:$F,6,0)</f>
        <v>0</v>
      </c>
      <c r="J897" s="10">
        <f>+H897-I897</f>
        <v>0</v>
      </c>
      <c r="K897" s="46">
        <f>+H897-G897*E897</f>
        <v>0</v>
      </c>
    </row>
    <row r="898" spans="1:11" ht="12.75" customHeight="1" thickTop="1">
      <c r="A898" s="14"/>
      <c r="B898" s="15" t="s">
        <v>2586</v>
      </c>
      <c r="C898" s="15" t="s">
        <v>5</v>
      </c>
      <c r="D898" s="16" t="s">
        <v>6</v>
      </c>
      <c r="E898" s="17" t="s">
        <v>7</v>
      </c>
      <c r="F898" s="18" t="s">
        <v>3728</v>
      </c>
      <c r="G898" s="19" t="s">
        <v>3729</v>
      </c>
      <c r="H898" s="20" t="s">
        <v>3797</v>
      </c>
      <c r="I898" s="3"/>
    </row>
    <row r="899" spans="1:11" ht="12.75" customHeight="1">
      <c r="A899" s="21"/>
      <c r="B899" s="22" t="s">
        <v>3730</v>
      </c>
      <c r="C899" s="23"/>
      <c r="D899" s="24"/>
      <c r="E899" s="25"/>
      <c r="F899" s="26"/>
      <c r="G899" s="27">
        <f>SUM(G900:G906)</f>
        <v>164335.3425</v>
      </c>
      <c r="H899" s="27">
        <f>IFERROR(G899*E897,"")</f>
        <v>0</v>
      </c>
      <c r="I899" s="3"/>
    </row>
    <row r="900" spans="1:11" ht="12.75" customHeight="1">
      <c r="A900" s="28"/>
      <c r="B900" s="29" t="s">
        <v>3449</v>
      </c>
      <c r="C900" s="30" t="str">
        <f>IFERROR(_xlfn.XLOOKUP(B900,Insumo[DESCRIPCION],Insumo[UND],,0),"")</f>
        <v>M</v>
      </c>
      <c r="D900" s="31">
        <v>2</v>
      </c>
      <c r="E900" s="32">
        <f>IFERROR(_xlfn.XLOOKUP($B900,Insumo[DESCRIPCION],Insumo[VALOR],,0),"")</f>
        <v>21998.025000000001</v>
      </c>
      <c r="F900" s="33"/>
      <c r="G900" s="34">
        <f t="shared" ref="G900:G906" si="6">IFERROR(IF(F900&gt;=0,D900*E900*(1+F900/100),ABS(D900*E900/F900)),"")</f>
        <v>43996.05</v>
      </c>
      <c r="H900" s="43">
        <f>IFERROR(G900*E897,"")</f>
        <v>0</v>
      </c>
      <c r="I900" s="3"/>
    </row>
    <row r="901" spans="1:11" ht="12.75" customHeight="1">
      <c r="A901" s="28"/>
      <c r="B901" s="29" t="s">
        <v>3448</v>
      </c>
      <c r="C901" s="30" t="str">
        <f>IFERROR(_xlfn.XLOOKUP(B901,Insumo[DESCRIPCION],Insumo[UND],,0),"")</f>
        <v>M</v>
      </c>
      <c r="D901" s="31">
        <v>1.5</v>
      </c>
      <c r="E901" s="32">
        <f>IFERROR(_xlfn.XLOOKUP($B901,Insumo[DESCRIPCION],Insumo[VALOR],,0),"")</f>
        <v>39741.625</v>
      </c>
      <c r="F901" s="33"/>
      <c r="G901" s="34">
        <f t="shared" si="6"/>
        <v>59612.4375</v>
      </c>
      <c r="H901" s="43">
        <f>IFERROR(G901*E897,"")</f>
        <v>0</v>
      </c>
      <c r="I901" s="3"/>
    </row>
    <row r="902" spans="1:11" ht="12.75" customHeight="1">
      <c r="A902" s="28"/>
      <c r="B902" s="29" t="s">
        <v>2707</v>
      </c>
      <c r="C902" s="30" t="str">
        <f>IFERROR(_xlfn.XLOOKUP(B902,Insumo[DESCRIPCION],Insumo[UND],,0),"")</f>
        <v>M</v>
      </c>
      <c r="D902" s="31">
        <v>2</v>
      </c>
      <c r="E902" s="32">
        <f>IFERROR(_xlfn.XLOOKUP($B902,Insumo[DESCRIPCION],Insumo[VALOR],,0),"")</f>
        <v>3231.9</v>
      </c>
      <c r="F902" s="33"/>
      <c r="G902" s="34">
        <f t="shared" si="6"/>
        <v>6463.8</v>
      </c>
      <c r="H902" s="43">
        <f>IFERROR(G902*E897,"")</f>
        <v>0</v>
      </c>
      <c r="I902" s="3"/>
    </row>
    <row r="903" spans="1:11" ht="12.75" customHeight="1">
      <c r="A903" s="28"/>
      <c r="B903" s="29" t="s">
        <v>3138</v>
      </c>
      <c r="C903" s="30" t="str">
        <f>IFERROR(_xlfn.XLOOKUP(B903,Insumo[DESCRIPCION],Insumo[UND],,0),"")</f>
        <v>M2</v>
      </c>
      <c r="D903" s="31">
        <v>1</v>
      </c>
      <c r="E903" s="32">
        <f>IFERROR(_xlfn.XLOOKUP($B903,Insumo[DESCRIPCION],Insumo[VALOR],,0),"")</f>
        <v>26005.350000000002</v>
      </c>
      <c r="F903" s="33"/>
      <c r="G903" s="34">
        <f t="shared" si="6"/>
        <v>26005.350000000002</v>
      </c>
      <c r="H903" s="43">
        <f>IFERROR(G903*E897,"")</f>
        <v>0</v>
      </c>
      <c r="I903" s="3"/>
    </row>
    <row r="904" spans="1:11" ht="12.75" customHeight="1">
      <c r="A904" s="28"/>
      <c r="B904" s="29" t="s">
        <v>2925</v>
      </c>
      <c r="C904" s="30" t="str">
        <f>IFERROR(_xlfn.XLOOKUP(B904,Insumo[DESCRIPCION],Insumo[UND],,0),"")</f>
        <v>Lt</v>
      </c>
      <c r="D904" s="31">
        <v>0.3</v>
      </c>
      <c r="E904" s="32">
        <f>IFERROR(_xlfn.XLOOKUP($B904,Insumo[DESCRIPCION],Insumo[VALOR],,0),"")</f>
        <v>28923.300000000003</v>
      </c>
      <c r="F904" s="33"/>
      <c r="G904" s="34">
        <f t="shared" si="6"/>
        <v>8676.99</v>
      </c>
      <c r="H904" s="43">
        <f>IFERROR(G904*E897,"")</f>
        <v>0</v>
      </c>
      <c r="I904" s="3"/>
    </row>
    <row r="905" spans="1:11" ht="12.75" customHeight="1">
      <c r="A905" s="28"/>
      <c r="B905" s="29" t="s">
        <v>3204</v>
      </c>
      <c r="C905" s="30" t="str">
        <f>IFERROR(_xlfn.XLOOKUP(B905,Insumo[DESCRIPCION],Insumo[UND],,0),"")</f>
        <v>galón</v>
      </c>
      <c r="D905" s="31">
        <v>0.15</v>
      </c>
      <c r="E905" s="32">
        <f>IFERROR(_xlfn.XLOOKUP($B905,Insumo[DESCRIPCION],Insumo[VALOR],,0),"")</f>
        <v>107805.6</v>
      </c>
      <c r="F905" s="33"/>
      <c r="G905" s="34">
        <f t="shared" si="6"/>
        <v>16170.84</v>
      </c>
      <c r="H905" s="43">
        <f>IFERROR(G905*E897,"")</f>
        <v>0</v>
      </c>
      <c r="I905" s="3"/>
    </row>
    <row r="906" spans="1:11" ht="12.75" customHeight="1">
      <c r="A906" s="28"/>
      <c r="B906" s="29" t="s">
        <v>3189</v>
      </c>
      <c r="C906" s="30" t="str">
        <f>IFERROR(_xlfn.XLOOKUP(B906,Insumo[DESCRIPCION],Insumo[UND],,0),"")</f>
        <v xml:space="preserve"> Un </v>
      </c>
      <c r="D906" s="31">
        <v>0.5</v>
      </c>
      <c r="E906" s="32">
        <f>IFERROR(_xlfn.XLOOKUP($B906,Insumo[DESCRIPCION],Insumo[VALOR],,0),"")</f>
        <v>6819.75</v>
      </c>
      <c r="F906" s="33"/>
      <c r="G906" s="34">
        <f t="shared" si="6"/>
        <v>3409.875</v>
      </c>
      <c r="H906" s="43">
        <f>IFERROR(G906*E897,"")</f>
        <v>0</v>
      </c>
      <c r="I906" s="3"/>
    </row>
    <row r="907" spans="1:11" ht="12.75" customHeight="1">
      <c r="A907" s="21"/>
      <c r="B907" s="22" t="s">
        <v>3731</v>
      </c>
      <c r="C907" s="23"/>
      <c r="D907" s="24"/>
      <c r="E907" s="25"/>
      <c r="F907" s="26"/>
      <c r="G907" s="27">
        <f>SUM(G908:G910)</f>
        <v>13818.486678600002</v>
      </c>
      <c r="H907" s="27">
        <f>IFERROR(G907*E897,"")</f>
        <v>0</v>
      </c>
      <c r="I907" s="3"/>
    </row>
    <row r="908" spans="1:11" ht="12.75" customHeight="1">
      <c r="A908" s="28"/>
      <c r="B908" s="29" t="s">
        <v>3613</v>
      </c>
      <c r="C908" s="30" t="str">
        <f>IFERROR(_xlfn.XLOOKUP(B908,Equipo[DESCRIPCION],Equipo[UND],,0),"")</f>
        <v>Día</v>
      </c>
      <c r="D908" s="31">
        <v>1</v>
      </c>
      <c r="E908" s="32">
        <f>IF(C908="%MO",G914,IFERROR(_xlfn.XLOOKUP($B908,Equipo[DESCRIPCION],Equipo[VALOR],,0),""))</f>
        <v>48133.05</v>
      </c>
      <c r="F908" s="33">
        <v>-5</v>
      </c>
      <c r="G908" s="34">
        <f>IFERROR(IF(F908&gt;=0,D908*E908*(1+F908/100),ABS(D908*E908/F908)),"")</f>
        <v>9626.61</v>
      </c>
      <c r="H908" s="43">
        <f>IFERROR(G908*E897,"")</f>
        <v>0</v>
      </c>
      <c r="I908" s="3"/>
    </row>
    <row r="909" spans="1:11" ht="12.75" customHeight="1">
      <c r="A909" s="28"/>
      <c r="B909" s="29" t="s">
        <v>3626</v>
      </c>
      <c r="C909" s="30" t="str">
        <f>IFERROR(_xlfn.XLOOKUP(B909,Equipo[DESCRIPCION],Equipo[UND],,0),"")</f>
        <v>%MO</v>
      </c>
      <c r="D909" s="31">
        <v>0.05</v>
      </c>
      <c r="E909" s="32">
        <f>IF(C909="%MO",G914,IFERROR(_xlfn.XLOOKUP($B909,Equipo[DESCRIPCION],Equipo[VALOR],,0),""))</f>
        <v>83837.533572000015</v>
      </c>
      <c r="F909" s="33"/>
      <c r="G909" s="34">
        <f>IFERROR(IF(F909&gt;=0,D909*E909*(1+F909/100),ABS(D909*E909/F909)),"")</f>
        <v>4191.8766786000006</v>
      </c>
      <c r="H909" s="43">
        <f>IFERROR(G909*E897,"")</f>
        <v>0</v>
      </c>
      <c r="I909" s="3"/>
    </row>
    <row r="910" spans="1:11" ht="12.75" customHeight="1">
      <c r="A910" s="28"/>
      <c r="B910" s="29"/>
      <c r="C910" s="30" t="str">
        <f>IFERROR(_xlfn.XLOOKUP(B910,Equipo[DESCRIPCION],Equipo[UND],,0),"")</f>
        <v/>
      </c>
      <c r="D910" s="31"/>
      <c r="E910" s="32" t="str">
        <f>IF(C910="%MO",G914,IFERROR(_xlfn.XLOOKUP($B910,Equipo[DESCRIPCION],Equipo[VALOR],,0),""))</f>
        <v/>
      </c>
      <c r="F910" s="33"/>
      <c r="G910" s="34" t="str">
        <f>IFERROR(IF(F910&gt;=0,D910*E910*(1+F910/100),ABS(D910*E910/F910)),"")</f>
        <v/>
      </c>
      <c r="H910" s="43" t="str">
        <f>IFERROR(G910*E897,"")</f>
        <v/>
      </c>
      <c r="I910" s="3"/>
    </row>
    <row r="911" spans="1:11" ht="12.75" customHeight="1">
      <c r="A911" s="21"/>
      <c r="B911" s="22" t="s">
        <v>2533</v>
      </c>
      <c r="C911" s="23"/>
      <c r="D911" s="24"/>
      <c r="E911" s="25"/>
      <c r="F911" s="26"/>
      <c r="G911" s="27">
        <f>SUM(G912:G913)</f>
        <v>0</v>
      </c>
      <c r="H911" s="27">
        <f>IFERROR(G911*E897,"")</f>
        <v>0</v>
      </c>
      <c r="I911" s="3"/>
    </row>
    <row r="912" spans="1:11" ht="12.75" customHeight="1">
      <c r="A912" s="28"/>
      <c r="B912" s="29"/>
      <c r="C912" s="30" t="str">
        <f>IFERROR(_xlfn.XLOOKUP(B912,Transporte[DESCRIPCION],Transporte[UND],,0),"")</f>
        <v/>
      </c>
      <c r="D912" s="31"/>
      <c r="E912" s="32" t="str">
        <f>IFERROR(_xlfn.XLOOKUP($B912,Transporte[DESCRIPCION],Transporte[VALOR],,0),"")</f>
        <v/>
      </c>
      <c r="F912" s="33"/>
      <c r="G912" s="34" t="str">
        <f>IFERROR(IF(F912&gt;=0,D912*E912*(1+F912/100),ABS(D912*E912/F912)),"")</f>
        <v/>
      </c>
      <c r="H912" s="43" t="str">
        <f>IFERROR(G912*E897,"")</f>
        <v/>
      </c>
      <c r="I912" s="3"/>
    </row>
    <row r="913" spans="1:11" ht="12.75" customHeight="1">
      <c r="A913" s="28"/>
      <c r="B913" s="29"/>
      <c r="C913" s="30" t="str">
        <f>IFERROR(_xlfn.XLOOKUP(B913,Transporte[DESCRIPCION],Transporte[UND],,0),"")</f>
        <v/>
      </c>
      <c r="D913" s="31"/>
      <c r="E913" s="32" t="str">
        <f>IFERROR(_xlfn.XLOOKUP($B913,Transporte[DESCRIPCION],Transporte[VALOR],,0),"")</f>
        <v/>
      </c>
      <c r="F913" s="33"/>
      <c r="G913" s="34" t="str">
        <f>IFERROR(IF(F913&gt;=0,D913*E913*(1+F913/100),ABS(D913*E913/F913)),"")</f>
        <v/>
      </c>
      <c r="H913" s="43" t="str">
        <f>IFERROR(G913*E897,"")</f>
        <v/>
      </c>
      <c r="I913" s="3"/>
    </row>
    <row r="914" spans="1:11" ht="12.75" customHeight="1">
      <c r="A914" s="21"/>
      <c r="B914" s="22" t="s">
        <v>3732</v>
      </c>
      <c r="C914" s="23"/>
      <c r="D914" s="24"/>
      <c r="E914" s="25"/>
      <c r="F914" s="26"/>
      <c r="G914" s="27">
        <f>SUM(G915:G917)</f>
        <v>83837.533572000015</v>
      </c>
      <c r="H914" s="27">
        <f>IFERROR(G914*E897,"")</f>
        <v>0</v>
      </c>
      <c r="I914" s="3"/>
    </row>
    <row r="915" spans="1:11" ht="12.75" customHeight="1">
      <c r="A915" s="28"/>
      <c r="B915" s="29" t="s">
        <v>3724</v>
      </c>
      <c r="C915" s="30" t="str">
        <f>IFERROR(_xlfn.XLOOKUP(B915,MObra[DESCRIPCION],MObra[UN],,0),"")</f>
        <v>día</v>
      </c>
      <c r="D915" s="31">
        <v>1</v>
      </c>
      <c r="E915" s="32">
        <f>IFERROR(_xlfn.XLOOKUP($B915,MObra[DESCRIPCION],MObra[VALOR UNIT],,0),"")</f>
        <v>419187.66786000005</v>
      </c>
      <c r="F915" s="33">
        <v>-5</v>
      </c>
      <c r="G915" s="34">
        <f>IFERROR(IF(F915&gt;=0,D915*E915*(1+F915/100),ABS(D915*E915/F915)),"")</f>
        <v>83837.533572000015</v>
      </c>
      <c r="H915" s="43">
        <f>IFERROR(G915*E897,"")</f>
        <v>0</v>
      </c>
      <c r="I915" s="3"/>
    </row>
    <row r="916" spans="1:11" ht="12.75" customHeight="1">
      <c r="A916" s="28"/>
      <c r="B916" s="29"/>
      <c r="C916" s="30" t="str">
        <f>IFERROR(_xlfn.XLOOKUP(B916,MObra[DESCRIPCION],MObra[UN],,0),"")</f>
        <v/>
      </c>
      <c r="D916" s="31"/>
      <c r="E916" s="32" t="str">
        <f>IFERROR(_xlfn.XLOOKUP($B916,MObra[DESCRIPCION],MObra[VALOR UNIT],,0),"")</f>
        <v/>
      </c>
      <c r="F916" s="33"/>
      <c r="G916" s="34" t="str">
        <f>IFERROR(IF(F916&gt;=0,D916*E916*(1+F916/100),ABS(D916*E916/F916)),"")</f>
        <v/>
      </c>
      <c r="H916" s="43" t="str">
        <f>IFERROR(G916*E897,"")</f>
        <v/>
      </c>
      <c r="I916" s="3"/>
    </row>
    <row r="917" spans="1:11" ht="12.75" customHeight="1" thickBot="1">
      <c r="A917" s="35"/>
      <c r="B917" s="36"/>
      <c r="C917" s="37" t="str">
        <f>IFERROR(_xlfn.XLOOKUP(B917,MObra[DESCRIPCION],MObra[UN],,0),"")</f>
        <v/>
      </c>
      <c r="D917" s="38"/>
      <c r="E917" s="39" t="str">
        <f>IFERROR(_xlfn.XLOOKUP($B917,MObra[DESCRIPCION],MObra[VALOR UNIT],,0),"")</f>
        <v/>
      </c>
      <c r="F917" s="40"/>
      <c r="G917" s="41" t="str">
        <f>IFERROR(IF(F917&gt;=0,D917*E917*(1+F917/100),ABS(D917*E917/F917)),"")</f>
        <v/>
      </c>
      <c r="H917" s="42" t="str">
        <f>IFERROR(G917*E897,"")</f>
        <v/>
      </c>
      <c r="I917" s="3"/>
    </row>
    <row r="918" spans="1:11" ht="12.75" customHeight="1" thickTop="1" thickBot="1">
      <c r="I918" s="3"/>
    </row>
    <row r="919" spans="1:11" ht="12.75" customHeight="1" thickTop="1" thickBot="1">
      <c r="A919" s="6" t="s">
        <v>1645</v>
      </c>
      <c r="B919" s="7" t="str">
        <f>VLOOKUP($A919,Presupuesto!$A:$D,2,FALSE())</f>
        <v>Recorte puerta metálica tipo B + pintura</v>
      </c>
      <c r="C919" s="8" t="str">
        <f>VLOOKUP($A919,Presupuesto!$A:$D,3,FALSE())</f>
        <v>Un</v>
      </c>
      <c r="D919" s="9"/>
      <c r="E919" s="10">
        <f>VLOOKUP($A919,Presupuesto!$A:$D,4,FALSE())</f>
        <v>0</v>
      </c>
      <c r="F919" s="11" t="s">
        <v>2589</v>
      </c>
      <c r="G919" s="12">
        <f>SUM(G921:G937)/2</f>
        <v>299710.49562649999</v>
      </c>
      <c r="H919" s="13">
        <f>ROUND(SUM(H921:H937),0)/2</f>
        <v>0</v>
      </c>
      <c r="I919" s="10">
        <f>VLOOKUP(A919,Presupuesto!$A:$F,6,0)</f>
        <v>0</v>
      </c>
      <c r="J919" s="10">
        <f>+H919-I919</f>
        <v>0</v>
      </c>
      <c r="K919" s="46">
        <f>+H919-G919*E919</f>
        <v>0</v>
      </c>
    </row>
    <row r="920" spans="1:11" ht="12.75" customHeight="1" thickTop="1">
      <c r="A920" s="14"/>
      <c r="B920" s="15" t="s">
        <v>2586</v>
      </c>
      <c r="C920" s="15" t="s">
        <v>5</v>
      </c>
      <c r="D920" s="16" t="s">
        <v>6</v>
      </c>
      <c r="E920" s="17" t="s">
        <v>7</v>
      </c>
      <c r="F920" s="18" t="s">
        <v>3728</v>
      </c>
      <c r="G920" s="19" t="s">
        <v>3729</v>
      </c>
      <c r="H920" s="20" t="s">
        <v>3797</v>
      </c>
      <c r="I920" s="3"/>
    </row>
    <row r="921" spans="1:11" ht="12.75" customHeight="1">
      <c r="A921" s="21"/>
      <c r="B921" s="22" t="s">
        <v>3730</v>
      </c>
      <c r="C921" s="23"/>
      <c r="D921" s="24"/>
      <c r="E921" s="25"/>
      <c r="F921" s="26"/>
      <c r="G921" s="27">
        <f>SUM(G922:G926)</f>
        <v>63592.62</v>
      </c>
      <c r="H921" s="27">
        <f>IFERROR(G921*E919,"")</f>
        <v>0</v>
      </c>
      <c r="I921" s="3"/>
    </row>
    <row r="922" spans="1:11" ht="12.75" customHeight="1">
      <c r="A922" s="28"/>
      <c r="B922" s="29" t="s">
        <v>2925</v>
      </c>
      <c r="C922" s="30" t="str">
        <f>IFERROR(_xlfn.XLOOKUP(B922,Insumo[DESCRIPCION],Insumo[UND],,0),"")</f>
        <v>Lt</v>
      </c>
      <c r="D922" s="31">
        <v>0.5</v>
      </c>
      <c r="E922" s="32">
        <f>IFERROR(_xlfn.XLOOKUP($B922,Insumo[DESCRIPCION],Insumo[VALOR],,0),"")</f>
        <v>28923.300000000003</v>
      </c>
      <c r="F922" s="33"/>
      <c r="G922" s="34">
        <f>IFERROR(IF(F922&gt;=0,D922*E922*(1+F922/100),ABS(D922*E922/F922)),"")</f>
        <v>14461.650000000001</v>
      </c>
      <c r="H922" s="43">
        <f>IFERROR(G922*E919,"")</f>
        <v>0</v>
      </c>
      <c r="I922" s="3"/>
    </row>
    <row r="923" spans="1:11" ht="12.75" customHeight="1">
      <c r="A923" s="28"/>
      <c r="B923" s="29" t="s">
        <v>3204</v>
      </c>
      <c r="C923" s="30" t="str">
        <f>IFERROR(_xlfn.XLOOKUP(B923,Insumo[DESCRIPCION],Insumo[UND],,0),"")</f>
        <v>galón</v>
      </c>
      <c r="D923" s="31">
        <v>0.25</v>
      </c>
      <c r="E923" s="32">
        <f>IFERROR(_xlfn.XLOOKUP($B923,Insumo[DESCRIPCION],Insumo[VALOR],,0),"")</f>
        <v>107805.6</v>
      </c>
      <c r="F923" s="33"/>
      <c r="G923" s="34">
        <f>IFERROR(IF(F923&gt;=0,D923*E923*(1+F923/100),ABS(D923*E923/F923)),"")</f>
        <v>26951.4</v>
      </c>
      <c r="H923" s="43">
        <f>IFERROR(G923*E919,"")</f>
        <v>0</v>
      </c>
      <c r="I923" s="3"/>
    </row>
    <row r="924" spans="1:11" ht="12.75" customHeight="1">
      <c r="A924" s="28"/>
      <c r="B924" s="29" t="s">
        <v>3025</v>
      </c>
      <c r="C924" s="30" t="str">
        <f>IFERROR(_xlfn.XLOOKUP(B924,Insumo[DESCRIPCION],Insumo[UND],,0),"")</f>
        <v>M2</v>
      </c>
      <c r="D924" s="31">
        <v>0.25</v>
      </c>
      <c r="E924" s="32">
        <f>IFERROR(_xlfn.XLOOKUP($B924,Insumo[DESCRIPCION],Insumo[VALOR],,0),"")</f>
        <v>86326.8</v>
      </c>
      <c r="F924" s="33"/>
      <c r="G924" s="34">
        <f>IFERROR(IF(F924&gt;=0,D924*E924*(1+F924/100),ABS(D924*E924/F924)),"")</f>
        <v>21581.7</v>
      </c>
      <c r="H924" s="43">
        <f>IFERROR(G924*E919,"")</f>
        <v>0</v>
      </c>
      <c r="I924" s="3"/>
    </row>
    <row r="925" spans="1:11" ht="12.75" customHeight="1">
      <c r="A925" s="28"/>
      <c r="B925" s="29" t="s">
        <v>3326</v>
      </c>
      <c r="C925" s="30" t="str">
        <f>IFERROR(_xlfn.XLOOKUP(B925,Insumo[DESCRIPCION],Insumo[UND],,0),"")</f>
        <v>Kg</v>
      </c>
      <c r="D925" s="31">
        <v>0.1</v>
      </c>
      <c r="E925" s="32">
        <f>IFERROR(_xlfn.XLOOKUP($B925,Insumo[DESCRIPCION],Insumo[VALOR],,0),"")</f>
        <v>5978.7</v>
      </c>
      <c r="F925" s="33"/>
      <c r="G925" s="34">
        <f>IFERROR(IF(F925&gt;=0,D925*E925*(1+F925/100),ABS(D925*E925/F925)),"")</f>
        <v>597.87</v>
      </c>
      <c r="H925" s="43">
        <f>IFERROR(G925*E919,"")</f>
        <v>0</v>
      </c>
      <c r="I925" s="3"/>
    </row>
    <row r="926" spans="1:11" ht="12.75" customHeight="1">
      <c r="A926" s="28"/>
      <c r="B926" s="29"/>
      <c r="C926" s="30" t="str">
        <f>IFERROR(_xlfn.XLOOKUP(B926,Insumo[DESCRIPCION],Insumo[UND],,0),"")</f>
        <v/>
      </c>
      <c r="D926" s="31"/>
      <c r="E926" s="32" t="str">
        <f>IFERROR(_xlfn.XLOOKUP($B926,Insumo[DESCRIPCION],Insumo[VALOR],,0),"")</f>
        <v/>
      </c>
      <c r="F926" s="33"/>
      <c r="G926" s="34" t="str">
        <f>IFERROR(IF(F926&gt;=0,D926*E926*(1+F926/100),ABS(D926*E926/F926)),"")</f>
        <v/>
      </c>
      <c r="H926" s="43" t="str">
        <f>IFERROR(G926*E919,"")</f>
        <v/>
      </c>
      <c r="I926" s="3"/>
    </row>
    <row r="927" spans="1:11" ht="12.75" customHeight="1">
      <c r="A927" s="21"/>
      <c r="B927" s="22" t="s">
        <v>3731</v>
      </c>
      <c r="C927" s="23"/>
      <c r="D927" s="24"/>
      <c r="E927" s="25"/>
      <c r="F927" s="26"/>
      <c r="G927" s="27">
        <f>SUM(G928:G930)</f>
        <v>26524.041696500004</v>
      </c>
      <c r="H927" s="27">
        <f>IFERROR(G927*E919,"")</f>
        <v>0</v>
      </c>
      <c r="I927" s="3"/>
    </row>
    <row r="928" spans="1:11" ht="12.75" customHeight="1">
      <c r="A928" s="28"/>
      <c r="B928" s="29" t="s">
        <v>3613</v>
      </c>
      <c r="C928" s="30" t="str">
        <f>IFERROR(_xlfn.XLOOKUP(B928,Equipo[DESCRIPCION],Equipo[UND],,0),"")</f>
        <v>Día</v>
      </c>
      <c r="D928" s="31">
        <v>1</v>
      </c>
      <c r="E928" s="32">
        <f>IF(C928="%MO",G934,IFERROR(_xlfn.XLOOKUP($B928,Equipo[DESCRIPCION],Equipo[VALOR],,0),""))</f>
        <v>48133.05</v>
      </c>
      <c r="F928" s="33">
        <v>-3</v>
      </c>
      <c r="G928" s="34">
        <f>IFERROR(IF(F928&gt;=0,D928*E928*(1+F928/100),ABS(D928*E928/F928)),"")</f>
        <v>16044.35</v>
      </c>
      <c r="H928" s="43">
        <f>IFERROR(G928*E919,"")</f>
        <v>0</v>
      </c>
      <c r="I928" s="3"/>
    </row>
    <row r="929" spans="1:11" ht="12.75" customHeight="1">
      <c r="A929" s="28"/>
      <c r="B929" s="29" t="s">
        <v>3626</v>
      </c>
      <c r="C929" s="30" t="str">
        <f>IFERROR(_xlfn.XLOOKUP(B929,Equipo[DESCRIPCION],Equipo[UND],,0),"")</f>
        <v>%MO</v>
      </c>
      <c r="D929" s="31">
        <v>0.05</v>
      </c>
      <c r="E929" s="32">
        <f>IF(C929="%MO",G934,IFERROR(_xlfn.XLOOKUP($B929,Equipo[DESCRIPCION],Equipo[VALOR],,0),""))</f>
        <v>209593.83393000002</v>
      </c>
      <c r="F929" s="33"/>
      <c r="G929" s="34">
        <f>IFERROR(IF(F929&gt;=0,D929*E929*(1+F929/100),ABS(D929*E929/F929)),"")</f>
        <v>10479.691696500002</v>
      </c>
      <c r="H929" s="43">
        <f>IFERROR(G929*E919,"")</f>
        <v>0</v>
      </c>
      <c r="I929" s="3"/>
    </row>
    <row r="930" spans="1:11" ht="12.75" customHeight="1">
      <c r="A930" s="28"/>
      <c r="B930" s="29"/>
      <c r="C930" s="30" t="str">
        <f>IFERROR(_xlfn.XLOOKUP(B930,Equipo[DESCRIPCION],Equipo[UND],,0),"")</f>
        <v/>
      </c>
      <c r="D930" s="31"/>
      <c r="E930" s="32" t="str">
        <f>IF(C930="%MO",G934,IFERROR(_xlfn.XLOOKUP($B930,Equipo[DESCRIPCION],Equipo[VALOR],,0),""))</f>
        <v/>
      </c>
      <c r="F930" s="33"/>
      <c r="G930" s="34" t="str">
        <f>IFERROR(IF(F930&gt;=0,D930*E930*(1+F930/100),ABS(D930*E930/F930)),"")</f>
        <v/>
      </c>
      <c r="H930" s="43" t="str">
        <f>IFERROR(G930*E919,"")</f>
        <v/>
      </c>
      <c r="I930" s="3"/>
    </row>
    <row r="931" spans="1:11" ht="12.75" customHeight="1">
      <c r="A931" s="21"/>
      <c r="B931" s="22" t="s">
        <v>2533</v>
      </c>
      <c r="C931" s="23"/>
      <c r="D931" s="24"/>
      <c r="E931" s="25"/>
      <c r="F931" s="26"/>
      <c r="G931" s="27">
        <f>SUM(G932:G933)</f>
        <v>0</v>
      </c>
      <c r="H931" s="27">
        <f>IFERROR(G931*E919,"")</f>
        <v>0</v>
      </c>
      <c r="I931" s="3"/>
    </row>
    <row r="932" spans="1:11" ht="12.75" customHeight="1">
      <c r="A932" s="28"/>
      <c r="B932" s="29"/>
      <c r="C932" s="30" t="str">
        <f>IFERROR(_xlfn.XLOOKUP(B932,Transporte[DESCRIPCION],Transporte[UND],,0),"")</f>
        <v/>
      </c>
      <c r="D932" s="31"/>
      <c r="E932" s="32" t="str">
        <f>IFERROR(_xlfn.XLOOKUP($B932,Transporte[DESCRIPCION],Transporte[VALOR],,0),"")</f>
        <v/>
      </c>
      <c r="F932" s="33"/>
      <c r="G932" s="34" t="str">
        <f>IFERROR(IF(F932&gt;=0,D932*E932*(1+F932/100),ABS(D932*E932/F932)),"")</f>
        <v/>
      </c>
      <c r="H932" s="43" t="str">
        <f>IFERROR(G932*E919,"")</f>
        <v/>
      </c>
      <c r="I932" s="3"/>
    </row>
    <row r="933" spans="1:11" ht="12.75" customHeight="1">
      <c r="A933" s="28"/>
      <c r="B933" s="29"/>
      <c r="C933" s="30" t="str">
        <f>IFERROR(_xlfn.XLOOKUP(B933,Transporte[DESCRIPCION],Transporte[UND],,0),"")</f>
        <v/>
      </c>
      <c r="D933" s="31"/>
      <c r="E933" s="32" t="str">
        <f>IFERROR(_xlfn.XLOOKUP($B933,Transporte[DESCRIPCION],Transporte[VALOR],,0),"")</f>
        <v/>
      </c>
      <c r="F933" s="33"/>
      <c r="G933" s="34" t="str">
        <f>IFERROR(IF(F933&gt;=0,D933*E933*(1+F933/100),ABS(D933*E933/F933)),"")</f>
        <v/>
      </c>
      <c r="H933" s="43" t="str">
        <f>IFERROR(G933*E919,"")</f>
        <v/>
      </c>
      <c r="I933" s="3"/>
    </row>
    <row r="934" spans="1:11" ht="12.75" customHeight="1">
      <c r="A934" s="21"/>
      <c r="B934" s="22" t="s">
        <v>3732</v>
      </c>
      <c r="C934" s="23"/>
      <c r="D934" s="24"/>
      <c r="E934" s="25"/>
      <c r="F934" s="26"/>
      <c r="G934" s="27">
        <f>SUM(G935:G937)</f>
        <v>209593.83393000002</v>
      </c>
      <c r="H934" s="27">
        <f>IFERROR(G934*E919,"")</f>
        <v>0</v>
      </c>
      <c r="I934" s="3"/>
    </row>
    <row r="935" spans="1:11" ht="12.75" customHeight="1">
      <c r="A935" s="28"/>
      <c r="B935" s="29" t="s">
        <v>3724</v>
      </c>
      <c r="C935" s="30" t="str">
        <f>IFERROR(_xlfn.XLOOKUP(B935,MObra[DESCRIPCION],MObra[UN],,0),"")</f>
        <v>día</v>
      </c>
      <c r="D935" s="31">
        <v>1</v>
      </c>
      <c r="E935" s="32">
        <f>IFERROR(_xlfn.XLOOKUP($B935,MObra[DESCRIPCION],MObra[VALOR UNIT],,0),"")</f>
        <v>419187.66786000005</v>
      </c>
      <c r="F935" s="33">
        <v>-2</v>
      </c>
      <c r="G935" s="34">
        <f>IFERROR(IF(F935&gt;=0,D935*E935*(1+F935/100),ABS(D935*E935/F935)),"")</f>
        <v>209593.83393000002</v>
      </c>
      <c r="H935" s="43">
        <f>IFERROR(G935*E919,"")</f>
        <v>0</v>
      </c>
      <c r="I935" s="3"/>
    </row>
    <row r="936" spans="1:11" ht="12.75" customHeight="1">
      <c r="A936" s="28"/>
      <c r="B936" s="29"/>
      <c r="C936" s="30" t="str">
        <f>IFERROR(_xlfn.XLOOKUP(B936,MObra[DESCRIPCION],MObra[UN],,0),"")</f>
        <v/>
      </c>
      <c r="D936" s="31"/>
      <c r="E936" s="32" t="str">
        <f>IFERROR(_xlfn.XLOOKUP($B936,MObra[DESCRIPCION],MObra[VALOR UNIT],,0),"")</f>
        <v/>
      </c>
      <c r="F936" s="33"/>
      <c r="G936" s="34" t="str">
        <f>IFERROR(IF(F936&gt;=0,D936*E936*(1+F936/100),ABS(D936*E936/F936)),"")</f>
        <v/>
      </c>
      <c r="H936" s="43" t="str">
        <f>IFERROR(G936*E919,"")</f>
        <v/>
      </c>
      <c r="I936" s="3"/>
    </row>
    <row r="937" spans="1:11" ht="12.75" customHeight="1" thickBot="1">
      <c r="A937" s="35"/>
      <c r="B937" s="36"/>
      <c r="C937" s="37" t="str">
        <f>IFERROR(_xlfn.XLOOKUP(B937,MObra[DESCRIPCION],MObra[UN],,0),"")</f>
        <v/>
      </c>
      <c r="D937" s="38"/>
      <c r="E937" s="39" t="str">
        <f>IFERROR(_xlfn.XLOOKUP($B937,MObra[DESCRIPCION],MObra[VALOR UNIT],,0),"")</f>
        <v/>
      </c>
      <c r="F937" s="40"/>
      <c r="G937" s="41" t="str">
        <f>IFERROR(IF(F937&gt;=0,D937*E937*(1+F937/100),ABS(D937*E937/F937)),"")</f>
        <v/>
      </c>
      <c r="H937" s="42" t="str">
        <f>IFERROR(G937*E919,"")</f>
        <v/>
      </c>
      <c r="I937" s="3"/>
    </row>
    <row r="938" spans="1:11" ht="12.75" customHeight="1" thickTop="1" thickBot="1">
      <c r="I938" s="3"/>
    </row>
    <row r="939" spans="1:11" ht="12.75" customHeight="1" thickTop="1" thickBot="1">
      <c r="A939" s="6" t="s">
        <v>1647</v>
      </c>
      <c r="B939" s="7" t="str">
        <f>VLOOKUP($A939,Presupuesto!$A:$D,2,FALSE())</f>
        <v>Reinstalación marco + puerta lámina</v>
      </c>
      <c r="C939" s="8" t="str">
        <f>VLOOKUP($A939,Presupuesto!$A:$D,3,FALSE())</f>
        <v>Un</v>
      </c>
      <c r="D939" s="9"/>
      <c r="E939" s="10">
        <f>VLOOKUP($A939,Presupuesto!$A:$D,4,FALSE())</f>
        <v>0</v>
      </c>
      <c r="F939" s="11" t="s">
        <v>2589</v>
      </c>
      <c r="G939" s="12">
        <f>SUM(G941:G957)/2</f>
        <v>132625.04182660166</v>
      </c>
      <c r="H939" s="13">
        <f>ROUND(SUM(H941:H957),0)/2</f>
        <v>0</v>
      </c>
      <c r="I939" s="10">
        <f>VLOOKUP(A939,Presupuesto!$A:$F,6,0)</f>
        <v>0</v>
      </c>
      <c r="J939" s="10">
        <f>+H939-I939</f>
        <v>0</v>
      </c>
      <c r="K939" s="46">
        <f>+H939-G939*E939</f>
        <v>0</v>
      </c>
    </row>
    <row r="940" spans="1:11" ht="12.75" customHeight="1" thickTop="1">
      <c r="A940" s="14"/>
      <c r="B940" s="15" t="s">
        <v>2586</v>
      </c>
      <c r="C940" s="15" t="s">
        <v>5</v>
      </c>
      <c r="D940" s="16" t="s">
        <v>6</v>
      </c>
      <c r="E940" s="17" t="s">
        <v>7</v>
      </c>
      <c r="F940" s="18" t="s">
        <v>3728</v>
      </c>
      <c r="G940" s="19" t="s">
        <v>3729</v>
      </c>
      <c r="H940" s="20" t="s">
        <v>3797</v>
      </c>
      <c r="I940" s="3"/>
    </row>
    <row r="941" spans="1:11" ht="12.75" customHeight="1">
      <c r="A941" s="21"/>
      <c r="B941" s="22" t="s">
        <v>3730</v>
      </c>
      <c r="C941" s="23"/>
      <c r="D941" s="24"/>
      <c r="E941" s="25"/>
      <c r="F941" s="26"/>
      <c r="G941" s="27">
        <f>SUM(G942:G946)</f>
        <v>37392.469716664127</v>
      </c>
      <c r="H941" s="27">
        <f>IFERROR(G941*E939,"")</f>
        <v>0</v>
      </c>
      <c r="I941" s="3"/>
    </row>
    <row r="942" spans="1:11" ht="12.75" customHeight="1">
      <c r="A942" s="28"/>
      <c r="B942" s="29" t="s">
        <v>2751</v>
      </c>
      <c r="C942" s="30" t="str">
        <f>IFERROR(_xlfn.XLOOKUP(B942,Insumo[DESCRIPCION],Insumo[UND],,0),"")</f>
        <v>Un</v>
      </c>
      <c r="D942" s="31">
        <v>3</v>
      </c>
      <c r="E942" s="32">
        <f>IFERROR(_xlfn.XLOOKUP($B942,Insumo[DESCRIPCION],Insumo[VALOR],,0),"")</f>
        <v>7331.1</v>
      </c>
      <c r="F942" s="33"/>
      <c r="G942" s="34">
        <f>IFERROR(IF(F942&gt;=0,D942*E942*(1+F942/100),ABS(D942*E942/F942)),"")</f>
        <v>21993.300000000003</v>
      </c>
      <c r="H942" s="43">
        <f>IFERROR(G942*E939,"")</f>
        <v>0</v>
      </c>
      <c r="I942" s="3"/>
    </row>
    <row r="943" spans="1:11" ht="12.75" customHeight="1">
      <c r="A943" s="28"/>
      <c r="B943" s="29" t="s">
        <v>3407</v>
      </c>
      <c r="C943" s="30" t="str">
        <f>IFERROR(_xlfn.XLOOKUP(B943,Insumo[DESCRIPCION],Insumo[UND],,0),"")</f>
        <v>Un</v>
      </c>
      <c r="D943" s="31">
        <v>6</v>
      </c>
      <c r="E943" s="32">
        <f>IFERROR(_xlfn.XLOOKUP($B943,Insumo[DESCRIPCION],Insumo[VALOR],,0),"")</f>
        <v>77.7</v>
      </c>
      <c r="F943" s="33"/>
      <c r="G943" s="34">
        <f>IFERROR(IF(F943&gt;=0,D943*E943*(1+F943/100),ABS(D943*E943/F943)),"")</f>
        <v>466.20000000000005</v>
      </c>
      <c r="H943" s="43">
        <f>IFERROR(G943*E939,"")</f>
        <v>0</v>
      </c>
      <c r="I943" s="3"/>
    </row>
    <row r="944" spans="1:11" ht="12.75" customHeight="1">
      <c r="A944" s="28"/>
      <c r="B944" s="29" t="s">
        <v>3244</v>
      </c>
      <c r="C944" s="30" t="str">
        <f>IFERROR(_xlfn.XLOOKUP(B944,Insumo[DESCRIPCION],Insumo[UND],,0),"")</f>
        <v>M3</v>
      </c>
      <c r="D944" s="31">
        <v>0.03</v>
      </c>
      <c r="E944" s="32">
        <f>IFERROR(_xlfn.XLOOKUP($B944,Insumo[DESCRIPCION],Insumo[VALOR],,0),"")</f>
        <v>497765.65722213761</v>
      </c>
      <c r="F944" s="33"/>
      <c r="G944" s="34">
        <f>IFERROR(IF(F944&gt;=0,D944*E944*(1+F944/100),ABS(D944*E944/F944)),"")</f>
        <v>14932.969716664127</v>
      </c>
      <c r="H944" s="43">
        <f>IFERROR(G944*E939,"")</f>
        <v>0</v>
      </c>
      <c r="I944" s="3"/>
    </row>
    <row r="945" spans="1:11" ht="12.75" customHeight="1">
      <c r="A945" s="28"/>
      <c r="B945" s="29"/>
      <c r="C945" s="30" t="str">
        <f>IFERROR(_xlfn.XLOOKUP(B945,Insumo[DESCRIPCION],Insumo[UND],,0),"")</f>
        <v/>
      </c>
      <c r="D945" s="31"/>
      <c r="E945" s="32" t="str">
        <f>IFERROR(_xlfn.XLOOKUP($B945,Insumo[DESCRIPCION],Insumo[VALOR],,0),"")</f>
        <v/>
      </c>
      <c r="F945" s="33"/>
      <c r="G945" s="34" t="str">
        <f>IFERROR(IF(F945&gt;=0,D945*E945*(1+F945/100),ABS(D945*E945/F945)),"")</f>
        <v/>
      </c>
      <c r="H945" s="43" t="str">
        <f>IFERROR(G945*E939,"")</f>
        <v/>
      </c>
      <c r="I945" s="3"/>
    </row>
    <row r="946" spans="1:11" ht="12.75" customHeight="1">
      <c r="A946" s="28"/>
      <c r="B946" s="29"/>
      <c r="C946" s="30" t="str">
        <f>IFERROR(_xlfn.XLOOKUP(B946,Insumo[DESCRIPCION],Insumo[UND],,0),"")</f>
        <v/>
      </c>
      <c r="D946" s="31"/>
      <c r="E946" s="32" t="str">
        <f>IFERROR(_xlfn.XLOOKUP($B946,Insumo[DESCRIPCION],Insumo[VALOR],,0),"")</f>
        <v/>
      </c>
      <c r="F946" s="33"/>
      <c r="G946" s="34" t="str">
        <f>IFERROR(IF(F946&gt;=0,D946*E946*(1+F946/100),ABS(D946*E946/F946)),"")</f>
        <v/>
      </c>
      <c r="H946" s="43" t="str">
        <f>IFERROR(G946*E939,"")</f>
        <v/>
      </c>
      <c r="I946" s="3"/>
    </row>
    <row r="947" spans="1:11" ht="12.75" customHeight="1">
      <c r="A947" s="21"/>
      <c r="B947" s="22" t="s">
        <v>3731</v>
      </c>
      <c r="C947" s="23"/>
      <c r="D947" s="24"/>
      <c r="E947" s="25"/>
      <c r="F947" s="26"/>
      <c r="G947" s="27">
        <f>SUM(G948:G950)</f>
        <v>16634.884386187499</v>
      </c>
      <c r="H947" s="27">
        <f>IFERROR(G947*E939,"")</f>
        <v>0</v>
      </c>
      <c r="I947" s="3"/>
    </row>
    <row r="948" spans="1:11" ht="12.75" customHeight="1">
      <c r="A948" s="28"/>
      <c r="B948" s="29" t="s">
        <v>3654</v>
      </c>
      <c r="C948" s="30" t="str">
        <f>IFERROR(_xlfn.XLOOKUP(B948,Equipo[DESCRIPCION],Equipo[UND],,0),"")</f>
        <v>Día</v>
      </c>
      <c r="D948" s="31">
        <v>1</v>
      </c>
      <c r="E948" s="32">
        <f>IF(C948="%MO",G954,IFERROR(_xlfn.XLOOKUP($B948,Equipo[DESCRIPCION],Equipo[VALOR],,0),""))</f>
        <v>101640</v>
      </c>
      <c r="F948" s="33">
        <v>-8</v>
      </c>
      <c r="G948" s="34">
        <f>IFERROR(IF(F948&gt;=0,D948*E948*(1+F948/100),ABS(D948*E948/F948)),"")</f>
        <v>12705</v>
      </c>
      <c r="H948" s="43">
        <f>IFERROR(G948*E939,"")</f>
        <v>0</v>
      </c>
      <c r="I948" s="3"/>
    </row>
    <row r="949" spans="1:11" ht="12.75" customHeight="1">
      <c r="A949" s="28"/>
      <c r="B949" s="29" t="s">
        <v>3626</v>
      </c>
      <c r="C949" s="30" t="str">
        <f>IFERROR(_xlfn.XLOOKUP(B949,Equipo[DESCRIPCION],Equipo[UND],,0),"")</f>
        <v>%MO</v>
      </c>
      <c r="D949" s="31">
        <v>0.05</v>
      </c>
      <c r="E949" s="32">
        <f>IF(C949="%MO",G954,IFERROR(_xlfn.XLOOKUP($B949,Equipo[DESCRIPCION],Equipo[VALOR],,0),""))</f>
        <v>78597.687723750016</v>
      </c>
      <c r="F949" s="33"/>
      <c r="G949" s="34">
        <f>IFERROR(IF(F949&gt;=0,D949*E949*(1+F949/100),ABS(D949*E949/F949)),"")</f>
        <v>3929.8843861875011</v>
      </c>
      <c r="H949" s="43">
        <f>IFERROR(G949*E939,"")</f>
        <v>0</v>
      </c>
      <c r="I949" s="3"/>
    </row>
    <row r="950" spans="1:11" ht="12.75" customHeight="1">
      <c r="A950" s="28"/>
      <c r="B950" s="29"/>
      <c r="C950" s="30" t="str">
        <f>IFERROR(_xlfn.XLOOKUP(B950,Equipo[DESCRIPCION],Equipo[UND],,0),"")</f>
        <v/>
      </c>
      <c r="D950" s="31"/>
      <c r="E950" s="32" t="str">
        <f>IF(C950="%MO",G954,IFERROR(_xlfn.XLOOKUP($B950,Equipo[DESCRIPCION],Equipo[VALOR],,0),""))</f>
        <v/>
      </c>
      <c r="F950" s="33"/>
      <c r="G950" s="34" t="str">
        <f>IFERROR(IF(F950&gt;=0,D950*E950*(1+F950/100),ABS(D950*E950/F950)),"")</f>
        <v/>
      </c>
      <c r="H950" s="43" t="str">
        <f>IFERROR(G950*E939,"")</f>
        <v/>
      </c>
      <c r="I950" s="3"/>
    </row>
    <row r="951" spans="1:11" ht="12.75" customHeight="1">
      <c r="A951" s="21"/>
      <c r="B951" s="22" t="s">
        <v>2533</v>
      </c>
      <c r="C951" s="23"/>
      <c r="D951" s="24"/>
      <c r="E951" s="25"/>
      <c r="F951" s="26"/>
      <c r="G951" s="27">
        <f>SUM(G952:G953)</f>
        <v>0</v>
      </c>
      <c r="H951" s="27">
        <f>IFERROR(G951*E939,"")</f>
        <v>0</v>
      </c>
      <c r="I951" s="3"/>
    </row>
    <row r="952" spans="1:11" ht="12.75" customHeight="1">
      <c r="A952" s="28"/>
      <c r="B952" s="29"/>
      <c r="C952" s="30" t="str">
        <f>IFERROR(_xlfn.XLOOKUP(B952,Transporte[DESCRIPCION],Transporte[UND],,0),"")</f>
        <v/>
      </c>
      <c r="D952" s="31"/>
      <c r="E952" s="32" t="str">
        <f>IFERROR(_xlfn.XLOOKUP($B952,Transporte[DESCRIPCION],Transporte[VALOR],,0),"")</f>
        <v/>
      </c>
      <c r="F952" s="33"/>
      <c r="G952" s="34" t="str">
        <f>IFERROR(IF(F952&gt;=0,D952*E952*(1+F952/100),ABS(D952*E952/F952)),"")</f>
        <v/>
      </c>
      <c r="H952" s="43" t="str">
        <f>IFERROR(G952*E939,"")</f>
        <v/>
      </c>
      <c r="I952" s="3"/>
    </row>
    <row r="953" spans="1:11" ht="12.75" customHeight="1">
      <c r="A953" s="28"/>
      <c r="B953" s="29"/>
      <c r="C953" s="30" t="str">
        <f>IFERROR(_xlfn.XLOOKUP(B953,Transporte[DESCRIPCION],Transporte[UND],,0),"")</f>
        <v/>
      </c>
      <c r="D953" s="31"/>
      <c r="E953" s="32" t="str">
        <f>IFERROR(_xlfn.XLOOKUP($B953,Transporte[DESCRIPCION],Transporte[VALOR],,0),"")</f>
        <v/>
      </c>
      <c r="F953" s="33"/>
      <c r="G953" s="34" t="str">
        <f>IFERROR(IF(F953&gt;=0,D953*E953*(1+F953/100),ABS(D953*E953/F953)),"")</f>
        <v/>
      </c>
      <c r="H953" s="43" t="str">
        <f>IFERROR(G953*E939,"")</f>
        <v/>
      </c>
      <c r="I953" s="3"/>
    </row>
    <row r="954" spans="1:11" ht="12.75" customHeight="1">
      <c r="A954" s="21"/>
      <c r="B954" s="22" t="s">
        <v>3732</v>
      </c>
      <c r="C954" s="23"/>
      <c r="D954" s="24"/>
      <c r="E954" s="25"/>
      <c r="F954" s="26"/>
      <c r="G954" s="27">
        <f>SUM(G955:G957)</f>
        <v>78597.687723750016</v>
      </c>
      <c r="H954" s="27">
        <f>IFERROR(G954*E939,"")</f>
        <v>0</v>
      </c>
      <c r="I954" s="3"/>
    </row>
    <row r="955" spans="1:11" ht="12.75" customHeight="1">
      <c r="A955" s="28"/>
      <c r="B955" s="29" t="s">
        <v>3710</v>
      </c>
      <c r="C955" s="30" t="str">
        <f>IFERROR(_xlfn.XLOOKUP(B955,MObra[DESCRIPCION],MObra[UN],,0),"")</f>
        <v>día</v>
      </c>
      <c r="D955" s="31">
        <v>1</v>
      </c>
      <c r="E955" s="32">
        <f>IFERROR(_xlfn.XLOOKUP($B955,MObra[DESCRIPCION],MObra[VALOR UNIT],,0),"")</f>
        <v>314390.75089500006</v>
      </c>
      <c r="F955" s="33">
        <v>-4</v>
      </c>
      <c r="G955" s="34">
        <f>IFERROR(IF(F955&gt;=0,D955*E955*(1+F955/100),ABS(D955*E955/F955)),"")</f>
        <v>78597.687723750016</v>
      </c>
      <c r="H955" s="43">
        <f>IFERROR(G955*E939,"")</f>
        <v>0</v>
      </c>
      <c r="I955" s="3"/>
    </row>
    <row r="956" spans="1:11" ht="12.75" customHeight="1">
      <c r="A956" s="28"/>
      <c r="B956" s="29"/>
      <c r="C956" s="30" t="str">
        <f>IFERROR(_xlfn.XLOOKUP(B956,MObra[DESCRIPCION],MObra[UN],,0),"")</f>
        <v/>
      </c>
      <c r="D956" s="31"/>
      <c r="E956" s="32" t="str">
        <f>IFERROR(_xlfn.XLOOKUP($B956,MObra[DESCRIPCION],MObra[VALOR UNIT],,0),"")</f>
        <v/>
      </c>
      <c r="F956" s="33"/>
      <c r="G956" s="34" t="str">
        <f>IFERROR(IF(F956&gt;=0,D956*E956*(1+F956/100),ABS(D956*E956/F956)),"")</f>
        <v/>
      </c>
      <c r="H956" s="43" t="str">
        <f>IFERROR(G956*E939,"")</f>
        <v/>
      </c>
      <c r="I956" s="3"/>
    </row>
    <row r="957" spans="1:11" ht="12.75" customHeight="1" thickBot="1">
      <c r="A957" s="35"/>
      <c r="B957" s="36"/>
      <c r="C957" s="37" t="str">
        <f>IFERROR(_xlfn.XLOOKUP(B957,MObra[DESCRIPCION],MObra[UN],,0),"")</f>
        <v/>
      </c>
      <c r="D957" s="38"/>
      <c r="E957" s="39" t="str">
        <f>IFERROR(_xlfn.XLOOKUP($B957,MObra[DESCRIPCION],MObra[VALOR UNIT],,0),"")</f>
        <v/>
      </c>
      <c r="F957" s="40"/>
      <c r="G957" s="41" t="str">
        <f>IFERROR(IF(F957&gt;=0,D957*E957*(1+F957/100),ABS(D957*E957/F957)),"")</f>
        <v/>
      </c>
      <c r="H957" s="42" t="str">
        <f>IFERROR(G957*E939,"")</f>
        <v/>
      </c>
      <c r="I957" s="3"/>
    </row>
    <row r="958" spans="1:11" ht="12.75" customHeight="1" thickTop="1" thickBot="1">
      <c r="I958" s="3"/>
    </row>
    <row r="959" spans="1:11" ht="12.75" customHeight="1" thickTop="1" thickBot="1">
      <c r="A959" s="6" t="s">
        <v>1649</v>
      </c>
      <c r="B959" s="7" t="str">
        <f>VLOOKUP($A959,Presupuesto!$A:$D,2,FALSE())</f>
        <v>Reinstalación marco + puerta madera</v>
      </c>
      <c r="C959" s="8" t="str">
        <f>VLOOKUP($A959,Presupuesto!$A:$D,3,FALSE())</f>
        <v>Un</v>
      </c>
      <c r="D959" s="9"/>
      <c r="E959" s="10">
        <f>VLOOKUP($A959,Presupuesto!$A:$D,4,FALSE())</f>
        <v>0</v>
      </c>
      <c r="F959" s="11" t="s">
        <v>2589</v>
      </c>
      <c r="G959" s="12">
        <f>SUM(G961:G977)/2</f>
        <v>117692.07210993752</v>
      </c>
      <c r="H959" s="13">
        <f>ROUND(SUM(H961:H977),0)/2</f>
        <v>0</v>
      </c>
      <c r="I959" s="10">
        <f>VLOOKUP(A959,Presupuesto!$A:$F,6,0)</f>
        <v>0</v>
      </c>
      <c r="J959" s="10">
        <f>+H959-I959</f>
        <v>0</v>
      </c>
      <c r="K959" s="46">
        <f>+H959-G959*E959</f>
        <v>0</v>
      </c>
    </row>
    <row r="960" spans="1:11" ht="12.75" customHeight="1" thickTop="1">
      <c r="A960" s="14"/>
      <c r="B960" s="15" t="s">
        <v>2586</v>
      </c>
      <c r="C960" s="15" t="s">
        <v>5</v>
      </c>
      <c r="D960" s="16" t="s">
        <v>6</v>
      </c>
      <c r="E960" s="17" t="s">
        <v>7</v>
      </c>
      <c r="F960" s="18" t="s">
        <v>3728</v>
      </c>
      <c r="G960" s="19" t="s">
        <v>3729</v>
      </c>
      <c r="H960" s="20" t="s">
        <v>3797</v>
      </c>
      <c r="I960" s="3"/>
    </row>
    <row r="961" spans="1:9" ht="12.75" customHeight="1">
      <c r="A961" s="21"/>
      <c r="B961" s="22" t="s">
        <v>3730</v>
      </c>
      <c r="C961" s="23"/>
      <c r="D961" s="24"/>
      <c r="E961" s="25"/>
      <c r="F961" s="26"/>
      <c r="G961" s="27">
        <f>SUM(G962:G966)</f>
        <v>22459.500000000004</v>
      </c>
      <c r="H961" s="27">
        <f>IFERROR(G961*E959,"")</f>
        <v>0</v>
      </c>
      <c r="I961" s="3"/>
    </row>
    <row r="962" spans="1:9" ht="12.75" customHeight="1">
      <c r="A962" s="28"/>
      <c r="B962" s="29" t="s">
        <v>2751</v>
      </c>
      <c r="C962" s="30" t="str">
        <f>IFERROR(_xlfn.XLOOKUP(B962,Insumo[DESCRIPCION],Insumo[UND],,0),"")</f>
        <v>Un</v>
      </c>
      <c r="D962" s="31">
        <v>3</v>
      </c>
      <c r="E962" s="32">
        <f>IFERROR(_xlfn.XLOOKUP($B962,Insumo[DESCRIPCION],Insumo[VALOR],,0),"")</f>
        <v>7331.1</v>
      </c>
      <c r="F962" s="33"/>
      <c r="G962" s="34">
        <f>IFERROR(IF(F962&gt;=0,D962*E962*(1+F962/100),ABS(D962*E962/F962)),"")</f>
        <v>21993.300000000003</v>
      </c>
      <c r="H962" s="43">
        <f>IFERROR(G962*E959,"")</f>
        <v>0</v>
      </c>
      <c r="I962" s="3"/>
    </row>
    <row r="963" spans="1:9" ht="12.75" customHeight="1">
      <c r="A963" s="28"/>
      <c r="B963" s="29" t="s">
        <v>3407</v>
      </c>
      <c r="C963" s="30" t="str">
        <f>IFERROR(_xlfn.XLOOKUP(B963,Insumo[DESCRIPCION],Insumo[UND],,0),"")</f>
        <v>Un</v>
      </c>
      <c r="D963" s="31">
        <v>6</v>
      </c>
      <c r="E963" s="32">
        <f>IFERROR(_xlfn.XLOOKUP($B963,Insumo[DESCRIPCION],Insumo[VALOR],,0),"")</f>
        <v>77.7</v>
      </c>
      <c r="F963" s="33"/>
      <c r="G963" s="34">
        <f>IFERROR(IF(F963&gt;=0,D963*E963*(1+F963/100),ABS(D963*E963/F963)),"")</f>
        <v>466.20000000000005</v>
      </c>
      <c r="H963" s="43">
        <f>IFERROR(G963*E959,"")</f>
        <v>0</v>
      </c>
      <c r="I963" s="3"/>
    </row>
    <row r="964" spans="1:9" ht="12.75" customHeight="1">
      <c r="A964" s="28"/>
      <c r="B964" s="29"/>
      <c r="C964" s="30" t="str">
        <f>IFERROR(_xlfn.XLOOKUP(B964,Insumo[DESCRIPCION],Insumo[UND],,0),"")</f>
        <v/>
      </c>
      <c r="D964" s="31"/>
      <c r="E964" s="32" t="str">
        <f>IFERROR(_xlfn.XLOOKUP($B964,Insumo[DESCRIPCION],Insumo[VALOR],,0),"")</f>
        <v/>
      </c>
      <c r="F964" s="33"/>
      <c r="G964" s="34" t="str">
        <f>IFERROR(IF(F964&gt;=0,D964*E964*(1+F964/100),ABS(D964*E964/F964)),"")</f>
        <v/>
      </c>
      <c r="H964" s="43" t="str">
        <f>IFERROR(G964*E959,"")</f>
        <v/>
      </c>
      <c r="I964" s="3"/>
    </row>
    <row r="965" spans="1:9" ht="12.75" customHeight="1">
      <c r="A965" s="28"/>
      <c r="B965" s="29"/>
      <c r="C965" s="30" t="str">
        <f>IFERROR(_xlfn.XLOOKUP(B965,Insumo[DESCRIPCION],Insumo[UND],,0),"")</f>
        <v/>
      </c>
      <c r="D965" s="31"/>
      <c r="E965" s="32" t="str">
        <f>IFERROR(_xlfn.XLOOKUP($B965,Insumo[DESCRIPCION],Insumo[VALOR],,0),"")</f>
        <v/>
      </c>
      <c r="F965" s="33"/>
      <c r="G965" s="34" t="str">
        <f>IFERROR(IF(F965&gt;=0,D965*E965*(1+F965/100),ABS(D965*E965/F965)),"")</f>
        <v/>
      </c>
      <c r="H965" s="43" t="str">
        <f>IFERROR(G965*E959,"")</f>
        <v/>
      </c>
      <c r="I965" s="3"/>
    </row>
    <row r="966" spans="1:9" ht="12.75" customHeight="1">
      <c r="A966" s="28"/>
      <c r="B966" s="29"/>
      <c r="C966" s="30" t="str">
        <f>IFERROR(_xlfn.XLOOKUP(B966,Insumo[DESCRIPCION],Insumo[UND],,0),"")</f>
        <v/>
      </c>
      <c r="D966" s="31"/>
      <c r="E966" s="32" t="str">
        <f>IFERROR(_xlfn.XLOOKUP($B966,Insumo[DESCRIPCION],Insumo[VALOR],,0),"")</f>
        <v/>
      </c>
      <c r="F966" s="33"/>
      <c r="G966" s="34" t="str">
        <f>IFERROR(IF(F966&gt;=0,D966*E966*(1+F966/100),ABS(D966*E966/F966)),"")</f>
        <v/>
      </c>
      <c r="H966" s="43" t="str">
        <f>IFERROR(G966*E959,"")</f>
        <v/>
      </c>
      <c r="I966" s="3"/>
    </row>
    <row r="967" spans="1:9" ht="12.75" customHeight="1">
      <c r="A967" s="21"/>
      <c r="B967" s="22" t="s">
        <v>3731</v>
      </c>
      <c r="C967" s="23"/>
      <c r="D967" s="24"/>
      <c r="E967" s="25"/>
      <c r="F967" s="26"/>
      <c r="G967" s="27">
        <f>SUM(G968:G970)</f>
        <v>16634.884386187499</v>
      </c>
      <c r="H967" s="27">
        <f>IFERROR(G967*E959,"")</f>
        <v>0</v>
      </c>
      <c r="I967" s="3"/>
    </row>
    <row r="968" spans="1:9" ht="12.75" customHeight="1">
      <c r="A968" s="28"/>
      <c r="B968" s="29" t="s">
        <v>3654</v>
      </c>
      <c r="C968" s="30" t="str">
        <f>IFERROR(_xlfn.XLOOKUP(B968,Equipo[DESCRIPCION],Equipo[UND],,0),"")</f>
        <v>Día</v>
      </c>
      <c r="D968" s="31">
        <v>1</v>
      </c>
      <c r="E968" s="32">
        <f>IF(C968="%MO",G974,IFERROR(_xlfn.XLOOKUP($B968,Equipo[DESCRIPCION],Equipo[VALOR],,0),""))</f>
        <v>101640</v>
      </c>
      <c r="F968" s="33">
        <v>-8</v>
      </c>
      <c r="G968" s="34">
        <f>IFERROR(IF(F968&gt;=0,D968*E968*(1+F968/100),ABS(D968*E968/F968)),"")</f>
        <v>12705</v>
      </c>
      <c r="H968" s="43">
        <f>IFERROR(G968*E959,"")</f>
        <v>0</v>
      </c>
      <c r="I968" s="3"/>
    </row>
    <row r="969" spans="1:9" ht="12.75" customHeight="1">
      <c r="A969" s="28"/>
      <c r="B969" s="29" t="s">
        <v>3626</v>
      </c>
      <c r="C969" s="30" t="str">
        <f>IFERROR(_xlfn.XLOOKUP(B969,Equipo[DESCRIPCION],Equipo[UND],,0),"")</f>
        <v>%MO</v>
      </c>
      <c r="D969" s="31">
        <v>0.05</v>
      </c>
      <c r="E969" s="32">
        <f>IF(C969="%MO",G974,IFERROR(_xlfn.XLOOKUP($B969,Equipo[DESCRIPCION],Equipo[VALOR],,0),""))</f>
        <v>78597.687723750016</v>
      </c>
      <c r="F969" s="33"/>
      <c r="G969" s="34">
        <f>IFERROR(IF(F969&gt;=0,D969*E969*(1+F969/100),ABS(D969*E969/F969)),"")</f>
        <v>3929.8843861875011</v>
      </c>
      <c r="H969" s="43">
        <f>IFERROR(G969*E959,"")</f>
        <v>0</v>
      </c>
      <c r="I969" s="3"/>
    </row>
    <row r="970" spans="1:9" ht="12.75" customHeight="1">
      <c r="A970" s="28"/>
      <c r="B970" s="29"/>
      <c r="C970" s="30" t="str">
        <f>IFERROR(_xlfn.XLOOKUP(B970,Equipo[DESCRIPCION],Equipo[UND],,0),"")</f>
        <v/>
      </c>
      <c r="D970" s="31"/>
      <c r="E970" s="32" t="str">
        <f>IF(C970="%MO",G974,IFERROR(_xlfn.XLOOKUP($B970,Equipo[DESCRIPCION],Equipo[VALOR],,0),""))</f>
        <v/>
      </c>
      <c r="F970" s="33"/>
      <c r="G970" s="34" t="str">
        <f>IFERROR(IF(F970&gt;=0,D970*E970*(1+F970/100),ABS(D970*E970/F970)),"")</f>
        <v/>
      </c>
      <c r="H970" s="43" t="str">
        <f>IFERROR(G970*E959,"")</f>
        <v/>
      </c>
      <c r="I970" s="3"/>
    </row>
    <row r="971" spans="1:9" ht="12.75" customHeight="1">
      <c r="A971" s="21"/>
      <c r="B971" s="22" t="s">
        <v>2533</v>
      </c>
      <c r="C971" s="23"/>
      <c r="D971" s="24"/>
      <c r="E971" s="25"/>
      <c r="F971" s="26"/>
      <c r="G971" s="27">
        <f>SUM(G972:G973)</f>
        <v>0</v>
      </c>
      <c r="H971" s="27">
        <f>IFERROR(G971*E959,"")</f>
        <v>0</v>
      </c>
      <c r="I971" s="3"/>
    </row>
    <row r="972" spans="1:9" ht="12.75" customHeight="1">
      <c r="A972" s="28"/>
      <c r="B972" s="29"/>
      <c r="C972" s="30" t="str">
        <f>IFERROR(_xlfn.XLOOKUP(B972,Transporte[DESCRIPCION],Transporte[UND],,0),"")</f>
        <v/>
      </c>
      <c r="D972" s="31"/>
      <c r="E972" s="32" t="str">
        <f>IFERROR(_xlfn.XLOOKUP($B972,Transporte[DESCRIPCION],Transporte[VALOR],,0),"")</f>
        <v/>
      </c>
      <c r="F972" s="33"/>
      <c r="G972" s="34" t="str">
        <f>IFERROR(IF(F972&gt;=0,D972*E972*(1+F972/100),ABS(D972*E972/F972)),"")</f>
        <v/>
      </c>
      <c r="H972" s="43" t="str">
        <f>IFERROR(G972*E959,"")</f>
        <v/>
      </c>
      <c r="I972" s="3"/>
    </row>
    <row r="973" spans="1:9" ht="12.75" customHeight="1">
      <c r="A973" s="28"/>
      <c r="B973" s="29"/>
      <c r="C973" s="30" t="str">
        <f>IFERROR(_xlfn.XLOOKUP(B973,Transporte[DESCRIPCION],Transporte[UND],,0),"")</f>
        <v/>
      </c>
      <c r="D973" s="31"/>
      <c r="E973" s="32" t="str">
        <f>IFERROR(_xlfn.XLOOKUP($B973,Transporte[DESCRIPCION],Transporte[VALOR],,0),"")</f>
        <v/>
      </c>
      <c r="F973" s="33"/>
      <c r="G973" s="34" t="str">
        <f>IFERROR(IF(F973&gt;=0,D973*E973*(1+F973/100),ABS(D973*E973/F973)),"")</f>
        <v/>
      </c>
      <c r="H973" s="43" t="str">
        <f>IFERROR(G973*E959,"")</f>
        <v/>
      </c>
      <c r="I973" s="3"/>
    </row>
    <row r="974" spans="1:9" ht="12.75" customHeight="1">
      <c r="A974" s="21"/>
      <c r="B974" s="22" t="s">
        <v>3732</v>
      </c>
      <c r="C974" s="23"/>
      <c r="D974" s="24"/>
      <c r="E974" s="25"/>
      <c r="F974" s="26"/>
      <c r="G974" s="27">
        <f>SUM(G975:G977)</f>
        <v>78597.687723750016</v>
      </c>
      <c r="H974" s="27">
        <f>IFERROR(G974*E959,"")</f>
        <v>0</v>
      </c>
      <c r="I974" s="3"/>
    </row>
    <row r="975" spans="1:9" ht="12.75" customHeight="1">
      <c r="A975" s="28"/>
      <c r="B975" s="29" t="s">
        <v>3710</v>
      </c>
      <c r="C975" s="30" t="str">
        <f>IFERROR(_xlfn.XLOOKUP(B975,MObra[DESCRIPCION],MObra[UN],,0),"")</f>
        <v>día</v>
      </c>
      <c r="D975" s="31">
        <v>1</v>
      </c>
      <c r="E975" s="32">
        <f>IFERROR(_xlfn.XLOOKUP($B975,MObra[DESCRIPCION],MObra[VALOR UNIT],,0),"")</f>
        <v>314390.75089500006</v>
      </c>
      <c r="F975" s="33">
        <v>-4</v>
      </c>
      <c r="G975" s="34">
        <f>IFERROR(IF(F975&gt;=0,D975*E975*(1+F975/100),ABS(D975*E975/F975)),"")</f>
        <v>78597.687723750016</v>
      </c>
      <c r="H975" s="43">
        <f>IFERROR(G975*E959,"")</f>
        <v>0</v>
      </c>
      <c r="I975" s="3"/>
    </row>
    <row r="976" spans="1:9" ht="12.75" customHeight="1">
      <c r="A976" s="28"/>
      <c r="B976" s="29"/>
      <c r="C976" s="30" t="str">
        <f>IFERROR(_xlfn.XLOOKUP(B976,MObra[DESCRIPCION],MObra[UN],,0),"")</f>
        <v/>
      </c>
      <c r="D976" s="31"/>
      <c r="E976" s="32" t="str">
        <f>IFERROR(_xlfn.XLOOKUP($B976,MObra[DESCRIPCION],MObra[VALOR UNIT],,0),"")</f>
        <v/>
      </c>
      <c r="F976" s="33"/>
      <c r="G976" s="34" t="str">
        <f>IFERROR(IF(F976&gt;=0,D976*E976*(1+F976/100),ABS(D976*E976/F976)),"")</f>
        <v/>
      </c>
      <c r="H976" s="43" t="str">
        <f>IFERROR(G976*E959,"")</f>
        <v/>
      </c>
      <c r="I976" s="3"/>
    </row>
    <row r="977" spans="1:11" ht="12.75" customHeight="1" thickBot="1">
      <c r="A977" s="35"/>
      <c r="B977" s="36"/>
      <c r="C977" s="37" t="str">
        <f>IFERROR(_xlfn.XLOOKUP(B977,MObra[DESCRIPCION],MObra[UN],,0),"")</f>
        <v/>
      </c>
      <c r="D977" s="38"/>
      <c r="E977" s="39" t="str">
        <f>IFERROR(_xlfn.XLOOKUP($B977,MObra[DESCRIPCION],MObra[VALOR UNIT],,0),"")</f>
        <v/>
      </c>
      <c r="F977" s="40"/>
      <c r="G977" s="41" t="str">
        <f>IFERROR(IF(F977&gt;=0,D977*E977*(1+F977/100),ABS(D977*E977/F977)),"")</f>
        <v/>
      </c>
      <c r="H977" s="42" t="str">
        <f>IFERROR(G977*E959,"")</f>
        <v/>
      </c>
      <c r="I977" s="3"/>
    </row>
    <row r="978" spans="1:11" ht="12.75" customHeight="1" thickTop="1" thickBot="1">
      <c r="I978" s="3"/>
    </row>
    <row r="979" spans="1:11" ht="12.75" customHeight="1" thickTop="1" thickBot="1">
      <c r="A979" s="6" t="s">
        <v>1651</v>
      </c>
      <c r="B979" s="7" t="str">
        <f>VLOOKUP($A979,Presupuesto!$A:$D,2,FALSE())</f>
        <v>Reinstalación reja metálica</v>
      </c>
      <c r="C979" s="8" t="str">
        <f>VLOOKUP($A979,Presupuesto!$A:$D,3,FALSE())</f>
        <v>M2</v>
      </c>
      <c r="D979" s="9"/>
      <c r="E979" s="10">
        <f>VLOOKUP($A979,Presupuesto!$A:$D,4,FALSE())</f>
        <v>0</v>
      </c>
      <c r="F979" s="11" t="s">
        <v>2589</v>
      </c>
      <c r="G979" s="12">
        <f>SUM(G981:G997)/2</f>
        <v>23970.844375100001</v>
      </c>
      <c r="H979" s="13">
        <f>ROUND(SUM(H981:H997),0)/2</f>
        <v>0</v>
      </c>
      <c r="I979" s="10">
        <f>VLOOKUP(A979,Presupuesto!$A:$F,6,0)</f>
        <v>0</v>
      </c>
      <c r="J979" s="10">
        <f>+H979-I979</f>
        <v>0</v>
      </c>
      <c r="K979" s="46">
        <f>+H979-G979*E979</f>
        <v>0</v>
      </c>
    </row>
    <row r="980" spans="1:11" ht="12.75" customHeight="1" thickTop="1">
      <c r="A980" s="14"/>
      <c r="B980" s="15" t="s">
        <v>2586</v>
      </c>
      <c r="C980" s="15" t="s">
        <v>5</v>
      </c>
      <c r="D980" s="16" t="s">
        <v>6</v>
      </c>
      <c r="E980" s="17" t="s">
        <v>7</v>
      </c>
      <c r="F980" s="18" t="s">
        <v>3728</v>
      </c>
      <c r="G980" s="19" t="s">
        <v>3729</v>
      </c>
      <c r="H980" s="20" t="s">
        <v>3797</v>
      </c>
      <c r="I980" s="3"/>
    </row>
    <row r="981" spans="1:11" ht="12.75" customHeight="1">
      <c r="A981" s="21"/>
      <c r="B981" s="22" t="s">
        <v>3730</v>
      </c>
      <c r="C981" s="23"/>
      <c r="D981" s="24"/>
      <c r="E981" s="25"/>
      <c r="F981" s="26"/>
      <c r="G981" s="27">
        <f>SUM(G982:G986)</f>
        <v>7694.8410000000013</v>
      </c>
      <c r="H981" s="27">
        <f>IFERROR(G981*E979,"")</f>
        <v>0</v>
      </c>
      <c r="I981" s="3"/>
    </row>
    <row r="982" spans="1:11" ht="12.75" customHeight="1">
      <c r="A982" s="28"/>
      <c r="B982" s="29" t="s">
        <v>3541</v>
      </c>
      <c r="C982" s="30" t="str">
        <f>IFERROR(_xlfn.XLOOKUP(B982,Insumo[DESCRIPCION],Insumo[UND],,0),"")</f>
        <v>M</v>
      </c>
      <c r="D982" s="31">
        <v>0.4</v>
      </c>
      <c r="E982" s="32">
        <f>IFERROR(_xlfn.XLOOKUP($B982,Insumo[DESCRIPCION],Insumo[VALOR],,0),"")</f>
        <v>6065.85</v>
      </c>
      <c r="F982" s="33"/>
      <c r="G982" s="34">
        <f>IFERROR(IF(F982&gt;=0,D982*E982*(1+F982/100),ABS(D982*E982/F982)),"")</f>
        <v>2426.34</v>
      </c>
      <c r="H982" s="43">
        <f>IFERROR(G982*E979,"")</f>
        <v>0</v>
      </c>
      <c r="I982" s="3"/>
    </row>
    <row r="983" spans="1:11" ht="12.75" customHeight="1">
      <c r="A983" s="28"/>
      <c r="B983" s="29" t="s">
        <v>2925</v>
      </c>
      <c r="C983" s="30" t="str">
        <f>IFERROR(_xlfn.XLOOKUP(B983,Insumo[DESCRIPCION],Insumo[UND],,0),"")</f>
        <v>Lt</v>
      </c>
      <c r="D983" s="31">
        <v>0.06</v>
      </c>
      <c r="E983" s="32">
        <f>IFERROR(_xlfn.XLOOKUP($B983,Insumo[DESCRIPCION],Insumo[VALOR],,0),"")</f>
        <v>28923.300000000003</v>
      </c>
      <c r="F983" s="33"/>
      <c r="G983" s="34">
        <f>IFERROR(IF(F983&gt;=0,D983*E983*(1+F983/100),ABS(D983*E983/F983)),"")</f>
        <v>1735.3980000000001</v>
      </c>
      <c r="H983" s="43">
        <f>IFERROR(G983*E979,"")</f>
        <v>0</v>
      </c>
      <c r="I983" s="3"/>
    </row>
    <row r="984" spans="1:11" ht="12.75" customHeight="1">
      <c r="A984" s="28"/>
      <c r="B984" s="29" t="s">
        <v>3204</v>
      </c>
      <c r="C984" s="30" t="str">
        <f>IFERROR(_xlfn.XLOOKUP(B984,Insumo[DESCRIPCION],Insumo[UND],,0),"")</f>
        <v>galón</v>
      </c>
      <c r="D984" s="31">
        <v>0.03</v>
      </c>
      <c r="E984" s="32">
        <f>IFERROR(_xlfn.XLOOKUP($B984,Insumo[DESCRIPCION],Insumo[VALOR],,0),"")</f>
        <v>107805.6</v>
      </c>
      <c r="F984" s="33"/>
      <c r="G984" s="34">
        <f>IFERROR(IF(F984&gt;=0,D984*E984*(1+F984/100),ABS(D984*E984/F984)),"")</f>
        <v>3234.1680000000001</v>
      </c>
      <c r="H984" s="43">
        <f>IFERROR(G984*E979,"")</f>
        <v>0</v>
      </c>
      <c r="I984" s="3"/>
    </row>
    <row r="985" spans="1:11" ht="12.75" customHeight="1">
      <c r="A985" s="28"/>
      <c r="B985" s="29" t="s">
        <v>3326</v>
      </c>
      <c r="C985" s="30" t="str">
        <f>IFERROR(_xlfn.XLOOKUP(B985,Insumo[DESCRIPCION],Insumo[UND],,0),"")</f>
        <v>Kg</v>
      </c>
      <c r="D985" s="31">
        <v>0.05</v>
      </c>
      <c r="E985" s="32">
        <f>IFERROR(_xlfn.XLOOKUP($B985,Insumo[DESCRIPCION],Insumo[VALOR],,0),"")</f>
        <v>5978.7</v>
      </c>
      <c r="F985" s="33"/>
      <c r="G985" s="34">
        <f>IFERROR(IF(F985&gt;=0,D985*E985*(1+F985/100),ABS(D985*E985/F985)),"")</f>
        <v>298.935</v>
      </c>
      <c r="H985" s="43">
        <f>IFERROR(G985*E979,"")</f>
        <v>0</v>
      </c>
      <c r="I985" s="3"/>
    </row>
    <row r="986" spans="1:11" ht="12.75" customHeight="1">
      <c r="A986" s="28"/>
      <c r="B986" s="29"/>
      <c r="C986" s="30" t="str">
        <f>IFERROR(_xlfn.XLOOKUP(B986,Insumo[DESCRIPCION],Insumo[UND],,0),"")</f>
        <v/>
      </c>
      <c r="D986" s="31"/>
      <c r="E986" s="32" t="str">
        <f>IFERROR(_xlfn.XLOOKUP($B986,Insumo[DESCRIPCION],Insumo[VALOR],,0),"")</f>
        <v/>
      </c>
      <c r="F986" s="33"/>
      <c r="G986" s="34" t="str">
        <f>IFERROR(IF(F986&gt;=0,D986*E986*(1+F986/100),ABS(D986*E986/F986)),"")</f>
        <v/>
      </c>
      <c r="H986" s="43" t="str">
        <f>IFERROR(G986*E979,"")</f>
        <v/>
      </c>
      <c r="I986" s="3"/>
    </row>
    <row r="987" spans="1:11" ht="12.75" customHeight="1">
      <c r="A987" s="21"/>
      <c r="B987" s="22" t="s">
        <v>3731</v>
      </c>
      <c r="C987" s="23"/>
      <c r="D987" s="24"/>
      <c r="E987" s="25"/>
      <c r="F987" s="26"/>
      <c r="G987" s="27">
        <f>SUM(G988:G990)</f>
        <v>2303.0811131</v>
      </c>
      <c r="H987" s="27">
        <f>IFERROR(G987*E979,"")</f>
        <v>0</v>
      </c>
      <c r="I987" s="3"/>
    </row>
    <row r="988" spans="1:11" ht="12.75" customHeight="1">
      <c r="A988" s="28"/>
      <c r="B988" s="29" t="s">
        <v>3613</v>
      </c>
      <c r="C988" s="30" t="str">
        <f>IFERROR(_xlfn.XLOOKUP(B988,Equipo[DESCRIPCION],Equipo[UND],,0),"")</f>
        <v>Día</v>
      </c>
      <c r="D988" s="31">
        <v>1</v>
      </c>
      <c r="E988" s="32">
        <f>IF(C988="%MO",G994,IFERROR(_xlfn.XLOOKUP($B988,Equipo[DESCRIPCION],Equipo[VALOR],,0),""))</f>
        <v>48133.05</v>
      </c>
      <c r="F988" s="33">
        <v>-30</v>
      </c>
      <c r="G988" s="34">
        <f>IFERROR(IF(F988&gt;=0,D988*E988*(1+F988/100),ABS(D988*E988/F988)),"")</f>
        <v>1604.4350000000002</v>
      </c>
      <c r="H988" s="43">
        <f>IFERROR(G988*E979,"")</f>
        <v>0</v>
      </c>
      <c r="I988" s="3"/>
    </row>
    <row r="989" spans="1:11" ht="12.75" customHeight="1">
      <c r="A989" s="28"/>
      <c r="B989" s="29" t="s">
        <v>3626</v>
      </c>
      <c r="C989" s="30" t="str">
        <f>IFERROR(_xlfn.XLOOKUP(B989,Equipo[DESCRIPCION],Equipo[UND],,0),"")</f>
        <v>%MO</v>
      </c>
      <c r="D989" s="31">
        <v>0.05</v>
      </c>
      <c r="E989" s="32">
        <f>IF(C989="%MO",G994,IFERROR(_xlfn.XLOOKUP($B989,Equipo[DESCRIPCION],Equipo[VALOR],,0),""))</f>
        <v>13972.922262000002</v>
      </c>
      <c r="F989" s="33"/>
      <c r="G989" s="34">
        <f>IFERROR(IF(F989&gt;=0,D989*E989*(1+F989/100),ABS(D989*E989/F989)),"")</f>
        <v>698.64611310000009</v>
      </c>
      <c r="H989" s="43">
        <f>IFERROR(G989*E979,"")</f>
        <v>0</v>
      </c>
      <c r="I989" s="3"/>
    </row>
    <row r="990" spans="1:11" ht="12.75" customHeight="1">
      <c r="A990" s="28"/>
      <c r="B990" s="29"/>
      <c r="C990" s="30" t="str">
        <f>IFERROR(_xlfn.XLOOKUP(B990,Equipo[DESCRIPCION],Equipo[UND],,0),"")</f>
        <v/>
      </c>
      <c r="D990" s="31"/>
      <c r="E990" s="32" t="str">
        <f>IF(C990="%MO",G994,IFERROR(_xlfn.XLOOKUP($B990,Equipo[DESCRIPCION],Equipo[VALOR],,0),""))</f>
        <v/>
      </c>
      <c r="F990" s="33"/>
      <c r="G990" s="34" t="str">
        <f>IFERROR(IF(F990&gt;=0,D990*E990*(1+F990/100),ABS(D990*E990/F990)),"")</f>
        <v/>
      </c>
      <c r="H990" s="43" t="str">
        <f>IFERROR(G990*E979,"")</f>
        <v/>
      </c>
      <c r="I990" s="3"/>
    </row>
    <row r="991" spans="1:11" ht="12.75" customHeight="1">
      <c r="A991" s="21"/>
      <c r="B991" s="22" t="s">
        <v>2533</v>
      </c>
      <c r="C991" s="23"/>
      <c r="D991" s="24"/>
      <c r="E991" s="25"/>
      <c r="F991" s="26"/>
      <c r="G991" s="27">
        <f>SUM(G992:G993)</f>
        <v>0</v>
      </c>
      <c r="H991" s="27">
        <f>IFERROR(G991*E979,"")</f>
        <v>0</v>
      </c>
      <c r="I991" s="3"/>
    </row>
    <row r="992" spans="1:11" ht="12.75" customHeight="1">
      <c r="A992" s="28"/>
      <c r="B992" s="29"/>
      <c r="C992" s="30" t="str">
        <f>IFERROR(_xlfn.XLOOKUP(B992,Transporte[DESCRIPCION],Transporte[UND],,0),"")</f>
        <v/>
      </c>
      <c r="D992" s="31"/>
      <c r="E992" s="32" t="str">
        <f>IFERROR(_xlfn.XLOOKUP($B992,Transporte[DESCRIPCION],Transporte[VALOR],,0),"")</f>
        <v/>
      </c>
      <c r="F992" s="33"/>
      <c r="G992" s="34" t="str">
        <f>IFERROR(IF(F992&gt;=0,D992*E992*(1+F992/100),ABS(D992*E992/F992)),"")</f>
        <v/>
      </c>
      <c r="H992" s="43" t="str">
        <f>IFERROR(G992*E979,"")</f>
        <v/>
      </c>
      <c r="I992" s="3"/>
    </row>
    <row r="993" spans="1:11" ht="12.75" customHeight="1">
      <c r="A993" s="28"/>
      <c r="B993" s="29"/>
      <c r="C993" s="30" t="str">
        <f>IFERROR(_xlfn.XLOOKUP(B993,Transporte[DESCRIPCION],Transporte[UND],,0),"")</f>
        <v/>
      </c>
      <c r="D993" s="31"/>
      <c r="E993" s="32" t="str">
        <f>IFERROR(_xlfn.XLOOKUP($B993,Transporte[DESCRIPCION],Transporte[VALOR],,0),"")</f>
        <v/>
      </c>
      <c r="F993" s="33"/>
      <c r="G993" s="34" t="str">
        <f>IFERROR(IF(F993&gt;=0,D993*E993*(1+F993/100),ABS(D993*E993/F993)),"")</f>
        <v/>
      </c>
      <c r="H993" s="43" t="str">
        <f>IFERROR(G993*E979,"")</f>
        <v/>
      </c>
      <c r="I993" s="3"/>
    </row>
    <row r="994" spans="1:11" ht="12.75" customHeight="1">
      <c r="A994" s="21"/>
      <c r="B994" s="22" t="s">
        <v>3732</v>
      </c>
      <c r="C994" s="23"/>
      <c r="D994" s="24"/>
      <c r="E994" s="25"/>
      <c r="F994" s="26"/>
      <c r="G994" s="27">
        <f>SUM(G995:G997)</f>
        <v>13972.922262000002</v>
      </c>
      <c r="H994" s="27">
        <f>IFERROR(G994*E979,"")</f>
        <v>0</v>
      </c>
      <c r="I994" s="3"/>
    </row>
    <row r="995" spans="1:11" ht="12.75" customHeight="1">
      <c r="A995" s="28"/>
      <c r="B995" s="29" t="s">
        <v>3724</v>
      </c>
      <c r="C995" s="30" t="str">
        <f>IFERROR(_xlfn.XLOOKUP(B995,MObra[DESCRIPCION],MObra[UN],,0),"")</f>
        <v>día</v>
      </c>
      <c r="D995" s="31">
        <v>1</v>
      </c>
      <c r="E995" s="32">
        <f>IFERROR(_xlfn.XLOOKUP($B995,MObra[DESCRIPCION],MObra[VALOR UNIT],,0),"")</f>
        <v>419187.66786000005</v>
      </c>
      <c r="F995" s="33">
        <v>-30</v>
      </c>
      <c r="G995" s="34">
        <f>IFERROR(IF(F995&gt;=0,D995*E995*(1+F995/100),ABS(D995*E995/F995)),"")</f>
        <v>13972.922262000002</v>
      </c>
      <c r="H995" s="43">
        <f>IFERROR(G995*E979,"")</f>
        <v>0</v>
      </c>
      <c r="I995" s="3"/>
    </row>
    <row r="996" spans="1:11" ht="12.75" customHeight="1">
      <c r="A996" s="28"/>
      <c r="B996" s="29"/>
      <c r="C996" s="30" t="str">
        <f>IFERROR(_xlfn.XLOOKUP(B996,MObra[DESCRIPCION],MObra[UN],,0),"")</f>
        <v/>
      </c>
      <c r="D996" s="31"/>
      <c r="E996" s="32" t="str">
        <f>IFERROR(_xlfn.XLOOKUP($B996,MObra[DESCRIPCION],MObra[VALOR UNIT],,0),"")</f>
        <v/>
      </c>
      <c r="F996" s="33"/>
      <c r="G996" s="34" t="str">
        <f>IFERROR(IF(F996&gt;=0,D996*E996*(1+F996/100),ABS(D996*E996/F996)),"")</f>
        <v/>
      </c>
      <c r="H996" s="43" t="str">
        <f>IFERROR(G996*E979,"")</f>
        <v/>
      </c>
      <c r="I996" s="3"/>
    </row>
    <row r="997" spans="1:11" ht="12.75" customHeight="1" thickBot="1">
      <c r="A997" s="35"/>
      <c r="B997" s="36"/>
      <c r="C997" s="37" t="str">
        <f>IFERROR(_xlfn.XLOOKUP(B997,MObra[DESCRIPCION],MObra[UN],,0),"")</f>
        <v/>
      </c>
      <c r="D997" s="38"/>
      <c r="E997" s="39" t="str">
        <f>IFERROR(_xlfn.XLOOKUP($B997,MObra[DESCRIPCION],MObra[VALOR UNIT],,0),"")</f>
        <v/>
      </c>
      <c r="F997" s="40"/>
      <c r="G997" s="41" t="str">
        <f>IFERROR(IF(F997&gt;=0,D997*E997*(1+F997/100),ABS(D997*E997/F997)),"")</f>
        <v/>
      </c>
      <c r="H997" s="42" t="str">
        <f>IFERROR(G997*E979,"")</f>
        <v/>
      </c>
      <c r="I997" s="3"/>
    </row>
    <row r="998" spans="1:11" ht="12.75" customHeight="1" thickTop="1" thickBot="1">
      <c r="I998" s="3"/>
    </row>
    <row r="999" spans="1:11" ht="12.75" customHeight="1" thickTop="1" thickBot="1">
      <c r="A999" s="6" t="s">
        <v>1653</v>
      </c>
      <c r="B999" s="7" t="str">
        <f>VLOOKUP($A999,Presupuesto!$A:$D,2,FALSE())</f>
        <v>Reja metálica seguridad varilla 1/2"cuadrada</v>
      </c>
      <c r="C999" s="8" t="str">
        <f>VLOOKUP($A999,Presupuesto!$A:$D,3,FALSE())</f>
        <v>M2</v>
      </c>
      <c r="D999" s="9"/>
      <c r="E999" s="10">
        <f>VLOOKUP($A999,Presupuesto!$A:$D,4,FALSE())</f>
        <v>0</v>
      </c>
      <c r="F999" s="11" t="s">
        <v>2589</v>
      </c>
      <c r="G999" s="12">
        <f>SUM(G1001:G1017)/2</f>
        <v>187609.31025060004</v>
      </c>
      <c r="H999" s="13">
        <f>ROUND(SUM(H1001:H1017),0)/2</f>
        <v>0</v>
      </c>
      <c r="I999" s="10">
        <f>VLOOKUP(A999,Presupuesto!$A:$F,6,0)</f>
        <v>0</v>
      </c>
      <c r="J999" s="10">
        <f>+H999-I999</f>
        <v>0</v>
      </c>
      <c r="K999" s="46">
        <f>+H999-G999*E999</f>
        <v>0</v>
      </c>
    </row>
    <row r="1000" spans="1:11" ht="12.75" customHeight="1" thickTop="1">
      <c r="A1000" s="14"/>
      <c r="B1000" s="15" t="s">
        <v>2586</v>
      </c>
      <c r="C1000" s="15" t="s">
        <v>5</v>
      </c>
      <c r="D1000" s="16" t="s">
        <v>6</v>
      </c>
      <c r="E1000" s="17" t="s">
        <v>7</v>
      </c>
      <c r="F1000" s="18" t="s">
        <v>3728</v>
      </c>
      <c r="G1000" s="19" t="s">
        <v>3729</v>
      </c>
      <c r="H1000" s="20" t="s">
        <v>3797</v>
      </c>
      <c r="I1000" s="3"/>
    </row>
    <row r="1001" spans="1:11" ht="12.75" customHeight="1">
      <c r="A1001" s="21"/>
      <c r="B1001" s="22" t="s">
        <v>3730</v>
      </c>
      <c r="C1001" s="23"/>
      <c r="D1001" s="24"/>
      <c r="E1001" s="25"/>
      <c r="F1001" s="26"/>
      <c r="G1001" s="27">
        <f>SUM(G1002:G1006)</f>
        <v>89953.290000000008</v>
      </c>
      <c r="H1001" s="27">
        <f>IFERROR(G1001*E999,"")</f>
        <v>0</v>
      </c>
      <c r="I1001" s="3"/>
    </row>
    <row r="1002" spans="1:11" ht="12.75" customHeight="1">
      <c r="A1002" s="28"/>
      <c r="B1002" s="29" t="s">
        <v>3541</v>
      </c>
      <c r="C1002" s="30" t="str">
        <f>IFERROR(_xlfn.XLOOKUP(B1002,Insumo[DESCRIPCION],Insumo[UND],,0),"")</f>
        <v>M</v>
      </c>
      <c r="D1002" s="31">
        <v>12</v>
      </c>
      <c r="E1002" s="32">
        <f>IFERROR(_xlfn.XLOOKUP($B1002,Insumo[DESCRIPCION],Insumo[VALOR],,0),"")</f>
        <v>6065.85</v>
      </c>
      <c r="F1002" s="33"/>
      <c r="G1002" s="34">
        <f>IFERROR(IF(F1002&gt;=0,D1002*E1002*(1+F1002/100),ABS(D1002*E1002/F1002)),"")</f>
        <v>72790.200000000012</v>
      </c>
      <c r="H1002" s="43">
        <f>IFERROR(G1002*E999,"")</f>
        <v>0</v>
      </c>
      <c r="I1002" s="3"/>
    </row>
    <row r="1003" spans="1:11" ht="12.75" customHeight="1">
      <c r="A1003" s="28"/>
      <c r="B1003" s="29" t="s">
        <v>3326</v>
      </c>
      <c r="C1003" s="30" t="str">
        <f>IFERROR(_xlfn.XLOOKUP(B1003,Insumo[DESCRIPCION],Insumo[UND],,0),"")</f>
        <v>Kg</v>
      </c>
      <c r="D1003" s="31">
        <v>0.1</v>
      </c>
      <c r="E1003" s="32">
        <f>IFERROR(_xlfn.XLOOKUP($B1003,Insumo[DESCRIPCION],Insumo[VALOR],,0),"")</f>
        <v>5978.7</v>
      </c>
      <c r="F1003" s="33"/>
      <c r="G1003" s="34">
        <f>IFERROR(IF(F1003&gt;=0,D1003*E1003*(1+F1003/100),ABS(D1003*E1003/F1003)),"")</f>
        <v>597.87</v>
      </c>
      <c r="H1003" s="43">
        <f>IFERROR(G1003*E999,"")</f>
        <v>0</v>
      </c>
      <c r="I1003" s="3"/>
    </row>
    <row r="1004" spans="1:11" ht="12.75" customHeight="1">
      <c r="A1004" s="28"/>
      <c r="B1004" s="29" t="s">
        <v>2925</v>
      </c>
      <c r="C1004" s="30" t="str">
        <f>IFERROR(_xlfn.XLOOKUP(B1004,Insumo[DESCRIPCION],Insumo[UND],,0),"")</f>
        <v>Lt</v>
      </c>
      <c r="D1004" s="31">
        <v>0.2</v>
      </c>
      <c r="E1004" s="32">
        <f>IFERROR(_xlfn.XLOOKUP($B1004,Insumo[DESCRIPCION],Insumo[VALOR],,0),"")</f>
        <v>28923.300000000003</v>
      </c>
      <c r="F1004" s="33"/>
      <c r="G1004" s="34">
        <f>IFERROR(IF(F1004&gt;=0,D1004*E1004*(1+F1004/100),ABS(D1004*E1004/F1004)),"")</f>
        <v>5784.6600000000008</v>
      </c>
      <c r="H1004" s="43">
        <f>IFERROR(G1004*E999,"")</f>
        <v>0</v>
      </c>
      <c r="I1004" s="3"/>
    </row>
    <row r="1005" spans="1:11" ht="12.75" customHeight="1">
      <c r="A1005" s="28"/>
      <c r="B1005" s="29" t="s">
        <v>3204</v>
      </c>
      <c r="C1005" s="30" t="str">
        <f>IFERROR(_xlfn.XLOOKUP(B1005,Insumo[DESCRIPCION],Insumo[UND],,0),"")</f>
        <v>galón</v>
      </c>
      <c r="D1005" s="31">
        <v>0.1</v>
      </c>
      <c r="E1005" s="32">
        <f>IFERROR(_xlfn.XLOOKUP($B1005,Insumo[DESCRIPCION],Insumo[VALOR],,0),"")</f>
        <v>107805.6</v>
      </c>
      <c r="F1005" s="33"/>
      <c r="G1005" s="34">
        <f>IFERROR(IF(F1005&gt;=0,D1005*E1005*(1+F1005/100),ABS(D1005*E1005/F1005)),"")</f>
        <v>10780.560000000001</v>
      </c>
      <c r="H1005" s="43">
        <f>IFERROR(G1005*E999,"")</f>
        <v>0</v>
      </c>
      <c r="I1005" s="3"/>
    </row>
    <row r="1006" spans="1:11" ht="12.75" customHeight="1">
      <c r="A1006" s="28"/>
      <c r="B1006" s="29"/>
      <c r="C1006" s="30" t="str">
        <f>IFERROR(_xlfn.XLOOKUP(B1006,Insumo[DESCRIPCION],Insumo[UND],,0),"")</f>
        <v/>
      </c>
      <c r="D1006" s="31"/>
      <c r="E1006" s="32" t="str">
        <f>IFERROR(_xlfn.XLOOKUP($B1006,Insumo[DESCRIPCION],Insumo[VALOR],,0),"")</f>
        <v/>
      </c>
      <c r="F1006" s="33"/>
      <c r="G1006" s="34" t="str">
        <f>IFERROR(IF(F1006&gt;=0,D1006*E1006*(1+F1006/100),ABS(D1006*E1006/F1006)),"")</f>
        <v/>
      </c>
      <c r="H1006" s="43" t="str">
        <f>IFERROR(G1006*E999,"")</f>
        <v/>
      </c>
      <c r="I1006" s="3"/>
    </row>
    <row r="1007" spans="1:11" ht="12.75" customHeight="1">
      <c r="A1007" s="21"/>
      <c r="B1007" s="22" t="s">
        <v>3731</v>
      </c>
      <c r="C1007" s="23"/>
      <c r="D1007" s="24"/>
      <c r="E1007" s="25"/>
      <c r="F1007" s="26"/>
      <c r="G1007" s="27">
        <f>SUM(G1008:G1010)</f>
        <v>13818.486678600002</v>
      </c>
      <c r="H1007" s="27">
        <f>IFERROR(G1007*E999,"")</f>
        <v>0</v>
      </c>
      <c r="I1007" s="3"/>
    </row>
    <row r="1008" spans="1:11" ht="12.75" customHeight="1">
      <c r="A1008" s="28"/>
      <c r="B1008" s="29" t="s">
        <v>3613</v>
      </c>
      <c r="C1008" s="30" t="str">
        <f>IFERROR(_xlfn.XLOOKUP(B1008,Equipo[DESCRIPCION],Equipo[UND],,0),"")</f>
        <v>Día</v>
      </c>
      <c r="D1008" s="31">
        <v>1</v>
      </c>
      <c r="E1008" s="32">
        <f>IF(C1008="%MO",G1014,IFERROR(_xlfn.XLOOKUP($B1008,Equipo[DESCRIPCION],Equipo[VALOR],,0),""))</f>
        <v>48133.05</v>
      </c>
      <c r="F1008" s="33">
        <v>-5</v>
      </c>
      <c r="G1008" s="34">
        <f>IFERROR(IF(F1008&gt;=0,D1008*E1008*(1+F1008/100),ABS(D1008*E1008/F1008)),"")</f>
        <v>9626.61</v>
      </c>
      <c r="H1008" s="43">
        <f>IFERROR(G1008*E999,"")</f>
        <v>0</v>
      </c>
      <c r="I1008" s="3"/>
    </row>
    <row r="1009" spans="1:11" ht="12.75" customHeight="1">
      <c r="A1009" s="28"/>
      <c r="B1009" s="29" t="s">
        <v>3626</v>
      </c>
      <c r="C1009" s="30" t="str">
        <f>IFERROR(_xlfn.XLOOKUP(B1009,Equipo[DESCRIPCION],Equipo[UND],,0),"")</f>
        <v>%MO</v>
      </c>
      <c r="D1009" s="31">
        <v>0.05</v>
      </c>
      <c r="E1009" s="32">
        <f>IF(C1009="%MO",G1014,IFERROR(_xlfn.XLOOKUP($B1009,Equipo[DESCRIPCION],Equipo[VALOR],,0),""))</f>
        <v>83837.533572000015</v>
      </c>
      <c r="F1009" s="33"/>
      <c r="G1009" s="34">
        <f>IFERROR(IF(F1009&gt;=0,D1009*E1009*(1+F1009/100),ABS(D1009*E1009/F1009)),"")</f>
        <v>4191.8766786000006</v>
      </c>
      <c r="H1009" s="43">
        <f>IFERROR(G1009*E999,"")</f>
        <v>0</v>
      </c>
      <c r="I1009" s="3"/>
    </row>
    <row r="1010" spans="1:11" ht="12.75" customHeight="1">
      <c r="A1010" s="28"/>
      <c r="B1010" s="29"/>
      <c r="C1010" s="30" t="str">
        <f>IFERROR(_xlfn.XLOOKUP(B1010,Equipo[DESCRIPCION],Equipo[UND],,0),"")</f>
        <v/>
      </c>
      <c r="D1010" s="31"/>
      <c r="E1010" s="32" t="str">
        <f>IF(C1010="%MO",G1014,IFERROR(_xlfn.XLOOKUP($B1010,Equipo[DESCRIPCION],Equipo[VALOR],,0),""))</f>
        <v/>
      </c>
      <c r="F1010" s="33"/>
      <c r="G1010" s="34" t="str">
        <f>IFERROR(IF(F1010&gt;=0,D1010*E1010*(1+F1010/100),ABS(D1010*E1010/F1010)),"")</f>
        <v/>
      </c>
      <c r="H1010" s="43" t="str">
        <f>IFERROR(G1010*E999,"")</f>
        <v/>
      </c>
      <c r="I1010" s="3"/>
    </row>
    <row r="1011" spans="1:11" ht="12.75" customHeight="1">
      <c r="A1011" s="21"/>
      <c r="B1011" s="22" t="s">
        <v>2533</v>
      </c>
      <c r="C1011" s="23"/>
      <c r="D1011" s="24"/>
      <c r="E1011" s="25"/>
      <c r="F1011" s="26"/>
      <c r="G1011" s="27">
        <f>SUM(G1012:G1013)</f>
        <v>0</v>
      </c>
      <c r="H1011" s="27">
        <f>IFERROR(G1011*E999,"")</f>
        <v>0</v>
      </c>
      <c r="I1011" s="3"/>
    </row>
    <row r="1012" spans="1:11" ht="12.75" customHeight="1">
      <c r="A1012" s="28"/>
      <c r="B1012" s="29"/>
      <c r="C1012" s="30" t="str">
        <f>IFERROR(_xlfn.XLOOKUP(B1012,Transporte[DESCRIPCION],Transporte[UND],,0),"")</f>
        <v/>
      </c>
      <c r="D1012" s="31"/>
      <c r="E1012" s="32" t="str">
        <f>IFERROR(_xlfn.XLOOKUP($B1012,Transporte[DESCRIPCION],Transporte[VALOR],,0),"")</f>
        <v/>
      </c>
      <c r="F1012" s="33"/>
      <c r="G1012" s="34" t="str">
        <f>IFERROR(IF(F1012&gt;=0,D1012*E1012*(1+F1012/100),ABS(D1012*E1012/F1012)),"")</f>
        <v/>
      </c>
      <c r="H1012" s="43" t="str">
        <f>IFERROR(G1012*E999,"")</f>
        <v/>
      </c>
      <c r="I1012" s="3"/>
    </row>
    <row r="1013" spans="1:11" ht="12.75" customHeight="1">
      <c r="A1013" s="28"/>
      <c r="B1013" s="29"/>
      <c r="C1013" s="30" t="str">
        <f>IFERROR(_xlfn.XLOOKUP(B1013,Transporte[DESCRIPCION],Transporte[UND],,0),"")</f>
        <v/>
      </c>
      <c r="D1013" s="31"/>
      <c r="E1013" s="32" t="str">
        <f>IFERROR(_xlfn.XLOOKUP($B1013,Transporte[DESCRIPCION],Transporte[VALOR],,0),"")</f>
        <v/>
      </c>
      <c r="F1013" s="33"/>
      <c r="G1013" s="34" t="str">
        <f>IFERROR(IF(F1013&gt;=0,D1013*E1013*(1+F1013/100),ABS(D1013*E1013/F1013)),"")</f>
        <v/>
      </c>
      <c r="H1013" s="43" t="str">
        <f>IFERROR(G1013*E999,"")</f>
        <v/>
      </c>
      <c r="I1013" s="3"/>
    </row>
    <row r="1014" spans="1:11" ht="12.75" customHeight="1">
      <c r="A1014" s="21"/>
      <c r="B1014" s="22" t="s">
        <v>3732</v>
      </c>
      <c r="C1014" s="23"/>
      <c r="D1014" s="24"/>
      <c r="E1014" s="25"/>
      <c r="F1014" s="26"/>
      <c r="G1014" s="27">
        <f>SUM(G1015:G1017)</f>
        <v>83837.533572000015</v>
      </c>
      <c r="H1014" s="27">
        <f>IFERROR(G1014*E999,"")</f>
        <v>0</v>
      </c>
      <c r="I1014" s="3"/>
    </row>
    <row r="1015" spans="1:11" ht="12.75" customHeight="1">
      <c r="A1015" s="28"/>
      <c r="B1015" s="29" t="s">
        <v>3724</v>
      </c>
      <c r="C1015" s="30" t="str">
        <f>IFERROR(_xlfn.XLOOKUP(B1015,MObra[DESCRIPCION],MObra[UN],,0),"")</f>
        <v>día</v>
      </c>
      <c r="D1015" s="31">
        <v>1</v>
      </c>
      <c r="E1015" s="32">
        <f>IFERROR(_xlfn.XLOOKUP($B1015,MObra[DESCRIPCION],MObra[VALOR UNIT],,0),"")</f>
        <v>419187.66786000005</v>
      </c>
      <c r="F1015" s="33">
        <v>-5</v>
      </c>
      <c r="G1015" s="34">
        <f>IFERROR(IF(F1015&gt;=0,D1015*E1015*(1+F1015/100),ABS(D1015*E1015/F1015)),"")</f>
        <v>83837.533572000015</v>
      </c>
      <c r="H1015" s="43">
        <f>IFERROR(G1015*E999,"")</f>
        <v>0</v>
      </c>
      <c r="I1015" s="3"/>
    </row>
    <row r="1016" spans="1:11" ht="12.75" customHeight="1">
      <c r="A1016" s="28"/>
      <c r="B1016" s="29"/>
      <c r="C1016" s="30" t="str">
        <f>IFERROR(_xlfn.XLOOKUP(B1016,MObra[DESCRIPCION],MObra[UN],,0),"")</f>
        <v/>
      </c>
      <c r="D1016" s="31"/>
      <c r="E1016" s="32" t="str">
        <f>IFERROR(_xlfn.XLOOKUP($B1016,MObra[DESCRIPCION],MObra[VALOR UNIT],,0),"")</f>
        <v/>
      </c>
      <c r="F1016" s="33"/>
      <c r="G1016" s="34" t="str">
        <f>IFERROR(IF(F1016&gt;=0,D1016*E1016*(1+F1016/100),ABS(D1016*E1016/F1016)),"")</f>
        <v/>
      </c>
      <c r="H1016" s="43" t="str">
        <f>IFERROR(G1016*E999,"")</f>
        <v/>
      </c>
      <c r="I1016" s="3"/>
    </row>
    <row r="1017" spans="1:11" ht="12.75" customHeight="1" thickBot="1">
      <c r="A1017" s="35"/>
      <c r="B1017" s="36"/>
      <c r="C1017" s="37" t="str">
        <f>IFERROR(_xlfn.XLOOKUP(B1017,MObra[DESCRIPCION],MObra[UN],,0),"")</f>
        <v/>
      </c>
      <c r="D1017" s="38"/>
      <c r="E1017" s="39" t="str">
        <f>IFERROR(_xlfn.XLOOKUP($B1017,MObra[DESCRIPCION],MObra[VALOR UNIT],,0),"")</f>
        <v/>
      </c>
      <c r="F1017" s="40"/>
      <c r="G1017" s="41" t="str">
        <f>IFERROR(IF(F1017&gt;=0,D1017*E1017*(1+F1017/100),ABS(D1017*E1017/F1017)),"")</f>
        <v/>
      </c>
      <c r="H1017" s="42" t="str">
        <f>IFERROR(G1017*E999,"")</f>
        <v/>
      </c>
      <c r="I1017" s="3"/>
    </row>
    <row r="1018" spans="1:11" ht="12.75" customHeight="1" thickTop="1" thickBot="1">
      <c r="I1018" s="3"/>
    </row>
    <row r="1019" spans="1:11" ht="12.75" customHeight="1" thickTop="1" thickBot="1">
      <c r="A1019" s="6" t="s">
        <v>1655</v>
      </c>
      <c r="B1019" s="7" t="str">
        <f>VLOOKUP($A1019,Presupuesto!$A:$D,2,FALSE())</f>
        <v>Reja metálica seguridad varilla 5/8"cuadrada</v>
      </c>
      <c r="C1019" s="8" t="str">
        <f>VLOOKUP($A1019,Presupuesto!$A:$D,3,FALSE())</f>
        <v>M2</v>
      </c>
      <c r="D1019" s="9"/>
      <c r="E1019" s="10">
        <f>VLOOKUP($A1019,Presupuesto!$A:$D,4,FALSE())</f>
        <v>0</v>
      </c>
      <c r="F1019" s="11" t="s">
        <v>2589</v>
      </c>
      <c r="G1019" s="12">
        <f>SUM(G1021:G1037)/2</f>
        <v>238415.95583399999</v>
      </c>
      <c r="H1019" s="13">
        <f>ROUND(SUM(H1021:H1037),0)/2</f>
        <v>0</v>
      </c>
      <c r="I1019" s="10">
        <f>VLOOKUP(A1019,Presupuesto!$A:$F,6,0)</f>
        <v>0</v>
      </c>
      <c r="J1019" s="10">
        <f>+H1019-I1019</f>
        <v>0</v>
      </c>
      <c r="K1019" s="46">
        <f>+H1019-G1019*E1019</f>
        <v>0</v>
      </c>
    </row>
    <row r="1020" spans="1:11" ht="12.75" customHeight="1" thickTop="1">
      <c r="A1020" s="14"/>
      <c r="B1020" s="15" t="s">
        <v>2586</v>
      </c>
      <c r="C1020" s="15" t="s">
        <v>5</v>
      </c>
      <c r="D1020" s="16" t="s">
        <v>6</v>
      </c>
      <c r="E1020" s="17" t="s">
        <v>7</v>
      </c>
      <c r="F1020" s="18" t="s">
        <v>3728</v>
      </c>
      <c r="G1020" s="19" t="s">
        <v>3729</v>
      </c>
      <c r="H1020" s="20" t="s">
        <v>3797</v>
      </c>
      <c r="I1020" s="3"/>
    </row>
    <row r="1021" spans="1:11" ht="12.75" customHeight="1">
      <c r="A1021" s="21"/>
      <c r="B1021" s="22" t="s">
        <v>3730</v>
      </c>
      <c r="C1021" s="23"/>
      <c r="D1021" s="24"/>
      <c r="E1021" s="25"/>
      <c r="F1021" s="26"/>
      <c r="G1021" s="27">
        <f>SUM(G1022:G1026)</f>
        <v>130978.88999999998</v>
      </c>
      <c r="H1021" s="27">
        <f>IFERROR(G1021*E1019,"")</f>
        <v>0</v>
      </c>
      <c r="I1021" s="3"/>
    </row>
    <row r="1022" spans="1:11" ht="12.75" customHeight="1">
      <c r="A1022" s="28"/>
      <c r="B1022" s="29" t="s">
        <v>3542</v>
      </c>
      <c r="C1022" s="30" t="str">
        <f>IFERROR(_xlfn.XLOOKUP(B1022,Insumo[DESCRIPCION],Insumo[UND],,0),"")</f>
        <v>M</v>
      </c>
      <c r="D1022" s="31">
        <v>12</v>
      </c>
      <c r="E1022" s="32">
        <f>IFERROR(_xlfn.XLOOKUP($B1022,Insumo[DESCRIPCION],Insumo[VALOR],,0),"")</f>
        <v>9484.65</v>
      </c>
      <c r="F1022" s="33"/>
      <c r="G1022" s="34">
        <f>IFERROR(IF(F1022&gt;=0,D1022*E1022*(1+F1022/100),ABS(D1022*E1022/F1022)),"")</f>
        <v>113815.79999999999</v>
      </c>
      <c r="H1022" s="43">
        <f>IFERROR(G1022*E1019,"")</f>
        <v>0</v>
      </c>
      <c r="I1022" s="3"/>
    </row>
    <row r="1023" spans="1:11" ht="12.75" customHeight="1">
      <c r="A1023" s="28"/>
      <c r="B1023" s="29" t="s">
        <v>3326</v>
      </c>
      <c r="C1023" s="30" t="str">
        <f>IFERROR(_xlfn.XLOOKUP(B1023,Insumo[DESCRIPCION],Insumo[UND],,0),"")</f>
        <v>Kg</v>
      </c>
      <c r="D1023" s="31">
        <v>0.1</v>
      </c>
      <c r="E1023" s="32">
        <f>IFERROR(_xlfn.XLOOKUP($B1023,Insumo[DESCRIPCION],Insumo[VALOR],,0),"")</f>
        <v>5978.7</v>
      </c>
      <c r="F1023" s="33"/>
      <c r="G1023" s="34">
        <f>IFERROR(IF(F1023&gt;=0,D1023*E1023*(1+F1023/100),ABS(D1023*E1023/F1023)),"")</f>
        <v>597.87</v>
      </c>
      <c r="H1023" s="43">
        <f>IFERROR(G1023*E1019,"")</f>
        <v>0</v>
      </c>
      <c r="I1023" s="3"/>
    </row>
    <row r="1024" spans="1:11" ht="12.75" customHeight="1">
      <c r="A1024" s="28"/>
      <c r="B1024" s="29" t="s">
        <v>2925</v>
      </c>
      <c r="C1024" s="30" t="str">
        <f>IFERROR(_xlfn.XLOOKUP(B1024,Insumo[DESCRIPCION],Insumo[UND],,0),"")</f>
        <v>Lt</v>
      </c>
      <c r="D1024" s="31">
        <v>0.2</v>
      </c>
      <c r="E1024" s="32">
        <f>IFERROR(_xlfn.XLOOKUP($B1024,Insumo[DESCRIPCION],Insumo[VALOR],,0),"")</f>
        <v>28923.300000000003</v>
      </c>
      <c r="F1024" s="33"/>
      <c r="G1024" s="34">
        <f>IFERROR(IF(F1024&gt;=0,D1024*E1024*(1+F1024/100),ABS(D1024*E1024/F1024)),"")</f>
        <v>5784.6600000000008</v>
      </c>
      <c r="H1024" s="43">
        <f>IFERROR(G1024*E1019,"")</f>
        <v>0</v>
      </c>
      <c r="I1024" s="3"/>
    </row>
    <row r="1025" spans="1:11" ht="12.75" customHeight="1">
      <c r="A1025" s="28"/>
      <c r="B1025" s="29" t="s">
        <v>3204</v>
      </c>
      <c r="C1025" s="30" t="str">
        <f>IFERROR(_xlfn.XLOOKUP(B1025,Insumo[DESCRIPCION],Insumo[UND],,0),"")</f>
        <v>galón</v>
      </c>
      <c r="D1025" s="31">
        <v>0.1</v>
      </c>
      <c r="E1025" s="32">
        <f>IFERROR(_xlfn.XLOOKUP($B1025,Insumo[DESCRIPCION],Insumo[VALOR],,0),"")</f>
        <v>107805.6</v>
      </c>
      <c r="F1025" s="33"/>
      <c r="G1025" s="34">
        <f>IFERROR(IF(F1025&gt;=0,D1025*E1025*(1+F1025/100),ABS(D1025*E1025/F1025)),"")</f>
        <v>10780.560000000001</v>
      </c>
      <c r="H1025" s="43">
        <f>IFERROR(G1025*E1019,"")</f>
        <v>0</v>
      </c>
      <c r="I1025" s="3"/>
    </row>
    <row r="1026" spans="1:11" ht="12.75" customHeight="1">
      <c r="A1026" s="28"/>
      <c r="B1026" s="29"/>
      <c r="C1026" s="30" t="str">
        <f>IFERROR(_xlfn.XLOOKUP(B1026,Insumo[DESCRIPCION],Insumo[UND],,0),"")</f>
        <v/>
      </c>
      <c r="D1026" s="31"/>
      <c r="E1026" s="32" t="str">
        <f>IFERROR(_xlfn.XLOOKUP($B1026,Insumo[DESCRIPCION],Insumo[VALOR],,0),"")</f>
        <v/>
      </c>
      <c r="F1026" s="33"/>
      <c r="G1026" s="34" t="str">
        <f>IFERROR(IF(F1026&gt;=0,D1026*E1026*(1+F1026/100),ABS(D1026*E1026/F1026)),"")</f>
        <v/>
      </c>
      <c r="H1026" s="43" t="str">
        <f>IFERROR(G1026*E1019,"")</f>
        <v/>
      </c>
      <c r="I1026" s="3"/>
    </row>
    <row r="1027" spans="1:11" ht="12.75" customHeight="1">
      <c r="A1027" s="21"/>
      <c r="B1027" s="22" t="s">
        <v>3731</v>
      </c>
      <c r="C1027" s="23"/>
      <c r="D1027" s="24"/>
      <c r="E1027" s="25"/>
      <c r="F1027" s="26"/>
      <c r="G1027" s="27">
        <f>SUM(G1028:G1030)</f>
        <v>14284.250754000001</v>
      </c>
      <c r="H1027" s="27">
        <f>IFERROR(G1027*E1019,"")</f>
        <v>0</v>
      </c>
      <c r="I1027" s="3"/>
    </row>
    <row r="1028" spans="1:11" ht="12.75" customHeight="1">
      <c r="A1028" s="28"/>
      <c r="B1028" s="29" t="s">
        <v>3613</v>
      </c>
      <c r="C1028" s="30" t="str">
        <f>IFERROR(_xlfn.XLOOKUP(B1028,Equipo[DESCRIPCION],Equipo[UND],,0),"")</f>
        <v>Día</v>
      </c>
      <c r="D1028" s="31">
        <v>1</v>
      </c>
      <c r="E1028" s="32">
        <f>IF(C1028="%MO",G1034,IFERROR(_xlfn.XLOOKUP($B1028,Equipo[DESCRIPCION],Equipo[VALOR],,0),""))</f>
        <v>48133.05</v>
      </c>
      <c r="F1028" s="33">
        <v>-5</v>
      </c>
      <c r="G1028" s="34">
        <f>IFERROR(IF(F1028&gt;=0,D1028*E1028*(1+F1028/100),ABS(D1028*E1028/F1028)),"")</f>
        <v>9626.61</v>
      </c>
      <c r="H1028" s="43">
        <f>IFERROR(G1028*E1019,"")</f>
        <v>0</v>
      </c>
      <c r="I1028" s="3"/>
    </row>
    <row r="1029" spans="1:11" ht="12.75" customHeight="1">
      <c r="A1029" s="28"/>
      <c r="B1029" s="29" t="s">
        <v>3626</v>
      </c>
      <c r="C1029" s="30" t="str">
        <f>IFERROR(_xlfn.XLOOKUP(B1029,Equipo[DESCRIPCION],Equipo[UND],,0),"")</f>
        <v>%MO</v>
      </c>
      <c r="D1029" s="31">
        <v>0.05</v>
      </c>
      <c r="E1029" s="32">
        <f>IF(C1029="%MO",G1034,IFERROR(_xlfn.XLOOKUP($B1029,Equipo[DESCRIPCION],Equipo[VALOR],,0),""))</f>
        <v>93152.815080000015</v>
      </c>
      <c r="F1029" s="33"/>
      <c r="G1029" s="34">
        <f>IFERROR(IF(F1029&gt;=0,D1029*E1029*(1+F1029/100),ABS(D1029*E1029/F1029)),"")</f>
        <v>4657.6407540000009</v>
      </c>
      <c r="H1029" s="43">
        <f>IFERROR(G1029*E1019,"")</f>
        <v>0</v>
      </c>
      <c r="I1029" s="3"/>
    </row>
    <row r="1030" spans="1:11" ht="12.75" customHeight="1">
      <c r="A1030" s="28"/>
      <c r="B1030" s="29"/>
      <c r="C1030" s="30" t="str">
        <f>IFERROR(_xlfn.XLOOKUP(B1030,Equipo[DESCRIPCION],Equipo[UND],,0),"")</f>
        <v/>
      </c>
      <c r="D1030" s="31"/>
      <c r="E1030" s="32" t="str">
        <f>IF(C1030="%MO",G1034,IFERROR(_xlfn.XLOOKUP($B1030,Equipo[DESCRIPCION],Equipo[VALOR],,0),""))</f>
        <v/>
      </c>
      <c r="F1030" s="33"/>
      <c r="G1030" s="34" t="str">
        <f>IFERROR(IF(F1030&gt;=0,D1030*E1030*(1+F1030/100),ABS(D1030*E1030/F1030)),"")</f>
        <v/>
      </c>
      <c r="H1030" s="43" t="str">
        <f>IFERROR(G1030*E1019,"")</f>
        <v/>
      </c>
      <c r="I1030" s="3"/>
    </row>
    <row r="1031" spans="1:11" ht="12.75" customHeight="1">
      <c r="A1031" s="21"/>
      <c r="B1031" s="22" t="s">
        <v>2533</v>
      </c>
      <c r="C1031" s="23"/>
      <c r="D1031" s="24"/>
      <c r="E1031" s="25"/>
      <c r="F1031" s="26"/>
      <c r="G1031" s="27">
        <f>SUM(G1032:G1033)</f>
        <v>0</v>
      </c>
      <c r="H1031" s="27">
        <f>IFERROR(G1031*E1019,"")</f>
        <v>0</v>
      </c>
      <c r="I1031" s="3"/>
    </row>
    <row r="1032" spans="1:11" ht="12.75" customHeight="1">
      <c r="A1032" s="28"/>
      <c r="B1032" s="29"/>
      <c r="C1032" s="30" t="str">
        <f>IFERROR(_xlfn.XLOOKUP(B1032,Transporte[DESCRIPCION],Transporte[UND],,0),"")</f>
        <v/>
      </c>
      <c r="D1032" s="31"/>
      <c r="E1032" s="32" t="str">
        <f>IFERROR(_xlfn.XLOOKUP($B1032,Transporte[DESCRIPCION],Transporte[VALOR],,0),"")</f>
        <v/>
      </c>
      <c r="F1032" s="33"/>
      <c r="G1032" s="34" t="str">
        <f>IFERROR(IF(F1032&gt;=0,D1032*E1032*(1+F1032/100),ABS(D1032*E1032/F1032)),"")</f>
        <v/>
      </c>
      <c r="H1032" s="43" t="str">
        <f>IFERROR(G1032*E1019,"")</f>
        <v/>
      </c>
      <c r="I1032" s="3"/>
    </row>
    <row r="1033" spans="1:11" ht="12.75" customHeight="1">
      <c r="A1033" s="28"/>
      <c r="B1033" s="29"/>
      <c r="C1033" s="30" t="str">
        <f>IFERROR(_xlfn.XLOOKUP(B1033,Transporte[DESCRIPCION],Transporte[UND],,0),"")</f>
        <v/>
      </c>
      <c r="D1033" s="31"/>
      <c r="E1033" s="32" t="str">
        <f>IFERROR(_xlfn.XLOOKUP($B1033,Transporte[DESCRIPCION],Transporte[VALOR],,0),"")</f>
        <v/>
      </c>
      <c r="F1033" s="33"/>
      <c r="G1033" s="34" t="str">
        <f>IFERROR(IF(F1033&gt;=0,D1033*E1033*(1+F1033/100),ABS(D1033*E1033/F1033)),"")</f>
        <v/>
      </c>
      <c r="H1033" s="43" t="str">
        <f>IFERROR(G1033*E1019,"")</f>
        <v/>
      </c>
      <c r="I1033" s="3"/>
    </row>
    <row r="1034" spans="1:11" ht="12.75" customHeight="1">
      <c r="A1034" s="21"/>
      <c r="B1034" s="22" t="s">
        <v>3732</v>
      </c>
      <c r="C1034" s="23"/>
      <c r="D1034" s="24"/>
      <c r="E1034" s="25"/>
      <c r="F1034" s="26"/>
      <c r="G1034" s="27">
        <f>SUM(G1035:G1037)</f>
        <v>93152.815080000015</v>
      </c>
      <c r="H1034" s="27">
        <f>IFERROR(G1034*E1019,"")</f>
        <v>0</v>
      </c>
      <c r="I1034" s="3"/>
    </row>
    <row r="1035" spans="1:11" ht="12.75" customHeight="1">
      <c r="A1035" s="28"/>
      <c r="B1035" s="29" t="s">
        <v>3724</v>
      </c>
      <c r="C1035" s="30" t="str">
        <f>IFERROR(_xlfn.XLOOKUP(B1035,MObra[DESCRIPCION],MObra[UN],,0),"")</f>
        <v>día</v>
      </c>
      <c r="D1035" s="31">
        <v>1</v>
      </c>
      <c r="E1035" s="32">
        <f>IFERROR(_xlfn.XLOOKUP($B1035,MObra[DESCRIPCION],MObra[VALOR UNIT],,0),"")</f>
        <v>419187.66786000005</v>
      </c>
      <c r="F1035" s="33">
        <v>-4.5</v>
      </c>
      <c r="G1035" s="34">
        <f>IFERROR(IF(F1035&gt;=0,D1035*E1035*(1+F1035/100),ABS(D1035*E1035/F1035)),"")</f>
        <v>93152.815080000015</v>
      </c>
      <c r="H1035" s="43">
        <f>IFERROR(G1035*E1019,"")</f>
        <v>0</v>
      </c>
      <c r="I1035" s="3"/>
    </row>
    <row r="1036" spans="1:11" ht="12.75" customHeight="1">
      <c r="A1036" s="28"/>
      <c r="B1036" s="29"/>
      <c r="C1036" s="30" t="str">
        <f>IFERROR(_xlfn.XLOOKUP(B1036,MObra[DESCRIPCION],MObra[UN],,0),"")</f>
        <v/>
      </c>
      <c r="D1036" s="31"/>
      <c r="E1036" s="32" t="str">
        <f>IFERROR(_xlfn.XLOOKUP($B1036,MObra[DESCRIPCION],MObra[VALOR UNIT],,0),"")</f>
        <v/>
      </c>
      <c r="F1036" s="33"/>
      <c r="G1036" s="34" t="str">
        <f>IFERROR(IF(F1036&gt;=0,D1036*E1036*(1+F1036/100),ABS(D1036*E1036/F1036)),"")</f>
        <v/>
      </c>
      <c r="H1036" s="43" t="str">
        <f>IFERROR(G1036*E1019,"")</f>
        <v/>
      </c>
      <c r="I1036" s="3"/>
    </row>
    <row r="1037" spans="1:11" ht="12.75" customHeight="1" thickBot="1">
      <c r="A1037" s="35"/>
      <c r="B1037" s="36"/>
      <c r="C1037" s="37" t="str">
        <f>IFERROR(_xlfn.XLOOKUP(B1037,MObra[DESCRIPCION],MObra[UN],,0),"")</f>
        <v/>
      </c>
      <c r="D1037" s="38"/>
      <c r="E1037" s="39" t="str">
        <f>IFERROR(_xlfn.XLOOKUP($B1037,MObra[DESCRIPCION],MObra[VALOR UNIT],,0),"")</f>
        <v/>
      </c>
      <c r="F1037" s="40"/>
      <c r="G1037" s="41" t="str">
        <f>IFERROR(IF(F1037&gt;=0,D1037*E1037*(1+F1037/100),ABS(D1037*E1037/F1037)),"")</f>
        <v/>
      </c>
      <c r="H1037" s="42" t="str">
        <f>IFERROR(G1037*E1019,"")</f>
        <v/>
      </c>
      <c r="I1037" s="3"/>
    </row>
    <row r="1038" spans="1:11" ht="12.75" customHeight="1" thickTop="1" thickBot="1">
      <c r="I1038" s="3"/>
    </row>
    <row r="1039" spans="1:11" ht="12.75" customHeight="1" thickTop="1" thickBot="1">
      <c r="A1039" s="6" t="s">
        <v>1657</v>
      </c>
      <c r="B1039" s="7" t="str">
        <f>VLOOKUP($A1039,Presupuesto!$A:$D,2,FALSE())</f>
        <v>Reparación + instalación de persianas</v>
      </c>
      <c r="C1039" s="8" t="str">
        <f>VLOOKUP($A1039,Presupuesto!$A:$D,3,FALSE())</f>
        <v>M</v>
      </c>
      <c r="D1039" s="9"/>
      <c r="E1039" s="10">
        <f>VLOOKUP($A1039,Presupuesto!$A:$D,4,FALSE())</f>
        <v>0</v>
      </c>
      <c r="F1039" s="11" t="s">
        <v>2589</v>
      </c>
      <c r="G1039" s="12">
        <f>SUM(G1041:G1057)/2</f>
        <v>31034.690901950005</v>
      </c>
      <c r="H1039" s="13">
        <f>ROUND(SUM(H1041:H1057),0)/2</f>
        <v>0</v>
      </c>
      <c r="I1039" s="10">
        <f>VLOOKUP(A1039,Presupuesto!$A:$F,6,0)</f>
        <v>0</v>
      </c>
      <c r="J1039" s="10">
        <f>+H1039-I1039</f>
        <v>0</v>
      </c>
      <c r="K1039" s="46">
        <f>+H1039-G1039*E1039</f>
        <v>0</v>
      </c>
    </row>
    <row r="1040" spans="1:11" ht="12.75" customHeight="1" thickTop="1">
      <c r="A1040" s="14"/>
      <c r="B1040" s="15" t="s">
        <v>2586</v>
      </c>
      <c r="C1040" s="15" t="s">
        <v>5</v>
      </c>
      <c r="D1040" s="16" t="s">
        <v>6</v>
      </c>
      <c r="E1040" s="17" t="s">
        <v>7</v>
      </c>
      <c r="F1040" s="18" t="s">
        <v>3728</v>
      </c>
      <c r="G1040" s="19" t="s">
        <v>3729</v>
      </c>
      <c r="H1040" s="20" t="s">
        <v>3797</v>
      </c>
      <c r="I1040" s="3"/>
    </row>
    <row r="1041" spans="1:9" ht="12.75" customHeight="1">
      <c r="A1041" s="21"/>
      <c r="B1041" s="22" t="s">
        <v>3730</v>
      </c>
      <c r="C1041" s="23"/>
      <c r="D1041" s="24"/>
      <c r="E1041" s="25"/>
      <c r="F1041" s="26"/>
      <c r="G1041" s="27">
        <f>SUM(G1042:G1046)</f>
        <v>155.4</v>
      </c>
      <c r="H1041" s="27">
        <f>IFERROR(G1041*E1039,"")</f>
        <v>0</v>
      </c>
      <c r="I1041" s="3"/>
    </row>
    <row r="1042" spans="1:9" ht="12.75" customHeight="1">
      <c r="A1042" s="28"/>
      <c r="B1042" s="29" t="s">
        <v>3407</v>
      </c>
      <c r="C1042" s="30" t="str">
        <f>IFERROR(_xlfn.XLOOKUP(B1042,Insumo[DESCRIPCION],Insumo[UND],,0),"")</f>
        <v>Un</v>
      </c>
      <c r="D1042" s="31">
        <v>2</v>
      </c>
      <c r="E1042" s="32">
        <f>IFERROR(_xlfn.XLOOKUP($B1042,Insumo[DESCRIPCION],Insumo[VALOR],,0),"")</f>
        <v>77.7</v>
      </c>
      <c r="F1042" s="33"/>
      <c r="G1042" s="34">
        <f>IFERROR(IF(F1042&gt;=0,D1042*E1042*(1+F1042/100),ABS(D1042*E1042/F1042)),"")</f>
        <v>155.4</v>
      </c>
      <c r="H1042" s="43">
        <f>IFERROR(G1042*E1039,"")</f>
        <v>0</v>
      </c>
      <c r="I1042" s="3"/>
    </row>
    <row r="1043" spans="1:9" ht="12.75" customHeight="1">
      <c r="A1043" s="28"/>
      <c r="B1043" s="29"/>
      <c r="C1043" s="30" t="str">
        <f>IFERROR(_xlfn.XLOOKUP(B1043,Insumo[DESCRIPCION],Insumo[UND],,0),"")</f>
        <v/>
      </c>
      <c r="D1043" s="31"/>
      <c r="E1043" s="32" t="str">
        <f>IFERROR(_xlfn.XLOOKUP($B1043,Insumo[DESCRIPCION],Insumo[VALOR],,0),"")</f>
        <v/>
      </c>
      <c r="F1043" s="33"/>
      <c r="G1043" s="34" t="str">
        <f>IFERROR(IF(F1043&gt;=0,D1043*E1043*(1+F1043/100),ABS(D1043*E1043/F1043)),"")</f>
        <v/>
      </c>
      <c r="H1043" s="43" t="str">
        <f>IFERROR(G1043*E1039,"")</f>
        <v/>
      </c>
      <c r="I1043" s="3"/>
    </row>
    <row r="1044" spans="1:9" ht="12.75" customHeight="1">
      <c r="A1044" s="28"/>
      <c r="B1044" s="29"/>
      <c r="C1044" s="30" t="str">
        <f>IFERROR(_xlfn.XLOOKUP(B1044,Insumo[DESCRIPCION],Insumo[UND],,0),"")</f>
        <v/>
      </c>
      <c r="D1044" s="31"/>
      <c r="E1044" s="32" t="str">
        <f>IFERROR(_xlfn.XLOOKUP($B1044,Insumo[DESCRIPCION],Insumo[VALOR],,0),"")</f>
        <v/>
      </c>
      <c r="F1044" s="33"/>
      <c r="G1044" s="34" t="str">
        <f>IFERROR(IF(F1044&gt;=0,D1044*E1044*(1+F1044/100),ABS(D1044*E1044/F1044)),"")</f>
        <v/>
      </c>
      <c r="H1044" s="43" t="str">
        <f>IFERROR(G1044*E1039,"")</f>
        <v/>
      </c>
      <c r="I1044" s="3"/>
    </row>
    <row r="1045" spans="1:9" ht="12.75" customHeight="1">
      <c r="A1045" s="28"/>
      <c r="B1045" s="29"/>
      <c r="C1045" s="30" t="str">
        <f>IFERROR(_xlfn.XLOOKUP(B1045,Insumo[DESCRIPCION],Insumo[UND],,0),"")</f>
        <v/>
      </c>
      <c r="D1045" s="31"/>
      <c r="E1045" s="32" t="str">
        <f>IFERROR(_xlfn.XLOOKUP($B1045,Insumo[DESCRIPCION],Insumo[VALOR],,0),"")</f>
        <v/>
      </c>
      <c r="F1045" s="33"/>
      <c r="G1045" s="34" t="str">
        <f>IFERROR(IF(F1045&gt;=0,D1045*E1045*(1+F1045/100),ABS(D1045*E1045/F1045)),"")</f>
        <v/>
      </c>
      <c r="H1045" s="43" t="str">
        <f>IFERROR(G1045*E1039,"")</f>
        <v/>
      </c>
      <c r="I1045" s="3"/>
    </row>
    <row r="1046" spans="1:9" ht="12.75" customHeight="1">
      <c r="A1046" s="28"/>
      <c r="B1046" s="29"/>
      <c r="C1046" s="30" t="str">
        <f>IFERROR(_xlfn.XLOOKUP(B1046,Insumo[DESCRIPCION],Insumo[UND],,0),"")</f>
        <v/>
      </c>
      <c r="D1046" s="31"/>
      <c r="E1046" s="32" t="str">
        <f>IFERROR(_xlfn.XLOOKUP($B1046,Insumo[DESCRIPCION],Insumo[VALOR],,0),"")</f>
        <v/>
      </c>
      <c r="F1046" s="33"/>
      <c r="G1046" s="34" t="str">
        <f>IFERROR(IF(F1046&gt;=0,D1046*E1046*(1+F1046/100),ABS(D1046*E1046/F1046)),"")</f>
        <v/>
      </c>
      <c r="H1046" s="43" t="str">
        <f>IFERROR(G1046*E1039,"")</f>
        <v/>
      </c>
      <c r="I1046" s="3"/>
    </row>
    <row r="1047" spans="1:9" ht="12.75" customHeight="1">
      <c r="A1047" s="21"/>
      <c r="B1047" s="22" t="s">
        <v>3731</v>
      </c>
      <c r="C1047" s="23"/>
      <c r="D1047" s="24"/>
      <c r="E1047" s="25"/>
      <c r="F1047" s="26"/>
      <c r="G1047" s="27">
        <f>SUM(G1048:G1050)</f>
        <v>9919.9075089500002</v>
      </c>
      <c r="H1047" s="27">
        <f>IFERROR(G1047*E1039,"")</f>
        <v>0</v>
      </c>
      <c r="I1047" s="3"/>
    </row>
    <row r="1048" spans="1:9" ht="12.75" customHeight="1">
      <c r="A1048" s="28"/>
      <c r="B1048" s="29" t="s">
        <v>3654</v>
      </c>
      <c r="C1048" s="30" t="str">
        <f>IFERROR(_xlfn.XLOOKUP(B1048,Equipo[DESCRIPCION],Equipo[UND],,0),"")</f>
        <v>Día</v>
      </c>
      <c r="D1048" s="31">
        <v>1</v>
      </c>
      <c r="E1048" s="32">
        <f>IF(C1048="%MO",G1054,IFERROR(_xlfn.XLOOKUP($B1048,Equipo[DESCRIPCION],Equipo[VALOR],,0),""))</f>
        <v>101640</v>
      </c>
      <c r="F1048" s="33">
        <v>-15</v>
      </c>
      <c r="G1048" s="34">
        <f>IFERROR(IF(F1048&gt;=0,D1048*E1048*(1+F1048/100),ABS(D1048*E1048/F1048)),"")</f>
        <v>6776</v>
      </c>
      <c r="H1048" s="43">
        <f>IFERROR(G1048*E1039,"")</f>
        <v>0</v>
      </c>
      <c r="I1048" s="3"/>
    </row>
    <row r="1049" spans="1:9" ht="12.75" customHeight="1">
      <c r="A1049" s="28"/>
      <c r="B1049" s="29" t="s">
        <v>3573</v>
      </c>
      <c r="C1049" s="30" t="str">
        <f>IFERROR(_xlfn.XLOOKUP(B1049,Equipo[DESCRIPCION],Equipo[UND],,0),"")</f>
        <v>%MO</v>
      </c>
      <c r="D1049" s="31">
        <v>0.1</v>
      </c>
      <c r="E1049" s="32">
        <f>IF(C1049="%MO",G1054,IFERROR(_xlfn.XLOOKUP($B1049,Equipo[DESCRIPCION],Equipo[VALOR],,0),""))</f>
        <v>20959.383393000004</v>
      </c>
      <c r="F1049" s="33"/>
      <c r="G1049" s="34">
        <f>IFERROR(IF(F1049&gt;=0,D1049*E1049*(1+F1049/100),ABS(D1049*E1049/F1049)),"")</f>
        <v>2095.9383393000003</v>
      </c>
      <c r="H1049" s="43">
        <f>IFERROR(G1049*E1039,"")</f>
        <v>0</v>
      </c>
      <c r="I1049" s="3"/>
    </row>
    <row r="1050" spans="1:9" ht="12.75" customHeight="1">
      <c r="A1050" s="28"/>
      <c r="B1050" s="29" t="s">
        <v>3626</v>
      </c>
      <c r="C1050" s="30" t="str">
        <f>IFERROR(_xlfn.XLOOKUP(B1050,Equipo[DESCRIPCION],Equipo[UND],,0),"")</f>
        <v>%MO</v>
      </c>
      <c r="D1050" s="31">
        <v>0.05</v>
      </c>
      <c r="E1050" s="32">
        <f>IF(C1050="%MO",G1054,IFERROR(_xlfn.XLOOKUP($B1050,Equipo[DESCRIPCION],Equipo[VALOR],,0),""))</f>
        <v>20959.383393000004</v>
      </c>
      <c r="F1050" s="33"/>
      <c r="G1050" s="34">
        <f>IFERROR(IF(F1050&gt;=0,D1050*E1050*(1+F1050/100),ABS(D1050*E1050/F1050)),"")</f>
        <v>1047.9691696500001</v>
      </c>
      <c r="H1050" s="43">
        <f>IFERROR(G1050*E1039,"")</f>
        <v>0</v>
      </c>
      <c r="I1050" s="3"/>
    </row>
    <row r="1051" spans="1:9" ht="12.75" customHeight="1">
      <c r="A1051" s="21"/>
      <c r="B1051" s="22" t="s">
        <v>2533</v>
      </c>
      <c r="C1051" s="23"/>
      <c r="D1051" s="24"/>
      <c r="E1051" s="25"/>
      <c r="F1051" s="26"/>
      <c r="G1051" s="27">
        <f>SUM(G1052:G1053)</f>
        <v>0</v>
      </c>
      <c r="H1051" s="27">
        <f>IFERROR(G1051*E1039,"")</f>
        <v>0</v>
      </c>
      <c r="I1051" s="3"/>
    </row>
    <row r="1052" spans="1:9" ht="12.75" customHeight="1">
      <c r="A1052" s="28"/>
      <c r="B1052" s="29"/>
      <c r="C1052" s="30" t="str">
        <f>IFERROR(_xlfn.XLOOKUP(B1052,Transporte[DESCRIPCION],Transporte[UND],,0),"")</f>
        <v/>
      </c>
      <c r="D1052" s="31"/>
      <c r="E1052" s="32" t="str">
        <f>IFERROR(_xlfn.XLOOKUP($B1052,Transporte[DESCRIPCION],Transporte[VALOR],,0),"")</f>
        <v/>
      </c>
      <c r="F1052" s="33"/>
      <c r="G1052" s="34" t="str">
        <f>IFERROR(IF(F1052&gt;=0,D1052*E1052*(1+F1052/100),ABS(D1052*E1052/F1052)),"")</f>
        <v/>
      </c>
      <c r="H1052" s="43" t="str">
        <f>IFERROR(G1052*E1039,"")</f>
        <v/>
      </c>
      <c r="I1052" s="3"/>
    </row>
    <row r="1053" spans="1:9" ht="12.75" customHeight="1">
      <c r="A1053" s="28"/>
      <c r="B1053" s="29"/>
      <c r="C1053" s="30" t="str">
        <f>IFERROR(_xlfn.XLOOKUP(B1053,Transporte[DESCRIPCION],Transporte[UND],,0),"")</f>
        <v/>
      </c>
      <c r="D1053" s="31"/>
      <c r="E1053" s="32" t="str">
        <f>IFERROR(_xlfn.XLOOKUP($B1053,Transporte[DESCRIPCION],Transporte[VALOR],,0),"")</f>
        <v/>
      </c>
      <c r="F1053" s="33"/>
      <c r="G1053" s="34" t="str">
        <f>IFERROR(IF(F1053&gt;=0,D1053*E1053*(1+F1053/100),ABS(D1053*E1053/F1053)),"")</f>
        <v/>
      </c>
      <c r="H1053" s="43" t="str">
        <f>IFERROR(G1053*E1039,"")</f>
        <v/>
      </c>
      <c r="I1053" s="3"/>
    </row>
    <row r="1054" spans="1:9" ht="12.75" customHeight="1">
      <c r="A1054" s="21"/>
      <c r="B1054" s="22" t="s">
        <v>3732</v>
      </c>
      <c r="C1054" s="23"/>
      <c r="D1054" s="24"/>
      <c r="E1054" s="25"/>
      <c r="F1054" s="26"/>
      <c r="G1054" s="27">
        <f>SUM(G1055:G1057)</f>
        <v>20959.383393000004</v>
      </c>
      <c r="H1054" s="27">
        <f>IFERROR(G1054*E1039,"")</f>
        <v>0</v>
      </c>
      <c r="I1054" s="3"/>
    </row>
    <row r="1055" spans="1:9" ht="12.75" customHeight="1">
      <c r="A1055" s="28"/>
      <c r="B1055" s="29" t="s">
        <v>3710</v>
      </c>
      <c r="C1055" s="30" t="str">
        <f>IFERROR(_xlfn.XLOOKUP(B1055,MObra[DESCRIPCION],MObra[UN],,0),"")</f>
        <v>día</v>
      </c>
      <c r="D1055" s="31">
        <v>1</v>
      </c>
      <c r="E1055" s="32">
        <f>IFERROR(_xlfn.XLOOKUP($B1055,MObra[DESCRIPCION],MObra[VALOR UNIT],,0),"")</f>
        <v>314390.75089500006</v>
      </c>
      <c r="F1055" s="33">
        <v>-15</v>
      </c>
      <c r="G1055" s="34">
        <f>IFERROR(IF(F1055&gt;=0,D1055*E1055*(1+F1055/100),ABS(D1055*E1055/F1055)),"")</f>
        <v>20959.383393000004</v>
      </c>
      <c r="H1055" s="43">
        <f>IFERROR(G1055*E1039,"")</f>
        <v>0</v>
      </c>
      <c r="I1055" s="3"/>
    </row>
    <row r="1056" spans="1:9" ht="12.75" customHeight="1">
      <c r="A1056" s="28"/>
      <c r="B1056" s="29"/>
      <c r="C1056" s="30" t="str">
        <f>IFERROR(_xlfn.XLOOKUP(B1056,MObra[DESCRIPCION],MObra[UN],,0),"")</f>
        <v/>
      </c>
      <c r="D1056" s="31"/>
      <c r="E1056" s="32" t="str">
        <f>IFERROR(_xlfn.XLOOKUP($B1056,MObra[DESCRIPCION],MObra[VALOR UNIT],,0),"")</f>
        <v/>
      </c>
      <c r="F1056" s="33"/>
      <c r="G1056" s="34" t="str">
        <f>IFERROR(IF(F1056&gt;=0,D1056*E1056*(1+F1056/100),ABS(D1056*E1056/F1056)),"")</f>
        <v/>
      </c>
      <c r="H1056" s="43" t="str">
        <f>IFERROR(G1056*E1039,"")</f>
        <v/>
      </c>
      <c r="I1056" s="3"/>
    </row>
    <row r="1057" spans="1:11" ht="12.75" customHeight="1" thickBot="1">
      <c r="A1057" s="35"/>
      <c r="B1057" s="36"/>
      <c r="C1057" s="37" t="str">
        <f>IFERROR(_xlfn.XLOOKUP(B1057,MObra[DESCRIPCION],MObra[UN],,0),"")</f>
        <v/>
      </c>
      <c r="D1057" s="38"/>
      <c r="E1057" s="39" t="str">
        <f>IFERROR(_xlfn.XLOOKUP($B1057,MObra[DESCRIPCION],MObra[VALOR UNIT],,0),"")</f>
        <v/>
      </c>
      <c r="F1057" s="40"/>
      <c r="G1057" s="41" t="str">
        <f>IFERROR(IF(F1057&gt;=0,D1057*E1057*(1+F1057/100),ABS(D1057*E1057/F1057)),"")</f>
        <v/>
      </c>
      <c r="H1057" s="42" t="str">
        <f>IFERROR(G1057*E1039,"")</f>
        <v/>
      </c>
      <c r="I1057" s="3"/>
    </row>
    <row r="1058" spans="1:11" ht="12.75" customHeight="1" thickTop="1" thickBot="1">
      <c r="I1058" s="3"/>
    </row>
    <row r="1059" spans="1:11" ht="12.75" customHeight="1" thickTop="1" thickBot="1">
      <c r="A1059" s="6" t="s">
        <v>1659</v>
      </c>
      <c r="B1059" s="7" t="str">
        <f>VLOOKUP($A1059,Presupuesto!$A:$D,2,FALSE())</f>
        <v>Reparación pasamanos macana reposición</v>
      </c>
      <c r="C1059" s="8" t="str">
        <f>VLOOKUP($A1059,Presupuesto!$A:$D,3,FALSE())</f>
        <v>Un</v>
      </c>
      <c r="D1059" s="9"/>
      <c r="E1059" s="10">
        <f>VLOOKUP($A1059,Presupuesto!$A:$D,4,FALSE())</f>
        <v>0</v>
      </c>
      <c r="F1059" s="11" t="s">
        <v>2589</v>
      </c>
      <c r="G1059" s="12">
        <f>SUM(G1061:G1077)/2</f>
        <v>87455.628843975006</v>
      </c>
      <c r="H1059" s="13">
        <f>ROUND(SUM(H1061:H1077),0)/2</f>
        <v>0</v>
      </c>
      <c r="I1059" s="10">
        <f>VLOOKUP(A1059,Presupuesto!$A:$F,6,0)</f>
        <v>0</v>
      </c>
      <c r="J1059" s="10">
        <f>+H1059-I1059</f>
        <v>0</v>
      </c>
      <c r="K1059" s="46">
        <f>+H1059-G1059*E1059</f>
        <v>0</v>
      </c>
    </row>
    <row r="1060" spans="1:11" ht="12.75" customHeight="1" thickTop="1">
      <c r="A1060" s="14"/>
      <c r="B1060" s="15" t="s">
        <v>2586</v>
      </c>
      <c r="C1060" s="15" t="s">
        <v>5</v>
      </c>
      <c r="D1060" s="16" t="s">
        <v>6</v>
      </c>
      <c r="E1060" s="17" t="s">
        <v>7</v>
      </c>
      <c r="F1060" s="18" t="s">
        <v>3728</v>
      </c>
      <c r="G1060" s="19" t="s">
        <v>3729</v>
      </c>
      <c r="H1060" s="20" t="s">
        <v>3797</v>
      </c>
      <c r="I1060" s="3"/>
    </row>
    <row r="1061" spans="1:11" ht="12.75" customHeight="1">
      <c r="A1061" s="21"/>
      <c r="B1061" s="22" t="s">
        <v>3730</v>
      </c>
      <c r="C1061" s="23"/>
      <c r="D1061" s="24"/>
      <c r="E1061" s="25"/>
      <c r="F1061" s="26"/>
      <c r="G1061" s="27">
        <f>SUM(G1062:G1066)</f>
        <v>54444.600000000006</v>
      </c>
      <c r="H1061" s="27">
        <f>IFERROR(G1061*E1059,"")</f>
        <v>0</v>
      </c>
      <c r="I1061" s="3"/>
    </row>
    <row r="1062" spans="1:11" ht="12.75" customHeight="1">
      <c r="A1062" s="28"/>
      <c r="B1062" s="29" t="s">
        <v>3124</v>
      </c>
      <c r="C1062" s="30" t="str">
        <f>IFERROR(_xlfn.XLOOKUP(B1062,Insumo[DESCRIPCION],Insumo[UND],,0),"")</f>
        <v>Un</v>
      </c>
      <c r="D1062" s="31">
        <v>1</v>
      </c>
      <c r="E1062" s="32">
        <f>IFERROR(_xlfn.XLOOKUP($B1062,Insumo[DESCRIPCION],Insumo[VALOR],,0),"")</f>
        <v>54444.600000000006</v>
      </c>
      <c r="F1062" s="33"/>
      <c r="G1062" s="34">
        <f>IFERROR(IF(F1062&gt;=0,D1062*E1062*(1+F1062/100),ABS(D1062*E1062/F1062)),"")</f>
        <v>54444.600000000006</v>
      </c>
      <c r="H1062" s="43">
        <f>IFERROR(G1062*E1059,"")</f>
        <v>0</v>
      </c>
      <c r="I1062" s="3"/>
    </row>
    <row r="1063" spans="1:11" ht="12.75" customHeight="1">
      <c r="A1063" s="28"/>
      <c r="B1063" s="29"/>
      <c r="C1063" s="30" t="str">
        <f>IFERROR(_xlfn.XLOOKUP(B1063,Insumo[DESCRIPCION],Insumo[UND],,0),"")</f>
        <v/>
      </c>
      <c r="D1063" s="31"/>
      <c r="E1063" s="32" t="str">
        <f>IFERROR(_xlfn.XLOOKUP($B1063,Insumo[DESCRIPCION],Insumo[VALOR],,0),"")</f>
        <v/>
      </c>
      <c r="F1063" s="33"/>
      <c r="G1063" s="34" t="str">
        <f>IFERROR(IF(F1063&gt;=0,D1063*E1063*(1+F1063/100),ABS(D1063*E1063/F1063)),"")</f>
        <v/>
      </c>
      <c r="H1063" s="43" t="str">
        <f>IFERROR(G1063*E1059,"")</f>
        <v/>
      </c>
      <c r="I1063" s="3"/>
    </row>
    <row r="1064" spans="1:11" ht="12.75" customHeight="1">
      <c r="A1064" s="28"/>
      <c r="B1064" s="29"/>
      <c r="C1064" s="30" t="str">
        <f>IFERROR(_xlfn.XLOOKUP(B1064,Insumo[DESCRIPCION],Insumo[UND],,0),"")</f>
        <v/>
      </c>
      <c r="D1064" s="31"/>
      <c r="E1064" s="32" t="str">
        <f>IFERROR(_xlfn.XLOOKUP($B1064,Insumo[DESCRIPCION],Insumo[VALOR],,0),"")</f>
        <v/>
      </c>
      <c r="F1064" s="33"/>
      <c r="G1064" s="34" t="str">
        <f>IFERROR(IF(F1064&gt;=0,D1064*E1064*(1+F1064/100),ABS(D1064*E1064/F1064)),"")</f>
        <v/>
      </c>
      <c r="H1064" s="43" t="str">
        <f>IFERROR(G1064*E1059,"")</f>
        <v/>
      </c>
      <c r="I1064" s="3"/>
    </row>
    <row r="1065" spans="1:11" ht="12.75" customHeight="1">
      <c r="A1065" s="28"/>
      <c r="B1065" s="29"/>
      <c r="C1065" s="30" t="str">
        <f>IFERROR(_xlfn.XLOOKUP(B1065,Insumo[DESCRIPCION],Insumo[UND],,0),"")</f>
        <v/>
      </c>
      <c r="D1065" s="31"/>
      <c r="E1065" s="32" t="str">
        <f>IFERROR(_xlfn.XLOOKUP($B1065,Insumo[DESCRIPCION],Insumo[VALOR],,0),"")</f>
        <v/>
      </c>
      <c r="F1065" s="33"/>
      <c r="G1065" s="34" t="str">
        <f>IFERROR(IF(F1065&gt;=0,D1065*E1065*(1+F1065/100),ABS(D1065*E1065/F1065)),"")</f>
        <v/>
      </c>
      <c r="H1065" s="43" t="str">
        <f>IFERROR(G1065*E1059,"")</f>
        <v/>
      </c>
      <c r="I1065" s="3"/>
    </row>
    <row r="1066" spans="1:11" ht="12.75" customHeight="1">
      <c r="A1066" s="28"/>
      <c r="B1066" s="29"/>
      <c r="C1066" s="30" t="str">
        <f>IFERROR(_xlfn.XLOOKUP(B1066,Insumo[DESCRIPCION],Insumo[UND],,0),"")</f>
        <v/>
      </c>
      <c r="D1066" s="31"/>
      <c r="E1066" s="32" t="str">
        <f>IFERROR(_xlfn.XLOOKUP($B1066,Insumo[DESCRIPCION],Insumo[VALOR],,0),"")</f>
        <v/>
      </c>
      <c r="F1066" s="33"/>
      <c r="G1066" s="34" t="str">
        <f>IFERROR(IF(F1066&gt;=0,D1066*E1066*(1+F1066/100),ABS(D1066*E1066/F1066)),"")</f>
        <v/>
      </c>
      <c r="H1066" s="43" t="str">
        <f>IFERROR(G1066*E1059,"")</f>
        <v/>
      </c>
      <c r="I1066" s="3"/>
    </row>
    <row r="1067" spans="1:11" ht="12.75" customHeight="1">
      <c r="A1067" s="21"/>
      <c r="B1067" s="22" t="s">
        <v>3731</v>
      </c>
      <c r="C1067" s="23"/>
      <c r="D1067" s="24"/>
      <c r="E1067" s="25"/>
      <c r="F1067" s="26"/>
      <c r="G1067" s="27">
        <f>SUM(G1068:G1070)</f>
        <v>1571.9537544750003</v>
      </c>
      <c r="H1067" s="27">
        <f>IFERROR(G1067*E1059,"")</f>
        <v>0</v>
      </c>
      <c r="I1067" s="3"/>
    </row>
    <row r="1068" spans="1:11" ht="12.75" customHeight="1">
      <c r="A1068" s="28"/>
      <c r="B1068" s="29" t="s">
        <v>3626</v>
      </c>
      <c r="C1068" s="30" t="str">
        <f>IFERROR(_xlfn.XLOOKUP(B1068,Equipo[DESCRIPCION],Equipo[UND],,0),"")</f>
        <v>%MO</v>
      </c>
      <c r="D1068" s="31">
        <v>0.05</v>
      </c>
      <c r="E1068" s="32">
        <f>IF(C1068="%MO",G1074,IFERROR(_xlfn.XLOOKUP($B1068,Equipo[DESCRIPCION],Equipo[VALOR],,0),""))</f>
        <v>31439.075089500006</v>
      </c>
      <c r="F1068" s="33"/>
      <c r="G1068" s="34">
        <f>IFERROR(IF(F1068&gt;=0,D1068*E1068*(1+F1068/100),ABS(D1068*E1068/F1068)),"")</f>
        <v>1571.9537544750003</v>
      </c>
      <c r="H1068" s="43">
        <f>IFERROR(G1068*E1059,"")</f>
        <v>0</v>
      </c>
      <c r="I1068" s="3"/>
    </row>
    <row r="1069" spans="1:11" ht="12.75" customHeight="1">
      <c r="A1069" s="28"/>
      <c r="B1069" s="29"/>
      <c r="C1069" s="30" t="str">
        <f>IFERROR(_xlfn.XLOOKUP(B1069,Equipo[DESCRIPCION],Equipo[UND],,0),"")</f>
        <v/>
      </c>
      <c r="D1069" s="31"/>
      <c r="E1069" s="32" t="str">
        <f>IF(C1069="%MO",G1074,IFERROR(_xlfn.XLOOKUP($B1069,Equipo[DESCRIPCION],Equipo[VALOR],,0),""))</f>
        <v/>
      </c>
      <c r="F1069" s="33"/>
      <c r="G1069" s="34" t="str">
        <f>IFERROR(IF(F1069&gt;=0,D1069*E1069*(1+F1069/100),ABS(D1069*E1069/F1069)),"")</f>
        <v/>
      </c>
      <c r="H1069" s="43" t="str">
        <f>IFERROR(G1069*E1059,"")</f>
        <v/>
      </c>
      <c r="I1069" s="3"/>
    </row>
    <row r="1070" spans="1:11" ht="12.75" customHeight="1">
      <c r="A1070" s="28"/>
      <c r="B1070" s="29"/>
      <c r="C1070" s="30" t="str">
        <f>IFERROR(_xlfn.XLOOKUP(B1070,Equipo[DESCRIPCION],Equipo[UND],,0),"")</f>
        <v/>
      </c>
      <c r="D1070" s="31"/>
      <c r="E1070" s="32" t="str">
        <f>IF(C1070="%MO",G1074,IFERROR(_xlfn.XLOOKUP($B1070,Equipo[DESCRIPCION],Equipo[VALOR],,0),""))</f>
        <v/>
      </c>
      <c r="F1070" s="33"/>
      <c r="G1070" s="34" t="str">
        <f>IFERROR(IF(F1070&gt;=0,D1070*E1070*(1+F1070/100),ABS(D1070*E1070/F1070)),"")</f>
        <v/>
      </c>
      <c r="H1070" s="43" t="str">
        <f>IFERROR(G1070*E1059,"")</f>
        <v/>
      </c>
      <c r="I1070" s="3"/>
    </row>
    <row r="1071" spans="1:11" ht="12.75" customHeight="1">
      <c r="A1071" s="21"/>
      <c r="B1071" s="22" t="s">
        <v>2533</v>
      </c>
      <c r="C1071" s="23"/>
      <c r="D1071" s="24"/>
      <c r="E1071" s="25"/>
      <c r="F1071" s="26"/>
      <c r="G1071" s="27">
        <f>SUM(G1072:G1073)</f>
        <v>0</v>
      </c>
      <c r="H1071" s="27">
        <f>IFERROR(G1071*E1059,"")</f>
        <v>0</v>
      </c>
      <c r="I1071" s="3"/>
    </row>
    <row r="1072" spans="1:11" ht="12.75" customHeight="1">
      <c r="A1072" s="28"/>
      <c r="B1072" s="29"/>
      <c r="C1072" s="30" t="str">
        <f>IFERROR(_xlfn.XLOOKUP(B1072,Transporte[DESCRIPCION],Transporte[UND],,0),"")</f>
        <v/>
      </c>
      <c r="D1072" s="31"/>
      <c r="E1072" s="32" t="str">
        <f>IFERROR(_xlfn.XLOOKUP($B1072,Transporte[DESCRIPCION],Transporte[VALOR],,0),"")</f>
        <v/>
      </c>
      <c r="F1072" s="33"/>
      <c r="G1072" s="34" t="str">
        <f>IFERROR(IF(F1072&gt;=0,D1072*E1072*(1+F1072/100),ABS(D1072*E1072/F1072)),"")</f>
        <v/>
      </c>
      <c r="H1072" s="43" t="str">
        <f>IFERROR(G1072*E1059,"")</f>
        <v/>
      </c>
      <c r="I1072" s="3"/>
    </row>
    <row r="1073" spans="1:11" ht="12.75" customHeight="1">
      <c r="A1073" s="28"/>
      <c r="B1073" s="29"/>
      <c r="C1073" s="30" t="str">
        <f>IFERROR(_xlfn.XLOOKUP(B1073,Transporte[DESCRIPCION],Transporte[UND],,0),"")</f>
        <v/>
      </c>
      <c r="D1073" s="31"/>
      <c r="E1073" s="32" t="str">
        <f>IFERROR(_xlfn.XLOOKUP($B1073,Transporte[DESCRIPCION],Transporte[VALOR],,0),"")</f>
        <v/>
      </c>
      <c r="F1073" s="33"/>
      <c r="G1073" s="34" t="str">
        <f>IFERROR(IF(F1073&gt;=0,D1073*E1073*(1+F1073/100),ABS(D1073*E1073/F1073)),"")</f>
        <v/>
      </c>
      <c r="H1073" s="43" t="str">
        <f>IFERROR(G1073*E1059,"")</f>
        <v/>
      </c>
      <c r="I1073" s="3"/>
    </row>
    <row r="1074" spans="1:11" ht="12.75" customHeight="1">
      <c r="A1074" s="21"/>
      <c r="B1074" s="22" t="s">
        <v>3732</v>
      </c>
      <c r="C1074" s="23"/>
      <c r="D1074" s="24"/>
      <c r="E1074" s="25"/>
      <c r="F1074" s="26"/>
      <c r="G1074" s="27">
        <f>SUM(G1075:G1077)</f>
        <v>31439.075089500006</v>
      </c>
      <c r="H1074" s="27">
        <f>IFERROR(G1074*E1059,"")</f>
        <v>0</v>
      </c>
      <c r="I1074" s="3"/>
    </row>
    <row r="1075" spans="1:11" ht="12.75" customHeight="1">
      <c r="A1075" s="28"/>
      <c r="B1075" s="29" t="s">
        <v>3710</v>
      </c>
      <c r="C1075" s="30" t="str">
        <f>IFERROR(_xlfn.XLOOKUP(B1075,MObra[DESCRIPCION],MObra[UN],,0),"")</f>
        <v>día</v>
      </c>
      <c r="D1075" s="31">
        <v>1</v>
      </c>
      <c r="E1075" s="32">
        <f>IFERROR(_xlfn.XLOOKUP($B1075,MObra[DESCRIPCION],MObra[VALOR UNIT],,0),"")</f>
        <v>314390.75089500006</v>
      </c>
      <c r="F1075" s="33">
        <v>-10</v>
      </c>
      <c r="G1075" s="34">
        <f>IFERROR(IF(F1075&gt;=0,D1075*E1075*(1+F1075/100),ABS(D1075*E1075/F1075)),"")</f>
        <v>31439.075089500006</v>
      </c>
      <c r="H1075" s="43">
        <f>IFERROR(G1075*E1059,"")</f>
        <v>0</v>
      </c>
      <c r="I1075" s="3"/>
    </row>
    <row r="1076" spans="1:11" ht="12.75" customHeight="1">
      <c r="A1076" s="28"/>
      <c r="B1076" s="29"/>
      <c r="C1076" s="30" t="str">
        <f>IFERROR(_xlfn.XLOOKUP(B1076,MObra[DESCRIPCION],MObra[UN],,0),"")</f>
        <v/>
      </c>
      <c r="D1076" s="31"/>
      <c r="E1076" s="32" t="str">
        <f>IFERROR(_xlfn.XLOOKUP($B1076,MObra[DESCRIPCION],MObra[VALOR UNIT],,0),"")</f>
        <v/>
      </c>
      <c r="F1076" s="33"/>
      <c r="G1076" s="34" t="str">
        <f>IFERROR(IF(F1076&gt;=0,D1076*E1076*(1+F1076/100),ABS(D1076*E1076/F1076)),"")</f>
        <v/>
      </c>
      <c r="H1076" s="43" t="str">
        <f>IFERROR(G1076*E1059,"")</f>
        <v/>
      </c>
      <c r="I1076" s="3"/>
    </row>
    <row r="1077" spans="1:11" ht="12.75" customHeight="1" thickBot="1">
      <c r="A1077" s="35"/>
      <c r="B1077" s="36"/>
      <c r="C1077" s="37" t="str">
        <f>IFERROR(_xlfn.XLOOKUP(B1077,MObra[DESCRIPCION],MObra[UN],,0),"")</f>
        <v/>
      </c>
      <c r="D1077" s="38"/>
      <c r="E1077" s="39" t="str">
        <f>IFERROR(_xlfn.XLOOKUP($B1077,MObra[DESCRIPCION],MObra[VALOR UNIT],,0),"")</f>
        <v/>
      </c>
      <c r="F1077" s="40"/>
      <c r="G1077" s="41" t="str">
        <f>IFERROR(IF(F1077&gt;=0,D1077*E1077*(1+F1077/100),ABS(D1077*E1077/F1077)),"")</f>
        <v/>
      </c>
      <c r="H1077" s="42" t="str">
        <f>IFERROR(G1077*E1059,"")</f>
        <v/>
      </c>
      <c r="I1077" s="3"/>
    </row>
    <row r="1078" spans="1:11" ht="12.75" customHeight="1" thickTop="1" thickBot="1">
      <c r="I1078" s="3"/>
    </row>
    <row r="1079" spans="1:11" ht="12.75" customHeight="1" thickTop="1" thickBot="1">
      <c r="A1079" s="6" t="s">
        <v>1661</v>
      </c>
      <c r="B1079" s="7" t="str">
        <f>VLOOKUP($A1079,Presupuesto!$A:$D,2,FALSE())</f>
        <v>Ventana aluminio 5020 + vidrio</v>
      </c>
      <c r="C1079" s="8" t="str">
        <f>VLOOKUP($A1079,Presupuesto!$A:$D,3,FALSE())</f>
        <v>M2</v>
      </c>
      <c r="D1079" s="9"/>
      <c r="E1079" s="10">
        <f>VLOOKUP($A1079,Presupuesto!$A:$D,4,FALSE())</f>
        <v>0</v>
      </c>
      <c r="F1079" s="11" t="s">
        <v>2589</v>
      </c>
      <c r="G1079" s="12">
        <f>SUM(G1081:G1097)/2</f>
        <v>213748.5</v>
      </c>
      <c r="H1079" s="13">
        <f>ROUND(SUM(H1081:H1097),0)/2</f>
        <v>0</v>
      </c>
      <c r="I1079" s="10">
        <f>VLOOKUP(A1079,Presupuesto!$A:$F,6,0)</f>
        <v>0</v>
      </c>
      <c r="J1079" s="10">
        <f>+H1079-I1079</f>
        <v>0</v>
      </c>
      <c r="K1079" s="46">
        <f>+H1079-G1079*E1079</f>
        <v>0</v>
      </c>
    </row>
    <row r="1080" spans="1:11" ht="12.75" customHeight="1" thickTop="1">
      <c r="A1080" s="14"/>
      <c r="B1080" s="15" t="s">
        <v>2586</v>
      </c>
      <c r="C1080" s="15" t="s">
        <v>5</v>
      </c>
      <c r="D1080" s="16" t="s">
        <v>6</v>
      </c>
      <c r="E1080" s="17" t="s">
        <v>7</v>
      </c>
      <c r="F1080" s="18" t="s">
        <v>3728</v>
      </c>
      <c r="G1080" s="19" t="s">
        <v>3729</v>
      </c>
      <c r="H1080" s="20" t="s">
        <v>3797</v>
      </c>
      <c r="I1080" s="3"/>
    </row>
    <row r="1081" spans="1:11" ht="12.75" customHeight="1">
      <c r="A1081" s="21"/>
      <c r="B1081" s="22" t="s">
        <v>3730</v>
      </c>
      <c r="C1081" s="23"/>
      <c r="D1081" s="24"/>
      <c r="E1081" s="25"/>
      <c r="F1081" s="26"/>
      <c r="G1081" s="27">
        <f>SUM(G1082:G1086)</f>
        <v>213748.5</v>
      </c>
      <c r="H1081" s="27">
        <f>IFERROR(G1081*E1079,"")</f>
        <v>0</v>
      </c>
      <c r="I1081" s="3"/>
    </row>
    <row r="1082" spans="1:11" ht="12.75" customHeight="1">
      <c r="A1082" s="28"/>
      <c r="B1082" s="29" t="s">
        <v>3548</v>
      </c>
      <c r="C1082" s="30" t="str">
        <f>IFERROR(_xlfn.XLOOKUP(B1082,Insumo[DESCRIPCION],Insumo[UND],,0),"")</f>
        <v>M2</v>
      </c>
      <c r="D1082" s="31">
        <v>1</v>
      </c>
      <c r="E1082" s="32">
        <f>IFERROR(_xlfn.XLOOKUP($B1082,Insumo[DESCRIPCION],Insumo[VALOR],,0),"")</f>
        <v>213748.5</v>
      </c>
      <c r="F1082" s="33"/>
      <c r="G1082" s="34">
        <f>IFERROR(IF(F1082&gt;=0,D1082*E1082*(1+F1082/100),ABS(D1082*E1082/F1082)),"")</f>
        <v>213748.5</v>
      </c>
      <c r="H1082" s="43">
        <f>IFERROR(G1082*E1079,"")</f>
        <v>0</v>
      </c>
      <c r="I1082" s="3"/>
    </row>
    <row r="1083" spans="1:11" ht="12.75" customHeight="1">
      <c r="A1083" s="28"/>
      <c r="B1083" s="29"/>
      <c r="C1083" s="30" t="str">
        <f>IFERROR(_xlfn.XLOOKUP(B1083,Insumo[DESCRIPCION],Insumo[UND],,0),"")</f>
        <v/>
      </c>
      <c r="D1083" s="31"/>
      <c r="E1083" s="32" t="str">
        <f>IFERROR(_xlfn.XLOOKUP($B1083,Insumo[DESCRIPCION],Insumo[VALOR],,0),"")</f>
        <v/>
      </c>
      <c r="F1083" s="33"/>
      <c r="G1083" s="34" t="str">
        <f>IFERROR(IF(F1083&gt;=0,D1083*E1083*(1+F1083/100),ABS(D1083*E1083/F1083)),"")</f>
        <v/>
      </c>
      <c r="H1083" s="43" t="str">
        <f>IFERROR(G1083*E1079,"")</f>
        <v/>
      </c>
      <c r="I1083" s="3"/>
    </row>
    <row r="1084" spans="1:11" ht="12.75" customHeight="1">
      <c r="A1084" s="28"/>
      <c r="B1084" s="29"/>
      <c r="C1084" s="30" t="str">
        <f>IFERROR(_xlfn.XLOOKUP(B1084,Insumo[DESCRIPCION],Insumo[UND],,0),"")</f>
        <v/>
      </c>
      <c r="D1084" s="31"/>
      <c r="E1084" s="32" t="str">
        <f>IFERROR(_xlfn.XLOOKUP($B1084,Insumo[DESCRIPCION],Insumo[VALOR],,0),"")</f>
        <v/>
      </c>
      <c r="F1084" s="33"/>
      <c r="G1084" s="34" t="str">
        <f>IFERROR(IF(F1084&gt;=0,D1084*E1084*(1+F1084/100),ABS(D1084*E1084/F1084)),"")</f>
        <v/>
      </c>
      <c r="H1084" s="43" t="str">
        <f>IFERROR(G1084*E1079,"")</f>
        <v/>
      </c>
      <c r="I1084" s="3"/>
    </row>
    <row r="1085" spans="1:11" ht="12.75" customHeight="1">
      <c r="A1085" s="28"/>
      <c r="B1085" s="29"/>
      <c r="C1085" s="30" t="str">
        <f>IFERROR(_xlfn.XLOOKUP(B1085,Insumo[DESCRIPCION],Insumo[UND],,0),"")</f>
        <v/>
      </c>
      <c r="D1085" s="31"/>
      <c r="E1085" s="32" t="str">
        <f>IFERROR(_xlfn.XLOOKUP($B1085,Insumo[DESCRIPCION],Insumo[VALOR],,0),"")</f>
        <v/>
      </c>
      <c r="F1085" s="33"/>
      <c r="G1085" s="34" t="str">
        <f>IFERROR(IF(F1085&gt;=0,D1085*E1085*(1+F1085/100),ABS(D1085*E1085/F1085)),"")</f>
        <v/>
      </c>
      <c r="H1085" s="43" t="str">
        <f>IFERROR(G1085*E1079,"")</f>
        <v/>
      </c>
      <c r="I1085" s="3"/>
    </row>
    <row r="1086" spans="1:11" ht="12.75" customHeight="1">
      <c r="A1086" s="28"/>
      <c r="B1086" s="29"/>
      <c r="C1086" s="30" t="str">
        <f>IFERROR(_xlfn.XLOOKUP(B1086,Insumo[DESCRIPCION],Insumo[UND],,0),"")</f>
        <v/>
      </c>
      <c r="D1086" s="31"/>
      <c r="E1086" s="32" t="str">
        <f>IFERROR(_xlfn.XLOOKUP($B1086,Insumo[DESCRIPCION],Insumo[VALOR],,0),"")</f>
        <v/>
      </c>
      <c r="F1086" s="33"/>
      <c r="G1086" s="34" t="str">
        <f>IFERROR(IF(F1086&gt;=0,D1086*E1086*(1+F1086/100),ABS(D1086*E1086/F1086)),"")</f>
        <v/>
      </c>
      <c r="H1086" s="43" t="str">
        <f>IFERROR(G1086*E1079,"")</f>
        <v/>
      </c>
      <c r="I1086" s="3"/>
    </row>
    <row r="1087" spans="1:11" ht="12.75" customHeight="1">
      <c r="A1087" s="21"/>
      <c r="B1087" s="22" t="s">
        <v>3731</v>
      </c>
      <c r="C1087" s="23"/>
      <c r="D1087" s="24"/>
      <c r="E1087" s="25"/>
      <c r="F1087" s="26"/>
      <c r="G1087" s="27">
        <f>SUM(G1088:G1090)</f>
        <v>0</v>
      </c>
      <c r="H1087" s="27">
        <f>IFERROR(G1087*E1079,"")</f>
        <v>0</v>
      </c>
      <c r="I1087" s="3"/>
    </row>
    <row r="1088" spans="1:11" ht="12.75" customHeight="1">
      <c r="A1088" s="28"/>
      <c r="B1088" s="29"/>
      <c r="C1088" s="30" t="str">
        <f>IFERROR(_xlfn.XLOOKUP(B1088,Equipo[DESCRIPCION],Equipo[UND],,0),"")</f>
        <v/>
      </c>
      <c r="D1088" s="31"/>
      <c r="E1088" s="32" t="str">
        <f>IF(C1088="%MO",G1094,IFERROR(_xlfn.XLOOKUP($B1088,Equipo[DESCRIPCION],Equipo[VALOR],,0),""))</f>
        <v/>
      </c>
      <c r="F1088" s="33"/>
      <c r="G1088" s="34" t="str">
        <f>IFERROR(IF(F1088&gt;=0,D1088*E1088*(1+F1088/100),ABS(D1088*E1088/F1088)),"")</f>
        <v/>
      </c>
      <c r="H1088" s="43" t="str">
        <f>IFERROR(G1088*E1079,"")</f>
        <v/>
      </c>
      <c r="I1088" s="3"/>
    </row>
    <row r="1089" spans="1:11" ht="12.75" customHeight="1">
      <c r="A1089" s="28"/>
      <c r="B1089" s="29"/>
      <c r="C1089" s="30" t="str">
        <f>IFERROR(_xlfn.XLOOKUP(B1089,Equipo[DESCRIPCION],Equipo[UND],,0),"")</f>
        <v/>
      </c>
      <c r="D1089" s="31"/>
      <c r="E1089" s="32" t="str">
        <f>IF(C1089="%MO",G1094,IFERROR(_xlfn.XLOOKUP($B1089,Equipo[DESCRIPCION],Equipo[VALOR],,0),""))</f>
        <v/>
      </c>
      <c r="F1089" s="33"/>
      <c r="G1089" s="34" t="str">
        <f>IFERROR(IF(F1089&gt;=0,D1089*E1089*(1+F1089/100),ABS(D1089*E1089/F1089)),"")</f>
        <v/>
      </c>
      <c r="H1089" s="43" t="str">
        <f>IFERROR(G1089*E1079,"")</f>
        <v/>
      </c>
      <c r="I1089" s="3"/>
    </row>
    <row r="1090" spans="1:11" ht="12.75" customHeight="1">
      <c r="A1090" s="28"/>
      <c r="B1090" s="29"/>
      <c r="C1090" s="30" t="str">
        <f>IFERROR(_xlfn.XLOOKUP(B1090,Equipo[DESCRIPCION],Equipo[UND],,0),"")</f>
        <v/>
      </c>
      <c r="D1090" s="31"/>
      <c r="E1090" s="32" t="str">
        <f>IF(C1090="%MO",G1094,IFERROR(_xlfn.XLOOKUP($B1090,Equipo[DESCRIPCION],Equipo[VALOR],,0),""))</f>
        <v/>
      </c>
      <c r="F1090" s="33"/>
      <c r="G1090" s="34" t="str">
        <f>IFERROR(IF(F1090&gt;=0,D1090*E1090*(1+F1090/100),ABS(D1090*E1090/F1090)),"")</f>
        <v/>
      </c>
      <c r="H1090" s="43" t="str">
        <f>IFERROR(G1090*E1079,"")</f>
        <v/>
      </c>
      <c r="I1090" s="3"/>
    </row>
    <row r="1091" spans="1:11" ht="12.75" customHeight="1">
      <c r="A1091" s="21"/>
      <c r="B1091" s="22" t="s">
        <v>2533</v>
      </c>
      <c r="C1091" s="23"/>
      <c r="D1091" s="24"/>
      <c r="E1091" s="25"/>
      <c r="F1091" s="26"/>
      <c r="G1091" s="27">
        <f>SUM(G1092:G1093)</f>
        <v>0</v>
      </c>
      <c r="H1091" s="27">
        <f>IFERROR(G1091*E1079,"")</f>
        <v>0</v>
      </c>
      <c r="I1091" s="3"/>
    </row>
    <row r="1092" spans="1:11" ht="12.75" customHeight="1">
      <c r="A1092" s="28"/>
      <c r="B1092" s="29"/>
      <c r="C1092" s="30" t="str">
        <f>IFERROR(_xlfn.XLOOKUP(B1092,Transporte[DESCRIPCION],Transporte[UND],,0),"")</f>
        <v/>
      </c>
      <c r="D1092" s="31"/>
      <c r="E1092" s="32" t="str">
        <f>IFERROR(_xlfn.XLOOKUP($B1092,Transporte[DESCRIPCION],Transporte[VALOR],,0),"")</f>
        <v/>
      </c>
      <c r="F1092" s="33"/>
      <c r="G1092" s="34" t="str">
        <f>IFERROR(IF(F1092&gt;=0,D1092*E1092*(1+F1092/100),ABS(D1092*E1092/F1092)),"")</f>
        <v/>
      </c>
      <c r="H1092" s="43" t="str">
        <f>IFERROR(G1092*E1079,"")</f>
        <v/>
      </c>
      <c r="I1092" s="3"/>
    </row>
    <row r="1093" spans="1:11" ht="12.75" customHeight="1">
      <c r="A1093" s="28"/>
      <c r="B1093" s="29"/>
      <c r="C1093" s="30" t="str">
        <f>IFERROR(_xlfn.XLOOKUP(B1093,Transporte[DESCRIPCION],Transporte[UND],,0),"")</f>
        <v/>
      </c>
      <c r="D1093" s="31"/>
      <c r="E1093" s="32" t="str">
        <f>IFERROR(_xlfn.XLOOKUP($B1093,Transporte[DESCRIPCION],Transporte[VALOR],,0),"")</f>
        <v/>
      </c>
      <c r="F1093" s="33"/>
      <c r="G1093" s="34" t="str">
        <f>IFERROR(IF(F1093&gt;=0,D1093*E1093*(1+F1093/100),ABS(D1093*E1093/F1093)),"")</f>
        <v/>
      </c>
      <c r="H1093" s="43" t="str">
        <f>IFERROR(G1093*E1079,"")</f>
        <v/>
      </c>
      <c r="I1093" s="3"/>
    </row>
    <row r="1094" spans="1:11" ht="12.75" customHeight="1">
      <c r="A1094" s="21"/>
      <c r="B1094" s="22" t="s">
        <v>3732</v>
      </c>
      <c r="C1094" s="23"/>
      <c r="D1094" s="24"/>
      <c r="E1094" s="25"/>
      <c r="F1094" s="26"/>
      <c r="G1094" s="27">
        <f>SUM(G1095:G1097)</f>
        <v>0</v>
      </c>
      <c r="H1094" s="27">
        <f>IFERROR(G1094*E1079,"")</f>
        <v>0</v>
      </c>
      <c r="I1094" s="3"/>
    </row>
    <row r="1095" spans="1:11" ht="12.75" customHeight="1">
      <c r="A1095" s="28"/>
      <c r="B1095" s="29"/>
      <c r="C1095" s="30" t="str">
        <f>IFERROR(_xlfn.XLOOKUP(B1095,MObra[DESCRIPCION],MObra[UN],,0),"")</f>
        <v/>
      </c>
      <c r="D1095" s="31"/>
      <c r="E1095" s="32" t="str">
        <f>IFERROR(_xlfn.XLOOKUP($B1095,MObra[DESCRIPCION],MObra[VALOR UNIT],,0),"")</f>
        <v/>
      </c>
      <c r="F1095" s="33"/>
      <c r="G1095" s="34" t="str">
        <f>IFERROR(IF(F1095&gt;=0,D1095*E1095*(1+F1095/100),ABS(D1095*E1095/F1095)),"")</f>
        <v/>
      </c>
      <c r="H1095" s="43" t="str">
        <f>IFERROR(G1095*E1079,"")</f>
        <v/>
      </c>
      <c r="I1095" s="3"/>
    </row>
    <row r="1096" spans="1:11" ht="12.75" customHeight="1">
      <c r="A1096" s="28"/>
      <c r="B1096" s="29"/>
      <c r="C1096" s="30" t="str">
        <f>IFERROR(_xlfn.XLOOKUP(B1096,MObra[DESCRIPCION],MObra[UN],,0),"")</f>
        <v/>
      </c>
      <c r="D1096" s="31"/>
      <c r="E1096" s="32" t="str">
        <f>IFERROR(_xlfn.XLOOKUP($B1096,MObra[DESCRIPCION],MObra[VALOR UNIT],,0),"")</f>
        <v/>
      </c>
      <c r="F1096" s="33"/>
      <c r="G1096" s="34" t="str">
        <f>IFERROR(IF(F1096&gt;=0,D1096*E1096*(1+F1096/100),ABS(D1096*E1096/F1096)),"")</f>
        <v/>
      </c>
      <c r="H1096" s="43" t="str">
        <f>IFERROR(G1096*E1079,"")</f>
        <v/>
      </c>
      <c r="I1096" s="3"/>
    </row>
    <row r="1097" spans="1:11" ht="12.75" customHeight="1" thickBot="1">
      <c r="A1097" s="35"/>
      <c r="B1097" s="36"/>
      <c r="C1097" s="37" t="str">
        <f>IFERROR(_xlfn.XLOOKUP(B1097,MObra[DESCRIPCION],MObra[UN],,0),"")</f>
        <v/>
      </c>
      <c r="D1097" s="38"/>
      <c r="E1097" s="39" t="str">
        <f>IFERROR(_xlfn.XLOOKUP($B1097,MObra[DESCRIPCION],MObra[VALOR UNIT],,0),"")</f>
        <v/>
      </c>
      <c r="F1097" s="40"/>
      <c r="G1097" s="41" t="str">
        <f>IFERROR(IF(F1097&gt;=0,D1097*E1097*(1+F1097/100),ABS(D1097*E1097/F1097)),"")</f>
        <v/>
      </c>
      <c r="H1097" s="42" t="str">
        <f>IFERROR(G1097*E1079,"")</f>
        <v/>
      </c>
      <c r="I1097" s="3"/>
    </row>
    <row r="1098" spans="1:11" ht="12.75" customHeight="1" thickTop="1" thickBot="1">
      <c r="I1098" s="3"/>
    </row>
    <row r="1099" spans="1:11" ht="12.75" customHeight="1" thickTop="1" thickBot="1">
      <c r="A1099" s="6" t="s">
        <v>1663</v>
      </c>
      <c r="B1099" s="7" t="str">
        <f>VLOOKUP($A1099,Presupuesto!$A:$D,2,FALSE())</f>
        <v>Ventana guillotina lámina C 20 doble</v>
      </c>
      <c r="C1099" s="8" t="str">
        <f>VLOOKUP($A1099,Presupuesto!$A:$D,3,FALSE())</f>
        <v>M2</v>
      </c>
      <c r="D1099" s="9"/>
      <c r="E1099" s="10">
        <f>VLOOKUP($A1099,Presupuesto!$A:$D,4,FALSE())</f>
        <v>0</v>
      </c>
      <c r="F1099" s="11" t="s">
        <v>2589</v>
      </c>
      <c r="G1099" s="12">
        <f>SUM(G1101:G1118)/2</f>
        <v>918866.0962530002</v>
      </c>
      <c r="H1099" s="13">
        <f>ROUND(SUM(H1101:H1118),0)/2</f>
        <v>0</v>
      </c>
      <c r="I1099" s="10">
        <f>VLOOKUP(A1099,Presupuesto!$A:$F,6,0)</f>
        <v>0</v>
      </c>
      <c r="J1099" s="10">
        <f>+H1099-I1099</f>
        <v>0</v>
      </c>
      <c r="K1099" s="46">
        <f>+H1099-G1099*E1099</f>
        <v>0</v>
      </c>
    </row>
    <row r="1100" spans="1:11" ht="12.75" customHeight="1" thickTop="1">
      <c r="A1100" s="14"/>
      <c r="B1100" s="15" t="s">
        <v>2586</v>
      </c>
      <c r="C1100" s="15" t="s">
        <v>5</v>
      </c>
      <c r="D1100" s="16" t="s">
        <v>6</v>
      </c>
      <c r="E1100" s="17" t="s">
        <v>7</v>
      </c>
      <c r="F1100" s="18" t="s">
        <v>3728</v>
      </c>
      <c r="G1100" s="19" t="s">
        <v>3729</v>
      </c>
      <c r="H1100" s="20" t="s">
        <v>3797</v>
      </c>
      <c r="I1100" s="3"/>
    </row>
    <row r="1101" spans="1:11" ht="12.75" customHeight="1">
      <c r="A1101" s="21"/>
      <c r="B1101" s="22" t="s">
        <v>3730</v>
      </c>
      <c r="C1101" s="23"/>
      <c r="D1101" s="24"/>
      <c r="E1101" s="25"/>
      <c r="F1101" s="26"/>
      <c r="G1101" s="27">
        <f>SUM(G1102:G1107)</f>
        <v>430585.99500000005</v>
      </c>
      <c r="H1101" s="27">
        <f>IFERROR(G1101*E1099,"")</f>
        <v>0</v>
      </c>
      <c r="I1101" s="3"/>
    </row>
    <row r="1102" spans="1:11" ht="12.75" customHeight="1">
      <c r="A1102" s="28"/>
      <c r="B1102" s="29" t="s">
        <v>3024</v>
      </c>
      <c r="C1102" s="30" t="str">
        <f>IFERROR(_xlfn.XLOOKUP(B1102,Insumo[DESCRIPCION],Insumo[UND],,0),"")</f>
        <v>M2</v>
      </c>
      <c r="D1102" s="31">
        <v>2</v>
      </c>
      <c r="E1102" s="32">
        <f>IFERROR(_xlfn.XLOOKUP($B1102,Insumo[DESCRIPCION],Insumo[VALOR],,0),"")</f>
        <v>139918.80000000002</v>
      </c>
      <c r="F1102" s="33"/>
      <c r="G1102" s="34">
        <f t="shared" ref="G1102:G1107" si="7">IFERROR(IF(F1102&gt;=0,D1102*E1102*(1+F1102/100),ABS(D1102*E1102/F1102)),"")</f>
        <v>279837.60000000003</v>
      </c>
      <c r="H1102" s="43">
        <f>IFERROR(G1102*E1099,"")</f>
        <v>0</v>
      </c>
      <c r="I1102" s="3"/>
    </row>
    <row r="1103" spans="1:11" ht="12.75" customHeight="1">
      <c r="A1103" s="28"/>
      <c r="B1103" s="29" t="s">
        <v>2653</v>
      </c>
      <c r="C1103" s="30" t="str">
        <f>IFERROR(_xlfn.XLOOKUP(B1103,Insumo[DESCRIPCION],Insumo[UND],,0),"")</f>
        <v>Kg</v>
      </c>
      <c r="D1103" s="31">
        <v>1</v>
      </c>
      <c r="E1103" s="32">
        <f>IFERROR(_xlfn.XLOOKUP($B1103,Insumo[DESCRIPCION],Insumo[VALOR],,0),"")</f>
        <v>5686.8</v>
      </c>
      <c r="F1103" s="33"/>
      <c r="G1103" s="34">
        <f t="shared" si="7"/>
        <v>5686.8</v>
      </c>
      <c r="H1103" s="43">
        <f>IFERROR(G1103*E1099,"")</f>
        <v>0</v>
      </c>
      <c r="I1103" s="3"/>
    </row>
    <row r="1104" spans="1:11" ht="12.75" customHeight="1">
      <c r="A1104" s="28"/>
      <c r="B1104" s="29" t="s">
        <v>2707</v>
      </c>
      <c r="C1104" s="30" t="str">
        <f>IFERROR(_xlfn.XLOOKUP(B1104,Insumo[DESCRIPCION],Insumo[UND],,0),"")</f>
        <v>M</v>
      </c>
      <c r="D1104" s="31">
        <v>8</v>
      </c>
      <c r="E1104" s="32">
        <f>IFERROR(_xlfn.XLOOKUP($B1104,Insumo[DESCRIPCION],Insumo[VALOR],,0),"")</f>
        <v>3231.9</v>
      </c>
      <c r="F1104" s="33"/>
      <c r="G1104" s="34">
        <f t="shared" si="7"/>
        <v>25855.200000000001</v>
      </c>
      <c r="H1104" s="43">
        <f>IFERROR(G1104*E1099,"")</f>
        <v>0</v>
      </c>
      <c r="I1104" s="3"/>
    </row>
    <row r="1105" spans="1:11" ht="12.75" customHeight="1">
      <c r="A1105" s="28"/>
      <c r="B1105" s="29" t="s">
        <v>3326</v>
      </c>
      <c r="C1105" s="30" t="str">
        <f>IFERROR(_xlfn.XLOOKUP(B1105,Insumo[DESCRIPCION],Insumo[UND],,0),"")</f>
        <v>Kg</v>
      </c>
      <c r="D1105" s="31">
        <v>0.1</v>
      </c>
      <c r="E1105" s="32">
        <f>IFERROR(_xlfn.XLOOKUP($B1105,Insumo[DESCRIPCION],Insumo[VALOR],,0),"")</f>
        <v>5978.7</v>
      </c>
      <c r="F1105" s="33"/>
      <c r="G1105" s="34">
        <f t="shared" si="7"/>
        <v>597.87</v>
      </c>
      <c r="H1105" s="43">
        <f>IFERROR(G1105*E1099,"")</f>
        <v>0</v>
      </c>
      <c r="I1105" s="3"/>
    </row>
    <row r="1106" spans="1:11" ht="12.75" customHeight="1">
      <c r="A1106" s="28"/>
      <c r="B1106" s="29" t="s">
        <v>3274</v>
      </c>
      <c r="C1106" s="30" t="str">
        <f>IFERROR(_xlfn.XLOOKUP(B1106,Insumo[DESCRIPCION],Insumo[UND],,0),"")</f>
        <v>Un</v>
      </c>
      <c r="D1106" s="31">
        <v>4</v>
      </c>
      <c r="E1106" s="32">
        <f>IFERROR(_xlfn.XLOOKUP($B1106,Insumo[DESCRIPCION],Insumo[VALOR],,0),"")</f>
        <v>17416.350000000002</v>
      </c>
      <c r="F1106" s="33"/>
      <c r="G1106" s="34">
        <f t="shared" si="7"/>
        <v>69665.400000000009</v>
      </c>
      <c r="H1106" s="43">
        <f>IFERROR(G1106*E1099,"")</f>
        <v>0</v>
      </c>
      <c r="I1106" s="3"/>
    </row>
    <row r="1107" spans="1:11" ht="12.75" customHeight="1">
      <c r="A1107" s="28"/>
      <c r="B1107" s="29" t="s">
        <v>2708</v>
      </c>
      <c r="C1107" s="30" t="str">
        <f>IFERROR(_xlfn.XLOOKUP(B1107,Insumo[DESCRIPCION],Insumo[UND],,0),"")</f>
        <v>galón</v>
      </c>
      <c r="D1107" s="31">
        <v>0.5</v>
      </c>
      <c r="E1107" s="32">
        <f>IFERROR(_xlfn.XLOOKUP($B1107,Insumo[DESCRIPCION],Insumo[VALOR],,0),"")</f>
        <v>97886.25</v>
      </c>
      <c r="F1107" s="33"/>
      <c r="G1107" s="34">
        <f t="shared" si="7"/>
        <v>48943.125</v>
      </c>
      <c r="H1107" s="43">
        <f>IFERROR(G1107*E1099,"")</f>
        <v>0</v>
      </c>
      <c r="I1107" s="3"/>
    </row>
    <row r="1108" spans="1:11" ht="12.75" customHeight="1">
      <c r="A1108" s="21"/>
      <c r="B1108" s="22" t="s">
        <v>3731</v>
      </c>
      <c r="C1108" s="23"/>
      <c r="D1108" s="24"/>
      <c r="E1108" s="25"/>
      <c r="F1108" s="26"/>
      <c r="G1108" s="27">
        <f>SUM(G1109:G1111)</f>
        <v>69092.433393000014</v>
      </c>
      <c r="H1108" s="27">
        <f>IFERROR(G1108*E1099,"")</f>
        <v>0</v>
      </c>
      <c r="I1108" s="3"/>
    </row>
    <row r="1109" spans="1:11" ht="12.75" customHeight="1">
      <c r="A1109" s="28"/>
      <c r="B1109" s="29" t="s">
        <v>3613</v>
      </c>
      <c r="C1109" s="30" t="str">
        <f>IFERROR(_xlfn.XLOOKUP(B1109,Equipo[DESCRIPCION],Equipo[UND],,0),"")</f>
        <v>Día</v>
      </c>
      <c r="D1109" s="31">
        <v>1</v>
      </c>
      <c r="E1109" s="32">
        <f>IF(C1109="%MO",G1115,IFERROR(_xlfn.XLOOKUP($B1109,Equipo[DESCRIPCION],Equipo[VALOR],,0),""))</f>
        <v>48133.05</v>
      </c>
      <c r="F1109" s="33">
        <v>-1</v>
      </c>
      <c r="G1109" s="34">
        <f>IFERROR(IF(F1109&gt;=0,D1109*E1109*(1+F1109/100),ABS(D1109*E1109/F1109)),"")</f>
        <v>48133.05</v>
      </c>
      <c r="H1109" s="43">
        <f>IFERROR(G1109*E1099,"")</f>
        <v>0</v>
      </c>
      <c r="I1109" s="3"/>
    </row>
    <row r="1110" spans="1:11" ht="12.75" customHeight="1">
      <c r="A1110" s="28"/>
      <c r="B1110" s="29" t="s">
        <v>3626</v>
      </c>
      <c r="C1110" s="30" t="str">
        <f>IFERROR(_xlfn.XLOOKUP(B1110,Equipo[DESCRIPCION],Equipo[UND],,0),"")</f>
        <v>%MO</v>
      </c>
      <c r="D1110" s="31">
        <v>0.05</v>
      </c>
      <c r="E1110" s="32">
        <f>IF(C1110="%MO",G1115,IFERROR(_xlfn.XLOOKUP($B1110,Equipo[DESCRIPCION],Equipo[VALOR],,0),""))</f>
        <v>419187.66786000005</v>
      </c>
      <c r="F1110" s="33"/>
      <c r="G1110" s="34">
        <f>IFERROR(IF(F1110&gt;=0,D1110*E1110*(1+F1110/100),ABS(D1110*E1110/F1110)),"")</f>
        <v>20959.383393000004</v>
      </c>
      <c r="H1110" s="43">
        <f>IFERROR(G1110*E1099,"")</f>
        <v>0</v>
      </c>
      <c r="I1110" s="3"/>
    </row>
    <row r="1111" spans="1:11" ht="12.75" customHeight="1">
      <c r="A1111" s="28"/>
      <c r="B1111" s="29"/>
      <c r="C1111" s="30" t="str">
        <f>IFERROR(_xlfn.XLOOKUP(B1111,Equipo[DESCRIPCION],Equipo[UND],,0),"")</f>
        <v/>
      </c>
      <c r="D1111" s="31"/>
      <c r="E1111" s="32" t="str">
        <f>IF(C1111="%MO",G1115,IFERROR(_xlfn.XLOOKUP($B1111,Equipo[DESCRIPCION],Equipo[VALOR],,0),""))</f>
        <v/>
      </c>
      <c r="F1111" s="33"/>
      <c r="G1111" s="34" t="str">
        <f>IFERROR(IF(F1111&gt;=0,D1111*E1111*(1+F1111/100),ABS(D1111*E1111/F1111)),"")</f>
        <v/>
      </c>
      <c r="H1111" s="43" t="str">
        <f>IFERROR(G1111*E1099,"")</f>
        <v/>
      </c>
      <c r="I1111" s="3"/>
    </row>
    <row r="1112" spans="1:11" ht="12.75" customHeight="1">
      <c r="A1112" s="21"/>
      <c r="B1112" s="22" t="s">
        <v>2533</v>
      </c>
      <c r="C1112" s="23"/>
      <c r="D1112" s="24"/>
      <c r="E1112" s="25"/>
      <c r="F1112" s="26"/>
      <c r="G1112" s="27">
        <f>SUM(G1113:G1114)</f>
        <v>0</v>
      </c>
      <c r="H1112" s="27">
        <f>IFERROR(G1112*E1099,"")</f>
        <v>0</v>
      </c>
      <c r="I1112" s="3"/>
    </row>
    <row r="1113" spans="1:11" ht="12.75" customHeight="1">
      <c r="A1113" s="28"/>
      <c r="B1113" s="29"/>
      <c r="C1113" s="30" t="str">
        <f>IFERROR(_xlfn.XLOOKUP(B1113,Transporte[DESCRIPCION],Transporte[UND],,0),"")</f>
        <v/>
      </c>
      <c r="D1113" s="31"/>
      <c r="E1113" s="32" t="str">
        <f>IFERROR(_xlfn.XLOOKUP($B1113,Transporte[DESCRIPCION],Transporte[VALOR],,0),"")</f>
        <v/>
      </c>
      <c r="F1113" s="33"/>
      <c r="G1113" s="34" t="str">
        <f>IFERROR(IF(F1113&gt;=0,D1113*E1113*(1+F1113/100),ABS(D1113*E1113/F1113)),"")</f>
        <v/>
      </c>
      <c r="H1113" s="43" t="str">
        <f>IFERROR(G1113*E1099,"")</f>
        <v/>
      </c>
      <c r="I1113" s="3"/>
    </row>
    <row r="1114" spans="1:11" ht="12.75" customHeight="1">
      <c r="A1114" s="28"/>
      <c r="B1114" s="29"/>
      <c r="C1114" s="30" t="str">
        <f>IFERROR(_xlfn.XLOOKUP(B1114,Transporte[DESCRIPCION],Transporte[UND],,0),"")</f>
        <v/>
      </c>
      <c r="D1114" s="31"/>
      <c r="E1114" s="32" t="str">
        <f>IFERROR(_xlfn.XLOOKUP($B1114,Transporte[DESCRIPCION],Transporte[VALOR],,0),"")</f>
        <v/>
      </c>
      <c r="F1114" s="33"/>
      <c r="G1114" s="34" t="str">
        <f>IFERROR(IF(F1114&gt;=0,D1114*E1114*(1+F1114/100),ABS(D1114*E1114/F1114)),"")</f>
        <v/>
      </c>
      <c r="H1114" s="43" t="str">
        <f>IFERROR(G1114*E1099,"")</f>
        <v/>
      </c>
      <c r="I1114" s="3"/>
    </row>
    <row r="1115" spans="1:11" ht="12.75" customHeight="1">
      <c r="A1115" s="21"/>
      <c r="B1115" s="22" t="s">
        <v>3732</v>
      </c>
      <c r="C1115" s="23"/>
      <c r="D1115" s="24"/>
      <c r="E1115" s="25"/>
      <c r="F1115" s="26"/>
      <c r="G1115" s="27">
        <f>SUM(G1116:G1118)</f>
        <v>419187.66786000005</v>
      </c>
      <c r="H1115" s="27">
        <f>IFERROR(G1115*E1099,"")</f>
        <v>0</v>
      </c>
      <c r="I1115" s="3"/>
    </row>
    <row r="1116" spans="1:11" ht="12.75" customHeight="1">
      <c r="A1116" s="28"/>
      <c r="B1116" s="29" t="s">
        <v>3724</v>
      </c>
      <c r="C1116" s="30" t="str">
        <f>IFERROR(_xlfn.XLOOKUP(B1116,MObra[DESCRIPCION],MObra[UN],,0),"")</f>
        <v>día</v>
      </c>
      <c r="D1116" s="31">
        <v>1</v>
      </c>
      <c r="E1116" s="32">
        <f>IFERROR(_xlfn.XLOOKUP($B1116,MObra[DESCRIPCION],MObra[VALOR UNIT],,0),"")</f>
        <v>419187.66786000005</v>
      </c>
      <c r="F1116" s="33">
        <v>-1</v>
      </c>
      <c r="G1116" s="34">
        <f>IFERROR(IF(F1116&gt;=0,D1116*E1116*(1+F1116/100),ABS(D1116*E1116/F1116)),"")</f>
        <v>419187.66786000005</v>
      </c>
      <c r="H1116" s="43">
        <f>IFERROR(G1116*E1099,"")</f>
        <v>0</v>
      </c>
      <c r="I1116" s="3"/>
    </row>
    <row r="1117" spans="1:11" ht="12.75" customHeight="1">
      <c r="A1117" s="28"/>
      <c r="B1117" s="29"/>
      <c r="C1117" s="30" t="str">
        <f>IFERROR(_xlfn.XLOOKUP(B1117,MObra[DESCRIPCION],MObra[UN],,0),"")</f>
        <v/>
      </c>
      <c r="D1117" s="31"/>
      <c r="E1117" s="32" t="str">
        <f>IFERROR(_xlfn.XLOOKUP($B1117,MObra[DESCRIPCION],MObra[VALOR UNIT],,0),"")</f>
        <v/>
      </c>
      <c r="F1117" s="33"/>
      <c r="G1117" s="34" t="str">
        <f>IFERROR(IF(F1117&gt;=0,D1117*E1117*(1+F1117/100),ABS(D1117*E1117/F1117)),"")</f>
        <v/>
      </c>
      <c r="H1117" s="43" t="str">
        <f>IFERROR(G1117*E1099,"")</f>
        <v/>
      </c>
      <c r="I1117" s="3"/>
    </row>
    <row r="1118" spans="1:11" ht="12.75" customHeight="1" thickBot="1">
      <c r="A1118" s="35"/>
      <c r="B1118" s="36"/>
      <c r="C1118" s="37" t="str">
        <f>IFERROR(_xlfn.XLOOKUP(B1118,MObra[DESCRIPCION],MObra[UN],,0),"")</f>
        <v/>
      </c>
      <c r="D1118" s="38"/>
      <c r="E1118" s="39" t="str">
        <f>IFERROR(_xlfn.XLOOKUP($B1118,MObra[DESCRIPCION],MObra[VALOR UNIT],,0),"")</f>
        <v/>
      </c>
      <c r="F1118" s="40"/>
      <c r="G1118" s="41" t="str">
        <f>IFERROR(IF(F1118&gt;=0,D1118*E1118*(1+F1118/100),ABS(D1118*E1118/F1118)),"")</f>
        <v/>
      </c>
      <c r="H1118" s="42" t="str">
        <f>IFERROR(G1118*E1099,"")</f>
        <v/>
      </c>
      <c r="I1118" s="3"/>
    </row>
    <row r="1119" spans="1:11" ht="12.75" customHeight="1" thickTop="1" thickBot="1">
      <c r="I1119" s="3"/>
    </row>
    <row r="1120" spans="1:11" ht="12.75" customHeight="1" thickTop="1" thickBot="1">
      <c r="A1120" s="6" t="s">
        <v>1665</v>
      </c>
      <c r="B1120" s="7" t="str">
        <f>VLOOKUP($A1120,Presupuesto!$A:$D,2,FALSE())</f>
        <v>Ventana metal basculante C 22 + vidrio</v>
      </c>
      <c r="C1120" s="8" t="str">
        <f>VLOOKUP($A1120,Presupuesto!$A:$D,3,FALSE())</f>
        <v>M2</v>
      </c>
      <c r="D1120" s="9"/>
      <c r="E1120" s="10">
        <f>VLOOKUP($A1120,Presupuesto!$A:$D,4,FALSE())</f>
        <v>0</v>
      </c>
      <c r="F1120" s="11" t="s">
        <v>2589</v>
      </c>
      <c r="G1120" s="12">
        <f>SUM(G1122:G1138)/2</f>
        <v>355244.72093775007</v>
      </c>
      <c r="H1120" s="13">
        <f>ROUND(SUM(H1122:H1138),0)/2</f>
        <v>0</v>
      </c>
      <c r="I1120" s="10">
        <f>VLOOKUP(A1120,Presupuesto!$A:$F,6,0)</f>
        <v>0</v>
      </c>
      <c r="J1120" s="10">
        <f>+H1120-I1120</f>
        <v>0</v>
      </c>
      <c r="K1120" s="46">
        <f>+H1120-G1120*E1120</f>
        <v>0</v>
      </c>
    </row>
    <row r="1121" spans="1:9" ht="12.75" customHeight="1" thickTop="1">
      <c r="A1121" s="14"/>
      <c r="B1121" s="15" t="s">
        <v>2586</v>
      </c>
      <c r="C1121" s="15" t="s">
        <v>5</v>
      </c>
      <c r="D1121" s="16" t="s">
        <v>6</v>
      </c>
      <c r="E1121" s="17" t="s">
        <v>7</v>
      </c>
      <c r="F1121" s="18" t="s">
        <v>3728</v>
      </c>
      <c r="G1121" s="19" t="s">
        <v>3729</v>
      </c>
      <c r="H1121" s="20" t="s">
        <v>3797</v>
      </c>
      <c r="I1121" s="3"/>
    </row>
    <row r="1122" spans="1:9" ht="12.75" customHeight="1">
      <c r="A1122" s="21"/>
      <c r="B1122" s="22" t="s">
        <v>3730</v>
      </c>
      <c r="C1122" s="23"/>
      <c r="D1122" s="24"/>
      <c r="E1122" s="25"/>
      <c r="F1122" s="26"/>
      <c r="G1122" s="27">
        <f>SUM(G1123:G1127)</f>
        <v>318565.8</v>
      </c>
      <c r="H1122" s="27">
        <f>IFERROR(G1122*E1120,"")</f>
        <v>0</v>
      </c>
      <c r="I1122" s="3"/>
    </row>
    <row r="1123" spans="1:9" ht="12.75" customHeight="1">
      <c r="A1123" s="28"/>
      <c r="B1123" s="29" t="s">
        <v>3246</v>
      </c>
      <c r="C1123" s="30" t="str">
        <f>IFERROR(_xlfn.XLOOKUP(B1123,Insumo[DESCRIPCION],Insumo[UND],,0),"")</f>
        <v>M2</v>
      </c>
      <c r="D1123" s="31">
        <v>1</v>
      </c>
      <c r="E1123" s="32">
        <f>IFERROR(_xlfn.XLOOKUP($B1123,Insumo[DESCRIPCION],Insumo[VALOR],,0),"")</f>
        <v>318255</v>
      </c>
      <c r="F1123" s="33"/>
      <c r="G1123" s="34">
        <f>IFERROR(IF(F1123&gt;=0,D1123*E1123*(1+F1123/100),ABS(D1123*E1123/F1123)),"")</f>
        <v>318255</v>
      </c>
      <c r="H1123" s="43">
        <f>IFERROR(G1123*E1120,"")</f>
        <v>0</v>
      </c>
      <c r="I1123" s="3"/>
    </row>
    <row r="1124" spans="1:9" ht="12.75" customHeight="1">
      <c r="A1124" s="28"/>
      <c r="B1124" s="29" t="s">
        <v>3407</v>
      </c>
      <c r="C1124" s="30" t="str">
        <f>IFERROR(_xlfn.XLOOKUP(B1124,Insumo[DESCRIPCION],Insumo[UND],,0),"")</f>
        <v>Un</v>
      </c>
      <c r="D1124" s="31">
        <v>4</v>
      </c>
      <c r="E1124" s="32">
        <f>IFERROR(_xlfn.XLOOKUP($B1124,Insumo[DESCRIPCION],Insumo[VALOR],,0),"")</f>
        <v>77.7</v>
      </c>
      <c r="F1124" s="33"/>
      <c r="G1124" s="34">
        <f>IFERROR(IF(F1124&gt;=0,D1124*E1124*(1+F1124/100),ABS(D1124*E1124/F1124)),"")</f>
        <v>310.8</v>
      </c>
      <c r="H1124" s="43">
        <f>IFERROR(G1124*E1120,"")</f>
        <v>0</v>
      </c>
      <c r="I1124" s="3"/>
    </row>
    <row r="1125" spans="1:9" ht="12.75" customHeight="1">
      <c r="A1125" s="28"/>
      <c r="B1125" s="29"/>
      <c r="C1125" s="30" t="str">
        <f>IFERROR(_xlfn.XLOOKUP(B1125,Insumo[DESCRIPCION],Insumo[UND],,0),"")</f>
        <v/>
      </c>
      <c r="D1125" s="31"/>
      <c r="E1125" s="32" t="str">
        <f>IFERROR(_xlfn.XLOOKUP($B1125,Insumo[DESCRIPCION],Insumo[VALOR],,0),"")</f>
        <v/>
      </c>
      <c r="F1125" s="33"/>
      <c r="G1125" s="34" t="str">
        <f>IFERROR(IF(F1125&gt;=0,D1125*E1125*(1+F1125/100),ABS(D1125*E1125/F1125)),"")</f>
        <v/>
      </c>
      <c r="H1125" s="43" t="str">
        <f>IFERROR(G1125*E1120,"")</f>
        <v/>
      </c>
      <c r="I1125" s="3"/>
    </row>
    <row r="1126" spans="1:9" ht="12.75" customHeight="1">
      <c r="A1126" s="28"/>
      <c r="B1126" s="29"/>
      <c r="C1126" s="30" t="str">
        <f>IFERROR(_xlfn.XLOOKUP(B1126,Insumo[DESCRIPCION],Insumo[UND],,0),"")</f>
        <v/>
      </c>
      <c r="D1126" s="31"/>
      <c r="E1126" s="32" t="str">
        <f>IFERROR(_xlfn.XLOOKUP($B1126,Insumo[DESCRIPCION],Insumo[VALOR],,0),"")</f>
        <v/>
      </c>
      <c r="F1126" s="33"/>
      <c r="G1126" s="34" t="str">
        <f>IFERROR(IF(F1126&gt;=0,D1126*E1126*(1+F1126/100),ABS(D1126*E1126/F1126)),"")</f>
        <v/>
      </c>
      <c r="H1126" s="43" t="str">
        <f>IFERROR(G1126*E1120,"")</f>
        <v/>
      </c>
      <c r="I1126" s="3"/>
    </row>
    <row r="1127" spans="1:9" ht="12.75" customHeight="1">
      <c r="A1127" s="28"/>
      <c r="B1127" s="29"/>
      <c r="C1127" s="30" t="str">
        <f>IFERROR(_xlfn.XLOOKUP(B1127,Insumo[DESCRIPCION],Insumo[UND],,0),"")</f>
        <v/>
      </c>
      <c r="D1127" s="31"/>
      <c r="E1127" s="32" t="str">
        <f>IFERROR(_xlfn.XLOOKUP($B1127,Insumo[DESCRIPCION],Insumo[VALOR],,0),"")</f>
        <v/>
      </c>
      <c r="F1127" s="33"/>
      <c r="G1127" s="34" t="str">
        <f>IFERROR(IF(F1127&gt;=0,D1127*E1127*(1+F1127/100),ABS(D1127*E1127/F1127)),"")</f>
        <v/>
      </c>
      <c r="H1127" s="43" t="str">
        <f>IFERROR(G1127*E1120,"")</f>
        <v/>
      </c>
      <c r="I1127" s="3"/>
    </row>
    <row r="1128" spans="1:9" ht="12.75" customHeight="1">
      <c r="A1128" s="21"/>
      <c r="B1128" s="22" t="s">
        <v>3731</v>
      </c>
      <c r="C1128" s="23"/>
      <c r="D1128" s="24"/>
      <c r="E1128" s="25"/>
      <c r="F1128" s="26"/>
      <c r="G1128" s="27">
        <f>SUM(G1129:G1131)</f>
        <v>1746.6152827500002</v>
      </c>
      <c r="H1128" s="27">
        <f>IFERROR(G1128*E1120,"")</f>
        <v>0</v>
      </c>
      <c r="I1128" s="3"/>
    </row>
    <row r="1129" spans="1:9" ht="12.75" customHeight="1">
      <c r="A1129" s="28"/>
      <c r="B1129" s="29" t="s">
        <v>3626</v>
      </c>
      <c r="C1129" s="30" t="str">
        <f>IFERROR(_xlfn.XLOOKUP(B1129,Equipo[DESCRIPCION],Equipo[UND],,0),"")</f>
        <v>%MO</v>
      </c>
      <c r="D1129" s="31">
        <v>0.05</v>
      </c>
      <c r="E1129" s="32">
        <f>IF(C1129="%MO",G1135,IFERROR(_xlfn.XLOOKUP($B1129,Equipo[DESCRIPCION],Equipo[VALOR],,0),""))</f>
        <v>34932.305655000004</v>
      </c>
      <c r="F1129" s="33"/>
      <c r="G1129" s="34">
        <f>IFERROR(IF(F1129&gt;=0,D1129*E1129*(1+F1129/100),ABS(D1129*E1129/F1129)),"")</f>
        <v>1746.6152827500002</v>
      </c>
      <c r="H1129" s="43">
        <f>IFERROR(G1129*E1120,"")</f>
        <v>0</v>
      </c>
      <c r="I1129" s="3"/>
    </row>
    <row r="1130" spans="1:9" ht="12.75" customHeight="1">
      <c r="A1130" s="28"/>
      <c r="B1130" s="29"/>
      <c r="C1130" s="30" t="str">
        <f>IFERROR(_xlfn.XLOOKUP(B1130,Equipo[DESCRIPCION],Equipo[UND],,0),"")</f>
        <v/>
      </c>
      <c r="D1130" s="31"/>
      <c r="E1130" s="32" t="str">
        <f>IF(C1130="%MO",G1135,IFERROR(_xlfn.XLOOKUP($B1130,Equipo[DESCRIPCION],Equipo[VALOR],,0),""))</f>
        <v/>
      </c>
      <c r="F1130" s="33"/>
      <c r="G1130" s="34" t="str">
        <f>IFERROR(IF(F1130&gt;=0,D1130*E1130*(1+F1130/100),ABS(D1130*E1130/F1130)),"")</f>
        <v/>
      </c>
      <c r="H1130" s="43" t="str">
        <f>IFERROR(G1130*E1120,"")</f>
        <v/>
      </c>
      <c r="I1130" s="3"/>
    </row>
    <row r="1131" spans="1:9" ht="12.75" customHeight="1">
      <c r="A1131" s="28"/>
      <c r="B1131" s="29"/>
      <c r="C1131" s="30" t="str">
        <f>IFERROR(_xlfn.XLOOKUP(B1131,Equipo[DESCRIPCION],Equipo[UND],,0),"")</f>
        <v/>
      </c>
      <c r="D1131" s="31"/>
      <c r="E1131" s="32" t="str">
        <f>IF(C1131="%MO",G1135,IFERROR(_xlfn.XLOOKUP($B1131,Equipo[DESCRIPCION],Equipo[VALOR],,0),""))</f>
        <v/>
      </c>
      <c r="F1131" s="33"/>
      <c r="G1131" s="34" t="str">
        <f>IFERROR(IF(F1131&gt;=0,D1131*E1131*(1+F1131/100),ABS(D1131*E1131/F1131)),"")</f>
        <v/>
      </c>
      <c r="H1131" s="43" t="str">
        <f>IFERROR(G1131*E1120,"")</f>
        <v/>
      </c>
      <c r="I1131" s="3"/>
    </row>
    <row r="1132" spans="1:9" ht="12.75" customHeight="1">
      <c r="A1132" s="21"/>
      <c r="B1132" s="22" t="s">
        <v>2533</v>
      </c>
      <c r="C1132" s="23"/>
      <c r="D1132" s="24"/>
      <c r="E1132" s="25"/>
      <c r="F1132" s="26"/>
      <c r="G1132" s="27">
        <f>SUM(G1133:G1134)</f>
        <v>0</v>
      </c>
      <c r="H1132" s="27">
        <f>IFERROR(G1132*E1120,"")</f>
        <v>0</v>
      </c>
      <c r="I1132" s="3"/>
    </row>
    <row r="1133" spans="1:9" ht="12.75" customHeight="1">
      <c r="A1133" s="28"/>
      <c r="B1133" s="29"/>
      <c r="C1133" s="30" t="str">
        <f>IFERROR(_xlfn.XLOOKUP(B1133,Transporte[DESCRIPCION],Transporte[UND],,0),"")</f>
        <v/>
      </c>
      <c r="D1133" s="31"/>
      <c r="E1133" s="32" t="str">
        <f>IFERROR(_xlfn.XLOOKUP($B1133,Transporte[DESCRIPCION],Transporte[VALOR],,0),"")</f>
        <v/>
      </c>
      <c r="F1133" s="33"/>
      <c r="G1133" s="34" t="str">
        <f>IFERROR(IF(F1133&gt;=0,D1133*E1133*(1+F1133/100),ABS(D1133*E1133/F1133)),"")</f>
        <v/>
      </c>
      <c r="H1133" s="43" t="str">
        <f>IFERROR(G1133*E1120,"")</f>
        <v/>
      </c>
      <c r="I1133" s="3"/>
    </row>
    <row r="1134" spans="1:9" ht="12.75" customHeight="1">
      <c r="A1134" s="28"/>
      <c r="B1134" s="29"/>
      <c r="C1134" s="30" t="str">
        <f>IFERROR(_xlfn.XLOOKUP(B1134,Transporte[DESCRIPCION],Transporte[UND],,0),"")</f>
        <v/>
      </c>
      <c r="D1134" s="31"/>
      <c r="E1134" s="32" t="str">
        <f>IFERROR(_xlfn.XLOOKUP($B1134,Transporte[DESCRIPCION],Transporte[VALOR],,0),"")</f>
        <v/>
      </c>
      <c r="F1134" s="33"/>
      <c r="G1134" s="34" t="str">
        <f>IFERROR(IF(F1134&gt;=0,D1134*E1134*(1+F1134/100),ABS(D1134*E1134/F1134)),"")</f>
        <v/>
      </c>
      <c r="H1134" s="43" t="str">
        <f>IFERROR(G1134*E1120,"")</f>
        <v/>
      </c>
      <c r="I1134" s="3"/>
    </row>
    <row r="1135" spans="1:9" ht="12.75" customHeight="1">
      <c r="A1135" s="21"/>
      <c r="B1135" s="22" t="s">
        <v>3732</v>
      </c>
      <c r="C1135" s="23"/>
      <c r="D1135" s="24"/>
      <c r="E1135" s="25"/>
      <c r="F1135" s="26"/>
      <c r="G1135" s="27">
        <f>SUM(G1136:G1138)</f>
        <v>34932.305655000004</v>
      </c>
      <c r="H1135" s="27">
        <f>IFERROR(G1135*E1120,"")</f>
        <v>0</v>
      </c>
      <c r="I1135" s="3"/>
    </row>
    <row r="1136" spans="1:9" ht="12.75" customHeight="1">
      <c r="A1136" s="28"/>
      <c r="B1136" s="29" t="s">
        <v>3710</v>
      </c>
      <c r="C1136" s="30" t="str">
        <f>IFERROR(_xlfn.XLOOKUP(B1136,MObra[DESCRIPCION],MObra[UN],,0),"")</f>
        <v>día</v>
      </c>
      <c r="D1136" s="31">
        <v>1</v>
      </c>
      <c r="E1136" s="32">
        <f>IFERROR(_xlfn.XLOOKUP($B1136,MObra[DESCRIPCION],MObra[VALOR UNIT],,0),"")</f>
        <v>314390.75089500006</v>
      </c>
      <c r="F1136" s="33">
        <v>-9</v>
      </c>
      <c r="G1136" s="34">
        <f>IFERROR(IF(F1136&gt;=0,D1136*E1136*(1+F1136/100),ABS(D1136*E1136/F1136)),"")</f>
        <v>34932.305655000004</v>
      </c>
      <c r="H1136" s="43">
        <f>IFERROR(G1136*E1120,"")</f>
        <v>0</v>
      </c>
      <c r="I1136" s="3"/>
    </row>
    <row r="1137" spans="1:11" ht="12.75" customHeight="1">
      <c r="A1137" s="28"/>
      <c r="B1137" s="29"/>
      <c r="C1137" s="30" t="str">
        <f>IFERROR(_xlfn.XLOOKUP(B1137,MObra[DESCRIPCION],MObra[UN],,0),"")</f>
        <v/>
      </c>
      <c r="D1137" s="31"/>
      <c r="E1137" s="32" t="str">
        <f>IFERROR(_xlfn.XLOOKUP($B1137,MObra[DESCRIPCION],MObra[VALOR UNIT],,0),"")</f>
        <v/>
      </c>
      <c r="F1137" s="33"/>
      <c r="G1137" s="34" t="str">
        <f>IFERROR(IF(F1137&gt;=0,D1137*E1137*(1+F1137/100),ABS(D1137*E1137/F1137)),"")</f>
        <v/>
      </c>
      <c r="H1137" s="43" t="str">
        <f>IFERROR(G1137*E1120,"")</f>
        <v/>
      </c>
      <c r="I1137" s="3"/>
    </row>
    <row r="1138" spans="1:11" ht="12.75" customHeight="1" thickBot="1">
      <c r="A1138" s="35"/>
      <c r="B1138" s="36"/>
      <c r="C1138" s="37" t="str">
        <f>IFERROR(_xlfn.XLOOKUP(B1138,MObra[DESCRIPCION],MObra[UN],,0),"")</f>
        <v/>
      </c>
      <c r="D1138" s="38"/>
      <c r="E1138" s="39" t="str">
        <f>IFERROR(_xlfn.XLOOKUP($B1138,MObra[DESCRIPCION],MObra[VALOR UNIT],,0),"")</f>
        <v/>
      </c>
      <c r="F1138" s="40"/>
      <c r="G1138" s="41" t="str">
        <f>IFERROR(IF(F1138&gt;=0,D1138*E1138*(1+F1138/100),ABS(D1138*E1138/F1138)),"")</f>
        <v/>
      </c>
      <c r="H1138" s="42" t="str">
        <f>IFERROR(G1138*E1120,"")</f>
        <v/>
      </c>
      <c r="I1138" s="3"/>
    </row>
    <row r="1139" spans="1:11" ht="12.75" customHeight="1" thickTop="1" thickBot="1">
      <c r="I1139" s="3"/>
    </row>
    <row r="1140" spans="1:11" ht="12.75" customHeight="1" thickTop="1" thickBot="1">
      <c r="A1140" s="6" t="s">
        <v>1667</v>
      </c>
      <c r="B1140" s="7" t="str">
        <f>VLOOKUP($A1140,Presupuesto!$A:$D,2,FALSE())</f>
        <v>Ventana metal C 22 + vidrio</v>
      </c>
      <c r="C1140" s="8" t="str">
        <f>VLOOKUP($A1140,Presupuesto!$A:$D,3,FALSE())</f>
        <v>M2</v>
      </c>
      <c r="D1140" s="9"/>
      <c r="E1140" s="10">
        <f>VLOOKUP($A1140,Presupuesto!$A:$D,4,FALSE())</f>
        <v>0</v>
      </c>
      <c r="F1140" s="11" t="s">
        <v>2589</v>
      </c>
      <c r="G1140" s="12">
        <f>SUM(G1142:G1160)/2</f>
        <v>444031.00762649998</v>
      </c>
      <c r="H1140" s="13">
        <f>ROUND(SUM(H1142:H1160),0)/2</f>
        <v>0</v>
      </c>
      <c r="I1140" s="10">
        <f>VLOOKUP(A1140,Presupuesto!$A:$F,6,0)</f>
        <v>0</v>
      </c>
      <c r="J1140" s="10">
        <f>+H1140-I1140</f>
        <v>0</v>
      </c>
      <c r="K1140" s="46">
        <f>+H1140-G1140*E1140</f>
        <v>0</v>
      </c>
    </row>
    <row r="1141" spans="1:11" ht="12.75" customHeight="1" thickTop="1">
      <c r="A1141" s="14"/>
      <c r="B1141" s="15" t="s">
        <v>2586</v>
      </c>
      <c r="C1141" s="15" t="s">
        <v>5</v>
      </c>
      <c r="D1141" s="16" t="s">
        <v>6</v>
      </c>
      <c r="E1141" s="17" t="s">
        <v>7</v>
      </c>
      <c r="F1141" s="18" t="s">
        <v>3728</v>
      </c>
      <c r="G1141" s="19" t="s">
        <v>3729</v>
      </c>
      <c r="H1141" s="20" t="s">
        <v>3797</v>
      </c>
      <c r="I1141" s="3"/>
    </row>
    <row r="1142" spans="1:11" ht="12.75" customHeight="1">
      <c r="A1142" s="21"/>
      <c r="B1142" s="22" t="s">
        <v>3730</v>
      </c>
      <c r="C1142" s="23"/>
      <c r="D1142" s="24"/>
      <c r="E1142" s="25"/>
      <c r="F1142" s="26"/>
      <c r="G1142" s="27">
        <f>SUM(G1143:G1149)</f>
        <v>179497.33200000002</v>
      </c>
      <c r="H1142" s="27">
        <f>IFERROR(G1142*E1140,"")</f>
        <v>0</v>
      </c>
      <c r="I1142" s="3"/>
    </row>
    <row r="1143" spans="1:11" ht="12.75" customHeight="1">
      <c r="A1143" s="28"/>
      <c r="B1143" s="29" t="s">
        <v>3025</v>
      </c>
      <c r="C1143" s="30" t="str">
        <f>IFERROR(_xlfn.XLOOKUP(B1143,Insumo[DESCRIPCION],Insumo[UND],,0),"")</f>
        <v>M2</v>
      </c>
      <c r="D1143" s="31">
        <v>1.2</v>
      </c>
      <c r="E1143" s="32">
        <f>IFERROR(_xlfn.XLOOKUP($B1143,Insumo[DESCRIPCION],Insumo[VALOR],,0),"")</f>
        <v>86326.8</v>
      </c>
      <c r="F1143" s="33"/>
      <c r="G1143" s="34">
        <f t="shared" ref="G1143:G1149" si="8">IFERROR(IF(F1143&gt;=0,D1143*E1143*(1+F1143/100),ABS(D1143*E1143/F1143)),"")</f>
        <v>103592.16</v>
      </c>
      <c r="H1143" s="43">
        <f>IFERROR(G1143*E1140,"")</f>
        <v>0</v>
      </c>
      <c r="I1143" s="3"/>
    </row>
    <row r="1144" spans="1:11" ht="12.75" customHeight="1">
      <c r="A1144" s="28"/>
      <c r="B1144" s="29" t="s">
        <v>2653</v>
      </c>
      <c r="C1144" s="30" t="str">
        <f>IFERROR(_xlfn.XLOOKUP(B1144,Insumo[DESCRIPCION],Insumo[UND],,0),"")</f>
        <v>Kg</v>
      </c>
      <c r="D1144" s="31">
        <v>1</v>
      </c>
      <c r="E1144" s="32">
        <f>IFERROR(_xlfn.XLOOKUP($B1144,Insumo[DESCRIPCION],Insumo[VALOR],,0),"")</f>
        <v>5686.8</v>
      </c>
      <c r="F1144" s="33"/>
      <c r="G1144" s="34">
        <f t="shared" si="8"/>
        <v>5686.8</v>
      </c>
      <c r="H1144" s="43">
        <f>IFERROR(G1144*E1140,"")</f>
        <v>0</v>
      </c>
      <c r="I1144" s="3"/>
    </row>
    <row r="1145" spans="1:11" ht="12.75" customHeight="1">
      <c r="A1145" s="28"/>
      <c r="B1145" s="29" t="s">
        <v>2707</v>
      </c>
      <c r="C1145" s="30" t="str">
        <f>IFERROR(_xlfn.XLOOKUP(B1145,Insumo[DESCRIPCION],Insumo[UND],,0),"")</f>
        <v>M</v>
      </c>
      <c r="D1145" s="31">
        <v>5</v>
      </c>
      <c r="E1145" s="32">
        <f>IFERROR(_xlfn.XLOOKUP($B1145,Insumo[DESCRIPCION],Insumo[VALOR],,0),"")</f>
        <v>3231.9</v>
      </c>
      <c r="F1145" s="33"/>
      <c r="G1145" s="34">
        <f t="shared" si="8"/>
        <v>16159.5</v>
      </c>
      <c r="H1145" s="43">
        <f>IFERROR(G1145*E1140,"")</f>
        <v>0</v>
      </c>
      <c r="I1145" s="3"/>
    </row>
    <row r="1146" spans="1:11" ht="12.75" customHeight="1">
      <c r="A1146" s="28"/>
      <c r="B1146" s="29" t="s">
        <v>3326</v>
      </c>
      <c r="C1146" s="30" t="str">
        <f>IFERROR(_xlfn.XLOOKUP(B1146,Insumo[DESCRIPCION],Insumo[UND],,0),"")</f>
        <v>Kg</v>
      </c>
      <c r="D1146" s="31">
        <v>0.5</v>
      </c>
      <c r="E1146" s="32">
        <f>IFERROR(_xlfn.XLOOKUP($B1146,Insumo[DESCRIPCION],Insumo[VALOR],,0),"")</f>
        <v>5978.7</v>
      </c>
      <c r="F1146" s="33"/>
      <c r="G1146" s="34">
        <f t="shared" si="8"/>
        <v>2989.35</v>
      </c>
      <c r="H1146" s="43">
        <f>IFERROR(G1146*E1140,"")</f>
        <v>0</v>
      </c>
      <c r="I1146" s="3"/>
    </row>
    <row r="1147" spans="1:11" ht="12.75" customHeight="1">
      <c r="A1147" s="28"/>
      <c r="B1147" s="29" t="s">
        <v>2708</v>
      </c>
      <c r="C1147" s="30" t="str">
        <f>IFERROR(_xlfn.XLOOKUP(B1147,Insumo[DESCRIPCION],Insumo[UND],,0),"")</f>
        <v>galón</v>
      </c>
      <c r="D1147" s="31">
        <v>0.12</v>
      </c>
      <c r="E1147" s="32">
        <f>IFERROR(_xlfn.XLOOKUP($B1147,Insumo[DESCRIPCION],Insumo[VALOR],,0),"")</f>
        <v>97886.25</v>
      </c>
      <c r="F1147" s="33"/>
      <c r="G1147" s="34">
        <f t="shared" si="8"/>
        <v>11746.35</v>
      </c>
      <c r="H1147" s="43">
        <f>IFERROR(G1147*E1140,"")</f>
        <v>0</v>
      </c>
      <c r="I1147" s="3"/>
    </row>
    <row r="1148" spans="1:11" ht="12.75" customHeight="1">
      <c r="A1148" s="28"/>
      <c r="B1148" s="29" t="s">
        <v>3549</v>
      </c>
      <c r="C1148" s="30" t="str">
        <f>IFERROR(_xlfn.XLOOKUP(B1148,Insumo[DESCRIPCION],Insumo[UND],,0),"")</f>
        <v>M2</v>
      </c>
      <c r="D1148" s="31">
        <v>0.92</v>
      </c>
      <c r="E1148" s="32">
        <f>IFERROR(_xlfn.XLOOKUP($B1148,Insumo[DESCRIPCION],Insumo[VALOR],,0),"")</f>
        <v>40374.6</v>
      </c>
      <c r="F1148" s="33"/>
      <c r="G1148" s="34">
        <f t="shared" si="8"/>
        <v>37144.631999999998</v>
      </c>
      <c r="H1148" s="43">
        <f>IFERROR(G1148*E1140,"")</f>
        <v>0</v>
      </c>
      <c r="I1148" s="3"/>
    </row>
    <row r="1149" spans="1:11" ht="12.75" customHeight="1">
      <c r="A1149" s="28"/>
      <c r="B1149" s="29" t="s">
        <v>3316</v>
      </c>
      <c r="C1149" s="30" t="str">
        <f>IFERROR(_xlfn.XLOOKUP(B1149,Insumo[DESCRIPCION],Insumo[UND],,0),"")</f>
        <v>Un</v>
      </c>
      <c r="D1149" s="31">
        <v>0.4</v>
      </c>
      <c r="E1149" s="32">
        <f>IFERROR(_xlfn.XLOOKUP($B1149,Insumo[DESCRIPCION],Insumo[VALOR],,0),"")</f>
        <v>5446.35</v>
      </c>
      <c r="F1149" s="33"/>
      <c r="G1149" s="34">
        <f t="shared" si="8"/>
        <v>2178.5400000000004</v>
      </c>
      <c r="H1149" s="43">
        <f>IFERROR(G1149*E1140,"")</f>
        <v>0</v>
      </c>
      <c r="I1149" s="3"/>
    </row>
    <row r="1150" spans="1:11" ht="12.75" customHeight="1">
      <c r="A1150" s="21"/>
      <c r="B1150" s="22" t="s">
        <v>3731</v>
      </c>
      <c r="C1150" s="23"/>
      <c r="D1150" s="24"/>
      <c r="E1150" s="25"/>
      <c r="F1150" s="26"/>
      <c r="G1150" s="27">
        <f>SUM(G1151:G1153)</f>
        <v>54939.841696500007</v>
      </c>
      <c r="H1150" s="27">
        <f>IFERROR(G1150*E1140,"")</f>
        <v>0</v>
      </c>
      <c r="I1150" s="3"/>
    </row>
    <row r="1151" spans="1:11" ht="12.75" customHeight="1">
      <c r="A1151" s="28"/>
      <c r="B1151" s="29" t="s">
        <v>3605</v>
      </c>
      <c r="C1151" s="30" t="str">
        <f>IFERROR(_xlfn.XLOOKUP(B1151,Equipo[DESCRIPCION],Equipo[UND],,0),"")</f>
        <v>Día</v>
      </c>
      <c r="D1151" s="31">
        <v>1</v>
      </c>
      <c r="E1151" s="32">
        <f>IF(C1151="%MO",G1157,IFERROR(_xlfn.XLOOKUP($B1151,Equipo[DESCRIPCION],Equipo[VALOR],,0),""))</f>
        <v>85247.400000000009</v>
      </c>
      <c r="F1151" s="33">
        <v>-3</v>
      </c>
      <c r="G1151" s="34">
        <f>IFERROR(IF(F1151&gt;=0,D1151*E1151*(1+F1151/100),ABS(D1151*E1151/F1151)),"")</f>
        <v>28415.800000000003</v>
      </c>
      <c r="H1151" s="43">
        <f>IFERROR(G1151*E1140,"")</f>
        <v>0</v>
      </c>
      <c r="I1151" s="3"/>
    </row>
    <row r="1152" spans="1:11" ht="12.75" customHeight="1">
      <c r="A1152" s="28"/>
      <c r="B1152" s="29" t="s">
        <v>3613</v>
      </c>
      <c r="C1152" s="30" t="str">
        <f>IFERROR(_xlfn.XLOOKUP(B1152,Equipo[DESCRIPCION],Equipo[UND],,0),"")</f>
        <v>Día</v>
      </c>
      <c r="D1152" s="31">
        <v>1</v>
      </c>
      <c r="E1152" s="32">
        <f>IF(C1152="%MO",G1157,IFERROR(_xlfn.XLOOKUP($B1152,Equipo[DESCRIPCION],Equipo[VALOR],,0),""))</f>
        <v>48133.05</v>
      </c>
      <c r="F1152" s="33">
        <v>-3</v>
      </c>
      <c r="G1152" s="34">
        <f>IFERROR(IF(F1152&gt;=0,D1152*E1152*(1+F1152/100),ABS(D1152*E1152/F1152)),"")</f>
        <v>16044.35</v>
      </c>
      <c r="H1152" s="43">
        <f>IFERROR(G1152*E1140,"")</f>
        <v>0</v>
      </c>
      <c r="I1152" s="3"/>
    </row>
    <row r="1153" spans="1:11" ht="12.75" customHeight="1">
      <c r="A1153" s="28"/>
      <c r="B1153" s="29" t="s">
        <v>3626</v>
      </c>
      <c r="C1153" s="30" t="str">
        <f>IFERROR(_xlfn.XLOOKUP(B1153,Equipo[DESCRIPCION],Equipo[UND],,0),"")</f>
        <v>%MO</v>
      </c>
      <c r="D1153" s="31">
        <v>0.05</v>
      </c>
      <c r="E1153" s="32">
        <f>IF(C1153="%MO",G1157,IFERROR(_xlfn.XLOOKUP($B1153,Equipo[DESCRIPCION],Equipo[VALOR],,0),""))</f>
        <v>209593.83393000002</v>
      </c>
      <c r="F1153" s="33"/>
      <c r="G1153" s="34">
        <f>IFERROR(IF(F1153&gt;=0,D1153*E1153*(1+F1153/100),ABS(D1153*E1153/F1153)),"")</f>
        <v>10479.691696500002</v>
      </c>
      <c r="H1153" s="43">
        <f>IFERROR(G1153*E1140,"")</f>
        <v>0</v>
      </c>
      <c r="I1153" s="3"/>
    </row>
    <row r="1154" spans="1:11" ht="12.75" customHeight="1">
      <c r="A1154" s="21"/>
      <c r="B1154" s="22" t="s">
        <v>2533</v>
      </c>
      <c r="C1154" s="23"/>
      <c r="D1154" s="24"/>
      <c r="E1154" s="25"/>
      <c r="F1154" s="26"/>
      <c r="G1154" s="27">
        <f>SUM(G1155:G1156)</f>
        <v>0</v>
      </c>
      <c r="H1154" s="27">
        <f>IFERROR(G1154*E1140,"")</f>
        <v>0</v>
      </c>
      <c r="I1154" s="3"/>
    </row>
    <row r="1155" spans="1:11" ht="12.75" customHeight="1">
      <c r="A1155" s="28"/>
      <c r="B1155" s="29"/>
      <c r="C1155" s="30" t="str">
        <f>IFERROR(_xlfn.XLOOKUP(B1155,Transporte[DESCRIPCION],Transporte[UND],,0),"")</f>
        <v/>
      </c>
      <c r="D1155" s="31"/>
      <c r="E1155" s="32" t="str">
        <f>IFERROR(_xlfn.XLOOKUP($B1155,Transporte[DESCRIPCION],Transporte[VALOR],,0),"")</f>
        <v/>
      </c>
      <c r="F1155" s="33"/>
      <c r="G1155" s="34" t="str">
        <f>IFERROR(IF(F1155&gt;=0,D1155*E1155*(1+F1155/100),ABS(D1155*E1155/F1155)),"")</f>
        <v/>
      </c>
      <c r="H1155" s="43" t="str">
        <f>IFERROR(G1155*E1140,"")</f>
        <v/>
      </c>
      <c r="I1155" s="3"/>
    </row>
    <row r="1156" spans="1:11" ht="12.75" customHeight="1">
      <c r="A1156" s="28"/>
      <c r="B1156" s="29"/>
      <c r="C1156" s="30" t="str">
        <f>IFERROR(_xlfn.XLOOKUP(B1156,Transporte[DESCRIPCION],Transporte[UND],,0),"")</f>
        <v/>
      </c>
      <c r="D1156" s="31"/>
      <c r="E1156" s="32" t="str">
        <f>IFERROR(_xlfn.XLOOKUP($B1156,Transporte[DESCRIPCION],Transporte[VALOR],,0),"")</f>
        <v/>
      </c>
      <c r="F1156" s="33"/>
      <c r="G1156" s="34" t="str">
        <f>IFERROR(IF(F1156&gt;=0,D1156*E1156*(1+F1156/100),ABS(D1156*E1156/F1156)),"")</f>
        <v/>
      </c>
      <c r="H1156" s="43" t="str">
        <f>IFERROR(G1156*E1140,"")</f>
        <v/>
      </c>
      <c r="I1156" s="3"/>
    </row>
    <row r="1157" spans="1:11" ht="12.75" customHeight="1">
      <c r="A1157" s="21"/>
      <c r="B1157" s="22" t="s">
        <v>3732</v>
      </c>
      <c r="C1157" s="23"/>
      <c r="D1157" s="24"/>
      <c r="E1157" s="25"/>
      <c r="F1157" s="26"/>
      <c r="G1157" s="27">
        <f>SUM(G1158:G1160)</f>
        <v>209593.83393000002</v>
      </c>
      <c r="H1157" s="27">
        <f>IFERROR(G1157*E1140,"")</f>
        <v>0</v>
      </c>
      <c r="I1157" s="3"/>
    </row>
    <row r="1158" spans="1:11" ht="12.75" customHeight="1">
      <c r="A1158" s="28"/>
      <c r="B1158" s="29" t="s">
        <v>3724</v>
      </c>
      <c r="C1158" s="30" t="str">
        <f>IFERROR(_xlfn.XLOOKUP(B1158,MObra[DESCRIPCION],MObra[UN],,0),"")</f>
        <v>día</v>
      </c>
      <c r="D1158" s="31">
        <v>1</v>
      </c>
      <c r="E1158" s="32">
        <f>IFERROR(_xlfn.XLOOKUP($B1158,MObra[DESCRIPCION],MObra[VALOR UNIT],,0),"")</f>
        <v>419187.66786000005</v>
      </c>
      <c r="F1158" s="33">
        <v>-2</v>
      </c>
      <c r="G1158" s="34">
        <f>IFERROR(IF(F1158&gt;=0,D1158*E1158*(1+F1158/100),ABS(D1158*E1158/F1158)),"")</f>
        <v>209593.83393000002</v>
      </c>
      <c r="H1158" s="43">
        <f>IFERROR(G1158*E1140,"")</f>
        <v>0</v>
      </c>
      <c r="I1158" s="3"/>
    </row>
    <row r="1159" spans="1:11" ht="12.75" customHeight="1">
      <c r="A1159" s="28"/>
      <c r="B1159" s="29"/>
      <c r="C1159" s="30" t="str">
        <f>IFERROR(_xlfn.XLOOKUP(B1159,MObra[DESCRIPCION],MObra[UN],,0),"")</f>
        <v/>
      </c>
      <c r="D1159" s="31"/>
      <c r="E1159" s="32" t="str">
        <f>IFERROR(_xlfn.XLOOKUP($B1159,MObra[DESCRIPCION],MObra[VALOR UNIT],,0),"")</f>
        <v/>
      </c>
      <c r="F1159" s="33"/>
      <c r="G1159" s="34" t="str">
        <f>IFERROR(IF(F1159&gt;=0,D1159*E1159*(1+F1159/100),ABS(D1159*E1159/F1159)),"")</f>
        <v/>
      </c>
      <c r="H1159" s="43" t="str">
        <f>IFERROR(G1159*E1140,"")</f>
        <v/>
      </c>
      <c r="I1159" s="3"/>
    </row>
    <row r="1160" spans="1:11" ht="12.75" customHeight="1" thickBot="1">
      <c r="A1160" s="35"/>
      <c r="B1160" s="36"/>
      <c r="C1160" s="37" t="str">
        <f>IFERROR(_xlfn.XLOOKUP(B1160,MObra[DESCRIPCION],MObra[UN],,0),"")</f>
        <v/>
      </c>
      <c r="D1160" s="38"/>
      <c r="E1160" s="39" t="str">
        <f>IFERROR(_xlfn.XLOOKUP($B1160,MObra[DESCRIPCION],MObra[VALOR UNIT],,0),"")</f>
        <v/>
      </c>
      <c r="F1160" s="40"/>
      <c r="G1160" s="41" t="str">
        <f>IFERROR(IF(F1160&gt;=0,D1160*E1160*(1+F1160/100),ABS(D1160*E1160/F1160)),"")</f>
        <v/>
      </c>
      <c r="H1160" s="42" t="str">
        <f>IFERROR(G1160*E1140,"")</f>
        <v/>
      </c>
      <c r="I1160" s="3"/>
    </row>
    <row r="1161" spans="1:11" ht="12.75" customHeight="1" thickTop="1" thickBot="1">
      <c r="I1161" s="3"/>
    </row>
    <row r="1162" spans="1:11" ht="12.75" customHeight="1" thickTop="1" thickBot="1">
      <c r="A1162" s="6" t="s">
        <v>1669</v>
      </c>
      <c r="B1162" s="7" t="str">
        <f>VLOOKUP($A1162,Presupuesto!$A:$D,2,FALSE())</f>
        <v>Ventana y/o puerta aluminio 744 natural + vidrio</v>
      </c>
      <c r="C1162" s="8" t="str">
        <f>VLOOKUP($A1162,Presupuesto!$A:$D,3,FALSE())</f>
        <v>M2</v>
      </c>
      <c r="D1162" s="9"/>
      <c r="E1162" s="10">
        <f>VLOOKUP($A1162,Presupuesto!$A:$D,4,FALSE())</f>
        <v>0</v>
      </c>
      <c r="F1162" s="11" t="s">
        <v>2589</v>
      </c>
      <c r="G1162" s="12">
        <f>SUM(G1164:G1180)/2</f>
        <v>278473.65000000002</v>
      </c>
      <c r="H1162" s="13">
        <f>ROUND(SUM(H1164:H1180),0)/2</f>
        <v>0</v>
      </c>
      <c r="I1162" s="10">
        <f>VLOOKUP(A1162,Presupuesto!$A:$F,6,0)</f>
        <v>0</v>
      </c>
      <c r="J1162" s="10">
        <f>+H1162-I1162</f>
        <v>0</v>
      </c>
      <c r="K1162" s="46">
        <f>+H1162-G1162*E1162</f>
        <v>0</v>
      </c>
    </row>
    <row r="1163" spans="1:11" ht="12.75" customHeight="1" thickTop="1">
      <c r="A1163" s="14"/>
      <c r="B1163" s="15" t="s">
        <v>2586</v>
      </c>
      <c r="C1163" s="15" t="s">
        <v>5</v>
      </c>
      <c r="D1163" s="16" t="s">
        <v>6</v>
      </c>
      <c r="E1163" s="17" t="s">
        <v>7</v>
      </c>
      <c r="F1163" s="18" t="s">
        <v>3728</v>
      </c>
      <c r="G1163" s="19" t="s">
        <v>3729</v>
      </c>
      <c r="H1163" s="20" t="s">
        <v>3797</v>
      </c>
      <c r="I1163" s="3"/>
    </row>
    <row r="1164" spans="1:11" ht="12.75" customHeight="1">
      <c r="A1164" s="21"/>
      <c r="B1164" s="22" t="s">
        <v>3730</v>
      </c>
      <c r="C1164" s="23"/>
      <c r="D1164" s="24"/>
      <c r="E1164" s="25"/>
      <c r="F1164" s="26"/>
      <c r="G1164" s="27">
        <f>SUM(G1165:G1169)</f>
        <v>278473.65000000002</v>
      </c>
      <c r="H1164" s="27">
        <f>IFERROR(G1164*E1162,"")</f>
        <v>0</v>
      </c>
      <c r="I1164" s="3"/>
    </row>
    <row r="1165" spans="1:11" ht="12.75" customHeight="1">
      <c r="A1165" s="28"/>
      <c r="B1165" s="29" t="s">
        <v>3547</v>
      </c>
      <c r="C1165" s="30" t="str">
        <f>IFERROR(_xlfn.XLOOKUP(B1165,Insumo[DESCRIPCION],Insumo[UND],,0),"")</f>
        <v>M2</v>
      </c>
      <c r="D1165" s="31">
        <v>1</v>
      </c>
      <c r="E1165" s="32">
        <f>IFERROR(_xlfn.XLOOKUP($B1165,Insumo[DESCRIPCION],Insumo[VALOR],,0),"")</f>
        <v>278473.65000000002</v>
      </c>
      <c r="F1165" s="33"/>
      <c r="G1165" s="34">
        <f>IFERROR(IF(F1165&gt;=0,D1165*E1165*(1+F1165/100),ABS(D1165*E1165/F1165)),"")</f>
        <v>278473.65000000002</v>
      </c>
      <c r="H1165" s="43">
        <f>IFERROR(G1165*E1162,"")</f>
        <v>0</v>
      </c>
      <c r="I1165" s="3"/>
    </row>
    <row r="1166" spans="1:11" ht="12.75" customHeight="1">
      <c r="A1166" s="28"/>
      <c r="B1166" s="29"/>
      <c r="C1166" s="30" t="str">
        <f>IFERROR(_xlfn.XLOOKUP(B1166,Insumo[DESCRIPCION],Insumo[UND],,0),"")</f>
        <v/>
      </c>
      <c r="D1166" s="31"/>
      <c r="E1166" s="32" t="str">
        <f>IFERROR(_xlfn.XLOOKUP($B1166,Insumo[DESCRIPCION],Insumo[VALOR],,0),"")</f>
        <v/>
      </c>
      <c r="F1166" s="33"/>
      <c r="G1166" s="34" t="str">
        <f>IFERROR(IF(F1166&gt;=0,D1166*E1166*(1+F1166/100),ABS(D1166*E1166/F1166)),"")</f>
        <v/>
      </c>
      <c r="H1166" s="43" t="str">
        <f>IFERROR(G1166*E1162,"")</f>
        <v/>
      </c>
      <c r="I1166" s="3"/>
    </row>
    <row r="1167" spans="1:11" ht="12.75" customHeight="1">
      <c r="A1167" s="28"/>
      <c r="B1167" s="29"/>
      <c r="C1167" s="30" t="str">
        <f>IFERROR(_xlfn.XLOOKUP(B1167,Insumo[DESCRIPCION],Insumo[UND],,0),"")</f>
        <v/>
      </c>
      <c r="D1167" s="31"/>
      <c r="E1167" s="32" t="str">
        <f>IFERROR(_xlfn.XLOOKUP($B1167,Insumo[DESCRIPCION],Insumo[VALOR],,0),"")</f>
        <v/>
      </c>
      <c r="F1167" s="33"/>
      <c r="G1167" s="34" t="str">
        <f>IFERROR(IF(F1167&gt;=0,D1167*E1167*(1+F1167/100),ABS(D1167*E1167/F1167)),"")</f>
        <v/>
      </c>
      <c r="H1167" s="43" t="str">
        <f>IFERROR(G1167*E1162,"")</f>
        <v/>
      </c>
      <c r="I1167" s="3"/>
    </row>
    <row r="1168" spans="1:11" ht="12.75" customHeight="1">
      <c r="A1168" s="28"/>
      <c r="B1168" s="29"/>
      <c r="C1168" s="30" t="str">
        <f>IFERROR(_xlfn.XLOOKUP(B1168,Insumo[DESCRIPCION],Insumo[UND],,0),"")</f>
        <v/>
      </c>
      <c r="D1168" s="31"/>
      <c r="E1168" s="32" t="str">
        <f>IFERROR(_xlfn.XLOOKUP($B1168,Insumo[DESCRIPCION],Insumo[VALOR],,0),"")</f>
        <v/>
      </c>
      <c r="F1168" s="33"/>
      <c r="G1168" s="34" t="str">
        <f>IFERROR(IF(F1168&gt;=0,D1168*E1168*(1+F1168/100),ABS(D1168*E1168/F1168)),"")</f>
        <v/>
      </c>
      <c r="H1168" s="43" t="str">
        <f>IFERROR(G1168*E1162,"")</f>
        <v/>
      </c>
      <c r="I1168" s="3"/>
    </row>
    <row r="1169" spans="1:11" ht="12.75" customHeight="1">
      <c r="A1169" s="28"/>
      <c r="B1169" s="29"/>
      <c r="C1169" s="30" t="str">
        <f>IFERROR(_xlfn.XLOOKUP(B1169,Insumo[DESCRIPCION],Insumo[UND],,0),"")</f>
        <v/>
      </c>
      <c r="D1169" s="31"/>
      <c r="E1169" s="32" t="str">
        <f>IFERROR(_xlfn.XLOOKUP($B1169,Insumo[DESCRIPCION],Insumo[VALOR],,0),"")</f>
        <v/>
      </c>
      <c r="F1169" s="33"/>
      <c r="G1169" s="34" t="str">
        <f>IFERROR(IF(F1169&gt;=0,D1169*E1169*(1+F1169/100),ABS(D1169*E1169/F1169)),"")</f>
        <v/>
      </c>
      <c r="H1169" s="43" t="str">
        <f>IFERROR(G1169*E1162,"")</f>
        <v/>
      </c>
      <c r="I1169" s="3"/>
    </row>
    <row r="1170" spans="1:11" ht="12.75" customHeight="1">
      <c r="A1170" s="21"/>
      <c r="B1170" s="22" t="s">
        <v>3731</v>
      </c>
      <c r="C1170" s="23"/>
      <c r="D1170" s="24"/>
      <c r="E1170" s="25"/>
      <c r="F1170" s="26"/>
      <c r="G1170" s="27">
        <f>SUM(G1171:G1173)</f>
        <v>0</v>
      </c>
      <c r="H1170" s="27">
        <f>IFERROR(G1170*E1162,"")</f>
        <v>0</v>
      </c>
      <c r="I1170" s="3"/>
    </row>
    <row r="1171" spans="1:11" ht="12.75" customHeight="1">
      <c r="A1171" s="28"/>
      <c r="B1171" s="29"/>
      <c r="C1171" s="30" t="str">
        <f>IFERROR(_xlfn.XLOOKUP(B1171,Equipo[DESCRIPCION],Equipo[UND],,0),"")</f>
        <v/>
      </c>
      <c r="D1171" s="31"/>
      <c r="E1171" s="32" t="str">
        <f>IF(C1171="%MO",G1177,IFERROR(_xlfn.XLOOKUP($B1171,Equipo[DESCRIPCION],Equipo[VALOR],,0),""))</f>
        <v/>
      </c>
      <c r="F1171" s="33"/>
      <c r="G1171" s="34" t="str">
        <f>IFERROR(IF(F1171&gt;=0,D1171*E1171*(1+F1171/100),ABS(D1171*E1171/F1171)),"")</f>
        <v/>
      </c>
      <c r="H1171" s="43" t="str">
        <f>IFERROR(G1171*E1162,"")</f>
        <v/>
      </c>
      <c r="I1171" s="3"/>
    </row>
    <row r="1172" spans="1:11" ht="12.75" customHeight="1">
      <c r="A1172" s="28"/>
      <c r="B1172" s="29"/>
      <c r="C1172" s="30" t="str">
        <f>IFERROR(_xlfn.XLOOKUP(B1172,Equipo[DESCRIPCION],Equipo[UND],,0),"")</f>
        <v/>
      </c>
      <c r="D1172" s="31"/>
      <c r="E1172" s="32" t="str">
        <f>IF(C1172="%MO",G1177,IFERROR(_xlfn.XLOOKUP($B1172,Equipo[DESCRIPCION],Equipo[VALOR],,0),""))</f>
        <v/>
      </c>
      <c r="F1172" s="33"/>
      <c r="G1172" s="34" t="str">
        <f>IFERROR(IF(F1172&gt;=0,D1172*E1172*(1+F1172/100),ABS(D1172*E1172/F1172)),"")</f>
        <v/>
      </c>
      <c r="H1172" s="43" t="str">
        <f>IFERROR(G1172*E1162,"")</f>
        <v/>
      </c>
      <c r="I1172" s="3"/>
    </row>
    <row r="1173" spans="1:11" ht="12.75" customHeight="1">
      <c r="A1173" s="28"/>
      <c r="B1173" s="29"/>
      <c r="C1173" s="30" t="str">
        <f>IFERROR(_xlfn.XLOOKUP(B1173,Equipo[DESCRIPCION],Equipo[UND],,0),"")</f>
        <v/>
      </c>
      <c r="D1173" s="31"/>
      <c r="E1173" s="32" t="str">
        <f>IF(C1173="%MO",G1177,IFERROR(_xlfn.XLOOKUP($B1173,Equipo[DESCRIPCION],Equipo[VALOR],,0),""))</f>
        <v/>
      </c>
      <c r="F1173" s="33"/>
      <c r="G1173" s="34" t="str">
        <f>IFERROR(IF(F1173&gt;=0,D1173*E1173*(1+F1173/100),ABS(D1173*E1173/F1173)),"")</f>
        <v/>
      </c>
      <c r="H1173" s="43" t="str">
        <f>IFERROR(G1173*E1162,"")</f>
        <v/>
      </c>
      <c r="I1173" s="3"/>
    </row>
    <row r="1174" spans="1:11" ht="12.75" customHeight="1">
      <c r="A1174" s="21"/>
      <c r="B1174" s="22" t="s">
        <v>2533</v>
      </c>
      <c r="C1174" s="23"/>
      <c r="D1174" s="24"/>
      <c r="E1174" s="25"/>
      <c r="F1174" s="26"/>
      <c r="G1174" s="27">
        <f>SUM(G1175:G1176)</f>
        <v>0</v>
      </c>
      <c r="H1174" s="27">
        <f>IFERROR(G1174*E1162,"")</f>
        <v>0</v>
      </c>
      <c r="I1174" s="3"/>
    </row>
    <row r="1175" spans="1:11" ht="12.75" customHeight="1">
      <c r="A1175" s="28"/>
      <c r="B1175" s="29"/>
      <c r="C1175" s="30" t="str">
        <f>IFERROR(_xlfn.XLOOKUP(B1175,Transporte[DESCRIPCION],Transporte[UND],,0),"")</f>
        <v/>
      </c>
      <c r="D1175" s="31"/>
      <c r="E1175" s="32" t="str">
        <f>IFERROR(_xlfn.XLOOKUP($B1175,Transporte[DESCRIPCION],Transporte[VALOR],,0),"")</f>
        <v/>
      </c>
      <c r="F1175" s="33"/>
      <c r="G1175" s="34" t="str">
        <f>IFERROR(IF(F1175&gt;=0,D1175*E1175*(1+F1175/100),ABS(D1175*E1175/F1175)),"")</f>
        <v/>
      </c>
      <c r="H1175" s="43" t="str">
        <f>IFERROR(G1175*E1162,"")</f>
        <v/>
      </c>
      <c r="I1175" s="3"/>
    </row>
    <row r="1176" spans="1:11" ht="12.75" customHeight="1">
      <c r="A1176" s="28"/>
      <c r="B1176" s="29"/>
      <c r="C1176" s="30" t="str">
        <f>IFERROR(_xlfn.XLOOKUP(B1176,Transporte[DESCRIPCION],Transporte[UND],,0),"")</f>
        <v/>
      </c>
      <c r="D1176" s="31"/>
      <c r="E1176" s="32" t="str">
        <f>IFERROR(_xlfn.XLOOKUP($B1176,Transporte[DESCRIPCION],Transporte[VALOR],,0),"")</f>
        <v/>
      </c>
      <c r="F1176" s="33"/>
      <c r="G1176" s="34" t="str">
        <f>IFERROR(IF(F1176&gt;=0,D1176*E1176*(1+F1176/100),ABS(D1176*E1176/F1176)),"")</f>
        <v/>
      </c>
      <c r="H1176" s="43" t="str">
        <f>IFERROR(G1176*E1162,"")</f>
        <v/>
      </c>
      <c r="I1176" s="3"/>
    </row>
    <row r="1177" spans="1:11" ht="12.75" customHeight="1">
      <c r="A1177" s="21"/>
      <c r="B1177" s="22" t="s">
        <v>3732</v>
      </c>
      <c r="C1177" s="23"/>
      <c r="D1177" s="24"/>
      <c r="E1177" s="25"/>
      <c r="F1177" s="26"/>
      <c r="G1177" s="27">
        <f>SUM(G1178:G1180)</f>
        <v>0</v>
      </c>
      <c r="H1177" s="27">
        <f>IFERROR(G1177*E1162,"")</f>
        <v>0</v>
      </c>
      <c r="I1177" s="3"/>
    </row>
    <row r="1178" spans="1:11" ht="12.75" customHeight="1">
      <c r="A1178" s="28"/>
      <c r="B1178" s="29"/>
      <c r="C1178" s="30" t="str">
        <f>IFERROR(_xlfn.XLOOKUP(B1178,MObra[DESCRIPCION],MObra[UN],,0),"")</f>
        <v/>
      </c>
      <c r="D1178" s="31"/>
      <c r="E1178" s="32" t="str">
        <f>IFERROR(_xlfn.XLOOKUP($B1178,MObra[DESCRIPCION],MObra[VALOR UNIT],,0),"")</f>
        <v/>
      </c>
      <c r="F1178" s="33"/>
      <c r="G1178" s="34" t="str">
        <f>IFERROR(IF(F1178&gt;=0,D1178*E1178*(1+F1178/100),ABS(D1178*E1178/F1178)),"")</f>
        <v/>
      </c>
      <c r="H1178" s="43" t="str">
        <f>IFERROR(G1178*E1162,"")</f>
        <v/>
      </c>
      <c r="I1178" s="3"/>
    </row>
    <row r="1179" spans="1:11" ht="12.75" customHeight="1">
      <c r="A1179" s="28"/>
      <c r="B1179" s="29"/>
      <c r="C1179" s="30" t="str">
        <f>IFERROR(_xlfn.XLOOKUP(B1179,MObra[DESCRIPCION],MObra[UN],,0),"")</f>
        <v/>
      </c>
      <c r="D1179" s="31"/>
      <c r="E1179" s="32" t="str">
        <f>IFERROR(_xlfn.XLOOKUP($B1179,MObra[DESCRIPCION],MObra[VALOR UNIT],,0),"")</f>
        <v/>
      </c>
      <c r="F1179" s="33"/>
      <c r="G1179" s="34" t="str">
        <f>IFERROR(IF(F1179&gt;=0,D1179*E1179*(1+F1179/100),ABS(D1179*E1179/F1179)),"")</f>
        <v/>
      </c>
      <c r="H1179" s="43" t="str">
        <f>IFERROR(G1179*E1162,"")</f>
        <v/>
      </c>
      <c r="I1179" s="3"/>
    </row>
    <row r="1180" spans="1:11" ht="12.75" customHeight="1" thickBot="1">
      <c r="A1180" s="35"/>
      <c r="B1180" s="36"/>
      <c r="C1180" s="37" t="str">
        <f>IFERROR(_xlfn.XLOOKUP(B1180,MObra[DESCRIPCION],MObra[UN],,0),"")</f>
        <v/>
      </c>
      <c r="D1180" s="38"/>
      <c r="E1180" s="39" t="str">
        <f>IFERROR(_xlfn.XLOOKUP($B1180,MObra[DESCRIPCION],MObra[VALOR UNIT],,0),"")</f>
        <v/>
      </c>
      <c r="F1180" s="40"/>
      <c r="G1180" s="41" t="str">
        <f>IFERROR(IF(F1180&gt;=0,D1180*E1180*(1+F1180/100),ABS(D1180*E1180/F1180)),"")</f>
        <v/>
      </c>
      <c r="H1180" s="42" t="str">
        <f>IFERROR(G1180*E1162,"")</f>
        <v/>
      </c>
      <c r="I1180" s="3"/>
    </row>
    <row r="1181" spans="1:11" ht="12.75" customHeight="1" thickTop="1" thickBot="1">
      <c r="I1181" s="3"/>
    </row>
    <row r="1182" spans="1:11" ht="12.75" customHeight="1" thickTop="1" thickBot="1">
      <c r="A1182" s="6" t="s">
        <v>1671</v>
      </c>
      <c r="B1182" s="7" t="str">
        <f>VLOOKUP($A1182,Presupuesto!$A:$D,2,FALSE())</f>
        <v>Viga pino Pátula 4"x6m inmunizada / cilíndrica</v>
      </c>
      <c r="C1182" s="8" t="str">
        <f>VLOOKUP($A1182,Presupuesto!$A:$D,3,FALSE())</f>
        <v>Un</v>
      </c>
      <c r="D1182" s="9"/>
      <c r="E1182" s="10">
        <f>VLOOKUP($A1182,Presupuesto!$A:$D,4,FALSE())</f>
        <v>0</v>
      </c>
      <c r="F1182" s="11" t="s">
        <v>2589</v>
      </c>
      <c r="G1182" s="12">
        <f>SUM(G1184:G1200)/2</f>
        <v>269412.43635292497</v>
      </c>
      <c r="H1182" s="13">
        <f>ROUND(SUM(H1184:H1200),0)/2</f>
        <v>0</v>
      </c>
      <c r="I1182" s="10">
        <f>VLOOKUP(A1182,Presupuesto!$A:$F,6,0)</f>
        <v>0</v>
      </c>
      <c r="J1182" s="10">
        <f>+H1182-I1182</f>
        <v>0</v>
      </c>
      <c r="K1182" s="46">
        <f>+H1182-G1182*E1182</f>
        <v>0</v>
      </c>
    </row>
    <row r="1183" spans="1:11" ht="12.75" customHeight="1" thickTop="1">
      <c r="A1183" s="14"/>
      <c r="B1183" s="15" t="s">
        <v>2586</v>
      </c>
      <c r="C1183" s="15" t="s">
        <v>5</v>
      </c>
      <c r="D1183" s="16" t="s">
        <v>6</v>
      </c>
      <c r="E1183" s="17" t="s">
        <v>7</v>
      </c>
      <c r="F1183" s="18" t="s">
        <v>3728</v>
      </c>
      <c r="G1183" s="19" t="s">
        <v>3729</v>
      </c>
      <c r="H1183" s="20" t="s">
        <v>3797</v>
      </c>
      <c r="I1183" s="3"/>
    </row>
    <row r="1184" spans="1:11" ht="12.75" customHeight="1">
      <c r="A1184" s="21"/>
      <c r="B1184" s="22" t="s">
        <v>3730</v>
      </c>
      <c r="C1184" s="23"/>
      <c r="D1184" s="24"/>
      <c r="E1184" s="25"/>
      <c r="F1184" s="26"/>
      <c r="G1184" s="27">
        <f>SUM(G1185:G1189)</f>
        <v>233257.5</v>
      </c>
      <c r="H1184" s="27">
        <f>IFERROR(G1184*E1182,"")</f>
        <v>0</v>
      </c>
      <c r="I1184" s="3"/>
    </row>
    <row r="1185" spans="1:9" ht="12.75" customHeight="1">
      <c r="A1185" s="28"/>
      <c r="B1185" s="29" t="s">
        <v>3552</v>
      </c>
      <c r="C1185" s="30" t="str">
        <f>IFERROR(_xlfn.XLOOKUP(B1185,Insumo[DESCRIPCION],Insumo[UND],,0),"")</f>
        <v>Un</v>
      </c>
      <c r="D1185" s="31">
        <v>1</v>
      </c>
      <c r="E1185" s="32">
        <f>IFERROR(_xlfn.XLOOKUP($B1185,Insumo[DESCRIPCION],Insumo[VALOR],,0),"")</f>
        <v>90930</v>
      </c>
      <c r="F1185" s="33"/>
      <c r="G1185" s="34">
        <f>IFERROR(IF(F1185&gt;=0,D1185*E1185*(1+F1185/100),ABS(D1185*E1185/F1185)),"")</f>
        <v>90930</v>
      </c>
      <c r="H1185" s="43">
        <f>IFERROR(G1185*E1182,"")</f>
        <v>0</v>
      </c>
      <c r="I1185" s="3"/>
    </row>
    <row r="1186" spans="1:9" ht="12.75" customHeight="1">
      <c r="A1186" s="28"/>
      <c r="B1186" s="29" t="s">
        <v>3405</v>
      </c>
      <c r="C1186" s="30" t="str">
        <f>IFERROR(_xlfn.XLOOKUP(B1186,Insumo[DESCRIPCION],Insumo[UND],,0),"")</f>
        <v>Un</v>
      </c>
      <c r="D1186" s="31">
        <v>2</v>
      </c>
      <c r="E1186" s="32">
        <f>IFERROR(_xlfn.XLOOKUP($B1186,Insumo[DESCRIPCION],Insumo[VALOR],,0),"")</f>
        <v>45.15</v>
      </c>
      <c r="F1186" s="33"/>
      <c r="G1186" s="34">
        <f>IFERROR(IF(F1186&gt;=0,D1186*E1186*(1+F1186/100),ABS(D1186*E1186/F1186)),"")</f>
        <v>90.3</v>
      </c>
      <c r="H1186" s="43">
        <f>IFERROR(G1186*E1182,"")</f>
        <v>0</v>
      </c>
      <c r="I1186" s="3"/>
    </row>
    <row r="1187" spans="1:9" ht="12.75" customHeight="1">
      <c r="A1187" s="28"/>
      <c r="B1187" s="29" t="s">
        <v>3386</v>
      </c>
      <c r="C1187" s="30" t="str">
        <f>IFERROR(_xlfn.XLOOKUP(B1187,Insumo[DESCRIPCION],Insumo[UND],,0),"")</f>
        <v>M</v>
      </c>
      <c r="D1187" s="31">
        <v>2</v>
      </c>
      <c r="E1187" s="32">
        <f>IFERROR(_xlfn.XLOOKUP($B1187,Insumo[DESCRIPCION],Insumo[VALOR],,0),"")</f>
        <v>71118.600000000006</v>
      </c>
      <c r="F1187" s="33"/>
      <c r="G1187" s="34">
        <f>IFERROR(IF(F1187&gt;=0,D1187*E1187*(1+F1187/100),ABS(D1187*E1187/F1187)),"")</f>
        <v>142237.20000000001</v>
      </c>
      <c r="H1187" s="43">
        <f>IFERROR(G1187*E1182,"")</f>
        <v>0</v>
      </c>
      <c r="I1187" s="3"/>
    </row>
    <row r="1188" spans="1:9" ht="12.75" customHeight="1">
      <c r="A1188" s="28"/>
      <c r="B1188" s="29"/>
      <c r="C1188" s="30" t="str">
        <f>IFERROR(_xlfn.XLOOKUP(B1188,Insumo[DESCRIPCION],Insumo[UND],,0),"")</f>
        <v/>
      </c>
      <c r="D1188" s="31"/>
      <c r="E1188" s="32" t="str">
        <f>IFERROR(_xlfn.XLOOKUP($B1188,Insumo[DESCRIPCION],Insumo[VALOR],,0),"")</f>
        <v/>
      </c>
      <c r="F1188" s="33"/>
      <c r="G1188" s="34" t="str">
        <f>IFERROR(IF(F1188&gt;=0,D1188*E1188*(1+F1188/100),ABS(D1188*E1188/F1188)),"")</f>
        <v/>
      </c>
      <c r="H1188" s="43" t="str">
        <f>IFERROR(G1188*E1182,"")</f>
        <v/>
      </c>
      <c r="I1188" s="3"/>
    </row>
    <row r="1189" spans="1:9" ht="12.75" customHeight="1">
      <c r="A1189" s="28"/>
      <c r="B1189" s="29"/>
      <c r="C1189" s="30" t="str">
        <f>IFERROR(_xlfn.XLOOKUP(B1189,Insumo[DESCRIPCION],Insumo[UND],,0),"")</f>
        <v/>
      </c>
      <c r="D1189" s="31"/>
      <c r="E1189" s="32" t="str">
        <f>IFERROR(_xlfn.XLOOKUP($B1189,Insumo[DESCRIPCION],Insumo[VALOR],,0),"")</f>
        <v/>
      </c>
      <c r="F1189" s="33"/>
      <c r="G1189" s="34" t="str">
        <f>IFERROR(IF(F1189&gt;=0,D1189*E1189*(1+F1189/100),ABS(D1189*E1189/F1189)),"")</f>
        <v/>
      </c>
      <c r="H1189" s="43" t="str">
        <f>IFERROR(G1189*E1182,"")</f>
        <v/>
      </c>
      <c r="I1189" s="3"/>
    </row>
    <row r="1190" spans="1:9" ht="12.75" customHeight="1">
      <c r="A1190" s="21"/>
      <c r="B1190" s="22" t="s">
        <v>3731</v>
      </c>
      <c r="C1190" s="23"/>
      <c r="D1190" s="24"/>
      <c r="E1190" s="25"/>
      <c r="F1190" s="26"/>
      <c r="G1190" s="27">
        <f>SUM(G1191:G1193)</f>
        <v>4715.8612634250012</v>
      </c>
      <c r="H1190" s="27">
        <f>IFERROR(G1190*E1182,"")</f>
        <v>0</v>
      </c>
      <c r="I1190" s="3"/>
    </row>
    <row r="1191" spans="1:9" ht="12.75" customHeight="1">
      <c r="A1191" s="28"/>
      <c r="B1191" s="29" t="s">
        <v>3573</v>
      </c>
      <c r="C1191" s="30" t="str">
        <f>IFERROR(_xlfn.XLOOKUP(B1191,Equipo[DESCRIPCION],Equipo[UND],,0),"")</f>
        <v>%MO</v>
      </c>
      <c r="D1191" s="31">
        <v>0.1</v>
      </c>
      <c r="E1191" s="32">
        <f>IF(C1191="%MO",G1197,IFERROR(_xlfn.XLOOKUP($B1191,Equipo[DESCRIPCION],Equipo[VALOR],,0),""))</f>
        <v>31439.075089500006</v>
      </c>
      <c r="F1191" s="33"/>
      <c r="G1191" s="34">
        <f>IFERROR(IF(F1191&gt;=0,D1191*E1191*(1+F1191/100),ABS(D1191*E1191/F1191)),"")</f>
        <v>3143.9075089500006</v>
      </c>
      <c r="H1191" s="43">
        <f>IFERROR(G1191*E1182,"")</f>
        <v>0</v>
      </c>
      <c r="I1191" s="3"/>
    </row>
    <row r="1192" spans="1:9" ht="12.75" customHeight="1">
      <c r="A1192" s="28"/>
      <c r="B1192" s="29" t="s">
        <v>3626</v>
      </c>
      <c r="C1192" s="30" t="str">
        <f>IFERROR(_xlfn.XLOOKUP(B1192,Equipo[DESCRIPCION],Equipo[UND],,0),"")</f>
        <v>%MO</v>
      </c>
      <c r="D1192" s="31">
        <v>0.05</v>
      </c>
      <c r="E1192" s="32">
        <f>IF(C1192="%MO",G1197,IFERROR(_xlfn.XLOOKUP($B1192,Equipo[DESCRIPCION],Equipo[VALOR],,0),""))</f>
        <v>31439.075089500006</v>
      </c>
      <c r="F1192" s="33"/>
      <c r="G1192" s="34">
        <f>IFERROR(IF(F1192&gt;=0,D1192*E1192*(1+F1192/100),ABS(D1192*E1192/F1192)),"")</f>
        <v>1571.9537544750003</v>
      </c>
      <c r="H1192" s="43">
        <f>IFERROR(G1192*E1182,"")</f>
        <v>0</v>
      </c>
      <c r="I1192" s="3"/>
    </row>
    <row r="1193" spans="1:9" ht="12.75" customHeight="1">
      <c r="A1193" s="28"/>
      <c r="B1193" s="29"/>
      <c r="C1193" s="30" t="str">
        <f>IFERROR(_xlfn.XLOOKUP(B1193,Equipo[DESCRIPCION],Equipo[UND],,0),"")</f>
        <v/>
      </c>
      <c r="D1193" s="31"/>
      <c r="E1193" s="32" t="str">
        <f>IF(C1193="%MO",G1197,IFERROR(_xlfn.XLOOKUP($B1193,Equipo[DESCRIPCION],Equipo[VALOR],,0),""))</f>
        <v/>
      </c>
      <c r="F1193" s="33"/>
      <c r="G1193" s="34" t="str">
        <f>IFERROR(IF(F1193&gt;=0,D1193*E1193*(1+F1193/100),ABS(D1193*E1193/F1193)),"")</f>
        <v/>
      </c>
      <c r="H1193" s="43" t="str">
        <f>IFERROR(G1193*E1182,"")</f>
        <v/>
      </c>
      <c r="I1193" s="3"/>
    </row>
    <row r="1194" spans="1:9" ht="12.75" customHeight="1">
      <c r="A1194" s="21"/>
      <c r="B1194" s="22" t="s">
        <v>2533</v>
      </c>
      <c r="C1194" s="23"/>
      <c r="D1194" s="24"/>
      <c r="E1194" s="25"/>
      <c r="F1194" s="26"/>
      <c r="G1194" s="27">
        <f>SUM(G1195:G1196)</f>
        <v>0</v>
      </c>
      <c r="H1194" s="27">
        <f>IFERROR(G1194*E1182,"")</f>
        <v>0</v>
      </c>
      <c r="I1194" s="3"/>
    </row>
    <row r="1195" spans="1:9" ht="12.75" customHeight="1">
      <c r="A1195" s="28"/>
      <c r="B1195" s="29"/>
      <c r="C1195" s="30" t="str">
        <f>IFERROR(_xlfn.XLOOKUP(B1195,Transporte[DESCRIPCION],Transporte[UND],,0),"")</f>
        <v/>
      </c>
      <c r="D1195" s="31"/>
      <c r="E1195" s="32" t="str">
        <f>IFERROR(_xlfn.XLOOKUP($B1195,Transporte[DESCRIPCION],Transporte[VALOR],,0),"")</f>
        <v/>
      </c>
      <c r="F1195" s="33"/>
      <c r="G1195" s="34" t="str">
        <f>IFERROR(IF(F1195&gt;=0,D1195*E1195*(1+F1195/100),ABS(D1195*E1195/F1195)),"")</f>
        <v/>
      </c>
      <c r="H1195" s="43" t="str">
        <f>IFERROR(G1195*E1182,"")</f>
        <v/>
      </c>
      <c r="I1195" s="3"/>
    </row>
    <row r="1196" spans="1:9" ht="12.75" customHeight="1">
      <c r="A1196" s="28"/>
      <c r="B1196" s="29"/>
      <c r="C1196" s="30" t="str">
        <f>IFERROR(_xlfn.XLOOKUP(B1196,Transporte[DESCRIPCION],Transporte[UND],,0),"")</f>
        <v/>
      </c>
      <c r="D1196" s="31"/>
      <c r="E1196" s="32" t="str">
        <f>IFERROR(_xlfn.XLOOKUP($B1196,Transporte[DESCRIPCION],Transporte[VALOR],,0),"")</f>
        <v/>
      </c>
      <c r="F1196" s="33"/>
      <c r="G1196" s="34" t="str">
        <f>IFERROR(IF(F1196&gt;=0,D1196*E1196*(1+F1196/100),ABS(D1196*E1196/F1196)),"")</f>
        <v/>
      </c>
      <c r="H1196" s="43" t="str">
        <f>IFERROR(G1196*E1182,"")</f>
        <v/>
      </c>
      <c r="I1196" s="3"/>
    </row>
    <row r="1197" spans="1:9" ht="12.75" customHeight="1">
      <c r="A1197" s="21"/>
      <c r="B1197" s="22" t="s">
        <v>3732</v>
      </c>
      <c r="C1197" s="23"/>
      <c r="D1197" s="24"/>
      <c r="E1197" s="25"/>
      <c r="F1197" s="26"/>
      <c r="G1197" s="27">
        <f>SUM(G1198:G1200)</f>
        <v>31439.075089500006</v>
      </c>
      <c r="H1197" s="27">
        <f>IFERROR(G1197*E1182,"")</f>
        <v>0</v>
      </c>
      <c r="I1197" s="3"/>
    </row>
    <row r="1198" spans="1:9" ht="12.75" customHeight="1">
      <c r="A1198" s="28"/>
      <c r="B1198" s="29" t="s">
        <v>3710</v>
      </c>
      <c r="C1198" s="30" t="str">
        <f>IFERROR(_xlfn.XLOOKUP(B1198,MObra[DESCRIPCION],MObra[UN],,0),"")</f>
        <v>día</v>
      </c>
      <c r="D1198" s="31">
        <v>1</v>
      </c>
      <c r="E1198" s="32">
        <f>IFERROR(_xlfn.XLOOKUP($B1198,MObra[DESCRIPCION],MObra[VALOR UNIT],,0),"")</f>
        <v>314390.75089500006</v>
      </c>
      <c r="F1198" s="33">
        <v>-10</v>
      </c>
      <c r="G1198" s="34">
        <f>IFERROR(IF(F1198&gt;=0,D1198*E1198*(1+F1198/100),ABS(D1198*E1198/F1198)),"")</f>
        <v>31439.075089500006</v>
      </c>
      <c r="H1198" s="43">
        <f>IFERROR(G1198*E1182,"")</f>
        <v>0</v>
      </c>
      <c r="I1198" s="3"/>
    </row>
    <row r="1199" spans="1:9" ht="12.75" customHeight="1">
      <c r="A1199" s="28"/>
      <c r="B1199" s="29"/>
      <c r="C1199" s="30" t="str">
        <f>IFERROR(_xlfn.XLOOKUP(B1199,MObra[DESCRIPCION],MObra[UN],,0),"")</f>
        <v/>
      </c>
      <c r="D1199" s="31"/>
      <c r="E1199" s="32" t="str">
        <f>IFERROR(_xlfn.XLOOKUP($B1199,MObra[DESCRIPCION],MObra[VALOR UNIT],,0),"")</f>
        <v/>
      </c>
      <c r="F1199" s="33"/>
      <c r="G1199" s="34" t="str">
        <f>IFERROR(IF(F1199&gt;=0,D1199*E1199*(1+F1199/100),ABS(D1199*E1199/F1199)),"")</f>
        <v/>
      </c>
      <c r="H1199" s="43" t="str">
        <f>IFERROR(G1199*E1182,"")</f>
        <v/>
      </c>
      <c r="I1199" s="3"/>
    </row>
    <row r="1200" spans="1:9" ht="12.75" customHeight="1" thickBot="1">
      <c r="A1200" s="35"/>
      <c r="B1200" s="36"/>
      <c r="C1200" s="37" t="str">
        <f>IFERROR(_xlfn.XLOOKUP(B1200,MObra[DESCRIPCION],MObra[UN],,0),"")</f>
        <v/>
      </c>
      <c r="D1200" s="38"/>
      <c r="E1200" s="39" t="str">
        <f>IFERROR(_xlfn.XLOOKUP($B1200,MObra[DESCRIPCION],MObra[VALOR UNIT],,0),"")</f>
        <v/>
      </c>
      <c r="F1200" s="40"/>
      <c r="G1200" s="41" t="str">
        <f>IFERROR(IF(F1200&gt;=0,D1200*E1200*(1+F1200/100),ABS(D1200*E1200/F1200)),"")</f>
        <v/>
      </c>
      <c r="H1200" s="42" t="str">
        <f>IFERROR(G1200*E1182,"")</f>
        <v/>
      </c>
      <c r="I1200" s="3"/>
    </row>
    <row r="1201" spans="1:11" ht="13.5" thickTop="1" thickBot="1">
      <c r="A1201" s="6" t="s">
        <v>1675</v>
      </c>
      <c r="B1201" s="7" t="str">
        <f>VLOOKUP($A1201,Presupuesto!$A:$D,2,FALSE())</f>
        <v>Instalación motobomba monofásica 220v</v>
      </c>
      <c r="C1201" s="8" t="str">
        <f>VLOOKUP($A1201,Presupuesto!$A:$D,3,FALSE())</f>
        <v>Un</v>
      </c>
      <c r="D1201" s="9"/>
      <c r="E1201" s="10">
        <f>VLOOKUP($A1201,Presupuesto!$A:$D,4,FALSE())</f>
        <v>0</v>
      </c>
      <c r="F1201" s="11" t="s">
        <v>2589</v>
      </c>
      <c r="G1201" s="12">
        <f>SUM(G1203:G1219)/2</f>
        <v>2207574.5647025001</v>
      </c>
      <c r="H1201" s="13">
        <f>ROUND(SUM(H1203:H1219),0)/2</f>
        <v>0</v>
      </c>
      <c r="I1201" s="137">
        <f>VLOOKUP(A1201,Presupuesto!$A:$F,6,0)</f>
        <v>0</v>
      </c>
      <c r="J1201" s="10">
        <f>+H1201-I1201</f>
        <v>0</v>
      </c>
      <c r="K1201" s="46">
        <f>+H1201-G1201*E1201</f>
        <v>0</v>
      </c>
    </row>
    <row r="1202" spans="1:11">
      <c r="A1202" s="14"/>
      <c r="B1202" s="15" t="s">
        <v>2586</v>
      </c>
      <c r="C1202" s="15" t="s">
        <v>5</v>
      </c>
      <c r="D1202" s="16" t="s">
        <v>6</v>
      </c>
      <c r="E1202" s="17" t="s">
        <v>7</v>
      </c>
      <c r="F1202" s="18" t="s">
        <v>3728</v>
      </c>
      <c r="G1202" s="19" t="s">
        <v>3729</v>
      </c>
      <c r="H1202" s="20" t="s">
        <v>3797</v>
      </c>
    </row>
    <row r="1203" spans="1:11">
      <c r="A1203" s="21"/>
      <c r="B1203" s="22" t="s">
        <v>3730</v>
      </c>
      <c r="C1203" s="23"/>
      <c r="D1203" s="24"/>
      <c r="E1203" s="25"/>
      <c r="F1203" s="26"/>
      <c r="G1203" s="27">
        <f>SUM(G1204:G1208)</f>
        <v>1704937.5</v>
      </c>
      <c r="H1203" s="27">
        <f>IFERROR(G1203*E1201,"")</f>
        <v>0</v>
      </c>
    </row>
    <row r="1204" spans="1:11">
      <c r="A1204" s="28"/>
      <c r="B1204" s="29" t="s">
        <v>3174</v>
      </c>
      <c r="C1204" s="30" t="str">
        <f>IFERROR(_xlfn.XLOOKUP(B1204,Insumo[DESCRIPCION],Insumo[UND],,0),"")</f>
        <v>Un</v>
      </c>
      <c r="D1204" s="31">
        <v>1</v>
      </c>
      <c r="E1204" s="32">
        <f>IFERROR(_xlfn.XLOOKUP($B1204,Insumo[DESCRIPCION],Insumo[VALOR],,0),"")</f>
        <v>1704937.5</v>
      </c>
      <c r="F1204" s="33"/>
      <c r="G1204" s="34">
        <f>IFERROR(IF(F1204&gt;=0,D1204*E1204*(1+F1204/100),ABS(D1204*E1204/F1204)),"")</f>
        <v>1704937.5</v>
      </c>
      <c r="H1204" s="43">
        <f>IFERROR(G1204*E1201,"")</f>
        <v>0</v>
      </c>
    </row>
    <row r="1205" spans="1:11">
      <c r="A1205" s="28"/>
      <c r="B1205" s="29"/>
      <c r="C1205" s="30" t="str">
        <f>IFERROR(_xlfn.XLOOKUP(B1205,Insumo[DESCRIPCION],Insumo[UND],,0),"")</f>
        <v/>
      </c>
      <c r="D1205" s="31"/>
      <c r="E1205" s="32" t="str">
        <f>IFERROR(_xlfn.XLOOKUP($B1205,Insumo[DESCRIPCION],Insumo[VALOR],,0),"")</f>
        <v/>
      </c>
      <c r="F1205" s="33"/>
      <c r="G1205" s="34" t="str">
        <f>IFERROR(IF(F1205&gt;=0,D1205*E1205*(1+F1205/100),ABS(D1205*E1205/F1205)),"")</f>
        <v/>
      </c>
      <c r="H1205" s="43" t="str">
        <f>IFERROR(G1205*E1201,"")</f>
        <v/>
      </c>
    </row>
    <row r="1206" spans="1:11">
      <c r="A1206" s="28"/>
      <c r="B1206" s="29"/>
      <c r="C1206" s="30" t="str">
        <f>IFERROR(_xlfn.XLOOKUP(B1206,Insumo[DESCRIPCION],Insumo[UND],,0),"")</f>
        <v/>
      </c>
      <c r="D1206" s="31"/>
      <c r="E1206" s="32" t="str">
        <f>IFERROR(_xlfn.XLOOKUP($B1206,Insumo[DESCRIPCION],Insumo[VALOR],,0),"")</f>
        <v/>
      </c>
      <c r="F1206" s="33"/>
      <c r="G1206" s="34" t="str">
        <f>IFERROR(IF(F1206&gt;=0,D1206*E1206*(1+F1206/100),ABS(D1206*E1206/F1206)),"")</f>
        <v/>
      </c>
      <c r="H1206" s="43" t="str">
        <f>IFERROR(G1206*E1201,"")</f>
        <v/>
      </c>
    </row>
    <row r="1207" spans="1:11">
      <c r="A1207" s="28"/>
      <c r="B1207" s="29"/>
      <c r="C1207" s="30" t="str">
        <f>IFERROR(_xlfn.XLOOKUP(B1207,Insumo[DESCRIPCION],Insumo[UND],,0),"")</f>
        <v/>
      </c>
      <c r="D1207" s="31"/>
      <c r="E1207" s="32" t="str">
        <f>IFERROR(_xlfn.XLOOKUP($B1207,Insumo[DESCRIPCION],Insumo[VALOR],,0),"")</f>
        <v/>
      </c>
      <c r="F1207" s="33"/>
      <c r="G1207" s="34" t="str">
        <f>IFERROR(IF(F1207&gt;=0,D1207*E1207*(1+F1207/100),ABS(D1207*E1207/F1207)),"")</f>
        <v/>
      </c>
      <c r="H1207" s="43" t="str">
        <f>IFERROR(G1207*E1201,"")</f>
        <v/>
      </c>
    </row>
    <row r="1208" spans="1:11">
      <c r="A1208" s="28"/>
      <c r="B1208" s="29"/>
      <c r="C1208" s="30" t="str">
        <f>IFERROR(_xlfn.XLOOKUP(B1208,Insumo[DESCRIPCION],Insumo[UND],,0),"")</f>
        <v/>
      </c>
      <c r="D1208" s="31"/>
      <c r="E1208" s="32" t="str">
        <f>IFERROR(_xlfn.XLOOKUP($B1208,Insumo[DESCRIPCION],Insumo[VALOR],,0),"")</f>
        <v/>
      </c>
      <c r="F1208" s="33"/>
      <c r="G1208" s="34" t="str">
        <f>IFERROR(IF(F1208&gt;=0,D1208*E1208*(1+F1208/100),ABS(D1208*E1208/F1208)),"")</f>
        <v/>
      </c>
      <c r="H1208" s="43" t="str">
        <f>IFERROR(G1208*E1201,"")</f>
        <v/>
      </c>
    </row>
    <row r="1209" spans="1:11">
      <c r="A1209" s="21"/>
      <c r="B1209" s="22" t="s">
        <v>3731</v>
      </c>
      <c r="C1209" s="23"/>
      <c r="D1209" s="24"/>
      <c r="E1209" s="25"/>
      <c r="F1209" s="26"/>
      <c r="G1209" s="27">
        <f>SUM(G1210:G1212)</f>
        <v>23935.098319166671</v>
      </c>
      <c r="H1209" s="27">
        <f>IFERROR(G1209*E1201,"")</f>
        <v>0</v>
      </c>
    </row>
    <row r="1210" spans="1:11">
      <c r="A1210" s="28"/>
      <c r="B1210" s="29" t="s">
        <v>3626</v>
      </c>
      <c r="C1210" s="30" t="str">
        <f>IFERROR(_xlfn.XLOOKUP(B1210,Equipo[DESCRIPCION],Equipo[UND],,0),"")</f>
        <v>%MO</v>
      </c>
      <c r="D1210" s="31">
        <v>0.05</v>
      </c>
      <c r="E1210" s="32">
        <f>IF(C1210="%MO",G1216,IFERROR(_xlfn.XLOOKUP($B1210,Equipo[DESCRIPCION],Equipo[VALOR],,0),""))</f>
        <v>478701.96638333338</v>
      </c>
      <c r="F1210" s="33"/>
      <c r="G1210" s="34">
        <f>IFERROR(IF(F1210&gt;=0,D1210*E1210*(1+F1210/100),ABS(D1210*E1210/F1210)),"")</f>
        <v>23935.098319166671</v>
      </c>
      <c r="H1210" s="43">
        <f>IFERROR(G1210*E1201,"")</f>
        <v>0</v>
      </c>
    </row>
    <row r="1211" spans="1:11">
      <c r="A1211" s="28"/>
      <c r="B1211" s="29"/>
      <c r="C1211" s="30" t="str">
        <f>IFERROR(_xlfn.XLOOKUP(B1211,Equipo[DESCRIPCION],Equipo[UND],,0),"")</f>
        <v/>
      </c>
      <c r="D1211" s="31"/>
      <c r="E1211" s="32" t="str">
        <f>IF(C1211="%MO",G1216,IFERROR(_xlfn.XLOOKUP($B1211,Equipo[DESCRIPCION],Equipo[VALOR],,0),""))</f>
        <v/>
      </c>
      <c r="F1211" s="33"/>
      <c r="G1211" s="34" t="str">
        <f>IFERROR(IF(F1211&gt;=0,D1211*E1211*(1+F1211/100),ABS(D1211*E1211/F1211)),"")</f>
        <v/>
      </c>
      <c r="H1211" s="43" t="str">
        <f>IFERROR(G1211*E1201,"")</f>
        <v/>
      </c>
    </row>
    <row r="1212" spans="1:11">
      <c r="A1212" s="28"/>
      <c r="B1212" s="29"/>
      <c r="C1212" s="30" t="str">
        <f>IFERROR(_xlfn.XLOOKUP(B1212,Equipo[DESCRIPCION],Equipo[UND],,0),"")</f>
        <v/>
      </c>
      <c r="D1212" s="31"/>
      <c r="E1212" s="32" t="str">
        <f>IF(C1212="%MO",G1216,IFERROR(_xlfn.XLOOKUP($B1212,Equipo[DESCRIPCION],Equipo[VALOR],,0),""))</f>
        <v/>
      </c>
      <c r="F1212" s="33"/>
      <c r="G1212" s="34" t="str">
        <f>IFERROR(IF(F1212&gt;=0,D1212*E1212*(1+F1212/100),ABS(D1212*E1212/F1212)),"")</f>
        <v/>
      </c>
      <c r="H1212" s="43" t="str">
        <f>IFERROR(G1212*E1201,"")</f>
        <v/>
      </c>
    </row>
    <row r="1213" spans="1:11">
      <c r="A1213" s="21"/>
      <c r="B1213" s="22" t="s">
        <v>2533</v>
      </c>
      <c r="C1213" s="23"/>
      <c r="D1213" s="24"/>
      <c r="E1213" s="25"/>
      <c r="F1213" s="26"/>
      <c r="G1213" s="27">
        <f>SUM(G1214:G1215)</f>
        <v>0</v>
      </c>
      <c r="H1213" s="27">
        <f>IFERROR(G1213*E1201,"")</f>
        <v>0</v>
      </c>
    </row>
    <row r="1214" spans="1:11">
      <c r="A1214" s="28"/>
      <c r="B1214" s="29"/>
      <c r="C1214" s="30" t="str">
        <f>IFERROR(_xlfn.XLOOKUP(B1214,Transporte[DESCRIPCION],Transporte[UND],,0),"")</f>
        <v/>
      </c>
      <c r="D1214" s="31"/>
      <c r="E1214" s="32" t="str">
        <f>IFERROR(_xlfn.XLOOKUP($B1214,Transporte[DESCRIPCION],Transporte[VALOR],,0),"")</f>
        <v/>
      </c>
      <c r="F1214" s="33"/>
      <c r="G1214" s="34" t="str">
        <f>IFERROR(IF(F1214&gt;=0,D1214*E1214*(1+F1214/100),ABS(D1214*E1214/F1214)),"")</f>
        <v/>
      </c>
      <c r="H1214" s="43" t="str">
        <f>IFERROR(G1214*E1201,"")</f>
        <v/>
      </c>
    </row>
    <row r="1215" spans="1:11">
      <c r="A1215" s="28"/>
      <c r="B1215" s="29"/>
      <c r="C1215" s="30" t="str">
        <f>IFERROR(_xlfn.XLOOKUP(B1215,Transporte[DESCRIPCION],Transporte[UND],,0),"")</f>
        <v/>
      </c>
      <c r="D1215" s="31"/>
      <c r="E1215" s="32" t="str">
        <f>IFERROR(_xlfn.XLOOKUP($B1215,Transporte[DESCRIPCION],Transporte[VALOR],,0),"")</f>
        <v/>
      </c>
      <c r="F1215" s="33"/>
      <c r="G1215" s="34" t="str">
        <f>IFERROR(IF(F1215&gt;=0,D1215*E1215*(1+F1215/100),ABS(D1215*E1215/F1215)),"")</f>
        <v/>
      </c>
      <c r="H1215" s="43" t="str">
        <f>IFERROR(G1215*E1201,"")</f>
        <v/>
      </c>
    </row>
    <row r="1216" spans="1:11">
      <c r="A1216" s="21"/>
      <c r="B1216" s="22" t="s">
        <v>3732</v>
      </c>
      <c r="C1216" s="23"/>
      <c r="D1216" s="24"/>
      <c r="E1216" s="25"/>
      <c r="F1216" s="26"/>
      <c r="G1216" s="27">
        <f>SUM(G1217:G1219)</f>
        <v>478701.96638333338</v>
      </c>
      <c r="H1216" s="27">
        <f>IFERROR(G1216*E1201,"")</f>
        <v>0</v>
      </c>
    </row>
    <row r="1217" spans="1:11">
      <c r="A1217" s="28"/>
      <c r="B1217" s="29" t="s">
        <v>3711</v>
      </c>
      <c r="C1217" s="30" t="str">
        <f>IFERROR(_xlfn.XLOOKUP(B1217,MObra[DESCRIPCION],MObra[UN],,0),"")</f>
        <v>día</v>
      </c>
      <c r="D1217" s="31">
        <v>1</v>
      </c>
      <c r="E1217" s="32">
        <f>IFERROR(_xlfn.XLOOKUP($B1217,MObra[DESCRIPCION],MObra[VALOR UNIT],,0),"")</f>
        <v>430831.76974500006</v>
      </c>
      <c r="F1217" s="33">
        <v>-0.9</v>
      </c>
      <c r="G1217" s="34">
        <f>IFERROR(IF(F1217&gt;=0,D1217*E1217*(1+F1217/100),ABS(D1217*E1217/F1217)),"")</f>
        <v>478701.96638333338</v>
      </c>
      <c r="H1217" s="43">
        <f>IFERROR(G1217*E1201,"")</f>
        <v>0</v>
      </c>
    </row>
    <row r="1218" spans="1:11">
      <c r="A1218" s="28"/>
      <c r="B1218" s="29"/>
      <c r="C1218" s="30" t="str">
        <f>IFERROR(_xlfn.XLOOKUP(B1218,MObra[DESCRIPCION],MObra[UN],,0),"")</f>
        <v/>
      </c>
      <c r="D1218" s="31"/>
      <c r="E1218" s="32" t="str">
        <f>IFERROR(_xlfn.XLOOKUP($B1218,MObra[DESCRIPCION],MObra[VALOR UNIT],,0),"")</f>
        <v/>
      </c>
      <c r="F1218" s="33"/>
      <c r="G1218" s="34" t="str">
        <f>IFERROR(IF(F1218&gt;=0,D1218*E1218*(1+F1218/100),ABS(D1218*E1218/F1218)),"")</f>
        <v/>
      </c>
      <c r="H1218" s="43" t="str">
        <f>IFERROR(G1218*E1201,"")</f>
        <v/>
      </c>
    </row>
    <row r="1219" spans="1:11">
      <c r="A1219" s="35"/>
      <c r="B1219" s="36"/>
      <c r="C1219" s="37" t="str">
        <f>IFERROR(_xlfn.XLOOKUP(B1219,MObra[DESCRIPCION],MObra[UN],,0),"")</f>
        <v/>
      </c>
      <c r="D1219" s="38"/>
      <c r="E1219" s="39" t="str">
        <f>IFERROR(_xlfn.XLOOKUP($B1219,MObra[DESCRIPCION],MObra[VALOR UNIT],,0),"")</f>
        <v/>
      </c>
      <c r="F1219" s="40"/>
      <c r="G1219" s="41" t="str">
        <f>IFERROR(IF(F1219&gt;=0,D1219*E1219*(1+F1219/100),ABS(D1219*E1219/F1219)),"")</f>
        <v/>
      </c>
      <c r="H1219" s="42" t="str">
        <f>IFERROR(G1219*E1201,"")</f>
        <v/>
      </c>
    </row>
    <row r="1221" spans="1:11">
      <c r="A1221" s="6" t="s">
        <v>1677</v>
      </c>
      <c r="B1221" s="7" t="str">
        <f>VLOOKUP($A1221,Presupuesto!$A:$D,2,FALSE())</f>
        <v>Ascensor de 6 paradas</v>
      </c>
      <c r="C1221" s="8" t="str">
        <f>VLOOKUP($A1221,Presupuesto!$A:$D,3,FALSE())</f>
        <v>Un</v>
      </c>
      <c r="D1221" s="9"/>
      <c r="E1221" s="10">
        <f>VLOOKUP($A1221,Presupuesto!$A:$D,4,FALSE())</f>
        <v>0</v>
      </c>
      <c r="F1221" s="11" t="s">
        <v>2589</v>
      </c>
      <c r="G1221" s="12">
        <f>SUM(G1223:G1239)/2</f>
        <v>154952286.19410753</v>
      </c>
      <c r="H1221" s="13">
        <f>ROUND(SUM(H1223:H1239),0)/2</f>
        <v>0</v>
      </c>
      <c r="I1221" s="137">
        <f>VLOOKUP(A1221,Presupuesto!$A:$F,6,0)</f>
        <v>0</v>
      </c>
      <c r="J1221" s="10">
        <f>+H1221-I1221</f>
        <v>0</v>
      </c>
      <c r="K1221" s="46">
        <f>+H1221-G1221*E1221</f>
        <v>0</v>
      </c>
    </row>
    <row r="1222" spans="1:11">
      <c r="A1222" s="14"/>
      <c r="B1222" s="15" t="s">
        <v>2586</v>
      </c>
      <c r="C1222" s="15" t="s">
        <v>5</v>
      </c>
      <c r="D1222" s="16" t="s">
        <v>6</v>
      </c>
      <c r="E1222" s="17" t="s">
        <v>7</v>
      </c>
      <c r="F1222" s="18" t="s">
        <v>3728</v>
      </c>
      <c r="G1222" s="19" t="s">
        <v>3729</v>
      </c>
      <c r="H1222" s="20" t="s">
        <v>3797</v>
      </c>
    </row>
    <row r="1223" spans="1:11">
      <c r="A1223" s="21"/>
      <c r="B1223" s="22" t="s">
        <v>3730</v>
      </c>
      <c r="C1223" s="23"/>
      <c r="D1223" s="24"/>
      <c r="E1223" s="25"/>
      <c r="F1223" s="26"/>
      <c r="G1223" s="27">
        <f>SUM(G1224:G1228)</f>
        <v>153444375</v>
      </c>
      <c r="H1223" s="27">
        <f>IFERROR(G1223*E1221,"")</f>
        <v>0</v>
      </c>
    </row>
    <row r="1224" spans="1:11">
      <c r="A1224" s="28"/>
      <c r="B1224" s="29" t="s">
        <v>2722</v>
      </c>
      <c r="C1224" s="30" t="str">
        <f>IFERROR(_xlfn.XLOOKUP(B1224,Insumo[DESCRIPCION],Insumo[UND],,0),"")</f>
        <v>Un</v>
      </c>
      <c r="D1224" s="31">
        <v>1</v>
      </c>
      <c r="E1224" s="32">
        <f>IFERROR(_xlfn.XLOOKUP($B1224,Insumo[DESCRIPCION],Insumo[VALOR],,0),"")</f>
        <v>153444375</v>
      </c>
      <c r="F1224" s="33"/>
      <c r="G1224" s="34">
        <f>IFERROR(IF(F1224&gt;=0,D1224*E1224*(1+F1224/100),ABS(D1224*E1224/F1224)),"")</f>
        <v>153444375</v>
      </c>
      <c r="H1224" s="43">
        <f>IFERROR(G1224*E1221,"")</f>
        <v>0</v>
      </c>
    </row>
    <row r="1225" spans="1:11">
      <c r="A1225" s="28"/>
      <c r="B1225" s="29"/>
      <c r="C1225" s="30" t="str">
        <f>IFERROR(_xlfn.XLOOKUP(B1225,Insumo[DESCRIPCION],Insumo[UND],,0),"")</f>
        <v/>
      </c>
      <c r="D1225" s="31"/>
      <c r="E1225" s="32" t="str">
        <f>IFERROR(_xlfn.XLOOKUP($B1225,Insumo[DESCRIPCION],Insumo[VALOR],,0),"")</f>
        <v/>
      </c>
      <c r="F1225" s="33"/>
      <c r="G1225" s="34" t="str">
        <f>IFERROR(IF(F1225&gt;=0,D1225*E1225*(1+F1225/100),ABS(D1225*E1225/F1225)),"")</f>
        <v/>
      </c>
      <c r="H1225" s="43" t="str">
        <f>IFERROR(G1225*E1221,"")</f>
        <v/>
      </c>
    </row>
    <row r="1226" spans="1:11">
      <c r="A1226" s="28"/>
      <c r="B1226" s="29"/>
      <c r="C1226" s="30" t="str">
        <f>IFERROR(_xlfn.XLOOKUP(B1226,Insumo[DESCRIPCION],Insumo[UND],,0),"")</f>
        <v/>
      </c>
      <c r="D1226" s="31"/>
      <c r="E1226" s="32" t="str">
        <f>IFERROR(_xlfn.XLOOKUP($B1226,Insumo[DESCRIPCION],Insumo[VALOR],,0),"")</f>
        <v/>
      </c>
      <c r="F1226" s="33"/>
      <c r="G1226" s="34" t="str">
        <f>IFERROR(IF(F1226&gt;=0,D1226*E1226*(1+F1226/100),ABS(D1226*E1226/F1226)),"")</f>
        <v/>
      </c>
      <c r="H1226" s="43" t="str">
        <f>IFERROR(G1226*E1221,"")</f>
        <v/>
      </c>
    </row>
    <row r="1227" spans="1:11">
      <c r="A1227" s="28"/>
      <c r="B1227" s="29"/>
      <c r="C1227" s="30" t="str">
        <f>IFERROR(_xlfn.XLOOKUP(B1227,Insumo[DESCRIPCION],Insumo[UND],,0),"")</f>
        <v/>
      </c>
      <c r="D1227" s="31"/>
      <c r="E1227" s="32" t="str">
        <f>IFERROR(_xlfn.XLOOKUP($B1227,Insumo[DESCRIPCION],Insumo[VALOR],,0),"")</f>
        <v/>
      </c>
      <c r="F1227" s="33"/>
      <c r="G1227" s="34" t="str">
        <f>IFERROR(IF(F1227&gt;=0,D1227*E1227*(1+F1227/100),ABS(D1227*E1227/F1227)),"")</f>
        <v/>
      </c>
      <c r="H1227" s="43" t="str">
        <f>IFERROR(G1227*E1221,"")</f>
        <v/>
      </c>
    </row>
    <row r="1228" spans="1:11">
      <c r="A1228" s="28"/>
      <c r="B1228" s="29"/>
      <c r="C1228" s="30" t="str">
        <f>IFERROR(_xlfn.XLOOKUP(B1228,Insumo[DESCRIPCION],Insumo[UND],,0),"")</f>
        <v/>
      </c>
      <c r="D1228" s="31"/>
      <c r="E1228" s="32" t="str">
        <f>IFERROR(_xlfn.XLOOKUP($B1228,Insumo[DESCRIPCION],Insumo[VALOR],,0),"")</f>
        <v/>
      </c>
      <c r="F1228" s="33"/>
      <c r="G1228" s="34" t="str">
        <f>IFERROR(IF(F1228&gt;=0,D1228*E1228*(1+F1228/100),ABS(D1228*E1228/F1228)),"")</f>
        <v/>
      </c>
      <c r="H1228" s="43" t="str">
        <f>IFERROR(G1228*E1221,"")</f>
        <v/>
      </c>
    </row>
    <row r="1229" spans="1:11">
      <c r="A1229" s="21"/>
      <c r="B1229" s="22" t="s">
        <v>3731</v>
      </c>
      <c r="C1229" s="23"/>
      <c r="D1229" s="24"/>
      <c r="E1229" s="25"/>
      <c r="F1229" s="26"/>
      <c r="G1229" s="27">
        <f>SUM(G1230:G1232)</f>
        <v>71805.294957500009</v>
      </c>
      <c r="H1229" s="27">
        <f>IFERROR(G1229*E1221,"")</f>
        <v>0</v>
      </c>
    </row>
    <row r="1230" spans="1:11">
      <c r="A1230" s="28"/>
      <c r="B1230" s="29" t="s">
        <v>3626</v>
      </c>
      <c r="C1230" s="30" t="str">
        <f>IFERROR(_xlfn.XLOOKUP(B1230,Equipo[DESCRIPCION],Equipo[UND],,0),"")</f>
        <v>%MO</v>
      </c>
      <c r="D1230" s="31">
        <v>0.05</v>
      </c>
      <c r="E1230" s="32">
        <f>IF(C1230="%MO",G1236,IFERROR(_xlfn.XLOOKUP($B1230,Equipo[DESCRIPCION],Equipo[VALOR],,0),""))</f>
        <v>1436105.8991500002</v>
      </c>
      <c r="F1230" s="33"/>
      <c r="G1230" s="34">
        <f>IFERROR(IF(F1230&gt;=0,D1230*E1230*(1+F1230/100),ABS(D1230*E1230/F1230)),"")</f>
        <v>71805.294957500009</v>
      </c>
      <c r="H1230" s="43">
        <f>IFERROR(G1230*E1221,"")</f>
        <v>0</v>
      </c>
    </row>
    <row r="1231" spans="1:11">
      <c r="A1231" s="28"/>
      <c r="B1231" s="29"/>
      <c r="C1231" s="30" t="str">
        <f>IFERROR(_xlfn.XLOOKUP(B1231,Equipo[DESCRIPCION],Equipo[UND],,0),"")</f>
        <v/>
      </c>
      <c r="D1231" s="31"/>
      <c r="E1231" s="32" t="str">
        <f>IF(C1231="%MO",G1236,IFERROR(_xlfn.XLOOKUP($B1231,Equipo[DESCRIPCION],Equipo[VALOR],,0),""))</f>
        <v/>
      </c>
      <c r="F1231" s="33"/>
      <c r="G1231" s="34" t="str">
        <f>IFERROR(IF(F1231&gt;=0,D1231*E1231*(1+F1231/100),ABS(D1231*E1231/F1231)),"")</f>
        <v/>
      </c>
      <c r="H1231" s="43" t="str">
        <f>IFERROR(G1231*E1221,"")</f>
        <v/>
      </c>
    </row>
    <row r="1232" spans="1:11">
      <c r="A1232" s="28"/>
      <c r="B1232" s="29"/>
      <c r="C1232" s="30" t="str">
        <f>IFERROR(_xlfn.XLOOKUP(B1232,Equipo[DESCRIPCION],Equipo[UND],,0),"")</f>
        <v/>
      </c>
      <c r="D1232" s="31"/>
      <c r="E1232" s="32" t="str">
        <f>IF(C1232="%MO",G1236,IFERROR(_xlfn.XLOOKUP($B1232,Equipo[DESCRIPCION],Equipo[VALOR],,0),""))</f>
        <v/>
      </c>
      <c r="F1232" s="33"/>
      <c r="G1232" s="34" t="str">
        <f>IFERROR(IF(F1232&gt;=0,D1232*E1232*(1+F1232/100),ABS(D1232*E1232/F1232)),"")</f>
        <v/>
      </c>
      <c r="H1232" s="43" t="str">
        <f>IFERROR(G1232*E1221,"")</f>
        <v/>
      </c>
    </row>
    <row r="1233" spans="1:11">
      <c r="A1233" s="21"/>
      <c r="B1233" s="22" t="s">
        <v>2533</v>
      </c>
      <c r="C1233" s="23"/>
      <c r="D1233" s="24"/>
      <c r="E1233" s="25"/>
      <c r="F1233" s="26"/>
      <c r="G1233" s="27">
        <f>SUM(G1234:G1235)</f>
        <v>0</v>
      </c>
      <c r="H1233" s="27">
        <f>IFERROR(G1233*E1221,"")</f>
        <v>0</v>
      </c>
    </row>
    <row r="1234" spans="1:11">
      <c r="A1234" s="28"/>
      <c r="B1234" s="29"/>
      <c r="C1234" s="30" t="str">
        <f>IFERROR(_xlfn.XLOOKUP(B1234,Transporte[DESCRIPCION],Transporte[UND],,0),"")</f>
        <v/>
      </c>
      <c r="D1234" s="31"/>
      <c r="E1234" s="32" t="str">
        <f>IFERROR(_xlfn.XLOOKUP($B1234,Transporte[DESCRIPCION],Transporte[VALOR],,0),"")</f>
        <v/>
      </c>
      <c r="F1234" s="33"/>
      <c r="G1234" s="34" t="str">
        <f>IFERROR(IF(F1234&gt;=0,D1234*E1234*(1+F1234/100),ABS(D1234*E1234/F1234)),"")</f>
        <v/>
      </c>
      <c r="H1234" s="43" t="str">
        <f>IFERROR(G1234*E1221,"")</f>
        <v/>
      </c>
    </row>
    <row r="1235" spans="1:11">
      <c r="A1235" s="28"/>
      <c r="B1235" s="29"/>
      <c r="C1235" s="30" t="str">
        <f>IFERROR(_xlfn.XLOOKUP(B1235,Transporte[DESCRIPCION],Transporte[UND],,0),"")</f>
        <v/>
      </c>
      <c r="D1235" s="31"/>
      <c r="E1235" s="32" t="str">
        <f>IFERROR(_xlfn.XLOOKUP($B1235,Transporte[DESCRIPCION],Transporte[VALOR],,0),"")</f>
        <v/>
      </c>
      <c r="F1235" s="33"/>
      <c r="G1235" s="34" t="str">
        <f>IFERROR(IF(F1235&gt;=0,D1235*E1235*(1+F1235/100),ABS(D1235*E1235/F1235)),"")</f>
        <v/>
      </c>
      <c r="H1235" s="43" t="str">
        <f>IFERROR(G1235*E1221,"")</f>
        <v/>
      </c>
    </row>
    <row r="1236" spans="1:11">
      <c r="A1236" s="21"/>
      <c r="B1236" s="22" t="s">
        <v>3732</v>
      </c>
      <c r="C1236" s="23"/>
      <c r="D1236" s="24"/>
      <c r="E1236" s="25"/>
      <c r="F1236" s="26"/>
      <c r="G1236" s="27">
        <f>SUM(G1237:G1239)</f>
        <v>1436105.8991500002</v>
      </c>
      <c r="H1236" s="27">
        <f>IFERROR(G1236*E1221,"")</f>
        <v>0</v>
      </c>
    </row>
    <row r="1237" spans="1:11">
      <c r="A1237" s="28"/>
      <c r="B1237" s="29" t="s">
        <v>3711</v>
      </c>
      <c r="C1237" s="30" t="str">
        <f>IFERROR(_xlfn.XLOOKUP(B1237,MObra[DESCRIPCION],MObra[UN],,0),"")</f>
        <v>día</v>
      </c>
      <c r="D1237" s="31">
        <v>1</v>
      </c>
      <c r="E1237" s="32">
        <f>IFERROR(_xlfn.XLOOKUP($B1237,MObra[DESCRIPCION],MObra[VALOR UNIT],,0),"")</f>
        <v>430831.76974500006</v>
      </c>
      <c r="F1237" s="33">
        <v>-0.3</v>
      </c>
      <c r="G1237" s="34">
        <f>IFERROR(IF(F1237&gt;=0,D1237*E1237*(1+F1237/100),ABS(D1237*E1237/F1237)),"")</f>
        <v>1436105.8991500002</v>
      </c>
      <c r="H1237" s="43">
        <f>IFERROR(G1237*E1221,"")</f>
        <v>0</v>
      </c>
    </row>
    <row r="1238" spans="1:11">
      <c r="A1238" s="28"/>
      <c r="B1238" s="29"/>
      <c r="C1238" s="30" t="str">
        <f>IFERROR(_xlfn.XLOOKUP(B1238,MObra[DESCRIPCION],MObra[UN],,0),"")</f>
        <v/>
      </c>
      <c r="D1238" s="31"/>
      <c r="E1238" s="32" t="str">
        <f>IFERROR(_xlfn.XLOOKUP($B1238,MObra[DESCRIPCION],MObra[VALOR UNIT],,0),"")</f>
        <v/>
      </c>
      <c r="F1238" s="33"/>
      <c r="G1238" s="34" t="str">
        <f>IFERROR(IF(F1238&gt;=0,D1238*E1238*(1+F1238/100),ABS(D1238*E1238/F1238)),"")</f>
        <v/>
      </c>
      <c r="H1238" s="43" t="str">
        <f>IFERROR(G1238*E1221,"")</f>
        <v/>
      </c>
    </row>
    <row r="1239" spans="1:11">
      <c r="A1239" s="35"/>
      <c r="B1239" s="36"/>
      <c r="C1239" s="37" t="str">
        <f>IFERROR(_xlfn.XLOOKUP(B1239,MObra[DESCRIPCION],MObra[UN],,0),"")</f>
        <v/>
      </c>
      <c r="D1239" s="38"/>
      <c r="E1239" s="39" t="str">
        <f>IFERROR(_xlfn.XLOOKUP($B1239,MObra[DESCRIPCION],MObra[VALOR UNIT],,0),"")</f>
        <v/>
      </c>
      <c r="F1239" s="40"/>
      <c r="G1239" s="41" t="str">
        <f>IFERROR(IF(F1239&gt;=0,D1239*E1239*(1+F1239/100),ABS(D1239*E1239/F1239)),"")</f>
        <v/>
      </c>
      <c r="H1239" s="42" t="str">
        <f>IFERROR(G1239*E1221,"")</f>
        <v/>
      </c>
    </row>
    <row r="1240" spans="1:11" ht="13.5" thickTop="1" thickBot="1"/>
    <row r="1241" spans="1:11" ht="12.75" customHeight="1" thickTop="1" thickBot="1">
      <c r="A1241" s="6" t="s">
        <v>1681</v>
      </c>
      <c r="B1241" s="7" t="str">
        <f>VLOOKUP($A1241,Presupuesto!$A:$D,2,FALSE())</f>
        <v>Arquería tubería HG 2-1/2" + malla banquitas</v>
      </c>
      <c r="C1241" s="8" t="str">
        <f>VLOOKUP($A1241,Presupuesto!$A:$D,3,FALSE())</f>
        <v>Un</v>
      </c>
      <c r="D1241" s="9"/>
      <c r="E1241" s="10">
        <f>VLOOKUP($A1241,Presupuesto!$A:$D,4,FALSE())</f>
        <v>0</v>
      </c>
      <c r="F1241" s="11" t="s">
        <v>2589</v>
      </c>
      <c r="G1241" s="12">
        <f>SUM(G1243:G1259)/2</f>
        <v>913554.90750299999</v>
      </c>
      <c r="H1241" s="13">
        <f>ROUND(SUM(H1243:H1259),0)/2</f>
        <v>0</v>
      </c>
      <c r="I1241" s="10">
        <f>VLOOKUP(A1241,Presupuesto!$A:$F,6,0)</f>
        <v>0</v>
      </c>
      <c r="J1241" s="10">
        <f>+H1241-I1241</f>
        <v>0</v>
      </c>
      <c r="K1241" s="46">
        <f>+H1241-G1241*E1241</f>
        <v>0</v>
      </c>
    </row>
    <row r="1242" spans="1:11" ht="12.75" customHeight="1" thickTop="1">
      <c r="A1242" s="14"/>
      <c r="B1242" s="15" t="s">
        <v>2586</v>
      </c>
      <c r="C1242" s="15" t="s">
        <v>5</v>
      </c>
      <c r="D1242" s="16" t="s">
        <v>6</v>
      </c>
      <c r="E1242" s="17" t="s">
        <v>7</v>
      </c>
      <c r="F1242" s="18" t="s">
        <v>3728</v>
      </c>
      <c r="G1242" s="19" t="s">
        <v>3729</v>
      </c>
      <c r="H1242" s="20" t="s">
        <v>3797</v>
      </c>
      <c r="I1242" s="3"/>
    </row>
    <row r="1243" spans="1:11" ht="12.75" customHeight="1">
      <c r="A1243" s="21"/>
      <c r="B1243" s="22" t="s">
        <v>3730</v>
      </c>
      <c r="C1243" s="23"/>
      <c r="D1243" s="24"/>
      <c r="E1243" s="25"/>
      <c r="F1243" s="26"/>
      <c r="G1243" s="27">
        <f>SUM(G1244:G1248)</f>
        <v>425274.80624999997</v>
      </c>
      <c r="H1243" s="27">
        <f>IFERROR(G1243*E1241,"")</f>
        <v>0</v>
      </c>
      <c r="I1243" s="3"/>
    </row>
    <row r="1244" spans="1:11" ht="12.75" customHeight="1">
      <c r="A1244" s="28"/>
      <c r="B1244" s="29" t="s">
        <v>3448</v>
      </c>
      <c r="C1244" s="30" t="str">
        <f>IFERROR(_xlfn.XLOOKUP(B1244,Insumo[DESCRIPCION],Insumo[UND],,0),"")</f>
        <v>M</v>
      </c>
      <c r="D1244" s="31">
        <v>5</v>
      </c>
      <c r="E1244" s="32">
        <f>IFERROR(_xlfn.XLOOKUP($B1244,Insumo[DESCRIPCION],Insumo[VALOR],,0),"")</f>
        <v>39741.625</v>
      </c>
      <c r="F1244" s="33">
        <v>5</v>
      </c>
      <c r="G1244" s="34">
        <f>IFERROR(IF(F1244&gt;=0,D1244*E1244*(1+F1244/100),ABS(D1244*E1244/F1244)),"")</f>
        <v>208643.53125</v>
      </c>
      <c r="H1244" s="43">
        <f>IFERROR(G1244*E1241,"")</f>
        <v>0</v>
      </c>
      <c r="I1244" s="3"/>
    </row>
    <row r="1245" spans="1:11" ht="12.75" customHeight="1">
      <c r="A1245" s="28"/>
      <c r="B1245" s="29" t="s">
        <v>3138</v>
      </c>
      <c r="C1245" s="30" t="str">
        <f>IFERROR(_xlfn.XLOOKUP(B1245,Insumo[DESCRIPCION],Insumo[UND],,0),"")</f>
        <v>M2</v>
      </c>
      <c r="D1245" s="31">
        <v>3</v>
      </c>
      <c r="E1245" s="32">
        <f>IFERROR(_xlfn.XLOOKUP($B1245,Insumo[DESCRIPCION],Insumo[VALOR],,0),"")</f>
        <v>26005.350000000002</v>
      </c>
      <c r="F1245" s="33"/>
      <c r="G1245" s="34">
        <f>IFERROR(IF(F1245&gt;=0,D1245*E1245*(1+F1245/100),ABS(D1245*E1245/F1245)),"")</f>
        <v>78016.05</v>
      </c>
      <c r="H1245" s="43">
        <f>IFERROR(G1245*E1241,"")</f>
        <v>0</v>
      </c>
      <c r="I1245" s="3"/>
    </row>
    <row r="1246" spans="1:11" ht="12.75" customHeight="1">
      <c r="A1246" s="28"/>
      <c r="B1246" s="29" t="s">
        <v>3557</v>
      </c>
      <c r="C1246" s="30" t="str">
        <f>IFERROR(_xlfn.XLOOKUP(B1246,Insumo[DESCRIPCION],Insumo[UND],,0),"")</f>
        <v>galón</v>
      </c>
      <c r="D1246" s="31">
        <v>0.5</v>
      </c>
      <c r="E1246" s="32">
        <f>IFERROR(_xlfn.XLOOKUP($B1246,Insumo[DESCRIPCION],Insumo[VALOR],,0),"")</f>
        <v>206752.35</v>
      </c>
      <c r="F1246" s="33"/>
      <c r="G1246" s="34">
        <f>IFERROR(IF(F1246&gt;=0,D1246*E1246*(1+F1246/100),ABS(D1246*E1246/F1246)),"")</f>
        <v>103376.175</v>
      </c>
      <c r="H1246" s="43">
        <f>IFERROR(G1246*E1241,"")</f>
        <v>0</v>
      </c>
      <c r="I1246" s="3"/>
    </row>
    <row r="1247" spans="1:11" ht="12.75" customHeight="1">
      <c r="A1247" s="28"/>
      <c r="B1247" s="29" t="s">
        <v>2708</v>
      </c>
      <c r="C1247" s="30" t="str">
        <f>IFERROR(_xlfn.XLOOKUP(B1247,Insumo[DESCRIPCION],Insumo[UND],,0),"")</f>
        <v>galón</v>
      </c>
      <c r="D1247" s="31">
        <v>0.36</v>
      </c>
      <c r="E1247" s="32">
        <f>IFERROR(_xlfn.XLOOKUP($B1247,Insumo[DESCRIPCION],Insumo[VALOR],,0),"")</f>
        <v>97886.25</v>
      </c>
      <c r="F1247" s="33"/>
      <c r="G1247" s="34">
        <f>IFERROR(IF(F1247&gt;=0,D1247*E1247*(1+F1247/100),ABS(D1247*E1247/F1247)),"")</f>
        <v>35239.049999999996</v>
      </c>
      <c r="H1247" s="43">
        <f>IFERROR(G1247*E1241,"")</f>
        <v>0</v>
      </c>
      <c r="I1247" s="3"/>
    </row>
    <row r="1248" spans="1:11" ht="12.75" customHeight="1">
      <c r="A1248" s="28"/>
      <c r="B1248" s="29"/>
      <c r="C1248" s="30" t="str">
        <f>IFERROR(_xlfn.XLOOKUP(B1248,Insumo[DESCRIPCION],Insumo[UND],,0),"")</f>
        <v/>
      </c>
      <c r="D1248" s="31"/>
      <c r="E1248" s="32" t="str">
        <f>IFERROR(_xlfn.XLOOKUP($B1248,Insumo[DESCRIPCION],Insumo[VALOR],,0),"")</f>
        <v/>
      </c>
      <c r="F1248" s="33"/>
      <c r="G1248" s="34" t="str">
        <f>IFERROR(IF(F1248&gt;=0,D1248*E1248*(1+F1248/100),ABS(D1248*E1248/F1248)),"")</f>
        <v/>
      </c>
      <c r="H1248" s="43" t="str">
        <f>IFERROR(G1248*E1241,"")</f>
        <v/>
      </c>
      <c r="I1248" s="3"/>
    </row>
    <row r="1249" spans="1:11" ht="12.75" customHeight="1">
      <c r="A1249" s="21"/>
      <c r="B1249" s="22" t="s">
        <v>3731</v>
      </c>
      <c r="C1249" s="23"/>
      <c r="D1249" s="24"/>
      <c r="E1249" s="25"/>
      <c r="F1249" s="26"/>
      <c r="G1249" s="27">
        <f>SUM(G1250:G1252)</f>
        <v>69092.433393000014</v>
      </c>
      <c r="H1249" s="27">
        <f>IFERROR(G1249*E1241,"")</f>
        <v>0</v>
      </c>
      <c r="I1249" s="3"/>
    </row>
    <row r="1250" spans="1:11" ht="12.75" customHeight="1">
      <c r="A1250" s="28"/>
      <c r="B1250" s="29" t="s">
        <v>3613</v>
      </c>
      <c r="C1250" s="30" t="str">
        <f>IFERROR(_xlfn.XLOOKUP(B1250,Equipo[DESCRIPCION],Equipo[UND],,0),"")</f>
        <v>Día</v>
      </c>
      <c r="D1250" s="31">
        <v>1</v>
      </c>
      <c r="E1250" s="32">
        <f>IF(C1250="%MO",G1256,IFERROR(_xlfn.XLOOKUP($B1250,Equipo[DESCRIPCION],Equipo[VALOR],,0),""))</f>
        <v>48133.05</v>
      </c>
      <c r="F1250" s="33">
        <v>-1</v>
      </c>
      <c r="G1250" s="34">
        <f>IFERROR(IF(F1250&gt;=0,D1250*E1250*(1+F1250/100),ABS(D1250*E1250/F1250)),"")</f>
        <v>48133.05</v>
      </c>
      <c r="H1250" s="43">
        <f>IFERROR(G1250*E1241,"")</f>
        <v>0</v>
      </c>
      <c r="I1250" s="3"/>
    </row>
    <row r="1251" spans="1:11" ht="12.75" customHeight="1">
      <c r="A1251" s="28"/>
      <c r="B1251" s="29" t="s">
        <v>3626</v>
      </c>
      <c r="C1251" s="30" t="str">
        <f>IFERROR(_xlfn.XLOOKUP(B1251,Equipo[DESCRIPCION],Equipo[UND],,0),"")</f>
        <v>%MO</v>
      </c>
      <c r="D1251" s="31">
        <v>0.05</v>
      </c>
      <c r="E1251" s="32">
        <f>IF(C1251="%MO",G1256,IFERROR(_xlfn.XLOOKUP($B1251,Equipo[DESCRIPCION],Equipo[VALOR],,0),""))</f>
        <v>419187.66786000005</v>
      </c>
      <c r="F1251" s="33"/>
      <c r="G1251" s="34">
        <f>IFERROR(IF(F1251&gt;=0,D1251*E1251*(1+F1251/100),ABS(D1251*E1251/F1251)),"")</f>
        <v>20959.383393000004</v>
      </c>
      <c r="H1251" s="43">
        <f>IFERROR(G1251*E1241,"")</f>
        <v>0</v>
      </c>
      <c r="I1251" s="3"/>
    </row>
    <row r="1252" spans="1:11" ht="12.75" customHeight="1">
      <c r="A1252" s="28"/>
      <c r="B1252" s="29"/>
      <c r="C1252" s="30" t="str">
        <f>IFERROR(_xlfn.XLOOKUP(B1252,Equipo[DESCRIPCION],Equipo[UND],,0),"")</f>
        <v/>
      </c>
      <c r="D1252" s="31"/>
      <c r="E1252" s="32" t="str">
        <f>IF(C1252="%MO",G1256,IFERROR(_xlfn.XLOOKUP($B1252,Equipo[DESCRIPCION],Equipo[VALOR],,0),""))</f>
        <v/>
      </c>
      <c r="F1252" s="33"/>
      <c r="G1252" s="34" t="str">
        <f>IFERROR(IF(F1252&gt;=0,D1252*E1252*(1+F1252/100),ABS(D1252*E1252/F1252)),"")</f>
        <v/>
      </c>
      <c r="H1252" s="43" t="str">
        <f>IFERROR(G1252*E1241,"")</f>
        <v/>
      </c>
      <c r="I1252" s="3"/>
    </row>
    <row r="1253" spans="1:11" ht="12.75" customHeight="1">
      <c r="A1253" s="21"/>
      <c r="B1253" s="22" t="s">
        <v>2533</v>
      </c>
      <c r="C1253" s="23"/>
      <c r="D1253" s="24"/>
      <c r="E1253" s="25"/>
      <c r="F1253" s="26"/>
      <c r="G1253" s="27">
        <f>SUM(G1254:G1255)</f>
        <v>0</v>
      </c>
      <c r="H1253" s="27">
        <f>IFERROR(G1253*E1241,"")</f>
        <v>0</v>
      </c>
      <c r="I1253" s="3"/>
    </row>
    <row r="1254" spans="1:11" ht="12.75" customHeight="1">
      <c r="A1254" s="28"/>
      <c r="B1254" s="29"/>
      <c r="C1254" s="30" t="str">
        <f>IFERROR(_xlfn.XLOOKUP(B1254,Transporte[DESCRIPCION],Transporte[UND],,0),"")</f>
        <v/>
      </c>
      <c r="D1254" s="31"/>
      <c r="E1254" s="32" t="str">
        <f>IFERROR(_xlfn.XLOOKUP($B1254,Transporte[DESCRIPCION],Transporte[VALOR],,0),"")</f>
        <v/>
      </c>
      <c r="F1254" s="33"/>
      <c r="G1254" s="34" t="str">
        <f>IFERROR(IF(F1254&gt;=0,D1254*E1254*(1+F1254/100),ABS(D1254*E1254/F1254)),"")</f>
        <v/>
      </c>
      <c r="H1254" s="43" t="str">
        <f>IFERROR(G1254*E1241,"")</f>
        <v/>
      </c>
      <c r="I1254" s="3"/>
    </row>
    <row r="1255" spans="1:11" ht="12.75" customHeight="1">
      <c r="A1255" s="28"/>
      <c r="B1255" s="29"/>
      <c r="C1255" s="30" t="str">
        <f>IFERROR(_xlfn.XLOOKUP(B1255,Transporte[DESCRIPCION],Transporte[UND],,0),"")</f>
        <v/>
      </c>
      <c r="D1255" s="31"/>
      <c r="E1255" s="32" t="str">
        <f>IFERROR(_xlfn.XLOOKUP($B1255,Transporte[DESCRIPCION],Transporte[VALOR],,0),"")</f>
        <v/>
      </c>
      <c r="F1255" s="33"/>
      <c r="G1255" s="34" t="str">
        <f>IFERROR(IF(F1255&gt;=0,D1255*E1255*(1+F1255/100),ABS(D1255*E1255/F1255)),"")</f>
        <v/>
      </c>
      <c r="H1255" s="43" t="str">
        <f>IFERROR(G1255*E1241,"")</f>
        <v/>
      </c>
      <c r="I1255" s="3"/>
    </row>
    <row r="1256" spans="1:11" ht="12.75" customHeight="1">
      <c r="A1256" s="21"/>
      <c r="B1256" s="22" t="s">
        <v>3732</v>
      </c>
      <c r="C1256" s="23"/>
      <c r="D1256" s="24"/>
      <c r="E1256" s="25"/>
      <c r="F1256" s="26"/>
      <c r="G1256" s="27">
        <f>SUM(G1257:G1259)</f>
        <v>419187.66786000005</v>
      </c>
      <c r="H1256" s="27">
        <f>IFERROR(G1256*E1241,"")</f>
        <v>0</v>
      </c>
      <c r="I1256" s="3"/>
    </row>
    <row r="1257" spans="1:11" ht="12.75" customHeight="1">
      <c r="A1257" s="28"/>
      <c r="B1257" s="29" t="s">
        <v>3724</v>
      </c>
      <c r="C1257" s="30" t="str">
        <f>IFERROR(_xlfn.XLOOKUP(B1257,MObra[DESCRIPCION],MObra[UN],,0),"")</f>
        <v>día</v>
      </c>
      <c r="D1257" s="31">
        <v>1</v>
      </c>
      <c r="E1257" s="32">
        <f>IFERROR(_xlfn.XLOOKUP($B1257,MObra[DESCRIPCION],MObra[VALOR UNIT],,0),"")</f>
        <v>419187.66786000005</v>
      </c>
      <c r="F1257" s="33">
        <v>-1</v>
      </c>
      <c r="G1257" s="34">
        <f>IFERROR(IF(F1257&gt;=0,D1257*E1257*(1+F1257/100),ABS(D1257*E1257/F1257)),"")</f>
        <v>419187.66786000005</v>
      </c>
      <c r="H1257" s="43">
        <f>IFERROR(G1257*E1241,"")</f>
        <v>0</v>
      </c>
      <c r="I1257" s="3"/>
    </row>
    <row r="1258" spans="1:11" ht="12.75" customHeight="1">
      <c r="A1258" s="28"/>
      <c r="B1258" s="29"/>
      <c r="C1258" s="30" t="str">
        <f>IFERROR(_xlfn.XLOOKUP(B1258,MObra[DESCRIPCION],MObra[UN],,0),"")</f>
        <v/>
      </c>
      <c r="D1258" s="31"/>
      <c r="E1258" s="32" t="str">
        <f>IFERROR(_xlfn.XLOOKUP($B1258,MObra[DESCRIPCION],MObra[VALOR UNIT],,0),"")</f>
        <v/>
      </c>
      <c r="F1258" s="33"/>
      <c r="G1258" s="34" t="str">
        <f>IFERROR(IF(F1258&gt;=0,D1258*E1258*(1+F1258/100),ABS(D1258*E1258/F1258)),"")</f>
        <v/>
      </c>
      <c r="H1258" s="43" t="str">
        <f>IFERROR(G1258*E1241,"")</f>
        <v/>
      </c>
      <c r="I1258" s="3"/>
    </row>
    <row r="1259" spans="1:11" ht="12.75" customHeight="1" thickBot="1">
      <c r="A1259" s="35"/>
      <c r="B1259" s="36"/>
      <c r="C1259" s="37" t="str">
        <f>IFERROR(_xlfn.XLOOKUP(B1259,MObra[DESCRIPCION],MObra[UN],,0),"")</f>
        <v/>
      </c>
      <c r="D1259" s="38"/>
      <c r="E1259" s="39" t="str">
        <f>IFERROR(_xlfn.XLOOKUP($B1259,MObra[DESCRIPCION],MObra[VALOR UNIT],,0),"")</f>
        <v/>
      </c>
      <c r="F1259" s="40"/>
      <c r="G1259" s="41" t="str">
        <f>IFERROR(IF(F1259&gt;=0,D1259*E1259*(1+F1259/100),ABS(D1259*E1259/F1259)),"")</f>
        <v/>
      </c>
      <c r="H1259" s="42" t="str">
        <f>IFERROR(G1259*E1241,"")</f>
        <v/>
      </c>
      <c r="I1259" s="3"/>
    </row>
    <row r="1260" spans="1:11" ht="12.75" customHeight="1" thickTop="1" thickBot="1">
      <c r="I1260" s="3"/>
    </row>
    <row r="1261" spans="1:11" ht="12.75" customHeight="1" thickTop="1" thickBot="1">
      <c r="A1261" s="6" t="s">
        <v>1683</v>
      </c>
      <c r="B1261" s="7" t="str">
        <f>VLOOKUP($A1261,Presupuesto!$A:$D,2,FALSE())</f>
        <v>Arquería tubería HG 2-1/2" + malla futbol</v>
      </c>
      <c r="C1261" s="8" t="str">
        <f>VLOOKUP($A1261,Presupuesto!$A:$D,3,FALSE())</f>
        <v>Un</v>
      </c>
      <c r="D1261" s="9"/>
      <c r="E1261" s="10">
        <f>VLOOKUP($A1261,Presupuesto!$A:$D,4,FALSE())</f>
        <v>0</v>
      </c>
      <c r="F1261" s="11" t="s">
        <v>2589</v>
      </c>
      <c r="G1261" s="12">
        <f>SUM(G1263:G1279)/2</f>
        <v>1854815.3765662503</v>
      </c>
      <c r="H1261" s="13">
        <f>ROUND(SUM(H1263:H1279),0)/2</f>
        <v>0</v>
      </c>
      <c r="I1261" s="10">
        <f>VLOOKUP(A1261,Presupuesto!$A:$F,6,0)</f>
        <v>0</v>
      </c>
      <c r="J1261" s="10">
        <f>+H1261-I1261</f>
        <v>0</v>
      </c>
      <c r="K1261" s="46">
        <f>+H1261-G1261*E1261</f>
        <v>0</v>
      </c>
    </row>
    <row r="1262" spans="1:11" ht="12.75" customHeight="1" thickTop="1">
      <c r="A1262" s="14"/>
      <c r="B1262" s="15" t="s">
        <v>2586</v>
      </c>
      <c r="C1262" s="15" t="s">
        <v>5</v>
      </c>
      <c r="D1262" s="16" t="s">
        <v>6</v>
      </c>
      <c r="E1262" s="17" t="s">
        <v>7</v>
      </c>
      <c r="F1262" s="18" t="s">
        <v>3728</v>
      </c>
      <c r="G1262" s="19" t="s">
        <v>3729</v>
      </c>
      <c r="H1262" s="20" t="s">
        <v>3797</v>
      </c>
      <c r="I1262" s="3"/>
    </row>
    <row r="1263" spans="1:11" ht="12.75" customHeight="1">
      <c r="A1263" s="21"/>
      <c r="B1263" s="22" t="s">
        <v>3730</v>
      </c>
      <c r="C1263" s="23"/>
      <c r="D1263" s="24"/>
      <c r="E1263" s="25"/>
      <c r="F1263" s="26"/>
      <c r="G1263" s="27">
        <f>SUM(G1264:G1268)</f>
        <v>1244465.25</v>
      </c>
      <c r="H1263" s="27">
        <f>IFERROR(G1263*E1261,"")</f>
        <v>0</v>
      </c>
      <c r="I1263" s="3"/>
    </row>
    <row r="1264" spans="1:11" ht="12.75" customHeight="1">
      <c r="A1264" s="28"/>
      <c r="B1264" s="29" t="s">
        <v>3448</v>
      </c>
      <c r="C1264" s="30" t="str">
        <f>IFERROR(_xlfn.XLOOKUP(B1264,Insumo[DESCRIPCION],Insumo[UND],,0),"")</f>
        <v>M</v>
      </c>
      <c r="D1264" s="31">
        <v>16</v>
      </c>
      <c r="E1264" s="32">
        <f>IFERROR(_xlfn.XLOOKUP($B1264,Insumo[DESCRIPCION],Insumo[VALOR],,0),"")</f>
        <v>39741.625</v>
      </c>
      <c r="F1264" s="33">
        <v>5</v>
      </c>
      <c r="G1264" s="34">
        <f>IFERROR(IF(F1264&gt;=0,D1264*E1264*(1+F1264/100),ABS(D1264*E1264/F1264)),"")</f>
        <v>667659.30000000005</v>
      </c>
      <c r="H1264" s="43">
        <f>IFERROR(G1264*E1261,"")</f>
        <v>0</v>
      </c>
      <c r="I1264" s="3"/>
    </row>
    <row r="1265" spans="1:9" ht="12.75" customHeight="1">
      <c r="A1265" s="28"/>
      <c r="B1265" s="29" t="s">
        <v>3138</v>
      </c>
      <c r="C1265" s="30" t="str">
        <f>IFERROR(_xlfn.XLOOKUP(B1265,Insumo[DESCRIPCION],Insumo[UND],,0),"")</f>
        <v>M2</v>
      </c>
      <c r="D1265" s="31">
        <v>14</v>
      </c>
      <c r="E1265" s="32">
        <f>IFERROR(_xlfn.XLOOKUP($B1265,Insumo[DESCRIPCION],Insumo[VALOR],,0),"")</f>
        <v>26005.350000000002</v>
      </c>
      <c r="F1265" s="33"/>
      <c r="G1265" s="34">
        <f>IFERROR(IF(F1265&gt;=0,D1265*E1265*(1+F1265/100),ABS(D1265*E1265/F1265)),"")</f>
        <v>364074.9</v>
      </c>
      <c r="H1265" s="43">
        <f>IFERROR(G1265*E1261,"")</f>
        <v>0</v>
      </c>
      <c r="I1265" s="3"/>
    </row>
    <row r="1266" spans="1:9" ht="12.75" customHeight="1">
      <c r="A1266" s="28"/>
      <c r="B1266" s="29" t="s">
        <v>3326</v>
      </c>
      <c r="C1266" s="30" t="str">
        <f>IFERROR(_xlfn.XLOOKUP(B1266,Insumo[DESCRIPCION],Insumo[UND],,0),"")</f>
        <v>Kg</v>
      </c>
      <c r="D1266" s="31">
        <v>1</v>
      </c>
      <c r="E1266" s="32">
        <f>IFERROR(_xlfn.XLOOKUP($B1266,Insumo[DESCRIPCION],Insumo[VALOR],,0),"")</f>
        <v>5978.7</v>
      </c>
      <c r="F1266" s="33"/>
      <c r="G1266" s="34">
        <f>IFERROR(IF(F1266&gt;=0,D1266*E1266*(1+F1266/100),ABS(D1266*E1266/F1266)),"")</f>
        <v>5978.7</v>
      </c>
      <c r="H1266" s="43">
        <f>IFERROR(G1266*E1261,"")</f>
        <v>0</v>
      </c>
      <c r="I1266" s="3"/>
    </row>
    <row r="1267" spans="1:9" ht="12.75" customHeight="1">
      <c r="A1267" s="28"/>
      <c r="B1267" s="29" t="s">
        <v>3557</v>
      </c>
      <c r="C1267" s="30" t="str">
        <f>IFERROR(_xlfn.XLOOKUP(B1267,Insumo[DESCRIPCION],Insumo[UND],,0),"")</f>
        <v>galón</v>
      </c>
      <c r="D1267" s="31">
        <v>1</v>
      </c>
      <c r="E1267" s="32">
        <f>IFERROR(_xlfn.XLOOKUP($B1267,Insumo[DESCRIPCION],Insumo[VALOR],,0),"")</f>
        <v>206752.35</v>
      </c>
      <c r="F1267" s="33"/>
      <c r="G1267" s="34">
        <f>IFERROR(IF(F1267&gt;=0,D1267*E1267*(1+F1267/100),ABS(D1267*E1267/F1267)),"")</f>
        <v>206752.35</v>
      </c>
      <c r="H1267" s="43">
        <f>IFERROR(G1267*E1261,"")</f>
        <v>0</v>
      </c>
      <c r="I1267" s="3"/>
    </row>
    <row r="1268" spans="1:9" ht="12.75" customHeight="1">
      <c r="A1268" s="28"/>
      <c r="B1268" s="29"/>
      <c r="C1268" s="30" t="str">
        <f>IFERROR(_xlfn.XLOOKUP(B1268,Insumo[DESCRIPCION],Insumo[UND],,0),"")</f>
        <v/>
      </c>
      <c r="D1268" s="31"/>
      <c r="E1268" s="32" t="str">
        <f>IFERROR(_xlfn.XLOOKUP($B1268,Insumo[DESCRIPCION],Insumo[VALOR],,0),"")</f>
        <v/>
      </c>
      <c r="F1268" s="33"/>
      <c r="G1268" s="34" t="str">
        <f>IFERROR(IF(F1268&gt;=0,D1268*E1268*(1+F1268/100),ABS(D1268*E1268/F1268)),"")</f>
        <v/>
      </c>
      <c r="H1268" s="43" t="str">
        <f>IFERROR(G1268*E1261,"")</f>
        <v/>
      </c>
      <c r="I1268" s="3"/>
    </row>
    <row r="1269" spans="1:9" ht="12.75" customHeight="1">
      <c r="A1269" s="21"/>
      <c r="B1269" s="22" t="s">
        <v>3731</v>
      </c>
      <c r="C1269" s="23"/>
      <c r="D1269" s="24"/>
      <c r="E1269" s="25"/>
      <c r="F1269" s="26"/>
      <c r="G1269" s="27">
        <f>SUM(G1270:G1272)</f>
        <v>86365.541741249996</v>
      </c>
      <c r="H1269" s="27">
        <f>IFERROR(G1269*E1261,"")</f>
        <v>0</v>
      </c>
      <c r="I1269" s="3"/>
    </row>
    <row r="1270" spans="1:9" ht="12.75" customHeight="1">
      <c r="A1270" s="28"/>
      <c r="B1270" s="29" t="s">
        <v>3613</v>
      </c>
      <c r="C1270" s="30" t="str">
        <f>IFERROR(_xlfn.XLOOKUP(B1270,Equipo[DESCRIPCION],Equipo[UND],,0),"")</f>
        <v>Día</v>
      </c>
      <c r="D1270" s="31">
        <v>1</v>
      </c>
      <c r="E1270" s="32">
        <f>IF(C1270="%MO",G1276,IFERROR(_xlfn.XLOOKUP($B1270,Equipo[DESCRIPCION],Equipo[VALOR],,0),""))</f>
        <v>48133.05</v>
      </c>
      <c r="F1270" s="33">
        <v>-0.8</v>
      </c>
      <c r="G1270" s="34">
        <f>IFERROR(IF(F1270&gt;=0,D1270*E1270*(1+F1270/100),ABS(D1270*E1270/F1270)),"")</f>
        <v>60166.3125</v>
      </c>
      <c r="H1270" s="43">
        <f>IFERROR(G1270*E1261,"")</f>
        <v>0</v>
      </c>
      <c r="I1270" s="3"/>
    </row>
    <row r="1271" spans="1:9" ht="12.75" customHeight="1">
      <c r="A1271" s="28"/>
      <c r="B1271" s="29" t="s">
        <v>3626</v>
      </c>
      <c r="C1271" s="30" t="str">
        <f>IFERROR(_xlfn.XLOOKUP(B1271,Equipo[DESCRIPCION],Equipo[UND],,0),"")</f>
        <v>%MO</v>
      </c>
      <c r="D1271" s="31">
        <v>0.05</v>
      </c>
      <c r="E1271" s="32">
        <f>IF(C1271="%MO",G1276,IFERROR(_xlfn.XLOOKUP($B1271,Equipo[DESCRIPCION],Equipo[VALOR],,0),""))</f>
        <v>523984.58482500003</v>
      </c>
      <c r="F1271" s="33"/>
      <c r="G1271" s="34">
        <f>IFERROR(IF(F1271&gt;=0,D1271*E1271*(1+F1271/100),ABS(D1271*E1271/F1271)),"")</f>
        <v>26199.229241250003</v>
      </c>
      <c r="H1271" s="43">
        <f>IFERROR(G1271*E1261,"")</f>
        <v>0</v>
      </c>
      <c r="I1271" s="3"/>
    </row>
    <row r="1272" spans="1:9" ht="12.75" customHeight="1">
      <c r="A1272" s="28"/>
      <c r="B1272" s="29"/>
      <c r="C1272" s="30" t="str">
        <f>IFERROR(_xlfn.XLOOKUP(B1272,Equipo[DESCRIPCION],Equipo[UND],,0),"")</f>
        <v/>
      </c>
      <c r="D1272" s="31"/>
      <c r="E1272" s="32" t="str">
        <f>IF(C1272="%MO",G1276,IFERROR(_xlfn.XLOOKUP($B1272,Equipo[DESCRIPCION],Equipo[VALOR],,0),""))</f>
        <v/>
      </c>
      <c r="F1272" s="33"/>
      <c r="G1272" s="34" t="str">
        <f>IFERROR(IF(F1272&gt;=0,D1272*E1272*(1+F1272/100),ABS(D1272*E1272/F1272)),"")</f>
        <v/>
      </c>
      <c r="H1272" s="43" t="str">
        <f>IFERROR(G1272*E1261,"")</f>
        <v/>
      </c>
      <c r="I1272" s="3"/>
    </row>
    <row r="1273" spans="1:9" ht="12.75" customHeight="1">
      <c r="A1273" s="21"/>
      <c r="B1273" s="22" t="s">
        <v>2533</v>
      </c>
      <c r="C1273" s="23"/>
      <c r="D1273" s="24"/>
      <c r="E1273" s="25"/>
      <c r="F1273" s="26"/>
      <c r="G1273" s="27">
        <f>SUM(G1274:G1275)</f>
        <v>0</v>
      </c>
      <c r="H1273" s="27">
        <f>IFERROR(G1273*E1261,"")</f>
        <v>0</v>
      </c>
      <c r="I1273" s="3"/>
    </row>
    <row r="1274" spans="1:9" ht="12.75" customHeight="1">
      <c r="A1274" s="28"/>
      <c r="B1274" s="29"/>
      <c r="C1274" s="30" t="str">
        <f>IFERROR(_xlfn.XLOOKUP(B1274,Transporte[DESCRIPCION],Transporte[UND],,0),"")</f>
        <v/>
      </c>
      <c r="D1274" s="31"/>
      <c r="E1274" s="32" t="str">
        <f>IFERROR(_xlfn.XLOOKUP($B1274,Transporte[DESCRIPCION],Transporte[VALOR],,0),"")</f>
        <v/>
      </c>
      <c r="F1274" s="33"/>
      <c r="G1274" s="34" t="str">
        <f>IFERROR(IF(F1274&gt;=0,D1274*E1274*(1+F1274/100),ABS(D1274*E1274/F1274)),"")</f>
        <v/>
      </c>
      <c r="H1274" s="43" t="str">
        <f>IFERROR(G1274*E1261,"")</f>
        <v/>
      </c>
      <c r="I1274" s="3"/>
    </row>
    <row r="1275" spans="1:9" ht="12.75" customHeight="1">
      <c r="A1275" s="28"/>
      <c r="B1275" s="29"/>
      <c r="C1275" s="30" t="str">
        <f>IFERROR(_xlfn.XLOOKUP(B1275,Transporte[DESCRIPCION],Transporte[UND],,0),"")</f>
        <v/>
      </c>
      <c r="D1275" s="31"/>
      <c r="E1275" s="32" t="str">
        <f>IFERROR(_xlfn.XLOOKUP($B1275,Transporte[DESCRIPCION],Transporte[VALOR],,0),"")</f>
        <v/>
      </c>
      <c r="F1275" s="33"/>
      <c r="G1275" s="34" t="str">
        <f>IFERROR(IF(F1275&gt;=0,D1275*E1275*(1+F1275/100),ABS(D1275*E1275/F1275)),"")</f>
        <v/>
      </c>
      <c r="H1275" s="43" t="str">
        <f>IFERROR(G1275*E1261,"")</f>
        <v/>
      </c>
      <c r="I1275" s="3"/>
    </row>
    <row r="1276" spans="1:9" ht="12.75" customHeight="1">
      <c r="A1276" s="21"/>
      <c r="B1276" s="22" t="s">
        <v>3732</v>
      </c>
      <c r="C1276" s="23"/>
      <c r="D1276" s="24"/>
      <c r="E1276" s="25"/>
      <c r="F1276" s="26"/>
      <c r="G1276" s="27">
        <f>SUM(G1277:G1279)</f>
        <v>523984.58482500003</v>
      </c>
      <c r="H1276" s="27">
        <f>IFERROR(G1276*E1261,"")</f>
        <v>0</v>
      </c>
      <c r="I1276" s="3"/>
    </row>
    <row r="1277" spans="1:9" ht="12.75" customHeight="1">
      <c r="A1277" s="28"/>
      <c r="B1277" s="29" t="s">
        <v>3724</v>
      </c>
      <c r="C1277" s="30" t="str">
        <f>IFERROR(_xlfn.XLOOKUP(B1277,MObra[DESCRIPCION],MObra[UN],,0),"")</f>
        <v>día</v>
      </c>
      <c r="D1277" s="31">
        <v>1</v>
      </c>
      <c r="E1277" s="32">
        <f>IFERROR(_xlfn.XLOOKUP($B1277,MObra[DESCRIPCION],MObra[VALOR UNIT],,0),"")</f>
        <v>419187.66786000005</v>
      </c>
      <c r="F1277" s="33">
        <v>-0.8</v>
      </c>
      <c r="G1277" s="34">
        <f>IFERROR(IF(F1277&gt;=0,D1277*E1277*(1+F1277/100),ABS(D1277*E1277/F1277)),"")</f>
        <v>523984.58482500003</v>
      </c>
      <c r="H1277" s="43">
        <f>IFERROR(G1277*E1261,"")</f>
        <v>0</v>
      </c>
      <c r="I1277" s="3"/>
    </row>
    <row r="1278" spans="1:9" ht="12.75" customHeight="1">
      <c r="A1278" s="28"/>
      <c r="B1278" s="29"/>
      <c r="C1278" s="30" t="str">
        <f>IFERROR(_xlfn.XLOOKUP(B1278,MObra[DESCRIPCION],MObra[UN],,0),"")</f>
        <v/>
      </c>
      <c r="D1278" s="31"/>
      <c r="E1278" s="32" t="str">
        <f>IFERROR(_xlfn.XLOOKUP($B1278,MObra[DESCRIPCION],MObra[VALOR UNIT],,0),"")</f>
        <v/>
      </c>
      <c r="F1278" s="33"/>
      <c r="G1278" s="34" t="str">
        <f>IFERROR(IF(F1278&gt;=0,D1278*E1278*(1+F1278/100),ABS(D1278*E1278/F1278)),"")</f>
        <v/>
      </c>
      <c r="H1278" s="43" t="str">
        <f>IFERROR(G1278*E1261,"")</f>
        <v/>
      </c>
      <c r="I1278" s="3"/>
    </row>
    <row r="1279" spans="1:9" ht="12.75" customHeight="1" thickBot="1">
      <c r="A1279" s="35"/>
      <c r="B1279" s="36"/>
      <c r="C1279" s="37" t="str">
        <f>IFERROR(_xlfn.XLOOKUP(B1279,MObra[DESCRIPCION],MObra[UN],,0),"")</f>
        <v/>
      </c>
      <c r="D1279" s="38"/>
      <c r="E1279" s="39" t="str">
        <f>IFERROR(_xlfn.XLOOKUP($B1279,MObra[DESCRIPCION],MObra[VALOR UNIT],,0),"")</f>
        <v/>
      </c>
      <c r="F1279" s="40"/>
      <c r="G1279" s="41" t="str">
        <f>IFERROR(IF(F1279&gt;=0,D1279*E1279*(1+F1279/100),ABS(D1279*E1279/F1279)),"")</f>
        <v/>
      </c>
      <c r="H1279" s="42" t="str">
        <f>IFERROR(G1279*E1261,"")</f>
        <v/>
      </c>
      <c r="I1279" s="3"/>
    </row>
    <row r="1280" spans="1:9" ht="12.75" customHeight="1" thickTop="1" thickBot="1">
      <c r="I1280" s="3"/>
    </row>
    <row r="1281" spans="1:11" ht="12.75" customHeight="1" thickTop="1" thickBot="1">
      <c r="A1281" s="6" t="s">
        <v>1685</v>
      </c>
      <c r="B1281" s="7" t="str">
        <f>VLOOKUP($A1281,Presupuesto!$A:$D,2,FALSE())</f>
        <v>Arquería tubería HG 2-1/2" + malla micro</v>
      </c>
      <c r="C1281" s="8" t="str">
        <f>VLOOKUP($A1281,Presupuesto!$A:$D,3,FALSE())</f>
        <v>Un</v>
      </c>
      <c r="D1281" s="9"/>
      <c r="E1281" s="10">
        <f>VLOOKUP($A1281,Presupuesto!$A:$D,4,FALSE())</f>
        <v>0</v>
      </c>
      <c r="F1281" s="11" t="s">
        <v>2589</v>
      </c>
      <c r="G1281" s="12">
        <f>SUM(G1283:G1299)/2</f>
        <v>1335805.5037529999</v>
      </c>
      <c r="H1281" s="13">
        <f>ROUND(SUM(H1283:H1299),0)/2</f>
        <v>0</v>
      </c>
      <c r="I1281" s="10">
        <f>VLOOKUP(A1281,Presupuesto!$A:$F,6,0)</f>
        <v>0</v>
      </c>
      <c r="J1281" s="10">
        <f>+H1281-I1281</f>
        <v>0</v>
      </c>
      <c r="K1281" s="46">
        <f>+H1281-G1281*E1281</f>
        <v>0</v>
      </c>
    </row>
    <row r="1282" spans="1:11" ht="12.75" customHeight="1" thickTop="1">
      <c r="A1282" s="14"/>
      <c r="B1282" s="15" t="s">
        <v>2586</v>
      </c>
      <c r="C1282" s="15" t="s">
        <v>5</v>
      </c>
      <c r="D1282" s="16" t="s">
        <v>6</v>
      </c>
      <c r="E1282" s="17" t="s">
        <v>7</v>
      </c>
      <c r="F1282" s="18" t="s">
        <v>3728</v>
      </c>
      <c r="G1282" s="19" t="s">
        <v>3729</v>
      </c>
      <c r="H1282" s="20" t="s">
        <v>3797</v>
      </c>
      <c r="I1282" s="3"/>
    </row>
    <row r="1283" spans="1:11" ht="12.75" customHeight="1">
      <c r="A1283" s="21"/>
      <c r="B1283" s="22" t="s">
        <v>3730</v>
      </c>
      <c r="C1283" s="23"/>
      <c r="D1283" s="24"/>
      <c r="E1283" s="25"/>
      <c r="F1283" s="26"/>
      <c r="G1283" s="27">
        <f>SUM(G1284:G1288)</f>
        <v>847525.40249999997</v>
      </c>
      <c r="H1283" s="27">
        <f>IFERROR(G1283*E1281,"")</f>
        <v>0</v>
      </c>
      <c r="I1283" s="3"/>
    </row>
    <row r="1284" spans="1:11" ht="12.75" customHeight="1">
      <c r="A1284" s="28"/>
      <c r="B1284" s="29" t="s">
        <v>3448</v>
      </c>
      <c r="C1284" s="30" t="str">
        <f>IFERROR(_xlfn.XLOOKUP(B1284,Insumo[DESCRIPCION],Insumo[UND],,0),"")</f>
        <v>M</v>
      </c>
      <c r="D1284" s="31">
        <v>10</v>
      </c>
      <c r="E1284" s="32">
        <f>IFERROR(_xlfn.XLOOKUP($B1284,Insumo[DESCRIPCION],Insumo[VALOR],,0),"")</f>
        <v>39741.625</v>
      </c>
      <c r="F1284" s="33">
        <v>5</v>
      </c>
      <c r="G1284" s="34">
        <f>IFERROR(IF(F1284&gt;=0,D1284*E1284*(1+F1284/100),ABS(D1284*E1284/F1284)),"")</f>
        <v>417287.0625</v>
      </c>
      <c r="H1284" s="43">
        <f>IFERROR(G1284*E1281,"")</f>
        <v>0</v>
      </c>
      <c r="I1284" s="3"/>
    </row>
    <row r="1285" spans="1:11" ht="12.75" customHeight="1">
      <c r="A1285" s="28"/>
      <c r="B1285" s="29" t="s">
        <v>3138</v>
      </c>
      <c r="C1285" s="30" t="str">
        <f>IFERROR(_xlfn.XLOOKUP(B1285,Insumo[DESCRIPCION],Insumo[UND],,0),"")</f>
        <v>M2</v>
      </c>
      <c r="D1285" s="31">
        <v>10</v>
      </c>
      <c r="E1285" s="32">
        <f>IFERROR(_xlfn.XLOOKUP($B1285,Insumo[DESCRIPCION],Insumo[VALOR],,0),"")</f>
        <v>26005.350000000002</v>
      </c>
      <c r="F1285" s="33"/>
      <c r="G1285" s="34">
        <f>IFERROR(IF(F1285&gt;=0,D1285*E1285*(1+F1285/100),ABS(D1285*E1285/F1285)),"")</f>
        <v>260053.50000000003</v>
      </c>
      <c r="H1285" s="43">
        <f>IFERROR(G1285*E1281,"")</f>
        <v>0</v>
      </c>
      <c r="I1285" s="3"/>
    </row>
    <row r="1286" spans="1:11" ht="12.75" customHeight="1">
      <c r="A1286" s="28"/>
      <c r="B1286" s="29" t="s">
        <v>3326</v>
      </c>
      <c r="C1286" s="30" t="str">
        <f>IFERROR(_xlfn.XLOOKUP(B1286,Insumo[DESCRIPCION],Insumo[UND],,0),"")</f>
        <v>Kg</v>
      </c>
      <c r="D1286" s="31">
        <v>0.8</v>
      </c>
      <c r="E1286" s="32">
        <f>IFERROR(_xlfn.XLOOKUP($B1286,Insumo[DESCRIPCION],Insumo[VALOR],,0),"")</f>
        <v>5978.7</v>
      </c>
      <c r="F1286" s="33"/>
      <c r="G1286" s="34">
        <f>IFERROR(IF(F1286&gt;=0,D1286*E1286*(1+F1286/100),ABS(D1286*E1286/F1286)),"")</f>
        <v>4782.96</v>
      </c>
      <c r="H1286" s="43">
        <f>IFERROR(G1286*E1281,"")</f>
        <v>0</v>
      </c>
      <c r="I1286" s="3"/>
    </row>
    <row r="1287" spans="1:11" ht="12.75" customHeight="1">
      <c r="A1287" s="28"/>
      <c r="B1287" s="29" t="s">
        <v>3557</v>
      </c>
      <c r="C1287" s="30" t="str">
        <f>IFERROR(_xlfn.XLOOKUP(B1287,Insumo[DESCRIPCION],Insumo[UND],,0),"")</f>
        <v>galón</v>
      </c>
      <c r="D1287" s="31">
        <v>0.8</v>
      </c>
      <c r="E1287" s="32">
        <f>IFERROR(_xlfn.XLOOKUP($B1287,Insumo[DESCRIPCION],Insumo[VALOR],,0),"")</f>
        <v>206752.35</v>
      </c>
      <c r="F1287" s="33"/>
      <c r="G1287" s="34">
        <f>IFERROR(IF(F1287&gt;=0,D1287*E1287*(1+F1287/100),ABS(D1287*E1287/F1287)),"")</f>
        <v>165401.88</v>
      </c>
      <c r="H1287" s="43">
        <f>IFERROR(G1287*E1281,"")</f>
        <v>0</v>
      </c>
      <c r="I1287" s="3"/>
    </row>
    <row r="1288" spans="1:11" ht="12.75" customHeight="1">
      <c r="A1288" s="28"/>
      <c r="B1288" s="29"/>
      <c r="C1288" s="30" t="str">
        <f>IFERROR(_xlfn.XLOOKUP(B1288,Insumo[DESCRIPCION],Insumo[UND],,0),"")</f>
        <v/>
      </c>
      <c r="D1288" s="31"/>
      <c r="E1288" s="32" t="str">
        <f>IFERROR(_xlfn.XLOOKUP($B1288,Insumo[DESCRIPCION],Insumo[VALOR],,0),"")</f>
        <v/>
      </c>
      <c r="F1288" s="33"/>
      <c r="G1288" s="34" t="str">
        <f>IFERROR(IF(F1288&gt;=0,D1288*E1288*(1+F1288/100),ABS(D1288*E1288/F1288)),"")</f>
        <v/>
      </c>
      <c r="H1288" s="43" t="str">
        <f>IFERROR(G1288*E1281,"")</f>
        <v/>
      </c>
      <c r="I1288" s="3"/>
    </row>
    <row r="1289" spans="1:11" ht="12.75" customHeight="1">
      <c r="A1289" s="21"/>
      <c r="B1289" s="22" t="s">
        <v>3731</v>
      </c>
      <c r="C1289" s="23"/>
      <c r="D1289" s="24"/>
      <c r="E1289" s="25"/>
      <c r="F1289" s="26"/>
      <c r="G1289" s="27">
        <f>SUM(G1290:G1292)</f>
        <v>69092.433393000014</v>
      </c>
      <c r="H1289" s="27">
        <f>IFERROR(G1289*E1281,"")</f>
        <v>0</v>
      </c>
      <c r="I1289" s="3"/>
    </row>
    <row r="1290" spans="1:11" ht="12.75" customHeight="1">
      <c r="A1290" s="28"/>
      <c r="B1290" s="29" t="s">
        <v>3613</v>
      </c>
      <c r="C1290" s="30" t="str">
        <f>IFERROR(_xlfn.XLOOKUP(B1290,Equipo[DESCRIPCION],Equipo[UND],,0),"")</f>
        <v>Día</v>
      </c>
      <c r="D1290" s="31">
        <v>1</v>
      </c>
      <c r="E1290" s="32">
        <f>IF(C1290="%MO",G1296,IFERROR(_xlfn.XLOOKUP($B1290,Equipo[DESCRIPCION],Equipo[VALOR],,0),""))</f>
        <v>48133.05</v>
      </c>
      <c r="F1290" s="33">
        <v>-1</v>
      </c>
      <c r="G1290" s="34">
        <f>IFERROR(IF(F1290&gt;=0,D1290*E1290*(1+F1290/100),ABS(D1290*E1290/F1290)),"")</f>
        <v>48133.05</v>
      </c>
      <c r="H1290" s="43">
        <f>IFERROR(G1290*E1281,"")</f>
        <v>0</v>
      </c>
      <c r="I1290" s="3"/>
    </row>
    <row r="1291" spans="1:11" ht="12.75" customHeight="1">
      <c r="A1291" s="28"/>
      <c r="B1291" s="29" t="s">
        <v>3626</v>
      </c>
      <c r="C1291" s="30" t="str">
        <f>IFERROR(_xlfn.XLOOKUP(B1291,Equipo[DESCRIPCION],Equipo[UND],,0),"")</f>
        <v>%MO</v>
      </c>
      <c r="D1291" s="31">
        <v>0.05</v>
      </c>
      <c r="E1291" s="32">
        <f>IF(C1291="%MO",G1296,IFERROR(_xlfn.XLOOKUP($B1291,Equipo[DESCRIPCION],Equipo[VALOR],,0),""))</f>
        <v>419187.66786000005</v>
      </c>
      <c r="F1291" s="33"/>
      <c r="G1291" s="34">
        <f>IFERROR(IF(F1291&gt;=0,D1291*E1291*(1+F1291/100),ABS(D1291*E1291/F1291)),"")</f>
        <v>20959.383393000004</v>
      </c>
      <c r="H1291" s="43">
        <f>IFERROR(G1291*E1281,"")</f>
        <v>0</v>
      </c>
      <c r="I1291" s="3"/>
    </row>
    <row r="1292" spans="1:11" ht="12.75" customHeight="1">
      <c r="A1292" s="28"/>
      <c r="B1292" s="29"/>
      <c r="C1292" s="30" t="str">
        <f>IFERROR(_xlfn.XLOOKUP(B1292,Equipo[DESCRIPCION],Equipo[UND],,0),"")</f>
        <v/>
      </c>
      <c r="D1292" s="31"/>
      <c r="E1292" s="32" t="str">
        <f>IF(C1292="%MO",G1296,IFERROR(_xlfn.XLOOKUP($B1292,Equipo[DESCRIPCION],Equipo[VALOR],,0),""))</f>
        <v/>
      </c>
      <c r="F1292" s="33"/>
      <c r="G1292" s="34" t="str">
        <f>IFERROR(IF(F1292&gt;=0,D1292*E1292*(1+F1292/100),ABS(D1292*E1292/F1292)),"")</f>
        <v/>
      </c>
      <c r="H1292" s="43" t="str">
        <f>IFERROR(G1292*E1281,"")</f>
        <v/>
      </c>
      <c r="I1292" s="3"/>
    </row>
    <row r="1293" spans="1:11" ht="12.75" customHeight="1">
      <c r="A1293" s="21"/>
      <c r="B1293" s="22" t="s">
        <v>2533</v>
      </c>
      <c r="C1293" s="23"/>
      <c r="D1293" s="24"/>
      <c r="E1293" s="25"/>
      <c r="F1293" s="26"/>
      <c r="G1293" s="27">
        <f>SUM(G1294:G1295)</f>
        <v>0</v>
      </c>
      <c r="H1293" s="27">
        <f>IFERROR(G1293*E1281,"")</f>
        <v>0</v>
      </c>
      <c r="I1293" s="3"/>
    </row>
    <row r="1294" spans="1:11" ht="12.75" customHeight="1">
      <c r="A1294" s="28"/>
      <c r="B1294" s="29"/>
      <c r="C1294" s="30" t="str">
        <f>IFERROR(_xlfn.XLOOKUP(B1294,Transporte[DESCRIPCION],Transporte[UND],,0),"")</f>
        <v/>
      </c>
      <c r="D1294" s="31"/>
      <c r="E1294" s="32" t="str">
        <f>IFERROR(_xlfn.XLOOKUP($B1294,Transporte[DESCRIPCION],Transporte[VALOR],,0),"")</f>
        <v/>
      </c>
      <c r="F1294" s="33"/>
      <c r="G1294" s="34" t="str">
        <f>IFERROR(IF(F1294&gt;=0,D1294*E1294*(1+F1294/100),ABS(D1294*E1294/F1294)),"")</f>
        <v/>
      </c>
      <c r="H1294" s="43" t="str">
        <f>IFERROR(G1294*E1281,"")</f>
        <v/>
      </c>
      <c r="I1294" s="3"/>
    </row>
    <row r="1295" spans="1:11" ht="12.75" customHeight="1">
      <c r="A1295" s="28"/>
      <c r="B1295" s="29"/>
      <c r="C1295" s="30" t="str">
        <f>IFERROR(_xlfn.XLOOKUP(B1295,Transporte[DESCRIPCION],Transporte[UND],,0),"")</f>
        <v/>
      </c>
      <c r="D1295" s="31"/>
      <c r="E1295" s="32" t="str">
        <f>IFERROR(_xlfn.XLOOKUP($B1295,Transporte[DESCRIPCION],Transporte[VALOR],,0),"")</f>
        <v/>
      </c>
      <c r="F1295" s="33"/>
      <c r="G1295" s="34" t="str">
        <f>IFERROR(IF(F1295&gt;=0,D1295*E1295*(1+F1295/100),ABS(D1295*E1295/F1295)),"")</f>
        <v/>
      </c>
      <c r="H1295" s="43" t="str">
        <f>IFERROR(G1295*E1281,"")</f>
        <v/>
      </c>
      <c r="I1295" s="3"/>
    </row>
    <row r="1296" spans="1:11" ht="12.75" customHeight="1">
      <c r="A1296" s="21"/>
      <c r="B1296" s="22" t="s">
        <v>3732</v>
      </c>
      <c r="C1296" s="23"/>
      <c r="D1296" s="24"/>
      <c r="E1296" s="25"/>
      <c r="F1296" s="26"/>
      <c r="G1296" s="27">
        <f>SUM(G1297:G1299)</f>
        <v>419187.66786000005</v>
      </c>
      <c r="H1296" s="27">
        <f>IFERROR(G1296*E1281,"")</f>
        <v>0</v>
      </c>
      <c r="I1296" s="3"/>
    </row>
    <row r="1297" spans="1:11" ht="12.75" customHeight="1">
      <c r="A1297" s="28"/>
      <c r="B1297" s="29" t="s">
        <v>3724</v>
      </c>
      <c r="C1297" s="30" t="str">
        <f>IFERROR(_xlfn.XLOOKUP(B1297,MObra[DESCRIPCION],MObra[UN],,0),"")</f>
        <v>día</v>
      </c>
      <c r="D1297" s="31">
        <v>1</v>
      </c>
      <c r="E1297" s="32">
        <f>IFERROR(_xlfn.XLOOKUP($B1297,MObra[DESCRIPCION],MObra[VALOR UNIT],,0),"")</f>
        <v>419187.66786000005</v>
      </c>
      <c r="F1297" s="33">
        <v>-1</v>
      </c>
      <c r="G1297" s="34">
        <f>IFERROR(IF(F1297&gt;=0,D1297*E1297*(1+F1297/100),ABS(D1297*E1297/F1297)),"")</f>
        <v>419187.66786000005</v>
      </c>
      <c r="H1297" s="43">
        <f>IFERROR(G1297*E1281,"")</f>
        <v>0</v>
      </c>
      <c r="I1297" s="3"/>
    </row>
    <row r="1298" spans="1:11" ht="12.75" customHeight="1">
      <c r="A1298" s="28"/>
      <c r="B1298" s="29"/>
      <c r="C1298" s="30" t="str">
        <f>IFERROR(_xlfn.XLOOKUP(B1298,MObra[DESCRIPCION],MObra[UN],,0),"")</f>
        <v/>
      </c>
      <c r="D1298" s="31"/>
      <c r="E1298" s="32" t="str">
        <f>IFERROR(_xlfn.XLOOKUP($B1298,MObra[DESCRIPCION],MObra[VALOR UNIT],,0),"")</f>
        <v/>
      </c>
      <c r="F1298" s="33"/>
      <c r="G1298" s="34" t="str">
        <f>IFERROR(IF(F1298&gt;=0,D1298*E1298*(1+F1298/100),ABS(D1298*E1298/F1298)),"")</f>
        <v/>
      </c>
      <c r="H1298" s="43" t="str">
        <f>IFERROR(G1298*E1281,"")</f>
        <v/>
      </c>
      <c r="I1298" s="3"/>
    </row>
    <row r="1299" spans="1:11" ht="12.75" customHeight="1" thickBot="1">
      <c r="A1299" s="35"/>
      <c r="B1299" s="36"/>
      <c r="C1299" s="37" t="str">
        <f>IFERROR(_xlfn.XLOOKUP(B1299,MObra[DESCRIPCION],MObra[UN],,0),"")</f>
        <v/>
      </c>
      <c r="D1299" s="38"/>
      <c r="E1299" s="39" t="str">
        <f>IFERROR(_xlfn.XLOOKUP($B1299,MObra[DESCRIPCION],MObra[VALOR UNIT],,0),"")</f>
        <v/>
      </c>
      <c r="F1299" s="40"/>
      <c r="G1299" s="41" t="str">
        <f>IFERROR(IF(F1299&gt;=0,D1299*E1299*(1+F1299/100),ABS(D1299*E1299/F1299)),"")</f>
        <v/>
      </c>
      <c r="H1299" s="42" t="str">
        <f>IFERROR(G1299*E1281,"")</f>
        <v/>
      </c>
      <c r="I1299" s="3"/>
    </row>
    <row r="1300" spans="1:11" ht="12.75" customHeight="1" thickTop="1" thickBot="1">
      <c r="I1300" s="3"/>
    </row>
    <row r="1301" spans="1:11" ht="12.75" customHeight="1" thickTop="1" thickBot="1">
      <c r="A1301" s="6" t="s">
        <v>1687</v>
      </c>
      <c r="B1301" s="7" t="str">
        <f>VLOOKUP($A1301,Presupuesto!$A:$D,2,FALSE())</f>
        <v>Arquería tubería HG 2-1/2" + tablero basquetbol</v>
      </c>
      <c r="C1301" s="8" t="str">
        <f>VLOOKUP($A1301,Presupuesto!$A:$D,3,FALSE())</f>
        <v>Un</v>
      </c>
      <c r="D1301" s="9"/>
      <c r="E1301" s="10">
        <f>VLOOKUP($A1301,Presupuesto!$A:$D,4,FALSE())</f>
        <v>0</v>
      </c>
      <c r="F1301" s="11" t="s">
        <v>2589</v>
      </c>
      <c r="G1301" s="12">
        <f>SUM(G1303:G1320)/2</f>
        <v>3684762.9900951041</v>
      </c>
      <c r="H1301" s="13">
        <f>ROUND(SUM(H1303:H1320),0)/2</f>
        <v>0</v>
      </c>
      <c r="I1301" s="10">
        <f>VLOOKUP(A1301,Presupuesto!$A:$F,6,0)</f>
        <v>0</v>
      </c>
      <c r="J1301" s="10">
        <f>+H1301-I1301</f>
        <v>0</v>
      </c>
      <c r="K1301" s="46">
        <f>+H1301-G1301*E1301</f>
        <v>0</v>
      </c>
    </row>
    <row r="1302" spans="1:11" ht="12.75" customHeight="1" thickTop="1">
      <c r="A1302" s="14"/>
      <c r="B1302" s="15" t="s">
        <v>2586</v>
      </c>
      <c r="C1302" s="15" t="s">
        <v>5</v>
      </c>
      <c r="D1302" s="16" t="s">
        <v>6</v>
      </c>
      <c r="E1302" s="17" t="s">
        <v>7</v>
      </c>
      <c r="F1302" s="18" t="s">
        <v>3728</v>
      </c>
      <c r="G1302" s="19" t="s">
        <v>3729</v>
      </c>
      <c r="H1302" s="20" t="s">
        <v>3797</v>
      </c>
      <c r="I1302" s="3"/>
    </row>
    <row r="1303" spans="1:11" ht="12.75" customHeight="1">
      <c r="A1303" s="21"/>
      <c r="B1303" s="22" t="s">
        <v>3730</v>
      </c>
      <c r="C1303" s="23"/>
      <c r="D1303" s="24"/>
      <c r="E1303" s="25"/>
      <c r="F1303" s="26"/>
      <c r="G1303" s="27">
        <f>SUM(G1304:G1309)</f>
        <v>3049767.2050911048</v>
      </c>
      <c r="H1303" s="27">
        <f>IFERROR(G1303*E1301,"")</f>
        <v>0</v>
      </c>
      <c r="I1303" s="3"/>
    </row>
    <row r="1304" spans="1:11" ht="12.75" customHeight="1">
      <c r="A1304" s="28"/>
      <c r="B1304" s="29" t="s">
        <v>3448</v>
      </c>
      <c r="C1304" s="30" t="str">
        <f>IFERROR(_xlfn.XLOOKUP(B1304,Insumo[DESCRIPCION],Insumo[UND],,0),"")</f>
        <v>M</v>
      </c>
      <c r="D1304" s="31">
        <v>8</v>
      </c>
      <c r="E1304" s="32">
        <f>IFERROR(_xlfn.XLOOKUP($B1304,Insumo[DESCRIPCION],Insumo[VALOR],,0),"")</f>
        <v>39741.625</v>
      </c>
      <c r="F1304" s="33">
        <v>5</v>
      </c>
      <c r="G1304" s="34">
        <f t="shared" ref="G1304:G1309" si="9">IFERROR(IF(F1304&gt;=0,D1304*E1304*(1+F1304/100),ABS(D1304*E1304/F1304)),"")</f>
        <v>333829.65000000002</v>
      </c>
      <c r="H1304" s="43">
        <f>IFERROR(G1304*E1301,"")</f>
        <v>0</v>
      </c>
      <c r="I1304" s="3"/>
    </row>
    <row r="1305" spans="1:11" ht="12.75" customHeight="1">
      <c r="A1305" s="28"/>
      <c r="B1305" s="29" t="s">
        <v>3354</v>
      </c>
      <c r="C1305" s="30" t="str">
        <f>IFERROR(_xlfn.XLOOKUP(B1305,Insumo[DESCRIPCION],Insumo[UND],,0),"")</f>
        <v>Un</v>
      </c>
      <c r="D1305" s="31">
        <v>1</v>
      </c>
      <c r="E1305" s="32">
        <f>IFERROR(_xlfn.XLOOKUP($B1305,Insumo[DESCRIPCION],Insumo[VALOR],,0),"")</f>
        <v>2137479.75</v>
      </c>
      <c r="F1305" s="33"/>
      <c r="G1305" s="34">
        <f t="shared" si="9"/>
        <v>2137479.75</v>
      </c>
      <c r="H1305" s="43">
        <f>IFERROR(G1305*E1301,"")</f>
        <v>0</v>
      </c>
      <c r="I1305" s="3"/>
    </row>
    <row r="1306" spans="1:11" ht="12.75" customHeight="1">
      <c r="A1306" s="28"/>
      <c r="B1306" s="29" t="s">
        <v>3326</v>
      </c>
      <c r="C1306" s="30" t="str">
        <f>IFERROR(_xlfn.XLOOKUP(B1306,Insumo[DESCRIPCION],Insumo[UND],,0),"")</f>
        <v>Kg</v>
      </c>
      <c r="D1306" s="31">
        <v>0.5</v>
      </c>
      <c r="E1306" s="32">
        <f>IFERROR(_xlfn.XLOOKUP($B1306,Insumo[DESCRIPCION],Insumo[VALOR],,0),"")</f>
        <v>5978.7</v>
      </c>
      <c r="F1306" s="33"/>
      <c r="G1306" s="34">
        <f t="shared" si="9"/>
        <v>2989.35</v>
      </c>
      <c r="H1306" s="43">
        <f>IFERROR(G1306*E1301,"")</f>
        <v>0</v>
      </c>
      <c r="I1306" s="3"/>
    </row>
    <row r="1307" spans="1:11" ht="12.75" customHeight="1">
      <c r="A1307" s="28"/>
      <c r="B1307" s="29" t="s">
        <v>3239</v>
      </c>
      <c r="C1307" s="30" t="str">
        <f>IFERROR(_xlfn.XLOOKUP(B1307,Insumo[DESCRIPCION],Insumo[UND],,0),"")</f>
        <v>M3</v>
      </c>
      <c r="D1307" s="31">
        <v>0.04</v>
      </c>
      <c r="E1307" s="32">
        <f>IFERROR(_xlfn.XLOOKUP($B1307,Insumo[DESCRIPCION],Insumo[VALOR],,0),"")</f>
        <v>521159.50227762427</v>
      </c>
      <c r="F1307" s="33"/>
      <c r="G1307" s="34">
        <f t="shared" si="9"/>
        <v>20846.380091104973</v>
      </c>
      <c r="H1307" s="43">
        <f>IFERROR(G1307*E1301,"")</f>
        <v>0</v>
      </c>
      <c r="I1307" s="3"/>
    </row>
    <row r="1308" spans="1:11" ht="12.75" customHeight="1">
      <c r="A1308" s="28"/>
      <c r="B1308" s="29" t="s">
        <v>3557</v>
      </c>
      <c r="C1308" s="30" t="str">
        <f>IFERROR(_xlfn.XLOOKUP(B1308,Insumo[DESCRIPCION],Insumo[UND],,0),"")</f>
        <v>galón</v>
      </c>
      <c r="D1308" s="31">
        <v>0.5</v>
      </c>
      <c r="E1308" s="32">
        <f>IFERROR(_xlfn.XLOOKUP($B1308,Insumo[DESCRIPCION],Insumo[VALOR],,0),"")</f>
        <v>206752.35</v>
      </c>
      <c r="F1308" s="33"/>
      <c r="G1308" s="34">
        <f t="shared" si="9"/>
        <v>103376.175</v>
      </c>
      <c r="H1308" s="43">
        <f>IFERROR(G1308*E1301,"")</f>
        <v>0</v>
      </c>
      <c r="I1308" s="3"/>
    </row>
    <row r="1309" spans="1:11" ht="12.75" customHeight="1">
      <c r="A1309" s="28"/>
      <c r="B1309" s="29" t="s">
        <v>2719</v>
      </c>
      <c r="C1309" s="30" t="str">
        <f>IFERROR(_xlfn.XLOOKUP(B1309,Insumo[DESCRIPCION],Insumo[UND],,0),"")</f>
        <v>Un</v>
      </c>
      <c r="D1309" s="31">
        <v>1</v>
      </c>
      <c r="E1309" s="32">
        <f>IFERROR(_xlfn.XLOOKUP($B1309,Insumo[DESCRIPCION],Insumo[VALOR],,0),"")</f>
        <v>451245.9</v>
      </c>
      <c r="F1309" s="33"/>
      <c r="G1309" s="34">
        <f t="shared" si="9"/>
        <v>451245.9</v>
      </c>
      <c r="H1309" s="43">
        <f>IFERROR(G1309*E1301,"")</f>
        <v>0</v>
      </c>
      <c r="I1309" s="3"/>
    </row>
    <row r="1310" spans="1:11" ht="12.75" customHeight="1">
      <c r="A1310" s="21"/>
      <c r="B1310" s="22" t="s">
        <v>3731</v>
      </c>
      <c r="C1310" s="23"/>
      <c r="D1310" s="24"/>
      <c r="E1310" s="25"/>
      <c r="F1310" s="26"/>
      <c r="G1310" s="27">
        <f>SUM(G1311:G1313)</f>
        <v>76078.894524000003</v>
      </c>
      <c r="H1310" s="27">
        <f>IFERROR(G1310*E1301,"")</f>
        <v>0</v>
      </c>
      <c r="I1310" s="3"/>
    </row>
    <row r="1311" spans="1:11" ht="12.75" customHeight="1">
      <c r="A1311" s="28"/>
      <c r="B1311" s="29" t="s">
        <v>3613</v>
      </c>
      <c r="C1311" s="30" t="str">
        <f>IFERROR(_xlfn.XLOOKUP(B1311,Equipo[DESCRIPCION],Equipo[UND],,0),"")</f>
        <v>Día</v>
      </c>
      <c r="D1311" s="31">
        <v>1</v>
      </c>
      <c r="E1311" s="32">
        <f>IF(C1311="%MO",G1317,IFERROR(_xlfn.XLOOKUP($B1311,Equipo[DESCRIPCION],Equipo[VALOR],,0),""))</f>
        <v>48133.05</v>
      </c>
      <c r="F1311" s="33">
        <v>-1</v>
      </c>
      <c r="G1311" s="34">
        <f>IFERROR(IF(F1311&gt;=0,D1311*E1311*(1+F1311/100),ABS(D1311*E1311/F1311)),"")</f>
        <v>48133.05</v>
      </c>
      <c r="H1311" s="43">
        <f>IFERROR(G1311*E1301,"")</f>
        <v>0</v>
      </c>
      <c r="I1311" s="3"/>
    </row>
    <row r="1312" spans="1:11" ht="12.75" customHeight="1">
      <c r="A1312" s="28"/>
      <c r="B1312" s="29" t="s">
        <v>3626</v>
      </c>
      <c r="C1312" s="30" t="str">
        <f>IFERROR(_xlfn.XLOOKUP(B1312,Equipo[DESCRIPCION],Equipo[UND],,0),"")</f>
        <v>%MO</v>
      </c>
      <c r="D1312" s="31">
        <v>0.05</v>
      </c>
      <c r="E1312" s="32">
        <f>IF(C1312="%MO",G1317,IFERROR(_xlfn.XLOOKUP($B1312,Equipo[DESCRIPCION],Equipo[VALOR],,0),""))</f>
        <v>558916.89048000006</v>
      </c>
      <c r="F1312" s="33"/>
      <c r="G1312" s="34">
        <f>IFERROR(IF(F1312&gt;=0,D1312*E1312*(1+F1312/100),ABS(D1312*E1312/F1312)),"")</f>
        <v>27945.844524000004</v>
      </c>
      <c r="H1312" s="43">
        <f>IFERROR(G1312*E1301,"")</f>
        <v>0</v>
      </c>
      <c r="I1312" s="3"/>
    </row>
    <row r="1313" spans="1:11" ht="12.75" customHeight="1">
      <c r="A1313" s="28"/>
      <c r="B1313" s="29"/>
      <c r="C1313" s="30" t="str">
        <f>IFERROR(_xlfn.XLOOKUP(B1313,Equipo[DESCRIPCION],Equipo[UND],,0),"")</f>
        <v/>
      </c>
      <c r="D1313" s="31"/>
      <c r="E1313" s="32" t="str">
        <f>IF(C1313="%MO",G1317,IFERROR(_xlfn.XLOOKUP($B1313,Equipo[DESCRIPCION],Equipo[VALOR],,0),""))</f>
        <v/>
      </c>
      <c r="F1313" s="33"/>
      <c r="G1313" s="34" t="str">
        <f>IFERROR(IF(F1313&gt;=0,D1313*E1313*(1+F1313/100),ABS(D1313*E1313/F1313)),"")</f>
        <v/>
      </c>
      <c r="H1313" s="43" t="str">
        <f>IFERROR(G1313*E1301,"")</f>
        <v/>
      </c>
      <c r="I1313" s="3"/>
    </row>
    <row r="1314" spans="1:11" ht="12.75" customHeight="1">
      <c r="A1314" s="21"/>
      <c r="B1314" s="22" t="s">
        <v>2533</v>
      </c>
      <c r="C1314" s="23"/>
      <c r="D1314" s="24"/>
      <c r="E1314" s="25"/>
      <c r="F1314" s="26"/>
      <c r="G1314" s="27">
        <f>SUM(G1315:G1316)</f>
        <v>0</v>
      </c>
      <c r="H1314" s="27">
        <f>IFERROR(G1314*E1301,"")</f>
        <v>0</v>
      </c>
      <c r="I1314" s="3"/>
    </row>
    <row r="1315" spans="1:11" ht="12.75" customHeight="1">
      <c r="A1315" s="28"/>
      <c r="B1315" s="29"/>
      <c r="C1315" s="30" t="str">
        <f>IFERROR(_xlfn.XLOOKUP(B1315,Transporte[DESCRIPCION],Transporte[UND],,0),"")</f>
        <v/>
      </c>
      <c r="D1315" s="31"/>
      <c r="E1315" s="32" t="str">
        <f>IFERROR(_xlfn.XLOOKUP($B1315,Transporte[DESCRIPCION],Transporte[VALOR],,0),"")</f>
        <v/>
      </c>
      <c r="F1315" s="33"/>
      <c r="G1315" s="34" t="str">
        <f>IFERROR(IF(F1315&gt;=0,D1315*E1315*(1+F1315/100),ABS(D1315*E1315/F1315)),"")</f>
        <v/>
      </c>
      <c r="H1315" s="43" t="str">
        <f>IFERROR(G1315*E1301,"")</f>
        <v/>
      </c>
      <c r="I1315" s="3"/>
    </row>
    <row r="1316" spans="1:11" ht="12.75" customHeight="1">
      <c r="A1316" s="28"/>
      <c r="B1316" s="29"/>
      <c r="C1316" s="30" t="str">
        <f>IFERROR(_xlfn.XLOOKUP(B1316,Transporte[DESCRIPCION],Transporte[UND],,0),"")</f>
        <v/>
      </c>
      <c r="D1316" s="31"/>
      <c r="E1316" s="32" t="str">
        <f>IFERROR(_xlfn.XLOOKUP($B1316,Transporte[DESCRIPCION],Transporte[VALOR],,0),"")</f>
        <v/>
      </c>
      <c r="F1316" s="33"/>
      <c r="G1316" s="34" t="str">
        <f>IFERROR(IF(F1316&gt;=0,D1316*E1316*(1+F1316/100),ABS(D1316*E1316/F1316)),"")</f>
        <v/>
      </c>
      <c r="H1316" s="43" t="str">
        <f>IFERROR(G1316*E1301,"")</f>
        <v/>
      </c>
      <c r="I1316" s="3"/>
    </row>
    <row r="1317" spans="1:11" ht="12.75" customHeight="1">
      <c r="A1317" s="21"/>
      <c r="B1317" s="22" t="s">
        <v>3732</v>
      </c>
      <c r="C1317" s="23"/>
      <c r="D1317" s="24"/>
      <c r="E1317" s="25"/>
      <c r="F1317" s="26"/>
      <c r="G1317" s="27">
        <f>SUM(G1318:G1320)</f>
        <v>558916.89048000006</v>
      </c>
      <c r="H1317" s="27">
        <f>IFERROR(G1317*E1301,"")</f>
        <v>0</v>
      </c>
      <c r="I1317" s="3"/>
    </row>
    <row r="1318" spans="1:11" ht="12.75" customHeight="1">
      <c r="A1318" s="28"/>
      <c r="B1318" s="29" t="s">
        <v>3724</v>
      </c>
      <c r="C1318" s="30" t="str">
        <f>IFERROR(_xlfn.XLOOKUP(B1318,MObra[DESCRIPCION],MObra[UN],,0),"")</f>
        <v>día</v>
      </c>
      <c r="D1318" s="31">
        <v>1</v>
      </c>
      <c r="E1318" s="32">
        <f>IFERROR(_xlfn.XLOOKUP($B1318,MObra[DESCRIPCION],MObra[VALOR UNIT],,0),"")</f>
        <v>419187.66786000005</v>
      </c>
      <c r="F1318" s="33">
        <v>-0.75</v>
      </c>
      <c r="G1318" s="34">
        <f>IFERROR(IF(F1318&gt;=0,D1318*E1318*(1+F1318/100),ABS(D1318*E1318/F1318)),"")</f>
        <v>558916.89048000006</v>
      </c>
      <c r="H1318" s="43">
        <f>IFERROR(G1318*E1301,"")</f>
        <v>0</v>
      </c>
      <c r="I1318" s="3"/>
    </row>
    <row r="1319" spans="1:11" ht="12.75" customHeight="1">
      <c r="A1319" s="28"/>
      <c r="B1319" s="29"/>
      <c r="C1319" s="30" t="str">
        <f>IFERROR(_xlfn.XLOOKUP(B1319,MObra[DESCRIPCION],MObra[UN],,0),"")</f>
        <v/>
      </c>
      <c r="D1319" s="31"/>
      <c r="E1319" s="32" t="str">
        <f>IFERROR(_xlfn.XLOOKUP($B1319,MObra[DESCRIPCION],MObra[VALOR UNIT],,0),"")</f>
        <v/>
      </c>
      <c r="F1319" s="33"/>
      <c r="G1319" s="34" t="str">
        <f>IFERROR(IF(F1319&gt;=0,D1319*E1319*(1+F1319/100),ABS(D1319*E1319/F1319)),"")</f>
        <v/>
      </c>
      <c r="H1319" s="43" t="str">
        <f>IFERROR(G1319*E1301,"")</f>
        <v/>
      </c>
      <c r="I1319" s="3"/>
    </row>
    <row r="1320" spans="1:11" ht="12.75" customHeight="1" thickBot="1">
      <c r="A1320" s="35"/>
      <c r="B1320" s="36"/>
      <c r="C1320" s="37" t="str">
        <f>IFERROR(_xlfn.XLOOKUP(B1320,MObra[DESCRIPCION],MObra[UN],,0),"")</f>
        <v/>
      </c>
      <c r="D1320" s="38"/>
      <c r="E1320" s="39" t="str">
        <f>IFERROR(_xlfn.XLOOKUP($B1320,MObra[DESCRIPCION],MObra[VALOR UNIT],,0),"")</f>
        <v/>
      </c>
      <c r="F1320" s="40"/>
      <c r="G1320" s="41" t="str">
        <f>IFERROR(IF(F1320&gt;=0,D1320*E1320*(1+F1320/100),ABS(D1320*E1320/F1320)),"")</f>
        <v/>
      </c>
      <c r="H1320" s="42" t="str">
        <f>IFERROR(G1320*E1301,"")</f>
        <v/>
      </c>
      <c r="I1320" s="3"/>
    </row>
    <row r="1321" spans="1:11" ht="12.75" customHeight="1" thickTop="1" thickBot="1">
      <c r="I1321" s="3"/>
    </row>
    <row r="1322" spans="1:11" ht="12.75" customHeight="1" thickTop="1" thickBot="1">
      <c r="A1322" s="6" t="s">
        <v>1689</v>
      </c>
      <c r="B1322" s="7" t="str">
        <f>VLOOKUP($A1322,Presupuesto!$A:$D,2,FALSE())</f>
        <v>Banqueta modular ladrillo visto L=1.5m cerramiento</v>
      </c>
      <c r="C1322" s="8" t="str">
        <f>VLOOKUP($A1322,Presupuesto!$A:$D,3,FALSE())</f>
        <v>Un</v>
      </c>
      <c r="D1322" s="9"/>
      <c r="E1322" s="10">
        <f>VLOOKUP($A1322,Presupuesto!$A:$D,4,FALSE())</f>
        <v>0</v>
      </c>
      <c r="F1322" s="11" t="s">
        <v>2589</v>
      </c>
      <c r="G1322" s="12">
        <f>SUM(G1324:G1340)/2</f>
        <v>456227.35180413461</v>
      </c>
      <c r="H1322" s="13">
        <f>ROUND(SUM(H1324:H1340),0)/2</f>
        <v>0</v>
      </c>
      <c r="I1322" s="10">
        <f>VLOOKUP(A1322,Presupuesto!$A:$F,6,0)</f>
        <v>0</v>
      </c>
      <c r="J1322" s="10">
        <f>+H1322-I1322</f>
        <v>0</v>
      </c>
      <c r="K1322" s="46">
        <f>+H1322-G1322*E1322</f>
        <v>0</v>
      </c>
    </row>
    <row r="1323" spans="1:11" ht="12.75" customHeight="1" thickTop="1">
      <c r="A1323" s="14"/>
      <c r="B1323" s="15" t="s">
        <v>2586</v>
      </c>
      <c r="C1323" s="15" t="s">
        <v>5</v>
      </c>
      <c r="D1323" s="16" t="s">
        <v>6</v>
      </c>
      <c r="E1323" s="17" t="s">
        <v>7</v>
      </c>
      <c r="F1323" s="18" t="s">
        <v>3728</v>
      </c>
      <c r="G1323" s="19" t="s">
        <v>3729</v>
      </c>
      <c r="H1323" s="20" t="s">
        <v>3797</v>
      </c>
      <c r="I1323" s="3"/>
    </row>
    <row r="1324" spans="1:11" ht="12.75" customHeight="1">
      <c r="A1324" s="21"/>
      <c r="B1324" s="22" t="s">
        <v>3730</v>
      </c>
      <c r="C1324" s="23"/>
      <c r="D1324" s="24"/>
      <c r="E1324" s="25"/>
      <c r="F1324" s="26"/>
      <c r="G1324" s="27">
        <f>SUM(G1325:G1329)</f>
        <v>324183.23642823467</v>
      </c>
      <c r="H1324" s="27">
        <f>IFERROR(G1324*E1322,"")</f>
        <v>0</v>
      </c>
      <c r="I1324" s="3"/>
    </row>
    <row r="1325" spans="1:11" ht="12.75" customHeight="1">
      <c r="A1325" s="28"/>
      <c r="B1325" s="29" t="s">
        <v>2954</v>
      </c>
      <c r="C1325" s="30" t="str">
        <f>IFERROR(_xlfn.XLOOKUP(B1325,Insumo[DESCRIPCION],Insumo[UND],,0),"")</f>
        <v>M2</v>
      </c>
      <c r="D1325" s="31">
        <v>1.05</v>
      </c>
      <c r="E1325" s="32">
        <f>IFERROR(_xlfn.XLOOKUP($B1325,Insumo[DESCRIPCION],Insumo[VALOR],,0),"")</f>
        <v>102154.92581625449</v>
      </c>
      <c r="F1325" s="33"/>
      <c r="G1325" s="34">
        <f>IFERROR(IF(F1325&gt;=0,D1325*E1325*(1+F1325/100),ABS(D1325*E1325/F1325)),"")</f>
        <v>107262.67210706722</v>
      </c>
      <c r="H1325" s="43">
        <f>IFERROR(G1325*E1322,"")</f>
        <v>0</v>
      </c>
      <c r="I1325" s="3"/>
    </row>
    <row r="1326" spans="1:11" ht="12.75" customHeight="1">
      <c r="A1326" s="28"/>
      <c r="B1326" s="29" t="s">
        <v>3021</v>
      </c>
      <c r="C1326" s="30" t="str">
        <f>IFERROR(_xlfn.XLOOKUP(B1326,Insumo[DESCRIPCION],Insumo[UND],,0),"")</f>
        <v>Un</v>
      </c>
      <c r="D1326" s="31">
        <v>130</v>
      </c>
      <c r="E1326" s="32">
        <f>IFERROR(_xlfn.XLOOKUP($B1326,Insumo[DESCRIPCION],Insumo[VALOR],,0),"")</f>
        <v>1022.7</v>
      </c>
      <c r="F1326" s="33">
        <v>5</v>
      </c>
      <c r="G1326" s="34">
        <f>IFERROR(IF(F1326&gt;=0,D1326*E1326*(1+F1326/100),ABS(D1326*E1326/F1326)),"")</f>
        <v>139598.55000000002</v>
      </c>
      <c r="H1326" s="43">
        <f>IFERROR(G1326*E1322,"")</f>
        <v>0</v>
      </c>
      <c r="I1326" s="3"/>
    </row>
    <row r="1327" spans="1:11" ht="12.75" customHeight="1">
      <c r="A1327" s="28"/>
      <c r="B1327" s="29" t="s">
        <v>2653</v>
      </c>
      <c r="C1327" s="30" t="str">
        <f>IFERROR(_xlfn.XLOOKUP(B1327,Insumo[DESCRIPCION],Insumo[UND],,0),"")</f>
        <v>Kg</v>
      </c>
      <c r="D1327" s="31">
        <v>8</v>
      </c>
      <c r="E1327" s="32">
        <f>IFERROR(_xlfn.XLOOKUP($B1327,Insumo[DESCRIPCION],Insumo[VALOR],,0),"")</f>
        <v>5686.8</v>
      </c>
      <c r="F1327" s="33"/>
      <c r="G1327" s="34">
        <f>IFERROR(IF(F1327&gt;=0,D1327*E1327*(1+F1327/100),ABS(D1327*E1327/F1327)),"")</f>
        <v>45494.400000000001</v>
      </c>
      <c r="H1327" s="43">
        <f>IFERROR(G1327*E1322,"")</f>
        <v>0</v>
      </c>
      <c r="I1327" s="3"/>
    </row>
    <row r="1328" spans="1:11" ht="12.75" customHeight="1">
      <c r="A1328" s="28"/>
      <c r="B1328" s="29" t="s">
        <v>3238</v>
      </c>
      <c r="C1328" s="30" t="str">
        <f>IFERROR(_xlfn.XLOOKUP(B1328,Insumo[DESCRIPCION],Insumo[UND],,0),"")</f>
        <v>M3</v>
      </c>
      <c r="D1328" s="31">
        <v>0.06</v>
      </c>
      <c r="E1328" s="32">
        <f>IFERROR(_xlfn.XLOOKUP($B1328,Insumo[DESCRIPCION],Insumo[VALOR],,0),"")</f>
        <v>488900.227320117</v>
      </c>
      <c r="F1328" s="33">
        <v>5</v>
      </c>
      <c r="G1328" s="34">
        <f>IFERROR(IF(F1328&gt;=0,D1328*E1328*(1+F1328/100),ABS(D1328*E1328/F1328)),"")</f>
        <v>30800.714321167372</v>
      </c>
      <c r="H1328" s="43">
        <f>IFERROR(G1328*E1322,"")</f>
        <v>0</v>
      </c>
      <c r="I1328" s="3"/>
    </row>
    <row r="1329" spans="1:11" ht="12.75" customHeight="1">
      <c r="A1329" s="28"/>
      <c r="B1329" s="29" t="s">
        <v>2824</v>
      </c>
      <c r="C1329" s="30" t="str">
        <f>IFERROR(_xlfn.XLOOKUP(B1329,Insumo[DESCRIPCION],Insumo[UND],,0),"")</f>
        <v>Un</v>
      </c>
      <c r="D1329" s="31">
        <v>0.03</v>
      </c>
      <c r="E1329" s="32">
        <f>IFERROR(_xlfn.XLOOKUP($B1329,Insumo[DESCRIPCION],Insumo[VALOR],,0),"")</f>
        <v>34230</v>
      </c>
      <c r="F1329" s="33"/>
      <c r="G1329" s="34">
        <f>IFERROR(IF(F1329&gt;=0,D1329*E1329*(1+F1329/100),ABS(D1329*E1329/F1329)),"")</f>
        <v>1026.8999999999999</v>
      </c>
      <c r="H1329" s="43">
        <f>IFERROR(G1329*E1322,"")</f>
        <v>0</v>
      </c>
      <c r="I1329" s="3"/>
    </row>
    <row r="1330" spans="1:11" ht="12.75" customHeight="1">
      <c r="A1330" s="21"/>
      <c r="B1330" s="22" t="s">
        <v>3731</v>
      </c>
      <c r="C1330" s="23"/>
      <c r="D1330" s="24"/>
      <c r="E1330" s="25"/>
      <c r="F1330" s="26"/>
      <c r="G1330" s="27">
        <f>SUM(G1331:G1333)</f>
        <v>6287.8150179000013</v>
      </c>
      <c r="H1330" s="27">
        <f>IFERROR(G1330*E1322,"")</f>
        <v>0</v>
      </c>
      <c r="I1330" s="3"/>
    </row>
    <row r="1331" spans="1:11" ht="12.75" customHeight="1">
      <c r="A1331" s="28"/>
      <c r="B1331" s="29" t="s">
        <v>3626</v>
      </c>
      <c r="C1331" s="30" t="str">
        <f>IFERROR(_xlfn.XLOOKUP(B1331,Equipo[DESCRIPCION],Equipo[UND],,0),"")</f>
        <v>%MO</v>
      </c>
      <c r="D1331" s="31">
        <v>0.05</v>
      </c>
      <c r="E1331" s="32">
        <f>IF(C1331="%MO",G1337,IFERROR(_xlfn.XLOOKUP($B1331,Equipo[DESCRIPCION],Equipo[VALOR],,0),""))</f>
        <v>125756.30035800002</v>
      </c>
      <c r="F1331" s="33"/>
      <c r="G1331" s="34">
        <f>IFERROR(IF(F1331&gt;=0,D1331*E1331*(1+F1331/100),ABS(D1331*E1331/F1331)),"")</f>
        <v>6287.8150179000013</v>
      </c>
      <c r="H1331" s="43">
        <f>IFERROR(G1331*E1322,"")</f>
        <v>0</v>
      </c>
      <c r="I1331" s="3"/>
    </row>
    <row r="1332" spans="1:11" ht="12.75" customHeight="1">
      <c r="A1332" s="28"/>
      <c r="B1332" s="29"/>
      <c r="C1332" s="30" t="str">
        <f>IFERROR(_xlfn.XLOOKUP(B1332,Equipo[DESCRIPCION],Equipo[UND],,0),"")</f>
        <v/>
      </c>
      <c r="D1332" s="31"/>
      <c r="E1332" s="32" t="str">
        <f>IF(C1332="%MO",G1337,IFERROR(_xlfn.XLOOKUP($B1332,Equipo[DESCRIPCION],Equipo[VALOR],,0),""))</f>
        <v/>
      </c>
      <c r="F1332" s="33"/>
      <c r="G1332" s="34" t="str">
        <f>IFERROR(IF(F1332&gt;=0,D1332*E1332*(1+F1332/100),ABS(D1332*E1332/F1332)),"")</f>
        <v/>
      </c>
      <c r="H1332" s="43" t="str">
        <f>IFERROR(G1332*E1322,"")</f>
        <v/>
      </c>
      <c r="I1332" s="3"/>
    </row>
    <row r="1333" spans="1:11" ht="12.75" customHeight="1">
      <c r="A1333" s="28"/>
      <c r="B1333" s="29"/>
      <c r="C1333" s="30" t="str">
        <f>IFERROR(_xlfn.XLOOKUP(B1333,Equipo[DESCRIPCION],Equipo[UND],,0),"")</f>
        <v/>
      </c>
      <c r="D1333" s="31"/>
      <c r="E1333" s="32" t="str">
        <f>IF(C1333="%MO",G1337,IFERROR(_xlfn.XLOOKUP($B1333,Equipo[DESCRIPCION],Equipo[VALOR],,0),""))</f>
        <v/>
      </c>
      <c r="F1333" s="33"/>
      <c r="G1333" s="34" t="str">
        <f>IFERROR(IF(F1333&gt;=0,D1333*E1333*(1+F1333/100),ABS(D1333*E1333/F1333)),"")</f>
        <v/>
      </c>
      <c r="H1333" s="43" t="str">
        <f>IFERROR(G1333*E1322,"")</f>
        <v/>
      </c>
      <c r="I1333" s="3"/>
    </row>
    <row r="1334" spans="1:11" ht="12.75" customHeight="1">
      <c r="A1334" s="21"/>
      <c r="B1334" s="22" t="s">
        <v>2533</v>
      </c>
      <c r="C1334" s="23"/>
      <c r="D1334" s="24"/>
      <c r="E1334" s="25"/>
      <c r="F1334" s="26"/>
      <c r="G1334" s="27">
        <f>SUM(G1335:G1336)</f>
        <v>0</v>
      </c>
      <c r="H1334" s="27">
        <f>IFERROR(G1334*E1322,"")</f>
        <v>0</v>
      </c>
      <c r="I1334" s="3"/>
    </row>
    <row r="1335" spans="1:11" ht="12.75" customHeight="1">
      <c r="A1335" s="28"/>
      <c r="B1335" s="29"/>
      <c r="C1335" s="30" t="str">
        <f>IFERROR(_xlfn.XLOOKUP(B1335,Transporte[DESCRIPCION],Transporte[UND],,0),"")</f>
        <v/>
      </c>
      <c r="D1335" s="31"/>
      <c r="E1335" s="32" t="str">
        <f>IFERROR(_xlfn.XLOOKUP($B1335,Transporte[DESCRIPCION],Transporte[VALOR],,0),"")</f>
        <v/>
      </c>
      <c r="F1335" s="33"/>
      <c r="G1335" s="34" t="str">
        <f>IFERROR(IF(F1335&gt;=0,D1335*E1335*(1+F1335/100),ABS(D1335*E1335/F1335)),"")</f>
        <v/>
      </c>
      <c r="H1335" s="43" t="str">
        <f>IFERROR(G1335*E1322,"")</f>
        <v/>
      </c>
      <c r="I1335" s="3"/>
    </row>
    <row r="1336" spans="1:11" ht="12.75" customHeight="1">
      <c r="A1336" s="28"/>
      <c r="B1336" s="29"/>
      <c r="C1336" s="30" t="str">
        <f>IFERROR(_xlfn.XLOOKUP(B1336,Transporte[DESCRIPCION],Transporte[UND],,0),"")</f>
        <v/>
      </c>
      <c r="D1336" s="31"/>
      <c r="E1336" s="32" t="str">
        <f>IFERROR(_xlfn.XLOOKUP($B1336,Transporte[DESCRIPCION],Transporte[VALOR],,0),"")</f>
        <v/>
      </c>
      <c r="F1336" s="33"/>
      <c r="G1336" s="34" t="str">
        <f>IFERROR(IF(F1336&gt;=0,D1336*E1336*(1+F1336/100),ABS(D1336*E1336/F1336)),"")</f>
        <v/>
      </c>
      <c r="H1336" s="43" t="str">
        <f>IFERROR(G1336*E1322,"")</f>
        <v/>
      </c>
      <c r="I1336" s="3"/>
    </row>
    <row r="1337" spans="1:11" ht="12.75" customHeight="1">
      <c r="A1337" s="21"/>
      <c r="B1337" s="22" t="s">
        <v>3732</v>
      </c>
      <c r="C1337" s="23"/>
      <c r="D1337" s="24"/>
      <c r="E1337" s="25"/>
      <c r="F1337" s="26"/>
      <c r="G1337" s="27">
        <f>SUM(G1338:G1340)</f>
        <v>125756.30035800002</v>
      </c>
      <c r="H1337" s="27">
        <f>IFERROR(G1337*E1322,"")</f>
        <v>0</v>
      </c>
      <c r="I1337" s="3"/>
    </row>
    <row r="1338" spans="1:11" ht="12.75" customHeight="1">
      <c r="A1338" s="28"/>
      <c r="B1338" s="29" t="s">
        <v>3710</v>
      </c>
      <c r="C1338" s="30" t="str">
        <f>IFERROR(_xlfn.XLOOKUP(B1338,MObra[DESCRIPCION],MObra[UN],,0),"")</f>
        <v>día</v>
      </c>
      <c r="D1338" s="31">
        <v>1</v>
      </c>
      <c r="E1338" s="32">
        <f>IFERROR(_xlfn.XLOOKUP($B1338,MObra[DESCRIPCION],MObra[VALOR UNIT],,0),"")</f>
        <v>314390.75089500006</v>
      </c>
      <c r="F1338" s="33">
        <v>-2.5</v>
      </c>
      <c r="G1338" s="34">
        <f>IFERROR(IF(F1338&gt;=0,D1338*E1338*(1+F1338/100),ABS(D1338*E1338/F1338)),"")</f>
        <v>125756.30035800002</v>
      </c>
      <c r="H1338" s="43">
        <f>IFERROR(G1338*E1322,"")</f>
        <v>0</v>
      </c>
      <c r="I1338" s="3"/>
    </row>
    <row r="1339" spans="1:11" ht="12.75" customHeight="1">
      <c r="A1339" s="28"/>
      <c r="B1339" s="29"/>
      <c r="C1339" s="30" t="str">
        <f>IFERROR(_xlfn.XLOOKUP(B1339,MObra[DESCRIPCION],MObra[UN],,0),"")</f>
        <v/>
      </c>
      <c r="D1339" s="31"/>
      <c r="E1339" s="32" t="str">
        <f>IFERROR(_xlfn.XLOOKUP($B1339,MObra[DESCRIPCION],MObra[VALOR UNIT],,0),"")</f>
        <v/>
      </c>
      <c r="F1339" s="33"/>
      <c r="G1339" s="34" t="str">
        <f>IFERROR(IF(F1339&gt;=0,D1339*E1339*(1+F1339/100),ABS(D1339*E1339/F1339)),"")</f>
        <v/>
      </c>
      <c r="H1339" s="43" t="str">
        <f>IFERROR(G1339*E1322,"")</f>
        <v/>
      </c>
      <c r="I1339" s="3"/>
    </row>
    <row r="1340" spans="1:11" ht="12.75" customHeight="1" thickBot="1">
      <c r="A1340" s="35"/>
      <c r="B1340" s="36"/>
      <c r="C1340" s="37" t="str">
        <f>IFERROR(_xlfn.XLOOKUP(B1340,MObra[DESCRIPCION],MObra[UN],,0),"")</f>
        <v/>
      </c>
      <c r="D1340" s="38"/>
      <c r="E1340" s="39" t="str">
        <f>IFERROR(_xlfn.XLOOKUP($B1340,MObra[DESCRIPCION],MObra[VALOR UNIT],,0),"")</f>
        <v/>
      </c>
      <c r="F1340" s="40"/>
      <c r="G1340" s="41" t="str">
        <f>IFERROR(IF(F1340&gt;=0,D1340*E1340*(1+F1340/100),ABS(D1340*E1340/F1340)),"")</f>
        <v/>
      </c>
      <c r="H1340" s="42" t="str">
        <f>IFERROR(G1340*E1322,"")</f>
        <v/>
      </c>
      <c r="I1340" s="3"/>
    </row>
    <row r="1341" spans="1:11" ht="12.75" customHeight="1" thickTop="1" thickBot="1">
      <c r="I1341" s="3"/>
    </row>
    <row r="1342" spans="1:11" ht="12.75" customHeight="1" thickTop="1" thickBot="1">
      <c r="A1342" s="6" t="s">
        <v>1691</v>
      </c>
      <c r="B1342" s="7" t="str">
        <f>VLOOKUP($A1342,Presupuesto!$A:$D,2,FALSE())</f>
        <v>Base tierra + arena cancha fútbol</v>
      </c>
      <c r="C1342" s="8" t="str">
        <f>VLOOKUP($A1342,Presupuesto!$A:$D,3,FALSE())</f>
        <v>M3</v>
      </c>
      <c r="D1342" s="9"/>
      <c r="E1342" s="10">
        <f>VLOOKUP($A1342,Presupuesto!$A:$D,4,FALSE())</f>
        <v>0</v>
      </c>
      <c r="F1342" s="11" t="s">
        <v>2589</v>
      </c>
      <c r="G1342" s="12">
        <f>SUM(G1344:G1360)/2</f>
        <v>151692.94893795002</v>
      </c>
      <c r="H1342" s="13">
        <f>ROUND(SUM(H1344:H1360),0)/2</f>
        <v>0</v>
      </c>
      <c r="I1342" s="10">
        <f>VLOOKUP(A1342,Presupuesto!$A:$F,6,0)</f>
        <v>0</v>
      </c>
      <c r="J1342" s="10">
        <f>+H1342-I1342</f>
        <v>0</v>
      </c>
      <c r="K1342" s="46">
        <f>+H1342-G1342*E1342</f>
        <v>0</v>
      </c>
    </row>
    <row r="1343" spans="1:11" ht="12.75" customHeight="1" thickTop="1">
      <c r="A1343" s="14"/>
      <c r="B1343" s="15" t="s">
        <v>2586</v>
      </c>
      <c r="C1343" s="15" t="s">
        <v>5</v>
      </c>
      <c r="D1343" s="16" t="s">
        <v>6</v>
      </c>
      <c r="E1343" s="17" t="s">
        <v>7</v>
      </c>
      <c r="F1343" s="18" t="s">
        <v>3728</v>
      </c>
      <c r="G1343" s="19" t="s">
        <v>3729</v>
      </c>
      <c r="H1343" s="20" t="s">
        <v>3797</v>
      </c>
      <c r="I1343" s="3"/>
    </row>
    <row r="1344" spans="1:11" ht="12.75" customHeight="1">
      <c r="A1344" s="21"/>
      <c r="B1344" s="22" t="s">
        <v>3730</v>
      </c>
      <c r="C1344" s="23"/>
      <c r="D1344" s="24"/>
      <c r="E1344" s="25"/>
      <c r="F1344" s="26"/>
      <c r="G1344" s="27">
        <f>SUM(G1345:G1349)</f>
        <v>62570.891250000001</v>
      </c>
      <c r="H1344" s="27">
        <f>IFERROR(G1344*E1342,"")</f>
        <v>0</v>
      </c>
      <c r="I1344" s="3"/>
    </row>
    <row r="1345" spans="1:9" ht="12.75" customHeight="1">
      <c r="A1345" s="28"/>
      <c r="B1345" s="29" t="s">
        <v>3394</v>
      </c>
      <c r="C1345" s="30" t="str">
        <f>IFERROR(_xlfn.XLOOKUP(B1345,Insumo[DESCRIPCION],Insumo[UND],,0),"")</f>
        <v>M3</v>
      </c>
      <c r="D1345" s="31">
        <v>0.5</v>
      </c>
      <c r="E1345" s="32">
        <f>IFERROR(_xlfn.XLOOKUP($B1345,Insumo[DESCRIPCION],Insumo[VALOR],,0),"")</f>
        <v>36190.35</v>
      </c>
      <c r="F1345" s="33">
        <v>10</v>
      </c>
      <c r="G1345" s="34">
        <f>IFERROR(IF(F1345&gt;=0,D1345*E1345*(1+F1345/100),ABS(D1345*E1345/F1345)),"")</f>
        <v>19904.692500000001</v>
      </c>
      <c r="H1345" s="43">
        <f>IFERROR(G1345*E1342,"")</f>
        <v>0</v>
      </c>
      <c r="I1345" s="3"/>
    </row>
    <row r="1346" spans="1:9" ht="12.75" customHeight="1">
      <c r="A1346" s="28"/>
      <c r="B1346" s="29" t="s">
        <v>2715</v>
      </c>
      <c r="C1346" s="30" t="str">
        <f>IFERROR(_xlfn.XLOOKUP(B1346,Insumo[DESCRIPCION],Insumo[UND],,0),"")</f>
        <v>M3</v>
      </c>
      <c r="D1346" s="31">
        <v>0.5</v>
      </c>
      <c r="E1346" s="32">
        <f>IFERROR(_xlfn.XLOOKUP($B1346,Insumo[DESCRIPCION],Insumo[VALOR],,0),"")</f>
        <v>81268.95</v>
      </c>
      <c r="F1346" s="33">
        <v>5</v>
      </c>
      <c r="G1346" s="34">
        <f>IFERROR(IF(F1346&gt;=0,D1346*E1346*(1+F1346/100),ABS(D1346*E1346/F1346)),"")</f>
        <v>42666.198750000003</v>
      </c>
      <c r="H1346" s="43">
        <f>IFERROR(G1346*E1342,"")</f>
        <v>0</v>
      </c>
      <c r="I1346" s="3"/>
    </row>
    <row r="1347" spans="1:9" ht="12.75" customHeight="1">
      <c r="A1347" s="28"/>
      <c r="B1347" s="29"/>
      <c r="C1347" s="30" t="str">
        <f>IFERROR(_xlfn.XLOOKUP(B1347,Insumo[DESCRIPCION],Insumo[UND],,0),"")</f>
        <v/>
      </c>
      <c r="D1347" s="31"/>
      <c r="E1347" s="32" t="str">
        <f>IFERROR(_xlfn.XLOOKUP($B1347,Insumo[DESCRIPCION],Insumo[VALOR],,0),"")</f>
        <v/>
      </c>
      <c r="F1347" s="33"/>
      <c r="G1347" s="34" t="str">
        <f>IFERROR(IF(F1347&gt;=0,D1347*E1347*(1+F1347/100),ABS(D1347*E1347/F1347)),"")</f>
        <v/>
      </c>
      <c r="H1347" s="43" t="str">
        <f>IFERROR(G1347*E1342,"")</f>
        <v/>
      </c>
      <c r="I1347" s="3"/>
    </row>
    <row r="1348" spans="1:9" ht="12.75" customHeight="1">
      <c r="A1348" s="28"/>
      <c r="B1348" s="29"/>
      <c r="C1348" s="30" t="str">
        <f>IFERROR(_xlfn.XLOOKUP(B1348,Insumo[DESCRIPCION],Insumo[UND],,0),"")</f>
        <v/>
      </c>
      <c r="D1348" s="31"/>
      <c r="E1348" s="32" t="str">
        <f>IFERROR(_xlfn.XLOOKUP($B1348,Insumo[DESCRIPCION],Insumo[VALOR],,0),"")</f>
        <v/>
      </c>
      <c r="F1348" s="33"/>
      <c r="G1348" s="34" t="str">
        <f>IFERROR(IF(F1348&gt;=0,D1348*E1348*(1+F1348/100),ABS(D1348*E1348/F1348)),"")</f>
        <v/>
      </c>
      <c r="H1348" s="43" t="str">
        <f>IFERROR(G1348*E1342,"")</f>
        <v/>
      </c>
      <c r="I1348" s="3"/>
    </row>
    <row r="1349" spans="1:9" ht="12.75" customHeight="1">
      <c r="A1349" s="28"/>
      <c r="B1349" s="29"/>
      <c r="C1349" s="30" t="str">
        <f>IFERROR(_xlfn.XLOOKUP(B1349,Insumo[DESCRIPCION],Insumo[UND],,0),"")</f>
        <v/>
      </c>
      <c r="D1349" s="31"/>
      <c r="E1349" s="32" t="str">
        <f>IFERROR(_xlfn.XLOOKUP($B1349,Insumo[DESCRIPCION],Insumo[VALOR],,0),"")</f>
        <v/>
      </c>
      <c r="F1349" s="33"/>
      <c r="G1349" s="34" t="str">
        <f>IFERROR(IF(F1349&gt;=0,D1349*E1349*(1+F1349/100),ABS(D1349*E1349/F1349)),"")</f>
        <v/>
      </c>
      <c r="H1349" s="43" t="str">
        <f>IFERROR(G1349*E1342,"")</f>
        <v/>
      </c>
      <c r="I1349" s="3"/>
    </row>
    <row r="1350" spans="1:9" ht="12.75" customHeight="1">
      <c r="A1350" s="21"/>
      <c r="B1350" s="22" t="s">
        <v>3731</v>
      </c>
      <c r="C1350" s="23"/>
      <c r="D1350" s="24"/>
      <c r="E1350" s="25"/>
      <c r="F1350" s="26"/>
      <c r="G1350" s="27">
        <f>SUM(G1351:G1353)</f>
        <v>26243.90750895</v>
      </c>
      <c r="H1350" s="27">
        <f>IFERROR(G1350*E1342,"")</f>
        <v>0</v>
      </c>
      <c r="I1350" s="3"/>
    </row>
    <row r="1351" spans="1:9" ht="12.75" customHeight="1">
      <c r="A1351" s="28"/>
      <c r="B1351" s="29" t="s">
        <v>3592</v>
      </c>
      <c r="C1351" s="30" t="str">
        <f>IFERROR(_xlfn.XLOOKUP(B1351,Equipo[DESCRIPCION],Equipo[UND],,0),"")</f>
        <v>Hr</v>
      </c>
      <c r="D1351" s="31">
        <v>1</v>
      </c>
      <c r="E1351" s="32">
        <f>IF(C1351="%MO",G1357,IFERROR(_xlfn.XLOOKUP($B1351,Equipo[DESCRIPCION],Equipo[VALOR],,0),""))</f>
        <v>115500</v>
      </c>
      <c r="F1351" s="33">
        <v>-5</v>
      </c>
      <c r="G1351" s="34">
        <f>IFERROR(IF(F1351&gt;=0,D1351*E1351*(1+F1351/100),ABS(D1351*E1351/F1351)),"")</f>
        <v>23100</v>
      </c>
      <c r="H1351" s="43">
        <f>IFERROR(G1351*E1342,"")</f>
        <v>0</v>
      </c>
      <c r="I1351" s="3"/>
    </row>
    <row r="1352" spans="1:9" ht="12.75" customHeight="1">
      <c r="A1352" s="28"/>
      <c r="B1352" s="29" t="s">
        <v>3626</v>
      </c>
      <c r="C1352" s="30" t="str">
        <f>IFERROR(_xlfn.XLOOKUP(B1352,Equipo[DESCRIPCION],Equipo[UND],,0),"")</f>
        <v>%MO</v>
      </c>
      <c r="D1352" s="31">
        <v>0.05</v>
      </c>
      <c r="E1352" s="32">
        <f>IF(C1352="%MO",G1357,IFERROR(_xlfn.XLOOKUP($B1352,Equipo[DESCRIPCION],Equipo[VALOR],,0),""))</f>
        <v>62878.150179000011</v>
      </c>
      <c r="F1352" s="33"/>
      <c r="G1352" s="34">
        <f>IFERROR(IF(F1352&gt;=0,D1352*E1352*(1+F1352/100),ABS(D1352*E1352/F1352)),"")</f>
        <v>3143.9075089500006</v>
      </c>
      <c r="H1352" s="43">
        <f>IFERROR(G1352*E1342,"")</f>
        <v>0</v>
      </c>
      <c r="I1352" s="3"/>
    </row>
    <row r="1353" spans="1:9" ht="12.75" customHeight="1">
      <c r="A1353" s="28"/>
      <c r="B1353" s="29"/>
      <c r="C1353" s="30" t="str">
        <f>IFERROR(_xlfn.XLOOKUP(B1353,Equipo[DESCRIPCION],Equipo[UND],,0),"")</f>
        <v/>
      </c>
      <c r="D1353" s="31"/>
      <c r="E1353" s="32" t="str">
        <f>IF(C1353="%MO",G1357,IFERROR(_xlfn.XLOOKUP($B1353,Equipo[DESCRIPCION],Equipo[VALOR],,0),""))</f>
        <v/>
      </c>
      <c r="F1353" s="33"/>
      <c r="G1353" s="34" t="str">
        <f>IFERROR(IF(F1353&gt;=0,D1353*E1353*(1+F1353/100),ABS(D1353*E1353/F1353)),"")</f>
        <v/>
      </c>
      <c r="H1353" s="43" t="str">
        <f>IFERROR(G1353*E1342,"")</f>
        <v/>
      </c>
      <c r="I1353" s="3"/>
    </row>
    <row r="1354" spans="1:9" ht="12.75" customHeight="1">
      <c r="A1354" s="21"/>
      <c r="B1354" s="22" t="s">
        <v>2533</v>
      </c>
      <c r="C1354" s="23"/>
      <c r="D1354" s="24"/>
      <c r="E1354" s="25"/>
      <c r="F1354" s="26"/>
      <c r="G1354" s="27">
        <f>SUM(G1355:G1356)</f>
        <v>0</v>
      </c>
      <c r="H1354" s="27">
        <f>IFERROR(G1354*E1342,"")</f>
        <v>0</v>
      </c>
      <c r="I1354" s="3"/>
    </row>
    <row r="1355" spans="1:9" ht="12.75" customHeight="1">
      <c r="A1355" s="28"/>
      <c r="B1355" s="29"/>
      <c r="C1355" s="30" t="str">
        <f>IFERROR(_xlfn.XLOOKUP(B1355,Transporte[DESCRIPCION],Transporte[UND],,0),"")</f>
        <v/>
      </c>
      <c r="D1355" s="31"/>
      <c r="E1355" s="32" t="str">
        <f>IFERROR(_xlfn.XLOOKUP($B1355,Transporte[DESCRIPCION],Transporte[VALOR],,0),"")</f>
        <v/>
      </c>
      <c r="F1355" s="33"/>
      <c r="G1355" s="34" t="str">
        <f>IFERROR(IF(F1355&gt;=0,D1355*E1355*(1+F1355/100),ABS(D1355*E1355/F1355)),"")</f>
        <v/>
      </c>
      <c r="H1355" s="43" t="str">
        <f>IFERROR(G1355*E1342,"")</f>
        <v/>
      </c>
      <c r="I1355" s="3"/>
    </row>
    <row r="1356" spans="1:9" ht="12.75" customHeight="1">
      <c r="A1356" s="28"/>
      <c r="B1356" s="29"/>
      <c r="C1356" s="30" t="str">
        <f>IFERROR(_xlfn.XLOOKUP(B1356,Transporte[DESCRIPCION],Transporte[UND],,0),"")</f>
        <v/>
      </c>
      <c r="D1356" s="31"/>
      <c r="E1356" s="32" t="str">
        <f>IFERROR(_xlfn.XLOOKUP($B1356,Transporte[DESCRIPCION],Transporte[VALOR],,0),"")</f>
        <v/>
      </c>
      <c r="F1356" s="33"/>
      <c r="G1356" s="34" t="str">
        <f>IFERROR(IF(F1356&gt;=0,D1356*E1356*(1+F1356/100),ABS(D1356*E1356/F1356)),"")</f>
        <v/>
      </c>
      <c r="H1356" s="43" t="str">
        <f>IFERROR(G1356*E1342,"")</f>
        <v/>
      </c>
      <c r="I1356" s="3"/>
    </row>
    <row r="1357" spans="1:9" ht="12.75" customHeight="1">
      <c r="A1357" s="21"/>
      <c r="B1357" s="22" t="s">
        <v>3732</v>
      </c>
      <c r="C1357" s="23"/>
      <c r="D1357" s="24"/>
      <c r="E1357" s="25"/>
      <c r="F1357" s="26"/>
      <c r="G1357" s="27">
        <f>SUM(G1358:G1360)</f>
        <v>62878.150179000011</v>
      </c>
      <c r="H1357" s="27">
        <f>IFERROR(G1357*E1342,"")</f>
        <v>0</v>
      </c>
      <c r="I1357" s="3"/>
    </row>
    <row r="1358" spans="1:9" ht="12.75" customHeight="1">
      <c r="A1358" s="28"/>
      <c r="B1358" s="29" t="s">
        <v>3710</v>
      </c>
      <c r="C1358" s="30" t="str">
        <f>IFERROR(_xlfn.XLOOKUP(B1358,MObra[DESCRIPCION],MObra[UN],,0),"")</f>
        <v>día</v>
      </c>
      <c r="D1358" s="31">
        <v>1</v>
      </c>
      <c r="E1358" s="32">
        <f>IFERROR(_xlfn.XLOOKUP($B1358,MObra[DESCRIPCION],MObra[VALOR UNIT],,0),"")</f>
        <v>314390.75089500006</v>
      </c>
      <c r="F1358" s="33">
        <v>-5</v>
      </c>
      <c r="G1358" s="34">
        <f>IFERROR(IF(F1358&gt;=0,D1358*E1358*(1+F1358/100),ABS(D1358*E1358/F1358)),"")</f>
        <v>62878.150179000011</v>
      </c>
      <c r="H1358" s="43">
        <f>IFERROR(G1358*E1342,"")</f>
        <v>0</v>
      </c>
      <c r="I1358" s="3"/>
    </row>
    <row r="1359" spans="1:9" ht="12.75" customHeight="1">
      <c r="A1359" s="28"/>
      <c r="B1359" s="29"/>
      <c r="C1359" s="30" t="str">
        <f>IFERROR(_xlfn.XLOOKUP(B1359,MObra[DESCRIPCION],MObra[UN],,0),"")</f>
        <v/>
      </c>
      <c r="D1359" s="31"/>
      <c r="E1359" s="32" t="str">
        <f>IFERROR(_xlfn.XLOOKUP($B1359,MObra[DESCRIPCION],MObra[VALOR UNIT],,0),"")</f>
        <v/>
      </c>
      <c r="F1359" s="33"/>
      <c r="G1359" s="34" t="str">
        <f>IFERROR(IF(F1359&gt;=0,D1359*E1359*(1+F1359/100),ABS(D1359*E1359/F1359)),"")</f>
        <v/>
      </c>
      <c r="H1359" s="43" t="str">
        <f>IFERROR(G1359*E1342,"")</f>
        <v/>
      </c>
      <c r="I1359" s="3"/>
    </row>
    <row r="1360" spans="1:9" ht="12.75" customHeight="1" thickBot="1">
      <c r="A1360" s="35"/>
      <c r="B1360" s="36"/>
      <c r="C1360" s="37" t="str">
        <f>IFERROR(_xlfn.XLOOKUP(B1360,MObra[DESCRIPCION],MObra[UN],,0),"")</f>
        <v/>
      </c>
      <c r="D1360" s="38"/>
      <c r="E1360" s="39" t="str">
        <f>IFERROR(_xlfn.XLOOKUP($B1360,MObra[DESCRIPCION],MObra[VALOR UNIT],,0),"")</f>
        <v/>
      </c>
      <c r="F1360" s="40"/>
      <c r="G1360" s="41" t="str">
        <f>IFERROR(IF(F1360&gt;=0,D1360*E1360*(1+F1360/100),ABS(D1360*E1360/F1360)),"")</f>
        <v/>
      </c>
      <c r="H1360" s="42" t="str">
        <f>IFERROR(G1360*E1342,"")</f>
        <v/>
      </c>
      <c r="I1360" s="3"/>
    </row>
    <row r="1361" spans="1:11" ht="12.75" customHeight="1" thickTop="1" thickBot="1">
      <c r="I1361" s="3"/>
    </row>
    <row r="1362" spans="1:11" ht="12.75" customHeight="1" thickTop="1" thickBot="1">
      <c r="A1362" s="6" t="s">
        <v>1693</v>
      </c>
      <c r="B1362" s="7" t="str">
        <f>VLOOKUP($A1362,Presupuesto!$A:$D,2,FALSE())</f>
        <v>Cerramiento muro ladrillo tolete + malla eslabonada + poste concreto</v>
      </c>
      <c r="C1362" s="8" t="str">
        <f>VLOOKUP($A1362,Presupuesto!$A:$D,3,FALSE())</f>
        <v>M</v>
      </c>
      <c r="D1362" s="9"/>
      <c r="E1362" s="10">
        <f>VLOOKUP($A1362,Presupuesto!$A:$D,4,FALSE())</f>
        <v>0</v>
      </c>
      <c r="F1362" s="11" t="s">
        <v>2589</v>
      </c>
      <c r="G1362" s="12">
        <f>SUM(G1364:G1384)/2</f>
        <v>584355.51430984563</v>
      </c>
      <c r="H1362" s="13">
        <f>ROUND(SUM(H1364:H1384),0)/2</f>
        <v>0</v>
      </c>
      <c r="I1362" s="10">
        <f>VLOOKUP(A1362,Presupuesto!$A:$F,6,0)</f>
        <v>0</v>
      </c>
      <c r="J1362" s="10">
        <f>+H1362-I1362</f>
        <v>0</v>
      </c>
      <c r="K1362" s="46">
        <f>+H1362-G1362*E1362</f>
        <v>0</v>
      </c>
    </row>
    <row r="1363" spans="1:11" ht="12.75" customHeight="1" thickTop="1">
      <c r="A1363" s="14"/>
      <c r="B1363" s="15" t="s">
        <v>2586</v>
      </c>
      <c r="C1363" s="15" t="s">
        <v>5</v>
      </c>
      <c r="D1363" s="16" t="s">
        <v>6</v>
      </c>
      <c r="E1363" s="17" t="s">
        <v>7</v>
      </c>
      <c r="F1363" s="18" t="s">
        <v>3728</v>
      </c>
      <c r="G1363" s="19" t="s">
        <v>3729</v>
      </c>
      <c r="H1363" s="20" t="s">
        <v>3797</v>
      </c>
      <c r="I1363" s="3"/>
    </row>
    <row r="1364" spans="1:11" ht="12.75" customHeight="1">
      <c r="A1364" s="21"/>
      <c r="B1364" s="22" t="s">
        <v>3730</v>
      </c>
      <c r="C1364" s="23"/>
      <c r="D1364" s="24"/>
      <c r="E1364" s="25"/>
      <c r="F1364" s="26"/>
      <c r="G1364" s="27">
        <f>SUM(G1365:G1373)</f>
        <v>403406.1710169455</v>
      </c>
      <c r="H1364" s="27">
        <f>IFERROR(G1364*E1362,"")</f>
        <v>0</v>
      </c>
      <c r="I1364" s="3"/>
    </row>
    <row r="1365" spans="1:11" ht="12.75" customHeight="1">
      <c r="A1365" s="28"/>
      <c r="B1365" s="29" t="s">
        <v>3239</v>
      </c>
      <c r="C1365" s="30" t="str">
        <f>IFERROR(_xlfn.XLOOKUP(B1365,Insumo[DESCRIPCION],Insumo[UND],,0),"")</f>
        <v>M3</v>
      </c>
      <c r="D1365" s="31">
        <v>0.1</v>
      </c>
      <c r="E1365" s="32">
        <f>IFERROR(_xlfn.XLOOKUP($B1365,Insumo[DESCRIPCION],Insumo[VALOR],,0),"")</f>
        <v>521159.50227762427</v>
      </c>
      <c r="F1365" s="33">
        <v>5</v>
      </c>
      <c r="G1365" s="34">
        <f t="shared" ref="G1365:G1373" si="10">IFERROR(IF(F1365&gt;=0,D1365*E1365*(1+F1365/100),ABS(D1365*E1365/F1365)),"")</f>
        <v>54721.747739150553</v>
      </c>
      <c r="H1365" s="43">
        <f>IFERROR(G1365*E1362,"")</f>
        <v>0</v>
      </c>
      <c r="I1365" s="3"/>
    </row>
    <row r="1366" spans="1:11" ht="12.75" customHeight="1">
      <c r="A1366" s="28"/>
      <c r="B1366" s="29" t="s">
        <v>2954</v>
      </c>
      <c r="C1366" s="30" t="str">
        <f>IFERROR(_xlfn.XLOOKUP(B1366,Insumo[DESCRIPCION],Insumo[UND],,0),"")</f>
        <v>M2</v>
      </c>
      <c r="D1366" s="31">
        <v>1.3</v>
      </c>
      <c r="E1366" s="32">
        <f>IFERROR(_xlfn.XLOOKUP($B1366,Insumo[DESCRIPCION],Insumo[VALOR],,0),"")</f>
        <v>102154.92581625449</v>
      </c>
      <c r="F1366" s="33"/>
      <c r="G1366" s="34">
        <f t="shared" si="10"/>
        <v>132801.40356113084</v>
      </c>
      <c r="H1366" s="43">
        <f>IFERROR(G1366*E1362,"")</f>
        <v>0</v>
      </c>
      <c r="I1366" s="3"/>
    </row>
    <row r="1367" spans="1:11" ht="12.75" customHeight="1">
      <c r="A1367" s="28"/>
      <c r="B1367" s="29" t="s">
        <v>2653</v>
      </c>
      <c r="C1367" s="30" t="str">
        <f>IFERROR(_xlfn.XLOOKUP(B1367,Insumo[DESCRIPCION],Insumo[UND],,0),"")</f>
        <v>Kg</v>
      </c>
      <c r="D1367" s="31">
        <v>10</v>
      </c>
      <c r="E1367" s="32">
        <f>IFERROR(_xlfn.XLOOKUP($B1367,Insumo[DESCRIPCION],Insumo[VALOR],,0),"")</f>
        <v>5686.8</v>
      </c>
      <c r="F1367" s="33"/>
      <c r="G1367" s="34">
        <f t="shared" si="10"/>
        <v>56868</v>
      </c>
      <c r="H1367" s="43">
        <f>IFERROR(G1367*E1362,"")</f>
        <v>0</v>
      </c>
      <c r="I1367" s="3"/>
    </row>
    <row r="1368" spans="1:11" ht="12.75" customHeight="1">
      <c r="A1368" s="28"/>
      <c r="B1368" s="29" t="s">
        <v>2699</v>
      </c>
      <c r="C1368" s="30" t="str">
        <f>IFERROR(_xlfn.XLOOKUP(B1368,Insumo[DESCRIPCION],Insumo[UND],,0),"")</f>
        <v>Kg</v>
      </c>
      <c r="D1368" s="31">
        <v>0.3</v>
      </c>
      <c r="E1368" s="32">
        <f>IFERROR(_xlfn.XLOOKUP($B1368,Insumo[DESCRIPCION],Insumo[VALOR],,0),"")</f>
        <v>7665</v>
      </c>
      <c r="F1368" s="33"/>
      <c r="G1368" s="34">
        <f t="shared" si="10"/>
        <v>2299.5</v>
      </c>
      <c r="H1368" s="43">
        <f>IFERROR(G1368*E1362,"")</f>
        <v>0</v>
      </c>
      <c r="I1368" s="3"/>
    </row>
    <row r="1369" spans="1:11" ht="12.75" customHeight="1">
      <c r="A1369" s="28"/>
      <c r="B1369" s="29" t="s">
        <v>3020</v>
      </c>
      <c r="C1369" s="30" t="str">
        <f>IFERROR(_xlfn.XLOOKUP(B1369,Insumo[DESCRIPCION],Insumo[UND],,0),"")</f>
        <v>Un</v>
      </c>
      <c r="D1369" s="31">
        <v>55</v>
      </c>
      <c r="E1369" s="32">
        <f>IFERROR(_xlfn.XLOOKUP($B1369,Insumo[DESCRIPCION],Insumo[VALOR],,0),"")</f>
        <v>909.30000000000007</v>
      </c>
      <c r="F1369" s="33">
        <v>5</v>
      </c>
      <c r="G1369" s="34">
        <f t="shared" si="10"/>
        <v>52512.075000000012</v>
      </c>
      <c r="H1369" s="43">
        <f>IFERROR(G1369*E1362,"")</f>
        <v>0</v>
      </c>
      <c r="I1369" s="3"/>
    </row>
    <row r="1370" spans="1:11" ht="12.75" customHeight="1">
      <c r="A1370" s="28"/>
      <c r="B1370" s="29" t="s">
        <v>3236</v>
      </c>
      <c r="C1370" s="30" t="str">
        <f>IFERROR(_xlfn.XLOOKUP(B1370,Insumo[DESCRIPCION],Insumo[UND],,0),"")</f>
        <v>Un</v>
      </c>
      <c r="D1370" s="31">
        <v>0.5</v>
      </c>
      <c r="E1370" s="32">
        <f>IFERROR(_xlfn.XLOOKUP($B1370,Insumo[DESCRIPCION],Insumo[VALOR],,0),"")</f>
        <v>69328.350000000006</v>
      </c>
      <c r="F1370" s="33"/>
      <c r="G1370" s="34">
        <f t="shared" si="10"/>
        <v>34664.175000000003</v>
      </c>
      <c r="H1370" s="43">
        <f>IFERROR(G1370*E1362,"")</f>
        <v>0</v>
      </c>
      <c r="I1370" s="3"/>
    </row>
    <row r="1371" spans="1:11" ht="12.75" customHeight="1">
      <c r="A1371" s="28"/>
      <c r="B1371" s="29" t="s">
        <v>3138</v>
      </c>
      <c r="C1371" s="30" t="str">
        <f>IFERROR(_xlfn.XLOOKUP(B1371,Insumo[DESCRIPCION],Insumo[UND],,0),"")</f>
        <v>M2</v>
      </c>
      <c r="D1371" s="31">
        <v>2</v>
      </c>
      <c r="E1371" s="32">
        <f>IFERROR(_xlfn.XLOOKUP($B1371,Insumo[DESCRIPCION],Insumo[VALOR],,0),"")</f>
        <v>26005.350000000002</v>
      </c>
      <c r="F1371" s="33"/>
      <c r="G1371" s="34">
        <f t="shared" si="10"/>
        <v>52010.700000000004</v>
      </c>
      <c r="H1371" s="43">
        <f>IFERROR(G1371*E1362,"")</f>
        <v>0</v>
      </c>
      <c r="I1371" s="3"/>
    </row>
    <row r="1372" spans="1:11" ht="12.75" customHeight="1">
      <c r="A1372" s="28"/>
      <c r="B1372" s="29" t="s">
        <v>2694</v>
      </c>
      <c r="C1372" s="30" t="str">
        <f>IFERROR(_xlfn.XLOOKUP(B1372,Insumo[DESCRIPCION],Insumo[UND],,0),"")</f>
        <v>M</v>
      </c>
      <c r="D1372" s="31">
        <v>3</v>
      </c>
      <c r="E1372" s="32">
        <f>IFERROR(_xlfn.XLOOKUP($B1372,Insumo[DESCRIPCION],Insumo[VALOR],,0),"")</f>
        <v>865.2</v>
      </c>
      <c r="F1372" s="33"/>
      <c r="G1372" s="34">
        <f t="shared" si="10"/>
        <v>2595.6000000000004</v>
      </c>
      <c r="H1372" s="43">
        <f>IFERROR(G1372*E1362,"")</f>
        <v>0</v>
      </c>
      <c r="I1372" s="3"/>
    </row>
    <row r="1373" spans="1:11" ht="12.75" customHeight="1">
      <c r="A1373" s="28"/>
      <c r="B1373" s="29" t="s">
        <v>3244</v>
      </c>
      <c r="C1373" s="30" t="str">
        <f>IFERROR(_xlfn.XLOOKUP(B1373,Insumo[DESCRIPCION],Insumo[UND],,0),"")</f>
        <v>M3</v>
      </c>
      <c r="D1373" s="31">
        <v>0.03</v>
      </c>
      <c r="E1373" s="32">
        <f>IFERROR(_xlfn.XLOOKUP($B1373,Insumo[DESCRIPCION],Insumo[VALOR],,0),"")</f>
        <v>497765.65722213761</v>
      </c>
      <c r="F1373" s="33"/>
      <c r="G1373" s="34">
        <f t="shared" si="10"/>
        <v>14932.969716664127</v>
      </c>
      <c r="H1373" s="43">
        <f>IFERROR(G1373*E1362,"")</f>
        <v>0</v>
      </c>
      <c r="I1373" s="3"/>
    </row>
    <row r="1374" spans="1:11" ht="12.75" customHeight="1">
      <c r="A1374" s="21"/>
      <c r="B1374" s="22" t="s">
        <v>3731</v>
      </c>
      <c r="C1374" s="23"/>
      <c r="D1374" s="24"/>
      <c r="E1374" s="25"/>
      <c r="F1374" s="26"/>
      <c r="G1374" s="27">
        <f>SUM(G1375:G1377)</f>
        <v>8616.6353949000022</v>
      </c>
      <c r="H1374" s="27">
        <f>IFERROR(G1374*E1362,"")</f>
        <v>0</v>
      </c>
      <c r="I1374" s="3"/>
    </row>
    <row r="1375" spans="1:11" ht="12.75" customHeight="1">
      <c r="A1375" s="28"/>
      <c r="B1375" s="29" t="s">
        <v>3626</v>
      </c>
      <c r="C1375" s="30" t="str">
        <f>IFERROR(_xlfn.XLOOKUP(B1375,Equipo[DESCRIPCION],Equipo[UND],,0),"")</f>
        <v>%MO</v>
      </c>
      <c r="D1375" s="31">
        <v>0.05</v>
      </c>
      <c r="E1375" s="32">
        <f>IF(C1375="%MO",G1381,IFERROR(_xlfn.XLOOKUP($B1375,Equipo[DESCRIPCION],Equipo[VALOR],,0),""))</f>
        <v>172332.70789800002</v>
      </c>
      <c r="F1375" s="33"/>
      <c r="G1375" s="34">
        <f>IFERROR(IF(F1375&gt;=0,D1375*E1375*(1+F1375/100),ABS(D1375*E1375/F1375)),"")</f>
        <v>8616.6353949000022</v>
      </c>
      <c r="H1375" s="43">
        <f>IFERROR(G1375*E1362,"")</f>
        <v>0</v>
      </c>
      <c r="I1375" s="3"/>
    </row>
    <row r="1376" spans="1:11" ht="12.75" customHeight="1">
      <c r="A1376" s="28"/>
      <c r="B1376" s="29"/>
      <c r="C1376" s="30" t="str">
        <f>IFERROR(_xlfn.XLOOKUP(B1376,Equipo[DESCRIPCION],Equipo[UND],,0),"")</f>
        <v/>
      </c>
      <c r="D1376" s="31"/>
      <c r="E1376" s="32" t="str">
        <f>IF(C1376="%MO",G1381,IFERROR(_xlfn.XLOOKUP($B1376,Equipo[DESCRIPCION],Equipo[VALOR],,0),""))</f>
        <v/>
      </c>
      <c r="F1376" s="33"/>
      <c r="G1376" s="34" t="str">
        <f>IFERROR(IF(F1376&gt;=0,D1376*E1376*(1+F1376/100),ABS(D1376*E1376/F1376)),"")</f>
        <v/>
      </c>
      <c r="H1376" s="43" t="str">
        <f>IFERROR(G1376*E1362,"")</f>
        <v/>
      </c>
      <c r="I1376" s="3"/>
    </row>
    <row r="1377" spans="1:11" ht="12.75" customHeight="1">
      <c r="A1377" s="28"/>
      <c r="B1377" s="29"/>
      <c r="C1377" s="30" t="str">
        <f>IFERROR(_xlfn.XLOOKUP(B1377,Equipo[DESCRIPCION],Equipo[UND],,0),"")</f>
        <v/>
      </c>
      <c r="D1377" s="31"/>
      <c r="E1377" s="32" t="str">
        <f>IF(C1377="%MO",G1381,IFERROR(_xlfn.XLOOKUP($B1377,Equipo[DESCRIPCION],Equipo[VALOR],,0),""))</f>
        <v/>
      </c>
      <c r="F1377" s="33"/>
      <c r="G1377" s="34" t="str">
        <f>IFERROR(IF(F1377&gt;=0,D1377*E1377*(1+F1377/100),ABS(D1377*E1377/F1377)),"")</f>
        <v/>
      </c>
      <c r="H1377" s="43" t="str">
        <f>IFERROR(G1377*E1362,"")</f>
        <v/>
      </c>
      <c r="I1377" s="3"/>
    </row>
    <row r="1378" spans="1:11" ht="12.75" customHeight="1">
      <c r="A1378" s="21"/>
      <c r="B1378" s="22" t="s">
        <v>2533</v>
      </c>
      <c r="C1378" s="23"/>
      <c r="D1378" s="24"/>
      <c r="E1378" s="25"/>
      <c r="F1378" s="26"/>
      <c r="G1378" s="27">
        <f>SUM(G1379:G1380)</f>
        <v>0</v>
      </c>
      <c r="H1378" s="27">
        <f>IFERROR(G1378*E1362,"")</f>
        <v>0</v>
      </c>
      <c r="I1378" s="3"/>
    </row>
    <row r="1379" spans="1:11" ht="12.75" customHeight="1">
      <c r="A1379" s="28"/>
      <c r="B1379" s="29"/>
      <c r="C1379" s="30" t="str">
        <f>IFERROR(_xlfn.XLOOKUP(B1379,Transporte[DESCRIPCION],Transporte[UND],,0),"")</f>
        <v/>
      </c>
      <c r="D1379" s="31"/>
      <c r="E1379" s="32" t="str">
        <f>IFERROR(_xlfn.XLOOKUP($B1379,Transporte[DESCRIPCION],Transporte[VALOR],,0),"")</f>
        <v/>
      </c>
      <c r="F1379" s="33"/>
      <c r="G1379" s="34" t="str">
        <f>IFERROR(IF(F1379&gt;=0,D1379*E1379*(1+F1379/100),ABS(D1379*E1379/F1379)),"")</f>
        <v/>
      </c>
      <c r="H1379" s="43" t="str">
        <f>IFERROR(G1379*E1362,"")</f>
        <v/>
      </c>
      <c r="I1379" s="3"/>
    </row>
    <row r="1380" spans="1:11" ht="12.75" customHeight="1">
      <c r="A1380" s="28"/>
      <c r="B1380" s="29"/>
      <c r="C1380" s="30" t="str">
        <f>IFERROR(_xlfn.XLOOKUP(B1380,Transporte[DESCRIPCION],Transporte[UND],,0),"")</f>
        <v/>
      </c>
      <c r="D1380" s="31"/>
      <c r="E1380" s="32" t="str">
        <f>IFERROR(_xlfn.XLOOKUP($B1380,Transporte[DESCRIPCION],Transporte[VALOR],,0),"")</f>
        <v/>
      </c>
      <c r="F1380" s="33"/>
      <c r="G1380" s="34" t="str">
        <f>IFERROR(IF(F1380&gt;=0,D1380*E1380*(1+F1380/100),ABS(D1380*E1380/F1380)),"")</f>
        <v/>
      </c>
      <c r="H1380" s="43" t="str">
        <f>IFERROR(G1380*E1362,"")</f>
        <v/>
      </c>
      <c r="I1380" s="3"/>
    </row>
    <row r="1381" spans="1:11" ht="12.75" customHeight="1">
      <c r="A1381" s="21"/>
      <c r="B1381" s="22" t="s">
        <v>3732</v>
      </c>
      <c r="C1381" s="23"/>
      <c r="D1381" s="24"/>
      <c r="E1381" s="25"/>
      <c r="F1381" s="26"/>
      <c r="G1381" s="27">
        <f>SUM(G1382:G1384)</f>
        <v>172332.70789800002</v>
      </c>
      <c r="H1381" s="27">
        <f>IFERROR(G1381*E1362,"")</f>
        <v>0</v>
      </c>
      <c r="I1381" s="3"/>
    </row>
    <row r="1382" spans="1:11" ht="12.75" customHeight="1">
      <c r="A1382" s="28"/>
      <c r="B1382" s="29" t="s">
        <v>3711</v>
      </c>
      <c r="C1382" s="30" t="str">
        <f>IFERROR(_xlfn.XLOOKUP(B1382,MObra[DESCRIPCION],MObra[UN],,0),"")</f>
        <v>día</v>
      </c>
      <c r="D1382" s="31">
        <v>1</v>
      </c>
      <c r="E1382" s="32">
        <f>IFERROR(_xlfn.XLOOKUP($B1382,MObra[DESCRIPCION],MObra[VALOR UNIT],,0),"")</f>
        <v>430831.76974500006</v>
      </c>
      <c r="F1382" s="33">
        <v>-2.5</v>
      </c>
      <c r="G1382" s="34">
        <f>IFERROR(IF(F1382&gt;=0,D1382*E1382*(1+F1382/100),ABS(D1382*E1382/F1382)),"")</f>
        <v>172332.70789800002</v>
      </c>
      <c r="H1382" s="43">
        <f>IFERROR(G1382*E1362,"")</f>
        <v>0</v>
      </c>
      <c r="I1382" s="3"/>
    </row>
    <row r="1383" spans="1:11" ht="12.75" customHeight="1">
      <c r="A1383" s="28"/>
      <c r="B1383" s="29"/>
      <c r="C1383" s="30" t="str">
        <f>IFERROR(_xlfn.XLOOKUP(B1383,MObra[DESCRIPCION],MObra[UN],,0),"")</f>
        <v/>
      </c>
      <c r="D1383" s="31"/>
      <c r="E1383" s="32" t="str">
        <f>IFERROR(_xlfn.XLOOKUP($B1383,MObra[DESCRIPCION],MObra[VALOR UNIT],,0),"")</f>
        <v/>
      </c>
      <c r="F1383" s="33"/>
      <c r="G1383" s="34" t="str">
        <f>IFERROR(IF(F1383&gt;=0,D1383*E1383*(1+F1383/100),ABS(D1383*E1383/F1383)),"")</f>
        <v/>
      </c>
      <c r="H1383" s="43" t="str">
        <f>IFERROR(G1383*E1362,"")</f>
        <v/>
      </c>
      <c r="I1383" s="3"/>
    </row>
    <row r="1384" spans="1:11" ht="12.75" customHeight="1" thickBot="1">
      <c r="A1384" s="35"/>
      <c r="B1384" s="36"/>
      <c r="C1384" s="37" t="str">
        <f>IFERROR(_xlfn.XLOOKUP(B1384,MObra[DESCRIPCION],MObra[UN],,0),"")</f>
        <v/>
      </c>
      <c r="D1384" s="38"/>
      <c r="E1384" s="39" t="str">
        <f>IFERROR(_xlfn.XLOOKUP($B1384,MObra[DESCRIPCION],MObra[VALOR UNIT],,0),"")</f>
        <v/>
      </c>
      <c r="F1384" s="40"/>
      <c r="G1384" s="41" t="str">
        <f>IFERROR(IF(F1384&gt;=0,D1384*E1384*(1+F1384/100),ABS(D1384*E1384/F1384)),"")</f>
        <v/>
      </c>
      <c r="H1384" s="42" t="str">
        <f>IFERROR(G1384*E1362,"")</f>
        <v/>
      </c>
      <c r="I1384" s="3"/>
    </row>
    <row r="1385" spans="1:11" ht="12.75" customHeight="1" thickTop="1" thickBot="1">
      <c r="I1385" s="3"/>
    </row>
    <row r="1386" spans="1:11" ht="12.75" customHeight="1" thickTop="1" thickBot="1">
      <c r="A1386" s="6" t="s">
        <v>1695</v>
      </c>
      <c r="B1386" s="7" t="str">
        <f>VLOOKUP($A1386,Presupuesto!$A:$D,2,FALSE())</f>
        <v>Cerramiento muro ladrillo tolete + malla eslabonada + tubo galvanizado</v>
      </c>
      <c r="C1386" s="8" t="str">
        <f>VLOOKUP($A1386,Presupuesto!$A:$D,3,FALSE())</f>
        <v>M</v>
      </c>
      <c r="D1386" s="9"/>
      <c r="E1386" s="10">
        <f>VLOOKUP($A1386,Presupuesto!$A:$D,4,FALSE())</f>
        <v>0</v>
      </c>
      <c r="F1386" s="11" t="s">
        <v>2589</v>
      </c>
      <c r="G1386" s="12">
        <f>SUM(G1388:G1410)/2</f>
        <v>709702.64114344551</v>
      </c>
      <c r="H1386" s="13">
        <f>ROUND(SUM(H1388:H1410),0)/2</f>
        <v>0</v>
      </c>
      <c r="I1386" s="10">
        <f>VLOOKUP(A1386,Presupuesto!$A:$F,6,0)</f>
        <v>0</v>
      </c>
      <c r="J1386" s="10">
        <f>+H1386-I1386</f>
        <v>0</v>
      </c>
      <c r="K1386" s="46">
        <f>+H1386-G1386*E1386</f>
        <v>0</v>
      </c>
    </row>
    <row r="1387" spans="1:11" ht="12.75" customHeight="1" thickTop="1">
      <c r="A1387" s="14"/>
      <c r="B1387" s="15" t="s">
        <v>2586</v>
      </c>
      <c r="C1387" s="15" t="s">
        <v>5</v>
      </c>
      <c r="D1387" s="16" t="s">
        <v>6</v>
      </c>
      <c r="E1387" s="17" t="s">
        <v>7</v>
      </c>
      <c r="F1387" s="18" t="s">
        <v>3728</v>
      </c>
      <c r="G1387" s="19" t="s">
        <v>3729</v>
      </c>
      <c r="H1387" s="20" t="s">
        <v>3797</v>
      </c>
      <c r="I1387" s="3"/>
    </row>
    <row r="1388" spans="1:11" ht="12.75" customHeight="1">
      <c r="A1388" s="21"/>
      <c r="B1388" s="22" t="s">
        <v>3730</v>
      </c>
      <c r="C1388" s="23"/>
      <c r="D1388" s="24"/>
      <c r="E1388" s="25"/>
      <c r="F1388" s="26"/>
      <c r="G1388" s="27">
        <f>SUM(G1389:G1399)</f>
        <v>441496.06551694556</v>
      </c>
      <c r="H1388" s="27">
        <f>IFERROR(G1388*E1386,"")</f>
        <v>0</v>
      </c>
      <c r="I1388" s="3"/>
    </row>
    <row r="1389" spans="1:11" ht="12.75" customHeight="1">
      <c r="A1389" s="28"/>
      <c r="B1389" s="29" t="s">
        <v>3239</v>
      </c>
      <c r="C1389" s="30" t="str">
        <f>IFERROR(_xlfn.XLOOKUP(B1389,Insumo[DESCRIPCION],Insumo[UND],,0),"")</f>
        <v>M3</v>
      </c>
      <c r="D1389" s="31">
        <v>0.1</v>
      </c>
      <c r="E1389" s="32">
        <f>IFERROR(_xlfn.XLOOKUP($B1389,Insumo[DESCRIPCION],Insumo[VALOR],,0),"")</f>
        <v>521159.50227762427</v>
      </c>
      <c r="F1389" s="33">
        <v>5</v>
      </c>
      <c r="G1389" s="34">
        <f t="shared" ref="G1389:G1399" si="11">IFERROR(IF(F1389&gt;=0,D1389*E1389*(1+F1389/100),ABS(D1389*E1389/F1389)),"")</f>
        <v>54721.747739150553</v>
      </c>
      <c r="H1389" s="43">
        <f>IFERROR(G1389*E1386,"")</f>
        <v>0</v>
      </c>
      <c r="I1389" s="3"/>
    </row>
    <row r="1390" spans="1:11" ht="12.75" customHeight="1">
      <c r="A1390" s="28"/>
      <c r="B1390" s="29" t="s">
        <v>2954</v>
      </c>
      <c r="C1390" s="30" t="str">
        <f>IFERROR(_xlfn.XLOOKUP(B1390,Insumo[DESCRIPCION],Insumo[UND],,0),"")</f>
        <v>M2</v>
      </c>
      <c r="D1390" s="31">
        <v>1.3</v>
      </c>
      <c r="E1390" s="32">
        <f>IFERROR(_xlfn.XLOOKUP($B1390,Insumo[DESCRIPCION],Insumo[VALOR],,0),"")</f>
        <v>102154.92581625449</v>
      </c>
      <c r="F1390" s="33"/>
      <c r="G1390" s="34">
        <f t="shared" si="11"/>
        <v>132801.40356113084</v>
      </c>
      <c r="H1390" s="43">
        <f>IFERROR(G1390*E1386,"")</f>
        <v>0</v>
      </c>
      <c r="I1390" s="3"/>
    </row>
    <row r="1391" spans="1:11" ht="12.75" customHeight="1">
      <c r="A1391" s="28"/>
      <c r="B1391" s="29" t="s">
        <v>2653</v>
      </c>
      <c r="C1391" s="30" t="str">
        <f>IFERROR(_xlfn.XLOOKUP(B1391,Insumo[DESCRIPCION],Insumo[UND],,0),"")</f>
        <v>Kg</v>
      </c>
      <c r="D1391" s="31">
        <v>10</v>
      </c>
      <c r="E1391" s="32">
        <f>IFERROR(_xlfn.XLOOKUP($B1391,Insumo[DESCRIPCION],Insumo[VALOR],,0),"")</f>
        <v>5686.8</v>
      </c>
      <c r="F1391" s="33"/>
      <c r="G1391" s="34">
        <f t="shared" si="11"/>
        <v>56868</v>
      </c>
      <c r="H1391" s="43">
        <f>IFERROR(G1391*E1386,"")</f>
        <v>0</v>
      </c>
      <c r="I1391" s="3"/>
    </row>
    <row r="1392" spans="1:11" ht="12.75" customHeight="1">
      <c r="A1392" s="28"/>
      <c r="B1392" s="29" t="s">
        <v>2699</v>
      </c>
      <c r="C1392" s="30" t="str">
        <f>IFERROR(_xlfn.XLOOKUP(B1392,Insumo[DESCRIPCION],Insumo[UND],,0),"")</f>
        <v>Kg</v>
      </c>
      <c r="D1392" s="31">
        <v>0.3</v>
      </c>
      <c r="E1392" s="32">
        <f>IFERROR(_xlfn.XLOOKUP($B1392,Insumo[DESCRIPCION],Insumo[VALOR],,0),"")</f>
        <v>7665</v>
      </c>
      <c r="F1392" s="33"/>
      <c r="G1392" s="34">
        <f t="shared" si="11"/>
        <v>2299.5</v>
      </c>
      <c r="H1392" s="43">
        <f>IFERROR(G1392*E1386,"")</f>
        <v>0</v>
      </c>
      <c r="I1392" s="3"/>
    </row>
    <row r="1393" spans="1:9" ht="12.75" customHeight="1">
      <c r="A1393" s="28"/>
      <c r="B1393" s="29" t="s">
        <v>3020</v>
      </c>
      <c r="C1393" s="30" t="str">
        <f>IFERROR(_xlfn.XLOOKUP(B1393,Insumo[DESCRIPCION],Insumo[UND],,0),"")</f>
        <v>Un</v>
      </c>
      <c r="D1393" s="31">
        <v>55</v>
      </c>
      <c r="E1393" s="32">
        <f>IFERROR(_xlfn.XLOOKUP($B1393,Insumo[DESCRIPCION],Insumo[VALOR],,0),"")</f>
        <v>909.30000000000007</v>
      </c>
      <c r="F1393" s="33">
        <v>5</v>
      </c>
      <c r="G1393" s="34">
        <f t="shared" si="11"/>
        <v>52512.075000000012</v>
      </c>
      <c r="H1393" s="43">
        <f>IFERROR(G1393*E1386,"")</f>
        <v>0</v>
      </c>
      <c r="I1393" s="3"/>
    </row>
    <row r="1394" spans="1:9" ht="12.75" customHeight="1">
      <c r="A1394" s="28"/>
      <c r="B1394" s="29" t="s">
        <v>3449</v>
      </c>
      <c r="C1394" s="30" t="str">
        <f>IFERROR(_xlfn.XLOOKUP(B1394,Insumo[DESCRIPCION],Insumo[UND],,0),"")</f>
        <v>M</v>
      </c>
      <c r="D1394" s="31">
        <v>1.5</v>
      </c>
      <c r="E1394" s="32">
        <f>IFERROR(_xlfn.XLOOKUP($B1394,Insumo[DESCRIPCION],Insumo[VALOR],,0),"")</f>
        <v>21998.025000000001</v>
      </c>
      <c r="F1394" s="33"/>
      <c r="G1394" s="34">
        <f t="shared" si="11"/>
        <v>32997.037500000006</v>
      </c>
      <c r="H1394" s="43">
        <f>IFERROR(G1394*E1386,"")</f>
        <v>0</v>
      </c>
      <c r="I1394" s="3"/>
    </row>
    <row r="1395" spans="1:9" ht="12.75" customHeight="1">
      <c r="A1395" s="28"/>
      <c r="B1395" s="29" t="s">
        <v>3326</v>
      </c>
      <c r="C1395" s="30" t="str">
        <f>IFERROR(_xlfn.XLOOKUP(B1395,Insumo[DESCRIPCION],Insumo[UND],,0),"")</f>
        <v>Kg</v>
      </c>
      <c r="D1395" s="31">
        <v>2.5</v>
      </c>
      <c r="E1395" s="32">
        <f>IFERROR(_xlfn.XLOOKUP($B1395,Insumo[DESCRIPCION],Insumo[VALOR],,0),"")</f>
        <v>5978.7</v>
      </c>
      <c r="F1395" s="33"/>
      <c r="G1395" s="34">
        <f t="shared" si="11"/>
        <v>14946.75</v>
      </c>
      <c r="H1395" s="43">
        <f>IFERROR(G1395*E1386,"")</f>
        <v>0</v>
      </c>
      <c r="I1395" s="3"/>
    </row>
    <row r="1396" spans="1:9" ht="12.75" customHeight="1">
      <c r="A1396" s="28"/>
      <c r="B1396" s="29" t="s">
        <v>3138</v>
      </c>
      <c r="C1396" s="30" t="str">
        <f>IFERROR(_xlfn.XLOOKUP(B1396,Insumo[DESCRIPCION],Insumo[UND],,0),"")</f>
        <v>M2</v>
      </c>
      <c r="D1396" s="31">
        <v>2</v>
      </c>
      <c r="E1396" s="32">
        <f>IFERROR(_xlfn.XLOOKUP($B1396,Insumo[DESCRIPCION],Insumo[VALOR],,0),"")</f>
        <v>26005.350000000002</v>
      </c>
      <c r="F1396" s="33"/>
      <c r="G1396" s="34">
        <f t="shared" si="11"/>
        <v>52010.700000000004</v>
      </c>
      <c r="H1396" s="43">
        <f>IFERROR(G1396*E1386,"")</f>
        <v>0</v>
      </c>
      <c r="I1396" s="3"/>
    </row>
    <row r="1397" spans="1:9" ht="12.75" customHeight="1">
      <c r="A1397" s="28"/>
      <c r="B1397" s="29" t="s">
        <v>2694</v>
      </c>
      <c r="C1397" s="30" t="str">
        <f>IFERROR(_xlfn.XLOOKUP(B1397,Insumo[DESCRIPCION],Insumo[UND],,0),"")</f>
        <v>M</v>
      </c>
      <c r="D1397" s="31">
        <v>3</v>
      </c>
      <c r="E1397" s="32">
        <f>IFERROR(_xlfn.XLOOKUP($B1397,Insumo[DESCRIPCION],Insumo[VALOR],,0),"")</f>
        <v>865.2</v>
      </c>
      <c r="F1397" s="33"/>
      <c r="G1397" s="34">
        <f t="shared" si="11"/>
        <v>2595.6000000000004</v>
      </c>
      <c r="H1397" s="43">
        <f>IFERROR(G1397*E1386,"")</f>
        <v>0</v>
      </c>
      <c r="I1397" s="3"/>
    </row>
    <row r="1398" spans="1:9" ht="12.75" customHeight="1">
      <c r="A1398" s="28"/>
      <c r="B1398" s="29" t="s">
        <v>3244</v>
      </c>
      <c r="C1398" s="30" t="str">
        <f>IFERROR(_xlfn.XLOOKUP(B1398,Insumo[DESCRIPCION],Insumo[UND],,0),"")</f>
        <v>M3</v>
      </c>
      <c r="D1398" s="31">
        <v>0.03</v>
      </c>
      <c r="E1398" s="32">
        <f>IFERROR(_xlfn.XLOOKUP($B1398,Insumo[DESCRIPCION],Insumo[VALOR],,0),"")</f>
        <v>497765.65722213761</v>
      </c>
      <c r="F1398" s="33"/>
      <c r="G1398" s="34">
        <f t="shared" si="11"/>
        <v>14932.969716664127</v>
      </c>
      <c r="H1398" s="43">
        <f>IFERROR(G1398*E1386,"")</f>
        <v>0</v>
      </c>
      <c r="I1398" s="3"/>
    </row>
    <row r="1399" spans="1:9" ht="12.75" customHeight="1">
      <c r="A1399" s="28"/>
      <c r="B1399" s="29" t="s">
        <v>3557</v>
      </c>
      <c r="C1399" s="30" t="str">
        <f>IFERROR(_xlfn.XLOOKUP(B1399,Insumo[DESCRIPCION],Insumo[UND],,0),"")</f>
        <v>galón</v>
      </c>
      <c r="D1399" s="31">
        <v>0.12</v>
      </c>
      <c r="E1399" s="32">
        <f>IFERROR(_xlfn.XLOOKUP($B1399,Insumo[DESCRIPCION],Insumo[VALOR],,0),"")</f>
        <v>206752.35</v>
      </c>
      <c r="F1399" s="33"/>
      <c r="G1399" s="34">
        <f t="shared" si="11"/>
        <v>24810.281999999999</v>
      </c>
      <c r="H1399" s="43">
        <f>IFERROR(G1399*E1386,"")</f>
        <v>0</v>
      </c>
      <c r="I1399" s="3"/>
    </row>
    <row r="1400" spans="1:9" ht="12.75" customHeight="1">
      <c r="A1400" s="21"/>
      <c r="B1400" s="22" t="s">
        <v>3731</v>
      </c>
      <c r="C1400" s="23"/>
      <c r="D1400" s="24"/>
      <c r="E1400" s="25"/>
      <c r="F1400" s="26"/>
      <c r="G1400" s="27">
        <f>SUM(G1401:G1403)</f>
        <v>58612.741696500001</v>
      </c>
      <c r="H1400" s="27">
        <f>IFERROR(G1400*E1386,"")</f>
        <v>0</v>
      </c>
      <c r="I1400" s="3"/>
    </row>
    <row r="1401" spans="1:9" ht="12.75" customHeight="1">
      <c r="A1401" s="28"/>
      <c r="B1401" s="29" t="s">
        <v>3613</v>
      </c>
      <c r="C1401" s="30" t="str">
        <f>IFERROR(_xlfn.XLOOKUP(B1401,Equipo[DESCRIPCION],Equipo[UND],,0),"")</f>
        <v>Día</v>
      </c>
      <c r="D1401" s="31">
        <v>1</v>
      </c>
      <c r="E1401" s="32">
        <f>IF(C1401="%MO",G1407,IFERROR(_xlfn.XLOOKUP($B1401,Equipo[DESCRIPCION],Equipo[VALOR],,0),""))</f>
        <v>48133.05</v>
      </c>
      <c r="F1401" s="33"/>
      <c r="G1401" s="34">
        <f>IFERROR(IF(F1401&gt;=0,D1401*E1401*(1+F1401/100),ABS(D1401*E1401/F1401)),"")</f>
        <v>48133.05</v>
      </c>
      <c r="H1401" s="43">
        <f>IFERROR(G1401*E1386,"")</f>
        <v>0</v>
      </c>
      <c r="I1401" s="3"/>
    </row>
    <row r="1402" spans="1:9" ht="12.75" customHeight="1">
      <c r="A1402" s="28"/>
      <c r="B1402" s="29" t="s">
        <v>3626</v>
      </c>
      <c r="C1402" s="30" t="str">
        <f>IFERROR(_xlfn.XLOOKUP(B1402,Equipo[DESCRIPCION],Equipo[UND],,0),"")</f>
        <v>%MO</v>
      </c>
      <c r="D1402" s="31">
        <v>0.05</v>
      </c>
      <c r="E1402" s="32">
        <f>IF(C1402="%MO",G1407,IFERROR(_xlfn.XLOOKUP($B1402,Equipo[DESCRIPCION],Equipo[VALOR],,0),""))</f>
        <v>209593.83393000002</v>
      </c>
      <c r="F1402" s="33"/>
      <c r="G1402" s="34">
        <f>IFERROR(IF(F1402&gt;=0,D1402*E1402*(1+F1402/100),ABS(D1402*E1402/F1402)),"")</f>
        <v>10479.691696500002</v>
      </c>
      <c r="H1402" s="43">
        <f>IFERROR(G1402*E1386,"")</f>
        <v>0</v>
      </c>
      <c r="I1402" s="3"/>
    </row>
    <row r="1403" spans="1:9" ht="12.75" customHeight="1">
      <c r="A1403" s="28"/>
      <c r="B1403" s="29"/>
      <c r="C1403" s="30" t="str">
        <f>IFERROR(_xlfn.XLOOKUP(B1403,Equipo[DESCRIPCION],Equipo[UND],,0),"")</f>
        <v/>
      </c>
      <c r="D1403" s="31"/>
      <c r="E1403" s="32" t="str">
        <f>IF(C1403="%MO",G1407,IFERROR(_xlfn.XLOOKUP($B1403,Equipo[DESCRIPCION],Equipo[VALOR],,0),""))</f>
        <v/>
      </c>
      <c r="F1403" s="33"/>
      <c r="G1403" s="34" t="str">
        <f>IFERROR(IF(F1403&gt;=0,D1403*E1403*(1+F1403/100),ABS(D1403*E1403/F1403)),"")</f>
        <v/>
      </c>
      <c r="H1403" s="43" t="str">
        <f>IFERROR(G1403*E1386,"")</f>
        <v/>
      </c>
      <c r="I1403" s="3"/>
    </row>
    <row r="1404" spans="1:9" ht="12.75" customHeight="1">
      <c r="A1404" s="21"/>
      <c r="B1404" s="22" t="s">
        <v>2533</v>
      </c>
      <c r="C1404" s="23"/>
      <c r="D1404" s="24"/>
      <c r="E1404" s="25"/>
      <c r="F1404" s="26"/>
      <c r="G1404" s="27">
        <f>SUM(G1405:G1406)</f>
        <v>0</v>
      </c>
      <c r="H1404" s="27">
        <f>IFERROR(G1404*E1386,"")</f>
        <v>0</v>
      </c>
      <c r="I1404" s="3"/>
    </row>
    <row r="1405" spans="1:9" ht="12.75" customHeight="1">
      <c r="A1405" s="28"/>
      <c r="B1405" s="29"/>
      <c r="C1405" s="30" t="str">
        <f>IFERROR(_xlfn.XLOOKUP(B1405,Transporte[DESCRIPCION],Transporte[UND],,0),"")</f>
        <v/>
      </c>
      <c r="D1405" s="31"/>
      <c r="E1405" s="32" t="str">
        <f>IFERROR(_xlfn.XLOOKUP($B1405,Transporte[DESCRIPCION],Transporte[VALOR],,0),"")</f>
        <v/>
      </c>
      <c r="F1405" s="33"/>
      <c r="G1405" s="34" t="str">
        <f>IFERROR(IF(F1405&gt;=0,D1405*E1405*(1+F1405/100),ABS(D1405*E1405/F1405)),"")</f>
        <v/>
      </c>
      <c r="H1405" s="43" t="str">
        <f>IFERROR(G1405*E1386,"")</f>
        <v/>
      </c>
      <c r="I1405" s="3"/>
    </row>
    <row r="1406" spans="1:9" ht="12.75" customHeight="1">
      <c r="A1406" s="28"/>
      <c r="B1406" s="29"/>
      <c r="C1406" s="30" t="str">
        <f>IFERROR(_xlfn.XLOOKUP(B1406,Transporte[DESCRIPCION],Transporte[UND],,0),"")</f>
        <v/>
      </c>
      <c r="D1406" s="31"/>
      <c r="E1406" s="32" t="str">
        <f>IFERROR(_xlfn.XLOOKUP($B1406,Transporte[DESCRIPCION],Transporte[VALOR],,0),"")</f>
        <v/>
      </c>
      <c r="F1406" s="33"/>
      <c r="G1406" s="34" t="str">
        <f>IFERROR(IF(F1406&gt;=0,D1406*E1406*(1+F1406/100),ABS(D1406*E1406/F1406)),"")</f>
        <v/>
      </c>
      <c r="H1406" s="43" t="str">
        <f>IFERROR(G1406*E1386,"")</f>
        <v/>
      </c>
      <c r="I1406" s="3"/>
    </row>
    <row r="1407" spans="1:9" ht="12.75" customHeight="1">
      <c r="A1407" s="21"/>
      <c r="B1407" s="22" t="s">
        <v>3732</v>
      </c>
      <c r="C1407" s="23"/>
      <c r="D1407" s="24"/>
      <c r="E1407" s="25"/>
      <c r="F1407" s="26"/>
      <c r="G1407" s="27">
        <f>SUM(G1408:G1410)</f>
        <v>209593.83393000002</v>
      </c>
      <c r="H1407" s="27">
        <f>IFERROR(G1407*E1386,"")</f>
        <v>0</v>
      </c>
      <c r="I1407" s="3"/>
    </row>
    <row r="1408" spans="1:9" ht="12.75" customHeight="1">
      <c r="A1408" s="28"/>
      <c r="B1408" s="29" t="s">
        <v>3724</v>
      </c>
      <c r="C1408" s="30" t="str">
        <f>IFERROR(_xlfn.XLOOKUP(B1408,MObra[DESCRIPCION],MObra[UN],,0),"")</f>
        <v>día</v>
      </c>
      <c r="D1408" s="31">
        <v>1</v>
      </c>
      <c r="E1408" s="32">
        <f>IFERROR(_xlfn.XLOOKUP($B1408,MObra[DESCRIPCION],MObra[VALOR UNIT],,0),"")</f>
        <v>419187.66786000005</v>
      </c>
      <c r="F1408" s="33">
        <v>-2</v>
      </c>
      <c r="G1408" s="34">
        <f>IFERROR(IF(F1408&gt;=0,D1408*E1408*(1+F1408/100),ABS(D1408*E1408/F1408)),"")</f>
        <v>209593.83393000002</v>
      </c>
      <c r="H1408" s="43">
        <f>IFERROR(G1408*E1386,"")</f>
        <v>0</v>
      </c>
      <c r="I1408" s="3"/>
    </row>
    <row r="1409" spans="1:11" ht="12.75" customHeight="1">
      <c r="A1409" s="28"/>
      <c r="B1409" s="29"/>
      <c r="C1409" s="30" t="str">
        <f>IFERROR(_xlfn.XLOOKUP(B1409,MObra[DESCRIPCION],MObra[UN],,0),"")</f>
        <v/>
      </c>
      <c r="D1409" s="31"/>
      <c r="E1409" s="32" t="str">
        <f>IFERROR(_xlfn.XLOOKUP($B1409,MObra[DESCRIPCION],MObra[VALOR UNIT],,0),"")</f>
        <v/>
      </c>
      <c r="F1409" s="33"/>
      <c r="G1409" s="34" t="str">
        <f>IFERROR(IF(F1409&gt;=0,D1409*E1409*(1+F1409/100),ABS(D1409*E1409/F1409)),"")</f>
        <v/>
      </c>
      <c r="H1409" s="43" t="str">
        <f>IFERROR(G1409*E1386,"")</f>
        <v/>
      </c>
      <c r="I1409" s="3"/>
    </row>
    <row r="1410" spans="1:11" ht="12.75" customHeight="1" thickBot="1">
      <c r="A1410" s="35"/>
      <c r="B1410" s="36"/>
      <c r="C1410" s="37" t="str">
        <f>IFERROR(_xlfn.XLOOKUP(B1410,MObra[DESCRIPCION],MObra[UN],,0),"")</f>
        <v/>
      </c>
      <c r="D1410" s="38"/>
      <c r="E1410" s="39" t="str">
        <f>IFERROR(_xlfn.XLOOKUP($B1410,MObra[DESCRIPCION],MObra[VALOR UNIT],,0),"")</f>
        <v/>
      </c>
      <c r="F1410" s="40"/>
      <c r="G1410" s="41" t="str">
        <f>IFERROR(IF(F1410&gt;=0,D1410*E1410*(1+F1410/100),ABS(D1410*E1410/F1410)),"")</f>
        <v/>
      </c>
      <c r="H1410" s="42" t="str">
        <f>IFERROR(G1410*E1386,"")</f>
        <v/>
      </c>
      <c r="I1410" s="3"/>
    </row>
    <row r="1411" spans="1:11" ht="12.75" customHeight="1" thickTop="1" thickBot="1">
      <c r="I1411" s="3"/>
    </row>
    <row r="1412" spans="1:11" ht="12.75" customHeight="1" thickTop="1" thickBot="1">
      <c r="A1412" s="6" t="s">
        <v>1697</v>
      </c>
      <c r="B1412" s="7" t="str">
        <f>VLOOKUP($A1412,Presupuesto!$A:$D,2,FALSE())</f>
        <v>Cerramiento muro ladrillo visto + malla eslabonada + poste concreto</v>
      </c>
      <c r="C1412" s="8" t="str">
        <f>VLOOKUP($A1412,Presupuesto!$A:$D,3,FALSE())</f>
        <v>M</v>
      </c>
      <c r="D1412" s="9"/>
      <c r="E1412" s="10">
        <f>VLOOKUP($A1412,Presupuesto!$A:$D,4,FALSE())</f>
        <v>0</v>
      </c>
      <c r="F1412" s="11" t="s">
        <v>2589</v>
      </c>
      <c r="G1412" s="12">
        <f>SUM(G1414:G1434)/2</f>
        <v>560746.14042769559</v>
      </c>
      <c r="H1412" s="13">
        <f>ROUND(SUM(H1414:H1434),0)/2</f>
        <v>0</v>
      </c>
      <c r="I1412" s="10">
        <f>VLOOKUP(A1412,Presupuesto!$A:$F,6,0)</f>
        <v>0</v>
      </c>
      <c r="J1412" s="10">
        <f>+H1412-I1412</f>
        <v>0</v>
      </c>
      <c r="K1412" s="46">
        <f>+H1412-G1412*E1412</f>
        <v>0</v>
      </c>
    </row>
    <row r="1413" spans="1:11" ht="12.75" customHeight="1" thickTop="1">
      <c r="A1413" s="14"/>
      <c r="B1413" s="15" t="s">
        <v>2586</v>
      </c>
      <c r="C1413" s="15" t="s">
        <v>5</v>
      </c>
      <c r="D1413" s="16" t="s">
        <v>6</v>
      </c>
      <c r="E1413" s="17" t="s">
        <v>7</v>
      </c>
      <c r="F1413" s="18" t="s">
        <v>3728</v>
      </c>
      <c r="G1413" s="19" t="s">
        <v>3729</v>
      </c>
      <c r="H1413" s="20" t="s">
        <v>3797</v>
      </c>
      <c r="I1413" s="3"/>
    </row>
    <row r="1414" spans="1:11" ht="12.75" customHeight="1">
      <c r="A1414" s="21"/>
      <c r="B1414" s="22" t="s">
        <v>3730</v>
      </c>
      <c r="C1414" s="23"/>
      <c r="D1414" s="24"/>
      <c r="E1414" s="25"/>
      <c r="F1414" s="26"/>
      <c r="G1414" s="27">
        <f>SUM(G1415:G1423)</f>
        <v>409955.02101694548</v>
      </c>
      <c r="H1414" s="27">
        <f>IFERROR(G1414*E1412,"")</f>
        <v>0</v>
      </c>
      <c r="I1414" s="3"/>
    </row>
    <row r="1415" spans="1:11" ht="12.75" customHeight="1">
      <c r="A1415" s="28"/>
      <c r="B1415" s="29" t="s">
        <v>3239</v>
      </c>
      <c r="C1415" s="30" t="str">
        <f>IFERROR(_xlfn.XLOOKUP(B1415,Insumo[DESCRIPCION],Insumo[UND],,0),"")</f>
        <v>M3</v>
      </c>
      <c r="D1415" s="31">
        <v>0.1</v>
      </c>
      <c r="E1415" s="32">
        <f>IFERROR(_xlfn.XLOOKUP($B1415,Insumo[DESCRIPCION],Insumo[VALOR],,0),"")</f>
        <v>521159.50227762427</v>
      </c>
      <c r="F1415" s="33">
        <v>5</v>
      </c>
      <c r="G1415" s="34">
        <f t="shared" ref="G1415:G1423" si="12">IFERROR(IF(F1415&gt;=0,D1415*E1415*(1+F1415/100),ABS(D1415*E1415/F1415)),"")</f>
        <v>54721.747739150553</v>
      </c>
      <c r="H1415" s="43">
        <f>IFERROR(G1415*E1412,"")</f>
        <v>0</v>
      </c>
      <c r="I1415" s="3"/>
    </row>
    <row r="1416" spans="1:11" ht="12.75" customHeight="1">
      <c r="A1416" s="28"/>
      <c r="B1416" s="29" t="s">
        <v>2954</v>
      </c>
      <c r="C1416" s="30" t="str">
        <f>IFERROR(_xlfn.XLOOKUP(B1416,Insumo[DESCRIPCION],Insumo[UND],,0),"")</f>
        <v>M2</v>
      </c>
      <c r="D1416" s="31">
        <v>1.3</v>
      </c>
      <c r="E1416" s="32">
        <f>IFERROR(_xlfn.XLOOKUP($B1416,Insumo[DESCRIPCION],Insumo[VALOR],,0),"")</f>
        <v>102154.92581625449</v>
      </c>
      <c r="F1416" s="33"/>
      <c r="G1416" s="34">
        <f t="shared" si="12"/>
        <v>132801.40356113084</v>
      </c>
      <c r="H1416" s="43">
        <f>IFERROR(G1416*E1412,"")</f>
        <v>0</v>
      </c>
      <c r="I1416" s="3"/>
    </row>
    <row r="1417" spans="1:11" ht="12.75" customHeight="1">
      <c r="A1417" s="28"/>
      <c r="B1417" s="29" t="s">
        <v>2653</v>
      </c>
      <c r="C1417" s="30" t="str">
        <f>IFERROR(_xlfn.XLOOKUP(B1417,Insumo[DESCRIPCION],Insumo[UND],,0),"")</f>
        <v>Kg</v>
      </c>
      <c r="D1417" s="31">
        <v>10</v>
      </c>
      <c r="E1417" s="32">
        <f>IFERROR(_xlfn.XLOOKUP($B1417,Insumo[DESCRIPCION],Insumo[VALOR],,0),"")</f>
        <v>5686.8</v>
      </c>
      <c r="F1417" s="33"/>
      <c r="G1417" s="34">
        <f t="shared" si="12"/>
        <v>56868</v>
      </c>
      <c r="H1417" s="43">
        <f>IFERROR(G1417*E1412,"")</f>
        <v>0</v>
      </c>
      <c r="I1417" s="3"/>
    </row>
    <row r="1418" spans="1:11" ht="12.75" customHeight="1">
      <c r="A1418" s="28"/>
      <c r="B1418" s="29" t="s">
        <v>2699</v>
      </c>
      <c r="C1418" s="30" t="str">
        <f>IFERROR(_xlfn.XLOOKUP(B1418,Insumo[DESCRIPCION],Insumo[UND],,0),"")</f>
        <v>Kg</v>
      </c>
      <c r="D1418" s="31">
        <v>0.3</v>
      </c>
      <c r="E1418" s="32">
        <f>IFERROR(_xlfn.XLOOKUP($B1418,Insumo[DESCRIPCION],Insumo[VALOR],,0),"")</f>
        <v>7665</v>
      </c>
      <c r="F1418" s="33"/>
      <c r="G1418" s="34">
        <f t="shared" si="12"/>
        <v>2299.5</v>
      </c>
      <c r="H1418" s="43">
        <f>IFERROR(G1418*E1412,"")</f>
        <v>0</v>
      </c>
      <c r="I1418" s="3"/>
    </row>
    <row r="1419" spans="1:11" ht="12.75" customHeight="1">
      <c r="A1419" s="28"/>
      <c r="B1419" s="29" t="s">
        <v>3021</v>
      </c>
      <c r="C1419" s="30" t="str">
        <f>IFERROR(_xlfn.XLOOKUP(B1419,Insumo[DESCRIPCION],Insumo[UND],,0),"")</f>
        <v>Un</v>
      </c>
      <c r="D1419" s="31">
        <v>55</v>
      </c>
      <c r="E1419" s="32">
        <f>IFERROR(_xlfn.XLOOKUP($B1419,Insumo[DESCRIPCION],Insumo[VALOR],,0),"")</f>
        <v>1022.7</v>
      </c>
      <c r="F1419" s="33">
        <v>5</v>
      </c>
      <c r="G1419" s="34">
        <f t="shared" si="12"/>
        <v>59060.925000000003</v>
      </c>
      <c r="H1419" s="43">
        <f>IFERROR(G1419*E1412,"")</f>
        <v>0</v>
      </c>
      <c r="I1419" s="3"/>
    </row>
    <row r="1420" spans="1:11" ht="12.75" customHeight="1">
      <c r="A1420" s="28"/>
      <c r="B1420" s="29" t="s">
        <v>3236</v>
      </c>
      <c r="C1420" s="30" t="str">
        <f>IFERROR(_xlfn.XLOOKUP(B1420,Insumo[DESCRIPCION],Insumo[UND],,0),"")</f>
        <v>Un</v>
      </c>
      <c r="D1420" s="31">
        <v>0.5</v>
      </c>
      <c r="E1420" s="32">
        <f>IFERROR(_xlfn.XLOOKUP($B1420,Insumo[DESCRIPCION],Insumo[VALOR],,0),"")</f>
        <v>69328.350000000006</v>
      </c>
      <c r="F1420" s="33"/>
      <c r="G1420" s="34">
        <f t="shared" si="12"/>
        <v>34664.175000000003</v>
      </c>
      <c r="H1420" s="43">
        <f>IFERROR(G1420*E1412,"")</f>
        <v>0</v>
      </c>
      <c r="I1420" s="3"/>
    </row>
    <row r="1421" spans="1:11" ht="12.75" customHeight="1">
      <c r="A1421" s="28"/>
      <c r="B1421" s="29" t="s">
        <v>3138</v>
      </c>
      <c r="C1421" s="30" t="str">
        <f>IFERROR(_xlfn.XLOOKUP(B1421,Insumo[DESCRIPCION],Insumo[UND],,0),"")</f>
        <v>M2</v>
      </c>
      <c r="D1421" s="31">
        <v>2</v>
      </c>
      <c r="E1421" s="32">
        <f>IFERROR(_xlfn.XLOOKUP($B1421,Insumo[DESCRIPCION],Insumo[VALOR],,0),"")</f>
        <v>26005.350000000002</v>
      </c>
      <c r="F1421" s="33"/>
      <c r="G1421" s="34">
        <f t="shared" si="12"/>
        <v>52010.700000000004</v>
      </c>
      <c r="H1421" s="43">
        <f>IFERROR(G1421*E1412,"")</f>
        <v>0</v>
      </c>
      <c r="I1421" s="3"/>
    </row>
    <row r="1422" spans="1:11" ht="12.75" customHeight="1">
      <c r="A1422" s="28"/>
      <c r="B1422" s="29" t="s">
        <v>2694</v>
      </c>
      <c r="C1422" s="30" t="str">
        <f>IFERROR(_xlfn.XLOOKUP(B1422,Insumo[DESCRIPCION],Insumo[UND],,0),"")</f>
        <v>M</v>
      </c>
      <c r="D1422" s="31">
        <v>3</v>
      </c>
      <c r="E1422" s="32">
        <f>IFERROR(_xlfn.XLOOKUP($B1422,Insumo[DESCRIPCION],Insumo[VALOR],,0),"")</f>
        <v>865.2</v>
      </c>
      <c r="F1422" s="33"/>
      <c r="G1422" s="34">
        <f t="shared" si="12"/>
        <v>2595.6000000000004</v>
      </c>
      <c r="H1422" s="43">
        <f>IFERROR(G1422*E1412,"")</f>
        <v>0</v>
      </c>
      <c r="I1422" s="3"/>
    </row>
    <row r="1423" spans="1:11" ht="12.75" customHeight="1">
      <c r="A1423" s="28"/>
      <c r="B1423" s="29" t="s">
        <v>3244</v>
      </c>
      <c r="C1423" s="30" t="str">
        <f>IFERROR(_xlfn.XLOOKUP(B1423,Insumo[DESCRIPCION],Insumo[UND],,0),"")</f>
        <v>M3</v>
      </c>
      <c r="D1423" s="31">
        <v>0.03</v>
      </c>
      <c r="E1423" s="32">
        <f>IFERROR(_xlfn.XLOOKUP($B1423,Insumo[DESCRIPCION],Insumo[VALOR],,0),"")</f>
        <v>497765.65722213761</v>
      </c>
      <c r="F1423" s="33"/>
      <c r="G1423" s="34">
        <f t="shared" si="12"/>
        <v>14932.969716664127</v>
      </c>
      <c r="H1423" s="43">
        <f>IFERROR(G1423*E1412,"")</f>
        <v>0</v>
      </c>
      <c r="I1423" s="3"/>
    </row>
    <row r="1424" spans="1:11" ht="12.75" customHeight="1">
      <c r="A1424" s="21"/>
      <c r="B1424" s="22" t="s">
        <v>3731</v>
      </c>
      <c r="C1424" s="23"/>
      <c r="D1424" s="24"/>
      <c r="E1424" s="25"/>
      <c r="F1424" s="26"/>
      <c r="G1424" s="27">
        <f>SUM(G1425:G1427)</f>
        <v>7180.5294957500009</v>
      </c>
      <c r="H1424" s="27">
        <f>IFERROR(G1424*E1412,"")</f>
        <v>0</v>
      </c>
      <c r="I1424" s="3"/>
    </row>
    <row r="1425" spans="1:11" ht="12.75" customHeight="1">
      <c r="A1425" s="28"/>
      <c r="B1425" s="29" t="s">
        <v>3626</v>
      </c>
      <c r="C1425" s="30" t="str">
        <f>IFERROR(_xlfn.XLOOKUP(B1425,Equipo[DESCRIPCION],Equipo[UND],,0),"")</f>
        <v>%MO</v>
      </c>
      <c r="D1425" s="31">
        <v>0.05</v>
      </c>
      <c r="E1425" s="32">
        <f>IF(C1425="%MO",G1431,IFERROR(_xlfn.XLOOKUP($B1425,Equipo[DESCRIPCION],Equipo[VALOR],,0),""))</f>
        <v>143610.58991500002</v>
      </c>
      <c r="F1425" s="33"/>
      <c r="G1425" s="34">
        <f>IFERROR(IF(F1425&gt;=0,D1425*E1425*(1+F1425/100),ABS(D1425*E1425/F1425)),"")</f>
        <v>7180.5294957500009</v>
      </c>
      <c r="H1425" s="43">
        <f>IFERROR(G1425*E1412,"")</f>
        <v>0</v>
      </c>
      <c r="I1425" s="3"/>
    </row>
    <row r="1426" spans="1:11" ht="12.75" customHeight="1">
      <c r="A1426" s="28"/>
      <c r="B1426" s="29"/>
      <c r="C1426" s="30" t="str">
        <f>IFERROR(_xlfn.XLOOKUP(B1426,Equipo[DESCRIPCION],Equipo[UND],,0),"")</f>
        <v/>
      </c>
      <c r="D1426" s="31"/>
      <c r="E1426" s="32" t="str">
        <f>IF(C1426="%MO",G1431,IFERROR(_xlfn.XLOOKUP($B1426,Equipo[DESCRIPCION],Equipo[VALOR],,0),""))</f>
        <v/>
      </c>
      <c r="F1426" s="33"/>
      <c r="G1426" s="34" t="str">
        <f>IFERROR(IF(F1426&gt;=0,D1426*E1426*(1+F1426/100),ABS(D1426*E1426/F1426)),"")</f>
        <v/>
      </c>
      <c r="H1426" s="43" t="str">
        <f>IFERROR(G1426*E1412,"")</f>
        <v/>
      </c>
      <c r="I1426" s="3"/>
    </row>
    <row r="1427" spans="1:11" ht="12.75" customHeight="1">
      <c r="A1427" s="28"/>
      <c r="B1427" s="29"/>
      <c r="C1427" s="30" t="str">
        <f>IFERROR(_xlfn.XLOOKUP(B1427,Equipo[DESCRIPCION],Equipo[UND],,0),"")</f>
        <v/>
      </c>
      <c r="D1427" s="31"/>
      <c r="E1427" s="32" t="str">
        <f>IF(C1427="%MO",G1431,IFERROR(_xlfn.XLOOKUP($B1427,Equipo[DESCRIPCION],Equipo[VALOR],,0),""))</f>
        <v/>
      </c>
      <c r="F1427" s="33"/>
      <c r="G1427" s="34" t="str">
        <f>IFERROR(IF(F1427&gt;=0,D1427*E1427*(1+F1427/100),ABS(D1427*E1427/F1427)),"")</f>
        <v/>
      </c>
      <c r="H1427" s="43" t="str">
        <f>IFERROR(G1427*E1412,"")</f>
        <v/>
      </c>
      <c r="I1427" s="3"/>
    </row>
    <row r="1428" spans="1:11" ht="12.75" customHeight="1">
      <c r="A1428" s="21"/>
      <c r="B1428" s="22" t="s">
        <v>2533</v>
      </c>
      <c r="C1428" s="23"/>
      <c r="D1428" s="24"/>
      <c r="E1428" s="25"/>
      <c r="F1428" s="26"/>
      <c r="G1428" s="27">
        <f>SUM(G1429:G1430)</f>
        <v>0</v>
      </c>
      <c r="H1428" s="27">
        <f>IFERROR(G1428*E1412,"")</f>
        <v>0</v>
      </c>
      <c r="I1428" s="3"/>
    </row>
    <row r="1429" spans="1:11" ht="12.75" customHeight="1">
      <c r="A1429" s="28"/>
      <c r="B1429" s="29"/>
      <c r="C1429" s="30" t="str">
        <f>IFERROR(_xlfn.XLOOKUP(B1429,Transporte[DESCRIPCION],Transporte[UND],,0),"")</f>
        <v/>
      </c>
      <c r="D1429" s="31"/>
      <c r="E1429" s="32" t="str">
        <f>IFERROR(_xlfn.XLOOKUP($B1429,Transporte[DESCRIPCION],Transporte[VALOR],,0),"")</f>
        <v/>
      </c>
      <c r="F1429" s="33"/>
      <c r="G1429" s="34" t="str">
        <f>IFERROR(IF(F1429&gt;=0,D1429*E1429*(1+F1429/100),ABS(D1429*E1429/F1429)),"")</f>
        <v/>
      </c>
      <c r="H1429" s="43" t="str">
        <f>IFERROR(G1429*E1412,"")</f>
        <v/>
      </c>
      <c r="I1429" s="3"/>
    </row>
    <row r="1430" spans="1:11" ht="12.75" customHeight="1">
      <c r="A1430" s="28"/>
      <c r="B1430" s="29"/>
      <c r="C1430" s="30" t="str">
        <f>IFERROR(_xlfn.XLOOKUP(B1430,Transporte[DESCRIPCION],Transporte[UND],,0),"")</f>
        <v/>
      </c>
      <c r="D1430" s="31"/>
      <c r="E1430" s="32" t="str">
        <f>IFERROR(_xlfn.XLOOKUP($B1430,Transporte[DESCRIPCION],Transporte[VALOR],,0),"")</f>
        <v/>
      </c>
      <c r="F1430" s="33"/>
      <c r="G1430" s="34" t="str">
        <f>IFERROR(IF(F1430&gt;=0,D1430*E1430*(1+F1430/100),ABS(D1430*E1430/F1430)),"")</f>
        <v/>
      </c>
      <c r="H1430" s="43" t="str">
        <f>IFERROR(G1430*E1412,"")</f>
        <v/>
      </c>
      <c r="I1430" s="3"/>
    </row>
    <row r="1431" spans="1:11" ht="12.75" customHeight="1">
      <c r="A1431" s="21"/>
      <c r="B1431" s="22" t="s">
        <v>3732</v>
      </c>
      <c r="C1431" s="23"/>
      <c r="D1431" s="24"/>
      <c r="E1431" s="25"/>
      <c r="F1431" s="26"/>
      <c r="G1431" s="27">
        <f>SUM(G1432:G1434)</f>
        <v>143610.58991500002</v>
      </c>
      <c r="H1431" s="27">
        <f>IFERROR(G1431*E1412,"")</f>
        <v>0</v>
      </c>
      <c r="I1431" s="3"/>
    </row>
    <row r="1432" spans="1:11" ht="12.75" customHeight="1">
      <c r="A1432" s="28"/>
      <c r="B1432" s="29" t="s">
        <v>3711</v>
      </c>
      <c r="C1432" s="30" t="str">
        <f>IFERROR(_xlfn.XLOOKUP(B1432,MObra[DESCRIPCION],MObra[UN],,0),"")</f>
        <v>día</v>
      </c>
      <c r="D1432" s="31">
        <v>1</v>
      </c>
      <c r="E1432" s="32">
        <f>IFERROR(_xlfn.XLOOKUP($B1432,MObra[DESCRIPCION],MObra[VALOR UNIT],,0),"")</f>
        <v>430831.76974500006</v>
      </c>
      <c r="F1432" s="33">
        <v>-3</v>
      </c>
      <c r="G1432" s="34">
        <f>IFERROR(IF(F1432&gt;=0,D1432*E1432*(1+F1432/100),ABS(D1432*E1432/F1432)),"")</f>
        <v>143610.58991500002</v>
      </c>
      <c r="H1432" s="43">
        <f>IFERROR(G1432*E1412,"")</f>
        <v>0</v>
      </c>
      <c r="I1432" s="3"/>
    </row>
    <row r="1433" spans="1:11" ht="12.75" customHeight="1">
      <c r="A1433" s="28"/>
      <c r="B1433" s="29"/>
      <c r="C1433" s="30" t="str">
        <f>IFERROR(_xlfn.XLOOKUP(B1433,MObra[DESCRIPCION],MObra[UN],,0),"")</f>
        <v/>
      </c>
      <c r="D1433" s="31"/>
      <c r="E1433" s="32" t="str">
        <f>IFERROR(_xlfn.XLOOKUP($B1433,MObra[DESCRIPCION],MObra[VALOR UNIT],,0),"")</f>
        <v/>
      </c>
      <c r="F1433" s="33"/>
      <c r="G1433" s="34" t="str">
        <f>IFERROR(IF(F1433&gt;=0,D1433*E1433*(1+F1433/100),ABS(D1433*E1433/F1433)),"")</f>
        <v/>
      </c>
      <c r="H1433" s="43" t="str">
        <f>IFERROR(G1433*E1412,"")</f>
        <v/>
      </c>
      <c r="I1433" s="3"/>
    </row>
    <row r="1434" spans="1:11" ht="12.75" customHeight="1" thickBot="1">
      <c r="A1434" s="35"/>
      <c r="B1434" s="36"/>
      <c r="C1434" s="37" t="str">
        <f>IFERROR(_xlfn.XLOOKUP(B1434,MObra[DESCRIPCION],MObra[UN],,0),"")</f>
        <v/>
      </c>
      <c r="D1434" s="38"/>
      <c r="E1434" s="39" t="str">
        <f>IFERROR(_xlfn.XLOOKUP($B1434,MObra[DESCRIPCION],MObra[VALOR UNIT],,0),"")</f>
        <v/>
      </c>
      <c r="F1434" s="40"/>
      <c r="G1434" s="41" t="str">
        <f>IFERROR(IF(F1434&gt;=0,D1434*E1434*(1+F1434/100),ABS(D1434*E1434/F1434)),"")</f>
        <v/>
      </c>
      <c r="H1434" s="42" t="str">
        <f>IFERROR(G1434*E1412,"")</f>
        <v/>
      </c>
      <c r="I1434" s="3"/>
    </row>
    <row r="1435" spans="1:11" ht="12.75" customHeight="1" thickTop="1" thickBot="1">
      <c r="I1435" s="3"/>
    </row>
    <row r="1436" spans="1:11" ht="12.75" customHeight="1" thickTop="1" thickBot="1">
      <c r="A1436" s="6" t="s">
        <v>1699</v>
      </c>
      <c r="B1436" s="7" t="str">
        <f>VLOOKUP($A1436,Presupuesto!$A:$D,2,FALSE())</f>
        <v>Cerramiento muro ladrillo visto + malla eslabonada + tubo galvanizado</v>
      </c>
      <c r="C1436" s="8" t="str">
        <f>VLOOKUP($A1436,Presupuesto!$A:$D,3,FALSE())</f>
        <v>M</v>
      </c>
      <c r="D1436" s="9"/>
      <c r="E1436" s="10">
        <f>VLOOKUP($A1436,Presupuesto!$A:$D,4,FALSE())</f>
        <v>0</v>
      </c>
      <c r="F1436" s="11" t="s">
        <v>2589</v>
      </c>
      <c r="G1436" s="12">
        <f>SUM(G1438:G1460)/2</f>
        <v>724014.49650807062</v>
      </c>
      <c r="H1436" s="13">
        <f>ROUND(SUM(H1438:H1460),0)/2</f>
        <v>0</v>
      </c>
      <c r="I1436" s="10">
        <f>VLOOKUP(A1436,Presupuesto!$A:$F,6,0)</f>
        <v>0</v>
      </c>
      <c r="J1436" s="10">
        <f>+H1436-I1436</f>
        <v>0</v>
      </c>
      <c r="K1436" s="46">
        <f>+H1436-G1436*E1436</f>
        <v>0</v>
      </c>
    </row>
    <row r="1437" spans="1:11" ht="12.75" customHeight="1" thickTop="1">
      <c r="A1437" s="14"/>
      <c r="B1437" s="15" t="s">
        <v>2586</v>
      </c>
      <c r="C1437" s="15" t="s">
        <v>5</v>
      </c>
      <c r="D1437" s="16" t="s">
        <v>6</v>
      </c>
      <c r="E1437" s="17" t="s">
        <v>7</v>
      </c>
      <c r="F1437" s="18" t="s">
        <v>3728</v>
      </c>
      <c r="G1437" s="19" t="s">
        <v>3729</v>
      </c>
      <c r="H1437" s="20" t="s">
        <v>3797</v>
      </c>
      <c r="I1437" s="3"/>
    </row>
    <row r="1438" spans="1:11" ht="12.75" customHeight="1">
      <c r="A1438" s="21"/>
      <c r="B1438" s="22" t="s">
        <v>3730</v>
      </c>
      <c r="C1438" s="23"/>
      <c r="D1438" s="24"/>
      <c r="E1438" s="25"/>
      <c r="F1438" s="26"/>
      <c r="G1438" s="27">
        <f>SUM(G1439:G1449)</f>
        <v>449694.76739194553</v>
      </c>
      <c r="H1438" s="27">
        <f>IFERROR(G1438*E1436,"")</f>
        <v>0</v>
      </c>
      <c r="I1438" s="3"/>
    </row>
    <row r="1439" spans="1:11" ht="12.75" customHeight="1">
      <c r="A1439" s="28"/>
      <c r="B1439" s="29" t="s">
        <v>3239</v>
      </c>
      <c r="C1439" s="30" t="str">
        <f>IFERROR(_xlfn.XLOOKUP(B1439,Insumo[DESCRIPCION],Insumo[UND],,0),"")</f>
        <v>M3</v>
      </c>
      <c r="D1439" s="31">
        <v>0.1</v>
      </c>
      <c r="E1439" s="32">
        <f>IFERROR(_xlfn.XLOOKUP($B1439,Insumo[DESCRIPCION],Insumo[VALOR],,0),"")</f>
        <v>521159.50227762427</v>
      </c>
      <c r="F1439" s="33">
        <v>5</v>
      </c>
      <c r="G1439" s="34">
        <f t="shared" ref="G1439:G1449" si="13">IFERROR(IF(F1439&gt;=0,D1439*E1439*(1+F1439/100),ABS(D1439*E1439/F1439)),"")</f>
        <v>54721.747739150553</v>
      </c>
      <c r="H1439" s="43">
        <f>IFERROR(G1439*E1436,"")</f>
        <v>0</v>
      </c>
      <c r="I1439" s="3"/>
    </row>
    <row r="1440" spans="1:11" ht="12.75" customHeight="1">
      <c r="A1440" s="28"/>
      <c r="B1440" s="29" t="s">
        <v>2954</v>
      </c>
      <c r="C1440" s="30" t="str">
        <f>IFERROR(_xlfn.XLOOKUP(B1440,Insumo[DESCRIPCION],Insumo[UND],,0),"")</f>
        <v>M2</v>
      </c>
      <c r="D1440" s="31">
        <v>1.3</v>
      </c>
      <c r="E1440" s="32">
        <f>IFERROR(_xlfn.XLOOKUP($B1440,Insumo[DESCRIPCION],Insumo[VALOR],,0),"")</f>
        <v>102154.92581625449</v>
      </c>
      <c r="F1440" s="33"/>
      <c r="G1440" s="34">
        <f t="shared" si="13"/>
        <v>132801.40356113084</v>
      </c>
      <c r="H1440" s="43">
        <f>IFERROR(G1440*E1436,"")</f>
        <v>0</v>
      </c>
      <c r="I1440" s="3"/>
    </row>
    <row r="1441" spans="1:9" ht="12.75" customHeight="1">
      <c r="A1441" s="28"/>
      <c r="B1441" s="29" t="s">
        <v>2653</v>
      </c>
      <c r="C1441" s="30" t="str">
        <f>IFERROR(_xlfn.XLOOKUP(B1441,Insumo[DESCRIPCION],Insumo[UND],,0),"")</f>
        <v>Kg</v>
      </c>
      <c r="D1441" s="31">
        <v>10</v>
      </c>
      <c r="E1441" s="32">
        <f>IFERROR(_xlfn.XLOOKUP($B1441,Insumo[DESCRIPCION],Insumo[VALOR],,0),"")</f>
        <v>5686.8</v>
      </c>
      <c r="F1441" s="33"/>
      <c r="G1441" s="34">
        <f t="shared" si="13"/>
        <v>56868</v>
      </c>
      <c r="H1441" s="43">
        <f>IFERROR(G1441*E1436,"")</f>
        <v>0</v>
      </c>
      <c r="I1441" s="3"/>
    </row>
    <row r="1442" spans="1:9" ht="12.75" customHeight="1">
      <c r="A1442" s="28"/>
      <c r="B1442" s="29" t="s">
        <v>2699</v>
      </c>
      <c r="C1442" s="30" t="str">
        <f>IFERROR(_xlfn.XLOOKUP(B1442,Insumo[DESCRIPCION],Insumo[UND],,0),"")</f>
        <v>Kg</v>
      </c>
      <c r="D1442" s="31">
        <v>0.3</v>
      </c>
      <c r="E1442" s="32">
        <f>IFERROR(_xlfn.XLOOKUP($B1442,Insumo[DESCRIPCION],Insumo[VALOR],,0),"")</f>
        <v>7665</v>
      </c>
      <c r="F1442" s="33"/>
      <c r="G1442" s="34">
        <f t="shared" si="13"/>
        <v>2299.5</v>
      </c>
      <c r="H1442" s="43">
        <f>IFERROR(G1442*E1436,"")</f>
        <v>0</v>
      </c>
      <c r="I1442" s="3"/>
    </row>
    <row r="1443" spans="1:9" ht="12.75" customHeight="1">
      <c r="A1443" s="28"/>
      <c r="B1443" s="29" t="s">
        <v>3021</v>
      </c>
      <c r="C1443" s="30" t="str">
        <f>IFERROR(_xlfn.XLOOKUP(B1443,Insumo[DESCRIPCION],Insumo[UND],,0),"")</f>
        <v>Un</v>
      </c>
      <c r="D1443" s="31">
        <v>55</v>
      </c>
      <c r="E1443" s="32">
        <f>IFERROR(_xlfn.XLOOKUP($B1443,Insumo[DESCRIPCION],Insumo[VALOR],,0),"")</f>
        <v>1022.7</v>
      </c>
      <c r="F1443" s="33">
        <v>5</v>
      </c>
      <c r="G1443" s="34">
        <f t="shared" si="13"/>
        <v>59060.925000000003</v>
      </c>
      <c r="H1443" s="43">
        <f>IFERROR(G1443*E1436,"")</f>
        <v>0</v>
      </c>
      <c r="I1443" s="3"/>
    </row>
    <row r="1444" spans="1:9" ht="12.75" customHeight="1">
      <c r="A1444" s="28"/>
      <c r="B1444" s="29" t="s">
        <v>3449</v>
      </c>
      <c r="C1444" s="30" t="str">
        <f>IFERROR(_xlfn.XLOOKUP(B1444,Insumo[DESCRIPCION],Insumo[UND],,0),"")</f>
        <v>M</v>
      </c>
      <c r="D1444" s="31">
        <v>1.5</v>
      </c>
      <c r="E1444" s="32">
        <f>IFERROR(_xlfn.XLOOKUP($B1444,Insumo[DESCRIPCION],Insumo[VALOR],,0),"")</f>
        <v>21998.025000000001</v>
      </c>
      <c r="F1444" s="33">
        <v>5</v>
      </c>
      <c r="G1444" s="34">
        <f t="shared" si="13"/>
        <v>34646.889375000006</v>
      </c>
      <c r="H1444" s="43">
        <f>IFERROR(G1444*E1436,"")</f>
        <v>0</v>
      </c>
      <c r="I1444" s="3"/>
    </row>
    <row r="1445" spans="1:9" ht="12.75" customHeight="1">
      <c r="A1445" s="28"/>
      <c r="B1445" s="29" t="s">
        <v>3326</v>
      </c>
      <c r="C1445" s="30" t="str">
        <f>IFERROR(_xlfn.XLOOKUP(B1445,Insumo[DESCRIPCION],Insumo[UND],,0),"")</f>
        <v>Kg</v>
      </c>
      <c r="D1445" s="31">
        <v>2.5</v>
      </c>
      <c r="E1445" s="32">
        <f>IFERROR(_xlfn.XLOOKUP($B1445,Insumo[DESCRIPCION],Insumo[VALOR],,0),"")</f>
        <v>5978.7</v>
      </c>
      <c r="F1445" s="33"/>
      <c r="G1445" s="34">
        <f t="shared" si="13"/>
        <v>14946.75</v>
      </c>
      <c r="H1445" s="43">
        <f>IFERROR(G1445*E1436,"")</f>
        <v>0</v>
      </c>
      <c r="I1445" s="3"/>
    </row>
    <row r="1446" spans="1:9" ht="12.75" customHeight="1">
      <c r="A1446" s="28"/>
      <c r="B1446" s="29" t="s">
        <v>3138</v>
      </c>
      <c r="C1446" s="30" t="str">
        <f>IFERROR(_xlfn.XLOOKUP(B1446,Insumo[DESCRIPCION],Insumo[UND],,0),"")</f>
        <v>M2</v>
      </c>
      <c r="D1446" s="31">
        <v>2</v>
      </c>
      <c r="E1446" s="32">
        <f>IFERROR(_xlfn.XLOOKUP($B1446,Insumo[DESCRIPCION],Insumo[VALOR],,0),"")</f>
        <v>26005.350000000002</v>
      </c>
      <c r="F1446" s="33"/>
      <c r="G1446" s="34">
        <f t="shared" si="13"/>
        <v>52010.700000000004</v>
      </c>
      <c r="H1446" s="43">
        <f>IFERROR(G1446*E1436,"")</f>
        <v>0</v>
      </c>
      <c r="I1446" s="3"/>
    </row>
    <row r="1447" spans="1:9" ht="12.75" customHeight="1">
      <c r="A1447" s="28"/>
      <c r="B1447" s="29" t="s">
        <v>2694</v>
      </c>
      <c r="C1447" s="30" t="str">
        <f>IFERROR(_xlfn.XLOOKUP(B1447,Insumo[DESCRIPCION],Insumo[UND],,0),"")</f>
        <v>M</v>
      </c>
      <c r="D1447" s="31">
        <v>3</v>
      </c>
      <c r="E1447" s="32">
        <f>IFERROR(_xlfn.XLOOKUP($B1447,Insumo[DESCRIPCION],Insumo[VALOR],,0),"")</f>
        <v>865.2</v>
      </c>
      <c r="F1447" s="33"/>
      <c r="G1447" s="34">
        <f t="shared" si="13"/>
        <v>2595.6000000000004</v>
      </c>
      <c r="H1447" s="43">
        <f>IFERROR(G1447*E1436,"")</f>
        <v>0</v>
      </c>
      <c r="I1447" s="3"/>
    </row>
    <row r="1448" spans="1:9" ht="12.75" customHeight="1">
      <c r="A1448" s="28"/>
      <c r="B1448" s="29" t="s">
        <v>3244</v>
      </c>
      <c r="C1448" s="30" t="str">
        <f>IFERROR(_xlfn.XLOOKUP(B1448,Insumo[DESCRIPCION],Insumo[UND],,0),"")</f>
        <v>M3</v>
      </c>
      <c r="D1448" s="31">
        <v>0.03</v>
      </c>
      <c r="E1448" s="32">
        <f>IFERROR(_xlfn.XLOOKUP($B1448,Insumo[DESCRIPCION],Insumo[VALOR],,0),"")</f>
        <v>497765.65722213761</v>
      </c>
      <c r="F1448" s="33"/>
      <c r="G1448" s="34">
        <f t="shared" si="13"/>
        <v>14932.969716664127</v>
      </c>
      <c r="H1448" s="43">
        <f>IFERROR(G1448*E1436,"")</f>
        <v>0</v>
      </c>
      <c r="I1448" s="3"/>
    </row>
    <row r="1449" spans="1:9" ht="12.75" customHeight="1">
      <c r="A1449" s="28"/>
      <c r="B1449" s="29" t="s">
        <v>3557</v>
      </c>
      <c r="C1449" s="30" t="str">
        <f>IFERROR(_xlfn.XLOOKUP(B1449,Insumo[DESCRIPCION],Insumo[UND],,0),"")</f>
        <v>galón</v>
      </c>
      <c r="D1449" s="31">
        <v>0.12</v>
      </c>
      <c r="E1449" s="32">
        <f>IFERROR(_xlfn.XLOOKUP($B1449,Insumo[DESCRIPCION],Insumo[VALOR],,0),"")</f>
        <v>206752.35</v>
      </c>
      <c r="F1449" s="33"/>
      <c r="G1449" s="34">
        <f t="shared" si="13"/>
        <v>24810.281999999999</v>
      </c>
      <c r="H1449" s="43">
        <f>IFERROR(G1449*E1436,"")</f>
        <v>0</v>
      </c>
      <c r="I1449" s="3"/>
    </row>
    <row r="1450" spans="1:9" ht="12.75" customHeight="1">
      <c r="A1450" s="21"/>
      <c r="B1450" s="22" t="s">
        <v>3731</v>
      </c>
      <c r="C1450" s="23"/>
      <c r="D1450" s="24"/>
      <c r="E1450" s="25"/>
      <c r="F1450" s="26"/>
      <c r="G1450" s="27">
        <f>SUM(G1451:G1453)</f>
        <v>58903.844243625004</v>
      </c>
      <c r="H1450" s="27">
        <f>IFERROR(G1450*E1436,"")</f>
        <v>0</v>
      </c>
      <c r="I1450" s="3"/>
    </row>
    <row r="1451" spans="1:9" ht="12.75" customHeight="1">
      <c r="A1451" s="28"/>
      <c r="B1451" s="29" t="s">
        <v>3613</v>
      </c>
      <c r="C1451" s="30" t="str">
        <f>IFERROR(_xlfn.XLOOKUP(B1451,Equipo[DESCRIPCION],Equipo[UND],,0),"")</f>
        <v>Día</v>
      </c>
      <c r="D1451" s="31">
        <v>1</v>
      </c>
      <c r="E1451" s="32">
        <f>IF(C1451="%MO",G1457,IFERROR(_xlfn.XLOOKUP($B1451,Equipo[DESCRIPCION],Equipo[VALOR],,0),""))</f>
        <v>48133.05</v>
      </c>
      <c r="F1451" s="33">
        <v>-1</v>
      </c>
      <c r="G1451" s="34">
        <f>IFERROR(IF(F1451&gt;=0,D1451*E1451*(1+F1451/100),ABS(D1451*E1451/F1451)),"")</f>
        <v>48133.05</v>
      </c>
      <c r="H1451" s="43">
        <f>IFERROR(G1451*E1436,"")</f>
        <v>0</v>
      </c>
      <c r="I1451" s="3"/>
    </row>
    <row r="1452" spans="1:9" ht="12.75" customHeight="1">
      <c r="A1452" s="28"/>
      <c r="B1452" s="29" t="s">
        <v>3626</v>
      </c>
      <c r="C1452" s="30" t="str">
        <f>IFERROR(_xlfn.XLOOKUP(B1452,Equipo[DESCRIPCION],Equipo[UND],,0),"")</f>
        <v>%MO</v>
      </c>
      <c r="D1452" s="31">
        <v>0.05</v>
      </c>
      <c r="E1452" s="32">
        <f>IF(C1452="%MO",G1457,IFERROR(_xlfn.XLOOKUP($B1452,Equipo[DESCRIPCION],Equipo[VALOR],,0),""))</f>
        <v>215415.88487250003</v>
      </c>
      <c r="F1452" s="33"/>
      <c r="G1452" s="34">
        <f>IFERROR(IF(F1452&gt;=0,D1452*E1452*(1+F1452/100),ABS(D1452*E1452/F1452)),"")</f>
        <v>10770.794243625001</v>
      </c>
      <c r="H1452" s="43">
        <f>IFERROR(G1452*E1436,"")</f>
        <v>0</v>
      </c>
      <c r="I1452" s="3"/>
    </row>
    <row r="1453" spans="1:9" ht="12.75" customHeight="1">
      <c r="A1453" s="28"/>
      <c r="B1453" s="29"/>
      <c r="C1453" s="30" t="str">
        <f>IFERROR(_xlfn.XLOOKUP(B1453,Equipo[DESCRIPCION],Equipo[UND],,0),"")</f>
        <v/>
      </c>
      <c r="D1453" s="31"/>
      <c r="E1453" s="32" t="str">
        <f>IF(C1453="%MO",G1457,IFERROR(_xlfn.XLOOKUP($B1453,Equipo[DESCRIPCION],Equipo[VALOR],,0),""))</f>
        <v/>
      </c>
      <c r="F1453" s="33"/>
      <c r="G1453" s="34" t="str">
        <f>IFERROR(IF(F1453&gt;=0,D1453*E1453*(1+F1453/100),ABS(D1453*E1453/F1453)),"")</f>
        <v/>
      </c>
      <c r="H1453" s="43" t="str">
        <f>IFERROR(G1453*E1436,"")</f>
        <v/>
      </c>
      <c r="I1453" s="3"/>
    </row>
    <row r="1454" spans="1:9" ht="12.75" customHeight="1">
      <c r="A1454" s="21"/>
      <c r="B1454" s="22" t="s">
        <v>2533</v>
      </c>
      <c r="C1454" s="23"/>
      <c r="D1454" s="24"/>
      <c r="E1454" s="25"/>
      <c r="F1454" s="26"/>
      <c r="G1454" s="27">
        <f>SUM(G1455:G1456)</f>
        <v>0</v>
      </c>
      <c r="H1454" s="27">
        <f>IFERROR(G1454*E1436,"")</f>
        <v>0</v>
      </c>
      <c r="I1454" s="3"/>
    </row>
    <row r="1455" spans="1:9" ht="12.75" customHeight="1">
      <c r="A1455" s="28"/>
      <c r="B1455" s="29"/>
      <c r="C1455" s="30" t="str">
        <f>IFERROR(_xlfn.XLOOKUP(B1455,Transporte[DESCRIPCION],Transporte[UND],,0),"")</f>
        <v/>
      </c>
      <c r="D1455" s="31"/>
      <c r="E1455" s="32" t="str">
        <f>IFERROR(_xlfn.XLOOKUP($B1455,Transporte[DESCRIPCION],Transporte[VALOR],,0),"")</f>
        <v/>
      </c>
      <c r="F1455" s="33"/>
      <c r="G1455" s="34" t="str">
        <f>IFERROR(IF(F1455&gt;=0,D1455*E1455*(1+F1455/100),ABS(D1455*E1455/F1455)),"")</f>
        <v/>
      </c>
      <c r="H1455" s="43" t="str">
        <f>IFERROR(G1455*E1436,"")</f>
        <v/>
      </c>
      <c r="I1455" s="3"/>
    </row>
    <row r="1456" spans="1:9" ht="12.75" customHeight="1">
      <c r="A1456" s="28"/>
      <c r="B1456" s="29"/>
      <c r="C1456" s="30" t="str">
        <f>IFERROR(_xlfn.XLOOKUP(B1456,Transporte[DESCRIPCION],Transporte[UND],,0),"")</f>
        <v/>
      </c>
      <c r="D1456" s="31"/>
      <c r="E1456" s="32" t="str">
        <f>IFERROR(_xlfn.XLOOKUP($B1456,Transporte[DESCRIPCION],Transporte[VALOR],,0),"")</f>
        <v/>
      </c>
      <c r="F1456" s="33"/>
      <c r="G1456" s="34" t="str">
        <f>IFERROR(IF(F1456&gt;=0,D1456*E1456*(1+F1456/100),ABS(D1456*E1456/F1456)),"")</f>
        <v/>
      </c>
      <c r="H1456" s="43" t="str">
        <f>IFERROR(G1456*E1436,"")</f>
        <v/>
      </c>
      <c r="I1456" s="3"/>
    </row>
    <row r="1457" spans="1:11" ht="12.75" customHeight="1">
      <c r="A1457" s="21"/>
      <c r="B1457" s="22" t="s">
        <v>3732</v>
      </c>
      <c r="C1457" s="23"/>
      <c r="D1457" s="24"/>
      <c r="E1457" s="25"/>
      <c r="F1457" s="26"/>
      <c r="G1457" s="27">
        <f>SUM(G1458:G1460)</f>
        <v>215415.88487250003</v>
      </c>
      <c r="H1457" s="27">
        <f>IFERROR(G1457*E1436,"")</f>
        <v>0</v>
      </c>
      <c r="I1457" s="3"/>
    </row>
    <row r="1458" spans="1:11" ht="12.75" customHeight="1">
      <c r="A1458" s="28"/>
      <c r="B1458" s="29" t="s">
        <v>3711</v>
      </c>
      <c r="C1458" s="30" t="str">
        <f>IFERROR(_xlfn.XLOOKUP(B1458,MObra[DESCRIPCION],MObra[UN],,0),"")</f>
        <v>día</v>
      </c>
      <c r="D1458" s="31">
        <v>1</v>
      </c>
      <c r="E1458" s="32">
        <f>IFERROR(_xlfn.XLOOKUP($B1458,MObra[DESCRIPCION],MObra[VALOR UNIT],,0),"")</f>
        <v>430831.76974500006</v>
      </c>
      <c r="F1458" s="33">
        <v>-2</v>
      </c>
      <c r="G1458" s="34">
        <f>IFERROR(IF(F1458&gt;=0,D1458*E1458*(1+F1458/100),ABS(D1458*E1458/F1458)),"")</f>
        <v>215415.88487250003</v>
      </c>
      <c r="H1458" s="43">
        <f>IFERROR(G1458*E1436,"")</f>
        <v>0</v>
      </c>
      <c r="I1458" s="3"/>
    </row>
    <row r="1459" spans="1:11" ht="12.75" customHeight="1">
      <c r="A1459" s="28"/>
      <c r="B1459" s="29"/>
      <c r="C1459" s="30" t="str">
        <f>IFERROR(_xlfn.XLOOKUP(B1459,MObra[DESCRIPCION],MObra[UN],,0),"")</f>
        <v/>
      </c>
      <c r="D1459" s="31"/>
      <c r="E1459" s="32" t="str">
        <f>IFERROR(_xlfn.XLOOKUP($B1459,MObra[DESCRIPCION],MObra[VALOR UNIT],,0),"")</f>
        <v/>
      </c>
      <c r="F1459" s="33"/>
      <c r="G1459" s="34" t="str">
        <f>IFERROR(IF(F1459&gt;=0,D1459*E1459*(1+F1459/100),ABS(D1459*E1459/F1459)),"")</f>
        <v/>
      </c>
      <c r="H1459" s="43" t="str">
        <f>IFERROR(G1459*E1436,"")</f>
        <v/>
      </c>
      <c r="I1459" s="3"/>
    </row>
    <row r="1460" spans="1:11" ht="12.75" customHeight="1" thickBot="1">
      <c r="A1460" s="35"/>
      <c r="B1460" s="36"/>
      <c r="C1460" s="37" t="str">
        <f>IFERROR(_xlfn.XLOOKUP(B1460,MObra[DESCRIPCION],MObra[UN],,0),"")</f>
        <v/>
      </c>
      <c r="D1460" s="38"/>
      <c r="E1460" s="39" t="str">
        <f>IFERROR(_xlfn.XLOOKUP($B1460,MObra[DESCRIPCION],MObra[VALOR UNIT],,0),"")</f>
        <v/>
      </c>
      <c r="F1460" s="40"/>
      <c r="G1460" s="41" t="str">
        <f>IFERROR(IF(F1460&gt;=0,D1460*E1460*(1+F1460/100),ABS(D1460*E1460/F1460)),"")</f>
        <v/>
      </c>
      <c r="H1460" s="42" t="str">
        <f>IFERROR(G1460*E1436,"")</f>
        <v/>
      </c>
      <c r="I1460" s="3"/>
    </row>
    <row r="1461" spans="1:11" ht="12.75" customHeight="1" thickTop="1" thickBot="1">
      <c r="I1461" s="3"/>
    </row>
    <row r="1462" spans="1:11" ht="12.75" customHeight="1" thickTop="1" thickBot="1">
      <c r="A1462" s="6" t="s">
        <v>1701</v>
      </c>
      <c r="B1462" s="7" t="str">
        <f>VLOOKUP($A1462,Presupuesto!$A:$D,2,FALSE())</f>
        <v>Cerramiento poste concreto + alambre púa 7 hilos</v>
      </c>
      <c r="C1462" s="8" t="str">
        <f>VLOOKUP($A1462,Presupuesto!$A:$D,3,FALSE())</f>
        <v>M</v>
      </c>
      <c r="D1462" s="9"/>
      <c r="E1462" s="10">
        <f>VLOOKUP($A1462,Presupuesto!$A:$D,4,FALSE())</f>
        <v>0</v>
      </c>
      <c r="F1462" s="11" t="s">
        <v>2589</v>
      </c>
      <c r="G1462" s="12">
        <f>SUM(G1464:G1480)/2</f>
        <v>167173.8621349952</v>
      </c>
      <c r="H1462" s="13">
        <f>ROUND(SUM(H1464:H1480),0)/2</f>
        <v>0</v>
      </c>
      <c r="I1462" s="10">
        <f>VLOOKUP(A1462,Presupuesto!$A:$F,6,0)</f>
        <v>0</v>
      </c>
      <c r="J1462" s="10">
        <f>+H1462-I1462</f>
        <v>0</v>
      </c>
      <c r="K1462" s="46">
        <f>+H1462-G1462*E1462</f>
        <v>0</v>
      </c>
    </row>
    <row r="1463" spans="1:11" ht="12.75" customHeight="1" thickTop="1">
      <c r="A1463" s="14"/>
      <c r="B1463" s="15" t="s">
        <v>2586</v>
      </c>
      <c r="C1463" s="15" t="s">
        <v>5</v>
      </c>
      <c r="D1463" s="16" t="s">
        <v>6</v>
      </c>
      <c r="E1463" s="17" t="s">
        <v>7</v>
      </c>
      <c r="F1463" s="18" t="s">
        <v>3728</v>
      </c>
      <c r="G1463" s="19" t="s">
        <v>3729</v>
      </c>
      <c r="H1463" s="20" t="s">
        <v>3797</v>
      </c>
      <c r="I1463" s="3"/>
    </row>
    <row r="1464" spans="1:11" ht="12.75" customHeight="1">
      <c r="A1464" s="21"/>
      <c r="B1464" s="22" t="s">
        <v>3730</v>
      </c>
      <c r="C1464" s="23"/>
      <c r="D1464" s="24"/>
      <c r="E1464" s="25"/>
      <c r="F1464" s="26"/>
      <c r="G1464" s="27">
        <f>SUM(G1465:G1469)</f>
        <v>57137.099321745169</v>
      </c>
      <c r="H1464" s="27">
        <f>IFERROR(G1464*E1462,"")</f>
        <v>0</v>
      </c>
      <c r="I1464" s="3"/>
    </row>
    <row r="1465" spans="1:11" ht="12.75" customHeight="1">
      <c r="A1465" s="28"/>
      <c r="B1465" s="29" t="s">
        <v>3239</v>
      </c>
      <c r="C1465" s="30" t="str">
        <f>IFERROR(_xlfn.XLOOKUP(B1465,Insumo[DESCRIPCION],Insumo[UND],,0),"")</f>
        <v>M3</v>
      </c>
      <c r="D1465" s="31">
        <v>0.03</v>
      </c>
      <c r="E1465" s="32">
        <f>IFERROR(_xlfn.XLOOKUP($B1465,Insumo[DESCRIPCION],Insumo[VALOR],,0),"")</f>
        <v>521159.50227762427</v>
      </c>
      <c r="F1465" s="33">
        <v>5</v>
      </c>
      <c r="G1465" s="34">
        <f>IFERROR(IF(F1465&gt;=0,D1465*E1465*(1+F1465/100),ABS(D1465*E1465/F1465)),"")</f>
        <v>16416.524321745164</v>
      </c>
      <c r="H1465" s="43">
        <f>IFERROR(G1465*E1462,"")</f>
        <v>0</v>
      </c>
      <c r="I1465" s="3"/>
    </row>
    <row r="1466" spans="1:11" ht="12.75" customHeight="1">
      <c r="A1466" s="28"/>
      <c r="B1466" s="29" t="s">
        <v>3236</v>
      </c>
      <c r="C1466" s="30" t="str">
        <f>IFERROR(_xlfn.XLOOKUP(B1466,Insumo[DESCRIPCION],Insumo[UND],,0),"")</f>
        <v>Un</v>
      </c>
      <c r="D1466" s="31">
        <v>0.5</v>
      </c>
      <c r="E1466" s="32">
        <f>IFERROR(_xlfn.XLOOKUP($B1466,Insumo[DESCRIPCION],Insumo[VALOR],,0),"")</f>
        <v>69328.350000000006</v>
      </c>
      <c r="F1466" s="33"/>
      <c r="G1466" s="34">
        <f>IFERROR(IF(F1466&gt;=0,D1466*E1466*(1+F1466/100),ABS(D1466*E1466/F1466)),"")</f>
        <v>34664.175000000003</v>
      </c>
      <c r="H1466" s="43">
        <f>IFERROR(G1466*E1462,"")</f>
        <v>0</v>
      </c>
      <c r="I1466" s="3"/>
    </row>
    <row r="1467" spans="1:11" ht="12.75" customHeight="1">
      <c r="A1467" s="28"/>
      <c r="B1467" s="29" t="s">
        <v>2694</v>
      </c>
      <c r="C1467" s="30" t="str">
        <f>IFERROR(_xlfn.XLOOKUP(B1467,Insumo[DESCRIPCION],Insumo[UND],,0),"")</f>
        <v>M</v>
      </c>
      <c r="D1467" s="31">
        <v>7</v>
      </c>
      <c r="E1467" s="32">
        <f>IFERROR(_xlfn.XLOOKUP($B1467,Insumo[DESCRIPCION],Insumo[VALOR],,0),"")</f>
        <v>865.2</v>
      </c>
      <c r="F1467" s="33"/>
      <c r="G1467" s="34">
        <f>IFERROR(IF(F1467&gt;=0,D1467*E1467*(1+F1467/100),ABS(D1467*E1467/F1467)),"")</f>
        <v>6056.4000000000005</v>
      </c>
      <c r="H1467" s="43">
        <f>IFERROR(G1467*E1462,"")</f>
        <v>0</v>
      </c>
      <c r="I1467" s="3"/>
    </row>
    <row r="1468" spans="1:11" ht="12.75" customHeight="1">
      <c r="A1468" s="28"/>
      <c r="B1468" s="29"/>
      <c r="C1468" s="30" t="str">
        <f>IFERROR(_xlfn.XLOOKUP(B1468,Insumo[DESCRIPCION],Insumo[UND],,0),"")</f>
        <v/>
      </c>
      <c r="D1468" s="31"/>
      <c r="E1468" s="32" t="str">
        <f>IFERROR(_xlfn.XLOOKUP($B1468,Insumo[DESCRIPCION],Insumo[VALOR],,0),"")</f>
        <v/>
      </c>
      <c r="F1468" s="33"/>
      <c r="G1468" s="34" t="str">
        <f>IFERROR(IF(F1468&gt;=0,D1468*E1468*(1+F1468/100),ABS(D1468*E1468/F1468)),"")</f>
        <v/>
      </c>
      <c r="H1468" s="43" t="str">
        <f>IFERROR(G1468*E1462,"")</f>
        <v/>
      </c>
      <c r="I1468" s="3"/>
    </row>
    <row r="1469" spans="1:11" ht="12.75" customHeight="1">
      <c r="A1469" s="28"/>
      <c r="B1469" s="29"/>
      <c r="C1469" s="30" t="str">
        <f>IFERROR(_xlfn.XLOOKUP(B1469,Insumo[DESCRIPCION],Insumo[UND],,0),"")</f>
        <v/>
      </c>
      <c r="D1469" s="31"/>
      <c r="E1469" s="32" t="str">
        <f>IFERROR(_xlfn.XLOOKUP($B1469,Insumo[DESCRIPCION],Insumo[VALOR],,0),"")</f>
        <v/>
      </c>
      <c r="F1469" s="33"/>
      <c r="G1469" s="34" t="str">
        <f>IFERROR(IF(F1469&gt;=0,D1469*E1469*(1+F1469/100),ABS(D1469*E1469/F1469)),"")</f>
        <v/>
      </c>
      <c r="H1469" s="43" t="str">
        <f>IFERROR(G1469*E1462,"")</f>
        <v/>
      </c>
      <c r="I1469" s="3"/>
    </row>
    <row r="1470" spans="1:11" ht="12.75" customHeight="1">
      <c r="A1470" s="21"/>
      <c r="B1470" s="22" t="s">
        <v>3731</v>
      </c>
      <c r="C1470" s="23"/>
      <c r="D1470" s="24"/>
      <c r="E1470" s="25"/>
      <c r="F1470" s="26"/>
      <c r="G1470" s="27">
        <f>SUM(G1471:G1473)</f>
        <v>5239.8458482500018</v>
      </c>
      <c r="H1470" s="27">
        <f>IFERROR(G1470*E1462,"")</f>
        <v>0</v>
      </c>
      <c r="I1470" s="3"/>
    </row>
    <row r="1471" spans="1:11" ht="12.75" customHeight="1">
      <c r="A1471" s="28"/>
      <c r="B1471" s="29" t="s">
        <v>3626</v>
      </c>
      <c r="C1471" s="30" t="str">
        <f>IFERROR(_xlfn.XLOOKUP(B1471,Equipo[DESCRIPCION],Equipo[UND],,0),"")</f>
        <v>%MO</v>
      </c>
      <c r="D1471" s="31">
        <v>0.05</v>
      </c>
      <c r="E1471" s="32">
        <f>IF(C1471="%MO",G1477,IFERROR(_xlfn.XLOOKUP($B1471,Equipo[DESCRIPCION],Equipo[VALOR],,0),""))</f>
        <v>104796.91696500003</v>
      </c>
      <c r="F1471" s="33"/>
      <c r="G1471" s="34">
        <f>IFERROR(IF(F1471&gt;=0,D1471*E1471*(1+F1471/100),ABS(D1471*E1471/F1471)),"")</f>
        <v>5239.8458482500018</v>
      </c>
      <c r="H1471" s="43">
        <f>IFERROR(G1471*E1462,"")</f>
        <v>0</v>
      </c>
      <c r="I1471" s="3"/>
    </row>
    <row r="1472" spans="1:11" ht="12.75" customHeight="1">
      <c r="A1472" s="28"/>
      <c r="B1472" s="29"/>
      <c r="C1472" s="30" t="str">
        <f>IFERROR(_xlfn.XLOOKUP(B1472,Equipo[DESCRIPCION],Equipo[UND],,0),"")</f>
        <v/>
      </c>
      <c r="D1472" s="31"/>
      <c r="E1472" s="32" t="str">
        <f>IF(C1472="%MO",G1477,IFERROR(_xlfn.XLOOKUP($B1472,Equipo[DESCRIPCION],Equipo[VALOR],,0),""))</f>
        <v/>
      </c>
      <c r="F1472" s="33"/>
      <c r="G1472" s="34" t="str">
        <f>IFERROR(IF(F1472&gt;=0,D1472*E1472*(1+F1472/100),ABS(D1472*E1472/F1472)),"")</f>
        <v/>
      </c>
      <c r="H1472" s="43" t="str">
        <f>IFERROR(G1472*E1462,"")</f>
        <v/>
      </c>
      <c r="I1472" s="3"/>
    </row>
    <row r="1473" spans="1:11" ht="12.75" customHeight="1">
      <c r="A1473" s="28"/>
      <c r="B1473" s="29"/>
      <c r="C1473" s="30" t="str">
        <f>IFERROR(_xlfn.XLOOKUP(B1473,Equipo[DESCRIPCION],Equipo[UND],,0),"")</f>
        <v/>
      </c>
      <c r="D1473" s="31"/>
      <c r="E1473" s="32" t="str">
        <f>IF(C1473="%MO",G1477,IFERROR(_xlfn.XLOOKUP($B1473,Equipo[DESCRIPCION],Equipo[VALOR],,0),""))</f>
        <v/>
      </c>
      <c r="F1473" s="33"/>
      <c r="G1473" s="34" t="str">
        <f>IFERROR(IF(F1473&gt;=0,D1473*E1473*(1+F1473/100),ABS(D1473*E1473/F1473)),"")</f>
        <v/>
      </c>
      <c r="H1473" s="43" t="str">
        <f>IFERROR(G1473*E1462,"")</f>
        <v/>
      </c>
      <c r="I1473" s="3"/>
    </row>
    <row r="1474" spans="1:11" ht="12.75" customHeight="1">
      <c r="A1474" s="21"/>
      <c r="B1474" s="22" t="s">
        <v>2533</v>
      </c>
      <c r="C1474" s="23"/>
      <c r="D1474" s="24"/>
      <c r="E1474" s="25"/>
      <c r="F1474" s="26"/>
      <c r="G1474" s="27">
        <f>SUM(G1475:G1476)</f>
        <v>0</v>
      </c>
      <c r="H1474" s="27">
        <f>IFERROR(G1474*E1462,"")</f>
        <v>0</v>
      </c>
      <c r="I1474" s="3"/>
    </row>
    <row r="1475" spans="1:11" ht="12.75" customHeight="1">
      <c r="A1475" s="28"/>
      <c r="B1475" s="29"/>
      <c r="C1475" s="30" t="str">
        <f>IFERROR(_xlfn.XLOOKUP(B1475,Transporte[DESCRIPCION],Transporte[UND],,0),"")</f>
        <v/>
      </c>
      <c r="D1475" s="31"/>
      <c r="E1475" s="32" t="str">
        <f>IFERROR(_xlfn.XLOOKUP($B1475,Transporte[DESCRIPCION],Transporte[VALOR],,0),"")</f>
        <v/>
      </c>
      <c r="F1475" s="33"/>
      <c r="G1475" s="34" t="str">
        <f>IFERROR(IF(F1475&gt;=0,D1475*E1475*(1+F1475/100),ABS(D1475*E1475/F1475)),"")</f>
        <v/>
      </c>
      <c r="H1475" s="43" t="str">
        <f>IFERROR(G1475*E1462,"")</f>
        <v/>
      </c>
      <c r="I1475" s="3"/>
    </row>
    <row r="1476" spans="1:11" ht="12.75" customHeight="1">
      <c r="A1476" s="28"/>
      <c r="B1476" s="29"/>
      <c r="C1476" s="30" t="str">
        <f>IFERROR(_xlfn.XLOOKUP(B1476,Transporte[DESCRIPCION],Transporte[UND],,0),"")</f>
        <v/>
      </c>
      <c r="D1476" s="31"/>
      <c r="E1476" s="32" t="str">
        <f>IFERROR(_xlfn.XLOOKUP($B1476,Transporte[DESCRIPCION],Transporte[VALOR],,0),"")</f>
        <v/>
      </c>
      <c r="F1476" s="33"/>
      <c r="G1476" s="34" t="str">
        <f>IFERROR(IF(F1476&gt;=0,D1476*E1476*(1+F1476/100),ABS(D1476*E1476/F1476)),"")</f>
        <v/>
      </c>
      <c r="H1476" s="43" t="str">
        <f>IFERROR(G1476*E1462,"")</f>
        <v/>
      </c>
      <c r="I1476" s="3"/>
    </row>
    <row r="1477" spans="1:11" ht="12.75" customHeight="1">
      <c r="A1477" s="21"/>
      <c r="B1477" s="22" t="s">
        <v>3732</v>
      </c>
      <c r="C1477" s="23"/>
      <c r="D1477" s="24"/>
      <c r="E1477" s="25"/>
      <c r="F1477" s="26"/>
      <c r="G1477" s="27">
        <f>SUM(G1478:G1480)</f>
        <v>104796.91696500003</v>
      </c>
      <c r="H1477" s="27">
        <f>IFERROR(G1477*E1462,"")</f>
        <v>0</v>
      </c>
      <c r="I1477" s="3"/>
    </row>
    <row r="1478" spans="1:11" ht="12.75" customHeight="1">
      <c r="A1478" s="28"/>
      <c r="B1478" s="29" t="s">
        <v>3710</v>
      </c>
      <c r="C1478" s="30" t="str">
        <f>IFERROR(_xlfn.XLOOKUP(B1478,MObra[DESCRIPCION],MObra[UN],,0),"")</f>
        <v>día</v>
      </c>
      <c r="D1478" s="31">
        <v>1</v>
      </c>
      <c r="E1478" s="32">
        <f>IFERROR(_xlfn.XLOOKUP($B1478,MObra[DESCRIPCION],MObra[VALOR UNIT],,0),"")</f>
        <v>314390.75089500006</v>
      </c>
      <c r="F1478" s="33">
        <v>-3</v>
      </c>
      <c r="G1478" s="34">
        <f>IFERROR(IF(F1478&gt;=0,D1478*E1478*(1+F1478/100),ABS(D1478*E1478/F1478)),"")</f>
        <v>104796.91696500003</v>
      </c>
      <c r="H1478" s="43">
        <f>IFERROR(G1478*E1462,"")</f>
        <v>0</v>
      </c>
      <c r="I1478" s="3"/>
    </row>
    <row r="1479" spans="1:11" ht="12.75" customHeight="1">
      <c r="A1479" s="28"/>
      <c r="B1479" s="29"/>
      <c r="C1479" s="30" t="str">
        <f>IFERROR(_xlfn.XLOOKUP(B1479,MObra[DESCRIPCION],MObra[UN],,0),"")</f>
        <v/>
      </c>
      <c r="D1479" s="31"/>
      <c r="E1479" s="32" t="str">
        <f>IFERROR(_xlfn.XLOOKUP($B1479,MObra[DESCRIPCION],MObra[VALOR UNIT],,0),"")</f>
        <v/>
      </c>
      <c r="F1479" s="33"/>
      <c r="G1479" s="34" t="str">
        <f>IFERROR(IF(F1479&gt;=0,D1479*E1479*(1+F1479/100),ABS(D1479*E1479/F1479)),"")</f>
        <v/>
      </c>
      <c r="H1479" s="43" t="str">
        <f>IFERROR(G1479*E1462,"")</f>
        <v/>
      </c>
      <c r="I1479" s="3"/>
    </row>
    <row r="1480" spans="1:11" ht="12.75" customHeight="1" thickBot="1">
      <c r="A1480" s="35"/>
      <c r="B1480" s="36"/>
      <c r="C1480" s="37" t="str">
        <f>IFERROR(_xlfn.XLOOKUP(B1480,MObra[DESCRIPCION],MObra[UN],,0),"")</f>
        <v/>
      </c>
      <c r="D1480" s="38"/>
      <c r="E1480" s="39" t="str">
        <f>IFERROR(_xlfn.XLOOKUP($B1480,MObra[DESCRIPCION],MObra[VALOR UNIT],,0),"")</f>
        <v/>
      </c>
      <c r="F1480" s="40"/>
      <c r="G1480" s="41" t="str">
        <f>IFERROR(IF(F1480&gt;=0,D1480*E1480*(1+F1480/100),ABS(D1480*E1480/F1480)),"")</f>
        <v/>
      </c>
      <c r="H1480" s="42" t="str">
        <f>IFERROR(G1480*E1462,"")</f>
        <v/>
      </c>
      <c r="I1480" s="3"/>
    </row>
    <row r="1481" spans="1:11" ht="12.75" customHeight="1" thickTop="1" thickBot="1">
      <c r="I1481" s="3"/>
    </row>
    <row r="1482" spans="1:11" ht="12.75" customHeight="1" thickTop="1" thickBot="1">
      <c r="A1482" s="6" t="s">
        <v>1703</v>
      </c>
      <c r="B1482" s="7" t="str">
        <f>VLOOKUP($A1482,Presupuesto!$A:$D,2,FALSE())</f>
        <v>Cerramiento poste concreto + malla eslabonada H=2m</v>
      </c>
      <c r="C1482" s="8" t="str">
        <f>VLOOKUP($A1482,Presupuesto!$A:$D,3,FALSE())</f>
        <v>M</v>
      </c>
      <c r="D1482" s="9"/>
      <c r="E1482" s="10">
        <f>VLOOKUP($A1482,Presupuesto!$A:$D,4,FALSE())</f>
        <v>0</v>
      </c>
      <c r="F1482" s="11" t="s">
        <v>2589</v>
      </c>
      <c r="G1482" s="12">
        <f>SUM(G1484:G1502)/2</f>
        <v>276600.03068130033</v>
      </c>
      <c r="H1482" s="13">
        <f>ROUND(SUM(H1484:H1502),0)/2</f>
        <v>0</v>
      </c>
      <c r="I1482" s="10">
        <f>VLOOKUP(A1482,Presupuesto!$A:$F,6,0)</f>
        <v>0</v>
      </c>
      <c r="J1482" s="10">
        <f>+H1482-I1482</f>
        <v>0</v>
      </c>
      <c r="K1482" s="46">
        <f>+H1482-G1482*E1482</f>
        <v>0</v>
      </c>
    </row>
    <row r="1483" spans="1:11" ht="12.75" customHeight="1" thickTop="1">
      <c r="A1483" s="14"/>
      <c r="B1483" s="15" t="s">
        <v>2586</v>
      </c>
      <c r="C1483" s="15" t="s">
        <v>5</v>
      </c>
      <c r="D1483" s="16" t="s">
        <v>6</v>
      </c>
      <c r="E1483" s="17" t="s">
        <v>7</v>
      </c>
      <c r="F1483" s="18" t="s">
        <v>3728</v>
      </c>
      <c r="G1483" s="19" t="s">
        <v>3729</v>
      </c>
      <c r="H1483" s="20" t="s">
        <v>3797</v>
      </c>
      <c r="I1483" s="3"/>
    </row>
    <row r="1484" spans="1:11" ht="12.75" customHeight="1">
      <c r="A1484" s="21"/>
      <c r="B1484" s="22" t="s">
        <v>3730</v>
      </c>
      <c r="C1484" s="23"/>
      <c r="D1484" s="24"/>
      <c r="E1484" s="25"/>
      <c r="F1484" s="26"/>
      <c r="G1484" s="27">
        <f>SUM(G1485:G1491)</f>
        <v>186125.35903485032</v>
      </c>
      <c r="H1484" s="27">
        <f>IFERROR(G1484*E1482,"")</f>
        <v>0</v>
      </c>
      <c r="I1484" s="3"/>
    </row>
    <row r="1485" spans="1:11" ht="12.75" customHeight="1">
      <c r="A1485" s="28"/>
      <c r="B1485" s="29" t="s">
        <v>3236</v>
      </c>
      <c r="C1485" s="30" t="str">
        <f>IFERROR(_xlfn.XLOOKUP(B1485,Insumo[DESCRIPCION],Insumo[UND],,0),"")</f>
        <v>Un</v>
      </c>
      <c r="D1485" s="31">
        <v>0.5</v>
      </c>
      <c r="E1485" s="32">
        <f>IFERROR(_xlfn.XLOOKUP($B1485,Insumo[DESCRIPCION],Insumo[VALOR],,0),"")</f>
        <v>69328.350000000006</v>
      </c>
      <c r="F1485" s="33"/>
      <c r="G1485" s="34">
        <f t="shared" ref="G1485:G1491" si="14">IFERROR(IF(F1485&gt;=0,D1485*E1485*(1+F1485/100),ABS(D1485*E1485/F1485)),"")</f>
        <v>34664.175000000003</v>
      </c>
      <c r="H1485" s="43">
        <f>IFERROR(G1485*E1482,"")</f>
        <v>0</v>
      </c>
      <c r="I1485" s="3"/>
    </row>
    <row r="1486" spans="1:11" ht="12.75" customHeight="1">
      <c r="A1486" s="28"/>
      <c r="B1486" s="29" t="s">
        <v>3138</v>
      </c>
      <c r="C1486" s="30" t="str">
        <f>IFERROR(_xlfn.XLOOKUP(B1486,Insumo[DESCRIPCION],Insumo[UND],,0),"")</f>
        <v>M2</v>
      </c>
      <c r="D1486" s="31">
        <v>2</v>
      </c>
      <c r="E1486" s="32">
        <f>IFERROR(_xlfn.XLOOKUP($B1486,Insumo[DESCRIPCION],Insumo[VALOR],,0),"")</f>
        <v>26005.350000000002</v>
      </c>
      <c r="F1486" s="33"/>
      <c r="G1486" s="34">
        <f t="shared" si="14"/>
        <v>52010.700000000004</v>
      </c>
      <c r="H1486" s="43">
        <f>IFERROR(G1486*E1482,"")</f>
        <v>0</v>
      </c>
      <c r="I1486" s="3"/>
    </row>
    <row r="1487" spans="1:11" ht="12.75" customHeight="1">
      <c r="A1487" s="28"/>
      <c r="B1487" s="29" t="s">
        <v>2697</v>
      </c>
      <c r="C1487" s="30" t="str">
        <f>IFERROR(_xlfn.XLOOKUP(B1487,Insumo[DESCRIPCION],Insumo[UND],,0),"")</f>
        <v>Kg</v>
      </c>
      <c r="D1487" s="31">
        <v>0.5</v>
      </c>
      <c r="E1487" s="32">
        <f>IFERROR(_xlfn.XLOOKUP($B1487,Insumo[DESCRIPCION],Insumo[VALOR],,0),"")</f>
        <v>11461.800000000001</v>
      </c>
      <c r="F1487" s="33"/>
      <c r="G1487" s="34">
        <f t="shared" si="14"/>
        <v>5730.9000000000005</v>
      </c>
      <c r="H1487" s="43">
        <f>IFERROR(G1487*E1482,"")</f>
        <v>0</v>
      </c>
      <c r="I1487" s="3"/>
    </row>
    <row r="1488" spans="1:11" ht="12.75" customHeight="1">
      <c r="A1488" s="28"/>
      <c r="B1488" s="29" t="s">
        <v>2694</v>
      </c>
      <c r="C1488" s="30" t="str">
        <f>IFERROR(_xlfn.XLOOKUP(B1488,Insumo[DESCRIPCION],Insumo[UND],,0),"")</f>
        <v>M</v>
      </c>
      <c r="D1488" s="31">
        <v>3</v>
      </c>
      <c r="E1488" s="32">
        <f>IFERROR(_xlfn.XLOOKUP($B1488,Insumo[DESCRIPCION],Insumo[VALOR],,0),"")</f>
        <v>865.2</v>
      </c>
      <c r="F1488" s="33"/>
      <c r="G1488" s="34">
        <f t="shared" si="14"/>
        <v>2595.6000000000004</v>
      </c>
      <c r="H1488" s="43">
        <f>IFERROR(G1488*E1482,"")</f>
        <v>0</v>
      </c>
      <c r="I1488" s="3"/>
    </row>
    <row r="1489" spans="1:11" ht="12.75" customHeight="1">
      <c r="A1489" s="28"/>
      <c r="B1489" s="29" t="s">
        <v>3338</v>
      </c>
      <c r="C1489" s="30" t="str">
        <f>IFERROR(_xlfn.XLOOKUP(B1489,Insumo[DESCRIPCION],Insumo[UND],,0),"")</f>
        <v>M</v>
      </c>
      <c r="D1489" s="31">
        <v>2</v>
      </c>
      <c r="E1489" s="32">
        <f>IFERROR(_xlfn.XLOOKUP($B1489,Insumo[DESCRIPCION],Insumo[VALOR],,0),"")</f>
        <v>8047.2000000000007</v>
      </c>
      <c r="F1489" s="33"/>
      <c r="G1489" s="34">
        <f t="shared" si="14"/>
        <v>16094.400000000001</v>
      </c>
      <c r="H1489" s="43">
        <f>IFERROR(G1489*E1482,"")</f>
        <v>0</v>
      </c>
      <c r="I1489" s="3"/>
    </row>
    <row r="1490" spans="1:11" ht="12.75" customHeight="1">
      <c r="A1490" s="28"/>
      <c r="B1490" s="29" t="s">
        <v>3245</v>
      </c>
      <c r="C1490" s="30" t="str">
        <f>IFERROR(_xlfn.XLOOKUP(B1490,Insumo[DESCRIPCION],Insumo[UND],,0),"")</f>
        <v>M3</v>
      </c>
      <c r="D1490" s="31">
        <v>0.04</v>
      </c>
      <c r="E1490" s="32">
        <f>IFERROR(_xlfn.XLOOKUP($B1490,Insumo[DESCRIPCION],Insumo[VALOR],,0),"")</f>
        <v>483519.91180237505</v>
      </c>
      <c r="F1490" s="33">
        <v>5</v>
      </c>
      <c r="G1490" s="34">
        <f t="shared" si="14"/>
        <v>20307.836295699755</v>
      </c>
      <c r="H1490" s="43">
        <f>IFERROR(G1490*E1482,"")</f>
        <v>0</v>
      </c>
      <c r="I1490" s="3"/>
    </row>
    <row r="1491" spans="1:11" ht="12.75" customHeight="1">
      <c r="A1491" s="28"/>
      <c r="B1491" s="29" t="s">
        <v>3239</v>
      </c>
      <c r="C1491" s="30" t="str">
        <f>IFERROR(_xlfn.XLOOKUP(B1491,Insumo[DESCRIPCION],Insumo[UND],,0),"")</f>
        <v>M3</v>
      </c>
      <c r="D1491" s="31">
        <v>0.1</v>
      </c>
      <c r="E1491" s="32">
        <f>IFERROR(_xlfn.XLOOKUP($B1491,Insumo[DESCRIPCION],Insumo[VALOR],,0),"")</f>
        <v>521159.50227762427</v>
      </c>
      <c r="F1491" s="33">
        <v>5</v>
      </c>
      <c r="G1491" s="34">
        <f t="shared" si="14"/>
        <v>54721.747739150553</v>
      </c>
      <c r="H1491" s="43">
        <f>IFERROR(G1491*E1482,"")</f>
        <v>0</v>
      </c>
      <c r="I1491" s="3"/>
    </row>
    <row r="1492" spans="1:11" ht="12.75" customHeight="1">
      <c r="A1492" s="21"/>
      <c r="B1492" s="22" t="s">
        <v>3731</v>
      </c>
      <c r="C1492" s="23"/>
      <c r="D1492" s="24"/>
      <c r="E1492" s="25"/>
      <c r="F1492" s="26"/>
      <c r="G1492" s="27">
        <f>SUM(G1493:G1495)</f>
        <v>4308.3176974500011</v>
      </c>
      <c r="H1492" s="27">
        <f>IFERROR(G1492*E1482,"")</f>
        <v>0</v>
      </c>
      <c r="I1492" s="3"/>
    </row>
    <row r="1493" spans="1:11" ht="12.75" customHeight="1">
      <c r="A1493" s="28"/>
      <c r="B1493" s="29" t="s">
        <v>3626</v>
      </c>
      <c r="C1493" s="30" t="str">
        <f>IFERROR(_xlfn.XLOOKUP(B1493,Equipo[DESCRIPCION],Equipo[UND],,0),"")</f>
        <v>%MO</v>
      </c>
      <c r="D1493" s="31">
        <v>0.05</v>
      </c>
      <c r="E1493" s="32">
        <f>IF(C1493="%MO",G1499,IFERROR(_xlfn.XLOOKUP($B1493,Equipo[DESCRIPCION],Equipo[VALOR],,0),""))</f>
        <v>86166.353949000011</v>
      </c>
      <c r="F1493" s="33"/>
      <c r="G1493" s="34">
        <f>IFERROR(IF(F1493&gt;=0,D1493*E1493*(1+F1493/100),ABS(D1493*E1493/F1493)),"")</f>
        <v>4308.3176974500011</v>
      </c>
      <c r="H1493" s="43">
        <f>IFERROR(G1493*E1482,"")</f>
        <v>0</v>
      </c>
      <c r="I1493" s="3"/>
    </row>
    <row r="1494" spans="1:11" ht="12.75" customHeight="1">
      <c r="A1494" s="28"/>
      <c r="B1494" s="29"/>
      <c r="C1494" s="30" t="str">
        <f>IFERROR(_xlfn.XLOOKUP(B1494,Equipo[DESCRIPCION],Equipo[UND],,0),"")</f>
        <v/>
      </c>
      <c r="D1494" s="31"/>
      <c r="E1494" s="32" t="str">
        <f>IF(C1494="%MO",G1499,IFERROR(_xlfn.XLOOKUP($B1494,Equipo[DESCRIPCION],Equipo[VALOR],,0),""))</f>
        <v/>
      </c>
      <c r="F1494" s="33"/>
      <c r="G1494" s="34" t="str">
        <f>IFERROR(IF(F1494&gt;=0,D1494*E1494*(1+F1494/100),ABS(D1494*E1494/F1494)),"")</f>
        <v/>
      </c>
      <c r="H1494" s="43" t="str">
        <f>IFERROR(G1494*E1482,"")</f>
        <v/>
      </c>
      <c r="I1494" s="3"/>
    </row>
    <row r="1495" spans="1:11" ht="12.75" customHeight="1">
      <c r="A1495" s="28"/>
      <c r="B1495" s="29"/>
      <c r="C1495" s="30" t="str">
        <f>IFERROR(_xlfn.XLOOKUP(B1495,Equipo[DESCRIPCION],Equipo[UND],,0),"")</f>
        <v/>
      </c>
      <c r="D1495" s="31"/>
      <c r="E1495" s="32" t="str">
        <f>IF(C1495="%MO",G1499,IFERROR(_xlfn.XLOOKUP($B1495,Equipo[DESCRIPCION],Equipo[VALOR],,0),""))</f>
        <v/>
      </c>
      <c r="F1495" s="33"/>
      <c r="G1495" s="34" t="str">
        <f>IFERROR(IF(F1495&gt;=0,D1495*E1495*(1+F1495/100),ABS(D1495*E1495/F1495)),"")</f>
        <v/>
      </c>
      <c r="H1495" s="43" t="str">
        <f>IFERROR(G1495*E1482,"")</f>
        <v/>
      </c>
      <c r="I1495" s="3"/>
    </row>
    <row r="1496" spans="1:11" ht="12.75" customHeight="1">
      <c r="A1496" s="21"/>
      <c r="B1496" s="22" t="s">
        <v>2533</v>
      </c>
      <c r="C1496" s="23"/>
      <c r="D1496" s="24"/>
      <c r="E1496" s="25"/>
      <c r="F1496" s="26"/>
      <c r="G1496" s="27">
        <f>SUM(G1497:G1498)</f>
        <v>0</v>
      </c>
      <c r="H1496" s="27">
        <f>IFERROR(G1496*E1482,"")</f>
        <v>0</v>
      </c>
      <c r="I1496" s="3"/>
    </row>
    <row r="1497" spans="1:11" ht="12.75" customHeight="1">
      <c r="A1497" s="28"/>
      <c r="B1497" s="29"/>
      <c r="C1497" s="30" t="str">
        <f>IFERROR(_xlfn.XLOOKUP(B1497,Transporte[DESCRIPCION],Transporte[UND],,0),"")</f>
        <v/>
      </c>
      <c r="D1497" s="31"/>
      <c r="E1497" s="32" t="str">
        <f>IFERROR(_xlfn.XLOOKUP($B1497,Transporte[DESCRIPCION],Transporte[VALOR],,0),"")</f>
        <v/>
      </c>
      <c r="F1497" s="33"/>
      <c r="G1497" s="34" t="str">
        <f>IFERROR(IF(F1497&gt;=0,D1497*E1497*(1+F1497/100),ABS(D1497*E1497/F1497)),"")</f>
        <v/>
      </c>
      <c r="H1497" s="43" t="str">
        <f>IFERROR(G1497*E1482,"")</f>
        <v/>
      </c>
      <c r="I1497" s="3"/>
    </row>
    <row r="1498" spans="1:11" ht="12.75" customHeight="1">
      <c r="A1498" s="28"/>
      <c r="B1498" s="29"/>
      <c r="C1498" s="30" t="str">
        <f>IFERROR(_xlfn.XLOOKUP(B1498,Transporte[DESCRIPCION],Transporte[UND],,0),"")</f>
        <v/>
      </c>
      <c r="D1498" s="31"/>
      <c r="E1498" s="32" t="str">
        <f>IFERROR(_xlfn.XLOOKUP($B1498,Transporte[DESCRIPCION],Transporte[VALOR],,0),"")</f>
        <v/>
      </c>
      <c r="F1498" s="33"/>
      <c r="G1498" s="34" t="str">
        <f>IFERROR(IF(F1498&gt;=0,D1498*E1498*(1+F1498/100),ABS(D1498*E1498/F1498)),"")</f>
        <v/>
      </c>
      <c r="H1498" s="43" t="str">
        <f>IFERROR(G1498*E1482,"")</f>
        <v/>
      </c>
      <c r="I1498" s="3"/>
    </row>
    <row r="1499" spans="1:11" ht="12.75" customHeight="1">
      <c r="A1499" s="21"/>
      <c r="B1499" s="22" t="s">
        <v>3732</v>
      </c>
      <c r="C1499" s="23"/>
      <c r="D1499" s="24"/>
      <c r="E1499" s="25"/>
      <c r="F1499" s="26"/>
      <c r="G1499" s="27">
        <f>SUM(G1500:G1502)</f>
        <v>86166.353949000011</v>
      </c>
      <c r="H1499" s="27">
        <f>IFERROR(G1499*E1482,"")</f>
        <v>0</v>
      </c>
      <c r="I1499" s="3"/>
    </row>
    <row r="1500" spans="1:11" ht="12.75" customHeight="1">
      <c r="A1500" s="28"/>
      <c r="B1500" s="29" t="s">
        <v>3711</v>
      </c>
      <c r="C1500" s="30" t="str">
        <f>IFERROR(_xlfn.XLOOKUP(B1500,MObra[DESCRIPCION],MObra[UN],,0),"")</f>
        <v>día</v>
      </c>
      <c r="D1500" s="31">
        <v>1</v>
      </c>
      <c r="E1500" s="32">
        <f>IFERROR(_xlfn.XLOOKUP($B1500,MObra[DESCRIPCION],MObra[VALOR UNIT],,0),"")</f>
        <v>430831.76974500006</v>
      </c>
      <c r="F1500" s="33">
        <v>-5</v>
      </c>
      <c r="G1500" s="34">
        <f>IFERROR(IF(F1500&gt;=0,D1500*E1500*(1+F1500/100),ABS(D1500*E1500/F1500)),"")</f>
        <v>86166.353949000011</v>
      </c>
      <c r="H1500" s="43">
        <f>IFERROR(G1500*E1482,"")</f>
        <v>0</v>
      </c>
      <c r="I1500" s="3"/>
    </row>
    <row r="1501" spans="1:11" ht="12.75" customHeight="1">
      <c r="A1501" s="28"/>
      <c r="B1501" s="29"/>
      <c r="C1501" s="30" t="str">
        <f>IFERROR(_xlfn.XLOOKUP(B1501,MObra[DESCRIPCION],MObra[UN],,0),"")</f>
        <v/>
      </c>
      <c r="D1501" s="31"/>
      <c r="E1501" s="32" t="str">
        <f>IFERROR(_xlfn.XLOOKUP($B1501,MObra[DESCRIPCION],MObra[VALOR UNIT],,0),"")</f>
        <v/>
      </c>
      <c r="F1501" s="33"/>
      <c r="G1501" s="34" t="str">
        <f>IFERROR(IF(F1501&gt;=0,D1501*E1501*(1+F1501/100),ABS(D1501*E1501/F1501)),"")</f>
        <v/>
      </c>
      <c r="H1501" s="43" t="str">
        <f>IFERROR(G1501*E1482,"")</f>
        <v/>
      </c>
      <c r="I1501" s="3"/>
    </row>
    <row r="1502" spans="1:11" ht="12.75" customHeight="1" thickBot="1">
      <c r="A1502" s="35"/>
      <c r="B1502" s="36"/>
      <c r="C1502" s="37" t="str">
        <f>IFERROR(_xlfn.XLOOKUP(B1502,MObra[DESCRIPCION],MObra[UN],,0),"")</f>
        <v/>
      </c>
      <c r="D1502" s="38"/>
      <c r="E1502" s="39" t="str">
        <f>IFERROR(_xlfn.XLOOKUP($B1502,MObra[DESCRIPCION],MObra[VALOR UNIT],,0),"")</f>
        <v/>
      </c>
      <c r="F1502" s="40"/>
      <c r="G1502" s="41" t="str">
        <f>IFERROR(IF(F1502&gt;=0,D1502*E1502*(1+F1502/100),ABS(D1502*E1502/F1502)),"")</f>
        <v/>
      </c>
      <c r="H1502" s="42" t="str">
        <f>IFERROR(G1502*E1482,"")</f>
        <v/>
      </c>
      <c r="I1502" s="3"/>
    </row>
    <row r="1503" spans="1:11" ht="12.75" customHeight="1" thickTop="1" thickBot="1">
      <c r="I1503" s="3"/>
    </row>
    <row r="1504" spans="1:11" ht="12.75" customHeight="1" thickTop="1" thickBot="1">
      <c r="A1504" s="6" t="s">
        <v>1705</v>
      </c>
      <c r="B1504" s="7" t="str">
        <f>VLOOKUP($A1504,Presupuesto!$A:$D,2,FALSE())</f>
        <v>Cerramiento tubo galvanizado + malla eslabonada H=2m</v>
      </c>
      <c r="C1504" s="8" t="str">
        <f>VLOOKUP($A1504,Presupuesto!$A:$D,3,FALSE())</f>
        <v>M</v>
      </c>
      <c r="D1504" s="9"/>
      <c r="E1504" s="10">
        <f>VLOOKUP($A1504,Presupuesto!$A:$D,4,FALSE())</f>
        <v>0</v>
      </c>
      <c r="F1504" s="11" t="s">
        <v>2589</v>
      </c>
      <c r="G1504" s="12">
        <f>SUM(G1506:G1524)/2</f>
        <v>261102.8181813003</v>
      </c>
      <c r="H1504" s="13">
        <f>ROUND(SUM(H1506:H1524),0)/2</f>
        <v>0</v>
      </c>
      <c r="I1504" s="10">
        <f>VLOOKUP(A1504,Presupuesto!$A:$F,6,0)</f>
        <v>0</v>
      </c>
      <c r="J1504" s="10">
        <f>+H1504-I1504</f>
        <v>0</v>
      </c>
      <c r="K1504" s="46">
        <f>+H1504-G1504*E1504</f>
        <v>0</v>
      </c>
    </row>
    <row r="1505" spans="1:9" ht="12.75" customHeight="1" thickTop="1">
      <c r="A1505" s="14"/>
      <c r="B1505" s="15" t="s">
        <v>2586</v>
      </c>
      <c r="C1505" s="15" t="s">
        <v>5</v>
      </c>
      <c r="D1505" s="16" t="s">
        <v>6</v>
      </c>
      <c r="E1505" s="17" t="s">
        <v>7</v>
      </c>
      <c r="F1505" s="18" t="s">
        <v>3728</v>
      </c>
      <c r="G1505" s="19" t="s">
        <v>3729</v>
      </c>
      <c r="H1505" s="20" t="s">
        <v>3797</v>
      </c>
      <c r="I1505" s="3"/>
    </row>
    <row r="1506" spans="1:9" ht="12.75" customHeight="1">
      <c r="A1506" s="21"/>
      <c r="B1506" s="22" t="s">
        <v>3730</v>
      </c>
      <c r="C1506" s="23"/>
      <c r="D1506" s="24"/>
      <c r="E1506" s="25"/>
      <c r="F1506" s="26"/>
      <c r="G1506" s="27">
        <f>SUM(G1507:G1513)</f>
        <v>170628.1465348503</v>
      </c>
      <c r="H1506" s="27">
        <f>IFERROR(G1506*E1504,"")</f>
        <v>0</v>
      </c>
      <c r="I1506" s="3"/>
    </row>
    <row r="1507" spans="1:9" ht="12.75" customHeight="1">
      <c r="A1507" s="28"/>
      <c r="B1507" s="29" t="s">
        <v>3466</v>
      </c>
      <c r="C1507" s="30" t="str">
        <f>IFERROR(_xlfn.XLOOKUP(B1507,Insumo[DESCRIPCION],Insumo[UND],,0),"")</f>
        <v>Un</v>
      </c>
      <c r="D1507" s="31">
        <v>0.5</v>
      </c>
      <c r="E1507" s="32">
        <f>IFERROR(_xlfn.XLOOKUP($B1507,Insumo[DESCRIPCION],Insumo[VALOR],,0),"")</f>
        <v>36508.5</v>
      </c>
      <c r="F1507" s="33">
        <v>5</v>
      </c>
      <c r="G1507" s="34">
        <f t="shared" ref="G1507:G1513" si="15">IFERROR(IF(F1507&gt;=0,D1507*E1507*(1+F1507/100),ABS(D1507*E1507/F1507)),"")</f>
        <v>19166.962500000001</v>
      </c>
      <c r="H1507" s="43">
        <f>IFERROR(G1507*E1504,"")</f>
        <v>0</v>
      </c>
      <c r="I1507" s="3"/>
    </row>
    <row r="1508" spans="1:9" ht="12.75" customHeight="1">
      <c r="A1508" s="28"/>
      <c r="B1508" s="29" t="s">
        <v>3138</v>
      </c>
      <c r="C1508" s="30" t="str">
        <f>IFERROR(_xlfn.XLOOKUP(B1508,Insumo[DESCRIPCION],Insumo[UND],,0),"")</f>
        <v>M2</v>
      </c>
      <c r="D1508" s="31">
        <v>2</v>
      </c>
      <c r="E1508" s="32">
        <f>IFERROR(_xlfn.XLOOKUP($B1508,Insumo[DESCRIPCION],Insumo[VALOR],,0),"")</f>
        <v>26005.350000000002</v>
      </c>
      <c r="F1508" s="33"/>
      <c r="G1508" s="34">
        <f t="shared" si="15"/>
        <v>52010.700000000004</v>
      </c>
      <c r="H1508" s="43">
        <f>IFERROR(G1508*E1504,"")</f>
        <v>0</v>
      </c>
      <c r="I1508" s="3"/>
    </row>
    <row r="1509" spans="1:9" ht="12.75" customHeight="1">
      <c r="A1509" s="28"/>
      <c r="B1509" s="29" t="s">
        <v>2697</v>
      </c>
      <c r="C1509" s="30" t="str">
        <f>IFERROR(_xlfn.XLOOKUP(B1509,Insumo[DESCRIPCION],Insumo[UND],,0),"")</f>
        <v>Kg</v>
      </c>
      <c r="D1509" s="31">
        <v>0.5</v>
      </c>
      <c r="E1509" s="32">
        <f>IFERROR(_xlfn.XLOOKUP($B1509,Insumo[DESCRIPCION],Insumo[VALOR],,0),"")</f>
        <v>11461.800000000001</v>
      </c>
      <c r="F1509" s="33"/>
      <c r="G1509" s="34">
        <f t="shared" si="15"/>
        <v>5730.9000000000005</v>
      </c>
      <c r="H1509" s="43">
        <f>IFERROR(G1509*E1504,"")</f>
        <v>0</v>
      </c>
      <c r="I1509" s="3"/>
    </row>
    <row r="1510" spans="1:9" ht="12.75" customHeight="1">
      <c r="A1510" s="28"/>
      <c r="B1510" s="29" t="s">
        <v>2694</v>
      </c>
      <c r="C1510" s="30" t="str">
        <f>IFERROR(_xlfn.XLOOKUP(B1510,Insumo[DESCRIPCION],Insumo[UND],,0),"")</f>
        <v>M</v>
      </c>
      <c r="D1510" s="31">
        <v>3</v>
      </c>
      <c r="E1510" s="32">
        <f>IFERROR(_xlfn.XLOOKUP($B1510,Insumo[DESCRIPCION],Insumo[VALOR],,0),"")</f>
        <v>865.2</v>
      </c>
      <c r="F1510" s="33"/>
      <c r="G1510" s="34">
        <f t="shared" si="15"/>
        <v>2595.6000000000004</v>
      </c>
      <c r="H1510" s="43">
        <f>IFERROR(G1510*E1504,"")</f>
        <v>0</v>
      </c>
      <c r="I1510" s="3"/>
    </row>
    <row r="1511" spans="1:9" ht="12.75" customHeight="1">
      <c r="A1511" s="28"/>
      <c r="B1511" s="29" t="s">
        <v>3338</v>
      </c>
      <c r="C1511" s="30" t="str">
        <f>IFERROR(_xlfn.XLOOKUP(B1511,Insumo[DESCRIPCION],Insumo[UND],,0),"")</f>
        <v>M</v>
      </c>
      <c r="D1511" s="31">
        <v>2</v>
      </c>
      <c r="E1511" s="32">
        <f>IFERROR(_xlfn.XLOOKUP($B1511,Insumo[DESCRIPCION],Insumo[VALOR],,0),"")</f>
        <v>8047.2000000000007</v>
      </c>
      <c r="F1511" s="33"/>
      <c r="G1511" s="34">
        <f t="shared" si="15"/>
        <v>16094.400000000001</v>
      </c>
      <c r="H1511" s="43">
        <f>IFERROR(G1511*E1504,"")</f>
        <v>0</v>
      </c>
      <c r="I1511" s="3"/>
    </row>
    <row r="1512" spans="1:9" ht="12.75" customHeight="1">
      <c r="A1512" s="28"/>
      <c r="B1512" s="29" t="s">
        <v>3245</v>
      </c>
      <c r="C1512" s="30" t="str">
        <f>IFERROR(_xlfn.XLOOKUP(B1512,Insumo[DESCRIPCION],Insumo[UND],,0),"")</f>
        <v>M3</v>
      </c>
      <c r="D1512" s="31">
        <v>0.04</v>
      </c>
      <c r="E1512" s="32">
        <f>IFERROR(_xlfn.XLOOKUP($B1512,Insumo[DESCRIPCION],Insumo[VALOR],,0),"")</f>
        <v>483519.91180237505</v>
      </c>
      <c r="F1512" s="33">
        <v>5</v>
      </c>
      <c r="G1512" s="34">
        <f t="shared" si="15"/>
        <v>20307.836295699755</v>
      </c>
      <c r="H1512" s="43">
        <f>IFERROR(G1512*E1504,"")</f>
        <v>0</v>
      </c>
      <c r="I1512" s="3"/>
    </row>
    <row r="1513" spans="1:9" ht="12.75" customHeight="1">
      <c r="A1513" s="28"/>
      <c r="B1513" s="29" t="s">
        <v>3239</v>
      </c>
      <c r="C1513" s="30" t="str">
        <f>IFERROR(_xlfn.XLOOKUP(B1513,Insumo[DESCRIPCION],Insumo[UND],,0),"")</f>
        <v>M3</v>
      </c>
      <c r="D1513" s="31">
        <v>0.1</v>
      </c>
      <c r="E1513" s="32">
        <f>IFERROR(_xlfn.XLOOKUP($B1513,Insumo[DESCRIPCION],Insumo[VALOR],,0),"")</f>
        <v>521159.50227762427</v>
      </c>
      <c r="F1513" s="33">
        <v>5</v>
      </c>
      <c r="G1513" s="34">
        <f t="shared" si="15"/>
        <v>54721.747739150553</v>
      </c>
      <c r="H1513" s="43">
        <f>IFERROR(G1513*E1504,"")</f>
        <v>0</v>
      </c>
      <c r="I1513" s="3"/>
    </row>
    <row r="1514" spans="1:9" ht="12.75" customHeight="1">
      <c r="A1514" s="21"/>
      <c r="B1514" s="22" t="s">
        <v>3731</v>
      </c>
      <c r="C1514" s="23"/>
      <c r="D1514" s="24"/>
      <c r="E1514" s="25"/>
      <c r="F1514" s="26"/>
      <c r="G1514" s="27">
        <f>SUM(G1515:G1517)</f>
        <v>4308.3176974500011</v>
      </c>
      <c r="H1514" s="27">
        <f>IFERROR(G1514*E1504,"")</f>
        <v>0</v>
      </c>
      <c r="I1514" s="3"/>
    </row>
    <row r="1515" spans="1:9" ht="12.75" customHeight="1">
      <c r="A1515" s="28"/>
      <c r="B1515" s="29" t="s">
        <v>3626</v>
      </c>
      <c r="C1515" s="30" t="str">
        <f>IFERROR(_xlfn.XLOOKUP(B1515,Equipo[DESCRIPCION],Equipo[UND],,0),"")</f>
        <v>%MO</v>
      </c>
      <c r="D1515" s="31">
        <v>0.05</v>
      </c>
      <c r="E1515" s="32">
        <f>IF(C1515="%MO",G1521,IFERROR(_xlfn.XLOOKUP($B1515,Equipo[DESCRIPCION],Equipo[VALOR],,0),""))</f>
        <v>86166.353949000011</v>
      </c>
      <c r="F1515" s="33"/>
      <c r="G1515" s="34">
        <f>IFERROR(IF(F1515&gt;=0,D1515*E1515*(1+F1515/100),ABS(D1515*E1515/F1515)),"")</f>
        <v>4308.3176974500011</v>
      </c>
      <c r="H1515" s="43">
        <f>IFERROR(G1515*E1504,"")</f>
        <v>0</v>
      </c>
      <c r="I1515" s="3"/>
    </row>
    <row r="1516" spans="1:9" ht="12.75" customHeight="1">
      <c r="A1516" s="28"/>
      <c r="B1516" s="29"/>
      <c r="C1516" s="30" t="str">
        <f>IFERROR(_xlfn.XLOOKUP(B1516,Equipo[DESCRIPCION],Equipo[UND],,0),"")</f>
        <v/>
      </c>
      <c r="D1516" s="31"/>
      <c r="E1516" s="32" t="str">
        <f>IF(C1516="%MO",G1521,IFERROR(_xlfn.XLOOKUP($B1516,Equipo[DESCRIPCION],Equipo[VALOR],,0),""))</f>
        <v/>
      </c>
      <c r="F1516" s="33"/>
      <c r="G1516" s="34" t="str">
        <f>IFERROR(IF(F1516&gt;=0,D1516*E1516*(1+F1516/100),ABS(D1516*E1516/F1516)),"")</f>
        <v/>
      </c>
      <c r="H1516" s="43" t="str">
        <f>IFERROR(G1516*E1504,"")</f>
        <v/>
      </c>
      <c r="I1516" s="3"/>
    </row>
    <row r="1517" spans="1:9" ht="12.75" customHeight="1">
      <c r="A1517" s="28"/>
      <c r="B1517" s="29"/>
      <c r="C1517" s="30" t="str">
        <f>IFERROR(_xlfn.XLOOKUP(B1517,Equipo[DESCRIPCION],Equipo[UND],,0),"")</f>
        <v/>
      </c>
      <c r="D1517" s="31"/>
      <c r="E1517" s="32" t="str">
        <f>IF(C1517="%MO",G1521,IFERROR(_xlfn.XLOOKUP($B1517,Equipo[DESCRIPCION],Equipo[VALOR],,0),""))</f>
        <v/>
      </c>
      <c r="F1517" s="33"/>
      <c r="G1517" s="34" t="str">
        <f>IFERROR(IF(F1517&gt;=0,D1517*E1517*(1+F1517/100),ABS(D1517*E1517/F1517)),"")</f>
        <v/>
      </c>
      <c r="H1517" s="43" t="str">
        <f>IFERROR(G1517*E1504,"")</f>
        <v/>
      </c>
      <c r="I1517" s="3"/>
    </row>
    <row r="1518" spans="1:9" ht="12.75" customHeight="1">
      <c r="A1518" s="21"/>
      <c r="B1518" s="22" t="s">
        <v>2533</v>
      </c>
      <c r="C1518" s="23"/>
      <c r="D1518" s="24"/>
      <c r="E1518" s="25"/>
      <c r="F1518" s="26"/>
      <c r="G1518" s="27">
        <f>SUM(G1519:G1520)</f>
        <v>0</v>
      </c>
      <c r="H1518" s="27">
        <f>IFERROR(G1518*E1504,"")</f>
        <v>0</v>
      </c>
      <c r="I1518" s="3"/>
    </row>
    <row r="1519" spans="1:9" ht="12.75" customHeight="1">
      <c r="A1519" s="28"/>
      <c r="B1519" s="29"/>
      <c r="C1519" s="30" t="str">
        <f>IFERROR(_xlfn.XLOOKUP(B1519,Transporte[DESCRIPCION],Transporte[UND],,0),"")</f>
        <v/>
      </c>
      <c r="D1519" s="31"/>
      <c r="E1519" s="32" t="str">
        <f>IFERROR(_xlfn.XLOOKUP($B1519,Transporte[DESCRIPCION],Transporte[VALOR],,0),"")</f>
        <v/>
      </c>
      <c r="F1519" s="33"/>
      <c r="G1519" s="34" t="str">
        <f>IFERROR(IF(F1519&gt;=0,D1519*E1519*(1+F1519/100),ABS(D1519*E1519/F1519)),"")</f>
        <v/>
      </c>
      <c r="H1519" s="43" t="str">
        <f>IFERROR(G1519*E1504,"")</f>
        <v/>
      </c>
      <c r="I1519" s="3"/>
    </row>
    <row r="1520" spans="1:9" ht="12.75" customHeight="1">
      <c r="A1520" s="28"/>
      <c r="B1520" s="29"/>
      <c r="C1520" s="30" t="str">
        <f>IFERROR(_xlfn.XLOOKUP(B1520,Transporte[DESCRIPCION],Transporte[UND],,0),"")</f>
        <v/>
      </c>
      <c r="D1520" s="31"/>
      <c r="E1520" s="32" t="str">
        <f>IFERROR(_xlfn.XLOOKUP($B1520,Transporte[DESCRIPCION],Transporte[VALOR],,0),"")</f>
        <v/>
      </c>
      <c r="F1520" s="33"/>
      <c r="G1520" s="34" t="str">
        <f>IFERROR(IF(F1520&gt;=0,D1520*E1520*(1+F1520/100),ABS(D1520*E1520/F1520)),"")</f>
        <v/>
      </c>
      <c r="H1520" s="43" t="str">
        <f>IFERROR(G1520*E1504,"")</f>
        <v/>
      </c>
      <c r="I1520" s="3"/>
    </row>
    <row r="1521" spans="1:11" ht="12.75" customHeight="1">
      <c r="A1521" s="21"/>
      <c r="B1521" s="22" t="s">
        <v>3732</v>
      </c>
      <c r="C1521" s="23"/>
      <c r="D1521" s="24"/>
      <c r="E1521" s="25"/>
      <c r="F1521" s="26"/>
      <c r="G1521" s="27">
        <f>SUM(G1522:G1524)</f>
        <v>86166.353949000011</v>
      </c>
      <c r="H1521" s="27">
        <f>IFERROR(G1521*E1504,"")</f>
        <v>0</v>
      </c>
      <c r="I1521" s="3"/>
    </row>
    <row r="1522" spans="1:11" ht="12.75" customHeight="1">
      <c r="A1522" s="28"/>
      <c r="B1522" s="29" t="s">
        <v>3711</v>
      </c>
      <c r="C1522" s="30" t="str">
        <f>IFERROR(_xlfn.XLOOKUP(B1522,MObra[DESCRIPCION],MObra[UN],,0),"")</f>
        <v>día</v>
      </c>
      <c r="D1522" s="31">
        <v>1</v>
      </c>
      <c r="E1522" s="32">
        <f>IFERROR(_xlfn.XLOOKUP($B1522,MObra[DESCRIPCION],MObra[VALOR UNIT],,0),"")</f>
        <v>430831.76974500006</v>
      </c>
      <c r="F1522" s="33">
        <v>-5</v>
      </c>
      <c r="G1522" s="34">
        <f>IFERROR(IF(F1522&gt;=0,D1522*E1522*(1+F1522/100),ABS(D1522*E1522/F1522)),"")</f>
        <v>86166.353949000011</v>
      </c>
      <c r="H1522" s="43">
        <f>IFERROR(G1522*E1504,"")</f>
        <v>0</v>
      </c>
      <c r="I1522" s="3"/>
    </row>
    <row r="1523" spans="1:11" ht="12.75" customHeight="1">
      <c r="A1523" s="28"/>
      <c r="B1523" s="29"/>
      <c r="C1523" s="30" t="str">
        <f>IFERROR(_xlfn.XLOOKUP(B1523,MObra[DESCRIPCION],MObra[UN],,0),"")</f>
        <v/>
      </c>
      <c r="D1523" s="31"/>
      <c r="E1523" s="32" t="str">
        <f>IFERROR(_xlfn.XLOOKUP($B1523,MObra[DESCRIPCION],MObra[VALOR UNIT],,0),"")</f>
        <v/>
      </c>
      <c r="F1523" s="33"/>
      <c r="G1523" s="34" t="str">
        <f>IFERROR(IF(F1523&gt;=0,D1523*E1523*(1+F1523/100),ABS(D1523*E1523/F1523)),"")</f>
        <v/>
      </c>
      <c r="H1523" s="43" t="str">
        <f>IFERROR(G1523*E1504,"")</f>
        <v/>
      </c>
      <c r="I1523" s="3"/>
    </row>
    <row r="1524" spans="1:11" ht="12.75" customHeight="1" thickBot="1">
      <c r="A1524" s="35"/>
      <c r="B1524" s="36"/>
      <c r="C1524" s="37" t="str">
        <f>IFERROR(_xlfn.XLOOKUP(B1524,MObra[DESCRIPCION],MObra[UN],,0),"")</f>
        <v/>
      </c>
      <c r="D1524" s="38"/>
      <c r="E1524" s="39" t="str">
        <f>IFERROR(_xlfn.XLOOKUP($B1524,MObra[DESCRIPCION],MObra[VALOR UNIT],,0),"")</f>
        <v/>
      </c>
      <c r="F1524" s="40"/>
      <c r="G1524" s="41" t="str">
        <f>IFERROR(IF(F1524&gt;=0,D1524*E1524*(1+F1524/100),ABS(D1524*E1524/F1524)),"")</f>
        <v/>
      </c>
      <c r="H1524" s="42" t="str">
        <f>IFERROR(G1524*E1504,"")</f>
        <v/>
      </c>
      <c r="I1524" s="3"/>
    </row>
    <row r="1525" spans="1:11" ht="12.75" customHeight="1" thickTop="1" thickBot="1">
      <c r="I1525" s="3"/>
    </row>
    <row r="1526" spans="1:11" ht="12.75" customHeight="1" thickTop="1" thickBot="1">
      <c r="A1526" s="6" t="s">
        <v>1707</v>
      </c>
      <c r="B1526" s="297" t="str">
        <f>VLOOKUP($A1526,Presupuesto!$A:$D,2,FALSE())</f>
        <v>Cocina sin humo para zona rural (incluye replanteo)</v>
      </c>
      <c r="C1526" s="8" t="str">
        <f>VLOOKUP($A1526,Presupuesto!$A:$D,3,FALSE())</f>
        <v>Un</v>
      </c>
      <c r="D1526" s="9"/>
      <c r="E1526" s="10">
        <f>VLOOKUP($A1526,Presupuesto!$A:$D,4,FALSE())</f>
        <v>0</v>
      </c>
      <c r="F1526" s="11" t="s">
        <v>2589</v>
      </c>
      <c r="G1526" s="12">
        <f>SUM(G1528:G1549)/2</f>
        <v>3128545.6456749719</v>
      </c>
      <c r="H1526" s="13">
        <f>ROUND(SUM(H1528:H1549),0)/2</f>
        <v>0</v>
      </c>
      <c r="I1526" s="10">
        <f>VLOOKUP(A1526,Presupuesto!$A:$F,6,0)</f>
        <v>0</v>
      </c>
      <c r="J1526" s="10">
        <f>+H1526-I1526</f>
        <v>0</v>
      </c>
      <c r="K1526" s="46">
        <f>+H1526-G1526*E1526</f>
        <v>0</v>
      </c>
    </row>
    <row r="1527" spans="1:11" ht="12.75" customHeight="1" thickTop="1">
      <c r="A1527" s="14"/>
      <c r="B1527" s="15" t="s">
        <v>2586</v>
      </c>
      <c r="C1527" s="15" t="s">
        <v>5</v>
      </c>
      <c r="D1527" s="16" t="s">
        <v>6</v>
      </c>
      <c r="E1527" s="17" t="s">
        <v>7</v>
      </c>
      <c r="F1527" s="18" t="s">
        <v>3728</v>
      </c>
      <c r="G1527" s="19" t="s">
        <v>3729</v>
      </c>
      <c r="H1527" s="20" t="s">
        <v>3797</v>
      </c>
      <c r="I1527" s="3"/>
    </row>
    <row r="1528" spans="1:11" ht="12.75" customHeight="1">
      <c r="A1528" s="21"/>
      <c r="B1528" s="22" t="s">
        <v>3730</v>
      </c>
      <c r="C1528" s="23"/>
      <c r="D1528" s="24"/>
      <c r="E1528" s="25"/>
      <c r="F1528" s="26"/>
      <c r="G1528" s="27">
        <f>SUM(G1529:G1538)</f>
        <v>1899803.3913016652</v>
      </c>
      <c r="H1528" s="27">
        <f>IFERROR(G1528*E1526,"")</f>
        <v>0</v>
      </c>
      <c r="I1528" s="3"/>
    </row>
    <row r="1529" spans="1:11" ht="12.75" customHeight="1">
      <c r="A1529" s="28"/>
      <c r="B1529" s="29" t="s">
        <v>3216</v>
      </c>
      <c r="C1529" s="30" t="str">
        <f>IFERROR(_xlfn.XLOOKUP(B1529,Insumo[DESCRIPCION],Insumo[UND],,0),"")</f>
        <v>Un</v>
      </c>
      <c r="D1529" s="31">
        <v>1</v>
      </c>
      <c r="E1529" s="32">
        <f>IFERROR(_xlfn.XLOOKUP($B1529,Insumo[DESCRIPCION],Insumo[VALOR],,0),"")</f>
        <v>71249.850000000006</v>
      </c>
      <c r="F1529" s="33"/>
      <c r="G1529" s="34">
        <f t="shared" ref="G1529:G1538" si="16">IFERROR(IF(F1529&gt;=0,D1529*E1529*(1+F1529/100),ABS(D1529*E1529/F1529)),"")</f>
        <v>71249.850000000006</v>
      </c>
      <c r="H1529" s="43">
        <f>IFERROR(G1529*E1526,"")</f>
        <v>0</v>
      </c>
      <c r="I1529" s="3"/>
    </row>
    <row r="1530" spans="1:11" ht="12.75" customHeight="1">
      <c r="A1530" s="28"/>
      <c r="B1530" s="29" t="s">
        <v>3014</v>
      </c>
      <c r="C1530" s="30" t="str">
        <f>IFERROR(_xlfn.XLOOKUP(B1530,Insumo[DESCRIPCION],Insumo[UND],,0),"")</f>
        <v>Un</v>
      </c>
      <c r="D1530" s="31">
        <v>1</v>
      </c>
      <c r="E1530" s="32">
        <f>IFERROR(_xlfn.XLOOKUP($B1530,Insumo[DESCRIPCION],Insumo[VALOR],,0),"")</f>
        <v>1247400</v>
      </c>
      <c r="F1530" s="33"/>
      <c r="G1530" s="34">
        <f t="shared" si="16"/>
        <v>1247400</v>
      </c>
      <c r="H1530" s="43">
        <f>IFERROR(G1530*E1526,"")</f>
        <v>0</v>
      </c>
      <c r="I1530" s="3"/>
    </row>
    <row r="1531" spans="1:11" ht="12.75" customHeight="1">
      <c r="A1531" s="28"/>
      <c r="B1531" s="29" t="s">
        <v>3016</v>
      </c>
      <c r="C1531" s="30" t="str">
        <f>IFERROR(_xlfn.XLOOKUP(B1531,Insumo[DESCRIPCION],Insumo[UND],,0),"")</f>
        <v>Un</v>
      </c>
      <c r="D1531" s="31">
        <v>50</v>
      </c>
      <c r="E1531" s="32">
        <f>IFERROR(_xlfn.XLOOKUP($B1531,Insumo[DESCRIPCION],Insumo[VALOR],,0),"")</f>
        <v>1648.5</v>
      </c>
      <c r="F1531" s="33">
        <v>5</v>
      </c>
      <c r="G1531" s="34">
        <f t="shared" si="16"/>
        <v>86546.25</v>
      </c>
      <c r="H1531" s="43">
        <f>IFERROR(G1531*E1526,"")</f>
        <v>0</v>
      </c>
      <c r="I1531" s="3"/>
    </row>
    <row r="1532" spans="1:11" ht="12.75" customHeight="1">
      <c r="A1532" s="28"/>
      <c r="B1532" s="29" t="s">
        <v>3018</v>
      </c>
      <c r="C1532" s="30" t="str">
        <f>IFERROR(_xlfn.XLOOKUP(B1532,Insumo[DESCRIPCION],Insumo[UND],,0),"")</f>
        <v>Un</v>
      </c>
      <c r="D1532" s="31">
        <v>85</v>
      </c>
      <c r="E1532" s="32">
        <f>IFERROR(_xlfn.XLOOKUP($B1532,Insumo[DESCRIPCION],Insumo[VALOR],,0),"")</f>
        <v>2940</v>
      </c>
      <c r="F1532" s="33">
        <v>5</v>
      </c>
      <c r="G1532" s="34">
        <f t="shared" si="16"/>
        <v>262395</v>
      </c>
      <c r="H1532" s="43">
        <f>IFERROR(G1532*E1526,"")</f>
        <v>0</v>
      </c>
      <c r="I1532" s="3"/>
    </row>
    <row r="1533" spans="1:11" ht="12.75" customHeight="1">
      <c r="A1533" s="28"/>
      <c r="B1533" s="29" t="s">
        <v>3169</v>
      </c>
      <c r="C1533" s="30" t="str">
        <f>IFERROR(_xlfn.XLOOKUP(B1533,Insumo[DESCRIPCION],Insumo[UND],,0),"")</f>
        <v>Kg</v>
      </c>
      <c r="D1533" s="31">
        <v>2</v>
      </c>
      <c r="E1533" s="32">
        <f>IFERROR(_xlfn.XLOOKUP($B1533,Insumo[DESCRIPCION],Insumo[VALOR],,0),"")</f>
        <v>4433.1000000000004</v>
      </c>
      <c r="F1533" s="33"/>
      <c r="G1533" s="34">
        <f t="shared" si="16"/>
        <v>8866.2000000000007</v>
      </c>
      <c r="H1533" s="43">
        <f>IFERROR(G1533*E1526,"")</f>
        <v>0</v>
      </c>
      <c r="I1533" s="3"/>
    </row>
    <row r="1534" spans="1:11" ht="12.75" customHeight="1">
      <c r="A1534" s="28"/>
      <c r="B1534" s="29" t="s">
        <v>2715</v>
      </c>
      <c r="C1534" s="30" t="str">
        <f>IFERROR(_xlfn.XLOOKUP(B1534,Insumo[DESCRIPCION],Insumo[UND],,0),"")</f>
        <v>M3</v>
      </c>
      <c r="D1534" s="31">
        <v>0.35</v>
      </c>
      <c r="E1534" s="32">
        <f>IFERROR(_xlfn.XLOOKUP($B1534,Insumo[DESCRIPCION],Insumo[VALOR],,0),"")</f>
        <v>81268.95</v>
      </c>
      <c r="F1534" s="33"/>
      <c r="G1534" s="34">
        <f t="shared" si="16"/>
        <v>28444.132499999996</v>
      </c>
      <c r="H1534" s="43">
        <f>IFERROR(G1534*E1526,"")</f>
        <v>0</v>
      </c>
      <c r="I1534" s="3"/>
    </row>
    <row r="1535" spans="1:11" ht="12.75" customHeight="1">
      <c r="A1535" s="28"/>
      <c r="B1535" s="29" t="s">
        <v>2824</v>
      </c>
      <c r="C1535" s="30" t="str">
        <f>IFERROR(_xlfn.XLOOKUP(B1535,Insumo[DESCRIPCION],Insumo[UND],,0),"")</f>
        <v>Un</v>
      </c>
      <c r="D1535" s="31">
        <v>2.5</v>
      </c>
      <c r="E1535" s="32">
        <f>IFERROR(_xlfn.XLOOKUP($B1535,Insumo[DESCRIPCION],Insumo[VALOR],,0),"")</f>
        <v>34230</v>
      </c>
      <c r="F1535" s="33"/>
      <c r="G1535" s="34">
        <f t="shared" si="16"/>
        <v>85575</v>
      </c>
      <c r="H1535" s="43">
        <f>IFERROR(G1535*E1526,"")</f>
        <v>0</v>
      </c>
      <c r="I1535" s="3"/>
    </row>
    <row r="1536" spans="1:11" ht="12.75" customHeight="1">
      <c r="A1536" s="28"/>
      <c r="B1536" s="29" t="s">
        <v>3003</v>
      </c>
      <c r="C1536" s="30" t="str">
        <f>IFERROR(_xlfn.XLOOKUP(B1536,Insumo[DESCRIPCION],Insumo[UND],,0),"")</f>
        <v>galón</v>
      </c>
      <c r="D1536" s="31">
        <v>1</v>
      </c>
      <c r="E1536" s="32">
        <f>IFERROR(_xlfn.XLOOKUP($B1536,Insumo[DESCRIPCION],Insumo[VALOR],,0),"")</f>
        <v>95461.8</v>
      </c>
      <c r="F1536" s="33"/>
      <c r="G1536" s="34">
        <f t="shared" si="16"/>
        <v>95461.8</v>
      </c>
      <c r="H1536" s="43">
        <f>IFERROR(G1536*E1526,"")</f>
        <v>0</v>
      </c>
      <c r="I1536" s="3"/>
    </row>
    <row r="1537" spans="1:11" ht="12.75" customHeight="1">
      <c r="A1537" s="28"/>
      <c r="B1537" s="29" t="s">
        <v>2653</v>
      </c>
      <c r="C1537" s="30" t="str">
        <f>IFERROR(_xlfn.XLOOKUP(B1537,Insumo[DESCRIPCION],Insumo[UND],,0),"")</f>
        <v>Kg</v>
      </c>
      <c r="D1537" s="31">
        <v>0.6</v>
      </c>
      <c r="E1537" s="32">
        <f>IFERROR(_xlfn.XLOOKUP($B1537,Insumo[DESCRIPCION],Insumo[VALOR],,0),"")</f>
        <v>5686.8</v>
      </c>
      <c r="F1537" s="33"/>
      <c r="G1537" s="34">
        <f t="shared" si="16"/>
        <v>3412.08</v>
      </c>
      <c r="H1537" s="43">
        <f>IFERROR(G1537*E1526,"")</f>
        <v>0</v>
      </c>
      <c r="I1537" s="3"/>
    </row>
    <row r="1538" spans="1:11" ht="12.75" customHeight="1">
      <c r="A1538" s="28"/>
      <c r="B1538" s="29" t="s">
        <v>3244</v>
      </c>
      <c r="C1538" s="30" t="str">
        <f>IFERROR(_xlfn.XLOOKUP(B1538,Insumo[DESCRIPCION],Insumo[UND],,0),"")</f>
        <v>M3</v>
      </c>
      <c r="D1538" s="31">
        <v>0.02</v>
      </c>
      <c r="E1538" s="32">
        <f>IFERROR(_xlfn.XLOOKUP($B1538,Insumo[DESCRIPCION],Insumo[VALOR],,0),"")</f>
        <v>497765.65722213761</v>
      </c>
      <c r="F1538" s="33">
        <v>5</v>
      </c>
      <c r="G1538" s="34">
        <f t="shared" si="16"/>
        <v>10453.078801664891</v>
      </c>
      <c r="H1538" s="43">
        <f>IFERROR(G1538*E1526,"")</f>
        <v>0</v>
      </c>
      <c r="I1538" s="3"/>
    </row>
    <row r="1539" spans="1:11" ht="12.75" customHeight="1">
      <c r="A1539" s="21"/>
      <c r="B1539" s="22" t="s">
        <v>3731</v>
      </c>
      <c r="C1539" s="23"/>
      <c r="D1539" s="24"/>
      <c r="E1539" s="25"/>
      <c r="F1539" s="26"/>
      <c r="G1539" s="27">
        <f>SUM(G1540:G1542)</f>
        <v>96937.148192624998</v>
      </c>
      <c r="H1539" s="27">
        <f>IFERROR(G1539*E1526,"")</f>
        <v>0</v>
      </c>
      <c r="I1539" s="3"/>
    </row>
    <row r="1540" spans="1:11" ht="12.75" customHeight="1">
      <c r="A1540" s="28"/>
      <c r="B1540" s="29" t="s">
        <v>3626</v>
      </c>
      <c r="C1540" s="30" t="str">
        <f>IFERROR(_xlfn.XLOOKUP(B1540,Equipo[DESCRIPCION],Equipo[UND],,0),"")</f>
        <v>%MO</v>
      </c>
      <c r="D1540" s="31">
        <v>0.05</v>
      </c>
      <c r="E1540" s="32">
        <f>IF(C1540="%MO",G1546,IFERROR(_xlfn.XLOOKUP($B1540,Equipo[DESCRIPCION],Equipo[VALOR],,0),""))</f>
        <v>1077079.4243625</v>
      </c>
      <c r="F1540" s="33"/>
      <c r="G1540" s="34">
        <f>IFERROR(IF(F1540&gt;=0,D1540*E1540*(1+F1540/100),ABS(D1540*E1540/F1540)),"")</f>
        <v>53853.971218125</v>
      </c>
      <c r="H1540" s="43">
        <f>IFERROR(G1540*E1526,"")</f>
        <v>0</v>
      </c>
      <c r="I1540" s="3"/>
    </row>
    <row r="1541" spans="1:11" ht="12.75" customHeight="1">
      <c r="A1541" s="28"/>
      <c r="B1541" s="29" t="s">
        <v>3570</v>
      </c>
      <c r="C1541" s="30" t="str">
        <f>IFERROR(_xlfn.XLOOKUP(B1541,Equipo[DESCRIPCION],Equipo[UND],,0),"")</f>
        <v>%MO</v>
      </c>
      <c r="D1541" s="31">
        <v>0.04</v>
      </c>
      <c r="E1541" s="32">
        <f>IF(C1541="%MO",G1546,IFERROR(_xlfn.XLOOKUP($B1541,Equipo[DESCRIPCION],Equipo[VALOR],,0),""))</f>
        <v>1077079.4243625</v>
      </c>
      <c r="F1541" s="33"/>
      <c r="G1541" s="34">
        <f>IFERROR(IF(F1541&gt;=0,D1541*E1541*(1+F1541/100),ABS(D1541*E1541/F1541)),"")</f>
        <v>43083.176974499998</v>
      </c>
      <c r="H1541" s="43">
        <f>IFERROR(G1541*E1526,"")</f>
        <v>0</v>
      </c>
      <c r="I1541" s="3"/>
    </row>
    <row r="1542" spans="1:11" ht="12.75" customHeight="1">
      <c r="A1542" s="28"/>
      <c r="B1542" s="29"/>
      <c r="C1542" s="30" t="str">
        <f>IFERROR(_xlfn.XLOOKUP(B1542,Equipo[DESCRIPCION],Equipo[UND],,0),"")</f>
        <v/>
      </c>
      <c r="D1542" s="31"/>
      <c r="E1542" s="32" t="str">
        <f>IF(C1542="%MO",G1546,IFERROR(_xlfn.XLOOKUP($B1542,Equipo[DESCRIPCION],Equipo[VALOR],,0),""))</f>
        <v/>
      </c>
      <c r="F1542" s="33"/>
      <c r="G1542" s="34" t="str">
        <f>IFERROR(IF(F1542&gt;=0,D1542*E1542*(1+F1542/100),ABS(D1542*E1542/F1542)),"")</f>
        <v/>
      </c>
      <c r="H1542" s="43" t="str">
        <f>IFERROR(G1542*E1526,"")</f>
        <v/>
      </c>
      <c r="I1542" s="3"/>
    </row>
    <row r="1543" spans="1:11" ht="12.75" customHeight="1">
      <c r="A1543" s="21"/>
      <c r="B1543" s="22" t="s">
        <v>2533</v>
      </c>
      <c r="C1543" s="23"/>
      <c r="D1543" s="24"/>
      <c r="E1543" s="25"/>
      <c r="F1543" s="26"/>
      <c r="G1543" s="27">
        <f>SUM(G1544:G1545)</f>
        <v>54725.681818181823</v>
      </c>
      <c r="H1543" s="27">
        <f>IFERROR(G1543*E1526,"")</f>
        <v>0</v>
      </c>
      <c r="I1543" s="3"/>
    </row>
    <row r="1544" spans="1:11" ht="12.75" customHeight="1">
      <c r="A1544" s="28"/>
      <c r="B1544" s="29" t="s">
        <v>3663</v>
      </c>
      <c r="C1544" s="30" t="str">
        <f>IFERROR(_xlfn.XLOOKUP(B1544,Transporte[DESCRIPCION],Transporte[UND],,0),"")</f>
        <v>Hr</v>
      </c>
      <c r="D1544" s="31">
        <v>1</v>
      </c>
      <c r="E1544" s="32">
        <f>IFERROR(_xlfn.XLOOKUP($B1544,Transporte[DESCRIPCION],Transporte[VALOR],,0),"")</f>
        <v>36118.950000000004</v>
      </c>
      <c r="F1544" s="33">
        <v>-0.66</v>
      </c>
      <c r="G1544" s="34">
        <f>IFERROR(IF(F1544&gt;=0,D1544*E1544*(1+F1544/100),ABS(D1544*E1544/F1544)),"")</f>
        <v>54725.681818181823</v>
      </c>
      <c r="H1544" s="43">
        <f>IFERROR(G1544*E1526,"")</f>
        <v>0</v>
      </c>
      <c r="I1544" s="3"/>
    </row>
    <row r="1545" spans="1:11" ht="12.75" customHeight="1">
      <c r="A1545" s="28"/>
      <c r="B1545" s="29"/>
      <c r="C1545" s="30" t="str">
        <f>IFERROR(_xlfn.XLOOKUP(B1545,Transporte[DESCRIPCION],Transporte[UND],,0),"")</f>
        <v/>
      </c>
      <c r="D1545" s="31"/>
      <c r="E1545" s="32" t="str">
        <f>IFERROR(_xlfn.XLOOKUP($B1545,Transporte[DESCRIPCION],Transporte[VALOR],,0),"")</f>
        <v/>
      </c>
      <c r="F1545" s="33"/>
      <c r="G1545" s="34" t="str">
        <f>IFERROR(IF(F1545&gt;=0,D1545*E1545*(1+F1545/100),ABS(D1545*E1545/F1545)),"")</f>
        <v/>
      </c>
      <c r="H1545" s="43" t="str">
        <f>IFERROR(G1545*E1526,"")</f>
        <v/>
      </c>
      <c r="I1545" s="3"/>
    </row>
    <row r="1546" spans="1:11" ht="12.75" customHeight="1">
      <c r="A1546" s="21"/>
      <c r="B1546" s="22" t="s">
        <v>3732</v>
      </c>
      <c r="C1546" s="23"/>
      <c r="D1546" s="24"/>
      <c r="E1546" s="25"/>
      <c r="F1546" s="26"/>
      <c r="G1546" s="27">
        <f>SUM(G1547:G1549)</f>
        <v>1077079.4243625</v>
      </c>
      <c r="H1546" s="27">
        <f>IFERROR(G1546*E1526,"")</f>
        <v>0</v>
      </c>
      <c r="I1546" s="3"/>
    </row>
    <row r="1547" spans="1:11" ht="12.75" customHeight="1">
      <c r="A1547" s="28"/>
      <c r="B1547" s="29" t="s">
        <v>3711</v>
      </c>
      <c r="C1547" s="30" t="str">
        <f>IFERROR(_xlfn.XLOOKUP(B1547,MObra[DESCRIPCION],MObra[UN],,0),"")</f>
        <v>día</v>
      </c>
      <c r="D1547" s="31">
        <v>1</v>
      </c>
      <c r="E1547" s="32">
        <f>IFERROR(_xlfn.XLOOKUP($B1547,MObra[DESCRIPCION],MObra[VALOR UNIT],,0),"")</f>
        <v>430831.76974500006</v>
      </c>
      <c r="F1547" s="33">
        <v>-0.4</v>
      </c>
      <c r="G1547" s="34">
        <f>IFERROR(IF(F1547&gt;=0,D1547*E1547*(1+F1547/100),ABS(D1547*E1547/F1547)),"")</f>
        <v>1077079.4243625</v>
      </c>
      <c r="H1547" s="43">
        <f>IFERROR(G1547*E1526,"")</f>
        <v>0</v>
      </c>
      <c r="I1547" s="3"/>
    </row>
    <row r="1548" spans="1:11" ht="12.75" customHeight="1">
      <c r="A1548" s="28"/>
      <c r="B1548" s="29"/>
      <c r="C1548" s="30" t="str">
        <f>IFERROR(_xlfn.XLOOKUP(B1548,MObra[DESCRIPCION],MObra[UN],,0),"")</f>
        <v/>
      </c>
      <c r="D1548" s="31"/>
      <c r="E1548" s="32" t="str">
        <f>IFERROR(_xlfn.XLOOKUP($B1548,MObra[DESCRIPCION],MObra[VALOR UNIT],,0),"")</f>
        <v/>
      </c>
      <c r="F1548" s="33"/>
      <c r="G1548" s="34" t="str">
        <f>IFERROR(IF(F1548&gt;=0,D1548*E1548*(1+F1548/100),ABS(D1548*E1548/F1548)),"")</f>
        <v/>
      </c>
      <c r="H1548" s="43" t="str">
        <f>IFERROR(G1548*E1526,"")</f>
        <v/>
      </c>
      <c r="I1548" s="3"/>
    </row>
    <row r="1549" spans="1:11" ht="12.75" customHeight="1" thickBot="1">
      <c r="A1549" s="35"/>
      <c r="B1549" s="36"/>
      <c r="C1549" s="37" t="str">
        <f>IFERROR(_xlfn.XLOOKUP(B1549,MObra[DESCRIPCION],MObra[UN],,0),"")</f>
        <v/>
      </c>
      <c r="D1549" s="38"/>
      <c r="E1549" s="39" t="str">
        <f>IFERROR(_xlfn.XLOOKUP($B1549,MObra[DESCRIPCION],MObra[VALOR UNIT],,0),"")</f>
        <v/>
      </c>
      <c r="F1549" s="40"/>
      <c r="G1549" s="41" t="str">
        <f>IFERROR(IF(F1549&gt;=0,D1549*E1549*(1+F1549/100),ABS(D1549*E1549/F1549)),"")</f>
        <v/>
      </c>
      <c r="H1549" s="42" t="str">
        <f>IFERROR(G1549*E1526,"")</f>
        <v/>
      </c>
      <c r="I1549" s="3"/>
    </row>
    <row r="1550" spans="1:11" ht="12.75" customHeight="1" thickTop="1" thickBot="1">
      <c r="I1550" s="3"/>
    </row>
    <row r="1551" spans="1:11" ht="12.75" customHeight="1" thickTop="1" thickBot="1">
      <c r="A1551" s="6" t="s">
        <v>1709</v>
      </c>
      <c r="B1551" s="7" t="str">
        <f>VLOOKUP($A1551,Presupuesto!$A:$D,2,FALSE())</f>
        <v>Concertina inoxidable d = 18"</v>
      </c>
      <c r="C1551" s="8" t="str">
        <f>VLOOKUP($A1551,Presupuesto!$A:$D,3,FALSE())</f>
        <v>M2</v>
      </c>
      <c r="D1551" s="9"/>
      <c r="E1551" s="10">
        <f>VLOOKUP($A1551,Presupuesto!$A:$D,4,FALSE())</f>
        <v>0</v>
      </c>
      <c r="F1551" s="11" t="s">
        <v>2589</v>
      </c>
      <c r="G1551" s="12">
        <f>SUM(G1553:G1569)/2</f>
        <v>46131.755037803581</v>
      </c>
      <c r="H1551" s="13">
        <f>ROUND(SUM(H1553:H1569),0)/2</f>
        <v>0</v>
      </c>
      <c r="I1551" s="10">
        <f>VLOOKUP(A1551,Presupuesto!$A:$F,6,0)</f>
        <v>0</v>
      </c>
      <c r="J1551" s="10">
        <f>+H1551-I1551</f>
        <v>0</v>
      </c>
      <c r="K1551" s="46">
        <f>+H1551-G1551*E1551</f>
        <v>0</v>
      </c>
    </row>
    <row r="1552" spans="1:11" ht="12.75" customHeight="1" thickTop="1">
      <c r="A1552" s="14"/>
      <c r="B1552" s="15" t="s">
        <v>2586</v>
      </c>
      <c r="C1552" s="15" t="s">
        <v>5</v>
      </c>
      <c r="D1552" s="16" t="s">
        <v>6</v>
      </c>
      <c r="E1552" s="17" t="s">
        <v>7</v>
      </c>
      <c r="F1552" s="18" t="s">
        <v>3728</v>
      </c>
      <c r="G1552" s="19" t="s">
        <v>3729</v>
      </c>
      <c r="H1552" s="20" t="s">
        <v>3797</v>
      </c>
      <c r="I1552" s="3"/>
    </row>
    <row r="1553" spans="1:9" ht="12.75" customHeight="1">
      <c r="A1553" s="21"/>
      <c r="B1553" s="22" t="s">
        <v>3730</v>
      </c>
      <c r="C1553" s="23"/>
      <c r="D1553" s="24"/>
      <c r="E1553" s="25"/>
      <c r="F1553" s="26"/>
      <c r="G1553" s="27">
        <f>SUM(G1554:G1558)</f>
        <v>20306.800500000001</v>
      </c>
      <c r="H1553" s="27">
        <f>IFERROR(G1553*E1551,"")</f>
        <v>0</v>
      </c>
      <c r="I1553" s="3"/>
    </row>
    <row r="1554" spans="1:9" ht="12.75" customHeight="1">
      <c r="A1554" s="28"/>
      <c r="B1554" s="29" t="s">
        <v>2698</v>
      </c>
      <c r="C1554" s="30" t="str">
        <f>IFERROR(_xlfn.XLOOKUP(B1554,Insumo[DESCRIPCION],Insumo[UND],,0),"")</f>
        <v>Kg</v>
      </c>
      <c r="D1554" s="31">
        <v>0.25</v>
      </c>
      <c r="E1554" s="32">
        <f>IFERROR(_xlfn.XLOOKUP($B1554,Insumo[DESCRIPCION],Insumo[VALOR],,0),"")</f>
        <v>11569.95</v>
      </c>
      <c r="F1554" s="33"/>
      <c r="G1554" s="34">
        <f>IFERROR(IF(F1554&gt;=0,D1554*E1554*(1+F1554/100),ABS(D1554*E1554/F1554)),"")</f>
        <v>2892.4875000000002</v>
      </c>
      <c r="H1554" s="43">
        <f>IFERROR(G1554*E1551,"")</f>
        <v>0</v>
      </c>
      <c r="I1554" s="3"/>
    </row>
    <row r="1555" spans="1:9" ht="12.75" customHeight="1">
      <c r="A1555" s="28"/>
      <c r="B1555" s="29" t="s">
        <v>2864</v>
      </c>
      <c r="C1555" s="30" t="str">
        <f>IFERROR(_xlfn.XLOOKUP(B1555,Insumo[DESCRIPCION],Insumo[UND],,0),"")</f>
        <v>M</v>
      </c>
      <c r="D1555" s="31">
        <v>1</v>
      </c>
      <c r="E1555" s="32">
        <f>IFERROR(_xlfn.XLOOKUP($B1555,Insumo[DESCRIPCION],Insumo[VALOR],,0),"")</f>
        <v>16907.100000000002</v>
      </c>
      <c r="F1555" s="33">
        <v>3</v>
      </c>
      <c r="G1555" s="34">
        <f>IFERROR(IF(F1555&gt;=0,D1555*E1555*(1+F1555/100),ABS(D1555*E1555/F1555)),"")</f>
        <v>17414.313000000002</v>
      </c>
      <c r="H1555" s="43">
        <f>IFERROR(G1555*E1551,"")</f>
        <v>0</v>
      </c>
      <c r="I1555" s="3"/>
    </row>
    <row r="1556" spans="1:9" ht="12.75" customHeight="1">
      <c r="A1556" s="28"/>
      <c r="B1556" s="29"/>
      <c r="C1556" s="30" t="str">
        <f>IFERROR(_xlfn.XLOOKUP(B1556,Insumo[DESCRIPCION],Insumo[UND],,0),"")</f>
        <v/>
      </c>
      <c r="D1556" s="31"/>
      <c r="E1556" s="32" t="str">
        <f>IFERROR(_xlfn.XLOOKUP($B1556,Insumo[DESCRIPCION],Insumo[VALOR],,0),"")</f>
        <v/>
      </c>
      <c r="F1556" s="33"/>
      <c r="G1556" s="34" t="str">
        <f>IFERROR(IF(F1556&gt;=0,D1556*E1556*(1+F1556/100),ABS(D1556*E1556/F1556)),"")</f>
        <v/>
      </c>
      <c r="H1556" s="43" t="str">
        <f>IFERROR(G1556*E1551,"")</f>
        <v/>
      </c>
      <c r="I1556" s="3"/>
    </row>
    <row r="1557" spans="1:9" ht="12.75" customHeight="1">
      <c r="A1557" s="28"/>
      <c r="B1557" s="29"/>
      <c r="C1557" s="30" t="str">
        <f>IFERROR(_xlfn.XLOOKUP(B1557,Insumo[DESCRIPCION],Insumo[UND],,0),"")</f>
        <v/>
      </c>
      <c r="D1557" s="31"/>
      <c r="E1557" s="32" t="str">
        <f>IFERROR(_xlfn.XLOOKUP($B1557,Insumo[DESCRIPCION],Insumo[VALOR],,0),"")</f>
        <v/>
      </c>
      <c r="F1557" s="33"/>
      <c r="G1557" s="34" t="str">
        <f>IFERROR(IF(F1557&gt;=0,D1557*E1557*(1+F1557/100),ABS(D1557*E1557/F1557)),"")</f>
        <v/>
      </c>
      <c r="H1557" s="43" t="str">
        <f>IFERROR(G1557*E1551,"")</f>
        <v/>
      </c>
      <c r="I1557" s="3"/>
    </row>
    <row r="1558" spans="1:9" ht="12.75" customHeight="1">
      <c r="A1558" s="28"/>
      <c r="B1558" s="29"/>
      <c r="C1558" s="30" t="str">
        <f>IFERROR(_xlfn.XLOOKUP(B1558,Insumo[DESCRIPCION],Insumo[UND],,0),"")</f>
        <v/>
      </c>
      <c r="D1558" s="31"/>
      <c r="E1558" s="32" t="str">
        <f>IFERROR(_xlfn.XLOOKUP($B1558,Insumo[DESCRIPCION],Insumo[VALOR],,0),"")</f>
        <v/>
      </c>
      <c r="F1558" s="33"/>
      <c r="G1558" s="34" t="str">
        <f>IFERROR(IF(F1558&gt;=0,D1558*E1558*(1+F1558/100),ABS(D1558*E1558/F1558)),"")</f>
        <v/>
      </c>
      <c r="H1558" s="43" t="str">
        <f>IFERROR(G1558*E1551,"")</f>
        <v/>
      </c>
      <c r="I1558" s="3"/>
    </row>
    <row r="1559" spans="1:9" ht="12.75" customHeight="1">
      <c r="A1559" s="21"/>
      <c r="B1559" s="22" t="s">
        <v>3731</v>
      </c>
      <c r="C1559" s="23"/>
      <c r="D1559" s="24"/>
      <c r="E1559" s="25"/>
      <c r="F1559" s="26"/>
      <c r="G1559" s="27">
        <f>SUM(G1560:G1562)</f>
        <v>3368.4723310178583</v>
      </c>
      <c r="H1559" s="27">
        <f>IFERROR(G1559*E1551,"")</f>
        <v>0</v>
      </c>
      <c r="I1559" s="3"/>
    </row>
    <row r="1560" spans="1:9" ht="12.75" customHeight="1">
      <c r="A1560" s="28"/>
      <c r="B1560" s="29" t="s">
        <v>3573</v>
      </c>
      <c r="C1560" s="30" t="str">
        <f>IFERROR(_xlfn.XLOOKUP(B1560,Equipo[DESCRIPCION],Equipo[UND],,0),"")</f>
        <v>%MO</v>
      </c>
      <c r="D1560" s="31">
        <v>0.1</v>
      </c>
      <c r="E1560" s="32">
        <f>IF(C1560="%MO",G1566,IFERROR(_xlfn.XLOOKUP($B1560,Equipo[DESCRIPCION],Equipo[VALOR],,0),""))</f>
        <v>22456.48220678572</v>
      </c>
      <c r="F1560" s="33"/>
      <c r="G1560" s="34">
        <f>IFERROR(IF(F1560&gt;=0,D1560*E1560*(1+F1560/100),ABS(D1560*E1560/F1560)),"")</f>
        <v>2245.6482206785722</v>
      </c>
      <c r="H1560" s="43">
        <f>IFERROR(G1560*E1551,"")</f>
        <v>0</v>
      </c>
      <c r="I1560" s="3"/>
    </row>
    <row r="1561" spans="1:9" ht="12.75" customHeight="1">
      <c r="A1561" s="28"/>
      <c r="B1561" s="29" t="s">
        <v>3626</v>
      </c>
      <c r="C1561" s="30" t="str">
        <f>IFERROR(_xlfn.XLOOKUP(B1561,Equipo[DESCRIPCION],Equipo[UND],,0),"")</f>
        <v>%MO</v>
      </c>
      <c r="D1561" s="31">
        <v>0.05</v>
      </c>
      <c r="E1561" s="32">
        <f>IF(C1561="%MO",G1566,IFERROR(_xlfn.XLOOKUP($B1561,Equipo[DESCRIPCION],Equipo[VALOR],,0),""))</f>
        <v>22456.48220678572</v>
      </c>
      <c r="F1561" s="33"/>
      <c r="G1561" s="34">
        <f>IFERROR(IF(F1561&gt;=0,D1561*E1561*(1+F1561/100),ABS(D1561*E1561/F1561)),"")</f>
        <v>1122.8241103392861</v>
      </c>
      <c r="H1561" s="43">
        <f>IFERROR(G1561*E1551,"")</f>
        <v>0</v>
      </c>
      <c r="I1561" s="3"/>
    </row>
    <row r="1562" spans="1:9" ht="12.75" customHeight="1">
      <c r="A1562" s="28"/>
      <c r="B1562" s="29"/>
      <c r="C1562" s="30" t="str">
        <f>IFERROR(_xlfn.XLOOKUP(B1562,Equipo[DESCRIPCION],Equipo[UND],,0),"")</f>
        <v/>
      </c>
      <c r="D1562" s="31"/>
      <c r="E1562" s="32" t="str">
        <f>IF(C1562="%MO",G1566,IFERROR(_xlfn.XLOOKUP($B1562,Equipo[DESCRIPCION],Equipo[VALOR],,0),""))</f>
        <v/>
      </c>
      <c r="F1562" s="33"/>
      <c r="G1562" s="34" t="str">
        <f>IFERROR(IF(F1562&gt;=0,D1562*E1562*(1+F1562/100),ABS(D1562*E1562/F1562)),"")</f>
        <v/>
      </c>
      <c r="H1562" s="43" t="str">
        <f>IFERROR(G1562*E1551,"")</f>
        <v/>
      </c>
      <c r="I1562" s="3"/>
    </row>
    <row r="1563" spans="1:9" ht="12.75" customHeight="1">
      <c r="A1563" s="21"/>
      <c r="B1563" s="22" t="s">
        <v>2533</v>
      </c>
      <c r="C1563" s="23"/>
      <c r="D1563" s="24"/>
      <c r="E1563" s="25"/>
      <c r="F1563" s="26"/>
      <c r="G1563" s="27">
        <f>SUM(G1564:G1565)</f>
        <v>0</v>
      </c>
      <c r="H1563" s="27">
        <f>IFERROR(G1563*E1551,"")</f>
        <v>0</v>
      </c>
      <c r="I1563" s="3"/>
    </row>
    <row r="1564" spans="1:9" ht="12.75" customHeight="1">
      <c r="A1564" s="28"/>
      <c r="B1564" s="29"/>
      <c r="C1564" s="30" t="str">
        <f>IFERROR(_xlfn.XLOOKUP(B1564,Transporte[DESCRIPCION],Transporte[UND],,0),"")</f>
        <v/>
      </c>
      <c r="D1564" s="31"/>
      <c r="E1564" s="32" t="str">
        <f>IFERROR(_xlfn.XLOOKUP($B1564,Transporte[DESCRIPCION],Transporte[VALOR],,0),"")</f>
        <v/>
      </c>
      <c r="F1564" s="33"/>
      <c r="G1564" s="34" t="str">
        <f>IFERROR(IF(F1564&gt;=0,D1564*E1564*(1+F1564/100),ABS(D1564*E1564/F1564)),"")</f>
        <v/>
      </c>
      <c r="H1564" s="43" t="str">
        <f>IFERROR(G1564*E1551,"")</f>
        <v/>
      </c>
      <c r="I1564" s="3"/>
    </row>
    <row r="1565" spans="1:9" ht="12.75" customHeight="1">
      <c r="A1565" s="28"/>
      <c r="B1565" s="29"/>
      <c r="C1565" s="30" t="str">
        <f>IFERROR(_xlfn.XLOOKUP(B1565,Transporte[DESCRIPCION],Transporte[UND],,0),"")</f>
        <v/>
      </c>
      <c r="D1565" s="31"/>
      <c r="E1565" s="32" t="str">
        <f>IFERROR(_xlfn.XLOOKUP($B1565,Transporte[DESCRIPCION],Transporte[VALOR],,0),"")</f>
        <v/>
      </c>
      <c r="F1565" s="33"/>
      <c r="G1565" s="34" t="str">
        <f>IFERROR(IF(F1565&gt;=0,D1565*E1565*(1+F1565/100),ABS(D1565*E1565/F1565)),"")</f>
        <v/>
      </c>
      <c r="H1565" s="43" t="str">
        <f>IFERROR(G1565*E1551,"")</f>
        <v/>
      </c>
      <c r="I1565" s="3"/>
    </row>
    <row r="1566" spans="1:9" ht="12.75" customHeight="1">
      <c r="A1566" s="21"/>
      <c r="B1566" s="22" t="s">
        <v>3732</v>
      </c>
      <c r="C1566" s="23"/>
      <c r="D1566" s="24"/>
      <c r="E1566" s="25"/>
      <c r="F1566" s="26"/>
      <c r="G1566" s="27">
        <f>SUM(G1567:G1569)</f>
        <v>22456.48220678572</v>
      </c>
      <c r="H1566" s="27">
        <f>IFERROR(G1566*E1551,"")</f>
        <v>0</v>
      </c>
      <c r="I1566" s="3"/>
    </row>
    <row r="1567" spans="1:9" ht="12.75" customHeight="1">
      <c r="A1567" s="28"/>
      <c r="B1567" s="29" t="s">
        <v>3710</v>
      </c>
      <c r="C1567" s="30" t="str">
        <f>IFERROR(_xlfn.XLOOKUP(B1567,MObra[DESCRIPCION],MObra[UN],,0),"")</f>
        <v>día</v>
      </c>
      <c r="D1567" s="31">
        <v>1</v>
      </c>
      <c r="E1567" s="32">
        <f>IFERROR(_xlfn.XLOOKUP($B1567,MObra[DESCRIPCION],MObra[VALOR UNIT],,0),"")</f>
        <v>314390.75089500006</v>
      </c>
      <c r="F1567" s="33">
        <v>-14</v>
      </c>
      <c r="G1567" s="34">
        <f>IFERROR(IF(F1567&gt;=0,D1567*E1567*(1+F1567/100),ABS(D1567*E1567/F1567)),"")</f>
        <v>22456.48220678572</v>
      </c>
      <c r="H1567" s="43">
        <f>IFERROR(G1567*E1551,"")</f>
        <v>0</v>
      </c>
      <c r="I1567" s="3"/>
    </row>
    <row r="1568" spans="1:9" ht="12.75" customHeight="1">
      <c r="A1568" s="28"/>
      <c r="B1568" s="29"/>
      <c r="C1568" s="30" t="str">
        <f>IFERROR(_xlfn.XLOOKUP(B1568,MObra[DESCRIPCION],MObra[UN],,0),"")</f>
        <v/>
      </c>
      <c r="D1568" s="31"/>
      <c r="E1568" s="32" t="str">
        <f>IFERROR(_xlfn.XLOOKUP($B1568,MObra[DESCRIPCION],MObra[VALOR UNIT],,0),"")</f>
        <v/>
      </c>
      <c r="F1568" s="33"/>
      <c r="G1568" s="34" t="str">
        <f>IFERROR(IF(F1568&gt;=0,D1568*E1568*(1+F1568/100),ABS(D1568*E1568/F1568)),"")</f>
        <v/>
      </c>
      <c r="H1568" s="43" t="str">
        <f>IFERROR(G1568*E1551,"")</f>
        <v/>
      </c>
      <c r="I1568" s="3"/>
    </row>
    <row r="1569" spans="1:11" ht="12.75" customHeight="1" thickBot="1">
      <c r="A1569" s="35"/>
      <c r="B1569" s="36"/>
      <c r="C1569" s="37" t="str">
        <f>IFERROR(_xlfn.XLOOKUP(B1569,MObra[DESCRIPCION],MObra[UN],,0),"")</f>
        <v/>
      </c>
      <c r="D1569" s="38"/>
      <c r="E1569" s="39" t="str">
        <f>IFERROR(_xlfn.XLOOKUP($B1569,MObra[DESCRIPCION],MObra[VALOR UNIT],,0),"")</f>
        <v/>
      </c>
      <c r="F1569" s="40"/>
      <c r="G1569" s="41" t="str">
        <f>IFERROR(IF(F1569&gt;=0,D1569*E1569*(1+F1569/100),ABS(D1569*E1569/F1569)),"")</f>
        <v/>
      </c>
      <c r="H1569" s="42" t="str">
        <f>IFERROR(G1569*E1551,"")</f>
        <v/>
      </c>
      <c r="I1569" s="3"/>
    </row>
    <row r="1570" spans="1:11" ht="12.75" customHeight="1" thickTop="1" thickBot="1">
      <c r="I1570" s="3"/>
    </row>
    <row r="1571" spans="1:11" ht="12.75" customHeight="1" thickTop="1" thickBot="1">
      <c r="A1571" s="6" t="s">
        <v>1711</v>
      </c>
      <c r="B1571" s="7" t="str">
        <f>VLOOKUP($A1571,Presupuesto!$A:$D,2,FALSE())</f>
        <v>Malla de nylon para protección</v>
      </c>
      <c r="C1571" s="8" t="str">
        <f>VLOOKUP($A1571,Presupuesto!$A:$D,3,FALSE())</f>
        <v>M2</v>
      </c>
      <c r="D1571" s="9"/>
      <c r="E1571" s="10">
        <f>VLOOKUP($A1571,Presupuesto!$A:$D,4,FALSE())</f>
        <v>0</v>
      </c>
      <c r="F1571" s="11" t="s">
        <v>2589</v>
      </c>
      <c r="G1571" s="12">
        <f>SUM(G1573:G1589)/2</f>
        <v>24643.137270585001</v>
      </c>
      <c r="H1571" s="13">
        <f>ROUND(SUM(H1573:H1589),0)/2</f>
        <v>0</v>
      </c>
      <c r="I1571" s="10">
        <f>VLOOKUP(A1571,Presupuesto!$A:$F,6,0)</f>
        <v>0</v>
      </c>
      <c r="J1571" s="10">
        <f>+H1571-I1571</f>
        <v>0</v>
      </c>
      <c r="K1571" s="46">
        <f>+H1571-G1571*E1571</f>
        <v>0</v>
      </c>
    </row>
    <row r="1572" spans="1:11" ht="12.75" customHeight="1" thickTop="1">
      <c r="A1572" s="14"/>
      <c r="B1572" s="15" t="s">
        <v>2586</v>
      </c>
      <c r="C1572" s="15" t="s">
        <v>5</v>
      </c>
      <c r="D1572" s="16" t="s">
        <v>6</v>
      </c>
      <c r="E1572" s="17" t="s">
        <v>7</v>
      </c>
      <c r="F1572" s="18" t="s">
        <v>3728</v>
      </c>
      <c r="G1572" s="19" t="s">
        <v>3729</v>
      </c>
      <c r="H1572" s="20" t="s">
        <v>3797</v>
      </c>
      <c r="I1572" s="3"/>
    </row>
    <row r="1573" spans="1:11" ht="12.75" customHeight="1">
      <c r="A1573" s="21"/>
      <c r="B1573" s="22" t="s">
        <v>3730</v>
      </c>
      <c r="C1573" s="23"/>
      <c r="D1573" s="24"/>
      <c r="E1573" s="25"/>
      <c r="F1573" s="26"/>
      <c r="G1573" s="27">
        <f>SUM(G1574:G1578)</f>
        <v>17412.150000000001</v>
      </c>
      <c r="H1573" s="27">
        <f>IFERROR(G1573*E1571,"")</f>
        <v>0</v>
      </c>
      <c r="I1573" s="3"/>
    </row>
    <row r="1574" spans="1:11" ht="12.75" customHeight="1">
      <c r="A1574" s="28"/>
      <c r="B1574" s="29" t="s">
        <v>3131</v>
      </c>
      <c r="C1574" s="30" t="str">
        <f>IFERROR(_xlfn.XLOOKUP(B1574,Insumo[DESCRIPCION],Insumo[UND],,0),"")</f>
        <v>M2</v>
      </c>
      <c r="D1574" s="31">
        <v>1</v>
      </c>
      <c r="E1574" s="32">
        <f>IFERROR(_xlfn.XLOOKUP($B1574,Insumo[DESCRIPCION],Insumo[VALOR],,0),"")</f>
        <v>17412.150000000001</v>
      </c>
      <c r="F1574" s="33"/>
      <c r="G1574" s="34">
        <f>IFERROR(IF(F1574&gt;=0,D1574*E1574*(1+F1574/100),ABS(D1574*E1574/F1574)),"")</f>
        <v>17412.150000000001</v>
      </c>
      <c r="H1574" s="43">
        <f>IFERROR(G1574*E1571,"")</f>
        <v>0</v>
      </c>
      <c r="I1574" s="3"/>
    </row>
    <row r="1575" spans="1:11" ht="12.75" customHeight="1">
      <c r="A1575" s="28"/>
      <c r="B1575" s="29"/>
      <c r="C1575" s="30" t="str">
        <f>IFERROR(_xlfn.XLOOKUP(B1575,Insumo[DESCRIPCION],Insumo[UND],,0),"")</f>
        <v/>
      </c>
      <c r="D1575" s="31"/>
      <c r="E1575" s="32" t="str">
        <f>IFERROR(_xlfn.XLOOKUP($B1575,Insumo[DESCRIPCION],Insumo[VALOR],,0),"")</f>
        <v/>
      </c>
      <c r="F1575" s="33"/>
      <c r="G1575" s="34" t="str">
        <f>IFERROR(IF(F1575&gt;=0,D1575*E1575*(1+F1575/100),ABS(D1575*E1575/F1575)),"")</f>
        <v/>
      </c>
      <c r="H1575" s="43" t="str">
        <f>IFERROR(G1575*E1571,"")</f>
        <v/>
      </c>
      <c r="I1575" s="3"/>
    </row>
    <row r="1576" spans="1:11" ht="12.75" customHeight="1">
      <c r="A1576" s="28"/>
      <c r="B1576" s="29"/>
      <c r="C1576" s="30" t="str">
        <f>IFERROR(_xlfn.XLOOKUP(B1576,Insumo[DESCRIPCION],Insumo[UND],,0),"")</f>
        <v/>
      </c>
      <c r="D1576" s="31"/>
      <c r="E1576" s="32" t="str">
        <f>IFERROR(_xlfn.XLOOKUP($B1576,Insumo[DESCRIPCION],Insumo[VALOR],,0),"")</f>
        <v/>
      </c>
      <c r="F1576" s="33"/>
      <c r="G1576" s="34" t="str">
        <f>IFERROR(IF(F1576&gt;=0,D1576*E1576*(1+F1576/100),ABS(D1576*E1576/F1576)),"")</f>
        <v/>
      </c>
      <c r="H1576" s="43" t="str">
        <f>IFERROR(G1576*E1571,"")</f>
        <v/>
      </c>
      <c r="I1576" s="3"/>
    </row>
    <row r="1577" spans="1:11" ht="12.75" customHeight="1">
      <c r="A1577" s="28"/>
      <c r="B1577" s="29"/>
      <c r="C1577" s="30" t="str">
        <f>IFERROR(_xlfn.XLOOKUP(B1577,Insumo[DESCRIPCION],Insumo[UND],,0),"")</f>
        <v/>
      </c>
      <c r="D1577" s="31"/>
      <c r="E1577" s="32" t="str">
        <f>IFERROR(_xlfn.XLOOKUP($B1577,Insumo[DESCRIPCION],Insumo[VALOR],,0),"")</f>
        <v/>
      </c>
      <c r="F1577" s="33"/>
      <c r="G1577" s="34" t="str">
        <f>IFERROR(IF(F1577&gt;=0,D1577*E1577*(1+F1577/100),ABS(D1577*E1577/F1577)),"")</f>
        <v/>
      </c>
      <c r="H1577" s="43" t="str">
        <f>IFERROR(G1577*E1571,"")</f>
        <v/>
      </c>
      <c r="I1577" s="3"/>
    </row>
    <row r="1578" spans="1:11" ht="12.75" customHeight="1">
      <c r="A1578" s="28"/>
      <c r="B1578" s="29"/>
      <c r="C1578" s="30" t="str">
        <f>IFERROR(_xlfn.XLOOKUP(B1578,Insumo[DESCRIPCION],Insumo[UND],,0),"")</f>
        <v/>
      </c>
      <c r="D1578" s="31"/>
      <c r="E1578" s="32" t="str">
        <f>IFERROR(_xlfn.XLOOKUP($B1578,Insumo[DESCRIPCION],Insumo[VALOR],,0),"")</f>
        <v/>
      </c>
      <c r="F1578" s="33"/>
      <c r="G1578" s="34" t="str">
        <f>IFERROR(IF(F1578&gt;=0,D1578*E1578*(1+F1578/100),ABS(D1578*E1578/F1578)),"")</f>
        <v/>
      </c>
      <c r="H1578" s="43" t="str">
        <f>IFERROR(G1578*E1571,"")</f>
        <v/>
      </c>
      <c r="I1578" s="3"/>
    </row>
    <row r="1579" spans="1:11" ht="12.75" customHeight="1">
      <c r="A1579" s="21"/>
      <c r="B1579" s="22" t="s">
        <v>3731</v>
      </c>
      <c r="C1579" s="23"/>
      <c r="D1579" s="24"/>
      <c r="E1579" s="25"/>
      <c r="F1579" s="26"/>
      <c r="G1579" s="27">
        <f>SUM(G1580:G1582)</f>
        <v>943.17225268500033</v>
      </c>
      <c r="H1579" s="27">
        <f>IFERROR(G1579*E1571,"")</f>
        <v>0</v>
      </c>
      <c r="I1579" s="3"/>
    </row>
    <row r="1580" spans="1:11" ht="12.75" customHeight="1">
      <c r="A1580" s="28"/>
      <c r="B1580" s="29" t="s">
        <v>3573</v>
      </c>
      <c r="C1580" s="30" t="str">
        <f>IFERROR(_xlfn.XLOOKUP(B1580,Equipo[DESCRIPCION],Equipo[UND],,0),"")</f>
        <v>%MO</v>
      </c>
      <c r="D1580" s="31">
        <v>0.1</v>
      </c>
      <c r="E1580" s="32">
        <f>IF(C1580="%MO",G1586,IFERROR(_xlfn.XLOOKUP($B1580,Equipo[DESCRIPCION],Equipo[VALOR],,0),""))</f>
        <v>6287.8150179000013</v>
      </c>
      <c r="F1580" s="33"/>
      <c r="G1580" s="34">
        <f>IFERROR(IF(F1580&gt;=0,D1580*E1580*(1+F1580/100),ABS(D1580*E1580/F1580)),"")</f>
        <v>628.78150179000022</v>
      </c>
      <c r="H1580" s="43">
        <f>IFERROR(G1580*E1571,"")</f>
        <v>0</v>
      </c>
      <c r="I1580" s="3"/>
    </row>
    <row r="1581" spans="1:11" ht="12.75" customHeight="1">
      <c r="A1581" s="28"/>
      <c r="B1581" s="29" t="s">
        <v>3626</v>
      </c>
      <c r="C1581" s="30" t="str">
        <f>IFERROR(_xlfn.XLOOKUP(B1581,Equipo[DESCRIPCION],Equipo[UND],,0),"")</f>
        <v>%MO</v>
      </c>
      <c r="D1581" s="31">
        <v>0.05</v>
      </c>
      <c r="E1581" s="32">
        <f>IF(C1581="%MO",G1586,IFERROR(_xlfn.XLOOKUP($B1581,Equipo[DESCRIPCION],Equipo[VALOR],,0),""))</f>
        <v>6287.8150179000013</v>
      </c>
      <c r="F1581" s="33"/>
      <c r="G1581" s="34">
        <f>IFERROR(IF(F1581&gt;=0,D1581*E1581*(1+F1581/100),ABS(D1581*E1581/F1581)),"")</f>
        <v>314.39075089500011</v>
      </c>
      <c r="H1581" s="43">
        <f>IFERROR(G1581*E1571,"")</f>
        <v>0</v>
      </c>
      <c r="I1581" s="3"/>
    </row>
    <row r="1582" spans="1:11" ht="12.75" customHeight="1">
      <c r="A1582" s="28"/>
      <c r="B1582" s="29"/>
      <c r="C1582" s="30" t="str">
        <f>IFERROR(_xlfn.XLOOKUP(B1582,Equipo[DESCRIPCION],Equipo[UND],,0),"")</f>
        <v/>
      </c>
      <c r="D1582" s="31"/>
      <c r="E1582" s="32" t="str">
        <f>IF(C1582="%MO",G1586,IFERROR(_xlfn.XLOOKUP($B1582,Equipo[DESCRIPCION],Equipo[VALOR],,0),""))</f>
        <v/>
      </c>
      <c r="F1582" s="33"/>
      <c r="G1582" s="34" t="str">
        <f>IFERROR(IF(F1582&gt;=0,D1582*E1582*(1+F1582/100),ABS(D1582*E1582/F1582)),"")</f>
        <v/>
      </c>
      <c r="H1582" s="43" t="str">
        <f>IFERROR(G1582*E1571,"")</f>
        <v/>
      </c>
      <c r="I1582" s="3"/>
    </row>
    <row r="1583" spans="1:11" ht="12.75" customHeight="1">
      <c r="A1583" s="21"/>
      <c r="B1583" s="22" t="s">
        <v>2533</v>
      </c>
      <c r="C1583" s="23"/>
      <c r="D1583" s="24"/>
      <c r="E1583" s="25"/>
      <c r="F1583" s="26"/>
      <c r="G1583" s="27">
        <f>SUM(G1584:G1585)</f>
        <v>0</v>
      </c>
      <c r="H1583" s="27">
        <f>IFERROR(G1583*E1571,"")</f>
        <v>0</v>
      </c>
      <c r="I1583" s="3"/>
    </row>
    <row r="1584" spans="1:11" ht="12.75" customHeight="1">
      <c r="A1584" s="28"/>
      <c r="B1584" s="29"/>
      <c r="C1584" s="30" t="str">
        <f>IFERROR(_xlfn.XLOOKUP(B1584,Transporte[DESCRIPCION],Transporte[UND],,0),"")</f>
        <v/>
      </c>
      <c r="D1584" s="31"/>
      <c r="E1584" s="32" t="str">
        <f>IFERROR(_xlfn.XLOOKUP($B1584,Transporte[DESCRIPCION],Transporte[VALOR],,0),"")</f>
        <v/>
      </c>
      <c r="F1584" s="33"/>
      <c r="G1584" s="34" t="str">
        <f>IFERROR(IF(F1584&gt;=0,D1584*E1584*(1+F1584/100),ABS(D1584*E1584/F1584)),"")</f>
        <v/>
      </c>
      <c r="H1584" s="43" t="str">
        <f>IFERROR(G1584*E1571,"")</f>
        <v/>
      </c>
      <c r="I1584" s="3"/>
    </row>
    <row r="1585" spans="1:11" ht="12.75" customHeight="1">
      <c r="A1585" s="28"/>
      <c r="B1585" s="29"/>
      <c r="C1585" s="30" t="str">
        <f>IFERROR(_xlfn.XLOOKUP(B1585,Transporte[DESCRIPCION],Transporte[UND],,0),"")</f>
        <v/>
      </c>
      <c r="D1585" s="31"/>
      <c r="E1585" s="32" t="str">
        <f>IFERROR(_xlfn.XLOOKUP($B1585,Transporte[DESCRIPCION],Transporte[VALOR],,0),"")</f>
        <v/>
      </c>
      <c r="F1585" s="33"/>
      <c r="G1585" s="34" t="str">
        <f>IFERROR(IF(F1585&gt;=0,D1585*E1585*(1+F1585/100),ABS(D1585*E1585/F1585)),"")</f>
        <v/>
      </c>
      <c r="H1585" s="43" t="str">
        <f>IFERROR(G1585*E1571,"")</f>
        <v/>
      </c>
      <c r="I1585" s="3"/>
    </row>
    <row r="1586" spans="1:11" ht="12.75" customHeight="1">
      <c r="A1586" s="21"/>
      <c r="B1586" s="22" t="s">
        <v>3732</v>
      </c>
      <c r="C1586" s="23"/>
      <c r="D1586" s="24"/>
      <c r="E1586" s="25"/>
      <c r="F1586" s="26"/>
      <c r="G1586" s="27">
        <f>SUM(G1587:G1589)</f>
        <v>6287.8150179000013</v>
      </c>
      <c r="H1586" s="27">
        <f>IFERROR(G1586*E1571,"")</f>
        <v>0</v>
      </c>
      <c r="I1586" s="3"/>
    </row>
    <row r="1587" spans="1:11" ht="12.75" customHeight="1">
      <c r="A1587" s="28"/>
      <c r="B1587" s="29" t="s">
        <v>3710</v>
      </c>
      <c r="C1587" s="30" t="str">
        <f>IFERROR(_xlfn.XLOOKUP(B1587,MObra[DESCRIPCION],MObra[UN],,0),"")</f>
        <v>día</v>
      </c>
      <c r="D1587" s="31">
        <v>1</v>
      </c>
      <c r="E1587" s="32">
        <f>IFERROR(_xlfn.XLOOKUP($B1587,MObra[DESCRIPCION],MObra[VALOR UNIT],,0),"")</f>
        <v>314390.75089500006</v>
      </c>
      <c r="F1587" s="33">
        <v>-50</v>
      </c>
      <c r="G1587" s="34">
        <f>IFERROR(IF(F1587&gt;=0,D1587*E1587*(1+F1587/100),ABS(D1587*E1587/F1587)),"")</f>
        <v>6287.8150179000013</v>
      </c>
      <c r="H1587" s="43">
        <f>IFERROR(G1587*E1571,"")</f>
        <v>0</v>
      </c>
      <c r="I1587" s="3"/>
    </row>
    <row r="1588" spans="1:11" ht="12.75" customHeight="1">
      <c r="A1588" s="28"/>
      <c r="B1588" s="29"/>
      <c r="C1588" s="30" t="str">
        <f>IFERROR(_xlfn.XLOOKUP(B1588,MObra[DESCRIPCION],MObra[UN],,0),"")</f>
        <v/>
      </c>
      <c r="D1588" s="31"/>
      <c r="E1588" s="32" t="str">
        <f>IFERROR(_xlfn.XLOOKUP($B1588,MObra[DESCRIPCION],MObra[VALOR UNIT],,0),"")</f>
        <v/>
      </c>
      <c r="F1588" s="33"/>
      <c r="G1588" s="34" t="str">
        <f>IFERROR(IF(F1588&gt;=0,D1588*E1588*(1+F1588/100),ABS(D1588*E1588/F1588)),"")</f>
        <v/>
      </c>
      <c r="H1588" s="43" t="str">
        <f>IFERROR(G1588*E1571,"")</f>
        <v/>
      </c>
      <c r="I1588" s="3"/>
    </row>
    <row r="1589" spans="1:11" ht="12.75" customHeight="1" thickBot="1">
      <c r="A1589" s="35"/>
      <c r="B1589" s="36"/>
      <c r="C1589" s="37" t="str">
        <f>IFERROR(_xlfn.XLOOKUP(B1589,MObra[DESCRIPCION],MObra[UN],,0),"")</f>
        <v/>
      </c>
      <c r="D1589" s="38"/>
      <c r="E1589" s="39" t="str">
        <f>IFERROR(_xlfn.XLOOKUP($B1589,MObra[DESCRIPCION],MObra[VALOR UNIT],,0),"")</f>
        <v/>
      </c>
      <c r="F1589" s="40"/>
      <c r="G1589" s="41" t="str">
        <f>IFERROR(IF(F1589&gt;=0,D1589*E1589*(1+F1589/100),ABS(D1589*E1589/F1589)),"")</f>
        <v/>
      </c>
      <c r="H1589" s="42" t="str">
        <f>IFERROR(G1589*E1571,"")</f>
        <v/>
      </c>
      <c r="I1589" s="3"/>
    </row>
    <row r="1590" spans="1:11" ht="12.75" customHeight="1" thickTop="1" thickBot="1">
      <c r="I1590" s="3"/>
    </row>
    <row r="1591" spans="1:11" ht="12.75" customHeight="1" thickTop="1" thickBot="1">
      <c r="A1591" s="6" t="s">
        <v>1713</v>
      </c>
      <c r="B1591" s="7" t="str">
        <f>VLOOKUP($A1591,Presupuesto!$A:$D,2,FALSE())</f>
        <v>Pintura para cancha dura</v>
      </c>
      <c r="C1591" s="8" t="str">
        <f>VLOOKUP($A1591,Presupuesto!$A:$D,3,FALSE())</f>
        <v>M2</v>
      </c>
      <c r="D1591" s="9"/>
      <c r="E1591" s="10">
        <f>VLOOKUP($A1591,Presupuesto!$A:$D,4,FALSE())</f>
        <v>0</v>
      </c>
      <c r="F1591" s="11" t="s">
        <v>2589</v>
      </c>
      <c r="G1591" s="12">
        <f>SUM(G1593:G1609)/2</f>
        <v>39835.164121987509</v>
      </c>
      <c r="H1591" s="13">
        <f>ROUND(SUM(H1593:H1609),0)/2</f>
        <v>0</v>
      </c>
      <c r="I1591" s="10">
        <f>VLOOKUP(A1591,Presupuesto!$A:$F,6,0)</f>
        <v>0</v>
      </c>
      <c r="J1591" s="10">
        <f>+H1591-I1591</f>
        <v>0</v>
      </c>
      <c r="K1591" s="46">
        <f>+H1591-G1591*E1591</f>
        <v>0</v>
      </c>
    </row>
    <row r="1592" spans="1:11" ht="12.75" customHeight="1" thickTop="1">
      <c r="A1592" s="14"/>
      <c r="B1592" s="15" t="s">
        <v>2586</v>
      </c>
      <c r="C1592" s="15" t="s">
        <v>5</v>
      </c>
      <c r="D1592" s="16" t="s">
        <v>6</v>
      </c>
      <c r="E1592" s="17" t="s">
        <v>7</v>
      </c>
      <c r="F1592" s="18" t="s">
        <v>3728</v>
      </c>
      <c r="G1592" s="19" t="s">
        <v>3729</v>
      </c>
      <c r="H1592" s="20" t="s">
        <v>3797</v>
      </c>
      <c r="I1592" s="3"/>
    </row>
    <row r="1593" spans="1:11" ht="12.75" customHeight="1">
      <c r="A1593" s="21"/>
      <c r="B1593" s="22" t="s">
        <v>3730</v>
      </c>
      <c r="C1593" s="23"/>
      <c r="D1593" s="24"/>
      <c r="E1593" s="25"/>
      <c r="F1593" s="26"/>
      <c r="G1593" s="27">
        <f>SUM(G1594:G1598)</f>
        <v>23329.649700000002</v>
      </c>
      <c r="H1593" s="27">
        <f>IFERROR(G1593*E1591,"")</f>
        <v>0</v>
      </c>
      <c r="I1593" s="3"/>
    </row>
    <row r="1594" spans="1:11" ht="12.75" customHeight="1">
      <c r="A1594" s="28"/>
      <c r="B1594" s="29" t="s">
        <v>3206</v>
      </c>
      <c r="C1594" s="30" t="str">
        <f>IFERROR(_xlfn.XLOOKUP(B1594,Insumo[DESCRIPCION],Insumo[UND],,0),"")</f>
        <v>galón</v>
      </c>
      <c r="D1594" s="31">
        <v>0.12</v>
      </c>
      <c r="E1594" s="32">
        <f>IFERROR(_xlfn.XLOOKUP($B1594,Insumo[DESCRIPCION],Insumo[VALOR],,0),"")</f>
        <v>185155.95</v>
      </c>
      <c r="F1594" s="33">
        <v>5</v>
      </c>
      <c r="G1594" s="34">
        <f>IFERROR(IF(F1594&gt;=0,D1594*E1594*(1+F1594/100),ABS(D1594*E1594/F1594)),"")</f>
        <v>23329.649700000002</v>
      </c>
      <c r="H1594" s="43">
        <f>IFERROR(G1594*E1591,"")</f>
        <v>0</v>
      </c>
      <c r="I1594" s="3"/>
    </row>
    <row r="1595" spans="1:11" ht="12.75" customHeight="1">
      <c r="A1595" s="28"/>
      <c r="B1595" s="29"/>
      <c r="C1595" s="30" t="str">
        <f>IFERROR(_xlfn.XLOOKUP(B1595,Insumo[DESCRIPCION],Insumo[UND],,0),"")</f>
        <v/>
      </c>
      <c r="D1595" s="31"/>
      <c r="E1595" s="32" t="str">
        <f>IFERROR(_xlfn.XLOOKUP($B1595,Insumo[DESCRIPCION],Insumo[VALOR],,0),"")</f>
        <v/>
      </c>
      <c r="F1595" s="33"/>
      <c r="G1595" s="34" t="str">
        <f>IFERROR(IF(F1595&gt;=0,D1595*E1595*(1+F1595/100),ABS(D1595*E1595/F1595)),"")</f>
        <v/>
      </c>
      <c r="H1595" s="43" t="str">
        <f>IFERROR(G1595*E1591,"")</f>
        <v/>
      </c>
      <c r="I1595" s="3"/>
    </row>
    <row r="1596" spans="1:11" ht="12.75" customHeight="1">
      <c r="A1596" s="28"/>
      <c r="B1596" s="29"/>
      <c r="C1596" s="30" t="str">
        <f>IFERROR(_xlfn.XLOOKUP(B1596,Insumo[DESCRIPCION],Insumo[UND],,0),"")</f>
        <v/>
      </c>
      <c r="D1596" s="31"/>
      <c r="E1596" s="32" t="str">
        <f>IFERROR(_xlfn.XLOOKUP($B1596,Insumo[DESCRIPCION],Insumo[VALOR],,0),"")</f>
        <v/>
      </c>
      <c r="F1596" s="33"/>
      <c r="G1596" s="34" t="str">
        <f>IFERROR(IF(F1596&gt;=0,D1596*E1596*(1+F1596/100),ABS(D1596*E1596/F1596)),"")</f>
        <v/>
      </c>
      <c r="H1596" s="43" t="str">
        <f>IFERROR(G1596*E1591,"")</f>
        <v/>
      </c>
      <c r="I1596" s="3"/>
    </row>
    <row r="1597" spans="1:11" ht="12.75" customHeight="1">
      <c r="A1597" s="28"/>
      <c r="B1597" s="29"/>
      <c r="C1597" s="30" t="str">
        <f>IFERROR(_xlfn.XLOOKUP(B1597,Insumo[DESCRIPCION],Insumo[UND],,0),"")</f>
        <v/>
      </c>
      <c r="D1597" s="31"/>
      <c r="E1597" s="32" t="str">
        <f>IFERROR(_xlfn.XLOOKUP($B1597,Insumo[DESCRIPCION],Insumo[VALOR],,0),"")</f>
        <v/>
      </c>
      <c r="F1597" s="33"/>
      <c r="G1597" s="34" t="str">
        <f>IFERROR(IF(F1597&gt;=0,D1597*E1597*(1+F1597/100),ABS(D1597*E1597/F1597)),"")</f>
        <v/>
      </c>
      <c r="H1597" s="43" t="str">
        <f>IFERROR(G1597*E1591,"")</f>
        <v/>
      </c>
      <c r="I1597" s="3"/>
    </row>
    <row r="1598" spans="1:11" ht="12.75" customHeight="1">
      <c r="A1598" s="28"/>
      <c r="B1598" s="29"/>
      <c r="C1598" s="30" t="str">
        <f>IFERROR(_xlfn.XLOOKUP(B1598,Insumo[DESCRIPCION],Insumo[UND],,0),"")</f>
        <v/>
      </c>
      <c r="D1598" s="31"/>
      <c r="E1598" s="32" t="str">
        <f>IFERROR(_xlfn.XLOOKUP($B1598,Insumo[DESCRIPCION],Insumo[VALOR],,0),"")</f>
        <v/>
      </c>
      <c r="F1598" s="33"/>
      <c r="G1598" s="34" t="str">
        <f>IFERROR(IF(F1598&gt;=0,D1598*E1598*(1+F1598/100),ABS(D1598*E1598/F1598)),"")</f>
        <v/>
      </c>
      <c r="H1598" s="43" t="str">
        <f>IFERROR(G1598*E1591,"")</f>
        <v/>
      </c>
      <c r="I1598" s="3"/>
    </row>
    <row r="1599" spans="1:11" ht="12.75" customHeight="1">
      <c r="A1599" s="21"/>
      <c r="B1599" s="22" t="s">
        <v>3731</v>
      </c>
      <c r="C1599" s="23"/>
      <c r="D1599" s="24"/>
      <c r="E1599" s="25"/>
      <c r="F1599" s="26"/>
      <c r="G1599" s="27">
        <f>SUM(G1600:G1602)</f>
        <v>785.97687723750016</v>
      </c>
      <c r="H1599" s="27">
        <f>IFERROR(G1599*E1591,"")</f>
        <v>0</v>
      </c>
      <c r="I1599" s="3"/>
    </row>
    <row r="1600" spans="1:11" ht="12.75" customHeight="1">
      <c r="A1600" s="28"/>
      <c r="B1600" s="29" t="s">
        <v>3626</v>
      </c>
      <c r="C1600" s="30" t="str">
        <f>IFERROR(_xlfn.XLOOKUP(B1600,Equipo[DESCRIPCION],Equipo[UND],,0),"")</f>
        <v>%MO</v>
      </c>
      <c r="D1600" s="31">
        <v>0.05</v>
      </c>
      <c r="E1600" s="32">
        <f>IF(C1600="%MO",G1606,IFERROR(_xlfn.XLOOKUP($B1600,Equipo[DESCRIPCION],Equipo[VALOR],,0),""))</f>
        <v>15719.537544750003</v>
      </c>
      <c r="F1600" s="33"/>
      <c r="G1600" s="34">
        <f>IFERROR(IF(F1600&gt;=0,D1600*E1600*(1+F1600/100),ABS(D1600*E1600/F1600)),"")</f>
        <v>785.97687723750016</v>
      </c>
      <c r="H1600" s="43">
        <f>IFERROR(G1600*E1591,"")</f>
        <v>0</v>
      </c>
      <c r="I1600" s="3"/>
    </row>
    <row r="1601" spans="1:11" ht="12.75" customHeight="1">
      <c r="A1601" s="28"/>
      <c r="B1601" s="29"/>
      <c r="C1601" s="30" t="str">
        <f>IFERROR(_xlfn.XLOOKUP(B1601,Equipo[DESCRIPCION],Equipo[UND],,0),"")</f>
        <v/>
      </c>
      <c r="D1601" s="31"/>
      <c r="E1601" s="32" t="str">
        <f>IF(C1601="%MO",G1606,IFERROR(_xlfn.XLOOKUP($B1601,Equipo[DESCRIPCION],Equipo[VALOR],,0),""))</f>
        <v/>
      </c>
      <c r="F1601" s="33"/>
      <c r="G1601" s="34" t="str">
        <f>IFERROR(IF(F1601&gt;=0,D1601*E1601*(1+F1601/100),ABS(D1601*E1601/F1601)),"")</f>
        <v/>
      </c>
      <c r="H1601" s="43" t="str">
        <f>IFERROR(G1601*E1591,"")</f>
        <v/>
      </c>
      <c r="I1601" s="3"/>
    </row>
    <row r="1602" spans="1:11" ht="12.75" customHeight="1">
      <c r="A1602" s="28"/>
      <c r="B1602" s="29"/>
      <c r="C1602" s="30" t="str">
        <f>IFERROR(_xlfn.XLOOKUP(B1602,Equipo[DESCRIPCION],Equipo[UND],,0),"")</f>
        <v/>
      </c>
      <c r="D1602" s="31"/>
      <c r="E1602" s="32" t="str">
        <f>IF(C1602="%MO",G1606,IFERROR(_xlfn.XLOOKUP($B1602,Equipo[DESCRIPCION],Equipo[VALOR],,0),""))</f>
        <v/>
      </c>
      <c r="F1602" s="33"/>
      <c r="G1602" s="34" t="str">
        <f>IFERROR(IF(F1602&gt;=0,D1602*E1602*(1+F1602/100),ABS(D1602*E1602/F1602)),"")</f>
        <v/>
      </c>
      <c r="H1602" s="43" t="str">
        <f>IFERROR(G1602*E1591,"")</f>
        <v/>
      </c>
      <c r="I1602" s="3"/>
    </row>
    <row r="1603" spans="1:11" ht="12.75" customHeight="1">
      <c r="A1603" s="21"/>
      <c r="B1603" s="22" t="s">
        <v>2533</v>
      </c>
      <c r="C1603" s="23"/>
      <c r="D1603" s="24"/>
      <c r="E1603" s="25"/>
      <c r="F1603" s="26"/>
      <c r="G1603" s="27">
        <f>SUM(G1604:G1605)</f>
        <v>0</v>
      </c>
      <c r="H1603" s="27">
        <f>IFERROR(G1603*E1591,"")</f>
        <v>0</v>
      </c>
      <c r="I1603" s="3"/>
    </row>
    <row r="1604" spans="1:11" ht="12.75" customHeight="1">
      <c r="A1604" s="28"/>
      <c r="B1604" s="29"/>
      <c r="C1604" s="30" t="str">
        <f>IFERROR(_xlfn.XLOOKUP(B1604,Transporte[DESCRIPCION],Transporte[UND],,0),"")</f>
        <v/>
      </c>
      <c r="D1604" s="31"/>
      <c r="E1604" s="32" t="str">
        <f>IFERROR(_xlfn.XLOOKUP($B1604,Transporte[DESCRIPCION],Transporte[VALOR],,0),"")</f>
        <v/>
      </c>
      <c r="F1604" s="33"/>
      <c r="G1604" s="34" t="str">
        <f>IFERROR(IF(F1604&gt;=0,D1604*E1604*(1+F1604/100),ABS(D1604*E1604/F1604)),"")</f>
        <v/>
      </c>
      <c r="H1604" s="43" t="str">
        <f>IFERROR(G1604*E1591,"")</f>
        <v/>
      </c>
      <c r="I1604" s="3"/>
    </row>
    <row r="1605" spans="1:11" ht="12.75" customHeight="1">
      <c r="A1605" s="28"/>
      <c r="B1605" s="29"/>
      <c r="C1605" s="30" t="str">
        <f>IFERROR(_xlfn.XLOOKUP(B1605,Transporte[DESCRIPCION],Transporte[UND],,0),"")</f>
        <v/>
      </c>
      <c r="D1605" s="31"/>
      <c r="E1605" s="32" t="str">
        <f>IFERROR(_xlfn.XLOOKUP($B1605,Transporte[DESCRIPCION],Transporte[VALOR],,0),"")</f>
        <v/>
      </c>
      <c r="F1605" s="33"/>
      <c r="G1605" s="34" t="str">
        <f>IFERROR(IF(F1605&gt;=0,D1605*E1605*(1+F1605/100),ABS(D1605*E1605/F1605)),"")</f>
        <v/>
      </c>
      <c r="H1605" s="43" t="str">
        <f>IFERROR(G1605*E1591,"")</f>
        <v/>
      </c>
      <c r="I1605" s="3"/>
    </row>
    <row r="1606" spans="1:11" ht="12.75" customHeight="1">
      <c r="A1606" s="21"/>
      <c r="B1606" s="22" t="s">
        <v>3732</v>
      </c>
      <c r="C1606" s="23"/>
      <c r="D1606" s="24"/>
      <c r="E1606" s="25"/>
      <c r="F1606" s="26"/>
      <c r="G1606" s="27">
        <f>SUM(G1607:G1609)</f>
        <v>15719.537544750003</v>
      </c>
      <c r="H1606" s="27">
        <f>IFERROR(G1606*E1591,"")</f>
        <v>0</v>
      </c>
      <c r="I1606" s="3"/>
    </row>
    <row r="1607" spans="1:11" ht="12.75" customHeight="1">
      <c r="A1607" s="28"/>
      <c r="B1607" s="29" t="s">
        <v>3710</v>
      </c>
      <c r="C1607" s="30" t="str">
        <f>IFERROR(_xlfn.XLOOKUP(B1607,MObra[DESCRIPCION],MObra[UN],,0),"")</f>
        <v>día</v>
      </c>
      <c r="D1607" s="31">
        <v>1</v>
      </c>
      <c r="E1607" s="32">
        <f>IFERROR(_xlfn.XLOOKUP($B1607,MObra[DESCRIPCION],MObra[VALOR UNIT],,0),"")</f>
        <v>314390.75089500006</v>
      </c>
      <c r="F1607" s="33">
        <v>-20</v>
      </c>
      <c r="G1607" s="34">
        <f>IFERROR(IF(F1607&gt;=0,D1607*E1607*(1+F1607/100),ABS(D1607*E1607/F1607)),"")</f>
        <v>15719.537544750003</v>
      </c>
      <c r="H1607" s="43">
        <f>IFERROR(G1607*E1591,"")</f>
        <v>0</v>
      </c>
      <c r="I1607" s="3"/>
    </row>
    <row r="1608" spans="1:11" ht="12.75" customHeight="1">
      <c r="A1608" s="28"/>
      <c r="B1608" s="29"/>
      <c r="C1608" s="30" t="str">
        <f>IFERROR(_xlfn.XLOOKUP(B1608,MObra[DESCRIPCION],MObra[UN],,0),"")</f>
        <v/>
      </c>
      <c r="D1608" s="31"/>
      <c r="E1608" s="32" t="str">
        <f>IFERROR(_xlfn.XLOOKUP($B1608,MObra[DESCRIPCION],MObra[VALOR UNIT],,0),"")</f>
        <v/>
      </c>
      <c r="F1608" s="33"/>
      <c r="G1608" s="34" t="str">
        <f>IFERROR(IF(F1608&gt;=0,D1608*E1608*(1+F1608/100),ABS(D1608*E1608/F1608)),"")</f>
        <v/>
      </c>
      <c r="H1608" s="43" t="str">
        <f>IFERROR(G1608*E1591,"")</f>
        <v/>
      </c>
      <c r="I1608" s="3"/>
    </row>
    <row r="1609" spans="1:11" ht="12.75" customHeight="1" thickBot="1">
      <c r="A1609" s="35"/>
      <c r="B1609" s="36"/>
      <c r="C1609" s="37" t="str">
        <f>IFERROR(_xlfn.XLOOKUP(B1609,MObra[DESCRIPCION],MObra[UN],,0),"")</f>
        <v/>
      </c>
      <c r="D1609" s="38"/>
      <c r="E1609" s="39" t="str">
        <f>IFERROR(_xlfn.XLOOKUP($B1609,MObra[DESCRIPCION],MObra[VALOR UNIT],,0),"")</f>
        <v/>
      </c>
      <c r="F1609" s="40"/>
      <c r="G1609" s="41" t="str">
        <f>IFERROR(IF(F1609&gt;=0,D1609*E1609*(1+F1609/100),ABS(D1609*E1609/F1609)),"")</f>
        <v/>
      </c>
      <c r="H1609" s="42" t="str">
        <f>IFERROR(G1609*E1591,"")</f>
        <v/>
      </c>
      <c r="I1609" s="3"/>
    </row>
    <row r="1610" spans="1:11" ht="12.75" customHeight="1" thickTop="1" thickBot="1">
      <c r="I1610" s="3"/>
    </row>
    <row r="1611" spans="1:11" ht="12.75" customHeight="1" thickTop="1" thickBot="1">
      <c r="A1611" s="6" t="s">
        <v>1715</v>
      </c>
      <c r="B1611" s="7" t="str">
        <f>VLOOKUP($A1611,Presupuesto!$A:$D,2,FALSE())</f>
        <v>Reparación cerramiento malla + ángulo</v>
      </c>
      <c r="C1611" s="8" t="str">
        <f>VLOOKUP($A1611,Presupuesto!$A:$D,3,FALSE())</f>
        <v>M2</v>
      </c>
      <c r="D1611" s="9"/>
      <c r="E1611" s="10">
        <f>VLOOKUP($A1611,Presupuesto!$A:$D,4,FALSE())</f>
        <v>0</v>
      </c>
      <c r="F1611" s="11" t="s">
        <v>2589</v>
      </c>
      <c r="G1611" s="12">
        <f>SUM(G1613:G1629)/2</f>
        <v>86660.724562650008</v>
      </c>
      <c r="H1611" s="13">
        <f>ROUND(SUM(H1613:H1629),0)/2</f>
        <v>0</v>
      </c>
      <c r="I1611" s="10">
        <f>VLOOKUP(A1611,Presupuesto!$A:$F,6,0)</f>
        <v>0</v>
      </c>
      <c r="J1611" s="10">
        <f>+H1611-I1611</f>
        <v>0</v>
      </c>
      <c r="K1611" s="46">
        <f>+H1611-G1611*E1611</f>
        <v>0</v>
      </c>
    </row>
    <row r="1612" spans="1:11" ht="12.75" customHeight="1" thickTop="1">
      <c r="A1612" s="14"/>
      <c r="B1612" s="15" t="s">
        <v>2586</v>
      </c>
      <c r="C1612" s="15" t="s">
        <v>5</v>
      </c>
      <c r="D1612" s="16" t="s">
        <v>6</v>
      </c>
      <c r="E1612" s="17" t="s">
        <v>7</v>
      </c>
      <c r="F1612" s="18" t="s">
        <v>3728</v>
      </c>
      <c r="G1612" s="19" t="s">
        <v>3729</v>
      </c>
      <c r="H1612" s="20" t="s">
        <v>3797</v>
      </c>
      <c r="I1612" s="3"/>
    </row>
    <row r="1613" spans="1:11" ht="12.75" customHeight="1">
      <c r="A1613" s="21"/>
      <c r="B1613" s="22" t="s">
        <v>3730</v>
      </c>
      <c r="C1613" s="23"/>
      <c r="D1613" s="24"/>
      <c r="E1613" s="25"/>
      <c r="F1613" s="26"/>
      <c r="G1613" s="27">
        <f>SUM(G1614:G1618)</f>
        <v>62246.719500000007</v>
      </c>
      <c r="H1613" s="27">
        <f>IFERROR(G1613*E1611,"")</f>
        <v>0</v>
      </c>
      <c r="I1613" s="3"/>
    </row>
    <row r="1614" spans="1:11" ht="12.75" customHeight="1">
      <c r="A1614" s="28"/>
      <c r="B1614" s="29" t="s">
        <v>3129</v>
      </c>
      <c r="C1614" s="30" t="str">
        <f>IFERROR(_xlfn.XLOOKUP(B1614,Insumo[DESCRIPCION],Insumo[UND],,0),"")</f>
        <v>M2</v>
      </c>
      <c r="D1614" s="31">
        <v>1</v>
      </c>
      <c r="E1614" s="32">
        <f>IFERROR(_xlfn.XLOOKUP($B1614,Insumo[DESCRIPCION],Insumo[VALOR],,0),"")</f>
        <v>48246.450000000004</v>
      </c>
      <c r="F1614" s="33"/>
      <c r="G1614" s="34">
        <f>IFERROR(IF(F1614&gt;=0,D1614*E1614*(1+F1614/100),ABS(D1614*E1614/F1614)),"")</f>
        <v>48246.450000000004</v>
      </c>
      <c r="H1614" s="43">
        <f>IFERROR(G1614*E1611,"")</f>
        <v>0</v>
      </c>
      <c r="I1614" s="3"/>
    </row>
    <row r="1615" spans="1:11" ht="12.75" customHeight="1">
      <c r="A1615" s="28"/>
      <c r="B1615" s="29" t="s">
        <v>2698</v>
      </c>
      <c r="C1615" s="30" t="str">
        <f>IFERROR(_xlfn.XLOOKUP(B1615,Insumo[DESCRIPCION],Insumo[UND],,0),"")</f>
        <v>Kg</v>
      </c>
      <c r="D1615" s="31">
        <v>0.1</v>
      </c>
      <c r="E1615" s="32">
        <f>IFERROR(_xlfn.XLOOKUP($B1615,Insumo[DESCRIPCION],Insumo[VALOR],,0),"")</f>
        <v>11569.95</v>
      </c>
      <c r="F1615" s="33"/>
      <c r="G1615" s="34">
        <f>IFERROR(IF(F1615&gt;=0,D1615*E1615*(1+F1615/100),ABS(D1615*E1615/F1615)),"")</f>
        <v>1156.9950000000001</v>
      </c>
      <c r="H1615" s="43">
        <f>IFERROR(G1615*E1611,"")</f>
        <v>0</v>
      </c>
      <c r="I1615" s="3"/>
    </row>
    <row r="1616" spans="1:11" ht="12.75" customHeight="1">
      <c r="A1616" s="28"/>
      <c r="B1616" s="29" t="s">
        <v>2706</v>
      </c>
      <c r="C1616" s="30" t="str">
        <f>IFERROR(_xlfn.XLOOKUP(B1616,Insumo[DESCRIPCION],Insumo[UND],,0),"")</f>
        <v>M</v>
      </c>
      <c r="D1616" s="31">
        <v>0.25</v>
      </c>
      <c r="E1616" s="32">
        <f>IFERROR(_xlfn.XLOOKUP($B1616,Insumo[DESCRIPCION],Insumo[VALOR],,0),"")</f>
        <v>31556.7</v>
      </c>
      <c r="F1616" s="33"/>
      <c r="G1616" s="34">
        <f>IFERROR(IF(F1616&gt;=0,D1616*E1616*(1+F1616/100),ABS(D1616*E1616/F1616)),"")</f>
        <v>7889.1750000000002</v>
      </c>
      <c r="H1616" s="43">
        <f>IFERROR(G1616*E1611,"")</f>
        <v>0</v>
      </c>
      <c r="I1616" s="3"/>
    </row>
    <row r="1617" spans="1:11" ht="12.75" customHeight="1">
      <c r="A1617" s="28"/>
      <c r="B1617" s="29" t="s">
        <v>3326</v>
      </c>
      <c r="C1617" s="30" t="str">
        <f>IFERROR(_xlfn.XLOOKUP(B1617,Insumo[DESCRIPCION],Insumo[UND],,0),"")</f>
        <v>Kg</v>
      </c>
      <c r="D1617" s="31">
        <v>0.01</v>
      </c>
      <c r="E1617" s="32">
        <f>IFERROR(_xlfn.XLOOKUP($B1617,Insumo[DESCRIPCION],Insumo[VALOR],,0),"")</f>
        <v>5978.7</v>
      </c>
      <c r="F1617" s="33"/>
      <c r="G1617" s="34">
        <f>IFERROR(IF(F1617&gt;=0,D1617*E1617*(1+F1617/100),ABS(D1617*E1617/F1617)),"")</f>
        <v>59.786999999999999</v>
      </c>
      <c r="H1617" s="43">
        <f>IFERROR(G1617*E1611,"")</f>
        <v>0</v>
      </c>
      <c r="I1617" s="3"/>
    </row>
    <row r="1618" spans="1:11" ht="12.75" customHeight="1">
      <c r="A1618" s="28"/>
      <c r="B1618" s="29" t="s">
        <v>2708</v>
      </c>
      <c r="C1618" s="30" t="str">
        <f>IFERROR(_xlfn.XLOOKUP(B1618,Insumo[DESCRIPCION],Insumo[UND],,0),"")</f>
        <v>galón</v>
      </c>
      <c r="D1618" s="31">
        <v>0.05</v>
      </c>
      <c r="E1618" s="32">
        <f>IFERROR(_xlfn.XLOOKUP($B1618,Insumo[DESCRIPCION],Insumo[VALOR],,0),"")</f>
        <v>97886.25</v>
      </c>
      <c r="F1618" s="33"/>
      <c r="G1618" s="34">
        <f>IFERROR(IF(F1618&gt;=0,D1618*E1618*(1+F1618/100),ABS(D1618*E1618/F1618)),"")</f>
        <v>4894.3125</v>
      </c>
      <c r="H1618" s="43">
        <f>IFERROR(G1618*E1611,"")</f>
        <v>0</v>
      </c>
      <c r="I1618" s="3"/>
    </row>
    <row r="1619" spans="1:11" ht="12.75" customHeight="1">
      <c r="A1619" s="21"/>
      <c r="B1619" s="22" t="s">
        <v>3731</v>
      </c>
      <c r="C1619" s="23"/>
      <c r="D1619" s="24"/>
      <c r="E1619" s="25"/>
      <c r="F1619" s="26"/>
      <c r="G1619" s="27">
        <f>SUM(G1620:G1622)</f>
        <v>3454.6216696500005</v>
      </c>
      <c r="H1619" s="27">
        <f>IFERROR(G1619*E1611,"")</f>
        <v>0</v>
      </c>
      <c r="I1619" s="3"/>
    </row>
    <row r="1620" spans="1:11" ht="12.75" customHeight="1">
      <c r="A1620" s="28"/>
      <c r="B1620" s="29" t="s">
        <v>3613</v>
      </c>
      <c r="C1620" s="30" t="str">
        <f>IFERROR(_xlfn.XLOOKUP(B1620,Equipo[DESCRIPCION],Equipo[UND],,0),"")</f>
        <v>Día</v>
      </c>
      <c r="D1620" s="31">
        <v>1</v>
      </c>
      <c r="E1620" s="32">
        <f>IF(C1620="%MO",G1626,IFERROR(_xlfn.XLOOKUP($B1620,Equipo[DESCRIPCION],Equipo[VALOR],,0),""))</f>
        <v>48133.05</v>
      </c>
      <c r="F1620" s="33">
        <v>-20</v>
      </c>
      <c r="G1620" s="34">
        <f>IFERROR(IF(F1620&gt;=0,D1620*E1620*(1+F1620/100),ABS(D1620*E1620/F1620)),"")</f>
        <v>2406.6525000000001</v>
      </c>
      <c r="H1620" s="43">
        <f>IFERROR(G1620*E1611,"")</f>
        <v>0</v>
      </c>
      <c r="I1620" s="3"/>
    </row>
    <row r="1621" spans="1:11" ht="12.75" customHeight="1">
      <c r="A1621" s="28"/>
      <c r="B1621" s="29" t="s">
        <v>3626</v>
      </c>
      <c r="C1621" s="30" t="str">
        <f>IFERROR(_xlfn.XLOOKUP(B1621,Equipo[DESCRIPCION],Equipo[UND],,0),"")</f>
        <v>%MO</v>
      </c>
      <c r="D1621" s="31">
        <v>0.05</v>
      </c>
      <c r="E1621" s="32">
        <f>IF(C1621="%MO",G1626,IFERROR(_xlfn.XLOOKUP($B1621,Equipo[DESCRIPCION],Equipo[VALOR],,0),""))</f>
        <v>20959.383393000004</v>
      </c>
      <c r="F1621" s="33"/>
      <c r="G1621" s="34">
        <f>IFERROR(IF(F1621&gt;=0,D1621*E1621*(1+F1621/100),ABS(D1621*E1621/F1621)),"")</f>
        <v>1047.9691696500001</v>
      </c>
      <c r="H1621" s="43">
        <f>IFERROR(G1621*E1611,"")</f>
        <v>0</v>
      </c>
      <c r="I1621" s="3"/>
    </row>
    <row r="1622" spans="1:11" ht="12.75" customHeight="1">
      <c r="A1622" s="28"/>
      <c r="B1622" s="29"/>
      <c r="C1622" s="30" t="str">
        <f>IFERROR(_xlfn.XLOOKUP(B1622,Equipo[DESCRIPCION],Equipo[UND],,0),"")</f>
        <v/>
      </c>
      <c r="D1622" s="31"/>
      <c r="E1622" s="32" t="str">
        <f>IF(C1622="%MO",G1626,IFERROR(_xlfn.XLOOKUP($B1622,Equipo[DESCRIPCION],Equipo[VALOR],,0),""))</f>
        <v/>
      </c>
      <c r="F1622" s="33"/>
      <c r="G1622" s="34" t="str">
        <f>IFERROR(IF(F1622&gt;=0,D1622*E1622*(1+F1622/100),ABS(D1622*E1622/F1622)),"")</f>
        <v/>
      </c>
      <c r="H1622" s="43" t="str">
        <f>IFERROR(G1622*E1611,"")</f>
        <v/>
      </c>
      <c r="I1622" s="3"/>
    </row>
    <row r="1623" spans="1:11" ht="12.75" customHeight="1">
      <c r="A1623" s="21"/>
      <c r="B1623" s="22" t="s">
        <v>2533</v>
      </c>
      <c r="C1623" s="23"/>
      <c r="D1623" s="24"/>
      <c r="E1623" s="25"/>
      <c r="F1623" s="26"/>
      <c r="G1623" s="27">
        <f>SUM(G1624:G1625)</f>
        <v>0</v>
      </c>
      <c r="H1623" s="27">
        <f>IFERROR(G1623*E1611,"")</f>
        <v>0</v>
      </c>
      <c r="I1623" s="3"/>
    </row>
    <row r="1624" spans="1:11" ht="12.75" customHeight="1">
      <c r="A1624" s="28"/>
      <c r="B1624" s="29"/>
      <c r="C1624" s="30" t="str">
        <f>IFERROR(_xlfn.XLOOKUP(B1624,Transporte[DESCRIPCION],Transporte[UND],,0),"")</f>
        <v/>
      </c>
      <c r="D1624" s="31"/>
      <c r="E1624" s="32" t="str">
        <f>IFERROR(_xlfn.XLOOKUP($B1624,Transporte[DESCRIPCION],Transporte[VALOR],,0),"")</f>
        <v/>
      </c>
      <c r="F1624" s="33"/>
      <c r="G1624" s="34" t="str">
        <f>IFERROR(IF(F1624&gt;=0,D1624*E1624*(1+F1624/100),ABS(D1624*E1624/F1624)),"")</f>
        <v/>
      </c>
      <c r="H1624" s="43" t="str">
        <f>IFERROR(G1624*E1611,"")</f>
        <v/>
      </c>
      <c r="I1624" s="3"/>
    </row>
    <row r="1625" spans="1:11" ht="12.75" customHeight="1">
      <c r="A1625" s="28"/>
      <c r="B1625" s="29"/>
      <c r="C1625" s="30" t="str">
        <f>IFERROR(_xlfn.XLOOKUP(B1625,Transporte[DESCRIPCION],Transporte[UND],,0),"")</f>
        <v/>
      </c>
      <c r="D1625" s="31"/>
      <c r="E1625" s="32" t="str">
        <f>IFERROR(_xlfn.XLOOKUP($B1625,Transporte[DESCRIPCION],Transporte[VALOR],,0),"")</f>
        <v/>
      </c>
      <c r="F1625" s="33"/>
      <c r="G1625" s="34" t="str">
        <f>IFERROR(IF(F1625&gt;=0,D1625*E1625*(1+F1625/100),ABS(D1625*E1625/F1625)),"")</f>
        <v/>
      </c>
      <c r="H1625" s="43" t="str">
        <f>IFERROR(G1625*E1611,"")</f>
        <v/>
      </c>
      <c r="I1625" s="3"/>
    </row>
    <row r="1626" spans="1:11" ht="12.75" customHeight="1">
      <c r="A1626" s="21"/>
      <c r="B1626" s="22" t="s">
        <v>3732</v>
      </c>
      <c r="C1626" s="23"/>
      <c r="D1626" s="24"/>
      <c r="E1626" s="25"/>
      <c r="F1626" s="26"/>
      <c r="G1626" s="27">
        <f>SUM(G1627:G1629)</f>
        <v>20959.383393000004</v>
      </c>
      <c r="H1626" s="27">
        <f>IFERROR(G1626*E1611,"")</f>
        <v>0</v>
      </c>
      <c r="I1626" s="3"/>
    </row>
    <row r="1627" spans="1:11" ht="12.75" customHeight="1">
      <c r="A1627" s="28"/>
      <c r="B1627" s="29" t="s">
        <v>3724</v>
      </c>
      <c r="C1627" s="30" t="str">
        <f>IFERROR(_xlfn.XLOOKUP(B1627,MObra[DESCRIPCION],MObra[UN],,0),"")</f>
        <v>día</v>
      </c>
      <c r="D1627" s="31">
        <v>1</v>
      </c>
      <c r="E1627" s="32">
        <f>IFERROR(_xlfn.XLOOKUP($B1627,MObra[DESCRIPCION],MObra[VALOR UNIT],,0),"")</f>
        <v>419187.66786000005</v>
      </c>
      <c r="F1627" s="33">
        <v>-20</v>
      </c>
      <c r="G1627" s="34">
        <f>IFERROR(IF(F1627&gt;=0,D1627*E1627*(1+F1627/100),ABS(D1627*E1627/F1627)),"")</f>
        <v>20959.383393000004</v>
      </c>
      <c r="H1627" s="43">
        <f>IFERROR(G1627*E1611,"")</f>
        <v>0</v>
      </c>
      <c r="I1627" s="3"/>
    </row>
    <row r="1628" spans="1:11" ht="12.75" customHeight="1">
      <c r="A1628" s="28"/>
      <c r="B1628" s="29"/>
      <c r="C1628" s="30" t="str">
        <f>IFERROR(_xlfn.XLOOKUP(B1628,MObra[DESCRIPCION],MObra[UN],,0),"")</f>
        <v/>
      </c>
      <c r="D1628" s="31"/>
      <c r="E1628" s="32" t="str">
        <f>IFERROR(_xlfn.XLOOKUP($B1628,MObra[DESCRIPCION],MObra[VALOR UNIT],,0),"")</f>
        <v/>
      </c>
      <c r="F1628" s="33"/>
      <c r="G1628" s="34" t="str">
        <f>IFERROR(IF(F1628&gt;=0,D1628*E1628*(1+F1628/100),ABS(D1628*E1628/F1628)),"")</f>
        <v/>
      </c>
      <c r="H1628" s="43" t="str">
        <f>IFERROR(G1628*E1611,"")</f>
        <v/>
      </c>
      <c r="I1628" s="3"/>
    </row>
    <row r="1629" spans="1:11" ht="12.75" customHeight="1" thickBot="1">
      <c r="A1629" s="35"/>
      <c r="B1629" s="36"/>
      <c r="C1629" s="37" t="str">
        <f>IFERROR(_xlfn.XLOOKUP(B1629,MObra[DESCRIPCION],MObra[UN],,0),"")</f>
        <v/>
      </c>
      <c r="D1629" s="38"/>
      <c r="E1629" s="39" t="str">
        <f>IFERROR(_xlfn.XLOOKUP($B1629,MObra[DESCRIPCION],MObra[VALOR UNIT],,0),"")</f>
        <v/>
      </c>
      <c r="F1629" s="40"/>
      <c r="G1629" s="41" t="str">
        <f>IFERROR(IF(F1629&gt;=0,D1629*E1629*(1+F1629/100),ABS(D1629*E1629/F1629)),"")</f>
        <v/>
      </c>
      <c r="H1629" s="42" t="str">
        <f>IFERROR(G1629*E1611,"")</f>
        <v/>
      </c>
      <c r="I1629" s="3"/>
    </row>
    <row r="1630" spans="1:11" ht="12.75" customHeight="1" thickTop="1" thickBot="1">
      <c r="I1630" s="3"/>
    </row>
    <row r="1631" spans="1:11" ht="12.75" customHeight="1" thickTop="1" thickBot="1">
      <c r="A1631" s="6" t="s">
        <v>1717</v>
      </c>
      <c r="B1631" s="7" t="str">
        <f>VLOOKUP($A1631,Presupuesto!$A:$D,2,FALSE())</f>
        <v>Reparaciones generales de arcos de microfutbol y basquetbol</v>
      </c>
      <c r="C1631" s="8" t="str">
        <f>VLOOKUP($A1631,Presupuesto!$A:$D,3,FALSE())</f>
        <v>Un</v>
      </c>
      <c r="D1631" s="9"/>
      <c r="E1631" s="10">
        <f>VLOOKUP($A1631,Presupuesto!$A:$D,4,FALSE())</f>
        <v>0</v>
      </c>
      <c r="F1631" s="11" t="s">
        <v>2589</v>
      </c>
      <c r="G1631" s="12">
        <f>SUM(G1633:G1649)/2</f>
        <v>92184.561202600016</v>
      </c>
      <c r="H1631" s="13">
        <f>ROUND(SUM(H1633:H1649),0)/2</f>
        <v>0</v>
      </c>
      <c r="I1631" s="10">
        <f>VLOOKUP(A1631,Presupuesto!$A:$F,6,0)</f>
        <v>0</v>
      </c>
      <c r="J1631" s="10">
        <f>+H1631-I1631</f>
        <v>0</v>
      </c>
      <c r="K1631" s="46">
        <f>+H1631-G1631*E1631</f>
        <v>0</v>
      </c>
    </row>
    <row r="1632" spans="1:11" ht="12.75" customHeight="1" thickTop="1">
      <c r="A1632" s="14"/>
      <c r="B1632" s="15" t="s">
        <v>2586</v>
      </c>
      <c r="C1632" s="15" t="s">
        <v>5</v>
      </c>
      <c r="D1632" s="16" t="s">
        <v>6</v>
      </c>
      <c r="E1632" s="17" t="s">
        <v>7</v>
      </c>
      <c r="F1632" s="18" t="s">
        <v>3728</v>
      </c>
      <c r="G1632" s="19" t="s">
        <v>3729</v>
      </c>
      <c r="H1632" s="20" t="s">
        <v>3797</v>
      </c>
      <c r="I1632" s="3"/>
    </row>
    <row r="1633" spans="1:9" ht="12.75" customHeight="1">
      <c r="A1633" s="21"/>
      <c r="B1633" s="22" t="s">
        <v>3730</v>
      </c>
      <c r="C1633" s="23"/>
      <c r="D1633" s="24"/>
      <c r="E1633" s="25"/>
      <c r="F1633" s="26"/>
      <c r="G1633" s="27">
        <f>SUM(G1634:G1638)</f>
        <v>56837.97</v>
      </c>
      <c r="H1633" s="27">
        <f>IFERROR(G1633*E1631,"")</f>
        <v>0</v>
      </c>
      <c r="I1633" s="3"/>
    </row>
    <row r="1634" spans="1:9" ht="12.75" customHeight="1">
      <c r="A1634" s="28"/>
      <c r="B1634" s="29" t="s">
        <v>2925</v>
      </c>
      <c r="C1634" s="30" t="str">
        <f>IFERROR(_xlfn.XLOOKUP(B1634,Insumo[DESCRIPCION],Insumo[UND],,0),"")</f>
        <v>Lt</v>
      </c>
      <c r="D1634" s="31">
        <v>0.4</v>
      </c>
      <c r="E1634" s="32">
        <f>IFERROR(_xlfn.XLOOKUP($B1634,Insumo[DESCRIPCION],Insumo[VALOR],,0),"")</f>
        <v>28923.300000000003</v>
      </c>
      <c r="F1634" s="33"/>
      <c r="G1634" s="34">
        <f>IFERROR(IF(F1634&gt;=0,D1634*E1634*(1+F1634/100),ABS(D1634*E1634/F1634)),"")</f>
        <v>11569.320000000002</v>
      </c>
      <c r="H1634" s="43">
        <f>IFERROR(G1634*E1631,"")</f>
        <v>0</v>
      </c>
      <c r="I1634" s="3"/>
    </row>
    <row r="1635" spans="1:9" ht="12.75" customHeight="1">
      <c r="A1635" s="28"/>
      <c r="B1635" s="29" t="s">
        <v>3204</v>
      </c>
      <c r="C1635" s="30" t="str">
        <f>IFERROR(_xlfn.XLOOKUP(B1635,Insumo[DESCRIPCION],Insumo[UND],,0),"")</f>
        <v>galón</v>
      </c>
      <c r="D1635" s="31">
        <v>0.2</v>
      </c>
      <c r="E1635" s="32">
        <f>IFERROR(_xlfn.XLOOKUP($B1635,Insumo[DESCRIPCION],Insumo[VALOR],,0),"")</f>
        <v>107805.6</v>
      </c>
      <c r="F1635" s="33"/>
      <c r="G1635" s="34">
        <f>IFERROR(IF(F1635&gt;=0,D1635*E1635*(1+F1635/100),ABS(D1635*E1635/F1635)),"")</f>
        <v>21561.120000000003</v>
      </c>
      <c r="H1635" s="43">
        <f>IFERROR(G1635*E1631,"")</f>
        <v>0</v>
      </c>
      <c r="I1635" s="3"/>
    </row>
    <row r="1636" spans="1:9" ht="12.75" customHeight="1">
      <c r="A1636" s="28"/>
      <c r="B1636" s="29" t="s">
        <v>3157</v>
      </c>
      <c r="C1636" s="30" t="str">
        <f>IFERROR(_xlfn.XLOOKUP(B1636,Insumo[DESCRIPCION],Insumo[UND],,0),"")</f>
        <v>Kg</v>
      </c>
      <c r="D1636" s="31">
        <v>0.1</v>
      </c>
      <c r="E1636" s="32">
        <f>IFERROR(_xlfn.XLOOKUP($B1636,Insumo[DESCRIPCION],Insumo[VALOR],,0),"")</f>
        <v>29345.4</v>
      </c>
      <c r="F1636" s="33"/>
      <c r="G1636" s="34">
        <f>IFERROR(IF(F1636&gt;=0,D1636*E1636*(1+F1636/100),ABS(D1636*E1636/F1636)),"")</f>
        <v>2934.5400000000004</v>
      </c>
      <c r="H1636" s="43">
        <f>IFERROR(G1636*E1631,"")</f>
        <v>0</v>
      </c>
      <c r="I1636" s="3"/>
    </row>
    <row r="1637" spans="1:9" ht="12.75" customHeight="1">
      <c r="A1637" s="28"/>
      <c r="B1637" s="29" t="s">
        <v>2708</v>
      </c>
      <c r="C1637" s="30" t="str">
        <f>IFERROR(_xlfn.XLOOKUP(B1637,Insumo[DESCRIPCION],Insumo[UND],,0),"")</f>
        <v>galón</v>
      </c>
      <c r="D1637" s="31">
        <v>0.2</v>
      </c>
      <c r="E1637" s="32">
        <f>IFERROR(_xlfn.XLOOKUP($B1637,Insumo[DESCRIPCION],Insumo[VALOR],,0),"")</f>
        <v>97886.25</v>
      </c>
      <c r="F1637" s="33"/>
      <c r="G1637" s="34">
        <f>IFERROR(IF(F1637&gt;=0,D1637*E1637*(1+F1637/100),ABS(D1637*E1637/F1637)),"")</f>
        <v>19577.25</v>
      </c>
      <c r="H1637" s="43">
        <f>IFERROR(G1637*E1631,"")</f>
        <v>0</v>
      </c>
      <c r="I1637" s="3"/>
    </row>
    <row r="1638" spans="1:9" ht="12.75" customHeight="1">
      <c r="A1638" s="28"/>
      <c r="B1638" s="29" t="s">
        <v>3326</v>
      </c>
      <c r="C1638" s="30" t="str">
        <f>IFERROR(_xlfn.XLOOKUP(B1638,Insumo[DESCRIPCION],Insumo[UND],,0),"")</f>
        <v>Kg</v>
      </c>
      <c r="D1638" s="31">
        <v>0.2</v>
      </c>
      <c r="E1638" s="32">
        <f>IFERROR(_xlfn.XLOOKUP($B1638,Insumo[DESCRIPCION],Insumo[VALOR],,0),"")</f>
        <v>5978.7</v>
      </c>
      <c r="F1638" s="33"/>
      <c r="G1638" s="34">
        <f>IFERROR(IF(F1638&gt;=0,D1638*E1638*(1+F1638/100),ABS(D1638*E1638/F1638)),"")</f>
        <v>1195.74</v>
      </c>
      <c r="H1638" s="43">
        <f>IFERROR(G1638*E1631,"")</f>
        <v>0</v>
      </c>
      <c r="I1638" s="3"/>
    </row>
    <row r="1639" spans="1:9" ht="12.75" customHeight="1">
      <c r="A1639" s="21"/>
      <c r="B1639" s="22" t="s">
        <v>3731</v>
      </c>
      <c r="C1639" s="23"/>
      <c r="D1639" s="24"/>
      <c r="E1639" s="25"/>
      <c r="F1639" s="26"/>
      <c r="G1639" s="27">
        <f>SUM(G1640:G1642)</f>
        <v>7400.7466786000014</v>
      </c>
      <c r="H1639" s="27">
        <f>IFERROR(G1639*E1631,"")</f>
        <v>0</v>
      </c>
      <c r="I1639" s="3"/>
    </row>
    <row r="1640" spans="1:9" ht="12.75" customHeight="1">
      <c r="A1640" s="28"/>
      <c r="B1640" s="29" t="s">
        <v>3573</v>
      </c>
      <c r="C1640" s="30" t="str">
        <f>IFERROR(_xlfn.XLOOKUP(B1640,Equipo[DESCRIPCION],Equipo[UND],,0),"")</f>
        <v>%MO</v>
      </c>
      <c r="D1640" s="31">
        <v>0.1</v>
      </c>
      <c r="E1640" s="32">
        <f>IF(C1640="%MO",G1646,IFERROR(_xlfn.XLOOKUP($B1640,Equipo[DESCRIPCION],Equipo[VALOR],,0),""))</f>
        <v>27945.844524000004</v>
      </c>
      <c r="F1640" s="33"/>
      <c r="G1640" s="34">
        <f>IFERROR(IF(F1640&gt;=0,D1640*E1640*(1+F1640/100),ABS(D1640*E1640/F1640)),"")</f>
        <v>2794.5844524000004</v>
      </c>
      <c r="H1640" s="43">
        <f>IFERROR(G1640*E1631,"")</f>
        <v>0</v>
      </c>
      <c r="I1640" s="3"/>
    </row>
    <row r="1641" spans="1:9" ht="12.75" customHeight="1">
      <c r="A1641" s="28"/>
      <c r="B1641" s="29" t="s">
        <v>3613</v>
      </c>
      <c r="C1641" s="30" t="str">
        <f>IFERROR(_xlfn.XLOOKUP(B1641,Equipo[DESCRIPCION],Equipo[UND],,0),"")</f>
        <v>Día</v>
      </c>
      <c r="D1641" s="31">
        <v>1</v>
      </c>
      <c r="E1641" s="32">
        <f>IF(C1641="%MO",G1646,IFERROR(_xlfn.XLOOKUP($B1641,Equipo[DESCRIPCION],Equipo[VALOR],,0),""))</f>
        <v>48133.05</v>
      </c>
      <c r="F1641" s="33">
        <v>-15</v>
      </c>
      <c r="G1641" s="34">
        <f>IFERROR(IF(F1641&gt;=0,D1641*E1641*(1+F1641/100),ABS(D1641*E1641/F1641)),"")</f>
        <v>3208.8700000000003</v>
      </c>
      <c r="H1641" s="43">
        <f>IFERROR(G1641*E1631,"")</f>
        <v>0</v>
      </c>
      <c r="I1641" s="3"/>
    </row>
    <row r="1642" spans="1:9" ht="12.75" customHeight="1">
      <c r="A1642" s="28"/>
      <c r="B1642" s="29" t="s">
        <v>3626</v>
      </c>
      <c r="C1642" s="30" t="str">
        <f>IFERROR(_xlfn.XLOOKUP(B1642,Equipo[DESCRIPCION],Equipo[UND],,0),"")</f>
        <v>%MO</v>
      </c>
      <c r="D1642" s="31">
        <v>0.05</v>
      </c>
      <c r="E1642" s="32">
        <f>IF(C1642="%MO",G1646,IFERROR(_xlfn.XLOOKUP($B1642,Equipo[DESCRIPCION],Equipo[VALOR],,0),""))</f>
        <v>27945.844524000004</v>
      </c>
      <c r="F1642" s="33"/>
      <c r="G1642" s="34">
        <f>IFERROR(IF(F1642&gt;=0,D1642*E1642*(1+F1642/100),ABS(D1642*E1642/F1642)),"")</f>
        <v>1397.2922262000002</v>
      </c>
      <c r="H1642" s="43">
        <f>IFERROR(G1642*E1631,"")</f>
        <v>0</v>
      </c>
      <c r="I1642" s="3"/>
    </row>
    <row r="1643" spans="1:9" ht="12.75" customHeight="1">
      <c r="A1643" s="21"/>
      <c r="B1643" s="22" t="s">
        <v>2533</v>
      </c>
      <c r="C1643" s="23"/>
      <c r="D1643" s="24"/>
      <c r="E1643" s="25"/>
      <c r="F1643" s="26"/>
      <c r="G1643" s="27">
        <f>SUM(G1644:G1645)</f>
        <v>0</v>
      </c>
      <c r="H1643" s="27">
        <f>IFERROR(G1643*E1631,"")</f>
        <v>0</v>
      </c>
      <c r="I1643" s="3"/>
    </row>
    <row r="1644" spans="1:9" ht="12.75" customHeight="1">
      <c r="A1644" s="28"/>
      <c r="B1644" s="29"/>
      <c r="C1644" s="30" t="str">
        <f>IFERROR(_xlfn.XLOOKUP(B1644,Transporte[DESCRIPCION],Transporte[UND],,0),"")</f>
        <v/>
      </c>
      <c r="D1644" s="31"/>
      <c r="E1644" s="32" t="str">
        <f>IFERROR(_xlfn.XLOOKUP($B1644,Transporte[DESCRIPCION],Transporte[VALOR],,0),"")</f>
        <v/>
      </c>
      <c r="F1644" s="33"/>
      <c r="G1644" s="34" t="str">
        <f>IFERROR(IF(F1644&gt;=0,D1644*E1644*(1+F1644/100),ABS(D1644*E1644/F1644)),"")</f>
        <v/>
      </c>
      <c r="H1644" s="43" t="str">
        <f>IFERROR(G1644*E1631,"")</f>
        <v/>
      </c>
      <c r="I1644" s="3"/>
    </row>
    <row r="1645" spans="1:9" ht="12.75" customHeight="1">
      <c r="A1645" s="28"/>
      <c r="B1645" s="29"/>
      <c r="C1645" s="30" t="str">
        <f>IFERROR(_xlfn.XLOOKUP(B1645,Transporte[DESCRIPCION],Transporte[UND],,0),"")</f>
        <v/>
      </c>
      <c r="D1645" s="31"/>
      <c r="E1645" s="32" t="str">
        <f>IFERROR(_xlfn.XLOOKUP($B1645,Transporte[DESCRIPCION],Transporte[VALOR],,0),"")</f>
        <v/>
      </c>
      <c r="F1645" s="33"/>
      <c r="G1645" s="34" t="str">
        <f>IFERROR(IF(F1645&gt;=0,D1645*E1645*(1+F1645/100),ABS(D1645*E1645/F1645)),"")</f>
        <v/>
      </c>
      <c r="H1645" s="43" t="str">
        <f>IFERROR(G1645*E1631,"")</f>
        <v/>
      </c>
      <c r="I1645" s="3"/>
    </row>
    <row r="1646" spans="1:9" ht="12.75" customHeight="1">
      <c r="A1646" s="21"/>
      <c r="B1646" s="22" t="s">
        <v>3732</v>
      </c>
      <c r="C1646" s="23"/>
      <c r="D1646" s="24"/>
      <c r="E1646" s="25"/>
      <c r="F1646" s="26"/>
      <c r="G1646" s="27">
        <f>SUM(G1647:G1649)</f>
        <v>27945.844524000004</v>
      </c>
      <c r="H1646" s="27">
        <f>IFERROR(G1646*E1631,"")</f>
        <v>0</v>
      </c>
      <c r="I1646" s="3"/>
    </row>
    <row r="1647" spans="1:9" ht="12.75" customHeight="1">
      <c r="A1647" s="28"/>
      <c r="B1647" s="29" t="s">
        <v>3724</v>
      </c>
      <c r="C1647" s="30" t="str">
        <f>IFERROR(_xlfn.XLOOKUP(B1647,MObra[DESCRIPCION],MObra[UN],,0),"")</f>
        <v>día</v>
      </c>
      <c r="D1647" s="31">
        <v>1</v>
      </c>
      <c r="E1647" s="32">
        <f>IFERROR(_xlfn.XLOOKUP($B1647,MObra[DESCRIPCION],MObra[VALOR UNIT],,0),"")</f>
        <v>419187.66786000005</v>
      </c>
      <c r="F1647" s="33">
        <v>-15</v>
      </c>
      <c r="G1647" s="34">
        <f>IFERROR(IF(F1647&gt;=0,D1647*E1647*(1+F1647/100),ABS(D1647*E1647/F1647)),"")</f>
        <v>27945.844524000004</v>
      </c>
      <c r="H1647" s="43">
        <f>IFERROR(G1647*E1631,"")</f>
        <v>0</v>
      </c>
      <c r="I1647" s="3"/>
    </row>
    <row r="1648" spans="1:9" ht="12.75" customHeight="1">
      <c r="A1648" s="28"/>
      <c r="B1648" s="29"/>
      <c r="C1648" s="30" t="str">
        <f>IFERROR(_xlfn.XLOOKUP(B1648,MObra[DESCRIPCION],MObra[UN],,0),"")</f>
        <v/>
      </c>
      <c r="D1648" s="31"/>
      <c r="E1648" s="32" t="str">
        <f>IFERROR(_xlfn.XLOOKUP($B1648,MObra[DESCRIPCION],MObra[VALOR UNIT],,0),"")</f>
        <v/>
      </c>
      <c r="F1648" s="33"/>
      <c r="G1648" s="34" t="str">
        <f>IFERROR(IF(F1648&gt;=0,D1648*E1648*(1+F1648/100),ABS(D1648*E1648/F1648)),"")</f>
        <v/>
      </c>
      <c r="H1648" s="43" t="str">
        <f>IFERROR(G1648*E1631,"")</f>
        <v/>
      </c>
      <c r="I1648" s="3"/>
    </row>
    <row r="1649" spans="1:11" ht="12.75" customHeight="1" thickBot="1">
      <c r="A1649" s="35"/>
      <c r="B1649" s="36"/>
      <c r="C1649" s="37" t="str">
        <f>IFERROR(_xlfn.XLOOKUP(B1649,MObra[DESCRIPCION],MObra[UN],,0),"")</f>
        <v/>
      </c>
      <c r="D1649" s="38"/>
      <c r="E1649" s="39" t="str">
        <f>IFERROR(_xlfn.XLOOKUP($B1649,MObra[DESCRIPCION],MObra[VALOR UNIT],,0),"")</f>
        <v/>
      </c>
      <c r="F1649" s="40"/>
      <c r="G1649" s="41" t="str">
        <f>IFERROR(IF(F1649&gt;=0,D1649*E1649*(1+F1649/100),ABS(D1649*E1649/F1649)),"")</f>
        <v/>
      </c>
      <c r="H1649" s="42" t="str">
        <f>IFERROR(G1649*E1631,"")</f>
        <v/>
      </c>
      <c r="I1649" s="3"/>
    </row>
    <row r="1650" spans="1:11" ht="12.75" customHeight="1" thickTop="1" thickBot="1">
      <c r="I1650" s="3"/>
    </row>
    <row r="1651" spans="1:11" ht="12.75" customHeight="1" thickTop="1" thickBot="1">
      <c r="A1651" s="6" t="s">
        <v>1719</v>
      </c>
      <c r="B1651" s="7" t="str">
        <f>VLOOKUP($A1651,Presupuesto!$A:$D,2,FALSE())</f>
        <v>Reposición malla cerramiento</v>
      </c>
      <c r="C1651" s="8" t="str">
        <f>VLOOKUP($A1651,Presupuesto!$A:$D,3,FALSE())</f>
        <v>M2</v>
      </c>
      <c r="D1651" s="9"/>
      <c r="E1651" s="10">
        <f>VLOOKUP($A1651,Presupuesto!$A:$D,4,FALSE())</f>
        <v>0</v>
      </c>
      <c r="F1651" s="11" t="s">
        <v>2589</v>
      </c>
      <c r="G1651" s="12">
        <f>SUM(G1653:G1669)/2</f>
        <v>64482.556941075003</v>
      </c>
      <c r="H1651" s="13">
        <f>ROUND(SUM(H1653:H1669),0)/2</f>
        <v>0</v>
      </c>
      <c r="I1651" s="10">
        <f>VLOOKUP(A1651,Presupuesto!$A:$F,6,0)</f>
        <v>0</v>
      </c>
      <c r="J1651" s="10">
        <f>+H1651-I1651</f>
        <v>0</v>
      </c>
      <c r="K1651" s="46">
        <f>+H1651-G1651*E1651</f>
        <v>0</v>
      </c>
    </row>
    <row r="1652" spans="1:11" ht="12.75" customHeight="1" thickTop="1">
      <c r="A1652" s="14"/>
      <c r="B1652" s="15" t="s">
        <v>2586</v>
      </c>
      <c r="C1652" s="15" t="s">
        <v>5</v>
      </c>
      <c r="D1652" s="16" t="s">
        <v>6</v>
      </c>
      <c r="E1652" s="17" t="s">
        <v>7</v>
      </c>
      <c r="F1652" s="18" t="s">
        <v>3728</v>
      </c>
      <c r="G1652" s="19" t="s">
        <v>3729</v>
      </c>
      <c r="H1652" s="20" t="s">
        <v>3797</v>
      </c>
      <c r="I1652" s="3"/>
    </row>
    <row r="1653" spans="1:11" ht="12.75" customHeight="1">
      <c r="A1653" s="21"/>
      <c r="B1653" s="22" t="s">
        <v>3730</v>
      </c>
      <c r="C1653" s="23"/>
      <c r="D1653" s="24"/>
      <c r="E1653" s="25"/>
      <c r="F1653" s="26"/>
      <c r="G1653" s="27">
        <f>SUM(G1654:G1658)</f>
        <v>49403.445000000007</v>
      </c>
      <c r="H1653" s="27">
        <f>IFERROR(G1653*E1651,"")</f>
        <v>0</v>
      </c>
      <c r="I1653" s="3"/>
    </row>
    <row r="1654" spans="1:11" ht="12.75" customHeight="1">
      <c r="A1654" s="28"/>
      <c r="B1654" s="29" t="s">
        <v>3129</v>
      </c>
      <c r="C1654" s="30" t="str">
        <f>IFERROR(_xlfn.XLOOKUP(B1654,Insumo[DESCRIPCION],Insumo[UND],,0),"")</f>
        <v>M2</v>
      </c>
      <c r="D1654" s="31">
        <v>1</v>
      </c>
      <c r="E1654" s="32">
        <f>IFERROR(_xlfn.XLOOKUP($B1654,Insumo[DESCRIPCION],Insumo[VALOR],,0),"")</f>
        <v>48246.450000000004</v>
      </c>
      <c r="F1654" s="33"/>
      <c r="G1654" s="34">
        <f>IFERROR(IF(F1654&gt;=0,D1654*E1654*(1+F1654/100),ABS(D1654*E1654/F1654)),"")</f>
        <v>48246.450000000004</v>
      </c>
      <c r="H1654" s="43">
        <f>IFERROR(G1654*E1651,"")</f>
        <v>0</v>
      </c>
      <c r="I1654" s="3"/>
    </row>
    <row r="1655" spans="1:11" ht="12.75" customHeight="1">
      <c r="A1655" s="28"/>
      <c r="B1655" s="29" t="s">
        <v>2698</v>
      </c>
      <c r="C1655" s="30" t="str">
        <f>IFERROR(_xlfn.XLOOKUP(B1655,Insumo[DESCRIPCION],Insumo[UND],,0),"")</f>
        <v>Kg</v>
      </c>
      <c r="D1655" s="31">
        <v>0.1</v>
      </c>
      <c r="E1655" s="32">
        <f>IFERROR(_xlfn.XLOOKUP($B1655,Insumo[DESCRIPCION],Insumo[VALOR],,0),"")</f>
        <v>11569.95</v>
      </c>
      <c r="F1655" s="33"/>
      <c r="G1655" s="34">
        <f>IFERROR(IF(F1655&gt;=0,D1655*E1655*(1+F1655/100),ABS(D1655*E1655/F1655)),"")</f>
        <v>1156.9950000000001</v>
      </c>
      <c r="H1655" s="43">
        <f>IFERROR(G1655*E1651,"")</f>
        <v>0</v>
      </c>
      <c r="I1655" s="3"/>
    </row>
    <row r="1656" spans="1:11" ht="12.75" customHeight="1">
      <c r="A1656" s="28"/>
      <c r="B1656" s="29"/>
      <c r="C1656" s="30" t="str">
        <f>IFERROR(_xlfn.XLOOKUP(B1656,Insumo[DESCRIPCION],Insumo[UND],,0),"")</f>
        <v/>
      </c>
      <c r="D1656" s="31"/>
      <c r="E1656" s="32" t="str">
        <f>IFERROR(_xlfn.XLOOKUP($B1656,Insumo[DESCRIPCION],Insumo[VALOR],,0),"")</f>
        <v/>
      </c>
      <c r="F1656" s="33"/>
      <c r="G1656" s="34" t="str">
        <f>IFERROR(IF(F1656&gt;=0,D1656*E1656*(1+F1656/100),ABS(D1656*E1656/F1656)),"")</f>
        <v/>
      </c>
      <c r="H1656" s="43" t="str">
        <f>IFERROR(G1656*E1651,"")</f>
        <v/>
      </c>
      <c r="I1656" s="3"/>
    </row>
    <row r="1657" spans="1:11" ht="12.75" customHeight="1">
      <c r="A1657" s="28"/>
      <c r="B1657" s="29"/>
      <c r="C1657" s="30" t="str">
        <f>IFERROR(_xlfn.XLOOKUP(B1657,Insumo[DESCRIPCION],Insumo[UND],,0),"")</f>
        <v/>
      </c>
      <c r="D1657" s="31"/>
      <c r="E1657" s="32" t="str">
        <f>IFERROR(_xlfn.XLOOKUP($B1657,Insumo[DESCRIPCION],Insumo[VALOR],,0),"")</f>
        <v/>
      </c>
      <c r="F1657" s="33"/>
      <c r="G1657" s="34" t="str">
        <f>IFERROR(IF(F1657&gt;=0,D1657*E1657*(1+F1657/100),ABS(D1657*E1657/F1657)),"")</f>
        <v/>
      </c>
      <c r="H1657" s="43" t="str">
        <f>IFERROR(G1657*E1651,"")</f>
        <v/>
      </c>
      <c r="I1657" s="3"/>
    </row>
    <row r="1658" spans="1:11" ht="12.75" customHeight="1">
      <c r="A1658" s="28"/>
      <c r="B1658" s="29"/>
      <c r="C1658" s="30" t="str">
        <f>IFERROR(_xlfn.XLOOKUP(B1658,Insumo[DESCRIPCION],Insumo[UND],,0),"")</f>
        <v/>
      </c>
      <c r="D1658" s="31"/>
      <c r="E1658" s="32" t="str">
        <f>IFERROR(_xlfn.XLOOKUP($B1658,Insumo[DESCRIPCION],Insumo[VALOR],,0),"")</f>
        <v/>
      </c>
      <c r="F1658" s="33"/>
      <c r="G1658" s="34" t="str">
        <f>IFERROR(IF(F1658&gt;=0,D1658*E1658*(1+F1658/100),ABS(D1658*E1658/F1658)),"")</f>
        <v/>
      </c>
      <c r="H1658" s="43" t="str">
        <f>IFERROR(G1658*E1651,"")</f>
        <v/>
      </c>
      <c r="I1658" s="3"/>
    </row>
    <row r="1659" spans="1:11" ht="12.75" customHeight="1">
      <c r="A1659" s="21"/>
      <c r="B1659" s="22" t="s">
        <v>3731</v>
      </c>
      <c r="C1659" s="23"/>
      <c r="D1659" s="24"/>
      <c r="E1659" s="25"/>
      <c r="F1659" s="26"/>
      <c r="G1659" s="27">
        <f>SUM(G1660:G1662)</f>
        <v>718.05294957500018</v>
      </c>
      <c r="H1659" s="27">
        <f>IFERROR(G1659*E1651,"")</f>
        <v>0</v>
      </c>
      <c r="I1659" s="3"/>
    </row>
    <row r="1660" spans="1:11" ht="12.75" customHeight="1">
      <c r="A1660" s="28"/>
      <c r="B1660" s="29" t="s">
        <v>3626</v>
      </c>
      <c r="C1660" s="30" t="str">
        <f>IFERROR(_xlfn.XLOOKUP(B1660,Equipo[DESCRIPCION],Equipo[UND],,0),"")</f>
        <v>%MO</v>
      </c>
      <c r="D1660" s="31">
        <v>0.05</v>
      </c>
      <c r="E1660" s="32">
        <f>IF(C1660="%MO",G1666,IFERROR(_xlfn.XLOOKUP($B1660,Equipo[DESCRIPCION],Equipo[VALOR],,0),""))</f>
        <v>14361.058991500002</v>
      </c>
      <c r="F1660" s="33"/>
      <c r="G1660" s="34">
        <f>IFERROR(IF(F1660&gt;=0,D1660*E1660*(1+F1660/100),ABS(D1660*E1660/F1660)),"")</f>
        <v>718.05294957500018</v>
      </c>
      <c r="H1660" s="43">
        <f>IFERROR(G1660*E1651,"")</f>
        <v>0</v>
      </c>
      <c r="I1660" s="3"/>
    </row>
    <row r="1661" spans="1:11" ht="12.75" customHeight="1">
      <c r="A1661" s="28"/>
      <c r="B1661" s="29"/>
      <c r="C1661" s="30" t="str">
        <f>IFERROR(_xlfn.XLOOKUP(B1661,Equipo[DESCRIPCION],Equipo[UND],,0),"")</f>
        <v/>
      </c>
      <c r="D1661" s="31"/>
      <c r="E1661" s="32" t="str">
        <f>IF(C1661="%MO",G1666,IFERROR(_xlfn.XLOOKUP($B1661,Equipo[DESCRIPCION],Equipo[VALOR],,0),""))</f>
        <v/>
      </c>
      <c r="F1661" s="33"/>
      <c r="G1661" s="34" t="str">
        <f>IFERROR(IF(F1661&gt;=0,D1661*E1661*(1+F1661/100),ABS(D1661*E1661/F1661)),"")</f>
        <v/>
      </c>
      <c r="H1661" s="43" t="str">
        <f>IFERROR(G1661*E1651,"")</f>
        <v/>
      </c>
      <c r="I1661" s="3"/>
    </row>
    <row r="1662" spans="1:11" ht="12.75" customHeight="1">
      <c r="A1662" s="28"/>
      <c r="B1662" s="29"/>
      <c r="C1662" s="30" t="str">
        <f>IFERROR(_xlfn.XLOOKUP(B1662,Equipo[DESCRIPCION],Equipo[UND],,0),"")</f>
        <v/>
      </c>
      <c r="D1662" s="31"/>
      <c r="E1662" s="32" t="str">
        <f>IF(C1662="%MO",G1666,IFERROR(_xlfn.XLOOKUP($B1662,Equipo[DESCRIPCION],Equipo[VALOR],,0),""))</f>
        <v/>
      </c>
      <c r="F1662" s="33"/>
      <c r="G1662" s="34" t="str">
        <f>IFERROR(IF(F1662&gt;=0,D1662*E1662*(1+F1662/100),ABS(D1662*E1662/F1662)),"")</f>
        <v/>
      </c>
      <c r="H1662" s="43" t="str">
        <f>IFERROR(G1662*E1651,"")</f>
        <v/>
      </c>
      <c r="I1662" s="3"/>
    </row>
    <row r="1663" spans="1:11" ht="12.75" customHeight="1">
      <c r="A1663" s="21"/>
      <c r="B1663" s="22" t="s">
        <v>2533</v>
      </c>
      <c r="C1663" s="23"/>
      <c r="D1663" s="24"/>
      <c r="E1663" s="25"/>
      <c r="F1663" s="26"/>
      <c r="G1663" s="27">
        <f>SUM(G1664:G1665)</f>
        <v>0</v>
      </c>
      <c r="H1663" s="27">
        <f>IFERROR(G1663*E1651,"")</f>
        <v>0</v>
      </c>
      <c r="I1663" s="3"/>
    </row>
    <row r="1664" spans="1:11" ht="12.75" customHeight="1">
      <c r="A1664" s="28"/>
      <c r="B1664" s="29"/>
      <c r="C1664" s="30" t="str">
        <f>IFERROR(_xlfn.XLOOKUP(B1664,Transporte[DESCRIPCION],Transporte[UND],,0),"")</f>
        <v/>
      </c>
      <c r="D1664" s="31"/>
      <c r="E1664" s="32" t="str">
        <f>IFERROR(_xlfn.XLOOKUP($B1664,Transporte[DESCRIPCION],Transporte[VALOR],,0),"")</f>
        <v/>
      </c>
      <c r="F1664" s="33"/>
      <c r="G1664" s="34" t="str">
        <f>IFERROR(IF(F1664&gt;=0,D1664*E1664*(1+F1664/100),ABS(D1664*E1664/F1664)),"")</f>
        <v/>
      </c>
      <c r="H1664" s="43" t="str">
        <f>IFERROR(G1664*E1651,"")</f>
        <v/>
      </c>
      <c r="I1664" s="3"/>
    </row>
    <row r="1665" spans="1:11" ht="12.75" customHeight="1">
      <c r="A1665" s="28"/>
      <c r="B1665" s="29"/>
      <c r="C1665" s="30" t="str">
        <f>IFERROR(_xlfn.XLOOKUP(B1665,Transporte[DESCRIPCION],Transporte[UND],,0),"")</f>
        <v/>
      </c>
      <c r="D1665" s="31"/>
      <c r="E1665" s="32" t="str">
        <f>IFERROR(_xlfn.XLOOKUP($B1665,Transporte[DESCRIPCION],Transporte[VALOR],,0),"")</f>
        <v/>
      </c>
      <c r="F1665" s="33"/>
      <c r="G1665" s="34" t="str">
        <f>IFERROR(IF(F1665&gt;=0,D1665*E1665*(1+F1665/100),ABS(D1665*E1665/F1665)),"")</f>
        <v/>
      </c>
      <c r="H1665" s="43" t="str">
        <f>IFERROR(G1665*E1651,"")</f>
        <v/>
      </c>
      <c r="I1665" s="3"/>
    </row>
    <row r="1666" spans="1:11" ht="12.75" customHeight="1">
      <c r="A1666" s="21"/>
      <c r="B1666" s="22" t="s">
        <v>3732</v>
      </c>
      <c r="C1666" s="23"/>
      <c r="D1666" s="24"/>
      <c r="E1666" s="25"/>
      <c r="F1666" s="26"/>
      <c r="G1666" s="27">
        <f>SUM(G1667:G1669)</f>
        <v>14361.058991500002</v>
      </c>
      <c r="H1666" s="27">
        <f>IFERROR(G1666*E1651,"")</f>
        <v>0</v>
      </c>
      <c r="I1666" s="3"/>
    </row>
    <row r="1667" spans="1:11" ht="12.75" customHeight="1">
      <c r="A1667" s="28"/>
      <c r="B1667" s="29" t="s">
        <v>3711</v>
      </c>
      <c r="C1667" s="30" t="str">
        <f>IFERROR(_xlfn.XLOOKUP(B1667,MObra[DESCRIPCION],MObra[UN],,0),"")</f>
        <v>día</v>
      </c>
      <c r="D1667" s="31">
        <v>1</v>
      </c>
      <c r="E1667" s="32">
        <f>IFERROR(_xlfn.XLOOKUP($B1667,MObra[DESCRIPCION],MObra[VALOR UNIT],,0),"")</f>
        <v>430831.76974500006</v>
      </c>
      <c r="F1667" s="33">
        <v>-30</v>
      </c>
      <c r="G1667" s="34">
        <f>IFERROR(IF(F1667&gt;=0,D1667*E1667*(1+F1667/100),ABS(D1667*E1667/F1667)),"")</f>
        <v>14361.058991500002</v>
      </c>
      <c r="H1667" s="43">
        <f>IFERROR(G1667*E1651,"")</f>
        <v>0</v>
      </c>
      <c r="I1667" s="3"/>
    </row>
    <row r="1668" spans="1:11" ht="12.75" customHeight="1">
      <c r="A1668" s="28"/>
      <c r="B1668" s="29"/>
      <c r="C1668" s="30" t="str">
        <f>IFERROR(_xlfn.XLOOKUP(B1668,MObra[DESCRIPCION],MObra[UN],,0),"")</f>
        <v/>
      </c>
      <c r="D1668" s="31"/>
      <c r="E1668" s="32" t="str">
        <f>IFERROR(_xlfn.XLOOKUP($B1668,MObra[DESCRIPCION],MObra[VALOR UNIT],,0),"")</f>
        <v/>
      </c>
      <c r="F1668" s="33"/>
      <c r="G1668" s="34" t="str">
        <f>IFERROR(IF(F1668&gt;=0,D1668*E1668*(1+F1668/100),ABS(D1668*E1668/F1668)),"")</f>
        <v/>
      </c>
      <c r="H1668" s="43" t="str">
        <f>IFERROR(G1668*E1651,"")</f>
        <v/>
      </c>
      <c r="I1668" s="3"/>
    </row>
    <row r="1669" spans="1:11" ht="12.75" customHeight="1" thickBot="1">
      <c r="A1669" s="35"/>
      <c r="B1669" s="36"/>
      <c r="C1669" s="37" t="str">
        <f>IFERROR(_xlfn.XLOOKUP(B1669,MObra[DESCRIPCION],MObra[UN],,0),"")</f>
        <v/>
      </c>
      <c r="D1669" s="38"/>
      <c r="E1669" s="39" t="str">
        <f>IFERROR(_xlfn.XLOOKUP($B1669,MObra[DESCRIPCION],MObra[VALOR UNIT],,0),"")</f>
        <v/>
      </c>
      <c r="F1669" s="40"/>
      <c r="G1669" s="41" t="str">
        <f>IFERROR(IF(F1669&gt;=0,D1669*E1669*(1+F1669/100),ABS(D1669*E1669/F1669)),"")</f>
        <v/>
      </c>
      <c r="H1669" s="42" t="str">
        <f>IFERROR(G1669*E1651,"")</f>
        <v/>
      </c>
      <c r="I1669" s="3"/>
    </row>
    <row r="1670" spans="1:11" ht="12.75" customHeight="1" thickTop="1" thickBot="1">
      <c r="I1670" s="3"/>
    </row>
    <row r="1671" spans="1:11" ht="12.75" customHeight="1" thickTop="1" thickBot="1">
      <c r="A1671" s="6" t="s">
        <v>1721</v>
      </c>
      <c r="B1671" s="7" t="str">
        <f>VLOOKUP($A1671,Presupuesto!$A:$D,2,FALSE())</f>
        <v>Reposición poste concreto cerramiento</v>
      </c>
      <c r="C1671" s="8" t="str">
        <f>VLOOKUP($A1671,Presupuesto!$A:$D,3,FALSE())</f>
        <v>Un</v>
      </c>
      <c r="D1671" s="9"/>
      <c r="E1671" s="10">
        <f>VLOOKUP($A1671,Presupuesto!$A:$D,4,FALSE())</f>
        <v>0</v>
      </c>
      <c r="F1671" s="11" t="s">
        <v>2589</v>
      </c>
      <c r="G1671" s="12">
        <f>SUM(G1673:G1689)/2</f>
        <v>81489.021281324996</v>
      </c>
      <c r="H1671" s="13">
        <f>ROUND(SUM(H1673:H1689),0)/2</f>
        <v>0</v>
      </c>
      <c r="I1671" s="10">
        <f>VLOOKUP(A1671,Presupuesto!$A:$F,6,0)</f>
        <v>0</v>
      </c>
      <c r="J1671" s="10">
        <f>+H1671-I1671</f>
        <v>0</v>
      </c>
      <c r="K1671" s="46">
        <f>+H1671-G1671*E1671</f>
        <v>0</v>
      </c>
    </row>
    <row r="1672" spans="1:11" ht="12.75" customHeight="1" thickTop="1">
      <c r="A1672" s="14"/>
      <c r="B1672" s="15" t="s">
        <v>2586</v>
      </c>
      <c r="C1672" s="15" t="s">
        <v>5</v>
      </c>
      <c r="D1672" s="16" t="s">
        <v>6</v>
      </c>
      <c r="E1672" s="17" t="s">
        <v>7</v>
      </c>
      <c r="F1672" s="18" t="s">
        <v>3728</v>
      </c>
      <c r="G1672" s="19" t="s">
        <v>3729</v>
      </c>
      <c r="H1672" s="20" t="s">
        <v>3797</v>
      </c>
      <c r="I1672" s="3"/>
    </row>
    <row r="1673" spans="1:11" ht="12.75" customHeight="1">
      <c r="A1673" s="21"/>
      <c r="B1673" s="22" t="s">
        <v>3730</v>
      </c>
      <c r="C1673" s="23"/>
      <c r="D1673" s="24"/>
      <c r="E1673" s="25"/>
      <c r="F1673" s="26"/>
      <c r="G1673" s="27">
        <f>SUM(G1674:G1678)</f>
        <v>70485.345000000001</v>
      </c>
      <c r="H1673" s="27">
        <f>IFERROR(G1673*E1671,"")</f>
        <v>0</v>
      </c>
      <c r="I1673" s="3"/>
    </row>
    <row r="1674" spans="1:11" ht="12.75" customHeight="1">
      <c r="A1674" s="28"/>
      <c r="B1674" s="29" t="s">
        <v>3236</v>
      </c>
      <c r="C1674" s="30" t="str">
        <f>IFERROR(_xlfn.XLOOKUP(B1674,Insumo[DESCRIPCION],Insumo[UND],,0),"")</f>
        <v>Un</v>
      </c>
      <c r="D1674" s="31">
        <v>1</v>
      </c>
      <c r="E1674" s="32">
        <f>IFERROR(_xlfn.XLOOKUP($B1674,Insumo[DESCRIPCION],Insumo[VALOR],,0),"")</f>
        <v>69328.350000000006</v>
      </c>
      <c r="F1674" s="33"/>
      <c r="G1674" s="34">
        <f>IFERROR(IF(F1674&gt;=0,D1674*E1674*(1+F1674/100),ABS(D1674*E1674/F1674)),"")</f>
        <v>69328.350000000006</v>
      </c>
      <c r="H1674" s="43">
        <f>IFERROR(G1674*E1671,"")</f>
        <v>0</v>
      </c>
      <c r="I1674" s="3"/>
    </row>
    <row r="1675" spans="1:11" ht="12.75" customHeight="1">
      <c r="A1675" s="28"/>
      <c r="B1675" s="29" t="s">
        <v>2698</v>
      </c>
      <c r="C1675" s="30" t="str">
        <f>IFERROR(_xlfn.XLOOKUP(B1675,Insumo[DESCRIPCION],Insumo[UND],,0),"")</f>
        <v>Kg</v>
      </c>
      <c r="D1675" s="31">
        <v>0.1</v>
      </c>
      <c r="E1675" s="32">
        <f>IFERROR(_xlfn.XLOOKUP($B1675,Insumo[DESCRIPCION],Insumo[VALOR],,0),"")</f>
        <v>11569.95</v>
      </c>
      <c r="F1675" s="33"/>
      <c r="G1675" s="34">
        <f>IFERROR(IF(F1675&gt;=0,D1675*E1675*(1+F1675/100),ABS(D1675*E1675/F1675)),"")</f>
        <v>1156.9950000000001</v>
      </c>
      <c r="H1675" s="43">
        <f>IFERROR(G1675*E1671,"")</f>
        <v>0</v>
      </c>
      <c r="I1675" s="3"/>
    </row>
    <row r="1676" spans="1:11" ht="12.75" customHeight="1">
      <c r="A1676" s="28"/>
      <c r="B1676" s="29"/>
      <c r="C1676" s="30" t="str">
        <f>IFERROR(_xlfn.XLOOKUP(B1676,Insumo[DESCRIPCION],Insumo[UND],,0),"")</f>
        <v/>
      </c>
      <c r="D1676" s="31"/>
      <c r="E1676" s="32" t="str">
        <f>IFERROR(_xlfn.XLOOKUP($B1676,Insumo[DESCRIPCION],Insumo[VALOR],,0),"")</f>
        <v/>
      </c>
      <c r="F1676" s="33"/>
      <c r="G1676" s="34" t="str">
        <f>IFERROR(IF(F1676&gt;=0,D1676*E1676*(1+F1676/100),ABS(D1676*E1676/F1676)),"")</f>
        <v/>
      </c>
      <c r="H1676" s="43" t="str">
        <f>IFERROR(G1676*E1671,"")</f>
        <v/>
      </c>
      <c r="I1676" s="3"/>
    </row>
    <row r="1677" spans="1:11" ht="12.75" customHeight="1">
      <c r="A1677" s="28"/>
      <c r="B1677" s="29"/>
      <c r="C1677" s="30" t="str">
        <f>IFERROR(_xlfn.XLOOKUP(B1677,Insumo[DESCRIPCION],Insumo[UND],,0),"")</f>
        <v/>
      </c>
      <c r="D1677" s="31"/>
      <c r="E1677" s="32" t="str">
        <f>IFERROR(_xlfn.XLOOKUP($B1677,Insumo[DESCRIPCION],Insumo[VALOR],,0),"")</f>
        <v/>
      </c>
      <c r="F1677" s="33"/>
      <c r="G1677" s="34" t="str">
        <f>IFERROR(IF(F1677&gt;=0,D1677*E1677*(1+F1677/100),ABS(D1677*E1677/F1677)),"")</f>
        <v/>
      </c>
      <c r="H1677" s="43" t="str">
        <f>IFERROR(G1677*E1671,"")</f>
        <v/>
      </c>
      <c r="I1677" s="3"/>
    </row>
    <row r="1678" spans="1:11" ht="12.75" customHeight="1">
      <c r="A1678" s="28"/>
      <c r="B1678" s="29"/>
      <c r="C1678" s="30" t="str">
        <f>IFERROR(_xlfn.XLOOKUP(B1678,Insumo[DESCRIPCION],Insumo[UND],,0),"")</f>
        <v/>
      </c>
      <c r="D1678" s="31"/>
      <c r="E1678" s="32" t="str">
        <f>IFERROR(_xlfn.XLOOKUP($B1678,Insumo[DESCRIPCION],Insumo[VALOR],,0),"")</f>
        <v/>
      </c>
      <c r="F1678" s="33"/>
      <c r="G1678" s="34" t="str">
        <f>IFERROR(IF(F1678&gt;=0,D1678*E1678*(1+F1678/100),ABS(D1678*E1678/F1678)),"")</f>
        <v/>
      </c>
      <c r="H1678" s="43" t="str">
        <f>IFERROR(G1678*E1671,"")</f>
        <v/>
      </c>
      <c r="I1678" s="3"/>
    </row>
    <row r="1679" spans="1:11" ht="12.75" customHeight="1">
      <c r="A1679" s="21"/>
      <c r="B1679" s="22" t="s">
        <v>3731</v>
      </c>
      <c r="C1679" s="23"/>
      <c r="D1679" s="24"/>
      <c r="E1679" s="25"/>
      <c r="F1679" s="26"/>
      <c r="G1679" s="27">
        <f>SUM(G1680:G1682)</f>
        <v>523.98458482500007</v>
      </c>
      <c r="H1679" s="27">
        <f>IFERROR(G1679*E1671,"")</f>
        <v>0</v>
      </c>
      <c r="I1679" s="3"/>
    </row>
    <row r="1680" spans="1:11" ht="12.75" customHeight="1">
      <c r="A1680" s="28"/>
      <c r="B1680" s="29" t="s">
        <v>3626</v>
      </c>
      <c r="C1680" s="30" t="str">
        <f>IFERROR(_xlfn.XLOOKUP(B1680,Equipo[DESCRIPCION],Equipo[UND],,0),"")</f>
        <v>%MO</v>
      </c>
      <c r="D1680" s="31">
        <v>0.05</v>
      </c>
      <c r="E1680" s="32">
        <f>IF(C1680="%MO",G1686,IFERROR(_xlfn.XLOOKUP($B1680,Equipo[DESCRIPCION],Equipo[VALOR],,0),""))</f>
        <v>10479.691696500002</v>
      </c>
      <c r="F1680" s="33"/>
      <c r="G1680" s="34">
        <f>IFERROR(IF(F1680&gt;=0,D1680*E1680*(1+F1680/100),ABS(D1680*E1680/F1680)),"")</f>
        <v>523.98458482500007</v>
      </c>
      <c r="H1680" s="43">
        <f>IFERROR(G1680*E1671,"")</f>
        <v>0</v>
      </c>
      <c r="I1680" s="3"/>
    </row>
    <row r="1681" spans="1:11" ht="12.75" customHeight="1">
      <c r="A1681" s="28"/>
      <c r="B1681" s="29"/>
      <c r="C1681" s="30" t="str">
        <f>IFERROR(_xlfn.XLOOKUP(B1681,Equipo[DESCRIPCION],Equipo[UND],,0),"")</f>
        <v/>
      </c>
      <c r="D1681" s="31"/>
      <c r="E1681" s="32" t="str">
        <f>IF(C1681="%MO",G1686,IFERROR(_xlfn.XLOOKUP($B1681,Equipo[DESCRIPCION],Equipo[VALOR],,0),""))</f>
        <v/>
      </c>
      <c r="F1681" s="33"/>
      <c r="G1681" s="34" t="str">
        <f>IFERROR(IF(F1681&gt;=0,D1681*E1681*(1+F1681/100),ABS(D1681*E1681/F1681)),"")</f>
        <v/>
      </c>
      <c r="H1681" s="43" t="str">
        <f>IFERROR(G1681*E1671,"")</f>
        <v/>
      </c>
      <c r="I1681" s="3"/>
    </row>
    <row r="1682" spans="1:11" ht="12.75" customHeight="1">
      <c r="A1682" s="28"/>
      <c r="B1682" s="29"/>
      <c r="C1682" s="30" t="str">
        <f>IFERROR(_xlfn.XLOOKUP(B1682,Equipo[DESCRIPCION],Equipo[UND],,0),"")</f>
        <v/>
      </c>
      <c r="D1682" s="31"/>
      <c r="E1682" s="32" t="str">
        <f>IF(C1682="%MO",G1686,IFERROR(_xlfn.XLOOKUP($B1682,Equipo[DESCRIPCION],Equipo[VALOR],,0),""))</f>
        <v/>
      </c>
      <c r="F1682" s="33"/>
      <c r="G1682" s="34" t="str">
        <f>IFERROR(IF(F1682&gt;=0,D1682*E1682*(1+F1682/100),ABS(D1682*E1682/F1682)),"")</f>
        <v/>
      </c>
      <c r="H1682" s="43" t="str">
        <f>IFERROR(G1682*E1671,"")</f>
        <v/>
      </c>
      <c r="I1682" s="3"/>
    </row>
    <row r="1683" spans="1:11" ht="12.75" customHeight="1">
      <c r="A1683" s="21"/>
      <c r="B1683" s="22" t="s">
        <v>2533</v>
      </c>
      <c r="C1683" s="23"/>
      <c r="D1683" s="24"/>
      <c r="E1683" s="25"/>
      <c r="F1683" s="26"/>
      <c r="G1683" s="27">
        <f>SUM(G1684:G1685)</f>
        <v>0</v>
      </c>
      <c r="H1683" s="27">
        <f>IFERROR(G1683*E1671,"")</f>
        <v>0</v>
      </c>
      <c r="I1683" s="3"/>
    </row>
    <row r="1684" spans="1:11" ht="12.75" customHeight="1">
      <c r="A1684" s="28"/>
      <c r="B1684" s="29"/>
      <c r="C1684" s="30" t="str">
        <f>IFERROR(_xlfn.XLOOKUP(B1684,Transporte[DESCRIPCION],Transporte[UND],,0),"")</f>
        <v/>
      </c>
      <c r="D1684" s="31"/>
      <c r="E1684" s="32" t="str">
        <f>IFERROR(_xlfn.XLOOKUP($B1684,Transporte[DESCRIPCION],Transporte[VALOR],,0),"")</f>
        <v/>
      </c>
      <c r="F1684" s="33"/>
      <c r="G1684" s="34" t="str">
        <f>IFERROR(IF(F1684&gt;=0,D1684*E1684*(1+F1684/100),ABS(D1684*E1684/F1684)),"")</f>
        <v/>
      </c>
      <c r="H1684" s="43" t="str">
        <f>IFERROR(G1684*E1671,"")</f>
        <v/>
      </c>
      <c r="I1684" s="3"/>
    </row>
    <row r="1685" spans="1:11" ht="12.75" customHeight="1">
      <c r="A1685" s="28"/>
      <c r="B1685" s="29"/>
      <c r="C1685" s="30" t="str">
        <f>IFERROR(_xlfn.XLOOKUP(B1685,Transporte[DESCRIPCION],Transporte[UND],,0),"")</f>
        <v/>
      </c>
      <c r="D1685" s="31"/>
      <c r="E1685" s="32" t="str">
        <f>IFERROR(_xlfn.XLOOKUP($B1685,Transporte[DESCRIPCION],Transporte[VALOR],,0),"")</f>
        <v/>
      </c>
      <c r="F1685" s="33"/>
      <c r="G1685" s="34" t="str">
        <f>IFERROR(IF(F1685&gt;=0,D1685*E1685*(1+F1685/100),ABS(D1685*E1685/F1685)),"")</f>
        <v/>
      </c>
      <c r="H1685" s="43" t="str">
        <f>IFERROR(G1685*E1671,"")</f>
        <v/>
      </c>
      <c r="I1685" s="3"/>
    </row>
    <row r="1686" spans="1:11" ht="12.75" customHeight="1">
      <c r="A1686" s="21"/>
      <c r="B1686" s="22" t="s">
        <v>3732</v>
      </c>
      <c r="C1686" s="23"/>
      <c r="D1686" s="24"/>
      <c r="E1686" s="25"/>
      <c r="F1686" s="26"/>
      <c r="G1686" s="27">
        <f>SUM(G1687:G1689)</f>
        <v>10479.691696500002</v>
      </c>
      <c r="H1686" s="27">
        <f>IFERROR(G1686*E1671,"")</f>
        <v>0</v>
      </c>
      <c r="I1686" s="3"/>
    </row>
    <row r="1687" spans="1:11" ht="12.75" customHeight="1">
      <c r="A1687" s="28"/>
      <c r="B1687" s="29" t="s">
        <v>3710</v>
      </c>
      <c r="C1687" s="30" t="str">
        <f>IFERROR(_xlfn.XLOOKUP(B1687,MObra[DESCRIPCION],MObra[UN],,0),"")</f>
        <v>día</v>
      </c>
      <c r="D1687" s="31">
        <v>1</v>
      </c>
      <c r="E1687" s="32">
        <f>IFERROR(_xlfn.XLOOKUP($B1687,MObra[DESCRIPCION],MObra[VALOR UNIT],,0),"")</f>
        <v>314390.75089500006</v>
      </c>
      <c r="F1687" s="33">
        <v>-30</v>
      </c>
      <c r="G1687" s="34">
        <f>IFERROR(IF(F1687&gt;=0,D1687*E1687*(1+F1687/100),ABS(D1687*E1687/F1687)),"")</f>
        <v>10479.691696500002</v>
      </c>
      <c r="H1687" s="43">
        <f>IFERROR(G1687*E1671,"")</f>
        <v>0</v>
      </c>
      <c r="I1687" s="3"/>
    </row>
    <row r="1688" spans="1:11" ht="12.75" customHeight="1">
      <c r="A1688" s="28"/>
      <c r="B1688" s="29"/>
      <c r="C1688" s="30" t="str">
        <f>IFERROR(_xlfn.XLOOKUP(B1688,MObra[DESCRIPCION],MObra[UN],,0),"")</f>
        <v/>
      </c>
      <c r="D1688" s="31"/>
      <c r="E1688" s="32" t="str">
        <f>IFERROR(_xlfn.XLOOKUP($B1688,MObra[DESCRIPCION],MObra[VALOR UNIT],,0),"")</f>
        <v/>
      </c>
      <c r="F1688" s="33"/>
      <c r="G1688" s="34" t="str">
        <f>IFERROR(IF(F1688&gt;=0,D1688*E1688*(1+F1688/100),ABS(D1688*E1688/F1688)),"")</f>
        <v/>
      </c>
      <c r="H1688" s="43" t="str">
        <f>IFERROR(G1688*E1671,"")</f>
        <v/>
      </c>
      <c r="I1688" s="3"/>
    </row>
    <row r="1689" spans="1:11" ht="12.75" customHeight="1" thickBot="1">
      <c r="A1689" s="35"/>
      <c r="B1689" s="36"/>
      <c r="C1689" s="37" t="str">
        <f>IFERROR(_xlfn.XLOOKUP(B1689,MObra[DESCRIPCION],MObra[UN],,0),"")</f>
        <v/>
      </c>
      <c r="D1689" s="38"/>
      <c r="E1689" s="39" t="str">
        <f>IFERROR(_xlfn.XLOOKUP($B1689,MObra[DESCRIPCION],MObra[VALOR UNIT],,0),"")</f>
        <v/>
      </c>
      <c r="F1689" s="40"/>
      <c r="G1689" s="41" t="str">
        <f>IFERROR(IF(F1689&gt;=0,D1689*E1689*(1+F1689/100),ABS(D1689*E1689/F1689)),"")</f>
        <v/>
      </c>
      <c r="H1689" s="42" t="str">
        <f>IFERROR(G1689*E1671,"")</f>
        <v/>
      </c>
      <c r="I1689" s="3"/>
    </row>
    <row r="1690" spans="1:11" ht="12.75" customHeight="1" thickTop="1" thickBot="1">
      <c r="I1690" s="3"/>
    </row>
    <row r="1691" spans="1:11" ht="12.75" customHeight="1" thickTop="1" thickBot="1">
      <c r="A1691" s="6" t="s">
        <v>1723</v>
      </c>
      <c r="B1691" s="7" t="str">
        <f>VLOOKUP($A1691,Presupuesto!$A:$D,2,FALSE())</f>
        <v>Retemplado malla de cerramiento</v>
      </c>
      <c r="C1691" s="8" t="str">
        <f>VLOOKUP($A1691,Presupuesto!$A:$D,3,FALSE())</f>
        <v>M2</v>
      </c>
      <c r="D1691" s="9"/>
      <c r="E1691" s="10">
        <f>VLOOKUP($A1691,Presupuesto!$A:$D,4,FALSE())</f>
        <v>0</v>
      </c>
      <c r="F1691" s="11" t="s">
        <v>2589</v>
      </c>
      <c r="G1691" s="12">
        <f>SUM(G1693:G1709)/2</f>
        <v>5872.8562634250011</v>
      </c>
      <c r="H1691" s="13">
        <f>ROUND(SUM(H1693:H1709),0)/2</f>
        <v>0</v>
      </c>
      <c r="I1691" s="10">
        <f>VLOOKUP(A1691,Presupuesto!$A:$F,6,0)</f>
        <v>0</v>
      </c>
      <c r="J1691" s="10">
        <f>+H1691-I1691</f>
        <v>0</v>
      </c>
      <c r="K1691" s="46">
        <f>+H1691-G1691*E1691</f>
        <v>0</v>
      </c>
    </row>
    <row r="1692" spans="1:11" ht="12.75" customHeight="1" thickTop="1">
      <c r="A1692" s="14"/>
      <c r="B1692" s="15" t="s">
        <v>2586</v>
      </c>
      <c r="C1692" s="15" t="s">
        <v>5</v>
      </c>
      <c r="D1692" s="16" t="s">
        <v>6</v>
      </c>
      <c r="E1692" s="17" t="s">
        <v>7</v>
      </c>
      <c r="F1692" s="18" t="s">
        <v>3728</v>
      </c>
      <c r="G1692" s="19" t="s">
        <v>3729</v>
      </c>
      <c r="H1692" s="20" t="s">
        <v>3797</v>
      </c>
      <c r="I1692" s="3"/>
    </row>
    <row r="1693" spans="1:11" ht="12.75" customHeight="1">
      <c r="A1693" s="21"/>
      <c r="B1693" s="22" t="s">
        <v>3730</v>
      </c>
      <c r="C1693" s="23"/>
      <c r="D1693" s="24"/>
      <c r="E1693" s="25"/>
      <c r="F1693" s="26"/>
      <c r="G1693" s="27">
        <f>SUM(G1694:G1698)</f>
        <v>1156.9950000000001</v>
      </c>
      <c r="H1693" s="27">
        <f>IFERROR(G1693*E1691,"")</f>
        <v>0</v>
      </c>
      <c r="I1693" s="3"/>
    </row>
    <row r="1694" spans="1:11" ht="12.75" customHeight="1">
      <c r="A1694" s="28"/>
      <c r="B1694" s="29" t="s">
        <v>2698</v>
      </c>
      <c r="C1694" s="30" t="str">
        <f>IFERROR(_xlfn.XLOOKUP(B1694,Insumo[DESCRIPCION],Insumo[UND],,0),"")</f>
        <v>Kg</v>
      </c>
      <c r="D1694" s="31">
        <v>0.1</v>
      </c>
      <c r="E1694" s="32">
        <f>IFERROR(_xlfn.XLOOKUP($B1694,Insumo[DESCRIPCION],Insumo[VALOR],,0),"")</f>
        <v>11569.95</v>
      </c>
      <c r="F1694" s="33"/>
      <c r="G1694" s="34">
        <f>IFERROR(IF(F1694&gt;=0,D1694*E1694*(1+F1694/100),ABS(D1694*E1694/F1694)),"")</f>
        <v>1156.9950000000001</v>
      </c>
      <c r="H1694" s="43">
        <f>IFERROR(G1694*E1691,"")</f>
        <v>0</v>
      </c>
      <c r="I1694" s="3"/>
    </row>
    <row r="1695" spans="1:11" ht="12.75" customHeight="1">
      <c r="A1695" s="28"/>
      <c r="B1695" s="29"/>
      <c r="C1695" s="30" t="str">
        <f>IFERROR(_xlfn.XLOOKUP(B1695,Insumo[DESCRIPCION],Insumo[UND],,0),"")</f>
        <v/>
      </c>
      <c r="D1695" s="31"/>
      <c r="E1695" s="32" t="str">
        <f>IFERROR(_xlfn.XLOOKUP($B1695,Insumo[DESCRIPCION],Insumo[VALOR],,0),"")</f>
        <v/>
      </c>
      <c r="F1695" s="33"/>
      <c r="G1695" s="34" t="str">
        <f>IFERROR(IF(F1695&gt;=0,D1695*E1695*(1+F1695/100),ABS(D1695*E1695/F1695)),"")</f>
        <v/>
      </c>
      <c r="H1695" s="43" t="str">
        <f>IFERROR(G1695*E1691,"")</f>
        <v/>
      </c>
      <c r="I1695" s="3"/>
    </row>
    <row r="1696" spans="1:11" ht="12.75" customHeight="1">
      <c r="A1696" s="28"/>
      <c r="B1696" s="29"/>
      <c r="C1696" s="30" t="str">
        <f>IFERROR(_xlfn.XLOOKUP(B1696,Insumo[DESCRIPCION],Insumo[UND],,0),"")</f>
        <v/>
      </c>
      <c r="D1696" s="31"/>
      <c r="E1696" s="32" t="str">
        <f>IFERROR(_xlfn.XLOOKUP($B1696,Insumo[DESCRIPCION],Insumo[VALOR],,0),"")</f>
        <v/>
      </c>
      <c r="F1696" s="33"/>
      <c r="G1696" s="34" t="str">
        <f>IFERROR(IF(F1696&gt;=0,D1696*E1696*(1+F1696/100),ABS(D1696*E1696/F1696)),"")</f>
        <v/>
      </c>
      <c r="H1696" s="43" t="str">
        <f>IFERROR(G1696*E1691,"")</f>
        <v/>
      </c>
      <c r="I1696" s="3"/>
    </row>
    <row r="1697" spans="1:11" ht="12.75" customHeight="1">
      <c r="A1697" s="28"/>
      <c r="B1697" s="29"/>
      <c r="C1697" s="30" t="str">
        <f>IFERROR(_xlfn.XLOOKUP(B1697,Insumo[DESCRIPCION],Insumo[UND],,0),"")</f>
        <v/>
      </c>
      <c r="D1697" s="31"/>
      <c r="E1697" s="32" t="str">
        <f>IFERROR(_xlfn.XLOOKUP($B1697,Insumo[DESCRIPCION],Insumo[VALOR],,0),"")</f>
        <v/>
      </c>
      <c r="F1697" s="33"/>
      <c r="G1697" s="34" t="str">
        <f>IFERROR(IF(F1697&gt;=0,D1697*E1697*(1+F1697/100),ABS(D1697*E1697/F1697)),"")</f>
        <v/>
      </c>
      <c r="H1697" s="43" t="str">
        <f>IFERROR(G1697*E1691,"")</f>
        <v/>
      </c>
      <c r="I1697" s="3"/>
    </row>
    <row r="1698" spans="1:11" ht="12.75" customHeight="1">
      <c r="A1698" s="28"/>
      <c r="B1698" s="29"/>
      <c r="C1698" s="30" t="str">
        <f>IFERROR(_xlfn.XLOOKUP(B1698,Insumo[DESCRIPCION],Insumo[UND],,0),"")</f>
        <v/>
      </c>
      <c r="D1698" s="31"/>
      <c r="E1698" s="32" t="str">
        <f>IFERROR(_xlfn.XLOOKUP($B1698,Insumo[DESCRIPCION],Insumo[VALOR],,0),"")</f>
        <v/>
      </c>
      <c r="F1698" s="33"/>
      <c r="G1698" s="34" t="str">
        <f>IFERROR(IF(F1698&gt;=0,D1698*E1698*(1+F1698/100),ABS(D1698*E1698/F1698)),"")</f>
        <v/>
      </c>
      <c r="H1698" s="43" t="str">
        <f>IFERROR(G1698*E1691,"")</f>
        <v/>
      </c>
      <c r="I1698" s="3"/>
    </row>
    <row r="1699" spans="1:11" ht="12.75" customHeight="1">
      <c r="A1699" s="21"/>
      <c r="B1699" s="22" t="s">
        <v>3731</v>
      </c>
      <c r="C1699" s="23"/>
      <c r="D1699" s="24"/>
      <c r="E1699" s="25"/>
      <c r="F1699" s="26"/>
      <c r="G1699" s="27">
        <f>SUM(G1700:G1702)</f>
        <v>224.56482206785719</v>
      </c>
      <c r="H1699" s="27">
        <f>IFERROR(G1699*E1691,"")</f>
        <v>0</v>
      </c>
      <c r="I1699" s="3"/>
    </row>
    <row r="1700" spans="1:11" ht="12.75" customHeight="1">
      <c r="A1700" s="28"/>
      <c r="B1700" s="29" t="s">
        <v>3626</v>
      </c>
      <c r="C1700" s="30" t="str">
        <f>IFERROR(_xlfn.XLOOKUP(B1700,Equipo[DESCRIPCION],Equipo[UND],,0),"")</f>
        <v>%MO</v>
      </c>
      <c r="D1700" s="31">
        <v>0.05</v>
      </c>
      <c r="E1700" s="32">
        <f>IF(C1700="%MO",G1706,IFERROR(_xlfn.XLOOKUP($B1700,Equipo[DESCRIPCION],Equipo[VALOR],,0),""))</f>
        <v>4491.2964413571435</v>
      </c>
      <c r="F1700" s="33"/>
      <c r="G1700" s="34">
        <f>IFERROR(IF(F1700&gt;=0,D1700*E1700*(1+F1700/100),ABS(D1700*E1700/F1700)),"")</f>
        <v>224.56482206785719</v>
      </c>
      <c r="H1700" s="43">
        <f>IFERROR(G1700*E1691,"")</f>
        <v>0</v>
      </c>
      <c r="I1700" s="3"/>
    </row>
    <row r="1701" spans="1:11" ht="12.75" customHeight="1">
      <c r="A1701" s="28"/>
      <c r="B1701" s="29"/>
      <c r="C1701" s="30" t="str">
        <f>IFERROR(_xlfn.XLOOKUP(B1701,Equipo[DESCRIPCION],Equipo[UND],,0),"")</f>
        <v/>
      </c>
      <c r="D1701" s="31"/>
      <c r="E1701" s="32" t="str">
        <f>IF(C1701="%MO",G1706,IFERROR(_xlfn.XLOOKUP($B1701,Equipo[DESCRIPCION],Equipo[VALOR],,0),""))</f>
        <v/>
      </c>
      <c r="F1701" s="33"/>
      <c r="G1701" s="34" t="str">
        <f>IFERROR(IF(F1701&gt;=0,D1701*E1701*(1+F1701/100),ABS(D1701*E1701/F1701)),"")</f>
        <v/>
      </c>
      <c r="H1701" s="43" t="str">
        <f>IFERROR(G1701*E1691,"")</f>
        <v/>
      </c>
      <c r="I1701" s="3"/>
    </row>
    <row r="1702" spans="1:11" ht="12.75" customHeight="1">
      <c r="A1702" s="28"/>
      <c r="B1702" s="29"/>
      <c r="C1702" s="30" t="str">
        <f>IFERROR(_xlfn.XLOOKUP(B1702,Equipo[DESCRIPCION],Equipo[UND],,0),"")</f>
        <v/>
      </c>
      <c r="D1702" s="31"/>
      <c r="E1702" s="32" t="str">
        <f>IF(C1702="%MO",G1706,IFERROR(_xlfn.XLOOKUP($B1702,Equipo[DESCRIPCION],Equipo[VALOR],,0),""))</f>
        <v/>
      </c>
      <c r="F1702" s="33"/>
      <c r="G1702" s="34" t="str">
        <f>IFERROR(IF(F1702&gt;=0,D1702*E1702*(1+F1702/100),ABS(D1702*E1702/F1702)),"")</f>
        <v/>
      </c>
      <c r="H1702" s="43" t="str">
        <f>IFERROR(G1702*E1691,"")</f>
        <v/>
      </c>
      <c r="I1702" s="3"/>
    </row>
    <row r="1703" spans="1:11" ht="12.75" customHeight="1">
      <c r="A1703" s="21"/>
      <c r="B1703" s="22" t="s">
        <v>2533</v>
      </c>
      <c r="C1703" s="23"/>
      <c r="D1703" s="24"/>
      <c r="E1703" s="25"/>
      <c r="F1703" s="26"/>
      <c r="G1703" s="27">
        <f>SUM(G1704:G1705)</f>
        <v>0</v>
      </c>
      <c r="H1703" s="27">
        <f>IFERROR(G1703*E1691,"")</f>
        <v>0</v>
      </c>
      <c r="I1703" s="3"/>
    </row>
    <row r="1704" spans="1:11" ht="12.75" customHeight="1">
      <c r="A1704" s="28"/>
      <c r="B1704" s="29"/>
      <c r="C1704" s="30" t="str">
        <f>IFERROR(_xlfn.XLOOKUP(B1704,Transporte[DESCRIPCION],Transporte[UND],,0),"")</f>
        <v/>
      </c>
      <c r="D1704" s="31"/>
      <c r="E1704" s="32" t="str">
        <f>IFERROR(_xlfn.XLOOKUP($B1704,Transporte[DESCRIPCION],Transporte[VALOR],,0),"")</f>
        <v/>
      </c>
      <c r="F1704" s="33"/>
      <c r="G1704" s="34" t="str">
        <f>IFERROR(IF(F1704&gt;=0,D1704*E1704*(1+F1704/100),ABS(D1704*E1704/F1704)),"")</f>
        <v/>
      </c>
      <c r="H1704" s="43" t="str">
        <f>IFERROR(G1704*E1691,"")</f>
        <v/>
      </c>
      <c r="I1704" s="3"/>
    </row>
    <row r="1705" spans="1:11" ht="12.75" customHeight="1">
      <c r="A1705" s="28"/>
      <c r="B1705" s="29"/>
      <c r="C1705" s="30" t="str">
        <f>IFERROR(_xlfn.XLOOKUP(B1705,Transporte[DESCRIPCION],Transporte[UND],,0),"")</f>
        <v/>
      </c>
      <c r="D1705" s="31"/>
      <c r="E1705" s="32" t="str">
        <f>IFERROR(_xlfn.XLOOKUP($B1705,Transporte[DESCRIPCION],Transporte[VALOR],,0),"")</f>
        <v/>
      </c>
      <c r="F1705" s="33"/>
      <c r="G1705" s="34" t="str">
        <f>IFERROR(IF(F1705&gt;=0,D1705*E1705*(1+F1705/100),ABS(D1705*E1705/F1705)),"")</f>
        <v/>
      </c>
      <c r="H1705" s="43" t="str">
        <f>IFERROR(G1705*E1691,"")</f>
        <v/>
      </c>
      <c r="I1705" s="3"/>
    </row>
    <row r="1706" spans="1:11" ht="12.75" customHeight="1">
      <c r="A1706" s="21"/>
      <c r="B1706" s="22" t="s">
        <v>3732</v>
      </c>
      <c r="C1706" s="23"/>
      <c r="D1706" s="24"/>
      <c r="E1706" s="25"/>
      <c r="F1706" s="26"/>
      <c r="G1706" s="27">
        <f>SUM(G1707:G1709)</f>
        <v>4491.2964413571435</v>
      </c>
      <c r="H1706" s="27">
        <f>IFERROR(G1706*E1691,"")</f>
        <v>0</v>
      </c>
      <c r="I1706" s="3"/>
    </row>
    <row r="1707" spans="1:11" ht="12.75" customHeight="1">
      <c r="A1707" s="28"/>
      <c r="B1707" s="29" t="s">
        <v>3710</v>
      </c>
      <c r="C1707" s="30" t="str">
        <f>IFERROR(_xlfn.XLOOKUP(B1707,MObra[DESCRIPCION],MObra[UN],,0),"")</f>
        <v>día</v>
      </c>
      <c r="D1707" s="31">
        <v>1</v>
      </c>
      <c r="E1707" s="32">
        <f>IFERROR(_xlfn.XLOOKUP($B1707,MObra[DESCRIPCION],MObra[VALOR UNIT],,0),"")</f>
        <v>314390.75089500006</v>
      </c>
      <c r="F1707" s="33">
        <v>-70</v>
      </c>
      <c r="G1707" s="34">
        <f>IFERROR(IF(F1707&gt;=0,D1707*E1707*(1+F1707/100),ABS(D1707*E1707/F1707)),"")</f>
        <v>4491.2964413571435</v>
      </c>
      <c r="H1707" s="43">
        <f>IFERROR(G1707*E1691,"")</f>
        <v>0</v>
      </c>
      <c r="I1707" s="3"/>
    </row>
    <row r="1708" spans="1:11" ht="12.75" customHeight="1">
      <c r="A1708" s="28"/>
      <c r="B1708" s="29"/>
      <c r="C1708" s="30" t="str">
        <f>IFERROR(_xlfn.XLOOKUP(B1708,MObra[DESCRIPCION],MObra[UN],,0),"")</f>
        <v/>
      </c>
      <c r="D1708" s="31"/>
      <c r="E1708" s="32" t="str">
        <f>IFERROR(_xlfn.XLOOKUP($B1708,MObra[DESCRIPCION],MObra[VALOR UNIT],,0),"")</f>
        <v/>
      </c>
      <c r="F1708" s="33"/>
      <c r="G1708" s="34" t="str">
        <f>IFERROR(IF(F1708&gt;=0,D1708*E1708*(1+F1708/100),ABS(D1708*E1708/F1708)),"")</f>
        <v/>
      </c>
      <c r="H1708" s="43" t="str">
        <f>IFERROR(G1708*E1691,"")</f>
        <v/>
      </c>
      <c r="I1708" s="3"/>
    </row>
    <row r="1709" spans="1:11" ht="12.75" customHeight="1" thickBot="1">
      <c r="A1709" s="35"/>
      <c r="B1709" s="36"/>
      <c r="C1709" s="37" t="str">
        <f>IFERROR(_xlfn.XLOOKUP(B1709,MObra[DESCRIPCION],MObra[UN],,0),"")</f>
        <v/>
      </c>
      <c r="D1709" s="38"/>
      <c r="E1709" s="39" t="str">
        <f>IFERROR(_xlfn.XLOOKUP($B1709,MObra[DESCRIPCION],MObra[VALOR UNIT],,0),"")</f>
        <v/>
      </c>
      <c r="F1709" s="40"/>
      <c r="G1709" s="41" t="str">
        <f>IFERROR(IF(F1709&gt;=0,D1709*E1709*(1+F1709/100),ABS(D1709*E1709/F1709)),"")</f>
        <v/>
      </c>
      <c r="H1709" s="42" t="str">
        <f>IFERROR(G1709*E1691,"")</f>
        <v/>
      </c>
      <c r="I1709" s="3"/>
    </row>
    <row r="1710" spans="1:11" ht="12.75" customHeight="1" thickTop="1" thickBot="1">
      <c r="A1710" s="35"/>
      <c r="B1710" s="36"/>
      <c r="C1710" s="37" t="str">
        <f t="array" ref="C1710">IFERROR(_xlfn.XLOOKUP(B1710,MObra[[#All],[DESCRIPCION]],MObra[[#All],[UN]],,0),"")</f>
        <v/>
      </c>
      <c r="D1710" s="38"/>
      <c r="E1710" s="39" t="str">
        <f t="array" ref="E1710">IFERROR(_xlfn.XLOOKUP($B1710,MObra[[#All],[DESCRIPCION]],MObra[[#All],[VALOR UNIT]],,0),"")</f>
        <v/>
      </c>
      <c r="F1710" s="40"/>
      <c r="G1710" s="41" t="str">
        <f>IFERROR(IF(F1710&gt;=0,D1710*E1710*(1+F1710/100),ABS(D1710*E1710/F1710)),"")</f>
        <v/>
      </c>
      <c r="H1710" s="42" t="str">
        <f>IFERROR(G1710*E1691,"")</f>
        <v/>
      </c>
      <c r="I1710" s="3"/>
    </row>
    <row r="1711" spans="1:11" ht="12.75" customHeight="1" thickTop="1" thickBot="1">
      <c r="I1711" s="3"/>
    </row>
    <row r="1712" spans="1:11" ht="12.75" customHeight="1" thickTop="1" thickBot="1">
      <c r="A1712" s="6" t="s">
        <v>1725</v>
      </c>
      <c r="B1712" s="7" t="str">
        <f>VLOOKUP($A1712,Presupuesto!$A:$D,2,FALSE())</f>
        <v>Suministro e instalación de malla en nylon para cerramiento</v>
      </c>
      <c r="C1712" s="8" t="str">
        <f>VLOOKUP($A1712,Presupuesto!$A:$D,3,FALSE())</f>
        <v>M2</v>
      </c>
      <c r="D1712" s="9"/>
      <c r="E1712" s="10">
        <f>VLOOKUP($A1712,Presupuesto!$A:$D,4,FALSE())</f>
        <v>0</v>
      </c>
      <c r="F1712" s="11" t="s">
        <v>2589</v>
      </c>
      <c r="G1712" s="12">
        <f>SUM(G1714:G1730)/2</f>
        <v>21882.060384397511</v>
      </c>
      <c r="H1712" s="13">
        <f>ROUND(SUM(H1714:H1730),0)/2</f>
        <v>0</v>
      </c>
      <c r="I1712" s="10">
        <f>VLOOKUP(A1712,Presupuesto!$A:$F,6,0)</f>
        <v>0</v>
      </c>
      <c r="J1712" s="10">
        <f>+H1712-I1712</f>
        <v>0</v>
      </c>
      <c r="K1712" s="46">
        <f>+H1712-G1712*E1712</f>
        <v>0</v>
      </c>
    </row>
    <row r="1713" spans="1:9" ht="12.75" customHeight="1" thickTop="1">
      <c r="A1713" s="14"/>
      <c r="B1713" s="15" t="s">
        <v>2586</v>
      </c>
      <c r="C1713" s="15" t="s">
        <v>5</v>
      </c>
      <c r="D1713" s="16" t="s">
        <v>6</v>
      </c>
      <c r="E1713" s="17" t="s">
        <v>7</v>
      </c>
      <c r="F1713" s="18" t="s">
        <v>3728</v>
      </c>
      <c r="G1713" s="19" t="s">
        <v>3729</v>
      </c>
      <c r="H1713" s="20" t="s">
        <v>3797</v>
      </c>
      <c r="I1713" s="3"/>
    </row>
    <row r="1714" spans="1:9" ht="12.75" customHeight="1">
      <c r="A1714" s="21"/>
      <c r="B1714" s="22" t="s">
        <v>3730</v>
      </c>
      <c r="C1714" s="23"/>
      <c r="D1714" s="24"/>
      <c r="E1714" s="25"/>
      <c r="F1714" s="26"/>
      <c r="G1714" s="27">
        <f>SUM(G1715:G1719)</f>
        <v>18580.957500000004</v>
      </c>
      <c r="H1714" s="27">
        <f>IFERROR(G1714*E1712,"")</f>
        <v>0</v>
      </c>
      <c r="I1714" s="3"/>
    </row>
    <row r="1715" spans="1:9" ht="12.75" customHeight="1">
      <c r="A1715" s="28"/>
      <c r="B1715" s="29" t="s">
        <v>3131</v>
      </c>
      <c r="C1715" s="30" t="str">
        <f>IFERROR(_xlfn.XLOOKUP(B1715,Insumo[DESCRIPCION],Insumo[UND],,0),"")</f>
        <v>M2</v>
      </c>
      <c r="D1715" s="31">
        <v>1</v>
      </c>
      <c r="E1715" s="32">
        <f>IFERROR(_xlfn.XLOOKUP($B1715,Insumo[DESCRIPCION],Insumo[VALOR],,0),"")</f>
        <v>17412.150000000001</v>
      </c>
      <c r="F1715" s="33">
        <v>5</v>
      </c>
      <c r="G1715" s="34">
        <f>IFERROR(IF(F1715&gt;=0,D1715*E1715*(1+F1715/100),ABS(D1715*E1715/F1715)),"")</f>
        <v>18282.757500000003</v>
      </c>
      <c r="H1715" s="43">
        <f>IFERROR(G1715*E1712,"")</f>
        <v>0</v>
      </c>
      <c r="I1715" s="3"/>
    </row>
    <row r="1716" spans="1:9" ht="12.75" customHeight="1">
      <c r="A1716" s="28"/>
      <c r="B1716" s="29" t="s">
        <v>2701</v>
      </c>
      <c r="C1716" s="30" t="str">
        <f>IFERROR(_xlfn.XLOOKUP(B1716,Insumo[DESCRIPCION],Insumo[UND],,0),"")</f>
        <v>Un</v>
      </c>
      <c r="D1716" s="31">
        <v>4</v>
      </c>
      <c r="E1716" s="32">
        <f>IFERROR(_xlfn.XLOOKUP($B1716,Insumo[DESCRIPCION],Insumo[VALOR],,0),"")</f>
        <v>74.55</v>
      </c>
      <c r="F1716" s="33"/>
      <c r="G1716" s="34">
        <f>IFERROR(IF(F1716&gt;=0,D1716*E1716*(1+F1716/100),ABS(D1716*E1716/F1716)),"")</f>
        <v>298.2</v>
      </c>
      <c r="H1716" s="43">
        <f>IFERROR(G1716*E1712,"")</f>
        <v>0</v>
      </c>
      <c r="I1716" s="3"/>
    </row>
    <row r="1717" spans="1:9" ht="12.75" customHeight="1">
      <c r="A1717" s="28"/>
      <c r="B1717" s="29"/>
      <c r="C1717" s="30" t="str">
        <f>IFERROR(_xlfn.XLOOKUP(B1717,Insumo[DESCRIPCION],Insumo[UND],,0),"")</f>
        <v/>
      </c>
      <c r="D1717" s="31"/>
      <c r="E1717" s="32" t="str">
        <f>IFERROR(_xlfn.XLOOKUP($B1717,Insumo[DESCRIPCION],Insumo[VALOR],,0),"")</f>
        <v/>
      </c>
      <c r="F1717" s="33"/>
      <c r="G1717" s="34" t="str">
        <f>IFERROR(IF(F1717&gt;=0,D1717*E1717*(1+F1717/100),ABS(D1717*E1717/F1717)),"")</f>
        <v/>
      </c>
      <c r="H1717" s="43" t="str">
        <f>IFERROR(G1717*E1712,"")</f>
        <v/>
      </c>
      <c r="I1717" s="3"/>
    </row>
    <row r="1718" spans="1:9" ht="12.75" customHeight="1">
      <c r="A1718" s="28"/>
      <c r="B1718" s="29"/>
      <c r="C1718" s="30" t="str">
        <f>IFERROR(_xlfn.XLOOKUP(B1718,Insumo[DESCRIPCION],Insumo[UND],,0),"")</f>
        <v/>
      </c>
      <c r="D1718" s="31"/>
      <c r="E1718" s="32" t="str">
        <f>IFERROR(_xlfn.XLOOKUP($B1718,Insumo[DESCRIPCION],Insumo[VALOR],,0),"")</f>
        <v/>
      </c>
      <c r="F1718" s="33"/>
      <c r="G1718" s="34" t="str">
        <f>IFERROR(IF(F1718&gt;=0,D1718*E1718*(1+F1718/100),ABS(D1718*E1718/F1718)),"")</f>
        <v/>
      </c>
      <c r="H1718" s="43" t="str">
        <f>IFERROR(G1718*E1712,"")</f>
        <v/>
      </c>
      <c r="I1718" s="3"/>
    </row>
    <row r="1719" spans="1:9" ht="12.75" customHeight="1">
      <c r="A1719" s="28"/>
      <c r="B1719" s="29"/>
      <c r="C1719" s="30" t="str">
        <f>IFERROR(_xlfn.XLOOKUP(B1719,Insumo[DESCRIPCION],Insumo[UND],,0),"")</f>
        <v/>
      </c>
      <c r="D1719" s="31"/>
      <c r="E1719" s="32" t="str">
        <f>IFERROR(_xlfn.XLOOKUP($B1719,Insumo[DESCRIPCION],Insumo[VALOR],,0),"")</f>
        <v/>
      </c>
      <c r="F1719" s="33"/>
      <c r="G1719" s="34" t="str">
        <f>IFERROR(IF(F1719&gt;=0,D1719*E1719*(1+F1719/100),ABS(D1719*E1719/F1719)),"")</f>
        <v/>
      </c>
      <c r="H1719" s="43" t="str">
        <f>IFERROR(G1719*E1712,"")</f>
        <v/>
      </c>
      <c r="I1719" s="3"/>
    </row>
    <row r="1720" spans="1:9" ht="12.75" customHeight="1">
      <c r="A1720" s="21"/>
      <c r="B1720" s="22" t="s">
        <v>3731</v>
      </c>
      <c r="C1720" s="23"/>
      <c r="D1720" s="24"/>
      <c r="E1720" s="25"/>
      <c r="F1720" s="26"/>
      <c r="G1720" s="27">
        <f>SUM(G1721:G1723)</f>
        <v>157.19537544750006</v>
      </c>
      <c r="H1720" s="27">
        <f>IFERROR(G1720*E1712,"")</f>
        <v>0</v>
      </c>
      <c r="I1720" s="3"/>
    </row>
    <row r="1721" spans="1:9" ht="12.75" customHeight="1">
      <c r="A1721" s="28"/>
      <c r="B1721" s="29" t="s">
        <v>3626</v>
      </c>
      <c r="C1721" s="30" t="str">
        <f>IFERROR(_xlfn.XLOOKUP(B1721,Equipo[DESCRIPCION],Equipo[UND],,0),"")</f>
        <v>%MO</v>
      </c>
      <c r="D1721" s="31">
        <v>0.05</v>
      </c>
      <c r="E1721" s="32">
        <f>IF(C1721="%MO",G1727,IFERROR(_xlfn.XLOOKUP($B1721,Equipo[DESCRIPCION],Equipo[VALOR],,0),""))</f>
        <v>3143.9075089500006</v>
      </c>
      <c r="F1721" s="33"/>
      <c r="G1721" s="34">
        <f>IFERROR(IF(F1721&gt;=0,D1721*E1721*(1+F1721/100),ABS(D1721*E1721/F1721)),"")</f>
        <v>157.19537544750006</v>
      </c>
      <c r="H1721" s="43">
        <f>IFERROR(G1721*E1712,"")</f>
        <v>0</v>
      </c>
      <c r="I1721" s="3"/>
    </row>
    <row r="1722" spans="1:9" ht="12.75" customHeight="1">
      <c r="A1722" s="28"/>
      <c r="B1722" s="29"/>
      <c r="C1722" s="30" t="str">
        <f>IFERROR(_xlfn.XLOOKUP(B1722,Equipo[DESCRIPCION],Equipo[UND],,0),"")</f>
        <v/>
      </c>
      <c r="D1722" s="31"/>
      <c r="E1722" s="32" t="str">
        <f>IF(C1722="%MO",G1727,IFERROR(_xlfn.XLOOKUP($B1722,Equipo[DESCRIPCION],Equipo[VALOR],,0),""))</f>
        <v/>
      </c>
      <c r="F1722" s="33"/>
      <c r="G1722" s="34" t="str">
        <f>IFERROR(IF(F1722&gt;=0,D1722*E1722*(1+F1722/100),ABS(D1722*E1722/F1722)),"")</f>
        <v/>
      </c>
      <c r="H1722" s="43" t="str">
        <f>IFERROR(G1722*E1712,"")</f>
        <v/>
      </c>
      <c r="I1722" s="3"/>
    </row>
    <row r="1723" spans="1:9" ht="12.75" customHeight="1">
      <c r="A1723" s="28"/>
      <c r="B1723" s="29"/>
      <c r="C1723" s="30" t="str">
        <f>IFERROR(_xlfn.XLOOKUP(B1723,Equipo[DESCRIPCION],Equipo[UND],,0),"")</f>
        <v/>
      </c>
      <c r="D1723" s="31"/>
      <c r="E1723" s="32" t="str">
        <f>IF(C1723="%MO",G1727,IFERROR(_xlfn.XLOOKUP($B1723,Equipo[DESCRIPCION],Equipo[VALOR],,0),""))</f>
        <v/>
      </c>
      <c r="F1723" s="33"/>
      <c r="G1723" s="34" t="str">
        <f>IFERROR(IF(F1723&gt;=0,D1723*E1723*(1+F1723/100),ABS(D1723*E1723/F1723)),"")</f>
        <v/>
      </c>
      <c r="H1723" s="43" t="str">
        <f>IFERROR(G1723*E1712,"")</f>
        <v/>
      </c>
      <c r="I1723" s="3"/>
    </row>
    <row r="1724" spans="1:9" ht="12.75" customHeight="1">
      <c r="A1724" s="21"/>
      <c r="B1724" s="22" t="s">
        <v>2533</v>
      </c>
      <c r="C1724" s="23"/>
      <c r="D1724" s="24"/>
      <c r="E1724" s="25"/>
      <c r="F1724" s="26"/>
      <c r="G1724" s="27">
        <f>SUM(G1725:G1726)</f>
        <v>0</v>
      </c>
      <c r="H1724" s="27">
        <f>IFERROR(G1724*E1712,"")</f>
        <v>0</v>
      </c>
      <c r="I1724" s="3"/>
    </row>
    <row r="1725" spans="1:9" ht="12.75" customHeight="1">
      <c r="A1725" s="28"/>
      <c r="B1725" s="29"/>
      <c r="C1725" s="30" t="str">
        <f>IFERROR(_xlfn.XLOOKUP(B1725,Transporte[DESCRIPCION],Transporte[UND],,0),"")</f>
        <v/>
      </c>
      <c r="D1725" s="31"/>
      <c r="E1725" s="32" t="str">
        <f>IFERROR(_xlfn.XLOOKUP($B1725,Transporte[DESCRIPCION],Transporte[VALOR],,0),"")</f>
        <v/>
      </c>
      <c r="F1725" s="33"/>
      <c r="G1725" s="34" t="str">
        <f>IFERROR(IF(F1725&gt;=0,D1725*E1725*(1+F1725/100),ABS(D1725*E1725/F1725)),"")</f>
        <v/>
      </c>
      <c r="H1725" s="43" t="str">
        <f>IFERROR(G1725*E1712,"")</f>
        <v/>
      </c>
      <c r="I1725" s="3"/>
    </row>
    <row r="1726" spans="1:9" ht="12.75" customHeight="1">
      <c r="A1726" s="28"/>
      <c r="B1726" s="29"/>
      <c r="C1726" s="30" t="str">
        <f>IFERROR(_xlfn.XLOOKUP(B1726,Transporte[DESCRIPCION],Transporte[UND],,0),"")</f>
        <v/>
      </c>
      <c r="D1726" s="31"/>
      <c r="E1726" s="32" t="str">
        <f>IFERROR(_xlfn.XLOOKUP($B1726,Transporte[DESCRIPCION],Transporte[VALOR],,0),"")</f>
        <v/>
      </c>
      <c r="F1726" s="33"/>
      <c r="G1726" s="34" t="str">
        <f>IFERROR(IF(F1726&gt;=0,D1726*E1726*(1+F1726/100),ABS(D1726*E1726/F1726)),"")</f>
        <v/>
      </c>
      <c r="H1726" s="43" t="str">
        <f>IFERROR(G1726*E1712,"")</f>
        <v/>
      </c>
      <c r="I1726" s="3"/>
    </row>
    <row r="1727" spans="1:9" ht="12.75" customHeight="1">
      <c r="A1727" s="21"/>
      <c r="B1727" s="22" t="s">
        <v>3732</v>
      </c>
      <c r="C1727" s="23"/>
      <c r="D1727" s="24"/>
      <c r="E1727" s="25"/>
      <c r="F1727" s="26"/>
      <c r="G1727" s="27">
        <f>SUM(G1728:G1730)</f>
        <v>3143.9075089500006</v>
      </c>
      <c r="H1727" s="27">
        <f>IFERROR(G1727*E1712,"")</f>
        <v>0</v>
      </c>
      <c r="I1727" s="3"/>
    </row>
    <row r="1728" spans="1:9" ht="12.75" customHeight="1">
      <c r="A1728" s="28"/>
      <c r="B1728" s="29" t="s">
        <v>3710</v>
      </c>
      <c r="C1728" s="30" t="str">
        <f>IFERROR(_xlfn.XLOOKUP(B1728,MObra[DESCRIPCION],MObra[UN],,0),"")</f>
        <v>día</v>
      </c>
      <c r="D1728" s="31">
        <v>1</v>
      </c>
      <c r="E1728" s="32">
        <f>IFERROR(_xlfn.XLOOKUP($B1728,MObra[DESCRIPCION],MObra[VALOR UNIT],,0),"")</f>
        <v>314390.75089500006</v>
      </c>
      <c r="F1728" s="33">
        <v>-100</v>
      </c>
      <c r="G1728" s="34">
        <f>IFERROR(IF(F1728&gt;=0,D1728*E1728*(1+F1728/100),ABS(D1728*E1728/F1728)),"")</f>
        <v>3143.9075089500006</v>
      </c>
      <c r="H1728" s="43">
        <f>IFERROR(G1728*E1712,"")</f>
        <v>0</v>
      </c>
      <c r="I1728" s="3"/>
    </row>
    <row r="1729" spans="1:11" ht="12.75" customHeight="1">
      <c r="A1729" s="28"/>
      <c r="B1729" s="29"/>
      <c r="C1729" s="30" t="str">
        <f>IFERROR(_xlfn.XLOOKUP(B1729,MObra[DESCRIPCION],MObra[UN],,0),"")</f>
        <v/>
      </c>
      <c r="D1729" s="31"/>
      <c r="E1729" s="32" t="str">
        <f>IFERROR(_xlfn.XLOOKUP($B1729,MObra[DESCRIPCION],MObra[VALOR UNIT],,0),"")</f>
        <v/>
      </c>
      <c r="F1729" s="33"/>
      <c r="G1729" s="34" t="str">
        <f>IFERROR(IF(F1729&gt;=0,D1729*E1729*(1+F1729/100),ABS(D1729*E1729/F1729)),"")</f>
        <v/>
      </c>
      <c r="H1729" s="43" t="str">
        <f>IFERROR(G1729*E1712,"")</f>
        <v/>
      </c>
      <c r="I1729" s="3"/>
    </row>
    <row r="1730" spans="1:11" ht="12.75" customHeight="1" thickBot="1">
      <c r="A1730" s="35"/>
      <c r="B1730" s="36"/>
      <c r="C1730" s="37" t="str">
        <f>IFERROR(_xlfn.XLOOKUP(B1730,MObra[DESCRIPCION],MObra[UN],,0),"")</f>
        <v/>
      </c>
      <c r="D1730" s="38"/>
      <c r="E1730" s="39" t="str">
        <f>IFERROR(_xlfn.XLOOKUP($B1730,MObra[DESCRIPCION],MObra[VALOR UNIT],,0),"")</f>
        <v/>
      </c>
      <c r="F1730" s="40"/>
      <c r="G1730" s="41" t="str">
        <f>IFERROR(IF(F1730&gt;=0,D1730*E1730*(1+F1730/100),ABS(D1730*E1730/F1730)),"")</f>
        <v/>
      </c>
      <c r="H1730" s="42" t="str">
        <f>IFERROR(G1730*E1712,"")</f>
        <v/>
      </c>
      <c r="I1730" s="3"/>
    </row>
    <row r="1731" spans="1:11" ht="12.75" customHeight="1" thickTop="1" thickBot="1">
      <c r="I1731" s="3"/>
    </row>
    <row r="1732" spans="1:11" ht="12.75" customHeight="1" thickTop="1" thickBot="1">
      <c r="A1732" s="6" t="s">
        <v>1727</v>
      </c>
      <c r="B1732" s="7" t="str">
        <f>VLOOKUP($A1732,Presupuesto!$A:$D,2,FALSE())</f>
        <v>Tablero basquetbol tubería HG 2-1/2"</v>
      </c>
      <c r="C1732" s="8" t="str">
        <f>VLOOKUP($A1732,Presupuesto!$A:$D,3,FALSE())</f>
        <v>Par</v>
      </c>
      <c r="D1732" s="9"/>
      <c r="E1732" s="10">
        <f>VLOOKUP($A1732,Presupuesto!$A:$D,4,FALSE())</f>
        <v>0</v>
      </c>
      <c r="F1732" s="11" t="s">
        <v>2589</v>
      </c>
      <c r="G1732" s="12">
        <f>SUM(G1734:G1750)/2</f>
        <v>4807719.0717333127</v>
      </c>
      <c r="H1732" s="13">
        <f>ROUND(SUM(H1734:H1750),0)/2</f>
        <v>0</v>
      </c>
      <c r="I1732" s="10">
        <f>VLOOKUP(A1732,Presupuesto!$A:$F,6,0)</f>
        <v>0</v>
      </c>
      <c r="J1732" s="10">
        <f>+H1732-I1732</f>
        <v>0</v>
      </c>
      <c r="K1732" s="46">
        <f>+H1732-G1732*E1732</f>
        <v>0</v>
      </c>
    </row>
    <row r="1733" spans="1:11" ht="12.75" customHeight="1" thickTop="1">
      <c r="A1733" s="14"/>
      <c r="B1733" s="15" t="s">
        <v>2586</v>
      </c>
      <c r="C1733" s="15" t="s">
        <v>5</v>
      </c>
      <c r="D1733" s="16" t="s">
        <v>6</v>
      </c>
      <c r="E1733" s="17" t="s">
        <v>7</v>
      </c>
      <c r="F1733" s="18" t="s">
        <v>3728</v>
      </c>
      <c r="G1733" s="19" t="s">
        <v>3729</v>
      </c>
      <c r="H1733" s="20" t="s">
        <v>3797</v>
      </c>
      <c r="I1733" s="3"/>
    </row>
    <row r="1734" spans="1:11" ht="12.75" customHeight="1">
      <c r="A1734" s="21"/>
      <c r="B1734" s="22" t="s">
        <v>3730</v>
      </c>
      <c r="C1734" s="23"/>
      <c r="D1734" s="24"/>
      <c r="E1734" s="25"/>
      <c r="F1734" s="26"/>
      <c r="G1734" s="27">
        <f>SUM(G1735:G1739)</f>
        <v>4466154.6542313108</v>
      </c>
      <c r="H1734" s="27">
        <f>IFERROR(G1734*E1732,"")</f>
        <v>0</v>
      </c>
      <c r="I1734" s="3"/>
    </row>
    <row r="1735" spans="1:11" ht="12.75" customHeight="1">
      <c r="A1735" s="28"/>
      <c r="B1735" s="29" t="s">
        <v>3449</v>
      </c>
      <c r="C1735" s="30" t="str">
        <f>IFERROR(_xlfn.XLOOKUP(B1735,Insumo[DESCRIPCION],Insumo[UND],,0),"")</f>
        <v>M</v>
      </c>
      <c r="D1735" s="31">
        <v>6</v>
      </c>
      <c r="E1735" s="32">
        <f>IFERROR(_xlfn.XLOOKUP($B1735,Insumo[DESCRIPCION],Insumo[VALOR],,0),"")</f>
        <v>21998.025000000001</v>
      </c>
      <c r="F1735" s="33">
        <v>5</v>
      </c>
      <c r="G1735" s="34">
        <f>IFERROR(IF(F1735&gt;=0,D1735*E1735*(1+F1735/100),ABS(D1735*E1735/F1735)),"")</f>
        <v>138587.55750000002</v>
      </c>
      <c r="H1735" s="43">
        <f>IFERROR(G1735*E1732,"")</f>
        <v>0</v>
      </c>
      <c r="I1735" s="3"/>
    </row>
    <row r="1736" spans="1:11" ht="12.75" customHeight="1">
      <c r="A1736" s="28"/>
      <c r="B1736" s="29" t="s">
        <v>3326</v>
      </c>
      <c r="C1736" s="30" t="str">
        <f>IFERROR(_xlfn.XLOOKUP(B1736,Insumo[DESCRIPCION],Insumo[UND],,0),"")</f>
        <v>Kg</v>
      </c>
      <c r="D1736" s="31">
        <v>0.5</v>
      </c>
      <c r="E1736" s="32">
        <f>IFERROR(_xlfn.XLOOKUP($B1736,Insumo[DESCRIPCION],Insumo[VALOR],,0),"")</f>
        <v>5978.7</v>
      </c>
      <c r="F1736" s="33"/>
      <c r="G1736" s="34">
        <f>IFERROR(IF(F1736&gt;=0,D1736*E1736*(1+F1736/100),ABS(D1736*E1736/F1736)),"")</f>
        <v>2989.35</v>
      </c>
      <c r="H1736" s="43">
        <f>IFERROR(G1736*E1732,"")</f>
        <v>0</v>
      </c>
      <c r="I1736" s="3"/>
    </row>
    <row r="1737" spans="1:11" ht="12.75" customHeight="1">
      <c r="A1737" s="28"/>
      <c r="B1737" s="29" t="s">
        <v>3557</v>
      </c>
      <c r="C1737" s="30" t="str">
        <f>IFERROR(_xlfn.XLOOKUP(B1737,Insumo[DESCRIPCION],Insumo[UND],,0),"")</f>
        <v>galón</v>
      </c>
      <c r="D1737" s="31">
        <v>0.15</v>
      </c>
      <c r="E1737" s="32">
        <f>IFERROR(_xlfn.XLOOKUP($B1737,Insumo[DESCRIPCION],Insumo[VALOR],,0),"")</f>
        <v>206752.35</v>
      </c>
      <c r="F1737" s="33"/>
      <c r="G1737" s="34">
        <f>IFERROR(IF(F1737&gt;=0,D1737*E1737*(1+F1737/100),ABS(D1737*E1737/F1737)),"")</f>
        <v>31012.852500000001</v>
      </c>
      <c r="H1737" s="43">
        <f>IFERROR(G1737*E1732,"")</f>
        <v>0</v>
      </c>
      <c r="I1737" s="3"/>
    </row>
    <row r="1738" spans="1:11" ht="12.75" customHeight="1">
      <c r="A1738" s="28"/>
      <c r="B1738" s="29" t="s">
        <v>3354</v>
      </c>
      <c r="C1738" s="30" t="str">
        <f>IFERROR(_xlfn.XLOOKUP(B1738,Insumo[DESCRIPCION],Insumo[UND],,0),"")</f>
        <v>Un</v>
      </c>
      <c r="D1738" s="31">
        <v>2</v>
      </c>
      <c r="E1738" s="32">
        <f>IFERROR(_xlfn.XLOOKUP($B1738,Insumo[DESCRIPCION],Insumo[VALOR],,0),"")</f>
        <v>2137479.75</v>
      </c>
      <c r="F1738" s="33"/>
      <c r="G1738" s="34">
        <f>IFERROR(IF(F1738&gt;=0,D1738*E1738*(1+F1738/100),ABS(D1738*E1738/F1738)),"")</f>
        <v>4274959.5</v>
      </c>
      <c r="H1738" s="43">
        <f>IFERROR(G1738*E1732,"")</f>
        <v>0</v>
      </c>
      <c r="I1738" s="3"/>
    </row>
    <row r="1739" spans="1:11" ht="12.75" customHeight="1">
      <c r="A1739" s="28"/>
      <c r="B1739" s="29" t="s">
        <v>3239</v>
      </c>
      <c r="C1739" s="30" t="str">
        <f>IFERROR(_xlfn.XLOOKUP(B1739,Insumo[DESCRIPCION],Insumo[UND],,0),"")</f>
        <v>M3</v>
      </c>
      <c r="D1739" s="31">
        <v>3.4000000000000002E-2</v>
      </c>
      <c r="E1739" s="32">
        <f>IFERROR(_xlfn.XLOOKUP($B1739,Insumo[DESCRIPCION],Insumo[VALOR],,0),"")</f>
        <v>521159.50227762427</v>
      </c>
      <c r="F1739" s="33">
        <v>5</v>
      </c>
      <c r="G1739" s="34">
        <f>IFERROR(IF(F1739&gt;=0,D1739*E1739*(1+F1739/100),ABS(D1739*E1739/F1739)),"")</f>
        <v>18605.394231311191</v>
      </c>
      <c r="H1739" s="43">
        <f>IFERROR(G1739*E1732,"")</f>
        <v>0</v>
      </c>
      <c r="I1739" s="3"/>
    </row>
    <row r="1740" spans="1:11" ht="12.75" customHeight="1">
      <c r="A1740" s="21"/>
      <c r="B1740" s="22" t="s">
        <v>3731</v>
      </c>
      <c r="C1740" s="23"/>
      <c r="D1740" s="24"/>
      <c r="E1740" s="25"/>
      <c r="F1740" s="26"/>
      <c r="G1740" s="27">
        <f>SUM(G1741:G1743)</f>
        <v>62105.972262000003</v>
      </c>
      <c r="H1740" s="27">
        <f>IFERROR(G1740*E1732,"")</f>
        <v>0</v>
      </c>
      <c r="I1740" s="3"/>
    </row>
    <row r="1741" spans="1:11" ht="12.75" customHeight="1">
      <c r="A1741" s="28"/>
      <c r="B1741" s="29" t="s">
        <v>3613</v>
      </c>
      <c r="C1741" s="30" t="str">
        <f>IFERROR(_xlfn.XLOOKUP(B1741,Equipo[DESCRIPCION],Equipo[UND],,0),"")</f>
        <v>Día</v>
      </c>
      <c r="D1741" s="31">
        <v>1</v>
      </c>
      <c r="E1741" s="32">
        <f>IF(C1741="%MO",G1747,IFERROR(_xlfn.XLOOKUP($B1741,Equipo[DESCRIPCION],Equipo[VALOR],,0),""))</f>
        <v>48133.05</v>
      </c>
      <c r="F1741" s="33">
        <v>-1</v>
      </c>
      <c r="G1741" s="34">
        <f>IFERROR(IF(F1741&gt;=0,D1741*E1741*(1+F1741/100),ABS(D1741*E1741/F1741)),"")</f>
        <v>48133.05</v>
      </c>
      <c r="H1741" s="43">
        <f>IFERROR(G1741*E1732,"")</f>
        <v>0</v>
      </c>
      <c r="I1741" s="3"/>
    </row>
    <row r="1742" spans="1:11" ht="12.75" customHeight="1">
      <c r="A1742" s="28"/>
      <c r="B1742" s="29" t="s">
        <v>3626</v>
      </c>
      <c r="C1742" s="30" t="str">
        <f>IFERROR(_xlfn.XLOOKUP(B1742,Equipo[DESCRIPCION],Equipo[UND],,0),"")</f>
        <v>%MO</v>
      </c>
      <c r="D1742" s="31">
        <v>0.05</v>
      </c>
      <c r="E1742" s="32">
        <f>IF(C1742="%MO",G1747,IFERROR(_xlfn.XLOOKUP($B1742,Equipo[DESCRIPCION],Equipo[VALOR],,0),""))</f>
        <v>279458.44524000003</v>
      </c>
      <c r="F1742" s="33"/>
      <c r="G1742" s="34">
        <f>IFERROR(IF(F1742&gt;=0,D1742*E1742*(1+F1742/100),ABS(D1742*E1742/F1742)),"")</f>
        <v>13972.922262000002</v>
      </c>
      <c r="H1742" s="43">
        <f>IFERROR(G1742*E1732,"")</f>
        <v>0</v>
      </c>
      <c r="I1742" s="3"/>
    </row>
    <row r="1743" spans="1:11" ht="12.75" customHeight="1">
      <c r="A1743" s="28"/>
      <c r="B1743" s="29"/>
      <c r="C1743" s="30" t="str">
        <f>IFERROR(_xlfn.XLOOKUP(B1743,Equipo[DESCRIPCION],Equipo[UND],,0),"")</f>
        <v/>
      </c>
      <c r="D1743" s="31"/>
      <c r="E1743" s="32" t="str">
        <f>IF(C1743="%MO",G1747,IFERROR(_xlfn.XLOOKUP($B1743,Equipo[DESCRIPCION],Equipo[VALOR],,0),""))</f>
        <v/>
      </c>
      <c r="F1743" s="33"/>
      <c r="G1743" s="34" t="str">
        <f>IFERROR(IF(F1743&gt;=0,D1743*E1743*(1+F1743/100),ABS(D1743*E1743/F1743)),"")</f>
        <v/>
      </c>
      <c r="H1743" s="43" t="str">
        <f>IFERROR(G1743*E1732,"")</f>
        <v/>
      </c>
      <c r="I1743" s="3"/>
    </row>
    <row r="1744" spans="1:11" ht="12.75" customHeight="1">
      <c r="A1744" s="21"/>
      <c r="B1744" s="22" t="s">
        <v>2533</v>
      </c>
      <c r="C1744" s="23"/>
      <c r="D1744" s="24"/>
      <c r="E1744" s="25"/>
      <c r="F1744" s="26"/>
      <c r="G1744" s="27">
        <f>SUM(G1745:G1746)</f>
        <v>0</v>
      </c>
      <c r="H1744" s="27">
        <f>IFERROR(G1744*E1732,"")</f>
        <v>0</v>
      </c>
      <c r="I1744" s="3"/>
    </row>
    <row r="1745" spans="1:9" ht="12.75" customHeight="1">
      <c r="A1745" s="28"/>
      <c r="B1745" s="29"/>
      <c r="C1745" s="30" t="str">
        <f>IFERROR(_xlfn.XLOOKUP(B1745,Transporte[DESCRIPCION],Transporte[UND],,0),"")</f>
        <v/>
      </c>
      <c r="D1745" s="31"/>
      <c r="E1745" s="32" t="str">
        <f>IFERROR(_xlfn.XLOOKUP($B1745,Transporte[DESCRIPCION],Transporte[VALOR],,0),"")</f>
        <v/>
      </c>
      <c r="F1745" s="33"/>
      <c r="G1745" s="34" t="str">
        <f>IFERROR(IF(F1745&gt;=0,D1745*E1745*(1+F1745/100),ABS(D1745*E1745/F1745)),"")</f>
        <v/>
      </c>
      <c r="H1745" s="43" t="str">
        <f>IFERROR(G1745*E1732,"")</f>
        <v/>
      </c>
      <c r="I1745" s="3"/>
    </row>
    <row r="1746" spans="1:9" ht="12.75" customHeight="1">
      <c r="A1746" s="28"/>
      <c r="B1746" s="29"/>
      <c r="C1746" s="30" t="str">
        <f>IFERROR(_xlfn.XLOOKUP(B1746,Transporte[DESCRIPCION],Transporte[UND],,0),"")</f>
        <v/>
      </c>
      <c r="D1746" s="31"/>
      <c r="E1746" s="32" t="str">
        <f>IFERROR(_xlfn.XLOOKUP($B1746,Transporte[DESCRIPCION],Transporte[VALOR],,0),"")</f>
        <v/>
      </c>
      <c r="F1746" s="33"/>
      <c r="G1746" s="34" t="str">
        <f>IFERROR(IF(F1746&gt;=0,D1746*E1746*(1+F1746/100),ABS(D1746*E1746/F1746)),"")</f>
        <v/>
      </c>
      <c r="H1746" s="43" t="str">
        <f>IFERROR(G1746*E1732,"")</f>
        <v/>
      </c>
      <c r="I1746" s="3"/>
    </row>
    <row r="1747" spans="1:9" ht="12.75" customHeight="1">
      <c r="A1747" s="21"/>
      <c r="B1747" s="22" t="s">
        <v>3732</v>
      </c>
      <c r="C1747" s="23"/>
      <c r="D1747" s="24"/>
      <c r="E1747" s="25"/>
      <c r="F1747" s="26"/>
      <c r="G1747" s="27">
        <f>SUM(G1748:G1750)</f>
        <v>279458.44524000003</v>
      </c>
      <c r="H1747" s="27">
        <f>IFERROR(G1747*E1732,"")</f>
        <v>0</v>
      </c>
      <c r="I1747" s="3"/>
    </row>
    <row r="1748" spans="1:9" ht="12.75" customHeight="1">
      <c r="A1748" s="28"/>
      <c r="B1748" s="29" t="s">
        <v>3724</v>
      </c>
      <c r="C1748" s="30" t="str">
        <f>IFERROR(_xlfn.XLOOKUP(B1748,MObra[DESCRIPCION],MObra[UN],,0),"")</f>
        <v>día</v>
      </c>
      <c r="D1748" s="31">
        <v>1</v>
      </c>
      <c r="E1748" s="32">
        <f>IFERROR(_xlfn.XLOOKUP($B1748,MObra[DESCRIPCION],MObra[VALOR UNIT],,0),"")</f>
        <v>419187.66786000005</v>
      </c>
      <c r="F1748" s="33">
        <v>-1.5</v>
      </c>
      <c r="G1748" s="34">
        <f>IFERROR(IF(F1748&gt;=0,D1748*E1748*(1+F1748/100),ABS(D1748*E1748/F1748)),"")</f>
        <v>279458.44524000003</v>
      </c>
      <c r="H1748" s="43">
        <f>IFERROR(G1748*E1732,"")</f>
        <v>0</v>
      </c>
      <c r="I1748" s="3"/>
    </row>
    <row r="1749" spans="1:9" ht="12.75" customHeight="1">
      <c r="A1749" s="28"/>
      <c r="B1749" s="29"/>
      <c r="C1749" s="30" t="str">
        <f>IFERROR(_xlfn.XLOOKUP(B1749,MObra[DESCRIPCION],MObra[UN],,0),"")</f>
        <v/>
      </c>
      <c r="D1749" s="31"/>
      <c r="E1749" s="32" t="str">
        <f>IFERROR(_xlfn.XLOOKUP($B1749,MObra[DESCRIPCION],MObra[VALOR UNIT],,0),"")</f>
        <v/>
      </c>
      <c r="F1749" s="33"/>
      <c r="G1749" s="34" t="str">
        <f>IFERROR(IF(F1749&gt;=0,D1749*E1749*(1+F1749/100),ABS(D1749*E1749/F1749)),"")</f>
        <v/>
      </c>
      <c r="H1749" s="43" t="str">
        <f>IFERROR(G1749*E1732,"")</f>
        <v/>
      </c>
      <c r="I1749" s="3"/>
    </row>
    <row r="1750" spans="1:9" ht="12.75" customHeight="1" thickBot="1">
      <c r="A1750" s="35"/>
      <c r="B1750" s="36"/>
      <c r="C1750" s="37" t="str">
        <f>IFERROR(_xlfn.XLOOKUP(B1750,MObra[DESCRIPCION],MObra[UN],,0),"")</f>
        <v/>
      </c>
      <c r="D1750" s="38"/>
      <c r="E1750" s="39" t="str">
        <f>IFERROR(_xlfn.XLOOKUP($B1750,MObra[DESCRIPCION],MObra[VALOR UNIT],,0),"")</f>
        <v/>
      </c>
      <c r="F1750" s="40"/>
      <c r="G1750" s="41" t="str">
        <f>IFERROR(IF(F1750&gt;=0,D1750*E1750*(1+F1750/100),ABS(D1750*E1750/F1750)),"")</f>
        <v/>
      </c>
      <c r="H1750" s="42" t="str">
        <f>IFERROR(G1750*E1732,"")</f>
        <v/>
      </c>
      <c r="I1750" s="3"/>
    </row>
    <row r="1751" spans="1:9" ht="12.75" customHeight="1" thickTop="1">
      <c r="I1751" s="3"/>
    </row>
  </sheetData>
  <mergeCells count="3">
    <mergeCell ref="B1:G1"/>
    <mergeCell ref="B2:G2"/>
    <mergeCell ref="B3:G3"/>
  </mergeCells>
  <dataValidations count="1">
    <dataValidation type="list" allowBlank="1" showInputMessage="1" showErrorMessage="1" sqref="B1204:B1208 B1224:B1228 B1244:B1248 B1735:B1739 B1264:B1268 B1284:B1288 B1325:B1329 B1345:B1349 B1304:B1309 B1385 B1389:B1399 B1415:B1423 B1465:B1469 B1481 B1485:B1491 B1507:B1513 B1529:B1538 B1554:B1558 B1574:B1578 B1594:B1598 B1610 B1674:B1678 B1634:B1638 B1365:B1373 B1654:B1658 B1694:B1698 B1715:B1719 B1439:B1449 B1614:B1618 B528:B532 B7:B11 B27:B31 B47:B51 B67:B71 B87:B91 B608:B612 B107:B111 B127:B131 B147:B151 B167:B171 B187:B191 B207:B211 B227:B231 B247:B251 B267:B271 B287:B291 B327:B331 B347:B351 B367:B371 B407:B411 B427:B431 B387:B391 B447:B451 B488:B492 B508:B512 B467:B472 B588:B592 B548:B552 B1102:B1107 B628:B632 B568:B572 B668:B672 B688:B692 B648:B652 B728:B732 B768:B772 B708:B712 B748:B752 B788:B795 B811:B819 B835:B841 B857:B862 B878:B884 B922:B926 B942:B946 B900:B906 B982:B986 B1002:B1006 B962:B966 B1042:B1046 B1062:B1066 B1082:B1086 B1022:B1026 B1123:B1127 B1143:B1149 B1165:B1169 B1185:B1189 B307:B311" xr:uid="{00000000-0002-0000-1700-000000000000}">
      <formula1>Desinsum</formula1>
      <formula2>0</formula2>
    </dataValidation>
  </dataValidations>
  <printOptions horizontalCentered="1"/>
  <pageMargins left="0.59055118110236227" right="0.59055118110236227" top="0.59055118110236227" bottom="0.59055118110236227" header="0.51181102362204722" footer="0.51181102362204722"/>
  <pageSetup scale="65" orientation="portrait" horizontalDpi="300" verticalDpi="300" r:id="rId1"/>
  <rowBreaks count="20" manualBreakCount="20">
    <brk id="82" max="6" man="1"/>
    <brk id="162" max="6" man="1"/>
    <brk id="242" max="6" man="1"/>
    <brk id="322" max="6" man="1"/>
    <brk id="402" max="6" man="1"/>
    <brk id="483" max="6" man="1"/>
    <brk id="563" max="6" man="1"/>
    <brk id="643" max="6" man="1"/>
    <brk id="723" max="6" man="1"/>
    <brk id="783" max="6" man="1"/>
    <brk id="852" max="6" man="1"/>
    <brk id="917" max="6" man="1"/>
    <brk id="997" max="6" man="1"/>
    <brk id="1077" max="6" man="1"/>
    <brk id="1138" max="6" man="1"/>
    <brk id="1219" max="6" man="1"/>
    <brk id="1299" max="6" man="1"/>
    <brk id="1460" max="6" man="1"/>
    <brk id="1524" max="6" man="1"/>
    <brk id="1689" max="6" man="1"/>
  </rowBreaks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1700-000001000000}">
          <x14:formula1>
            <xm:f>'Mano de obra'!$B$31:$B$58</xm:f>
          </x14:formula1>
          <x14:formula2>
            <xm:f>0</xm:f>
          </x14:formula2>
          <xm:sqref>B1217:B1219 B1237:B1239 B1257:B1259 B1748:B1750 B1277:B1279 B1297:B1299 B1338:B1340 B1358:B1360 B1382:B1384 B1318:B1320 B1408:B1410 B1432:B1434 B1478:B1480 B1500:B1502 B1522:B1524 B1547:B1549 B1567:B1569 B1587:B1589 B1607:B1609 B1687:B1689 B1647:B1649 B1458:B1460 B1667:B1669 B1707:B1710 B1728:B1730 B1627:B1629 B541:B543 B20:B22 B40:B42 B60:B62 B80:B82 B100:B102 B120:B122 B140:B142 B160:B162 B180:B182 B200:B202 B220:B222 B240:B242 B260:B262 B280:B282 B300:B302 B340:B342 B360:B362 B380:B382 B400:B402 B440:B442 B420:B422 B481:B483 B501:B503 B521:B523 B460:B462 B601:B603 B561:B563 B1035:B1037 B641:B643 B581:B583 B681:B683 B701:B703 B661:B663 B741:B743 B781:B783 B721:B723 B804:B806 B828:B830 B850:B852 B871:B873 B893:B895 B761:B763 B935:B937 B955:B957 B915:B917 B995:B997 B1015:B1017 B975:B977 B1055:B1057 B1075:B1077 B1095:B1097 B1116:B1118 B1136:B1138 B1158:B1160 B1178:B1180 B1198:B1200 B621:B623 B320:B322</xm:sqref>
        </x14:dataValidation>
        <x14:dataValidation type="list" allowBlank="1" showInputMessage="1" showErrorMessage="1" xr:uid="{00000000-0002-0000-1700-000002000000}">
          <x14:formula1>
            <xm:f>Transporte!$A$4:$A$9</xm:f>
          </x14:formula1>
          <x14:formula2>
            <xm:f>0</xm:f>
          </x14:formula2>
          <xm:sqref>B1214:B1215 B1234:B1235 B1254:B1255 B1745:B1746 B1274:B1275 B1294:B1295 B1335:B1336 B1355:B1356 B1379:B1380 B1315:B1316 B1405:B1406 B1429:B1430 B1475:B1476 B1497:B1498 B1519:B1520 B1544:B1545 B1564:B1565 B1584:B1585 B1604:B1605 B1684:B1685 B1644:B1645 B1455:B1456 B1664:B1665 B1704:B1705 B1725:B1726 B1624:B1625 B538:B539 B17:B18 B37:B38 B57:B58 B77:B78 B97:B98 B117:B118 B137:B138 B157:B158 B177:B178 B197:B198 B217:B218 B237:B238 B257:B258 B277:B278 B297:B298 B337:B338 B357:B358 B377:B378 B397:B398 B437:B438 B417:B418 B478:B479 B498:B499 B518:B519 B457:B458 B598:B599 B558:B559 B1032:B1033 B638:B639 B578:B579 B678:B679 B698:B699 B658:B659 B738:B739 B778:B779 B718:B719 B801:B802 B825:B826 B847:B848 B868:B869 B890:B891 B758:B759 B932:B933 B952:B953 B912:B913 B992:B993 B1012:B1013 B972:B973 B1052:B1053 B1072:B1073 B1092:B1093 B1113:B1114 B1133:B1134 B1155:B1156 B1175:B1176 B1195:B1196 B618:B619 B317:B318</xm:sqref>
        </x14:dataValidation>
        <x14:dataValidation type="list" allowBlank="1" showInputMessage="1" showErrorMessage="1" xr:uid="{00000000-0002-0000-1700-000003000000}">
          <x14:formula1>
            <xm:f>Equipo!$A$4:$A$90</xm:f>
          </x14:formula1>
          <x14:formula2>
            <xm:f>0</xm:f>
          </x14:formula2>
          <xm:sqref>B1210:B1212 B1230:B1232 B1250:B1252 B1620:B1622 B1721:B1723 B1700:B1702 B1660:B1662 B1451:B1453 B1640:B1642 B1680:B1682 B1600:B1602 B1580:B1582 B1560:B1562 B1540:B1542 B1515:B1517 B1493:B1495 B1471:B1473 B1425:B1427 B1401:B1403 B1311:B1313 B1375:B1377 B1351:B1353 B1331:B1333 B1290:B1292 B1270:B1272 B1741:B1743 B534:B536 B614:B616 B1191:B1193 B1171:B1173 B1151:B1153 B1129:B1131 B1109:B1111 B1088:B1090 B1068:B1070 B1048:B1050 B968:B970 B1008:B1010 B988:B990 B908:B910 B948:B950 B928:B930 B754:B756 B886:B888 B864:B866 B843:B845 B821:B823 B797:B799 B714:B716 B774:B776 B734:B736 B654:B656 B694:B696 B674:B676 B574:B576 B634:B636 B1028:B1030 B554:B556 B594:B596 B453:B455 B514:B516 B494:B496 B474:B476 B413:B415 B433:B435 B393:B395 B373:B375 B353:B355 B333:B335 B293:B295 B273:B275 B253:B255 B233:B235 B213:B215 B193:B195 B173:B175 B153:B155 B133:B135 B113:B115 B93:B95 B73:B75 B53:B55 B33:B35 B13:B15 B313:B315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rgb="FF92D050"/>
  </sheetPr>
  <dimension ref="A1:K3116"/>
  <sheetViews>
    <sheetView view="pageBreakPreview" topLeftCell="A1612" zoomScale="80" zoomScaleNormal="100" zoomScaleSheetLayoutView="80" zoomScalePageLayoutView="90" workbookViewId="0">
      <selection activeCell="P1621" sqref="P1621"/>
    </sheetView>
  </sheetViews>
  <sheetFormatPr baseColWidth="10" defaultColWidth="10.73046875" defaultRowHeight="12.75"/>
  <cols>
    <col min="1" max="1" width="8.73046875" style="48" customWidth="1"/>
    <col min="2" max="2" width="65.73046875" style="3" customWidth="1"/>
    <col min="3" max="3" width="10.73046875" style="3" customWidth="1"/>
    <col min="4" max="4" width="11.73046875" style="3" customWidth="1"/>
    <col min="5" max="5" width="13.73046875" style="49" customWidth="1"/>
    <col min="6" max="6" width="12.73046875" style="3" customWidth="1"/>
    <col min="7" max="8" width="14.73046875" style="3" customWidth="1"/>
    <col min="9" max="9" width="15.3984375" style="3" bestFit="1" customWidth="1"/>
    <col min="10" max="10" width="14.73046875" style="3" customWidth="1"/>
    <col min="11" max="11" width="10.73046875" style="3" customWidth="1"/>
    <col min="12" max="16384" width="10.73046875" style="3"/>
  </cols>
  <sheetData>
    <row r="1" spans="1:11">
      <c r="A1" s="1"/>
      <c r="B1" s="316" t="str">
        <f>Presupuesto!A1</f>
        <v>ALCALDIA DE PEREIRA</v>
      </c>
      <c r="C1" s="316"/>
      <c r="D1" s="316"/>
      <c r="E1" s="316"/>
      <c r="F1" s="316"/>
      <c r="G1" s="316"/>
      <c r="H1" s="2"/>
    </row>
    <row r="2" spans="1:11">
      <c r="A2" s="1"/>
      <c r="B2" s="316" t="str">
        <f>Presupuesto!A2</f>
        <v>VERSION O BASE DE DATOS ALCALDIA DE PEREIRA 2026</v>
      </c>
      <c r="C2" s="316"/>
      <c r="D2" s="316"/>
      <c r="E2" s="316"/>
      <c r="F2" s="316"/>
      <c r="G2" s="316"/>
      <c r="H2" s="2"/>
    </row>
    <row r="3" spans="1:11">
      <c r="A3" s="4"/>
      <c r="B3" s="323" t="s">
        <v>3796</v>
      </c>
      <c r="C3" s="323"/>
      <c r="D3" s="323"/>
      <c r="E3" s="323"/>
      <c r="F3" s="323"/>
      <c r="G3" s="323"/>
      <c r="H3" s="5"/>
    </row>
    <row r="4" spans="1:11">
      <c r="A4" s="6" t="s">
        <v>1732</v>
      </c>
      <c r="B4" s="7" t="str">
        <f>VLOOKUP($A4,Presupuesto!$A:$D,2,FALSE())</f>
        <v>Anclaje activo cable 1/2" x 4 alta resistencia</v>
      </c>
      <c r="C4" s="8" t="str">
        <f>VLOOKUP($A4,Presupuesto!$A:$D,3,FALSE())</f>
        <v>M</v>
      </c>
      <c r="D4" s="9"/>
      <c r="E4" s="10">
        <f>VLOOKUP($A4,Presupuesto!$A:$D,4,FALSE())</f>
        <v>0</v>
      </c>
      <c r="F4" s="11" t="s">
        <v>2589</v>
      </c>
      <c r="G4" s="12">
        <f>SUM(G6:G36)/2</f>
        <v>385923.17478172493</v>
      </c>
      <c r="H4" s="13">
        <f>ROUND(SUM(H6:H36),0)/2</f>
        <v>0</v>
      </c>
      <c r="I4" s="10">
        <f>VLOOKUP(A4,Presupuesto!$A:$F,6,0)</f>
        <v>0</v>
      </c>
      <c r="J4" s="10">
        <f>+H4-I4</f>
        <v>0</v>
      </c>
      <c r="K4" s="46">
        <f>+H4-G4*E4</f>
        <v>0</v>
      </c>
    </row>
    <row r="5" spans="1:11">
      <c r="A5" s="14"/>
      <c r="B5" s="15" t="s">
        <v>2586</v>
      </c>
      <c r="C5" s="15" t="s">
        <v>5</v>
      </c>
      <c r="D5" s="16" t="s">
        <v>6</v>
      </c>
      <c r="E5" s="17" t="s">
        <v>7</v>
      </c>
      <c r="F5" s="18" t="s">
        <v>3728</v>
      </c>
      <c r="G5" s="19" t="s">
        <v>3729</v>
      </c>
      <c r="H5" s="20" t="s">
        <v>3797</v>
      </c>
    </row>
    <row r="6" spans="1:11">
      <c r="A6" s="21"/>
      <c r="B6" s="22" t="s">
        <v>3730</v>
      </c>
      <c r="C6" s="23"/>
      <c r="D6" s="24"/>
      <c r="E6" s="25"/>
      <c r="F6" s="26"/>
      <c r="G6" s="27">
        <f>SUM(G7:G21)</f>
        <v>226266.59999999998</v>
      </c>
      <c r="H6" s="27">
        <f>IFERROR(G6*E4,"")</f>
        <v>0</v>
      </c>
    </row>
    <row r="7" spans="1:11">
      <c r="A7" s="28"/>
      <c r="B7" s="29" t="s">
        <v>2699</v>
      </c>
      <c r="C7" s="30" t="str">
        <f>IFERROR(_xlfn.XLOOKUP(B7,Insumo[DESCRIPCION],Insumo[UND],,0),"")</f>
        <v>Kg</v>
      </c>
      <c r="D7" s="31">
        <v>0.2</v>
      </c>
      <c r="E7" s="32">
        <f>IFERROR(_xlfn.XLOOKUP($B7,Insumo[DESCRIPCION],Insumo[VALOR],,0),"")</f>
        <v>7665</v>
      </c>
      <c r="F7" s="33"/>
      <c r="G7" s="34">
        <f t="shared" ref="G7:G21" si="0">IFERROR(IF(F7&gt;=0,D7*E7*(1+F7/100),ABS(D7*E7/F7)),"")</f>
        <v>1533</v>
      </c>
      <c r="H7" s="43">
        <f>IFERROR(G7*E4,"")</f>
        <v>0</v>
      </c>
    </row>
    <row r="8" spans="1:11">
      <c r="A8" s="28"/>
      <c r="B8" s="29" t="s">
        <v>2778</v>
      </c>
      <c r="C8" s="30" t="str">
        <f>IFERROR(_xlfn.XLOOKUP(B8,Insumo[DESCRIPCION],Insumo[UND],,0),"")</f>
        <v>M</v>
      </c>
      <c r="D8" s="31">
        <v>4</v>
      </c>
      <c r="E8" s="32">
        <f>IFERROR(_xlfn.XLOOKUP($B8,Insumo[DESCRIPCION],Insumo[VALOR],,0),"")</f>
        <v>12503.4</v>
      </c>
      <c r="F8" s="33">
        <v>30</v>
      </c>
      <c r="G8" s="34">
        <f t="shared" si="0"/>
        <v>65017.68</v>
      </c>
      <c r="H8" s="43">
        <f>IFERROR(G8*E4,"")</f>
        <v>0</v>
      </c>
    </row>
    <row r="9" spans="1:11">
      <c r="A9" s="28"/>
      <c r="B9" s="29" t="s">
        <v>2906</v>
      </c>
      <c r="C9" s="30" t="str">
        <f>IFERROR(_xlfn.XLOOKUP(B9,Insumo[DESCRIPCION],Insumo[UND],,0),"")</f>
        <v>Un</v>
      </c>
      <c r="D9" s="31">
        <v>1</v>
      </c>
      <c r="E9" s="32">
        <f>IFERROR(_xlfn.XLOOKUP($B9,Insumo[DESCRIPCION],Insumo[VALOR],,0),"")</f>
        <v>23357.25</v>
      </c>
      <c r="F9" s="33"/>
      <c r="G9" s="34">
        <f t="shared" si="0"/>
        <v>23357.25</v>
      </c>
      <c r="H9" s="43">
        <f>IFERROR(G9*E4,"")</f>
        <v>0</v>
      </c>
    </row>
    <row r="10" spans="1:11">
      <c r="A10" s="28"/>
      <c r="B10" s="29" t="s">
        <v>3410</v>
      </c>
      <c r="C10" s="30" t="str">
        <f>IFERROR(_xlfn.XLOOKUP(B10,Insumo[DESCRIPCION],Insumo[UND],,0),"")</f>
        <v>Kg</v>
      </c>
      <c r="D10" s="31">
        <v>0.1</v>
      </c>
      <c r="E10" s="32">
        <f>IFERROR(_xlfn.XLOOKUP($B10,Insumo[DESCRIPCION],Insumo[VALOR],,0),"")</f>
        <v>103675.95000000001</v>
      </c>
      <c r="F10" s="33"/>
      <c r="G10" s="34">
        <f t="shared" si="0"/>
        <v>10367.595000000001</v>
      </c>
      <c r="H10" s="43">
        <f>IFERROR(G10*E4,"")</f>
        <v>0</v>
      </c>
    </row>
    <row r="11" spans="1:11">
      <c r="A11" s="28"/>
      <c r="B11" s="29" t="s">
        <v>3145</v>
      </c>
      <c r="C11" s="30" t="str">
        <f>IFERROR(_xlfn.XLOOKUP(B11,Insumo[DESCRIPCION],Insumo[UND],,0),"")</f>
        <v>M</v>
      </c>
      <c r="D11" s="31">
        <v>1</v>
      </c>
      <c r="E11" s="32">
        <f>IFERROR(_xlfn.XLOOKUP($B11,Insumo[DESCRIPCION],Insumo[VALOR],,0),"")</f>
        <v>36134.700000000004</v>
      </c>
      <c r="F11" s="33"/>
      <c r="G11" s="34">
        <f t="shared" si="0"/>
        <v>36134.700000000004</v>
      </c>
      <c r="H11" s="43">
        <f>IFERROR(G11*E4,"")</f>
        <v>0</v>
      </c>
    </row>
    <row r="12" spans="1:11">
      <c r="A12" s="28"/>
      <c r="B12" s="29" t="s">
        <v>3228</v>
      </c>
      <c r="C12" s="30" t="str">
        <f>IFERROR(_xlfn.XLOOKUP(B12,Insumo[DESCRIPCION],Insumo[UND],,0),"")</f>
        <v>Un</v>
      </c>
      <c r="D12" s="31">
        <v>0.1</v>
      </c>
      <c r="E12" s="32">
        <f>IFERROR(_xlfn.XLOOKUP($B12,Insumo[DESCRIPCION],Insumo[VALOR],,0),"")</f>
        <v>39331.950000000004</v>
      </c>
      <c r="F12" s="33"/>
      <c r="G12" s="34">
        <f t="shared" si="0"/>
        <v>3933.1950000000006</v>
      </c>
      <c r="H12" s="43">
        <f>IFERROR(G12*E4,"")</f>
        <v>0</v>
      </c>
    </row>
    <row r="13" spans="1:11">
      <c r="A13" s="28"/>
      <c r="B13" s="29" t="s">
        <v>3329</v>
      </c>
      <c r="C13" s="30" t="str">
        <f>IFERROR(_xlfn.XLOOKUP(B13,Insumo[DESCRIPCION],Insumo[UND],,0),"")</f>
        <v>Un</v>
      </c>
      <c r="D13" s="31">
        <v>0.2</v>
      </c>
      <c r="E13" s="32">
        <f>IFERROR(_xlfn.XLOOKUP($B13,Insumo[DESCRIPCION],Insumo[VALOR],,0),"")</f>
        <v>42424.200000000004</v>
      </c>
      <c r="F13" s="33"/>
      <c r="G13" s="34">
        <f t="shared" si="0"/>
        <v>8484.840000000002</v>
      </c>
      <c r="H13" s="43">
        <f>IFERROR(G13*E4,"")</f>
        <v>0</v>
      </c>
    </row>
    <row r="14" spans="1:11">
      <c r="A14" s="28"/>
      <c r="B14" s="29" t="s">
        <v>3046</v>
      </c>
      <c r="C14" s="30" t="str">
        <f>IFERROR(_xlfn.XLOOKUP(B14,Insumo[DESCRIPCION],Insumo[UND],,0),"")</f>
        <v>Un</v>
      </c>
      <c r="D14" s="31">
        <v>0.1</v>
      </c>
      <c r="E14" s="32">
        <f>IFERROR(_xlfn.XLOOKUP($B14,Insumo[DESCRIPCION],Insumo[VALOR],,0),"")</f>
        <v>62413.05</v>
      </c>
      <c r="F14" s="33"/>
      <c r="G14" s="34">
        <f t="shared" si="0"/>
        <v>6241.3050000000003</v>
      </c>
      <c r="H14" s="43">
        <f>IFERROR(G14*E4,"")</f>
        <v>0</v>
      </c>
    </row>
    <row r="15" spans="1:11">
      <c r="A15" s="28"/>
      <c r="B15" s="29" t="s">
        <v>3494</v>
      </c>
      <c r="C15" s="30" t="str">
        <f>IFERROR(_xlfn.XLOOKUP(B15,Insumo[DESCRIPCION],Insumo[UND],,0),"")</f>
        <v>M</v>
      </c>
      <c r="D15" s="31">
        <v>4</v>
      </c>
      <c r="E15" s="32">
        <f>IFERROR(_xlfn.XLOOKUP($B15,Insumo[DESCRIPCION],Insumo[VALOR],,0),"")</f>
        <v>11647.65</v>
      </c>
      <c r="F15" s="33"/>
      <c r="G15" s="34">
        <f t="shared" si="0"/>
        <v>46590.6</v>
      </c>
      <c r="H15" s="43">
        <f>IFERROR(G15*E4,"")</f>
        <v>0</v>
      </c>
    </row>
    <row r="16" spans="1:11">
      <c r="A16" s="28"/>
      <c r="B16" s="29" t="s">
        <v>2639</v>
      </c>
      <c r="C16" s="30" t="str">
        <f>IFERROR(_xlfn.XLOOKUP(B16,Insumo[DESCRIPCION],Insumo[UND],,0),"")</f>
        <v>Un</v>
      </c>
      <c r="D16" s="31">
        <v>0.5</v>
      </c>
      <c r="E16" s="32">
        <f>IFERROR(_xlfn.XLOOKUP($B16,Insumo[DESCRIPCION],Insumo[VALOR],,0),"")</f>
        <v>4688.25</v>
      </c>
      <c r="F16" s="33"/>
      <c r="G16" s="34">
        <f t="shared" si="0"/>
        <v>2344.125</v>
      </c>
      <c r="H16" s="43">
        <f>IFERROR(G16*E4,"")</f>
        <v>0</v>
      </c>
    </row>
    <row r="17" spans="1:8">
      <c r="A17" s="28"/>
      <c r="B17" s="29" t="s">
        <v>3294</v>
      </c>
      <c r="C17" s="30" t="str">
        <f>IFERROR(_xlfn.XLOOKUP(B17,Insumo[DESCRIPCION],Insumo[UND],,0),"")</f>
        <v>Un</v>
      </c>
      <c r="D17" s="31">
        <v>1</v>
      </c>
      <c r="E17" s="32">
        <f>IFERROR(_xlfn.XLOOKUP($B17,Insumo[DESCRIPCION],Insumo[VALOR],,0),"")</f>
        <v>3891.3</v>
      </c>
      <c r="F17" s="33"/>
      <c r="G17" s="34">
        <f t="shared" si="0"/>
        <v>3891.3</v>
      </c>
      <c r="H17" s="43">
        <f>IFERROR(G17*E4,"")</f>
        <v>0</v>
      </c>
    </row>
    <row r="18" spans="1:8">
      <c r="A18" s="28"/>
      <c r="B18" s="29" t="s">
        <v>3144</v>
      </c>
      <c r="C18" s="30" t="str">
        <f>IFERROR(_xlfn.XLOOKUP(B18,Insumo[DESCRIPCION],Insumo[UND],,0),"")</f>
        <v>M</v>
      </c>
      <c r="D18" s="31">
        <v>4</v>
      </c>
      <c r="E18" s="32">
        <f>IFERROR(_xlfn.XLOOKUP($B18,Insumo[DESCRIPCION],Insumo[VALOR],,0),"")</f>
        <v>1716.75</v>
      </c>
      <c r="F18" s="33"/>
      <c r="G18" s="34">
        <f t="shared" si="0"/>
        <v>6867</v>
      </c>
      <c r="H18" s="43">
        <f>IFERROR(G18*E4,"")</f>
        <v>0</v>
      </c>
    </row>
    <row r="19" spans="1:8">
      <c r="A19" s="28"/>
      <c r="B19" s="29" t="s">
        <v>2824</v>
      </c>
      <c r="C19" s="30" t="str">
        <f>IFERROR(_xlfn.XLOOKUP(B19,Insumo[DESCRIPCION],Insumo[UND],,0),"")</f>
        <v>Un</v>
      </c>
      <c r="D19" s="31">
        <f>4/50</f>
        <v>0.08</v>
      </c>
      <c r="E19" s="32">
        <f>IFERROR(_xlfn.XLOOKUP($B19,Insumo[DESCRIPCION],Insumo[VALOR],,0),"")</f>
        <v>34230</v>
      </c>
      <c r="F19" s="33"/>
      <c r="G19" s="34">
        <f t="shared" si="0"/>
        <v>2738.4</v>
      </c>
      <c r="H19" s="43">
        <f>IFERROR(G19*E4,"")</f>
        <v>0</v>
      </c>
    </row>
    <row r="20" spans="1:8">
      <c r="A20" s="28"/>
      <c r="B20" s="29" t="s">
        <v>2685</v>
      </c>
      <c r="C20" s="30" t="str">
        <f>IFERROR(_xlfn.XLOOKUP(B20,Insumo[DESCRIPCION],Insumo[UND],,0),"")</f>
        <v>Lt</v>
      </c>
      <c r="D20" s="31">
        <v>200</v>
      </c>
      <c r="E20" s="32">
        <f>IFERROR(_xlfn.XLOOKUP($B20,Insumo[DESCRIPCION],Insumo[VALOR],,0),"")</f>
        <v>27.3</v>
      </c>
      <c r="F20" s="33"/>
      <c r="G20" s="34">
        <f t="shared" si="0"/>
        <v>5460</v>
      </c>
      <c r="H20" s="43">
        <f>IFERROR(G20*E4,"")</f>
        <v>0</v>
      </c>
    </row>
    <row r="21" spans="1:8">
      <c r="A21" s="28"/>
      <c r="B21" s="29" t="s">
        <v>3312</v>
      </c>
      <c r="C21" s="30" t="str">
        <f>IFERROR(_xlfn.XLOOKUP(B21,Insumo[DESCRIPCION],Insumo[UND],,0),"")</f>
        <v>Kg</v>
      </c>
      <c r="D21" s="31">
        <v>0.2</v>
      </c>
      <c r="E21" s="32">
        <f>IFERROR(_xlfn.XLOOKUP($B21,Insumo[DESCRIPCION],Insumo[VALOR],,0),"")</f>
        <v>16528.05</v>
      </c>
      <c r="F21" s="33"/>
      <c r="G21" s="34">
        <f t="shared" si="0"/>
        <v>3305.61</v>
      </c>
      <c r="H21" s="43">
        <f>IFERROR(G21*E4,"")</f>
        <v>0</v>
      </c>
    </row>
    <row r="22" spans="1:8">
      <c r="A22" s="21"/>
      <c r="B22" s="22" t="s">
        <v>3731</v>
      </c>
      <c r="C22" s="23"/>
      <c r="D22" s="24"/>
      <c r="E22" s="25"/>
      <c r="F22" s="26"/>
      <c r="G22" s="27">
        <f>SUM(G23:G29)</f>
        <v>93285.194037224996</v>
      </c>
      <c r="H22" s="44">
        <f>G22*E4</f>
        <v>0</v>
      </c>
    </row>
    <row r="23" spans="1:8">
      <c r="A23" s="28"/>
      <c r="B23" s="29" t="s">
        <v>3597</v>
      </c>
      <c r="C23" s="30" t="str">
        <f>IFERROR(_xlfn.XLOOKUP(B23,Equipo[DESCRIPCION],Equipo[UND],,0),"")</f>
        <v>Hr</v>
      </c>
      <c r="D23" s="31">
        <v>1</v>
      </c>
      <c r="E23" s="32">
        <f>IF(C23="%MO",G33,IFERROR(_xlfn.XLOOKUP($B23,Equipo[DESCRIPCION],Equipo[VALOR],,0),""))</f>
        <v>140649.60000000001</v>
      </c>
      <c r="F23" s="33">
        <v>-15</v>
      </c>
      <c r="G23" s="34">
        <f t="shared" ref="G23:G29" si="1">IFERROR(IF(F23&gt;=0,D23*E23*(1+F23/100),ABS(D23*E23/F23)),"")</f>
        <v>9376.6400000000012</v>
      </c>
      <c r="H23" s="43">
        <f>IFERROR(G23*E4,"")</f>
        <v>0</v>
      </c>
    </row>
    <row r="24" spans="1:8">
      <c r="A24" s="28"/>
      <c r="B24" s="29" t="s">
        <v>3637</v>
      </c>
      <c r="C24" s="30" t="str">
        <f>IFERROR(_xlfn.XLOOKUP(B24,Equipo[DESCRIPCION],Equipo[UND],,0),"")</f>
        <v>Día</v>
      </c>
      <c r="D24" s="31">
        <v>1</v>
      </c>
      <c r="E24" s="32">
        <f>IF(C24="%MO",G33,IFERROR(_xlfn.XLOOKUP($B24,Equipo[DESCRIPCION],Equipo[VALOR],,0),""))</f>
        <v>119198.1</v>
      </c>
      <c r="F24" s="33">
        <v>-15</v>
      </c>
      <c r="G24" s="34">
        <f t="shared" si="1"/>
        <v>7946.54</v>
      </c>
      <c r="H24" s="43">
        <f>IFERROR(G24*E4,"")</f>
        <v>0</v>
      </c>
    </row>
    <row r="25" spans="1:8">
      <c r="A25" s="28"/>
      <c r="B25" s="29" t="s">
        <v>3581</v>
      </c>
      <c r="C25" s="30" t="str">
        <f>IFERROR(_xlfn.XLOOKUP(B25,Equipo[DESCRIPCION],Equipo[UND],,0),"")</f>
        <v>Hr</v>
      </c>
      <c r="D25" s="31">
        <v>1</v>
      </c>
      <c r="E25" s="32">
        <f>IF(C25="%MO",G33,IFERROR(_xlfn.XLOOKUP($B25,Equipo[DESCRIPCION],Equipo[VALOR],,0),""))</f>
        <v>90174</v>
      </c>
      <c r="F25" s="33">
        <v>-15</v>
      </c>
      <c r="G25" s="34">
        <f t="shared" si="1"/>
        <v>6011.6</v>
      </c>
      <c r="H25" s="43">
        <f>IFERROR(G25*E4,"")</f>
        <v>0</v>
      </c>
    </row>
    <row r="26" spans="1:8">
      <c r="A26" s="28"/>
      <c r="B26" s="29" t="s">
        <v>3608</v>
      </c>
      <c r="C26" s="30" t="str">
        <f>IFERROR(_xlfn.XLOOKUP(B26,Equipo[DESCRIPCION],Equipo[UND],,0),"")</f>
        <v>Hr</v>
      </c>
      <c r="D26" s="31">
        <v>1</v>
      </c>
      <c r="E26" s="32">
        <f>IF(C26="%MO",G33,IFERROR(_xlfn.XLOOKUP($B26,Equipo[DESCRIPCION],Equipo[VALOR],,0),""))</f>
        <v>721591.5</v>
      </c>
      <c r="F26" s="33">
        <v>-20</v>
      </c>
      <c r="G26" s="34">
        <f t="shared" si="1"/>
        <v>36079.574999999997</v>
      </c>
      <c r="H26" s="43">
        <f>IFERROR(G26*E4,"")</f>
        <v>0</v>
      </c>
    </row>
    <row r="27" spans="1:8">
      <c r="A27" s="28"/>
      <c r="B27" s="29" t="s">
        <v>3621</v>
      </c>
      <c r="C27" s="30" t="str">
        <f>IFERROR(_xlfn.XLOOKUP(B27,Equipo[DESCRIPCION],Equipo[UND],,0),"")</f>
        <v>Hr</v>
      </c>
      <c r="D27" s="31">
        <v>1</v>
      </c>
      <c r="E27" s="32">
        <f>IF(C27="%MO",G33,IFERROR(_xlfn.XLOOKUP($B27,Equipo[DESCRIPCION],Equipo[VALOR],,0),""))</f>
        <v>195790.35</v>
      </c>
      <c r="F27" s="33">
        <v>-15</v>
      </c>
      <c r="G27" s="34">
        <f t="shared" si="1"/>
        <v>13052.69</v>
      </c>
      <c r="H27" s="43">
        <f>IFERROR(G27*E4,"")</f>
        <v>0</v>
      </c>
    </row>
    <row r="28" spans="1:8">
      <c r="A28" s="28"/>
      <c r="B28" s="29" t="s">
        <v>3628</v>
      </c>
      <c r="C28" s="30" t="str">
        <f>IFERROR(_xlfn.XLOOKUP(B28,Equipo[DESCRIPCION],Equipo[UND],,0),"")</f>
        <v>Día</v>
      </c>
      <c r="D28" s="31">
        <v>1</v>
      </c>
      <c r="E28" s="32">
        <f>IF(C28="%MO",G33,IFERROR(_xlfn.XLOOKUP($B28,Equipo[DESCRIPCION],Equipo[VALOR],,0),""))</f>
        <v>262493.7</v>
      </c>
      <c r="F28" s="33">
        <v>-15</v>
      </c>
      <c r="G28" s="34">
        <f t="shared" si="1"/>
        <v>17499.580000000002</v>
      </c>
      <c r="H28" s="43">
        <f>IFERROR(G28*E4,"")</f>
        <v>0</v>
      </c>
    </row>
    <row r="29" spans="1:8">
      <c r="A29" s="28"/>
      <c r="B29" s="29" t="s">
        <v>3626</v>
      </c>
      <c r="C29" s="30" t="str">
        <f>IFERROR(_xlfn.XLOOKUP(B29,Equipo[DESCRIPCION],Equipo[UND],,0),"")</f>
        <v>%MO</v>
      </c>
      <c r="D29" s="31">
        <v>0.05</v>
      </c>
      <c r="E29" s="32">
        <f>IF(C29="%MO",G33,IFERROR(_xlfn.XLOOKUP($B29,Equipo[DESCRIPCION],Equipo[VALOR],,0),""))</f>
        <v>66371.380744500013</v>
      </c>
      <c r="F29" s="33"/>
      <c r="G29" s="34">
        <f t="shared" si="1"/>
        <v>3318.569037225001</v>
      </c>
      <c r="H29" s="43">
        <f>IFERROR(G29*E4,"")</f>
        <v>0</v>
      </c>
    </row>
    <row r="30" spans="1:8">
      <c r="A30" s="21"/>
      <c r="B30" s="22" t="s">
        <v>2533</v>
      </c>
      <c r="C30" s="23"/>
      <c r="D30" s="24"/>
      <c r="E30" s="25"/>
      <c r="F30" s="26"/>
      <c r="G30" s="27">
        <f>SUM(G31:G32)</f>
        <v>0</v>
      </c>
      <c r="H30" s="44">
        <f>G30*E4</f>
        <v>0</v>
      </c>
    </row>
    <row r="31" spans="1:8">
      <c r="A31" s="28"/>
      <c r="B31" s="29"/>
      <c r="C31" s="30" t="str">
        <f>IFERROR(_xlfn.XLOOKUP(B31,Transporte[DESCRIPCION],Transporte[UND],,0),"")</f>
        <v/>
      </c>
      <c r="D31" s="31"/>
      <c r="E31" s="32" t="str">
        <f>IFERROR(_xlfn.XLOOKUP($B31,Transporte[DESCRIPCION],Transporte[VALOR],,0),"")</f>
        <v/>
      </c>
      <c r="F31" s="33"/>
      <c r="G31" s="34" t="str">
        <f>IFERROR(IF(F31&gt;=0,D31*E31*(1+F31/100),ABS(D31*E31/F31)),"")</f>
        <v/>
      </c>
      <c r="H31" s="43" t="str">
        <f>IFERROR(G31*E4,"")</f>
        <v/>
      </c>
    </row>
    <row r="32" spans="1:8">
      <c r="A32" s="28"/>
      <c r="B32" s="29"/>
      <c r="C32" s="30" t="str">
        <f>IFERROR(_xlfn.XLOOKUP(B32,Transporte[DESCRIPCION],Transporte[UND],,0),"")</f>
        <v/>
      </c>
      <c r="D32" s="31"/>
      <c r="E32" s="32" t="str">
        <f>IFERROR(_xlfn.XLOOKUP($B32,Transporte[DESCRIPCION],Transporte[VALOR],,0),"")</f>
        <v/>
      </c>
      <c r="F32" s="33"/>
      <c r="G32" s="34" t="str">
        <f>IFERROR(IF(F32&gt;=0,D32*E32*(1+F32/100),ABS(D32*E32/F32)),"")</f>
        <v/>
      </c>
      <c r="H32" s="43" t="str">
        <f>IFERROR(G32*E4,"")</f>
        <v/>
      </c>
    </row>
    <row r="33" spans="1:11">
      <c r="A33" s="21"/>
      <c r="B33" s="22" t="s">
        <v>3732</v>
      </c>
      <c r="C33" s="23"/>
      <c r="D33" s="24"/>
      <c r="E33" s="25"/>
      <c r="F33" s="26"/>
      <c r="G33" s="27">
        <f>SUM(G34:G36)</f>
        <v>66371.380744500013</v>
      </c>
      <c r="H33" s="44">
        <f>G33*E4</f>
        <v>0</v>
      </c>
    </row>
    <row r="34" spans="1:11">
      <c r="A34" s="28"/>
      <c r="B34" s="29" t="s">
        <v>3713</v>
      </c>
      <c r="C34" s="30" t="str">
        <f>IFERROR(_xlfn.XLOOKUP(B34,MObra[DESCRIPCION],MObra[UN],,0),"")</f>
        <v>día</v>
      </c>
      <c r="D34" s="31">
        <v>1</v>
      </c>
      <c r="E34" s="32">
        <f>IFERROR(_xlfn.XLOOKUP($B34,MObra[DESCRIPCION],MObra[VALOR UNIT],,0),"")</f>
        <v>663713.80744500016</v>
      </c>
      <c r="F34" s="33">
        <v>-10</v>
      </c>
      <c r="G34" s="34">
        <f>IFERROR(IF(F34&gt;=0,D34*E34*(1+F34/100),ABS(D34*E34/F34)),"")</f>
        <v>66371.380744500013</v>
      </c>
      <c r="H34" s="43">
        <f>IFERROR(G34*E4,"")</f>
        <v>0</v>
      </c>
    </row>
    <row r="35" spans="1:11">
      <c r="A35" s="28"/>
      <c r="B35" s="29"/>
      <c r="C35" s="30" t="str">
        <f>IFERROR(_xlfn.XLOOKUP(B35,MObra[DESCRIPCION],MObra[UN],,0),"")</f>
        <v/>
      </c>
      <c r="D35" s="31"/>
      <c r="E35" s="32" t="str">
        <f>IFERROR(_xlfn.XLOOKUP($B35,MObra[DESCRIPCION],MObra[VALOR UNIT],,0),"")</f>
        <v/>
      </c>
      <c r="F35" s="33"/>
      <c r="G35" s="34" t="str">
        <f>IFERROR(IF(F35&gt;=0,D35*E35*(1+F35/100),ABS(D35*E35/F35)),"")</f>
        <v/>
      </c>
      <c r="H35" s="43" t="str">
        <f>IFERROR(G35*E4,"")</f>
        <v/>
      </c>
    </row>
    <row r="36" spans="1:11">
      <c r="A36" s="35"/>
      <c r="B36" s="36"/>
      <c r="C36" s="37" t="str">
        <f>IFERROR(_xlfn.XLOOKUP(B36,MObra[DESCRIPCION],MObra[UN],,0),"")</f>
        <v/>
      </c>
      <c r="D36" s="38"/>
      <c r="E36" s="39" t="str">
        <f>IFERROR(_xlfn.XLOOKUP($B36,MObra[DESCRIPCION],MObra[VALOR UNIT],,0),"")</f>
        <v/>
      </c>
      <c r="F36" s="40"/>
      <c r="G36" s="41" t="str">
        <f>IFERROR(IF(F36&gt;=0,D36*E36*(1+F36/100),ABS(D36*E36/F36)),"")</f>
        <v/>
      </c>
      <c r="H36" s="42" t="str">
        <f>IFERROR(G36*E4,"")</f>
        <v/>
      </c>
    </row>
    <row r="38" spans="1:11">
      <c r="A38" s="6" t="s">
        <v>1734</v>
      </c>
      <c r="B38" s="7" t="str">
        <f>VLOOKUP($A38,Presupuesto!$A:$D,2,FALSE())</f>
        <v>Anclaje activo cable 1/2" x 6 alta resistencia</v>
      </c>
      <c r="C38" s="8" t="str">
        <f>VLOOKUP($A38,Presupuesto!$A:$D,3,FALSE())</f>
        <v>M</v>
      </c>
      <c r="D38" s="9"/>
      <c r="E38" s="10">
        <f>VLOOKUP($A38,Presupuesto!$A:$D,4,FALSE())</f>
        <v>0</v>
      </c>
      <c r="F38" s="11" t="s">
        <v>2589</v>
      </c>
      <c r="G38" s="12">
        <f>SUM(G40:G70)/2</f>
        <v>426175.34253525001</v>
      </c>
      <c r="H38" s="13">
        <f>ROUND(SUM(H40:H70),0)/2</f>
        <v>0</v>
      </c>
      <c r="I38" s="10">
        <f>VLOOKUP(A38,Presupuesto!$A:$F,6,0)</f>
        <v>0</v>
      </c>
      <c r="J38" s="10">
        <f>+H38-I38</f>
        <v>0</v>
      </c>
      <c r="K38" s="46">
        <f>+H38-G38*E38</f>
        <v>0</v>
      </c>
    </row>
    <row r="39" spans="1:11">
      <c r="A39" s="14"/>
      <c r="B39" s="15" t="s">
        <v>2586</v>
      </c>
      <c r="C39" s="15" t="s">
        <v>5</v>
      </c>
      <c r="D39" s="16" t="s">
        <v>6</v>
      </c>
      <c r="E39" s="17" t="s">
        <v>7</v>
      </c>
      <c r="F39" s="18" t="s">
        <v>3728</v>
      </c>
      <c r="G39" s="19" t="s">
        <v>3729</v>
      </c>
      <c r="H39" s="20" t="s">
        <v>3797</v>
      </c>
    </row>
    <row r="40" spans="1:11">
      <c r="A40" s="21"/>
      <c r="B40" s="22" t="s">
        <v>3730</v>
      </c>
      <c r="C40" s="23"/>
      <c r="D40" s="24"/>
      <c r="E40" s="25"/>
      <c r="F40" s="26"/>
      <c r="G40" s="27">
        <f>SUM(G41:G55)</f>
        <v>258775.43999999997</v>
      </c>
      <c r="H40" s="27">
        <f>IFERROR(G40*E38,"")</f>
        <v>0</v>
      </c>
    </row>
    <row r="41" spans="1:11">
      <c r="A41" s="28"/>
      <c r="B41" s="29" t="s">
        <v>2699</v>
      </c>
      <c r="C41" s="30" t="str">
        <f>IFERROR(_xlfn.XLOOKUP(B41,Insumo[DESCRIPCION],Insumo[UND],,0),"")</f>
        <v>Kg</v>
      </c>
      <c r="D41" s="31">
        <v>0.2</v>
      </c>
      <c r="E41" s="32">
        <f>IFERROR(_xlfn.XLOOKUP($B41,Insumo[DESCRIPCION],Insumo[VALOR],,0),"")</f>
        <v>7665</v>
      </c>
      <c r="F41" s="33"/>
      <c r="G41" s="34">
        <f t="shared" ref="G41:G55" si="2">IFERROR(IF(F41&gt;=0,D41*E41*(1+F41/100),ABS(D41*E41/F41)),"")</f>
        <v>1533</v>
      </c>
      <c r="H41" s="43">
        <f>IFERROR(G41*E38,"")</f>
        <v>0</v>
      </c>
    </row>
    <row r="42" spans="1:11">
      <c r="A42" s="28"/>
      <c r="B42" s="29" t="s">
        <v>2778</v>
      </c>
      <c r="C42" s="30" t="str">
        <f>IFERROR(_xlfn.XLOOKUP(B42,Insumo[DESCRIPCION],Insumo[UND],,0),"")</f>
        <v>M</v>
      </c>
      <c r="D42" s="31">
        <v>6</v>
      </c>
      <c r="E42" s="32">
        <f>IFERROR(_xlfn.XLOOKUP($B42,Insumo[DESCRIPCION],Insumo[VALOR],,0),"")</f>
        <v>12503.4</v>
      </c>
      <c r="F42" s="33">
        <v>30</v>
      </c>
      <c r="G42" s="34">
        <f t="shared" si="2"/>
        <v>97526.51999999999</v>
      </c>
      <c r="H42" s="43">
        <f>IFERROR(G42*E38,"")</f>
        <v>0</v>
      </c>
    </row>
    <row r="43" spans="1:11">
      <c r="A43" s="28"/>
      <c r="B43" s="29" t="s">
        <v>2906</v>
      </c>
      <c r="C43" s="30" t="str">
        <f>IFERROR(_xlfn.XLOOKUP(B43,Insumo[DESCRIPCION],Insumo[UND],,0),"")</f>
        <v>Un</v>
      </c>
      <c r="D43" s="31">
        <v>1</v>
      </c>
      <c r="E43" s="32">
        <f>IFERROR(_xlfn.XLOOKUP($B43,Insumo[DESCRIPCION],Insumo[VALOR],,0),"")</f>
        <v>23357.25</v>
      </c>
      <c r="F43" s="33"/>
      <c r="G43" s="34">
        <f t="shared" si="2"/>
        <v>23357.25</v>
      </c>
      <c r="H43" s="43">
        <f>IFERROR(G43*E38,"")</f>
        <v>0</v>
      </c>
    </row>
    <row r="44" spans="1:11">
      <c r="A44" s="28"/>
      <c r="B44" s="29" t="s">
        <v>3410</v>
      </c>
      <c r="C44" s="30" t="str">
        <f>IFERROR(_xlfn.XLOOKUP(B44,Insumo[DESCRIPCION],Insumo[UND],,0),"")</f>
        <v>Kg</v>
      </c>
      <c r="D44" s="31">
        <v>0.1</v>
      </c>
      <c r="E44" s="32">
        <f>IFERROR(_xlfn.XLOOKUP($B44,Insumo[DESCRIPCION],Insumo[VALOR],,0),"")</f>
        <v>103675.95000000001</v>
      </c>
      <c r="F44" s="33"/>
      <c r="G44" s="34">
        <f t="shared" si="2"/>
        <v>10367.595000000001</v>
      </c>
      <c r="H44" s="43">
        <f>IFERROR(G44*E38,"")</f>
        <v>0</v>
      </c>
    </row>
    <row r="45" spans="1:11">
      <c r="A45" s="28"/>
      <c r="B45" s="29" t="s">
        <v>3145</v>
      </c>
      <c r="C45" s="30" t="str">
        <f>IFERROR(_xlfn.XLOOKUP(B45,Insumo[DESCRIPCION],Insumo[UND],,0),"")</f>
        <v>M</v>
      </c>
      <c r="D45" s="31">
        <v>1</v>
      </c>
      <c r="E45" s="32">
        <f>IFERROR(_xlfn.XLOOKUP($B45,Insumo[DESCRIPCION],Insumo[VALOR],,0),"")</f>
        <v>36134.700000000004</v>
      </c>
      <c r="F45" s="33"/>
      <c r="G45" s="34">
        <f t="shared" si="2"/>
        <v>36134.700000000004</v>
      </c>
      <c r="H45" s="43">
        <f>IFERROR(G45*E38,"")</f>
        <v>0</v>
      </c>
    </row>
    <row r="46" spans="1:11">
      <c r="A46" s="28"/>
      <c r="B46" s="29" t="s">
        <v>3228</v>
      </c>
      <c r="C46" s="30" t="str">
        <f>IFERROR(_xlfn.XLOOKUP(B46,Insumo[DESCRIPCION],Insumo[UND],,0),"")</f>
        <v>Un</v>
      </c>
      <c r="D46" s="31">
        <v>0.1</v>
      </c>
      <c r="E46" s="32">
        <f>IFERROR(_xlfn.XLOOKUP($B46,Insumo[DESCRIPCION],Insumo[VALOR],,0),"")</f>
        <v>39331.950000000004</v>
      </c>
      <c r="F46" s="33"/>
      <c r="G46" s="34">
        <f t="shared" si="2"/>
        <v>3933.1950000000006</v>
      </c>
      <c r="H46" s="43">
        <f>IFERROR(G46*E38,"")</f>
        <v>0</v>
      </c>
    </row>
    <row r="47" spans="1:11">
      <c r="A47" s="28"/>
      <c r="B47" s="29" t="s">
        <v>3329</v>
      </c>
      <c r="C47" s="30" t="str">
        <f>IFERROR(_xlfn.XLOOKUP(B47,Insumo[DESCRIPCION],Insumo[UND],,0),"")</f>
        <v>Un</v>
      </c>
      <c r="D47" s="31">
        <v>0.2</v>
      </c>
      <c r="E47" s="32">
        <f>IFERROR(_xlfn.XLOOKUP($B47,Insumo[DESCRIPCION],Insumo[VALOR],,0),"")</f>
        <v>42424.200000000004</v>
      </c>
      <c r="F47" s="33"/>
      <c r="G47" s="34">
        <f t="shared" si="2"/>
        <v>8484.840000000002</v>
      </c>
      <c r="H47" s="43">
        <f>IFERROR(G47*E38,"")</f>
        <v>0</v>
      </c>
    </row>
    <row r="48" spans="1:11">
      <c r="A48" s="28"/>
      <c r="B48" s="29" t="s">
        <v>3046</v>
      </c>
      <c r="C48" s="30" t="str">
        <f>IFERROR(_xlfn.XLOOKUP(B48,Insumo[DESCRIPCION],Insumo[UND],,0),"")</f>
        <v>Un</v>
      </c>
      <c r="D48" s="31">
        <v>0.1</v>
      </c>
      <c r="E48" s="32">
        <f>IFERROR(_xlfn.XLOOKUP($B48,Insumo[DESCRIPCION],Insumo[VALOR],,0),"")</f>
        <v>62413.05</v>
      </c>
      <c r="F48" s="33"/>
      <c r="G48" s="34">
        <f t="shared" si="2"/>
        <v>6241.3050000000003</v>
      </c>
      <c r="H48" s="43">
        <f>IFERROR(G48*E38,"")</f>
        <v>0</v>
      </c>
    </row>
    <row r="49" spans="1:8">
      <c r="A49" s="28"/>
      <c r="B49" s="29" t="s">
        <v>3494</v>
      </c>
      <c r="C49" s="30" t="str">
        <f>IFERROR(_xlfn.XLOOKUP(B49,Insumo[DESCRIPCION],Insumo[UND],,0),"")</f>
        <v>M</v>
      </c>
      <c r="D49" s="31">
        <v>4</v>
      </c>
      <c r="E49" s="32">
        <f>IFERROR(_xlfn.XLOOKUP($B49,Insumo[DESCRIPCION],Insumo[VALOR],,0),"")</f>
        <v>11647.65</v>
      </c>
      <c r="F49" s="33"/>
      <c r="G49" s="34">
        <f t="shared" si="2"/>
        <v>46590.6</v>
      </c>
      <c r="H49" s="43">
        <f>IFERROR(G49*E38,"")</f>
        <v>0</v>
      </c>
    </row>
    <row r="50" spans="1:8">
      <c r="A50" s="28"/>
      <c r="B50" s="29" t="s">
        <v>2639</v>
      </c>
      <c r="C50" s="30" t="str">
        <f>IFERROR(_xlfn.XLOOKUP(B50,Insumo[DESCRIPCION],Insumo[UND],,0),"")</f>
        <v>Un</v>
      </c>
      <c r="D50" s="31">
        <v>0.5</v>
      </c>
      <c r="E50" s="32">
        <f>IFERROR(_xlfn.XLOOKUP($B50,Insumo[DESCRIPCION],Insumo[VALOR],,0),"")</f>
        <v>4688.25</v>
      </c>
      <c r="F50" s="33"/>
      <c r="G50" s="34">
        <f t="shared" si="2"/>
        <v>2344.125</v>
      </c>
      <c r="H50" s="43">
        <f>IFERROR(G50*E38,"")</f>
        <v>0</v>
      </c>
    </row>
    <row r="51" spans="1:8">
      <c r="A51" s="28"/>
      <c r="B51" s="29" t="s">
        <v>3294</v>
      </c>
      <c r="C51" s="30" t="str">
        <f>IFERROR(_xlfn.XLOOKUP(B51,Insumo[DESCRIPCION],Insumo[UND],,0),"")</f>
        <v>Un</v>
      </c>
      <c r="D51" s="31">
        <v>1</v>
      </c>
      <c r="E51" s="32">
        <f>IFERROR(_xlfn.XLOOKUP($B51,Insumo[DESCRIPCION],Insumo[VALOR],,0),"")</f>
        <v>3891.3</v>
      </c>
      <c r="F51" s="33"/>
      <c r="G51" s="34">
        <f t="shared" si="2"/>
        <v>3891.3</v>
      </c>
      <c r="H51" s="43">
        <f>IFERROR(G51*E38,"")</f>
        <v>0</v>
      </c>
    </row>
    <row r="52" spans="1:8">
      <c r="A52" s="28"/>
      <c r="B52" s="29" t="s">
        <v>3144</v>
      </c>
      <c r="C52" s="30" t="str">
        <f>IFERROR(_xlfn.XLOOKUP(B52,Insumo[DESCRIPCION],Insumo[UND],,0),"")</f>
        <v>M</v>
      </c>
      <c r="D52" s="31">
        <v>4</v>
      </c>
      <c r="E52" s="32">
        <f>IFERROR(_xlfn.XLOOKUP($B52,Insumo[DESCRIPCION],Insumo[VALOR],,0),"")</f>
        <v>1716.75</v>
      </c>
      <c r="F52" s="33"/>
      <c r="G52" s="34">
        <f t="shared" si="2"/>
        <v>6867</v>
      </c>
      <c r="H52" s="43">
        <f>IFERROR(G52*E38,"")</f>
        <v>0</v>
      </c>
    </row>
    <row r="53" spans="1:8">
      <c r="A53" s="28"/>
      <c r="B53" s="29" t="s">
        <v>2824</v>
      </c>
      <c r="C53" s="30" t="str">
        <f>IFERROR(_xlfn.XLOOKUP(B53,Insumo[DESCRIPCION],Insumo[UND],,0),"")</f>
        <v>Un</v>
      </c>
      <c r="D53" s="31">
        <f>4/50</f>
        <v>0.08</v>
      </c>
      <c r="E53" s="32">
        <f>IFERROR(_xlfn.XLOOKUP($B53,Insumo[DESCRIPCION],Insumo[VALOR],,0),"")</f>
        <v>34230</v>
      </c>
      <c r="F53" s="33"/>
      <c r="G53" s="34">
        <f t="shared" si="2"/>
        <v>2738.4</v>
      </c>
      <c r="H53" s="43">
        <f>IFERROR(G53*E38,"")</f>
        <v>0</v>
      </c>
    </row>
    <row r="54" spans="1:8">
      <c r="A54" s="28"/>
      <c r="B54" s="29" t="s">
        <v>2685</v>
      </c>
      <c r="C54" s="30" t="str">
        <f>IFERROR(_xlfn.XLOOKUP(B54,Insumo[DESCRIPCION],Insumo[UND],,0),"")</f>
        <v>Lt</v>
      </c>
      <c r="D54" s="31">
        <v>200</v>
      </c>
      <c r="E54" s="32">
        <f>IFERROR(_xlfn.XLOOKUP($B54,Insumo[DESCRIPCION],Insumo[VALOR],,0),"")</f>
        <v>27.3</v>
      </c>
      <c r="F54" s="33"/>
      <c r="G54" s="34">
        <f t="shared" si="2"/>
        <v>5460</v>
      </c>
      <c r="H54" s="43">
        <f>IFERROR(G54*E38,"")</f>
        <v>0</v>
      </c>
    </row>
    <row r="55" spans="1:8">
      <c r="A55" s="28"/>
      <c r="B55" s="29" t="s">
        <v>3312</v>
      </c>
      <c r="C55" s="30" t="str">
        <f>IFERROR(_xlfn.XLOOKUP(B55,Insumo[DESCRIPCION],Insumo[UND],,0),"")</f>
        <v>Kg</v>
      </c>
      <c r="D55" s="31">
        <v>0.2</v>
      </c>
      <c r="E55" s="32">
        <f>IFERROR(_xlfn.XLOOKUP($B55,Insumo[DESCRIPCION],Insumo[VALOR],,0),"")</f>
        <v>16528.05</v>
      </c>
      <c r="F55" s="33"/>
      <c r="G55" s="34">
        <f t="shared" si="2"/>
        <v>3305.61</v>
      </c>
      <c r="H55" s="43">
        <f>IFERROR(G55*E38,"")</f>
        <v>0</v>
      </c>
    </row>
    <row r="56" spans="1:8">
      <c r="A56" s="21"/>
      <c r="B56" s="22" t="s">
        <v>3731</v>
      </c>
      <c r="C56" s="23"/>
      <c r="D56" s="24"/>
      <c r="E56" s="25"/>
      <c r="F56" s="26"/>
      <c r="G56" s="27">
        <f>SUM(G57:G63)</f>
        <v>93653.923930250006</v>
      </c>
      <c r="H56" s="44">
        <f>G56*E38</f>
        <v>0</v>
      </c>
    </row>
    <row r="57" spans="1:8">
      <c r="A57" s="28"/>
      <c r="B57" s="29" t="s">
        <v>3597</v>
      </c>
      <c r="C57" s="30" t="str">
        <f>IFERROR(_xlfn.XLOOKUP(B57,Equipo[DESCRIPCION],Equipo[UND],,0),"")</f>
        <v>Hr</v>
      </c>
      <c r="D57" s="31">
        <v>1</v>
      </c>
      <c r="E57" s="32">
        <f>IF(C57="%MO",G67,IFERROR(_xlfn.XLOOKUP($B57,Equipo[DESCRIPCION],Equipo[VALOR],,0),""))</f>
        <v>140649.60000000001</v>
      </c>
      <c r="F57" s="33">
        <v>-15</v>
      </c>
      <c r="G57" s="34">
        <f t="shared" ref="G57:G63" si="3">IFERROR(IF(F57&gt;=0,D57*E57*(1+F57/100),ABS(D57*E57/F57)),"")</f>
        <v>9376.6400000000012</v>
      </c>
      <c r="H57" s="43">
        <f>IFERROR(G57*E38,"")</f>
        <v>0</v>
      </c>
    </row>
    <row r="58" spans="1:8">
      <c r="A58" s="28"/>
      <c r="B58" s="29" t="s">
        <v>3637</v>
      </c>
      <c r="C58" s="30" t="str">
        <f>IFERROR(_xlfn.XLOOKUP(B58,Equipo[DESCRIPCION],Equipo[UND],,0),"")</f>
        <v>Día</v>
      </c>
      <c r="D58" s="31">
        <v>1</v>
      </c>
      <c r="E58" s="32">
        <f>IF(C58="%MO",G67,IFERROR(_xlfn.XLOOKUP($B58,Equipo[DESCRIPCION],Equipo[VALOR],,0),""))</f>
        <v>119198.1</v>
      </c>
      <c r="F58" s="33">
        <v>-15</v>
      </c>
      <c r="G58" s="34">
        <f t="shared" si="3"/>
        <v>7946.54</v>
      </c>
      <c r="H58" s="43">
        <f>IFERROR(G58*E38,"")</f>
        <v>0</v>
      </c>
    </row>
    <row r="59" spans="1:8">
      <c r="A59" s="28"/>
      <c r="B59" s="29" t="s">
        <v>3581</v>
      </c>
      <c r="C59" s="30" t="str">
        <f>IFERROR(_xlfn.XLOOKUP(B59,Equipo[DESCRIPCION],Equipo[UND],,0),"")</f>
        <v>Hr</v>
      </c>
      <c r="D59" s="31">
        <v>1</v>
      </c>
      <c r="E59" s="32">
        <f>IF(C59="%MO",G67,IFERROR(_xlfn.XLOOKUP($B59,Equipo[DESCRIPCION],Equipo[VALOR],,0),""))</f>
        <v>90174</v>
      </c>
      <c r="F59" s="33">
        <v>-15</v>
      </c>
      <c r="G59" s="34">
        <f t="shared" si="3"/>
        <v>6011.6</v>
      </c>
      <c r="H59" s="43">
        <f>IFERROR(G59*E38,"")</f>
        <v>0</v>
      </c>
    </row>
    <row r="60" spans="1:8">
      <c r="A60" s="28"/>
      <c r="B60" s="29" t="s">
        <v>3608</v>
      </c>
      <c r="C60" s="30" t="str">
        <f>IFERROR(_xlfn.XLOOKUP(B60,Equipo[DESCRIPCION],Equipo[UND],,0),"")</f>
        <v>Hr</v>
      </c>
      <c r="D60" s="31">
        <v>1</v>
      </c>
      <c r="E60" s="32">
        <f>IF(C60="%MO",G67,IFERROR(_xlfn.XLOOKUP($B60,Equipo[DESCRIPCION],Equipo[VALOR],,0),""))</f>
        <v>721591.5</v>
      </c>
      <c r="F60" s="33">
        <v>-20</v>
      </c>
      <c r="G60" s="34">
        <f t="shared" si="3"/>
        <v>36079.574999999997</v>
      </c>
      <c r="H60" s="43">
        <f>IFERROR(G60*E38,"")</f>
        <v>0</v>
      </c>
    </row>
    <row r="61" spans="1:8">
      <c r="A61" s="28"/>
      <c r="B61" s="29" t="s">
        <v>3621</v>
      </c>
      <c r="C61" s="30" t="str">
        <f>IFERROR(_xlfn.XLOOKUP(B61,Equipo[DESCRIPCION],Equipo[UND],,0),"")</f>
        <v>Hr</v>
      </c>
      <c r="D61" s="31">
        <v>1</v>
      </c>
      <c r="E61" s="32">
        <f>IF(C61="%MO",G67,IFERROR(_xlfn.XLOOKUP($B61,Equipo[DESCRIPCION],Equipo[VALOR],,0),""))</f>
        <v>195790.35</v>
      </c>
      <c r="F61" s="33">
        <v>-15</v>
      </c>
      <c r="G61" s="34">
        <f t="shared" si="3"/>
        <v>13052.69</v>
      </c>
      <c r="H61" s="43">
        <f>IFERROR(G61*E38,"")</f>
        <v>0</v>
      </c>
    </row>
    <row r="62" spans="1:8">
      <c r="A62" s="28"/>
      <c r="B62" s="29" t="s">
        <v>3628</v>
      </c>
      <c r="C62" s="30" t="str">
        <f>IFERROR(_xlfn.XLOOKUP(B62,Equipo[DESCRIPCION],Equipo[UND],,0),"")</f>
        <v>Día</v>
      </c>
      <c r="D62" s="31">
        <v>1</v>
      </c>
      <c r="E62" s="32">
        <f>IF(C62="%MO",G67,IFERROR(_xlfn.XLOOKUP($B62,Equipo[DESCRIPCION],Equipo[VALOR],,0),""))</f>
        <v>262493.7</v>
      </c>
      <c r="F62" s="33">
        <v>-15</v>
      </c>
      <c r="G62" s="34">
        <f t="shared" si="3"/>
        <v>17499.580000000002</v>
      </c>
      <c r="H62" s="43">
        <f>IFERROR(G62*E38,"")</f>
        <v>0</v>
      </c>
    </row>
    <row r="63" spans="1:8">
      <c r="A63" s="28"/>
      <c r="B63" s="29" t="s">
        <v>3626</v>
      </c>
      <c r="C63" s="30" t="str">
        <f>IFERROR(_xlfn.XLOOKUP(B63,Equipo[DESCRIPCION],Equipo[UND],,0),"")</f>
        <v>%MO</v>
      </c>
      <c r="D63" s="31">
        <v>0.05</v>
      </c>
      <c r="E63" s="32">
        <f>IF(C63="%MO",G67,IFERROR(_xlfn.XLOOKUP($B63,Equipo[DESCRIPCION],Equipo[VALOR],,0),""))</f>
        <v>73745.978605000011</v>
      </c>
      <c r="F63" s="33"/>
      <c r="G63" s="34">
        <f t="shared" si="3"/>
        <v>3687.2989302500009</v>
      </c>
      <c r="H63" s="43">
        <f>IFERROR(G63*E38,"")</f>
        <v>0</v>
      </c>
    </row>
    <row r="64" spans="1:8">
      <c r="A64" s="21"/>
      <c r="B64" s="22" t="s">
        <v>2533</v>
      </c>
      <c r="C64" s="23"/>
      <c r="D64" s="24"/>
      <c r="E64" s="25"/>
      <c r="F64" s="26"/>
      <c r="G64" s="27">
        <f>SUM(G65:G66)</f>
        <v>0</v>
      </c>
      <c r="H64" s="44">
        <f>G64*E38</f>
        <v>0</v>
      </c>
    </row>
    <row r="65" spans="1:11">
      <c r="A65" s="28"/>
      <c r="B65" s="29"/>
      <c r="C65" s="30" t="str">
        <f>IFERROR(_xlfn.XLOOKUP(B65,Transporte[DESCRIPCION],Transporte[UND],,0),"")</f>
        <v/>
      </c>
      <c r="D65" s="31"/>
      <c r="E65" s="32" t="str">
        <f>IFERROR(_xlfn.XLOOKUP($B65,Transporte[DESCRIPCION],Transporte[VALOR],,0),"")</f>
        <v/>
      </c>
      <c r="F65" s="33"/>
      <c r="G65" s="34" t="str">
        <f>IFERROR(IF(F65&gt;=0,D65*E65*(1+F65/100),ABS(D65*E65/F65)),"")</f>
        <v/>
      </c>
      <c r="H65" s="43" t="str">
        <f>IFERROR(G65*E38,"")</f>
        <v/>
      </c>
    </row>
    <row r="66" spans="1:11">
      <c r="A66" s="28"/>
      <c r="B66" s="29"/>
      <c r="C66" s="30" t="str">
        <f>IFERROR(_xlfn.XLOOKUP(B66,Transporte[DESCRIPCION],Transporte[UND],,0),"")</f>
        <v/>
      </c>
      <c r="D66" s="31"/>
      <c r="E66" s="32" t="str">
        <f>IFERROR(_xlfn.XLOOKUP($B66,Transporte[DESCRIPCION],Transporte[VALOR],,0),"")</f>
        <v/>
      </c>
      <c r="F66" s="33"/>
      <c r="G66" s="34" t="str">
        <f>IFERROR(IF(F66&gt;=0,D66*E66*(1+F66/100),ABS(D66*E66/F66)),"")</f>
        <v/>
      </c>
      <c r="H66" s="43" t="str">
        <f>IFERROR(G66*E38,"")</f>
        <v/>
      </c>
    </row>
    <row r="67" spans="1:11">
      <c r="A67" s="21"/>
      <c r="B67" s="22" t="s">
        <v>3732</v>
      </c>
      <c r="C67" s="23"/>
      <c r="D67" s="24"/>
      <c r="E67" s="25"/>
      <c r="F67" s="26"/>
      <c r="G67" s="27">
        <f>SUM(G68:G70)</f>
        <v>73745.978605000011</v>
      </c>
      <c r="H67" s="44">
        <f>G67*E38</f>
        <v>0</v>
      </c>
    </row>
    <row r="68" spans="1:11">
      <c r="A68" s="28"/>
      <c r="B68" s="29" t="s">
        <v>3713</v>
      </c>
      <c r="C68" s="30" t="str">
        <f>IFERROR(_xlfn.XLOOKUP(B68,MObra[DESCRIPCION],MObra[UN],,0),"")</f>
        <v>día</v>
      </c>
      <c r="D68" s="31">
        <v>1</v>
      </c>
      <c r="E68" s="32">
        <f>IFERROR(_xlfn.XLOOKUP($B68,MObra[DESCRIPCION],MObra[VALOR UNIT],,0),"")</f>
        <v>663713.80744500016</v>
      </c>
      <c r="F68" s="33">
        <v>-9</v>
      </c>
      <c r="G68" s="34">
        <f>IFERROR(IF(F68&gt;=0,D68*E68*(1+F68/100),ABS(D68*E68/F68)),"")</f>
        <v>73745.978605000011</v>
      </c>
      <c r="H68" s="43">
        <f>IFERROR(G68*E38,"")</f>
        <v>0</v>
      </c>
    </row>
    <row r="69" spans="1:11">
      <c r="A69" s="28"/>
      <c r="B69" s="29"/>
      <c r="C69" s="30" t="str">
        <f>IFERROR(_xlfn.XLOOKUP(B69,MObra[DESCRIPCION],MObra[UN],,0),"")</f>
        <v/>
      </c>
      <c r="D69" s="31"/>
      <c r="E69" s="32" t="str">
        <f>IFERROR(_xlfn.XLOOKUP($B69,MObra[DESCRIPCION],MObra[VALOR UNIT],,0),"")</f>
        <v/>
      </c>
      <c r="F69" s="33"/>
      <c r="G69" s="34" t="str">
        <f>IFERROR(IF(F69&gt;=0,D69*E69*(1+F69/100),ABS(D69*E69/F69)),"")</f>
        <v/>
      </c>
      <c r="H69" s="43" t="str">
        <f>IFERROR(G69*E38,"")</f>
        <v/>
      </c>
    </row>
    <row r="70" spans="1:11">
      <c r="A70" s="35"/>
      <c r="B70" s="36"/>
      <c r="C70" s="37" t="str">
        <f>IFERROR(_xlfn.XLOOKUP(B70,MObra[DESCRIPCION],MObra[UN],,0),"")</f>
        <v/>
      </c>
      <c r="D70" s="38"/>
      <c r="E70" s="39" t="str">
        <f>IFERROR(_xlfn.XLOOKUP($B70,MObra[DESCRIPCION],MObra[VALOR UNIT],,0),"")</f>
        <v/>
      </c>
      <c r="F70" s="40"/>
      <c r="G70" s="41" t="str">
        <f>IFERROR(IF(F70&gt;=0,D70*E70*(1+F70/100),ABS(D70*E70/F70)),"")</f>
        <v/>
      </c>
      <c r="H70" s="42" t="str">
        <f>IFERROR(G70*E38,"")</f>
        <v/>
      </c>
    </row>
    <row r="72" spans="1:11">
      <c r="A72" s="6" t="s">
        <v>1736</v>
      </c>
      <c r="B72" s="7" t="str">
        <f>VLOOKUP($A72,Presupuesto!$A:$D,2,FALSE())</f>
        <v>Anclaje activo cable 5/8" x 4 alta resistencia</v>
      </c>
      <c r="C72" s="8" t="str">
        <f>VLOOKUP($A72,Presupuesto!$A:$D,3,FALSE())</f>
        <v>M</v>
      </c>
      <c r="D72" s="9"/>
      <c r="E72" s="10">
        <f>VLOOKUP($A72,Presupuesto!$A:$D,4,FALSE())</f>
        <v>0</v>
      </c>
      <c r="F72" s="11" t="s">
        <v>2589</v>
      </c>
      <c r="G72" s="12">
        <f>SUM(G74:G104)/2</f>
        <v>813400.02003525023</v>
      </c>
      <c r="H72" s="13">
        <f>ROUND(SUM(H74:H104),0)/2</f>
        <v>0</v>
      </c>
      <c r="I72" s="10">
        <f>VLOOKUP(A72,Presupuesto!$A:$F,6,0)</f>
        <v>0</v>
      </c>
      <c r="J72" s="10">
        <f>+H72-I72</f>
        <v>0</v>
      </c>
      <c r="K72" s="46">
        <f>+H72-G72*E72</f>
        <v>0</v>
      </c>
    </row>
    <row r="73" spans="1:11">
      <c r="A73" s="14"/>
      <c r="B73" s="15" t="s">
        <v>2586</v>
      </c>
      <c r="C73" s="15" t="s">
        <v>5</v>
      </c>
      <c r="D73" s="16" t="s">
        <v>6</v>
      </c>
      <c r="E73" s="17" t="s">
        <v>7</v>
      </c>
      <c r="F73" s="18" t="s">
        <v>3728</v>
      </c>
      <c r="G73" s="19" t="s">
        <v>3729</v>
      </c>
      <c r="H73" s="20" t="s">
        <v>3797</v>
      </c>
    </row>
    <row r="74" spans="1:11">
      <c r="A74" s="21"/>
      <c r="B74" s="22" t="s">
        <v>3730</v>
      </c>
      <c r="C74" s="23"/>
      <c r="D74" s="24"/>
      <c r="E74" s="25"/>
      <c r="F74" s="26"/>
      <c r="G74" s="27">
        <f>SUM(G75:G89)</f>
        <v>249908.4</v>
      </c>
      <c r="H74" s="27">
        <f>IFERROR(G74*E72,"")</f>
        <v>0</v>
      </c>
    </row>
    <row r="75" spans="1:11">
      <c r="A75" s="28"/>
      <c r="B75" s="29" t="s">
        <v>2699</v>
      </c>
      <c r="C75" s="30" t="str">
        <f>IFERROR(_xlfn.XLOOKUP(B75,Insumo[DESCRIPCION],Insumo[UND],,0),"")</f>
        <v>Kg</v>
      </c>
      <c r="D75" s="31">
        <v>0.2</v>
      </c>
      <c r="E75" s="32">
        <f>IFERROR(_xlfn.XLOOKUP($B75,Insumo[DESCRIPCION],Insumo[VALOR],,0),"")</f>
        <v>7665</v>
      </c>
      <c r="F75" s="33"/>
      <c r="G75" s="34">
        <f t="shared" ref="G75:G89" si="4">IFERROR(IF(F75&gt;=0,D75*E75*(1+F75/100),ABS(D75*E75/F75)),"")</f>
        <v>1533</v>
      </c>
      <c r="H75" s="43">
        <f>IFERROR(G75*E72,"")</f>
        <v>0</v>
      </c>
    </row>
    <row r="76" spans="1:11">
      <c r="A76" s="28"/>
      <c r="B76" s="29" t="s">
        <v>2779</v>
      </c>
      <c r="C76" s="30" t="str">
        <f>IFERROR(_xlfn.XLOOKUP(B76,Insumo[DESCRIPCION],Insumo[UND],,0),"")</f>
        <v>M</v>
      </c>
      <c r="D76" s="31">
        <v>4</v>
      </c>
      <c r="E76" s="32">
        <f>IFERROR(_xlfn.XLOOKUP($B76,Insumo[DESCRIPCION],Insumo[VALOR],,0),"")</f>
        <v>17049.900000000001</v>
      </c>
      <c r="F76" s="33">
        <v>30</v>
      </c>
      <c r="G76" s="34">
        <f t="shared" si="4"/>
        <v>88659.48000000001</v>
      </c>
      <c r="H76" s="43">
        <f>IFERROR(G76*E72,"")</f>
        <v>0</v>
      </c>
    </row>
    <row r="77" spans="1:11">
      <c r="A77" s="28"/>
      <c r="B77" s="29" t="s">
        <v>2906</v>
      </c>
      <c r="C77" s="30" t="str">
        <f>IFERROR(_xlfn.XLOOKUP(B77,Insumo[DESCRIPCION],Insumo[UND],,0),"")</f>
        <v>Un</v>
      </c>
      <c r="D77" s="31">
        <v>1</v>
      </c>
      <c r="E77" s="32">
        <f>IFERROR(_xlfn.XLOOKUP($B77,Insumo[DESCRIPCION],Insumo[VALOR],,0),"")</f>
        <v>23357.25</v>
      </c>
      <c r="F77" s="33"/>
      <c r="G77" s="34">
        <f t="shared" si="4"/>
        <v>23357.25</v>
      </c>
      <c r="H77" s="43">
        <f>IFERROR(G77*E72,"")</f>
        <v>0</v>
      </c>
    </row>
    <row r="78" spans="1:11">
      <c r="A78" s="28"/>
      <c r="B78" s="29" t="s">
        <v>3410</v>
      </c>
      <c r="C78" s="30" t="str">
        <f>IFERROR(_xlfn.XLOOKUP(B78,Insumo[DESCRIPCION],Insumo[UND],,0),"")</f>
        <v>Kg</v>
      </c>
      <c r="D78" s="31">
        <v>0.1</v>
      </c>
      <c r="E78" s="32">
        <f>IFERROR(_xlfn.XLOOKUP($B78,Insumo[DESCRIPCION],Insumo[VALOR],,0),"")</f>
        <v>103675.95000000001</v>
      </c>
      <c r="F78" s="33"/>
      <c r="G78" s="34">
        <f t="shared" si="4"/>
        <v>10367.595000000001</v>
      </c>
      <c r="H78" s="43">
        <f>IFERROR(G78*E72,"")</f>
        <v>0</v>
      </c>
    </row>
    <row r="79" spans="1:11">
      <c r="A79" s="28"/>
      <c r="B79" s="29" t="s">
        <v>3145</v>
      </c>
      <c r="C79" s="30" t="str">
        <f>IFERROR(_xlfn.XLOOKUP(B79,Insumo[DESCRIPCION],Insumo[UND],,0),"")</f>
        <v>M</v>
      </c>
      <c r="D79" s="31">
        <v>1</v>
      </c>
      <c r="E79" s="32">
        <f>IFERROR(_xlfn.XLOOKUP($B79,Insumo[DESCRIPCION],Insumo[VALOR],,0),"")</f>
        <v>36134.700000000004</v>
      </c>
      <c r="F79" s="33"/>
      <c r="G79" s="34">
        <f t="shared" si="4"/>
        <v>36134.700000000004</v>
      </c>
      <c r="H79" s="43">
        <f>IFERROR(G79*E72,"")</f>
        <v>0</v>
      </c>
    </row>
    <row r="80" spans="1:11">
      <c r="A80" s="28"/>
      <c r="B80" s="29" t="s">
        <v>3228</v>
      </c>
      <c r="C80" s="30" t="str">
        <f>IFERROR(_xlfn.XLOOKUP(B80,Insumo[DESCRIPCION],Insumo[UND],,0),"")</f>
        <v>Un</v>
      </c>
      <c r="D80" s="31">
        <v>0.1</v>
      </c>
      <c r="E80" s="32">
        <f>IFERROR(_xlfn.XLOOKUP($B80,Insumo[DESCRIPCION],Insumo[VALOR],,0),"")</f>
        <v>39331.950000000004</v>
      </c>
      <c r="F80" s="33"/>
      <c r="G80" s="34">
        <f t="shared" si="4"/>
        <v>3933.1950000000006</v>
      </c>
      <c r="H80" s="43">
        <f>IFERROR(G80*E72,"")</f>
        <v>0</v>
      </c>
    </row>
    <row r="81" spans="1:8">
      <c r="A81" s="28"/>
      <c r="B81" s="29" t="s">
        <v>3329</v>
      </c>
      <c r="C81" s="30" t="str">
        <f>IFERROR(_xlfn.XLOOKUP(B81,Insumo[DESCRIPCION],Insumo[UND],,0),"")</f>
        <v>Un</v>
      </c>
      <c r="D81" s="31">
        <v>0.2</v>
      </c>
      <c r="E81" s="32">
        <f>IFERROR(_xlfn.XLOOKUP($B81,Insumo[DESCRIPCION],Insumo[VALOR],,0),"")</f>
        <v>42424.200000000004</v>
      </c>
      <c r="F81" s="33"/>
      <c r="G81" s="34">
        <f t="shared" si="4"/>
        <v>8484.840000000002</v>
      </c>
      <c r="H81" s="43">
        <f>IFERROR(G81*E72,"")</f>
        <v>0</v>
      </c>
    </row>
    <row r="82" spans="1:8">
      <c r="A82" s="28"/>
      <c r="B82" s="29" t="s">
        <v>3046</v>
      </c>
      <c r="C82" s="30" t="str">
        <f>IFERROR(_xlfn.XLOOKUP(B82,Insumo[DESCRIPCION],Insumo[UND],,0),"")</f>
        <v>Un</v>
      </c>
      <c r="D82" s="31">
        <v>0.1</v>
      </c>
      <c r="E82" s="32">
        <f>IFERROR(_xlfn.XLOOKUP($B82,Insumo[DESCRIPCION],Insumo[VALOR],,0),"")</f>
        <v>62413.05</v>
      </c>
      <c r="F82" s="33"/>
      <c r="G82" s="34">
        <f t="shared" si="4"/>
        <v>6241.3050000000003</v>
      </c>
      <c r="H82" s="43">
        <f>IFERROR(G82*E72,"")</f>
        <v>0</v>
      </c>
    </row>
    <row r="83" spans="1:8">
      <c r="A83" s="28"/>
      <c r="B83" s="29" t="s">
        <v>3494</v>
      </c>
      <c r="C83" s="30" t="str">
        <f>IFERROR(_xlfn.XLOOKUP(B83,Insumo[DESCRIPCION],Insumo[UND],,0),"")</f>
        <v>M</v>
      </c>
      <c r="D83" s="31">
        <v>4</v>
      </c>
      <c r="E83" s="32">
        <f>IFERROR(_xlfn.XLOOKUP($B83,Insumo[DESCRIPCION],Insumo[VALOR],,0),"")</f>
        <v>11647.65</v>
      </c>
      <c r="F83" s="33"/>
      <c r="G83" s="34">
        <f t="shared" si="4"/>
        <v>46590.6</v>
      </c>
      <c r="H83" s="43">
        <f>IFERROR(G83*E72,"")</f>
        <v>0</v>
      </c>
    </row>
    <row r="84" spans="1:8">
      <c r="A84" s="28"/>
      <c r="B84" s="29" t="s">
        <v>2639</v>
      </c>
      <c r="C84" s="30" t="str">
        <f>IFERROR(_xlfn.XLOOKUP(B84,Insumo[DESCRIPCION],Insumo[UND],,0),"")</f>
        <v>Un</v>
      </c>
      <c r="D84" s="31">
        <v>0.5</v>
      </c>
      <c r="E84" s="32">
        <f>IFERROR(_xlfn.XLOOKUP($B84,Insumo[DESCRIPCION],Insumo[VALOR],,0),"")</f>
        <v>4688.25</v>
      </c>
      <c r="F84" s="33"/>
      <c r="G84" s="34">
        <f t="shared" si="4"/>
        <v>2344.125</v>
      </c>
      <c r="H84" s="43">
        <f>IFERROR(G84*E72,"")</f>
        <v>0</v>
      </c>
    </row>
    <row r="85" spans="1:8">
      <c r="A85" s="28"/>
      <c r="B85" s="29" t="s">
        <v>3294</v>
      </c>
      <c r="C85" s="30" t="str">
        <f>IFERROR(_xlfn.XLOOKUP(B85,Insumo[DESCRIPCION],Insumo[UND],,0),"")</f>
        <v>Un</v>
      </c>
      <c r="D85" s="31">
        <v>1</v>
      </c>
      <c r="E85" s="32">
        <f>IFERROR(_xlfn.XLOOKUP($B85,Insumo[DESCRIPCION],Insumo[VALOR],,0),"")</f>
        <v>3891.3</v>
      </c>
      <c r="F85" s="33"/>
      <c r="G85" s="34">
        <f t="shared" si="4"/>
        <v>3891.3</v>
      </c>
      <c r="H85" s="43">
        <f>IFERROR(G85*E72,"")</f>
        <v>0</v>
      </c>
    </row>
    <row r="86" spans="1:8">
      <c r="A86" s="28"/>
      <c r="B86" s="29" t="s">
        <v>3144</v>
      </c>
      <c r="C86" s="30" t="str">
        <f>IFERROR(_xlfn.XLOOKUP(B86,Insumo[DESCRIPCION],Insumo[UND],,0),"")</f>
        <v>M</v>
      </c>
      <c r="D86" s="31">
        <v>4</v>
      </c>
      <c r="E86" s="32">
        <f>IFERROR(_xlfn.XLOOKUP($B86,Insumo[DESCRIPCION],Insumo[VALOR],,0),"")</f>
        <v>1716.75</v>
      </c>
      <c r="F86" s="33"/>
      <c r="G86" s="34">
        <f t="shared" si="4"/>
        <v>6867</v>
      </c>
      <c r="H86" s="43">
        <f>IFERROR(G86*E72,"")</f>
        <v>0</v>
      </c>
    </row>
    <row r="87" spans="1:8">
      <c r="A87" s="28"/>
      <c r="B87" s="29" t="s">
        <v>2824</v>
      </c>
      <c r="C87" s="30" t="str">
        <f>IFERROR(_xlfn.XLOOKUP(B87,Insumo[DESCRIPCION],Insumo[UND],,0),"")</f>
        <v>Un</v>
      </c>
      <c r="D87" s="31">
        <f>4/50</f>
        <v>0.08</v>
      </c>
      <c r="E87" s="32">
        <f>IFERROR(_xlfn.XLOOKUP($B87,Insumo[DESCRIPCION],Insumo[VALOR],,0),"")</f>
        <v>34230</v>
      </c>
      <c r="F87" s="33"/>
      <c r="G87" s="34">
        <f t="shared" si="4"/>
        <v>2738.4</v>
      </c>
      <c r="H87" s="43">
        <f>IFERROR(G87*E72,"")</f>
        <v>0</v>
      </c>
    </row>
    <row r="88" spans="1:8">
      <c r="A88" s="28"/>
      <c r="B88" s="29" t="s">
        <v>2685</v>
      </c>
      <c r="C88" s="30" t="str">
        <f>IFERROR(_xlfn.XLOOKUP(B88,Insumo[DESCRIPCION],Insumo[UND],,0),"")</f>
        <v>Lt</v>
      </c>
      <c r="D88" s="31">
        <v>200</v>
      </c>
      <c r="E88" s="32">
        <f>IFERROR(_xlfn.XLOOKUP($B88,Insumo[DESCRIPCION],Insumo[VALOR],,0),"")</f>
        <v>27.3</v>
      </c>
      <c r="F88" s="33"/>
      <c r="G88" s="34">
        <f t="shared" si="4"/>
        <v>5460</v>
      </c>
      <c r="H88" s="43">
        <f>IFERROR(G88*E72,"")</f>
        <v>0</v>
      </c>
    </row>
    <row r="89" spans="1:8">
      <c r="A89" s="28"/>
      <c r="B89" s="29" t="s">
        <v>3312</v>
      </c>
      <c r="C89" s="30" t="str">
        <f>IFERROR(_xlfn.XLOOKUP(B89,Insumo[DESCRIPCION],Insumo[UND],,0),"")</f>
        <v>Kg</v>
      </c>
      <c r="D89" s="31">
        <v>0.2</v>
      </c>
      <c r="E89" s="32">
        <f>IFERROR(_xlfn.XLOOKUP($B89,Insumo[DESCRIPCION],Insumo[VALOR],,0),"")</f>
        <v>16528.05</v>
      </c>
      <c r="F89" s="33"/>
      <c r="G89" s="34">
        <f t="shared" si="4"/>
        <v>3305.61</v>
      </c>
      <c r="H89" s="43">
        <f>IFERROR(G89*E72,"")</f>
        <v>0</v>
      </c>
    </row>
    <row r="90" spans="1:8">
      <c r="A90" s="21"/>
      <c r="B90" s="22" t="s">
        <v>3731</v>
      </c>
      <c r="C90" s="23"/>
      <c r="D90" s="24"/>
      <c r="E90" s="25"/>
      <c r="F90" s="26"/>
      <c r="G90" s="27">
        <f>SUM(G91:G97)</f>
        <v>489745.64143024996</v>
      </c>
      <c r="H90" s="44">
        <f>G90*E72</f>
        <v>0</v>
      </c>
    </row>
    <row r="91" spans="1:8">
      <c r="A91" s="28"/>
      <c r="B91" s="29" t="s">
        <v>3597</v>
      </c>
      <c r="C91" s="30" t="str">
        <f>IFERROR(_xlfn.XLOOKUP(B91,Equipo[DESCRIPCION],Equipo[UND],,0),"")</f>
        <v>Hr</v>
      </c>
      <c r="D91" s="31">
        <v>1</v>
      </c>
      <c r="E91" s="32">
        <f>IF(C91="%MO",G101,IFERROR(_xlfn.XLOOKUP($B91,Equipo[DESCRIPCION],Equipo[VALOR],,0),""))</f>
        <v>140649.60000000001</v>
      </c>
      <c r="F91" s="33">
        <v>-12</v>
      </c>
      <c r="G91" s="34">
        <f t="shared" ref="G91:G97" si="5">IFERROR(IF(F91&gt;=0,D91*E91*(1+F91/100),ABS(D91*E91/F91)),"")</f>
        <v>11720.800000000001</v>
      </c>
      <c r="H91" s="43">
        <f>IFERROR(G91*E72,"")</f>
        <v>0</v>
      </c>
    </row>
    <row r="92" spans="1:8">
      <c r="A92" s="28"/>
      <c r="B92" s="29" t="s">
        <v>3637</v>
      </c>
      <c r="C92" s="30" t="str">
        <f>IFERROR(_xlfn.XLOOKUP(B92,Equipo[DESCRIPCION],Equipo[UND],,0),"")</f>
        <v>Día</v>
      </c>
      <c r="D92" s="31">
        <v>1</v>
      </c>
      <c r="E92" s="32">
        <f>IF(C92="%MO",G101,IFERROR(_xlfn.XLOOKUP($B92,Equipo[DESCRIPCION],Equipo[VALOR],,0),""))</f>
        <v>119198.1</v>
      </c>
      <c r="F92" s="33">
        <v>-10</v>
      </c>
      <c r="G92" s="34">
        <f t="shared" si="5"/>
        <v>11919.810000000001</v>
      </c>
      <c r="H92" s="43">
        <f>IFERROR(G92*E72,"")</f>
        <v>0</v>
      </c>
    </row>
    <row r="93" spans="1:8">
      <c r="A93" s="28"/>
      <c r="B93" s="29" t="s">
        <v>3581</v>
      </c>
      <c r="C93" s="30" t="str">
        <f>IFERROR(_xlfn.XLOOKUP(B93,Equipo[DESCRIPCION],Equipo[UND],,0),"")</f>
        <v>Hr</v>
      </c>
      <c r="D93" s="31">
        <v>1</v>
      </c>
      <c r="E93" s="32">
        <f>IF(C93="%MO",G101,IFERROR(_xlfn.XLOOKUP($B93,Equipo[DESCRIPCION],Equipo[VALOR],,0),""))</f>
        <v>90174</v>
      </c>
      <c r="F93" s="33">
        <v>-12</v>
      </c>
      <c r="G93" s="34">
        <f t="shared" si="5"/>
        <v>7514.5</v>
      </c>
      <c r="H93" s="43">
        <f>IFERROR(G93*E72,"")</f>
        <v>0</v>
      </c>
    </row>
    <row r="94" spans="1:8">
      <c r="A94" s="28"/>
      <c r="B94" s="29" t="s">
        <v>3608</v>
      </c>
      <c r="C94" s="30" t="str">
        <f>IFERROR(_xlfn.XLOOKUP(B94,Equipo[DESCRIPCION],Equipo[UND],,0),"")</f>
        <v>Hr</v>
      </c>
      <c r="D94" s="31">
        <v>1</v>
      </c>
      <c r="E94" s="32">
        <f>IF(C94="%MO",G101,IFERROR(_xlfn.XLOOKUP($B94,Equipo[DESCRIPCION],Equipo[VALOR],,0),""))</f>
        <v>721591.5</v>
      </c>
      <c r="F94" s="33">
        <v>-1.75</v>
      </c>
      <c r="G94" s="34">
        <f t="shared" si="5"/>
        <v>412338</v>
      </c>
      <c r="H94" s="43">
        <f>IFERROR(G94*E72,"")</f>
        <v>0</v>
      </c>
    </row>
    <row r="95" spans="1:8">
      <c r="A95" s="28"/>
      <c r="B95" s="29" t="s">
        <v>3621</v>
      </c>
      <c r="C95" s="30" t="str">
        <f>IFERROR(_xlfn.XLOOKUP(B95,Equipo[DESCRIPCION],Equipo[UND],,0),"")</f>
        <v>Hr</v>
      </c>
      <c r="D95" s="31">
        <v>1</v>
      </c>
      <c r="E95" s="32">
        <f>IF(C95="%MO",G101,IFERROR(_xlfn.XLOOKUP($B95,Equipo[DESCRIPCION],Equipo[VALOR],,0),""))</f>
        <v>195790.35</v>
      </c>
      <c r="F95" s="33">
        <v>-12</v>
      </c>
      <c r="G95" s="34">
        <f t="shared" si="5"/>
        <v>16315.862500000001</v>
      </c>
      <c r="H95" s="43">
        <f>IFERROR(G95*E72,"")</f>
        <v>0</v>
      </c>
    </row>
    <row r="96" spans="1:8">
      <c r="A96" s="28"/>
      <c r="B96" s="29" t="s">
        <v>3628</v>
      </c>
      <c r="C96" s="30" t="str">
        <f>IFERROR(_xlfn.XLOOKUP(B96,Equipo[DESCRIPCION],Equipo[UND],,0),"")</f>
        <v>Día</v>
      </c>
      <c r="D96" s="31">
        <v>1</v>
      </c>
      <c r="E96" s="32">
        <f>IF(C96="%MO",G101,IFERROR(_xlfn.XLOOKUP($B96,Equipo[DESCRIPCION],Equipo[VALOR],,0),""))</f>
        <v>262493.7</v>
      </c>
      <c r="F96" s="33">
        <v>-10</v>
      </c>
      <c r="G96" s="34">
        <f t="shared" si="5"/>
        <v>26249.370000000003</v>
      </c>
      <c r="H96" s="43">
        <f>IFERROR(G96*E72,"")</f>
        <v>0</v>
      </c>
    </row>
    <row r="97" spans="1:11">
      <c r="A97" s="28"/>
      <c r="B97" s="29" t="s">
        <v>3626</v>
      </c>
      <c r="C97" s="30" t="str">
        <f>IFERROR(_xlfn.XLOOKUP(B97,Equipo[DESCRIPCION],Equipo[UND],,0),"")</f>
        <v>%MO</v>
      </c>
      <c r="D97" s="31">
        <v>0.05</v>
      </c>
      <c r="E97" s="32">
        <f>IF(C97="%MO",G101,IFERROR(_xlfn.XLOOKUP($B97,Equipo[DESCRIPCION],Equipo[VALOR],,0),""))</f>
        <v>73745.978605000011</v>
      </c>
      <c r="F97" s="33"/>
      <c r="G97" s="34">
        <f t="shared" si="5"/>
        <v>3687.2989302500009</v>
      </c>
      <c r="H97" s="43">
        <f>IFERROR(G97*E72,"")</f>
        <v>0</v>
      </c>
    </row>
    <row r="98" spans="1:11">
      <c r="A98" s="21"/>
      <c r="B98" s="22" t="s">
        <v>2533</v>
      </c>
      <c r="C98" s="23"/>
      <c r="D98" s="24"/>
      <c r="E98" s="25"/>
      <c r="F98" s="26"/>
      <c r="G98" s="27">
        <f>SUM(G99:G100)</f>
        <v>0</v>
      </c>
      <c r="H98" s="44">
        <f>G98*E72</f>
        <v>0</v>
      </c>
    </row>
    <row r="99" spans="1:11">
      <c r="A99" s="28"/>
      <c r="B99" s="29"/>
      <c r="C99" s="30" t="str">
        <f>IFERROR(_xlfn.XLOOKUP(B99,Transporte[DESCRIPCION],Transporte[UND],,0),"")</f>
        <v/>
      </c>
      <c r="D99" s="31"/>
      <c r="E99" s="32" t="str">
        <f>IFERROR(_xlfn.XLOOKUP($B99,Transporte[DESCRIPCION],Transporte[VALOR],,0),"")</f>
        <v/>
      </c>
      <c r="F99" s="33"/>
      <c r="G99" s="34" t="str">
        <f>IFERROR(IF(F99&gt;=0,D99*E99*(1+F99/100),ABS(D99*E99/F99)),"")</f>
        <v/>
      </c>
      <c r="H99" s="43" t="str">
        <f>IFERROR(G99*E72,"")</f>
        <v/>
      </c>
    </row>
    <row r="100" spans="1:11">
      <c r="A100" s="28"/>
      <c r="B100" s="29"/>
      <c r="C100" s="30" t="str">
        <f>IFERROR(_xlfn.XLOOKUP(B100,Transporte[DESCRIPCION],Transporte[UND],,0),"")</f>
        <v/>
      </c>
      <c r="D100" s="31"/>
      <c r="E100" s="32" t="str">
        <f>IFERROR(_xlfn.XLOOKUP($B100,Transporte[DESCRIPCION],Transporte[VALOR],,0),"")</f>
        <v/>
      </c>
      <c r="F100" s="33"/>
      <c r="G100" s="34" t="str">
        <f>IFERROR(IF(F100&gt;=0,D100*E100*(1+F100/100),ABS(D100*E100/F100)),"")</f>
        <v/>
      </c>
      <c r="H100" s="43" t="str">
        <f>IFERROR(G100*E72,"")</f>
        <v/>
      </c>
    </row>
    <row r="101" spans="1:11">
      <c r="A101" s="21"/>
      <c r="B101" s="22" t="s">
        <v>3732</v>
      </c>
      <c r="C101" s="23"/>
      <c r="D101" s="24"/>
      <c r="E101" s="25"/>
      <c r="F101" s="26"/>
      <c r="G101" s="27">
        <f>SUM(G102:G104)</f>
        <v>73745.978605000011</v>
      </c>
      <c r="H101" s="44">
        <f>G101*E72</f>
        <v>0</v>
      </c>
    </row>
    <row r="102" spans="1:11">
      <c r="A102" s="28"/>
      <c r="B102" s="29" t="s">
        <v>3713</v>
      </c>
      <c r="C102" s="30" t="str">
        <f>IFERROR(_xlfn.XLOOKUP(B102,MObra[DESCRIPCION],MObra[UN],,0),"")</f>
        <v>día</v>
      </c>
      <c r="D102" s="31">
        <v>1</v>
      </c>
      <c r="E102" s="32">
        <f>IFERROR(_xlfn.XLOOKUP($B102,MObra[DESCRIPCION],MObra[VALOR UNIT],,0),"")</f>
        <v>663713.80744500016</v>
      </c>
      <c r="F102" s="33">
        <v>-9</v>
      </c>
      <c r="G102" s="34">
        <f>IFERROR(IF(F102&gt;=0,D102*E102*(1+F102/100),ABS(D102*E102/F102)),"")</f>
        <v>73745.978605000011</v>
      </c>
      <c r="H102" s="43">
        <f>IFERROR(G102*E72,"")</f>
        <v>0</v>
      </c>
    </row>
    <row r="103" spans="1:11">
      <c r="A103" s="28"/>
      <c r="B103" s="29"/>
      <c r="C103" s="30" t="str">
        <f>IFERROR(_xlfn.XLOOKUP(B103,MObra[DESCRIPCION],MObra[UN],,0),"")</f>
        <v/>
      </c>
      <c r="D103" s="31"/>
      <c r="E103" s="32" t="str">
        <f>IFERROR(_xlfn.XLOOKUP($B103,MObra[DESCRIPCION],MObra[VALOR UNIT],,0),"")</f>
        <v/>
      </c>
      <c r="F103" s="33"/>
      <c r="G103" s="34" t="str">
        <f>IFERROR(IF(F103&gt;=0,D103*E103*(1+F103/100),ABS(D103*E103/F103)),"")</f>
        <v/>
      </c>
      <c r="H103" s="43" t="str">
        <f>IFERROR(G103*E72,"")</f>
        <v/>
      </c>
    </row>
    <row r="104" spans="1:11">
      <c r="A104" s="35"/>
      <c r="B104" s="36"/>
      <c r="C104" s="37" t="str">
        <f>IFERROR(_xlfn.XLOOKUP(B104,MObra[DESCRIPCION],MObra[UN],,0),"")</f>
        <v/>
      </c>
      <c r="D104" s="38"/>
      <c r="E104" s="39" t="str">
        <f>IFERROR(_xlfn.XLOOKUP($B104,MObra[DESCRIPCION],MObra[VALOR UNIT],,0),"")</f>
        <v/>
      </c>
      <c r="F104" s="40"/>
      <c r="G104" s="41" t="str">
        <f>IFERROR(IF(F104&gt;=0,D104*E104*(1+F104/100),ABS(D104*E104/F104)),"")</f>
        <v/>
      </c>
      <c r="H104" s="42" t="str">
        <f>IFERROR(G104*E72,"")</f>
        <v/>
      </c>
    </row>
    <row r="106" spans="1:11">
      <c r="A106" s="6" t="s">
        <v>1738</v>
      </c>
      <c r="B106" s="7" t="str">
        <f>VLOOKUP($A106,Presupuesto!$A:$D,2,FALSE())</f>
        <v>Anclaje activo cable 5/8" x 6 alta resistencia</v>
      </c>
      <c r="C106" s="8" t="str">
        <f>VLOOKUP($A106,Presupuesto!$A:$D,3,FALSE())</f>
        <v>M</v>
      </c>
      <c r="D106" s="9"/>
      <c r="E106" s="10">
        <f>VLOOKUP($A106,Presupuesto!$A:$D,4,FALSE())</f>
        <v>0</v>
      </c>
      <c r="F106" s="11" t="s">
        <v>2589</v>
      </c>
      <c r="G106" s="12">
        <f>SUM(G108:G138)/2</f>
        <v>559295.48003525019</v>
      </c>
      <c r="H106" s="13">
        <f>ROUND(SUM(H108:H138),0)/2</f>
        <v>0</v>
      </c>
      <c r="I106" s="10">
        <f>VLOOKUP(A106,Presupuesto!$A:$F,6,0)</f>
        <v>0</v>
      </c>
      <c r="J106" s="10">
        <f>+H106-I106</f>
        <v>0</v>
      </c>
      <c r="K106" s="46">
        <f>+H106-G106*E106</f>
        <v>0</v>
      </c>
    </row>
    <row r="107" spans="1:11">
      <c r="A107" s="14"/>
      <c r="B107" s="15" t="s">
        <v>2586</v>
      </c>
      <c r="C107" s="15" t="s">
        <v>5</v>
      </c>
      <c r="D107" s="16" t="s">
        <v>6</v>
      </c>
      <c r="E107" s="17" t="s">
        <v>7</v>
      </c>
      <c r="F107" s="18" t="s">
        <v>3728</v>
      </c>
      <c r="G107" s="19" t="s">
        <v>3729</v>
      </c>
      <c r="H107" s="20" t="s">
        <v>3797</v>
      </c>
    </row>
    <row r="108" spans="1:11">
      <c r="A108" s="21"/>
      <c r="B108" s="22" t="s">
        <v>3730</v>
      </c>
      <c r="C108" s="23"/>
      <c r="D108" s="24"/>
      <c r="E108" s="25"/>
      <c r="F108" s="26"/>
      <c r="G108" s="27">
        <f>SUM(G109:G123)</f>
        <v>294238.14</v>
      </c>
      <c r="H108" s="27">
        <f>IFERROR(G108*E106,"")</f>
        <v>0</v>
      </c>
    </row>
    <row r="109" spans="1:11">
      <c r="A109" s="28"/>
      <c r="B109" s="29" t="s">
        <v>2699</v>
      </c>
      <c r="C109" s="30" t="str">
        <f>IFERROR(_xlfn.XLOOKUP(B109,Insumo[DESCRIPCION],Insumo[UND],,0),"")</f>
        <v>Kg</v>
      </c>
      <c r="D109" s="31">
        <v>0.2</v>
      </c>
      <c r="E109" s="32">
        <f>IFERROR(_xlfn.XLOOKUP($B109,Insumo[DESCRIPCION],Insumo[VALOR],,0),"")</f>
        <v>7665</v>
      </c>
      <c r="F109" s="33"/>
      <c r="G109" s="34">
        <f t="shared" ref="G109:G123" si="6">IFERROR(IF(F109&gt;=0,D109*E109*(1+F109/100),ABS(D109*E109/F109)),"")</f>
        <v>1533</v>
      </c>
      <c r="H109" s="43">
        <f>IFERROR(G109*E106,"")</f>
        <v>0</v>
      </c>
    </row>
    <row r="110" spans="1:11">
      <c r="A110" s="28"/>
      <c r="B110" s="29" t="s">
        <v>2779</v>
      </c>
      <c r="C110" s="30" t="str">
        <f>IFERROR(_xlfn.XLOOKUP(B110,Insumo[DESCRIPCION],Insumo[UND],,0),"")</f>
        <v>M</v>
      </c>
      <c r="D110" s="31">
        <v>6</v>
      </c>
      <c r="E110" s="32">
        <f>IFERROR(_xlfn.XLOOKUP($B110,Insumo[DESCRIPCION],Insumo[VALOR],,0),"")</f>
        <v>17049.900000000001</v>
      </c>
      <c r="F110" s="33">
        <v>30</v>
      </c>
      <c r="G110" s="34">
        <f t="shared" si="6"/>
        <v>132989.22000000003</v>
      </c>
      <c r="H110" s="43">
        <f>IFERROR(G110*E106,"")</f>
        <v>0</v>
      </c>
    </row>
    <row r="111" spans="1:11">
      <c r="A111" s="28"/>
      <c r="B111" s="29" t="s">
        <v>2906</v>
      </c>
      <c r="C111" s="30" t="str">
        <f>IFERROR(_xlfn.XLOOKUP(B111,Insumo[DESCRIPCION],Insumo[UND],,0),"")</f>
        <v>Un</v>
      </c>
      <c r="D111" s="31">
        <v>1</v>
      </c>
      <c r="E111" s="32">
        <f>IFERROR(_xlfn.XLOOKUP($B111,Insumo[DESCRIPCION],Insumo[VALOR],,0),"")</f>
        <v>23357.25</v>
      </c>
      <c r="F111" s="33"/>
      <c r="G111" s="34">
        <f t="shared" si="6"/>
        <v>23357.25</v>
      </c>
      <c r="H111" s="43">
        <f>IFERROR(G111*E106,"")</f>
        <v>0</v>
      </c>
    </row>
    <row r="112" spans="1:11">
      <c r="A112" s="28"/>
      <c r="B112" s="29" t="s">
        <v>3410</v>
      </c>
      <c r="C112" s="30" t="str">
        <f>IFERROR(_xlfn.XLOOKUP(B112,Insumo[DESCRIPCION],Insumo[UND],,0),"")</f>
        <v>Kg</v>
      </c>
      <c r="D112" s="31">
        <v>0.1</v>
      </c>
      <c r="E112" s="32">
        <f>IFERROR(_xlfn.XLOOKUP($B112,Insumo[DESCRIPCION],Insumo[VALOR],,0),"")</f>
        <v>103675.95000000001</v>
      </c>
      <c r="F112" s="33"/>
      <c r="G112" s="34">
        <f t="shared" si="6"/>
        <v>10367.595000000001</v>
      </c>
      <c r="H112" s="43">
        <f>IFERROR(G112*E106,"")</f>
        <v>0</v>
      </c>
    </row>
    <row r="113" spans="1:8">
      <c r="A113" s="28"/>
      <c r="B113" s="29" t="s">
        <v>3145</v>
      </c>
      <c r="C113" s="30" t="str">
        <f>IFERROR(_xlfn.XLOOKUP(B113,Insumo[DESCRIPCION],Insumo[UND],,0),"")</f>
        <v>M</v>
      </c>
      <c r="D113" s="31">
        <v>1</v>
      </c>
      <c r="E113" s="32">
        <f>IFERROR(_xlfn.XLOOKUP($B113,Insumo[DESCRIPCION],Insumo[VALOR],,0),"")</f>
        <v>36134.700000000004</v>
      </c>
      <c r="F113" s="33"/>
      <c r="G113" s="34">
        <f t="shared" si="6"/>
        <v>36134.700000000004</v>
      </c>
      <c r="H113" s="43">
        <f>IFERROR(G113*E106,"")</f>
        <v>0</v>
      </c>
    </row>
    <row r="114" spans="1:8">
      <c r="A114" s="28"/>
      <c r="B114" s="29" t="s">
        <v>3228</v>
      </c>
      <c r="C114" s="30" t="str">
        <f>IFERROR(_xlfn.XLOOKUP(B114,Insumo[DESCRIPCION],Insumo[UND],,0),"")</f>
        <v>Un</v>
      </c>
      <c r="D114" s="31">
        <v>0.1</v>
      </c>
      <c r="E114" s="32">
        <f>IFERROR(_xlfn.XLOOKUP($B114,Insumo[DESCRIPCION],Insumo[VALOR],,0),"")</f>
        <v>39331.950000000004</v>
      </c>
      <c r="F114" s="33"/>
      <c r="G114" s="34">
        <f t="shared" si="6"/>
        <v>3933.1950000000006</v>
      </c>
      <c r="H114" s="43">
        <f>IFERROR(G114*E106,"")</f>
        <v>0</v>
      </c>
    </row>
    <row r="115" spans="1:8">
      <c r="A115" s="28"/>
      <c r="B115" s="29" t="s">
        <v>3329</v>
      </c>
      <c r="C115" s="30" t="str">
        <f>IFERROR(_xlfn.XLOOKUP(B115,Insumo[DESCRIPCION],Insumo[UND],,0),"")</f>
        <v>Un</v>
      </c>
      <c r="D115" s="31">
        <v>0.2</v>
      </c>
      <c r="E115" s="32">
        <f>IFERROR(_xlfn.XLOOKUP($B115,Insumo[DESCRIPCION],Insumo[VALOR],,0),"")</f>
        <v>42424.200000000004</v>
      </c>
      <c r="F115" s="33"/>
      <c r="G115" s="34">
        <f t="shared" si="6"/>
        <v>8484.840000000002</v>
      </c>
      <c r="H115" s="43">
        <f>IFERROR(G115*E106,"")</f>
        <v>0</v>
      </c>
    </row>
    <row r="116" spans="1:8">
      <c r="A116" s="28"/>
      <c r="B116" s="29" t="s">
        <v>3046</v>
      </c>
      <c r="C116" s="30" t="str">
        <f>IFERROR(_xlfn.XLOOKUP(B116,Insumo[DESCRIPCION],Insumo[UND],,0),"")</f>
        <v>Un</v>
      </c>
      <c r="D116" s="31">
        <v>0.1</v>
      </c>
      <c r="E116" s="32">
        <f>IFERROR(_xlfn.XLOOKUP($B116,Insumo[DESCRIPCION],Insumo[VALOR],,0),"")</f>
        <v>62413.05</v>
      </c>
      <c r="F116" s="33"/>
      <c r="G116" s="34">
        <f t="shared" si="6"/>
        <v>6241.3050000000003</v>
      </c>
      <c r="H116" s="43">
        <f>IFERROR(G116*E106,"")</f>
        <v>0</v>
      </c>
    </row>
    <row r="117" spans="1:8">
      <c r="A117" s="28"/>
      <c r="B117" s="29" t="s">
        <v>3494</v>
      </c>
      <c r="C117" s="30" t="str">
        <f>IFERROR(_xlfn.XLOOKUP(B117,Insumo[DESCRIPCION],Insumo[UND],,0),"")</f>
        <v>M</v>
      </c>
      <c r="D117" s="31">
        <v>4</v>
      </c>
      <c r="E117" s="32">
        <f>IFERROR(_xlfn.XLOOKUP($B117,Insumo[DESCRIPCION],Insumo[VALOR],,0),"")</f>
        <v>11647.65</v>
      </c>
      <c r="F117" s="33"/>
      <c r="G117" s="34">
        <f t="shared" si="6"/>
        <v>46590.6</v>
      </c>
      <c r="H117" s="43">
        <f>IFERROR(G117*E106,"")</f>
        <v>0</v>
      </c>
    </row>
    <row r="118" spans="1:8">
      <c r="A118" s="28"/>
      <c r="B118" s="29" t="s">
        <v>2639</v>
      </c>
      <c r="C118" s="30" t="str">
        <f>IFERROR(_xlfn.XLOOKUP(B118,Insumo[DESCRIPCION],Insumo[UND],,0),"")</f>
        <v>Un</v>
      </c>
      <c r="D118" s="31">
        <v>0.5</v>
      </c>
      <c r="E118" s="32">
        <f>IFERROR(_xlfn.XLOOKUP($B118,Insumo[DESCRIPCION],Insumo[VALOR],,0),"")</f>
        <v>4688.25</v>
      </c>
      <c r="F118" s="33"/>
      <c r="G118" s="34">
        <f t="shared" si="6"/>
        <v>2344.125</v>
      </c>
      <c r="H118" s="43">
        <f>IFERROR(G118*E106,"")</f>
        <v>0</v>
      </c>
    </row>
    <row r="119" spans="1:8">
      <c r="A119" s="28"/>
      <c r="B119" s="29" t="s">
        <v>3294</v>
      </c>
      <c r="C119" s="30" t="str">
        <f>IFERROR(_xlfn.XLOOKUP(B119,Insumo[DESCRIPCION],Insumo[UND],,0),"")</f>
        <v>Un</v>
      </c>
      <c r="D119" s="31">
        <v>1</v>
      </c>
      <c r="E119" s="32">
        <f>IFERROR(_xlfn.XLOOKUP($B119,Insumo[DESCRIPCION],Insumo[VALOR],,0),"")</f>
        <v>3891.3</v>
      </c>
      <c r="F119" s="33"/>
      <c r="G119" s="34">
        <f t="shared" si="6"/>
        <v>3891.3</v>
      </c>
      <c r="H119" s="43">
        <f>IFERROR(G119*E106,"")</f>
        <v>0</v>
      </c>
    </row>
    <row r="120" spans="1:8">
      <c r="A120" s="28"/>
      <c r="B120" s="29" t="s">
        <v>3144</v>
      </c>
      <c r="C120" s="30" t="str">
        <f>IFERROR(_xlfn.XLOOKUP(B120,Insumo[DESCRIPCION],Insumo[UND],,0),"")</f>
        <v>M</v>
      </c>
      <c r="D120" s="31">
        <v>4</v>
      </c>
      <c r="E120" s="32">
        <f>IFERROR(_xlfn.XLOOKUP($B120,Insumo[DESCRIPCION],Insumo[VALOR],,0),"")</f>
        <v>1716.75</v>
      </c>
      <c r="F120" s="33"/>
      <c r="G120" s="34">
        <f t="shared" si="6"/>
        <v>6867</v>
      </c>
      <c r="H120" s="43">
        <f>IFERROR(G120*E106,"")</f>
        <v>0</v>
      </c>
    </row>
    <row r="121" spans="1:8">
      <c r="A121" s="28"/>
      <c r="B121" s="29" t="s">
        <v>2824</v>
      </c>
      <c r="C121" s="30" t="str">
        <f>IFERROR(_xlfn.XLOOKUP(B121,Insumo[DESCRIPCION],Insumo[UND],,0),"")</f>
        <v>Un</v>
      </c>
      <c r="D121" s="31">
        <f>4/50</f>
        <v>0.08</v>
      </c>
      <c r="E121" s="32">
        <f>IFERROR(_xlfn.XLOOKUP($B121,Insumo[DESCRIPCION],Insumo[VALOR],,0),"")</f>
        <v>34230</v>
      </c>
      <c r="F121" s="33"/>
      <c r="G121" s="34">
        <f t="shared" si="6"/>
        <v>2738.4</v>
      </c>
      <c r="H121" s="43">
        <f>IFERROR(G121*E106,"")</f>
        <v>0</v>
      </c>
    </row>
    <row r="122" spans="1:8">
      <c r="A122" s="28"/>
      <c r="B122" s="29" t="s">
        <v>2685</v>
      </c>
      <c r="C122" s="30" t="str">
        <f>IFERROR(_xlfn.XLOOKUP(B122,Insumo[DESCRIPCION],Insumo[UND],,0),"")</f>
        <v>Lt</v>
      </c>
      <c r="D122" s="31">
        <v>200</v>
      </c>
      <c r="E122" s="32">
        <f>IFERROR(_xlfn.XLOOKUP($B122,Insumo[DESCRIPCION],Insumo[VALOR],,0),"")</f>
        <v>27.3</v>
      </c>
      <c r="F122" s="33"/>
      <c r="G122" s="34">
        <f t="shared" si="6"/>
        <v>5460</v>
      </c>
      <c r="H122" s="43">
        <f>IFERROR(G122*E106,"")</f>
        <v>0</v>
      </c>
    </row>
    <row r="123" spans="1:8">
      <c r="A123" s="28"/>
      <c r="B123" s="29" t="s">
        <v>3312</v>
      </c>
      <c r="C123" s="30" t="str">
        <f>IFERROR(_xlfn.XLOOKUP(B123,Insumo[DESCRIPCION],Insumo[UND],,0),"")</f>
        <v>Kg</v>
      </c>
      <c r="D123" s="31">
        <v>0.2</v>
      </c>
      <c r="E123" s="32">
        <f>IFERROR(_xlfn.XLOOKUP($B123,Insumo[DESCRIPCION],Insumo[VALOR],,0),"")</f>
        <v>16528.05</v>
      </c>
      <c r="F123" s="33"/>
      <c r="G123" s="34">
        <f t="shared" si="6"/>
        <v>3305.61</v>
      </c>
      <c r="H123" s="43">
        <f>IFERROR(G123*E106,"")</f>
        <v>0</v>
      </c>
    </row>
    <row r="124" spans="1:8">
      <c r="A124" s="21"/>
      <c r="B124" s="22" t="s">
        <v>3731</v>
      </c>
      <c r="C124" s="23"/>
      <c r="D124" s="24"/>
      <c r="E124" s="25"/>
      <c r="F124" s="26"/>
      <c r="G124" s="27">
        <f>SUM(G125:G131)</f>
        <v>191311.36143024999</v>
      </c>
      <c r="H124" s="44">
        <f>G124*E106</f>
        <v>0</v>
      </c>
    </row>
    <row r="125" spans="1:8">
      <c r="A125" s="28"/>
      <c r="B125" s="29" t="s">
        <v>3597</v>
      </c>
      <c r="C125" s="30" t="str">
        <f>IFERROR(_xlfn.XLOOKUP(B125,Equipo[DESCRIPCION],Equipo[UND],,0),"")</f>
        <v>Hr</v>
      </c>
      <c r="D125" s="31">
        <v>1</v>
      </c>
      <c r="E125" s="32">
        <f>IF(C125="%MO",G135,IFERROR(_xlfn.XLOOKUP($B125,Equipo[DESCRIPCION],Equipo[VALOR],,0),""))</f>
        <v>140649.60000000001</v>
      </c>
      <c r="F125" s="33">
        <v>-12</v>
      </c>
      <c r="G125" s="34">
        <f t="shared" ref="G125:G131" si="7">IFERROR(IF(F125&gt;=0,D125*E125*(1+F125/100),ABS(D125*E125/F125)),"")</f>
        <v>11720.800000000001</v>
      </c>
      <c r="H125" s="43">
        <f>IFERROR(G125*E106,"")</f>
        <v>0</v>
      </c>
    </row>
    <row r="126" spans="1:8">
      <c r="A126" s="28"/>
      <c r="B126" s="29" t="s">
        <v>3637</v>
      </c>
      <c r="C126" s="30" t="str">
        <f>IFERROR(_xlfn.XLOOKUP(B126,Equipo[DESCRIPCION],Equipo[UND],,0),"")</f>
        <v>Día</v>
      </c>
      <c r="D126" s="31">
        <v>1</v>
      </c>
      <c r="E126" s="32">
        <f>IF(C126="%MO",G135,IFERROR(_xlfn.XLOOKUP($B126,Equipo[DESCRIPCION],Equipo[VALOR],,0),""))</f>
        <v>119198.1</v>
      </c>
      <c r="F126" s="33">
        <v>-12</v>
      </c>
      <c r="G126" s="34">
        <f t="shared" si="7"/>
        <v>9933.1750000000011</v>
      </c>
      <c r="H126" s="43">
        <f>IFERROR(G126*E106,"")</f>
        <v>0</v>
      </c>
    </row>
    <row r="127" spans="1:8">
      <c r="A127" s="28"/>
      <c r="B127" s="29" t="s">
        <v>3581</v>
      </c>
      <c r="C127" s="30" t="str">
        <f>IFERROR(_xlfn.XLOOKUP(B127,Equipo[DESCRIPCION],Equipo[UND],,0),"")</f>
        <v>Hr</v>
      </c>
      <c r="D127" s="31">
        <v>1</v>
      </c>
      <c r="E127" s="32">
        <f>IF(C127="%MO",G135,IFERROR(_xlfn.XLOOKUP($B127,Equipo[DESCRIPCION],Equipo[VALOR],,0),""))</f>
        <v>90174</v>
      </c>
      <c r="F127" s="33">
        <v>-12</v>
      </c>
      <c r="G127" s="34">
        <f t="shared" si="7"/>
        <v>7514.5</v>
      </c>
      <c r="H127" s="43">
        <f>IFERROR(G127*E106,"")</f>
        <v>0</v>
      </c>
    </row>
    <row r="128" spans="1:8">
      <c r="A128" s="28"/>
      <c r="B128" s="29" t="s">
        <v>3608</v>
      </c>
      <c r="C128" s="30" t="str">
        <f>IFERROR(_xlfn.XLOOKUP(B128,Equipo[DESCRIPCION],Equipo[UND],,0),"")</f>
        <v>Hr</v>
      </c>
      <c r="D128" s="31">
        <v>1</v>
      </c>
      <c r="E128" s="32">
        <f>IF(C128="%MO",G135,IFERROR(_xlfn.XLOOKUP($B128,Equipo[DESCRIPCION],Equipo[VALOR],,0),""))</f>
        <v>721591.5</v>
      </c>
      <c r="F128" s="33">
        <v>-6</v>
      </c>
      <c r="G128" s="34">
        <f t="shared" si="7"/>
        <v>120265.25</v>
      </c>
      <c r="H128" s="43">
        <f>IFERROR(G128*E106,"")</f>
        <v>0</v>
      </c>
    </row>
    <row r="129" spans="1:11">
      <c r="A129" s="28"/>
      <c r="B129" s="29" t="s">
        <v>3621</v>
      </c>
      <c r="C129" s="30" t="str">
        <f>IFERROR(_xlfn.XLOOKUP(B129,Equipo[DESCRIPCION],Equipo[UND],,0),"")</f>
        <v>Hr</v>
      </c>
      <c r="D129" s="31">
        <v>1</v>
      </c>
      <c r="E129" s="32">
        <f>IF(C129="%MO",G135,IFERROR(_xlfn.XLOOKUP($B129,Equipo[DESCRIPCION],Equipo[VALOR],,0),""))</f>
        <v>195790.35</v>
      </c>
      <c r="F129" s="33">
        <v>-12</v>
      </c>
      <c r="G129" s="34">
        <f t="shared" si="7"/>
        <v>16315.862500000001</v>
      </c>
      <c r="H129" s="43">
        <f>IFERROR(G129*E106,"")</f>
        <v>0</v>
      </c>
    </row>
    <row r="130" spans="1:11">
      <c r="A130" s="28"/>
      <c r="B130" s="29" t="s">
        <v>3628</v>
      </c>
      <c r="C130" s="30" t="str">
        <f>IFERROR(_xlfn.XLOOKUP(B130,Equipo[DESCRIPCION],Equipo[UND],,0),"")</f>
        <v>Día</v>
      </c>
      <c r="D130" s="31">
        <v>1</v>
      </c>
      <c r="E130" s="32">
        <f>IF(C130="%MO",G135,IFERROR(_xlfn.XLOOKUP($B130,Equipo[DESCRIPCION],Equipo[VALOR],,0),""))</f>
        <v>262493.7</v>
      </c>
      <c r="F130" s="33">
        <v>-12</v>
      </c>
      <c r="G130" s="34">
        <f t="shared" si="7"/>
        <v>21874.475000000002</v>
      </c>
      <c r="H130" s="43">
        <f>IFERROR(G130*E106,"")</f>
        <v>0</v>
      </c>
    </row>
    <row r="131" spans="1:11">
      <c r="A131" s="28"/>
      <c r="B131" s="29" t="s">
        <v>3626</v>
      </c>
      <c r="C131" s="30" t="str">
        <f>IFERROR(_xlfn.XLOOKUP(B131,Equipo[DESCRIPCION],Equipo[UND],,0),"")</f>
        <v>%MO</v>
      </c>
      <c r="D131" s="31">
        <v>0.05</v>
      </c>
      <c r="E131" s="32">
        <f>IF(C131="%MO",G135,IFERROR(_xlfn.XLOOKUP($B131,Equipo[DESCRIPCION],Equipo[VALOR],,0),""))</f>
        <v>73745.978605000011</v>
      </c>
      <c r="F131" s="33"/>
      <c r="G131" s="34">
        <f t="shared" si="7"/>
        <v>3687.2989302500009</v>
      </c>
      <c r="H131" s="43">
        <f>IFERROR(G131*E106,"")</f>
        <v>0</v>
      </c>
    </row>
    <row r="132" spans="1:11">
      <c r="A132" s="21"/>
      <c r="B132" s="22" t="s">
        <v>2533</v>
      </c>
      <c r="C132" s="23"/>
      <c r="D132" s="24"/>
      <c r="E132" s="25"/>
      <c r="F132" s="26"/>
      <c r="G132" s="27">
        <f>SUM(G133:G134)</f>
        <v>0</v>
      </c>
      <c r="H132" s="44">
        <f>G132*E106</f>
        <v>0</v>
      </c>
    </row>
    <row r="133" spans="1:11">
      <c r="A133" s="28"/>
      <c r="B133" s="29"/>
      <c r="C133" s="30" t="str">
        <f>IFERROR(_xlfn.XLOOKUP(B133,Transporte[DESCRIPCION],Transporte[UND],,0),"")</f>
        <v/>
      </c>
      <c r="D133" s="31"/>
      <c r="E133" s="32" t="str">
        <f>IFERROR(_xlfn.XLOOKUP($B133,Transporte[DESCRIPCION],Transporte[VALOR],,0),"")</f>
        <v/>
      </c>
      <c r="F133" s="33"/>
      <c r="G133" s="34" t="str">
        <f>IFERROR(IF(F133&gt;=0,D133*E133*(1+F133/100),ABS(D133*E133/F133)),"")</f>
        <v/>
      </c>
      <c r="H133" s="43" t="str">
        <f>IFERROR(G133*E106,"")</f>
        <v/>
      </c>
    </row>
    <row r="134" spans="1:11">
      <c r="A134" s="28"/>
      <c r="B134" s="29"/>
      <c r="C134" s="30" t="str">
        <f>IFERROR(_xlfn.XLOOKUP(B134,Transporte[DESCRIPCION],Transporte[UND],,0),"")</f>
        <v/>
      </c>
      <c r="D134" s="31"/>
      <c r="E134" s="32" t="str">
        <f>IFERROR(_xlfn.XLOOKUP($B134,Transporte[DESCRIPCION],Transporte[VALOR],,0),"")</f>
        <v/>
      </c>
      <c r="F134" s="33"/>
      <c r="G134" s="34" t="str">
        <f>IFERROR(IF(F134&gt;=0,D134*E134*(1+F134/100),ABS(D134*E134/F134)),"")</f>
        <v/>
      </c>
      <c r="H134" s="43" t="str">
        <f>IFERROR(G134*E106,"")</f>
        <v/>
      </c>
    </row>
    <row r="135" spans="1:11">
      <c r="A135" s="21"/>
      <c r="B135" s="22" t="s">
        <v>3732</v>
      </c>
      <c r="C135" s="23"/>
      <c r="D135" s="24"/>
      <c r="E135" s="25"/>
      <c r="F135" s="26"/>
      <c r="G135" s="27">
        <f>SUM(G136:G138)</f>
        <v>73745.978605000011</v>
      </c>
      <c r="H135" s="44">
        <f>G135*E106</f>
        <v>0</v>
      </c>
    </row>
    <row r="136" spans="1:11">
      <c r="A136" s="28"/>
      <c r="B136" s="29" t="s">
        <v>3713</v>
      </c>
      <c r="C136" s="30" t="str">
        <f>IFERROR(_xlfn.XLOOKUP(B136,MObra[DESCRIPCION],MObra[UN],,0),"")</f>
        <v>día</v>
      </c>
      <c r="D136" s="31">
        <v>1</v>
      </c>
      <c r="E136" s="32">
        <f>IFERROR(_xlfn.XLOOKUP($B136,MObra[DESCRIPCION],MObra[VALOR UNIT],,0),"")</f>
        <v>663713.80744500016</v>
      </c>
      <c r="F136" s="33">
        <v>-9</v>
      </c>
      <c r="G136" s="34">
        <f>IFERROR(IF(F136&gt;=0,D136*E136*(1+F136/100),ABS(D136*E136/F136)),"")</f>
        <v>73745.978605000011</v>
      </c>
      <c r="H136" s="43">
        <f>IFERROR(G136*E106,"")</f>
        <v>0</v>
      </c>
    </row>
    <row r="137" spans="1:11">
      <c r="A137" s="28"/>
      <c r="B137" s="29"/>
      <c r="C137" s="30" t="str">
        <f>IFERROR(_xlfn.XLOOKUP(B137,MObra[DESCRIPCION],MObra[UN],,0),"")</f>
        <v/>
      </c>
      <c r="D137" s="31"/>
      <c r="E137" s="32" t="str">
        <f>IFERROR(_xlfn.XLOOKUP($B137,MObra[DESCRIPCION],MObra[VALOR UNIT],,0),"")</f>
        <v/>
      </c>
      <c r="F137" s="33"/>
      <c r="G137" s="34" t="str">
        <f>IFERROR(IF(F137&gt;=0,D137*E137*(1+F137/100),ABS(D137*E137/F137)),"")</f>
        <v/>
      </c>
      <c r="H137" s="43" t="str">
        <f>IFERROR(G137*E106,"")</f>
        <v/>
      </c>
    </row>
    <row r="138" spans="1:11">
      <c r="A138" s="35"/>
      <c r="B138" s="36"/>
      <c r="C138" s="37" t="str">
        <f>IFERROR(_xlfn.XLOOKUP(B138,MObra[DESCRIPCION],MObra[UN],,0),"")</f>
        <v/>
      </c>
      <c r="D138" s="38"/>
      <c r="E138" s="39" t="str">
        <f>IFERROR(_xlfn.XLOOKUP($B138,MObra[DESCRIPCION],MObra[VALOR UNIT],,0),"")</f>
        <v/>
      </c>
      <c r="F138" s="40"/>
      <c r="G138" s="41" t="str">
        <f>IFERROR(IF(F138&gt;=0,D138*E138*(1+F138/100),ABS(D138*E138/F138)),"")</f>
        <v/>
      </c>
      <c r="H138" s="42" t="str">
        <f>IFERROR(G138*E106,"")</f>
        <v/>
      </c>
    </row>
    <row r="140" spans="1:11">
      <c r="A140" s="6" t="s">
        <v>1740</v>
      </c>
      <c r="B140" s="7" t="str">
        <f>VLOOKUP($A140,Presupuesto!$A:$D,2,FALSE())</f>
        <v>Anclaje activo cable 5/8" x 6 alta resistencia encamisado metalico o similar</v>
      </c>
      <c r="C140" s="8" t="str">
        <f>VLOOKUP($A140,Presupuesto!$A:$D,3,FALSE())</f>
        <v>M</v>
      </c>
      <c r="D140" s="9"/>
      <c r="E140" s="10">
        <f>VLOOKUP($A140,Presupuesto!$A:$D,4,FALSE())</f>
        <v>0</v>
      </c>
      <c r="F140" s="11" t="s">
        <v>2589</v>
      </c>
      <c r="G140" s="12">
        <f>SUM(G142:G173)/2</f>
        <v>690081.21813624725</v>
      </c>
      <c r="H140" s="13">
        <f>ROUND(SUM(H142:H173),0)/2</f>
        <v>0</v>
      </c>
      <c r="I140" s="10">
        <f>VLOOKUP(A140,Presupuesto!$A:$F,6,0)</f>
        <v>0</v>
      </c>
      <c r="J140" s="10">
        <f>+H140-I140</f>
        <v>0</v>
      </c>
      <c r="K140" s="46">
        <f>+H140-G140*E140</f>
        <v>0</v>
      </c>
    </row>
    <row r="141" spans="1:11">
      <c r="A141" s="14"/>
      <c r="B141" s="15" t="s">
        <v>2586</v>
      </c>
      <c r="C141" s="15" t="s">
        <v>5</v>
      </c>
      <c r="D141" s="16" t="s">
        <v>6</v>
      </c>
      <c r="E141" s="17" t="s">
        <v>7</v>
      </c>
      <c r="F141" s="18" t="s">
        <v>3728</v>
      </c>
      <c r="G141" s="19" t="s">
        <v>3729</v>
      </c>
      <c r="H141" s="20" t="s">
        <v>3797</v>
      </c>
    </row>
    <row r="142" spans="1:11">
      <c r="A142" s="21"/>
      <c r="B142" s="22" t="s">
        <v>3730</v>
      </c>
      <c r="C142" s="23"/>
      <c r="D142" s="24"/>
      <c r="E142" s="25"/>
      <c r="F142" s="26"/>
      <c r="G142" s="27">
        <f>SUM(G143:G158)</f>
        <v>385168.14000000007</v>
      </c>
      <c r="H142" s="27">
        <f>IFERROR(G142*E140,"")</f>
        <v>0</v>
      </c>
    </row>
    <row r="143" spans="1:11">
      <c r="A143" s="28"/>
      <c r="B143" s="29" t="s">
        <v>2699</v>
      </c>
      <c r="C143" s="30" t="str">
        <f>IFERROR(_xlfn.XLOOKUP(B143,Insumo[DESCRIPCION],Insumo[UND],,0),"")</f>
        <v>Kg</v>
      </c>
      <c r="D143" s="31">
        <v>0.2</v>
      </c>
      <c r="E143" s="32">
        <f>IFERROR(_xlfn.XLOOKUP($B143,Insumo[DESCRIPCION],Insumo[VALOR],,0),"")</f>
        <v>7665</v>
      </c>
      <c r="F143" s="33"/>
      <c r="G143" s="34">
        <f t="shared" ref="G143:G158" si="8">IFERROR(IF(F143&gt;=0,D143*E143*(1+F143/100),ABS(D143*E143/F143)),"")</f>
        <v>1533</v>
      </c>
      <c r="H143" s="43">
        <f>IFERROR(G143*E140,"")</f>
        <v>0</v>
      </c>
    </row>
    <row r="144" spans="1:11">
      <c r="A144" s="28"/>
      <c r="B144" s="29" t="s">
        <v>2779</v>
      </c>
      <c r="C144" s="30" t="str">
        <f>IFERROR(_xlfn.XLOOKUP(B144,Insumo[DESCRIPCION],Insumo[UND],,0),"")</f>
        <v>M</v>
      </c>
      <c r="D144" s="31">
        <v>6</v>
      </c>
      <c r="E144" s="32">
        <f>IFERROR(_xlfn.XLOOKUP($B144,Insumo[DESCRIPCION],Insumo[VALOR],,0),"")</f>
        <v>17049.900000000001</v>
      </c>
      <c r="F144" s="33">
        <v>30</v>
      </c>
      <c r="G144" s="34">
        <f t="shared" si="8"/>
        <v>132989.22000000003</v>
      </c>
      <c r="H144" s="43">
        <f>IFERROR(G144*E140,"")</f>
        <v>0</v>
      </c>
    </row>
    <row r="145" spans="1:8">
      <c r="A145" s="28"/>
      <c r="B145" s="29" t="s">
        <v>2906</v>
      </c>
      <c r="C145" s="30" t="str">
        <f>IFERROR(_xlfn.XLOOKUP(B145,Insumo[DESCRIPCION],Insumo[UND],,0),"")</f>
        <v>Un</v>
      </c>
      <c r="D145" s="31">
        <v>1</v>
      </c>
      <c r="E145" s="32">
        <f>IFERROR(_xlfn.XLOOKUP($B145,Insumo[DESCRIPCION],Insumo[VALOR],,0),"")</f>
        <v>23357.25</v>
      </c>
      <c r="F145" s="33"/>
      <c r="G145" s="34">
        <f t="shared" si="8"/>
        <v>23357.25</v>
      </c>
      <c r="H145" s="43">
        <f>IFERROR(G145*E140,"")</f>
        <v>0</v>
      </c>
    </row>
    <row r="146" spans="1:8">
      <c r="A146" s="28"/>
      <c r="B146" s="29" t="s">
        <v>3410</v>
      </c>
      <c r="C146" s="30" t="str">
        <f>IFERROR(_xlfn.XLOOKUP(B146,Insumo[DESCRIPCION],Insumo[UND],,0),"")</f>
        <v>Kg</v>
      </c>
      <c r="D146" s="31">
        <v>0.1</v>
      </c>
      <c r="E146" s="32">
        <f>IFERROR(_xlfn.XLOOKUP($B146,Insumo[DESCRIPCION],Insumo[VALOR],,0),"")</f>
        <v>103675.95000000001</v>
      </c>
      <c r="F146" s="33"/>
      <c r="G146" s="34">
        <f t="shared" si="8"/>
        <v>10367.595000000001</v>
      </c>
      <c r="H146" s="43">
        <f>IFERROR(G146*E140,"")</f>
        <v>0</v>
      </c>
    </row>
    <row r="147" spans="1:8">
      <c r="A147" s="28"/>
      <c r="B147" s="29" t="s">
        <v>3145</v>
      </c>
      <c r="C147" s="30" t="str">
        <f>IFERROR(_xlfn.XLOOKUP(B147,Insumo[DESCRIPCION],Insumo[UND],,0),"")</f>
        <v>M</v>
      </c>
      <c r="D147" s="31">
        <v>1</v>
      </c>
      <c r="E147" s="32">
        <f>IFERROR(_xlfn.XLOOKUP($B147,Insumo[DESCRIPCION],Insumo[VALOR],,0),"")</f>
        <v>36134.700000000004</v>
      </c>
      <c r="F147" s="33"/>
      <c r="G147" s="34">
        <f t="shared" si="8"/>
        <v>36134.700000000004</v>
      </c>
      <c r="H147" s="43">
        <f>IFERROR(G147*E140,"")</f>
        <v>0</v>
      </c>
    </row>
    <row r="148" spans="1:8">
      <c r="A148" s="28"/>
      <c r="B148" s="29" t="s">
        <v>3228</v>
      </c>
      <c r="C148" s="30" t="str">
        <f>IFERROR(_xlfn.XLOOKUP(B148,Insumo[DESCRIPCION],Insumo[UND],,0),"")</f>
        <v>Un</v>
      </c>
      <c r="D148" s="31">
        <v>0.1</v>
      </c>
      <c r="E148" s="32">
        <f>IFERROR(_xlfn.XLOOKUP($B148,Insumo[DESCRIPCION],Insumo[VALOR],,0),"")</f>
        <v>39331.950000000004</v>
      </c>
      <c r="F148" s="33"/>
      <c r="G148" s="34">
        <f t="shared" si="8"/>
        <v>3933.1950000000006</v>
      </c>
      <c r="H148" s="43">
        <f>IFERROR(G148*E140,"")</f>
        <v>0</v>
      </c>
    </row>
    <row r="149" spans="1:8">
      <c r="A149" s="28"/>
      <c r="B149" s="29" t="s">
        <v>3325</v>
      </c>
      <c r="C149" s="30" t="str">
        <f>IFERROR(_xlfn.XLOOKUP(B149,Insumo[DESCRIPCION],Insumo[UND],,0),"")</f>
        <v>M</v>
      </c>
      <c r="D149" s="31">
        <v>1</v>
      </c>
      <c r="E149" s="32">
        <f>IFERROR(_xlfn.XLOOKUP($B149,Insumo[DESCRIPCION],Insumo[VALOR],,0),"")</f>
        <v>90930</v>
      </c>
      <c r="F149" s="33"/>
      <c r="G149" s="34">
        <f t="shared" si="8"/>
        <v>90930</v>
      </c>
      <c r="H149" s="43">
        <f>IFERROR(G149*E140,"")</f>
        <v>0</v>
      </c>
    </row>
    <row r="150" spans="1:8">
      <c r="A150" s="28"/>
      <c r="B150" s="29" t="s">
        <v>3329</v>
      </c>
      <c r="C150" s="30" t="str">
        <f>IFERROR(_xlfn.XLOOKUP(B150,Insumo[DESCRIPCION],Insumo[UND],,0),"")</f>
        <v>Un</v>
      </c>
      <c r="D150" s="31">
        <v>0.2</v>
      </c>
      <c r="E150" s="32">
        <f>IFERROR(_xlfn.XLOOKUP($B150,Insumo[DESCRIPCION],Insumo[VALOR],,0),"")</f>
        <v>42424.200000000004</v>
      </c>
      <c r="F150" s="33"/>
      <c r="G150" s="34">
        <f t="shared" si="8"/>
        <v>8484.840000000002</v>
      </c>
      <c r="H150" s="43">
        <f>IFERROR(G150*E140,"")</f>
        <v>0</v>
      </c>
    </row>
    <row r="151" spans="1:8">
      <c r="A151" s="28"/>
      <c r="B151" s="29" t="s">
        <v>3046</v>
      </c>
      <c r="C151" s="30" t="str">
        <f>IFERROR(_xlfn.XLOOKUP(B151,Insumo[DESCRIPCION],Insumo[UND],,0),"")</f>
        <v>Un</v>
      </c>
      <c r="D151" s="31">
        <v>0.1</v>
      </c>
      <c r="E151" s="32">
        <f>IFERROR(_xlfn.XLOOKUP($B151,Insumo[DESCRIPCION],Insumo[VALOR],,0),"")</f>
        <v>62413.05</v>
      </c>
      <c r="F151" s="33"/>
      <c r="G151" s="34">
        <f t="shared" si="8"/>
        <v>6241.3050000000003</v>
      </c>
      <c r="H151" s="43">
        <f>IFERROR(G151*E140,"")</f>
        <v>0</v>
      </c>
    </row>
    <row r="152" spans="1:8">
      <c r="A152" s="28"/>
      <c r="B152" s="29" t="s">
        <v>3494</v>
      </c>
      <c r="C152" s="30" t="str">
        <f>IFERROR(_xlfn.XLOOKUP(B152,Insumo[DESCRIPCION],Insumo[UND],,0),"")</f>
        <v>M</v>
      </c>
      <c r="D152" s="31">
        <v>4</v>
      </c>
      <c r="E152" s="32">
        <f>IFERROR(_xlfn.XLOOKUP($B152,Insumo[DESCRIPCION],Insumo[VALOR],,0),"")</f>
        <v>11647.65</v>
      </c>
      <c r="F152" s="33"/>
      <c r="G152" s="34">
        <f t="shared" si="8"/>
        <v>46590.6</v>
      </c>
      <c r="H152" s="43">
        <f>IFERROR(G152*E140,"")</f>
        <v>0</v>
      </c>
    </row>
    <row r="153" spans="1:8">
      <c r="A153" s="28"/>
      <c r="B153" s="29" t="s">
        <v>2639</v>
      </c>
      <c r="C153" s="30" t="str">
        <f>IFERROR(_xlfn.XLOOKUP(B153,Insumo[DESCRIPCION],Insumo[UND],,0),"")</f>
        <v>Un</v>
      </c>
      <c r="D153" s="31">
        <v>0.5</v>
      </c>
      <c r="E153" s="32">
        <f>IFERROR(_xlfn.XLOOKUP($B153,Insumo[DESCRIPCION],Insumo[VALOR],,0),"")</f>
        <v>4688.25</v>
      </c>
      <c r="F153" s="33"/>
      <c r="G153" s="34">
        <f t="shared" si="8"/>
        <v>2344.125</v>
      </c>
      <c r="H153" s="43">
        <f>IFERROR(G153*E140,"")</f>
        <v>0</v>
      </c>
    </row>
    <row r="154" spans="1:8">
      <c r="A154" s="28"/>
      <c r="B154" s="29" t="s">
        <v>3294</v>
      </c>
      <c r="C154" s="30" t="str">
        <f>IFERROR(_xlfn.XLOOKUP(B154,Insumo[DESCRIPCION],Insumo[UND],,0),"")</f>
        <v>Un</v>
      </c>
      <c r="D154" s="31">
        <v>1</v>
      </c>
      <c r="E154" s="32">
        <f>IFERROR(_xlfn.XLOOKUP($B154,Insumo[DESCRIPCION],Insumo[VALOR],,0),"")</f>
        <v>3891.3</v>
      </c>
      <c r="F154" s="33"/>
      <c r="G154" s="34">
        <f t="shared" si="8"/>
        <v>3891.3</v>
      </c>
      <c r="H154" s="43">
        <f>IFERROR(G154*E140,"")</f>
        <v>0</v>
      </c>
    </row>
    <row r="155" spans="1:8">
      <c r="A155" s="28"/>
      <c r="B155" s="29" t="s">
        <v>3144</v>
      </c>
      <c r="C155" s="30" t="str">
        <f>IFERROR(_xlfn.XLOOKUP(B155,Insumo[DESCRIPCION],Insumo[UND],,0),"")</f>
        <v>M</v>
      </c>
      <c r="D155" s="31">
        <v>4</v>
      </c>
      <c r="E155" s="32">
        <f>IFERROR(_xlfn.XLOOKUP($B155,Insumo[DESCRIPCION],Insumo[VALOR],,0),"")</f>
        <v>1716.75</v>
      </c>
      <c r="F155" s="33"/>
      <c r="G155" s="34">
        <f t="shared" si="8"/>
        <v>6867</v>
      </c>
      <c r="H155" s="43">
        <f>IFERROR(G155*E140,"")</f>
        <v>0</v>
      </c>
    </row>
    <row r="156" spans="1:8">
      <c r="A156" s="28"/>
      <c r="B156" s="29" t="s">
        <v>2824</v>
      </c>
      <c r="C156" s="30" t="str">
        <f>IFERROR(_xlfn.XLOOKUP(B156,Insumo[DESCRIPCION],Insumo[UND],,0),"")</f>
        <v>Un</v>
      </c>
      <c r="D156" s="31">
        <f>4/50</f>
        <v>0.08</v>
      </c>
      <c r="E156" s="32">
        <f>IFERROR(_xlfn.XLOOKUP($B156,Insumo[DESCRIPCION],Insumo[VALOR],,0),"")</f>
        <v>34230</v>
      </c>
      <c r="F156" s="33"/>
      <c r="G156" s="34">
        <f t="shared" si="8"/>
        <v>2738.4</v>
      </c>
      <c r="H156" s="43">
        <f>IFERROR(G156*E140,"")</f>
        <v>0</v>
      </c>
    </row>
    <row r="157" spans="1:8">
      <c r="A157" s="28"/>
      <c r="B157" s="29" t="s">
        <v>2685</v>
      </c>
      <c r="C157" s="30" t="str">
        <f>IFERROR(_xlfn.XLOOKUP(B157,Insumo[DESCRIPCION],Insumo[UND],,0),"")</f>
        <v>Lt</v>
      </c>
      <c r="D157" s="31">
        <v>200</v>
      </c>
      <c r="E157" s="32">
        <f>IFERROR(_xlfn.XLOOKUP($B157,Insumo[DESCRIPCION],Insumo[VALOR],,0),"")</f>
        <v>27.3</v>
      </c>
      <c r="F157" s="33"/>
      <c r="G157" s="34">
        <f t="shared" si="8"/>
        <v>5460</v>
      </c>
      <c r="H157" s="43">
        <f>IFERROR(G157*E140,"")</f>
        <v>0</v>
      </c>
    </row>
    <row r="158" spans="1:8">
      <c r="A158" s="28"/>
      <c r="B158" s="29" t="s">
        <v>3312</v>
      </c>
      <c r="C158" s="30" t="str">
        <f>IFERROR(_xlfn.XLOOKUP(B158,Insumo[DESCRIPCION],Insumo[UND],,0),"")</f>
        <v>Kg</v>
      </c>
      <c r="D158" s="31">
        <v>0.2</v>
      </c>
      <c r="E158" s="32">
        <f>IFERROR(_xlfn.XLOOKUP($B158,Insumo[DESCRIPCION],Insumo[VALOR],,0),"")</f>
        <v>16528.05</v>
      </c>
      <c r="F158" s="33"/>
      <c r="G158" s="34">
        <f t="shared" si="8"/>
        <v>3305.61</v>
      </c>
      <c r="H158" s="43">
        <f>IFERROR(G158*E140,"")</f>
        <v>0</v>
      </c>
    </row>
    <row r="159" spans="1:8">
      <c r="A159" s="21"/>
      <c r="B159" s="22" t="s">
        <v>3731</v>
      </c>
      <c r="C159" s="23"/>
      <c r="D159" s="24"/>
      <c r="E159" s="25"/>
      <c r="F159" s="26"/>
      <c r="G159" s="27">
        <f>SUM(G160:G166)</f>
        <v>221948.85220562216</v>
      </c>
      <c r="H159" s="44">
        <f>G159*E140</f>
        <v>0</v>
      </c>
    </row>
    <row r="160" spans="1:8">
      <c r="A160" s="28"/>
      <c r="B160" s="29" t="s">
        <v>3597</v>
      </c>
      <c r="C160" s="30" t="str">
        <f>IFERROR(_xlfn.XLOOKUP(B160,Equipo[DESCRIPCION],Equipo[UND],,0),"")</f>
        <v>Hr</v>
      </c>
      <c r="D160" s="31">
        <v>1</v>
      </c>
      <c r="E160" s="32">
        <f>IF(C160="%MO",G170,IFERROR(_xlfn.XLOOKUP($B160,Equipo[DESCRIPCION],Equipo[VALOR],,0),""))</f>
        <v>140649.60000000001</v>
      </c>
      <c r="F160" s="33">
        <v>-11</v>
      </c>
      <c r="G160" s="34">
        <f t="shared" ref="G160:G166" si="9">IFERROR(IF(F160&gt;=0,D160*E160*(1+F160/100),ABS(D160*E160/F160)),"")</f>
        <v>12786.327272727272</v>
      </c>
      <c r="H160" s="43">
        <f>IFERROR(G160*E140,"")</f>
        <v>0</v>
      </c>
    </row>
    <row r="161" spans="1:11">
      <c r="A161" s="28"/>
      <c r="B161" s="29" t="s">
        <v>3637</v>
      </c>
      <c r="C161" s="30" t="str">
        <f>IFERROR(_xlfn.XLOOKUP(B161,Equipo[DESCRIPCION],Equipo[UND],,0),"")</f>
        <v>Día</v>
      </c>
      <c r="D161" s="31">
        <v>1</v>
      </c>
      <c r="E161" s="32">
        <f>IF(C161="%MO",G170,IFERROR(_xlfn.XLOOKUP($B161,Equipo[DESCRIPCION],Equipo[VALOR],,0),""))</f>
        <v>119198.1</v>
      </c>
      <c r="F161" s="33">
        <v>-11</v>
      </c>
      <c r="G161" s="34">
        <f t="shared" si="9"/>
        <v>10836.19090909091</v>
      </c>
      <c r="H161" s="43">
        <f>IFERROR(G161*E140,"")</f>
        <v>0</v>
      </c>
    </row>
    <row r="162" spans="1:11">
      <c r="A162" s="28"/>
      <c r="B162" s="29" t="s">
        <v>3581</v>
      </c>
      <c r="C162" s="30" t="str">
        <f>IFERROR(_xlfn.XLOOKUP(B162,Equipo[DESCRIPCION],Equipo[UND],,0),"")</f>
        <v>Hr</v>
      </c>
      <c r="D162" s="31">
        <v>1</v>
      </c>
      <c r="E162" s="32">
        <f>IF(C162="%MO",G170,IFERROR(_xlfn.XLOOKUP($B162,Equipo[DESCRIPCION],Equipo[VALOR],,0),""))</f>
        <v>90174</v>
      </c>
      <c r="F162" s="33">
        <v>-11</v>
      </c>
      <c r="G162" s="34">
        <f t="shared" si="9"/>
        <v>8197.636363636364</v>
      </c>
      <c r="H162" s="43">
        <f>IFERROR(G162*E140,"")</f>
        <v>0</v>
      </c>
    </row>
    <row r="163" spans="1:11">
      <c r="A163" s="28"/>
      <c r="B163" s="29" t="s">
        <v>3608</v>
      </c>
      <c r="C163" s="30" t="str">
        <f>IFERROR(_xlfn.XLOOKUP(B163,Equipo[DESCRIPCION],Equipo[UND],,0),"")</f>
        <v>Hr</v>
      </c>
      <c r="D163" s="31">
        <v>1</v>
      </c>
      <c r="E163" s="32">
        <f>IF(C163="%MO",G170,IFERROR(_xlfn.XLOOKUP($B163,Equipo[DESCRIPCION],Equipo[VALOR],,0),""))</f>
        <v>721591.5</v>
      </c>
      <c r="F163" s="33">
        <v>-5</v>
      </c>
      <c r="G163" s="34">
        <f t="shared" si="9"/>
        <v>144318.29999999999</v>
      </c>
      <c r="H163" s="43">
        <f>IFERROR(G163*E140,"")</f>
        <v>0</v>
      </c>
    </row>
    <row r="164" spans="1:11">
      <c r="A164" s="28"/>
      <c r="B164" s="29" t="s">
        <v>3621</v>
      </c>
      <c r="C164" s="30" t="str">
        <f>IFERROR(_xlfn.XLOOKUP(B164,Equipo[DESCRIPCION],Equipo[UND],,0),"")</f>
        <v>Hr</v>
      </c>
      <c r="D164" s="31">
        <v>1</v>
      </c>
      <c r="E164" s="32">
        <f>IF(C164="%MO",G170,IFERROR(_xlfn.XLOOKUP($B164,Equipo[DESCRIPCION],Equipo[VALOR],,0),""))</f>
        <v>195790.35</v>
      </c>
      <c r="F164" s="33">
        <v>-11</v>
      </c>
      <c r="G164" s="34">
        <f t="shared" si="9"/>
        <v>17799.122727272726</v>
      </c>
      <c r="H164" s="43">
        <f>IFERROR(G164*E140,"")</f>
        <v>0</v>
      </c>
    </row>
    <row r="165" spans="1:11">
      <c r="A165" s="28"/>
      <c r="B165" s="29" t="s">
        <v>3628</v>
      </c>
      <c r="C165" s="30" t="str">
        <f>IFERROR(_xlfn.XLOOKUP(B165,Equipo[DESCRIPCION],Equipo[UND],,0),"")</f>
        <v>Día</v>
      </c>
      <c r="D165" s="31">
        <v>1</v>
      </c>
      <c r="E165" s="32">
        <f>IF(C165="%MO",G170,IFERROR(_xlfn.XLOOKUP($B165,Equipo[DESCRIPCION],Equipo[VALOR],,0),""))</f>
        <v>262493.7</v>
      </c>
      <c r="F165" s="33">
        <v>-11</v>
      </c>
      <c r="G165" s="34">
        <f t="shared" si="9"/>
        <v>23863.063636363637</v>
      </c>
      <c r="H165" s="43">
        <f>IFERROR(G165*E140,"")</f>
        <v>0</v>
      </c>
    </row>
    <row r="166" spans="1:11">
      <c r="A166" s="28"/>
      <c r="B166" s="29" t="s">
        <v>3626</v>
      </c>
      <c r="C166" s="30" t="str">
        <f>IFERROR(_xlfn.XLOOKUP(B166,Equipo[DESCRIPCION],Equipo[UND],,0),"")</f>
        <v>%MO</v>
      </c>
      <c r="D166" s="31">
        <v>0.05</v>
      </c>
      <c r="E166" s="32">
        <f>IF(C166="%MO",G170,IFERROR(_xlfn.XLOOKUP($B166,Equipo[DESCRIPCION],Equipo[VALOR],,0),""))</f>
        <v>82964.22593062502</v>
      </c>
      <c r="F166" s="33"/>
      <c r="G166" s="34">
        <f t="shared" si="9"/>
        <v>4148.2112965312508</v>
      </c>
      <c r="H166" s="43">
        <f>IFERROR(G166*E140,"")</f>
        <v>0</v>
      </c>
    </row>
    <row r="167" spans="1:11">
      <c r="A167" s="21"/>
      <c r="B167" s="22" t="s">
        <v>2533</v>
      </c>
      <c r="C167" s="23"/>
      <c r="D167" s="24"/>
      <c r="E167" s="25"/>
      <c r="F167" s="26"/>
      <c r="G167" s="27">
        <f>SUM(G168:G169)</f>
        <v>0</v>
      </c>
      <c r="H167" s="44">
        <f>G167*E140</f>
        <v>0</v>
      </c>
    </row>
    <row r="168" spans="1:11">
      <c r="A168" s="28"/>
      <c r="B168" s="29"/>
      <c r="C168" s="30" t="str">
        <f>IFERROR(_xlfn.XLOOKUP(B168,Transporte[DESCRIPCION],Transporte[UND],,0),"")</f>
        <v/>
      </c>
      <c r="D168" s="31"/>
      <c r="E168" s="32" t="str">
        <f>IFERROR(_xlfn.XLOOKUP($B168,Transporte[DESCRIPCION],Transporte[VALOR],,0),"")</f>
        <v/>
      </c>
      <c r="F168" s="33"/>
      <c r="G168" s="34" t="str">
        <f>IFERROR(IF(F168&gt;=0,D168*E168*(1+F168/100),ABS(D168*E168/F168)),"")</f>
        <v/>
      </c>
      <c r="H168" s="43" t="str">
        <f>IFERROR(G168*E140,"")</f>
        <v/>
      </c>
    </row>
    <row r="169" spans="1:11">
      <c r="A169" s="28"/>
      <c r="B169" s="29"/>
      <c r="C169" s="30" t="str">
        <f>IFERROR(_xlfn.XLOOKUP(B169,Transporte[DESCRIPCION],Transporte[UND],,0),"")</f>
        <v/>
      </c>
      <c r="D169" s="31"/>
      <c r="E169" s="32" t="str">
        <f>IFERROR(_xlfn.XLOOKUP($B169,Transporte[DESCRIPCION],Transporte[VALOR],,0),"")</f>
        <v/>
      </c>
      <c r="F169" s="33"/>
      <c r="G169" s="34" t="str">
        <f>IFERROR(IF(F169&gt;=0,D169*E169*(1+F169/100),ABS(D169*E169/F169)),"")</f>
        <v/>
      </c>
      <c r="H169" s="43" t="str">
        <f>IFERROR(G169*E140,"")</f>
        <v/>
      </c>
    </row>
    <row r="170" spans="1:11">
      <c r="A170" s="21"/>
      <c r="B170" s="22" t="s">
        <v>3732</v>
      </c>
      <c r="C170" s="23"/>
      <c r="D170" s="24"/>
      <c r="E170" s="25"/>
      <c r="F170" s="26"/>
      <c r="G170" s="27">
        <f>SUM(G171:G173)</f>
        <v>82964.22593062502</v>
      </c>
      <c r="H170" s="44">
        <f>G170*E140</f>
        <v>0</v>
      </c>
    </row>
    <row r="171" spans="1:11">
      <c r="A171" s="28"/>
      <c r="B171" s="29" t="s">
        <v>3713</v>
      </c>
      <c r="C171" s="30" t="str">
        <f>IFERROR(_xlfn.XLOOKUP(B171,MObra[DESCRIPCION],MObra[UN],,0),"")</f>
        <v>día</v>
      </c>
      <c r="D171" s="31">
        <v>1</v>
      </c>
      <c r="E171" s="32">
        <f>IFERROR(_xlfn.XLOOKUP($B171,MObra[DESCRIPCION],MObra[VALOR UNIT],,0),"")</f>
        <v>663713.80744500016</v>
      </c>
      <c r="F171" s="33">
        <v>-8</v>
      </c>
      <c r="G171" s="34">
        <f>IFERROR(IF(F171&gt;=0,D171*E171*(1+F171/100),ABS(D171*E171/F171)),"")</f>
        <v>82964.22593062502</v>
      </c>
      <c r="H171" s="43">
        <f>IFERROR(G171*E140,"")</f>
        <v>0</v>
      </c>
    </row>
    <row r="172" spans="1:11">
      <c r="A172" s="28"/>
      <c r="B172" s="29"/>
      <c r="C172" s="30" t="str">
        <f>IFERROR(_xlfn.XLOOKUP(B172,MObra[DESCRIPCION],MObra[UN],,0),"")</f>
        <v/>
      </c>
      <c r="D172" s="31"/>
      <c r="E172" s="32" t="str">
        <f>IFERROR(_xlfn.XLOOKUP($B172,MObra[DESCRIPCION],MObra[VALOR UNIT],,0),"")</f>
        <v/>
      </c>
      <c r="F172" s="33"/>
      <c r="G172" s="34" t="str">
        <f>IFERROR(IF(F172&gt;=0,D172*E172*(1+F172/100),ABS(D172*E172/F172)),"")</f>
        <v/>
      </c>
      <c r="H172" s="43" t="str">
        <f>IFERROR(G172*E140,"")</f>
        <v/>
      </c>
    </row>
    <row r="173" spans="1:11">
      <c r="A173" s="35"/>
      <c r="B173" s="36"/>
      <c r="C173" s="37" t="str">
        <f>IFERROR(_xlfn.XLOOKUP(B173,MObra[DESCRIPCION],MObra[UN],,0),"")</f>
        <v/>
      </c>
      <c r="D173" s="38"/>
      <c r="E173" s="39" t="str">
        <f>IFERROR(_xlfn.XLOOKUP($B173,MObra[DESCRIPCION],MObra[VALOR UNIT],,0),"")</f>
        <v/>
      </c>
      <c r="F173" s="40"/>
      <c r="G173" s="41" t="str">
        <f>IFERROR(IF(F173&gt;=0,D173*E173*(1+F173/100),ABS(D173*E173/F173)),"")</f>
        <v/>
      </c>
      <c r="H173" s="42" t="str">
        <f>IFERROR(G173*E140,"")</f>
        <v/>
      </c>
    </row>
    <row r="175" spans="1:11">
      <c r="A175" s="6" t="s">
        <v>1742</v>
      </c>
      <c r="B175" s="7" t="str">
        <f>VLOOKUP($A175,Presupuesto!$A:$D,2,FALSE())</f>
        <v>Anclaje pantalla conglomerado Ø&lt;=0.15m + Grouting</v>
      </c>
      <c r="C175" s="8" t="str">
        <f>VLOOKUP($A175,Presupuesto!$A:$D,3,FALSE())</f>
        <v>M</v>
      </c>
      <c r="D175" s="9"/>
      <c r="E175" s="10">
        <f>VLOOKUP($A175,Presupuesto!$A:$D,4,FALSE())</f>
        <v>0</v>
      </c>
      <c r="F175" s="11" t="s">
        <v>2589</v>
      </c>
      <c r="G175" s="12">
        <f>SUM(G177:G193)/2</f>
        <v>254058.13922715624</v>
      </c>
      <c r="H175" s="13">
        <f>ROUND(SUM(H177:H193),0)/2</f>
        <v>0</v>
      </c>
      <c r="I175" s="10">
        <f>VLOOKUP(A175,Presupuesto!$A:$F,6,0)</f>
        <v>0</v>
      </c>
      <c r="J175" s="10">
        <f>+H175-I175</f>
        <v>0</v>
      </c>
      <c r="K175" s="46">
        <f>+H175-G175*E175</f>
        <v>0</v>
      </c>
    </row>
    <row r="176" spans="1:11">
      <c r="A176" s="14"/>
      <c r="B176" s="15" t="s">
        <v>2586</v>
      </c>
      <c r="C176" s="15" t="s">
        <v>5</v>
      </c>
      <c r="D176" s="16" t="s">
        <v>6</v>
      </c>
      <c r="E176" s="17" t="s">
        <v>7</v>
      </c>
      <c r="F176" s="18" t="s">
        <v>3728</v>
      </c>
      <c r="G176" s="19" t="s">
        <v>3729</v>
      </c>
      <c r="H176" s="20" t="s">
        <v>3797</v>
      </c>
    </row>
    <row r="177" spans="1:8">
      <c r="A177" s="21"/>
      <c r="B177" s="22" t="s">
        <v>3730</v>
      </c>
      <c r="C177" s="23"/>
      <c r="D177" s="24"/>
      <c r="E177" s="25"/>
      <c r="F177" s="26"/>
      <c r="G177" s="27">
        <f>SUM(G178:G182)</f>
        <v>15395.310000000001</v>
      </c>
      <c r="H177" s="27">
        <f>IFERROR(G177*E175,"")</f>
        <v>0</v>
      </c>
    </row>
    <row r="178" spans="1:8">
      <c r="A178" s="28"/>
      <c r="B178" s="29" t="s">
        <v>2824</v>
      </c>
      <c r="C178" s="30" t="str">
        <f>IFERROR(_xlfn.XLOOKUP(B178,Insumo[DESCRIPCION],Insumo[UND],,0),"")</f>
        <v>Un</v>
      </c>
      <c r="D178" s="31">
        <f>4/50</f>
        <v>0.08</v>
      </c>
      <c r="E178" s="32">
        <f>IFERROR(_xlfn.XLOOKUP($B178,Insumo[DESCRIPCION],Insumo[VALOR],,0),"")</f>
        <v>34230</v>
      </c>
      <c r="F178" s="33"/>
      <c r="G178" s="34">
        <f>IFERROR(IF(F178&gt;=0,D178*E178*(1+F178/100),ABS(D178*E178/F178)),"")</f>
        <v>2738.4</v>
      </c>
      <c r="H178" s="43">
        <f>IFERROR(G178*E175,"")</f>
        <v>0</v>
      </c>
    </row>
    <row r="179" spans="1:8">
      <c r="A179" s="28"/>
      <c r="B179" s="29" t="s">
        <v>2685</v>
      </c>
      <c r="C179" s="30" t="str">
        <f>IFERROR(_xlfn.XLOOKUP(B179,Insumo[DESCRIPCION],Insumo[UND],,0),"")</f>
        <v>Lt</v>
      </c>
      <c r="D179" s="31">
        <v>200</v>
      </c>
      <c r="E179" s="32">
        <f>IFERROR(_xlfn.XLOOKUP($B179,Insumo[DESCRIPCION],Insumo[VALOR],,0),"")</f>
        <v>27.3</v>
      </c>
      <c r="F179" s="33"/>
      <c r="G179" s="34">
        <f>IFERROR(IF(F179&gt;=0,D179*E179*(1+F179/100),ABS(D179*E179/F179)),"")</f>
        <v>5460</v>
      </c>
      <c r="H179" s="43">
        <f>IFERROR(G179*E175,"")</f>
        <v>0</v>
      </c>
    </row>
    <row r="180" spans="1:8">
      <c r="A180" s="28"/>
      <c r="B180" s="29" t="s">
        <v>3312</v>
      </c>
      <c r="C180" s="30" t="str">
        <f>IFERROR(_xlfn.XLOOKUP(B180,Insumo[DESCRIPCION],Insumo[UND],,0),"")</f>
        <v>Kg</v>
      </c>
      <c r="D180" s="31">
        <v>0.2</v>
      </c>
      <c r="E180" s="32">
        <f>IFERROR(_xlfn.XLOOKUP($B180,Insumo[DESCRIPCION],Insumo[VALOR],,0),"")</f>
        <v>16528.05</v>
      </c>
      <c r="F180" s="33"/>
      <c r="G180" s="34">
        <f>IFERROR(IF(F180&gt;=0,D180*E180*(1+F180/100),ABS(D180*E180/F180)),"")</f>
        <v>3305.61</v>
      </c>
      <c r="H180" s="43">
        <f>IFERROR(G180*E175,"")</f>
        <v>0</v>
      </c>
    </row>
    <row r="181" spans="1:8">
      <c r="A181" s="28"/>
      <c r="B181" s="29" t="s">
        <v>3294</v>
      </c>
      <c r="C181" s="30" t="str">
        <f>IFERROR(_xlfn.XLOOKUP(B181,Insumo[DESCRIPCION],Insumo[UND],,0),"")</f>
        <v>Un</v>
      </c>
      <c r="D181" s="31">
        <v>1</v>
      </c>
      <c r="E181" s="32">
        <f>IFERROR(_xlfn.XLOOKUP($B181,Insumo[DESCRIPCION],Insumo[VALOR],,0),"")</f>
        <v>3891.3</v>
      </c>
      <c r="F181" s="33"/>
      <c r="G181" s="34">
        <f>IFERROR(IF(F181&gt;=0,D181*E181*(1+F181/100),ABS(D181*E181/F181)),"")</f>
        <v>3891.3</v>
      </c>
      <c r="H181" s="43">
        <f>IFERROR(G181*E175,"")</f>
        <v>0</v>
      </c>
    </row>
    <row r="182" spans="1:8">
      <c r="A182" s="28"/>
      <c r="B182" s="29"/>
      <c r="C182" s="30" t="str">
        <f>IFERROR(_xlfn.XLOOKUP(B182,Insumo[DESCRIPCION],Insumo[UND],,0),"")</f>
        <v/>
      </c>
      <c r="D182" s="31"/>
      <c r="E182" s="32" t="str">
        <f>IFERROR(_xlfn.XLOOKUP($B182,Insumo[DESCRIPCION],Insumo[VALOR],,0),"")</f>
        <v/>
      </c>
      <c r="F182" s="33"/>
      <c r="G182" s="34" t="str">
        <f>IFERROR(IF(F182&gt;=0,D182*E182*(1+F182/100),ABS(D182*E182/F182)),"")</f>
        <v/>
      </c>
      <c r="H182" s="43" t="str">
        <f>IFERROR(G182*E175,"")</f>
        <v/>
      </c>
    </row>
    <row r="183" spans="1:8">
      <c r="A183" s="21"/>
      <c r="B183" s="22" t="s">
        <v>3731</v>
      </c>
      <c r="C183" s="23"/>
      <c r="D183" s="24"/>
      <c r="E183" s="25"/>
      <c r="F183" s="26"/>
      <c r="G183" s="27">
        <f>SUM(G184:G186)</f>
        <v>155698.60329653125</v>
      </c>
      <c r="H183" s="44">
        <f>G183*E175</f>
        <v>0</v>
      </c>
    </row>
    <row r="184" spans="1:8">
      <c r="A184" s="28"/>
      <c r="B184" s="29" t="s">
        <v>3579</v>
      </c>
      <c r="C184" s="30" t="str">
        <f>IFERROR(_xlfn.XLOOKUP(B184,Equipo[DESCRIPCION],Equipo[UND],,0),"")</f>
        <v>Día</v>
      </c>
      <c r="D184" s="31">
        <v>1</v>
      </c>
      <c r="E184" s="32">
        <f>IF(C184="%MO",G190,IFERROR(_xlfn.XLOOKUP($B184,Equipo[DESCRIPCION],Equipo[VALOR],,0),""))</f>
        <v>210276.15000000002</v>
      </c>
      <c r="F184" s="33">
        <v>-1.5</v>
      </c>
      <c r="G184" s="34">
        <f>IFERROR(IF(F184&gt;=0,D184*E184*(1+F184/100),ABS(D184*E184/F184)),"")</f>
        <v>140184.1</v>
      </c>
      <c r="H184" s="43">
        <f>IFERROR(G184*E175,"")</f>
        <v>0</v>
      </c>
    </row>
    <row r="185" spans="1:8">
      <c r="A185" s="28"/>
      <c r="B185" s="29" t="s">
        <v>3575</v>
      </c>
      <c r="C185" s="30" t="str">
        <f>IFERROR(_xlfn.XLOOKUP(B185,Equipo[DESCRIPCION],Equipo[UND],,0),"")</f>
        <v>Día</v>
      </c>
      <c r="D185" s="31">
        <v>1</v>
      </c>
      <c r="E185" s="32">
        <f>IF(C185="%MO",G190,IFERROR(_xlfn.XLOOKUP($B185,Equipo[DESCRIPCION],Equipo[VALOR],,0),""))</f>
        <v>142078.65</v>
      </c>
      <c r="F185" s="33">
        <v>-12.5</v>
      </c>
      <c r="G185" s="34">
        <f>IFERROR(IF(F185&gt;=0,D185*E185*(1+F185/100),ABS(D185*E185/F185)),"")</f>
        <v>11366.291999999999</v>
      </c>
      <c r="H185" s="43">
        <f>IFERROR(G185*E175,"")</f>
        <v>0</v>
      </c>
    </row>
    <row r="186" spans="1:8">
      <c r="A186" s="28"/>
      <c r="B186" s="29" t="s">
        <v>3626</v>
      </c>
      <c r="C186" s="30" t="str">
        <f>IFERROR(_xlfn.XLOOKUP(B186,Equipo[DESCRIPCION],Equipo[UND],,0),"")</f>
        <v>%MO</v>
      </c>
      <c r="D186" s="31">
        <v>0.05</v>
      </c>
      <c r="E186" s="32">
        <f>IF(C186="%MO",G190,IFERROR(_xlfn.XLOOKUP($B186,Equipo[DESCRIPCION],Equipo[VALOR],,0),""))</f>
        <v>82964.22593062502</v>
      </c>
      <c r="F186" s="33"/>
      <c r="G186" s="34">
        <f>IFERROR(IF(F186&gt;=0,D186*E186*(1+F186/100),ABS(D186*E186/F186)),"")</f>
        <v>4148.2112965312508</v>
      </c>
      <c r="H186" s="43">
        <f>IFERROR(G186*E175,"")</f>
        <v>0</v>
      </c>
    </row>
    <row r="187" spans="1:8">
      <c r="A187" s="21"/>
      <c r="B187" s="22" t="s">
        <v>2533</v>
      </c>
      <c r="C187" s="23"/>
      <c r="D187" s="24"/>
      <c r="E187" s="25"/>
      <c r="F187" s="26"/>
      <c r="G187" s="27">
        <f>SUM(G188:G189)</f>
        <v>0</v>
      </c>
      <c r="H187" s="44">
        <f>G187*E175</f>
        <v>0</v>
      </c>
    </row>
    <row r="188" spans="1:8">
      <c r="A188" s="28"/>
      <c r="B188" s="29"/>
      <c r="C188" s="30" t="str">
        <f>IFERROR(_xlfn.XLOOKUP(B188,Transporte[DESCRIPCION],Transporte[UND],,0),"")</f>
        <v/>
      </c>
      <c r="D188" s="31"/>
      <c r="E188" s="32" t="str">
        <f>IFERROR(_xlfn.XLOOKUP($B188,Transporte[DESCRIPCION],Transporte[VALOR],,0),"")</f>
        <v/>
      </c>
      <c r="F188" s="33"/>
      <c r="G188" s="34" t="str">
        <f>IFERROR(IF(F188&gt;=0,D188*E188*(1+F188/100),ABS(D188*E188/F188)),"")</f>
        <v/>
      </c>
      <c r="H188" s="43" t="str">
        <f>IFERROR(G188*E175,"")</f>
        <v/>
      </c>
    </row>
    <row r="189" spans="1:8">
      <c r="A189" s="28"/>
      <c r="B189" s="29"/>
      <c r="C189" s="30" t="str">
        <f>IFERROR(_xlfn.XLOOKUP(B189,Transporte[DESCRIPCION],Transporte[UND],,0),"")</f>
        <v/>
      </c>
      <c r="D189" s="31"/>
      <c r="E189" s="32" t="str">
        <f>IFERROR(_xlfn.XLOOKUP($B189,Transporte[DESCRIPCION],Transporte[VALOR],,0),"")</f>
        <v/>
      </c>
      <c r="F189" s="33"/>
      <c r="G189" s="34" t="str">
        <f>IFERROR(IF(F189&gt;=0,D189*E189*(1+F189/100),ABS(D189*E189/F189)),"")</f>
        <v/>
      </c>
      <c r="H189" s="43" t="str">
        <f>IFERROR(G189*E175,"")</f>
        <v/>
      </c>
    </row>
    <row r="190" spans="1:8">
      <c r="A190" s="21"/>
      <c r="B190" s="22" t="s">
        <v>3732</v>
      </c>
      <c r="C190" s="23"/>
      <c r="D190" s="24"/>
      <c r="E190" s="25"/>
      <c r="F190" s="26"/>
      <c r="G190" s="27">
        <f>SUM(G191:G193)</f>
        <v>82964.22593062502</v>
      </c>
      <c r="H190" s="44">
        <f>G190*E175</f>
        <v>0</v>
      </c>
    </row>
    <row r="191" spans="1:8">
      <c r="A191" s="28"/>
      <c r="B191" s="29" t="s">
        <v>3713</v>
      </c>
      <c r="C191" s="30" t="str">
        <f>IFERROR(_xlfn.XLOOKUP(B191,MObra[DESCRIPCION],MObra[UN],,0),"")</f>
        <v>día</v>
      </c>
      <c r="D191" s="31">
        <v>1</v>
      </c>
      <c r="E191" s="32">
        <f>IFERROR(_xlfn.XLOOKUP($B191,MObra[DESCRIPCION],MObra[VALOR UNIT],,0),"")</f>
        <v>663713.80744500016</v>
      </c>
      <c r="F191" s="33">
        <v>-8</v>
      </c>
      <c r="G191" s="34">
        <f>IFERROR(IF(F191&gt;=0,D191*E191*(1+F191/100),ABS(D191*E191/F191)),"")</f>
        <v>82964.22593062502</v>
      </c>
      <c r="H191" s="43">
        <f>IFERROR(G191*E175,"")</f>
        <v>0</v>
      </c>
    </row>
    <row r="192" spans="1:8">
      <c r="A192" s="28"/>
      <c r="B192" s="29"/>
      <c r="C192" s="30" t="str">
        <f>IFERROR(_xlfn.XLOOKUP(B192,MObra[DESCRIPCION],MObra[UN],,0),"")</f>
        <v/>
      </c>
      <c r="D192" s="31"/>
      <c r="E192" s="32" t="str">
        <f>IFERROR(_xlfn.XLOOKUP($B192,MObra[DESCRIPCION],MObra[VALOR UNIT],,0),"")</f>
        <v/>
      </c>
      <c r="F192" s="33"/>
      <c r="G192" s="34" t="str">
        <f>IFERROR(IF(F192&gt;=0,D192*E192*(1+F192/100),ABS(D192*E192/F192)),"")</f>
        <v/>
      </c>
      <c r="H192" s="43" t="str">
        <f>IFERROR(G192*E175,"")</f>
        <v/>
      </c>
    </row>
    <row r="193" spans="1:11">
      <c r="A193" s="35"/>
      <c r="B193" s="36"/>
      <c r="C193" s="37" t="str">
        <f>IFERROR(_xlfn.XLOOKUP(B193,MObra[DESCRIPCION],MObra[UN],,0),"")</f>
        <v/>
      </c>
      <c r="D193" s="38"/>
      <c r="E193" s="39" t="str">
        <f>IFERROR(_xlfn.XLOOKUP($B193,MObra[DESCRIPCION],MObra[VALOR UNIT],,0),"")</f>
        <v/>
      </c>
      <c r="F193" s="40"/>
      <c r="G193" s="41" t="str">
        <f>IFERROR(IF(F193&gt;=0,D193*E193*(1+F193/100),ABS(D193*E193/F193)),"")</f>
        <v/>
      </c>
      <c r="H193" s="42" t="str">
        <f>IFERROR(G193*E175,"")</f>
        <v/>
      </c>
    </row>
    <row r="195" spans="1:11">
      <c r="A195" s="6" t="s">
        <v>1744</v>
      </c>
      <c r="B195" s="7" t="str">
        <f>VLOOKUP($A195,Presupuesto!$A:$D,2,FALSE())</f>
        <v>Anclaje pantalla terraplén Ø&lt;0.15m + Grouting</v>
      </c>
      <c r="C195" s="8" t="str">
        <f>VLOOKUP($A195,Presupuesto!$A:$D,3,FALSE())</f>
        <v>M</v>
      </c>
      <c r="D195" s="9"/>
      <c r="E195" s="10">
        <f>VLOOKUP($A195,Presupuesto!$A:$D,4,FALSE())</f>
        <v>0</v>
      </c>
      <c r="F195" s="11" t="s">
        <v>2589</v>
      </c>
      <c r="G195" s="12">
        <f>SUM(G197:G213)/2</f>
        <v>180562.01178172504</v>
      </c>
      <c r="H195" s="13">
        <f>ROUND(SUM(H197:H213),0)/2</f>
        <v>0</v>
      </c>
      <c r="I195" s="10">
        <f>VLOOKUP(A195,Presupuesto!$A:$F,6,0)</f>
        <v>0</v>
      </c>
      <c r="J195" s="10">
        <f>+H195-I195</f>
        <v>0</v>
      </c>
      <c r="K195" s="46">
        <f>+H195-G195*E195</f>
        <v>0</v>
      </c>
    </row>
    <row r="196" spans="1:11">
      <c r="A196" s="14"/>
      <c r="B196" s="15" t="s">
        <v>2586</v>
      </c>
      <c r="C196" s="15" t="s">
        <v>5</v>
      </c>
      <c r="D196" s="16" t="s">
        <v>6</v>
      </c>
      <c r="E196" s="17" t="s">
        <v>7</v>
      </c>
      <c r="F196" s="18" t="s">
        <v>3728</v>
      </c>
      <c r="G196" s="19" t="s">
        <v>3729</v>
      </c>
      <c r="H196" s="20" t="s">
        <v>3797</v>
      </c>
    </row>
    <row r="197" spans="1:11">
      <c r="A197" s="21"/>
      <c r="B197" s="22" t="s">
        <v>3730</v>
      </c>
      <c r="C197" s="23"/>
      <c r="D197" s="24"/>
      <c r="E197" s="25"/>
      <c r="F197" s="26"/>
      <c r="G197" s="27">
        <f>SUM(G198:G202)</f>
        <v>15395.310000000001</v>
      </c>
      <c r="H197" s="27">
        <f>IFERROR(G197*E195,"")</f>
        <v>0</v>
      </c>
    </row>
    <row r="198" spans="1:11">
      <c r="A198" s="28"/>
      <c r="B198" s="29" t="s">
        <v>2824</v>
      </c>
      <c r="C198" s="30" t="str">
        <f>IFERROR(_xlfn.XLOOKUP(B198,Insumo[DESCRIPCION],Insumo[UND],,0),"")</f>
        <v>Un</v>
      </c>
      <c r="D198" s="31">
        <f>4/50</f>
        <v>0.08</v>
      </c>
      <c r="E198" s="32">
        <f>IFERROR(_xlfn.XLOOKUP($B198,Insumo[DESCRIPCION],Insumo[VALOR],,0),"")</f>
        <v>34230</v>
      </c>
      <c r="F198" s="33"/>
      <c r="G198" s="34">
        <f>IFERROR(IF(F198&gt;=0,D198*E198*(1+F198/100),ABS(D198*E198/F198)),"")</f>
        <v>2738.4</v>
      </c>
      <c r="H198" s="43">
        <f>IFERROR(G198*E195,"")</f>
        <v>0</v>
      </c>
    </row>
    <row r="199" spans="1:11">
      <c r="A199" s="28"/>
      <c r="B199" s="29" t="s">
        <v>2685</v>
      </c>
      <c r="C199" s="30" t="str">
        <f>IFERROR(_xlfn.XLOOKUP(B199,Insumo[DESCRIPCION],Insumo[UND],,0),"")</f>
        <v>Lt</v>
      </c>
      <c r="D199" s="31">
        <v>200</v>
      </c>
      <c r="E199" s="32">
        <f>IFERROR(_xlfn.XLOOKUP($B199,Insumo[DESCRIPCION],Insumo[VALOR],,0),"")</f>
        <v>27.3</v>
      </c>
      <c r="F199" s="33"/>
      <c r="G199" s="34">
        <f>IFERROR(IF(F199&gt;=0,D199*E199*(1+F199/100),ABS(D199*E199/F199)),"")</f>
        <v>5460</v>
      </c>
      <c r="H199" s="43">
        <f>IFERROR(G199*E195,"")</f>
        <v>0</v>
      </c>
    </row>
    <row r="200" spans="1:11">
      <c r="A200" s="28"/>
      <c r="B200" s="29" t="s">
        <v>3312</v>
      </c>
      <c r="C200" s="30" t="str">
        <f>IFERROR(_xlfn.XLOOKUP(B200,Insumo[DESCRIPCION],Insumo[UND],,0),"")</f>
        <v>Kg</v>
      </c>
      <c r="D200" s="31">
        <v>0.2</v>
      </c>
      <c r="E200" s="32">
        <f>IFERROR(_xlfn.XLOOKUP($B200,Insumo[DESCRIPCION],Insumo[VALOR],,0),"")</f>
        <v>16528.05</v>
      </c>
      <c r="F200" s="33"/>
      <c r="G200" s="34">
        <f>IFERROR(IF(F200&gt;=0,D200*E200*(1+F200/100),ABS(D200*E200/F200)),"")</f>
        <v>3305.61</v>
      </c>
      <c r="H200" s="43">
        <f>IFERROR(G200*E195,"")</f>
        <v>0</v>
      </c>
    </row>
    <row r="201" spans="1:11">
      <c r="A201" s="28"/>
      <c r="B201" s="29" t="s">
        <v>3294</v>
      </c>
      <c r="C201" s="30" t="str">
        <f>IFERROR(_xlfn.XLOOKUP(B201,Insumo[DESCRIPCION],Insumo[UND],,0),"")</f>
        <v>Un</v>
      </c>
      <c r="D201" s="31">
        <v>1</v>
      </c>
      <c r="E201" s="32">
        <f>IFERROR(_xlfn.XLOOKUP($B201,Insumo[DESCRIPCION],Insumo[VALOR],,0),"")</f>
        <v>3891.3</v>
      </c>
      <c r="F201" s="33"/>
      <c r="G201" s="34">
        <f>IFERROR(IF(F201&gt;=0,D201*E201*(1+F201/100),ABS(D201*E201/F201)),"")</f>
        <v>3891.3</v>
      </c>
      <c r="H201" s="43">
        <f>IFERROR(G201*E195,"")</f>
        <v>0</v>
      </c>
    </row>
    <row r="202" spans="1:11">
      <c r="A202" s="28"/>
      <c r="B202" s="29"/>
      <c r="C202" s="30" t="str">
        <f>IFERROR(_xlfn.XLOOKUP(B202,Insumo[DESCRIPCION],Insumo[UND],,0),"")</f>
        <v/>
      </c>
      <c r="D202" s="31"/>
      <c r="E202" s="32" t="str">
        <f>IFERROR(_xlfn.XLOOKUP($B202,Insumo[DESCRIPCION],Insumo[VALOR],,0),"")</f>
        <v/>
      </c>
      <c r="F202" s="33"/>
      <c r="G202" s="34" t="str">
        <f>IFERROR(IF(F202&gt;=0,D202*E202*(1+F202/100),ABS(D202*E202/F202)),"")</f>
        <v/>
      </c>
      <c r="H202" s="43" t="str">
        <f>IFERROR(G202*E195,"")</f>
        <v/>
      </c>
    </row>
    <row r="203" spans="1:11">
      <c r="A203" s="21"/>
      <c r="B203" s="22" t="s">
        <v>3731</v>
      </c>
      <c r="C203" s="23"/>
      <c r="D203" s="24"/>
      <c r="E203" s="25"/>
      <c r="F203" s="26"/>
      <c r="G203" s="27">
        <f>SUM(G204:G206)</f>
        <v>98795.321037225003</v>
      </c>
      <c r="H203" s="44">
        <f>G203*E195</f>
        <v>0</v>
      </c>
    </row>
    <row r="204" spans="1:11">
      <c r="A204" s="28"/>
      <c r="B204" s="29" t="s">
        <v>3579</v>
      </c>
      <c r="C204" s="30" t="str">
        <f>IFERROR(_xlfn.XLOOKUP(B204,Equipo[DESCRIPCION],Equipo[UND],,0),"")</f>
        <v>Día</v>
      </c>
      <c r="D204" s="31">
        <v>1</v>
      </c>
      <c r="E204" s="32">
        <f>IF(C204="%MO",G210,IFERROR(_xlfn.XLOOKUP($B204,Equipo[DESCRIPCION],Equipo[VALOR],,0),""))</f>
        <v>210276.15000000002</v>
      </c>
      <c r="F204" s="33">
        <v>-2.5</v>
      </c>
      <c r="G204" s="34">
        <f>IFERROR(IF(F204&gt;=0,D204*E204*(1+F204/100),ABS(D204*E204/F204)),"")</f>
        <v>84110.46</v>
      </c>
      <c r="H204" s="43">
        <f>IFERROR(G204*E195,"")</f>
        <v>0</v>
      </c>
    </row>
    <row r="205" spans="1:11">
      <c r="A205" s="28"/>
      <c r="B205" s="29" t="s">
        <v>3575</v>
      </c>
      <c r="C205" s="30" t="str">
        <f>IFERROR(_xlfn.XLOOKUP(B205,Equipo[DESCRIPCION],Equipo[UND],,0),"")</f>
        <v>Día</v>
      </c>
      <c r="D205" s="31">
        <v>1</v>
      </c>
      <c r="E205" s="32">
        <f>IF(C205="%MO",G210,IFERROR(_xlfn.XLOOKUP($B205,Equipo[DESCRIPCION],Equipo[VALOR],,0),""))</f>
        <v>142078.65</v>
      </c>
      <c r="F205" s="33">
        <v>-12.5</v>
      </c>
      <c r="G205" s="34">
        <f>IFERROR(IF(F205&gt;=0,D205*E205*(1+F205/100),ABS(D205*E205/F205)),"")</f>
        <v>11366.291999999999</v>
      </c>
      <c r="H205" s="43">
        <f>IFERROR(G205*E195,"")</f>
        <v>0</v>
      </c>
    </row>
    <row r="206" spans="1:11">
      <c r="A206" s="28"/>
      <c r="B206" s="29" t="s">
        <v>3626</v>
      </c>
      <c r="C206" s="30" t="str">
        <f>IFERROR(_xlfn.XLOOKUP(B206,Equipo[DESCRIPCION],Equipo[UND],,0),"")</f>
        <v>%MO</v>
      </c>
      <c r="D206" s="31">
        <v>0.05</v>
      </c>
      <c r="E206" s="32">
        <f>IF(C206="%MO",G210,IFERROR(_xlfn.XLOOKUP($B206,Equipo[DESCRIPCION],Equipo[VALOR],,0),""))</f>
        <v>66371.380744500013</v>
      </c>
      <c r="F206" s="33"/>
      <c r="G206" s="34">
        <f>IFERROR(IF(F206&gt;=0,D206*E206*(1+F206/100),ABS(D206*E206/F206)),"")</f>
        <v>3318.569037225001</v>
      </c>
      <c r="H206" s="43">
        <f>IFERROR(G206*E195,"")</f>
        <v>0</v>
      </c>
    </row>
    <row r="207" spans="1:11">
      <c r="A207" s="21"/>
      <c r="B207" s="22" t="s">
        <v>2533</v>
      </c>
      <c r="C207" s="23"/>
      <c r="D207" s="24"/>
      <c r="E207" s="25"/>
      <c r="F207" s="26"/>
      <c r="G207" s="27">
        <f>SUM(G208:G209)</f>
        <v>0</v>
      </c>
      <c r="H207" s="44">
        <f>G207*E195</f>
        <v>0</v>
      </c>
    </row>
    <row r="208" spans="1:11">
      <c r="A208" s="28"/>
      <c r="B208" s="29"/>
      <c r="C208" s="30" t="str">
        <f>IFERROR(_xlfn.XLOOKUP(B208,Transporte[DESCRIPCION],Transporte[UND],,0),"")</f>
        <v/>
      </c>
      <c r="D208" s="31"/>
      <c r="E208" s="32" t="str">
        <f>IFERROR(_xlfn.XLOOKUP($B208,Transporte[DESCRIPCION],Transporte[VALOR],,0),"")</f>
        <v/>
      </c>
      <c r="F208" s="33"/>
      <c r="G208" s="34" t="str">
        <f>IFERROR(IF(F208&gt;=0,D208*E208*(1+F208/100),ABS(D208*E208/F208)),"")</f>
        <v/>
      </c>
      <c r="H208" s="43" t="str">
        <f>IFERROR(G208*E195,"")</f>
        <v/>
      </c>
    </row>
    <row r="209" spans="1:11">
      <c r="A209" s="28"/>
      <c r="B209" s="29"/>
      <c r="C209" s="30" t="str">
        <f>IFERROR(_xlfn.XLOOKUP(B209,Transporte[DESCRIPCION],Transporte[UND],,0),"")</f>
        <v/>
      </c>
      <c r="D209" s="31"/>
      <c r="E209" s="32" t="str">
        <f>IFERROR(_xlfn.XLOOKUP($B209,Transporte[DESCRIPCION],Transporte[VALOR],,0),"")</f>
        <v/>
      </c>
      <c r="F209" s="33"/>
      <c r="G209" s="34" t="str">
        <f>IFERROR(IF(F209&gt;=0,D209*E209*(1+F209/100),ABS(D209*E209/F209)),"")</f>
        <v/>
      </c>
      <c r="H209" s="43" t="str">
        <f>IFERROR(G209*E195,"")</f>
        <v/>
      </c>
    </row>
    <row r="210" spans="1:11">
      <c r="A210" s="21"/>
      <c r="B210" s="22" t="s">
        <v>3732</v>
      </c>
      <c r="C210" s="23"/>
      <c r="D210" s="24"/>
      <c r="E210" s="25"/>
      <c r="F210" s="26"/>
      <c r="G210" s="27">
        <f>SUM(G211:G213)</f>
        <v>66371.380744500013</v>
      </c>
      <c r="H210" s="44">
        <f>G210*E195</f>
        <v>0</v>
      </c>
    </row>
    <row r="211" spans="1:11">
      <c r="A211" s="28"/>
      <c r="B211" s="29" t="s">
        <v>3713</v>
      </c>
      <c r="C211" s="30" t="str">
        <f>IFERROR(_xlfn.XLOOKUP(B211,MObra[DESCRIPCION],MObra[UN],,0),"")</f>
        <v>día</v>
      </c>
      <c r="D211" s="31">
        <v>1</v>
      </c>
      <c r="E211" s="32">
        <f>IFERROR(_xlfn.XLOOKUP($B211,MObra[DESCRIPCION],MObra[VALOR UNIT],,0),"")</f>
        <v>663713.80744500016</v>
      </c>
      <c r="F211" s="33">
        <v>-10</v>
      </c>
      <c r="G211" s="34">
        <f>IFERROR(IF(F211&gt;=0,D211*E211*(1+F211/100),ABS(D211*E211/F211)),"")</f>
        <v>66371.380744500013</v>
      </c>
      <c r="H211" s="43">
        <f>IFERROR(G211*E195,"")</f>
        <v>0</v>
      </c>
    </row>
    <row r="212" spans="1:11">
      <c r="A212" s="28"/>
      <c r="B212" s="29"/>
      <c r="C212" s="30" t="str">
        <f>IFERROR(_xlfn.XLOOKUP(B212,MObra[DESCRIPCION],MObra[UN],,0),"")</f>
        <v/>
      </c>
      <c r="D212" s="31"/>
      <c r="E212" s="32" t="str">
        <f>IFERROR(_xlfn.XLOOKUP($B212,MObra[DESCRIPCION],MObra[VALOR UNIT],,0),"")</f>
        <v/>
      </c>
      <c r="F212" s="33"/>
      <c r="G212" s="34" t="str">
        <f>IFERROR(IF(F212&gt;=0,D212*E212*(1+F212/100),ABS(D212*E212/F212)),"")</f>
        <v/>
      </c>
      <c r="H212" s="43" t="str">
        <f>IFERROR(G212*E195,"")</f>
        <v/>
      </c>
    </row>
    <row r="213" spans="1:11">
      <c r="A213" s="35"/>
      <c r="B213" s="36"/>
      <c r="C213" s="37" t="str">
        <f>IFERROR(_xlfn.XLOOKUP(B213,MObra[DESCRIPCION],MObra[UN],,0),"")</f>
        <v/>
      </c>
      <c r="D213" s="38"/>
      <c r="E213" s="39" t="str">
        <f>IFERROR(_xlfn.XLOOKUP($B213,MObra[DESCRIPCION],MObra[VALOR UNIT],,0),"")</f>
        <v/>
      </c>
      <c r="F213" s="40"/>
      <c r="G213" s="41" t="str">
        <f>IFERROR(IF(F213&gt;=0,D213*E213*(1+F213/100),ABS(D213*E213/F213)),"")</f>
        <v/>
      </c>
      <c r="H213" s="42" t="str">
        <f>IFERROR(G213*E195,"")</f>
        <v/>
      </c>
    </row>
    <row r="215" spans="1:11">
      <c r="A215" s="6" t="s">
        <v>1746</v>
      </c>
      <c r="B215" s="7" t="str">
        <f>VLOOKUP($A215,Presupuesto!$A:$D,2,FALSE())</f>
        <v>Anclaje pantalla tierra Ø&lt; =0.15m + Grouting</v>
      </c>
      <c r="C215" s="8" t="str">
        <f>VLOOKUP($A215,Presupuesto!$A:$D,3,FALSE())</f>
        <v>M</v>
      </c>
      <c r="D215" s="9"/>
      <c r="E215" s="10">
        <f>VLOOKUP($A215,Presupuesto!$A:$D,4,FALSE())</f>
        <v>0</v>
      </c>
      <c r="F215" s="11" t="s">
        <v>2589</v>
      </c>
      <c r="G215" s="12">
        <f>SUM(G217:G233)/2</f>
        <v>209332.95453525003</v>
      </c>
      <c r="H215" s="13">
        <f>ROUND(SUM(H217:H233),0)/2</f>
        <v>0</v>
      </c>
      <c r="I215" s="10">
        <f>VLOOKUP(A215,Presupuesto!$A:$F,6,0)</f>
        <v>0</v>
      </c>
      <c r="J215" s="10">
        <f>+H215-I215</f>
        <v>0</v>
      </c>
      <c r="K215" s="46">
        <f>+H215-G215*E215</f>
        <v>0</v>
      </c>
    </row>
    <row r="216" spans="1:11">
      <c r="A216" s="14"/>
      <c r="B216" s="15" t="s">
        <v>2586</v>
      </c>
      <c r="C216" s="15" t="s">
        <v>5</v>
      </c>
      <c r="D216" s="16" t="s">
        <v>6</v>
      </c>
      <c r="E216" s="17" t="s">
        <v>7</v>
      </c>
      <c r="F216" s="18" t="s">
        <v>3728</v>
      </c>
      <c r="G216" s="19" t="s">
        <v>3729</v>
      </c>
      <c r="H216" s="20" t="s">
        <v>3797</v>
      </c>
    </row>
    <row r="217" spans="1:11">
      <c r="A217" s="21"/>
      <c r="B217" s="22" t="s">
        <v>3730</v>
      </c>
      <c r="C217" s="23"/>
      <c r="D217" s="24"/>
      <c r="E217" s="25"/>
      <c r="F217" s="26"/>
      <c r="G217" s="27">
        <f>SUM(G218:G222)</f>
        <v>15395.310000000001</v>
      </c>
      <c r="H217" s="27">
        <f>IFERROR(G217*E215,"")</f>
        <v>0</v>
      </c>
    </row>
    <row r="218" spans="1:11">
      <c r="A218" s="28"/>
      <c r="B218" s="29" t="s">
        <v>2824</v>
      </c>
      <c r="C218" s="30" t="str">
        <f>IFERROR(_xlfn.XLOOKUP(B218,Insumo[DESCRIPCION],Insumo[UND],,0),"")</f>
        <v>Un</v>
      </c>
      <c r="D218" s="31">
        <f>4/50</f>
        <v>0.08</v>
      </c>
      <c r="E218" s="32">
        <f>IFERROR(_xlfn.XLOOKUP($B218,Insumo[DESCRIPCION],Insumo[VALOR],,0),"")</f>
        <v>34230</v>
      </c>
      <c r="F218" s="33"/>
      <c r="G218" s="34">
        <f>IFERROR(IF(F218&gt;=0,D218*E218*(1+F218/100),ABS(D218*E218/F218)),"")</f>
        <v>2738.4</v>
      </c>
      <c r="H218" s="43">
        <f>IFERROR(G218*E215,"")</f>
        <v>0</v>
      </c>
    </row>
    <row r="219" spans="1:11">
      <c r="A219" s="28"/>
      <c r="B219" s="29" t="s">
        <v>2685</v>
      </c>
      <c r="C219" s="30" t="str">
        <f>IFERROR(_xlfn.XLOOKUP(B219,Insumo[DESCRIPCION],Insumo[UND],,0),"")</f>
        <v>Lt</v>
      </c>
      <c r="D219" s="31">
        <v>200</v>
      </c>
      <c r="E219" s="32">
        <f>IFERROR(_xlfn.XLOOKUP($B219,Insumo[DESCRIPCION],Insumo[VALOR],,0),"")</f>
        <v>27.3</v>
      </c>
      <c r="F219" s="33"/>
      <c r="G219" s="34">
        <f>IFERROR(IF(F219&gt;=0,D219*E219*(1+F219/100),ABS(D219*E219/F219)),"")</f>
        <v>5460</v>
      </c>
      <c r="H219" s="43">
        <f>IFERROR(G219*E215,"")</f>
        <v>0</v>
      </c>
    </row>
    <row r="220" spans="1:11">
      <c r="A220" s="28"/>
      <c r="B220" s="29" t="s">
        <v>3312</v>
      </c>
      <c r="C220" s="30" t="str">
        <f>IFERROR(_xlfn.XLOOKUP(B220,Insumo[DESCRIPCION],Insumo[UND],,0),"")</f>
        <v>Kg</v>
      </c>
      <c r="D220" s="31">
        <v>0.2</v>
      </c>
      <c r="E220" s="32">
        <f>IFERROR(_xlfn.XLOOKUP($B220,Insumo[DESCRIPCION],Insumo[VALOR],,0),"")</f>
        <v>16528.05</v>
      </c>
      <c r="F220" s="33"/>
      <c r="G220" s="34">
        <f>IFERROR(IF(F220&gt;=0,D220*E220*(1+F220/100),ABS(D220*E220/F220)),"")</f>
        <v>3305.61</v>
      </c>
      <c r="H220" s="43">
        <f>IFERROR(G220*E215,"")</f>
        <v>0</v>
      </c>
    </row>
    <row r="221" spans="1:11">
      <c r="A221" s="28"/>
      <c r="B221" s="29" t="s">
        <v>3294</v>
      </c>
      <c r="C221" s="30" t="str">
        <f>IFERROR(_xlfn.XLOOKUP(B221,Insumo[DESCRIPCION],Insumo[UND],,0),"")</f>
        <v>Un</v>
      </c>
      <c r="D221" s="31">
        <v>1</v>
      </c>
      <c r="E221" s="32">
        <f>IFERROR(_xlfn.XLOOKUP($B221,Insumo[DESCRIPCION],Insumo[VALOR],,0),"")</f>
        <v>3891.3</v>
      </c>
      <c r="F221" s="33"/>
      <c r="G221" s="34">
        <f>IFERROR(IF(F221&gt;=0,D221*E221*(1+F221/100),ABS(D221*E221/F221)),"")</f>
        <v>3891.3</v>
      </c>
      <c r="H221" s="43">
        <f>IFERROR(G221*E215,"")</f>
        <v>0</v>
      </c>
    </row>
    <row r="222" spans="1:11">
      <c r="A222" s="28"/>
      <c r="B222" s="29"/>
      <c r="C222" s="30" t="str">
        <f>IFERROR(_xlfn.XLOOKUP(B222,Insumo[DESCRIPCION],Insumo[UND],,0),"")</f>
        <v/>
      </c>
      <c r="D222" s="31"/>
      <c r="E222" s="32" t="str">
        <f>IFERROR(_xlfn.XLOOKUP($B222,Insumo[DESCRIPCION],Insumo[VALOR],,0),"")</f>
        <v/>
      </c>
      <c r="F222" s="33"/>
      <c r="G222" s="34" t="str">
        <f>IFERROR(IF(F222&gt;=0,D222*E222*(1+F222/100),ABS(D222*E222/F222)),"")</f>
        <v/>
      </c>
      <c r="H222" s="43" t="str">
        <f>IFERROR(G222*E215,"")</f>
        <v/>
      </c>
    </row>
    <row r="223" spans="1:11">
      <c r="A223" s="21"/>
      <c r="B223" s="22" t="s">
        <v>3731</v>
      </c>
      <c r="C223" s="23"/>
      <c r="D223" s="24"/>
      <c r="E223" s="25"/>
      <c r="F223" s="26"/>
      <c r="G223" s="27">
        <f>SUM(G224:G226)</f>
        <v>120191.66593025002</v>
      </c>
      <c r="H223" s="44">
        <f>G223*E215</f>
        <v>0</v>
      </c>
    </row>
    <row r="224" spans="1:11">
      <c r="A224" s="28"/>
      <c r="B224" s="29" t="s">
        <v>3579</v>
      </c>
      <c r="C224" s="30" t="str">
        <f>IFERROR(_xlfn.XLOOKUP(B224,Equipo[DESCRIPCION],Equipo[UND],,0),"")</f>
        <v>Día</v>
      </c>
      <c r="D224" s="31">
        <v>1</v>
      </c>
      <c r="E224" s="32">
        <f>IF(C224="%MO",G230,IFERROR(_xlfn.XLOOKUP($B224,Equipo[DESCRIPCION],Equipo[VALOR],,0),""))</f>
        <v>210276.15000000002</v>
      </c>
      <c r="F224" s="33">
        <v>-2</v>
      </c>
      <c r="G224" s="34">
        <f>IFERROR(IF(F224&gt;=0,D224*E224*(1+F224/100),ABS(D224*E224/F224)),"")</f>
        <v>105138.07500000001</v>
      </c>
      <c r="H224" s="43">
        <f>IFERROR(G224*E215,"")</f>
        <v>0</v>
      </c>
    </row>
    <row r="225" spans="1:11">
      <c r="A225" s="28"/>
      <c r="B225" s="29" t="s">
        <v>3575</v>
      </c>
      <c r="C225" s="30" t="str">
        <f>IFERROR(_xlfn.XLOOKUP(B225,Equipo[DESCRIPCION],Equipo[UND],,0),"")</f>
        <v>Día</v>
      </c>
      <c r="D225" s="31">
        <v>1</v>
      </c>
      <c r="E225" s="32">
        <f>IF(C225="%MO",G230,IFERROR(_xlfn.XLOOKUP($B225,Equipo[DESCRIPCION],Equipo[VALOR],,0),""))</f>
        <v>142078.65</v>
      </c>
      <c r="F225" s="33">
        <v>-12.5</v>
      </c>
      <c r="G225" s="34">
        <f>IFERROR(IF(F225&gt;=0,D225*E225*(1+F225/100),ABS(D225*E225/F225)),"")</f>
        <v>11366.291999999999</v>
      </c>
      <c r="H225" s="43">
        <f>IFERROR(G225*E215,"")</f>
        <v>0</v>
      </c>
    </row>
    <row r="226" spans="1:11">
      <c r="A226" s="28"/>
      <c r="B226" s="29" t="s">
        <v>3626</v>
      </c>
      <c r="C226" s="30" t="str">
        <f>IFERROR(_xlfn.XLOOKUP(B226,Equipo[DESCRIPCION],Equipo[UND],,0),"")</f>
        <v>%MO</v>
      </c>
      <c r="D226" s="31">
        <v>0.05</v>
      </c>
      <c r="E226" s="32">
        <f>IF(C226="%MO",G230,IFERROR(_xlfn.XLOOKUP($B226,Equipo[DESCRIPCION],Equipo[VALOR],,0),""))</f>
        <v>73745.978605000011</v>
      </c>
      <c r="F226" s="33"/>
      <c r="G226" s="34">
        <f>IFERROR(IF(F226&gt;=0,D226*E226*(1+F226/100),ABS(D226*E226/F226)),"")</f>
        <v>3687.2989302500009</v>
      </c>
      <c r="H226" s="43">
        <f>IFERROR(G226*E215,"")</f>
        <v>0</v>
      </c>
    </row>
    <row r="227" spans="1:11">
      <c r="A227" s="21"/>
      <c r="B227" s="22" t="s">
        <v>2533</v>
      </c>
      <c r="C227" s="23"/>
      <c r="D227" s="24"/>
      <c r="E227" s="25"/>
      <c r="F227" s="26"/>
      <c r="G227" s="27">
        <f>SUM(G228:G229)</f>
        <v>0</v>
      </c>
      <c r="H227" s="44">
        <f>G227*E215</f>
        <v>0</v>
      </c>
    </row>
    <row r="228" spans="1:11">
      <c r="A228" s="28"/>
      <c r="B228" s="29"/>
      <c r="C228" s="30" t="str">
        <f>IFERROR(_xlfn.XLOOKUP(B228,Transporte[DESCRIPCION],Transporte[UND],,0),"")</f>
        <v/>
      </c>
      <c r="D228" s="31"/>
      <c r="E228" s="32" t="str">
        <f>IFERROR(_xlfn.XLOOKUP($B228,Transporte[DESCRIPCION],Transporte[VALOR],,0),"")</f>
        <v/>
      </c>
      <c r="F228" s="33"/>
      <c r="G228" s="34" t="str">
        <f>IFERROR(IF(F228&gt;=0,D228*E228*(1+F228/100),ABS(D228*E228/F228)),"")</f>
        <v/>
      </c>
      <c r="H228" s="43" t="str">
        <f>IFERROR(G228*E215,"")</f>
        <v/>
      </c>
    </row>
    <row r="229" spans="1:11">
      <c r="A229" s="28"/>
      <c r="B229" s="29"/>
      <c r="C229" s="30" t="str">
        <f>IFERROR(_xlfn.XLOOKUP(B229,Transporte[DESCRIPCION],Transporte[UND],,0),"")</f>
        <v/>
      </c>
      <c r="D229" s="31"/>
      <c r="E229" s="32" t="str">
        <f>IFERROR(_xlfn.XLOOKUP($B229,Transporte[DESCRIPCION],Transporte[VALOR],,0),"")</f>
        <v/>
      </c>
      <c r="F229" s="33"/>
      <c r="G229" s="34" t="str">
        <f>IFERROR(IF(F229&gt;=0,D229*E229*(1+F229/100),ABS(D229*E229/F229)),"")</f>
        <v/>
      </c>
      <c r="H229" s="43" t="str">
        <f>IFERROR(G229*E215,"")</f>
        <v/>
      </c>
    </row>
    <row r="230" spans="1:11">
      <c r="A230" s="21"/>
      <c r="B230" s="22" t="s">
        <v>3732</v>
      </c>
      <c r="C230" s="23"/>
      <c r="D230" s="24"/>
      <c r="E230" s="25"/>
      <c r="F230" s="26"/>
      <c r="G230" s="27">
        <f>SUM(G231:G233)</f>
        <v>73745.978605000011</v>
      </c>
      <c r="H230" s="44">
        <f>G230*E215</f>
        <v>0</v>
      </c>
    </row>
    <row r="231" spans="1:11">
      <c r="A231" s="28"/>
      <c r="B231" s="29" t="s">
        <v>3713</v>
      </c>
      <c r="C231" s="30" t="str">
        <f>IFERROR(_xlfn.XLOOKUP(B231,MObra[DESCRIPCION],MObra[UN],,0),"")</f>
        <v>día</v>
      </c>
      <c r="D231" s="31">
        <v>1</v>
      </c>
      <c r="E231" s="32">
        <f>IFERROR(_xlfn.XLOOKUP($B231,MObra[DESCRIPCION],MObra[VALOR UNIT],,0),"")</f>
        <v>663713.80744500016</v>
      </c>
      <c r="F231" s="33">
        <v>-9</v>
      </c>
      <c r="G231" s="34">
        <f>IFERROR(IF(F231&gt;=0,D231*E231*(1+F231/100),ABS(D231*E231/F231)),"")</f>
        <v>73745.978605000011</v>
      </c>
      <c r="H231" s="43">
        <f>IFERROR(G231*E215,"")</f>
        <v>0</v>
      </c>
    </row>
    <row r="232" spans="1:11">
      <c r="A232" s="28"/>
      <c r="B232" s="29"/>
      <c r="C232" s="30" t="str">
        <f>IFERROR(_xlfn.XLOOKUP(B232,MObra[DESCRIPCION],MObra[UN],,0),"")</f>
        <v/>
      </c>
      <c r="D232" s="31"/>
      <c r="E232" s="32" t="str">
        <f>IFERROR(_xlfn.XLOOKUP($B232,MObra[DESCRIPCION],MObra[VALOR UNIT],,0),"")</f>
        <v/>
      </c>
      <c r="F232" s="33"/>
      <c r="G232" s="34" t="str">
        <f>IFERROR(IF(F232&gt;=0,D232*E232*(1+F232/100),ABS(D232*E232/F232)),"")</f>
        <v/>
      </c>
      <c r="H232" s="43" t="str">
        <f>IFERROR(G232*E215,"")</f>
        <v/>
      </c>
    </row>
    <row r="233" spans="1:11">
      <c r="A233" s="35"/>
      <c r="B233" s="36"/>
      <c r="C233" s="37" t="str">
        <f>IFERROR(_xlfn.XLOOKUP(B233,MObra[DESCRIPCION],MObra[UN],,0),"")</f>
        <v/>
      </c>
      <c r="D233" s="38"/>
      <c r="E233" s="39" t="str">
        <f>IFERROR(_xlfn.XLOOKUP($B233,MObra[DESCRIPCION],MObra[VALOR UNIT],,0),"")</f>
        <v/>
      </c>
      <c r="F233" s="40"/>
      <c r="G233" s="41" t="str">
        <f>IFERROR(IF(F233&gt;=0,D233*E233*(1+F233/100),ABS(D233*E233/F233)),"")</f>
        <v/>
      </c>
      <c r="H233" s="42" t="str">
        <f>IFERROR(G233*E215,"")</f>
        <v/>
      </c>
    </row>
    <row r="235" spans="1:11">
      <c r="A235" s="6" t="s">
        <v>1748</v>
      </c>
      <c r="B235" s="7" t="str">
        <f>VLOOKUP($A235,Presupuesto!$A:$D,2,FALSE())</f>
        <v>Anclaje pasivo barra 1" + grouting</v>
      </c>
      <c r="C235" s="8" t="str">
        <f>VLOOKUP($A235,Presupuesto!$A:$D,3,FALSE())</f>
        <v>M</v>
      </c>
      <c r="D235" s="9"/>
      <c r="E235" s="10">
        <f>VLOOKUP($A235,Presupuesto!$A:$D,4,FALSE())</f>
        <v>0</v>
      </c>
      <c r="F235" s="11" t="s">
        <v>2589</v>
      </c>
      <c r="G235" s="12">
        <f>SUM(G237:G254)/2</f>
        <v>213540.65820920409</v>
      </c>
      <c r="H235" s="13">
        <f>ROUND(SUM(H237:H254),0)/2</f>
        <v>0</v>
      </c>
      <c r="I235" s="10">
        <f>VLOOKUP(A235,Presupuesto!$A:$F,6,0)</f>
        <v>0</v>
      </c>
      <c r="J235" s="10">
        <f>+H235-I235</f>
        <v>0</v>
      </c>
      <c r="K235" s="46">
        <f>+H235-G235*E235</f>
        <v>0</v>
      </c>
    </row>
    <row r="236" spans="1:11">
      <c r="A236" s="14"/>
      <c r="B236" s="15" t="s">
        <v>2586</v>
      </c>
      <c r="C236" s="15" t="s">
        <v>5</v>
      </c>
      <c r="D236" s="16" t="s">
        <v>6</v>
      </c>
      <c r="E236" s="17" t="s">
        <v>7</v>
      </c>
      <c r="F236" s="18" t="s">
        <v>3728</v>
      </c>
      <c r="G236" s="19" t="s">
        <v>3729</v>
      </c>
      <c r="H236" s="20" t="s">
        <v>3797</v>
      </c>
    </row>
    <row r="237" spans="1:11">
      <c r="A237" s="21"/>
      <c r="B237" s="22" t="s">
        <v>3730</v>
      </c>
      <c r="C237" s="23"/>
      <c r="D237" s="24"/>
      <c r="E237" s="25"/>
      <c r="F237" s="26"/>
      <c r="G237" s="27">
        <f>SUM(G238:G242)</f>
        <v>39160.447200000002</v>
      </c>
      <c r="H237" s="27">
        <f>IFERROR(G237*E235,"")</f>
        <v>0</v>
      </c>
    </row>
    <row r="238" spans="1:11">
      <c r="A238" s="28"/>
      <c r="B238" s="29" t="s">
        <v>2653</v>
      </c>
      <c r="C238" s="30" t="str">
        <f>IFERROR(_xlfn.XLOOKUP(B238,Insumo[DESCRIPCION],Insumo[UND],,0),"")</f>
        <v>Kg</v>
      </c>
      <c r="D238" s="31">
        <v>3.98</v>
      </c>
      <c r="E238" s="32">
        <f>IFERROR(_xlfn.XLOOKUP($B238,Insumo[DESCRIPCION],Insumo[VALOR],,0),"")</f>
        <v>5686.8</v>
      </c>
      <c r="F238" s="33">
        <v>5</v>
      </c>
      <c r="G238" s="34">
        <f>IFERROR(IF(F238&gt;=0,D238*E238*(1+F238/100),ABS(D238*E238/F238)),"")</f>
        <v>23765.137200000001</v>
      </c>
      <c r="H238" s="43">
        <f>IFERROR(G238*E235,"")</f>
        <v>0</v>
      </c>
    </row>
    <row r="239" spans="1:11">
      <c r="A239" s="28"/>
      <c r="B239" s="29" t="s">
        <v>2824</v>
      </c>
      <c r="C239" s="30" t="str">
        <f>IFERROR(_xlfn.XLOOKUP(B239,Insumo[DESCRIPCION],Insumo[UND],,0),"")</f>
        <v>Un</v>
      </c>
      <c r="D239" s="31">
        <f>4/50</f>
        <v>0.08</v>
      </c>
      <c r="E239" s="32">
        <f>IFERROR(_xlfn.XLOOKUP($B239,Insumo[DESCRIPCION],Insumo[VALOR],,0),"")</f>
        <v>34230</v>
      </c>
      <c r="F239" s="33"/>
      <c r="G239" s="34">
        <f>IFERROR(IF(F239&gt;=0,D239*E239*(1+F239/100),ABS(D239*E239/F239)),"")</f>
        <v>2738.4</v>
      </c>
      <c r="H239" s="43">
        <f>IFERROR(G239*E235,"")</f>
        <v>0</v>
      </c>
    </row>
    <row r="240" spans="1:11">
      <c r="A240" s="28"/>
      <c r="B240" s="29" t="s">
        <v>2685</v>
      </c>
      <c r="C240" s="30" t="str">
        <f>IFERROR(_xlfn.XLOOKUP(B240,Insumo[DESCRIPCION],Insumo[UND],,0),"")</f>
        <v>Lt</v>
      </c>
      <c r="D240" s="31">
        <v>200</v>
      </c>
      <c r="E240" s="32">
        <f>IFERROR(_xlfn.XLOOKUP($B240,Insumo[DESCRIPCION],Insumo[VALOR],,0),"")</f>
        <v>27.3</v>
      </c>
      <c r="F240" s="33"/>
      <c r="G240" s="34">
        <f>IFERROR(IF(F240&gt;=0,D240*E240*(1+F240/100),ABS(D240*E240/F240)),"")</f>
        <v>5460</v>
      </c>
      <c r="H240" s="43">
        <f>IFERROR(G240*E235,"")</f>
        <v>0</v>
      </c>
    </row>
    <row r="241" spans="1:11">
      <c r="A241" s="28"/>
      <c r="B241" s="29" t="s">
        <v>3312</v>
      </c>
      <c r="C241" s="30" t="str">
        <f>IFERROR(_xlfn.XLOOKUP(B241,Insumo[DESCRIPCION],Insumo[UND],,0),"")</f>
        <v>Kg</v>
      </c>
      <c r="D241" s="31">
        <v>0.2</v>
      </c>
      <c r="E241" s="32">
        <f>IFERROR(_xlfn.XLOOKUP($B241,Insumo[DESCRIPCION],Insumo[VALOR],,0),"")</f>
        <v>16528.05</v>
      </c>
      <c r="F241" s="33"/>
      <c r="G241" s="34">
        <f>IFERROR(IF(F241&gt;=0,D241*E241*(1+F241/100),ABS(D241*E241/F241)),"")</f>
        <v>3305.61</v>
      </c>
      <c r="H241" s="43">
        <f>IFERROR(G241*E235,"")</f>
        <v>0</v>
      </c>
    </row>
    <row r="242" spans="1:11">
      <c r="A242" s="28"/>
      <c r="B242" s="29" t="s">
        <v>3294</v>
      </c>
      <c r="C242" s="30" t="str">
        <f>IFERROR(_xlfn.XLOOKUP(B242,Insumo[DESCRIPCION],Insumo[UND],,0),"")</f>
        <v>Un</v>
      </c>
      <c r="D242" s="31">
        <v>1</v>
      </c>
      <c r="E242" s="32">
        <f>IFERROR(_xlfn.XLOOKUP($B242,Insumo[DESCRIPCION],Insumo[VALOR],,0),"")</f>
        <v>3891.3</v>
      </c>
      <c r="F242" s="33"/>
      <c r="G242" s="34">
        <f>IFERROR(IF(F242&gt;=0,D242*E242*(1+F242/100),ABS(D242*E242/F242)),"")</f>
        <v>3891.3</v>
      </c>
      <c r="H242" s="43">
        <f>IFERROR(G242*E235,"")</f>
        <v>0</v>
      </c>
    </row>
    <row r="243" spans="1:11">
      <c r="A243" s="21"/>
      <c r="B243" s="22" t="s">
        <v>3731</v>
      </c>
      <c r="C243" s="23"/>
      <c r="D243" s="24"/>
      <c r="E243" s="25"/>
      <c r="F243" s="26"/>
      <c r="G243" s="27">
        <f>SUM(G244:G247)</f>
        <v>121283.10641360402</v>
      </c>
      <c r="H243" s="44">
        <f>G243*E235</f>
        <v>0</v>
      </c>
    </row>
    <row r="244" spans="1:11">
      <c r="A244" s="28"/>
      <c r="B244" s="29" t="s">
        <v>3579</v>
      </c>
      <c r="C244" s="30" t="str">
        <f>IFERROR(_xlfn.XLOOKUP(B244,Equipo[DESCRIPCION],Equipo[UND],,0),"")</f>
        <v>Día</v>
      </c>
      <c r="D244" s="31">
        <v>1</v>
      </c>
      <c r="E244" s="32">
        <f>IF(C244="%MO",G251,IFERROR(_xlfn.XLOOKUP($B244,Equipo[DESCRIPCION],Equipo[VALOR],,0),""))</f>
        <v>210276.15000000002</v>
      </c>
      <c r="F244" s="33">
        <v>-2</v>
      </c>
      <c r="G244" s="34">
        <f>IFERROR(IF(F244&gt;=0,D244*E244*(1+F244/100),ABS(D244*E244/F244)),"")</f>
        <v>105138.07500000001</v>
      </c>
      <c r="H244" s="43">
        <f>IFERROR(G244*E235,"")</f>
        <v>0</v>
      </c>
    </row>
    <row r="245" spans="1:11">
      <c r="A245" s="28"/>
      <c r="B245" s="29" t="s">
        <v>3575</v>
      </c>
      <c r="C245" s="30" t="str">
        <f>IFERROR(_xlfn.XLOOKUP(B245,Equipo[DESCRIPCION],Equipo[UND],,0),"")</f>
        <v>Día</v>
      </c>
      <c r="D245" s="31">
        <v>1</v>
      </c>
      <c r="E245" s="32">
        <f>IF(C245="%MO",G251,IFERROR(_xlfn.XLOOKUP($B245,Equipo[DESCRIPCION],Equipo[VALOR],,0),""))</f>
        <v>142078.65</v>
      </c>
      <c r="F245" s="33">
        <v>-12.5</v>
      </c>
      <c r="G245" s="34">
        <f>IFERROR(IF(F245&gt;=0,D245*E245*(1+F245/100),ABS(D245*E245/F245)),"")</f>
        <v>11366.291999999999</v>
      </c>
      <c r="H245" s="43">
        <f>IFERROR(G245*E235,"")</f>
        <v>0</v>
      </c>
    </row>
    <row r="246" spans="1:11">
      <c r="A246" s="28"/>
      <c r="B246" s="29" t="s">
        <v>3570</v>
      </c>
      <c r="C246" s="30" t="str">
        <f>IFERROR(_xlfn.XLOOKUP(B246,Equipo[DESCRIPCION],Equipo[UND],,0),"")</f>
        <v>%MO</v>
      </c>
      <c r="D246" s="31">
        <v>0.04</v>
      </c>
      <c r="E246" s="32">
        <f>IF(C246="%MO",G251,IFERROR(_xlfn.XLOOKUP($B246,Equipo[DESCRIPCION],Equipo[VALOR],,0),""))</f>
        <v>53097.104595600016</v>
      </c>
      <c r="F246" s="33"/>
      <c r="G246" s="34">
        <f>IFERROR(IF(F246&gt;=0,D246*E246*(1+F246/100),ABS(D246*E246/F246)),"")</f>
        <v>2123.8841838240005</v>
      </c>
      <c r="H246" s="43">
        <f>IFERROR(G246*E235,"")</f>
        <v>0</v>
      </c>
    </row>
    <row r="247" spans="1:11">
      <c r="A247" s="28"/>
      <c r="B247" s="29" t="s">
        <v>3626</v>
      </c>
      <c r="C247" s="30" t="str">
        <f>IFERROR(_xlfn.XLOOKUP(B247,Equipo[DESCRIPCION],Equipo[UND],,0),"")</f>
        <v>%MO</v>
      </c>
      <c r="D247" s="31">
        <v>0.05</v>
      </c>
      <c r="E247" s="32">
        <f>IF(C247="%MO",G251,IFERROR(_xlfn.XLOOKUP($B247,Equipo[DESCRIPCION],Equipo[VALOR],,0),""))</f>
        <v>53097.104595600016</v>
      </c>
      <c r="F247" s="33"/>
      <c r="G247" s="34">
        <f>IFERROR(IF(F247&gt;=0,D247*E247*(1+F247/100),ABS(D247*E247/F247)),"")</f>
        <v>2654.8552297800011</v>
      </c>
      <c r="H247" s="43">
        <f>IFERROR(G247*E235,"")</f>
        <v>0</v>
      </c>
    </row>
    <row r="248" spans="1:11">
      <c r="A248" s="21"/>
      <c r="B248" s="22" t="s">
        <v>2533</v>
      </c>
      <c r="C248" s="23"/>
      <c r="D248" s="24"/>
      <c r="E248" s="25"/>
      <c r="F248" s="26"/>
      <c r="G248" s="27">
        <f>SUM(G249:G250)</f>
        <v>0</v>
      </c>
      <c r="H248" s="44">
        <f>G248*E235</f>
        <v>0</v>
      </c>
    </row>
    <row r="249" spans="1:11">
      <c r="A249" s="28"/>
      <c r="B249" s="29"/>
      <c r="C249" s="30" t="str">
        <f>IFERROR(_xlfn.XLOOKUP(B249,Transporte[DESCRIPCION],Transporte[UND],,0),"")</f>
        <v/>
      </c>
      <c r="D249" s="31"/>
      <c r="E249" s="32" t="str">
        <f>IFERROR(_xlfn.XLOOKUP($B249,Transporte[DESCRIPCION],Transporte[VALOR],,0),"")</f>
        <v/>
      </c>
      <c r="F249" s="33"/>
      <c r="G249" s="34" t="str">
        <f>IFERROR(IF(F249&gt;=0,D249*E249*(1+F249/100),ABS(D249*E249/F249)),"")</f>
        <v/>
      </c>
      <c r="H249" s="43" t="str">
        <f>IFERROR(G249*E235,"")</f>
        <v/>
      </c>
    </row>
    <row r="250" spans="1:11">
      <c r="A250" s="28"/>
      <c r="B250" s="29"/>
      <c r="C250" s="30" t="str">
        <f>IFERROR(_xlfn.XLOOKUP(B250,Transporte[DESCRIPCION],Transporte[UND],,0),"")</f>
        <v/>
      </c>
      <c r="D250" s="31"/>
      <c r="E250" s="32" t="str">
        <f>IFERROR(_xlfn.XLOOKUP($B250,Transporte[DESCRIPCION],Transporte[VALOR],,0),"")</f>
        <v/>
      </c>
      <c r="F250" s="33"/>
      <c r="G250" s="34" t="str">
        <f>IFERROR(IF(F250&gt;=0,D250*E250*(1+F250/100),ABS(D250*E250/F250)),"")</f>
        <v/>
      </c>
      <c r="H250" s="43" t="str">
        <f>IFERROR(G250*E235,"")</f>
        <v/>
      </c>
    </row>
    <row r="251" spans="1:11">
      <c r="A251" s="21"/>
      <c r="B251" s="22" t="s">
        <v>3732</v>
      </c>
      <c r="C251" s="23"/>
      <c r="D251" s="24"/>
      <c r="E251" s="25"/>
      <c r="F251" s="26"/>
      <c r="G251" s="27">
        <f>SUM(G252:G254)</f>
        <v>53097.104595600016</v>
      </c>
      <c r="H251" s="44">
        <f>G251*E235</f>
        <v>0</v>
      </c>
    </row>
    <row r="252" spans="1:11">
      <c r="A252" s="28"/>
      <c r="B252" s="29" t="s">
        <v>3713</v>
      </c>
      <c r="C252" s="30" t="str">
        <f>IFERROR(_xlfn.XLOOKUP(B252,MObra[DESCRIPCION],MObra[UN],,0),"")</f>
        <v>día</v>
      </c>
      <c r="D252" s="31">
        <v>1</v>
      </c>
      <c r="E252" s="32">
        <f>IFERROR(_xlfn.XLOOKUP($B252,MObra[DESCRIPCION],MObra[VALOR UNIT],,0),"")</f>
        <v>663713.80744500016</v>
      </c>
      <c r="F252" s="33">
        <f>-1/0.08</f>
        <v>-12.5</v>
      </c>
      <c r="G252" s="34">
        <f>IFERROR(IF(F252&gt;=0,D252*E252*(1+F252/100),ABS(D252*E252/F252)),"")</f>
        <v>53097.104595600016</v>
      </c>
      <c r="H252" s="43">
        <f>IFERROR(G252*E235,"")</f>
        <v>0</v>
      </c>
    </row>
    <row r="253" spans="1:11">
      <c r="A253" s="28"/>
      <c r="B253" s="29"/>
      <c r="C253" s="30" t="str">
        <f>IFERROR(_xlfn.XLOOKUP(B253,MObra[DESCRIPCION],MObra[UN],,0),"")</f>
        <v/>
      </c>
      <c r="D253" s="31"/>
      <c r="E253" s="32" t="str">
        <f>IFERROR(_xlfn.XLOOKUP($B253,MObra[DESCRIPCION],MObra[VALOR UNIT],,0),"")</f>
        <v/>
      </c>
      <c r="F253" s="33"/>
      <c r="G253" s="34" t="str">
        <f>IFERROR(IF(F253&gt;=0,D253*E253*(1+F253/100),ABS(D253*E253/F253)),"")</f>
        <v/>
      </c>
      <c r="H253" s="43" t="str">
        <f>IFERROR(G253*E235,"")</f>
        <v/>
      </c>
    </row>
    <row r="254" spans="1:11">
      <c r="A254" s="35"/>
      <c r="B254" s="36"/>
      <c r="C254" s="37" t="str">
        <f>IFERROR(_xlfn.XLOOKUP(B254,MObra[DESCRIPCION],MObra[UN],,0),"")</f>
        <v/>
      </c>
      <c r="D254" s="38"/>
      <c r="E254" s="39" t="str">
        <f>IFERROR(_xlfn.XLOOKUP($B254,MObra[DESCRIPCION],MObra[VALOR UNIT],,0),"")</f>
        <v/>
      </c>
      <c r="F254" s="40"/>
      <c r="G254" s="41" t="str">
        <f>IFERROR(IF(F254&gt;=0,D254*E254*(1+F254/100),ABS(D254*E254/F254)),"")</f>
        <v/>
      </c>
      <c r="H254" s="42" t="str">
        <f>IFERROR(G254*E235,"")</f>
        <v/>
      </c>
    </row>
    <row r="256" spans="1:11">
      <c r="A256" s="6" t="s">
        <v>1750</v>
      </c>
      <c r="B256" s="7" t="str">
        <f>VLOOKUP($A256,Presupuesto!$A:$D,2,FALSE())</f>
        <v>Anclaje pasivo barra 7/8" + grouting</v>
      </c>
      <c r="C256" s="8" t="str">
        <f>VLOOKUP($A256,Presupuesto!$A:$D,3,FALSE())</f>
        <v>M</v>
      </c>
      <c r="D256" s="9"/>
      <c r="E256" s="10">
        <f>VLOOKUP($A256,Presupuesto!$A:$D,4,FALSE())</f>
        <v>0</v>
      </c>
      <c r="F256" s="11" t="s">
        <v>2589</v>
      </c>
      <c r="G256" s="12">
        <f>SUM(G258:G275)/2</f>
        <v>195646.90931374516</v>
      </c>
      <c r="H256" s="13">
        <f>ROUND(SUM(H258:H275),0)/2</f>
        <v>0</v>
      </c>
      <c r="I256" s="10">
        <f>VLOOKUP(A256,Presupuesto!$A:$F,6,0)</f>
        <v>0</v>
      </c>
      <c r="J256" s="10">
        <f>+H256-I256</f>
        <v>0</v>
      </c>
      <c r="K256" s="46">
        <f>+H256-G256*E256</f>
        <v>0</v>
      </c>
    </row>
    <row r="257" spans="1:8">
      <c r="A257" s="14"/>
      <c r="B257" s="15" t="s">
        <v>2586</v>
      </c>
      <c r="C257" s="15" t="s">
        <v>5</v>
      </c>
      <c r="D257" s="16" t="s">
        <v>6</v>
      </c>
      <c r="E257" s="17" t="s">
        <v>7</v>
      </c>
      <c r="F257" s="18" t="s">
        <v>3728</v>
      </c>
      <c r="G257" s="19" t="s">
        <v>3729</v>
      </c>
      <c r="H257" s="20" t="s">
        <v>3797</v>
      </c>
    </row>
    <row r="258" spans="1:8">
      <c r="A258" s="21"/>
      <c r="B258" s="22" t="s">
        <v>3730</v>
      </c>
      <c r="C258" s="23"/>
      <c r="D258" s="24"/>
      <c r="E258" s="25"/>
      <c r="F258" s="26"/>
      <c r="G258" s="27">
        <f>SUM(G259:G263)</f>
        <v>33487.864200000004</v>
      </c>
      <c r="H258" s="27">
        <f>IFERROR(G258*E256,"")</f>
        <v>0</v>
      </c>
    </row>
    <row r="259" spans="1:8">
      <c r="A259" s="28"/>
      <c r="B259" s="29" t="s">
        <v>2653</v>
      </c>
      <c r="C259" s="30" t="str">
        <f>IFERROR(_xlfn.XLOOKUP(B259,Insumo[DESCRIPCION],Insumo[UND],,0),"")</f>
        <v>Kg</v>
      </c>
      <c r="D259" s="31">
        <v>3.03</v>
      </c>
      <c r="E259" s="32">
        <f>IFERROR(_xlfn.XLOOKUP($B259,Insumo[DESCRIPCION],Insumo[VALOR],,0),"")</f>
        <v>5686.8</v>
      </c>
      <c r="F259" s="33">
        <v>5</v>
      </c>
      <c r="G259" s="34">
        <f>IFERROR(IF(F259&gt;=0,D259*E259*(1+F259/100),ABS(D259*E259/F259)),"")</f>
        <v>18092.554200000002</v>
      </c>
      <c r="H259" s="43">
        <f>IFERROR(G259*E256,"")</f>
        <v>0</v>
      </c>
    </row>
    <row r="260" spans="1:8">
      <c r="A260" s="28"/>
      <c r="B260" s="29" t="s">
        <v>2824</v>
      </c>
      <c r="C260" s="30" t="str">
        <f>IFERROR(_xlfn.XLOOKUP(B260,Insumo[DESCRIPCION],Insumo[UND],,0),"")</f>
        <v>Un</v>
      </c>
      <c r="D260" s="31">
        <f>4/50</f>
        <v>0.08</v>
      </c>
      <c r="E260" s="32">
        <f>IFERROR(_xlfn.XLOOKUP($B260,Insumo[DESCRIPCION],Insumo[VALOR],,0),"")</f>
        <v>34230</v>
      </c>
      <c r="F260" s="33"/>
      <c r="G260" s="34">
        <f>IFERROR(IF(F260&gt;=0,D260*E260*(1+F260/100),ABS(D260*E260/F260)),"")</f>
        <v>2738.4</v>
      </c>
      <c r="H260" s="43">
        <f>IFERROR(G260*E256,"")</f>
        <v>0</v>
      </c>
    </row>
    <row r="261" spans="1:8">
      <c r="A261" s="28"/>
      <c r="B261" s="29" t="s">
        <v>2685</v>
      </c>
      <c r="C261" s="30" t="str">
        <f>IFERROR(_xlfn.XLOOKUP(B261,Insumo[DESCRIPCION],Insumo[UND],,0),"")</f>
        <v>Lt</v>
      </c>
      <c r="D261" s="31">
        <v>200</v>
      </c>
      <c r="E261" s="32">
        <f>IFERROR(_xlfn.XLOOKUP($B261,Insumo[DESCRIPCION],Insumo[VALOR],,0),"")</f>
        <v>27.3</v>
      </c>
      <c r="F261" s="33"/>
      <c r="G261" s="34">
        <f>IFERROR(IF(F261&gt;=0,D261*E261*(1+F261/100),ABS(D261*E261/F261)),"")</f>
        <v>5460</v>
      </c>
      <c r="H261" s="43">
        <f>IFERROR(G261*E256,"")</f>
        <v>0</v>
      </c>
    </row>
    <row r="262" spans="1:8">
      <c r="A262" s="28"/>
      <c r="B262" s="29" t="s">
        <v>3312</v>
      </c>
      <c r="C262" s="30" t="str">
        <f>IFERROR(_xlfn.XLOOKUP(B262,Insumo[DESCRIPCION],Insumo[UND],,0),"")</f>
        <v>Kg</v>
      </c>
      <c r="D262" s="31">
        <v>0.2</v>
      </c>
      <c r="E262" s="32">
        <f>IFERROR(_xlfn.XLOOKUP($B262,Insumo[DESCRIPCION],Insumo[VALOR],,0),"")</f>
        <v>16528.05</v>
      </c>
      <c r="F262" s="33"/>
      <c r="G262" s="34">
        <f>IFERROR(IF(F262&gt;=0,D262*E262*(1+F262/100),ABS(D262*E262/F262)),"")</f>
        <v>3305.61</v>
      </c>
      <c r="H262" s="43">
        <f>IFERROR(G262*E256,"")</f>
        <v>0</v>
      </c>
    </row>
    <row r="263" spans="1:8">
      <c r="A263" s="28"/>
      <c r="B263" s="29" t="s">
        <v>3294</v>
      </c>
      <c r="C263" s="30" t="str">
        <f>IFERROR(_xlfn.XLOOKUP(B263,Insumo[DESCRIPCION],Insumo[UND],,0),"")</f>
        <v>Un</v>
      </c>
      <c r="D263" s="31">
        <v>1</v>
      </c>
      <c r="E263" s="32">
        <f>IFERROR(_xlfn.XLOOKUP($B263,Insumo[DESCRIPCION],Insumo[VALOR],,0),"")</f>
        <v>3891.3</v>
      </c>
      <c r="F263" s="33"/>
      <c r="G263" s="34">
        <f>IFERROR(IF(F263&gt;=0,D263*E263*(1+F263/100),ABS(D263*E263/F263)),"")</f>
        <v>3891.3</v>
      </c>
      <c r="H263" s="43">
        <f>IFERROR(G263*E256,"")</f>
        <v>0</v>
      </c>
    </row>
    <row r="264" spans="1:8">
      <c r="A264" s="21"/>
      <c r="B264" s="22" t="s">
        <v>3731</v>
      </c>
      <c r="C264" s="23"/>
      <c r="D264" s="24"/>
      <c r="E264" s="25"/>
      <c r="F264" s="26"/>
      <c r="G264" s="27">
        <f>SUM(G265:G268)</f>
        <v>111104.13684874511</v>
      </c>
      <c r="H264" s="44">
        <f>G264*E256</f>
        <v>0</v>
      </c>
    </row>
    <row r="265" spans="1:8">
      <c r="A265" s="28"/>
      <c r="B265" s="29" t="s">
        <v>3579</v>
      </c>
      <c r="C265" s="30" t="str">
        <f>IFERROR(_xlfn.XLOOKUP(B265,Equipo[DESCRIPCION],Equipo[UND],,0),"")</f>
        <v>Día</v>
      </c>
      <c r="D265" s="31">
        <v>1</v>
      </c>
      <c r="E265" s="32">
        <f>IF(C265="%MO",G272,IFERROR(_xlfn.XLOOKUP($B265,Equipo[DESCRIPCION],Equipo[VALOR],,0),""))</f>
        <v>210276.15000000002</v>
      </c>
      <c r="F265" s="33">
        <v>-2.2000000000000002</v>
      </c>
      <c r="G265" s="34">
        <f>IFERROR(IF(F265&gt;=0,D265*E265*(1+F265/100),ABS(D265*E265/F265)),"")</f>
        <v>95580.068181818191</v>
      </c>
      <c r="H265" s="43">
        <f>IFERROR(G265*E256,"")</f>
        <v>0</v>
      </c>
    </row>
    <row r="266" spans="1:8">
      <c r="A266" s="28"/>
      <c r="B266" s="29" t="s">
        <v>3575</v>
      </c>
      <c r="C266" s="30" t="str">
        <f>IFERROR(_xlfn.XLOOKUP(B266,Equipo[DESCRIPCION],Equipo[UND],,0),"")</f>
        <v>Día</v>
      </c>
      <c r="D266" s="31">
        <v>1</v>
      </c>
      <c r="E266" s="32">
        <f>IF(C266="%MO",G272,IFERROR(_xlfn.XLOOKUP($B266,Equipo[DESCRIPCION],Equipo[VALOR],,0),""))</f>
        <v>142078.65</v>
      </c>
      <c r="F266" s="33">
        <v>-13</v>
      </c>
      <c r="G266" s="34">
        <f>IFERROR(IF(F266&gt;=0,D266*E266*(1+F266/100),ABS(D266*E266/F266)),"")</f>
        <v>10929.126923076923</v>
      </c>
      <c r="H266" s="43">
        <f>IFERROR(G266*E256,"")</f>
        <v>0</v>
      </c>
    </row>
    <row r="267" spans="1:8">
      <c r="A267" s="28"/>
      <c r="B267" s="29" t="s">
        <v>3570</v>
      </c>
      <c r="C267" s="30" t="str">
        <f>IFERROR(_xlfn.XLOOKUP(B267,Equipo[DESCRIPCION],Equipo[UND],,0),"")</f>
        <v>%MO</v>
      </c>
      <c r="D267" s="31">
        <v>0.04</v>
      </c>
      <c r="E267" s="32">
        <f>IF(C267="%MO",G272,IFERROR(_xlfn.XLOOKUP($B267,Equipo[DESCRIPCION],Equipo[VALOR],,0),""))</f>
        <v>51054.908265000013</v>
      </c>
      <c r="F267" s="33"/>
      <c r="G267" s="34">
        <f>IFERROR(IF(F267&gt;=0,D267*E267*(1+F267/100),ABS(D267*E267/F267)),"")</f>
        <v>2042.1963306000005</v>
      </c>
      <c r="H267" s="43">
        <f>IFERROR(G267*E256,"")</f>
        <v>0</v>
      </c>
    </row>
    <row r="268" spans="1:8">
      <c r="A268" s="28"/>
      <c r="B268" s="29" t="s">
        <v>3626</v>
      </c>
      <c r="C268" s="30" t="str">
        <f>IFERROR(_xlfn.XLOOKUP(B268,Equipo[DESCRIPCION],Equipo[UND],,0),"")</f>
        <v>%MO</v>
      </c>
      <c r="D268" s="31">
        <v>0.05</v>
      </c>
      <c r="E268" s="32">
        <f>IF(C268="%MO",G272,IFERROR(_xlfn.XLOOKUP($B268,Equipo[DESCRIPCION],Equipo[VALOR],,0),""))</f>
        <v>51054.908265000013</v>
      </c>
      <c r="F268" s="33"/>
      <c r="G268" s="34">
        <f>IFERROR(IF(F268&gt;=0,D268*E268*(1+F268/100),ABS(D268*E268/F268)),"")</f>
        <v>2552.7454132500006</v>
      </c>
      <c r="H268" s="43">
        <f>IFERROR(G268*E256,"")</f>
        <v>0</v>
      </c>
    </row>
    <row r="269" spans="1:8">
      <c r="A269" s="21"/>
      <c r="B269" s="22" t="s">
        <v>2533</v>
      </c>
      <c r="C269" s="23"/>
      <c r="D269" s="24"/>
      <c r="E269" s="25"/>
      <c r="F269" s="26"/>
      <c r="G269" s="27">
        <f>SUM(G270:G271)</f>
        <v>0</v>
      </c>
      <c r="H269" s="44">
        <f>G269*E256</f>
        <v>0</v>
      </c>
    </row>
    <row r="270" spans="1:8">
      <c r="A270" s="28"/>
      <c r="B270" s="29"/>
      <c r="C270" s="30" t="str">
        <f>IFERROR(_xlfn.XLOOKUP(B270,Transporte[DESCRIPCION],Transporte[UND],,0),"")</f>
        <v/>
      </c>
      <c r="D270" s="31"/>
      <c r="E270" s="32" t="str">
        <f>IFERROR(_xlfn.XLOOKUP($B270,Transporte[DESCRIPCION],Transporte[VALOR],,0),"")</f>
        <v/>
      </c>
      <c r="F270" s="33"/>
      <c r="G270" s="34" t="str">
        <f>IFERROR(IF(F270&gt;=0,D270*E270*(1+F270/100),ABS(D270*E270/F270)),"")</f>
        <v/>
      </c>
      <c r="H270" s="43" t="str">
        <f>IFERROR(G270*E256,"")</f>
        <v/>
      </c>
    </row>
    <row r="271" spans="1:8">
      <c r="A271" s="28"/>
      <c r="B271" s="29"/>
      <c r="C271" s="30" t="str">
        <f>IFERROR(_xlfn.XLOOKUP(B271,Transporte[DESCRIPCION],Transporte[UND],,0),"")</f>
        <v/>
      </c>
      <c r="D271" s="31"/>
      <c r="E271" s="32" t="str">
        <f>IFERROR(_xlfn.XLOOKUP($B271,Transporte[DESCRIPCION],Transporte[VALOR],,0),"")</f>
        <v/>
      </c>
      <c r="F271" s="33"/>
      <c r="G271" s="34" t="str">
        <f>IFERROR(IF(F271&gt;=0,D271*E271*(1+F271/100),ABS(D271*E271/F271)),"")</f>
        <v/>
      </c>
      <c r="H271" s="43" t="str">
        <f>IFERROR(G271*E256,"")</f>
        <v/>
      </c>
    </row>
    <row r="272" spans="1:8">
      <c r="A272" s="21"/>
      <c r="B272" s="22" t="s">
        <v>3732</v>
      </c>
      <c r="C272" s="23"/>
      <c r="D272" s="24"/>
      <c r="E272" s="25"/>
      <c r="F272" s="26"/>
      <c r="G272" s="27">
        <f>SUM(G273:G275)</f>
        <v>51054.908265000013</v>
      </c>
      <c r="H272" s="44">
        <f>G272*E256</f>
        <v>0</v>
      </c>
    </row>
    <row r="273" spans="1:11">
      <c r="A273" s="28"/>
      <c r="B273" s="29" t="s">
        <v>3713</v>
      </c>
      <c r="C273" s="30" t="str">
        <f>IFERROR(_xlfn.XLOOKUP(B273,MObra[DESCRIPCION],MObra[UN],,0),"")</f>
        <v>día</v>
      </c>
      <c r="D273" s="31">
        <v>1</v>
      </c>
      <c r="E273" s="32">
        <f>IFERROR(_xlfn.XLOOKUP($B273,MObra[DESCRIPCION],MObra[VALOR UNIT],,0),"")</f>
        <v>663713.80744500016</v>
      </c>
      <c r="F273" s="33">
        <v>-13</v>
      </c>
      <c r="G273" s="34">
        <f>IFERROR(IF(F273&gt;=0,D273*E273*(1+F273/100),ABS(D273*E273/F273)),"")</f>
        <v>51054.908265000013</v>
      </c>
      <c r="H273" s="43">
        <f>IFERROR(G273*E256,"")</f>
        <v>0</v>
      </c>
    </row>
    <row r="274" spans="1:11">
      <c r="A274" s="28"/>
      <c r="B274" s="29"/>
      <c r="C274" s="30" t="str">
        <f>IFERROR(_xlfn.XLOOKUP(B274,MObra[DESCRIPCION],MObra[UN],,0),"")</f>
        <v/>
      </c>
      <c r="D274" s="31"/>
      <c r="E274" s="32" t="str">
        <f>IFERROR(_xlfn.XLOOKUP($B274,MObra[DESCRIPCION],MObra[VALOR UNIT],,0),"")</f>
        <v/>
      </c>
      <c r="F274" s="33"/>
      <c r="G274" s="34" t="str">
        <f>IFERROR(IF(F274&gt;=0,D274*E274*(1+F274/100),ABS(D274*E274/F274)),"")</f>
        <v/>
      </c>
      <c r="H274" s="43" t="str">
        <f>IFERROR(G274*E256,"")</f>
        <v/>
      </c>
    </row>
    <row r="275" spans="1:11">
      <c r="A275" s="35"/>
      <c r="B275" s="36"/>
      <c r="C275" s="37" t="str">
        <f>IFERROR(_xlfn.XLOOKUP(B275,MObra[DESCRIPCION],MObra[UN],,0),"")</f>
        <v/>
      </c>
      <c r="D275" s="38"/>
      <c r="E275" s="39" t="str">
        <f>IFERROR(_xlfn.XLOOKUP($B275,MObra[DESCRIPCION],MObra[VALOR UNIT],,0),"")</f>
        <v/>
      </c>
      <c r="F275" s="40"/>
      <c r="G275" s="41" t="str">
        <f>IFERROR(IF(F275&gt;=0,D275*E275*(1+F275/100),ABS(D275*E275/F275)),"")</f>
        <v/>
      </c>
      <c r="H275" s="42" t="str">
        <f>IFERROR(G275*E256,"")</f>
        <v/>
      </c>
    </row>
    <row r="277" spans="1:11">
      <c r="A277" s="6" t="s">
        <v>1752</v>
      </c>
      <c r="B277" s="7" t="str">
        <f>VLOOKUP($A277,Presupuesto!$A:$D,2,FALSE())</f>
        <v>Anclaje pasivo barra 3/4" + grouting</v>
      </c>
      <c r="C277" s="8" t="str">
        <f>VLOOKUP($A277,Presupuesto!$A:$D,3,FALSE())</f>
        <v>M</v>
      </c>
      <c r="D277" s="9"/>
      <c r="E277" s="10">
        <f>VLOOKUP($A277,Presupuesto!$A:$D,4,FALSE())</f>
        <v>0</v>
      </c>
      <c r="F277" s="11" t="s">
        <v>2589</v>
      </c>
      <c r="G277" s="12">
        <f>SUM(G279:G295)/2</f>
        <v>180558.5263974111</v>
      </c>
      <c r="H277" s="13">
        <f>ROUND(SUM(H279:H295),0)/2</f>
        <v>0</v>
      </c>
      <c r="I277" s="10">
        <f>VLOOKUP(A277,Presupuesto!$A:$F,6,0)</f>
        <v>0</v>
      </c>
      <c r="J277" s="10">
        <f>+H277-I277</f>
        <v>0</v>
      </c>
      <c r="K277" s="46">
        <f>+H277-G277*E277</f>
        <v>0</v>
      </c>
    </row>
    <row r="278" spans="1:11">
      <c r="A278" s="14"/>
      <c r="B278" s="15" t="s">
        <v>2586</v>
      </c>
      <c r="C278" s="15" t="s">
        <v>5</v>
      </c>
      <c r="D278" s="16" t="s">
        <v>6</v>
      </c>
      <c r="E278" s="17" t="s">
        <v>7</v>
      </c>
      <c r="F278" s="18" t="s">
        <v>3728</v>
      </c>
      <c r="G278" s="19" t="s">
        <v>3729</v>
      </c>
      <c r="H278" s="20" t="s">
        <v>3797</v>
      </c>
    </row>
    <row r="279" spans="1:11">
      <c r="A279" s="21"/>
      <c r="B279" s="22" t="s">
        <v>3730</v>
      </c>
      <c r="C279" s="23"/>
      <c r="D279" s="24"/>
      <c r="E279" s="25"/>
      <c r="F279" s="26"/>
      <c r="G279" s="27">
        <f>SUM(G280:G284)</f>
        <v>28830.375000000004</v>
      </c>
      <c r="H279" s="27">
        <f>IFERROR(G279*E277,"")</f>
        <v>0</v>
      </c>
    </row>
    <row r="280" spans="1:11">
      <c r="A280" s="28"/>
      <c r="B280" s="29" t="s">
        <v>2653</v>
      </c>
      <c r="C280" s="30" t="str">
        <f>IFERROR(_xlfn.XLOOKUP(B280,Insumo[DESCRIPCION],Insumo[UND],,0),"")</f>
        <v>Kg</v>
      </c>
      <c r="D280" s="31">
        <v>2.25</v>
      </c>
      <c r="E280" s="32">
        <f>IFERROR(_xlfn.XLOOKUP($B280,Insumo[DESCRIPCION],Insumo[VALOR],,0),"")</f>
        <v>5686.8</v>
      </c>
      <c r="F280" s="33">
        <v>5</v>
      </c>
      <c r="G280" s="34">
        <f>IFERROR(IF(F280&gt;=0,D280*E280*(1+F280/100),ABS(D280*E280/F280)),"")</f>
        <v>13435.065000000002</v>
      </c>
      <c r="H280" s="43">
        <f>IFERROR(G280*E277,"")</f>
        <v>0</v>
      </c>
    </row>
    <row r="281" spans="1:11">
      <c r="A281" s="28"/>
      <c r="B281" s="29" t="s">
        <v>2824</v>
      </c>
      <c r="C281" s="30" t="str">
        <f>IFERROR(_xlfn.XLOOKUP(B281,Insumo[DESCRIPCION],Insumo[UND],,0),"")</f>
        <v>Un</v>
      </c>
      <c r="D281" s="31">
        <f>4/50</f>
        <v>0.08</v>
      </c>
      <c r="E281" s="32">
        <f>IFERROR(_xlfn.XLOOKUP($B281,Insumo[DESCRIPCION],Insumo[VALOR],,0),"")</f>
        <v>34230</v>
      </c>
      <c r="F281" s="33"/>
      <c r="G281" s="34">
        <f>IFERROR(IF(F281&gt;=0,D281*E281*(1+F281/100),ABS(D281*E281/F281)),"")</f>
        <v>2738.4</v>
      </c>
      <c r="H281" s="43">
        <f>IFERROR(G281*E277,"")</f>
        <v>0</v>
      </c>
    </row>
    <row r="282" spans="1:11">
      <c r="A282" s="28"/>
      <c r="B282" s="29" t="s">
        <v>2685</v>
      </c>
      <c r="C282" s="30" t="str">
        <f>IFERROR(_xlfn.XLOOKUP(B282,Insumo[DESCRIPCION],Insumo[UND],,0),"")</f>
        <v>Lt</v>
      </c>
      <c r="D282" s="31">
        <v>200</v>
      </c>
      <c r="E282" s="32">
        <f>IFERROR(_xlfn.XLOOKUP($B282,Insumo[DESCRIPCION],Insumo[VALOR],,0),"")</f>
        <v>27.3</v>
      </c>
      <c r="F282" s="33"/>
      <c r="G282" s="34">
        <f>IFERROR(IF(F282&gt;=0,D282*E282*(1+F282/100),ABS(D282*E282/F282)),"")</f>
        <v>5460</v>
      </c>
      <c r="H282" s="43">
        <f>IFERROR(G282*E277,"")</f>
        <v>0</v>
      </c>
    </row>
    <row r="283" spans="1:11">
      <c r="A283" s="28"/>
      <c r="B283" s="29" t="s">
        <v>3312</v>
      </c>
      <c r="C283" s="30" t="str">
        <f>IFERROR(_xlfn.XLOOKUP(B283,Insumo[DESCRIPCION],Insumo[UND],,0),"")</f>
        <v>Kg</v>
      </c>
      <c r="D283" s="31">
        <v>0.2</v>
      </c>
      <c r="E283" s="32">
        <f>IFERROR(_xlfn.XLOOKUP($B283,Insumo[DESCRIPCION],Insumo[VALOR],,0),"")</f>
        <v>16528.05</v>
      </c>
      <c r="F283" s="33"/>
      <c r="G283" s="34">
        <f>IFERROR(IF(F283&gt;=0,D283*E283*(1+F283/100),ABS(D283*E283/F283)),"")</f>
        <v>3305.61</v>
      </c>
      <c r="H283" s="43">
        <f>IFERROR(G283*E277,"")</f>
        <v>0</v>
      </c>
    </row>
    <row r="284" spans="1:11">
      <c r="A284" s="28"/>
      <c r="B284" s="29" t="s">
        <v>3294</v>
      </c>
      <c r="C284" s="30" t="str">
        <f>IFERROR(_xlfn.XLOOKUP(B284,Insumo[DESCRIPCION],Insumo[UND],,0),"")</f>
        <v>Un</v>
      </c>
      <c r="D284" s="31">
        <v>1</v>
      </c>
      <c r="E284" s="32">
        <f>IFERROR(_xlfn.XLOOKUP($B284,Insumo[DESCRIPCION],Insumo[VALOR],,0),"")</f>
        <v>3891.3</v>
      </c>
      <c r="F284" s="33"/>
      <c r="G284" s="34">
        <f>IFERROR(IF(F284&gt;=0,D284*E284*(1+F284/100),ABS(D284*E284/F284)),"")</f>
        <v>3891.3</v>
      </c>
      <c r="H284" s="43">
        <f>IFERROR(G284*E277,"")</f>
        <v>0</v>
      </c>
    </row>
    <row r="285" spans="1:11">
      <c r="A285" s="21"/>
      <c r="B285" s="22" t="s">
        <v>3731</v>
      </c>
      <c r="C285" s="23"/>
      <c r="D285" s="24"/>
      <c r="E285" s="25"/>
      <c r="F285" s="26"/>
      <c r="G285" s="27">
        <f>SUM(G286:G289)</f>
        <v>102564.16566074446</v>
      </c>
      <c r="H285" s="44">
        <f>G285*E277</f>
        <v>0</v>
      </c>
    </row>
    <row r="286" spans="1:11">
      <c r="A286" s="28"/>
      <c r="B286" s="29" t="s">
        <v>3579</v>
      </c>
      <c r="C286" s="30" t="str">
        <f>IFERROR(_xlfn.XLOOKUP(B286,Equipo[DESCRIPCION],Equipo[UND],,0),"")</f>
        <v>Día</v>
      </c>
      <c r="D286" s="31">
        <v>1</v>
      </c>
      <c r="E286" s="32">
        <f>IF(C286="%MO",G293,IFERROR(_xlfn.XLOOKUP($B286,Equipo[DESCRIPCION],Equipo[VALOR],,0),""))</f>
        <v>210276.15000000002</v>
      </c>
      <c r="F286" s="33">
        <v>-2.4</v>
      </c>
      <c r="G286" s="34">
        <f>IFERROR(IF(F286&gt;=0,D286*E286*(1+F286/100),ABS(D286*E286/F286)),"")</f>
        <v>87615.062500000015</v>
      </c>
      <c r="H286" s="43">
        <f>IFERROR(G286*E277,"")</f>
        <v>0</v>
      </c>
    </row>
    <row r="287" spans="1:11">
      <c r="A287" s="28"/>
      <c r="B287" s="29" t="s">
        <v>3575</v>
      </c>
      <c r="C287" s="30" t="str">
        <f>IFERROR(_xlfn.XLOOKUP(B287,Equipo[DESCRIPCION],Equipo[UND],,0),"")</f>
        <v>Día</v>
      </c>
      <c r="D287" s="31">
        <v>1</v>
      </c>
      <c r="E287" s="32">
        <f>IF(C287="%MO",G293,IFERROR(_xlfn.XLOOKUP($B287,Equipo[DESCRIPCION],Equipo[VALOR],,0),""))</f>
        <v>142078.65</v>
      </c>
      <c r="F287" s="33">
        <v>-13.5</v>
      </c>
      <c r="G287" s="34">
        <f>IFERROR(IF(F287&gt;=0,D287*E287*(1+F287/100),ABS(D287*E287/F287)),"")</f>
        <v>10524.344444444445</v>
      </c>
      <c r="H287" s="43">
        <f>IFERROR(G287*E277,"")</f>
        <v>0</v>
      </c>
    </row>
    <row r="288" spans="1:11">
      <c r="A288" s="28"/>
      <c r="B288" s="29" t="s">
        <v>3570</v>
      </c>
      <c r="C288" s="30" t="str">
        <f>IFERROR(_xlfn.XLOOKUP(B288,Equipo[DESCRIPCION],Equipo[UND],,0),"")</f>
        <v>%MO</v>
      </c>
      <c r="D288" s="31">
        <v>0.04</v>
      </c>
      <c r="E288" s="32">
        <f>IF(C288="%MO",G293,IFERROR(_xlfn.XLOOKUP($B288,Equipo[DESCRIPCION],Equipo[VALOR],,0),""))</f>
        <v>49163.985736666677</v>
      </c>
      <c r="F288" s="33"/>
      <c r="G288" s="34">
        <f>IFERROR(IF(F288&gt;=0,D288*E288*(1+F288/100),ABS(D288*E288/F288)),"")</f>
        <v>1966.5594294666671</v>
      </c>
      <c r="H288" s="43">
        <f>IFERROR(G288*E277,"")</f>
        <v>0</v>
      </c>
    </row>
    <row r="289" spans="1:11">
      <c r="A289" s="28"/>
      <c r="B289" s="29" t="s">
        <v>3626</v>
      </c>
      <c r="C289" s="30" t="str">
        <f>IFERROR(_xlfn.XLOOKUP(B289,Equipo[DESCRIPCION],Equipo[UND],,0),"")</f>
        <v>%MO</v>
      </c>
      <c r="D289" s="31">
        <v>0.05</v>
      </c>
      <c r="E289" s="32">
        <f>IF(C289="%MO",G293,IFERROR(_xlfn.XLOOKUP($B289,Equipo[DESCRIPCION],Equipo[VALOR],,0),""))</f>
        <v>49163.985736666677</v>
      </c>
      <c r="F289" s="33"/>
      <c r="G289" s="34">
        <f>IFERROR(IF(F289&gt;=0,D289*E289*(1+F289/100),ABS(D289*E289/F289)),"")</f>
        <v>2458.1992868333341</v>
      </c>
      <c r="H289" s="43">
        <f>IFERROR(G289*E277,"")</f>
        <v>0</v>
      </c>
    </row>
    <row r="290" spans="1:11">
      <c r="A290" s="21"/>
      <c r="B290" s="22" t="s">
        <v>2533</v>
      </c>
      <c r="C290" s="23"/>
      <c r="D290" s="24"/>
      <c r="E290" s="25"/>
      <c r="F290" s="26"/>
      <c r="G290" s="27">
        <f>SUM(G291:G292)</f>
        <v>0</v>
      </c>
      <c r="H290" s="44">
        <f>G290*E277</f>
        <v>0</v>
      </c>
    </row>
    <row r="291" spans="1:11">
      <c r="A291" s="28"/>
      <c r="B291" s="29"/>
      <c r="C291" s="30" t="str">
        <f>IFERROR(_xlfn.XLOOKUP(B291,Transporte[DESCRIPCION],Transporte[UND],,0),"")</f>
        <v/>
      </c>
      <c r="D291" s="31"/>
      <c r="E291" s="32" t="str">
        <f>IFERROR(_xlfn.XLOOKUP($B291,Transporte[DESCRIPCION],Transporte[VALOR],,0),"")</f>
        <v/>
      </c>
      <c r="F291" s="33"/>
      <c r="G291" s="34" t="str">
        <f>IFERROR(IF(F291&gt;=0,D291*E291*(1+F291/100),ABS(D291*E291/F291)),"")</f>
        <v/>
      </c>
      <c r="H291" s="43" t="str">
        <f>IFERROR(G291*E277,"")</f>
        <v/>
      </c>
    </row>
    <row r="292" spans="1:11">
      <c r="A292" s="28"/>
      <c r="B292" s="29"/>
      <c r="C292" s="30" t="str">
        <f>IFERROR(_xlfn.XLOOKUP(B292,Transporte[DESCRIPCION],Transporte[UND],,0),"")</f>
        <v/>
      </c>
      <c r="D292" s="31"/>
      <c r="E292" s="32" t="str">
        <f>IFERROR(_xlfn.XLOOKUP($B292,Transporte[DESCRIPCION],Transporte[VALOR],,0),"")</f>
        <v/>
      </c>
      <c r="F292" s="33"/>
      <c r="G292" s="34" t="str">
        <f>IFERROR(IF(F292&gt;=0,D292*E292*(1+F292/100),ABS(D292*E292/F292)),"")</f>
        <v/>
      </c>
      <c r="H292" s="43" t="str">
        <f>IFERROR(G292*E277,"")</f>
        <v/>
      </c>
    </row>
    <row r="293" spans="1:11">
      <c r="A293" s="21"/>
      <c r="B293" s="22" t="s">
        <v>3732</v>
      </c>
      <c r="C293" s="23"/>
      <c r="D293" s="24"/>
      <c r="E293" s="25"/>
      <c r="F293" s="26"/>
      <c r="G293" s="27">
        <f>SUM(G294:G296)</f>
        <v>49163.985736666677</v>
      </c>
      <c r="H293" s="44">
        <f>G293*E277</f>
        <v>0</v>
      </c>
    </row>
    <row r="294" spans="1:11">
      <c r="A294" s="28"/>
      <c r="B294" s="29" t="s">
        <v>3713</v>
      </c>
      <c r="C294" s="30" t="str">
        <f>IFERROR(_xlfn.XLOOKUP(B294,MObra[DESCRIPCION],MObra[UN],,0),"")</f>
        <v>día</v>
      </c>
      <c r="D294" s="31">
        <v>1</v>
      </c>
      <c r="E294" s="32">
        <f>IFERROR(_xlfn.XLOOKUP($B294,MObra[DESCRIPCION],MObra[VALOR UNIT],,0),"")</f>
        <v>663713.80744500016</v>
      </c>
      <c r="F294" s="33">
        <v>-13.5</v>
      </c>
      <c r="G294" s="34">
        <f>IFERROR(IF(F294&gt;=0,D294*E294*(1+F294/100),ABS(D294*E294/F294)),"")</f>
        <v>49163.985736666677</v>
      </c>
      <c r="H294" s="43">
        <f>IFERROR(G294*E277,"")</f>
        <v>0</v>
      </c>
    </row>
    <row r="295" spans="1:11">
      <c r="A295" s="28"/>
      <c r="B295" s="29"/>
      <c r="C295" s="30" t="str">
        <f>IFERROR(_xlfn.XLOOKUP(B295,MObra[DESCRIPCION],MObra[UN],,0),"")</f>
        <v/>
      </c>
      <c r="D295" s="31"/>
      <c r="E295" s="32" t="str">
        <f>IFERROR(_xlfn.XLOOKUP($B295,MObra[DESCRIPCION],MObra[VALOR UNIT],,0),"")</f>
        <v/>
      </c>
      <c r="F295" s="33"/>
      <c r="G295" s="34" t="str">
        <f>IFERROR(IF(F295&gt;=0,D295*E295*(1+F295/100),ABS(D295*E295/F295)),"")</f>
        <v/>
      </c>
      <c r="H295" s="43" t="str">
        <f>IFERROR(G295*E277,"")</f>
        <v/>
      </c>
    </row>
    <row r="296" spans="1:11">
      <c r="A296" s="35"/>
      <c r="B296" s="36"/>
      <c r="C296" s="37" t="str">
        <f>IFERROR(_xlfn.XLOOKUP(B296,MObra[DESCRIPCION],MObra[UN],,0),"")</f>
        <v/>
      </c>
      <c r="D296" s="38"/>
      <c r="E296" s="39" t="str">
        <f>IFERROR(_xlfn.XLOOKUP($B296,MObra[DESCRIPCION],MObra[VALOR UNIT],,0),"")</f>
        <v/>
      </c>
      <c r="F296" s="40"/>
      <c r="G296" s="41" t="str">
        <f>IFERROR(IF(F296&gt;=0,D296*E296*(1+F296/100),ABS(D296*E296/F296)),"")</f>
        <v/>
      </c>
      <c r="H296" s="42" t="str">
        <f>IFERROR(G296*E277,"")</f>
        <v/>
      </c>
    </row>
    <row r="298" spans="1:11">
      <c r="A298" s="6" t="s">
        <v>1754</v>
      </c>
      <c r="B298" s="7" t="str">
        <f>VLOOKUP($A298,Presupuesto!$A:$D,2,FALSE())</f>
        <v>Anclaje pasivo barra 5/8" + grouting</v>
      </c>
      <c r="C298" s="8" t="str">
        <f>VLOOKUP($A298,Presupuesto!$A:$D,3,FALSE())</f>
        <v>M</v>
      </c>
      <c r="D298" s="9"/>
      <c r="E298" s="10">
        <f>VLOOKUP($A298,Presupuesto!$A:$D,4,FALSE())</f>
        <v>0</v>
      </c>
      <c r="F298" s="11" t="s">
        <v>2589</v>
      </c>
      <c r="G298" s="12">
        <f>SUM(G300:G317)/2</f>
        <v>170644.08412250358</v>
      </c>
      <c r="H298" s="13">
        <f>ROUND(SUM(H300:H315),0)/2</f>
        <v>0</v>
      </c>
      <c r="I298" s="10">
        <f>VLOOKUP(A298,Presupuesto!$A:$F,6,0)</f>
        <v>0</v>
      </c>
      <c r="J298" s="10">
        <f>+H298-I298</f>
        <v>0</v>
      </c>
      <c r="K298" s="46">
        <f>+H298-G298*E298</f>
        <v>0</v>
      </c>
    </row>
    <row r="299" spans="1:11">
      <c r="A299" s="14"/>
      <c r="B299" s="15" t="s">
        <v>2586</v>
      </c>
      <c r="C299" s="15" t="s">
        <v>5</v>
      </c>
      <c r="D299" s="16" t="s">
        <v>6</v>
      </c>
      <c r="E299" s="17" t="s">
        <v>7</v>
      </c>
      <c r="F299" s="18" t="s">
        <v>3728</v>
      </c>
      <c r="G299" s="19" t="s">
        <v>3729</v>
      </c>
      <c r="H299" s="20" t="s">
        <v>3797</v>
      </c>
    </row>
    <row r="300" spans="1:11">
      <c r="A300" s="21"/>
      <c r="B300" s="22" t="s">
        <v>3730</v>
      </c>
      <c r="C300" s="23"/>
      <c r="D300" s="24"/>
      <c r="E300" s="25"/>
      <c r="F300" s="26"/>
      <c r="G300" s="27">
        <f>SUM(G301:G305)</f>
        <v>24710.288400000001</v>
      </c>
      <c r="H300" s="27">
        <f>IFERROR(G300*E298,"")</f>
        <v>0</v>
      </c>
    </row>
    <row r="301" spans="1:11">
      <c r="A301" s="28"/>
      <c r="B301" s="29" t="s">
        <v>2653</v>
      </c>
      <c r="C301" s="30" t="str">
        <f>IFERROR(_xlfn.XLOOKUP(B301,Insumo[DESCRIPCION],Insumo[UND],,0),"")</f>
        <v>Kg</v>
      </c>
      <c r="D301" s="31">
        <v>1.56</v>
      </c>
      <c r="E301" s="32">
        <f>IFERROR(_xlfn.XLOOKUP($B301,Insumo[DESCRIPCION],Insumo[VALOR],,0),"")</f>
        <v>5686.8</v>
      </c>
      <c r="F301" s="33">
        <v>5</v>
      </c>
      <c r="G301" s="34">
        <f>IFERROR(IF(F301&gt;=0,D301*E301*(1+F301/100),ABS(D301*E301/F301)),"")</f>
        <v>9314.9784000000018</v>
      </c>
      <c r="H301" s="43">
        <f>IFERROR(G301*E298,"")</f>
        <v>0</v>
      </c>
    </row>
    <row r="302" spans="1:11">
      <c r="A302" s="28"/>
      <c r="B302" s="29" t="s">
        <v>2824</v>
      </c>
      <c r="C302" s="30" t="str">
        <f>IFERROR(_xlfn.XLOOKUP(B302,Insumo[DESCRIPCION],Insumo[UND],,0),"")</f>
        <v>Un</v>
      </c>
      <c r="D302" s="31">
        <f>4/50</f>
        <v>0.08</v>
      </c>
      <c r="E302" s="32">
        <f>IFERROR(_xlfn.XLOOKUP($B302,Insumo[DESCRIPCION],Insumo[VALOR],,0),"")</f>
        <v>34230</v>
      </c>
      <c r="F302" s="33"/>
      <c r="G302" s="34">
        <f>IFERROR(IF(F302&gt;=0,D302*E302*(1+F302/100),ABS(D302*E302/F302)),"")</f>
        <v>2738.4</v>
      </c>
      <c r="H302" s="43">
        <f>IFERROR(G302*E298,"")</f>
        <v>0</v>
      </c>
    </row>
    <row r="303" spans="1:11">
      <c r="A303" s="28"/>
      <c r="B303" s="29" t="s">
        <v>2685</v>
      </c>
      <c r="C303" s="30" t="str">
        <f>IFERROR(_xlfn.XLOOKUP(B303,Insumo[DESCRIPCION],Insumo[UND],,0),"")</f>
        <v>Lt</v>
      </c>
      <c r="D303" s="31">
        <v>200</v>
      </c>
      <c r="E303" s="32">
        <f>IFERROR(_xlfn.XLOOKUP($B303,Insumo[DESCRIPCION],Insumo[VALOR],,0),"")</f>
        <v>27.3</v>
      </c>
      <c r="F303" s="33"/>
      <c r="G303" s="34">
        <f>IFERROR(IF(F303&gt;=0,D303*E303*(1+F303/100),ABS(D303*E303/F303)),"")</f>
        <v>5460</v>
      </c>
      <c r="H303" s="43">
        <f>IFERROR(G303*E298,"")</f>
        <v>0</v>
      </c>
    </row>
    <row r="304" spans="1:11">
      <c r="A304" s="28"/>
      <c r="B304" s="29" t="s">
        <v>3312</v>
      </c>
      <c r="C304" s="30" t="str">
        <f>IFERROR(_xlfn.XLOOKUP(B304,Insumo[DESCRIPCION],Insumo[UND],,0),"")</f>
        <v>Kg</v>
      </c>
      <c r="D304" s="31">
        <v>0.2</v>
      </c>
      <c r="E304" s="32">
        <f>IFERROR(_xlfn.XLOOKUP($B304,Insumo[DESCRIPCION],Insumo[VALOR],,0),"")</f>
        <v>16528.05</v>
      </c>
      <c r="F304" s="33"/>
      <c r="G304" s="34">
        <f>IFERROR(IF(F304&gt;=0,D304*E304*(1+F304/100),ABS(D304*E304/F304)),"")</f>
        <v>3305.61</v>
      </c>
      <c r="H304" s="43">
        <f>IFERROR(G304*E298,"")</f>
        <v>0</v>
      </c>
    </row>
    <row r="305" spans="1:11">
      <c r="A305" s="28"/>
      <c r="B305" s="29" t="s">
        <v>3294</v>
      </c>
      <c r="C305" s="30" t="str">
        <f>IFERROR(_xlfn.XLOOKUP(B305,Insumo[DESCRIPCION],Insumo[UND],,0),"")</f>
        <v>Un</v>
      </c>
      <c r="D305" s="31">
        <v>1</v>
      </c>
      <c r="E305" s="32">
        <f>IFERROR(_xlfn.XLOOKUP($B305,Insumo[DESCRIPCION],Insumo[VALOR],,0),"")</f>
        <v>3891.3</v>
      </c>
      <c r="F305" s="33"/>
      <c r="G305" s="34">
        <f>IFERROR(IF(F305&gt;=0,D305*E305*(1+F305/100),ABS(D305*E305/F305)),"")</f>
        <v>3891.3</v>
      </c>
      <c r="H305" s="43">
        <f>IFERROR(G305*E298,"")</f>
        <v>0</v>
      </c>
    </row>
    <row r="306" spans="1:11">
      <c r="A306" s="21"/>
      <c r="B306" s="22" t="s">
        <v>3731</v>
      </c>
      <c r="C306" s="23"/>
      <c r="D306" s="24"/>
      <c r="E306" s="25"/>
      <c r="F306" s="26"/>
      <c r="G306" s="27">
        <f>SUM(G307:G310)</f>
        <v>98525.666619289303</v>
      </c>
      <c r="H306" s="44">
        <f>G306*E298</f>
        <v>0</v>
      </c>
    </row>
    <row r="307" spans="1:11">
      <c r="A307" s="28"/>
      <c r="B307" s="29" t="s">
        <v>3579</v>
      </c>
      <c r="C307" s="30" t="str">
        <f>IFERROR(_xlfn.XLOOKUP(B307,Equipo[DESCRIPCION],Equipo[UND],,0),"")</f>
        <v>Día</v>
      </c>
      <c r="D307" s="31">
        <v>1</v>
      </c>
      <c r="E307" s="32">
        <f>IF(C307="%MO",G314,IFERROR(_xlfn.XLOOKUP($B307,Equipo[DESCRIPCION],Equipo[VALOR],,0),""))</f>
        <v>210276.15000000002</v>
      </c>
      <c r="F307" s="33">
        <v>-2.5</v>
      </c>
      <c r="G307" s="34">
        <f>IFERROR(IF(F307&gt;=0,D307*E307*(1+F307/100),ABS(D307*E307/F307)),"")</f>
        <v>84110.46</v>
      </c>
      <c r="H307" s="43">
        <f>IFERROR(G307*E298,"")</f>
        <v>0</v>
      </c>
    </row>
    <row r="308" spans="1:11">
      <c r="A308" s="28"/>
      <c r="B308" s="29" t="s">
        <v>3575</v>
      </c>
      <c r="C308" s="30" t="str">
        <f>IFERROR(_xlfn.XLOOKUP(B308,Equipo[DESCRIPCION],Equipo[UND],,0),"")</f>
        <v>Día</v>
      </c>
      <c r="D308" s="31">
        <v>1</v>
      </c>
      <c r="E308" s="32">
        <f>IF(C308="%MO",G314,IFERROR(_xlfn.XLOOKUP($B308,Equipo[DESCRIPCION],Equipo[VALOR],,0),""))</f>
        <v>142078.65</v>
      </c>
      <c r="F308" s="33">
        <v>-14</v>
      </c>
      <c r="G308" s="34">
        <f>IFERROR(IF(F308&gt;=0,D308*E308*(1+F308/100),ABS(D308*E308/F308)),"")</f>
        <v>10148.475</v>
      </c>
      <c r="H308" s="43">
        <f>IFERROR(G308*E298,"")</f>
        <v>0</v>
      </c>
    </row>
    <row r="309" spans="1:11">
      <c r="A309" s="28"/>
      <c r="B309" s="29" t="s">
        <v>3570</v>
      </c>
      <c r="C309" s="30" t="str">
        <f>IFERROR(_xlfn.XLOOKUP(B309,Equipo[DESCRIPCION],Equipo[UND],,0),"")</f>
        <v>%MO</v>
      </c>
      <c r="D309" s="31">
        <v>0.04</v>
      </c>
      <c r="E309" s="32">
        <f>IF(C309="%MO",G314,IFERROR(_xlfn.XLOOKUP($B309,Equipo[DESCRIPCION],Equipo[VALOR],,0),""))</f>
        <v>47408.129103214298</v>
      </c>
      <c r="F309" s="33"/>
      <c r="G309" s="34">
        <f>IFERROR(IF(F309&gt;=0,D309*E309*(1+F309/100),ABS(D309*E309/F309)),"")</f>
        <v>1896.3251641285719</v>
      </c>
      <c r="H309" s="43">
        <f>IFERROR(G309*E298,"")</f>
        <v>0</v>
      </c>
    </row>
    <row r="310" spans="1:11">
      <c r="A310" s="28"/>
      <c r="B310" s="29" t="s">
        <v>3626</v>
      </c>
      <c r="C310" s="30" t="str">
        <f>IFERROR(_xlfn.XLOOKUP(B310,Equipo[DESCRIPCION],Equipo[UND],,0),"")</f>
        <v>%MO</v>
      </c>
      <c r="D310" s="31">
        <v>0.05</v>
      </c>
      <c r="E310" s="32">
        <f>IF(C310="%MO",G314,IFERROR(_xlfn.XLOOKUP($B310,Equipo[DESCRIPCION],Equipo[VALOR],,0),""))</f>
        <v>47408.129103214298</v>
      </c>
      <c r="F310" s="33"/>
      <c r="G310" s="34">
        <f>IFERROR(IF(F310&gt;=0,D310*E310*(1+F310/100),ABS(D310*E310/F310)),"")</f>
        <v>2370.4064551607148</v>
      </c>
      <c r="H310" s="43">
        <f>IFERROR(G310*E298,"")</f>
        <v>0</v>
      </c>
    </row>
    <row r="311" spans="1:11">
      <c r="A311" s="21"/>
      <c r="B311" s="22" t="s">
        <v>2533</v>
      </c>
      <c r="C311" s="23"/>
      <c r="D311" s="24"/>
      <c r="E311" s="25"/>
      <c r="F311" s="26"/>
      <c r="G311" s="27">
        <f>SUM(G312:G313)</f>
        <v>0</v>
      </c>
      <c r="H311" s="44">
        <f>G311*E298</f>
        <v>0</v>
      </c>
    </row>
    <row r="312" spans="1:11">
      <c r="A312" s="28"/>
      <c r="B312" s="29"/>
      <c r="C312" s="30" t="str">
        <f>IFERROR(_xlfn.XLOOKUP(B312,Transporte[DESCRIPCION],Transporte[UND],,0),"")</f>
        <v/>
      </c>
      <c r="D312" s="31"/>
      <c r="E312" s="32" t="str">
        <f>IFERROR(_xlfn.XLOOKUP($B312,Transporte[DESCRIPCION],Transporte[VALOR],,0),"")</f>
        <v/>
      </c>
      <c r="F312" s="33"/>
      <c r="G312" s="34" t="str">
        <f>IFERROR(IF(F312&gt;=0,D312*E312*(1+F312/100),ABS(D312*E312/F312)),"")</f>
        <v/>
      </c>
      <c r="H312" s="43" t="str">
        <f>IFERROR(G312*E298,"")</f>
        <v/>
      </c>
    </row>
    <row r="313" spans="1:11">
      <c r="A313" s="28"/>
      <c r="B313" s="29"/>
      <c r="C313" s="30" t="str">
        <f>IFERROR(_xlfn.XLOOKUP(B313,Transporte[DESCRIPCION],Transporte[UND],,0),"")</f>
        <v/>
      </c>
      <c r="D313" s="31"/>
      <c r="E313" s="32" t="str">
        <f>IFERROR(_xlfn.XLOOKUP($B313,Transporte[DESCRIPCION],Transporte[VALOR],,0),"")</f>
        <v/>
      </c>
      <c r="F313" s="33"/>
      <c r="G313" s="34" t="str">
        <f>IFERROR(IF(F313&gt;=0,D313*E313*(1+F313/100),ABS(D313*E313/F313)),"")</f>
        <v/>
      </c>
      <c r="H313" s="43" t="str">
        <f>IFERROR(G313*E298,"")</f>
        <v/>
      </c>
    </row>
    <row r="314" spans="1:11">
      <c r="A314" s="21"/>
      <c r="B314" s="22" t="s">
        <v>3732</v>
      </c>
      <c r="C314" s="23"/>
      <c r="D314" s="24"/>
      <c r="E314" s="25"/>
      <c r="F314" s="26"/>
      <c r="G314" s="27">
        <f>SUM(G315:G317)</f>
        <v>47408.129103214298</v>
      </c>
      <c r="H314" s="44">
        <f>G314*E298</f>
        <v>0</v>
      </c>
    </row>
    <row r="315" spans="1:11">
      <c r="A315" s="28"/>
      <c r="B315" s="29" t="s">
        <v>3713</v>
      </c>
      <c r="C315" s="30" t="str">
        <f>IFERROR(_xlfn.XLOOKUP(B315,MObra[DESCRIPCION],MObra[UN],,0),"")</f>
        <v>día</v>
      </c>
      <c r="D315" s="31">
        <v>1</v>
      </c>
      <c r="E315" s="32">
        <f>IFERROR(_xlfn.XLOOKUP($B315,MObra[DESCRIPCION],MObra[VALOR UNIT],,0),"")</f>
        <v>663713.80744500016</v>
      </c>
      <c r="F315" s="33">
        <v>-14</v>
      </c>
      <c r="G315" s="34">
        <f>IFERROR(IF(F315&gt;=0,D315*E315*(1+F315/100),ABS(D315*E315/F315)),"")</f>
        <v>47408.129103214298</v>
      </c>
      <c r="H315" s="43">
        <f>IFERROR(G315*E298,"")</f>
        <v>0</v>
      </c>
    </row>
    <row r="316" spans="1:11">
      <c r="A316" s="28"/>
      <c r="B316" s="29"/>
      <c r="C316" s="30" t="str">
        <f>IFERROR(_xlfn.XLOOKUP(B316,MObra[DESCRIPCION],MObra[UN],,0),"")</f>
        <v/>
      </c>
      <c r="D316" s="31"/>
      <c r="E316" s="32" t="str">
        <f>IFERROR(_xlfn.XLOOKUP($B316,MObra[DESCRIPCION],MObra[VALOR UNIT],,0),"")</f>
        <v/>
      </c>
      <c r="F316" s="33"/>
      <c r="G316" s="34" t="str">
        <f>IFERROR(IF(F316&gt;=0,D316*E316*(1+F316/100),ABS(D316*E316/F316)),"")</f>
        <v/>
      </c>
      <c r="H316" s="43" t="str">
        <f>IFERROR(G316*E298,"")</f>
        <v/>
      </c>
    </row>
    <row r="317" spans="1:11">
      <c r="A317" s="35"/>
      <c r="B317" s="36"/>
      <c r="C317" s="37" t="str">
        <f>IFERROR(_xlfn.XLOOKUP(B317,MObra[DESCRIPCION],MObra[UN],,0),"")</f>
        <v/>
      </c>
      <c r="D317" s="38"/>
      <c r="E317" s="39" t="str">
        <f>IFERROR(_xlfn.XLOOKUP($B317,MObra[DESCRIPCION],MObra[VALOR UNIT],,0),"")</f>
        <v/>
      </c>
      <c r="F317" s="40"/>
      <c r="G317" s="41" t="str">
        <f>IFERROR(IF(F317&gt;=0,D317*E317*(1+F317/100),ABS(D317*E317/F317)),"")</f>
        <v/>
      </c>
      <c r="H317" s="42" t="str">
        <f>IFERROR(G317*E298,"")</f>
        <v/>
      </c>
    </row>
    <row r="319" spans="1:11">
      <c r="A319" s="6" t="s">
        <v>1756</v>
      </c>
      <c r="B319" s="7" t="str">
        <f>VLOOKUP($A319,Presupuesto!$A:$D,2,FALSE())</f>
        <v>Anclaje pasivo barra 1/2" + grouting</v>
      </c>
      <c r="C319" s="8" t="str">
        <f>VLOOKUP($A319,Presupuesto!$A:$D,3,FALSE())</f>
        <v>M</v>
      </c>
      <c r="D319" s="9"/>
      <c r="E319" s="10">
        <f>VLOOKUP($A319,Presupuesto!$A:$D,4,FALSE())</f>
        <v>0</v>
      </c>
      <c r="F319" s="11" t="s">
        <v>2589</v>
      </c>
      <c r="G319" s="12">
        <f>SUM(G321:G338)/2</f>
        <v>167300.24572250358</v>
      </c>
      <c r="H319" s="13">
        <f>ROUND(SUM(H321:H336),0)/2</f>
        <v>0</v>
      </c>
      <c r="I319" s="10">
        <f>VLOOKUP(A319,Presupuesto!$A:$F,6,0)</f>
        <v>0</v>
      </c>
      <c r="J319" s="10">
        <f>+H319-I319</f>
        <v>0</v>
      </c>
      <c r="K319" s="46">
        <f>+H319-G319*E319</f>
        <v>0</v>
      </c>
    </row>
    <row r="320" spans="1:11">
      <c r="A320" s="14"/>
      <c r="B320" s="15" t="s">
        <v>2586</v>
      </c>
      <c r="C320" s="15" t="s">
        <v>5</v>
      </c>
      <c r="D320" s="16" t="s">
        <v>6</v>
      </c>
      <c r="E320" s="17" t="s">
        <v>7</v>
      </c>
      <c r="F320" s="18" t="s">
        <v>3728</v>
      </c>
      <c r="G320" s="19" t="s">
        <v>3729</v>
      </c>
      <c r="H320" s="20" t="s">
        <v>3797</v>
      </c>
    </row>
    <row r="321" spans="1:8">
      <c r="A321" s="21"/>
      <c r="B321" s="22" t="s">
        <v>3730</v>
      </c>
      <c r="C321" s="23"/>
      <c r="D321" s="24"/>
      <c r="E321" s="25"/>
      <c r="F321" s="26"/>
      <c r="G321" s="27">
        <f>SUM(G322:G326)</f>
        <v>21366.45</v>
      </c>
      <c r="H321" s="27">
        <f>IFERROR(G321*E319,"")</f>
        <v>0</v>
      </c>
    </row>
    <row r="322" spans="1:8">
      <c r="A322" s="28"/>
      <c r="B322" s="29" t="s">
        <v>2653</v>
      </c>
      <c r="C322" s="30" t="str">
        <f>IFERROR(_xlfn.XLOOKUP(B322,Insumo[DESCRIPCION],Insumo[UND],,0),"")</f>
        <v>Kg</v>
      </c>
      <c r="D322" s="31">
        <v>1</v>
      </c>
      <c r="E322" s="32">
        <f>IFERROR(_xlfn.XLOOKUP($B322,Insumo[DESCRIPCION],Insumo[VALOR],,0),"")</f>
        <v>5686.8</v>
      </c>
      <c r="F322" s="33">
        <v>5</v>
      </c>
      <c r="G322" s="34">
        <f>IFERROR(IF(F322&gt;=0,D322*E322*(1+F322/100),ABS(D322*E322/F322)),"")</f>
        <v>5971.14</v>
      </c>
      <c r="H322" s="43">
        <f>IFERROR(G322*E319,"")</f>
        <v>0</v>
      </c>
    </row>
    <row r="323" spans="1:8">
      <c r="A323" s="28"/>
      <c r="B323" s="29" t="s">
        <v>2824</v>
      </c>
      <c r="C323" s="30" t="str">
        <f>IFERROR(_xlfn.XLOOKUP(B323,Insumo[DESCRIPCION],Insumo[UND],,0),"")</f>
        <v>Un</v>
      </c>
      <c r="D323" s="31">
        <f>4/50</f>
        <v>0.08</v>
      </c>
      <c r="E323" s="32">
        <f>IFERROR(_xlfn.XLOOKUP($B323,Insumo[DESCRIPCION],Insumo[VALOR],,0),"")</f>
        <v>34230</v>
      </c>
      <c r="F323" s="33"/>
      <c r="G323" s="34">
        <f>IFERROR(IF(F323&gt;=0,D323*E323*(1+F323/100),ABS(D323*E323/F323)),"")</f>
        <v>2738.4</v>
      </c>
      <c r="H323" s="43">
        <f>IFERROR(G323*E319,"")</f>
        <v>0</v>
      </c>
    </row>
    <row r="324" spans="1:8">
      <c r="A324" s="28"/>
      <c r="B324" s="29" t="s">
        <v>2685</v>
      </c>
      <c r="C324" s="30" t="str">
        <f>IFERROR(_xlfn.XLOOKUP(B324,Insumo[DESCRIPCION],Insumo[UND],,0),"")</f>
        <v>Lt</v>
      </c>
      <c r="D324" s="31">
        <v>200</v>
      </c>
      <c r="E324" s="32">
        <f>IFERROR(_xlfn.XLOOKUP($B324,Insumo[DESCRIPCION],Insumo[VALOR],,0),"")</f>
        <v>27.3</v>
      </c>
      <c r="F324" s="33"/>
      <c r="G324" s="34">
        <f>IFERROR(IF(F324&gt;=0,D324*E324*(1+F324/100),ABS(D324*E324/F324)),"")</f>
        <v>5460</v>
      </c>
      <c r="H324" s="43">
        <f>IFERROR(G324*E319,"")</f>
        <v>0</v>
      </c>
    </row>
    <row r="325" spans="1:8">
      <c r="A325" s="28"/>
      <c r="B325" s="29" t="s">
        <v>3312</v>
      </c>
      <c r="C325" s="30" t="str">
        <f>IFERROR(_xlfn.XLOOKUP(B325,Insumo[DESCRIPCION],Insumo[UND],,0),"")</f>
        <v>Kg</v>
      </c>
      <c r="D325" s="31">
        <v>0.2</v>
      </c>
      <c r="E325" s="32">
        <f>IFERROR(_xlfn.XLOOKUP($B325,Insumo[DESCRIPCION],Insumo[VALOR],,0),"")</f>
        <v>16528.05</v>
      </c>
      <c r="F325" s="33"/>
      <c r="G325" s="34">
        <f>IFERROR(IF(F325&gt;=0,D325*E325*(1+F325/100),ABS(D325*E325/F325)),"")</f>
        <v>3305.61</v>
      </c>
      <c r="H325" s="43">
        <f>IFERROR(G325*E319,"")</f>
        <v>0</v>
      </c>
    </row>
    <row r="326" spans="1:8">
      <c r="A326" s="28"/>
      <c r="B326" s="29" t="s">
        <v>3294</v>
      </c>
      <c r="C326" s="30" t="str">
        <f>IFERROR(_xlfn.XLOOKUP(B326,Insumo[DESCRIPCION],Insumo[UND],,0),"")</f>
        <v>Un</v>
      </c>
      <c r="D326" s="31">
        <v>1</v>
      </c>
      <c r="E326" s="32">
        <f>IFERROR(_xlfn.XLOOKUP($B326,Insumo[DESCRIPCION],Insumo[VALOR],,0),"")</f>
        <v>3891.3</v>
      </c>
      <c r="F326" s="33"/>
      <c r="G326" s="34">
        <f>IFERROR(IF(F326&gt;=0,D326*E326*(1+F326/100),ABS(D326*E326/F326)),"")</f>
        <v>3891.3</v>
      </c>
      <c r="H326" s="43">
        <f>IFERROR(G326*E319,"")</f>
        <v>0</v>
      </c>
    </row>
    <row r="327" spans="1:8">
      <c r="A327" s="21"/>
      <c r="B327" s="22" t="s">
        <v>3731</v>
      </c>
      <c r="C327" s="23"/>
      <c r="D327" s="24"/>
      <c r="E327" s="25"/>
      <c r="F327" s="26"/>
      <c r="G327" s="27">
        <f>SUM(G328:G331)</f>
        <v>98525.666619289303</v>
      </c>
      <c r="H327" s="44">
        <f>G327*E319</f>
        <v>0</v>
      </c>
    </row>
    <row r="328" spans="1:8">
      <c r="A328" s="28"/>
      <c r="B328" s="29" t="s">
        <v>3579</v>
      </c>
      <c r="C328" s="30" t="str">
        <f>IFERROR(_xlfn.XLOOKUP(B328,Equipo[DESCRIPCION],Equipo[UND],,0),"")</f>
        <v>Día</v>
      </c>
      <c r="D328" s="31">
        <v>1</v>
      </c>
      <c r="E328" s="32">
        <f>IF(C328="%MO",G335,IFERROR(_xlfn.XLOOKUP($B328,Equipo[DESCRIPCION],Equipo[VALOR],,0),""))</f>
        <v>210276.15000000002</v>
      </c>
      <c r="F328" s="33">
        <v>-2.5</v>
      </c>
      <c r="G328" s="34">
        <f>IFERROR(IF(F328&gt;=0,D328*E328*(1+F328/100),ABS(D328*E328/F328)),"")</f>
        <v>84110.46</v>
      </c>
      <c r="H328" s="43">
        <f>IFERROR(G328*E319,"")</f>
        <v>0</v>
      </c>
    </row>
    <row r="329" spans="1:8">
      <c r="A329" s="28"/>
      <c r="B329" s="29" t="s">
        <v>3575</v>
      </c>
      <c r="C329" s="30" t="str">
        <f>IFERROR(_xlfn.XLOOKUP(B329,Equipo[DESCRIPCION],Equipo[UND],,0),"")</f>
        <v>Día</v>
      </c>
      <c r="D329" s="31">
        <v>1</v>
      </c>
      <c r="E329" s="32">
        <f>IF(C329="%MO",G335,IFERROR(_xlfn.XLOOKUP($B329,Equipo[DESCRIPCION],Equipo[VALOR],,0),""))</f>
        <v>142078.65</v>
      </c>
      <c r="F329" s="33">
        <v>-14</v>
      </c>
      <c r="G329" s="34">
        <f>IFERROR(IF(F329&gt;=0,D329*E329*(1+F329/100),ABS(D329*E329/F329)),"")</f>
        <v>10148.475</v>
      </c>
      <c r="H329" s="43">
        <f>IFERROR(G329*E319,"")</f>
        <v>0</v>
      </c>
    </row>
    <row r="330" spans="1:8">
      <c r="A330" s="28"/>
      <c r="B330" s="29" t="s">
        <v>3570</v>
      </c>
      <c r="C330" s="30" t="str">
        <f>IFERROR(_xlfn.XLOOKUP(B330,Equipo[DESCRIPCION],Equipo[UND],,0),"")</f>
        <v>%MO</v>
      </c>
      <c r="D330" s="31">
        <v>0.04</v>
      </c>
      <c r="E330" s="32">
        <f>IF(C330="%MO",G335,IFERROR(_xlfn.XLOOKUP($B330,Equipo[DESCRIPCION],Equipo[VALOR],,0),""))</f>
        <v>47408.129103214298</v>
      </c>
      <c r="F330" s="33"/>
      <c r="G330" s="34">
        <f>IFERROR(IF(F330&gt;=0,D330*E330*(1+F330/100),ABS(D330*E330/F330)),"")</f>
        <v>1896.3251641285719</v>
      </c>
      <c r="H330" s="43">
        <f>IFERROR(G330*E319,"")</f>
        <v>0</v>
      </c>
    </row>
    <row r="331" spans="1:8">
      <c r="A331" s="28"/>
      <c r="B331" s="29" t="s">
        <v>3626</v>
      </c>
      <c r="C331" s="30" t="str">
        <f>IFERROR(_xlfn.XLOOKUP(B331,Equipo[DESCRIPCION],Equipo[UND],,0),"")</f>
        <v>%MO</v>
      </c>
      <c r="D331" s="31">
        <v>0.05</v>
      </c>
      <c r="E331" s="32">
        <f>IF(C331="%MO",G335,IFERROR(_xlfn.XLOOKUP($B331,Equipo[DESCRIPCION],Equipo[VALOR],,0),""))</f>
        <v>47408.129103214298</v>
      </c>
      <c r="F331" s="33"/>
      <c r="G331" s="34">
        <f>IFERROR(IF(F331&gt;=0,D331*E331*(1+F331/100),ABS(D331*E331/F331)),"")</f>
        <v>2370.4064551607148</v>
      </c>
      <c r="H331" s="43">
        <f>IFERROR(G331*E319,"")</f>
        <v>0</v>
      </c>
    </row>
    <row r="332" spans="1:8">
      <c r="A332" s="21"/>
      <c r="B332" s="22" t="s">
        <v>2533</v>
      </c>
      <c r="C332" s="23"/>
      <c r="D332" s="24"/>
      <c r="E332" s="25"/>
      <c r="F332" s="26"/>
      <c r="G332" s="27">
        <f>SUM(G333:G334)</f>
        <v>0</v>
      </c>
      <c r="H332" s="44">
        <f>G332*E319</f>
        <v>0</v>
      </c>
    </row>
    <row r="333" spans="1:8">
      <c r="A333" s="28"/>
      <c r="B333" s="29"/>
      <c r="C333" s="30" t="str">
        <f>IFERROR(_xlfn.XLOOKUP(B333,Transporte[DESCRIPCION],Transporte[UND],,0),"")</f>
        <v/>
      </c>
      <c r="D333" s="31"/>
      <c r="E333" s="32" t="str">
        <f>IFERROR(_xlfn.XLOOKUP($B333,Transporte[DESCRIPCION],Transporte[VALOR],,0),"")</f>
        <v/>
      </c>
      <c r="F333" s="33"/>
      <c r="G333" s="34" t="str">
        <f>IFERROR(IF(F333&gt;=0,D333*E333*(1+F333/100),ABS(D333*E333/F333)),"")</f>
        <v/>
      </c>
      <c r="H333" s="43" t="str">
        <f>IFERROR(G333*E319,"")</f>
        <v/>
      </c>
    </row>
    <row r="334" spans="1:8">
      <c r="A334" s="28"/>
      <c r="B334" s="29"/>
      <c r="C334" s="30" t="str">
        <f>IFERROR(_xlfn.XLOOKUP(B334,Transporte[DESCRIPCION],Transporte[UND],,0),"")</f>
        <v/>
      </c>
      <c r="D334" s="31"/>
      <c r="E334" s="32" t="str">
        <f>IFERROR(_xlfn.XLOOKUP($B334,Transporte[DESCRIPCION],Transporte[VALOR],,0),"")</f>
        <v/>
      </c>
      <c r="F334" s="33"/>
      <c r="G334" s="34" t="str">
        <f>IFERROR(IF(F334&gt;=0,D334*E334*(1+F334/100),ABS(D334*E334/F334)),"")</f>
        <v/>
      </c>
      <c r="H334" s="43" t="str">
        <f>IFERROR(G334*E319,"")</f>
        <v/>
      </c>
    </row>
    <row r="335" spans="1:8">
      <c r="A335" s="21"/>
      <c r="B335" s="22" t="s">
        <v>3732</v>
      </c>
      <c r="C335" s="23"/>
      <c r="D335" s="24"/>
      <c r="E335" s="25"/>
      <c r="F335" s="26"/>
      <c r="G335" s="27">
        <f>SUM(G336:G338)</f>
        <v>47408.129103214298</v>
      </c>
      <c r="H335" s="44">
        <f>G335*E319</f>
        <v>0</v>
      </c>
    </row>
    <row r="336" spans="1:8">
      <c r="A336" s="28"/>
      <c r="B336" s="29" t="s">
        <v>3713</v>
      </c>
      <c r="C336" s="30" t="str">
        <f>IFERROR(_xlfn.XLOOKUP(B336,MObra[DESCRIPCION],MObra[UN],,0),"")</f>
        <v>día</v>
      </c>
      <c r="D336" s="31">
        <v>1</v>
      </c>
      <c r="E336" s="32">
        <f>IFERROR(_xlfn.XLOOKUP($B336,MObra[DESCRIPCION],MObra[VALOR UNIT],,0),"")</f>
        <v>663713.80744500016</v>
      </c>
      <c r="F336" s="33">
        <v>-14</v>
      </c>
      <c r="G336" s="34">
        <f>IFERROR(IF(F336&gt;=0,D336*E336*(1+F336/100),ABS(D336*E336/F336)),"")</f>
        <v>47408.129103214298</v>
      </c>
      <c r="H336" s="43">
        <f>IFERROR(G336*E319,"")</f>
        <v>0</v>
      </c>
    </row>
    <row r="337" spans="1:11">
      <c r="A337" s="28"/>
      <c r="B337" s="29"/>
      <c r="C337" s="30" t="str">
        <f>IFERROR(_xlfn.XLOOKUP(B337,MObra[DESCRIPCION],MObra[UN],,0),"")</f>
        <v/>
      </c>
      <c r="D337" s="31"/>
      <c r="E337" s="32" t="str">
        <f>IFERROR(_xlfn.XLOOKUP($B337,MObra[DESCRIPCION],MObra[VALOR UNIT],,0),"")</f>
        <v/>
      </c>
      <c r="F337" s="33"/>
      <c r="G337" s="34" t="str">
        <f>IFERROR(IF(F337&gt;=0,D337*E337*(1+F337/100),ABS(D337*E337/F337)),"")</f>
        <v/>
      </c>
      <c r="H337" s="43" t="str">
        <f>IFERROR(G337*E319,"")</f>
        <v/>
      </c>
    </row>
    <row r="338" spans="1:11">
      <c r="A338" s="35"/>
      <c r="B338" s="36"/>
      <c r="C338" s="37" t="str">
        <f>IFERROR(_xlfn.XLOOKUP(B338,MObra[DESCRIPCION],MObra[UN],,0),"")</f>
        <v/>
      </c>
      <c r="D338" s="38"/>
      <c r="E338" s="39" t="str">
        <f>IFERROR(_xlfn.XLOOKUP($B338,MObra[DESCRIPCION],MObra[VALOR UNIT],,0),"")</f>
        <v/>
      </c>
      <c r="F338" s="40"/>
      <c r="G338" s="41" t="str">
        <f>IFERROR(IF(F338&gt;=0,D338*E338*(1+F338/100),ABS(D338*E338/F338)),"")</f>
        <v/>
      </c>
      <c r="H338" s="42" t="str">
        <f>IFERROR(G338*E319,"")</f>
        <v/>
      </c>
    </row>
    <row r="340" spans="1:11">
      <c r="A340" s="6" t="s">
        <v>1758</v>
      </c>
      <c r="B340" s="7" t="str">
        <f>VLOOKUP($A340,Presupuesto!$A:$D,2,FALSE())</f>
        <v>Anclaje para soporte de acero de pantalla. No incluye acero</v>
      </c>
      <c r="C340" s="8" t="str">
        <f>VLOOKUP($A340,Presupuesto!$A:$D,3,FALSE())</f>
        <v>M</v>
      </c>
      <c r="D340" s="9"/>
      <c r="E340" s="10">
        <f>VLOOKUP($A340,Presupuesto!$A:$D,4,FALSE())</f>
        <v>0</v>
      </c>
      <c r="F340" s="11" t="s">
        <v>2589</v>
      </c>
      <c r="G340" s="12">
        <f>SUM(G342:G359)/2</f>
        <v>143189.14000767001</v>
      </c>
      <c r="H340" s="13">
        <f>ROUND(SUM(H342:H357),0)/2</f>
        <v>0</v>
      </c>
      <c r="I340" s="10">
        <f>VLOOKUP(A340,Presupuesto!$A:$F,6,0)</f>
        <v>0</v>
      </c>
      <c r="J340" s="10">
        <f>+H340-I340</f>
        <v>0</v>
      </c>
      <c r="K340" s="46">
        <f>+H340-G340*E340</f>
        <v>0</v>
      </c>
    </row>
    <row r="341" spans="1:11">
      <c r="A341" s="14"/>
      <c r="B341" s="15" t="s">
        <v>2586</v>
      </c>
      <c r="C341" s="15" t="s">
        <v>5</v>
      </c>
      <c r="D341" s="16" t="s">
        <v>6</v>
      </c>
      <c r="E341" s="17" t="s">
        <v>7</v>
      </c>
      <c r="F341" s="18" t="s">
        <v>3728</v>
      </c>
      <c r="G341" s="19" t="s">
        <v>3729</v>
      </c>
      <c r="H341" s="20" t="s">
        <v>3797</v>
      </c>
    </row>
    <row r="342" spans="1:11">
      <c r="A342" s="21"/>
      <c r="B342" s="22" t="s">
        <v>3730</v>
      </c>
      <c r="C342" s="23"/>
      <c r="D342" s="24"/>
      <c r="E342" s="25"/>
      <c r="F342" s="26"/>
      <c r="G342" s="27">
        <f>SUM(G343:G347)</f>
        <v>15395.310000000001</v>
      </c>
      <c r="H342" s="27">
        <f>IFERROR(G342*E340,"")</f>
        <v>0</v>
      </c>
    </row>
    <row r="343" spans="1:11">
      <c r="A343" s="28"/>
      <c r="B343" s="29" t="s">
        <v>2824</v>
      </c>
      <c r="C343" s="30" t="str">
        <f>IFERROR(_xlfn.XLOOKUP(B343,Insumo[DESCRIPCION],Insumo[UND],,0),"")</f>
        <v>Un</v>
      </c>
      <c r="D343" s="31">
        <f>4/50</f>
        <v>0.08</v>
      </c>
      <c r="E343" s="32">
        <f>IFERROR(_xlfn.XLOOKUP($B343,Insumo[DESCRIPCION],Insumo[VALOR],,0),"")</f>
        <v>34230</v>
      </c>
      <c r="F343" s="33"/>
      <c r="G343" s="34">
        <f>IFERROR(IF(F343&gt;=0,D343*E343*(1+F343/100),ABS(D343*E343/F343)),"")</f>
        <v>2738.4</v>
      </c>
      <c r="H343" s="43">
        <f>IFERROR(G343*E340,"")</f>
        <v>0</v>
      </c>
    </row>
    <row r="344" spans="1:11">
      <c r="A344" s="28"/>
      <c r="B344" s="29" t="s">
        <v>2685</v>
      </c>
      <c r="C344" s="30" t="str">
        <f>IFERROR(_xlfn.XLOOKUP(B344,Insumo[DESCRIPCION],Insumo[UND],,0),"")</f>
        <v>Lt</v>
      </c>
      <c r="D344" s="31">
        <v>200</v>
      </c>
      <c r="E344" s="32">
        <f>IFERROR(_xlfn.XLOOKUP($B344,Insumo[DESCRIPCION],Insumo[VALOR],,0),"")</f>
        <v>27.3</v>
      </c>
      <c r="F344" s="33"/>
      <c r="G344" s="34">
        <f>IFERROR(IF(F344&gt;=0,D344*E344*(1+F344/100),ABS(D344*E344/F344)),"")</f>
        <v>5460</v>
      </c>
      <c r="H344" s="43">
        <f>IFERROR(G344*E340,"")</f>
        <v>0</v>
      </c>
    </row>
    <row r="345" spans="1:11">
      <c r="A345" s="28"/>
      <c r="B345" s="29" t="s">
        <v>3312</v>
      </c>
      <c r="C345" s="30" t="str">
        <f>IFERROR(_xlfn.XLOOKUP(B345,Insumo[DESCRIPCION],Insumo[UND],,0),"")</f>
        <v>Kg</v>
      </c>
      <c r="D345" s="31">
        <v>0.2</v>
      </c>
      <c r="E345" s="32">
        <f>IFERROR(_xlfn.XLOOKUP($B345,Insumo[DESCRIPCION],Insumo[VALOR],,0),"")</f>
        <v>16528.05</v>
      </c>
      <c r="F345" s="33"/>
      <c r="G345" s="34">
        <f>IFERROR(IF(F345&gt;=0,D345*E345*(1+F345/100),ABS(D345*E345/F345)),"")</f>
        <v>3305.61</v>
      </c>
      <c r="H345" s="43">
        <f>IFERROR(G345*E340,"")</f>
        <v>0</v>
      </c>
    </row>
    <row r="346" spans="1:11">
      <c r="A346" s="28"/>
      <c r="B346" s="29" t="s">
        <v>3294</v>
      </c>
      <c r="C346" s="30" t="str">
        <f>IFERROR(_xlfn.XLOOKUP(B346,Insumo[DESCRIPCION],Insumo[UND],,0),"")</f>
        <v>Un</v>
      </c>
      <c r="D346" s="31">
        <v>1</v>
      </c>
      <c r="E346" s="32">
        <f>IFERROR(_xlfn.XLOOKUP($B346,Insumo[DESCRIPCION],Insumo[VALOR],,0),"")</f>
        <v>3891.3</v>
      </c>
      <c r="F346" s="33"/>
      <c r="G346" s="34">
        <f>IFERROR(IF(F346&gt;=0,D346*E346*(1+F346/100),ABS(D346*E346/F346)),"")</f>
        <v>3891.3</v>
      </c>
      <c r="H346" s="43">
        <f>IFERROR(G346*E340,"")</f>
        <v>0</v>
      </c>
    </row>
    <row r="347" spans="1:11">
      <c r="A347" s="28"/>
      <c r="B347" s="29"/>
      <c r="C347" s="30" t="str">
        <f>IFERROR(_xlfn.XLOOKUP(B347,Insumo[DESCRIPCION],Insumo[UND],,0),"")</f>
        <v/>
      </c>
      <c r="D347" s="31"/>
      <c r="E347" s="32" t="str">
        <f>IFERROR(_xlfn.XLOOKUP($B347,Insumo[DESCRIPCION],Insumo[VALOR],,0),"")</f>
        <v/>
      </c>
      <c r="F347" s="33"/>
      <c r="G347" s="34" t="str">
        <f>IFERROR(IF(F347&gt;=0,D347*E347*(1+F347/100),ABS(D347*E347/F347)),"")</f>
        <v/>
      </c>
      <c r="H347" s="43" t="str">
        <f>IFERROR(G347*E340,"")</f>
        <v/>
      </c>
    </row>
    <row r="348" spans="1:11">
      <c r="A348" s="21"/>
      <c r="B348" s="22" t="s">
        <v>3731</v>
      </c>
      <c r="C348" s="23"/>
      <c r="D348" s="24"/>
      <c r="E348" s="25"/>
      <c r="F348" s="26"/>
      <c r="G348" s="27">
        <f>SUM(G349:G352)</f>
        <v>83546.242844670007</v>
      </c>
      <c r="H348" s="44">
        <f>G348*E340</f>
        <v>0</v>
      </c>
    </row>
    <row r="349" spans="1:11">
      <c r="A349" s="28"/>
      <c r="B349" s="29" t="s">
        <v>3579</v>
      </c>
      <c r="C349" s="30" t="str">
        <f>IFERROR(_xlfn.XLOOKUP(B349,Equipo[DESCRIPCION],Equipo[UND],,0),"")</f>
        <v>Día</v>
      </c>
      <c r="D349" s="31">
        <v>1</v>
      </c>
      <c r="E349" s="32">
        <f>IF(C349="%MO",G356,IFERROR(_xlfn.XLOOKUP($B349,Equipo[DESCRIPCION],Equipo[VALOR],,0),""))</f>
        <v>210276.15000000002</v>
      </c>
      <c r="F349" s="33">
        <v>-3</v>
      </c>
      <c r="G349" s="34">
        <f>IFERROR(IF(F349&gt;=0,D349*E349*(1+F349/100),ABS(D349*E349/F349)),"")</f>
        <v>70092.05</v>
      </c>
      <c r="H349" s="43">
        <f>IFERROR(G349*E340,"")</f>
        <v>0</v>
      </c>
    </row>
    <row r="350" spans="1:11">
      <c r="A350" s="28"/>
      <c r="B350" s="29" t="s">
        <v>3575</v>
      </c>
      <c r="C350" s="30" t="str">
        <f>IFERROR(_xlfn.XLOOKUP(B350,Equipo[DESCRIPCION],Equipo[UND],,0),"")</f>
        <v>Día</v>
      </c>
      <c r="D350" s="31">
        <v>1</v>
      </c>
      <c r="E350" s="32">
        <f>IF(C350="%MO",G356,IFERROR(_xlfn.XLOOKUP($B350,Equipo[DESCRIPCION],Equipo[VALOR],,0),""))</f>
        <v>142078.65</v>
      </c>
      <c r="F350" s="33">
        <v>-15</v>
      </c>
      <c r="G350" s="34">
        <f>IFERROR(IF(F350&gt;=0,D350*E350*(1+F350/100),ABS(D350*E350/F350)),"")</f>
        <v>9471.91</v>
      </c>
      <c r="H350" s="43">
        <f>IFERROR(G350*E340,"")</f>
        <v>0</v>
      </c>
    </row>
    <row r="351" spans="1:11">
      <c r="A351" s="28"/>
      <c r="B351" s="29" t="s">
        <v>3570</v>
      </c>
      <c r="C351" s="30" t="str">
        <f>IFERROR(_xlfn.XLOOKUP(B351,Equipo[DESCRIPCION],Equipo[UND],,0),"")</f>
        <v>%MO</v>
      </c>
      <c r="D351" s="31">
        <v>0.04</v>
      </c>
      <c r="E351" s="32">
        <f>IF(C351="%MO",G356,IFERROR(_xlfn.XLOOKUP($B351,Equipo[DESCRIPCION],Equipo[VALOR],,0),""))</f>
        <v>44247.587163000011</v>
      </c>
      <c r="F351" s="33"/>
      <c r="G351" s="34">
        <f>IFERROR(IF(F351&gt;=0,D351*E351*(1+F351/100),ABS(D351*E351/F351)),"")</f>
        <v>1769.9034865200006</v>
      </c>
      <c r="H351" s="43">
        <f>IFERROR(G351*E340,"")</f>
        <v>0</v>
      </c>
    </row>
    <row r="352" spans="1:11">
      <c r="A352" s="28"/>
      <c r="B352" s="29" t="s">
        <v>3626</v>
      </c>
      <c r="C352" s="30" t="str">
        <f>IFERROR(_xlfn.XLOOKUP(B352,Equipo[DESCRIPCION],Equipo[UND],,0),"")</f>
        <v>%MO</v>
      </c>
      <c r="D352" s="31">
        <v>0.05</v>
      </c>
      <c r="E352" s="32">
        <f>IF(C352="%MO",G356,IFERROR(_xlfn.XLOOKUP($B352,Equipo[DESCRIPCION],Equipo[VALOR],,0),""))</f>
        <v>44247.587163000011</v>
      </c>
      <c r="F352" s="33"/>
      <c r="G352" s="34">
        <f>IFERROR(IF(F352&gt;=0,D352*E352*(1+F352/100),ABS(D352*E352/F352)),"")</f>
        <v>2212.3793581500008</v>
      </c>
      <c r="H352" s="43">
        <f>IFERROR(G352*E340,"")</f>
        <v>0</v>
      </c>
    </row>
    <row r="353" spans="1:11">
      <c r="A353" s="21"/>
      <c r="B353" s="22" t="s">
        <v>2533</v>
      </c>
      <c r="C353" s="23"/>
      <c r="D353" s="24"/>
      <c r="E353" s="25"/>
      <c r="F353" s="26"/>
      <c r="G353" s="27">
        <f>SUM(G354:G355)</f>
        <v>0</v>
      </c>
      <c r="H353" s="44">
        <f>G353*E340</f>
        <v>0</v>
      </c>
    </row>
    <row r="354" spans="1:11">
      <c r="A354" s="28"/>
      <c r="B354" s="29"/>
      <c r="C354" s="30" t="str">
        <f>IFERROR(_xlfn.XLOOKUP(B354,Transporte[DESCRIPCION],Transporte[UND],,0),"")</f>
        <v/>
      </c>
      <c r="D354" s="31"/>
      <c r="E354" s="32" t="str">
        <f>IFERROR(_xlfn.XLOOKUP($B354,Transporte[DESCRIPCION],Transporte[VALOR],,0),"")</f>
        <v/>
      </c>
      <c r="F354" s="33"/>
      <c r="G354" s="34" t="str">
        <f>IFERROR(IF(F354&gt;=0,D354*E354*(1+F354/100),ABS(D354*E354/F354)),"")</f>
        <v/>
      </c>
      <c r="H354" s="43" t="str">
        <f>IFERROR(G354*E340,"")</f>
        <v/>
      </c>
    </row>
    <row r="355" spans="1:11">
      <c r="A355" s="28"/>
      <c r="B355" s="29"/>
      <c r="C355" s="30" t="str">
        <f>IFERROR(_xlfn.XLOOKUP(B355,Transporte[DESCRIPCION],Transporte[UND],,0),"")</f>
        <v/>
      </c>
      <c r="D355" s="31"/>
      <c r="E355" s="32" t="str">
        <f>IFERROR(_xlfn.XLOOKUP($B355,Transporte[DESCRIPCION],Transporte[VALOR],,0),"")</f>
        <v/>
      </c>
      <c r="F355" s="33"/>
      <c r="G355" s="34" t="str">
        <f>IFERROR(IF(F355&gt;=0,D355*E355*(1+F355/100),ABS(D355*E355/F355)),"")</f>
        <v/>
      </c>
      <c r="H355" s="43" t="str">
        <f>IFERROR(G355*E340,"")</f>
        <v/>
      </c>
    </row>
    <row r="356" spans="1:11">
      <c r="A356" s="21"/>
      <c r="B356" s="22" t="s">
        <v>3732</v>
      </c>
      <c r="C356" s="23"/>
      <c r="D356" s="24"/>
      <c r="E356" s="25"/>
      <c r="F356" s="26"/>
      <c r="G356" s="27">
        <f>SUM(G357:G359)</f>
        <v>44247.587163000011</v>
      </c>
      <c r="H356" s="44">
        <f>G356*E340</f>
        <v>0</v>
      </c>
    </row>
    <row r="357" spans="1:11">
      <c r="A357" s="28"/>
      <c r="B357" s="29" t="s">
        <v>3713</v>
      </c>
      <c r="C357" s="30" t="str">
        <f>IFERROR(_xlfn.XLOOKUP(B357,MObra[DESCRIPCION],MObra[UN],,0),"")</f>
        <v>día</v>
      </c>
      <c r="D357" s="31">
        <v>1</v>
      </c>
      <c r="E357" s="32">
        <f>IFERROR(_xlfn.XLOOKUP($B357,MObra[DESCRIPCION],MObra[VALOR UNIT],,0),"")</f>
        <v>663713.80744500016</v>
      </c>
      <c r="F357" s="33">
        <v>-15</v>
      </c>
      <c r="G357" s="34">
        <f>IFERROR(IF(F357&gt;=0,D357*E357*(1+F357/100),ABS(D357*E357/F357)),"")</f>
        <v>44247.587163000011</v>
      </c>
      <c r="H357" s="43">
        <f>IFERROR(G357*E340,"")</f>
        <v>0</v>
      </c>
    </row>
    <row r="358" spans="1:11">
      <c r="A358" s="28"/>
      <c r="B358" s="29"/>
      <c r="C358" s="30" t="str">
        <f>IFERROR(_xlfn.XLOOKUP(B358,MObra[DESCRIPCION],MObra[UN],,0),"")</f>
        <v/>
      </c>
      <c r="D358" s="31"/>
      <c r="E358" s="32" t="str">
        <f>IFERROR(_xlfn.XLOOKUP($B358,MObra[DESCRIPCION],MObra[VALOR UNIT],,0),"")</f>
        <v/>
      </c>
      <c r="F358" s="33"/>
      <c r="G358" s="34" t="str">
        <f>IFERROR(IF(F358&gt;=0,D358*E358*(1+F358/100),ABS(D358*E358/F358)),"")</f>
        <v/>
      </c>
      <c r="H358" s="43" t="str">
        <f>IFERROR(G358*E340,"")</f>
        <v/>
      </c>
    </row>
    <row r="359" spans="1:11">
      <c r="A359" s="35"/>
      <c r="B359" s="36"/>
      <c r="C359" s="37" t="str">
        <f>IFERROR(_xlfn.XLOOKUP(B359,MObra[DESCRIPCION],MObra[UN],,0),"")</f>
        <v/>
      </c>
      <c r="D359" s="38"/>
      <c r="E359" s="39" t="str">
        <f>IFERROR(_xlfn.XLOOKUP($B359,MObra[DESCRIPCION],MObra[VALOR UNIT],,0),"")</f>
        <v/>
      </c>
      <c r="F359" s="40"/>
      <c r="G359" s="41" t="str">
        <f>IFERROR(IF(F359&gt;=0,D359*E359*(1+F359/100),ABS(D359*E359/F359)),"")</f>
        <v/>
      </c>
      <c r="H359" s="42" t="str">
        <f>IFERROR(G359*E340,"")</f>
        <v/>
      </c>
    </row>
    <row r="361" spans="1:11">
      <c r="A361" s="6" t="s">
        <v>1760</v>
      </c>
      <c r="B361" s="7" t="str">
        <f>VLOOKUP($A361,Presupuesto!$A:$D,2,FALSE())</f>
        <v>Cable con alma de fibra de 3/8"</v>
      </c>
      <c r="C361" s="8" t="str">
        <f>VLOOKUP($A361,Presupuesto!$A:$D,3,FALSE())</f>
        <v>M</v>
      </c>
      <c r="D361" s="9"/>
      <c r="E361" s="10">
        <f>VLOOKUP($A361,Presupuesto!$A:$D,4,FALSE())</f>
        <v>0</v>
      </c>
      <c r="F361" s="11" t="s">
        <v>2589</v>
      </c>
      <c r="G361" s="12">
        <f>SUM(G363:G379)/2</f>
        <v>19989.292000767</v>
      </c>
      <c r="H361" s="13">
        <f>ROUND(SUM(H363:H377),0)/2</f>
        <v>0</v>
      </c>
      <c r="I361" s="10">
        <f>VLOOKUP(A361,Presupuesto!$A:$F,6,0)</f>
        <v>0</v>
      </c>
      <c r="J361" s="10">
        <f>+H361-I361</f>
        <v>0</v>
      </c>
      <c r="K361" s="46">
        <f>+H361-G361*E361</f>
        <v>0</v>
      </c>
    </row>
    <row r="362" spans="1:11">
      <c r="A362" s="14"/>
      <c r="B362" s="15" t="s">
        <v>2586</v>
      </c>
      <c r="C362" s="15" t="s">
        <v>5</v>
      </c>
      <c r="D362" s="16" t="s">
        <v>6</v>
      </c>
      <c r="E362" s="17" t="s">
        <v>7</v>
      </c>
      <c r="F362" s="18" t="s">
        <v>3728</v>
      </c>
      <c r="G362" s="19" t="s">
        <v>3729</v>
      </c>
      <c r="H362" s="20" t="s">
        <v>3797</v>
      </c>
    </row>
    <row r="363" spans="1:11">
      <c r="A363" s="21"/>
      <c r="B363" s="22" t="s">
        <v>3730</v>
      </c>
      <c r="C363" s="23"/>
      <c r="D363" s="24"/>
      <c r="E363" s="25"/>
      <c r="F363" s="26"/>
      <c r="G363" s="27">
        <f>SUM(G364:G368)</f>
        <v>15166.305</v>
      </c>
      <c r="H363" s="27">
        <f>IFERROR(G363*E361,"")</f>
        <v>0</v>
      </c>
    </row>
    <row r="364" spans="1:11">
      <c r="A364" s="28"/>
      <c r="B364" s="29" t="s">
        <v>2788</v>
      </c>
      <c r="C364" s="30" t="str">
        <f>IFERROR(_xlfn.XLOOKUP(B364,Insumo[DESCRIPCION],Insumo[UND],,0),"")</f>
        <v>M</v>
      </c>
      <c r="D364" s="31">
        <v>1</v>
      </c>
      <c r="E364" s="32">
        <f>IFERROR(_xlfn.XLOOKUP($B364,Insumo[DESCRIPCION],Insumo[VALOR],,0),"")</f>
        <v>9032.1</v>
      </c>
      <c r="F364" s="33">
        <v>5</v>
      </c>
      <c r="G364" s="34">
        <f>IFERROR(IF(F364&gt;=0,D364*E364*(1+F364/100),ABS(D364*E364/F364)),"")</f>
        <v>9483.7049999999999</v>
      </c>
      <c r="H364" s="43">
        <f>IFERROR(G364*E340,"")</f>
        <v>0</v>
      </c>
    </row>
    <row r="365" spans="1:11">
      <c r="A365" s="28"/>
      <c r="B365" s="29" t="s">
        <v>2989</v>
      </c>
      <c r="C365" s="30" t="str">
        <f>IFERROR(_xlfn.XLOOKUP(B365,Insumo[DESCRIPCION],Insumo[UND],,0),"")</f>
        <v>Un</v>
      </c>
      <c r="D365" s="31">
        <v>2</v>
      </c>
      <c r="E365" s="32">
        <f>IFERROR(_xlfn.XLOOKUP($B365,Insumo[DESCRIPCION],Insumo[VALOR],,0),"")</f>
        <v>2841.3</v>
      </c>
      <c r="F365" s="33"/>
      <c r="G365" s="34">
        <f>IFERROR(IF(F365&gt;=0,D365*E365*(1+F365/100),ABS(D365*E365/F365)),"")</f>
        <v>5682.6</v>
      </c>
      <c r="H365" s="43">
        <f>IFERROR(G365*E340,"")</f>
        <v>0</v>
      </c>
    </row>
    <row r="366" spans="1:11">
      <c r="A366" s="28"/>
      <c r="B366" s="29"/>
      <c r="C366" s="30" t="str">
        <f>IFERROR(_xlfn.XLOOKUP(B366,Insumo[DESCRIPCION],Insumo[UND],,0),"")</f>
        <v/>
      </c>
      <c r="D366" s="31"/>
      <c r="E366" s="32" t="str">
        <f>IFERROR(_xlfn.XLOOKUP($B366,Insumo[DESCRIPCION],Insumo[VALOR],,0),"")</f>
        <v/>
      </c>
      <c r="F366" s="33"/>
      <c r="G366" s="34" t="str">
        <f>IFERROR(IF(F366&gt;=0,D366*E366*(1+F366/100),ABS(D366*E366/F366)),"")</f>
        <v/>
      </c>
      <c r="H366" s="43" t="str">
        <f>IFERROR(G366*E340,"")</f>
        <v/>
      </c>
    </row>
    <row r="367" spans="1:11">
      <c r="A367" s="28"/>
      <c r="B367" s="29"/>
      <c r="C367" s="30" t="str">
        <f>IFERROR(_xlfn.XLOOKUP(B367,Insumo[DESCRIPCION],Insumo[UND],,0),"")</f>
        <v/>
      </c>
      <c r="D367" s="31"/>
      <c r="E367" s="32" t="str">
        <f>IFERROR(_xlfn.XLOOKUP($B367,Insumo[DESCRIPCION],Insumo[VALOR],,0),"")</f>
        <v/>
      </c>
      <c r="F367" s="33"/>
      <c r="G367" s="34" t="str">
        <f>IFERROR(IF(F367&gt;=0,D367*E367*(1+F367/100),ABS(D367*E367/F367)),"")</f>
        <v/>
      </c>
      <c r="H367" s="43" t="str">
        <f>IFERROR(G367*E340,"")</f>
        <v/>
      </c>
    </row>
    <row r="368" spans="1:11">
      <c r="A368" s="28"/>
      <c r="B368" s="29"/>
      <c r="C368" s="30" t="str">
        <f>IFERROR(_xlfn.XLOOKUP(B368,Insumo[DESCRIPCION],Insumo[UND],,0),"")</f>
        <v/>
      </c>
      <c r="D368" s="31"/>
      <c r="E368" s="32" t="str">
        <f>IFERROR(_xlfn.XLOOKUP($B368,Insumo[DESCRIPCION],Insumo[VALOR],,0),"")</f>
        <v/>
      </c>
      <c r="F368" s="33"/>
      <c r="G368" s="34" t="str">
        <f>IFERROR(IF(F368&gt;=0,D368*E368*(1+F368/100),ABS(D368*E368/F368)),"")</f>
        <v/>
      </c>
      <c r="H368" s="43" t="str">
        <f>IFERROR(G368*E340,"")</f>
        <v/>
      </c>
    </row>
    <row r="369" spans="1:11">
      <c r="A369" s="21"/>
      <c r="B369" s="22" t="s">
        <v>3731</v>
      </c>
      <c r="C369" s="23"/>
      <c r="D369" s="24"/>
      <c r="E369" s="25"/>
      <c r="F369" s="26"/>
      <c r="G369" s="27">
        <f>SUM(G370:G372)</f>
        <v>398.22828446700009</v>
      </c>
      <c r="H369" s="44">
        <f>G369*E361</f>
        <v>0</v>
      </c>
    </row>
    <row r="370" spans="1:11">
      <c r="A370" s="28"/>
      <c r="B370" s="29" t="s">
        <v>3570</v>
      </c>
      <c r="C370" s="30" t="str">
        <f>IFERROR(_xlfn.XLOOKUP(B370,Equipo[DESCRIPCION],Equipo[UND],,0),"")</f>
        <v>%MO</v>
      </c>
      <c r="D370" s="31">
        <v>0.04</v>
      </c>
      <c r="E370" s="32">
        <f>IF(C370="%MO",G376,IFERROR(_xlfn.XLOOKUP($B370,Equipo[DESCRIPCION],Equipo[VALOR],,0),""))</f>
        <v>4424.7587163000007</v>
      </c>
      <c r="F370" s="33"/>
      <c r="G370" s="34">
        <f>IFERROR(IF(F370&gt;=0,D370*E370*(1+F370/100),ABS(D370*E370/F370)),"")</f>
        <v>176.99034865200002</v>
      </c>
      <c r="H370" s="43">
        <f>IFERROR(G370*E361,"")</f>
        <v>0</v>
      </c>
    </row>
    <row r="371" spans="1:11">
      <c r="A371" s="28"/>
      <c r="B371" s="29" t="s">
        <v>3626</v>
      </c>
      <c r="C371" s="30" t="str">
        <f>IFERROR(_xlfn.XLOOKUP(B371,Equipo[DESCRIPCION],Equipo[UND],,0),"")</f>
        <v>%MO</v>
      </c>
      <c r="D371" s="31">
        <v>0.05</v>
      </c>
      <c r="E371" s="32">
        <f>IF(C371="%MO",G376,IFERROR(_xlfn.XLOOKUP($B371,Equipo[DESCRIPCION],Equipo[VALOR],,0),""))</f>
        <v>4424.7587163000007</v>
      </c>
      <c r="F371" s="33"/>
      <c r="G371" s="34">
        <f>IFERROR(IF(F371&gt;=0,D371*E371*(1+F371/100),ABS(D371*E371/F371)),"")</f>
        <v>221.23793581500004</v>
      </c>
      <c r="H371" s="43">
        <f>IFERROR(G371*E361,"")</f>
        <v>0</v>
      </c>
    </row>
    <row r="372" spans="1:11">
      <c r="A372" s="28"/>
      <c r="B372" s="29"/>
      <c r="C372" s="30" t="str">
        <f>IFERROR(_xlfn.XLOOKUP(B372,Equipo[DESCRIPCION],Equipo[UND],,0),"")</f>
        <v/>
      </c>
      <c r="D372" s="31"/>
      <c r="E372" s="32" t="str">
        <f>IF(C372="%MO",G376,IFERROR(_xlfn.XLOOKUP($B372,Equipo[DESCRIPCION],Equipo[VALOR],,0),""))</f>
        <v/>
      </c>
      <c r="F372" s="33"/>
      <c r="G372" s="34" t="str">
        <f>IFERROR(IF(F372&gt;=0,D372*E372*(1+F372/100),ABS(D372*E372/F372)),"")</f>
        <v/>
      </c>
      <c r="H372" s="43" t="str">
        <f>IFERROR(G372*E361,"")</f>
        <v/>
      </c>
    </row>
    <row r="373" spans="1:11">
      <c r="A373" s="21"/>
      <c r="B373" s="22" t="s">
        <v>2533</v>
      </c>
      <c r="C373" s="23"/>
      <c r="D373" s="24"/>
      <c r="E373" s="25"/>
      <c r="F373" s="26"/>
      <c r="G373" s="27">
        <f>SUM(G374:G375)</f>
        <v>0</v>
      </c>
      <c r="H373" s="44">
        <f>G373*E361</f>
        <v>0</v>
      </c>
    </row>
    <row r="374" spans="1:11">
      <c r="A374" s="28"/>
      <c r="B374" s="29"/>
      <c r="C374" s="30" t="str">
        <f>IFERROR(_xlfn.XLOOKUP(B374,Transporte[DESCRIPCION],Transporte[UND],,0),"")</f>
        <v/>
      </c>
      <c r="D374" s="31"/>
      <c r="E374" s="32" t="str">
        <f>IFERROR(_xlfn.XLOOKUP($B374,Transporte[DESCRIPCION],Transporte[VALOR],,0),"")</f>
        <v/>
      </c>
      <c r="F374" s="33"/>
      <c r="G374" s="34" t="str">
        <f>IFERROR(IF(F374&gt;=0,D374*E374*(1+F374/100),ABS(D374*E374/F374)),"")</f>
        <v/>
      </c>
      <c r="H374" s="43" t="str">
        <f>IFERROR(G374*E361,"")</f>
        <v/>
      </c>
    </row>
    <row r="375" spans="1:11">
      <c r="A375" s="28"/>
      <c r="B375" s="29"/>
      <c r="C375" s="30" t="str">
        <f>IFERROR(_xlfn.XLOOKUP(B375,Transporte[DESCRIPCION],Transporte[UND],,0),"")</f>
        <v/>
      </c>
      <c r="D375" s="31"/>
      <c r="E375" s="32" t="str">
        <f>IFERROR(_xlfn.XLOOKUP($B375,Transporte[DESCRIPCION],Transporte[VALOR],,0),"")</f>
        <v/>
      </c>
      <c r="F375" s="33"/>
      <c r="G375" s="34" t="str">
        <f>IFERROR(IF(F375&gt;=0,D375*E375*(1+F375/100),ABS(D375*E375/F375)),"")</f>
        <v/>
      </c>
      <c r="H375" s="43" t="str">
        <f>IFERROR(G375*E361,"")</f>
        <v/>
      </c>
    </row>
    <row r="376" spans="1:11">
      <c r="A376" s="21"/>
      <c r="B376" s="22" t="s">
        <v>3732</v>
      </c>
      <c r="C376" s="23"/>
      <c r="D376" s="24"/>
      <c r="E376" s="25"/>
      <c r="F376" s="26"/>
      <c r="G376" s="27">
        <f>SUM(G377:G379)</f>
        <v>4424.7587163000007</v>
      </c>
      <c r="H376" s="44">
        <f>G376*E361</f>
        <v>0</v>
      </c>
    </row>
    <row r="377" spans="1:11">
      <c r="A377" s="28"/>
      <c r="B377" s="29" t="s">
        <v>3713</v>
      </c>
      <c r="C377" s="30" t="str">
        <f>IFERROR(_xlfn.XLOOKUP(B377,MObra[DESCRIPCION],MObra[UN],,0),"")</f>
        <v>día</v>
      </c>
      <c r="D377" s="31">
        <v>1</v>
      </c>
      <c r="E377" s="32">
        <f>IFERROR(_xlfn.XLOOKUP($B377,MObra[DESCRIPCION],MObra[VALOR UNIT],,0),"")</f>
        <v>663713.80744500016</v>
      </c>
      <c r="F377" s="33">
        <v>-150</v>
      </c>
      <c r="G377" s="34">
        <f>IFERROR(IF(F377&gt;=0,D377*E377*(1+F377/100),ABS(D377*E377/F377)),"")</f>
        <v>4424.7587163000007</v>
      </c>
      <c r="H377" s="43">
        <f>IFERROR(G377*E361,"")</f>
        <v>0</v>
      </c>
    </row>
    <row r="378" spans="1:11">
      <c r="A378" s="28"/>
      <c r="B378" s="29"/>
      <c r="C378" s="30" t="str">
        <f>IFERROR(_xlfn.XLOOKUP(B378,MObra[DESCRIPCION],MObra[UN],,0),"")</f>
        <v/>
      </c>
      <c r="D378" s="31"/>
      <c r="E378" s="32" t="str">
        <f>IFERROR(_xlfn.XLOOKUP($B378,MObra[DESCRIPCION],MObra[VALOR UNIT],,0),"")</f>
        <v/>
      </c>
      <c r="F378" s="33"/>
      <c r="G378" s="34" t="str">
        <f>IFERROR(IF(F378&gt;=0,D378*E378*(1+F378/100),ABS(D378*E378/F378)),"")</f>
        <v/>
      </c>
      <c r="H378" s="43" t="str">
        <f>IFERROR(G378*E361,"")</f>
        <v/>
      </c>
    </row>
    <row r="379" spans="1:11">
      <c r="A379" s="35"/>
      <c r="B379" s="36"/>
      <c r="C379" s="37" t="str">
        <f>IFERROR(_xlfn.XLOOKUP(B379,MObra[DESCRIPCION],MObra[UN],,0),"")</f>
        <v/>
      </c>
      <c r="D379" s="38"/>
      <c r="E379" s="39" t="str">
        <f>IFERROR(_xlfn.XLOOKUP($B379,MObra[DESCRIPCION],MObra[VALOR UNIT],,0),"")</f>
        <v/>
      </c>
      <c r="F379" s="40"/>
      <c r="G379" s="41" t="str">
        <f>IFERROR(IF(F379&gt;=0,D379*E379*(1+F379/100),ABS(D379*E379/F379)),"")</f>
        <v/>
      </c>
      <c r="H379" s="42" t="str">
        <f>IFERROR(G379*E361,"")</f>
        <v/>
      </c>
    </row>
    <row r="381" spans="1:11">
      <c r="A381" s="6" t="s">
        <v>1762</v>
      </c>
      <c r="B381" s="7" t="str">
        <f>VLOOKUP($A381,Presupuesto!$A:$D,2,FALSE())</f>
        <v>Canal de rapidas con tapa en concreto de 27.6 Mpa</v>
      </c>
      <c r="C381" s="8" t="str">
        <f>VLOOKUP($A381,Presupuesto!$A:$D,3,FALSE())</f>
        <v>M3</v>
      </c>
      <c r="D381" s="9"/>
      <c r="E381" s="10">
        <f>VLOOKUP($A381,Presupuesto!$A:$D,4,FALSE())</f>
        <v>0</v>
      </c>
      <c r="F381" s="11" t="s">
        <v>2589</v>
      </c>
      <c r="G381" s="12">
        <f>SUM(G383:G399)/2</f>
        <v>1032318.164221499</v>
      </c>
      <c r="H381" s="13">
        <f>ROUND(SUM(H383:H399),0)/2</f>
        <v>0</v>
      </c>
      <c r="I381" s="10">
        <f>VLOOKUP(A381,Presupuesto!$A:$F,6,0)</f>
        <v>0</v>
      </c>
      <c r="J381" s="10">
        <f>+H381-I381</f>
        <v>0</v>
      </c>
      <c r="K381" s="46">
        <f>+H381-G381*E381</f>
        <v>0</v>
      </c>
    </row>
    <row r="382" spans="1:11">
      <c r="A382" s="14"/>
      <c r="B382" s="15" t="s">
        <v>2586</v>
      </c>
      <c r="C382" s="15" t="s">
        <v>5</v>
      </c>
      <c r="D382" s="16" t="s">
        <v>6</v>
      </c>
      <c r="E382" s="17" t="s">
        <v>7</v>
      </c>
      <c r="F382" s="18" t="s">
        <v>3728</v>
      </c>
      <c r="G382" s="19" t="s">
        <v>3729</v>
      </c>
      <c r="H382" s="20" t="s">
        <v>3797</v>
      </c>
    </row>
    <row r="383" spans="1:11">
      <c r="A383" s="21"/>
      <c r="B383" s="22" t="s">
        <v>3730</v>
      </c>
      <c r="C383" s="23"/>
      <c r="D383" s="24"/>
      <c r="E383" s="25"/>
      <c r="F383" s="26"/>
      <c r="G383" s="27">
        <f>SUM(G384:G388)</f>
        <v>786646.84218314919</v>
      </c>
      <c r="H383" s="27">
        <f>IFERROR(G383*E381,"")</f>
        <v>0</v>
      </c>
    </row>
    <row r="384" spans="1:11">
      <c r="A384" s="28"/>
      <c r="B384" s="29" t="s">
        <v>3241</v>
      </c>
      <c r="C384" s="30" t="str">
        <f>IFERROR(_xlfn.XLOOKUP(B384,Insumo[DESCRIPCION],Insumo[UND],,0),"")</f>
        <v>M3</v>
      </c>
      <c r="D384" s="31">
        <v>1</v>
      </c>
      <c r="E384" s="32">
        <f>IFERROR(_xlfn.XLOOKUP($B384,Insumo[DESCRIPCION],Insumo[VALOR],,0),"")</f>
        <v>568453.66874585627</v>
      </c>
      <c r="F384" s="33">
        <v>5</v>
      </c>
      <c r="G384" s="34">
        <f>IFERROR(IF(F384&gt;=0,D384*E384*(1+F384/100),ABS(D384*E384/F384)),"")</f>
        <v>596876.35218314908</v>
      </c>
      <c r="H384" s="43">
        <f>IFERROR(G384*E381,"")</f>
        <v>0</v>
      </c>
    </row>
    <row r="385" spans="1:8">
      <c r="A385" s="28"/>
      <c r="B385" s="29" t="s">
        <v>3338</v>
      </c>
      <c r="C385" s="30" t="str">
        <f>IFERROR(_xlfn.XLOOKUP(B385,Insumo[DESCRIPCION],Insumo[UND],,0),"")</f>
        <v>M</v>
      </c>
      <c r="D385" s="31">
        <v>12</v>
      </c>
      <c r="E385" s="32">
        <f>IFERROR(_xlfn.XLOOKUP($B385,Insumo[DESCRIPCION],Insumo[VALOR],,0),"")</f>
        <v>8047.2000000000007</v>
      </c>
      <c r="F385" s="33"/>
      <c r="G385" s="34">
        <f>IFERROR(IF(F385&gt;=0,D385*E385*(1+F385/100),ABS(D385*E385/F385)),"")</f>
        <v>96566.400000000009</v>
      </c>
      <c r="H385" s="43">
        <f>IFERROR(G385*E381,"")</f>
        <v>0</v>
      </c>
    </row>
    <row r="386" spans="1:8">
      <c r="A386" s="28"/>
      <c r="B386" s="29" t="s">
        <v>2901</v>
      </c>
      <c r="C386" s="30" t="str">
        <f>IFERROR(_xlfn.XLOOKUP(B386,Insumo[DESCRIPCION],Insumo[UND],,0),"")</f>
        <v>M</v>
      </c>
      <c r="D386" s="31">
        <v>12</v>
      </c>
      <c r="E386" s="32">
        <f>IFERROR(_xlfn.XLOOKUP($B386,Insumo[DESCRIPCION],Insumo[VALOR],,0),"")</f>
        <v>5683.6500000000005</v>
      </c>
      <c r="F386" s="33"/>
      <c r="G386" s="34">
        <f>IFERROR(IF(F386&gt;=0,D386*E386*(1+F386/100),ABS(D386*E386/F386)),"")</f>
        <v>68203.8</v>
      </c>
      <c r="H386" s="43">
        <f>IFERROR(G386*E381,"")</f>
        <v>0</v>
      </c>
    </row>
    <row r="387" spans="1:8">
      <c r="A387" s="28"/>
      <c r="B387" s="29" t="s">
        <v>3546</v>
      </c>
      <c r="C387" s="30" t="str">
        <f>IFERROR(_xlfn.XLOOKUP(B387,Insumo[DESCRIPCION],Insumo[UND],,0),"")</f>
        <v>M</v>
      </c>
      <c r="D387" s="31">
        <v>12</v>
      </c>
      <c r="E387" s="32">
        <f>IFERROR(_xlfn.XLOOKUP($B387,Insumo[DESCRIPCION],Insumo[VALOR],,0),"")</f>
        <v>1705.2</v>
      </c>
      <c r="F387" s="33"/>
      <c r="G387" s="34">
        <f>IFERROR(IF(F387&gt;=0,D387*E387*(1+F387/100),ABS(D387*E387/F387)),"")</f>
        <v>20462.400000000001</v>
      </c>
      <c r="H387" s="43">
        <f>IFERROR(G387*E381,"")</f>
        <v>0</v>
      </c>
    </row>
    <row r="388" spans="1:8">
      <c r="A388" s="28"/>
      <c r="B388" s="29" t="s">
        <v>3253</v>
      </c>
      <c r="C388" s="30" t="str">
        <f>IFERROR(_xlfn.XLOOKUP(B388,Insumo[DESCRIPCION],Insumo[UND],,0),"")</f>
        <v>Lb</v>
      </c>
      <c r="D388" s="31">
        <v>0.7</v>
      </c>
      <c r="E388" s="32">
        <f>IFERROR(_xlfn.XLOOKUP($B388,Insumo[DESCRIPCION],Insumo[VALOR],,0),"")</f>
        <v>6482.7000000000007</v>
      </c>
      <c r="F388" s="33"/>
      <c r="G388" s="34">
        <f>IFERROR(IF(F388&gt;=0,D388*E388*(1+F388/100),ABS(D388*E388/F388)),"")</f>
        <v>4537.8900000000003</v>
      </c>
      <c r="H388" s="43">
        <f>IFERROR(G388*E381,"")</f>
        <v>0</v>
      </c>
    </row>
    <row r="389" spans="1:8">
      <c r="A389" s="21"/>
      <c r="B389" s="22" t="s">
        <v>3731</v>
      </c>
      <c r="C389" s="23"/>
      <c r="D389" s="24"/>
      <c r="E389" s="25"/>
      <c r="F389" s="26"/>
      <c r="G389" s="27">
        <f>SUM(G390:G392)</f>
        <v>24433.386223350008</v>
      </c>
      <c r="H389" s="44">
        <f>G389*E381</f>
        <v>0</v>
      </c>
    </row>
    <row r="390" spans="1:8">
      <c r="A390" s="28"/>
      <c r="B390" s="29" t="s">
        <v>3657</v>
      </c>
      <c r="C390" s="30" t="str">
        <f>IFERROR(_xlfn.XLOOKUP(B390,Equipo[DESCRIPCION],Equipo[UND],,0),"")</f>
        <v>Día</v>
      </c>
      <c r="D390" s="31">
        <v>1</v>
      </c>
      <c r="E390" s="32">
        <f>IF(C390="%MO",G396,IFERROR(_xlfn.XLOOKUP($B390,Equipo[DESCRIPCION],Equipo[VALOR],,0),""))</f>
        <v>56524.65</v>
      </c>
      <c r="F390" s="33">
        <v>-12.5</v>
      </c>
      <c r="G390" s="34">
        <f>IFERROR(IF(F390&gt;=0,D390*E390*(1+F390/100),ABS(D390*E390/F390)),"")</f>
        <v>4521.9719999999998</v>
      </c>
      <c r="H390" s="43">
        <f>IFERROR(G390*E381,"")</f>
        <v>0</v>
      </c>
    </row>
    <row r="391" spans="1:8">
      <c r="A391" s="28"/>
      <c r="B391" s="29" t="s">
        <v>3570</v>
      </c>
      <c r="C391" s="30" t="str">
        <f>IFERROR(_xlfn.XLOOKUP(B391,Equipo[DESCRIPCION],Equipo[UND],,0),"")</f>
        <v>%MO</v>
      </c>
      <c r="D391" s="31">
        <v>0.04</v>
      </c>
      <c r="E391" s="32">
        <f>IF(C391="%MO",G396,IFERROR(_xlfn.XLOOKUP($B391,Equipo[DESCRIPCION],Equipo[VALOR],,0),""))</f>
        <v>221237.93581500006</v>
      </c>
      <c r="F391" s="33"/>
      <c r="G391" s="34">
        <f>IFERROR(IF(F391&gt;=0,D391*E391*(1+F391/100),ABS(D391*E391/F391)),"")</f>
        <v>8849.5174326000033</v>
      </c>
      <c r="H391" s="43">
        <f>IFERROR(G391*E381,"")</f>
        <v>0</v>
      </c>
    </row>
    <row r="392" spans="1:8">
      <c r="A392" s="28"/>
      <c r="B392" s="29" t="s">
        <v>3626</v>
      </c>
      <c r="C392" s="30" t="str">
        <f>IFERROR(_xlfn.XLOOKUP(B392,Equipo[DESCRIPCION],Equipo[UND],,0),"")</f>
        <v>%MO</v>
      </c>
      <c r="D392" s="31">
        <v>0.05</v>
      </c>
      <c r="E392" s="32">
        <f>IF(C392="%MO",G396,IFERROR(_xlfn.XLOOKUP($B392,Equipo[DESCRIPCION],Equipo[VALOR],,0),""))</f>
        <v>221237.93581500006</v>
      </c>
      <c r="F392" s="33"/>
      <c r="G392" s="34">
        <f>IFERROR(IF(F392&gt;=0,D392*E392*(1+F392/100),ABS(D392*E392/F392)),"")</f>
        <v>11061.896790750005</v>
      </c>
      <c r="H392" s="43">
        <f>IFERROR(G392*E381,"")</f>
        <v>0</v>
      </c>
    </row>
    <row r="393" spans="1:8">
      <c r="A393" s="21"/>
      <c r="B393" s="22" t="s">
        <v>2533</v>
      </c>
      <c r="C393" s="23"/>
      <c r="D393" s="24"/>
      <c r="E393" s="25"/>
      <c r="F393" s="26"/>
      <c r="G393" s="27">
        <f>SUM(G394:G395)</f>
        <v>0</v>
      </c>
      <c r="H393" s="44">
        <f>G393*E381</f>
        <v>0</v>
      </c>
    </row>
    <row r="394" spans="1:8">
      <c r="A394" s="28"/>
      <c r="B394" s="29"/>
      <c r="C394" s="30" t="str">
        <f>IFERROR(_xlfn.XLOOKUP(B394,Transporte[DESCRIPCION],Transporte[UND],,0),"")</f>
        <v/>
      </c>
      <c r="D394" s="31"/>
      <c r="E394" s="32" t="str">
        <f>IFERROR(_xlfn.XLOOKUP($B394,Transporte[DESCRIPCION],Transporte[VALOR],,0),"")</f>
        <v/>
      </c>
      <c r="F394" s="33"/>
      <c r="G394" s="34" t="str">
        <f>IFERROR(IF(F394&gt;=0,D394*E394*(1+F394/100),ABS(D394*E394/F394)),"")</f>
        <v/>
      </c>
      <c r="H394" s="43" t="str">
        <f>IFERROR(G394*E381,"")</f>
        <v/>
      </c>
    </row>
    <row r="395" spans="1:8">
      <c r="A395" s="28"/>
      <c r="B395" s="29"/>
      <c r="C395" s="30" t="str">
        <f>IFERROR(_xlfn.XLOOKUP(B395,Transporte[DESCRIPCION],Transporte[UND],,0),"")</f>
        <v/>
      </c>
      <c r="D395" s="31"/>
      <c r="E395" s="32" t="str">
        <f>IFERROR(_xlfn.XLOOKUP($B395,Transporte[DESCRIPCION],Transporte[VALOR],,0),"")</f>
        <v/>
      </c>
      <c r="F395" s="33"/>
      <c r="G395" s="34" t="str">
        <f>IFERROR(IF(F395&gt;=0,D395*E395*(1+F395/100),ABS(D395*E395/F395)),"")</f>
        <v/>
      </c>
      <c r="H395" s="43" t="str">
        <f>IFERROR(G395*E381,"")</f>
        <v/>
      </c>
    </row>
    <row r="396" spans="1:8">
      <c r="A396" s="21"/>
      <c r="B396" s="22" t="s">
        <v>3732</v>
      </c>
      <c r="C396" s="23"/>
      <c r="D396" s="24"/>
      <c r="E396" s="25"/>
      <c r="F396" s="26"/>
      <c r="G396" s="27">
        <f>SUM(G397:G399)</f>
        <v>221237.93581500006</v>
      </c>
      <c r="H396" s="44">
        <f>G396*E381</f>
        <v>0</v>
      </c>
    </row>
    <row r="397" spans="1:8">
      <c r="A397" s="28"/>
      <c r="B397" s="29" t="s">
        <v>3713</v>
      </c>
      <c r="C397" s="30" t="str">
        <f>IFERROR(_xlfn.XLOOKUP(B397,MObra[DESCRIPCION],MObra[UN],,0),"")</f>
        <v>día</v>
      </c>
      <c r="D397" s="31">
        <v>1</v>
      </c>
      <c r="E397" s="32">
        <f>IFERROR(_xlfn.XLOOKUP($B397,MObra[DESCRIPCION],MObra[VALOR UNIT],,0),"")</f>
        <v>663713.80744500016</v>
      </c>
      <c r="F397" s="33">
        <v>-3</v>
      </c>
      <c r="G397" s="34">
        <f>IFERROR(IF(F397&gt;=0,D397*E397*(1+F397/100),ABS(D397*E397/F397)),"")</f>
        <v>221237.93581500006</v>
      </c>
      <c r="H397" s="43">
        <f>IFERROR(G397*E381,"")</f>
        <v>0</v>
      </c>
    </row>
    <row r="398" spans="1:8">
      <c r="A398" s="28"/>
      <c r="B398" s="29"/>
      <c r="C398" s="30" t="str">
        <f>IFERROR(_xlfn.XLOOKUP(B398,MObra[DESCRIPCION],MObra[UN],,0),"")</f>
        <v/>
      </c>
      <c r="D398" s="31"/>
      <c r="E398" s="32" t="str">
        <f>IFERROR(_xlfn.XLOOKUP($B398,MObra[DESCRIPCION],MObra[VALOR UNIT],,0),"")</f>
        <v/>
      </c>
      <c r="F398" s="33"/>
      <c r="G398" s="34" t="str">
        <f>IFERROR(IF(F398&gt;=0,D398*E398*(1+F398/100),ABS(D398*E398/F398)),"")</f>
        <v/>
      </c>
      <c r="H398" s="43" t="str">
        <f>IFERROR(G398*E381,"")</f>
        <v/>
      </c>
    </row>
    <row r="399" spans="1:8">
      <c r="A399" s="35"/>
      <c r="B399" s="36"/>
      <c r="C399" s="37" t="str">
        <f>IFERROR(_xlfn.XLOOKUP(B399,MObra[DESCRIPCION],MObra[UN],,0),"")</f>
        <v/>
      </c>
      <c r="D399" s="38"/>
      <c r="E399" s="39" t="str">
        <f>IFERROR(_xlfn.XLOOKUP($B399,MObra[DESCRIPCION],MObra[VALOR UNIT],,0),"")</f>
        <v/>
      </c>
      <c r="F399" s="40"/>
      <c r="G399" s="41" t="str">
        <f>IFERROR(IF(F399&gt;=0,D399*E399*(1+F399/100),ABS(D399*E399/F399)),"")</f>
        <v/>
      </c>
      <c r="H399" s="42" t="str">
        <f>IFERROR(G399*E381,"")</f>
        <v/>
      </c>
    </row>
    <row r="401" spans="1:11">
      <c r="A401" s="6" t="s">
        <v>1764</v>
      </c>
      <c r="B401" s="7" t="str">
        <f>VLOOKUP($A401,Presupuesto!$A:$D,2,FALSE())</f>
        <v>Canal trapezoidal 0.6/0.4 H=0.3 libre T=0.12</v>
      </c>
      <c r="C401" s="8" t="str">
        <f>VLOOKUP($A401,Presupuesto!$A:$D,3,FALSE())</f>
        <v>M3</v>
      </c>
      <c r="D401" s="9"/>
      <c r="E401" s="10">
        <f>VLOOKUP($A401,Presupuesto!$A:$D,4,FALSE())</f>
        <v>0</v>
      </c>
      <c r="F401" s="11" t="s">
        <v>2589</v>
      </c>
      <c r="G401" s="12">
        <f>SUM(G403:G419)/2</f>
        <v>1192136.433312</v>
      </c>
      <c r="H401" s="13">
        <f>ROUND(SUM(H403:H419),0)/2</f>
        <v>0</v>
      </c>
      <c r="I401" s="10">
        <f>VLOOKUP(A401,Presupuesto!$A:$F,6,0)</f>
        <v>0</v>
      </c>
      <c r="J401" s="10">
        <f>+H401-I401</f>
        <v>0</v>
      </c>
      <c r="K401" s="46">
        <f>+H401-G401*E401</f>
        <v>0</v>
      </c>
    </row>
    <row r="402" spans="1:11">
      <c r="A402" s="14"/>
      <c r="B402" s="15" t="s">
        <v>2586</v>
      </c>
      <c r="C402" s="15" t="s">
        <v>5</v>
      </c>
      <c r="D402" s="16" t="s">
        <v>6</v>
      </c>
      <c r="E402" s="17" t="s">
        <v>7</v>
      </c>
      <c r="F402" s="18" t="s">
        <v>3728</v>
      </c>
      <c r="G402" s="19" t="s">
        <v>3729</v>
      </c>
      <c r="H402" s="20" t="s">
        <v>3797</v>
      </c>
    </row>
    <row r="403" spans="1:11">
      <c r="A403" s="21"/>
      <c r="B403" s="22" t="s">
        <v>3730</v>
      </c>
      <c r="C403" s="23"/>
      <c r="D403" s="24"/>
      <c r="E403" s="25"/>
      <c r="F403" s="26"/>
      <c r="G403" s="27">
        <f>SUM(G404:G408)</f>
        <v>993293.98678915005</v>
      </c>
      <c r="H403" s="27">
        <f>IFERROR(G403*E401,"")</f>
        <v>0</v>
      </c>
    </row>
    <row r="404" spans="1:11">
      <c r="A404" s="28"/>
      <c r="B404" s="29" t="s">
        <v>3239</v>
      </c>
      <c r="C404" s="30" t="str">
        <f>IFERROR(_xlfn.XLOOKUP(B404,Insumo[DESCRIPCION],Insumo[UND],,0),"")</f>
        <v>M3</v>
      </c>
      <c r="D404" s="31">
        <v>1</v>
      </c>
      <c r="E404" s="32">
        <f>IFERROR(_xlfn.XLOOKUP($B404,Insumo[DESCRIPCION],Insumo[VALOR],,0),"")</f>
        <v>521159.50227762427</v>
      </c>
      <c r="F404" s="33">
        <v>5</v>
      </c>
      <c r="G404" s="34">
        <f>IFERROR(IF(F404&gt;=0,D404*E404*(1+F404/100),ABS(D404*E404/F404)),"")</f>
        <v>547217.4773915055</v>
      </c>
      <c r="H404" s="43">
        <f>IFERROR(G404*E401,"")</f>
        <v>0</v>
      </c>
    </row>
    <row r="405" spans="1:11">
      <c r="A405" s="28"/>
      <c r="B405" s="29" t="s">
        <v>2954</v>
      </c>
      <c r="C405" s="30" t="str">
        <f>IFERROR(_xlfn.XLOOKUP(B405,Insumo[DESCRIPCION],Insumo[UND],,0),"")</f>
        <v>M2</v>
      </c>
      <c r="D405" s="31">
        <v>13.1</v>
      </c>
      <c r="E405" s="32">
        <f>IFERROR(_xlfn.XLOOKUP($B405,Insumo[DESCRIPCION],Insumo[VALOR],,0),"")</f>
        <v>102154.92581625449</v>
      </c>
      <c r="F405" s="33">
        <v>-3</v>
      </c>
      <c r="G405" s="34">
        <f>IFERROR(IF(F405&gt;=0,D405*E405*(1+F405/100),ABS(D405*E405/F405)),"")</f>
        <v>446076.50939764455</v>
      </c>
      <c r="H405" s="43">
        <f>IFERROR(G405*E401,"")</f>
        <v>0</v>
      </c>
    </row>
    <row r="406" spans="1:11">
      <c r="A406" s="28"/>
      <c r="B406" s="29"/>
      <c r="C406" s="30" t="str">
        <f>IFERROR(_xlfn.XLOOKUP(B406,Insumo[DESCRIPCION],Insumo[UND],,0),"")</f>
        <v/>
      </c>
      <c r="D406" s="31"/>
      <c r="E406" s="32" t="str">
        <f>IFERROR(_xlfn.XLOOKUP($B406,Insumo[DESCRIPCION],Insumo[VALOR],,0),"")</f>
        <v/>
      </c>
      <c r="F406" s="33"/>
      <c r="G406" s="34" t="str">
        <f>IFERROR(IF(F406&gt;=0,D406*E406*(1+F406/100),ABS(D406*E406/F406)),"")</f>
        <v/>
      </c>
      <c r="H406" s="43" t="str">
        <f>IFERROR(G406*E401,"")</f>
        <v/>
      </c>
    </row>
    <row r="407" spans="1:11">
      <c r="A407" s="28"/>
      <c r="B407" s="29"/>
      <c r="C407" s="30" t="str">
        <f>IFERROR(_xlfn.XLOOKUP(B407,Insumo[DESCRIPCION],Insumo[UND],,0),"")</f>
        <v/>
      </c>
      <c r="D407" s="31"/>
      <c r="E407" s="32" t="str">
        <f>IFERROR(_xlfn.XLOOKUP($B407,Insumo[DESCRIPCION],Insumo[VALOR],,0),"")</f>
        <v/>
      </c>
      <c r="F407" s="33"/>
      <c r="G407" s="34" t="str">
        <f>IFERROR(IF(F407&gt;=0,D407*E407*(1+F407/100),ABS(D407*E407/F407)),"")</f>
        <v/>
      </c>
      <c r="H407" s="43" t="str">
        <f>IFERROR(G407*E401,"")</f>
        <v/>
      </c>
    </row>
    <row r="408" spans="1:11">
      <c r="A408" s="28"/>
      <c r="B408" s="29"/>
      <c r="C408" s="30" t="str">
        <f>IFERROR(_xlfn.XLOOKUP(B408,Insumo[DESCRIPCION],Insumo[UND],,0),"")</f>
        <v/>
      </c>
      <c r="D408" s="31"/>
      <c r="E408" s="32" t="str">
        <f>IFERROR(_xlfn.XLOOKUP($B408,Insumo[DESCRIPCION],Insumo[VALOR],,0),"")</f>
        <v/>
      </c>
      <c r="F408" s="33"/>
      <c r="G408" s="34" t="str">
        <f>IFERROR(IF(F408&gt;=0,D408*E408*(1+F408/100),ABS(D408*E408/F408)),"")</f>
        <v/>
      </c>
      <c r="H408" s="43" t="str">
        <f>IFERROR(G408*E401,"")</f>
        <v/>
      </c>
    </row>
    <row r="409" spans="1:11">
      <c r="A409" s="21"/>
      <c r="B409" s="22" t="s">
        <v>3731</v>
      </c>
      <c r="C409" s="23"/>
      <c r="D409" s="24"/>
      <c r="E409" s="25"/>
      <c r="F409" s="26"/>
      <c r="G409" s="27">
        <f>SUM(G410:G412)</f>
        <v>16418.183657850004</v>
      </c>
      <c r="H409" s="44">
        <f>G409*E401</f>
        <v>0</v>
      </c>
    </row>
    <row r="410" spans="1:11">
      <c r="A410" s="28"/>
      <c r="B410" s="29" t="s">
        <v>3570</v>
      </c>
      <c r="C410" s="30" t="str">
        <f>IFERROR(_xlfn.XLOOKUP(B410,Equipo[DESCRIPCION],Equipo[UND],,0),"")</f>
        <v>%MO</v>
      </c>
      <c r="D410" s="31">
        <v>0.04</v>
      </c>
      <c r="E410" s="32">
        <f>IF(C410="%MO",G416,IFERROR(_xlfn.XLOOKUP($B410,Equipo[DESCRIPCION],Equipo[VALOR],,0),""))</f>
        <v>182424.26286500006</v>
      </c>
      <c r="F410" s="33"/>
      <c r="G410" s="34">
        <f>IFERROR(IF(F410&gt;=0,D410*E410*(1+F410/100),ABS(D410*E410/F410)),"")</f>
        <v>7296.9705146000024</v>
      </c>
      <c r="H410" s="43">
        <f>IFERROR(G410*E401,"")</f>
        <v>0</v>
      </c>
    </row>
    <row r="411" spans="1:11">
      <c r="A411" s="28"/>
      <c r="B411" s="29" t="s">
        <v>3626</v>
      </c>
      <c r="C411" s="30" t="str">
        <f>IFERROR(_xlfn.XLOOKUP(B411,Equipo[DESCRIPCION],Equipo[UND],,0),"")</f>
        <v>%MO</v>
      </c>
      <c r="D411" s="31">
        <v>0.05</v>
      </c>
      <c r="E411" s="32">
        <f>IF(C411="%MO",G416,IFERROR(_xlfn.XLOOKUP($B411,Equipo[DESCRIPCION],Equipo[VALOR],,0),""))</f>
        <v>182424.26286500006</v>
      </c>
      <c r="F411" s="33"/>
      <c r="G411" s="34">
        <f>IFERROR(IF(F411&gt;=0,D411*E411*(1+F411/100),ABS(D411*E411/F411)),"")</f>
        <v>9121.2131432500028</v>
      </c>
      <c r="H411" s="43">
        <f>IFERROR(G411*E401,"")</f>
        <v>0</v>
      </c>
    </row>
    <row r="412" spans="1:11">
      <c r="A412" s="28"/>
      <c r="B412" s="29"/>
      <c r="C412" s="30" t="str">
        <f>IFERROR(_xlfn.XLOOKUP(B412,Equipo[DESCRIPCION],Equipo[UND],,0),"")</f>
        <v/>
      </c>
      <c r="D412" s="31"/>
      <c r="E412" s="32" t="str">
        <f>IF(C412="%MO",G416,IFERROR(_xlfn.XLOOKUP($B412,Equipo[DESCRIPCION],Equipo[VALOR],,0),""))</f>
        <v/>
      </c>
      <c r="F412" s="33"/>
      <c r="G412" s="34" t="str">
        <f>IFERROR(IF(F412&gt;=0,D412*E412*(1+F412/100),ABS(D412*E412/F412)),"")</f>
        <v/>
      </c>
      <c r="H412" s="43" t="str">
        <f>IFERROR(G412*E401,"")</f>
        <v/>
      </c>
    </row>
    <row r="413" spans="1:11">
      <c r="A413" s="21"/>
      <c r="B413" s="22" t="s">
        <v>2533</v>
      </c>
      <c r="C413" s="23"/>
      <c r="D413" s="24"/>
      <c r="E413" s="25"/>
      <c r="F413" s="26"/>
      <c r="G413" s="27">
        <f>SUM(G414:G415)</f>
        <v>0</v>
      </c>
      <c r="H413" s="44">
        <f>G413*E401</f>
        <v>0</v>
      </c>
    </row>
    <row r="414" spans="1:11">
      <c r="A414" s="28"/>
      <c r="B414" s="29"/>
      <c r="C414" s="30" t="str">
        <f>IFERROR(_xlfn.XLOOKUP(B414,Transporte[DESCRIPCION],Transporte[UND],,0),"")</f>
        <v/>
      </c>
      <c r="D414" s="31"/>
      <c r="E414" s="32" t="str">
        <f>IFERROR(_xlfn.XLOOKUP($B414,Transporte[DESCRIPCION],Transporte[VALOR],,0),"")</f>
        <v/>
      </c>
      <c r="F414" s="33"/>
      <c r="G414" s="34" t="str">
        <f>IFERROR(IF(F414&gt;=0,D414*E414*(1+F414/100),ABS(D414*E414/F414)),"")</f>
        <v/>
      </c>
      <c r="H414" s="43" t="str">
        <f>IFERROR(G414*E401,"")</f>
        <v/>
      </c>
    </row>
    <row r="415" spans="1:11">
      <c r="A415" s="28"/>
      <c r="B415" s="29"/>
      <c r="C415" s="30" t="str">
        <f>IFERROR(_xlfn.XLOOKUP(B415,Transporte[DESCRIPCION],Transporte[UND],,0),"")</f>
        <v/>
      </c>
      <c r="D415" s="31"/>
      <c r="E415" s="32" t="str">
        <f>IFERROR(_xlfn.XLOOKUP($B415,Transporte[DESCRIPCION],Transporte[VALOR],,0),"")</f>
        <v/>
      </c>
      <c r="F415" s="33"/>
      <c r="G415" s="34" t="str">
        <f>IFERROR(IF(F415&gt;=0,D415*E415*(1+F415/100),ABS(D415*E415/F415)),"")</f>
        <v/>
      </c>
      <c r="H415" s="43" t="str">
        <f>IFERROR(G415*E401,"")</f>
        <v/>
      </c>
    </row>
    <row r="416" spans="1:11">
      <c r="A416" s="21"/>
      <c r="B416" s="22" t="s">
        <v>3732</v>
      </c>
      <c r="C416" s="23"/>
      <c r="D416" s="24"/>
      <c r="E416" s="25"/>
      <c r="F416" s="26"/>
      <c r="G416" s="27">
        <f>SUM(G417:G419)</f>
        <v>182424.26286500006</v>
      </c>
      <c r="H416" s="44">
        <f>G416*E401</f>
        <v>0</v>
      </c>
    </row>
    <row r="417" spans="1:11">
      <c r="A417" s="28"/>
      <c r="B417" s="29" t="s">
        <v>3712</v>
      </c>
      <c r="C417" s="30" t="str">
        <f>IFERROR(_xlfn.XLOOKUP(B417,MObra[DESCRIPCION],MObra[UN],,0),"")</f>
        <v>día</v>
      </c>
      <c r="D417" s="31">
        <v>1</v>
      </c>
      <c r="E417" s="32">
        <f>IFERROR(_xlfn.XLOOKUP($B417,MObra[DESCRIPCION],MObra[VALOR UNIT],,0),"")</f>
        <v>547272.78859500017</v>
      </c>
      <c r="F417" s="33">
        <v>-3</v>
      </c>
      <c r="G417" s="34">
        <f>IFERROR(IF(F417&gt;=0,D417*E417*(1+F417/100),ABS(D417*E417/F417)),"")</f>
        <v>182424.26286500006</v>
      </c>
      <c r="H417" s="43">
        <f>IFERROR(G417*E401,"")</f>
        <v>0</v>
      </c>
    </row>
    <row r="418" spans="1:11">
      <c r="A418" s="28"/>
      <c r="B418" s="29"/>
      <c r="C418" s="30" t="str">
        <f>IFERROR(_xlfn.XLOOKUP(B418,MObra[DESCRIPCION],MObra[UN],,0),"")</f>
        <v/>
      </c>
      <c r="D418" s="31"/>
      <c r="E418" s="32" t="str">
        <f>IFERROR(_xlfn.XLOOKUP($B418,MObra[DESCRIPCION],MObra[VALOR UNIT],,0),"")</f>
        <v/>
      </c>
      <c r="F418" s="33"/>
      <c r="G418" s="34" t="str">
        <f>IFERROR(IF(F418&gt;=0,D418*E418*(1+F418/100),ABS(D418*E418/F418)),"")</f>
        <v/>
      </c>
      <c r="H418" s="43" t="str">
        <f>IFERROR(G418*E401,"")</f>
        <v/>
      </c>
    </row>
    <row r="419" spans="1:11">
      <c r="A419" s="35"/>
      <c r="B419" s="36"/>
      <c r="C419" s="37" t="str">
        <f>IFERROR(_xlfn.XLOOKUP(B419,MObra[DESCRIPCION],MObra[UN],,0),"")</f>
        <v/>
      </c>
      <c r="D419" s="38"/>
      <c r="E419" s="39" t="str">
        <f>IFERROR(_xlfn.XLOOKUP($B419,MObra[DESCRIPCION],MObra[VALOR UNIT],,0),"")</f>
        <v/>
      </c>
      <c r="F419" s="40"/>
      <c r="G419" s="41" t="str">
        <f>IFERROR(IF(F419&gt;=0,D419*E419*(1+F419/100),ABS(D419*E419/F419)),"")</f>
        <v/>
      </c>
      <c r="H419" s="42" t="str">
        <f>IFERROR(G419*E401,"")</f>
        <v/>
      </c>
    </row>
    <row r="422" spans="1:11">
      <c r="A422" s="6" t="s">
        <v>1766</v>
      </c>
      <c r="B422" s="7" t="str">
        <f>VLOOKUP($A422,Presupuesto!$A:$D,2,FALSE())</f>
        <v>Cañuela C 13 Mpa B=0.2 H=0.1 E=0.07m</v>
      </c>
      <c r="C422" s="8" t="str">
        <f>VLOOKUP($A422,Presupuesto!$A:$D,3,FALSE())</f>
        <v>M</v>
      </c>
      <c r="D422" s="9"/>
      <c r="E422" s="10">
        <f>VLOOKUP($A422,Presupuesto!$A:$D,4,FALSE())</f>
        <v>0</v>
      </c>
      <c r="F422" s="11" t="s">
        <v>2589</v>
      </c>
      <c r="G422" s="12">
        <f>SUM(G424:G440)/2</f>
        <v>46876.094265895372</v>
      </c>
      <c r="H422" s="13">
        <f>ROUND(SUM(H424:H440),0)/2</f>
        <v>0</v>
      </c>
      <c r="I422" s="10">
        <f>VLOOKUP(A422,Presupuesto!$A:$F,6,0)</f>
        <v>0</v>
      </c>
      <c r="J422" s="10">
        <f>+H422-I422</f>
        <v>0</v>
      </c>
      <c r="K422" s="46">
        <f>+H422-G422*E422</f>
        <v>0</v>
      </c>
    </row>
    <row r="423" spans="1:11">
      <c r="A423" s="14"/>
      <c r="B423" s="15" t="s">
        <v>2586</v>
      </c>
      <c r="C423" s="15" t="s">
        <v>5</v>
      </c>
      <c r="D423" s="16" t="s">
        <v>6</v>
      </c>
      <c r="E423" s="17" t="s">
        <v>7</v>
      </c>
      <c r="F423" s="18" t="s">
        <v>3728</v>
      </c>
      <c r="G423" s="19" t="s">
        <v>3729</v>
      </c>
      <c r="H423" s="20" t="s">
        <v>3797</v>
      </c>
    </row>
    <row r="424" spans="1:11">
      <c r="A424" s="21"/>
      <c r="B424" s="22" t="s">
        <v>3730</v>
      </c>
      <c r="C424" s="23"/>
      <c r="D424" s="24"/>
      <c r="E424" s="25"/>
      <c r="F424" s="26"/>
      <c r="G424" s="27">
        <f>SUM(G425:G429)</f>
        <v>34945.54747452437</v>
      </c>
      <c r="H424" s="27">
        <f>IFERROR(G424*E422,"")</f>
        <v>0</v>
      </c>
    </row>
    <row r="425" spans="1:11">
      <c r="A425" s="28"/>
      <c r="B425" s="29" t="s">
        <v>3237</v>
      </c>
      <c r="C425" s="30" t="str">
        <f>IFERROR(_xlfn.XLOOKUP(B425,Insumo[DESCRIPCION],Insumo[UND],,0),"")</f>
        <v>M3</v>
      </c>
      <c r="D425" s="31">
        <v>0.03</v>
      </c>
      <c r="E425" s="32">
        <f>IFERROR(_xlfn.XLOOKUP($B425,Insumo[DESCRIPCION],Insumo[VALOR],,0),"")</f>
        <v>460779.75591344369</v>
      </c>
      <c r="F425" s="33">
        <v>5</v>
      </c>
      <c r="G425" s="34">
        <f>IFERROR(IF(F425&gt;=0,D425*E425*(1+F425/100),ABS(D425*E425/F425)),"")</f>
        <v>14514.562311273476</v>
      </c>
      <c r="H425" s="43">
        <f>IFERROR(G425*E422,"")</f>
        <v>0</v>
      </c>
    </row>
    <row r="426" spans="1:11">
      <c r="A426" s="28"/>
      <c r="B426" s="29" t="s">
        <v>2954</v>
      </c>
      <c r="C426" s="30" t="str">
        <f>IFERROR(_xlfn.XLOOKUP(B426,Insumo[DESCRIPCION],Insumo[UND],,0),"")</f>
        <v>M2</v>
      </c>
      <c r="D426" s="31">
        <f>1*0.2</f>
        <v>0.2</v>
      </c>
      <c r="E426" s="32">
        <f>IFERROR(_xlfn.XLOOKUP($B426,Insumo[DESCRIPCION],Insumo[VALOR],,0),"")</f>
        <v>102154.92581625449</v>
      </c>
      <c r="F426" s="33"/>
      <c r="G426" s="34">
        <f>IFERROR(IF(F426&gt;=0,D426*E426*(1+F426/100),ABS(D426*E426/F426)),"")</f>
        <v>20430.985163250898</v>
      </c>
      <c r="H426" s="43">
        <f>IFERROR(G426*E422,"")</f>
        <v>0</v>
      </c>
    </row>
    <row r="427" spans="1:11">
      <c r="A427" s="28"/>
      <c r="B427" s="29"/>
      <c r="C427" s="30" t="str">
        <f>IFERROR(_xlfn.XLOOKUP(B427,Insumo[DESCRIPCION],Insumo[UND],,0),"")</f>
        <v/>
      </c>
      <c r="D427" s="31"/>
      <c r="E427" s="32" t="str">
        <f>IFERROR(_xlfn.XLOOKUP($B427,Insumo[DESCRIPCION],Insumo[VALOR],,0),"")</f>
        <v/>
      </c>
      <c r="F427" s="33"/>
      <c r="G427" s="34" t="str">
        <f>IFERROR(IF(F427&gt;=0,D427*E427*(1+F427/100),ABS(D427*E427/F427)),"")</f>
        <v/>
      </c>
      <c r="H427" s="43" t="str">
        <f>IFERROR(G427*E422,"")</f>
        <v/>
      </c>
    </row>
    <row r="428" spans="1:11">
      <c r="A428" s="28"/>
      <c r="B428" s="29"/>
      <c r="C428" s="30" t="str">
        <f>IFERROR(_xlfn.XLOOKUP(B428,Insumo[DESCRIPCION],Insumo[UND],,0),"")</f>
        <v/>
      </c>
      <c r="D428" s="31"/>
      <c r="E428" s="32" t="str">
        <f>IFERROR(_xlfn.XLOOKUP($B428,Insumo[DESCRIPCION],Insumo[VALOR],,0),"")</f>
        <v/>
      </c>
      <c r="F428" s="33"/>
      <c r="G428" s="34" t="str">
        <f>IFERROR(IF(F428&gt;=0,D428*E428*(1+F428/100),ABS(D428*E428/F428)),"")</f>
        <v/>
      </c>
      <c r="H428" s="43" t="str">
        <f>IFERROR(G428*E422,"")</f>
        <v/>
      </c>
    </row>
    <row r="429" spans="1:11">
      <c r="A429" s="28"/>
      <c r="B429" s="29"/>
      <c r="C429" s="30" t="str">
        <f>IFERROR(_xlfn.XLOOKUP(B429,Insumo[DESCRIPCION],Insumo[UND],,0),"")</f>
        <v/>
      </c>
      <c r="D429" s="31"/>
      <c r="E429" s="32" t="str">
        <f>IFERROR(_xlfn.XLOOKUP($B429,Insumo[DESCRIPCION],Insumo[VALOR],,0),"")</f>
        <v/>
      </c>
      <c r="F429" s="33"/>
      <c r="G429" s="34" t="str">
        <f>IFERROR(IF(F429&gt;=0,D429*E429*(1+F429/100),ABS(D429*E429/F429)),"")</f>
        <v/>
      </c>
      <c r="H429" s="43" t="str">
        <f>IFERROR(G429*E422,"")</f>
        <v/>
      </c>
    </row>
    <row r="430" spans="1:11">
      <c r="A430" s="21"/>
      <c r="B430" s="22" t="s">
        <v>3731</v>
      </c>
      <c r="C430" s="23"/>
      <c r="D430" s="24"/>
      <c r="E430" s="25"/>
      <c r="F430" s="26"/>
      <c r="G430" s="27">
        <f>SUM(G431:G433)</f>
        <v>985.09101947100032</v>
      </c>
      <c r="H430" s="44">
        <f>G430*E422</f>
        <v>0</v>
      </c>
    </row>
    <row r="431" spans="1:11">
      <c r="A431" s="28"/>
      <c r="B431" s="29" t="s">
        <v>3570</v>
      </c>
      <c r="C431" s="30" t="str">
        <f>IFERROR(_xlfn.XLOOKUP(B431,Equipo[DESCRIPCION],Equipo[UND],,0),"")</f>
        <v>%MO</v>
      </c>
      <c r="D431" s="31">
        <v>0.04</v>
      </c>
      <c r="E431" s="32">
        <f>IF(C431="%MO",G437,IFERROR(_xlfn.XLOOKUP($B431,Equipo[DESCRIPCION],Equipo[VALOR],,0),""))</f>
        <v>10945.455771900004</v>
      </c>
      <c r="F431" s="33"/>
      <c r="G431" s="34">
        <f>IFERROR(IF(F431&gt;=0,D431*E431*(1+F431/100),ABS(D431*E431/F431)),"")</f>
        <v>437.81823087600014</v>
      </c>
      <c r="H431" s="43">
        <f>IFERROR(G431*E422,"")</f>
        <v>0</v>
      </c>
    </row>
    <row r="432" spans="1:11">
      <c r="A432" s="28"/>
      <c r="B432" s="29" t="s">
        <v>3626</v>
      </c>
      <c r="C432" s="30" t="str">
        <f>IFERROR(_xlfn.XLOOKUP(B432,Equipo[DESCRIPCION],Equipo[UND],,0),"")</f>
        <v>%MO</v>
      </c>
      <c r="D432" s="31">
        <v>0.05</v>
      </c>
      <c r="E432" s="32">
        <f>IF(C432="%MO",G437,IFERROR(_xlfn.XLOOKUP($B432,Equipo[DESCRIPCION],Equipo[VALOR],,0),""))</f>
        <v>10945.455771900004</v>
      </c>
      <c r="F432" s="33"/>
      <c r="G432" s="34">
        <f>IFERROR(IF(F432&gt;=0,D432*E432*(1+F432/100),ABS(D432*E432/F432)),"")</f>
        <v>547.27278859500018</v>
      </c>
      <c r="H432" s="43">
        <f>IFERROR(G432*E422,"")</f>
        <v>0</v>
      </c>
    </row>
    <row r="433" spans="1:11">
      <c r="A433" s="28"/>
      <c r="B433" s="29"/>
      <c r="C433" s="30" t="str">
        <f>IFERROR(_xlfn.XLOOKUP(B433,Equipo[DESCRIPCION],Equipo[UND],,0),"")</f>
        <v/>
      </c>
      <c r="D433" s="31"/>
      <c r="E433" s="32" t="str">
        <f>IF(C433="%MO",G437,IFERROR(_xlfn.XLOOKUP($B433,Equipo[DESCRIPCION],Equipo[VALOR],,0),""))</f>
        <v/>
      </c>
      <c r="F433" s="33"/>
      <c r="G433" s="34" t="str">
        <f>IFERROR(IF(F433&gt;=0,D433*E433*(1+F433/100),ABS(D433*E433/F433)),"")</f>
        <v/>
      </c>
      <c r="H433" s="43" t="str">
        <f>IFERROR(G433*E422,"")</f>
        <v/>
      </c>
    </row>
    <row r="434" spans="1:11">
      <c r="A434" s="21"/>
      <c r="B434" s="22" t="s">
        <v>2533</v>
      </c>
      <c r="C434" s="23"/>
      <c r="D434" s="24"/>
      <c r="E434" s="25"/>
      <c r="F434" s="26"/>
      <c r="G434" s="27">
        <f>SUM(G435:G436)</f>
        <v>0</v>
      </c>
      <c r="H434" s="44">
        <f>G434*E422</f>
        <v>0</v>
      </c>
    </row>
    <row r="435" spans="1:11">
      <c r="A435" s="28"/>
      <c r="B435" s="29"/>
      <c r="C435" s="30" t="str">
        <f>IFERROR(_xlfn.XLOOKUP(B435,Transporte[DESCRIPCION],Transporte[UND],,0),"")</f>
        <v/>
      </c>
      <c r="D435" s="31"/>
      <c r="E435" s="32" t="str">
        <f>IFERROR(_xlfn.XLOOKUP($B435,Transporte[DESCRIPCION],Transporte[VALOR],,0),"")</f>
        <v/>
      </c>
      <c r="F435" s="33"/>
      <c r="G435" s="34" t="str">
        <f>IFERROR(IF(F435&gt;=0,D435*E435*(1+F435/100),ABS(D435*E435/F435)),"")</f>
        <v/>
      </c>
      <c r="H435" s="43" t="str">
        <f>IFERROR(G435*E422,"")</f>
        <v/>
      </c>
    </row>
    <row r="436" spans="1:11">
      <c r="A436" s="28"/>
      <c r="B436" s="29"/>
      <c r="C436" s="30" t="str">
        <f>IFERROR(_xlfn.XLOOKUP(B436,Transporte[DESCRIPCION],Transporte[UND],,0),"")</f>
        <v/>
      </c>
      <c r="D436" s="31"/>
      <c r="E436" s="32" t="str">
        <f>IFERROR(_xlfn.XLOOKUP($B436,Transporte[DESCRIPCION],Transporte[VALOR],,0),"")</f>
        <v/>
      </c>
      <c r="F436" s="33"/>
      <c r="G436" s="34" t="str">
        <f>IFERROR(IF(F436&gt;=0,D436*E436*(1+F436/100),ABS(D436*E436/F436)),"")</f>
        <v/>
      </c>
      <c r="H436" s="43" t="str">
        <f>IFERROR(G436*E422,"")</f>
        <v/>
      </c>
    </row>
    <row r="437" spans="1:11">
      <c r="A437" s="21"/>
      <c r="B437" s="22" t="s">
        <v>3732</v>
      </c>
      <c r="C437" s="23"/>
      <c r="D437" s="24"/>
      <c r="E437" s="25"/>
      <c r="F437" s="26"/>
      <c r="G437" s="27">
        <f>SUM(G438:G440)</f>
        <v>10945.455771900004</v>
      </c>
      <c r="H437" s="44">
        <f>G437*E422</f>
        <v>0</v>
      </c>
    </row>
    <row r="438" spans="1:11">
      <c r="A438" s="28"/>
      <c r="B438" s="29" t="s">
        <v>3712</v>
      </c>
      <c r="C438" s="30" t="str">
        <f>IFERROR(_xlfn.XLOOKUP(B438,MObra[DESCRIPCION],MObra[UN],,0),"")</f>
        <v>día</v>
      </c>
      <c r="D438" s="31">
        <v>1</v>
      </c>
      <c r="E438" s="32">
        <f>IFERROR(_xlfn.XLOOKUP($B438,MObra[DESCRIPCION],MObra[VALOR UNIT],,0),"")</f>
        <v>547272.78859500017</v>
      </c>
      <c r="F438" s="33">
        <v>-50</v>
      </c>
      <c r="G438" s="34">
        <f>IFERROR(IF(F438&gt;=0,D438*E438*(1+F438/100),ABS(D438*E438/F438)),"")</f>
        <v>10945.455771900004</v>
      </c>
      <c r="H438" s="43">
        <f>IFERROR(G438*E422,"")</f>
        <v>0</v>
      </c>
    </row>
    <row r="439" spans="1:11">
      <c r="A439" s="28"/>
      <c r="B439" s="29"/>
      <c r="C439" s="30" t="str">
        <f>IFERROR(_xlfn.XLOOKUP(B439,MObra[DESCRIPCION],MObra[UN],,0),"")</f>
        <v/>
      </c>
      <c r="D439" s="31"/>
      <c r="E439" s="32" t="str">
        <f>IFERROR(_xlfn.XLOOKUP($B439,MObra[DESCRIPCION],MObra[VALOR UNIT],,0),"")</f>
        <v/>
      </c>
      <c r="F439" s="33"/>
      <c r="G439" s="34" t="str">
        <f>IFERROR(IF(F439&gt;=0,D439*E439*(1+F439/100),ABS(D439*E439/F439)),"")</f>
        <v/>
      </c>
      <c r="H439" s="43" t="str">
        <f>IFERROR(G439*E422,"")</f>
        <v/>
      </c>
    </row>
    <row r="440" spans="1:11">
      <c r="A440" s="35"/>
      <c r="B440" s="36"/>
      <c r="C440" s="37" t="str">
        <f>IFERROR(_xlfn.XLOOKUP(B440,MObra[DESCRIPCION],MObra[UN],,0),"")</f>
        <v/>
      </c>
      <c r="D440" s="38"/>
      <c r="E440" s="39" t="str">
        <f>IFERROR(_xlfn.XLOOKUP($B440,MObra[DESCRIPCION],MObra[VALOR UNIT],,0),"")</f>
        <v/>
      </c>
      <c r="F440" s="40"/>
      <c r="G440" s="41" t="str">
        <f>IFERROR(IF(F440&gt;=0,D440*E440*(1+F440/100),ABS(D440*E440/F440)),"")</f>
        <v/>
      </c>
      <c r="H440" s="42" t="str">
        <f>IFERROR(G440*E422,"")</f>
        <v/>
      </c>
    </row>
    <row r="442" spans="1:11">
      <c r="A442" s="6" t="s">
        <v>1768</v>
      </c>
      <c r="B442" s="7" t="str">
        <f>VLOOKUP($A442,Presupuesto!$A:$D,2,FALSE())</f>
        <v>Cañuela C 20.7 Mpa B=0.2 H=0.1 E=0.07m</v>
      </c>
      <c r="C442" s="8" t="str">
        <f>VLOOKUP($A442,Presupuesto!$A:$D,3,FALSE())</f>
        <v>M</v>
      </c>
      <c r="D442" s="9"/>
      <c r="E442" s="10">
        <f>VLOOKUP($A442,Presupuesto!$A:$D,4,FALSE())</f>
        <v>0</v>
      </c>
      <c r="F442" s="11" t="s">
        <v>2589</v>
      </c>
      <c r="G442" s="12">
        <f>SUM(G444:G460)/2</f>
        <v>48778.05627636706</v>
      </c>
      <c r="H442" s="13">
        <f>ROUND(SUM(H444:H460),0)/2</f>
        <v>0</v>
      </c>
      <c r="I442" s="10">
        <f>VLOOKUP(A442,Presupuesto!$A:$F,6,0)</f>
        <v>0</v>
      </c>
      <c r="J442" s="10">
        <f>+H442-I442</f>
        <v>0</v>
      </c>
      <c r="K442" s="46">
        <f>+H442-G442*E442</f>
        <v>0</v>
      </c>
    </row>
    <row r="443" spans="1:11">
      <c r="A443" s="14"/>
      <c r="B443" s="15" t="s">
        <v>2586</v>
      </c>
      <c r="C443" s="15" t="s">
        <v>5</v>
      </c>
      <c r="D443" s="16" t="s">
        <v>6</v>
      </c>
      <c r="E443" s="17" t="s">
        <v>7</v>
      </c>
      <c r="F443" s="18" t="s">
        <v>3728</v>
      </c>
      <c r="G443" s="19" t="s">
        <v>3729</v>
      </c>
      <c r="H443" s="20" t="s">
        <v>3797</v>
      </c>
    </row>
    <row r="444" spans="1:11">
      <c r="A444" s="21"/>
      <c r="B444" s="22" t="s">
        <v>3730</v>
      </c>
      <c r="C444" s="23"/>
      <c r="D444" s="24"/>
      <c r="E444" s="25"/>
      <c r="F444" s="26"/>
      <c r="G444" s="27">
        <f>SUM(G445:G449)</f>
        <v>36847.509484996059</v>
      </c>
      <c r="H444" s="27">
        <f>IFERROR(G444*E442,"")</f>
        <v>0</v>
      </c>
    </row>
    <row r="445" spans="1:11">
      <c r="A445" s="28"/>
      <c r="B445" s="29" t="s">
        <v>3239</v>
      </c>
      <c r="C445" s="30" t="str">
        <f>IFERROR(_xlfn.XLOOKUP(B445,Insumo[DESCRIPCION],Insumo[UND],,0),"")</f>
        <v>M3</v>
      </c>
      <c r="D445" s="31">
        <v>0.03</v>
      </c>
      <c r="E445" s="32">
        <f>IFERROR(_xlfn.XLOOKUP($B445,Insumo[DESCRIPCION],Insumo[VALOR],,0),"")</f>
        <v>521159.50227762427</v>
      </c>
      <c r="F445" s="33">
        <v>5</v>
      </c>
      <c r="G445" s="34">
        <f>IFERROR(IF(F445&gt;=0,D445*E445*(1+F445/100),ABS(D445*E445/F445)),"")</f>
        <v>16416.524321745164</v>
      </c>
      <c r="H445" s="43">
        <f>IFERROR(G445*E442,"")</f>
        <v>0</v>
      </c>
    </row>
    <row r="446" spans="1:11">
      <c r="A446" s="28"/>
      <c r="B446" s="29" t="s">
        <v>2954</v>
      </c>
      <c r="C446" s="30" t="str">
        <f>IFERROR(_xlfn.XLOOKUP(B446,Insumo[DESCRIPCION],Insumo[UND],,0),"")</f>
        <v>M2</v>
      </c>
      <c r="D446" s="31">
        <f>1*0.2</f>
        <v>0.2</v>
      </c>
      <c r="E446" s="32">
        <f>IFERROR(_xlfn.XLOOKUP($B446,Insumo[DESCRIPCION],Insumo[VALOR],,0),"")</f>
        <v>102154.92581625449</v>
      </c>
      <c r="F446" s="33"/>
      <c r="G446" s="34">
        <f>IFERROR(IF(F446&gt;=0,D446*E446*(1+F446/100),ABS(D446*E446/F446)),"")</f>
        <v>20430.985163250898</v>
      </c>
      <c r="H446" s="43">
        <f>IFERROR(G446*E442,"")</f>
        <v>0</v>
      </c>
    </row>
    <row r="447" spans="1:11">
      <c r="A447" s="28"/>
      <c r="B447" s="29"/>
      <c r="C447" s="30" t="str">
        <f>IFERROR(_xlfn.XLOOKUP(B447,Insumo[DESCRIPCION],Insumo[UND],,0),"")</f>
        <v/>
      </c>
      <c r="D447" s="31"/>
      <c r="E447" s="32" t="str">
        <f>IFERROR(_xlfn.XLOOKUP($B447,Insumo[DESCRIPCION],Insumo[VALOR],,0),"")</f>
        <v/>
      </c>
      <c r="F447" s="33"/>
      <c r="G447" s="34" t="str">
        <f>IFERROR(IF(F447&gt;=0,D447*E447*(1+F447/100),ABS(D447*E447/F447)),"")</f>
        <v/>
      </c>
      <c r="H447" s="43" t="str">
        <f>IFERROR(G447*E442,"")</f>
        <v/>
      </c>
    </row>
    <row r="448" spans="1:11">
      <c r="A448" s="28"/>
      <c r="B448" s="29"/>
      <c r="C448" s="30" t="str">
        <f>IFERROR(_xlfn.XLOOKUP(B448,Insumo[DESCRIPCION],Insumo[UND],,0),"")</f>
        <v/>
      </c>
      <c r="D448" s="31"/>
      <c r="E448" s="32" t="str">
        <f>IFERROR(_xlfn.XLOOKUP($B448,Insumo[DESCRIPCION],Insumo[VALOR],,0),"")</f>
        <v/>
      </c>
      <c r="F448" s="33"/>
      <c r="G448" s="34" t="str">
        <f>IFERROR(IF(F448&gt;=0,D448*E448*(1+F448/100),ABS(D448*E448/F448)),"")</f>
        <v/>
      </c>
      <c r="H448" s="43" t="str">
        <f>IFERROR(G448*E442,"")</f>
        <v/>
      </c>
    </row>
    <row r="449" spans="1:11">
      <c r="A449" s="28"/>
      <c r="B449" s="29"/>
      <c r="C449" s="30" t="str">
        <f>IFERROR(_xlfn.XLOOKUP(B449,Insumo[DESCRIPCION],Insumo[UND],,0),"")</f>
        <v/>
      </c>
      <c r="D449" s="31"/>
      <c r="E449" s="32" t="str">
        <f>IFERROR(_xlfn.XLOOKUP($B449,Insumo[DESCRIPCION],Insumo[VALOR],,0),"")</f>
        <v/>
      </c>
      <c r="F449" s="33"/>
      <c r="G449" s="34" t="str">
        <f>IFERROR(IF(F449&gt;=0,D449*E449*(1+F449/100),ABS(D449*E449/F449)),"")</f>
        <v/>
      </c>
      <c r="H449" s="43" t="str">
        <f>IFERROR(G449*E442,"")</f>
        <v/>
      </c>
    </row>
    <row r="450" spans="1:11">
      <c r="A450" s="21"/>
      <c r="B450" s="22" t="s">
        <v>3731</v>
      </c>
      <c r="C450" s="23"/>
      <c r="D450" s="24"/>
      <c r="E450" s="25"/>
      <c r="F450" s="26"/>
      <c r="G450" s="27">
        <f>SUM(G451:G453)</f>
        <v>985.09101947100032</v>
      </c>
      <c r="H450" s="44">
        <f>G450*E442</f>
        <v>0</v>
      </c>
    </row>
    <row r="451" spans="1:11">
      <c r="A451" s="28"/>
      <c r="B451" s="29" t="s">
        <v>3570</v>
      </c>
      <c r="C451" s="30" t="str">
        <f>IFERROR(_xlfn.XLOOKUP(B451,Equipo[DESCRIPCION],Equipo[UND],,0),"")</f>
        <v>%MO</v>
      </c>
      <c r="D451" s="31">
        <v>0.04</v>
      </c>
      <c r="E451" s="32">
        <f>IF(C451="%MO",G457,IFERROR(_xlfn.XLOOKUP($B451,Equipo[DESCRIPCION],Equipo[VALOR],,0),""))</f>
        <v>10945.455771900004</v>
      </c>
      <c r="F451" s="33"/>
      <c r="G451" s="34">
        <f>IFERROR(IF(F451&gt;=0,D451*E451*(1+F451/100),ABS(D451*E451/F451)),"")</f>
        <v>437.81823087600014</v>
      </c>
      <c r="H451" s="43">
        <f>IFERROR(G451*E442,"")</f>
        <v>0</v>
      </c>
    </row>
    <row r="452" spans="1:11">
      <c r="A452" s="28"/>
      <c r="B452" s="29" t="s">
        <v>3626</v>
      </c>
      <c r="C452" s="30" t="str">
        <f>IFERROR(_xlfn.XLOOKUP(B452,Equipo[DESCRIPCION],Equipo[UND],,0),"")</f>
        <v>%MO</v>
      </c>
      <c r="D452" s="31">
        <v>0.05</v>
      </c>
      <c r="E452" s="32">
        <f>IF(C452="%MO",G457,IFERROR(_xlfn.XLOOKUP($B452,Equipo[DESCRIPCION],Equipo[VALOR],,0),""))</f>
        <v>10945.455771900004</v>
      </c>
      <c r="F452" s="33"/>
      <c r="G452" s="34">
        <f>IFERROR(IF(F452&gt;=0,D452*E452*(1+F452/100),ABS(D452*E452/F452)),"")</f>
        <v>547.27278859500018</v>
      </c>
      <c r="H452" s="43">
        <f>IFERROR(G452*E442,"")</f>
        <v>0</v>
      </c>
    </row>
    <row r="453" spans="1:11">
      <c r="A453" s="28"/>
      <c r="B453" s="29"/>
      <c r="C453" s="30" t="str">
        <f>IFERROR(_xlfn.XLOOKUP(B453,Equipo[DESCRIPCION],Equipo[UND],,0),"")</f>
        <v/>
      </c>
      <c r="D453" s="31"/>
      <c r="E453" s="32" t="str">
        <f>IF(C453="%MO",G457,IFERROR(_xlfn.XLOOKUP($B453,Equipo[DESCRIPCION],Equipo[VALOR],,0),""))</f>
        <v/>
      </c>
      <c r="F453" s="33"/>
      <c r="G453" s="34" t="str">
        <f>IFERROR(IF(F453&gt;=0,D453*E453*(1+F453/100),ABS(D453*E453/F453)),"")</f>
        <v/>
      </c>
      <c r="H453" s="43" t="str">
        <f>IFERROR(G453*E442,"")</f>
        <v/>
      </c>
    </row>
    <row r="454" spans="1:11">
      <c r="A454" s="21"/>
      <c r="B454" s="22" t="s">
        <v>2533</v>
      </c>
      <c r="C454" s="23"/>
      <c r="D454" s="24"/>
      <c r="E454" s="25"/>
      <c r="F454" s="26"/>
      <c r="G454" s="27">
        <f>SUM(G455:G456)</f>
        <v>0</v>
      </c>
      <c r="H454" s="44">
        <f>G454*E442</f>
        <v>0</v>
      </c>
    </row>
    <row r="455" spans="1:11">
      <c r="A455" s="28"/>
      <c r="B455" s="29"/>
      <c r="C455" s="30" t="str">
        <f>IFERROR(_xlfn.XLOOKUP(B455,Transporte[DESCRIPCION],Transporte[UND],,0),"")</f>
        <v/>
      </c>
      <c r="D455" s="31"/>
      <c r="E455" s="32" t="str">
        <f>IFERROR(_xlfn.XLOOKUP($B455,Transporte[DESCRIPCION],Transporte[VALOR],,0),"")</f>
        <v/>
      </c>
      <c r="F455" s="33"/>
      <c r="G455" s="34" t="str">
        <f>IFERROR(IF(F455&gt;=0,D455*E455*(1+F455/100),ABS(D455*E455/F455)),"")</f>
        <v/>
      </c>
      <c r="H455" s="43" t="str">
        <f>IFERROR(G455*E442,"")</f>
        <v/>
      </c>
    </row>
    <row r="456" spans="1:11">
      <c r="A456" s="28"/>
      <c r="B456" s="29"/>
      <c r="C456" s="30" t="str">
        <f>IFERROR(_xlfn.XLOOKUP(B456,Transporte[DESCRIPCION],Transporte[UND],,0),"")</f>
        <v/>
      </c>
      <c r="D456" s="31"/>
      <c r="E456" s="32" t="str">
        <f>IFERROR(_xlfn.XLOOKUP($B456,Transporte[DESCRIPCION],Transporte[VALOR],,0),"")</f>
        <v/>
      </c>
      <c r="F456" s="33"/>
      <c r="G456" s="34" t="str">
        <f>IFERROR(IF(F456&gt;=0,D456*E456*(1+F456/100),ABS(D456*E456/F456)),"")</f>
        <v/>
      </c>
      <c r="H456" s="43" t="str">
        <f>IFERROR(G456*E442,"")</f>
        <v/>
      </c>
    </row>
    <row r="457" spans="1:11">
      <c r="A457" s="21"/>
      <c r="B457" s="22" t="s">
        <v>3732</v>
      </c>
      <c r="C457" s="23"/>
      <c r="D457" s="24"/>
      <c r="E457" s="25"/>
      <c r="F457" s="26"/>
      <c r="G457" s="27">
        <f>SUM(G458:G460)</f>
        <v>10945.455771900004</v>
      </c>
      <c r="H457" s="44">
        <f>G457*E442</f>
        <v>0</v>
      </c>
    </row>
    <row r="458" spans="1:11">
      <c r="A458" s="28"/>
      <c r="B458" s="29" t="s">
        <v>3712</v>
      </c>
      <c r="C458" s="30" t="str">
        <f>IFERROR(_xlfn.XLOOKUP(B458,MObra[DESCRIPCION],MObra[UN],,0),"")</f>
        <v>día</v>
      </c>
      <c r="D458" s="31">
        <v>1</v>
      </c>
      <c r="E458" s="32">
        <f>IFERROR(_xlfn.XLOOKUP($B458,MObra[DESCRIPCION],MObra[VALOR UNIT],,0),"")</f>
        <v>547272.78859500017</v>
      </c>
      <c r="F458" s="33">
        <v>-50</v>
      </c>
      <c r="G458" s="34">
        <f>IFERROR(IF(F458&gt;=0,D458*E458*(1+F458/100),ABS(D458*E458/F458)),"")</f>
        <v>10945.455771900004</v>
      </c>
      <c r="H458" s="43">
        <f>IFERROR(G458*E442,"")</f>
        <v>0</v>
      </c>
    </row>
    <row r="459" spans="1:11">
      <c r="A459" s="28"/>
      <c r="B459" s="29"/>
      <c r="C459" s="30" t="str">
        <f>IFERROR(_xlfn.XLOOKUP(B459,MObra[DESCRIPCION],MObra[UN],,0),"")</f>
        <v/>
      </c>
      <c r="D459" s="31"/>
      <c r="E459" s="32" t="str">
        <f>IFERROR(_xlfn.XLOOKUP($B459,MObra[DESCRIPCION],MObra[VALOR UNIT],,0),"")</f>
        <v/>
      </c>
      <c r="F459" s="33"/>
      <c r="G459" s="34" t="str">
        <f>IFERROR(IF(F459&gt;=0,D459*E459*(1+F459/100),ABS(D459*E459/F459)),"")</f>
        <v/>
      </c>
      <c r="H459" s="43" t="str">
        <f>IFERROR(G459*E442,"")</f>
        <v/>
      </c>
    </row>
    <row r="460" spans="1:11">
      <c r="A460" s="35"/>
      <c r="B460" s="36"/>
      <c r="C460" s="37" t="str">
        <f>IFERROR(_xlfn.XLOOKUP(B460,MObra[DESCRIPCION],MObra[UN],,0),"")</f>
        <v/>
      </c>
      <c r="D460" s="38"/>
      <c r="E460" s="39" t="str">
        <f>IFERROR(_xlfn.XLOOKUP($B460,MObra[DESCRIPCION],MObra[VALOR UNIT],,0),"")</f>
        <v/>
      </c>
      <c r="F460" s="40"/>
      <c r="G460" s="41" t="str">
        <f>IFERROR(IF(F460&gt;=0,D460*E460*(1+F460/100),ABS(D460*E460/F460)),"")</f>
        <v/>
      </c>
      <c r="H460" s="42" t="str">
        <f>IFERROR(G460*E442,"")</f>
        <v/>
      </c>
    </row>
    <row r="462" spans="1:11">
      <c r="A462" s="6" t="s">
        <v>1770</v>
      </c>
      <c r="B462" s="7" t="str">
        <f>VLOOKUP($A462,Presupuesto!$A:$D,2,FALSE())</f>
        <v>Cañuela C 20.7 Mpa B=0.3 H=0.1 E=0.07m</v>
      </c>
      <c r="C462" s="8" t="str">
        <f>VLOOKUP($A462,Presupuesto!$A:$D,3,FALSE())</f>
        <v>M</v>
      </c>
      <c r="D462" s="9"/>
      <c r="E462" s="10">
        <f>VLOOKUP($A462,Presupuesto!$A:$D,4,FALSE())</f>
        <v>0</v>
      </c>
      <c r="F462" s="11" t="s">
        <v>2589</v>
      </c>
      <c r="G462" s="12">
        <f>SUM(G464:G480)/2</f>
        <v>51514.14366332459</v>
      </c>
      <c r="H462" s="13">
        <f>ROUND(SUM(H464:H480),0)/2</f>
        <v>0</v>
      </c>
      <c r="I462" s="10">
        <f>VLOOKUP(A462,Presupuesto!$A:$F,6,0)</f>
        <v>0</v>
      </c>
      <c r="J462" s="10">
        <f>+H462-I462</f>
        <v>0</v>
      </c>
      <c r="K462" s="46">
        <f>+H462-G462*E462</f>
        <v>0</v>
      </c>
    </row>
    <row r="463" spans="1:11">
      <c r="A463" s="14"/>
      <c r="B463" s="15" t="s">
        <v>2586</v>
      </c>
      <c r="C463" s="15" t="s">
        <v>5</v>
      </c>
      <c r="D463" s="16" t="s">
        <v>6</v>
      </c>
      <c r="E463" s="17" t="s">
        <v>7</v>
      </c>
      <c r="F463" s="18" t="s">
        <v>3728</v>
      </c>
      <c r="G463" s="19" t="s">
        <v>3729</v>
      </c>
      <c r="H463" s="20" t="s">
        <v>3797</v>
      </c>
    </row>
    <row r="464" spans="1:11">
      <c r="A464" s="21"/>
      <c r="B464" s="22" t="s">
        <v>3730</v>
      </c>
      <c r="C464" s="23"/>
      <c r="D464" s="24"/>
      <c r="E464" s="25"/>
      <c r="F464" s="26"/>
      <c r="G464" s="27">
        <f>SUM(G465:G469)</f>
        <v>39583.596871953589</v>
      </c>
      <c r="H464" s="27">
        <f>IFERROR(G464*E462,"")</f>
        <v>0</v>
      </c>
    </row>
    <row r="465" spans="1:8">
      <c r="A465" s="28"/>
      <c r="B465" s="29" t="s">
        <v>3239</v>
      </c>
      <c r="C465" s="30" t="str">
        <f>IFERROR(_xlfn.XLOOKUP(B465,Insumo[DESCRIPCION],Insumo[UND],,0),"")</f>
        <v>M3</v>
      </c>
      <c r="D465" s="31">
        <f>0.5*0.07</f>
        <v>3.5000000000000003E-2</v>
      </c>
      <c r="E465" s="32">
        <f>IFERROR(_xlfn.XLOOKUP($B465,Insumo[DESCRIPCION],Insumo[VALOR],,0),"")</f>
        <v>521159.50227762427</v>
      </c>
      <c r="F465" s="33">
        <v>5</v>
      </c>
      <c r="G465" s="34">
        <f>IFERROR(IF(F465&gt;=0,D465*E465*(1+F465/100),ABS(D465*E465/F465)),"")</f>
        <v>19152.611708702694</v>
      </c>
      <c r="H465" s="43">
        <f>IFERROR(G465*E462,"")</f>
        <v>0</v>
      </c>
    </row>
    <row r="466" spans="1:8">
      <c r="A466" s="28"/>
      <c r="B466" s="29" t="s">
        <v>2954</v>
      </c>
      <c r="C466" s="30" t="str">
        <f>IFERROR(_xlfn.XLOOKUP(B466,Insumo[DESCRIPCION],Insumo[UND],,0),"")</f>
        <v>M2</v>
      </c>
      <c r="D466" s="31">
        <f>1*0.2</f>
        <v>0.2</v>
      </c>
      <c r="E466" s="32">
        <f>IFERROR(_xlfn.XLOOKUP($B466,Insumo[DESCRIPCION],Insumo[VALOR],,0),"")</f>
        <v>102154.92581625449</v>
      </c>
      <c r="F466" s="33"/>
      <c r="G466" s="34">
        <f>IFERROR(IF(F466&gt;=0,D466*E466*(1+F466/100),ABS(D466*E466/F466)),"")</f>
        <v>20430.985163250898</v>
      </c>
      <c r="H466" s="43">
        <f>IFERROR(G466*E462,"")</f>
        <v>0</v>
      </c>
    </row>
    <row r="467" spans="1:8">
      <c r="A467" s="28"/>
      <c r="B467" s="29"/>
      <c r="C467" s="30" t="str">
        <f>IFERROR(_xlfn.XLOOKUP(B467,Insumo[DESCRIPCION],Insumo[UND],,0),"")</f>
        <v/>
      </c>
      <c r="D467" s="31"/>
      <c r="E467" s="32" t="str">
        <f>IFERROR(_xlfn.XLOOKUP($B467,Insumo[DESCRIPCION],Insumo[VALOR],,0),"")</f>
        <v/>
      </c>
      <c r="F467" s="33"/>
      <c r="G467" s="34" t="str">
        <f>IFERROR(IF(F467&gt;=0,D467*E467*(1+F467/100),ABS(D467*E467/F467)),"")</f>
        <v/>
      </c>
      <c r="H467" s="43" t="str">
        <f>IFERROR(G467*E462,"")</f>
        <v/>
      </c>
    </row>
    <row r="468" spans="1:8">
      <c r="A468" s="28"/>
      <c r="B468" s="29"/>
      <c r="C468" s="30" t="str">
        <f>IFERROR(_xlfn.XLOOKUP(B468,Insumo[DESCRIPCION],Insumo[UND],,0),"")</f>
        <v/>
      </c>
      <c r="D468" s="31"/>
      <c r="E468" s="32" t="str">
        <f>IFERROR(_xlfn.XLOOKUP($B468,Insumo[DESCRIPCION],Insumo[VALOR],,0),"")</f>
        <v/>
      </c>
      <c r="F468" s="33"/>
      <c r="G468" s="34" t="str">
        <f>IFERROR(IF(F468&gt;=0,D468*E468*(1+F468/100),ABS(D468*E468/F468)),"")</f>
        <v/>
      </c>
      <c r="H468" s="43" t="str">
        <f>IFERROR(G468*E462,"")</f>
        <v/>
      </c>
    </row>
    <row r="469" spans="1:8">
      <c r="A469" s="28"/>
      <c r="B469" s="29"/>
      <c r="C469" s="30" t="str">
        <f>IFERROR(_xlfn.XLOOKUP(B469,Insumo[DESCRIPCION],Insumo[UND],,0),"")</f>
        <v/>
      </c>
      <c r="D469" s="31"/>
      <c r="E469" s="32" t="str">
        <f>IFERROR(_xlfn.XLOOKUP($B469,Insumo[DESCRIPCION],Insumo[VALOR],,0),"")</f>
        <v/>
      </c>
      <c r="F469" s="33"/>
      <c r="G469" s="34" t="str">
        <f>IFERROR(IF(F469&gt;=0,D469*E469*(1+F469/100),ABS(D469*E469/F469)),"")</f>
        <v/>
      </c>
      <c r="H469" s="43" t="str">
        <f>IFERROR(G469*E462,"")</f>
        <v/>
      </c>
    </row>
    <row r="470" spans="1:8">
      <c r="A470" s="21"/>
      <c r="B470" s="22" t="s">
        <v>3731</v>
      </c>
      <c r="C470" s="23"/>
      <c r="D470" s="24"/>
      <c r="E470" s="25"/>
      <c r="F470" s="26"/>
      <c r="G470" s="27">
        <f>SUM(G471:G473)</f>
        <v>985.09101947100032</v>
      </c>
      <c r="H470" s="44">
        <f>G470*E462</f>
        <v>0</v>
      </c>
    </row>
    <row r="471" spans="1:8">
      <c r="A471" s="28"/>
      <c r="B471" s="29" t="s">
        <v>3570</v>
      </c>
      <c r="C471" s="30" t="str">
        <f>IFERROR(_xlfn.XLOOKUP(B471,Equipo[DESCRIPCION],Equipo[UND],,0),"")</f>
        <v>%MO</v>
      </c>
      <c r="D471" s="31">
        <v>0.04</v>
      </c>
      <c r="E471" s="32">
        <f>IF(C471="%MO",G477,IFERROR(_xlfn.XLOOKUP($B471,Equipo[DESCRIPCION],Equipo[VALOR],,0),""))</f>
        <v>10945.455771900004</v>
      </c>
      <c r="F471" s="33"/>
      <c r="G471" s="34">
        <f>IFERROR(IF(F471&gt;=0,D471*E471*(1+F471/100),ABS(D471*E471/F471)),"")</f>
        <v>437.81823087600014</v>
      </c>
      <c r="H471" s="43">
        <f>IFERROR(G471*E462,"")</f>
        <v>0</v>
      </c>
    </row>
    <row r="472" spans="1:8">
      <c r="A472" s="28"/>
      <c r="B472" s="29" t="s">
        <v>3626</v>
      </c>
      <c r="C472" s="30" t="str">
        <f>IFERROR(_xlfn.XLOOKUP(B472,Equipo[DESCRIPCION],Equipo[UND],,0),"")</f>
        <v>%MO</v>
      </c>
      <c r="D472" s="31">
        <v>0.05</v>
      </c>
      <c r="E472" s="32">
        <f>IF(C472="%MO",G477,IFERROR(_xlfn.XLOOKUP($B472,Equipo[DESCRIPCION],Equipo[VALOR],,0),""))</f>
        <v>10945.455771900004</v>
      </c>
      <c r="F472" s="33"/>
      <c r="G472" s="34">
        <f>IFERROR(IF(F472&gt;=0,D472*E472*(1+F472/100),ABS(D472*E472/F472)),"")</f>
        <v>547.27278859500018</v>
      </c>
      <c r="H472" s="43">
        <f>IFERROR(G472*E462,"")</f>
        <v>0</v>
      </c>
    </row>
    <row r="473" spans="1:8">
      <c r="A473" s="28"/>
      <c r="B473" s="29"/>
      <c r="C473" s="30" t="str">
        <f>IFERROR(_xlfn.XLOOKUP(B473,Equipo[DESCRIPCION],Equipo[UND],,0),"")</f>
        <v/>
      </c>
      <c r="D473" s="31"/>
      <c r="E473" s="32" t="str">
        <f>IF(C473="%MO",G477,IFERROR(_xlfn.XLOOKUP($B473,Equipo[DESCRIPCION],Equipo[VALOR],,0),""))</f>
        <v/>
      </c>
      <c r="F473" s="33"/>
      <c r="G473" s="34" t="str">
        <f>IFERROR(IF(F473&gt;=0,D473*E473*(1+F473/100),ABS(D473*E473/F473)),"")</f>
        <v/>
      </c>
      <c r="H473" s="43" t="str">
        <f>IFERROR(G473*E462,"")</f>
        <v/>
      </c>
    </row>
    <row r="474" spans="1:8">
      <c r="A474" s="21"/>
      <c r="B474" s="22" t="s">
        <v>2533</v>
      </c>
      <c r="C474" s="23"/>
      <c r="D474" s="24"/>
      <c r="E474" s="25"/>
      <c r="F474" s="26"/>
      <c r="G474" s="27">
        <f>SUM(G475:G476)</f>
        <v>0</v>
      </c>
      <c r="H474" s="44">
        <f>G474*E462</f>
        <v>0</v>
      </c>
    </row>
    <row r="475" spans="1:8">
      <c r="A475" s="28"/>
      <c r="B475" s="29"/>
      <c r="C475" s="30" t="str">
        <f>IFERROR(_xlfn.XLOOKUP(B475,Transporte[DESCRIPCION],Transporte[UND],,0),"")</f>
        <v/>
      </c>
      <c r="D475" s="31"/>
      <c r="E475" s="32" t="str">
        <f>IFERROR(_xlfn.XLOOKUP($B475,Transporte[DESCRIPCION],Transporte[VALOR],,0),"")</f>
        <v/>
      </c>
      <c r="F475" s="33"/>
      <c r="G475" s="34" t="str">
        <f>IFERROR(IF(F475&gt;=0,D475*E475*(1+F475/100),ABS(D475*E475/F475)),"")</f>
        <v/>
      </c>
      <c r="H475" s="43" t="str">
        <f>IFERROR(G475*E462,"")</f>
        <v/>
      </c>
    </row>
    <row r="476" spans="1:8">
      <c r="A476" s="28"/>
      <c r="B476" s="29"/>
      <c r="C476" s="30" t="str">
        <f>IFERROR(_xlfn.XLOOKUP(B476,Transporte[DESCRIPCION],Transporte[UND],,0),"")</f>
        <v/>
      </c>
      <c r="D476" s="31"/>
      <c r="E476" s="32" t="str">
        <f>IFERROR(_xlfn.XLOOKUP($B476,Transporte[DESCRIPCION],Transporte[VALOR],,0),"")</f>
        <v/>
      </c>
      <c r="F476" s="33"/>
      <c r="G476" s="34" t="str">
        <f>IFERROR(IF(F476&gt;=0,D476*E476*(1+F476/100),ABS(D476*E476/F476)),"")</f>
        <v/>
      </c>
      <c r="H476" s="43" t="str">
        <f>IFERROR(G476*E462,"")</f>
        <v/>
      </c>
    </row>
    <row r="477" spans="1:8">
      <c r="A477" s="21"/>
      <c r="B477" s="22" t="s">
        <v>3732</v>
      </c>
      <c r="C477" s="23"/>
      <c r="D477" s="24"/>
      <c r="E477" s="25"/>
      <c r="F477" s="26"/>
      <c r="G477" s="27">
        <f>SUM(G478:G480)</f>
        <v>10945.455771900004</v>
      </c>
      <c r="H477" s="44">
        <f>G477*E462</f>
        <v>0</v>
      </c>
    </row>
    <row r="478" spans="1:8">
      <c r="A478" s="28"/>
      <c r="B478" s="29" t="s">
        <v>3712</v>
      </c>
      <c r="C478" s="30" t="str">
        <f>IFERROR(_xlfn.XLOOKUP(B478,MObra[DESCRIPCION],MObra[UN],,0),"")</f>
        <v>día</v>
      </c>
      <c r="D478" s="31">
        <v>1</v>
      </c>
      <c r="E478" s="32">
        <f>IFERROR(_xlfn.XLOOKUP($B478,MObra[DESCRIPCION],MObra[VALOR UNIT],,0),"")</f>
        <v>547272.78859500017</v>
      </c>
      <c r="F478" s="33">
        <v>-50</v>
      </c>
      <c r="G478" s="34">
        <f>IFERROR(IF(F478&gt;=0,D478*E478*(1+F478/100),ABS(D478*E478/F478)),"")</f>
        <v>10945.455771900004</v>
      </c>
      <c r="H478" s="43">
        <f>IFERROR(G478*E462,"")</f>
        <v>0</v>
      </c>
    </row>
    <row r="479" spans="1:8">
      <c r="A479" s="28"/>
      <c r="B479" s="29"/>
      <c r="C479" s="30" t="str">
        <f>IFERROR(_xlfn.XLOOKUP(B479,MObra[DESCRIPCION],MObra[UN],,0),"")</f>
        <v/>
      </c>
      <c r="D479" s="31"/>
      <c r="E479" s="32" t="str">
        <f>IFERROR(_xlfn.XLOOKUP($B479,MObra[DESCRIPCION],MObra[VALOR UNIT],,0),"")</f>
        <v/>
      </c>
      <c r="F479" s="33"/>
      <c r="G479" s="34" t="str">
        <f>IFERROR(IF(F479&gt;=0,D479*E479*(1+F479/100),ABS(D479*E479/F479)),"")</f>
        <v/>
      </c>
      <c r="H479" s="43" t="str">
        <f>IFERROR(G479*E462,"")</f>
        <v/>
      </c>
    </row>
    <row r="480" spans="1:8">
      <c r="A480" s="35"/>
      <c r="B480" s="36"/>
      <c r="C480" s="37" t="str">
        <f>IFERROR(_xlfn.XLOOKUP(B480,MObra[DESCRIPCION],MObra[UN],,0),"")</f>
        <v/>
      </c>
      <c r="D480" s="38"/>
      <c r="E480" s="39" t="str">
        <f>IFERROR(_xlfn.XLOOKUP($B480,MObra[DESCRIPCION],MObra[VALOR UNIT],,0),"")</f>
        <v/>
      </c>
      <c r="F480" s="40"/>
      <c r="G480" s="41" t="str">
        <f>IFERROR(IF(F480&gt;=0,D480*E480*(1+F480/100),ABS(D480*E480/F480)),"")</f>
        <v/>
      </c>
      <c r="H480" s="42" t="str">
        <f>IFERROR(G480*E462,"")</f>
        <v/>
      </c>
    </row>
    <row r="482" spans="1:11">
      <c r="A482" s="6" t="s">
        <v>1772</v>
      </c>
      <c r="B482" s="7" t="str">
        <f>VLOOKUP($A482,Presupuesto!$A:$D,2,FALSE())</f>
        <v>Cañuela tierra recubierta en concreto 13 Mpa W&lt;=0,20</v>
      </c>
      <c r="C482" s="8" t="str">
        <f>VLOOKUP($A482,Presupuesto!$A:$D,3,FALSE())</f>
        <v>M</v>
      </c>
      <c r="D482" s="9"/>
      <c r="E482" s="10">
        <f>VLOOKUP($A482,Presupuesto!$A:$D,4,FALSE())</f>
        <v>0</v>
      </c>
      <c r="F482" s="11" t="s">
        <v>2589</v>
      </c>
      <c r="G482" s="12">
        <f>SUM(G484:G500)/2</f>
        <v>19618.497200324819</v>
      </c>
      <c r="H482" s="13">
        <f>ROUND(SUM(H484:H500),0)/2</f>
        <v>0</v>
      </c>
      <c r="I482" s="10">
        <f>VLOOKUP(A482,Presupuesto!$A:$F,6,0)</f>
        <v>0</v>
      </c>
      <c r="J482" s="10">
        <f>+H482-I482</f>
        <v>0</v>
      </c>
      <c r="K482" s="46">
        <f>+H482-G482*E482</f>
        <v>0</v>
      </c>
    </row>
    <row r="483" spans="1:11">
      <c r="A483" s="14"/>
      <c r="B483" s="15" t="s">
        <v>2586</v>
      </c>
      <c r="C483" s="15" t="s">
        <v>5</v>
      </c>
      <c r="D483" s="16" t="s">
        <v>6</v>
      </c>
      <c r="E483" s="17" t="s">
        <v>7</v>
      </c>
      <c r="F483" s="18" t="s">
        <v>3728</v>
      </c>
      <c r="G483" s="19" t="s">
        <v>3729</v>
      </c>
      <c r="H483" s="20" t="s">
        <v>3797</v>
      </c>
    </row>
    <row r="484" spans="1:11">
      <c r="A484" s="21"/>
      <c r="B484" s="22" t="s">
        <v>3730</v>
      </c>
      <c r="C484" s="23"/>
      <c r="D484" s="24"/>
      <c r="E484" s="25"/>
      <c r="F484" s="26"/>
      <c r="G484" s="27">
        <f>SUM(G485:G489)</f>
        <v>9676.3748741823165</v>
      </c>
      <c r="H484" s="27">
        <f>IFERROR(G484*E482,"")</f>
        <v>0</v>
      </c>
    </row>
    <row r="485" spans="1:11">
      <c r="A485" s="28"/>
      <c r="B485" s="29" t="s">
        <v>3237</v>
      </c>
      <c r="C485" s="30" t="str">
        <f>IFERROR(_xlfn.XLOOKUP(B485,Insumo[DESCRIPCION],Insumo[UND],,0),"")</f>
        <v>M3</v>
      </c>
      <c r="D485" s="31">
        <v>0.02</v>
      </c>
      <c r="E485" s="32">
        <f>IFERROR(_xlfn.XLOOKUP($B485,Insumo[DESCRIPCION],Insumo[VALOR],,0),"")</f>
        <v>460779.75591344369</v>
      </c>
      <c r="F485" s="33">
        <v>5</v>
      </c>
      <c r="G485" s="34">
        <f>IFERROR(IF(F485&gt;=0,D485*E485*(1+F485/100),ABS(D485*E485/F485)),"")</f>
        <v>9676.3748741823165</v>
      </c>
      <c r="H485" s="43">
        <f>IFERROR(G485*E482,"")</f>
        <v>0</v>
      </c>
    </row>
    <row r="486" spans="1:11">
      <c r="A486" s="28"/>
      <c r="B486" s="29"/>
      <c r="C486" s="30" t="str">
        <f>IFERROR(_xlfn.XLOOKUP(B486,Insumo[DESCRIPCION],Insumo[UND],,0),"")</f>
        <v/>
      </c>
      <c r="D486" s="31"/>
      <c r="E486" s="32" t="str">
        <f>IFERROR(_xlfn.XLOOKUP($B486,Insumo[DESCRIPCION],Insumo[VALOR],,0),"")</f>
        <v/>
      </c>
      <c r="F486" s="33"/>
      <c r="G486" s="34" t="str">
        <f>IFERROR(IF(F486&gt;=0,D486*E486*(1+F486/100),ABS(D486*E486/F486)),"")</f>
        <v/>
      </c>
      <c r="H486" s="43" t="str">
        <f>IFERROR(G486*E482,"")</f>
        <v/>
      </c>
    </row>
    <row r="487" spans="1:11">
      <c r="A487" s="28"/>
      <c r="B487" s="29"/>
      <c r="C487" s="30" t="str">
        <f>IFERROR(_xlfn.XLOOKUP(B487,Insumo[DESCRIPCION],Insumo[UND],,0),"")</f>
        <v/>
      </c>
      <c r="D487" s="31"/>
      <c r="E487" s="32" t="str">
        <f>IFERROR(_xlfn.XLOOKUP($B487,Insumo[DESCRIPCION],Insumo[VALOR],,0),"")</f>
        <v/>
      </c>
      <c r="F487" s="33"/>
      <c r="G487" s="34" t="str">
        <f>IFERROR(IF(F487&gt;=0,D487*E487*(1+F487/100),ABS(D487*E487/F487)),"")</f>
        <v/>
      </c>
      <c r="H487" s="43" t="str">
        <f>IFERROR(G487*E482,"")</f>
        <v/>
      </c>
    </row>
    <row r="488" spans="1:11">
      <c r="A488" s="28"/>
      <c r="B488" s="29"/>
      <c r="C488" s="30" t="str">
        <f>IFERROR(_xlfn.XLOOKUP(B488,Insumo[DESCRIPCION],Insumo[UND],,0),"")</f>
        <v/>
      </c>
      <c r="D488" s="31"/>
      <c r="E488" s="32" t="str">
        <f>IFERROR(_xlfn.XLOOKUP($B488,Insumo[DESCRIPCION],Insumo[VALOR],,0),"")</f>
        <v/>
      </c>
      <c r="F488" s="33"/>
      <c r="G488" s="34" t="str">
        <f>IFERROR(IF(F488&gt;=0,D488*E488*(1+F488/100),ABS(D488*E488/F488)),"")</f>
        <v/>
      </c>
      <c r="H488" s="43" t="str">
        <f>IFERROR(G488*E482,"")</f>
        <v/>
      </c>
    </row>
    <row r="489" spans="1:11">
      <c r="A489" s="28"/>
      <c r="B489" s="29"/>
      <c r="C489" s="30" t="str">
        <f>IFERROR(_xlfn.XLOOKUP(B489,Insumo[DESCRIPCION],Insumo[UND],,0),"")</f>
        <v/>
      </c>
      <c r="D489" s="31"/>
      <c r="E489" s="32" t="str">
        <f>IFERROR(_xlfn.XLOOKUP($B489,Insumo[DESCRIPCION],Insumo[VALOR],,0),"")</f>
        <v/>
      </c>
      <c r="F489" s="33"/>
      <c r="G489" s="34" t="str">
        <f>IFERROR(IF(F489&gt;=0,D489*E489*(1+F489/100),ABS(D489*E489/F489)),"")</f>
        <v/>
      </c>
      <c r="H489" s="43" t="str">
        <f>IFERROR(G489*E482,"")</f>
        <v/>
      </c>
    </row>
    <row r="490" spans="1:11">
      <c r="A490" s="21"/>
      <c r="B490" s="22" t="s">
        <v>3731</v>
      </c>
      <c r="C490" s="23"/>
      <c r="D490" s="24"/>
      <c r="E490" s="25"/>
      <c r="F490" s="26"/>
      <c r="G490" s="27">
        <f>SUM(G491:G493)</f>
        <v>820.90918289250021</v>
      </c>
      <c r="H490" s="44">
        <f>G490*E482</f>
        <v>0</v>
      </c>
    </row>
    <row r="491" spans="1:11">
      <c r="A491" s="28"/>
      <c r="B491" s="29" t="s">
        <v>3570</v>
      </c>
      <c r="C491" s="30" t="str">
        <f>IFERROR(_xlfn.XLOOKUP(B491,Equipo[DESCRIPCION],Equipo[UND],,0),"")</f>
        <v>%MO</v>
      </c>
      <c r="D491" s="31">
        <v>0.04</v>
      </c>
      <c r="E491" s="32">
        <f>IF(C491="%MO",G497,IFERROR(_xlfn.XLOOKUP($B491,Equipo[DESCRIPCION],Equipo[VALOR],,0),""))</f>
        <v>9121.2131432500028</v>
      </c>
      <c r="F491" s="33"/>
      <c r="G491" s="34">
        <f>IFERROR(IF(F491&gt;=0,D491*E491*(1+F491/100),ABS(D491*E491/F491)),"")</f>
        <v>364.84852573000012</v>
      </c>
      <c r="H491" s="43">
        <f>IFERROR(G491*E482,"")</f>
        <v>0</v>
      </c>
    </row>
    <row r="492" spans="1:11">
      <c r="A492" s="28"/>
      <c r="B492" s="29" t="s">
        <v>3626</v>
      </c>
      <c r="C492" s="30" t="str">
        <f>IFERROR(_xlfn.XLOOKUP(B492,Equipo[DESCRIPCION],Equipo[UND],,0),"")</f>
        <v>%MO</v>
      </c>
      <c r="D492" s="31">
        <v>0.05</v>
      </c>
      <c r="E492" s="32">
        <f>IF(C492="%MO",G497,IFERROR(_xlfn.XLOOKUP($B492,Equipo[DESCRIPCION],Equipo[VALOR],,0),""))</f>
        <v>9121.2131432500028</v>
      </c>
      <c r="F492" s="33"/>
      <c r="G492" s="34">
        <f>IFERROR(IF(F492&gt;=0,D492*E492*(1+F492/100),ABS(D492*E492/F492)),"")</f>
        <v>456.06065716250015</v>
      </c>
      <c r="H492" s="43">
        <f>IFERROR(G492*E482,"")</f>
        <v>0</v>
      </c>
    </row>
    <row r="493" spans="1:11">
      <c r="A493" s="28"/>
      <c r="B493" s="29"/>
      <c r="C493" s="30" t="str">
        <f>IFERROR(_xlfn.XLOOKUP(B493,Equipo[DESCRIPCION],Equipo[UND],,0),"")</f>
        <v/>
      </c>
      <c r="D493" s="31"/>
      <c r="E493" s="32" t="str">
        <f>IF(C493="%MO",G497,IFERROR(_xlfn.XLOOKUP($B493,Equipo[DESCRIPCION],Equipo[VALOR],,0),""))</f>
        <v/>
      </c>
      <c r="F493" s="33"/>
      <c r="G493" s="34" t="str">
        <f>IFERROR(IF(F493&gt;=0,D493*E493*(1+F493/100),ABS(D493*E493/F493)),"")</f>
        <v/>
      </c>
      <c r="H493" s="43" t="str">
        <f>IFERROR(G493*E482,"")</f>
        <v/>
      </c>
    </row>
    <row r="494" spans="1:11">
      <c r="A494" s="21"/>
      <c r="B494" s="22" t="s">
        <v>2533</v>
      </c>
      <c r="C494" s="23"/>
      <c r="D494" s="24"/>
      <c r="E494" s="25"/>
      <c r="F494" s="26"/>
      <c r="G494" s="27">
        <f>SUM(G495:G496)</f>
        <v>0</v>
      </c>
      <c r="H494" s="44">
        <f>G494*E482</f>
        <v>0</v>
      </c>
    </row>
    <row r="495" spans="1:11">
      <c r="A495" s="28"/>
      <c r="B495" s="29"/>
      <c r="C495" s="30" t="str">
        <f>IFERROR(_xlfn.XLOOKUP(B495,Transporte[DESCRIPCION],Transporte[UND],,0),"")</f>
        <v/>
      </c>
      <c r="D495" s="31"/>
      <c r="E495" s="32" t="str">
        <f>IFERROR(_xlfn.XLOOKUP($B495,Transporte[DESCRIPCION],Transporte[VALOR],,0),"")</f>
        <v/>
      </c>
      <c r="F495" s="33"/>
      <c r="G495" s="34" t="str">
        <f>IFERROR(IF(F495&gt;=0,D495*E495*(1+F495/100),ABS(D495*E495/F495)),"")</f>
        <v/>
      </c>
      <c r="H495" s="43" t="str">
        <f>IFERROR(G495*E482,"")</f>
        <v/>
      </c>
    </row>
    <row r="496" spans="1:11">
      <c r="A496" s="28"/>
      <c r="B496" s="29"/>
      <c r="C496" s="30" t="str">
        <f>IFERROR(_xlfn.XLOOKUP(B496,Transporte[DESCRIPCION],Transporte[UND],,0),"")</f>
        <v/>
      </c>
      <c r="D496" s="31"/>
      <c r="E496" s="32" t="str">
        <f>IFERROR(_xlfn.XLOOKUP($B496,Transporte[DESCRIPCION],Transporte[VALOR],,0),"")</f>
        <v/>
      </c>
      <c r="F496" s="33"/>
      <c r="G496" s="34" t="str">
        <f>IFERROR(IF(F496&gt;=0,D496*E496*(1+F496/100),ABS(D496*E496/F496)),"")</f>
        <v/>
      </c>
      <c r="H496" s="43" t="str">
        <f>IFERROR(G496*E482,"")</f>
        <v/>
      </c>
    </row>
    <row r="497" spans="1:11">
      <c r="A497" s="21"/>
      <c r="B497" s="22" t="s">
        <v>3732</v>
      </c>
      <c r="C497" s="23"/>
      <c r="D497" s="24"/>
      <c r="E497" s="25"/>
      <c r="F497" s="26"/>
      <c r="G497" s="27">
        <f>SUM(G498:G500)</f>
        <v>9121.2131432500028</v>
      </c>
      <c r="H497" s="44">
        <f>G497*E482</f>
        <v>0</v>
      </c>
    </row>
    <row r="498" spans="1:11">
      <c r="A498" s="28"/>
      <c r="B498" s="29" t="s">
        <v>3712</v>
      </c>
      <c r="C498" s="30" t="str">
        <f>IFERROR(_xlfn.XLOOKUP(B498,MObra[DESCRIPCION],MObra[UN],,0),"")</f>
        <v>día</v>
      </c>
      <c r="D498" s="31">
        <v>1</v>
      </c>
      <c r="E498" s="32">
        <f>IFERROR(_xlfn.XLOOKUP($B498,MObra[DESCRIPCION],MObra[VALOR UNIT],,0),"")</f>
        <v>547272.78859500017</v>
      </c>
      <c r="F498" s="33">
        <v>-60</v>
      </c>
      <c r="G498" s="34">
        <f>IFERROR(IF(F498&gt;=0,D498*E498*(1+F498/100),ABS(D498*E498/F498)),"")</f>
        <v>9121.2131432500028</v>
      </c>
      <c r="H498" s="43">
        <f>IFERROR(G498*E482,"")</f>
        <v>0</v>
      </c>
    </row>
    <row r="499" spans="1:11">
      <c r="A499" s="28"/>
      <c r="B499" s="29"/>
      <c r="C499" s="30" t="str">
        <f>IFERROR(_xlfn.XLOOKUP(B499,MObra[DESCRIPCION],MObra[UN],,0),"")</f>
        <v/>
      </c>
      <c r="D499" s="31"/>
      <c r="E499" s="32" t="str">
        <f>IFERROR(_xlfn.XLOOKUP($B499,MObra[DESCRIPCION],MObra[VALOR UNIT],,0),"")</f>
        <v/>
      </c>
      <c r="F499" s="33"/>
      <c r="G499" s="34" t="str">
        <f>IFERROR(IF(F499&gt;=0,D499*E499*(1+F499/100),ABS(D499*E499/F499)),"")</f>
        <v/>
      </c>
      <c r="H499" s="43" t="str">
        <f>IFERROR(G499*E482,"")</f>
        <v/>
      </c>
    </row>
    <row r="500" spans="1:11">
      <c r="A500" s="35"/>
      <c r="B500" s="36"/>
      <c r="C500" s="37" t="str">
        <f>IFERROR(_xlfn.XLOOKUP(B500,MObra[DESCRIPCION],MObra[UN],,0),"")</f>
        <v/>
      </c>
      <c r="D500" s="38"/>
      <c r="E500" s="39" t="str">
        <f>IFERROR(_xlfn.XLOOKUP($B500,MObra[DESCRIPCION],MObra[VALOR UNIT],,0),"")</f>
        <v/>
      </c>
      <c r="F500" s="40"/>
      <c r="G500" s="41" t="str">
        <f>IFERROR(IF(F500&gt;=0,D500*E500*(1+F500/100),ABS(D500*E500/F500)),"")</f>
        <v/>
      </c>
      <c r="H500" s="42" t="str">
        <f>IFERROR(G500*E482,"")</f>
        <v/>
      </c>
    </row>
    <row r="502" spans="1:11">
      <c r="A502" s="6" t="s">
        <v>1774</v>
      </c>
      <c r="B502" s="7" t="str">
        <f>VLOOKUP($A502,Presupuesto!$A:$D,2,FALSE())</f>
        <v>Cañuela tierra recubierta en mortero + grava W&lt;=0,20</v>
      </c>
      <c r="C502" s="8" t="str">
        <f>VLOOKUP($A502,Presupuesto!$A:$D,3,FALSE())</f>
        <v>M</v>
      </c>
      <c r="D502" s="9"/>
      <c r="E502" s="10">
        <f>VLOOKUP($A502,Presupuesto!$A:$D,4,FALSE())</f>
        <v>0</v>
      </c>
      <c r="F502" s="11" t="s">
        <v>2589</v>
      </c>
      <c r="G502" s="12">
        <f>SUM(G504:G520)/2</f>
        <v>22507.613177807394</v>
      </c>
      <c r="H502" s="13">
        <f>ROUND(SUM(H504:H520),0)/2</f>
        <v>0</v>
      </c>
      <c r="I502" s="10">
        <f>VLOOKUP(A502,Presupuesto!$A:$F,6,0)</f>
        <v>0</v>
      </c>
      <c r="J502" s="10">
        <f>+H502-I502</f>
        <v>0</v>
      </c>
      <c r="K502" s="46">
        <f>+H502-G502*E502</f>
        <v>0</v>
      </c>
    </row>
    <row r="503" spans="1:11">
      <c r="A503" s="14"/>
      <c r="B503" s="15" t="s">
        <v>2586</v>
      </c>
      <c r="C503" s="15" t="s">
        <v>5</v>
      </c>
      <c r="D503" s="16" t="s">
        <v>6</v>
      </c>
      <c r="E503" s="17" t="s">
        <v>7</v>
      </c>
      <c r="F503" s="18" t="s">
        <v>3728</v>
      </c>
      <c r="G503" s="19" t="s">
        <v>3729</v>
      </c>
      <c r="H503" s="20" t="s">
        <v>3797</v>
      </c>
    </row>
    <row r="504" spans="1:11">
      <c r="A504" s="21"/>
      <c r="B504" s="22" t="s">
        <v>3730</v>
      </c>
      <c r="C504" s="23"/>
      <c r="D504" s="24"/>
      <c r="E504" s="25"/>
      <c r="F504" s="26"/>
      <c r="G504" s="27">
        <f>SUM(G505:G509)</f>
        <v>12565.490851664892</v>
      </c>
      <c r="H504" s="27">
        <f>IFERROR(G504*E502,"")</f>
        <v>0</v>
      </c>
    </row>
    <row r="505" spans="1:11">
      <c r="A505" s="28"/>
      <c r="B505" s="29" t="s">
        <v>3244</v>
      </c>
      <c r="C505" s="30" t="str">
        <f>IFERROR(_xlfn.XLOOKUP(B505,Insumo[DESCRIPCION],Insumo[UND],,0),"")</f>
        <v>M3</v>
      </c>
      <c r="D505" s="31">
        <v>0.02</v>
      </c>
      <c r="E505" s="32">
        <f>IFERROR(_xlfn.XLOOKUP($B505,Insumo[DESCRIPCION],Insumo[VALOR],,0),"")</f>
        <v>497765.65722213761</v>
      </c>
      <c r="F505" s="33">
        <v>5</v>
      </c>
      <c r="G505" s="34">
        <f>IFERROR(IF(F505&gt;=0,D505*E505*(1+F505/100),ABS(D505*E505/F505)),"")</f>
        <v>10453.078801664891</v>
      </c>
      <c r="H505" s="43">
        <f>IFERROR(G505*E502,"")</f>
        <v>0</v>
      </c>
    </row>
    <row r="506" spans="1:11">
      <c r="A506" s="28"/>
      <c r="B506" s="29" t="s">
        <v>3409</v>
      </c>
      <c r="C506" s="30" t="str">
        <f>IFERROR(_xlfn.XLOOKUP(B506,Insumo[DESCRIPCION],Insumo[UND],,0),"")</f>
        <v>M3</v>
      </c>
      <c r="D506" s="31">
        <v>0.02</v>
      </c>
      <c r="E506" s="32">
        <f>IFERROR(_xlfn.XLOOKUP($B506,Insumo[DESCRIPCION],Insumo[VALOR],,0),"")</f>
        <v>100591.05</v>
      </c>
      <c r="F506" s="33">
        <v>5</v>
      </c>
      <c r="G506" s="34">
        <f>IFERROR(IF(F506&gt;=0,D506*E506*(1+F506/100),ABS(D506*E506/F506)),"")</f>
        <v>2112.4120500000004</v>
      </c>
      <c r="H506" s="43">
        <f>IFERROR(G506*E502,"")</f>
        <v>0</v>
      </c>
    </row>
    <row r="507" spans="1:11">
      <c r="A507" s="28"/>
      <c r="B507" s="29"/>
      <c r="C507" s="30" t="str">
        <f>IFERROR(_xlfn.XLOOKUP(B507,Insumo[DESCRIPCION],Insumo[UND],,0),"")</f>
        <v/>
      </c>
      <c r="D507" s="31"/>
      <c r="E507" s="32" t="str">
        <f>IFERROR(_xlfn.XLOOKUP($B507,Insumo[DESCRIPCION],Insumo[VALOR],,0),"")</f>
        <v/>
      </c>
      <c r="F507" s="33"/>
      <c r="G507" s="34" t="str">
        <f>IFERROR(IF(F507&gt;=0,D507*E507*(1+F507/100),ABS(D507*E507/F507)),"")</f>
        <v/>
      </c>
      <c r="H507" s="43" t="str">
        <f>IFERROR(G507*E502,"")</f>
        <v/>
      </c>
    </row>
    <row r="508" spans="1:11">
      <c r="A508" s="28"/>
      <c r="B508" s="29"/>
      <c r="C508" s="30" t="str">
        <f>IFERROR(_xlfn.XLOOKUP(B508,Insumo[DESCRIPCION],Insumo[UND],,0),"")</f>
        <v/>
      </c>
      <c r="D508" s="31"/>
      <c r="E508" s="32" t="str">
        <f>IFERROR(_xlfn.XLOOKUP($B508,Insumo[DESCRIPCION],Insumo[VALOR],,0),"")</f>
        <v/>
      </c>
      <c r="F508" s="33"/>
      <c r="G508" s="34" t="str">
        <f>IFERROR(IF(F508&gt;=0,D508*E508*(1+F508/100),ABS(D508*E508/F508)),"")</f>
        <v/>
      </c>
      <c r="H508" s="43" t="str">
        <f>IFERROR(G508*E502,"")</f>
        <v/>
      </c>
    </row>
    <row r="509" spans="1:11">
      <c r="A509" s="28"/>
      <c r="B509" s="29"/>
      <c r="C509" s="30" t="str">
        <f>IFERROR(_xlfn.XLOOKUP(B509,Insumo[DESCRIPCION],Insumo[UND],,0),"")</f>
        <v/>
      </c>
      <c r="D509" s="31"/>
      <c r="E509" s="32" t="str">
        <f>IFERROR(_xlfn.XLOOKUP($B509,Insumo[DESCRIPCION],Insumo[VALOR],,0),"")</f>
        <v/>
      </c>
      <c r="F509" s="33"/>
      <c r="G509" s="34" t="str">
        <f>IFERROR(IF(F509&gt;=0,D509*E509*(1+F509/100),ABS(D509*E509/F509)),"")</f>
        <v/>
      </c>
      <c r="H509" s="43" t="str">
        <f>IFERROR(G509*E502,"")</f>
        <v/>
      </c>
    </row>
    <row r="510" spans="1:11">
      <c r="A510" s="21"/>
      <c r="B510" s="22" t="s">
        <v>3731</v>
      </c>
      <c r="C510" s="23"/>
      <c r="D510" s="24"/>
      <c r="E510" s="25"/>
      <c r="F510" s="26"/>
      <c r="G510" s="27">
        <f>SUM(G511:G513)</f>
        <v>820.90918289250021</v>
      </c>
      <c r="H510" s="44">
        <f>G510*E502</f>
        <v>0</v>
      </c>
    </row>
    <row r="511" spans="1:11">
      <c r="A511" s="28"/>
      <c r="B511" s="29" t="s">
        <v>3570</v>
      </c>
      <c r="C511" s="30" t="str">
        <f>IFERROR(_xlfn.XLOOKUP(B511,Equipo[DESCRIPCION],Equipo[UND],,0),"")</f>
        <v>%MO</v>
      </c>
      <c r="D511" s="31">
        <v>0.04</v>
      </c>
      <c r="E511" s="32">
        <f>IF(C511="%MO",G517,IFERROR(_xlfn.XLOOKUP($B511,Equipo[DESCRIPCION],Equipo[VALOR],,0),""))</f>
        <v>9121.2131432500028</v>
      </c>
      <c r="F511" s="33"/>
      <c r="G511" s="34">
        <f>IFERROR(IF(F511&gt;=0,D511*E511*(1+F511/100),ABS(D511*E511/F511)),"")</f>
        <v>364.84852573000012</v>
      </c>
      <c r="H511" s="43">
        <f>IFERROR(G511*E502,"")</f>
        <v>0</v>
      </c>
    </row>
    <row r="512" spans="1:11">
      <c r="A512" s="28"/>
      <c r="B512" s="29" t="s">
        <v>3626</v>
      </c>
      <c r="C512" s="30" t="str">
        <f>IFERROR(_xlfn.XLOOKUP(B512,Equipo[DESCRIPCION],Equipo[UND],,0),"")</f>
        <v>%MO</v>
      </c>
      <c r="D512" s="31">
        <v>0.05</v>
      </c>
      <c r="E512" s="32">
        <f>IF(C512="%MO",G517,IFERROR(_xlfn.XLOOKUP($B512,Equipo[DESCRIPCION],Equipo[VALOR],,0),""))</f>
        <v>9121.2131432500028</v>
      </c>
      <c r="F512" s="33"/>
      <c r="G512" s="34">
        <f>IFERROR(IF(F512&gt;=0,D512*E512*(1+F512/100),ABS(D512*E512/F512)),"")</f>
        <v>456.06065716250015</v>
      </c>
      <c r="H512" s="43">
        <f>IFERROR(G512*E502,"")</f>
        <v>0</v>
      </c>
    </row>
    <row r="513" spans="1:11">
      <c r="A513" s="28"/>
      <c r="B513" s="29"/>
      <c r="C513" s="30" t="str">
        <f>IFERROR(_xlfn.XLOOKUP(B513,Equipo[DESCRIPCION],Equipo[UND],,0),"")</f>
        <v/>
      </c>
      <c r="D513" s="31"/>
      <c r="E513" s="32" t="str">
        <f>IF(C513="%MO",G517,IFERROR(_xlfn.XLOOKUP($B513,Equipo[DESCRIPCION],Equipo[VALOR],,0),""))</f>
        <v/>
      </c>
      <c r="F513" s="33"/>
      <c r="G513" s="34" t="str">
        <f>IFERROR(IF(F513&gt;=0,D513*E513*(1+F513/100),ABS(D513*E513/F513)),"")</f>
        <v/>
      </c>
      <c r="H513" s="43" t="str">
        <f>IFERROR(G513*E502,"")</f>
        <v/>
      </c>
    </row>
    <row r="514" spans="1:11">
      <c r="A514" s="21"/>
      <c r="B514" s="22" t="s">
        <v>2533</v>
      </c>
      <c r="C514" s="23"/>
      <c r="D514" s="24"/>
      <c r="E514" s="25"/>
      <c r="F514" s="26"/>
      <c r="G514" s="27">
        <f>SUM(G515:G516)</f>
        <v>0</v>
      </c>
      <c r="H514" s="44">
        <f>G514*E502</f>
        <v>0</v>
      </c>
    </row>
    <row r="515" spans="1:11">
      <c r="A515" s="28"/>
      <c r="B515" s="29"/>
      <c r="C515" s="30" t="str">
        <f>IFERROR(_xlfn.XLOOKUP(B515,Transporte[DESCRIPCION],Transporte[UND],,0),"")</f>
        <v/>
      </c>
      <c r="D515" s="31"/>
      <c r="E515" s="32" t="str">
        <f>IFERROR(_xlfn.XLOOKUP($B515,Transporte[DESCRIPCION],Transporte[VALOR],,0),"")</f>
        <v/>
      </c>
      <c r="F515" s="33"/>
      <c r="G515" s="34" t="str">
        <f>IFERROR(IF(F515&gt;=0,D515*E515*(1+F515/100),ABS(D515*E515/F515)),"")</f>
        <v/>
      </c>
      <c r="H515" s="43" t="str">
        <f>IFERROR(G515*E502,"")</f>
        <v/>
      </c>
    </row>
    <row r="516" spans="1:11">
      <c r="A516" s="28"/>
      <c r="B516" s="29"/>
      <c r="C516" s="30" t="str">
        <f>IFERROR(_xlfn.XLOOKUP(B516,Transporte[DESCRIPCION],Transporte[UND],,0),"")</f>
        <v/>
      </c>
      <c r="D516" s="31"/>
      <c r="E516" s="32" t="str">
        <f>IFERROR(_xlfn.XLOOKUP($B516,Transporte[DESCRIPCION],Transporte[VALOR],,0),"")</f>
        <v/>
      </c>
      <c r="F516" s="33"/>
      <c r="G516" s="34" t="str">
        <f>IFERROR(IF(F516&gt;=0,D516*E516*(1+F516/100),ABS(D516*E516/F516)),"")</f>
        <v/>
      </c>
      <c r="H516" s="43" t="str">
        <f>IFERROR(G516*E502,"")</f>
        <v/>
      </c>
    </row>
    <row r="517" spans="1:11">
      <c r="A517" s="21"/>
      <c r="B517" s="22" t="s">
        <v>3732</v>
      </c>
      <c r="C517" s="23"/>
      <c r="D517" s="24"/>
      <c r="E517" s="25"/>
      <c r="F517" s="26"/>
      <c r="G517" s="27">
        <f>SUM(G518:G520)</f>
        <v>9121.2131432500028</v>
      </c>
      <c r="H517" s="44">
        <f>G517*E502</f>
        <v>0</v>
      </c>
    </row>
    <row r="518" spans="1:11">
      <c r="A518" s="28"/>
      <c r="B518" s="29" t="s">
        <v>3712</v>
      </c>
      <c r="C518" s="30" t="str">
        <f>IFERROR(_xlfn.XLOOKUP(B518,MObra[DESCRIPCION],MObra[UN],,0),"")</f>
        <v>día</v>
      </c>
      <c r="D518" s="31">
        <v>1</v>
      </c>
      <c r="E518" s="32">
        <f>IFERROR(_xlfn.XLOOKUP($B518,MObra[DESCRIPCION],MObra[VALOR UNIT],,0),"")</f>
        <v>547272.78859500017</v>
      </c>
      <c r="F518" s="33">
        <v>-60</v>
      </c>
      <c r="G518" s="34">
        <f>IFERROR(IF(F518&gt;=0,D518*E518*(1+F518/100),ABS(D518*E518/F518)),"")</f>
        <v>9121.2131432500028</v>
      </c>
      <c r="H518" s="43">
        <f>IFERROR(G518*E502,"")</f>
        <v>0</v>
      </c>
    </row>
    <row r="519" spans="1:11">
      <c r="A519" s="28"/>
      <c r="B519" s="29"/>
      <c r="C519" s="30" t="str">
        <f>IFERROR(_xlfn.XLOOKUP(B519,MObra[DESCRIPCION],MObra[UN],,0),"")</f>
        <v/>
      </c>
      <c r="D519" s="31"/>
      <c r="E519" s="32" t="str">
        <f>IFERROR(_xlfn.XLOOKUP($B519,MObra[DESCRIPCION],MObra[VALOR UNIT],,0),"")</f>
        <v/>
      </c>
      <c r="F519" s="33"/>
      <c r="G519" s="34" t="str">
        <f>IFERROR(IF(F519&gt;=0,D519*E519*(1+F519/100),ABS(D519*E519/F519)),"")</f>
        <v/>
      </c>
      <c r="H519" s="43" t="str">
        <f>IFERROR(G519*E502,"")</f>
        <v/>
      </c>
    </row>
    <row r="520" spans="1:11">
      <c r="A520" s="35"/>
      <c r="B520" s="36"/>
      <c r="C520" s="37" t="str">
        <f>IFERROR(_xlfn.XLOOKUP(B520,MObra[DESCRIPCION],MObra[UN],,0),"")</f>
        <v/>
      </c>
      <c r="D520" s="38"/>
      <c r="E520" s="39" t="str">
        <f>IFERROR(_xlfn.XLOOKUP($B520,MObra[DESCRIPCION],MObra[VALOR UNIT],,0),"")</f>
        <v/>
      </c>
      <c r="F520" s="40"/>
      <c r="G520" s="41" t="str">
        <f>IFERROR(IF(F520&gt;=0,D520*E520*(1+F520/100),ABS(D520*E520/F520)),"")</f>
        <v/>
      </c>
      <c r="H520" s="42" t="str">
        <f>IFERROR(G520*E502,"")</f>
        <v/>
      </c>
    </row>
    <row r="522" spans="1:11">
      <c r="A522" s="6" t="s">
        <v>1776</v>
      </c>
      <c r="B522" s="7" t="str">
        <f>VLOOKUP($A522,Presupuesto!$A:$D,2,FALSE())</f>
        <v>Conformación de taludes existentes</v>
      </c>
      <c r="C522" s="8" t="str">
        <f>VLOOKUP($A522,Presupuesto!$A:$D,3,FALSE())</f>
        <v>M2</v>
      </c>
      <c r="D522" s="9"/>
      <c r="E522" s="10">
        <f>VLOOKUP($A522,Presupuesto!$A:$D,4,FALSE())</f>
        <v>0</v>
      </c>
      <c r="F522" s="11" t="s">
        <v>2589</v>
      </c>
      <c r="G522" s="12">
        <f>SUM(G524:G540)/2</f>
        <v>11930.546791371005</v>
      </c>
      <c r="H522" s="13">
        <f>ROUND(SUM(H524:H540),0)/2</f>
        <v>0</v>
      </c>
      <c r="I522" s="10">
        <f>VLOOKUP(A522,Presupuesto!$A:$F,6,0)</f>
        <v>0</v>
      </c>
      <c r="J522" s="10">
        <f>+H522-I522</f>
        <v>0</v>
      </c>
      <c r="K522" s="46">
        <f>+H522-G522*E522</f>
        <v>0</v>
      </c>
    </row>
    <row r="523" spans="1:11">
      <c r="A523" s="14"/>
      <c r="B523" s="15" t="s">
        <v>2586</v>
      </c>
      <c r="C523" s="15" t="s">
        <v>5</v>
      </c>
      <c r="D523" s="16" t="s">
        <v>6</v>
      </c>
      <c r="E523" s="17" t="s">
        <v>7</v>
      </c>
      <c r="F523" s="18" t="s">
        <v>3728</v>
      </c>
      <c r="G523" s="19" t="s">
        <v>3729</v>
      </c>
      <c r="H523" s="20" t="s">
        <v>3797</v>
      </c>
    </row>
    <row r="524" spans="1:11">
      <c r="A524" s="21"/>
      <c r="B524" s="22" t="s">
        <v>3730</v>
      </c>
      <c r="C524" s="23"/>
      <c r="D524" s="24"/>
      <c r="E524" s="25"/>
      <c r="F524" s="26"/>
      <c r="G524" s="27">
        <f>SUM(G525:G529)</f>
        <v>0</v>
      </c>
      <c r="H524" s="27">
        <f>IFERROR(G524*E522,"")</f>
        <v>0</v>
      </c>
    </row>
    <row r="525" spans="1:11">
      <c r="A525" s="28"/>
      <c r="B525" s="29"/>
      <c r="C525" s="30" t="str">
        <f>IFERROR(_xlfn.XLOOKUP(B525,Insumo[DESCRIPCION],Insumo[UND],,0),"")</f>
        <v/>
      </c>
      <c r="D525" s="31"/>
      <c r="E525" s="32" t="str">
        <f>IFERROR(_xlfn.XLOOKUP($B525,Insumo[DESCRIPCION],Insumo[VALOR],,0),"")</f>
        <v/>
      </c>
      <c r="F525" s="33"/>
      <c r="G525" s="34" t="str">
        <f>IFERROR(IF(F525&gt;=0,D525*E525*(1+F525/100),ABS(D525*E525/F525)),"")</f>
        <v/>
      </c>
      <c r="H525" s="43" t="str">
        <f>IFERROR(G525*E522,"")</f>
        <v/>
      </c>
    </row>
    <row r="526" spans="1:11">
      <c r="A526" s="28"/>
      <c r="B526" s="29"/>
      <c r="C526" s="30" t="str">
        <f>IFERROR(_xlfn.XLOOKUP(B526,Insumo[DESCRIPCION],Insumo[UND],,0),"")</f>
        <v/>
      </c>
      <c r="D526" s="31"/>
      <c r="E526" s="32" t="str">
        <f>IFERROR(_xlfn.XLOOKUP($B526,Insumo[DESCRIPCION],Insumo[VALOR],,0),"")</f>
        <v/>
      </c>
      <c r="F526" s="33"/>
      <c r="G526" s="34" t="str">
        <f>IFERROR(IF(F526&gt;=0,D526*E526*(1+F526/100),ABS(D526*E526/F526)),"")</f>
        <v/>
      </c>
      <c r="H526" s="43" t="str">
        <f>IFERROR(G526*E522,"")</f>
        <v/>
      </c>
    </row>
    <row r="527" spans="1:11">
      <c r="A527" s="28"/>
      <c r="B527" s="29"/>
      <c r="C527" s="30" t="str">
        <f>IFERROR(_xlfn.XLOOKUP(B527,Insumo[DESCRIPCION],Insumo[UND],,0),"")</f>
        <v/>
      </c>
      <c r="D527" s="31"/>
      <c r="E527" s="32" t="str">
        <f>IFERROR(_xlfn.XLOOKUP($B527,Insumo[DESCRIPCION],Insumo[VALOR],,0),"")</f>
        <v/>
      </c>
      <c r="F527" s="33"/>
      <c r="G527" s="34" t="str">
        <f>IFERROR(IF(F527&gt;=0,D527*E527*(1+F527/100),ABS(D527*E527/F527)),"")</f>
        <v/>
      </c>
      <c r="H527" s="43" t="str">
        <f>IFERROR(G527*E522,"")</f>
        <v/>
      </c>
    </row>
    <row r="528" spans="1:11">
      <c r="A528" s="28"/>
      <c r="B528" s="29"/>
      <c r="C528" s="30" t="str">
        <f>IFERROR(_xlfn.XLOOKUP(B528,Insumo[DESCRIPCION],Insumo[UND],,0),"")</f>
        <v/>
      </c>
      <c r="D528" s="31"/>
      <c r="E528" s="32" t="str">
        <f>IFERROR(_xlfn.XLOOKUP($B528,Insumo[DESCRIPCION],Insumo[VALOR],,0),"")</f>
        <v/>
      </c>
      <c r="F528" s="33"/>
      <c r="G528" s="34" t="str">
        <f>IFERROR(IF(F528&gt;=0,D528*E528*(1+F528/100),ABS(D528*E528/F528)),"")</f>
        <v/>
      </c>
      <c r="H528" s="43" t="str">
        <f>IFERROR(G528*E522,"")</f>
        <v/>
      </c>
    </row>
    <row r="529" spans="1:11">
      <c r="A529" s="28"/>
      <c r="B529" s="29"/>
      <c r="C529" s="30" t="str">
        <f>IFERROR(_xlfn.XLOOKUP(B529,Insumo[DESCRIPCION],Insumo[UND],,0),"")</f>
        <v/>
      </c>
      <c r="D529" s="31"/>
      <c r="E529" s="32" t="str">
        <f>IFERROR(_xlfn.XLOOKUP($B529,Insumo[DESCRIPCION],Insumo[VALOR],,0),"")</f>
        <v/>
      </c>
      <c r="F529" s="33"/>
      <c r="G529" s="34" t="str">
        <f>IFERROR(IF(F529&gt;=0,D529*E529*(1+F529/100),ABS(D529*E529/F529)),"")</f>
        <v/>
      </c>
      <c r="H529" s="43" t="str">
        <f>IFERROR(G529*E522,"")</f>
        <v/>
      </c>
    </row>
    <row r="530" spans="1:11">
      <c r="A530" s="21"/>
      <c r="B530" s="22" t="s">
        <v>3731</v>
      </c>
      <c r="C530" s="23"/>
      <c r="D530" s="24"/>
      <c r="E530" s="25"/>
      <c r="F530" s="26"/>
      <c r="G530" s="27">
        <f>SUM(G531:G533)</f>
        <v>985.09101947100032</v>
      </c>
      <c r="H530" s="44">
        <f>G530*E522</f>
        <v>0</v>
      </c>
    </row>
    <row r="531" spans="1:11">
      <c r="A531" s="28"/>
      <c r="B531" s="29" t="s">
        <v>3570</v>
      </c>
      <c r="C531" s="30" t="str">
        <f>IFERROR(_xlfn.XLOOKUP(B531,Equipo[DESCRIPCION],Equipo[UND],,0),"")</f>
        <v>%MO</v>
      </c>
      <c r="D531" s="31">
        <v>0.04</v>
      </c>
      <c r="E531" s="32">
        <f>IF(C531="%MO",G537,IFERROR(_xlfn.XLOOKUP($B531,Equipo[DESCRIPCION],Equipo[VALOR],,0),""))</f>
        <v>10945.455771900004</v>
      </c>
      <c r="F531" s="33"/>
      <c r="G531" s="34">
        <f>IFERROR(IF(F531&gt;=0,D531*E531*(1+F531/100),ABS(D531*E531/F531)),"")</f>
        <v>437.81823087600014</v>
      </c>
      <c r="H531" s="43">
        <f>IFERROR(G531*E522,"")</f>
        <v>0</v>
      </c>
    </row>
    <row r="532" spans="1:11">
      <c r="A532" s="28"/>
      <c r="B532" s="29" t="s">
        <v>3626</v>
      </c>
      <c r="C532" s="30" t="str">
        <f>IFERROR(_xlfn.XLOOKUP(B532,Equipo[DESCRIPCION],Equipo[UND],,0),"")</f>
        <v>%MO</v>
      </c>
      <c r="D532" s="31">
        <v>0.05</v>
      </c>
      <c r="E532" s="32">
        <f>IF(C532="%MO",G537,IFERROR(_xlfn.XLOOKUP($B532,Equipo[DESCRIPCION],Equipo[VALOR],,0),""))</f>
        <v>10945.455771900004</v>
      </c>
      <c r="F532" s="33"/>
      <c r="G532" s="34">
        <f>IFERROR(IF(F532&gt;=0,D532*E532*(1+F532/100),ABS(D532*E532/F532)),"")</f>
        <v>547.27278859500018</v>
      </c>
      <c r="H532" s="43">
        <f>IFERROR(G532*E522,"")</f>
        <v>0</v>
      </c>
    </row>
    <row r="533" spans="1:11">
      <c r="A533" s="28"/>
      <c r="B533" s="29"/>
      <c r="C533" s="30" t="str">
        <f>IFERROR(_xlfn.XLOOKUP(B533,Equipo[DESCRIPCION],Equipo[UND],,0),"")</f>
        <v/>
      </c>
      <c r="D533" s="31"/>
      <c r="E533" s="32" t="str">
        <f>IF(C533="%MO",G537,IFERROR(_xlfn.XLOOKUP($B533,Equipo[DESCRIPCION],Equipo[VALOR],,0),""))</f>
        <v/>
      </c>
      <c r="F533" s="33"/>
      <c r="G533" s="34" t="str">
        <f>IFERROR(IF(F533&gt;=0,D533*E533*(1+F533/100),ABS(D533*E533/F533)),"")</f>
        <v/>
      </c>
      <c r="H533" s="43" t="str">
        <f>IFERROR(G533*E522,"")</f>
        <v/>
      </c>
    </row>
    <row r="534" spans="1:11">
      <c r="A534" s="21"/>
      <c r="B534" s="22" t="s">
        <v>2533</v>
      </c>
      <c r="C534" s="23"/>
      <c r="D534" s="24"/>
      <c r="E534" s="25"/>
      <c r="F534" s="26"/>
      <c r="G534" s="27">
        <f>SUM(G535:G536)</f>
        <v>0</v>
      </c>
      <c r="H534" s="44">
        <f>G534*E522</f>
        <v>0</v>
      </c>
    </row>
    <row r="535" spans="1:11">
      <c r="A535" s="28"/>
      <c r="B535" s="29"/>
      <c r="C535" s="30" t="str">
        <f>IFERROR(_xlfn.XLOOKUP(B535,Transporte[DESCRIPCION],Transporte[UND],,0),"")</f>
        <v/>
      </c>
      <c r="D535" s="31"/>
      <c r="E535" s="32" t="str">
        <f>IFERROR(_xlfn.XLOOKUP($B535,Transporte[DESCRIPCION],Transporte[VALOR],,0),"")</f>
        <v/>
      </c>
      <c r="F535" s="33"/>
      <c r="G535" s="34" t="str">
        <f>IFERROR(IF(F535&gt;=0,D535*E535*(1+F535/100),ABS(D535*E535/F535)),"")</f>
        <v/>
      </c>
      <c r="H535" s="43" t="str">
        <f>IFERROR(G535*E522,"")</f>
        <v/>
      </c>
    </row>
    <row r="536" spans="1:11">
      <c r="A536" s="28"/>
      <c r="B536" s="29"/>
      <c r="C536" s="30" t="str">
        <f>IFERROR(_xlfn.XLOOKUP(B536,Transporte[DESCRIPCION],Transporte[UND],,0),"")</f>
        <v/>
      </c>
      <c r="D536" s="31"/>
      <c r="E536" s="32" t="str">
        <f>IFERROR(_xlfn.XLOOKUP($B536,Transporte[DESCRIPCION],Transporte[VALOR],,0),"")</f>
        <v/>
      </c>
      <c r="F536" s="33"/>
      <c r="G536" s="34" t="str">
        <f>IFERROR(IF(F536&gt;=0,D536*E536*(1+F536/100),ABS(D536*E536/F536)),"")</f>
        <v/>
      </c>
      <c r="H536" s="43" t="str">
        <f>IFERROR(G536*E522,"")</f>
        <v/>
      </c>
    </row>
    <row r="537" spans="1:11">
      <c r="A537" s="21"/>
      <c r="B537" s="22" t="s">
        <v>3732</v>
      </c>
      <c r="C537" s="23"/>
      <c r="D537" s="24"/>
      <c r="E537" s="25"/>
      <c r="F537" s="26"/>
      <c r="G537" s="27">
        <f>SUM(G538:G540)</f>
        <v>10945.455771900004</v>
      </c>
      <c r="H537" s="44">
        <f>G537*E522</f>
        <v>0</v>
      </c>
    </row>
    <row r="538" spans="1:11">
      <c r="A538" s="28"/>
      <c r="B538" s="29" t="s">
        <v>3712</v>
      </c>
      <c r="C538" s="30" t="str">
        <f>IFERROR(_xlfn.XLOOKUP(B538,MObra[DESCRIPCION],MObra[UN],,0),"")</f>
        <v>día</v>
      </c>
      <c r="D538" s="31">
        <v>1</v>
      </c>
      <c r="E538" s="32">
        <f>IFERROR(_xlfn.XLOOKUP($B538,MObra[DESCRIPCION],MObra[VALOR UNIT],,0),"")</f>
        <v>547272.78859500017</v>
      </c>
      <c r="F538" s="33">
        <v>-50</v>
      </c>
      <c r="G538" s="34">
        <f>IFERROR(IF(F538&gt;=0,D538*E538*(1+F538/100),ABS(D538*E538/F538)),"")</f>
        <v>10945.455771900004</v>
      </c>
      <c r="H538" s="43">
        <f>IFERROR(G538*E522,"")</f>
        <v>0</v>
      </c>
    </row>
    <row r="539" spans="1:11">
      <c r="A539" s="28"/>
      <c r="B539" s="29"/>
      <c r="C539" s="30" t="str">
        <f>IFERROR(_xlfn.XLOOKUP(B539,MObra[DESCRIPCION],MObra[UN],,0),"")</f>
        <v/>
      </c>
      <c r="D539" s="31"/>
      <c r="E539" s="32" t="str">
        <f>IFERROR(_xlfn.XLOOKUP($B539,MObra[DESCRIPCION],MObra[VALOR UNIT],,0),"")</f>
        <v/>
      </c>
      <c r="F539" s="33"/>
      <c r="G539" s="34" t="str">
        <f>IFERROR(IF(F539&gt;=0,D539*E539*(1+F539/100),ABS(D539*E539/F539)),"")</f>
        <v/>
      </c>
      <c r="H539" s="43" t="str">
        <f>IFERROR(G539*E522,"")</f>
        <v/>
      </c>
    </row>
    <row r="540" spans="1:11">
      <c r="A540" s="35"/>
      <c r="B540" s="36"/>
      <c r="C540" s="37" t="str">
        <f>IFERROR(_xlfn.XLOOKUP(B540,MObra[DESCRIPCION],MObra[UN],,0),"")</f>
        <v/>
      </c>
      <c r="D540" s="38"/>
      <c r="E540" s="39" t="str">
        <f>IFERROR(_xlfn.XLOOKUP($B540,MObra[DESCRIPCION],MObra[VALOR UNIT],,0),"")</f>
        <v/>
      </c>
      <c r="F540" s="40"/>
      <c r="G540" s="41" t="str">
        <f>IFERROR(IF(F540&gt;=0,D540*E540*(1+F540/100),ABS(D540*E540/F540)),"")</f>
        <v/>
      </c>
      <c r="H540" s="42" t="str">
        <f>IFERROR(G540*E522,"")</f>
        <v/>
      </c>
    </row>
    <row r="542" spans="1:11">
      <c r="A542" s="6" t="s">
        <v>1778</v>
      </c>
      <c r="B542" s="7" t="str">
        <f>VLOOKUP($A542,Presupuesto!$A:$D,2,FALSE())</f>
        <v>Dados de anclaje 0.6x0.6x0.2 concreto de 27.6 Mpa</v>
      </c>
      <c r="C542" s="8" t="str">
        <f>VLOOKUP($A542,Presupuesto!$A:$D,3,FALSE())</f>
        <v>Un</v>
      </c>
      <c r="D542" s="9"/>
      <c r="E542" s="10">
        <f>VLOOKUP($A542,Presupuesto!$A:$D,4,FALSE())</f>
        <v>0</v>
      </c>
      <c r="F542" s="11" t="s">
        <v>2589</v>
      </c>
      <c r="G542" s="12">
        <f>SUM(G544:G560)/2</f>
        <v>172260.95018615696</v>
      </c>
      <c r="H542" s="13">
        <f>ROUND(SUM(H544:H560),0)/2</f>
        <v>0</v>
      </c>
      <c r="I542" s="10">
        <f>VLOOKUP(A542,Presupuesto!$A:$F,6,0)</f>
        <v>0</v>
      </c>
      <c r="J542" s="10">
        <f>+H542-I542</f>
        <v>0</v>
      </c>
      <c r="K542" s="46">
        <f>+H542-G542*E542</f>
        <v>0</v>
      </c>
    </row>
    <row r="543" spans="1:11">
      <c r="A543" s="14"/>
      <c r="B543" s="15" t="s">
        <v>2586</v>
      </c>
      <c r="C543" s="15" t="s">
        <v>5</v>
      </c>
      <c r="D543" s="16" t="s">
        <v>6</v>
      </c>
      <c r="E543" s="17" t="s">
        <v>7</v>
      </c>
      <c r="F543" s="18" t="s">
        <v>3728</v>
      </c>
      <c r="G543" s="19" t="s">
        <v>3729</v>
      </c>
      <c r="H543" s="20" t="s">
        <v>3797</v>
      </c>
    </row>
    <row r="544" spans="1:11">
      <c r="A544" s="21"/>
      <c r="B544" s="22" t="s">
        <v>3730</v>
      </c>
      <c r="C544" s="23"/>
      <c r="D544" s="24"/>
      <c r="E544" s="25"/>
      <c r="F544" s="26"/>
      <c r="G544" s="27">
        <f>SUM(G545:G549)</f>
        <v>95394.173174651936</v>
      </c>
      <c r="H544" s="27">
        <f>IFERROR(G544*E542,"")</f>
        <v>0</v>
      </c>
    </row>
    <row r="545" spans="1:8">
      <c r="A545" s="28"/>
      <c r="B545" s="29" t="s">
        <v>3241</v>
      </c>
      <c r="C545" s="30" t="str">
        <f>IFERROR(_xlfn.XLOOKUP(B545,Insumo[DESCRIPCION],Insumo[UND],,0),"")</f>
        <v>M3</v>
      </c>
      <c r="D545" s="31">
        <v>0.08</v>
      </c>
      <c r="E545" s="32">
        <f>IFERROR(_xlfn.XLOOKUP($B545,Insumo[DESCRIPCION],Insumo[VALOR],,0),"")</f>
        <v>568453.66874585627</v>
      </c>
      <c r="F545" s="33">
        <v>5</v>
      </c>
      <c r="G545" s="34">
        <f>IFERROR(IF(F545&gt;=0,D545*E545*(1+F545/100),ABS(D545*E545/F545)),"")</f>
        <v>47750.108174651927</v>
      </c>
      <c r="H545" s="43">
        <f>IFERROR(G545*E542,"")</f>
        <v>0</v>
      </c>
    </row>
    <row r="546" spans="1:8">
      <c r="A546" s="28"/>
      <c r="B546" s="29" t="s">
        <v>3338</v>
      </c>
      <c r="C546" s="30" t="str">
        <f>IFERROR(_xlfn.XLOOKUP(B546,Insumo[DESCRIPCION],Insumo[UND],,0),"")</f>
        <v>M</v>
      </c>
      <c r="D546" s="31">
        <v>2.4</v>
      </c>
      <c r="E546" s="32">
        <f>IFERROR(_xlfn.XLOOKUP($B546,Insumo[DESCRIPCION],Insumo[VALOR],,0),"")</f>
        <v>8047.2000000000007</v>
      </c>
      <c r="F546" s="33"/>
      <c r="G546" s="34">
        <f>IFERROR(IF(F546&gt;=0,D546*E546*(1+F546/100),ABS(D546*E546/F546)),"")</f>
        <v>19313.280000000002</v>
      </c>
      <c r="H546" s="43">
        <f>IFERROR(G546*E542,"")</f>
        <v>0</v>
      </c>
    </row>
    <row r="547" spans="1:8">
      <c r="A547" s="28"/>
      <c r="B547" s="29" t="s">
        <v>3048</v>
      </c>
      <c r="C547" s="30" t="str">
        <f>IFERROR(_xlfn.XLOOKUP(B547,Insumo[DESCRIPCION],Insumo[UND],,0),"")</f>
        <v>M</v>
      </c>
      <c r="D547" s="31">
        <v>2.4</v>
      </c>
      <c r="E547" s="32">
        <f>IFERROR(_xlfn.XLOOKUP($B547,Insumo[DESCRIPCION],Insumo[VALOR],,0),"")</f>
        <v>4091.8500000000004</v>
      </c>
      <c r="F547" s="33"/>
      <c r="G547" s="34">
        <f>IFERROR(IF(F547&gt;=0,D547*E547*(1+F547/100),ABS(D547*E547/F547)),"")</f>
        <v>9820.44</v>
      </c>
      <c r="H547" s="43">
        <f>IFERROR(G547*E542,"")</f>
        <v>0</v>
      </c>
    </row>
    <row r="548" spans="1:8">
      <c r="A548" s="28"/>
      <c r="B548" s="29" t="s">
        <v>3443</v>
      </c>
      <c r="C548" s="30" t="str">
        <f>IFERROR(_xlfn.XLOOKUP(B548,Insumo[DESCRIPCION],Insumo[UND],,0),"")</f>
        <v>M</v>
      </c>
      <c r="D548" s="31">
        <v>0.6</v>
      </c>
      <c r="E548" s="32">
        <f>IFERROR(_xlfn.XLOOKUP($B548,Insumo[DESCRIPCION],Insumo[VALOR],,0),"")</f>
        <v>23287.424999999999</v>
      </c>
      <c r="F548" s="33"/>
      <c r="G548" s="34">
        <f>IFERROR(IF(F548&gt;=0,D548*E548*(1+F548/100),ABS(D548*E548/F548)),"")</f>
        <v>13972.455</v>
      </c>
      <c r="H548" s="43">
        <f>IFERROR(G548*E542,"")</f>
        <v>0</v>
      </c>
    </row>
    <row r="549" spans="1:8">
      <c r="A549" s="28"/>
      <c r="B549" s="29" t="s">
        <v>3253</v>
      </c>
      <c r="C549" s="30" t="str">
        <f>IFERROR(_xlfn.XLOOKUP(B549,Insumo[DESCRIPCION],Insumo[UND],,0),"")</f>
        <v>Lb</v>
      </c>
      <c r="D549" s="31">
        <v>0.7</v>
      </c>
      <c r="E549" s="32">
        <f>IFERROR(_xlfn.XLOOKUP($B549,Insumo[DESCRIPCION],Insumo[VALOR],,0),"")</f>
        <v>6482.7000000000007</v>
      </c>
      <c r="F549" s="33"/>
      <c r="G549" s="34">
        <f>IFERROR(IF(F549&gt;=0,D549*E549*(1+F549/100),ABS(D549*E549/F549)),"")</f>
        <v>4537.8900000000003</v>
      </c>
      <c r="H549" s="43">
        <f>IFERROR(G549*E542,"")</f>
        <v>0</v>
      </c>
    </row>
    <row r="550" spans="1:8">
      <c r="A550" s="21"/>
      <c r="B550" s="22" t="s">
        <v>3731</v>
      </c>
      <c r="C550" s="23"/>
      <c r="D550" s="24"/>
      <c r="E550" s="25"/>
      <c r="F550" s="26"/>
      <c r="G550" s="27">
        <f>SUM(G551:G553)</f>
        <v>10495.396267005002</v>
      </c>
      <c r="H550" s="44">
        <f>G550*E542</f>
        <v>0</v>
      </c>
    </row>
    <row r="551" spans="1:8">
      <c r="A551" s="28"/>
      <c r="B551" s="29" t="s">
        <v>3657</v>
      </c>
      <c r="C551" s="30" t="str">
        <f>IFERROR(_xlfn.XLOOKUP(B551,Equipo[DESCRIPCION],Equipo[UND],,0),"")</f>
        <v>Día</v>
      </c>
      <c r="D551" s="31">
        <v>1</v>
      </c>
      <c r="E551" s="32">
        <f>IF(C551="%MO",G557,IFERROR(_xlfn.XLOOKUP($B551,Equipo[DESCRIPCION],Equipo[VALOR],,0),""))</f>
        <v>56524.65</v>
      </c>
      <c r="F551" s="33">
        <v>-12.5</v>
      </c>
      <c r="G551" s="34">
        <f>IFERROR(IF(F551&gt;=0,D551*E551*(1+F551/100),ABS(D551*E551/F551)),"")</f>
        <v>4521.9719999999998</v>
      </c>
      <c r="H551" s="43">
        <f>IFERROR(G551*E542,"")</f>
        <v>0</v>
      </c>
    </row>
    <row r="552" spans="1:8">
      <c r="A552" s="28"/>
      <c r="B552" s="29" t="s">
        <v>3570</v>
      </c>
      <c r="C552" s="30" t="str">
        <f>IFERROR(_xlfn.XLOOKUP(B552,Equipo[DESCRIPCION],Equipo[UND],,0),"")</f>
        <v>%MO</v>
      </c>
      <c r="D552" s="31">
        <v>0.04</v>
      </c>
      <c r="E552" s="32">
        <f>IF(C552="%MO",G557,IFERROR(_xlfn.XLOOKUP($B552,Equipo[DESCRIPCION],Equipo[VALOR],,0),""))</f>
        <v>66371.380744500013</v>
      </c>
      <c r="F552" s="33"/>
      <c r="G552" s="34">
        <f>IFERROR(IF(F552&gt;=0,D552*E552*(1+F552/100),ABS(D552*E552/F552)),"")</f>
        <v>2654.8552297800006</v>
      </c>
      <c r="H552" s="43">
        <f>IFERROR(G552*E542,"")</f>
        <v>0</v>
      </c>
    </row>
    <row r="553" spans="1:8">
      <c r="A553" s="28"/>
      <c r="B553" s="29" t="s">
        <v>3626</v>
      </c>
      <c r="C553" s="30" t="str">
        <f>IFERROR(_xlfn.XLOOKUP(B553,Equipo[DESCRIPCION],Equipo[UND],,0),"")</f>
        <v>%MO</v>
      </c>
      <c r="D553" s="31">
        <v>0.05</v>
      </c>
      <c r="E553" s="32">
        <f>IF(C553="%MO",G557,IFERROR(_xlfn.XLOOKUP($B553,Equipo[DESCRIPCION],Equipo[VALOR],,0),""))</f>
        <v>66371.380744500013</v>
      </c>
      <c r="F553" s="33"/>
      <c r="G553" s="34">
        <f>IFERROR(IF(F553&gt;=0,D553*E553*(1+F553/100),ABS(D553*E553/F553)),"")</f>
        <v>3318.569037225001</v>
      </c>
      <c r="H553" s="43">
        <f>IFERROR(G553*E542,"")</f>
        <v>0</v>
      </c>
    </row>
    <row r="554" spans="1:8">
      <c r="A554" s="21"/>
      <c r="B554" s="22" t="s">
        <v>2533</v>
      </c>
      <c r="C554" s="23"/>
      <c r="D554" s="24"/>
      <c r="E554" s="25"/>
      <c r="F554" s="26"/>
      <c r="G554" s="27">
        <f>SUM(G555:G556)</f>
        <v>0</v>
      </c>
      <c r="H554" s="44">
        <f>G554*E542</f>
        <v>0</v>
      </c>
    </row>
    <row r="555" spans="1:8">
      <c r="A555" s="28"/>
      <c r="B555" s="29"/>
      <c r="C555" s="30" t="str">
        <f>IFERROR(_xlfn.XLOOKUP(B555,Transporte[DESCRIPCION],Transporte[UND],,0),"")</f>
        <v/>
      </c>
      <c r="D555" s="31"/>
      <c r="E555" s="32" t="str">
        <f>IFERROR(_xlfn.XLOOKUP($B555,Transporte[DESCRIPCION],Transporte[VALOR],,0),"")</f>
        <v/>
      </c>
      <c r="F555" s="33"/>
      <c r="G555" s="34" t="str">
        <f>IFERROR(IF(F555&gt;=0,D555*E555*(1+F555/100),ABS(D555*E555/F555)),"")</f>
        <v/>
      </c>
      <c r="H555" s="43" t="str">
        <f>IFERROR(G555*E542,"")</f>
        <v/>
      </c>
    </row>
    <row r="556" spans="1:8">
      <c r="A556" s="28"/>
      <c r="B556" s="29"/>
      <c r="C556" s="30" t="str">
        <f>IFERROR(_xlfn.XLOOKUP(B556,Transporte[DESCRIPCION],Transporte[UND],,0),"")</f>
        <v/>
      </c>
      <c r="D556" s="31"/>
      <c r="E556" s="32" t="str">
        <f>IFERROR(_xlfn.XLOOKUP($B556,Transporte[DESCRIPCION],Transporte[VALOR],,0),"")</f>
        <v/>
      </c>
      <c r="F556" s="33"/>
      <c r="G556" s="34" t="str">
        <f>IFERROR(IF(F556&gt;=0,D556*E556*(1+F556/100),ABS(D556*E556/F556)),"")</f>
        <v/>
      </c>
      <c r="H556" s="43" t="str">
        <f>IFERROR(G556*E542,"")</f>
        <v/>
      </c>
    </row>
    <row r="557" spans="1:8">
      <c r="A557" s="21"/>
      <c r="B557" s="22" t="s">
        <v>3732</v>
      </c>
      <c r="C557" s="23"/>
      <c r="D557" s="24"/>
      <c r="E557" s="25"/>
      <c r="F557" s="26"/>
      <c r="G557" s="27">
        <f>SUM(G558:G560)</f>
        <v>66371.380744500013</v>
      </c>
      <c r="H557" s="44">
        <f>G557*E542</f>
        <v>0</v>
      </c>
    </row>
    <row r="558" spans="1:8">
      <c r="A558" s="28"/>
      <c r="B558" s="29" t="s">
        <v>3713</v>
      </c>
      <c r="C558" s="30" t="str">
        <f>IFERROR(_xlfn.XLOOKUP(B558,MObra[DESCRIPCION],MObra[UN],,0),"")</f>
        <v>día</v>
      </c>
      <c r="D558" s="31">
        <v>1</v>
      </c>
      <c r="E558" s="32">
        <f>IFERROR(_xlfn.XLOOKUP($B558,MObra[DESCRIPCION],MObra[VALOR UNIT],,0),"")</f>
        <v>663713.80744500016</v>
      </c>
      <c r="F558" s="33">
        <v>-10</v>
      </c>
      <c r="G558" s="34">
        <f>IFERROR(IF(F558&gt;=0,D558*E558*(1+F558/100),ABS(D558*E558/F558)),"")</f>
        <v>66371.380744500013</v>
      </c>
      <c r="H558" s="43">
        <f>IFERROR(G558*E542,"")</f>
        <v>0</v>
      </c>
    </row>
    <row r="559" spans="1:8">
      <c r="A559" s="28"/>
      <c r="B559" s="29"/>
      <c r="C559" s="30" t="str">
        <f>IFERROR(_xlfn.XLOOKUP(B559,MObra[DESCRIPCION],MObra[UN],,0),"")</f>
        <v/>
      </c>
      <c r="D559" s="31"/>
      <c r="E559" s="32" t="str">
        <f>IFERROR(_xlfn.XLOOKUP($B559,MObra[DESCRIPCION],MObra[VALOR UNIT],,0),"")</f>
        <v/>
      </c>
      <c r="F559" s="33"/>
      <c r="G559" s="34" t="str">
        <f>IFERROR(IF(F559&gt;=0,D559*E559*(1+F559/100),ABS(D559*E559/F559)),"")</f>
        <v/>
      </c>
      <c r="H559" s="43" t="str">
        <f>IFERROR(G559*E542,"")</f>
        <v/>
      </c>
    </row>
    <row r="560" spans="1:8">
      <c r="A560" s="35"/>
      <c r="B560" s="36"/>
      <c r="C560" s="37" t="str">
        <f>IFERROR(_xlfn.XLOOKUP(B560,MObra[DESCRIPCION],MObra[UN],,0),"")</f>
        <v/>
      </c>
      <c r="D560" s="38"/>
      <c r="E560" s="39" t="str">
        <f>IFERROR(_xlfn.XLOOKUP($B560,MObra[DESCRIPCION],MObra[VALOR UNIT],,0),"")</f>
        <v/>
      </c>
      <c r="F560" s="40"/>
      <c r="G560" s="41" t="str">
        <f>IFERROR(IF(F560&gt;=0,D560*E560*(1+F560/100),ABS(D560*E560/F560)),"")</f>
        <v/>
      </c>
      <c r="H560" s="42" t="str">
        <f>IFERROR(G560*E542,"")</f>
        <v/>
      </c>
    </row>
    <row r="562" spans="1:11">
      <c r="A562" s="6" t="s">
        <v>1780</v>
      </c>
      <c r="B562" s="7" t="str">
        <f>VLOOKUP($A562,Presupuesto!$A:$D,2,FALSE())</f>
        <v>Dados pantalla activa</v>
      </c>
      <c r="C562" s="8" t="str">
        <f>VLOOKUP($A562,Presupuesto!$A:$D,3,FALSE())</f>
        <v>Un</v>
      </c>
      <c r="D562" s="9"/>
      <c r="E562" s="10">
        <f>VLOOKUP($A562,Presupuesto!$A:$D,4,FALSE())</f>
        <v>0</v>
      </c>
      <c r="F562" s="11" t="s">
        <v>2589</v>
      </c>
      <c r="G562" s="12">
        <f>SUM(G564:G580)/2</f>
        <v>115672.86461682749</v>
      </c>
      <c r="H562" s="13">
        <f>ROUND(SUM(H564:H580),0)/2</f>
        <v>0</v>
      </c>
      <c r="I562" s="10">
        <f>VLOOKUP(A562,Presupuesto!$A:$F,6,0)</f>
        <v>0</v>
      </c>
      <c r="J562" s="10">
        <f>+H562-I562</f>
        <v>0</v>
      </c>
      <c r="K562" s="46">
        <f>+H562-G562*E562</f>
        <v>0</v>
      </c>
    </row>
    <row r="563" spans="1:11">
      <c r="A563" s="14"/>
      <c r="B563" s="15" t="s">
        <v>2586</v>
      </c>
      <c r="C563" s="15" t="s">
        <v>5</v>
      </c>
      <c r="D563" s="16" t="s">
        <v>6</v>
      </c>
      <c r="E563" s="17" t="s">
        <v>7</v>
      </c>
      <c r="F563" s="18" t="s">
        <v>3728</v>
      </c>
      <c r="G563" s="19" t="s">
        <v>3729</v>
      </c>
      <c r="H563" s="20" t="s">
        <v>3797</v>
      </c>
    </row>
    <row r="564" spans="1:11">
      <c r="A564" s="21"/>
      <c r="B564" s="22" t="s">
        <v>3730</v>
      </c>
      <c r="C564" s="23"/>
      <c r="D564" s="24"/>
      <c r="E564" s="25"/>
      <c r="F564" s="26"/>
      <c r="G564" s="27">
        <f>SUM(G565:G569)</f>
        <v>62921.022609157459</v>
      </c>
      <c r="H564" s="27">
        <f>IFERROR(G564*E562,"")</f>
        <v>0</v>
      </c>
    </row>
    <row r="565" spans="1:11">
      <c r="A565" s="28"/>
      <c r="B565" s="29" t="s">
        <v>3241</v>
      </c>
      <c r="C565" s="30" t="str">
        <f>IFERROR(_xlfn.XLOOKUP(B565,Insumo[DESCRIPCION],Insumo[UND],,0),"")</f>
        <v>M3</v>
      </c>
      <c r="D565" s="31">
        <f>0.05</f>
        <v>0.05</v>
      </c>
      <c r="E565" s="32">
        <f>IFERROR(_xlfn.XLOOKUP($B565,Insumo[DESCRIPCION],Insumo[VALOR],,0),"")</f>
        <v>568453.66874585627</v>
      </c>
      <c r="F565" s="33">
        <v>5</v>
      </c>
      <c r="G565" s="34">
        <f>IFERROR(IF(F565&gt;=0,D565*E565*(1+F565/100),ABS(D565*E565/F565)),"")</f>
        <v>29843.817609157457</v>
      </c>
      <c r="H565" s="43">
        <f>IFERROR(G565*E562,"")</f>
        <v>0</v>
      </c>
    </row>
    <row r="566" spans="1:11">
      <c r="A566" s="28"/>
      <c r="B566" s="29" t="s">
        <v>3338</v>
      </c>
      <c r="C566" s="30" t="str">
        <f>IFERROR(_xlfn.XLOOKUP(B566,Insumo[DESCRIPCION],Insumo[UND],,0),"")</f>
        <v>M</v>
      </c>
      <c r="D566" s="31">
        <v>1.2</v>
      </c>
      <c r="E566" s="32">
        <f>IFERROR(_xlfn.XLOOKUP($B566,Insumo[DESCRIPCION],Insumo[VALOR],,0),"")</f>
        <v>8047.2000000000007</v>
      </c>
      <c r="F566" s="33"/>
      <c r="G566" s="34">
        <f>IFERROR(IF(F566&gt;=0,D566*E566*(1+F566/100),ABS(D566*E566/F566)),"")</f>
        <v>9656.6400000000012</v>
      </c>
      <c r="H566" s="43">
        <f>IFERROR(G566*E562,"")</f>
        <v>0</v>
      </c>
    </row>
    <row r="567" spans="1:11">
      <c r="A567" s="28"/>
      <c r="B567" s="29" t="s">
        <v>3048</v>
      </c>
      <c r="C567" s="30" t="str">
        <f>IFERROR(_xlfn.XLOOKUP(B567,Insumo[DESCRIPCION],Insumo[UND],,0),"")</f>
        <v>M</v>
      </c>
      <c r="D567" s="31">
        <v>1.2</v>
      </c>
      <c r="E567" s="32">
        <f>IFERROR(_xlfn.XLOOKUP($B567,Insumo[DESCRIPCION],Insumo[VALOR],,0),"")</f>
        <v>4091.8500000000004</v>
      </c>
      <c r="F567" s="33"/>
      <c r="G567" s="34">
        <f>IFERROR(IF(F567&gt;=0,D567*E567*(1+F567/100),ABS(D567*E567/F567)),"")</f>
        <v>4910.22</v>
      </c>
      <c r="H567" s="43">
        <f>IFERROR(G567*E562,"")</f>
        <v>0</v>
      </c>
    </row>
    <row r="568" spans="1:11">
      <c r="A568" s="28"/>
      <c r="B568" s="29" t="s">
        <v>3443</v>
      </c>
      <c r="C568" s="30" t="str">
        <f>IFERROR(_xlfn.XLOOKUP(B568,Insumo[DESCRIPCION],Insumo[UND],,0),"")</f>
        <v>M</v>
      </c>
      <c r="D568" s="31">
        <v>0.6</v>
      </c>
      <c r="E568" s="32">
        <f>IFERROR(_xlfn.XLOOKUP($B568,Insumo[DESCRIPCION],Insumo[VALOR],,0),"")</f>
        <v>23287.424999999999</v>
      </c>
      <c r="F568" s="33"/>
      <c r="G568" s="34">
        <f>IFERROR(IF(F568&gt;=0,D568*E568*(1+F568/100),ABS(D568*E568/F568)),"")</f>
        <v>13972.455</v>
      </c>
      <c r="H568" s="43">
        <f>IFERROR(G568*E562,"")</f>
        <v>0</v>
      </c>
    </row>
    <row r="569" spans="1:11">
      <c r="A569" s="28"/>
      <c r="B569" s="29" t="s">
        <v>3253</v>
      </c>
      <c r="C569" s="30" t="str">
        <f>IFERROR(_xlfn.XLOOKUP(B569,Insumo[DESCRIPCION],Insumo[UND],,0),"")</f>
        <v>Lb</v>
      </c>
      <c r="D569" s="31">
        <v>0.7</v>
      </c>
      <c r="E569" s="32">
        <f>IFERROR(_xlfn.XLOOKUP($B569,Insumo[DESCRIPCION],Insumo[VALOR],,0),"")</f>
        <v>6482.7000000000007</v>
      </c>
      <c r="F569" s="33"/>
      <c r="G569" s="34">
        <f>IFERROR(IF(F569&gt;=0,D569*E569*(1+F569/100),ABS(D569*E569/F569)),"")</f>
        <v>4537.8900000000003</v>
      </c>
      <c r="H569" s="43">
        <f>IFERROR(G569*E562,"")</f>
        <v>0</v>
      </c>
    </row>
    <row r="570" spans="1:11">
      <c r="A570" s="21"/>
      <c r="B570" s="22" t="s">
        <v>3731</v>
      </c>
      <c r="C570" s="23"/>
      <c r="D570" s="24"/>
      <c r="E570" s="25"/>
      <c r="F570" s="26"/>
      <c r="G570" s="27">
        <f>SUM(G571:G573)</f>
        <v>8504.2548446700021</v>
      </c>
      <c r="H570" s="44">
        <f>G570*E562</f>
        <v>0</v>
      </c>
    </row>
    <row r="571" spans="1:11">
      <c r="A571" s="28"/>
      <c r="B571" s="29" t="s">
        <v>3657</v>
      </c>
      <c r="C571" s="30" t="str">
        <f>IFERROR(_xlfn.XLOOKUP(B571,Equipo[DESCRIPCION],Equipo[UND],,0),"")</f>
        <v>Día</v>
      </c>
      <c r="D571" s="31">
        <v>1</v>
      </c>
      <c r="E571" s="32">
        <f>IF(C571="%MO",G577,IFERROR(_xlfn.XLOOKUP($B571,Equipo[DESCRIPCION],Equipo[VALOR],,0),""))</f>
        <v>56524.65</v>
      </c>
      <c r="F571" s="33">
        <v>-12.5</v>
      </c>
      <c r="G571" s="34">
        <f>IFERROR(IF(F571&gt;=0,D571*E571*(1+F571/100),ABS(D571*E571/F571)),"")</f>
        <v>4521.9719999999998</v>
      </c>
      <c r="H571" s="43">
        <f>IFERROR(G571*E562,"")</f>
        <v>0</v>
      </c>
    </row>
    <row r="572" spans="1:11">
      <c r="A572" s="28"/>
      <c r="B572" s="29" t="s">
        <v>3570</v>
      </c>
      <c r="C572" s="30" t="str">
        <f>IFERROR(_xlfn.XLOOKUP(B572,Equipo[DESCRIPCION],Equipo[UND],,0),"")</f>
        <v>%MO</v>
      </c>
      <c r="D572" s="31">
        <v>0.04</v>
      </c>
      <c r="E572" s="32">
        <f>IF(C572="%MO",G577,IFERROR(_xlfn.XLOOKUP($B572,Equipo[DESCRIPCION],Equipo[VALOR],,0),""))</f>
        <v>44247.587163000011</v>
      </c>
      <c r="F572" s="33"/>
      <c r="G572" s="34">
        <f>IFERROR(IF(F572&gt;=0,D572*E572*(1+F572/100),ABS(D572*E572/F572)),"")</f>
        <v>1769.9034865200006</v>
      </c>
      <c r="H572" s="43">
        <f>IFERROR(G572*E562,"")</f>
        <v>0</v>
      </c>
    </row>
    <row r="573" spans="1:11">
      <c r="A573" s="28"/>
      <c r="B573" s="29" t="s">
        <v>3626</v>
      </c>
      <c r="C573" s="30" t="str">
        <f>IFERROR(_xlfn.XLOOKUP(B573,Equipo[DESCRIPCION],Equipo[UND],,0),"")</f>
        <v>%MO</v>
      </c>
      <c r="D573" s="31">
        <v>0.05</v>
      </c>
      <c r="E573" s="32">
        <f>IF(C573="%MO",G577,IFERROR(_xlfn.XLOOKUP($B573,Equipo[DESCRIPCION],Equipo[VALOR],,0),""))</f>
        <v>44247.587163000011</v>
      </c>
      <c r="F573" s="33"/>
      <c r="G573" s="34">
        <f>IFERROR(IF(F573&gt;=0,D573*E573*(1+F573/100),ABS(D573*E573/F573)),"")</f>
        <v>2212.3793581500008</v>
      </c>
      <c r="H573" s="43">
        <f>IFERROR(G573*E562,"")</f>
        <v>0</v>
      </c>
    </row>
    <row r="574" spans="1:11">
      <c r="A574" s="21"/>
      <c r="B574" s="22" t="s">
        <v>2533</v>
      </c>
      <c r="C574" s="23"/>
      <c r="D574" s="24"/>
      <c r="E574" s="25"/>
      <c r="F574" s="26"/>
      <c r="G574" s="27">
        <f>SUM(G575:G576)</f>
        <v>0</v>
      </c>
      <c r="H574" s="44">
        <f>G574*E562</f>
        <v>0</v>
      </c>
    </row>
    <row r="575" spans="1:11">
      <c r="A575" s="28"/>
      <c r="B575" s="29"/>
      <c r="C575" s="30" t="str">
        <f>IFERROR(_xlfn.XLOOKUP(B575,Transporte[DESCRIPCION],Transporte[UND],,0),"")</f>
        <v/>
      </c>
      <c r="D575" s="31"/>
      <c r="E575" s="32" t="str">
        <f>IFERROR(_xlfn.XLOOKUP($B575,Transporte[DESCRIPCION],Transporte[VALOR],,0),"")</f>
        <v/>
      </c>
      <c r="F575" s="33"/>
      <c r="G575" s="34" t="str">
        <f>IFERROR(IF(F575&gt;=0,D575*E575*(1+F575/100),ABS(D575*E575/F575)),"")</f>
        <v/>
      </c>
      <c r="H575" s="43" t="str">
        <f>IFERROR(G575*E562,"")</f>
        <v/>
      </c>
    </row>
    <row r="576" spans="1:11">
      <c r="A576" s="28"/>
      <c r="B576" s="29"/>
      <c r="C576" s="30" t="str">
        <f>IFERROR(_xlfn.XLOOKUP(B576,Transporte[DESCRIPCION],Transporte[UND],,0),"")</f>
        <v/>
      </c>
      <c r="D576" s="31"/>
      <c r="E576" s="32" t="str">
        <f>IFERROR(_xlfn.XLOOKUP($B576,Transporte[DESCRIPCION],Transporte[VALOR],,0),"")</f>
        <v/>
      </c>
      <c r="F576" s="33"/>
      <c r="G576" s="34" t="str">
        <f>IFERROR(IF(F576&gt;=0,D576*E576*(1+F576/100),ABS(D576*E576/F576)),"")</f>
        <v/>
      </c>
      <c r="H576" s="43" t="str">
        <f>IFERROR(G576*E562,"")</f>
        <v/>
      </c>
    </row>
    <row r="577" spans="1:11">
      <c r="A577" s="21"/>
      <c r="B577" s="22" t="s">
        <v>3732</v>
      </c>
      <c r="C577" s="23"/>
      <c r="D577" s="24"/>
      <c r="E577" s="25"/>
      <c r="F577" s="26"/>
      <c r="G577" s="27">
        <f>SUM(G578:G580)</f>
        <v>44247.587163000011</v>
      </c>
      <c r="H577" s="44">
        <f>G577*E562</f>
        <v>0</v>
      </c>
    </row>
    <row r="578" spans="1:11">
      <c r="A578" s="28"/>
      <c r="B578" s="29" t="s">
        <v>3713</v>
      </c>
      <c r="C578" s="30" t="str">
        <f>IFERROR(_xlfn.XLOOKUP(B578,MObra[DESCRIPCION],MObra[UN],,0),"")</f>
        <v>día</v>
      </c>
      <c r="D578" s="31">
        <v>1</v>
      </c>
      <c r="E578" s="32">
        <f>IFERROR(_xlfn.XLOOKUP($B578,MObra[DESCRIPCION],MObra[VALOR UNIT],,0),"")</f>
        <v>663713.80744500016</v>
      </c>
      <c r="F578" s="33">
        <v>-15</v>
      </c>
      <c r="G578" s="34">
        <f>IFERROR(IF(F578&gt;=0,D578*E578*(1+F578/100),ABS(D578*E578/F578)),"")</f>
        <v>44247.587163000011</v>
      </c>
      <c r="H578" s="43">
        <f>IFERROR(G578*E562,"")</f>
        <v>0</v>
      </c>
    </row>
    <row r="579" spans="1:11">
      <c r="A579" s="28"/>
      <c r="B579" s="29"/>
      <c r="C579" s="30" t="str">
        <f>IFERROR(_xlfn.XLOOKUP(B579,MObra[DESCRIPCION],MObra[UN],,0),"")</f>
        <v/>
      </c>
      <c r="D579" s="31"/>
      <c r="E579" s="32" t="str">
        <f>IFERROR(_xlfn.XLOOKUP($B579,MObra[DESCRIPCION],MObra[VALOR UNIT],,0),"")</f>
        <v/>
      </c>
      <c r="F579" s="33"/>
      <c r="G579" s="34" t="str">
        <f>IFERROR(IF(F579&gt;=0,D579*E579*(1+F579/100),ABS(D579*E579/F579)),"")</f>
        <v/>
      </c>
      <c r="H579" s="43" t="str">
        <f>IFERROR(G579*E562,"")</f>
        <v/>
      </c>
    </row>
    <row r="580" spans="1:11">
      <c r="A580" s="35"/>
      <c r="B580" s="36"/>
      <c r="C580" s="37" t="str">
        <f>IFERROR(_xlfn.XLOOKUP(B580,MObra[DESCRIPCION],MObra[UN],,0),"")</f>
        <v/>
      </c>
      <c r="D580" s="38"/>
      <c r="E580" s="39" t="str">
        <f>IFERROR(_xlfn.XLOOKUP($B580,MObra[DESCRIPCION],MObra[VALOR UNIT],,0),"")</f>
        <v/>
      </c>
      <c r="F580" s="40"/>
      <c r="G580" s="41" t="str">
        <f>IFERROR(IF(F580&gt;=0,D580*E580*(1+F580/100),ABS(D580*E580/F580)),"")</f>
        <v/>
      </c>
      <c r="H580" s="42" t="str">
        <f>IFERROR(G580*E562,"")</f>
        <v/>
      </c>
    </row>
    <row r="582" spans="1:11" ht="25.5">
      <c r="A582" s="6" t="s">
        <v>1782</v>
      </c>
      <c r="B582" s="7" t="str">
        <f>VLOOKUP($A582,Presupuesto!$A:$D,2,FALSE())</f>
        <v>Dren horizontal en tubería corrugada perforada de 100 mm (incluye tubería + geotextil), perforación manual</v>
      </c>
      <c r="C582" s="8" t="str">
        <f>VLOOKUP($A582,Presupuesto!$A:$D,3,FALSE())</f>
        <v>M</v>
      </c>
      <c r="D582" s="9"/>
      <c r="E582" s="10">
        <f>VLOOKUP($A582,Presupuesto!$A:$D,4,FALSE())</f>
        <v>0</v>
      </c>
      <c r="F582" s="11" t="s">
        <v>2589</v>
      </c>
      <c r="G582" s="12">
        <f>SUM(G584:G600)/2</f>
        <v>105378.73308578336</v>
      </c>
      <c r="H582" s="13">
        <f>ROUND(SUM(H584:H600),0)/2</f>
        <v>0</v>
      </c>
      <c r="I582" s="10">
        <f>VLOOKUP(A582,Presupuesto!$A:$F,6,0)</f>
        <v>0</v>
      </c>
      <c r="J582" s="10">
        <f>+H582-I582</f>
        <v>0</v>
      </c>
      <c r="K582" s="46">
        <f>+H582-G582*E582</f>
        <v>0</v>
      </c>
    </row>
    <row r="583" spans="1:11">
      <c r="A583" s="14"/>
      <c r="B583" s="15" t="s">
        <v>2586</v>
      </c>
      <c r="C583" s="15" t="s">
        <v>5</v>
      </c>
      <c r="D583" s="16" t="s">
        <v>6</v>
      </c>
      <c r="E583" s="17" t="s">
        <v>7</v>
      </c>
      <c r="F583" s="18" t="s">
        <v>3728</v>
      </c>
      <c r="G583" s="19" t="s">
        <v>3729</v>
      </c>
      <c r="H583" s="20" t="s">
        <v>3797</v>
      </c>
    </row>
    <row r="584" spans="1:11">
      <c r="A584" s="21"/>
      <c r="B584" s="22" t="s">
        <v>3730</v>
      </c>
      <c r="C584" s="23"/>
      <c r="D584" s="24"/>
      <c r="E584" s="25"/>
      <c r="F584" s="26"/>
      <c r="G584" s="27">
        <f>SUM(G585:G589)</f>
        <v>31604.23875</v>
      </c>
      <c r="H584" s="27">
        <f>IFERROR(G584*E582,"")</f>
        <v>0</v>
      </c>
    </row>
    <row r="585" spans="1:11">
      <c r="A585" s="28"/>
      <c r="B585" s="29" t="s">
        <v>3471</v>
      </c>
      <c r="C585" s="30" t="str">
        <f>IFERROR(_xlfn.XLOOKUP(B585,Insumo[DESCRIPCION],Insumo[UND],,0),"")</f>
        <v>M</v>
      </c>
      <c r="D585" s="31">
        <v>1</v>
      </c>
      <c r="E585" s="32">
        <f>IFERROR(_xlfn.XLOOKUP($B585,Insumo[DESCRIPCION],Insumo[VALOR],,0),"")</f>
        <v>29624.7</v>
      </c>
      <c r="F585" s="33"/>
      <c r="G585" s="34">
        <f>IFERROR(IF(F585&gt;=0,D585*E585*(1+F585/100),ABS(D585*E585/F585)),"")</f>
        <v>29624.7</v>
      </c>
      <c r="H585" s="43">
        <f>IFERROR(G585*E582,"")</f>
        <v>0</v>
      </c>
    </row>
    <row r="586" spans="1:11">
      <c r="A586" s="28"/>
      <c r="B586" s="29" t="s">
        <v>2975</v>
      </c>
      <c r="C586" s="30" t="str">
        <f>IFERROR(_xlfn.XLOOKUP(B586,Insumo[DESCRIPCION],Insumo[UND],,0),"")</f>
        <v>M2</v>
      </c>
      <c r="D586" s="31">
        <v>0.45</v>
      </c>
      <c r="E586" s="32">
        <f>IFERROR(_xlfn.XLOOKUP($B586,Insumo[DESCRIPCION],Insumo[VALOR],,0),"")</f>
        <v>4189.5</v>
      </c>
      <c r="F586" s="33">
        <v>5</v>
      </c>
      <c r="G586" s="34">
        <f>IFERROR(IF(F586&gt;=0,D586*E586*(1+F586/100),ABS(D586*E586/F586)),"")</f>
        <v>1979.5387500000002</v>
      </c>
      <c r="H586" s="43">
        <f>IFERROR(G586*E582,"")</f>
        <v>0</v>
      </c>
    </row>
    <row r="587" spans="1:11">
      <c r="A587" s="28"/>
      <c r="B587" s="29"/>
      <c r="C587" s="30" t="str">
        <f>IFERROR(_xlfn.XLOOKUP(B587,Insumo[DESCRIPCION],Insumo[UND],,0),"")</f>
        <v/>
      </c>
      <c r="D587" s="31"/>
      <c r="E587" s="32" t="str">
        <f>IFERROR(_xlfn.XLOOKUP($B587,Insumo[DESCRIPCION],Insumo[VALOR],,0),"")</f>
        <v/>
      </c>
      <c r="F587" s="33"/>
      <c r="G587" s="34" t="str">
        <f>IFERROR(IF(F587&gt;=0,D587*E587*(1+F587/100),ABS(D587*E587/F587)),"")</f>
        <v/>
      </c>
      <c r="H587" s="43" t="str">
        <f>IFERROR(G587*E582,"")</f>
        <v/>
      </c>
    </row>
    <row r="588" spans="1:11">
      <c r="A588" s="28"/>
      <c r="B588" s="29"/>
      <c r="C588" s="30" t="str">
        <f>IFERROR(_xlfn.XLOOKUP(B588,Insumo[DESCRIPCION],Insumo[UND],,0),"")</f>
        <v/>
      </c>
      <c r="D588" s="31"/>
      <c r="E588" s="32" t="str">
        <f>IFERROR(_xlfn.XLOOKUP($B588,Insumo[DESCRIPCION],Insumo[VALOR],,0),"")</f>
        <v/>
      </c>
      <c r="F588" s="33"/>
      <c r="G588" s="34" t="str">
        <f>IFERROR(IF(F588&gt;=0,D588*E588*(1+F588/100),ABS(D588*E588/F588)),"")</f>
        <v/>
      </c>
      <c r="H588" s="43" t="str">
        <f>IFERROR(G588*E582,"")</f>
        <v/>
      </c>
    </row>
    <row r="589" spans="1:11">
      <c r="A589" s="28"/>
      <c r="B589" s="29"/>
      <c r="C589" s="30" t="str">
        <f>IFERROR(_xlfn.XLOOKUP(B589,Insumo[DESCRIPCION],Insumo[UND],,0),"")</f>
        <v/>
      </c>
      <c r="D589" s="31"/>
      <c r="E589" s="32" t="str">
        <f>IFERROR(_xlfn.XLOOKUP($B589,Insumo[DESCRIPCION],Insumo[VALOR],,0),"")</f>
        <v/>
      </c>
      <c r="F589" s="33"/>
      <c r="G589" s="34" t="str">
        <f>IFERROR(IF(F589&gt;=0,D589*E589*(1+F589/100),ABS(D589*E589/F589)),"")</f>
        <v/>
      </c>
      <c r="H589" s="43" t="str">
        <f>IFERROR(G589*E582,"")</f>
        <v/>
      </c>
    </row>
    <row r="590" spans="1:11">
      <c r="A590" s="21"/>
      <c r="B590" s="22" t="s">
        <v>3731</v>
      </c>
      <c r="C590" s="23"/>
      <c r="D590" s="24"/>
      <c r="E590" s="25"/>
      <c r="F590" s="26"/>
      <c r="G590" s="27">
        <f>SUM(G591:G593)</f>
        <v>25904.297697450005</v>
      </c>
      <c r="H590" s="44">
        <f>G590*E582</f>
        <v>0</v>
      </c>
    </row>
    <row r="591" spans="1:11">
      <c r="A591" s="28"/>
      <c r="B591" s="29" t="s">
        <v>3578</v>
      </c>
      <c r="C591" s="30" t="str">
        <f>IFERROR(_xlfn.XLOOKUP(B591,Equipo[DESCRIPCION],Equipo[UND],,0),"")</f>
        <v>Día</v>
      </c>
      <c r="D591" s="31">
        <v>1</v>
      </c>
      <c r="E591" s="32">
        <f>IF(C591="%MO",G597,IFERROR(_xlfn.XLOOKUP($B591,Equipo[DESCRIPCION],Equipo[VALOR],,0),""))</f>
        <v>107979.90000000001</v>
      </c>
      <c r="F591" s="33">
        <v>-5</v>
      </c>
      <c r="G591" s="34">
        <f>IFERROR(IF(F591&gt;=0,D591*E591*(1+F591/100),ABS(D591*E591/F591)),"")</f>
        <v>21595.980000000003</v>
      </c>
      <c r="H591" s="43">
        <f>IFERROR(G591*E582,"")</f>
        <v>0</v>
      </c>
    </row>
    <row r="592" spans="1:11">
      <c r="A592" s="28"/>
      <c r="B592" s="29" t="s">
        <v>3570</v>
      </c>
      <c r="C592" s="30" t="str">
        <f>IFERROR(_xlfn.XLOOKUP(B592,Equipo[DESCRIPCION],Equipo[UND],,0),"")</f>
        <v>%MO</v>
      </c>
      <c r="D592" s="31">
        <v>0.04</v>
      </c>
      <c r="E592" s="32">
        <f>IF(C592="%MO",G597,IFERROR(_xlfn.XLOOKUP($B592,Equipo[DESCRIPCION],Equipo[VALOR],,0),""))</f>
        <v>47870.196638333342</v>
      </c>
      <c r="F592" s="33"/>
      <c r="G592" s="34">
        <f>IFERROR(IF(F592&gt;=0,D592*E592*(1+F592/100),ABS(D592*E592/F592)),"")</f>
        <v>1914.8078655333338</v>
      </c>
      <c r="H592" s="43">
        <f>IFERROR(G592*E582,"")</f>
        <v>0</v>
      </c>
    </row>
    <row r="593" spans="1:11">
      <c r="A593" s="28"/>
      <c r="B593" s="29" t="s">
        <v>3626</v>
      </c>
      <c r="C593" s="30" t="str">
        <f>IFERROR(_xlfn.XLOOKUP(B593,Equipo[DESCRIPCION],Equipo[UND],,0),"")</f>
        <v>%MO</v>
      </c>
      <c r="D593" s="31">
        <v>0.05</v>
      </c>
      <c r="E593" s="32">
        <f>IF(C593="%MO",G597,IFERROR(_xlfn.XLOOKUP($B593,Equipo[DESCRIPCION],Equipo[VALOR],,0),""))</f>
        <v>47870.196638333342</v>
      </c>
      <c r="F593" s="33"/>
      <c r="G593" s="34">
        <f>IFERROR(IF(F593&gt;=0,D593*E593*(1+F593/100),ABS(D593*E593/F593)),"")</f>
        <v>2393.5098319166673</v>
      </c>
      <c r="H593" s="43">
        <f>IFERROR(G593*E582,"")</f>
        <v>0</v>
      </c>
    </row>
    <row r="594" spans="1:11">
      <c r="A594" s="21"/>
      <c r="B594" s="22" t="s">
        <v>2533</v>
      </c>
      <c r="C594" s="23"/>
      <c r="D594" s="24"/>
      <c r="E594" s="25"/>
      <c r="F594" s="26"/>
      <c r="G594" s="27">
        <f>SUM(G595:G596)</f>
        <v>0</v>
      </c>
      <c r="H594" s="44">
        <f>G594*E582</f>
        <v>0</v>
      </c>
    </row>
    <row r="595" spans="1:11">
      <c r="A595" s="28"/>
      <c r="B595" s="29"/>
      <c r="C595" s="30" t="str">
        <f>IFERROR(_xlfn.XLOOKUP(B595,Transporte[DESCRIPCION],Transporte[UND],,0),"")</f>
        <v/>
      </c>
      <c r="D595" s="31"/>
      <c r="E595" s="32" t="str">
        <f>IFERROR(_xlfn.XLOOKUP($B595,Transporte[DESCRIPCION],Transporte[VALOR],,0),"")</f>
        <v/>
      </c>
      <c r="F595" s="33"/>
      <c r="G595" s="34" t="str">
        <f>IFERROR(IF(F595&gt;=0,D595*E595*(1+F595/100),ABS(D595*E595/F595)),"")</f>
        <v/>
      </c>
      <c r="H595" s="43" t="str">
        <f>IFERROR(G595*E582,"")</f>
        <v/>
      </c>
    </row>
    <row r="596" spans="1:11">
      <c r="A596" s="28"/>
      <c r="B596" s="29"/>
      <c r="C596" s="30" t="str">
        <f>IFERROR(_xlfn.XLOOKUP(B596,Transporte[DESCRIPCION],Transporte[UND],,0),"")</f>
        <v/>
      </c>
      <c r="D596" s="31"/>
      <c r="E596" s="32" t="str">
        <f>IFERROR(_xlfn.XLOOKUP($B596,Transporte[DESCRIPCION],Transporte[VALOR],,0),"")</f>
        <v/>
      </c>
      <c r="F596" s="33"/>
      <c r="G596" s="34" t="str">
        <f>IFERROR(IF(F596&gt;=0,D596*E596*(1+F596/100),ABS(D596*E596/F596)),"")</f>
        <v/>
      </c>
      <c r="H596" s="43" t="str">
        <f>IFERROR(G596*E582,"")</f>
        <v/>
      </c>
    </row>
    <row r="597" spans="1:11">
      <c r="A597" s="21"/>
      <c r="B597" s="22" t="s">
        <v>3732</v>
      </c>
      <c r="C597" s="23"/>
      <c r="D597" s="24"/>
      <c r="E597" s="25"/>
      <c r="F597" s="26"/>
      <c r="G597" s="27">
        <f>SUM(G598:G600)</f>
        <v>47870.196638333342</v>
      </c>
      <c r="H597" s="44">
        <f>G597*E582</f>
        <v>0</v>
      </c>
    </row>
    <row r="598" spans="1:11">
      <c r="A598" s="28"/>
      <c r="B598" s="29" t="s">
        <v>3711</v>
      </c>
      <c r="C598" s="30" t="str">
        <f>IFERROR(_xlfn.XLOOKUP(B598,MObra[DESCRIPCION],MObra[UN],,0),"")</f>
        <v>día</v>
      </c>
      <c r="D598" s="31">
        <v>1</v>
      </c>
      <c r="E598" s="32">
        <f>IFERROR(_xlfn.XLOOKUP($B598,MObra[DESCRIPCION],MObra[VALOR UNIT],,0),"")</f>
        <v>430831.76974500006</v>
      </c>
      <c r="F598" s="33">
        <v>-9</v>
      </c>
      <c r="G598" s="34">
        <f>IFERROR(IF(F598&gt;=0,D598*E598*(1+F598/100),ABS(D598*E598/F598)),"")</f>
        <v>47870.196638333342</v>
      </c>
      <c r="H598" s="43">
        <f>IFERROR(G598*E582,"")</f>
        <v>0</v>
      </c>
    </row>
    <row r="599" spans="1:11">
      <c r="A599" s="28"/>
      <c r="B599" s="29"/>
      <c r="C599" s="30" t="str">
        <f>IFERROR(_xlfn.XLOOKUP(B599,MObra[DESCRIPCION],MObra[UN],,0),"")</f>
        <v/>
      </c>
      <c r="D599" s="31"/>
      <c r="E599" s="32" t="str">
        <f>IFERROR(_xlfn.XLOOKUP($B599,MObra[DESCRIPCION],MObra[VALOR UNIT],,0),"")</f>
        <v/>
      </c>
      <c r="F599" s="33"/>
      <c r="G599" s="34" t="str">
        <f>IFERROR(IF(F599&gt;=0,D599*E599*(1+F599/100),ABS(D599*E599/F599)),"")</f>
        <v/>
      </c>
      <c r="H599" s="43" t="str">
        <f>IFERROR(G599*E582,"")</f>
        <v/>
      </c>
    </row>
    <row r="600" spans="1:11">
      <c r="A600" s="35"/>
      <c r="B600" s="36"/>
      <c r="C600" s="37" t="str">
        <f>IFERROR(_xlfn.XLOOKUP(B600,MObra[DESCRIPCION],MObra[UN],,0),"")</f>
        <v/>
      </c>
      <c r="D600" s="38"/>
      <c r="E600" s="39" t="str">
        <f>IFERROR(_xlfn.XLOOKUP($B600,MObra[DESCRIPCION],MObra[VALOR UNIT],,0),"")</f>
        <v/>
      </c>
      <c r="F600" s="40"/>
      <c r="G600" s="41" t="str">
        <f>IFERROR(IF(F600&gt;=0,D600*E600*(1+F600/100),ABS(D600*E600/F600)),"")</f>
        <v/>
      </c>
      <c r="H600" s="42" t="str">
        <f>IFERROR(G600*E582,"")</f>
        <v/>
      </c>
    </row>
    <row r="602" spans="1:11" ht="25.5">
      <c r="A602" s="6" t="s">
        <v>1784</v>
      </c>
      <c r="B602" s="7" t="str">
        <f>VLOOKUP($A602,Presupuesto!$A:$D,2,FALSE())</f>
        <v>Dren horizontal en tubería corrugada perforada de 100 mm (incluye tubería + geotextil), perforación mecanica</v>
      </c>
      <c r="C602" s="8" t="str">
        <f>VLOOKUP($A602,Presupuesto!$A:$D,3,FALSE())</f>
        <v>M</v>
      </c>
      <c r="D602" s="9"/>
      <c r="E602" s="10">
        <f>VLOOKUP($A602,Presupuesto!$A:$D,4,FALSE())</f>
        <v>0</v>
      </c>
      <c r="F602" s="11" t="s">
        <v>2589</v>
      </c>
      <c r="G602" s="12">
        <f>SUM(G604:G620)/2</f>
        <v>113039.059902205</v>
      </c>
      <c r="H602" s="13">
        <f>ROUND(SUM(H604:H620),0)/2</f>
        <v>0</v>
      </c>
      <c r="I602" s="10">
        <f>VLOOKUP(A602,Presupuesto!$A:$F,6,0)</f>
        <v>0</v>
      </c>
      <c r="J602" s="10">
        <f>+H602-I602</f>
        <v>0</v>
      </c>
      <c r="K602" s="46">
        <f>+H602-G602*E602</f>
        <v>0</v>
      </c>
    </row>
    <row r="603" spans="1:11">
      <c r="A603" s="14"/>
      <c r="B603" s="15" t="s">
        <v>2586</v>
      </c>
      <c r="C603" s="15" t="s">
        <v>5</v>
      </c>
      <c r="D603" s="16" t="s">
        <v>6</v>
      </c>
      <c r="E603" s="17" t="s">
        <v>7</v>
      </c>
      <c r="F603" s="18" t="s">
        <v>3728</v>
      </c>
      <c r="G603" s="19" t="s">
        <v>3729</v>
      </c>
      <c r="H603" s="20" t="s">
        <v>3797</v>
      </c>
    </row>
    <row r="604" spans="1:11">
      <c r="A604" s="21"/>
      <c r="B604" s="22" t="s">
        <v>3730</v>
      </c>
      <c r="C604" s="23"/>
      <c r="D604" s="24"/>
      <c r="E604" s="25"/>
      <c r="F604" s="26"/>
      <c r="G604" s="27">
        <f>SUM(G605:G609)</f>
        <v>31032.371999999999</v>
      </c>
      <c r="H604" s="27">
        <f>IFERROR(G604*E602,"")</f>
        <v>0</v>
      </c>
    </row>
    <row r="605" spans="1:11">
      <c r="A605" s="28"/>
      <c r="B605" s="29" t="s">
        <v>3471</v>
      </c>
      <c r="C605" s="30" t="str">
        <f>IFERROR(_xlfn.XLOOKUP(B605,Insumo[DESCRIPCION],Insumo[UND],,0),"")</f>
        <v>M</v>
      </c>
      <c r="D605" s="31">
        <v>1</v>
      </c>
      <c r="E605" s="32">
        <f>IFERROR(_xlfn.XLOOKUP($B605,Insumo[DESCRIPCION],Insumo[VALOR],,0),"")</f>
        <v>29624.7</v>
      </c>
      <c r="F605" s="33"/>
      <c r="G605" s="34">
        <f>IFERROR(IF(F605&gt;=0,D605*E605*(1+F605/100),ABS(D605*E605/F605)),"")</f>
        <v>29624.7</v>
      </c>
      <c r="H605" s="43">
        <f>IFERROR(G605*E602,"")</f>
        <v>0</v>
      </c>
    </row>
    <row r="606" spans="1:11">
      <c r="A606" s="28"/>
      <c r="B606" s="29" t="s">
        <v>2975</v>
      </c>
      <c r="C606" s="30" t="str">
        <f>IFERROR(_xlfn.XLOOKUP(B606,Insumo[DESCRIPCION],Insumo[UND],,0),"")</f>
        <v>M2</v>
      </c>
      <c r="D606" s="31">
        <v>0.32</v>
      </c>
      <c r="E606" s="32">
        <f>IFERROR(_xlfn.XLOOKUP($B606,Insumo[DESCRIPCION],Insumo[VALOR],,0),"")</f>
        <v>4189.5</v>
      </c>
      <c r="F606" s="33">
        <v>5</v>
      </c>
      <c r="G606" s="34">
        <f>IFERROR(IF(F606&gt;=0,D606*E606*(1+F606/100),ABS(D606*E606/F606)),"")</f>
        <v>1407.6720000000003</v>
      </c>
      <c r="H606" s="43">
        <f>IFERROR(G606*E602,"")</f>
        <v>0</v>
      </c>
    </row>
    <row r="607" spans="1:11">
      <c r="A607" s="28"/>
      <c r="B607" s="29"/>
      <c r="C607" s="30" t="str">
        <f>IFERROR(_xlfn.XLOOKUP(B607,Insumo[DESCRIPCION],Insumo[UND],,0),"")</f>
        <v/>
      </c>
      <c r="D607" s="31"/>
      <c r="E607" s="32" t="str">
        <f>IFERROR(_xlfn.XLOOKUP($B607,Insumo[DESCRIPCION],Insumo[VALOR],,0),"")</f>
        <v/>
      </c>
      <c r="F607" s="33"/>
      <c r="G607" s="34" t="str">
        <f>IFERROR(IF(F607&gt;=0,D607*E607*(1+F607/100),ABS(D607*E607/F607)),"")</f>
        <v/>
      </c>
      <c r="H607" s="43" t="str">
        <f>IFERROR(G607*E602,"")</f>
        <v/>
      </c>
    </row>
    <row r="608" spans="1:11">
      <c r="A608" s="28"/>
      <c r="B608" s="29"/>
      <c r="C608" s="30" t="str">
        <f>IFERROR(_xlfn.XLOOKUP(B608,Insumo[DESCRIPCION],Insumo[UND],,0),"")</f>
        <v/>
      </c>
      <c r="D608" s="31"/>
      <c r="E608" s="32" t="str">
        <f>IFERROR(_xlfn.XLOOKUP($B608,Insumo[DESCRIPCION],Insumo[VALOR],,0),"")</f>
        <v/>
      </c>
      <c r="F608" s="33"/>
      <c r="G608" s="34" t="str">
        <f>IFERROR(IF(F608&gt;=0,D608*E608*(1+F608/100),ABS(D608*E608/F608)),"")</f>
        <v/>
      </c>
      <c r="H608" s="43" t="str">
        <f>IFERROR(G608*E602,"")</f>
        <v/>
      </c>
    </row>
    <row r="609" spans="1:11">
      <c r="A609" s="28"/>
      <c r="B609" s="29"/>
      <c r="C609" s="30" t="str">
        <f>IFERROR(_xlfn.XLOOKUP(B609,Insumo[DESCRIPCION],Insumo[UND],,0),"")</f>
        <v/>
      </c>
      <c r="D609" s="31"/>
      <c r="E609" s="32" t="str">
        <f>IFERROR(_xlfn.XLOOKUP($B609,Insumo[DESCRIPCION],Insumo[VALOR],,0),"")</f>
        <v/>
      </c>
      <c r="F609" s="33"/>
      <c r="G609" s="34" t="str">
        <f>IFERROR(IF(F609&gt;=0,D609*E609*(1+F609/100),ABS(D609*E609/F609)),"")</f>
        <v/>
      </c>
      <c r="H609" s="43" t="str">
        <f>IFERROR(G609*E602,"")</f>
        <v/>
      </c>
    </row>
    <row r="610" spans="1:11">
      <c r="A610" s="21"/>
      <c r="B610" s="22" t="s">
        <v>3731</v>
      </c>
      <c r="C610" s="23"/>
      <c r="D610" s="24"/>
      <c r="E610" s="25"/>
      <c r="F610" s="26"/>
      <c r="G610" s="27">
        <f>SUM(G611:G613)</f>
        <v>38923.510927705</v>
      </c>
      <c r="H610" s="44">
        <f>G610*E602</f>
        <v>0</v>
      </c>
    </row>
    <row r="611" spans="1:11">
      <c r="A611" s="28"/>
      <c r="B611" s="29" t="s">
        <v>3579</v>
      </c>
      <c r="C611" s="30" t="str">
        <f>IFERROR(_xlfn.XLOOKUP(B611,Equipo[DESCRIPCION],Equipo[UND],,0),"")</f>
        <v>Día</v>
      </c>
      <c r="D611" s="31">
        <v>1</v>
      </c>
      <c r="E611" s="32">
        <f>IF(C611="%MO",G617,IFERROR(_xlfn.XLOOKUP($B611,Equipo[DESCRIPCION],Equipo[VALOR],,0),""))</f>
        <v>210276.15000000002</v>
      </c>
      <c r="F611" s="33">
        <v>-6</v>
      </c>
      <c r="G611" s="34">
        <f>IFERROR(IF(F611&gt;=0,D611*E611*(1+F611/100),ABS(D611*E611/F611)),"")</f>
        <v>35046.025000000001</v>
      </c>
      <c r="H611" s="43">
        <f>IFERROR(G611*E602,"")</f>
        <v>0</v>
      </c>
    </row>
    <row r="612" spans="1:11">
      <c r="A612" s="28"/>
      <c r="B612" s="29" t="s">
        <v>3570</v>
      </c>
      <c r="C612" s="30" t="str">
        <f>IFERROR(_xlfn.XLOOKUP(B612,Equipo[DESCRIPCION],Equipo[UND],,0),"")</f>
        <v>%MO</v>
      </c>
      <c r="D612" s="31">
        <v>0.04</v>
      </c>
      <c r="E612" s="32">
        <f>IF(C612="%MO",G617,IFERROR(_xlfn.XLOOKUP($B612,Equipo[DESCRIPCION],Equipo[VALOR],,0),""))</f>
        <v>43083.176974500006</v>
      </c>
      <c r="F612" s="33"/>
      <c r="G612" s="34">
        <f>IFERROR(IF(F612&gt;=0,D612*E612*(1+F612/100),ABS(D612*E612/F612)),"")</f>
        <v>1723.3270789800004</v>
      </c>
      <c r="H612" s="43">
        <f>IFERROR(G612*E602,"")</f>
        <v>0</v>
      </c>
    </row>
    <row r="613" spans="1:11">
      <c r="A613" s="28"/>
      <c r="B613" s="29" t="s">
        <v>3626</v>
      </c>
      <c r="C613" s="30" t="str">
        <f>IFERROR(_xlfn.XLOOKUP(B613,Equipo[DESCRIPCION],Equipo[UND],,0),"")</f>
        <v>%MO</v>
      </c>
      <c r="D613" s="31">
        <v>0.05</v>
      </c>
      <c r="E613" s="32">
        <f>IF(C613="%MO",G617,IFERROR(_xlfn.XLOOKUP($B613,Equipo[DESCRIPCION],Equipo[VALOR],,0),""))</f>
        <v>43083.176974500006</v>
      </c>
      <c r="F613" s="33"/>
      <c r="G613" s="34">
        <f>IFERROR(IF(F613&gt;=0,D613*E613*(1+F613/100),ABS(D613*E613/F613)),"")</f>
        <v>2154.1588487250006</v>
      </c>
      <c r="H613" s="43">
        <f>IFERROR(G613*E602,"")</f>
        <v>0</v>
      </c>
    </row>
    <row r="614" spans="1:11">
      <c r="A614" s="21"/>
      <c r="B614" s="22" t="s">
        <v>2533</v>
      </c>
      <c r="C614" s="23"/>
      <c r="D614" s="24"/>
      <c r="E614" s="25"/>
      <c r="F614" s="26"/>
      <c r="G614" s="27">
        <f>SUM(G615:G616)</f>
        <v>0</v>
      </c>
      <c r="H614" s="44">
        <f>G614*E602</f>
        <v>0</v>
      </c>
    </row>
    <row r="615" spans="1:11">
      <c r="A615" s="28"/>
      <c r="B615" s="29"/>
      <c r="C615" s="30" t="str">
        <f>IFERROR(_xlfn.XLOOKUP(B615,Transporte[DESCRIPCION],Transporte[UND],,0),"")</f>
        <v/>
      </c>
      <c r="D615" s="31"/>
      <c r="E615" s="32" t="str">
        <f>IFERROR(_xlfn.XLOOKUP($B615,Transporte[DESCRIPCION],Transporte[VALOR],,0),"")</f>
        <v/>
      </c>
      <c r="F615" s="33"/>
      <c r="G615" s="34" t="str">
        <f>IFERROR(IF(F615&gt;=0,D615*E615*(1+F615/100),ABS(D615*E615/F615)),"")</f>
        <v/>
      </c>
      <c r="H615" s="43" t="str">
        <f>IFERROR(G615*E602,"")</f>
        <v/>
      </c>
    </row>
    <row r="616" spans="1:11">
      <c r="A616" s="28"/>
      <c r="B616" s="29"/>
      <c r="C616" s="30" t="str">
        <f>IFERROR(_xlfn.XLOOKUP(B616,Transporte[DESCRIPCION],Transporte[UND],,0),"")</f>
        <v/>
      </c>
      <c r="D616" s="31"/>
      <c r="E616" s="32" t="str">
        <f>IFERROR(_xlfn.XLOOKUP($B616,Transporte[DESCRIPCION],Transporte[VALOR],,0),"")</f>
        <v/>
      </c>
      <c r="F616" s="33"/>
      <c r="G616" s="34" t="str">
        <f>IFERROR(IF(F616&gt;=0,D616*E616*(1+F616/100),ABS(D616*E616/F616)),"")</f>
        <v/>
      </c>
      <c r="H616" s="43" t="str">
        <f>IFERROR(G616*E602,"")</f>
        <v/>
      </c>
    </row>
    <row r="617" spans="1:11">
      <c r="A617" s="21"/>
      <c r="B617" s="22" t="s">
        <v>3732</v>
      </c>
      <c r="C617" s="23"/>
      <c r="D617" s="24"/>
      <c r="E617" s="25"/>
      <c r="F617" s="26"/>
      <c r="G617" s="27">
        <f>SUM(G618:G620)</f>
        <v>43083.176974500006</v>
      </c>
      <c r="H617" s="44">
        <f>G617*E602</f>
        <v>0</v>
      </c>
    </row>
    <row r="618" spans="1:11">
      <c r="A618" s="28"/>
      <c r="B618" s="29" t="s">
        <v>3711</v>
      </c>
      <c r="C618" s="30" t="str">
        <f>IFERROR(_xlfn.XLOOKUP(B618,MObra[DESCRIPCION],MObra[UN],,0),"")</f>
        <v>día</v>
      </c>
      <c r="D618" s="31">
        <v>1</v>
      </c>
      <c r="E618" s="32">
        <f>IFERROR(_xlfn.XLOOKUP($B618,MObra[DESCRIPCION],MObra[VALOR UNIT],,0),"")</f>
        <v>430831.76974500006</v>
      </c>
      <c r="F618" s="33">
        <v>-10</v>
      </c>
      <c r="G618" s="34">
        <f>IFERROR(IF(F618&gt;=0,D618*E618*(1+F618/100),ABS(D618*E618/F618)),"")</f>
        <v>43083.176974500006</v>
      </c>
      <c r="H618" s="43">
        <f>IFERROR(G618*E602,"")</f>
        <v>0</v>
      </c>
    </row>
    <row r="619" spans="1:11">
      <c r="A619" s="28"/>
      <c r="B619" s="29"/>
      <c r="C619" s="30" t="str">
        <f>IFERROR(_xlfn.XLOOKUP(B619,MObra[DESCRIPCION],MObra[UN],,0),"")</f>
        <v/>
      </c>
      <c r="D619" s="31"/>
      <c r="E619" s="32" t="str">
        <f>IFERROR(_xlfn.XLOOKUP($B619,MObra[DESCRIPCION],MObra[VALOR UNIT],,0),"")</f>
        <v/>
      </c>
      <c r="F619" s="33"/>
      <c r="G619" s="34" t="str">
        <f>IFERROR(IF(F619&gt;=0,D619*E619*(1+F619/100),ABS(D619*E619/F619)),"")</f>
        <v/>
      </c>
      <c r="H619" s="43" t="str">
        <f>IFERROR(G619*E602,"")</f>
        <v/>
      </c>
    </row>
    <row r="620" spans="1:11">
      <c r="A620" s="35"/>
      <c r="B620" s="36"/>
      <c r="C620" s="37" t="str">
        <f>IFERROR(_xlfn.XLOOKUP(B620,MObra[DESCRIPCION],MObra[UN],,0),"")</f>
        <v/>
      </c>
      <c r="D620" s="38"/>
      <c r="E620" s="39" t="str">
        <f>IFERROR(_xlfn.XLOOKUP($B620,MObra[DESCRIPCION],MObra[VALOR UNIT],,0),"")</f>
        <v/>
      </c>
      <c r="F620" s="40"/>
      <c r="G620" s="41" t="str">
        <f>IFERROR(IF(F620&gt;=0,D620*E620*(1+F620/100),ABS(D620*E620/F620)),"")</f>
        <v/>
      </c>
      <c r="H620" s="42" t="str">
        <f>IFERROR(G620*E602,"")</f>
        <v/>
      </c>
    </row>
    <row r="622" spans="1:11" ht="25.5">
      <c r="A622" s="6" t="s">
        <v>1786</v>
      </c>
      <c r="B622" s="7" t="str">
        <f>VLOOKUP($A622,Presupuesto!$A:$D,2,FALSE())</f>
        <v>Dren horizontal en tubería corrugada perforada de 65 mm (incluye tubería + geotextil), perforación manual</v>
      </c>
      <c r="C622" s="8" t="str">
        <f>VLOOKUP($A622,Presupuesto!$A:$D,3,FALSE())</f>
        <v>M</v>
      </c>
      <c r="D622" s="9"/>
      <c r="E622" s="10">
        <f>VLOOKUP($A622,Presupuesto!$A:$D,4,FALSE())</f>
        <v>0</v>
      </c>
      <c r="F622" s="11" t="s">
        <v>2589</v>
      </c>
      <c r="G622" s="12">
        <f>SUM(G624:G640)/2</f>
        <v>95989.684902205016</v>
      </c>
      <c r="H622" s="13">
        <f>ROUND(SUM(H624:H640),0)/2</f>
        <v>0</v>
      </c>
      <c r="I622" s="10">
        <f>VLOOKUP(A622,Presupuesto!$A:$F,6,0)</f>
        <v>0</v>
      </c>
      <c r="J622" s="10">
        <f>+H622-I622</f>
        <v>0</v>
      </c>
      <c r="K622" s="46">
        <f>+H622-G622*E622</f>
        <v>0</v>
      </c>
    </row>
    <row r="623" spans="1:11">
      <c r="A623" s="14"/>
      <c r="B623" s="15" t="s">
        <v>2586</v>
      </c>
      <c r="C623" s="15" t="s">
        <v>5</v>
      </c>
      <c r="D623" s="16" t="s">
        <v>6</v>
      </c>
      <c r="E623" s="17" t="s">
        <v>7</v>
      </c>
      <c r="F623" s="18" t="s">
        <v>3728</v>
      </c>
      <c r="G623" s="19" t="s">
        <v>3729</v>
      </c>
      <c r="H623" s="20" t="s">
        <v>3797</v>
      </c>
    </row>
    <row r="624" spans="1:11">
      <c r="A624" s="21"/>
      <c r="B624" s="22" t="s">
        <v>3730</v>
      </c>
      <c r="C624" s="23"/>
      <c r="D624" s="24"/>
      <c r="E624" s="25"/>
      <c r="F624" s="26"/>
      <c r="G624" s="27">
        <f>SUM(G625:G629)</f>
        <v>31032.371999999999</v>
      </c>
      <c r="H624" s="27">
        <f>IFERROR(G624*E622,"")</f>
        <v>0</v>
      </c>
    </row>
    <row r="625" spans="1:8">
      <c r="A625" s="28"/>
      <c r="B625" s="29" t="s">
        <v>3471</v>
      </c>
      <c r="C625" s="30" t="str">
        <f>IFERROR(_xlfn.XLOOKUP(B625,Insumo[DESCRIPCION],Insumo[UND],,0),"")</f>
        <v>M</v>
      </c>
      <c r="D625" s="31">
        <v>1</v>
      </c>
      <c r="E625" s="32">
        <f>IFERROR(_xlfn.XLOOKUP($B625,Insumo[DESCRIPCION],Insumo[VALOR],,0),"")</f>
        <v>29624.7</v>
      </c>
      <c r="F625" s="33"/>
      <c r="G625" s="34">
        <f>IFERROR(IF(F625&gt;=0,D625*E625*(1+F625/100),ABS(D625*E625/F625)),"")</f>
        <v>29624.7</v>
      </c>
      <c r="H625" s="43">
        <f>IFERROR(G625*E622,"")</f>
        <v>0</v>
      </c>
    </row>
    <row r="626" spans="1:8">
      <c r="A626" s="28"/>
      <c r="B626" s="29" t="s">
        <v>2975</v>
      </c>
      <c r="C626" s="30" t="str">
        <f>IFERROR(_xlfn.XLOOKUP(B626,Insumo[DESCRIPCION],Insumo[UND],,0),"")</f>
        <v>M2</v>
      </c>
      <c r="D626" s="31">
        <v>0.32</v>
      </c>
      <c r="E626" s="32">
        <f>IFERROR(_xlfn.XLOOKUP($B626,Insumo[DESCRIPCION],Insumo[VALOR],,0),"")</f>
        <v>4189.5</v>
      </c>
      <c r="F626" s="33">
        <v>5</v>
      </c>
      <c r="G626" s="34">
        <f>IFERROR(IF(F626&gt;=0,D626*E626*(1+F626/100),ABS(D626*E626/F626)),"")</f>
        <v>1407.6720000000003</v>
      </c>
      <c r="H626" s="43">
        <f>IFERROR(G626*E622,"")</f>
        <v>0</v>
      </c>
    </row>
    <row r="627" spans="1:8">
      <c r="A627" s="28"/>
      <c r="B627" s="29"/>
      <c r="C627" s="30" t="str">
        <f>IFERROR(_xlfn.XLOOKUP(B627,Insumo[DESCRIPCION],Insumo[UND],,0),"")</f>
        <v/>
      </c>
      <c r="D627" s="31"/>
      <c r="E627" s="32" t="str">
        <f>IFERROR(_xlfn.XLOOKUP($B627,Insumo[DESCRIPCION],Insumo[VALOR],,0),"")</f>
        <v/>
      </c>
      <c r="F627" s="33"/>
      <c r="G627" s="34" t="str">
        <f>IFERROR(IF(F627&gt;=0,D627*E627*(1+F627/100),ABS(D627*E627/F627)),"")</f>
        <v/>
      </c>
      <c r="H627" s="43" t="str">
        <f>IFERROR(G627*E622,"")</f>
        <v/>
      </c>
    </row>
    <row r="628" spans="1:8">
      <c r="A628" s="28"/>
      <c r="B628" s="29"/>
      <c r="C628" s="30" t="str">
        <f>IFERROR(_xlfn.XLOOKUP(B628,Insumo[DESCRIPCION],Insumo[UND],,0),"")</f>
        <v/>
      </c>
      <c r="D628" s="31"/>
      <c r="E628" s="32" t="str">
        <f>IFERROR(_xlfn.XLOOKUP($B628,Insumo[DESCRIPCION],Insumo[VALOR],,0),"")</f>
        <v/>
      </c>
      <c r="F628" s="33"/>
      <c r="G628" s="34" t="str">
        <f>IFERROR(IF(F628&gt;=0,D628*E628*(1+F628/100),ABS(D628*E628/F628)),"")</f>
        <v/>
      </c>
      <c r="H628" s="43" t="str">
        <f>IFERROR(G628*E622,"")</f>
        <v/>
      </c>
    </row>
    <row r="629" spans="1:8">
      <c r="A629" s="28"/>
      <c r="B629" s="29"/>
      <c r="C629" s="30" t="str">
        <f>IFERROR(_xlfn.XLOOKUP(B629,Insumo[DESCRIPCION],Insumo[UND],,0),"")</f>
        <v/>
      </c>
      <c r="D629" s="31"/>
      <c r="E629" s="32" t="str">
        <f>IFERROR(_xlfn.XLOOKUP($B629,Insumo[DESCRIPCION],Insumo[VALOR],,0),"")</f>
        <v/>
      </c>
      <c r="F629" s="33"/>
      <c r="G629" s="34" t="str">
        <f>IFERROR(IF(F629&gt;=0,D629*E629*(1+F629/100),ABS(D629*E629/F629)),"")</f>
        <v/>
      </c>
      <c r="H629" s="43" t="str">
        <f>IFERROR(G629*E622,"")</f>
        <v/>
      </c>
    </row>
    <row r="630" spans="1:8">
      <c r="A630" s="21"/>
      <c r="B630" s="22" t="s">
        <v>3731</v>
      </c>
      <c r="C630" s="23"/>
      <c r="D630" s="24"/>
      <c r="E630" s="25"/>
      <c r="F630" s="26"/>
      <c r="G630" s="27">
        <f>SUM(G631:G633)</f>
        <v>21874.135927705003</v>
      </c>
      <c r="H630" s="44">
        <f>G630*E622</f>
        <v>0</v>
      </c>
    </row>
    <row r="631" spans="1:8">
      <c r="A631" s="28"/>
      <c r="B631" s="29" t="s">
        <v>3578</v>
      </c>
      <c r="C631" s="30" t="str">
        <f>IFERROR(_xlfn.XLOOKUP(B631,Equipo[DESCRIPCION],Equipo[UND],,0),"")</f>
        <v>Día</v>
      </c>
      <c r="D631" s="31">
        <v>1</v>
      </c>
      <c r="E631" s="32">
        <f>IF(C631="%MO",G637,IFERROR(_xlfn.XLOOKUP($B631,Equipo[DESCRIPCION],Equipo[VALOR],,0),""))</f>
        <v>107979.90000000001</v>
      </c>
      <c r="F631" s="33">
        <v>-6</v>
      </c>
      <c r="G631" s="34">
        <f>IFERROR(IF(F631&gt;=0,D631*E631*(1+F631/100),ABS(D631*E631/F631)),"")</f>
        <v>17996.650000000001</v>
      </c>
      <c r="H631" s="43">
        <f>IFERROR(G631*E622,"")</f>
        <v>0</v>
      </c>
    </row>
    <row r="632" spans="1:8">
      <c r="A632" s="28"/>
      <c r="B632" s="29" t="s">
        <v>3570</v>
      </c>
      <c r="C632" s="30" t="str">
        <f>IFERROR(_xlfn.XLOOKUP(B632,Equipo[DESCRIPCION],Equipo[UND],,0),"")</f>
        <v>%MO</v>
      </c>
      <c r="D632" s="31">
        <v>0.04</v>
      </c>
      <c r="E632" s="32">
        <f>IF(C632="%MO",G637,IFERROR(_xlfn.XLOOKUP($B632,Equipo[DESCRIPCION],Equipo[VALOR],,0),""))</f>
        <v>43083.176974500006</v>
      </c>
      <c r="F632" s="33"/>
      <c r="G632" s="34">
        <f>IFERROR(IF(F632&gt;=0,D632*E632*(1+F632/100),ABS(D632*E632/F632)),"")</f>
        <v>1723.3270789800004</v>
      </c>
      <c r="H632" s="43">
        <f>IFERROR(G632*E622,"")</f>
        <v>0</v>
      </c>
    </row>
    <row r="633" spans="1:8">
      <c r="A633" s="28"/>
      <c r="B633" s="29" t="s">
        <v>3626</v>
      </c>
      <c r="C633" s="30" t="str">
        <f>IFERROR(_xlfn.XLOOKUP(B633,Equipo[DESCRIPCION],Equipo[UND],,0),"")</f>
        <v>%MO</v>
      </c>
      <c r="D633" s="31">
        <v>0.05</v>
      </c>
      <c r="E633" s="32">
        <f>IF(C633="%MO",G637,IFERROR(_xlfn.XLOOKUP($B633,Equipo[DESCRIPCION],Equipo[VALOR],,0),""))</f>
        <v>43083.176974500006</v>
      </c>
      <c r="F633" s="33"/>
      <c r="G633" s="34">
        <f>IFERROR(IF(F633&gt;=0,D633*E633*(1+F633/100),ABS(D633*E633/F633)),"")</f>
        <v>2154.1588487250006</v>
      </c>
      <c r="H633" s="43">
        <f>IFERROR(G633*E622,"")</f>
        <v>0</v>
      </c>
    </row>
    <row r="634" spans="1:8">
      <c r="A634" s="21"/>
      <c r="B634" s="22" t="s">
        <v>2533</v>
      </c>
      <c r="C634" s="23"/>
      <c r="D634" s="24"/>
      <c r="E634" s="25"/>
      <c r="F634" s="26"/>
      <c r="G634" s="27">
        <f>SUM(G635:G636)</f>
        <v>0</v>
      </c>
      <c r="H634" s="44">
        <f>G634*E622</f>
        <v>0</v>
      </c>
    </row>
    <row r="635" spans="1:8">
      <c r="A635" s="28"/>
      <c r="B635" s="29"/>
      <c r="C635" s="30" t="str">
        <f>IFERROR(_xlfn.XLOOKUP(B635,Transporte[DESCRIPCION],Transporte[UND],,0),"")</f>
        <v/>
      </c>
      <c r="D635" s="31"/>
      <c r="E635" s="32" t="str">
        <f>IFERROR(_xlfn.XLOOKUP($B635,Transporte[DESCRIPCION],Transporte[VALOR],,0),"")</f>
        <v/>
      </c>
      <c r="F635" s="33"/>
      <c r="G635" s="34" t="str">
        <f>IFERROR(IF(F635&gt;=0,D635*E635*(1+F635/100),ABS(D635*E635/F635)),"")</f>
        <v/>
      </c>
      <c r="H635" s="43" t="str">
        <f>IFERROR(G635*E622,"")</f>
        <v/>
      </c>
    </row>
    <row r="636" spans="1:8">
      <c r="A636" s="28"/>
      <c r="B636" s="29"/>
      <c r="C636" s="30" t="str">
        <f>IFERROR(_xlfn.XLOOKUP(B636,Transporte[DESCRIPCION],Transporte[UND],,0),"")</f>
        <v/>
      </c>
      <c r="D636" s="31"/>
      <c r="E636" s="32" t="str">
        <f>IFERROR(_xlfn.XLOOKUP($B636,Transporte[DESCRIPCION],Transporte[VALOR],,0),"")</f>
        <v/>
      </c>
      <c r="F636" s="33"/>
      <c r="G636" s="34" t="str">
        <f>IFERROR(IF(F636&gt;=0,D636*E636*(1+F636/100),ABS(D636*E636/F636)),"")</f>
        <v/>
      </c>
      <c r="H636" s="43" t="str">
        <f>IFERROR(G636*E622,"")</f>
        <v/>
      </c>
    </row>
    <row r="637" spans="1:8">
      <c r="A637" s="21"/>
      <c r="B637" s="22" t="s">
        <v>3732</v>
      </c>
      <c r="C637" s="23"/>
      <c r="D637" s="24"/>
      <c r="E637" s="25"/>
      <c r="F637" s="26"/>
      <c r="G637" s="27">
        <f>SUM(G638:G640)</f>
        <v>43083.176974500006</v>
      </c>
      <c r="H637" s="44">
        <f>G637*E622</f>
        <v>0</v>
      </c>
    </row>
    <row r="638" spans="1:8">
      <c r="A638" s="28"/>
      <c r="B638" s="29" t="s">
        <v>3711</v>
      </c>
      <c r="C638" s="30" t="str">
        <f>IFERROR(_xlfn.XLOOKUP(B638,MObra[DESCRIPCION],MObra[UN],,0),"")</f>
        <v>día</v>
      </c>
      <c r="D638" s="31">
        <v>1</v>
      </c>
      <c r="E638" s="32">
        <f>IFERROR(_xlfn.XLOOKUP($B638,MObra[DESCRIPCION],MObra[VALOR UNIT],,0),"")</f>
        <v>430831.76974500006</v>
      </c>
      <c r="F638" s="33">
        <v>-10</v>
      </c>
      <c r="G638" s="34">
        <f>IFERROR(IF(F638&gt;=0,D638*E638*(1+F638/100),ABS(D638*E638/F638)),"")</f>
        <v>43083.176974500006</v>
      </c>
      <c r="H638" s="43">
        <f>IFERROR(G638*E622,"")</f>
        <v>0</v>
      </c>
    </row>
    <row r="639" spans="1:8">
      <c r="A639" s="28"/>
      <c r="B639" s="29"/>
      <c r="C639" s="30" t="str">
        <f>IFERROR(_xlfn.XLOOKUP(B639,MObra[DESCRIPCION],MObra[UN],,0),"")</f>
        <v/>
      </c>
      <c r="D639" s="31"/>
      <c r="E639" s="32" t="str">
        <f>IFERROR(_xlfn.XLOOKUP($B639,MObra[DESCRIPCION],MObra[VALOR UNIT],,0),"")</f>
        <v/>
      </c>
      <c r="F639" s="33"/>
      <c r="G639" s="34" t="str">
        <f>IFERROR(IF(F639&gt;=0,D639*E639*(1+F639/100),ABS(D639*E639/F639)),"")</f>
        <v/>
      </c>
      <c r="H639" s="43" t="str">
        <f>IFERROR(G639*E622,"")</f>
        <v/>
      </c>
    </row>
    <row r="640" spans="1:8">
      <c r="A640" s="35"/>
      <c r="B640" s="36"/>
      <c r="C640" s="37" t="str">
        <f>IFERROR(_xlfn.XLOOKUP(B640,MObra[DESCRIPCION],MObra[UN],,0),"")</f>
        <v/>
      </c>
      <c r="D640" s="38"/>
      <c r="E640" s="39" t="str">
        <f>IFERROR(_xlfn.XLOOKUP($B640,MObra[DESCRIPCION],MObra[VALOR UNIT],,0),"")</f>
        <v/>
      </c>
      <c r="F640" s="40"/>
      <c r="G640" s="41" t="str">
        <f>IFERROR(IF(F640&gt;=0,D640*E640*(1+F640/100),ABS(D640*E640/F640)),"")</f>
        <v/>
      </c>
      <c r="H640" s="42" t="str">
        <f>IFERROR(G640*E622,"")</f>
        <v/>
      </c>
    </row>
    <row r="642" spans="1:11" ht="25.5">
      <c r="A642" s="6" t="s">
        <v>1788</v>
      </c>
      <c r="B642" s="7" t="str">
        <f>VLOOKUP($A642,Presupuesto!$A:$D,2,FALSE())</f>
        <v>Dren horizontal en tubería corrugada perforada de 65 mm (incluye tubería + geotextil), perforación mecanica</v>
      </c>
      <c r="C642" s="8" t="str">
        <f>VLOOKUP($A642,Presupuesto!$A:$D,3,FALSE())</f>
        <v>M</v>
      </c>
      <c r="D642" s="9"/>
      <c r="E642" s="10">
        <f>VLOOKUP($A642,Presupuesto!$A:$D,4,FALSE())</f>
        <v>0</v>
      </c>
      <c r="F642" s="11" t="s">
        <v>2589</v>
      </c>
      <c r="G642" s="12">
        <f>SUM(G644:G660)/2</f>
        <v>95474.861229277274</v>
      </c>
      <c r="H642" s="13">
        <f>ROUND(SUM(H644:H660),0)/2</f>
        <v>0</v>
      </c>
      <c r="I642" s="10">
        <f>VLOOKUP(A642,Presupuesto!$A:$F,6,0)</f>
        <v>0</v>
      </c>
      <c r="J642" s="10">
        <f>+H642-I642</f>
        <v>0</v>
      </c>
      <c r="K642" s="46">
        <f>+H642-G642*E642</f>
        <v>0</v>
      </c>
    </row>
    <row r="643" spans="1:11">
      <c r="A643" s="14"/>
      <c r="B643" s="15" t="s">
        <v>2586</v>
      </c>
      <c r="C643" s="15" t="s">
        <v>5</v>
      </c>
      <c r="D643" s="16" t="s">
        <v>6</v>
      </c>
      <c r="E643" s="17" t="s">
        <v>7</v>
      </c>
      <c r="F643" s="18" t="s">
        <v>3728</v>
      </c>
      <c r="G643" s="19" t="s">
        <v>3729</v>
      </c>
      <c r="H643" s="20" t="s">
        <v>3797</v>
      </c>
    </row>
    <row r="644" spans="1:11">
      <c r="A644" s="21"/>
      <c r="B644" s="22" t="s">
        <v>3730</v>
      </c>
      <c r="C644" s="23"/>
      <c r="D644" s="24"/>
      <c r="E644" s="25"/>
      <c r="F644" s="26"/>
      <c r="G644" s="27">
        <f>SUM(G645:G649)</f>
        <v>17737.324499999999</v>
      </c>
      <c r="H644" s="27">
        <f>IFERROR(G644*E642,"")</f>
        <v>0</v>
      </c>
    </row>
    <row r="645" spans="1:11">
      <c r="A645" s="28"/>
      <c r="B645" s="29" t="s">
        <v>3474</v>
      </c>
      <c r="C645" s="30" t="str">
        <f>IFERROR(_xlfn.XLOOKUP(B645,Insumo[DESCRIPCION],Insumo[UND],,0),"")</f>
        <v>M</v>
      </c>
      <c r="D645" s="31">
        <v>1</v>
      </c>
      <c r="E645" s="32">
        <f>IFERROR(_xlfn.XLOOKUP($B645,Insumo[DESCRIPCION],Insumo[VALOR],,0),"")</f>
        <v>16769.55</v>
      </c>
      <c r="F645" s="33"/>
      <c r="G645" s="34">
        <f>IFERROR(IF(F645&gt;=0,D645*E645*(1+F645/100),ABS(D645*E645/F645)),"")</f>
        <v>16769.55</v>
      </c>
      <c r="H645" s="43">
        <f>IFERROR(G645*E642,"")</f>
        <v>0</v>
      </c>
    </row>
    <row r="646" spans="1:11">
      <c r="A646" s="28"/>
      <c r="B646" s="29" t="s">
        <v>2975</v>
      </c>
      <c r="C646" s="30" t="str">
        <f>IFERROR(_xlfn.XLOOKUP(B646,Insumo[DESCRIPCION],Insumo[UND],,0),"")</f>
        <v>M2</v>
      </c>
      <c r="D646" s="31">
        <v>0.22</v>
      </c>
      <c r="E646" s="32">
        <f>IFERROR(_xlfn.XLOOKUP($B646,Insumo[DESCRIPCION],Insumo[VALOR],,0),"")</f>
        <v>4189.5</v>
      </c>
      <c r="F646" s="33">
        <v>5</v>
      </c>
      <c r="G646" s="34">
        <f>IFERROR(IF(F646&gt;=0,D646*E646*(1+F646/100),ABS(D646*E646/F646)),"")</f>
        <v>967.7745000000001</v>
      </c>
      <c r="H646" s="43">
        <f>IFERROR(G646*E642,"")</f>
        <v>0</v>
      </c>
    </row>
    <row r="647" spans="1:11">
      <c r="A647" s="28"/>
      <c r="B647" s="29"/>
      <c r="C647" s="30" t="str">
        <f>IFERROR(_xlfn.XLOOKUP(B647,Insumo[DESCRIPCION],Insumo[UND],,0),"")</f>
        <v/>
      </c>
      <c r="D647" s="31"/>
      <c r="E647" s="32" t="str">
        <f>IFERROR(_xlfn.XLOOKUP($B647,Insumo[DESCRIPCION],Insumo[VALOR],,0),"")</f>
        <v/>
      </c>
      <c r="F647" s="33"/>
      <c r="G647" s="34" t="str">
        <f>IFERROR(IF(F647&gt;=0,D647*E647*(1+F647/100),ABS(D647*E647/F647)),"")</f>
        <v/>
      </c>
      <c r="H647" s="43" t="str">
        <f>IFERROR(G647*E642,"")</f>
        <v/>
      </c>
    </row>
    <row r="648" spans="1:11">
      <c r="A648" s="28"/>
      <c r="B648" s="29"/>
      <c r="C648" s="30" t="str">
        <f>IFERROR(_xlfn.XLOOKUP(B648,Insumo[DESCRIPCION],Insumo[UND],,0),"")</f>
        <v/>
      </c>
      <c r="D648" s="31"/>
      <c r="E648" s="32" t="str">
        <f>IFERROR(_xlfn.XLOOKUP($B648,Insumo[DESCRIPCION],Insumo[VALOR],,0),"")</f>
        <v/>
      </c>
      <c r="F648" s="33"/>
      <c r="G648" s="34" t="str">
        <f>IFERROR(IF(F648&gt;=0,D648*E648*(1+F648/100),ABS(D648*E648/F648)),"")</f>
        <v/>
      </c>
      <c r="H648" s="43" t="str">
        <f>IFERROR(G648*E642,"")</f>
        <v/>
      </c>
    </row>
    <row r="649" spans="1:11">
      <c r="A649" s="28"/>
      <c r="B649" s="29"/>
      <c r="C649" s="30" t="str">
        <f>IFERROR(_xlfn.XLOOKUP(B649,Insumo[DESCRIPCION],Insumo[UND],,0),"")</f>
        <v/>
      </c>
      <c r="D649" s="31"/>
      <c r="E649" s="32" t="str">
        <f>IFERROR(_xlfn.XLOOKUP($B649,Insumo[DESCRIPCION],Insumo[VALOR],,0),"")</f>
        <v/>
      </c>
      <c r="F649" s="33"/>
      <c r="G649" s="34" t="str">
        <f>IFERROR(IF(F649&gt;=0,D649*E649*(1+F649/100),ABS(D649*E649/F649)),"")</f>
        <v/>
      </c>
      <c r="H649" s="43" t="str">
        <f>IFERROR(G649*E642,"")</f>
        <v/>
      </c>
    </row>
    <row r="650" spans="1:11">
      <c r="A650" s="21"/>
      <c r="B650" s="22" t="s">
        <v>3731</v>
      </c>
      <c r="C650" s="23"/>
      <c r="D650" s="24"/>
      <c r="E650" s="25"/>
      <c r="F650" s="26"/>
      <c r="G650" s="27">
        <f>SUM(G651:G653)</f>
        <v>38571.012207004547</v>
      </c>
      <c r="H650" s="44">
        <f>G650*E642</f>
        <v>0</v>
      </c>
    </row>
    <row r="651" spans="1:11">
      <c r="A651" s="28"/>
      <c r="B651" s="29" t="s">
        <v>3579</v>
      </c>
      <c r="C651" s="30" t="str">
        <f>IFERROR(_xlfn.XLOOKUP(B651,Equipo[DESCRIPCION],Equipo[UND],,0),"")</f>
        <v>Día</v>
      </c>
      <c r="D651" s="31">
        <v>1</v>
      </c>
      <c r="E651" s="32">
        <f>IF(C651="%MO",G657,IFERROR(_xlfn.XLOOKUP($B651,Equipo[DESCRIPCION],Equipo[VALOR],,0),""))</f>
        <v>210276.15000000002</v>
      </c>
      <c r="F651" s="33">
        <v>-6</v>
      </c>
      <c r="G651" s="34">
        <f>IFERROR(IF(F651&gt;=0,D651*E651*(1+F651/100),ABS(D651*E651/F651)),"")</f>
        <v>35046.025000000001</v>
      </c>
      <c r="H651" s="43">
        <f>IFERROR(G651*E642,"")</f>
        <v>0</v>
      </c>
    </row>
    <row r="652" spans="1:11">
      <c r="A652" s="28"/>
      <c r="B652" s="29" t="s">
        <v>3570</v>
      </c>
      <c r="C652" s="30" t="str">
        <f>IFERROR(_xlfn.XLOOKUP(B652,Equipo[DESCRIPCION],Equipo[UND],,0),"")</f>
        <v>%MO</v>
      </c>
      <c r="D652" s="31">
        <v>0.04</v>
      </c>
      <c r="E652" s="32">
        <f>IF(C652="%MO",G657,IFERROR(_xlfn.XLOOKUP($B652,Equipo[DESCRIPCION],Equipo[VALOR],,0),""))</f>
        <v>39166.524522272732</v>
      </c>
      <c r="F652" s="33"/>
      <c r="G652" s="34">
        <f>IFERROR(IF(F652&gt;=0,D652*E652*(1+F652/100),ABS(D652*E652/F652)),"")</f>
        <v>1566.6609808909093</v>
      </c>
      <c r="H652" s="43">
        <f>IFERROR(G652*E642,"")</f>
        <v>0</v>
      </c>
    </row>
    <row r="653" spans="1:11">
      <c r="A653" s="28"/>
      <c r="B653" s="29" t="s">
        <v>3626</v>
      </c>
      <c r="C653" s="30" t="str">
        <f>IFERROR(_xlfn.XLOOKUP(B653,Equipo[DESCRIPCION],Equipo[UND],,0),"")</f>
        <v>%MO</v>
      </c>
      <c r="D653" s="31">
        <v>0.05</v>
      </c>
      <c r="E653" s="32">
        <f>IF(C653="%MO",G657,IFERROR(_xlfn.XLOOKUP($B653,Equipo[DESCRIPCION],Equipo[VALOR],,0),""))</f>
        <v>39166.524522272732</v>
      </c>
      <c r="F653" s="33"/>
      <c r="G653" s="34">
        <f>IFERROR(IF(F653&gt;=0,D653*E653*(1+F653/100),ABS(D653*E653/F653)),"")</f>
        <v>1958.3262261136367</v>
      </c>
      <c r="H653" s="43">
        <f>IFERROR(G653*E642,"")</f>
        <v>0</v>
      </c>
    </row>
    <row r="654" spans="1:11">
      <c r="A654" s="21"/>
      <c r="B654" s="22" t="s">
        <v>2533</v>
      </c>
      <c r="C654" s="23"/>
      <c r="D654" s="24"/>
      <c r="E654" s="25"/>
      <c r="F654" s="26"/>
      <c r="G654" s="27">
        <f>SUM(G655:G656)</f>
        <v>0</v>
      </c>
      <c r="H654" s="44">
        <f>G654*E642</f>
        <v>0</v>
      </c>
    </row>
    <row r="655" spans="1:11">
      <c r="A655" s="28"/>
      <c r="B655" s="29"/>
      <c r="C655" s="30" t="str">
        <f>IFERROR(_xlfn.XLOOKUP(B655,Transporte[DESCRIPCION],Transporte[UND],,0),"")</f>
        <v/>
      </c>
      <c r="D655" s="31"/>
      <c r="E655" s="32" t="str">
        <f>IFERROR(_xlfn.XLOOKUP($B655,Transporte[DESCRIPCION],Transporte[VALOR],,0),"")</f>
        <v/>
      </c>
      <c r="F655" s="33"/>
      <c r="G655" s="34" t="str">
        <f>IFERROR(IF(F655&gt;=0,D655*E655*(1+F655/100),ABS(D655*E655/F655)),"")</f>
        <v/>
      </c>
      <c r="H655" s="43" t="str">
        <f>IFERROR(G655*E642,"")</f>
        <v/>
      </c>
    </row>
    <row r="656" spans="1:11">
      <c r="A656" s="28"/>
      <c r="B656" s="29"/>
      <c r="C656" s="30" t="str">
        <f>IFERROR(_xlfn.XLOOKUP(B656,Transporte[DESCRIPCION],Transporte[UND],,0),"")</f>
        <v/>
      </c>
      <c r="D656" s="31"/>
      <c r="E656" s="32" t="str">
        <f>IFERROR(_xlfn.XLOOKUP($B656,Transporte[DESCRIPCION],Transporte[VALOR],,0),"")</f>
        <v/>
      </c>
      <c r="F656" s="33"/>
      <c r="G656" s="34" t="str">
        <f>IFERROR(IF(F656&gt;=0,D656*E656*(1+F656/100),ABS(D656*E656/F656)),"")</f>
        <v/>
      </c>
      <c r="H656" s="43" t="str">
        <f>IFERROR(G656*E642,"")</f>
        <v/>
      </c>
    </row>
    <row r="657" spans="1:11">
      <c r="A657" s="21"/>
      <c r="B657" s="22" t="s">
        <v>3732</v>
      </c>
      <c r="C657" s="23"/>
      <c r="D657" s="24"/>
      <c r="E657" s="25"/>
      <c r="F657" s="26"/>
      <c r="G657" s="27">
        <f>SUM(G658:G660)</f>
        <v>39166.524522272732</v>
      </c>
      <c r="H657" s="44">
        <f>G657*E642</f>
        <v>0</v>
      </c>
    </row>
    <row r="658" spans="1:11">
      <c r="A658" s="28"/>
      <c r="B658" s="29" t="s">
        <v>3711</v>
      </c>
      <c r="C658" s="30" t="str">
        <f>IFERROR(_xlfn.XLOOKUP(B658,MObra[DESCRIPCION],MObra[UN],,0),"")</f>
        <v>día</v>
      </c>
      <c r="D658" s="31">
        <v>1</v>
      </c>
      <c r="E658" s="32">
        <f>IFERROR(_xlfn.XLOOKUP($B658,MObra[DESCRIPCION],MObra[VALOR UNIT],,0),"")</f>
        <v>430831.76974500006</v>
      </c>
      <c r="F658" s="33">
        <v>-11</v>
      </c>
      <c r="G658" s="34">
        <f>IFERROR(IF(F658&gt;=0,D658*E658*(1+F658/100),ABS(D658*E658/F658)),"")</f>
        <v>39166.524522272732</v>
      </c>
      <c r="H658" s="43">
        <f>IFERROR(G658*E642,"")</f>
        <v>0</v>
      </c>
    </row>
    <row r="659" spans="1:11">
      <c r="A659" s="28"/>
      <c r="B659" s="29"/>
      <c r="C659" s="30" t="str">
        <f>IFERROR(_xlfn.XLOOKUP(B659,MObra[DESCRIPCION],MObra[UN],,0),"")</f>
        <v/>
      </c>
      <c r="D659" s="31"/>
      <c r="E659" s="32" t="str">
        <f>IFERROR(_xlfn.XLOOKUP($B659,MObra[DESCRIPCION],MObra[VALOR UNIT],,0),"")</f>
        <v/>
      </c>
      <c r="F659" s="33"/>
      <c r="G659" s="34" t="str">
        <f>IFERROR(IF(F659&gt;=0,D659*E659*(1+F659/100),ABS(D659*E659/F659)),"")</f>
        <v/>
      </c>
      <c r="H659" s="43" t="str">
        <f>IFERROR(G659*E642,"")</f>
        <v/>
      </c>
    </row>
    <row r="660" spans="1:11">
      <c r="A660" s="35"/>
      <c r="B660" s="36"/>
      <c r="C660" s="37" t="str">
        <f>IFERROR(_xlfn.XLOOKUP(B660,MObra[DESCRIPCION],MObra[UN],,0),"")</f>
        <v/>
      </c>
      <c r="D660" s="38"/>
      <c r="E660" s="39" t="str">
        <f>IFERROR(_xlfn.XLOOKUP($B660,MObra[DESCRIPCION],MObra[VALOR UNIT],,0),"")</f>
        <v/>
      </c>
      <c r="F660" s="40"/>
      <c r="G660" s="41" t="str">
        <f>IFERROR(IF(F660&gt;=0,D660*E660*(1+F660/100),ABS(D660*E660/F660)),"")</f>
        <v/>
      </c>
      <c r="H660" s="42" t="str">
        <f>IFERROR(G660*E642,"")</f>
        <v/>
      </c>
    </row>
    <row r="662" spans="1:11" ht="25.5">
      <c r="A662" s="6" t="s">
        <v>1790</v>
      </c>
      <c r="B662" s="7" t="str">
        <f>VLOOKUP($A662,Presupuesto!$A:$D,2,FALSE())</f>
        <v>Dren horizontal en tubería PVC-S perforada de 3" (incluye tubería + geotextil), perforación manual</v>
      </c>
      <c r="C662" s="8" t="str">
        <f>VLOOKUP($A662,Presupuesto!$A:$D,3,FALSE())</f>
        <v>M</v>
      </c>
      <c r="D662" s="9"/>
      <c r="E662" s="10">
        <f>VLOOKUP($A662,Presupuesto!$A:$D,4,FALSE())</f>
        <v>0</v>
      </c>
      <c r="F662" s="11" t="s">
        <v>2589</v>
      </c>
      <c r="G662" s="12">
        <f>SUM(G664:G680)/2</f>
        <v>106899.26433578336</v>
      </c>
      <c r="H662" s="45">
        <f>ROUND(SUM(H664:H681),0)/2</f>
        <v>0</v>
      </c>
      <c r="I662" s="10">
        <f>VLOOKUP(A662,Presupuesto!$A:$F,6,0)</f>
        <v>0</v>
      </c>
      <c r="J662" s="10">
        <f>+H662-I662</f>
        <v>0</v>
      </c>
      <c r="K662" s="46">
        <f>+H662-G662*E662</f>
        <v>0</v>
      </c>
    </row>
    <row r="663" spans="1:11">
      <c r="A663" s="14"/>
      <c r="B663" s="15" t="s">
        <v>2586</v>
      </c>
      <c r="C663" s="15" t="s">
        <v>5</v>
      </c>
      <c r="D663" s="16" t="s">
        <v>6</v>
      </c>
      <c r="E663" s="17" t="s">
        <v>7</v>
      </c>
      <c r="F663" s="18" t="s">
        <v>3728</v>
      </c>
      <c r="G663" s="19" t="s">
        <v>3729</v>
      </c>
      <c r="H663" s="20" t="s">
        <v>3797</v>
      </c>
    </row>
    <row r="664" spans="1:11">
      <c r="A664" s="21"/>
      <c r="B664" s="22" t="s">
        <v>3730</v>
      </c>
      <c r="C664" s="23"/>
      <c r="D664" s="24"/>
      <c r="E664" s="25"/>
      <c r="F664" s="26"/>
      <c r="G664" s="27">
        <f>SUM(G665:G669)</f>
        <v>33124.770000000004</v>
      </c>
      <c r="H664" s="27">
        <f>IFERROR(G664*E662,"")</f>
        <v>0</v>
      </c>
    </row>
    <row r="665" spans="1:11">
      <c r="A665" s="28"/>
      <c r="B665" s="29" t="s">
        <v>3504</v>
      </c>
      <c r="C665" s="30" t="str">
        <f>IFERROR(_xlfn.XLOOKUP(B665,Insumo[DESCRIPCION],Insumo[UND],,0),"")</f>
        <v>M</v>
      </c>
      <c r="D665" s="31">
        <v>1</v>
      </c>
      <c r="E665" s="32">
        <f>IFERROR(_xlfn.XLOOKUP($B665,Insumo[DESCRIPCION],Insumo[VALOR],,0),"")</f>
        <v>31049.550000000003</v>
      </c>
      <c r="F665" s="33">
        <v>3</v>
      </c>
      <c r="G665" s="34">
        <f>IFERROR(IF(F665&gt;=0,D665*E665*(1+F665/100),ABS(D665*E665/F665)),"")</f>
        <v>31981.036500000006</v>
      </c>
      <c r="H665" s="43">
        <f>IFERROR(G665*E662,"")</f>
        <v>0</v>
      </c>
    </row>
    <row r="666" spans="1:11">
      <c r="A666" s="28"/>
      <c r="B666" s="29" t="s">
        <v>2975</v>
      </c>
      <c r="C666" s="30" t="str">
        <f>IFERROR(_xlfn.XLOOKUP(B666,Insumo[DESCRIPCION],Insumo[UND],,0),"")</f>
        <v>M2</v>
      </c>
      <c r="D666" s="31">
        <v>0.26</v>
      </c>
      <c r="E666" s="32">
        <f>IFERROR(_xlfn.XLOOKUP($B666,Insumo[DESCRIPCION],Insumo[VALOR],,0),"")</f>
        <v>4189.5</v>
      </c>
      <c r="F666" s="33">
        <v>5</v>
      </c>
      <c r="G666" s="34">
        <f>IFERROR(IF(F666&gt;=0,D666*E666*(1+F666/100),ABS(D666*E666/F666)),"")</f>
        <v>1143.7335</v>
      </c>
      <c r="H666" s="43">
        <f>IFERROR(G666*E662,"")</f>
        <v>0</v>
      </c>
    </row>
    <row r="667" spans="1:11">
      <c r="A667" s="28"/>
      <c r="B667" s="29"/>
      <c r="C667" s="30" t="str">
        <f>IFERROR(_xlfn.XLOOKUP(B667,Insumo[DESCRIPCION],Insumo[UND],,0),"")</f>
        <v/>
      </c>
      <c r="D667" s="31"/>
      <c r="E667" s="32" t="str">
        <f>IFERROR(_xlfn.XLOOKUP($B667,Insumo[DESCRIPCION],Insumo[VALOR],,0),"")</f>
        <v/>
      </c>
      <c r="F667" s="33"/>
      <c r="G667" s="34" t="str">
        <f>IFERROR(IF(F667&gt;=0,D667*E667*(1+F667/100),ABS(D667*E667/F667)),"")</f>
        <v/>
      </c>
      <c r="H667" s="43" t="str">
        <f>IFERROR(G667*E662,"")</f>
        <v/>
      </c>
    </row>
    <row r="668" spans="1:11">
      <c r="A668" s="28"/>
      <c r="B668" s="29"/>
      <c r="C668" s="30" t="str">
        <f>IFERROR(_xlfn.XLOOKUP(B668,Insumo[DESCRIPCION],Insumo[UND],,0),"")</f>
        <v/>
      </c>
      <c r="D668" s="31"/>
      <c r="E668" s="32" t="str">
        <f>IFERROR(_xlfn.XLOOKUP($B668,Insumo[DESCRIPCION],Insumo[VALOR],,0),"")</f>
        <v/>
      </c>
      <c r="F668" s="33"/>
      <c r="G668" s="34" t="str">
        <f>IFERROR(IF(F668&gt;=0,D668*E668*(1+F668/100),ABS(D668*E668/F668)),"")</f>
        <v/>
      </c>
      <c r="H668" s="43" t="str">
        <f>IFERROR(G668*E662,"")</f>
        <v/>
      </c>
    </row>
    <row r="669" spans="1:11">
      <c r="A669" s="28"/>
      <c r="B669" s="29"/>
      <c r="C669" s="30" t="str">
        <f>IFERROR(_xlfn.XLOOKUP(B669,Insumo[DESCRIPCION],Insumo[UND],,0),"")</f>
        <v/>
      </c>
      <c r="D669" s="31"/>
      <c r="E669" s="32" t="str">
        <f>IFERROR(_xlfn.XLOOKUP($B669,Insumo[DESCRIPCION],Insumo[VALOR],,0),"")</f>
        <v/>
      </c>
      <c r="F669" s="33"/>
      <c r="G669" s="34" t="str">
        <f>IFERROR(IF(F669&gt;=0,D669*E669*(1+F669/100),ABS(D669*E669/F669)),"")</f>
        <v/>
      </c>
      <c r="H669" s="43" t="str">
        <f>IFERROR(G669*E662,"")</f>
        <v/>
      </c>
    </row>
    <row r="670" spans="1:11">
      <c r="A670" s="21"/>
      <c r="B670" s="22" t="s">
        <v>3731</v>
      </c>
      <c r="C670" s="23"/>
      <c r="D670" s="24"/>
      <c r="E670" s="25"/>
      <c r="F670" s="26"/>
      <c r="G670" s="27">
        <f>SUM(G671:G673)</f>
        <v>25904.297697450005</v>
      </c>
      <c r="H670" s="44">
        <f>G670*E662</f>
        <v>0</v>
      </c>
    </row>
    <row r="671" spans="1:11">
      <c r="A671" s="28"/>
      <c r="B671" s="29" t="s">
        <v>3578</v>
      </c>
      <c r="C671" s="30" t="str">
        <f>IFERROR(_xlfn.XLOOKUP(B671,Equipo[DESCRIPCION],Equipo[UND],,0),"")</f>
        <v>Día</v>
      </c>
      <c r="D671" s="31">
        <v>1</v>
      </c>
      <c r="E671" s="32">
        <f>IF(C671="%MO",G677,IFERROR(_xlfn.XLOOKUP($B671,Equipo[DESCRIPCION],Equipo[VALOR],,0),""))</f>
        <v>107979.90000000001</v>
      </c>
      <c r="F671" s="33">
        <v>-5</v>
      </c>
      <c r="G671" s="34">
        <f>IFERROR(IF(F671&gt;=0,D671*E671*(1+F671/100),ABS(D671*E671/F671)),"")</f>
        <v>21595.980000000003</v>
      </c>
      <c r="H671" s="43">
        <f>IFERROR(G671*E662,"")</f>
        <v>0</v>
      </c>
    </row>
    <row r="672" spans="1:11">
      <c r="A672" s="28"/>
      <c r="B672" s="29" t="s">
        <v>3570</v>
      </c>
      <c r="C672" s="30" t="str">
        <f>IFERROR(_xlfn.XLOOKUP(B672,Equipo[DESCRIPCION],Equipo[UND],,0),"")</f>
        <v>%MO</v>
      </c>
      <c r="D672" s="31">
        <v>0.04</v>
      </c>
      <c r="E672" s="32">
        <f>IF(C672="%MO",G677,IFERROR(_xlfn.XLOOKUP($B672,Equipo[DESCRIPCION],Equipo[VALOR],,0),""))</f>
        <v>47870.196638333342</v>
      </c>
      <c r="F672" s="33"/>
      <c r="G672" s="34">
        <f>IFERROR(IF(F672&gt;=0,D672*E672*(1+F672/100),ABS(D672*E672/F672)),"")</f>
        <v>1914.8078655333338</v>
      </c>
      <c r="H672" s="43">
        <f>IFERROR(G672*E662,"")</f>
        <v>0</v>
      </c>
    </row>
    <row r="673" spans="1:11">
      <c r="A673" s="28"/>
      <c r="B673" s="29" t="s">
        <v>3626</v>
      </c>
      <c r="C673" s="30" t="str">
        <f>IFERROR(_xlfn.XLOOKUP(B673,Equipo[DESCRIPCION],Equipo[UND],,0),"")</f>
        <v>%MO</v>
      </c>
      <c r="D673" s="31">
        <v>0.05</v>
      </c>
      <c r="E673" s="32">
        <f>IF(C673="%MO",G677,IFERROR(_xlfn.XLOOKUP($B673,Equipo[DESCRIPCION],Equipo[VALOR],,0),""))</f>
        <v>47870.196638333342</v>
      </c>
      <c r="F673" s="33"/>
      <c r="G673" s="34">
        <f>IFERROR(IF(F673&gt;=0,D673*E673*(1+F673/100),ABS(D673*E673/F673)),"")</f>
        <v>2393.5098319166673</v>
      </c>
      <c r="H673" s="43">
        <f>IFERROR(G673*E662,"")</f>
        <v>0</v>
      </c>
    </row>
    <row r="674" spans="1:11">
      <c r="A674" s="21"/>
      <c r="B674" s="22" t="s">
        <v>2533</v>
      </c>
      <c r="C674" s="23"/>
      <c r="D674" s="24"/>
      <c r="E674" s="25"/>
      <c r="F674" s="26"/>
      <c r="G674" s="27">
        <f>SUM(G675:G676)</f>
        <v>0</v>
      </c>
      <c r="H674" s="43">
        <f>IFERROR(G674*E662,"")</f>
        <v>0</v>
      </c>
    </row>
    <row r="675" spans="1:11">
      <c r="A675" s="28"/>
      <c r="B675" s="29"/>
      <c r="C675" s="30" t="str">
        <f>IFERROR(_xlfn.XLOOKUP(B675,Transporte[DESCRIPCION],Transporte[UND],,0),"")</f>
        <v/>
      </c>
      <c r="D675" s="31"/>
      <c r="E675" s="32" t="str">
        <f>IFERROR(_xlfn.XLOOKUP($B675,Transporte[DESCRIPCION],Transporte[VALOR],,0),"")</f>
        <v/>
      </c>
      <c r="F675" s="33"/>
      <c r="G675" s="34" t="str">
        <f>IFERROR(IF(F675&gt;=0,D675*E675*(1+F675/100),ABS(D675*E675/F675)),"")</f>
        <v/>
      </c>
      <c r="H675" s="43" t="str">
        <f>IFERROR(G675*E662,"")</f>
        <v/>
      </c>
    </row>
    <row r="676" spans="1:11">
      <c r="A676" s="28"/>
      <c r="B676" s="29"/>
      <c r="C676" s="30" t="str">
        <f>IFERROR(_xlfn.XLOOKUP(B676,Transporte[DESCRIPCION],Transporte[UND],,0),"")</f>
        <v/>
      </c>
      <c r="D676" s="31"/>
      <c r="E676" s="32" t="str">
        <f>IFERROR(_xlfn.XLOOKUP($B676,Transporte[DESCRIPCION],Transporte[VALOR],,0),"")</f>
        <v/>
      </c>
      <c r="F676" s="33"/>
      <c r="G676" s="34" t="str">
        <f>IFERROR(IF(F676&gt;=0,D676*E676*(1+F676/100),ABS(D676*E676/F676)),"")</f>
        <v/>
      </c>
      <c r="H676" s="43" t="str">
        <f>IFERROR(G676*E662,"")</f>
        <v/>
      </c>
    </row>
    <row r="677" spans="1:11">
      <c r="A677" s="21"/>
      <c r="B677" s="22" t="s">
        <v>3732</v>
      </c>
      <c r="C677" s="23"/>
      <c r="D677" s="24"/>
      <c r="E677" s="25"/>
      <c r="F677" s="26"/>
      <c r="G677" s="27">
        <f>SUM(G678:G680)</f>
        <v>47870.196638333342</v>
      </c>
      <c r="H677" s="43">
        <f>IFERROR(G677*E662,"")</f>
        <v>0</v>
      </c>
    </row>
    <row r="678" spans="1:11">
      <c r="A678" s="28"/>
      <c r="B678" s="29" t="s">
        <v>3711</v>
      </c>
      <c r="C678" s="30" t="str">
        <f>IFERROR(_xlfn.XLOOKUP(B678,MObra[DESCRIPCION],MObra[UN],,0),"")</f>
        <v>día</v>
      </c>
      <c r="D678" s="31">
        <v>1</v>
      </c>
      <c r="E678" s="32">
        <f>IFERROR(_xlfn.XLOOKUP($B678,MObra[DESCRIPCION],MObra[VALOR UNIT],,0),"")</f>
        <v>430831.76974500006</v>
      </c>
      <c r="F678" s="33">
        <v>-9</v>
      </c>
      <c r="G678" s="34">
        <f>IFERROR(IF(F678&gt;=0,D678*E678*(1+F678/100),ABS(D678*E678/F678)),"")</f>
        <v>47870.196638333342</v>
      </c>
      <c r="H678" s="44">
        <f>G678*E662</f>
        <v>0</v>
      </c>
    </row>
    <row r="679" spans="1:11">
      <c r="A679" s="28"/>
      <c r="B679" s="29"/>
      <c r="C679" s="30" t="str">
        <f>IFERROR(_xlfn.XLOOKUP(B679,MObra[DESCRIPCION],MObra[UN],,0),"")</f>
        <v/>
      </c>
      <c r="D679" s="31"/>
      <c r="E679" s="32" t="str">
        <f>IFERROR(_xlfn.XLOOKUP($B679,MObra[DESCRIPCION],MObra[VALOR UNIT],,0),"")</f>
        <v/>
      </c>
      <c r="F679" s="33"/>
      <c r="G679" s="34" t="str">
        <f>IFERROR(IF(F679&gt;=0,D679*E679*(1+F679/100),ABS(D679*E679/F679)),"")</f>
        <v/>
      </c>
      <c r="H679" s="43" t="str">
        <f>IFERROR(G679*E662,"")</f>
        <v/>
      </c>
    </row>
    <row r="680" spans="1:11">
      <c r="A680" s="35"/>
      <c r="B680" s="36"/>
      <c r="C680" s="37" t="str">
        <f>IFERROR(_xlfn.XLOOKUP(B680,MObra[DESCRIPCION],MObra[UN],,0),"")</f>
        <v/>
      </c>
      <c r="D680" s="38"/>
      <c r="E680" s="39" t="str">
        <f>IFERROR(_xlfn.XLOOKUP($B680,MObra[DESCRIPCION],MObra[VALOR UNIT],,0),"")</f>
        <v/>
      </c>
      <c r="F680" s="40"/>
      <c r="G680" s="41" t="str">
        <f>IFERROR(IF(F680&gt;=0,D680*E680*(1+F680/100),ABS(D680*E680/F680)),"")</f>
        <v/>
      </c>
      <c r="H680" s="43" t="str">
        <f>IFERROR(G680*E662,"")</f>
        <v/>
      </c>
    </row>
    <row r="681" spans="1:11">
      <c r="A681" s="35"/>
      <c r="B681" s="36"/>
      <c r="C681" s="37" t="str">
        <f t="array" ref="C681">IFERROR(_xlfn.XLOOKUP(B681,MObra[[#All],[DESCRIPCION]],MObra[[#All],[UN]],,0),"")</f>
        <v/>
      </c>
      <c r="D681" s="38"/>
      <c r="E681" s="39" t="str">
        <f t="array" ref="E681">IFERROR(_xlfn.XLOOKUP($B681,MObra[[#All],[DESCRIPCION]],MObra[[#All],[VALOR UNIT]],,0),"")</f>
        <v/>
      </c>
      <c r="F681" s="40"/>
      <c r="G681" s="41" t="str">
        <f>IFERROR(IF(F681&gt;=0,D681*E681*(1+F681/100),ABS(D681*E681/F681)),"")</f>
        <v/>
      </c>
      <c r="H681" s="42" t="str">
        <f>IFERROR(G681*E662,"")</f>
        <v/>
      </c>
    </row>
    <row r="683" spans="1:11" ht="25.5">
      <c r="A683" s="6" t="s">
        <v>1792</v>
      </c>
      <c r="B683" s="7" t="str">
        <f>VLOOKUP($A683,Presupuesto!$A:$D,2,FALSE())</f>
        <v>Dren horizontal en tubería PVC-S perforada de 3" (incluye tubería + geotextil), perforación mecanica</v>
      </c>
      <c r="C683" s="8" t="str">
        <f>VLOOKUP($A683,Presupuesto!$A:$D,3,FALSE())</f>
        <v>M</v>
      </c>
      <c r="D683" s="9"/>
      <c r="E683" s="10">
        <f>VLOOKUP($A683,Presupuesto!$A:$D,4,FALSE())</f>
        <v>0</v>
      </c>
      <c r="F683" s="11" t="s">
        <v>2589</v>
      </c>
      <c r="G683" s="12">
        <f>SUM(G685:G700)/2</f>
        <v>115131.457902205</v>
      </c>
      <c r="H683" s="13">
        <f>ROUND(SUM(H685:H700),0)/2</f>
        <v>0</v>
      </c>
      <c r="I683" s="10">
        <f>VLOOKUP(A683,Presupuesto!$A:$F,6,0)</f>
        <v>0</v>
      </c>
      <c r="J683" s="10">
        <f>+H683-I683</f>
        <v>0</v>
      </c>
      <c r="K683" s="46">
        <f>+H683-G683*E683</f>
        <v>0</v>
      </c>
    </row>
    <row r="684" spans="1:11">
      <c r="A684" s="14"/>
      <c r="B684" s="15" t="s">
        <v>2586</v>
      </c>
      <c r="C684" s="15" t="s">
        <v>5</v>
      </c>
      <c r="D684" s="16" t="s">
        <v>6</v>
      </c>
      <c r="E684" s="17" t="s">
        <v>7</v>
      </c>
      <c r="F684" s="18" t="s">
        <v>3728</v>
      </c>
      <c r="G684" s="19" t="s">
        <v>3729</v>
      </c>
      <c r="H684" s="20" t="s">
        <v>3797</v>
      </c>
    </row>
    <row r="685" spans="1:11">
      <c r="A685" s="21"/>
      <c r="B685" s="22" t="s">
        <v>3730</v>
      </c>
      <c r="C685" s="23"/>
      <c r="D685" s="24"/>
      <c r="E685" s="25"/>
      <c r="F685" s="26"/>
      <c r="G685" s="27">
        <f>SUM(G686:G690)</f>
        <v>33124.770000000004</v>
      </c>
      <c r="H685" s="27">
        <f>IFERROR(G685*E683,"")</f>
        <v>0</v>
      </c>
    </row>
    <row r="686" spans="1:11">
      <c r="A686" s="28"/>
      <c r="B686" s="29" t="s">
        <v>3504</v>
      </c>
      <c r="C686" s="30" t="str">
        <f>IFERROR(_xlfn.XLOOKUP(B686,Insumo[DESCRIPCION],Insumo[UND],,0),"")</f>
        <v>M</v>
      </c>
      <c r="D686" s="31">
        <v>1</v>
      </c>
      <c r="E686" s="32">
        <f>IFERROR(_xlfn.XLOOKUP($B686,Insumo[DESCRIPCION],Insumo[VALOR],,0),"")</f>
        <v>31049.550000000003</v>
      </c>
      <c r="F686" s="33">
        <v>3</v>
      </c>
      <c r="G686" s="34">
        <f>IFERROR(IF(F686&gt;=0,D686*E686*(1+F686/100),ABS(D686*E686/F686)),"")</f>
        <v>31981.036500000006</v>
      </c>
      <c r="H686" s="43">
        <f>IFERROR(G686*E683,"")</f>
        <v>0</v>
      </c>
    </row>
    <row r="687" spans="1:11">
      <c r="A687" s="28"/>
      <c r="B687" s="29" t="s">
        <v>2975</v>
      </c>
      <c r="C687" s="30" t="str">
        <f>IFERROR(_xlfn.XLOOKUP(B687,Insumo[DESCRIPCION],Insumo[UND],,0),"")</f>
        <v>M2</v>
      </c>
      <c r="D687" s="31">
        <v>0.26</v>
      </c>
      <c r="E687" s="32">
        <f>IFERROR(_xlfn.XLOOKUP($B687,Insumo[DESCRIPCION],Insumo[VALOR],,0),"")</f>
        <v>4189.5</v>
      </c>
      <c r="F687" s="33">
        <v>5</v>
      </c>
      <c r="G687" s="34">
        <f>IFERROR(IF(F687&gt;=0,D687*E687*(1+F687/100),ABS(D687*E687/F687)),"")</f>
        <v>1143.7335</v>
      </c>
      <c r="H687" s="43">
        <f>IFERROR(G687*E683,"")</f>
        <v>0</v>
      </c>
    </row>
    <row r="688" spans="1:11">
      <c r="A688" s="28"/>
      <c r="B688" s="29"/>
      <c r="C688" s="30" t="str">
        <f>IFERROR(_xlfn.XLOOKUP(B688,Insumo[DESCRIPCION],Insumo[UND],,0),"")</f>
        <v/>
      </c>
      <c r="D688" s="31"/>
      <c r="E688" s="32" t="str">
        <f>IFERROR(_xlfn.XLOOKUP($B688,Insumo[DESCRIPCION],Insumo[VALOR],,0),"")</f>
        <v/>
      </c>
      <c r="F688" s="33"/>
      <c r="G688" s="34" t="str">
        <f>IFERROR(IF(F688&gt;=0,D688*E688*(1+F688/100),ABS(D688*E688/F688)),"")</f>
        <v/>
      </c>
      <c r="H688" s="43" t="str">
        <f>IFERROR(G688*E683,"")</f>
        <v/>
      </c>
    </row>
    <row r="689" spans="1:11">
      <c r="A689" s="28"/>
      <c r="B689" s="29"/>
      <c r="C689" s="30" t="str">
        <f>IFERROR(_xlfn.XLOOKUP(B689,Insumo[DESCRIPCION],Insumo[UND],,0),"")</f>
        <v/>
      </c>
      <c r="D689" s="31"/>
      <c r="E689" s="32" t="str">
        <f>IFERROR(_xlfn.XLOOKUP($B689,Insumo[DESCRIPCION],Insumo[VALOR],,0),"")</f>
        <v/>
      </c>
      <c r="F689" s="33"/>
      <c r="G689" s="34" t="str">
        <f>IFERROR(IF(F689&gt;=0,D689*E689*(1+F689/100),ABS(D689*E689/F689)),"")</f>
        <v/>
      </c>
      <c r="H689" s="43" t="str">
        <f>IFERROR(G689*E683,"")</f>
        <v/>
      </c>
    </row>
    <row r="690" spans="1:11">
      <c r="A690" s="28"/>
      <c r="B690" s="29"/>
      <c r="C690" s="30" t="str">
        <f>IFERROR(_xlfn.XLOOKUP(B690,Insumo[DESCRIPCION],Insumo[UND],,0),"")</f>
        <v/>
      </c>
      <c r="D690" s="31"/>
      <c r="E690" s="32" t="str">
        <f>IFERROR(_xlfn.XLOOKUP($B690,Insumo[DESCRIPCION],Insumo[VALOR],,0),"")</f>
        <v/>
      </c>
      <c r="F690" s="33"/>
      <c r="G690" s="34" t="str">
        <f>IFERROR(IF(F690&gt;=0,D690*E690*(1+F690/100),ABS(D690*E690/F690)),"")</f>
        <v/>
      </c>
      <c r="H690" s="43" t="str">
        <f>IFERROR(G690*E683,"")</f>
        <v/>
      </c>
    </row>
    <row r="691" spans="1:11">
      <c r="A691" s="21"/>
      <c r="B691" s="22" t="s">
        <v>3731</v>
      </c>
      <c r="C691" s="23"/>
      <c r="D691" s="24"/>
      <c r="E691" s="25"/>
      <c r="F691" s="26"/>
      <c r="G691" s="27">
        <f>SUM(G692:G694)</f>
        <v>38923.510927705</v>
      </c>
      <c r="H691" s="44">
        <f>G691*E683</f>
        <v>0</v>
      </c>
    </row>
    <row r="692" spans="1:11">
      <c r="A692" s="28"/>
      <c r="B692" s="29" t="s">
        <v>3579</v>
      </c>
      <c r="C692" s="30" t="str">
        <f>IFERROR(_xlfn.XLOOKUP(B692,Equipo[DESCRIPCION],Equipo[UND],,0),"")</f>
        <v>Día</v>
      </c>
      <c r="D692" s="31">
        <v>1</v>
      </c>
      <c r="E692" s="32">
        <f>IF(C692="%MO",G698,IFERROR(_xlfn.XLOOKUP($B692,Equipo[DESCRIPCION],Equipo[VALOR],,0),""))</f>
        <v>210276.15000000002</v>
      </c>
      <c r="F692" s="33">
        <v>-6</v>
      </c>
      <c r="G692" s="34">
        <f>IFERROR(IF(F692&gt;=0,D692*E692*(1+F692/100),ABS(D692*E692/F692)),"")</f>
        <v>35046.025000000001</v>
      </c>
      <c r="H692" s="43">
        <f>IFERROR(G692*E683,"")</f>
        <v>0</v>
      </c>
    </row>
    <row r="693" spans="1:11">
      <c r="A693" s="28"/>
      <c r="B693" s="29" t="s">
        <v>3570</v>
      </c>
      <c r="C693" s="30" t="str">
        <f>IFERROR(_xlfn.XLOOKUP(B693,Equipo[DESCRIPCION],Equipo[UND],,0),"")</f>
        <v>%MO</v>
      </c>
      <c r="D693" s="31">
        <v>0.04</v>
      </c>
      <c r="E693" s="32">
        <f>IF(C693="%MO",G698,IFERROR(_xlfn.XLOOKUP($B693,Equipo[DESCRIPCION],Equipo[VALOR],,0),""))</f>
        <v>43083.176974500006</v>
      </c>
      <c r="F693" s="33"/>
      <c r="G693" s="34">
        <f>IFERROR(IF(F693&gt;=0,D693*E693*(1+F693/100),ABS(D693*E693/F693)),"")</f>
        <v>1723.3270789800004</v>
      </c>
      <c r="H693" s="43">
        <f>IFERROR(G693*E683,"")</f>
        <v>0</v>
      </c>
    </row>
    <row r="694" spans="1:11">
      <c r="A694" s="28"/>
      <c r="B694" s="29" t="s">
        <v>3626</v>
      </c>
      <c r="C694" s="30" t="str">
        <f>IFERROR(_xlfn.XLOOKUP(B694,Equipo[DESCRIPCION],Equipo[UND],,0),"")</f>
        <v>%MO</v>
      </c>
      <c r="D694" s="31">
        <v>0.05</v>
      </c>
      <c r="E694" s="32">
        <f>IF(C694="%MO",G698,IFERROR(_xlfn.XLOOKUP($B694,Equipo[DESCRIPCION],Equipo[VALOR],,0),""))</f>
        <v>43083.176974500006</v>
      </c>
      <c r="F694" s="33"/>
      <c r="G694" s="34">
        <f>IFERROR(IF(F694&gt;=0,D694*E694*(1+F694/100),ABS(D694*E694/F694)),"")</f>
        <v>2154.1588487250006</v>
      </c>
      <c r="H694" s="43">
        <f>IFERROR(G694*E683,"")</f>
        <v>0</v>
      </c>
    </row>
    <row r="695" spans="1:11">
      <c r="A695" s="21"/>
      <c r="B695" s="22" t="s">
        <v>2533</v>
      </c>
      <c r="C695" s="23"/>
      <c r="D695" s="24"/>
      <c r="E695" s="25"/>
      <c r="F695" s="26"/>
      <c r="G695" s="27">
        <f>SUM(G696:G697)</f>
        <v>0</v>
      </c>
      <c r="H695" s="44">
        <f>G695*E683</f>
        <v>0</v>
      </c>
    </row>
    <row r="696" spans="1:11">
      <c r="A696" s="28"/>
      <c r="B696" s="29"/>
      <c r="C696" s="30" t="str">
        <f>IFERROR(_xlfn.XLOOKUP(B696,Transporte[DESCRIPCION],Transporte[UND],,0),"")</f>
        <v/>
      </c>
      <c r="D696" s="31"/>
      <c r="E696" s="32" t="str">
        <f>IFERROR(_xlfn.XLOOKUP($B696,Transporte[DESCRIPCION],Transporte[VALOR],,0),"")</f>
        <v/>
      </c>
      <c r="F696" s="33"/>
      <c r="G696" s="34" t="str">
        <f>IFERROR(IF(F696&gt;=0,D696*E696*(1+F696/100),ABS(D696*E696/F696)),"")</f>
        <v/>
      </c>
      <c r="H696" s="43" t="str">
        <f>IFERROR(G696*E683,"")</f>
        <v/>
      </c>
    </row>
    <row r="697" spans="1:11">
      <c r="A697" s="28"/>
      <c r="B697" s="29"/>
      <c r="C697" s="30" t="str">
        <f>IFERROR(_xlfn.XLOOKUP(B697,Transporte[DESCRIPCION],Transporte[UND],,0),"")</f>
        <v/>
      </c>
      <c r="D697" s="31"/>
      <c r="E697" s="32" t="str">
        <f>IFERROR(_xlfn.XLOOKUP($B697,Transporte[DESCRIPCION],Transporte[VALOR],,0),"")</f>
        <v/>
      </c>
      <c r="F697" s="33"/>
      <c r="G697" s="34" t="str">
        <f>IFERROR(IF(F697&gt;=0,D697*E697*(1+F697/100),ABS(D697*E697/F697)),"")</f>
        <v/>
      </c>
      <c r="H697" s="43" t="str">
        <f>IFERROR(G697*E683,"")</f>
        <v/>
      </c>
    </row>
    <row r="698" spans="1:11">
      <c r="A698" s="21"/>
      <c r="B698" s="22" t="s">
        <v>3732</v>
      </c>
      <c r="C698" s="23"/>
      <c r="D698" s="24"/>
      <c r="E698" s="25"/>
      <c r="F698" s="26"/>
      <c r="G698" s="27">
        <f>SUM(G699:G701)</f>
        <v>43083.176974500006</v>
      </c>
      <c r="H698" s="44">
        <f>G698*E683</f>
        <v>0</v>
      </c>
    </row>
    <row r="699" spans="1:11">
      <c r="A699" s="28"/>
      <c r="B699" s="29" t="s">
        <v>3711</v>
      </c>
      <c r="C699" s="30" t="str">
        <f>IFERROR(_xlfn.XLOOKUP(B699,MObra[DESCRIPCION],MObra[UN],,0),"")</f>
        <v>día</v>
      </c>
      <c r="D699" s="31">
        <v>1</v>
      </c>
      <c r="E699" s="32">
        <f>IFERROR(_xlfn.XLOOKUP($B699,MObra[DESCRIPCION],MObra[VALOR UNIT],,0),"")</f>
        <v>430831.76974500006</v>
      </c>
      <c r="F699" s="33">
        <v>-10</v>
      </c>
      <c r="G699" s="34">
        <f>IFERROR(IF(F699&gt;=0,D699*E699*(1+F699/100),ABS(D699*E699/F699)),"")</f>
        <v>43083.176974500006</v>
      </c>
      <c r="H699" s="43">
        <f>IFERROR(G699*E683,"")</f>
        <v>0</v>
      </c>
    </row>
    <row r="700" spans="1:11">
      <c r="A700" s="28"/>
      <c r="B700" s="29"/>
      <c r="C700" s="30" t="str">
        <f>IFERROR(_xlfn.XLOOKUP(B700,MObra[DESCRIPCION],MObra[UN],,0),"")</f>
        <v/>
      </c>
      <c r="D700" s="31"/>
      <c r="E700" s="32" t="str">
        <f>IFERROR(_xlfn.XLOOKUP($B700,MObra[DESCRIPCION],MObra[VALOR UNIT],,0),"")</f>
        <v/>
      </c>
      <c r="F700" s="33"/>
      <c r="G700" s="34" t="str">
        <f>IFERROR(IF(F700&gt;=0,D700*E700*(1+F700/100),ABS(D700*E700/F700)),"")</f>
        <v/>
      </c>
      <c r="H700" s="43" t="str">
        <f>IFERROR(G700*E683,"")</f>
        <v/>
      </c>
    </row>
    <row r="701" spans="1:11">
      <c r="A701" s="35"/>
      <c r="B701" s="36"/>
      <c r="C701" s="37" t="str">
        <f>IFERROR(_xlfn.XLOOKUP(B701,MObra[DESCRIPCION],MObra[UN],,0),"")</f>
        <v/>
      </c>
      <c r="D701" s="38"/>
      <c r="E701" s="39" t="str">
        <f>IFERROR(_xlfn.XLOOKUP($B701,MObra[DESCRIPCION],MObra[VALOR UNIT],,0),"")</f>
        <v/>
      </c>
      <c r="F701" s="40"/>
      <c r="G701" s="41" t="str">
        <f>IFERROR(IF(F701&gt;=0,D701*E701*(1+F701/100),ABS(D701*E701/F701)),"")</f>
        <v/>
      </c>
      <c r="H701" s="42" t="str">
        <f>IFERROR(G701*E683,"")</f>
        <v/>
      </c>
    </row>
    <row r="703" spans="1:11">
      <c r="A703" s="6" t="s">
        <v>1794</v>
      </c>
      <c r="B703" s="7" t="str">
        <f>VLOOKUP($A703,Presupuesto!$A:$D,2,FALSE())</f>
        <v>Empradización talud base Ecomatrix o similar</v>
      </c>
      <c r="C703" s="8" t="str">
        <f>VLOOKUP($A703,Presupuesto!$A:$D,3,FALSE())</f>
        <v>M2</v>
      </c>
      <c r="D703" s="9"/>
      <c r="E703" s="10">
        <f>VLOOKUP($A703,Presupuesto!$A:$D,4,FALSE())</f>
        <v>0</v>
      </c>
      <c r="F703" s="11" t="s">
        <v>2589</v>
      </c>
      <c r="G703" s="12">
        <f>SUM(G705:G721)/2</f>
        <v>13419.239080057501</v>
      </c>
      <c r="H703" s="13">
        <f>ROUND(SUM(H705:H721),0)/2</f>
        <v>0</v>
      </c>
      <c r="I703" s="10">
        <f>VLOOKUP(A703,Presupuesto!$A:$F,6,0)</f>
        <v>0</v>
      </c>
      <c r="J703" s="10">
        <f>+H703-I703</f>
        <v>0</v>
      </c>
      <c r="K703" s="46">
        <f>+H703-G703*E703</f>
        <v>0</v>
      </c>
    </row>
    <row r="704" spans="1:11">
      <c r="A704" s="14"/>
      <c r="B704" s="15" t="s">
        <v>2586</v>
      </c>
      <c r="C704" s="15" t="s">
        <v>5</v>
      </c>
      <c r="D704" s="16" t="s">
        <v>6</v>
      </c>
      <c r="E704" s="17" t="s">
        <v>7</v>
      </c>
      <c r="F704" s="18" t="s">
        <v>3728</v>
      </c>
      <c r="G704" s="19" t="s">
        <v>3729</v>
      </c>
      <c r="H704" s="20" t="s">
        <v>3797</v>
      </c>
    </row>
    <row r="705" spans="1:8">
      <c r="A705" s="21"/>
      <c r="B705" s="22" t="s">
        <v>3730</v>
      </c>
      <c r="C705" s="23"/>
      <c r="D705" s="24"/>
      <c r="E705" s="25"/>
      <c r="F705" s="26"/>
      <c r="G705" s="27">
        <f>SUM(G706:G710)</f>
        <v>6438.6</v>
      </c>
      <c r="H705" s="27">
        <f>IFERROR(G705*E703,"")</f>
        <v>0</v>
      </c>
    </row>
    <row r="706" spans="1:8">
      <c r="A706" s="28"/>
      <c r="B706" s="29" t="s">
        <v>2951</v>
      </c>
      <c r="C706" s="30" t="str">
        <f>IFERROR(_xlfn.XLOOKUP(B706,Insumo[DESCRIPCION],Insumo[UND],,0),"")</f>
        <v>M2</v>
      </c>
      <c r="D706" s="31">
        <v>1</v>
      </c>
      <c r="E706" s="32">
        <f>IFERROR(_xlfn.XLOOKUP($B706,Insumo[DESCRIPCION],Insumo[VALOR],,0),"")</f>
        <v>6132</v>
      </c>
      <c r="F706" s="33">
        <v>5</v>
      </c>
      <c r="G706" s="34">
        <f>IFERROR(IF(F706&gt;=0,D706*E706*(1+F706/100),ABS(D706*E706/F706)),"")</f>
        <v>6438.6</v>
      </c>
      <c r="H706" s="43">
        <f>IFERROR(G706*E703,"")</f>
        <v>0</v>
      </c>
    </row>
    <row r="707" spans="1:8">
      <c r="A707" s="28"/>
      <c r="B707" s="29"/>
      <c r="C707" s="30" t="str">
        <f>IFERROR(_xlfn.XLOOKUP(B707,Insumo[DESCRIPCION],Insumo[UND],,0),"")</f>
        <v/>
      </c>
      <c r="D707" s="31"/>
      <c r="E707" s="32" t="str">
        <f>IFERROR(_xlfn.XLOOKUP($B707,Insumo[DESCRIPCION],Insumo[VALOR],,0),"")</f>
        <v/>
      </c>
      <c r="F707" s="33"/>
      <c r="G707" s="34" t="str">
        <f>IFERROR(IF(F707&gt;=0,D707*E707*(1+F707/100),ABS(D707*E707/F707)),"")</f>
        <v/>
      </c>
      <c r="H707" s="43" t="str">
        <f>IFERROR(G707*E703,"")</f>
        <v/>
      </c>
    </row>
    <row r="708" spans="1:8">
      <c r="A708" s="28"/>
      <c r="B708" s="29"/>
      <c r="C708" s="30" t="str">
        <f>IFERROR(_xlfn.XLOOKUP(B708,Insumo[DESCRIPCION],Insumo[UND],,0),"")</f>
        <v/>
      </c>
      <c r="D708" s="31"/>
      <c r="E708" s="32" t="str">
        <f>IFERROR(_xlfn.XLOOKUP($B708,Insumo[DESCRIPCION],Insumo[VALOR],,0),"")</f>
        <v/>
      </c>
      <c r="F708" s="33"/>
      <c r="G708" s="34" t="str">
        <f>IFERROR(IF(F708&gt;=0,D708*E708*(1+F708/100),ABS(D708*E708/F708)),"")</f>
        <v/>
      </c>
      <c r="H708" s="43" t="str">
        <f>IFERROR(G708*E703,"")</f>
        <v/>
      </c>
    </row>
    <row r="709" spans="1:8">
      <c r="A709" s="28"/>
      <c r="B709" s="29"/>
      <c r="C709" s="30" t="str">
        <f>IFERROR(_xlfn.XLOOKUP(B709,Insumo[DESCRIPCION],Insumo[UND],,0),"")</f>
        <v/>
      </c>
      <c r="D709" s="31"/>
      <c r="E709" s="32" t="str">
        <f>IFERROR(_xlfn.XLOOKUP($B709,Insumo[DESCRIPCION],Insumo[VALOR],,0),"")</f>
        <v/>
      </c>
      <c r="F709" s="33"/>
      <c r="G709" s="34" t="str">
        <f>IFERROR(IF(F709&gt;=0,D709*E709*(1+F709/100),ABS(D709*E709/F709)),"")</f>
        <v/>
      </c>
      <c r="H709" s="43" t="str">
        <f>IFERROR(G709*E703,"")</f>
        <v/>
      </c>
    </row>
    <row r="710" spans="1:8">
      <c r="A710" s="28"/>
      <c r="B710" s="29"/>
      <c r="C710" s="30" t="str">
        <f>IFERROR(_xlfn.XLOOKUP(B710,Insumo[DESCRIPCION],Insumo[UND],,0),"")</f>
        <v/>
      </c>
      <c r="D710" s="31"/>
      <c r="E710" s="32" t="str">
        <f>IFERROR(_xlfn.XLOOKUP($B710,Insumo[DESCRIPCION],Insumo[VALOR],,0),"")</f>
        <v/>
      </c>
      <c r="F710" s="33"/>
      <c r="G710" s="34" t="str">
        <f>IFERROR(IF(F710&gt;=0,D710*E710*(1+F710/100),ABS(D710*E710/F710)),"")</f>
        <v/>
      </c>
      <c r="H710" s="43" t="str">
        <f>IFERROR(G710*E703,"")</f>
        <v/>
      </c>
    </row>
    <row r="711" spans="1:8">
      <c r="A711" s="21"/>
      <c r="B711" s="22" t="s">
        <v>3731</v>
      </c>
      <c r="C711" s="23"/>
      <c r="D711" s="24"/>
      <c r="E711" s="25"/>
      <c r="F711" s="26"/>
      <c r="G711" s="27">
        <f>SUM(G712:G714)</f>
        <v>576.3830433075002</v>
      </c>
      <c r="H711" s="44">
        <f>G711*E703</f>
        <v>0</v>
      </c>
    </row>
    <row r="712" spans="1:8">
      <c r="A712" s="28"/>
      <c r="B712" s="29" t="s">
        <v>3570</v>
      </c>
      <c r="C712" s="30" t="str">
        <f>IFERROR(_xlfn.XLOOKUP(B712,Equipo[DESCRIPCION],Equipo[UND],,0),"")</f>
        <v>%MO</v>
      </c>
      <c r="D712" s="31">
        <v>0.04</v>
      </c>
      <c r="E712" s="32">
        <f>IF(C712="%MO",G718,IFERROR(_xlfn.XLOOKUP($B712,Equipo[DESCRIPCION],Equipo[VALOR],,0),""))</f>
        <v>6404.2560367500018</v>
      </c>
      <c r="F712" s="33"/>
      <c r="G712" s="34">
        <f>IFERROR(IF(F712&gt;=0,D712*E712*(1+F712/100),ABS(D712*E712/F712)),"")</f>
        <v>256.17024147000006</v>
      </c>
      <c r="H712" s="43">
        <f>IFERROR(G712*E703,"")</f>
        <v>0</v>
      </c>
    </row>
    <row r="713" spans="1:8">
      <c r="A713" s="28"/>
      <c r="B713" s="29" t="s">
        <v>3626</v>
      </c>
      <c r="C713" s="30" t="str">
        <f>IFERROR(_xlfn.XLOOKUP(B713,Equipo[DESCRIPCION],Equipo[UND],,0),"")</f>
        <v>%MO</v>
      </c>
      <c r="D713" s="31">
        <v>0.05</v>
      </c>
      <c r="E713" s="32">
        <f>IF(C713="%MO",G718,IFERROR(_xlfn.XLOOKUP($B713,Equipo[DESCRIPCION],Equipo[VALOR],,0),""))</f>
        <v>6404.2560367500018</v>
      </c>
      <c r="F713" s="33"/>
      <c r="G713" s="34">
        <f>IFERROR(IF(F713&gt;=0,D713*E713*(1+F713/100),ABS(D713*E713/F713)),"")</f>
        <v>320.21280183750014</v>
      </c>
      <c r="H713" s="43">
        <f>IFERROR(G713*E703,"")</f>
        <v>0</v>
      </c>
    </row>
    <row r="714" spans="1:8">
      <c r="A714" s="28"/>
      <c r="B714" s="29"/>
      <c r="C714" s="30" t="str">
        <f>IFERROR(_xlfn.XLOOKUP(B714,Equipo[DESCRIPCION],Equipo[UND],,0),"")</f>
        <v/>
      </c>
      <c r="D714" s="31"/>
      <c r="E714" s="32" t="str">
        <f>IF(C714="%MO",G718,IFERROR(_xlfn.XLOOKUP($B714,Equipo[DESCRIPCION],Equipo[VALOR],,0),""))</f>
        <v/>
      </c>
      <c r="F714" s="33"/>
      <c r="G714" s="34" t="str">
        <f>IFERROR(IF(F714&gt;=0,D714*E714*(1+F714/100),ABS(D714*E714/F714)),"")</f>
        <v/>
      </c>
      <c r="H714" s="43" t="str">
        <f>IFERROR(G714*E703,"")</f>
        <v/>
      </c>
    </row>
    <row r="715" spans="1:8">
      <c r="A715" s="21"/>
      <c r="B715" s="22" t="s">
        <v>2533</v>
      </c>
      <c r="C715" s="23"/>
      <c r="D715" s="24"/>
      <c r="E715" s="25"/>
      <c r="F715" s="26"/>
      <c r="G715" s="27">
        <f>SUM(G716:G717)</f>
        <v>0</v>
      </c>
      <c r="H715" s="44">
        <f>G715*E703</f>
        <v>0</v>
      </c>
    </row>
    <row r="716" spans="1:8">
      <c r="A716" s="28"/>
      <c r="B716" s="29"/>
      <c r="C716" s="30" t="str">
        <f>IFERROR(_xlfn.XLOOKUP(B716,Transporte[DESCRIPCION],Transporte[UND],,0),"")</f>
        <v/>
      </c>
      <c r="D716" s="31"/>
      <c r="E716" s="32" t="str">
        <f>IFERROR(_xlfn.XLOOKUP($B716,Transporte[DESCRIPCION],Transporte[VALOR],,0),"")</f>
        <v/>
      </c>
      <c r="F716" s="33"/>
      <c r="G716" s="34" t="str">
        <f>IFERROR(IF(F716&gt;=0,D716*E716*(1+F716/100),ABS(D716*E716/F716)),"")</f>
        <v/>
      </c>
      <c r="H716" s="43" t="str">
        <f>IFERROR(G716*E703,"")</f>
        <v/>
      </c>
    </row>
    <row r="717" spans="1:8">
      <c r="A717" s="28"/>
      <c r="B717" s="29"/>
      <c r="C717" s="30" t="str">
        <f>IFERROR(_xlfn.XLOOKUP(B717,Transporte[DESCRIPCION],Transporte[UND],,0),"")</f>
        <v/>
      </c>
      <c r="D717" s="31"/>
      <c r="E717" s="32" t="str">
        <f>IFERROR(_xlfn.XLOOKUP($B717,Transporte[DESCRIPCION],Transporte[VALOR],,0),"")</f>
        <v/>
      </c>
      <c r="F717" s="33"/>
      <c r="G717" s="34" t="str">
        <f>IFERROR(IF(F717&gt;=0,D717*E717*(1+F717/100),ABS(D717*E717/F717)),"")</f>
        <v/>
      </c>
      <c r="H717" s="43" t="str">
        <f>IFERROR(G717*E703,"")</f>
        <v/>
      </c>
    </row>
    <row r="718" spans="1:8">
      <c r="A718" s="21"/>
      <c r="B718" s="22" t="s">
        <v>3732</v>
      </c>
      <c r="C718" s="23"/>
      <c r="D718" s="24"/>
      <c r="E718" s="25"/>
      <c r="F718" s="26"/>
      <c r="G718" s="27">
        <f>SUM(G719:G721)</f>
        <v>6404.2560367500018</v>
      </c>
      <c r="H718" s="44">
        <f>G718*E703</f>
        <v>0</v>
      </c>
    </row>
    <row r="719" spans="1:8">
      <c r="A719" s="28"/>
      <c r="B719" s="29" t="s">
        <v>3701</v>
      </c>
      <c r="C719" s="30" t="str">
        <f>IFERROR(_xlfn.XLOOKUP(B719,MObra[DESCRIPCION],MObra[UN],,0),"")</f>
        <v>día</v>
      </c>
      <c r="D719" s="31">
        <v>1</v>
      </c>
      <c r="E719" s="32">
        <f>IFERROR(_xlfn.XLOOKUP($B719,MObra[DESCRIPCION],MObra[VALOR UNIT],,0),"")</f>
        <v>128085.12073500003</v>
      </c>
      <c r="F719" s="33">
        <v>-20</v>
      </c>
      <c r="G719" s="34">
        <f>IFERROR(IF(F719&gt;=0,D719*E719*(1+F719/100),ABS(D719*E719/F719)),"")</f>
        <v>6404.2560367500018</v>
      </c>
      <c r="H719" s="43">
        <f>IFERROR(G719*E703,"")</f>
        <v>0</v>
      </c>
    </row>
    <row r="720" spans="1:8">
      <c r="A720" s="28"/>
      <c r="B720" s="29"/>
      <c r="C720" s="30" t="str">
        <f>IFERROR(_xlfn.XLOOKUP(B720,MObra[DESCRIPCION],MObra[UN],,0),"")</f>
        <v/>
      </c>
      <c r="D720" s="31"/>
      <c r="E720" s="32" t="str">
        <f>IFERROR(_xlfn.XLOOKUP($B720,MObra[DESCRIPCION],MObra[VALOR UNIT],,0),"")</f>
        <v/>
      </c>
      <c r="F720" s="33"/>
      <c r="G720" s="34" t="str">
        <f>IFERROR(IF(F720&gt;=0,D720*E720*(1+F720/100),ABS(D720*E720/F720)),"")</f>
        <v/>
      </c>
      <c r="H720" s="43" t="str">
        <f>IFERROR(G720*E703,"")</f>
        <v/>
      </c>
    </row>
    <row r="721" spans="1:11">
      <c r="A721" s="35"/>
      <c r="B721" s="36"/>
      <c r="C721" s="37" t="str">
        <f>IFERROR(_xlfn.XLOOKUP(B721,MObra[DESCRIPCION],MObra[UN],,0),"")</f>
        <v/>
      </c>
      <c r="D721" s="38"/>
      <c r="E721" s="39" t="str">
        <f>IFERROR(_xlfn.XLOOKUP($B721,MObra[DESCRIPCION],MObra[VALOR UNIT],,0),"")</f>
        <v/>
      </c>
      <c r="F721" s="40"/>
      <c r="G721" s="41" t="str">
        <f>IFERROR(IF(F721&gt;=0,D721*E721*(1+F721/100),ABS(D721*E721/F721)),"")</f>
        <v/>
      </c>
      <c r="H721" s="42" t="str">
        <f>IFERROR(G721*E703,"")</f>
        <v/>
      </c>
    </row>
    <row r="723" spans="1:11">
      <c r="A723" s="6" t="s">
        <v>1796</v>
      </c>
      <c r="B723" s="7" t="str">
        <f>VLOOKUP($A723,Presupuesto!$A:$D,2,FALSE())</f>
        <v>Empradización talud pasto</v>
      </c>
      <c r="C723" s="8" t="str">
        <f>VLOOKUP($A723,Presupuesto!$A:$D,3,FALSE())</f>
        <v>M2</v>
      </c>
      <c r="D723" s="9"/>
      <c r="E723" s="10">
        <f>VLOOKUP($A723,Presupuesto!$A:$D,4,FALSE())</f>
        <v>0</v>
      </c>
      <c r="F723" s="11" t="s">
        <v>2589</v>
      </c>
      <c r="G723" s="12">
        <f>SUM(G725:G741)/2</f>
        <v>19523.262773410002</v>
      </c>
      <c r="H723" s="13">
        <f>ROUND(SUM(H725:H741),0)/2</f>
        <v>0</v>
      </c>
      <c r="I723" s="10">
        <f>VLOOKUP(A723,Presupuesto!$A:$F,6,0)</f>
        <v>0</v>
      </c>
      <c r="J723" s="10">
        <f>+H723-I723</f>
        <v>0</v>
      </c>
      <c r="K723" s="46">
        <f>+H723-G723*E723</f>
        <v>0</v>
      </c>
    </row>
    <row r="724" spans="1:11">
      <c r="A724" s="14"/>
      <c r="B724" s="15" t="s">
        <v>2586</v>
      </c>
      <c r="C724" s="15" t="s">
        <v>5</v>
      </c>
      <c r="D724" s="16" t="s">
        <v>6</v>
      </c>
      <c r="E724" s="17" t="s">
        <v>7</v>
      </c>
      <c r="F724" s="18" t="s">
        <v>3728</v>
      </c>
      <c r="G724" s="19" t="s">
        <v>3729</v>
      </c>
      <c r="H724" s="20" t="s">
        <v>3797</v>
      </c>
    </row>
    <row r="725" spans="1:11">
      <c r="A725" s="21"/>
      <c r="B725" s="22" t="s">
        <v>3730</v>
      </c>
      <c r="C725" s="23"/>
      <c r="D725" s="24"/>
      <c r="E725" s="25"/>
      <c r="F725" s="26"/>
      <c r="G725" s="27">
        <f>SUM(G726:G730)</f>
        <v>10215.744000000001</v>
      </c>
      <c r="H725" s="27">
        <f>IFERROR(G725*E723,"")</f>
        <v>0</v>
      </c>
    </row>
    <row r="726" spans="1:11">
      <c r="A726" s="28"/>
      <c r="B726" s="29" t="s">
        <v>3191</v>
      </c>
      <c r="C726" s="30" t="str">
        <f>IFERROR(_xlfn.XLOOKUP(B726,Insumo[DESCRIPCION],Insumo[UND],,0),"")</f>
        <v>M2</v>
      </c>
      <c r="D726" s="31">
        <v>1</v>
      </c>
      <c r="E726" s="32">
        <f>IFERROR(_xlfn.XLOOKUP($B726,Insumo[DESCRIPCION],Insumo[VALOR],,0),"")</f>
        <v>6819.75</v>
      </c>
      <c r="F726" s="33"/>
      <c r="G726" s="34">
        <f>IFERROR(IF(F726&gt;=0,D726*E726*(1+F726/100),ABS(D726*E726/F726)),"")</f>
        <v>6819.75</v>
      </c>
      <c r="H726" s="43">
        <f>IFERROR(G726*E723,"")</f>
        <v>0</v>
      </c>
    </row>
    <row r="727" spans="1:11">
      <c r="A727" s="28"/>
      <c r="B727" s="29" t="s">
        <v>3395</v>
      </c>
      <c r="C727" s="30" t="str">
        <f>IFERROR(_xlfn.XLOOKUP(B727,Insumo[DESCRIPCION],Insumo[UND],,0),"")</f>
        <v>M3</v>
      </c>
      <c r="D727" s="31">
        <v>0.06</v>
      </c>
      <c r="E727" s="32">
        <f>IFERROR(_xlfn.XLOOKUP($B727,Insumo[DESCRIPCION],Insumo[VALOR],,0),"")</f>
        <v>47499.9</v>
      </c>
      <c r="F727" s="33"/>
      <c r="G727" s="34">
        <f>IFERROR(IF(F727&gt;=0,D727*E727*(1+F727/100),ABS(D727*E727/F727)),"")</f>
        <v>2849.9940000000001</v>
      </c>
      <c r="H727" s="43">
        <f>IFERROR(G727*E723,"")</f>
        <v>0</v>
      </c>
    </row>
    <row r="728" spans="1:11">
      <c r="A728" s="28"/>
      <c r="B728" s="29" t="s">
        <v>2685</v>
      </c>
      <c r="C728" s="30" t="str">
        <f>IFERROR(_xlfn.XLOOKUP(B728,Insumo[DESCRIPCION],Insumo[UND],,0),"")</f>
        <v>Lt</v>
      </c>
      <c r="D728" s="31">
        <v>20</v>
      </c>
      <c r="E728" s="32">
        <f>IFERROR(_xlfn.XLOOKUP($B728,Insumo[DESCRIPCION],Insumo[VALOR],,0),"")</f>
        <v>27.3</v>
      </c>
      <c r="F728" s="33"/>
      <c r="G728" s="34">
        <f>IFERROR(IF(F728&gt;=0,D728*E728*(1+F728/100),ABS(D728*E728/F728)),"")</f>
        <v>546</v>
      </c>
      <c r="H728" s="43">
        <f>IFERROR(G728*E723,"")</f>
        <v>0</v>
      </c>
    </row>
    <row r="729" spans="1:11">
      <c r="A729" s="28"/>
      <c r="B729" s="29"/>
      <c r="C729" s="30" t="str">
        <f>IFERROR(_xlfn.XLOOKUP(B729,Insumo[DESCRIPCION],Insumo[UND],,0),"")</f>
        <v/>
      </c>
      <c r="D729" s="31"/>
      <c r="E729" s="32" t="str">
        <f>IFERROR(_xlfn.XLOOKUP($B729,Insumo[DESCRIPCION],Insumo[VALOR],,0),"")</f>
        <v/>
      </c>
      <c r="F729" s="33"/>
      <c r="G729" s="34" t="str">
        <f>IFERROR(IF(F729&gt;=0,D729*E729*(1+F729/100),ABS(D729*E729/F729)),"")</f>
        <v/>
      </c>
      <c r="H729" s="43" t="str">
        <f>IFERROR(G729*E723,"")</f>
        <v/>
      </c>
    </row>
    <row r="730" spans="1:11">
      <c r="A730" s="28"/>
      <c r="B730" s="29"/>
      <c r="C730" s="30" t="str">
        <f>IFERROR(_xlfn.XLOOKUP(B730,Insumo[DESCRIPCION],Insumo[UND],,0),"")</f>
        <v/>
      </c>
      <c r="D730" s="31"/>
      <c r="E730" s="32" t="str">
        <f>IFERROR(_xlfn.XLOOKUP($B730,Insumo[DESCRIPCION],Insumo[VALOR],,0),"")</f>
        <v/>
      </c>
      <c r="F730" s="33"/>
      <c r="G730" s="34" t="str">
        <f>IFERROR(IF(F730&gt;=0,D730*E730*(1+F730/100),ABS(D730*E730/F730)),"")</f>
        <v/>
      </c>
      <c r="H730" s="43" t="str">
        <f>IFERROR(G730*E723,"")</f>
        <v/>
      </c>
    </row>
    <row r="731" spans="1:11">
      <c r="A731" s="21"/>
      <c r="B731" s="22" t="s">
        <v>3731</v>
      </c>
      <c r="C731" s="23"/>
      <c r="D731" s="24"/>
      <c r="E731" s="25"/>
      <c r="F731" s="26"/>
      <c r="G731" s="27">
        <f>SUM(G732:G734)</f>
        <v>768.51072441000019</v>
      </c>
      <c r="H731" s="44">
        <f>G731*E723</f>
        <v>0</v>
      </c>
    </row>
    <row r="732" spans="1:11">
      <c r="A732" s="28"/>
      <c r="B732" s="29" t="s">
        <v>3570</v>
      </c>
      <c r="C732" s="30" t="str">
        <f>IFERROR(_xlfn.XLOOKUP(B732,Equipo[DESCRIPCION],Equipo[UND],,0),"")</f>
        <v>%MO</v>
      </c>
      <c r="D732" s="31">
        <v>0.04</v>
      </c>
      <c r="E732" s="32">
        <f>IF(C732="%MO",G738,IFERROR(_xlfn.XLOOKUP($B732,Equipo[DESCRIPCION],Equipo[VALOR],,0),""))</f>
        <v>8539.0080490000018</v>
      </c>
      <c r="F732" s="33"/>
      <c r="G732" s="34">
        <f>IFERROR(IF(F732&gt;=0,D732*E732*(1+F732/100),ABS(D732*E732/F732)),"")</f>
        <v>341.56032196000007</v>
      </c>
      <c r="H732" s="43">
        <f>IFERROR(G732*E723,"")</f>
        <v>0</v>
      </c>
    </row>
    <row r="733" spans="1:11">
      <c r="A733" s="28"/>
      <c r="B733" s="29" t="s">
        <v>3626</v>
      </c>
      <c r="C733" s="30" t="str">
        <f>IFERROR(_xlfn.XLOOKUP(B733,Equipo[DESCRIPCION],Equipo[UND],,0),"")</f>
        <v>%MO</v>
      </c>
      <c r="D733" s="31">
        <v>0.05</v>
      </c>
      <c r="E733" s="32">
        <f>IF(C733="%MO",G738,IFERROR(_xlfn.XLOOKUP($B733,Equipo[DESCRIPCION],Equipo[VALOR],,0),""))</f>
        <v>8539.0080490000018</v>
      </c>
      <c r="F733" s="33"/>
      <c r="G733" s="34">
        <f>IFERROR(IF(F733&gt;=0,D733*E733*(1+F733/100),ABS(D733*E733/F733)),"")</f>
        <v>426.95040245000013</v>
      </c>
      <c r="H733" s="43">
        <f>IFERROR(G733*E723,"")</f>
        <v>0</v>
      </c>
    </row>
    <row r="734" spans="1:11">
      <c r="A734" s="28"/>
      <c r="B734" s="29"/>
      <c r="C734" s="30" t="str">
        <f>IFERROR(_xlfn.XLOOKUP(B734,Equipo[DESCRIPCION],Equipo[UND],,0),"")</f>
        <v/>
      </c>
      <c r="D734" s="31"/>
      <c r="E734" s="32" t="str">
        <f>IF(C734="%MO",G738,IFERROR(_xlfn.XLOOKUP($B734,Equipo[DESCRIPCION],Equipo[VALOR],,0),""))</f>
        <v/>
      </c>
      <c r="F734" s="33"/>
      <c r="G734" s="34" t="str">
        <f>IFERROR(IF(F734&gt;=0,D734*E734*(1+F734/100),ABS(D734*E734/F734)),"")</f>
        <v/>
      </c>
      <c r="H734" s="43" t="str">
        <f>IFERROR(G734*E723,"")</f>
        <v/>
      </c>
    </row>
    <row r="735" spans="1:11">
      <c r="A735" s="21"/>
      <c r="B735" s="22" t="s">
        <v>2533</v>
      </c>
      <c r="C735" s="23"/>
      <c r="D735" s="24"/>
      <c r="E735" s="25"/>
      <c r="F735" s="26"/>
      <c r="G735" s="27">
        <f>SUM(G736:G737)</f>
        <v>0</v>
      </c>
      <c r="H735" s="44">
        <f>G735*E723</f>
        <v>0</v>
      </c>
    </row>
    <row r="736" spans="1:11">
      <c r="A736" s="28"/>
      <c r="B736" s="29"/>
      <c r="C736" s="30" t="str">
        <f>IFERROR(_xlfn.XLOOKUP(B736,Transporte[DESCRIPCION],Transporte[UND],,0),"")</f>
        <v/>
      </c>
      <c r="D736" s="31"/>
      <c r="E736" s="32" t="str">
        <f>IFERROR(_xlfn.XLOOKUP($B736,Transporte[DESCRIPCION],Transporte[VALOR],,0),"")</f>
        <v/>
      </c>
      <c r="F736" s="33"/>
      <c r="G736" s="34" t="str">
        <f>IFERROR(IF(F736&gt;=0,D736*E736*(1+F736/100),ABS(D736*E736/F736)),"")</f>
        <v/>
      </c>
      <c r="H736" s="43" t="str">
        <f>IFERROR(G736*E723,"")</f>
        <v/>
      </c>
    </row>
    <row r="737" spans="1:11">
      <c r="A737" s="28"/>
      <c r="B737" s="29"/>
      <c r="C737" s="30" t="str">
        <f>IFERROR(_xlfn.XLOOKUP(B737,Transporte[DESCRIPCION],Transporte[UND],,0),"")</f>
        <v/>
      </c>
      <c r="D737" s="31"/>
      <c r="E737" s="32" t="str">
        <f>IFERROR(_xlfn.XLOOKUP($B737,Transporte[DESCRIPCION],Transporte[VALOR],,0),"")</f>
        <v/>
      </c>
      <c r="F737" s="33"/>
      <c r="G737" s="34" t="str">
        <f>IFERROR(IF(F737&gt;=0,D737*E737*(1+F737/100),ABS(D737*E737/F737)),"")</f>
        <v/>
      </c>
      <c r="H737" s="43" t="str">
        <f>IFERROR(G737*E723,"")</f>
        <v/>
      </c>
    </row>
    <row r="738" spans="1:11">
      <c r="A738" s="21"/>
      <c r="B738" s="22" t="s">
        <v>3732</v>
      </c>
      <c r="C738" s="23"/>
      <c r="D738" s="24"/>
      <c r="E738" s="25"/>
      <c r="F738" s="26"/>
      <c r="G738" s="27">
        <f>SUM(G739:G741)</f>
        <v>8539.0080490000018</v>
      </c>
      <c r="H738" s="44">
        <f>G738*E723</f>
        <v>0</v>
      </c>
    </row>
    <row r="739" spans="1:11">
      <c r="A739" s="28"/>
      <c r="B739" s="29" t="s">
        <v>3701</v>
      </c>
      <c r="C739" s="30" t="str">
        <f>IFERROR(_xlfn.XLOOKUP(B739,MObra[DESCRIPCION],MObra[UN],,0),"")</f>
        <v>día</v>
      </c>
      <c r="D739" s="31">
        <v>1</v>
      </c>
      <c r="E739" s="32">
        <f>IFERROR(_xlfn.XLOOKUP($B739,MObra[DESCRIPCION],MObra[VALOR UNIT],,0),"")</f>
        <v>128085.12073500003</v>
      </c>
      <c r="F739" s="33">
        <v>-15</v>
      </c>
      <c r="G739" s="34">
        <f>IFERROR(IF(F739&gt;=0,D739*E739*(1+F739/100),ABS(D739*E739/F739)),"")</f>
        <v>8539.0080490000018</v>
      </c>
      <c r="H739" s="43">
        <f>IFERROR(G739*E723,"")</f>
        <v>0</v>
      </c>
    </row>
    <row r="740" spans="1:11">
      <c r="A740" s="28"/>
      <c r="B740" s="29"/>
      <c r="C740" s="30" t="str">
        <f>IFERROR(_xlfn.XLOOKUP(B740,MObra[DESCRIPCION],MObra[UN],,0),"")</f>
        <v/>
      </c>
      <c r="D740" s="31"/>
      <c r="E740" s="32" t="str">
        <f>IFERROR(_xlfn.XLOOKUP($B740,MObra[DESCRIPCION],MObra[VALOR UNIT],,0),"")</f>
        <v/>
      </c>
      <c r="F740" s="33"/>
      <c r="G740" s="34" t="str">
        <f>IFERROR(IF(F740&gt;=0,D740*E740*(1+F740/100),ABS(D740*E740/F740)),"")</f>
        <v/>
      </c>
      <c r="H740" s="43" t="str">
        <f>IFERROR(G740*E723,"")</f>
        <v/>
      </c>
    </row>
    <row r="741" spans="1:11">
      <c r="A741" s="35"/>
      <c r="B741" s="36"/>
      <c r="C741" s="37" t="str">
        <f>IFERROR(_xlfn.XLOOKUP(B741,MObra[DESCRIPCION],MObra[UN],,0),"")</f>
        <v/>
      </c>
      <c r="D741" s="38"/>
      <c r="E741" s="39" t="str">
        <f>IFERROR(_xlfn.XLOOKUP($B741,MObra[DESCRIPCION],MObra[VALOR UNIT],,0),"")</f>
        <v/>
      </c>
      <c r="F741" s="40"/>
      <c r="G741" s="41" t="str">
        <f>IFERROR(IF(F741&gt;=0,D741*E741*(1+F741/100),ABS(D741*E741/F741)),"")</f>
        <v/>
      </c>
      <c r="H741" s="42" t="str">
        <f>IFERROR(G741*E723,"")</f>
        <v/>
      </c>
    </row>
    <row r="743" spans="1:11">
      <c r="A743" s="6" t="s">
        <v>1798</v>
      </c>
      <c r="B743" s="7" t="str">
        <f>VLOOKUP($A743,Presupuesto!$A:$D,2,FALSE())</f>
        <v>Excavación configuración talud conglomerado manual</v>
      </c>
      <c r="C743" s="8" t="str">
        <f>VLOOKUP($A743,Presupuesto!$A:$D,3,FALSE())</f>
        <v>M3</v>
      </c>
      <c r="D743" s="9"/>
      <c r="E743" s="10">
        <f>VLOOKUP($A743,Presupuesto!$A:$D,4,FALSE())</f>
        <v>0</v>
      </c>
      <c r="F743" s="11" t="s">
        <v>2589</v>
      </c>
      <c r="G743" s="12">
        <f>SUM(G745:G761)/2</f>
        <v>63460.35527325001</v>
      </c>
      <c r="H743" s="13">
        <f>ROUND(SUM(H745:H761),0)/2</f>
        <v>0</v>
      </c>
      <c r="I743" s="10">
        <f>VLOOKUP(A743,Presupuesto!$A:$F,6,0)</f>
        <v>0</v>
      </c>
      <c r="J743" s="10">
        <f>+H743-I743</f>
        <v>0</v>
      </c>
      <c r="K743" s="46">
        <f>+H743-G743*E743</f>
        <v>0</v>
      </c>
    </row>
    <row r="744" spans="1:11">
      <c r="A744" s="14"/>
      <c r="B744" s="15" t="s">
        <v>2586</v>
      </c>
      <c r="C744" s="15" t="s">
        <v>5</v>
      </c>
      <c r="D744" s="16" t="s">
        <v>6</v>
      </c>
      <c r="E744" s="17" t="s">
        <v>7</v>
      </c>
      <c r="F744" s="18" t="s">
        <v>3728</v>
      </c>
      <c r="G744" s="19" t="s">
        <v>3729</v>
      </c>
      <c r="H744" s="20" t="s">
        <v>3797</v>
      </c>
    </row>
    <row r="745" spans="1:11">
      <c r="A745" s="21"/>
      <c r="B745" s="22" t="s">
        <v>3730</v>
      </c>
      <c r="C745" s="23"/>
      <c r="D745" s="24"/>
      <c r="E745" s="25"/>
      <c r="F745" s="26"/>
      <c r="G745" s="27">
        <f>SUM(G746:G750)</f>
        <v>0</v>
      </c>
      <c r="H745" s="27">
        <f>IFERROR(G745*E743,"")</f>
        <v>0</v>
      </c>
    </row>
    <row r="746" spans="1:11">
      <c r="A746" s="28"/>
      <c r="B746" s="29"/>
      <c r="C746" s="30" t="str">
        <f>IFERROR(_xlfn.XLOOKUP(B746,Insumo[DESCRIPCION],Insumo[UND],,0),"")</f>
        <v/>
      </c>
      <c r="D746" s="31"/>
      <c r="E746" s="32" t="str">
        <f>IFERROR(_xlfn.XLOOKUP($B746,Insumo[DESCRIPCION],Insumo[VALOR],,0),"")</f>
        <v/>
      </c>
      <c r="F746" s="33"/>
      <c r="G746" s="34" t="str">
        <f>IFERROR(IF(F746&gt;=0,D746*E746*(1+F746/100),ABS(D746*E746/F746)),"")</f>
        <v/>
      </c>
      <c r="H746" s="43" t="str">
        <f>IFERROR(G746*E743,"")</f>
        <v/>
      </c>
    </row>
    <row r="747" spans="1:11">
      <c r="A747" s="28"/>
      <c r="B747" s="29"/>
      <c r="C747" s="30" t="str">
        <f>IFERROR(_xlfn.XLOOKUP(B747,Insumo[DESCRIPCION],Insumo[UND],,0),"")</f>
        <v/>
      </c>
      <c r="D747" s="31"/>
      <c r="E747" s="32" t="str">
        <f>IFERROR(_xlfn.XLOOKUP($B747,Insumo[DESCRIPCION],Insumo[VALOR],,0),"")</f>
        <v/>
      </c>
      <c r="F747" s="33"/>
      <c r="G747" s="34" t="str">
        <f>IFERROR(IF(F747&gt;=0,D747*E747*(1+F747/100),ABS(D747*E747/F747)),"")</f>
        <v/>
      </c>
      <c r="H747" s="43" t="str">
        <f>IFERROR(G747*E743,"")</f>
        <v/>
      </c>
    </row>
    <row r="748" spans="1:11">
      <c r="A748" s="28"/>
      <c r="B748" s="29"/>
      <c r="C748" s="30" t="str">
        <f>IFERROR(_xlfn.XLOOKUP(B748,Insumo[DESCRIPCION],Insumo[UND],,0),"")</f>
        <v/>
      </c>
      <c r="D748" s="31"/>
      <c r="E748" s="32" t="str">
        <f>IFERROR(_xlfn.XLOOKUP($B748,Insumo[DESCRIPCION],Insumo[VALOR],,0),"")</f>
        <v/>
      </c>
      <c r="F748" s="33"/>
      <c r="G748" s="34" t="str">
        <f>IFERROR(IF(F748&gt;=0,D748*E748*(1+F748/100),ABS(D748*E748/F748)),"")</f>
        <v/>
      </c>
      <c r="H748" s="43" t="str">
        <f>IFERROR(G748*E743,"")</f>
        <v/>
      </c>
    </row>
    <row r="749" spans="1:11">
      <c r="A749" s="28"/>
      <c r="B749" s="29"/>
      <c r="C749" s="30" t="str">
        <f>IFERROR(_xlfn.XLOOKUP(B749,Insumo[DESCRIPCION],Insumo[UND],,0),"")</f>
        <v/>
      </c>
      <c r="D749" s="31"/>
      <c r="E749" s="32" t="str">
        <f>IFERROR(_xlfn.XLOOKUP($B749,Insumo[DESCRIPCION],Insumo[VALOR],,0),"")</f>
        <v/>
      </c>
      <c r="F749" s="33"/>
      <c r="G749" s="34" t="str">
        <f>IFERROR(IF(F749&gt;=0,D749*E749*(1+F749/100),ABS(D749*E749/F749)),"")</f>
        <v/>
      </c>
      <c r="H749" s="43" t="str">
        <f>IFERROR(G749*E743,"")</f>
        <v/>
      </c>
    </row>
    <row r="750" spans="1:11">
      <c r="A750" s="28"/>
      <c r="B750" s="29"/>
      <c r="C750" s="30" t="str">
        <f>IFERROR(_xlfn.XLOOKUP(B750,Insumo[DESCRIPCION],Insumo[UND],,0),"")</f>
        <v/>
      </c>
      <c r="D750" s="31"/>
      <c r="E750" s="32" t="str">
        <f>IFERROR(_xlfn.XLOOKUP($B750,Insumo[DESCRIPCION],Insumo[VALOR],,0),"")</f>
        <v/>
      </c>
      <c r="F750" s="33"/>
      <c r="G750" s="34" t="str">
        <f>IFERROR(IF(F750&gt;=0,D750*E750*(1+F750/100),ABS(D750*E750/F750)),"")</f>
        <v/>
      </c>
      <c r="H750" s="43" t="str">
        <f>IFERROR(G750*E743,"")</f>
        <v/>
      </c>
    </row>
    <row r="751" spans="1:11">
      <c r="A751" s="21"/>
      <c r="B751" s="22" t="s">
        <v>3731</v>
      </c>
      <c r="C751" s="23"/>
      <c r="D751" s="24"/>
      <c r="E751" s="25"/>
      <c r="F751" s="26"/>
      <c r="G751" s="27">
        <f>SUM(G752:G754)</f>
        <v>5239.8458482500009</v>
      </c>
      <c r="H751" s="44">
        <f>G751*E743</f>
        <v>0</v>
      </c>
    </row>
    <row r="752" spans="1:11">
      <c r="A752" s="28"/>
      <c r="B752" s="29" t="s">
        <v>3570</v>
      </c>
      <c r="C752" s="30" t="str">
        <f>IFERROR(_xlfn.XLOOKUP(B752,Equipo[DESCRIPCION],Equipo[UND],,0),"")</f>
        <v>%MO</v>
      </c>
      <c r="D752" s="31">
        <v>0.04</v>
      </c>
      <c r="E752" s="32">
        <f>IF(C752="%MO",G758,IFERROR(_xlfn.XLOOKUP($B752,Equipo[DESCRIPCION],Equipo[VALOR],,0),""))</f>
        <v>58220.509425000011</v>
      </c>
      <c r="F752" s="33"/>
      <c r="G752" s="34">
        <f>IFERROR(IF(F752&gt;=0,D752*E752*(1+F752/100),ABS(D752*E752/F752)),"")</f>
        <v>2328.8203770000005</v>
      </c>
      <c r="H752" s="43">
        <f>IFERROR(G752*E743,"")</f>
        <v>0</v>
      </c>
    </row>
    <row r="753" spans="1:11">
      <c r="A753" s="28"/>
      <c r="B753" s="29" t="s">
        <v>3626</v>
      </c>
      <c r="C753" s="30" t="str">
        <f>IFERROR(_xlfn.XLOOKUP(B753,Equipo[DESCRIPCION],Equipo[UND],,0),"")</f>
        <v>%MO</v>
      </c>
      <c r="D753" s="31">
        <v>0.05</v>
      </c>
      <c r="E753" s="32">
        <f>IF(C753="%MO",G758,IFERROR(_xlfn.XLOOKUP($B753,Equipo[DESCRIPCION],Equipo[VALOR],,0),""))</f>
        <v>58220.509425000011</v>
      </c>
      <c r="F753" s="33"/>
      <c r="G753" s="34">
        <f>IFERROR(IF(F753&gt;=0,D753*E753*(1+F753/100),ABS(D753*E753/F753)),"")</f>
        <v>2911.0254712500009</v>
      </c>
      <c r="H753" s="43">
        <f>IFERROR(G753*E743,"")</f>
        <v>0</v>
      </c>
    </row>
    <row r="754" spans="1:11">
      <c r="A754" s="28"/>
      <c r="B754" s="29"/>
      <c r="C754" s="30" t="str">
        <f>IFERROR(_xlfn.XLOOKUP(B754,Equipo[DESCRIPCION],Equipo[UND],,0),"")</f>
        <v/>
      </c>
      <c r="D754" s="31"/>
      <c r="E754" s="32" t="str">
        <f>IF(C754="%MO",G758,IFERROR(_xlfn.XLOOKUP($B754,Equipo[DESCRIPCION],Equipo[VALOR],,0),""))</f>
        <v/>
      </c>
      <c r="F754" s="33"/>
      <c r="G754" s="34" t="str">
        <f>IFERROR(IF(F754&gt;=0,D754*E754*(1+F754/100),ABS(D754*E754/F754)),"")</f>
        <v/>
      </c>
      <c r="H754" s="43" t="str">
        <f>IFERROR(G754*E743,"")</f>
        <v/>
      </c>
    </row>
    <row r="755" spans="1:11">
      <c r="A755" s="21"/>
      <c r="B755" s="22" t="s">
        <v>2533</v>
      </c>
      <c r="C755" s="23"/>
      <c r="D755" s="24"/>
      <c r="E755" s="25"/>
      <c r="F755" s="26"/>
      <c r="G755" s="27">
        <f>SUM(G756:G757)</f>
        <v>0</v>
      </c>
      <c r="H755" s="44">
        <f>G755*E743</f>
        <v>0</v>
      </c>
    </row>
    <row r="756" spans="1:11">
      <c r="A756" s="28"/>
      <c r="B756" s="29"/>
      <c r="C756" s="30" t="str">
        <f>IFERROR(_xlfn.XLOOKUP(B756,Transporte[DESCRIPCION],Transporte[UND],,0),"")</f>
        <v/>
      </c>
      <c r="D756" s="31"/>
      <c r="E756" s="32" t="str">
        <f>IFERROR(_xlfn.XLOOKUP($B756,Transporte[DESCRIPCION],Transporte[VALOR],,0),"")</f>
        <v/>
      </c>
      <c r="F756" s="33"/>
      <c r="G756" s="34" t="str">
        <f>IFERROR(IF(F756&gt;=0,D756*E756*(1+F756/100),ABS(D756*E756/F756)),"")</f>
        <v/>
      </c>
      <c r="H756" s="43" t="str">
        <f>IFERROR(G756*E743,"")</f>
        <v/>
      </c>
    </row>
    <row r="757" spans="1:11">
      <c r="A757" s="28"/>
      <c r="B757" s="29"/>
      <c r="C757" s="30" t="str">
        <f>IFERROR(_xlfn.XLOOKUP(B757,Transporte[DESCRIPCION],Transporte[UND],,0),"")</f>
        <v/>
      </c>
      <c r="D757" s="31"/>
      <c r="E757" s="32" t="str">
        <f>IFERROR(_xlfn.XLOOKUP($B757,Transporte[DESCRIPCION],Transporte[VALOR],,0),"")</f>
        <v/>
      </c>
      <c r="F757" s="33"/>
      <c r="G757" s="34" t="str">
        <f>IFERROR(IF(F757&gt;=0,D757*E757*(1+F757/100),ABS(D757*E757/F757)),"")</f>
        <v/>
      </c>
      <c r="H757" s="43" t="str">
        <f>IFERROR(G757*E743,"")</f>
        <v/>
      </c>
    </row>
    <row r="758" spans="1:11">
      <c r="A758" s="21"/>
      <c r="B758" s="22" t="s">
        <v>3732</v>
      </c>
      <c r="C758" s="23"/>
      <c r="D758" s="24"/>
      <c r="E758" s="25"/>
      <c r="F758" s="26"/>
      <c r="G758" s="27">
        <f>SUM(G759:G761)</f>
        <v>58220.509425000011</v>
      </c>
      <c r="H758" s="44">
        <f>G758*E743</f>
        <v>0</v>
      </c>
    </row>
    <row r="759" spans="1:11">
      <c r="A759" s="28"/>
      <c r="B759" s="29" t="s">
        <v>3719</v>
      </c>
      <c r="C759" s="30" t="str">
        <f>IFERROR(_xlfn.XLOOKUP(B759,MObra[DESCRIPCION],MObra[UN],,0),"")</f>
        <v>día</v>
      </c>
      <c r="D759" s="31">
        <v>1</v>
      </c>
      <c r="E759" s="32">
        <f>IFERROR(_xlfn.XLOOKUP($B759,MObra[DESCRIPCION],MObra[VALOR UNIT],,0),"")</f>
        <v>232882.03770000004</v>
      </c>
      <c r="F759" s="33">
        <v>-4</v>
      </c>
      <c r="G759" s="34">
        <f>IFERROR(IF(F759&gt;=0,D759*E759*(1+F759/100),ABS(D759*E759/F759)),"")</f>
        <v>58220.509425000011</v>
      </c>
      <c r="H759" s="43">
        <f>IFERROR(G759*E743,"")</f>
        <v>0</v>
      </c>
    </row>
    <row r="760" spans="1:11">
      <c r="A760" s="28"/>
      <c r="B760" s="29"/>
      <c r="C760" s="30" t="str">
        <f>IFERROR(_xlfn.XLOOKUP(B760,MObra[DESCRIPCION],MObra[UN],,0),"")</f>
        <v/>
      </c>
      <c r="D760" s="31"/>
      <c r="E760" s="32" t="str">
        <f>IFERROR(_xlfn.XLOOKUP($B760,MObra[DESCRIPCION],MObra[VALOR UNIT],,0),"")</f>
        <v/>
      </c>
      <c r="F760" s="33"/>
      <c r="G760" s="34" t="str">
        <f>IFERROR(IF(F760&gt;=0,D760*E760*(1+F760/100),ABS(D760*E760/F760)),"")</f>
        <v/>
      </c>
      <c r="H760" s="43" t="str">
        <f>IFERROR(G760*E743,"")</f>
        <v/>
      </c>
    </row>
    <row r="761" spans="1:11">
      <c r="A761" s="35"/>
      <c r="B761" s="36"/>
      <c r="C761" s="37" t="str">
        <f>IFERROR(_xlfn.XLOOKUP(B761,MObra[DESCRIPCION],MObra[UN],,0),"")</f>
        <v/>
      </c>
      <c r="D761" s="38"/>
      <c r="E761" s="39" t="str">
        <f>IFERROR(_xlfn.XLOOKUP($B761,MObra[DESCRIPCION],MObra[VALOR UNIT],,0),"")</f>
        <v/>
      </c>
      <c r="F761" s="40"/>
      <c r="G761" s="41" t="str">
        <f>IFERROR(IF(F761&gt;=0,D761*E761*(1+F761/100),ABS(D761*E761/F761)),"")</f>
        <v/>
      </c>
      <c r="H761" s="42" t="str">
        <f>IFERROR(G761*E743,"")</f>
        <v/>
      </c>
    </row>
    <row r="763" spans="1:11">
      <c r="A763" s="6" t="s">
        <v>1800</v>
      </c>
      <c r="B763" s="7" t="str">
        <f>VLOOKUP($A763,Presupuesto!$A:$D,2,FALSE())</f>
        <v>Excavación configuración talud roca</v>
      </c>
      <c r="C763" s="8" t="str">
        <f>VLOOKUP($A763,Presupuesto!$A:$D,3,FALSE())</f>
        <v>M3</v>
      </c>
      <c r="D763" s="9"/>
      <c r="E763" s="10">
        <f>VLOOKUP($A763,Presupuesto!$A:$D,4,FALSE())</f>
        <v>0</v>
      </c>
      <c r="F763" s="11" t="s">
        <v>2589</v>
      </c>
      <c r="G763" s="12">
        <f>SUM(G765:G781)/2</f>
        <v>169227.61406200004</v>
      </c>
      <c r="H763" s="13">
        <f>ROUND(SUM(H765:H781),0)/2</f>
        <v>0</v>
      </c>
      <c r="I763" s="10">
        <f>VLOOKUP(A763,Presupuesto!$A:$F,6,0)</f>
        <v>0</v>
      </c>
      <c r="J763" s="10">
        <f>+H763-I763</f>
        <v>0</v>
      </c>
      <c r="K763" s="46">
        <f>+H763-G763*E763</f>
        <v>0</v>
      </c>
    </row>
    <row r="764" spans="1:11">
      <c r="A764" s="14"/>
      <c r="B764" s="15" t="s">
        <v>2586</v>
      </c>
      <c r="C764" s="15" t="s">
        <v>5</v>
      </c>
      <c r="D764" s="16" t="s">
        <v>6</v>
      </c>
      <c r="E764" s="17" t="s">
        <v>7</v>
      </c>
      <c r="F764" s="18" t="s">
        <v>3728</v>
      </c>
      <c r="G764" s="19" t="s">
        <v>3729</v>
      </c>
      <c r="H764" s="20" t="s">
        <v>3797</v>
      </c>
    </row>
    <row r="765" spans="1:11">
      <c r="A765" s="21"/>
      <c r="B765" s="22" t="s">
        <v>3730</v>
      </c>
      <c r="C765" s="23"/>
      <c r="D765" s="24"/>
      <c r="E765" s="25"/>
      <c r="F765" s="26"/>
      <c r="G765" s="27">
        <f>SUM(G766:G770)</f>
        <v>0</v>
      </c>
      <c r="H765" s="27">
        <f>IFERROR(G765*E763,"")</f>
        <v>0</v>
      </c>
    </row>
    <row r="766" spans="1:11">
      <c r="A766" s="28"/>
      <c r="B766" s="29"/>
      <c r="C766" s="30" t="str">
        <f>IFERROR(_xlfn.XLOOKUP(B766,Insumo[DESCRIPCION],Insumo[UND],,0),"")</f>
        <v/>
      </c>
      <c r="D766" s="31"/>
      <c r="E766" s="32" t="str">
        <f>IFERROR(_xlfn.XLOOKUP($B766,Insumo[DESCRIPCION],Insumo[VALOR],,0),"")</f>
        <v/>
      </c>
      <c r="F766" s="33"/>
      <c r="G766" s="34" t="str">
        <f>IFERROR(IF(F766&gt;=0,D766*E766*(1+F766/100),ABS(D766*E766/F766)),"")</f>
        <v/>
      </c>
      <c r="H766" s="43" t="str">
        <f>IFERROR(G766*E763,"")</f>
        <v/>
      </c>
    </row>
    <row r="767" spans="1:11">
      <c r="A767" s="28"/>
      <c r="B767" s="29"/>
      <c r="C767" s="30" t="str">
        <f>IFERROR(_xlfn.XLOOKUP(B767,Insumo[DESCRIPCION],Insumo[UND],,0),"")</f>
        <v/>
      </c>
      <c r="D767" s="31"/>
      <c r="E767" s="32" t="str">
        <f>IFERROR(_xlfn.XLOOKUP($B767,Insumo[DESCRIPCION],Insumo[VALOR],,0),"")</f>
        <v/>
      </c>
      <c r="F767" s="33"/>
      <c r="G767" s="34" t="str">
        <f>IFERROR(IF(F767&gt;=0,D767*E767*(1+F767/100),ABS(D767*E767/F767)),"")</f>
        <v/>
      </c>
      <c r="H767" s="43" t="str">
        <f>IFERROR(G767*E763,"")</f>
        <v/>
      </c>
    </row>
    <row r="768" spans="1:11">
      <c r="A768" s="28"/>
      <c r="B768" s="29"/>
      <c r="C768" s="30" t="str">
        <f>IFERROR(_xlfn.XLOOKUP(B768,Insumo[DESCRIPCION],Insumo[UND],,0),"")</f>
        <v/>
      </c>
      <c r="D768" s="31"/>
      <c r="E768" s="32" t="str">
        <f>IFERROR(_xlfn.XLOOKUP($B768,Insumo[DESCRIPCION],Insumo[VALOR],,0),"")</f>
        <v/>
      </c>
      <c r="F768" s="33"/>
      <c r="G768" s="34" t="str">
        <f>IFERROR(IF(F768&gt;=0,D768*E768*(1+F768/100),ABS(D768*E768/F768)),"")</f>
        <v/>
      </c>
      <c r="H768" s="43" t="str">
        <f>IFERROR(G768*E763,"")</f>
        <v/>
      </c>
    </row>
    <row r="769" spans="1:11">
      <c r="A769" s="28"/>
      <c r="B769" s="29"/>
      <c r="C769" s="30" t="str">
        <f>IFERROR(_xlfn.XLOOKUP(B769,Insumo[DESCRIPCION],Insumo[UND],,0),"")</f>
        <v/>
      </c>
      <c r="D769" s="31"/>
      <c r="E769" s="32" t="str">
        <f>IFERROR(_xlfn.XLOOKUP($B769,Insumo[DESCRIPCION],Insumo[VALOR],,0),"")</f>
        <v/>
      </c>
      <c r="F769" s="33"/>
      <c r="G769" s="34" t="str">
        <f>IFERROR(IF(F769&gt;=0,D769*E769*(1+F769/100),ABS(D769*E769/F769)),"")</f>
        <v/>
      </c>
      <c r="H769" s="43" t="str">
        <f>IFERROR(G769*E763,"")</f>
        <v/>
      </c>
    </row>
    <row r="770" spans="1:11">
      <c r="A770" s="28"/>
      <c r="B770" s="29"/>
      <c r="C770" s="30" t="str">
        <f>IFERROR(_xlfn.XLOOKUP(B770,Insumo[DESCRIPCION],Insumo[UND],,0),"")</f>
        <v/>
      </c>
      <c r="D770" s="31"/>
      <c r="E770" s="32" t="str">
        <f>IFERROR(_xlfn.XLOOKUP($B770,Insumo[DESCRIPCION],Insumo[VALOR],,0),"")</f>
        <v/>
      </c>
      <c r="F770" s="33"/>
      <c r="G770" s="34" t="str">
        <f>IFERROR(IF(F770&gt;=0,D770*E770*(1+F770/100),ABS(D770*E770/F770)),"")</f>
        <v/>
      </c>
      <c r="H770" s="43" t="str">
        <f>IFERROR(G770*E763,"")</f>
        <v/>
      </c>
    </row>
    <row r="771" spans="1:11">
      <c r="A771" s="21"/>
      <c r="B771" s="22" t="s">
        <v>3731</v>
      </c>
      <c r="C771" s="23"/>
      <c r="D771" s="24"/>
      <c r="E771" s="25"/>
      <c r="F771" s="26"/>
      <c r="G771" s="27">
        <f>SUM(G772:G774)</f>
        <v>13972.922262000004</v>
      </c>
      <c r="H771" s="44">
        <f>G771*E763</f>
        <v>0</v>
      </c>
    </row>
    <row r="772" spans="1:11">
      <c r="A772" s="28"/>
      <c r="B772" s="29" t="s">
        <v>3570</v>
      </c>
      <c r="C772" s="30" t="str">
        <f>IFERROR(_xlfn.XLOOKUP(B772,Equipo[DESCRIPCION],Equipo[UND],,0),"")</f>
        <v>%MO</v>
      </c>
      <c r="D772" s="31">
        <v>0.04</v>
      </c>
      <c r="E772" s="32">
        <f>IF(C772="%MO",G778,IFERROR(_xlfn.XLOOKUP($B772,Equipo[DESCRIPCION],Equipo[VALOR],,0),""))</f>
        <v>155254.69180000003</v>
      </c>
      <c r="F772" s="33"/>
      <c r="G772" s="34">
        <f>IFERROR(IF(F772&gt;=0,D772*E772*(1+F772/100),ABS(D772*E772/F772)),"")</f>
        <v>6210.1876720000009</v>
      </c>
      <c r="H772" s="43">
        <f>IFERROR(G772*E763,"")</f>
        <v>0</v>
      </c>
    </row>
    <row r="773" spans="1:11">
      <c r="A773" s="28"/>
      <c r="B773" s="29" t="s">
        <v>3626</v>
      </c>
      <c r="C773" s="30" t="str">
        <f>IFERROR(_xlfn.XLOOKUP(B773,Equipo[DESCRIPCION],Equipo[UND],,0),"")</f>
        <v>%MO</v>
      </c>
      <c r="D773" s="31">
        <v>0.05</v>
      </c>
      <c r="E773" s="32">
        <f>IF(C773="%MO",G778,IFERROR(_xlfn.XLOOKUP($B773,Equipo[DESCRIPCION],Equipo[VALOR],,0),""))</f>
        <v>155254.69180000003</v>
      </c>
      <c r="F773" s="33"/>
      <c r="G773" s="34">
        <f>IFERROR(IF(F773&gt;=0,D773*E773*(1+F773/100),ABS(D773*E773/F773)),"")</f>
        <v>7762.7345900000018</v>
      </c>
      <c r="H773" s="43">
        <f>IFERROR(G773*E763,"")</f>
        <v>0</v>
      </c>
    </row>
    <row r="774" spans="1:11">
      <c r="A774" s="28"/>
      <c r="B774" s="29"/>
      <c r="C774" s="30" t="str">
        <f>IFERROR(_xlfn.XLOOKUP(B774,Equipo[DESCRIPCION],Equipo[UND],,0),"")</f>
        <v/>
      </c>
      <c r="D774" s="31"/>
      <c r="E774" s="32" t="str">
        <f>IF(C774="%MO",G778,IFERROR(_xlfn.XLOOKUP($B774,Equipo[DESCRIPCION],Equipo[VALOR],,0),""))</f>
        <v/>
      </c>
      <c r="F774" s="33"/>
      <c r="G774" s="34" t="str">
        <f>IFERROR(IF(F774&gt;=0,D774*E774*(1+F774/100),ABS(D774*E774/F774)),"")</f>
        <v/>
      </c>
      <c r="H774" s="43" t="str">
        <f>IFERROR(G774*E763,"")</f>
        <v/>
      </c>
    </row>
    <row r="775" spans="1:11">
      <c r="A775" s="21"/>
      <c r="B775" s="22" t="s">
        <v>2533</v>
      </c>
      <c r="C775" s="23"/>
      <c r="D775" s="24"/>
      <c r="E775" s="25"/>
      <c r="F775" s="26"/>
      <c r="G775" s="27">
        <f>SUM(G776:G777)</f>
        <v>0</v>
      </c>
      <c r="H775" s="44">
        <f>G775*E763</f>
        <v>0</v>
      </c>
    </row>
    <row r="776" spans="1:11">
      <c r="A776" s="28"/>
      <c r="B776" s="29"/>
      <c r="C776" s="30" t="str">
        <f>IFERROR(_xlfn.XLOOKUP(B776,Transporte[DESCRIPCION],Transporte[UND],,0),"")</f>
        <v/>
      </c>
      <c r="D776" s="31"/>
      <c r="E776" s="32" t="str">
        <f>IFERROR(_xlfn.XLOOKUP($B776,Transporte[DESCRIPCION],Transporte[VALOR],,0),"")</f>
        <v/>
      </c>
      <c r="F776" s="33"/>
      <c r="G776" s="34" t="str">
        <f>IFERROR(IF(F776&gt;=0,D776*E776*(1+F776/100),ABS(D776*E776/F776)),"")</f>
        <v/>
      </c>
      <c r="H776" s="43" t="str">
        <f>IFERROR(G776*E763,"")</f>
        <v/>
      </c>
    </row>
    <row r="777" spans="1:11">
      <c r="A777" s="28"/>
      <c r="B777" s="29"/>
      <c r="C777" s="30" t="str">
        <f>IFERROR(_xlfn.XLOOKUP(B777,Transporte[DESCRIPCION],Transporte[UND],,0),"")</f>
        <v/>
      </c>
      <c r="D777" s="31"/>
      <c r="E777" s="32" t="str">
        <f>IFERROR(_xlfn.XLOOKUP($B777,Transporte[DESCRIPCION],Transporte[VALOR],,0),"")</f>
        <v/>
      </c>
      <c r="F777" s="33"/>
      <c r="G777" s="34" t="str">
        <f>IFERROR(IF(F777&gt;=0,D777*E777*(1+F777/100),ABS(D777*E777/F777)),"")</f>
        <v/>
      </c>
      <c r="H777" s="43" t="str">
        <f>IFERROR(G777*E763,"")</f>
        <v/>
      </c>
    </row>
    <row r="778" spans="1:11">
      <c r="A778" s="21"/>
      <c r="B778" s="22" t="s">
        <v>3732</v>
      </c>
      <c r="C778" s="23"/>
      <c r="D778" s="24"/>
      <c r="E778" s="25"/>
      <c r="F778" s="26"/>
      <c r="G778" s="27">
        <f>SUM(G779:G781)</f>
        <v>155254.69180000003</v>
      </c>
      <c r="H778" s="44">
        <f>G778*E763</f>
        <v>0</v>
      </c>
    </row>
    <row r="779" spans="1:11">
      <c r="A779" s="28"/>
      <c r="B779" s="29" t="s">
        <v>3719</v>
      </c>
      <c r="C779" s="30" t="str">
        <f>IFERROR(_xlfn.XLOOKUP(B779,MObra[DESCRIPCION],MObra[UN],,0),"")</f>
        <v>día</v>
      </c>
      <c r="D779" s="31">
        <v>1</v>
      </c>
      <c r="E779" s="32">
        <f>IFERROR(_xlfn.XLOOKUP($B779,MObra[DESCRIPCION],MObra[VALOR UNIT],,0),"")</f>
        <v>232882.03770000004</v>
      </c>
      <c r="F779" s="33">
        <v>-1.5</v>
      </c>
      <c r="G779" s="34">
        <f>IFERROR(IF(F779&gt;=0,D779*E779*(1+F779/100),ABS(D779*E779/F779)),"")</f>
        <v>155254.69180000003</v>
      </c>
      <c r="H779" s="43">
        <f>IFERROR(G779*E763,"")</f>
        <v>0</v>
      </c>
    </row>
    <row r="780" spans="1:11">
      <c r="A780" s="28"/>
      <c r="B780" s="29"/>
      <c r="C780" s="30" t="str">
        <f>IFERROR(_xlfn.XLOOKUP(B780,MObra[DESCRIPCION],MObra[UN],,0),"")</f>
        <v/>
      </c>
      <c r="D780" s="31"/>
      <c r="E780" s="32" t="str">
        <f>IFERROR(_xlfn.XLOOKUP($B780,MObra[DESCRIPCION],MObra[VALOR UNIT],,0),"")</f>
        <v/>
      </c>
      <c r="F780" s="33"/>
      <c r="G780" s="34" t="str">
        <f>IFERROR(IF(F780&gt;=0,D780*E780*(1+F780/100),ABS(D780*E780/F780)),"")</f>
        <v/>
      </c>
      <c r="H780" s="43" t="str">
        <f>IFERROR(G780*E763,"")</f>
        <v/>
      </c>
    </row>
    <row r="781" spans="1:11">
      <c r="A781" s="35"/>
      <c r="B781" s="36"/>
      <c r="C781" s="37" t="str">
        <f>IFERROR(_xlfn.XLOOKUP(B781,MObra[DESCRIPCION],MObra[UN],,0),"")</f>
        <v/>
      </c>
      <c r="D781" s="38"/>
      <c r="E781" s="39" t="str">
        <f>IFERROR(_xlfn.XLOOKUP($B781,MObra[DESCRIPCION],MObra[VALOR UNIT],,0),"")</f>
        <v/>
      </c>
      <c r="F781" s="40"/>
      <c r="G781" s="41" t="str">
        <f>IFERROR(IF(F781&gt;=0,D781*E781*(1+F781/100),ABS(D781*E781/F781)),"")</f>
        <v/>
      </c>
      <c r="H781" s="42" t="str">
        <f>IFERROR(G781*E763,"")</f>
        <v/>
      </c>
    </row>
    <row r="783" spans="1:11">
      <c r="A783" s="6" t="s">
        <v>1802</v>
      </c>
      <c r="B783" s="7" t="str">
        <f>VLOOKUP($A783,Presupuesto!$A:$D,2,FALSE())</f>
        <v>Excavación configuración talud tierra manual</v>
      </c>
      <c r="C783" s="8" t="str">
        <f>VLOOKUP($A783,Presupuesto!$A:$D,3,FALSE())</f>
        <v>M3</v>
      </c>
      <c r="D783" s="9"/>
      <c r="E783" s="10">
        <f>VLOOKUP($A783,Presupuesto!$A:$D,4,FALSE())</f>
        <v>0</v>
      </c>
      <c r="F783" s="11" t="s">
        <v>2589</v>
      </c>
      <c r="G783" s="12">
        <f>SUM(G785:G801)/2</f>
        <v>56409.204687333346</v>
      </c>
      <c r="H783" s="13">
        <f>ROUND(SUM(H785:H801),0)/2</f>
        <v>0</v>
      </c>
      <c r="I783" s="10">
        <f>VLOOKUP(A783,Presupuesto!$A:$F,6,0)</f>
        <v>0</v>
      </c>
      <c r="J783" s="10">
        <f>+H783-I783</f>
        <v>0</v>
      </c>
      <c r="K783" s="46">
        <f>+H783-G783*E783</f>
        <v>0</v>
      </c>
    </row>
    <row r="784" spans="1:11">
      <c r="A784" s="14"/>
      <c r="B784" s="15" t="s">
        <v>2586</v>
      </c>
      <c r="C784" s="15" t="s">
        <v>5</v>
      </c>
      <c r="D784" s="16" t="s">
        <v>6</v>
      </c>
      <c r="E784" s="17" t="s">
        <v>7</v>
      </c>
      <c r="F784" s="18" t="s">
        <v>3728</v>
      </c>
      <c r="G784" s="19" t="s">
        <v>3729</v>
      </c>
      <c r="H784" s="20" t="s">
        <v>3797</v>
      </c>
    </row>
    <row r="785" spans="1:8">
      <c r="A785" s="21"/>
      <c r="B785" s="22" t="s">
        <v>3730</v>
      </c>
      <c r="C785" s="23"/>
      <c r="D785" s="24"/>
      <c r="E785" s="25"/>
      <c r="F785" s="26"/>
      <c r="G785" s="27">
        <f>SUM(G786:G790)</f>
        <v>0</v>
      </c>
      <c r="H785" s="27">
        <f>IFERROR(G785*E783,"")</f>
        <v>0</v>
      </c>
    </row>
    <row r="786" spans="1:8">
      <c r="A786" s="28"/>
      <c r="B786" s="29"/>
      <c r="C786" s="30" t="str">
        <f>IFERROR(_xlfn.XLOOKUP(B786,Insumo[DESCRIPCION],Insumo[UND],,0),"")</f>
        <v/>
      </c>
      <c r="D786" s="31"/>
      <c r="E786" s="32" t="str">
        <f>IFERROR(_xlfn.XLOOKUP($B786,Insumo[DESCRIPCION],Insumo[VALOR],,0),"")</f>
        <v/>
      </c>
      <c r="F786" s="33"/>
      <c r="G786" s="34" t="str">
        <f>IFERROR(IF(F786&gt;=0,D786*E786*(1+F786/100),ABS(D786*E786/F786)),"")</f>
        <v/>
      </c>
      <c r="H786" s="43" t="str">
        <f>IFERROR(G786*E783,"")</f>
        <v/>
      </c>
    </row>
    <row r="787" spans="1:8">
      <c r="A787" s="28"/>
      <c r="B787" s="29"/>
      <c r="C787" s="30" t="str">
        <f>IFERROR(_xlfn.XLOOKUP(B787,Insumo[DESCRIPCION],Insumo[UND],,0),"")</f>
        <v/>
      </c>
      <c r="D787" s="31"/>
      <c r="E787" s="32" t="str">
        <f>IFERROR(_xlfn.XLOOKUP($B787,Insumo[DESCRIPCION],Insumo[VALOR],,0),"")</f>
        <v/>
      </c>
      <c r="F787" s="33"/>
      <c r="G787" s="34" t="str">
        <f>IFERROR(IF(F787&gt;=0,D787*E787*(1+F787/100),ABS(D787*E787/F787)),"")</f>
        <v/>
      </c>
      <c r="H787" s="43" t="str">
        <f>IFERROR(G787*E783,"")</f>
        <v/>
      </c>
    </row>
    <row r="788" spans="1:8">
      <c r="A788" s="28"/>
      <c r="B788" s="29"/>
      <c r="C788" s="30" t="str">
        <f>IFERROR(_xlfn.XLOOKUP(B788,Insumo[DESCRIPCION],Insumo[UND],,0),"")</f>
        <v/>
      </c>
      <c r="D788" s="31"/>
      <c r="E788" s="32" t="str">
        <f>IFERROR(_xlfn.XLOOKUP($B788,Insumo[DESCRIPCION],Insumo[VALOR],,0),"")</f>
        <v/>
      </c>
      <c r="F788" s="33"/>
      <c r="G788" s="34" t="str">
        <f>IFERROR(IF(F788&gt;=0,D788*E788*(1+F788/100),ABS(D788*E788/F788)),"")</f>
        <v/>
      </c>
      <c r="H788" s="43" t="str">
        <f>IFERROR(G788*E783,"")</f>
        <v/>
      </c>
    </row>
    <row r="789" spans="1:8">
      <c r="A789" s="28"/>
      <c r="B789" s="29"/>
      <c r="C789" s="30" t="str">
        <f>IFERROR(_xlfn.XLOOKUP(B789,Insumo[DESCRIPCION],Insumo[UND],,0),"")</f>
        <v/>
      </c>
      <c r="D789" s="31"/>
      <c r="E789" s="32" t="str">
        <f>IFERROR(_xlfn.XLOOKUP($B789,Insumo[DESCRIPCION],Insumo[VALOR],,0),"")</f>
        <v/>
      </c>
      <c r="F789" s="33"/>
      <c r="G789" s="34" t="str">
        <f>IFERROR(IF(F789&gt;=0,D789*E789*(1+F789/100),ABS(D789*E789/F789)),"")</f>
        <v/>
      </c>
      <c r="H789" s="43" t="str">
        <f>IFERROR(G789*E783,"")</f>
        <v/>
      </c>
    </row>
    <row r="790" spans="1:8">
      <c r="A790" s="28"/>
      <c r="B790" s="29"/>
      <c r="C790" s="30" t="str">
        <f>IFERROR(_xlfn.XLOOKUP(B790,Insumo[DESCRIPCION],Insumo[UND],,0),"")</f>
        <v/>
      </c>
      <c r="D790" s="31"/>
      <c r="E790" s="32" t="str">
        <f>IFERROR(_xlfn.XLOOKUP($B790,Insumo[DESCRIPCION],Insumo[VALOR],,0),"")</f>
        <v/>
      </c>
      <c r="F790" s="33"/>
      <c r="G790" s="34" t="str">
        <f>IFERROR(IF(F790&gt;=0,D790*E790*(1+F790/100),ABS(D790*E790/F790)),"")</f>
        <v/>
      </c>
      <c r="H790" s="43" t="str">
        <f>IFERROR(G790*E783,"")</f>
        <v/>
      </c>
    </row>
    <row r="791" spans="1:8">
      <c r="A791" s="21"/>
      <c r="B791" s="22" t="s">
        <v>3731</v>
      </c>
      <c r="C791" s="23"/>
      <c r="D791" s="24"/>
      <c r="E791" s="25"/>
      <c r="F791" s="26"/>
      <c r="G791" s="27">
        <f>SUM(G792:G794)</f>
        <v>4657.6407540000009</v>
      </c>
      <c r="H791" s="44">
        <f>G791*E783</f>
        <v>0</v>
      </c>
    </row>
    <row r="792" spans="1:8">
      <c r="A792" s="28"/>
      <c r="B792" s="29" t="s">
        <v>3570</v>
      </c>
      <c r="C792" s="30" t="str">
        <f>IFERROR(_xlfn.XLOOKUP(B792,Equipo[DESCRIPCION],Equipo[UND],,0),"")</f>
        <v>%MO</v>
      </c>
      <c r="D792" s="31">
        <v>0.04</v>
      </c>
      <c r="E792" s="32">
        <f>IF(C792="%MO",G798,IFERROR(_xlfn.XLOOKUP($B792,Equipo[DESCRIPCION],Equipo[VALOR],,0),""))</f>
        <v>51751.563933333346</v>
      </c>
      <c r="F792" s="33"/>
      <c r="G792" s="34">
        <f>IFERROR(IF(F792&gt;=0,D792*E792*(1+F792/100),ABS(D792*E792/F792)),"")</f>
        <v>2070.0625573333336</v>
      </c>
      <c r="H792" s="43">
        <f>IFERROR(G792*E783,"")</f>
        <v>0</v>
      </c>
    </row>
    <row r="793" spans="1:8">
      <c r="A793" s="28"/>
      <c r="B793" s="29" t="s">
        <v>3626</v>
      </c>
      <c r="C793" s="30" t="str">
        <f>IFERROR(_xlfn.XLOOKUP(B793,Equipo[DESCRIPCION],Equipo[UND],,0),"")</f>
        <v>%MO</v>
      </c>
      <c r="D793" s="31">
        <v>0.05</v>
      </c>
      <c r="E793" s="32">
        <f>IF(C793="%MO",G798,IFERROR(_xlfn.XLOOKUP($B793,Equipo[DESCRIPCION],Equipo[VALOR],,0),""))</f>
        <v>51751.563933333346</v>
      </c>
      <c r="F793" s="33"/>
      <c r="G793" s="34">
        <f>IFERROR(IF(F793&gt;=0,D793*E793*(1+F793/100),ABS(D793*E793/F793)),"")</f>
        <v>2587.5781966666673</v>
      </c>
      <c r="H793" s="43">
        <f>IFERROR(G793*E783,"")</f>
        <v>0</v>
      </c>
    </row>
    <row r="794" spans="1:8">
      <c r="A794" s="28"/>
      <c r="B794" s="29"/>
      <c r="C794" s="30" t="str">
        <f>IFERROR(_xlfn.XLOOKUP(B794,Equipo[DESCRIPCION],Equipo[UND],,0),"")</f>
        <v/>
      </c>
      <c r="D794" s="31"/>
      <c r="E794" s="32" t="str">
        <f>IF(C794="%MO",G798,IFERROR(_xlfn.XLOOKUP($B794,Equipo[DESCRIPCION],Equipo[VALOR],,0),""))</f>
        <v/>
      </c>
      <c r="F794" s="33"/>
      <c r="G794" s="34" t="str">
        <f>IFERROR(IF(F794&gt;=0,D794*E794*(1+F794/100),ABS(D794*E794/F794)),"")</f>
        <v/>
      </c>
      <c r="H794" s="43" t="str">
        <f>IFERROR(G794*E783,"")</f>
        <v/>
      </c>
    </row>
    <row r="795" spans="1:8">
      <c r="A795" s="21"/>
      <c r="B795" s="22" t="s">
        <v>2533</v>
      </c>
      <c r="C795" s="23"/>
      <c r="D795" s="24"/>
      <c r="E795" s="25"/>
      <c r="F795" s="26"/>
      <c r="G795" s="27">
        <f>SUM(G796:G797)</f>
        <v>0</v>
      </c>
      <c r="H795" s="44">
        <f>G795*E783</f>
        <v>0</v>
      </c>
    </row>
    <row r="796" spans="1:8">
      <c r="A796" s="28"/>
      <c r="B796" s="29"/>
      <c r="C796" s="30" t="str">
        <f>IFERROR(_xlfn.XLOOKUP(B796,Transporte[DESCRIPCION],Transporte[UND],,0),"")</f>
        <v/>
      </c>
      <c r="D796" s="31"/>
      <c r="E796" s="32" t="str">
        <f>IFERROR(_xlfn.XLOOKUP($B796,Transporte[DESCRIPCION],Transporte[VALOR],,0),"")</f>
        <v/>
      </c>
      <c r="F796" s="33"/>
      <c r="G796" s="34" t="str">
        <f>IFERROR(IF(F796&gt;=0,D796*E796*(1+F796/100),ABS(D796*E796/F796)),"")</f>
        <v/>
      </c>
      <c r="H796" s="43" t="str">
        <f>IFERROR(G796*E783,"")</f>
        <v/>
      </c>
    </row>
    <row r="797" spans="1:8">
      <c r="A797" s="28"/>
      <c r="B797" s="29"/>
      <c r="C797" s="30" t="str">
        <f>IFERROR(_xlfn.XLOOKUP(B797,Transporte[DESCRIPCION],Transporte[UND],,0),"")</f>
        <v/>
      </c>
      <c r="D797" s="31"/>
      <c r="E797" s="32" t="str">
        <f>IFERROR(_xlfn.XLOOKUP($B797,Transporte[DESCRIPCION],Transporte[VALOR],,0),"")</f>
        <v/>
      </c>
      <c r="F797" s="33"/>
      <c r="G797" s="34" t="str">
        <f>IFERROR(IF(F797&gt;=0,D797*E797*(1+F797/100),ABS(D797*E797/F797)),"")</f>
        <v/>
      </c>
      <c r="H797" s="43" t="str">
        <f>IFERROR(G797*E783,"")</f>
        <v/>
      </c>
    </row>
    <row r="798" spans="1:8">
      <c r="A798" s="21"/>
      <c r="B798" s="22" t="s">
        <v>3732</v>
      </c>
      <c r="C798" s="23"/>
      <c r="D798" s="24"/>
      <c r="E798" s="25"/>
      <c r="F798" s="26"/>
      <c r="G798" s="27">
        <f>SUM(G799:G801)</f>
        <v>51751.563933333346</v>
      </c>
      <c r="H798" s="44">
        <f>G798*E783</f>
        <v>0</v>
      </c>
    </row>
    <row r="799" spans="1:8">
      <c r="A799" s="28"/>
      <c r="B799" s="29" t="s">
        <v>3719</v>
      </c>
      <c r="C799" s="30" t="str">
        <f>IFERROR(_xlfn.XLOOKUP(B799,MObra[DESCRIPCION],MObra[UN],,0),"")</f>
        <v>día</v>
      </c>
      <c r="D799" s="31">
        <v>1</v>
      </c>
      <c r="E799" s="32">
        <f>IFERROR(_xlfn.XLOOKUP($B799,MObra[DESCRIPCION],MObra[VALOR UNIT],,0),"")</f>
        <v>232882.03770000004</v>
      </c>
      <c r="F799" s="33">
        <v>-4.5</v>
      </c>
      <c r="G799" s="34">
        <f>IFERROR(IF(F799&gt;=0,D799*E799*(1+F799/100),ABS(D799*E799/F799)),"")</f>
        <v>51751.563933333346</v>
      </c>
      <c r="H799" s="43">
        <f>IFERROR(G799*E783,"")</f>
        <v>0</v>
      </c>
    </row>
    <row r="800" spans="1:8">
      <c r="A800" s="28"/>
      <c r="B800" s="29"/>
      <c r="C800" s="30" t="str">
        <f>IFERROR(_xlfn.XLOOKUP(B800,MObra[DESCRIPCION],MObra[UN],,0),"")</f>
        <v/>
      </c>
      <c r="D800" s="31"/>
      <c r="E800" s="32" t="str">
        <f>IFERROR(_xlfn.XLOOKUP($B800,MObra[DESCRIPCION],MObra[VALOR UNIT],,0),"")</f>
        <v/>
      </c>
      <c r="F800" s="33"/>
      <c r="G800" s="34" t="str">
        <f>IFERROR(IF(F800&gt;=0,D800*E800*(1+F800/100),ABS(D800*E800/F800)),"")</f>
        <v/>
      </c>
      <c r="H800" s="43" t="str">
        <f>IFERROR(G800*E783,"")</f>
        <v/>
      </c>
    </row>
    <row r="801" spans="1:11">
      <c r="A801" s="35"/>
      <c r="B801" s="36"/>
      <c r="C801" s="37" t="str">
        <f>IFERROR(_xlfn.XLOOKUP(B801,MObra[DESCRIPCION],MObra[UN],,0),"")</f>
        <v/>
      </c>
      <c r="D801" s="38"/>
      <c r="E801" s="39" t="str">
        <f>IFERROR(_xlfn.XLOOKUP($B801,MObra[DESCRIPCION],MObra[VALOR UNIT],,0),"")</f>
        <v/>
      </c>
      <c r="F801" s="40"/>
      <c r="G801" s="41" t="str">
        <f>IFERROR(IF(F801&gt;=0,D801*E801*(1+F801/100),ABS(D801*E801/F801)),"")</f>
        <v/>
      </c>
      <c r="H801" s="42" t="str">
        <f>IFERROR(G801*E783,"")</f>
        <v/>
      </c>
    </row>
    <row r="803" spans="1:11">
      <c r="A803" s="6" t="s">
        <v>1804</v>
      </c>
      <c r="B803" s="7" t="str">
        <f>VLOOKUP($A803,Presupuesto!$A:$D,2,FALSE())</f>
        <v>Excavación configuración tierra mecánica</v>
      </c>
      <c r="C803" s="8" t="str">
        <f>VLOOKUP($A803,Presupuesto!$A:$D,3,FALSE())</f>
        <v>M3</v>
      </c>
      <c r="D803" s="9"/>
      <c r="E803" s="10">
        <f>VLOOKUP($A803,Presupuesto!$A:$D,4,FALSE())</f>
        <v>0</v>
      </c>
      <c r="F803" s="11" t="s">
        <v>2589</v>
      </c>
      <c r="G803" s="12">
        <f>SUM(G805:G821)/2</f>
        <v>24704.111941075003</v>
      </c>
      <c r="H803" s="13">
        <f>ROUND(SUM(H805:H821),0)/2</f>
        <v>0</v>
      </c>
      <c r="I803" s="10">
        <f>VLOOKUP(A803,Presupuesto!$A:$F,6,0)</f>
        <v>0</v>
      </c>
      <c r="J803" s="10">
        <f>+H803-I803</f>
        <v>0</v>
      </c>
      <c r="K803" s="46">
        <f>+H803-G803*E803</f>
        <v>0</v>
      </c>
    </row>
    <row r="804" spans="1:11">
      <c r="A804" s="14"/>
      <c r="B804" s="15" t="s">
        <v>2586</v>
      </c>
      <c r="C804" s="15" t="s">
        <v>5</v>
      </c>
      <c r="D804" s="16" t="s">
        <v>6</v>
      </c>
      <c r="E804" s="17" t="s">
        <v>7</v>
      </c>
      <c r="F804" s="18" t="s">
        <v>3728</v>
      </c>
      <c r="G804" s="19" t="s">
        <v>3729</v>
      </c>
      <c r="H804" s="20" t="s">
        <v>3797</v>
      </c>
    </row>
    <row r="805" spans="1:11">
      <c r="A805" s="21"/>
      <c r="B805" s="22" t="s">
        <v>3730</v>
      </c>
      <c r="C805" s="23"/>
      <c r="D805" s="24"/>
      <c r="E805" s="25"/>
      <c r="F805" s="26"/>
      <c r="G805" s="27">
        <f>SUM(G806:G810)</f>
        <v>0</v>
      </c>
      <c r="H805" s="27">
        <f>IFERROR(G805*E803,"")</f>
        <v>0</v>
      </c>
    </row>
    <row r="806" spans="1:11">
      <c r="A806" s="28"/>
      <c r="B806" s="29"/>
      <c r="C806" s="30" t="str">
        <f>IFERROR(_xlfn.XLOOKUP(B806,Insumo[DESCRIPCION],Insumo[UND],,0),"")</f>
        <v/>
      </c>
      <c r="D806" s="31"/>
      <c r="E806" s="32" t="str">
        <f>IFERROR(_xlfn.XLOOKUP($B806,Insumo[DESCRIPCION],Insumo[VALOR],,0),"")</f>
        <v/>
      </c>
      <c r="F806" s="33"/>
      <c r="G806" s="34" t="str">
        <f>IFERROR(IF(F806&gt;=0,D806*E806*(1+F806/100),ABS(D806*E806/F806)),"")</f>
        <v/>
      </c>
      <c r="H806" s="43" t="str">
        <f>IFERROR(G806*E803,"")</f>
        <v/>
      </c>
    </row>
    <row r="807" spans="1:11">
      <c r="A807" s="28"/>
      <c r="B807" s="29"/>
      <c r="C807" s="30" t="str">
        <f>IFERROR(_xlfn.XLOOKUP(B807,Insumo[DESCRIPCION],Insumo[UND],,0),"")</f>
        <v/>
      </c>
      <c r="D807" s="31"/>
      <c r="E807" s="32" t="str">
        <f>IFERROR(_xlfn.XLOOKUP($B807,Insumo[DESCRIPCION],Insumo[VALOR],,0),"")</f>
        <v/>
      </c>
      <c r="F807" s="33"/>
      <c r="G807" s="34" t="str">
        <f>IFERROR(IF(F807&gt;=0,D807*E807*(1+F807/100),ABS(D807*E807/F807)),"")</f>
        <v/>
      </c>
      <c r="H807" s="43" t="str">
        <f>IFERROR(G807*E803,"")</f>
        <v/>
      </c>
    </row>
    <row r="808" spans="1:11">
      <c r="A808" s="28"/>
      <c r="B808" s="29"/>
      <c r="C808" s="30" t="str">
        <f>IFERROR(_xlfn.XLOOKUP(B808,Insumo[DESCRIPCION],Insumo[UND],,0),"")</f>
        <v/>
      </c>
      <c r="D808" s="31"/>
      <c r="E808" s="32" t="str">
        <f>IFERROR(_xlfn.XLOOKUP($B808,Insumo[DESCRIPCION],Insumo[VALOR],,0),"")</f>
        <v/>
      </c>
      <c r="F808" s="33"/>
      <c r="G808" s="34" t="str">
        <f>IFERROR(IF(F808&gt;=0,D808*E808*(1+F808/100),ABS(D808*E808/F808)),"")</f>
        <v/>
      </c>
      <c r="H808" s="43" t="str">
        <f>IFERROR(G808*E803,"")</f>
        <v/>
      </c>
    </row>
    <row r="809" spans="1:11">
      <c r="A809" s="28"/>
      <c r="B809" s="29"/>
      <c r="C809" s="30" t="str">
        <f>IFERROR(_xlfn.XLOOKUP(B809,Insumo[DESCRIPCION],Insumo[UND],,0),"")</f>
        <v/>
      </c>
      <c r="D809" s="31"/>
      <c r="E809" s="32" t="str">
        <f>IFERROR(_xlfn.XLOOKUP($B809,Insumo[DESCRIPCION],Insumo[VALOR],,0),"")</f>
        <v/>
      </c>
      <c r="F809" s="33"/>
      <c r="G809" s="34" t="str">
        <f>IFERROR(IF(F809&gt;=0,D809*E809*(1+F809/100),ABS(D809*E809/F809)),"")</f>
        <v/>
      </c>
      <c r="H809" s="43" t="str">
        <f>IFERROR(G809*E803,"")</f>
        <v/>
      </c>
    </row>
    <row r="810" spans="1:11">
      <c r="A810" s="28"/>
      <c r="B810" s="29"/>
      <c r="C810" s="30" t="str">
        <f>IFERROR(_xlfn.XLOOKUP(B810,Insumo[DESCRIPCION],Insumo[UND],,0),"")</f>
        <v/>
      </c>
      <c r="D810" s="31"/>
      <c r="E810" s="32" t="str">
        <f>IFERROR(_xlfn.XLOOKUP($B810,Insumo[DESCRIPCION],Insumo[VALOR],,0),"")</f>
        <v/>
      </c>
      <c r="F810" s="33"/>
      <c r="G810" s="34" t="str">
        <f>IFERROR(IF(F810&gt;=0,D810*E810*(1+F810/100),ABS(D810*E810/F810)),"")</f>
        <v/>
      </c>
      <c r="H810" s="43" t="str">
        <f>IFERROR(G810*E803,"")</f>
        <v/>
      </c>
    </row>
    <row r="811" spans="1:11">
      <c r="A811" s="21"/>
      <c r="B811" s="22" t="s">
        <v>3731</v>
      </c>
      <c r="C811" s="23"/>
      <c r="D811" s="24"/>
      <c r="E811" s="25"/>
      <c r="F811" s="26"/>
      <c r="G811" s="27">
        <f>SUM(G812:G814)</f>
        <v>10343.052949575</v>
      </c>
      <c r="H811" s="44">
        <f>G811*E803</f>
        <v>0</v>
      </c>
    </row>
    <row r="812" spans="1:11">
      <c r="A812" s="28"/>
      <c r="B812" s="29" t="s">
        <v>3646</v>
      </c>
      <c r="C812" s="30" t="str">
        <f>IFERROR(_xlfn.XLOOKUP(B812,Equipo[DESCRIPCION],Equipo[UND],,0),"")</f>
        <v>Hr</v>
      </c>
      <c r="D812" s="31">
        <v>1</v>
      </c>
      <c r="E812" s="32">
        <f>IF(C812="%MO",G818,IFERROR(_xlfn.XLOOKUP($B812,Equipo[DESCRIPCION],Equipo[VALOR],,0),""))</f>
        <v>288750</v>
      </c>
      <c r="F812" s="33">
        <v>-30</v>
      </c>
      <c r="G812" s="34">
        <f>IFERROR(IF(F812&gt;=0,D812*E812*(1+F812/100),ABS(D812*E812/F812)),"")</f>
        <v>9625</v>
      </c>
      <c r="H812" s="43">
        <f>IFERROR(G812*E803,"")</f>
        <v>0</v>
      </c>
    </row>
    <row r="813" spans="1:11">
      <c r="A813" s="28"/>
      <c r="B813" s="29" t="s">
        <v>3626</v>
      </c>
      <c r="C813" s="30" t="str">
        <f>IFERROR(_xlfn.XLOOKUP(B813,Equipo[DESCRIPCION],Equipo[UND],,0),"")</f>
        <v>%MO</v>
      </c>
      <c r="D813" s="31">
        <v>0.05</v>
      </c>
      <c r="E813" s="32">
        <f>IF(C813="%MO",G818,IFERROR(_xlfn.XLOOKUP($B813,Equipo[DESCRIPCION],Equipo[VALOR],,0),""))</f>
        <v>14361.058991500002</v>
      </c>
      <c r="F813" s="33"/>
      <c r="G813" s="34">
        <f>IFERROR(IF(F813&gt;=0,D813*E813*(1+F813/100),ABS(D813*E813/F813)),"")</f>
        <v>718.05294957500018</v>
      </c>
      <c r="H813" s="43">
        <f>IFERROR(G813*E803,"")</f>
        <v>0</v>
      </c>
    </row>
    <row r="814" spans="1:11">
      <c r="A814" s="28"/>
      <c r="B814" s="29"/>
      <c r="C814" s="30" t="str">
        <f>IFERROR(_xlfn.XLOOKUP(B814,Equipo[DESCRIPCION],Equipo[UND],,0),"")</f>
        <v/>
      </c>
      <c r="D814" s="31"/>
      <c r="E814" s="32" t="str">
        <f>IF(C814="%MO",G818,IFERROR(_xlfn.XLOOKUP($B814,Equipo[DESCRIPCION],Equipo[VALOR],,0),""))</f>
        <v/>
      </c>
      <c r="F814" s="33"/>
      <c r="G814" s="34" t="str">
        <f>IFERROR(IF(F814&gt;=0,D814*E814*(1+F814/100),ABS(D814*E814/F814)),"")</f>
        <v/>
      </c>
      <c r="H814" s="43" t="str">
        <f>IFERROR(G814*E803,"")</f>
        <v/>
      </c>
    </row>
    <row r="815" spans="1:11">
      <c r="A815" s="21"/>
      <c r="B815" s="22" t="s">
        <v>2533</v>
      </c>
      <c r="C815" s="23"/>
      <c r="D815" s="24"/>
      <c r="E815" s="25"/>
      <c r="F815" s="26"/>
      <c r="G815" s="27">
        <f>SUM(G816:G817)</f>
        <v>0</v>
      </c>
      <c r="H815" s="44">
        <f>G815*E803</f>
        <v>0</v>
      </c>
    </row>
    <row r="816" spans="1:11">
      <c r="A816" s="28"/>
      <c r="B816" s="29"/>
      <c r="C816" s="30" t="str">
        <f>IFERROR(_xlfn.XLOOKUP(B816,Transporte[DESCRIPCION],Transporte[UND],,0),"")</f>
        <v/>
      </c>
      <c r="D816" s="31"/>
      <c r="E816" s="32" t="str">
        <f>IFERROR(_xlfn.XLOOKUP($B816,Transporte[DESCRIPCION],Transporte[VALOR],,0),"")</f>
        <v/>
      </c>
      <c r="F816" s="33"/>
      <c r="G816" s="34" t="str">
        <f>IFERROR(IF(F816&gt;=0,D816*E816*(1+F816/100),ABS(D816*E816/F816)),"")</f>
        <v/>
      </c>
      <c r="H816" s="43" t="str">
        <f>IFERROR(G816*E803,"")</f>
        <v/>
      </c>
    </row>
    <row r="817" spans="1:11">
      <c r="A817" s="28"/>
      <c r="B817" s="29"/>
      <c r="C817" s="30" t="str">
        <f>IFERROR(_xlfn.XLOOKUP(B817,Transporte[DESCRIPCION],Transporte[UND],,0),"")</f>
        <v/>
      </c>
      <c r="D817" s="31"/>
      <c r="E817" s="32" t="str">
        <f>IFERROR(_xlfn.XLOOKUP($B817,Transporte[DESCRIPCION],Transporte[VALOR],,0),"")</f>
        <v/>
      </c>
      <c r="F817" s="33"/>
      <c r="G817" s="34" t="str">
        <f>IFERROR(IF(F817&gt;=0,D817*E817*(1+F817/100),ABS(D817*E817/F817)),"")</f>
        <v/>
      </c>
      <c r="H817" s="43" t="str">
        <f>IFERROR(G817*E803,"")</f>
        <v/>
      </c>
    </row>
    <row r="818" spans="1:11">
      <c r="A818" s="21"/>
      <c r="B818" s="22" t="s">
        <v>3732</v>
      </c>
      <c r="C818" s="23"/>
      <c r="D818" s="24"/>
      <c r="E818" s="25"/>
      <c r="F818" s="26"/>
      <c r="G818" s="27">
        <f>SUM(G819:G821)</f>
        <v>14361.058991500002</v>
      </c>
      <c r="H818" s="44">
        <f>G818*E803</f>
        <v>0</v>
      </c>
    </row>
    <row r="819" spans="1:11">
      <c r="A819" s="28"/>
      <c r="B819" s="29" t="s">
        <v>3711</v>
      </c>
      <c r="C819" s="30" t="str">
        <f>IFERROR(_xlfn.XLOOKUP(B819,MObra[DESCRIPCION],MObra[UN],,0),"")</f>
        <v>día</v>
      </c>
      <c r="D819" s="31">
        <v>1</v>
      </c>
      <c r="E819" s="32">
        <f>IFERROR(_xlfn.XLOOKUP($B819,MObra[DESCRIPCION],MObra[VALOR UNIT],,0),"")</f>
        <v>430831.76974500006</v>
      </c>
      <c r="F819" s="33">
        <v>-30</v>
      </c>
      <c r="G819" s="34">
        <f>IFERROR(IF(F819&gt;=0,D819*E819*(1+F819/100),ABS(D819*E819/F819)),"")</f>
        <v>14361.058991500002</v>
      </c>
      <c r="H819" s="43">
        <f>IFERROR(G819*E803,"")</f>
        <v>0</v>
      </c>
    </row>
    <row r="820" spans="1:11">
      <c r="A820" s="28"/>
      <c r="B820" s="29"/>
      <c r="C820" s="30" t="str">
        <f>IFERROR(_xlfn.XLOOKUP(B820,MObra[DESCRIPCION],MObra[UN],,0),"")</f>
        <v/>
      </c>
      <c r="D820" s="31"/>
      <c r="E820" s="32" t="str">
        <f>IFERROR(_xlfn.XLOOKUP($B820,MObra[DESCRIPCION],MObra[VALOR UNIT],,0),"")</f>
        <v/>
      </c>
      <c r="F820" s="33"/>
      <c r="G820" s="34" t="str">
        <f>IFERROR(IF(F820&gt;=0,D820*E820*(1+F820/100),ABS(D820*E820/F820)),"")</f>
        <v/>
      </c>
      <c r="H820" s="43" t="str">
        <f>IFERROR(G820*E803,"")</f>
        <v/>
      </c>
    </row>
    <row r="821" spans="1:11">
      <c r="A821" s="35"/>
      <c r="B821" s="36"/>
      <c r="C821" s="37" t="str">
        <f>IFERROR(_xlfn.XLOOKUP(B821,MObra[DESCRIPCION],MObra[UN],,0),"")</f>
        <v/>
      </c>
      <c r="D821" s="38"/>
      <c r="E821" s="39" t="str">
        <f>IFERROR(_xlfn.XLOOKUP($B821,MObra[DESCRIPCION],MObra[VALOR UNIT],,0),"")</f>
        <v/>
      </c>
      <c r="F821" s="40"/>
      <c r="G821" s="41" t="str">
        <f>IFERROR(IF(F821&gt;=0,D821*E821*(1+F821/100),ABS(D821*E821/F821)),"")</f>
        <v/>
      </c>
      <c r="H821" s="42" t="str">
        <f>IFERROR(G821*E803,"")</f>
        <v/>
      </c>
    </row>
    <row r="823" spans="1:11">
      <c r="A823" s="6" t="s">
        <v>1806</v>
      </c>
      <c r="B823" s="7" t="str">
        <f>VLOOKUP($A823,Presupuesto!$A:$D,2,FALSE())</f>
        <v>Filtro francés + geotextil 1600 NT + tubería drenaje Ø = 150 mm</v>
      </c>
      <c r="C823" s="8" t="str">
        <f>VLOOKUP($A823,Presupuesto!$A:$D,3,FALSE())</f>
        <v>M3</v>
      </c>
      <c r="D823" s="9"/>
      <c r="E823" s="10">
        <f>VLOOKUP($A823,Presupuesto!$A:$D,4,FALSE())</f>
        <v>0</v>
      </c>
      <c r="F823" s="11" t="s">
        <v>2589</v>
      </c>
      <c r="G823" s="12">
        <f>SUM(G825:G841)/2</f>
        <v>542396.74628650502</v>
      </c>
      <c r="H823" s="13">
        <f>ROUND(SUM(H825:H841),0)/2</f>
        <v>0</v>
      </c>
      <c r="I823" s="10">
        <f>VLOOKUP(A823,Presupuesto!$A:$F,6,0)</f>
        <v>0</v>
      </c>
      <c r="J823" s="10">
        <f>+H823-I823</f>
        <v>0</v>
      </c>
      <c r="K823" s="46">
        <f>+H823-G823*E823</f>
        <v>0</v>
      </c>
    </row>
    <row r="824" spans="1:11">
      <c r="A824" s="14"/>
      <c r="B824" s="15" t="s">
        <v>2586</v>
      </c>
      <c r="C824" s="15" t="s">
        <v>5</v>
      </c>
      <c r="D824" s="16" t="s">
        <v>6</v>
      </c>
      <c r="E824" s="17" t="s">
        <v>7</v>
      </c>
      <c r="F824" s="18" t="s">
        <v>3728</v>
      </c>
      <c r="G824" s="19" t="s">
        <v>3729</v>
      </c>
      <c r="H824" s="20" t="s">
        <v>3797</v>
      </c>
    </row>
    <row r="825" spans="1:11">
      <c r="A825" s="21"/>
      <c r="B825" s="22" t="s">
        <v>3730</v>
      </c>
      <c r="C825" s="23"/>
      <c r="D825" s="24"/>
      <c r="E825" s="25"/>
      <c r="F825" s="26"/>
      <c r="G825" s="27">
        <f>SUM(G826:G830)</f>
        <v>424030.44127500005</v>
      </c>
      <c r="H825" s="27">
        <f>IFERROR(G825*E823,"")</f>
        <v>0</v>
      </c>
    </row>
    <row r="826" spans="1:11">
      <c r="A826" s="28"/>
      <c r="B826" s="29" t="s">
        <v>3203</v>
      </c>
      <c r="C826" s="30" t="str">
        <f>IFERROR(_xlfn.XLOOKUP(B826,Insumo[DESCRIPCION],Insumo[UND],,0),"")</f>
        <v>M3</v>
      </c>
      <c r="D826" s="31">
        <v>1</v>
      </c>
      <c r="E826" s="32">
        <f>IFERROR(_xlfn.XLOOKUP($B826,Insumo[DESCRIPCION],Insumo[VALOR],,0),"")</f>
        <v>113662.5</v>
      </c>
      <c r="F826" s="33">
        <v>5</v>
      </c>
      <c r="G826" s="34">
        <f>IFERROR(IF(F826&gt;=0,D826*E826*(1+F826/100),ABS(D826*E826/F826)),"")</f>
        <v>119345.625</v>
      </c>
      <c r="H826" s="43">
        <f>IFERROR(G826*E823,"")</f>
        <v>0</v>
      </c>
    </row>
    <row r="827" spans="1:11">
      <c r="A827" s="28"/>
      <c r="B827" s="29" t="s">
        <v>2975</v>
      </c>
      <c r="C827" s="30" t="str">
        <f>IFERROR(_xlfn.XLOOKUP(B827,Insumo[DESCRIPCION],Insumo[UND],,0),"")</f>
        <v>M2</v>
      </c>
      <c r="D827" s="31">
        <v>9.5</v>
      </c>
      <c r="E827" s="32">
        <f>IFERROR(_xlfn.XLOOKUP($B827,Insumo[DESCRIPCION],Insumo[VALOR],,0),"")</f>
        <v>4189.5</v>
      </c>
      <c r="F827" s="33">
        <v>5</v>
      </c>
      <c r="G827" s="34">
        <f>IFERROR(IF(F827&gt;=0,D827*E827*(1+F827/100),ABS(D827*E827/F827)),"")</f>
        <v>41790.262500000004</v>
      </c>
      <c r="H827" s="43">
        <f>IFERROR(G827*E823,"")</f>
        <v>0</v>
      </c>
    </row>
    <row r="828" spans="1:11">
      <c r="A828" s="28"/>
      <c r="B828" s="29" t="s">
        <v>3472</v>
      </c>
      <c r="C828" s="30" t="str">
        <f>IFERROR(_xlfn.XLOOKUP(B828,Insumo[DESCRIPCION],Insumo[UND],,0),"")</f>
        <v>M</v>
      </c>
      <c r="D828" s="31">
        <v>4.17</v>
      </c>
      <c r="E828" s="32">
        <f>IFERROR(_xlfn.XLOOKUP($B828,Insumo[DESCRIPCION],Insumo[VALOR],,0),"")</f>
        <v>60042.15</v>
      </c>
      <c r="F828" s="33">
        <v>5</v>
      </c>
      <c r="G828" s="34">
        <f>IFERROR(IF(F828&gt;=0,D828*E828*(1+F828/100),ABS(D828*E828/F828)),"")</f>
        <v>262894.55377500004</v>
      </c>
      <c r="H828" s="43">
        <f>IFERROR(G828*E823,"")</f>
        <v>0</v>
      </c>
    </row>
    <row r="829" spans="1:11">
      <c r="A829" s="28"/>
      <c r="B829" s="29"/>
      <c r="C829" s="30" t="str">
        <f>IFERROR(_xlfn.XLOOKUP(B829,Insumo[DESCRIPCION],Insumo[UND],,0),"")</f>
        <v/>
      </c>
      <c r="D829" s="31"/>
      <c r="E829" s="32" t="str">
        <f>IFERROR(_xlfn.XLOOKUP($B829,Insumo[DESCRIPCION],Insumo[VALOR],,0),"")</f>
        <v/>
      </c>
      <c r="F829" s="33"/>
      <c r="G829" s="34" t="str">
        <f>IFERROR(IF(F829&gt;=0,D829*E829*(1+F829/100),ABS(D829*E829/F829)),"")</f>
        <v/>
      </c>
      <c r="H829" s="43" t="str">
        <f>IFERROR(G829*E823,"")</f>
        <v/>
      </c>
    </row>
    <row r="830" spans="1:11">
      <c r="A830" s="28"/>
      <c r="B830" s="29"/>
      <c r="C830" s="30" t="str">
        <f>IFERROR(_xlfn.XLOOKUP(B830,Insumo[DESCRIPCION],Insumo[UND],,0),"")</f>
        <v/>
      </c>
      <c r="D830" s="31"/>
      <c r="E830" s="32" t="str">
        <f>IFERROR(_xlfn.XLOOKUP($B830,Insumo[DESCRIPCION],Insumo[VALOR],,0),"")</f>
        <v/>
      </c>
      <c r="F830" s="33"/>
      <c r="G830" s="34" t="str">
        <f>IFERROR(IF(F830&gt;=0,D830*E830*(1+F830/100),ABS(D830*E830/F830)),"")</f>
        <v/>
      </c>
      <c r="H830" s="43" t="str">
        <f>IFERROR(G830*E823,"")</f>
        <v/>
      </c>
    </row>
    <row r="831" spans="1:11">
      <c r="A831" s="21"/>
      <c r="B831" s="22" t="s">
        <v>3731</v>
      </c>
      <c r="C831" s="23"/>
      <c r="D831" s="24"/>
      <c r="E831" s="25"/>
      <c r="F831" s="26"/>
      <c r="G831" s="27">
        <f>SUM(G832:G834)</f>
        <v>5973.4242670050016</v>
      </c>
      <c r="H831" s="44">
        <f>G831*E823</f>
        <v>0</v>
      </c>
    </row>
    <row r="832" spans="1:11">
      <c r="A832" s="28"/>
      <c r="B832" s="29" t="s">
        <v>3570</v>
      </c>
      <c r="C832" s="30" t="str">
        <f>IFERROR(_xlfn.XLOOKUP(B832,Equipo[DESCRIPCION],Equipo[UND],,0),"")</f>
        <v>%MO</v>
      </c>
      <c r="D832" s="31">
        <v>0.04</v>
      </c>
      <c r="E832" s="32">
        <f>IF(C832="%MO",G838,IFERROR(_xlfn.XLOOKUP($B832,Equipo[DESCRIPCION],Equipo[VALOR],,0),""))</f>
        <v>66371.380744500013</v>
      </c>
      <c r="F832" s="33"/>
      <c r="G832" s="34">
        <f>IFERROR(IF(F832&gt;=0,D832*E832*(1+F832/100),ABS(D832*E832/F832)),"")</f>
        <v>2654.8552297800006</v>
      </c>
      <c r="H832" s="43">
        <f>IFERROR(G832*E823,"")</f>
        <v>0</v>
      </c>
    </row>
    <row r="833" spans="1:11">
      <c r="A833" s="28"/>
      <c r="B833" s="29" t="s">
        <v>3626</v>
      </c>
      <c r="C833" s="30" t="str">
        <f>IFERROR(_xlfn.XLOOKUP(B833,Equipo[DESCRIPCION],Equipo[UND],,0),"")</f>
        <v>%MO</v>
      </c>
      <c r="D833" s="31">
        <v>0.05</v>
      </c>
      <c r="E833" s="32">
        <f>IF(C833="%MO",G838,IFERROR(_xlfn.XLOOKUP($B833,Equipo[DESCRIPCION],Equipo[VALOR],,0),""))</f>
        <v>66371.380744500013</v>
      </c>
      <c r="F833" s="33"/>
      <c r="G833" s="34">
        <f>IFERROR(IF(F833&gt;=0,D833*E833*(1+F833/100),ABS(D833*E833/F833)),"")</f>
        <v>3318.569037225001</v>
      </c>
      <c r="H833" s="43">
        <f>IFERROR(G833*E823,"")</f>
        <v>0</v>
      </c>
    </row>
    <row r="834" spans="1:11">
      <c r="A834" s="28"/>
      <c r="B834" s="29"/>
      <c r="C834" s="30" t="str">
        <f>IFERROR(_xlfn.XLOOKUP(B834,Equipo[DESCRIPCION],Equipo[UND],,0),"")</f>
        <v/>
      </c>
      <c r="D834" s="31"/>
      <c r="E834" s="32" t="str">
        <f>IF(C834="%MO",G838,IFERROR(_xlfn.XLOOKUP($B834,Equipo[DESCRIPCION],Equipo[VALOR],,0),""))</f>
        <v/>
      </c>
      <c r="F834" s="33"/>
      <c r="G834" s="34" t="str">
        <f>IFERROR(IF(F834&gt;=0,D834*E834*(1+F834/100),ABS(D834*E834/F834)),"")</f>
        <v/>
      </c>
      <c r="H834" s="43" t="str">
        <f>IFERROR(G834*E823,"")</f>
        <v/>
      </c>
    </row>
    <row r="835" spans="1:11">
      <c r="A835" s="21"/>
      <c r="B835" s="22" t="s">
        <v>2533</v>
      </c>
      <c r="C835" s="23"/>
      <c r="D835" s="24"/>
      <c r="E835" s="25"/>
      <c r="F835" s="26"/>
      <c r="G835" s="27">
        <f>SUM(G836:G837)</f>
        <v>46021.5</v>
      </c>
      <c r="H835" s="44">
        <f>G835*E823</f>
        <v>0</v>
      </c>
    </row>
    <row r="836" spans="1:11">
      <c r="A836" s="28"/>
      <c r="B836" s="29" t="s">
        <v>3664</v>
      </c>
      <c r="C836" s="30" t="str">
        <f>IFERROR(_xlfn.XLOOKUP(B836,Transporte[DESCRIPCION],Transporte[UND],,0),"")</f>
        <v>M3-km</v>
      </c>
      <c r="D836" s="31">
        <v>30</v>
      </c>
      <c r="E836" s="32">
        <f>IFERROR(_xlfn.XLOOKUP($B836,Transporte[DESCRIPCION],Transporte[VALOR],,0),"")</f>
        <v>1534.05</v>
      </c>
      <c r="F836" s="33"/>
      <c r="G836" s="34">
        <f>IFERROR(IF(F836&gt;=0,D836*E836*(1+F836/100),ABS(D836*E836/F836)),"")</f>
        <v>46021.5</v>
      </c>
      <c r="H836" s="43">
        <f>IFERROR(G836*E823,"")</f>
        <v>0</v>
      </c>
    </row>
    <row r="837" spans="1:11">
      <c r="A837" s="28"/>
      <c r="B837" s="29"/>
      <c r="C837" s="30" t="str">
        <f>IFERROR(_xlfn.XLOOKUP(B837,Transporte[DESCRIPCION],Transporte[UND],,0),"")</f>
        <v/>
      </c>
      <c r="D837" s="31"/>
      <c r="E837" s="32" t="str">
        <f>IFERROR(_xlfn.XLOOKUP($B837,Transporte[DESCRIPCION],Transporte[VALOR],,0),"")</f>
        <v/>
      </c>
      <c r="F837" s="33"/>
      <c r="G837" s="34" t="str">
        <f>IFERROR(IF(F837&gt;=0,D837*E837*(1+F837/100),ABS(D837*E837/F837)),"")</f>
        <v/>
      </c>
      <c r="H837" s="43" t="str">
        <f>IFERROR(G837*E823,"")</f>
        <v/>
      </c>
    </row>
    <row r="838" spans="1:11">
      <c r="A838" s="21"/>
      <c r="B838" s="22" t="s">
        <v>3732</v>
      </c>
      <c r="C838" s="23"/>
      <c r="D838" s="24"/>
      <c r="E838" s="25"/>
      <c r="F838" s="26"/>
      <c r="G838" s="27">
        <f>SUM(G839:G841)</f>
        <v>66371.380744500013</v>
      </c>
      <c r="H838" s="44">
        <f>G838*E823</f>
        <v>0</v>
      </c>
    </row>
    <row r="839" spans="1:11">
      <c r="A839" s="28"/>
      <c r="B839" s="29" t="s">
        <v>3713</v>
      </c>
      <c r="C839" s="30" t="str">
        <f>IFERROR(_xlfn.XLOOKUP(B839,MObra[DESCRIPCION],MObra[UN],,0),"")</f>
        <v>día</v>
      </c>
      <c r="D839" s="31">
        <v>1</v>
      </c>
      <c r="E839" s="32">
        <f>IFERROR(_xlfn.XLOOKUP($B839,MObra[DESCRIPCION],MObra[VALOR UNIT],,0),"")</f>
        <v>663713.80744500016</v>
      </c>
      <c r="F839" s="33">
        <v>-10</v>
      </c>
      <c r="G839" s="34">
        <f>IFERROR(IF(F839&gt;=0,D839*E839*(1+F839/100),ABS(D839*E839/F839)),"")</f>
        <v>66371.380744500013</v>
      </c>
      <c r="H839" s="43">
        <f>IFERROR(G839*E823,"")</f>
        <v>0</v>
      </c>
    </row>
    <row r="840" spans="1:11">
      <c r="A840" s="28"/>
      <c r="B840" s="29"/>
      <c r="C840" s="30" t="str">
        <f>IFERROR(_xlfn.XLOOKUP(B840,MObra[DESCRIPCION],MObra[UN],,0),"")</f>
        <v/>
      </c>
      <c r="D840" s="31"/>
      <c r="E840" s="32" t="str">
        <f>IFERROR(_xlfn.XLOOKUP($B840,MObra[DESCRIPCION],MObra[VALOR UNIT],,0),"")</f>
        <v/>
      </c>
      <c r="F840" s="33"/>
      <c r="G840" s="34" t="str">
        <f>IFERROR(IF(F840&gt;=0,D840*E840*(1+F840/100),ABS(D840*E840/F840)),"")</f>
        <v/>
      </c>
      <c r="H840" s="43" t="str">
        <f>IFERROR(G840*E823,"")</f>
        <v/>
      </c>
    </row>
    <row r="841" spans="1:11">
      <c r="A841" s="35"/>
      <c r="B841" s="36"/>
      <c r="C841" s="37" t="str">
        <f>IFERROR(_xlfn.XLOOKUP(B841,MObra[DESCRIPCION],MObra[UN],,0),"")</f>
        <v/>
      </c>
      <c r="D841" s="38"/>
      <c r="E841" s="39" t="str">
        <f>IFERROR(_xlfn.XLOOKUP($B841,MObra[DESCRIPCION],MObra[VALOR UNIT],,0),"")</f>
        <v/>
      </c>
      <c r="F841" s="40"/>
      <c r="G841" s="41" t="str">
        <f>IFERROR(IF(F841&gt;=0,D841*E841*(1+F841/100),ABS(D841*E841/F841)),"")</f>
        <v/>
      </c>
      <c r="H841" s="42" t="str">
        <f>IFERROR(G841*E823,"")</f>
        <v/>
      </c>
    </row>
    <row r="843" spans="1:11">
      <c r="A843" s="6" t="s">
        <v>1808</v>
      </c>
      <c r="B843" s="7" t="str">
        <f>VLOOKUP($A843,Presupuesto!$A:$D,2,FALSE())</f>
        <v>Filtro francés + geotextil 1600 NT + tubería drenaje Ø = 100 mm</v>
      </c>
      <c r="C843" s="8" t="str">
        <f>VLOOKUP($A843,Presupuesto!$A:$D,3,FALSE())</f>
        <v>M3</v>
      </c>
      <c r="D843" s="9"/>
      <c r="E843" s="10">
        <f>VLOOKUP($A843,Presupuesto!$A:$D,4,FALSE())</f>
        <v>0</v>
      </c>
      <c r="F843" s="11" t="s">
        <v>2589</v>
      </c>
      <c r="G843" s="12">
        <f>SUM(G845:G861)/2</f>
        <v>409213.94146150496</v>
      </c>
      <c r="H843" s="13">
        <f>ROUND(SUM(H845:H861),0)/2</f>
        <v>0</v>
      </c>
      <c r="I843" s="10">
        <f>VLOOKUP(A843,Presupuesto!$A:$F,6,0)</f>
        <v>0</v>
      </c>
      <c r="J843" s="10">
        <f>+H843-I843</f>
        <v>0</v>
      </c>
      <c r="K843" s="46">
        <f>+H843-G843*E843</f>
        <v>0</v>
      </c>
    </row>
    <row r="844" spans="1:11">
      <c r="A844" s="14"/>
      <c r="B844" s="15" t="s">
        <v>2586</v>
      </c>
      <c r="C844" s="15" t="s">
        <v>5</v>
      </c>
      <c r="D844" s="16" t="s">
        <v>6</v>
      </c>
      <c r="E844" s="17" t="s">
        <v>7</v>
      </c>
      <c r="F844" s="18" t="s">
        <v>3728</v>
      </c>
      <c r="G844" s="19" t="s">
        <v>3729</v>
      </c>
      <c r="H844" s="20" t="s">
        <v>3797</v>
      </c>
    </row>
    <row r="845" spans="1:11">
      <c r="A845" s="21"/>
      <c r="B845" s="22" t="s">
        <v>3730</v>
      </c>
      <c r="C845" s="23"/>
      <c r="D845" s="24"/>
      <c r="E845" s="25"/>
      <c r="F845" s="26"/>
      <c r="G845" s="27">
        <f>SUM(G846:G850)</f>
        <v>290847.63644999999</v>
      </c>
      <c r="H845" s="27">
        <f>IFERROR(G845*E843,"")</f>
        <v>0</v>
      </c>
    </row>
    <row r="846" spans="1:11">
      <c r="A846" s="28"/>
      <c r="B846" s="29" t="s">
        <v>3203</v>
      </c>
      <c r="C846" s="30" t="str">
        <f>IFERROR(_xlfn.XLOOKUP(B846,Insumo[DESCRIPCION],Insumo[UND],,0),"")</f>
        <v>M3</v>
      </c>
      <c r="D846" s="31">
        <v>1</v>
      </c>
      <c r="E846" s="32">
        <f>IFERROR(_xlfn.XLOOKUP($B846,Insumo[DESCRIPCION],Insumo[VALOR],,0),"")</f>
        <v>113662.5</v>
      </c>
      <c r="F846" s="33">
        <v>5</v>
      </c>
      <c r="G846" s="34">
        <f>IFERROR(IF(F846&gt;=0,D846*E846*(1+F846/100),ABS(D846*E846/F846)),"")</f>
        <v>119345.625</v>
      </c>
      <c r="H846" s="43">
        <f>IFERROR(G846*E843,"")</f>
        <v>0</v>
      </c>
    </row>
    <row r="847" spans="1:11">
      <c r="A847" s="28"/>
      <c r="B847" s="29" t="s">
        <v>2975</v>
      </c>
      <c r="C847" s="30" t="str">
        <f>IFERROR(_xlfn.XLOOKUP(B847,Insumo[DESCRIPCION],Insumo[UND],,0),"")</f>
        <v>M2</v>
      </c>
      <c r="D847" s="31">
        <v>9.5</v>
      </c>
      <c r="E847" s="32">
        <f>IFERROR(_xlfn.XLOOKUP($B847,Insumo[DESCRIPCION],Insumo[VALOR],,0),"")</f>
        <v>4189.5</v>
      </c>
      <c r="F847" s="33">
        <v>5</v>
      </c>
      <c r="G847" s="34">
        <f>IFERROR(IF(F847&gt;=0,D847*E847*(1+F847/100),ABS(D847*E847/F847)),"")</f>
        <v>41790.262500000004</v>
      </c>
      <c r="H847" s="43">
        <f>IFERROR(G847*E843,"")</f>
        <v>0</v>
      </c>
    </row>
    <row r="848" spans="1:11">
      <c r="A848" s="28"/>
      <c r="B848" s="29" t="s">
        <v>3471</v>
      </c>
      <c r="C848" s="30" t="str">
        <f>IFERROR(_xlfn.XLOOKUP(B848,Insumo[DESCRIPCION],Insumo[UND],,0),"")</f>
        <v>M</v>
      </c>
      <c r="D848" s="31">
        <v>4.17</v>
      </c>
      <c r="E848" s="32">
        <f>IFERROR(_xlfn.XLOOKUP($B848,Insumo[DESCRIPCION],Insumo[VALOR],,0),"")</f>
        <v>29624.7</v>
      </c>
      <c r="F848" s="33">
        <v>5</v>
      </c>
      <c r="G848" s="34">
        <f>IFERROR(IF(F848&gt;=0,D848*E848*(1+F848/100),ABS(D848*E848/F848)),"")</f>
        <v>129711.74895000001</v>
      </c>
      <c r="H848" s="43">
        <f>IFERROR(G848*E843,"")</f>
        <v>0</v>
      </c>
    </row>
    <row r="849" spans="1:11">
      <c r="A849" s="28"/>
      <c r="B849" s="29"/>
      <c r="C849" s="30" t="str">
        <f>IFERROR(_xlfn.XLOOKUP(B849,Insumo[DESCRIPCION],Insumo[UND],,0),"")</f>
        <v/>
      </c>
      <c r="D849" s="31"/>
      <c r="E849" s="32" t="str">
        <f>IFERROR(_xlfn.XLOOKUP($B849,Insumo[DESCRIPCION],Insumo[VALOR],,0),"")</f>
        <v/>
      </c>
      <c r="F849" s="33"/>
      <c r="G849" s="34" t="str">
        <f>IFERROR(IF(F849&gt;=0,D849*E849*(1+F849/100),ABS(D849*E849/F849)),"")</f>
        <v/>
      </c>
      <c r="H849" s="43" t="str">
        <f>IFERROR(G849*E843,"")</f>
        <v/>
      </c>
    </row>
    <row r="850" spans="1:11">
      <c r="A850" s="28"/>
      <c r="B850" s="29"/>
      <c r="C850" s="30" t="str">
        <f>IFERROR(_xlfn.XLOOKUP(B850,Insumo[DESCRIPCION],Insumo[UND],,0),"")</f>
        <v/>
      </c>
      <c r="D850" s="31"/>
      <c r="E850" s="32" t="str">
        <f>IFERROR(_xlfn.XLOOKUP($B850,Insumo[DESCRIPCION],Insumo[VALOR],,0),"")</f>
        <v/>
      </c>
      <c r="F850" s="33"/>
      <c r="G850" s="34" t="str">
        <f>IFERROR(IF(F850&gt;=0,D850*E850*(1+F850/100),ABS(D850*E850/F850)),"")</f>
        <v/>
      </c>
      <c r="H850" s="43" t="str">
        <f>IFERROR(G850*E843,"")</f>
        <v/>
      </c>
    </row>
    <row r="851" spans="1:11">
      <c r="A851" s="21"/>
      <c r="B851" s="22" t="s">
        <v>3731</v>
      </c>
      <c r="C851" s="23"/>
      <c r="D851" s="24"/>
      <c r="E851" s="25"/>
      <c r="F851" s="26"/>
      <c r="G851" s="27">
        <f>SUM(G852:G854)</f>
        <v>5973.4242670050016</v>
      </c>
      <c r="H851" s="44">
        <f>G851*E843</f>
        <v>0</v>
      </c>
    </row>
    <row r="852" spans="1:11">
      <c r="A852" s="28"/>
      <c r="B852" s="29" t="s">
        <v>3570</v>
      </c>
      <c r="C852" s="30" t="str">
        <f>IFERROR(_xlfn.XLOOKUP(B852,Equipo[DESCRIPCION],Equipo[UND],,0),"")</f>
        <v>%MO</v>
      </c>
      <c r="D852" s="31">
        <v>0.04</v>
      </c>
      <c r="E852" s="32">
        <f>IF(C852="%MO",G858,IFERROR(_xlfn.XLOOKUP($B852,Equipo[DESCRIPCION],Equipo[VALOR],,0),""))</f>
        <v>66371.380744500013</v>
      </c>
      <c r="F852" s="33"/>
      <c r="G852" s="34">
        <f>IFERROR(IF(F852&gt;=0,D852*E852*(1+F852/100),ABS(D852*E852/F852)),"")</f>
        <v>2654.8552297800006</v>
      </c>
      <c r="H852" s="43">
        <f>IFERROR(G852*E843,"")</f>
        <v>0</v>
      </c>
    </row>
    <row r="853" spans="1:11">
      <c r="A853" s="28"/>
      <c r="B853" s="29" t="s">
        <v>3626</v>
      </c>
      <c r="C853" s="30" t="str">
        <f>IFERROR(_xlfn.XLOOKUP(B853,Equipo[DESCRIPCION],Equipo[UND],,0),"")</f>
        <v>%MO</v>
      </c>
      <c r="D853" s="31">
        <v>0.05</v>
      </c>
      <c r="E853" s="32">
        <f>IF(C853="%MO",G858,IFERROR(_xlfn.XLOOKUP($B853,Equipo[DESCRIPCION],Equipo[VALOR],,0),""))</f>
        <v>66371.380744500013</v>
      </c>
      <c r="F853" s="33"/>
      <c r="G853" s="34">
        <f>IFERROR(IF(F853&gt;=0,D853*E853*(1+F853/100),ABS(D853*E853/F853)),"")</f>
        <v>3318.569037225001</v>
      </c>
      <c r="H853" s="43">
        <f>IFERROR(G853*E843,"")</f>
        <v>0</v>
      </c>
    </row>
    <row r="854" spans="1:11">
      <c r="A854" s="28"/>
      <c r="B854" s="29"/>
      <c r="C854" s="30" t="str">
        <f>IFERROR(_xlfn.XLOOKUP(B854,Equipo[DESCRIPCION],Equipo[UND],,0),"")</f>
        <v/>
      </c>
      <c r="D854" s="31"/>
      <c r="E854" s="32" t="str">
        <f>IF(C854="%MO",G858,IFERROR(_xlfn.XLOOKUP($B854,Equipo[DESCRIPCION],Equipo[VALOR],,0),""))</f>
        <v/>
      </c>
      <c r="F854" s="33"/>
      <c r="G854" s="34" t="str">
        <f>IFERROR(IF(F854&gt;=0,D854*E854*(1+F854/100),ABS(D854*E854/F854)),"")</f>
        <v/>
      </c>
      <c r="H854" s="43" t="str">
        <f>IFERROR(G854*E843,"")</f>
        <v/>
      </c>
    </row>
    <row r="855" spans="1:11">
      <c r="A855" s="21"/>
      <c r="B855" s="22" t="s">
        <v>2533</v>
      </c>
      <c r="C855" s="23"/>
      <c r="D855" s="24"/>
      <c r="E855" s="25"/>
      <c r="F855" s="26"/>
      <c r="G855" s="27">
        <f>SUM(G856:G857)</f>
        <v>46021.5</v>
      </c>
      <c r="H855" s="44">
        <f>G855*E843</f>
        <v>0</v>
      </c>
    </row>
    <row r="856" spans="1:11">
      <c r="A856" s="28"/>
      <c r="B856" s="29" t="s">
        <v>3664</v>
      </c>
      <c r="C856" s="30" t="str">
        <f>IFERROR(_xlfn.XLOOKUP(B856,Transporte[DESCRIPCION],Transporte[UND],,0),"")</f>
        <v>M3-km</v>
      </c>
      <c r="D856" s="31">
        <v>30</v>
      </c>
      <c r="E856" s="32">
        <f>IFERROR(_xlfn.XLOOKUP($B856,Transporte[DESCRIPCION],Transporte[VALOR],,0),"")</f>
        <v>1534.05</v>
      </c>
      <c r="F856" s="33"/>
      <c r="G856" s="34">
        <f>IFERROR(IF(F856&gt;=0,D856*E856*(1+F856/100),ABS(D856*E856/F856)),"")</f>
        <v>46021.5</v>
      </c>
      <c r="H856" s="43">
        <f>IFERROR(G856*E843,"")</f>
        <v>0</v>
      </c>
    </row>
    <row r="857" spans="1:11">
      <c r="A857" s="28"/>
      <c r="B857" s="29"/>
      <c r="C857" s="30" t="str">
        <f>IFERROR(_xlfn.XLOOKUP(B857,Transporte[DESCRIPCION],Transporte[UND],,0),"")</f>
        <v/>
      </c>
      <c r="D857" s="31"/>
      <c r="E857" s="32" t="str">
        <f>IFERROR(_xlfn.XLOOKUP($B857,Transporte[DESCRIPCION],Transporte[VALOR],,0),"")</f>
        <v/>
      </c>
      <c r="F857" s="33"/>
      <c r="G857" s="34" t="str">
        <f>IFERROR(IF(F857&gt;=0,D857*E857*(1+F857/100),ABS(D857*E857/F857)),"")</f>
        <v/>
      </c>
      <c r="H857" s="43" t="str">
        <f>IFERROR(G857*E843,"")</f>
        <v/>
      </c>
    </row>
    <row r="858" spans="1:11">
      <c r="A858" s="21"/>
      <c r="B858" s="22" t="s">
        <v>3732</v>
      </c>
      <c r="C858" s="23"/>
      <c r="D858" s="24"/>
      <c r="E858" s="25"/>
      <c r="F858" s="26"/>
      <c r="G858" s="27">
        <f>SUM(G859:G861)</f>
        <v>66371.380744500013</v>
      </c>
      <c r="H858" s="44">
        <f>G858*E843</f>
        <v>0</v>
      </c>
    </row>
    <row r="859" spans="1:11">
      <c r="A859" s="28"/>
      <c r="B859" s="29" t="s">
        <v>3713</v>
      </c>
      <c r="C859" s="30" t="str">
        <f>IFERROR(_xlfn.XLOOKUP(B859,MObra[DESCRIPCION],MObra[UN],,0),"")</f>
        <v>día</v>
      </c>
      <c r="D859" s="31">
        <v>1</v>
      </c>
      <c r="E859" s="32">
        <f>IFERROR(_xlfn.XLOOKUP($B859,MObra[DESCRIPCION],MObra[VALOR UNIT],,0),"")</f>
        <v>663713.80744500016</v>
      </c>
      <c r="F859" s="33">
        <v>-10</v>
      </c>
      <c r="G859" s="34">
        <f>IFERROR(IF(F859&gt;=0,D859*E859*(1+F859/100),ABS(D859*E859/F859)),"")</f>
        <v>66371.380744500013</v>
      </c>
      <c r="H859" s="43">
        <f>IFERROR(G859*E843,"")</f>
        <v>0</v>
      </c>
    </row>
    <row r="860" spans="1:11">
      <c r="A860" s="28"/>
      <c r="B860" s="29"/>
      <c r="C860" s="30" t="str">
        <f>IFERROR(_xlfn.XLOOKUP(B860,MObra[DESCRIPCION],MObra[UN],,0),"")</f>
        <v/>
      </c>
      <c r="D860" s="31"/>
      <c r="E860" s="32" t="str">
        <f>IFERROR(_xlfn.XLOOKUP($B860,MObra[DESCRIPCION],MObra[VALOR UNIT],,0),"")</f>
        <v/>
      </c>
      <c r="F860" s="33"/>
      <c r="G860" s="34" t="str">
        <f>IFERROR(IF(F860&gt;=0,D860*E860*(1+F860/100),ABS(D860*E860/F860)),"")</f>
        <v/>
      </c>
      <c r="H860" s="43" t="str">
        <f>IFERROR(G860*E843,"")</f>
        <v/>
      </c>
    </row>
    <row r="861" spans="1:11">
      <c r="A861" s="35"/>
      <c r="B861" s="36"/>
      <c r="C861" s="37" t="str">
        <f>IFERROR(_xlfn.XLOOKUP(B861,MObra[DESCRIPCION],MObra[UN],,0),"")</f>
        <v/>
      </c>
      <c r="D861" s="38"/>
      <c r="E861" s="39" t="str">
        <f>IFERROR(_xlfn.XLOOKUP($B861,MObra[DESCRIPCION],MObra[VALOR UNIT],,0),"")</f>
        <v/>
      </c>
      <c r="F861" s="40"/>
      <c r="G861" s="41" t="str">
        <f>IFERROR(IF(F861&gt;=0,D861*E861*(1+F861/100),ABS(D861*E861/F861)),"")</f>
        <v/>
      </c>
      <c r="H861" s="42" t="str">
        <f>IFERROR(G861*E843,"")</f>
        <v/>
      </c>
    </row>
    <row r="863" spans="1:11">
      <c r="A863" s="6" t="s">
        <v>1810</v>
      </c>
      <c r="B863" s="7" t="str">
        <f>VLOOKUP($A863,Presupuesto!$A:$D,2,FALSE())</f>
        <v>Filtro francés + geotextil 1600 NT + tubería drenaje Ø = 65 mm</v>
      </c>
      <c r="C863" s="8" t="str">
        <f>VLOOKUP($A863,Presupuesto!$A:$D,3,FALSE())</f>
        <v>M3</v>
      </c>
      <c r="D863" s="9"/>
      <c r="E863" s="10">
        <f>VLOOKUP($A863,Presupuesto!$A:$D,4,FALSE())</f>
        <v>0</v>
      </c>
      <c r="F863" s="11" t="s">
        <v>2589</v>
      </c>
      <c r="G863" s="12">
        <f>SUM(G865:G881)/2</f>
        <v>352927.66718650499</v>
      </c>
      <c r="H863" s="13">
        <f>ROUND(SUM(H865:H877),0)/2</f>
        <v>0</v>
      </c>
      <c r="I863" s="10">
        <f>VLOOKUP(A863,Presupuesto!$A:$F,6,0)</f>
        <v>0</v>
      </c>
      <c r="J863" s="10">
        <f>+H863-I863</f>
        <v>0</v>
      </c>
      <c r="K863" s="46">
        <f>+H863-G863*E863</f>
        <v>0</v>
      </c>
    </row>
    <row r="864" spans="1:11">
      <c r="A864" s="14"/>
      <c r="B864" s="15" t="s">
        <v>2586</v>
      </c>
      <c r="C864" s="15" t="s">
        <v>5</v>
      </c>
      <c r="D864" s="16" t="s">
        <v>6</v>
      </c>
      <c r="E864" s="17" t="s">
        <v>7</v>
      </c>
      <c r="F864" s="18" t="s">
        <v>3728</v>
      </c>
      <c r="G864" s="19" t="s">
        <v>3729</v>
      </c>
      <c r="H864" s="20" t="s">
        <v>3797</v>
      </c>
    </row>
    <row r="865" spans="1:8">
      <c r="A865" s="21"/>
      <c r="B865" s="22" t="s">
        <v>3730</v>
      </c>
      <c r="C865" s="23"/>
      <c r="D865" s="24"/>
      <c r="E865" s="25"/>
      <c r="F865" s="26"/>
      <c r="G865" s="27">
        <f>SUM(G866:G870)</f>
        <v>234561.36217500002</v>
      </c>
      <c r="H865" s="27">
        <f>IFERROR(G865*E863,"")</f>
        <v>0</v>
      </c>
    </row>
    <row r="866" spans="1:8">
      <c r="A866" s="28"/>
      <c r="B866" s="29" t="s">
        <v>3203</v>
      </c>
      <c r="C866" s="30" t="str">
        <f>IFERROR(_xlfn.XLOOKUP(B866,Insumo[DESCRIPCION],Insumo[UND],,0),"")</f>
        <v>M3</v>
      </c>
      <c r="D866" s="31">
        <v>1</v>
      </c>
      <c r="E866" s="32">
        <f>IFERROR(_xlfn.XLOOKUP($B866,Insumo[DESCRIPCION],Insumo[VALOR],,0),"")</f>
        <v>113662.5</v>
      </c>
      <c r="F866" s="33">
        <v>5</v>
      </c>
      <c r="G866" s="34">
        <f>IFERROR(IF(F866&gt;=0,D866*E866*(1+F866/100),ABS(D866*E866/F866)),"")</f>
        <v>119345.625</v>
      </c>
      <c r="H866" s="43">
        <f>IFERROR(G866*E863,"")</f>
        <v>0</v>
      </c>
    </row>
    <row r="867" spans="1:8">
      <c r="A867" s="28"/>
      <c r="B867" s="29" t="s">
        <v>2975</v>
      </c>
      <c r="C867" s="30" t="str">
        <f>IFERROR(_xlfn.XLOOKUP(B867,Insumo[DESCRIPCION],Insumo[UND],,0),"")</f>
        <v>M2</v>
      </c>
      <c r="D867" s="31">
        <v>9.5</v>
      </c>
      <c r="E867" s="32">
        <f>IFERROR(_xlfn.XLOOKUP($B867,Insumo[DESCRIPCION],Insumo[VALOR],,0),"")</f>
        <v>4189.5</v>
      </c>
      <c r="F867" s="33">
        <v>5</v>
      </c>
      <c r="G867" s="34">
        <f>IFERROR(IF(F867&gt;=0,D867*E867*(1+F867/100),ABS(D867*E867/F867)),"")</f>
        <v>41790.262500000004</v>
      </c>
      <c r="H867" s="43">
        <f>IFERROR(G867*E863,"")</f>
        <v>0</v>
      </c>
    </row>
    <row r="868" spans="1:8">
      <c r="A868" s="28"/>
      <c r="B868" s="29" t="s">
        <v>3474</v>
      </c>
      <c r="C868" s="30" t="str">
        <f>IFERROR(_xlfn.XLOOKUP(B868,Insumo[DESCRIPCION],Insumo[UND],,0),"")</f>
        <v>M</v>
      </c>
      <c r="D868" s="31">
        <v>4.17</v>
      </c>
      <c r="E868" s="32">
        <f>IFERROR(_xlfn.XLOOKUP($B868,Insumo[DESCRIPCION],Insumo[VALOR],,0),"")</f>
        <v>16769.55</v>
      </c>
      <c r="F868" s="33">
        <v>5</v>
      </c>
      <c r="G868" s="34">
        <f>IFERROR(IF(F868&gt;=0,D868*E868*(1+F868/100),ABS(D868*E868/F868)),"")</f>
        <v>73425.474675000005</v>
      </c>
      <c r="H868" s="43">
        <f>IFERROR(G868*E863,"")</f>
        <v>0</v>
      </c>
    </row>
    <row r="869" spans="1:8">
      <c r="A869" s="28"/>
      <c r="B869" s="29"/>
      <c r="C869" s="30" t="str">
        <f>IFERROR(_xlfn.XLOOKUP(B869,Insumo[DESCRIPCION],Insumo[UND],,0),"")</f>
        <v/>
      </c>
      <c r="D869" s="31"/>
      <c r="E869" s="32" t="str">
        <f>IFERROR(_xlfn.XLOOKUP($B869,Insumo[DESCRIPCION],Insumo[VALOR],,0),"")</f>
        <v/>
      </c>
      <c r="F869" s="33"/>
      <c r="G869" s="34" t="str">
        <f>IFERROR(IF(F869&gt;=0,D869*E869*(1+F869/100),ABS(D869*E869/F869)),"")</f>
        <v/>
      </c>
      <c r="H869" s="43" t="str">
        <f>IFERROR(G869*E863,"")</f>
        <v/>
      </c>
    </row>
    <row r="870" spans="1:8">
      <c r="A870" s="28"/>
      <c r="B870" s="29"/>
      <c r="C870" s="30" t="str">
        <f>IFERROR(_xlfn.XLOOKUP(B870,Insumo[DESCRIPCION],Insumo[UND],,0),"")</f>
        <v/>
      </c>
      <c r="D870" s="31"/>
      <c r="E870" s="32" t="str">
        <f>IFERROR(_xlfn.XLOOKUP($B870,Insumo[DESCRIPCION],Insumo[VALOR],,0),"")</f>
        <v/>
      </c>
      <c r="F870" s="33"/>
      <c r="G870" s="34" t="str">
        <f>IFERROR(IF(F870&gt;=0,D870*E870*(1+F870/100),ABS(D870*E870/F870)),"")</f>
        <v/>
      </c>
      <c r="H870" s="43" t="str">
        <f>IFERROR(G870*E863,"")</f>
        <v/>
      </c>
    </row>
    <row r="871" spans="1:8">
      <c r="A871" s="21"/>
      <c r="B871" s="22" t="s">
        <v>3731</v>
      </c>
      <c r="C871" s="23"/>
      <c r="D871" s="24"/>
      <c r="E871" s="25"/>
      <c r="F871" s="26"/>
      <c r="G871" s="27">
        <f>SUM(G872:G874)</f>
        <v>5973.4242670050016</v>
      </c>
      <c r="H871" s="44">
        <f>G871*E863</f>
        <v>0</v>
      </c>
    </row>
    <row r="872" spans="1:8">
      <c r="A872" s="28"/>
      <c r="B872" s="29" t="s">
        <v>3570</v>
      </c>
      <c r="C872" s="30" t="str">
        <f>IFERROR(_xlfn.XLOOKUP(B872,Equipo[DESCRIPCION],Equipo[UND],,0),"")</f>
        <v>%MO</v>
      </c>
      <c r="D872" s="31">
        <v>0.04</v>
      </c>
      <c r="E872" s="32">
        <f>IF(C872="%MO",G878,IFERROR(_xlfn.XLOOKUP($B872,Equipo[DESCRIPCION],Equipo[VALOR],,0),""))</f>
        <v>66371.380744500013</v>
      </c>
      <c r="F872" s="33"/>
      <c r="G872" s="34">
        <f>IFERROR(IF(F872&gt;=0,D872*E872*(1+F872/100),ABS(D872*E872/F872)),"")</f>
        <v>2654.8552297800006</v>
      </c>
      <c r="H872" s="43">
        <f>IFERROR(G872*E863,"")</f>
        <v>0</v>
      </c>
    </row>
    <row r="873" spans="1:8">
      <c r="A873" s="28"/>
      <c r="B873" s="29" t="s">
        <v>3626</v>
      </c>
      <c r="C873" s="30" t="str">
        <f>IFERROR(_xlfn.XLOOKUP(B873,Equipo[DESCRIPCION],Equipo[UND],,0),"")</f>
        <v>%MO</v>
      </c>
      <c r="D873" s="31">
        <v>0.05</v>
      </c>
      <c r="E873" s="32">
        <f>IF(C873="%MO",G878,IFERROR(_xlfn.XLOOKUP($B873,Equipo[DESCRIPCION],Equipo[VALOR],,0),""))</f>
        <v>66371.380744500013</v>
      </c>
      <c r="F873" s="33"/>
      <c r="G873" s="34">
        <f>IFERROR(IF(F873&gt;=0,D873*E873*(1+F873/100),ABS(D873*E873/F873)),"")</f>
        <v>3318.569037225001</v>
      </c>
      <c r="H873" s="43">
        <f>IFERROR(G873*E863,"")</f>
        <v>0</v>
      </c>
    </row>
    <row r="874" spans="1:8">
      <c r="A874" s="28"/>
      <c r="B874" s="29"/>
      <c r="C874" s="30" t="str">
        <f>IFERROR(_xlfn.XLOOKUP(B874,Equipo[DESCRIPCION],Equipo[UND],,0),"")</f>
        <v/>
      </c>
      <c r="D874" s="31"/>
      <c r="E874" s="32" t="str">
        <f>IF(C874="%MO",G878,IFERROR(_xlfn.XLOOKUP($B874,Equipo[DESCRIPCION],Equipo[VALOR],,0),""))</f>
        <v/>
      </c>
      <c r="F874" s="33"/>
      <c r="G874" s="34" t="str">
        <f>IFERROR(IF(F874&gt;=0,D874*E874*(1+F874/100),ABS(D874*E874/F874)),"")</f>
        <v/>
      </c>
      <c r="H874" s="43" t="str">
        <f>IFERROR(G874*E863,"")</f>
        <v/>
      </c>
    </row>
    <row r="875" spans="1:8">
      <c r="A875" s="21"/>
      <c r="B875" s="22" t="s">
        <v>2533</v>
      </c>
      <c r="C875" s="23"/>
      <c r="D875" s="24"/>
      <c r="E875" s="25"/>
      <c r="F875" s="26"/>
      <c r="G875" s="27">
        <f>SUM(G876:G877)</f>
        <v>46021.5</v>
      </c>
      <c r="H875" s="44">
        <f>G875*E863</f>
        <v>0</v>
      </c>
    </row>
    <row r="876" spans="1:8">
      <c r="A876" s="28"/>
      <c r="B876" s="29" t="s">
        <v>3664</v>
      </c>
      <c r="C876" s="30" t="str">
        <f>IFERROR(_xlfn.XLOOKUP(B876,Transporte[DESCRIPCION],Transporte[UND],,0),"")</f>
        <v>M3-km</v>
      </c>
      <c r="D876" s="31">
        <v>30</v>
      </c>
      <c r="E876" s="32">
        <f>IFERROR(_xlfn.XLOOKUP($B876,Transporte[DESCRIPCION],Transporte[VALOR],,0),"")</f>
        <v>1534.05</v>
      </c>
      <c r="F876" s="33"/>
      <c r="G876" s="34">
        <f>IFERROR(IF(F876&gt;=0,D876*E876*(1+F876/100),ABS(D876*E876/F876)),"")</f>
        <v>46021.5</v>
      </c>
      <c r="H876" s="43">
        <f>IFERROR(G876*E863,"")</f>
        <v>0</v>
      </c>
    </row>
    <row r="877" spans="1:8">
      <c r="A877" s="28"/>
      <c r="B877" s="29"/>
      <c r="C877" s="30" t="str">
        <f>IFERROR(_xlfn.XLOOKUP(B877,Transporte[DESCRIPCION],Transporte[UND],,0),"")</f>
        <v/>
      </c>
      <c r="D877" s="31"/>
      <c r="E877" s="32" t="str">
        <f>IFERROR(_xlfn.XLOOKUP($B877,Transporte[DESCRIPCION],Transporte[VALOR],,0),"")</f>
        <v/>
      </c>
      <c r="F877" s="33"/>
      <c r="G877" s="34" t="str">
        <f>IFERROR(IF(F877&gt;=0,D877*E877*(1+F877/100),ABS(D877*E877/F877)),"")</f>
        <v/>
      </c>
      <c r="H877" s="43" t="str">
        <f>IFERROR(G877*E863,"")</f>
        <v/>
      </c>
    </row>
    <row r="878" spans="1:8">
      <c r="A878" s="21"/>
      <c r="B878" s="22" t="s">
        <v>3732</v>
      </c>
      <c r="C878" s="23"/>
      <c r="D878" s="24"/>
      <c r="E878" s="25"/>
      <c r="F878" s="26"/>
      <c r="G878" s="27">
        <f>SUM(G879:G881)</f>
        <v>66371.380744500013</v>
      </c>
      <c r="H878" s="44">
        <f>G878*E863</f>
        <v>0</v>
      </c>
    </row>
    <row r="879" spans="1:8">
      <c r="A879" s="28"/>
      <c r="B879" s="29" t="s">
        <v>3713</v>
      </c>
      <c r="C879" s="30" t="str">
        <f>IFERROR(_xlfn.XLOOKUP(B879,MObra[DESCRIPCION],MObra[UN],,0),"")</f>
        <v>día</v>
      </c>
      <c r="D879" s="31">
        <v>1</v>
      </c>
      <c r="E879" s="32">
        <f>IFERROR(_xlfn.XLOOKUP($B879,MObra[DESCRIPCION],MObra[VALOR UNIT],,0),"")</f>
        <v>663713.80744500016</v>
      </c>
      <c r="F879" s="33">
        <v>-10</v>
      </c>
      <c r="G879" s="34">
        <f>IFERROR(IF(F879&gt;=0,D879*E879*(1+F879/100),ABS(D879*E879/F879)),"")</f>
        <v>66371.380744500013</v>
      </c>
      <c r="H879" s="43">
        <f>IFERROR(G879*E863,"")</f>
        <v>0</v>
      </c>
    </row>
    <row r="880" spans="1:8">
      <c r="A880" s="28"/>
      <c r="B880" s="29"/>
      <c r="C880" s="30" t="str">
        <f>IFERROR(_xlfn.XLOOKUP(B880,MObra[DESCRIPCION],MObra[UN],,0),"")</f>
        <v/>
      </c>
      <c r="D880" s="31"/>
      <c r="E880" s="32" t="str">
        <f>IFERROR(_xlfn.XLOOKUP($B880,MObra[DESCRIPCION],MObra[VALOR UNIT],,0),"")</f>
        <v/>
      </c>
      <c r="F880" s="33"/>
      <c r="G880" s="34" t="str">
        <f>IFERROR(IF(F880&gt;=0,D880*E880*(1+F880/100),ABS(D880*E880/F880)),"")</f>
        <v/>
      </c>
      <c r="H880" s="43" t="str">
        <f>IFERROR(G880*E863,"")</f>
        <v/>
      </c>
    </row>
    <row r="881" spans="1:11">
      <c r="A881" s="35"/>
      <c r="B881" s="36"/>
      <c r="C881" s="37" t="str">
        <f>IFERROR(_xlfn.XLOOKUP(B881,MObra[DESCRIPCION],MObra[UN],,0),"")</f>
        <v/>
      </c>
      <c r="D881" s="38"/>
      <c r="E881" s="39" t="str">
        <f>IFERROR(_xlfn.XLOOKUP($B881,MObra[DESCRIPCION],MObra[VALOR UNIT],,0),"")</f>
        <v/>
      </c>
      <c r="F881" s="40"/>
      <c r="G881" s="41" t="str">
        <f>IFERROR(IF(F881&gt;=0,D881*E881*(1+F881/100),ABS(D881*E881/F881)),"")</f>
        <v/>
      </c>
      <c r="H881" s="42" t="str">
        <f>IFERROR(G881*E863,"")</f>
        <v/>
      </c>
    </row>
    <row r="883" spans="1:11">
      <c r="A883" s="6" t="s">
        <v>1812</v>
      </c>
      <c r="B883" s="7" t="str">
        <f>VLOOKUP($A883,Presupuesto!$A:$D,2,FALSE())</f>
        <v>Gavión con malla triple torsión C 13 ojo 7.5</v>
      </c>
      <c r="C883" s="8" t="str">
        <f>VLOOKUP($A883,Presupuesto!$A:$D,3,FALSE())</f>
        <v>M3</v>
      </c>
      <c r="D883" s="9"/>
      <c r="E883" s="10">
        <f>VLOOKUP($A883,Presupuesto!$A:$D,4,FALSE())</f>
        <v>0</v>
      </c>
      <c r="F883" s="11" t="s">
        <v>2589</v>
      </c>
      <c r="G883" s="12">
        <f>SUM(G885:G900)/2</f>
        <v>282896.7350095876</v>
      </c>
      <c r="H883" s="13">
        <f>ROUND(SUM(H885:H900),0)/2</f>
        <v>0</v>
      </c>
      <c r="I883" s="10">
        <f>VLOOKUP(A883,Presupuesto!$A:$F,6,0)</f>
        <v>0</v>
      </c>
      <c r="J883" s="10">
        <f>+H883-I883</f>
        <v>0</v>
      </c>
      <c r="K883" s="46">
        <f>+H883-G883*E883</f>
        <v>0</v>
      </c>
    </row>
    <row r="884" spans="1:11">
      <c r="A884" s="14"/>
      <c r="B884" s="15" t="s">
        <v>2586</v>
      </c>
      <c r="C884" s="15" t="s">
        <v>5</v>
      </c>
      <c r="D884" s="16" t="s">
        <v>6</v>
      </c>
      <c r="E884" s="17" t="s">
        <v>7</v>
      </c>
      <c r="F884" s="18" t="s">
        <v>3728</v>
      </c>
      <c r="G884" s="19" t="s">
        <v>3729</v>
      </c>
      <c r="H884" s="20" t="s">
        <v>3797</v>
      </c>
    </row>
    <row r="885" spans="1:11">
      <c r="A885" s="21"/>
      <c r="B885" s="22" t="s">
        <v>3730</v>
      </c>
      <c r="C885" s="23"/>
      <c r="D885" s="24"/>
      <c r="E885" s="25"/>
      <c r="F885" s="26"/>
      <c r="G885" s="27">
        <f>SUM(G886:G890)</f>
        <v>222609.39750000002</v>
      </c>
      <c r="H885" s="27">
        <f>IFERROR(G885*E883,"")</f>
        <v>0</v>
      </c>
    </row>
    <row r="886" spans="1:11">
      <c r="A886" s="28"/>
      <c r="B886" s="29" t="s">
        <v>3139</v>
      </c>
      <c r="C886" s="30" t="str">
        <f>IFERROR(_xlfn.XLOOKUP(B886,Insumo[DESCRIPCION],Insumo[UND],,0),"")</f>
        <v>M3</v>
      </c>
      <c r="D886" s="31">
        <v>0.5</v>
      </c>
      <c r="E886" s="32">
        <f>IFERROR(_xlfn.XLOOKUP($B886,Insumo[DESCRIPCION],Insumo[VALOR],,0),"")</f>
        <v>136858.05000000002</v>
      </c>
      <c r="F886" s="33"/>
      <c r="G886" s="34">
        <f>IFERROR(IF(F886&gt;=0,D886*E886*(1+F886/100),ABS(D886*E886/F886)),"")</f>
        <v>68429.025000000009</v>
      </c>
      <c r="H886" s="43">
        <f>IFERROR(G886*E883,"")</f>
        <v>0</v>
      </c>
    </row>
    <row r="887" spans="1:11">
      <c r="A887" s="28"/>
      <c r="B887" s="29" t="s">
        <v>3201</v>
      </c>
      <c r="C887" s="30" t="str">
        <f>IFERROR(_xlfn.XLOOKUP(B887,Insumo[DESCRIPCION],Insumo[UND],,0),"")</f>
        <v>M3</v>
      </c>
      <c r="D887" s="31">
        <v>1</v>
      </c>
      <c r="E887" s="32">
        <f>IFERROR(_xlfn.XLOOKUP($B887,Insumo[DESCRIPCION],Insumo[VALOR],,0),"")</f>
        <v>113662.5</v>
      </c>
      <c r="F887" s="33">
        <v>5</v>
      </c>
      <c r="G887" s="34">
        <f>IFERROR(IF(F887&gt;=0,D887*E887*(1+F887/100),ABS(D887*E887/F887)),"")</f>
        <v>119345.625</v>
      </c>
      <c r="H887" s="43">
        <f>IFERROR(G887*E883,"")</f>
        <v>0</v>
      </c>
    </row>
    <row r="888" spans="1:11">
      <c r="A888" s="28"/>
      <c r="B888" s="29" t="s">
        <v>3338</v>
      </c>
      <c r="C888" s="30" t="str">
        <f>IFERROR(_xlfn.XLOOKUP(B888,Insumo[DESCRIPCION],Insumo[UND],,0),"")</f>
        <v>M</v>
      </c>
      <c r="D888" s="31">
        <v>2</v>
      </c>
      <c r="E888" s="32">
        <f>IFERROR(_xlfn.XLOOKUP($B888,Insumo[DESCRIPCION],Insumo[VALOR],,0),"")</f>
        <v>8047.2000000000007</v>
      </c>
      <c r="F888" s="33"/>
      <c r="G888" s="34">
        <f>IFERROR(IF(F888&gt;=0,D888*E888*(1+F888/100),ABS(D888*E888/F888)),"")</f>
        <v>16094.400000000001</v>
      </c>
      <c r="H888" s="43">
        <f>IFERROR(G888*E883,"")</f>
        <v>0</v>
      </c>
    </row>
    <row r="889" spans="1:11">
      <c r="A889" s="28"/>
      <c r="B889" s="29" t="s">
        <v>2901</v>
      </c>
      <c r="C889" s="30" t="str">
        <f>IFERROR(_xlfn.XLOOKUP(B889,Insumo[DESCRIPCION],Insumo[UND],,0),"")</f>
        <v>M</v>
      </c>
      <c r="D889" s="31">
        <v>1</v>
      </c>
      <c r="E889" s="32">
        <f>IFERROR(_xlfn.XLOOKUP($B889,Insumo[DESCRIPCION],Insumo[VALOR],,0),"")</f>
        <v>5683.6500000000005</v>
      </c>
      <c r="F889" s="33"/>
      <c r="G889" s="34">
        <f>IFERROR(IF(F889&gt;=0,D889*E889*(1+F889/100),ABS(D889*E889/F889)),"")</f>
        <v>5683.6500000000005</v>
      </c>
      <c r="H889" s="43">
        <f>IFERROR(G889*E883,"")</f>
        <v>0</v>
      </c>
    </row>
    <row r="890" spans="1:11">
      <c r="A890" s="28"/>
      <c r="B890" s="29" t="s">
        <v>2695</v>
      </c>
      <c r="C890" s="30" t="str">
        <f>IFERROR(_xlfn.XLOOKUP(B890,Insumo[DESCRIPCION],Insumo[UND],,0),"")</f>
        <v>Kg</v>
      </c>
      <c r="D890" s="31">
        <v>1.1499999999999999</v>
      </c>
      <c r="E890" s="32">
        <f>IFERROR(_xlfn.XLOOKUP($B890,Insumo[DESCRIPCION],Insumo[VALOR],,0),"")</f>
        <v>11353.65</v>
      </c>
      <c r="F890" s="33"/>
      <c r="G890" s="34">
        <f>IFERROR(IF(F890&gt;=0,D890*E890*(1+F890/100),ABS(D890*E890/F890)),"")</f>
        <v>13056.697499999998</v>
      </c>
      <c r="H890" s="43">
        <f>IFERROR(G890*E883,"")</f>
        <v>0</v>
      </c>
    </row>
    <row r="891" spans="1:11">
      <c r="A891" s="21"/>
      <c r="B891" s="22" t="s">
        <v>3731</v>
      </c>
      <c r="C891" s="23"/>
      <c r="D891" s="24"/>
      <c r="E891" s="25"/>
      <c r="F891" s="26"/>
      <c r="G891" s="27">
        <f>SUM(G892:G894)</f>
        <v>4977.8535558375024</v>
      </c>
      <c r="H891" s="44">
        <f>G891*E883</f>
        <v>0</v>
      </c>
    </row>
    <row r="892" spans="1:11">
      <c r="A892" s="28"/>
      <c r="B892" s="29" t="s">
        <v>3570</v>
      </c>
      <c r="C892" s="30" t="str">
        <f>IFERROR(_xlfn.XLOOKUP(B892,Equipo[DESCRIPCION],Equipo[UND],,0),"")</f>
        <v>%MO</v>
      </c>
      <c r="D892" s="31">
        <v>0.04</v>
      </c>
      <c r="E892" s="32">
        <f>IF(C892="%MO",G898,IFERROR(_xlfn.XLOOKUP($B892,Equipo[DESCRIPCION],Equipo[VALOR],,0),""))</f>
        <v>55309.483953750016</v>
      </c>
      <c r="F892" s="33"/>
      <c r="G892" s="34">
        <f>IFERROR(IF(F892&gt;=0,D892*E892*(1+F892/100),ABS(D892*E892/F892)),"")</f>
        <v>2212.3793581500008</v>
      </c>
      <c r="H892" s="43">
        <f>IFERROR(G892*E883,"")</f>
        <v>0</v>
      </c>
    </row>
    <row r="893" spans="1:11">
      <c r="A893" s="28"/>
      <c r="B893" s="29" t="s">
        <v>3626</v>
      </c>
      <c r="C893" s="30" t="str">
        <f>IFERROR(_xlfn.XLOOKUP(B893,Equipo[DESCRIPCION],Equipo[UND],,0),"")</f>
        <v>%MO</v>
      </c>
      <c r="D893" s="31">
        <v>0.05</v>
      </c>
      <c r="E893" s="32">
        <f>IF(C893="%MO",G898,IFERROR(_xlfn.XLOOKUP($B893,Equipo[DESCRIPCION],Equipo[VALOR],,0),""))</f>
        <v>55309.483953750016</v>
      </c>
      <c r="F893" s="33"/>
      <c r="G893" s="34">
        <f>IFERROR(IF(F893&gt;=0,D893*E893*(1+F893/100),ABS(D893*E893/F893)),"")</f>
        <v>2765.4741976875011</v>
      </c>
      <c r="H893" s="43">
        <f>IFERROR(G893*E883,"")</f>
        <v>0</v>
      </c>
    </row>
    <row r="894" spans="1:11">
      <c r="A894" s="28"/>
      <c r="B894" s="29"/>
      <c r="C894" s="30" t="str">
        <f>IFERROR(_xlfn.XLOOKUP(B894,Equipo[DESCRIPCION],Equipo[UND],,0),"")</f>
        <v/>
      </c>
      <c r="D894" s="31"/>
      <c r="E894" s="32" t="str">
        <f>IF(C894="%MO",G898,IFERROR(_xlfn.XLOOKUP($B894,Equipo[DESCRIPCION],Equipo[VALOR],,0),""))</f>
        <v/>
      </c>
      <c r="F894" s="33"/>
      <c r="G894" s="34" t="str">
        <f>IFERROR(IF(F894&gt;=0,D894*E894*(1+F894/100),ABS(D894*E894/F894)),"")</f>
        <v/>
      </c>
      <c r="H894" s="43" t="str">
        <f>IFERROR(G894*E883,"")</f>
        <v/>
      </c>
    </row>
    <row r="895" spans="1:11">
      <c r="A895" s="21"/>
      <c r="B895" s="22" t="s">
        <v>2533</v>
      </c>
      <c r="C895" s="23"/>
      <c r="D895" s="24"/>
      <c r="E895" s="25"/>
      <c r="F895" s="26"/>
      <c r="G895" s="27">
        <f>SUM(G896:G897)</f>
        <v>0</v>
      </c>
      <c r="H895" s="44">
        <f>G895*E883</f>
        <v>0</v>
      </c>
    </row>
    <row r="896" spans="1:11">
      <c r="A896" s="28"/>
      <c r="B896" s="29"/>
      <c r="C896" s="30" t="str">
        <f>IFERROR(_xlfn.XLOOKUP(B896,Transporte[DESCRIPCION],Transporte[UND],,0),"")</f>
        <v/>
      </c>
      <c r="D896" s="31"/>
      <c r="E896" s="32" t="str">
        <f>IFERROR(_xlfn.XLOOKUP($B896,Transporte[DESCRIPCION],Transporte[VALOR],,0),"")</f>
        <v/>
      </c>
      <c r="F896" s="33"/>
      <c r="G896" s="34" t="str">
        <f>IFERROR(IF(F896&gt;=0,D896*E896*(1+F896/100),ABS(D896*E896/F896)),"")</f>
        <v/>
      </c>
      <c r="H896" s="43" t="str">
        <f>IFERROR(G896*E883,"")</f>
        <v/>
      </c>
    </row>
    <row r="897" spans="1:11">
      <c r="A897" s="28"/>
      <c r="B897" s="29"/>
      <c r="C897" s="30" t="str">
        <f>IFERROR(_xlfn.XLOOKUP(B897,Transporte[DESCRIPCION],Transporte[UND],,0),"")</f>
        <v/>
      </c>
      <c r="D897" s="31"/>
      <c r="E897" s="32" t="str">
        <f>IFERROR(_xlfn.XLOOKUP($B897,Transporte[DESCRIPCION],Transporte[VALOR],,0),"")</f>
        <v/>
      </c>
      <c r="F897" s="33"/>
      <c r="G897" s="34" t="str">
        <f>IFERROR(IF(F897&gt;=0,D897*E897*(1+F897/100),ABS(D897*E897/F897)),"")</f>
        <v/>
      </c>
      <c r="H897" s="43" t="str">
        <f>IFERROR(G897*E883,"")</f>
        <v/>
      </c>
    </row>
    <row r="898" spans="1:11">
      <c r="A898" s="21"/>
      <c r="B898" s="22" t="s">
        <v>3732</v>
      </c>
      <c r="C898" s="23"/>
      <c r="D898" s="24"/>
      <c r="E898" s="25"/>
      <c r="F898" s="26"/>
      <c r="G898" s="27">
        <f>SUM(G899:G901)</f>
        <v>55309.483953750016</v>
      </c>
      <c r="H898" s="44">
        <f>G898*E883</f>
        <v>0</v>
      </c>
    </row>
    <row r="899" spans="1:11">
      <c r="A899" s="28"/>
      <c r="B899" s="29" t="s">
        <v>3713</v>
      </c>
      <c r="C899" s="30" t="str">
        <f>IFERROR(_xlfn.XLOOKUP(B899,MObra[DESCRIPCION],MObra[UN],,0),"")</f>
        <v>día</v>
      </c>
      <c r="D899" s="31">
        <v>1</v>
      </c>
      <c r="E899" s="32">
        <f>IFERROR(_xlfn.XLOOKUP($B899,MObra[DESCRIPCION],MObra[VALOR UNIT],,0),"")</f>
        <v>663713.80744500016</v>
      </c>
      <c r="F899" s="33">
        <v>-12</v>
      </c>
      <c r="G899" s="34">
        <f>IFERROR(IF(F899&gt;=0,D899*E899*(1+F899/100),ABS(D899*E899/F899)),"")</f>
        <v>55309.483953750016</v>
      </c>
      <c r="H899" s="43">
        <f>IFERROR(G899*E883,"")</f>
        <v>0</v>
      </c>
    </row>
    <row r="900" spans="1:11">
      <c r="A900" s="28"/>
      <c r="B900" s="29"/>
      <c r="C900" s="30" t="str">
        <f>IFERROR(_xlfn.XLOOKUP(B900,MObra[DESCRIPCION],MObra[UN],,0),"")</f>
        <v/>
      </c>
      <c r="D900" s="31"/>
      <c r="E900" s="32" t="str">
        <f>IFERROR(_xlfn.XLOOKUP($B900,MObra[DESCRIPCION],MObra[VALOR UNIT],,0),"")</f>
        <v/>
      </c>
      <c r="F900" s="33"/>
      <c r="G900" s="34" t="str">
        <f>IFERROR(IF(F900&gt;=0,D900*E900*(1+F900/100),ABS(D900*E900/F900)),"")</f>
        <v/>
      </c>
      <c r="H900" s="43" t="str">
        <f>IFERROR(G900*E883,"")</f>
        <v/>
      </c>
    </row>
    <row r="901" spans="1:11">
      <c r="A901" s="35"/>
      <c r="B901" s="36"/>
      <c r="C901" s="37" t="str">
        <f>IFERROR(_xlfn.XLOOKUP(B901,MObra[DESCRIPCION],MObra[UN],,0),"")</f>
        <v/>
      </c>
      <c r="D901" s="38"/>
      <c r="E901" s="39" t="str">
        <f>IFERROR(_xlfn.XLOOKUP($B901,MObra[DESCRIPCION],MObra[VALOR UNIT],,0),"")</f>
        <v/>
      </c>
      <c r="F901" s="40"/>
      <c r="G901" s="41" t="str">
        <f>IFERROR(IF(F901&gt;=0,D901*E901*(1+F901/100),ABS(D901*E901/F901)),"")</f>
        <v/>
      </c>
      <c r="H901" s="42" t="str">
        <f>IFERROR(G901*E883,"")</f>
        <v/>
      </c>
    </row>
    <row r="903" spans="1:11">
      <c r="A903" s="6" t="s">
        <v>1814</v>
      </c>
      <c r="B903" s="7" t="str">
        <f>VLOOKUP($A903,Presupuesto!$A:$D,2,FALSE())</f>
        <v>Gavión con malla triple torsión C 13 ojo 9</v>
      </c>
      <c r="C903" s="8" t="str">
        <f>VLOOKUP($A903,Presupuesto!$A:$D,3,FALSE())</f>
        <v>M3</v>
      </c>
      <c r="D903" s="9"/>
      <c r="E903" s="10">
        <f>VLOOKUP($A903,Presupuesto!$A:$D,4,FALSE())</f>
        <v>0</v>
      </c>
      <c r="F903" s="11" t="s">
        <v>2589</v>
      </c>
      <c r="G903" s="12">
        <f>SUM(G905:G919)/2</f>
        <v>276166.76000958757</v>
      </c>
      <c r="H903" s="13">
        <f>ROUND(SUM(H905:H919),0)/2</f>
        <v>0</v>
      </c>
      <c r="I903" s="10">
        <f>VLOOKUP(A903,Presupuesto!$A:$F,6,0)</f>
        <v>0</v>
      </c>
      <c r="J903" s="10">
        <f>+H903-I903</f>
        <v>0</v>
      </c>
      <c r="K903" s="46">
        <f>+H903-G903*E903</f>
        <v>0</v>
      </c>
    </row>
    <row r="904" spans="1:11">
      <c r="A904" s="14"/>
      <c r="B904" s="15" t="s">
        <v>2586</v>
      </c>
      <c r="C904" s="15" t="s">
        <v>5</v>
      </c>
      <c r="D904" s="16" t="s">
        <v>6</v>
      </c>
      <c r="E904" s="17" t="s">
        <v>7</v>
      </c>
      <c r="F904" s="18" t="s">
        <v>3728</v>
      </c>
      <c r="G904" s="19" t="s">
        <v>3729</v>
      </c>
      <c r="H904" s="20" t="s">
        <v>3797</v>
      </c>
    </row>
    <row r="905" spans="1:11">
      <c r="A905" s="21"/>
      <c r="B905" s="22" t="s">
        <v>3730</v>
      </c>
      <c r="C905" s="23"/>
      <c r="D905" s="24"/>
      <c r="E905" s="25"/>
      <c r="F905" s="26"/>
      <c r="G905" s="27">
        <f>SUM(G906:G910)</f>
        <v>215879.42249999999</v>
      </c>
      <c r="H905" s="27">
        <f>IFERROR(G905*E903,"")</f>
        <v>0</v>
      </c>
    </row>
    <row r="906" spans="1:11">
      <c r="A906" s="28"/>
      <c r="B906" s="29" t="s">
        <v>3140</v>
      </c>
      <c r="C906" s="30" t="str">
        <f>IFERROR(_xlfn.XLOOKUP(B906,Insumo[DESCRIPCION],Insumo[UND],,0),"")</f>
        <v>M3</v>
      </c>
      <c r="D906" s="31">
        <v>0.5</v>
      </c>
      <c r="E906" s="32">
        <f>IFERROR(_xlfn.XLOOKUP($B906,Insumo[DESCRIPCION],Insumo[VALOR],,0),"")</f>
        <v>123398.1</v>
      </c>
      <c r="F906" s="33"/>
      <c r="G906" s="34">
        <f>IFERROR(IF(F906&gt;=0,D906*E906*(1+F906/100),ABS(D906*E906/F906)),"")</f>
        <v>61699.05</v>
      </c>
      <c r="H906" s="43">
        <f>IFERROR(G906*E903,"")</f>
        <v>0</v>
      </c>
    </row>
    <row r="907" spans="1:11">
      <c r="A907" s="28"/>
      <c r="B907" s="29" t="s">
        <v>3201</v>
      </c>
      <c r="C907" s="30" t="str">
        <f>IFERROR(_xlfn.XLOOKUP(B907,Insumo[DESCRIPCION],Insumo[UND],,0),"")</f>
        <v>M3</v>
      </c>
      <c r="D907" s="31">
        <v>1</v>
      </c>
      <c r="E907" s="32">
        <f>IFERROR(_xlfn.XLOOKUP($B907,Insumo[DESCRIPCION],Insumo[VALOR],,0),"")</f>
        <v>113662.5</v>
      </c>
      <c r="F907" s="33">
        <v>5</v>
      </c>
      <c r="G907" s="34">
        <f>IFERROR(IF(F907&gt;=0,D907*E907*(1+F907/100),ABS(D907*E907/F907)),"")</f>
        <v>119345.625</v>
      </c>
      <c r="H907" s="43">
        <f>IFERROR(G907*E903,"")</f>
        <v>0</v>
      </c>
    </row>
    <row r="908" spans="1:11">
      <c r="A908" s="28"/>
      <c r="B908" s="29" t="s">
        <v>3338</v>
      </c>
      <c r="C908" s="30" t="str">
        <f>IFERROR(_xlfn.XLOOKUP(B908,Insumo[DESCRIPCION],Insumo[UND],,0),"")</f>
        <v>M</v>
      </c>
      <c r="D908" s="31">
        <v>2</v>
      </c>
      <c r="E908" s="32">
        <f>IFERROR(_xlfn.XLOOKUP($B908,Insumo[DESCRIPCION],Insumo[VALOR],,0),"")</f>
        <v>8047.2000000000007</v>
      </c>
      <c r="F908" s="33"/>
      <c r="G908" s="34">
        <f>IFERROR(IF(F908&gt;=0,D908*E908*(1+F908/100),ABS(D908*E908/F908)),"")</f>
        <v>16094.400000000001</v>
      </c>
      <c r="H908" s="43">
        <f>IFERROR(G908*E903,"")</f>
        <v>0</v>
      </c>
    </row>
    <row r="909" spans="1:11">
      <c r="A909" s="28"/>
      <c r="B909" s="29" t="s">
        <v>2901</v>
      </c>
      <c r="C909" s="30" t="str">
        <f>IFERROR(_xlfn.XLOOKUP(B909,Insumo[DESCRIPCION],Insumo[UND],,0),"")</f>
        <v>M</v>
      </c>
      <c r="D909" s="31">
        <v>1</v>
      </c>
      <c r="E909" s="32">
        <f>IFERROR(_xlfn.XLOOKUP($B909,Insumo[DESCRIPCION],Insumo[VALOR],,0),"")</f>
        <v>5683.6500000000005</v>
      </c>
      <c r="F909" s="33"/>
      <c r="G909" s="34">
        <f>IFERROR(IF(F909&gt;=0,D909*E909*(1+F909/100),ABS(D909*E909/F909)),"")</f>
        <v>5683.6500000000005</v>
      </c>
      <c r="H909" s="43">
        <f>IFERROR(G909*E903,"")</f>
        <v>0</v>
      </c>
    </row>
    <row r="910" spans="1:11">
      <c r="A910" s="28"/>
      <c r="B910" s="29" t="s">
        <v>2695</v>
      </c>
      <c r="C910" s="30" t="str">
        <f>IFERROR(_xlfn.XLOOKUP(B910,Insumo[DESCRIPCION],Insumo[UND],,0),"")</f>
        <v>Kg</v>
      </c>
      <c r="D910" s="31">
        <v>1.1499999999999999</v>
      </c>
      <c r="E910" s="32">
        <f>IFERROR(_xlfn.XLOOKUP($B910,Insumo[DESCRIPCION],Insumo[VALOR],,0),"")</f>
        <v>11353.65</v>
      </c>
      <c r="F910" s="33"/>
      <c r="G910" s="34">
        <f>IFERROR(IF(F910&gt;=0,D910*E910*(1+F910/100),ABS(D910*E910/F910)),"")</f>
        <v>13056.697499999998</v>
      </c>
      <c r="H910" s="43">
        <f>IFERROR(G910*E903,"")</f>
        <v>0</v>
      </c>
    </row>
    <row r="911" spans="1:11">
      <c r="A911" s="21"/>
      <c r="B911" s="22" t="s">
        <v>3731</v>
      </c>
      <c r="C911" s="23"/>
      <c r="D911" s="24"/>
      <c r="E911" s="25"/>
      <c r="F911" s="26"/>
      <c r="G911" s="27">
        <f>SUM(G912:G914)</f>
        <v>4977.8535558375024</v>
      </c>
      <c r="H911" s="44">
        <f>G911*E903</f>
        <v>0</v>
      </c>
    </row>
    <row r="912" spans="1:11">
      <c r="A912" s="28"/>
      <c r="B912" s="29" t="s">
        <v>3570</v>
      </c>
      <c r="C912" s="30" t="str">
        <f>IFERROR(_xlfn.XLOOKUP(B912,Equipo[DESCRIPCION],Equipo[UND],,0),"")</f>
        <v>%MO</v>
      </c>
      <c r="D912" s="31">
        <v>0.04</v>
      </c>
      <c r="E912" s="32">
        <f>IF(C912="%MO",G918,IFERROR(_xlfn.XLOOKUP($B912,Equipo[DESCRIPCION],Equipo[VALOR],,0),""))</f>
        <v>55309.483953750016</v>
      </c>
      <c r="F912" s="33"/>
      <c r="G912" s="34">
        <f>IFERROR(IF(F912&gt;=0,D912*E912*(1+F912/100),ABS(D912*E912/F912)),"")</f>
        <v>2212.3793581500008</v>
      </c>
      <c r="H912" s="43">
        <f>IFERROR(G912*E903,"")</f>
        <v>0</v>
      </c>
    </row>
    <row r="913" spans="1:11">
      <c r="A913" s="28"/>
      <c r="B913" s="29" t="s">
        <v>3626</v>
      </c>
      <c r="C913" s="30" t="str">
        <f>IFERROR(_xlfn.XLOOKUP(B913,Equipo[DESCRIPCION],Equipo[UND],,0),"")</f>
        <v>%MO</v>
      </c>
      <c r="D913" s="31">
        <v>0.05</v>
      </c>
      <c r="E913" s="32">
        <f>IF(C913="%MO",G918,IFERROR(_xlfn.XLOOKUP($B913,Equipo[DESCRIPCION],Equipo[VALOR],,0),""))</f>
        <v>55309.483953750016</v>
      </c>
      <c r="F913" s="33"/>
      <c r="G913" s="34">
        <f>IFERROR(IF(F913&gt;=0,D913*E913*(1+F913/100),ABS(D913*E913/F913)),"")</f>
        <v>2765.4741976875011</v>
      </c>
      <c r="H913" s="43">
        <f>IFERROR(G913*E903,"")</f>
        <v>0</v>
      </c>
    </row>
    <row r="914" spans="1:11">
      <c r="A914" s="28"/>
      <c r="B914" s="29"/>
      <c r="C914" s="30" t="str">
        <f>IFERROR(_xlfn.XLOOKUP(B914,Equipo[DESCRIPCION],Equipo[UND],,0),"")</f>
        <v/>
      </c>
      <c r="D914" s="31"/>
      <c r="E914" s="32" t="str">
        <f>IF(C914="%MO",G918,IFERROR(_xlfn.XLOOKUP($B914,Equipo[DESCRIPCION],Equipo[VALOR],,0),""))</f>
        <v/>
      </c>
      <c r="F914" s="33"/>
      <c r="G914" s="34" t="str">
        <f>IFERROR(IF(F914&gt;=0,D914*E914*(1+F914/100),ABS(D914*E914/F914)),"")</f>
        <v/>
      </c>
      <c r="H914" s="43" t="str">
        <f>IFERROR(G914*E903,"")</f>
        <v/>
      </c>
    </row>
    <row r="915" spans="1:11">
      <c r="A915" s="21"/>
      <c r="B915" s="22" t="s">
        <v>2533</v>
      </c>
      <c r="C915" s="23"/>
      <c r="D915" s="24"/>
      <c r="E915" s="25"/>
      <c r="F915" s="26"/>
      <c r="G915" s="27">
        <f>SUM(G916:G917)</f>
        <v>0</v>
      </c>
      <c r="H915" s="44">
        <f>G915*E903</f>
        <v>0</v>
      </c>
    </row>
    <row r="916" spans="1:11">
      <c r="A916" s="28"/>
      <c r="B916" s="29"/>
      <c r="C916" s="30" t="str">
        <f>IFERROR(_xlfn.XLOOKUP(B916,Transporte[DESCRIPCION],Transporte[UND],,0),"")</f>
        <v/>
      </c>
      <c r="D916" s="31"/>
      <c r="E916" s="32" t="str">
        <f>IFERROR(_xlfn.XLOOKUP($B916,Transporte[DESCRIPCION],Transporte[VALOR],,0),"")</f>
        <v/>
      </c>
      <c r="F916" s="33"/>
      <c r="G916" s="34" t="str">
        <f>IFERROR(IF(F916&gt;=0,D916*E916*(1+F916/100),ABS(D916*E916/F916)),"")</f>
        <v/>
      </c>
      <c r="H916" s="43" t="str">
        <f>IFERROR(G916*E903,"")</f>
        <v/>
      </c>
    </row>
    <row r="917" spans="1:11">
      <c r="A917" s="28"/>
      <c r="B917" s="29"/>
      <c r="C917" s="30" t="str">
        <f>IFERROR(_xlfn.XLOOKUP(B917,Transporte[DESCRIPCION],Transporte[UND],,0),"")</f>
        <v/>
      </c>
      <c r="D917" s="31"/>
      <c r="E917" s="32" t="str">
        <f>IFERROR(_xlfn.XLOOKUP($B917,Transporte[DESCRIPCION],Transporte[VALOR],,0),"")</f>
        <v/>
      </c>
      <c r="F917" s="33"/>
      <c r="G917" s="34" t="str">
        <f>IFERROR(IF(F917&gt;=0,D917*E917*(1+F917/100),ABS(D917*E917/F917)),"")</f>
        <v/>
      </c>
      <c r="H917" s="43" t="str">
        <f>IFERROR(G917*E903,"")</f>
        <v/>
      </c>
    </row>
    <row r="918" spans="1:11">
      <c r="A918" s="21"/>
      <c r="B918" s="22" t="s">
        <v>3732</v>
      </c>
      <c r="C918" s="23"/>
      <c r="D918" s="24"/>
      <c r="E918" s="25"/>
      <c r="F918" s="26"/>
      <c r="G918" s="27">
        <f>SUM(G919:G921)</f>
        <v>55309.483953750016</v>
      </c>
      <c r="H918" s="44">
        <f>G918*E903</f>
        <v>0</v>
      </c>
    </row>
    <row r="919" spans="1:11">
      <c r="A919" s="28"/>
      <c r="B919" s="29" t="s">
        <v>3713</v>
      </c>
      <c r="C919" s="30" t="str">
        <f>IFERROR(_xlfn.XLOOKUP(B919,MObra[DESCRIPCION],MObra[UN],,0),"")</f>
        <v>día</v>
      </c>
      <c r="D919" s="31">
        <v>1</v>
      </c>
      <c r="E919" s="32">
        <f>IFERROR(_xlfn.XLOOKUP($B919,MObra[DESCRIPCION],MObra[VALOR UNIT],,0),"")</f>
        <v>663713.80744500016</v>
      </c>
      <c r="F919" s="33">
        <v>-12</v>
      </c>
      <c r="G919" s="34">
        <f>IFERROR(IF(F919&gt;=0,D919*E919*(1+F919/100),ABS(D919*E919/F919)),"")</f>
        <v>55309.483953750016</v>
      </c>
      <c r="H919" s="43">
        <f>IFERROR(G919*E903,"")</f>
        <v>0</v>
      </c>
    </row>
    <row r="920" spans="1:11">
      <c r="A920" s="28"/>
      <c r="B920" s="29"/>
      <c r="C920" s="30" t="str">
        <f>IFERROR(_xlfn.XLOOKUP(B920,MObra[DESCRIPCION],MObra[UN],,0),"")</f>
        <v/>
      </c>
      <c r="D920" s="31"/>
      <c r="E920" s="32" t="str">
        <f>IFERROR(_xlfn.XLOOKUP($B920,MObra[DESCRIPCION],MObra[VALOR UNIT],,0),"")</f>
        <v/>
      </c>
      <c r="F920" s="33"/>
      <c r="G920" s="34" t="str">
        <f>IFERROR(IF(F920&gt;=0,D920*E920*(1+F920/100),ABS(D920*E920/F920)),"")</f>
        <v/>
      </c>
      <c r="H920" s="43" t="str">
        <f>IFERROR(G920*E903,"")</f>
        <v/>
      </c>
    </row>
    <row r="921" spans="1:11">
      <c r="A921" s="35"/>
      <c r="B921" s="36"/>
      <c r="C921" s="37" t="str">
        <f>IFERROR(_xlfn.XLOOKUP(B921,MObra[DESCRIPCION],MObra[UN],,0),"")</f>
        <v/>
      </c>
      <c r="D921" s="38"/>
      <c r="E921" s="39" t="str">
        <f>IFERROR(_xlfn.XLOOKUP($B921,MObra[DESCRIPCION],MObra[VALOR UNIT],,0),"")</f>
        <v/>
      </c>
      <c r="F921" s="40"/>
      <c r="G921" s="41" t="str">
        <f>IFERROR(IF(F921&gt;=0,D921*E921*(1+F921/100),ABS(D921*E921/F921)),"")</f>
        <v/>
      </c>
      <c r="H921" s="42" t="str">
        <f>IFERROR(G921*E903,"")</f>
        <v/>
      </c>
    </row>
    <row r="923" spans="1:11">
      <c r="A923" s="6" t="s">
        <v>1816</v>
      </c>
      <c r="B923" s="7" t="str">
        <f>VLOOKUP($A923,Presupuesto!$A:$D,2,FALSE())</f>
        <v>Geodren circular ancho: 1.0m tubería de 4" (no incluye tubería)</v>
      </c>
      <c r="C923" s="8" t="str">
        <f>VLOOKUP($A923,Presupuesto!$A:$D,3,FALSE())</f>
        <v>M</v>
      </c>
      <c r="D923" s="9"/>
      <c r="E923" s="10">
        <f>VLOOKUP($A923,Presupuesto!$A:$D,4,FALSE())</f>
        <v>0</v>
      </c>
      <c r="F923" s="11" t="s">
        <v>2589</v>
      </c>
      <c r="G923" s="12">
        <f>SUM(G925:G941)/2</f>
        <v>97478.016128886462</v>
      </c>
      <c r="H923" s="13">
        <f>ROUND(SUM(H925:H941),0)/2</f>
        <v>0</v>
      </c>
      <c r="I923" s="10">
        <f>VLOOKUP(A923,Presupuesto!$A:$F,6,0)</f>
        <v>0</v>
      </c>
      <c r="J923" s="10">
        <f>+H923-I923</f>
        <v>0</v>
      </c>
      <c r="K923" s="46">
        <f>+H923-G923*E923</f>
        <v>0</v>
      </c>
    </row>
    <row r="924" spans="1:11">
      <c r="A924" s="14"/>
      <c r="B924" s="15" t="s">
        <v>2586</v>
      </c>
      <c r="C924" s="15" t="s">
        <v>5</v>
      </c>
      <c r="D924" s="16" t="s">
        <v>6</v>
      </c>
      <c r="E924" s="17" t="s">
        <v>7</v>
      </c>
      <c r="F924" s="18" t="s">
        <v>3728</v>
      </c>
      <c r="G924" s="19" t="s">
        <v>3729</v>
      </c>
      <c r="H924" s="20" t="s">
        <v>3797</v>
      </c>
    </row>
    <row r="925" spans="1:11">
      <c r="A925" s="21"/>
      <c r="B925" s="22" t="s">
        <v>3730</v>
      </c>
      <c r="C925" s="23"/>
      <c r="D925" s="24"/>
      <c r="E925" s="25"/>
      <c r="F925" s="26"/>
      <c r="G925" s="27">
        <f>SUM(G926:G930)</f>
        <v>90769.35</v>
      </c>
      <c r="H925" s="27">
        <f>IFERROR(G925*E923,"")</f>
        <v>0</v>
      </c>
    </row>
    <row r="926" spans="1:11">
      <c r="A926" s="28"/>
      <c r="B926" s="29" t="s">
        <v>2965</v>
      </c>
      <c r="C926" s="30" t="str">
        <f>IFERROR(_xlfn.XLOOKUP(B926,Insumo[DESCRIPCION],Insumo[UND],,0),"")</f>
        <v>M</v>
      </c>
      <c r="D926" s="31">
        <v>1</v>
      </c>
      <c r="E926" s="32">
        <f>IFERROR(_xlfn.XLOOKUP($B926,Insumo[DESCRIPCION],Insumo[VALOR],,0),"")</f>
        <v>58233</v>
      </c>
      <c r="F926" s="33">
        <v>5</v>
      </c>
      <c r="G926" s="34">
        <f>IFERROR(IF(F926&gt;=0,D926*E926*(1+F926/100),ABS(D926*E926/F926)),"")</f>
        <v>61144.65</v>
      </c>
      <c r="H926" s="43">
        <f>IFERROR(G926*E923,"")</f>
        <v>0</v>
      </c>
    </row>
    <row r="927" spans="1:11">
      <c r="A927" s="28"/>
      <c r="B927" s="29" t="s">
        <v>3471</v>
      </c>
      <c r="C927" s="30" t="str">
        <f>IFERROR(_xlfn.XLOOKUP(B927,Insumo[DESCRIPCION],Insumo[UND],,0),"")</f>
        <v>M</v>
      </c>
      <c r="D927" s="31">
        <v>1</v>
      </c>
      <c r="E927" s="32">
        <f>IFERROR(_xlfn.XLOOKUP($B927,Insumo[DESCRIPCION],Insumo[VALOR],,0),"")</f>
        <v>29624.7</v>
      </c>
      <c r="F927" s="33"/>
      <c r="G927" s="34">
        <f>IFERROR(IF(F927&gt;=0,D927*E927*(1+F927/100),ABS(D927*E927/F927)),"")</f>
        <v>29624.7</v>
      </c>
      <c r="H927" s="43">
        <f>IFERROR(G927*E923,"")</f>
        <v>0</v>
      </c>
    </row>
    <row r="928" spans="1:11">
      <c r="A928" s="28"/>
      <c r="B928" s="29"/>
      <c r="C928" s="30" t="str">
        <f>IFERROR(_xlfn.XLOOKUP(B928,Insumo[DESCRIPCION],Insumo[UND],,0),"")</f>
        <v/>
      </c>
      <c r="D928" s="31"/>
      <c r="E928" s="32" t="str">
        <f>IFERROR(_xlfn.XLOOKUP($B928,Insumo[DESCRIPCION],Insumo[VALOR],,0),"")</f>
        <v/>
      </c>
      <c r="F928" s="33"/>
      <c r="G928" s="34" t="str">
        <f>IFERROR(IF(F928&gt;=0,D928*E928*(1+F928/100),ABS(D928*E928/F928)),"")</f>
        <v/>
      </c>
      <c r="H928" s="43" t="str">
        <f>IFERROR(G928*E923,"")</f>
        <v/>
      </c>
    </row>
    <row r="929" spans="1:11">
      <c r="A929" s="28"/>
      <c r="B929" s="29"/>
      <c r="C929" s="30" t="str">
        <f>IFERROR(_xlfn.XLOOKUP(B929,Insumo[DESCRIPCION],Insumo[UND],,0),"")</f>
        <v/>
      </c>
      <c r="D929" s="31"/>
      <c r="E929" s="32" t="str">
        <f>IFERROR(_xlfn.XLOOKUP($B929,Insumo[DESCRIPCION],Insumo[VALOR],,0),"")</f>
        <v/>
      </c>
      <c r="F929" s="33"/>
      <c r="G929" s="34" t="str">
        <f>IFERROR(IF(F929&gt;=0,D929*E929*(1+F929/100),ABS(D929*E929/F929)),"")</f>
        <v/>
      </c>
      <c r="H929" s="43" t="str">
        <f>IFERROR(G929*E923,"")</f>
        <v/>
      </c>
    </row>
    <row r="930" spans="1:11">
      <c r="A930" s="28"/>
      <c r="B930" s="29"/>
      <c r="C930" s="30" t="str">
        <f>IFERROR(_xlfn.XLOOKUP(B930,Insumo[DESCRIPCION],Insumo[UND],,0),"")</f>
        <v/>
      </c>
      <c r="D930" s="31"/>
      <c r="E930" s="32" t="str">
        <f>IFERROR(_xlfn.XLOOKUP($B930,Insumo[DESCRIPCION],Insumo[VALOR],,0),"")</f>
        <v/>
      </c>
      <c r="F930" s="33"/>
      <c r="G930" s="34" t="str">
        <f>IFERROR(IF(F930&gt;=0,D930*E930*(1+F930/100),ABS(D930*E930/F930)),"")</f>
        <v/>
      </c>
      <c r="H930" s="43" t="str">
        <f>IFERROR(G930*E923,"")</f>
        <v/>
      </c>
    </row>
    <row r="931" spans="1:11">
      <c r="A931" s="21"/>
      <c r="B931" s="22" t="s">
        <v>3731</v>
      </c>
      <c r="C931" s="23"/>
      <c r="D931" s="24"/>
      <c r="E931" s="25"/>
      <c r="F931" s="26"/>
      <c r="G931" s="27">
        <f>SUM(G932:G934)</f>
        <v>553.92656110071437</v>
      </c>
      <c r="H931" s="44">
        <f>G931*E923</f>
        <v>0</v>
      </c>
    </row>
    <row r="932" spans="1:11">
      <c r="A932" s="28"/>
      <c r="B932" s="29" t="s">
        <v>3570</v>
      </c>
      <c r="C932" s="30" t="str">
        <f>IFERROR(_xlfn.XLOOKUP(B932,Equipo[DESCRIPCION],Equipo[UND],,0),"")</f>
        <v>%MO</v>
      </c>
      <c r="D932" s="31">
        <v>0.04</v>
      </c>
      <c r="E932" s="32">
        <f>IF(C932="%MO",G938,IFERROR(_xlfn.XLOOKUP($B932,Equipo[DESCRIPCION],Equipo[VALOR],,0),""))</f>
        <v>6154.7395677857148</v>
      </c>
      <c r="F932" s="33"/>
      <c r="G932" s="34">
        <f>IFERROR(IF(F932&gt;=0,D932*E932*(1+F932/100),ABS(D932*E932/F932)),"")</f>
        <v>246.18958271142859</v>
      </c>
      <c r="H932" s="43">
        <f>IFERROR(G932*E923,"")</f>
        <v>0</v>
      </c>
    </row>
    <row r="933" spans="1:11">
      <c r="A933" s="28"/>
      <c r="B933" s="29" t="s">
        <v>3626</v>
      </c>
      <c r="C933" s="30" t="str">
        <f>IFERROR(_xlfn.XLOOKUP(B933,Equipo[DESCRIPCION],Equipo[UND],,0),"")</f>
        <v>%MO</v>
      </c>
      <c r="D933" s="31">
        <v>0.05</v>
      </c>
      <c r="E933" s="32">
        <f>IF(C933="%MO",G938,IFERROR(_xlfn.XLOOKUP($B933,Equipo[DESCRIPCION],Equipo[VALOR],,0),""))</f>
        <v>6154.7395677857148</v>
      </c>
      <c r="F933" s="33"/>
      <c r="G933" s="34">
        <f>IFERROR(IF(F933&gt;=0,D933*E933*(1+F933/100),ABS(D933*E933/F933)),"")</f>
        <v>307.73697838928575</v>
      </c>
      <c r="H933" s="43">
        <f>IFERROR(G933*E923,"")</f>
        <v>0</v>
      </c>
    </row>
    <row r="934" spans="1:11">
      <c r="A934" s="28"/>
      <c r="B934" s="29"/>
      <c r="C934" s="30" t="str">
        <f>IFERROR(_xlfn.XLOOKUP(B934,Equipo[DESCRIPCION],Equipo[UND],,0),"")</f>
        <v/>
      </c>
      <c r="D934" s="31"/>
      <c r="E934" s="32" t="str">
        <f>IF(C934="%MO",G938,IFERROR(_xlfn.XLOOKUP($B934,Equipo[DESCRIPCION],Equipo[VALOR],,0),""))</f>
        <v/>
      </c>
      <c r="F934" s="33"/>
      <c r="G934" s="34" t="str">
        <f>IFERROR(IF(F934&gt;=0,D934*E934*(1+F934/100),ABS(D934*E934/F934)),"")</f>
        <v/>
      </c>
      <c r="H934" s="43" t="str">
        <f>IFERROR(G934*E923,"")</f>
        <v/>
      </c>
    </row>
    <row r="935" spans="1:11">
      <c r="A935" s="21"/>
      <c r="B935" s="22" t="s">
        <v>2533</v>
      </c>
      <c r="C935" s="23"/>
      <c r="D935" s="24"/>
      <c r="E935" s="25"/>
      <c r="F935" s="26"/>
      <c r="G935" s="27">
        <f>SUM(G936:G937)</f>
        <v>0</v>
      </c>
      <c r="H935" s="44">
        <f>G935*E923</f>
        <v>0</v>
      </c>
    </row>
    <row r="936" spans="1:11">
      <c r="A936" s="28"/>
      <c r="B936" s="29"/>
      <c r="C936" s="30" t="str">
        <f>IFERROR(_xlfn.XLOOKUP(B936,Transporte[DESCRIPCION],Transporte[UND],,0),"")</f>
        <v/>
      </c>
      <c r="D936" s="31"/>
      <c r="E936" s="32" t="str">
        <f>IFERROR(_xlfn.XLOOKUP($B936,Transporte[DESCRIPCION],Transporte[VALOR],,0),"")</f>
        <v/>
      </c>
      <c r="F936" s="33"/>
      <c r="G936" s="34" t="str">
        <f>IFERROR(IF(F936&gt;=0,D936*E936*(1+F936/100),ABS(D936*E936/F936)),"")</f>
        <v/>
      </c>
      <c r="H936" s="43" t="str">
        <f>IFERROR(G936*E923,"")</f>
        <v/>
      </c>
    </row>
    <row r="937" spans="1:11">
      <c r="A937" s="28"/>
      <c r="B937" s="29"/>
      <c r="C937" s="30" t="str">
        <f>IFERROR(_xlfn.XLOOKUP(B937,Transporte[DESCRIPCION],Transporte[UND],,0),"")</f>
        <v/>
      </c>
      <c r="D937" s="31"/>
      <c r="E937" s="32" t="str">
        <f>IFERROR(_xlfn.XLOOKUP($B937,Transporte[DESCRIPCION],Transporte[VALOR],,0),"")</f>
        <v/>
      </c>
      <c r="F937" s="33"/>
      <c r="G937" s="34" t="str">
        <f>IFERROR(IF(F937&gt;=0,D937*E937*(1+F937/100),ABS(D937*E937/F937)),"")</f>
        <v/>
      </c>
      <c r="H937" s="43" t="str">
        <f>IFERROR(G937*E923,"")</f>
        <v/>
      </c>
    </row>
    <row r="938" spans="1:11">
      <c r="A938" s="21"/>
      <c r="B938" s="22" t="s">
        <v>3732</v>
      </c>
      <c r="C938" s="23"/>
      <c r="D938" s="24"/>
      <c r="E938" s="25"/>
      <c r="F938" s="26"/>
      <c r="G938" s="27">
        <f>SUM(G939:G941)</f>
        <v>6154.7395677857148</v>
      </c>
      <c r="H938" s="44">
        <f>G938*E923</f>
        <v>0</v>
      </c>
    </row>
    <row r="939" spans="1:11">
      <c r="A939" s="28"/>
      <c r="B939" s="29" t="s">
        <v>3711</v>
      </c>
      <c r="C939" s="30" t="str">
        <f>IFERROR(_xlfn.XLOOKUP(B939,MObra[DESCRIPCION],MObra[UN],,0),"")</f>
        <v>día</v>
      </c>
      <c r="D939" s="31">
        <v>1</v>
      </c>
      <c r="E939" s="32">
        <f>IFERROR(_xlfn.XLOOKUP($B939,MObra[DESCRIPCION],MObra[VALOR UNIT],,0),"")</f>
        <v>430831.76974500006</v>
      </c>
      <c r="F939" s="33">
        <v>-70</v>
      </c>
      <c r="G939" s="34">
        <f>IFERROR(IF(F939&gt;=0,D939*E939*(1+F939/100),ABS(D939*E939/F939)),"")</f>
        <v>6154.7395677857148</v>
      </c>
      <c r="H939" s="43">
        <f>IFERROR(G939*E923,"")</f>
        <v>0</v>
      </c>
    </row>
    <row r="940" spans="1:11">
      <c r="A940" s="28"/>
      <c r="B940" s="29"/>
      <c r="C940" s="30" t="str">
        <f>IFERROR(_xlfn.XLOOKUP(B940,MObra[DESCRIPCION],MObra[UN],,0),"")</f>
        <v/>
      </c>
      <c r="D940" s="31"/>
      <c r="E940" s="32" t="str">
        <f>IFERROR(_xlfn.XLOOKUP($B940,MObra[DESCRIPCION],MObra[VALOR UNIT],,0),"")</f>
        <v/>
      </c>
      <c r="F940" s="33"/>
      <c r="G940" s="34" t="str">
        <f>IFERROR(IF(F940&gt;=0,D940*E940*(1+F940/100),ABS(D940*E940/F940)),"")</f>
        <v/>
      </c>
      <c r="H940" s="43" t="str">
        <f>IFERROR(G940*E923,"")</f>
        <v/>
      </c>
    </row>
    <row r="941" spans="1:11">
      <c r="A941" s="35"/>
      <c r="B941" s="36"/>
      <c r="C941" s="37" t="str">
        <f>IFERROR(_xlfn.XLOOKUP(B941,MObra[DESCRIPCION],MObra[UN],,0),"")</f>
        <v/>
      </c>
      <c r="D941" s="38"/>
      <c r="E941" s="39" t="str">
        <f>IFERROR(_xlfn.XLOOKUP($B941,MObra[DESCRIPCION],MObra[VALOR UNIT],,0),"")</f>
        <v/>
      </c>
      <c r="F941" s="40"/>
      <c r="G941" s="41" t="str">
        <f>IFERROR(IF(F941&gt;=0,D941*E941*(1+F941/100),ABS(D941*E941/F941)),"")</f>
        <v/>
      </c>
      <c r="H941" s="42" t="str">
        <f>IFERROR(G941*E923,"")</f>
        <v/>
      </c>
    </row>
    <row r="943" spans="1:11">
      <c r="A943" s="6" t="s">
        <v>1818</v>
      </c>
      <c r="B943" s="7" t="str">
        <f>VLOOKUP($A943,Presupuesto!$A:$D,2,FALSE())</f>
        <v>Geomalla BXG 120 o similar</v>
      </c>
      <c r="C943" s="8" t="str">
        <f>VLOOKUP($A943,Presupuesto!$A:$D,3,FALSE())</f>
        <v>M2</v>
      </c>
      <c r="D943" s="9"/>
      <c r="E943" s="10">
        <f>VLOOKUP($A943,Presupuesto!$A:$D,4,FALSE())</f>
        <v>0</v>
      </c>
      <c r="F943" s="11" t="s">
        <v>2589</v>
      </c>
      <c r="G943" s="12">
        <f>SUM(G945:G961)/2</f>
        <v>48969.158790220492</v>
      </c>
      <c r="H943" s="13">
        <f>ROUND(SUM(H945:H961),0)/2</f>
        <v>0</v>
      </c>
      <c r="I943" s="10">
        <f>VLOOKUP(A943,Presupuesto!$A:$F,6,0)</f>
        <v>0</v>
      </c>
      <c r="J943" s="10">
        <f>+H943-I943</f>
        <v>0</v>
      </c>
      <c r="K943" s="46">
        <f>+H943-G943*E943</f>
        <v>0</v>
      </c>
    </row>
    <row r="944" spans="1:11">
      <c r="A944" s="14"/>
      <c r="B944" s="15" t="s">
        <v>2586</v>
      </c>
      <c r="C944" s="15" t="s">
        <v>5</v>
      </c>
      <c r="D944" s="16" t="s">
        <v>6</v>
      </c>
      <c r="E944" s="17" t="s">
        <v>7</v>
      </c>
      <c r="F944" s="18" t="s">
        <v>3728</v>
      </c>
      <c r="G944" s="19" t="s">
        <v>3729</v>
      </c>
      <c r="H944" s="20" t="s">
        <v>3797</v>
      </c>
    </row>
    <row r="945" spans="1:8">
      <c r="A945" s="21"/>
      <c r="B945" s="22" t="s">
        <v>3730</v>
      </c>
      <c r="C945" s="23"/>
      <c r="D945" s="24"/>
      <c r="E945" s="25"/>
      <c r="F945" s="26"/>
      <c r="G945" s="27">
        <f>SUM(G946:G950)</f>
        <v>44273.092499999999</v>
      </c>
      <c r="H945" s="27">
        <f>IFERROR(G945*E943,"")</f>
        <v>0</v>
      </c>
    </row>
    <row r="946" spans="1:8">
      <c r="A946" s="28"/>
      <c r="B946" s="29" t="s">
        <v>2966</v>
      </c>
      <c r="C946" s="30" t="str">
        <f>IFERROR(_xlfn.XLOOKUP(B946,Insumo[DESCRIPCION],Insumo[UND],,0),"")</f>
        <v>M2</v>
      </c>
      <c r="D946" s="31">
        <v>1</v>
      </c>
      <c r="E946" s="32">
        <f>IFERROR(_xlfn.XLOOKUP($B946,Insumo[DESCRIPCION],Insumo[VALOR],,0),"")</f>
        <v>41677.65</v>
      </c>
      <c r="F946" s="33">
        <v>5</v>
      </c>
      <c r="G946" s="34">
        <f>IFERROR(IF(F946&gt;=0,D946*E946*(1+F946/100),ABS(D946*E946/F946)),"")</f>
        <v>43761.532500000001</v>
      </c>
      <c r="H946" s="43">
        <f>IFERROR(G946*E943,"")</f>
        <v>0</v>
      </c>
    </row>
    <row r="947" spans="1:8">
      <c r="A947" s="28"/>
      <c r="B947" s="29" t="s">
        <v>3546</v>
      </c>
      <c r="C947" s="30" t="str">
        <f>IFERROR(_xlfn.XLOOKUP(B947,Insumo[DESCRIPCION],Insumo[UND],,0),"")</f>
        <v>M</v>
      </c>
      <c r="D947" s="31">
        <v>0.3</v>
      </c>
      <c r="E947" s="32">
        <f>IFERROR(_xlfn.XLOOKUP($B947,Insumo[DESCRIPCION],Insumo[VALOR],,0),"")</f>
        <v>1705.2</v>
      </c>
      <c r="F947" s="33"/>
      <c r="G947" s="34">
        <f>IFERROR(IF(F947&gt;=0,D947*E947*(1+F947/100),ABS(D947*E947/F947)),"")</f>
        <v>511.56</v>
      </c>
      <c r="H947" s="43">
        <f>IFERROR(G947*E943,"")</f>
        <v>0</v>
      </c>
    </row>
    <row r="948" spans="1:8">
      <c r="A948" s="28"/>
      <c r="B948" s="29"/>
      <c r="C948" s="30" t="str">
        <f>IFERROR(_xlfn.XLOOKUP(B948,Insumo[DESCRIPCION],Insumo[UND],,0),"")</f>
        <v/>
      </c>
      <c r="D948" s="31"/>
      <c r="E948" s="32" t="str">
        <f>IFERROR(_xlfn.XLOOKUP($B948,Insumo[DESCRIPCION],Insumo[VALOR],,0),"")</f>
        <v/>
      </c>
      <c r="F948" s="33"/>
      <c r="G948" s="34" t="str">
        <f>IFERROR(IF(F948&gt;=0,D948*E948*(1+F948/100),ABS(D948*E948/F948)),"")</f>
        <v/>
      </c>
      <c r="H948" s="43" t="str">
        <f>IFERROR(G948*E943,"")</f>
        <v/>
      </c>
    </row>
    <row r="949" spans="1:8">
      <c r="A949" s="28"/>
      <c r="B949" s="29"/>
      <c r="C949" s="30" t="str">
        <f>IFERROR(_xlfn.XLOOKUP(B949,Insumo[DESCRIPCION],Insumo[UND],,0),"")</f>
        <v/>
      </c>
      <c r="D949" s="31"/>
      <c r="E949" s="32" t="str">
        <f>IFERROR(_xlfn.XLOOKUP($B949,Insumo[DESCRIPCION],Insumo[VALOR],,0),"")</f>
        <v/>
      </c>
      <c r="F949" s="33"/>
      <c r="G949" s="34" t="str">
        <f>IFERROR(IF(F949&gt;=0,D949*E949*(1+F949/100),ABS(D949*E949/F949)),"")</f>
        <v/>
      </c>
      <c r="H949" s="43" t="str">
        <f>IFERROR(G949*E943,"")</f>
        <v/>
      </c>
    </row>
    <row r="950" spans="1:8">
      <c r="A950" s="28"/>
      <c r="B950" s="29"/>
      <c r="C950" s="30" t="str">
        <f>IFERROR(_xlfn.XLOOKUP(B950,Insumo[DESCRIPCION],Insumo[UND],,0),"")</f>
        <v/>
      </c>
      <c r="D950" s="31"/>
      <c r="E950" s="32" t="str">
        <f>IFERROR(_xlfn.XLOOKUP($B950,Insumo[DESCRIPCION],Insumo[VALOR],,0),"")</f>
        <v/>
      </c>
      <c r="F950" s="33"/>
      <c r="G950" s="34" t="str">
        <f>IFERROR(IF(F950&gt;=0,D950*E950*(1+F950/100),ABS(D950*E950/F950)),"")</f>
        <v/>
      </c>
      <c r="H950" s="43" t="str">
        <f>IFERROR(G950*E943,"")</f>
        <v/>
      </c>
    </row>
    <row r="951" spans="1:8">
      <c r="A951" s="21"/>
      <c r="B951" s="22" t="s">
        <v>3731</v>
      </c>
      <c r="C951" s="23"/>
      <c r="D951" s="24"/>
      <c r="E951" s="25"/>
      <c r="F951" s="26"/>
      <c r="G951" s="27">
        <f>SUM(G952:G954)</f>
        <v>387.74859277050007</v>
      </c>
      <c r="H951" s="44">
        <f>G951*E943</f>
        <v>0</v>
      </c>
    </row>
    <row r="952" spans="1:8">
      <c r="A952" s="28"/>
      <c r="B952" s="29" t="s">
        <v>3570</v>
      </c>
      <c r="C952" s="30" t="str">
        <f>IFERROR(_xlfn.XLOOKUP(B952,Equipo[DESCRIPCION],Equipo[UND],,0),"")</f>
        <v>%MO</v>
      </c>
      <c r="D952" s="31">
        <v>0.04</v>
      </c>
      <c r="E952" s="32">
        <f>IF(C952="%MO",G958,IFERROR(_xlfn.XLOOKUP($B952,Equipo[DESCRIPCION],Equipo[VALOR],,0),""))</f>
        <v>4308.3176974500002</v>
      </c>
      <c r="F952" s="33"/>
      <c r="G952" s="34">
        <f>IFERROR(IF(F952&gt;=0,D952*E952*(1+F952/100),ABS(D952*E952/F952)),"")</f>
        <v>172.33270789800002</v>
      </c>
      <c r="H952" s="43">
        <f>IFERROR(G952*E943,"")</f>
        <v>0</v>
      </c>
    </row>
    <row r="953" spans="1:8">
      <c r="A953" s="28"/>
      <c r="B953" s="29" t="s">
        <v>3626</v>
      </c>
      <c r="C953" s="30" t="str">
        <f>IFERROR(_xlfn.XLOOKUP(B953,Equipo[DESCRIPCION],Equipo[UND],,0),"")</f>
        <v>%MO</v>
      </c>
      <c r="D953" s="31">
        <v>0.05</v>
      </c>
      <c r="E953" s="32">
        <f>IF(C953="%MO",G958,IFERROR(_xlfn.XLOOKUP($B953,Equipo[DESCRIPCION],Equipo[VALOR],,0),""))</f>
        <v>4308.3176974500002</v>
      </c>
      <c r="F953" s="33"/>
      <c r="G953" s="34">
        <f>IFERROR(IF(F953&gt;=0,D953*E953*(1+F953/100),ABS(D953*E953/F953)),"")</f>
        <v>215.41588487250002</v>
      </c>
      <c r="H953" s="43">
        <f>IFERROR(G953*E943,"")</f>
        <v>0</v>
      </c>
    </row>
    <row r="954" spans="1:8">
      <c r="A954" s="28"/>
      <c r="B954" s="29"/>
      <c r="C954" s="30" t="str">
        <f>IFERROR(_xlfn.XLOOKUP(B954,Equipo[DESCRIPCION],Equipo[UND],,0),"")</f>
        <v/>
      </c>
      <c r="D954" s="31"/>
      <c r="E954" s="32" t="str">
        <f>IF(C954="%MO",G958,IFERROR(_xlfn.XLOOKUP($B954,Equipo[DESCRIPCION],Equipo[VALOR],,0),""))</f>
        <v/>
      </c>
      <c r="F954" s="33"/>
      <c r="G954" s="34" t="str">
        <f>IFERROR(IF(F954&gt;=0,D954*E954*(1+F954/100),ABS(D954*E954/F954)),"")</f>
        <v/>
      </c>
      <c r="H954" s="43" t="str">
        <f>IFERROR(G954*E943,"")</f>
        <v/>
      </c>
    </row>
    <row r="955" spans="1:8">
      <c r="A955" s="21"/>
      <c r="B955" s="22" t="s">
        <v>2533</v>
      </c>
      <c r="C955" s="23"/>
      <c r="D955" s="24"/>
      <c r="E955" s="25"/>
      <c r="F955" s="26"/>
      <c r="G955" s="27">
        <f>SUM(G956:G957)</f>
        <v>0</v>
      </c>
      <c r="H955" s="44">
        <f>G955*E943</f>
        <v>0</v>
      </c>
    </row>
    <row r="956" spans="1:8">
      <c r="A956" s="28"/>
      <c r="B956" s="29"/>
      <c r="C956" s="30" t="str">
        <f>IFERROR(_xlfn.XLOOKUP(B956,Transporte[DESCRIPCION],Transporte[UND],,0),"")</f>
        <v/>
      </c>
      <c r="D956" s="31"/>
      <c r="E956" s="32" t="str">
        <f>IFERROR(_xlfn.XLOOKUP($B956,Transporte[DESCRIPCION],Transporte[VALOR],,0),"")</f>
        <v/>
      </c>
      <c r="F956" s="33"/>
      <c r="G956" s="34" t="str">
        <f>IFERROR(IF(F956&gt;=0,D956*E956*(1+F956/100),ABS(D956*E956/F956)),"")</f>
        <v/>
      </c>
      <c r="H956" s="43" t="str">
        <f>IFERROR(G956*E943,"")</f>
        <v/>
      </c>
    </row>
    <row r="957" spans="1:8">
      <c r="A957" s="28"/>
      <c r="B957" s="29"/>
      <c r="C957" s="30" t="str">
        <f>IFERROR(_xlfn.XLOOKUP(B957,Transporte[DESCRIPCION],Transporte[UND],,0),"")</f>
        <v/>
      </c>
      <c r="D957" s="31"/>
      <c r="E957" s="32" t="str">
        <f>IFERROR(_xlfn.XLOOKUP($B957,Transporte[DESCRIPCION],Transporte[VALOR],,0),"")</f>
        <v/>
      </c>
      <c r="F957" s="33"/>
      <c r="G957" s="34" t="str">
        <f>IFERROR(IF(F957&gt;=0,D957*E957*(1+F957/100),ABS(D957*E957/F957)),"")</f>
        <v/>
      </c>
      <c r="H957" s="43" t="str">
        <f>IFERROR(G957*E943,"")</f>
        <v/>
      </c>
    </row>
    <row r="958" spans="1:8">
      <c r="A958" s="21"/>
      <c r="B958" s="22" t="s">
        <v>3732</v>
      </c>
      <c r="C958" s="23"/>
      <c r="D958" s="24"/>
      <c r="E958" s="25"/>
      <c r="F958" s="26"/>
      <c r="G958" s="27">
        <f>SUM(G959:G961)</f>
        <v>4308.3176974500002</v>
      </c>
      <c r="H958" s="44">
        <f>G958*E943</f>
        <v>0</v>
      </c>
    </row>
    <row r="959" spans="1:8">
      <c r="A959" s="28"/>
      <c r="B959" s="29" t="s">
        <v>3711</v>
      </c>
      <c r="C959" s="30" t="str">
        <f>IFERROR(_xlfn.XLOOKUP(B959,MObra[DESCRIPCION],MObra[UN],,0),"")</f>
        <v>día</v>
      </c>
      <c r="D959" s="31">
        <v>1</v>
      </c>
      <c r="E959" s="32">
        <f>IFERROR(_xlfn.XLOOKUP($B959,MObra[DESCRIPCION],MObra[VALOR UNIT],,0),"")</f>
        <v>430831.76974500006</v>
      </c>
      <c r="F959" s="33">
        <v>-100</v>
      </c>
      <c r="G959" s="34">
        <f>IFERROR(IF(F959&gt;=0,D959*E959*(1+F959/100),ABS(D959*E959/F959)),"")</f>
        <v>4308.3176974500002</v>
      </c>
      <c r="H959" s="43">
        <f>IFERROR(G959*E943,"")</f>
        <v>0</v>
      </c>
    </row>
    <row r="960" spans="1:8">
      <c r="A960" s="28"/>
      <c r="B960" s="29"/>
      <c r="C960" s="30" t="str">
        <f>IFERROR(_xlfn.XLOOKUP(B960,MObra[DESCRIPCION],MObra[UN],,0),"")</f>
        <v/>
      </c>
      <c r="D960" s="31"/>
      <c r="E960" s="32" t="str">
        <f>IFERROR(_xlfn.XLOOKUP($B960,MObra[DESCRIPCION],MObra[VALOR UNIT],,0),"")</f>
        <v/>
      </c>
      <c r="F960" s="33"/>
      <c r="G960" s="34" t="str">
        <f>IFERROR(IF(F960&gt;=0,D960*E960*(1+F960/100),ABS(D960*E960/F960)),"")</f>
        <v/>
      </c>
      <c r="H960" s="43" t="str">
        <f>IFERROR(G960*E943,"")</f>
        <v/>
      </c>
    </row>
    <row r="961" spans="1:11">
      <c r="A961" s="35"/>
      <c r="B961" s="36"/>
      <c r="C961" s="37" t="str">
        <f>IFERROR(_xlfn.XLOOKUP(B961,MObra[DESCRIPCION],MObra[UN],,0),"")</f>
        <v/>
      </c>
      <c r="D961" s="38"/>
      <c r="E961" s="39" t="str">
        <f>IFERROR(_xlfn.XLOOKUP($B961,MObra[DESCRIPCION],MObra[VALOR UNIT],,0),"")</f>
        <v/>
      </c>
      <c r="F961" s="40"/>
      <c r="G961" s="41" t="str">
        <f>IFERROR(IF(F961&gt;=0,D961*E961*(1+F961/100),ABS(D961*E961/F961)),"")</f>
        <v/>
      </c>
      <c r="H961" s="42" t="str">
        <f>IFERROR(G961*E943,"")</f>
        <v/>
      </c>
    </row>
    <row r="963" spans="1:11">
      <c r="A963" s="6" t="s">
        <v>1820</v>
      </c>
      <c r="B963" s="7" t="str">
        <f>VLOOKUP($A963,Presupuesto!$A:$D,2,FALSE())</f>
        <v>Geotextil 1600 NT o similar</v>
      </c>
      <c r="C963" s="8" t="str">
        <f>VLOOKUP($A963,Presupuesto!$A:$D,3,FALSE())</f>
        <v>M2</v>
      </c>
      <c r="D963" s="9"/>
      <c r="E963" s="10">
        <f>VLOOKUP($A963,Presupuesto!$A:$D,4,FALSE())</f>
        <v>0</v>
      </c>
      <c r="F963" s="11" t="s">
        <v>2589</v>
      </c>
      <c r="G963" s="12">
        <f>SUM(G965:G981)/2</f>
        <v>9606.6012902205002</v>
      </c>
      <c r="H963" s="13">
        <f>ROUND(SUM(H965:H981),0)/2</f>
        <v>0</v>
      </c>
      <c r="I963" s="10">
        <f>VLOOKUP(A963,Presupuesto!$A:$F,6,0)</f>
        <v>0</v>
      </c>
      <c r="J963" s="10">
        <f>+H963-I963</f>
        <v>0</v>
      </c>
      <c r="K963" s="46">
        <f>+H963-G963*E963</f>
        <v>0</v>
      </c>
    </row>
    <row r="964" spans="1:11">
      <c r="A964" s="14"/>
      <c r="B964" s="15" t="s">
        <v>2586</v>
      </c>
      <c r="C964" s="15" t="s">
        <v>5</v>
      </c>
      <c r="D964" s="16" t="s">
        <v>6</v>
      </c>
      <c r="E964" s="17" t="s">
        <v>7</v>
      </c>
      <c r="F964" s="18" t="s">
        <v>3728</v>
      </c>
      <c r="G964" s="19" t="s">
        <v>3729</v>
      </c>
      <c r="H964" s="20" t="s">
        <v>3797</v>
      </c>
    </row>
    <row r="965" spans="1:11">
      <c r="A965" s="21"/>
      <c r="B965" s="22" t="s">
        <v>3730</v>
      </c>
      <c r="C965" s="23"/>
      <c r="D965" s="24"/>
      <c r="E965" s="25"/>
      <c r="F965" s="26"/>
      <c r="G965" s="27">
        <f>SUM(G966:G970)</f>
        <v>4910.5350000000008</v>
      </c>
      <c r="H965" s="27">
        <f>IFERROR(G965*E963,"")</f>
        <v>0</v>
      </c>
    </row>
    <row r="966" spans="1:11">
      <c r="A966" s="28"/>
      <c r="B966" s="29" t="s">
        <v>2975</v>
      </c>
      <c r="C966" s="30" t="str">
        <f>IFERROR(_xlfn.XLOOKUP(B966,Insumo[DESCRIPCION],Insumo[UND],,0),"")</f>
        <v>M2</v>
      </c>
      <c r="D966" s="31">
        <v>1</v>
      </c>
      <c r="E966" s="32">
        <f>IFERROR(_xlfn.XLOOKUP($B966,Insumo[DESCRIPCION],Insumo[VALOR],,0),"")</f>
        <v>4189.5</v>
      </c>
      <c r="F966" s="33">
        <v>5</v>
      </c>
      <c r="G966" s="34">
        <f>IFERROR(IF(F966&gt;=0,D966*E966*(1+F966/100),ABS(D966*E966/F966)),"")</f>
        <v>4398.9750000000004</v>
      </c>
      <c r="H966" s="43">
        <f>IFERROR(G966*E963,"")</f>
        <v>0</v>
      </c>
    </row>
    <row r="967" spans="1:11">
      <c r="A967" s="28"/>
      <c r="B967" s="29" t="s">
        <v>3546</v>
      </c>
      <c r="C967" s="30" t="str">
        <f>IFERROR(_xlfn.XLOOKUP(B967,Insumo[DESCRIPCION],Insumo[UND],,0),"")</f>
        <v>M</v>
      </c>
      <c r="D967" s="31">
        <v>0.3</v>
      </c>
      <c r="E967" s="32">
        <f>IFERROR(_xlfn.XLOOKUP($B967,Insumo[DESCRIPCION],Insumo[VALOR],,0),"")</f>
        <v>1705.2</v>
      </c>
      <c r="F967" s="33"/>
      <c r="G967" s="34">
        <f>IFERROR(IF(F967&gt;=0,D967*E967*(1+F967/100),ABS(D967*E967/F967)),"")</f>
        <v>511.56</v>
      </c>
      <c r="H967" s="43">
        <f>IFERROR(G967*E963,"")</f>
        <v>0</v>
      </c>
    </row>
    <row r="968" spans="1:11">
      <c r="A968" s="28"/>
      <c r="B968" s="29"/>
      <c r="C968" s="30" t="str">
        <f>IFERROR(_xlfn.XLOOKUP(B968,Insumo[DESCRIPCION],Insumo[UND],,0),"")</f>
        <v/>
      </c>
      <c r="D968" s="31"/>
      <c r="E968" s="32" t="str">
        <f>IFERROR(_xlfn.XLOOKUP($B968,Insumo[DESCRIPCION],Insumo[VALOR],,0),"")</f>
        <v/>
      </c>
      <c r="F968" s="33"/>
      <c r="G968" s="34" t="str">
        <f>IFERROR(IF(F968&gt;=0,D968*E968*(1+F968/100),ABS(D968*E968/F968)),"")</f>
        <v/>
      </c>
      <c r="H968" s="43" t="str">
        <f>IFERROR(G968*E963,"")</f>
        <v/>
      </c>
    </row>
    <row r="969" spans="1:11">
      <c r="A969" s="28"/>
      <c r="B969" s="29"/>
      <c r="C969" s="30" t="str">
        <f>IFERROR(_xlfn.XLOOKUP(B969,Insumo[DESCRIPCION],Insumo[UND],,0),"")</f>
        <v/>
      </c>
      <c r="D969" s="31"/>
      <c r="E969" s="32" t="str">
        <f>IFERROR(_xlfn.XLOOKUP($B969,Insumo[DESCRIPCION],Insumo[VALOR],,0),"")</f>
        <v/>
      </c>
      <c r="F969" s="33"/>
      <c r="G969" s="34" t="str">
        <f>IFERROR(IF(F969&gt;=0,D969*E969*(1+F969/100),ABS(D969*E969/F969)),"")</f>
        <v/>
      </c>
      <c r="H969" s="43" t="str">
        <f>IFERROR(G969*E963,"")</f>
        <v/>
      </c>
    </row>
    <row r="970" spans="1:11">
      <c r="A970" s="28"/>
      <c r="B970" s="29"/>
      <c r="C970" s="30" t="str">
        <f>IFERROR(_xlfn.XLOOKUP(B970,Insumo[DESCRIPCION],Insumo[UND],,0),"")</f>
        <v/>
      </c>
      <c r="D970" s="31"/>
      <c r="E970" s="32" t="str">
        <f>IFERROR(_xlfn.XLOOKUP($B970,Insumo[DESCRIPCION],Insumo[VALOR],,0),"")</f>
        <v/>
      </c>
      <c r="F970" s="33"/>
      <c r="G970" s="34" t="str">
        <f>IFERROR(IF(F970&gt;=0,D970*E970*(1+F970/100),ABS(D970*E970/F970)),"")</f>
        <v/>
      </c>
      <c r="H970" s="43" t="str">
        <f>IFERROR(G970*E963,"")</f>
        <v/>
      </c>
    </row>
    <row r="971" spans="1:11">
      <c r="A971" s="21"/>
      <c r="B971" s="22" t="s">
        <v>3731</v>
      </c>
      <c r="C971" s="23"/>
      <c r="D971" s="24"/>
      <c r="E971" s="25"/>
      <c r="F971" s="26"/>
      <c r="G971" s="27">
        <f>SUM(G972:G974)</f>
        <v>387.74859277050007</v>
      </c>
      <c r="H971" s="44">
        <f>G971*E963</f>
        <v>0</v>
      </c>
    </row>
    <row r="972" spans="1:11">
      <c r="A972" s="28"/>
      <c r="B972" s="29" t="s">
        <v>3570</v>
      </c>
      <c r="C972" s="30" t="str">
        <f>IFERROR(_xlfn.XLOOKUP(B972,Equipo[DESCRIPCION],Equipo[UND],,0),"")</f>
        <v>%MO</v>
      </c>
      <c r="D972" s="31">
        <v>0.04</v>
      </c>
      <c r="E972" s="32">
        <f>IF(C972="%MO",G978,IFERROR(_xlfn.XLOOKUP($B972,Equipo[DESCRIPCION],Equipo[VALOR],,0),""))</f>
        <v>4308.3176974500002</v>
      </c>
      <c r="F972" s="33"/>
      <c r="G972" s="34">
        <f>IFERROR(IF(F972&gt;=0,D972*E972*(1+F972/100),ABS(D972*E972/F972)),"")</f>
        <v>172.33270789800002</v>
      </c>
      <c r="H972" s="43">
        <f>IFERROR(G972*E963,"")</f>
        <v>0</v>
      </c>
    </row>
    <row r="973" spans="1:11">
      <c r="A973" s="28"/>
      <c r="B973" s="29" t="s">
        <v>3626</v>
      </c>
      <c r="C973" s="30" t="str">
        <f>IFERROR(_xlfn.XLOOKUP(B973,Equipo[DESCRIPCION],Equipo[UND],,0),"")</f>
        <v>%MO</v>
      </c>
      <c r="D973" s="31">
        <v>0.05</v>
      </c>
      <c r="E973" s="32">
        <f>IF(C973="%MO",G978,IFERROR(_xlfn.XLOOKUP($B973,Equipo[DESCRIPCION],Equipo[VALOR],,0),""))</f>
        <v>4308.3176974500002</v>
      </c>
      <c r="F973" s="33"/>
      <c r="G973" s="34">
        <f>IFERROR(IF(F973&gt;=0,D973*E973*(1+F973/100),ABS(D973*E973/F973)),"")</f>
        <v>215.41588487250002</v>
      </c>
      <c r="H973" s="43">
        <f>IFERROR(G973*E963,"")</f>
        <v>0</v>
      </c>
    </row>
    <row r="974" spans="1:11">
      <c r="A974" s="28"/>
      <c r="B974" s="29"/>
      <c r="C974" s="30" t="str">
        <f>IFERROR(_xlfn.XLOOKUP(B974,Equipo[DESCRIPCION],Equipo[UND],,0),"")</f>
        <v/>
      </c>
      <c r="D974" s="31"/>
      <c r="E974" s="32" t="str">
        <f>IF(C974="%MO",G978,IFERROR(_xlfn.XLOOKUP($B974,Equipo[DESCRIPCION],Equipo[VALOR],,0),""))</f>
        <v/>
      </c>
      <c r="F974" s="33"/>
      <c r="G974" s="34" t="str">
        <f>IFERROR(IF(F974&gt;=0,D974*E974*(1+F974/100),ABS(D974*E974/F974)),"")</f>
        <v/>
      </c>
      <c r="H974" s="43" t="str">
        <f>IFERROR(G974*E963,"")</f>
        <v/>
      </c>
    </row>
    <row r="975" spans="1:11">
      <c r="A975" s="21"/>
      <c r="B975" s="22" t="s">
        <v>2533</v>
      </c>
      <c r="C975" s="23"/>
      <c r="D975" s="24"/>
      <c r="E975" s="25"/>
      <c r="F975" s="26"/>
      <c r="G975" s="27">
        <f>SUM(G976:G977)</f>
        <v>0</v>
      </c>
      <c r="H975" s="44">
        <f>G975*E963</f>
        <v>0</v>
      </c>
    </row>
    <row r="976" spans="1:11">
      <c r="A976" s="28"/>
      <c r="B976" s="29"/>
      <c r="C976" s="30" t="str">
        <f>IFERROR(_xlfn.XLOOKUP(B976,Transporte[DESCRIPCION],Transporte[UND],,0),"")</f>
        <v/>
      </c>
      <c r="D976" s="31"/>
      <c r="E976" s="32" t="str">
        <f>IFERROR(_xlfn.XLOOKUP($B976,Transporte[DESCRIPCION],Transporte[VALOR],,0),"")</f>
        <v/>
      </c>
      <c r="F976" s="33"/>
      <c r="G976" s="34" t="str">
        <f>IFERROR(IF(F976&gt;=0,D976*E976*(1+F976/100),ABS(D976*E976/F976)),"")</f>
        <v/>
      </c>
      <c r="H976" s="43" t="str">
        <f>IFERROR(G976*E963,"")</f>
        <v/>
      </c>
    </row>
    <row r="977" spans="1:11">
      <c r="A977" s="28"/>
      <c r="B977" s="29"/>
      <c r="C977" s="30" t="str">
        <f>IFERROR(_xlfn.XLOOKUP(B977,Transporte[DESCRIPCION],Transporte[UND],,0),"")</f>
        <v/>
      </c>
      <c r="D977" s="31"/>
      <c r="E977" s="32" t="str">
        <f>IFERROR(_xlfn.XLOOKUP($B977,Transporte[DESCRIPCION],Transporte[VALOR],,0),"")</f>
        <v/>
      </c>
      <c r="F977" s="33"/>
      <c r="G977" s="34" t="str">
        <f>IFERROR(IF(F977&gt;=0,D977*E977*(1+F977/100),ABS(D977*E977/F977)),"")</f>
        <v/>
      </c>
      <c r="H977" s="43" t="str">
        <f>IFERROR(G977*E963,"")</f>
        <v/>
      </c>
    </row>
    <row r="978" spans="1:11">
      <c r="A978" s="21"/>
      <c r="B978" s="22" t="s">
        <v>3732</v>
      </c>
      <c r="C978" s="23"/>
      <c r="D978" s="24"/>
      <c r="E978" s="25"/>
      <c r="F978" s="26"/>
      <c r="G978" s="27">
        <f>SUM(G979:G981)</f>
        <v>4308.3176974500002</v>
      </c>
      <c r="H978" s="44">
        <f>G978*E963</f>
        <v>0</v>
      </c>
    </row>
    <row r="979" spans="1:11">
      <c r="A979" s="28"/>
      <c r="B979" s="29" t="s">
        <v>3711</v>
      </c>
      <c r="C979" s="30" t="str">
        <f>IFERROR(_xlfn.XLOOKUP(B979,MObra[DESCRIPCION],MObra[UN],,0),"")</f>
        <v>día</v>
      </c>
      <c r="D979" s="31">
        <v>1</v>
      </c>
      <c r="E979" s="32">
        <f>IFERROR(_xlfn.XLOOKUP($B979,MObra[DESCRIPCION],MObra[VALOR UNIT],,0),"")</f>
        <v>430831.76974500006</v>
      </c>
      <c r="F979" s="33">
        <v>-100</v>
      </c>
      <c r="G979" s="34">
        <f>IFERROR(IF(F979&gt;=0,D979*E979*(1+F979/100),ABS(D979*E979/F979)),"")</f>
        <v>4308.3176974500002</v>
      </c>
      <c r="H979" s="43">
        <f>IFERROR(G979*E963,"")</f>
        <v>0</v>
      </c>
    </row>
    <row r="980" spans="1:11">
      <c r="A980" s="28"/>
      <c r="B980" s="29"/>
      <c r="C980" s="30" t="str">
        <f>IFERROR(_xlfn.XLOOKUP(B980,MObra[DESCRIPCION],MObra[UN],,0),"")</f>
        <v/>
      </c>
      <c r="D980" s="31"/>
      <c r="E980" s="32" t="str">
        <f>IFERROR(_xlfn.XLOOKUP($B980,MObra[DESCRIPCION],MObra[VALOR UNIT],,0),"")</f>
        <v/>
      </c>
      <c r="F980" s="33"/>
      <c r="G980" s="34" t="str">
        <f>IFERROR(IF(F980&gt;=0,D980*E980*(1+F980/100),ABS(D980*E980/F980)),"")</f>
        <v/>
      </c>
      <c r="H980" s="43" t="str">
        <f>IFERROR(G980*E963,"")</f>
        <v/>
      </c>
    </row>
    <row r="981" spans="1:11">
      <c r="A981" s="35"/>
      <c r="B981" s="36"/>
      <c r="C981" s="37" t="str">
        <f>IFERROR(_xlfn.XLOOKUP(B981,MObra[DESCRIPCION],MObra[UN],,0),"")</f>
        <v/>
      </c>
      <c r="D981" s="38"/>
      <c r="E981" s="39" t="str">
        <f>IFERROR(_xlfn.XLOOKUP($B981,MObra[DESCRIPCION],MObra[VALOR UNIT],,0),"")</f>
        <v/>
      </c>
      <c r="F981" s="40"/>
      <c r="G981" s="41" t="str">
        <f>IFERROR(IF(F981&gt;=0,D981*E981*(1+F981/100),ABS(D981*E981/F981)),"")</f>
        <v/>
      </c>
      <c r="H981" s="42" t="str">
        <f>IFERROR(G981*E963,"")</f>
        <v/>
      </c>
    </row>
    <row r="983" spans="1:11">
      <c r="A983" s="6" t="s">
        <v>1822</v>
      </c>
      <c r="B983" s="7" t="str">
        <f>VLOOKUP($A983,Presupuesto!$A:$D,2,FALSE())</f>
        <v>Geotextil 2400 T o similar</v>
      </c>
      <c r="C983" s="8" t="str">
        <f>VLOOKUP($A983,Presupuesto!$A:$D,3,FALSE())</f>
        <v>M2</v>
      </c>
      <c r="D983" s="9"/>
      <c r="E983" s="10">
        <f>VLOOKUP($A983,Presupuesto!$A:$D,4,FALSE())</f>
        <v>0</v>
      </c>
      <c r="F983" s="11" t="s">
        <v>2589</v>
      </c>
      <c r="G983" s="12">
        <f>SUM(G985:G1001)/2</f>
        <v>14431.141290220501</v>
      </c>
      <c r="H983" s="13">
        <f>ROUND(SUM(H985:H1001),0)/2</f>
        <v>0</v>
      </c>
      <c r="I983" s="10">
        <f>VLOOKUP(A983,Presupuesto!$A:$F,6,0)</f>
        <v>0</v>
      </c>
      <c r="J983" s="10">
        <f>+H983-I983</f>
        <v>0</v>
      </c>
      <c r="K983" s="46">
        <f>+H983-G983*E983</f>
        <v>0</v>
      </c>
    </row>
    <row r="984" spans="1:11">
      <c r="A984" s="14"/>
      <c r="B984" s="15" t="s">
        <v>2586</v>
      </c>
      <c r="C984" s="15" t="s">
        <v>5</v>
      </c>
      <c r="D984" s="16" t="s">
        <v>6</v>
      </c>
      <c r="E984" s="17" t="s">
        <v>7</v>
      </c>
      <c r="F984" s="18" t="s">
        <v>3728</v>
      </c>
      <c r="G984" s="19" t="s">
        <v>3729</v>
      </c>
      <c r="H984" s="20" t="s">
        <v>3797</v>
      </c>
    </row>
    <row r="985" spans="1:11">
      <c r="A985" s="21"/>
      <c r="B985" s="22" t="s">
        <v>3730</v>
      </c>
      <c r="C985" s="23"/>
      <c r="D985" s="24"/>
      <c r="E985" s="25"/>
      <c r="F985" s="26"/>
      <c r="G985" s="27">
        <f>SUM(G986:G990)</f>
        <v>9735.0750000000007</v>
      </c>
      <c r="H985" s="27">
        <f>IFERROR(G985*E983,"")</f>
        <v>0</v>
      </c>
    </row>
    <row r="986" spans="1:11">
      <c r="A986" s="28"/>
      <c r="B986" s="29" t="s">
        <v>2976</v>
      </c>
      <c r="C986" s="30" t="str">
        <f>IFERROR(_xlfn.XLOOKUP(B986,Insumo[DESCRIPCION],Insumo[UND],,0),"")</f>
        <v>M2</v>
      </c>
      <c r="D986" s="31">
        <v>1</v>
      </c>
      <c r="E986" s="32">
        <f>IFERROR(_xlfn.XLOOKUP($B986,Insumo[DESCRIPCION],Insumo[VALOR],,0),"")</f>
        <v>8784.3000000000011</v>
      </c>
      <c r="F986" s="33">
        <v>5</v>
      </c>
      <c r="G986" s="34">
        <f>IFERROR(IF(F986&gt;=0,D986*E986*(1+F986/100),ABS(D986*E986/F986)),"")</f>
        <v>9223.5150000000012</v>
      </c>
      <c r="H986" s="43">
        <f>IFERROR(G986*E983,"")</f>
        <v>0</v>
      </c>
    </row>
    <row r="987" spans="1:11">
      <c r="A987" s="28"/>
      <c r="B987" s="29" t="s">
        <v>3546</v>
      </c>
      <c r="C987" s="30" t="str">
        <f>IFERROR(_xlfn.XLOOKUP(B987,Insumo[DESCRIPCION],Insumo[UND],,0),"")</f>
        <v>M</v>
      </c>
      <c r="D987" s="31">
        <v>0.3</v>
      </c>
      <c r="E987" s="32">
        <f>IFERROR(_xlfn.XLOOKUP($B987,Insumo[DESCRIPCION],Insumo[VALOR],,0),"")</f>
        <v>1705.2</v>
      </c>
      <c r="F987" s="33"/>
      <c r="G987" s="34">
        <f>IFERROR(IF(F987&gt;=0,D987*E987*(1+F987/100),ABS(D987*E987/F987)),"")</f>
        <v>511.56</v>
      </c>
      <c r="H987" s="43">
        <f>IFERROR(G987*E983,"")</f>
        <v>0</v>
      </c>
    </row>
    <row r="988" spans="1:11">
      <c r="A988" s="28"/>
      <c r="B988" s="29"/>
      <c r="C988" s="30" t="str">
        <f>IFERROR(_xlfn.XLOOKUP(B988,Insumo[DESCRIPCION],Insumo[UND],,0),"")</f>
        <v/>
      </c>
      <c r="D988" s="31"/>
      <c r="E988" s="32" t="str">
        <f>IFERROR(_xlfn.XLOOKUP($B988,Insumo[DESCRIPCION],Insumo[VALOR],,0),"")</f>
        <v/>
      </c>
      <c r="F988" s="33"/>
      <c r="G988" s="34" t="str">
        <f>IFERROR(IF(F988&gt;=0,D988*E988*(1+F988/100),ABS(D988*E988/F988)),"")</f>
        <v/>
      </c>
      <c r="H988" s="43" t="str">
        <f>IFERROR(G988*E983,"")</f>
        <v/>
      </c>
    </row>
    <row r="989" spans="1:11">
      <c r="A989" s="28"/>
      <c r="B989" s="29"/>
      <c r="C989" s="30" t="str">
        <f>IFERROR(_xlfn.XLOOKUP(B989,Insumo[DESCRIPCION],Insumo[UND],,0),"")</f>
        <v/>
      </c>
      <c r="D989" s="31"/>
      <c r="E989" s="32" t="str">
        <f>IFERROR(_xlfn.XLOOKUP($B989,Insumo[DESCRIPCION],Insumo[VALOR],,0),"")</f>
        <v/>
      </c>
      <c r="F989" s="33"/>
      <c r="G989" s="34" t="str">
        <f>IFERROR(IF(F989&gt;=0,D989*E989*(1+F989/100),ABS(D989*E989/F989)),"")</f>
        <v/>
      </c>
      <c r="H989" s="43" t="str">
        <f>IFERROR(G989*E983,"")</f>
        <v/>
      </c>
    </row>
    <row r="990" spans="1:11">
      <c r="A990" s="28"/>
      <c r="B990" s="29"/>
      <c r="C990" s="30" t="str">
        <f>IFERROR(_xlfn.XLOOKUP(B990,Insumo[DESCRIPCION],Insumo[UND],,0),"")</f>
        <v/>
      </c>
      <c r="D990" s="31"/>
      <c r="E990" s="32" t="str">
        <f>IFERROR(_xlfn.XLOOKUP($B990,Insumo[DESCRIPCION],Insumo[VALOR],,0),"")</f>
        <v/>
      </c>
      <c r="F990" s="33"/>
      <c r="G990" s="34" t="str">
        <f>IFERROR(IF(F990&gt;=0,D990*E990*(1+F990/100),ABS(D990*E990/F990)),"")</f>
        <v/>
      </c>
      <c r="H990" s="43" t="str">
        <f>IFERROR(G990*E983,"")</f>
        <v/>
      </c>
    </row>
    <row r="991" spans="1:11">
      <c r="A991" s="21"/>
      <c r="B991" s="22" t="s">
        <v>3731</v>
      </c>
      <c r="C991" s="23"/>
      <c r="D991" s="24"/>
      <c r="E991" s="25"/>
      <c r="F991" s="26"/>
      <c r="G991" s="27">
        <f>SUM(G992:G994)</f>
        <v>387.74859277050007</v>
      </c>
      <c r="H991" s="44">
        <f>G991*E983</f>
        <v>0</v>
      </c>
    </row>
    <row r="992" spans="1:11">
      <c r="A992" s="28"/>
      <c r="B992" s="29" t="s">
        <v>3570</v>
      </c>
      <c r="C992" s="30" t="str">
        <f>IFERROR(_xlfn.XLOOKUP(B992,Equipo[DESCRIPCION],Equipo[UND],,0),"")</f>
        <v>%MO</v>
      </c>
      <c r="D992" s="31">
        <v>0.04</v>
      </c>
      <c r="E992" s="32">
        <f>IF(C992="%MO",G998,IFERROR(_xlfn.XLOOKUP($B992,Equipo[DESCRIPCION],Equipo[VALOR],,0),""))</f>
        <v>4308.3176974500002</v>
      </c>
      <c r="F992" s="33"/>
      <c r="G992" s="34">
        <f>IFERROR(IF(F992&gt;=0,D992*E992*(1+F992/100),ABS(D992*E992/F992)),"")</f>
        <v>172.33270789800002</v>
      </c>
      <c r="H992" s="43">
        <f>IFERROR(G992*E983,"")</f>
        <v>0</v>
      </c>
    </row>
    <row r="993" spans="1:11">
      <c r="A993" s="28"/>
      <c r="B993" s="29" t="s">
        <v>3626</v>
      </c>
      <c r="C993" s="30" t="str">
        <f>IFERROR(_xlfn.XLOOKUP(B993,Equipo[DESCRIPCION],Equipo[UND],,0),"")</f>
        <v>%MO</v>
      </c>
      <c r="D993" s="31">
        <v>0.05</v>
      </c>
      <c r="E993" s="32">
        <f>IF(C993="%MO",G998,IFERROR(_xlfn.XLOOKUP($B993,Equipo[DESCRIPCION],Equipo[VALOR],,0),""))</f>
        <v>4308.3176974500002</v>
      </c>
      <c r="F993" s="33"/>
      <c r="G993" s="34">
        <f>IFERROR(IF(F993&gt;=0,D993*E993*(1+F993/100),ABS(D993*E993/F993)),"")</f>
        <v>215.41588487250002</v>
      </c>
      <c r="H993" s="43">
        <f>IFERROR(G993*E983,"")</f>
        <v>0</v>
      </c>
    </row>
    <row r="994" spans="1:11">
      <c r="A994" s="28"/>
      <c r="B994" s="29"/>
      <c r="C994" s="30" t="str">
        <f>IFERROR(_xlfn.XLOOKUP(B994,Equipo[DESCRIPCION],Equipo[UND],,0),"")</f>
        <v/>
      </c>
      <c r="D994" s="31"/>
      <c r="E994" s="32" t="str">
        <f>IF(C994="%MO",G998,IFERROR(_xlfn.XLOOKUP($B994,Equipo[DESCRIPCION],Equipo[VALOR],,0),""))</f>
        <v/>
      </c>
      <c r="F994" s="33"/>
      <c r="G994" s="34" t="str">
        <f>IFERROR(IF(F994&gt;=0,D994*E994*(1+F994/100),ABS(D994*E994/F994)),"")</f>
        <v/>
      </c>
      <c r="H994" s="43" t="str">
        <f>IFERROR(G994*E983,"")</f>
        <v/>
      </c>
    </row>
    <row r="995" spans="1:11">
      <c r="A995" s="21"/>
      <c r="B995" s="22" t="s">
        <v>2533</v>
      </c>
      <c r="C995" s="23"/>
      <c r="D995" s="24"/>
      <c r="E995" s="25"/>
      <c r="F995" s="26"/>
      <c r="G995" s="27">
        <f>SUM(G996:G997)</f>
        <v>0</v>
      </c>
      <c r="H995" s="44">
        <f>G995*E983</f>
        <v>0</v>
      </c>
    </row>
    <row r="996" spans="1:11">
      <c r="A996" s="28"/>
      <c r="B996" s="29"/>
      <c r="C996" s="30" t="str">
        <f>IFERROR(_xlfn.XLOOKUP(B996,Transporte[DESCRIPCION],Transporte[UND],,0),"")</f>
        <v/>
      </c>
      <c r="D996" s="31"/>
      <c r="E996" s="32" t="str">
        <f>IFERROR(_xlfn.XLOOKUP($B996,Transporte[DESCRIPCION],Transporte[VALOR],,0),"")</f>
        <v/>
      </c>
      <c r="F996" s="33"/>
      <c r="G996" s="34" t="str">
        <f>IFERROR(IF(F996&gt;=0,D996*E996*(1+F996/100),ABS(D996*E996/F996)),"")</f>
        <v/>
      </c>
      <c r="H996" s="43" t="str">
        <f>IFERROR(G996*E983,"")</f>
        <v/>
      </c>
    </row>
    <row r="997" spans="1:11">
      <c r="A997" s="28"/>
      <c r="B997" s="29"/>
      <c r="C997" s="30" t="str">
        <f>IFERROR(_xlfn.XLOOKUP(B997,Transporte[DESCRIPCION],Transporte[UND],,0),"")</f>
        <v/>
      </c>
      <c r="D997" s="31"/>
      <c r="E997" s="32" t="str">
        <f>IFERROR(_xlfn.XLOOKUP($B997,Transporte[DESCRIPCION],Transporte[VALOR],,0),"")</f>
        <v/>
      </c>
      <c r="F997" s="33"/>
      <c r="G997" s="34" t="str">
        <f>IFERROR(IF(F997&gt;=0,D997*E997*(1+F997/100),ABS(D997*E997/F997)),"")</f>
        <v/>
      </c>
      <c r="H997" s="43" t="str">
        <f>IFERROR(G997*E983,"")</f>
        <v/>
      </c>
    </row>
    <row r="998" spans="1:11">
      <c r="A998" s="21"/>
      <c r="B998" s="22" t="s">
        <v>3732</v>
      </c>
      <c r="C998" s="23"/>
      <c r="D998" s="24"/>
      <c r="E998" s="25"/>
      <c r="F998" s="26"/>
      <c r="G998" s="27">
        <f>SUM(G999:G1001)</f>
        <v>4308.3176974500002</v>
      </c>
      <c r="H998" s="44">
        <f>G998*E983</f>
        <v>0</v>
      </c>
    </row>
    <row r="999" spans="1:11">
      <c r="A999" s="28"/>
      <c r="B999" s="29" t="s">
        <v>3711</v>
      </c>
      <c r="C999" s="30" t="str">
        <f>IFERROR(_xlfn.XLOOKUP(B999,MObra[DESCRIPCION],MObra[UN],,0),"")</f>
        <v>día</v>
      </c>
      <c r="D999" s="31">
        <v>1</v>
      </c>
      <c r="E999" s="32">
        <f>IFERROR(_xlfn.XLOOKUP($B999,MObra[DESCRIPCION],MObra[VALOR UNIT],,0),"")</f>
        <v>430831.76974500006</v>
      </c>
      <c r="F999" s="33">
        <v>-100</v>
      </c>
      <c r="G999" s="34">
        <f>IFERROR(IF(F999&gt;=0,D999*E999*(1+F999/100),ABS(D999*E999/F999)),"")</f>
        <v>4308.3176974500002</v>
      </c>
      <c r="H999" s="43">
        <f>IFERROR(G999*E983,"")</f>
        <v>0</v>
      </c>
    </row>
    <row r="1000" spans="1:11">
      <c r="A1000" s="28"/>
      <c r="B1000" s="29"/>
      <c r="C1000" s="30" t="str">
        <f>IFERROR(_xlfn.XLOOKUP(B1000,MObra[DESCRIPCION],MObra[UN],,0),"")</f>
        <v/>
      </c>
      <c r="D1000" s="31"/>
      <c r="E1000" s="32" t="str">
        <f>IFERROR(_xlfn.XLOOKUP($B1000,MObra[DESCRIPCION],MObra[VALOR UNIT],,0),"")</f>
        <v/>
      </c>
      <c r="F1000" s="33"/>
      <c r="G1000" s="34" t="str">
        <f>IFERROR(IF(F1000&gt;=0,D1000*E1000*(1+F1000/100),ABS(D1000*E1000/F1000)),"")</f>
        <v/>
      </c>
      <c r="H1000" s="43" t="str">
        <f>IFERROR(G1000*E983,"")</f>
        <v/>
      </c>
    </row>
    <row r="1001" spans="1:11">
      <c r="A1001" s="35"/>
      <c r="B1001" s="36"/>
      <c r="C1001" s="37" t="str">
        <f>IFERROR(_xlfn.XLOOKUP(B1001,MObra[DESCRIPCION],MObra[UN],,0),"")</f>
        <v/>
      </c>
      <c r="D1001" s="38"/>
      <c r="E1001" s="39" t="str">
        <f>IFERROR(_xlfn.XLOOKUP($B1001,MObra[DESCRIPCION],MObra[VALOR UNIT],,0),"")</f>
        <v/>
      </c>
      <c r="F1001" s="40"/>
      <c r="G1001" s="41" t="str">
        <f>IFERROR(IF(F1001&gt;=0,D1001*E1001*(1+F1001/100),ABS(D1001*E1001/F1001)),"")</f>
        <v/>
      </c>
      <c r="H1001" s="42" t="str">
        <f>IFERROR(G1001*E983,"")</f>
        <v/>
      </c>
    </row>
    <row r="1003" spans="1:11">
      <c r="A1003" s="6" t="s">
        <v>1824</v>
      </c>
      <c r="B1003" s="7" t="str">
        <f>VLOOKUP($A1003,Presupuesto!$A:$D,2,FALSE())</f>
        <v>Geodrén planar H:0,5m (lloraderos)</v>
      </c>
      <c r="C1003" s="8" t="str">
        <f>VLOOKUP($A1003,Presupuesto!$A:$D,3,FALSE())</f>
        <v>M</v>
      </c>
      <c r="D1003" s="9"/>
      <c r="E1003" s="10">
        <f>VLOOKUP($A1003,Presupuesto!$A:$D,4,FALSE())</f>
        <v>0</v>
      </c>
      <c r="F1003" s="11" t="s">
        <v>2589</v>
      </c>
      <c r="G1003" s="12">
        <f>SUM(G1005:G1021)/2</f>
        <v>35233.111290220491</v>
      </c>
      <c r="H1003" s="13">
        <f>ROUND(SUM(H1005:H1021),0)/2</f>
        <v>0</v>
      </c>
      <c r="I1003" s="10">
        <f>VLOOKUP(A1003,Presupuesto!$A:$F,6,0)</f>
        <v>0</v>
      </c>
      <c r="J1003" s="10">
        <f>+H1003-I1003</f>
        <v>0</v>
      </c>
      <c r="K1003" s="46">
        <f>+H1003-G1003*E1003</f>
        <v>0</v>
      </c>
    </row>
    <row r="1004" spans="1:11">
      <c r="A1004" s="14"/>
      <c r="B1004" s="15" t="s">
        <v>2586</v>
      </c>
      <c r="C1004" s="15" t="s">
        <v>5</v>
      </c>
      <c r="D1004" s="16" t="s">
        <v>6</v>
      </c>
      <c r="E1004" s="17" t="s">
        <v>7</v>
      </c>
      <c r="F1004" s="18" t="s">
        <v>3728</v>
      </c>
      <c r="G1004" s="19" t="s">
        <v>3729</v>
      </c>
      <c r="H1004" s="20" t="s">
        <v>3797</v>
      </c>
    </row>
    <row r="1005" spans="1:11">
      <c r="A1005" s="21"/>
      <c r="B1005" s="22" t="s">
        <v>3730</v>
      </c>
      <c r="C1005" s="23"/>
      <c r="D1005" s="24"/>
      <c r="E1005" s="25"/>
      <c r="F1005" s="26"/>
      <c r="G1005" s="27">
        <f>SUM(G1006:G1010)</f>
        <v>30537.045000000002</v>
      </c>
      <c r="H1005" s="27">
        <f>IFERROR(G1005*E1003,"")</f>
        <v>0</v>
      </c>
    </row>
    <row r="1006" spans="1:11">
      <c r="A1006" s="28"/>
      <c r="B1006" s="29" t="s">
        <v>2964</v>
      </c>
      <c r="C1006" s="30" t="str">
        <f>IFERROR(_xlfn.XLOOKUP(B1006,Insumo[DESCRIPCION],Insumo[UND],,0),"")</f>
        <v>M</v>
      </c>
      <c r="D1006" s="31">
        <v>1</v>
      </c>
      <c r="E1006" s="32">
        <f>IFERROR(_xlfn.XLOOKUP($B1006,Insumo[DESCRIPCION],Insumo[VALOR],,0),"")</f>
        <v>28595.7</v>
      </c>
      <c r="F1006" s="33">
        <v>5</v>
      </c>
      <c r="G1006" s="34">
        <f>IFERROR(IF(F1006&gt;=0,D1006*E1006*(1+F1006/100),ABS(D1006*E1006/F1006)),"")</f>
        <v>30025.485000000001</v>
      </c>
      <c r="H1006" s="43">
        <f>IFERROR(G1006*E1003,"")</f>
        <v>0</v>
      </c>
    </row>
    <row r="1007" spans="1:11">
      <c r="A1007" s="28"/>
      <c r="B1007" s="29" t="s">
        <v>3546</v>
      </c>
      <c r="C1007" s="30" t="str">
        <f>IFERROR(_xlfn.XLOOKUP(B1007,Insumo[DESCRIPCION],Insumo[UND],,0),"")</f>
        <v>M</v>
      </c>
      <c r="D1007" s="31">
        <v>0.3</v>
      </c>
      <c r="E1007" s="32">
        <f>IFERROR(_xlfn.XLOOKUP($B1007,Insumo[DESCRIPCION],Insumo[VALOR],,0),"")</f>
        <v>1705.2</v>
      </c>
      <c r="F1007" s="33"/>
      <c r="G1007" s="34">
        <f>IFERROR(IF(F1007&gt;=0,D1007*E1007*(1+F1007/100),ABS(D1007*E1007/F1007)),"")</f>
        <v>511.56</v>
      </c>
      <c r="H1007" s="43">
        <f>IFERROR(G1007*E1003,"")</f>
        <v>0</v>
      </c>
    </row>
    <row r="1008" spans="1:11">
      <c r="A1008" s="28"/>
      <c r="B1008" s="29"/>
      <c r="C1008" s="30" t="str">
        <f>IFERROR(_xlfn.XLOOKUP(B1008,Insumo[DESCRIPCION],Insumo[UND],,0),"")</f>
        <v/>
      </c>
      <c r="D1008" s="31"/>
      <c r="E1008" s="32" t="str">
        <f>IFERROR(_xlfn.XLOOKUP($B1008,Insumo[DESCRIPCION],Insumo[VALOR],,0),"")</f>
        <v/>
      </c>
      <c r="F1008" s="33"/>
      <c r="G1008" s="34" t="str">
        <f>IFERROR(IF(F1008&gt;=0,D1008*E1008*(1+F1008/100),ABS(D1008*E1008/F1008)),"")</f>
        <v/>
      </c>
      <c r="H1008" s="43" t="str">
        <f>IFERROR(G1008*E1003,"")</f>
        <v/>
      </c>
    </row>
    <row r="1009" spans="1:11">
      <c r="A1009" s="28"/>
      <c r="B1009" s="29"/>
      <c r="C1009" s="30" t="str">
        <f>IFERROR(_xlfn.XLOOKUP(B1009,Insumo[DESCRIPCION],Insumo[UND],,0),"")</f>
        <v/>
      </c>
      <c r="D1009" s="31"/>
      <c r="E1009" s="32" t="str">
        <f>IFERROR(_xlfn.XLOOKUP($B1009,Insumo[DESCRIPCION],Insumo[VALOR],,0),"")</f>
        <v/>
      </c>
      <c r="F1009" s="33"/>
      <c r="G1009" s="34" t="str">
        <f>IFERROR(IF(F1009&gt;=0,D1009*E1009*(1+F1009/100),ABS(D1009*E1009/F1009)),"")</f>
        <v/>
      </c>
      <c r="H1009" s="43" t="str">
        <f>IFERROR(G1009*E1003,"")</f>
        <v/>
      </c>
    </row>
    <row r="1010" spans="1:11">
      <c r="A1010" s="28"/>
      <c r="B1010" s="29"/>
      <c r="C1010" s="30" t="str">
        <f>IFERROR(_xlfn.XLOOKUP(B1010,Insumo[DESCRIPCION],Insumo[UND],,0),"")</f>
        <v/>
      </c>
      <c r="D1010" s="31"/>
      <c r="E1010" s="32" t="str">
        <f>IFERROR(_xlfn.XLOOKUP($B1010,Insumo[DESCRIPCION],Insumo[VALOR],,0),"")</f>
        <v/>
      </c>
      <c r="F1010" s="33"/>
      <c r="G1010" s="34" t="str">
        <f>IFERROR(IF(F1010&gt;=0,D1010*E1010*(1+F1010/100),ABS(D1010*E1010/F1010)),"")</f>
        <v/>
      </c>
      <c r="H1010" s="43" t="str">
        <f>IFERROR(G1010*E1003,"")</f>
        <v/>
      </c>
    </row>
    <row r="1011" spans="1:11">
      <c r="A1011" s="21"/>
      <c r="B1011" s="22" t="s">
        <v>3731</v>
      </c>
      <c r="C1011" s="23"/>
      <c r="D1011" s="24"/>
      <c r="E1011" s="25"/>
      <c r="F1011" s="26"/>
      <c r="G1011" s="27">
        <f>SUM(G1012:G1014)</f>
        <v>387.74859277050007</v>
      </c>
      <c r="H1011" s="44">
        <f>G1011*E1003</f>
        <v>0</v>
      </c>
    </row>
    <row r="1012" spans="1:11">
      <c r="A1012" s="28"/>
      <c r="B1012" s="29" t="s">
        <v>3570</v>
      </c>
      <c r="C1012" s="30" t="str">
        <f>IFERROR(_xlfn.XLOOKUP(B1012,Equipo[DESCRIPCION],Equipo[UND],,0),"")</f>
        <v>%MO</v>
      </c>
      <c r="D1012" s="31">
        <v>0.04</v>
      </c>
      <c r="E1012" s="32">
        <f>IF(C1012="%MO",G1018,IFERROR(_xlfn.XLOOKUP($B1012,Equipo[DESCRIPCION],Equipo[VALOR],,0),""))</f>
        <v>4308.3176974500002</v>
      </c>
      <c r="F1012" s="33"/>
      <c r="G1012" s="34">
        <f>IFERROR(IF(F1012&gt;=0,D1012*E1012*(1+F1012/100),ABS(D1012*E1012/F1012)),"")</f>
        <v>172.33270789800002</v>
      </c>
      <c r="H1012" s="43">
        <f>IFERROR(G1012*E1003,"")</f>
        <v>0</v>
      </c>
    </row>
    <row r="1013" spans="1:11">
      <c r="A1013" s="28"/>
      <c r="B1013" s="29" t="s">
        <v>3626</v>
      </c>
      <c r="C1013" s="30" t="str">
        <f>IFERROR(_xlfn.XLOOKUP(B1013,Equipo[DESCRIPCION],Equipo[UND],,0),"")</f>
        <v>%MO</v>
      </c>
      <c r="D1013" s="31">
        <v>0.05</v>
      </c>
      <c r="E1013" s="32">
        <f>IF(C1013="%MO",G1018,IFERROR(_xlfn.XLOOKUP($B1013,Equipo[DESCRIPCION],Equipo[VALOR],,0),""))</f>
        <v>4308.3176974500002</v>
      </c>
      <c r="F1013" s="33"/>
      <c r="G1013" s="34">
        <f>IFERROR(IF(F1013&gt;=0,D1013*E1013*(1+F1013/100),ABS(D1013*E1013/F1013)),"")</f>
        <v>215.41588487250002</v>
      </c>
      <c r="H1013" s="43">
        <f>IFERROR(G1013*E1003,"")</f>
        <v>0</v>
      </c>
    </row>
    <row r="1014" spans="1:11">
      <c r="A1014" s="28"/>
      <c r="B1014" s="29"/>
      <c r="C1014" s="30" t="str">
        <f>IFERROR(_xlfn.XLOOKUP(B1014,Equipo[DESCRIPCION],Equipo[UND],,0),"")</f>
        <v/>
      </c>
      <c r="D1014" s="31"/>
      <c r="E1014" s="32" t="str">
        <f>IF(C1014="%MO",G1018,IFERROR(_xlfn.XLOOKUP($B1014,Equipo[DESCRIPCION],Equipo[VALOR],,0),""))</f>
        <v/>
      </c>
      <c r="F1014" s="33"/>
      <c r="G1014" s="34" t="str">
        <f>IFERROR(IF(F1014&gt;=0,D1014*E1014*(1+F1014/100),ABS(D1014*E1014/F1014)),"")</f>
        <v/>
      </c>
      <c r="H1014" s="43" t="str">
        <f>IFERROR(G1014*E1003,"")</f>
        <v/>
      </c>
    </row>
    <row r="1015" spans="1:11">
      <c r="A1015" s="21"/>
      <c r="B1015" s="22" t="s">
        <v>2533</v>
      </c>
      <c r="C1015" s="23"/>
      <c r="D1015" s="24"/>
      <c r="E1015" s="25"/>
      <c r="F1015" s="26"/>
      <c r="G1015" s="27">
        <f>SUM(G1016:G1017)</f>
        <v>0</v>
      </c>
      <c r="H1015" s="44">
        <f>G1015*E1003</f>
        <v>0</v>
      </c>
    </row>
    <row r="1016" spans="1:11">
      <c r="A1016" s="28"/>
      <c r="B1016" s="29"/>
      <c r="C1016" s="30" t="str">
        <f>IFERROR(_xlfn.XLOOKUP(B1016,Transporte[DESCRIPCION],Transporte[UND],,0),"")</f>
        <v/>
      </c>
      <c r="D1016" s="31"/>
      <c r="E1016" s="32" t="str">
        <f>IFERROR(_xlfn.XLOOKUP($B1016,Transporte[DESCRIPCION],Transporte[VALOR],,0),"")</f>
        <v/>
      </c>
      <c r="F1016" s="33"/>
      <c r="G1016" s="34" t="str">
        <f>IFERROR(IF(F1016&gt;=0,D1016*E1016*(1+F1016/100),ABS(D1016*E1016/F1016)),"")</f>
        <v/>
      </c>
      <c r="H1016" s="43" t="str">
        <f>IFERROR(G1016*E1003,"")</f>
        <v/>
      </c>
    </row>
    <row r="1017" spans="1:11">
      <c r="A1017" s="28"/>
      <c r="B1017" s="29"/>
      <c r="C1017" s="30" t="str">
        <f>IFERROR(_xlfn.XLOOKUP(B1017,Transporte[DESCRIPCION],Transporte[UND],,0),"")</f>
        <v/>
      </c>
      <c r="D1017" s="31"/>
      <c r="E1017" s="32" t="str">
        <f>IFERROR(_xlfn.XLOOKUP($B1017,Transporte[DESCRIPCION],Transporte[VALOR],,0),"")</f>
        <v/>
      </c>
      <c r="F1017" s="33"/>
      <c r="G1017" s="34" t="str">
        <f>IFERROR(IF(F1017&gt;=0,D1017*E1017*(1+F1017/100),ABS(D1017*E1017/F1017)),"")</f>
        <v/>
      </c>
      <c r="H1017" s="43" t="str">
        <f>IFERROR(G1017*E1003,"")</f>
        <v/>
      </c>
    </row>
    <row r="1018" spans="1:11">
      <c r="A1018" s="21"/>
      <c r="B1018" s="22" t="s">
        <v>3732</v>
      </c>
      <c r="C1018" s="23"/>
      <c r="D1018" s="24"/>
      <c r="E1018" s="25"/>
      <c r="F1018" s="26"/>
      <c r="G1018" s="27">
        <f>SUM(G1019:G1021)</f>
        <v>4308.3176974500002</v>
      </c>
      <c r="H1018" s="44">
        <f>G1018*E1003</f>
        <v>0</v>
      </c>
    </row>
    <row r="1019" spans="1:11">
      <c r="A1019" s="28"/>
      <c r="B1019" s="29" t="s">
        <v>3711</v>
      </c>
      <c r="C1019" s="30" t="str">
        <f>IFERROR(_xlfn.XLOOKUP(B1019,MObra[DESCRIPCION],MObra[UN],,0),"")</f>
        <v>día</v>
      </c>
      <c r="D1019" s="31">
        <v>1</v>
      </c>
      <c r="E1019" s="32">
        <f>IFERROR(_xlfn.XLOOKUP($B1019,MObra[DESCRIPCION],MObra[VALOR UNIT],,0),"")</f>
        <v>430831.76974500006</v>
      </c>
      <c r="F1019" s="33">
        <v>-100</v>
      </c>
      <c r="G1019" s="34">
        <f>IFERROR(IF(F1019&gt;=0,D1019*E1019*(1+F1019/100),ABS(D1019*E1019/F1019)),"")</f>
        <v>4308.3176974500002</v>
      </c>
      <c r="H1019" s="43">
        <f>IFERROR(G1019*E1003,"")</f>
        <v>0</v>
      </c>
    </row>
    <row r="1020" spans="1:11">
      <c r="A1020" s="28"/>
      <c r="B1020" s="29"/>
      <c r="C1020" s="30" t="str">
        <f>IFERROR(_xlfn.XLOOKUP(B1020,MObra[DESCRIPCION],MObra[UN],,0),"")</f>
        <v/>
      </c>
      <c r="D1020" s="31"/>
      <c r="E1020" s="32" t="str">
        <f>IFERROR(_xlfn.XLOOKUP($B1020,MObra[DESCRIPCION],MObra[VALOR UNIT],,0),"")</f>
        <v/>
      </c>
      <c r="F1020" s="33"/>
      <c r="G1020" s="34" t="str">
        <f>IFERROR(IF(F1020&gt;=0,D1020*E1020*(1+F1020/100),ABS(D1020*E1020/F1020)),"")</f>
        <v/>
      </c>
      <c r="H1020" s="43" t="str">
        <f>IFERROR(G1020*E1003,"")</f>
        <v/>
      </c>
    </row>
    <row r="1021" spans="1:11">
      <c r="A1021" s="35"/>
      <c r="B1021" s="36"/>
      <c r="C1021" s="37" t="str">
        <f>IFERROR(_xlfn.XLOOKUP(B1021,MObra[DESCRIPCION],MObra[UN],,0),"")</f>
        <v/>
      </c>
      <c r="D1021" s="38"/>
      <c r="E1021" s="39" t="str">
        <f>IFERROR(_xlfn.XLOOKUP($B1021,MObra[DESCRIPCION],MObra[VALOR UNIT],,0),"")</f>
        <v/>
      </c>
      <c r="F1021" s="40"/>
      <c r="G1021" s="41" t="str">
        <f>IFERROR(IF(F1021&gt;=0,D1021*E1021*(1+F1021/100),ABS(D1021*E1021/F1021)),"")</f>
        <v/>
      </c>
      <c r="H1021" s="42" t="str">
        <f>IFERROR(G1021*E1003,"")</f>
        <v/>
      </c>
    </row>
    <row r="1023" spans="1:11">
      <c r="A1023" s="6" t="s">
        <v>1826</v>
      </c>
      <c r="B1023" s="7" t="str">
        <f>VLOOKUP($A1023,Presupuesto!$A:$D,2,FALSE())</f>
        <v>Geodrén planar H:1,0m (espaldon)</v>
      </c>
      <c r="C1023" s="8" t="str">
        <f>VLOOKUP($A1023,Presupuesto!$A:$D,3,FALSE())</f>
        <v>M</v>
      </c>
      <c r="D1023" s="9"/>
      <c r="E1023" s="10">
        <f>VLOOKUP($A1023,Presupuesto!$A:$D,4,FALSE())</f>
        <v>0</v>
      </c>
      <c r="F1023" s="11" t="s">
        <v>2589</v>
      </c>
      <c r="G1023" s="12">
        <f>SUM(G1025:G1041)/2</f>
        <v>66352.2762902205</v>
      </c>
      <c r="H1023" s="13">
        <f>ROUND(SUM(H1025:H1041),0)/2</f>
        <v>0</v>
      </c>
      <c r="I1023" s="10">
        <f>VLOOKUP(A1023,Presupuesto!$A:$F,6,0)</f>
        <v>0</v>
      </c>
      <c r="J1023" s="10">
        <f>+H1023-I1023</f>
        <v>0</v>
      </c>
      <c r="K1023" s="46">
        <f>+H1023-G1023*E1023</f>
        <v>0</v>
      </c>
    </row>
    <row r="1024" spans="1:11">
      <c r="A1024" s="14"/>
      <c r="B1024" s="15" t="s">
        <v>2586</v>
      </c>
      <c r="C1024" s="15" t="s">
        <v>5</v>
      </c>
      <c r="D1024" s="16" t="s">
        <v>6</v>
      </c>
      <c r="E1024" s="17" t="s">
        <v>7</v>
      </c>
      <c r="F1024" s="18" t="s">
        <v>3728</v>
      </c>
      <c r="G1024" s="19" t="s">
        <v>3729</v>
      </c>
      <c r="H1024" s="20" t="s">
        <v>3797</v>
      </c>
    </row>
    <row r="1025" spans="1:8">
      <c r="A1025" s="21"/>
      <c r="B1025" s="22" t="s">
        <v>3730</v>
      </c>
      <c r="C1025" s="23"/>
      <c r="D1025" s="24"/>
      <c r="E1025" s="25"/>
      <c r="F1025" s="26"/>
      <c r="G1025" s="27">
        <f>SUM(G1026:G1030)</f>
        <v>61656.21</v>
      </c>
      <c r="H1025" s="27">
        <f>IFERROR(G1025*E1023,"")</f>
        <v>0</v>
      </c>
    </row>
    <row r="1026" spans="1:8">
      <c r="A1026" s="28"/>
      <c r="B1026" s="29" t="s">
        <v>2965</v>
      </c>
      <c r="C1026" s="30" t="str">
        <f>IFERROR(_xlfn.XLOOKUP(B1026,Insumo[DESCRIPCION],Insumo[UND],,0),"")</f>
        <v>M</v>
      </c>
      <c r="D1026" s="31">
        <v>1</v>
      </c>
      <c r="E1026" s="32">
        <f>IFERROR(_xlfn.XLOOKUP($B1026,Insumo[DESCRIPCION],Insumo[VALOR],,0),"")</f>
        <v>58233</v>
      </c>
      <c r="F1026" s="33">
        <v>5</v>
      </c>
      <c r="G1026" s="34">
        <f>IFERROR(IF(F1026&gt;=0,D1026*E1026*(1+F1026/100),ABS(D1026*E1026/F1026)),"")</f>
        <v>61144.65</v>
      </c>
      <c r="H1026" s="43">
        <f>IFERROR(G1026*E1023,"")</f>
        <v>0</v>
      </c>
    </row>
    <row r="1027" spans="1:8">
      <c r="A1027" s="28"/>
      <c r="B1027" s="29" t="s">
        <v>3546</v>
      </c>
      <c r="C1027" s="30" t="str">
        <f>IFERROR(_xlfn.XLOOKUP(B1027,Insumo[DESCRIPCION],Insumo[UND],,0),"")</f>
        <v>M</v>
      </c>
      <c r="D1027" s="31">
        <v>0.3</v>
      </c>
      <c r="E1027" s="32">
        <f>IFERROR(_xlfn.XLOOKUP($B1027,Insumo[DESCRIPCION],Insumo[VALOR],,0),"")</f>
        <v>1705.2</v>
      </c>
      <c r="F1027" s="33"/>
      <c r="G1027" s="34">
        <f>IFERROR(IF(F1027&gt;=0,D1027*E1027*(1+F1027/100),ABS(D1027*E1027/F1027)),"")</f>
        <v>511.56</v>
      </c>
      <c r="H1027" s="43">
        <f>IFERROR(G1027*E1023,"")</f>
        <v>0</v>
      </c>
    </row>
    <row r="1028" spans="1:8">
      <c r="A1028" s="28"/>
      <c r="B1028" s="29"/>
      <c r="C1028" s="30" t="str">
        <f>IFERROR(_xlfn.XLOOKUP(B1028,Insumo[DESCRIPCION],Insumo[UND],,0),"")</f>
        <v/>
      </c>
      <c r="D1028" s="31"/>
      <c r="E1028" s="32" t="str">
        <f>IFERROR(_xlfn.XLOOKUP($B1028,Insumo[DESCRIPCION],Insumo[VALOR],,0),"")</f>
        <v/>
      </c>
      <c r="F1028" s="33"/>
      <c r="G1028" s="34" t="str">
        <f>IFERROR(IF(F1028&gt;=0,D1028*E1028*(1+F1028/100),ABS(D1028*E1028/F1028)),"")</f>
        <v/>
      </c>
      <c r="H1028" s="43" t="str">
        <f>IFERROR(G1028*E1023,"")</f>
        <v/>
      </c>
    </row>
    <row r="1029" spans="1:8">
      <c r="A1029" s="28"/>
      <c r="B1029" s="29"/>
      <c r="C1029" s="30" t="str">
        <f>IFERROR(_xlfn.XLOOKUP(B1029,Insumo[DESCRIPCION],Insumo[UND],,0),"")</f>
        <v/>
      </c>
      <c r="D1029" s="31"/>
      <c r="E1029" s="32" t="str">
        <f>IFERROR(_xlfn.XLOOKUP($B1029,Insumo[DESCRIPCION],Insumo[VALOR],,0),"")</f>
        <v/>
      </c>
      <c r="F1029" s="33"/>
      <c r="G1029" s="34" t="str">
        <f>IFERROR(IF(F1029&gt;=0,D1029*E1029*(1+F1029/100),ABS(D1029*E1029/F1029)),"")</f>
        <v/>
      </c>
      <c r="H1029" s="43" t="str">
        <f>IFERROR(G1029*E1023,"")</f>
        <v/>
      </c>
    </row>
    <row r="1030" spans="1:8">
      <c r="A1030" s="28"/>
      <c r="B1030" s="29"/>
      <c r="C1030" s="30" t="str">
        <f>IFERROR(_xlfn.XLOOKUP(B1030,Insumo[DESCRIPCION],Insumo[UND],,0),"")</f>
        <v/>
      </c>
      <c r="D1030" s="31"/>
      <c r="E1030" s="32" t="str">
        <f>IFERROR(_xlfn.XLOOKUP($B1030,Insumo[DESCRIPCION],Insumo[VALOR],,0),"")</f>
        <v/>
      </c>
      <c r="F1030" s="33"/>
      <c r="G1030" s="34" t="str">
        <f>IFERROR(IF(F1030&gt;=0,D1030*E1030*(1+F1030/100),ABS(D1030*E1030/F1030)),"")</f>
        <v/>
      </c>
      <c r="H1030" s="43" t="str">
        <f>IFERROR(G1030*E1023,"")</f>
        <v/>
      </c>
    </row>
    <row r="1031" spans="1:8">
      <c r="A1031" s="21"/>
      <c r="B1031" s="22" t="s">
        <v>3731</v>
      </c>
      <c r="C1031" s="23"/>
      <c r="D1031" s="24"/>
      <c r="E1031" s="25"/>
      <c r="F1031" s="26"/>
      <c r="G1031" s="27">
        <f>SUM(G1032:G1034)</f>
        <v>387.74859277050007</v>
      </c>
      <c r="H1031" s="44">
        <f>G1031*E1023</f>
        <v>0</v>
      </c>
    </row>
    <row r="1032" spans="1:8">
      <c r="A1032" s="28"/>
      <c r="B1032" s="29" t="s">
        <v>3570</v>
      </c>
      <c r="C1032" s="30" t="str">
        <f>IFERROR(_xlfn.XLOOKUP(B1032,Equipo[DESCRIPCION],Equipo[UND],,0),"")</f>
        <v>%MO</v>
      </c>
      <c r="D1032" s="31">
        <v>0.04</v>
      </c>
      <c r="E1032" s="32">
        <f>IF(C1032="%MO",G1038,IFERROR(_xlfn.XLOOKUP($B1032,Equipo[DESCRIPCION],Equipo[VALOR],,0),""))</f>
        <v>4308.3176974500002</v>
      </c>
      <c r="F1032" s="33"/>
      <c r="G1032" s="34">
        <f>IFERROR(IF(F1032&gt;=0,D1032*E1032*(1+F1032/100),ABS(D1032*E1032/F1032)),"")</f>
        <v>172.33270789800002</v>
      </c>
      <c r="H1032" s="43">
        <f>IFERROR(G1032*E1023,"")</f>
        <v>0</v>
      </c>
    </row>
    <row r="1033" spans="1:8">
      <c r="A1033" s="28"/>
      <c r="B1033" s="29" t="s">
        <v>3626</v>
      </c>
      <c r="C1033" s="30" t="str">
        <f>IFERROR(_xlfn.XLOOKUP(B1033,Equipo[DESCRIPCION],Equipo[UND],,0),"")</f>
        <v>%MO</v>
      </c>
      <c r="D1033" s="31">
        <v>0.05</v>
      </c>
      <c r="E1033" s="32">
        <f>IF(C1033="%MO",G1038,IFERROR(_xlfn.XLOOKUP($B1033,Equipo[DESCRIPCION],Equipo[VALOR],,0),""))</f>
        <v>4308.3176974500002</v>
      </c>
      <c r="F1033" s="33"/>
      <c r="G1033" s="34">
        <f>IFERROR(IF(F1033&gt;=0,D1033*E1033*(1+F1033/100),ABS(D1033*E1033/F1033)),"")</f>
        <v>215.41588487250002</v>
      </c>
      <c r="H1033" s="43">
        <f>IFERROR(G1033*E1023,"")</f>
        <v>0</v>
      </c>
    </row>
    <row r="1034" spans="1:8">
      <c r="A1034" s="28"/>
      <c r="B1034" s="29"/>
      <c r="C1034" s="30" t="str">
        <f>IFERROR(_xlfn.XLOOKUP(B1034,Equipo[DESCRIPCION],Equipo[UND],,0),"")</f>
        <v/>
      </c>
      <c r="D1034" s="31"/>
      <c r="E1034" s="32" t="str">
        <f>IF(C1034="%MO",G1038,IFERROR(_xlfn.XLOOKUP($B1034,Equipo[DESCRIPCION],Equipo[VALOR],,0),""))</f>
        <v/>
      </c>
      <c r="F1034" s="33"/>
      <c r="G1034" s="34" t="str">
        <f>IFERROR(IF(F1034&gt;=0,D1034*E1034*(1+F1034/100),ABS(D1034*E1034/F1034)),"")</f>
        <v/>
      </c>
      <c r="H1034" s="43" t="str">
        <f>IFERROR(G1034*E1023,"")</f>
        <v/>
      </c>
    </row>
    <row r="1035" spans="1:8">
      <c r="A1035" s="21"/>
      <c r="B1035" s="22" t="s">
        <v>2533</v>
      </c>
      <c r="C1035" s="23"/>
      <c r="D1035" s="24"/>
      <c r="E1035" s="25"/>
      <c r="F1035" s="26"/>
      <c r="G1035" s="27">
        <f>SUM(G1036:G1037)</f>
        <v>0</v>
      </c>
      <c r="H1035" s="44">
        <f>G1035*E1023</f>
        <v>0</v>
      </c>
    </row>
    <row r="1036" spans="1:8">
      <c r="A1036" s="28"/>
      <c r="B1036" s="29"/>
      <c r="C1036" s="30" t="str">
        <f>IFERROR(_xlfn.XLOOKUP(B1036,Transporte[DESCRIPCION],Transporte[UND],,0),"")</f>
        <v/>
      </c>
      <c r="D1036" s="31"/>
      <c r="E1036" s="32" t="str">
        <f>IFERROR(_xlfn.XLOOKUP($B1036,Transporte[DESCRIPCION],Transporte[VALOR],,0),"")</f>
        <v/>
      </c>
      <c r="F1036" s="33"/>
      <c r="G1036" s="34" t="str">
        <f>IFERROR(IF(F1036&gt;=0,D1036*E1036*(1+F1036/100),ABS(D1036*E1036/F1036)),"")</f>
        <v/>
      </c>
      <c r="H1036" s="43" t="str">
        <f>IFERROR(G1036*E1023,"")</f>
        <v/>
      </c>
    </row>
    <row r="1037" spans="1:8">
      <c r="A1037" s="28"/>
      <c r="B1037" s="29"/>
      <c r="C1037" s="30" t="str">
        <f>IFERROR(_xlfn.XLOOKUP(B1037,Transporte[DESCRIPCION],Transporte[UND],,0),"")</f>
        <v/>
      </c>
      <c r="D1037" s="31"/>
      <c r="E1037" s="32" t="str">
        <f>IFERROR(_xlfn.XLOOKUP($B1037,Transporte[DESCRIPCION],Transporte[VALOR],,0),"")</f>
        <v/>
      </c>
      <c r="F1037" s="33"/>
      <c r="G1037" s="34" t="str">
        <f>IFERROR(IF(F1037&gt;=0,D1037*E1037*(1+F1037/100),ABS(D1037*E1037/F1037)),"")</f>
        <v/>
      </c>
      <c r="H1037" s="43" t="str">
        <f>IFERROR(G1037*E1023,"")</f>
        <v/>
      </c>
    </row>
    <row r="1038" spans="1:8">
      <c r="A1038" s="21"/>
      <c r="B1038" s="22" t="s">
        <v>3732</v>
      </c>
      <c r="C1038" s="23"/>
      <c r="D1038" s="24"/>
      <c r="E1038" s="25"/>
      <c r="F1038" s="26"/>
      <c r="G1038" s="27">
        <f>SUM(G1039:G1041)</f>
        <v>4308.3176974500002</v>
      </c>
      <c r="H1038" s="44">
        <f>G1038*E1023</f>
        <v>0</v>
      </c>
    </row>
    <row r="1039" spans="1:8">
      <c r="A1039" s="28"/>
      <c r="B1039" s="29" t="s">
        <v>3711</v>
      </c>
      <c r="C1039" s="30" t="str">
        <f>IFERROR(_xlfn.XLOOKUP(B1039,MObra[DESCRIPCION],MObra[UN],,0),"")</f>
        <v>día</v>
      </c>
      <c r="D1039" s="31">
        <v>1</v>
      </c>
      <c r="E1039" s="32">
        <f>IFERROR(_xlfn.XLOOKUP($B1039,MObra[DESCRIPCION],MObra[VALOR UNIT],,0),"")</f>
        <v>430831.76974500006</v>
      </c>
      <c r="F1039" s="33">
        <v>-100</v>
      </c>
      <c r="G1039" s="34">
        <f>IFERROR(IF(F1039&gt;=0,D1039*E1039*(1+F1039/100),ABS(D1039*E1039/F1039)),"")</f>
        <v>4308.3176974500002</v>
      </c>
      <c r="H1039" s="43">
        <f>IFERROR(G1039*E1023,"")</f>
        <v>0</v>
      </c>
    </row>
    <row r="1040" spans="1:8">
      <c r="A1040" s="28"/>
      <c r="B1040" s="29"/>
      <c r="C1040" s="30" t="str">
        <f>IFERROR(_xlfn.XLOOKUP(B1040,MObra[DESCRIPCION],MObra[UN],,0),"")</f>
        <v/>
      </c>
      <c r="D1040" s="31"/>
      <c r="E1040" s="32" t="str">
        <f>IFERROR(_xlfn.XLOOKUP($B1040,MObra[DESCRIPCION],MObra[VALOR UNIT],,0),"")</f>
        <v/>
      </c>
      <c r="F1040" s="33"/>
      <c r="G1040" s="34" t="str">
        <f>IFERROR(IF(F1040&gt;=0,D1040*E1040*(1+F1040/100),ABS(D1040*E1040/F1040)),"")</f>
        <v/>
      </c>
      <c r="H1040" s="43" t="str">
        <f>IFERROR(G1040*E1023,"")</f>
        <v/>
      </c>
    </row>
    <row r="1041" spans="1:11">
      <c r="A1041" s="35"/>
      <c r="B1041" s="36"/>
      <c r="C1041" s="37" t="str">
        <f>IFERROR(_xlfn.XLOOKUP(B1041,MObra[DESCRIPCION],MObra[UN],,0),"")</f>
        <v/>
      </c>
      <c r="D1041" s="38"/>
      <c r="E1041" s="39" t="str">
        <f>IFERROR(_xlfn.XLOOKUP($B1041,MObra[DESCRIPCION],MObra[VALOR UNIT],,0),"")</f>
        <v/>
      </c>
      <c r="F1041" s="40"/>
      <c r="G1041" s="41" t="str">
        <f>IFERROR(IF(F1041&gt;=0,D1041*E1041*(1+F1041/100),ABS(D1041*E1041/F1041)),"")</f>
        <v/>
      </c>
      <c r="H1041" s="42" t="str">
        <f>IFERROR(G1041*E1023,"")</f>
        <v/>
      </c>
    </row>
    <row r="1042" spans="1:11" ht="12.75" customHeight="1"/>
    <row r="1043" spans="1:11">
      <c r="A1043" s="6" t="s">
        <v>1828</v>
      </c>
      <c r="B1043" s="7" t="str">
        <f>VLOOKUP($A1043,Presupuesto!$A:$D,2,FALSE())</f>
        <v>Geotextil fortex BX 220 o similar</v>
      </c>
      <c r="C1043" s="8" t="str">
        <f>VLOOKUP($A1043,Presupuesto!$A:$D,3,FALSE())</f>
        <v>M2</v>
      </c>
      <c r="D1043" s="9"/>
      <c r="E1043" s="10">
        <f>VLOOKUP($A1043,Presupuesto!$A:$D,4,FALSE())</f>
        <v>0</v>
      </c>
      <c r="F1043" s="11" t="s">
        <v>2589</v>
      </c>
      <c r="G1043" s="12">
        <f>SUM(G1045:G1061)/2</f>
        <v>59013.452580441008</v>
      </c>
      <c r="H1043" s="13">
        <f>ROUND(SUM(H1045:H1061),0)/2</f>
        <v>0</v>
      </c>
      <c r="I1043" s="10">
        <f>VLOOKUP(A1043,Presupuesto!$A:$F,6,0)</f>
        <v>0</v>
      </c>
      <c r="J1043" s="10">
        <f>+H1043-I1043</f>
        <v>0</v>
      </c>
      <c r="K1043" s="46">
        <f>+H1043-G1043*E1043</f>
        <v>0</v>
      </c>
    </row>
    <row r="1044" spans="1:11">
      <c r="A1044" s="14"/>
      <c r="B1044" s="15" t="s">
        <v>2586</v>
      </c>
      <c r="C1044" s="15" t="s">
        <v>5</v>
      </c>
      <c r="D1044" s="16" t="s">
        <v>6</v>
      </c>
      <c r="E1044" s="17" t="s">
        <v>7</v>
      </c>
      <c r="F1044" s="18" t="s">
        <v>3728</v>
      </c>
      <c r="G1044" s="19" t="s">
        <v>3729</v>
      </c>
      <c r="H1044" s="20" t="s">
        <v>3797</v>
      </c>
    </row>
    <row r="1045" spans="1:11">
      <c r="A1045" s="21"/>
      <c r="B1045" s="22" t="s">
        <v>3730</v>
      </c>
      <c r="C1045" s="23"/>
      <c r="D1045" s="24"/>
      <c r="E1045" s="25"/>
      <c r="F1045" s="26"/>
      <c r="G1045" s="27">
        <f>SUM(G1046:G1050)</f>
        <v>49621.320000000007</v>
      </c>
      <c r="H1045" s="27">
        <f>IFERROR(G1045*E1043,"")</f>
        <v>0</v>
      </c>
    </row>
    <row r="1046" spans="1:11">
      <c r="A1046" s="28"/>
      <c r="B1046" s="29" t="s">
        <v>2967</v>
      </c>
      <c r="C1046" s="30" t="str">
        <f>IFERROR(_xlfn.XLOOKUP(B1046,Insumo[DESCRIPCION],Insumo[UND],,0),"")</f>
        <v>M2</v>
      </c>
      <c r="D1046" s="31">
        <v>1</v>
      </c>
      <c r="E1046" s="32">
        <f>IFERROR(_xlfn.XLOOKUP($B1046,Insumo[DESCRIPCION],Insumo[VALOR],,0),"")</f>
        <v>46771.200000000004</v>
      </c>
      <c r="F1046" s="33">
        <v>5</v>
      </c>
      <c r="G1046" s="34">
        <f>IFERROR(IF(F1046&gt;=0,D1046*E1046*(1+F1046/100),ABS(D1046*E1046/F1046)),"")</f>
        <v>49109.760000000009</v>
      </c>
      <c r="H1046" s="43">
        <f>IFERROR(G1046*E1043,"")</f>
        <v>0</v>
      </c>
    </row>
    <row r="1047" spans="1:11">
      <c r="A1047" s="28"/>
      <c r="B1047" s="29" t="s">
        <v>3546</v>
      </c>
      <c r="C1047" s="30" t="str">
        <f>IFERROR(_xlfn.XLOOKUP(B1047,Insumo[DESCRIPCION],Insumo[UND],,0),"")</f>
        <v>M</v>
      </c>
      <c r="D1047" s="31">
        <v>0.3</v>
      </c>
      <c r="E1047" s="32">
        <f>IFERROR(_xlfn.XLOOKUP($B1047,Insumo[DESCRIPCION],Insumo[VALOR],,0),"")</f>
        <v>1705.2</v>
      </c>
      <c r="F1047" s="33"/>
      <c r="G1047" s="34">
        <f>IFERROR(IF(F1047&gt;=0,D1047*E1047*(1+F1047/100),ABS(D1047*E1047/F1047)),"")</f>
        <v>511.56</v>
      </c>
      <c r="H1047" s="43">
        <f>IFERROR(G1047*E1043,"")</f>
        <v>0</v>
      </c>
    </row>
    <row r="1048" spans="1:11">
      <c r="A1048" s="28"/>
      <c r="B1048" s="29"/>
      <c r="C1048" s="30" t="str">
        <f>IFERROR(_xlfn.XLOOKUP(B1048,Insumo[DESCRIPCION],Insumo[UND],,0),"")</f>
        <v/>
      </c>
      <c r="D1048" s="31"/>
      <c r="E1048" s="32" t="str">
        <f>IFERROR(_xlfn.XLOOKUP($B1048,Insumo[DESCRIPCION],Insumo[VALOR],,0),"")</f>
        <v/>
      </c>
      <c r="F1048" s="33"/>
      <c r="G1048" s="34" t="str">
        <f>IFERROR(IF(F1048&gt;=0,D1048*E1048*(1+F1048/100),ABS(D1048*E1048/F1048)),"")</f>
        <v/>
      </c>
      <c r="H1048" s="43" t="str">
        <f>IFERROR(G1048*E1043,"")</f>
        <v/>
      </c>
    </row>
    <row r="1049" spans="1:11">
      <c r="A1049" s="28"/>
      <c r="B1049" s="29"/>
      <c r="C1049" s="30" t="str">
        <f>IFERROR(_xlfn.XLOOKUP(B1049,Insumo[DESCRIPCION],Insumo[UND],,0),"")</f>
        <v/>
      </c>
      <c r="D1049" s="31"/>
      <c r="E1049" s="32" t="str">
        <f>IFERROR(_xlfn.XLOOKUP($B1049,Insumo[DESCRIPCION],Insumo[VALOR],,0),"")</f>
        <v/>
      </c>
      <c r="F1049" s="33"/>
      <c r="G1049" s="34" t="str">
        <f>IFERROR(IF(F1049&gt;=0,D1049*E1049*(1+F1049/100),ABS(D1049*E1049/F1049)),"")</f>
        <v/>
      </c>
      <c r="H1049" s="43" t="str">
        <f>IFERROR(G1049*E1043,"")</f>
        <v/>
      </c>
    </row>
    <row r="1050" spans="1:11">
      <c r="A1050" s="28"/>
      <c r="B1050" s="29"/>
      <c r="C1050" s="30" t="str">
        <f>IFERROR(_xlfn.XLOOKUP(B1050,Insumo[DESCRIPCION],Insumo[UND],,0),"")</f>
        <v/>
      </c>
      <c r="D1050" s="31"/>
      <c r="E1050" s="32" t="str">
        <f>IFERROR(_xlfn.XLOOKUP($B1050,Insumo[DESCRIPCION],Insumo[VALOR],,0),"")</f>
        <v/>
      </c>
      <c r="F1050" s="33"/>
      <c r="G1050" s="34" t="str">
        <f>IFERROR(IF(F1050&gt;=0,D1050*E1050*(1+F1050/100),ABS(D1050*E1050/F1050)),"")</f>
        <v/>
      </c>
      <c r="H1050" s="43" t="str">
        <f>IFERROR(G1050*E1043,"")</f>
        <v/>
      </c>
    </row>
    <row r="1051" spans="1:11">
      <c r="A1051" s="21"/>
      <c r="B1051" s="22" t="s">
        <v>3731</v>
      </c>
      <c r="C1051" s="23"/>
      <c r="D1051" s="24"/>
      <c r="E1051" s="25"/>
      <c r="F1051" s="26"/>
      <c r="G1051" s="27">
        <f>SUM(G1052:G1054)</f>
        <v>775.49718554100014</v>
      </c>
      <c r="H1051" s="44">
        <f>G1051*E1043</f>
        <v>0</v>
      </c>
    </row>
    <row r="1052" spans="1:11">
      <c r="A1052" s="28"/>
      <c r="B1052" s="29" t="s">
        <v>3570</v>
      </c>
      <c r="C1052" s="30" t="str">
        <f>IFERROR(_xlfn.XLOOKUP(B1052,Equipo[DESCRIPCION],Equipo[UND],,0),"")</f>
        <v>%MO</v>
      </c>
      <c r="D1052" s="31">
        <v>0.04</v>
      </c>
      <c r="E1052" s="32">
        <f>IF(C1052="%MO",G1058,IFERROR(_xlfn.XLOOKUP($B1052,Equipo[DESCRIPCION],Equipo[VALOR],,0),""))</f>
        <v>8616.6353949000004</v>
      </c>
      <c r="F1052" s="33"/>
      <c r="G1052" s="34">
        <f>IFERROR(IF(F1052&gt;=0,D1052*E1052*(1+F1052/100),ABS(D1052*E1052/F1052)),"")</f>
        <v>344.66541579600005</v>
      </c>
      <c r="H1052" s="43">
        <f>IFERROR(G1052*E1043,"")</f>
        <v>0</v>
      </c>
    </row>
    <row r="1053" spans="1:11">
      <c r="A1053" s="28"/>
      <c r="B1053" s="29" t="s">
        <v>3626</v>
      </c>
      <c r="C1053" s="30" t="str">
        <f>IFERROR(_xlfn.XLOOKUP(B1053,Equipo[DESCRIPCION],Equipo[UND],,0),"")</f>
        <v>%MO</v>
      </c>
      <c r="D1053" s="31">
        <v>0.05</v>
      </c>
      <c r="E1053" s="32">
        <f>IF(C1053="%MO",G1058,IFERROR(_xlfn.XLOOKUP($B1053,Equipo[DESCRIPCION],Equipo[VALOR],,0),""))</f>
        <v>8616.6353949000004</v>
      </c>
      <c r="F1053" s="33"/>
      <c r="G1053" s="34">
        <f>IFERROR(IF(F1053&gt;=0,D1053*E1053*(1+F1053/100),ABS(D1053*E1053/F1053)),"")</f>
        <v>430.83176974500003</v>
      </c>
      <c r="H1053" s="43">
        <f>IFERROR(G1053*E1043,"")</f>
        <v>0</v>
      </c>
    </row>
    <row r="1054" spans="1:11">
      <c r="A1054" s="28"/>
      <c r="B1054" s="29"/>
      <c r="C1054" s="30" t="str">
        <f>IFERROR(_xlfn.XLOOKUP(B1054,Equipo[DESCRIPCION],Equipo[UND],,0),"")</f>
        <v/>
      </c>
      <c r="D1054" s="31"/>
      <c r="E1054" s="32" t="str">
        <f>IF(C1054="%MO",G1058,IFERROR(_xlfn.XLOOKUP($B1054,Equipo[DESCRIPCION],Equipo[VALOR],,0),""))</f>
        <v/>
      </c>
      <c r="F1054" s="33"/>
      <c r="G1054" s="34" t="str">
        <f>IFERROR(IF(F1054&gt;=0,D1054*E1054*(1+F1054/100),ABS(D1054*E1054/F1054)),"")</f>
        <v/>
      </c>
      <c r="H1054" s="43" t="str">
        <f>IFERROR(G1054*E1043,"")</f>
        <v/>
      </c>
    </row>
    <row r="1055" spans="1:11">
      <c r="A1055" s="21"/>
      <c r="B1055" s="22" t="s">
        <v>2533</v>
      </c>
      <c r="C1055" s="23"/>
      <c r="D1055" s="24"/>
      <c r="E1055" s="25"/>
      <c r="F1055" s="26"/>
      <c r="G1055" s="27">
        <f>SUM(G1056:G1057)</f>
        <v>0</v>
      </c>
      <c r="H1055" s="44">
        <f>G1055*E1043</f>
        <v>0</v>
      </c>
    </row>
    <row r="1056" spans="1:11">
      <c r="A1056" s="28"/>
      <c r="B1056" s="29"/>
      <c r="C1056" s="30" t="str">
        <f>IFERROR(_xlfn.XLOOKUP(B1056,Transporte[DESCRIPCION],Transporte[UND],,0),"")</f>
        <v/>
      </c>
      <c r="D1056" s="31"/>
      <c r="E1056" s="32" t="str">
        <f>IFERROR(_xlfn.XLOOKUP($B1056,Transporte[DESCRIPCION],Transporte[VALOR],,0),"")</f>
        <v/>
      </c>
      <c r="F1056" s="33"/>
      <c r="G1056" s="34" t="str">
        <f>IFERROR(IF(F1056&gt;=0,D1056*E1056*(1+F1056/100),ABS(D1056*E1056/F1056)),"")</f>
        <v/>
      </c>
      <c r="H1056" s="43" t="str">
        <f>IFERROR(G1056*E1043,"")</f>
        <v/>
      </c>
    </row>
    <row r="1057" spans="1:11">
      <c r="A1057" s="28"/>
      <c r="B1057" s="29"/>
      <c r="C1057" s="30" t="str">
        <f>IFERROR(_xlfn.XLOOKUP(B1057,Transporte[DESCRIPCION],Transporte[UND],,0),"")</f>
        <v/>
      </c>
      <c r="D1057" s="31"/>
      <c r="E1057" s="32" t="str">
        <f>IFERROR(_xlfn.XLOOKUP($B1057,Transporte[DESCRIPCION],Transporte[VALOR],,0),"")</f>
        <v/>
      </c>
      <c r="F1057" s="33"/>
      <c r="G1057" s="34" t="str">
        <f>IFERROR(IF(F1057&gt;=0,D1057*E1057*(1+F1057/100),ABS(D1057*E1057/F1057)),"")</f>
        <v/>
      </c>
      <c r="H1057" s="43" t="str">
        <f>IFERROR(G1057*E1043,"")</f>
        <v/>
      </c>
    </row>
    <row r="1058" spans="1:11">
      <c r="A1058" s="21"/>
      <c r="B1058" s="22" t="s">
        <v>3732</v>
      </c>
      <c r="C1058" s="23"/>
      <c r="D1058" s="24"/>
      <c r="E1058" s="25"/>
      <c r="F1058" s="26"/>
      <c r="G1058" s="27">
        <f>SUM(G1059:G1061)</f>
        <v>8616.6353949000004</v>
      </c>
      <c r="H1058" s="44">
        <f>G1058*E1043</f>
        <v>0</v>
      </c>
    </row>
    <row r="1059" spans="1:11">
      <c r="A1059" s="28"/>
      <c r="B1059" s="29" t="s">
        <v>3711</v>
      </c>
      <c r="C1059" s="30" t="str">
        <f>IFERROR(_xlfn.XLOOKUP(B1059,MObra[DESCRIPCION],MObra[UN],,0),"")</f>
        <v>día</v>
      </c>
      <c r="D1059" s="31">
        <v>1</v>
      </c>
      <c r="E1059" s="32">
        <f>IFERROR(_xlfn.XLOOKUP($B1059,MObra[DESCRIPCION],MObra[VALOR UNIT],,0),"")</f>
        <v>430831.76974500006</v>
      </c>
      <c r="F1059" s="33">
        <v>-50</v>
      </c>
      <c r="G1059" s="34">
        <f>IFERROR(IF(F1059&gt;=0,D1059*E1059*(1+F1059/100),ABS(D1059*E1059/F1059)),"")</f>
        <v>8616.6353949000004</v>
      </c>
      <c r="H1059" s="43">
        <f>IFERROR(G1059*E1043,"")</f>
        <v>0</v>
      </c>
    </row>
    <row r="1060" spans="1:11">
      <c r="A1060" s="28"/>
      <c r="B1060" s="29"/>
      <c r="C1060" s="30" t="str">
        <f>IFERROR(_xlfn.XLOOKUP(B1060,MObra[DESCRIPCION],MObra[UN],,0),"")</f>
        <v/>
      </c>
      <c r="D1060" s="31"/>
      <c r="E1060" s="32" t="str">
        <f>IFERROR(_xlfn.XLOOKUP($B1060,MObra[DESCRIPCION],MObra[VALOR UNIT],,0),"")</f>
        <v/>
      </c>
      <c r="F1060" s="33"/>
      <c r="G1060" s="34" t="str">
        <f>IFERROR(IF(F1060&gt;=0,D1060*E1060*(1+F1060/100),ABS(D1060*E1060/F1060)),"")</f>
        <v/>
      </c>
      <c r="H1060" s="43" t="str">
        <f>IFERROR(G1060*E1043,"")</f>
        <v/>
      </c>
    </row>
    <row r="1061" spans="1:11">
      <c r="A1061" s="35"/>
      <c r="B1061" s="36"/>
      <c r="C1061" s="37" t="str">
        <f>IFERROR(_xlfn.XLOOKUP(B1061,MObra[DESCRIPCION],MObra[UN],,0),"")</f>
        <v/>
      </c>
      <c r="D1061" s="38"/>
      <c r="E1061" s="39" t="str">
        <f>IFERROR(_xlfn.XLOOKUP($B1061,MObra[DESCRIPCION],MObra[VALOR UNIT],,0),"")</f>
        <v/>
      </c>
      <c r="F1061" s="40"/>
      <c r="G1061" s="41" t="str">
        <f>IFERROR(IF(F1061&gt;=0,D1061*E1061*(1+F1061/100),ABS(D1061*E1061/F1061)),"")</f>
        <v/>
      </c>
      <c r="H1061" s="42" t="str">
        <f>IFERROR(G1061*E1043,"")</f>
        <v/>
      </c>
    </row>
    <row r="1062" spans="1:11" ht="12.75" customHeight="1"/>
    <row r="1063" spans="1:11">
      <c r="A1063" s="6" t="s">
        <v>1830</v>
      </c>
      <c r="B1063" s="7" t="str">
        <f>VLOOKUP($A1063,Presupuesto!$A:$D,2,FALSE())</f>
        <v>Geotextil fortex BX 130 o similar</v>
      </c>
      <c r="C1063" s="8" t="str">
        <f>VLOOKUP($A1063,Presupuesto!$A:$D,3,FALSE())</f>
        <v>M2</v>
      </c>
      <c r="D1063" s="9"/>
      <c r="E1063" s="10">
        <f>VLOOKUP($A1063,Presupuesto!$A:$D,4,FALSE())</f>
        <v>0</v>
      </c>
      <c r="F1063" s="11" t="s">
        <v>2589</v>
      </c>
      <c r="G1063" s="12">
        <f>SUM(G1065:G1081)/2</f>
        <v>53665.225080441</v>
      </c>
      <c r="H1063" s="13">
        <f>ROUND(SUM(H1065:H1081),0)/2</f>
        <v>0</v>
      </c>
      <c r="I1063" s="10">
        <f>VLOOKUP(A1063,Presupuesto!$A:$F,6,0)</f>
        <v>0</v>
      </c>
      <c r="J1063" s="10">
        <f>+H1063-I1063</f>
        <v>0</v>
      </c>
      <c r="K1063" s="46">
        <f>+H1063-G1063*E1063</f>
        <v>0</v>
      </c>
    </row>
    <row r="1064" spans="1:11">
      <c r="A1064" s="14"/>
      <c r="B1064" s="15" t="s">
        <v>2586</v>
      </c>
      <c r="C1064" s="15" t="s">
        <v>5</v>
      </c>
      <c r="D1064" s="16" t="s">
        <v>6</v>
      </c>
      <c r="E1064" s="17" t="s">
        <v>7</v>
      </c>
      <c r="F1064" s="18" t="s">
        <v>3728</v>
      </c>
      <c r="G1064" s="19" t="s">
        <v>3729</v>
      </c>
      <c r="H1064" s="20" t="s">
        <v>3797</v>
      </c>
    </row>
    <row r="1065" spans="1:11">
      <c r="A1065" s="21"/>
      <c r="B1065" s="22" t="s">
        <v>3730</v>
      </c>
      <c r="C1065" s="23"/>
      <c r="D1065" s="24"/>
      <c r="E1065" s="25"/>
      <c r="F1065" s="26"/>
      <c r="G1065" s="27">
        <f>SUM(G1066:G1070)</f>
        <v>44273.092499999999</v>
      </c>
      <c r="H1065" s="27">
        <f>IFERROR(G1065*E1063,"")</f>
        <v>0</v>
      </c>
    </row>
    <row r="1066" spans="1:11">
      <c r="A1066" s="28"/>
      <c r="B1066" s="29" t="s">
        <v>2966</v>
      </c>
      <c r="C1066" s="30" t="str">
        <f>IFERROR(_xlfn.XLOOKUP(B1066,Insumo[DESCRIPCION],Insumo[UND],,0),"")</f>
        <v>M2</v>
      </c>
      <c r="D1066" s="31">
        <v>1</v>
      </c>
      <c r="E1066" s="32">
        <f>IFERROR(_xlfn.XLOOKUP($B1066,Insumo[DESCRIPCION],Insumo[VALOR],,0),"")</f>
        <v>41677.65</v>
      </c>
      <c r="F1066" s="33">
        <v>5</v>
      </c>
      <c r="G1066" s="34">
        <f>IFERROR(IF(F1066&gt;=0,D1066*E1066*(1+F1066/100),ABS(D1066*E1066/F1066)),"")</f>
        <v>43761.532500000001</v>
      </c>
      <c r="H1066" s="43">
        <f>IFERROR(G1066*E1063,"")</f>
        <v>0</v>
      </c>
    </row>
    <row r="1067" spans="1:11">
      <c r="A1067" s="28"/>
      <c r="B1067" s="29" t="s">
        <v>3546</v>
      </c>
      <c r="C1067" s="30" t="str">
        <f>IFERROR(_xlfn.XLOOKUP(B1067,Insumo[DESCRIPCION],Insumo[UND],,0),"")</f>
        <v>M</v>
      </c>
      <c r="D1067" s="31">
        <v>0.3</v>
      </c>
      <c r="E1067" s="32">
        <f>IFERROR(_xlfn.XLOOKUP($B1067,Insumo[DESCRIPCION],Insumo[VALOR],,0),"")</f>
        <v>1705.2</v>
      </c>
      <c r="F1067" s="33"/>
      <c r="G1067" s="34">
        <f>IFERROR(IF(F1067&gt;=0,D1067*E1067*(1+F1067/100),ABS(D1067*E1067/F1067)),"")</f>
        <v>511.56</v>
      </c>
      <c r="H1067" s="43">
        <f>IFERROR(G1067*E1063,"")</f>
        <v>0</v>
      </c>
    </row>
    <row r="1068" spans="1:11">
      <c r="A1068" s="28"/>
      <c r="B1068" s="29"/>
      <c r="C1068" s="30" t="str">
        <f>IFERROR(_xlfn.XLOOKUP(B1068,Insumo[DESCRIPCION],Insumo[UND],,0),"")</f>
        <v/>
      </c>
      <c r="D1068" s="31"/>
      <c r="E1068" s="32" t="str">
        <f>IFERROR(_xlfn.XLOOKUP($B1068,Insumo[DESCRIPCION],Insumo[VALOR],,0),"")</f>
        <v/>
      </c>
      <c r="F1068" s="33"/>
      <c r="G1068" s="34" t="str">
        <f>IFERROR(IF(F1068&gt;=0,D1068*E1068*(1+F1068/100),ABS(D1068*E1068/F1068)),"")</f>
        <v/>
      </c>
      <c r="H1068" s="43" t="str">
        <f>IFERROR(G1068*E1063,"")</f>
        <v/>
      </c>
    </row>
    <row r="1069" spans="1:11">
      <c r="A1069" s="28"/>
      <c r="B1069" s="29"/>
      <c r="C1069" s="30" t="str">
        <f>IFERROR(_xlfn.XLOOKUP(B1069,Insumo[DESCRIPCION],Insumo[UND],,0),"")</f>
        <v/>
      </c>
      <c r="D1069" s="31"/>
      <c r="E1069" s="32" t="str">
        <f>IFERROR(_xlfn.XLOOKUP($B1069,Insumo[DESCRIPCION],Insumo[VALOR],,0),"")</f>
        <v/>
      </c>
      <c r="F1069" s="33"/>
      <c r="G1069" s="34" t="str">
        <f>IFERROR(IF(F1069&gt;=0,D1069*E1069*(1+F1069/100),ABS(D1069*E1069/F1069)),"")</f>
        <v/>
      </c>
      <c r="H1069" s="43" t="str">
        <f>IFERROR(G1069*E1063,"")</f>
        <v/>
      </c>
    </row>
    <row r="1070" spans="1:11">
      <c r="A1070" s="28"/>
      <c r="B1070" s="29"/>
      <c r="C1070" s="30" t="str">
        <f>IFERROR(_xlfn.XLOOKUP(B1070,Insumo[DESCRIPCION],Insumo[UND],,0),"")</f>
        <v/>
      </c>
      <c r="D1070" s="31"/>
      <c r="E1070" s="32" t="str">
        <f>IFERROR(_xlfn.XLOOKUP($B1070,Insumo[DESCRIPCION],Insumo[VALOR],,0),"")</f>
        <v/>
      </c>
      <c r="F1070" s="33"/>
      <c r="G1070" s="34" t="str">
        <f>IFERROR(IF(F1070&gt;=0,D1070*E1070*(1+F1070/100),ABS(D1070*E1070/F1070)),"")</f>
        <v/>
      </c>
      <c r="H1070" s="43" t="str">
        <f>IFERROR(G1070*E1063,"")</f>
        <v/>
      </c>
    </row>
    <row r="1071" spans="1:11">
      <c r="A1071" s="21"/>
      <c r="B1071" s="22" t="s">
        <v>3731</v>
      </c>
      <c r="C1071" s="23"/>
      <c r="D1071" s="24"/>
      <c r="E1071" s="25"/>
      <c r="F1071" s="26"/>
      <c r="G1071" s="27">
        <f>SUM(G1072:G1074)</f>
        <v>775.49718554100014</v>
      </c>
      <c r="H1071" s="44">
        <f>G1071*E1063</f>
        <v>0</v>
      </c>
    </row>
    <row r="1072" spans="1:11">
      <c r="A1072" s="28"/>
      <c r="B1072" s="29" t="s">
        <v>3570</v>
      </c>
      <c r="C1072" s="30" t="str">
        <f>IFERROR(_xlfn.XLOOKUP(B1072,Equipo[DESCRIPCION],Equipo[UND],,0),"")</f>
        <v>%MO</v>
      </c>
      <c r="D1072" s="31">
        <v>0.04</v>
      </c>
      <c r="E1072" s="32">
        <f>IF(C1072="%MO",G1078,IFERROR(_xlfn.XLOOKUP($B1072,Equipo[DESCRIPCION],Equipo[VALOR],,0),""))</f>
        <v>8616.6353949000004</v>
      </c>
      <c r="F1072" s="33"/>
      <c r="G1072" s="34">
        <f>IFERROR(IF(F1072&gt;=0,D1072*E1072*(1+F1072/100),ABS(D1072*E1072/F1072)),"")</f>
        <v>344.66541579600005</v>
      </c>
      <c r="H1072" s="43">
        <f>IFERROR(G1072*E1063,"")</f>
        <v>0</v>
      </c>
    </row>
    <row r="1073" spans="1:11">
      <c r="A1073" s="28"/>
      <c r="B1073" s="29" t="s">
        <v>3626</v>
      </c>
      <c r="C1073" s="30" t="str">
        <f>IFERROR(_xlfn.XLOOKUP(B1073,Equipo[DESCRIPCION],Equipo[UND],,0),"")</f>
        <v>%MO</v>
      </c>
      <c r="D1073" s="31">
        <v>0.05</v>
      </c>
      <c r="E1073" s="32">
        <f>IF(C1073="%MO",G1078,IFERROR(_xlfn.XLOOKUP($B1073,Equipo[DESCRIPCION],Equipo[VALOR],,0),""))</f>
        <v>8616.6353949000004</v>
      </c>
      <c r="F1073" s="33"/>
      <c r="G1073" s="34">
        <f>IFERROR(IF(F1073&gt;=0,D1073*E1073*(1+F1073/100),ABS(D1073*E1073/F1073)),"")</f>
        <v>430.83176974500003</v>
      </c>
      <c r="H1073" s="43">
        <f>IFERROR(G1073*E1063,"")</f>
        <v>0</v>
      </c>
    </row>
    <row r="1074" spans="1:11">
      <c r="A1074" s="28"/>
      <c r="B1074" s="29"/>
      <c r="C1074" s="30" t="str">
        <f>IFERROR(_xlfn.XLOOKUP(B1074,Equipo[DESCRIPCION],Equipo[UND],,0),"")</f>
        <v/>
      </c>
      <c r="D1074" s="31"/>
      <c r="E1074" s="32" t="str">
        <f>IF(C1074="%MO",G1078,IFERROR(_xlfn.XLOOKUP($B1074,Equipo[DESCRIPCION],Equipo[VALOR],,0),""))</f>
        <v/>
      </c>
      <c r="F1074" s="33"/>
      <c r="G1074" s="34" t="str">
        <f>IFERROR(IF(F1074&gt;=0,D1074*E1074*(1+F1074/100),ABS(D1074*E1074/F1074)),"")</f>
        <v/>
      </c>
      <c r="H1074" s="43" t="str">
        <f>IFERROR(G1074*E1063,"")</f>
        <v/>
      </c>
    </row>
    <row r="1075" spans="1:11">
      <c r="A1075" s="21"/>
      <c r="B1075" s="22" t="s">
        <v>2533</v>
      </c>
      <c r="C1075" s="23"/>
      <c r="D1075" s="24"/>
      <c r="E1075" s="25"/>
      <c r="F1075" s="26"/>
      <c r="G1075" s="27">
        <f>SUM(G1076:G1077)</f>
        <v>0</v>
      </c>
      <c r="H1075" s="44">
        <f>G1075*E1063</f>
        <v>0</v>
      </c>
    </row>
    <row r="1076" spans="1:11">
      <c r="A1076" s="28"/>
      <c r="B1076" s="29"/>
      <c r="C1076" s="30" t="str">
        <f>IFERROR(_xlfn.XLOOKUP(B1076,Transporte[DESCRIPCION],Transporte[UND],,0),"")</f>
        <v/>
      </c>
      <c r="D1076" s="31"/>
      <c r="E1076" s="32" t="str">
        <f>IFERROR(_xlfn.XLOOKUP($B1076,Transporte[DESCRIPCION],Transporte[VALOR],,0),"")</f>
        <v/>
      </c>
      <c r="F1076" s="33"/>
      <c r="G1076" s="34" t="str">
        <f>IFERROR(IF(F1076&gt;=0,D1076*E1076*(1+F1076/100),ABS(D1076*E1076/F1076)),"")</f>
        <v/>
      </c>
      <c r="H1076" s="43" t="str">
        <f>IFERROR(G1076*E1063,"")</f>
        <v/>
      </c>
    </row>
    <row r="1077" spans="1:11">
      <c r="A1077" s="28"/>
      <c r="B1077" s="29"/>
      <c r="C1077" s="30" t="str">
        <f>IFERROR(_xlfn.XLOOKUP(B1077,Transporte[DESCRIPCION],Transporte[UND],,0),"")</f>
        <v/>
      </c>
      <c r="D1077" s="31"/>
      <c r="E1077" s="32" t="str">
        <f>IFERROR(_xlfn.XLOOKUP($B1077,Transporte[DESCRIPCION],Transporte[VALOR],,0),"")</f>
        <v/>
      </c>
      <c r="F1077" s="33"/>
      <c r="G1077" s="34" t="str">
        <f>IFERROR(IF(F1077&gt;=0,D1077*E1077*(1+F1077/100),ABS(D1077*E1077/F1077)),"")</f>
        <v/>
      </c>
      <c r="H1077" s="43" t="str">
        <f>IFERROR(G1077*E1063,"")</f>
        <v/>
      </c>
    </row>
    <row r="1078" spans="1:11">
      <c r="A1078" s="21"/>
      <c r="B1078" s="22" t="s">
        <v>3732</v>
      </c>
      <c r="C1078" s="23"/>
      <c r="D1078" s="24"/>
      <c r="E1078" s="25"/>
      <c r="F1078" s="26"/>
      <c r="G1078" s="27">
        <f>SUM(G1079:G1081)</f>
        <v>8616.6353949000004</v>
      </c>
      <c r="H1078" s="44">
        <f>G1078*E1063</f>
        <v>0</v>
      </c>
    </row>
    <row r="1079" spans="1:11">
      <c r="A1079" s="28"/>
      <c r="B1079" s="29" t="s">
        <v>3711</v>
      </c>
      <c r="C1079" s="30" t="str">
        <f>IFERROR(_xlfn.XLOOKUP(B1079,MObra[DESCRIPCION],MObra[UN],,0),"")</f>
        <v>día</v>
      </c>
      <c r="D1079" s="31">
        <v>1</v>
      </c>
      <c r="E1079" s="32">
        <f>IFERROR(_xlfn.XLOOKUP($B1079,MObra[DESCRIPCION],MObra[VALOR UNIT],,0),"")</f>
        <v>430831.76974500006</v>
      </c>
      <c r="F1079" s="33">
        <v>-50</v>
      </c>
      <c r="G1079" s="34">
        <f>IFERROR(IF(F1079&gt;=0,D1079*E1079*(1+F1079/100),ABS(D1079*E1079/F1079)),"")</f>
        <v>8616.6353949000004</v>
      </c>
      <c r="H1079" s="43">
        <f>IFERROR(G1079*E1063,"")</f>
        <v>0</v>
      </c>
    </row>
    <row r="1080" spans="1:11">
      <c r="A1080" s="28"/>
      <c r="B1080" s="29"/>
      <c r="C1080" s="30" t="str">
        <f>IFERROR(_xlfn.XLOOKUP(B1080,MObra[DESCRIPCION],MObra[UN],,0),"")</f>
        <v/>
      </c>
      <c r="D1080" s="31"/>
      <c r="E1080" s="32" t="str">
        <f>IFERROR(_xlfn.XLOOKUP($B1080,MObra[DESCRIPCION],MObra[VALOR UNIT],,0),"")</f>
        <v/>
      </c>
      <c r="F1080" s="33"/>
      <c r="G1080" s="34" t="str">
        <f>IFERROR(IF(F1080&gt;=0,D1080*E1080*(1+F1080/100),ABS(D1080*E1080/F1080)),"")</f>
        <v/>
      </c>
      <c r="H1080" s="43" t="str">
        <f>IFERROR(G1080*E1063,"")</f>
        <v/>
      </c>
    </row>
    <row r="1081" spans="1:11">
      <c r="A1081" s="35"/>
      <c r="B1081" s="36"/>
      <c r="C1081" s="37" t="str">
        <f>IFERROR(_xlfn.XLOOKUP(B1081,MObra[DESCRIPCION],MObra[UN],,0),"")</f>
        <v/>
      </c>
      <c r="D1081" s="38"/>
      <c r="E1081" s="39" t="str">
        <f>IFERROR(_xlfn.XLOOKUP($B1081,MObra[DESCRIPCION],MObra[VALOR UNIT],,0),"")</f>
        <v/>
      </c>
      <c r="F1081" s="40"/>
      <c r="G1081" s="41" t="str">
        <f>IFERROR(IF(F1081&gt;=0,D1081*E1081*(1+F1081/100),ABS(D1081*E1081/F1081)),"")</f>
        <v/>
      </c>
      <c r="H1081" s="42" t="str">
        <f>IFERROR(G1081*E1063,"")</f>
        <v/>
      </c>
    </row>
    <row r="1082" spans="1:11" ht="12.75" customHeight="1"/>
    <row r="1083" spans="1:11">
      <c r="A1083" s="6" t="s">
        <v>1832</v>
      </c>
      <c r="B1083" s="7" t="str">
        <f>VLOOKUP($A1083,Presupuesto!$A:$D,2,FALSE())</f>
        <v>Geotextil fortex BX 90 o similar</v>
      </c>
      <c r="C1083" s="8" t="str">
        <f>VLOOKUP($A1083,Presupuesto!$A:$D,3,FALSE())</f>
        <v>M2</v>
      </c>
      <c r="D1083" s="9"/>
      <c r="E1083" s="10">
        <f>VLOOKUP($A1083,Presupuesto!$A:$D,4,FALSE())</f>
        <v>0</v>
      </c>
      <c r="F1083" s="11" t="s">
        <v>2589</v>
      </c>
      <c r="G1083" s="12">
        <f>SUM(G1085:G1101)/2</f>
        <v>42956.642580441003</v>
      </c>
      <c r="H1083" s="13">
        <f>ROUND(SUM(H1085:H1101),0)/2</f>
        <v>0</v>
      </c>
      <c r="I1083" s="10">
        <f>VLOOKUP(A1083,Presupuesto!$A:$F,6,0)</f>
        <v>0</v>
      </c>
      <c r="J1083" s="10">
        <f>+H1083-I1083</f>
        <v>0</v>
      </c>
      <c r="K1083" s="46">
        <f>+H1083-G1083*E1083</f>
        <v>0</v>
      </c>
    </row>
    <row r="1084" spans="1:11">
      <c r="A1084" s="14"/>
      <c r="B1084" s="15" t="s">
        <v>2586</v>
      </c>
      <c r="C1084" s="15" t="s">
        <v>5</v>
      </c>
      <c r="D1084" s="16" t="s">
        <v>6</v>
      </c>
      <c r="E1084" s="17" t="s">
        <v>7</v>
      </c>
      <c r="F1084" s="18" t="s">
        <v>3728</v>
      </c>
      <c r="G1084" s="19" t="s">
        <v>3729</v>
      </c>
      <c r="H1084" s="20" t="s">
        <v>3797</v>
      </c>
    </row>
    <row r="1085" spans="1:11">
      <c r="A1085" s="21"/>
      <c r="B1085" s="22" t="s">
        <v>3730</v>
      </c>
      <c r="C1085" s="23"/>
      <c r="D1085" s="24"/>
      <c r="E1085" s="25"/>
      <c r="F1085" s="26"/>
      <c r="G1085" s="27">
        <f>SUM(G1086:G1090)</f>
        <v>33564.51</v>
      </c>
      <c r="H1085" s="27">
        <f>IFERROR(G1085*E1083,"")</f>
        <v>0</v>
      </c>
    </row>
    <row r="1086" spans="1:11">
      <c r="A1086" s="28"/>
      <c r="B1086" s="29" t="s">
        <v>2969</v>
      </c>
      <c r="C1086" s="30" t="str">
        <f>IFERROR(_xlfn.XLOOKUP(B1086,Insumo[DESCRIPCION],Insumo[UND],,0),"")</f>
        <v>M2</v>
      </c>
      <c r="D1086" s="31">
        <v>1</v>
      </c>
      <c r="E1086" s="32">
        <f>IFERROR(_xlfn.XLOOKUP($B1086,Insumo[DESCRIPCION],Insumo[VALOR],,0),"")</f>
        <v>31479</v>
      </c>
      <c r="F1086" s="33">
        <v>5</v>
      </c>
      <c r="G1086" s="34">
        <f>IFERROR(IF(F1086&gt;=0,D1086*E1086*(1+F1086/100),ABS(D1086*E1086/F1086)),"")</f>
        <v>33052.950000000004</v>
      </c>
      <c r="H1086" s="43">
        <f>IFERROR(G1086*E1083,"")</f>
        <v>0</v>
      </c>
    </row>
    <row r="1087" spans="1:11">
      <c r="A1087" s="28"/>
      <c r="B1087" s="29" t="s">
        <v>3546</v>
      </c>
      <c r="C1087" s="30" t="str">
        <f>IFERROR(_xlfn.XLOOKUP(B1087,Insumo[DESCRIPCION],Insumo[UND],,0),"")</f>
        <v>M</v>
      </c>
      <c r="D1087" s="31">
        <v>0.3</v>
      </c>
      <c r="E1087" s="32">
        <f>IFERROR(_xlfn.XLOOKUP($B1087,Insumo[DESCRIPCION],Insumo[VALOR],,0),"")</f>
        <v>1705.2</v>
      </c>
      <c r="F1087" s="33"/>
      <c r="G1087" s="34">
        <f>IFERROR(IF(F1087&gt;=0,D1087*E1087*(1+F1087/100),ABS(D1087*E1087/F1087)),"")</f>
        <v>511.56</v>
      </c>
      <c r="H1087" s="43">
        <f>IFERROR(G1087*E1083,"")</f>
        <v>0</v>
      </c>
    </row>
    <row r="1088" spans="1:11">
      <c r="A1088" s="28"/>
      <c r="B1088" s="29"/>
      <c r="C1088" s="30" t="str">
        <f>IFERROR(_xlfn.XLOOKUP(B1088,Insumo[DESCRIPCION],Insumo[UND],,0),"")</f>
        <v/>
      </c>
      <c r="D1088" s="31"/>
      <c r="E1088" s="32" t="str">
        <f>IFERROR(_xlfn.XLOOKUP($B1088,Insumo[DESCRIPCION],Insumo[VALOR],,0),"")</f>
        <v/>
      </c>
      <c r="F1088" s="33"/>
      <c r="G1088" s="34" t="str">
        <f>IFERROR(IF(F1088&gt;=0,D1088*E1088*(1+F1088/100),ABS(D1088*E1088/F1088)),"")</f>
        <v/>
      </c>
      <c r="H1088" s="43" t="str">
        <f>IFERROR(G1088*E1083,"")</f>
        <v/>
      </c>
    </row>
    <row r="1089" spans="1:11">
      <c r="A1089" s="28"/>
      <c r="B1089" s="29"/>
      <c r="C1089" s="30" t="str">
        <f>IFERROR(_xlfn.XLOOKUP(B1089,Insumo[DESCRIPCION],Insumo[UND],,0),"")</f>
        <v/>
      </c>
      <c r="D1089" s="31"/>
      <c r="E1089" s="32" t="str">
        <f>IFERROR(_xlfn.XLOOKUP($B1089,Insumo[DESCRIPCION],Insumo[VALOR],,0),"")</f>
        <v/>
      </c>
      <c r="F1089" s="33"/>
      <c r="G1089" s="34" t="str">
        <f>IFERROR(IF(F1089&gt;=0,D1089*E1089*(1+F1089/100),ABS(D1089*E1089/F1089)),"")</f>
        <v/>
      </c>
      <c r="H1089" s="43" t="str">
        <f>IFERROR(G1089*E1083,"")</f>
        <v/>
      </c>
    </row>
    <row r="1090" spans="1:11">
      <c r="A1090" s="28"/>
      <c r="B1090" s="29"/>
      <c r="C1090" s="30" t="str">
        <f>IFERROR(_xlfn.XLOOKUP(B1090,Insumo[DESCRIPCION],Insumo[UND],,0),"")</f>
        <v/>
      </c>
      <c r="D1090" s="31"/>
      <c r="E1090" s="32" t="str">
        <f>IFERROR(_xlfn.XLOOKUP($B1090,Insumo[DESCRIPCION],Insumo[VALOR],,0),"")</f>
        <v/>
      </c>
      <c r="F1090" s="33"/>
      <c r="G1090" s="34" t="str">
        <f>IFERROR(IF(F1090&gt;=0,D1090*E1090*(1+F1090/100),ABS(D1090*E1090/F1090)),"")</f>
        <v/>
      </c>
      <c r="H1090" s="43" t="str">
        <f>IFERROR(G1090*E1083,"")</f>
        <v/>
      </c>
    </row>
    <row r="1091" spans="1:11">
      <c r="A1091" s="21"/>
      <c r="B1091" s="22" t="s">
        <v>3731</v>
      </c>
      <c r="C1091" s="23"/>
      <c r="D1091" s="24"/>
      <c r="E1091" s="25"/>
      <c r="F1091" s="26"/>
      <c r="G1091" s="27">
        <f>SUM(G1092:G1094)</f>
        <v>775.49718554100014</v>
      </c>
      <c r="H1091" s="44">
        <f>G1091*E1083</f>
        <v>0</v>
      </c>
    </row>
    <row r="1092" spans="1:11">
      <c r="A1092" s="28"/>
      <c r="B1092" s="29" t="s">
        <v>3570</v>
      </c>
      <c r="C1092" s="30" t="str">
        <f>IFERROR(_xlfn.XLOOKUP(B1092,Equipo[DESCRIPCION],Equipo[UND],,0),"")</f>
        <v>%MO</v>
      </c>
      <c r="D1092" s="31">
        <v>0.04</v>
      </c>
      <c r="E1092" s="32">
        <f>IF(C1092="%MO",G1098,IFERROR(_xlfn.XLOOKUP($B1092,Equipo[DESCRIPCION],Equipo[VALOR],,0),""))</f>
        <v>8616.6353949000004</v>
      </c>
      <c r="F1092" s="33"/>
      <c r="G1092" s="34">
        <f>IFERROR(IF(F1092&gt;=0,D1092*E1092*(1+F1092/100),ABS(D1092*E1092/F1092)),"")</f>
        <v>344.66541579600005</v>
      </c>
      <c r="H1092" s="43">
        <f>IFERROR(G1092*E1083,"")</f>
        <v>0</v>
      </c>
    </row>
    <row r="1093" spans="1:11">
      <c r="A1093" s="28"/>
      <c r="B1093" s="29" t="s">
        <v>3626</v>
      </c>
      <c r="C1093" s="30" t="str">
        <f>IFERROR(_xlfn.XLOOKUP(B1093,Equipo[DESCRIPCION],Equipo[UND],,0),"")</f>
        <v>%MO</v>
      </c>
      <c r="D1093" s="31">
        <v>0.05</v>
      </c>
      <c r="E1093" s="32">
        <f>IF(C1093="%MO",G1098,IFERROR(_xlfn.XLOOKUP($B1093,Equipo[DESCRIPCION],Equipo[VALOR],,0),""))</f>
        <v>8616.6353949000004</v>
      </c>
      <c r="F1093" s="33"/>
      <c r="G1093" s="34">
        <f>IFERROR(IF(F1093&gt;=0,D1093*E1093*(1+F1093/100),ABS(D1093*E1093/F1093)),"")</f>
        <v>430.83176974500003</v>
      </c>
      <c r="H1093" s="43">
        <f>IFERROR(G1093*E1083,"")</f>
        <v>0</v>
      </c>
    </row>
    <row r="1094" spans="1:11">
      <c r="A1094" s="28"/>
      <c r="B1094" s="29"/>
      <c r="C1094" s="30" t="str">
        <f>IFERROR(_xlfn.XLOOKUP(B1094,Equipo[DESCRIPCION],Equipo[UND],,0),"")</f>
        <v/>
      </c>
      <c r="D1094" s="31"/>
      <c r="E1094" s="32" t="str">
        <f>IF(C1094="%MO",G1098,IFERROR(_xlfn.XLOOKUP($B1094,Equipo[DESCRIPCION],Equipo[VALOR],,0),""))</f>
        <v/>
      </c>
      <c r="F1094" s="33"/>
      <c r="G1094" s="34" t="str">
        <f>IFERROR(IF(F1094&gt;=0,D1094*E1094*(1+F1094/100),ABS(D1094*E1094/F1094)),"")</f>
        <v/>
      </c>
      <c r="H1094" s="43" t="str">
        <f>IFERROR(G1094*E1083,"")</f>
        <v/>
      </c>
    </row>
    <row r="1095" spans="1:11">
      <c r="A1095" s="21"/>
      <c r="B1095" s="22" t="s">
        <v>2533</v>
      </c>
      <c r="C1095" s="23"/>
      <c r="D1095" s="24"/>
      <c r="E1095" s="25"/>
      <c r="F1095" s="26"/>
      <c r="G1095" s="27">
        <f>SUM(G1096:G1097)</f>
        <v>0</v>
      </c>
      <c r="H1095" s="44">
        <f>G1095*E1083</f>
        <v>0</v>
      </c>
    </row>
    <row r="1096" spans="1:11">
      <c r="A1096" s="28"/>
      <c r="B1096" s="29"/>
      <c r="C1096" s="30" t="str">
        <f>IFERROR(_xlfn.XLOOKUP(B1096,Transporte[DESCRIPCION],Transporte[UND],,0),"")</f>
        <v/>
      </c>
      <c r="D1096" s="31"/>
      <c r="E1096" s="32" t="str">
        <f>IFERROR(_xlfn.XLOOKUP($B1096,Transporte[DESCRIPCION],Transporte[VALOR],,0),"")</f>
        <v/>
      </c>
      <c r="F1096" s="33"/>
      <c r="G1096" s="34" t="str">
        <f>IFERROR(IF(F1096&gt;=0,D1096*E1096*(1+F1096/100),ABS(D1096*E1096/F1096)),"")</f>
        <v/>
      </c>
      <c r="H1096" s="43" t="str">
        <f>IFERROR(G1096*E1083,"")</f>
        <v/>
      </c>
    </row>
    <row r="1097" spans="1:11">
      <c r="A1097" s="28"/>
      <c r="B1097" s="29"/>
      <c r="C1097" s="30" t="str">
        <f>IFERROR(_xlfn.XLOOKUP(B1097,Transporte[DESCRIPCION],Transporte[UND],,0),"")</f>
        <v/>
      </c>
      <c r="D1097" s="31"/>
      <c r="E1097" s="32" t="str">
        <f>IFERROR(_xlfn.XLOOKUP($B1097,Transporte[DESCRIPCION],Transporte[VALOR],,0),"")</f>
        <v/>
      </c>
      <c r="F1097" s="33"/>
      <c r="G1097" s="34" t="str">
        <f>IFERROR(IF(F1097&gt;=0,D1097*E1097*(1+F1097/100),ABS(D1097*E1097/F1097)),"")</f>
        <v/>
      </c>
      <c r="H1097" s="43" t="str">
        <f>IFERROR(G1097*E1083,"")</f>
        <v/>
      </c>
    </row>
    <row r="1098" spans="1:11">
      <c r="A1098" s="21"/>
      <c r="B1098" s="22" t="s">
        <v>3732</v>
      </c>
      <c r="C1098" s="23"/>
      <c r="D1098" s="24"/>
      <c r="E1098" s="25"/>
      <c r="F1098" s="26"/>
      <c r="G1098" s="27">
        <f>SUM(G1099:G1101)</f>
        <v>8616.6353949000004</v>
      </c>
      <c r="H1098" s="44">
        <f>G1098*E1083</f>
        <v>0</v>
      </c>
    </row>
    <row r="1099" spans="1:11">
      <c r="A1099" s="28"/>
      <c r="B1099" s="29" t="s">
        <v>3711</v>
      </c>
      <c r="C1099" s="30" t="str">
        <f>IFERROR(_xlfn.XLOOKUP(B1099,MObra[DESCRIPCION],MObra[UN],,0),"")</f>
        <v>día</v>
      </c>
      <c r="D1099" s="31">
        <v>1</v>
      </c>
      <c r="E1099" s="32">
        <f>IFERROR(_xlfn.XLOOKUP($B1099,MObra[DESCRIPCION],MObra[VALOR UNIT],,0),"")</f>
        <v>430831.76974500006</v>
      </c>
      <c r="F1099" s="33">
        <v>-50</v>
      </c>
      <c r="G1099" s="34">
        <f>IFERROR(IF(F1099&gt;=0,D1099*E1099*(1+F1099/100),ABS(D1099*E1099/F1099)),"")</f>
        <v>8616.6353949000004</v>
      </c>
      <c r="H1099" s="43">
        <f>IFERROR(G1099*E1083,"")</f>
        <v>0</v>
      </c>
    </row>
    <row r="1100" spans="1:11">
      <c r="A1100" s="28"/>
      <c r="B1100" s="29"/>
      <c r="C1100" s="30" t="str">
        <f>IFERROR(_xlfn.XLOOKUP(B1100,MObra[DESCRIPCION],MObra[UN],,0),"")</f>
        <v/>
      </c>
      <c r="D1100" s="31"/>
      <c r="E1100" s="32" t="str">
        <f>IFERROR(_xlfn.XLOOKUP($B1100,MObra[DESCRIPCION],MObra[VALOR UNIT],,0),"")</f>
        <v/>
      </c>
      <c r="F1100" s="33"/>
      <c r="G1100" s="34" t="str">
        <f>IFERROR(IF(F1100&gt;=0,D1100*E1100*(1+F1100/100),ABS(D1100*E1100/F1100)),"")</f>
        <v/>
      </c>
      <c r="H1100" s="43" t="str">
        <f>IFERROR(G1100*E1083,"")</f>
        <v/>
      </c>
    </row>
    <row r="1101" spans="1:11">
      <c r="A1101" s="35"/>
      <c r="B1101" s="36"/>
      <c r="C1101" s="37" t="str">
        <f>IFERROR(_xlfn.XLOOKUP(B1101,MObra[DESCRIPCION],MObra[UN],,0),"")</f>
        <v/>
      </c>
      <c r="D1101" s="38"/>
      <c r="E1101" s="39" t="str">
        <f>IFERROR(_xlfn.XLOOKUP($B1101,MObra[DESCRIPCION],MObra[VALOR UNIT],,0),"")</f>
        <v/>
      </c>
      <c r="F1101" s="40"/>
      <c r="G1101" s="41" t="str">
        <f>IFERROR(IF(F1101&gt;=0,D1101*E1101*(1+F1101/100),ABS(D1101*E1101/F1101)),"")</f>
        <v/>
      </c>
      <c r="H1101" s="42" t="str">
        <f>IFERROR(G1101*E1083,"")</f>
        <v/>
      </c>
    </row>
    <row r="1102" spans="1:11" ht="12.75" customHeight="1"/>
    <row r="1103" spans="1:11">
      <c r="A1103" s="6" t="s">
        <v>1834</v>
      </c>
      <c r="B1103" s="7" t="str">
        <f>VLOOKUP($A1103,Presupuesto!$A:$D,2,FALSE())</f>
        <v>Geotextil fortex BX 60 o similar</v>
      </c>
      <c r="C1103" s="8" t="str">
        <f>VLOOKUP($A1103,Presupuesto!$A:$D,3,FALSE())</f>
        <v>M2</v>
      </c>
      <c r="D1103" s="9"/>
      <c r="E1103" s="10">
        <f>VLOOKUP($A1103,Presupuesto!$A:$D,4,FALSE())</f>
        <v>0</v>
      </c>
      <c r="F1103" s="11" t="s">
        <v>2589</v>
      </c>
      <c r="G1103" s="12">
        <f>SUM(G1105:G1120)/2</f>
        <v>37265.537580441</v>
      </c>
      <c r="H1103" s="13">
        <f>ROUND(SUM(H1105:H1120),0)/2</f>
        <v>0</v>
      </c>
      <c r="I1103" s="10">
        <f>VLOOKUP(A1103,Presupuesto!$A:$F,6,0)</f>
        <v>0</v>
      </c>
      <c r="J1103" s="10">
        <f>+H1103-I1103</f>
        <v>0</v>
      </c>
      <c r="K1103" s="46">
        <f>+H1103-G1103*E1103</f>
        <v>0</v>
      </c>
    </row>
    <row r="1104" spans="1:11">
      <c r="A1104" s="14"/>
      <c r="B1104" s="15" t="s">
        <v>2586</v>
      </c>
      <c r="C1104" s="15" t="s">
        <v>5</v>
      </c>
      <c r="D1104" s="16" t="s">
        <v>6</v>
      </c>
      <c r="E1104" s="17" t="s">
        <v>7</v>
      </c>
      <c r="F1104" s="18" t="s">
        <v>3728</v>
      </c>
      <c r="G1104" s="19" t="s">
        <v>3729</v>
      </c>
      <c r="H1104" s="20" t="s">
        <v>3797</v>
      </c>
    </row>
    <row r="1105" spans="1:8">
      <c r="A1105" s="21"/>
      <c r="B1105" s="22" t="s">
        <v>3730</v>
      </c>
      <c r="C1105" s="23"/>
      <c r="D1105" s="24"/>
      <c r="E1105" s="25"/>
      <c r="F1105" s="26"/>
      <c r="G1105" s="27">
        <f>SUM(G1106:G1110)</f>
        <v>27873.405000000002</v>
      </c>
      <c r="H1105" s="27">
        <f>IFERROR(G1105*E1103,"")</f>
        <v>0</v>
      </c>
    </row>
    <row r="1106" spans="1:8">
      <c r="A1106" s="28"/>
      <c r="B1106" s="29" t="s">
        <v>2968</v>
      </c>
      <c r="C1106" s="30" t="str">
        <f>IFERROR(_xlfn.XLOOKUP(B1106,Insumo[DESCRIPCION],Insumo[UND],,0),"")</f>
        <v>M2</v>
      </c>
      <c r="D1106" s="31">
        <v>1</v>
      </c>
      <c r="E1106" s="32">
        <f>IFERROR(_xlfn.XLOOKUP($B1106,Insumo[DESCRIPCION],Insumo[VALOR],,0),"")</f>
        <v>26058.9</v>
      </c>
      <c r="F1106" s="33">
        <v>5</v>
      </c>
      <c r="G1106" s="34">
        <f>IFERROR(IF(F1106&gt;=0,D1106*E1106*(1+F1106/100),ABS(D1106*E1106/F1106)),"")</f>
        <v>27361.845000000001</v>
      </c>
      <c r="H1106" s="43">
        <f>IFERROR(G1106*E1103,"")</f>
        <v>0</v>
      </c>
    </row>
    <row r="1107" spans="1:8">
      <c r="A1107" s="28"/>
      <c r="B1107" s="29" t="s">
        <v>3546</v>
      </c>
      <c r="C1107" s="30" t="str">
        <f>IFERROR(_xlfn.XLOOKUP(B1107,Insumo[DESCRIPCION],Insumo[UND],,0),"")</f>
        <v>M</v>
      </c>
      <c r="D1107" s="31">
        <v>0.3</v>
      </c>
      <c r="E1107" s="32">
        <f>IFERROR(_xlfn.XLOOKUP($B1107,Insumo[DESCRIPCION],Insumo[VALOR],,0),"")</f>
        <v>1705.2</v>
      </c>
      <c r="F1107" s="33"/>
      <c r="G1107" s="34">
        <f>IFERROR(IF(F1107&gt;=0,D1107*E1107*(1+F1107/100),ABS(D1107*E1107/F1107)),"")</f>
        <v>511.56</v>
      </c>
      <c r="H1107" s="43">
        <f>IFERROR(G1107*E1103,"")</f>
        <v>0</v>
      </c>
    </row>
    <row r="1108" spans="1:8">
      <c r="A1108" s="28"/>
      <c r="B1108" s="29"/>
      <c r="C1108" s="30" t="str">
        <f>IFERROR(_xlfn.XLOOKUP(B1108,Insumo[DESCRIPCION],Insumo[UND],,0),"")</f>
        <v/>
      </c>
      <c r="D1108" s="31"/>
      <c r="E1108" s="32" t="str">
        <f>IFERROR(_xlfn.XLOOKUP($B1108,Insumo[DESCRIPCION],Insumo[VALOR],,0),"")</f>
        <v/>
      </c>
      <c r="F1108" s="33"/>
      <c r="G1108" s="34" t="str">
        <f>IFERROR(IF(F1108&gt;=0,D1108*E1108*(1+F1108/100),ABS(D1108*E1108/F1108)),"")</f>
        <v/>
      </c>
      <c r="H1108" s="43" t="str">
        <f>IFERROR(G1108*E1103,"")</f>
        <v/>
      </c>
    </row>
    <row r="1109" spans="1:8">
      <c r="A1109" s="28"/>
      <c r="B1109" s="29"/>
      <c r="C1109" s="30" t="str">
        <f>IFERROR(_xlfn.XLOOKUP(B1109,Insumo[DESCRIPCION],Insumo[UND],,0),"")</f>
        <v/>
      </c>
      <c r="D1109" s="31"/>
      <c r="E1109" s="32" t="str">
        <f>IFERROR(_xlfn.XLOOKUP($B1109,Insumo[DESCRIPCION],Insumo[VALOR],,0),"")</f>
        <v/>
      </c>
      <c r="F1109" s="33"/>
      <c r="G1109" s="34" t="str">
        <f>IFERROR(IF(F1109&gt;=0,D1109*E1109*(1+F1109/100),ABS(D1109*E1109/F1109)),"")</f>
        <v/>
      </c>
      <c r="H1109" s="43" t="str">
        <f>IFERROR(G1109*E1103,"")</f>
        <v/>
      </c>
    </row>
    <row r="1110" spans="1:8">
      <c r="A1110" s="28"/>
      <c r="B1110" s="29"/>
      <c r="C1110" s="30" t="str">
        <f>IFERROR(_xlfn.XLOOKUP(B1110,Insumo[DESCRIPCION],Insumo[UND],,0),"")</f>
        <v/>
      </c>
      <c r="D1110" s="31"/>
      <c r="E1110" s="32" t="str">
        <f>IFERROR(_xlfn.XLOOKUP($B1110,Insumo[DESCRIPCION],Insumo[VALOR],,0),"")</f>
        <v/>
      </c>
      <c r="F1110" s="33"/>
      <c r="G1110" s="34" t="str">
        <f>IFERROR(IF(F1110&gt;=0,D1110*E1110*(1+F1110/100),ABS(D1110*E1110/F1110)),"")</f>
        <v/>
      </c>
      <c r="H1110" s="43" t="str">
        <f>IFERROR(G1110*E1103,"")</f>
        <v/>
      </c>
    </row>
    <row r="1111" spans="1:8">
      <c r="A1111" s="21"/>
      <c r="B1111" s="22" t="s">
        <v>3731</v>
      </c>
      <c r="C1111" s="23"/>
      <c r="D1111" s="24"/>
      <c r="E1111" s="25"/>
      <c r="F1111" s="26"/>
      <c r="G1111" s="27">
        <f>SUM(G1112:G1114)</f>
        <v>775.49718554100014</v>
      </c>
      <c r="H1111" s="44">
        <f>G1111*E1103</f>
        <v>0</v>
      </c>
    </row>
    <row r="1112" spans="1:8">
      <c r="A1112" s="28"/>
      <c r="B1112" s="29" t="s">
        <v>3570</v>
      </c>
      <c r="C1112" s="30" t="str">
        <f>IFERROR(_xlfn.XLOOKUP(B1112,Equipo[DESCRIPCION],Equipo[UND],,0),"")</f>
        <v>%MO</v>
      </c>
      <c r="D1112" s="31">
        <v>0.04</v>
      </c>
      <c r="E1112" s="32">
        <f>IF(C1112="%MO",G1118,IFERROR(_xlfn.XLOOKUP($B1112,Equipo[DESCRIPCION],Equipo[VALOR],,0),""))</f>
        <v>8616.6353949000004</v>
      </c>
      <c r="F1112" s="33"/>
      <c r="G1112" s="34">
        <f>IFERROR(IF(F1112&gt;=0,D1112*E1112*(1+F1112/100),ABS(D1112*E1112/F1112)),"")</f>
        <v>344.66541579600005</v>
      </c>
      <c r="H1112" s="43">
        <f>IFERROR(G1112*E1103,"")</f>
        <v>0</v>
      </c>
    </row>
    <row r="1113" spans="1:8">
      <c r="A1113" s="28"/>
      <c r="B1113" s="29" t="s">
        <v>3626</v>
      </c>
      <c r="C1113" s="30" t="str">
        <f>IFERROR(_xlfn.XLOOKUP(B1113,Equipo[DESCRIPCION],Equipo[UND],,0),"")</f>
        <v>%MO</v>
      </c>
      <c r="D1113" s="31">
        <v>0.05</v>
      </c>
      <c r="E1113" s="32">
        <f>IF(C1113="%MO",G1118,IFERROR(_xlfn.XLOOKUP($B1113,Equipo[DESCRIPCION],Equipo[VALOR],,0),""))</f>
        <v>8616.6353949000004</v>
      </c>
      <c r="F1113" s="33"/>
      <c r="G1113" s="34">
        <f>IFERROR(IF(F1113&gt;=0,D1113*E1113*(1+F1113/100),ABS(D1113*E1113/F1113)),"")</f>
        <v>430.83176974500003</v>
      </c>
      <c r="H1113" s="43">
        <f>IFERROR(G1113*E1103,"")</f>
        <v>0</v>
      </c>
    </row>
    <row r="1114" spans="1:8">
      <c r="A1114" s="28"/>
      <c r="B1114" s="29"/>
      <c r="C1114" s="30" t="str">
        <f>IFERROR(_xlfn.XLOOKUP(B1114,Equipo[DESCRIPCION],Equipo[UND],,0),"")</f>
        <v/>
      </c>
      <c r="D1114" s="31"/>
      <c r="E1114" s="32" t="str">
        <f>IF(C1114="%MO",G1118,IFERROR(_xlfn.XLOOKUP($B1114,Equipo[DESCRIPCION],Equipo[VALOR],,0),""))</f>
        <v/>
      </c>
      <c r="F1114" s="33"/>
      <c r="G1114" s="34" t="str">
        <f>IFERROR(IF(F1114&gt;=0,D1114*E1114*(1+F1114/100),ABS(D1114*E1114/F1114)),"")</f>
        <v/>
      </c>
      <c r="H1114" s="43" t="str">
        <f>IFERROR(G1114*E1103,"")</f>
        <v/>
      </c>
    </row>
    <row r="1115" spans="1:8">
      <c r="A1115" s="21"/>
      <c r="B1115" s="22" t="s">
        <v>2533</v>
      </c>
      <c r="C1115" s="23"/>
      <c r="D1115" s="24"/>
      <c r="E1115" s="25"/>
      <c r="F1115" s="26"/>
      <c r="G1115" s="27">
        <f>SUM(G1116:G1117)</f>
        <v>0</v>
      </c>
      <c r="H1115" s="44">
        <f>G1115*E1103</f>
        <v>0</v>
      </c>
    </row>
    <row r="1116" spans="1:8">
      <c r="A1116" s="28"/>
      <c r="B1116" s="29"/>
      <c r="C1116" s="30" t="str">
        <f>IFERROR(_xlfn.XLOOKUP(B1116,Transporte[DESCRIPCION],Transporte[UND],,0),"")</f>
        <v/>
      </c>
      <c r="D1116" s="31"/>
      <c r="E1116" s="32" t="str">
        <f>IFERROR(_xlfn.XLOOKUP($B1116,Transporte[DESCRIPCION],Transporte[VALOR],,0),"")</f>
        <v/>
      </c>
      <c r="F1116" s="33"/>
      <c r="G1116" s="34" t="str">
        <f>IFERROR(IF(F1116&gt;=0,D1116*E1116*(1+F1116/100),ABS(D1116*E1116/F1116)),"")</f>
        <v/>
      </c>
      <c r="H1116" s="43" t="str">
        <f>IFERROR(G1116*E1103,"")</f>
        <v/>
      </c>
    </row>
    <row r="1117" spans="1:8">
      <c r="A1117" s="28"/>
      <c r="B1117" s="29"/>
      <c r="C1117" s="30" t="str">
        <f>IFERROR(_xlfn.XLOOKUP(B1117,Transporte[DESCRIPCION],Transporte[UND],,0),"")</f>
        <v/>
      </c>
      <c r="D1117" s="31"/>
      <c r="E1117" s="32" t="str">
        <f>IFERROR(_xlfn.XLOOKUP($B1117,Transporte[DESCRIPCION],Transporte[VALOR],,0),"")</f>
        <v/>
      </c>
      <c r="F1117" s="33"/>
      <c r="G1117" s="34" t="str">
        <f>IFERROR(IF(F1117&gt;=0,D1117*E1117*(1+F1117/100),ABS(D1117*E1117/F1117)),"")</f>
        <v/>
      </c>
      <c r="H1117" s="43" t="str">
        <f>IFERROR(G1117*E1103,"")</f>
        <v/>
      </c>
    </row>
    <row r="1118" spans="1:8">
      <c r="A1118" s="21"/>
      <c r="B1118" s="22" t="s">
        <v>3732</v>
      </c>
      <c r="C1118" s="23"/>
      <c r="D1118" s="24"/>
      <c r="E1118" s="25"/>
      <c r="F1118" s="26"/>
      <c r="G1118" s="27">
        <f>SUM(G1119:G1121)</f>
        <v>8616.6353949000004</v>
      </c>
      <c r="H1118" s="44">
        <f>G1118*E1103</f>
        <v>0</v>
      </c>
    </row>
    <row r="1119" spans="1:8">
      <c r="A1119" s="28"/>
      <c r="B1119" s="29" t="s">
        <v>3711</v>
      </c>
      <c r="C1119" s="30" t="str">
        <f>IFERROR(_xlfn.XLOOKUP(B1119,MObra[DESCRIPCION],MObra[UN],,0),"")</f>
        <v>día</v>
      </c>
      <c r="D1119" s="31">
        <v>1</v>
      </c>
      <c r="E1119" s="32">
        <f>IFERROR(_xlfn.XLOOKUP($B1119,MObra[DESCRIPCION],MObra[VALOR UNIT],,0),"")</f>
        <v>430831.76974500006</v>
      </c>
      <c r="F1119" s="33">
        <v>-50</v>
      </c>
      <c r="G1119" s="34">
        <f>IFERROR(IF(F1119&gt;=0,D1119*E1119*(1+F1119/100),ABS(D1119*E1119/F1119)),"")</f>
        <v>8616.6353949000004</v>
      </c>
      <c r="H1119" s="43">
        <f>IFERROR(G1119*E1103,"")</f>
        <v>0</v>
      </c>
    </row>
    <row r="1120" spans="1:8">
      <c r="A1120" s="28"/>
      <c r="B1120" s="29"/>
      <c r="C1120" s="30" t="str">
        <f>IFERROR(_xlfn.XLOOKUP(B1120,MObra[DESCRIPCION],MObra[UN],,0),"")</f>
        <v/>
      </c>
      <c r="D1120" s="31"/>
      <c r="E1120" s="32" t="str">
        <f>IFERROR(_xlfn.XLOOKUP($B1120,MObra[DESCRIPCION],MObra[VALOR UNIT],,0),"")</f>
        <v/>
      </c>
      <c r="F1120" s="33"/>
      <c r="G1120" s="34" t="str">
        <f>IFERROR(IF(F1120&gt;=0,D1120*E1120*(1+F1120/100),ABS(D1120*E1120/F1120)),"")</f>
        <v/>
      </c>
      <c r="H1120" s="43" t="str">
        <f>IFERROR(G1120*E1103,"")</f>
        <v/>
      </c>
    </row>
    <row r="1121" spans="1:11">
      <c r="A1121" s="35"/>
      <c r="B1121" s="36"/>
      <c r="C1121" s="37" t="str">
        <f>IFERROR(_xlfn.XLOOKUP(B1121,MObra[DESCRIPCION],MObra[UN],,0),"")</f>
        <v/>
      </c>
      <c r="D1121" s="38"/>
      <c r="E1121" s="39" t="str">
        <f>IFERROR(_xlfn.XLOOKUP($B1121,MObra[DESCRIPCION],MObra[VALOR UNIT],,0),"")</f>
        <v/>
      </c>
      <c r="F1121" s="40"/>
      <c r="G1121" s="41" t="str">
        <f>IFERROR(IF(F1121&gt;=0,D1121*E1121*(1+F1121/100),ABS(D1121*E1121/F1121)),"")</f>
        <v/>
      </c>
      <c r="H1121" s="42" t="str">
        <f>IFERROR(G1121*E1103,"")</f>
        <v/>
      </c>
    </row>
    <row r="1122" spans="1:11" ht="12.75" customHeight="1"/>
    <row r="1123" spans="1:11">
      <c r="A1123" s="6" t="s">
        <v>1836</v>
      </c>
      <c r="B1123" s="7" t="str">
        <f>VLOOKUP($A1123,Presupuesto!$A:$D,2,FALSE())</f>
        <v>Geotextil fortgird UX 075 o similar</v>
      </c>
      <c r="C1123" s="8" t="str">
        <f>VLOOKUP($A1123,Presupuesto!$A:$D,3,FALSE())</f>
        <v>M2</v>
      </c>
      <c r="D1123" s="9"/>
      <c r="E1123" s="10">
        <f>VLOOKUP($A1123,Presupuesto!$A:$D,4,FALSE())</f>
        <v>0</v>
      </c>
      <c r="F1123" s="11" t="s">
        <v>2589</v>
      </c>
      <c r="G1123" s="12">
        <f>SUM(G1125:G1141)/2</f>
        <v>44305.918502301007</v>
      </c>
      <c r="H1123" s="13">
        <f>ROUND(SUM(H1125:H1141),0)/2</f>
        <v>0</v>
      </c>
      <c r="I1123" s="10">
        <f>VLOOKUP(A1123,Presupuesto!$A:$F,6,0)</f>
        <v>0</v>
      </c>
      <c r="J1123" s="10">
        <f>+H1123-I1123</f>
        <v>0</v>
      </c>
      <c r="K1123" s="46">
        <f>+H1123-G1123*E1123</f>
        <v>0</v>
      </c>
    </row>
    <row r="1124" spans="1:11">
      <c r="A1124" s="14"/>
      <c r="B1124" s="15" t="s">
        <v>2586</v>
      </c>
      <c r="C1124" s="15" t="s">
        <v>5</v>
      </c>
      <c r="D1124" s="16" t="s">
        <v>6</v>
      </c>
      <c r="E1124" s="17" t="s">
        <v>7</v>
      </c>
      <c r="F1124" s="18" t="s">
        <v>3728</v>
      </c>
      <c r="G1124" s="19" t="s">
        <v>3729</v>
      </c>
      <c r="H1124" s="20" t="s">
        <v>3797</v>
      </c>
    </row>
    <row r="1125" spans="1:11">
      <c r="A1125" s="21"/>
      <c r="B1125" s="22" t="s">
        <v>3730</v>
      </c>
      <c r="C1125" s="23"/>
      <c r="D1125" s="24"/>
      <c r="E1125" s="25"/>
      <c r="F1125" s="26"/>
      <c r="G1125" s="27">
        <f>SUM(G1126:G1130)</f>
        <v>29836.957500000004</v>
      </c>
      <c r="H1125" s="27">
        <f>IFERROR(G1125*E1123,"")</f>
        <v>0</v>
      </c>
    </row>
    <row r="1126" spans="1:11">
      <c r="A1126" s="28"/>
      <c r="B1126" s="29" t="s">
        <v>2970</v>
      </c>
      <c r="C1126" s="30" t="str">
        <f>IFERROR(_xlfn.XLOOKUP(B1126,Insumo[DESCRIPCION],Insumo[UND],,0),"")</f>
        <v>M2</v>
      </c>
      <c r="D1126" s="31">
        <v>1</v>
      </c>
      <c r="E1126" s="32">
        <f>IFERROR(_xlfn.XLOOKUP($B1126,Insumo[DESCRIPCION],Insumo[VALOR],,0),"")</f>
        <v>28416.15</v>
      </c>
      <c r="F1126" s="33">
        <v>5</v>
      </c>
      <c r="G1126" s="34">
        <f>IFERROR(IF(F1126&gt;=0,D1126*E1126*(1+F1126/100),ABS(D1126*E1126/F1126)),"")</f>
        <v>29836.957500000004</v>
      </c>
      <c r="H1126" s="43">
        <f>IFERROR(G1126*E1123,"")</f>
        <v>0</v>
      </c>
    </row>
    <row r="1127" spans="1:11">
      <c r="A1127" s="28"/>
      <c r="B1127" s="29"/>
      <c r="C1127" s="30" t="str">
        <f>IFERROR(_xlfn.XLOOKUP(B1127,Insumo[DESCRIPCION],Insumo[UND],,0),"")</f>
        <v/>
      </c>
      <c r="D1127" s="31"/>
      <c r="E1127" s="32" t="str">
        <f>IFERROR(_xlfn.XLOOKUP($B1127,Insumo[DESCRIPCION],Insumo[VALOR],,0),"")</f>
        <v/>
      </c>
      <c r="F1127" s="33"/>
      <c r="G1127" s="34" t="str">
        <f>IFERROR(IF(F1127&gt;=0,D1127*E1127*(1+F1127/100),ABS(D1127*E1127/F1127)),"")</f>
        <v/>
      </c>
      <c r="H1127" s="43" t="str">
        <f>IFERROR(G1127*E1123,"")</f>
        <v/>
      </c>
    </row>
    <row r="1128" spans="1:11">
      <c r="A1128" s="28"/>
      <c r="B1128" s="29"/>
      <c r="C1128" s="30" t="str">
        <f>IFERROR(_xlfn.XLOOKUP(B1128,Insumo[DESCRIPCION],Insumo[UND],,0),"")</f>
        <v/>
      </c>
      <c r="D1128" s="31"/>
      <c r="E1128" s="32" t="str">
        <f>IFERROR(_xlfn.XLOOKUP($B1128,Insumo[DESCRIPCION],Insumo[VALOR],,0),"")</f>
        <v/>
      </c>
      <c r="F1128" s="33"/>
      <c r="G1128" s="34" t="str">
        <f>IFERROR(IF(F1128&gt;=0,D1128*E1128*(1+F1128/100),ABS(D1128*E1128/F1128)),"")</f>
        <v/>
      </c>
      <c r="H1128" s="43" t="str">
        <f>IFERROR(G1128*E1123,"")</f>
        <v/>
      </c>
    </row>
    <row r="1129" spans="1:11">
      <c r="A1129" s="28"/>
      <c r="B1129" s="29"/>
      <c r="C1129" s="30" t="str">
        <f>IFERROR(_xlfn.XLOOKUP(B1129,Insumo[DESCRIPCION],Insumo[UND],,0),"")</f>
        <v/>
      </c>
      <c r="D1129" s="31"/>
      <c r="E1129" s="32" t="str">
        <f>IFERROR(_xlfn.XLOOKUP($B1129,Insumo[DESCRIPCION],Insumo[VALOR],,0),"")</f>
        <v/>
      </c>
      <c r="F1129" s="33"/>
      <c r="G1129" s="34" t="str">
        <f>IFERROR(IF(F1129&gt;=0,D1129*E1129*(1+F1129/100),ABS(D1129*E1129/F1129)),"")</f>
        <v/>
      </c>
      <c r="H1129" s="43" t="str">
        <f>IFERROR(G1129*E1123,"")</f>
        <v/>
      </c>
    </row>
    <row r="1130" spans="1:11">
      <c r="A1130" s="28"/>
      <c r="B1130" s="29"/>
      <c r="C1130" s="30" t="str">
        <f>IFERROR(_xlfn.XLOOKUP(B1130,Insumo[DESCRIPCION],Insumo[UND],,0),"")</f>
        <v/>
      </c>
      <c r="D1130" s="31"/>
      <c r="E1130" s="32" t="str">
        <f>IFERROR(_xlfn.XLOOKUP($B1130,Insumo[DESCRIPCION],Insumo[VALOR],,0),"")</f>
        <v/>
      </c>
      <c r="F1130" s="33"/>
      <c r="G1130" s="34" t="str">
        <f>IFERROR(IF(F1130&gt;=0,D1130*E1130*(1+F1130/100),ABS(D1130*E1130/F1130)),"")</f>
        <v/>
      </c>
      <c r="H1130" s="43" t="str">
        <f>IFERROR(G1130*E1123,"")</f>
        <v/>
      </c>
    </row>
    <row r="1131" spans="1:11">
      <c r="A1131" s="21"/>
      <c r="B1131" s="22" t="s">
        <v>3731</v>
      </c>
      <c r="C1131" s="23"/>
      <c r="D1131" s="24"/>
      <c r="E1131" s="25"/>
      <c r="F1131" s="26"/>
      <c r="G1131" s="27">
        <f>SUM(G1132:G1134)</f>
        <v>1194.6848534010005</v>
      </c>
      <c r="H1131" s="44">
        <f>G1131*E1123</f>
        <v>0</v>
      </c>
    </row>
    <row r="1132" spans="1:11">
      <c r="A1132" s="28"/>
      <c r="B1132" s="29" t="s">
        <v>3570</v>
      </c>
      <c r="C1132" s="30" t="str">
        <f>IFERROR(_xlfn.XLOOKUP(B1132,Equipo[DESCRIPCION],Equipo[UND],,0),"")</f>
        <v>%MO</v>
      </c>
      <c r="D1132" s="31">
        <v>0.04</v>
      </c>
      <c r="E1132" s="32">
        <f>IF(C1132="%MO",G1138,IFERROR(_xlfn.XLOOKUP($B1132,Equipo[DESCRIPCION],Equipo[VALOR],,0),""))</f>
        <v>13274.276148900004</v>
      </c>
      <c r="F1132" s="33"/>
      <c r="G1132" s="34">
        <f>IFERROR(IF(F1132&gt;=0,D1132*E1132*(1+F1132/100),ABS(D1132*E1132/F1132)),"")</f>
        <v>530.97104595600013</v>
      </c>
      <c r="H1132" s="43">
        <f>IFERROR(G1132*E1123,"")</f>
        <v>0</v>
      </c>
    </row>
    <row r="1133" spans="1:11">
      <c r="A1133" s="28"/>
      <c r="B1133" s="29" t="s">
        <v>3626</v>
      </c>
      <c r="C1133" s="30" t="str">
        <f>IFERROR(_xlfn.XLOOKUP(B1133,Equipo[DESCRIPCION],Equipo[UND],,0),"")</f>
        <v>%MO</v>
      </c>
      <c r="D1133" s="31">
        <v>0.05</v>
      </c>
      <c r="E1133" s="32">
        <f>IF(C1133="%MO",G1138,IFERROR(_xlfn.XLOOKUP($B1133,Equipo[DESCRIPCION],Equipo[VALOR],,0),""))</f>
        <v>13274.276148900004</v>
      </c>
      <c r="F1133" s="33"/>
      <c r="G1133" s="34">
        <f>IFERROR(IF(F1133&gt;=0,D1133*E1133*(1+F1133/100),ABS(D1133*E1133/F1133)),"")</f>
        <v>663.71380744500027</v>
      </c>
      <c r="H1133" s="43">
        <f>IFERROR(G1133*E1123,"")</f>
        <v>0</v>
      </c>
    </row>
    <row r="1134" spans="1:11">
      <c r="A1134" s="28"/>
      <c r="B1134" s="29"/>
      <c r="C1134" s="30" t="str">
        <f>IFERROR(_xlfn.XLOOKUP(B1134,Equipo[DESCRIPCION],Equipo[UND],,0),"")</f>
        <v/>
      </c>
      <c r="D1134" s="31"/>
      <c r="E1134" s="32" t="str">
        <f>IF(C1134="%MO",G1138,IFERROR(_xlfn.XLOOKUP($B1134,Equipo[DESCRIPCION],Equipo[VALOR],,0),""))</f>
        <v/>
      </c>
      <c r="F1134" s="33"/>
      <c r="G1134" s="34" t="str">
        <f>IFERROR(IF(F1134&gt;=0,D1134*E1134*(1+F1134/100),ABS(D1134*E1134/F1134)),"")</f>
        <v/>
      </c>
      <c r="H1134" s="43" t="str">
        <f>IFERROR(G1134*E1123,"")</f>
        <v/>
      </c>
    </row>
    <row r="1135" spans="1:11">
      <c r="A1135" s="21"/>
      <c r="B1135" s="22" t="s">
        <v>2533</v>
      </c>
      <c r="C1135" s="23"/>
      <c r="D1135" s="24"/>
      <c r="E1135" s="25"/>
      <c r="F1135" s="26"/>
      <c r="G1135" s="27">
        <f>SUM(G1136:G1137)</f>
        <v>0</v>
      </c>
      <c r="H1135" s="44">
        <f>G1135*E1123</f>
        <v>0</v>
      </c>
    </row>
    <row r="1136" spans="1:11">
      <c r="A1136" s="28"/>
      <c r="B1136" s="29"/>
      <c r="C1136" s="30" t="str">
        <f>IFERROR(_xlfn.XLOOKUP(B1136,Transporte[DESCRIPCION],Transporte[UND],,0),"")</f>
        <v/>
      </c>
      <c r="D1136" s="31"/>
      <c r="E1136" s="32" t="str">
        <f>IFERROR(_xlfn.XLOOKUP($B1136,Transporte[DESCRIPCION],Transporte[VALOR],,0),"")</f>
        <v/>
      </c>
      <c r="F1136" s="33"/>
      <c r="G1136" s="34" t="str">
        <f>IFERROR(IF(F1136&gt;=0,D1136*E1136*(1+F1136/100),ABS(D1136*E1136/F1136)),"")</f>
        <v/>
      </c>
      <c r="H1136" s="43" t="str">
        <f>IFERROR(G1136*E1123,"")</f>
        <v/>
      </c>
    </row>
    <row r="1137" spans="1:11">
      <c r="A1137" s="28"/>
      <c r="B1137" s="29"/>
      <c r="C1137" s="30" t="str">
        <f>IFERROR(_xlfn.XLOOKUP(B1137,Transporte[DESCRIPCION],Transporte[UND],,0),"")</f>
        <v/>
      </c>
      <c r="D1137" s="31"/>
      <c r="E1137" s="32" t="str">
        <f>IFERROR(_xlfn.XLOOKUP($B1137,Transporte[DESCRIPCION],Transporte[VALOR],,0),"")</f>
        <v/>
      </c>
      <c r="F1137" s="33"/>
      <c r="G1137" s="34" t="str">
        <f>IFERROR(IF(F1137&gt;=0,D1137*E1137*(1+F1137/100),ABS(D1137*E1137/F1137)),"")</f>
        <v/>
      </c>
      <c r="H1137" s="43" t="str">
        <f>IFERROR(G1137*E1123,"")</f>
        <v/>
      </c>
    </row>
    <row r="1138" spans="1:11">
      <c r="A1138" s="21"/>
      <c r="B1138" s="22" t="s">
        <v>3732</v>
      </c>
      <c r="C1138" s="23"/>
      <c r="D1138" s="24"/>
      <c r="E1138" s="25"/>
      <c r="F1138" s="26"/>
      <c r="G1138" s="27">
        <f>SUM(G1139:G1141)</f>
        <v>13274.276148900004</v>
      </c>
      <c r="H1138" s="44">
        <f>G1138*E1123</f>
        <v>0</v>
      </c>
    </row>
    <row r="1139" spans="1:11">
      <c r="A1139" s="28"/>
      <c r="B1139" s="29" t="s">
        <v>3713</v>
      </c>
      <c r="C1139" s="30" t="str">
        <f>IFERROR(_xlfn.XLOOKUP(B1139,MObra[DESCRIPCION],MObra[UN],,0),"")</f>
        <v>día</v>
      </c>
      <c r="D1139" s="31">
        <v>1</v>
      </c>
      <c r="E1139" s="32">
        <f>IFERROR(_xlfn.XLOOKUP($B1139,MObra[DESCRIPCION],MObra[VALOR UNIT],,0),"")</f>
        <v>663713.80744500016</v>
      </c>
      <c r="F1139" s="33">
        <v>-50</v>
      </c>
      <c r="G1139" s="34">
        <f>IFERROR(IF(F1139&gt;=0,D1139*E1139*(1+F1139/100),ABS(D1139*E1139/F1139)),"")</f>
        <v>13274.276148900004</v>
      </c>
      <c r="H1139" s="43">
        <f>IFERROR(G1139*E1123,"")</f>
        <v>0</v>
      </c>
    </row>
    <row r="1140" spans="1:11">
      <c r="A1140" s="28"/>
      <c r="B1140" s="29"/>
      <c r="C1140" s="30" t="str">
        <f>IFERROR(_xlfn.XLOOKUP(B1140,MObra[DESCRIPCION],MObra[UN],,0),"")</f>
        <v/>
      </c>
      <c r="D1140" s="31"/>
      <c r="E1140" s="32" t="str">
        <f>IFERROR(_xlfn.XLOOKUP($B1140,MObra[DESCRIPCION],MObra[VALOR UNIT],,0),"")</f>
        <v/>
      </c>
      <c r="F1140" s="33"/>
      <c r="G1140" s="34" t="str">
        <f>IFERROR(IF(F1140&gt;=0,D1140*E1140*(1+F1140/100),ABS(D1140*E1140/F1140)),"")</f>
        <v/>
      </c>
      <c r="H1140" s="43" t="str">
        <f>IFERROR(G1140*E1123,"")</f>
        <v/>
      </c>
    </row>
    <row r="1141" spans="1:11">
      <c r="A1141" s="35"/>
      <c r="B1141" s="36"/>
      <c r="C1141" s="37" t="str">
        <f>IFERROR(_xlfn.XLOOKUP(B1141,MObra[DESCRIPCION],MObra[UN],,0),"")</f>
        <v/>
      </c>
      <c r="D1141" s="38"/>
      <c r="E1141" s="39" t="str">
        <f>IFERROR(_xlfn.XLOOKUP($B1141,MObra[DESCRIPCION],MObra[VALOR UNIT],,0),"")</f>
        <v/>
      </c>
      <c r="F1141" s="40"/>
      <c r="G1141" s="41" t="str">
        <f>IFERROR(IF(F1141&gt;=0,D1141*E1141*(1+F1141/100),ABS(D1141*E1141/F1141)),"")</f>
        <v/>
      </c>
      <c r="H1141" s="42" t="str">
        <f>IFERROR(G1141*E1123,"")</f>
        <v/>
      </c>
    </row>
    <row r="1142" spans="1:11" ht="12.75" customHeight="1"/>
    <row r="1143" spans="1:11">
      <c r="A1143" s="6" t="s">
        <v>1838</v>
      </c>
      <c r="B1143" s="7" t="str">
        <f>VLOOKUP($A1143,Presupuesto!$A:$D,2,FALSE())</f>
        <v>Geotextil fortgird UX 100 o similar</v>
      </c>
      <c r="C1143" s="8" t="str">
        <f>VLOOKUP($A1143,Presupuesto!$A:$D,3,FALSE())</f>
        <v>M2</v>
      </c>
      <c r="D1143" s="9"/>
      <c r="E1143" s="10">
        <f>VLOOKUP($A1143,Presupuesto!$A:$D,4,FALSE())</f>
        <v>0</v>
      </c>
      <c r="F1143" s="11" t="s">
        <v>2589</v>
      </c>
      <c r="G1143" s="12">
        <f>SUM(G1145:G1161)/2</f>
        <v>38216.733411182737</v>
      </c>
      <c r="H1143" s="13">
        <f>ROUND(SUM(H1145:H1161),0)/2</f>
        <v>0</v>
      </c>
      <c r="I1143" s="10">
        <f>VLOOKUP(A1143,Presupuesto!$A:$F,6,0)</f>
        <v>0</v>
      </c>
      <c r="J1143" s="10">
        <f>+H1143-I1143</f>
        <v>0</v>
      </c>
      <c r="K1143" s="46">
        <f>+H1143-G1143*E1143</f>
        <v>0</v>
      </c>
    </row>
    <row r="1144" spans="1:11">
      <c r="A1144" s="14"/>
      <c r="B1144" s="15" t="s">
        <v>2586</v>
      </c>
      <c r="C1144" s="15" t="s">
        <v>5</v>
      </c>
      <c r="D1144" s="16" t="s">
        <v>6</v>
      </c>
      <c r="E1144" s="17" t="s">
        <v>7</v>
      </c>
      <c r="F1144" s="18" t="s">
        <v>3728</v>
      </c>
      <c r="G1144" s="19" t="s">
        <v>3729</v>
      </c>
      <c r="H1144" s="20" t="s">
        <v>3797</v>
      </c>
    </row>
    <row r="1145" spans="1:11">
      <c r="A1145" s="21"/>
      <c r="B1145" s="22" t="s">
        <v>3730</v>
      </c>
      <c r="C1145" s="23"/>
      <c r="D1145" s="24"/>
      <c r="E1145" s="25"/>
      <c r="F1145" s="26"/>
      <c r="G1145" s="27">
        <f>SUM(G1146:G1150)</f>
        <v>25063.132500000003</v>
      </c>
      <c r="H1145" s="27">
        <f>IFERROR(G1145*E1143,"")</f>
        <v>0</v>
      </c>
    </row>
    <row r="1146" spans="1:11">
      <c r="A1146" s="28"/>
      <c r="B1146" s="29" t="s">
        <v>2971</v>
      </c>
      <c r="C1146" s="30" t="str">
        <f>IFERROR(_xlfn.XLOOKUP(B1146,Insumo[DESCRIPCION],Insumo[UND],,0),"")</f>
        <v>M2</v>
      </c>
      <c r="D1146" s="31">
        <v>1</v>
      </c>
      <c r="E1146" s="32">
        <f>IFERROR(_xlfn.XLOOKUP($B1146,Insumo[DESCRIPCION],Insumo[VALOR],,0),"")</f>
        <v>23869.65</v>
      </c>
      <c r="F1146" s="33">
        <v>5</v>
      </c>
      <c r="G1146" s="34">
        <f>IFERROR(IF(F1146&gt;=0,D1146*E1146*(1+F1146/100),ABS(D1146*E1146/F1146)),"")</f>
        <v>25063.132500000003</v>
      </c>
      <c r="H1146" s="43">
        <f>IFERROR(G1146*E1143,"")</f>
        <v>0</v>
      </c>
    </row>
    <row r="1147" spans="1:11">
      <c r="A1147" s="28"/>
      <c r="B1147" s="29"/>
      <c r="C1147" s="30" t="str">
        <f>IFERROR(_xlfn.XLOOKUP(B1147,Insumo[DESCRIPCION],Insumo[UND],,0),"")</f>
        <v/>
      </c>
      <c r="D1147" s="31"/>
      <c r="E1147" s="32" t="str">
        <f>IFERROR(_xlfn.XLOOKUP($B1147,Insumo[DESCRIPCION],Insumo[VALOR],,0),"")</f>
        <v/>
      </c>
      <c r="F1147" s="33"/>
      <c r="G1147" s="34" t="str">
        <f>IFERROR(IF(F1147&gt;=0,D1147*E1147*(1+F1147/100),ABS(D1147*E1147/F1147)),"")</f>
        <v/>
      </c>
      <c r="H1147" s="43" t="str">
        <f>IFERROR(G1147*E1143,"")</f>
        <v/>
      </c>
    </row>
    <row r="1148" spans="1:11">
      <c r="A1148" s="28"/>
      <c r="B1148" s="29"/>
      <c r="C1148" s="30" t="str">
        <f>IFERROR(_xlfn.XLOOKUP(B1148,Insumo[DESCRIPCION],Insumo[UND],,0),"")</f>
        <v/>
      </c>
      <c r="D1148" s="31"/>
      <c r="E1148" s="32" t="str">
        <f>IFERROR(_xlfn.XLOOKUP($B1148,Insumo[DESCRIPCION],Insumo[VALOR],,0),"")</f>
        <v/>
      </c>
      <c r="F1148" s="33"/>
      <c r="G1148" s="34" t="str">
        <f>IFERROR(IF(F1148&gt;=0,D1148*E1148*(1+F1148/100),ABS(D1148*E1148/F1148)),"")</f>
        <v/>
      </c>
      <c r="H1148" s="43" t="str">
        <f>IFERROR(G1148*E1143,"")</f>
        <v/>
      </c>
    </row>
    <row r="1149" spans="1:11">
      <c r="A1149" s="28"/>
      <c r="B1149" s="29"/>
      <c r="C1149" s="30" t="str">
        <f>IFERROR(_xlfn.XLOOKUP(B1149,Insumo[DESCRIPCION],Insumo[UND],,0),"")</f>
        <v/>
      </c>
      <c r="D1149" s="31"/>
      <c r="E1149" s="32" t="str">
        <f>IFERROR(_xlfn.XLOOKUP($B1149,Insumo[DESCRIPCION],Insumo[VALOR],,0),"")</f>
        <v/>
      </c>
      <c r="F1149" s="33"/>
      <c r="G1149" s="34" t="str">
        <f>IFERROR(IF(F1149&gt;=0,D1149*E1149*(1+F1149/100),ABS(D1149*E1149/F1149)),"")</f>
        <v/>
      </c>
      <c r="H1149" s="43" t="str">
        <f>IFERROR(G1149*E1143,"")</f>
        <v/>
      </c>
    </row>
    <row r="1150" spans="1:11">
      <c r="A1150" s="28"/>
      <c r="B1150" s="29"/>
      <c r="C1150" s="30" t="str">
        <f>IFERROR(_xlfn.XLOOKUP(B1150,Insumo[DESCRIPCION],Insumo[UND],,0),"")</f>
        <v/>
      </c>
      <c r="D1150" s="31"/>
      <c r="E1150" s="32" t="str">
        <f>IFERROR(_xlfn.XLOOKUP($B1150,Insumo[DESCRIPCION],Insumo[VALOR],,0),"")</f>
        <v/>
      </c>
      <c r="F1150" s="33"/>
      <c r="G1150" s="34" t="str">
        <f>IFERROR(IF(F1150&gt;=0,D1150*E1150*(1+F1150/100),ABS(D1150*E1150/F1150)),"")</f>
        <v/>
      </c>
      <c r="H1150" s="43" t="str">
        <f>IFERROR(G1150*E1143,"")</f>
        <v/>
      </c>
    </row>
    <row r="1151" spans="1:11">
      <c r="A1151" s="21"/>
      <c r="B1151" s="22" t="s">
        <v>3731</v>
      </c>
      <c r="C1151" s="23"/>
      <c r="D1151" s="24"/>
      <c r="E1151" s="25"/>
      <c r="F1151" s="26"/>
      <c r="G1151" s="27">
        <f>SUM(G1152:G1154)</f>
        <v>1086.0771394554549</v>
      </c>
      <c r="H1151" s="44">
        <f>G1151*E1143</f>
        <v>0</v>
      </c>
    </row>
    <row r="1152" spans="1:11">
      <c r="A1152" s="28"/>
      <c r="B1152" s="29" t="s">
        <v>3570</v>
      </c>
      <c r="C1152" s="30" t="str">
        <f>IFERROR(_xlfn.XLOOKUP(B1152,Equipo[DESCRIPCION],Equipo[UND],,0),"")</f>
        <v>%MO</v>
      </c>
      <c r="D1152" s="31">
        <v>0.04</v>
      </c>
      <c r="E1152" s="32">
        <f>IF(C1152="%MO",G1158,IFERROR(_xlfn.XLOOKUP($B1152,Equipo[DESCRIPCION],Equipo[VALOR],,0),""))</f>
        <v>12067.523771727276</v>
      </c>
      <c r="F1152" s="33"/>
      <c r="G1152" s="34">
        <f>IFERROR(IF(F1152&gt;=0,D1152*E1152*(1+F1152/100),ABS(D1152*E1152/F1152)),"")</f>
        <v>482.70095086909106</v>
      </c>
      <c r="H1152" s="43">
        <f>IFERROR(G1152*E1143,"")</f>
        <v>0</v>
      </c>
    </row>
    <row r="1153" spans="1:11">
      <c r="A1153" s="28"/>
      <c r="B1153" s="29" t="s">
        <v>3626</v>
      </c>
      <c r="C1153" s="30" t="str">
        <f>IFERROR(_xlfn.XLOOKUP(B1153,Equipo[DESCRIPCION],Equipo[UND],,0),"")</f>
        <v>%MO</v>
      </c>
      <c r="D1153" s="31">
        <v>0.05</v>
      </c>
      <c r="E1153" s="32">
        <f>IF(C1153="%MO",G1158,IFERROR(_xlfn.XLOOKUP($B1153,Equipo[DESCRIPCION],Equipo[VALOR],,0),""))</f>
        <v>12067.523771727276</v>
      </c>
      <c r="F1153" s="33"/>
      <c r="G1153" s="34">
        <f>IFERROR(IF(F1153&gt;=0,D1153*E1153*(1+F1153/100),ABS(D1153*E1153/F1153)),"")</f>
        <v>603.37618858636381</v>
      </c>
      <c r="H1153" s="43">
        <f>IFERROR(G1153*E1143,"")</f>
        <v>0</v>
      </c>
    </row>
    <row r="1154" spans="1:11">
      <c r="A1154" s="28"/>
      <c r="B1154" s="29"/>
      <c r="C1154" s="30" t="str">
        <f>IFERROR(_xlfn.XLOOKUP(B1154,Equipo[DESCRIPCION],Equipo[UND],,0),"")</f>
        <v/>
      </c>
      <c r="D1154" s="31"/>
      <c r="E1154" s="32" t="str">
        <f>IF(C1154="%MO",G1158,IFERROR(_xlfn.XLOOKUP($B1154,Equipo[DESCRIPCION],Equipo[VALOR],,0),""))</f>
        <v/>
      </c>
      <c r="F1154" s="33"/>
      <c r="G1154" s="34" t="str">
        <f>IFERROR(IF(F1154&gt;=0,D1154*E1154*(1+F1154/100),ABS(D1154*E1154/F1154)),"")</f>
        <v/>
      </c>
      <c r="H1154" s="43" t="str">
        <f>IFERROR(G1154*E1143,"")</f>
        <v/>
      </c>
    </row>
    <row r="1155" spans="1:11">
      <c r="A1155" s="21"/>
      <c r="B1155" s="22" t="s">
        <v>2533</v>
      </c>
      <c r="C1155" s="23"/>
      <c r="D1155" s="24"/>
      <c r="E1155" s="25"/>
      <c r="F1155" s="26"/>
      <c r="G1155" s="27">
        <f>SUM(G1156:G1157)</f>
        <v>0</v>
      </c>
      <c r="H1155" s="44">
        <f>G1155*E1143</f>
        <v>0</v>
      </c>
    </row>
    <row r="1156" spans="1:11">
      <c r="A1156" s="28"/>
      <c r="B1156" s="29"/>
      <c r="C1156" s="30" t="str">
        <f>IFERROR(_xlfn.XLOOKUP(B1156,Transporte[DESCRIPCION],Transporte[UND],,0),"")</f>
        <v/>
      </c>
      <c r="D1156" s="31"/>
      <c r="E1156" s="32" t="str">
        <f>IFERROR(_xlfn.XLOOKUP($B1156,Transporte[DESCRIPCION],Transporte[VALOR],,0),"")</f>
        <v/>
      </c>
      <c r="F1156" s="33"/>
      <c r="G1156" s="34" t="str">
        <f>IFERROR(IF(F1156&gt;=0,D1156*E1156*(1+F1156/100),ABS(D1156*E1156/F1156)),"")</f>
        <v/>
      </c>
      <c r="H1156" s="43" t="str">
        <f>IFERROR(G1156*E1143,"")</f>
        <v/>
      </c>
    </row>
    <row r="1157" spans="1:11">
      <c r="A1157" s="28"/>
      <c r="B1157" s="29"/>
      <c r="C1157" s="30" t="str">
        <f>IFERROR(_xlfn.XLOOKUP(B1157,Transporte[DESCRIPCION],Transporte[UND],,0),"")</f>
        <v/>
      </c>
      <c r="D1157" s="31"/>
      <c r="E1157" s="32" t="str">
        <f>IFERROR(_xlfn.XLOOKUP($B1157,Transporte[DESCRIPCION],Transporte[VALOR],,0),"")</f>
        <v/>
      </c>
      <c r="F1157" s="33"/>
      <c r="G1157" s="34" t="str">
        <f>IFERROR(IF(F1157&gt;=0,D1157*E1157*(1+F1157/100),ABS(D1157*E1157/F1157)),"")</f>
        <v/>
      </c>
      <c r="H1157" s="43" t="str">
        <f>IFERROR(G1157*E1143,"")</f>
        <v/>
      </c>
    </row>
    <row r="1158" spans="1:11">
      <c r="A1158" s="21"/>
      <c r="B1158" s="22" t="s">
        <v>3732</v>
      </c>
      <c r="C1158" s="23"/>
      <c r="D1158" s="24"/>
      <c r="E1158" s="25"/>
      <c r="F1158" s="26"/>
      <c r="G1158" s="27">
        <f>SUM(G1159:G1161)</f>
        <v>12067.523771727276</v>
      </c>
      <c r="H1158" s="44">
        <f>G1158*E1143</f>
        <v>0</v>
      </c>
    </row>
    <row r="1159" spans="1:11">
      <c r="A1159" s="28"/>
      <c r="B1159" s="29" t="s">
        <v>3713</v>
      </c>
      <c r="C1159" s="30" t="str">
        <f>IFERROR(_xlfn.XLOOKUP(B1159,MObra[DESCRIPCION],MObra[UN],,0),"")</f>
        <v>día</v>
      </c>
      <c r="D1159" s="31">
        <v>1</v>
      </c>
      <c r="E1159" s="32">
        <f>IFERROR(_xlfn.XLOOKUP($B1159,MObra[DESCRIPCION],MObra[VALOR UNIT],,0),"")</f>
        <v>663713.80744500016</v>
      </c>
      <c r="F1159" s="33">
        <v>-55</v>
      </c>
      <c r="G1159" s="34">
        <f>IFERROR(IF(F1159&gt;=0,D1159*E1159*(1+F1159/100),ABS(D1159*E1159/F1159)),"")</f>
        <v>12067.523771727276</v>
      </c>
      <c r="H1159" s="43">
        <f>IFERROR(G1159*E1143,"")</f>
        <v>0</v>
      </c>
    </row>
    <row r="1160" spans="1:11">
      <c r="A1160" s="28"/>
      <c r="B1160" s="29"/>
      <c r="C1160" s="30" t="str">
        <f>IFERROR(_xlfn.XLOOKUP(B1160,MObra[DESCRIPCION],MObra[UN],,0),"")</f>
        <v/>
      </c>
      <c r="D1160" s="31"/>
      <c r="E1160" s="32" t="str">
        <f>IFERROR(_xlfn.XLOOKUP($B1160,MObra[DESCRIPCION],MObra[VALOR UNIT],,0),"")</f>
        <v/>
      </c>
      <c r="F1160" s="33"/>
      <c r="G1160" s="34" t="str">
        <f>IFERROR(IF(F1160&gt;=0,D1160*E1160*(1+F1160/100),ABS(D1160*E1160/F1160)),"")</f>
        <v/>
      </c>
      <c r="H1160" s="43" t="str">
        <f>IFERROR(G1160*E1143,"")</f>
        <v/>
      </c>
    </row>
    <row r="1161" spans="1:11">
      <c r="A1161" s="35"/>
      <c r="B1161" s="36"/>
      <c r="C1161" s="37" t="str">
        <f>IFERROR(_xlfn.XLOOKUP(B1161,MObra[DESCRIPCION],MObra[UN],,0),"")</f>
        <v/>
      </c>
      <c r="D1161" s="38"/>
      <c r="E1161" s="39" t="str">
        <f>IFERROR(_xlfn.XLOOKUP($B1161,MObra[DESCRIPCION],MObra[VALOR UNIT],,0),"")</f>
        <v/>
      </c>
      <c r="F1161" s="40"/>
      <c r="G1161" s="41" t="str">
        <f>IFERROR(IF(F1161&gt;=0,D1161*E1161*(1+F1161/100),ABS(D1161*E1161/F1161)),"")</f>
        <v/>
      </c>
      <c r="H1161" s="42" t="str">
        <f>IFERROR(G1161*E1143,"")</f>
        <v/>
      </c>
    </row>
    <row r="1162" spans="1:11" ht="12.75" customHeight="1"/>
    <row r="1163" spans="1:11">
      <c r="A1163" s="6" t="s">
        <v>1840</v>
      </c>
      <c r="B1163" s="7" t="str">
        <f>VLOOKUP($A1163,Presupuesto!$A:$D,2,FALSE())</f>
        <v>Geotextil fortgird UX 135 o similar</v>
      </c>
      <c r="C1163" s="8" t="str">
        <f>VLOOKUP($A1163,Presupuesto!$A:$D,3,FALSE())</f>
        <v>M2</v>
      </c>
      <c r="D1163" s="9"/>
      <c r="E1163" s="10">
        <f>VLOOKUP($A1163,Presupuesto!$A:$D,4,FALSE())</f>
        <v>0</v>
      </c>
      <c r="F1163" s="11" t="s">
        <v>2589</v>
      </c>
      <c r="G1163" s="12">
        <f>SUM(G1165:G1181)/2</f>
        <v>33539.680001917506</v>
      </c>
      <c r="H1163" s="13">
        <f>ROUND(SUM(H1165:H1181),0)/2</f>
        <v>0</v>
      </c>
      <c r="I1163" s="10">
        <f>VLOOKUP(A1163,Presupuesto!$A:$F,6,0)</f>
        <v>0</v>
      </c>
      <c r="J1163" s="10">
        <f>+H1163-I1163</f>
        <v>0</v>
      </c>
      <c r="K1163" s="46">
        <f>+H1163-G1163*E1163</f>
        <v>0</v>
      </c>
    </row>
    <row r="1164" spans="1:11">
      <c r="A1164" s="14"/>
      <c r="B1164" s="15" t="s">
        <v>2586</v>
      </c>
      <c r="C1164" s="15" t="s">
        <v>5</v>
      </c>
      <c r="D1164" s="16" t="s">
        <v>6</v>
      </c>
      <c r="E1164" s="17" t="s">
        <v>7</v>
      </c>
      <c r="F1164" s="18" t="s">
        <v>3728</v>
      </c>
      <c r="G1164" s="19" t="s">
        <v>3729</v>
      </c>
      <c r="H1164" s="20" t="s">
        <v>3797</v>
      </c>
    </row>
    <row r="1165" spans="1:11">
      <c r="A1165" s="21"/>
      <c r="B1165" s="22" t="s">
        <v>3730</v>
      </c>
      <c r="C1165" s="23"/>
      <c r="D1165" s="24"/>
      <c r="E1165" s="25"/>
      <c r="F1165" s="26"/>
      <c r="G1165" s="27">
        <f>SUM(G1166:G1170)</f>
        <v>21482.212500000001</v>
      </c>
      <c r="H1165" s="27">
        <f>IFERROR(G1165*E1163,"")</f>
        <v>0</v>
      </c>
    </row>
    <row r="1166" spans="1:11">
      <c r="A1166" s="28"/>
      <c r="B1166" s="29" t="s">
        <v>2972</v>
      </c>
      <c r="C1166" s="30" t="str">
        <f>IFERROR(_xlfn.XLOOKUP(B1166,Insumo[DESCRIPCION],Insumo[UND],,0),"")</f>
        <v>M2</v>
      </c>
      <c r="D1166" s="31">
        <v>1</v>
      </c>
      <c r="E1166" s="32">
        <f>IFERROR(_xlfn.XLOOKUP($B1166,Insumo[DESCRIPCION],Insumo[VALOR],,0),"")</f>
        <v>20459.25</v>
      </c>
      <c r="F1166" s="33">
        <v>5</v>
      </c>
      <c r="G1166" s="34">
        <f>IFERROR(IF(F1166&gt;=0,D1166*E1166*(1+F1166/100),ABS(D1166*E1166/F1166)),"")</f>
        <v>21482.212500000001</v>
      </c>
      <c r="H1166" s="43">
        <f>IFERROR(G1166*E1163,"")</f>
        <v>0</v>
      </c>
    </row>
    <row r="1167" spans="1:11">
      <c r="A1167" s="28"/>
      <c r="B1167" s="29"/>
      <c r="C1167" s="30" t="str">
        <f>IFERROR(_xlfn.XLOOKUP(B1167,Insumo[DESCRIPCION],Insumo[UND],,0),"")</f>
        <v/>
      </c>
      <c r="D1167" s="31"/>
      <c r="E1167" s="32" t="str">
        <f>IFERROR(_xlfn.XLOOKUP($B1167,Insumo[DESCRIPCION],Insumo[VALOR],,0),"")</f>
        <v/>
      </c>
      <c r="F1167" s="33"/>
      <c r="G1167" s="34" t="str">
        <f>IFERROR(IF(F1167&gt;=0,D1167*E1167*(1+F1167/100),ABS(D1167*E1167/F1167)),"")</f>
        <v/>
      </c>
      <c r="H1167" s="43" t="str">
        <f>IFERROR(G1167*E1163,"")</f>
        <v/>
      </c>
    </row>
    <row r="1168" spans="1:11">
      <c r="A1168" s="28"/>
      <c r="B1168" s="29"/>
      <c r="C1168" s="30" t="str">
        <f>IFERROR(_xlfn.XLOOKUP(B1168,Insumo[DESCRIPCION],Insumo[UND],,0),"")</f>
        <v/>
      </c>
      <c r="D1168" s="31"/>
      <c r="E1168" s="32" t="str">
        <f>IFERROR(_xlfn.XLOOKUP($B1168,Insumo[DESCRIPCION],Insumo[VALOR],,0),"")</f>
        <v/>
      </c>
      <c r="F1168" s="33"/>
      <c r="G1168" s="34" t="str">
        <f>IFERROR(IF(F1168&gt;=0,D1168*E1168*(1+F1168/100),ABS(D1168*E1168/F1168)),"")</f>
        <v/>
      </c>
      <c r="H1168" s="43" t="str">
        <f>IFERROR(G1168*E1163,"")</f>
        <v/>
      </c>
    </row>
    <row r="1169" spans="1:11">
      <c r="A1169" s="28"/>
      <c r="B1169" s="29"/>
      <c r="C1169" s="30" t="str">
        <f>IFERROR(_xlfn.XLOOKUP(B1169,Insumo[DESCRIPCION],Insumo[UND],,0),"")</f>
        <v/>
      </c>
      <c r="D1169" s="31"/>
      <c r="E1169" s="32" t="str">
        <f>IFERROR(_xlfn.XLOOKUP($B1169,Insumo[DESCRIPCION],Insumo[VALOR],,0),"")</f>
        <v/>
      </c>
      <c r="F1169" s="33"/>
      <c r="G1169" s="34" t="str">
        <f>IFERROR(IF(F1169&gt;=0,D1169*E1169*(1+F1169/100),ABS(D1169*E1169/F1169)),"")</f>
        <v/>
      </c>
      <c r="H1169" s="43" t="str">
        <f>IFERROR(G1169*E1163,"")</f>
        <v/>
      </c>
    </row>
    <row r="1170" spans="1:11">
      <c r="A1170" s="28"/>
      <c r="B1170" s="29"/>
      <c r="C1170" s="30" t="str">
        <f>IFERROR(_xlfn.XLOOKUP(B1170,Insumo[DESCRIPCION],Insumo[UND],,0),"")</f>
        <v/>
      </c>
      <c r="D1170" s="31"/>
      <c r="E1170" s="32" t="str">
        <f>IFERROR(_xlfn.XLOOKUP($B1170,Insumo[DESCRIPCION],Insumo[VALOR],,0),"")</f>
        <v/>
      </c>
      <c r="F1170" s="33"/>
      <c r="G1170" s="34" t="str">
        <f>IFERROR(IF(F1170&gt;=0,D1170*E1170*(1+F1170/100),ABS(D1170*E1170/F1170)),"")</f>
        <v/>
      </c>
      <c r="H1170" s="43" t="str">
        <f>IFERROR(G1170*E1163,"")</f>
        <v/>
      </c>
    </row>
    <row r="1171" spans="1:11">
      <c r="A1171" s="21"/>
      <c r="B1171" s="22" t="s">
        <v>3731</v>
      </c>
      <c r="C1171" s="23"/>
      <c r="D1171" s="24"/>
      <c r="E1171" s="25"/>
      <c r="F1171" s="26"/>
      <c r="G1171" s="27">
        <f>SUM(G1172:G1174)</f>
        <v>995.57071116750035</v>
      </c>
      <c r="H1171" s="44">
        <f>G1171*E1163</f>
        <v>0</v>
      </c>
    </row>
    <row r="1172" spans="1:11">
      <c r="A1172" s="28"/>
      <c r="B1172" s="29" t="s">
        <v>3570</v>
      </c>
      <c r="C1172" s="30" t="str">
        <f>IFERROR(_xlfn.XLOOKUP(B1172,Equipo[DESCRIPCION],Equipo[UND],,0),"")</f>
        <v>%MO</v>
      </c>
      <c r="D1172" s="31">
        <v>0.04</v>
      </c>
      <c r="E1172" s="32">
        <f>IF(C1172="%MO",G1178,IFERROR(_xlfn.XLOOKUP($B1172,Equipo[DESCRIPCION],Equipo[VALOR],,0),""))</f>
        <v>11061.896790750003</v>
      </c>
      <c r="F1172" s="33"/>
      <c r="G1172" s="34">
        <f>IFERROR(IF(F1172&gt;=0,D1172*E1172*(1+F1172/100),ABS(D1172*E1172/F1172)),"")</f>
        <v>442.47587163000014</v>
      </c>
      <c r="H1172" s="43">
        <f>IFERROR(G1172*E1163,"")</f>
        <v>0</v>
      </c>
    </row>
    <row r="1173" spans="1:11">
      <c r="A1173" s="28"/>
      <c r="B1173" s="29" t="s">
        <v>3626</v>
      </c>
      <c r="C1173" s="30" t="str">
        <f>IFERROR(_xlfn.XLOOKUP(B1173,Equipo[DESCRIPCION],Equipo[UND],,0),"")</f>
        <v>%MO</v>
      </c>
      <c r="D1173" s="31">
        <v>0.05</v>
      </c>
      <c r="E1173" s="32">
        <f>IF(C1173="%MO",G1178,IFERROR(_xlfn.XLOOKUP($B1173,Equipo[DESCRIPCION],Equipo[VALOR],,0),""))</f>
        <v>11061.896790750003</v>
      </c>
      <c r="F1173" s="33"/>
      <c r="G1173" s="34">
        <f>IFERROR(IF(F1173&gt;=0,D1173*E1173*(1+F1173/100),ABS(D1173*E1173/F1173)),"")</f>
        <v>553.09483953750021</v>
      </c>
      <c r="H1173" s="43">
        <f>IFERROR(G1173*E1163,"")</f>
        <v>0</v>
      </c>
    </row>
    <row r="1174" spans="1:11">
      <c r="A1174" s="28"/>
      <c r="B1174" s="29"/>
      <c r="C1174" s="30" t="str">
        <f>IFERROR(_xlfn.XLOOKUP(B1174,Equipo[DESCRIPCION],Equipo[UND],,0),"")</f>
        <v/>
      </c>
      <c r="D1174" s="31"/>
      <c r="E1174" s="32" t="str">
        <f>IF(C1174="%MO",G1178,IFERROR(_xlfn.XLOOKUP($B1174,Equipo[DESCRIPCION],Equipo[VALOR],,0),""))</f>
        <v/>
      </c>
      <c r="F1174" s="33"/>
      <c r="G1174" s="34" t="str">
        <f>IFERROR(IF(F1174&gt;=0,D1174*E1174*(1+F1174/100),ABS(D1174*E1174/F1174)),"")</f>
        <v/>
      </c>
      <c r="H1174" s="43" t="str">
        <f>IFERROR(G1174*E1163,"")</f>
        <v/>
      </c>
    </row>
    <row r="1175" spans="1:11">
      <c r="A1175" s="21"/>
      <c r="B1175" s="22" t="s">
        <v>2533</v>
      </c>
      <c r="C1175" s="23"/>
      <c r="D1175" s="24"/>
      <c r="E1175" s="25"/>
      <c r="F1175" s="26"/>
      <c r="G1175" s="27">
        <f>SUM(G1176:G1177)</f>
        <v>0</v>
      </c>
      <c r="H1175" s="44">
        <f>G1175*E1163</f>
        <v>0</v>
      </c>
    </row>
    <row r="1176" spans="1:11">
      <c r="A1176" s="28"/>
      <c r="B1176" s="29"/>
      <c r="C1176" s="30" t="str">
        <f>IFERROR(_xlfn.XLOOKUP(B1176,Transporte[DESCRIPCION],Transporte[UND],,0),"")</f>
        <v/>
      </c>
      <c r="D1176" s="31"/>
      <c r="E1176" s="32" t="str">
        <f>IFERROR(_xlfn.XLOOKUP($B1176,Transporte[DESCRIPCION],Transporte[VALOR],,0),"")</f>
        <v/>
      </c>
      <c r="F1176" s="33"/>
      <c r="G1176" s="34" t="str">
        <f>IFERROR(IF(F1176&gt;=0,D1176*E1176*(1+F1176/100),ABS(D1176*E1176/F1176)),"")</f>
        <v/>
      </c>
      <c r="H1176" s="43" t="str">
        <f>IFERROR(G1176*E1163,"")</f>
        <v/>
      </c>
    </row>
    <row r="1177" spans="1:11">
      <c r="A1177" s="28"/>
      <c r="B1177" s="29"/>
      <c r="C1177" s="30" t="str">
        <f>IFERROR(_xlfn.XLOOKUP(B1177,Transporte[DESCRIPCION],Transporte[UND],,0),"")</f>
        <v/>
      </c>
      <c r="D1177" s="31"/>
      <c r="E1177" s="32" t="str">
        <f>IFERROR(_xlfn.XLOOKUP($B1177,Transporte[DESCRIPCION],Transporte[VALOR],,0),"")</f>
        <v/>
      </c>
      <c r="F1177" s="33"/>
      <c r="G1177" s="34" t="str">
        <f>IFERROR(IF(F1177&gt;=0,D1177*E1177*(1+F1177/100),ABS(D1177*E1177/F1177)),"")</f>
        <v/>
      </c>
      <c r="H1177" s="43" t="str">
        <f>IFERROR(G1177*E1163,"")</f>
        <v/>
      </c>
    </row>
    <row r="1178" spans="1:11">
      <c r="A1178" s="21"/>
      <c r="B1178" s="22" t="s">
        <v>3732</v>
      </c>
      <c r="C1178" s="23"/>
      <c r="D1178" s="24"/>
      <c r="E1178" s="25"/>
      <c r="F1178" s="26"/>
      <c r="G1178" s="27">
        <f>SUM(G1179:G1181)</f>
        <v>11061.896790750003</v>
      </c>
      <c r="H1178" s="44">
        <f>G1178*E1163</f>
        <v>0</v>
      </c>
    </row>
    <row r="1179" spans="1:11">
      <c r="A1179" s="28"/>
      <c r="B1179" s="29" t="s">
        <v>3713</v>
      </c>
      <c r="C1179" s="30" t="str">
        <f>IFERROR(_xlfn.XLOOKUP(B1179,MObra[DESCRIPCION],MObra[UN],,0),"")</f>
        <v>día</v>
      </c>
      <c r="D1179" s="31">
        <v>1</v>
      </c>
      <c r="E1179" s="32">
        <f>IFERROR(_xlfn.XLOOKUP($B1179,MObra[DESCRIPCION],MObra[VALOR UNIT],,0),"")</f>
        <v>663713.80744500016</v>
      </c>
      <c r="F1179" s="33">
        <v>-60</v>
      </c>
      <c r="G1179" s="34">
        <f>IFERROR(IF(F1179&gt;=0,D1179*E1179*(1+F1179/100),ABS(D1179*E1179/F1179)),"")</f>
        <v>11061.896790750003</v>
      </c>
      <c r="H1179" s="43">
        <f>IFERROR(G1179*E1163,"")</f>
        <v>0</v>
      </c>
    </row>
    <row r="1180" spans="1:11">
      <c r="A1180" s="28"/>
      <c r="B1180" s="29"/>
      <c r="C1180" s="30" t="str">
        <f>IFERROR(_xlfn.XLOOKUP(B1180,MObra[DESCRIPCION],MObra[UN],,0),"")</f>
        <v/>
      </c>
      <c r="D1180" s="31"/>
      <c r="E1180" s="32" t="str">
        <f>IFERROR(_xlfn.XLOOKUP($B1180,MObra[DESCRIPCION],MObra[VALOR UNIT],,0),"")</f>
        <v/>
      </c>
      <c r="F1180" s="33"/>
      <c r="G1180" s="34" t="str">
        <f>IFERROR(IF(F1180&gt;=0,D1180*E1180*(1+F1180/100),ABS(D1180*E1180/F1180)),"")</f>
        <v/>
      </c>
      <c r="H1180" s="43" t="str">
        <f>IFERROR(G1180*E1163,"")</f>
        <v/>
      </c>
    </row>
    <row r="1181" spans="1:11">
      <c r="A1181" s="35"/>
      <c r="B1181" s="36"/>
      <c r="C1181" s="37" t="str">
        <f>IFERROR(_xlfn.XLOOKUP(B1181,MObra[DESCRIPCION],MObra[UN],,0),"")</f>
        <v/>
      </c>
      <c r="D1181" s="38"/>
      <c r="E1181" s="39" t="str">
        <f>IFERROR(_xlfn.XLOOKUP($B1181,MObra[DESCRIPCION],MObra[VALOR UNIT],,0),"")</f>
        <v/>
      </c>
      <c r="F1181" s="40"/>
      <c r="G1181" s="41" t="str">
        <f>IFERROR(IF(F1181&gt;=0,D1181*E1181*(1+F1181/100),ABS(D1181*E1181/F1181)),"")</f>
        <v/>
      </c>
      <c r="H1181" s="42" t="str">
        <f>IFERROR(G1181*E1163,"")</f>
        <v/>
      </c>
    </row>
    <row r="1182" spans="1:11" ht="12.75" customHeight="1"/>
    <row r="1183" spans="1:11">
      <c r="A1183" s="6" t="s">
        <v>1842</v>
      </c>
      <c r="B1183" s="7" t="str">
        <f>VLOOKUP($A1183,Presupuesto!$A:$D,2,FALSE())</f>
        <v>Geotextil fortgird UX 165 o similar</v>
      </c>
      <c r="C1183" s="8" t="str">
        <f>VLOOKUP($A1183,Presupuesto!$A:$D,3,FALSE())</f>
        <v>M2</v>
      </c>
      <c r="D1183" s="9"/>
      <c r="E1183" s="10">
        <f>VLOOKUP($A1183,Presupuesto!$A:$D,4,FALSE())</f>
        <v>0</v>
      </c>
      <c r="F1183" s="11" t="s">
        <v>2589</v>
      </c>
      <c r="G1183" s="12">
        <f>SUM(G1185:G1200)/2</f>
        <v>29430.272144500716</v>
      </c>
      <c r="H1183" s="13">
        <f>ROUND(SUM(H1185:H1200),0)/2</f>
        <v>0</v>
      </c>
      <c r="I1183" s="10">
        <f>VLOOKUP(A1183,Presupuesto!$A:$F,6,0)</f>
        <v>0</v>
      </c>
      <c r="J1183" s="10">
        <f>+H1183-I1183</f>
        <v>0</v>
      </c>
      <c r="K1183" s="46">
        <f>+H1183-G1183*E1183</f>
        <v>0</v>
      </c>
    </row>
    <row r="1184" spans="1:11">
      <c r="A1184" s="14"/>
      <c r="B1184" s="15" t="s">
        <v>2586</v>
      </c>
      <c r="C1184" s="15" t="s">
        <v>5</v>
      </c>
      <c r="D1184" s="16" t="s">
        <v>6</v>
      </c>
      <c r="E1184" s="17" t="s">
        <v>7</v>
      </c>
      <c r="F1184" s="18" t="s">
        <v>3728</v>
      </c>
      <c r="G1184" s="19" t="s">
        <v>3729</v>
      </c>
      <c r="H1184" s="20" t="s">
        <v>3797</v>
      </c>
    </row>
    <row r="1185" spans="1:8">
      <c r="A1185" s="21"/>
      <c r="B1185" s="22" t="s">
        <v>3730</v>
      </c>
      <c r="C1185" s="23"/>
      <c r="D1185" s="24"/>
      <c r="E1185" s="25"/>
      <c r="F1185" s="26"/>
      <c r="G1185" s="27">
        <f>SUM(G1186:G1190)</f>
        <v>19095.3</v>
      </c>
      <c r="H1185" s="27">
        <f>IFERROR(G1185*E1183,"")</f>
        <v>0</v>
      </c>
    </row>
    <row r="1186" spans="1:8">
      <c r="A1186" s="28"/>
      <c r="B1186" s="29" t="s">
        <v>2973</v>
      </c>
      <c r="C1186" s="30" t="str">
        <f>IFERROR(_xlfn.XLOOKUP(B1186,Insumo[DESCRIPCION],Insumo[UND],,0),"")</f>
        <v>M2</v>
      </c>
      <c r="D1186" s="31">
        <v>1</v>
      </c>
      <c r="E1186" s="32">
        <f>IFERROR(_xlfn.XLOOKUP($B1186,Insumo[DESCRIPCION],Insumo[VALOR],,0),"")</f>
        <v>18186</v>
      </c>
      <c r="F1186" s="33">
        <v>5</v>
      </c>
      <c r="G1186" s="34">
        <f>IFERROR(IF(F1186&gt;=0,D1186*E1186*(1+F1186/100),ABS(D1186*E1186/F1186)),"")</f>
        <v>19095.3</v>
      </c>
      <c r="H1186" s="43">
        <f>IFERROR(G1186*E1183,"")</f>
        <v>0</v>
      </c>
    </row>
    <row r="1187" spans="1:8">
      <c r="A1187" s="28"/>
      <c r="B1187" s="29"/>
      <c r="C1187" s="30" t="str">
        <f>IFERROR(_xlfn.XLOOKUP(B1187,Insumo[DESCRIPCION],Insumo[UND],,0),"")</f>
        <v/>
      </c>
      <c r="D1187" s="31"/>
      <c r="E1187" s="32" t="str">
        <f>IFERROR(_xlfn.XLOOKUP($B1187,Insumo[DESCRIPCION],Insumo[VALOR],,0),"")</f>
        <v/>
      </c>
      <c r="F1187" s="33"/>
      <c r="G1187" s="34" t="str">
        <f>IFERROR(IF(F1187&gt;=0,D1187*E1187*(1+F1187/100),ABS(D1187*E1187/F1187)),"")</f>
        <v/>
      </c>
      <c r="H1187" s="43" t="str">
        <f>IFERROR(G1187*E1183,"")</f>
        <v/>
      </c>
    </row>
    <row r="1188" spans="1:8">
      <c r="A1188" s="28"/>
      <c r="B1188" s="29"/>
      <c r="C1188" s="30" t="str">
        <f>IFERROR(_xlfn.XLOOKUP(B1188,Insumo[DESCRIPCION],Insumo[UND],,0),"")</f>
        <v/>
      </c>
      <c r="D1188" s="31"/>
      <c r="E1188" s="32" t="str">
        <f>IFERROR(_xlfn.XLOOKUP($B1188,Insumo[DESCRIPCION],Insumo[VALOR],,0),"")</f>
        <v/>
      </c>
      <c r="F1188" s="33"/>
      <c r="G1188" s="34" t="str">
        <f>IFERROR(IF(F1188&gt;=0,D1188*E1188*(1+F1188/100),ABS(D1188*E1188/F1188)),"")</f>
        <v/>
      </c>
      <c r="H1188" s="43" t="str">
        <f>IFERROR(G1188*E1183,"")</f>
        <v/>
      </c>
    </row>
    <row r="1189" spans="1:8">
      <c r="A1189" s="28"/>
      <c r="B1189" s="29"/>
      <c r="C1189" s="30" t="str">
        <f>IFERROR(_xlfn.XLOOKUP(B1189,Insumo[DESCRIPCION],Insumo[UND],,0),"")</f>
        <v/>
      </c>
      <c r="D1189" s="31"/>
      <c r="E1189" s="32" t="str">
        <f>IFERROR(_xlfn.XLOOKUP($B1189,Insumo[DESCRIPCION],Insumo[VALOR],,0),"")</f>
        <v/>
      </c>
      <c r="F1189" s="33"/>
      <c r="G1189" s="34" t="str">
        <f>IFERROR(IF(F1189&gt;=0,D1189*E1189*(1+F1189/100),ABS(D1189*E1189/F1189)),"")</f>
        <v/>
      </c>
      <c r="H1189" s="43" t="str">
        <f>IFERROR(G1189*E1183,"")</f>
        <v/>
      </c>
    </row>
    <row r="1190" spans="1:8">
      <c r="A1190" s="28"/>
      <c r="B1190" s="29"/>
      <c r="C1190" s="30" t="str">
        <f>IFERROR(_xlfn.XLOOKUP(B1190,Insumo[DESCRIPCION],Insumo[UND],,0),"")</f>
        <v/>
      </c>
      <c r="D1190" s="31"/>
      <c r="E1190" s="32" t="str">
        <f>IFERROR(_xlfn.XLOOKUP($B1190,Insumo[DESCRIPCION],Insumo[VALOR],,0),"")</f>
        <v/>
      </c>
      <c r="F1190" s="33"/>
      <c r="G1190" s="34" t="str">
        <f>IFERROR(IF(F1190&gt;=0,D1190*E1190*(1+F1190/100),ABS(D1190*E1190/F1190)),"")</f>
        <v/>
      </c>
      <c r="H1190" s="43" t="str">
        <f>IFERROR(G1190*E1183,"")</f>
        <v/>
      </c>
    </row>
    <row r="1191" spans="1:8">
      <c r="A1191" s="21"/>
      <c r="B1191" s="22" t="s">
        <v>3731</v>
      </c>
      <c r="C1191" s="23"/>
      <c r="D1191" s="24"/>
      <c r="E1191" s="25"/>
      <c r="F1191" s="26"/>
      <c r="G1191" s="27">
        <f>SUM(G1192:G1194)</f>
        <v>853.34632385785744</v>
      </c>
      <c r="H1191" s="44">
        <f>G1191*E1183</f>
        <v>0</v>
      </c>
    </row>
    <row r="1192" spans="1:8">
      <c r="A1192" s="28"/>
      <c r="B1192" s="29" t="s">
        <v>3570</v>
      </c>
      <c r="C1192" s="30" t="str">
        <f>IFERROR(_xlfn.XLOOKUP(B1192,Equipo[DESCRIPCION],Equipo[UND],,0),"")</f>
        <v>%MO</v>
      </c>
      <c r="D1192" s="31">
        <v>0.04</v>
      </c>
      <c r="E1192" s="32">
        <f>IF(C1192="%MO",G1198,IFERROR(_xlfn.XLOOKUP($B1192,Equipo[DESCRIPCION],Equipo[VALOR],,0),""))</f>
        <v>9481.6258206428593</v>
      </c>
      <c r="F1192" s="33"/>
      <c r="G1192" s="34">
        <f>IFERROR(IF(F1192&gt;=0,D1192*E1192*(1+F1192/100),ABS(D1192*E1192/F1192)),"")</f>
        <v>379.2650328257144</v>
      </c>
      <c r="H1192" s="43">
        <f>IFERROR(G1192*E1183,"")</f>
        <v>0</v>
      </c>
    </row>
    <row r="1193" spans="1:8">
      <c r="A1193" s="28"/>
      <c r="B1193" s="29" t="s">
        <v>3626</v>
      </c>
      <c r="C1193" s="30" t="str">
        <f>IFERROR(_xlfn.XLOOKUP(B1193,Equipo[DESCRIPCION],Equipo[UND],,0),"")</f>
        <v>%MO</v>
      </c>
      <c r="D1193" s="31">
        <v>0.05</v>
      </c>
      <c r="E1193" s="32">
        <f>IF(C1193="%MO",G1198,IFERROR(_xlfn.XLOOKUP($B1193,Equipo[DESCRIPCION],Equipo[VALOR],,0),""))</f>
        <v>9481.6258206428593</v>
      </c>
      <c r="F1193" s="33"/>
      <c r="G1193" s="34">
        <f>IFERROR(IF(F1193&gt;=0,D1193*E1193*(1+F1193/100),ABS(D1193*E1193/F1193)),"")</f>
        <v>474.08129103214299</v>
      </c>
      <c r="H1193" s="43">
        <f>IFERROR(G1193*E1183,"")</f>
        <v>0</v>
      </c>
    </row>
    <row r="1194" spans="1:8">
      <c r="A1194" s="28"/>
      <c r="B1194" s="29"/>
      <c r="C1194" s="30" t="str">
        <f>IFERROR(_xlfn.XLOOKUP(B1194,Equipo[DESCRIPCION],Equipo[UND],,0),"")</f>
        <v/>
      </c>
      <c r="D1194" s="31"/>
      <c r="E1194" s="32" t="str">
        <f>IF(C1194="%MO",G1198,IFERROR(_xlfn.XLOOKUP($B1194,Equipo[DESCRIPCION],Equipo[VALOR],,0),""))</f>
        <v/>
      </c>
      <c r="F1194" s="33"/>
      <c r="G1194" s="34" t="str">
        <f>IFERROR(IF(F1194&gt;=0,D1194*E1194*(1+F1194/100),ABS(D1194*E1194/F1194)),"")</f>
        <v/>
      </c>
      <c r="H1194" s="43" t="str">
        <f>IFERROR(G1194*E1183,"")</f>
        <v/>
      </c>
    </row>
    <row r="1195" spans="1:8">
      <c r="A1195" s="21"/>
      <c r="B1195" s="22" t="s">
        <v>2533</v>
      </c>
      <c r="C1195" s="23"/>
      <c r="D1195" s="24"/>
      <c r="E1195" s="25"/>
      <c r="F1195" s="26"/>
      <c r="G1195" s="27">
        <f>SUM(G1196:G1197)</f>
        <v>0</v>
      </c>
      <c r="H1195" s="44">
        <f>G1195*E1183</f>
        <v>0</v>
      </c>
    </row>
    <row r="1196" spans="1:8">
      <c r="A1196" s="28"/>
      <c r="B1196" s="29"/>
      <c r="C1196" s="30" t="str">
        <f>IFERROR(_xlfn.XLOOKUP(B1196,Transporte[DESCRIPCION],Transporte[UND],,0),"")</f>
        <v/>
      </c>
      <c r="D1196" s="31"/>
      <c r="E1196" s="32" t="str">
        <f>IFERROR(_xlfn.XLOOKUP($B1196,Transporte[DESCRIPCION],Transporte[VALOR],,0),"")</f>
        <v/>
      </c>
      <c r="F1196" s="33"/>
      <c r="G1196" s="34" t="str">
        <f>IFERROR(IF(F1196&gt;=0,D1196*E1196*(1+F1196/100),ABS(D1196*E1196/F1196)),"")</f>
        <v/>
      </c>
      <c r="H1196" s="43" t="str">
        <f>IFERROR(G1196*E1183,"")</f>
        <v/>
      </c>
    </row>
    <row r="1197" spans="1:8">
      <c r="A1197" s="28"/>
      <c r="B1197" s="29"/>
      <c r="C1197" s="30" t="str">
        <f>IFERROR(_xlfn.XLOOKUP(B1197,Transporte[DESCRIPCION],Transporte[UND],,0),"")</f>
        <v/>
      </c>
      <c r="D1197" s="31"/>
      <c r="E1197" s="32" t="str">
        <f>IFERROR(_xlfn.XLOOKUP($B1197,Transporte[DESCRIPCION],Transporte[VALOR],,0),"")</f>
        <v/>
      </c>
      <c r="F1197" s="33"/>
      <c r="G1197" s="34" t="str">
        <f>IFERROR(IF(F1197&gt;=0,D1197*E1197*(1+F1197/100),ABS(D1197*E1197/F1197)),"")</f>
        <v/>
      </c>
      <c r="H1197" s="43" t="str">
        <f>IFERROR(G1197*E1183,"")</f>
        <v/>
      </c>
    </row>
    <row r="1198" spans="1:8">
      <c r="A1198" s="21"/>
      <c r="B1198" s="22" t="s">
        <v>3732</v>
      </c>
      <c r="C1198" s="23"/>
      <c r="D1198" s="24"/>
      <c r="E1198" s="25"/>
      <c r="F1198" s="26"/>
      <c r="G1198" s="27">
        <f>SUM(G1199:G1201)</f>
        <v>9481.6258206428593</v>
      </c>
      <c r="H1198" s="44">
        <f>G1198*E1183</f>
        <v>0</v>
      </c>
    </row>
    <row r="1199" spans="1:8">
      <c r="A1199" s="28"/>
      <c r="B1199" s="29" t="s">
        <v>3713</v>
      </c>
      <c r="C1199" s="30" t="str">
        <f>IFERROR(_xlfn.XLOOKUP(B1199,MObra[DESCRIPCION],MObra[UN],,0),"")</f>
        <v>día</v>
      </c>
      <c r="D1199" s="31">
        <v>1</v>
      </c>
      <c r="E1199" s="32">
        <f>IFERROR(_xlfn.XLOOKUP($B1199,MObra[DESCRIPCION],MObra[VALOR UNIT],,0),"")</f>
        <v>663713.80744500016</v>
      </c>
      <c r="F1199" s="33">
        <v>-70</v>
      </c>
      <c r="G1199" s="34">
        <f>IFERROR(IF(F1199&gt;=0,D1199*E1199*(1+F1199/100),ABS(D1199*E1199/F1199)),"")</f>
        <v>9481.6258206428593</v>
      </c>
      <c r="H1199" s="43">
        <f>IFERROR(G1199*E1183,"")</f>
        <v>0</v>
      </c>
    </row>
    <row r="1200" spans="1:8">
      <c r="A1200" s="28"/>
      <c r="B1200" s="29"/>
      <c r="C1200" s="30" t="str">
        <f>IFERROR(_xlfn.XLOOKUP(B1200,MObra[DESCRIPCION],MObra[UN],,0),"")</f>
        <v/>
      </c>
      <c r="D1200" s="31"/>
      <c r="E1200" s="32" t="str">
        <f>IFERROR(_xlfn.XLOOKUP($B1200,MObra[DESCRIPCION],MObra[VALOR UNIT],,0),"")</f>
        <v/>
      </c>
      <c r="F1200" s="33"/>
      <c r="G1200" s="34" t="str">
        <f>IFERROR(IF(F1200&gt;=0,D1200*E1200*(1+F1200/100),ABS(D1200*E1200/F1200)),"")</f>
        <v/>
      </c>
      <c r="H1200" s="43" t="str">
        <f>IFERROR(G1200*E1183,"")</f>
        <v/>
      </c>
    </row>
    <row r="1201" spans="1:11">
      <c r="A1201" s="35"/>
      <c r="B1201" s="36"/>
      <c r="C1201" s="37" t="str">
        <f>IFERROR(_xlfn.XLOOKUP(B1201,MObra[DESCRIPCION],MObra[UN],,0),"")</f>
        <v/>
      </c>
      <c r="D1201" s="38"/>
      <c r="E1201" s="39" t="str">
        <f>IFERROR(_xlfn.XLOOKUP($B1201,MObra[DESCRIPCION],MObra[VALOR UNIT],,0),"")</f>
        <v/>
      </c>
      <c r="F1201" s="40"/>
      <c r="G1201" s="41" t="str">
        <f>IFERROR(IF(F1201&gt;=0,D1201*E1201*(1+F1201/100),ABS(D1201*E1201/F1201)),"")</f>
        <v/>
      </c>
      <c r="H1201" s="42" t="str">
        <f>IFERROR(G1201*E1183,"")</f>
        <v/>
      </c>
    </row>
    <row r="1202" spans="1:11" ht="12.75" customHeight="1"/>
    <row r="1203" spans="1:11">
      <c r="A1203" s="6" t="s">
        <v>1844</v>
      </c>
      <c r="B1203" s="7" t="str">
        <f>VLOOKUP($A1203,Presupuesto!$A:$D,2,FALSE())</f>
        <v>Geotextil fortgird UX 200 o similar</v>
      </c>
      <c r="C1203" s="8" t="str">
        <f>VLOOKUP($A1203,Presupuesto!$A:$D,3,FALSE())</f>
        <v>M2</v>
      </c>
      <c r="D1203" s="9"/>
      <c r="E1203" s="10">
        <f>VLOOKUP($A1203,Presupuesto!$A:$D,4,FALSE())</f>
        <v>0</v>
      </c>
      <c r="F1203" s="11" t="s">
        <v>2589</v>
      </c>
      <c r="G1203" s="12">
        <f>SUM(G1205:G1221)/2</f>
        <v>25751.488126438129</v>
      </c>
      <c r="H1203" s="13">
        <f>ROUND(SUM(H1205:H1221),0)/2</f>
        <v>0</v>
      </c>
      <c r="I1203" s="10">
        <f>VLOOKUP(A1203,Presupuesto!$A:$F,6,0)</f>
        <v>0</v>
      </c>
      <c r="J1203" s="10">
        <f>+H1203-I1203</f>
        <v>0</v>
      </c>
      <c r="K1203" s="46">
        <f>+H1203-G1203*E1203</f>
        <v>0</v>
      </c>
    </row>
    <row r="1204" spans="1:11">
      <c r="A1204" s="14"/>
      <c r="B1204" s="15" t="s">
        <v>2586</v>
      </c>
      <c r="C1204" s="15" t="s">
        <v>5</v>
      </c>
      <c r="D1204" s="16" t="s">
        <v>6</v>
      </c>
      <c r="E1204" s="17" t="s">
        <v>7</v>
      </c>
      <c r="F1204" s="18" t="s">
        <v>3728</v>
      </c>
      <c r="G1204" s="19" t="s">
        <v>3729</v>
      </c>
      <c r="H1204" s="20" t="s">
        <v>3797</v>
      </c>
    </row>
    <row r="1205" spans="1:11">
      <c r="A1205" s="21"/>
      <c r="B1205" s="22" t="s">
        <v>3730</v>
      </c>
      <c r="C1205" s="23"/>
      <c r="D1205" s="24"/>
      <c r="E1205" s="25"/>
      <c r="F1205" s="26"/>
      <c r="G1205" s="27">
        <f>SUM(G1206:G1210)</f>
        <v>16708.387500000001</v>
      </c>
      <c r="H1205" s="27">
        <f>IFERROR(G1205*E1203,"")</f>
        <v>0</v>
      </c>
    </row>
    <row r="1206" spans="1:11">
      <c r="A1206" s="28"/>
      <c r="B1206" s="29" t="s">
        <v>2974</v>
      </c>
      <c r="C1206" s="30" t="str">
        <f>IFERROR(_xlfn.XLOOKUP(B1206,Insumo[DESCRIPCION],Insumo[UND],,0),"")</f>
        <v>M2</v>
      </c>
      <c r="D1206" s="31">
        <v>1</v>
      </c>
      <c r="E1206" s="32">
        <f>IFERROR(_xlfn.XLOOKUP($B1206,Insumo[DESCRIPCION],Insumo[VALOR],,0),"")</f>
        <v>15912.75</v>
      </c>
      <c r="F1206" s="33">
        <v>5</v>
      </c>
      <c r="G1206" s="34">
        <f>IFERROR(IF(F1206&gt;=0,D1206*E1206*(1+F1206/100),ABS(D1206*E1206/F1206)),"")</f>
        <v>16708.387500000001</v>
      </c>
      <c r="H1206" s="43">
        <f>IFERROR(G1206*E1203,"")</f>
        <v>0</v>
      </c>
    </row>
    <row r="1207" spans="1:11">
      <c r="A1207" s="28"/>
      <c r="B1207" s="29"/>
      <c r="C1207" s="30" t="str">
        <f>IFERROR(_xlfn.XLOOKUP(B1207,Insumo[DESCRIPCION],Insumo[UND],,0),"")</f>
        <v/>
      </c>
      <c r="D1207" s="31"/>
      <c r="E1207" s="32" t="str">
        <f>IFERROR(_xlfn.XLOOKUP($B1207,Insumo[DESCRIPCION],Insumo[VALOR],,0),"")</f>
        <v/>
      </c>
      <c r="F1207" s="33"/>
      <c r="G1207" s="34" t="str">
        <f>IFERROR(IF(F1207&gt;=0,D1207*E1207*(1+F1207/100),ABS(D1207*E1207/F1207)),"")</f>
        <v/>
      </c>
      <c r="H1207" s="43" t="str">
        <f>IFERROR(G1207*E1203,"")</f>
        <v/>
      </c>
    </row>
    <row r="1208" spans="1:11">
      <c r="A1208" s="28"/>
      <c r="B1208" s="29"/>
      <c r="C1208" s="30" t="str">
        <f>IFERROR(_xlfn.XLOOKUP(B1208,Insumo[DESCRIPCION],Insumo[UND],,0),"")</f>
        <v/>
      </c>
      <c r="D1208" s="31"/>
      <c r="E1208" s="32" t="str">
        <f>IFERROR(_xlfn.XLOOKUP($B1208,Insumo[DESCRIPCION],Insumo[VALOR],,0),"")</f>
        <v/>
      </c>
      <c r="F1208" s="33"/>
      <c r="G1208" s="34" t="str">
        <f>IFERROR(IF(F1208&gt;=0,D1208*E1208*(1+F1208/100),ABS(D1208*E1208/F1208)),"")</f>
        <v/>
      </c>
      <c r="H1208" s="43" t="str">
        <f>IFERROR(G1208*E1203,"")</f>
        <v/>
      </c>
    </row>
    <row r="1209" spans="1:11">
      <c r="A1209" s="28"/>
      <c r="B1209" s="29"/>
      <c r="C1209" s="30" t="str">
        <f>IFERROR(_xlfn.XLOOKUP(B1209,Insumo[DESCRIPCION],Insumo[UND],,0),"")</f>
        <v/>
      </c>
      <c r="D1209" s="31"/>
      <c r="E1209" s="32" t="str">
        <f>IFERROR(_xlfn.XLOOKUP($B1209,Insumo[DESCRIPCION],Insumo[VALOR],,0),"")</f>
        <v/>
      </c>
      <c r="F1209" s="33"/>
      <c r="G1209" s="34" t="str">
        <f>IFERROR(IF(F1209&gt;=0,D1209*E1209*(1+F1209/100),ABS(D1209*E1209/F1209)),"")</f>
        <v/>
      </c>
      <c r="H1209" s="43" t="str">
        <f>IFERROR(G1209*E1203,"")</f>
        <v/>
      </c>
    </row>
    <row r="1210" spans="1:11">
      <c r="A1210" s="28"/>
      <c r="B1210" s="29"/>
      <c r="C1210" s="30" t="str">
        <f>IFERROR(_xlfn.XLOOKUP(B1210,Insumo[DESCRIPCION],Insumo[UND],,0),"")</f>
        <v/>
      </c>
      <c r="D1210" s="31"/>
      <c r="E1210" s="32" t="str">
        <f>IFERROR(_xlfn.XLOOKUP($B1210,Insumo[DESCRIPCION],Insumo[VALOR],,0),"")</f>
        <v/>
      </c>
      <c r="F1210" s="33"/>
      <c r="G1210" s="34" t="str">
        <f>IFERROR(IF(F1210&gt;=0,D1210*E1210*(1+F1210/100),ABS(D1210*E1210/F1210)),"")</f>
        <v/>
      </c>
      <c r="H1210" s="43" t="str">
        <f>IFERROR(G1210*E1203,"")</f>
        <v/>
      </c>
    </row>
    <row r="1211" spans="1:11">
      <c r="A1211" s="21"/>
      <c r="B1211" s="22" t="s">
        <v>3731</v>
      </c>
      <c r="C1211" s="23"/>
      <c r="D1211" s="24"/>
      <c r="E1211" s="25"/>
      <c r="F1211" s="26"/>
      <c r="G1211" s="27">
        <f>SUM(G1212:G1214)</f>
        <v>746.6780333756252</v>
      </c>
      <c r="H1211" s="44">
        <f>G1211*E1203</f>
        <v>0</v>
      </c>
    </row>
    <row r="1212" spans="1:11">
      <c r="A1212" s="28"/>
      <c r="B1212" s="29" t="s">
        <v>3570</v>
      </c>
      <c r="C1212" s="30" t="str">
        <f>IFERROR(_xlfn.XLOOKUP(B1212,Equipo[DESCRIPCION],Equipo[UND],,0),"")</f>
        <v>%MO</v>
      </c>
      <c r="D1212" s="31">
        <v>0.04</v>
      </c>
      <c r="E1212" s="32">
        <f>IF(C1212="%MO",G1218,IFERROR(_xlfn.XLOOKUP($B1212,Equipo[DESCRIPCION],Equipo[VALOR],,0),""))</f>
        <v>8296.4225930625016</v>
      </c>
      <c r="F1212" s="33"/>
      <c r="G1212" s="34">
        <f>IFERROR(IF(F1212&gt;=0,D1212*E1212*(1+F1212/100),ABS(D1212*E1212/F1212)),"")</f>
        <v>331.85690372250008</v>
      </c>
      <c r="H1212" s="43">
        <f>IFERROR(G1212*E1203,"")</f>
        <v>0</v>
      </c>
    </row>
    <row r="1213" spans="1:11">
      <c r="A1213" s="28"/>
      <c r="B1213" s="29" t="s">
        <v>3626</v>
      </c>
      <c r="C1213" s="30" t="str">
        <f>IFERROR(_xlfn.XLOOKUP(B1213,Equipo[DESCRIPCION],Equipo[UND],,0),"")</f>
        <v>%MO</v>
      </c>
      <c r="D1213" s="31">
        <v>0.05</v>
      </c>
      <c r="E1213" s="32">
        <f>IF(C1213="%MO",G1218,IFERROR(_xlfn.XLOOKUP($B1213,Equipo[DESCRIPCION],Equipo[VALOR],,0),""))</f>
        <v>8296.4225930625016</v>
      </c>
      <c r="F1213" s="33"/>
      <c r="G1213" s="34">
        <f>IFERROR(IF(F1213&gt;=0,D1213*E1213*(1+F1213/100),ABS(D1213*E1213/F1213)),"")</f>
        <v>414.82112965312513</v>
      </c>
      <c r="H1213" s="43">
        <f>IFERROR(G1213*E1203,"")</f>
        <v>0</v>
      </c>
    </row>
    <row r="1214" spans="1:11">
      <c r="A1214" s="28"/>
      <c r="B1214" s="29"/>
      <c r="C1214" s="30" t="str">
        <f>IFERROR(_xlfn.XLOOKUP(B1214,Equipo[DESCRIPCION],Equipo[UND],,0),"")</f>
        <v/>
      </c>
      <c r="D1214" s="31"/>
      <c r="E1214" s="32" t="str">
        <f>IF(C1214="%MO",G1218,IFERROR(_xlfn.XLOOKUP($B1214,Equipo[DESCRIPCION],Equipo[VALOR],,0),""))</f>
        <v/>
      </c>
      <c r="F1214" s="33"/>
      <c r="G1214" s="34" t="str">
        <f>IFERROR(IF(F1214&gt;=0,D1214*E1214*(1+F1214/100),ABS(D1214*E1214/F1214)),"")</f>
        <v/>
      </c>
      <c r="H1214" s="43" t="str">
        <f>IFERROR(G1214*E1203,"")</f>
        <v/>
      </c>
    </row>
    <row r="1215" spans="1:11">
      <c r="A1215" s="21"/>
      <c r="B1215" s="22" t="s">
        <v>2533</v>
      </c>
      <c r="C1215" s="23"/>
      <c r="D1215" s="24"/>
      <c r="E1215" s="25"/>
      <c r="F1215" s="26"/>
      <c r="G1215" s="27">
        <f>SUM(G1216:G1217)</f>
        <v>0</v>
      </c>
      <c r="H1215" s="44">
        <f>G1215*E1203</f>
        <v>0</v>
      </c>
    </row>
    <row r="1216" spans="1:11">
      <c r="A1216" s="28"/>
      <c r="B1216" s="29"/>
      <c r="C1216" s="30" t="str">
        <f>IFERROR(_xlfn.XLOOKUP(B1216,Transporte[DESCRIPCION],Transporte[UND],,0),"")</f>
        <v/>
      </c>
      <c r="D1216" s="31"/>
      <c r="E1216" s="32" t="str">
        <f>IFERROR(_xlfn.XLOOKUP($B1216,Transporte[DESCRIPCION],Transporte[VALOR],,0),"")</f>
        <v/>
      </c>
      <c r="F1216" s="33"/>
      <c r="G1216" s="34" t="str">
        <f>IFERROR(IF(F1216&gt;=0,D1216*E1216*(1+F1216/100),ABS(D1216*E1216/F1216)),"")</f>
        <v/>
      </c>
      <c r="H1216" s="43" t="str">
        <f>IFERROR(G1216*E1203,"")</f>
        <v/>
      </c>
    </row>
    <row r="1217" spans="1:11">
      <c r="A1217" s="28"/>
      <c r="B1217" s="29"/>
      <c r="C1217" s="30" t="str">
        <f>IFERROR(_xlfn.XLOOKUP(B1217,Transporte[DESCRIPCION],Transporte[UND],,0),"")</f>
        <v/>
      </c>
      <c r="D1217" s="31"/>
      <c r="E1217" s="32" t="str">
        <f>IFERROR(_xlfn.XLOOKUP($B1217,Transporte[DESCRIPCION],Transporte[VALOR],,0),"")</f>
        <v/>
      </c>
      <c r="F1217" s="33"/>
      <c r="G1217" s="34" t="str">
        <f>IFERROR(IF(F1217&gt;=0,D1217*E1217*(1+F1217/100),ABS(D1217*E1217/F1217)),"")</f>
        <v/>
      </c>
      <c r="H1217" s="43" t="str">
        <f>IFERROR(G1217*E1203,"")</f>
        <v/>
      </c>
    </row>
    <row r="1218" spans="1:11">
      <c r="A1218" s="21"/>
      <c r="B1218" s="22" t="s">
        <v>3732</v>
      </c>
      <c r="C1218" s="23"/>
      <c r="D1218" s="24"/>
      <c r="E1218" s="25"/>
      <c r="F1218" s="26"/>
      <c r="G1218" s="27">
        <f>SUM(G1219:G1221)</f>
        <v>8296.4225930625016</v>
      </c>
      <c r="H1218" s="44">
        <f>G1218*E1203</f>
        <v>0</v>
      </c>
    </row>
    <row r="1219" spans="1:11">
      <c r="A1219" s="28"/>
      <c r="B1219" s="29" t="s">
        <v>3713</v>
      </c>
      <c r="C1219" s="30" t="str">
        <f>IFERROR(_xlfn.XLOOKUP(B1219,MObra[DESCRIPCION],MObra[UN],,0),"")</f>
        <v>día</v>
      </c>
      <c r="D1219" s="31">
        <v>1</v>
      </c>
      <c r="E1219" s="32">
        <f>IFERROR(_xlfn.XLOOKUP($B1219,MObra[DESCRIPCION],MObra[VALOR UNIT],,0),"")</f>
        <v>663713.80744500016</v>
      </c>
      <c r="F1219" s="33">
        <v>-80</v>
      </c>
      <c r="G1219" s="34">
        <f>IFERROR(IF(F1219&gt;=0,D1219*E1219*(1+F1219/100),ABS(D1219*E1219/F1219)),"")</f>
        <v>8296.4225930625016</v>
      </c>
      <c r="H1219" s="43">
        <f>IFERROR(G1219*E1203,"")</f>
        <v>0</v>
      </c>
    </row>
    <row r="1220" spans="1:11">
      <c r="A1220" s="28"/>
      <c r="B1220" s="29"/>
      <c r="C1220" s="30" t="str">
        <f>IFERROR(_xlfn.XLOOKUP(B1220,MObra[DESCRIPCION],MObra[UN],,0),"")</f>
        <v/>
      </c>
      <c r="D1220" s="31"/>
      <c r="E1220" s="32" t="str">
        <f>IFERROR(_xlfn.XLOOKUP($B1220,MObra[DESCRIPCION],MObra[VALOR UNIT],,0),"")</f>
        <v/>
      </c>
      <c r="F1220" s="33"/>
      <c r="G1220" s="34" t="str">
        <f>IFERROR(IF(F1220&gt;=0,D1220*E1220*(1+F1220/100),ABS(D1220*E1220/F1220)),"")</f>
        <v/>
      </c>
      <c r="H1220" s="43" t="str">
        <f>IFERROR(G1220*E1203,"")</f>
        <v/>
      </c>
    </row>
    <row r="1221" spans="1:11">
      <c r="A1221" s="35"/>
      <c r="B1221" s="36"/>
      <c r="C1221" s="37" t="str">
        <f>IFERROR(_xlfn.XLOOKUP(B1221,MObra[DESCRIPCION],MObra[UN],,0),"")</f>
        <v/>
      </c>
      <c r="D1221" s="38"/>
      <c r="E1221" s="39" t="str">
        <f>IFERROR(_xlfn.XLOOKUP($B1221,MObra[DESCRIPCION],MObra[VALOR UNIT],,0),"")</f>
        <v/>
      </c>
      <c r="F1221" s="40"/>
      <c r="G1221" s="41" t="str">
        <f>IFERROR(IF(F1221&gt;=0,D1221*E1221*(1+F1221/100),ABS(D1221*E1221/F1221)),"")</f>
        <v/>
      </c>
      <c r="H1221" s="42" t="str">
        <f>IFERROR(G1221*E1203,"")</f>
        <v/>
      </c>
    </row>
    <row r="1222" spans="1:11" ht="12.75" customHeight="1"/>
    <row r="1223" spans="1:11">
      <c r="A1223" s="6" t="s">
        <v>1846</v>
      </c>
      <c r="B1223" s="7" t="str">
        <f>VLOOKUP($A1223,Presupuesto!$A:$D,2,FALSE())</f>
        <v>Geotextil fortgird UX 300 o similar</v>
      </c>
      <c r="C1223" s="8" t="str">
        <f>VLOOKUP($A1223,Presupuesto!$A:$D,3,FALSE())</f>
        <v>M2</v>
      </c>
      <c r="D1223" s="9"/>
      <c r="E1223" s="10">
        <f>VLOOKUP($A1223,Presupuesto!$A:$D,4,FALSE())</f>
        <v>0</v>
      </c>
      <c r="F1223" s="11" t="s">
        <v>2589</v>
      </c>
      <c r="G1223" s="12">
        <f>SUM(G1225:G1241)/2</f>
        <v>27332.061667945003</v>
      </c>
      <c r="H1223" s="13">
        <f>ROUND(SUM(H1225:H1241),0)/2</f>
        <v>0</v>
      </c>
      <c r="I1223" s="10">
        <f>VLOOKUP(A1223,Presupuesto!$A:$F,6,0)</f>
        <v>0</v>
      </c>
      <c r="J1223" s="10">
        <f>+H1223-I1223</f>
        <v>0</v>
      </c>
      <c r="K1223" s="46">
        <f>+H1223-G1223*E1223</f>
        <v>0</v>
      </c>
    </row>
    <row r="1224" spans="1:11">
      <c r="A1224" s="14"/>
      <c r="B1224" s="15" t="s">
        <v>2586</v>
      </c>
      <c r="C1224" s="15" t="s">
        <v>5</v>
      </c>
      <c r="D1224" s="16" t="s">
        <v>6</v>
      </c>
      <c r="E1224" s="17" t="s">
        <v>7</v>
      </c>
      <c r="F1224" s="18" t="s">
        <v>3728</v>
      </c>
      <c r="G1224" s="19" t="s">
        <v>3729</v>
      </c>
      <c r="H1224" s="20" t="s">
        <v>3797</v>
      </c>
    </row>
    <row r="1225" spans="1:11">
      <c r="A1225" s="21"/>
      <c r="B1225" s="22" t="s">
        <v>3730</v>
      </c>
      <c r="C1225" s="23"/>
      <c r="D1225" s="24"/>
      <c r="E1225" s="25"/>
      <c r="F1225" s="26"/>
      <c r="G1225" s="27">
        <f>SUM(G1226:G1230)</f>
        <v>19293.75</v>
      </c>
      <c r="H1225" s="27">
        <f>IFERROR(G1225*E1223,"")</f>
        <v>0</v>
      </c>
    </row>
    <row r="1226" spans="1:11">
      <c r="A1226" s="28"/>
      <c r="B1226" s="29" t="s">
        <v>3814</v>
      </c>
      <c r="C1226" s="30" t="str">
        <f>IFERROR(_xlfn.XLOOKUP(B1226,Insumo[DESCRIPCION],Insumo[UND],,0),"")</f>
        <v>M2</v>
      </c>
      <c r="D1226" s="31">
        <v>1</v>
      </c>
      <c r="E1226" s="32">
        <f>IFERROR(_xlfn.XLOOKUP($B1226,Insumo[DESCRIPCION],Insumo[VALOR],,0),"")</f>
        <v>18375</v>
      </c>
      <c r="F1226" s="33">
        <v>5</v>
      </c>
      <c r="G1226" s="34">
        <f>IFERROR(IF(F1226&gt;=0,D1226*E1226*(1+F1226/100),ABS(D1226*E1226/F1226)),"")</f>
        <v>19293.75</v>
      </c>
      <c r="H1226" s="43">
        <f>IFERROR(G1226*E1223,"")</f>
        <v>0</v>
      </c>
    </row>
    <row r="1227" spans="1:11">
      <c r="A1227" s="28"/>
      <c r="B1227" s="29"/>
      <c r="C1227" s="30" t="str">
        <f>IFERROR(_xlfn.XLOOKUP(B1227,Insumo[DESCRIPCION],Insumo[UND],,0),"")</f>
        <v/>
      </c>
      <c r="D1227" s="31"/>
      <c r="E1227" s="32" t="str">
        <f>IFERROR(_xlfn.XLOOKUP($B1227,Insumo[DESCRIPCION],Insumo[VALOR],,0),"")</f>
        <v/>
      </c>
      <c r="F1227" s="33"/>
      <c r="G1227" s="34" t="str">
        <f>IFERROR(IF(F1227&gt;=0,D1227*E1227*(1+F1227/100),ABS(D1227*E1227/F1227)),"")</f>
        <v/>
      </c>
      <c r="H1227" s="43" t="str">
        <f>IFERROR(G1227*E1223,"")</f>
        <v/>
      </c>
    </row>
    <row r="1228" spans="1:11">
      <c r="A1228" s="28"/>
      <c r="B1228" s="29"/>
      <c r="C1228" s="30" t="str">
        <f>IFERROR(_xlfn.XLOOKUP(B1228,Insumo[DESCRIPCION],Insumo[UND],,0),"")</f>
        <v/>
      </c>
      <c r="D1228" s="31"/>
      <c r="E1228" s="32" t="str">
        <f>IFERROR(_xlfn.XLOOKUP($B1228,Insumo[DESCRIPCION],Insumo[VALOR],,0),"")</f>
        <v/>
      </c>
      <c r="F1228" s="33"/>
      <c r="G1228" s="34" t="str">
        <f>IFERROR(IF(F1228&gt;=0,D1228*E1228*(1+F1228/100),ABS(D1228*E1228/F1228)),"")</f>
        <v/>
      </c>
      <c r="H1228" s="43" t="str">
        <f>IFERROR(G1228*E1223,"")</f>
        <v/>
      </c>
    </row>
    <row r="1229" spans="1:11">
      <c r="A1229" s="28"/>
      <c r="B1229" s="29"/>
      <c r="C1229" s="30" t="str">
        <f>IFERROR(_xlfn.XLOOKUP(B1229,Insumo[DESCRIPCION],Insumo[UND],,0),"")</f>
        <v/>
      </c>
      <c r="D1229" s="31"/>
      <c r="E1229" s="32" t="str">
        <f>IFERROR(_xlfn.XLOOKUP($B1229,Insumo[DESCRIPCION],Insumo[VALOR],,0),"")</f>
        <v/>
      </c>
      <c r="F1229" s="33"/>
      <c r="G1229" s="34" t="str">
        <f>IFERROR(IF(F1229&gt;=0,D1229*E1229*(1+F1229/100),ABS(D1229*E1229/F1229)),"")</f>
        <v/>
      </c>
      <c r="H1229" s="43" t="str">
        <f>IFERROR(G1229*E1223,"")</f>
        <v/>
      </c>
    </row>
    <row r="1230" spans="1:11">
      <c r="A1230" s="28"/>
      <c r="B1230" s="29"/>
      <c r="C1230" s="30" t="str">
        <f>IFERROR(_xlfn.XLOOKUP(B1230,Insumo[DESCRIPCION],Insumo[UND],,0),"")</f>
        <v/>
      </c>
      <c r="D1230" s="31"/>
      <c r="E1230" s="32" t="str">
        <f>IFERROR(_xlfn.XLOOKUP($B1230,Insumo[DESCRIPCION],Insumo[VALOR],,0),"")</f>
        <v/>
      </c>
      <c r="F1230" s="33"/>
      <c r="G1230" s="34" t="str">
        <f>IFERROR(IF(F1230&gt;=0,D1230*E1230*(1+F1230/100),ABS(D1230*E1230/F1230)),"")</f>
        <v/>
      </c>
      <c r="H1230" s="43" t="str">
        <f>IFERROR(G1230*E1223,"")</f>
        <v/>
      </c>
    </row>
    <row r="1231" spans="1:11">
      <c r="A1231" s="21"/>
      <c r="B1231" s="22" t="s">
        <v>3731</v>
      </c>
      <c r="C1231" s="23"/>
      <c r="D1231" s="24"/>
      <c r="E1231" s="25"/>
      <c r="F1231" s="26"/>
      <c r="G1231" s="27">
        <f>SUM(G1232:G1234)</f>
        <v>663.71380744500016</v>
      </c>
      <c r="H1231" s="44">
        <f>G1231*E1223</f>
        <v>0</v>
      </c>
    </row>
    <row r="1232" spans="1:11">
      <c r="A1232" s="28"/>
      <c r="B1232" s="29" t="s">
        <v>3570</v>
      </c>
      <c r="C1232" s="30" t="str">
        <f>IFERROR(_xlfn.XLOOKUP(B1232,Equipo[DESCRIPCION],Equipo[UND],,0),"")</f>
        <v>%MO</v>
      </c>
      <c r="D1232" s="31">
        <v>0.04</v>
      </c>
      <c r="E1232" s="32">
        <f>IF(C1232="%MO",G1238,IFERROR(_xlfn.XLOOKUP($B1232,Equipo[DESCRIPCION],Equipo[VALOR],,0),""))</f>
        <v>7374.5978605000018</v>
      </c>
      <c r="F1232" s="33"/>
      <c r="G1232" s="34">
        <f>IFERROR(IF(F1232&gt;=0,D1232*E1232*(1+F1232/100),ABS(D1232*E1232/F1232)),"")</f>
        <v>294.98391442000008</v>
      </c>
      <c r="H1232" s="43">
        <f>IFERROR(G1232*E1223,"")</f>
        <v>0</v>
      </c>
    </row>
    <row r="1233" spans="1:11">
      <c r="A1233" s="28"/>
      <c r="B1233" s="29" t="s">
        <v>3626</v>
      </c>
      <c r="C1233" s="30" t="str">
        <f>IFERROR(_xlfn.XLOOKUP(B1233,Equipo[DESCRIPCION],Equipo[UND],,0),"")</f>
        <v>%MO</v>
      </c>
      <c r="D1233" s="31">
        <v>0.05</v>
      </c>
      <c r="E1233" s="32">
        <f>IF(C1233="%MO",G1238,IFERROR(_xlfn.XLOOKUP($B1233,Equipo[DESCRIPCION],Equipo[VALOR],,0),""))</f>
        <v>7374.5978605000018</v>
      </c>
      <c r="F1233" s="33"/>
      <c r="G1233" s="34">
        <f>IFERROR(IF(F1233&gt;=0,D1233*E1233*(1+F1233/100),ABS(D1233*E1233/F1233)),"")</f>
        <v>368.72989302500014</v>
      </c>
      <c r="H1233" s="43">
        <f>IFERROR(G1233*E1223,"")</f>
        <v>0</v>
      </c>
    </row>
    <row r="1234" spans="1:11">
      <c r="A1234" s="28"/>
      <c r="B1234" s="29"/>
      <c r="C1234" s="30" t="str">
        <f>IFERROR(_xlfn.XLOOKUP(B1234,Equipo[DESCRIPCION],Equipo[UND],,0),"")</f>
        <v/>
      </c>
      <c r="D1234" s="31"/>
      <c r="E1234" s="32" t="str">
        <f>IF(C1234="%MO",G1238,IFERROR(_xlfn.XLOOKUP($B1234,Equipo[DESCRIPCION],Equipo[VALOR],,0),""))</f>
        <v/>
      </c>
      <c r="F1234" s="33"/>
      <c r="G1234" s="34" t="str">
        <f>IFERROR(IF(F1234&gt;=0,D1234*E1234*(1+F1234/100),ABS(D1234*E1234/F1234)),"")</f>
        <v/>
      </c>
      <c r="H1234" s="43" t="str">
        <f>IFERROR(G1234*E1223,"")</f>
        <v/>
      </c>
    </row>
    <row r="1235" spans="1:11">
      <c r="A1235" s="21"/>
      <c r="B1235" s="22" t="s">
        <v>2533</v>
      </c>
      <c r="C1235" s="23"/>
      <c r="D1235" s="24"/>
      <c r="E1235" s="25"/>
      <c r="F1235" s="26"/>
      <c r="G1235" s="27">
        <f>SUM(G1236:G1237)</f>
        <v>0</v>
      </c>
      <c r="H1235" s="44">
        <f>G1235*E1223</f>
        <v>0</v>
      </c>
    </row>
    <row r="1236" spans="1:11">
      <c r="A1236" s="28"/>
      <c r="B1236" s="29"/>
      <c r="C1236" s="30" t="str">
        <f>IFERROR(_xlfn.XLOOKUP(B1236,Transporte[DESCRIPCION],Transporte[UND],,0),"")</f>
        <v/>
      </c>
      <c r="D1236" s="31"/>
      <c r="E1236" s="32" t="str">
        <f>IFERROR(_xlfn.XLOOKUP($B1236,Transporte[DESCRIPCION],Transporte[VALOR],,0),"")</f>
        <v/>
      </c>
      <c r="F1236" s="33"/>
      <c r="G1236" s="34" t="str">
        <f>IFERROR(IF(F1236&gt;=0,D1236*E1236*(1+F1236/100),ABS(D1236*E1236/F1236)),"")</f>
        <v/>
      </c>
      <c r="H1236" s="43" t="str">
        <f>IFERROR(G1236*E1223,"")</f>
        <v/>
      </c>
    </row>
    <row r="1237" spans="1:11">
      <c r="A1237" s="28"/>
      <c r="B1237" s="29"/>
      <c r="C1237" s="30" t="str">
        <f>IFERROR(_xlfn.XLOOKUP(B1237,Transporte[DESCRIPCION],Transporte[UND],,0),"")</f>
        <v/>
      </c>
      <c r="D1237" s="31"/>
      <c r="E1237" s="32" t="str">
        <f>IFERROR(_xlfn.XLOOKUP($B1237,Transporte[DESCRIPCION],Transporte[VALOR],,0),"")</f>
        <v/>
      </c>
      <c r="F1237" s="33"/>
      <c r="G1237" s="34" t="str">
        <f>IFERROR(IF(F1237&gt;=0,D1237*E1237*(1+F1237/100),ABS(D1237*E1237/F1237)),"")</f>
        <v/>
      </c>
      <c r="H1237" s="43" t="str">
        <f>IFERROR(G1237*E1223,"")</f>
        <v/>
      </c>
    </row>
    <row r="1238" spans="1:11">
      <c r="A1238" s="21"/>
      <c r="B1238" s="22" t="s">
        <v>3732</v>
      </c>
      <c r="C1238" s="23"/>
      <c r="D1238" s="24"/>
      <c r="E1238" s="25"/>
      <c r="F1238" s="26"/>
      <c r="G1238" s="27">
        <f>SUM(G1239:G1241)</f>
        <v>7374.5978605000018</v>
      </c>
      <c r="H1238" s="44">
        <f>G1238*E1223</f>
        <v>0</v>
      </c>
    </row>
    <row r="1239" spans="1:11">
      <c r="A1239" s="28"/>
      <c r="B1239" s="29" t="s">
        <v>3713</v>
      </c>
      <c r="C1239" s="30" t="str">
        <f>IFERROR(_xlfn.XLOOKUP(B1239,MObra[DESCRIPCION],MObra[UN],,0),"")</f>
        <v>día</v>
      </c>
      <c r="D1239" s="31">
        <v>1</v>
      </c>
      <c r="E1239" s="32">
        <f>IFERROR(_xlfn.XLOOKUP($B1239,MObra[DESCRIPCION],MObra[VALOR UNIT],,0),"")</f>
        <v>663713.80744500016</v>
      </c>
      <c r="F1239" s="33">
        <v>-90</v>
      </c>
      <c r="G1239" s="34">
        <f>IFERROR(IF(F1239&gt;=0,D1239*E1239*(1+F1239/100),ABS(D1239*E1239/F1239)),"")</f>
        <v>7374.5978605000018</v>
      </c>
      <c r="H1239" s="43">
        <f>IFERROR(G1239*E1223,"")</f>
        <v>0</v>
      </c>
    </row>
    <row r="1240" spans="1:11">
      <c r="A1240" s="28"/>
      <c r="B1240" s="29"/>
      <c r="C1240" s="30" t="str">
        <f>IFERROR(_xlfn.XLOOKUP(B1240,MObra[DESCRIPCION],MObra[UN],,0),"")</f>
        <v/>
      </c>
      <c r="D1240" s="31"/>
      <c r="E1240" s="32" t="str">
        <f>IFERROR(_xlfn.XLOOKUP($B1240,MObra[DESCRIPCION],MObra[VALOR UNIT],,0),"")</f>
        <v/>
      </c>
      <c r="F1240" s="33"/>
      <c r="G1240" s="34" t="str">
        <f>IFERROR(IF(F1240&gt;=0,D1240*E1240*(1+F1240/100),ABS(D1240*E1240/F1240)),"")</f>
        <v/>
      </c>
      <c r="H1240" s="43" t="str">
        <f>IFERROR(G1240*E1223,"")</f>
        <v/>
      </c>
    </row>
    <row r="1241" spans="1:11">
      <c r="A1241" s="35"/>
      <c r="B1241" s="36"/>
      <c r="C1241" s="37" t="str">
        <f>IFERROR(_xlfn.XLOOKUP(B1241,MObra[DESCRIPCION],MObra[UN],,0),"")</f>
        <v/>
      </c>
      <c r="D1241" s="38"/>
      <c r="E1241" s="39" t="str">
        <f>IFERROR(_xlfn.XLOOKUP($B1241,MObra[DESCRIPCION],MObra[VALOR UNIT],,0),"")</f>
        <v/>
      </c>
      <c r="F1241" s="40"/>
      <c r="G1241" s="41" t="str">
        <f>IFERROR(IF(F1241&gt;=0,D1241*E1241*(1+F1241/100),ABS(D1241*E1241/F1241)),"")</f>
        <v/>
      </c>
      <c r="H1241" s="42" t="str">
        <f>IFERROR(G1241*E1223,"")</f>
        <v/>
      </c>
    </row>
    <row r="1242" spans="1:11" ht="12.75" customHeight="1"/>
    <row r="1243" spans="1:11">
      <c r="A1243" s="6" t="s">
        <v>1848</v>
      </c>
      <c r="B1243" s="7" t="str">
        <f>VLOOKUP($A1243,Presupuesto!$A:$D,2,FALSE())</f>
        <v>Manto permanente TRM 500 o similar</v>
      </c>
      <c r="C1243" s="8" t="str">
        <f>VLOOKUP($A1243,Presupuesto!$A:$D,3,FALSE())</f>
        <v>M2</v>
      </c>
      <c r="D1243" s="9"/>
      <c r="E1243" s="10">
        <f>VLOOKUP($A1243,Presupuesto!$A:$D,4,FALSE())</f>
        <v>0</v>
      </c>
      <c r="F1243" s="11" t="s">
        <v>2589</v>
      </c>
      <c r="G1243" s="12">
        <f>SUM(G1245:G1261)/2</f>
        <v>32444.424239021999</v>
      </c>
      <c r="H1243" s="13">
        <f>ROUND(SUM(H1245:H1261),0)/2</f>
        <v>0</v>
      </c>
      <c r="I1243" s="10">
        <f>VLOOKUP(A1243,Presupuesto!$A:$F,6,0)</f>
        <v>0</v>
      </c>
      <c r="J1243" s="10">
        <f>+H1243-I1243</f>
        <v>0</v>
      </c>
      <c r="K1243" s="46">
        <f>+H1243-G1243*E1243</f>
        <v>0</v>
      </c>
    </row>
    <row r="1244" spans="1:11">
      <c r="A1244" s="14"/>
      <c r="B1244" s="15" t="s">
        <v>2586</v>
      </c>
      <c r="C1244" s="15" t="s">
        <v>5</v>
      </c>
      <c r="D1244" s="16" t="s">
        <v>6</v>
      </c>
      <c r="E1244" s="17" t="s">
        <v>7</v>
      </c>
      <c r="F1244" s="18" t="s">
        <v>3728</v>
      </c>
      <c r="G1244" s="19" t="s">
        <v>3729</v>
      </c>
      <c r="H1244" s="20" t="s">
        <v>3797</v>
      </c>
    </row>
    <row r="1245" spans="1:11">
      <c r="A1245" s="21"/>
      <c r="B1245" s="22" t="s">
        <v>3730</v>
      </c>
      <c r="C1245" s="23"/>
      <c r="D1245" s="24"/>
      <c r="E1245" s="25"/>
      <c r="F1245" s="26"/>
      <c r="G1245" s="27">
        <f>SUM(G1246:G1250)</f>
        <v>18736.987499999999</v>
      </c>
      <c r="H1245" s="27">
        <f>IFERROR(G1245*E1243,"")</f>
        <v>0</v>
      </c>
    </row>
    <row r="1246" spans="1:11">
      <c r="A1246" s="28"/>
      <c r="B1246" s="29" t="s">
        <v>3149</v>
      </c>
      <c r="C1246" s="30" t="str">
        <f>IFERROR(_xlfn.XLOOKUP(B1246,Insumo[DESCRIPCION],Insumo[UND],,0),"")</f>
        <v>M2</v>
      </c>
      <c r="D1246" s="31">
        <v>1</v>
      </c>
      <c r="E1246" s="32">
        <f>IFERROR(_xlfn.XLOOKUP($B1246,Insumo[DESCRIPCION],Insumo[VALOR],,0),"")</f>
        <v>17844.75</v>
      </c>
      <c r="F1246" s="33">
        <v>5</v>
      </c>
      <c r="G1246" s="34">
        <f>IFERROR(IF(F1246&gt;=0,D1246*E1246*(1+F1246/100),ABS(D1246*E1246/F1246)),"")</f>
        <v>18736.987499999999</v>
      </c>
      <c r="H1246" s="43">
        <f>IFERROR(G1246*E1243,"")</f>
        <v>0</v>
      </c>
    </row>
    <row r="1247" spans="1:11">
      <c r="A1247" s="28"/>
      <c r="B1247" s="29"/>
      <c r="C1247" s="30" t="str">
        <f>IFERROR(_xlfn.XLOOKUP(B1247,Insumo[DESCRIPCION],Insumo[UND],,0),"")</f>
        <v/>
      </c>
      <c r="D1247" s="31"/>
      <c r="E1247" s="32" t="str">
        <f>IFERROR(_xlfn.XLOOKUP($B1247,Insumo[DESCRIPCION],Insumo[VALOR],,0),"")</f>
        <v/>
      </c>
      <c r="F1247" s="33"/>
      <c r="G1247" s="34" t="str">
        <f>IFERROR(IF(F1247&gt;=0,D1247*E1247*(1+F1247/100),ABS(D1247*E1247/F1247)),"")</f>
        <v/>
      </c>
      <c r="H1247" s="43" t="str">
        <f>IFERROR(G1247*E1243,"")</f>
        <v/>
      </c>
    </row>
    <row r="1248" spans="1:11">
      <c r="A1248" s="28"/>
      <c r="B1248" s="29"/>
      <c r="C1248" s="30" t="str">
        <f>IFERROR(_xlfn.XLOOKUP(B1248,Insumo[DESCRIPCION],Insumo[UND],,0),"")</f>
        <v/>
      </c>
      <c r="D1248" s="31"/>
      <c r="E1248" s="32" t="str">
        <f>IFERROR(_xlfn.XLOOKUP($B1248,Insumo[DESCRIPCION],Insumo[VALOR],,0),"")</f>
        <v/>
      </c>
      <c r="F1248" s="33"/>
      <c r="G1248" s="34" t="str">
        <f>IFERROR(IF(F1248&gt;=0,D1248*E1248*(1+F1248/100),ABS(D1248*E1248/F1248)),"")</f>
        <v/>
      </c>
      <c r="H1248" s="43" t="str">
        <f>IFERROR(G1248*E1243,"")</f>
        <v/>
      </c>
    </row>
    <row r="1249" spans="1:11">
      <c r="A1249" s="28"/>
      <c r="B1249" s="29"/>
      <c r="C1249" s="30" t="str">
        <f>IFERROR(_xlfn.XLOOKUP(B1249,Insumo[DESCRIPCION],Insumo[UND],,0),"")</f>
        <v/>
      </c>
      <c r="D1249" s="31"/>
      <c r="E1249" s="32" t="str">
        <f>IFERROR(_xlfn.XLOOKUP($B1249,Insumo[DESCRIPCION],Insumo[VALOR],,0),"")</f>
        <v/>
      </c>
      <c r="F1249" s="33"/>
      <c r="G1249" s="34" t="str">
        <f>IFERROR(IF(F1249&gt;=0,D1249*E1249*(1+F1249/100),ABS(D1249*E1249/F1249)),"")</f>
        <v/>
      </c>
      <c r="H1249" s="43" t="str">
        <f>IFERROR(G1249*E1243,"")</f>
        <v/>
      </c>
    </row>
    <row r="1250" spans="1:11">
      <c r="A1250" s="28"/>
      <c r="B1250" s="29"/>
      <c r="C1250" s="30" t="str">
        <f>IFERROR(_xlfn.XLOOKUP(B1250,Insumo[DESCRIPCION],Insumo[UND],,0),"")</f>
        <v/>
      </c>
      <c r="D1250" s="31"/>
      <c r="E1250" s="32" t="str">
        <f>IFERROR(_xlfn.XLOOKUP($B1250,Insumo[DESCRIPCION],Insumo[VALOR],,0),"")</f>
        <v/>
      </c>
      <c r="F1250" s="33"/>
      <c r="G1250" s="34" t="str">
        <f>IFERROR(IF(F1250&gt;=0,D1250*E1250*(1+F1250/100),ABS(D1250*E1250/F1250)),"")</f>
        <v/>
      </c>
      <c r="H1250" s="43" t="str">
        <f>IFERROR(G1250*E1243,"")</f>
        <v/>
      </c>
    </row>
    <row r="1251" spans="1:11">
      <c r="A1251" s="21"/>
      <c r="B1251" s="22" t="s">
        <v>3731</v>
      </c>
      <c r="C1251" s="23"/>
      <c r="D1251" s="24"/>
      <c r="E1251" s="25"/>
      <c r="F1251" s="26"/>
      <c r="G1251" s="27">
        <f>SUM(G1252:G1254)</f>
        <v>1131.8067032220004</v>
      </c>
      <c r="H1251" s="44">
        <f>G1251*E1243</f>
        <v>0</v>
      </c>
    </row>
    <row r="1252" spans="1:11">
      <c r="A1252" s="28"/>
      <c r="B1252" s="29" t="s">
        <v>3570</v>
      </c>
      <c r="C1252" s="30" t="str">
        <f>IFERROR(_xlfn.XLOOKUP(B1252,Equipo[DESCRIPCION],Equipo[UND],,0),"")</f>
        <v>%MO</v>
      </c>
      <c r="D1252" s="31">
        <v>0.04</v>
      </c>
      <c r="E1252" s="32">
        <f>IF(C1252="%MO",G1258,IFERROR(_xlfn.XLOOKUP($B1252,Equipo[DESCRIPCION],Equipo[VALOR],,0),""))</f>
        <v>12575.630035800003</v>
      </c>
      <c r="F1252" s="33"/>
      <c r="G1252" s="34">
        <f>IFERROR(IF(F1252&gt;=0,D1252*E1252*(1+F1252/100),ABS(D1252*E1252/F1252)),"")</f>
        <v>503.02520143200013</v>
      </c>
      <c r="H1252" s="43">
        <f>IFERROR(G1252*E1243,"")</f>
        <v>0</v>
      </c>
    </row>
    <row r="1253" spans="1:11">
      <c r="A1253" s="28"/>
      <c r="B1253" s="29" t="s">
        <v>3626</v>
      </c>
      <c r="C1253" s="30" t="str">
        <f>IFERROR(_xlfn.XLOOKUP(B1253,Equipo[DESCRIPCION],Equipo[UND],,0),"")</f>
        <v>%MO</v>
      </c>
      <c r="D1253" s="31">
        <v>0.05</v>
      </c>
      <c r="E1253" s="32">
        <f>IF(C1253="%MO",G1258,IFERROR(_xlfn.XLOOKUP($B1253,Equipo[DESCRIPCION],Equipo[VALOR],,0),""))</f>
        <v>12575.630035800003</v>
      </c>
      <c r="F1253" s="33"/>
      <c r="G1253" s="34">
        <f>IFERROR(IF(F1253&gt;=0,D1253*E1253*(1+F1253/100),ABS(D1253*E1253/F1253)),"")</f>
        <v>628.78150179000022</v>
      </c>
      <c r="H1253" s="43">
        <f>IFERROR(G1253*E1243,"")</f>
        <v>0</v>
      </c>
    </row>
    <row r="1254" spans="1:11">
      <c r="A1254" s="28"/>
      <c r="B1254" s="29"/>
      <c r="C1254" s="30" t="str">
        <f>IFERROR(_xlfn.XLOOKUP(B1254,Equipo[DESCRIPCION],Equipo[UND],,0),"")</f>
        <v/>
      </c>
      <c r="D1254" s="31"/>
      <c r="E1254" s="32" t="str">
        <f>IF(C1254="%MO",G1258,IFERROR(_xlfn.XLOOKUP($B1254,Equipo[DESCRIPCION],Equipo[VALOR],,0),""))</f>
        <v/>
      </c>
      <c r="F1254" s="33"/>
      <c r="G1254" s="34" t="str">
        <f>IFERROR(IF(F1254&gt;=0,D1254*E1254*(1+F1254/100),ABS(D1254*E1254/F1254)),"")</f>
        <v/>
      </c>
      <c r="H1254" s="43" t="str">
        <f>IFERROR(G1254*E1243,"")</f>
        <v/>
      </c>
    </row>
    <row r="1255" spans="1:11">
      <c r="A1255" s="21"/>
      <c r="B1255" s="22" t="s">
        <v>2533</v>
      </c>
      <c r="C1255" s="23"/>
      <c r="D1255" s="24"/>
      <c r="E1255" s="25"/>
      <c r="F1255" s="26"/>
      <c r="G1255" s="27">
        <f>SUM(G1256:G1257)</f>
        <v>0</v>
      </c>
      <c r="H1255" s="44">
        <f>G1255*E1243</f>
        <v>0</v>
      </c>
    </row>
    <row r="1256" spans="1:11">
      <c r="A1256" s="28"/>
      <c r="B1256" s="29"/>
      <c r="C1256" s="30" t="str">
        <f>IFERROR(_xlfn.XLOOKUP(B1256,Transporte[DESCRIPCION],Transporte[UND],,0),"")</f>
        <v/>
      </c>
      <c r="D1256" s="31"/>
      <c r="E1256" s="32" t="str">
        <f>IFERROR(_xlfn.XLOOKUP($B1256,Transporte[DESCRIPCION],Transporte[VALOR],,0),"")</f>
        <v/>
      </c>
      <c r="F1256" s="33"/>
      <c r="G1256" s="34" t="str">
        <f>IFERROR(IF(F1256&gt;=0,D1256*E1256*(1+F1256/100),ABS(D1256*E1256/F1256)),"")</f>
        <v/>
      </c>
      <c r="H1256" s="43" t="str">
        <f>IFERROR(G1256*E1243,"")</f>
        <v/>
      </c>
    </row>
    <row r="1257" spans="1:11">
      <c r="A1257" s="28"/>
      <c r="B1257" s="29"/>
      <c r="C1257" s="30" t="str">
        <f>IFERROR(_xlfn.XLOOKUP(B1257,Transporte[DESCRIPCION],Transporte[UND],,0),"")</f>
        <v/>
      </c>
      <c r="D1257" s="31"/>
      <c r="E1257" s="32" t="str">
        <f>IFERROR(_xlfn.XLOOKUP($B1257,Transporte[DESCRIPCION],Transporte[VALOR],,0),"")</f>
        <v/>
      </c>
      <c r="F1257" s="33"/>
      <c r="G1257" s="34" t="str">
        <f>IFERROR(IF(F1257&gt;=0,D1257*E1257*(1+F1257/100),ABS(D1257*E1257/F1257)),"")</f>
        <v/>
      </c>
      <c r="H1257" s="43" t="str">
        <f>IFERROR(G1257*E1243,"")</f>
        <v/>
      </c>
    </row>
    <row r="1258" spans="1:11">
      <c r="A1258" s="21"/>
      <c r="B1258" s="22" t="s">
        <v>3732</v>
      </c>
      <c r="C1258" s="23"/>
      <c r="D1258" s="24"/>
      <c r="E1258" s="25"/>
      <c r="F1258" s="26"/>
      <c r="G1258" s="27">
        <f>SUM(G1259:G1261)</f>
        <v>12575.630035800003</v>
      </c>
      <c r="H1258" s="44">
        <f>G1258*E1243</f>
        <v>0</v>
      </c>
    </row>
    <row r="1259" spans="1:11">
      <c r="A1259" s="28"/>
      <c r="B1259" s="29" t="s">
        <v>3710</v>
      </c>
      <c r="C1259" s="30" t="str">
        <f>IFERROR(_xlfn.XLOOKUP(B1259,MObra[DESCRIPCION],MObra[UN],,0),"")</f>
        <v>día</v>
      </c>
      <c r="D1259" s="31">
        <v>1</v>
      </c>
      <c r="E1259" s="32">
        <f>IFERROR(_xlfn.XLOOKUP($B1259,MObra[DESCRIPCION],MObra[VALOR UNIT],,0),"")</f>
        <v>314390.75089500006</v>
      </c>
      <c r="F1259" s="33">
        <v>-25</v>
      </c>
      <c r="G1259" s="34">
        <f>IFERROR(IF(F1259&gt;=0,D1259*E1259*(1+F1259/100),ABS(D1259*E1259/F1259)),"")</f>
        <v>12575.630035800003</v>
      </c>
      <c r="H1259" s="43">
        <f>IFERROR(G1259*E1243,"")</f>
        <v>0</v>
      </c>
    </row>
    <row r="1260" spans="1:11">
      <c r="A1260" s="28"/>
      <c r="B1260" s="29"/>
      <c r="C1260" s="30" t="str">
        <f>IFERROR(_xlfn.XLOOKUP(B1260,MObra[DESCRIPCION],MObra[UN],,0),"")</f>
        <v/>
      </c>
      <c r="D1260" s="31"/>
      <c r="E1260" s="32" t="str">
        <f>IFERROR(_xlfn.XLOOKUP($B1260,MObra[DESCRIPCION],MObra[VALOR UNIT],,0),"")</f>
        <v/>
      </c>
      <c r="F1260" s="33"/>
      <c r="G1260" s="34" t="str">
        <f>IFERROR(IF(F1260&gt;=0,D1260*E1260*(1+F1260/100),ABS(D1260*E1260/F1260)),"")</f>
        <v/>
      </c>
      <c r="H1260" s="43" t="str">
        <f>IFERROR(G1260*E1243,"")</f>
        <v/>
      </c>
    </row>
    <row r="1261" spans="1:11">
      <c r="A1261" s="35"/>
      <c r="B1261" s="36"/>
      <c r="C1261" s="37" t="str">
        <f>IFERROR(_xlfn.XLOOKUP(B1261,MObra[DESCRIPCION],MObra[UN],,0),"")</f>
        <v/>
      </c>
      <c r="D1261" s="38"/>
      <c r="E1261" s="39" t="str">
        <f>IFERROR(_xlfn.XLOOKUP($B1261,MObra[DESCRIPCION],MObra[VALOR UNIT],,0),"")</f>
        <v/>
      </c>
      <c r="F1261" s="40"/>
      <c r="G1261" s="41" t="str">
        <f>IFERROR(IF(F1261&gt;=0,D1261*E1261*(1+F1261/100),ABS(D1261*E1261/F1261)),"")</f>
        <v/>
      </c>
      <c r="H1261" s="42" t="str">
        <f>IFERROR(G1261*E1243,"")</f>
        <v/>
      </c>
    </row>
    <row r="1262" spans="1:11" ht="12.75" customHeight="1"/>
    <row r="1263" spans="1:11">
      <c r="A1263" s="6" t="s">
        <v>1850</v>
      </c>
      <c r="B1263" s="7" t="str">
        <f>VLOOKUP($A1263,Presupuesto!$A:$D,2,FALSE())</f>
        <v>Malla eslabonada galvanizada</v>
      </c>
      <c r="C1263" s="8" t="str">
        <f>VLOOKUP($A1263,Presupuesto!$A:$D,3,FALSE())</f>
        <v>M2</v>
      </c>
      <c r="D1263" s="9"/>
      <c r="E1263" s="10">
        <f>VLOOKUP($A1263,Presupuesto!$A:$D,4,FALSE())</f>
        <v>0</v>
      </c>
      <c r="F1263" s="11" t="s">
        <v>2589</v>
      </c>
      <c r="G1263" s="12">
        <f>SUM(G1265:G1281)/2</f>
        <v>99765.902362095047</v>
      </c>
      <c r="H1263" s="13">
        <f>ROUND(SUM(H1265:H1281),0)/2</f>
        <v>0</v>
      </c>
      <c r="I1263" s="10">
        <f>VLOOKUP(A1263,Presupuesto!$A:$F,6,0)</f>
        <v>0</v>
      </c>
      <c r="J1263" s="10">
        <f>+H1263-I1263</f>
        <v>0</v>
      </c>
      <c r="K1263" s="46">
        <f>+H1263-G1263*E1263</f>
        <v>0</v>
      </c>
    </row>
    <row r="1264" spans="1:11">
      <c r="A1264" s="14"/>
      <c r="B1264" s="15" t="s">
        <v>2586</v>
      </c>
      <c r="C1264" s="15" t="s">
        <v>5</v>
      </c>
      <c r="D1264" s="16" t="s">
        <v>6</v>
      </c>
      <c r="E1264" s="17" t="s">
        <v>7</v>
      </c>
      <c r="F1264" s="18" t="s">
        <v>3728</v>
      </c>
      <c r="G1264" s="19" t="s">
        <v>3729</v>
      </c>
      <c r="H1264" s="20" t="s">
        <v>3797</v>
      </c>
    </row>
    <row r="1265" spans="1:8">
      <c r="A1265" s="21"/>
      <c r="B1265" s="22" t="s">
        <v>3730</v>
      </c>
      <c r="C1265" s="23"/>
      <c r="D1265" s="24"/>
      <c r="E1265" s="25"/>
      <c r="F1265" s="26"/>
      <c r="G1265" s="27">
        <f>SUM(G1266:G1270)</f>
        <v>86410.117500000008</v>
      </c>
      <c r="H1265" s="27">
        <f>IFERROR(G1265*E1263,"")</f>
        <v>0</v>
      </c>
    </row>
    <row r="1266" spans="1:8">
      <c r="A1266" s="28"/>
      <c r="B1266" s="29" t="s">
        <v>3138</v>
      </c>
      <c r="C1266" s="30" t="str">
        <f>IFERROR(_xlfn.XLOOKUP(B1266,Insumo[DESCRIPCION],Insumo[UND],,0),"")</f>
        <v>M2</v>
      </c>
      <c r="D1266" s="31">
        <v>1</v>
      </c>
      <c r="E1266" s="32">
        <f>IFERROR(_xlfn.XLOOKUP($B1266,Insumo[DESCRIPCION],Insumo[VALOR],,0),"")</f>
        <v>26005.350000000002</v>
      </c>
      <c r="F1266" s="33">
        <v>5</v>
      </c>
      <c r="G1266" s="34">
        <f>IFERROR(IF(F1266&gt;=0,D1266*E1266*(1+F1266/100),ABS(D1266*E1266/F1266)),"")</f>
        <v>27305.617500000004</v>
      </c>
      <c r="H1266" s="43">
        <f>IFERROR(G1266*E1263,"")</f>
        <v>0</v>
      </c>
    </row>
    <row r="1267" spans="1:8">
      <c r="A1267" s="28"/>
      <c r="B1267" s="29" t="s">
        <v>2780</v>
      </c>
      <c r="C1267" s="30" t="str">
        <f>IFERROR(_xlfn.XLOOKUP(B1267,Insumo[DESCRIPCION],Insumo[UND],,0),"")</f>
        <v>M</v>
      </c>
      <c r="D1267" s="31">
        <v>2.6</v>
      </c>
      <c r="E1267" s="32">
        <f>IFERROR(_xlfn.XLOOKUP($B1267,Insumo[DESCRIPCION],Insumo[VALOR],,0),"")</f>
        <v>22732.5</v>
      </c>
      <c r="F1267" s="33"/>
      <c r="G1267" s="34">
        <f>IFERROR(IF(F1267&gt;=0,D1267*E1267*(1+F1267/100),ABS(D1267*E1267/F1267)),"")</f>
        <v>59104.5</v>
      </c>
      <c r="H1267" s="43">
        <f>IFERROR(G1267*E1263,"")</f>
        <v>0</v>
      </c>
    </row>
    <row r="1268" spans="1:8">
      <c r="A1268" s="28"/>
      <c r="B1268" s="29"/>
      <c r="C1268" s="30" t="str">
        <f>IFERROR(_xlfn.XLOOKUP(B1268,Insumo[DESCRIPCION],Insumo[UND],,0),"")</f>
        <v/>
      </c>
      <c r="D1268" s="31"/>
      <c r="E1268" s="32" t="str">
        <f>IFERROR(_xlfn.XLOOKUP($B1268,Insumo[DESCRIPCION],Insumo[VALOR],,0),"")</f>
        <v/>
      </c>
      <c r="F1268" s="33"/>
      <c r="G1268" s="34" t="str">
        <f>IFERROR(IF(F1268&gt;=0,D1268*E1268*(1+F1268/100),ABS(D1268*E1268/F1268)),"")</f>
        <v/>
      </c>
      <c r="H1268" s="43" t="str">
        <f>IFERROR(G1268*E1263,"")</f>
        <v/>
      </c>
    </row>
    <row r="1269" spans="1:8">
      <c r="A1269" s="28"/>
      <c r="B1269" s="29"/>
      <c r="C1269" s="30" t="str">
        <f>IFERROR(_xlfn.XLOOKUP(B1269,Insumo[DESCRIPCION],Insumo[UND],,0),"")</f>
        <v/>
      </c>
      <c r="D1269" s="31"/>
      <c r="E1269" s="32" t="str">
        <f>IFERROR(_xlfn.XLOOKUP($B1269,Insumo[DESCRIPCION],Insumo[VALOR],,0),"")</f>
        <v/>
      </c>
      <c r="F1269" s="33"/>
      <c r="G1269" s="34" t="str">
        <f>IFERROR(IF(F1269&gt;=0,D1269*E1269*(1+F1269/100),ABS(D1269*E1269/F1269)),"")</f>
        <v/>
      </c>
      <c r="H1269" s="43" t="str">
        <f>IFERROR(G1269*E1263,"")</f>
        <v/>
      </c>
    </row>
    <row r="1270" spans="1:8">
      <c r="A1270" s="28"/>
      <c r="B1270" s="29"/>
      <c r="C1270" s="30" t="str">
        <f>IFERROR(_xlfn.XLOOKUP(B1270,Insumo[DESCRIPCION],Insumo[UND],,0),"")</f>
        <v/>
      </c>
      <c r="D1270" s="31"/>
      <c r="E1270" s="32" t="str">
        <f>IFERROR(_xlfn.XLOOKUP($B1270,Insumo[DESCRIPCION],Insumo[VALOR],,0),"")</f>
        <v/>
      </c>
      <c r="F1270" s="33"/>
      <c r="G1270" s="34" t="str">
        <f>IFERROR(IF(F1270&gt;=0,D1270*E1270*(1+F1270/100),ABS(D1270*E1270/F1270)),"")</f>
        <v/>
      </c>
      <c r="H1270" s="43" t="str">
        <f>IFERROR(G1270*E1263,"")</f>
        <v/>
      </c>
    </row>
    <row r="1271" spans="1:8">
      <c r="A1271" s="21"/>
      <c r="B1271" s="52" t="s">
        <v>3731</v>
      </c>
      <c r="C1271" s="23"/>
      <c r="D1271" s="24"/>
      <c r="E1271" s="25"/>
      <c r="F1271" s="26"/>
      <c r="G1271" s="27">
        <f>SUM(G1272:G1274)</f>
        <v>2584.9906184700003</v>
      </c>
      <c r="H1271" s="44">
        <f>G1271*E1263</f>
        <v>0</v>
      </c>
    </row>
    <row r="1272" spans="1:8">
      <c r="A1272" s="28"/>
      <c r="B1272" s="29" t="s">
        <v>3573</v>
      </c>
      <c r="C1272" s="30" t="str">
        <f>IFERROR(_xlfn.XLOOKUP(B1272,Equipo[DESCRIPCION],Equipo[UND],,0),"")</f>
        <v>%MO</v>
      </c>
      <c r="D1272" s="31">
        <v>0.1</v>
      </c>
      <c r="E1272" s="32">
        <f>IF(C1272="%MO",G1278,IFERROR(_xlfn.XLOOKUP($B1272,Equipo[DESCRIPCION],Equipo[VALOR],,0),""))</f>
        <v>10770.794243625001</v>
      </c>
      <c r="F1272" s="33"/>
      <c r="G1272" s="34">
        <f>IFERROR(IF(F1272&gt;=0,D1272*E1272*(1+F1272/100),ABS(D1272*E1272/F1272)),"")</f>
        <v>1077.0794243625003</v>
      </c>
      <c r="H1272" s="43">
        <f>IFERROR(G1272*E1263,"")</f>
        <v>0</v>
      </c>
    </row>
    <row r="1273" spans="1:8">
      <c r="A1273" s="28"/>
      <c r="B1273" s="29" t="s">
        <v>3570</v>
      </c>
      <c r="C1273" s="30" t="str">
        <f>IFERROR(_xlfn.XLOOKUP(B1273,Equipo[DESCRIPCION],Equipo[UND],,0),"")</f>
        <v>%MO</v>
      </c>
      <c r="D1273" s="31">
        <v>0.04</v>
      </c>
      <c r="E1273" s="32">
        <f>IF(C1273="%MO",G1278,IFERROR(_xlfn.XLOOKUP($B1273,Equipo[DESCRIPCION],Equipo[VALOR],,0),""))</f>
        <v>10770.794243625001</v>
      </c>
      <c r="F1273" s="33"/>
      <c r="G1273" s="34">
        <f>IFERROR(IF(F1273&gt;=0,D1273*E1273*(1+F1273/100),ABS(D1273*E1273/F1273)),"")</f>
        <v>430.83176974500009</v>
      </c>
      <c r="H1273" s="43">
        <f>IFERROR(G1273*E1263,"")</f>
        <v>0</v>
      </c>
    </row>
    <row r="1274" spans="1:8">
      <c r="A1274" s="28"/>
      <c r="B1274" s="29" t="s">
        <v>3572</v>
      </c>
      <c r="C1274" s="30" t="str">
        <f>IFERROR(_xlfn.XLOOKUP(B1274,Equipo[DESCRIPCION],Equipo[UND],,0),"")</f>
        <v>%MO</v>
      </c>
      <c r="D1274" s="31">
        <v>0.1</v>
      </c>
      <c r="E1274" s="32">
        <f>IF(C1274="%MO",G1278,IFERROR(_xlfn.XLOOKUP($B1274,Equipo[DESCRIPCION],Equipo[VALOR],,0),""))</f>
        <v>10770.794243625001</v>
      </c>
      <c r="F1274" s="33"/>
      <c r="G1274" s="34">
        <f>IFERROR(IF(F1274&gt;=0,D1274*E1274*(1+F1274/100),ABS(D1274*E1274/F1274)),"")</f>
        <v>1077.0794243625003</v>
      </c>
      <c r="H1274" s="43">
        <f>IFERROR(G1274*E1263,"")</f>
        <v>0</v>
      </c>
    </row>
    <row r="1275" spans="1:8">
      <c r="A1275" s="21"/>
      <c r="B1275" s="22" t="s">
        <v>2533</v>
      </c>
      <c r="C1275" s="23"/>
      <c r="D1275" s="24"/>
      <c r="E1275" s="25"/>
      <c r="F1275" s="26"/>
      <c r="G1275" s="27">
        <f>SUM(G1276:G1277)</f>
        <v>0</v>
      </c>
      <c r="H1275" s="44">
        <f>G1275*E1263</f>
        <v>0</v>
      </c>
    </row>
    <row r="1276" spans="1:8">
      <c r="A1276" s="28"/>
      <c r="B1276" s="29"/>
      <c r="C1276" s="30" t="str">
        <f>IFERROR(_xlfn.XLOOKUP(B1276,Transporte[DESCRIPCION],Transporte[UND],,0),"")</f>
        <v/>
      </c>
      <c r="D1276" s="31"/>
      <c r="E1276" s="32" t="str">
        <f>IFERROR(_xlfn.XLOOKUP($B1276,Transporte[DESCRIPCION],Transporte[VALOR],,0),"")</f>
        <v/>
      </c>
      <c r="F1276" s="33"/>
      <c r="G1276" s="34" t="str">
        <f>IFERROR(IF(F1276&gt;=0,D1276*E1276*(1+F1276/100),ABS(D1276*E1276/F1276)),"")</f>
        <v/>
      </c>
      <c r="H1276" s="43" t="str">
        <f>IFERROR(G1276*E1263,"")</f>
        <v/>
      </c>
    </row>
    <row r="1277" spans="1:8">
      <c r="A1277" s="28"/>
      <c r="B1277" s="29"/>
      <c r="C1277" s="30" t="str">
        <f>IFERROR(_xlfn.XLOOKUP(B1277,Transporte[DESCRIPCION],Transporte[UND],,0),"")</f>
        <v/>
      </c>
      <c r="D1277" s="31"/>
      <c r="E1277" s="32" t="str">
        <f>IFERROR(_xlfn.XLOOKUP($B1277,Transporte[DESCRIPCION],Transporte[VALOR],,0),"")</f>
        <v/>
      </c>
      <c r="F1277" s="33"/>
      <c r="G1277" s="34" t="str">
        <f>IFERROR(IF(F1277&gt;=0,D1277*E1277*(1+F1277/100),ABS(D1277*E1277/F1277)),"")</f>
        <v/>
      </c>
      <c r="H1277" s="43" t="str">
        <f>IFERROR(G1277*E1263,"")</f>
        <v/>
      </c>
    </row>
    <row r="1278" spans="1:8">
      <c r="A1278" s="21"/>
      <c r="B1278" s="22" t="s">
        <v>3732</v>
      </c>
      <c r="C1278" s="23"/>
      <c r="D1278" s="24"/>
      <c r="E1278" s="25"/>
      <c r="F1278" s="26"/>
      <c r="G1278" s="27">
        <f>SUM(G1279:G1281)</f>
        <v>10770.794243625001</v>
      </c>
      <c r="H1278" s="44">
        <f>G1278*E1263</f>
        <v>0</v>
      </c>
    </row>
    <row r="1279" spans="1:8">
      <c r="A1279" s="28"/>
      <c r="B1279" s="29" t="s">
        <v>3711</v>
      </c>
      <c r="C1279" s="30" t="str">
        <f>IFERROR(_xlfn.XLOOKUP(B1279,MObra[DESCRIPCION],MObra[UN],,0),"")</f>
        <v>día</v>
      </c>
      <c r="D1279" s="31">
        <v>1</v>
      </c>
      <c r="E1279" s="32">
        <f>IFERROR(_xlfn.XLOOKUP($B1279,MObra[DESCRIPCION],MObra[VALOR UNIT],,0),"")</f>
        <v>430831.76974500006</v>
      </c>
      <c r="F1279" s="33">
        <v>-40</v>
      </c>
      <c r="G1279" s="34">
        <f>IFERROR(IF(F1279&gt;=0,D1279*E1279*(1+F1279/100),ABS(D1279*E1279/F1279)),"")</f>
        <v>10770.794243625001</v>
      </c>
      <c r="H1279" s="43">
        <f>IFERROR(G1279*E1263,"")</f>
        <v>0</v>
      </c>
    </row>
    <row r="1280" spans="1:8">
      <c r="A1280" s="28"/>
      <c r="B1280" s="29"/>
      <c r="C1280" s="30" t="str">
        <f>IFERROR(_xlfn.XLOOKUP(B1280,MObra[DESCRIPCION],MObra[UN],,0),"")</f>
        <v/>
      </c>
      <c r="D1280" s="31"/>
      <c r="E1280" s="32" t="str">
        <f>IFERROR(_xlfn.XLOOKUP($B1280,MObra[DESCRIPCION],MObra[VALOR UNIT],,0),"")</f>
        <v/>
      </c>
      <c r="F1280" s="33"/>
      <c r="G1280" s="34" t="str">
        <f>IFERROR(IF(F1280&gt;=0,D1280*E1280*(1+F1280/100),ABS(D1280*E1280/F1280)),"")</f>
        <v/>
      </c>
      <c r="H1280" s="43" t="str">
        <f>IFERROR(G1280*E1263,"")</f>
        <v/>
      </c>
    </row>
    <row r="1281" spans="1:11">
      <c r="A1281" s="35"/>
      <c r="B1281" s="36"/>
      <c r="C1281" s="37" t="str">
        <f>IFERROR(_xlfn.XLOOKUP(B1281,MObra[DESCRIPCION],MObra[UN],,0),"")</f>
        <v/>
      </c>
      <c r="D1281" s="38"/>
      <c r="E1281" s="39" t="str">
        <f>IFERROR(_xlfn.XLOOKUP($B1281,MObra[DESCRIPCION],MObra[VALOR UNIT],,0),"")</f>
        <v/>
      </c>
      <c r="F1281" s="40"/>
      <c r="G1281" s="41" t="str">
        <f>IFERROR(IF(F1281&gt;=0,D1281*E1281*(1+F1281/100),ABS(D1281*E1281/F1281)),"")</f>
        <v/>
      </c>
      <c r="H1281" s="42" t="str">
        <f>IFERROR(G1281*E1263,"")</f>
        <v/>
      </c>
    </row>
    <row r="1282" spans="1:11" ht="12.75" customHeight="1"/>
    <row r="1283" spans="1:11">
      <c r="A1283" s="6" t="s">
        <v>1852</v>
      </c>
      <c r="B1283" s="7" t="str">
        <f>VLOOKUP($A1283,Presupuesto!$A:$D,2,FALSE())</f>
        <v>Malla triple torsion cal 10</v>
      </c>
      <c r="C1283" s="8" t="str">
        <f>VLOOKUP($A1283,Presupuesto!$A:$D,3,FALSE())</f>
        <v>M2</v>
      </c>
      <c r="D1283" s="9"/>
      <c r="E1283" s="10">
        <f>VLOOKUP($A1283,Presupuesto!$A:$D,4,FALSE())</f>
        <v>0</v>
      </c>
      <c r="F1283" s="11" t="s">
        <v>2589</v>
      </c>
      <c r="G1283" s="12">
        <f>SUM(G1285:G1301)/2</f>
        <v>199995.21716464497</v>
      </c>
      <c r="H1283" s="13">
        <f>ROUND(SUM(H1285:H1301),0)/2</f>
        <v>0</v>
      </c>
      <c r="I1283" s="10">
        <f>VLOOKUP(A1283,Presupuesto!$A:$F,6,0)</f>
        <v>0</v>
      </c>
      <c r="J1283" s="10">
        <f>+H1283-I1283</f>
        <v>0</v>
      </c>
      <c r="K1283" s="46">
        <f>+H1283-G1283*E1283</f>
        <v>0</v>
      </c>
    </row>
    <row r="1284" spans="1:11">
      <c r="A1284" s="14"/>
      <c r="B1284" s="15" t="s">
        <v>2586</v>
      </c>
      <c r="C1284" s="15" t="s">
        <v>5</v>
      </c>
      <c r="D1284" s="16" t="s">
        <v>6</v>
      </c>
      <c r="E1284" s="17" t="s">
        <v>7</v>
      </c>
      <c r="F1284" s="18" t="s">
        <v>3728</v>
      </c>
      <c r="G1284" s="19" t="s">
        <v>3729</v>
      </c>
      <c r="H1284" s="20" t="s">
        <v>3797</v>
      </c>
    </row>
    <row r="1285" spans="1:11">
      <c r="A1285" s="21"/>
      <c r="B1285" s="22" t="s">
        <v>3730</v>
      </c>
      <c r="C1285" s="23"/>
      <c r="D1285" s="24"/>
      <c r="E1285" s="25"/>
      <c r="F1285" s="26"/>
      <c r="G1285" s="27">
        <f>SUM(G1286:G1290)</f>
        <v>190384.6875</v>
      </c>
      <c r="H1285" s="27">
        <f>IFERROR(G1285*E1283,"")</f>
        <v>0</v>
      </c>
    </row>
    <row r="1286" spans="1:11">
      <c r="A1286" s="28"/>
      <c r="B1286" s="29" t="s">
        <v>3142</v>
      </c>
      <c r="C1286" s="30" t="str">
        <f>IFERROR(_xlfn.XLOOKUP(B1286,Insumo[DESCRIPCION],Insumo[UND],,0),"")</f>
        <v>M2</v>
      </c>
      <c r="D1286" s="31">
        <v>1</v>
      </c>
      <c r="E1286" s="32">
        <f>IFERROR(_xlfn.XLOOKUP($B1286,Insumo[DESCRIPCION],Insumo[VALOR],,0),"")</f>
        <v>125028.75</v>
      </c>
      <c r="F1286" s="33">
        <v>5</v>
      </c>
      <c r="G1286" s="34">
        <f>IFERROR(IF(F1286&gt;=0,D1286*E1286*(1+F1286/100),ABS(D1286*E1286/F1286)),"")</f>
        <v>131280.1875</v>
      </c>
      <c r="H1286" s="43">
        <f>IFERROR(G1286*E1283,"")</f>
        <v>0</v>
      </c>
    </row>
    <row r="1287" spans="1:11">
      <c r="A1287" s="28"/>
      <c r="B1287" s="29" t="s">
        <v>2780</v>
      </c>
      <c r="C1287" s="30" t="str">
        <f>IFERROR(_xlfn.XLOOKUP(B1287,Insumo[DESCRIPCION],Insumo[UND],,0),"")</f>
        <v>M</v>
      </c>
      <c r="D1287" s="31">
        <v>2.6</v>
      </c>
      <c r="E1287" s="32">
        <f>IFERROR(_xlfn.XLOOKUP($B1287,Insumo[DESCRIPCION],Insumo[VALOR],,0),"")</f>
        <v>22732.5</v>
      </c>
      <c r="F1287" s="33"/>
      <c r="G1287" s="34">
        <f>IFERROR(IF(F1287&gt;=0,D1287*E1287*(1+F1287/100),ABS(D1287*E1287/F1287)),"")</f>
        <v>59104.5</v>
      </c>
      <c r="H1287" s="43">
        <f>IFERROR(G1287*E1283,"")</f>
        <v>0</v>
      </c>
    </row>
    <row r="1288" spans="1:11">
      <c r="A1288" s="28"/>
      <c r="B1288" s="29"/>
      <c r="C1288" s="30" t="str">
        <f>IFERROR(_xlfn.XLOOKUP(B1288,Insumo[DESCRIPCION],Insumo[UND],,0),"")</f>
        <v/>
      </c>
      <c r="D1288" s="31"/>
      <c r="E1288" s="32" t="str">
        <f>IFERROR(_xlfn.XLOOKUP($B1288,Insumo[DESCRIPCION],Insumo[VALOR],,0),"")</f>
        <v/>
      </c>
      <c r="F1288" s="33"/>
      <c r="G1288" s="34" t="str">
        <f>IFERROR(IF(F1288&gt;=0,D1288*E1288*(1+F1288/100),ABS(D1288*E1288/F1288)),"")</f>
        <v/>
      </c>
      <c r="H1288" s="43" t="str">
        <f>IFERROR(G1288*E1283,"")</f>
        <v/>
      </c>
    </row>
    <row r="1289" spans="1:11">
      <c r="A1289" s="28"/>
      <c r="B1289" s="29"/>
      <c r="C1289" s="30" t="str">
        <f>IFERROR(_xlfn.XLOOKUP(B1289,Insumo[DESCRIPCION],Insumo[UND],,0),"")</f>
        <v/>
      </c>
      <c r="D1289" s="31"/>
      <c r="E1289" s="32" t="str">
        <f>IFERROR(_xlfn.XLOOKUP($B1289,Insumo[DESCRIPCION],Insumo[VALOR],,0),"")</f>
        <v/>
      </c>
      <c r="F1289" s="33"/>
      <c r="G1289" s="34" t="str">
        <f>IFERROR(IF(F1289&gt;=0,D1289*E1289*(1+F1289/100),ABS(D1289*E1289/F1289)),"")</f>
        <v/>
      </c>
      <c r="H1289" s="43" t="str">
        <f>IFERROR(G1289*E1283,"")</f>
        <v/>
      </c>
    </row>
    <row r="1290" spans="1:11">
      <c r="A1290" s="28"/>
      <c r="B1290" s="29"/>
      <c r="C1290" s="30" t="str">
        <f>IFERROR(_xlfn.XLOOKUP(B1290,Insumo[DESCRIPCION],Insumo[UND],,0),"")</f>
        <v/>
      </c>
      <c r="D1290" s="31"/>
      <c r="E1290" s="32" t="str">
        <f>IFERROR(_xlfn.XLOOKUP($B1290,Insumo[DESCRIPCION],Insumo[VALOR],,0),"")</f>
        <v/>
      </c>
      <c r="F1290" s="33"/>
      <c r="G1290" s="34" t="str">
        <f>IFERROR(IF(F1290&gt;=0,D1290*E1290*(1+F1290/100),ABS(D1290*E1290/F1290)),"")</f>
        <v/>
      </c>
      <c r="H1290" s="43" t="str">
        <f>IFERROR(G1290*E1283,"")</f>
        <v/>
      </c>
    </row>
    <row r="1291" spans="1:11">
      <c r="A1291" s="21"/>
      <c r="B1291" s="22" t="s">
        <v>3731</v>
      </c>
      <c r="C1291" s="23"/>
      <c r="D1291" s="24"/>
      <c r="E1291" s="25"/>
      <c r="F1291" s="26"/>
      <c r="G1291" s="27">
        <f>SUM(G1292:G1294)</f>
        <v>993.89426974499997</v>
      </c>
      <c r="H1291" s="44">
        <f>G1291*E1283</f>
        <v>0</v>
      </c>
    </row>
    <row r="1292" spans="1:11">
      <c r="A1292" s="28"/>
      <c r="B1292" s="29" t="s">
        <v>3651</v>
      </c>
      <c r="C1292" s="30" t="str">
        <f>IFERROR(_xlfn.XLOOKUP(B1292,Equipo[DESCRIPCION],Equipo[UND],,0),"")</f>
        <v>Día</v>
      </c>
      <c r="D1292" s="31">
        <v>1</v>
      </c>
      <c r="E1292" s="32">
        <f>IF(C1292="%MO",G1298,IFERROR(_xlfn.XLOOKUP($B1292,Equipo[DESCRIPCION],Equipo[VALOR],,0),""))</f>
        <v>981.75</v>
      </c>
      <c r="F1292" s="33">
        <v>-4</v>
      </c>
      <c r="G1292" s="34">
        <f>IFERROR(IF(F1292&gt;=0,D1292*E1292*(1+F1292/100),ABS(D1292*E1292/F1292)),"")</f>
        <v>245.4375</v>
      </c>
      <c r="H1292" s="43">
        <f>IFERROR(G1292*E1283,"")</f>
        <v>0</v>
      </c>
    </row>
    <row r="1293" spans="1:11">
      <c r="A1293" s="28"/>
      <c r="B1293" s="29" t="s">
        <v>3652</v>
      </c>
      <c r="C1293" s="30" t="str">
        <f>IFERROR(_xlfn.XLOOKUP(B1293,Equipo[DESCRIPCION],Equipo[UND],,0),"")</f>
        <v>Día</v>
      </c>
      <c r="D1293" s="31">
        <v>1</v>
      </c>
      <c r="E1293" s="32">
        <f>IF(C1293="%MO",G1298,IFERROR(_xlfn.XLOOKUP($B1293,Equipo[DESCRIPCION],Equipo[VALOR],,0),""))</f>
        <v>635.25</v>
      </c>
      <c r="F1293" s="33">
        <v>-2</v>
      </c>
      <c r="G1293" s="34">
        <f>IFERROR(IF(F1293&gt;=0,D1293*E1293*(1+F1293/100),ABS(D1293*E1293/F1293)),"")</f>
        <v>317.625</v>
      </c>
      <c r="H1293" s="43">
        <f>IFERROR(G1293*E1283,"")</f>
        <v>0</v>
      </c>
    </row>
    <row r="1294" spans="1:11">
      <c r="A1294" s="28"/>
      <c r="B1294" s="29" t="s">
        <v>3626</v>
      </c>
      <c r="C1294" s="30" t="str">
        <f>IFERROR(_xlfn.XLOOKUP(B1294,Equipo[DESCRIPCION],Equipo[UND],,0),"")</f>
        <v>%MO</v>
      </c>
      <c r="D1294" s="31">
        <v>0.05</v>
      </c>
      <c r="E1294" s="32">
        <f>IF(C1294="%MO",G1298,IFERROR(_xlfn.XLOOKUP($B1294,Equipo[DESCRIPCION],Equipo[VALOR],,0),""))</f>
        <v>8616.6353949000004</v>
      </c>
      <c r="F1294" s="33"/>
      <c r="G1294" s="34">
        <f>IFERROR(IF(F1294&gt;=0,D1294*E1294*(1+F1294/100),ABS(D1294*E1294/F1294)),"")</f>
        <v>430.83176974500003</v>
      </c>
      <c r="H1294" s="43">
        <f>IFERROR(G1294*E1283,"")</f>
        <v>0</v>
      </c>
    </row>
    <row r="1295" spans="1:11">
      <c r="A1295" s="21"/>
      <c r="B1295" s="22" t="s">
        <v>2533</v>
      </c>
      <c r="C1295" s="23"/>
      <c r="D1295" s="24"/>
      <c r="E1295" s="25"/>
      <c r="F1295" s="26"/>
      <c r="G1295" s="27">
        <f>SUM(G1296:G1297)</f>
        <v>0</v>
      </c>
      <c r="H1295" s="44">
        <f>G1295*E1283</f>
        <v>0</v>
      </c>
    </row>
    <row r="1296" spans="1:11">
      <c r="A1296" s="28"/>
      <c r="B1296" s="29"/>
      <c r="C1296" s="30" t="str">
        <f>IFERROR(_xlfn.XLOOKUP(B1296,Transporte[DESCRIPCION],Transporte[UND],,0),"")</f>
        <v/>
      </c>
      <c r="D1296" s="31"/>
      <c r="E1296" s="32" t="str">
        <f>IFERROR(_xlfn.XLOOKUP($B1296,Transporte[DESCRIPCION],Transporte[VALOR],,0),"")</f>
        <v/>
      </c>
      <c r="F1296" s="33"/>
      <c r="G1296" s="34" t="str">
        <f>IFERROR(IF(F1296&gt;=0,D1296*E1296*(1+F1296/100),ABS(D1296*E1296/F1296)),"")</f>
        <v/>
      </c>
      <c r="H1296" s="43" t="str">
        <f>IFERROR(G1296*E1283,"")</f>
        <v/>
      </c>
    </row>
    <row r="1297" spans="1:11">
      <c r="A1297" s="28"/>
      <c r="B1297" s="29"/>
      <c r="C1297" s="30" t="str">
        <f>IFERROR(_xlfn.XLOOKUP(B1297,Transporte[DESCRIPCION],Transporte[UND],,0),"")</f>
        <v/>
      </c>
      <c r="D1297" s="31"/>
      <c r="E1297" s="32" t="str">
        <f>IFERROR(_xlfn.XLOOKUP($B1297,Transporte[DESCRIPCION],Transporte[VALOR],,0),"")</f>
        <v/>
      </c>
      <c r="F1297" s="33"/>
      <c r="G1297" s="34" t="str">
        <f>IFERROR(IF(F1297&gt;=0,D1297*E1297*(1+F1297/100),ABS(D1297*E1297/F1297)),"")</f>
        <v/>
      </c>
      <c r="H1297" s="43" t="str">
        <f>IFERROR(G1297*E1283,"")</f>
        <v/>
      </c>
    </row>
    <row r="1298" spans="1:11">
      <c r="A1298" s="21"/>
      <c r="B1298" s="22" t="s">
        <v>3732</v>
      </c>
      <c r="C1298" s="23"/>
      <c r="D1298" s="24"/>
      <c r="E1298" s="25"/>
      <c r="F1298" s="26"/>
      <c r="G1298" s="27">
        <f>SUM(G1299:G1301)</f>
        <v>8616.6353949000004</v>
      </c>
      <c r="H1298" s="44">
        <f>G1298*E1283</f>
        <v>0</v>
      </c>
    </row>
    <row r="1299" spans="1:11">
      <c r="A1299" s="28"/>
      <c r="B1299" s="29" t="s">
        <v>3711</v>
      </c>
      <c r="C1299" s="30" t="str">
        <f>IFERROR(_xlfn.XLOOKUP(B1299,MObra[DESCRIPCION],MObra[UN],,0),"")</f>
        <v>día</v>
      </c>
      <c r="D1299" s="31">
        <v>1</v>
      </c>
      <c r="E1299" s="32">
        <f>IFERROR(_xlfn.XLOOKUP($B1299,MObra[DESCRIPCION],MObra[VALOR UNIT],,0),"")</f>
        <v>430831.76974500006</v>
      </c>
      <c r="F1299" s="33">
        <v>-50</v>
      </c>
      <c r="G1299" s="34">
        <f>IFERROR(IF(F1299&gt;=0,D1299*E1299*(1+F1299/100),ABS(D1299*E1299/F1299)),"")</f>
        <v>8616.6353949000004</v>
      </c>
      <c r="H1299" s="43">
        <f>IFERROR(G1299*E1283,"")</f>
        <v>0</v>
      </c>
    </row>
    <row r="1300" spans="1:11">
      <c r="A1300" s="28"/>
      <c r="B1300" s="29"/>
      <c r="C1300" s="30" t="str">
        <f>IFERROR(_xlfn.XLOOKUP(B1300,MObra[DESCRIPCION],MObra[UN],,0),"")</f>
        <v/>
      </c>
      <c r="D1300" s="31"/>
      <c r="E1300" s="32" t="str">
        <f>IFERROR(_xlfn.XLOOKUP($B1300,MObra[DESCRIPCION],MObra[VALOR UNIT],,0),"")</f>
        <v/>
      </c>
      <c r="F1300" s="33"/>
      <c r="G1300" s="34" t="str">
        <f>IFERROR(IF(F1300&gt;=0,D1300*E1300*(1+F1300/100),ABS(D1300*E1300/F1300)),"")</f>
        <v/>
      </c>
      <c r="H1300" s="43" t="str">
        <f>IFERROR(G1300*E1283,"")</f>
        <v/>
      </c>
    </row>
    <row r="1301" spans="1:11">
      <c r="A1301" s="35"/>
      <c r="B1301" s="36"/>
      <c r="C1301" s="37" t="str">
        <f>IFERROR(_xlfn.XLOOKUP(B1301,MObra[DESCRIPCION],MObra[UN],,0),"")</f>
        <v/>
      </c>
      <c r="D1301" s="38"/>
      <c r="E1301" s="39" t="str">
        <f>IFERROR(_xlfn.XLOOKUP($B1301,MObra[DESCRIPCION],MObra[VALOR UNIT],,0),"")</f>
        <v/>
      </c>
      <c r="F1301" s="40"/>
      <c r="G1301" s="41" t="str">
        <f>IFERROR(IF(F1301&gt;=0,D1301*E1301*(1+F1301/100),ABS(D1301*E1301/F1301)),"")</f>
        <v/>
      </c>
      <c r="H1301" s="42" t="str">
        <f>IFERROR(G1301*E1283,"")</f>
        <v/>
      </c>
    </row>
    <row r="1302" spans="1:11" ht="12.75" customHeight="1"/>
    <row r="1303" spans="1:11" ht="25.5">
      <c r="A1303" s="6" t="s">
        <v>1854</v>
      </c>
      <c r="B1303" s="7" t="str">
        <f>VLOOKUP($A1303,Presupuesto!$A:$D,2,FALSE())</f>
        <v>Microhexapodos 0.7 m en concreto de 27.6 Mpa fabricados en sitio + acero de refuerzo</v>
      </c>
      <c r="C1303" s="8" t="str">
        <f>VLOOKUP($A1303,Presupuesto!$A:$D,3,FALSE())</f>
        <v>Un</v>
      </c>
      <c r="D1303" s="9"/>
      <c r="E1303" s="10">
        <f>VLOOKUP($A1303,Presupuesto!$A:$D,4,FALSE())</f>
        <v>0</v>
      </c>
      <c r="F1303" s="11" t="s">
        <v>2589</v>
      </c>
      <c r="G1303" s="12">
        <f>SUM(G1305:G1323)/2</f>
        <v>493505.94726336771</v>
      </c>
      <c r="H1303" s="13">
        <f>ROUND(SUM(H1305:H1323),0)/2</f>
        <v>0</v>
      </c>
      <c r="I1303" s="10">
        <f>VLOOKUP(A1303,Presupuesto!$A:$F,6,0)</f>
        <v>0</v>
      </c>
      <c r="J1303" s="10">
        <f>+H1303-I1303</f>
        <v>0</v>
      </c>
      <c r="K1303" s="46">
        <f>+H1303-G1303*E1303</f>
        <v>0</v>
      </c>
    </row>
    <row r="1304" spans="1:11">
      <c r="A1304" s="14"/>
      <c r="B1304" s="15" t="s">
        <v>2586</v>
      </c>
      <c r="C1304" s="15" t="s">
        <v>5</v>
      </c>
      <c r="D1304" s="16" t="s">
        <v>6</v>
      </c>
      <c r="E1304" s="17" t="s">
        <v>7</v>
      </c>
      <c r="F1304" s="18" t="s">
        <v>3728</v>
      </c>
      <c r="G1304" s="19" t="s">
        <v>3729</v>
      </c>
      <c r="H1304" s="20" t="s">
        <v>3797</v>
      </c>
    </row>
    <row r="1305" spans="1:11">
      <c r="A1305" s="21"/>
      <c r="B1305" s="22" t="s">
        <v>3730</v>
      </c>
      <c r="C1305" s="23"/>
      <c r="D1305" s="24"/>
      <c r="E1305" s="25"/>
      <c r="F1305" s="26"/>
      <c r="G1305" s="27">
        <f>SUM(G1306:G1312)</f>
        <v>199176.62646523552</v>
      </c>
      <c r="H1305" s="27">
        <f>IFERROR(G1305*E1303,"")</f>
        <v>0</v>
      </c>
    </row>
    <row r="1306" spans="1:11">
      <c r="A1306" s="28"/>
      <c r="B1306" s="29" t="s">
        <v>3239</v>
      </c>
      <c r="C1306" s="30" t="str">
        <f>IFERROR(_xlfn.XLOOKUP(B1306,Insumo[DESCRIPCION],Insumo[UND],,0),"")</f>
        <v>M3</v>
      </c>
      <c r="D1306" s="31">
        <v>0.09</v>
      </c>
      <c r="E1306" s="32">
        <f>IFERROR(_xlfn.XLOOKUP($B1306,Insumo[DESCRIPCION],Insumo[VALOR],,0),"")</f>
        <v>521159.50227762427</v>
      </c>
      <c r="F1306" s="33">
        <v>5</v>
      </c>
      <c r="G1306" s="34">
        <f t="shared" ref="G1306:G1312" si="10">IFERROR(IF(F1306&gt;=0,D1306*E1306*(1+F1306/100),ABS(D1306*E1306/F1306)),"")</f>
        <v>49249.572965235493</v>
      </c>
      <c r="H1306" s="43">
        <f>IFERROR(G1306*E1303,"")</f>
        <v>0</v>
      </c>
    </row>
    <row r="1307" spans="1:11">
      <c r="A1307" s="28"/>
      <c r="B1307" s="29" t="s">
        <v>2653</v>
      </c>
      <c r="C1307" s="30" t="str">
        <f>IFERROR(_xlfn.XLOOKUP(B1307,Insumo[DESCRIPCION],Insumo[UND],,0),"")</f>
        <v>Kg</v>
      </c>
      <c r="D1307" s="31">
        <v>6</v>
      </c>
      <c r="E1307" s="32">
        <f>IFERROR(_xlfn.XLOOKUP($B1307,Insumo[DESCRIPCION],Insumo[VALOR],,0),"")</f>
        <v>5686.8</v>
      </c>
      <c r="F1307" s="33"/>
      <c r="G1307" s="34">
        <f t="shared" si="10"/>
        <v>34120.800000000003</v>
      </c>
      <c r="H1307" s="43">
        <f>IFERROR(G1307*E1303,"")</f>
        <v>0</v>
      </c>
    </row>
    <row r="1308" spans="1:11">
      <c r="A1308" s="28"/>
      <c r="B1308" s="29" t="s">
        <v>3338</v>
      </c>
      <c r="C1308" s="30" t="str">
        <f>IFERROR(_xlfn.XLOOKUP(B1308,Insumo[DESCRIPCION],Insumo[UND],,0),"")</f>
        <v>M</v>
      </c>
      <c r="D1308" s="31">
        <v>9</v>
      </c>
      <c r="E1308" s="32">
        <f>IFERROR(_xlfn.XLOOKUP($B1308,Insumo[DESCRIPCION],Insumo[VALOR],,0),"")</f>
        <v>8047.2000000000007</v>
      </c>
      <c r="F1308" s="33"/>
      <c r="G1308" s="34">
        <f t="shared" si="10"/>
        <v>72424.800000000003</v>
      </c>
      <c r="H1308" s="43">
        <f>IFERROR(G1308*E1303,"")</f>
        <v>0</v>
      </c>
    </row>
    <row r="1309" spans="1:11">
      <c r="A1309" s="28"/>
      <c r="B1309" s="29" t="s">
        <v>3048</v>
      </c>
      <c r="C1309" s="30" t="str">
        <f>IFERROR(_xlfn.XLOOKUP(B1309,Insumo[DESCRIPCION],Insumo[UND],,0),"")</f>
        <v>M</v>
      </c>
      <c r="D1309" s="31">
        <v>0.67</v>
      </c>
      <c r="E1309" s="32">
        <f>IFERROR(_xlfn.XLOOKUP($B1309,Insumo[DESCRIPCION],Insumo[VALOR],,0),"")</f>
        <v>4091.8500000000004</v>
      </c>
      <c r="F1309" s="33"/>
      <c r="G1309" s="34">
        <f t="shared" si="10"/>
        <v>2741.5395000000003</v>
      </c>
      <c r="H1309" s="43">
        <f>IFERROR(G1309*E1303,"")</f>
        <v>0</v>
      </c>
    </row>
    <row r="1310" spans="1:11">
      <c r="A1310" s="28"/>
      <c r="B1310" s="29" t="s">
        <v>3253</v>
      </c>
      <c r="C1310" s="30" t="str">
        <f>IFERROR(_xlfn.XLOOKUP(B1310,Insumo[DESCRIPCION],Insumo[UND],,0),"")</f>
        <v>Lb</v>
      </c>
      <c r="D1310" s="31">
        <v>1</v>
      </c>
      <c r="E1310" s="32">
        <f>IFERROR(_xlfn.XLOOKUP($B1310,Insumo[DESCRIPCION],Insumo[VALOR],,0),"")</f>
        <v>6482.7000000000007</v>
      </c>
      <c r="F1310" s="33"/>
      <c r="G1310" s="34">
        <f t="shared" si="10"/>
        <v>6482.7000000000007</v>
      </c>
      <c r="H1310" s="43">
        <f>IFERROR(G1310*E1303,"")</f>
        <v>0</v>
      </c>
    </row>
    <row r="1311" spans="1:11">
      <c r="A1311" s="28"/>
      <c r="B1311" s="29" t="s">
        <v>2699</v>
      </c>
      <c r="C1311" s="30" t="str">
        <f>IFERROR(_xlfn.XLOOKUP(B1311,Insumo[DESCRIPCION],Insumo[UND],,0),"")</f>
        <v>Kg</v>
      </c>
      <c r="D1311" s="31">
        <v>2.06</v>
      </c>
      <c r="E1311" s="32">
        <f>IFERROR(_xlfn.XLOOKUP($B1311,Insumo[DESCRIPCION],Insumo[VALOR],,0),"")</f>
        <v>7665</v>
      </c>
      <c r="F1311" s="33"/>
      <c r="G1311" s="34">
        <f t="shared" si="10"/>
        <v>15789.9</v>
      </c>
      <c r="H1311" s="43">
        <f>IFERROR(G1311*E1303,"")</f>
        <v>0</v>
      </c>
    </row>
    <row r="1312" spans="1:11">
      <c r="A1312" s="28"/>
      <c r="B1312" s="29" t="s">
        <v>2709</v>
      </c>
      <c r="C1312" s="30" t="str">
        <f>IFERROR(_xlfn.XLOOKUP(B1312,Insumo[DESCRIPCION],Insumo[UND],,0),"")</f>
        <v>Kg</v>
      </c>
      <c r="D1312" s="31">
        <v>1.24</v>
      </c>
      <c r="E1312" s="32">
        <f>IFERROR(_xlfn.XLOOKUP($B1312,Insumo[DESCRIPCION],Insumo[VALOR],,0),"")</f>
        <v>14812.35</v>
      </c>
      <c r="F1312" s="33"/>
      <c r="G1312" s="34">
        <f t="shared" si="10"/>
        <v>18367.314000000002</v>
      </c>
      <c r="H1312" s="43">
        <f>IFERROR(G1312*E1303,"")</f>
        <v>0</v>
      </c>
    </row>
    <row r="1313" spans="1:11">
      <c r="A1313" s="21"/>
      <c r="B1313" s="22" t="s">
        <v>3731</v>
      </c>
      <c r="C1313" s="23"/>
      <c r="D1313" s="24"/>
      <c r="E1313" s="25"/>
      <c r="F1313" s="26"/>
      <c r="G1313" s="27">
        <f>SUM(G1314:G1316)</f>
        <v>43871.280252849065</v>
      </c>
      <c r="H1313" s="44">
        <f>G1313*E1303</f>
        <v>0</v>
      </c>
    </row>
    <row r="1314" spans="1:11">
      <c r="A1314" s="28"/>
      <c r="B1314" s="29" t="s">
        <v>3657</v>
      </c>
      <c r="C1314" s="30" t="str">
        <f>IFERROR(_xlfn.XLOOKUP(B1314,Equipo[DESCRIPCION],Equipo[UND],,0),"")</f>
        <v>Día</v>
      </c>
      <c r="D1314" s="31">
        <v>1</v>
      </c>
      <c r="E1314" s="32">
        <f>IF(C1314="%MO",G1320,IFERROR(_xlfn.XLOOKUP($B1314,Equipo[DESCRIPCION],Equipo[VALOR],,0),""))</f>
        <v>56524.65</v>
      </c>
      <c r="F1314" s="33">
        <v>-2.65</v>
      </c>
      <c r="G1314" s="34">
        <f>IFERROR(IF(F1314&gt;=0,D1314*E1314*(1+F1314/100),ABS(D1314*E1314/F1314)),"")</f>
        <v>21330.056603773584</v>
      </c>
      <c r="H1314" s="43">
        <f>IFERROR(G1314*E1303,"")</f>
        <v>0</v>
      </c>
    </row>
    <row r="1315" spans="1:11">
      <c r="A1315" s="28"/>
      <c r="B1315" s="29" t="s">
        <v>3570</v>
      </c>
      <c r="C1315" s="30" t="str">
        <f>IFERROR(_xlfn.XLOOKUP(B1315,Equipo[DESCRIPCION],Equipo[UND],,0),"")</f>
        <v>%MO</v>
      </c>
      <c r="D1315" s="31">
        <v>0.04</v>
      </c>
      <c r="E1315" s="32">
        <f>IF(C1315="%MO",G1320,IFERROR(_xlfn.XLOOKUP($B1315,Equipo[DESCRIPCION],Equipo[VALOR],,0),""))</f>
        <v>250458.04054528309</v>
      </c>
      <c r="F1315" s="33"/>
      <c r="G1315" s="34">
        <f>IFERROR(IF(F1315&gt;=0,D1315*E1315*(1+F1315/100),ABS(D1315*E1315/F1315)),"")</f>
        <v>10018.321621811323</v>
      </c>
      <c r="H1315" s="43">
        <f>IFERROR(G1315*E1303,"")</f>
        <v>0</v>
      </c>
    </row>
    <row r="1316" spans="1:11">
      <c r="A1316" s="28"/>
      <c r="B1316" s="29" t="s">
        <v>3626</v>
      </c>
      <c r="C1316" s="30" t="str">
        <f>IFERROR(_xlfn.XLOOKUP(B1316,Equipo[DESCRIPCION],Equipo[UND],,0),"")</f>
        <v>%MO</v>
      </c>
      <c r="D1316" s="31">
        <v>0.05</v>
      </c>
      <c r="E1316" s="32">
        <f>IF(C1316="%MO",G1320,IFERROR(_xlfn.XLOOKUP($B1316,Equipo[DESCRIPCION],Equipo[VALOR],,0),""))</f>
        <v>250458.04054528309</v>
      </c>
      <c r="F1316" s="33"/>
      <c r="G1316" s="34">
        <f>IFERROR(IF(F1316&gt;=0,D1316*E1316*(1+F1316/100),ABS(D1316*E1316/F1316)),"")</f>
        <v>12522.902027264156</v>
      </c>
      <c r="H1316" s="43">
        <f>IFERROR(G1316*E1303,"")</f>
        <v>0</v>
      </c>
    </row>
    <row r="1317" spans="1:11">
      <c r="A1317" s="21"/>
      <c r="B1317" s="22" t="s">
        <v>2533</v>
      </c>
      <c r="C1317" s="23"/>
      <c r="D1317" s="24"/>
      <c r="E1317" s="25"/>
      <c r="F1317" s="26"/>
      <c r="G1317" s="27">
        <f>SUM(G1318:G1319)</f>
        <v>0</v>
      </c>
      <c r="H1317" s="44">
        <f>G1317*E1303</f>
        <v>0</v>
      </c>
    </row>
    <row r="1318" spans="1:11">
      <c r="A1318" s="28"/>
      <c r="B1318" s="29"/>
      <c r="C1318" s="30" t="str">
        <f>IFERROR(_xlfn.XLOOKUP(B1318,Transporte[DESCRIPCION],Transporte[UND],,0),"")</f>
        <v/>
      </c>
      <c r="D1318" s="31"/>
      <c r="E1318" s="32" t="str">
        <f>IFERROR(_xlfn.XLOOKUP($B1318,Transporte[DESCRIPCION],Transporte[VALOR],,0),"")</f>
        <v/>
      </c>
      <c r="F1318" s="33"/>
      <c r="G1318" s="34" t="str">
        <f>IFERROR(IF(F1318&gt;=0,D1318*E1318*(1+F1318/100),ABS(D1318*E1318/F1318)),"")</f>
        <v/>
      </c>
      <c r="H1318" s="43" t="str">
        <f>IFERROR(G1318*E1303,"")</f>
        <v/>
      </c>
    </row>
    <row r="1319" spans="1:11">
      <c r="A1319" s="28"/>
      <c r="B1319" s="29"/>
      <c r="C1319" s="30" t="str">
        <f>IFERROR(_xlfn.XLOOKUP(B1319,Transporte[DESCRIPCION],Transporte[UND],,0),"")</f>
        <v/>
      </c>
      <c r="D1319" s="31"/>
      <c r="E1319" s="32" t="str">
        <f>IFERROR(_xlfn.XLOOKUP($B1319,Transporte[DESCRIPCION],Transporte[VALOR],,0),"")</f>
        <v/>
      </c>
      <c r="F1319" s="33"/>
      <c r="G1319" s="34" t="str">
        <f>IFERROR(IF(F1319&gt;=0,D1319*E1319*(1+F1319/100),ABS(D1319*E1319/F1319)),"")</f>
        <v/>
      </c>
      <c r="H1319" s="43" t="str">
        <f>IFERROR(G1319*E1303,"")</f>
        <v/>
      </c>
    </row>
    <row r="1320" spans="1:11">
      <c r="A1320" s="21"/>
      <c r="B1320" s="22" t="s">
        <v>3732</v>
      </c>
      <c r="C1320" s="23"/>
      <c r="D1320" s="24"/>
      <c r="E1320" s="25"/>
      <c r="F1320" s="26"/>
      <c r="G1320" s="27">
        <f>SUM(G1321:G1323)</f>
        <v>250458.04054528309</v>
      </c>
      <c r="H1320" s="44">
        <f>G1320*E1303</f>
        <v>0</v>
      </c>
    </row>
    <row r="1321" spans="1:11">
      <c r="A1321" s="28"/>
      <c r="B1321" s="29" t="s">
        <v>3713</v>
      </c>
      <c r="C1321" s="30" t="str">
        <f>IFERROR(_xlfn.XLOOKUP(B1321,MObra[DESCRIPCION],MObra[UN],,0),"")</f>
        <v>día</v>
      </c>
      <c r="D1321" s="31">
        <v>1</v>
      </c>
      <c r="E1321" s="32">
        <f>IFERROR(_xlfn.XLOOKUP($B1321,MObra[DESCRIPCION],MObra[VALOR UNIT],,0),"")</f>
        <v>663713.80744500016</v>
      </c>
      <c r="F1321" s="33">
        <v>-2.65</v>
      </c>
      <c r="G1321" s="34">
        <f>IFERROR(IF(F1321&gt;=0,D1321*E1321*(1+F1321/100),ABS(D1321*E1321/F1321)),"")</f>
        <v>250458.04054528309</v>
      </c>
      <c r="H1321" s="43">
        <f>IFERROR(G1321*E1303,"")</f>
        <v>0</v>
      </c>
    </row>
    <row r="1322" spans="1:11">
      <c r="A1322" s="28"/>
      <c r="B1322" s="29"/>
      <c r="C1322" s="30" t="str">
        <f>IFERROR(_xlfn.XLOOKUP(B1322,MObra[DESCRIPCION],MObra[UN],,0),"")</f>
        <v/>
      </c>
      <c r="D1322" s="31"/>
      <c r="E1322" s="32" t="str">
        <f>IFERROR(_xlfn.XLOOKUP($B1322,MObra[DESCRIPCION],MObra[VALOR UNIT],,0),"")</f>
        <v/>
      </c>
      <c r="F1322" s="33"/>
      <c r="G1322" s="34" t="str">
        <f>IFERROR(IF(F1322&gt;=0,D1322*E1322*(1+F1322/100),ABS(D1322*E1322/F1322)),"")</f>
        <v/>
      </c>
      <c r="H1322" s="43" t="str">
        <f>IFERROR(G1322*E1303,"")</f>
        <v/>
      </c>
    </row>
    <row r="1323" spans="1:11">
      <c r="A1323" s="35"/>
      <c r="B1323" s="36"/>
      <c r="C1323" s="37" t="str">
        <f>IFERROR(_xlfn.XLOOKUP(B1323,MObra[DESCRIPCION],MObra[UN],,0),"")</f>
        <v/>
      </c>
      <c r="D1323" s="38"/>
      <c r="E1323" s="39" t="str">
        <f>IFERROR(_xlfn.XLOOKUP($B1323,MObra[DESCRIPCION],MObra[VALOR UNIT],,0),"")</f>
        <v/>
      </c>
      <c r="F1323" s="40"/>
      <c r="G1323" s="41" t="str">
        <f>IFERROR(IF(F1323&gt;=0,D1323*E1323*(1+F1323/100),ABS(D1323*E1323/F1323)),"")</f>
        <v/>
      </c>
      <c r="H1323" s="42" t="str">
        <f>IFERROR(G1323*E1303,"")</f>
        <v/>
      </c>
    </row>
    <row r="1324" spans="1:11" ht="12.75" customHeight="1"/>
    <row r="1325" spans="1:11" ht="25.5">
      <c r="A1325" s="6" t="s">
        <v>1856</v>
      </c>
      <c r="B1325" s="7" t="str">
        <f>VLOOKUP($A1325,Presupuesto!$A:$D,2,FALSE())</f>
        <v>Microhexapodos 1.2 m en concreto de 27.6 Mpa fabricados en sitio + acero de refuerzo</v>
      </c>
      <c r="C1325" s="8" t="str">
        <f>VLOOKUP($A1325,Presupuesto!$A:$D,3,FALSE())</f>
        <v>Un</v>
      </c>
      <c r="D1325" s="9"/>
      <c r="E1325" s="10">
        <f>VLOOKUP($A1325,Presupuesto!$A:$D,4,FALSE())</f>
        <v>0</v>
      </c>
      <c r="F1325" s="11" t="s">
        <v>2589</v>
      </c>
      <c r="G1325" s="12">
        <f>SUM(G1327:G1345)/2</f>
        <v>710309.11658052518</v>
      </c>
      <c r="H1325" s="13">
        <f>ROUND(SUM(H1327:H1345),0)/2</f>
        <v>0</v>
      </c>
      <c r="I1325" s="10">
        <f>VLOOKUP(A1325,Presupuesto!$A:$F,6,0)</f>
        <v>0</v>
      </c>
      <c r="J1325" s="10">
        <f>+H1325-I1325</f>
        <v>0</v>
      </c>
      <c r="K1325" s="46">
        <f>+H1325-G1325*E1325</f>
        <v>0</v>
      </c>
    </row>
    <row r="1326" spans="1:11">
      <c r="A1326" s="14"/>
      <c r="B1326" s="15" t="s">
        <v>2586</v>
      </c>
      <c r="C1326" s="15" t="s">
        <v>5</v>
      </c>
      <c r="D1326" s="16" t="s">
        <v>6</v>
      </c>
      <c r="E1326" s="17" t="s">
        <v>7</v>
      </c>
      <c r="F1326" s="18" t="s">
        <v>3728</v>
      </c>
      <c r="G1326" s="19" t="s">
        <v>3729</v>
      </c>
      <c r="H1326" s="20" t="s">
        <v>3797</v>
      </c>
    </row>
    <row r="1327" spans="1:11">
      <c r="A1327" s="21"/>
      <c r="B1327" s="22" t="s">
        <v>3730</v>
      </c>
      <c r="C1327" s="23"/>
      <c r="D1327" s="24"/>
      <c r="E1327" s="25"/>
      <c r="F1327" s="26"/>
      <c r="G1327" s="27">
        <f>SUM(G1328:G1334)</f>
        <v>371190.55131311197</v>
      </c>
      <c r="H1327" s="27">
        <f>IFERROR(G1327*E1325,"")</f>
        <v>0</v>
      </c>
    </row>
    <row r="1328" spans="1:11">
      <c r="A1328" s="28"/>
      <c r="B1328" s="29" t="s">
        <v>3239</v>
      </c>
      <c r="C1328" s="30" t="str">
        <f>IFERROR(_xlfn.XLOOKUP(B1328,Insumo[DESCRIPCION],Insumo[UND],,0),"")</f>
        <v>M3</v>
      </c>
      <c r="D1328" s="31">
        <v>0.34</v>
      </c>
      <c r="E1328" s="32">
        <f>IFERROR(_xlfn.XLOOKUP($B1328,Insumo[DESCRIPCION],Insumo[VALOR],,0),"")</f>
        <v>521159.50227762427</v>
      </c>
      <c r="F1328" s="33">
        <v>5</v>
      </c>
      <c r="G1328" s="34">
        <f t="shared" ref="G1328:G1334" si="11">IFERROR(IF(F1328&gt;=0,D1328*E1328*(1+F1328/100),ABS(D1328*E1328/F1328)),"")</f>
        <v>186053.94231311188</v>
      </c>
      <c r="H1328" s="43">
        <f>IFERROR(G1328*E1325,"")</f>
        <v>0</v>
      </c>
    </row>
    <row r="1329" spans="1:8">
      <c r="A1329" s="28"/>
      <c r="B1329" s="29" t="s">
        <v>2653</v>
      </c>
      <c r="C1329" s="30" t="str">
        <f>IFERROR(_xlfn.XLOOKUP(B1329,Insumo[DESCRIPCION],Insumo[UND],,0),"")</f>
        <v>Kg</v>
      </c>
      <c r="D1329" s="31">
        <v>6.5</v>
      </c>
      <c r="E1329" s="32">
        <f>IFERROR(_xlfn.XLOOKUP($B1329,Insumo[DESCRIPCION],Insumo[VALOR],,0),"")</f>
        <v>5686.8</v>
      </c>
      <c r="F1329" s="33"/>
      <c r="G1329" s="34">
        <f t="shared" si="11"/>
        <v>36964.200000000004</v>
      </c>
      <c r="H1329" s="43">
        <f>IFERROR(G1329*E1325,"")</f>
        <v>0</v>
      </c>
    </row>
    <row r="1330" spans="1:8">
      <c r="A1330" s="28"/>
      <c r="B1330" s="29" t="s">
        <v>3338</v>
      </c>
      <c r="C1330" s="30" t="str">
        <f>IFERROR(_xlfn.XLOOKUP(B1330,Insumo[DESCRIPCION],Insumo[UND],,0),"")</f>
        <v>M</v>
      </c>
      <c r="D1330" s="31">
        <v>12.6</v>
      </c>
      <c r="E1330" s="32">
        <f>IFERROR(_xlfn.XLOOKUP($B1330,Insumo[DESCRIPCION],Insumo[VALOR],,0),"")</f>
        <v>8047.2000000000007</v>
      </c>
      <c r="F1330" s="33"/>
      <c r="G1330" s="34">
        <f t="shared" si="11"/>
        <v>101394.72</v>
      </c>
      <c r="H1330" s="43">
        <f>IFERROR(G1330*E1325,"")</f>
        <v>0</v>
      </c>
    </row>
    <row r="1331" spans="1:8">
      <c r="A1331" s="28"/>
      <c r="B1331" s="29" t="s">
        <v>3048</v>
      </c>
      <c r="C1331" s="30" t="str">
        <f>IFERROR(_xlfn.XLOOKUP(B1331,Insumo[DESCRIPCION],Insumo[UND],,0),"")</f>
        <v>M</v>
      </c>
      <c r="D1331" s="31">
        <v>1.5</v>
      </c>
      <c r="E1331" s="32">
        <f>IFERROR(_xlfn.XLOOKUP($B1331,Insumo[DESCRIPCION],Insumo[VALOR],,0),"")</f>
        <v>4091.8500000000004</v>
      </c>
      <c r="F1331" s="33"/>
      <c r="G1331" s="34">
        <f t="shared" si="11"/>
        <v>6137.7750000000005</v>
      </c>
      <c r="H1331" s="43">
        <f>IFERROR(G1331*E1325,"")</f>
        <v>0</v>
      </c>
    </row>
    <row r="1332" spans="1:8">
      <c r="A1332" s="28"/>
      <c r="B1332" s="29" t="s">
        <v>3253</v>
      </c>
      <c r="C1332" s="30" t="str">
        <f>IFERROR(_xlfn.XLOOKUP(B1332,Insumo[DESCRIPCION],Insumo[UND],,0),"")</f>
        <v>Lb</v>
      </c>
      <c r="D1332" s="31">
        <v>1</v>
      </c>
      <c r="E1332" s="32">
        <f>IFERROR(_xlfn.XLOOKUP($B1332,Insumo[DESCRIPCION],Insumo[VALOR],,0),"")</f>
        <v>6482.7000000000007</v>
      </c>
      <c r="F1332" s="33"/>
      <c r="G1332" s="34">
        <f t="shared" si="11"/>
        <v>6482.7000000000007</v>
      </c>
      <c r="H1332" s="43">
        <f>IFERROR(G1332*E1325,"")</f>
        <v>0</v>
      </c>
    </row>
    <row r="1333" spans="1:8">
      <c r="A1333" s="28"/>
      <c r="B1333" s="29" t="s">
        <v>2699</v>
      </c>
      <c r="C1333" s="30" t="str">
        <f>IFERROR(_xlfn.XLOOKUP(B1333,Insumo[DESCRIPCION],Insumo[UND],,0),"")</f>
        <v>Kg</v>
      </c>
      <c r="D1333" s="31">
        <v>2.06</v>
      </c>
      <c r="E1333" s="32">
        <f>IFERROR(_xlfn.XLOOKUP($B1333,Insumo[DESCRIPCION],Insumo[VALOR],,0),"")</f>
        <v>7665</v>
      </c>
      <c r="F1333" s="33"/>
      <c r="G1333" s="34">
        <f t="shared" si="11"/>
        <v>15789.9</v>
      </c>
      <c r="H1333" s="43">
        <f>IFERROR(G1333*E1325,"")</f>
        <v>0</v>
      </c>
    </row>
    <row r="1334" spans="1:8">
      <c r="A1334" s="28"/>
      <c r="B1334" s="29" t="s">
        <v>2709</v>
      </c>
      <c r="C1334" s="30" t="str">
        <f>IFERROR(_xlfn.XLOOKUP(B1334,Insumo[DESCRIPCION],Insumo[UND],,0),"")</f>
        <v>Kg</v>
      </c>
      <c r="D1334" s="31">
        <v>1.24</v>
      </c>
      <c r="E1334" s="32">
        <f>IFERROR(_xlfn.XLOOKUP($B1334,Insumo[DESCRIPCION],Insumo[VALOR],,0),"")</f>
        <v>14812.35</v>
      </c>
      <c r="F1334" s="33"/>
      <c r="G1334" s="34">
        <f t="shared" si="11"/>
        <v>18367.314000000002</v>
      </c>
      <c r="H1334" s="43">
        <f>IFERROR(G1334*E1325,"")</f>
        <v>0</v>
      </c>
    </row>
    <row r="1335" spans="1:8">
      <c r="A1335" s="21"/>
      <c r="B1335" s="22" t="s">
        <v>3731</v>
      </c>
      <c r="C1335" s="23"/>
      <c r="D1335" s="24"/>
      <c r="E1335" s="25"/>
      <c r="F1335" s="26"/>
      <c r="G1335" s="27">
        <f>SUM(G1336:G1338)</f>
        <v>50547.344639152187</v>
      </c>
      <c r="H1335" s="44">
        <f>G1335*E1325</f>
        <v>0</v>
      </c>
    </row>
    <row r="1336" spans="1:8">
      <c r="A1336" s="28"/>
      <c r="B1336" s="29" t="s">
        <v>3657</v>
      </c>
      <c r="C1336" s="30" t="str">
        <f>IFERROR(_xlfn.XLOOKUP(B1336,Equipo[DESCRIPCION],Equipo[UND],,0),"")</f>
        <v>Día</v>
      </c>
      <c r="D1336" s="31">
        <v>1</v>
      </c>
      <c r="E1336" s="32">
        <f>IF(C1336="%MO",G1342,IFERROR(_xlfn.XLOOKUP($B1336,Equipo[DESCRIPCION],Equipo[VALOR],,0),""))</f>
        <v>56524.65</v>
      </c>
      <c r="F1336" s="33">
        <v>-2.2999999999999998</v>
      </c>
      <c r="G1336" s="34">
        <f>IFERROR(IF(F1336&gt;=0,D1336*E1336*(1+F1336/100),ABS(D1336*E1336/F1336)),"")</f>
        <v>24575.9347826087</v>
      </c>
      <c r="H1336" s="43">
        <f>IFERROR(G1336*E1325,"")</f>
        <v>0</v>
      </c>
    </row>
    <row r="1337" spans="1:8">
      <c r="A1337" s="28"/>
      <c r="B1337" s="29" t="s">
        <v>3570</v>
      </c>
      <c r="C1337" s="30" t="str">
        <f>IFERROR(_xlfn.XLOOKUP(B1337,Equipo[DESCRIPCION],Equipo[UND],,0),"")</f>
        <v>%MO</v>
      </c>
      <c r="D1337" s="31">
        <v>0.04</v>
      </c>
      <c r="E1337" s="32">
        <f>IF(C1337="%MO",G1342,IFERROR(_xlfn.XLOOKUP($B1337,Equipo[DESCRIPCION],Equipo[VALOR],,0),""))</f>
        <v>288571.22062826098</v>
      </c>
      <c r="F1337" s="33"/>
      <c r="G1337" s="34">
        <f>IFERROR(IF(F1337&gt;=0,D1337*E1337*(1+F1337/100),ABS(D1337*E1337/F1337)),"")</f>
        <v>11542.848825130439</v>
      </c>
      <c r="H1337" s="43">
        <f>IFERROR(G1337*E1325,"")</f>
        <v>0</v>
      </c>
    </row>
    <row r="1338" spans="1:8">
      <c r="A1338" s="28"/>
      <c r="B1338" s="29" t="s">
        <v>3626</v>
      </c>
      <c r="C1338" s="30" t="str">
        <f>IFERROR(_xlfn.XLOOKUP(B1338,Equipo[DESCRIPCION],Equipo[UND],,0),"")</f>
        <v>%MO</v>
      </c>
      <c r="D1338" s="31">
        <v>0.05</v>
      </c>
      <c r="E1338" s="32">
        <f>IF(C1338="%MO",G1342,IFERROR(_xlfn.XLOOKUP($B1338,Equipo[DESCRIPCION],Equipo[VALOR],,0),""))</f>
        <v>288571.22062826098</v>
      </c>
      <c r="F1338" s="33"/>
      <c r="G1338" s="34">
        <f>IFERROR(IF(F1338&gt;=0,D1338*E1338*(1+F1338/100),ABS(D1338*E1338/F1338)),"")</f>
        <v>14428.56103141305</v>
      </c>
      <c r="H1338" s="43">
        <f>IFERROR(G1338*E1325,"")</f>
        <v>0</v>
      </c>
    </row>
    <row r="1339" spans="1:8">
      <c r="A1339" s="21"/>
      <c r="B1339" s="22" t="s">
        <v>2533</v>
      </c>
      <c r="C1339" s="23"/>
      <c r="D1339" s="24"/>
      <c r="E1339" s="25"/>
      <c r="F1339" s="26"/>
      <c r="G1339" s="27">
        <f>SUM(G1340:G1341)</f>
        <v>0</v>
      </c>
      <c r="H1339" s="44">
        <f>G1339*E1325</f>
        <v>0</v>
      </c>
    </row>
    <row r="1340" spans="1:8">
      <c r="A1340" s="28"/>
      <c r="B1340" s="29"/>
      <c r="C1340" s="30" t="str">
        <f>IFERROR(_xlfn.XLOOKUP(B1340,Transporte[DESCRIPCION],Transporte[UND],,0),"")</f>
        <v/>
      </c>
      <c r="D1340" s="31"/>
      <c r="E1340" s="32" t="str">
        <f>IFERROR(_xlfn.XLOOKUP($B1340,Transporte[DESCRIPCION],Transporte[VALOR],,0),"")</f>
        <v/>
      </c>
      <c r="F1340" s="33"/>
      <c r="G1340" s="34" t="str">
        <f>IFERROR(IF(F1340&gt;=0,D1340*E1340*(1+F1340/100),ABS(D1340*E1340/F1340)),"")</f>
        <v/>
      </c>
      <c r="H1340" s="43" t="str">
        <f>IFERROR(G1340*E1325,"")</f>
        <v/>
      </c>
    </row>
    <row r="1341" spans="1:8">
      <c r="A1341" s="28"/>
      <c r="B1341" s="29"/>
      <c r="C1341" s="30" t="str">
        <f>IFERROR(_xlfn.XLOOKUP(B1341,Transporte[DESCRIPCION],Transporte[UND],,0),"")</f>
        <v/>
      </c>
      <c r="D1341" s="31"/>
      <c r="E1341" s="32" t="str">
        <f>IFERROR(_xlfn.XLOOKUP($B1341,Transporte[DESCRIPCION],Transporte[VALOR],,0),"")</f>
        <v/>
      </c>
      <c r="F1341" s="33"/>
      <c r="G1341" s="34" t="str">
        <f>IFERROR(IF(F1341&gt;=0,D1341*E1341*(1+F1341/100),ABS(D1341*E1341/F1341)),"")</f>
        <v/>
      </c>
      <c r="H1341" s="43" t="str">
        <f>IFERROR(G1341*E1325,"")</f>
        <v/>
      </c>
    </row>
    <row r="1342" spans="1:8">
      <c r="A1342" s="21"/>
      <c r="B1342" s="22" t="s">
        <v>3732</v>
      </c>
      <c r="C1342" s="23"/>
      <c r="D1342" s="24"/>
      <c r="E1342" s="25"/>
      <c r="F1342" s="26"/>
      <c r="G1342" s="27">
        <f>SUM(G1343:G1345)</f>
        <v>288571.22062826098</v>
      </c>
      <c r="H1342" s="44">
        <f>G1342*E1325</f>
        <v>0</v>
      </c>
    </row>
    <row r="1343" spans="1:8">
      <c r="A1343" s="28"/>
      <c r="B1343" s="29" t="s">
        <v>3713</v>
      </c>
      <c r="C1343" s="30" t="str">
        <f>IFERROR(_xlfn.XLOOKUP(B1343,MObra[DESCRIPCION],MObra[UN],,0),"")</f>
        <v>día</v>
      </c>
      <c r="D1343" s="31">
        <v>1</v>
      </c>
      <c r="E1343" s="32">
        <f>IFERROR(_xlfn.XLOOKUP($B1343,MObra[DESCRIPCION],MObra[VALOR UNIT],,0),"")</f>
        <v>663713.80744500016</v>
      </c>
      <c r="F1343" s="33">
        <v>-2.2999999999999998</v>
      </c>
      <c r="G1343" s="34">
        <f>IFERROR(IF(F1343&gt;=0,D1343*E1343*(1+F1343/100),ABS(D1343*E1343/F1343)),"")</f>
        <v>288571.22062826098</v>
      </c>
      <c r="H1343" s="43">
        <f>IFERROR(G1343*E1325,"")</f>
        <v>0</v>
      </c>
    </row>
    <row r="1344" spans="1:8">
      <c r="A1344" s="28"/>
      <c r="B1344" s="29"/>
      <c r="C1344" s="30" t="str">
        <f>IFERROR(_xlfn.XLOOKUP(B1344,MObra[DESCRIPCION],MObra[UN],,0),"")</f>
        <v/>
      </c>
      <c r="D1344" s="31"/>
      <c r="E1344" s="32" t="str">
        <f>IFERROR(_xlfn.XLOOKUP($B1344,MObra[DESCRIPCION],MObra[VALOR UNIT],,0),"")</f>
        <v/>
      </c>
      <c r="F1344" s="33"/>
      <c r="G1344" s="34" t="str">
        <f>IFERROR(IF(F1344&gt;=0,D1344*E1344*(1+F1344/100),ABS(D1344*E1344/F1344)),"")</f>
        <v/>
      </c>
      <c r="H1344" s="43" t="str">
        <f>IFERROR(G1344*E1325,"")</f>
        <v/>
      </c>
    </row>
    <row r="1345" spans="1:11">
      <c r="A1345" s="35"/>
      <c r="B1345" s="36"/>
      <c r="C1345" s="37" t="str">
        <f>IFERROR(_xlfn.XLOOKUP(B1345,MObra[DESCRIPCION],MObra[UN],,0),"")</f>
        <v/>
      </c>
      <c r="D1345" s="38"/>
      <c r="E1345" s="39" t="str">
        <f>IFERROR(_xlfn.XLOOKUP($B1345,MObra[DESCRIPCION],MObra[VALOR UNIT],,0),"")</f>
        <v/>
      </c>
      <c r="F1345" s="40"/>
      <c r="G1345" s="41" t="str">
        <f>IFERROR(IF(F1345&gt;=0,D1345*E1345*(1+F1345/100),ABS(D1345*E1345/F1345)),"")</f>
        <v/>
      </c>
      <c r="H1345" s="42" t="str">
        <f>IFERROR(G1345*E1325,"")</f>
        <v/>
      </c>
    </row>
    <row r="1346" spans="1:11" ht="12.75" customHeight="1"/>
    <row r="1347" spans="1:11">
      <c r="A1347" s="6" t="s">
        <v>1858</v>
      </c>
      <c r="B1347" s="7" t="str">
        <f>VLOOKUP($A1347,Presupuesto!$A:$D,2,FALSE())</f>
        <v>Muro mecánicamente estabilizado con material del sitio</v>
      </c>
      <c r="C1347" s="8" t="str">
        <f>VLOOKUP($A1347,Presupuesto!$A:$D,3,FALSE())</f>
        <v>M3</v>
      </c>
      <c r="D1347" s="9"/>
      <c r="E1347" s="10">
        <f>VLOOKUP($A1347,Presupuesto!$A:$D,4,FALSE())</f>
        <v>0</v>
      </c>
      <c r="F1347" s="11" t="s">
        <v>2589</v>
      </c>
      <c r="G1347" s="12">
        <f>SUM(G1349:G1367)/2</f>
        <v>64444.808308781263</v>
      </c>
      <c r="H1347" s="13">
        <f>ROUND(SUM(H1349:H1367),0)/2</f>
        <v>0</v>
      </c>
      <c r="I1347" s="10">
        <f>VLOOKUP(A1347,Presupuesto!$A:$F,6,0)</f>
        <v>0</v>
      </c>
      <c r="J1347" s="10">
        <f>+H1347-I1347</f>
        <v>0</v>
      </c>
      <c r="K1347" s="46">
        <f>+H1347-G1347*E1347</f>
        <v>0</v>
      </c>
    </row>
    <row r="1348" spans="1:11">
      <c r="A1348" s="14"/>
      <c r="B1348" s="15" t="s">
        <v>2586</v>
      </c>
      <c r="C1348" s="15" t="s">
        <v>5</v>
      </c>
      <c r="D1348" s="16" t="s">
        <v>6</v>
      </c>
      <c r="E1348" s="17" t="s">
        <v>7</v>
      </c>
      <c r="F1348" s="18" t="s">
        <v>3728</v>
      </c>
      <c r="G1348" s="19" t="s">
        <v>3729</v>
      </c>
      <c r="H1348" s="20" t="s">
        <v>3797</v>
      </c>
    </row>
    <row r="1349" spans="1:11">
      <c r="A1349" s="21"/>
      <c r="B1349" s="22" t="s">
        <v>3730</v>
      </c>
      <c r="C1349" s="23"/>
      <c r="D1349" s="24"/>
      <c r="E1349" s="25"/>
      <c r="F1349" s="26"/>
      <c r="G1349" s="27">
        <f>SUM(G1350:G1354)</f>
        <v>23273.775000000001</v>
      </c>
      <c r="H1349" s="27">
        <f>IFERROR(G1349*E1347,"")</f>
        <v>0</v>
      </c>
    </row>
    <row r="1350" spans="1:11">
      <c r="A1350" s="28"/>
      <c r="B1350" s="29" t="s">
        <v>2991</v>
      </c>
      <c r="C1350" s="30" t="str">
        <f>IFERROR(_xlfn.XLOOKUP(B1350,Insumo[DESCRIPCION],Insumo[UND],,0),"")</f>
        <v>Un</v>
      </c>
      <c r="D1350" s="31">
        <v>1</v>
      </c>
      <c r="E1350" s="32">
        <f>IFERROR(_xlfn.XLOOKUP($B1350,Insumo[DESCRIPCION],Insumo[VALOR],,0),"")</f>
        <v>10798.2</v>
      </c>
      <c r="F1350" s="33">
        <v>5</v>
      </c>
      <c r="G1350" s="34">
        <f>IFERROR(IF(F1350&gt;=0,D1350*E1350*(1+F1350/100),ABS(D1350*E1350/F1350)),"")</f>
        <v>11338.11</v>
      </c>
      <c r="H1350" s="43">
        <f>IFERROR(G1350*E1347,"")</f>
        <v>0</v>
      </c>
    </row>
    <row r="1351" spans="1:11">
      <c r="A1351" s="28"/>
      <c r="B1351" s="29" t="s">
        <v>2901</v>
      </c>
      <c r="C1351" s="30" t="str">
        <f>IFERROR(_xlfn.XLOOKUP(B1351,Insumo[DESCRIPCION],Insumo[UND],,0),"")</f>
        <v>M</v>
      </c>
      <c r="D1351" s="31">
        <v>2</v>
      </c>
      <c r="E1351" s="32">
        <f>IFERROR(_xlfn.XLOOKUP($B1351,Insumo[DESCRIPCION],Insumo[VALOR],,0),"")</f>
        <v>5683.6500000000005</v>
      </c>
      <c r="F1351" s="33">
        <v>5</v>
      </c>
      <c r="G1351" s="34">
        <f>IFERROR(IF(F1351&gt;=0,D1351*E1351*(1+F1351/100),ABS(D1351*E1351/F1351)),"")</f>
        <v>11935.665000000001</v>
      </c>
      <c r="H1351" s="43">
        <f>IFERROR(G1351*E1347,"")</f>
        <v>0</v>
      </c>
    </row>
    <row r="1352" spans="1:11">
      <c r="A1352" s="28"/>
      <c r="B1352" s="29"/>
      <c r="C1352" s="30" t="str">
        <f>IFERROR(_xlfn.XLOOKUP(B1352,Insumo[DESCRIPCION],Insumo[UND],,0),"")</f>
        <v/>
      </c>
      <c r="D1352" s="31"/>
      <c r="E1352" s="32" t="str">
        <f>IFERROR(_xlfn.XLOOKUP($B1352,Insumo[DESCRIPCION],Insumo[VALOR],,0),"")</f>
        <v/>
      </c>
      <c r="F1352" s="33"/>
      <c r="G1352" s="34" t="str">
        <f>IFERROR(IF(F1352&gt;=0,D1352*E1352*(1+F1352/100),ABS(D1352*E1352/F1352)),"")</f>
        <v/>
      </c>
      <c r="H1352" s="43" t="str">
        <f>IFERROR(G1352*E1347,"")</f>
        <v/>
      </c>
    </row>
    <row r="1353" spans="1:11">
      <c r="A1353" s="28"/>
      <c r="B1353" s="29"/>
      <c r="C1353" s="30" t="str">
        <f>IFERROR(_xlfn.XLOOKUP(B1353,Insumo[DESCRIPCION],Insumo[UND],,0),"")</f>
        <v/>
      </c>
      <c r="D1353" s="31"/>
      <c r="E1353" s="32" t="str">
        <f>IFERROR(_xlfn.XLOOKUP($B1353,Insumo[DESCRIPCION],Insumo[VALOR],,0),"")</f>
        <v/>
      </c>
      <c r="F1353" s="33"/>
      <c r="G1353" s="34" t="str">
        <f>IFERROR(IF(F1353&gt;=0,D1353*E1353*(1+F1353/100),ABS(D1353*E1353/F1353)),"")</f>
        <v/>
      </c>
      <c r="H1353" s="43" t="str">
        <f>IFERROR(G1353*E1347,"")</f>
        <v/>
      </c>
    </row>
    <row r="1354" spans="1:11">
      <c r="A1354" s="28"/>
      <c r="B1354" s="29"/>
      <c r="C1354" s="30" t="str">
        <f>IFERROR(_xlfn.XLOOKUP(B1354,Insumo[DESCRIPCION],Insumo[UND],,0),"")</f>
        <v/>
      </c>
      <c r="D1354" s="31"/>
      <c r="E1354" s="32" t="str">
        <f>IFERROR(_xlfn.XLOOKUP($B1354,Insumo[DESCRIPCION],Insumo[VALOR],,0),"")</f>
        <v/>
      </c>
      <c r="F1354" s="33"/>
      <c r="G1354" s="34" t="str">
        <f>IFERROR(IF(F1354&gt;=0,D1354*E1354*(1+F1354/100),ABS(D1354*E1354/F1354)),"")</f>
        <v/>
      </c>
      <c r="H1354" s="43" t="str">
        <f>IFERROR(G1354*E1347,"")</f>
        <v/>
      </c>
    </row>
    <row r="1355" spans="1:11">
      <c r="A1355" s="21"/>
      <c r="B1355" s="22" t="s">
        <v>3731</v>
      </c>
      <c r="C1355" s="23"/>
      <c r="D1355" s="24"/>
      <c r="E1355" s="25"/>
      <c r="F1355" s="26"/>
      <c r="G1355" s="27">
        <f>SUM(G1356:G1360)</f>
        <v>35187.258728989582</v>
      </c>
      <c r="H1355" s="44">
        <f>G1355*E1347</f>
        <v>0</v>
      </c>
    </row>
    <row r="1356" spans="1:11">
      <c r="A1356" s="28"/>
      <c r="B1356" s="29" t="s">
        <v>3592</v>
      </c>
      <c r="C1356" s="30" t="str">
        <f>IFERROR(_xlfn.XLOOKUP(B1356,Equipo[DESCRIPCION],Equipo[UND],,0),"")</f>
        <v>Hr</v>
      </c>
      <c r="D1356" s="31">
        <v>1</v>
      </c>
      <c r="E1356" s="32">
        <f>IF(C1356="%MO",G1364,IFERROR(_xlfn.XLOOKUP($B1356,Equipo[DESCRIPCION],Equipo[VALOR],,0),""))</f>
        <v>115500</v>
      </c>
      <c r="F1356" s="33">
        <v>-15</v>
      </c>
      <c r="G1356" s="34">
        <f>IFERROR(IF(F1356&gt;=0,D1356*E1356*(1+F1356/100),ABS(D1356*E1356/F1356)),"")</f>
        <v>7700</v>
      </c>
      <c r="H1356" s="43">
        <f>IFERROR(G1356*E1347,"")</f>
        <v>0</v>
      </c>
    </row>
    <row r="1357" spans="1:11">
      <c r="A1357" s="28"/>
      <c r="B1357" s="29" t="s">
        <v>3586</v>
      </c>
      <c r="C1357" s="30" t="str">
        <f>IFERROR(_xlfn.XLOOKUP(B1357,Equipo[DESCRIPCION],Equipo[UND],,0),"")</f>
        <v>Hr</v>
      </c>
      <c r="D1357" s="31">
        <v>1</v>
      </c>
      <c r="E1357" s="32">
        <f>IF(C1357="%MO",G1364,IFERROR(_xlfn.XLOOKUP($B1357,Equipo[DESCRIPCION],Equipo[VALOR],,0),""))</f>
        <v>244939.80000000002</v>
      </c>
      <c r="F1357" s="33">
        <v>-15</v>
      </c>
      <c r="G1357" s="34">
        <f>IFERROR(IF(F1357&gt;=0,D1357*E1357*(1+F1357/100),ABS(D1357*E1357/F1357)),"")</f>
        <v>16329.320000000002</v>
      </c>
      <c r="H1357" s="43">
        <f>IFERROR(G1357*E1347,"")</f>
        <v>0</v>
      </c>
    </row>
    <row r="1358" spans="1:11">
      <c r="A1358" s="28"/>
      <c r="B1358" s="29" t="s">
        <v>3659</v>
      </c>
      <c r="C1358" s="30" t="str">
        <f>IFERROR(_xlfn.XLOOKUP(B1358,Equipo[DESCRIPCION],Equipo[UND],,0),"")</f>
        <v>Hr</v>
      </c>
      <c r="D1358" s="31">
        <v>1</v>
      </c>
      <c r="E1358" s="32">
        <f>IF(C1358="%MO",G1364,IFERROR(_xlfn.XLOOKUP($B1358,Equipo[DESCRIPCION],Equipo[VALOR],,0),""))</f>
        <v>89250</v>
      </c>
      <c r="F1358" s="33">
        <v>-15</v>
      </c>
      <c r="G1358" s="34">
        <f>IFERROR(IF(F1358&gt;=0,D1358*E1358*(1+F1358/100),ABS(D1358*E1358/F1358)),"")</f>
        <v>5950</v>
      </c>
      <c r="H1358" s="43">
        <f>IFERROR(G1358*E1347,"")</f>
        <v>0</v>
      </c>
    </row>
    <row r="1359" spans="1:11">
      <c r="A1359" s="28"/>
      <c r="B1359" s="29" t="s">
        <v>3651</v>
      </c>
      <c r="C1359" s="30" t="str">
        <f>IFERROR(_xlfn.XLOOKUP(B1359,Equipo[DESCRIPCION],Equipo[UND],,0),"")</f>
        <v>Día</v>
      </c>
      <c r="D1359" s="31">
        <v>1</v>
      </c>
      <c r="E1359" s="32">
        <f>IF(C1359="%MO",G1364,IFERROR(_xlfn.XLOOKUP($B1359,Equipo[DESCRIPCION],Equipo[VALOR],,0),""))</f>
        <v>981.75</v>
      </c>
      <c r="F1359" s="33">
        <v>-0.2</v>
      </c>
      <c r="G1359" s="34">
        <f>IFERROR(IF(F1359&gt;=0,D1359*E1359*(1+F1359/100),ABS(D1359*E1359/F1359)),"")</f>
        <v>4908.75</v>
      </c>
      <c r="H1359" s="43">
        <f>IFERROR(G1359*E1347,"")</f>
        <v>0</v>
      </c>
    </row>
    <row r="1360" spans="1:11">
      <c r="A1360" s="28"/>
      <c r="B1360" s="29" t="s">
        <v>3626</v>
      </c>
      <c r="C1360" s="30" t="str">
        <f>IFERROR(_xlfn.XLOOKUP(B1360,Equipo[DESCRIPCION],Equipo[UND],,0),"")</f>
        <v>%MO</v>
      </c>
      <c r="D1360" s="31">
        <v>0.05</v>
      </c>
      <c r="E1360" s="32">
        <f>IF(C1360="%MO",G1364,IFERROR(_xlfn.XLOOKUP($B1360,Equipo[DESCRIPCION],Equipo[VALOR],,0),""))</f>
        <v>5983.7745797916677</v>
      </c>
      <c r="F1360" s="33"/>
      <c r="G1360" s="34">
        <f>IFERROR(IF(F1360&gt;=0,D1360*E1360*(1+F1360/100),ABS(D1360*E1360/F1360)),"")</f>
        <v>299.18872898958341</v>
      </c>
      <c r="H1360" s="43">
        <f>IFERROR(G1360*E1347,"")</f>
        <v>0</v>
      </c>
    </row>
    <row r="1361" spans="1:11">
      <c r="A1361" s="21"/>
      <c r="B1361" s="22" t="s">
        <v>2533</v>
      </c>
      <c r="C1361" s="23"/>
      <c r="D1361" s="24"/>
      <c r="E1361" s="25"/>
      <c r="F1361" s="26"/>
      <c r="G1361" s="27">
        <f>SUM(G1362:G1363)</f>
        <v>0</v>
      </c>
      <c r="H1361" s="44">
        <f>G1361*E1347</f>
        <v>0</v>
      </c>
    </row>
    <row r="1362" spans="1:11">
      <c r="A1362" s="28"/>
      <c r="B1362" s="29"/>
      <c r="C1362" s="30" t="str">
        <f>IFERROR(_xlfn.XLOOKUP(B1362,Transporte[DESCRIPCION],Transporte[UND],,0),"")</f>
        <v/>
      </c>
      <c r="D1362" s="31"/>
      <c r="E1362" s="32" t="str">
        <f>IFERROR(_xlfn.XLOOKUP($B1362,Transporte[DESCRIPCION],Transporte[VALOR],,0),"")</f>
        <v/>
      </c>
      <c r="F1362" s="33"/>
      <c r="G1362" s="34" t="str">
        <f>IFERROR(IF(F1362&gt;=0,D1362*E1362*(1+F1362/100),ABS(D1362*E1362/F1362)),"")</f>
        <v/>
      </c>
      <c r="H1362" s="43" t="str">
        <f>IFERROR(G1362*E1347,"")</f>
        <v/>
      </c>
    </row>
    <row r="1363" spans="1:11">
      <c r="A1363" s="28"/>
      <c r="B1363" s="29"/>
      <c r="C1363" s="30" t="str">
        <f>IFERROR(_xlfn.XLOOKUP(B1363,Transporte[DESCRIPCION],Transporte[UND],,0),"")</f>
        <v/>
      </c>
      <c r="D1363" s="31"/>
      <c r="E1363" s="32" t="str">
        <f>IFERROR(_xlfn.XLOOKUP($B1363,Transporte[DESCRIPCION],Transporte[VALOR],,0),"")</f>
        <v/>
      </c>
      <c r="F1363" s="33"/>
      <c r="G1363" s="34" t="str">
        <f>IFERROR(IF(F1363&gt;=0,D1363*E1363*(1+F1363/100),ABS(D1363*E1363/F1363)),"")</f>
        <v/>
      </c>
      <c r="H1363" s="43" t="str">
        <f>IFERROR(G1363*E1347,"")</f>
        <v/>
      </c>
    </row>
    <row r="1364" spans="1:11">
      <c r="A1364" s="21"/>
      <c r="B1364" s="22" t="s">
        <v>3732</v>
      </c>
      <c r="C1364" s="23"/>
      <c r="D1364" s="24"/>
      <c r="E1364" s="25"/>
      <c r="F1364" s="26"/>
      <c r="G1364" s="27">
        <f>SUM(G1365:G1367)</f>
        <v>5983.7745797916677</v>
      </c>
      <c r="H1364" s="44">
        <f>G1364*E1347</f>
        <v>0</v>
      </c>
    </row>
    <row r="1365" spans="1:11">
      <c r="A1365" s="28"/>
      <c r="B1365" s="29" t="s">
        <v>3711</v>
      </c>
      <c r="C1365" s="30" t="str">
        <f>IFERROR(_xlfn.XLOOKUP(B1365,MObra[DESCRIPCION],MObra[UN],,0),"")</f>
        <v>día</v>
      </c>
      <c r="D1365" s="31">
        <v>1</v>
      </c>
      <c r="E1365" s="32">
        <f>IFERROR(_xlfn.XLOOKUP($B1365,MObra[DESCRIPCION],MObra[VALOR UNIT],,0),"")</f>
        <v>430831.76974500006</v>
      </c>
      <c r="F1365" s="33">
        <v>-72</v>
      </c>
      <c r="G1365" s="34">
        <f>IFERROR(IF(F1365&gt;=0,D1365*E1365*(1+F1365/100),ABS(D1365*E1365/F1365)),"")</f>
        <v>5983.7745797916677</v>
      </c>
      <c r="H1365" s="43">
        <f>IFERROR(G1365*E1347,"")</f>
        <v>0</v>
      </c>
    </row>
    <row r="1366" spans="1:11">
      <c r="A1366" s="28"/>
      <c r="B1366" s="29"/>
      <c r="C1366" s="30" t="str">
        <f>IFERROR(_xlfn.XLOOKUP(B1366,MObra[DESCRIPCION],MObra[UN],,0),"")</f>
        <v/>
      </c>
      <c r="D1366" s="31"/>
      <c r="E1366" s="32" t="str">
        <f>IFERROR(_xlfn.XLOOKUP($B1366,MObra[DESCRIPCION],MObra[VALOR UNIT],,0),"")</f>
        <v/>
      </c>
      <c r="F1366" s="33"/>
      <c r="G1366" s="34" t="str">
        <f>IFERROR(IF(F1366&gt;=0,D1366*E1366*(1+F1366/100),ABS(D1366*E1366/F1366)),"")</f>
        <v/>
      </c>
      <c r="H1366" s="43" t="str">
        <f>IFERROR(G1366*E1347,"")</f>
        <v/>
      </c>
    </row>
    <row r="1367" spans="1:11">
      <c r="A1367" s="35"/>
      <c r="B1367" s="36"/>
      <c r="C1367" s="37" t="str">
        <f>IFERROR(_xlfn.XLOOKUP(B1367,MObra[DESCRIPCION],MObra[UN],,0),"")</f>
        <v/>
      </c>
      <c r="D1367" s="38"/>
      <c r="E1367" s="39" t="str">
        <f>IFERROR(_xlfn.XLOOKUP($B1367,MObra[DESCRIPCION],MObra[VALOR UNIT],,0),"")</f>
        <v/>
      </c>
      <c r="F1367" s="40"/>
      <c r="G1367" s="41" t="str">
        <f>IFERROR(IF(F1367&gt;=0,D1367*E1367*(1+F1367/100),ABS(D1367*E1367/F1367)),"")</f>
        <v/>
      </c>
      <c r="H1367" s="42" t="str">
        <f>IFERROR(G1367*E1347,"")</f>
        <v/>
      </c>
    </row>
    <row r="1368" spans="1:11" ht="12.75" customHeight="1"/>
    <row r="1369" spans="1:11">
      <c r="A1369" s="6" t="s">
        <v>1860</v>
      </c>
      <c r="B1369" s="7" t="str">
        <f>VLOOKUP($A1369,Presupuesto!$A:$D,2,FALSE())</f>
        <v>Muro mecánicamente estabilizado con material transportado</v>
      </c>
      <c r="C1369" s="8" t="str">
        <f>VLOOKUP($A1369,Presupuesto!$A:$D,3,FALSE())</f>
        <v>M3</v>
      </c>
      <c r="D1369" s="9"/>
      <c r="E1369" s="10">
        <f>VLOOKUP($A1369,Presupuesto!$A:$D,4,FALSE())</f>
        <v>0</v>
      </c>
      <c r="F1369" s="11" t="s">
        <v>2589</v>
      </c>
      <c r="G1369" s="12">
        <f>SUM(G1371:G1389)/2</f>
        <v>113050.46227643003</v>
      </c>
      <c r="H1369" s="13">
        <f>ROUND(SUM(H1371:H1389),0)/2</f>
        <v>0</v>
      </c>
      <c r="I1369" s="10">
        <f>VLOOKUP(A1369,Presupuesto!$A:$F,6,0)</f>
        <v>0</v>
      </c>
      <c r="J1369" s="10">
        <f>+H1369-I1369</f>
        <v>0</v>
      </c>
      <c r="K1369" s="46">
        <f>+H1369-G1369*E1369</f>
        <v>0</v>
      </c>
    </row>
    <row r="1370" spans="1:11">
      <c r="A1370" s="14"/>
      <c r="B1370" s="15" t="s">
        <v>2586</v>
      </c>
      <c r="C1370" s="15" t="s">
        <v>5</v>
      </c>
      <c r="D1370" s="16" t="s">
        <v>6</v>
      </c>
      <c r="E1370" s="17" t="s">
        <v>7</v>
      </c>
      <c r="F1370" s="18" t="s">
        <v>3728</v>
      </c>
      <c r="G1370" s="19" t="s">
        <v>3729</v>
      </c>
      <c r="H1370" s="20" t="s">
        <v>3797</v>
      </c>
    </row>
    <row r="1371" spans="1:11">
      <c r="A1371" s="21"/>
      <c r="B1371" s="22" t="s">
        <v>3730</v>
      </c>
      <c r="C1371" s="23"/>
      <c r="D1371" s="24"/>
      <c r="E1371" s="25"/>
      <c r="F1371" s="26"/>
      <c r="G1371" s="27">
        <f>SUM(G1372:G1376)</f>
        <v>72130.747499999998</v>
      </c>
      <c r="H1371" s="27">
        <f>IFERROR(G1371*E1369,"")</f>
        <v>0</v>
      </c>
    </row>
    <row r="1372" spans="1:11">
      <c r="A1372" s="28"/>
      <c r="B1372" s="29" t="s">
        <v>3394</v>
      </c>
      <c r="C1372" s="30" t="str">
        <f>IFERROR(_xlfn.XLOOKUP(B1372,Insumo[DESCRIPCION],Insumo[UND],,0),"")</f>
        <v>M3</v>
      </c>
      <c r="D1372" s="31">
        <v>1</v>
      </c>
      <c r="E1372" s="32">
        <f>IFERROR(_xlfn.XLOOKUP($B1372,Insumo[DESCRIPCION],Insumo[VALOR],,0),"")</f>
        <v>36190.35</v>
      </c>
      <c r="F1372" s="33">
        <v>35</v>
      </c>
      <c r="G1372" s="34">
        <f>IFERROR(IF(F1372&gt;=0,D1372*E1372*(1+F1372/100),ABS(D1372*E1372/F1372)),"")</f>
        <v>48856.972500000003</v>
      </c>
      <c r="H1372" s="43">
        <f>IFERROR(G1372*E1369,"")</f>
        <v>0</v>
      </c>
    </row>
    <row r="1373" spans="1:11">
      <c r="A1373" s="28"/>
      <c r="B1373" s="29" t="s">
        <v>2991</v>
      </c>
      <c r="C1373" s="30" t="str">
        <f>IFERROR(_xlfn.XLOOKUP(B1373,Insumo[DESCRIPCION],Insumo[UND],,0),"")</f>
        <v>Un</v>
      </c>
      <c r="D1373" s="31">
        <v>1</v>
      </c>
      <c r="E1373" s="32">
        <f>IFERROR(_xlfn.XLOOKUP($B1373,Insumo[DESCRIPCION],Insumo[VALOR],,0),"")</f>
        <v>10798.2</v>
      </c>
      <c r="F1373" s="33">
        <v>5</v>
      </c>
      <c r="G1373" s="34">
        <f>IFERROR(IF(F1373&gt;=0,D1373*E1373*(1+F1373/100),ABS(D1373*E1373/F1373)),"")</f>
        <v>11338.11</v>
      </c>
      <c r="H1373" s="43">
        <f>IFERROR(G1373*E1369,"")</f>
        <v>0</v>
      </c>
    </row>
    <row r="1374" spans="1:11">
      <c r="A1374" s="28"/>
      <c r="B1374" s="29" t="s">
        <v>2901</v>
      </c>
      <c r="C1374" s="30" t="str">
        <f>IFERROR(_xlfn.XLOOKUP(B1374,Insumo[DESCRIPCION],Insumo[UND],,0),"")</f>
        <v>M</v>
      </c>
      <c r="D1374" s="31">
        <v>2</v>
      </c>
      <c r="E1374" s="32">
        <f>IFERROR(_xlfn.XLOOKUP($B1374,Insumo[DESCRIPCION],Insumo[VALOR],,0),"")</f>
        <v>5683.6500000000005</v>
      </c>
      <c r="F1374" s="33">
        <v>5</v>
      </c>
      <c r="G1374" s="34">
        <f>IFERROR(IF(F1374&gt;=0,D1374*E1374*(1+F1374/100),ABS(D1374*E1374/F1374)),"")</f>
        <v>11935.665000000001</v>
      </c>
      <c r="H1374" s="43">
        <f>IFERROR(G1374*E1369,"")</f>
        <v>0</v>
      </c>
    </row>
    <row r="1375" spans="1:11">
      <c r="A1375" s="28"/>
      <c r="B1375" s="29"/>
      <c r="C1375" s="30" t="str">
        <f>IFERROR(_xlfn.XLOOKUP(B1375,Insumo[DESCRIPCION],Insumo[UND],,0),"")</f>
        <v/>
      </c>
      <c r="D1375" s="31"/>
      <c r="E1375" s="32" t="str">
        <f>IFERROR(_xlfn.XLOOKUP($B1375,Insumo[DESCRIPCION],Insumo[VALOR],,0),"")</f>
        <v/>
      </c>
      <c r="F1375" s="33"/>
      <c r="G1375" s="34" t="str">
        <f>IFERROR(IF(F1375&gt;=0,D1375*E1375*(1+F1375/100),ABS(D1375*E1375/F1375)),"")</f>
        <v/>
      </c>
      <c r="H1375" s="43" t="str">
        <f>IFERROR(G1375*E1369,"")</f>
        <v/>
      </c>
    </row>
    <row r="1376" spans="1:11">
      <c r="A1376" s="28"/>
      <c r="B1376" s="29"/>
      <c r="C1376" s="30" t="str">
        <f>IFERROR(_xlfn.XLOOKUP(B1376,Insumo[DESCRIPCION],Insumo[UND],,0),"")</f>
        <v/>
      </c>
      <c r="D1376" s="31"/>
      <c r="E1376" s="32" t="str">
        <f>IFERROR(_xlfn.XLOOKUP($B1376,Insumo[DESCRIPCION],Insumo[VALOR],,0),"")</f>
        <v/>
      </c>
      <c r="F1376" s="33"/>
      <c r="G1376" s="34" t="str">
        <f>IFERROR(IF(F1376&gt;=0,D1376*E1376*(1+F1376/100),ABS(D1376*E1376/F1376)),"")</f>
        <v/>
      </c>
      <c r="H1376" s="43" t="str">
        <f>IFERROR(G1376*E1369,"")</f>
        <v/>
      </c>
    </row>
    <row r="1377" spans="1:11">
      <c r="A1377" s="21"/>
      <c r="B1377" s="22" t="s">
        <v>3731</v>
      </c>
      <c r="C1377" s="23"/>
      <c r="D1377" s="24"/>
      <c r="E1377" s="25"/>
      <c r="F1377" s="26"/>
      <c r="G1377" s="27">
        <f>SUM(G1378:G1382)</f>
        <v>35175.291179829997</v>
      </c>
      <c r="H1377" s="44">
        <f>G1377*E1369</f>
        <v>0</v>
      </c>
    </row>
    <row r="1378" spans="1:11">
      <c r="A1378" s="28"/>
      <c r="B1378" s="29" t="s">
        <v>3592</v>
      </c>
      <c r="C1378" s="30" t="str">
        <f>IFERROR(_xlfn.XLOOKUP(B1378,Equipo[DESCRIPCION],Equipo[UND],,0),"")</f>
        <v>Hr</v>
      </c>
      <c r="D1378" s="31">
        <v>1</v>
      </c>
      <c r="E1378" s="32">
        <f>IF(C1378="%MO",G1386,IFERROR(_xlfn.XLOOKUP($B1378,Equipo[DESCRIPCION],Equipo[VALOR],,0),""))</f>
        <v>115500</v>
      </c>
      <c r="F1378" s="33">
        <v>-15</v>
      </c>
      <c r="G1378" s="34">
        <f>IFERROR(IF(F1378&gt;=0,D1378*E1378*(1+F1378/100),ABS(D1378*E1378/F1378)),"")</f>
        <v>7700</v>
      </c>
      <c r="H1378" s="43">
        <f>IFERROR(G1378*E1369,"")</f>
        <v>0</v>
      </c>
    </row>
    <row r="1379" spans="1:11">
      <c r="A1379" s="28"/>
      <c r="B1379" s="29" t="s">
        <v>3586</v>
      </c>
      <c r="C1379" s="30" t="str">
        <f>IFERROR(_xlfn.XLOOKUP(B1379,Equipo[DESCRIPCION],Equipo[UND],,0),"")</f>
        <v>Hr</v>
      </c>
      <c r="D1379" s="31">
        <v>1</v>
      </c>
      <c r="E1379" s="32">
        <f>IF(C1379="%MO",G1386,IFERROR(_xlfn.XLOOKUP($B1379,Equipo[DESCRIPCION],Equipo[VALOR],,0),""))</f>
        <v>244939.80000000002</v>
      </c>
      <c r="F1379" s="33">
        <v>-15</v>
      </c>
      <c r="G1379" s="34">
        <f>IFERROR(IF(F1379&gt;=0,D1379*E1379*(1+F1379/100),ABS(D1379*E1379/F1379)),"")</f>
        <v>16329.320000000002</v>
      </c>
      <c r="H1379" s="43">
        <f>IFERROR(G1379*E1369,"")</f>
        <v>0</v>
      </c>
    </row>
    <row r="1380" spans="1:11">
      <c r="A1380" s="28"/>
      <c r="B1380" s="29" t="s">
        <v>3659</v>
      </c>
      <c r="C1380" s="30" t="str">
        <f>IFERROR(_xlfn.XLOOKUP(B1380,Equipo[DESCRIPCION],Equipo[UND],,0),"")</f>
        <v>Hr</v>
      </c>
      <c r="D1380" s="31">
        <v>1</v>
      </c>
      <c r="E1380" s="32">
        <f>IF(C1380="%MO",G1386,IFERROR(_xlfn.XLOOKUP($B1380,Equipo[DESCRIPCION],Equipo[VALOR],,0),""))</f>
        <v>89250</v>
      </c>
      <c r="F1380" s="33">
        <v>-15</v>
      </c>
      <c r="G1380" s="34">
        <f>IFERROR(IF(F1380&gt;=0,D1380*E1380*(1+F1380/100),ABS(D1380*E1380/F1380)),"")</f>
        <v>5950</v>
      </c>
      <c r="H1380" s="43">
        <f>IFERROR(G1380*E1369,"")</f>
        <v>0</v>
      </c>
    </row>
    <row r="1381" spans="1:11">
      <c r="A1381" s="28"/>
      <c r="B1381" s="29" t="s">
        <v>3651</v>
      </c>
      <c r="C1381" s="30" t="str">
        <f>IFERROR(_xlfn.XLOOKUP(B1381,Equipo[DESCRIPCION],Equipo[UND],,0),"")</f>
        <v>Día</v>
      </c>
      <c r="D1381" s="31">
        <v>1</v>
      </c>
      <c r="E1381" s="32">
        <f>IF(C1381="%MO",G1386,IFERROR(_xlfn.XLOOKUP($B1381,Equipo[DESCRIPCION],Equipo[VALOR],,0),""))</f>
        <v>981.75</v>
      </c>
      <c r="F1381" s="33">
        <v>-0.2</v>
      </c>
      <c r="G1381" s="34">
        <f>IFERROR(IF(F1381&gt;=0,D1381*E1381*(1+F1381/100),ABS(D1381*E1381/F1381)),"")</f>
        <v>4908.75</v>
      </c>
      <c r="H1381" s="43">
        <f>IFERROR(G1381*E1369,"")</f>
        <v>0</v>
      </c>
    </row>
    <row r="1382" spans="1:11">
      <c r="A1382" s="28"/>
      <c r="B1382" s="29" t="s">
        <v>3626</v>
      </c>
      <c r="C1382" s="30" t="str">
        <f>IFERROR(_xlfn.XLOOKUP(B1382,Equipo[DESCRIPCION],Equipo[UND],,0),"")</f>
        <v>%MO</v>
      </c>
      <c r="D1382" s="31">
        <v>0.05</v>
      </c>
      <c r="E1382" s="32">
        <f>IF(C1382="%MO",G1386,IFERROR(_xlfn.XLOOKUP($B1382,Equipo[DESCRIPCION],Equipo[VALOR],,0),""))</f>
        <v>5744.4235966000006</v>
      </c>
      <c r="F1382" s="33"/>
      <c r="G1382" s="34">
        <f>IFERROR(IF(F1382&gt;=0,D1382*E1382*(1+F1382/100),ABS(D1382*E1382/F1382)),"")</f>
        <v>287.22117983000004</v>
      </c>
      <c r="H1382" s="43">
        <f>IFERROR(G1382*E1369,"")</f>
        <v>0</v>
      </c>
    </row>
    <row r="1383" spans="1:11">
      <c r="A1383" s="21"/>
      <c r="B1383" s="22" t="s">
        <v>2533</v>
      </c>
      <c r="C1383" s="23"/>
      <c r="D1383" s="24"/>
      <c r="E1383" s="25"/>
      <c r="F1383" s="26"/>
      <c r="G1383" s="27">
        <f>SUM(G1384:G1385)</f>
        <v>0</v>
      </c>
      <c r="H1383" s="44">
        <f>G1383*E1369</f>
        <v>0</v>
      </c>
    </row>
    <row r="1384" spans="1:11">
      <c r="A1384" s="28"/>
      <c r="B1384" s="29"/>
      <c r="C1384" s="30" t="str">
        <f>IFERROR(_xlfn.XLOOKUP(B1384,Transporte[DESCRIPCION],Transporte[UND],,0),"")</f>
        <v/>
      </c>
      <c r="D1384" s="31"/>
      <c r="E1384" s="32" t="str">
        <f>IFERROR(_xlfn.XLOOKUP($B1384,Transporte[DESCRIPCION],Transporte[VALOR],,0),"")</f>
        <v/>
      </c>
      <c r="F1384" s="33"/>
      <c r="G1384" s="34" t="str">
        <f>IFERROR(IF(F1384&gt;=0,D1384*E1384*(1+F1384/100),ABS(D1384*E1384/F1384)),"")</f>
        <v/>
      </c>
      <c r="H1384" s="43" t="str">
        <f>IFERROR(G1384*E1369,"")</f>
        <v/>
      </c>
    </row>
    <row r="1385" spans="1:11">
      <c r="A1385" s="28"/>
      <c r="B1385" s="29"/>
      <c r="C1385" s="30" t="str">
        <f>IFERROR(_xlfn.XLOOKUP(B1385,Transporte[DESCRIPCION],Transporte[UND],,0),"")</f>
        <v/>
      </c>
      <c r="D1385" s="31"/>
      <c r="E1385" s="32" t="str">
        <f>IFERROR(_xlfn.XLOOKUP($B1385,Transporte[DESCRIPCION],Transporte[VALOR],,0),"")</f>
        <v/>
      </c>
      <c r="F1385" s="33"/>
      <c r="G1385" s="34" t="str">
        <f>IFERROR(IF(F1385&gt;=0,D1385*E1385*(1+F1385/100),ABS(D1385*E1385/F1385)),"")</f>
        <v/>
      </c>
      <c r="H1385" s="43" t="str">
        <f>IFERROR(G1385*E1369,"")</f>
        <v/>
      </c>
    </row>
    <row r="1386" spans="1:11">
      <c r="A1386" s="21"/>
      <c r="B1386" s="22" t="s">
        <v>3732</v>
      </c>
      <c r="C1386" s="23"/>
      <c r="D1386" s="24"/>
      <c r="E1386" s="25"/>
      <c r="F1386" s="26"/>
      <c r="G1386" s="27">
        <f>SUM(G1387:G1389)</f>
        <v>5744.4235966000006</v>
      </c>
      <c r="H1386" s="44">
        <f>G1386*E1369</f>
        <v>0</v>
      </c>
    </row>
    <row r="1387" spans="1:11">
      <c r="A1387" s="28"/>
      <c r="B1387" s="29" t="s">
        <v>3711</v>
      </c>
      <c r="C1387" s="30" t="str">
        <f>IFERROR(_xlfn.XLOOKUP(B1387,MObra[DESCRIPCION],MObra[UN],,0),"")</f>
        <v>día</v>
      </c>
      <c r="D1387" s="31">
        <v>1</v>
      </c>
      <c r="E1387" s="32">
        <f>IFERROR(_xlfn.XLOOKUP($B1387,MObra[DESCRIPCION],MObra[VALOR UNIT],,0),"")</f>
        <v>430831.76974500006</v>
      </c>
      <c r="F1387" s="33">
        <v>-75</v>
      </c>
      <c r="G1387" s="34">
        <f>IFERROR(IF(F1387&gt;=0,D1387*E1387*(1+F1387/100),ABS(D1387*E1387/F1387)),"")</f>
        <v>5744.4235966000006</v>
      </c>
      <c r="H1387" s="43">
        <f>IFERROR(G1387*E1369,"")</f>
        <v>0</v>
      </c>
    </row>
    <row r="1388" spans="1:11">
      <c r="A1388" s="28"/>
      <c r="B1388" s="29"/>
      <c r="C1388" s="30" t="str">
        <f>IFERROR(_xlfn.XLOOKUP(B1388,MObra[DESCRIPCION],MObra[UN],,0),"")</f>
        <v/>
      </c>
      <c r="D1388" s="31"/>
      <c r="E1388" s="32" t="str">
        <f>IFERROR(_xlfn.XLOOKUP($B1388,MObra[DESCRIPCION],MObra[VALOR UNIT],,0),"")</f>
        <v/>
      </c>
      <c r="F1388" s="33"/>
      <c r="G1388" s="34" t="str">
        <f>IFERROR(IF(F1388&gt;=0,D1388*E1388*(1+F1388/100),ABS(D1388*E1388/F1388)),"")</f>
        <v/>
      </c>
      <c r="H1388" s="43" t="str">
        <f>IFERROR(G1388*E1369,"")</f>
        <v/>
      </c>
    </row>
    <row r="1389" spans="1:11">
      <c r="A1389" s="35"/>
      <c r="B1389" s="36"/>
      <c r="C1389" s="37" t="str">
        <f>IFERROR(_xlfn.XLOOKUP(B1389,MObra[DESCRIPCION],MObra[UN],,0),"")</f>
        <v/>
      </c>
      <c r="D1389" s="38"/>
      <c r="E1389" s="39" t="str">
        <f>IFERROR(_xlfn.XLOOKUP($B1389,MObra[DESCRIPCION],MObra[VALOR UNIT],,0),"")</f>
        <v/>
      </c>
      <c r="F1389" s="40"/>
      <c r="G1389" s="41" t="str">
        <f>IFERROR(IF(F1389&gt;=0,D1389*E1389*(1+F1389/100),ABS(D1389*E1389/F1389)),"")</f>
        <v/>
      </c>
      <c r="H1389" s="42" t="str">
        <f>IFERROR(G1389*E1369,"")</f>
        <v/>
      </c>
    </row>
    <row r="1390" spans="1:11" ht="12.75" customHeight="1"/>
    <row r="1391" spans="1:11">
      <c r="A1391" s="6" t="s">
        <v>1862</v>
      </c>
      <c r="B1391" s="7" t="str">
        <f>VLOOKUP($A1391,Presupuesto!$A:$D,2,FALSE())</f>
        <v>Muro mecánicamente estabilizado con afirmado</v>
      </c>
      <c r="C1391" s="8" t="str">
        <f>VLOOKUP($A1391,Presupuesto!$A:$D,3,FALSE())</f>
        <v>M3</v>
      </c>
      <c r="D1391" s="9"/>
      <c r="E1391" s="10">
        <f>VLOOKUP($A1391,Presupuesto!$A:$D,4,FALSE())</f>
        <v>0</v>
      </c>
      <c r="F1391" s="11" t="s">
        <v>2589</v>
      </c>
      <c r="G1391" s="12">
        <f>SUM(G1393:G1411)/2</f>
        <v>193680.11977643002</v>
      </c>
      <c r="H1391" s="13">
        <f>ROUND(SUM(H1393:H1411),0)/2</f>
        <v>0</v>
      </c>
      <c r="I1391" s="10">
        <f>VLOOKUP(A1391,Presupuesto!$A:$F,6,0)</f>
        <v>0</v>
      </c>
      <c r="J1391" s="10">
        <f>+H1391-I1391</f>
        <v>0</v>
      </c>
      <c r="K1391" s="46">
        <f>+H1391-G1391*E1391</f>
        <v>0</v>
      </c>
    </row>
    <row r="1392" spans="1:11">
      <c r="A1392" s="14"/>
      <c r="B1392" s="15" t="s">
        <v>2586</v>
      </c>
      <c r="C1392" s="15" t="s">
        <v>5</v>
      </c>
      <c r="D1392" s="16" t="s">
        <v>6</v>
      </c>
      <c r="E1392" s="17" t="s">
        <v>7</v>
      </c>
      <c r="F1392" s="18" t="s">
        <v>3728</v>
      </c>
      <c r="G1392" s="19" t="s">
        <v>3729</v>
      </c>
      <c r="H1392" s="20" t="s">
        <v>3797</v>
      </c>
    </row>
    <row r="1393" spans="1:8">
      <c r="A1393" s="21"/>
      <c r="B1393" s="22" t="s">
        <v>3730</v>
      </c>
      <c r="C1393" s="23"/>
      <c r="D1393" s="24"/>
      <c r="E1393" s="25"/>
      <c r="F1393" s="26"/>
      <c r="G1393" s="27">
        <f>SUM(G1394:G1398)</f>
        <v>92932.455000000016</v>
      </c>
      <c r="H1393" s="27">
        <f>IFERROR(G1393*E1391,"")</f>
        <v>0</v>
      </c>
    </row>
    <row r="1394" spans="1:8">
      <c r="A1394" s="28"/>
      <c r="B1394" s="29" t="s">
        <v>2683</v>
      </c>
      <c r="C1394" s="30" t="str">
        <f>IFERROR(_xlfn.XLOOKUP(B1394,Insumo[DESCRIPCION],Insumo[UND],,0),"")</f>
        <v>M3</v>
      </c>
      <c r="D1394" s="31">
        <v>1</v>
      </c>
      <c r="E1394" s="32">
        <f>IFERROR(_xlfn.XLOOKUP($B1394,Insumo[DESCRIPCION],Insumo[VALOR],,0),"")</f>
        <v>53583.600000000006</v>
      </c>
      <c r="F1394" s="33">
        <v>30</v>
      </c>
      <c r="G1394" s="34">
        <f>IFERROR(IF(F1394&gt;=0,D1394*E1394*(1+F1394/100),ABS(D1394*E1394/F1394)),"")</f>
        <v>69658.680000000008</v>
      </c>
      <c r="H1394" s="43">
        <f>IFERROR(G1394*E1391,"")</f>
        <v>0</v>
      </c>
    </row>
    <row r="1395" spans="1:8">
      <c r="A1395" s="28"/>
      <c r="B1395" s="29" t="s">
        <v>2991</v>
      </c>
      <c r="C1395" s="30" t="str">
        <f>IFERROR(_xlfn.XLOOKUP(B1395,Insumo[DESCRIPCION],Insumo[UND],,0),"")</f>
        <v>Un</v>
      </c>
      <c r="D1395" s="31">
        <v>1</v>
      </c>
      <c r="E1395" s="32">
        <f>IFERROR(_xlfn.XLOOKUP($B1395,Insumo[DESCRIPCION],Insumo[VALOR],,0),"")</f>
        <v>10798.2</v>
      </c>
      <c r="F1395" s="33">
        <v>5</v>
      </c>
      <c r="G1395" s="34">
        <f>IFERROR(IF(F1395&gt;=0,D1395*E1395*(1+F1395/100),ABS(D1395*E1395/F1395)),"")</f>
        <v>11338.11</v>
      </c>
      <c r="H1395" s="43">
        <f>IFERROR(G1395*E1391,"")</f>
        <v>0</v>
      </c>
    </row>
    <row r="1396" spans="1:8">
      <c r="A1396" s="28"/>
      <c r="B1396" s="29" t="s">
        <v>2901</v>
      </c>
      <c r="C1396" s="30" t="str">
        <f>IFERROR(_xlfn.XLOOKUP(B1396,Insumo[DESCRIPCION],Insumo[UND],,0),"")</f>
        <v>M</v>
      </c>
      <c r="D1396" s="31">
        <v>2</v>
      </c>
      <c r="E1396" s="32">
        <f>IFERROR(_xlfn.XLOOKUP($B1396,Insumo[DESCRIPCION],Insumo[VALOR],,0),"")</f>
        <v>5683.6500000000005</v>
      </c>
      <c r="F1396" s="33">
        <v>5</v>
      </c>
      <c r="G1396" s="34">
        <f>IFERROR(IF(F1396&gt;=0,D1396*E1396*(1+F1396/100),ABS(D1396*E1396/F1396)),"")</f>
        <v>11935.665000000001</v>
      </c>
      <c r="H1396" s="43">
        <f>IFERROR(G1396*E1391,"")</f>
        <v>0</v>
      </c>
    </row>
    <row r="1397" spans="1:8">
      <c r="A1397" s="28"/>
      <c r="B1397" s="29"/>
      <c r="C1397" s="30" t="str">
        <f>IFERROR(_xlfn.XLOOKUP(B1397,Insumo[DESCRIPCION],Insumo[UND],,0),"")</f>
        <v/>
      </c>
      <c r="D1397" s="31"/>
      <c r="E1397" s="32" t="str">
        <f>IFERROR(_xlfn.XLOOKUP($B1397,Insumo[DESCRIPCION],Insumo[VALOR],,0),"")</f>
        <v/>
      </c>
      <c r="F1397" s="33"/>
      <c r="G1397" s="34" t="str">
        <f>IFERROR(IF(F1397&gt;=0,D1397*E1397*(1+F1397/100),ABS(D1397*E1397/F1397)),"")</f>
        <v/>
      </c>
      <c r="H1397" s="43" t="str">
        <f>IFERROR(G1397*E1391,"")</f>
        <v/>
      </c>
    </row>
    <row r="1398" spans="1:8">
      <c r="A1398" s="28"/>
      <c r="B1398" s="29"/>
      <c r="C1398" s="30" t="str">
        <f>IFERROR(_xlfn.XLOOKUP(B1398,Insumo[DESCRIPCION],Insumo[UND],,0),"")</f>
        <v/>
      </c>
      <c r="D1398" s="31"/>
      <c r="E1398" s="32" t="str">
        <f>IFERROR(_xlfn.XLOOKUP($B1398,Insumo[DESCRIPCION],Insumo[VALOR],,0),"")</f>
        <v/>
      </c>
      <c r="F1398" s="33"/>
      <c r="G1398" s="34" t="str">
        <f>IFERROR(IF(F1398&gt;=0,D1398*E1398*(1+F1398/100),ABS(D1398*E1398/F1398)),"")</f>
        <v/>
      </c>
      <c r="H1398" s="43" t="str">
        <f>IFERROR(G1398*E1391,"")</f>
        <v/>
      </c>
    </row>
    <row r="1399" spans="1:8">
      <c r="A1399" s="21"/>
      <c r="B1399" s="22" t="s">
        <v>3731</v>
      </c>
      <c r="C1399" s="23"/>
      <c r="D1399" s="24"/>
      <c r="E1399" s="25"/>
      <c r="F1399" s="26"/>
      <c r="G1399" s="27">
        <f>SUM(G1400:G1404)</f>
        <v>35175.291179829997</v>
      </c>
      <c r="H1399" s="44">
        <f>G1399*E1391</f>
        <v>0</v>
      </c>
    </row>
    <row r="1400" spans="1:8">
      <c r="A1400" s="28"/>
      <c r="B1400" s="29" t="s">
        <v>3592</v>
      </c>
      <c r="C1400" s="30" t="str">
        <f>IFERROR(_xlfn.XLOOKUP(B1400,Equipo[DESCRIPCION],Equipo[UND],,0),"")</f>
        <v>Hr</v>
      </c>
      <c r="D1400" s="31">
        <v>1</v>
      </c>
      <c r="E1400" s="32">
        <f>IF(C1400="%MO",G1408,IFERROR(_xlfn.XLOOKUP($B1400,Equipo[DESCRIPCION],Equipo[VALOR],,0),""))</f>
        <v>115500</v>
      </c>
      <c r="F1400" s="33">
        <v>-15</v>
      </c>
      <c r="G1400" s="34">
        <f>IFERROR(IF(F1400&gt;=0,D1400*E1400*(1+F1400/100),ABS(D1400*E1400/F1400)),"")</f>
        <v>7700</v>
      </c>
      <c r="H1400" s="43">
        <f>IFERROR(G1400*E1391,"")</f>
        <v>0</v>
      </c>
    </row>
    <row r="1401" spans="1:8">
      <c r="A1401" s="28"/>
      <c r="B1401" s="29" t="s">
        <v>3586</v>
      </c>
      <c r="C1401" s="30" t="str">
        <f>IFERROR(_xlfn.XLOOKUP(B1401,Equipo[DESCRIPCION],Equipo[UND],,0),"")</f>
        <v>Hr</v>
      </c>
      <c r="D1401" s="31">
        <v>1</v>
      </c>
      <c r="E1401" s="32">
        <f>IF(C1401="%MO",G1408,IFERROR(_xlfn.XLOOKUP($B1401,Equipo[DESCRIPCION],Equipo[VALOR],,0),""))</f>
        <v>244939.80000000002</v>
      </c>
      <c r="F1401" s="33">
        <v>-15</v>
      </c>
      <c r="G1401" s="34">
        <f>IFERROR(IF(F1401&gt;=0,D1401*E1401*(1+F1401/100),ABS(D1401*E1401/F1401)),"")</f>
        <v>16329.320000000002</v>
      </c>
      <c r="H1401" s="43">
        <f>IFERROR(G1401*E1391,"")</f>
        <v>0</v>
      </c>
    </row>
    <row r="1402" spans="1:8">
      <c r="A1402" s="28"/>
      <c r="B1402" s="29" t="s">
        <v>3659</v>
      </c>
      <c r="C1402" s="30" t="str">
        <f>IFERROR(_xlfn.XLOOKUP(B1402,Equipo[DESCRIPCION],Equipo[UND],,0),"")</f>
        <v>Hr</v>
      </c>
      <c r="D1402" s="31">
        <v>1</v>
      </c>
      <c r="E1402" s="32">
        <f>IF(C1402="%MO",G1408,IFERROR(_xlfn.XLOOKUP($B1402,Equipo[DESCRIPCION],Equipo[VALOR],,0),""))</f>
        <v>89250</v>
      </c>
      <c r="F1402" s="33">
        <v>-15</v>
      </c>
      <c r="G1402" s="34">
        <f>IFERROR(IF(F1402&gt;=0,D1402*E1402*(1+F1402/100),ABS(D1402*E1402/F1402)),"")</f>
        <v>5950</v>
      </c>
      <c r="H1402" s="43">
        <f>IFERROR(G1402*E1391,"")</f>
        <v>0</v>
      </c>
    </row>
    <row r="1403" spans="1:8">
      <c r="A1403" s="28"/>
      <c r="B1403" s="29" t="s">
        <v>3651</v>
      </c>
      <c r="C1403" s="30" t="str">
        <f>IFERROR(_xlfn.XLOOKUP(B1403,Equipo[DESCRIPCION],Equipo[UND],,0),"")</f>
        <v>Día</v>
      </c>
      <c r="D1403" s="31">
        <v>1</v>
      </c>
      <c r="E1403" s="32">
        <f>IF(C1403="%MO",G1408,IFERROR(_xlfn.XLOOKUP($B1403,Equipo[DESCRIPCION],Equipo[VALOR],,0),""))</f>
        <v>981.75</v>
      </c>
      <c r="F1403" s="33">
        <v>-0.2</v>
      </c>
      <c r="G1403" s="34">
        <f>IFERROR(IF(F1403&gt;=0,D1403*E1403*(1+F1403/100),ABS(D1403*E1403/F1403)),"")</f>
        <v>4908.75</v>
      </c>
      <c r="H1403" s="43">
        <f>IFERROR(G1403*E1391,"")</f>
        <v>0</v>
      </c>
    </row>
    <row r="1404" spans="1:8">
      <c r="A1404" s="28"/>
      <c r="B1404" s="29" t="s">
        <v>3626</v>
      </c>
      <c r="C1404" s="30" t="str">
        <f>IFERROR(_xlfn.XLOOKUP(B1404,Equipo[DESCRIPCION],Equipo[UND],,0),"")</f>
        <v>%MO</v>
      </c>
      <c r="D1404" s="31">
        <v>0.05</v>
      </c>
      <c r="E1404" s="32">
        <f>IF(C1404="%MO",G1408,IFERROR(_xlfn.XLOOKUP($B1404,Equipo[DESCRIPCION],Equipo[VALOR],,0),""))</f>
        <v>5744.4235966000006</v>
      </c>
      <c r="F1404" s="33"/>
      <c r="G1404" s="34">
        <f>IFERROR(IF(F1404&gt;=0,D1404*E1404*(1+F1404/100),ABS(D1404*E1404/F1404)),"")</f>
        <v>287.22117983000004</v>
      </c>
      <c r="H1404" s="43">
        <f>IFERROR(G1404*E1391,"")</f>
        <v>0</v>
      </c>
    </row>
    <row r="1405" spans="1:8">
      <c r="A1405" s="21"/>
      <c r="B1405" s="22" t="s">
        <v>2533</v>
      </c>
      <c r="C1405" s="23"/>
      <c r="D1405" s="24"/>
      <c r="E1405" s="25"/>
      <c r="F1405" s="26"/>
      <c r="G1405" s="27">
        <f>SUM(G1406:G1407)</f>
        <v>59827.950000000004</v>
      </c>
      <c r="H1405" s="44">
        <f>G1405*E1391</f>
        <v>0</v>
      </c>
    </row>
    <row r="1406" spans="1:8">
      <c r="A1406" s="28"/>
      <c r="B1406" s="29" t="s">
        <v>3664</v>
      </c>
      <c r="C1406" s="30" t="str">
        <f>IFERROR(_xlfn.XLOOKUP(B1406,Transporte[DESCRIPCION],Transporte[UND],,0),"")</f>
        <v>M3-km</v>
      </c>
      <c r="D1406" s="31">
        <v>30</v>
      </c>
      <c r="E1406" s="32">
        <f>IFERROR(_xlfn.XLOOKUP($B1406,Transporte[DESCRIPCION],Transporte[VALOR],,0),"")</f>
        <v>1534.05</v>
      </c>
      <c r="F1406" s="33">
        <v>30</v>
      </c>
      <c r="G1406" s="34">
        <f>IFERROR(IF(F1406&gt;=0,D1406*E1406*(1+F1406/100),ABS(D1406*E1406/F1406)),"")</f>
        <v>59827.950000000004</v>
      </c>
      <c r="H1406" s="43">
        <f>IFERROR(G1406*E1391,"")</f>
        <v>0</v>
      </c>
    </row>
    <row r="1407" spans="1:8">
      <c r="A1407" s="28"/>
      <c r="B1407" s="29"/>
      <c r="C1407" s="30" t="str">
        <f>IFERROR(_xlfn.XLOOKUP(B1407,Transporte[DESCRIPCION],Transporte[UND],,0),"")</f>
        <v/>
      </c>
      <c r="D1407" s="31"/>
      <c r="E1407" s="32" t="str">
        <f>IFERROR(_xlfn.XLOOKUP($B1407,Transporte[DESCRIPCION],Transporte[VALOR],,0),"")</f>
        <v/>
      </c>
      <c r="F1407" s="33"/>
      <c r="G1407" s="34" t="str">
        <f>IFERROR(IF(F1407&gt;=0,D1407*E1407*(1+F1407/100),ABS(D1407*E1407/F1407)),"")</f>
        <v/>
      </c>
      <c r="H1407" s="43" t="str">
        <f>IFERROR(G1407*E1391,"")</f>
        <v/>
      </c>
    </row>
    <row r="1408" spans="1:8">
      <c r="A1408" s="21"/>
      <c r="B1408" s="22" t="s">
        <v>3732</v>
      </c>
      <c r="C1408" s="23"/>
      <c r="D1408" s="24"/>
      <c r="E1408" s="25"/>
      <c r="F1408" s="26"/>
      <c r="G1408" s="27">
        <f>SUM(G1409:G1411)</f>
        <v>5744.4235966000006</v>
      </c>
      <c r="H1408" s="44">
        <f>G1408*E1391</f>
        <v>0</v>
      </c>
    </row>
    <row r="1409" spans="1:11">
      <c r="A1409" s="28"/>
      <c r="B1409" s="29" t="s">
        <v>3711</v>
      </c>
      <c r="C1409" s="30" t="str">
        <f>IFERROR(_xlfn.XLOOKUP(B1409,MObra[DESCRIPCION],MObra[UN],,0),"")</f>
        <v>día</v>
      </c>
      <c r="D1409" s="31">
        <v>1</v>
      </c>
      <c r="E1409" s="32">
        <f>IFERROR(_xlfn.XLOOKUP($B1409,MObra[DESCRIPCION],MObra[VALOR UNIT],,0),"")</f>
        <v>430831.76974500006</v>
      </c>
      <c r="F1409" s="33">
        <v>-75</v>
      </c>
      <c r="G1409" s="34">
        <f>IFERROR(IF(F1409&gt;=0,D1409*E1409*(1+F1409/100),ABS(D1409*E1409/F1409)),"")</f>
        <v>5744.4235966000006</v>
      </c>
      <c r="H1409" s="43">
        <f>IFERROR(G1409*E1391,"")</f>
        <v>0</v>
      </c>
    </row>
    <row r="1410" spans="1:11">
      <c r="A1410" s="28"/>
      <c r="B1410" s="29"/>
      <c r="C1410" s="30" t="str">
        <f>IFERROR(_xlfn.XLOOKUP(B1410,MObra[DESCRIPCION],MObra[UN],,0),"")</f>
        <v/>
      </c>
      <c r="D1410" s="31"/>
      <c r="E1410" s="32" t="str">
        <f>IFERROR(_xlfn.XLOOKUP($B1410,MObra[DESCRIPCION],MObra[VALOR UNIT],,0),"")</f>
        <v/>
      </c>
      <c r="F1410" s="33"/>
      <c r="G1410" s="34" t="str">
        <f>IFERROR(IF(F1410&gt;=0,D1410*E1410*(1+F1410/100),ABS(D1410*E1410/F1410)),"")</f>
        <v/>
      </c>
      <c r="H1410" s="43" t="str">
        <f>IFERROR(G1410*E1391,"")</f>
        <v/>
      </c>
    </row>
    <row r="1411" spans="1:11">
      <c r="A1411" s="35"/>
      <c r="B1411" s="36"/>
      <c r="C1411" s="37" t="str">
        <f>IFERROR(_xlfn.XLOOKUP(B1411,MObra[DESCRIPCION],MObra[UN],,0),"")</f>
        <v/>
      </c>
      <c r="D1411" s="38"/>
      <c r="E1411" s="39" t="str">
        <f>IFERROR(_xlfn.XLOOKUP($B1411,MObra[DESCRIPCION],MObra[VALOR UNIT],,0),"")</f>
        <v/>
      </c>
      <c r="F1411" s="40"/>
      <c r="G1411" s="41" t="str">
        <f>IFERROR(IF(F1411&gt;=0,D1411*E1411*(1+F1411/100),ABS(D1411*E1411/F1411)),"")</f>
        <v/>
      </c>
      <c r="H1411" s="42" t="str">
        <f>IFERROR(G1411*E1391,"")</f>
        <v/>
      </c>
    </row>
    <row r="1412" spans="1:11" ht="12.75" customHeight="1"/>
    <row r="1413" spans="1:11">
      <c r="A1413" s="6" t="s">
        <v>1864</v>
      </c>
      <c r="B1413" s="7" t="str">
        <f>VLOOKUP($A1413,Presupuesto!$A:$D,2,FALSE())</f>
        <v>Nivelación con grauting relacion 1:3</v>
      </c>
      <c r="C1413" s="8" t="str">
        <f>VLOOKUP($A1413,Presupuesto!$A:$D,3,FALSE())</f>
        <v>M3</v>
      </c>
      <c r="D1413" s="9"/>
      <c r="E1413" s="10">
        <f>VLOOKUP($A1413,Presupuesto!$A:$D,4,FALSE())</f>
        <v>0</v>
      </c>
      <c r="F1413" s="11" t="s">
        <v>2589</v>
      </c>
      <c r="G1413" s="12">
        <f>SUM(G1415:G1431)/2</f>
        <v>815391.92378886417</v>
      </c>
      <c r="H1413" s="13">
        <f>ROUND(SUM(H1415:H1431),0)/2</f>
        <v>0</v>
      </c>
      <c r="I1413" s="10">
        <f>VLOOKUP(A1413,Presupuesto!$A:$F,6,0)</f>
        <v>0</v>
      </c>
      <c r="J1413" s="10">
        <f>+H1413-I1413</f>
        <v>0</v>
      </c>
      <c r="K1413" s="46">
        <f>+H1413-G1413*E1413</f>
        <v>0</v>
      </c>
    </row>
    <row r="1414" spans="1:11">
      <c r="A1414" s="14"/>
      <c r="B1414" s="15" t="s">
        <v>2586</v>
      </c>
      <c r="C1414" s="15" t="s">
        <v>5</v>
      </c>
      <c r="D1414" s="16" t="s">
        <v>6</v>
      </c>
      <c r="E1414" s="17" t="s">
        <v>7</v>
      </c>
      <c r="F1414" s="18" t="s">
        <v>3728</v>
      </c>
      <c r="G1414" s="19" t="s">
        <v>3729</v>
      </c>
      <c r="H1414" s="20" t="s">
        <v>3797</v>
      </c>
    </row>
    <row r="1415" spans="1:11">
      <c r="A1415" s="21"/>
      <c r="B1415" s="22" t="s">
        <v>3730</v>
      </c>
      <c r="C1415" s="23"/>
      <c r="D1415" s="24"/>
      <c r="E1415" s="25"/>
      <c r="F1415" s="26"/>
      <c r="G1415" s="27">
        <f>SUM(G1416:G1420)</f>
        <v>728008.3125</v>
      </c>
      <c r="H1415" s="27">
        <f>IFERROR(G1415*E1413,"")</f>
        <v>0</v>
      </c>
    </row>
    <row r="1416" spans="1:11">
      <c r="A1416" s="28"/>
      <c r="B1416" s="29" t="s">
        <v>2983</v>
      </c>
      <c r="C1416" s="30" t="str">
        <f>IFERROR(_xlfn.XLOOKUP(B1416,Insumo[DESCRIPCION],Insumo[UND],,0),"")</f>
        <v>M3</v>
      </c>
      <c r="D1416" s="31">
        <v>1</v>
      </c>
      <c r="E1416" s="32">
        <f>IFERROR(_xlfn.XLOOKUP($B1416,Insumo[DESCRIPCION],Insumo[VALOR],,0),"")</f>
        <v>693341.25</v>
      </c>
      <c r="F1416" s="33">
        <v>5</v>
      </c>
      <c r="G1416" s="34">
        <f>IFERROR(IF(F1416&gt;=0,D1416*E1416*(1+F1416/100),ABS(D1416*E1416/F1416)),"")</f>
        <v>728008.3125</v>
      </c>
      <c r="H1416" s="43">
        <f>IFERROR(G1416*E1413,"")</f>
        <v>0</v>
      </c>
    </row>
    <row r="1417" spans="1:11">
      <c r="A1417" s="28"/>
      <c r="B1417" s="29"/>
      <c r="C1417" s="30" t="str">
        <f>IFERROR(_xlfn.XLOOKUP(B1417,Insumo[DESCRIPCION],Insumo[UND],,0),"")</f>
        <v/>
      </c>
      <c r="D1417" s="31"/>
      <c r="E1417" s="32" t="str">
        <f>IFERROR(_xlfn.XLOOKUP($B1417,Insumo[DESCRIPCION],Insumo[VALOR],,0),"")</f>
        <v/>
      </c>
      <c r="F1417" s="33"/>
      <c r="G1417" s="34" t="str">
        <f>IFERROR(IF(F1417&gt;=0,D1417*E1417*(1+F1417/100),ABS(D1417*E1417/F1417)),"")</f>
        <v/>
      </c>
      <c r="H1417" s="43" t="str">
        <f>IFERROR(G1417*E1413,"")</f>
        <v/>
      </c>
    </row>
    <row r="1418" spans="1:11">
      <c r="A1418" s="28"/>
      <c r="B1418" s="29"/>
      <c r="C1418" s="30" t="str">
        <f>IFERROR(_xlfn.XLOOKUP(B1418,Insumo[DESCRIPCION],Insumo[UND],,0),"")</f>
        <v/>
      </c>
      <c r="D1418" s="31"/>
      <c r="E1418" s="32" t="str">
        <f>IFERROR(_xlfn.XLOOKUP($B1418,Insumo[DESCRIPCION],Insumo[VALOR],,0),"")</f>
        <v/>
      </c>
      <c r="F1418" s="33"/>
      <c r="G1418" s="34" t="str">
        <f>IFERROR(IF(F1418&gt;=0,D1418*E1418*(1+F1418/100),ABS(D1418*E1418/F1418)),"")</f>
        <v/>
      </c>
      <c r="H1418" s="43" t="str">
        <f>IFERROR(G1418*E1413,"")</f>
        <v/>
      </c>
    </row>
    <row r="1419" spans="1:11">
      <c r="A1419" s="28"/>
      <c r="B1419" s="29"/>
      <c r="C1419" s="30" t="str">
        <f>IFERROR(_xlfn.XLOOKUP(B1419,Insumo[DESCRIPCION],Insumo[UND],,0),"")</f>
        <v/>
      </c>
      <c r="D1419" s="31"/>
      <c r="E1419" s="32" t="str">
        <f>IFERROR(_xlfn.XLOOKUP($B1419,Insumo[DESCRIPCION],Insumo[VALOR],,0),"")</f>
        <v/>
      </c>
      <c r="F1419" s="33"/>
      <c r="G1419" s="34" t="str">
        <f>IFERROR(IF(F1419&gt;=0,D1419*E1419*(1+F1419/100),ABS(D1419*E1419/F1419)),"")</f>
        <v/>
      </c>
      <c r="H1419" s="43" t="str">
        <f>IFERROR(G1419*E1413,"")</f>
        <v/>
      </c>
    </row>
    <row r="1420" spans="1:11">
      <c r="A1420" s="28"/>
      <c r="B1420" s="29"/>
      <c r="C1420" s="30" t="str">
        <f>IFERROR(_xlfn.XLOOKUP(B1420,Insumo[DESCRIPCION],Insumo[UND],,0),"")</f>
        <v/>
      </c>
      <c r="D1420" s="31"/>
      <c r="E1420" s="32" t="str">
        <f>IFERROR(_xlfn.XLOOKUP($B1420,Insumo[DESCRIPCION],Insumo[VALOR],,0),"")</f>
        <v/>
      </c>
      <c r="F1420" s="33"/>
      <c r="G1420" s="34" t="str">
        <f>IFERROR(IF(F1420&gt;=0,D1420*E1420*(1+F1420/100),ABS(D1420*E1420/F1420)),"")</f>
        <v/>
      </c>
      <c r="H1420" s="43" t="str">
        <f>IFERROR(G1420*E1413,"")</f>
        <v/>
      </c>
    </row>
    <row r="1421" spans="1:11">
      <c r="A1421" s="21"/>
      <c r="B1421" s="22" t="s">
        <v>3731</v>
      </c>
      <c r="C1421" s="23"/>
      <c r="D1421" s="24"/>
      <c r="E1421" s="25"/>
      <c r="F1421" s="26"/>
      <c r="G1421" s="27">
        <f>SUM(G1422:G1424)</f>
        <v>25836.215611007145</v>
      </c>
      <c r="H1421" s="44">
        <f>G1421*E1413</f>
        <v>0</v>
      </c>
    </row>
    <row r="1422" spans="1:11">
      <c r="A1422" s="28"/>
      <c r="B1422" s="29" t="s">
        <v>3575</v>
      </c>
      <c r="C1422" s="30" t="str">
        <f>IFERROR(_xlfn.XLOOKUP(B1422,Equipo[DESCRIPCION],Equipo[UND],,0),"")</f>
        <v>Día</v>
      </c>
      <c r="D1422" s="31">
        <v>1</v>
      </c>
      <c r="E1422" s="32">
        <f>IF(C1422="%MO",G1428,IFERROR(_xlfn.XLOOKUP($B1422,Equipo[DESCRIPCION],Equipo[VALOR],,0),""))</f>
        <v>142078.65</v>
      </c>
      <c r="F1422" s="33">
        <v>-7</v>
      </c>
      <c r="G1422" s="34">
        <f>IFERROR(IF(F1422&gt;=0,D1422*E1422*(1+F1422/100),ABS(D1422*E1422/F1422)),"")</f>
        <v>20296.95</v>
      </c>
      <c r="H1422" s="43">
        <f>IFERROR(G1422*E1413,"")</f>
        <v>0</v>
      </c>
    </row>
    <row r="1423" spans="1:11">
      <c r="A1423" s="28"/>
      <c r="B1423" s="29" t="s">
        <v>3570</v>
      </c>
      <c r="C1423" s="30" t="str">
        <f>IFERROR(_xlfn.XLOOKUP(B1423,Equipo[DESCRIPCION],Equipo[UND],,0),"")</f>
        <v>%MO</v>
      </c>
      <c r="D1423" s="31">
        <v>0.04</v>
      </c>
      <c r="E1423" s="32">
        <f>IF(C1423="%MO",G1428,IFERROR(_xlfn.XLOOKUP($B1423,Equipo[DESCRIPCION],Equipo[VALOR],,0),""))</f>
        <v>61547.395677857152</v>
      </c>
      <c r="F1423" s="33"/>
      <c r="G1423" s="34">
        <f>IFERROR(IF(F1423&gt;=0,D1423*E1423*(1+F1423/100),ABS(D1423*E1423/F1423)),"")</f>
        <v>2461.895827114286</v>
      </c>
      <c r="H1423" s="43">
        <f>IFERROR(G1423*E1413,"")</f>
        <v>0</v>
      </c>
    </row>
    <row r="1424" spans="1:11">
      <c r="A1424" s="28"/>
      <c r="B1424" s="29" t="s">
        <v>3626</v>
      </c>
      <c r="C1424" s="30" t="str">
        <f>IFERROR(_xlfn.XLOOKUP(B1424,Equipo[DESCRIPCION],Equipo[UND],,0),"")</f>
        <v>%MO</v>
      </c>
      <c r="D1424" s="31">
        <v>0.05</v>
      </c>
      <c r="E1424" s="32">
        <f>IF(C1424="%MO",G1428,IFERROR(_xlfn.XLOOKUP($B1424,Equipo[DESCRIPCION],Equipo[VALOR],,0),""))</f>
        <v>61547.395677857152</v>
      </c>
      <c r="F1424" s="33"/>
      <c r="G1424" s="34">
        <f>IFERROR(IF(F1424&gt;=0,D1424*E1424*(1+F1424/100),ABS(D1424*E1424/F1424)),"")</f>
        <v>3077.3697838928579</v>
      </c>
      <c r="H1424" s="43">
        <f>IFERROR(G1424*E1413,"")</f>
        <v>0</v>
      </c>
    </row>
    <row r="1425" spans="1:11">
      <c r="A1425" s="21"/>
      <c r="B1425" s="22" t="s">
        <v>2533</v>
      </c>
      <c r="C1425" s="23"/>
      <c r="D1425" s="24"/>
      <c r="E1425" s="25"/>
      <c r="F1425" s="26"/>
      <c r="G1425" s="27">
        <f>SUM(G1426:G1427)</f>
        <v>0</v>
      </c>
      <c r="H1425" s="44">
        <f>G1425*E1413</f>
        <v>0</v>
      </c>
    </row>
    <row r="1426" spans="1:11">
      <c r="A1426" s="28"/>
      <c r="B1426" s="29"/>
      <c r="C1426" s="30" t="str">
        <f>IFERROR(_xlfn.XLOOKUP(B1426,Transporte[DESCRIPCION],Transporte[UND],,0),"")</f>
        <v/>
      </c>
      <c r="D1426" s="31"/>
      <c r="E1426" s="32" t="str">
        <f>IFERROR(_xlfn.XLOOKUP($B1426,Transporte[DESCRIPCION],Transporte[VALOR],,0),"")</f>
        <v/>
      </c>
      <c r="F1426" s="33"/>
      <c r="G1426" s="34" t="str">
        <f>IFERROR(IF(F1426&gt;=0,D1426*E1426*(1+F1426/100),ABS(D1426*E1426/F1426)),"")</f>
        <v/>
      </c>
      <c r="H1426" s="43" t="str">
        <f>IFERROR(G1426*E1413,"")</f>
        <v/>
      </c>
    </row>
    <row r="1427" spans="1:11">
      <c r="A1427" s="28"/>
      <c r="B1427" s="29"/>
      <c r="C1427" s="30" t="str">
        <f>IFERROR(_xlfn.XLOOKUP(B1427,Transporte[DESCRIPCION],Transporte[UND],,0),"")</f>
        <v/>
      </c>
      <c r="D1427" s="31"/>
      <c r="E1427" s="32" t="str">
        <f>IFERROR(_xlfn.XLOOKUP($B1427,Transporte[DESCRIPCION],Transporte[VALOR],,0),"")</f>
        <v/>
      </c>
      <c r="F1427" s="33"/>
      <c r="G1427" s="34" t="str">
        <f>IFERROR(IF(F1427&gt;=0,D1427*E1427*(1+F1427/100),ABS(D1427*E1427/F1427)),"")</f>
        <v/>
      </c>
      <c r="H1427" s="43" t="str">
        <f>IFERROR(G1427*E1413,"")</f>
        <v/>
      </c>
    </row>
    <row r="1428" spans="1:11">
      <c r="A1428" s="21"/>
      <c r="B1428" s="22" t="s">
        <v>3732</v>
      </c>
      <c r="C1428" s="23"/>
      <c r="D1428" s="24"/>
      <c r="E1428" s="25"/>
      <c r="F1428" s="26"/>
      <c r="G1428" s="27">
        <f>SUM(G1429:G1431)</f>
        <v>61547.395677857152</v>
      </c>
      <c r="H1428" s="44">
        <f>G1428*E1413</f>
        <v>0</v>
      </c>
    </row>
    <row r="1429" spans="1:11">
      <c r="A1429" s="28"/>
      <c r="B1429" s="29" t="s">
        <v>3711</v>
      </c>
      <c r="C1429" s="30" t="str">
        <f>IFERROR(_xlfn.XLOOKUP(B1429,MObra[DESCRIPCION],MObra[UN],,0),"")</f>
        <v>día</v>
      </c>
      <c r="D1429" s="31">
        <v>1</v>
      </c>
      <c r="E1429" s="32">
        <f>IFERROR(_xlfn.XLOOKUP($B1429,MObra[DESCRIPCION],MObra[VALOR UNIT],,0),"")</f>
        <v>430831.76974500006</v>
      </c>
      <c r="F1429" s="33">
        <v>-7</v>
      </c>
      <c r="G1429" s="34">
        <f>IFERROR(IF(F1429&gt;=0,D1429*E1429*(1+F1429/100),ABS(D1429*E1429/F1429)),"")</f>
        <v>61547.395677857152</v>
      </c>
      <c r="H1429" s="43">
        <f>IFERROR(G1429*E1413,"")</f>
        <v>0</v>
      </c>
    </row>
    <row r="1430" spans="1:11">
      <c r="A1430" s="28"/>
      <c r="B1430" s="29"/>
      <c r="C1430" s="30" t="str">
        <f>IFERROR(_xlfn.XLOOKUP(B1430,MObra[DESCRIPCION],MObra[UN],,0),"")</f>
        <v/>
      </c>
      <c r="D1430" s="31"/>
      <c r="E1430" s="32" t="str">
        <f>IFERROR(_xlfn.XLOOKUP($B1430,MObra[DESCRIPCION],MObra[VALOR UNIT],,0),"")</f>
        <v/>
      </c>
      <c r="F1430" s="33"/>
      <c r="G1430" s="34" t="str">
        <f>IFERROR(IF(F1430&gt;=0,D1430*E1430*(1+F1430/100),ABS(D1430*E1430/F1430)),"")</f>
        <v/>
      </c>
      <c r="H1430" s="43" t="str">
        <f>IFERROR(G1430*E1413,"")</f>
        <v/>
      </c>
    </row>
    <row r="1431" spans="1:11">
      <c r="A1431" s="35"/>
      <c r="B1431" s="36"/>
      <c r="C1431" s="37" t="str">
        <f>IFERROR(_xlfn.XLOOKUP(B1431,MObra[DESCRIPCION],MObra[UN],,0),"")</f>
        <v/>
      </c>
      <c r="D1431" s="38"/>
      <c r="E1431" s="39" t="str">
        <f>IFERROR(_xlfn.XLOOKUP($B1431,MObra[DESCRIPCION],MObra[VALOR UNIT],,0),"")</f>
        <v/>
      </c>
      <c r="F1431" s="40"/>
      <c r="G1431" s="41" t="str">
        <f>IFERROR(IF(F1431&gt;=0,D1431*E1431*(1+F1431/100),ABS(D1431*E1431/F1431)),"")</f>
        <v/>
      </c>
      <c r="H1431" s="42" t="str">
        <f>IFERROR(G1431*E1413,"")</f>
        <v/>
      </c>
    </row>
    <row r="1432" spans="1:11" ht="12.75" customHeight="1"/>
    <row r="1433" spans="1:11">
      <c r="A1433" s="6" t="s">
        <v>1866</v>
      </c>
      <c r="B1433" s="7" t="str">
        <f>VLOOKUP($A1433,Presupuesto!$A:$D,2,FALSE())</f>
        <v>Recubrimiento de taludes con concreto lanzado</v>
      </c>
      <c r="C1433" s="8" t="str">
        <f>VLOOKUP($A1433,Presupuesto!$A:$D,3,FALSE())</f>
        <v>M2</v>
      </c>
      <c r="D1433" s="9"/>
      <c r="E1433" s="10">
        <f>VLOOKUP($A1433,Presupuesto!$A:$D,4,FALSE())</f>
        <v>0</v>
      </c>
      <c r="F1433" s="11" t="s">
        <v>2589</v>
      </c>
      <c r="G1433" s="12">
        <f>SUM(G1435:G1454)/2</f>
        <v>1444290.4655287629</v>
      </c>
      <c r="H1433" s="13">
        <f>ROUND(SUM(H1435:H1454),0)/2</f>
        <v>0</v>
      </c>
      <c r="I1433" s="10">
        <f>VLOOKUP(A1433,Presupuesto!$A:$F,6,0)</f>
        <v>0</v>
      </c>
      <c r="J1433" s="10">
        <f>+H1433-I1433</f>
        <v>0</v>
      </c>
      <c r="K1433" s="46">
        <f>+H1433-G1433*E1433</f>
        <v>0</v>
      </c>
    </row>
    <row r="1434" spans="1:11">
      <c r="A1434" s="14"/>
      <c r="B1434" s="15" t="s">
        <v>2586</v>
      </c>
      <c r="C1434" s="15" t="s">
        <v>5</v>
      </c>
      <c r="D1434" s="16" t="s">
        <v>6</v>
      </c>
      <c r="E1434" s="17" t="s">
        <v>7</v>
      </c>
      <c r="F1434" s="18" t="s">
        <v>3728</v>
      </c>
      <c r="G1434" s="19" t="s">
        <v>3729</v>
      </c>
      <c r="H1434" s="20" t="s">
        <v>3797</v>
      </c>
    </row>
    <row r="1435" spans="1:11">
      <c r="A1435" s="21"/>
      <c r="B1435" s="22" t="s">
        <v>3730</v>
      </c>
      <c r="C1435" s="23"/>
      <c r="D1435" s="24"/>
      <c r="E1435" s="25"/>
      <c r="F1435" s="26"/>
      <c r="G1435" s="27">
        <f>SUM(G1436:G1440)</f>
        <v>1130234.5530000001</v>
      </c>
      <c r="H1435" s="27">
        <f>IFERROR(G1435*E1433,"")</f>
        <v>0</v>
      </c>
    </row>
    <row r="1436" spans="1:11">
      <c r="A1436" s="28"/>
      <c r="B1436" s="29" t="s">
        <v>2678</v>
      </c>
      <c r="C1436" s="30" t="str">
        <f>IFERROR(_xlfn.XLOOKUP(B1436,Insumo[DESCRIPCION],Insumo[UND],,0),"")</f>
        <v>Kg</v>
      </c>
      <c r="D1436" s="31">
        <v>36</v>
      </c>
      <c r="E1436" s="32">
        <f>IFERROR(_xlfn.XLOOKUP($B1436,Insumo[DESCRIPCION],Insumo[VALOR],,0),"")</f>
        <v>10286.85</v>
      </c>
      <c r="F1436" s="33">
        <v>3</v>
      </c>
      <c r="G1436" s="34">
        <f>IFERROR(IF(F1436&gt;=0,D1436*E1436*(1+F1436/100),ABS(D1436*E1436/F1436)),"")</f>
        <v>381436.39800000004</v>
      </c>
      <c r="H1436" s="43">
        <f>IFERROR(G1436*E1433,"")</f>
        <v>0</v>
      </c>
    </row>
    <row r="1437" spans="1:11">
      <c r="A1437" s="28"/>
      <c r="B1437" s="29" t="s">
        <v>2869</v>
      </c>
      <c r="C1437" s="30" t="str">
        <f>IFERROR(_xlfn.XLOOKUP(B1437,Insumo[DESCRIPCION],Insumo[UND],,0),"")</f>
        <v>M3</v>
      </c>
      <c r="D1437" s="31">
        <v>1</v>
      </c>
      <c r="E1437" s="32">
        <f>IFERROR(_xlfn.XLOOKUP($B1437,Insumo[DESCRIPCION],Insumo[VALOR],,0),"")</f>
        <v>726988.5</v>
      </c>
      <c r="F1437" s="33">
        <v>3</v>
      </c>
      <c r="G1437" s="34">
        <f>IFERROR(IF(F1437&gt;=0,D1437*E1437*(1+F1437/100),ABS(D1437*E1437/F1437)),"")</f>
        <v>748798.15500000003</v>
      </c>
      <c r="H1437" s="43">
        <f>IFERROR(G1437*E1433,"")</f>
        <v>0</v>
      </c>
    </row>
    <row r="1438" spans="1:11">
      <c r="A1438" s="28"/>
      <c r="B1438" s="29"/>
      <c r="C1438" s="30" t="str">
        <f>IFERROR(_xlfn.XLOOKUP(B1438,Insumo[DESCRIPCION],Insumo[UND],,0),"")</f>
        <v/>
      </c>
      <c r="D1438" s="31"/>
      <c r="E1438" s="32" t="str">
        <f>IFERROR(_xlfn.XLOOKUP($B1438,Insumo[DESCRIPCION],Insumo[VALOR],,0),"")</f>
        <v/>
      </c>
      <c r="F1438" s="33"/>
      <c r="G1438" s="34" t="str">
        <f>IFERROR(IF(F1438&gt;=0,D1438*E1438*(1+F1438/100),ABS(D1438*E1438/F1438)),"")</f>
        <v/>
      </c>
      <c r="H1438" s="43" t="str">
        <f>IFERROR(G1438*E1433,"")</f>
        <v/>
      </c>
    </row>
    <row r="1439" spans="1:11">
      <c r="A1439" s="28"/>
      <c r="B1439" s="29"/>
      <c r="C1439" s="30" t="str">
        <f>IFERROR(_xlfn.XLOOKUP(B1439,Insumo[DESCRIPCION],Insumo[UND],,0),"")</f>
        <v/>
      </c>
      <c r="D1439" s="31"/>
      <c r="E1439" s="32" t="str">
        <f>IFERROR(_xlfn.XLOOKUP($B1439,Insumo[DESCRIPCION],Insumo[VALOR],,0),"")</f>
        <v/>
      </c>
      <c r="F1439" s="33"/>
      <c r="G1439" s="34" t="str">
        <f>IFERROR(IF(F1439&gt;=0,D1439*E1439*(1+F1439/100),ABS(D1439*E1439/F1439)),"")</f>
        <v/>
      </c>
      <c r="H1439" s="43" t="str">
        <f>IFERROR(G1439*E1433,"")</f>
        <v/>
      </c>
    </row>
    <row r="1440" spans="1:11">
      <c r="A1440" s="28"/>
      <c r="B1440" s="29"/>
      <c r="C1440" s="30" t="str">
        <f>IFERROR(_xlfn.XLOOKUP(B1440,Insumo[DESCRIPCION],Insumo[UND],,0),"")</f>
        <v/>
      </c>
      <c r="D1440" s="31"/>
      <c r="E1440" s="32" t="str">
        <f>IFERROR(_xlfn.XLOOKUP($B1440,Insumo[DESCRIPCION],Insumo[VALOR],,0),"")</f>
        <v/>
      </c>
      <c r="F1440" s="33"/>
      <c r="G1440" s="34" t="str">
        <f>IFERROR(IF(F1440&gt;=0,D1440*E1440*(1+F1440/100),ABS(D1440*E1440/F1440)),"")</f>
        <v/>
      </c>
      <c r="H1440" s="43" t="str">
        <f>IFERROR(G1440*E1433,"")</f>
        <v/>
      </c>
    </row>
    <row r="1441" spans="1:11">
      <c r="A1441" s="21"/>
      <c r="B1441" s="22" t="s">
        <v>3731</v>
      </c>
      <c r="C1441" s="23"/>
      <c r="D1441" s="24"/>
      <c r="E1441" s="25"/>
      <c r="F1441" s="26"/>
      <c r="G1441" s="27">
        <f>SUM(G1442:G1447)</f>
        <v>148127.46066751253</v>
      </c>
      <c r="H1441" s="44">
        <f>G1441*E1433</f>
        <v>0</v>
      </c>
    </row>
    <row r="1442" spans="1:11">
      <c r="A1442" s="28"/>
      <c r="B1442" s="29" t="s">
        <v>3580</v>
      </c>
      <c r="C1442" s="30" t="str">
        <f>IFERROR(_xlfn.XLOOKUP(B1442,Equipo[DESCRIPCION],Equipo[UND],,0),"")</f>
        <v>M3</v>
      </c>
      <c r="D1442" s="31">
        <v>1</v>
      </c>
      <c r="E1442" s="32">
        <f>IF(C1442="%MO",G1451,IFERROR(_xlfn.XLOOKUP($B1442,Equipo[DESCRIPCION],Equipo[VALOR],,0),""))</f>
        <v>82902.75</v>
      </c>
      <c r="F1442" s="33">
        <v>-3</v>
      </c>
      <c r="G1442" s="34">
        <f t="shared" ref="G1442:G1447" si="12">IFERROR(IF(F1442&gt;=0,D1442*E1442*(1+F1442/100),ABS(D1442*E1442/F1442)),"")</f>
        <v>27634.25</v>
      </c>
      <c r="H1442" s="43">
        <f>IFERROR(G1442*E1433,"")</f>
        <v>0</v>
      </c>
    </row>
    <row r="1443" spans="1:11">
      <c r="A1443" s="28"/>
      <c r="B1443" s="29" t="s">
        <v>3584</v>
      </c>
      <c r="C1443" s="30" t="str">
        <f>IFERROR(_xlfn.XLOOKUP(B1443,Equipo[DESCRIPCION],Equipo[UND],,0),"")</f>
        <v>Hr</v>
      </c>
      <c r="D1443" s="31">
        <v>1</v>
      </c>
      <c r="E1443" s="32">
        <f>IF(C1443="%MO",G1452,IFERROR(_xlfn.XLOOKUP($B1443,Equipo[DESCRIPCION],Equipo[VALOR],,0),""))</f>
        <v>56831.25</v>
      </c>
      <c r="F1443" s="33">
        <v>-3</v>
      </c>
      <c r="G1443" s="34">
        <f t="shared" si="12"/>
        <v>18943.75</v>
      </c>
      <c r="H1443" s="43">
        <f>IFERROR(G1443*E1433,"")</f>
        <v>0</v>
      </c>
    </row>
    <row r="1444" spans="1:11">
      <c r="A1444" s="28"/>
      <c r="B1444" s="29" t="s">
        <v>3597</v>
      </c>
      <c r="C1444" s="30" t="str">
        <f>IFERROR(_xlfn.XLOOKUP(B1444,Equipo[DESCRIPCION],Equipo[UND],,0),"")</f>
        <v>Hr</v>
      </c>
      <c r="D1444" s="31">
        <v>1</v>
      </c>
      <c r="E1444" s="32">
        <f>IF(C1444="%MO",G1453,IFERROR(_xlfn.XLOOKUP($B1444,Equipo[DESCRIPCION],Equipo[VALOR],,0),""))</f>
        <v>140649.60000000001</v>
      </c>
      <c r="F1444" s="33">
        <v>-3</v>
      </c>
      <c r="G1444" s="34">
        <f t="shared" si="12"/>
        <v>46883.200000000004</v>
      </c>
      <c r="H1444" s="43">
        <f>IFERROR(G1444*E1433,"")</f>
        <v>0</v>
      </c>
    </row>
    <row r="1445" spans="1:11">
      <c r="A1445" s="28"/>
      <c r="B1445" s="29" t="s">
        <v>3637</v>
      </c>
      <c r="C1445" s="30" t="str">
        <f>IFERROR(_xlfn.XLOOKUP(B1445,Equipo[DESCRIPCION],Equipo[UND],,0),"")</f>
        <v>Día</v>
      </c>
      <c r="D1445" s="31">
        <v>1</v>
      </c>
      <c r="E1445" s="32">
        <f>IF(C1445="%MO",G1454,IFERROR(_xlfn.XLOOKUP($B1445,Equipo[DESCRIPCION],Equipo[VALOR],,0),""))</f>
        <v>119198.1</v>
      </c>
      <c r="F1445" s="33">
        <v>-3</v>
      </c>
      <c r="G1445" s="34">
        <f t="shared" si="12"/>
        <v>39732.700000000004</v>
      </c>
      <c r="H1445" s="43">
        <f>IFERROR(G1445*E1433,"")</f>
        <v>0</v>
      </c>
    </row>
    <row r="1446" spans="1:11">
      <c r="A1446" s="28"/>
      <c r="B1446" s="29" t="s">
        <v>3570</v>
      </c>
      <c r="C1446" s="30" t="str">
        <f>IFERROR(_xlfn.XLOOKUP(B1446,Equipo[DESCRIPCION],Equipo[UND],,0),"")</f>
        <v>%MO</v>
      </c>
      <c r="D1446" s="31">
        <v>0.04</v>
      </c>
      <c r="E1446" s="32">
        <f>IF(C1446="%MO",G1451,IFERROR(_xlfn.XLOOKUP($B1446,Equipo[DESCRIPCION],Equipo[VALOR],,0),""))</f>
        <v>165928.45186125004</v>
      </c>
      <c r="F1446" s="33"/>
      <c r="G1446" s="34">
        <f t="shared" si="12"/>
        <v>6637.138074450002</v>
      </c>
      <c r="H1446" s="43">
        <f>IFERROR(G1446*E1433,"")</f>
        <v>0</v>
      </c>
    </row>
    <row r="1447" spans="1:11">
      <c r="A1447" s="28"/>
      <c r="B1447" s="29" t="s">
        <v>3626</v>
      </c>
      <c r="C1447" s="30" t="str">
        <f>IFERROR(_xlfn.XLOOKUP(B1447,Equipo[DESCRIPCION],Equipo[UND],,0),"")</f>
        <v>%MO</v>
      </c>
      <c r="D1447" s="31">
        <v>0.05</v>
      </c>
      <c r="E1447" s="32">
        <f>IF(C1447="%MO",G1451,IFERROR(_xlfn.XLOOKUP($B1447,Equipo[DESCRIPCION],Equipo[VALOR],,0),""))</f>
        <v>165928.45186125004</v>
      </c>
      <c r="F1447" s="33"/>
      <c r="G1447" s="34">
        <f t="shared" si="12"/>
        <v>8296.4225930625016</v>
      </c>
      <c r="H1447" s="43">
        <f>IFERROR(G1447*E1433,"")</f>
        <v>0</v>
      </c>
    </row>
    <row r="1448" spans="1:11">
      <c r="A1448" s="21"/>
      <c r="B1448" s="22" t="s">
        <v>2533</v>
      </c>
      <c r="C1448" s="23"/>
      <c r="D1448" s="24"/>
      <c r="E1448" s="25"/>
      <c r="F1448" s="26"/>
      <c r="G1448" s="27">
        <f>SUM(G1449:G1450)</f>
        <v>0</v>
      </c>
      <c r="H1448" s="44">
        <f>G1448*E1433</f>
        <v>0</v>
      </c>
    </row>
    <row r="1449" spans="1:11">
      <c r="A1449" s="28"/>
      <c r="B1449" s="29"/>
      <c r="C1449" s="30" t="str">
        <f>IFERROR(_xlfn.XLOOKUP(B1449,Transporte[DESCRIPCION],Transporte[UND],,0),"")</f>
        <v/>
      </c>
      <c r="D1449" s="31"/>
      <c r="E1449" s="32" t="str">
        <f>IFERROR(_xlfn.XLOOKUP($B1449,Transporte[DESCRIPCION],Transporte[VALOR],,0),"")</f>
        <v/>
      </c>
      <c r="F1449" s="33"/>
      <c r="G1449" s="34" t="str">
        <f>IFERROR(IF(F1449&gt;=0,D1449*E1449*(1+F1449/100),ABS(D1449*E1449/F1449)),"")</f>
        <v/>
      </c>
      <c r="H1449" s="43" t="str">
        <f>IFERROR(G1449*E1433,"")</f>
        <v/>
      </c>
    </row>
    <row r="1450" spans="1:11">
      <c r="A1450" s="28"/>
      <c r="B1450" s="29"/>
      <c r="C1450" s="30" t="str">
        <f>IFERROR(_xlfn.XLOOKUP(B1450,Transporte[DESCRIPCION],Transporte[UND],,0),"")</f>
        <v/>
      </c>
      <c r="D1450" s="31"/>
      <c r="E1450" s="32" t="str">
        <f>IFERROR(_xlfn.XLOOKUP($B1450,Transporte[DESCRIPCION],Transporte[VALOR],,0),"")</f>
        <v/>
      </c>
      <c r="F1450" s="33"/>
      <c r="G1450" s="34" t="str">
        <f>IFERROR(IF(F1450&gt;=0,D1450*E1450*(1+F1450/100),ABS(D1450*E1450/F1450)),"")</f>
        <v/>
      </c>
      <c r="H1450" s="43" t="str">
        <f>IFERROR(G1450*E1433,"")</f>
        <v/>
      </c>
    </row>
    <row r="1451" spans="1:11">
      <c r="A1451" s="21"/>
      <c r="B1451" s="22" t="s">
        <v>3732</v>
      </c>
      <c r="C1451" s="23"/>
      <c r="D1451" s="24"/>
      <c r="E1451" s="25"/>
      <c r="F1451" s="26"/>
      <c r="G1451" s="27">
        <f>SUM(G1452:G1454)</f>
        <v>165928.45186125004</v>
      </c>
      <c r="H1451" s="44">
        <f>G1451*E1433</f>
        <v>0</v>
      </c>
    </row>
    <row r="1452" spans="1:11">
      <c r="A1452" s="28"/>
      <c r="B1452" s="29" t="s">
        <v>3713</v>
      </c>
      <c r="C1452" s="30" t="str">
        <f>IFERROR(_xlfn.XLOOKUP(B1452,MObra[DESCRIPCION],MObra[UN],,0),"")</f>
        <v>día</v>
      </c>
      <c r="D1452" s="31">
        <v>1</v>
      </c>
      <c r="E1452" s="32">
        <f>IFERROR(_xlfn.XLOOKUP($B1452,MObra[DESCRIPCION],MObra[VALOR UNIT],,0),"")</f>
        <v>663713.80744500016</v>
      </c>
      <c r="F1452" s="33">
        <v>-4</v>
      </c>
      <c r="G1452" s="34">
        <f>IFERROR(IF(F1452&gt;=0,D1452*E1452*(1+F1452/100),ABS(D1452*E1452/F1452)),"")</f>
        <v>165928.45186125004</v>
      </c>
      <c r="H1452" s="43">
        <f>IFERROR(G1452*E1433,"")</f>
        <v>0</v>
      </c>
    </row>
    <row r="1453" spans="1:11">
      <c r="A1453" s="28"/>
      <c r="B1453" s="29"/>
      <c r="C1453" s="30" t="str">
        <f>IFERROR(_xlfn.XLOOKUP(B1453,MObra[DESCRIPCION],MObra[UN],,0),"")</f>
        <v/>
      </c>
      <c r="D1453" s="31"/>
      <c r="E1453" s="32" t="str">
        <f>IFERROR(_xlfn.XLOOKUP($B1453,MObra[DESCRIPCION],MObra[VALOR UNIT],,0),"")</f>
        <v/>
      </c>
      <c r="F1453" s="33"/>
      <c r="G1453" s="34" t="str">
        <f>IFERROR(IF(F1453&gt;=0,D1453*E1453*(1+F1453/100),ABS(D1453*E1453/F1453)),"")</f>
        <v/>
      </c>
      <c r="H1453" s="43" t="str">
        <f>IFERROR(G1453*E1433,"")</f>
        <v/>
      </c>
    </row>
    <row r="1454" spans="1:11">
      <c r="A1454" s="35"/>
      <c r="B1454" s="36"/>
      <c r="C1454" s="37" t="str">
        <f>IFERROR(_xlfn.XLOOKUP(B1454,MObra[DESCRIPCION],MObra[UN],,0),"")</f>
        <v/>
      </c>
      <c r="D1454" s="38"/>
      <c r="E1454" s="39" t="str">
        <f>IFERROR(_xlfn.XLOOKUP($B1454,MObra[DESCRIPCION],MObra[VALOR UNIT],,0),"")</f>
        <v/>
      </c>
      <c r="F1454" s="40"/>
      <c r="G1454" s="41" t="str">
        <f>IFERROR(IF(F1454&gt;=0,D1454*E1454*(1+F1454/100),ABS(D1454*E1454/F1454)),"")</f>
        <v/>
      </c>
      <c r="H1454" s="42" t="str">
        <f>IFERROR(G1454*E1433,"")</f>
        <v/>
      </c>
    </row>
    <row r="1455" spans="1:11" ht="12.75" customHeight="1"/>
    <row r="1456" spans="1:11">
      <c r="A1456" s="6" t="s">
        <v>1868</v>
      </c>
      <c r="B1456" s="7" t="str">
        <f>VLOOKUP($A1456,Presupuesto!$A:$D,2,FALSE())</f>
        <v>Recubrimiento de taludes con mortero 1:3 de e=10 cm</v>
      </c>
      <c r="C1456" s="8" t="str">
        <f>VLOOKUP($A1456,Presupuesto!$A:$D,3,FALSE())</f>
        <v>M2</v>
      </c>
      <c r="D1456" s="9"/>
      <c r="E1456" s="10">
        <f>VLOOKUP($A1456,Presupuesto!$A:$D,4,FALSE())</f>
        <v>0</v>
      </c>
      <c r="F1456" s="11" t="s">
        <v>2589</v>
      </c>
      <c r="G1456" s="12">
        <f>SUM(G1458:G1474)/2</f>
        <v>70226.754808247802</v>
      </c>
      <c r="H1456" s="13">
        <f>ROUND(SUM(H1458:H1474),0)/2</f>
        <v>0</v>
      </c>
      <c r="I1456" s="10">
        <f>VLOOKUP(A1456,Presupuesto!$A:$F,6,0)</f>
        <v>0</v>
      </c>
      <c r="J1456" s="10">
        <f>+H1456-I1456</f>
        <v>0</v>
      </c>
      <c r="K1456" s="46">
        <f>+H1456-G1456*E1456</f>
        <v>0</v>
      </c>
    </row>
    <row r="1457" spans="1:8">
      <c r="A1457" s="14"/>
      <c r="B1457" s="15" t="s">
        <v>2586</v>
      </c>
      <c r="C1457" s="15" t="s">
        <v>5</v>
      </c>
      <c r="D1457" s="16" t="s">
        <v>6</v>
      </c>
      <c r="E1457" s="17" t="s">
        <v>7</v>
      </c>
      <c r="F1457" s="18" t="s">
        <v>3728</v>
      </c>
      <c r="G1457" s="19" t="s">
        <v>3729</v>
      </c>
      <c r="H1457" s="20" t="s">
        <v>3797</v>
      </c>
    </row>
    <row r="1458" spans="1:8">
      <c r="A1458" s="21"/>
      <c r="B1458" s="22" t="s">
        <v>3730</v>
      </c>
      <c r="C1458" s="23"/>
      <c r="D1458" s="24"/>
      <c r="E1458" s="25"/>
      <c r="F1458" s="26"/>
      <c r="G1458" s="27">
        <f>SUM(G1459:G1463)</f>
        <v>58833.648008324461</v>
      </c>
      <c r="H1458" s="27">
        <f>IFERROR(G1458*E1456,"")</f>
        <v>0</v>
      </c>
    </row>
    <row r="1459" spans="1:8">
      <c r="A1459" s="28"/>
      <c r="B1459" s="29" t="s">
        <v>3244</v>
      </c>
      <c r="C1459" s="30" t="str">
        <f>IFERROR(_xlfn.XLOOKUP(B1459,Insumo[DESCRIPCION],Insumo[UND],,0),"")</f>
        <v>M3</v>
      </c>
      <c r="D1459" s="31">
        <v>0.1</v>
      </c>
      <c r="E1459" s="32">
        <f>IFERROR(_xlfn.XLOOKUP($B1459,Insumo[DESCRIPCION],Insumo[VALOR],,0),"")</f>
        <v>497765.65722213761</v>
      </c>
      <c r="F1459" s="33">
        <v>5</v>
      </c>
      <c r="G1459" s="34">
        <f>IFERROR(IF(F1459&gt;=0,D1459*E1459*(1+F1459/100),ABS(D1459*E1459/F1459)),"")</f>
        <v>52265.39400832446</v>
      </c>
      <c r="H1459" s="43">
        <f>IFERROR(G1459*E1456,"")</f>
        <v>0</v>
      </c>
    </row>
    <row r="1460" spans="1:8">
      <c r="A1460" s="28"/>
      <c r="B1460" s="29" t="s">
        <v>2653</v>
      </c>
      <c r="C1460" s="30" t="str">
        <f>IFERROR(_xlfn.XLOOKUP(B1460,Insumo[DESCRIPCION],Insumo[UND],,0),"")</f>
        <v>Kg</v>
      </c>
      <c r="D1460" s="31">
        <v>1.1000000000000001</v>
      </c>
      <c r="E1460" s="32">
        <f>IFERROR(_xlfn.XLOOKUP($B1460,Insumo[DESCRIPCION],Insumo[VALOR],,0),"")</f>
        <v>5686.8</v>
      </c>
      <c r="F1460" s="33">
        <v>5</v>
      </c>
      <c r="G1460" s="34">
        <f>IFERROR(IF(F1460&gt;=0,D1460*E1460*(1+F1460/100),ABS(D1460*E1460/F1460)),"")</f>
        <v>6568.2540000000008</v>
      </c>
      <c r="H1460" s="43">
        <f>IFERROR(G1460*E1456,"")</f>
        <v>0</v>
      </c>
    </row>
    <row r="1461" spans="1:8">
      <c r="A1461" s="28"/>
      <c r="B1461" s="29"/>
      <c r="C1461" s="30" t="str">
        <f>IFERROR(_xlfn.XLOOKUP(B1461,Insumo[DESCRIPCION],Insumo[UND],,0),"")</f>
        <v/>
      </c>
      <c r="D1461" s="31"/>
      <c r="E1461" s="32" t="str">
        <f>IFERROR(_xlfn.XLOOKUP($B1461,Insumo[DESCRIPCION],Insumo[VALOR],,0),"")</f>
        <v/>
      </c>
      <c r="F1461" s="33"/>
      <c r="G1461" s="34" t="str">
        <f>IFERROR(IF(F1461&gt;=0,D1461*E1461*(1+F1461/100),ABS(D1461*E1461/F1461)),"")</f>
        <v/>
      </c>
      <c r="H1461" s="43" t="str">
        <f>IFERROR(G1461*E1456,"")</f>
        <v/>
      </c>
    </row>
    <row r="1462" spans="1:8">
      <c r="A1462" s="28"/>
      <c r="B1462" s="29"/>
      <c r="C1462" s="30" t="str">
        <f>IFERROR(_xlfn.XLOOKUP(B1462,Insumo[DESCRIPCION],Insumo[UND],,0),"")</f>
        <v/>
      </c>
      <c r="D1462" s="31"/>
      <c r="E1462" s="32" t="str">
        <f>IFERROR(_xlfn.XLOOKUP($B1462,Insumo[DESCRIPCION],Insumo[VALOR],,0),"")</f>
        <v/>
      </c>
      <c r="F1462" s="33"/>
      <c r="G1462" s="34" t="str">
        <f>IFERROR(IF(F1462&gt;=0,D1462*E1462*(1+F1462/100),ABS(D1462*E1462/F1462)),"")</f>
        <v/>
      </c>
      <c r="H1462" s="43" t="str">
        <f>IFERROR(G1462*E1456,"")</f>
        <v/>
      </c>
    </row>
    <row r="1463" spans="1:8">
      <c r="A1463" s="28"/>
      <c r="B1463" s="29"/>
      <c r="C1463" s="30" t="str">
        <f>IFERROR(_xlfn.XLOOKUP(B1463,Insumo[DESCRIPCION],Insumo[UND],,0),"")</f>
        <v/>
      </c>
      <c r="D1463" s="31"/>
      <c r="E1463" s="32" t="str">
        <f>IFERROR(_xlfn.XLOOKUP($B1463,Insumo[DESCRIPCION],Insumo[VALOR],,0),"")</f>
        <v/>
      </c>
      <c r="F1463" s="33"/>
      <c r="G1463" s="34" t="str">
        <f>IFERROR(IF(F1463&gt;=0,D1463*E1463*(1+F1463/100),ABS(D1463*E1463/F1463)),"")</f>
        <v/>
      </c>
      <c r="H1463" s="43" t="str">
        <f>IFERROR(G1463*E1456,"")</f>
        <v/>
      </c>
    </row>
    <row r="1464" spans="1:8">
      <c r="A1464" s="21"/>
      <c r="B1464" s="22" t="s">
        <v>3731</v>
      </c>
      <c r="C1464" s="23"/>
      <c r="D1464" s="24"/>
      <c r="E1464" s="25"/>
      <c r="F1464" s="26"/>
      <c r="G1464" s="27">
        <f>SUM(G1465:G1467)</f>
        <v>1819.0674722566669</v>
      </c>
      <c r="H1464" s="44">
        <f>G1464*E1456</f>
        <v>0</v>
      </c>
    </row>
    <row r="1465" spans="1:8">
      <c r="A1465" s="28"/>
      <c r="B1465" s="29" t="s">
        <v>3570</v>
      </c>
      <c r="C1465" s="30" t="str">
        <f>IFERROR(_xlfn.XLOOKUP(B1465,Equipo[DESCRIPCION],Equipo[UND],,0),"")</f>
        <v>%MO</v>
      </c>
      <c r="D1465" s="31">
        <v>0.04</v>
      </c>
      <c r="E1465" s="32">
        <f>IF(C1465="%MO",G1471,IFERROR(_xlfn.XLOOKUP($B1465,Equipo[DESCRIPCION],Equipo[VALOR],,0),""))</f>
        <v>9574.0393276666673</v>
      </c>
      <c r="F1465" s="33"/>
      <c r="G1465" s="34">
        <f>IFERROR(IF(F1465&gt;=0,D1465*E1465*(1+F1465/100),ABS(D1465*E1465/F1465)),"")</f>
        <v>382.96157310666672</v>
      </c>
      <c r="H1465" s="43">
        <f>IFERROR(G1465*E1456,"")</f>
        <v>0</v>
      </c>
    </row>
    <row r="1466" spans="1:8">
      <c r="A1466" s="28"/>
      <c r="B1466" s="29" t="s">
        <v>3572</v>
      </c>
      <c r="C1466" s="30" t="str">
        <f>IFERROR(_xlfn.XLOOKUP(B1466,Equipo[DESCRIPCION],Equipo[UND],,0),"")</f>
        <v>%MO</v>
      </c>
      <c r="D1466" s="31">
        <v>0.1</v>
      </c>
      <c r="E1466" s="32">
        <f>IF(C1466="%MO",G1471,IFERROR(_xlfn.XLOOKUP($B1466,Equipo[DESCRIPCION],Equipo[VALOR],,0),""))</f>
        <v>9574.0393276666673</v>
      </c>
      <c r="F1466" s="33"/>
      <c r="G1466" s="34">
        <f>IFERROR(IF(F1466&gt;=0,D1466*E1466*(1+F1466/100),ABS(D1466*E1466/F1466)),"")</f>
        <v>957.4039327666668</v>
      </c>
      <c r="H1466" s="43">
        <f>IFERROR(G1466*E1456,"")</f>
        <v>0</v>
      </c>
    </row>
    <row r="1467" spans="1:8">
      <c r="A1467" s="28"/>
      <c r="B1467" s="29" t="s">
        <v>3626</v>
      </c>
      <c r="C1467" s="30" t="str">
        <f>IFERROR(_xlfn.XLOOKUP(B1467,Equipo[DESCRIPCION],Equipo[UND],,0),"")</f>
        <v>%MO</v>
      </c>
      <c r="D1467" s="31">
        <v>0.05</v>
      </c>
      <c r="E1467" s="32">
        <f>IF(C1467="%MO",G1471,IFERROR(_xlfn.XLOOKUP($B1467,Equipo[DESCRIPCION],Equipo[VALOR],,0),""))</f>
        <v>9574.0393276666673</v>
      </c>
      <c r="F1467" s="33"/>
      <c r="G1467" s="34">
        <f>IFERROR(IF(F1467&gt;=0,D1467*E1467*(1+F1467/100),ABS(D1467*E1467/F1467)),"")</f>
        <v>478.7019663833334</v>
      </c>
      <c r="H1467" s="43">
        <f>IFERROR(G1467*E1456,"")</f>
        <v>0</v>
      </c>
    </row>
    <row r="1468" spans="1:8">
      <c r="A1468" s="21"/>
      <c r="B1468" s="22" t="s">
        <v>2533</v>
      </c>
      <c r="C1468" s="23"/>
      <c r="D1468" s="24"/>
      <c r="E1468" s="25"/>
      <c r="F1468" s="26"/>
      <c r="G1468" s="27">
        <f>SUM(G1469:G1470)</f>
        <v>0</v>
      </c>
      <c r="H1468" s="44">
        <f>G1468*E1456</f>
        <v>0</v>
      </c>
    </row>
    <row r="1469" spans="1:8">
      <c r="A1469" s="28"/>
      <c r="B1469" s="29"/>
      <c r="C1469" s="30" t="str">
        <f>IFERROR(_xlfn.XLOOKUP(B1469,Transporte[DESCRIPCION],Transporte[UND],,0),"")</f>
        <v/>
      </c>
      <c r="D1469" s="31"/>
      <c r="E1469" s="32" t="str">
        <f>IFERROR(_xlfn.XLOOKUP($B1469,Transporte[DESCRIPCION],Transporte[VALOR],,0),"")</f>
        <v/>
      </c>
      <c r="F1469" s="33"/>
      <c r="G1469" s="34" t="str">
        <f>IFERROR(IF(F1469&gt;=0,D1469*E1469*(1+F1469/100),ABS(D1469*E1469/F1469)),"")</f>
        <v/>
      </c>
      <c r="H1469" s="43" t="str">
        <f>IFERROR(G1469*E1456,"")</f>
        <v/>
      </c>
    </row>
    <row r="1470" spans="1:8">
      <c r="A1470" s="28"/>
      <c r="B1470" s="29"/>
      <c r="C1470" s="30" t="str">
        <f>IFERROR(_xlfn.XLOOKUP(B1470,Transporte[DESCRIPCION],Transporte[UND],,0),"")</f>
        <v/>
      </c>
      <c r="D1470" s="31"/>
      <c r="E1470" s="32" t="str">
        <f>IFERROR(_xlfn.XLOOKUP($B1470,Transporte[DESCRIPCION],Transporte[VALOR],,0),"")</f>
        <v/>
      </c>
      <c r="F1470" s="33"/>
      <c r="G1470" s="34" t="str">
        <f>IFERROR(IF(F1470&gt;=0,D1470*E1470*(1+F1470/100),ABS(D1470*E1470/F1470)),"")</f>
        <v/>
      </c>
      <c r="H1470" s="43" t="str">
        <f>IFERROR(G1470*E1456,"")</f>
        <v/>
      </c>
    </row>
    <row r="1471" spans="1:8">
      <c r="A1471" s="21"/>
      <c r="B1471" s="22" t="s">
        <v>3732</v>
      </c>
      <c r="C1471" s="23"/>
      <c r="D1471" s="24"/>
      <c r="E1471" s="25"/>
      <c r="F1471" s="26"/>
      <c r="G1471" s="27">
        <f>SUM(G1472:G1474)</f>
        <v>9574.0393276666673</v>
      </c>
      <c r="H1471" s="44">
        <f>G1471*E1456</f>
        <v>0</v>
      </c>
    </row>
    <row r="1472" spans="1:8">
      <c r="A1472" s="28"/>
      <c r="B1472" s="29" t="s">
        <v>3721</v>
      </c>
      <c r="C1472" s="30" t="str">
        <f>IFERROR(_xlfn.XLOOKUP(B1472,MObra[DESCRIPCION],MObra[UN],,0),"")</f>
        <v>día</v>
      </c>
      <c r="D1472" s="31">
        <v>1</v>
      </c>
      <c r="E1472" s="32">
        <f>IFERROR(_xlfn.XLOOKUP($B1472,MObra[DESCRIPCION],MObra[VALOR UNIT],,0),"")</f>
        <v>861663.53949000011</v>
      </c>
      <c r="F1472" s="33">
        <v>-90</v>
      </c>
      <c r="G1472" s="34">
        <f>IFERROR(IF(F1472&gt;=0,D1472*E1472*(1+F1472/100),ABS(D1472*E1472/F1472)),"")</f>
        <v>9574.0393276666673</v>
      </c>
      <c r="H1472" s="43">
        <f>IFERROR(G1472*E1456,"")</f>
        <v>0</v>
      </c>
    </row>
    <row r="1473" spans="1:11">
      <c r="A1473" s="28"/>
      <c r="B1473" s="29"/>
      <c r="C1473" s="30" t="str">
        <f>IFERROR(_xlfn.XLOOKUP(B1473,MObra[DESCRIPCION],MObra[UN],,0),"")</f>
        <v/>
      </c>
      <c r="D1473" s="31"/>
      <c r="E1473" s="32" t="str">
        <f>IFERROR(_xlfn.XLOOKUP($B1473,MObra[DESCRIPCION],MObra[VALOR UNIT],,0),"")</f>
        <v/>
      </c>
      <c r="F1473" s="33"/>
      <c r="G1473" s="34" t="str">
        <f>IFERROR(IF(F1473&gt;=0,D1473*E1473*(1+F1473/100),ABS(D1473*E1473/F1473)),"")</f>
        <v/>
      </c>
      <c r="H1473" s="43" t="str">
        <f>IFERROR(G1473*E1456,"")</f>
        <v/>
      </c>
    </row>
    <row r="1474" spans="1:11">
      <c r="A1474" s="35"/>
      <c r="B1474" s="36"/>
      <c r="C1474" s="37" t="str">
        <f>IFERROR(_xlfn.XLOOKUP(B1474,MObra[DESCRIPCION],MObra[UN],,0),"")</f>
        <v/>
      </c>
      <c r="D1474" s="38"/>
      <c r="E1474" s="39" t="str">
        <f>IFERROR(_xlfn.XLOOKUP($B1474,MObra[DESCRIPCION],MObra[VALOR UNIT],,0),"")</f>
        <v/>
      </c>
      <c r="F1474" s="40"/>
      <c r="G1474" s="41" t="str">
        <f>IFERROR(IF(F1474&gt;=0,D1474*E1474*(1+F1474/100),ABS(D1474*E1474/F1474)),"")</f>
        <v/>
      </c>
      <c r="H1474" s="42" t="str">
        <f>IFERROR(G1474*E1456,"")</f>
        <v/>
      </c>
    </row>
    <row r="1475" spans="1:11" ht="12.75" customHeight="1"/>
    <row r="1476" spans="1:11">
      <c r="A1476" s="6" t="s">
        <v>1870</v>
      </c>
      <c r="B1476" s="7" t="str">
        <f>VLOOKUP($A1476,Presupuesto!$A:$D,2,FALSE())</f>
        <v>Reforestación con vetiver</v>
      </c>
      <c r="C1476" s="8" t="str">
        <f>VLOOKUP($A1476,Presupuesto!$A:$D,3,FALSE())</f>
        <v>M</v>
      </c>
      <c r="D1476" s="9"/>
      <c r="E1476" s="10">
        <f>VLOOKUP($A1476,Presupuesto!$A:$D,4,FALSE())</f>
        <v>0</v>
      </c>
      <c r="F1476" s="11" t="s">
        <v>2589</v>
      </c>
      <c r="G1476" s="12">
        <f>SUM(G1478:G1494)/2</f>
        <v>12592.842349419003</v>
      </c>
      <c r="H1476" s="13">
        <f>ROUND(SUM(H1478:H1494),0)/2</f>
        <v>0</v>
      </c>
      <c r="I1476" s="10">
        <f>VLOOKUP(A1476,Presupuesto!$A:$F,6,0)</f>
        <v>0</v>
      </c>
      <c r="J1476" s="10">
        <f>+H1476-I1476</f>
        <v>0</v>
      </c>
      <c r="K1476" s="46">
        <f>+H1476-G1476*E1476</f>
        <v>0</v>
      </c>
    </row>
    <row r="1477" spans="1:11">
      <c r="A1477" s="14"/>
      <c r="B1477" s="15" t="s">
        <v>2586</v>
      </c>
      <c r="C1477" s="15" t="s">
        <v>5</v>
      </c>
      <c r="D1477" s="16" t="s">
        <v>6</v>
      </c>
      <c r="E1477" s="17" t="s">
        <v>7</v>
      </c>
      <c r="F1477" s="18" t="s">
        <v>3728</v>
      </c>
      <c r="G1477" s="19" t="s">
        <v>3729</v>
      </c>
      <c r="H1477" s="20" t="s">
        <v>3797</v>
      </c>
    </row>
    <row r="1478" spans="1:11">
      <c r="A1478" s="21"/>
      <c r="B1478" s="22" t="s">
        <v>3730</v>
      </c>
      <c r="C1478" s="23"/>
      <c r="D1478" s="24"/>
      <c r="E1478" s="25"/>
      <c r="F1478" s="26"/>
      <c r="G1478" s="27">
        <f>SUM(G1479:G1483)</f>
        <v>7592.8650000000007</v>
      </c>
      <c r="H1478" s="27">
        <f>IFERROR(G1478*E1476,"")</f>
        <v>0</v>
      </c>
    </row>
    <row r="1479" spans="1:11">
      <c r="A1479" s="28"/>
      <c r="B1479" s="29" t="s">
        <v>3192</v>
      </c>
      <c r="C1479" s="30" t="str">
        <f>IFERROR(_xlfn.XLOOKUP(B1479,Insumo[DESCRIPCION],Insumo[UND],,0),"")</f>
        <v>Un</v>
      </c>
      <c r="D1479" s="31">
        <v>2.5</v>
      </c>
      <c r="E1479" s="32">
        <f>IFERROR(_xlfn.XLOOKUP($B1479,Insumo[DESCRIPCION],Insumo[VALOR],,0),"")</f>
        <v>1137.1500000000001</v>
      </c>
      <c r="F1479" s="33"/>
      <c r="G1479" s="34">
        <f>IFERROR(IF(F1479&gt;=0,D1479*E1479*(1+F1479/100),ABS(D1479*E1479/F1479)),"")</f>
        <v>2842.875</v>
      </c>
      <c r="H1479" s="43">
        <f>IFERROR(G1479*E1476,"")</f>
        <v>0</v>
      </c>
    </row>
    <row r="1480" spans="1:11">
      <c r="A1480" s="28"/>
      <c r="B1480" s="29" t="s">
        <v>3395</v>
      </c>
      <c r="C1480" s="30" t="str">
        <f>IFERROR(_xlfn.XLOOKUP(B1480,Insumo[DESCRIPCION],Insumo[UND],,0),"")</f>
        <v>M3</v>
      </c>
      <c r="D1480" s="31">
        <v>0.1</v>
      </c>
      <c r="E1480" s="32">
        <f>IFERROR(_xlfn.XLOOKUP($B1480,Insumo[DESCRIPCION],Insumo[VALOR],,0),"")</f>
        <v>47499.9</v>
      </c>
      <c r="F1480" s="33"/>
      <c r="G1480" s="34">
        <f>IFERROR(IF(F1480&gt;=0,D1480*E1480*(1+F1480/100),ABS(D1480*E1480/F1480)),"")</f>
        <v>4749.9900000000007</v>
      </c>
      <c r="H1480" s="43">
        <f>IFERROR(G1480*E1476,"")</f>
        <v>0</v>
      </c>
    </row>
    <row r="1481" spans="1:11">
      <c r="A1481" s="28"/>
      <c r="B1481" s="29"/>
      <c r="C1481" s="30" t="str">
        <f>IFERROR(_xlfn.XLOOKUP(B1481,Insumo[DESCRIPCION],Insumo[UND],,0),"")</f>
        <v/>
      </c>
      <c r="D1481" s="31"/>
      <c r="E1481" s="32" t="str">
        <f>IFERROR(_xlfn.XLOOKUP($B1481,Insumo[DESCRIPCION],Insumo[VALOR],,0),"")</f>
        <v/>
      </c>
      <c r="F1481" s="33"/>
      <c r="G1481" s="34" t="str">
        <f>IFERROR(IF(F1481&gt;=0,D1481*E1481*(1+F1481/100),ABS(D1481*E1481/F1481)),"")</f>
        <v/>
      </c>
      <c r="H1481" s="43" t="str">
        <f>IFERROR(G1481*E1476,"")</f>
        <v/>
      </c>
    </row>
    <row r="1482" spans="1:11">
      <c r="A1482" s="28"/>
      <c r="B1482" s="29"/>
      <c r="C1482" s="30" t="str">
        <f>IFERROR(_xlfn.XLOOKUP(B1482,Insumo[DESCRIPCION],Insumo[UND],,0),"")</f>
        <v/>
      </c>
      <c r="D1482" s="31"/>
      <c r="E1482" s="32" t="str">
        <f>IFERROR(_xlfn.XLOOKUP($B1482,Insumo[DESCRIPCION],Insumo[VALOR],,0),"")</f>
        <v/>
      </c>
      <c r="F1482" s="33"/>
      <c r="G1482" s="34" t="str">
        <f>IFERROR(IF(F1482&gt;=0,D1482*E1482*(1+F1482/100),ABS(D1482*E1482/F1482)),"")</f>
        <v/>
      </c>
      <c r="H1482" s="43" t="str">
        <f>IFERROR(G1482*E1476,"")</f>
        <v/>
      </c>
    </row>
    <row r="1483" spans="1:11">
      <c r="A1483" s="28"/>
      <c r="B1483" s="29"/>
      <c r="C1483" s="30" t="str">
        <f>IFERROR(_xlfn.XLOOKUP(B1483,Insumo[DESCRIPCION],Insumo[UND],,0),"")</f>
        <v/>
      </c>
      <c r="D1483" s="31"/>
      <c r="E1483" s="32" t="str">
        <f>IFERROR(_xlfn.XLOOKUP($B1483,Insumo[DESCRIPCION],Insumo[VALOR],,0),"")</f>
        <v/>
      </c>
      <c r="F1483" s="33"/>
      <c r="G1483" s="34" t="str">
        <f>IFERROR(IF(F1483&gt;=0,D1483*E1483*(1+F1483/100),ABS(D1483*E1483/F1483)),"")</f>
        <v/>
      </c>
      <c r="H1483" s="43" t="str">
        <f>IFERROR(G1483*E1476,"")</f>
        <v/>
      </c>
    </row>
    <row r="1484" spans="1:11">
      <c r="A1484" s="21"/>
      <c r="B1484" s="22" t="s">
        <v>3731</v>
      </c>
      <c r="C1484" s="23"/>
      <c r="D1484" s="24"/>
      <c r="E1484" s="25"/>
      <c r="F1484" s="26"/>
      <c r="G1484" s="27">
        <f>SUM(G1485:G1487)</f>
        <v>575.21863311900006</v>
      </c>
      <c r="H1484" s="44">
        <f>G1484*E1476</f>
        <v>0</v>
      </c>
    </row>
    <row r="1485" spans="1:11">
      <c r="A1485" s="28"/>
      <c r="B1485" s="29" t="s">
        <v>3570</v>
      </c>
      <c r="C1485" s="30" t="str">
        <f>IFERROR(_xlfn.XLOOKUP(B1485,Equipo[DESCRIPCION],Equipo[UND],,0),"")</f>
        <v>%MO</v>
      </c>
      <c r="D1485" s="31">
        <v>0.04</v>
      </c>
      <c r="E1485" s="32">
        <f>IF(C1485="%MO",G1491,IFERROR(_xlfn.XLOOKUP($B1485,Equipo[DESCRIPCION],Equipo[VALOR],,0),""))</f>
        <v>4424.7587163000007</v>
      </c>
      <c r="F1485" s="33"/>
      <c r="G1485" s="34">
        <f>IFERROR(IF(F1485&gt;=0,D1485*E1485*(1+F1485/100),ABS(D1485*E1485/F1485)),"")</f>
        <v>176.99034865200002</v>
      </c>
      <c r="H1485" s="43">
        <f>IFERROR(G1485*E1476,"")</f>
        <v>0</v>
      </c>
    </row>
    <row r="1486" spans="1:11">
      <c r="A1486" s="28"/>
      <c r="B1486" s="29" t="s">
        <v>3572</v>
      </c>
      <c r="C1486" s="30" t="str">
        <f>IFERROR(_xlfn.XLOOKUP(B1486,Equipo[DESCRIPCION],Equipo[UND],,0),"")</f>
        <v>%MO</v>
      </c>
      <c r="D1486" s="31">
        <v>0.04</v>
      </c>
      <c r="E1486" s="32">
        <f>IF(C1486="%MO",G1491,IFERROR(_xlfn.XLOOKUP($B1486,Equipo[DESCRIPCION],Equipo[VALOR],,0),""))</f>
        <v>4424.7587163000007</v>
      </c>
      <c r="F1486" s="33"/>
      <c r="G1486" s="34">
        <f>IFERROR(IF(F1486&gt;=0,D1486*E1486*(1+F1486/100),ABS(D1486*E1486/F1486)),"")</f>
        <v>176.99034865200002</v>
      </c>
      <c r="H1486" s="43">
        <f>IFERROR(G1486*E1476,"")</f>
        <v>0</v>
      </c>
    </row>
    <row r="1487" spans="1:11">
      <c r="A1487" s="28"/>
      <c r="B1487" s="29" t="s">
        <v>3626</v>
      </c>
      <c r="C1487" s="30" t="str">
        <f>IFERROR(_xlfn.XLOOKUP(B1487,Equipo[DESCRIPCION],Equipo[UND],,0),"")</f>
        <v>%MO</v>
      </c>
      <c r="D1487" s="31">
        <v>0.05</v>
      </c>
      <c r="E1487" s="32">
        <f>IF(C1487="%MO",G1491,IFERROR(_xlfn.XLOOKUP($B1487,Equipo[DESCRIPCION],Equipo[VALOR],,0),""))</f>
        <v>4424.7587163000007</v>
      </c>
      <c r="F1487" s="33"/>
      <c r="G1487" s="34">
        <f>IFERROR(IF(F1487&gt;=0,D1487*E1487*(1+F1487/100),ABS(D1487*E1487/F1487)),"")</f>
        <v>221.23793581500004</v>
      </c>
      <c r="H1487" s="43">
        <f>IFERROR(G1487*E1476,"")</f>
        <v>0</v>
      </c>
    </row>
    <row r="1488" spans="1:11">
      <c r="A1488" s="21"/>
      <c r="B1488" s="22" t="s">
        <v>2533</v>
      </c>
      <c r="C1488" s="23"/>
      <c r="D1488" s="24"/>
      <c r="E1488" s="25"/>
      <c r="F1488" s="26"/>
      <c r="G1488" s="27">
        <f>SUM(G1489:G1490)</f>
        <v>0</v>
      </c>
      <c r="H1488" s="44">
        <f>G1488*E1476</f>
        <v>0</v>
      </c>
    </row>
    <row r="1489" spans="1:11">
      <c r="A1489" s="28"/>
      <c r="B1489" s="29"/>
      <c r="C1489" s="30" t="str">
        <f>IFERROR(_xlfn.XLOOKUP(B1489,Transporte[DESCRIPCION],Transporte[UND],,0),"")</f>
        <v/>
      </c>
      <c r="D1489" s="31"/>
      <c r="E1489" s="32" t="str">
        <f>IFERROR(_xlfn.XLOOKUP($B1489,Transporte[DESCRIPCION],Transporte[VALOR],,0),"")</f>
        <v/>
      </c>
      <c r="F1489" s="33"/>
      <c r="G1489" s="34" t="str">
        <f>IFERROR(IF(F1489&gt;=0,D1489*E1489*(1+F1489/100),ABS(D1489*E1489/F1489)),"")</f>
        <v/>
      </c>
      <c r="H1489" s="43" t="str">
        <f>IFERROR(G1489*E1476,"")</f>
        <v/>
      </c>
    </row>
    <row r="1490" spans="1:11">
      <c r="A1490" s="28"/>
      <c r="B1490" s="29"/>
      <c r="C1490" s="30" t="str">
        <f>IFERROR(_xlfn.XLOOKUP(B1490,Transporte[DESCRIPCION],Transporte[UND],,0),"")</f>
        <v/>
      </c>
      <c r="D1490" s="31"/>
      <c r="E1490" s="32" t="str">
        <f>IFERROR(_xlfn.XLOOKUP($B1490,Transporte[DESCRIPCION],Transporte[VALOR],,0),"")</f>
        <v/>
      </c>
      <c r="F1490" s="33"/>
      <c r="G1490" s="34" t="str">
        <f>IFERROR(IF(F1490&gt;=0,D1490*E1490*(1+F1490/100),ABS(D1490*E1490/F1490)),"")</f>
        <v/>
      </c>
      <c r="H1490" s="43" t="str">
        <f>IFERROR(G1490*E1476,"")</f>
        <v/>
      </c>
    </row>
    <row r="1491" spans="1:11">
      <c r="A1491" s="21"/>
      <c r="B1491" s="22" t="s">
        <v>3732</v>
      </c>
      <c r="C1491" s="23"/>
      <c r="D1491" s="24"/>
      <c r="E1491" s="25"/>
      <c r="F1491" s="26"/>
      <c r="G1491" s="27">
        <f>SUM(G1492:G1494)</f>
        <v>4424.7587163000007</v>
      </c>
      <c r="H1491" s="44">
        <f>G1491*E1476</f>
        <v>0</v>
      </c>
    </row>
    <row r="1492" spans="1:11">
      <c r="A1492" s="28"/>
      <c r="B1492" s="29" t="s">
        <v>3713</v>
      </c>
      <c r="C1492" s="30" t="str">
        <f>IFERROR(_xlfn.XLOOKUP(B1492,MObra[DESCRIPCION],MObra[UN],,0),"")</f>
        <v>día</v>
      </c>
      <c r="D1492" s="31">
        <v>1</v>
      </c>
      <c r="E1492" s="32">
        <f>IFERROR(_xlfn.XLOOKUP($B1492,MObra[DESCRIPCION],MObra[VALOR UNIT],,0),"")</f>
        <v>663713.80744500016</v>
      </c>
      <c r="F1492" s="33">
        <v>-150</v>
      </c>
      <c r="G1492" s="34">
        <f>IFERROR(IF(F1492&gt;=0,D1492*E1492*(1+F1492/100),ABS(D1492*E1492/F1492)),"")</f>
        <v>4424.7587163000007</v>
      </c>
      <c r="H1492" s="43">
        <f>IFERROR(G1492*E1476,"")</f>
        <v>0</v>
      </c>
    </row>
    <row r="1493" spans="1:11">
      <c r="A1493" s="28"/>
      <c r="B1493" s="29"/>
      <c r="C1493" s="30" t="str">
        <f>IFERROR(_xlfn.XLOOKUP(B1493,MObra[DESCRIPCION],MObra[UN],,0),"")</f>
        <v/>
      </c>
      <c r="D1493" s="31"/>
      <c r="E1493" s="32" t="str">
        <f>IFERROR(_xlfn.XLOOKUP($B1493,MObra[DESCRIPCION],MObra[VALOR UNIT],,0),"")</f>
        <v/>
      </c>
      <c r="F1493" s="33"/>
      <c r="G1493" s="34" t="str">
        <f>IFERROR(IF(F1493&gt;=0,D1493*E1493*(1+F1493/100),ABS(D1493*E1493/F1493)),"")</f>
        <v/>
      </c>
      <c r="H1493" s="43" t="str">
        <f>IFERROR(G1493*E1476,"")</f>
        <v/>
      </c>
    </row>
    <row r="1494" spans="1:11">
      <c r="A1494" s="35"/>
      <c r="B1494" s="36"/>
      <c r="C1494" s="37" t="str">
        <f>IFERROR(_xlfn.XLOOKUP(B1494,MObra[DESCRIPCION],MObra[UN],,0),"")</f>
        <v/>
      </c>
      <c r="D1494" s="38"/>
      <c r="E1494" s="39" t="str">
        <f>IFERROR(_xlfn.XLOOKUP($B1494,MObra[DESCRIPCION],MObra[VALOR UNIT],,0),"")</f>
        <v/>
      </c>
      <c r="F1494" s="40"/>
      <c r="G1494" s="41" t="str">
        <f>IFERROR(IF(F1494&gt;=0,D1494*E1494*(1+F1494/100),ABS(D1494*E1494/F1494)),"")</f>
        <v/>
      </c>
      <c r="H1494" s="42" t="str">
        <f>IFERROR(G1494*E1476,"")</f>
        <v/>
      </c>
    </row>
    <row r="1495" spans="1:11" ht="12.75" customHeight="1"/>
    <row r="1496" spans="1:11">
      <c r="A1496" s="6" t="s">
        <v>1872</v>
      </c>
      <c r="B1496" s="7" t="str">
        <f>VLOOKUP($A1496,Presupuesto!$A:$D,2,FALSE())</f>
        <v>Remoción derrumbes manual</v>
      </c>
      <c r="C1496" s="8" t="str">
        <f>VLOOKUP($A1496,Presupuesto!$A:$D,3,FALSE())</f>
        <v>M3</v>
      </c>
      <c r="D1496" s="9"/>
      <c r="E1496" s="10">
        <f>VLOOKUP($A1496,Presupuesto!$A:$D,4,FALSE())</f>
        <v>0</v>
      </c>
      <c r="F1496" s="11" t="s">
        <v>2589</v>
      </c>
      <c r="G1496" s="12">
        <f>SUM(G1498:G1514)/2</f>
        <v>20669.944289001432</v>
      </c>
      <c r="H1496" s="13">
        <f>ROUND(SUM(H1498:H1514),0)/2</f>
        <v>0</v>
      </c>
      <c r="I1496" s="10">
        <f>VLOOKUP(A1496,Presupuesto!$A:$F,6,0)</f>
        <v>0</v>
      </c>
      <c r="J1496" s="10">
        <f>+H1496-I1496</f>
        <v>0</v>
      </c>
      <c r="K1496" s="46">
        <f>+H1496-G1496*E1496</f>
        <v>0</v>
      </c>
    </row>
    <row r="1497" spans="1:11">
      <c r="A1497" s="14"/>
      <c r="B1497" s="15" t="s">
        <v>2586</v>
      </c>
      <c r="C1497" s="15" t="s">
        <v>5</v>
      </c>
      <c r="D1497" s="16" t="s">
        <v>6</v>
      </c>
      <c r="E1497" s="17" t="s">
        <v>7</v>
      </c>
      <c r="F1497" s="18" t="s">
        <v>3728</v>
      </c>
      <c r="G1497" s="19" t="s">
        <v>3729</v>
      </c>
      <c r="H1497" s="20" t="s">
        <v>3797</v>
      </c>
    </row>
    <row r="1498" spans="1:11">
      <c r="A1498" s="21"/>
      <c r="B1498" s="22" t="s">
        <v>3730</v>
      </c>
      <c r="C1498" s="23"/>
      <c r="D1498" s="24"/>
      <c r="E1498" s="25"/>
      <c r="F1498" s="26"/>
      <c r="G1498" s="27">
        <f>SUM(G1499:G1503)</f>
        <v>0</v>
      </c>
      <c r="H1498" s="27">
        <f>IFERROR(G1498*E1496,"")</f>
        <v>0</v>
      </c>
    </row>
    <row r="1499" spans="1:11">
      <c r="A1499" s="28"/>
      <c r="B1499" s="29"/>
      <c r="C1499" s="30" t="str">
        <f>IFERROR(_xlfn.XLOOKUP(B1499,Insumo[DESCRIPCION],Insumo[UND],,0),"")</f>
        <v/>
      </c>
      <c r="D1499" s="31"/>
      <c r="E1499" s="32" t="str">
        <f>IFERROR(_xlfn.XLOOKUP($B1499,Insumo[DESCRIPCION],Insumo[VALOR],,0),"")</f>
        <v/>
      </c>
      <c r="F1499" s="33"/>
      <c r="G1499" s="34" t="str">
        <f>IFERROR(IF(F1499&gt;=0,D1499*E1499*(1+F1499/100),ABS(D1499*E1499/F1499)),"")</f>
        <v/>
      </c>
      <c r="H1499" s="43" t="str">
        <f>IFERROR(G1499*E1496,"")</f>
        <v/>
      </c>
    </row>
    <row r="1500" spans="1:11">
      <c r="A1500" s="28"/>
      <c r="B1500" s="29"/>
      <c r="C1500" s="30" t="str">
        <f>IFERROR(_xlfn.XLOOKUP(B1500,Insumo[DESCRIPCION],Insumo[UND],,0),"")</f>
        <v/>
      </c>
      <c r="D1500" s="31"/>
      <c r="E1500" s="32" t="str">
        <f>IFERROR(_xlfn.XLOOKUP($B1500,Insumo[DESCRIPCION],Insumo[VALOR],,0),"")</f>
        <v/>
      </c>
      <c r="F1500" s="33"/>
      <c r="G1500" s="34" t="str">
        <f>IFERROR(IF(F1500&gt;=0,D1500*E1500*(1+F1500/100),ABS(D1500*E1500/F1500)),"")</f>
        <v/>
      </c>
      <c r="H1500" s="43" t="str">
        <f>IFERROR(G1500*E1496,"")</f>
        <v/>
      </c>
    </row>
    <row r="1501" spans="1:11">
      <c r="A1501" s="28"/>
      <c r="B1501" s="29"/>
      <c r="C1501" s="30" t="str">
        <f>IFERROR(_xlfn.XLOOKUP(B1501,Insumo[DESCRIPCION],Insumo[UND],,0),"")</f>
        <v/>
      </c>
      <c r="D1501" s="31"/>
      <c r="E1501" s="32" t="str">
        <f>IFERROR(_xlfn.XLOOKUP($B1501,Insumo[DESCRIPCION],Insumo[VALOR],,0),"")</f>
        <v/>
      </c>
      <c r="F1501" s="33"/>
      <c r="G1501" s="34" t="str">
        <f>IFERROR(IF(F1501&gt;=0,D1501*E1501*(1+F1501/100),ABS(D1501*E1501/F1501)),"")</f>
        <v/>
      </c>
      <c r="H1501" s="43" t="str">
        <f>IFERROR(G1501*E1496,"")</f>
        <v/>
      </c>
    </row>
    <row r="1502" spans="1:11">
      <c r="A1502" s="28"/>
      <c r="B1502" s="29"/>
      <c r="C1502" s="30" t="str">
        <f>IFERROR(_xlfn.XLOOKUP(B1502,Insumo[DESCRIPCION],Insumo[UND],,0),"")</f>
        <v/>
      </c>
      <c r="D1502" s="31"/>
      <c r="E1502" s="32" t="str">
        <f>IFERROR(_xlfn.XLOOKUP($B1502,Insumo[DESCRIPCION],Insumo[VALOR],,0),"")</f>
        <v/>
      </c>
      <c r="F1502" s="33"/>
      <c r="G1502" s="34" t="str">
        <f>IFERROR(IF(F1502&gt;=0,D1502*E1502*(1+F1502/100),ABS(D1502*E1502/F1502)),"")</f>
        <v/>
      </c>
      <c r="H1502" s="43" t="str">
        <f>IFERROR(G1502*E1496,"")</f>
        <v/>
      </c>
    </row>
    <row r="1503" spans="1:11">
      <c r="A1503" s="28"/>
      <c r="B1503" s="29"/>
      <c r="C1503" s="30" t="str">
        <f>IFERROR(_xlfn.XLOOKUP(B1503,Insumo[DESCRIPCION],Insumo[UND],,0),"")</f>
        <v/>
      </c>
      <c r="D1503" s="31"/>
      <c r="E1503" s="32" t="str">
        <f>IFERROR(_xlfn.XLOOKUP($B1503,Insumo[DESCRIPCION],Insumo[VALOR],,0),"")</f>
        <v/>
      </c>
      <c r="F1503" s="33"/>
      <c r="G1503" s="34" t="str">
        <f>IFERROR(IF(F1503&gt;=0,D1503*E1503*(1+F1503/100),ABS(D1503*E1503/F1503)),"")</f>
        <v/>
      </c>
      <c r="H1503" s="43" t="str">
        <f>IFERROR(G1503*E1496,"")</f>
        <v/>
      </c>
    </row>
    <row r="1504" spans="1:11">
      <c r="A1504" s="21"/>
      <c r="B1504" s="22" t="s">
        <v>3731</v>
      </c>
      <c r="C1504" s="23"/>
      <c r="D1504" s="24"/>
      <c r="E1504" s="25"/>
      <c r="F1504" s="26"/>
      <c r="G1504" s="27">
        <f>SUM(G1505:G1507)</f>
        <v>1706.6926477157149</v>
      </c>
      <c r="H1504" s="44">
        <f>G1504*E1496</f>
        <v>0</v>
      </c>
    </row>
    <row r="1505" spans="1:11">
      <c r="A1505" s="28"/>
      <c r="B1505" s="29" t="s">
        <v>3570</v>
      </c>
      <c r="C1505" s="30" t="str">
        <f>IFERROR(_xlfn.XLOOKUP(B1505,Equipo[DESCRIPCION],Equipo[UND],,0),"")</f>
        <v>%MO</v>
      </c>
      <c r="D1505" s="31">
        <v>0.04</v>
      </c>
      <c r="E1505" s="32">
        <f>IF(C1505="%MO",G1511,IFERROR(_xlfn.XLOOKUP($B1505,Equipo[DESCRIPCION],Equipo[VALOR],,0),""))</f>
        <v>18963.251641285719</v>
      </c>
      <c r="F1505" s="33"/>
      <c r="G1505" s="34">
        <f>IFERROR(IF(F1505&gt;=0,D1505*E1505*(1+F1505/100),ABS(D1505*E1505/F1505)),"")</f>
        <v>758.5300656514288</v>
      </c>
      <c r="H1505" s="43">
        <f>IFERROR(G1505*E1496,"")</f>
        <v>0</v>
      </c>
    </row>
    <row r="1506" spans="1:11">
      <c r="A1506" s="28"/>
      <c r="B1506" s="29" t="s">
        <v>3626</v>
      </c>
      <c r="C1506" s="30" t="str">
        <f>IFERROR(_xlfn.XLOOKUP(B1506,Equipo[DESCRIPCION],Equipo[UND],,0),"")</f>
        <v>%MO</v>
      </c>
      <c r="D1506" s="31">
        <v>0.05</v>
      </c>
      <c r="E1506" s="32">
        <f>IF(C1506="%MO",G1511,IFERROR(_xlfn.XLOOKUP($B1506,Equipo[DESCRIPCION],Equipo[VALOR],,0),""))</f>
        <v>18963.251641285719</v>
      </c>
      <c r="F1506" s="33"/>
      <c r="G1506" s="34">
        <f>IFERROR(IF(F1506&gt;=0,D1506*E1506*(1+F1506/100),ABS(D1506*E1506/F1506)),"")</f>
        <v>948.16258206428597</v>
      </c>
      <c r="H1506" s="43">
        <f>IFERROR(G1506*E1496,"")</f>
        <v>0</v>
      </c>
    </row>
    <row r="1507" spans="1:11">
      <c r="A1507" s="28"/>
      <c r="B1507" s="29"/>
      <c r="C1507" s="30" t="str">
        <f>IFERROR(_xlfn.XLOOKUP(B1507,Equipo[DESCRIPCION],Equipo[UND],,0),"")</f>
        <v/>
      </c>
      <c r="D1507" s="31"/>
      <c r="E1507" s="32" t="str">
        <f>IF(C1507="%MO",G1511,IFERROR(_xlfn.XLOOKUP($B1507,Equipo[DESCRIPCION],Equipo[VALOR],,0),""))</f>
        <v/>
      </c>
      <c r="F1507" s="33"/>
      <c r="G1507" s="34" t="str">
        <f>IFERROR(IF(F1507&gt;=0,D1507*E1507*(1+F1507/100),ABS(D1507*E1507/F1507)),"")</f>
        <v/>
      </c>
      <c r="H1507" s="43" t="str">
        <f>IFERROR(G1507*E1496,"")</f>
        <v/>
      </c>
    </row>
    <row r="1508" spans="1:11">
      <c r="A1508" s="21"/>
      <c r="B1508" s="22" t="s">
        <v>2533</v>
      </c>
      <c r="C1508" s="23"/>
      <c r="D1508" s="24"/>
      <c r="E1508" s="25"/>
      <c r="F1508" s="26"/>
      <c r="G1508" s="27">
        <f>SUM(G1509:G1510)</f>
        <v>0</v>
      </c>
      <c r="H1508" s="44">
        <f>G1508*E1496</f>
        <v>0</v>
      </c>
    </row>
    <row r="1509" spans="1:11">
      <c r="A1509" s="28"/>
      <c r="B1509" s="29"/>
      <c r="C1509" s="30" t="str">
        <f>IFERROR(_xlfn.XLOOKUP(B1509,Transporte[DESCRIPCION],Transporte[UND],,0),"")</f>
        <v/>
      </c>
      <c r="D1509" s="31"/>
      <c r="E1509" s="32" t="str">
        <f>IFERROR(_xlfn.XLOOKUP($B1509,Transporte[DESCRIPCION],Transporte[VALOR],,0),"")</f>
        <v/>
      </c>
      <c r="F1509" s="33"/>
      <c r="G1509" s="34" t="str">
        <f>IFERROR(IF(F1509&gt;=0,D1509*E1509*(1+F1509/100),ABS(D1509*E1509/F1509)),"")</f>
        <v/>
      </c>
      <c r="H1509" s="43" t="str">
        <f>IFERROR(G1509*E1496,"")</f>
        <v/>
      </c>
    </row>
    <row r="1510" spans="1:11">
      <c r="A1510" s="28"/>
      <c r="B1510" s="29"/>
      <c r="C1510" s="30" t="str">
        <f>IFERROR(_xlfn.XLOOKUP(B1510,Transporte[DESCRIPCION],Transporte[UND],,0),"")</f>
        <v/>
      </c>
      <c r="D1510" s="31"/>
      <c r="E1510" s="32" t="str">
        <f>IFERROR(_xlfn.XLOOKUP($B1510,Transporte[DESCRIPCION],Transporte[VALOR],,0),"")</f>
        <v/>
      </c>
      <c r="F1510" s="33"/>
      <c r="G1510" s="34" t="str">
        <f>IFERROR(IF(F1510&gt;=0,D1510*E1510*(1+F1510/100),ABS(D1510*E1510/F1510)),"")</f>
        <v/>
      </c>
      <c r="H1510" s="43" t="str">
        <f>IFERROR(G1510*E1496,"")</f>
        <v/>
      </c>
    </row>
    <row r="1511" spans="1:11">
      <c r="A1511" s="21"/>
      <c r="B1511" s="22" t="s">
        <v>3732</v>
      </c>
      <c r="C1511" s="23"/>
      <c r="D1511" s="24"/>
      <c r="E1511" s="25"/>
      <c r="F1511" s="26"/>
      <c r="G1511" s="27">
        <f>SUM(G1512:G1514)</f>
        <v>18963.251641285719</v>
      </c>
      <c r="H1511" s="44">
        <f>G1511*E1496</f>
        <v>0</v>
      </c>
    </row>
    <row r="1512" spans="1:11">
      <c r="A1512" s="28"/>
      <c r="B1512" s="29" t="s">
        <v>3713</v>
      </c>
      <c r="C1512" s="30" t="str">
        <f>IFERROR(_xlfn.XLOOKUP(B1512,MObra[DESCRIPCION],MObra[UN],,0),"")</f>
        <v>día</v>
      </c>
      <c r="D1512" s="31">
        <v>1</v>
      </c>
      <c r="E1512" s="32">
        <f>IFERROR(_xlfn.XLOOKUP($B1512,MObra[DESCRIPCION],MObra[VALOR UNIT],,0),"")</f>
        <v>663713.80744500016</v>
      </c>
      <c r="F1512" s="33">
        <v>-35</v>
      </c>
      <c r="G1512" s="34">
        <f>IFERROR(IF(F1512&gt;=0,D1512*E1512*(1+F1512/100),ABS(D1512*E1512/F1512)),"")</f>
        <v>18963.251641285719</v>
      </c>
      <c r="H1512" s="43">
        <f>IFERROR(G1512*E1496,"")</f>
        <v>0</v>
      </c>
    </row>
    <row r="1513" spans="1:11">
      <c r="A1513" s="28"/>
      <c r="B1513" s="29"/>
      <c r="C1513" s="30" t="str">
        <f>IFERROR(_xlfn.XLOOKUP(B1513,MObra[DESCRIPCION],MObra[UN],,0),"")</f>
        <v/>
      </c>
      <c r="D1513" s="31"/>
      <c r="E1513" s="32" t="str">
        <f>IFERROR(_xlfn.XLOOKUP($B1513,MObra[DESCRIPCION],MObra[VALOR UNIT],,0),"")</f>
        <v/>
      </c>
      <c r="F1513" s="33"/>
      <c r="G1513" s="34" t="str">
        <f>IFERROR(IF(F1513&gt;=0,D1513*E1513*(1+F1513/100),ABS(D1513*E1513/F1513)),"")</f>
        <v/>
      </c>
      <c r="H1513" s="43" t="str">
        <f>IFERROR(G1513*E1496,"")</f>
        <v/>
      </c>
    </row>
    <row r="1514" spans="1:11">
      <c r="A1514" s="35"/>
      <c r="B1514" s="36"/>
      <c r="C1514" s="37" t="str">
        <f>IFERROR(_xlfn.XLOOKUP(B1514,MObra[DESCRIPCION],MObra[UN],,0),"")</f>
        <v/>
      </c>
      <c r="D1514" s="38"/>
      <c r="E1514" s="39" t="str">
        <f>IFERROR(_xlfn.XLOOKUP($B1514,MObra[DESCRIPCION],MObra[VALOR UNIT],,0),"")</f>
        <v/>
      </c>
      <c r="F1514" s="40"/>
      <c r="G1514" s="41" t="str">
        <f>IFERROR(IF(F1514&gt;=0,D1514*E1514*(1+F1514/100),ABS(D1514*E1514/F1514)),"")</f>
        <v/>
      </c>
      <c r="H1514" s="42" t="str">
        <f>IFERROR(G1514*E1496,"")</f>
        <v/>
      </c>
    </row>
    <row r="1515" spans="1:11" ht="12.75" customHeight="1"/>
    <row r="1516" spans="1:11">
      <c r="A1516" s="6" t="s">
        <v>1874</v>
      </c>
      <c r="B1516" s="7" t="str">
        <f>VLOOKUP($A1516,Presupuesto!$A:$D,2,FALSE())</f>
        <v>Remoción derrumbes mecánica</v>
      </c>
      <c r="C1516" s="8" t="str">
        <f>VLOOKUP($A1516,Presupuesto!$A:$D,3,FALSE())</f>
        <v>M3</v>
      </c>
      <c r="D1516" s="9"/>
      <c r="E1516" s="10">
        <f>VLOOKUP($A1516,Presupuesto!$A:$D,4,FALSE())</f>
        <v>0</v>
      </c>
      <c r="F1516" s="11" t="s">
        <v>2589</v>
      </c>
      <c r="G1516" s="12">
        <f>SUM(G1518:G1534)/2</f>
        <v>18833.741630287503</v>
      </c>
      <c r="H1516" s="13">
        <f>ROUND(SUM(H1518:H1534),0)/2</f>
        <v>0</v>
      </c>
      <c r="I1516" s="10">
        <f>VLOOKUP(A1516,Presupuesto!$A:$F,6,0)</f>
        <v>0</v>
      </c>
      <c r="J1516" s="10">
        <f>+H1516-I1516</f>
        <v>0</v>
      </c>
      <c r="K1516" s="46">
        <f>+H1516-G1516*E1516</f>
        <v>0</v>
      </c>
    </row>
    <row r="1517" spans="1:11">
      <c r="A1517" s="14"/>
      <c r="B1517" s="15" t="s">
        <v>2586</v>
      </c>
      <c r="C1517" s="15" t="s">
        <v>5</v>
      </c>
      <c r="D1517" s="16" t="s">
        <v>6</v>
      </c>
      <c r="E1517" s="17" t="s">
        <v>7</v>
      </c>
      <c r="F1517" s="18" t="s">
        <v>3728</v>
      </c>
      <c r="G1517" s="19" t="s">
        <v>3729</v>
      </c>
      <c r="H1517" s="20" t="s">
        <v>3797</v>
      </c>
    </row>
    <row r="1518" spans="1:11">
      <c r="A1518" s="21"/>
      <c r="B1518" s="22" t="s">
        <v>3730</v>
      </c>
      <c r="C1518" s="23"/>
      <c r="D1518" s="24"/>
      <c r="E1518" s="25"/>
      <c r="F1518" s="26"/>
      <c r="G1518" s="27">
        <f>SUM(G1519:G1523)</f>
        <v>0</v>
      </c>
      <c r="H1518" s="27">
        <f>IFERROR(G1518*E1516,"")</f>
        <v>0</v>
      </c>
    </row>
    <row r="1519" spans="1:11">
      <c r="A1519" s="28"/>
      <c r="B1519" s="29"/>
      <c r="C1519" s="30" t="str">
        <f>IFERROR(_xlfn.XLOOKUP(B1519,Insumo[DESCRIPCION],Insumo[UND],,0),"")</f>
        <v/>
      </c>
      <c r="D1519" s="31"/>
      <c r="E1519" s="32" t="str">
        <f>IFERROR(_xlfn.XLOOKUP($B1519,Insumo[DESCRIPCION],Insumo[VALOR],,0),"")</f>
        <v/>
      </c>
      <c r="F1519" s="33"/>
      <c r="G1519" s="34" t="str">
        <f>IFERROR(IF(F1519&gt;=0,D1519*E1519*(1+F1519/100),ABS(D1519*E1519/F1519)),"")</f>
        <v/>
      </c>
      <c r="H1519" s="43" t="str">
        <f>IFERROR(G1519*E1516,"")</f>
        <v/>
      </c>
    </row>
    <row r="1520" spans="1:11">
      <c r="A1520" s="28"/>
      <c r="B1520" s="29"/>
      <c r="C1520" s="30" t="str">
        <f>IFERROR(_xlfn.XLOOKUP(B1520,Insumo[DESCRIPCION],Insumo[UND],,0),"")</f>
        <v/>
      </c>
      <c r="D1520" s="31"/>
      <c r="E1520" s="32" t="str">
        <f>IFERROR(_xlfn.XLOOKUP($B1520,Insumo[DESCRIPCION],Insumo[VALOR],,0),"")</f>
        <v/>
      </c>
      <c r="F1520" s="33"/>
      <c r="G1520" s="34" t="str">
        <f>IFERROR(IF(F1520&gt;=0,D1520*E1520*(1+F1520/100),ABS(D1520*E1520/F1520)),"")</f>
        <v/>
      </c>
      <c r="H1520" s="43" t="str">
        <f>IFERROR(G1520*E1516,"")</f>
        <v/>
      </c>
    </row>
    <row r="1521" spans="1:11">
      <c r="A1521" s="28"/>
      <c r="B1521" s="29"/>
      <c r="C1521" s="30" t="str">
        <f>IFERROR(_xlfn.XLOOKUP(B1521,Insumo[DESCRIPCION],Insumo[UND],,0),"")</f>
        <v/>
      </c>
      <c r="D1521" s="31"/>
      <c r="E1521" s="32" t="str">
        <f>IFERROR(_xlfn.XLOOKUP($B1521,Insumo[DESCRIPCION],Insumo[VALOR],,0),"")</f>
        <v/>
      </c>
      <c r="F1521" s="33"/>
      <c r="G1521" s="34" t="str">
        <f>IFERROR(IF(F1521&gt;=0,D1521*E1521*(1+F1521/100),ABS(D1521*E1521/F1521)),"")</f>
        <v/>
      </c>
      <c r="H1521" s="43" t="str">
        <f>IFERROR(G1521*E1516,"")</f>
        <v/>
      </c>
    </row>
    <row r="1522" spans="1:11">
      <c r="A1522" s="28"/>
      <c r="B1522" s="29"/>
      <c r="C1522" s="30" t="str">
        <f>IFERROR(_xlfn.XLOOKUP(B1522,Insumo[DESCRIPCION],Insumo[UND],,0),"")</f>
        <v/>
      </c>
      <c r="D1522" s="31"/>
      <c r="E1522" s="32" t="str">
        <f>IFERROR(_xlfn.XLOOKUP($B1522,Insumo[DESCRIPCION],Insumo[VALOR],,0),"")</f>
        <v/>
      </c>
      <c r="F1522" s="33"/>
      <c r="G1522" s="34" t="str">
        <f>IFERROR(IF(F1522&gt;=0,D1522*E1522*(1+F1522/100),ABS(D1522*E1522/F1522)),"")</f>
        <v/>
      </c>
      <c r="H1522" s="43" t="str">
        <f>IFERROR(G1522*E1516,"")</f>
        <v/>
      </c>
    </row>
    <row r="1523" spans="1:11">
      <c r="A1523" s="28"/>
      <c r="B1523" s="29"/>
      <c r="C1523" s="30" t="str">
        <f>IFERROR(_xlfn.XLOOKUP(B1523,Insumo[DESCRIPCION],Insumo[UND],,0),"")</f>
        <v/>
      </c>
      <c r="D1523" s="31"/>
      <c r="E1523" s="32" t="str">
        <f>IFERROR(_xlfn.XLOOKUP($B1523,Insumo[DESCRIPCION],Insumo[VALOR],,0),"")</f>
        <v/>
      </c>
      <c r="F1523" s="33"/>
      <c r="G1523" s="34" t="str">
        <f>IFERROR(IF(F1523&gt;=0,D1523*E1523*(1+F1523/100),ABS(D1523*E1523/F1523)),"")</f>
        <v/>
      </c>
      <c r="H1523" s="43" t="str">
        <f>IFERROR(G1523*E1516,"")</f>
        <v/>
      </c>
    </row>
    <row r="1524" spans="1:11">
      <c r="A1524" s="21"/>
      <c r="B1524" s="22" t="s">
        <v>3731</v>
      </c>
      <c r="C1524" s="23"/>
      <c r="D1524" s="24"/>
      <c r="E1524" s="25"/>
      <c r="F1524" s="26"/>
      <c r="G1524" s="27">
        <f>SUM(G1525:G1527)</f>
        <v>7771.8448395374999</v>
      </c>
      <c r="H1524" s="44">
        <f>G1524*E1516</f>
        <v>0</v>
      </c>
    </row>
    <row r="1525" spans="1:11">
      <c r="A1525" s="28"/>
      <c r="B1525" s="29" t="s">
        <v>3646</v>
      </c>
      <c r="C1525" s="30" t="str">
        <f>IFERROR(_xlfn.XLOOKUP(B1525,Equipo[DESCRIPCION],Equipo[UND],,0),"")</f>
        <v>Hr</v>
      </c>
      <c r="D1525" s="31">
        <v>1</v>
      </c>
      <c r="E1525" s="32">
        <f>IF(C1525="%MO",G1531,IFERROR(_xlfn.XLOOKUP($B1525,Equipo[DESCRIPCION],Equipo[VALOR],,0),""))</f>
        <v>288750</v>
      </c>
      <c r="F1525" s="33">
        <v>-40</v>
      </c>
      <c r="G1525" s="34">
        <f>IFERROR(IF(F1525&gt;=0,D1525*E1525*(1+F1525/100),ABS(D1525*E1525/F1525)),"")</f>
        <v>7218.75</v>
      </c>
      <c r="H1525" s="43">
        <f>IFERROR(G1525*E1516,"")</f>
        <v>0</v>
      </c>
    </row>
    <row r="1526" spans="1:11">
      <c r="A1526" s="28"/>
      <c r="B1526" s="29" t="s">
        <v>3626</v>
      </c>
      <c r="C1526" s="30" t="str">
        <f>IFERROR(_xlfn.XLOOKUP(B1526,Equipo[DESCRIPCION],Equipo[UND],,0),"")</f>
        <v>%MO</v>
      </c>
      <c r="D1526" s="31">
        <v>0.05</v>
      </c>
      <c r="E1526" s="32">
        <f>IF(C1526="%MO",G1531,IFERROR(_xlfn.XLOOKUP($B1526,Equipo[DESCRIPCION],Equipo[VALOR],,0),""))</f>
        <v>11061.896790750003</v>
      </c>
      <c r="F1526" s="33"/>
      <c r="G1526" s="34">
        <f>IFERROR(IF(F1526&gt;=0,D1526*E1526*(1+F1526/100),ABS(D1526*E1526/F1526)),"")</f>
        <v>553.09483953750021</v>
      </c>
      <c r="H1526" s="43">
        <f>IFERROR(G1526*E1516,"")</f>
        <v>0</v>
      </c>
    </row>
    <row r="1527" spans="1:11">
      <c r="A1527" s="28"/>
      <c r="B1527" s="29"/>
      <c r="C1527" s="30" t="str">
        <f>IFERROR(_xlfn.XLOOKUP(B1527,Equipo[DESCRIPCION],Equipo[UND],,0),"")</f>
        <v/>
      </c>
      <c r="D1527" s="31"/>
      <c r="E1527" s="32" t="str">
        <f>IF(C1527="%MO",G1531,IFERROR(_xlfn.XLOOKUP($B1527,Equipo[DESCRIPCION],Equipo[VALOR],,0),""))</f>
        <v/>
      </c>
      <c r="F1527" s="33"/>
      <c r="G1527" s="34" t="str">
        <f>IFERROR(IF(F1527&gt;=0,D1527*E1527*(1+F1527/100),ABS(D1527*E1527/F1527)),"")</f>
        <v/>
      </c>
      <c r="H1527" s="43" t="str">
        <f>IFERROR(G1527*E1516,"")</f>
        <v/>
      </c>
    </row>
    <row r="1528" spans="1:11">
      <c r="A1528" s="21"/>
      <c r="B1528" s="22" t="s">
        <v>2533</v>
      </c>
      <c r="C1528" s="23"/>
      <c r="D1528" s="24"/>
      <c r="E1528" s="25"/>
      <c r="F1528" s="26"/>
      <c r="G1528" s="27">
        <f>SUM(G1529:G1530)</f>
        <v>0</v>
      </c>
      <c r="H1528" s="44">
        <f>G1528*E1516</f>
        <v>0</v>
      </c>
    </row>
    <row r="1529" spans="1:11">
      <c r="A1529" s="28"/>
      <c r="B1529" s="29"/>
      <c r="C1529" s="30" t="str">
        <f>IFERROR(_xlfn.XLOOKUP(B1529,Transporte[DESCRIPCION],Transporte[UND],,0),"")</f>
        <v/>
      </c>
      <c r="D1529" s="31"/>
      <c r="E1529" s="32" t="str">
        <f>IFERROR(_xlfn.XLOOKUP($B1529,Transporte[DESCRIPCION],Transporte[VALOR],,0),"")</f>
        <v/>
      </c>
      <c r="F1529" s="33"/>
      <c r="G1529" s="34" t="str">
        <f>IFERROR(IF(F1529&gt;=0,D1529*E1529*(1+F1529/100),ABS(D1529*E1529/F1529)),"")</f>
        <v/>
      </c>
      <c r="H1529" s="43" t="str">
        <f>IFERROR(G1529*E1516,"")</f>
        <v/>
      </c>
    </row>
    <row r="1530" spans="1:11">
      <c r="A1530" s="28"/>
      <c r="B1530" s="29"/>
      <c r="C1530" s="30" t="str">
        <f>IFERROR(_xlfn.XLOOKUP(B1530,Transporte[DESCRIPCION],Transporte[UND],,0),"")</f>
        <v/>
      </c>
      <c r="D1530" s="31"/>
      <c r="E1530" s="32" t="str">
        <f>IFERROR(_xlfn.XLOOKUP($B1530,Transporte[DESCRIPCION],Transporte[VALOR],,0),"")</f>
        <v/>
      </c>
      <c r="F1530" s="33"/>
      <c r="G1530" s="34" t="str">
        <f>IFERROR(IF(F1530&gt;=0,D1530*E1530*(1+F1530/100),ABS(D1530*E1530/F1530)),"")</f>
        <v/>
      </c>
      <c r="H1530" s="43" t="str">
        <f>IFERROR(G1530*E1516,"")</f>
        <v/>
      </c>
    </row>
    <row r="1531" spans="1:11">
      <c r="A1531" s="21"/>
      <c r="B1531" s="22" t="s">
        <v>3732</v>
      </c>
      <c r="C1531" s="23"/>
      <c r="D1531" s="24"/>
      <c r="E1531" s="25"/>
      <c r="F1531" s="26"/>
      <c r="G1531" s="27">
        <f>SUM(G1532:G1534)</f>
        <v>11061.896790750003</v>
      </c>
      <c r="H1531" s="44">
        <f>G1531*E1516</f>
        <v>0</v>
      </c>
    </row>
    <row r="1532" spans="1:11">
      <c r="A1532" s="28"/>
      <c r="B1532" s="29" t="s">
        <v>3713</v>
      </c>
      <c r="C1532" s="30" t="str">
        <f>IFERROR(_xlfn.XLOOKUP(B1532,MObra[DESCRIPCION],MObra[UN],,0),"")</f>
        <v>día</v>
      </c>
      <c r="D1532" s="31">
        <v>1</v>
      </c>
      <c r="E1532" s="32">
        <f>IFERROR(_xlfn.XLOOKUP($B1532,MObra[DESCRIPCION],MObra[VALOR UNIT],,0),"")</f>
        <v>663713.80744500016</v>
      </c>
      <c r="F1532" s="33">
        <v>-60</v>
      </c>
      <c r="G1532" s="34">
        <f>IFERROR(IF(F1532&gt;=0,D1532*E1532*(1+F1532/100),ABS(D1532*E1532/F1532)),"")</f>
        <v>11061.896790750003</v>
      </c>
      <c r="H1532" s="43">
        <f>IFERROR(G1532*E1516,"")</f>
        <v>0</v>
      </c>
    </row>
    <row r="1533" spans="1:11">
      <c r="A1533" s="28"/>
      <c r="B1533" s="29"/>
      <c r="C1533" s="30" t="str">
        <f>IFERROR(_xlfn.XLOOKUP(B1533,MObra[DESCRIPCION],MObra[UN],,0),"")</f>
        <v/>
      </c>
      <c r="D1533" s="31"/>
      <c r="E1533" s="32" t="str">
        <f>IFERROR(_xlfn.XLOOKUP($B1533,MObra[DESCRIPCION],MObra[VALOR UNIT],,0),"")</f>
        <v/>
      </c>
      <c r="F1533" s="33"/>
      <c r="G1533" s="34" t="str">
        <f>IFERROR(IF(F1533&gt;=0,D1533*E1533*(1+F1533/100),ABS(D1533*E1533/F1533)),"")</f>
        <v/>
      </c>
      <c r="H1533" s="43" t="str">
        <f>IFERROR(G1533*E1516,"")</f>
        <v/>
      </c>
    </row>
    <row r="1534" spans="1:11">
      <c r="A1534" s="35"/>
      <c r="B1534" s="36"/>
      <c r="C1534" s="37" t="str">
        <f>IFERROR(_xlfn.XLOOKUP(B1534,MObra[DESCRIPCION],MObra[UN],,0),"")</f>
        <v/>
      </c>
      <c r="D1534" s="38"/>
      <c r="E1534" s="39" t="str">
        <f>IFERROR(_xlfn.XLOOKUP($B1534,MObra[DESCRIPCION],MObra[VALOR UNIT],,0),"")</f>
        <v/>
      </c>
      <c r="F1534" s="40"/>
      <c r="G1534" s="41" t="str">
        <f>IFERROR(IF(F1534&gt;=0,D1534*E1534*(1+F1534/100),ABS(D1534*E1534/F1534)),"")</f>
        <v/>
      </c>
      <c r="H1534" s="42" t="str">
        <f>IFERROR(G1534*E1516,"")</f>
        <v/>
      </c>
    </row>
    <row r="1535" spans="1:11" ht="12.75" customHeight="1"/>
    <row r="1536" spans="1:11">
      <c r="A1536" s="6" t="s">
        <v>1876</v>
      </c>
      <c r="B1536" s="7" t="str">
        <f>VLOOKUP($A1536,Presupuesto!$A:$D,2,FALSE())</f>
        <v>Saco Polipropileno para confinamiento de fachada muro armado</v>
      </c>
      <c r="C1536" s="8" t="str">
        <f>VLOOKUP($A1536,Presupuesto!$A:$D,3,FALSE())</f>
        <v>Un</v>
      </c>
      <c r="D1536" s="9"/>
      <c r="E1536" s="10">
        <f>VLOOKUP($A1536,Presupuesto!$A:$D,4,FALSE())</f>
        <v>0</v>
      </c>
      <c r="F1536" s="11" t="s">
        <v>2589</v>
      </c>
      <c r="G1536" s="12">
        <f>SUM(G1538:G1554)/2</f>
        <v>17544.93294460688</v>
      </c>
      <c r="H1536" s="13">
        <f>ROUND(SUM(H1538:H1554),0)/2</f>
        <v>0</v>
      </c>
      <c r="I1536" s="10">
        <f>VLOOKUP(A1536,Presupuesto!$A:$F,6,0)</f>
        <v>0</v>
      </c>
      <c r="J1536" s="10">
        <f>+H1536-I1536</f>
        <v>0</v>
      </c>
      <c r="K1536" s="46">
        <f>+H1536-G1536*E1536</f>
        <v>0</v>
      </c>
    </row>
    <row r="1537" spans="1:8">
      <c r="A1537" s="14"/>
      <c r="B1537" s="15" t="s">
        <v>2586</v>
      </c>
      <c r="C1537" s="15" t="s">
        <v>5</v>
      </c>
      <c r="D1537" s="16" t="s">
        <v>6</v>
      </c>
      <c r="E1537" s="17" t="s">
        <v>7</v>
      </c>
      <c r="F1537" s="18" t="s">
        <v>3728</v>
      </c>
      <c r="G1537" s="19" t="s">
        <v>3729</v>
      </c>
      <c r="H1537" s="20" t="s">
        <v>3797</v>
      </c>
    </row>
    <row r="1538" spans="1:8">
      <c r="A1538" s="21"/>
      <c r="B1538" s="22" t="s">
        <v>3730</v>
      </c>
      <c r="C1538" s="23"/>
      <c r="D1538" s="24"/>
      <c r="E1538" s="25"/>
      <c r="F1538" s="26"/>
      <c r="G1538" s="27">
        <f>SUM(G1539:G1543)</f>
        <v>10088.341200000003</v>
      </c>
      <c r="H1538" s="27">
        <f>IFERROR(G1538*E1536,"")</f>
        <v>0</v>
      </c>
    </row>
    <row r="1539" spans="1:8">
      <c r="A1539" s="28"/>
      <c r="B1539" s="29" t="s">
        <v>3275</v>
      </c>
      <c r="C1539" s="30" t="str">
        <f>IFERROR(_xlfn.XLOOKUP(B1539,Insumo[DESCRIPCION],Insumo[UND],,0),"")</f>
        <v>Un</v>
      </c>
      <c r="D1539" s="31">
        <v>1</v>
      </c>
      <c r="E1539" s="32">
        <f>IFERROR(_xlfn.XLOOKUP($B1539,Insumo[DESCRIPCION],Insumo[VALOR],,0),"")</f>
        <v>3637.2000000000003</v>
      </c>
      <c r="F1539" s="33">
        <v>5</v>
      </c>
      <c r="G1539" s="34">
        <f>IFERROR(IF(F1539&gt;=0,D1539*E1539*(1+F1539/100),ABS(D1539*E1539/F1539)),"")</f>
        <v>3819.0600000000004</v>
      </c>
      <c r="H1539" s="43">
        <f>IFERROR(G1539*E1536,"")</f>
        <v>0</v>
      </c>
    </row>
    <row r="1540" spans="1:8">
      <c r="A1540" s="28"/>
      <c r="B1540" s="29" t="s">
        <v>2683</v>
      </c>
      <c r="C1540" s="30" t="str">
        <f>IFERROR(_xlfn.XLOOKUP(B1540,Insumo[DESCRIPCION],Insumo[UND],,0),"")</f>
        <v>M3</v>
      </c>
      <c r="D1540" s="31">
        <v>0.11700000000000001</v>
      </c>
      <c r="E1540" s="32">
        <f>IFERROR(_xlfn.XLOOKUP($B1540,Insumo[DESCRIPCION],Insumo[VALOR],,0),"")</f>
        <v>53583.600000000006</v>
      </c>
      <c r="F1540" s="33"/>
      <c r="G1540" s="34">
        <f>IFERROR(IF(F1540&gt;=0,D1540*E1540*(1+F1540/100),ABS(D1540*E1540/F1540)),"")</f>
        <v>6269.2812000000013</v>
      </c>
      <c r="H1540" s="43">
        <f>IFERROR(G1540*E1536,"")</f>
        <v>0</v>
      </c>
    </row>
    <row r="1541" spans="1:8">
      <c r="A1541" s="28"/>
      <c r="B1541" s="29"/>
      <c r="C1541" s="30" t="str">
        <f>IFERROR(_xlfn.XLOOKUP(B1541,Insumo[DESCRIPCION],Insumo[UND],,0),"")</f>
        <v/>
      </c>
      <c r="D1541" s="31"/>
      <c r="E1541" s="32" t="str">
        <f>IFERROR(_xlfn.XLOOKUP($B1541,Insumo[DESCRIPCION],Insumo[VALOR],,0),"")</f>
        <v/>
      </c>
      <c r="F1541" s="33"/>
      <c r="G1541" s="34" t="str">
        <f>IFERROR(IF(F1541&gt;=0,D1541*E1541*(1+F1541/100),ABS(D1541*E1541/F1541)),"")</f>
        <v/>
      </c>
      <c r="H1541" s="43" t="str">
        <f>IFERROR(G1541*E1536,"")</f>
        <v/>
      </c>
    </row>
    <row r="1542" spans="1:8">
      <c r="A1542" s="28"/>
      <c r="B1542" s="29"/>
      <c r="C1542" s="30" t="str">
        <f>IFERROR(_xlfn.XLOOKUP(B1542,Insumo[DESCRIPCION],Insumo[UND],,0),"")</f>
        <v/>
      </c>
      <c r="D1542" s="31"/>
      <c r="E1542" s="32" t="str">
        <f>IFERROR(_xlfn.XLOOKUP($B1542,Insumo[DESCRIPCION],Insumo[VALOR],,0),"")</f>
        <v/>
      </c>
      <c r="F1542" s="33"/>
      <c r="G1542" s="34" t="str">
        <f>IFERROR(IF(F1542&gt;=0,D1542*E1542*(1+F1542/100),ABS(D1542*E1542/F1542)),"")</f>
        <v/>
      </c>
      <c r="H1542" s="43" t="str">
        <f>IFERROR(G1542*E1536,"")</f>
        <v/>
      </c>
    </row>
    <row r="1543" spans="1:8">
      <c r="A1543" s="28"/>
      <c r="B1543" s="29"/>
      <c r="C1543" s="30" t="str">
        <f>IFERROR(_xlfn.XLOOKUP(B1543,Insumo[DESCRIPCION],Insumo[UND],,0),"")</f>
        <v/>
      </c>
      <c r="D1543" s="31"/>
      <c r="E1543" s="32" t="str">
        <f>IFERROR(_xlfn.XLOOKUP($B1543,Insumo[DESCRIPCION],Insumo[VALOR],,0),"")</f>
        <v/>
      </c>
      <c r="F1543" s="33"/>
      <c r="G1543" s="34" t="str">
        <f>IFERROR(IF(F1543&gt;=0,D1543*E1543*(1+F1543/100),ABS(D1543*E1543/F1543)),"")</f>
        <v/>
      </c>
      <c r="H1543" s="43" t="str">
        <f>IFERROR(G1543*E1536,"")</f>
        <v/>
      </c>
    </row>
    <row r="1544" spans="1:8">
      <c r="A1544" s="21"/>
      <c r="B1544" s="22" t="s">
        <v>3731</v>
      </c>
      <c r="C1544" s="23"/>
      <c r="D1544" s="24"/>
      <c r="E1544" s="25"/>
      <c r="F1544" s="26"/>
      <c r="G1544" s="27">
        <f>SUM(G1545:G1547)</f>
        <v>615.68188716937516</v>
      </c>
      <c r="H1544" s="44">
        <f>G1544*E1536</f>
        <v>0</v>
      </c>
    </row>
    <row r="1545" spans="1:8">
      <c r="A1545" s="28"/>
      <c r="B1545" s="29" t="s">
        <v>3570</v>
      </c>
      <c r="C1545" s="30" t="str">
        <f>IFERROR(_xlfn.XLOOKUP(B1545,Equipo[DESCRIPCION],Equipo[UND],,0),"")</f>
        <v>%MO</v>
      </c>
      <c r="D1545" s="31">
        <v>0.04</v>
      </c>
      <c r="E1545" s="32">
        <f>IF(C1545="%MO",G1551,IFERROR(_xlfn.XLOOKUP($B1545,Equipo[DESCRIPCION],Equipo[VALOR],,0),""))</f>
        <v>6840.9098574375021</v>
      </c>
      <c r="F1545" s="33"/>
      <c r="G1545" s="34">
        <f>IFERROR(IF(F1545&gt;=0,D1545*E1545*(1+F1545/100),ABS(D1545*E1545/F1545)),"")</f>
        <v>273.63639429750009</v>
      </c>
      <c r="H1545" s="43">
        <f>IFERROR(G1545*E1536,"")</f>
        <v>0</v>
      </c>
    </row>
    <row r="1546" spans="1:8">
      <c r="A1546" s="28"/>
      <c r="B1546" s="29" t="s">
        <v>3626</v>
      </c>
      <c r="C1546" s="30" t="str">
        <f>IFERROR(_xlfn.XLOOKUP(B1546,Equipo[DESCRIPCION],Equipo[UND],,0),"")</f>
        <v>%MO</v>
      </c>
      <c r="D1546" s="31">
        <v>0.05</v>
      </c>
      <c r="E1546" s="32">
        <f>IF(C1546="%MO",G1551,IFERROR(_xlfn.XLOOKUP($B1546,Equipo[DESCRIPCION],Equipo[VALOR],,0),""))</f>
        <v>6840.9098574375021</v>
      </c>
      <c r="F1546" s="33"/>
      <c r="G1546" s="34">
        <f>IFERROR(IF(F1546&gt;=0,D1546*E1546*(1+F1546/100),ABS(D1546*E1546/F1546)),"")</f>
        <v>342.04549287187513</v>
      </c>
      <c r="H1546" s="43">
        <f>IFERROR(G1546*E1536,"")</f>
        <v>0</v>
      </c>
    </row>
    <row r="1547" spans="1:8">
      <c r="A1547" s="28"/>
      <c r="B1547" s="29"/>
      <c r="C1547" s="30" t="str">
        <f>IFERROR(_xlfn.XLOOKUP(B1547,Equipo[DESCRIPCION],Equipo[UND],,0),"")</f>
        <v/>
      </c>
      <c r="D1547" s="31"/>
      <c r="E1547" s="32" t="str">
        <f>IF(C1547="%MO",G1551,IFERROR(_xlfn.XLOOKUP($B1547,Equipo[DESCRIPCION],Equipo[VALOR],,0),""))</f>
        <v/>
      </c>
      <c r="F1547" s="33"/>
      <c r="G1547" s="34" t="str">
        <f>IFERROR(IF(F1547&gt;=0,D1547*E1547*(1+F1547/100),ABS(D1547*E1547/F1547)),"")</f>
        <v/>
      </c>
      <c r="H1547" s="43" t="str">
        <f>IFERROR(G1547*E1536,"")</f>
        <v/>
      </c>
    </row>
    <row r="1548" spans="1:8">
      <c r="A1548" s="21"/>
      <c r="B1548" s="22" t="s">
        <v>2533</v>
      </c>
      <c r="C1548" s="23"/>
      <c r="D1548" s="24"/>
      <c r="E1548" s="25"/>
      <c r="F1548" s="26"/>
      <c r="G1548" s="27">
        <f>SUM(G1549:G1550)</f>
        <v>0</v>
      </c>
      <c r="H1548" s="44">
        <f>G1548*E1536</f>
        <v>0</v>
      </c>
    </row>
    <row r="1549" spans="1:8">
      <c r="A1549" s="28"/>
      <c r="B1549" s="29"/>
      <c r="C1549" s="30" t="str">
        <f>IFERROR(_xlfn.XLOOKUP(B1549,Transporte[DESCRIPCION],Transporte[UND],,0),"")</f>
        <v/>
      </c>
      <c r="D1549" s="31"/>
      <c r="E1549" s="32" t="str">
        <f>IFERROR(_xlfn.XLOOKUP($B1549,Transporte[DESCRIPCION],Transporte[VALOR],,0),"")</f>
        <v/>
      </c>
      <c r="F1549" s="33"/>
      <c r="G1549" s="34" t="str">
        <f>IFERROR(IF(F1549&gt;=0,D1549*E1549*(1+F1549/100),ABS(D1549*E1549/F1549)),"")</f>
        <v/>
      </c>
      <c r="H1549" s="43" t="str">
        <f>IFERROR(G1549*E1536,"")</f>
        <v/>
      </c>
    </row>
    <row r="1550" spans="1:8">
      <c r="A1550" s="28"/>
      <c r="B1550" s="29"/>
      <c r="C1550" s="30" t="str">
        <f>IFERROR(_xlfn.XLOOKUP(B1550,Transporte[DESCRIPCION],Transporte[UND],,0),"")</f>
        <v/>
      </c>
      <c r="D1550" s="31"/>
      <c r="E1550" s="32" t="str">
        <f>IFERROR(_xlfn.XLOOKUP($B1550,Transporte[DESCRIPCION],Transporte[VALOR],,0),"")</f>
        <v/>
      </c>
      <c r="F1550" s="33"/>
      <c r="G1550" s="34" t="str">
        <f>IFERROR(IF(F1550&gt;=0,D1550*E1550*(1+F1550/100),ABS(D1550*E1550/F1550)),"")</f>
        <v/>
      </c>
      <c r="H1550" s="43" t="str">
        <f>IFERROR(G1550*E1536,"")</f>
        <v/>
      </c>
    </row>
    <row r="1551" spans="1:8">
      <c r="A1551" s="21"/>
      <c r="B1551" s="22" t="s">
        <v>3732</v>
      </c>
      <c r="C1551" s="23"/>
      <c r="D1551" s="24"/>
      <c r="E1551" s="25"/>
      <c r="F1551" s="26"/>
      <c r="G1551" s="27">
        <f>SUM(G1552:G1554)</f>
        <v>6840.9098574375021</v>
      </c>
      <c r="H1551" s="44">
        <f>G1551*E1536</f>
        <v>0</v>
      </c>
    </row>
    <row r="1552" spans="1:8">
      <c r="A1552" s="28"/>
      <c r="B1552" s="29" t="s">
        <v>3712</v>
      </c>
      <c r="C1552" s="30" t="str">
        <f>IFERROR(_xlfn.XLOOKUP(B1552,MObra[DESCRIPCION],MObra[UN],,0),"")</f>
        <v>día</v>
      </c>
      <c r="D1552" s="31">
        <v>1</v>
      </c>
      <c r="E1552" s="32">
        <f>IFERROR(_xlfn.XLOOKUP($B1552,MObra[DESCRIPCION],MObra[VALOR UNIT],,0),"")</f>
        <v>547272.78859500017</v>
      </c>
      <c r="F1552" s="33">
        <v>-80</v>
      </c>
      <c r="G1552" s="34">
        <f>IFERROR(IF(F1552&gt;=0,D1552*E1552*(1+F1552/100),ABS(D1552*E1552/F1552)),"")</f>
        <v>6840.9098574375021</v>
      </c>
      <c r="H1552" s="43">
        <f>IFERROR(G1552*E1536,"")</f>
        <v>0</v>
      </c>
    </row>
    <row r="1553" spans="1:11">
      <c r="A1553" s="28"/>
      <c r="B1553" s="29"/>
      <c r="C1553" s="30" t="str">
        <f>IFERROR(_xlfn.XLOOKUP(B1553,MObra[DESCRIPCION],MObra[UN],,0),"")</f>
        <v/>
      </c>
      <c r="D1553" s="31"/>
      <c r="E1553" s="32" t="str">
        <f>IFERROR(_xlfn.XLOOKUP($B1553,MObra[DESCRIPCION],MObra[VALOR UNIT],,0),"")</f>
        <v/>
      </c>
      <c r="F1553" s="33"/>
      <c r="G1553" s="34" t="str">
        <f>IFERROR(IF(F1553&gt;=0,D1553*E1553*(1+F1553/100),ABS(D1553*E1553/F1553)),"")</f>
        <v/>
      </c>
      <c r="H1553" s="43" t="str">
        <f>IFERROR(G1553*E1536,"")</f>
        <v/>
      </c>
    </row>
    <row r="1554" spans="1:11">
      <c r="A1554" s="35"/>
      <c r="B1554" s="36"/>
      <c r="C1554" s="37" t="str">
        <f>IFERROR(_xlfn.XLOOKUP(B1554,MObra[DESCRIPCION],MObra[UN],,0),"")</f>
        <v/>
      </c>
      <c r="D1554" s="38"/>
      <c r="E1554" s="39" t="str">
        <f>IFERROR(_xlfn.XLOOKUP($B1554,MObra[DESCRIPCION],MObra[VALOR UNIT],,0),"")</f>
        <v/>
      </c>
      <c r="F1554" s="40"/>
      <c r="G1554" s="41" t="str">
        <f>IFERROR(IF(F1554&gt;=0,D1554*E1554*(1+F1554/100),ABS(D1554*E1554/F1554)),"")</f>
        <v/>
      </c>
      <c r="H1554" s="42" t="str">
        <f>IFERROR(G1554*E1536,"")</f>
        <v/>
      </c>
    </row>
    <row r="1555" spans="1:11" ht="12.75" customHeight="1"/>
    <row r="1556" spans="1:11">
      <c r="A1556" s="6" t="s">
        <v>1878</v>
      </c>
      <c r="B1556" s="7" t="str">
        <f>VLOOKUP($A1556,Presupuesto!$A:$D,2,FALSE())</f>
        <v>Trincho guadua impermeabilizada configuración talud</v>
      </c>
      <c r="C1556" s="8" t="str">
        <f>VLOOKUP($A1556,Presupuesto!$A:$D,3,FALSE())</f>
        <v>M2</v>
      </c>
      <c r="D1556" s="9"/>
      <c r="E1556" s="10">
        <f>VLOOKUP($A1556,Presupuesto!$A:$D,4,FALSE())</f>
        <v>0</v>
      </c>
      <c r="F1556" s="11" t="s">
        <v>2589</v>
      </c>
      <c r="G1556" s="12">
        <f>SUM(G1558:G1575)/2</f>
        <v>63976.36760147001</v>
      </c>
      <c r="H1556" s="13">
        <f>ROUND(SUM(H1558:H1575),0)/2</f>
        <v>0</v>
      </c>
      <c r="I1556" s="10">
        <f>VLOOKUP(A1556,Presupuesto!$A:$F,6,0)</f>
        <v>0</v>
      </c>
      <c r="J1556" s="10">
        <f>+H1556-I1556</f>
        <v>0</v>
      </c>
      <c r="K1556" s="46">
        <f>+H1556-G1556*E1556</f>
        <v>0</v>
      </c>
    </row>
    <row r="1557" spans="1:11">
      <c r="A1557" s="14"/>
      <c r="B1557" s="15" t="s">
        <v>2586</v>
      </c>
      <c r="C1557" s="15" t="s">
        <v>5</v>
      </c>
      <c r="D1557" s="16" t="s">
        <v>6</v>
      </c>
      <c r="E1557" s="17" t="s">
        <v>7</v>
      </c>
      <c r="F1557" s="18" t="s">
        <v>3728</v>
      </c>
      <c r="G1557" s="19" t="s">
        <v>3729</v>
      </c>
      <c r="H1557" s="20" t="s">
        <v>3797</v>
      </c>
    </row>
    <row r="1558" spans="1:11">
      <c r="A1558" s="21"/>
      <c r="B1558" s="22" t="s">
        <v>3730</v>
      </c>
      <c r="C1558" s="23"/>
      <c r="D1558" s="24"/>
      <c r="E1558" s="25"/>
      <c r="F1558" s="26"/>
      <c r="G1558" s="27">
        <f>SUM(G1559:G1564)</f>
        <v>32669.259000000002</v>
      </c>
      <c r="H1558" s="27">
        <f>IFERROR(G1558*E1556,"")</f>
        <v>0</v>
      </c>
    </row>
    <row r="1559" spans="1:11">
      <c r="A1559" s="28"/>
      <c r="B1559" s="29" t="s">
        <v>2992</v>
      </c>
      <c r="C1559" s="30" t="str">
        <f>IFERROR(_xlfn.XLOOKUP(B1559,Insumo[DESCRIPCION],Insumo[UND],,0),"")</f>
        <v>Un</v>
      </c>
      <c r="D1559" s="31">
        <v>4</v>
      </c>
      <c r="E1559" s="32">
        <f>IFERROR(_xlfn.XLOOKUP($B1559,Insumo[DESCRIPCION],Insumo[VALOR],,0),"")</f>
        <v>4546.5</v>
      </c>
      <c r="F1559" s="33"/>
      <c r="G1559" s="34">
        <f t="shared" ref="G1559:G1564" si="13">IFERROR(IF(F1559&gt;=0,D1559*E1559*(1+F1559/100),ABS(D1559*E1559/F1559)),"")</f>
        <v>18186</v>
      </c>
      <c r="H1559" s="43">
        <f>IFERROR(G1559*E1556,"")</f>
        <v>0</v>
      </c>
    </row>
    <row r="1560" spans="1:11">
      <c r="A1560" s="28"/>
      <c r="B1560" s="29" t="s">
        <v>2991</v>
      </c>
      <c r="C1560" s="30" t="str">
        <f>IFERROR(_xlfn.XLOOKUP(B1560,Insumo[DESCRIPCION],Insumo[UND],,0),"")</f>
        <v>Un</v>
      </c>
      <c r="D1560" s="31">
        <v>0.5</v>
      </c>
      <c r="E1560" s="32">
        <f>IFERROR(_xlfn.XLOOKUP($B1560,Insumo[DESCRIPCION],Insumo[VALOR],,0),"")</f>
        <v>10798.2</v>
      </c>
      <c r="F1560" s="33"/>
      <c r="G1560" s="34">
        <f t="shared" si="13"/>
        <v>5399.1</v>
      </c>
      <c r="H1560" s="43">
        <f>IFERROR(G1560*E1556,"")</f>
        <v>0</v>
      </c>
    </row>
    <row r="1561" spans="1:11">
      <c r="A1561" s="28"/>
      <c r="B1561" s="29" t="s">
        <v>2724</v>
      </c>
      <c r="C1561" s="30" t="str">
        <f>IFERROR(_xlfn.XLOOKUP(B1561,Insumo[DESCRIPCION],Insumo[UND],,0),"")</f>
        <v>Kg</v>
      </c>
      <c r="D1561" s="31">
        <v>0.33</v>
      </c>
      <c r="E1561" s="32">
        <f>IFERROR(_xlfn.XLOOKUP($B1561,Insumo[DESCRIPCION],Insumo[VALOR],,0),"")</f>
        <v>2536.8000000000002</v>
      </c>
      <c r="F1561" s="33"/>
      <c r="G1561" s="34">
        <f t="shared" si="13"/>
        <v>837.14400000000012</v>
      </c>
      <c r="H1561" s="43">
        <f>IFERROR(G1561*E1556,"")</f>
        <v>0</v>
      </c>
    </row>
    <row r="1562" spans="1:11">
      <c r="A1562" s="28"/>
      <c r="B1562" s="29" t="s">
        <v>3221</v>
      </c>
      <c r="C1562" s="30" t="str">
        <f>IFERROR(_xlfn.XLOOKUP(B1562,Insumo[DESCRIPCION],Insumo[UND],,0),"")</f>
        <v>M2</v>
      </c>
      <c r="D1562" s="31">
        <v>0.5</v>
      </c>
      <c r="E1562" s="32">
        <f>IFERROR(_xlfn.XLOOKUP($B1562,Insumo[DESCRIPCION],Insumo[VALOR],,0),"")</f>
        <v>1313.55</v>
      </c>
      <c r="F1562" s="33"/>
      <c r="G1562" s="34">
        <f t="shared" si="13"/>
        <v>656.77499999999998</v>
      </c>
      <c r="H1562" s="43">
        <f>IFERROR(G1562*E1556,"")</f>
        <v>0</v>
      </c>
    </row>
    <row r="1563" spans="1:11">
      <c r="A1563" s="28"/>
      <c r="B1563" s="29" t="s">
        <v>2698</v>
      </c>
      <c r="C1563" s="30" t="str">
        <f>IFERROR(_xlfn.XLOOKUP(B1563,Insumo[DESCRIPCION],Insumo[UND],,0),"")</f>
        <v>Kg</v>
      </c>
      <c r="D1563" s="31">
        <v>0.6</v>
      </c>
      <c r="E1563" s="32">
        <f>IFERROR(_xlfn.XLOOKUP($B1563,Insumo[DESCRIPCION],Insumo[VALOR],,0),"")</f>
        <v>11569.95</v>
      </c>
      <c r="F1563" s="33"/>
      <c r="G1563" s="34">
        <f t="shared" si="13"/>
        <v>6941.97</v>
      </c>
      <c r="H1563" s="43">
        <f>IFERROR(G1563*E1556,"")</f>
        <v>0</v>
      </c>
    </row>
    <row r="1564" spans="1:11">
      <c r="A1564" s="28"/>
      <c r="B1564" s="29" t="s">
        <v>3253</v>
      </c>
      <c r="C1564" s="30" t="str">
        <f>IFERROR(_xlfn.XLOOKUP(B1564,Insumo[DESCRIPCION],Insumo[UND],,0),"")</f>
        <v>Lb</v>
      </c>
      <c r="D1564" s="31">
        <v>0.1</v>
      </c>
      <c r="E1564" s="32">
        <f>IFERROR(_xlfn.XLOOKUP($B1564,Insumo[DESCRIPCION],Insumo[VALOR],,0),"")</f>
        <v>6482.7000000000007</v>
      </c>
      <c r="F1564" s="33"/>
      <c r="G1564" s="34">
        <f t="shared" si="13"/>
        <v>648.2700000000001</v>
      </c>
      <c r="H1564" s="43">
        <f>IFERROR(G1564*E1556,"")</f>
        <v>0</v>
      </c>
    </row>
    <row r="1565" spans="1:11">
      <c r="A1565" s="21"/>
      <c r="B1565" s="22" t="s">
        <v>3731</v>
      </c>
      <c r="C1565" s="23"/>
      <c r="D1565" s="24"/>
      <c r="E1565" s="25"/>
      <c r="F1565" s="26"/>
      <c r="G1565" s="27">
        <f>SUM(G1566:G1568)</f>
        <v>2584.9906184700003</v>
      </c>
      <c r="H1565" s="44">
        <f>G1565*E1556</f>
        <v>0</v>
      </c>
    </row>
    <row r="1566" spans="1:11">
      <c r="A1566" s="28"/>
      <c r="B1566" s="29" t="s">
        <v>3570</v>
      </c>
      <c r="C1566" s="30" t="str">
        <f>IFERROR(_xlfn.XLOOKUP(B1566,Equipo[DESCRIPCION],Equipo[UND],,0),"")</f>
        <v>%MO</v>
      </c>
      <c r="D1566" s="31">
        <v>0.04</v>
      </c>
      <c r="E1566" s="32">
        <f>IF(C1566="%MO",G1572,IFERROR(_xlfn.XLOOKUP($B1566,Equipo[DESCRIPCION],Equipo[VALOR],,0),""))</f>
        <v>28722.117983000004</v>
      </c>
      <c r="F1566" s="33"/>
      <c r="G1566" s="34">
        <f>IFERROR(IF(F1566&gt;=0,D1566*E1566*(1+F1566/100),ABS(D1566*E1566/F1566)),"")</f>
        <v>1148.8847193200002</v>
      </c>
      <c r="H1566" s="43">
        <f>IFERROR(G1566*E1556,"")</f>
        <v>0</v>
      </c>
    </row>
    <row r="1567" spans="1:11">
      <c r="A1567" s="28"/>
      <c r="B1567" s="29" t="s">
        <v>3626</v>
      </c>
      <c r="C1567" s="30" t="str">
        <f>IFERROR(_xlfn.XLOOKUP(B1567,Equipo[DESCRIPCION],Equipo[UND],,0),"")</f>
        <v>%MO</v>
      </c>
      <c r="D1567" s="31">
        <v>0.05</v>
      </c>
      <c r="E1567" s="32">
        <f>IF(C1567="%MO",G1572,IFERROR(_xlfn.XLOOKUP($B1567,Equipo[DESCRIPCION],Equipo[VALOR],,0),""))</f>
        <v>28722.117983000004</v>
      </c>
      <c r="F1567" s="33"/>
      <c r="G1567" s="34">
        <f>IFERROR(IF(F1567&gt;=0,D1567*E1567*(1+F1567/100),ABS(D1567*E1567/F1567)),"")</f>
        <v>1436.1058991500004</v>
      </c>
      <c r="H1567" s="43">
        <f>IFERROR(G1567*E1556,"")</f>
        <v>0</v>
      </c>
    </row>
    <row r="1568" spans="1:11">
      <c r="A1568" s="28"/>
      <c r="B1568" s="29"/>
      <c r="C1568" s="30" t="str">
        <f>IFERROR(_xlfn.XLOOKUP(B1568,Equipo[DESCRIPCION],Equipo[UND],,0),"")</f>
        <v/>
      </c>
      <c r="D1568" s="31"/>
      <c r="E1568" s="32" t="str">
        <f>IF(C1568="%MO",G1572,IFERROR(_xlfn.XLOOKUP($B1568,Equipo[DESCRIPCION],Equipo[VALOR],,0),""))</f>
        <v/>
      </c>
      <c r="F1568" s="33"/>
      <c r="G1568" s="34" t="str">
        <f>IFERROR(IF(F1568&gt;=0,D1568*E1568*(1+F1568/100),ABS(D1568*E1568/F1568)),"")</f>
        <v/>
      </c>
      <c r="H1568" s="43" t="str">
        <f>IFERROR(G1568*E1556,"")</f>
        <v/>
      </c>
    </row>
    <row r="1569" spans="1:11">
      <c r="A1569" s="21"/>
      <c r="B1569" s="22" t="s">
        <v>2533</v>
      </c>
      <c r="C1569" s="23"/>
      <c r="D1569" s="24"/>
      <c r="E1569" s="25"/>
      <c r="F1569" s="26"/>
      <c r="G1569" s="27">
        <f>SUM(G1570:G1571)</f>
        <v>0</v>
      </c>
      <c r="H1569" s="44">
        <f>G1569*E1556</f>
        <v>0</v>
      </c>
    </row>
    <row r="1570" spans="1:11">
      <c r="A1570" s="28"/>
      <c r="B1570" s="29"/>
      <c r="C1570" s="30" t="str">
        <f>IFERROR(_xlfn.XLOOKUP(B1570,Transporte[DESCRIPCION],Transporte[UND],,0),"")</f>
        <v/>
      </c>
      <c r="D1570" s="31"/>
      <c r="E1570" s="32" t="str">
        <f>IFERROR(_xlfn.XLOOKUP($B1570,Transporte[DESCRIPCION],Transporte[VALOR],,0),"")</f>
        <v/>
      </c>
      <c r="F1570" s="33"/>
      <c r="G1570" s="34" t="str">
        <f>IFERROR(IF(F1570&gt;=0,D1570*E1570*(1+F1570/100),ABS(D1570*E1570/F1570)),"")</f>
        <v/>
      </c>
      <c r="H1570" s="43" t="str">
        <f>IFERROR(G1570*E1556,"")</f>
        <v/>
      </c>
    </row>
    <row r="1571" spans="1:11">
      <c r="A1571" s="28"/>
      <c r="B1571" s="29"/>
      <c r="C1571" s="30" t="str">
        <f>IFERROR(_xlfn.XLOOKUP(B1571,Transporte[DESCRIPCION],Transporte[UND],,0),"")</f>
        <v/>
      </c>
      <c r="D1571" s="31"/>
      <c r="E1571" s="32" t="str">
        <f>IFERROR(_xlfn.XLOOKUP($B1571,Transporte[DESCRIPCION],Transporte[VALOR],,0),"")</f>
        <v/>
      </c>
      <c r="F1571" s="33"/>
      <c r="G1571" s="34" t="str">
        <f>IFERROR(IF(F1571&gt;=0,D1571*E1571*(1+F1571/100),ABS(D1571*E1571/F1571)),"")</f>
        <v/>
      </c>
      <c r="H1571" s="43" t="str">
        <f>IFERROR(G1571*E1556,"")</f>
        <v/>
      </c>
    </row>
    <row r="1572" spans="1:11">
      <c r="A1572" s="21"/>
      <c r="B1572" s="22" t="s">
        <v>3732</v>
      </c>
      <c r="C1572" s="23"/>
      <c r="D1572" s="24"/>
      <c r="E1572" s="25"/>
      <c r="F1572" s="26"/>
      <c r="G1572" s="27">
        <f>SUM(G1573:G1575)</f>
        <v>28722.117983000004</v>
      </c>
      <c r="H1572" s="44">
        <f>G1572*E1556</f>
        <v>0</v>
      </c>
    </row>
    <row r="1573" spans="1:11">
      <c r="A1573" s="28"/>
      <c r="B1573" s="29" t="s">
        <v>3711</v>
      </c>
      <c r="C1573" s="30" t="str">
        <f>IFERROR(_xlfn.XLOOKUP(B1573,MObra[DESCRIPCION],MObra[UN],,0),"")</f>
        <v>día</v>
      </c>
      <c r="D1573" s="31">
        <v>1</v>
      </c>
      <c r="E1573" s="32">
        <f>IFERROR(_xlfn.XLOOKUP($B1573,MObra[DESCRIPCION],MObra[VALOR UNIT],,0),"")</f>
        <v>430831.76974500006</v>
      </c>
      <c r="F1573" s="33">
        <v>-15</v>
      </c>
      <c r="G1573" s="34">
        <f>IFERROR(IF(F1573&gt;=0,D1573*E1573*(1+F1573/100),ABS(D1573*E1573/F1573)),"")</f>
        <v>28722.117983000004</v>
      </c>
      <c r="H1573" s="43">
        <f>IFERROR(G1573*E1556,"")</f>
        <v>0</v>
      </c>
    </row>
    <row r="1574" spans="1:11">
      <c r="A1574" s="28"/>
      <c r="B1574" s="29"/>
      <c r="C1574" s="30" t="str">
        <f>IFERROR(_xlfn.XLOOKUP(B1574,MObra[DESCRIPCION],MObra[UN],,0),"")</f>
        <v/>
      </c>
      <c r="D1574" s="31"/>
      <c r="E1574" s="32" t="str">
        <f>IFERROR(_xlfn.XLOOKUP($B1574,MObra[DESCRIPCION],MObra[VALOR UNIT],,0),"")</f>
        <v/>
      </c>
      <c r="F1574" s="33"/>
      <c r="G1574" s="34" t="str">
        <f>IFERROR(IF(F1574&gt;=0,D1574*E1574*(1+F1574/100),ABS(D1574*E1574/F1574)),"")</f>
        <v/>
      </c>
      <c r="H1574" s="43" t="str">
        <f>IFERROR(G1574*E1556,"")</f>
        <v/>
      </c>
    </row>
    <row r="1575" spans="1:11">
      <c r="A1575" s="35"/>
      <c r="B1575" s="36"/>
      <c r="C1575" s="37" t="str">
        <f>IFERROR(_xlfn.XLOOKUP(B1575,MObra[DESCRIPCION],MObra[UN],,0),"")</f>
        <v/>
      </c>
      <c r="D1575" s="38"/>
      <c r="E1575" s="39" t="str">
        <f>IFERROR(_xlfn.XLOOKUP($B1575,MObra[DESCRIPCION],MObra[VALOR UNIT],,0),"")</f>
        <v/>
      </c>
      <c r="F1575" s="40"/>
      <c r="G1575" s="41" t="str">
        <f>IFERROR(IF(F1575&gt;=0,D1575*E1575*(1+F1575/100),ABS(D1575*E1575/F1575)),"")</f>
        <v/>
      </c>
      <c r="H1575" s="42" t="str">
        <f>IFERROR(G1575*E1556,"")</f>
        <v/>
      </c>
    </row>
    <row r="1576" spans="1:11" ht="12.75" customHeight="1"/>
    <row r="1577" spans="1:11">
      <c r="A1577" s="6" t="s">
        <v>1880</v>
      </c>
      <c r="B1577" s="7" t="str">
        <f>VLOOKUP($A1577,Presupuesto!$A:$D,2,FALSE())</f>
        <v>Trincho tierra (con sacos)</v>
      </c>
      <c r="C1577" s="8" t="str">
        <f>VLOOKUP($A1577,Presupuesto!$A:$D,3,FALSE())</f>
        <v>M3</v>
      </c>
      <c r="D1577" s="9"/>
      <c r="E1577" s="10">
        <f>VLOOKUP($A1577,Presupuesto!$A:$D,4,FALSE())</f>
        <v>0</v>
      </c>
      <c r="F1577" s="11" t="s">
        <v>2589</v>
      </c>
      <c r="G1577" s="12">
        <f>SUM(G1579:G1595)/2</f>
        <v>201975.51002301002</v>
      </c>
      <c r="H1577" s="13">
        <f>ROUND(SUM(H1579:H1595),0)/2</f>
        <v>0</v>
      </c>
      <c r="I1577" s="10">
        <f>VLOOKUP(A1577,Presupuesto!$A:$F,6,0)</f>
        <v>0</v>
      </c>
      <c r="J1577" s="10">
        <f>+H1577-I1577</f>
        <v>0</v>
      </c>
      <c r="K1577" s="46">
        <f>+H1577-G1577*E1577</f>
        <v>0</v>
      </c>
    </row>
    <row r="1578" spans="1:11">
      <c r="A1578" s="14"/>
      <c r="B1578" s="15" t="s">
        <v>2586</v>
      </c>
      <c r="C1578" s="15" t="s">
        <v>5</v>
      </c>
      <c r="D1578" s="16" t="s">
        <v>6</v>
      </c>
      <c r="E1578" s="17" t="s">
        <v>7</v>
      </c>
      <c r="F1578" s="18" t="s">
        <v>3728</v>
      </c>
      <c r="G1578" s="19" t="s">
        <v>3729</v>
      </c>
      <c r="H1578" s="20" t="s">
        <v>3797</v>
      </c>
    </row>
    <row r="1579" spans="1:11">
      <c r="A1579" s="21"/>
      <c r="B1579" s="22" t="s">
        <v>3730</v>
      </c>
      <c r="C1579" s="23"/>
      <c r="D1579" s="24"/>
      <c r="E1579" s="25"/>
      <c r="F1579" s="26"/>
      <c r="G1579" s="27">
        <f>SUM(G1580:G1584)</f>
        <v>57285.900000000009</v>
      </c>
      <c r="H1579" s="27">
        <f>IFERROR(G1579*E1577,"")</f>
        <v>0</v>
      </c>
    </row>
    <row r="1580" spans="1:11">
      <c r="A1580" s="28"/>
      <c r="B1580" s="29" t="s">
        <v>3275</v>
      </c>
      <c r="C1580" s="30" t="str">
        <f>IFERROR(_xlfn.XLOOKUP(B1580,Insumo[DESCRIPCION],Insumo[UND],,0),"")</f>
        <v>Un</v>
      </c>
      <c r="D1580" s="31">
        <v>15</v>
      </c>
      <c r="E1580" s="32">
        <f>IFERROR(_xlfn.XLOOKUP($B1580,Insumo[DESCRIPCION],Insumo[VALOR],,0),"")</f>
        <v>3637.2000000000003</v>
      </c>
      <c r="F1580" s="33">
        <v>5</v>
      </c>
      <c r="G1580" s="34">
        <f>IFERROR(IF(F1580&gt;=0,D1580*E1580*(1+F1580/100),ABS(D1580*E1580/F1580)),"")</f>
        <v>57285.900000000009</v>
      </c>
      <c r="H1580" s="43">
        <f>IFERROR(G1580*E1577,"")</f>
        <v>0</v>
      </c>
    </row>
    <row r="1581" spans="1:11">
      <c r="A1581" s="28"/>
      <c r="B1581" s="29"/>
      <c r="C1581" s="30" t="str">
        <f>IFERROR(_xlfn.XLOOKUP(B1581,Insumo[DESCRIPCION],Insumo[UND],,0),"")</f>
        <v/>
      </c>
      <c r="D1581" s="31"/>
      <c r="E1581" s="32" t="str">
        <f>IFERROR(_xlfn.XLOOKUP($B1581,Insumo[DESCRIPCION],Insumo[VALOR],,0),"")</f>
        <v/>
      </c>
      <c r="F1581" s="33"/>
      <c r="G1581" s="34" t="str">
        <f>IFERROR(IF(F1581&gt;=0,D1581*E1581*(1+F1581/100),ABS(D1581*E1581/F1581)),"")</f>
        <v/>
      </c>
      <c r="H1581" s="43" t="str">
        <f>IFERROR(G1581*E1577,"")</f>
        <v/>
      </c>
    </row>
    <row r="1582" spans="1:11">
      <c r="A1582" s="28"/>
      <c r="B1582" s="29"/>
      <c r="C1582" s="30" t="str">
        <f>IFERROR(_xlfn.XLOOKUP(B1582,Insumo[DESCRIPCION],Insumo[UND],,0),"")</f>
        <v/>
      </c>
      <c r="D1582" s="31"/>
      <c r="E1582" s="32" t="str">
        <f>IFERROR(_xlfn.XLOOKUP($B1582,Insumo[DESCRIPCION],Insumo[VALOR],,0),"")</f>
        <v/>
      </c>
      <c r="F1582" s="33"/>
      <c r="G1582" s="34" t="str">
        <f>IFERROR(IF(F1582&gt;=0,D1582*E1582*(1+F1582/100),ABS(D1582*E1582/F1582)),"")</f>
        <v/>
      </c>
      <c r="H1582" s="43" t="str">
        <f>IFERROR(G1582*E1577,"")</f>
        <v/>
      </c>
    </row>
    <row r="1583" spans="1:11">
      <c r="A1583" s="28"/>
      <c r="B1583" s="29"/>
      <c r="C1583" s="30" t="str">
        <f>IFERROR(_xlfn.XLOOKUP(B1583,Insumo[DESCRIPCION],Insumo[UND],,0),"")</f>
        <v/>
      </c>
      <c r="D1583" s="31"/>
      <c r="E1583" s="32" t="str">
        <f>IFERROR(_xlfn.XLOOKUP($B1583,Insumo[DESCRIPCION],Insumo[VALOR],,0),"")</f>
        <v/>
      </c>
      <c r="F1583" s="33"/>
      <c r="G1583" s="34" t="str">
        <f>IFERROR(IF(F1583&gt;=0,D1583*E1583*(1+F1583/100),ABS(D1583*E1583/F1583)),"")</f>
        <v/>
      </c>
      <c r="H1583" s="43" t="str">
        <f>IFERROR(G1583*E1577,"")</f>
        <v/>
      </c>
    </row>
    <row r="1584" spans="1:11">
      <c r="A1584" s="28"/>
      <c r="B1584" s="29"/>
      <c r="C1584" s="30" t="str">
        <f>IFERROR(_xlfn.XLOOKUP(B1584,Insumo[DESCRIPCION],Insumo[UND],,0),"")</f>
        <v/>
      </c>
      <c r="D1584" s="31"/>
      <c r="E1584" s="32" t="str">
        <f>IFERROR(_xlfn.XLOOKUP($B1584,Insumo[DESCRIPCION],Insumo[VALOR],,0),"")</f>
        <v/>
      </c>
      <c r="F1584" s="33"/>
      <c r="G1584" s="34" t="str">
        <f>IFERROR(IF(F1584&gt;=0,D1584*E1584*(1+F1584/100),ABS(D1584*E1584/F1584)),"")</f>
        <v/>
      </c>
      <c r="H1584" s="43" t="str">
        <f>IFERROR(G1584*E1577,"")</f>
        <v/>
      </c>
    </row>
    <row r="1585" spans="1:11">
      <c r="A1585" s="21"/>
      <c r="B1585" s="22" t="s">
        <v>3731</v>
      </c>
      <c r="C1585" s="23"/>
      <c r="D1585" s="24"/>
      <c r="E1585" s="25"/>
      <c r="F1585" s="26"/>
      <c r="G1585" s="27">
        <f>SUM(G1586:G1588)</f>
        <v>11946.848534010003</v>
      </c>
      <c r="H1585" s="44">
        <f>G1585*E1577</f>
        <v>0</v>
      </c>
    </row>
    <row r="1586" spans="1:11">
      <c r="A1586" s="28"/>
      <c r="B1586" s="29" t="s">
        <v>3570</v>
      </c>
      <c r="C1586" s="30" t="str">
        <f>IFERROR(_xlfn.XLOOKUP(B1586,Equipo[DESCRIPCION],Equipo[UND],,0),"")</f>
        <v>%MO</v>
      </c>
      <c r="D1586" s="31">
        <v>0.04</v>
      </c>
      <c r="E1586" s="32">
        <f>IF(C1586="%MO",G1592,IFERROR(_xlfn.XLOOKUP($B1586,Equipo[DESCRIPCION],Equipo[VALOR],,0),""))</f>
        <v>132742.76148900003</v>
      </c>
      <c r="F1586" s="33"/>
      <c r="G1586" s="34">
        <f>IFERROR(IF(F1586&gt;=0,D1586*E1586*(1+F1586/100),ABS(D1586*E1586/F1586)),"")</f>
        <v>5309.7104595600013</v>
      </c>
      <c r="H1586" s="43">
        <f>IFERROR(G1586*E1577,"")</f>
        <v>0</v>
      </c>
    </row>
    <row r="1587" spans="1:11">
      <c r="A1587" s="28"/>
      <c r="B1587" s="29" t="s">
        <v>3626</v>
      </c>
      <c r="C1587" s="30" t="str">
        <f>IFERROR(_xlfn.XLOOKUP(B1587,Equipo[DESCRIPCION],Equipo[UND],,0),"")</f>
        <v>%MO</v>
      </c>
      <c r="D1587" s="31">
        <v>0.05</v>
      </c>
      <c r="E1587" s="32">
        <f>IF(C1587="%MO",G1592,IFERROR(_xlfn.XLOOKUP($B1587,Equipo[DESCRIPCION],Equipo[VALOR],,0),""))</f>
        <v>132742.76148900003</v>
      </c>
      <c r="F1587" s="33"/>
      <c r="G1587" s="34">
        <f>IFERROR(IF(F1587&gt;=0,D1587*E1587*(1+F1587/100),ABS(D1587*E1587/F1587)),"")</f>
        <v>6637.138074450002</v>
      </c>
      <c r="H1587" s="43">
        <f>IFERROR(G1587*E1577,"")</f>
        <v>0</v>
      </c>
    </row>
    <row r="1588" spans="1:11">
      <c r="A1588" s="28"/>
      <c r="B1588" s="29"/>
      <c r="C1588" s="30" t="str">
        <f>IFERROR(_xlfn.XLOOKUP(B1588,Equipo[DESCRIPCION],Equipo[UND],,0),"")</f>
        <v/>
      </c>
      <c r="D1588" s="31"/>
      <c r="E1588" s="32" t="str">
        <f>IF(C1588="%MO",G1592,IFERROR(_xlfn.XLOOKUP($B1588,Equipo[DESCRIPCION],Equipo[VALOR],,0),""))</f>
        <v/>
      </c>
      <c r="F1588" s="33"/>
      <c r="G1588" s="34" t="str">
        <f>IFERROR(IF(F1588&gt;=0,D1588*E1588*(1+F1588/100),ABS(D1588*E1588/F1588)),"")</f>
        <v/>
      </c>
      <c r="H1588" s="43" t="str">
        <f>IFERROR(G1588*E1577,"")</f>
        <v/>
      </c>
    </row>
    <row r="1589" spans="1:11">
      <c r="A1589" s="21"/>
      <c r="B1589" s="22" t="s">
        <v>2533</v>
      </c>
      <c r="C1589" s="23"/>
      <c r="D1589" s="24"/>
      <c r="E1589" s="25"/>
      <c r="F1589" s="26"/>
      <c r="G1589" s="27">
        <f>SUM(G1590:G1591)</f>
        <v>0</v>
      </c>
      <c r="H1589" s="44">
        <f>G1589*E1577</f>
        <v>0</v>
      </c>
    </row>
    <row r="1590" spans="1:11">
      <c r="A1590" s="28"/>
      <c r="B1590" s="29"/>
      <c r="C1590" s="30" t="str">
        <f>IFERROR(_xlfn.XLOOKUP(B1590,Transporte[DESCRIPCION],Transporte[UND],,0),"")</f>
        <v/>
      </c>
      <c r="D1590" s="31"/>
      <c r="E1590" s="32" t="str">
        <f>IFERROR(_xlfn.XLOOKUP($B1590,Transporte[DESCRIPCION],Transporte[VALOR],,0),"")</f>
        <v/>
      </c>
      <c r="F1590" s="33"/>
      <c r="G1590" s="34" t="str">
        <f>IFERROR(IF(F1590&gt;=0,D1590*E1590*(1+F1590/100),ABS(D1590*E1590/F1590)),"")</f>
        <v/>
      </c>
      <c r="H1590" s="43" t="str">
        <f>IFERROR(G1590*E1577,"")</f>
        <v/>
      </c>
    </row>
    <row r="1591" spans="1:11">
      <c r="A1591" s="28"/>
      <c r="B1591" s="29"/>
      <c r="C1591" s="30" t="str">
        <f>IFERROR(_xlfn.XLOOKUP(B1591,Transporte[DESCRIPCION],Transporte[UND],,0),"")</f>
        <v/>
      </c>
      <c r="D1591" s="31"/>
      <c r="E1591" s="32" t="str">
        <f>IFERROR(_xlfn.XLOOKUP($B1591,Transporte[DESCRIPCION],Transporte[VALOR],,0),"")</f>
        <v/>
      </c>
      <c r="F1591" s="33"/>
      <c r="G1591" s="34" t="str">
        <f>IFERROR(IF(F1591&gt;=0,D1591*E1591*(1+F1591/100),ABS(D1591*E1591/F1591)),"")</f>
        <v/>
      </c>
      <c r="H1591" s="43" t="str">
        <f>IFERROR(G1591*E1577,"")</f>
        <v/>
      </c>
    </row>
    <row r="1592" spans="1:11">
      <c r="A1592" s="21"/>
      <c r="B1592" s="22" t="s">
        <v>3732</v>
      </c>
      <c r="C1592" s="23"/>
      <c r="D1592" s="24"/>
      <c r="E1592" s="25"/>
      <c r="F1592" s="26"/>
      <c r="G1592" s="27">
        <f>SUM(G1593:G1595)</f>
        <v>132742.76148900003</v>
      </c>
      <c r="H1592" s="44">
        <f>G1592*E1577</f>
        <v>0</v>
      </c>
    </row>
    <row r="1593" spans="1:11">
      <c r="A1593" s="28"/>
      <c r="B1593" s="29" t="s">
        <v>3713</v>
      </c>
      <c r="C1593" s="30" t="str">
        <f>IFERROR(_xlfn.XLOOKUP(B1593,MObra[DESCRIPCION],MObra[UN],,0),"")</f>
        <v>día</v>
      </c>
      <c r="D1593" s="31">
        <v>1</v>
      </c>
      <c r="E1593" s="32">
        <f>IFERROR(_xlfn.XLOOKUP($B1593,MObra[DESCRIPCION],MObra[VALOR UNIT],,0),"")</f>
        <v>663713.80744500016</v>
      </c>
      <c r="F1593" s="33">
        <v>-5</v>
      </c>
      <c r="G1593" s="34">
        <f>IFERROR(IF(F1593&gt;=0,D1593*E1593*(1+F1593/100),ABS(D1593*E1593/F1593)),"")</f>
        <v>132742.76148900003</v>
      </c>
      <c r="H1593" s="43">
        <f>IFERROR(G1593*E1577,"")</f>
        <v>0</v>
      </c>
    </row>
    <row r="1594" spans="1:11">
      <c r="A1594" s="28"/>
      <c r="B1594" s="29"/>
      <c r="C1594" s="30" t="str">
        <f>IFERROR(_xlfn.XLOOKUP(B1594,MObra[DESCRIPCION],MObra[UN],,0),"")</f>
        <v/>
      </c>
      <c r="D1594" s="31"/>
      <c r="E1594" s="32" t="str">
        <f>IFERROR(_xlfn.XLOOKUP($B1594,MObra[DESCRIPCION],MObra[VALOR UNIT],,0),"")</f>
        <v/>
      </c>
      <c r="F1594" s="33"/>
      <c r="G1594" s="34" t="str">
        <f>IFERROR(IF(F1594&gt;=0,D1594*E1594*(1+F1594/100),ABS(D1594*E1594/F1594)),"")</f>
        <v/>
      </c>
      <c r="H1594" s="43" t="str">
        <f>IFERROR(G1594*E1577,"")</f>
        <v/>
      </c>
    </row>
    <row r="1595" spans="1:11">
      <c r="A1595" s="35"/>
      <c r="B1595" s="36"/>
      <c r="C1595" s="37" t="str">
        <f>IFERROR(_xlfn.XLOOKUP(B1595,MObra[DESCRIPCION],MObra[UN],,0),"")</f>
        <v/>
      </c>
      <c r="D1595" s="38"/>
      <c r="E1595" s="39" t="str">
        <f>IFERROR(_xlfn.XLOOKUP($B1595,MObra[DESCRIPCION],MObra[VALOR UNIT],,0),"")</f>
        <v/>
      </c>
      <c r="F1595" s="40"/>
      <c r="G1595" s="41" t="str">
        <f>IFERROR(IF(F1595&gt;=0,D1595*E1595*(1+F1595/100),ABS(D1595*E1595/F1595)),"")</f>
        <v/>
      </c>
      <c r="H1595" s="42" t="str">
        <f>IFERROR(G1595*E1577,"")</f>
        <v/>
      </c>
    </row>
    <row r="1596" spans="1:11" ht="12.75" customHeight="1"/>
    <row r="1597" spans="1:11">
      <c r="A1597" s="6" t="s">
        <v>1882</v>
      </c>
      <c r="B1597" s="7" t="str">
        <f>VLOOKUP($A1597,Presupuesto!$A:$D,2,FALSE())</f>
        <v>Zanja Colectora en concreto de 20.7 Mpa</v>
      </c>
      <c r="C1597" s="8" t="str">
        <f>VLOOKUP($A1597,Presupuesto!$A:$D,3,FALSE())</f>
        <v>M3</v>
      </c>
      <c r="D1597" s="9"/>
      <c r="E1597" s="10">
        <f>VLOOKUP($A1597,Presupuesto!$A:$D,4,FALSE())</f>
        <v>0</v>
      </c>
      <c r="F1597" s="11" t="s">
        <v>2589</v>
      </c>
      <c r="G1597" s="12">
        <f>SUM(G1599:G1615)/2</f>
        <v>1248550.8108849365</v>
      </c>
      <c r="H1597" s="13">
        <f>ROUND(SUM(H1599:H1615),0)/2</f>
        <v>0</v>
      </c>
      <c r="I1597" s="10">
        <f>VLOOKUP(A1597,Presupuesto!$A:$F,6,0)</f>
        <v>0</v>
      </c>
      <c r="J1597" s="10">
        <f>+H1597-I1597</f>
        <v>0</v>
      </c>
      <c r="K1597" s="46">
        <f>+H1597-G1597*E1597</f>
        <v>0</v>
      </c>
    </row>
    <row r="1598" spans="1:11">
      <c r="A1598" s="14"/>
      <c r="B1598" s="15" t="s">
        <v>2586</v>
      </c>
      <c r="C1598" s="15" t="s">
        <v>5</v>
      </c>
      <c r="D1598" s="16" t="s">
        <v>6</v>
      </c>
      <c r="E1598" s="17" t="s">
        <v>7</v>
      </c>
      <c r="F1598" s="18" t="s">
        <v>3728</v>
      </c>
      <c r="G1598" s="19" t="s">
        <v>3729</v>
      </c>
      <c r="H1598" s="20" t="s">
        <v>3797</v>
      </c>
    </row>
    <row r="1599" spans="1:11">
      <c r="A1599" s="21"/>
      <c r="B1599" s="22" t="s">
        <v>3730</v>
      </c>
      <c r="C1599" s="23"/>
      <c r="D1599" s="24"/>
      <c r="E1599" s="25"/>
      <c r="F1599" s="26"/>
      <c r="G1599" s="27">
        <f>SUM(G1600:G1604)</f>
        <v>1023940.4645340265</v>
      </c>
      <c r="H1599" s="27">
        <f>IFERROR(G1599*E1597,"")</f>
        <v>0</v>
      </c>
    </row>
    <row r="1600" spans="1:11">
      <c r="A1600" s="28"/>
      <c r="B1600" s="29" t="s">
        <v>3239</v>
      </c>
      <c r="C1600" s="30" t="str">
        <f>IFERROR(_xlfn.XLOOKUP(B1600,Insumo[DESCRIPCION],Insumo[UND],,0),"")</f>
        <v>M3</v>
      </c>
      <c r="D1600" s="31">
        <v>1</v>
      </c>
      <c r="E1600" s="32">
        <f>IFERROR(_xlfn.XLOOKUP($B1600,Insumo[DESCRIPCION],Insumo[VALOR],,0),"")</f>
        <v>521159.50227762427</v>
      </c>
      <c r="F1600" s="33">
        <v>5</v>
      </c>
      <c r="G1600" s="34">
        <f>IFERROR(IF(F1600&gt;=0,D1600*E1600*(1+F1600/100),ABS(D1600*E1600/F1600)),"")</f>
        <v>547217.4773915055</v>
      </c>
      <c r="H1600" s="43">
        <f>IFERROR(G1600*E1597,"")</f>
        <v>0</v>
      </c>
    </row>
    <row r="1601" spans="1:8">
      <c r="A1601" s="28"/>
      <c r="B1601" s="29" t="s">
        <v>2954</v>
      </c>
      <c r="C1601" s="30" t="str">
        <f>IFERROR(_xlfn.XLOOKUP(B1601,Insumo[DESCRIPCION],Insumo[UND],,0),"")</f>
        <v>M2</v>
      </c>
      <c r="D1601" s="31">
        <v>14</v>
      </c>
      <c r="E1601" s="32">
        <f>IFERROR(_xlfn.XLOOKUP($B1601,Insumo[DESCRIPCION],Insumo[VALOR],,0),"")</f>
        <v>102154.92581625449</v>
      </c>
      <c r="F1601" s="33">
        <v>-3</v>
      </c>
      <c r="G1601" s="34">
        <f>IFERROR(IF(F1601&gt;=0,D1601*E1601*(1+F1601/100),ABS(D1601*E1601/F1601)),"")</f>
        <v>476722.98714252096</v>
      </c>
      <c r="H1601" s="43">
        <f>IFERROR(G1601*E1597,"")</f>
        <v>0</v>
      </c>
    </row>
    <row r="1602" spans="1:8">
      <c r="A1602" s="28"/>
      <c r="B1602" s="29"/>
      <c r="C1602" s="30" t="str">
        <f>IFERROR(_xlfn.XLOOKUP(B1602,Insumo[DESCRIPCION],Insumo[UND],,0),"")</f>
        <v/>
      </c>
      <c r="D1602" s="31"/>
      <c r="E1602" s="32" t="str">
        <f>IFERROR(_xlfn.XLOOKUP($B1602,Insumo[DESCRIPCION],Insumo[VALOR],,0),"")</f>
        <v/>
      </c>
      <c r="F1602" s="33"/>
      <c r="G1602" s="34" t="str">
        <f>IFERROR(IF(F1602&gt;=0,D1602*E1602*(1+F1602/100),ABS(D1602*E1602/F1602)),"")</f>
        <v/>
      </c>
      <c r="H1602" s="43" t="str">
        <f>IFERROR(G1602*E1597,"")</f>
        <v/>
      </c>
    </row>
    <row r="1603" spans="1:8">
      <c r="A1603" s="28"/>
      <c r="B1603" s="29"/>
      <c r="C1603" s="30" t="str">
        <f>IFERROR(_xlfn.XLOOKUP(B1603,Insumo[DESCRIPCION],Insumo[UND],,0),"")</f>
        <v/>
      </c>
      <c r="D1603" s="31"/>
      <c r="E1603" s="32" t="str">
        <f>IFERROR(_xlfn.XLOOKUP($B1603,Insumo[DESCRIPCION],Insumo[VALOR],,0),"")</f>
        <v/>
      </c>
      <c r="F1603" s="33"/>
      <c r="G1603" s="34" t="str">
        <f>IFERROR(IF(F1603&gt;=0,D1603*E1603*(1+F1603/100),ABS(D1603*E1603/F1603)),"")</f>
        <v/>
      </c>
      <c r="H1603" s="43" t="str">
        <f>IFERROR(G1603*E1597,"")</f>
        <v/>
      </c>
    </row>
    <row r="1604" spans="1:8">
      <c r="A1604" s="28"/>
      <c r="B1604" s="29"/>
      <c r="C1604" s="30" t="str">
        <f>IFERROR(_xlfn.XLOOKUP(B1604,Insumo[DESCRIPCION],Insumo[UND],,0),"")</f>
        <v/>
      </c>
      <c r="D1604" s="31"/>
      <c r="E1604" s="32" t="str">
        <f>IFERROR(_xlfn.XLOOKUP($B1604,Insumo[DESCRIPCION],Insumo[VALOR],,0),"")</f>
        <v/>
      </c>
      <c r="F1604" s="33"/>
      <c r="G1604" s="34" t="str">
        <f>IFERROR(IF(F1604&gt;=0,D1604*E1604*(1+F1604/100),ABS(D1604*E1604/F1604)),"")</f>
        <v/>
      </c>
      <c r="H1604" s="43" t="str">
        <f>IFERROR(G1604*E1597,"")</f>
        <v/>
      </c>
    </row>
    <row r="1605" spans="1:8">
      <c r="A1605" s="21"/>
      <c r="B1605" s="22" t="s">
        <v>3731</v>
      </c>
      <c r="C1605" s="23"/>
      <c r="D1605" s="24"/>
      <c r="E1605" s="25"/>
      <c r="F1605" s="26"/>
      <c r="G1605" s="27">
        <f>SUM(G1606:G1608)</f>
        <v>22002.973551910007</v>
      </c>
      <c r="H1605" s="44">
        <f>G1605*E1597</f>
        <v>0</v>
      </c>
    </row>
    <row r="1606" spans="1:8">
      <c r="A1606" s="28"/>
      <c r="B1606" s="29" t="s">
        <v>3657</v>
      </c>
      <c r="C1606" s="30" t="str">
        <f>IFERROR(_xlfn.XLOOKUP(B1606,Equipo[DESCRIPCION],Equipo[UND],,0),"")</f>
        <v>Día</v>
      </c>
      <c r="D1606" s="31">
        <v>1</v>
      </c>
      <c r="E1606" s="32">
        <f>IF(C1606="%MO",G1612,IFERROR(_xlfn.XLOOKUP($B1606,Equipo[DESCRIPCION],Equipo[VALOR],,0),""))</f>
        <v>56524.65</v>
      </c>
      <c r="F1606" s="33">
        <v>-15</v>
      </c>
      <c r="G1606" s="34">
        <f>IFERROR(IF(F1606&gt;=0,D1606*E1606*(1+F1606/100),ABS(D1606*E1606/F1606)),"")</f>
        <v>3768.31</v>
      </c>
      <c r="H1606" s="43">
        <f>IFERROR(G1606*E1597,"")</f>
        <v>0</v>
      </c>
    </row>
    <row r="1607" spans="1:8">
      <c r="A1607" s="28"/>
      <c r="B1607" s="29" t="s">
        <v>3570</v>
      </c>
      <c r="C1607" s="30" t="str">
        <f>IFERROR(_xlfn.XLOOKUP(B1607,Equipo[DESCRIPCION],Equipo[UND],,0),"")</f>
        <v>%MO</v>
      </c>
      <c r="D1607" s="31">
        <v>0.04</v>
      </c>
      <c r="E1607" s="32">
        <f>IF(C1607="%MO",G1612,IFERROR(_xlfn.XLOOKUP($B1607,Equipo[DESCRIPCION],Equipo[VALOR],,0),""))</f>
        <v>202607.37279900006</v>
      </c>
      <c r="F1607" s="33"/>
      <c r="G1607" s="34">
        <f>IFERROR(IF(F1607&gt;=0,D1607*E1607*(1+F1607/100),ABS(D1607*E1607/F1607)),"")</f>
        <v>8104.2949119600025</v>
      </c>
      <c r="H1607" s="43">
        <f>IFERROR(G1607*E1597,"")</f>
        <v>0</v>
      </c>
    </row>
    <row r="1608" spans="1:8">
      <c r="A1608" s="28"/>
      <c r="B1608" s="29" t="s">
        <v>3626</v>
      </c>
      <c r="C1608" s="30" t="str">
        <f>IFERROR(_xlfn.XLOOKUP(B1608,Equipo[DESCRIPCION],Equipo[UND],,0),"")</f>
        <v>%MO</v>
      </c>
      <c r="D1608" s="31">
        <v>0.05</v>
      </c>
      <c r="E1608" s="32">
        <f>IF(C1608="%MO",G1612,IFERROR(_xlfn.XLOOKUP($B1608,Equipo[DESCRIPCION],Equipo[VALOR],,0),""))</f>
        <v>202607.37279900006</v>
      </c>
      <c r="F1608" s="33"/>
      <c r="G1608" s="34">
        <f>IFERROR(IF(F1608&gt;=0,D1608*E1608*(1+F1608/100),ABS(D1608*E1608/F1608)),"")</f>
        <v>10130.368639950004</v>
      </c>
      <c r="H1608" s="43">
        <f>IFERROR(G1608*E1597,"")</f>
        <v>0</v>
      </c>
    </row>
    <row r="1609" spans="1:8">
      <c r="A1609" s="21"/>
      <c r="B1609" s="22" t="s">
        <v>2533</v>
      </c>
      <c r="C1609" s="23"/>
      <c r="D1609" s="24"/>
      <c r="E1609" s="25"/>
      <c r="F1609" s="26"/>
      <c r="G1609" s="27">
        <f>SUM(G1610:G1611)</f>
        <v>0</v>
      </c>
      <c r="H1609" s="44">
        <f>G1609*E1597</f>
        <v>0</v>
      </c>
    </row>
    <row r="1610" spans="1:8">
      <c r="A1610" s="28"/>
      <c r="B1610" s="29"/>
      <c r="C1610" s="30" t="str">
        <f>IFERROR(_xlfn.XLOOKUP(B1610,Transporte[DESCRIPCION],Transporte[UND],,0),"")</f>
        <v/>
      </c>
      <c r="D1610" s="31"/>
      <c r="E1610" s="32" t="str">
        <f>IFERROR(_xlfn.XLOOKUP($B1610,Transporte[DESCRIPCION],Transporte[VALOR],,0),"")</f>
        <v/>
      </c>
      <c r="F1610" s="33"/>
      <c r="G1610" s="34" t="str">
        <f>IFERROR(IF(F1610&gt;=0,D1610*E1610*(1+F1610/100),ABS(D1610*E1610/F1610)),"")</f>
        <v/>
      </c>
      <c r="H1610" s="43" t="str">
        <f>IFERROR(G1610*E1597,"")</f>
        <v/>
      </c>
    </row>
    <row r="1611" spans="1:8">
      <c r="A1611" s="28"/>
      <c r="B1611" s="29"/>
      <c r="C1611" s="30" t="str">
        <f>IFERROR(_xlfn.XLOOKUP(B1611,Transporte[DESCRIPCION],Transporte[UND],,0),"")</f>
        <v/>
      </c>
      <c r="D1611" s="31"/>
      <c r="E1611" s="32" t="str">
        <f>IFERROR(_xlfn.XLOOKUP($B1611,Transporte[DESCRIPCION],Transporte[VALOR],,0),"")</f>
        <v/>
      </c>
      <c r="F1611" s="33"/>
      <c r="G1611" s="34" t="str">
        <f>IFERROR(IF(F1611&gt;=0,D1611*E1611*(1+F1611/100),ABS(D1611*E1611/F1611)),"")</f>
        <v/>
      </c>
      <c r="H1611" s="43" t="str">
        <f>IFERROR(G1611*E1597,"")</f>
        <v/>
      </c>
    </row>
    <row r="1612" spans="1:8">
      <c r="A1612" s="21"/>
      <c r="B1612" s="22" t="s">
        <v>3732</v>
      </c>
      <c r="C1612" s="23"/>
      <c r="D1612" s="24"/>
      <c r="E1612" s="25"/>
      <c r="F1612" s="26"/>
      <c r="G1612" s="27">
        <f>SUM(G1613:G1615)</f>
        <v>202607.37279900006</v>
      </c>
      <c r="H1612" s="44">
        <f>G1612*E1597</f>
        <v>0</v>
      </c>
    </row>
    <row r="1613" spans="1:8">
      <c r="A1613" s="28"/>
      <c r="B1613" s="29" t="s">
        <v>3714</v>
      </c>
      <c r="C1613" s="30" t="str">
        <f>IFERROR(_xlfn.XLOOKUP(B1613,MObra[DESCRIPCION],MObra[UN],,0),"")</f>
        <v>día</v>
      </c>
      <c r="D1613" s="31">
        <v>1</v>
      </c>
      <c r="E1613" s="32">
        <f>IFERROR(_xlfn.XLOOKUP($B1613,MObra[DESCRIPCION],MObra[VALOR UNIT],,0),"")</f>
        <v>1013036.8639950003</v>
      </c>
      <c r="F1613" s="33">
        <v>-5</v>
      </c>
      <c r="G1613" s="34">
        <f>IFERROR(IF(F1613&gt;=0,D1613*E1613*(1+F1613/100),ABS(D1613*E1613/F1613)),"")</f>
        <v>202607.37279900006</v>
      </c>
      <c r="H1613" s="43">
        <f>IFERROR(G1613*E1597,"")</f>
        <v>0</v>
      </c>
    </row>
    <row r="1614" spans="1:8">
      <c r="A1614" s="28"/>
      <c r="B1614" s="29"/>
      <c r="C1614" s="30" t="str">
        <f>IFERROR(_xlfn.XLOOKUP(B1614,MObra[DESCRIPCION],MObra[UN],,0),"")</f>
        <v/>
      </c>
      <c r="D1614" s="31"/>
      <c r="E1614" s="32" t="str">
        <f>IFERROR(_xlfn.XLOOKUP($B1614,MObra[DESCRIPCION],MObra[VALOR UNIT],,0),"")</f>
        <v/>
      </c>
      <c r="F1614" s="33"/>
      <c r="G1614" s="34" t="str">
        <f>IFERROR(IF(F1614&gt;=0,D1614*E1614*(1+F1614/100),ABS(D1614*E1614/F1614)),"")</f>
        <v/>
      </c>
      <c r="H1614" s="43" t="str">
        <f>IFERROR(G1614*E1597,"")</f>
        <v/>
      </c>
    </row>
    <row r="1615" spans="1:8">
      <c r="A1615" s="35"/>
      <c r="B1615" s="36"/>
      <c r="C1615" s="37" t="str">
        <f>IFERROR(_xlfn.XLOOKUP(B1615,MObra[DESCRIPCION],MObra[UN],,0),"")</f>
        <v/>
      </c>
      <c r="D1615" s="38"/>
      <c r="E1615" s="39" t="str">
        <f>IFERROR(_xlfn.XLOOKUP($B1615,MObra[DESCRIPCION],MObra[VALOR UNIT],,0),"")</f>
        <v/>
      </c>
      <c r="F1615" s="40"/>
      <c r="G1615" s="41" t="str">
        <f>IFERROR(IF(F1615&gt;=0,D1615*E1615*(1+F1615/100),ABS(D1615*E1615/F1615)),"")</f>
        <v/>
      </c>
      <c r="H1615" s="42" t="str">
        <f>IFERROR(G1615*E1597,"")</f>
        <v/>
      </c>
    </row>
    <row r="1616" spans="1:8" ht="12.75" customHeight="1"/>
    <row r="1617" spans="1:11">
      <c r="A1617" s="6" t="s">
        <v>1884</v>
      </c>
      <c r="B1617" s="7" t="str">
        <f>VLOOKUP($A1617,Presupuesto!$A:$D,2,FALSE())</f>
        <v>Zanja Colectora en concreto de 27.6 Mpa</v>
      </c>
      <c r="C1617" s="8" t="str">
        <f>VLOOKUP($A1617,Presupuesto!$A:$D,3,FALSE())</f>
        <v>M3</v>
      </c>
      <c r="D1617" s="9"/>
      <c r="E1617" s="10">
        <f>VLOOKUP($A1617,Presupuesto!$A:$D,4,FALSE())</f>
        <v>0</v>
      </c>
      <c r="F1617" s="11" t="s">
        <v>2589</v>
      </c>
      <c r="G1617" s="12">
        <f>SUM(G1619:G1635)/2</f>
        <v>1298209.6856765805</v>
      </c>
      <c r="H1617" s="13">
        <f>ROUND(SUM(H1619:H1635),0)/2</f>
        <v>0</v>
      </c>
      <c r="I1617" s="10">
        <f>VLOOKUP(A1617,Presupuesto!$A:$F,6,0)</f>
        <v>0</v>
      </c>
      <c r="J1617" s="10">
        <f>+H1617-I1617</f>
        <v>0</v>
      </c>
      <c r="K1617" s="46">
        <f>+H1617-G1617*E1617</f>
        <v>0</v>
      </c>
    </row>
    <row r="1618" spans="1:11">
      <c r="A1618" s="14"/>
      <c r="B1618" s="15" t="s">
        <v>2586</v>
      </c>
      <c r="C1618" s="15" t="s">
        <v>5</v>
      </c>
      <c r="D1618" s="16" t="s">
        <v>6</v>
      </c>
      <c r="E1618" s="17" t="s">
        <v>7</v>
      </c>
      <c r="F1618" s="18" t="s">
        <v>3728</v>
      </c>
      <c r="G1618" s="19" t="s">
        <v>3729</v>
      </c>
      <c r="H1618" s="20" t="s">
        <v>3797</v>
      </c>
    </row>
    <row r="1619" spans="1:11">
      <c r="A1619" s="21"/>
      <c r="B1619" s="22" t="s">
        <v>3730</v>
      </c>
      <c r="C1619" s="23"/>
      <c r="D1619" s="24"/>
      <c r="E1619" s="25"/>
      <c r="F1619" s="26"/>
      <c r="G1619" s="27">
        <f>SUM(G1620:G1624)</f>
        <v>1073599.3393256702</v>
      </c>
      <c r="H1619" s="27">
        <f>IFERROR(G1619*E1617,"")</f>
        <v>0</v>
      </c>
    </row>
    <row r="1620" spans="1:11">
      <c r="A1620" s="28"/>
      <c r="B1620" s="29" t="s">
        <v>3241</v>
      </c>
      <c r="C1620" s="30" t="str">
        <f>IFERROR(_xlfn.XLOOKUP(B1620,Insumo[DESCRIPCION],Insumo[UND],,0),"")</f>
        <v>M3</v>
      </c>
      <c r="D1620" s="31">
        <v>1</v>
      </c>
      <c r="E1620" s="32">
        <f>IFERROR(_xlfn.XLOOKUP($B1620,Insumo[DESCRIPCION],Insumo[VALOR],,0),"")</f>
        <v>568453.66874585627</v>
      </c>
      <c r="F1620" s="33">
        <v>5</v>
      </c>
      <c r="G1620" s="34">
        <f>IFERROR(IF(F1620&gt;=0,D1620*E1620*(1+F1620/100),ABS(D1620*E1620/F1620)),"")</f>
        <v>596876.35218314908</v>
      </c>
      <c r="H1620" s="43">
        <f>IFERROR(G1620*E1617,"")</f>
        <v>0</v>
      </c>
    </row>
    <row r="1621" spans="1:11">
      <c r="A1621" s="28"/>
      <c r="B1621" s="29" t="s">
        <v>2954</v>
      </c>
      <c r="C1621" s="30" t="str">
        <f>IFERROR(_xlfn.XLOOKUP(B1621,Insumo[DESCRIPCION],Insumo[UND],,0),"")</f>
        <v>M2</v>
      </c>
      <c r="D1621" s="31">
        <v>14</v>
      </c>
      <c r="E1621" s="32">
        <f>IFERROR(_xlfn.XLOOKUP($B1621,Insumo[DESCRIPCION],Insumo[VALOR],,0),"")</f>
        <v>102154.92581625449</v>
      </c>
      <c r="F1621" s="33">
        <v>-3</v>
      </c>
      <c r="G1621" s="34">
        <f>IFERROR(IF(F1621&gt;=0,D1621*E1621*(1+F1621/100),ABS(D1621*E1621/F1621)),"")</f>
        <v>476722.98714252096</v>
      </c>
      <c r="H1621" s="43">
        <f>IFERROR(G1621*E1617,"")</f>
        <v>0</v>
      </c>
    </row>
    <row r="1622" spans="1:11">
      <c r="A1622" s="28"/>
      <c r="B1622" s="29"/>
      <c r="C1622" s="30" t="str">
        <f>IFERROR(_xlfn.XLOOKUP(B1622,Insumo[DESCRIPCION],Insumo[UND],,0),"")</f>
        <v/>
      </c>
      <c r="D1622" s="31"/>
      <c r="E1622" s="32" t="str">
        <f>IFERROR(_xlfn.XLOOKUP($B1622,Insumo[DESCRIPCION],Insumo[VALOR],,0),"")</f>
        <v/>
      </c>
      <c r="F1622" s="33"/>
      <c r="G1622" s="34" t="str">
        <f>IFERROR(IF(F1622&gt;=0,D1622*E1622*(1+F1622/100),ABS(D1622*E1622/F1622)),"")</f>
        <v/>
      </c>
      <c r="H1622" s="43" t="str">
        <f>IFERROR(G1622*E1617,"")</f>
        <v/>
      </c>
    </row>
    <row r="1623" spans="1:11">
      <c r="A1623" s="28"/>
      <c r="B1623" s="29"/>
      <c r="C1623" s="30" t="str">
        <f>IFERROR(_xlfn.XLOOKUP(B1623,Insumo[DESCRIPCION],Insumo[UND],,0),"")</f>
        <v/>
      </c>
      <c r="D1623" s="31"/>
      <c r="E1623" s="32" t="str">
        <f>IFERROR(_xlfn.XLOOKUP($B1623,Insumo[DESCRIPCION],Insumo[VALOR],,0),"")</f>
        <v/>
      </c>
      <c r="F1623" s="33"/>
      <c r="G1623" s="34" t="str">
        <f>IFERROR(IF(F1623&gt;=0,D1623*E1623*(1+F1623/100),ABS(D1623*E1623/F1623)),"")</f>
        <v/>
      </c>
      <c r="H1623" s="43" t="str">
        <f>IFERROR(G1623*E1617,"")</f>
        <v/>
      </c>
    </row>
    <row r="1624" spans="1:11">
      <c r="A1624" s="28"/>
      <c r="B1624" s="29"/>
      <c r="C1624" s="30" t="str">
        <f>IFERROR(_xlfn.XLOOKUP(B1624,Insumo[DESCRIPCION],Insumo[UND],,0),"")</f>
        <v/>
      </c>
      <c r="D1624" s="31"/>
      <c r="E1624" s="32" t="str">
        <f>IFERROR(_xlfn.XLOOKUP($B1624,Insumo[DESCRIPCION],Insumo[VALOR],,0),"")</f>
        <v/>
      </c>
      <c r="F1624" s="33"/>
      <c r="G1624" s="34" t="str">
        <f>IFERROR(IF(F1624&gt;=0,D1624*E1624*(1+F1624/100),ABS(D1624*E1624/F1624)),"")</f>
        <v/>
      </c>
      <c r="H1624" s="43" t="str">
        <f>IFERROR(G1624*E1617,"")</f>
        <v/>
      </c>
    </row>
    <row r="1625" spans="1:11">
      <c r="A1625" s="21"/>
      <c r="B1625" s="22" t="s">
        <v>3731</v>
      </c>
      <c r="C1625" s="23"/>
      <c r="D1625" s="24"/>
      <c r="E1625" s="25"/>
      <c r="F1625" s="26"/>
      <c r="G1625" s="27">
        <f>SUM(G1626:G1628)</f>
        <v>22002.973551910007</v>
      </c>
      <c r="H1625" s="44">
        <f>G1625*E1617</f>
        <v>0</v>
      </c>
    </row>
    <row r="1626" spans="1:11">
      <c r="A1626" s="28"/>
      <c r="B1626" s="29" t="s">
        <v>3657</v>
      </c>
      <c r="C1626" s="30" t="str">
        <f>IFERROR(_xlfn.XLOOKUP(B1626,Equipo[DESCRIPCION],Equipo[UND],,0),"")</f>
        <v>Día</v>
      </c>
      <c r="D1626" s="31">
        <v>1</v>
      </c>
      <c r="E1626" s="32">
        <f>IF(C1626="%MO",G1632,IFERROR(_xlfn.XLOOKUP($B1626,Equipo[DESCRIPCION],Equipo[VALOR],,0),""))</f>
        <v>56524.65</v>
      </c>
      <c r="F1626" s="33">
        <v>-15</v>
      </c>
      <c r="G1626" s="34">
        <f>IFERROR(IF(F1626&gt;=0,D1626*E1626*(1+F1626/100),ABS(D1626*E1626/F1626)),"")</f>
        <v>3768.31</v>
      </c>
      <c r="H1626" s="43">
        <f>IFERROR(G1626*E1617,"")</f>
        <v>0</v>
      </c>
    </row>
    <row r="1627" spans="1:11">
      <c r="A1627" s="28"/>
      <c r="B1627" s="29" t="s">
        <v>3570</v>
      </c>
      <c r="C1627" s="30" t="str">
        <f>IFERROR(_xlfn.XLOOKUP(B1627,Equipo[DESCRIPCION],Equipo[UND],,0),"")</f>
        <v>%MO</v>
      </c>
      <c r="D1627" s="31">
        <v>0.04</v>
      </c>
      <c r="E1627" s="32">
        <f>IF(C1627="%MO",G1632,IFERROR(_xlfn.XLOOKUP($B1627,Equipo[DESCRIPCION],Equipo[VALOR],,0),""))</f>
        <v>202607.37279900006</v>
      </c>
      <c r="F1627" s="33"/>
      <c r="G1627" s="34">
        <f>IFERROR(IF(F1627&gt;=0,D1627*E1627*(1+F1627/100),ABS(D1627*E1627/F1627)),"")</f>
        <v>8104.2949119600025</v>
      </c>
      <c r="H1627" s="43">
        <f>IFERROR(G1627*E1617,"")</f>
        <v>0</v>
      </c>
    </row>
    <row r="1628" spans="1:11">
      <c r="A1628" s="28"/>
      <c r="B1628" s="29" t="s">
        <v>3626</v>
      </c>
      <c r="C1628" s="30" t="str">
        <f>IFERROR(_xlfn.XLOOKUP(B1628,Equipo[DESCRIPCION],Equipo[UND],,0),"")</f>
        <v>%MO</v>
      </c>
      <c r="D1628" s="31">
        <v>0.05</v>
      </c>
      <c r="E1628" s="32">
        <f>IF(C1628="%MO",G1632,IFERROR(_xlfn.XLOOKUP($B1628,Equipo[DESCRIPCION],Equipo[VALOR],,0),""))</f>
        <v>202607.37279900006</v>
      </c>
      <c r="F1628" s="33"/>
      <c r="G1628" s="34">
        <f>IFERROR(IF(F1628&gt;=0,D1628*E1628*(1+F1628/100),ABS(D1628*E1628/F1628)),"")</f>
        <v>10130.368639950004</v>
      </c>
      <c r="H1628" s="43">
        <f>IFERROR(G1628*E1617,"")</f>
        <v>0</v>
      </c>
    </row>
    <row r="1629" spans="1:11">
      <c r="A1629" s="21"/>
      <c r="B1629" s="22" t="s">
        <v>2533</v>
      </c>
      <c r="C1629" s="23"/>
      <c r="D1629" s="24"/>
      <c r="E1629" s="25"/>
      <c r="F1629" s="26"/>
      <c r="G1629" s="27">
        <f>SUM(G1630:G1631)</f>
        <v>0</v>
      </c>
      <c r="H1629" s="44">
        <f>G1629*E1617</f>
        <v>0</v>
      </c>
    </row>
    <row r="1630" spans="1:11">
      <c r="A1630" s="28"/>
      <c r="B1630" s="29"/>
      <c r="C1630" s="30" t="str">
        <f>IFERROR(_xlfn.XLOOKUP(B1630,Transporte[DESCRIPCION],Transporte[UND],,0),"")</f>
        <v/>
      </c>
      <c r="D1630" s="31"/>
      <c r="E1630" s="32" t="str">
        <f>IFERROR(_xlfn.XLOOKUP($B1630,Transporte[DESCRIPCION],Transporte[VALOR],,0),"")</f>
        <v/>
      </c>
      <c r="F1630" s="33"/>
      <c r="G1630" s="34" t="str">
        <f>IFERROR(IF(F1630&gt;=0,D1630*E1630*(1+F1630/100),ABS(D1630*E1630/F1630)),"")</f>
        <v/>
      </c>
      <c r="H1630" s="43" t="str">
        <f>IFERROR(G1630*E1617,"")</f>
        <v/>
      </c>
    </row>
    <row r="1631" spans="1:11">
      <c r="A1631" s="28"/>
      <c r="B1631" s="29"/>
      <c r="C1631" s="30" t="str">
        <f>IFERROR(_xlfn.XLOOKUP(B1631,Transporte[DESCRIPCION],Transporte[UND],,0),"")</f>
        <v/>
      </c>
      <c r="D1631" s="31"/>
      <c r="E1631" s="32" t="str">
        <f>IFERROR(_xlfn.XLOOKUP($B1631,Transporte[DESCRIPCION],Transporte[VALOR],,0),"")</f>
        <v/>
      </c>
      <c r="F1631" s="33"/>
      <c r="G1631" s="34" t="str">
        <f>IFERROR(IF(F1631&gt;=0,D1631*E1631*(1+F1631/100),ABS(D1631*E1631/F1631)),"")</f>
        <v/>
      </c>
      <c r="H1631" s="43" t="str">
        <f>IFERROR(G1631*E1617,"")</f>
        <v/>
      </c>
    </row>
    <row r="1632" spans="1:11">
      <c r="A1632" s="21"/>
      <c r="B1632" s="22" t="s">
        <v>3732</v>
      </c>
      <c r="C1632" s="23"/>
      <c r="D1632" s="24"/>
      <c r="E1632" s="25"/>
      <c r="F1632" s="26"/>
      <c r="G1632" s="27">
        <f>SUM(G1633:G1635)</f>
        <v>202607.37279900006</v>
      </c>
      <c r="H1632" s="44">
        <f>G1632*E1617</f>
        <v>0</v>
      </c>
    </row>
    <row r="1633" spans="1:11">
      <c r="A1633" s="28"/>
      <c r="B1633" s="29" t="s">
        <v>3714</v>
      </c>
      <c r="C1633" s="30" t="str">
        <f>IFERROR(_xlfn.XLOOKUP(B1633,MObra[DESCRIPCION],MObra[UN],,0),"")</f>
        <v>día</v>
      </c>
      <c r="D1633" s="31">
        <v>1</v>
      </c>
      <c r="E1633" s="32">
        <f>IFERROR(_xlfn.XLOOKUP($B1633,MObra[DESCRIPCION],MObra[VALOR UNIT],,0),"")</f>
        <v>1013036.8639950003</v>
      </c>
      <c r="F1633" s="33">
        <v>-5</v>
      </c>
      <c r="G1633" s="34">
        <f>IFERROR(IF(F1633&gt;=0,D1633*E1633*(1+F1633/100),ABS(D1633*E1633/F1633)),"")</f>
        <v>202607.37279900006</v>
      </c>
      <c r="H1633" s="43">
        <f>IFERROR(G1633*E1617,"")</f>
        <v>0</v>
      </c>
    </row>
    <row r="1634" spans="1:11">
      <c r="A1634" s="28"/>
      <c r="B1634" s="29"/>
      <c r="C1634" s="30" t="str">
        <f>IFERROR(_xlfn.XLOOKUP(B1634,MObra[DESCRIPCION],MObra[UN],,0),"")</f>
        <v/>
      </c>
      <c r="D1634" s="31"/>
      <c r="E1634" s="32" t="str">
        <f>IFERROR(_xlfn.XLOOKUP($B1634,MObra[DESCRIPCION],MObra[VALOR UNIT],,0),"")</f>
        <v/>
      </c>
      <c r="F1634" s="33"/>
      <c r="G1634" s="34" t="str">
        <f>IFERROR(IF(F1634&gt;=0,D1634*E1634*(1+F1634/100),ABS(D1634*E1634/F1634)),"")</f>
        <v/>
      </c>
      <c r="H1634" s="43" t="str">
        <f>IFERROR(G1634*E1617,"")</f>
        <v/>
      </c>
    </row>
    <row r="1635" spans="1:11">
      <c r="A1635" s="35"/>
      <c r="B1635" s="36"/>
      <c r="C1635" s="37" t="str">
        <f>IFERROR(_xlfn.XLOOKUP(B1635,MObra[DESCRIPCION],MObra[UN],,0),"")</f>
        <v/>
      </c>
      <c r="D1635" s="38"/>
      <c r="E1635" s="39" t="str">
        <f>IFERROR(_xlfn.XLOOKUP($B1635,MObra[DESCRIPCION],MObra[VALOR UNIT],,0),"")</f>
        <v/>
      </c>
      <c r="F1635" s="40"/>
      <c r="G1635" s="41" t="str">
        <f>IFERROR(IF(F1635&gt;=0,D1635*E1635*(1+F1635/100),ABS(D1635*E1635/F1635)),"")</f>
        <v/>
      </c>
      <c r="H1635" s="42" t="str">
        <f>IFERROR(G1635*E1617,"")</f>
        <v/>
      </c>
    </row>
    <row r="1636" spans="1:11" ht="13.5" thickTop="1" thickBot="1"/>
    <row r="1637" spans="1:11" ht="13.5" thickTop="1" thickBot="1">
      <c r="A1637" s="6" t="s">
        <v>1888</v>
      </c>
      <c r="B1637" s="7" t="str">
        <f>VLOOKUP($A1637,Presupuesto!$A:$D,2,FALSE())</f>
        <v>Afirmado riego + compactación manual</v>
      </c>
      <c r="C1637" s="8" t="str">
        <f>VLOOKUP($A1637,Presupuesto!$A:$D,3,FALSE())</f>
        <v>M3</v>
      </c>
      <c r="D1637" s="9"/>
      <c r="E1637" s="10">
        <f>VLOOKUP($A1637,Presupuesto!$A:$D,4,FALSE())</f>
        <v>0</v>
      </c>
      <c r="F1637" s="11" t="s">
        <v>2589</v>
      </c>
      <c r="G1637" s="12">
        <f>SUM(G1639:G1655)/2</f>
        <v>38321.439429750011</v>
      </c>
      <c r="H1637" s="13">
        <f>ROUND(SUM(H1639:H1655),0)/2</f>
        <v>0</v>
      </c>
      <c r="I1637" s="10">
        <f>VLOOKUP(A1637,Presupuesto!$A:$F,6,0)</f>
        <v>0</v>
      </c>
      <c r="J1637" s="10">
        <f>+H1637-I1637</f>
        <v>0</v>
      </c>
      <c r="K1637" s="46">
        <f>+H1637-G1637*E1637</f>
        <v>0</v>
      </c>
    </row>
    <row r="1638" spans="1:11" ht="13.15" thickTop="1">
      <c r="A1638" s="14"/>
      <c r="B1638" s="15" t="s">
        <v>2586</v>
      </c>
      <c r="C1638" s="15" t="s">
        <v>5</v>
      </c>
      <c r="D1638" s="16" t="s">
        <v>6</v>
      </c>
      <c r="E1638" s="17" t="s">
        <v>7</v>
      </c>
      <c r="F1638" s="18" t="s">
        <v>3728</v>
      </c>
      <c r="G1638" s="19" t="s">
        <v>3729</v>
      </c>
      <c r="H1638" s="20" t="s">
        <v>3797</v>
      </c>
    </row>
    <row r="1639" spans="1:11">
      <c r="A1639" s="21"/>
      <c r="B1639" s="22" t="s">
        <v>3730</v>
      </c>
      <c r="C1639" s="23"/>
      <c r="D1639" s="24"/>
      <c r="E1639" s="25"/>
      <c r="F1639" s="26"/>
      <c r="G1639" s="27">
        <f>SUM(G1640:G1644)</f>
        <v>5460</v>
      </c>
      <c r="H1639" s="27">
        <f>IFERROR(G1639*E1637,"")</f>
        <v>0</v>
      </c>
    </row>
    <row r="1640" spans="1:11">
      <c r="A1640" s="28"/>
      <c r="B1640" s="29" t="s">
        <v>2685</v>
      </c>
      <c r="C1640" s="30" t="str">
        <f>IFERROR(_xlfn.XLOOKUP(B1640,Insumo[DESCRIPCION],Insumo[UND],,0),"")</f>
        <v>Lt</v>
      </c>
      <c r="D1640" s="31">
        <v>200</v>
      </c>
      <c r="E1640" s="32">
        <f>IFERROR(_xlfn.XLOOKUP($B1640,Insumo[DESCRIPCION],Insumo[VALOR],,0),"")</f>
        <v>27.3</v>
      </c>
      <c r="F1640" s="33"/>
      <c r="G1640" s="34">
        <f>IFERROR(IF(F1640&gt;=0,D1640*E1640*(1+F1640/100),ABS(D1640*E1640/F1640)),"")</f>
        <v>5460</v>
      </c>
      <c r="H1640" s="43">
        <f>IFERROR(G1640*E1637,"")</f>
        <v>0</v>
      </c>
    </row>
    <row r="1641" spans="1:11">
      <c r="A1641" s="28"/>
      <c r="B1641" s="29"/>
      <c r="C1641" s="30" t="str">
        <f>IFERROR(_xlfn.XLOOKUP(B1641,Insumo[DESCRIPCION],Insumo[UND],,0),"")</f>
        <v/>
      </c>
      <c r="D1641" s="31"/>
      <c r="E1641" s="32" t="str">
        <f>IFERROR(_xlfn.XLOOKUP($B1641,Insumo[DESCRIPCION],Insumo[VALOR],,0),"")</f>
        <v/>
      </c>
      <c r="F1641" s="33"/>
      <c r="G1641" s="34" t="str">
        <f>IFERROR(IF(F1641&gt;=0,D1641*E1641*(1+F1641/100),ABS(D1641*E1641/F1641)),"")</f>
        <v/>
      </c>
      <c r="H1641" s="43" t="str">
        <f>IFERROR(G1641*E1637,"")</f>
        <v/>
      </c>
    </row>
    <row r="1642" spans="1:11">
      <c r="A1642" s="28"/>
      <c r="B1642" s="29"/>
      <c r="C1642" s="30" t="str">
        <f>IFERROR(_xlfn.XLOOKUP(B1642,Insumo[DESCRIPCION],Insumo[UND],,0),"")</f>
        <v/>
      </c>
      <c r="D1642" s="31"/>
      <c r="E1642" s="32" t="str">
        <f>IFERROR(_xlfn.XLOOKUP($B1642,Insumo[DESCRIPCION],Insumo[VALOR],,0),"")</f>
        <v/>
      </c>
      <c r="F1642" s="33"/>
      <c r="G1642" s="34" t="str">
        <f>IFERROR(IF(F1642&gt;=0,D1642*E1642*(1+F1642/100),ABS(D1642*E1642/F1642)),"")</f>
        <v/>
      </c>
      <c r="H1642" s="43" t="str">
        <f>IFERROR(G1642*E1637,"")</f>
        <v/>
      </c>
    </row>
    <row r="1643" spans="1:11">
      <c r="A1643" s="28"/>
      <c r="B1643" s="29"/>
      <c r="C1643" s="30" t="str">
        <f>IFERROR(_xlfn.XLOOKUP(B1643,Insumo[DESCRIPCION],Insumo[UND],,0),"")</f>
        <v/>
      </c>
      <c r="D1643" s="31"/>
      <c r="E1643" s="32" t="str">
        <f>IFERROR(_xlfn.XLOOKUP($B1643,Insumo[DESCRIPCION],Insumo[VALOR],,0),"")</f>
        <v/>
      </c>
      <c r="F1643" s="33"/>
      <c r="G1643" s="34" t="str">
        <f>IFERROR(IF(F1643&gt;=0,D1643*E1643*(1+F1643/100),ABS(D1643*E1643/F1643)),"")</f>
        <v/>
      </c>
      <c r="H1643" s="43" t="str">
        <f>IFERROR(G1643*E1637,"")</f>
        <v/>
      </c>
    </row>
    <row r="1644" spans="1:11">
      <c r="A1644" s="28"/>
      <c r="B1644" s="29"/>
      <c r="C1644" s="30" t="str">
        <f>IFERROR(_xlfn.XLOOKUP(B1644,Insumo[DESCRIPCION],Insumo[UND],,0),"")</f>
        <v/>
      </c>
      <c r="D1644" s="31"/>
      <c r="E1644" s="32" t="str">
        <f>IFERROR(_xlfn.XLOOKUP($B1644,Insumo[DESCRIPCION],Insumo[VALOR],,0),"")</f>
        <v/>
      </c>
      <c r="F1644" s="33"/>
      <c r="G1644" s="34" t="str">
        <f>IFERROR(IF(F1644&gt;=0,D1644*E1644*(1+F1644/100),ABS(D1644*E1644/F1644)),"")</f>
        <v/>
      </c>
      <c r="H1644" s="43" t="str">
        <f>IFERROR(G1644*E1637,"")</f>
        <v/>
      </c>
    </row>
    <row r="1645" spans="1:11">
      <c r="A1645" s="21"/>
      <c r="B1645" s="22" t="s">
        <v>3731</v>
      </c>
      <c r="C1645" s="23"/>
      <c r="D1645" s="24"/>
      <c r="E1645" s="25"/>
      <c r="F1645" s="26"/>
      <c r="G1645" s="27">
        <f>SUM(G1646:G1648)</f>
        <v>5497.8</v>
      </c>
      <c r="H1645" s="44">
        <f>G1645*E1637</f>
        <v>0</v>
      </c>
    </row>
    <row r="1646" spans="1:11">
      <c r="A1646" s="28"/>
      <c r="B1646" s="29" t="s">
        <v>3658</v>
      </c>
      <c r="C1646" s="30" t="str">
        <f>IFERROR(_xlfn.XLOOKUP(B1646,Equipo[DESCRIPCION],Equipo[UND],,0),"")</f>
        <v>Día</v>
      </c>
      <c r="D1646" s="31">
        <v>1</v>
      </c>
      <c r="E1646" s="32">
        <f>IF(C1646="%MO",G1652,IFERROR(_xlfn.XLOOKUP($B1646,Equipo[DESCRIPCION],Equipo[VALOR],,0),""))</f>
        <v>82467</v>
      </c>
      <c r="F1646" s="33">
        <v>-15</v>
      </c>
      <c r="G1646" s="34">
        <f>IFERROR(IF(F1646&gt;=0,D1646*E1646*(1+F1646/100),ABS(D1646*E1646/F1646)),"")</f>
        <v>5497.8</v>
      </c>
      <c r="H1646" s="43">
        <f>IFERROR(G1646*E1637,"")</f>
        <v>0</v>
      </c>
    </row>
    <row r="1647" spans="1:11">
      <c r="A1647" s="28"/>
      <c r="B1647" s="29"/>
      <c r="C1647" s="30" t="str">
        <f>IFERROR(_xlfn.XLOOKUP(B1647,Equipo[DESCRIPCION],Equipo[UND],,0),"")</f>
        <v/>
      </c>
      <c r="D1647" s="31"/>
      <c r="E1647" s="32" t="str">
        <f>IF(C1647="%MO",G1652,IFERROR(_xlfn.XLOOKUP($B1647,Equipo[DESCRIPCION],Equipo[VALOR],,0),""))</f>
        <v/>
      </c>
      <c r="F1647" s="33"/>
      <c r="G1647" s="34" t="str">
        <f>IFERROR(IF(F1647&gt;=0,D1647*E1647*(1+F1647/100),ABS(D1647*E1647/F1647)),"")</f>
        <v/>
      </c>
      <c r="H1647" s="43" t="str">
        <f>IFERROR(G1647*E1637,"")</f>
        <v/>
      </c>
    </row>
    <row r="1648" spans="1:11">
      <c r="A1648" s="28"/>
      <c r="B1648" s="29"/>
      <c r="C1648" s="30" t="str">
        <f>IFERROR(_xlfn.XLOOKUP(B1648,Equipo[DESCRIPCION],Equipo[UND],,0),"")</f>
        <v/>
      </c>
      <c r="D1648" s="31"/>
      <c r="E1648" s="32" t="str">
        <f>IF(C1648="%MO",G1652,IFERROR(_xlfn.XLOOKUP($B1648,Equipo[DESCRIPCION],Equipo[VALOR],,0),""))</f>
        <v/>
      </c>
      <c r="F1648" s="33"/>
      <c r="G1648" s="34" t="str">
        <f>IFERROR(IF(F1648&gt;=0,D1648*E1648*(1+F1648/100),ABS(D1648*E1648/F1648)),"")</f>
        <v/>
      </c>
      <c r="H1648" s="43" t="str">
        <f>IFERROR(G1648*E1637,"")</f>
        <v/>
      </c>
    </row>
    <row r="1649" spans="1:11">
      <c r="A1649" s="21"/>
      <c r="B1649" s="22" t="s">
        <v>2533</v>
      </c>
      <c r="C1649" s="23"/>
      <c r="D1649" s="24"/>
      <c r="E1649" s="25"/>
      <c r="F1649" s="26"/>
      <c r="G1649" s="27">
        <f>SUM(G1650:G1651)</f>
        <v>0</v>
      </c>
      <c r="H1649" s="44">
        <f>G1649*E1637</f>
        <v>0</v>
      </c>
    </row>
    <row r="1650" spans="1:11">
      <c r="A1650" s="28"/>
      <c r="B1650" s="29"/>
      <c r="C1650" s="30" t="str">
        <f>IFERROR(_xlfn.XLOOKUP(B1650,Transporte[DESCRIPCION],Transporte[UND],,0),"")</f>
        <v/>
      </c>
      <c r="D1650" s="31"/>
      <c r="E1650" s="32" t="str">
        <f>IFERROR(_xlfn.XLOOKUP($B1650,Transporte[DESCRIPCION],Transporte[VALOR],,0),"")</f>
        <v/>
      </c>
      <c r="F1650" s="33"/>
      <c r="G1650" s="34" t="str">
        <f>IFERROR(IF(F1650&gt;=0,D1650*E1650*(1+F1650/100),ABS(D1650*E1650/F1650)),"")</f>
        <v/>
      </c>
      <c r="H1650" s="43" t="str">
        <f>IFERROR(G1650*E1637,"")</f>
        <v/>
      </c>
    </row>
    <row r="1651" spans="1:11">
      <c r="A1651" s="28"/>
      <c r="B1651" s="29"/>
      <c r="C1651" s="30" t="str">
        <f>IFERROR(_xlfn.XLOOKUP(B1651,Transporte[DESCRIPCION],Transporte[UND],,0),"")</f>
        <v/>
      </c>
      <c r="D1651" s="31"/>
      <c r="E1651" s="32" t="str">
        <f>IFERROR(_xlfn.XLOOKUP($B1651,Transporte[DESCRIPCION],Transporte[VALOR],,0),"")</f>
        <v/>
      </c>
      <c r="F1651" s="33"/>
      <c r="G1651" s="34" t="str">
        <f>IFERROR(IF(F1651&gt;=0,D1651*E1651*(1+F1651/100),ABS(D1651*E1651/F1651)),"")</f>
        <v/>
      </c>
      <c r="H1651" s="43" t="str">
        <f>IFERROR(G1651*E1637,"")</f>
        <v/>
      </c>
    </row>
    <row r="1652" spans="1:11">
      <c r="A1652" s="21"/>
      <c r="B1652" s="22" t="s">
        <v>3732</v>
      </c>
      <c r="C1652" s="23"/>
      <c r="D1652" s="24"/>
      <c r="E1652" s="25"/>
      <c r="F1652" s="26"/>
      <c r="G1652" s="27">
        <f>SUM(G1653:G1655)</f>
        <v>27363.639429750008</v>
      </c>
      <c r="H1652" s="44">
        <f>G1652*E1637</f>
        <v>0</v>
      </c>
    </row>
    <row r="1653" spans="1:11">
      <c r="A1653" s="28"/>
      <c r="B1653" s="29" t="s">
        <v>3712</v>
      </c>
      <c r="C1653" s="30" t="str">
        <f>IFERROR(_xlfn.XLOOKUP(B1653,MObra[DESCRIPCION],MObra[UN],,0),"")</f>
        <v>día</v>
      </c>
      <c r="D1653" s="31">
        <v>1</v>
      </c>
      <c r="E1653" s="32">
        <f>IFERROR(_xlfn.XLOOKUP($B1653,MObra[DESCRIPCION],MObra[VALOR UNIT],,0),"")</f>
        <v>547272.78859500017</v>
      </c>
      <c r="F1653" s="33">
        <v>-20</v>
      </c>
      <c r="G1653" s="34">
        <f>IFERROR(IF(F1653&gt;=0,D1653*E1653*(1+F1653/100),ABS(D1653*E1653/F1653)),"")</f>
        <v>27363.639429750008</v>
      </c>
      <c r="H1653" s="43">
        <f>IFERROR(G1653*E1637,"")</f>
        <v>0</v>
      </c>
    </row>
    <row r="1654" spans="1:11">
      <c r="A1654" s="28"/>
      <c r="B1654" s="29"/>
      <c r="C1654" s="30" t="str">
        <f>IFERROR(_xlfn.XLOOKUP(B1654,MObra[DESCRIPCION],MObra[UN],,0),"")</f>
        <v/>
      </c>
      <c r="D1654" s="31"/>
      <c r="E1654" s="32" t="str">
        <f>IFERROR(_xlfn.XLOOKUP($B1654,MObra[DESCRIPCION],MObra[VALOR UNIT],,0),"")</f>
        <v/>
      </c>
      <c r="F1654" s="33"/>
      <c r="G1654" s="34" t="str">
        <f>IFERROR(IF(F1654&gt;=0,D1654*E1654*(1+F1654/100),ABS(D1654*E1654/F1654)),"")</f>
        <v/>
      </c>
      <c r="H1654" s="43" t="str">
        <f>IFERROR(G1654*E1637,"")</f>
        <v/>
      </c>
    </row>
    <row r="1655" spans="1:11" ht="13.15" thickBot="1">
      <c r="A1655" s="35"/>
      <c r="B1655" s="36"/>
      <c r="C1655" s="37" t="str">
        <f>IFERROR(_xlfn.XLOOKUP(B1655,MObra[DESCRIPCION],MObra[UN],,0),"")</f>
        <v/>
      </c>
      <c r="D1655" s="38"/>
      <c r="E1655" s="39" t="str">
        <f>IFERROR(_xlfn.XLOOKUP($B1655,MObra[DESCRIPCION],MObra[VALOR UNIT],,0),"")</f>
        <v/>
      </c>
      <c r="F1655" s="40"/>
      <c r="G1655" s="41" t="str">
        <f>IFERROR(IF(F1655&gt;=0,D1655*E1655*(1+F1655/100),ABS(D1655*E1655/F1655)),"")</f>
        <v/>
      </c>
      <c r="H1655" s="42" t="str">
        <f>IFERROR(G1655*E1637,"")</f>
        <v/>
      </c>
    </row>
    <row r="1656" spans="1:11" ht="13.5" thickTop="1" thickBot="1"/>
    <row r="1657" spans="1:11" ht="13.5" thickTop="1" thickBot="1">
      <c r="A1657" s="6" t="s">
        <v>1890</v>
      </c>
      <c r="B1657" s="7" t="str">
        <f>VLOOKUP($A1657,Presupuesto!$A:$D,2,FALSE())</f>
        <v>Afirmado riego + compactación mecánica</v>
      </c>
      <c r="C1657" s="8" t="str">
        <f>VLOOKUP($A1657,Presupuesto!$A:$D,3,FALSE())</f>
        <v>M3</v>
      </c>
      <c r="D1657" s="9"/>
      <c r="E1657" s="10">
        <f>VLOOKUP($A1657,Presupuesto!$A:$D,4,FALSE())</f>
        <v>0</v>
      </c>
      <c r="F1657" s="11" t="s">
        <v>2589</v>
      </c>
      <c r="G1657" s="12">
        <f>SUM(G1659:G1675)/2</f>
        <v>28120.738786500006</v>
      </c>
      <c r="H1657" s="13">
        <f>ROUND(SUM(H1659:H1675),0)/2</f>
        <v>0</v>
      </c>
      <c r="I1657" s="10">
        <f>VLOOKUP(A1657,Presupuesto!$A:$F,6,0)</f>
        <v>0</v>
      </c>
      <c r="J1657" s="10">
        <f>+H1657-I1657</f>
        <v>0</v>
      </c>
      <c r="K1657" s="46">
        <f>+H1657-G1657*E1657</f>
        <v>0</v>
      </c>
    </row>
    <row r="1658" spans="1:11" ht="13.15" thickTop="1">
      <c r="A1658" s="14"/>
      <c r="B1658" s="15" t="s">
        <v>2586</v>
      </c>
      <c r="C1658" s="15" t="s">
        <v>5</v>
      </c>
      <c r="D1658" s="16" t="s">
        <v>6</v>
      </c>
      <c r="E1658" s="17" t="s">
        <v>7</v>
      </c>
      <c r="F1658" s="18" t="s">
        <v>3728</v>
      </c>
      <c r="G1658" s="19" t="s">
        <v>3729</v>
      </c>
      <c r="H1658" s="20" t="s">
        <v>3797</v>
      </c>
    </row>
    <row r="1659" spans="1:11">
      <c r="A1659" s="21"/>
      <c r="B1659" s="22" t="s">
        <v>3730</v>
      </c>
      <c r="C1659" s="23"/>
      <c r="D1659" s="24"/>
      <c r="E1659" s="25"/>
      <c r="F1659" s="26"/>
      <c r="G1659" s="27">
        <f>SUM(G1660:G1664)</f>
        <v>5460</v>
      </c>
      <c r="H1659" s="27">
        <f>IFERROR(G1659*E1657,"")</f>
        <v>0</v>
      </c>
    </row>
    <row r="1660" spans="1:11">
      <c r="A1660" s="28"/>
      <c r="B1660" s="29" t="s">
        <v>2685</v>
      </c>
      <c r="C1660" s="30" t="str">
        <f>IFERROR(_xlfn.XLOOKUP(B1660,Insumo[DESCRIPCION],Insumo[UND],,0),"")</f>
        <v>Lt</v>
      </c>
      <c r="D1660" s="31">
        <v>200</v>
      </c>
      <c r="E1660" s="32">
        <f>IFERROR(_xlfn.XLOOKUP($B1660,Insumo[DESCRIPCION],Insumo[VALOR],,0),"")</f>
        <v>27.3</v>
      </c>
      <c r="F1660" s="33"/>
      <c r="G1660" s="34">
        <f>IFERROR(IF(F1660&gt;=0,D1660*E1660*(1+F1660/100),ABS(D1660*E1660/F1660)),"")</f>
        <v>5460</v>
      </c>
      <c r="H1660" s="43">
        <f>IFERROR(G1660*E1657,"")</f>
        <v>0</v>
      </c>
    </row>
    <row r="1661" spans="1:11">
      <c r="A1661" s="28"/>
      <c r="B1661" s="29"/>
      <c r="C1661" s="30" t="str">
        <f>IFERROR(_xlfn.XLOOKUP(B1661,Insumo[DESCRIPCION],Insumo[UND],,0),"")</f>
        <v/>
      </c>
      <c r="D1661" s="31"/>
      <c r="E1661" s="32" t="str">
        <f>IFERROR(_xlfn.XLOOKUP($B1661,Insumo[DESCRIPCION],Insumo[VALOR],,0),"")</f>
        <v/>
      </c>
      <c r="F1661" s="33"/>
      <c r="G1661" s="34" t="str">
        <f>IFERROR(IF(F1661&gt;=0,D1661*E1661*(1+F1661/100),ABS(D1661*E1661/F1661)),"")</f>
        <v/>
      </c>
      <c r="H1661" s="43" t="str">
        <f>IFERROR(G1661*E1657,"")</f>
        <v/>
      </c>
    </row>
    <row r="1662" spans="1:11">
      <c r="A1662" s="28"/>
      <c r="B1662" s="29"/>
      <c r="C1662" s="30" t="str">
        <f>IFERROR(_xlfn.XLOOKUP(B1662,Insumo[DESCRIPCION],Insumo[UND],,0),"")</f>
        <v/>
      </c>
      <c r="D1662" s="31"/>
      <c r="E1662" s="32" t="str">
        <f>IFERROR(_xlfn.XLOOKUP($B1662,Insumo[DESCRIPCION],Insumo[VALOR],,0),"")</f>
        <v/>
      </c>
      <c r="F1662" s="33"/>
      <c r="G1662" s="34" t="str">
        <f>IFERROR(IF(F1662&gt;=0,D1662*E1662*(1+F1662/100),ABS(D1662*E1662/F1662)),"")</f>
        <v/>
      </c>
      <c r="H1662" s="43" t="str">
        <f>IFERROR(G1662*E1657,"")</f>
        <v/>
      </c>
    </row>
    <row r="1663" spans="1:11">
      <c r="A1663" s="28"/>
      <c r="B1663" s="29"/>
      <c r="C1663" s="30" t="str">
        <f>IFERROR(_xlfn.XLOOKUP(B1663,Insumo[DESCRIPCION],Insumo[UND],,0),"")</f>
        <v/>
      </c>
      <c r="D1663" s="31"/>
      <c r="E1663" s="32" t="str">
        <f>IFERROR(_xlfn.XLOOKUP($B1663,Insumo[DESCRIPCION],Insumo[VALOR],,0),"")</f>
        <v/>
      </c>
      <c r="F1663" s="33"/>
      <c r="G1663" s="34" t="str">
        <f>IFERROR(IF(F1663&gt;=0,D1663*E1663*(1+F1663/100),ABS(D1663*E1663/F1663)),"")</f>
        <v/>
      </c>
      <c r="H1663" s="43" t="str">
        <f>IFERROR(G1663*E1657,"")</f>
        <v/>
      </c>
    </row>
    <row r="1664" spans="1:11">
      <c r="A1664" s="28"/>
      <c r="B1664" s="29"/>
      <c r="C1664" s="30" t="str">
        <f>IFERROR(_xlfn.XLOOKUP(B1664,Insumo[DESCRIPCION],Insumo[UND],,0),"")</f>
        <v/>
      </c>
      <c r="D1664" s="31"/>
      <c r="E1664" s="32" t="str">
        <f>IFERROR(_xlfn.XLOOKUP($B1664,Insumo[DESCRIPCION],Insumo[VALOR],,0),"")</f>
        <v/>
      </c>
      <c r="F1664" s="33"/>
      <c r="G1664" s="34" t="str">
        <f>IFERROR(IF(F1664&gt;=0,D1664*E1664*(1+F1664/100),ABS(D1664*E1664/F1664)),"")</f>
        <v/>
      </c>
      <c r="H1664" s="43" t="str">
        <f>IFERROR(G1664*E1657,"")</f>
        <v/>
      </c>
    </row>
    <row r="1665" spans="1:11">
      <c r="A1665" s="21"/>
      <c r="B1665" s="22" t="s">
        <v>3731</v>
      </c>
      <c r="C1665" s="23"/>
      <c r="D1665" s="24"/>
      <c r="E1665" s="25"/>
      <c r="F1665" s="26"/>
      <c r="G1665" s="27">
        <f>SUM(G1666:G1668)</f>
        <v>4418.3125</v>
      </c>
      <c r="H1665" s="44">
        <f>G1665*E1657</f>
        <v>0</v>
      </c>
    </row>
    <row r="1666" spans="1:11">
      <c r="A1666" s="28"/>
      <c r="B1666" s="29" t="s">
        <v>3592</v>
      </c>
      <c r="C1666" s="30" t="str">
        <f>IFERROR(_xlfn.XLOOKUP(B1666,Equipo[DESCRIPCION],Equipo[UND],,0),"")</f>
        <v>Hr</v>
      </c>
      <c r="D1666" s="31">
        <v>1</v>
      </c>
      <c r="E1666" s="32">
        <f>IF(C1666="%MO",G1672,IFERROR(_xlfn.XLOOKUP($B1666,Equipo[DESCRIPCION],Equipo[VALOR],,0),""))</f>
        <v>115500</v>
      </c>
      <c r="F1666" s="33">
        <v>-30</v>
      </c>
      <c r="G1666" s="34">
        <f>IFERROR(IF(F1666&gt;=0,D1666*E1666*(1+F1666/100),ABS(D1666*E1666/F1666)),"")</f>
        <v>3850</v>
      </c>
      <c r="H1666" s="43">
        <f>IFERROR(G1666*E1657,"")</f>
        <v>0</v>
      </c>
    </row>
    <row r="1667" spans="1:11">
      <c r="A1667" s="28"/>
      <c r="B1667" s="29" t="s">
        <v>3588</v>
      </c>
      <c r="C1667" s="30" t="str">
        <f>IFERROR(_xlfn.XLOOKUP(B1667,Equipo[DESCRIPCION],Equipo[UND],,0),"")</f>
        <v>Hr</v>
      </c>
      <c r="D1667" s="31">
        <v>1</v>
      </c>
      <c r="E1667" s="32">
        <f>IF(C1667="%MO",G1672,IFERROR(_xlfn.XLOOKUP($B1667,Equipo[DESCRIPCION],Equipo[VALOR],,0),""))</f>
        <v>170493.75</v>
      </c>
      <c r="F1667" s="33">
        <v>-300</v>
      </c>
      <c r="G1667" s="34">
        <f>IFERROR(IF(F1667&gt;=0,D1667*E1667*(1+F1667/100),ABS(D1667*E1667/F1667)),"")</f>
        <v>568.3125</v>
      </c>
      <c r="H1667" s="43">
        <f>IFERROR(G1667*E1657,"")</f>
        <v>0</v>
      </c>
    </row>
    <row r="1668" spans="1:11">
      <c r="A1668" s="28"/>
      <c r="B1668" s="29"/>
      <c r="C1668" s="30" t="str">
        <f>IFERROR(_xlfn.XLOOKUP(B1668,Equipo[DESCRIPCION],Equipo[UND],,0),"")</f>
        <v/>
      </c>
      <c r="D1668" s="31"/>
      <c r="E1668" s="32" t="str">
        <f>IF(C1668="%MO",G1672,IFERROR(_xlfn.XLOOKUP($B1668,Equipo[DESCRIPCION],Equipo[VALOR],,0),""))</f>
        <v/>
      </c>
      <c r="F1668" s="33"/>
      <c r="G1668" s="34" t="str">
        <f>IFERROR(IF(F1668&gt;=0,D1668*E1668*(1+F1668/100),ABS(D1668*E1668/F1668)),"")</f>
        <v/>
      </c>
      <c r="H1668" s="43" t="str">
        <f>IFERROR(G1668*E1657,"")</f>
        <v/>
      </c>
    </row>
    <row r="1669" spans="1:11">
      <c r="A1669" s="21"/>
      <c r="B1669" s="22" t="s">
        <v>2533</v>
      </c>
      <c r="C1669" s="23"/>
      <c r="D1669" s="24"/>
      <c r="E1669" s="25"/>
      <c r="F1669" s="26"/>
      <c r="G1669" s="27">
        <f>SUM(G1670:G1671)</f>
        <v>0</v>
      </c>
      <c r="H1669" s="44">
        <f>G1669*E1657</f>
        <v>0</v>
      </c>
    </row>
    <row r="1670" spans="1:11">
      <c r="A1670" s="28"/>
      <c r="B1670" s="29"/>
      <c r="C1670" s="30" t="str">
        <f>IFERROR(_xlfn.XLOOKUP(B1670,Transporte[DESCRIPCION],Transporte[UND],,0),"")</f>
        <v/>
      </c>
      <c r="D1670" s="31"/>
      <c r="E1670" s="32" t="str">
        <f>IFERROR(_xlfn.XLOOKUP($B1670,Transporte[DESCRIPCION],Transporte[VALOR],,0),"")</f>
        <v/>
      </c>
      <c r="F1670" s="33"/>
      <c r="G1670" s="34" t="str">
        <f>IFERROR(IF(F1670&gt;=0,D1670*E1670*(1+F1670/100),ABS(D1670*E1670/F1670)),"")</f>
        <v/>
      </c>
      <c r="H1670" s="43" t="str">
        <f>IFERROR(G1670*E1657,"")</f>
        <v/>
      </c>
    </row>
    <row r="1671" spans="1:11">
      <c r="A1671" s="28"/>
      <c r="B1671" s="29"/>
      <c r="C1671" s="30" t="str">
        <f>IFERROR(_xlfn.XLOOKUP(B1671,Transporte[DESCRIPCION],Transporte[UND],,0),"")</f>
        <v/>
      </c>
      <c r="D1671" s="31"/>
      <c r="E1671" s="32" t="str">
        <f>IFERROR(_xlfn.XLOOKUP($B1671,Transporte[DESCRIPCION],Transporte[VALOR],,0),"")</f>
        <v/>
      </c>
      <c r="F1671" s="33"/>
      <c r="G1671" s="34" t="str">
        <f>IFERROR(IF(F1671&gt;=0,D1671*E1671*(1+F1671/100),ABS(D1671*E1671/F1671)),"")</f>
        <v/>
      </c>
      <c r="H1671" s="43" t="str">
        <f>IFERROR(G1671*E1657,"")</f>
        <v/>
      </c>
    </row>
    <row r="1672" spans="1:11">
      <c r="A1672" s="21"/>
      <c r="B1672" s="22" t="s">
        <v>3732</v>
      </c>
      <c r="C1672" s="23"/>
      <c r="D1672" s="24"/>
      <c r="E1672" s="25"/>
      <c r="F1672" s="26"/>
      <c r="G1672" s="27">
        <f>SUM(G1673:G1675)</f>
        <v>18242.426286500006</v>
      </c>
      <c r="H1672" s="44">
        <f>G1672*E1657</f>
        <v>0</v>
      </c>
    </row>
    <row r="1673" spans="1:11">
      <c r="A1673" s="28"/>
      <c r="B1673" s="29" t="s">
        <v>3712</v>
      </c>
      <c r="C1673" s="30" t="str">
        <f>IFERROR(_xlfn.XLOOKUP(B1673,MObra[DESCRIPCION],MObra[UN],,0),"")</f>
        <v>día</v>
      </c>
      <c r="D1673" s="31">
        <v>1</v>
      </c>
      <c r="E1673" s="32">
        <f>IFERROR(_xlfn.XLOOKUP($B1673,MObra[DESCRIPCION],MObra[VALOR UNIT],,0),"")</f>
        <v>547272.78859500017</v>
      </c>
      <c r="F1673" s="33">
        <v>-30</v>
      </c>
      <c r="G1673" s="34">
        <f>IFERROR(IF(F1673&gt;=0,D1673*E1673*(1+F1673/100),ABS(D1673*E1673/F1673)),"")</f>
        <v>18242.426286500006</v>
      </c>
      <c r="H1673" s="43">
        <f>IFERROR(G1673*E1657,"")</f>
        <v>0</v>
      </c>
    </row>
    <row r="1674" spans="1:11">
      <c r="A1674" s="28"/>
      <c r="B1674" s="29"/>
      <c r="C1674" s="30" t="str">
        <f>IFERROR(_xlfn.XLOOKUP(B1674,MObra[DESCRIPCION],MObra[UN],,0),"")</f>
        <v/>
      </c>
      <c r="D1674" s="31"/>
      <c r="E1674" s="32" t="str">
        <f>IFERROR(_xlfn.XLOOKUP($B1674,MObra[DESCRIPCION],MObra[VALOR UNIT],,0),"")</f>
        <v/>
      </c>
      <c r="F1674" s="33"/>
      <c r="G1674" s="34" t="str">
        <f>IFERROR(IF(F1674&gt;=0,D1674*E1674*(1+F1674/100),ABS(D1674*E1674/F1674)),"")</f>
        <v/>
      </c>
      <c r="H1674" s="43" t="str">
        <f>IFERROR(G1674*E1657,"")</f>
        <v/>
      </c>
    </row>
    <row r="1675" spans="1:11" ht="13.15" thickBot="1">
      <c r="A1675" s="35"/>
      <c r="B1675" s="36"/>
      <c r="C1675" s="37" t="str">
        <f>IFERROR(_xlfn.XLOOKUP(B1675,MObra[DESCRIPCION],MObra[UN],,0),"")</f>
        <v/>
      </c>
      <c r="D1675" s="38"/>
      <c r="E1675" s="39" t="str">
        <f>IFERROR(_xlfn.XLOOKUP($B1675,MObra[DESCRIPCION],MObra[VALOR UNIT],,0),"")</f>
        <v/>
      </c>
      <c r="F1675" s="40"/>
      <c r="G1675" s="41" t="str">
        <f>IFERROR(IF(F1675&gt;=0,D1675*E1675*(1+F1675/100),ABS(D1675*E1675/F1675)),"")</f>
        <v/>
      </c>
      <c r="H1675" s="42" t="str">
        <f>IFERROR(G1675*E1657,"")</f>
        <v/>
      </c>
    </row>
    <row r="1676" spans="1:11" ht="13.5" thickTop="1" thickBot="1"/>
    <row r="1677" spans="1:11" ht="13.5" thickTop="1" thickBot="1">
      <c r="A1677" s="6" t="s">
        <v>1892</v>
      </c>
      <c r="B1677" s="7" t="str">
        <f>VLOOKUP($A1677,Presupuesto!$A:$D,2,FALSE())</f>
        <v>Afirmado suministro + transporte + riego +compactación manual</v>
      </c>
      <c r="C1677" s="8" t="str">
        <f>VLOOKUP($A1677,Presupuesto!$A:$D,3,FALSE())</f>
        <v>M3</v>
      </c>
      <c r="D1677" s="9"/>
      <c r="E1677" s="10">
        <f>VLOOKUP($A1677,Presupuesto!$A:$D,4,FALSE())</f>
        <v>0</v>
      </c>
      <c r="F1677" s="11" t="s">
        <v>2589</v>
      </c>
      <c r="G1677" s="12">
        <f>SUM(G1679:G1695)/2</f>
        <v>167808.06942975003</v>
      </c>
      <c r="H1677" s="13">
        <f>ROUND(SUM(H1679:H1695),0)/2</f>
        <v>0</v>
      </c>
      <c r="I1677" s="10">
        <f>VLOOKUP(A1677,Presupuesto!$A:$F,6,0)</f>
        <v>0</v>
      </c>
      <c r="J1677" s="10">
        <f>+H1677-I1677</f>
        <v>0</v>
      </c>
      <c r="K1677" s="46">
        <f>+H1677-G1677*E1677</f>
        <v>0</v>
      </c>
    </row>
    <row r="1678" spans="1:11" ht="13.15" thickTop="1">
      <c r="A1678" s="14"/>
      <c r="B1678" s="15" t="s">
        <v>2586</v>
      </c>
      <c r="C1678" s="15" t="s">
        <v>5</v>
      </c>
      <c r="D1678" s="16" t="s">
        <v>6</v>
      </c>
      <c r="E1678" s="17" t="s">
        <v>7</v>
      </c>
      <c r="F1678" s="18" t="s">
        <v>3728</v>
      </c>
      <c r="G1678" s="19" t="s">
        <v>3729</v>
      </c>
      <c r="H1678" s="20" t="s">
        <v>3797</v>
      </c>
    </row>
    <row r="1679" spans="1:11">
      <c r="A1679" s="21"/>
      <c r="B1679" s="22" t="s">
        <v>3730</v>
      </c>
      <c r="C1679" s="23"/>
      <c r="D1679" s="24"/>
      <c r="E1679" s="25"/>
      <c r="F1679" s="26"/>
      <c r="G1679" s="27">
        <f>SUM(G1680:G1684)</f>
        <v>75118.680000000008</v>
      </c>
      <c r="H1679" s="27">
        <f>IFERROR(G1679*E1677,"")</f>
        <v>0</v>
      </c>
    </row>
    <row r="1680" spans="1:11">
      <c r="A1680" s="28"/>
      <c r="B1680" s="29" t="s">
        <v>2683</v>
      </c>
      <c r="C1680" s="30" t="str">
        <f>IFERROR(_xlfn.XLOOKUP(B1680,Insumo[DESCRIPCION],Insumo[UND],,0),"")</f>
        <v>M3</v>
      </c>
      <c r="D1680" s="31">
        <v>1</v>
      </c>
      <c r="E1680" s="32">
        <f>IFERROR(_xlfn.XLOOKUP($B1680,Insumo[DESCRIPCION],Insumo[VALOR],,0),"")</f>
        <v>53583.600000000006</v>
      </c>
      <c r="F1680" s="33">
        <v>30</v>
      </c>
      <c r="G1680" s="34">
        <f>IFERROR(IF(F1680&gt;=0,D1680*E1680*(1+F1680/100),ABS(D1680*E1680/F1680)),"")</f>
        <v>69658.680000000008</v>
      </c>
      <c r="H1680" s="43">
        <f>IFERROR(G1680*E1677,"")</f>
        <v>0</v>
      </c>
    </row>
    <row r="1681" spans="1:8">
      <c r="A1681" s="28"/>
      <c r="B1681" s="29" t="s">
        <v>2685</v>
      </c>
      <c r="C1681" s="30" t="str">
        <f>IFERROR(_xlfn.XLOOKUP(B1681,Insumo[DESCRIPCION],Insumo[UND],,0),"")</f>
        <v>Lt</v>
      </c>
      <c r="D1681" s="31">
        <v>200</v>
      </c>
      <c r="E1681" s="32">
        <f>IFERROR(_xlfn.XLOOKUP($B1681,Insumo[DESCRIPCION],Insumo[VALOR],,0),"")</f>
        <v>27.3</v>
      </c>
      <c r="F1681" s="33"/>
      <c r="G1681" s="34">
        <f>IFERROR(IF(F1681&gt;=0,D1681*E1681*(1+F1681/100),ABS(D1681*E1681/F1681)),"")</f>
        <v>5460</v>
      </c>
      <c r="H1681" s="43">
        <f>IFERROR(G1681*E1677,"")</f>
        <v>0</v>
      </c>
    </row>
    <row r="1682" spans="1:8">
      <c r="A1682" s="28"/>
      <c r="B1682" s="29"/>
      <c r="C1682" s="30" t="str">
        <f>IFERROR(_xlfn.XLOOKUP(B1682,Insumo[DESCRIPCION],Insumo[UND],,0),"")</f>
        <v/>
      </c>
      <c r="D1682" s="31"/>
      <c r="E1682" s="32" t="str">
        <f>IFERROR(_xlfn.XLOOKUP($B1682,Insumo[DESCRIPCION],Insumo[VALOR],,0),"")</f>
        <v/>
      </c>
      <c r="F1682" s="33"/>
      <c r="G1682" s="34" t="str">
        <f>IFERROR(IF(F1682&gt;=0,D1682*E1682*(1+F1682/100),ABS(D1682*E1682/F1682)),"")</f>
        <v/>
      </c>
      <c r="H1682" s="43" t="str">
        <f>IFERROR(G1682*E1677,"")</f>
        <v/>
      </c>
    </row>
    <row r="1683" spans="1:8">
      <c r="A1683" s="28"/>
      <c r="B1683" s="29"/>
      <c r="C1683" s="30" t="str">
        <f>IFERROR(_xlfn.XLOOKUP(B1683,Insumo[DESCRIPCION],Insumo[UND],,0),"")</f>
        <v/>
      </c>
      <c r="D1683" s="31"/>
      <c r="E1683" s="32" t="str">
        <f>IFERROR(_xlfn.XLOOKUP($B1683,Insumo[DESCRIPCION],Insumo[VALOR],,0),"")</f>
        <v/>
      </c>
      <c r="F1683" s="33"/>
      <c r="G1683" s="34" t="str">
        <f>IFERROR(IF(F1683&gt;=0,D1683*E1683*(1+F1683/100),ABS(D1683*E1683/F1683)),"")</f>
        <v/>
      </c>
      <c r="H1683" s="43" t="str">
        <f>IFERROR(G1683*E1677,"")</f>
        <v/>
      </c>
    </row>
    <row r="1684" spans="1:8">
      <c r="A1684" s="28"/>
      <c r="B1684" s="29"/>
      <c r="C1684" s="30" t="str">
        <f>IFERROR(_xlfn.XLOOKUP(B1684,Insumo[DESCRIPCION],Insumo[UND],,0),"")</f>
        <v/>
      </c>
      <c r="D1684" s="31"/>
      <c r="E1684" s="32" t="str">
        <f>IFERROR(_xlfn.XLOOKUP($B1684,Insumo[DESCRIPCION],Insumo[VALOR],,0),"")</f>
        <v/>
      </c>
      <c r="F1684" s="33"/>
      <c r="G1684" s="34" t="str">
        <f>IFERROR(IF(F1684&gt;=0,D1684*E1684*(1+F1684/100),ABS(D1684*E1684/F1684)),"")</f>
        <v/>
      </c>
      <c r="H1684" s="43" t="str">
        <f>IFERROR(G1684*E1677,"")</f>
        <v/>
      </c>
    </row>
    <row r="1685" spans="1:8">
      <c r="A1685" s="21"/>
      <c r="B1685" s="22" t="s">
        <v>3731</v>
      </c>
      <c r="C1685" s="23"/>
      <c r="D1685" s="24"/>
      <c r="E1685" s="25"/>
      <c r="F1685" s="26"/>
      <c r="G1685" s="27">
        <f>SUM(G1686:G1688)</f>
        <v>5497.8</v>
      </c>
      <c r="H1685" s="44">
        <f>G1685*E1677</f>
        <v>0</v>
      </c>
    </row>
    <row r="1686" spans="1:8">
      <c r="A1686" s="28"/>
      <c r="B1686" s="29" t="s">
        <v>3658</v>
      </c>
      <c r="C1686" s="30" t="str">
        <f>IFERROR(_xlfn.XLOOKUP(B1686,Equipo[DESCRIPCION],Equipo[UND],,0),"")</f>
        <v>Día</v>
      </c>
      <c r="D1686" s="31">
        <v>1</v>
      </c>
      <c r="E1686" s="32">
        <f>IF(C1686="%MO",G1692,IFERROR(_xlfn.XLOOKUP($B1686,Equipo[DESCRIPCION],Equipo[VALOR],,0),""))</f>
        <v>82467</v>
      </c>
      <c r="F1686" s="33">
        <v>-15</v>
      </c>
      <c r="G1686" s="34">
        <f>IFERROR(IF(F1686&gt;=0,D1686*E1686*(1+F1686/100),ABS(D1686*E1686/F1686)),"")</f>
        <v>5497.8</v>
      </c>
      <c r="H1686" s="43">
        <f>IFERROR(G1686*E1677,"")</f>
        <v>0</v>
      </c>
    </row>
    <row r="1687" spans="1:8">
      <c r="A1687" s="28"/>
      <c r="B1687" s="29"/>
      <c r="C1687" s="30" t="str">
        <f>IFERROR(_xlfn.XLOOKUP(B1687,Equipo[DESCRIPCION],Equipo[UND],,0),"")</f>
        <v/>
      </c>
      <c r="D1687" s="31"/>
      <c r="E1687" s="32" t="str">
        <f>IF(C1687="%MO",G1692,IFERROR(_xlfn.XLOOKUP($B1687,Equipo[DESCRIPCION],Equipo[VALOR],,0),""))</f>
        <v/>
      </c>
      <c r="F1687" s="33"/>
      <c r="G1687" s="34" t="str">
        <f>IFERROR(IF(F1687&gt;=0,D1687*E1687*(1+F1687/100),ABS(D1687*E1687/F1687)),"")</f>
        <v/>
      </c>
      <c r="H1687" s="43" t="str">
        <f>IFERROR(G1687*E1677,"")</f>
        <v/>
      </c>
    </row>
    <row r="1688" spans="1:8">
      <c r="A1688" s="28"/>
      <c r="B1688" s="29"/>
      <c r="C1688" s="30" t="str">
        <f>IFERROR(_xlfn.XLOOKUP(B1688,Equipo[DESCRIPCION],Equipo[UND],,0),"")</f>
        <v/>
      </c>
      <c r="D1688" s="31"/>
      <c r="E1688" s="32" t="str">
        <f>IF(C1688="%MO",G1692,IFERROR(_xlfn.XLOOKUP($B1688,Equipo[DESCRIPCION],Equipo[VALOR],,0),""))</f>
        <v/>
      </c>
      <c r="F1688" s="33"/>
      <c r="G1688" s="34" t="str">
        <f>IFERROR(IF(F1688&gt;=0,D1688*E1688*(1+F1688/100),ABS(D1688*E1688/F1688)),"")</f>
        <v/>
      </c>
      <c r="H1688" s="43" t="str">
        <f>IFERROR(G1688*E1677,"")</f>
        <v/>
      </c>
    </row>
    <row r="1689" spans="1:8">
      <c r="A1689" s="21"/>
      <c r="B1689" s="22" t="s">
        <v>2533</v>
      </c>
      <c r="C1689" s="23"/>
      <c r="D1689" s="24"/>
      <c r="E1689" s="25"/>
      <c r="F1689" s="26"/>
      <c r="G1689" s="27">
        <f>SUM(G1690:G1691)</f>
        <v>59827.95</v>
      </c>
      <c r="H1689" s="44">
        <f>G1689*E1677</f>
        <v>0</v>
      </c>
    </row>
    <row r="1690" spans="1:8">
      <c r="A1690" s="28"/>
      <c r="B1690" s="29" t="s">
        <v>3664</v>
      </c>
      <c r="C1690" s="30" t="str">
        <f>IFERROR(_xlfn.XLOOKUP(B1690,Transporte[DESCRIPCION],Transporte[UND],,0),"")</f>
        <v>M3-km</v>
      </c>
      <c r="D1690" s="31">
        <f>30*1.3</f>
        <v>39</v>
      </c>
      <c r="E1690" s="32">
        <f>IFERROR(_xlfn.XLOOKUP($B1690,Transporte[DESCRIPCION],Transporte[VALOR],,0),"")</f>
        <v>1534.05</v>
      </c>
      <c r="F1690" s="33"/>
      <c r="G1690" s="34">
        <f>IFERROR(IF(F1690&gt;=0,D1690*E1690*(1+F1690/100),ABS(D1690*E1690/F1690)),"")</f>
        <v>59827.95</v>
      </c>
      <c r="H1690" s="43">
        <f>IFERROR(G1690*E1677,"")</f>
        <v>0</v>
      </c>
    </row>
    <row r="1691" spans="1:8">
      <c r="A1691" s="28"/>
      <c r="B1691" s="29"/>
      <c r="C1691" s="30" t="str">
        <f>IFERROR(_xlfn.XLOOKUP(B1691,Transporte[DESCRIPCION],Transporte[UND],,0),"")</f>
        <v/>
      </c>
      <c r="D1691" s="31"/>
      <c r="E1691" s="32" t="str">
        <f>IFERROR(_xlfn.XLOOKUP($B1691,Transporte[DESCRIPCION],Transporte[VALOR],,0),"")</f>
        <v/>
      </c>
      <c r="F1691" s="33"/>
      <c r="G1691" s="34" t="str">
        <f>IFERROR(IF(F1691&gt;=0,D1691*E1691*(1+F1691/100),ABS(D1691*E1691/F1691)),"")</f>
        <v/>
      </c>
      <c r="H1691" s="43" t="str">
        <f>IFERROR(G1691*E1677,"")</f>
        <v/>
      </c>
    </row>
    <row r="1692" spans="1:8">
      <c r="A1692" s="21"/>
      <c r="B1692" s="22" t="s">
        <v>3732</v>
      </c>
      <c r="C1692" s="23"/>
      <c r="D1692" s="24"/>
      <c r="E1692" s="25"/>
      <c r="F1692" s="26"/>
      <c r="G1692" s="27">
        <f>SUM(G1693:G1695)</f>
        <v>27363.639429750008</v>
      </c>
      <c r="H1692" s="44">
        <f>G1692*E1677</f>
        <v>0</v>
      </c>
    </row>
    <row r="1693" spans="1:8">
      <c r="A1693" s="28"/>
      <c r="B1693" s="29" t="s">
        <v>3712</v>
      </c>
      <c r="C1693" s="30" t="str">
        <f>IFERROR(_xlfn.XLOOKUP(B1693,MObra[DESCRIPCION],MObra[UN],,0),"")</f>
        <v>día</v>
      </c>
      <c r="D1693" s="31">
        <v>1</v>
      </c>
      <c r="E1693" s="32">
        <f>IFERROR(_xlfn.XLOOKUP($B1693,MObra[DESCRIPCION],MObra[VALOR UNIT],,0),"")</f>
        <v>547272.78859500017</v>
      </c>
      <c r="F1693" s="33">
        <v>-20</v>
      </c>
      <c r="G1693" s="34">
        <f>IFERROR(IF(F1693&gt;=0,D1693*E1693*(1+F1693/100),ABS(D1693*E1693/F1693)),"")</f>
        <v>27363.639429750008</v>
      </c>
      <c r="H1693" s="43">
        <f>IFERROR(G1693*E1677,"")</f>
        <v>0</v>
      </c>
    </row>
    <row r="1694" spans="1:8">
      <c r="A1694" s="28"/>
      <c r="B1694" s="29"/>
      <c r="C1694" s="30" t="str">
        <f>IFERROR(_xlfn.XLOOKUP(B1694,MObra[DESCRIPCION],MObra[UN],,0),"")</f>
        <v/>
      </c>
      <c r="D1694" s="31"/>
      <c r="E1694" s="32" t="str">
        <f>IFERROR(_xlfn.XLOOKUP($B1694,MObra[DESCRIPCION],MObra[VALOR UNIT],,0),"")</f>
        <v/>
      </c>
      <c r="F1694" s="33"/>
      <c r="G1694" s="34" t="str">
        <f>IFERROR(IF(F1694&gt;=0,D1694*E1694*(1+F1694/100),ABS(D1694*E1694/F1694)),"")</f>
        <v/>
      </c>
      <c r="H1694" s="43" t="str">
        <f>IFERROR(G1694*E1677,"")</f>
        <v/>
      </c>
    </row>
    <row r="1695" spans="1:8" ht="13.15" thickBot="1">
      <c r="A1695" s="35"/>
      <c r="B1695" s="36"/>
      <c r="C1695" s="37" t="str">
        <f>IFERROR(_xlfn.XLOOKUP(B1695,MObra[DESCRIPCION],MObra[UN],,0),"")</f>
        <v/>
      </c>
      <c r="D1695" s="38"/>
      <c r="E1695" s="39" t="str">
        <f>IFERROR(_xlfn.XLOOKUP($B1695,MObra[DESCRIPCION],MObra[VALOR UNIT],,0),"")</f>
        <v/>
      </c>
      <c r="F1695" s="40"/>
      <c r="G1695" s="41" t="str">
        <f>IFERROR(IF(F1695&gt;=0,D1695*E1695*(1+F1695/100),ABS(D1695*E1695/F1695)),"")</f>
        <v/>
      </c>
      <c r="H1695" s="42" t="str">
        <f>IFERROR(G1695*E1677,"")</f>
        <v/>
      </c>
    </row>
    <row r="1696" spans="1:8" ht="13.5" thickTop="1" thickBot="1"/>
    <row r="1697" spans="1:11" ht="13.5" thickTop="1" thickBot="1">
      <c r="A1697" s="6" t="s">
        <v>1894</v>
      </c>
      <c r="B1697" s="7" t="str">
        <f>VLOOKUP($A1697,Presupuesto!$A:$D,2,FALSE())</f>
        <v>Afirmado suministro + transporte + riego +compactación mecánica</v>
      </c>
      <c r="C1697" s="8" t="str">
        <f>VLOOKUP($A1697,Presupuesto!$A:$D,3,FALSE())</f>
        <v>M3</v>
      </c>
      <c r="D1697" s="9"/>
      <c r="E1697" s="10">
        <f>VLOOKUP($A1697,Presupuesto!$A:$D,4,FALSE())</f>
        <v>0</v>
      </c>
      <c r="F1697" s="11" t="s">
        <v>2589</v>
      </c>
      <c r="G1697" s="12">
        <f>SUM(G1699:G1715)/2</f>
        <v>157607.36878650001</v>
      </c>
      <c r="H1697" s="13">
        <f>ROUND(SUM(H1699:H1715),0)/2</f>
        <v>0</v>
      </c>
      <c r="I1697" s="10">
        <f>VLOOKUP(A1697,Presupuesto!$A:$F,6,0)</f>
        <v>0</v>
      </c>
      <c r="J1697" s="10">
        <f>+H1697-I1697</f>
        <v>0</v>
      </c>
      <c r="K1697" s="46">
        <f>+H1697-G1697*E1697</f>
        <v>0</v>
      </c>
    </row>
    <row r="1698" spans="1:11" ht="13.15" thickTop="1">
      <c r="A1698" s="14"/>
      <c r="B1698" s="15" t="s">
        <v>2586</v>
      </c>
      <c r="C1698" s="15" t="s">
        <v>5</v>
      </c>
      <c r="D1698" s="16" t="s">
        <v>6</v>
      </c>
      <c r="E1698" s="17" t="s">
        <v>7</v>
      </c>
      <c r="F1698" s="18" t="s">
        <v>3728</v>
      </c>
      <c r="G1698" s="19" t="s">
        <v>3729</v>
      </c>
      <c r="H1698" s="20" t="s">
        <v>3797</v>
      </c>
    </row>
    <row r="1699" spans="1:11">
      <c r="A1699" s="21"/>
      <c r="B1699" s="22" t="s">
        <v>3730</v>
      </c>
      <c r="C1699" s="23"/>
      <c r="D1699" s="24"/>
      <c r="E1699" s="25"/>
      <c r="F1699" s="26"/>
      <c r="G1699" s="27">
        <f>SUM(G1700:G1704)</f>
        <v>75118.680000000008</v>
      </c>
      <c r="H1699" s="27">
        <f>IFERROR(G1699*E1697,"")</f>
        <v>0</v>
      </c>
    </row>
    <row r="1700" spans="1:11">
      <c r="A1700" s="28"/>
      <c r="B1700" s="29" t="s">
        <v>2683</v>
      </c>
      <c r="C1700" s="30" t="str">
        <f>IFERROR(_xlfn.XLOOKUP(B1700,Insumo[DESCRIPCION],Insumo[UND],,0),"")</f>
        <v>M3</v>
      </c>
      <c r="D1700" s="31">
        <v>1</v>
      </c>
      <c r="E1700" s="32">
        <f>IFERROR(_xlfn.XLOOKUP($B1700,Insumo[DESCRIPCION],Insumo[VALOR],,0),"")</f>
        <v>53583.600000000006</v>
      </c>
      <c r="F1700" s="33">
        <v>30</v>
      </c>
      <c r="G1700" s="34">
        <f>IFERROR(IF(F1700&gt;=0,D1700*E1700*(1+F1700/100),ABS(D1700*E1700/F1700)),"")</f>
        <v>69658.680000000008</v>
      </c>
      <c r="H1700" s="43">
        <f>IFERROR(G1700*E1697,"")</f>
        <v>0</v>
      </c>
    </row>
    <row r="1701" spans="1:11">
      <c r="A1701" s="28"/>
      <c r="B1701" s="29" t="s">
        <v>2685</v>
      </c>
      <c r="C1701" s="30" t="str">
        <f>IFERROR(_xlfn.XLOOKUP(B1701,Insumo[DESCRIPCION],Insumo[UND],,0),"")</f>
        <v>Lt</v>
      </c>
      <c r="D1701" s="31">
        <v>200</v>
      </c>
      <c r="E1701" s="32">
        <f>IFERROR(_xlfn.XLOOKUP($B1701,Insumo[DESCRIPCION],Insumo[VALOR],,0),"")</f>
        <v>27.3</v>
      </c>
      <c r="F1701" s="33"/>
      <c r="G1701" s="34">
        <f>IFERROR(IF(F1701&gt;=0,D1701*E1701*(1+F1701/100),ABS(D1701*E1701/F1701)),"")</f>
        <v>5460</v>
      </c>
      <c r="H1701" s="43">
        <f>IFERROR(G1701*E1697,"")</f>
        <v>0</v>
      </c>
    </row>
    <row r="1702" spans="1:11">
      <c r="A1702" s="28"/>
      <c r="B1702" s="29"/>
      <c r="C1702" s="30" t="str">
        <f>IFERROR(_xlfn.XLOOKUP(B1702,Insumo[DESCRIPCION],Insumo[UND],,0),"")</f>
        <v/>
      </c>
      <c r="D1702" s="31"/>
      <c r="E1702" s="32" t="str">
        <f>IFERROR(_xlfn.XLOOKUP($B1702,Insumo[DESCRIPCION],Insumo[VALOR],,0),"")</f>
        <v/>
      </c>
      <c r="F1702" s="33"/>
      <c r="G1702" s="34" t="str">
        <f>IFERROR(IF(F1702&gt;=0,D1702*E1702*(1+F1702/100),ABS(D1702*E1702/F1702)),"")</f>
        <v/>
      </c>
      <c r="H1702" s="43" t="str">
        <f>IFERROR(G1702*E1697,"")</f>
        <v/>
      </c>
    </row>
    <row r="1703" spans="1:11">
      <c r="A1703" s="28"/>
      <c r="B1703" s="29"/>
      <c r="C1703" s="30" t="str">
        <f>IFERROR(_xlfn.XLOOKUP(B1703,Insumo[DESCRIPCION],Insumo[UND],,0),"")</f>
        <v/>
      </c>
      <c r="D1703" s="31"/>
      <c r="E1703" s="32" t="str">
        <f>IFERROR(_xlfn.XLOOKUP($B1703,Insumo[DESCRIPCION],Insumo[VALOR],,0),"")</f>
        <v/>
      </c>
      <c r="F1703" s="33"/>
      <c r="G1703" s="34" t="str">
        <f>IFERROR(IF(F1703&gt;=0,D1703*E1703*(1+F1703/100),ABS(D1703*E1703/F1703)),"")</f>
        <v/>
      </c>
      <c r="H1703" s="43" t="str">
        <f>IFERROR(G1703*E1697,"")</f>
        <v/>
      </c>
    </row>
    <row r="1704" spans="1:11">
      <c r="A1704" s="28"/>
      <c r="B1704" s="29"/>
      <c r="C1704" s="30" t="str">
        <f>IFERROR(_xlfn.XLOOKUP(B1704,Insumo[DESCRIPCION],Insumo[UND],,0),"")</f>
        <v/>
      </c>
      <c r="D1704" s="31"/>
      <c r="E1704" s="32" t="str">
        <f>IFERROR(_xlfn.XLOOKUP($B1704,Insumo[DESCRIPCION],Insumo[VALOR],,0),"")</f>
        <v/>
      </c>
      <c r="F1704" s="33"/>
      <c r="G1704" s="34" t="str">
        <f>IFERROR(IF(F1704&gt;=0,D1704*E1704*(1+F1704/100),ABS(D1704*E1704/F1704)),"")</f>
        <v/>
      </c>
      <c r="H1704" s="43" t="str">
        <f>IFERROR(G1704*E1697,"")</f>
        <v/>
      </c>
    </row>
    <row r="1705" spans="1:11">
      <c r="A1705" s="21"/>
      <c r="B1705" s="22" t="s">
        <v>3731</v>
      </c>
      <c r="C1705" s="23"/>
      <c r="D1705" s="24"/>
      <c r="E1705" s="25"/>
      <c r="F1705" s="26"/>
      <c r="G1705" s="27">
        <f>SUM(G1706:G1708)</f>
        <v>4418.3125</v>
      </c>
      <c r="H1705" s="44">
        <f>G1705*E1697</f>
        <v>0</v>
      </c>
    </row>
    <row r="1706" spans="1:11">
      <c r="A1706" s="28"/>
      <c r="B1706" s="29" t="s">
        <v>3592</v>
      </c>
      <c r="C1706" s="30" t="str">
        <f>IFERROR(_xlfn.XLOOKUP(B1706,Equipo[DESCRIPCION],Equipo[UND],,0),"")</f>
        <v>Hr</v>
      </c>
      <c r="D1706" s="31">
        <v>1</v>
      </c>
      <c r="E1706" s="32">
        <f>IF(C1706="%MO",G1712,IFERROR(_xlfn.XLOOKUP($B1706,Equipo[DESCRIPCION],Equipo[VALOR],,0),""))</f>
        <v>115500</v>
      </c>
      <c r="F1706" s="33">
        <v>-30</v>
      </c>
      <c r="G1706" s="34">
        <f>IFERROR(IF(F1706&gt;=0,D1706*E1706*(1+F1706/100),ABS(D1706*E1706/F1706)),"")</f>
        <v>3850</v>
      </c>
      <c r="H1706" s="43">
        <f>IFERROR(G1706*E1697,"")</f>
        <v>0</v>
      </c>
    </row>
    <row r="1707" spans="1:11">
      <c r="A1707" s="28"/>
      <c r="B1707" s="29" t="s">
        <v>3588</v>
      </c>
      <c r="C1707" s="30" t="str">
        <f>IFERROR(_xlfn.XLOOKUP(B1707,Equipo[DESCRIPCION],Equipo[UND],,0),"")</f>
        <v>Hr</v>
      </c>
      <c r="D1707" s="31">
        <v>1</v>
      </c>
      <c r="E1707" s="32">
        <f>IF(C1707="%MO",G1712,IFERROR(_xlfn.XLOOKUP($B1707,Equipo[DESCRIPCION],Equipo[VALOR],,0),""))</f>
        <v>170493.75</v>
      </c>
      <c r="F1707" s="33">
        <v>-300</v>
      </c>
      <c r="G1707" s="34">
        <f>IFERROR(IF(F1707&gt;=0,D1707*E1707*(1+F1707/100),ABS(D1707*E1707/F1707)),"")</f>
        <v>568.3125</v>
      </c>
      <c r="H1707" s="43">
        <f>IFERROR(G1707*E1697,"")</f>
        <v>0</v>
      </c>
    </row>
    <row r="1708" spans="1:11">
      <c r="A1708" s="28"/>
      <c r="B1708" s="29"/>
      <c r="C1708" s="30" t="str">
        <f>IFERROR(_xlfn.XLOOKUP(B1708,Equipo[DESCRIPCION],Equipo[UND],,0),"")</f>
        <v/>
      </c>
      <c r="D1708" s="31"/>
      <c r="E1708" s="32" t="str">
        <f>IF(C1708="%MO",G1712,IFERROR(_xlfn.XLOOKUP($B1708,Equipo[DESCRIPCION],Equipo[VALOR],,0),""))</f>
        <v/>
      </c>
      <c r="F1708" s="33"/>
      <c r="G1708" s="34" t="str">
        <f>IFERROR(IF(F1708&gt;=0,D1708*E1708*(1+F1708/100),ABS(D1708*E1708/F1708)),"")</f>
        <v/>
      </c>
      <c r="H1708" s="43" t="str">
        <f>IFERROR(G1708*E1697,"")</f>
        <v/>
      </c>
    </row>
    <row r="1709" spans="1:11">
      <c r="A1709" s="21"/>
      <c r="B1709" s="22" t="s">
        <v>2533</v>
      </c>
      <c r="C1709" s="23"/>
      <c r="D1709" s="24"/>
      <c r="E1709" s="25"/>
      <c r="F1709" s="26"/>
      <c r="G1709" s="27">
        <f>SUM(G1710:G1711)</f>
        <v>59827.95</v>
      </c>
      <c r="H1709" s="44">
        <f>G1709*E1697</f>
        <v>0</v>
      </c>
    </row>
    <row r="1710" spans="1:11">
      <c r="A1710" s="28"/>
      <c r="B1710" s="29" t="s">
        <v>3664</v>
      </c>
      <c r="C1710" s="30" t="str">
        <f>IFERROR(_xlfn.XLOOKUP(B1710,Transporte[DESCRIPCION],Transporte[UND],,0),"")</f>
        <v>M3-km</v>
      </c>
      <c r="D1710" s="31">
        <f>30*1.3</f>
        <v>39</v>
      </c>
      <c r="E1710" s="32">
        <f>IFERROR(_xlfn.XLOOKUP($B1710,Transporte[DESCRIPCION],Transporte[VALOR],,0),"")</f>
        <v>1534.05</v>
      </c>
      <c r="F1710" s="33"/>
      <c r="G1710" s="34">
        <f>IFERROR(IF(F1710&gt;=0,D1710*E1710*(1+F1710/100),ABS(D1710*E1710/F1710)),"")</f>
        <v>59827.95</v>
      </c>
      <c r="H1710" s="43">
        <f>IFERROR(G1710*E1697,"")</f>
        <v>0</v>
      </c>
    </row>
    <row r="1711" spans="1:11">
      <c r="A1711" s="28"/>
      <c r="B1711" s="29"/>
      <c r="C1711" s="30" t="str">
        <f>IFERROR(_xlfn.XLOOKUP(B1711,Transporte[DESCRIPCION],Transporte[UND],,0),"")</f>
        <v/>
      </c>
      <c r="D1711" s="31"/>
      <c r="E1711" s="32" t="str">
        <f>IFERROR(_xlfn.XLOOKUP($B1711,Transporte[DESCRIPCION],Transporte[VALOR],,0),"")</f>
        <v/>
      </c>
      <c r="F1711" s="33"/>
      <c r="G1711" s="34" t="str">
        <f>IFERROR(IF(F1711&gt;=0,D1711*E1711*(1+F1711/100),ABS(D1711*E1711/F1711)),"")</f>
        <v/>
      </c>
      <c r="H1711" s="43" t="str">
        <f>IFERROR(G1711*E1697,"")</f>
        <v/>
      </c>
    </row>
    <row r="1712" spans="1:11">
      <c r="A1712" s="21"/>
      <c r="B1712" s="22" t="s">
        <v>3732</v>
      </c>
      <c r="C1712" s="23"/>
      <c r="D1712" s="24"/>
      <c r="E1712" s="25"/>
      <c r="F1712" s="26"/>
      <c r="G1712" s="27">
        <f>SUM(G1713:G1715)</f>
        <v>18242.426286500006</v>
      </c>
      <c r="H1712" s="44">
        <f>G1712*E1697</f>
        <v>0</v>
      </c>
    </row>
    <row r="1713" spans="1:11">
      <c r="A1713" s="28"/>
      <c r="B1713" s="29" t="s">
        <v>3712</v>
      </c>
      <c r="C1713" s="30" t="str">
        <f>IFERROR(_xlfn.XLOOKUP(B1713,MObra[DESCRIPCION],MObra[UN],,0),"")</f>
        <v>día</v>
      </c>
      <c r="D1713" s="31">
        <v>1</v>
      </c>
      <c r="E1713" s="32">
        <f>IFERROR(_xlfn.XLOOKUP($B1713,MObra[DESCRIPCION],MObra[VALOR UNIT],,0),"")</f>
        <v>547272.78859500017</v>
      </c>
      <c r="F1713" s="33">
        <v>-30</v>
      </c>
      <c r="G1713" s="34">
        <f>IFERROR(IF(F1713&gt;=0,D1713*E1713*(1+F1713/100),ABS(D1713*E1713/F1713)),"")</f>
        <v>18242.426286500006</v>
      </c>
      <c r="H1713" s="43">
        <f>IFERROR(G1713*E1697,"")</f>
        <v>0</v>
      </c>
    </row>
    <row r="1714" spans="1:11">
      <c r="A1714" s="28"/>
      <c r="B1714" s="29"/>
      <c r="C1714" s="30" t="str">
        <f>IFERROR(_xlfn.XLOOKUP(B1714,MObra[DESCRIPCION],MObra[UN],,0),"")</f>
        <v/>
      </c>
      <c r="D1714" s="31"/>
      <c r="E1714" s="32" t="str">
        <f>IFERROR(_xlfn.XLOOKUP($B1714,MObra[DESCRIPCION],MObra[VALOR UNIT],,0),"")</f>
        <v/>
      </c>
      <c r="F1714" s="33"/>
      <c r="G1714" s="34" t="str">
        <f>IFERROR(IF(F1714&gt;=0,D1714*E1714*(1+F1714/100),ABS(D1714*E1714/F1714)),"")</f>
        <v/>
      </c>
      <c r="H1714" s="43" t="str">
        <f>IFERROR(G1714*E1697,"")</f>
        <v/>
      </c>
    </row>
    <row r="1715" spans="1:11" ht="13.15" thickBot="1">
      <c r="A1715" s="35"/>
      <c r="B1715" s="36"/>
      <c r="C1715" s="37" t="str">
        <f>IFERROR(_xlfn.XLOOKUP(B1715,MObra[DESCRIPCION],MObra[UN],,0),"")</f>
        <v/>
      </c>
      <c r="D1715" s="38"/>
      <c r="E1715" s="39" t="str">
        <f>IFERROR(_xlfn.XLOOKUP($B1715,MObra[DESCRIPCION],MObra[VALOR UNIT],,0),"")</f>
        <v/>
      </c>
      <c r="F1715" s="40"/>
      <c r="G1715" s="41" t="str">
        <f>IFERROR(IF(F1715&gt;=0,D1715*E1715*(1+F1715/100),ABS(D1715*E1715/F1715)),"")</f>
        <v/>
      </c>
      <c r="H1715" s="42" t="str">
        <f>IFERROR(G1715*E1697,"")</f>
        <v/>
      </c>
    </row>
    <row r="1716" spans="1:11" ht="13.5" thickTop="1" thickBot="1"/>
    <row r="1717" spans="1:11" ht="13.5" thickTop="1" thickBot="1">
      <c r="A1717" s="6" t="s">
        <v>1896</v>
      </c>
      <c r="B1717" s="7" t="str">
        <f>VLOOKUP($A1717,Presupuesto!$A:$D,2,FALSE())</f>
        <v>Afirmado transporte + riego +compactación manual</v>
      </c>
      <c r="C1717" s="8" t="str">
        <f>VLOOKUP($A1717,Presupuesto!$A:$D,3,FALSE())</f>
        <v>M3</v>
      </c>
      <c r="D1717" s="9"/>
      <c r="E1717" s="10">
        <f>VLOOKUP($A1717,Presupuesto!$A:$D,4,FALSE())</f>
        <v>0</v>
      </c>
      <c r="F1717" s="11" t="s">
        <v>2589</v>
      </c>
      <c r="G1717" s="12">
        <f>SUM(G1719:G1735)/2</f>
        <v>98149.389429750008</v>
      </c>
      <c r="H1717" s="13">
        <f>ROUND(SUM(H1719:H1735),0)/2</f>
        <v>0</v>
      </c>
      <c r="I1717" s="10">
        <f>VLOOKUP(A1717,Presupuesto!$A:$F,6,0)</f>
        <v>0</v>
      </c>
      <c r="J1717" s="10">
        <f>+H1717-I1717</f>
        <v>0</v>
      </c>
      <c r="K1717" s="46">
        <f>+H1717-G1717*E1717</f>
        <v>0</v>
      </c>
    </row>
    <row r="1718" spans="1:11" ht="13.15" thickTop="1">
      <c r="A1718" s="14"/>
      <c r="B1718" s="15" t="s">
        <v>2586</v>
      </c>
      <c r="C1718" s="15" t="s">
        <v>5</v>
      </c>
      <c r="D1718" s="16" t="s">
        <v>6</v>
      </c>
      <c r="E1718" s="17" t="s">
        <v>7</v>
      </c>
      <c r="F1718" s="18" t="s">
        <v>3728</v>
      </c>
      <c r="G1718" s="19" t="s">
        <v>3729</v>
      </c>
      <c r="H1718" s="20" t="s">
        <v>3797</v>
      </c>
    </row>
    <row r="1719" spans="1:11">
      <c r="A1719" s="21"/>
      <c r="B1719" s="22" t="s">
        <v>3730</v>
      </c>
      <c r="C1719" s="23"/>
      <c r="D1719" s="24"/>
      <c r="E1719" s="25"/>
      <c r="F1719" s="26"/>
      <c r="G1719" s="27">
        <f>SUM(G1720:G1724)</f>
        <v>5460</v>
      </c>
      <c r="H1719" s="27">
        <f>IFERROR(G1719*E1717,"")</f>
        <v>0</v>
      </c>
    </row>
    <row r="1720" spans="1:11">
      <c r="A1720" s="28"/>
      <c r="B1720" s="29" t="s">
        <v>2685</v>
      </c>
      <c r="C1720" s="30" t="str">
        <f>IFERROR(_xlfn.XLOOKUP(B1720,Insumo[DESCRIPCION],Insumo[UND],,0),"")</f>
        <v>Lt</v>
      </c>
      <c r="D1720" s="31">
        <v>200</v>
      </c>
      <c r="E1720" s="32">
        <f>IFERROR(_xlfn.XLOOKUP($B1720,Insumo[DESCRIPCION],Insumo[VALOR],,0),"")</f>
        <v>27.3</v>
      </c>
      <c r="F1720" s="33"/>
      <c r="G1720" s="34">
        <f>IFERROR(IF(F1720&gt;=0,D1720*E1720*(1+F1720/100),ABS(D1720*E1720/F1720)),"")</f>
        <v>5460</v>
      </c>
      <c r="H1720" s="43">
        <f>IFERROR(G1720*E1717,"")</f>
        <v>0</v>
      </c>
    </row>
    <row r="1721" spans="1:11">
      <c r="A1721" s="28"/>
      <c r="B1721" s="29"/>
      <c r="C1721" s="30" t="str">
        <f>IFERROR(_xlfn.XLOOKUP(B1721,Insumo[DESCRIPCION],Insumo[UND],,0),"")</f>
        <v/>
      </c>
      <c r="D1721" s="31"/>
      <c r="E1721" s="32" t="str">
        <f>IFERROR(_xlfn.XLOOKUP($B1721,Insumo[DESCRIPCION],Insumo[VALOR],,0),"")</f>
        <v/>
      </c>
      <c r="F1721" s="33"/>
      <c r="G1721" s="34" t="str">
        <f>IFERROR(IF(F1721&gt;=0,D1721*E1721*(1+F1721/100),ABS(D1721*E1721/F1721)),"")</f>
        <v/>
      </c>
      <c r="H1721" s="43" t="str">
        <f>IFERROR(G1721*E1717,"")</f>
        <v/>
      </c>
    </row>
    <row r="1722" spans="1:11">
      <c r="A1722" s="28"/>
      <c r="B1722" s="29"/>
      <c r="C1722" s="30" t="str">
        <f>IFERROR(_xlfn.XLOOKUP(B1722,Insumo[DESCRIPCION],Insumo[UND],,0),"")</f>
        <v/>
      </c>
      <c r="D1722" s="31"/>
      <c r="E1722" s="32" t="str">
        <f>IFERROR(_xlfn.XLOOKUP($B1722,Insumo[DESCRIPCION],Insumo[VALOR],,0),"")</f>
        <v/>
      </c>
      <c r="F1722" s="33"/>
      <c r="G1722" s="34" t="str">
        <f>IFERROR(IF(F1722&gt;=0,D1722*E1722*(1+F1722/100),ABS(D1722*E1722/F1722)),"")</f>
        <v/>
      </c>
      <c r="H1722" s="43" t="str">
        <f>IFERROR(G1722*E1717,"")</f>
        <v/>
      </c>
    </row>
    <row r="1723" spans="1:11">
      <c r="A1723" s="28"/>
      <c r="B1723" s="29"/>
      <c r="C1723" s="30" t="str">
        <f>IFERROR(_xlfn.XLOOKUP(B1723,Insumo[DESCRIPCION],Insumo[UND],,0),"")</f>
        <v/>
      </c>
      <c r="D1723" s="31"/>
      <c r="E1723" s="32" t="str">
        <f>IFERROR(_xlfn.XLOOKUP($B1723,Insumo[DESCRIPCION],Insumo[VALOR],,0),"")</f>
        <v/>
      </c>
      <c r="F1723" s="33"/>
      <c r="G1723" s="34" t="str">
        <f>IFERROR(IF(F1723&gt;=0,D1723*E1723*(1+F1723/100),ABS(D1723*E1723/F1723)),"")</f>
        <v/>
      </c>
      <c r="H1723" s="43" t="str">
        <f>IFERROR(G1723*E1717,"")</f>
        <v/>
      </c>
    </row>
    <row r="1724" spans="1:11">
      <c r="A1724" s="28"/>
      <c r="B1724" s="29"/>
      <c r="C1724" s="30" t="str">
        <f>IFERROR(_xlfn.XLOOKUP(B1724,Insumo[DESCRIPCION],Insumo[UND],,0),"")</f>
        <v/>
      </c>
      <c r="D1724" s="31"/>
      <c r="E1724" s="32" t="str">
        <f>IFERROR(_xlfn.XLOOKUP($B1724,Insumo[DESCRIPCION],Insumo[VALOR],,0),"")</f>
        <v/>
      </c>
      <c r="F1724" s="33"/>
      <c r="G1724" s="34" t="str">
        <f>IFERROR(IF(F1724&gt;=0,D1724*E1724*(1+F1724/100),ABS(D1724*E1724/F1724)),"")</f>
        <v/>
      </c>
      <c r="H1724" s="43" t="str">
        <f>IFERROR(G1724*E1717,"")</f>
        <v/>
      </c>
    </row>
    <row r="1725" spans="1:11">
      <c r="A1725" s="21"/>
      <c r="B1725" s="22" t="s">
        <v>3731</v>
      </c>
      <c r="C1725" s="23"/>
      <c r="D1725" s="24"/>
      <c r="E1725" s="25"/>
      <c r="F1725" s="26"/>
      <c r="G1725" s="27">
        <f>SUM(G1726:G1728)</f>
        <v>5497.8</v>
      </c>
      <c r="H1725" s="44">
        <f>G1725*E1717</f>
        <v>0</v>
      </c>
    </row>
    <row r="1726" spans="1:11">
      <c r="A1726" s="28"/>
      <c r="B1726" s="29" t="s">
        <v>3658</v>
      </c>
      <c r="C1726" s="30" t="str">
        <f>IFERROR(_xlfn.XLOOKUP(B1726,Equipo[DESCRIPCION],Equipo[UND],,0),"")</f>
        <v>Día</v>
      </c>
      <c r="D1726" s="31">
        <v>1</v>
      </c>
      <c r="E1726" s="32">
        <f>IF(C1726="%MO",G1732,IFERROR(_xlfn.XLOOKUP($B1726,Equipo[DESCRIPCION],Equipo[VALOR],,0),""))</f>
        <v>82467</v>
      </c>
      <c r="F1726" s="33">
        <v>-15</v>
      </c>
      <c r="G1726" s="34">
        <f>IFERROR(IF(F1726&gt;=0,D1726*E1726*(1+F1726/100),ABS(D1726*E1726/F1726)),"")</f>
        <v>5497.8</v>
      </c>
      <c r="H1726" s="43">
        <f>IFERROR(G1726*E1717,"")</f>
        <v>0</v>
      </c>
    </row>
    <row r="1727" spans="1:11">
      <c r="A1727" s="28"/>
      <c r="B1727" s="29"/>
      <c r="C1727" s="30" t="str">
        <f>IFERROR(_xlfn.XLOOKUP(B1727,Equipo[DESCRIPCION],Equipo[UND],,0),"")</f>
        <v/>
      </c>
      <c r="D1727" s="31"/>
      <c r="E1727" s="32" t="str">
        <f>IF(C1727="%MO",G1732,IFERROR(_xlfn.XLOOKUP($B1727,Equipo[DESCRIPCION],Equipo[VALOR],,0),""))</f>
        <v/>
      </c>
      <c r="F1727" s="33"/>
      <c r="G1727" s="34" t="str">
        <f>IFERROR(IF(F1727&gt;=0,D1727*E1727*(1+F1727/100),ABS(D1727*E1727/F1727)),"")</f>
        <v/>
      </c>
      <c r="H1727" s="43" t="str">
        <f>IFERROR(G1727*E1717,"")</f>
        <v/>
      </c>
    </row>
    <row r="1728" spans="1:11">
      <c r="A1728" s="28"/>
      <c r="B1728" s="29"/>
      <c r="C1728" s="30" t="str">
        <f>IFERROR(_xlfn.XLOOKUP(B1728,Equipo[DESCRIPCION],Equipo[UND],,0),"")</f>
        <v/>
      </c>
      <c r="D1728" s="31"/>
      <c r="E1728" s="32" t="str">
        <f>IF(C1728="%MO",G1732,IFERROR(_xlfn.XLOOKUP($B1728,Equipo[DESCRIPCION],Equipo[VALOR],,0),""))</f>
        <v/>
      </c>
      <c r="F1728" s="33"/>
      <c r="G1728" s="34" t="str">
        <f>IFERROR(IF(F1728&gt;=0,D1728*E1728*(1+F1728/100),ABS(D1728*E1728/F1728)),"")</f>
        <v/>
      </c>
      <c r="H1728" s="43" t="str">
        <f>IFERROR(G1728*E1717,"")</f>
        <v/>
      </c>
    </row>
    <row r="1729" spans="1:11">
      <c r="A1729" s="21"/>
      <c r="B1729" s="22" t="s">
        <v>2533</v>
      </c>
      <c r="C1729" s="23"/>
      <c r="D1729" s="24"/>
      <c r="E1729" s="25"/>
      <c r="F1729" s="26"/>
      <c r="G1729" s="27">
        <f>SUM(G1730:G1731)</f>
        <v>59827.95</v>
      </c>
      <c r="H1729" s="44">
        <f>G1729*E1717</f>
        <v>0</v>
      </c>
    </row>
    <row r="1730" spans="1:11">
      <c r="A1730" s="28"/>
      <c r="B1730" s="29" t="s">
        <v>3664</v>
      </c>
      <c r="C1730" s="30" t="str">
        <f>IFERROR(_xlfn.XLOOKUP(B1730,Transporte[DESCRIPCION],Transporte[UND],,0),"")</f>
        <v>M3-km</v>
      </c>
      <c r="D1730" s="31">
        <f>30*1.3</f>
        <v>39</v>
      </c>
      <c r="E1730" s="32">
        <f>IFERROR(_xlfn.XLOOKUP($B1730,Transporte[DESCRIPCION],Transporte[VALOR],,0),"")</f>
        <v>1534.05</v>
      </c>
      <c r="F1730" s="33"/>
      <c r="G1730" s="34">
        <f>IFERROR(IF(F1730&gt;=0,D1730*E1730*(1+F1730/100),ABS(D1730*E1730/F1730)),"")</f>
        <v>59827.95</v>
      </c>
      <c r="H1730" s="43">
        <f>IFERROR(G1730*E1717,"")</f>
        <v>0</v>
      </c>
    </row>
    <row r="1731" spans="1:11">
      <c r="A1731" s="28"/>
      <c r="B1731" s="29"/>
      <c r="C1731" s="30" t="str">
        <f>IFERROR(_xlfn.XLOOKUP(B1731,Transporte[DESCRIPCION],Transporte[UND],,0),"")</f>
        <v/>
      </c>
      <c r="D1731" s="31"/>
      <c r="E1731" s="32" t="str">
        <f>IFERROR(_xlfn.XLOOKUP($B1731,Transporte[DESCRIPCION],Transporte[VALOR],,0),"")</f>
        <v/>
      </c>
      <c r="F1731" s="33"/>
      <c r="G1731" s="34" t="str">
        <f>IFERROR(IF(F1731&gt;=0,D1731*E1731*(1+F1731/100),ABS(D1731*E1731/F1731)),"")</f>
        <v/>
      </c>
      <c r="H1731" s="43" t="str">
        <f>IFERROR(G1731*E1717,"")</f>
        <v/>
      </c>
    </row>
    <row r="1732" spans="1:11">
      <c r="A1732" s="21"/>
      <c r="B1732" s="22" t="s">
        <v>3732</v>
      </c>
      <c r="C1732" s="23"/>
      <c r="D1732" s="24"/>
      <c r="E1732" s="25"/>
      <c r="F1732" s="26"/>
      <c r="G1732" s="27">
        <f>SUM(G1733:G1735)</f>
        <v>27363.639429750008</v>
      </c>
      <c r="H1732" s="44">
        <f>G1732*E1717</f>
        <v>0</v>
      </c>
    </row>
    <row r="1733" spans="1:11">
      <c r="A1733" s="28"/>
      <c r="B1733" s="29" t="s">
        <v>3712</v>
      </c>
      <c r="C1733" s="30" t="str">
        <f>IFERROR(_xlfn.XLOOKUP(B1733,MObra[DESCRIPCION],MObra[UN],,0),"")</f>
        <v>día</v>
      </c>
      <c r="D1733" s="31">
        <v>1</v>
      </c>
      <c r="E1733" s="32">
        <f>IFERROR(_xlfn.XLOOKUP($B1733,MObra[DESCRIPCION],MObra[VALOR UNIT],,0),"")</f>
        <v>547272.78859500017</v>
      </c>
      <c r="F1733" s="33">
        <v>-20</v>
      </c>
      <c r="G1733" s="34">
        <f>IFERROR(IF(F1733&gt;=0,D1733*E1733*(1+F1733/100),ABS(D1733*E1733/F1733)),"")</f>
        <v>27363.639429750008</v>
      </c>
      <c r="H1733" s="43">
        <f>IFERROR(G1733*E1717,"")</f>
        <v>0</v>
      </c>
    </row>
    <row r="1734" spans="1:11">
      <c r="A1734" s="28"/>
      <c r="B1734" s="29"/>
      <c r="C1734" s="30" t="str">
        <f>IFERROR(_xlfn.XLOOKUP(B1734,MObra[DESCRIPCION],MObra[UN],,0),"")</f>
        <v/>
      </c>
      <c r="D1734" s="31"/>
      <c r="E1734" s="32" t="str">
        <f>IFERROR(_xlfn.XLOOKUP($B1734,MObra[DESCRIPCION],MObra[VALOR UNIT],,0),"")</f>
        <v/>
      </c>
      <c r="F1734" s="33"/>
      <c r="G1734" s="34" t="str">
        <f>IFERROR(IF(F1734&gt;=0,D1734*E1734*(1+F1734/100),ABS(D1734*E1734/F1734)),"")</f>
        <v/>
      </c>
      <c r="H1734" s="43" t="str">
        <f>IFERROR(G1734*E1717,"")</f>
        <v/>
      </c>
    </row>
    <row r="1735" spans="1:11" ht="13.15" thickBot="1">
      <c r="A1735" s="35"/>
      <c r="B1735" s="36"/>
      <c r="C1735" s="37" t="str">
        <f>IFERROR(_xlfn.XLOOKUP(B1735,MObra[DESCRIPCION],MObra[UN],,0),"")</f>
        <v/>
      </c>
      <c r="D1735" s="38"/>
      <c r="E1735" s="39" t="str">
        <f>IFERROR(_xlfn.XLOOKUP($B1735,MObra[DESCRIPCION],MObra[VALOR UNIT],,0),"")</f>
        <v/>
      </c>
      <c r="F1735" s="40"/>
      <c r="G1735" s="41" t="str">
        <f>IFERROR(IF(F1735&gt;=0,D1735*E1735*(1+F1735/100),ABS(D1735*E1735/F1735)),"")</f>
        <v/>
      </c>
      <c r="H1735" s="42" t="str">
        <f>IFERROR(G1735*E1717,"")</f>
        <v/>
      </c>
    </row>
    <row r="1736" spans="1:11" ht="13.5" thickTop="1" thickBot="1"/>
    <row r="1737" spans="1:11" ht="13.5" thickTop="1" thickBot="1">
      <c r="A1737" s="6" t="s">
        <v>1898</v>
      </c>
      <c r="B1737" s="7" t="str">
        <f>VLOOKUP($A1737,Presupuesto!$A:$D,2,FALSE())</f>
        <v>Afirmado transporte + riego +compactación mecánica</v>
      </c>
      <c r="C1737" s="8" t="str">
        <f>VLOOKUP($A1737,Presupuesto!$A:$D,3,FALSE())</f>
        <v>M3</v>
      </c>
      <c r="D1737" s="9"/>
      <c r="E1737" s="10">
        <f>VLOOKUP($A1737,Presupuesto!$A:$D,4,FALSE())</f>
        <v>0</v>
      </c>
      <c r="F1737" s="11" t="s">
        <v>2589</v>
      </c>
      <c r="G1737" s="12">
        <f>SUM(G1739:G1755)/2</f>
        <v>87948.688786500003</v>
      </c>
      <c r="H1737" s="13">
        <f>ROUND(SUM(H1739:H1755),0)/2</f>
        <v>0</v>
      </c>
      <c r="I1737" s="10">
        <f>VLOOKUP(A1737,Presupuesto!$A:$F,6,0)</f>
        <v>0</v>
      </c>
      <c r="J1737" s="10">
        <f>+H1737-I1737</f>
        <v>0</v>
      </c>
      <c r="K1737" s="46">
        <f>+H1737-G1737*E1737</f>
        <v>0</v>
      </c>
    </row>
    <row r="1738" spans="1:11" ht="13.15" thickTop="1">
      <c r="A1738" s="14"/>
      <c r="B1738" s="15" t="s">
        <v>2586</v>
      </c>
      <c r="C1738" s="15" t="s">
        <v>5</v>
      </c>
      <c r="D1738" s="16" t="s">
        <v>6</v>
      </c>
      <c r="E1738" s="17" t="s">
        <v>7</v>
      </c>
      <c r="F1738" s="18" t="s">
        <v>3728</v>
      </c>
      <c r="G1738" s="19" t="s">
        <v>3729</v>
      </c>
      <c r="H1738" s="20" t="s">
        <v>3797</v>
      </c>
    </row>
    <row r="1739" spans="1:11">
      <c r="A1739" s="21"/>
      <c r="B1739" s="22" t="s">
        <v>3730</v>
      </c>
      <c r="C1739" s="23"/>
      <c r="D1739" s="24"/>
      <c r="E1739" s="25"/>
      <c r="F1739" s="26"/>
      <c r="G1739" s="27">
        <f>SUM(G1740:G1744)</f>
        <v>5460</v>
      </c>
      <c r="H1739" s="27">
        <f>IFERROR(G1739*E1737,"")</f>
        <v>0</v>
      </c>
    </row>
    <row r="1740" spans="1:11">
      <c r="A1740" s="28"/>
      <c r="B1740" s="29" t="s">
        <v>2685</v>
      </c>
      <c r="C1740" s="30" t="str">
        <f>IFERROR(_xlfn.XLOOKUP(B1740,Insumo[DESCRIPCION],Insumo[UND],,0),"")</f>
        <v>Lt</v>
      </c>
      <c r="D1740" s="31">
        <v>200</v>
      </c>
      <c r="E1740" s="32">
        <f>IFERROR(_xlfn.XLOOKUP($B1740,Insumo[DESCRIPCION],Insumo[VALOR],,0),"")</f>
        <v>27.3</v>
      </c>
      <c r="F1740" s="33"/>
      <c r="G1740" s="34">
        <f>IFERROR(IF(F1740&gt;=0,D1740*E1740*(1+F1740/100),ABS(D1740*E1740/F1740)),"")</f>
        <v>5460</v>
      </c>
      <c r="H1740" s="43">
        <f>IFERROR(G1740*E1737,"")</f>
        <v>0</v>
      </c>
    </row>
    <row r="1741" spans="1:11">
      <c r="A1741" s="28"/>
      <c r="B1741" s="29"/>
      <c r="C1741" s="30" t="str">
        <f>IFERROR(_xlfn.XLOOKUP(B1741,Insumo[DESCRIPCION],Insumo[UND],,0),"")</f>
        <v/>
      </c>
      <c r="D1741" s="31"/>
      <c r="E1741" s="32" t="str">
        <f>IFERROR(_xlfn.XLOOKUP($B1741,Insumo[DESCRIPCION],Insumo[VALOR],,0),"")</f>
        <v/>
      </c>
      <c r="F1741" s="33"/>
      <c r="G1741" s="34" t="str">
        <f>IFERROR(IF(F1741&gt;=0,D1741*E1741*(1+F1741/100),ABS(D1741*E1741/F1741)),"")</f>
        <v/>
      </c>
      <c r="H1741" s="43" t="str">
        <f>IFERROR(G1741*E1737,"")</f>
        <v/>
      </c>
    </row>
    <row r="1742" spans="1:11">
      <c r="A1742" s="28"/>
      <c r="B1742" s="29"/>
      <c r="C1742" s="30" t="str">
        <f>IFERROR(_xlfn.XLOOKUP(B1742,Insumo[DESCRIPCION],Insumo[UND],,0),"")</f>
        <v/>
      </c>
      <c r="D1742" s="31"/>
      <c r="E1742" s="32" t="str">
        <f>IFERROR(_xlfn.XLOOKUP($B1742,Insumo[DESCRIPCION],Insumo[VALOR],,0),"")</f>
        <v/>
      </c>
      <c r="F1742" s="33"/>
      <c r="G1742" s="34" t="str">
        <f>IFERROR(IF(F1742&gt;=0,D1742*E1742*(1+F1742/100),ABS(D1742*E1742/F1742)),"")</f>
        <v/>
      </c>
      <c r="H1742" s="43" t="str">
        <f>IFERROR(G1742*E1737,"")</f>
        <v/>
      </c>
    </row>
    <row r="1743" spans="1:11">
      <c r="A1743" s="28"/>
      <c r="B1743" s="29"/>
      <c r="C1743" s="30" t="str">
        <f>IFERROR(_xlfn.XLOOKUP(B1743,Insumo[DESCRIPCION],Insumo[UND],,0),"")</f>
        <v/>
      </c>
      <c r="D1743" s="31"/>
      <c r="E1743" s="32" t="str">
        <f>IFERROR(_xlfn.XLOOKUP($B1743,Insumo[DESCRIPCION],Insumo[VALOR],,0),"")</f>
        <v/>
      </c>
      <c r="F1743" s="33"/>
      <c r="G1743" s="34" t="str">
        <f>IFERROR(IF(F1743&gt;=0,D1743*E1743*(1+F1743/100),ABS(D1743*E1743/F1743)),"")</f>
        <v/>
      </c>
      <c r="H1743" s="43" t="str">
        <f>IFERROR(G1743*E1737,"")</f>
        <v/>
      </c>
    </row>
    <row r="1744" spans="1:11">
      <c r="A1744" s="28"/>
      <c r="B1744" s="29"/>
      <c r="C1744" s="30" t="str">
        <f>IFERROR(_xlfn.XLOOKUP(B1744,Insumo[DESCRIPCION],Insumo[UND],,0),"")</f>
        <v/>
      </c>
      <c r="D1744" s="31"/>
      <c r="E1744" s="32" t="str">
        <f>IFERROR(_xlfn.XLOOKUP($B1744,Insumo[DESCRIPCION],Insumo[VALOR],,0),"")</f>
        <v/>
      </c>
      <c r="F1744" s="33"/>
      <c r="G1744" s="34" t="str">
        <f>IFERROR(IF(F1744&gt;=0,D1744*E1744*(1+F1744/100),ABS(D1744*E1744/F1744)),"")</f>
        <v/>
      </c>
      <c r="H1744" s="43" t="str">
        <f>IFERROR(G1744*E1737,"")</f>
        <v/>
      </c>
    </row>
    <row r="1745" spans="1:11">
      <c r="A1745" s="21"/>
      <c r="B1745" s="22" t="s">
        <v>3731</v>
      </c>
      <c r="C1745" s="23"/>
      <c r="D1745" s="24"/>
      <c r="E1745" s="25"/>
      <c r="F1745" s="26"/>
      <c r="G1745" s="27">
        <f>SUM(G1746:G1748)</f>
        <v>4418.3125</v>
      </c>
      <c r="H1745" s="44">
        <f>G1745*E1737</f>
        <v>0</v>
      </c>
    </row>
    <row r="1746" spans="1:11">
      <c r="A1746" s="28"/>
      <c r="B1746" s="29" t="s">
        <v>3592</v>
      </c>
      <c r="C1746" s="30" t="str">
        <f>IFERROR(_xlfn.XLOOKUP(B1746,Equipo[DESCRIPCION],Equipo[UND],,0),"")</f>
        <v>Hr</v>
      </c>
      <c r="D1746" s="31">
        <v>1</v>
      </c>
      <c r="E1746" s="32">
        <f>IF(C1746="%MO",G1752,IFERROR(_xlfn.XLOOKUP($B1746,Equipo[DESCRIPCION],Equipo[VALOR],,0),""))</f>
        <v>115500</v>
      </c>
      <c r="F1746" s="33">
        <v>-30</v>
      </c>
      <c r="G1746" s="34">
        <f>IFERROR(IF(F1746&gt;=0,D1746*E1746*(1+F1746/100),ABS(D1746*E1746/F1746)),"")</f>
        <v>3850</v>
      </c>
      <c r="H1746" s="43">
        <f>IFERROR(G1746*E1737,"")</f>
        <v>0</v>
      </c>
    </row>
    <row r="1747" spans="1:11">
      <c r="A1747" s="28"/>
      <c r="B1747" s="29" t="s">
        <v>3588</v>
      </c>
      <c r="C1747" s="30" t="str">
        <f>IFERROR(_xlfn.XLOOKUP(B1747,Equipo[DESCRIPCION],Equipo[UND],,0),"")</f>
        <v>Hr</v>
      </c>
      <c r="D1747" s="31">
        <v>1</v>
      </c>
      <c r="E1747" s="32">
        <f>IF(C1747="%MO",G1752,IFERROR(_xlfn.XLOOKUP($B1747,Equipo[DESCRIPCION],Equipo[VALOR],,0),""))</f>
        <v>170493.75</v>
      </c>
      <c r="F1747" s="33">
        <v>-300</v>
      </c>
      <c r="G1747" s="34">
        <f>IFERROR(IF(F1747&gt;=0,D1747*E1747*(1+F1747/100),ABS(D1747*E1747/F1747)),"")</f>
        <v>568.3125</v>
      </c>
      <c r="H1747" s="43">
        <f>IFERROR(G1747*E1737,"")</f>
        <v>0</v>
      </c>
    </row>
    <row r="1748" spans="1:11">
      <c r="A1748" s="28"/>
      <c r="B1748" s="29"/>
      <c r="C1748" s="30" t="str">
        <f>IFERROR(_xlfn.XLOOKUP(B1748,Equipo[DESCRIPCION],Equipo[UND],,0),"")</f>
        <v/>
      </c>
      <c r="D1748" s="31"/>
      <c r="E1748" s="32" t="str">
        <f>IF(C1748="%MO",G1752,IFERROR(_xlfn.XLOOKUP($B1748,Equipo[DESCRIPCION],Equipo[VALOR],,0),""))</f>
        <v/>
      </c>
      <c r="F1748" s="33"/>
      <c r="G1748" s="34" t="str">
        <f>IFERROR(IF(F1748&gt;=0,D1748*E1748*(1+F1748/100),ABS(D1748*E1748/F1748)),"")</f>
        <v/>
      </c>
      <c r="H1748" s="43" t="str">
        <f>IFERROR(G1748*E1737,"")</f>
        <v/>
      </c>
    </row>
    <row r="1749" spans="1:11">
      <c r="A1749" s="21"/>
      <c r="B1749" s="22" t="s">
        <v>2533</v>
      </c>
      <c r="C1749" s="23"/>
      <c r="D1749" s="24"/>
      <c r="E1749" s="25"/>
      <c r="F1749" s="26"/>
      <c r="G1749" s="27">
        <f>SUM(G1750:G1751)</f>
        <v>59827.95</v>
      </c>
      <c r="H1749" s="44">
        <f>G1749*E1737</f>
        <v>0</v>
      </c>
    </row>
    <row r="1750" spans="1:11">
      <c r="A1750" s="28"/>
      <c r="B1750" s="29" t="s">
        <v>3664</v>
      </c>
      <c r="C1750" s="30" t="str">
        <f>IFERROR(_xlfn.XLOOKUP(B1750,Transporte[DESCRIPCION],Transporte[UND],,0),"")</f>
        <v>M3-km</v>
      </c>
      <c r="D1750" s="31">
        <f>30*1.3</f>
        <v>39</v>
      </c>
      <c r="E1750" s="32">
        <f>IFERROR(_xlfn.XLOOKUP($B1750,Transporte[DESCRIPCION],Transporte[VALOR],,0),"")</f>
        <v>1534.05</v>
      </c>
      <c r="F1750" s="33"/>
      <c r="G1750" s="34">
        <f>IFERROR(IF(F1750&gt;=0,D1750*E1750*(1+F1750/100),ABS(D1750*E1750/F1750)),"")</f>
        <v>59827.95</v>
      </c>
      <c r="H1750" s="43">
        <f>IFERROR(G1750*E1737,"")</f>
        <v>0</v>
      </c>
    </row>
    <row r="1751" spans="1:11">
      <c r="A1751" s="28"/>
      <c r="B1751" s="29"/>
      <c r="C1751" s="30" t="str">
        <f>IFERROR(_xlfn.XLOOKUP(B1751,Transporte[DESCRIPCION],Transporte[UND],,0),"")</f>
        <v/>
      </c>
      <c r="D1751" s="31"/>
      <c r="E1751" s="32" t="str">
        <f>IFERROR(_xlfn.XLOOKUP($B1751,Transporte[DESCRIPCION],Transporte[VALOR],,0),"")</f>
        <v/>
      </c>
      <c r="F1751" s="33"/>
      <c r="G1751" s="34" t="str">
        <f>IFERROR(IF(F1751&gt;=0,D1751*E1751*(1+F1751/100),ABS(D1751*E1751/F1751)),"")</f>
        <v/>
      </c>
      <c r="H1751" s="43" t="str">
        <f>IFERROR(G1751*E1737,"")</f>
        <v/>
      </c>
    </row>
    <row r="1752" spans="1:11">
      <c r="A1752" s="21"/>
      <c r="B1752" s="22" t="s">
        <v>3732</v>
      </c>
      <c r="C1752" s="23"/>
      <c r="D1752" s="24"/>
      <c r="E1752" s="25"/>
      <c r="F1752" s="26"/>
      <c r="G1752" s="27">
        <f>SUM(G1753:G1755)</f>
        <v>18242.426286500006</v>
      </c>
      <c r="H1752" s="44">
        <f>G1752*E1737</f>
        <v>0</v>
      </c>
    </row>
    <row r="1753" spans="1:11">
      <c r="A1753" s="28"/>
      <c r="B1753" s="29" t="s">
        <v>3712</v>
      </c>
      <c r="C1753" s="30" t="str">
        <f>IFERROR(_xlfn.XLOOKUP(B1753,MObra[DESCRIPCION],MObra[UN],,0),"")</f>
        <v>día</v>
      </c>
      <c r="D1753" s="31">
        <v>1</v>
      </c>
      <c r="E1753" s="32">
        <f>IFERROR(_xlfn.XLOOKUP($B1753,MObra[DESCRIPCION],MObra[VALOR UNIT],,0),"")</f>
        <v>547272.78859500017</v>
      </c>
      <c r="F1753" s="33">
        <v>-30</v>
      </c>
      <c r="G1753" s="34">
        <f>IFERROR(IF(F1753&gt;=0,D1753*E1753*(1+F1753/100),ABS(D1753*E1753/F1753)),"")</f>
        <v>18242.426286500006</v>
      </c>
      <c r="H1753" s="43">
        <f>IFERROR(G1753*E1737,"")</f>
        <v>0</v>
      </c>
    </row>
    <row r="1754" spans="1:11">
      <c r="A1754" s="28"/>
      <c r="B1754" s="29"/>
      <c r="C1754" s="30" t="str">
        <f>IFERROR(_xlfn.XLOOKUP(B1754,MObra[DESCRIPCION],MObra[UN],,0),"")</f>
        <v/>
      </c>
      <c r="D1754" s="31"/>
      <c r="E1754" s="32" t="str">
        <f>IFERROR(_xlfn.XLOOKUP($B1754,MObra[DESCRIPCION],MObra[VALOR UNIT],,0),"")</f>
        <v/>
      </c>
      <c r="F1754" s="33"/>
      <c r="G1754" s="34" t="str">
        <f>IFERROR(IF(F1754&gt;=0,D1754*E1754*(1+F1754/100),ABS(D1754*E1754/F1754)),"")</f>
        <v/>
      </c>
      <c r="H1754" s="43" t="str">
        <f>IFERROR(G1754*E1737,"")</f>
        <v/>
      </c>
    </row>
    <row r="1755" spans="1:11" ht="13.15" thickBot="1">
      <c r="A1755" s="35"/>
      <c r="B1755" s="36"/>
      <c r="C1755" s="37" t="str">
        <f>IFERROR(_xlfn.XLOOKUP(B1755,MObra[DESCRIPCION],MObra[UN],,0),"")</f>
        <v/>
      </c>
      <c r="D1755" s="38"/>
      <c r="E1755" s="39" t="str">
        <f>IFERROR(_xlfn.XLOOKUP($B1755,MObra[DESCRIPCION],MObra[VALOR UNIT],,0),"")</f>
        <v/>
      </c>
      <c r="F1755" s="40"/>
      <c r="G1755" s="41" t="str">
        <f>IFERROR(IF(F1755&gt;=0,D1755*E1755*(1+F1755/100),ABS(D1755*E1755/F1755)),"")</f>
        <v/>
      </c>
      <c r="H1755" s="42" t="str">
        <f>IFERROR(G1755*E1737,"")</f>
        <v/>
      </c>
    </row>
    <row r="1756" spans="1:11" ht="13.5" thickTop="1" thickBot="1"/>
    <row r="1757" spans="1:11" ht="13.5" thickTop="1" thickBot="1">
      <c r="A1757" s="6" t="s">
        <v>1900</v>
      </c>
      <c r="B1757" s="7" t="str">
        <f>VLOOKUP($A1757,Presupuesto!$A:$D,2,FALSE())</f>
        <v>Base granular tipo MOPT / INVIAS</v>
      </c>
      <c r="C1757" s="8" t="str">
        <f>VLOOKUP($A1757,Presupuesto!$A:$D,3,FALSE())</f>
        <v>M3</v>
      </c>
      <c r="D1757" s="9"/>
      <c r="E1757" s="10">
        <f>VLOOKUP($A1757,Presupuesto!$A:$D,4,FALSE())</f>
        <v>0</v>
      </c>
      <c r="F1757" s="11" t="s">
        <v>2589</v>
      </c>
      <c r="G1757" s="12">
        <f>SUM(G1759:G1775)/2</f>
        <v>192015.7409551607</v>
      </c>
      <c r="H1757" s="13">
        <f>ROUND(SUM(H1759:H1775),0)/2</f>
        <v>0</v>
      </c>
      <c r="I1757" s="10">
        <f>VLOOKUP(A1757,Presupuesto!$A:$F,6,0)</f>
        <v>0</v>
      </c>
      <c r="J1757" s="10">
        <f>+H1757-I1757</f>
        <v>0</v>
      </c>
      <c r="K1757" s="46">
        <f>+H1757-G1757*E1757</f>
        <v>0</v>
      </c>
    </row>
    <row r="1758" spans="1:11" ht="13.15" thickTop="1">
      <c r="A1758" s="14"/>
      <c r="B1758" s="15" t="s">
        <v>2586</v>
      </c>
      <c r="C1758" s="15" t="s">
        <v>5</v>
      </c>
      <c r="D1758" s="16" t="s">
        <v>6</v>
      </c>
      <c r="E1758" s="17" t="s">
        <v>7</v>
      </c>
      <c r="F1758" s="18" t="s">
        <v>3728</v>
      </c>
      <c r="G1758" s="19" t="s">
        <v>3729</v>
      </c>
      <c r="H1758" s="20" t="s">
        <v>3797</v>
      </c>
    </row>
    <row r="1759" spans="1:11">
      <c r="A1759" s="21"/>
      <c r="B1759" s="22" t="s">
        <v>3730</v>
      </c>
      <c r="C1759" s="23"/>
      <c r="D1759" s="24"/>
      <c r="E1759" s="25"/>
      <c r="F1759" s="26"/>
      <c r="G1759" s="27">
        <f>SUM(G1760:G1764)</f>
        <v>102638.48700000001</v>
      </c>
      <c r="H1759" s="27">
        <f>IFERROR(G1759*E1757,"")</f>
        <v>0</v>
      </c>
    </row>
    <row r="1760" spans="1:11">
      <c r="A1760" s="28"/>
      <c r="B1760" s="29" t="s">
        <v>3160</v>
      </c>
      <c r="C1760" s="30" t="str">
        <f>IFERROR(_xlfn.XLOOKUP(B1760,Insumo[DESCRIPCION],Insumo[UND],,0),"")</f>
        <v>M3</v>
      </c>
      <c r="D1760" s="31">
        <v>1</v>
      </c>
      <c r="E1760" s="32">
        <f>IFERROR(_xlfn.XLOOKUP($B1760,Insumo[DESCRIPCION],Insumo[VALOR],,0),"")</f>
        <v>73881.150000000009</v>
      </c>
      <c r="F1760" s="33">
        <v>38</v>
      </c>
      <c r="G1760" s="34">
        <f>IFERROR(IF(F1760&gt;=0,D1760*E1760*(1+F1760/100),ABS(D1760*E1760/F1760)),"")</f>
        <v>101955.98700000001</v>
      </c>
      <c r="H1760" s="43">
        <f>IFERROR(G1760*E1757,"")</f>
        <v>0</v>
      </c>
    </row>
    <row r="1761" spans="1:8">
      <c r="A1761" s="28"/>
      <c r="B1761" s="29" t="s">
        <v>2685</v>
      </c>
      <c r="C1761" s="30" t="str">
        <f>IFERROR(_xlfn.XLOOKUP(B1761,Insumo[DESCRIPCION],Insumo[UND],,0),"")</f>
        <v>Lt</v>
      </c>
      <c r="D1761" s="31">
        <v>25</v>
      </c>
      <c r="E1761" s="32">
        <f>IFERROR(_xlfn.XLOOKUP($B1761,Insumo[DESCRIPCION],Insumo[VALOR],,0),"")</f>
        <v>27.3</v>
      </c>
      <c r="F1761" s="33"/>
      <c r="G1761" s="34">
        <f>IFERROR(IF(F1761&gt;=0,D1761*E1761*(1+F1761/100),ABS(D1761*E1761/F1761)),"")</f>
        <v>682.5</v>
      </c>
      <c r="H1761" s="43">
        <f>IFERROR(G1761*E1757,"")</f>
        <v>0</v>
      </c>
    </row>
    <row r="1762" spans="1:8">
      <c r="A1762" s="28"/>
      <c r="B1762" s="29"/>
      <c r="C1762" s="30" t="str">
        <f>IFERROR(_xlfn.XLOOKUP(B1762,Insumo[DESCRIPCION],Insumo[UND],,0),"")</f>
        <v/>
      </c>
      <c r="D1762" s="31"/>
      <c r="E1762" s="32" t="str">
        <f>IFERROR(_xlfn.XLOOKUP($B1762,Insumo[DESCRIPCION],Insumo[VALOR],,0),"")</f>
        <v/>
      </c>
      <c r="F1762" s="33"/>
      <c r="G1762" s="34" t="str">
        <f>IFERROR(IF(F1762&gt;=0,D1762*E1762*(1+F1762/100),ABS(D1762*E1762/F1762)),"")</f>
        <v/>
      </c>
      <c r="H1762" s="43" t="str">
        <f>IFERROR(G1762*E1757,"")</f>
        <v/>
      </c>
    </row>
    <row r="1763" spans="1:8">
      <c r="A1763" s="28"/>
      <c r="B1763" s="29"/>
      <c r="C1763" s="30" t="str">
        <f>IFERROR(_xlfn.XLOOKUP(B1763,Insumo[DESCRIPCION],Insumo[UND],,0),"")</f>
        <v/>
      </c>
      <c r="D1763" s="31"/>
      <c r="E1763" s="32" t="str">
        <f>IFERROR(_xlfn.XLOOKUP($B1763,Insumo[DESCRIPCION],Insumo[VALOR],,0),"")</f>
        <v/>
      </c>
      <c r="F1763" s="33"/>
      <c r="G1763" s="34" t="str">
        <f>IFERROR(IF(F1763&gt;=0,D1763*E1763*(1+F1763/100),ABS(D1763*E1763/F1763)),"")</f>
        <v/>
      </c>
      <c r="H1763" s="43" t="str">
        <f>IFERROR(G1763*E1757,"")</f>
        <v/>
      </c>
    </row>
    <row r="1764" spans="1:8">
      <c r="A1764" s="28"/>
      <c r="B1764" s="29"/>
      <c r="C1764" s="30" t="str">
        <f>IFERROR(_xlfn.XLOOKUP(B1764,Insumo[DESCRIPCION],Insumo[UND],,0),"")</f>
        <v/>
      </c>
      <c r="D1764" s="31"/>
      <c r="E1764" s="32" t="str">
        <f>IFERROR(_xlfn.XLOOKUP($B1764,Insumo[DESCRIPCION],Insumo[VALOR],,0),"")</f>
        <v/>
      </c>
      <c r="F1764" s="33"/>
      <c r="G1764" s="34" t="str">
        <f>IFERROR(IF(F1764&gt;=0,D1764*E1764*(1+F1764/100),ABS(D1764*E1764/F1764)),"")</f>
        <v/>
      </c>
      <c r="H1764" s="43" t="str">
        <f>IFERROR(G1764*E1757,"")</f>
        <v/>
      </c>
    </row>
    <row r="1765" spans="1:8">
      <c r="A1765" s="21"/>
      <c r="B1765" s="22" t="s">
        <v>3731</v>
      </c>
      <c r="C1765" s="23"/>
      <c r="D1765" s="24"/>
      <c r="E1765" s="25"/>
      <c r="F1765" s="26"/>
      <c r="G1765" s="27">
        <f>SUM(G1766:G1768)</f>
        <v>12912.2325</v>
      </c>
      <c r="H1765" s="44">
        <f>G1765*E1757</f>
        <v>0</v>
      </c>
    </row>
    <row r="1766" spans="1:8">
      <c r="A1766" s="28"/>
      <c r="B1766" s="29" t="s">
        <v>3592</v>
      </c>
      <c r="C1766" s="30" t="str">
        <f>IFERROR(_xlfn.XLOOKUP(B1766,Equipo[DESCRIPCION],Equipo[UND],,0),"")</f>
        <v>Hr</v>
      </c>
      <c r="D1766" s="31">
        <v>1</v>
      </c>
      <c r="E1766" s="32">
        <f>IF(C1766="%MO",G1772,IFERROR(_xlfn.XLOOKUP($B1766,Equipo[DESCRIPCION],Equipo[VALOR],,0),""))</f>
        <v>115500</v>
      </c>
      <c r="F1766" s="33">
        <v>-35</v>
      </c>
      <c r="G1766" s="34">
        <f>IFERROR(IF(F1766&gt;=0,D1766*E1766*(1+F1766/100),ABS(D1766*E1766/F1766)),"")</f>
        <v>3300</v>
      </c>
      <c r="H1766" s="43">
        <f>IFERROR(G1766*E1757,"")</f>
        <v>0</v>
      </c>
    </row>
    <row r="1767" spans="1:8">
      <c r="A1767" s="28"/>
      <c r="B1767" s="29" t="s">
        <v>3633</v>
      </c>
      <c r="C1767" s="30" t="str">
        <f>IFERROR(_xlfn.XLOOKUP(B1767,Equipo[DESCRIPCION],Equipo[UND],,0),"")</f>
        <v>Hr</v>
      </c>
      <c r="D1767" s="31">
        <v>1</v>
      </c>
      <c r="E1767" s="32">
        <f>IF(C1767="%MO",G1772,IFERROR(_xlfn.XLOOKUP($B1767,Equipo[DESCRIPCION],Equipo[VALOR],,0),""))</f>
        <v>316537.2</v>
      </c>
      <c r="F1767" s="33">
        <v>-35</v>
      </c>
      <c r="G1767" s="34">
        <f>IFERROR(IF(F1767&gt;=0,D1767*E1767*(1+F1767/100),ABS(D1767*E1767/F1767)),"")</f>
        <v>9043.92</v>
      </c>
      <c r="H1767" s="43">
        <f>IFERROR(G1767*E1757,"")</f>
        <v>0</v>
      </c>
    </row>
    <row r="1768" spans="1:8">
      <c r="A1768" s="28"/>
      <c r="B1768" s="29" t="s">
        <v>3588</v>
      </c>
      <c r="C1768" s="30" t="str">
        <f>IFERROR(_xlfn.XLOOKUP(B1768,Equipo[DESCRIPCION],Equipo[UND],,0),"")</f>
        <v>Hr</v>
      </c>
      <c r="D1768" s="31">
        <v>1</v>
      </c>
      <c r="E1768" s="32">
        <f>IF(C1768="%MO",G1772,IFERROR(_xlfn.XLOOKUP($B1768,Equipo[DESCRIPCION],Equipo[VALOR],,0),""))</f>
        <v>170493.75</v>
      </c>
      <c r="F1768" s="33">
        <v>-300</v>
      </c>
      <c r="G1768" s="34">
        <f>IFERROR(IF(F1768&gt;=0,D1768*E1768*(1+F1768/100),ABS(D1768*E1768/F1768)),"")</f>
        <v>568.3125</v>
      </c>
      <c r="H1768" s="43">
        <f>IFERROR(G1768*E1757,"")</f>
        <v>0</v>
      </c>
    </row>
    <row r="1769" spans="1:8">
      <c r="A1769" s="21"/>
      <c r="B1769" s="22" t="s">
        <v>2533</v>
      </c>
      <c r="C1769" s="23"/>
      <c r="D1769" s="24"/>
      <c r="E1769" s="25"/>
      <c r="F1769" s="26"/>
      <c r="G1769" s="27">
        <f>SUM(G1770:G1771)</f>
        <v>74094.614999999991</v>
      </c>
      <c r="H1769" s="44">
        <f>G1769*E1757</f>
        <v>0</v>
      </c>
    </row>
    <row r="1770" spans="1:8">
      <c r="A1770" s="28"/>
      <c r="B1770" s="29" t="s">
        <v>3664</v>
      </c>
      <c r="C1770" s="30" t="str">
        <f>IFERROR(_xlfn.XLOOKUP(B1770,Transporte[DESCRIPCION],Transporte[UND],,0),"")</f>
        <v>M3-km</v>
      </c>
      <c r="D1770" s="31">
        <v>48.3</v>
      </c>
      <c r="E1770" s="32">
        <f>IFERROR(_xlfn.XLOOKUP($B1770,Transporte[DESCRIPCION],Transporte[VALOR],,0),"")</f>
        <v>1534.05</v>
      </c>
      <c r="F1770" s="33"/>
      <c r="G1770" s="34">
        <f>IFERROR(IF(F1770&gt;=0,D1770*E1770*(1+F1770/100),ABS(D1770*E1770/F1770)),"")</f>
        <v>74094.614999999991</v>
      </c>
      <c r="H1770" s="43">
        <f>IFERROR(G1770*E1757,"")</f>
        <v>0</v>
      </c>
    </row>
    <row r="1771" spans="1:8">
      <c r="A1771" s="28"/>
      <c r="B1771" s="29"/>
      <c r="C1771" s="30" t="str">
        <f>IFERROR(_xlfn.XLOOKUP(B1771,Transporte[DESCRIPCION],Transporte[UND],,0),"")</f>
        <v/>
      </c>
      <c r="D1771" s="31"/>
      <c r="E1771" s="32" t="str">
        <f>IFERROR(_xlfn.XLOOKUP($B1771,Transporte[DESCRIPCION],Transporte[VALOR],,0),"")</f>
        <v/>
      </c>
      <c r="F1771" s="33"/>
      <c r="G1771" s="34" t="str">
        <f>IFERROR(IF(F1771&gt;=0,D1771*E1771*(1+F1771/100),ABS(D1771*E1771/F1771)),"")</f>
        <v/>
      </c>
      <c r="H1771" s="43" t="str">
        <f>IFERROR(G1771*E1757,"")</f>
        <v/>
      </c>
    </row>
    <row r="1772" spans="1:8">
      <c r="A1772" s="21"/>
      <c r="B1772" s="22" t="s">
        <v>3732</v>
      </c>
      <c r="C1772" s="23"/>
      <c r="D1772" s="24"/>
      <c r="E1772" s="25"/>
      <c r="F1772" s="26"/>
      <c r="G1772" s="27">
        <f>SUM(G1773:G1775)</f>
        <v>2370.4064551607148</v>
      </c>
      <c r="H1772" s="44">
        <f>G1772*E1757</f>
        <v>0</v>
      </c>
    </row>
    <row r="1773" spans="1:8">
      <c r="A1773" s="28"/>
      <c r="B1773" s="29" t="s">
        <v>3713</v>
      </c>
      <c r="C1773" s="30" t="str">
        <f>IFERROR(_xlfn.XLOOKUP(B1773,MObra[DESCRIPCION],MObra[UN],,0),"")</f>
        <v>día</v>
      </c>
      <c r="D1773" s="31">
        <v>1</v>
      </c>
      <c r="E1773" s="32">
        <f>IFERROR(_xlfn.XLOOKUP($B1773,MObra[DESCRIPCION],MObra[VALOR UNIT],,0),"")</f>
        <v>663713.80744500016</v>
      </c>
      <c r="F1773" s="33">
        <v>-280</v>
      </c>
      <c r="G1773" s="34">
        <f>IFERROR(IF(F1773&gt;=0,D1773*E1773*(1+F1773/100),ABS(D1773*E1773/F1773)),"")</f>
        <v>2370.4064551607148</v>
      </c>
      <c r="H1773" s="43">
        <f>IFERROR(G1773*E1757,"")</f>
        <v>0</v>
      </c>
    </row>
    <row r="1774" spans="1:8">
      <c r="A1774" s="28"/>
      <c r="B1774" s="29"/>
      <c r="C1774" s="30" t="str">
        <f>IFERROR(_xlfn.XLOOKUP(B1774,MObra[DESCRIPCION],MObra[UN],,0),"")</f>
        <v/>
      </c>
      <c r="D1774" s="31"/>
      <c r="E1774" s="32" t="str">
        <f>IFERROR(_xlfn.XLOOKUP($B1774,MObra[DESCRIPCION],MObra[VALOR UNIT],,0),"")</f>
        <v/>
      </c>
      <c r="F1774" s="33"/>
      <c r="G1774" s="34" t="str">
        <f>IFERROR(IF(F1774&gt;=0,D1774*E1774*(1+F1774/100),ABS(D1774*E1774/F1774)),"")</f>
        <v/>
      </c>
      <c r="H1774" s="43" t="str">
        <f>IFERROR(G1774*E1757,"")</f>
        <v/>
      </c>
    </row>
    <row r="1775" spans="1:8" ht="13.15" thickBot="1">
      <c r="A1775" s="35"/>
      <c r="B1775" s="36"/>
      <c r="C1775" s="37" t="str">
        <f>IFERROR(_xlfn.XLOOKUP(B1775,MObra[DESCRIPCION],MObra[UN],,0),"")</f>
        <v/>
      </c>
      <c r="D1775" s="38"/>
      <c r="E1775" s="39" t="str">
        <f>IFERROR(_xlfn.XLOOKUP($B1775,MObra[DESCRIPCION],MObra[VALOR UNIT],,0),"")</f>
        <v/>
      </c>
      <c r="F1775" s="40"/>
      <c r="G1775" s="41" t="str">
        <f>IFERROR(IF(F1775&gt;=0,D1775*E1775*(1+F1775/100),ABS(D1775*E1775/F1775)),"")</f>
        <v/>
      </c>
      <c r="H1775" s="42" t="str">
        <f>IFERROR(G1775*E1757,"")</f>
        <v/>
      </c>
    </row>
    <row r="1776" spans="1:8" ht="13.5" thickTop="1" thickBot="1"/>
    <row r="1777" spans="1:11" ht="13.5" thickTop="1" thickBot="1">
      <c r="A1777" s="6" t="s">
        <v>1902</v>
      </c>
      <c r="B1777" s="7" t="str">
        <f>VLOOKUP($A1777,Presupuesto!$A:$D,2,FALSE())</f>
        <v>Escarificado + restitución base manual</v>
      </c>
      <c r="C1777" s="8" t="str">
        <f>VLOOKUP($A1777,Presupuesto!$A:$D,3,FALSE())</f>
        <v>M2</v>
      </c>
      <c r="D1777" s="9"/>
      <c r="E1777" s="10">
        <f>VLOOKUP($A1777,Presupuesto!$A:$D,4,FALSE())</f>
        <v>0</v>
      </c>
      <c r="F1777" s="11" t="s">
        <v>2589</v>
      </c>
      <c r="G1777" s="12">
        <f>SUM(G1779:G1795)/2</f>
        <v>6968.9949781725027</v>
      </c>
      <c r="H1777" s="13">
        <f>ROUND(SUM(H1779:H1795),0)/2</f>
        <v>0</v>
      </c>
      <c r="I1777" s="10">
        <f>VLOOKUP(A1777,Presupuesto!$A:$F,6,0)</f>
        <v>0</v>
      </c>
      <c r="J1777" s="10">
        <f>+H1777-I1777</f>
        <v>0</v>
      </c>
      <c r="K1777" s="46">
        <f>+H1777-G1777*E1777</f>
        <v>0</v>
      </c>
    </row>
    <row r="1778" spans="1:11" ht="13.15" thickTop="1">
      <c r="A1778" s="14"/>
      <c r="B1778" s="15" t="s">
        <v>2586</v>
      </c>
      <c r="C1778" s="15" t="s">
        <v>5</v>
      </c>
      <c r="D1778" s="16" t="s">
        <v>6</v>
      </c>
      <c r="E1778" s="17" t="s">
        <v>7</v>
      </c>
      <c r="F1778" s="18" t="s">
        <v>3728</v>
      </c>
      <c r="G1778" s="19" t="s">
        <v>3729</v>
      </c>
      <c r="H1778" s="20" t="s">
        <v>3797</v>
      </c>
    </row>
    <row r="1779" spans="1:11">
      <c r="A1779" s="21"/>
      <c r="B1779" s="22" t="s">
        <v>3730</v>
      </c>
      <c r="C1779" s="23"/>
      <c r="D1779" s="24"/>
      <c r="E1779" s="25"/>
      <c r="F1779" s="26"/>
      <c r="G1779" s="27">
        <f>SUM(G1780:G1784)</f>
        <v>0</v>
      </c>
      <c r="H1779" s="27">
        <f>IFERROR(G1779*E1777,"")</f>
        <v>0</v>
      </c>
    </row>
    <row r="1780" spans="1:11">
      <c r="A1780" s="28"/>
      <c r="B1780" s="29"/>
      <c r="C1780" s="30" t="str">
        <f>IFERROR(_xlfn.XLOOKUP(B1780,Insumo[DESCRIPCION],Insumo[UND],,0),"")</f>
        <v/>
      </c>
      <c r="D1780" s="31"/>
      <c r="E1780" s="32" t="str">
        <f>IFERROR(_xlfn.XLOOKUP($B1780,Insumo[DESCRIPCION],Insumo[VALOR],,0),"")</f>
        <v/>
      </c>
      <c r="F1780" s="33"/>
      <c r="G1780" s="34" t="str">
        <f>IFERROR(IF(F1780&gt;=0,D1780*E1780*(1+F1780/100),ABS(D1780*E1780/F1780)),"")</f>
        <v/>
      </c>
      <c r="H1780" s="43" t="str">
        <f>IFERROR(G1780*E1777,"")</f>
        <v/>
      </c>
    </row>
    <row r="1781" spans="1:11">
      <c r="A1781" s="28"/>
      <c r="B1781" s="29"/>
      <c r="C1781" s="30" t="str">
        <f>IFERROR(_xlfn.XLOOKUP(B1781,Insumo[DESCRIPCION],Insumo[UND],,0),"")</f>
        <v/>
      </c>
      <c r="D1781" s="31"/>
      <c r="E1781" s="32" t="str">
        <f>IFERROR(_xlfn.XLOOKUP($B1781,Insumo[DESCRIPCION],Insumo[VALOR],,0),"")</f>
        <v/>
      </c>
      <c r="F1781" s="33"/>
      <c r="G1781" s="34" t="str">
        <f>IFERROR(IF(F1781&gt;=0,D1781*E1781*(1+F1781/100),ABS(D1781*E1781/F1781)),"")</f>
        <v/>
      </c>
      <c r="H1781" s="43" t="str">
        <f>IFERROR(G1781*E1777,"")</f>
        <v/>
      </c>
    </row>
    <row r="1782" spans="1:11">
      <c r="A1782" s="28"/>
      <c r="B1782" s="29"/>
      <c r="C1782" s="30" t="str">
        <f>IFERROR(_xlfn.XLOOKUP(B1782,Insumo[DESCRIPCION],Insumo[UND],,0),"")</f>
        <v/>
      </c>
      <c r="D1782" s="31"/>
      <c r="E1782" s="32" t="str">
        <f>IFERROR(_xlfn.XLOOKUP($B1782,Insumo[DESCRIPCION],Insumo[VALOR],,0),"")</f>
        <v/>
      </c>
      <c r="F1782" s="33"/>
      <c r="G1782" s="34" t="str">
        <f>IFERROR(IF(F1782&gt;=0,D1782*E1782*(1+F1782/100),ABS(D1782*E1782/F1782)),"")</f>
        <v/>
      </c>
      <c r="H1782" s="43" t="str">
        <f>IFERROR(G1782*E1777,"")</f>
        <v/>
      </c>
    </row>
    <row r="1783" spans="1:11">
      <c r="A1783" s="28"/>
      <c r="B1783" s="29"/>
      <c r="C1783" s="30" t="str">
        <f>IFERROR(_xlfn.XLOOKUP(B1783,Insumo[DESCRIPCION],Insumo[UND],,0),"")</f>
        <v/>
      </c>
      <c r="D1783" s="31"/>
      <c r="E1783" s="32" t="str">
        <f>IFERROR(_xlfn.XLOOKUP($B1783,Insumo[DESCRIPCION],Insumo[VALOR],,0),"")</f>
        <v/>
      </c>
      <c r="F1783" s="33"/>
      <c r="G1783" s="34" t="str">
        <f>IFERROR(IF(F1783&gt;=0,D1783*E1783*(1+F1783/100),ABS(D1783*E1783/F1783)),"")</f>
        <v/>
      </c>
      <c r="H1783" s="43" t="str">
        <f>IFERROR(G1783*E1777,"")</f>
        <v/>
      </c>
    </row>
    <row r="1784" spans="1:11">
      <c r="A1784" s="28"/>
      <c r="B1784" s="29"/>
      <c r="C1784" s="30" t="str">
        <f>IFERROR(_xlfn.XLOOKUP(B1784,Insumo[DESCRIPCION],Insumo[UND],,0),"")</f>
        <v/>
      </c>
      <c r="D1784" s="31"/>
      <c r="E1784" s="32" t="str">
        <f>IFERROR(_xlfn.XLOOKUP($B1784,Insumo[DESCRIPCION],Insumo[VALOR],,0),"")</f>
        <v/>
      </c>
      <c r="F1784" s="33"/>
      <c r="G1784" s="34" t="str">
        <f>IFERROR(IF(F1784&gt;=0,D1784*E1784*(1+F1784/100),ABS(D1784*E1784/F1784)),"")</f>
        <v/>
      </c>
      <c r="H1784" s="43" t="str">
        <f>IFERROR(G1784*E1777,"")</f>
        <v/>
      </c>
    </row>
    <row r="1785" spans="1:11">
      <c r="A1785" s="21"/>
      <c r="B1785" s="22" t="s">
        <v>3731</v>
      </c>
      <c r="C1785" s="23"/>
      <c r="D1785" s="24"/>
      <c r="E1785" s="25"/>
      <c r="F1785" s="26"/>
      <c r="G1785" s="27">
        <f>SUM(G1786:G1788)</f>
        <v>331.85690372250014</v>
      </c>
      <c r="H1785" s="44">
        <f>G1785*E1777</f>
        <v>0</v>
      </c>
    </row>
    <row r="1786" spans="1:11">
      <c r="A1786" s="28"/>
      <c r="B1786" s="29" t="s">
        <v>3626</v>
      </c>
      <c r="C1786" s="30" t="str">
        <f>IFERROR(_xlfn.XLOOKUP(B1786,Equipo[DESCRIPCION],Equipo[UND],,0),"")</f>
        <v>%MO</v>
      </c>
      <c r="D1786" s="31">
        <v>0.05</v>
      </c>
      <c r="E1786" s="32">
        <f>IF(C1786="%MO",G1792,IFERROR(_xlfn.XLOOKUP($B1786,Equipo[DESCRIPCION],Equipo[VALOR],,0),""))</f>
        <v>6637.138074450002</v>
      </c>
      <c r="F1786" s="33"/>
      <c r="G1786" s="34">
        <f>IFERROR(IF(F1786&gt;=0,D1786*E1786*(1+F1786/100),ABS(D1786*E1786/F1786)),"")</f>
        <v>331.85690372250014</v>
      </c>
      <c r="H1786" s="43">
        <f>IFERROR(G1786*E1777,"")</f>
        <v>0</v>
      </c>
    </row>
    <row r="1787" spans="1:11">
      <c r="A1787" s="28"/>
      <c r="B1787" s="29"/>
      <c r="C1787" s="30" t="str">
        <f>IFERROR(_xlfn.XLOOKUP(B1787,Equipo[DESCRIPCION],Equipo[UND],,0),"")</f>
        <v/>
      </c>
      <c r="D1787" s="31"/>
      <c r="E1787" s="32" t="str">
        <f>IF(C1787="%MO",G1792,IFERROR(_xlfn.XLOOKUP($B1787,Equipo[DESCRIPCION],Equipo[VALOR],,0),""))</f>
        <v/>
      </c>
      <c r="F1787" s="33"/>
      <c r="G1787" s="34" t="str">
        <f>IFERROR(IF(F1787&gt;=0,D1787*E1787*(1+F1787/100),ABS(D1787*E1787/F1787)),"")</f>
        <v/>
      </c>
      <c r="H1787" s="43" t="str">
        <f>IFERROR(G1787*E1777,"")</f>
        <v/>
      </c>
    </row>
    <row r="1788" spans="1:11">
      <c r="A1788" s="28"/>
      <c r="B1788" s="29"/>
      <c r="C1788" s="30" t="str">
        <f>IFERROR(_xlfn.XLOOKUP(B1788,Equipo[DESCRIPCION],Equipo[UND],,0),"")</f>
        <v/>
      </c>
      <c r="D1788" s="31"/>
      <c r="E1788" s="32" t="str">
        <f>IF(C1788="%MO",G1792,IFERROR(_xlfn.XLOOKUP($B1788,Equipo[DESCRIPCION],Equipo[VALOR],,0),""))</f>
        <v/>
      </c>
      <c r="F1788" s="33"/>
      <c r="G1788" s="34" t="str">
        <f>IFERROR(IF(F1788&gt;=0,D1788*E1788*(1+F1788/100),ABS(D1788*E1788/F1788)),"")</f>
        <v/>
      </c>
      <c r="H1788" s="43" t="str">
        <f>IFERROR(G1788*E1777,"")</f>
        <v/>
      </c>
    </row>
    <row r="1789" spans="1:11">
      <c r="A1789" s="21"/>
      <c r="B1789" s="22" t="s">
        <v>2533</v>
      </c>
      <c r="C1789" s="23"/>
      <c r="D1789" s="24"/>
      <c r="E1789" s="25"/>
      <c r="F1789" s="26"/>
      <c r="G1789" s="27">
        <f>SUM(G1790:G1791)</f>
        <v>0</v>
      </c>
      <c r="H1789" s="44">
        <f>G1789*E1777</f>
        <v>0</v>
      </c>
    </row>
    <row r="1790" spans="1:11">
      <c r="A1790" s="28"/>
      <c r="B1790" s="29"/>
      <c r="C1790" s="30" t="str">
        <f>IFERROR(_xlfn.XLOOKUP(B1790,Transporte[DESCRIPCION],Transporte[UND],,0),"")</f>
        <v/>
      </c>
      <c r="D1790" s="31"/>
      <c r="E1790" s="32" t="str">
        <f>IFERROR(_xlfn.XLOOKUP($B1790,Transporte[DESCRIPCION],Transporte[VALOR],,0),"")</f>
        <v/>
      </c>
      <c r="F1790" s="33"/>
      <c r="G1790" s="34" t="str">
        <f>IFERROR(IF(F1790&gt;=0,D1790*E1790*(1+F1790/100),ABS(D1790*E1790/F1790)),"")</f>
        <v/>
      </c>
      <c r="H1790" s="43" t="str">
        <f>IFERROR(G1790*E1777,"")</f>
        <v/>
      </c>
    </row>
    <row r="1791" spans="1:11">
      <c r="A1791" s="28"/>
      <c r="B1791" s="29"/>
      <c r="C1791" s="30" t="str">
        <f>IFERROR(_xlfn.XLOOKUP(B1791,Transporte[DESCRIPCION],Transporte[UND],,0),"")</f>
        <v/>
      </c>
      <c r="D1791" s="31"/>
      <c r="E1791" s="32" t="str">
        <f>IFERROR(_xlfn.XLOOKUP($B1791,Transporte[DESCRIPCION],Transporte[VALOR],,0),"")</f>
        <v/>
      </c>
      <c r="F1791" s="33"/>
      <c r="G1791" s="34" t="str">
        <f>IFERROR(IF(F1791&gt;=0,D1791*E1791*(1+F1791/100),ABS(D1791*E1791/F1791)),"")</f>
        <v/>
      </c>
      <c r="H1791" s="43" t="str">
        <f>IFERROR(G1791*E1777,"")</f>
        <v/>
      </c>
    </row>
    <row r="1792" spans="1:11">
      <c r="A1792" s="21"/>
      <c r="B1792" s="22" t="s">
        <v>3732</v>
      </c>
      <c r="C1792" s="23"/>
      <c r="D1792" s="24"/>
      <c r="E1792" s="25"/>
      <c r="F1792" s="26"/>
      <c r="G1792" s="27">
        <f>SUM(G1793:G1795)</f>
        <v>6637.138074450002</v>
      </c>
      <c r="H1792" s="44">
        <f>G1792*E1777</f>
        <v>0</v>
      </c>
    </row>
    <row r="1793" spans="1:11">
      <c r="A1793" s="28"/>
      <c r="B1793" s="29" t="s">
        <v>3713</v>
      </c>
      <c r="C1793" s="30" t="str">
        <f>IFERROR(_xlfn.XLOOKUP(B1793,MObra[DESCRIPCION],MObra[UN],,0),"")</f>
        <v>día</v>
      </c>
      <c r="D1793" s="31">
        <v>1</v>
      </c>
      <c r="E1793" s="32">
        <f>IFERROR(_xlfn.XLOOKUP($B1793,MObra[DESCRIPCION],MObra[VALOR UNIT],,0),"")</f>
        <v>663713.80744500016</v>
      </c>
      <c r="F1793" s="33">
        <v>-100</v>
      </c>
      <c r="G1793" s="34">
        <f>IFERROR(IF(F1793&gt;=0,D1793*E1793*(1+F1793/100),ABS(D1793*E1793/F1793)),"")</f>
        <v>6637.138074450002</v>
      </c>
      <c r="H1793" s="43">
        <f>IFERROR(G1793*E1777,"")</f>
        <v>0</v>
      </c>
    </row>
    <row r="1794" spans="1:11">
      <c r="A1794" s="28"/>
      <c r="B1794" s="29"/>
      <c r="C1794" s="30" t="str">
        <f>IFERROR(_xlfn.XLOOKUP(B1794,MObra[DESCRIPCION],MObra[UN],,0),"")</f>
        <v/>
      </c>
      <c r="D1794" s="31"/>
      <c r="E1794" s="32" t="str">
        <f>IFERROR(_xlfn.XLOOKUP($B1794,MObra[DESCRIPCION],MObra[VALOR UNIT],,0),"")</f>
        <v/>
      </c>
      <c r="F1794" s="33"/>
      <c r="G1794" s="34" t="str">
        <f>IFERROR(IF(F1794&gt;=0,D1794*E1794*(1+F1794/100),ABS(D1794*E1794/F1794)),"")</f>
        <v/>
      </c>
      <c r="H1794" s="43" t="str">
        <f>IFERROR(G1794*E1777,"")</f>
        <v/>
      </c>
    </row>
    <row r="1795" spans="1:11" ht="13.15" thickBot="1">
      <c r="A1795" s="35"/>
      <c r="B1795" s="36"/>
      <c r="C1795" s="37" t="str">
        <f>IFERROR(_xlfn.XLOOKUP(B1795,MObra[DESCRIPCION],MObra[UN],,0),"")</f>
        <v/>
      </c>
      <c r="D1795" s="38"/>
      <c r="E1795" s="39" t="str">
        <f>IFERROR(_xlfn.XLOOKUP($B1795,MObra[DESCRIPCION],MObra[VALOR UNIT],,0),"")</f>
        <v/>
      </c>
      <c r="F1795" s="40"/>
      <c r="G1795" s="41" t="str">
        <f>IFERROR(IF(F1795&gt;=0,D1795*E1795*(1+F1795/100),ABS(D1795*E1795/F1795)),"")</f>
        <v/>
      </c>
      <c r="H1795" s="42" t="str">
        <f>IFERROR(G1795*E1777,"")</f>
        <v/>
      </c>
    </row>
    <row r="1796" spans="1:11" ht="13.5" thickTop="1" thickBot="1"/>
    <row r="1797" spans="1:11" ht="13.5" thickTop="1" thickBot="1">
      <c r="A1797" s="6" t="s">
        <v>1904</v>
      </c>
      <c r="B1797" s="7" t="str">
        <f>VLOOKUP($A1797,Presupuesto!$A:$D,2,FALSE())</f>
        <v>Mejoramiento de la subrasante con afirmado</v>
      </c>
      <c r="C1797" s="8" t="str">
        <f>VLOOKUP($A1797,Presupuesto!$A:$D,3,FALSE())</f>
        <v>M3</v>
      </c>
      <c r="D1797" s="9"/>
      <c r="E1797" s="10">
        <f>VLOOKUP($A1797,Presupuesto!$A:$D,4,FALSE())</f>
        <v>0</v>
      </c>
      <c r="F1797" s="11" t="s">
        <v>2589</v>
      </c>
      <c r="G1797" s="12">
        <f>SUM(G1799:G1815)/2</f>
        <v>148836.76971487503</v>
      </c>
      <c r="H1797" s="13">
        <f>ROUND(SUM(H1799:H1815),0)/2</f>
        <v>0</v>
      </c>
      <c r="I1797" s="10">
        <f>VLOOKUP(A1797,Presupuesto!$A:$F,6,0)</f>
        <v>0</v>
      </c>
      <c r="J1797" s="10">
        <f>+H1797-I1797</f>
        <v>0</v>
      </c>
      <c r="K1797" s="46">
        <f>+H1797-G1797*E1797</f>
        <v>0</v>
      </c>
    </row>
    <row r="1798" spans="1:11" ht="13.15" thickTop="1">
      <c r="A1798" s="14"/>
      <c r="B1798" s="15" t="s">
        <v>2586</v>
      </c>
      <c r="C1798" s="15" t="s">
        <v>5</v>
      </c>
      <c r="D1798" s="16" t="s">
        <v>6</v>
      </c>
      <c r="E1798" s="17" t="s">
        <v>7</v>
      </c>
      <c r="F1798" s="18" t="s">
        <v>3728</v>
      </c>
      <c r="G1798" s="19" t="s">
        <v>3729</v>
      </c>
      <c r="H1798" s="20" t="s">
        <v>3797</v>
      </c>
    </row>
    <row r="1799" spans="1:11">
      <c r="A1799" s="21"/>
      <c r="B1799" s="22" t="s">
        <v>3730</v>
      </c>
      <c r="C1799" s="23"/>
      <c r="D1799" s="24"/>
      <c r="E1799" s="25"/>
      <c r="F1799" s="26"/>
      <c r="G1799" s="27">
        <f>SUM(G1800:G1804)</f>
        <v>72439.5</v>
      </c>
      <c r="H1799" s="27">
        <f>IFERROR(G1799*E1797,"")</f>
        <v>0</v>
      </c>
    </row>
    <row r="1800" spans="1:11">
      <c r="A1800" s="28"/>
      <c r="B1800" s="29" t="s">
        <v>2683</v>
      </c>
      <c r="C1800" s="30" t="str">
        <f>IFERROR(_xlfn.XLOOKUP(B1800,Insumo[DESCRIPCION],Insumo[UND],,0),"")</f>
        <v>M3</v>
      </c>
      <c r="D1800" s="31">
        <v>1</v>
      </c>
      <c r="E1800" s="32">
        <f>IFERROR(_xlfn.XLOOKUP($B1800,Insumo[DESCRIPCION],Insumo[VALOR],,0),"")</f>
        <v>53583.600000000006</v>
      </c>
      <c r="F1800" s="33">
        <v>25</v>
      </c>
      <c r="G1800" s="34">
        <f>IFERROR(IF(F1800&gt;=0,D1800*E1800*(1+F1800/100),ABS(D1800*E1800/F1800)),"")</f>
        <v>66979.5</v>
      </c>
      <c r="H1800" s="43">
        <f>IFERROR(G1800*E1797,"")</f>
        <v>0</v>
      </c>
    </row>
    <row r="1801" spans="1:11">
      <c r="A1801" s="28"/>
      <c r="B1801" s="29" t="s">
        <v>2685</v>
      </c>
      <c r="C1801" s="30" t="str">
        <f>IFERROR(_xlfn.XLOOKUP(B1801,Insumo[DESCRIPCION],Insumo[UND],,0),"")</f>
        <v>Lt</v>
      </c>
      <c r="D1801" s="31">
        <v>200</v>
      </c>
      <c r="E1801" s="32">
        <f>IFERROR(_xlfn.XLOOKUP($B1801,Insumo[DESCRIPCION],Insumo[VALOR],,0),"")</f>
        <v>27.3</v>
      </c>
      <c r="F1801" s="33"/>
      <c r="G1801" s="34">
        <f>IFERROR(IF(F1801&gt;=0,D1801*E1801*(1+F1801/100),ABS(D1801*E1801/F1801)),"")</f>
        <v>5460</v>
      </c>
      <c r="H1801" s="43">
        <f>IFERROR(G1801*E1797,"")</f>
        <v>0</v>
      </c>
    </row>
    <row r="1802" spans="1:11">
      <c r="A1802" s="28"/>
      <c r="B1802" s="29"/>
      <c r="C1802" s="30" t="str">
        <f>IFERROR(_xlfn.XLOOKUP(B1802,Insumo[DESCRIPCION],Insumo[UND],,0),"")</f>
        <v/>
      </c>
      <c r="D1802" s="31"/>
      <c r="E1802" s="32" t="str">
        <f>IFERROR(_xlfn.XLOOKUP($B1802,Insumo[DESCRIPCION],Insumo[VALOR],,0),"")</f>
        <v/>
      </c>
      <c r="F1802" s="33"/>
      <c r="G1802" s="34" t="str">
        <f>IFERROR(IF(F1802&gt;=0,D1802*E1802*(1+F1802/100),ABS(D1802*E1802/F1802)),"")</f>
        <v/>
      </c>
      <c r="H1802" s="43" t="str">
        <f>IFERROR(G1802*E1797,"")</f>
        <v/>
      </c>
    </row>
    <row r="1803" spans="1:11">
      <c r="A1803" s="28"/>
      <c r="B1803" s="29"/>
      <c r="C1803" s="30" t="str">
        <f>IFERROR(_xlfn.XLOOKUP(B1803,Insumo[DESCRIPCION],Insumo[UND],,0),"")</f>
        <v/>
      </c>
      <c r="D1803" s="31"/>
      <c r="E1803" s="32" t="str">
        <f>IFERROR(_xlfn.XLOOKUP($B1803,Insumo[DESCRIPCION],Insumo[VALOR],,0),"")</f>
        <v/>
      </c>
      <c r="F1803" s="33"/>
      <c r="G1803" s="34" t="str">
        <f>IFERROR(IF(F1803&gt;=0,D1803*E1803*(1+F1803/100),ABS(D1803*E1803/F1803)),"")</f>
        <v/>
      </c>
      <c r="H1803" s="43" t="str">
        <f>IFERROR(G1803*E1797,"")</f>
        <v/>
      </c>
    </row>
    <row r="1804" spans="1:11">
      <c r="A1804" s="28"/>
      <c r="B1804" s="29"/>
      <c r="C1804" s="30" t="str">
        <f>IFERROR(_xlfn.XLOOKUP(B1804,Insumo[DESCRIPCION],Insumo[UND],,0),"")</f>
        <v/>
      </c>
      <c r="D1804" s="31"/>
      <c r="E1804" s="32" t="str">
        <f>IFERROR(_xlfn.XLOOKUP($B1804,Insumo[DESCRIPCION],Insumo[VALOR],,0),"")</f>
        <v/>
      </c>
      <c r="F1804" s="33"/>
      <c r="G1804" s="34" t="str">
        <f>IFERROR(IF(F1804&gt;=0,D1804*E1804*(1+F1804/100),ABS(D1804*E1804/F1804)),"")</f>
        <v/>
      </c>
      <c r="H1804" s="43" t="str">
        <f>IFERROR(G1804*E1797,"")</f>
        <v/>
      </c>
    </row>
    <row r="1805" spans="1:11">
      <c r="A1805" s="21"/>
      <c r="B1805" s="22" t="s">
        <v>3731</v>
      </c>
      <c r="C1805" s="23"/>
      <c r="D1805" s="24"/>
      <c r="E1805" s="25"/>
      <c r="F1805" s="26"/>
      <c r="G1805" s="27">
        <f>SUM(G1806:G1808)</f>
        <v>2887.5</v>
      </c>
      <c r="H1805" s="44">
        <f>G1805*E1797</f>
        <v>0</v>
      </c>
    </row>
    <row r="1806" spans="1:11">
      <c r="A1806" s="28"/>
      <c r="B1806" s="29" t="s">
        <v>3592</v>
      </c>
      <c r="C1806" s="30" t="str">
        <f>IFERROR(_xlfn.XLOOKUP(B1806,Equipo[DESCRIPCION],Equipo[UND],,0),"")</f>
        <v>Hr</v>
      </c>
      <c r="D1806" s="31">
        <v>1</v>
      </c>
      <c r="E1806" s="32">
        <f>IF(C1806="%MO",G1812,IFERROR(_xlfn.XLOOKUP($B1806,Equipo[DESCRIPCION],Equipo[VALOR],,0),""))</f>
        <v>115500</v>
      </c>
      <c r="F1806" s="33">
        <v>-40</v>
      </c>
      <c r="G1806" s="34">
        <f>IFERROR(IF(F1806&gt;=0,D1806*E1806*(1+F1806/100),ABS(D1806*E1806/F1806)),"")</f>
        <v>2887.5</v>
      </c>
      <c r="H1806" s="43">
        <f>IFERROR(G1806*E1797,"")</f>
        <v>0</v>
      </c>
    </row>
    <row r="1807" spans="1:11">
      <c r="A1807" s="28"/>
      <c r="B1807" s="29"/>
      <c r="C1807" s="30" t="str">
        <f>IFERROR(_xlfn.XLOOKUP(B1807,Equipo[DESCRIPCION],Equipo[UND],,0),"")</f>
        <v/>
      </c>
      <c r="D1807" s="31"/>
      <c r="E1807" s="32" t="str">
        <f>IF(C1807="%MO",G1812,IFERROR(_xlfn.XLOOKUP($B1807,Equipo[DESCRIPCION],Equipo[VALOR],,0),""))</f>
        <v/>
      </c>
      <c r="F1807" s="33"/>
      <c r="G1807" s="34" t="str">
        <f>IFERROR(IF(F1807&gt;=0,D1807*E1807*(1+F1807/100),ABS(D1807*E1807/F1807)),"")</f>
        <v/>
      </c>
      <c r="H1807" s="43" t="str">
        <f>IFERROR(G1807*E1797,"")</f>
        <v/>
      </c>
    </row>
    <row r="1808" spans="1:11">
      <c r="A1808" s="28"/>
      <c r="B1808" s="29"/>
      <c r="C1808" s="30" t="str">
        <f>IFERROR(_xlfn.XLOOKUP(B1808,Equipo[DESCRIPCION],Equipo[UND],,0),"")</f>
        <v/>
      </c>
      <c r="D1808" s="31"/>
      <c r="E1808" s="32" t="str">
        <f>IF(C1808="%MO",G1812,IFERROR(_xlfn.XLOOKUP($B1808,Equipo[DESCRIPCION],Equipo[VALOR],,0),""))</f>
        <v/>
      </c>
      <c r="F1808" s="33"/>
      <c r="G1808" s="34" t="str">
        <f>IFERROR(IF(F1808&gt;=0,D1808*E1808*(1+F1808/100),ABS(D1808*E1808/F1808)),"")</f>
        <v/>
      </c>
      <c r="H1808" s="43" t="str">
        <f>IFERROR(G1808*E1797,"")</f>
        <v/>
      </c>
    </row>
    <row r="1809" spans="1:11">
      <c r="A1809" s="21"/>
      <c r="B1809" s="22" t="s">
        <v>2533</v>
      </c>
      <c r="C1809" s="23"/>
      <c r="D1809" s="24"/>
      <c r="E1809" s="25"/>
      <c r="F1809" s="26"/>
      <c r="G1809" s="27">
        <f>SUM(G1810:G1811)</f>
        <v>59827.95</v>
      </c>
      <c r="H1809" s="44">
        <f>G1809*E1797</f>
        <v>0</v>
      </c>
    </row>
    <row r="1810" spans="1:11">
      <c r="A1810" s="28"/>
      <c r="B1810" s="29" t="s">
        <v>3664</v>
      </c>
      <c r="C1810" s="30" t="str">
        <f>IFERROR(_xlfn.XLOOKUP(B1810,Transporte[DESCRIPCION],Transporte[UND],,0),"")</f>
        <v>M3-km</v>
      </c>
      <c r="D1810" s="31">
        <f>30*1.3</f>
        <v>39</v>
      </c>
      <c r="E1810" s="32">
        <f>IFERROR(_xlfn.XLOOKUP($B1810,Transporte[DESCRIPCION],Transporte[VALOR],,0),"")</f>
        <v>1534.05</v>
      </c>
      <c r="F1810" s="33"/>
      <c r="G1810" s="34">
        <f>IFERROR(IF(F1810&gt;=0,D1810*E1810*(1+F1810/100),ABS(D1810*E1810/F1810)),"")</f>
        <v>59827.95</v>
      </c>
      <c r="H1810" s="43">
        <f>IFERROR(G1810*E1797,"")</f>
        <v>0</v>
      </c>
    </row>
    <row r="1811" spans="1:11">
      <c r="A1811" s="28"/>
      <c r="B1811" s="29"/>
      <c r="C1811" s="30" t="str">
        <f>IFERROR(_xlfn.XLOOKUP(B1811,Transporte[DESCRIPCION],Transporte[UND],,0),"")</f>
        <v/>
      </c>
      <c r="D1811" s="31"/>
      <c r="E1811" s="32" t="str">
        <f>IFERROR(_xlfn.XLOOKUP($B1811,Transporte[DESCRIPCION],Transporte[VALOR],,0),"")</f>
        <v/>
      </c>
      <c r="F1811" s="33"/>
      <c r="G1811" s="34" t="str">
        <f>IFERROR(IF(F1811&gt;=0,D1811*E1811*(1+F1811/100),ABS(D1811*E1811/F1811)),"")</f>
        <v/>
      </c>
      <c r="H1811" s="43" t="str">
        <f>IFERROR(G1811*E1797,"")</f>
        <v/>
      </c>
    </row>
    <row r="1812" spans="1:11">
      <c r="A1812" s="21"/>
      <c r="B1812" s="22" t="s">
        <v>3732</v>
      </c>
      <c r="C1812" s="23"/>
      <c r="D1812" s="24"/>
      <c r="E1812" s="25"/>
      <c r="F1812" s="26"/>
      <c r="G1812" s="27">
        <f>SUM(G1813:G1815)</f>
        <v>13681.819714875004</v>
      </c>
      <c r="H1812" s="44">
        <f>G1812*E1797</f>
        <v>0</v>
      </c>
    </row>
    <row r="1813" spans="1:11">
      <c r="A1813" s="28"/>
      <c r="B1813" s="29" t="s">
        <v>3712</v>
      </c>
      <c r="C1813" s="30" t="str">
        <f>IFERROR(_xlfn.XLOOKUP(B1813,MObra[DESCRIPCION],MObra[UN],,0),"")</f>
        <v>día</v>
      </c>
      <c r="D1813" s="31">
        <v>1</v>
      </c>
      <c r="E1813" s="32">
        <f>IFERROR(_xlfn.XLOOKUP($B1813,MObra[DESCRIPCION],MObra[VALOR UNIT],,0),"")</f>
        <v>547272.78859500017</v>
      </c>
      <c r="F1813" s="33">
        <v>-40</v>
      </c>
      <c r="G1813" s="34">
        <f>IFERROR(IF(F1813&gt;=0,D1813*E1813*(1+F1813/100),ABS(D1813*E1813/F1813)),"")</f>
        <v>13681.819714875004</v>
      </c>
      <c r="H1813" s="43">
        <f>IFERROR(G1813*E1797,"")</f>
        <v>0</v>
      </c>
    </row>
    <row r="1814" spans="1:11">
      <c r="A1814" s="28"/>
      <c r="B1814" s="29"/>
      <c r="C1814" s="30" t="str">
        <f>IFERROR(_xlfn.XLOOKUP(B1814,MObra[DESCRIPCION],MObra[UN],,0),"")</f>
        <v/>
      </c>
      <c r="D1814" s="31"/>
      <c r="E1814" s="32" t="str">
        <f>IFERROR(_xlfn.XLOOKUP($B1814,MObra[DESCRIPCION],MObra[VALOR UNIT],,0),"")</f>
        <v/>
      </c>
      <c r="F1814" s="33"/>
      <c r="G1814" s="34" t="str">
        <f>IFERROR(IF(F1814&gt;=0,D1814*E1814*(1+F1814/100),ABS(D1814*E1814/F1814)),"")</f>
        <v/>
      </c>
      <c r="H1814" s="43" t="str">
        <f>IFERROR(G1814*E1797,"")</f>
        <v/>
      </c>
    </row>
    <row r="1815" spans="1:11" ht="13.15" thickBot="1">
      <c r="A1815" s="35"/>
      <c r="B1815" s="36"/>
      <c r="C1815" s="37" t="str">
        <f>IFERROR(_xlfn.XLOOKUP(B1815,MObra[DESCRIPCION],MObra[UN],,0),"")</f>
        <v/>
      </c>
      <c r="D1815" s="38"/>
      <c r="E1815" s="39" t="str">
        <f>IFERROR(_xlfn.XLOOKUP($B1815,MObra[DESCRIPCION],MObra[VALOR UNIT],,0),"")</f>
        <v/>
      </c>
      <c r="F1815" s="40"/>
      <c r="G1815" s="41" t="str">
        <f>IFERROR(IF(F1815&gt;=0,D1815*E1815*(1+F1815/100),ABS(D1815*E1815/F1815)),"")</f>
        <v/>
      </c>
      <c r="H1815" s="42" t="str">
        <f>IFERROR(G1815*E1797,"")</f>
        <v/>
      </c>
    </row>
    <row r="1816" spans="1:11" ht="13.5" thickTop="1" thickBot="1"/>
    <row r="1817" spans="1:11" ht="13.5" thickTop="1" thickBot="1">
      <c r="A1817" s="6" t="s">
        <v>1906</v>
      </c>
      <c r="B1817" s="7" t="str">
        <f>VLOOKUP($A1817,Presupuesto!$A:$D,2,FALSE())</f>
        <v>Subbase granular tipo MOPT/INVIAS</v>
      </c>
      <c r="C1817" s="8" t="str">
        <f>VLOOKUP($A1817,Presupuesto!$A:$D,3,FALSE())</f>
        <v>M3</v>
      </c>
      <c r="D1817" s="9"/>
      <c r="E1817" s="10">
        <f>VLOOKUP($A1817,Presupuesto!$A:$D,4,FALSE())</f>
        <v>0</v>
      </c>
      <c r="F1817" s="11" t="s">
        <v>2589</v>
      </c>
      <c r="G1817" s="12">
        <f>SUM(G1819:G1835)/2</f>
        <v>164463.00595516071</v>
      </c>
      <c r="H1817" s="13">
        <f>ROUND(SUM(H1819:H1835),0)/2</f>
        <v>0</v>
      </c>
      <c r="I1817" s="10">
        <f>VLOOKUP(A1817,Presupuesto!$A:$F,6,0)</f>
        <v>0</v>
      </c>
      <c r="J1817" s="10">
        <f>+H1817-I1817</f>
        <v>0</v>
      </c>
      <c r="K1817" s="46">
        <f>+H1817-G1817*E1817</f>
        <v>0</v>
      </c>
    </row>
    <row r="1818" spans="1:11" ht="13.15" thickTop="1">
      <c r="A1818" s="14"/>
      <c r="B1818" s="15" t="s">
        <v>2586</v>
      </c>
      <c r="C1818" s="15" t="s">
        <v>5</v>
      </c>
      <c r="D1818" s="16" t="s">
        <v>6</v>
      </c>
      <c r="E1818" s="17" t="s">
        <v>7</v>
      </c>
      <c r="F1818" s="18" t="s">
        <v>3728</v>
      </c>
      <c r="G1818" s="19" t="s">
        <v>3729</v>
      </c>
      <c r="H1818" s="20" t="s">
        <v>3797</v>
      </c>
    </row>
    <row r="1819" spans="1:11">
      <c r="A1819" s="21"/>
      <c r="B1819" s="22" t="s">
        <v>3730</v>
      </c>
      <c r="C1819" s="23"/>
      <c r="D1819" s="24"/>
      <c r="E1819" s="25"/>
      <c r="F1819" s="26"/>
      <c r="G1819" s="27">
        <f>SUM(G1820:G1824)</f>
        <v>75085.751999999993</v>
      </c>
      <c r="H1819" s="27">
        <f>IFERROR(G1819*E1817,"")</f>
        <v>0</v>
      </c>
    </row>
    <row r="1820" spans="1:11">
      <c r="A1820" s="28"/>
      <c r="B1820" s="29" t="s">
        <v>3161</v>
      </c>
      <c r="C1820" s="30" t="str">
        <f>IFERROR(_xlfn.XLOOKUP(B1820,Insumo[DESCRIPCION],Insumo[UND],,0),"")</f>
        <v>M3</v>
      </c>
      <c r="D1820" s="31">
        <v>1</v>
      </c>
      <c r="E1820" s="32">
        <f>IFERROR(_xlfn.XLOOKUP($B1820,Insumo[DESCRIPCION],Insumo[VALOR],,0),"")</f>
        <v>53915.4</v>
      </c>
      <c r="F1820" s="33">
        <v>38</v>
      </c>
      <c r="G1820" s="34">
        <f>IFERROR(IF(F1820&gt;=0,D1820*E1820*(1+F1820/100),ABS(D1820*E1820/F1820)),"")</f>
        <v>74403.251999999993</v>
      </c>
      <c r="H1820" s="43">
        <f>IFERROR(G1820*E1817,"")</f>
        <v>0</v>
      </c>
    </row>
    <row r="1821" spans="1:11">
      <c r="A1821" s="28"/>
      <c r="B1821" s="29" t="s">
        <v>2685</v>
      </c>
      <c r="C1821" s="30" t="str">
        <f>IFERROR(_xlfn.XLOOKUP(B1821,Insumo[DESCRIPCION],Insumo[UND],,0),"")</f>
        <v>Lt</v>
      </c>
      <c r="D1821" s="31">
        <v>25</v>
      </c>
      <c r="E1821" s="32">
        <f>IFERROR(_xlfn.XLOOKUP($B1821,Insumo[DESCRIPCION],Insumo[VALOR],,0),"")</f>
        <v>27.3</v>
      </c>
      <c r="F1821" s="33"/>
      <c r="G1821" s="34">
        <f>IFERROR(IF(F1821&gt;=0,D1821*E1821*(1+F1821/100),ABS(D1821*E1821/F1821)),"")</f>
        <v>682.5</v>
      </c>
      <c r="H1821" s="43">
        <f>IFERROR(G1821*E1817,"")</f>
        <v>0</v>
      </c>
    </row>
    <row r="1822" spans="1:11">
      <c r="A1822" s="28"/>
      <c r="B1822" s="29"/>
      <c r="C1822" s="30" t="str">
        <f>IFERROR(_xlfn.XLOOKUP(B1822,Insumo[DESCRIPCION],Insumo[UND],,0),"")</f>
        <v/>
      </c>
      <c r="D1822" s="31"/>
      <c r="E1822" s="32" t="str">
        <f>IFERROR(_xlfn.XLOOKUP($B1822,Insumo[DESCRIPCION],Insumo[VALOR],,0),"")</f>
        <v/>
      </c>
      <c r="F1822" s="33"/>
      <c r="G1822" s="34" t="str">
        <f>IFERROR(IF(F1822&gt;=0,D1822*E1822*(1+F1822/100),ABS(D1822*E1822/F1822)),"")</f>
        <v/>
      </c>
      <c r="H1822" s="43" t="str">
        <f>IFERROR(G1822*E1817,"")</f>
        <v/>
      </c>
    </row>
    <row r="1823" spans="1:11">
      <c r="A1823" s="28"/>
      <c r="B1823" s="29"/>
      <c r="C1823" s="30" t="str">
        <f>IFERROR(_xlfn.XLOOKUP(B1823,Insumo[DESCRIPCION],Insumo[UND],,0),"")</f>
        <v/>
      </c>
      <c r="D1823" s="31"/>
      <c r="E1823" s="32" t="str">
        <f>IFERROR(_xlfn.XLOOKUP($B1823,Insumo[DESCRIPCION],Insumo[VALOR],,0),"")</f>
        <v/>
      </c>
      <c r="F1823" s="33"/>
      <c r="G1823" s="34" t="str">
        <f>IFERROR(IF(F1823&gt;=0,D1823*E1823*(1+F1823/100),ABS(D1823*E1823/F1823)),"")</f>
        <v/>
      </c>
      <c r="H1823" s="43" t="str">
        <f>IFERROR(G1823*E1817,"")</f>
        <v/>
      </c>
    </row>
    <row r="1824" spans="1:11">
      <c r="A1824" s="28"/>
      <c r="B1824" s="29"/>
      <c r="C1824" s="30" t="str">
        <f>IFERROR(_xlfn.XLOOKUP(B1824,Insumo[DESCRIPCION],Insumo[UND],,0),"")</f>
        <v/>
      </c>
      <c r="D1824" s="31"/>
      <c r="E1824" s="32" t="str">
        <f>IFERROR(_xlfn.XLOOKUP($B1824,Insumo[DESCRIPCION],Insumo[VALOR],,0),"")</f>
        <v/>
      </c>
      <c r="F1824" s="33"/>
      <c r="G1824" s="34" t="str">
        <f>IFERROR(IF(F1824&gt;=0,D1824*E1824*(1+F1824/100),ABS(D1824*E1824/F1824)),"")</f>
        <v/>
      </c>
      <c r="H1824" s="43" t="str">
        <f>IFERROR(G1824*E1817,"")</f>
        <v/>
      </c>
    </row>
    <row r="1825" spans="1:11">
      <c r="A1825" s="21"/>
      <c r="B1825" s="22" t="s">
        <v>3731</v>
      </c>
      <c r="C1825" s="23"/>
      <c r="D1825" s="24"/>
      <c r="E1825" s="25"/>
      <c r="F1825" s="26"/>
      <c r="G1825" s="27">
        <f>SUM(G1826:G1828)</f>
        <v>12912.2325</v>
      </c>
      <c r="H1825" s="44">
        <f>G1825*E1817</f>
        <v>0</v>
      </c>
    </row>
    <row r="1826" spans="1:11">
      <c r="A1826" s="28"/>
      <c r="B1826" s="29" t="s">
        <v>3592</v>
      </c>
      <c r="C1826" s="30" t="str">
        <f>IFERROR(_xlfn.XLOOKUP(B1826,Equipo[DESCRIPCION],Equipo[UND],,0),"")</f>
        <v>Hr</v>
      </c>
      <c r="D1826" s="31">
        <v>1</v>
      </c>
      <c r="E1826" s="32">
        <f>IF(C1826="%MO",G1832,IFERROR(_xlfn.XLOOKUP($B1826,Equipo[DESCRIPCION],Equipo[VALOR],,0),""))</f>
        <v>115500</v>
      </c>
      <c r="F1826" s="33">
        <v>-35</v>
      </c>
      <c r="G1826" s="34">
        <f>IFERROR(IF(F1826&gt;=0,D1826*E1826*(1+F1826/100),ABS(D1826*E1826/F1826)),"")</f>
        <v>3300</v>
      </c>
      <c r="H1826" s="43">
        <f>IFERROR(G1826*E1817,"")</f>
        <v>0</v>
      </c>
    </row>
    <row r="1827" spans="1:11">
      <c r="A1827" s="28"/>
      <c r="B1827" s="29" t="s">
        <v>3633</v>
      </c>
      <c r="C1827" s="30" t="str">
        <f>IFERROR(_xlfn.XLOOKUP(B1827,Equipo[DESCRIPCION],Equipo[UND],,0),"")</f>
        <v>Hr</v>
      </c>
      <c r="D1827" s="31">
        <v>1</v>
      </c>
      <c r="E1827" s="32">
        <f>IF(C1827="%MO",G1832,IFERROR(_xlfn.XLOOKUP($B1827,Equipo[DESCRIPCION],Equipo[VALOR],,0),""))</f>
        <v>316537.2</v>
      </c>
      <c r="F1827" s="33">
        <v>-35</v>
      </c>
      <c r="G1827" s="34">
        <f>IFERROR(IF(F1827&gt;=0,D1827*E1827*(1+F1827/100),ABS(D1827*E1827/F1827)),"")</f>
        <v>9043.92</v>
      </c>
      <c r="H1827" s="43">
        <f>IFERROR(G1827*E1817,"")</f>
        <v>0</v>
      </c>
    </row>
    <row r="1828" spans="1:11">
      <c r="A1828" s="28"/>
      <c r="B1828" s="29" t="s">
        <v>3588</v>
      </c>
      <c r="C1828" s="30" t="str">
        <f>IFERROR(_xlfn.XLOOKUP(B1828,Equipo[DESCRIPCION],Equipo[UND],,0),"")</f>
        <v>Hr</v>
      </c>
      <c r="D1828" s="31">
        <v>1</v>
      </c>
      <c r="E1828" s="32">
        <f>IF(C1828="%MO",G1832,IFERROR(_xlfn.XLOOKUP($B1828,Equipo[DESCRIPCION],Equipo[VALOR],,0),""))</f>
        <v>170493.75</v>
      </c>
      <c r="F1828" s="33">
        <v>-300</v>
      </c>
      <c r="G1828" s="34">
        <f>IFERROR(IF(F1828&gt;=0,D1828*E1828*(1+F1828/100),ABS(D1828*E1828/F1828)),"")</f>
        <v>568.3125</v>
      </c>
      <c r="H1828" s="43">
        <f>IFERROR(G1828*E1817,"")</f>
        <v>0</v>
      </c>
    </row>
    <row r="1829" spans="1:11">
      <c r="A1829" s="21"/>
      <c r="B1829" s="22" t="s">
        <v>2533</v>
      </c>
      <c r="C1829" s="23"/>
      <c r="D1829" s="24"/>
      <c r="E1829" s="25"/>
      <c r="F1829" s="26"/>
      <c r="G1829" s="27">
        <f>SUM(G1830:G1831)</f>
        <v>74094.614999999991</v>
      </c>
      <c r="H1829" s="44">
        <f>G1829*E1817</f>
        <v>0</v>
      </c>
    </row>
    <row r="1830" spans="1:11">
      <c r="A1830" s="28"/>
      <c r="B1830" s="29" t="s">
        <v>3664</v>
      </c>
      <c r="C1830" s="30" t="str">
        <f>IFERROR(_xlfn.XLOOKUP(B1830,Transporte[DESCRIPCION],Transporte[UND],,0),"")</f>
        <v>M3-km</v>
      </c>
      <c r="D1830" s="31">
        <v>48.3</v>
      </c>
      <c r="E1830" s="32">
        <f>IFERROR(_xlfn.XLOOKUP($B1830,Transporte[DESCRIPCION],Transporte[VALOR],,0),"")</f>
        <v>1534.05</v>
      </c>
      <c r="F1830" s="33"/>
      <c r="G1830" s="34">
        <f>IFERROR(IF(F1830&gt;=0,D1830*E1830*(1+F1830/100),ABS(D1830*E1830/F1830)),"")</f>
        <v>74094.614999999991</v>
      </c>
      <c r="H1830" s="43">
        <f>IFERROR(G1830*E1817,"")</f>
        <v>0</v>
      </c>
    </row>
    <row r="1831" spans="1:11">
      <c r="A1831" s="28"/>
      <c r="B1831" s="29"/>
      <c r="C1831" s="30" t="str">
        <f>IFERROR(_xlfn.XLOOKUP(B1831,Transporte[DESCRIPCION],Transporte[UND],,0),"")</f>
        <v/>
      </c>
      <c r="D1831" s="31"/>
      <c r="E1831" s="32" t="str">
        <f>IFERROR(_xlfn.XLOOKUP($B1831,Transporte[DESCRIPCION],Transporte[VALOR],,0),"")</f>
        <v/>
      </c>
      <c r="F1831" s="33"/>
      <c r="G1831" s="34" t="str">
        <f>IFERROR(IF(F1831&gt;=0,D1831*E1831*(1+F1831/100),ABS(D1831*E1831/F1831)),"")</f>
        <v/>
      </c>
      <c r="H1831" s="43" t="str">
        <f>IFERROR(G1831*E1817,"")</f>
        <v/>
      </c>
    </row>
    <row r="1832" spans="1:11">
      <c r="A1832" s="21"/>
      <c r="B1832" s="22" t="s">
        <v>3732</v>
      </c>
      <c r="C1832" s="23"/>
      <c r="D1832" s="24"/>
      <c r="E1832" s="25"/>
      <c r="F1832" s="26"/>
      <c r="G1832" s="27">
        <f>SUM(G1833:G1835)</f>
        <v>2370.4064551607148</v>
      </c>
      <c r="H1832" s="44">
        <f>G1832*E1817</f>
        <v>0</v>
      </c>
    </row>
    <row r="1833" spans="1:11">
      <c r="A1833" s="28"/>
      <c r="B1833" s="29" t="s">
        <v>3713</v>
      </c>
      <c r="C1833" s="30" t="str">
        <f>IFERROR(_xlfn.XLOOKUP(B1833,MObra[DESCRIPCION],MObra[UN],,0),"")</f>
        <v>día</v>
      </c>
      <c r="D1833" s="31">
        <v>1</v>
      </c>
      <c r="E1833" s="32">
        <f>IFERROR(_xlfn.XLOOKUP($B1833,MObra[DESCRIPCION],MObra[VALOR UNIT],,0),"")</f>
        <v>663713.80744500016</v>
      </c>
      <c r="F1833" s="33">
        <v>-280</v>
      </c>
      <c r="G1833" s="34">
        <f>IFERROR(IF(F1833&gt;=0,D1833*E1833*(1+F1833/100),ABS(D1833*E1833/F1833)),"")</f>
        <v>2370.4064551607148</v>
      </c>
      <c r="H1833" s="43">
        <f>IFERROR(G1833*E1817,"")</f>
        <v>0</v>
      </c>
    </row>
    <row r="1834" spans="1:11">
      <c r="A1834" s="28"/>
      <c r="B1834" s="29"/>
      <c r="C1834" s="30" t="str">
        <f>IFERROR(_xlfn.XLOOKUP(B1834,MObra[DESCRIPCION],MObra[UN],,0),"")</f>
        <v/>
      </c>
      <c r="D1834" s="31"/>
      <c r="E1834" s="32" t="str">
        <f>IFERROR(_xlfn.XLOOKUP($B1834,MObra[DESCRIPCION],MObra[VALOR UNIT],,0),"")</f>
        <v/>
      </c>
      <c r="F1834" s="33"/>
      <c r="G1834" s="34" t="str">
        <f>IFERROR(IF(F1834&gt;=0,D1834*E1834*(1+F1834/100),ABS(D1834*E1834/F1834)),"")</f>
        <v/>
      </c>
      <c r="H1834" s="43" t="str">
        <f>IFERROR(G1834*E1817,"")</f>
        <v/>
      </c>
    </row>
    <row r="1835" spans="1:11" ht="13.15" thickBot="1">
      <c r="A1835" s="35"/>
      <c r="B1835" s="36"/>
      <c r="C1835" s="37" t="str">
        <f>IFERROR(_xlfn.XLOOKUP(B1835,MObra[DESCRIPCION],MObra[UN],,0),"")</f>
        <v/>
      </c>
      <c r="D1835" s="38"/>
      <c r="E1835" s="39" t="str">
        <f>IFERROR(_xlfn.XLOOKUP($B1835,MObra[DESCRIPCION],MObra[VALOR UNIT],,0),"")</f>
        <v/>
      </c>
      <c r="F1835" s="40"/>
      <c r="G1835" s="41" t="str">
        <f>IFERROR(IF(F1835&gt;=0,D1835*E1835*(1+F1835/100),ABS(D1835*E1835/F1835)),"")</f>
        <v/>
      </c>
      <c r="H1835" s="42" t="str">
        <f>IFERROR(G1835*E1817,"")</f>
        <v/>
      </c>
    </row>
    <row r="1836" spans="1:11" ht="13.5" thickTop="1" thickBot="1"/>
    <row r="1837" spans="1:11" ht="13.5" thickTop="1" thickBot="1">
      <c r="A1837" s="6" t="s">
        <v>1910</v>
      </c>
      <c r="B1837" s="7" t="str">
        <f>VLOOKUP($A1837,Presupuesto!$A:$D,2,FALSE())</f>
        <v>Canastilla soporte de dovelas hierro 3/8 y 1/4"</v>
      </c>
      <c r="C1837" s="8" t="str">
        <f>VLOOKUP($A1837,Presupuesto!$A:$D,3,FALSE())</f>
        <v>M</v>
      </c>
      <c r="D1837" s="9"/>
      <c r="E1837" s="10">
        <f>VLOOKUP($A1837,Presupuesto!$A:$D,4,FALSE())</f>
        <v>0</v>
      </c>
      <c r="F1837" s="11" t="s">
        <v>2589</v>
      </c>
      <c r="G1837" s="12">
        <f>SUM(G1839:G1855)/2</f>
        <v>34929.626750200005</v>
      </c>
      <c r="H1837" s="13">
        <f>ROUND(SUM(H1839:H1855),0)/2</f>
        <v>0</v>
      </c>
      <c r="I1837" s="10">
        <f>VLOOKUP(A1837,Presupuesto!$A:$F,6,0)</f>
        <v>0</v>
      </c>
      <c r="J1837" s="10">
        <f>+H1837-I1837</f>
        <v>0</v>
      </c>
      <c r="K1837" s="46">
        <f>+H1837-G1837*E1837</f>
        <v>0</v>
      </c>
    </row>
    <row r="1838" spans="1:11" ht="13.15" thickTop="1">
      <c r="A1838" s="14"/>
      <c r="B1838" s="15" t="s">
        <v>2586</v>
      </c>
      <c r="C1838" s="15" t="s">
        <v>5</v>
      </c>
      <c r="D1838" s="16" t="s">
        <v>6</v>
      </c>
      <c r="E1838" s="17" t="s">
        <v>7</v>
      </c>
      <c r="F1838" s="18" t="s">
        <v>3728</v>
      </c>
      <c r="G1838" s="19" t="s">
        <v>3729</v>
      </c>
      <c r="H1838" s="20" t="s">
        <v>3797</v>
      </c>
    </row>
    <row r="1839" spans="1:11">
      <c r="A1839" s="21"/>
      <c r="B1839" s="22" t="s">
        <v>3730</v>
      </c>
      <c r="C1839" s="23"/>
      <c r="D1839" s="24"/>
      <c r="E1839" s="25"/>
      <c r="F1839" s="26"/>
      <c r="G1839" s="27">
        <f>SUM(G1840:G1844)</f>
        <v>2377.62</v>
      </c>
      <c r="H1839" s="27">
        <f>IFERROR(G1839*E1837,"")</f>
        <v>0</v>
      </c>
    </row>
    <row r="1840" spans="1:11">
      <c r="A1840" s="28"/>
      <c r="B1840" s="29" t="s">
        <v>2977</v>
      </c>
      <c r="C1840" s="30" t="str">
        <f>IFERROR(_xlfn.XLOOKUP(B1840,Insumo[DESCRIPCION],Insumo[UND],,0),"")</f>
        <v>Kg</v>
      </c>
      <c r="D1840" s="31">
        <v>1</v>
      </c>
      <c r="E1840" s="32">
        <f>IFERROR(_xlfn.XLOOKUP($B1840,Insumo[DESCRIPCION],Insumo[VALOR],,0),"")</f>
        <v>1779.75</v>
      </c>
      <c r="F1840" s="33"/>
      <c r="G1840" s="34">
        <f>IFERROR(IF(F1840&gt;=0,D1840*E1840*(1+F1840/100),ABS(D1840*E1840/F1840)),"")</f>
        <v>1779.75</v>
      </c>
      <c r="H1840" s="43">
        <f>IFERROR(G1840*E1837,"")</f>
        <v>0</v>
      </c>
    </row>
    <row r="1841" spans="1:8">
      <c r="A1841" s="28"/>
      <c r="B1841" s="29" t="s">
        <v>3326</v>
      </c>
      <c r="C1841" s="30" t="str">
        <f>IFERROR(_xlfn.XLOOKUP(B1841,Insumo[DESCRIPCION],Insumo[UND],,0),"")</f>
        <v>Kg</v>
      </c>
      <c r="D1841" s="31">
        <v>0.1</v>
      </c>
      <c r="E1841" s="32">
        <f>IFERROR(_xlfn.XLOOKUP($B1841,Insumo[DESCRIPCION],Insumo[VALOR],,0),"")</f>
        <v>5978.7</v>
      </c>
      <c r="F1841" s="33"/>
      <c r="G1841" s="34">
        <f>IFERROR(IF(F1841&gt;=0,D1841*E1841*(1+F1841/100),ABS(D1841*E1841/F1841)),"")</f>
        <v>597.87</v>
      </c>
      <c r="H1841" s="43">
        <f>IFERROR(G1841*E1837,"")</f>
        <v>0</v>
      </c>
    </row>
    <row r="1842" spans="1:8">
      <c r="A1842" s="28"/>
      <c r="B1842" s="29"/>
      <c r="C1842" s="30" t="str">
        <f>IFERROR(_xlfn.XLOOKUP(B1842,Insumo[DESCRIPCION],Insumo[UND],,0),"")</f>
        <v/>
      </c>
      <c r="D1842" s="31"/>
      <c r="E1842" s="32" t="str">
        <f>IFERROR(_xlfn.XLOOKUP($B1842,Insumo[DESCRIPCION],Insumo[VALOR],,0),"")</f>
        <v/>
      </c>
      <c r="F1842" s="33"/>
      <c r="G1842" s="34" t="str">
        <f>IFERROR(IF(F1842&gt;=0,D1842*E1842*(1+F1842/100),ABS(D1842*E1842/F1842)),"")</f>
        <v/>
      </c>
      <c r="H1842" s="43" t="str">
        <f>IFERROR(G1842*E1837,"")</f>
        <v/>
      </c>
    </row>
    <row r="1843" spans="1:8">
      <c r="A1843" s="28"/>
      <c r="B1843" s="29"/>
      <c r="C1843" s="30" t="str">
        <f>IFERROR(_xlfn.XLOOKUP(B1843,Insumo[DESCRIPCION],Insumo[UND],,0),"")</f>
        <v/>
      </c>
      <c r="D1843" s="31"/>
      <c r="E1843" s="32" t="str">
        <f>IFERROR(_xlfn.XLOOKUP($B1843,Insumo[DESCRIPCION],Insumo[VALOR],,0),"")</f>
        <v/>
      </c>
      <c r="F1843" s="33"/>
      <c r="G1843" s="34" t="str">
        <f>IFERROR(IF(F1843&gt;=0,D1843*E1843*(1+F1843/100),ABS(D1843*E1843/F1843)),"")</f>
        <v/>
      </c>
      <c r="H1843" s="43" t="str">
        <f>IFERROR(G1843*E1837,"")</f>
        <v/>
      </c>
    </row>
    <row r="1844" spans="1:8">
      <c r="A1844" s="28"/>
      <c r="B1844" s="29"/>
      <c r="C1844" s="30" t="str">
        <f>IFERROR(_xlfn.XLOOKUP(B1844,Insumo[DESCRIPCION],Insumo[UND],,0),"")</f>
        <v/>
      </c>
      <c r="D1844" s="31"/>
      <c r="E1844" s="32" t="str">
        <f>IFERROR(_xlfn.XLOOKUP($B1844,Insumo[DESCRIPCION],Insumo[VALOR],,0),"")</f>
        <v/>
      </c>
      <c r="F1844" s="33"/>
      <c r="G1844" s="34" t="str">
        <f>IFERROR(IF(F1844&gt;=0,D1844*E1844*(1+F1844/100),ABS(D1844*E1844/F1844)),"")</f>
        <v/>
      </c>
      <c r="H1844" s="43" t="str">
        <f>IFERROR(G1844*E1837,"")</f>
        <v/>
      </c>
    </row>
    <row r="1845" spans="1:8">
      <c r="A1845" s="21"/>
      <c r="B1845" s="22" t="s">
        <v>3731</v>
      </c>
      <c r="C1845" s="23"/>
      <c r="D1845" s="24"/>
      <c r="E1845" s="25"/>
      <c r="F1845" s="26"/>
      <c r="G1845" s="27">
        <f>SUM(G1846:G1848)</f>
        <v>4606.1622262000001</v>
      </c>
      <c r="H1845" s="44">
        <f>G1845*E1837</f>
        <v>0</v>
      </c>
    </row>
    <row r="1846" spans="1:8">
      <c r="A1846" s="28"/>
      <c r="B1846" s="29" t="s">
        <v>3613</v>
      </c>
      <c r="C1846" s="30" t="str">
        <f>IFERROR(_xlfn.XLOOKUP(B1846,Equipo[DESCRIPCION],Equipo[UND],,0),"")</f>
        <v>Día</v>
      </c>
      <c r="D1846" s="31">
        <v>1</v>
      </c>
      <c r="E1846" s="32">
        <f>IF(C1846="%MO",G1852,IFERROR(_xlfn.XLOOKUP($B1846,Equipo[DESCRIPCION],Equipo[VALOR],,0),""))</f>
        <v>48133.05</v>
      </c>
      <c r="F1846" s="33">
        <v>-15</v>
      </c>
      <c r="G1846" s="34">
        <f>IFERROR(IF(F1846&gt;=0,D1846*E1846*(1+F1846/100),ABS(D1846*E1846/F1846)),"")</f>
        <v>3208.8700000000003</v>
      </c>
      <c r="H1846" s="43">
        <f>IFERROR(G1846*E1837,"")</f>
        <v>0</v>
      </c>
    </row>
    <row r="1847" spans="1:8">
      <c r="A1847" s="28"/>
      <c r="B1847" s="29" t="s">
        <v>3626</v>
      </c>
      <c r="C1847" s="30" t="str">
        <f>IFERROR(_xlfn.XLOOKUP(B1847,Equipo[DESCRIPCION],Equipo[UND],,0),"")</f>
        <v>%MO</v>
      </c>
      <c r="D1847" s="31">
        <v>0.05</v>
      </c>
      <c r="E1847" s="32">
        <f>IF(C1847="%MO",G1852,IFERROR(_xlfn.XLOOKUP($B1847,Equipo[DESCRIPCION],Equipo[VALOR],,0),""))</f>
        <v>27945.844524000004</v>
      </c>
      <c r="F1847" s="33"/>
      <c r="G1847" s="34">
        <f>IFERROR(IF(F1847&gt;=0,D1847*E1847*(1+F1847/100),ABS(D1847*E1847/F1847)),"")</f>
        <v>1397.2922262000002</v>
      </c>
      <c r="H1847" s="43">
        <f>IFERROR(G1847*E1837,"")</f>
        <v>0</v>
      </c>
    </row>
    <row r="1848" spans="1:8">
      <c r="A1848" s="28"/>
      <c r="B1848" s="29"/>
      <c r="C1848" s="30" t="str">
        <f>IFERROR(_xlfn.XLOOKUP(B1848,Equipo[DESCRIPCION],Equipo[UND],,0),"")</f>
        <v/>
      </c>
      <c r="D1848" s="31"/>
      <c r="E1848" s="32" t="str">
        <f>IF(C1848="%MO",G1852,IFERROR(_xlfn.XLOOKUP($B1848,Equipo[DESCRIPCION],Equipo[VALOR],,0),""))</f>
        <v/>
      </c>
      <c r="F1848" s="33"/>
      <c r="G1848" s="34" t="str">
        <f>IFERROR(IF(F1848&gt;=0,D1848*E1848*(1+F1848/100),ABS(D1848*E1848/F1848)),"")</f>
        <v/>
      </c>
      <c r="H1848" s="43" t="str">
        <f>IFERROR(G1848*E1837,"")</f>
        <v/>
      </c>
    </row>
    <row r="1849" spans="1:8">
      <c r="A1849" s="21"/>
      <c r="B1849" s="22" t="s">
        <v>2533</v>
      </c>
      <c r="C1849" s="23"/>
      <c r="D1849" s="24"/>
      <c r="E1849" s="25"/>
      <c r="F1849" s="26"/>
      <c r="G1849" s="27">
        <f>SUM(G1850:G1851)</f>
        <v>0</v>
      </c>
      <c r="H1849" s="44">
        <f>G1849*E1837</f>
        <v>0</v>
      </c>
    </row>
    <row r="1850" spans="1:8">
      <c r="A1850" s="28"/>
      <c r="B1850" s="29"/>
      <c r="C1850" s="30" t="str">
        <f>IFERROR(_xlfn.XLOOKUP(B1850,Transporte[DESCRIPCION],Transporte[UND],,0),"")</f>
        <v/>
      </c>
      <c r="D1850" s="31"/>
      <c r="E1850" s="32" t="str">
        <f>IFERROR(_xlfn.XLOOKUP($B1850,Transporte[DESCRIPCION],Transporte[VALOR],,0),"")</f>
        <v/>
      </c>
      <c r="F1850" s="33"/>
      <c r="G1850" s="34" t="str">
        <f>IFERROR(IF(F1850&gt;=0,D1850*E1850*(1+F1850/100),ABS(D1850*E1850/F1850)),"")</f>
        <v/>
      </c>
      <c r="H1850" s="43" t="str">
        <f>IFERROR(G1850*E1837,"")</f>
        <v/>
      </c>
    </row>
    <row r="1851" spans="1:8">
      <c r="A1851" s="28"/>
      <c r="B1851" s="29"/>
      <c r="C1851" s="30" t="str">
        <f>IFERROR(_xlfn.XLOOKUP(B1851,Transporte[DESCRIPCION],Transporte[UND],,0),"")</f>
        <v/>
      </c>
      <c r="D1851" s="31"/>
      <c r="E1851" s="32" t="str">
        <f>IFERROR(_xlfn.XLOOKUP($B1851,Transporte[DESCRIPCION],Transporte[VALOR],,0),"")</f>
        <v/>
      </c>
      <c r="F1851" s="33"/>
      <c r="G1851" s="34" t="str">
        <f>IFERROR(IF(F1851&gt;=0,D1851*E1851*(1+F1851/100),ABS(D1851*E1851/F1851)),"")</f>
        <v/>
      </c>
      <c r="H1851" s="43" t="str">
        <f>IFERROR(G1851*E1837,"")</f>
        <v/>
      </c>
    </row>
    <row r="1852" spans="1:8">
      <c r="A1852" s="21"/>
      <c r="B1852" s="22" t="s">
        <v>3732</v>
      </c>
      <c r="C1852" s="23"/>
      <c r="D1852" s="24"/>
      <c r="E1852" s="25"/>
      <c r="F1852" s="26"/>
      <c r="G1852" s="27">
        <f>SUM(G1853:G1855)</f>
        <v>27945.844524000004</v>
      </c>
      <c r="H1852" s="44">
        <f>G1852*E1837</f>
        <v>0</v>
      </c>
    </row>
    <row r="1853" spans="1:8">
      <c r="A1853" s="28"/>
      <c r="B1853" s="29" t="s">
        <v>3724</v>
      </c>
      <c r="C1853" s="30" t="str">
        <f>IFERROR(_xlfn.XLOOKUP(B1853,MObra[DESCRIPCION],MObra[UN],,0),"")</f>
        <v>día</v>
      </c>
      <c r="D1853" s="31">
        <v>1</v>
      </c>
      <c r="E1853" s="32">
        <f>IFERROR(_xlfn.XLOOKUP($B1853,MObra[DESCRIPCION],MObra[VALOR UNIT],,0),"")</f>
        <v>419187.66786000005</v>
      </c>
      <c r="F1853" s="33">
        <v>-15</v>
      </c>
      <c r="G1853" s="34">
        <f>IFERROR(IF(F1853&gt;=0,D1853*E1853*(1+F1853/100),ABS(D1853*E1853/F1853)),"")</f>
        <v>27945.844524000004</v>
      </c>
      <c r="H1853" s="43">
        <f>IFERROR(G1853*E1837,"")</f>
        <v>0</v>
      </c>
    </row>
    <row r="1854" spans="1:8">
      <c r="A1854" s="28"/>
      <c r="B1854" s="29"/>
      <c r="C1854" s="30" t="str">
        <f>IFERROR(_xlfn.XLOOKUP(B1854,MObra[DESCRIPCION],MObra[UN],,0),"")</f>
        <v/>
      </c>
      <c r="D1854" s="31"/>
      <c r="E1854" s="32" t="str">
        <f>IFERROR(_xlfn.XLOOKUP($B1854,MObra[DESCRIPCION],MObra[VALOR UNIT],,0),"")</f>
        <v/>
      </c>
      <c r="F1854" s="33"/>
      <c r="G1854" s="34" t="str">
        <f>IFERROR(IF(F1854&gt;=0,D1854*E1854*(1+F1854/100),ABS(D1854*E1854/F1854)),"")</f>
        <v/>
      </c>
      <c r="H1854" s="43" t="str">
        <f>IFERROR(G1854*E1837,"")</f>
        <v/>
      </c>
    </row>
    <row r="1855" spans="1:8" ht="13.15" thickBot="1">
      <c r="A1855" s="35"/>
      <c r="B1855" s="36"/>
      <c r="C1855" s="37" t="str">
        <f>IFERROR(_xlfn.XLOOKUP(B1855,MObra[DESCRIPCION],MObra[UN],,0),"")</f>
        <v/>
      </c>
      <c r="D1855" s="38"/>
      <c r="E1855" s="39" t="str">
        <f>IFERROR(_xlfn.XLOOKUP($B1855,MObra[DESCRIPCION],MObra[VALOR UNIT],,0),"")</f>
        <v/>
      </c>
      <c r="F1855" s="40"/>
      <c r="G1855" s="41" t="str">
        <f>IFERROR(IF(F1855&gt;=0,D1855*E1855*(1+F1855/100),ABS(D1855*E1855/F1855)),"")</f>
        <v/>
      </c>
      <c r="H1855" s="42" t="str">
        <f>IFERROR(G1855*E1837,"")</f>
        <v/>
      </c>
    </row>
    <row r="1856" spans="1:8" ht="13.5" thickTop="1" thickBot="1"/>
    <row r="1857" spans="1:11" ht="26.25" thickTop="1" thickBot="1">
      <c r="A1857" s="6" t="s">
        <v>1912</v>
      </c>
      <c r="B1857" s="7" t="str">
        <f>VLOOKUP($A1857,Presupuesto!$A:$D,2,FALSE())</f>
        <v>Corte mecánico placas y pavimentos de concreto asfaltico H&lt;=10 cm (incluye operario)</v>
      </c>
      <c r="C1857" s="8" t="str">
        <f>VLOOKUP($A1857,Presupuesto!$A:$D,3,FALSE())</f>
        <v>M</v>
      </c>
      <c r="D1857" s="9"/>
      <c r="E1857" s="10">
        <f>VLOOKUP($A1857,Presupuesto!$A:$D,4,FALSE())</f>
        <v>0</v>
      </c>
      <c r="F1857" s="11" t="s">
        <v>2589</v>
      </c>
      <c r="G1857" s="12">
        <f>SUM(G1859:G1875)/2</f>
        <v>13849.356070331251</v>
      </c>
      <c r="H1857" s="13">
        <f>ROUND(SUM(H1859:H1875),0)/2</f>
        <v>0</v>
      </c>
      <c r="I1857" s="10">
        <f>VLOOKUP(A1857,Presupuesto!$A:$F,6,0)</f>
        <v>0</v>
      </c>
      <c r="J1857" s="10">
        <f>+H1857-I1857</f>
        <v>0</v>
      </c>
      <c r="K1857" s="46">
        <f>+H1857-G1857*E1857</f>
        <v>0</v>
      </c>
    </row>
    <row r="1858" spans="1:11" ht="13.15" thickTop="1">
      <c r="A1858" s="14"/>
      <c r="B1858" s="15" t="s">
        <v>2586</v>
      </c>
      <c r="C1858" s="15" t="s">
        <v>5</v>
      </c>
      <c r="D1858" s="16" t="s">
        <v>6</v>
      </c>
      <c r="E1858" s="17" t="s">
        <v>7</v>
      </c>
      <c r="F1858" s="18" t="s">
        <v>3728</v>
      </c>
      <c r="G1858" s="19" t="s">
        <v>3729</v>
      </c>
      <c r="H1858" s="20" t="s">
        <v>3797</v>
      </c>
    </row>
    <row r="1859" spans="1:11">
      <c r="A1859" s="21"/>
      <c r="B1859" s="22" t="s">
        <v>3730</v>
      </c>
      <c r="C1859" s="23"/>
      <c r="D1859" s="24"/>
      <c r="E1859" s="25"/>
      <c r="F1859" s="26"/>
      <c r="G1859" s="27">
        <f>SUM(G1860:G1864)</f>
        <v>10411.212000000001</v>
      </c>
      <c r="H1859" s="27">
        <f>IFERROR(G1859*E1857,"")</f>
        <v>0</v>
      </c>
    </row>
    <row r="1860" spans="1:11">
      <c r="A1860" s="28"/>
      <c r="B1860" s="29" t="s">
        <v>2685</v>
      </c>
      <c r="C1860" s="30" t="str">
        <f>IFERROR(_xlfn.XLOOKUP(B1860,Insumo[DESCRIPCION],Insumo[UND],,0),"")</f>
        <v>Lt</v>
      </c>
      <c r="D1860" s="31">
        <v>25</v>
      </c>
      <c r="E1860" s="32">
        <f>IFERROR(_xlfn.XLOOKUP($B1860,Insumo[DESCRIPCION],Insumo[VALOR],,0),"")</f>
        <v>27.3</v>
      </c>
      <c r="F1860" s="33"/>
      <c r="G1860" s="34">
        <f>IFERROR(IF(F1860&gt;=0,D1860*E1860*(1+F1860/100),ABS(D1860*E1860/F1860)),"")</f>
        <v>682.5</v>
      </c>
      <c r="H1860" s="43">
        <f>IFERROR(G1860*E1857,"")</f>
        <v>0</v>
      </c>
    </row>
    <row r="1861" spans="1:11">
      <c r="A1861" s="28"/>
      <c r="B1861" s="29" t="s">
        <v>2924</v>
      </c>
      <c r="C1861" s="30" t="str">
        <f>IFERROR(_xlfn.XLOOKUP(B1861,Insumo[DESCRIPCION],Insumo[UND],,0),"")</f>
        <v>Un</v>
      </c>
      <c r="D1861" s="31">
        <v>0.02</v>
      </c>
      <c r="E1861" s="32">
        <f>IFERROR(_xlfn.XLOOKUP($B1861,Insumo[DESCRIPCION],Insumo[VALOR],,0),"")</f>
        <v>486435.60000000003</v>
      </c>
      <c r="F1861" s="33"/>
      <c r="G1861" s="34">
        <f>IFERROR(IF(F1861&gt;=0,D1861*E1861*(1+F1861/100),ABS(D1861*E1861/F1861)),"")</f>
        <v>9728.7120000000014</v>
      </c>
      <c r="H1861" s="43">
        <f>IFERROR(G1861*E1857,"")</f>
        <v>0</v>
      </c>
    </row>
    <row r="1862" spans="1:11">
      <c r="A1862" s="28"/>
      <c r="B1862" s="29"/>
      <c r="C1862" s="30" t="str">
        <f>IFERROR(_xlfn.XLOOKUP(B1862,Insumo[DESCRIPCION],Insumo[UND],,0),"")</f>
        <v/>
      </c>
      <c r="D1862" s="31"/>
      <c r="E1862" s="32" t="str">
        <f>IFERROR(_xlfn.XLOOKUP($B1862,Insumo[DESCRIPCION],Insumo[VALOR],,0),"")</f>
        <v/>
      </c>
      <c r="F1862" s="33"/>
      <c r="G1862" s="34" t="str">
        <f>IFERROR(IF(F1862&gt;=0,D1862*E1862*(1+F1862/100),ABS(D1862*E1862/F1862)),"")</f>
        <v/>
      </c>
      <c r="H1862" s="43" t="str">
        <f>IFERROR(G1862*E1857,"")</f>
        <v/>
      </c>
    </row>
    <row r="1863" spans="1:11">
      <c r="A1863" s="28"/>
      <c r="B1863" s="29"/>
      <c r="C1863" s="30" t="str">
        <f>IFERROR(_xlfn.XLOOKUP(B1863,Insumo[DESCRIPCION],Insumo[UND],,0),"")</f>
        <v/>
      </c>
      <c r="D1863" s="31"/>
      <c r="E1863" s="32" t="str">
        <f>IFERROR(_xlfn.XLOOKUP($B1863,Insumo[DESCRIPCION],Insumo[VALOR],,0),"")</f>
        <v/>
      </c>
      <c r="F1863" s="33"/>
      <c r="G1863" s="34" t="str">
        <f>IFERROR(IF(F1863&gt;=0,D1863*E1863*(1+F1863/100),ABS(D1863*E1863/F1863)),"")</f>
        <v/>
      </c>
      <c r="H1863" s="43" t="str">
        <f>IFERROR(G1863*E1857,"")</f>
        <v/>
      </c>
    </row>
    <row r="1864" spans="1:11">
      <c r="A1864" s="28"/>
      <c r="B1864" s="29"/>
      <c r="C1864" s="30" t="str">
        <f>IFERROR(_xlfn.XLOOKUP(B1864,Insumo[DESCRIPCION],Insumo[UND],,0),"")</f>
        <v/>
      </c>
      <c r="D1864" s="31"/>
      <c r="E1864" s="32" t="str">
        <f>IFERROR(_xlfn.XLOOKUP($B1864,Insumo[DESCRIPCION],Insumo[VALOR],,0),"")</f>
        <v/>
      </c>
      <c r="F1864" s="33"/>
      <c r="G1864" s="34" t="str">
        <f>IFERROR(IF(F1864&gt;=0,D1864*E1864*(1+F1864/100),ABS(D1864*E1864/F1864)),"")</f>
        <v/>
      </c>
      <c r="H1864" s="43" t="str">
        <f>IFERROR(G1864*E1857,"")</f>
        <v/>
      </c>
    </row>
    <row r="1865" spans="1:11">
      <c r="A1865" s="21"/>
      <c r="B1865" s="22" t="s">
        <v>3731</v>
      </c>
      <c r="C1865" s="23"/>
      <c r="D1865" s="24"/>
      <c r="E1865" s="25"/>
      <c r="F1865" s="26"/>
      <c r="G1865" s="27">
        <f>SUM(G1866:G1868)</f>
        <v>818.22114620625007</v>
      </c>
      <c r="H1865" s="44">
        <f>G1865*E1857</f>
        <v>0</v>
      </c>
    </row>
    <row r="1866" spans="1:11">
      <c r="A1866" s="28"/>
      <c r="B1866" s="29" t="s">
        <v>3602</v>
      </c>
      <c r="C1866" s="30" t="str">
        <f>IFERROR(_xlfn.XLOOKUP(B1866,Equipo[DESCRIPCION],Equipo[UND],,0),"")</f>
        <v>Hr</v>
      </c>
      <c r="D1866" s="31">
        <v>1</v>
      </c>
      <c r="E1866" s="32">
        <f>IF(C1866="%MO",G1872,IFERROR(_xlfn.XLOOKUP($B1866,Equipo[DESCRIPCION],Equipo[VALOR],,0),""))</f>
        <v>82467</v>
      </c>
      <c r="F1866" s="33">
        <v>-120</v>
      </c>
      <c r="G1866" s="34">
        <f>IFERROR(IF(F1866&gt;=0,D1866*E1866*(1+F1866/100),ABS(D1866*E1866/F1866)),"")</f>
        <v>687.22500000000002</v>
      </c>
      <c r="H1866" s="43">
        <f>IFERROR(G1866*E1857,"")</f>
        <v>0</v>
      </c>
    </row>
    <row r="1867" spans="1:11">
      <c r="A1867" s="28"/>
      <c r="B1867" s="29" t="s">
        <v>3626</v>
      </c>
      <c r="C1867" s="30" t="str">
        <f>IFERROR(_xlfn.XLOOKUP(B1867,Equipo[DESCRIPCION],Equipo[UND],,0),"")</f>
        <v>%MO</v>
      </c>
      <c r="D1867" s="31">
        <v>0.05</v>
      </c>
      <c r="E1867" s="32">
        <f>IF(C1867="%MO",G1872,IFERROR(_xlfn.XLOOKUP($B1867,Equipo[DESCRIPCION],Equipo[VALOR],,0),""))</f>
        <v>2619.9229241250005</v>
      </c>
      <c r="F1867" s="33"/>
      <c r="G1867" s="34">
        <f>IFERROR(IF(F1867&gt;=0,D1867*E1867*(1+F1867/100),ABS(D1867*E1867/F1867)),"")</f>
        <v>130.99614620625002</v>
      </c>
      <c r="H1867" s="43">
        <f>IFERROR(G1867*E1857,"")</f>
        <v>0</v>
      </c>
    </row>
    <row r="1868" spans="1:11">
      <c r="A1868" s="28"/>
      <c r="B1868" s="29"/>
      <c r="C1868" s="30" t="str">
        <f>IFERROR(_xlfn.XLOOKUP(B1868,Equipo[DESCRIPCION],Equipo[UND],,0),"")</f>
        <v/>
      </c>
      <c r="D1868" s="31"/>
      <c r="E1868" s="32" t="str">
        <f>IF(C1868="%MO",G1872,IFERROR(_xlfn.XLOOKUP($B1868,Equipo[DESCRIPCION],Equipo[VALOR],,0),""))</f>
        <v/>
      </c>
      <c r="F1868" s="33"/>
      <c r="G1868" s="34" t="str">
        <f>IFERROR(IF(F1868&gt;=0,D1868*E1868*(1+F1868/100),ABS(D1868*E1868/F1868)),"")</f>
        <v/>
      </c>
      <c r="H1868" s="43" t="str">
        <f>IFERROR(G1868*E1857,"")</f>
        <v/>
      </c>
    </row>
    <row r="1869" spans="1:11">
      <c r="A1869" s="21"/>
      <c r="B1869" s="22" t="s">
        <v>2533</v>
      </c>
      <c r="C1869" s="23"/>
      <c r="D1869" s="24"/>
      <c r="E1869" s="25"/>
      <c r="F1869" s="26"/>
      <c r="G1869" s="27">
        <f>SUM(G1870:G1871)</f>
        <v>0</v>
      </c>
      <c r="H1869" s="44">
        <f>G1869*E1857</f>
        <v>0</v>
      </c>
    </row>
    <row r="1870" spans="1:11">
      <c r="A1870" s="28"/>
      <c r="B1870" s="29"/>
      <c r="C1870" s="30" t="str">
        <f>IFERROR(_xlfn.XLOOKUP(B1870,Transporte[DESCRIPCION],Transporte[UND],,0),"")</f>
        <v/>
      </c>
      <c r="D1870" s="31"/>
      <c r="E1870" s="32" t="str">
        <f>IFERROR(_xlfn.XLOOKUP($B1870,Transporte[DESCRIPCION],Transporte[VALOR],,0),"")</f>
        <v/>
      </c>
      <c r="F1870" s="33"/>
      <c r="G1870" s="34" t="str">
        <f>IFERROR(IF(F1870&gt;=0,D1870*E1870*(1+F1870/100),ABS(D1870*E1870/F1870)),"")</f>
        <v/>
      </c>
      <c r="H1870" s="43" t="str">
        <f>IFERROR(G1870*E1857,"")</f>
        <v/>
      </c>
    </row>
    <row r="1871" spans="1:11">
      <c r="A1871" s="28"/>
      <c r="B1871" s="29"/>
      <c r="C1871" s="30" t="str">
        <f>IFERROR(_xlfn.XLOOKUP(B1871,Transporte[DESCRIPCION],Transporte[UND],,0),"")</f>
        <v/>
      </c>
      <c r="D1871" s="31"/>
      <c r="E1871" s="32" t="str">
        <f>IFERROR(_xlfn.XLOOKUP($B1871,Transporte[DESCRIPCION],Transporte[VALOR],,0),"")</f>
        <v/>
      </c>
      <c r="F1871" s="33"/>
      <c r="G1871" s="34" t="str">
        <f>IFERROR(IF(F1871&gt;=0,D1871*E1871*(1+F1871/100),ABS(D1871*E1871/F1871)),"")</f>
        <v/>
      </c>
      <c r="H1871" s="43" t="str">
        <f>IFERROR(G1871*E1857,"")</f>
        <v/>
      </c>
    </row>
    <row r="1872" spans="1:11">
      <c r="A1872" s="21"/>
      <c r="B1872" s="22" t="s">
        <v>3732</v>
      </c>
      <c r="C1872" s="23"/>
      <c r="D1872" s="24"/>
      <c r="E1872" s="25"/>
      <c r="F1872" s="26"/>
      <c r="G1872" s="27">
        <f>SUM(G1873:G1875)</f>
        <v>2619.9229241250005</v>
      </c>
      <c r="H1872" s="44">
        <f>G1872*E1857</f>
        <v>0</v>
      </c>
    </row>
    <row r="1873" spans="1:11">
      <c r="A1873" s="28"/>
      <c r="B1873" s="29" t="s">
        <v>3710</v>
      </c>
      <c r="C1873" s="30" t="str">
        <f>IFERROR(_xlfn.XLOOKUP(B1873,MObra[DESCRIPCION],MObra[UN],,0),"")</f>
        <v>día</v>
      </c>
      <c r="D1873" s="31">
        <v>1</v>
      </c>
      <c r="E1873" s="32">
        <f>IFERROR(_xlfn.XLOOKUP($B1873,MObra[DESCRIPCION],MObra[VALOR UNIT],,0),"")</f>
        <v>314390.75089500006</v>
      </c>
      <c r="F1873" s="33">
        <v>-120</v>
      </c>
      <c r="G1873" s="34">
        <f>IFERROR(IF(F1873&gt;=0,D1873*E1873*(1+F1873/100),ABS(D1873*E1873/F1873)),"")</f>
        <v>2619.9229241250005</v>
      </c>
      <c r="H1873" s="43">
        <f>IFERROR(G1873*E1857,"")</f>
        <v>0</v>
      </c>
    </row>
    <row r="1874" spans="1:11">
      <c r="A1874" s="28"/>
      <c r="B1874" s="29"/>
      <c r="C1874" s="30" t="str">
        <f>IFERROR(_xlfn.XLOOKUP(B1874,MObra[DESCRIPCION],MObra[UN],,0),"")</f>
        <v/>
      </c>
      <c r="D1874" s="31"/>
      <c r="E1874" s="32" t="str">
        <f>IFERROR(_xlfn.XLOOKUP($B1874,MObra[DESCRIPCION],MObra[VALOR UNIT],,0),"")</f>
        <v/>
      </c>
      <c r="F1874" s="33"/>
      <c r="G1874" s="34" t="str">
        <f>IFERROR(IF(F1874&gt;=0,D1874*E1874*(1+F1874/100),ABS(D1874*E1874/F1874)),"")</f>
        <v/>
      </c>
      <c r="H1874" s="43" t="str">
        <f>IFERROR(G1874*E1857,"")</f>
        <v/>
      </c>
    </row>
    <row r="1875" spans="1:11" ht="13.15" thickBot="1">
      <c r="A1875" s="35"/>
      <c r="B1875" s="36"/>
      <c r="C1875" s="37" t="str">
        <f>IFERROR(_xlfn.XLOOKUP(B1875,MObra[DESCRIPCION],MObra[UN],,0),"")</f>
        <v/>
      </c>
      <c r="D1875" s="38"/>
      <c r="E1875" s="39" t="str">
        <f>IFERROR(_xlfn.XLOOKUP($B1875,MObra[DESCRIPCION],MObra[VALOR UNIT],,0),"")</f>
        <v/>
      </c>
      <c r="F1875" s="40"/>
      <c r="G1875" s="41" t="str">
        <f>IFERROR(IF(F1875&gt;=0,D1875*E1875*(1+F1875/100),ABS(D1875*E1875/F1875)),"")</f>
        <v/>
      </c>
      <c r="H1875" s="42" t="str">
        <f>IFERROR(G1875*E1857,"")</f>
        <v/>
      </c>
    </row>
    <row r="1876" spans="1:11" ht="13.5" thickTop="1" thickBot="1"/>
    <row r="1877" spans="1:11" ht="26.25" thickTop="1" thickBot="1">
      <c r="A1877" s="6" t="s">
        <v>1914</v>
      </c>
      <c r="B1877" s="7" t="str">
        <f>VLOOKUP($A1877,Presupuesto!$A:$D,2,FALSE())</f>
        <v>Corte mecánico placas y pavimentos de concreto asfaltico H&lt;=6cm (incluye operario)</v>
      </c>
      <c r="C1877" s="8" t="str">
        <f>VLOOKUP($A1877,Presupuesto!$A:$D,3,FALSE())</f>
        <v>M</v>
      </c>
      <c r="D1877" s="9"/>
      <c r="E1877" s="10">
        <f>VLOOKUP($A1877,Presupuesto!$A:$D,4,FALSE())</f>
        <v>0</v>
      </c>
      <c r="F1877" s="11" t="s">
        <v>2589</v>
      </c>
      <c r="G1877" s="12">
        <f>SUM(G1879:G1895)/2</f>
        <v>10593.049256264998</v>
      </c>
      <c r="H1877" s="13">
        <f>ROUND(SUM(H1879:H1895),0)/2</f>
        <v>0</v>
      </c>
      <c r="I1877" s="10">
        <f>VLOOKUP(A1877,Presupuesto!$A:$F,6,0)</f>
        <v>0</v>
      </c>
      <c r="J1877" s="10">
        <f>+H1877-I1877</f>
        <v>0</v>
      </c>
      <c r="K1877" s="46">
        <f>+H1877-G1877*E1877</f>
        <v>0</v>
      </c>
    </row>
    <row r="1878" spans="1:11" ht="13.15" thickTop="1">
      <c r="A1878" s="14"/>
      <c r="B1878" s="15" t="s">
        <v>2586</v>
      </c>
      <c r="C1878" s="15" t="s">
        <v>5</v>
      </c>
      <c r="D1878" s="16" t="s">
        <v>6</v>
      </c>
      <c r="E1878" s="17" t="s">
        <v>7</v>
      </c>
      <c r="F1878" s="18" t="s">
        <v>3728</v>
      </c>
      <c r="G1878" s="19" t="s">
        <v>3729</v>
      </c>
      <c r="H1878" s="20" t="s">
        <v>3797</v>
      </c>
    </row>
    <row r="1879" spans="1:11">
      <c r="A1879" s="21"/>
      <c r="B1879" s="22" t="s">
        <v>3730</v>
      </c>
      <c r="C1879" s="23"/>
      <c r="D1879" s="24"/>
      <c r="E1879" s="25"/>
      <c r="F1879" s="26"/>
      <c r="G1879" s="27">
        <f>SUM(G1880:G1884)</f>
        <v>7842.5340000000006</v>
      </c>
      <c r="H1879" s="27">
        <f>IFERROR(G1879*E1877,"")</f>
        <v>0</v>
      </c>
    </row>
    <row r="1880" spans="1:11">
      <c r="A1880" s="28"/>
      <c r="B1880" s="29" t="s">
        <v>2685</v>
      </c>
      <c r="C1880" s="30" t="str">
        <f>IFERROR(_xlfn.XLOOKUP(B1880,Insumo[DESCRIPCION],Insumo[UND],,0),"")</f>
        <v>Lt</v>
      </c>
      <c r="D1880" s="31">
        <v>20</v>
      </c>
      <c r="E1880" s="32">
        <f>IFERROR(_xlfn.XLOOKUP($B1880,Insumo[DESCRIPCION],Insumo[VALOR],,0),"")</f>
        <v>27.3</v>
      </c>
      <c r="F1880" s="33"/>
      <c r="G1880" s="34">
        <f>IFERROR(IF(F1880&gt;=0,D1880*E1880*(1+F1880/100),ABS(D1880*E1880/F1880)),"")</f>
        <v>546</v>
      </c>
      <c r="H1880" s="43">
        <f>IFERROR(G1880*E1877,"")</f>
        <v>0</v>
      </c>
    </row>
    <row r="1881" spans="1:11">
      <c r="A1881" s="28"/>
      <c r="B1881" s="29" t="s">
        <v>2924</v>
      </c>
      <c r="C1881" s="30" t="str">
        <f>IFERROR(_xlfn.XLOOKUP(B1881,Insumo[DESCRIPCION],Insumo[UND],,0),"")</f>
        <v>Un</v>
      </c>
      <c r="D1881" s="31">
        <v>1.4999999999999999E-2</v>
      </c>
      <c r="E1881" s="32">
        <f>IFERROR(_xlfn.XLOOKUP($B1881,Insumo[DESCRIPCION],Insumo[VALOR],,0),"")</f>
        <v>486435.60000000003</v>
      </c>
      <c r="F1881" s="33"/>
      <c r="G1881" s="34">
        <f>IFERROR(IF(F1881&gt;=0,D1881*E1881*(1+F1881/100),ABS(D1881*E1881/F1881)),"")</f>
        <v>7296.5340000000006</v>
      </c>
      <c r="H1881" s="43">
        <f>IFERROR(G1881*E1877,"")</f>
        <v>0</v>
      </c>
    </row>
    <row r="1882" spans="1:11">
      <c r="A1882" s="28"/>
      <c r="B1882" s="29"/>
      <c r="C1882" s="30" t="str">
        <f>IFERROR(_xlfn.XLOOKUP(B1882,Insumo[DESCRIPCION],Insumo[UND],,0),"")</f>
        <v/>
      </c>
      <c r="D1882" s="31"/>
      <c r="E1882" s="32" t="str">
        <f>IFERROR(_xlfn.XLOOKUP($B1882,Insumo[DESCRIPCION],Insumo[VALOR],,0),"")</f>
        <v/>
      </c>
      <c r="F1882" s="33"/>
      <c r="G1882" s="34" t="str">
        <f>IFERROR(IF(F1882&gt;=0,D1882*E1882*(1+F1882/100),ABS(D1882*E1882/F1882)),"")</f>
        <v/>
      </c>
      <c r="H1882" s="43" t="str">
        <f>IFERROR(G1882*E1877,"")</f>
        <v/>
      </c>
    </row>
    <row r="1883" spans="1:11">
      <c r="A1883" s="28"/>
      <c r="B1883" s="29"/>
      <c r="C1883" s="30" t="str">
        <f>IFERROR(_xlfn.XLOOKUP(B1883,Insumo[DESCRIPCION],Insumo[UND],,0),"")</f>
        <v/>
      </c>
      <c r="D1883" s="31"/>
      <c r="E1883" s="32" t="str">
        <f>IFERROR(_xlfn.XLOOKUP($B1883,Insumo[DESCRIPCION],Insumo[VALOR],,0),"")</f>
        <v/>
      </c>
      <c r="F1883" s="33"/>
      <c r="G1883" s="34" t="str">
        <f>IFERROR(IF(F1883&gt;=0,D1883*E1883*(1+F1883/100),ABS(D1883*E1883/F1883)),"")</f>
        <v/>
      </c>
      <c r="H1883" s="43" t="str">
        <f>IFERROR(G1883*E1877,"")</f>
        <v/>
      </c>
    </row>
    <row r="1884" spans="1:11">
      <c r="A1884" s="28"/>
      <c r="B1884" s="29"/>
      <c r="C1884" s="30" t="str">
        <f>IFERROR(_xlfn.XLOOKUP(B1884,Insumo[DESCRIPCION],Insumo[UND],,0),"")</f>
        <v/>
      </c>
      <c r="D1884" s="31"/>
      <c r="E1884" s="32" t="str">
        <f>IFERROR(_xlfn.XLOOKUP($B1884,Insumo[DESCRIPCION],Insumo[VALOR],,0),"")</f>
        <v/>
      </c>
      <c r="F1884" s="33"/>
      <c r="G1884" s="34" t="str">
        <f>IFERROR(IF(F1884&gt;=0,D1884*E1884*(1+F1884/100),ABS(D1884*E1884/F1884)),"")</f>
        <v/>
      </c>
      <c r="H1884" s="43" t="str">
        <f>IFERROR(G1884*E1877,"")</f>
        <v/>
      </c>
    </row>
    <row r="1885" spans="1:11">
      <c r="A1885" s="21"/>
      <c r="B1885" s="22" t="s">
        <v>3731</v>
      </c>
      <c r="C1885" s="23"/>
      <c r="D1885" s="24"/>
      <c r="E1885" s="25"/>
      <c r="F1885" s="26"/>
      <c r="G1885" s="27">
        <f>SUM(G1886:G1888)</f>
        <v>654.57691696500001</v>
      </c>
      <c r="H1885" s="44">
        <f>G1885*E1877</f>
        <v>0</v>
      </c>
    </row>
    <row r="1886" spans="1:11">
      <c r="A1886" s="28"/>
      <c r="B1886" s="29" t="s">
        <v>3602</v>
      </c>
      <c r="C1886" s="30" t="str">
        <f>IFERROR(_xlfn.XLOOKUP(B1886,Equipo[DESCRIPCION],Equipo[UND],,0),"")</f>
        <v>Hr</v>
      </c>
      <c r="D1886" s="31">
        <v>1</v>
      </c>
      <c r="E1886" s="32">
        <f>IF(C1886="%MO",G1892,IFERROR(_xlfn.XLOOKUP($B1886,Equipo[DESCRIPCION],Equipo[VALOR],,0),""))</f>
        <v>82467</v>
      </c>
      <c r="F1886" s="33">
        <v>-150</v>
      </c>
      <c r="G1886" s="34">
        <f>IFERROR(IF(F1886&gt;=0,D1886*E1886*(1+F1886/100),ABS(D1886*E1886/F1886)),"")</f>
        <v>549.78</v>
      </c>
      <c r="H1886" s="43">
        <f>IFERROR(G1886*E1877,"")</f>
        <v>0</v>
      </c>
    </row>
    <row r="1887" spans="1:11">
      <c r="A1887" s="28"/>
      <c r="B1887" s="29" t="s">
        <v>3626</v>
      </c>
      <c r="C1887" s="30" t="str">
        <f>IFERROR(_xlfn.XLOOKUP(B1887,Equipo[DESCRIPCION],Equipo[UND],,0),"")</f>
        <v>%MO</v>
      </c>
      <c r="D1887" s="31">
        <v>0.05</v>
      </c>
      <c r="E1887" s="32">
        <f>IF(C1887="%MO",G1892,IFERROR(_xlfn.XLOOKUP($B1887,Equipo[DESCRIPCION],Equipo[VALOR],,0),""))</f>
        <v>2095.9383393000003</v>
      </c>
      <c r="F1887" s="33"/>
      <c r="G1887" s="34">
        <f>IFERROR(IF(F1887&gt;=0,D1887*E1887*(1+F1887/100),ABS(D1887*E1887/F1887)),"")</f>
        <v>104.79691696500002</v>
      </c>
      <c r="H1887" s="43">
        <f>IFERROR(G1887*E1877,"")</f>
        <v>0</v>
      </c>
    </row>
    <row r="1888" spans="1:11">
      <c r="A1888" s="28"/>
      <c r="B1888" s="29"/>
      <c r="C1888" s="30" t="str">
        <f>IFERROR(_xlfn.XLOOKUP(B1888,Equipo[DESCRIPCION],Equipo[UND],,0),"")</f>
        <v/>
      </c>
      <c r="D1888" s="31"/>
      <c r="E1888" s="32" t="str">
        <f>IF(C1888="%MO",G1892,IFERROR(_xlfn.XLOOKUP($B1888,Equipo[DESCRIPCION],Equipo[VALOR],,0),""))</f>
        <v/>
      </c>
      <c r="F1888" s="33"/>
      <c r="G1888" s="34" t="str">
        <f>IFERROR(IF(F1888&gt;=0,D1888*E1888*(1+F1888/100),ABS(D1888*E1888/F1888)),"")</f>
        <v/>
      </c>
      <c r="H1888" s="43" t="str">
        <f>IFERROR(G1888*E1877,"")</f>
        <v/>
      </c>
    </row>
    <row r="1889" spans="1:11">
      <c r="A1889" s="21"/>
      <c r="B1889" s="22" t="s">
        <v>2533</v>
      </c>
      <c r="C1889" s="23"/>
      <c r="D1889" s="24"/>
      <c r="E1889" s="25"/>
      <c r="F1889" s="26"/>
      <c r="G1889" s="27">
        <f>SUM(G1890:G1891)</f>
        <v>0</v>
      </c>
      <c r="H1889" s="44">
        <f>G1889*E1877</f>
        <v>0</v>
      </c>
    </row>
    <row r="1890" spans="1:11">
      <c r="A1890" s="28"/>
      <c r="B1890" s="29"/>
      <c r="C1890" s="30" t="str">
        <f>IFERROR(_xlfn.XLOOKUP(B1890,Transporte[DESCRIPCION],Transporte[UND],,0),"")</f>
        <v/>
      </c>
      <c r="D1890" s="31"/>
      <c r="E1890" s="32" t="str">
        <f>IFERROR(_xlfn.XLOOKUP($B1890,Transporte[DESCRIPCION],Transporte[VALOR],,0),"")</f>
        <v/>
      </c>
      <c r="F1890" s="33"/>
      <c r="G1890" s="34" t="str">
        <f>IFERROR(IF(F1890&gt;=0,D1890*E1890*(1+F1890/100),ABS(D1890*E1890/F1890)),"")</f>
        <v/>
      </c>
      <c r="H1890" s="43" t="str">
        <f>IFERROR(G1890*E1877,"")</f>
        <v/>
      </c>
    </row>
    <row r="1891" spans="1:11">
      <c r="A1891" s="28"/>
      <c r="B1891" s="29"/>
      <c r="C1891" s="30" t="str">
        <f>IFERROR(_xlfn.XLOOKUP(B1891,Transporte[DESCRIPCION],Transporte[UND],,0),"")</f>
        <v/>
      </c>
      <c r="D1891" s="31"/>
      <c r="E1891" s="32" t="str">
        <f>IFERROR(_xlfn.XLOOKUP($B1891,Transporte[DESCRIPCION],Transporte[VALOR],,0),"")</f>
        <v/>
      </c>
      <c r="F1891" s="33"/>
      <c r="G1891" s="34" t="str">
        <f>IFERROR(IF(F1891&gt;=0,D1891*E1891*(1+F1891/100),ABS(D1891*E1891/F1891)),"")</f>
        <v/>
      </c>
      <c r="H1891" s="43" t="str">
        <f>IFERROR(G1891*E1877,"")</f>
        <v/>
      </c>
    </row>
    <row r="1892" spans="1:11">
      <c r="A1892" s="21"/>
      <c r="B1892" s="22" t="s">
        <v>3732</v>
      </c>
      <c r="C1892" s="23"/>
      <c r="D1892" s="24"/>
      <c r="E1892" s="25"/>
      <c r="F1892" s="26"/>
      <c r="G1892" s="27">
        <f>SUM(G1893:G1895)</f>
        <v>2095.9383393000003</v>
      </c>
      <c r="H1892" s="44">
        <f>G1892*E1877</f>
        <v>0</v>
      </c>
    </row>
    <row r="1893" spans="1:11">
      <c r="A1893" s="28"/>
      <c r="B1893" s="29" t="s">
        <v>3710</v>
      </c>
      <c r="C1893" s="30" t="str">
        <f>IFERROR(_xlfn.XLOOKUP(B1893,MObra[DESCRIPCION],MObra[UN],,0),"")</f>
        <v>día</v>
      </c>
      <c r="D1893" s="31">
        <v>1</v>
      </c>
      <c r="E1893" s="32">
        <f>IFERROR(_xlfn.XLOOKUP($B1893,MObra[DESCRIPCION],MObra[VALOR UNIT],,0),"")</f>
        <v>314390.75089500006</v>
      </c>
      <c r="F1893" s="33">
        <v>-150</v>
      </c>
      <c r="G1893" s="34">
        <f>IFERROR(IF(F1893&gt;=0,D1893*E1893*(1+F1893/100),ABS(D1893*E1893/F1893)),"")</f>
        <v>2095.9383393000003</v>
      </c>
      <c r="H1893" s="43">
        <f>IFERROR(G1893*E1877,"")</f>
        <v>0</v>
      </c>
    </row>
    <row r="1894" spans="1:11">
      <c r="A1894" s="28"/>
      <c r="B1894" s="29"/>
      <c r="C1894" s="30" t="str">
        <f>IFERROR(_xlfn.XLOOKUP(B1894,MObra[DESCRIPCION],MObra[UN],,0),"")</f>
        <v/>
      </c>
      <c r="D1894" s="31"/>
      <c r="E1894" s="32" t="str">
        <f>IFERROR(_xlfn.XLOOKUP($B1894,MObra[DESCRIPCION],MObra[VALOR UNIT],,0),"")</f>
        <v/>
      </c>
      <c r="F1894" s="33"/>
      <c r="G1894" s="34" t="str">
        <f>IFERROR(IF(F1894&gt;=0,D1894*E1894*(1+F1894/100),ABS(D1894*E1894/F1894)),"")</f>
        <v/>
      </c>
      <c r="H1894" s="43" t="str">
        <f>IFERROR(G1894*E1877,"")</f>
        <v/>
      </c>
    </row>
    <row r="1895" spans="1:11" ht="13.15" thickBot="1">
      <c r="A1895" s="35"/>
      <c r="B1895" s="36"/>
      <c r="C1895" s="37" t="str">
        <f>IFERROR(_xlfn.XLOOKUP(B1895,MObra[DESCRIPCION],MObra[UN],,0),"")</f>
        <v/>
      </c>
      <c r="D1895" s="38"/>
      <c r="E1895" s="39" t="str">
        <f>IFERROR(_xlfn.XLOOKUP($B1895,MObra[DESCRIPCION],MObra[VALOR UNIT],,0),"")</f>
        <v/>
      </c>
      <c r="F1895" s="40"/>
      <c r="G1895" s="41" t="str">
        <f>IFERROR(IF(F1895&gt;=0,D1895*E1895*(1+F1895/100),ABS(D1895*E1895/F1895)),"")</f>
        <v/>
      </c>
      <c r="H1895" s="42" t="str">
        <f>IFERROR(G1895*E1877,"")</f>
        <v/>
      </c>
    </row>
    <row r="1896" spans="1:11" ht="13.5" thickTop="1" thickBot="1"/>
    <row r="1897" spans="1:11" ht="26.25" thickTop="1" thickBot="1">
      <c r="A1897" s="6" t="s">
        <v>1916</v>
      </c>
      <c r="B1897" s="7" t="str">
        <f>VLOOKUP($A1897,Presupuesto!$A:$D,2,FALSE())</f>
        <v>Corte mecánico placas y pavimentos de concreto rígido 6cm &lt;= H&lt;=10cm (incluye operario)</v>
      </c>
      <c r="C1897" s="8" t="str">
        <f>VLOOKUP($A1897,Presupuesto!$A:$D,3,FALSE())</f>
        <v>M</v>
      </c>
      <c r="D1897" s="9"/>
      <c r="E1897" s="10">
        <f>VLOOKUP($A1897,Presupuesto!$A:$D,4,FALSE())</f>
        <v>0</v>
      </c>
      <c r="F1897" s="11" t="s">
        <v>2589</v>
      </c>
      <c r="G1897" s="12">
        <f>SUM(G1899:G1915)/2</f>
        <v>12941.178084397501</v>
      </c>
      <c r="H1897" s="13">
        <f>ROUND(SUM(H1899:H1915),0)/2</f>
        <v>0</v>
      </c>
      <c r="I1897" s="10">
        <f>VLOOKUP(A1897,Presupuesto!$A:$F,6,0)</f>
        <v>0</v>
      </c>
      <c r="J1897" s="10">
        <f>+H1897-I1897</f>
        <v>0</v>
      </c>
      <c r="K1897" s="46">
        <f>+H1897-G1897*E1897</f>
        <v>0</v>
      </c>
    </row>
    <row r="1898" spans="1:11" ht="13.15" thickTop="1">
      <c r="A1898" s="14"/>
      <c r="B1898" s="15" t="s">
        <v>2586</v>
      </c>
      <c r="C1898" s="15" t="s">
        <v>5</v>
      </c>
      <c r="D1898" s="16" t="s">
        <v>6</v>
      </c>
      <c r="E1898" s="17" t="s">
        <v>7</v>
      </c>
      <c r="F1898" s="18" t="s">
        <v>3728</v>
      </c>
      <c r="G1898" s="19" t="s">
        <v>3729</v>
      </c>
      <c r="H1898" s="20" t="s">
        <v>3797</v>
      </c>
    </row>
    <row r="1899" spans="1:11">
      <c r="A1899" s="21"/>
      <c r="B1899" s="22" t="s">
        <v>3730</v>
      </c>
      <c r="C1899" s="23"/>
      <c r="D1899" s="24"/>
      <c r="E1899" s="25"/>
      <c r="F1899" s="26"/>
      <c r="G1899" s="27">
        <f>SUM(G1900:G1904)</f>
        <v>8815.4052000000011</v>
      </c>
      <c r="H1899" s="27">
        <f>IFERROR(G1899*E1897,"")</f>
        <v>0</v>
      </c>
    </row>
    <row r="1900" spans="1:11">
      <c r="A1900" s="28"/>
      <c r="B1900" s="29" t="s">
        <v>2685</v>
      </c>
      <c r="C1900" s="30" t="str">
        <f>IFERROR(_xlfn.XLOOKUP(B1900,Insumo[DESCRIPCION],Insumo[UND],,0),"")</f>
        <v>Lt</v>
      </c>
      <c r="D1900" s="31">
        <v>20</v>
      </c>
      <c r="E1900" s="32">
        <f>IFERROR(_xlfn.XLOOKUP($B1900,Insumo[DESCRIPCION],Insumo[VALOR],,0),"")</f>
        <v>27.3</v>
      </c>
      <c r="F1900" s="33"/>
      <c r="G1900" s="34">
        <f>IFERROR(IF(F1900&gt;=0,D1900*E1900*(1+F1900/100),ABS(D1900*E1900/F1900)),"")</f>
        <v>546</v>
      </c>
      <c r="H1900" s="43">
        <f>IFERROR(G1900*E1897,"")</f>
        <v>0</v>
      </c>
    </row>
    <row r="1901" spans="1:11">
      <c r="A1901" s="28"/>
      <c r="B1901" s="29" t="s">
        <v>2924</v>
      </c>
      <c r="C1901" s="30" t="str">
        <f>IFERROR(_xlfn.XLOOKUP(B1901,Insumo[DESCRIPCION],Insumo[UND],,0),"")</f>
        <v>Un</v>
      </c>
      <c r="D1901" s="31">
        <v>1.7000000000000001E-2</v>
      </c>
      <c r="E1901" s="32">
        <f>IFERROR(_xlfn.XLOOKUP($B1901,Insumo[DESCRIPCION],Insumo[VALOR],,0),"")</f>
        <v>486435.60000000003</v>
      </c>
      <c r="F1901" s="33"/>
      <c r="G1901" s="34">
        <f>IFERROR(IF(F1901&gt;=0,D1901*E1901*(1+F1901/100),ABS(D1901*E1901/F1901)),"")</f>
        <v>8269.4052000000011</v>
      </c>
      <c r="H1901" s="43">
        <f>IFERROR(G1901*E1897,"")</f>
        <v>0</v>
      </c>
    </row>
    <row r="1902" spans="1:11">
      <c r="A1902" s="28"/>
      <c r="B1902" s="29"/>
      <c r="C1902" s="30" t="str">
        <f>IFERROR(_xlfn.XLOOKUP(B1902,Insumo[DESCRIPCION],Insumo[UND],,0),"")</f>
        <v/>
      </c>
      <c r="D1902" s="31"/>
      <c r="E1902" s="32" t="str">
        <f>IFERROR(_xlfn.XLOOKUP($B1902,Insumo[DESCRIPCION],Insumo[VALOR],,0),"")</f>
        <v/>
      </c>
      <c r="F1902" s="33"/>
      <c r="G1902" s="34" t="str">
        <f>IFERROR(IF(F1902&gt;=0,D1902*E1902*(1+F1902/100),ABS(D1902*E1902/F1902)),"")</f>
        <v/>
      </c>
      <c r="H1902" s="43" t="str">
        <f>IFERROR(G1902*E1897,"")</f>
        <v/>
      </c>
    </row>
    <row r="1903" spans="1:11">
      <c r="A1903" s="28"/>
      <c r="B1903" s="29"/>
      <c r="C1903" s="30" t="str">
        <f>IFERROR(_xlfn.XLOOKUP(B1903,Insumo[DESCRIPCION],Insumo[UND],,0),"")</f>
        <v/>
      </c>
      <c r="D1903" s="31"/>
      <c r="E1903" s="32" t="str">
        <f>IFERROR(_xlfn.XLOOKUP($B1903,Insumo[DESCRIPCION],Insumo[VALOR],,0),"")</f>
        <v/>
      </c>
      <c r="F1903" s="33"/>
      <c r="G1903" s="34" t="str">
        <f>IFERROR(IF(F1903&gt;=0,D1903*E1903*(1+F1903/100),ABS(D1903*E1903/F1903)),"")</f>
        <v/>
      </c>
      <c r="H1903" s="43" t="str">
        <f>IFERROR(G1903*E1897,"")</f>
        <v/>
      </c>
    </row>
    <row r="1904" spans="1:11">
      <c r="A1904" s="28"/>
      <c r="B1904" s="29"/>
      <c r="C1904" s="30" t="str">
        <f>IFERROR(_xlfn.XLOOKUP(B1904,Insumo[DESCRIPCION],Insumo[UND],,0),"")</f>
        <v/>
      </c>
      <c r="D1904" s="31"/>
      <c r="E1904" s="32" t="str">
        <f>IFERROR(_xlfn.XLOOKUP($B1904,Insumo[DESCRIPCION],Insumo[VALOR],,0),"")</f>
        <v/>
      </c>
      <c r="F1904" s="33"/>
      <c r="G1904" s="34" t="str">
        <f>IFERROR(IF(F1904&gt;=0,D1904*E1904*(1+F1904/100),ABS(D1904*E1904/F1904)),"")</f>
        <v/>
      </c>
      <c r="H1904" s="43" t="str">
        <f>IFERROR(G1904*E1897,"")</f>
        <v/>
      </c>
    </row>
    <row r="1905" spans="1:11">
      <c r="A1905" s="21"/>
      <c r="B1905" s="22" t="s">
        <v>3731</v>
      </c>
      <c r="C1905" s="23"/>
      <c r="D1905" s="24"/>
      <c r="E1905" s="25"/>
      <c r="F1905" s="26"/>
      <c r="G1905" s="27">
        <f>SUM(G1906:G1908)</f>
        <v>981.86537544750001</v>
      </c>
      <c r="H1905" s="44">
        <f>G1905*E1897</f>
        <v>0</v>
      </c>
    </row>
    <row r="1906" spans="1:11">
      <c r="A1906" s="28"/>
      <c r="B1906" s="29" t="s">
        <v>3602</v>
      </c>
      <c r="C1906" s="30" t="str">
        <f>IFERROR(_xlfn.XLOOKUP(B1906,Equipo[DESCRIPCION],Equipo[UND],,0),"")</f>
        <v>Hr</v>
      </c>
      <c r="D1906" s="31">
        <v>1</v>
      </c>
      <c r="E1906" s="32">
        <f>IF(C1906="%MO",G1912,IFERROR(_xlfn.XLOOKUP($B1906,Equipo[DESCRIPCION],Equipo[VALOR],,0),""))</f>
        <v>82467</v>
      </c>
      <c r="F1906" s="33">
        <v>-100</v>
      </c>
      <c r="G1906" s="34">
        <f>IFERROR(IF(F1906&gt;=0,D1906*E1906*(1+F1906/100),ABS(D1906*E1906/F1906)),"")</f>
        <v>824.67</v>
      </c>
      <c r="H1906" s="43">
        <f>IFERROR(G1906*E1897,"")</f>
        <v>0</v>
      </c>
    </row>
    <row r="1907" spans="1:11">
      <c r="A1907" s="28"/>
      <c r="B1907" s="29" t="s">
        <v>3626</v>
      </c>
      <c r="C1907" s="30" t="str">
        <f>IFERROR(_xlfn.XLOOKUP(B1907,Equipo[DESCRIPCION],Equipo[UND],,0),"")</f>
        <v>%MO</v>
      </c>
      <c r="D1907" s="31">
        <v>0.05</v>
      </c>
      <c r="E1907" s="32">
        <f>IF(C1907="%MO",G1912,IFERROR(_xlfn.XLOOKUP($B1907,Equipo[DESCRIPCION],Equipo[VALOR],,0),""))</f>
        <v>3143.9075089500006</v>
      </c>
      <c r="F1907" s="33"/>
      <c r="G1907" s="34">
        <f>IFERROR(IF(F1907&gt;=0,D1907*E1907*(1+F1907/100),ABS(D1907*E1907/F1907)),"")</f>
        <v>157.19537544750006</v>
      </c>
      <c r="H1907" s="43">
        <f>IFERROR(G1907*E1897,"")</f>
        <v>0</v>
      </c>
    </row>
    <row r="1908" spans="1:11">
      <c r="A1908" s="28"/>
      <c r="B1908" s="29"/>
      <c r="C1908" s="30" t="str">
        <f>IFERROR(_xlfn.XLOOKUP(B1908,Equipo[DESCRIPCION],Equipo[UND],,0),"")</f>
        <v/>
      </c>
      <c r="D1908" s="31"/>
      <c r="E1908" s="32" t="str">
        <f>IF(C1908="%MO",G1912,IFERROR(_xlfn.XLOOKUP($B1908,Equipo[DESCRIPCION],Equipo[VALOR],,0),""))</f>
        <v/>
      </c>
      <c r="F1908" s="33"/>
      <c r="G1908" s="34" t="str">
        <f>IFERROR(IF(F1908&gt;=0,D1908*E1908*(1+F1908/100),ABS(D1908*E1908/F1908)),"")</f>
        <v/>
      </c>
      <c r="H1908" s="43" t="str">
        <f>IFERROR(G1908*E1897,"")</f>
        <v/>
      </c>
    </row>
    <row r="1909" spans="1:11">
      <c r="A1909" s="21"/>
      <c r="B1909" s="22" t="s">
        <v>2533</v>
      </c>
      <c r="C1909" s="23"/>
      <c r="D1909" s="24"/>
      <c r="E1909" s="25"/>
      <c r="F1909" s="26"/>
      <c r="G1909" s="27">
        <f>SUM(G1910:G1911)</f>
        <v>0</v>
      </c>
      <c r="H1909" s="44">
        <f>G1909*E1897</f>
        <v>0</v>
      </c>
    </row>
    <row r="1910" spans="1:11">
      <c r="A1910" s="28"/>
      <c r="B1910" s="29"/>
      <c r="C1910" s="30" t="str">
        <f>IFERROR(_xlfn.XLOOKUP(B1910,Transporte[DESCRIPCION],Transporte[UND],,0),"")</f>
        <v/>
      </c>
      <c r="D1910" s="31"/>
      <c r="E1910" s="32" t="str">
        <f>IFERROR(_xlfn.XLOOKUP($B1910,Transporte[DESCRIPCION],Transporte[VALOR],,0),"")</f>
        <v/>
      </c>
      <c r="F1910" s="33"/>
      <c r="G1910" s="34" t="str">
        <f>IFERROR(IF(F1910&gt;=0,D1910*E1910*(1+F1910/100),ABS(D1910*E1910/F1910)),"")</f>
        <v/>
      </c>
      <c r="H1910" s="43" t="str">
        <f>IFERROR(G1910*E1897,"")</f>
        <v/>
      </c>
    </row>
    <row r="1911" spans="1:11">
      <c r="A1911" s="28"/>
      <c r="B1911" s="29"/>
      <c r="C1911" s="30" t="str">
        <f>IFERROR(_xlfn.XLOOKUP(B1911,Transporte[DESCRIPCION],Transporte[UND],,0),"")</f>
        <v/>
      </c>
      <c r="D1911" s="31"/>
      <c r="E1911" s="32" t="str">
        <f>IFERROR(_xlfn.XLOOKUP($B1911,Transporte[DESCRIPCION],Transporte[VALOR],,0),"")</f>
        <v/>
      </c>
      <c r="F1911" s="33"/>
      <c r="G1911" s="34" t="str">
        <f>IFERROR(IF(F1911&gt;=0,D1911*E1911*(1+F1911/100),ABS(D1911*E1911/F1911)),"")</f>
        <v/>
      </c>
      <c r="H1911" s="43" t="str">
        <f>IFERROR(G1911*E1897,"")</f>
        <v/>
      </c>
    </row>
    <row r="1912" spans="1:11">
      <c r="A1912" s="21"/>
      <c r="B1912" s="22" t="s">
        <v>3732</v>
      </c>
      <c r="C1912" s="23"/>
      <c r="D1912" s="24"/>
      <c r="E1912" s="25"/>
      <c r="F1912" s="26"/>
      <c r="G1912" s="27">
        <f>SUM(G1913:G1915)</f>
        <v>3143.9075089500006</v>
      </c>
      <c r="H1912" s="44">
        <f>G1912*E1897</f>
        <v>0</v>
      </c>
    </row>
    <row r="1913" spans="1:11">
      <c r="A1913" s="28"/>
      <c r="B1913" s="29" t="s">
        <v>3710</v>
      </c>
      <c r="C1913" s="30" t="str">
        <f>IFERROR(_xlfn.XLOOKUP(B1913,MObra[DESCRIPCION],MObra[UN],,0),"")</f>
        <v>día</v>
      </c>
      <c r="D1913" s="31">
        <v>1</v>
      </c>
      <c r="E1913" s="32">
        <f>IFERROR(_xlfn.XLOOKUP($B1913,MObra[DESCRIPCION],MObra[VALOR UNIT],,0),"")</f>
        <v>314390.75089500006</v>
      </c>
      <c r="F1913" s="33">
        <v>-100</v>
      </c>
      <c r="G1913" s="34">
        <f>IFERROR(IF(F1913&gt;=0,D1913*E1913*(1+F1913/100),ABS(D1913*E1913/F1913)),"")</f>
        <v>3143.9075089500006</v>
      </c>
      <c r="H1913" s="43">
        <f>IFERROR(G1913*E1897,"")</f>
        <v>0</v>
      </c>
    </row>
    <row r="1914" spans="1:11">
      <c r="A1914" s="28"/>
      <c r="B1914" s="29"/>
      <c r="C1914" s="30" t="str">
        <f>IFERROR(_xlfn.XLOOKUP(B1914,MObra[DESCRIPCION],MObra[UN],,0),"")</f>
        <v/>
      </c>
      <c r="D1914" s="31"/>
      <c r="E1914" s="32" t="str">
        <f>IFERROR(_xlfn.XLOOKUP($B1914,MObra[DESCRIPCION],MObra[VALOR UNIT],,0),"")</f>
        <v/>
      </c>
      <c r="F1914" s="33"/>
      <c r="G1914" s="34" t="str">
        <f>IFERROR(IF(F1914&gt;=0,D1914*E1914*(1+F1914/100),ABS(D1914*E1914/F1914)),"")</f>
        <v/>
      </c>
      <c r="H1914" s="43" t="str">
        <f>IFERROR(G1914*E1897,"")</f>
        <v/>
      </c>
    </row>
    <row r="1915" spans="1:11" ht="13.15" thickBot="1">
      <c r="A1915" s="35"/>
      <c r="B1915" s="36"/>
      <c r="C1915" s="37" t="str">
        <f>IFERROR(_xlfn.XLOOKUP(B1915,MObra[DESCRIPCION],MObra[UN],,0),"")</f>
        <v/>
      </c>
      <c r="D1915" s="38"/>
      <c r="E1915" s="39" t="str">
        <f>IFERROR(_xlfn.XLOOKUP($B1915,MObra[DESCRIPCION],MObra[VALOR UNIT],,0),"")</f>
        <v/>
      </c>
      <c r="F1915" s="40"/>
      <c r="G1915" s="41" t="str">
        <f>IFERROR(IF(F1915&gt;=0,D1915*E1915*(1+F1915/100),ABS(D1915*E1915/F1915)),"")</f>
        <v/>
      </c>
      <c r="H1915" s="42" t="str">
        <f>IFERROR(G1915*E1897,"")</f>
        <v/>
      </c>
    </row>
    <row r="1916" spans="1:11" ht="13.5" thickTop="1" thickBot="1"/>
    <row r="1917" spans="1:11" ht="13.5" thickTop="1" thickBot="1">
      <c r="A1917" s="6" t="s">
        <v>1918</v>
      </c>
      <c r="B1917" s="7" t="str">
        <f>VLOOKUP($A1917,Presupuesto!$A:$D,2,FALSE())</f>
        <v>Cuneta Concreto 20.7 Mpa premezclado</v>
      </c>
      <c r="C1917" s="8" t="str">
        <f>VLOOKUP($A1917,Presupuesto!$A:$D,3,FALSE())</f>
        <v>M3</v>
      </c>
      <c r="D1917" s="9"/>
      <c r="E1917" s="10">
        <f>VLOOKUP($A1917,Presupuesto!$A:$D,4,FALSE())</f>
        <v>0</v>
      </c>
      <c r="F1917" s="11" t="s">
        <v>2589</v>
      </c>
      <c r="G1917" s="12">
        <f>SUM(G1919:G1935)/2</f>
        <v>1216755.5733702839</v>
      </c>
      <c r="H1917" s="13">
        <f>ROUND(SUM(H1919:H1935),0)/2</f>
        <v>0</v>
      </c>
      <c r="I1917" s="10">
        <f>VLOOKUP(A1917,Presupuesto!$A:$F,6,0)</f>
        <v>0</v>
      </c>
      <c r="J1917" s="10">
        <f>+H1917-I1917</f>
        <v>0</v>
      </c>
      <c r="K1917" s="46">
        <f>+H1917-G1917*E1917</f>
        <v>0</v>
      </c>
    </row>
    <row r="1918" spans="1:11" ht="13.15" thickTop="1">
      <c r="A1918" s="14"/>
      <c r="B1918" s="15" t="s">
        <v>2586</v>
      </c>
      <c r="C1918" s="15" t="s">
        <v>5</v>
      </c>
      <c r="D1918" s="16" t="s">
        <v>6</v>
      </c>
      <c r="E1918" s="17" t="s">
        <v>7</v>
      </c>
      <c r="F1918" s="18" t="s">
        <v>3728</v>
      </c>
      <c r="G1918" s="19" t="s">
        <v>3729</v>
      </c>
      <c r="H1918" s="20" t="s">
        <v>3797</v>
      </c>
    </row>
    <row r="1919" spans="1:11">
      <c r="A1919" s="21"/>
      <c r="B1919" s="22" t="s">
        <v>3730</v>
      </c>
      <c r="C1919" s="23"/>
      <c r="D1919" s="24"/>
      <c r="E1919" s="25"/>
      <c r="F1919" s="26"/>
      <c r="G1919" s="27">
        <f>SUM(G1920:G1924)</f>
        <v>1045412.614132509</v>
      </c>
      <c r="H1919" s="27">
        <f>IFERROR(G1919*E1917,"")</f>
        <v>0</v>
      </c>
    </row>
    <row r="1920" spans="1:11">
      <c r="A1920" s="28"/>
      <c r="B1920" s="29" t="s">
        <v>2954</v>
      </c>
      <c r="C1920" s="30" t="str">
        <f>IFERROR(_xlfn.XLOOKUP(B1920,Insumo[DESCRIPCION],Insumo[UND],,0),"")</f>
        <v>M2</v>
      </c>
      <c r="D1920" s="31">
        <v>2</v>
      </c>
      <c r="E1920" s="32">
        <f>IFERROR(_xlfn.XLOOKUP($B1920,Insumo[DESCRIPCION],Insumo[VALOR],,0),"")</f>
        <v>102154.92581625449</v>
      </c>
      <c r="F1920" s="33"/>
      <c r="G1920" s="34">
        <f>IFERROR(IF(F1920&gt;=0,D1920*E1920*(1+F1920/100),ABS(D1920*E1920/F1920)),"")</f>
        <v>204309.85163250897</v>
      </c>
      <c r="H1920" s="43">
        <f>IFERROR(G1920*E1917,"")</f>
        <v>0</v>
      </c>
    </row>
    <row r="1921" spans="1:8">
      <c r="A1921" s="28"/>
      <c r="B1921" s="29" t="s">
        <v>2869</v>
      </c>
      <c r="C1921" s="30" t="str">
        <f>IFERROR(_xlfn.XLOOKUP(B1921,Insumo[DESCRIPCION],Insumo[UND],,0),"")</f>
        <v>M3</v>
      </c>
      <c r="D1921" s="31">
        <v>1</v>
      </c>
      <c r="E1921" s="32">
        <f>IFERROR(_xlfn.XLOOKUP($B1921,Insumo[DESCRIPCION],Insumo[VALOR],,0),"")</f>
        <v>726988.5</v>
      </c>
      <c r="F1921" s="33">
        <v>5</v>
      </c>
      <c r="G1921" s="34">
        <f>IFERROR(IF(F1921&gt;=0,D1921*E1921*(1+F1921/100),ABS(D1921*E1921/F1921)),"")</f>
        <v>763337.92500000005</v>
      </c>
      <c r="H1921" s="43">
        <f>IFERROR(G1921*E1917,"")</f>
        <v>0</v>
      </c>
    </row>
    <row r="1922" spans="1:8">
      <c r="A1922" s="28"/>
      <c r="B1922" s="29" t="s">
        <v>2709</v>
      </c>
      <c r="C1922" s="30" t="str">
        <f>IFERROR(_xlfn.XLOOKUP(B1922,Insumo[DESCRIPCION],Insumo[UND],,0),"")</f>
        <v>Kg</v>
      </c>
      <c r="D1922" s="31">
        <v>5</v>
      </c>
      <c r="E1922" s="32">
        <f>IFERROR(_xlfn.XLOOKUP($B1922,Insumo[DESCRIPCION],Insumo[VALOR],,0),"")</f>
        <v>14812.35</v>
      </c>
      <c r="F1922" s="33">
        <v>5</v>
      </c>
      <c r="G1922" s="34">
        <f>IFERROR(IF(F1922&gt;=0,D1922*E1922*(1+F1922/100),ABS(D1922*E1922/F1922)),"")</f>
        <v>77764.837500000009</v>
      </c>
      <c r="H1922" s="43">
        <f>IFERROR(G1922*E1917,"")</f>
        <v>0</v>
      </c>
    </row>
    <row r="1923" spans="1:8">
      <c r="A1923" s="28"/>
      <c r="B1923" s="29"/>
      <c r="C1923" s="30" t="str">
        <f>IFERROR(_xlfn.XLOOKUP(B1923,Insumo[DESCRIPCION],Insumo[UND],,0),"")</f>
        <v/>
      </c>
      <c r="D1923" s="31"/>
      <c r="E1923" s="32" t="str">
        <f>IFERROR(_xlfn.XLOOKUP($B1923,Insumo[DESCRIPCION],Insumo[VALOR],,0),"")</f>
        <v/>
      </c>
      <c r="F1923" s="33"/>
      <c r="G1923" s="34" t="str">
        <f>IFERROR(IF(F1923&gt;=0,D1923*E1923*(1+F1923/100),ABS(D1923*E1923/F1923)),"")</f>
        <v/>
      </c>
      <c r="H1923" s="43" t="str">
        <f>IFERROR(G1923*E1917,"")</f>
        <v/>
      </c>
    </row>
    <row r="1924" spans="1:8">
      <c r="A1924" s="28"/>
      <c r="B1924" s="29"/>
      <c r="C1924" s="30" t="str">
        <f>IFERROR(_xlfn.XLOOKUP(B1924,Insumo[DESCRIPCION],Insumo[UND],,0),"")</f>
        <v/>
      </c>
      <c r="D1924" s="31"/>
      <c r="E1924" s="32" t="str">
        <f>IFERROR(_xlfn.XLOOKUP($B1924,Insumo[DESCRIPCION],Insumo[VALOR],,0),"")</f>
        <v/>
      </c>
      <c r="F1924" s="33"/>
      <c r="G1924" s="34" t="str">
        <f>IFERROR(IF(F1924&gt;=0,D1924*E1924*(1+F1924/100),ABS(D1924*E1924/F1924)),"")</f>
        <v/>
      </c>
      <c r="H1924" s="43" t="str">
        <f>IFERROR(G1924*E1917,"")</f>
        <v/>
      </c>
    </row>
    <row r="1925" spans="1:8">
      <c r="A1925" s="21"/>
      <c r="B1925" s="22" t="s">
        <v>3731</v>
      </c>
      <c r="C1925" s="23"/>
      <c r="D1925" s="24"/>
      <c r="E1925" s="25"/>
      <c r="F1925" s="26"/>
      <c r="G1925" s="27">
        <f>SUM(G1926:G1928)</f>
        <v>14147.583790275003</v>
      </c>
      <c r="H1925" s="44">
        <f>G1925*E1917</f>
        <v>0</v>
      </c>
    </row>
    <row r="1926" spans="1:8">
      <c r="A1926" s="28"/>
      <c r="B1926" s="29" t="s">
        <v>3570</v>
      </c>
      <c r="C1926" s="30" t="str">
        <f>IFERROR(_xlfn.XLOOKUP(B1926,Equipo[DESCRIPCION],Equipo[UND],,0),"")</f>
        <v>%MO</v>
      </c>
      <c r="D1926" s="31">
        <v>0.04</v>
      </c>
      <c r="E1926" s="32">
        <f>IF(C1926="%MO",G1932,IFERROR(_xlfn.XLOOKUP($B1926,Equipo[DESCRIPCION],Equipo[VALOR],,0),""))</f>
        <v>157195.37544750003</v>
      </c>
      <c r="F1926" s="33"/>
      <c r="G1926" s="34">
        <f>IFERROR(IF(F1926&gt;=0,D1926*E1926*(1+F1926/100),ABS(D1926*E1926/F1926)),"")</f>
        <v>6287.8150179000013</v>
      </c>
      <c r="H1926" s="43">
        <f>IFERROR(G1926*E1917,"")</f>
        <v>0</v>
      </c>
    </row>
    <row r="1927" spans="1:8">
      <c r="A1927" s="28"/>
      <c r="B1927" s="29" t="s">
        <v>3626</v>
      </c>
      <c r="C1927" s="30" t="str">
        <f>IFERROR(_xlfn.XLOOKUP(B1927,Equipo[DESCRIPCION],Equipo[UND],,0),"")</f>
        <v>%MO</v>
      </c>
      <c r="D1927" s="31">
        <v>0.05</v>
      </c>
      <c r="E1927" s="32">
        <f>IF(C1927="%MO",G1932,IFERROR(_xlfn.XLOOKUP($B1927,Equipo[DESCRIPCION],Equipo[VALOR],,0),""))</f>
        <v>157195.37544750003</v>
      </c>
      <c r="F1927" s="33"/>
      <c r="G1927" s="34">
        <f>IFERROR(IF(F1927&gt;=0,D1927*E1927*(1+F1927/100),ABS(D1927*E1927/F1927)),"")</f>
        <v>7859.7687723750023</v>
      </c>
      <c r="H1927" s="43">
        <f>IFERROR(G1927*E1917,"")</f>
        <v>0</v>
      </c>
    </row>
    <row r="1928" spans="1:8">
      <c r="A1928" s="28"/>
      <c r="B1928" s="29"/>
      <c r="C1928" s="30" t="str">
        <f>IFERROR(_xlfn.XLOOKUP(B1928,Equipo[DESCRIPCION],Equipo[UND],,0),"")</f>
        <v/>
      </c>
      <c r="D1928" s="31"/>
      <c r="E1928" s="32" t="str">
        <f>IF(C1928="%MO",G1932,IFERROR(_xlfn.XLOOKUP($B1928,Equipo[DESCRIPCION],Equipo[VALOR],,0),""))</f>
        <v/>
      </c>
      <c r="F1928" s="33"/>
      <c r="G1928" s="34" t="str">
        <f>IFERROR(IF(F1928&gt;=0,D1928*E1928*(1+F1928/100),ABS(D1928*E1928/F1928)),"")</f>
        <v/>
      </c>
      <c r="H1928" s="43" t="str">
        <f>IFERROR(G1928*E1917,"")</f>
        <v/>
      </c>
    </row>
    <row r="1929" spans="1:8">
      <c r="A1929" s="21"/>
      <c r="B1929" s="22" t="s">
        <v>2533</v>
      </c>
      <c r="C1929" s="23"/>
      <c r="D1929" s="24"/>
      <c r="E1929" s="25"/>
      <c r="F1929" s="26"/>
      <c r="G1929" s="27">
        <f>SUM(G1930:G1931)</f>
        <v>0</v>
      </c>
      <c r="H1929" s="44">
        <f>G1929*E1917</f>
        <v>0</v>
      </c>
    </row>
    <row r="1930" spans="1:8">
      <c r="A1930" s="28"/>
      <c r="B1930" s="29"/>
      <c r="C1930" s="30" t="str">
        <f>IFERROR(_xlfn.XLOOKUP(B1930,Transporte[DESCRIPCION],Transporte[UND],,0),"")</f>
        <v/>
      </c>
      <c r="D1930" s="31"/>
      <c r="E1930" s="32" t="str">
        <f>IFERROR(_xlfn.XLOOKUP($B1930,Transporte[DESCRIPCION],Transporte[VALOR],,0),"")</f>
        <v/>
      </c>
      <c r="F1930" s="33"/>
      <c r="G1930" s="34" t="str">
        <f>IFERROR(IF(F1930&gt;=0,D1930*E1930*(1+F1930/100),ABS(D1930*E1930/F1930)),"")</f>
        <v/>
      </c>
      <c r="H1930" s="43" t="str">
        <f>IFERROR(G1930*E1917,"")</f>
        <v/>
      </c>
    </row>
    <row r="1931" spans="1:8">
      <c r="A1931" s="28"/>
      <c r="B1931" s="29"/>
      <c r="C1931" s="30" t="str">
        <f>IFERROR(_xlfn.XLOOKUP(B1931,Transporte[DESCRIPCION],Transporte[UND],,0),"")</f>
        <v/>
      </c>
      <c r="D1931" s="31"/>
      <c r="E1931" s="32" t="str">
        <f>IFERROR(_xlfn.XLOOKUP($B1931,Transporte[DESCRIPCION],Transporte[VALOR],,0),"")</f>
        <v/>
      </c>
      <c r="F1931" s="33"/>
      <c r="G1931" s="34" t="str">
        <f>IFERROR(IF(F1931&gt;=0,D1931*E1931*(1+F1931/100),ABS(D1931*E1931/F1931)),"")</f>
        <v/>
      </c>
      <c r="H1931" s="43" t="str">
        <f>IFERROR(G1931*E1917,"")</f>
        <v/>
      </c>
    </row>
    <row r="1932" spans="1:8">
      <c r="A1932" s="21"/>
      <c r="B1932" s="22" t="s">
        <v>3732</v>
      </c>
      <c r="C1932" s="23"/>
      <c r="D1932" s="24"/>
      <c r="E1932" s="25"/>
      <c r="F1932" s="26"/>
      <c r="G1932" s="27">
        <f>SUM(G1933:G1935)</f>
        <v>157195.37544750003</v>
      </c>
      <c r="H1932" s="44">
        <f>G1932*E1917</f>
        <v>0</v>
      </c>
    </row>
    <row r="1933" spans="1:8">
      <c r="A1933" s="28"/>
      <c r="B1933" s="29" t="s">
        <v>3710</v>
      </c>
      <c r="C1933" s="30" t="str">
        <f>IFERROR(_xlfn.XLOOKUP(B1933,MObra[DESCRIPCION],MObra[UN],,0),"")</f>
        <v>día</v>
      </c>
      <c r="D1933" s="31">
        <v>1</v>
      </c>
      <c r="E1933" s="32">
        <f>IFERROR(_xlfn.XLOOKUP($B1933,MObra[DESCRIPCION],MObra[VALOR UNIT],,0),"")</f>
        <v>314390.75089500006</v>
      </c>
      <c r="F1933" s="33">
        <v>-2</v>
      </c>
      <c r="G1933" s="34">
        <f>IFERROR(IF(F1933&gt;=0,D1933*E1933*(1+F1933/100),ABS(D1933*E1933/F1933)),"")</f>
        <v>157195.37544750003</v>
      </c>
      <c r="H1933" s="43">
        <f>IFERROR(G1933*E1917,"")</f>
        <v>0</v>
      </c>
    </row>
    <row r="1934" spans="1:8">
      <c r="A1934" s="28"/>
      <c r="B1934" s="29"/>
      <c r="C1934" s="30" t="str">
        <f>IFERROR(_xlfn.XLOOKUP(B1934,MObra[DESCRIPCION],MObra[UN],,0),"")</f>
        <v/>
      </c>
      <c r="D1934" s="31"/>
      <c r="E1934" s="32" t="str">
        <f>IFERROR(_xlfn.XLOOKUP($B1934,MObra[DESCRIPCION],MObra[VALOR UNIT],,0),"")</f>
        <v/>
      </c>
      <c r="F1934" s="33"/>
      <c r="G1934" s="34" t="str">
        <f>IFERROR(IF(F1934&gt;=0,D1934*E1934*(1+F1934/100),ABS(D1934*E1934/F1934)),"")</f>
        <v/>
      </c>
      <c r="H1934" s="43" t="str">
        <f>IFERROR(G1934*E1917,"")</f>
        <v/>
      </c>
    </row>
    <row r="1935" spans="1:8" ht="13.15" thickBot="1">
      <c r="A1935" s="35"/>
      <c r="B1935" s="36"/>
      <c r="C1935" s="37" t="str">
        <f>IFERROR(_xlfn.XLOOKUP(B1935,MObra[DESCRIPCION],MObra[UN],,0),"")</f>
        <v/>
      </c>
      <c r="D1935" s="38"/>
      <c r="E1935" s="39" t="str">
        <f>IFERROR(_xlfn.XLOOKUP($B1935,MObra[DESCRIPCION],MObra[VALOR UNIT],,0),"")</f>
        <v/>
      </c>
      <c r="F1935" s="40"/>
      <c r="G1935" s="41" t="str">
        <f>IFERROR(IF(F1935&gt;=0,D1935*E1935*(1+F1935/100),ABS(D1935*E1935/F1935)),"")</f>
        <v/>
      </c>
      <c r="H1935" s="42" t="str">
        <f>IFERROR(G1935*E1917,"")</f>
        <v/>
      </c>
    </row>
    <row r="1936" spans="1:8" ht="13.5" thickTop="1" thickBot="1"/>
    <row r="1937" spans="1:11" ht="13.5" thickTop="1" thickBot="1">
      <c r="A1937" s="6" t="s">
        <v>1920</v>
      </c>
      <c r="B1937" s="7" t="str">
        <f>VLOOKUP($A1937,Presupuesto!$A:$D,2,FALSE())</f>
        <v>Cuneta Concreto 20.7 Mpa vaciadas in situ</v>
      </c>
      <c r="C1937" s="8" t="str">
        <f>VLOOKUP($A1937,Presupuesto!$A:$D,3,FALSE())</f>
        <v>M3</v>
      </c>
      <c r="D1937" s="9"/>
      <c r="E1937" s="10">
        <f>VLOOKUP($A1937,Presupuesto!$A:$D,4,FALSE())</f>
        <v>0</v>
      </c>
      <c r="F1937" s="11" t="s">
        <v>2589</v>
      </c>
      <c r="G1937" s="12">
        <f>SUM(G1939:G1955)/2</f>
        <v>1000635.1257617895</v>
      </c>
      <c r="H1937" s="13">
        <f>ROUND(SUM(H1939:H1955),0)/2</f>
        <v>0</v>
      </c>
      <c r="I1937" s="10">
        <f>VLOOKUP(A1937,Presupuesto!$A:$F,6,0)</f>
        <v>0</v>
      </c>
      <c r="J1937" s="10">
        <f>+H1937-I1937</f>
        <v>0</v>
      </c>
      <c r="K1937" s="46">
        <f>+H1937-G1937*E1937</f>
        <v>0</v>
      </c>
    </row>
    <row r="1938" spans="1:11" ht="13.15" thickTop="1">
      <c r="A1938" s="14"/>
      <c r="B1938" s="15" t="s">
        <v>2586</v>
      </c>
      <c r="C1938" s="15" t="s">
        <v>5</v>
      </c>
      <c r="D1938" s="16" t="s">
        <v>6</v>
      </c>
      <c r="E1938" s="17" t="s">
        <v>7</v>
      </c>
      <c r="F1938" s="18" t="s">
        <v>3728</v>
      </c>
      <c r="G1938" s="19" t="s">
        <v>3729</v>
      </c>
      <c r="H1938" s="20" t="s">
        <v>3797</v>
      </c>
    </row>
    <row r="1939" spans="1:11">
      <c r="A1939" s="21"/>
      <c r="B1939" s="22" t="s">
        <v>3730</v>
      </c>
      <c r="C1939" s="23"/>
      <c r="D1939" s="24"/>
      <c r="E1939" s="25"/>
      <c r="F1939" s="26"/>
      <c r="G1939" s="27">
        <f>SUM(G1940:G1944)</f>
        <v>829292.16652401455</v>
      </c>
      <c r="H1939" s="27">
        <f>IFERROR(G1939*E1937,"")</f>
        <v>0</v>
      </c>
    </row>
    <row r="1940" spans="1:11">
      <c r="A1940" s="28"/>
      <c r="B1940" s="29" t="s">
        <v>2954</v>
      </c>
      <c r="C1940" s="30" t="str">
        <f>IFERROR(_xlfn.XLOOKUP(B1940,Insumo[DESCRIPCION],Insumo[UND],,0),"")</f>
        <v>M2</v>
      </c>
      <c r="D1940" s="31">
        <v>2</v>
      </c>
      <c r="E1940" s="32">
        <f>IFERROR(_xlfn.XLOOKUP($B1940,Insumo[DESCRIPCION],Insumo[VALOR],,0),"")</f>
        <v>102154.92581625449</v>
      </c>
      <c r="F1940" s="33"/>
      <c r="G1940" s="34">
        <f>IFERROR(IF(F1940&gt;=0,D1940*E1940*(1+F1940/100),ABS(D1940*E1940/F1940)),"")</f>
        <v>204309.85163250897</v>
      </c>
      <c r="H1940" s="43">
        <f>IFERROR(G1940*E1937,"")</f>
        <v>0</v>
      </c>
    </row>
    <row r="1941" spans="1:11">
      <c r="A1941" s="28"/>
      <c r="B1941" s="29" t="s">
        <v>3239</v>
      </c>
      <c r="C1941" s="30" t="str">
        <f>IFERROR(_xlfn.XLOOKUP(B1941,Insumo[DESCRIPCION],Insumo[UND],,0),"")</f>
        <v>M3</v>
      </c>
      <c r="D1941" s="31">
        <v>1</v>
      </c>
      <c r="E1941" s="32">
        <f>IFERROR(_xlfn.XLOOKUP($B1941,Insumo[DESCRIPCION],Insumo[VALOR],,0),"")</f>
        <v>521159.50227762427</v>
      </c>
      <c r="F1941" s="33">
        <v>5</v>
      </c>
      <c r="G1941" s="34">
        <f>IFERROR(IF(F1941&gt;=0,D1941*E1941*(1+F1941/100),ABS(D1941*E1941/F1941)),"")</f>
        <v>547217.4773915055</v>
      </c>
      <c r="H1941" s="43">
        <f>IFERROR(G1941*E1937,"")</f>
        <v>0</v>
      </c>
    </row>
    <row r="1942" spans="1:11">
      <c r="A1942" s="28"/>
      <c r="B1942" s="29" t="s">
        <v>2709</v>
      </c>
      <c r="C1942" s="30" t="str">
        <f>IFERROR(_xlfn.XLOOKUP(B1942,Insumo[DESCRIPCION],Insumo[UND],,0),"")</f>
        <v>Kg</v>
      </c>
      <c r="D1942" s="31">
        <v>5</v>
      </c>
      <c r="E1942" s="32">
        <f>IFERROR(_xlfn.XLOOKUP($B1942,Insumo[DESCRIPCION],Insumo[VALOR],,0),"")</f>
        <v>14812.35</v>
      </c>
      <c r="F1942" s="33">
        <v>5</v>
      </c>
      <c r="G1942" s="34">
        <f>IFERROR(IF(F1942&gt;=0,D1942*E1942*(1+F1942/100),ABS(D1942*E1942/F1942)),"")</f>
        <v>77764.837500000009</v>
      </c>
      <c r="H1942" s="43">
        <f>IFERROR(G1942*E1937,"")</f>
        <v>0</v>
      </c>
    </row>
    <row r="1943" spans="1:11">
      <c r="A1943" s="28"/>
      <c r="B1943" s="29"/>
      <c r="C1943" s="30" t="str">
        <f>IFERROR(_xlfn.XLOOKUP(B1943,Insumo[DESCRIPCION],Insumo[UND],,0),"")</f>
        <v/>
      </c>
      <c r="D1943" s="31"/>
      <c r="E1943" s="32" t="str">
        <f>IFERROR(_xlfn.XLOOKUP($B1943,Insumo[DESCRIPCION],Insumo[VALOR],,0),"")</f>
        <v/>
      </c>
      <c r="F1943" s="33"/>
      <c r="G1943" s="34" t="str">
        <f>IFERROR(IF(F1943&gt;=0,D1943*E1943*(1+F1943/100),ABS(D1943*E1943/F1943)),"")</f>
        <v/>
      </c>
      <c r="H1943" s="43" t="str">
        <f>IFERROR(G1943*E1937,"")</f>
        <v/>
      </c>
    </row>
    <row r="1944" spans="1:11">
      <c r="A1944" s="28"/>
      <c r="B1944" s="29"/>
      <c r="C1944" s="30" t="str">
        <f>IFERROR(_xlfn.XLOOKUP(B1944,Insumo[DESCRIPCION],Insumo[UND],,0),"")</f>
        <v/>
      </c>
      <c r="D1944" s="31"/>
      <c r="E1944" s="32" t="str">
        <f>IFERROR(_xlfn.XLOOKUP($B1944,Insumo[DESCRIPCION],Insumo[VALOR],,0),"")</f>
        <v/>
      </c>
      <c r="F1944" s="33"/>
      <c r="G1944" s="34" t="str">
        <f>IFERROR(IF(F1944&gt;=0,D1944*E1944*(1+F1944/100),ABS(D1944*E1944/F1944)),"")</f>
        <v/>
      </c>
      <c r="H1944" s="43" t="str">
        <f>IFERROR(G1944*E1937,"")</f>
        <v/>
      </c>
    </row>
    <row r="1945" spans="1:11">
      <c r="A1945" s="21"/>
      <c r="B1945" s="22" t="s">
        <v>3731</v>
      </c>
      <c r="C1945" s="23"/>
      <c r="D1945" s="24"/>
      <c r="E1945" s="25"/>
      <c r="F1945" s="26"/>
      <c r="G1945" s="27">
        <f>SUM(G1946:G1948)</f>
        <v>14147.583790275003</v>
      </c>
      <c r="H1945" s="44">
        <f>G1945*E1937</f>
        <v>0</v>
      </c>
    </row>
    <row r="1946" spans="1:11">
      <c r="A1946" s="28"/>
      <c r="B1946" s="29" t="s">
        <v>3570</v>
      </c>
      <c r="C1946" s="30" t="str">
        <f>IFERROR(_xlfn.XLOOKUP(B1946,Equipo[DESCRIPCION],Equipo[UND],,0),"")</f>
        <v>%MO</v>
      </c>
      <c r="D1946" s="31">
        <v>0.04</v>
      </c>
      <c r="E1946" s="32">
        <f>IF(C1946="%MO",G1952,IFERROR(_xlfn.XLOOKUP($B1946,Equipo[DESCRIPCION],Equipo[VALOR],,0),""))</f>
        <v>157195.37544750003</v>
      </c>
      <c r="F1946" s="33"/>
      <c r="G1946" s="34">
        <f>IFERROR(IF(F1946&gt;=0,D1946*E1946*(1+F1946/100),ABS(D1946*E1946/F1946)),"")</f>
        <v>6287.8150179000013</v>
      </c>
      <c r="H1946" s="43">
        <f>IFERROR(G1946*E1937,"")</f>
        <v>0</v>
      </c>
    </row>
    <row r="1947" spans="1:11">
      <c r="A1947" s="28"/>
      <c r="B1947" s="29" t="s">
        <v>3626</v>
      </c>
      <c r="C1947" s="30" t="str">
        <f>IFERROR(_xlfn.XLOOKUP(B1947,Equipo[DESCRIPCION],Equipo[UND],,0),"")</f>
        <v>%MO</v>
      </c>
      <c r="D1947" s="31">
        <v>0.05</v>
      </c>
      <c r="E1947" s="32">
        <f>IF(C1947="%MO",G1952,IFERROR(_xlfn.XLOOKUP($B1947,Equipo[DESCRIPCION],Equipo[VALOR],,0),""))</f>
        <v>157195.37544750003</v>
      </c>
      <c r="F1947" s="33"/>
      <c r="G1947" s="34">
        <f>IFERROR(IF(F1947&gt;=0,D1947*E1947*(1+F1947/100),ABS(D1947*E1947/F1947)),"")</f>
        <v>7859.7687723750023</v>
      </c>
      <c r="H1947" s="43">
        <f>IFERROR(G1947*E1937,"")</f>
        <v>0</v>
      </c>
    </row>
    <row r="1948" spans="1:11">
      <c r="A1948" s="28"/>
      <c r="B1948" s="29"/>
      <c r="C1948" s="30" t="str">
        <f>IFERROR(_xlfn.XLOOKUP(B1948,Equipo[DESCRIPCION],Equipo[UND],,0),"")</f>
        <v/>
      </c>
      <c r="D1948" s="31"/>
      <c r="E1948" s="32" t="str">
        <f>IF(C1948="%MO",G1952,IFERROR(_xlfn.XLOOKUP($B1948,Equipo[DESCRIPCION],Equipo[VALOR],,0),""))</f>
        <v/>
      </c>
      <c r="F1948" s="33"/>
      <c r="G1948" s="34" t="str">
        <f>IFERROR(IF(F1948&gt;=0,D1948*E1948*(1+F1948/100),ABS(D1948*E1948/F1948)),"")</f>
        <v/>
      </c>
      <c r="H1948" s="43" t="str">
        <f>IFERROR(G1948*E1937,"")</f>
        <v/>
      </c>
    </row>
    <row r="1949" spans="1:11">
      <c r="A1949" s="21"/>
      <c r="B1949" s="22" t="s">
        <v>2533</v>
      </c>
      <c r="C1949" s="23"/>
      <c r="D1949" s="24"/>
      <c r="E1949" s="25"/>
      <c r="F1949" s="26"/>
      <c r="G1949" s="27">
        <f>SUM(G1950:G1951)</f>
        <v>0</v>
      </c>
      <c r="H1949" s="44">
        <f>G1949*E1937</f>
        <v>0</v>
      </c>
    </row>
    <row r="1950" spans="1:11">
      <c r="A1950" s="28"/>
      <c r="B1950" s="29"/>
      <c r="C1950" s="30" t="str">
        <f>IFERROR(_xlfn.XLOOKUP(B1950,Transporte[DESCRIPCION],Transporte[UND],,0),"")</f>
        <v/>
      </c>
      <c r="D1950" s="31"/>
      <c r="E1950" s="32" t="str">
        <f>IFERROR(_xlfn.XLOOKUP($B1950,Transporte[DESCRIPCION],Transporte[VALOR],,0),"")</f>
        <v/>
      </c>
      <c r="F1950" s="33"/>
      <c r="G1950" s="34" t="str">
        <f>IFERROR(IF(F1950&gt;=0,D1950*E1950*(1+F1950/100),ABS(D1950*E1950/F1950)),"")</f>
        <v/>
      </c>
      <c r="H1950" s="43" t="str">
        <f>IFERROR(G1950*E1937,"")</f>
        <v/>
      </c>
    </row>
    <row r="1951" spans="1:11">
      <c r="A1951" s="28"/>
      <c r="B1951" s="29"/>
      <c r="C1951" s="30" t="str">
        <f>IFERROR(_xlfn.XLOOKUP(B1951,Transporte[DESCRIPCION],Transporte[UND],,0),"")</f>
        <v/>
      </c>
      <c r="D1951" s="31"/>
      <c r="E1951" s="32" t="str">
        <f>IFERROR(_xlfn.XLOOKUP($B1951,Transporte[DESCRIPCION],Transporte[VALOR],,0),"")</f>
        <v/>
      </c>
      <c r="F1951" s="33"/>
      <c r="G1951" s="34" t="str">
        <f>IFERROR(IF(F1951&gt;=0,D1951*E1951*(1+F1951/100),ABS(D1951*E1951/F1951)),"")</f>
        <v/>
      </c>
      <c r="H1951" s="43" t="str">
        <f>IFERROR(G1951*E1937,"")</f>
        <v/>
      </c>
    </row>
    <row r="1952" spans="1:11">
      <c r="A1952" s="21"/>
      <c r="B1952" s="22" t="s">
        <v>3732</v>
      </c>
      <c r="C1952" s="23"/>
      <c r="D1952" s="24"/>
      <c r="E1952" s="25"/>
      <c r="F1952" s="26"/>
      <c r="G1952" s="27">
        <f>SUM(G1953:G1955)</f>
        <v>157195.37544750003</v>
      </c>
      <c r="H1952" s="44">
        <f>G1952*E1937</f>
        <v>0</v>
      </c>
    </row>
    <row r="1953" spans="1:11">
      <c r="A1953" s="28"/>
      <c r="B1953" s="29" t="s">
        <v>3710</v>
      </c>
      <c r="C1953" s="30" t="str">
        <f>IFERROR(_xlfn.XLOOKUP(B1953,MObra[DESCRIPCION],MObra[UN],,0),"")</f>
        <v>día</v>
      </c>
      <c r="D1953" s="31">
        <v>1</v>
      </c>
      <c r="E1953" s="32">
        <f>IFERROR(_xlfn.XLOOKUP($B1953,MObra[DESCRIPCION],MObra[VALOR UNIT],,0),"")</f>
        <v>314390.75089500006</v>
      </c>
      <c r="F1953" s="33">
        <v>-2</v>
      </c>
      <c r="G1953" s="34">
        <f>IFERROR(IF(F1953&gt;=0,D1953*E1953*(1+F1953/100),ABS(D1953*E1953/F1953)),"")</f>
        <v>157195.37544750003</v>
      </c>
      <c r="H1953" s="43">
        <f>IFERROR(G1953*E1937,"")</f>
        <v>0</v>
      </c>
    </row>
    <row r="1954" spans="1:11">
      <c r="A1954" s="28"/>
      <c r="B1954" s="29"/>
      <c r="C1954" s="30" t="str">
        <f>IFERROR(_xlfn.XLOOKUP(B1954,MObra[DESCRIPCION],MObra[UN],,0),"")</f>
        <v/>
      </c>
      <c r="D1954" s="31"/>
      <c r="E1954" s="32" t="str">
        <f>IFERROR(_xlfn.XLOOKUP($B1954,MObra[DESCRIPCION],MObra[VALOR UNIT],,0),"")</f>
        <v/>
      </c>
      <c r="F1954" s="33"/>
      <c r="G1954" s="34" t="str">
        <f>IFERROR(IF(F1954&gt;=0,D1954*E1954*(1+F1954/100),ABS(D1954*E1954/F1954)),"")</f>
        <v/>
      </c>
      <c r="H1954" s="43" t="str">
        <f>IFERROR(G1954*E1937,"")</f>
        <v/>
      </c>
    </row>
    <row r="1955" spans="1:11" ht="13.15" thickBot="1">
      <c r="A1955" s="35"/>
      <c r="B1955" s="36"/>
      <c r="C1955" s="37" t="str">
        <f>IFERROR(_xlfn.XLOOKUP(B1955,MObra[DESCRIPCION],MObra[UN],,0),"")</f>
        <v/>
      </c>
      <c r="D1955" s="38"/>
      <c r="E1955" s="39" t="str">
        <f>IFERROR(_xlfn.XLOOKUP($B1955,MObra[DESCRIPCION],MObra[VALOR UNIT],,0),"")</f>
        <v/>
      </c>
      <c r="F1955" s="40"/>
      <c r="G1955" s="41" t="str">
        <f>IFERROR(IF(F1955&gt;=0,D1955*E1955*(1+F1955/100),ABS(D1955*E1955/F1955)),"")</f>
        <v/>
      </c>
      <c r="H1955" s="42" t="str">
        <f>IFERROR(G1955*E1937,"")</f>
        <v/>
      </c>
    </row>
    <row r="1956" spans="1:11" ht="13.5" thickTop="1" thickBot="1"/>
    <row r="1957" spans="1:11" ht="13.5" thickTop="1" thickBot="1">
      <c r="A1957" s="6" t="s">
        <v>1922</v>
      </c>
      <c r="B1957" s="7" t="str">
        <f>VLOOKUP($A1957,Presupuesto!$A:$D,2,FALSE())</f>
        <v>Cuneta en geomembrana en geotextil+reforzado con polimero B=0.35 m</v>
      </c>
      <c r="C1957" s="8" t="str">
        <f>VLOOKUP($A1957,Presupuesto!$A:$D,3,FALSE())</f>
        <v>M</v>
      </c>
      <c r="D1957" s="9"/>
      <c r="E1957" s="10">
        <f>VLOOKUP($A1957,Presupuesto!$A:$D,4,FALSE())</f>
        <v>0</v>
      </c>
      <c r="F1957" s="11" t="s">
        <v>2589</v>
      </c>
      <c r="G1957" s="12">
        <f>SUM(G1959:G1975)/2</f>
        <v>189061.85657514262</v>
      </c>
      <c r="H1957" s="13">
        <f>ROUND(SUM(H1959:H1975),0)/2</f>
        <v>0</v>
      </c>
      <c r="I1957" s="10">
        <f>VLOOKUP(A1957,Presupuesto!$A:$F,6,0)</f>
        <v>0</v>
      </c>
      <c r="J1957" s="10">
        <f>+H1957-I1957</f>
        <v>0</v>
      </c>
      <c r="K1957" s="46">
        <f>+H1957-G1957*E1957</f>
        <v>0</v>
      </c>
    </row>
    <row r="1958" spans="1:11" ht="13.15" thickTop="1">
      <c r="A1958" s="14"/>
      <c r="B1958" s="15" t="s">
        <v>2586</v>
      </c>
      <c r="C1958" s="15" t="s">
        <v>5</v>
      </c>
      <c r="D1958" s="16" t="s">
        <v>6</v>
      </c>
      <c r="E1958" s="17" t="s">
        <v>7</v>
      </c>
      <c r="F1958" s="18" t="s">
        <v>3728</v>
      </c>
      <c r="G1958" s="19" t="s">
        <v>3729</v>
      </c>
      <c r="H1958" s="20" t="s">
        <v>3797</v>
      </c>
    </row>
    <row r="1959" spans="1:11">
      <c r="A1959" s="21"/>
      <c r="B1959" s="22" t="s">
        <v>3730</v>
      </c>
      <c r="C1959" s="23"/>
      <c r="D1959" s="24"/>
      <c r="E1959" s="25"/>
      <c r="F1959" s="26"/>
      <c r="G1959" s="27">
        <f>SUM(G1960:G1964)</f>
        <v>185729.31461565563</v>
      </c>
      <c r="H1959" s="27">
        <f>IFERROR(G1959*E1957,"")</f>
        <v>0</v>
      </c>
    </row>
    <row r="1960" spans="1:11">
      <c r="A1960" s="28"/>
      <c r="B1960" s="29" t="s">
        <v>2976</v>
      </c>
      <c r="C1960" s="30" t="str">
        <f>IFERROR(_xlfn.XLOOKUP(B1960,Insumo[DESCRIPCION],Insumo[UND],,0),"")</f>
        <v>M2</v>
      </c>
      <c r="D1960" s="31">
        <v>20</v>
      </c>
      <c r="E1960" s="32">
        <f>IFERROR(_xlfn.XLOOKUP($B1960,Insumo[DESCRIPCION],Insumo[VALOR],,0),"")</f>
        <v>8784.3000000000011</v>
      </c>
      <c r="F1960" s="33"/>
      <c r="G1960" s="34">
        <f>IFERROR(IF(F1960&gt;=0,D1960*E1960*(1+F1960/100),ABS(D1960*E1960/F1960)),"")</f>
        <v>175686.00000000003</v>
      </c>
      <c r="H1960" s="43">
        <f>IFERROR(G1960*E1957,"")</f>
        <v>0</v>
      </c>
    </row>
    <row r="1961" spans="1:11">
      <c r="A1961" s="28"/>
      <c r="B1961" s="29" t="s">
        <v>3239</v>
      </c>
      <c r="C1961" s="30" t="str">
        <f>IFERROR(_xlfn.XLOOKUP(B1961,Insumo[DESCRIPCION],Insumo[UND],,0),"")</f>
        <v>M3</v>
      </c>
      <c r="D1961" s="31">
        <v>1.7000000000000001E-2</v>
      </c>
      <c r="E1961" s="32">
        <f>IFERROR(_xlfn.XLOOKUP($B1961,Insumo[DESCRIPCION],Insumo[VALOR],,0),"")</f>
        <v>521159.50227762427</v>
      </c>
      <c r="F1961" s="33">
        <v>5</v>
      </c>
      <c r="G1961" s="34">
        <f>IFERROR(IF(F1961&gt;=0,D1961*E1961*(1+F1961/100),ABS(D1961*E1961/F1961)),"")</f>
        <v>9302.6971156555956</v>
      </c>
      <c r="H1961" s="43">
        <f>IFERROR(G1961*E1957,"")</f>
        <v>0</v>
      </c>
    </row>
    <row r="1962" spans="1:11">
      <c r="A1962" s="28"/>
      <c r="B1962" s="29" t="s">
        <v>2709</v>
      </c>
      <c r="C1962" s="30" t="str">
        <f>IFERROR(_xlfn.XLOOKUP(B1962,Insumo[DESCRIPCION],Insumo[UND],,0),"")</f>
        <v>Kg</v>
      </c>
      <c r="D1962" s="31">
        <v>0.05</v>
      </c>
      <c r="E1962" s="32">
        <f>IFERROR(_xlfn.XLOOKUP($B1962,Insumo[DESCRIPCION],Insumo[VALOR],,0),"")</f>
        <v>14812.35</v>
      </c>
      <c r="F1962" s="33"/>
      <c r="G1962" s="34">
        <f>IFERROR(IF(F1962&gt;=0,D1962*E1962*(1+F1962/100),ABS(D1962*E1962/F1962)),"")</f>
        <v>740.61750000000006</v>
      </c>
      <c r="H1962" s="43">
        <f>IFERROR(G1962*E1957,"")</f>
        <v>0</v>
      </c>
    </row>
    <row r="1963" spans="1:11">
      <c r="A1963" s="28"/>
      <c r="B1963" s="29"/>
      <c r="C1963" s="30" t="str">
        <f>IFERROR(_xlfn.XLOOKUP(B1963,Insumo[DESCRIPCION],Insumo[UND],,0),"")</f>
        <v/>
      </c>
      <c r="D1963" s="31"/>
      <c r="E1963" s="32" t="str">
        <f>IFERROR(_xlfn.XLOOKUP($B1963,Insumo[DESCRIPCION],Insumo[VALOR],,0),"")</f>
        <v/>
      </c>
      <c r="F1963" s="33"/>
      <c r="G1963" s="34" t="str">
        <f>IFERROR(IF(F1963&gt;=0,D1963*E1963*(1+F1963/100),ABS(D1963*E1963/F1963)),"")</f>
        <v/>
      </c>
      <c r="H1963" s="43" t="str">
        <f>IFERROR(G1963*E1957,"")</f>
        <v/>
      </c>
    </row>
    <row r="1964" spans="1:11">
      <c r="A1964" s="28"/>
      <c r="B1964" s="29"/>
      <c r="C1964" s="30" t="str">
        <f>IFERROR(_xlfn.XLOOKUP(B1964,Insumo[DESCRIPCION],Insumo[UND],,0),"")</f>
        <v/>
      </c>
      <c r="D1964" s="31"/>
      <c r="E1964" s="32" t="str">
        <f>IFERROR(_xlfn.XLOOKUP($B1964,Insumo[DESCRIPCION],Insumo[VALOR],,0),"")</f>
        <v/>
      </c>
      <c r="F1964" s="33"/>
      <c r="G1964" s="34" t="str">
        <f>IFERROR(IF(F1964&gt;=0,D1964*E1964*(1+F1964/100),ABS(D1964*E1964/F1964)),"")</f>
        <v/>
      </c>
      <c r="H1964" s="43" t="str">
        <f>IFERROR(G1964*E1957,"")</f>
        <v/>
      </c>
    </row>
    <row r="1965" spans="1:11">
      <c r="A1965" s="21"/>
      <c r="B1965" s="22" t="s">
        <v>3731</v>
      </c>
      <c r="C1965" s="23"/>
      <c r="D1965" s="24"/>
      <c r="E1965" s="25"/>
      <c r="F1965" s="26"/>
      <c r="G1965" s="27">
        <f>SUM(G1966:G1968)</f>
        <v>188.63445053700008</v>
      </c>
      <c r="H1965" s="44">
        <f>G1965*E1957</f>
        <v>0</v>
      </c>
    </row>
    <row r="1966" spans="1:11">
      <c r="A1966" s="28"/>
      <c r="B1966" s="29" t="s">
        <v>3570</v>
      </c>
      <c r="C1966" s="30" t="str">
        <f>IFERROR(_xlfn.XLOOKUP(B1966,Equipo[DESCRIPCION],Equipo[UND],,0),"")</f>
        <v>%MO</v>
      </c>
      <c r="D1966" s="31">
        <v>1</v>
      </c>
      <c r="E1966" s="32">
        <f>IF(C1966="%MO",G1972,IFERROR(_xlfn.XLOOKUP($B1966,Equipo[DESCRIPCION],Equipo[VALOR],,0),""))</f>
        <v>3143.9075089500006</v>
      </c>
      <c r="F1966" s="33">
        <v>-100</v>
      </c>
      <c r="G1966" s="34">
        <f>IFERROR(IF(F1966&gt;=0,D1966*E1966*(1+F1966/100),ABS(D1966*E1966/F1966)),"")</f>
        <v>31.439075089500008</v>
      </c>
      <c r="H1966" s="43">
        <f>IFERROR(G1966*E1957,"")</f>
        <v>0</v>
      </c>
    </row>
    <row r="1967" spans="1:11">
      <c r="A1967" s="28"/>
      <c r="B1967" s="29" t="s">
        <v>3626</v>
      </c>
      <c r="C1967" s="30" t="str">
        <f>IFERROR(_xlfn.XLOOKUP(B1967,Equipo[DESCRIPCION],Equipo[UND],,0),"")</f>
        <v>%MO</v>
      </c>
      <c r="D1967" s="31">
        <v>0.05</v>
      </c>
      <c r="E1967" s="32">
        <f>IF(C1967="%MO",G1972,IFERROR(_xlfn.XLOOKUP($B1967,Equipo[DESCRIPCION],Equipo[VALOR],,0),""))</f>
        <v>3143.9075089500006</v>
      </c>
      <c r="F1967" s="33"/>
      <c r="G1967" s="34">
        <f>IFERROR(IF(F1967&gt;=0,D1967*E1967*(1+F1967/100),ABS(D1967*E1967/F1967)),"")</f>
        <v>157.19537544750006</v>
      </c>
      <c r="H1967" s="43">
        <f>IFERROR(G1967*E1957,"")</f>
        <v>0</v>
      </c>
    </row>
    <row r="1968" spans="1:11">
      <c r="A1968" s="28"/>
      <c r="B1968" s="29"/>
      <c r="C1968" s="30" t="str">
        <f>IFERROR(_xlfn.XLOOKUP(B1968,Equipo[DESCRIPCION],Equipo[UND],,0),"")</f>
        <v/>
      </c>
      <c r="D1968" s="31"/>
      <c r="E1968" s="32" t="str">
        <f>IF(C1968="%MO",G1972,IFERROR(_xlfn.XLOOKUP($B1968,Equipo[DESCRIPCION],Equipo[VALOR],,0),""))</f>
        <v/>
      </c>
      <c r="F1968" s="33"/>
      <c r="G1968" s="34" t="str">
        <f>IFERROR(IF(F1968&gt;=0,D1968*E1968*(1+F1968/100),ABS(D1968*E1968/F1968)),"")</f>
        <v/>
      </c>
      <c r="H1968" s="43" t="str">
        <f>IFERROR(G1968*E1957,"")</f>
        <v/>
      </c>
    </row>
    <row r="1969" spans="1:11">
      <c r="A1969" s="21"/>
      <c r="B1969" s="22" t="s">
        <v>2533</v>
      </c>
      <c r="C1969" s="23"/>
      <c r="D1969" s="24"/>
      <c r="E1969" s="25"/>
      <c r="F1969" s="26"/>
      <c r="G1969" s="27">
        <f>SUM(G1970:G1971)</f>
        <v>0</v>
      </c>
      <c r="H1969" s="44">
        <f>G1969*E1957</f>
        <v>0</v>
      </c>
    </row>
    <row r="1970" spans="1:11">
      <c r="A1970" s="28"/>
      <c r="B1970" s="29"/>
      <c r="C1970" s="30" t="str">
        <f>IFERROR(_xlfn.XLOOKUP(B1970,Transporte[DESCRIPCION],Transporte[UND],,0),"")</f>
        <v/>
      </c>
      <c r="D1970" s="31"/>
      <c r="E1970" s="32" t="str">
        <f>IFERROR(_xlfn.XLOOKUP($B1970,Transporte[DESCRIPCION],Transporte[VALOR],,0),"")</f>
        <v/>
      </c>
      <c r="F1970" s="33"/>
      <c r="G1970" s="34" t="str">
        <f>IFERROR(IF(F1970&gt;=0,D1970*E1970*(1+F1970/100),ABS(D1970*E1970/F1970)),"")</f>
        <v/>
      </c>
      <c r="H1970" s="43" t="str">
        <f>IFERROR(G1970*E1957,"")</f>
        <v/>
      </c>
    </row>
    <row r="1971" spans="1:11">
      <c r="A1971" s="28"/>
      <c r="B1971" s="29"/>
      <c r="C1971" s="30" t="str">
        <f>IFERROR(_xlfn.XLOOKUP(B1971,Transporte[DESCRIPCION],Transporte[UND],,0),"")</f>
        <v/>
      </c>
      <c r="D1971" s="31"/>
      <c r="E1971" s="32" t="str">
        <f>IFERROR(_xlfn.XLOOKUP($B1971,Transporte[DESCRIPCION],Transporte[VALOR],,0),"")</f>
        <v/>
      </c>
      <c r="F1971" s="33"/>
      <c r="G1971" s="34" t="str">
        <f>IFERROR(IF(F1971&gt;=0,D1971*E1971*(1+F1971/100),ABS(D1971*E1971/F1971)),"")</f>
        <v/>
      </c>
      <c r="H1971" s="43" t="str">
        <f>IFERROR(G1971*E1957,"")</f>
        <v/>
      </c>
    </row>
    <row r="1972" spans="1:11">
      <c r="A1972" s="21"/>
      <c r="B1972" s="22" t="s">
        <v>3732</v>
      </c>
      <c r="C1972" s="23"/>
      <c r="D1972" s="24"/>
      <c r="E1972" s="25"/>
      <c r="F1972" s="26"/>
      <c r="G1972" s="27">
        <f>SUM(G1973:G1975)</f>
        <v>3143.9075089500006</v>
      </c>
      <c r="H1972" s="44">
        <f>G1972*E1957</f>
        <v>0</v>
      </c>
    </row>
    <row r="1973" spans="1:11">
      <c r="A1973" s="28"/>
      <c r="B1973" s="29" t="s">
        <v>3710</v>
      </c>
      <c r="C1973" s="30" t="str">
        <f>IFERROR(_xlfn.XLOOKUP(B1973,MObra[DESCRIPCION],MObra[UN],,0),"")</f>
        <v>día</v>
      </c>
      <c r="D1973" s="31">
        <v>1</v>
      </c>
      <c r="E1973" s="32">
        <f>IFERROR(_xlfn.XLOOKUP($B1973,MObra[DESCRIPCION],MObra[VALOR UNIT],,0),"")</f>
        <v>314390.75089500006</v>
      </c>
      <c r="F1973" s="33">
        <v>-100</v>
      </c>
      <c r="G1973" s="34">
        <f>IFERROR(IF(F1973&gt;=0,D1973*E1973*(1+F1973/100),ABS(D1973*E1973/F1973)),"")</f>
        <v>3143.9075089500006</v>
      </c>
      <c r="H1973" s="43">
        <f>IFERROR(G1973*E1957,"")</f>
        <v>0</v>
      </c>
    </row>
    <row r="1974" spans="1:11">
      <c r="A1974" s="28"/>
      <c r="B1974" s="29"/>
      <c r="C1974" s="30" t="str">
        <f>IFERROR(_xlfn.XLOOKUP(B1974,MObra[DESCRIPCION],MObra[UN],,0),"")</f>
        <v/>
      </c>
      <c r="D1974" s="31"/>
      <c r="E1974" s="32" t="str">
        <f>IFERROR(_xlfn.XLOOKUP($B1974,MObra[DESCRIPCION],MObra[VALOR UNIT],,0),"")</f>
        <v/>
      </c>
      <c r="F1974" s="33"/>
      <c r="G1974" s="34" t="str">
        <f>IFERROR(IF(F1974&gt;=0,D1974*E1974*(1+F1974/100),ABS(D1974*E1974/F1974)),"")</f>
        <v/>
      </c>
      <c r="H1974" s="43" t="str">
        <f>IFERROR(G1974*E1957,"")</f>
        <v/>
      </c>
    </row>
    <row r="1975" spans="1:11" ht="13.15" thickBot="1">
      <c r="A1975" s="35"/>
      <c r="B1975" s="36"/>
      <c r="C1975" s="37" t="str">
        <f>IFERROR(_xlfn.XLOOKUP(B1975,MObra[DESCRIPCION],MObra[UN],,0),"")</f>
        <v/>
      </c>
      <c r="D1975" s="38"/>
      <c r="E1975" s="39" t="str">
        <f>IFERROR(_xlfn.XLOOKUP($B1975,MObra[DESCRIPCION],MObra[VALOR UNIT],,0),"")</f>
        <v/>
      </c>
      <c r="F1975" s="40"/>
      <c r="G1975" s="41" t="str">
        <f>IFERROR(IF(F1975&gt;=0,D1975*E1975*(1+F1975/100),ABS(D1975*E1975/F1975)),"")</f>
        <v/>
      </c>
      <c r="H1975" s="42" t="str">
        <f>IFERROR(G1975*E1957,"")</f>
        <v/>
      </c>
    </row>
    <row r="1976" spans="1:11" ht="13.5" thickTop="1" thickBot="1"/>
    <row r="1977" spans="1:11" ht="13.5" thickTop="1" thickBot="1">
      <c r="A1977" s="6" t="s">
        <v>1924</v>
      </c>
      <c r="B1977" s="7" t="str">
        <f>VLOOKUP($A1977,Presupuesto!$A:$D,2,FALSE())</f>
        <v>Fresado de pavimento asfaltico</v>
      </c>
      <c r="C1977" s="8" t="str">
        <f>VLOOKUP($A1977,Presupuesto!$A:$D,3,FALSE())</f>
        <v>M2</v>
      </c>
      <c r="D1977" s="9"/>
      <c r="E1977" s="10">
        <f>VLOOKUP($A1977,Presupuesto!$A:$D,4,FALSE())</f>
        <v>0</v>
      </c>
      <c r="F1977" s="11" t="s">
        <v>2589</v>
      </c>
      <c r="G1977" s="12">
        <f>SUM(G1979:G1995)/2</f>
        <v>9497.3162528571447</v>
      </c>
      <c r="H1977" s="13">
        <f>ROUND(SUM(H1979:H1995),0)/2</f>
        <v>0</v>
      </c>
      <c r="I1977" s="10">
        <f>VLOOKUP(A1977,Presupuesto!$A:$F,6,0)</f>
        <v>0</v>
      </c>
      <c r="J1977" s="10">
        <f>+H1977-I1977</f>
        <v>0</v>
      </c>
      <c r="K1977" s="46">
        <f>+H1977-G1977*E1977</f>
        <v>0</v>
      </c>
    </row>
    <row r="1978" spans="1:11" ht="13.15" thickTop="1">
      <c r="A1978" s="14"/>
      <c r="B1978" s="15" t="s">
        <v>2586</v>
      </c>
      <c r="C1978" s="15" t="s">
        <v>5</v>
      </c>
      <c r="D1978" s="16" t="s">
        <v>6</v>
      </c>
      <c r="E1978" s="17" t="s">
        <v>7</v>
      </c>
      <c r="F1978" s="18" t="s">
        <v>3728</v>
      </c>
      <c r="G1978" s="19" t="s">
        <v>3729</v>
      </c>
      <c r="H1978" s="20" t="s">
        <v>3797</v>
      </c>
    </row>
    <row r="1979" spans="1:11">
      <c r="A1979" s="21"/>
      <c r="B1979" s="22" t="s">
        <v>3730</v>
      </c>
      <c r="C1979" s="23"/>
      <c r="D1979" s="24"/>
      <c r="E1979" s="25"/>
      <c r="F1979" s="26"/>
      <c r="G1979" s="27">
        <f>SUM(G1980:G1984)</f>
        <v>0</v>
      </c>
      <c r="H1979" s="27">
        <f>IFERROR(G1979*E1977,"")</f>
        <v>0</v>
      </c>
    </row>
    <row r="1980" spans="1:11">
      <c r="A1980" s="28"/>
      <c r="B1980" s="29"/>
      <c r="C1980" s="30" t="str">
        <f>IFERROR(_xlfn.XLOOKUP(B1980,Insumo[DESCRIPCION],Insumo[UND],,0),"")</f>
        <v/>
      </c>
      <c r="D1980" s="31"/>
      <c r="E1980" s="32" t="str">
        <f>IFERROR(_xlfn.XLOOKUP($B1980,Insumo[DESCRIPCION],Insumo[VALOR],,0),"")</f>
        <v/>
      </c>
      <c r="F1980" s="33"/>
      <c r="G1980" s="34" t="str">
        <f>IFERROR(IF(F1980&gt;=0,D1980*E1980*(1+F1980/100),ABS(D1980*E1980/F1980)),"")</f>
        <v/>
      </c>
      <c r="H1980" s="43" t="str">
        <f>IFERROR(G1980*E1977,"")</f>
        <v/>
      </c>
    </row>
    <row r="1981" spans="1:11">
      <c r="A1981" s="28"/>
      <c r="B1981" s="29"/>
      <c r="C1981" s="30" t="str">
        <f>IFERROR(_xlfn.XLOOKUP(B1981,Insumo[DESCRIPCION],Insumo[UND],,0),"")</f>
        <v/>
      </c>
      <c r="D1981" s="31"/>
      <c r="E1981" s="32" t="str">
        <f>IFERROR(_xlfn.XLOOKUP($B1981,Insumo[DESCRIPCION],Insumo[VALOR],,0),"")</f>
        <v/>
      </c>
      <c r="F1981" s="33"/>
      <c r="G1981" s="34" t="str">
        <f>IFERROR(IF(F1981&gt;=0,D1981*E1981*(1+F1981/100),ABS(D1981*E1981/F1981)),"")</f>
        <v/>
      </c>
      <c r="H1981" s="43" t="str">
        <f>IFERROR(G1981*E1977,"")</f>
        <v/>
      </c>
    </row>
    <row r="1982" spans="1:11">
      <c r="A1982" s="28"/>
      <c r="B1982" s="29"/>
      <c r="C1982" s="30" t="str">
        <f>IFERROR(_xlfn.XLOOKUP(B1982,Insumo[DESCRIPCION],Insumo[UND],,0),"")</f>
        <v/>
      </c>
      <c r="D1982" s="31"/>
      <c r="E1982" s="32" t="str">
        <f>IFERROR(_xlfn.XLOOKUP($B1982,Insumo[DESCRIPCION],Insumo[VALOR],,0),"")</f>
        <v/>
      </c>
      <c r="F1982" s="33"/>
      <c r="G1982" s="34" t="str">
        <f>IFERROR(IF(F1982&gt;=0,D1982*E1982*(1+F1982/100),ABS(D1982*E1982/F1982)),"")</f>
        <v/>
      </c>
      <c r="H1982" s="43" t="str">
        <f>IFERROR(G1982*E1977,"")</f>
        <v/>
      </c>
    </row>
    <row r="1983" spans="1:11">
      <c r="A1983" s="28"/>
      <c r="B1983" s="29"/>
      <c r="C1983" s="30" t="str">
        <f>IFERROR(_xlfn.XLOOKUP(B1983,Insumo[DESCRIPCION],Insumo[UND],,0),"")</f>
        <v/>
      </c>
      <c r="D1983" s="31"/>
      <c r="E1983" s="32" t="str">
        <f>IFERROR(_xlfn.XLOOKUP($B1983,Insumo[DESCRIPCION],Insumo[VALOR],,0),"")</f>
        <v/>
      </c>
      <c r="F1983" s="33"/>
      <c r="G1983" s="34" t="str">
        <f>IFERROR(IF(F1983&gt;=0,D1983*E1983*(1+F1983/100),ABS(D1983*E1983/F1983)),"")</f>
        <v/>
      </c>
      <c r="H1983" s="43" t="str">
        <f>IFERROR(G1983*E1977,"")</f>
        <v/>
      </c>
    </row>
    <row r="1984" spans="1:11">
      <c r="A1984" s="28"/>
      <c r="B1984" s="29"/>
      <c r="C1984" s="30" t="str">
        <f>IFERROR(_xlfn.XLOOKUP(B1984,Insumo[DESCRIPCION],Insumo[UND],,0),"")</f>
        <v/>
      </c>
      <c r="D1984" s="31"/>
      <c r="E1984" s="32" t="str">
        <f>IFERROR(_xlfn.XLOOKUP($B1984,Insumo[DESCRIPCION],Insumo[VALOR],,0),"")</f>
        <v/>
      </c>
      <c r="F1984" s="33"/>
      <c r="G1984" s="34" t="str">
        <f>IFERROR(IF(F1984&gt;=0,D1984*E1984*(1+F1984/100),ABS(D1984*E1984/F1984)),"")</f>
        <v/>
      </c>
      <c r="H1984" s="43" t="str">
        <f>IFERROR(G1984*E1977,"")</f>
        <v/>
      </c>
    </row>
    <row r="1985" spans="1:11">
      <c r="A1985" s="21"/>
      <c r="B1985" s="22" t="s">
        <v>3731</v>
      </c>
      <c r="C1985" s="23"/>
      <c r="D1985" s="24"/>
      <c r="E1985" s="25"/>
      <c r="F1985" s="26"/>
      <c r="G1985" s="27">
        <f>SUM(G1986:G1988)</f>
        <v>6170.43</v>
      </c>
      <c r="H1985" s="44">
        <f>G1985*E1977</f>
        <v>0</v>
      </c>
    </row>
    <row r="1986" spans="1:11">
      <c r="A1986" s="28"/>
      <c r="B1986" s="29" t="s">
        <v>3620</v>
      </c>
      <c r="C1986" s="30" t="str">
        <f>IFERROR(_xlfn.XLOOKUP(B1986,Equipo[DESCRIPCION],Equipo[UND],,0),"")</f>
        <v>Hr</v>
      </c>
      <c r="D1986" s="31">
        <v>1</v>
      </c>
      <c r="E1986" s="32">
        <f>IF(C1986="%MO",G1992,IFERROR(_xlfn.XLOOKUP($B1986,Equipo[DESCRIPCION],Equipo[VALOR],,0),""))</f>
        <v>215965.05000000002</v>
      </c>
      <c r="F1986" s="33">
        <v>-35</v>
      </c>
      <c r="G1986" s="34">
        <f>IFERROR(IF(F1986&gt;=0,D1986*E1986*(1+F1986/100),ABS(D1986*E1986/F1986)),"")</f>
        <v>6170.43</v>
      </c>
      <c r="H1986" s="43">
        <f>IFERROR(G1986*E1977,"")</f>
        <v>0</v>
      </c>
    </row>
    <row r="1987" spans="1:11">
      <c r="A1987" s="28"/>
      <c r="B1987" s="29"/>
      <c r="C1987" s="30" t="str">
        <f>IFERROR(_xlfn.XLOOKUP(B1987,Equipo[DESCRIPCION],Equipo[UND],,0),"")</f>
        <v/>
      </c>
      <c r="D1987" s="31"/>
      <c r="E1987" s="32" t="str">
        <f>IF(C1987="%MO",G1992,IFERROR(_xlfn.XLOOKUP($B1987,Equipo[DESCRIPCION],Equipo[VALOR],,0),""))</f>
        <v/>
      </c>
      <c r="F1987" s="33"/>
      <c r="G1987" s="34" t="str">
        <f>IFERROR(IF(F1987&gt;=0,D1987*E1987*(1+F1987/100),ABS(D1987*E1987/F1987)),"")</f>
        <v/>
      </c>
      <c r="H1987" s="43" t="str">
        <f>IFERROR(G1987*E1977,"")</f>
        <v/>
      </c>
    </row>
    <row r="1988" spans="1:11">
      <c r="A1988" s="28"/>
      <c r="B1988" s="29"/>
      <c r="C1988" s="30" t="str">
        <f>IFERROR(_xlfn.XLOOKUP(B1988,Equipo[DESCRIPCION],Equipo[UND],,0),"")</f>
        <v/>
      </c>
      <c r="D1988" s="31"/>
      <c r="E1988" s="32" t="str">
        <f>IF(C1988="%MO",G1992,IFERROR(_xlfn.XLOOKUP($B1988,Equipo[DESCRIPCION],Equipo[VALOR],,0),""))</f>
        <v/>
      </c>
      <c r="F1988" s="33"/>
      <c r="G1988" s="34" t="str">
        <f>IFERROR(IF(F1988&gt;=0,D1988*E1988*(1+F1988/100),ABS(D1988*E1988/F1988)),"")</f>
        <v/>
      </c>
      <c r="H1988" s="43" t="str">
        <f>IFERROR(G1988*E1977,"")</f>
        <v/>
      </c>
    </row>
    <row r="1989" spans="1:11">
      <c r="A1989" s="21"/>
      <c r="B1989" s="22" t="s">
        <v>2533</v>
      </c>
      <c r="C1989" s="23"/>
      <c r="D1989" s="24"/>
      <c r="E1989" s="25"/>
      <c r="F1989" s="26"/>
      <c r="G1989" s="27">
        <f>SUM(G1990:G1991)</f>
        <v>0</v>
      </c>
      <c r="H1989" s="44">
        <f>G1989*E1977</f>
        <v>0</v>
      </c>
    </row>
    <row r="1990" spans="1:11">
      <c r="A1990" s="28"/>
      <c r="B1990" s="29"/>
      <c r="C1990" s="30" t="str">
        <f>IFERROR(_xlfn.XLOOKUP(B1990,Transporte[DESCRIPCION],Transporte[UND],,0),"")</f>
        <v/>
      </c>
      <c r="D1990" s="31"/>
      <c r="E1990" s="32" t="str">
        <f>IFERROR(_xlfn.XLOOKUP($B1990,Transporte[DESCRIPCION],Transporte[VALOR],,0),"")</f>
        <v/>
      </c>
      <c r="F1990" s="33"/>
      <c r="G1990" s="34" t="str">
        <f>IFERROR(IF(F1990&gt;=0,D1990*E1990*(1+F1990/100),ABS(D1990*E1990/F1990)),"")</f>
        <v/>
      </c>
      <c r="H1990" s="43" t="str">
        <f>IFERROR(G1990*E1977,"")</f>
        <v/>
      </c>
    </row>
    <row r="1991" spans="1:11">
      <c r="A1991" s="28"/>
      <c r="B1991" s="29"/>
      <c r="C1991" s="30" t="str">
        <f>IFERROR(_xlfn.XLOOKUP(B1991,Transporte[DESCRIPCION],Transporte[UND],,0),"")</f>
        <v/>
      </c>
      <c r="D1991" s="31"/>
      <c r="E1991" s="32" t="str">
        <f>IFERROR(_xlfn.XLOOKUP($B1991,Transporte[DESCRIPCION],Transporte[VALOR],,0),"")</f>
        <v/>
      </c>
      <c r="F1991" s="33"/>
      <c r="G1991" s="34" t="str">
        <f>IFERROR(IF(F1991&gt;=0,D1991*E1991*(1+F1991/100),ABS(D1991*E1991/F1991)),"")</f>
        <v/>
      </c>
      <c r="H1991" s="43" t="str">
        <f>IFERROR(G1991*E1977,"")</f>
        <v/>
      </c>
    </row>
    <row r="1992" spans="1:11">
      <c r="A1992" s="21"/>
      <c r="B1992" s="22" t="s">
        <v>3732</v>
      </c>
      <c r="C1992" s="23"/>
      <c r="D1992" s="24"/>
      <c r="E1992" s="25"/>
      <c r="F1992" s="26"/>
      <c r="G1992" s="27">
        <f>SUM(G1993:G1995)</f>
        <v>3326.8862528571435</v>
      </c>
      <c r="H1992" s="44">
        <f>G1992*E1977</f>
        <v>0</v>
      </c>
    </row>
    <row r="1993" spans="1:11">
      <c r="A1993" s="28"/>
      <c r="B1993" s="29" t="s">
        <v>3698</v>
      </c>
      <c r="C1993" s="30" t="str">
        <f>IFERROR(_xlfn.XLOOKUP(B1993,MObra[DESCRIPCION],MObra[UN],,0),"")</f>
        <v>día</v>
      </c>
      <c r="D1993" s="31">
        <v>1</v>
      </c>
      <c r="E1993" s="32">
        <f>IFERROR(_xlfn.XLOOKUP($B1993,MObra[DESCRIPCION],MObra[VALOR UNIT],,0),"")</f>
        <v>116441.01885000002</v>
      </c>
      <c r="F1993" s="33">
        <v>-35</v>
      </c>
      <c r="G1993" s="34">
        <f>IFERROR(IF(F1993&gt;=0,D1993*E1993*(1+F1993/100),ABS(D1993*E1993/F1993)),"")</f>
        <v>3326.8862528571435</v>
      </c>
      <c r="H1993" s="43">
        <f>IFERROR(G1993*E1977,"")</f>
        <v>0</v>
      </c>
    </row>
    <row r="1994" spans="1:11">
      <c r="A1994" s="28"/>
      <c r="B1994" s="29"/>
      <c r="C1994" s="30" t="str">
        <f>IFERROR(_xlfn.XLOOKUP(B1994,MObra[DESCRIPCION],MObra[UN],,0),"")</f>
        <v/>
      </c>
      <c r="D1994" s="31"/>
      <c r="E1994" s="32" t="str">
        <f>IFERROR(_xlfn.XLOOKUP($B1994,MObra[DESCRIPCION],MObra[VALOR UNIT],,0),"")</f>
        <v/>
      </c>
      <c r="F1994" s="33"/>
      <c r="G1994" s="34" t="str">
        <f>IFERROR(IF(F1994&gt;=0,D1994*E1994*(1+F1994/100),ABS(D1994*E1994/F1994)),"")</f>
        <v/>
      </c>
      <c r="H1994" s="43" t="str">
        <f>IFERROR(G1994*E1977,"")</f>
        <v/>
      </c>
    </row>
    <row r="1995" spans="1:11" ht="13.15" thickBot="1">
      <c r="A1995" s="35"/>
      <c r="B1995" s="36"/>
      <c r="C1995" s="37" t="str">
        <f>IFERROR(_xlfn.XLOOKUP(B1995,MObra[DESCRIPCION],MObra[UN],,0),"")</f>
        <v/>
      </c>
      <c r="D1995" s="38"/>
      <c r="E1995" s="39" t="str">
        <f>IFERROR(_xlfn.XLOOKUP($B1995,MObra[DESCRIPCION],MObra[VALOR UNIT],,0),"")</f>
        <v/>
      </c>
      <c r="F1995" s="40"/>
      <c r="G1995" s="41" t="str">
        <f>IFERROR(IF(F1995&gt;=0,D1995*E1995*(1+F1995/100),ABS(D1995*E1995/F1995)),"")</f>
        <v/>
      </c>
      <c r="H1995" s="42" t="str">
        <f>IFERROR(G1995*E1977,"")</f>
        <v/>
      </c>
    </row>
    <row r="1996" spans="1:11" ht="13.5" thickTop="1" thickBot="1"/>
    <row r="1997" spans="1:11" ht="13.5" thickTop="1" thickBot="1">
      <c r="A1997" s="6" t="s">
        <v>1926</v>
      </c>
      <c r="B1997" s="7" t="str">
        <f>VLOOKUP($A1997,Presupuesto!$A:$D,2,FALSE())</f>
        <v>Huella concreto 27.6 Mpa H=0.15m B=0.70m</v>
      </c>
      <c r="C1997" s="8" t="str">
        <f>VLOOKUP($A1997,Presupuesto!$A:$D,3,FALSE())</f>
        <v>M</v>
      </c>
      <c r="D1997" s="9"/>
      <c r="E1997" s="10">
        <f>VLOOKUP($A1997,Presupuesto!$A:$D,4,FALSE())</f>
        <v>0</v>
      </c>
      <c r="F1997" s="11" t="s">
        <v>2589</v>
      </c>
      <c r="G1997" s="12">
        <f>SUM(G1999:G2015)/2</f>
        <v>116548.47798468202</v>
      </c>
      <c r="H1997" s="13">
        <f>ROUND(SUM(H1999:H2015),0)/2</f>
        <v>0</v>
      </c>
      <c r="I1997" s="10">
        <f>VLOOKUP(A1997,Presupuesto!$A:$F,6,0)</f>
        <v>0</v>
      </c>
      <c r="J1997" s="10">
        <f>+H1997-I1997</f>
        <v>0</v>
      </c>
      <c r="K1997" s="46">
        <f>+H1997-G1997*E1997</f>
        <v>0</v>
      </c>
    </row>
    <row r="1998" spans="1:11" ht="13.15" thickTop="1">
      <c r="A1998" s="14"/>
      <c r="B1998" s="15" t="s">
        <v>2586</v>
      </c>
      <c r="C1998" s="15" t="s">
        <v>5</v>
      </c>
      <c r="D1998" s="16" t="s">
        <v>6</v>
      </c>
      <c r="E1998" s="17" t="s">
        <v>7</v>
      </c>
      <c r="F1998" s="18" t="s">
        <v>3728</v>
      </c>
      <c r="G1998" s="19" t="s">
        <v>3729</v>
      </c>
      <c r="H1998" s="20" t="s">
        <v>3797</v>
      </c>
    </row>
    <row r="1999" spans="1:11">
      <c r="A1999" s="21"/>
      <c r="B1999" s="22" t="s">
        <v>3730</v>
      </c>
      <c r="C1999" s="23"/>
      <c r="D1999" s="24"/>
      <c r="E1999" s="25"/>
      <c r="F1999" s="26"/>
      <c r="G1999" s="27">
        <f>SUM(G2000:G2004)</f>
        <v>93318.494724107004</v>
      </c>
      <c r="H1999" s="27">
        <f>IFERROR(G1999*E1997,"")</f>
        <v>0</v>
      </c>
    </row>
    <row r="2000" spans="1:11">
      <c r="A2000" s="28"/>
      <c r="B2000" s="29" t="s">
        <v>3241</v>
      </c>
      <c r="C2000" s="30" t="str">
        <f>IFERROR(_xlfn.XLOOKUP(B2000,Insumo[DESCRIPCION],Insumo[UND],,0),"")</f>
        <v>M3</v>
      </c>
      <c r="D2000" s="31">
        <f>0.15*0.7</f>
        <v>0.105</v>
      </c>
      <c r="E2000" s="32">
        <f>IFERROR(_xlfn.XLOOKUP($B2000,Insumo[DESCRIPCION],Insumo[VALOR],,0),"")</f>
        <v>568453.66874585627</v>
      </c>
      <c r="F2000" s="33">
        <v>5</v>
      </c>
      <c r="G2000" s="34">
        <f>IFERROR(IF(F2000&gt;=0,D2000*E2000*(1+F2000/100),ABS(D2000*E2000/F2000)),"")</f>
        <v>62672.016979230655</v>
      </c>
      <c r="H2000" s="43">
        <f>IFERROR(G2000*E1997,"")</f>
        <v>0</v>
      </c>
    </row>
    <row r="2001" spans="1:8">
      <c r="A2001" s="28"/>
      <c r="B2001" s="29" t="s">
        <v>2954</v>
      </c>
      <c r="C2001" s="30" t="str">
        <f>IFERROR(_xlfn.XLOOKUP(B2001,Insumo[DESCRIPCION],Insumo[UND],,0),"")</f>
        <v>M2</v>
      </c>
      <c r="D2001" s="31">
        <v>0.3</v>
      </c>
      <c r="E2001" s="32">
        <f>IFERROR(_xlfn.XLOOKUP($B2001,Insumo[DESCRIPCION],Insumo[VALOR],,0),"")</f>
        <v>102154.92581625449</v>
      </c>
      <c r="F2001" s="33"/>
      <c r="G2001" s="34">
        <f>IFERROR(IF(F2001&gt;=0,D2001*E2001*(1+F2001/100),ABS(D2001*E2001/F2001)),"")</f>
        <v>30646.477744876345</v>
      </c>
      <c r="H2001" s="43">
        <f>IFERROR(G2001*E1997,"")</f>
        <v>0</v>
      </c>
    </row>
    <row r="2002" spans="1:8">
      <c r="A2002" s="28"/>
      <c r="B2002" s="29"/>
      <c r="C2002" s="30" t="str">
        <f>IFERROR(_xlfn.XLOOKUP(B2002,Insumo[DESCRIPCION],Insumo[UND],,0),"")</f>
        <v/>
      </c>
      <c r="D2002" s="31"/>
      <c r="E2002" s="32" t="str">
        <f>IFERROR(_xlfn.XLOOKUP($B2002,Insumo[DESCRIPCION],Insumo[VALOR],,0),"")</f>
        <v/>
      </c>
      <c r="F2002" s="33"/>
      <c r="G2002" s="34" t="str">
        <f>IFERROR(IF(F2002&gt;=0,D2002*E2002*(1+F2002/100),ABS(D2002*E2002/F2002)),"")</f>
        <v/>
      </c>
      <c r="H2002" s="43" t="str">
        <f>IFERROR(G2002*E1997,"")</f>
        <v/>
      </c>
    </row>
    <row r="2003" spans="1:8">
      <c r="A2003" s="28"/>
      <c r="B2003" s="29"/>
      <c r="C2003" s="30" t="str">
        <f>IFERROR(_xlfn.XLOOKUP(B2003,Insumo[DESCRIPCION],Insumo[UND],,0),"")</f>
        <v/>
      </c>
      <c r="D2003" s="31"/>
      <c r="E2003" s="32" t="str">
        <f>IFERROR(_xlfn.XLOOKUP($B2003,Insumo[DESCRIPCION],Insumo[VALOR],,0),"")</f>
        <v/>
      </c>
      <c r="F2003" s="33"/>
      <c r="G2003" s="34" t="str">
        <f>IFERROR(IF(F2003&gt;=0,D2003*E2003*(1+F2003/100),ABS(D2003*E2003/F2003)),"")</f>
        <v/>
      </c>
      <c r="H2003" s="43" t="str">
        <f>IFERROR(G2003*E1997,"")</f>
        <v/>
      </c>
    </row>
    <row r="2004" spans="1:8">
      <c r="A2004" s="28"/>
      <c r="B2004" s="29"/>
      <c r="C2004" s="30" t="str">
        <f>IFERROR(_xlfn.XLOOKUP(B2004,Insumo[DESCRIPCION],Insumo[UND],,0),"")</f>
        <v/>
      </c>
      <c r="D2004" s="31"/>
      <c r="E2004" s="32" t="str">
        <f>IFERROR(_xlfn.XLOOKUP($B2004,Insumo[DESCRIPCION],Insumo[VALOR],,0),"")</f>
        <v/>
      </c>
      <c r="F2004" s="33"/>
      <c r="G2004" s="34" t="str">
        <f>IFERROR(IF(F2004&gt;=0,D2004*E2004*(1+F2004/100),ABS(D2004*E2004/F2004)),"")</f>
        <v/>
      </c>
      <c r="H2004" s="43" t="str">
        <f>IFERROR(G2004*E1997,"")</f>
        <v/>
      </c>
    </row>
    <row r="2005" spans="1:8">
      <c r="A2005" s="21"/>
      <c r="B2005" s="22" t="s">
        <v>3731</v>
      </c>
      <c r="C2005" s="23"/>
      <c r="D2005" s="24"/>
      <c r="E2005" s="25"/>
      <c r="F2005" s="26"/>
      <c r="G2005" s="27">
        <f>SUM(G2006:G2008)</f>
        <v>1106.1896790750004</v>
      </c>
      <c r="H2005" s="44">
        <f>G2005*E1997</f>
        <v>0</v>
      </c>
    </row>
    <row r="2006" spans="1:8">
      <c r="A2006" s="28"/>
      <c r="B2006" s="29" t="s">
        <v>3626</v>
      </c>
      <c r="C2006" s="30" t="str">
        <f>IFERROR(_xlfn.XLOOKUP(B2006,Equipo[DESCRIPCION],Equipo[UND],,0),"")</f>
        <v>%MO</v>
      </c>
      <c r="D2006" s="31">
        <v>0.05</v>
      </c>
      <c r="E2006" s="32">
        <f>IF(C2006="%MO",G2012,IFERROR(_xlfn.XLOOKUP($B2006,Equipo[DESCRIPCION],Equipo[VALOR],,0),""))</f>
        <v>22123.793581500006</v>
      </c>
      <c r="F2006" s="33"/>
      <c r="G2006" s="34">
        <f>IFERROR(IF(F2006&gt;=0,D2006*E2006*(1+F2006/100),ABS(D2006*E2006/F2006)),"")</f>
        <v>1106.1896790750004</v>
      </c>
      <c r="H2006" s="43">
        <f>IFERROR(G2006*E1997,"")</f>
        <v>0</v>
      </c>
    </row>
    <row r="2007" spans="1:8">
      <c r="A2007" s="28"/>
      <c r="B2007" s="29"/>
      <c r="C2007" s="30" t="str">
        <f>IFERROR(_xlfn.XLOOKUP(B2007,Equipo[DESCRIPCION],Equipo[UND],,0),"")</f>
        <v/>
      </c>
      <c r="D2007" s="31"/>
      <c r="E2007" s="32" t="str">
        <f>IF(C2007="%MO",G2012,IFERROR(_xlfn.XLOOKUP($B2007,Equipo[DESCRIPCION],Equipo[VALOR],,0),""))</f>
        <v/>
      </c>
      <c r="F2007" s="33"/>
      <c r="G2007" s="34" t="str">
        <f>IFERROR(IF(F2007&gt;=0,D2007*E2007*(1+F2007/100),ABS(D2007*E2007/F2007)),"")</f>
        <v/>
      </c>
      <c r="H2007" s="43" t="str">
        <f>IFERROR(G2007*E1997,"")</f>
        <v/>
      </c>
    </row>
    <row r="2008" spans="1:8">
      <c r="A2008" s="28"/>
      <c r="B2008" s="29"/>
      <c r="C2008" s="30" t="str">
        <f>IFERROR(_xlfn.XLOOKUP(B2008,Equipo[DESCRIPCION],Equipo[UND],,0),"")</f>
        <v/>
      </c>
      <c r="D2008" s="31"/>
      <c r="E2008" s="32" t="str">
        <f>IF(C2008="%MO",G2012,IFERROR(_xlfn.XLOOKUP($B2008,Equipo[DESCRIPCION],Equipo[VALOR],,0),""))</f>
        <v/>
      </c>
      <c r="F2008" s="33"/>
      <c r="G2008" s="34" t="str">
        <f>IFERROR(IF(F2008&gt;=0,D2008*E2008*(1+F2008/100),ABS(D2008*E2008/F2008)),"")</f>
        <v/>
      </c>
      <c r="H2008" s="43" t="str">
        <f>IFERROR(G2008*E1997,"")</f>
        <v/>
      </c>
    </row>
    <row r="2009" spans="1:8">
      <c r="A2009" s="21"/>
      <c r="B2009" s="22" t="s">
        <v>2533</v>
      </c>
      <c r="C2009" s="23"/>
      <c r="D2009" s="24"/>
      <c r="E2009" s="25"/>
      <c r="F2009" s="26"/>
      <c r="G2009" s="27">
        <f>SUM(G2010:G2011)</f>
        <v>0</v>
      </c>
      <c r="H2009" s="44">
        <f>G2009*E1997</f>
        <v>0</v>
      </c>
    </row>
    <row r="2010" spans="1:8">
      <c r="A2010" s="28"/>
      <c r="B2010" s="29"/>
      <c r="C2010" s="30" t="str">
        <f>IFERROR(_xlfn.XLOOKUP(B2010,Transporte[DESCRIPCION],Transporte[UND],,0),"")</f>
        <v/>
      </c>
      <c r="D2010" s="31"/>
      <c r="E2010" s="32" t="str">
        <f>IFERROR(_xlfn.XLOOKUP($B2010,Transporte[DESCRIPCION],Transporte[VALOR],,0),"")</f>
        <v/>
      </c>
      <c r="F2010" s="33"/>
      <c r="G2010" s="34" t="str">
        <f>IFERROR(IF(F2010&gt;=0,D2010*E2010*(1+F2010/100),ABS(D2010*E2010/F2010)),"")</f>
        <v/>
      </c>
      <c r="H2010" s="43" t="str">
        <f>IFERROR(G2010*E1997,"")</f>
        <v/>
      </c>
    </row>
    <row r="2011" spans="1:8">
      <c r="A2011" s="28"/>
      <c r="B2011" s="29"/>
      <c r="C2011" s="30" t="str">
        <f>IFERROR(_xlfn.XLOOKUP(B2011,Transporte[DESCRIPCION],Transporte[UND],,0),"")</f>
        <v/>
      </c>
      <c r="D2011" s="31"/>
      <c r="E2011" s="32" t="str">
        <f>IFERROR(_xlfn.XLOOKUP($B2011,Transporte[DESCRIPCION],Transporte[VALOR],,0),"")</f>
        <v/>
      </c>
      <c r="F2011" s="33"/>
      <c r="G2011" s="34" t="str">
        <f>IFERROR(IF(F2011&gt;=0,D2011*E2011*(1+F2011/100),ABS(D2011*E2011/F2011)),"")</f>
        <v/>
      </c>
      <c r="H2011" s="43" t="str">
        <f>IFERROR(G2011*E1997,"")</f>
        <v/>
      </c>
    </row>
    <row r="2012" spans="1:8">
      <c r="A2012" s="21"/>
      <c r="B2012" s="22" t="s">
        <v>3732</v>
      </c>
      <c r="C2012" s="23"/>
      <c r="D2012" s="24"/>
      <c r="E2012" s="25"/>
      <c r="F2012" s="26"/>
      <c r="G2012" s="27">
        <f>SUM(G2013:G2015)</f>
        <v>22123.793581500006</v>
      </c>
      <c r="H2012" s="44">
        <f>G2012*E1997</f>
        <v>0</v>
      </c>
    </row>
    <row r="2013" spans="1:8">
      <c r="A2013" s="28"/>
      <c r="B2013" s="29" t="s">
        <v>3713</v>
      </c>
      <c r="C2013" s="30" t="str">
        <f>IFERROR(_xlfn.XLOOKUP(B2013,MObra[DESCRIPCION],MObra[UN],,0),"")</f>
        <v>día</v>
      </c>
      <c r="D2013" s="31">
        <v>1</v>
      </c>
      <c r="E2013" s="32">
        <f>IFERROR(_xlfn.XLOOKUP($B2013,MObra[DESCRIPCION],MObra[VALOR UNIT],,0),"")</f>
        <v>663713.80744500016</v>
      </c>
      <c r="F2013" s="33">
        <v>-30</v>
      </c>
      <c r="G2013" s="34">
        <f>IFERROR(IF(F2013&gt;=0,D2013*E2013*(1+F2013/100),ABS(D2013*E2013/F2013)),"")</f>
        <v>22123.793581500006</v>
      </c>
      <c r="H2013" s="43">
        <f>IFERROR(G2013*E1997,"")</f>
        <v>0</v>
      </c>
    </row>
    <row r="2014" spans="1:8">
      <c r="A2014" s="28"/>
      <c r="B2014" s="29"/>
      <c r="C2014" s="30" t="str">
        <f>IFERROR(_xlfn.XLOOKUP(B2014,MObra[DESCRIPCION],MObra[UN],,0),"")</f>
        <v/>
      </c>
      <c r="D2014" s="31"/>
      <c r="E2014" s="32" t="str">
        <f>IFERROR(_xlfn.XLOOKUP($B2014,MObra[DESCRIPCION],MObra[VALOR UNIT],,0),"")</f>
        <v/>
      </c>
      <c r="F2014" s="33"/>
      <c r="G2014" s="34" t="str">
        <f>IFERROR(IF(F2014&gt;=0,D2014*E2014*(1+F2014/100),ABS(D2014*E2014/F2014)),"")</f>
        <v/>
      </c>
      <c r="H2014" s="43" t="str">
        <f>IFERROR(G2014*E1997,"")</f>
        <v/>
      </c>
    </row>
    <row r="2015" spans="1:8" ht="13.15" thickBot="1">
      <c r="A2015" s="35"/>
      <c r="B2015" s="36"/>
      <c r="C2015" s="37" t="str">
        <f>IFERROR(_xlfn.XLOOKUP(B2015,MObra[DESCRIPCION],MObra[UN],,0),"")</f>
        <v/>
      </c>
      <c r="D2015" s="38"/>
      <c r="E2015" s="39" t="str">
        <f>IFERROR(_xlfn.XLOOKUP($B2015,MObra[DESCRIPCION],MObra[VALOR UNIT],,0),"")</f>
        <v/>
      </c>
      <c r="F2015" s="40"/>
      <c r="G2015" s="41" t="str">
        <f>IFERROR(IF(F2015&gt;=0,D2015*E2015*(1+F2015/100),ABS(D2015*E2015/F2015)),"")</f>
        <v/>
      </c>
      <c r="H2015" s="42" t="str">
        <f>IFERROR(G2015*E1997,"")</f>
        <v/>
      </c>
    </row>
    <row r="2016" spans="1:8" ht="13.5" thickTop="1" thickBot="1"/>
    <row r="2017" spans="1:11" ht="13.5" thickTop="1" thickBot="1">
      <c r="A2017" s="6" t="s">
        <v>1928</v>
      </c>
      <c r="B2017" s="7" t="str">
        <f>VLOOKUP($A2017,Presupuesto!$A:$D,2,FALSE())</f>
        <v>Imprimación con emulsión asfáltica</v>
      </c>
      <c r="C2017" s="8" t="str">
        <f>VLOOKUP($A2017,Presupuesto!$A:$D,3,FALSE())</f>
        <v>M2</v>
      </c>
      <c r="D2017" s="9"/>
      <c r="E2017" s="10">
        <f>VLOOKUP($A2017,Presupuesto!$A:$D,4,FALSE())</f>
        <v>0</v>
      </c>
      <c r="F2017" s="11" t="s">
        <v>2589</v>
      </c>
      <c r="G2017" s="12">
        <f>SUM(G2019:G2035)/2</f>
        <v>10825.330076879498</v>
      </c>
      <c r="H2017" s="13">
        <f>ROUND(SUM(H2019:H2035),0)/2</f>
        <v>0</v>
      </c>
      <c r="I2017" s="10">
        <f>VLOOKUP(A2017,Presupuesto!$A:$F,6,0)</f>
        <v>0</v>
      </c>
      <c r="J2017" s="10">
        <f>+H2017-I2017</f>
        <v>0</v>
      </c>
      <c r="K2017" s="46">
        <f>+H2017-G2017*E2017</f>
        <v>0</v>
      </c>
    </row>
    <row r="2018" spans="1:11" ht="13.15" thickTop="1">
      <c r="A2018" s="14"/>
      <c r="B2018" s="15" t="s">
        <v>2586</v>
      </c>
      <c r="C2018" s="15" t="s">
        <v>5</v>
      </c>
      <c r="D2018" s="16" t="s">
        <v>6</v>
      </c>
      <c r="E2018" s="17" t="s">
        <v>7</v>
      </c>
      <c r="F2018" s="18" t="s">
        <v>3728</v>
      </c>
      <c r="G2018" s="19" t="s">
        <v>3729</v>
      </c>
      <c r="H2018" s="20" t="s">
        <v>3797</v>
      </c>
    </row>
    <row r="2019" spans="1:11">
      <c r="A2019" s="21"/>
      <c r="B2019" s="22" t="s">
        <v>3730</v>
      </c>
      <c r="C2019" s="23"/>
      <c r="D2019" s="24"/>
      <c r="E2019" s="25"/>
      <c r="F2019" s="26"/>
      <c r="G2019" s="27">
        <f>SUM(G2020:G2024)</f>
        <v>9127.9650000000001</v>
      </c>
      <c r="H2019" s="27">
        <f>IFERROR(G2019*E2017,"")</f>
        <v>0</v>
      </c>
    </row>
    <row r="2020" spans="1:11">
      <c r="A2020" s="28"/>
      <c r="B2020" s="29" t="s">
        <v>2936</v>
      </c>
      <c r="C2020" s="30" t="str">
        <f>IFERROR(_xlfn.XLOOKUP(B2020,Insumo[DESCRIPCION],Insumo[UND],,0),"")</f>
        <v>galón</v>
      </c>
      <c r="D2020" s="31">
        <v>0.22</v>
      </c>
      <c r="E2020" s="32">
        <f>IFERROR(_xlfn.XLOOKUP($B2020,Insumo[DESCRIPCION],Insumo[VALOR],,0),"")</f>
        <v>41490.75</v>
      </c>
      <c r="F2020" s="33"/>
      <c r="G2020" s="34">
        <f>IFERROR(IF(F2020&gt;=0,D2020*E2020*(1+F2020/100),ABS(D2020*E2020/F2020)),"")</f>
        <v>9127.9650000000001</v>
      </c>
      <c r="H2020" s="43">
        <f>IFERROR(G2020*E2017,"")</f>
        <v>0</v>
      </c>
    </row>
    <row r="2021" spans="1:11">
      <c r="A2021" s="28"/>
      <c r="B2021" s="29"/>
      <c r="C2021" s="30" t="str">
        <f>IFERROR(_xlfn.XLOOKUP(B2021,Insumo[DESCRIPCION],Insumo[UND],,0),"")</f>
        <v/>
      </c>
      <c r="D2021" s="31"/>
      <c r="E2021" s="32" t="str">
        <f>IFERROR(_xlfn.XLOOKUP($B2021,Insumo[DESCRIPCION],Insumo[VALOR],,0),"")</f>
        <v/>
      </c>
      <c r="F2021" s="33"/>
      <c r="G2021" s="34" t="str">
        <f>IFERROR(IF(F2021&gt;=0,D2021*E2021*(1+F2021/100),ABS(D2021*E2021/F2021)),"")</f>
        <v/>
      </c>
      <c r="H2021" s="43" t="str">
        <f>IFERROR(G2021*E2017,"")</f>
        <v/>
      </c>
    </row>
    <row r="2022" spans="1:11">
      <c r="A2022" s="28"/>
      <c r="B2022" s="29"/>
      <c r="C2022" s="30" t="str">
        <f>IFERROR(_xlfn.XLOOKUP(B2022,Insumo[DESCRIPCION],Insumo[UND],,0),"")</f>
        <v/>
      </c>
      <c r="D2022" s="31"/>
      <c r="E2022" s="32" t="str">
        <f>IFERROR(_xlfn.XLOOKUP($B2022,Insumo[DESCRIPCION],Insumo[VALOR],,0),"")</f>
        <v/>
      </c>
      <c r="F2022" s="33"/>
      <c r="G2022" s="34" t="str">
        <f>IFERROR(IF(F2022&gt;=0,D2022*E2022*(1+F2022/100),ABS(D2022*E2022/F2022)),"")</f>
        <v/>
      </c>
      <c r="H2022" s="43" t="str">
        <f>IFERROR(G2022*E2017,"")</f>
        <v/>
      </c>
    </row>
    <row r="2023" spans="1:11">
      <c r="A2023" s="28"/>
      <c r="B2023" s="29"/>
      <c r="C2023" s="30" t="str">
        <f>IFERROR(_xlfn.XLOOKUP(B2023,Insumo[DESCRIPCION],Insumo[UND],,0),"")</f>
        <v/>
      </c>
      <c r="D2023" s="31"/>
      <c r="E2023" s="32" t="str">
        <f>IFERROR(_xlfn.XLOOKUP($B2023,Insumo[DESCRIPCION],Insumo[VALOR],,0),"")</f>
        <v/>
      </c>
      <c r="F2023" s="33"/>
      <c r="G2023" s="34" t="str">
        <f>IFERROR(IF(F2023&gt;=0,D2023*E2023*(1+F2023/100),ABS(D2023*E2023/F2023)),"")</f>
        <v/>
      </c>
      <c r="H2023" s="43" t="str">
        <f>IFERROR(G2023*E2017,"")</f>
        <v/>
      </c>
    </row>
    <row r="2024" spans="1:11">
      <c r="A2024" s="28"/>
      <c r="B2024" s="29"/>
      <c r="C2024" s="30" t="str">
        <f>IFERROR(_xlfn.XLOOKUP(B2024,Insumo[DESCRIPCION],Insumo[UND],,0),"")</f>
        <v/>
      </c>
      <c r="D2024" s="31"/>
      <c r="E2024" s="32" t="str">
        <f>IFERROR(_xlfn.XLOOKUP($B2024,Insumo[DESCRIPCION],Insumo[VALOR],,0),"")</f>
        <v/>
      </c>
      <c r="F2024" s="33"/>
      <c r="G2024" s="34" t="str">
        <f>IFERROR(IF(F2024&gt;=0,D2024*E2024*(1+F2024/100),ABS(D2024*E2024/F2024)),"")</f>
        <v/>
      </c>
      <c r="H2024" s="43" t="str">
        <f>IFERROR(G2024*E2017,"")</f>
        <v/>
      </c>
    </row>
    <row r="2025" spans="1:11">
      <c r="A2025" s="21"/>
      <c r="B2025" s="22" t="s">
        <v>3731</v>
      </c>
      <c r="C2025" s="23"/>
      <c r="D2025" s="24"/>
      <c r="E2025" s="25"/>
      <c r="F2025" s="26"/>
      <c r="G2025" s="27">
        <f>SUM(G2026:G2028)</f>
        <v>1068.5835750894998</v>
      </c>
      <c r="H2025" s="44">
        <f>G2025*E2017</f>
        <v>0</v>
      </c>
    </row>
    <row r="2026" spans="1:11">
      <c r="A2026" s="28"/>
      <c r="B2026" s="29" t="s">
        <v>3589</v>
      </c>
      <c r="C2026" s="30" t="str">
        <f>IFERROR(_xlfn.XLOOKUP(B2026,Equipo[DESCRIPCION],Equipo[UND],,0),"")</f>
        <v>Hr</v>
      </c>
      <c r="D2026" s="31">
        <v>1</v>
      </c>
      <c r="E2026" s="32">
        <f>IF(C2026="%MO",G2032,IFERROR(_xlfn.XLOOKUP($B2026,Equipo[DESCRIPCION],Equipo[VALOR],,0),""))</f>
        <v>170493.75</v>
      </c>
      <c r="F2026" s="33">
        <v>-300</v>
      </c>
      <c r="G2026" s="34">
        <f>IFERROR(IF(F2026&gt;=0,D2026*E2026*(1+F2026/100),ABS(D2026*E2026/F2026)),"")</f>
        <v>568.3125</v>
      </c>
      <c r="H2026" s="43">
        <f>IFERROR(G2026*E2017,"")</f>
        <v>0</v>
      </c>
    </row>
    <row r="2027" spans="1:11">
      <c r="A2027" s="28"/>
      <c r="B2027" s="29" t="s">
        <v>3597</v>
      </c>
      <c r="C2027" s="30" t="str">
        <f>IFERROR(_xlfn.XLOOKUP(B2027,Equipo[DESCRIPCION],Equipo[UND],,0),"")</f>
        <v>Hr</v>
      </c>
      <c r="D2027" s="31">
        <v>1</v>
      </c>
      <c r="E2027" s="32">
        <f>IF(C2027="%MO",G2032,IFERROR(_xlfn.XLOOKUP($B2027,Equipo[DESCRIPCION],Equipo[VALOR],,0),""))</f>
        <v>140649.60000000001</v>
      </c>
      <c r="F2027" s="33">
        <v>-300</v>
      </c>
      <c r="G2027" s="34">
        <f>IFERROR(IF(F2027&gt;=0,D2027*E2027*(1+F2027/100),ABS(D2027*E2027/F2027)),"")</f>
        <v>468.83199999999999</v>
      </c>
      <c r="H2027" s="43">
        <f>IFERROR(G2027*E2017,"")</f>
        <v>0</v>
      </c>
    </row>
    <row r="2028" spans="1:11">
      <c r="A2028" s="28"/>
      <c r="B2028" s="29" t="s">
        <v>3626</v>
      </c>
      <c r="C2028" s="30" t="str">
        <f>IFERROR(_xlfn.XLOOKUP(B2028,Equipo[DESCRIPCION],Equipo[UND],,0),"")</f>
        <v>%MO</v>
      </c>
      <c r="D2028" s="31">
        <v>0.05</v>
      </c>
      <c r="E2028" s="32">
        <f>IF(C2028="%MO",G2032,IFERROR(_xlfn.XLOOKUP($B2028,Equipo[DESCRIPCION],Equipo[VALOR],,0),""))</f>
        <v>628.78150179000011</v>
      </c>
      <c r="F2028" s="33"/>
      <c r="G2028" s="34">
        <f>IFERROR(IF(F2028&gt;=0,D2028*E2028*(1+F2028/100),ABS(D2028*E2028/F2028)),"")</f>
        <v>31.439075089500008</v>
      </c>
      <c r="H2028" s="43">
        <f>IFERROR(G2028*E2017,"")</f>
        <v>0</v>
      </c>
    </row>
    <row r="2029" spans="1:11">
      <c r="A2029" s="21"/>
      <c r="B2029" s="22" t="s">
        <v>2533</v>
      </c>
      <c r="C2029" s="23"/>
      <c r="D2029" s="24"/>
      <c r="E2029" s="25"/>
      <c r="F2029" s="26"/>
      <c r="G2029" s="27">
        <f>SUM(G2030:G2031)</f>
        <v>0</v>
      </c>
      <c r="H2029" s="44">
        <f>G2029*E2017</f>
        <v>0</v>
      </c>
    </row>
    <row r="2030" spans="1:11">
      <c r="A2030" s="28"/>
      <c r="B2030" s="29"/>
      <c r="C2030" s="30" t="str">
        <f>IFERROR(_xlfn.XLOOKUP(B2030,Transporte[DESCRIPCION],Transporte[UND],,0),"")</f>
        <v/>
      </c>
      <c r="D2030" s="31"/>
      <c r="E2030" s="32" t="str">
        <f>IFERROR(_xlfn.XLOOKUP($B2030,Transporte[DESCRIPCION],Transporte[VALOR],,0),"")</f>
        <v/>
      </c>
      <c r="F2030" s="33"/>
      <c r="G2030" s="34" t="str">
        <f>IFERROR(IF(F2030&gt;=0,D2030*E2030*(1+F2030/100),ABS(D2030*E2030/F2030)),"")</f>
        <v/>
      </c>
      <c r="H2030" s="43" t="str">
        <f>IFERROR(G2030*E2017,"")</f>
        <v/>
      </c>
    </row>
    <row r="2031" spans="1:11">
      <c r="A2031" s="28"/>
      <c r="B2031" s="29"/>
      <c r="C2031" s="30" t="str">
        <f>IFERROR(_xlfn.XLOOKUP(B2031,Transporte[DESCRIPCION],Transporte[UND],,0),"")</f>
        <v/>
      </c>
      <c r="D2031" s="31"/>
      <c r="E2031" s="32" t="str">
        <f>IFERROR(_xlfn.XLOOKUP($B2031,Transporte[DESCRIPCION],Transporte[VALOR],,0),"")</f>
        <v/>
      </c>
      <c r="F2031" s="33"/>
      <c r="G2031" s="34" t="str">
        <f>IFERROR(IF(F2031&gt;=0,D2031*E2031*(1+F2031/100),ABS(D2031*E2031/F2031)),"")</f>
        <v/>
      </c>
      <c r="H2031" s="43" t="str">
        <f>IFERROR(G2031*E2017,"")</f>
        <v/>
      </c>
    </row>
    <row r="2032" spans="1:11">
      <c r="A2032" s="21"/>
      <c r="B2032" s="22" t="s">
        <v>3732</v>
      </c>
      <c r="C2032" s="23"/>
      <c r="D2032" s="24"/>
      <c r="E2032" s="25"/>
      <c r="F2032" s="26"/>
      <c r="G2032" s="27">
        <f>SUM(G2033:G2035)</f>
        <v>628.78150179000011</v>
      </c>
      <c r="H2032" s="44">
        <f>G2032*E2017</f>
        <v>0</v>
      </c>
    </row>
    <row r="2033" spans="1:11">
      <c r="A2033" s="28"/>
      <c r="B2033" s="29" t="s">
        <v>3710</v>
      </c>
      <c r="C2033" s="30" t="str">
        <f>IFERROR(_xlfn.XLOOKUP(B2033,MObra[DESCRIPCION],MObra[UN],,0),"")</f>
        <v>día</v>
      </c>
      <c r="D2033" s="31">
        <v>1</v>
      </c>
      <c r="E2033" s="32">
        <f>IFERROR(_xlfn.XLOOKUP($B2033,MObra[DESCRIPCION],MObra[VALOR UNIT],,0),"")</f>
        <v>314390.75089500006</v>
      </c>
      <c r="F2033" s="33">
        <v>-500</v>
      </c>
      <c r="G2033" s="34">
        <f>IFERROR(IF(F2033&gt;=0,D2033*E2033*(1+F2033/100),ABS(D2033*E2033/F2033)),"")</f>
        <v>628.78150179000011</v>
      </c>
      <c r="H2033" s="43">
        <f>IFERROR(G2033*E2017,"")</f>
        <v>0</v>
      </c>
    </row>
    <row r="2034" spans="1:11">
      <c r="A2034" s="28"/>
      <c r="B2034" s="29"/>
      <c r="C2034" s="30" t="str">
        <f>IFERROR(_xlfn.XLOOKUP(B2034,MObra[DESCRIPCION],MObra[UN],,0),"")</f>
        <v/>
      </c>
      <c r="D2034" s="31"/>
      <c r="E2034" s="32" t="str">
        <f>IFERROR(_xlfn.XLOOKUP($B2034,MObra[DESCRIPCION],MObra[VALOR UNIT],,0),"")</f>
        <v/>
      </c>
      <c r="F2034" s="33"/>
      <c r="G2034" s="34" t="str">
        <f>IFERROR(IF(F2034&gt;=0,D2034*E2034*(1+F2034/100),ABS(D2034*E2034/F2034)),"")</f>
        <v/>
      </c>
      <c r="H2034" s="43" t="str">
        <f>IFERROR(G2034*E2017,"")</f>
        <v/>
      </c>
    </row>
    <row r="2035" spans="1:11" ht="13.15" thickBot="1">
      <c r="A2035" s="35"/>
      <c r="B2035" s="36"/>
      <c r="C2035" s="37" t="str">
        <f>IFERROR(_xlfn.XLOOKUP(B2035,MObra[DESCRIPCION],MObra[UN],,0),"")</f>
        <v/>
      </c>
      <c r="D2035" s="38"/>
      <c r="E2035" s="39" t="str">
        <f>IFERROR(_xlfn.XLOOKUP($B2035,MObra[DESCRIPCION],MObra[VALOR UNIT],,0),"")</f>
        <v/>
      </c>
      <c r="F2035" s="40"/>
      <c r="G2035" s="41" t="str">
        <f>IFERROR(IF(F2035&gt;=0,D2035*E2035*(1+F2035/100),ABS(D2035*E2035/F2035)),"")</f>
        <v/>
      </c>
      <c r="H2035" s="42" t="str">
        <f>IFERROR(G2035*E2017,"")</f>
        <v/>
      </c>
    </row>
    <row r="2036" spans="1:11" ht="13.5" thickTop="1" thickBot="1"/>
    <row r="2037" spans="1:11" ht="13.5" thickTop="1" thickBot="1">
      <c r="A2037" s="6" t="s">
        <v>1930</v>
      </c>
      <c r="B2037" s="7" t="str">
        <f>VLOOKUP($A2037,Presupuesto!$A:$D,2,FALSE())</f>
        <v>Riego de imprimación con emulsión asfáltica CRL-0</v>
      </c>
      <c r="C2037" s="8" t="str">
        <f>VLOOKUP($A2037,Presupuesto!$A:$D,3,FALSE())</f>
        <v>M2</v>
      </c>
      <c r="D2037" s="9"/>
      <c r="E2037" s="10">
        <f>VLOOKUP($A2037,Presupuesto!$A:$D,4,FALSE())</f>
        <v>0</v>
      </c>
      <c r="F2037" s="11" t="s">
        <v>2589</v>
      </c>
      <c r="G2037" s="12">
        <f>SUM(G2039:G2055)/2</f>
        <v>7741.0708582322504</v>
      </c>
      <c r="H2037" s="13">
        <f>ROUND(SUM(H2039:H2055),0)/2</f>
        <v>0</v>
      </c>
      <c r="I2037" s="10">
        <f>VLOOKUP(A2037,Presupuesto!$A:$F,6,0)</f>
        <v>0</v>
      </c>
      <c r="J2037" s="10">
        <f>+H2037-I2037</f>
        <v>0</v>
      </c>
      <c r="K2037" s="46">
        <f>+H2037-G2037*E2037</f>
        <v>0</v>
      </c>
    </row>
    <row r="2038" spans="1:11" ht="13.15" thickTop="1">
      <c r="A2038" s="14"/>
      <c r="B2038" s="15" t="s">
        <v>2586</v>
      </c>
      <c r="C2038" s="15" t="s">
        <v>5</v>
      </c>
      <c r="D2038" s="16" t="s">
        <v>6</v>
      </c>
      <c r="E2038" s="17" t="s">
        <v>7</v>
      </c>
      <c r="F2038" s="18" t="s">
        <v>3728</v>
      </c>
      <c r="G2038" s="19" t="s">
        <v>3729</v>
      </c>
      <c r="H2038" s="20" t="s">
        <v>3797</v>
      </c>
    </row>
    <row r="2039" spans="1:11">
      <c r="A2039" s="21"/>
      <c r="B2039" s="22" t="s">
        <v>3730</v>
      </c>
      <c r="C2039" s="23"/>
      <c r="D2039" s="24"/>
      <c r="E2039" s="25"/>
      <c r="F2039" s="26"/>
      <c r="G2039" s="27">
        <f>SUM(G2040:G2044)</f>
        <v>6251.5530000000008</v>
      </c>
      <c r="H2039" s="27">
        <f>IFERROR(G2039*E2037,"")</f>
        <v>0</v>
      </c>
    </row>
    <row r="2040" spans="1:11">
      <c r="A2040" s="28"/>
      <c r="B2040" s="29" t="s">
        <v>2937</v>
      </c>
      <c r="C2040" s="30" t="str">
        <f>IFERROR(_xlfn.XLOOKUP(B2040,Insumo[DESCRIPCION],Insumo[UND],,0),"")</f>
        <v>galón</v>
      </c>
      <c r="D2040" s="31">
        <v>0.22</v>
      </c>
      <c r="E2040" s="32">
        <f>IFERROR(_xlfn.XLOOKUP($B2040,Insumo[DESCRIPCION],Insumo[VALOR],,0),"")</f>
        <v>28416.15</v>
      </c>
      <c r="F2040" s="33"/>
      <c r="G2040" s="34">
        <f>IFERROR(IF(F2040&gt;=0,D2040*E2040*(1+F2040/100),ABS(D2040*E2040/F2040)),"")</f>
        <v>6251.5530000000008</v>
      </c>
      <c r="H2040" s="43">
        <f>IFERROR(G2040*E2037,"")</f>
        <v>0</v>
      </c>
    </row>
    <row r="2041" spans="1:11">
      <c r="A2041" s="28"/>
      <c r="B2041" s="29"/>
      <c r="C2041" s="30" t="str">
        <f>IFERROR(_xlfn.XLOOKUP(B2041,Insumo[DESCRIPCION],Insumo[UND],,0),"")</f>
        <v/>
      </c>
      <c r="D2041" s="31"/>
      <c r="E2041" s="32" t="str">
        <f>IFERROR(_xlfn.XLOOKUP($B2041,Insumo[DESCRIPCION],Insumo[VALOR],,0),"")</f>
        <v/>
      </c>
      <c r="F2041" s="33"/>
      <c r="G2041" s="34" t="str">
        <f>IFERROR(IF(F2041&gt;=0,D2041*E2041*(1+F2041/100),ABS(D2041*E2041/F2041)),"")</f>
        <v/>
      </c>
      <c r="H2041" s="43" t="str">
        <f>IFERROR(G2041*E2037,"")</f>
        <v/>
      </c>
    </row>
    <row r="2042" spans="1:11">
      <c r="A2042" s="28"/>
      <c r="B2042" s="29"/>
      <c r="C2042" s="30" t="str">
        <f>IFERROR(_xlfn.XLOOKUP(B2042,Insumo[DESCRIPCION],Insumo[UND],,0),"")</f>
        <v/>
      </c>
      <c r="D2042" s="31"/>
      <c r="E2042" s="32" t="str">
        <f>IFERROR(_xlfn.XLOOKUP($B2042,Insumo[DESCRIPCION],Insumo[VALOR],,0),"")</f>
        <v/>
      </c>
      <c r="F2042" s="33"/>
      <c r="G2042" s="34" t="str">
        <f>IFERROR(IF(F2042&gt;=0,D2042*E2042*(1+F2042/100),ABS(D2042*E2042/F2042)),"")</f>
        <v/>
      </c>
      <c r="H2042" s="43" t="str">
        <f>IFERROR(G2042*E2037,"")</f>
        <v/>
      </c>
    </row>
    <row r="2043" spans="1:11">
      <c r="A2043" s="28"/>
      <c r="B2043" s="29"/>
      <c r="C2043" s="30" t="str">
        <f>IFERROR(_xlfn.XLOOKUP(B2043,Insumo[DESCRIPCION],Insumo[UND],,0),"")</f>
        <v/>
      </c>
      <c r="D2043" s="31"/>
      <c r="E2043" s="32" t="str">
        <f>IFERROR(_xlfn.XLOOKUP($B2043,Insumo[DESCRIPCION],Insumo[VALOR],,0),"")</f>
        <v/>
      </c>
      <c r="F2043" s="33"/>
      <c r="G2043" s="34" t="str">
        <f>IFERROR(IF(F2043&gt;=0,D2043*E2043*(1+F2043/100),ABS(D2043*E2043/F2043)),"")</f>
        <v/>
      </c>
      <c r="H2043" s="43" t="str">
        <f>IFERROR(G2043*E2037,"")</f>
        <v/>
      </c>
    </row>
    <row r="2044" spans="1:11">
      <c r="A2044" s="28"/>
      <c r="B2044" s="29"/>
      <c r="C2044" s="30" t="str">
        <f>IFERROR(_xlfn.XLOOKUP(B2044,Insumo[DESCRIPCION],Insumo[UND],,0),"")</f>
        <v/>
      </c>
      <c r="D2044" s="31"/>
      <c r="E2044" s="32" t="str">
        <f>IFERROR(_xlfn.XLOOKUP($B2044,Insumo[DESCRIPCION],Insumo[VALOR],,0),"")</f>
        <v/>
      </c>
      <c r="F2044" s="33"/>
      <c r="G2044" s="34" t="str">
        <f>IFERROR(IF(F2044&gt;=0,D2044*E2044*(1+F2044/100),ABS(D2044*E2044/F2044)),"")</f>
        <v/>
      </c>
      <c r="H2044" s="43" t="str">
        <f>IFERROR(G2044*E2037,"")</f>
        <v/>
      </c>
    </row>
    <row r="2045" spans="1:11">
      <c r="A2045" s="21"/>
      <c r="B2045" s="22" t="s">
        <v>3731</v>
      </c>
      <c r="C2045" s="23"/>
      <c r="D2045" s="24"/>
      <c r="E2045" s="25"/>
      <c r="F2045" s="26"/>
      <c r="G2045" s="27">
        <f>SUM(G2046:G2048)</f>
        <v>1058.6860884872499</v>
      </c>
      <c r="H2045" s="44">
        <f>G2045*E2037</f>
        <v>0</v>
      </c>
    </row>
    <row r="2046" spans="1:11">
      <c r="A2046" s="28"/>
      <c r="B2046" s="29" t="s">
        <v>3589</v>
      </c>
      <c r="C2046" s="30" t="str">
        <f>IFERROR(_xlfn.XLOOKUP(B2046,Equipo[DESCRIPCION],Equipo[UND],,0),"")</f>
        <v>Hr</v>
      </c>
      <c r="D2046" s="31">
        <v>1</v>
      </c>
      <c r="E2046" s="32">
        <f>IF(C2046="%MO",G2052,IFERROR(_xlfn.XLOOKUP($B2046,Equipo[DESCRIPCION],Equipo[VALOR],,0),""))</f>
        <v>170493.75</v>
      </c>
      <c r="F2046" s="33">
        <v>-300</v>
      </c>
      <c r="G2046" s="34">
        <f>IFERROR(IF(F2046&gt;=0,D2046*E2046*(1+F2046/100),ABS(D2046*E2046/F2046)),"")</f>
        <v>568.3125</v>
      </c>
      <c r="H2046" s="43">
        <f>IFERROR(G2046*E2037,"")</f>
        <v>0</v>
      </c>
    </row>
    <row r="2047" spans="1:11">
      <c r="A2047" s="28"/>
      <c r="B2047" s="29" t="s">
        <v>3597</v>
      </c>
      <c r="C2047" s="30" t="str">
        <f>IFERROR(_xlfn.XLOOKUP(B2047,Equipo[DESCRIPCION],Equipo[UND],,0),"")</f>
        <v>Hr</v>
      </c>
      <c r="D2047" s="31">
        <v>1</v>
      </c>
      <c r="E2047" s="32">
        <f>IF(C2047="%MO",G2052,IFERROR(_xlfn.XLOOKUP($B2047,Equipo[DESCRIPCION],Equipo[VALOR],,0),""))</f>
        <v>140649.60000000001</v>
      </c>
      <c r="F2047" s="33">
        <v>-300</v>
      </c>
      <c r="G2047" s="34">
        <f>IFERROR(IF(F2047&gt;=0,D2047*E2047*(1+F2047/100),ABS(D2047*E2047/F2047)),"")</f>
        <v>468.83199999999999</v>
      </c>
      <c r="H2047" s="43">
        <f>IFERROR(G2047*E2037,"")</f>
        <v>0</v>
      </c>
    </row>
    <row r="2048" spans="1:11">
      <c r="A2048" s="28"/>
      <c r="B2048" s="29" t="s">
        <v>3626</v>
      </c>
      <c r="C2048" s="30" t="str">
        <f>IFERROR(_xlfn.XLOOKUP(B2048,Equipo[DESCRIPCION],Equipo[UND],,0),"")</f>
        <v>%MO</v>
      </c>
      <c r="D2048" s="31">
        <v>0.05</v>
      </c>
      <c r="E2048" s="32">
        <f>IF(C2048="%MO",G2052,IFERROR(_xlfn.XLOOKUP($B2048,Equipo[DESCRIPCION],Equipo[VALOR],,0),""))</f>
        <v>430.83176974500003</v>
      </c>
      <c r="F2048" s="33"/>
      <c r="G2048" s="34">
        <f>IFERROR(IF(F2048&gt;=0,D2048*E2048*(1+F2048/100),ABS(D2048*E2048/F2048)),"")</f>
        <v>21.541588487250003</v>
      </c>
      <c r="H2048" s="43">
        <f>IFERROR(G2048*E2037,"")</f>
        <v>0</v>
      </c>
    </row>
    <row r="2049" spans="1:11">
      <c r="A2049" s="21"/>
      <c r="B2049" s="22" t="s">
        <v>2533</v>
      </c>
      <c r="C2049" s="23"/>
      <c r="D2049" s="24"/>
      <c r="E2049" s="25"/>
      <c r="F2049" s="26"/>
      <c r="G2049" s="27">
        <f>SUM(G2050:G2051)</f>
        <v>0</v>
      </c>
      <c r="H2049" s="44">
        <f>G2049*E2037</f>
        <v>0</v>
      </c>
    </row>
    <row r="2050" spans="1:11">
      <c r="A2050" s="28"/>
      <c r="B2050" s="29"/>
      <c r="C2050" s="30" t="str">
        <f>IFERROR(_xlfn.XLOOKUP(B2050,Transporte[DESCRIPCION],Transporte[UND],,0),"")</f>
        <v/>
      </c>
      <c r="D2050" s="31"/>
      <c r="E2050" s="32" t="str">
        <f>IFERROR(_xlfn.XLOOKUP($B2050,Transporte[DESCRIPCION],Transporte[VALOR],,0),"")</f>
        <v/>
      </c>
      <c r="F2050" s="33"/>
      <c r="G2050" s="34" t="str">
        <f>IFERROR(IF(F2050&gt;=0,D2050*E2050*(1+F2050/100),ABS(D2050*E2050/F2050)),"")</f>
        <v/>
      </c>
      <c r="H2050" s="43" t="str">
        <f>IFERROR(G2050*E2037,"")</f>
        <v/>
      </c>
    </row>
    <row r="2051" spans="1:11">
      <c r="A2051" s="28"/>
      <c r="B2051" s="29"/>
      <c r="C2051" s="30" t="str">
        <f>IFERROR(_xlfn.XLOOKUP(B2051,Transporte[DESCRIPCION],Transporte[UND],,0),"")</f>
        <v/>
      </c>
      <c r="D2051" s="31"/>
      <c r="E2051" s="32" t="str">
        <f>IFERROR(_xlfn.XLOOKUP($B2051,Transporte[DESCRIPCION],Transporte[VALOR],,0),"")</f>
        <v/>
      </c>
      <c r="F2051" s="33"/>
      <c r="G2051" s="34" t="str">
        <f>IFERROR(IF(F2051&gt;=0,D2051*E2051*(1+F2051/100),ABS(D2051*E2051/F2051)),"")</f>
        <v/>
      </c>
      <c r="H2051" s="43" t="str">
        <f>IFERROR(G2051*E2037,"")</f>
        <v/>
      </c>
    </row>
    <row r="2052" spans="1:11">
      <c r="A2052" s="21"/>
      <c r="B2052" s="22" t="s">
        <v>3732</v>
      </c>
      <c r="C2052" s="23"/>
      <c r="D2052" s="24"/>
      <c r="E2052" s="25"/>
      <c r="F2052" s="26"/>
      <c r="G2052" s="27">
        <f>SUM(G2053:G2055)</f>
        <v>430.83176974500003</v>
      </c>
      <c r="H2052" s="44">
        <f>G2052*E2037</f>
        <v>0</v>
      </c>
    </row>
    <row r="2053" spans="1:11">
      <c r="A2053" s="28"/>
      <c r="B2053" s="29" t="s">
        <v>3711</v>
      </c>
      <c r="C2053" s="30" t="str">
        <f>IFERROR(_xlfn.XLOOKUP(B2053,MObra[DESCRIPCION],MObra[UN],,0),"")</f>
        <v>día</v>
      </c>
      <c r="D2053" s="31">
        <v>1</v>
      </c>
      <c r="E2053" s="32">
        <f>IFERROR(_xlfn.XLOOKUP($B2053,MObra[DESCRIPCION],MObra[VALOR UNIT],,0),"")</f>
        <v>430831.76974500006</v>
      </c>
      <c r="F2053" s="33">
        <v>-1000</v>
      </c>
      <c r="G2053" s="34">
        <f>IFERROR(IF(F2053&gt;=0,D2053*E2053*(1+F2053/100),ABS(D2053*E2053/F2053)),"")</f>
        <v>430.83176974500003</v>
      </c>
      <c r="H2053" s="43">
        <f>IFERROR(G2053*E2037,"")</f>
        <v>0</v>
      </c>
    </row>
    <row r="2054" spans="1:11">
      <c r="A2054" s="28"/>
      <c r="B2054" s="29"/>
      <c r="C2054" s="30" t="str">
        <f>IFERROR(_xlfn.XLOOKUP(B2054,MObra[DESCRIPCION],MObra[UN],,0),"")</f>
        <v/>
      </c>
      <c r="D2054" s="31"/>
      <c r="E2054" s="32" t="str">
        <f>IFERROR(_xlfn.XLOOKUP($B2054,MObra[DESCRIPCION],MObra[VALOR UNIT],,0),"")</f>
        <v/>
      </c>
      <c r="F2054" s="33"/>
      <c r="G2054" s="34" t="str">
        <f>IFERROR(IF(F2054&gt;=0,D2054*E2054*(1+F2054/100),ABS(D2054*E2054/F2054)),"")</f>
        <v/>
      </c>
      <c r="H2054" s="43" t="str">
        <f>IFERROR(G2054*E2037,"")</f>
        <v/>
      </c>
    </row>
    <row r="2055" spans="1:11" ht="13.15" thickBot="1">
      <c r="A2055" s="35"/>
      <c r="B2055" s="36"/>
      <c r="C2055" s="37" t="str">
        <f>IFERROR(_xlfn.XLOOKUP(B2055,MObra[DESCRIPCION],MObra[UN],,0),"")</f>
        <v/>
      </c>
      <c r="D2055" s="38"/>
      <c r="E2055" s="39" t="str">
        <f>IFERROR(_xlfn.XLOOKUP($B2055,MObra[DESCRIPCION],MObra[VALOR UNIT],,0),"")</f>
        <v/>
      </c>
      <c r="F2055" s="40"/>
      <c r="G2055" s="41" t="str">
        <f>IFERROR(IF(F2055&gt;=0,D2055*E2055*(1+F2055/100),ABS(D2055*E2055/F2055)),"")</f>
        <v/>
      </c>
      <c r="H2055" s="42" t="str">
        <f>IFERROR(G2055*E2037,"")</f>
        <v/>
      </c>
    </row>
    <row r="2056" spans="1:11" ht="13.5" thickTop="1" thickBot="1"/>
    <row r="2057" spans="1:11" ht="13.5" thickTop="1" thickBot="1">
      <c r="A2057" s="6" t="s">
        <v>1932</v>
      </c>
      <c r="B2057" s="7" t="str">
        <f>VLOOKUP($A2057,Presupuesto!$A:$D,2,FALSE())</f>
        <v>Imprimante superficie Bitum (impermeabilización)</v>
      </c>
      <c r="C2057" s="8" t="str">
        <f>VLOOKUP($A2057,Presupuesto!$A:$D,3,FALSE())</f>
        <v>M2</v>
      </c>
      <c r="D2057" s="9"/>
      <c r="E2057" s="10">
        <f>VLOOKUP($A2057,Presupuesto!$A:$D,4,FALSE())</f>
        <v>0</v>
      </c>
      <c r="F2057" s="11" t="s">
        <v>2589</v>
      </c>
      <c r="G2057" s="12">
        <f>SUM(G2059:G2075)/2</f>
        <v>58585.023075180005</v>
      </c>
      <c r="H2057" s="13">
        <f>ROUND(SUM(H2059:H2075),0)/2</f>
        <v>0</v>
      </c>
      <c r="I2057" s="10">
        <f>VLOOKUP(A2057,Presupuesto!$A:$F,6,0)</f>
        <v>0</v>
      </c>
      <c r="J2057" s="10">
        <f>+H2057-I2057</f>
        <v>0</v>
      </c>
      <c r="K2057" s="46">
        <f>+H2057-G2057*E2057</f>
        <v>0</v>
      </c>
    </row>
    <row r="2058" spans="1:11" ht="13.15" thickTop="1">
      <c r="A2058" s="14"/>
      <c r="B2058" s="15" t="s">
        <v>2586</v>
      </c>
      <c r="C2058" s="15" t="s">
        <v>5</v>
      </c>
      <c r="D2058" s="16" t="s">
        <v>6</v>
      </c>
      <c r="E2058" s="17" t="s">
        <v>7</v>
      </c>
      <c r="F2058" s="18" t="s">
        <v>3728</v>
      </c>
      <c r="G2058" s="19" t="s">
        <v>3729</v>
      </c>
      <c r="H2058" s="20" t="s">
        <v>3797</v>
      </c>
    </row>
    <row r="2059" spans="1:11">
      <c r="A2059" s="21"/>
      <c r="B2059" s="22" t="s">
        <v>3730</v>
      </c>
      <c r="C2059" s="23"/>
      <c r="D2059" s="24"/>
      <c r="E2059" s="25"/>
      <c r="F2059" s="26"/>
      <c r="G2059" s="27">
        <f>SUM(G2060:G2064)</f>
        <v>32176.2</v>
      </c>
      <c r="H2059" s="27">
        <f>IFERROR(G2059*E2057,"")</f>
        <v>0</v>
      </c>
    </row>
    <row r="2060" spans="1:11">
      <c r="A2060" s="28"/>
      <c r="B2060" s="29" t="s">
        <v>3000</v>
      </c>
      <c r="C2060" s="30" t="str">
        <f>IFERROR(_xlfn.XLOOKUP(B2060,Insumo[DESCRIPCION],Insumo[UND],,0),"")</f>
        <v>Kg</v>
      </c>
      <c r="D2060" s="31">
        <v>0.6</v>
      </c>
      <c r="E2060" s="32">
        <f>IFERROR(_xlfn.XLOOKUP($B2060,Insumo[DESCRIPCION],Insumo[VALOR],,0),"")</f>
        <v>42964.950000000004</v>
      </c>
      <c r="F2060" s="33"/>
      <c r="G2060" s="34">
        <f>IFERROR(IF(F2060&gt;=0,D2060*E2060*(1+F2060/100),ABS(D2060*E2060/F2060)),"")</f>
        <v>25778.97</v>
      </c>
      <c r="H2060" s="43">
        <f>IFERROR(G2060*E2057,"")</f>
        <v>0</v>
      </c>
    </row>
    <row r="2061" spans="1:11">
      <c r="A2061" s="28"/>
      <c r="B2061" s="29" t="s">
        <v>3001</v>
      </c>
      <c r="C2061" s="30" t="str">
        <f>IFERROR(_xlfn.XLOOKUP(B2061,Insumo[DESCRIPCION],Insumo[UND],,0),"")</f>
        <v>Kg</v>
      </c>
      <c r="D2061" s="31">
        <v>0.2</v>
      </c>
      <c r="E2061" s="32">
        <f>IFERROR(_xlfn.XLOOKUP($B2061,Insumo[DESCRIPCION],Insumo[VALOR],,0),"")</f>
        <v>31986.15</v>
      </c>
      <c r="F2061" s="33"/>
      <c r="G2061" s="34">
        <f>IFERROR(IF(F2061&gt;=0,D2061*E2061*(1+F2061/100),ABS(D2061*E2061/F2061)),"")</f>
        <v>6397.2300000000005</v>
      </c>
      <c r="H2061" s="43">
        <f>IFERROR(G2061*E2057,"")</f>
        <v>0</v>
      </c>
    </row>
    <row r="2062" spans="1:11">
      <c r="A2062" s="28"/>
      <c r="B2062" s="29"/>
      <c r="C2062" s="30" t="str">
        <f>IFERROR(_xlfn.XLOOKUP(B2062,Insumo[DESCRIPCION],Insumo[UND],,0),"")</f>
        <v/>
      </c>
      <c r="D2062" s="31"/>
      <c r="E2062" s="32" t="str">
        <f>IFERROR(_xlfn.XLOOKUP($B2062,Insumo[DESCRIPCION],Insumo[VALOR],,0),"")</f>
        <v/>
      </c>
      <c r="F2062" s="33"/>
      <c r="G2062" s="34" t="str">
        <f>IFERROR(IF(F2062&gt;=0,D2062*E2062*(1+F2062/100),ABS(D2062*E2062/F2062)),"")</f>
        <v/>
      </c>
      <c r="H2062" s="43" t="str">
        <f>IFERROR(G2062*E2057,"")</f>
        <v/>
      </c>
    </row>
    <row r="2063" spans="1:11">
      <c r="A2063" s="28"/>
      <c r="B2063" s="29"/>
      <c r="C2063" s="30" t="str">
        <f>IFERROR(_xlfn.XLOOKUP(B2063,Insumo[DESCRIPCION],Insumo[UND],,0),"")</f>
        <v/>
      </c>
      <c r="D2063" s="31"/>
      <c r="E2063" s="32" t="str">
        <f>IFERROR(_xlfn.XLOOKUP($B2063,Insumo[DESCRIPCION],Insumo[VALOR],,0),"")</f>
        <v/>
      </c>
      <c r="F2063" s="33"/>
      <c r="G2063" s="34" t="str">
        <f>IFERROR(IF(F2063&gt;=0,D2063*E2063*(1+F2063/100),ABS(D2063*E2063/F2063)),"")</f>
        <v/>
      </c>
      <c r="H2063" s="43" t="str">
        <f>IFERROR(G2063*E2057,"")</f>
        <v/>
      </c>
    </row>
    <row r="2064" spans="1:11">
      <c r="A2064" s="28"/>
      <c r="B2064" s="29"/>
      <c r="C2064" s="30" t="str">
        <f>IFERROR(_xlfn.XLOOKUP(B2064,Insumo[DESCRIPCION],Insumo[UND],,0),"")</f>
        <v/>
      </c>
      <c r="D2064" s="31"/>
      <c r="E2064" s="32" t="str">
        <f>IFERROR(_xlfn.XLOOKUP($B2064,Insumo[DESCRIPCION],Insumo[VALOR],,0),"")</f>
        <v/>
      </c>
      <c r="F2064" s="33"/>
      <c r="G2064" s="34" t="str">
        <f>IFERROR(IF(F2064&gt;=0,D2064*E2064*(1+F2064/100),ABS(D2064*E2064/F2064)),"")</f>
        <v/>
      </c>
      <c r="H2064" s="43" t="str">
        <f>IFERROR(G2064*E2057,"")</f>
        <v/>
      </c>
    </row>
    <row r="2065" spans="1:11">
      <c r="A2065" s="21"/>
      <c r="B2065" s="22" t="s">
        <v>3731</v>
      </c>
      <c r="C2065" s="23"/>
      <c r="D2065" s="24"/>
      <c r="E2065" s="25"/>
      <c r="F2065" s="26"/>
      <c r="G2065" s="27">
        <f>SUM(G2066:G2068)</f>
        <v>1257.5630035800004</v>
      </c>
      <c r="H2065" s="44">
        <f>G2065*E2057</f>
        <v>0</v>
      </c>
    </row>
    <row r="2066" spans="1:11">
      <c r="A2066" s="28"/>
      <c r="B2066" s="29" t="s">
        <v>3626</v>
      </c>
      <c r="C2066" s="30" t="str">
        <f>IFERROR(_xlfn.XLOOKUP(B2066,Equipo[DESCRIPCION],Equipo[UND],,0),"")</f>
        <v>%MO</v>
      </c>
      <c r="D2066" s="31">
        <v>0.05</v>
      </c>
      <c r="E2066" s="32">
        <f>IF(C2066="%MO",G2072,IFERROR(_xlfn.XLOOKUP($B2066,Equipo[DESCRIPCION],Equipo[VALOR],,0),""))</f>
        <v>25151.260071600005</v>
      </c>
      <c r="F2066" s="33"/>
      <c r="G2066" s="34">
        <f>IFERROR(IF(F2066&gt;=0,D2066*E2066*(1+F2066/100),ABS(D2066*E2066/F2066)),"")</f>
        <v>1257.5630035800004</v>
      </c>
      <c r="H2066" s="43">
        <f>IFERROR(G2066*E2057,"")</f>
        <v>0</v>
      </c>
    </row>
    <row r="2067" spans="1:11">
      <c r="A2067" s="28"/>
      <c r="B2067" s="29"/>
      <c r="C2067" s="30" t="str">
        <f>IFERROR(_xlfn.XLOOKUP(B2067,Equipo[DESCRIPCION],Equipo[UND],,0),"")</f>
        <v/>
      </c>
      <c r="D2067" s="31"/>
      <c r="E2067" s="32" t="str">
        <f>IF(C2067="%MO",G2072,IFERROR(_xlfn.XLOOKUP($B2067,Equipo[DESCRIPCION],Equipo[VALOR],,0),""))</f>
        <v/>
      </c>
      <c r="F2067" s="33"/>
      <c r="G2067" s="34" t="str">
        <f>IFERROR(IF(F2067&gt;=0,D2067*E2067*(1+F2067/100),ABS(D2067*E2067/F2067)),"")</f>
        <v/>
      </c>
      <c r="H2067" s="43" t="str">
        <f>IFERROR(G2067*E2057,"")</f>
        <v/>
      </c>
    </row>
    <row r="2068" spans="1:11">
      <c r="A2068" s="28"/>
      <c r="B2068" s="29"/>
      <c r="C2068" s="30" t="str">
        <f>IFERROR(_xlfn.XLOOKUP(B2068,Equipo[DESCRIPCION],Equipo[UND],,0),"")</f>
        <v/>
      </c>
      <c r="D2068" s="31"/>
      <c r="E2068" s="32" t="str">
        <f>IF(C2068="%MO",G2072,IFERROR(_xlfn.XLOOKUP($B2068,Equipo[DESCRIPCION],Equipo[VALOR],,0),""))</f>
        <v/>
      </c>
      <c r="F2068" s="33"/>
      <c r="G2068" s="34" t="str">
        <f>IFERROR(IF(F2068&gt;=0,D2068*E2068*(1+F2068/100),ABS(D2068*E2068/F2068)),"")</f>
        <v/>
      </c>
      <c r="H2068" s="43" t="str">
        <f>IFERROR(G2068*E2057,"")</f>
        <v/>
      </c>
    </row>
    <row r="2069" spans="1:11">
      <c r="A2069" s="21"/>
      <c r="B2069" s="22" t="s">
        <v>2533</v>
      </c>
      <c r="C2069" s="23"/>
      <c r="D2069" s="24"/>
      <c r="E2069" s="25"/>
      <c r="F2069" s="26"/>
      <c r="G2069" s="27">
        <f>SUM(G2070:G2071)</f>
        <v>0</v>
      </c>
      <c r="H2069" s="44">
        <f>G2069*E2057</f>
        <v>0</v>
      </c>
    </row>
    <row r="2070" spans="1:11">
      <c r="A2070" s="28"/>
      <c r="B2070" s="29"/>
      <c r="C2070" s="30" t="str">
        <f>IFERROR(_xlfn.XLOOKUP(B2070,Transporte[DESCRIPCION],Transporte[UND],,0),"")</f>
        <v/>
      </c>
      <c r="D2070" s="31"/>
      <c r="E2070" s="32" t="str">
        <f>IFERROR(_xlfn.XLOOKUP($B2070,Transporte[DESCRIPCION],Transporte[VALOR],,0),"")</f>
        <v/>
      </c>
      <c r="F2070" s="33"/>
      <c r="G2070" s="34" t="str">
        <f>IFERROR(IF(F2070&gt;=0,D2070*E2070*(1+F2070/100),ABS(D2070*E2070/F2070)),"")</f>
        <v/>
      </c>
      <c r="H2070" s="43" t="str">
        <f>IFERROR(G2070*E2057,"")</f>
        <v/>
      </c>
    </row>
    <row r="2071" spans="1:11">
      <c r="A2071" s="28"/>
      <c r="B2071" s="29"/>
      <c r="C2071" s="30" t="str">
        <f>IFERROR(_xlfn.XLOOKUP(B2071,Transporte[DESCRIPCION],Transporte[UND],,0),"")</f>
        <v/>
      </c>
      <c r="D2071" s="31"/>
      <c r="E2071" s="32" t="str">
        <f>IFERROR(_xlfn.XLOOKUP($B2071,Transporte[DESCRIPCION],Transporte[VALOR],,0),"")</f>
        <v/>
      </c>
      <c r="F2071" s="33"/>
      <c r="G2071" s="34" t="str">
        <f>IFERROR(IF(F2071&gt;=0,D2071*E2071*(1+F2071/100),ABS(D2071*E2071/F2071)),"")</f>
        <v/>
      </c>
      <c r="H2071" s="43" t="str">
        <f>IFERROR(G2071*E2057,"")</f>
        <v/>
      </c>
    </row>
    <row r="2072" spans="1:11">
      <c r="A2072" s="21"/>
      <c r="B2072" s="22" t="s">
        <v>3732</v>
      </c>
      <c r="C2072" s="23"/>
      <c r="D2072" s="24"/>
      <c r="E2072" s="25"/>
      <c r="F2072" s="26"/>
      <c r="G2072" s="27">
        <f>SUM(G2073:G2075)</f>
        <v>25151.260071600005</v>
      </c>
      <c r="H2072" s="44">
        <f>G2072*E2057</f>
        <v>0</v>
      </c>
    </row>
    <row r="2073" spans="1:11">
      <c r="A2073" s="28"/>
      <c r="B2073" s="29" t="s">
        <v>3710</v>
      </c>
      <c r="C2073" s="30" t="str">
        <f>IFERROR(_xlfn.XLOOKUP(B2073,MObra[DESCRIPCION],MObra[UN],,0),"")</f>
        <v>día</v>
      </c>
      <c r="D2073" s="31">
        <v>1</v>
      </c>
      <c r="E2073" s="32">
        <f>IFERROR(_xlfn.XLOOKUP($B2073,MObra[DESCRIPCION],MObra[VALOR UNIT],,0),"")</f>
        <v>314390.75089500006</v>
      </c>
      <c r="F2073" s="33">
        <v>-12.5</v>
      </c>
      <c r="G2073" s="34">
        <f>IFERROR(IF(F2073&gt;=0,D2073*E2073*(1+F2073/100),ABS(D2073*E2073/F2073)),"")</f>
        <v>25151.260071600005</v>
      </c>
      <c r="H2073" s="43">
        <f>IFERROR(G2073*E2057,"")</f>
        <v>0</v>
      </c>
    </row>
    <row r="2074" spans="1:11">
      <c r="A2074" s="28"/>
      <c r="B2074" s="29"/>
      <c r="C2074" s="30" t="str">
        <f>IFERROR(_xlfn.XLOOKUP(B2074,MObra[DESCRIPCION],MObra[UN],,0),"")</f>
        <v/>
      </c>
      <c r="D2074" s="31"/>
      <c r="E2074" s="32" t="str">
        <f>IFERROR(_xlfn.XLOOKUP($B2074,MObra[DESCRIPCION],MObra[VALOR UNIT],,0),"")</f>
        <v/>
      </c>
      <c r="F2074" s="33"/>
      <c r="G2074" s="34" t="str">
        <f>IFERROR(IF(F2074&gt;=0,D2074*E2074*(1+F2074/100),ABS(D2074*E2074/F2074)),"")</f>
        <v/>
      </c>
      <c r="H2074" s="43" t="str">
        <f>IFERROR(G2074*E2057,"")</f>
        <v/>
      </c>
    </row>
    <row r="2075" spans="1:11" ht="13.15" thickBot="1">
      <c r="A2075" s="35"/>
      <c r="B2075" s="36"/>
      <c r="C2075" s="37" t="str">
        <f>IFERROR(_xlfn.XLOOKUP(B2075,MObra[DESCRIPCION],MObra[UN],,0),"")</f>
        <v/>
      </c>
      <c r="D2075" s="38"/>
      <c r="E2075" s="39" t="str">
        <f>IFERROR(_xlfn.XLOOKUP($B2075,MObra[DESCRIPCION],MObra[VALOR UNIT],,0),"")</f>
        <v/>
      </c>
      <c r="F2075" s="40"/>
      <c r="G2075" s="41" t="str">
        <f>IFERROR(IF(F2075&gt;=0,D2075*E2075*(1+F2075/100),ABS(D2075*E2075/F2075)),"")</f>
        <v/>
      </c>
      <c r="H2075" s="42" t="str">
        <f>IFERROR(G2075*E2057,"")</f>
        <v/>
      </c>
    </row>
    <row r="2076" spans="1:11" ht="13.5" thickTop="1" thickBot="1"/>
    <row r="2077" spans="1:11" ht="26.25" thickTop="1" thickBot="1">
      <c r="A2077" s="6" t="s">
        <v>1934</v>
      </c>
      <c r="B2077" s="7" t="str">
        <f>VLOOKUP($A2077,Presupuesto!$A:$D,2,FALSE())</f>
        <v>Lavado, secado y sellado de juntas de pavimentos en concreto hidráulico (incluye hidro lavadora, SikaRoad y sellante)</v>
      </c>
      <c r="C2077" s="8" t="str">
        <f>VLOOKUP($A2077,Presupuesto!$A:$D,3,FALSE())</f>
        <v>M</v>
      </c>
      <c r="D2077" s="9"/>
      <c r="E2077" s="10">
        <f>VLOOKUP($A2077,Presupuesto!$A:$D,4,FALSE())</f>
        <v>0</v>
      </c>
      <c r="F2077" s="11" t="s">
        <v>2589</v>
      </c>
      <c r="G2077" s="12">
        <f>SUM(G2079:G2095)/2</f>
        <v>25702.588838587508</v>
      </c>
      <c r="H2077" s="13">
        <f>ROUND(SUM(H2079:H2095),0)/2</f>
        <v>0</v>
      </c>
      <c r="I2077" s="10">
        <f>VLOOKUP(A2077,Presupuesto!$A:$F,6,0)</f>
        <v>0</v>
      </c>
      <c r="J2077" s="10">
        <f>+H2077-I2077</f>
        <v>0</v>
      </c>
      <c r="K2077" s="46">
        <f>+H2077-G2077*E2077</f>
        <v>0</v>
      </c>
    </row>
    <row r="2078" spans="1:11" ht="13.15" thickTop="1">
      <c r="A2078" s="14"/>
      <c r="B2078" s="15" t="s">
        <v>2586</v>
      </c>
      <c r="C2078" s="15" t="s">
        <v>5</v>
      </c>
      <c r="D2078" s="16" t="s">
        <v>6</v>
      </c>
      <c r="E2078" s="17" t="s">
        <v>7</v>
      </c>
      <c r="F2078" s="18" t="s">
        <v>3728</v>
      </c>
      <c r="G2078" s="19" t="s">
        <v>3729</v>
      </c>
      <c r="H2078" s="20" t="s">
        <v>3797</v>
      </c>
    </row>
    <row r="2079" spans="1:11">
      <c r="A2079" s="21"/>
      <c r="B2079" s="22" t="s">
        <v>3730</v>
      </c>
      <c r="C2079" s="23"/>
      <c r="D2079" s="24"/>
      <c r="E2079" s="25"/>
      <c r="F2079" s="26"/>
      <c r="G2079" s="27">
        <f>SUM(G2080:G2084)</f>
        <v>13480.320000000002</v>
      </c>
      <c r="H2079" s="27">
        <f>IFERROR(G2079*E2077,"")</f>
        <v>0</v>
      </c>
    </row>
    <row r="2080" spans="1:11">
      <c r="A2080" s="28"/>
      <c r="B2080" s="29" t="s">
        <v>3314</v>
      </c>
      <c r="C2080" s="30" t="str">
        <f>IFERROR(_xlfn.XLOOKUP(B2080,Insumo[DESCRIPCION],Insumo[UND],,0),"")</f>
        <v>M</v>
      </c>
      <c r="D2080" s="31">
        <v>1</v>
      </c>
      <c r="E2080" s="32">
        <f>IFERROR(_xlfn.XLOOKUP($B2080,Insumo[DESCRIPCION],Insumo[VALOR],,0),"")</f>
        <v>2136.75</v>
      </c>
      <c r="F2080" s="33"/>
      <c r="G2080" s="34">
        <f>IFERROR(IF(F2080&gt;=0,D2080*E2080*(1+F2080/100),ABS(D2080*E2080/F2080)),"")</f>
        <v>2136.75</v>
      </c>
      <c r="H2080" s="43">
        <f>IFERROR(G2080*E2077,"")</f>
        <v>0</v>
      </c>
    </row>
    <row r="2081" spans="1:8">
      <c r="A2081" s="28"/>
      <c r="B2081" s="29" t="s">
        <v>3309</v>
      </c>
      <c r="C2081" s="30" t="str">
        <f>IFERROR(_xlfn.XLOOKUP(B2081,Insumo[DESCRIPCION],Insumo[UND],,0),"")</f>
        <v>Un</v>
      </c>
      <c r="D2081" s="31">
        <v>0.2</v>
      </c>
      <c r="E2081" s="32">
        <f>IFERROR(_xlfn.XLOOKUP($B2081,Insumo[DESCRIPCION],Insumo[VALOR],,0),"")</f>
        <v>56717.850000000006</v>
      </c>
      <c r="F2081" s="33"/>
      <c r="G2081" s="34">
        <f>IFERROR(IF(F2081&gt;=0,D2081*E2081*(1+F2081/100),ABS(D2081*E2081/F2081)),"")</f>
        <v>11343.570000000002</v>
      </c>
      <c r="H2081" s="43">
        <f>IFERROR(G2081*E2077,"")</f>
        <v>0</v>
      </c>
    </row>
    <row r="2082" spans="1:8">
      <c r="A2082" s="28"/>
      <c r="B2082" s="29"/>
      <c r="C2082" s="30" t="str">
        <f>IFERROR(_xlfn.XLOOKUP(B2082,Insumo[DESCRIPCION],Insumo[UND],,0),"")</f>
        <v/>
      </c>
      <c r="D2082" s="31"/>
      <c r="E2082" s="32" t="str">
        <f>IFERROR(_xlfn.XLOOKUP($B2082,Insumo[DESCRIPCION],Insumo[VALOR],,0),"")</f>
        <v/>
      </c>
      <c r="F2082" s="33"/>
      <c r="G2082" s="34" t="str">
        <f>IFERROR(IF(F2082&gt;=0,D2082*E2082*(1+F2082/100),ABS(D2082*E2082/F2082)),"")</f>
        <v/>
      </c>
      <c r="H2082" s="43" t="str">
        <f>IFERROR(G2082*E2077,"")</f>
        <v/>
      </c>
    </row>
    <row r="2083" spans="1:8">
      <c r="A2083" s="28"/>
      <c r="B2083" s="29"/>
      <c r="C2083" s="30" t="str">
        <f>IFERROR(_xlfn.XLOOKUP(B2083,Insumo[DESCRIPCION],Insumo[UND],,0),"")</f>
        <v/>
      </c>
      <c r="D2083" s="31"/>
      <c r="E2083" s="32" t="str">
        <f>IFERROR(_xlfn.XLOOKUP($B2083,Insumo[DESCRIPCION],Insumo[VALOR],,0),"")</f>
        <v/>
      </c>
      <c r="F2083" s="33"/>
      <c r="G2083" s="34" t="str">
        <f>IFERROR(IF(F2083&gt;=0,D2083*E2083*(1+F2083/100),ABS(D2083*E2083/F2083)),"")</f>
        <v/>
      </c>
      <c r="H2083" s="43" t="str">
        <f>IFERROR(G2083*E2077,"")</f>
        <v/>
      </c>
    </row>
    <row r="2084" spans="1:8">
      <c r="A2084" s="28"/>
      <c r="B2084" s="29"/>
      <c r="C2084" s="30" t="str">
        <f>IFERROR(_xlfn.XLOOKUP(B2084,Insumo[DESCRIPCION],Insumo[UND],,0),"")</f>
        <v/>
      </c>
      <c r="D2084" s="31"/>
      <c r="E2084" s="32" t="str">
        <f>IFERROR(_xlfn.XLOOKUP($B2084,Insumo[DESCRIPCION],Insumo[VALOR],,0),"")</f>
        <v/>
      </c>
      <c r="F2084" s="33"/>
      <c r="G2084" s="34" t="str">
        <f>IFERROR(IF(F2084&gt;=0,D2084*E2084*(1+F2084/100),ABS(D2084*E2084/F2084)),"")</f>
        <v/>
      </c>
      <c r="H2084" s="43" t="str">
        <f>IFERROR(G2084*E2077,"")</f>
        <v/>
      </c>
    </row>
    <row r="2085" spans="1:8">
      <c r="A2085" s="21"/>
      <c r="B2085" s="22" t="s">
        <v>3731</v>
      </c>
      <c r="C2085" s="23"/>
      <c r="D2085" s="24"/>
      <c r="E2085" s="25"/>
      <c r="F2085" s="26"/>
      <c r="G2085" s="27">
        <f>SUM(G2086:G2088)</f>
        <v>5818.0128018374999</v>
      </c>
      <c r="H2085" s="44">
        <f>G2085*E2077</f>
        <v>0</v>
      </c>
    </row>
    <row r="2086" spans="1:8">
      <c r="A2086" s="28"/>
      <c r="B2086" s="29" t="s">
        <v>3627</v>
      </c>
      <c r="C2086" s="30" t="str">
        <f>IFERROR(_xlfn.XLOOKUP(B2086,Equipo[DESCRIPCION],Equipo[UND],,0),"")</f>
        <v>Día</v>
      </c>
      <c r="D2086" s="31">
        <v>0.05</v>
      </c>
      <c r="E2086" s="32">
        <f>IF(C2086="%MO",G2092,IFERROR(_xlfn.XLOOKUP($B2086,Equipo[DESCRIPCION],Equipo[VALOR],,0),""))</f>
        <v>109956</v>
      </c>
      <c r="F2086" s="33"/>
      <c r="G2086" s="34">
        <f>IFERROR(IF(F2086&gt;=0,D2086*E2086*(1+F2086/100),ABS(D2086*E2086/F2086)),"")</f>
        <v>5497.8</v>
      </c>
      <c r="H2086" s="43">
        <f>IFERROR(G2086*E2077,"")</f>
        <v>0</v>
      </c>
    </row>
    <row r="2087" spans="1:8">
      <c r="A2087" s="28"/>
      <c r="B2087" s="29" t="s">
        <v>3626</v>
      </c>
      <c r="C2087" s="30" t="str">
        <f>IFERROR(_xlfn.XLOOKUP(B2087,Equipo[DESCRIPCION],Equipo[UND],,0),"")</f>
        <v>%MO</v>
      </c>
      <c r="D2087" s="31">
        <v>0.05</v>
      </c>
      <c r="E2087" s="32">
        <f>IF(C2087="%MO",G2092,IFERROR(_xlfn.XLOOKUP($B2087,Equipo[DESCRIPCION],Equipo[VALOR],,0),""))</f>
        <v>6404.2560367500018</v>
      </c>
      <c r="F2087" s="33"/>
      <c r="G2087" s="34">
        <f>IFERROR(IF(F2087&gt;=0,D2087*E2087*(1+F2087/100),ABS(D2087*E2087/F2087)),"")</f>
        <v>320.21280183750014</v>
      </c>
      <c r="H2087" s="43">
        <f>IFERROR(G2087*E2077,"")</f>
        <v>0</v>
      </c>
    </row>
    <row r="2088" spans="1:8">
      <c r="A2088" s="28"/>
      <c r="B2088" s="29"/>
      <c r="C2088" s="30" t="str">
        <f>IFERROR(_xlfn.XLOOKUP(B2088,Equipo[DESCRIPCION],Equipo[UND],,0),"")</f>
        <v/>
      </c>
      <c r="D2088" s="31"/>
      <c r="E2088" s="32" t="str">
        <f>IF(C2088="%MO",G2092,IFERROR(_xlfn.XLOOKUP($B2088,Equipo[DESCRIPCION],Equipo[VALOR],,0),""))</f>
        <v/>
      </c>
      <c r="F2088" s="33"/>
      <c r="G2088" s="34" t="str">
        <f>IFERROR(IF(F2088&gt;=0,D2088*E2088*(1+F2088/100),ABS(D2088*E2088/F2088)),"")</f>
        <v/>
      </c>
      <c r="H2088" s="43" t="str">
        <f>IFERROR(G2088*E2077,"")</f>
        <v/>
      </c>
    </row>
    <row r="2089" spans="1:8">
      <c r="A2089" s="21"/>
      <c r="B2089" s="22" t="s">
        <v>2533</v>
      </c>
      <c r="C2089" s="23"/>
      <c r="D2089" s="24"/>
      <c r="E2089" s="25"/>
      <c r="F2089" s="26"/>
      <c r="G2089" s="27">
        <f>SUM(G2090:G2091)</f>
        <v>0</v>
      </c>
      <c r="H2089" s="44">
        <f>G2089*E2077</f>
        <v>0</v>
      </c>
    </row>
    <row r="2090" spans="1:8">
      <c r="A2090" s="28"/>
      <c r="B2090" s="29"/>
      <c r="C2090" s="30" t="str">
        <f>IFERROR(_xlfn.XLOOKUP(B2090,Transporte[DESCRIPCION],Transporte[UND],,0),"")</f>
        <v/>
      </c>
      <c r="D2090" s="31"/>
      <c r="E2090" s="32" t="str">
        <f>IFERROR(_xlfn.XLOOKUP($B2090,Transporte[DESCRIPCION],Transporte[VALOR],,0),"")</f>
        <v/>
      </c>
      <c r="F2090" s="33"/>
      <c r="G2090" s="34" t="str">
        <f>IFERROR(IF(F2090&gt;=0,D2090*E2090*(1+F2090/100),ABS(D2090*E2090/F2090)),"")</f>
        <v/>
      </c>
      <c r="H2090" s="43" t="str">
        <f>IFERROR(G2090*E2077,"")</f>
        <v/>
      </c>
    </row>
    <row r="2091" spans="1:8">
      <c r="A2091" s="28"/>
      <c r="B2091" s="29"/>
      <c r="C2091" s="30" t="str">
        <f>IFERROR(_xlfn.XLOOKUP(B2091,Transporte[DESCRIPCION],Transporte[UND],,0),"")</f>
        <v/>
      </c>
      <c r="D2091" s="31"/>
      <c r="E2091" s="32" t="str">
        <f>IFERROR(_xlfn.XLOOKUP($B2091,Transporte[DESCRIPCION],Transporte[VALOR],,0),"")</f>
        <v/>
      </c>
      <c r="F2091" s="33"/>
      <c r="G2091" s="34" t="str">
        <f>IFERROR(IF(F2091&gt;=0,D2091*E2091*(1+F2091/100),ABS(D2091*E2091/F2091)),"")</f>
        <v/>
      </c>
      <c r="H2091" s="43" t="str">
        <f>IFERROR(G2091*E2077,"")</f>
        <v/>
      </c>
    </row>
    <row r="2092" spans="1:8">
      <c r="A2092" s="21"/>
      <c r="B2092" s="22" t="s">
        <v>3732</v>
      </c>
      <c r="C2092" s="23"/>
      <c r="D2092" s="24"/>
      <c r="E2092" s="25"/>
      <c r="F2092" s="26"/>
      <c r="G2092" s="27">
        <f>SUM(G2093:G2095)</f>
        <v>6404.2560367500018</v>
      </c>
      <c r="H2092" s="44">
        <f>G2092*E2077</f>
        <v>0</v>
      </c>
    </row>
    <row r="2093" spans="1:8">
      <c r="A2093" s="28"/>
      <c r="B2093" s="29" t="s">
        <v>3700</v>
      </c>
      <c r="C2093" s="30" t="str">
        <f>IFERROR(_xlfn.XLOOKUP(B2093,MObra[DESCRIPCION],MObra[UN],,0),"")</f>
        <v>día</v>
      </c>
      <c r="D2093" s="31">
        <v>1</v>
      </c>
      <c r="E2093" s="32">
        <f>IFERROR(_xlfn.XLOOKUP($B2093,MObra[DESCRIPCION],MObra[VALOR UNIT],,0),"")</f>
        <v>128085.12073500003</v>
      </c>
      <c r="F2093" s="33">
        <v>-20</v>
      </c>
      <c r="G2093" s="34">
        <f>IFERROR(IF(F2093&gt;=0,D2093*E2093*(1+F2093/100),ABS(D2093*E2093/F2093)),"")</f>
        <v>6404.2560367500018</v>
      </c>
      <c r="H2093" s="43">
        <f>IFERROR(G2093*E2077,"")</f>
        <v>0</v>
      </c>
    </row>
    <row r="2094" spans="1:8">
      <c r="A2094" s="28"/>
      <c r="B2094" s="29"/>
      <c r="C2094" s="30" t="str">
        <f>IFERROR(_xlfn.XLOOKUP(B2094,MObra[DESCRIPCION],MObra[UN],,0),"")</f>
        <v/>
      </c>
      <c r="D2094" s="31"/>
      <c r="E2094" s="32" t="str">
        <f>IFERROR(_xlfn.XLOOKUP($B2094,MObra[DESCRIPCION],MObra[VALOR UNIT],,0),"")</f>
        <v/>
      </c>
      <c r="F2094" s="33"/>
      <c r="G2094" s="34" t="str">
        <f>IFERROR(IF(F2094&gt;=0,D2094*E2094*(1+F2094/100),ABS(D2094*E2094/F2094)),"")</f>
        <v/>
      </c>
      <c r="H2094" s="43" t="str">
        <f>IFERROR(G2094*E2077,"")</f>
        <v/>
      </c>
    </row>
    <row r="2095" spans="1:8" ht="13.15" thickBot="1">
      <c r="A2095" s="35"/>
      <c r="B2095" s="36"/>
      <c r="C2095" s="37" t="str">
        <f>IFERROR(_xlfn.XLOOKUP(B2095,MObra[DESCRIPCION],MObra[UN],,0),"")</f>
        <v/>
      </c>
      <c r="D2095" s="38"/>
      <c r="E2095" s="39" t="str">
        <f>IFERROR(_xlfn.XLOOKUP($B2095,MObra[DESCRIPCION],MObra[VALOR UNIT],,0),"")</f>
        <v/>
      </c>
      <c r="F2095" s="40"/>
      <c r="G2095" s="41" t="str">
        <f>IFERROR(IF(F2095&gt;=0,D2095*E2095*(1+F2095/100),ABS(D2095*E2095/F2095)),"")</f>
        <v/>
      </c>
      <c r="H2095" s="42" t="str">
        <f>IFERROR(G2095*E2077,"")</f>
        <v/>
      </c>
    </row>
    <row r="2096" spans="1:8" ht="13.5" thickTop="1" thickBot="1"/>
    <row r="2097" spans="1:11" ht="13.5" thickTop="1" thickBot="1">
      <c r="A2097" s="6" t="s">
        <v>1936</v>
      </c>
      <c r="B2097" s="7" t="str">
        <f>VLOOKUP($A2097,Presupuesto!$A:$D,2,FALSE())</f>
        <v>Parcheo pavimento concreto asfaltico caliente</v>
      </c>
      <c r="C2097" s="8" t="str">
        <f>VLOOKUP($A2097,Presupuesto!$A:$D,3,FALSE())</f>
        <v>M2</v>
      </c>
      <c r="D2097" s="9"/>
      <c r="E2097" s="10">
        <f>VLOOKUP($A2097,Presupuesto!$A:$D,4,FALSE())</f>
        <v>0</v>
      </c>
      <c r="F2097" s="11" t="s">
        <v>2589</v>
      </c>
      <c r="G2097" s="12">
        <f>SUM(G2099:G2115)/2</f>
        <v>1323418.65547965</v>
      </c>
      <c r="H2097" s="13">
        <f>ROUND(SUM(H2099:H2115),0)/2</f>
        <v>0</v>
      </c>
      <c r="I2097" s="10">
        <f>VLOOKUP(A2097,Presupuesto!$A:$F,6,0)</f>
        <v>0</v>
      </c>
      <c r="J2097" s="10">
        <f>+H2097-I2097</f>
        <v>0</v>
      </c>
      <c r="K2097" s="46">
        <f>+H2097-G2097*E2097</f>
        <v>0</v>
      </c>
    </row>
    <row r="2098" spans="1:11" ht="13.15" thickTop="1">
      <c r="A2098" s="14"/>
      <c r="B2098" s="15" t="s">
        <v>2586</v>
      </c>
      <c r="C2098" s="15" t="s">
        <v>5</v>
      </c>
      <c r="D2098" s="16" t="s">
        <v>6</v>
      </c>
      <c r="E2098" s="17" t="s">
        <v>7</v>
      </c>
      <c r="F2098" s="18" t="s">
        <v>3728</v>
      </c>
      <c r="G2098" s="19" t="s">
        <v>3729</v>
      </c>
      <c r="H2098" s="20" t="s">
        <v>3797</v>
      </c>
    </row>
    <row r="2099" spans="1:11">
      <c r="A2099" s="21"/>
      <c r="B2099" s="22" t="s">
        <v>3730</v>
      </c>
      <c r="C2099" s="23"/>
      <c r="D2099" s="24"/>
      <c r="E2099" s="25"/>
      <c r="F2099" s="26"/>
      <c r="G2099" s="27">
        <f>SUM(G2100:G2104)</f>
        <v>1109500.875</v>
      </c>
      <c r="H2099" s="27">
        <f>IFERROR(G2099*E2097,"")</f>
        <v>0</v>
      </c>
    </row>
    <row r="2100" spans="1:11">
      <c r="A2100" s="28"/>
      <c r="B2100" s="29" t="s">
        <v>2865</v>
      </c>
      <c r="C2100" s="30" t="str">
        <f>IFERROR(_xlfn.XLOOKUP(B2100,Insumo[DESCRIPCION],Insumo[UND],,0),"")</f>
        <v>M3</v>
      </c>
      <c r="D2100" s="31">
        <v>1</v>
      </c>
      <c r="E2100" s="32">
        <f>IFERROR(_xlfn.XLOOKUP($B2100,Insumo[DESCRIPCION],Insumo[VALOR],,0),"")</f>
        <v>887054.70000000007</v>
      </c>
      <c r="F2100" s="33">
        <v>25</v>
      </c>
      <c r="G2100" s="34">
        <f>IFERROR(IF(F2100&gt;=0,D2100*E2100*(1+F2100/100),ABS(D2100*E2100/F2100)),"")</f>
        <v>1108818.375</v>
      </c>
      <c r="H2100" s="43">
        <f>IFERROR(G2100*E2097,"")</f>
        <v>0</v>
      </c>
    </row>
    <row r="2101" spans="1:11">
      <c r="A2101" s="28"/>
      <c r="B2101" s="29" t="s">
        <v>2685</v>
      </c>
      <c r="C2101" s="30" t="str">
        <f>IFERROR(_xlfn.XLOOKUP(B2101,Insumo[DESCRIPCION],Insumo[UND],,0),"")</f>
        <v>Lt</v>
      </c>
      <c r="D2101" s="31">
        <v>25</v>
      </c>
      <c r="E2101" s="32">
        <f>IFERROR(_xlfn.XLOOKUP($B2101,Insumo[DESCRIPCION],Insumo[VALOR],,0),"")</f>
        <v>27.3</v>
      </c>
      <c r="F2101" s="33"/>
      <c r="G2101" s="34">
        <f>IFERROR(IF(F2101&gt;=0,D2101*E2101*(1+F2101/100),ABS(D2101*E2101/F2101)),"")</f>
        <v>682.5</v>
      </c>
      <c r="H2101" s="43">
        <f>IFERROR(G2101*E2097,"")</f>
        <v>0</v>
      </c>
    </row>
    <row r="2102" spans="1:11">
      <c r="A2102" s="28"/>
      <c r="B2102" s="29"/>
      <c r="C2102" s="30" t="str">
        <f>IFERROR(_xlfn.XLOOKUP(B2102,Insumo[DESCRIPCION],Insumo[UND],,0),"")</f>
        <v/>
      </c>
      <c r="D2102" s="31"/>
      <c r="E2102" s="32" t="str">
        <f>IFERROR(_xlfn.XLOOKUP($B2102,Insumo[DESCRIPCION],Insumo[VALOR],,0),"")</f>
        <v/>
      </c>
      <c r="F2102" s="33"/>
      <c r="G2102" s="34" t="str">
        <f>IFERROR(IF(F2102&gt;=0,D2102*E2102*(1+F2102/100),ABS(D2102*E2102/F2102)),"")</f>
        <v/>
      </c>
      <c r="H2102" s="43" t="str">
        <f>IFERROR(G2102*E2097,"")</f>
        <v/>
      </c>
    </row>
    <row r="2103" spans="1:11">
      <c r="A2103" s="28"/>
      <c r="B2103" s="29"/>
      <c r="C2103" s="30"/>
      <c r="D2103" s="31"/>
      <c r="E2103" s="32" t="str">
        <f>IFERROR(_xlfn.XLOOKUP($B2103,Insumo[DESCRIPCION],Insumo[VALOR],,0),"")</f>
        <v/>
      </c>
      <c r="F2103" s="33"/>
      <c r="G2103" s="34" t="str">
        <f>IFERROR(IF(F2103&gt;=0,D2103*E2103*(1+F2103/100),ABS(D2103*E2103/F2103)),"")</f>
        <v/>
      </c>
      <c r="H2103" s="43" t="str">
        <f>IFERROR(G2103*E2097,"")</f>
        <v/>
      </c>
    </row>
    <row r="2104" spans="1:11">
      <c r="A2104" s="28"/>
      <c r="B2104" s="29"/>
      <c r="C2104" s="30" t="str">
        <f>IFERROR(_xlfn.XLOOKUP(B2104,Insumo[DESCRIPCION],Insumo[UND],,0),"")</f>
        <v/>
      </c>
      <c r="D2104" s="31"/>
      <c r="E2104" s="32" t="str">
        <f>IFERROR(_xlfn.XLOOKUP($B2104,Insumo[DESCRIPCION],Insumo[VALOR],,0),"")</f>
        <v/>
      </c>
      <c r="F2104" s="33"/>
      <c r="G2104" s="34" t="str">
        <f>IFERROR(IF(F2104&gt;=0,D2104*E2104*(1+F2104/100),ABS(D2104*E2104/F2104)),"")</f>
        <v/>
      </c>
      <c r="H2104" s="43" t="str">
        <f>IFERROR(G2104*E2097,"")</f>
        <v/>
      </c>
    </row>
    <row r="2105" spans="1:11">
      <c r="A2105" s="21"/>
      <c r="B2105" s="22" t="s">
        <v>3731</v>
      </c>
      <c r="C2105" s="23"/>
      <c r="D2105" s="24"/>
      <c r="E2105" s="25"/>
      <c r="F2105" s="26"/>
      <c r="G2105" s="27">
        <f>SUM(G2106:G2108)</f>
        <v>46668.739546649995</v>
      </c>
      <c r="H2105" s="44">
        <f>G2105*E2097</f>
        <v>0</v>
      </c>
    </row>
    <row r="2106" spans="1:11">
      <c r="A2106" s="28"/>
      <c r="B2106" s="29" t="s">
        <v>3592</v>
      </c>
      <c r="C2106" s="30" t="str">
        <f>IFERROR(_xlfn.XLOOKUP(B2106,Equipo[DESCRIPCION],Equipo[UND],,0),"")</f>
        <v>Hr</v>
      </c>
      <c r="D2106" s="31">
        <v>1</v>
      </c>
      <c r="E2106" s="32">
        <f>IF(C2106="%MO",G2112,IFERROR(_xlfn.XLOOKUP($B2106,Equipo[DESCRIPCION],Equipo[VALOR],,0),""))</f>
        <v>115500</v>
      </c>
      <c r="F2106" s="33">
        <v>-7</v>
      </c>
      <c r="G2106" s="34">
        <f>IFERROR(IF(F2106&gt;=0,D2106*E2106*(1+F2106/100),ABS(D2106*E2106/F2106)),"")</f>
        <v>16500</v>
      </c>
      <c r="H2106" s="43">
        <f>IFERROR(G2106*E2097,"")</f>
        <v>0</v>
      </c>
    </row>
    <row r="2107" spans="1:11">
      <c r="A2107" s="28"/>
      <c r="B2107" s="29" t="s">
        <v>3593</v>
      </c>
      <c r="C2107" s="30" t="str">
        <f>IFERROR(_xlfn.XLOOKUP(B2107,Equipo[DESCRIPCION],Equipo[UND],,0),"")</f>
        <v>Hr</v>
      </c>
      <c r="D2107" s="31">
        <v>1</v>
      </c>
      <c r="E2107" s="32">
        <f>IF(C2107="%MO",G2113,IFERROR(_xlfn.XLOOKUP($B2107,Equipo[DESCRIPCION],Equipo[VALOR],,0),""))</f>
        <v>187543.65</v>
      </c>
      <c r="F2107" s="33">
        <v>-7</v>
      </c>
      <c r="G2107" s="34">
        <f>IFERROR(IF(F2107&gt;=0,D2107*E2107*(1+F2107/100),ABS(D2107*E2107/F2107)),"")</f>
        <v>26791.95</v>
      </c>
      <c r="H2107" s="43">
        <f>IFERROR(G2107*E2097,"")</f>
        <v>0</v>
      </c>
    </row>
    <row r="2108" spans="1:11">
      <c r="A2108" s="28"/>
      <c r="B2108" s="29" t="s">
        <v>3626</v>
      </c>
      <c r="C2108" s="30" t="str">
        <f>IFERROR(_xlfn.XLOOKUP(B2108,Equipo[DESCRIPCION],Equipo[UND],,0),"")</f>
        <v>%MO</v>
      </c>
      <c r="D2108" s="31">
        <v>0.05</v>
      </c>
      <c r="E2108" s="32">
        <f>IF(C2108="%MO",G2112,IFERROR(_xlfn.XLOOKUP($B2108,Equipo[DESCRIPCION],Equipo[VALOR],,0),""))</f>
        <v>67535.790933000011</v>
      </c>
      <c r="F2108" s="33"/>
      <c r="G2108" s="34">
        <f>IFERROR(IF(F2108&gt;=0,D2108*E2108*(1+F2108/100),ABS(D2108*E2108/F2108)),"")</f>
        <v>3376.7895466500008</v>
      </c>
      <c r="H2108" s="43">
        <f>IFERROR(G2108*E2097,"")</f>
        <v>0</v>
      </c>
    </row>
    <row r="2109" spans="1:11">
      <c r="A2109" s="21"/>
      <c r="B2109" s="22" t="s">
        <v>2533</v>
      </c>
      <c r="C2109" s="23"/>
      <c r="D2109" s="24"/>
      <c r="E2109" s="25"/>
      <c r="F2109" s="26"/>
      <c r="G2109" s="27">
        <f>SUM(G2110:G2111)</f>
        <v>99713.25</v>
      </c>
      <c r="H2109" s="44">
        <f>G2109*E2097</f>
        <v>0</v>
      </c>
    </row>
    <row r="2110" spans="1:11">
      <c r="A2110" s="28"/>
      <c r="B2110" s="29" t="s">
        <v>3664</v>
      </c>
      <c r="C2110" s="30" t="str">
        <f>IFERROR(_xlfn.XLOOKUP(B2110,Transporte[DESCRIPCION],Transporte[UND],,0),"")</f>
        <v>M3-km</v>
      </c>
      <c r="D2110" s="31">
        <f>52*1.25</f>
        <v>65</v>
      </c>
      <c r="E2110" s="32">
        <f>IFERROR(_xlfn.XLOOKUP($B2110,Transporte[DESCRIPCION],Transporte[VALOR],,0),"")</f>
        <v>1534.05</v>
      </c>
      <c r="F2110" s="33"/>
      <c r="G2110" s="34">
        <f>IFERROR(IF(F2110&gt;=0,D2110*E2110*(1+F2110/100),ABS(D2110*E2110/F2110)),"")</f>
        <v>99713.25</v>
      </c>
      <c r="H2110" s="43">
        <f>IFERROR(G2110*E2097,"")</f>
        <v>0</v>
      </c>
    </row>
    <row r="2111" spans="1:11">
      <c r="A2111" s="28"/>
      <c r="B2111" s="29"/>
      <c r="C2111" s="30" t="str">
        <f>IFERROR(_xlfn.XLOOKUP(B2111,Transporte[DESCRIPCION],Transporte[UND],,0),"")</f>
        <v/>
      </c>
      <c r="D2111" s="31"/>
      <c r="E2111" s="32" t="str">
        <f>IFERROR(_xlfn.XLOOKUP($B2111,Transporte[DESCRIPCION],Transporte[VALOR],,0),"")</f>
        <v/>
      </c>
      <c r="F2111" s="33"/>
      <c r="G2111" s="34" t="str">
        <f>IFERROR(IF(F2111&gt;=0,D2111*E2111*(1+F2111/100),ABS(D2111*E2111/F2111)),"")</f>
        <v/>
      </c>
      <c r="H2111" s="43" t="str">
        <f>IFERROR(G2111*E2097,"")</f>
        <v/>
      </c>
    </row>
    <row r="2112" spans="1:11">
      <c r="A2112" s="21"/>
      <c r="B2112" s="22" t="s">
        <v>3732</v>
      </c>
      <c r="C2112" s="23"/>
      <c r="D2112" s="24"/>
      <c r="E2112" s="25"/>
      <c r="F2112" s="26"/>
      <c r="G2112" s="27">
        <f>SUM(G2113:G2115)</f>
        <v>67535.790933000011</v>
      </c>
      <c r="H2112" s="44">
        <f>G2112*E2097</f>
        <v>0</v>
      </c>
    </row>
    <row r="2113" spans="1:11">
      <c r="A2113" s="28"/>
      <c r="B2113" s="29" t="s">
        <v>3714</v>
      </c>
      <c r="C2113" s="30" t="str">
        <f>IFERROR(_xlfn.XLOOKUP(B2113,MObra[DESCRIPCION],MObra[UN],,0),"")</f>
        <v>día</v>
      </c>
      <c r="D2113" s="31">
        <v>1</v>
      </c>
      <c r="E2113" s="32">
        <f>IFERROR(_xlfn.XLOOKUP($B2113,MObra[DESCRIPCION],MObra[VALOR UNIT],,0),"")</f>
        <v>1013036.8639950003</v>
      </c>
      <c r="F2113" s="33">
        <v>-15</v>
      </c>
      <c r="G2113" s="34">
        <f>IFERROR(IF(F2113&gt;=0,D2113*E2113*(1+F2113/100),ABS(D2113*E2113/F2113)),"")</f>
        <v>67535.790933000011</v>
      </c>
      <c r="H2113" s="43">
        <f>IFERROR(G2113*E2097,"")</f>
        <v>0</v>
      </c>
    </row>
    <row r="2114" spans="1:11">
      <c r="A2114" s="28"/>
      <c r="B2114" s="29"/>
      <c r="C2114" s="30" t="str">
        <f>IFERROR(_xlfn.XLOOKUP(B2114,MObra[DESCRIPCION],MObra[UN],,0),"")</f>
        <v/>
      </c>
      <c r="D2114" s="31"/>
      <c r="E2114" s="32" t="str">
        <f>IFERROR(_xlfn.XLOOKUP($B2114,MObra[DESCRIPCION],MObra[VALOR UNIT],,0),"")</f>
        <v/>
      </c>
      <c r="F2114" s="33"/>
      <c r="G2114" s="34" t="str">
        <f>IFERROR(IF(F2114&gt;=0,D2114*E2114*(1+F2114/100),ABS(D2114*E2114/F2114)),"")</f>
        <v/>
      </c>
      <c r="H2114" s="43" t="str">
        <f>IFERROR(G2114*E2097,"")</f>
        <v/>
      </c>
    </row>
    <row r="2115" spans="1:11" ht="13.15" thickBot="1">
      <c r="A2115" s="35"/>
      <c r="B2115" s="36"/>
      <c r="C2115" s="37" t="str">
        <f>IFERROR(_xlfn.XLOOKUP(B2115,MObra[DESCRIPCION],MObra[UN],,0),"")</f>
        <v/>
      </c>
      <c r="D2115" s="38"/>
      <c r="E2115" s="39" t="str">
        <f>IFERROR(_xlfn.XLOOKUP($B2115,MObra[DESCRIPCION],MObra[VALOR UNIT],,0),"")</f>
        <v/>
      </c>
      <c r="F2115" s="40"/>
      <c r="G2115" s="41" t="str">
        <f>IFERROR(IF(F2115&gt;=0,D2115*E2115*(1+F2115/100),ABS(D2115*E2115/F2115)),"")</f>
        <v/>
      </c>
      <c r="H2115" s="42" t="str">
        <f>IFERROR(G2115*E2097,"")</f>
        <v/>
      </c>
    </row>
    <row r="2116" spans="1:11" ht="13.5" thickTop="1" thickBot="1"/>
    <row r="2117" spans="1:11" ht="13.5" thickTop="1" thickBot="1">
      <c r="A2117" s="6" t="s">
        <v>1938</v>
      </c>
      <c r="B2117" s="7" t="str">
        <f>VLOOKUP($A2117,Presupuesto!$A:$D,2,FALSE())</f>
        <v>Pavimento adoquín peatonal E=0.06 m</v>
      </c>
      <c r="C2117" s="8" t="str">
        <f>VLOOKUP($A2117,Presupuesto!$A:$D,3,FALSE())</f>
        <v>M2</v>
      </c>
      <c r="D2117" s="9"/>
      <c r="E2117" s="10">
        <f>VLOOKUP($A2117,Presupuesto!$A:$D,4,FALSE())</f>
        <v>0</v>
      </c>
      <c r="F2117" s="11" t="s">
        <v>2589</v>
      </c>
      <c r="G2117" s="12">
        <f>SUM(G2119:G2135)/2</f>
        <v>110479.41298725002</v>
      </c>
      <c r="H2117" s="13">
        <f>ROUND(SUM(H2119:H2135),0)/2</f>
        <v>0</v>
      </c>
      <c r="I2117" s="10">
        <f>VLOOKUP(A2117,Presupuesto!$A:$F,6,0)</f>
        <v>0</v>
      </c>
      <c r="J2117" s="10">
        <f>+H2117-I2117</f>
        <v>0</v>
      </c>
      <c r="K2117" s="46">
        <f>+H2117-G2117*E2117</f>
        <v>0</v>
      </c>
    </row>
    <row r="2118" spans="1:11" ht="13.15" thickTop="1">
      <c r="A2118" s="14"/>
      <c r="B2118" s="15" t="s">
        <v>2586</v>
      </c>
      <c r="C2118" s="15" t="s">
        <v>5</v>
      </c>
      <c r="D2118" s="16" t="s">
        <v>6</v>
      </c>
      <c r="E2118" s="17" t="s">
        <v>7</v>
      </c>
      <c r="F2118" s="18" t="s">
        <v>3728</v>
      </c>
      <c r="G2118" s="19" t="s">
        <v>3729</v>
      </c>
      <c r="H2118" s="20" t="s">
        <v>3797</v>
      </c>
    </row>
    <row r="2119" spans="1:11">
      <c r="A2119" s="21"/>
      <c r="B2119" s="22" t="s">
        <v>3730</v>
      </c>
      <c r="C2119" s="23"/>
      <c r="D2119" s="24"/>
      <c r="E2119" s="25"/>
      <c r="F2119" s="26"/>
      <c r="G2119" s="27">
        <f>SUM(G2120:G2124)</f>
        <v>76903.564500000008</v>
      </c>
      <c r="H2119" s="27">
        <f>IFERROR(G2119*E2117,"")</f>
        <v>0</v>
      </c>
    </row>
    <row r="2120" spans="1:11">
      <c r="A2120" s="28"/>
      <c r="B2120" s="29" t="s">
        <v>2713</v>
      </c>
      <c r="C2120" s="30" t="str">
        <f>IFERROR(_xlfn.XLOOKUP(B2120,Insumo[DESCRIPCION],Insumo[UND],,0),"")</f>
        <v>M3</v>
      </c>
      <c r="D2120" s="31">
        <v>0.06</v>
      </c>
      <c r="E2120" s="32">
        <f>IFERROR(_xlfn.XLOOKUP($B2120,Insumo[DESCRIPCION],Insumo[VALOR],,0),"")</f>
        <v>81268.95</v>
      </c>
      <c r="F2120" s="33"/>
      <c r="G2120" s="34">
        <f>IFERROR(IF(F2120&gt;=0,D2120*E2120*(1+F2120/100),ABS(D2120*E2120/F2120)),"")</f>
        <v>4876.1369999999997</v>
      </c>
      <c r="H2120" s="43">
        <f>IFERROR(G2120*E2117,"")</f>
        <v>0</v>
      </c>
    </row>
    <row r="2121" spans="1:11">
      <c r="A2121" s="28"/>
      <c r="B2121" s="29" t="s">
        <v>2679</v>
      </c>
      <c r="C2121" s="30" t="str">
        <f>IFERROR(_xlfn.XLOOKUP(B2121,Insumo[DESCRIPCION],Insumo[UND],,0),"")</f>
        <v>Un</v>
      </c>
      <c r="D2121" s="31">
        <v>51</v>
      </c>
      <c r="E2121" s="32">
        <f>IFERROR(_xlfn.XLOOKUP($B2121,Insumo[DESCRIPCION],Insumo[VALOR],,0),"")</f>
        <v>1345.05</v>
      </c>
      <c r="F2121" s="33">
        <v>5</v>
      </c>
      <c r="G2121" s="34">
        <f>IFERROR(IF(F2121&gt;=0,D2121*E2121*(1+F2121/100),ABS(D2121*E2121/F2121)),"")</f>
        <v>72027.427500000005</v>
      </c>
      <c r="H2121" s="43">
        <f>IFERROR(G2121*E2117,"")</f>
        <v>0</v>
      </c>
    </row>
    <row r="2122" spans="1:11">
      <c r="A2122" s="28"/>
      <c r="B2122" s="29"/>
      <c r="C2122" s="30" t="str">
        <f>IFERROR(_xlfn.XLOOKUP(B2122,Insumo[DESCRIPCION],Insumo[UND],,0),"")</f>
        <v/>
      </c>
      <c r="D2122" s="31"/>
      <c r="E2122" s="32" t="str">
        <f>IFERROR(_xlfn.XLOOKUP($B2122,Insumo[DESCRIPCION],Insumo[VALOR],,0),"")</f>
        <v/>
      </c>
      <c r="F2122" s="33"/>
      <c r="G2122" s="34" t="str">
        <f>IFERROR(IF(F2122&gt;=0,D2122*E2122*(1+F2122/100),ABS(D2122*E2122/F2122)),"")</f>
        <v/>
      </c>
      <c r="H2122" s="43" t="str">
        <f>IFERROR(G2122*E2117,"")</f>
        <v/>
      </c>
    </row>
    <row r="2123" spans="1:11">
      <c r="A2123" s="28"/>
      <c r="B2123" s="29"/>
      <c r="C2123" s="30" t="str">
        <f>IFERROR(_xlfn.XLOOKUP(B2123,Insumo[DESCRIPCION],Insumo[UND],,0),"")</f>
        <v/>
      </c>
      <c r="D2123" s="31"/>
      <c r="E2123" s="32" t="str">
        <f>IFERROR(_xlfn.XLOOKUP($B2123,Insumo[DESCRIPCION],Insumo[VALOR],,0),"")</f>
        <v/>
      </c>
      <c r="F2123" s="33"/>
      <c r="G2123" s="34" t="str">
        <f>IFERROR(IF(F2123&gt;=0,D2123*E2123*(1+F2123/100),ABS(D2123*E2123/F2123)),"")</f>
        <v/>
      </c>
      <c r="H2123" s="43" t="str">
        <f>IFERROR(G2123*E2117,"")</f>
        <v/>
      </c>
    </row>
    <row r="2124" spans="1:11">
      <c r="A2124" s="28"/>
      <c r="B2124" s="29"/>
      <c r="C2124" s="30" t="str">
        <f>IFERROR(_xlfn.XLOOKUP(B2124,Insumo[DESCRIPCION],Insumo[UND],,0),"")</f>
        <v/>
      </c>
      <c r="D2124" s="31"/>
      <c r="E2124" s="32" t="str">
        <f>IFERROR(_xlfn.XLOOKUP($B2124,Insumo[DESCRIPCION],Insumo[VALOR],,0),"")</f>
        <v/>
      </c>
      <c r="F2124" s="33"/>
      <c r="G2124" s="34" t="str">
        <f>IFERROR(IF(F2124&gt;=0,D2124*E2124*(1+F2124/100),ABS(D2124*E2124/F2124)),"")</f>
        <v/>
      </c>
      <c r="H2124" s="43" t="str">
        <f>IFERROR(G2124*E2117,"")</f>
        <v/>
      </c>
    </row>
    <row r="2125" spans="1:11">
      <c r="A2125" s="21"/>
      <c r="B2125" s="22" t="s">
        <v>3731</v>
      </c>
      <c r="C2125" s="23"/>
      <c r="D2125" s="24"/>
      <c r="E2125" s="25"/>
      <c r="F2125" s="26"/>
      <c r="G2125" s="27">
        <f>SUM(G2126:G2128)</f>
        <v>4123.3500000000004</v>
      </c>
      <c r="H2125" s="44">
        <f>G2125*E2117</f>
        <v>0</v>
      </c>
    </row>
    <row r="2126" spans="1:11">
      <c r="A2126" s="28"/>
      <c r="B2126" s="29" t="s">
        <v>3658</v>
      </c>
      <c r="C2126" s="30" t="str">
        <f>IFERROR(_xlfn.XLOOKUP(B2126,Equipo[DESCRIPCION],Equipo[UND],,0),"")</f>
        <v>Día</v>
      </c>
      <c r="D2126" s="31">
        <v>1</v>
      </c>
      <c r="E2126" s="32">
        <f>IF(C2126="%MO",G2132,IFERROR(_xlfn.XLOOKUP($B2126,Equipo[DESCRIPCION],Equipo[VALOR],,0),""))</f>
        <v>82467</v>
      </c>
      <c r="F2126" s="33">
        <v>-20</v>
      </c>
      <c r="G2126" s="34">
        <f>IFERROR(IF(F2126&gt;=0,D2126*E2126*(1+F2126/100),ABS(D2126*E2126/F2126)),"")</f>
        <v>4123.3500000000004</v>
      </c>
      <c r="H2126" s="43">
        <f>IFERROR(G2126*E2117,"")</f>
        <v>0</v>
      </c>
    </row>
    <row r="2127" spans="1:11">
      <c r="A2127" s="28"/>
      <c r="B2127" s="29"/>
      <c r="C2127" s="30" t="str">
        <f>IFERROR(_xlfn.XLOOKUP(B2127,Equipo[DESCRIPCION],Equipo[UND],,0),"")</f>
        <v/>
      </c>
      <c r="D2127" s="31"/>
      <c r="E2127" s="32" t="str">
        <f>IF(C2127="%MO",G2132,IFERROR(_xlfn.XLOOKUP($B2127,Equipo[DESCRIPCION],Equipo[VALOR],,0),""))</f>
        <v/>
      </c>
      <c r="F2127" s="33"/>
      <c r="G2127" s="34" t="str">
        <f>IFERROR(IF(F2127&gt;=0,D2127*E2127*(1+F2127/100),ABS(D2127*E2127/F2127)),"")</f>
        <v/>
      </c>
      <c r="H2127" s="43" t="str">
        <f>IFERROR(G2127*E2117,"")</f>
        <v/>
      </c>
    </row>
    <row r="2128" spans="1:11">
      <c r="A2128" s="28"/>
      <c r="B2128" s="29"/>
      <c r="C2128" s="30" t="str">
        <f>IFERROR(_xlfn.XLOOKUP(B2128,Equipo[DESCRIPCION],Equipo[UND],,0),"")</f>
        <v/>
      </c>
      <c r="D2128" s="31"/>
      <c r="E2128" s="32" t="str">
        <f>IF(C2128="%MO",G2132,IFERROR(_xlfn.XLOOKUP($B2128,Equipo[DESCRIPCION],Equipo[VALOR],,0),""))</f>
        <v/>
      </c>
      <c r="F2128" s="33"/>
      <c r="G2128" s="34" t="str">
        <f>IFERROR(IF(F2128&gt;=0,D2128*E2128*(1+F2128/100),ABS(D2128*E2128/F2128)),"")</f>
        <v/>
      </c>
      <c r="H2128" s="43" t="str">
        <f>IFERROR(G2128*E2117,"")</f>
        <v/>
      </c>
    </row>
    <row r="2129" spans="1:11">
      <c r="A2129" s="21"/>
      <c r="B2129" s="22" t="s">
        <v>2533</v>
      </c>
      <c r="C2129" s="23"/>
      <c r="D2129" s="24"/>
      <c r="E2129" s="25"/>
      <c r="F2129" s="26"/>
      <c r="G2129" s="27">
        <f>SUM(G2130:G2131)</f>
        <v>7910.9100000000008</v>
      </c>
      <c r="H2129" s="44">
        <f>G2129*E2117</f>
        <v>0</v>
      </c>
    </row>
    <row r="2130" spans="1:11">
      <c r="A2130" s="28"/>
      <c r="B2130" s="29" t="s">
        <v>3662</v>
      </c>
      <c r="C2130" s="30" t="str">
        <f>IFERROR(_xlfn.XLOOKUP(B2130,Transporte[DESCRIPCION],Transporte[UND],,0),"")</f>
        <v>Hr</v>
      </c>
      <c r="D2130" s="31">
        <v>1</v>
      </c>
      <c r="E2130" s="32">
        <f>IFERROR(_xlfn.XLOOKUP($B2130,Transporte[DESCRIPCION],Transporte[VALOR],,0),"")</f>
        <v>79109.100000000006</v>
      </c>
      <c r="F2130" s="33">
        <v>-10</v>
      </c>
      <c r="G2130" s="34">
        <f>IFERROR(IF(F2130&gt;=0,D2130*E2130*(1+F2130/100),ABS(D2130*E2130/F2130)),"")</f>
        <v>7910.9100000000008</v>
      </c>
      <c r="H2130" s="43">
        <f>IFERROR(G2130*E2117,"")</f>
        <v>0</v>
      </c>
    </row>
    <row r="2131" spans="1:11">
      <c r="A2131" s="28"/>
      <c r="B2131" s="29"/>
      <c r="C2131" s="30" t="str">
        <f>IFERROR(_xlfn.XLOOKUP(B2131,Transporte[DESCRIPCION],Transporte[UND],,0),"")</f>
        <v/>
      </c>
      <c r="D2131" s="31"/>
      <c r="E2131" s="32" t="str">
        <f>IFERROR(_xlfn.XLOOKUP($B2131,Transporte[DESCRIPCION],Transporte[VALOR],,0),"")</f>
        <v/>
      </c>
      <c r="F2131" s="33"/>
      <c r="G2131" s="34" t="str">
        <f>IFERROR(IF(F2131&gt;=0,D2131*E2131*(1+F2131/100),ABS(D2131*E2131/F2131)),"")</f>
        <v/>
      </c>
      <c r="H2131" s="43" t="str">
        <f>IFERROR(G2131*E2117,"")</f>
        <v/>
      </c>
    </row>
    <row r="2132" spans="1:11">
      <c r="A2132" s="21"/>
      <c r="B2132" s="22" t="s">
        <v>3732</v>
      </c>
      <c r="C2132" s="23"/>
      <c r="D2132" s="24"/>
      <c r="E2132" s="25"/>
      <c r="F2132" s="26"/>
      <c r="G2132" s="27">
        <f>SUM(G2133:G2135)</f>
        <v>21541.588487250003</v>
      </c>
      <c r="H2132" s="44">
        <f>G2132*E2117</f>
        <v>0</v>
      </c>
    </row>
    <row r="2133" spans="1:11">
      <c r="A2133" s="28"/>
      <c r="B2133" s="29" t="s">
        <v>3711</v>
      </c>
      <c r="C2133" s="30" t="str">
        <f>IFERROR(_xlfn.XLOOKUP(B2133,MObra[DESCRIPCION],MObra[UN],,0),"")</f>
        <v>día</v>
      </c>
      <c r="D2133" s="31">
        <v>1</v>
      </c>
      <c r="E2133" s="32">
        <f>IFERROR(_xlfn.XLOOKUP($B2133,MObra[DESCRIPCION],MObra[VALOR UNIT],,0),"")</f>
        <v>430831.76974500006</v>
      </c>
      <c r="F2133" s="33">
        <v>-20</v>
      </c>
      <c r="G2133" s="34">
        <f>IFERROR(IF(F2133&gt;=0,D2133*E2133*(1+F2133/100),ABS(D2133*E2133/F2133)),"")</f>
        <v>21541.588487250003</v>
      </c>
      <c r="H2133" s="43">
        <f>IFERROR(G2133*E2117,"")</f>
        <v>0</v>
      </c>
    </row>
    <row r="2134" spans="1:11">
      <c r="A2134" s="28"/>
      <c r="B2134" s="29"/>
      <c r="C2134" s="30" t="str">
        <f>IFERROR(_xlfn.XLOOKUP(B2134,MObra[DESCRIPCION],MObra[UN],,0),"")</f>
        <v/>
      </c>
      <c r="D2134" s="31"/>
      <c r="E2134" s="32" t="str">
        <f>IFERROR(_xlfn.XLOOKUP($B2134,MObra[DESCRIPCION],MObra[VALOR UNIT],,0),"")</f>
        <v/>
      </c>
      <c r="F2134" s="33"/>
      <c r="G2134" s="34" t="str">
        <f>IFERROR(IF(F2134&gt;=0,D2134*E2134*(1+F2134/100),ABS(D2134*E2134/F2134)),"")</f>
        <v/>
      </c>
      <c r="H2134" s="43" t="str">
        <f>IFERROR(G2134*E2117,"")</f>
        <v/>
      </c>
    </row>
    <row r="2135" spans="1:11" ht="13.15" thickBot="1">
      <c r="A2135" s="35"/>
      <c r="B2135" s="36"/>
      <c r="C2135" s="37" t="str">
        <f>IFERROR(_xlfn.XLOOKUP(B2135,MObra[DESCRIPCION],MObra[UN],,0),"")</f>
        <v/>
      </c>
      <c r="D2135" s="38"/>
      <c r="E2135" s="39" t="str">
        <f>IFERROR(_xlfn.XLOOKUP($B2135,MObra[DESCRIPCION],MObra[VALOR UNIT],,0),"")</f>
        <v/>
      </c>
      <c r="F2135" s="40"/>
      <c r="G2135" s="41" t="str">
        <f>IFERROR(IF(F2135&gt;=0,D2135*E2135*(1+F2135/100),ABS(D2135*E2135/F2135)),"")</f>
        <v/>
      </c>
      <c r="H2135" s="42" t="str">
        <f>IFERROR(G2135*E2117,"")</f>
        <v/>
      </c>
    </row>
    <row r="2136" spans="1:11" ht="13.5" thickTop="1" thickBot="1"/>
    <row r="2137" spans="1:11" ht="13.5" thickTop="1" thickBot="1">
      <c r="A2137" s="6" t="s">
        <v>1940</v>
      </c>
      <c r="B2137" s="7" t="str">
        <f>VLOOKUP($A2137,Presupuesto!$A:$D,2,FALSE())</f>
        <v>Pavimento adoquín vehicular T-1 E=0.08 m</v>
      </c>
      <c r="C2137" s="8" t="str">
        <f>VLOOKUP($A2137,Presupuesto!$A:$D,3,FALSE())</f>
        <v>M2</v>
      </c>
      <c r="D2137" s="9"/>
      <c r="E2137" s="10">
        <f>VLOOKUP($A2137,Presupuesto!$A:$D,4,FALSE())</f>
        <v>0</v>
      </c>
      <c r="F2137" s="11" t="s">
        <v>2589</v>
      </c>
      <c r="G2137" s="12">
        <f>SUM(G2139:G2155)/2</f>
        <v>117534.85845110253</v>
      </c>
      <c r="H2137" s="13">
        <f>ROUND(SUM(H2139:H2155),0)/2</f>
        <v>0</v>
      </c>
      <c r="I2137" s="10">
        <f>VLOOKUP(A2137,Presupuesto!$A:$F,6,0)</f>
        <v>0</v>
      </c>
      <c r="J2137" s="10">
        <f>+H2137-I2137</f>
        <v>0</v>
      </c>
      <c r="K2137" s="46">
        <f>+H2137-G2137*E2137</f>
        <v>0</v>
      </c>
    </row>
    <row r="2138" spans="1:11" ht="13.15" thickTop="1">
      <c r="A2138" s="14"/>
      <c r="B2138" s="15" t="s">
        <v>2586</v>
      </c>
      <c r="C2138" s="15" t="s">
        <v>5</v>
      </c>
      <c r="D2138" s="16" t="s">
        <v>6</v>
      </c>
      <c r="E2138" s="17" t="s">
        <v>7</v>
      </c>
      <c r="F2138" s="18" t="s">
        <v>3728</v>
      </c>
      <c r="G2138" s="19" t="s">
        <v>3729</v>
      </c>
      <c r="H2138" s="20" t="s">
        <v>3797</v>
      </c>
    </row>
    <row r="2139" spans="1:11">
      <c r="A2139" s="21"/>
      <c r="B2139" s="22" t="s">
        <v>3730</v>
      </c>
      <c r="C2139" s="23"/>
      <c r="D2139" s="24"/>
      <c r="E2139" s="25"/>
      <c r="F2139" s="26"/>
      <c r="G2139" s="27">
        <f>SUM(G2140:G2144)</f>
        <v>82020.267000000007</v>
      </c>
      <c r="H2139" s="27">
        <f>IFERROR(G2139*E2137,"")</f>
        <v>0</v>
      </c>
    </row>
    <row r="2140" spans="1:11">
      <c r="A2140" s="28"/>
      <c r="B2140" s="29" t="s">
        <v>2713</v>
      </c>
      <c r="C2140" s="30" t="str">
        <f>IFERROR(_xlfn.XLOOKUP(B2140,Insumo[DESCRIPCION],Insumo[UND],,0),"")</f>
        <v>M3</v>
      </c>
      <c r="D2140" s="31">
        <v>0.06</v>
      </c>
      <c r="E2140" s="32">
        <f>IFERROR(_xlfn.XLOOKUP($B2140,Insumo[DESCRIPCION],Insumo[VALOR],,0),"")</f>
        <v>81268.95</v>
      </c>
      <c r="F2140" s="33"/>
      <c r="G2140" s="34">
        <f>IFERROR(IF(F2140&gt;=0,D2140*E2140*(1+F2140/100),ABS(D2140*E2140/F2140)),"")</f>
        <v>4876.1369999999997</v>
      </c>
      <c r="H2140" s="43">
        <f>IFERROR(G2140*E2137,"")</f>
        <v>0</v>
      </c>
    </row>
    <row r="2141" spans="1:11">
      <c r="A2141" s="28"/>
      <c r="B2141" s="29" t="s">
        <v>2681</v>
      </c>
      <c r="C2141" s="30" t="str">
        <f>IFERROR(_xlfn.XLOOKUP(B2141,Insumo[DESCRIPCION],Insumo[UND],,0),"")</f>
        <v>Un</v>
      </c>
      <c r="D2141" s="31">
        <v>51</v>
      </c>
      <c r="E2141" s="32">
        <f>IFERROR(_xlfn.XLOOKUP($B2141,Insumo[DESCRIPCION],Insumo[VALOR],,0),"")</f>
        <v>1440.6000000000001</v>
      </c>
      <c r="F2141" s="33">
        <v>5</v>
      </c>
      <c r="G2141" s="34">
        <f>IFERROR(IF(F2141&gt;=0,D2141*E2141*(1+F2141/100),ABS(D2141*E2141/F2141)),"")</f>
        <v>77144.13</v>
      </c>
      <c r="H2141" s="43">
        <f>IFERROR(G2141*E2137,"")</f>
        <v>0</v>
      </c>
    </row>
    <row r="2142" spans="1:11">
      <c r="A2142" s="28"/>
      <c r="B2142" s="29"/>
      <c r="C2142" s="30" t="str">
        <f>IFERROR(_xlfn.XLOOKUP(B2142,Insumo[DESCRIPCION],Insumo[UND],,0),"")</f>
        <v/>
      </c>
      <c r="D2142" s="31"/>
      <c r="E2142" s="32" t="str">
        <f>IFERROR(_xlfn.XLOOKUP($B2142,Insumo[DESCRIPCION],Insumo[VALOR],,0),"")</f>
        <v/>
      </c>
      <c r="F2142" s="33"/>
      <c r="G2142" s="34" t="str">
        <f>IFERROR(IF(F2142&gt;=0,D2142*E2142*(1+F2142/100),ABS(D2142*E2142/F2142)),"")</f>
        <v/>
      </c>
      <c r="H2142" s="43" t="str">
        <f>IFERROR(G2142*E2137,"")</f>
        <v/>
      </c>
    </row>
    <row r="2143" spans="1:11">
      <c r="A2143" s="28"/>
      <c r="B2143" s="29"/>
      <c r="C2143" s="30" t="str">
        <f>IFERROR(_xlfn.XLOOKUP(B2143,Insumo[DESCRIPCION],Insumo[UND],,0),"")</f>
        <v/>
      </c>
      <c r="D2143" s="31"/>
      <c r="E2143" s="32" t="str">
        <f>IFERROR(_xlfn.XLOOKUP($B2143,Insumo[DESCRIPCION],Insumo[VALOR],,0),"")</f>
        <v/>
      </c>
      <c r="F2143" s="33"/>
      <c r="G2143" s="34" t="str">
        <f>IFERROR(IF(F2143&gt;=0,D2143*E2143*(1+F2143/100),ABS(D2143*E2143/F2143)),"")</f>
        <v/>
      </c>
      <c r="H2143" s="43" t="str">
        <f>IFERROR(G2143*E2137,"")</f>
        <v/>
      </c>
    </row>
    <row r="2144" spans="1:11">
      <c r="A2144" s="28"/>
      <c r="B2144" s="29"/>
      <c r="C2144" s="30" t="str">
        <f>IFERROR(_xlfn.XLOOKUP(B2144,Insumo[DESCRIPCION],Insumo[UND],,0),"")</f>
        <v/>
      </c>
      <c r="D2144" s="31"/>
      <c r="E2144" s="32" t="str">
        <f>IFERROR(_xlfn.XLOOKUP($B2144,Insumo[DESCRIPCION],Insumo[VALOR],,0),"")</f>
        <v/>
      </c>
      <c r="F2144" s="33"/>
      <c r="G2144" s="34" t="str">
        <f>IFERROR(IF(F2144&gt;=0,D2144*E2144*(1+F2144/100),ABS(D2144*E2144/F2144)),"")</f>
        <v/>
      </c>
      <c r="H2144" s="43" t="str">
        <f>IFERROR(G2144*E2137,"")</f>
        <v/>
      </c>
    </row>
    <row r="2145" spans="1:11">
      <c r="A2145" s="21"/>
      <c r="B2145" s="22" t="s">
        <v>3731</v>
      </c>
      <c r="C2145" s="23"/>
      <c r="D2145" s="24"/>
      <c r="E2145" s="25"/>
      <c r="F2145" s="26"/>
      <c r="G2145" s="27">
        <f>SUM(G2146:G2148)</f>
        <v>6062.0929638525013</v>
      </c>
      <c r="H2145" s="44">
        <f>G2145*E2137</f>
        <v>0</v>
      </c>
    </row>
    <row r="2146" spans="1:11">
      <c r="A2146" s="28"/>
      <c r="B2146" s="29" t="s">
        <v>3658</v>
      </c>
      <c r="C2146" s="30" t="str">
        <f>IFERROR(_xlfn.XLOOKUP(B2146,Equipo[DESCRIPCION],Equipo[UND],,0),"")</f>
        <v>Día</v>
      </c>
      <c r="D2146" s="31">
        <v>1</v>
      </c>
      <c r="E2146" s="32">
        <f>IF(C2146="%MO",G2152,IFERROR(_xlfn.XLOOKUP($B2146,Equipo[DESCRIPCION],Equipo[VALOR],,0),""))</f>
        <v>82467</v>
      </c>
      <c r="F2146" s="33">
        <v>-20</v>
      </c>
      <c r="G2146" s="34">
        <f>IFERROR(IF(F2146&gt;=0,D2146*E2146*(1+F2146/100),ABS(D2146*E2146/F2146)),"")</f>
        <v>4123.3500000000004</v>
      </c>
      <c r="H2146" s="43">
        <f>IFERROR(G2146*E2137,"")</f>
        <v>0</v>
      </c>
    </row>
    <row r="2147" spans="1:11">
      <c r="A2147" s="28"/>
      <c r="B2147" s="29" t="s">
        <v>3570</v>
      </c>
      <c r="C2147" s="30" t="str">
        <f>IFERROR(_xlfn.XLOOKUP(B2147,Equipo[DESCRIPCION],Equipo[UND],,0),"")</f>
        <v>%MO</v>
      </c>
      <c r="D2147" s="31">
        <v>0.04</v>
      </c>
      <c r="E2147" s="32">
        <f>IF(C2147="%MO",G2152,IFERROR(_xlfn.XLOOKUP($B2147,Equipo[DESCRIPCION],Equipo[VALOR],,0),""))</f>
        <v>21541.588487250003</v>
      </c>
      <c r="F2147" s="33"/>
      <c r="G2147" s="34">
        <f>IFERROR(IF(F2147&gt;=0,D2147*E2147*(1+F2147/100),ABS(D2147*E2147/F2147)),"")</f>
        <v>861.66353949000018</v>
      </c>
      <c r="H2147" s="43">
        <f>IFERROR(G2147*E2137,"")</f>
        <v>0</v>
      </c>
    </row>
    <row r="2148" spans="1:11">
      <c r="A2148" s="28"/>
      <c r="B2148" s="29" t="s">
        <v>3626</v>
      </c>
      <c r="C2148" s="30" t="str">
        <f>IFERROR(_xlfn.XLOOKUP(B2148,Equipo[DESCRIPCION],Equipo[UND],,0),"")</f>
        <v>%MO</v>
      </c>
      <c r="D2148" s="31">
        <v>0.05</v>
      </c>
      <c r="E2148" s="32">
        <f>IF(C2148="%MO",G2152,IFERROR(_xlfn.XLOOKUP($B2148,Equipo[DESCRIPCION],Equipo[VALOR],,0),""))</f>
        <v>21541.588487250003</v>
      </c>
      <c r="F2148" s="33"/>
      <c r="G2148" s="34">
        <f>IFERROR(IF(F2148&gt;=0,D2148*E2148*(1+F2148/100),ABS(D2148*E2148/F2148)),"")</f>
        <v>1077.0794243625003</v>
      </c>
      <c r="H2148" s="43">
        <f>IFERROR(G2148*E2137,"")</f>
        <v>0</v>
      </c>
    </row>
    <row r="2149" spans="1:11">
      <c r="A2149" s="21"/>
      <c r="B2149" s="22" t="s">
        <v>2533</v>
      </c>
      <c r="C2149" s="23"/>
      <c r="D2149" s="24"/>
      <c r="E2149" s="25"/>
      <c r="F2149" s="26"/>
      <c r="G2149" s="27">
        <f>SUM(G2150:G2151)</f>
        <v>7910.9100000000008</v>
      </c>
      <c r="H2149" s="44">
        <f>G2149*E2137</f>
        <v>0</v>
      </c>
    </row>
    <row r="2150" spans="1:11">
      <c r="A2150" s="28"/>
      <c r="B2150" s="29" t="s">
        <v>3662</v>
      </c>
      <c r="C2150" s="30" t="str">
        <f>IFERROR(_xlfn.XLOOKUP(B2150,Transporte[DESCRIPCION],Transporte[UND],,0),"")</f>
        <v>Hr</v>
      </c>
      <c r="D2150" s="31">
        <v>0.1</v>
      </c>
      <c r="E2150" s="32">
        <f>IFERROR(_xlfn.XLOOKUP($B2150,Transporte[DESCRIPCION],Transporte[VALOR],,0),"")</f>
        <v>79109.100000000006</v>
      </c>
      <c r="F2150" s="33"/>
      <c r="G2150" s="34">
        <f>IFERROR(IF(F2150&gt;=0,D2150*E2150*(1+F2150/100),ABS(D2150*E2150/F2150)),"")</f>
        <v>7910.9100000000008</v>
      </c>
      <c r="H2150" s="43">
        <f>IFERROR(G2150*E2137,"")</f>
        <v>0</v>
      </c>
    </row>
    <row r="2151" spans="1:11">
      <c r="A2151" s="28"/>
      <c r="B2151" s="29"/>
      <c r="C2151" s="30" t="str">
        <f>IFERROR(_xlfn.XLOOKUP(B2151,Transporte[DESCRIPCION],Transporte[UND],,0),"")</f>
        <v/>
      </c>
      <c r="D2151" s="31"/>
      <c r="E2151" s="32" t="str">
        <f>IFERROR(_xlfn.XLOOKUP($B2151,Transporte[DESCRIPCION],Transporte[VALOR],,0),"")</f>
        <v/>
      </c>
      <c r="F2151" s="33"/>
      <c r="G2151" s="34" t="str">
        <f>IFERROR(IF(F2151&gt;=0,D2151*E2151*(1+F2151/100),ABS(D2151*E2151/F2151)),"")</f>
        <v/>
      </c>
      <c r="H2151" s="43" t="str">
        <f>IFERROR(G2151*E2137,"")</f>
        <v/>
      </c>
    </row>
    <row r="2152" spans="1:11">
      <c r="A2152" s="21"/>
      <c r="B2152" s="22" t="s">
        <v>3732</v>
      </c>
      <c r="C2152" s="23"/>
      <c r="D2152" s="24"/>
      <c r="E2152" s="25"/>
      <c r="F2152" s="26"/>
      <c r="G2152" s="27">
        <f>SUM(G2153:G2155)</f>
        <v>21541.588487250003</v>
      </c>
      <c r="H2152" s="44">
        <f>G2152*E2137</f>
        <v>0</v>
      </c>
    </row>
    <row r="2153" spans="1:11">
      <c r="A2153" s="28"/>
      <c r="B2153" s="29" t="s">
        <v>3711</v>
      </c>
      <c r="C2153" s="30" t="str">
        <f>IFERROR(_xlfn.XLOOKUP(B2153,MObra[DESCRIPCION],MObra[UN],,0),"")</f>
        <v>día</v>
      </c>
      <c r="D2153" s="31">
        <v>1</v>
      </c>
      <c r="E2153" s="32">
        <f>IFERROR(_xlfn.XLOOKUP($B2153,MObra[DESCRIPCION],MObra[VALOR UNIT],,0),"")</f>
        <v>430831.76974500006</v>
      </c>
      <c r="F2153" s="33">
        <v>-20</v>
      </c>
      <c r="G2153" s="34">
        <f>IFERROR(IF(F2153&gt;=0,D2153*E2153*(1+F2153/100),ABS(D2153*E2153/F2153)),"")</f>
        <v>21541.588487250003</v>
      </c>
      <c r="H2153" s="43">
        <f>IFERROR(G2153*E2137,"")</f>
        <v>0</v>
      </c>
    </row>
    <row r="2154" spans="1:11">
      <c r="A2154" s="28"/>
      <c r="B2154" s="29"/>
      <c r="C2154" s="30" t="str">
        <f>IFERROR(_xlfn.XLOOKUP(B2154,MObra[DESCRIPCION],MObra[UN],,0),"")</f>
        <v/>
      </c>
      <c r="D2154" s="31"/>
      <c r="E2154" s="32" t="str">
        <f>IFERROR(_xlfn.XLOOKUP($B2154,MObra[DESCRIPCION],MObra[VALOR UNIT],,0),"")</f>
        <v/>
      </c>
      <c r="F2154" s="33"/>
      <c r="G2154" s="34" t="str">
        <f>IFERROR(IF(F2154&gt;=0,D2154*E2154*(1+F2154/100),ABS(D2154*E2154/F2154)),"")</f>
        <v/>
      </c>
      <c r="H2154" s="43" t="str">
        <f>IFERROR(G2154*E2137,"")</f>
        <v/>
      </c>
    </row>
    <row r="2155" spans="1:11" ht="13.15" thickBot="1">
      <c r="A2155" s="35"/>
      <c r="B2155" s="36"/>
      <c r="C2155" s="37" t="str">
        <f>IFERROR(_xlfn.XLOOKUP(B2155,MObra[DESCRIPCION],MObra[UN],,0),"")</f>
        <v/>
      </c>
      <c r="D2155" s="38"/>
      <c r="E2155" s="39" t="str">
        <f>IFERROR(_xlfn.XLOOKUP($B2155,MObra[DESCRIPCION],MObra[VALOR UNIT],,0),"")</f>
        <v/>
      </c>
      <c r="F2155" s="40"/>
      <c r="G2155" s="41" t="str">
        <f>IFERROR(IF(F2155&gt;=0,D2155*E2155*(1+F2155/100),ABS(D2155*E2155/F2155)),"")</f>
        <v/>
      </c>
      <c r="H2155" s="42" t="str">
        <f>IFERROR(G2155*E2137,"")</f>
        <v/>
      </c>
    </row>
    <row r="2156" spans="1:11" ht="13.5" thickTop="1" thickBot="1"/>
    <row r="2157" spans="1:11" ht="13.5" thickTop="1" thickBot="1">
      <c r="A2157" s="6" t="s">
        <v>1942</v>
      </c>
      <c r="B2157" s="7" t="str">
        <f>VLOOKUP($A2157,Presupuesto!$A:$D,2,FALSE())</f>
        <v>Pavimento adoquín vehicular T-2 E=0.09 m</v>
      </c>
      <c r="C2157" s="8" t="str">
        <f>VLOOKUP($A2157,Presupuesto!$A:$D,3,FALSE())</f>
        <v>M2</v>
      </c>
      <c r="D2157" s="9"/>
      <c r="E2157" s="10">
        <f>VLOOKUP($A2157,Presupuesto!$A:$D,4,FALSE())</f>
        <v>0</v>
      </c>
      <c r="F2157" s="11" t="s">
        <v>2589</v>
      </c>
      <c r="G2157" s="12">
        <f>SUM(G2159:G2175)/2</f>
        <v>142162.50345110253</v>
      </c>
      <c r="H2157" s="13">
        <f>ROUND(SUM(H2159:H2175),0)/2</f>
        <v>0</v>
      </c>
      <c r="I2157" s="10">
        <f>VLOOKUP(A2157,Presupuesto!$A:$F,6,0)</f>
        <v>0</v>
      </c>
      <c r="J2157" s="10">
        <f>+H2157-I2157</f>
        <v>0</v>
      </c>
      <c r="K2157" s="46">
        <f>+H2157-G2157*E2157</f>
        <v>0</v>
      </c>
    </row>
    <row r="2158" spans="1:11" ht="13.15" thickTop="1">
      <c r="A2158" s="14"/>
      <c r="B2158" s="15" t="s">
        <v>2586</v>
      </c>
      <c r="C2158" s="15" t="s">
        <v>5</v>
      </c>
      <c r="D2158" s="16" t="s">
        <v>6</v>
      </c>
      <c r="E2158" s="17" t="s">
        <v>7</v>
      </c>
      <c r="F2158" s="18" t="s">
        <v>3728</v>
      </c>
      <c r="G2158" s="19" t="s">
        <v>3729</v>
      </c>
      <c r="H2158" s="20" t="s">
        <v>3797</v>
      </c>
    </row>
    <row r="2159" spans="1:11">
      <c r="A2159" s="21"/>
      <c r="B2159" s="22" t="s">
        <v>3730</v>
      </c>
      <c r="C2159" s="23"/>
      <c r="D2159" s="24"/>
      <c r="E2159" s="25"/>
      <c r="F2159" s="26"/>
      <c r="G2159" s="27">
        <f>SUM(G2160:G2164)</f>
        <v>106647.91200000001</v>
      </c>
      <c r="H2159" s="27">
        <f>IFERROR(G2159*E2157,"")</f>
        <v>0</v>
      </c>
    </row>
    <row r="2160" spans="1:11">
      <c r="A2160" s="28"/>
      <c r="B2160" s="29" t="s">
        <v>2713</v>
      </c>
      <c r="C2160" s="30" t="str">
        <f>IFERROR(_xlfn.XLOOKUP(B2160,Insumo[DESCRIPCION],Insumo[UND],,0),"")</f>
        <v>M3</v>
      </c>
      <c r="D2160" s="31">
        <v>0.06</v>
      </c>
      <c r="E2160" s="32">
        <f>IFERROR(_xlfn.XLOOKUP($B2160,Insumo[DESCRIPCION],Insumo[VALOR],,0),"")</f>
        <v>81268.95</v>
      </c>
      <c r="F2160" s="33"/>
      <c r="G2160" s="34">
        <f>IFERROR(IF(F2160&gt;=0,D2160*E2160*(1+F2160/100),ABS(D2160*E2160/F2160)),"")</f>
        <v>4876.1369999999997</v>
      </c>
      <c r="H2160" s="43">
        <f>IFERROR(G2160*E2157,"")</f>
        <v>0</v>
      </c>
    </row>
    <row r="2161" spans="1:8">
      <c r="A2161" s="28"/>
      <c r="B2161" s="29" t="s">
        <v>2682</v>
      </c>
      <c r="C2161" s="30" t="str">
        <f>IFERROR(_xlfn.XLOOKUP(B2161,Insumo[DESCRIPCION],Insumo[UND],,0),"")</f>
        <v>Un</v>
      </c>
      <c r="D2161" s="31">
        <v>51</v>
      </c>
      <c r="E2161" s="32">
        <f>IFERROR(_xlfn.XLOOKUP($B2161,Insumo[DESCRIPCION],Insumo[VALOR],,0),"")</f>
        <v>1900.5</v>
      </c>
      <c r="F2161" s="33">
        <v>5</v>
      </c>
      <c r="G2161" s="34">
        <f>IFERROR(IF(F2161&gt;=0,D2161*E2161*(1+F2161/100),ABS(D2161*E2161/F2161)),"")</f>
        <v>101771.77500000001</v>
      </c>
      <c r="H2161" s="43">
        <f>IFERROR(G2161*E2157,"")</f>
        <v>0</v>
      </c>
    </row>
    <row r="2162" spans="1:8">
      <c r="A2162" s="28"/>
      <c r="B2162" s="29"/>
      <c r="C2162" s="30" t="str">
        <f>IFERROR(_xlfn.XLOOKUP(B2162,Insumo[DESCRIPCION],Insumo[UND],,0),"")</f>
        <v/>
      </c>
      <c r="D2162" s="31"/>
      <c r="E2162" s="32" t="str">
        <f>IFERROR(_xlfn.XLOOKUP($B2162,Insumo[DESCRIPCION],Insumo[VALOR],,0),"")</f>
        <v/>
      </c>
      <c r="F2162" s="33"/>
      <c r="G2162" s="34" t="str">
        <f>IFERROR(IF(F2162&gt;=0,D2162*E2162*(1+F2162/100),ABS(D2162*E2162/F2162)),"")</f>
        <v/>
      </c>
      <c r="H2162" s="43" t="str">
        <f>IFERROR(G2162*E2157,"")</f>
        <v/>
      </c>
    </row>
    <row r="2163" spans="1:8">
      <c r="A2163" s="28"/>
      <c r="B2163" s="29"/>
      <c r="C2163" s="30" t="str">
        <f>IFERROR(_xlfn.XLOOKUP(B2163,Insumo[DESCRIPCION],Insumo[UND],,0),"")</f>
        <v/>
      </c>
      <c r="D2163" s="31"/>
      <c r="E2163" s="32" t="str">
        <f>IFERROR(_xlfn.XLOOKUP($B2163,Insumo[DESCRIPCION],Insumo[VALOR],,0),"")</f>
        <v/>
      </c>
      <c r="F2163" s="33"/>
      <c r="G2163" s="34" t="str">
        <f>IFERROR(IF(F2163&gt;=0,D2163*E2163*(1+F2163/100),ABS(D2163*E2163/F2163)),"")</f>
        <v/>
      </c>
      <c r="H2163" s="43" t="str">
        <f>IFERROR(G2163*E2157,"")</f>
        <v/>
      </c>
    </row>
    <row r="2164" spans="1:8">
      <c r="A2164" s="28"/>
      <c r="B2164" s="29"/>
      <c r="C2164" s="30" t="str">
        <f>IFERROR(_xlfn.XLOOKUP(B2164,Insumo[DESCRIPCION],Insumo[UND],,0),"")</f>
        <v/>
      </c>
      <c r="D2164" s="31"/>
      <c r="E2164" s="32" t="str">
        <f>IFERROR(_xlfn.XLOOKUP($B2164,Insumo[DESCRIPCION],Insumo[VALOR],,0),"")</f>
        <v/>
      </c>
      <c r="F2164" s="33"/>
      <c r="G2164" s="34" t="str">
        <f>IFERROR(IF(F2164&gt;=0,D2164*E2164*(1+F2164/100),ABS(D2164*E2164/F2164)),"")</f>
        <v/>
      </c>
      <c r="H2164" s="43" t="str">
        <f>IFERROR(G2164*E2157,"")</f>
        <v/>
      </c>
    </row>
    <row r="2165" spans="1:8">
      <c r="A2165" s="21"/>
      <c r="B2165" s="22" t="s">
        <v>3731</v>
      </c>
      <c r="C2165" s="23"/>
      <c r="D2165" s="24"/>
      <c r="E2165" s="25"/>
      <c r="F2165" s="26"/>
      <c r="G2165" s="27">
        <f>SUM(G2166:G2168)</f>
        <v>6062.0929638525013</v>
      </c>
      <c r="H2165" s="44">
        <f>G2165*E2157</f>
        <v>0</v>
      </c>
    </row>
    <row r="2166" spans="1:8">
      <c r="A2166" s="28"/>
      <c r="B2166" s="29" t="s">
        <v>3658</v>
      </c>
      <c r="C2166" s="30" t="str">
        <f>IFERROR(_xlfn.XLOOKUP(B2166,Equipo[DESCRIPCION],Equipo[UND],,0),"")</f>
        <v>Día</v>
      </c>
      <c r="D2166" s="31">
        <v>1</v>
      </c>
      <c r="E2166" s="32">
        <f>IF(C2166="%MO",G2172,IFERROR(_xlfn.XLOOKUP($B2166,Equipo[DESCRIPCION],Equipo[VALOR],,0),""))</f>
        <v>82467</v>
      </c>
      <c r="F2166" s="33">
        <v>-20</v>
      </c>
      <c r="G2166" s="34">
        <f>IFERROR(IF(F2166&gt;=0,D2166*E2166*(1+F2166/100),ABS(D2166*E2166/F2166)),"")</f>
        <v>4123.3500000000004</v>
      </c>
      <c r="H2166" s="43">
        <f>IFERROR(G2166*E2157,"")</f>
        <v>0</v>
      </c>
    </row>
    <row r="2167" spans="1:8">
      <c r="A2167" s="28"/>
      <c r="B2167" s="29" t="s">
        <v>3570</v>
      </c>
      <c r="C2167" s="30" t="str">
        <f>IFERROR(_xlfn.XLOOKUP(B2167,Equipo[DESCRIPCION],Equipo[UND],,0),"")</f>
        <v>%MO</v>
      </c>
      <c r="D2167" s="31">
        <v>0.04</v>
      </c>
      <c r="E2167" s="32">
        <f>IF(C2167="%MO",G2172,IFERROR(_xlfn.XLOOKUP($B2167,Equipo[DESCRIPCION],Equipo[VALOR],,0),""))</f>
        <v>21541.588487250003</v>
      </c>
      <c r="F2167" s="33"/>
      <c r="G2167" s="34">
        <f>IFERROR(IF(F2167&gt;=0,D2167*E2167*(1+F2167/100),ABS(D2167*E2167/F2167)),"")</f>
        <v>861.66353949000018</v>
      </c>
      <c r="H2167" s="43">
        <f>IFERROR(G2167*E2157,"")</f>
        <v>0</v>
      </c>
    </row>
    <row r="2168" spans="1:8">
      <c r="A2168" s="28"/>
      <c r="B2168" s="29" t="s">
        <v>3626</v>
      </c>
      <c r="C2168" s="30" t="str">
        <f>IFERROR(_xlfn.XLOOKUP(B2168,Equipo[DESCRIPCION],Equipo[UND],,0),"")</f>
        <v>%MO</v>
      </c>
      <c r="D2168" s="31">
        <v>0.05</v>
      </c>
      <c r="E2168" s="32">
        <f>IF(C2168="%MO",G2172,IFERROR(_xlfn.XLOOKUP($B2168,Equipo[DESCRIPCION],Equipo[VALOR],,0),""))</f>
        <v>21541.588487250003</v>
      </c>
      <c r="F2168" s="33"/>
      <c r="G2168" s="34">
        <f>IFERROR(IF(F2168&gt;=0,D2168*E2168*(1+F2168/100),ABS(D2168*E2168/F2168)),"")</f>
        <v>1077.0794243625003</v>
      </c>
      <c r="H2168" s="43">
        <f>IFERROR(G2168*E2157,"")</f>
        <v>0</v>
      </c>
    </row>
    <row r="2169" spans="1:8">
      <c r="A2169" s="21"/>
      <c r="B2169" s="22" t="s">
        <v>2533</v>
      </c>
      <c r="C2169" s="23"/>
      <c r="D2169" s="24"/>
      <c r="E2169" s="25"/>
      <c r="F2169" s="26"/>
      <c r="G2169" s="27">
        <f>SUM(G2170:G2171)</f>
        <v>7910.9100000000008</v>
      </c>
      <c r="H2169" s="44">
        <f>G2169*E2157</f>
        <v>0</v>
      </c>
    </row>
    <row r="2170" spans="1:8">
      <c r="A2170" s="28"/>
      <c r="B2170" s="29" t="s">
        <v>3662</v>
      </c>
      <c r="C2170" s="30" t="str">
        <f>IFERROR(_xlfn.XLOOKUP(B2170,Transporte[DESCRIPCION],Transporte[UND],,0),"")</f>
        <v>Hr</v>
      </c>
      <c r="D2170" s="31">
        <v>0.1</v>
      </c>
      <c r="E2170" s="32">
        <f>IFERROR(_xlfn.XLOOKUP($B2170,Transporte[DESCRIPCION],Transporte[VALOR],,0),"")</f>
        <v>79109.100000000006</v>
      </c>
      <c r="F2170" s="33"/>
      <c r="G2170" s="34">
        <f>IFERROR(IF(F2170&gt;=0,D2170*E2170*(1+F2170/100),ABS(D2170*E2170/F2170)),"")</f>
        <v>7910.9100000000008</v>
      </c>
      <c r="H2170" s="43">
        <f>IFERROR(G2170*E2157,"")</f>
        <v>0</v>
      </c>
    </row>
    <row r="2171" spans="1:8">
      <c r="A2171" s="28"/>
      <c r="B2171" s="29"/>
      <c r="C2171" s="30" t="str">
        <f>IFERROR(_xlfn.XLOOKUP(B2171,Transporte[DESCRIPCION],Transporte[UND],,0),"")</f>
        <v/>
      </c>
      <c r="D2171" s="31"/>
      <c r="E2171" s="32" t="str">
        <f>IFERROR(_xlfn.XLOOKUP($B2171,Transporte[DESCRIPCION],Transporte[VALOR],,0),"")</f>
        <v/>
      </c>
      <c r="F2171" s="33"/>
      <c r="G2171" s="34" t="str">
        <f>IFERROR(IF(F2171&gt;=0,D2171*E2171*(1+F2171/100),ABS(D2171*E2171/F2171)),"")</f>
        <v/>
      </c>
      <c r="H2171" s="43" t="str">
        <f>IFERROR(G2171*E2157,"")</f>
        <v/>
      </c>
    </row>
    <row r="2172" spans="1:8">
      <c r="A2172" s="21"/>
      <c r="B2172" s="22" t="s">
        <v>3732</v>
      </c>
      <c r="C2172" s="23"/>
      <c r="D2172" s="24"/>
      <c r="E2172" s="25"/>
      <c r="F2172" s="26"/>
      <c r="G2172" s="27">
        <f>SUM(G2173:G2175)</f>
        <v>21541.588487250003</v>
      </c>
      <c r="H2172" s="44">
        <f>G2172*E2157</f>
        <v>0</v>
      </c>
    </row>
    <row r="2173" spans="1:8">
      <c r="A2173" s="28"/>
      <c r="B2173" s="29" t="s">
        <v>3711</v>
      </c>
      <c r="C2173" s="30" t="str">
        <f>IFERROR(_xlfn.XLOOKUP(B2173,MObra[DESCRIPCION],MObra[UN],,0),"")</f>
        <v>día</v>
      </c>
      <c r="D2173" s="31">
        <v>1</v>
      </c>
      <c r="E2173" s="32">
        <f>IFERROR(_xlfn.XLOOKUP($B2173,MObra[DESCRIPCION],MObra[VALOR UNIT],,0),"")</f>
        <v>430831.76974500006</v>
      </c>
      <c r="F2173" s="33">
        <v>-20</v>
      </c>
      <c r="G2173" s="34">
        <f>IFERROR(IF(F2173&gt;=0,D2173*E2173*(1+F2173/100),ABS(D2173*E2173/F2173)),"")</f>
        <v>21541.588487250003</v>
      </c>
      <c r="H2173" s="43">
        <f>IFERROR(G2173*E2157,"")</f>
        <v>0</v>
      </c>
    </row>
    <row r="2174" spans="1:8">
      <c r="A2174" s="28"/>
      <c r="B2174" s="29"/>
      <c r="C2174" s="30" t="str">
        <f>IFERROR(_xlfn.XLOOKUP(B2174,MObra[DESCRIPCION],MObra[UN],,0),"")</f>
        <v/>
      </c>
      <c r="D2174" s="31"/>
      <c r="E2174" s="32" t="str">
        <f>IFERROR(_xlfn.XLOOKUP($B2174,MObra[DESCRIPCION],MObra[VALOR UNIT],,0),"")</f>
        <v/>
      </c>
      <c r="F2174" s="33"/>
      <c r="G2174" s="34" t="str">
        <f>IFERROR(IF(F2174&gt;=0,D2174*E2174*(1+F2174/100),ABS(D2174*E2174/F2174)),"")</f>
        <v/>
      </c>
      <c r="H2174" s="43" t="str">
        <f>IFERROR(G2174*E2157,"")</f>
        <v/>
      </c>
    </row>
    <row r="2175" spans="1:8" ht="13.15" thickBot="1">
      <c r="A2175" s="35"/>
      <c r="B2175" s="36"/>
      <c r="C2175" s="37" t="str">
        <f>IFERROR(_xlfn.XLOOKUP(B2175,MObra[DESCRIPCION],MObra[UN],,0),"")</f>
        <v/>
      </c>
      <c r="D2175" s="38"/>
      <c r="E2175" s="39" t="str">
        <f>IFERROR(_xlfn.XLOOKUP($B2175,MObra[DESCRIPCION],MObra[VALOR UNIT],,0),"")</f>
        <v/>
      </c>
      <c r="F2175" s="40"/>
      <c r="G2175" s="41" t="str">
        <f>IFERROR(IF(F2175&gt;=0,D2175*E2175*(1+F2175/100),ABS(D2175*E2175/F2175)),"")</f>
        <v/>
      </c>
      <c r="H2175" s="42" t="str">
        <f>IFERROR(G2175*E2157,"")</f>
        <v/>
      </c>
    </row>
    <row r="2176" spans="1:8" ht="13.5" thickTop="1" thickBot="1"/>
    <row r="2177" spans="1:11" ht="13.5" thickTop="1" thickBot="1">
      <c r="A2177" s="6" t="s">
        <v>1944</v>
      </c>
      <c r="B2177" s="7" t="str">
        <f>VLOOKUP($A2177,Presupuesto!$A:$D,2,FALSE())</f>
        <v>Pavimento adoquín vehicular T-3 E=0.10 m</v>
      </c>
      <c r="C2177" s="8" t="str">
        <f>VLOOKUP($A2177,Presupuesto!$A:$D,3,FALSE())</f>
        <v>M2</v>
      </c>
      <c r="D2177" s="9"/>
      <c r="E2177" s="10">
        <f>VLOOKUP($A2177,Presupuesto!$A:$D,4,FALSE())</f>
        <v>0</v>
      </c>
      <c r="F2177" s="11" t="s">
        <v>2589</v>
      </c>
      <c r="G2177" s="12">
        <f>SUM(G2179:G2195)/2</f>
        <v>142162.50345110253</v>
      </c>
      <c r="H2177" s="13">
        <f>ROUND(SUM(H2179:H2195),0)/2</f>
        <v>0</v>
      </c>
      <c r="I2177" s="10">
        <f>VLOOKUP(A2177,Presupuesto!$A:$F,6,0)</f>
        <v>0</v>
      </c>
      <c r="J2177" s="10">
        <f>+H2177-I2177</f>
        <v>0</v>
      </c>
      <c r="K2177" s="46">
        <f>+H2177-G2177*E2177</f>
        <v>0</v>
      </c>
    </row>
    <row r="2178" spans="1:11" ht="13.15" thickTop="1">
      <c r="A2178" s="14"/>
      <c r="B2178" s="15" t="s">
        <v>2586</v>
      </c>
      <c r="C2178" s="15" t="s">
        <v>5</v>
      </c>
      <c r="D2178" s="16" t="s">
        <v>6</v>
      </c>
      <c r="E2178" s="17" t="s">
        <v>7</v>
      </c>
      <c r="F2178" s="18" t="s">
        <v>3728</v>
      </c>
      <c r="G2178" s="19" t="s">
        <v>3729</v>
      </c>
      <c r="H2178" s="20" t="s">
        <v>3797</v>
      </c>
    </row>
    <row r="2179" spans="1:11">
      <c r="A2179" s="21"/>
      <c r="B2179" s="22" t="s">
        <v>3730</v>
      </c>
      <c r="C2179" s="23"/>
      <c r="D2179" s="24"/>
      <c r="E2179" s="25"/>
      <c r="F2179" s="26"/>
      <c r="G2179" s="27">
        <f>SUM(G2180:G2184)</f>
        <v>106647.91200000001</v>
      </c>
      <c r="H2179" s="27">
        <f>IFERROR(G2179*E2177,"")</f>
        <v>0</v>
      </c>
    </row>
    <row r="2180" spans="1:11">
      <c r="A2180" s="28"/>
      <c r="B2180" s="29" t="s">
        <v>2713</v>
      </c>
      <c r="C2180" s="30" t="str">
        <f>IFERROR(_xlfn.XLOOKUP(B2180,Insumo[DESCRIPCION],Insumo[UND],,0),"")</f>
        <v>M3</v>
      </c>
      <c r="D2180" s="31">
        <v>0.06</v>
      </c>
      <c r="E2180" s="32">
        <f>IFERROR(_xlfn.XLOOKUP($B2180,Insumo[DESCRIPCION],Insumo[VALOR],,0),"")</f>
        <v>81268.95</v>
      </c>
      <c r="F2180" s="33"/>
      <c r="G2180" s="34">
        <f>IFERROR(IF(F2180&gt;=0,D2180*E2180*(1+F2180/100),ABS(D2180*E2180/F2180)),"")</f>
        <v>4876.1369999999997</v>
      </c>
      <c r="H2180" s="43">
        <f>IFERROR(G2180*E2177,"")</f>
        <v>0</v>
      </c>
    </row>
    <row r="2181" spans="1:11">
      <c r="A2181" s="28"/>
      <c r="B2181" s="29" t="s">
        <v>2680</v>
      </c>
      <c r="C2181" s="30" t="str">
        <f>IFERROR(_xlfn.XLOOKUP(B2181,Insumo[DESCRIPCION],Insumo[UND],,0),"")</f>
        <v>Un</v>
      </c>
      <c r="D2181" s="31">
        <v>51</v>
      </c>
      <c r="E2181" s="32">
        <f>IFERROR(_xlfn.XLOOKUP($B2181,Insumo[DESCRIPCION],Insumo[VALOR],,0),"")</f>
        <v>1900.5</v>
      </c>
      <c r="F2181" s="33">
        <v>5</v>
      </c>
      <c r="G2181" s="34">
        <f>IFERROR(IF(F2181&gt;=0,D2181*E2181*(1+F2181/100),ABS(D2181*E2181/F2181)),"")</f>
        <v>101771.77500000001</v>
      </c>
      <c r="H2181" s="43">
        <f>IFERROR(G2181*E2177,"")</f>
        <v>0</v>
      </c>
    </row>
    <row r="2182" spans="1:11">
      <c r="A2182" s="28"/>
      <c r="B2182" s="29"/>
      <c r="C2182" s="30" t="str">
        <f>IFERROR(_xlfn.XLOOKUP(B2182,Insumo[DESCRIPCION],Insumo[UND],,0),"")</f>
        <v/>
      </c>
      <c r="D2182" s="31"/>
      <c r="E2182" s="32" t="str">
        <f>IFERROR(_xlfn.XLOOKUP($B2182,Insumo[DESCRIPCION],Insumo[VALOR],,0),"")</f>
        <v/>
      </c>
      <c r="F2182" s="33"/>
      <c r="G2182" s="34" t="str">
        <f>IFERROR(IF(F2182&gt;=0,D2182*E2182*(1+F2182/100),ABS(D2182*E2182/F2182)),"")</f>
        <v/>
      </c>
      <c r="H2182" s="43" t="str">
        <f>IFERROR(G2182*E2177,"")</f>
        <v/>
      </c>
    </row>
    <row r="2183" spans="1:11">
      <c r="A2183" s="28"/>
      <c r="B2183" s="29"/>
      <c r="C2183" s="30" t="str">
        <f>IFERROR(_xlfn.XLOOKUP(B2183,Insumo[DESCRIPCION],Insumo[UND],,0),"")</f>
        <v/>
      </c>
      <c r="D2183" s="31"/>
      <c r="E2183" s="32" t="str">
        <f>IFERROR(_xlfn.XLOOKUP($B2183,Insumo[DESCRIPCION],Insumo[VALOR],,0),"")</f>
        <v/>
      </c>
      <c r="F2183" s="33"/>
      <c r="G2183" s="34" t="str">
        <f>IFERROR(IF(F2183&gt;=0,D2183*E2183*(1+F2183/100),ABS(D2183*E2183/F2183)),"")</f>
        <v/>
      </c>
      <c r="H2183" s="43" t="str">
        <f>IFERROR(G2183*E2177,"")</f>
        <v/>
      </c>
    </row>
    <row r="2184" spans="1:11">
      <c r="A2184" s="28"/>
      <c r="B2184" s="29"/>
      <c r="C2184" s="30" t="str">
        <f>IFERROR(_xlfn.XLOOKUP(B2184,Insumo[DESCRIPCION],Insumo[UND],,0),"")</f>
        <v/>
      </c>
      <c r="D2184" s="31"/>
      <c r="E2184" s="32" t="str">
        <f>IFERROR(_xlfn.XLOOKUP($B2184,Insumo[DESCRIPCION],Insumo[VALOR],,0),"")</f>
        <v/>
      </c>
      <c r="F2184" s="33"/>
      <c r="G2184" s="34" t="str">
        <f>IFERROR(IF(F2184&gt;=0,D2184*E2184*(1+F2184/100),ABS(D2184*E2184/F2184)),"")</f>
        <v/>
      </c>
      <c r="H2184" s="43" t="str">
        <f>IFERROR(G2184*E2177,"")</f>
        <v/>
      </c>
    </row>
    <row r="2185" spans="1:11">
      <c r="A2185" s="21"/>
      <c r="B2185" s="22" t="s">
        <v>3731</v>
      </c>
      <c r="C2185" s="23"/>
      <c r="D2185" s="24"/>
      <c r="E2185" s="25"/>
      <c r="F2185" s="26"/>
      <c r="G2185" s="27">
        <f>SUM(G2186:G2188)</f>
        <v>6062.0929638525013</v>
      </c>
      <c r="H2185" s="44">
        <f>G2185*E2177</f>
        <v>0</v>
      </c>
    </row>
    <row r="2186" spans="1:11">
      <c r="A2186" s="28"/>
      <c r="B2186" s="29" t="s">
        <v>3658</v>
      </c>
      <c r="C2186" s="30" t="str">
        <f>IFERROR(_xlfn.XLOOKUP(B2186,Equipo[DESCRIPCION],Equipo[UND],,0),"")</f>
        <v>Día</v>
      </c>
      <c r="D2186" s="31">
        <v>1</v>
      </c>
      <c r="E2186" s="32">
        <f>IF(C2186="%MO",G2192,IFERROR(_xlfn.XLOOKUP($B2186,Equipo[DESCRIPCION],Equipo[VALOR],,0),""))</f>
        <v>82467</v>
      </c>
      <c r="F2186" s="33">
        <v>-20</v>
      </c>
      <c r="G2186" s="34">
        <f>IFERROR(IF(F2186&gt;=0,D2186*E2186*(1+F2186/100),ABS(D2186*E2186/F2186)),"")</f>
        <v>4123.3500000000004</v>
      </c>
      <c r="H2186" s="43">
        <f>IFERROR(G2186*E2177,"")</f>
        <v>0</v>
      </c>
    </row>
    <row r="2187" spans="1:11">
      <c r="A2187" s="28"/>
      <c r="B2187" s="29" t="s">
        <v>3570</v>
      </c>
      <c r="C2187" s="30" t="str">
        <f>IFERROR(_xlfn.XLOOKUP(B2187,Equipo[DESCRIPCION],Equipo[UND],,0),"")</f>
        <v>%MO</v>
      </c>
      <c r="D2187" s="31">
        <v>0.04</v>
      </c>
      <c r="E2187" s="32">
        <f>IF(C2187="%MO",G2192,IFERROR(_xlfn.XLOOKUP($B2187,Equipo[DESCRIPCION],Equipo[VALOR],,0),""))</f>
        <v>21541.588487250003</v>
      </c>
      <c r="F2187" s="33"/>
      <c r="G2187" s="34">
        <f>IFERROR(IF(F2187&gt;=0,D2187*E2187*(1+F2187/100),ABS(D2187*E2187/F2187)),"")</f>
        <v>861.66353949000018</v>
      </c>
      <c r="H2187" s="43">
        <f>IFERROR(G2187*E2177,"")</f>
        <v>0</v>
      </c>
    </row>
    <row r="2188" spans="1:11">
      <c r="A2188" s="28"/>
      <c r="B2188" s="29" t="s">
        <v>3626</v>
      </c>
      <c r="C2188" s="30" t="str">
        <f>IFERROR(_xlfn.XLOOKUP(B2188,Equipo[DESCRIPCION],Equipo[UND],,0),"")</f>
        <v>%MO</v>
      </c>
      <c r="D2188" s="31">
        <v>0.05</v>
      </c>
      <c r="E2188" s="32">
        <f>IF(C2188="%MO",G2192,IFERROR(_xlfn.XLOOKUP($B2188,Equipo[DESCRIPCION],Equipo[VALOR],,0),""))</f>
        <v>21541.588487250003</v>
      </c>
      <c r="F2188" s="33"/>
      <c r="G2188" s="34">
        <f>IFERROR(IF(F2188&gt;=0,D2188*E2188*(1+F2188/100),ABS(D2188*E2188/F2188)),"")</f>
        <v>1077.0794243625003</v>
      </c>
      <c r="H2188" s="43">
        <f>IFERROR(G2188*E2177,"")</f>
        <v>0</v>
      </c>
    </row>
    <row r="2189" spans="1:11">
      <c r="A2189" s="21"/>
      <c r="B2189" s="22" t="s">
        <v>2533</v>
      </c>
      <c r="C2189" s="23"/>
      <c r="D2189" s="24"/>
      <c r="E2189" s="25"/>
      <c r="F2189" s="26"/>
      <c r="G2189" s="27">
        <f>SUM(G2190:G2191)</f>
        <v>7910.9100000000008</v>
      </c>
      <c r="H2189" s="44">
        <f>G2189*E2177</f>
        <v>0</v>
      </c>
    </row>
    <row r="2190" spans="1:11">
      <c r="A2190" s="28"/>
      <c r="B2190" s="29" t="s">
        <v>3662</v>
      </c>
      <c r="C2190" s="30" t="str">
        <f>IFERROR(_xlfn.XLOOKUP(B2190,Transporte[DESCRIPCION],Transporte[UND],,0),"")</f>
        <v>Hr</v>
      </c>
      <c r="D2190" s="31">
        <v>0.1</v>
      </c>
      <c r="E2190" s="32">
        <f>IFERROR(_xlfn.XLOOKUP($B2190,Transporte[DESCRIPCION],Transporte[VALOR],,0),"")</f>
        <v>79109.100000000006</v>
      </c>
      <c r="F2190" s="33"/>
      <c r="G2190" s="34">
        <f>IFERROR(IF(F2190&gt;=0,D2190*E2190*(1+F2190/100),ABS(D2190*E2190/F2190)),"")</f>
        <v>7910.9100000000008</v>
      </c>
      <c r="H2190" s="43">
        <f>IFERROR(G2190*E2177,"")</f>
        <v>0</v>
      </c>
    </row>
    <row r="2191" spans="1:11">
      <c r="A2191" s="28"/>
      <c r="B2191" s="29"/>
      <c r="C2191" s="30" t="str">
        <f>IFERROR(_xlfn.XLOOKUP(B2191,Transporte[DESCRIPCION],Transporte[UND],,0),"")</f>
        <v/>
      </c>
      <c r="D2191" s="31"/>
      <c r="E2191" s="32" t="str">
        <f>IFERROR(_xlfn.XLOOKUP($B2191,Transporte[DESCRIPCION],Transporte[VALOR],,0),"")</f>
        <v/>
      </c>
      <c r="F2191" s="33"/>
      <c r="G2191" s="34" t="str">
        <f>IFERROR(IF(F2191&gt;=0,D2191*E2191*(1+F2191/100),ABS(D2191*E2191/F2191)),"")</f>
        <v/>
      </c>
      <c r="H2191" s="43" t="str">
        <f>IFERROR(G2191*E2177,"")</f>
        <v/>
      </c>
    </row>
    <row r="2192" spans="1:11">
      <c r="A2192" s="21"/>
      <c r="B2192" s="22" t="s">
        <v>3732</v>
      </c>
      <c r="C2192" s="23"/>
      <c r="D2192" s="24"/>
      <c r="E2192" s="25"/>
      <c r="F2192" s="26"/>
      <c r="G2192" s="27">
        <f>SUM(G2193:G2195)</f>
        <v>21541.588487250003</v>
      </c>
      <c r="H2192" s="44">
        <f>G2192*E2177</f>
        <v>0</v>
      </c>
    </row>
    <row r="2193" spans="1:11">
      <c r="A2193" s="28"/>
      <c r="B2193" s="29" t="s">
        <v>3711</v>
      </c>
      <c r="C2193" s="30" t="str">
        <f>IFERROR(_xlfn.XLOOKUP(B2193,MObra[DESCRIPCION],MObra[UN],,0),"")</f>
        <v>día</v>
      </c>
      <c r="D2193" s="31">
        <v>1</v>
      </c>
      <c r="E2193" s="32">
        <f>IFERROR(_xlfn.XLOOKUP($B2193,MObra[DESCRIPCION],MObra[VALOR UNIT],,0),"")</f>
        <v>430831.76974500006</v>
      </c>
      <c r="F2193" s="33">
        <v>-20</v>
      </c>
      <c r="G2193" s="34">
        <f>IFERROR(IF(F2193&gt;=0,D2193*E2193*(1+F2193/100),ABS(D2193*E2193/F2193)),"")</f>
        <v>21541.588487250003</v>
      </c>
      <c r="H2193" s="43">
        <f>IFERROR(G2193*E2177,"")</f>
        <v>0</v>
      </c>
    </row>
    <row r="2194" spans="1:11">
      <c r="A2194" s="28"/>
      <c r="B2194" s="29"/>
      <c r="C2194" s="30" t="str">
        <f>IFERROR(_xlfn.XLOOKUP(B2194,MObra[DESCRIPCION],MObra[UN],,0),"")</f>
        <v/>
      </c>
      <c r="D2194" s="31"/>
      <c r="E2194" s="32" t="str">
        <f>IFERROR(_xlfn.XLOOKUP($B2194,MObra[DESCRIPCION],MObra[VALOR UNIT],,0),"")</f>
        <v/>
      </c>
      <c r="F2194" s="33"/>
      <c r="G2194" s="34" t="str">
        <f>IFERROR(IF(F2194&gt;=0,D2194*E2194*(1+F2194/100),ABS(D2194*E2194/F2194)),"")</f>
        <v/>
      </c>
      <c r="H2194" s="43" t="str">
        <f>IFERROR(G2194*E2177,"")</f>
        <v/>
      </c>
    </row>
    <row r="2195" spans="1:11" ht="13.15" thickBot="1">
      <c r="A2195" s="35"/>
      <c r="B2195" s="36"/>
      <c r="C2195" s="37" t="str">
        <f>IFERROR(_xlfn.XLOOKUP(B2195,MObra[DESCRIPCION],MObra[UN],,0),"")</f>
        <v/>
      </c>
      <c r="D2195" s="38"/>
      <c r="E2195" s="39" t="str">
        <f>IFERROR(_xlfn.XLOOKUP($B2195,MObra[DESCRIPCION],MObra[VALOR UNIT],,0),"")</f>
        <v/>
      </c>
      <c r="F2195" s="40"/>
      <c r="G2195" s="41" t="str">
        <f>IFERROR(IF(F2195&gt;=0,D2195*E2195*(1+F2195/100),ABS(D2195*E2195/F2195)),"")</f>
        <v/>
      </c>
      <c r="H2195" s="42" t="str">
        <f>IFERROR(G2195*E2177,"")</f>
        <v/>
      </c>
    </row>
    <row r="2196" spans="1:11" ht="13.5" thickTop="1" thickBot="1"/>
    <row r="2197" spans="1:11" ht="13.5" thickTop="1" thickBot="1">
      <c r="A2197" s="6" t="s">
        <v>1946</v>
      </c>
      <c r="B2197" s="7" t="str">
        <f>VLOOKUP($A2197,Presupuesto!$A:$D,2,FALSE())</f>
        <v>Pavimento concreto asfaltico caliente MDC 19</v>
      </c>
      <c r="C2197" s="8" t="str">
        <f>VLOOKUP($A2197,Presupuesto!$A:$D,3,FALSE())</f>
        <v>M3</v>
      </c>
      <c r="D2197" s="9"/>
      <c r="E2197" s="10">
        <f>VLOOKUP($A2197,Presupuesto!$A:$D,4,FALSE())</f>
        <v>0</v>
      </c>
      <c r="F2197" s="11" t="s">
        <v>2589</v>
      </c>
      <c r="G2197" s="12">
        <f>SUM(G2199:G2216)/2</f>
        <v>1332257.4753597374</v>
      </c>
      <c r="H2197" s="13">
        <f>ROUND(SUM(H2199:H2216),0)/2</f>
        <v>0</v>
      </c>
      <c r="I2197" s="10">
        <f>VLOOKUP(A2197,Presupuesto!$A:$F,6,0)</f>
        <v>0</v>
      </c>
      <c r="J2197" s="10">
        <f>+H2197-I2197</f>
        <v>0</v>
      </c>
      <c r="K2197" s="46">
        <f>+H2197-G2197*E2197</f>
        <v>0</v>
      </c>
    </row>
    <row r="2198" spans="1:11" ht="13.15" thickTop="1">
      <c r="A2198" s="14"/>
      <c r="B2198" s="15" t="s">
        <v>2586</v>
      </c>
      <c r="C2198" s="15" t="s">
        <v>5</v>
      </c>
      <c r="D2198" s="16" t="s">
        <v>6</v>
      </c>
      <c r="E2198" s="17" t="s">
        <v>7</v>
      </c>
      <c r="F2198" s="18" t="s">
        <v>3728</v>
      </c>
      <c r="G2198" s="19" t="s">
        <v>3729</v>
      </c>
      <c r="H2198" s="20" t="s">
        <v>3797</v>
      </c>
    </row>
    <row r="2199" spans="1:11">
      <c r="A2199" s="21"/>
      <c r="B2199" s="22" t="s">
        <v>3730</v>
      </c>
      <c r="C2199" s="23"/>
      <c r="D2199" s="24"/>
      <c r="E2199" s="25"/>
      <c r="F2199" s="26"/>
      <c r="G2199" s="27">
        <f>SUM(G2200:G2204)</f>
        <v>1109500.875</v>
      </c>
      <c r="H2199" s="27">
        <f>IFERROR(G2199*E2197,"")</f>
        <v>0</v>
      </c>
    </row>
    <row r="2200" spans="1:11">
      <c r="A2200" s="28"/>
      <c r="B2200" s="29" t="s">
        <v>2865</v>
      </c>
      <c r="C2200" s="30" t="str">
        <f>IFERROR(_xlfn.XLOOKUP(B2200,Insumo[DESCRIPCION],Insumo[UND],,0),"")</f>
        <v>M3</v>
      </c>
      <c r="D2200" s="31">
        <v>1</v>
      </c>
      <c r="E2200" s="32">
        <f>IFERROR(_xlfn.XLOOKUP($B2200,Insumo[DESCRIPCION],Insumo[VALOR],,0),"")</f>
        <v>887054.70000000007</v>
      </c>
      <c r="F2200" s="33">
        <v>25</v>
      </c>
      <c r="G2200" s="34">
        <f>IFERROR(IF(F2200&gt;=0,D2200*E2200*(1+F2200/100),ABS(D2200*E2200/F2200)),"")</f>
        <v>1108818.375</v>
      </c>
      <c r="H2200" s="43">
        <f>IFERROR(G2200*E2197,"")</f>
        <v>0</v>
      </c>
    </row>
    <row r="2201" spans="1:11">
      <c r="A2201" s="28"/>
      <c r="B2201" s="29" t="s">
        <v>2685</v>
      </c>
      <c r="C2201" s="30" t="str">
        <f>IFERROR(_xlfn.XLOOKUP(B2201,Insumo[DESCRIPCION],Insumo[UND],,0),"")</f>
        <v>Lt</v>
      </c>
      <c r="D2201" s="31">
        <v>25</v>
      </c>
      <c r="E2201" s="32">
        <f>IFERROR(_xlfn.XLOOKUP($B2201,Insumo[DESCRIPCION],Insumo[VALOR],,0),"")</f>
        <v>27.3</v>
      </c>
      <c r="F2201" s="33"/>
      <c r="G2201" s="34">
        <f>IFERROR(IF(F2201&gt;=0,D2201*E2201*(1+F2201/100),ABS(D2201*E2201/F2201)),"")</f>
        <v>682.5</v>
      </c>
      <c r="H2201" s="43">
        <f>IFERROR(G2201*E2197,"")</f>
        <v>0</v>
      </c>
    </row>
    <row r="2202" spans="1:11">
      <c r="A2202" s="28"/>
      <c r="B2202" s="29"/>
      <c r="C2202" s="30" t="str">
        <f>IFERROR(_xlfn.XLOOKUP(B2202,Insumo[DESCRIPCION],Insumo[UND],,0),"")</f>
        <v/>
      </c>
      <c r="D2202" s="31"/>
      <c r="E2202" s="32" t="str">
        <f>IFERROR(_xlfn.XLOOKUP($B2202,Insumo[DESCRIPCION],Insumo[VALOR],,0),"")</f>
        <v/>
      </c>
      <c r="F2202" s="33"/>
      <c r="G2202" s="34" t="str">
        <f>IFERROR(IF(F2202&gt;=0,D2202*E2202*(1+F2202/100),ABS(D2202*E2202/F2202)),"")</f>
        <v/>
      </c>
      <c r="H2202" s="43" t="str">
        <f>IFERROR(G2202*E2197,"")</f>
        <v/>
      </c>
    </row>
    <row r="2203" spans="1:11">
      <c r="A2203" s="28"/>
      <c r="B2203" s="29"/>
      <c r="C2203" s="30"/>
      <c r="D2203" s="31"/>
      <c r="E2203" s="32" t="str">
        <f>IFERROR(_xlfn.XLOOKUP($B2203,Insumo[DESCRIPCION],Insumo[VALOR],,0),"")</f>
        <v/>
      </c>
      <c r="F2203" s="33"/>
      <c r="G2203" s="34" t="str">
        <f>IFERROR(IF(F2203&gt;=0,D2203*E2203*(1+F2203/100),ABS(D2203*E2203/F2203)),"")</f>
        <v/>
      </c>
      <c r="H2203" s="43" t="str">
        <f>IFERROR(G2203*E2197,"")</f>
        <v/>
      </c>
    </row>
    <row r="2204" spans="1:11">
      <c r="A2204" s="28"/>
      <c r="B2204" s="29"/>
      <c r="C2204" s="30" t="str">
        <f>IFERROR(_xlfn.XLOOKUP(B2204,Insumo[DESCRIPCION],Insumo[UND],,0),"")</f>
        <v/>
      </c>
      <c r="D2204" s="31"/>
      <c r="E2204" s="32" t="str">
        <f>IFERROR(_xlfn.XLOOKUP($B2204,Insumo[DESCRIPCION],Insumo[VALOR],,0),"")</f>
        <v/>
      </c>
      <c r="F2204" s="33"/>
      <c r="G2204" s="34" t="str">
        <f>IFERROR(IF(F2204&gt;=0,D2204*E2204*(1+F2204/100),ABS(D2204*E2204/F2204)),"")</f>
        <v/>
      </c>
      <c r="H2204" s="43" t="str">
        <f>IFERROR(G2204*E2197,"")</f>
        <v/>
      </c>
    </row>
    <row r="2205" spans="1:11">
      <c r="A2205" s="21"/>
      <c r="B2205" s="22" t="s">
        <v>3731</v>
      </c>
      <c r="C2205" s="23"/>
      <c r="D2205" s="24"/>
      <c r="E2205" s="25"/>
      <c r="F2205" s="26"/>
      <c r="G2205" s="27">
        <f>SUM(G2206:G2209)</f>
        <v>72391.507159987508</v>
      </c>
      <c r="H2205" s="44">
        <f>G2205*E2197</f>
        <v>0</v>
      </c>
    </row>
    <row r="2206" spans="1:11">
      <c r="A2206" s="28"/>
      <c r="B2206" s="29" t="s">
        <v>3592</v>
      </c>
      <c r="C2206" s="30" t="str">
        <f>IFERROR(_xlfn.XLOOKUP(B2206,Equipo[DESCRIPCION],Equipo[UND],,0),"")</f>
        <v>Hr</v>
      </c>
      <c r="D2206" s="31">
        <v>1</v>
      </c>
      <c r="E2206" s="32">
        <f>IF(C2206="%MO",G2213,IFERROR(_xlfn.XLOOKUP($B2206,Equipo[DESCRIPCION],Equipo[VALOR],,0),""))</f>
        <v>115500</v>
      </c>
      <c r="F2206" s="33">
        <v>-10</v>
      </c>
      <c r="G2206" s="34">
        <f>IFERROR(IF(F2206&gt;=0,D2206*E2206*(1+F2206/100),ABS(D2206*E2206/F2206)),"")</f>
        <v>11550</v>
      </c>
      <c r="H2206" s="43">
        <f>IFERROR(G2206*E2197,"")</f>
        <v>0</v>
      </c>
    </row>
    <row r="2207" spans="1:11">
      <c r="A2207" s="28"/>
      <c r="B2207" s="29" t="s">
        <v>3593</v>
      </c>
      <c r="C2207" s="30" t="str">
        <f>IFERROR(_xlfn.XLOOKUP(B2207,Equipo[DESCRIPCION],Equipo[UND],,0),"")</f>
        <v>Hr</v>
      </c>
      <c r="D2207" s="31">
        <v>1</v>
      </c>
      <c r="E2207" s="32">
        <f>IF(C2207="%MO",G2214,IFERROR(_xlfn.XLOOKUP($B2207,Equipo[DESCRIPCION],Equipo[VALOR],,0),""))</f>
        <v>187543.65</v>
      </c>
      <c r="F2207" s="33">
        <v>-10</v>
      </c>
      <c r="G2207" s="34">
        <f>IFERROR(IF(F2207&gt;=0,D2207*E2207*(1+F2207/100),ABS(D2207*E2207/F2207)),"")</f>
        <v>18754.364999999998</v>
      </c>
      <c r="H2207" s="43">
        <f>IFERROR(G2207*E2197,"")</f>
        <v>0</v>
      </c>
    </row>
    <row r="2208" spans="1:11">
      <c r="A2208" s="28"/>
      <c r="B2208" s="29" t="s">
        <v>3614</v>
      </c>
      <c r="C2208" s="30" t="str">
        <f>IFERROR(_xlfn.XLOOKUP(B2208,Equipo[DESCRIPCION],Equipo[UND],,0),"")</f>
        <v>Hr</v>
      </c>
      <c r="D2208" s="31">
        <v>1</v>
      </c>
      <c r="E2208" s="32">
        <f>IF(C2208="%MO",G2214,IFERROR(_xlfn.XLOOKUP($B2208,Equipo[DESCRIPCION],Equipo[VALOR],,0),""))</f>
        <v>395545.5</v>
      </c>
      <c r="F2208" s="33">
        <v>-10</v>
      </c>
      <c r="G2208" s="34">
        <f>IFERROR(IF(F2208&gt;=0,D2208*E2208*(1+F2208/100),ABS(D2208*E2208/F2208)),"")</f>
        <v>39554.550000000003</v>
      </c>
      <c r="H2208" s="43">
        <f>IFERROR(G2208*E2197,"")</f>
        <v>0</v>
      </c>
    </row>
    <row r="2209" spans="1:11">
      <c r="A2209" s="28"/>
      <c r="B2209" s="29" t="s">
        <v>3626</v>
      </c>
      <c r="C2209" s="30" t="str">
        <f>IFERROR(_xlfn.XLOOKUP(B2209,Equipo[DESCRIPCION],Equipo[UND],,0),"")</f>
        <v>%MO</v>
      </c>
      <c r="D2209" s="31">
        <v>0.05</v>
      </c>
      <c r="E2209" s="32">
        <f>IF(C2209="%MO",G2213,IFERROR(_xlfn.XLOOKUP($B2209,Equipo[DESCRIPCION],Equipo[VALOR],,0),""))</f>
        <v>50651.843199750016</v>
      </c>
      <c r="F2209" s="33"/>
      <c r="G2209" s="34">
        <f>IFERROR(IF(F2209&gt;=0,D2209*E2209*(1+F2209/100),ABS(D2209*E2209/F2209)),"")</f>
        <v>2532.592159987501</v>
      </c>
      <c r="H2209" s="43">
        <f>IFERROR(G2209*E2197,"")</f>
        <v>0</v>
      </c>
    </row>
    <row r="2210" spans="1:11">
      <c r="A2210" s="21"/>
      <c r="B2210" s="22" t="s">
        <v>2533</v>
      </c>
      <c r="C2210" s="23"/>
      <c r="D2210" s="24"/>
      <c r="E2210" s="25"/>
      <c r="F2210" s="26"/>
      <c r="G2210" s="27">
        <f>SUM(G2211:G2212)</f>
        <v>99713.25</v>
      </c>
      <c r="H2210" s="44">
        <f>G2210*E2197</f>
        <v>0</v>
      </c>
    </row>
    <row r="2211" spans="1:11">
      <c r="A2211" s="28"/>
      <c r="B2211" s="29" t="s">
        <v>3664</v>
      </c>
      <c r="C2211" s="30" t="str">
        <f>IFERROR(_xlfn.XLOOKUP(B2211,Transporte[DESCRIPCION],Transporte[UND],,0),"")</f>
        <v>M3-km</v>
      </c>
      <c r="D2211" s="31">
        <f>52*1.25</f>
        <v>65</v>
      </c>
      <c r="E2211" s="32">
        <f>IFERROR(_xlfn.XLOOKUP($B2211,Transporte[DESCRIPCION],Transporte[VALOR],,0),"")</f>
        <v>1534.05</v>
      </c>
      <c r="F2211" s="33"/>
      <c r="G2211" s="34">
        <f>IFERROR(IF(F2211&gt;=0,D2211*E2211*(1+F2211/100),ABS(D2211*E2211/F2211)),"")</f>
        <v>99713.25</v>
      </c>
      <c r="H2211" s="43">
        <f>IFERROR(G2211*E2197,"")</f>
        <v>0</v>
      </c>
    </row>
    <row r="2212" spans="1:11">
      <c r="A2212" s="28"/>
      <c r="B2212" s="29"/>
      <c r="C2212" s="30" t="str">
        <f>IFERROR(_xlfn.XLOOKUP(B2212,Transporte[DESCRIPCION],Transporte[UND],,0),"")</f>
        <v/>
      </c>
      <c r="D2212" s="31"/>
      <c r="E2212" s="32" t="str">
        <f>IFERROR(_xlfn.XLOOKUP($B2212,Transporte[DESCRIPCION],Transporte[VALOR],,0),"")</f>
        <v/>
      </c>
      <c r="F2212" s="33"/>
      <c r="G2212" s="34" t="str">
        <f>IFERROR(IF(F2212&gt;=0,D2212*E2212*(1+F2212/100),ABS(D2212*E2212/F2212)),"")</f>
        <v/>
      </c>
      <c r="H2212" s="43" t="str">
        <f>IFERROR(G2212*E2197,"")</f>
        <v/>
      </c>
    </row>
    <row r="2213" spans="1:11">
      <c r="A2213" s="21"/>
      <c r="B2213" s="22" t="s">
        <v>3732</v>
      </c>
      <c r="C2213" s="23"/>
      <c r="D2213" s="24"/>
      <c r="E2213" s="25"/>
      <c r="F2213" s="26"/>
      <c r="G2213" s="27">
        <f>SUM(G2214:G2216)</f>
        <v>50651.843199750016</v>
      </c>
      <c r="H2213" s="44">
        <f>G2213*E2197</f>
        <v>0</v>
      </c>
      <c r="I2213" s="47"/>
    </row>
    <row r="2214" spans="1:11">
      <c r="A2214" s="28"/>
      <c r="B2214" s="29" t="s">
        <v>3714</v>
      </c>
      <c r="C2214" s="30" t="str">
        <f>IFERROR(_xlfn.XLOOKUP(B2214,MObra[DESCRIPCION],MObra[UN],,0),"")</f>
        <v>día</v>
      </c>
      <c r="D2214" s="31">
        <v>1</v>
      </c>
      <c r="E2214" s="32">
        <f>IFERROR(_xlfn.XLOOKUP($B2214,MObra[DESCRIPCION],MObra[VALOR UNIT],,0),"")</f>
        <v>1013036.8639950003</v>
      </c>
      <c r="F2214" s="33">
        <v>-20</v>
      </c>
      <c r="G2214" s="34">
        <f>IFERROR(IF(F2214&gt;=0,D2214*E2214*(1+F2214/100),ABS(D2214*E2214/F2214)),"")</f>
        <v>50651.843199750016</v>
      </c>
      <c r="H2214" s="43">
        <f>IFERROR(G2214*E2197,"")</f>
        <v>0</v>
      </c>
    </row>
    <row r="2215" spans="1:11">
      <c r="A2215" s="28"/>
      <c r="B2215" s="29"/>
      <c r="C2215" s="30" t="str">
        <f>IFERROR(_xlfn.XLOOKUP(B2215,MObra[DESCRIPCION],MObra[UN],,0),"")</f>
        <v/>
      </c>
      <c r="D2215" s="31"/>
      <c r="E2215" s="32" t="str">
        <f>IFERROR(_xlfn.XLOOKUP($B2215,MObra[DESCRIPCION],MObra[VALOR UNIT],,0),"")</f>
        <v/>
      </c>
      <c r="F2215" s="33"/>
      <c r="G2215" s="34" t="str">
        <f>IFERROR(IF(F2215&gt;=0,D2215*E2215*(1+F2215/100),ABS(D2215*E2215/F2215)),"")</f>
        <v/>
      </c>
      <c r="H2215" s="43" t="str">
        <f>IFERROR(G2215*E2197,"")</f>
        <v/>
      </c>
    </row>
    <row r="2216" spans="1:11" ht="13.15" thickBot="1">
      <c r="A2216" s="35"/>
      <c r="B2216" s="36"/>
      <c r="C2216" s="37" t="str">
        <f>IFERROR(_xlfn.XLOOKUP(B2216,MObra[DESCRIPCION],MObra[UN],,0),"")</f>
        <v/>
      </c>
      <c r="D2216" s="38"/>
      <c r="E2216" s="39" t="str">
        <f>IFERROR(_xlfn.XLOOKUP($B2216,MObra[DESCRIPCION],MObra[VALOR UNIT],,0),"")</f>
        <v/>
      </c>
      <c r="F2216" s="40"/>
      <c r="G2216" s="41" t="str">
        <f>IFERROR(IF(F2216&gt;=0,D2216*E2216*(1+F2216/100),ABS(D2216*E2216/F2216)),"")</f>
        <v/>
      </c>
      <c r="H2216" s="42" t="str">
        <f>IFERROR(G2216*E2197,"")</f>
        <v/>
      </c>
    </row>
    <row r="2217" spans="1:11" ht="13.5" thickTop="1" thickBot="1"/>
    <row r="2218" spans="1:11" ht="13.5" thickTop="1" thickBot="1">
      <c r="A2218" s="6" t="s">
        <v>1948</v>
      </c>
      <c r="B2218" s="7" t="str">
        <f>VLOOKUP($A2218,Presupuesto!$A:$D,2,FALSE())</f>
        <v>Pavimento concreto asfaltico frio</v>
      </c>
      <c r="C2218" s="8" t="str">
        <f>VLOOKUP($A2218,Presupuesto!$A:$D,3,FALSE())</f>
        <v>M3</v>
      </c>
      <c r="D2218" s="9"/>
      <c r="E2218" s="10">
        <f>VLOOKUP($A2218,Presupuesto!$A:$D,4,FALSE())</f>
        <v>0</v>
      </c>
      <c r="F2218" s="11" t="s">
        <v>2589</v>
      </c>
      <c r="G2218" s="12">
        <f>SUM(G2220:G2237)/2</f>
        <v>1203095.6628597372</v>
      </c>
      <c r="H2218" s="13">
        <f>ROUND(SUM(H2220:H2237),0)/2</f>
        <v>0</v>
      </c>
      <c r="I2218" s="10">
        <f>VLOOKUP(A2218,Presupuesto!$A:$F,6,0)</f>
        <v>0</v>
      </c>
      <c r="J2218" s="10">
        <f>+H2218-I2218</f>
        <v>0</v>
      </c>
      <c r="K2218" s="46">
        <f>+H2218-G2218*E2218</f>
        <v>0</v>
      </c>
    </row>
    <row r="2219" spans="1:11" ht="13.15" thickTop="1">
      <c r="A2219" s="14"/>
      <c r="B2219" s="15" t="s">
        <v>2586</v>
      </c>
      <c r="C2219" s="15" t="s">
        <v>5</v>
      </c>
      <c r="D2219" s="16" t="s">
        <v>6</v>
      </c>
      <c r="E2219" s="17" t="s">
        <v>7</v>
      </c>
      <c r="F2219" s="18" t="s">
        <v>3728</v>
      </c>
      <c r="G2219" s="19" t="s">
        <v>3729</v>
      </c>
      <c r="H2219" s="20" t="s">
        <v>3797</v>
      </c>
    </row>
    <row r="2220" spans="1:11">
      <c r="A2220" s="21"/>
      <c r="B2220" s="22" t="s">
        <v>3730</v>
      </c>
      <c r="C2220" s="23"/>
      <c r="D2220" s="24"/>
      <c r="E2220" s="25"/>
      <c r="F2220" s="26"/>
      <c r="G2220" s="27">
        <f>SUM(G2221:G2225)</f>
        <v>980339.06249999988</v>
      </c>
      <c r="H2220" s="27">
        <f>IFERROR(G2220*E2218,"")</f>
        <v>0</v>
      </c>
    </row>
    <row r="2221" spans="1:11">
      <c r="A2221" s="28"/>
      <c r="B2221" s="29" t="s">
        <v>3171</v>
      </c>
      <c r="C2221" s="30" t="str">
        <f>IFERROR(_xlfn.XLOOKUP(B2221,Insumo[DESCRIPCION],Insumo[UND],,0),"")</f>
        <v>M3</v>
      </c>
      <c r="D2221" s="31">
        <v>1</v>
      </c>
      <c r="E2221" s="32">
        <f>IFERROR(_xlfn.XLOOKUP($B2221,Insumo[DESCRIPCION],Insumo[VALOR],,0),"")</f>
        <v>852468.75</v>
      </c>
      <c r="F2221" s="33">
        <v>15</v>
      </c>
      <c r="G2221" s="34">
        <f>IFERROR(IF(F2221&gt;=0,D2221*E2221*(1+F2221/100),ABS(D2221*E2221/F2221)),"")</f>
        <v>980339.06249999988</v>
      </c>
      <c r="H2221" s="43">
        <f>IFERROR(G2221*E2218,"")</f>
        <v>0</v>
      </c>
    </row>
    <row r="2222" spans="1:11">
      <c r="A2222" s="28"/>
      <c r="B2222" s="29"/>
      <c r="C2222" s="30" t="str">
        <f>IFERROR(_xlfn.XLOOKUP(B2222,Insumo[DESCRIPCION],Insumo[UND],,0),"")</f>
        <v/>
      </c>
      <c r="D2222" s="31"/>
      <c r="E2222" s="32" t="str">
        <f>IFERROR(_xlfn.XLOOKUP($B2222,Insumo[DESCRIPCION],Insumo[VALOR],,0),"")</f>
        <v/>
      </c>
      <c r="F2222" s="33"/>
      <c r="G2222" s="34" t="str">
        <f>IFERROR(IF(F2222&gt;=0,D2222*E2222*(1+F2222/100),ABS(D2222*E2222/F2222)),"")</f>
        <v/>
      </c>
      <c r="H2222" s="43" t="str">
        <f>IFERROR(G2222*E2218,"")</f>
        <v/>
      </c>
    </row>
    <row r="2223" spans="1:11">
      <c r="A2223" s="28"/>
      <c r="B2223" s="29"/>
      <c r="C2223" s="30" t="str">
        <f>IFERROR(_xlfn.XLOOKUP(B2223,Insumo[DESCRIPCION],Insumo[UND],,0),"")</f>
        <v/>
      </c>
      <c r="D2223" s="31"/>
      <c r="E2223" s="32" t="str">
        <f>IFERROR(_xlfn.XLOOKUP($B2223,Insumo[DESCRIPCION],Insumo[VALOR],,0),"")</f>
        <v/>
      </c>
      <c r="F2223" s="33"/>
      <c r="G2223" s="34" t="str">
        <f>IFERROR(IF(F2223&gt;=0,D2223*E2223*(1+F2223/100),ABS(D2223*E2223/F2223)),"")</f>
        <v/>
      </c>
      <c r="H2223" s="43" t="str">
        <f>IFERROR(G2223*E2218,"")</f>
        <v/>
      </c>
    </row>
    <row r="2224" spans="1:11">
      <c r="A2224" s="28"/>
      <c r="B2224" s="29"/>
      <c r="C2224" s="30"/>
      <c r="D2224" s="31"/>
      <c r="E2224" s="32" t="str">
        <f>IFERROR(_xlfn.XLOOKUP($B2224,Insumo[DESCRIPCION],Insumo[VALOR],,0),"")</f>
        <v/>
      </c>
      <c r="F2224" s="33"/>
      <c r="G2224" s="34" t="str">
        <f>IFERROR(IF(F2224&gt;=0,D2224*E2224*(1+F2224/100),ABS(D2224*E2224/F2224)),"")</f>
        <v/>
      </c>
      <c r="H2224" s="43" t="str">
        <f>IFERROR(G2224*E2218,"")</f>
        <v/>
      </c>
    </row>
    <row r="2225" spans="1:11">
      <c r="A2225" s="28"/>
      <c r="B2225" s="29"/>
      <c r="C2225" s="30" t="str">
        <f>IFERROR(_xlfn.XLOOKUP(B2225,Insumo[DESCRIPCION],Insumo[UND],,0),"")</f>
        <v/>
      </c>
      <c r="D2225" s="31"/>
      <c r="E2225" s="32" t="str">
        <f>IFERROR(_xlfn.XLOOKUP($B2225,Insumo[DESCRIPCION],Insumo[VALOR],,0),"")</f>
        <v/>
      </c>
      <c r="F2225" s="33"/>
      <c r="G2225" s="34" t="str">
        <f>IFERROR(IF(F2225&gt;=0,D2225*E2225*(1+F2225/100),ABS(D2225*E2225/F2225)),"")</f>
        <v/>
      </c>
      <c r="H2225" s="43" t="str">
        <f>IFERROR(G2225*E2218,"")</f>
        <v/>
      </c>
    </row>
    <row r="2226" spans="1:11">
      <c r="A2226" s="21"/>
      <c r="B2226" s="22" t="s">
        <v>3731</v>
      </c>
      <c r="C2226" s="23"/>
      <c r="D2226" s="24"/>
      <c r="E2226" s="25"/>
      <c r="F2226" s="26"/>
      <c r="G2226" s="27">
        <f>SUM(G2227:G2230)</f>
        <v>72391.507159987508</v>
      </c>
      <c r="H2226" s="44">
        <f>G2226*E2218</f>
        <v>0</v>
      </c>
    </row>
    <row r="2227" spans="1:11">
      <c r="A2227" s="28"/>
      <c r="B2227" s="29" t="s">
        <v>3592</v>
      </c>
      <c r="C2227" s="30" t="str">
        <f>IFERROR(_xlfn.XLOOKUP(B2227,Equipo[DESCRIPCION],Equipo[UND],,0),"")</f>
        <v>Hr</v>
      </c>
      <c r="D2227" s="31">
        <v>1</v>
      </c>
      <c r="E2227" s="32">
        <f>IF(C2227="%MO",G2234,IFERROR(_xlfn.XLOOKUP($B2227,Equipo[DESCRIPCION],Equipo[VALOR],,0),""))</f>
        <v>115500</v>
      </c>
      <c r="F2227" s="33">
        <v>-10</v>
      </c>
      <c r="G2227" s="34">
        <f>IFERROR(IF(F2227&gt;=0,D2227*E2227*(1+F2227/100),ABS(D2227*E2227/F2227)),"")</f>
        <v>11550</v>
      </c>
      <c r="H2227" s="43">
        <f>IFERROR(G2227*E2218,"")</f>
        <v>0</v>
      </c>
    </row>
    <row r="2228" spans="1:11">
      <c r="A2228" s="28"/>
      <c r="B2228" s="29" t="s">
        <v>3593</v>
      </c>
      <c r="C2228" s="30" t="str">
        <f>IFERROR(_xlfn.XLOOKUP(B2228,Equipo[DESCRIPCION],Equipo[UND],,0),"")</f>
        <v>Hr</v>
      </c>
      <c r="D2228" s="31">
        <v>1</v>
      </c>
      <c r="E2228" s="32">
        <f>IF(C2228="%MO",G2235,IFERROR(_xlfn.XLOOKUP($B2228,Equipo[DESCRIPCION],Equipo[VALOR],,0),""))</f>
        <v>187543.65</v>
      </c>
      <c r="F2228" s="33">
        <v>-10</v>
      </c>
      <c r="G2228" s="34">
        <f>IFERROR(IF(F2228&gt;=0,D2228*E2228*(1+F2228/100),ABS(D2228*E2228/F2228)),"")</f>
        <v>18754.364999999998</v>
      </c>
      <c r="H2228" s="43">
        <f>IFERROR(G2228*E2218,"")</f>
        <v>0</v>
      </c>
    </row>
    <row r="2229" spans="1:11">
      <c r="A2229" s="28"/>
      <c r="B2229" s="29" t="s">
        <v>3614</v>
      </c>
      <c r="C2229" s="30" t="str">
        <f>IFERROR(_xlfn.XLOOKUP(B2229,Equipo[DESCRIPCION],Equipo[UND],,0),"")</f>
        <v>Hr</v>
      </c>
      <c r="D2229" s="31">
        <v>1</v>
      </c>
      <c r="E2229" s="32">
        <f>IF(C2229="%MO",G2235,IFERROR(_xlfn.XLOOKUP($B2229,Equipo[DESCRIPCION],Equipo[VALOR],,0),""))</f>
        <v>395545.5</v>
      </c>
      <c r="F2229" s="33">
        <v>-10</v>
      </c>
      <c r="G2229" s="34">
        <f>IFERROR(IF(F2229&gt;=0,D2229*E2229*(1+F2229/100),ABS(D2229*E2229/F2229)),"")</f>
        <v>39554.550000000003</v>
      </c>
      <c r="H2229" s="43">
        <f>IFERROR(G2229*E2218,"")</f>
        <v>0</v>
      </c>
    </row>
    <row r="2230" spans="1:11">
      <c r="A2230" s="28"/>
      <c r="B2230" s="29" t="s">
        <v>3626</v>
      </c>
      <c r="C2230" s="30" t="str">
        <f>IFERROR(_xlfn.XLOOKUP(B2230,Equipo[DESCRIPCION],Equipo[UND],,0),"")</f>
        <v>%MO</v>
      </c>
      <c r="D2230" s="31">
        <v>0.05</v>
      </c>
      <c r="E2230" s="32">
        <f>IF(C2230="%MO",G2234,IFERROR(_xlfn.XLOOKUP($B2230,Equipo[DESCRIPCION],Equipo[VALOR],,0),""))</f>
        <v>50651.843199750016</v>
      </c>
      <c r="F2230" s="33"/>
      <c r="G2230" s="34">
        <f>IFERROR(IF(F2230&gt;=0,D2230*E2230*(1+F2230/100),ABS(D2230*E2230/F2230)),"")</f>
        <v>2532.592159987501</v>
      </c>
      <c r="H2230" s="43">
        <f>IFERROR(G2230*E2218,"")</f>
        <v>0</v>
      </c>
    </row>
    <row r="2231" spans="1:11">
      <c r="A2231" s="21"/>
      <c r="B2231" s="22" t="s">
        <v>2533</v>
      </c>
      <c r="C2231" s="23"/>
      <c r="D2231" s="24"/>
      <c r="E2231" s="25"/>
      <c r="F2231" s="26"/>
      <c r="G2231" s="27">
        <f>SUM(G2232:G2233)</f>
        <v>99713.25</v>
      </c>
      <c r="H2231" s="44">
        <f>G2231*E2218</f>
        <v>0</v>
      </c>
    </row>
    <row r="2232" spans="1:11">
      <c r="A2232" s="28"/>
      <c r="B2232" s="29" t="s">
        <v>3664</v>
      </c>
      <c r="C2232" s="30" t="str">
        <f>IFERROR(_xlfn.XLOOKUP(B2232,Transporte[DESCRIPCION],Transporte[UND],,0),"")</f>
        <v>M3-km</v>
      </c>
      <c r="D2232" s="31">
        <f>52*1.25</f>
        <v>65</v>
      </c>
      <c r="E2232" s="32">
        <f>IFERROR(_xlfn.XLOOKUP($B2232,Transporte[DESCRIPCION],Transporte[VALOR],,0),"")</f>
        <v>1534.05</v>
      </c>
      <c r="F2232" s="33"/>
      <c r="G2232" s="34">
        <f>IFERROR(IF(F2232&gt;=0,D2232*E2232*(1+F2232/100),ABS(D2232*E2232/F2232)),"")</f>
        <v>99713.25</v>
      </c>
      <c r="H2232" s="43">
        <f>IFERROR(G2232*E2218,"")</f>
        <v>0</v>
      </c>
    </row>
    <row r="2233" spans="1:11">
      <c r="A2233" s="28"/>
      <c r="B2233" s="29"/>
      <c r="C2233" s="30" t="str">
        <f>IFERROR(_xlfn.XLOOKUP(B2233,Transporte[DESCRIPCION],Transporte[UND],,0),"")</f>
        <v/>
      </c>
      <c r="D2233" s="31"/>
      <c r="E2233" s="32" t="str">
        <f>IFERROR(_xlfn.XLOOKUP($B2233,Transporte[DESCRIPCION],Transporte[VALOR],,0),"")</f>
        <v/>
      </c>
      <c r="F2233" s="33"/>
      <c r="G2233" s="34" t="str">
        <f>IFERROR(IF(F2233&gt;=0,D2233*E2233*(1+F2233/100),ABS(D2233*E2233/F2233)),"")</f>
        <v/>
      </c>
      <c r="H2233" s="43" t="str">
        <f>IFERROR(G2233*E2218,"")</f>
        <v/>
      </c>
    </row>
    <row r="2234" spans="1:11">
      <c r="A2234" s="21"/>
      <c r="B2234" s="22" t="s">
        <v>3732</v>
      </c>
      <c r="C2234" s="23"/>
      <c r="D2234" s="24"/>
      <c r="E2234" s="25"/>
      <c r="F2234" s="26"/>
      <c r="G2234" s="27">
        <f>SUM(G2235:G2237)</f>
        <v>50651.843199750016</v>
      </c>
      <c r="H2234" s="44">
        <f>G2234*E2218</f>
        <v>0</v>
      </c>
    </row>
    <row r="2235" spans="1:11">
      <c r="A2235" s="28"/>
      <c r="B2235" s="29" t="s">
        <v>3714</v>
      </c>
      <c r="C2235" s="30" t="str">
        <f>IFERROR(_xlfn.XLOOKUP(B2235,MObra[DESCRIPCION],MObra[UN],,0),"")</f>
        <v>día</v>
      </c>
      <c r="D2235" s="31">
        <v>1</v>
      </c>
      <c r="E2235" s="32">
        <f>IFERROR(_xlfn.XLOOKUP($B2235,MObra[DESCRIPCION],MObra[VALOR UNIT],,0),"")</f>
        <v>1013036.8639950003</v>
      </c>
      <c r="F2235" s="33">
        <v>-20</v>
      </c>
      <c r="G2235" s="34">
        <f>IFERROR(IF(F2235&gt;=0,D2235*E2235*(1+F2235/100),ABS(D2235*E2235/F2235)),"")</f>
        <v>50651.843199750016</v>
      </c>
      <c r="H2235" s="43">
        <f>IFERROR(G2235*E2218,"")</f>
        <v>0</v>
      </c>
    </row>
    <row r="2236" spans="1:11">
      <c r="A2236" s="28"/>
      <c r="B2236" s="29"/>
      <c r="C2236" s="30" t="str">
        <f>IFERROR(_xlfn.XLOOKUP(B2236,MObra[DESCRIPCION],MObra[UN],,0),"")</f>
        <v/>
      </c>
      <c r="D2236" s="31"/>
      <c r="E2236" s="32" t="str">
        <f>IFERROR(_xlfn.XLOOKUP($B2236,MObra[DESCRIPCION],MObra[VALOR UNIT],,0),"")</f>
        <v/>
      </c>
      <c r="F2236" s="33"/>
      <c r="G2236" s="34" t="str">
        <f>IFERROR(IF(F2236&gt;=0,D2236*E2236*(1+F2236/100),ABS(D2236*E2236/F2236)),"")</f>
        <v/>
      </c>
      <c r="H2236" s="43" t="str">
        <f>IFERROR(G2236*E2218,"")</f>
        <v/>
      </c>
    </row>
    <row r="2237" spans="1:11" ht="13.15" thickBot="1">
      <c r="A2237" s="35"/>
      <c r="B2237" s="36"/>
      <c r="C2237" s="37" t="str">
        <f>IFERROR(_xlfn.XLOOKUP(B2237,MObra[DESCRIPCION],MObra[UN],,0),"")</f>
        <v/>
      </c>
      <c r="D2237" s="38"/>
      <c r="E2237" s="39" t="str">
        <f>IFERROR(_xlfn.XLOOKUP($B2237,MObra[DESCRIPCION],MObra[VALOR UNIT],,0),"")</f>
        <v/>
      </c>
      <c r="F2237" s="40"/>
      <c r="G2237" s="41" t="str">
        <f>IFERROR(IF(F2237&gt;=0,D2237*E2237*(1+F2237/100),ABS(D2237*E2237/F2237)),"")</f>
        <v/>
      </c>
      <c r="H2237" s="42" t="str">
        <f>IFERROR(G2237*E2218,"")</f>
        <v/>
      </c>
    </row>
    <row r="2238" spans="1:11" ht="13.5" thickTop="1" thickBot="1"/>
    <row r="2239" spans="1:11" ht="13.5" thickTop="1" thickBot="1">
      <c r="A2239" s="6" t="s">
        <v>1950</v>
      </c>
      <c r="B2239" s="7" t="str">
        <f>VLOOKUP($A2239,Presupuesto!$A:$D,2,FALSE())</f>
        <v>Pavimento Mr = 3.6 Mpa obra</v>
      </c>
      <c r="C2239" s="8" t="str">
        <f>VLOOKUP($A2239,Presupuesto!$A:$D,3,FALSE())</f>
        <v>M3</v>
      </c>
      <c r="D2239" s="9"/>
      <c r="E2239" s="10">
        <f>VLOOKUP($A2239,Presupuesto!$A:$D,4,FALSE())</f>
        <v>0</v>
      </c>
      <c r="F2239" s="11" t="s">
        <v>2589</v>
      </c>
      <c r="G2239" s="12">
        <f>SUM(G2241:G2259)/2</f>
        <v>720041.12930026546</v>
      </c>
      <c r="H2239" s="13">
        <f>ROUND(SUM(H2241:H2259),0)/2</f>
        <v>0</v>
      </c>
      <c r="I2239" s="10">
        <f>VLOOKUP(A2239,Presupuesto!$A:$F,6,0)</f>
        <v>0</v>
      </c>
      <c r="J2239" s="10">
        <f>+H2239-I2239</f>
        <v>0</v>
      </c>
      <c r="K2239" s="46">
        <f>+H2239-G2239*E2239</f>
        <v>0</v>
      </c>
    </row>
    <row r="2240" spans="1:11" ht="13.15" thickTop="1">
      <c r="A2240" s="14"/>
      <c r="B2240" s="15" t="s">
        <v>2586</v>
      </c>
      <c r="C2240" s="15" t="s">
        <v>5</v>
      </c>
      <c r="D2240" s="16" t="s">
        <v>6</v>
      </c>
      <c r="E2240" s="17" t="s">
        <v>7</v>
      </c>
      <c r="F2240" s="18" t="s">
        <v>3728</v>
      </c>
      <c r="G2240" s="19" t="s">
        <v>3729</v>
      </c>
      <c r="H2240" s="20" t="s">
        <v>3797</v>
      </c>
    </row>
    <row r="2241" spans="1:8">
      <c r="A2241" s="21"/>
      <c r="B2241" s="22" t="s">
        <v>3730</v>
      </c>
      <c r="C2241" s="23"/>
      <c r="D2241" s="24"/>
      <c r="E2241" s="25"/>
      <c r="F2241" s="26"/>
      <c r="G2241" s="27">
        <f>SUM(G2242:G2246)</f>
        <v>536794.28734595305</v>
      </c>
      <c r="H2241" s="27">
        <f>IFERROR(G2241*E2239,"")</f>
        <v>0</v>
      </c>
    </row>
    <row r="2242" spans="1:8">
      <c r="A2242" s="28"/>
      <c r="B2242" s="29" t="s">
        <v>3239</v>
      </c>
      <c r="C2242" s="30" t="str">
        <f>IFERROR(_xlfn.XLOOKUP(B2242,Insumo[DESCRIPCION],Insumo[UND],,0),"")</f>
        <v>M3</v>
      </c>
      <c r="D2242" s="31">
        <v>1</v>
      </c>
      <c r="E2242" s="32">
        <f>IFERROR(_xlfn.XLOOKUP($B2242,Insumo[DESCRIPCION],Insumo[VALOR],,0),"")</f>
        <v>521159.50227762427</v>
      </c>
      <c r="F2242" s="33">
        <v>3</v>
      </c>
      <c r="G2242" s="34">
        <f>IFERROR(IF(F2242&gt;=0,D2242*E2242*(1+F2242/100),ABS(D2242*E2242/F2242)),"")</f>
        <v>536794.28734595305</v>
      </c>
      <c r="H2242" s="43">
        <f>IFERROR(G2242*E2239,"")</f>
        <v>0</v>
      </c>
    </row>
    <row r="2243" spans="1:8">
      <c r="A2243" s="28"/>
      <c r="B2243" s="29"/>
      <c r="C2243" s="30" t="str">
        <f>IFERROR(_xlfn.XLOOKUP(B2243,Insumo[DESCRIPCION],Insumo[UND],,0),"")</f>
        <v/>
      </c>
      <c r="D2243" s="31"/>
      <c r="E2243" s="32" t="str">
        <f>IFERROR(_xlfn.XLOOKUP($B2243,Insumo[DESCRIPCION],Insumo[VALOR],,0),"")</f>
        <v/>
      </c>
      <c r="F2243" s="33"/>
      <c r="G2243" s="34" t="str">
        <f>IFERROR(IF(F2243&gt;=0,D2243*E2243*(1+F2243/100),ABS(D2243*E2243/F2243)),"")</f>
        <v/>
      </c>
      <c r="H2243" s="43" t="str">
        <f>IFERROR(G2243*E2239,"")</f>
        <v/>
      </c>
    </row>
    <row r="2244" spans="1:8">
      <c r="A2244" s="28"/>
      <c r="B2244" s="29"/>
      <c r="C2244" s="30" t="str">
        <f>IFERROR(_xlfn.XLOOKUP(B2244,Insumo[DESCRIPCION],Insumo[UND],,0),"")</f>
        <v/>
      </c>
      <c r="D2244" s="31"/>
      <c r="E2244" s="32" t="str">
        <f>IFERROR(_xlfn.XLOOKUP($B2244,Insumo[DESCRIPCION],Insumo[VALOR],,0),"")</f>
        <v/>
      </c>
      <c r="F2244" s="33"/>
      <c r="G2244" s="34" t="str">
        <f>IFERROR(IF(F2244&gt;=0,D2244*E2244*(1+F2244/100),ABS(D2244*E2244/F2244)),"")</f>
        <v/>
      </c>
      <c r="H2244" s="43" t="str">
        <f>IFERROR(G2244*E2239,"")</f>
        <v/>
      </c>
    </row>
    <row r="2245" spans="1:8">
      <c r="A2245" s="28"/>
      <c r="B2245" s="29"/>
      <c r="C2245" s="30" t="str">
        <f>IFERROR(_xlfn.XLOOKUP(B2245,Insumo[DESCRIPCION],Insumo[UND],,0),"")</f>
        <v/>
      </c>
      <c r="D2245" s="31"/>
      <c r="E2245" s="32" t="str">
        <f>IFERROR(_xlfn.XLOOKUP($B2245,Insumo[DESCRIPCION],Insumo[VALOR],,0),"")</f>
        <v/>
      </c>
      <c r="F2245" s="33"/>
      <c r="G2245" s="34" t="str">
        <f>IFERROR(IF(F2245&gt;=0,D2245*E2245*(1+F2245/100),ABS(D2245*E2245/F2245)),"")</f>
        <v/>
      </c>
      <c r="H2245" s="43" t="str">
        <f>IFERROR(G2245*E2239,"")</f>
        <v/>
      </c>
    </row>
    <row r="2246" spans="1:8">
      <c r="A2246" s="28"/>
      <c r="B2246" s="29"/>
      <c r="C2246" s="30" t="str">
        <f>IFERROR(_xlfn.XLOOKUP(B2246,Insumo[DESCRIPCION],Insumo[UND],,0),"")</f>
        <v/>
      </c>
      <c r="D2246" s="31"/>
      <c r="E2246" s="32" t="str">
        <f>IFERROR(_xlfn.XLOOKUP($B2246,Insumo[DESCRIPCION],Insumo[VALOR],,0),"")</f>
        <v/>
      </c>
      <c r="F2246" s="33"/>
      <c r="G2246" s="34" t="str">
        <f>IFERROR(IF(F2246&gt;=0,D2246*E2246*(1+F2246/100),ABS(D2246*E2246/F2246)),"")</f>
        <v/>
      </c>
      <c r="H2246" s="43" t="str">
        <f>IFERROR(G2246*E2239,"")</f>
        <v/>
      </c>
    </row>
    <row r="2247" spans="1:8">
      <c r="A2247" s="21"/>
      <c r="B2247" s="22" t="s">
        <v>3731</v>
      </c>
      <c r="C2247" s="23"/>
      <c r="D2247" s="24"/>
      <c r="E2247" s="25"/>
      <c r="F2247" s="26"/>
      <c r="G2247" s="27">
        <f>SUM(G2248:G2252)</f>
        <v>17318.390093062502</v>
      </c>
      <c r="H2247" s="44">
        <f>G2247*E2239</f>
        <v>0</v>
      </c>
    </row>
    <row r="2248" spans="1:8">
      <c r="A2248" s="28"/>
      <c r="B2248" s="29" t="s">
        <v>3618</v>
      </c>
      <c r="C2248" s="30" t="str">
        <f>IFERROR(_xlfn.XLOOKUP(B2248,Equipo[DESCRIPCION],Equipo[UND],,0),"")</f>
        <v>Día</v>
      </c>
      <c r="D2248" s="31">
        <v>1</v>
      </c>
      <c r="E2248" s="32">
        <f>IF(C2248="%MO",G2256,IFERROR(_xlfn.XLOOKUP($B2248,Equipo[DESCRIPCION],Equipo[VALOR],,0),""))</f>
        <v>3150</v>
      </c>
      <c r="F2248" s="33">
        <v>-4</v>
      </c>
      <c r="G2248" s="34">
        <f>IFERROR(IF(F2248&gt;=0,D2248*E2248*(1+F2248/100),ABS(D2248*E2248/F2248)),"")</f>
        <v>787.5</v>
      </c>
      <c r="H2248" s="43">
        <f>IFERROR(G2248*E2239,"")</f>
        <v>0</v>
      </c>
    </row>
    <row r="2249" spans="1:8">
      <c r="A2249" s="28"/>
      <c r="B2249" s="29" t="s">
        <v>3645</v>
      </c>
      <c r="C2249" s="30" t="str">
        <f>IFERROR(_xlfn.XLOOKUP(B2249,Equipo[DESCRIPCION],Equipo[UND],,0),"")</f>
        <v>Día</v>
      </c>
      <c r="D2249" s="31">
        <v>1</v>
      </c>
      <c r="E2249" s="32">
        <f>IF(C2249="%MO",G2257,IFERROR(_xlfn.XLOOKUP($B2249,Equipo[DESCRIPCION],Equipo[VALOR],,0),""))</f>
        <v>101038.35</v>
      </c>
      <c r="F2249" s="33">
        <v>-20</v>
      </c>
      <c r="G2249" s="34">
        <f>IFERROR(IF(F2249&gt;=0,D2249*E2249*(1+F2249/100),ABS(D2249*E2249/F2249)),"")</f>
        <v>5051.9175000000005</v>
      </c>
      <c r="H2249" s="43">
        <f>IFERROR(G2249*E2239,"")</f>
        <v>0</v>
      </c>
    </row>
    <row r="2250" spans="1:8">
      <c r="A2250" s="28"/>
      <c r="B2250" s="29" t="s">
        <v>3643</v>
      </c>
      <c r="C2250" s="30" t="str">
        <f>IFERROR(_xlfn.XLOOKUP(B2250,Equipo[DESCRIPCION],Equipo[UND],,0),"")</f>
        <v>Día</v>
      </c>
      <c r="D2250" s="31">
        <v>1</v>
      </c>
      <c r="E2250" s="32">
        <f>IF(C2250="%MO",G2258,IFERROR(_xlfn.XLOOKUP($B2250,Equipo[DESCRIPCION],Equipo[VALOR],,0),""))</f>
        <v>31825.5</v>
      </c>
      <c r="F2250" s="33">
        <v>-20</v>
      </c>
      <c r="G2250" s="34">
        <f>IFERROR(IF(F2250&gt;=0,D2250*E2250*(1+F2250/100),ABS(D2250*E2250/F2250)),"")</f>
        <v>1591.2750000000001</v>
      </c>
      <c r="H2250" s="43">
        <f>IFERROR(G2250*E2239,"")</f>
        <v>0</v>
      </c>
    </row>
    <row r="2251" spans="1:8">
      <c r="A2251" s="28"/>
      <c r="B2251" s="29" t="s">
        <v>3639</v>
      </c>
      <c r="C2251" s="30" t="str">
        <f>IFERROR(_xlfn.XLOOKUP(B2251,Equipo[DESCRIPCION],Equipo[UND],,0),"")</f>
        <v>Día</v>
      </c>
      <c r="D2251" s="31">
        <v>1</v>
      </c>
      <c r="E2251" s="32">
        <f>IF(C2251="%MO",G2259,IFERROR(_xlfn.XLOOKUP($B2251,Equipo[DESCRIPCION],Equipo[VALOR],,0),""))</f>
        <v>31825.5</v>
      </c>
      <c r="F2251" s="33">
        <v>-20</v>
      </c>
      <c r="G2251" s="34">
        <f>IFERROR(IF(F2251&gt;=0,D2251*E2251*(1+F2251/100),ABS(D2251*E2251/F2251)),"")</f>
        <v>1591.2750000000001</v>
      </c>
      <c r="H2251" s="43">
        <f>IFERROR(G2251*E2239,"")</f>
        <v>0</v>
      </c>
    </row>
    <row r="2252" spans="1:8">
      <c r="A2252" s="28"/>
      <c r="B2252" s="29" t="s">
        <v>3626</v>
      </c>
      <c r="C2252" s="30" t="str">
        <f>IFERROR(_xlfn.XLOOKUP(B2252,Equipo[DESCRIPCION],Equipo[UND],,0),"")</f>
        <v>%MO</v>
      </c>
      <c r="D2252" s="31">
        <v>0.05</v>
      </c>
      <c r="E2252" s="32">
        <f>IF(C2252="%MO",G2256,IFERROR(_xlfn.XLOOKUP($B2252,Equipo[DESCRIPCION],Equipo[VALOR],,0),""))</f>
        <v>165928.45186125004</v>
      </c>
      <c r="F2252" s="33"/>
      <c r="G2252" s="34">
        <f>IFERROR(IF(F2252&gt;=0,D2252*E2252*(1+F2252/100),ABS(D2252*E2252/F2252)),"")</f>
        <v>8296.4225930625016</v>
      </c>
      <c r="H2252" s="43">
        <f>IFERROR(G2252*E2239,"")</f>
        <v>0</v>
      </c>
    </row>
    <row r="2253" spans="1:8">
      <c r="A2253" s="21"/>
      <c r="B2253" s="22" t="s">
        <v>2533</v>
      </c>
      <c r="C2253" s="23"/>
      <c r="D2253" s="24"/>
      <c r="E2253" s="25"/>
      <c r="F2253" s="26"/>
      <c r="G2253" s="27">
        <f>SUM(G2254:G2255)</f>
        <v>0</v>
      </c>
      <c r="H2253" s="44">
        <f>G2253*E2239</f>
        <v>0</v>
      </c>
    </row>
    <row r="2254" spans="1:8">
      <c r="A2254" s="28"/>
      <c r="B2254" s="29"/>
      <c r="C2254" s="30" t="str">
        <f>IFERROR(_xlfn.XLOOKUP(B2254,Transporte[DESCRIPCION],Transporte[UND],,0),"")</f>
        <v/>
      </c>
      <c r="D2254" s="31"/>
      <c r="E2254" s="32" t="str">
        <f>IFERROR(_xlfn.XLOOKUP($B2254,Transporte[DESCRIPCION],Transporte[VALOR],,0),"")</f>
        <v/>
      </c>
      <c r="F2254" s="33"/>
      <c r="G2254" s="34" t="str">
        <f>IFERROR(IF(F2254&gt;=0,D2254*E2254*(1+F2254/100),ABS(D2254*E2254/F2254)),"")</f>
        <v/>
      </c>
      <c r="H2254" s="43" t="str">
        <f>IFERROR(G2254*E2239,"")</f>
        <v/>
      </c>
    </row>
    <row r="2255" spans="1:8">
      <c r="A2255" s="28"/>
      <c r="B2255" s="29"/>
      <c r="C2255" s="30" t="str">
        <f>IFERROR(_xlfn.XLOOKUP(B2255,Transporte[DESCRIPCION],Transporte[UND],,0),"")</f>
        <v/>
      </c>
      <c r="D2255" s="31"/>
      <c r="E2255" s="32" t="str">
        <f>IFERROR(_xlfn.XLOOKUP($B2255,Transporte[DESCRIPCION],Transporte[VALOR],,0),"")</f>
        <v/>
      </c>
      <c r="F2255" s="33"/>
      <c r="G2255" s="34" t="str">
        <f>IFERROR(IF(F2255&gt;=0,D2255*E2255*(1+F2255/100),ABS(D2255*E2255/F2255)),"")</f>
        <v/>
      </c>
      <c r="H2255" s="43" t="str">
        <f>IFERROR(G2255*E2239,"")</f>
        <v/>
      </c>
    </row>
    <row r="2256" spans="1:8">
      <c r="A2256" s="21"/>
      <c r="B2256" s="22" t="s">
        <v>3732</v>
      </c>
      <c r="C2256" s="23"/>
      <c r="D2256" s="24"/>
      <c r="E2256" s="25"/>
      <c r="F2256" s="26"/>
      <c r="G2256" s="27">
        <f>SUM(G2257:G2259)</f>
        <v>165928.45186125004</v>
      </c>
      <c r="H2256" s="44">
        <f>G2256*E2239</f>
        <v>0</v>
      </c>
    </row>
    <row r="2257" spans="1:11">
      <c r="A2257" s="28"/>
      <c r="B2257" s="29" t="s">
        <v>3713</v>
      </c>
      <c r="C2257" s="30" t="str">
        <f>IFERROR(_xlfn.XLOOKUP(B2257,MObra[DESCRIPCION],MObra[UN],,0),"")</f>
        <v>día</v>
      </c>
      <c r="D2257" s="31">
        <v>1</v>
      </c>
      <c r="E2257" s="32">
        <f>IFERROR(_xlfn.XLOOKUP($B2257,MObra[DESCRIPCION],MObra[VALOR UNIT],,0),"")</f>
        <v>663713.80744500016</v>
      </c>
      <c r="F2257" s="33">
        <v>-4</v>
      </c>
      <c r="G2257" s="34">
        <f>IFERROR(IF(F2257&gt;=0,D2257*E2257*(1+F2257/100),ABS(D2257*E2257/F2257)),"")</f>
        <v>165928.45186125004</v>
      </c>
      <c r="H2257" s="43">
        <f>IFERROR(G2257*E2239,"")</f>
        <v>0</v>
      </c>
    </row>
    <row r="2258" spans="1:11">
      <c r="A2258" s="28"/>
      <c r="B2258" s="29"/>
      <c r="C2258" s="30" t="str">
        <f>IFERROR(_xlfn.XLOOKUP(B2258,MObra[DESCRIPCION],MObra[UN],,0),"")</f>
        <v/>
      </c>
      <c r="D2258" s="31"/>
      <c r="E2258" s="32" t="str">
        <f>IFERROR(_xlfn.XLOOKUP($B2258,MObra[DESCRIPCION],MObra[VALOR UNIT],,0),"")</f>
        <v/>
      </c>
      <c r="F2258" s="33"/>
      <c r="G2258" s="34" t="str">
        <f>IFERROR(IF(F2258&gt;=0,D2258*E2258*(1+F2258/100),ABS(D2258*E2258/F2258)),"")</f>
        <v/>
      </c>
      <c r="H2258" s="43" t="str">
        <f>IFERROR(G2258*E2239,"")</f>
        <v/>
      </c>
    </row>
    <row r="2259" spans="1:11" ht="13.15" thickBot="1">
      <c r="A2259" s="35"/>
      <c r="B2259" s="36"/>
      <c r="C2259" s="37" t="str">
        <f>IFERROR(_xlfn.XLOOKUP(B2259,MObra[DESCRIPCION],MObra[UN],,0),"")</f>
        <v/>
      </c>
      <c r="D2259" s="38"/>
      <c r="E2259" s="39" t="str">
        <f>IFERROR(_xlfn.XLOOKUP($B2259,MObra[DESCRIPCION],MObra[VALOR UNIT],,0),"")</f>
        <v/>
      </c>
      <c r="F2259" s="40"/>
      <c r="G2259" s="41" t="str">
        <f>IFERROR(IF(F2259&gt;=0,D2259*E2259*(1+F2259/100),ABS(D2259*E2259/F2259)),"")</f>
        <v/>
      </c>
      <c r="H2259" s="42" t="str">
        <f>IFERROR(G2259*E2239,"")</f>
        <v/>
      </c>
    </row>
    <row r="2260" spans="1:11" ht="13.5" thickTop="1" thickBot="1"/>
    <row r="2261" spans="1:11" ht="13.5" thickTop="1" thickBot="1">
      <c r="A2261" s="6" t="s">
        <v>1952</v>
      </c>
      <c r="B2261" s="7" t="str">
        <f>VLOOKUP($A2261,Presupuesto!$A:$D,2,FALSE())</f>
        <v>Pavimento Mr = 3.6 Mpa premezclado</v>
      </c>
      <c r="C2261" s="8" t="str">
        <f>VLOOKUP($A2261,Presupuesto!$A:$D,3,FALSE())</f>
        <v>M3</v>
      </c>
      <c r="D2261" s="9"/>
      <c r="E2261" s="10">
        <f>VLOOKUP($A2261,Presupuesto!$A:$D,4,FALSE())</f>
        <v>0</v>
      </c>
      <c r="F2261" s="11" t="s">
        <v>2589</v>
      </c>
      <c r="G2261" s="12">
        <f>SUM(G2263:G2281)/2</f>
        <v>183246.84195431255</v>
      </c>
      <c r="H2261" s="13">
        <f>ROUND(SUM(H2263:H2281),0)/2</f>
        <v>0</v>
      </c>
      <c r="I2261" s="10">
        <f>VLOOKUP(A2261,Presupuesto!$A:$F,6,0)</f>
        <v>0</v>
      </c>
      <c r="J2261" s="10">
        <f>+H2261-I2261</f>
        <v>0</v>
      </c>
      <c r="K2261" s="46">
        <f>+H2261-G2261*E2261</f>
        <v>0</v>
      </c>
    </row>
    <row r="2262" spans="1:11" ht="13.15" thickTop="1">
      <c r="A2262" s="14"/>
      <c r="B2262" s="15" t="s">
        <v>2586</v>
      </c>
      <c r="C2262" s="15" t="s">
        <v>5</v>
      </c>
      <c r="D2262" s="16" t="s">
        <v>6</v>
      </c>
      <c r="E2262" s="17" t="s">
        <v>7</v>
      </c>
      <c r="F2262" s="18" t="s">
        <v>3728</v>
      </c>
      <c r="G2262" s="19" t="s">
        <v>3729</v>
      </c>
      <c r="H2262" s="20" t="s">
        <v>3797</v>
      </c>
    </row>
    <row r="2263" spans="1:11">
      <c r="A2263" s="21"/>
      <c r="B2263" s="22" t="s">
        <v>3730</v>
      </c>
      <c r="C2263" s="23"/>
      <c r="D2263" s="24"/>
      <c r="E2263" s="25"/>
      <c r="F2263" s="26"/>
      <c r="G2263" s="27">
        <f>SUM(G2264:G2268)</f>
        <v>0</v>
      </c>
      <c r="H2263" s="27">
        <f>IFERROR(G2263*E2261,"")</f>
        <v>0</v>
      </c>
    </row>
    <row r="2264" spans="1:11">
      <c r="A2264" s="28"/>
      <c r="B2264" s="29" t="s">
        <v>3801</v>
      </c>
      <c r="C2264" s="30" t="str">
        <f>IFERROR(_xlfn.XLOOKUP(B2264,Insumo[DESCRIPCION],Insumo[UND],,0),"")</f>
        <v/>
      </c>
      <c r="D2264" s="31">
        <v>1</v>
      </c>
      <c r="E2264" s="32" t="str">
        <f>IFERROR(_xlfn.XLOOKUP($B2264,Insumo[DESCRIPCION],Insumo[VALOR],,0),"")</f>
        <v/>
      </c>
      <c r="F2264" s="33">
        <v>3</v>
      </c>
      <c r="G2264" s="34" t="str">
        <f>IFERROR(IF(F2264&gt;=0,D2264*E2264*(1+F2264/100),ABS(D2264*E2264/F2264)),"")</f>
        <v/>
      </c>
      <c r="H2264" s="43" t="str">
        <f>IFERROR(G2264*E2261,"")</f>
        <v/>
      </c>
    </row>
    <row r="2265" spans="1:11">
      <c r="A2265" s="28"/>
      <c r="B2265" s="29"/>
      <c r="C2265" s="30" t="str">
        <f>IFERROR(_xlfn.XLOOKUP(B2265,Insumo[DESCRIPCION],Insumo[UND],,0),"")</f>
        <v/>
      </c>
      <c r="D2265" s="31"/>
      <c r="E2265" s="32" t="str">
        <f>IFERROR(_xlfn.XLOOKUP($B2265,Insumo[DESCRIPCION],Insumo[VALOR],,0),"")</f>
        <v/>
      </c>
      <c r="F2265" s="33"/>
      <c r="G2265" s="34" t="str">
        <f>IFERROR(IF(F2265&gt;=0,D2265*E2265*(1+F2265/100),ABS(D2265*E2265/F2265)),"")</f>
        <v/>
      </c>
      <c r="H2265" s="43" t="str">
        <f>IFERROR(G2265*E2261,"")</f>
        <v/>
      </c>
    </row>
    <row r="2266" spans="1:11">
      <c r="A2266" s="28"/>
      <c r="B2266" s="29"/>
      <c r="C2266" s="30" t="str">
        <f>IFERROR(_xlfn.XLOOKUP(B2266,Insumo[DESCRIPCION],Insumo[UND],,0),"")</f>
        <v/>
      </c>
      <c r="D2266" s="31"/>
      <c r="E2266" s="32" t="str">
        <f>IFERROR(_xlfn.XLOOKUP($B2266,Insumo[DESCRIPCION],Insumo[VALOR],,0),"")</f>
        <v/>
      </c>
      <c r="F2266" s="33"/>
      <c r="G2266" s="34" t="str">
        <f>IFERROR(IF(F2266&gt;=0,D2266*E2266*(1+F2266/100),ABS(D2266*E2266/F2266)),"")</f>
        <v/>
      </c>
      <c r="H2266" s="43" t="str">
        <f>IFERROR(G2266*E2261,"")</f>
        <v/>
      </c>
    </row>
    <row r="2267" spans="1:11">
      <c r="A2267" s="28"/>
      <c r="B2267" s="29"/>
      <c r="C2267" s="30" t="str">
        <f>IFERROR(_xlfn.XLOOKUP(B2267,Insumo[DESCRIPCION],Insumo[UND],,0),"")</f>
        <v/>
      </c>
      <c r="D2267" s="31"/>
      <c r="E2267" s="32" t="str">
        <f>IFERROR(_xlfn.XLOOKUP($B2267,Insumo[DESCRIPCION],Insumo[VALOR],,0),"")</f>
        <v/>
      </c>
      <c r="F2267" s="33"/>
      <c r="G2267" s="34" t="str">
        <f>IFERROR(IF(F2267&gt;=0,D2267*E2267*(1+F2267/100),ABS(D2267*E2267/F2267)),"")</f>
        <v/>
      </c>
      <c r="H2267" s="43" t="str">
        <f>IFERROR(G2267*E2261,"")</f>
        <v/>
      </c>
    </row>
    <row r="2268" spans="1:11">
      <c r="A2268" s="28"/>
      <c r="B2268" s="29"/>
      <c r="C2268" s="30" t="str">
        <f>IFERROR(_xlfn.XLOOKUP(B2268,Insumo[DESCRIPCION],Insumo[UND],,0),"")</f>
        <v/>
      </c>
      <c r="D2268" s="31"/>
      <c r="E2268" s="32" t="str">
        <f>IFERROR(_xlfn.XLOOKUP($B2268,Insumo[DESCRIPCION],Insumo[VALOR],,0),"")</f>
        <v/>
      </c>
      <c r="F2268" s="33"/>
      <c r="G2268" s="34" t="str">
        <f>IFERROR(IF(F2268&gt;=0,D2268*E2268*(1+F2268/100),ABS(D2268*E2268/F2268)),"")</f>
        <v/>
      </c>
      <c r="H2268" s="43" t="str">
        <f>IFERROR(G2268*E2261,"")</f>
        <v/>
      </c>
    </row>
    <row r="2269" spans="1:11">
      <c r="A2269" s="21"/>
      <c r="B2269" s="22" t="s">
        <v>3731</v>
      </c>
      <c r="C2269" s="23"/>
      <c r="D2269" s="24"/>
      <c r="E2269" s="25"/>
      <c r="F2269" s="26"/>
      <c r="G2269" s="27">
        <f>SUM(G2270:G2274)</f>
        <v>17318.390093062502</v>
      </c>
      <c r="H2269" s="44">
        <f>G2269*E2261</f>
        <v>0</v>
      </c>
    </row>
    <row r="2270" spans="1:11">
      <c r="A2270" s="28"/>
      <c r="B2270" s="29" t="s">
        <v>3618</v>
      </c>
      <c r="C2270" s="30" t="str">
        <f>IFERROR(_xlfn.XLOOKUP(B2270,Equipo[DESCRIPCION],Equipo[UND],,0),"")</f>
        <v>Día</v>
      </c>
      <c r="D2270" s="31">
        <v>1</v>
      </c>
      <c r="E2270" s="32">
        <f>IF(C2270="%MO",G2278,IFERROR(_xlfn.XLOOKUP($B2270,Equipo[DESCRIPCION],Equipo[VALOR],,0),""))</f>
        <v>3150</v>
      </c>
      <c r="F2270" s="33">
        <v>-4</v>
      </c>
      <c r="G2270" s="34">
        <f>IFERROR(IF(F2270&gt;=0,D2270*E2270*(1+F2270/100),ABS(D2270*E2270/F2270)),"")</f>
        <v>787.5</v>
      </c>
      <c r="H2270" s="43">
        <f>IFERROR(G2270*E2261,"")</f>
        <v>0</v>
      </c>
    </row>
    <row r="2271" spans="1:11">
      <c r="A2271" s="28"/>
      <c r="B2271" s="29" t="s">
        <v>3645</v>
      </c>
      <c r="C2271" s="30" t="str">
        <f>IFERROR(_xlfn.XLOOKUP(B2271,Equipo[DESCRIPCION],Equipo[UND],,0),"")</f>
        <v>Día</v>
      </c>
      <c r="D2271" s="31">
        <v>1</v>
      </c>
      <c r="E2271" s="32">
        <f>IF(C2271="%MO",G2279,IFERROR(_xlfn.XLOOKUP($B2271,Equipo[DESCRIPCION],Equipo[VALOR],,0),""))</f>
        <v>101038.35</v>
      </c>
      <c r="F2271" s="33">
        <v>-20</v>
      </c>
      <c r="G2271" s="34">
        <f>IFERROR(IF(F2271&gt;=0,D2271*E2271*(1+F2271/100),ABS(D2271*E2271/F2271)),"")</f>
        <v>5051.9175000000005</v>
      </c>
      <c r="H2271" s="43">
        <f>IFERROR(G2271*E2261,"")</f>
        <v>0</v>
      </c>
    </row>
    <row r="2272" spans="1:11">
      <c r="A2272" s="28"/>
      <c r="B2272" s="29" t="s">
        <v>3643</v>
      </c>
      <c r="C2272" s="30" t="str">
        <f>IFERROR(_xlfn.XLOOKUP(B2272,Equipo[DESCRIPCION],Equipo[UND],,0),"")</f>
        <v>Día</v>
      </c>
      <c r="D2272" s="31">
        <v>1</v>
      </c>
      <c r="E2272" s="32">
        <f>IF(C2272="%MO",G2280,IFERROR(_xlfn.XLOOKUP($B2272,Equipo[DESCRIPCION],Equipo[VALOR],,0),""))</f>
        <v>31825.5</v>
      </c>
      <c r="F2272" s="33">
        <v>-20</v>
      </c>
      <c r="G2272" s="34">
        <f>IFERROR(IF(F2272&gt;=0,D2272*E2272*(1+F2272/100),ABS(D2272*E2272/F2272)),"")</f>
        <v>1591.2750000000001</v>
      </c>
      <c r="H2272" s="43">
        <f>IFERROR(G2272*E2261,"")</f>
        <v>0</v>
      </c>
    </row>
    <row r="2273" spans="1:11">
      <c r="A2273" s="28"/>
      <c r="B2273" s="29" t="s">
        <v>3639</v>
      </c>
      <c r="C2273" s="30" t="str">
        <f>IFERROR(_xlfn.XLOOKUP(B2273,Equipo[DESCRIPCION],Equipo[UND],,0),"")</f>
        <v>Día</v>
      </c>
      <c r="D2273" s="31">
        <v>1</v>
      </c>
      <c r="E2273" s="32">
        <f>IF(C2273="%MO",G2281,IFERROR(_xlfn.XLOOKUP($B2273,Equipo[DESCRIPCION],Equipo[VALOR],,0),""))</f>
        <v>31825.5</v>
      </c>
      <c r="F2273" s="33">
        <v>-20</v>
      </c>
      <c r="G2273" s="34">
        <f>IFERROR(IF(F2273&gt;=0,D2273*E2273*(1+F2273/100),ABS(D2273*E2273/F2273)),"")</f>
        <v>1591.2750000000001</v>
      </c>
      <c r="H2273" s="43">
        <f>IFERROR(G2273*E2261,"")</f>
        <v>0</v>
      </c>
    </row>
    <row r="2274" spans="1:11">
      <c r="A2274" s="28"/>
      <c r="B2274" s="29" t="s">
        <v>3626</v>
      </c>
      <c r="C2274" s="30" t="str">
        <f>IFERROR(_xlfn.XLOOKUP(B2274,Equipo[DESCRIPCION],Equipo[UND],,0),"")</f>
        <v>%MO</v>
      </c>
      <c r="D2274" s="31">
        <v>0.05</v>
      </c>
      <c r="E2274" s="32">
        <f>IF(C2274="%MO",G2278,IFERROR(_xlfn.XLOOKUP($B2274,Equipo[DESCRIPCION],Equipo[VALOR],,0),""))</f>
        <v>165928.45186125004</v>
      </c>
      <c r="F2274" s="33"/>
      <c r="G2274" s="34">
        <f>IFERROR(IF(F2274&gt;=0,D2274*E2274*(1+F2274/100),ABS(D2274*E2274/F2274)),"")</f>
        <v>8296.4225930625016</v>
      </c>
      <c r="H2274" s="43">
        <f>IFERROR(G2274*E2261,"")</f>
        <v>0</v>
      </c>
    </row>
    <row r="2275" spans="1:11">
      <c r="A2275" s="21"/>
      <c r="B2275" s="22" t="s">
        <v>2533</v>
      </c>
      <c r="C2275" s="23"/>
      <c r="D2275" s="24"/>
      <c r="E2275" s="25"/>
      <c r="F2275" s="26"/>
      <c r="G2275" s="27">
        <f>SUM(G2276:G2277)</f>
        <v>0</v>
      </c>
      <c r="H2275" s="44">
        <f>G2275*E2261</f>
        <v>0</v>
      </c>
    </row>
    <row r="2276" spans="1:11">
      <c r="A2276" s="28"/>
      <c r="B2276" s="29"/>
      <c r="C2276" s="30" t="str">
        <f>IFERROR(_xlfn.XLOOKUP(B2276,Transporte[DESCRIPCION],Transporte[UND],,0),"")</f>
        <v/>
      </c>
      <c r="D2276" s="31"/>
      <c r="E2276" s="32" t="str">
        <f>IFERROR(_xlfn.XLOOKUP($B2276,Transporte[DESCRIPCION],Transporte[VALOR],,0),"")</f>
        <v/>
      </c>
      <c r="F2276" s="33"/>
      <c r="G2276" s="34" t="str">
        <f>IFERROR(IF(F2276&gt;=0,D2276*E2276*(1+F2276/100),ABS(D2276*E2276/F2276)),"")</f>
        <v/>
      </c>
      <c r="H2276" s="43" t="str">
        <f>IFERROR(G2276*E2261,"")</f>
        <v/>
      </c>
    </row>
    <row r="2277" spans="1:11">
      <c r="A2277" s="28"/>
      <c r="B2277" s="29"/>
      <c r="C2277" s="30" t="str">
        <f>IFERROR(_xlfn.XLOOKUP(B2277,Transporte[DESCRIPCION],Transporte[UND],,0),"")</f>
        <v/>
      </c>
      <c r="D2277" s="31"/>
      <c r="E2277" s="32" t="str">
        <f>IFERROR(_xlfn.XLOOKUP($B2277,Transporte[DESCRIPCION],Transporte[VALOR],,0),"")</f>
        <v/>
      </c>
      <c r="F2277" s="33"/>
      <c r="G2277" s="34" t="str">
        <f>IFERROR(IF(F2277&gt;=0,D2277*E2277*(1+F2277/100),ABS(D2277*E2277/F2277)),"")</f>
        <v/>
      </c>
      <c r="H2277" s="43" t="str">
        <f>IFERROR(G2277*E2261,"")</f>
        <v/>
      </c>
    </row>
    <row r="2278" spans="1:11">
      <c r="A2278" s="21"/>
      <c r="B2278" s="22" t="s">
        <v>3732</v>
      </c>
      <c r="C2278" s="23"/>
      <c r="D2278" s="24"/>
      <c r="E2278" s="25"/>
      <c r="F2278" s="26"/>
      <c r="G2278" s="27">
        <f>SUM(G2279:G2281)</f>
        <v>165928.45186125004</v>
      </c>
      <c r="H2278" s="44">
        <f>G2278*E2261</f>
        <v>0</v>
      </c>
    </row>
    <row r="2279" spans="1:11">
      <c r="A2279" s="28"/>
      <c r="B2279" s="29" t="s">
        <v>3713</v>
      </c>
      <c r="C2279" s="30" t="str">
        <f>IFERROR(_xlfn.XLOOKUP(B2279,MObra[DESCRIPCION],MObra[UN],,0),"")</f>
        <v>día</v>
      </c>
      <c r="D2279" s="31">
        <v>1</v>
      </c>
      <c r="E2279" s="32">
        <f>IFERROR(_xlfn.XLOOKUP($B2279,MObra[DESCRIPCION],MObra[VALOR UNIT],,0),"")</f>
        <v>663713.80744500016</v>
      </c>
      <c r="F2279" s="33">
        <v>-4</v>
      </c>
      <c r="G2279" s="34">
        <f>IFERROR(IF(F2279&gt;=0,D2279*E2279*(1+F2279/100),ABS(D2279*E2279/F2279)),"")</f>
        <v>165928.45186125004</v>
      </c>
      <c r="H2279" s="43">
        <f>IFERROR(G2279*E2261,"")</f>
        <v>0</v>
      </c>
    </row>
    <row r="2280" spans="1:11">
      <c r="A2280" s="28"/>
      <c r="B2280" s="29"/>
      <c r="C2280" s="30" t="str">
        <f>IFERROR(_xlfn.XLOOKUP(B2280,MObra[DESCRIPCION],MObra[UN],,0),"")</f>
        <v/>
      </c>
      <c r="D2280" s="31"/>
      <c r="E2280" s="32" t="str">
        <f>IFERROR(_xlfn.XLOOKUP($B2280,MObra[DESCRIPCION],MObra[VALOR UNIT],,0),"")</f>
        <v/>
      </c>
      <c r="F2280" s="33"/>
      <c r="G2280" s="34" t="str">
        <f>IFERROR(IF(F2280&gt;=0,D2280*E2280*(1+F2280/100),ABS(D2280*E2280/F2280)),"")</f>
        <v/>
      </c>
      <c r="H2280" s="43" t="str">
        <f>IFERROR(G2280*E2261,"")</f>
        <v/>
      </c>
    </row>
    <row r="2281" spans="1:11" ht="13.15" thickBot="1">
      <c r="A2281" s="35"/>
      <c r="B2281" s="36"/>
      <c r="C2281" s="37" t="str">
        <f>IFERROR(_xlfn.XLOOKUP(B2281,MObra[DESCRIPCION],MObra[UN],,0),"")</f>
        <v/>
      </c>
      <c r="D2281" s="38"/>
      <c r="E2281" s="39" t="str">
        <f>IFERROR(_xlfn.XLOOKUP($B2281,MObra[DESCRIPCION],MObra[VALOR UNIT],,0),"")</f>
        <v/>
      </c>
      <c r="F2281" s="40"/>
      <c r="G2281" s="41" t="str">
        <f>IFERROR(IF(F2281&gt;=0,D2281*E2281*(1+F2281/100),ABS(D2281*E2281/F2281)),"")</f>
        <v/>
      </c>
      <c r="H2281" s="42" t="str">
        <f>IFERROR(G2281*E2261,"")</f>
        <v/>
      </c>
    </row>
    <row r="2282" spans="1:11" ht="13.5" thickTop="1" thickBot="1"/>
    <row r="2283" spans="1:11" ht="13.5" thickTop="1" thickBot="1">
      <c r="A2283" s="6" t="s">
        <v>1954</v>
      </c>
      <c r="B2283" s="7" t="str">
        <f>VLOOKUP($A2283,Presupuesto!$A:$D,2,FALSE())</f>
        <v>Pavimento Mr = 3.9 Mpa obra</v>
      </c>
      <c r="C2283" s="8" t="str">
        <f>VLOOKUP($A2283,Presupuesto!$A:$D,3,FALSE())</f>
        <v>M3</v>
      </c>
      <c r="D2283" s="9"/>
      <c r="E2283" s="10">
        <f>VLOOKUP($A2283,Presupuesto!$A:$D,4,FALSE())</f>
        <v>0</v>
      </c>
      <c r="F2283" s="11" t="s">
        <v>2589</v>
      </c>
      <c r="G2283" s="12">
        <f>SUM(G2285:G2303)/2</f>
        <v>720041.12930026546</v>
      </c>
      <c r="H2283" s="13">
        <f>ROUND(SUM(H2285:H2303),0)/2</f>
        <v>0</v>
      </c>
      <c r="I2283" s="10">
        <f>VLOOKUP(A2283,Presupuesto!$A:$F,6,0)</f>
        <v>0</v>
      </c>
      <c r="J2283" s="10">
        <f>+H2283-I2283</f>
        <v>0</v>
      </c>
      <c r="K2283" s="46">
        <f>+H2283-G2283*E2283</f>
        <v>0</v>
      </c>
    </row>
    <row r="2284" spans="1:11" ht="13.15" thickTop="1">
      <c r="A2284" s="14"/>
      <c r="B2284" s="15" t="s">
        <v>2586</v>
      </c>
      <c r="C2284" s="15" t="s">
        <v>5</v>
      </c>
      <c r="D2284" s="16" t="s">
        <v>6</v>
      </c>
      <c r="E2284" s="17" t="s">
        <v>7</v>
      </c>
      <c r="F2284" s="18" t="s">
        <v>3728</v>
      </c>
      <c r="G2284" s="19" t="s">
        <v>3729</v>
      </c>
      <c r="H2284" s="20" t="s">
        <v>3797</v>
      </c>
    </row>
    <row r="2285" spans="1:11">
      <c r="A2285" s="21"/>
      <c r="B2285" s="22" t="s">
        <v>3730</v>
      </c>
      <c r="C2285" s="23"/>
      <c r="D2285" s="24"/>
      <c r="E2285" s="25"/>
      <c r="F2285" s="26"/>
      <c r="G2285" s="27">
        <f>SUM(G2286:G2290)</f>
        <v>536794.28734595305</v>
      </c>
      <c r="H2285" s="27">
        <f>IFERROR(G2285*E2283,"")</f>
        <v>0</v>
      </c>
    </row>
    <row r="2286" spans="1:11">
      <c r="A2286" s="28"/>
      <c r="B2286" s="29" t="s">
        <v>3239</v>
      </c>
      <c r="C2286" s="30" t="str">
        <f>IFERROR(_xlfn.XLOOKUP(B2286,Insumo[DESCRIPCION],Insumo[UND],,0),"")</f>
        <v>M3</v>
      </c>
      <c r="D2286" s="31">
        <v>1</v>
      </c>
      <c r="E2286" s="32">
        <f>IFERROR(_xlfn.XLOOKUP($B2286,Insumo[DESCRIPCION],Insumo[VALOR],,0),"")</f>
        <v>521159.50227762427</v>
      </c>
      <c r="F2286" s="33">
        <v>3</v>
      </c>
      <c r="G2286" s="34">
        <f>IFERROR(IF(F2286&gt;=0,D2286*E2286*(1+F2286/100),ABS(D2286*E2286/F2286)),"")</f>
        <v>536794.28734595305</v>
      </c>
      <c r="H2286" s="43">
        <f>IFERROR(G2286*E2283,"")</f>
        <v>0</v>
      </c>
    </row>
    <row r="2287" spans="1:11">
      <c r="A2287" s="28"/>
      <c r="B2287" s="29"/>
      <c r="C2287" s="30" t="str">
        <f>IFERROR(_xlfn.XLOOKUP(B2287,Insumo[DESCRIPCION],Insumo[UND],,0),"")</f>
        <v/>
      </c>
      <c r="D2287" s="31"/>
      <c r="E2287" s="32" t="str">
        <f>IFERROR(_xlfn.XLOOKUP($B2287,Insumo[DESCRIPCION],Insumo[VALOR],,0),"")</f>
        <v/>
      </c>
      <c r="F2287" s="33"/>
      <c r="G2287" s="34" t="str">
        <f>IFERROR(IF(F2287&gt;=0,D2287*E2287*(1+F2287/100),ABS(D2287*E2287/F2287)),"")</f>
        <v/>
      </c>
      <c r="H2287" s="43" t="str">
        <f>IFERROR(G2287*E2283,"")</f>
        <v/>
      </c>
    </row>
    <row r="2288" spans="1:11">
      <c r="A2288" s="28"/>
      <c r="B2288" s="29"/>
      <c r="C2288" s="30" t="str">
        <f>IFERROR(_xlfn.XLOOKUP(B2288,Insumo[DESCRIPCION],Insumo[UND],,0),"")</f>
        <v/>
      </c>
      <c r="D2288" s="31"/>
      <c r="E2288" s="32" t="str">
        <f>IFERROR(_xlfn.XLOOKUP($B2288,Insumo[DESCRIPCION],Insumo[VALOR],,0),"")</f>
        <v/>
      </c>
      <c r="F2288" s="33"/>
      <c r="G2288" s="34" t="str">
        <f>IFERROR(IF(F2288&gt;=0,D2288*E2288*(1+F2288/100),ABS(D2288*E2288/F2288)),"")</f>
        <v/>
      </c>
      <c r="H2288" s="43" t="str">
        <f>IFERROR(G2288*E2283,"")</f>
        <v/>
      </c>
    </row>
    <row r="2289" spans="1:8">
      <c r="A2289" s="28"/>
      <c r="B2289" s="29"/>
      <c r="C2289" s="30" t="str">
        <f>IFERROR(_xlfn.XLOOKUP(B2289,Insumo[DESCRIPCION],Insumo[UND],,0),"")</f>
        <v/>
      </c>
      <c r="D2289" s="31"/>
      <c r="E2289" s="32" t="str">
        <f>IFERROR(_xlfn.XLOOKUP($B2289,Insumo[DESCRIPCION],Insumo[VALOR],,0),"")</f>
        <v/>
      </c>
      <c r="F2289" s="33"/>
      <c r="G2289" s="34" t="str">
        <f>IFERROR(IF(F2289&gt;=0,D2289*E2289*(1+F2289/100),ABS(D2289*E2289/F2289)),"")</f>
        <v/>
      </c>
      <c r="H2289" s="43" t="str">
        <f>IFERROR(G2289*E2283,"")</f>
        <v/>
      </c>
    </row>
    <row r="2290" spans="1:8">
      <c r="A2290" s="28"/>
      <c r="B2290" s="29"/>
      <c r="C2290" s="30" t="str">
        <f>IFERROR(_xlfn.XLOOKUP(B2290,Insumo[DESCRIPCION],Insumo[UND],,0),"")</f>
        <v/>
      </c>
      <c r="D2290" s="31"/>
      <c r="E2290" s="32" t="str">
        <f>IFERROR(_xlfn.XLOOKUP($B2290,Insumo[DESCRIPCION],Insumo[VALOR],,0),"")</f>
        <v/>
      </c>
      <c r="F2290" s="33"/>
      <c r="G2290" s="34" t="str">
        <f>IFERROR(IF(F2290&gt;=0,D2290*E2290*(1+F2290/100),ABS(D2290*E2290/F2290)),"")</f>
        <v/>
      </c>
      <c r="H2290" s="43" t="str">
        <f>IFERROR(G2290*E2283,"")</f>
        <v/>
      </c>
    </row>
    <row r="2291" spans="1:8">
      <c r="A2291" s="21"/>
      <c r="B2291" s="22" t="s">
        <v>3731</v>
      </c>
      <c r="C2291" s="23"/>
      <c r="D2291" s="24"/>
      <c r="E2291" s="25"/>
      <c r="F2291" s="26"/>
      <c r="G2291" s="27">
        <f>SUM(G2292:G2296)</f>
        <v>17318.390093062502</v>
      </c>
      <c r="H2291" s="44">
        <f>G2291*E2283</f>
        <v>0</v>
      </c>
    </row>
    <row r="2292" spans="1:8">
      <c r="A2292" s="28"/>
      <c r="B2292" s="29" t="s">
        <v>3618</v>
      </c>
      <c r="C2292" s="30" t="str">
        <f>IFERROR(_xlfn.XLOOKUP(B2292,Equipo[DESCRIPCION],Equipo[UND],,0),"")</f>
        <v>Día</v>
      </c>
      <c r="D2292" s="31">
        <v>1</v>
      </c>
      <c r="E2292" s="32">
        <f>IF(C2292="%MO",G2300,IFERROR(_xlfn.XLOOKUP($B2292,Equipo[DESCRIPCION],Equipo[VALOR],,0),""))</f>
        <v>3150</v>
      </c>
      <c r="F2292" s="33">
        <v>-4</v>
      </c>
      <c r="G2292" s="34">
        <f>IFERROR(IF(F2292&gt;=0,D2292*E2292*(1+F2292/100),ABS(D2292*E2292/F2292)),"")</f>
        <v>787.5</v>
      </c>
      <c r="H2292" s="43">
        <f>IFERROR(G2292*E2283,"")</f>
        <v>0</v>
      </c>
    </row>
    <row r="2293" spans="1:8">
      <c r="A2293" s="28"/>
      <c r="B2293" s="29" t="s">
        <v>3645</v>
      </c>
      <c r="C2293" s="30" t="str">
        <f>IFERROR(_xlfn.XLOOKUP(B2293,Equipo[DESCRIPCION],Equipo[UND],,0),"")</f>
        <v>Día</v>
      </c>
      <c r="D2293" s="31">
        <v>1</v>
      </c>
      <c r="E2293" s="32">
        <f>IF(C2293="%MO",G2301,IFERROR(_xlfn.XLOOKUP($B2293,Equipo[DESCRIPCION],Equipo[VALOR],,0),""))</f>
        <v>101038.35</v>
      </c>
      <c r="F2293" s="33">
        <v>-20</v>
      </c>
      <c r="G2293" s="34">
        <f>IFERROR(IF(F2293&gt;=0,D2293*E2293*(1+F2293/100),ABS(D2293*E2293/F2293)),"")</f>
        <v>5051.9175000000005</v>
      </c>
      <c r="H2293" s="43">
        <f>IFERROR(G2293*E2283,"")</f>
        <v>0</v>
      </c>
    </row>
    <row r="2294" spans="1:8">
      <c r="A2294" s="28"/>
      <c r="B2294" s="29" t="s">
        <v>3643</v>
      </c>
      <c r="C2294" s="30" t="str">
        <f>IFERROR(_xlfn.XLOOKUP(B2294,Equipo[DESCRIPCION],Equipo[UND],,0),"")</f>
        <v>Día</v>
      </c>
      <c r="D2294" s="31">
        <v>1</v>
      </c>
      <c r="E2294" s="32">
        <f>IF(C2294="%MO",G2302,IFERROR(_xlfn.XLOOKUP($B2294,Equipo[DESCRIPCION],Equipo[VALOR],,0),""))</f>
        <v>31825.5</v>
      </c>
      <c r="F2294" s="33">
        <v>-20</v>
      </c>
      <c r="G2294" s="34">
        <f>IFERROR(IF(F2294&gt;=0,D2294*E2294*(1+F2294/100),ABS(D2294*E2294/F2294)),"")</f>
        <v>1591.2750000000001</v>
      </c>
      <c r="H2294" s="43">
        <f>IFERROR(G2294*E2283,"")</f>
        <v>0</v>
      </c>
    </row>
    <row r="2295" spans="1:8">
      <c r="A2295" s="28"/>
      <c r="B2295" s="29" t="s">
        <v>3639</v>
      </c>
      <c r="C2295" s="30" t="str">
        <f>IFERROR(_xlfn.XLOOKUP(B2295,Equipo[DESCRIPCION],Equipo[UND],,0),"")</f>
        <v>Día</v>
      </c>
      <c r="D2295" s="31">
        <v>1</v>
      </c>
      <c r="E2295" s="32">
        <f>IF(C2295="%MO",G2303,IFERROR(_xlfn.XLOOKUP($B2295,Equipo[DESCRIPCION],Equipo[VALOR],,0),""))</f>
        <v>31825.5</v>
      </c>
      <c r="F2295" s="33">
        <v>-20</v>
      </c>
      <c r="G2295" s="34">
        <f>IFERROR(IF(F2295&gt;=0,D2295*E2295*(1+F2295/100),ABS(D2295*E2295/F2295)),"")</f>
        <v>1591.2750000000001</v>
      </c>
      <c r="H2295" s="43">
        <f>IFERROR(G2295*E2283,"")</f>
        <v>0</v>
      </c>
    </row>
    <row r="2296" spans="1:8">
      <c r="A2296" s="28"/>
      <c r="B2296" s="29" t="s">
        <v>3626</v>
      </c>
      <c r="C2296" s="30" t="str">
        <f>IFERROR(_xlfn.XLOOKUP(B2296,Equipo[DESCRIPCION],Equipo[UND],,0),"")</f>
        <v>%MO</v>
      </c>
      <c r="D2296" s="31">
        <v>0.05</v>
      </c>
      <c r="E2296" s="32">
        <f>IF(C2296="%MO",G2300,IFERROR(_xlfn.XLOOKUP($B2296,Equipo[DESCRIPCION],Equipo[VALOR],,0),""))</f>
        <v>165928.45186125004</v>
      </c>
      <c r="F2296" s="33"/>
      <c r="G2296" s="34">
        <f>IFERROR(IF(F2296&gt;=0,D2296*E2296*(1+F2296/100),ABS(D2296*E2296/F2296)),"")</f>
        <v>8296.4225930625016</v>
      </c>
      <c r="H2296" s="43">
        <f>IFERROR(G2296*E2283,"")</f>
        <v>0</v>
      </c>
    </row>
    <row r="2297" spans="1:8">
      <c r="A2297" s="21"/>
      <c r="B2297" s="22" t="s">
        <v>2533</v>
      </c>
      <c r="C2297" s="23"/>
      <c r="D2297" s="24"/>
      <c r="E2297" s="25"/>
      <c r="F2297" s="26"/>
      <c r="G2297" s="27">
        <f>SUM(G2298:G2299)</f>
        <v>0</v>
      </c>
      <c r="H2297" s="44">
        <f>G2297*E2283</f>
        <v>0</v>
      </c>
    </row>
    <row r="2298" spans="1:8">
      <c r="A2298" s="28"/>
      <c r="B2298" s="29"/>
      <c r="C2298" s="30" t="str">
        <f>IFERROR(_xlfn.XLOOKUP(B2298,Transporte[DESCRIPCION],Transporte[UND],,0),"")</f>
        <v/>
      </c>
      <c r="D2298" s="31"/>
      <c r="E2298" s="32" t="str">
        <f>IFERROR(_xlfn.XLOOKUP($B2298,Transporte[DESCRIPCION],Transporte[VALOR],,0),"")</f>
        <v/>
      </c>
      <c r="F2298" s="33"/>
      <c r="G2298" s="34" t="str">
        <f>IFERROR(IF(F2298&gt;=0,D2298*E2298*(1+F2298/100),ABS(D2298*E2298/F2298)),"")</f>
        <v/>
      </c>
      <c r="H2298" s="43" t="str">
        <f>IFERROR(G2298*E2283,"")</f>
        <v/>
      </c>
    </row>
    <row r="2299" spans="1:8">
      <c r="A2299" s="28"/>
      <c r="B2299" s="29"/>
      <c r="C2299" s="30" t="str">
        <f>IFERROR(_xlfn.XLOOKUP(B2299,Transporte[DESCRIPCION],Transporte[UND],,0),"")</f>
        <v/>
      </c>
      <c r="D2299" s="31"/>
      <c r="E2299" s="32" t="str">
        <f>IFERROR(_xlfn.XLOOKUP($B2299,Transporte[DESCRIPCION],Transporte[VALOR],,0),"")</f>
        <v/>
      </c>
      <c r="F2299" s="33"/>
      <c r="G2299" s="34" t="str">
        <f>IFERROR(IF(F2299&gt;=0,D2299*E2299*(1+F2299/100),ABS(D2299*E2299/F2299)),"")</f>
        <v/>
      </c>
      <c r="H2299" s="43" t="str">
        <f>IFERROR(G2299*E2283,"")</f>
        <v/>
      </c>
    </row>
    <row r="2300" spans="1:8">
      <c r="A2300" s="21"/>
      <c r="B2300" s="22" t="s">
        <v>3732</v>
      </c>
      <c r="C2300" s="23"/>
      <c r="D2300" s="24"/>
      <c r="E2300" s="25"/>
      <c r="F2300" s="26"/>
      <c r="G2300" s="27">
        <f>SUM(G2301:G2303)</f>
        <v>165928.45186125004</v>
      </c>
      <c r="H2300" s="44">
        <f>G2300*E2283</f>
        <v>0</v>
      </c>
    </row>
    <row r="2301" spans="1:8">
      <c r="A2301" s="28"/>
      <c r="B2301" s="29" t="s">
        <v>3713</v>
      </c>
      <c r="C2301" s="30" t="str">
        <f>IFERROR(_xlfn.XLOOKUP(B2301,MObra[DESCRIPCION],MObra[UN],,0),"")</f>
        <v>día</v>
      </c>
      <c r="D2301" s="31">
        <v>1</v>
      </c>
      <c r="E2301" s="32">
        <f>IFERROR(_xlfn.XLOOKUP($B2301,MObra[DESCRIPCION],MObra[VALOR UNIT],,0),"")</f>
        <v>663713.80744500016</v>
      </c>
      <c r="F2301" s="33">
        <v>-4</v>
      </c>
      <c r="G2301" s="34">
        <f>IFERROR(IF(F2301&gt;=0,D2301*E2301*(1+F2301/100),ABS(D2301*E2301/F2301)),"")</f>
        <v>165928.45186125004</v>
      </c>
      <c r="H2301" s="43">
        <f>IFERROR(G2301*E2283,"")</f>
        <v>0</v>
      </c>
    </row>
    <row r="2302" spans="1:8">
      <c r="A2302" s="28"/>
      <c r="B2302" s="29"/>
      <c r="C2302" s="30" t="str">
        <f>IFERROR(_xlfn.XLOOKUP(B2302,MObra[DESCRIPCION],MObra[UN],,0),"")</f>
        <v/>
      </c>
      <c r="D2302" s="31"/>
      <c r="E2302" s="32" t="str">
        <f>IFERROR(_xlfn.XLOOKUP($B2302,MObra[DESCRIPCION],MObra[VALOR UNIT],,0),"")</f>
        <v/>
      </c>
      <c r="F2302" s="33"/>
      <c r="G2302" s="34" t="str">
        <f>IFERROR(IF(F2302&gt;=0,D2302*E2302*(1+F2302/100),ABS(D2302*E2302/F2302)),"")</f>
        <v/>
      </c>
      <c r="H2302" s="43" t="str">
        <f>IFERROR(G2302*E2283,"")</f>
        <v/>
      </c>
    </row>
    <row r="2303" spans="1:8" ht="13.15" thickBot="1">
      <c r="A2303" s="35"/>
      <c r="B2303" s="36"/>
      <c r="C2303" s="37" t="str">
        <f>IFERROR(_xlfn.XLOOKUP(B2303,MObra[DESCRIPCION],MObra[UN],,0),"")</f>
        <v/>
      </c>
      <c r="D2303" s="38"/>
      <c r="E2303" s="39" t="str">
        <f>IFERROR(_xlfn.XLOOKUP($B2303,MObra[DESCRIPCION],MObra[VALOR UNIT],,0),"")</f>
        <v/>
      </c>
      <c r="F2303" s="40"/>
      <c r="G2303" s="41" t="str">
        <f>IFERROR(IF(F2303&gt;=0,D2303*E2303*(1+F2303/100),ABS(D2303*E2303/F2303)),"")</f>
        <v/>
      </c>
      <c r="H2303" s="42" t="str">
        <f>IFERROR(G2303*E2283,"")</f>
        <v/>
      </c>
    </row>
    <row r="2304" spans="1:8" ht="13.5" thickTop="1" thickBot="1"/>
    <row r="2305" spans="1:11" ht="13.5" thickTop="1" thickBot="1">
      <c r="A2305" s="6" t="s">
        <v>1956</v>
      </c>
      <c r="B2305" s="7" t="str">
        <f>VLOOKUP($A2305,Presupuesto!$A:$D,2,FALSE())</f>
        <v>Pavimento Mr = 3.9 Mpa premezclado</v>
      </c>
      <c r="C2305" s="8" t="str">
        <f>VLOOKUP($A2305,Presupuesto!$A:$D,3,FALSE())</f>
        <v>M3</v>
      </c>
      <c r="D2305" s="9"/>
      <c r="E2305" s="10">
        <f>VLOOKUP($A2305,Presupuesto!$A:$D,4,FALSE())</f>
        <v>0</v>
      </c>
      <c r="F2305" s="11" t="s">
        <v>2589</v>
      </c>
      <c r="G2305" s="12">
        <f>SUM(G2307:G2325)/2</f>
        <v>927502.69695431239</v>
      </c>
      <c r="H2305" s="13">
        <f>ROUND(SUM(H2307:H2325),0)/2</f>
        <v>0</v>
      </c>
      <c r="I2305" s="10">
        <f>VLOOKUP(A2305,Presupuesto!$A:$F,6,0)</f>
        <v>0</v>
      </c>
      <c r="J2305" s="10">
        <f>+H2305-I2305</f>
        <v>0</v>
      </c>
      <c r="K2305" s="46">
        <f>+H2305-G2305*E2305</f>
        <v>0</v>
      </c>
    </row>
    <row r="2306" spans="1:11" ht="13.15" thickTop="1">
      <c r="A2306" s="14"/>
      <c r="B2306" s="15" t="s">
        <v>2586</v>
      </c>
      <c r="C2306" s="15" t="s">
        <v>5</v>
      </c>
      <c r="D2306" s="16" t="s">
        <v>6</v>
      </c>
      <c r="E2306" s="17" t="s">
        <v>7</v>
      </c>
      <c r="F2306" s="18" t="s">
        <v>3728</v>
      </c>
      <c r="G2306" s="19" t="s">
        <v>3729</v>
      </c>
      <c r="H2306" s="20" t="s">
        <v>3797</v>
      </c>
    </row>
    <row r="2307" spans="1:11">
      <c r="A2307" s="21"/>
      <c r="B2307" s="22" t="s">
        <v>3730</v>
      </c>
      <c r="C2307" s="23"/>
      <c r="D2307" s="24"/>
      <c r="E2307" s="25"/>
      <c r="F2307" s="26"/>
      <c r="G2307" s="27">
        <f>SUM(G2308:G2312)</f>
        <v>744255.85499999998</v>
      </c>
      <c r="H2307" s="27">
        <f>IFERROR(G2307*E2305,"")</f>
        <v>0</v>
      </c>
    </row>
    <row r="2308" spans="1:11">
      <c r="A2308" s="28"/>
      <c r="B2308" s="29" t="s">
        <v>2874</v>
      </c>
      <c r="C2308" s="30" t="str">
        <f>IFERROR(_xlfn.XLOOKUP(B2308,Insumo[DESCRIPCION],Insumo[UND],,0),"")</f>
        <v>M3</v>
      </c>
      <c r="D2308" s="31">
        <v>1</v>
      </c>
      <c r="E2308" s="32">
        <f>IFERROR(_xlfn.XLOOKUP($B2308,Insumo[DESCRIPCION],Insumo[VALOR],,0),"")</f>
        <v>722578.5</v>
      </c>
      <c r="F2308" s="33">
        <v>3</v>
      </c>
      <c r="G2308" s="34">
        <f>IFERROR(IF(F2308&gt;=0,D2308*E2308*(1+F2308/100),ABS(D2308*E2308/F2308)),"")</f>
        <v>744255.85499999998</v>
      </c>
      <c r="H2308" s="43">
        <f>IFERROR(G2308*E2305,"")</f>
        <v>0</v>
      </c>
    </row>
    <row r="2309" spans="1:11">
      <c r="A2309" s="28"/>
      <c r="B2309" s="29"/>
      <c r="C2309" s="30" t="str">
        <f>IFERROR(_xlfn.XLOOKUP(B2309,Insumo[DESCRIPCION],Insumo[UND],,0),"")</f>
        <v/>
      </c>
      <c r="D2309" s="31"/>
      <c r="E2309" s="32" t="str">
        <f>IFERROR(_xlfn.XLOOKUP($B2309,Insumo[DESCRIPCION],Insumo[VALOR],,0),"")</f>
        <v/>
      </c>
      <c r="F2309" s="33"/>
      <c r="G2309" s="34" t="str">
        <f>IFERROR(IF(F2309&gt;=0,D2309*E2309*(1+F2309/100),ABS(D2309*E2309/F2309)),"")</f>
        <v/>
      </c>
      <c r="H2309" s="43" t="str">
        <f>IFERROR(G2309*E2305,"")</f>
        <v/>
      </c>
    </row>
    <row r="2310" spans="1:11">
      <c r="A2310" s="28"/>
      <c r="B2310" s="29"/>
      <c r="C2310" s="30" t="str">
        <f>IFERROR(_xlfn.XLOOKUP(B2310,Insumo[DESCRIPCION],Insumo[UND],,0),"")</f>
        <v/>
      </c>
      <c r="D2310" s="31"/>
      <c r="E2310" s="32" t="str">
        <f>IFERROR(_xlfn.XLOOKUP($B2310,Insumo[DESCRIPCION],Insumo[VALOR],,0),"")</f>
        <v/>
      </c>
      <c r="F2310" s="33"/>
      <c r="G2310" s="34" t="str">
        <f>IFERROR(IF(F2310&gt;=0,D2310*E2310*(1+F2310/100),ABS(D2310*E2310/F2310)),"")</f>
        <v/>
      </c>
      <c r="H2310" s="43" t="str">
        <f>IFERROR(G2310*E2305,"")</f>
        <v/>
      </c>
    </row>
    <row r="2311" spans="1:11">
      <c r="A2311" s="28"/>
      <c r="B2311" s="29"/>
      <c r="C2311" s="30" t="str">
        <f>IFERROR(_xlfn.XLOOKUP(B2311,Insumo[DESCRIPCION],Insumo[UND],,0),"")</f>
        <v/>
      </c>
      <c r="D2311" s="31"/>
      <c r="E2311" s="32" t="str">
        <f>IFERROR(_xlfn.XLOOKUP($B2311,Insumo[DESCRIPCION],Insumo[VALOR],,0),"")</f>
        <v/>
      </c>
      <c r="F2311" s="33"/>
      <c r="G2311" s="34" t="str">
        <f>IFERROR(IF(F2311&gt;=0,D2311*E2311*(1+F2311/100),ABS(D2311*E2311/F2311)),"")</f>
        <v/>
      </c>
      <c r="H2311" s="43" t="str">
        <f>IFERROR(G2311*E2305,"")</f>
        <v/>
      </c>
    </row>
    <row r="2312" spans="1:11">
      <c r="A2312" s="28"/>
      <c r="B2312" s="29"/>
      <c r="C2312" s="30" t="str">
        <f>IFERROR(_xlfn.XLOOKUP(B2312,Insumo[DESCRIPCION],Insumo[UND],,0),"")</f>
        <v/>
      </c>
      <c r="D2312" s="31"/>
      <c r="E2312" s="32" t="str">
        <f>IFERROR(_xlfn.XLOOKUP($B2312,Insumo[DESCRIPCION],Insumo[VALOR],,0),"")</f>
        <v/>
      </c>
      <c r="F2312" s="33"/>
      <c r="G2312" s="34" t="str">
        <f>IFERROR(IF(F2312&gt;=0,D2312*E2312*(1+F2312/100),ABS(D2312*E2312/F2312)),"")</f>
        <v/>
      </c>
      <c r="H2312" s="43" t="str">
        <f>IFERROR(G2312*E2305,"")</f>
        <v/>
      </c>
    </row>
    <row r="2313" spans="1:11">
      <c r="A2313" s="21"/>
      <c r="B2313" s="22" t="s">
        <v>3731</v>
      </c>
      <c r="C2313" s="23"/>
      <c r="D2313" s="24"/>
      <c r="E2313" s="25"/>
      <c r="F2313" s="26"/>
      <c r="G2313" s="27">
        <f>SUM(G2314:G2318)</f>
        <v>17318.390093062502</v>
      </c>
      <c r="H2313" s="44">
        <f>G2313*E2305</f>
        <v>0</v>
      </c>
    </row>
    <row r="2314" spans="1:11">
      <c r="A2314" s="28"/>
      <c r="B2314" s="29" t="s">
        <v>3618</v>
      </c>
      <c r="C2314" s="30" t="str">
        <f>IFERROR(_xlfn.XLOOKUP(B2314,Equipo[DESCRIPCION],Equipo[UND],,0),"")</f>
        <v>Día</v>
      </c>
      <c r="D2314" s="31">
        <v>1</v>
      </c>
      <c r="E2314" s="32">
        <f>IF(C2314="%MO",G2322,IFERROR(_xlfn.XLOOKUP($B2314,Equipo[DESCRIPCION],Equipo[VALOR],,0),""))</f>
        <v>3150</v>
      </c>
      <c r="F2314" s="33">
        <v>-4</v>
      </c>
      <c r="G2314" s="34">
        <f>IFERROR(IF(F2314&gt;=0,D2314*E2314*(1+F2314/100),ABS(D2314*E2314/F2314)),"")</f>
        <v>787.5</v>
      </c>
      <c r="H2314" s="43">
        <f>IFERROR(G2314*E2305,"")</f>
        <v>0</v>
      </c>
    </row>
    <row r="2315" spans="1:11">
      <c r="A2315" s="28"/>
      <c r="B2315" s="29" t="s">
        <v>3645</v>
      </c>
      <c r="C2315" s="30" t="str">
        <f>IFERROR(_xlfn.XLOOKUP(B2315,Equipo[DESCRIPCION],Equipo[UND],,0),"")</f>
        <v>Día</v>
      </c>
      <c r="D2315" s="31">
        <v>1</v>
      </c>
      <c r="E2315" s="32">
        <f>IF(C2315="%MO",G2323,IFERROR(_xlfn.XLOOKUP($B2315,Equipo[DESCRIPCION],Equipo[VALOR],,0),""))</f>
        <v>101038.35</v>
      </c>
      <c r="F2315" s="33">
        <v>-20</v>
      </c>
      <c r="G2315" s="34">
        <f>IFERROR(IF(F2315&gt;=0,D2315*E2315*(1+F2315/100),ABS(D2315*E2315/F2315)),"")</f>
        <v>5051.9175000000005</v>
      </c>
      <c r="H2315" s="43">
        <f>IFERROR(G2315*E2305,"")</f>
        <v>0</v>
      </c>
    </row>
    <row r="2316" spans="1:11">
      <c r="A2316" s="28"/>
      <c r="B2316" s="29" t="s">
        <v>3643</v>
      </c>
      <c r="C2316" s="30" t="str">
        <f>IFERROR(_xlfn.XLOOKUP(B2316,Equipo[DESCRIPCION],Equipo[UND],,0),"")</f>
        <v>Día</v>
      </c>
      <c r="D2316" s="31">
        <v>1</v>
      </c>
      <c r="E2316" s="32">
        <f>IF(C2316="%MO",G2324,IFERROR(_xlfn.XLOOKUP($B2316,Equipo[DESCRIPCION],Equipo[VALOR],,0),""))</f>
        <v>31825.5</v>
      </c>
      <c r="F2316" s="33">
        <v>-20</v>
      </c>
      <c r="G2316" s="34">
        <f>IFERROR(IF(F2316&gt;=0,D2316*E2316*(1+F2316/100),ABS(D2316*E2316/F2316)),"")</f>
        <v>1591.2750000000001</v>
      </c>
      <c r="H2316" s="43">
        <f>IFERROR(G2316*E2305,"")</f>
        <v>0</v>
      </c>
    </row>
    <row r="2317" spans="1:11">
      <c r="A2317" s="28"/>
      <c r="B2317" s="29" t="s">
        <v>3639</v>
      </c>
      <c r="C2317" s="30" t="str">
        <f>IFERROR(_xlfn.XLOOKUP(B2317,Equipo[DESCRIPCION],Equipo[UND],,0),"")</f>
        <v>Día</v>
      </c>
      <c r="D2317" s="31">
        <v>1</v>
      </c>
      <c r="E2317" s="32">
        <f>IF(C2317="%MO",G2325,IFERROR(_xlfn.XLOOKUP($B2317,Equipo[DESCRIPCION],Equipo[VALOR],,0),""))</f>
        <v>31825.5</v>
      </c>
      <c r="F2317" s="33">
        <v>-20</v>
      </c>
      <c r="G2317" s="34">
        <f>IFERROR(IF(F2317&gt;=0,D2317*E2317*(1+F2317/100),ABS(D2317*E2317/F2317)),"")</f>
        <v>1591.2750000000001</v>
      </c>
      <c r="H2317" s="43">
        <f>IFERROR(G2317*E2305,"")</f>
        <v>0</v>
      </c>
    </row>
    <row r="2318" spans="1:11">
      <c r="A2318" s="28"/>
      <c r="B2318" s="29" t="s">
        <v>3626</v>
      </c>
      <c r="C2318" s="30" t="str">
        <f>IFERROR(_xlfn.XLOOKUP(B2318,Equipo[DESCRIPCION],Equipo[UND],,0),"")</f>
        <v>%MO</v>
      </c>
      <c r="D2318" s="31">
        <v>0.05</v>
      </c>
      <c r="E2318" s="32">
        <f>IF(C2318="%MO",G2322,IFERROR(_xlfn.XLOOKUP($B2318,Equipo[DESCRIPCION],Equipo[VALOR],,0),""))</f>
        <v>165928.45186125004</v>
      </c>
      <c r="F2318" s="33"/>
      <c r="G2318" s="34">
        <f>IFERROR(IF(F2318&gt;=0,D2318*E2318*(1+F2318/100),ABS(D2318*E2318/F2318)),"")</f>
        <v>8296.4225930625016</v>
      </c>
      <c r="H2318" s="43">
        <f>IFERROR(G2318*E2305,"")</f>
        <v>0</v>
      </c>
    </row>
    <row r="2319" spans="1:11">
      <c r="A2319" s="21"/>
      <c r="B2319" s="22" t="s">
        <v>2533</v>
      </c>
      <c r="C2319" s="23"/>
      <c r="D2319" s="24"/>
      <c r="E2319" s="25"/>
      <c r="F2319" s="26"/>
      <c r="G2319" s="27">
        <f>SUM(G2320:G2321)</f>
        <v>0</v>
      </c>
      <c r="H2319" s="44">
        <f>G2319*E2305</f>
        <v>0</v>
      </c>
    </row>
    <row r="2320" spans="1:11">
      <c r="A2320" s="28"/>
      <c r="B2320" s="29"/>
      <c r="C2320" s="30" t="str">
        <f>IFERROR(_xlfn.XLOOKUP(B2320,Transporte[DESCRIPCION],Transporte[UND],,0),"")</f>
        <v/>
      </c>
      <c r="D2320" s="31"/>
      <c r="E2320" s="32" t="str">
        <f>IFERROR(_xlfn.XLOOKUP($B2320,Transporte[DESCRIPCION],Transporte[VALOR],,0),"")</f>
        <v/>
      </c>
      <c r="F2320" s="33"/>
      <c r="G2320" s="34" t="str">
        <f>IFERROR(IF(F2320&gt;=0,D2320*E2320*(1+F2320/100),ABS(D2320*E2320/F2320)),"")</f>
        <v/>
      </c>
      <c r="H2320" s="43" t="str">
        <f>IFERROR(G2320*E2305,"")</f>
        <v/>
      </c>
    </row>
    <row r="2321" spans="1:11">
      <c r="A2321" s="28"/>
      <c r="B2321" s="29"/>
      <c r="C2321" s="30" t="str">
        <f>IFERROR(_xlfn.XLOOKUP(B2321,Transporte[DESCRIPCION],Transporte[UND],,0),"")</f>
        <v/>
      </c>
      <c r="D2321" s="31"/>
      <c r="E2321" s="32" t="str">
        <f>IFERROR(_xlfn.XLOOKUP($B2321,Transporte[DESCRIPCION],Transporte[VALOR],,0),"")</f>
        <v/>
      </c>
      <c r="F2321" s="33"/>
      <c r="G2321" s="34" t="str">
        <f>IFERROR(IF(F2321&gt;=0,D2321*E2321*(1+F2321/100),ABS(D2321*E2321/F2321)),"")</f>
        <v/>
      </c>
      <c r="H2321" s="43" t="str">
        <f>IFERROR(G2321*E2305,"")</f>
        <v/>
      </c>
    </row>
    <row r="2322" spans="1:11">
      <c r="A2322" s="21"/>
      <c r="B2322" s="22" t="s">
        <v>3732</v>
      </c>
      <c r="C2322" s="23"/>
      <c r="D2322" s="24"/>
      <c r="E2322" s="25"/>
      <c r="F2322" s="26"/>
      <c r="G2322" s="27">
        <f>SUM(G2323:G2325)</f>
        <v>165928.45186125004</v>
      </c>
      <c r="H2322" s="44">
        <f>G2322*E2305</f>
        <v>0</v>
      </c>
    </row>
    <row r="2323" spans="1:11">
      <c r="A2323" s="28"/>
      <c r="B2323" s="29" t="s">
        <v>3713</v>
      </c>
      <c r="C2323" s="30" t="str">
        <f>IFERROR(_xlfn.XLOOKUP(B2323,MObra[DESCRIPCION],MObra[UN],,0),"")</f>
        <v>día</v>
      </c>
      <c r="D2323" s="31">
        <v>1</v>
      </c>
      <c r="E2323" s="32">
        <f>IFERROR(_xlfn.XLOOKUP($B2323,MObra[DESCRIPCION],MObra[VALOR UNIT],,0),"")</f>
        <v>663713.80744500016</v>
      </c>
      <c r="F2323" s="33">
        <v>-4</v>
      </c>
      <c r="G2323" s="34">
        <f>IFERROR(IF(F2323&gt;=0,D2323*E2323*(1+F2323/100),ABS(D2323*E2323/F2323)),"")</f>
        <v>165928.45186125004</v>
      </c>
      <c r="H2323" s="43">
        <f>IFERROR(G2323*E2305,"")</f>
        <v>0</v>
      </c>
    </row>
    <row r="2324" spans="1:11">
      <c r="A2324" s="28"/>
      <c r="B2324" s="29"/>
      <c r="C2324" s="30" t="str">
        <f>IFERROR(_xlfn.XLOOKUP(B2324,MObra[DESCRIPCION],MObra[UN],,0),"")</f>
        <v/>
      </c>
      <c r="D2324" s="31"/>
      <c r="E2324" s="32" t="str">
        <f>IFERROR(_xlfn.XLOOKUP($B2324,MObra[DESCRIPCION],MObra[VALOR UNIT],,0),"")</f>
        <v/>
      </c>
      <c r="F2324" s="33"/>
      <c r="G2324" s="34" t="str">
        <f>IFERROR(IF(F2324&gt;=0,D2324*E2324*(1+F2324/100),ABS(D2324*E2324/F2324)),"")</f>
        <v/>
      </c>
      <c r="H2324" s="43" t="str">
        <f>IFERROR(G2324*E2305,"")</f>
        <v/>
      </c>
    </row>
    <row r="2325" spans="1:11" ht="13.15" thickBot="1">
      <c r="A2325" s="35"/>
      <c r="B2325" s="36"/>
      <c r="C2325" s="37" t="str">
        <f>IFERROR(_xlfn.XLOOKUP(B2325,MObra[DESCRIPCION],MObra[UN],,0),"")</f>
        <v/>
      </c>
      <c r="D2325" s="38"/>
      <c r="E2325" s="39" t="str">
        <f>IFERROR(_xlfn.XLOOKUP($B2325,MObra[DESCRIPCION],MObra[VALOR UNIT],,0),"")</f>
        <v/>
      </c>
      <c r="F2325" s="40"/>
      <c r="G2325" s="41" t="str">
        <f>IFERROR(IF(F2325&gt;=0,D2325*E2325*(1+F2325/100),ABS(D2325*E2325/F2325)),"")</f>
        <v/>
      </c>
      <c r="H2325" s="42" t="str">
        <f>IFERROR(G2325*E2305,"")</f>
        <v/>
      </c>
    </row>
    <row r="2326" spans="1:11" ht="13.5" thickTop="1" thickBot="1"/>
    <row r="2327" spans="1:11" ht="13.5" thickTop="1" thickBot="1">
      <c r="A2327" s="6" t="s">
        <v>1958</v>
      </c>
      <c r="B2327" s="7" t="str">
        <f>VLOOKUP($A2327,Presupuesto!$A:$D,2,FALSE())</f>
        <v>Pavimento Mr = 4.0 Mpa obra</v>
      </c>
      <c r="C2327" s="8" t="str">
        <f>VLOOKUP($A2327,Presupuesto!$A:$D,3,FALSE())</f>
        <v>M3</v>
      </c>
      <c r="D2327" s="9"/>
      <c r="E2327" s="10">
        <f>VLOOKUP($A2327,Presupuesto!$A:$D,4,FALSE())</f>
        <v>0</v>
      </c>
      <c r="F2327" s="11" t="s">
        <v>2589</v>
      </c>
      <c r="G2327" s="12">
        <f>SUM(G2329:G2347)/2</f>
        <v>739230.85455532896</v>
      </c>
      <c r="H2327" s="13">
        <f>ROUND(SUM(H2329:H2347),0)/2</f>
        <v>0</v>
      </c>
      <c r="I2327" s="10">
        <f>VLOOKUP(A2327,Presupuesto!$A:$F,6,0)</f>
        <v>0</v>
      </c>
      <c r="J2327" s="10">
        <f>+H2327-I2327</f>
        <v>0</v>
      </c>
      <c r="K2327" s="46">
        <f>+H2327-G2327*E2327</f>
        <v>0</v>
      </c>
    </row>
    <row r="2328" spans="1:11" ht="13.15" thickTop="1">
      <c r="A2328" s="14"/>
      <c r="B2328" s="15" t="s">
        <v>2586</v>
      </c>
      <c r="C2328" s="15" t="s">
        <v>5</v>
      </c>
      <c r="D2328" s="16" t="s">
        <v>6</v>
      </c>
      <c r="E2328" s="17" t="s">
        <v>7</v>
      </c>
      <c r="F2328" s="18" t="s">
        <v>3728</v>
      </c>
      <c r="G2328" s="19" t="s">
        <v>3729</v>
      </c>
      <c r="H2328" s="20" t="s">
        <v>3797</v>
      </c>
    </row>
    <row r="2329" spans="1:11">
      <c r="A2329" s="21"/>
      <c r="B2329" s="22" t="s">
        <v>3730</v>
      </c>
      <c r="C2329" s="23"/>
      <c r="D2329" s="24"/>
      <c r="E2329" s="25"/>
      <c r="F2329" s="26"/>
      <c r="G2329" s="27">
        <f>SUM(G2330:G2334)</f>
        <v>555984.01260101655</v>
      </c>
      <c r="H2329" s="27">
        <f>IFERROR(G2329*E2327,"")</f>
        <v>0</v>
      </c>
    </row>
    <row r="2330" spans="1:11">
      <c r="A2330" s="28"/>
      <c r="B2330" s="29" t="s">
        <v>3240</v>
      </c>
      <c r="C2330" s="30" t="str">
        <f>IFERROR(_xlfn.XLOOKUP(B2330,Insumo[DESCRIPCION],Insumo[UND],,0),"")</f>
        <v>M3</v>
      </c>
      <c r="D2330" s="31">
        <v>1</v>
      </c>
      <c r="E2330" s="32">
        <f>IFERROR(_xlfn.XLOOKUP($B2330,Insumo[DESCRIPCION],Insumo[VALOR],,0),"")</f>
        <v>539790.3034961326</v>
      </c>
      <c r="F2330" s="33">
        <v>3</v>
      </c>
      <c r="G2330" s="34">
        <f>IFERROR(IF(F2330&gt;=0,D2330*E2330*(1+F2330/100),ABS(D2330*E2330/F2330)),"")</f>
        <v>555984.01260101655</v>
      </c>
      <c r="H2330" s="43">
        <f>IFERROR(G2330*E2327,"")</f>
        <v>0</v>
      </c>
    </row>
    <row r="2331" spans="1:11">
      <c r="A2331" s="28"/>
      <c r="B2331" s="29"/>
      <c r="C2331" s="30" t="str">
        <f>IFERROR(_xlfn.XLOOKUP(B2331,Insumo[DESCRIPCION],Insumo[UND],,0),"")</f>
        <v/>
      </c>
      <c r="D2331" s="31"/>
      <c r="E2331" s="32" t="str">
        <f>IFERROR(_xlfn.XLOOKUP($B2331,Insumo[DESCRIPCION],Insumo[VALOR],,0),"")</f>
        <v/>
      </c>
      <c r="F2331" s="33"/>
      <c r="G2331" s="34" t="str">
        <f>IFERROR(IF(F2331&gt;=0,D2331*E2331*(1+F2331/100),ABS(D2331*E2331/F2331)),"")</f>
        <v/>
      </c>
      <c r="H2331" s="43" t="str">
        <f>IFERROR(G2331*E2327,"")</f>
        <v/>
      </c>
    </row>
    <row r="2332" spans="1:11">
      <c r="A2332" s="28"/>
      <c r="B2332" s="29"/>
      <c r="C2332" s="30" t="str">
        <f>IFERROR(_xlfn.XLOOKUP(B2332,Insumo[DESCRIPCION],Insumo[UND],,0),"")</f>
        <v/>
      </c>
      <c r="D2332" s="31"/>
      <c r="E2332" s="32" t="str">
        <f>IFERROR(_xlfn.XLOOKUP($B2332,Insumo[DESCRIPCION],Insumo[VALOR],,0),"")</f>
        <v/>
      </c>
      <c r="F2332" s="33"/>
      <c r="G2332" s="34" t="str">
        <f>IFERROR(IF(F2332&gt;=0,D2332*E2332*(1+F2332/100),ABS(D2332*E2332/F2332)),"")</f>
        <v/>
      </c>
      <c r="H2332" s="43" t="str">
        <f>IFERROR(G2332*E2327,"")</f>
        <v/>
      </c>
    </row>
    <row r="2333" spans="1:11">
      <c r="A2333" s="28"/>
      <c r="B2333" s="29"/>
      <c r="C2333" s="30" t="str">
        <f>IFERROR(_xlfn.XLOOKUP(B2333,Insumo[DESCRIPCION],Insumo[UND],,0),"")</f>
        <v/>
      </c>
      <c r="D2333" s="31"/>
      <c r="E2333" s="32" t="str">
        <f>IFERROR(_xlfn.XLOOKUP($B2333,Insumo[DESCRIPCION],Insumo[VALOR],,0),"")</f>
        <v/>
      </c>
      <c r="F2333" s="33"/>
      <c r="G2333" s="34" t="str">
        <f>IFERROR(IF(F2333&gt;=0,D2333*E2333*(1+F2333/100),ABS(D2333*E2333/F2333)),"")</f>
        <v/>
      </c>
      <c r="H2333" s="43" t="str">
        <f>IFERROR(G2333*E2327,"")</f>
        <v/>
      </c>
    </row>
    <row r="2334" spans="1:11">
      <c r="A2334" s="28"/>
      <c r="B2334" s="29"/>
      <c r="C2334" s="30" t="str">
        <f>IFERROR(_xlfn.XLOOKUP(B2334,Insumo[DESCRIPCION],Insumo[UND],,0),"")</f>
        <v/>
      </c>
      <c r="D2334" s="31"/>
      <c r="E2334" s="32" t="str">
        <f>IFERROR(_xlfn.XLOOKUP($B2334,Insumo[DESCRIPCION],Insumo[VALOR],,0),"")</f>
        <v/>
      </c>
      <c r="F2334" s="33"/>
      <c r="G2334" s="34" t="str">
        <f>IFERROR(IF(F2334&gt;=0,D2334*E2334*(1+F2334/100),ABS(D2334*E2334/F2334)),"")</f>
        <v/>
      </c>
      <c r="H2334" s="43" t="str">
        <f>IFERROR(G2334*E2327,"")</f>
        <v/>
      </c>
    </row>
    <row r="2335" spans="1:11">
      <c r="A2335" s="21"/>
      <c r="B2335" s="22" t="s">
        <v>3731</v>
      </c>
      <c r="C2335" s="23"/>
      <c r="D2335" s="24"/>
      <c r="E2335" s="25"/>
      <c r="F2335" s="26"/>
      <c r="G2335" s="27">
        <f>SUM(G2336:G2340)</f>
        <v>17318.390093062502</v>
      </c>
      <c r="H2335" s="44">
        <f>G2335*E2327</f>
        <v>0</v>
      </c>
    </row>
    <row r="2336" spans="1:11">
      <c r="A2336" s="28"/>
      <c r="B2336" s="29" t="s">
        <v>3618</v>
      </c>
      <c r="C2336" s="30" t="str">
        <f>IFERROR(_xlfn.XLOOKUP(B2336,Equipo[DESCRIPCION],Equipo[UND],,0),"")</f>
        <v>Día</v>
      </c>
      <c r="D2336" s="31">
        <v>1</v>
      </c>
      <c r="E2336" s="32">
        <f>IF(C2336="%MO",G2344,IFERROR(_xlfn.XLOOKUP($B2336,Equipo[DESCRIPCION],Equipo[VALOR],,0),""))</f>
        <v>3150</v>
      </c>
      <c r="F2336" s="33">
        <v>-4</v>
      </c>
      <c r="G2336" s="34">
        <f>IFERROR(IF(F2336&gt;=0,D2336*E2336*(1+F2336/100),ABS(D2336*E2336/F2336)),"")</f>
        <v>787.5</v>
      </c>
      <c r="H2336" s="43">
        <f>IFERROR(G2336*E2327,"")</f>
        <v>0</v>
      </c>
    </row>
    <row r="2337" spans="1:11">
      <c r="A2337" s="28"/>
      <c r="B2337" s="29" t="s">
        <v>3645</v>
      </c>
      <c r="C2337" s="30" t="str">
        <f>IFERROR(_xlfn.XLOOKUP(B2337,Equipo[DESCRIPCION],Equipo[UND],,0),"")</f>
        <v>Día</v>
      </c>
      <c r="D2337" s="31">
        <v>1</v>
      </c>
      <c r="E2337" s="32">
        <f>IF(C2337="%MO",G2345,IFERROR(_xlfn.XLOOKUP($B2337,Equipo[DESCRIPCION],Equipo[VALOR],,0),""))</f>
        <v>101038.35</v>
      </c>
      <c r="F2337" s="33">
        <v>-20</v>
      </c>
      <c r="G2337" s="34">
        <f>IFERROR(IF(F2337&gt;=0,D2337*E2337*(1+F2337/100),ABS(D2337*E2337/F2337)),"")</f>
        <v>5051.9175000000005</v>
      </c>
      <c r="H2337" s="43">
        <f>IFERROR(G2337*E2327,"")</f>
        <v>0</v>
      </c>
    </row>
    <row r="2338" spans="1:11">
      <c r="A2338" s="28"/>
      <c r="B2338" s="29" t="s">
        <v>3643</v>
      </c>
      <c r="C2338" s="30" t="str">
        <f>IFERROR(_xlfn.XLOOKUP(B2338,Equipo[DESCRIPCION],Equipo[UND],,0),"")</f>
        <v>Día</v>
      </c>
      <c r="D2338" s="31">
        <v>1</v>
      </c>
      <c r="E2338" s="32">
        <f>IF(C2338="%MO",G2346,IFERROR(_xlfn.XLOOKUP($B2338,Equipo[DESCRIPCION],Equipo[VALOR],,0),""))</f>
        <v>31825.5</v>
      </c>
      <c r="F2338" s="33">
        <v>-20</v>
      </c>
      <c r="G2338" s="34">
        <f>IFERROR(IF(F2338&gt;=0,D2338*E2338*(1+F2338/100),ABS(D2338*E2338/F2338)),"")</f>
        <v>1591.2750000000001</v>
      </c>
      <c r="H2338" s="43">
        <f>IFERROR(G2338*E2327,"")</f>
        <v>0</v>
      </c>
    </row>
    <row r="2339" spans="1:11">
      <c r="A2339" s="28"/>
      <c r="B2339" s="29" t="s">
        <v>3639</v>
      </c>
      <c r="C2339" s="30" t="str">
        <f>IFERROR(_xlfn.XLOOKUP(B2339,Equipo[DESCRIPCION],Equipo[UND],,0),"")</f>
        <v>Día</v>
      </c>
      <c r="D2339" s="31">
        <v>1</v>
      </c>
      <c r="E2339" s="32">
        <f>IF(C2339="%MO",G2347,IFERROR(_xlfn.XLOOKUP($B2339,Equipo[DESCRIPCION],Equipo[VALOR],,0),""))</f>
        <v>31825.5</v>
      </c>
      <c r="F2339" s="33">
        <v>-20</v>
      </c>
      <c r="G2339" s="34">
        <f>IFERROR(IF(F2339&gt;=0,D2339*E2339*(1+F2339/100),ABS(D2339*E2339/F2339)),"")</f>
        <v>1591.2750000000001</v>
      </c>
      <c r="H2339" s="43">
        <f>IFERROR(G2339*E2327,"")</f>
        <v>0</v>
      </c>
    </row>
    <row r="2340" spans="1:11">
      <c r="A2340" s="28"/>
      <c r="B2340" s="29" t="s">
        <v>3626</v>
      </c>
      <c r="C2340" s="30" t="str">
        <f>IFERROR(_xlfn.XLOOKUP(B2340,Equipo[DESCRIPCION],Equipo[UND],,0),"")</f>
        <v>%MO</v>
      </c>
      <c r="D2340" s="31">
        <v>0.05</v>
      </c>
      <c r="E2340" s="32">
        <f>IF(C2340="%MO",G2344,IFERROR(_xlfn.XLOOKUP($B2340,Equipo[DESCRIPCION],Equipo[VALOR],,0),""))</f>
        <v>165928.45186125004</v>
      </c>
      <c r="F2340" s="33"/>
      <c r="G2340" s="34">
        <f>IFERROR(IF(F2340&gt;=0,D2340*E2340*(1+F2340/100),ABS(D2340*E2340/F2340)),"")</f>
        <v>8296.4225930625016</v>
      </c>
      <c r="H2340" s="43">
        <f>IFERROR(G2340*E2327,"")</f>
        <v>0</v>
      </c>
    </row>
    <row r="2341" spans="1:11">
      <c r="A2341" s="21"/>
      <c r="B2341" s="22" t="s">
        <v>2533</v>
      </c>
      <c r="C2341" s="23"/>
      <c r="D2341" s="24"/>
      <c r="E2341" s="25"/>
      <c r="F2341" s="26"/>
      <c r="G2341" s="27">
        <f>SUM(G2342:G2343)</f>
        <v>0</v>
      </c>
      <c r="H2341" s="44">
        <f>G2341*E2327</f>
        <v>0</v>
      </c>
    </row>
    <row r="2342" spans="1:11">
      <c r="A2342" s="28"/>
      <c r="B2342" s="29"/>
      <c r="C2342" s="30" t="str">
        <f>IFERROR(_xlfn.XLOOKUP(B2342,Transporte[DESCRIPCION],Transporte[UND],,0),"")</f>
        <v/>
      </c>
      <c r="D2342" s="31"/>
      <c r="E2342" s="32" t="str">
        <f>IFERROR(_xlfn.XLOOKUP($B2342,Transporte[DESCRIPCION],Transporte[VALOR],,0),"")</f>
        <v/>
      </c>
      <c r="F2342" s="33"/>
      <c r="G2342" s="34" t="str">
        <f>IFERROR(IF(F2342&gt;=0,D2342*E2342*(1+F2342/100),ABS(D2342*E2342/F2342)),"")</f>
        <v/>
      </c>
      <c r="H2342" s="43" t="str">
        <f>IFERROR(G2342*E2327,"")</f>
        <v/>
      </c>
    </row>
    <row r="2343" spans="1:11">
      <c r="A2343" s="28"/>
      <c r="B2343" s="29"/>
      <c r="C2343" s="30" t="str">
        <f>IFERROR(_xlfn.XLOOKUP(B2343,Transporte[DESCRIPCION],Transporte[UND],,0),"")</f>
        <v/>
      </c>
      <c r="D2343" s="31"/>
      <c r="E2343" s="32" t="str">
        <f>IFERROR(_xlfn.XLOOKUP($B2343,Transporte[DESCRIPCION],Transporte[VALOR],,0),"")</f>
        <v/>
      </c>
      <c r="F2343" s="33"/>
      <c r="G2343" s="34" t="str">
        <f>IFERROR(IF(F2343&gt;=0,D2343*E2343*(1+F2343/100),ABS(D2343*E2343/F2343)),"")</f>
        <v/>
      </c>
      <c r="H2343" s="43" t="str">
        <f>IFERROR(G2343*E2327,"")</f>
        <v/>
      </c>
    </row>
    <row r="2344" spans="1:11">
      <c r="A2344" s="21"/>
      <c r="B2344" s="22" t="s">
        <v>3732</v>
      </c>
      <c r="C2344" s="23"/>
      <c r="D2344" s="24"/>
      <c r="E2344" s="25"/>
      <c r="F2344" s="26"/>
      <c r="G2344" s="27">
        <f>SUM(G2345:G2347)</f>
        <v>165928.45186125004</v>
      </c>
      <c r="H2344" s="44">
        <f>G2344*E2327</f>
        <v>0</v>
      </c>
    </row>
    <row r="2345" spans="1:11">
      <c r="A2345" s="28"/>
      <c r="B2345" s="29" t="s">
        <v>3713</v>
      </c>
      <c r="C2345" s="30" t="str">
        <f>IFERROR(_xlfn.XLOOKUP(B2345,MObra[DESCRIPCION],MObra[UN],,0),"")</f>
        <v>día</v>
      </c>
      <c r="D2345" s="31">
        <v>1</v>
      </c>
      <c r="E2345" s="32">
        <f>IFERROR(_xlfn.XLOOKUP($B2345,MObra[DESCRIPCION],MObra[VALOR UNIT],,0),"")</f>
        <v>663713.80744500016</v>
      </c>
      <c r="F2345" s="33">
        <v>-4</v>
      </c>
      <c r="G2345" s="34">
        <f>IFERROR(IF(F2345&gt;=0,D2345*E2345*(1+F2345/100),ABS(D2345*E2345/F2345)),"")</f>
        <v>165928.45186125004</v>
      </c>
      <c r="H2345" s="43">
        <f>IFERROR(G2345*E2327,"")</f>
        <v>0</v>
      </c>
    </row>
    <row r="2346" spans="1:11">
      <c r="A2346" s="28"/>
      <c r="B2346" s="29"/>
      <c r="C2346" s="30" t="str">
        <f>IFERROR(_xlfn.XLOOKUP(B2346,MObra[DESCRIPCION],MObra[UN],,0),"")</f>
        <v/>
      </c>
      <c r="D2346" s="31"/>
      <c r="E2346" s="32" t="str">
        <f>IFERROR(_xlfn.XLOOKUP($B2346,MObra[DESCRIPCION],MObra[VALOR UNIT],,0),"")</f>
        <v/>
      </c>
      <c r="F2346" s="33"/>
      <c r="G2346" s="34" t="str">
        <f>IFERROR(IF(F2346&gt;=0,D2346*E2346*(1+F2346/100),ABS(D2346*E2346/F2346)),"")</f>
        <v/>
      </c>
      <c r="H2346" s="43" t="str">
        <f>IFERROR(G2346*E2327,"")</f>
        <v/>
      </c>
    </row>
    <row r="2347" spans="1:11" ht="13.15" thickBot="1">
      <c r="A2347" s="35"/>
      <c r="B2347" s="36"/>
      <c r="C2347" s="37" t="str">
        <f>IFERROR(_xlfn.XLOOKUP(B2347,MObra[DESCRIPCION],MObra[UN],,0),"")</f>
        <v/>
      </c>
      <c r="D2347" s="38"/>
      <c r="E2347" s="39" t="str">
        <f>IFERROR(_xlfn.XLOOKUP($B2347,MObra[DESCRIPCION],MObra[VALOR UNIT],,0),"")</f>
        <v/>
      </c>
      <c r="F2347" s="40"/>
      <c r="G2347" s="41" t="str">
        <f>IFERROR(IF(F2347&gt;=0,D2347*E2347*(1+F2347/100),ABS(D2347*E2347/F2347)),"")</f>
        <v/>
      </c>
      <c r="H2347" s="42" t="str">
        <f>IFERROR(G2347*E2327,"")</f>
        <v/>
      </c>
    </row>
    <row r="2348" spans="1:11" ht="13.5" thickTop="1" thickBot="1"/>
    <row r="2349" spans="1:11" ht="13.5" thickTop="1" thickBot="1">
      <c r="A2349" s="6" t="s">
        <v>1960</v>
      </c>
      <c r="B2349" s="7" t="str">
        <f>VLOOKUP($A2349,Presupuesto!$A:$D,2,FALSE())</f>
        <v>Pavimento Mr = 4.0 Mpa premezclado</v>
      </c>
      <c r="C2349" s="8" t="str">
        <f>VLOOKUP($A2349,Presupuesto!$A:$D,3,FALSE())</f>
        <v>M3</v>
      </c>
      <c r="D2349" s="9"/>
      <c r="E2349" s="10">
        <f>VLOOKUP($A2349,Presupuesto!$A:$D,4,FALSE())</f>
        <v>0</v>
      </c>
      <c r="F2349" s="11" t="s">
        <v>2589</v>
      </c>
      <c r="G2349" s="12">
        <f>SUM(G2351:G2369)/2</f>
        <v>931477.20945431245</v>
      </c>
      <c r="H2349" s="13">
        <f>ROUND(SUM(H2351:H2369),0)/2</f>
        <v>0</v>
      </c>
      <c r="I2349" s="10">
        <f>VLOOKUP(A2349,Presupuesto!$A:$F,6,0)</f>
        <v>0</v>
      </c>
      <c r="J2349" s="10">
        <f>+H2349-I2349</f>
        <v>0</v>
      </c>
      <c r="K2349" s="46">
        <f>+H2349-G2349*E2349</f>
        <v>0</v>
      </c>
    </row>
    <row r="2350" spans="1:11" ht="13.15" thickTop="1">
      <c r="A2350" s="14"/>
      <c r="B2350" s="15" t="s">
        <v>2586</v>
      </c>
      <c r="C2350" s="15" t="s">
        <v>5</v>
      </c>
      <c r="D2350" s="16" t="s">
        <v>6</v>
      </c>
      <c r="E2350" s="17" t="s">
        <v>7</v>
      </c>
      <c r="F2350" s="18" t="s">
        <v>3728</v>
      </c>
      <c r="G2350" s="19" t="s">
        <v>3729</v>
      </c>
      <c r="H2350" s="20" t="s">
        <v>3797</v>
      </c>
    </row>
    <row r="2351" spans="1:11">
      <c r="A2351" s="21"/>
      <c r="B2351" s="22" t="s">
        <v>3730</v>
      </c>
      <c r="C2351" s="23"/>
      <c r="D2351" s="24"/>
      <c r="E2351" s="25"/>
      <c r="F2351" s="26"/>
      <c r="G2351" s="27">
        <f>SUM(G2352:G2356)</f>
        <v>748230.36750000005</v>
      </c>
      <c r="H2351" s="27">
        <f>IFERROR(G2351*E2349,"")</f>
        <v>0</v>
      </c>
    </row>
    <row r="2352" spans="1:11">
      <c r="A2352" s="28"/>
      <c r="B2352" s="29" t="s">
        <v>2875</v>
      </c>
      <c r="C2352" s="30" t="str">
        <f>IFERROR(_xlfn.XLOOKUP(B2352,Insumo[DESCRIPCION],Insumo[UND],,0),"")</f>
        <v>M3</v>
      </c>
      <c r="D2352" s="31">
        <v>1</v>
      </c>
      <c r="E2352" s="32">
        <f>IFERROR(_xlfn.XLOOKUP($B2352,Insumo[DESCRIPCION],Insumo[VALOR],,0),"")</f>
        <v>726437.25</v>
      </c>
      <c r="F2352" s="33">
        <v>3</v>
      </c>
      <c r="G2352" s="34">
        <f>IFERROR(IF(F2352&gt;=0,D2352*E2352*(1+F2352/100),ABS(D2352*E2352/F2352)),"")</f>
        <v>748230.36750000005</v>
      </c>
      <c r="H2352" s="43">
        <f>IFERROR(G2352*E2349,"")</f>
        <v>0</v>
      </c>
    </row>
    <row r="2353" spans="1:8">
      <c r="A2353" s="28"/>
      <c r="B2353" s="29"/>
      <c r="C2353" s="30" t="str">
        <f>IFERROR(_xlfn.XLOOKUP(B2353,Insumo[DESCRIPCION],Insumo[UND],,0),"")</f>
        <v/>
      </c>
      <c r="D2353" s="31"/>
      <c r="E2353" s="32" t="str">
        <f>IFERROR(_xlfn.XLOOKUP($B2353,Insumo[DESCRIPCION],Insumo[VALOR],,0),"")</f>
        <v/>
      </c>
      <c r="F2353" s="33"/>
      <c r="G2353" s="34" t="str">
        <f>IFERROR(IF(F2353&gt;=0,D2353*E2353*(1+F2353/100),ABS(D2353*E2353/F2353)),"")</f>
        <v/>
      </c>
      <c r="H2353" s="43" t="str">
        <f>IFERROR(G2353*E2349,"")</f>
        <v/>
      </c>
    </row>
    <row r="2354" spans="1:8">
      <c r="A2354" s="28"/>
      <c r="B2354" s="29"/>
      <c r="C2354" s="30" t="str">
        <f>IFERROR(_xlfn.XLOOKUP(B2354,Insumo[DESCRIPCION],Insumo[UND],,0),"")</f>
        <v/>
      </c>
      <c r="D2354" s="31"/>
      <c r="E2354" s="32" t="str">
        <f>IFERROR(_xlfn.XLOOKUP($B2354,Insumo[DESCRIPCION],Insumo[VALOR],,0),"")</f>
        <v/>
      </c>
      <c r="F2354" s="33"/>
      <c r="G2354" s="34" t="str">
        <f>IFERROR(IF(F2354&gt;=0,D2354*E2354*(1+F2354/100),ABS(D2354*E2354/F2354)),"")</f>
        <v/>
      </c>
      <c r="H2354" s="43" t="str">
        <f>IFERROR(G2354*E2349,"")</f>
        <v/>
      </c>
    </row>
    <row r="2355" spans="1:8">
      <c r="A2355" s="28"/>
      <c r="B2355" s="29"/>
      <c r="C2355" s="30" t="str">
        <f>IFERROR(_xlfn.XLOOKUP(B2355,Insumo[DESCRIPCION],Insumo[UND],,0),"")</f>
        <v/>
      </c>
      <c r="D2355" s="31"/>
      <c r="E2355" s="32" t="str">
        <f>IFERROR(_xlfn.XLOOKUP($B2355,Insumo[DESCRIPCION],Insumo[VALOR],,0),"")</f>
        <v/>
      </c>
      <c r="F2355" s="33"/>
      <c r="G2355" s="34" t="str">
        <f>IFERROR(IF(F2355&gt;=0,D2355*E2355*(1+F2355/100),ABS(D2355*E2355/F2355)),"")</f>
        <v/>
      </c>
      <c r="H2355" s="43" t="str">
        <f>IFERROR(G2355*E2349,"")</f>
        <v/>
      </c>
    </row>
    <row r="2356" spans="1:8">
      <c r="A2356" s="28"/>
      <c r="B2356" s="29"/>
      <c r="C2356" s="30" t="str">
        <f>IFERROR(_xlfn.XLOOKUP(B2356,Insumo[DESCRIPCION],Insumo[UND],,0),"")</f>
        <v/>
      </c>
      <c r="D2356" s="31"/>
      <c r="E2356" s="32" t="str">
        <f>IFERROR(_xlfn.XLOOKUP($B2356,Insumo[DESCRIPCION],Insumo[VALOR],,0),"")</f>
        <v/>
      </c>
      <c r="F2356" s="33"/>
      <c r="G2356" s="34" t="str">
        <f>IFERROR(IF(F2356&gt;=0,D2356*E2356*(1+F2356/100),ABS(D2356*E2356/F2356)),"")</f>
        <v/>
      </c>
      <c r="H2356" s="43" t="str">
        <f>IFERROR(G2356*E2349,"")</f>
        <v/>
      </c>
    </row>
    <row r="2357" spans="1:8">
      <c r="A2357" s="21"/>
      <c r="B2357" s="22" t="s">
        <v>3731</v>
      </c>
      <c r="C2357" s="23"/>
      <c r="D2357" s="24"/>
      <c r="E2357" s="25"/>
      <c r="F2357" s="26"/>
      <c r="G2357" s="27">
        <f>SUM(G2358:G2362)</f>
        <v>17318.390093062502</v>
      </c>
      <c r="H2357" s="44">
        <f>G2357*E2349</f>
        <v>0</v>
      </c>
    </row>
    <row r="2358" spans="1:8">
      <c r="A2358" s="28"/>
      <c r="B2358" s="29" t="s">
        <v>3618</v>
      </c>
      <c r="C2358" s="30" t="str">
        <f>IFERROR(_xlfn.XLOOKUP(B2358,Equipo[DESCRIPCION],Equipo[UND],,0),"")</f>
        <v>Día</v>
      </c>
      <c r="D2358" s="31">
        <v>1</v>
      </c>
      <c r="E2358" s="32">
        <f>IF(C2358="%MO",G2366,IFERROR(_xlfn.XLOOKUP($B2358,Equipo[DESCRIPCION],Equipo[VALOR],,0),""))</f>
        <v>3150</v>
      </c>
      <c r="F2358" s="33">
        <v>-4</v>
      </c>
      <c r="G2358" s="34">
        <f>IFERROR(IF(F2358&gt;=0,D2358*E2358*(1+F2358/100),ABS(D2358*E2358/F2358)),"")</f>
        <v>787.5</v>
      </c>
      <c r="H2358" s="43">
        <f>IFERROR(G2358*E2349,"")</f>
        <v>0</v>
      </c>
    </row>
    <row r="2359" spans="1:8">
      <c r="A2359" s="28"/>
      <c r="B2359" s="29" t="s">
        <v>3645</v>
      </c>
      <c r="C2359" s="30" t="str">
        <f>IFERROR(_xlfn.XLOOKUP(B2359,Equipo[DESCRIPCION],Equipo[UND],,0),"")</f>
        <v>Día</v>
      </c>
      <c r="D2359" s="31">
        <v>1</v>
      </c>
      <c r="E2359" s="32">
        <f>IF(C2359="%MO",G2367,IFERROR(_xlfn.XLOOKUP($B2359,Equipo[DESCRIPCION],Equipo[VALOR],,0),""))</f>
        <v>101038.35</v>
      </c>
      <c r="F2359" s="33">
        <v>-20</v>
      </c>
      <c r="G2359" s="34">
        <f>IFERROR(IF(F2359&gt;=0,D2359*E2359*(1+F2359/100),ABS(D2359*E2359/F2359)),"")</f>
        <v>5051.9175000000005</v>
      </c>
      <c r="H2359" s="43">
        <f>IFERROR(G2359*E2349,"")</f>
        <v>0</v>
      </c>
    </row>
    <row r="2360" spans="1:8">
      <c r="A2360" s="28"/>
      <c r="B2360" s="29" t="s">
        <v>3643</v>
      </c>
      <c r="C2360" s="30" t="str">
        <f>IFERROR(_xlfn.XLOOKUP(B2360,Equipo[DESCRIPCION],Equipo[UND],,0),"")</f>
        <v>Día</v>
      </c>
      <c r="D2360" s="31">
        <v>1</v>
      </c>
      <c r="E2360" s="32">
        <f>IF(C2360="%MO",G2368,IFERROR(_xlfn.XLOOKUP($B2360,Equipo[DESCRIPCION],Equipo[VALOR],,0),""))</f>
        <v>31825.5</v>
      </c>
      <c r="F2360" s="33">
        <v>-20</v>
      </c>
      <c r="G2360" s="34">
        <f>IFERROR(IF(F2360&gt;=0,D2360*E2360*(1+F2360/100),ABS(D2360*E2360/F2360)),"")</f>
        <v>1591.2750000000001</v>
      </c>
      <c r="H2360" s="43">
        <f>IFERROR(G2360*E2349,"")</f>
        <v>0</v>
      </c>
    </row>
    <row r="2361" spans="1:8">
      <c r="A2361" s="28"/>
      <c r="B2361" s="29" t="s">
        <v>3639</v>
      </c>
      <c r="C2361" s="30" t="str">
        <f>IFERROR(_xlfn.XLOOKUP(B2361,Equipo[DESCRIPCION],Equipo[UND],,0),"")</f>
        <v>Día</v>
      </c>
      <c r="D2361" s="31">
        <v>1</v>
      </c>
      <c r="E2361" s="32">
        <f>IF(C2361="%MO",G2369,IFERROR(_xlfn.XLOOKUP($B2361,Equipo[DESCRIPCION],Equipo[VALOR],,0),""))</f>
        <v>31825.5</v>
      </c>
      <c r="F2361" s="33">
        <v>-20</v>
      </c>
      <c r="G2361" s="34">
        <f>IFERROR(IF(F2361&gt;=0,D2361*E2361*(1+F2361/100),ABS(D2361*E2361/F2361)),"")</f>
        <v>1591.2750000000001</v>
      </c>
      <c r="H2361" s="43">
        <f>IFERROR(G2361*E2349,"")</f>
        <v>0</v>
      </c>
    </row>
    <row r="2362" spans="1:8">
      <c r="A2362" s="28"/>
      <c r="B2362" s="29" t="s">
        <v>3626</v>
      </c>
      <c r="C2362" s="30" t="str">
        <f>IFERROR(_xlfn.XLOOKUP(B2362,Equipo[DESCRIPCION],Equipo[UND],,0),"")</f>
        <v>%MO</v>
      </c>
      <c r="D2362" s="31">
        <v>0.05</v>
      </c>
      <c r="E2362" s="32">
        <f>IF(C2362="%MO",G2366,IFERROR(_xlfn.XLOOKUP($B2362,Equipo[DESCRIPCION],Equipo[VALOR],,0),""))</f>
        <v>165928.45186125004</v>
      </c>
      <c r="F2362" s="33"/>
      <c r="G2362" s="34">
        <f>IFERROR(IF(F2362&gt;=0,D2362*E2362*(1+F2362/100),ABS(D2362*E2362/F2362)),"")</f>
        <v>8296.4225930625016</v>
      </c>
      <c r="H2362" s="43">
        <f>IFERROR(G2362*E2349,"")</f>
        <v>0</v>
      </c>
    </row>
    <row r="2363" spans="1:8">
      <c r="A2363" s="21"/>
      <c r="B2363" s="22" t="s">
        <v>2533</v>
      </c>
      <c r="C2363" s="23"/>
      <c r="D2363" s="24"/>
      <c r="E2363" s="25"/>
      <c r="F2363" s="26"/>
      <c r="G2363" s="27">
        <f>SUM(G2364:G2365)</f>
        <v>0</v>
      </c>
      <c r="H2363" s="44">
        <f>G2363*E2349</f>
        <v>0</v>
      </c>
    </row>
    <row r="2364" spans="1:8">
      <c r="A2364" s="28"/>
      <c r="B2364" s="29"/>
      <c r="C2364" s="30" t="str">
        <f>IFERROR(_xlfn.XLOOKUP(B2364,Transporte[DESCRIPCION],Transporte[UND],,0),"")</f>
        <v/>
      </c>
      <c r="D2364" s="31"/>
      <c r="E2364" s="32" t="str">
        <f>IFERROR(_xlfn.XLOOKUP($B2364,Transporte[DESCRIPCION],Transporte[VALOR],,0),"")</f>
        <v/>
      </c>
      <c r="F2364" s="33"/>
      <c r="G2364" s="34" t="str">
        <f>IFERROR(IF(F2364&gt;=0,D2364*E2364*(1+F2364/100),ABS(D2364*E2364/F2364)),"")</f>
        <v/>
      </c>
      <c r="H2364" s="43" t="str">
        <f>IFERROR(G2364*E2349,"")</f>
        <v/>
      </c>
    </row>
    <row r="2365" spans="1:8">
      <c r="A2365" s="28"/>
      <c r="B2365" s="29"/>
      <c r="C2365" s="30" t="str">
        <f>IFERROR(_xlfn.XLOOKUP(B2365,Transporte[DESCRIPCION],Transporte[UND],,0),"")</f>
        <v/>
      </c>
      <c r="D2365" s="31"/>
      <c r="E2365" s="32" t="str">
        <f>IFERROR(_xlfn.XLOOKUP($B2365,Transporte[DESCRIPCION],Transporte[VALOR],,0),"")</f>
        <v/>
      </c>
      <c r="F2365" s="33"/>
      <c r="G2365" s="34" t="str">
        <f>IFERROR(IF(F2365&gt;=0,D2365*E2365*(1+F2365/100),ABS(D2365*E2365/F2365)),"")</f>
        <v/>
      </c>
      <c r="H2365" s="43" t="str">
        <f>IFERROR(G2365*E2349,"")</f>
        <v/>
      </c>
    </row>
    <row r="2366" spans="1:8">
      <c r="A2366" s="21"/>
      <c r="B2366" s="22" t="s">
        <v>3732</v>
      </c>
      <c r="C2366" s="23"/>
      <c r="D2366" s="24"/>
      <c r="E2366" s="25"/>
      <c r="F2366" s="26"/>
      <c r="G2366" s="27">
        <f>SUM(G2367:G2369)</f>
        <v>165928.45186125004</v>
      </c>
      <c r="H2366" s="44">
        <f>G2366*E2349</f>
        <v>0</v>
      </c>
    </row>
    <row r="2367" spans="1:8">
      <c r="A2367" s="28"/>
      <c r="B2367" s="29" t="s">
        <v>3713</v>
      </c>
      <c r="C2367" s="30" t="str">
        <f>IFERROR(_xlfn.XLOOKUP(B2367,MObra[DESCRIPCION],MObra[UN],,0),"")</f>
        <v>día</v>
      </c>
      <c r="D2367" s="31">
        <v>1</v>
      </c>
      <c r="E2367" s="32">
        <f>IFERROR(_xlfn.XLOOKUP($B2367,MObra[DESCRIPCION],MObra[VALOR UNIT],,0),"")</f>
        <v>663713.80744500016</v>
      </c>
      <c r="F2367" s="33">
        <v>-4</v>
      </c>
      <c r="G2367" s="34">
        <f>IFERROR(IF(F2367&gt;=0,D2367*E2367*(1+F2367/100),ABS(D2367*E2367/F2367)),"")</f>
        <v>165928.45186125004</v>
      </c>
      <c r="H2367" s="43">
        <f>IFERROR(G2367*E2349,"")</f>
        <v>0</v>
      </c>
    </row>
    <row r="2368" spans="1:8">
      <c r="A2368" s="28"/>
      <c r="B2368" s="29"/>
      <c r="C2368" s="30" t="str">
        <f>IFERROR(_xlfn.XLOOKUP(B2368,MObra[DESCRIPCION],MObra[UN],,0),"")</f>
        <v/>
      </c>
      <c r="D2368" s="31"/>
      <c r="E2368" s="32" t="str">
        <f>IFERROR(_xlfn.XLOOKUP($B2368,MObra[DESCRIPCION],MObra[VALOR UNIT],,0),"")</f>
        <v/>
      </c>
      <c r="F2368" s="33"/>
      <c r="G2368" s="34" t="str">
        <f>IFERROR(IF(F2368&gt;=0,D2368*E2368*(1+F2368/100),ABS(D2368*E2368/F2368)),"")</f>
        <v/>
      </c>
      <c r="H2368" s="43" t="str">
        <f>IFERROR(G2368*E2349,"")</f>
        <v/>
      </c>
    </row>
    <row r="2369" spans="1:11" ht="13.15" thickBot="1">
      <c r="A2369" s="35"/>
      <c r="B2369" s="36"/>
      <c r="C2369" s="37" t="str">
        <f>IFERROR(_xlfn.XLOOKUP(B2369,MObra[DESCRIPCION],MObra[UN],,0),"")</f>
        <v/>
      </c>
      <c r="D2369" s="38"/>
      <c r="E2369" s="39" t="str">
        <f>IFERROR(_xlfn.XLOOKUP($B2369,MObra[DESCRIPCION],MObra[VALOR UNIT],,0),"")</f>
        <v/>
      </c>
      <c r="F2369" s="40"/>
      <c r="G2369" s="41" t="str">
        <f>IFERROR(IF(F2369&gt;=0,D2369*E2369*(1+F2369/100),ABS(D2369*E2369/F2369)),"")</f>
        <v/>
      </c>
      <c r="H2369" s="42" t="str">
        <f>IFERROR(G2369*E2349,"")</f>
        <v/>
      </c>
    </row>
    <row r="2370" spans="1:11" ht="13.5" thickTop="1" thickBot="1"/>
    <row r="2371" spans="1:11" ht="13.5" thickTop="1" thickBot="1">
      <c r="A2371" s="6" t="s">
        <v>1962</v>
      </c>
      <c r="B2371" s="7" t="str">
        <f>VLOOKUP($A2371,Presupuesto!$A:$D,2,FALSE())</f>
        <v>Pavimento Mr = 4.1 Mpa obra</v>
      </c>
      <c r="C2371" s="8" t="str">
        <f>VLOOKUP($A2371,Presupuesto!$A:$D,3,FALSE())</f>
        <v>M3</v>
      </c>
      <c r="D2371" s="9"/>
      <c r="E2371" s="10">
        <f>VLOOKUP($A2371,Presupuesto!$A:$D,4,FALSE())</f>
        <v>0</v>
      </c>
      <c r="F2371" s="11" t="s">
        <v>2589</v>
      </c>
      <c r="G2371" s="12">
        <f>SUM(G2373:G2391)/2</f>
        <v>768754.12076254433</v>
      </c>
      <c r="H2371" s="13">
        <f>ROUND(SUM(H2373:H2391),0)/2</f>
        <v>0</v>
      </c>
      <c r="I2371" s="10">
        <f>VLOOKUP(A2371,Presupuesto!$A:$F,6,0)</f>
        <v>0</v>
      </c>
      <c r="J2371" s="10">
        <f>+H2371-I2371</f>
        <v>0</v>
      </c>
      <c r="K2371" s="46">
        <f>+H2371-G2371*E2371</f>
        <v>0</v>
      </c>
    </row>
    <row r="2372" spans="1:11" ht="13.15" thickTop="1">
      <c r="A2372" s="14"/>
      <c r="B2372" s="15" t="s">
        <v>2586</v>
      </c>
      <c r="C2372" s="15" t="s">
        <v>5</v>
      </c>
      <c r="D2372" s="16" t="s">
        <v>6</v>
      </c>
      <c r="E2372" s="17" t="s">
        <v>7</v>
      </c>
      <c r="F2372" s="18" t="s">
        <v>3728</v>
      </c>
      <c r="G2372" s="19" t="s">
        <v>3729</v>
      </c>
      <c r="H2372" s="20" t="s">
        <v>3797</v>
      </c>
    </row>
    <row r="2373" spans="1:11">
      <c r="A2373" s="21"/>
      <c r="B2373" s="22" t="s">
        <v>3730</v>
      </c>
      <c r="C2373" s="23"/>
      <c r="D2373" s="24"/>
      <c r="E2373" s="25"/>
      <c r="F2373" s="26"/>
      <c r="G2373" s="27">
        <f>SUM(G2374:G2378)</f>
        <v>585507.27880823193</v>
      </c>
      <c r="H2373" s="27">
        <f>IFERROR(G2373*E2371,"")</f>
        <v>0</v>
      </c>
    </row>
    <row r="2374" spans="1:11">
      <c r="A2374" s="28"/>
      <c r="B2374" s="29" t="s">
        <v>3241</v>
      </c>
      <c r="C2374" s="30" t="str">
        <f>IFERROR(_xlfn.XLOOKUP(B2374,Insumo[DESCRIPCION],Insumo[UND],,0),"")</f>
        <v>M3</v>
      </c>
      <c r="D2374" s="31">
        <v>1</v>
      </c>
      <c r="E2374" s="32">
        <f>IFERROR(_xlfn.XLOOKUP($B2374,Insumo[DESCRIPCION],Insumo[VALOR],,0),"")</f>
        <v>568453.66874585627</v>
      </c>
      <c r="F2374" s="33">
        <v>3</v>
      </c>
      <c r="G2374" s="34">
        <f>IFERROR(IF(F2374&gt;=0,D2374*E2374*(1+F2374/100),ABS(D2374*E2374/F2374)),"")</f>
        <v>585507.27880823193</v>
      </c>
      <c r="H2374" s="43">
        <f>IFERROR(G2374*E2371,"")</f>
        <v>0</v>
      </c>
    </row>
    <row r="2375" spans="1:11">
      <c r="A2375" s="28"/>
      <c r="B2375" s="29"/>
      <c r="C2375" s="30" t="str">
        <f>IFERROR(_xlfn.XLOOKUP(B2375,Insumo[DESCRIPCION],Insumo[UND],,0),"")</f>
        <v/>
      </c>
      <c r="D2375" s="31"/>
      <c r="E2375" s="32" t="str">
        <f>IFERROR(_xlfn.XLOOKUP($B2375,Insumo[DESCRIPCION],Insumo[VALOR],,0),"")</f>
        <v/>
      </c>
      <c r="F2375" s="33"/>
      <c r="G2375" s="34" t="str">
        <f>IFERROR(IF(F2375&gt;=0,D2375*E2375*(1+F2375/100),ABS(D2375*E2375/F2375)),"")</f>
        <v/>
      </c>
      <c r="H2375" s="43" t="str">
        <f>IFERROR(G2375*E2371,"")</f>
        <v/>
      </c>
    </row>
    <row r="2376" spans="1:11">
      <c r="A2376" s="28"/>
      <c r="B2376" s="29"/>
      <c r="C2376" s="30" t="str">
        <f>IFERROR(_xlfn.XLOOKUP(B2376,Insumo[DESCRIPCION],Insumo[UND],,0),"")</f>
        <v/>
      </c>
      <c r="D2376" s="31"/>
      <c r="E2376" s="32" t="str">
        <f>IFERROR(_xlfn.XLOOKUP($B2376,Insumo[DESCRIPCION],Insumo[VALOR],,0),"")</f>
        <v/>
      </c>
      <c r="F2376" s="33"/>
      <c r="G2376" s="34" t="str">
        <f>IFERROR(IF(F2376&gt;=0,D2376*E2376*(1+F2376/100),ABS(D2376*E2376/F2376)),"")</f>
        <v/>
      </c>
      <c r="H2376" s="43" t="str">
        <f>IFERROR(G2376*E2371,"")</f>
        <v/>
      </c>
    </row>
    <row r="2377" spans="1:11">
      <c r="A2377" s="28"/>
      <c r="B2377" s="29"/>
      <c r="C2377" s="30" t="str">
        <f>IFERROR(_xlfn.XLOOKUP(B2377,Insumo[DESCRIPCION],Insumo[UND],,0),"")</f>
        <v/>
      </c>
      <c r="D2377" s="31"/>
      <c r="E2377" s="32" t="str">
        <f>IFERROR(_xlfn.XLOOKUP($B2377,Insumo[DESCRIPCION],Insumo[VALOR],,0),"")</f>
        <v/>
      </c>
      <c r="F2377" s="33"/>
      <c r="G2377" s="34" t="str">
        <f>IFERROR(IF(F2377&gt;=0,D2377*E2377*(1+F2377/100),ABS(D2377*E2377/F2377)),"")</f>
        <v/>
      </c>
      <c r="H2377" s="43" t="str">
        <f>IFERROR(G2377*E2371,"")</f>
        <v/>
      </c>
    </row>
    <row r="2378" spans="1:11">
      <c r="A2378" s="28"/>
      <c r="B2378" s="29"/>
      <c r="C2378" s="30" t="str">
        <f>IFERROR(_xlfn.XLOOKUP(B2378,Insumo[DESCRIPCION],Insumo[UND],,0),"")</f>
        <v/>
      </c>
      <c r="D2378" s="31"/>
      <c r="E2378" s="32" t="str">
        <f>IFERROR(_xlfn.XLOOKUP($B2378,Insumo[DESCRIPCION],Insumo[VALOR],,0),"")</f>
        <v/>
      </c>
      <c r="F2378" s="33"/>
      <c r="G2378" s="34" t="str">
        <f>IFERROR(IF(F2378&gt;=0,D2378*E2378*(1+F2378/100),ABS(D2378*E2378/F2378)),"")</f>
        <v/>
      </c>
      <c r="H2378" s="43" t="str">
        <f>IFERROR(G2378*E2371,"")</f>
        <v/>
      </c>
    </row>
    <row r="2379" spans="1:11">
      <c r="A2379" s="21"/>
      <c r="B2379" s="22" t="s">
        <v>3731</v>
      </c>
      <c r="C2379" s="23"/>
      <c r="D2379" s="24"/>
      <c r="E2379" s="25"/>
      <c r="F2379" s="26"/>
      <c r="G2379" s="27">
        <f>SUM(G2380:G2384)</f>
        <v>17318.390093062502</v>
      </c>
      <c r="H2379" s="44">
        <f>G2379*E2371</f>
        <v>0</v>
      </c>
    </row>
    <row r="2380" spans="1:11">
      <c r="A2380" s="28"/>
      <c r="B2380" s="29" t="s">
        <v>3618</v>
      </c>
      <c r="C2380" s="30" t="str">
        <f>IFERROR(_xlfn.XLOOKUP(B2380,Equipo[DESCRIPCION],Equipo[UND],,0),"")</f>
        <v>Día</v>
      </c>
      <c r="D2380" s="31">
        <v>1</v>
      </c>
      <c r="E2380" s="32">
        <f>IF(C2380="%MO",G2388,IFERROR(_xlfn.XLOOKUP($B2380,Equipo[DESCRIPCION],Equipo[VALOR],,0),""))</f>
        <v>3150</v>
      </c>
      <c r="F2380" s="33">
        <v>-4</v>
      </c>
      <c r="G2380" s="34">
        <f>IFERROR(IF(F2380&gt;=0,D2380*E2380*(1+F2380/100),ABS(D2380*E2380/F2380)),"")</f>
        <v>787.5</v>
      </c>
      <c r="H2380" s="43">
        <f>IFERROR(G2380*E2371,"")</f>
        <v>0</v>
      </c>
    </row>
    <row r="2381" spans="1:11">
      <c r="A2381" s="28"/>
      <c r="B2381" s="29" t="s">
        <v>3645</v>
      </c>
      <c r="C2381" s="30" t="str">
        <f>IFERROR(_xlfn.XLOOKUP(B2381,Equipo[DESCRIPCION],Equipo[UND],,0),"")</f>
        <v>Día</v>
      </c>
      <c r="D2381" s="31">
        <v>1</v>
      </c>
      <c r="E2381" s="32">
        <f>IF(C2381="%MO",G2389,IFERROR(_xlfn.XLOOKUP($B2381,Equipo[DESCRIPCION],Equipo[VALOR],,0),""))</f>
        <v>101038.35</v>
      </c>
      <c r="F2381" s="33">
        <v>-20</v>
      </c>
      <c r="G2381" s="34">
        <f>IFERROR(IF(F2381&gt;=0,D2381*E2381*(1+F2381/100),ABS(D2381*E2381/F2381)),"")</f>
        <v>5051.9175000000005</v>
      </c>
      <c r="H2381" s="43">
        <f>IFERROR(G2381*E2371,"")</f>
        <v>0</v>
      </c>
    </row>
    <row r="2382" spans="1:11">
      <c r="A2382" s="28"/>
      <c r="B2382" s="29" t="s">
        <v>3643</v>
      </c>
      <c r="C2382" s="30" t="str">
        <f>IFERROR(_xlfn.XLOOKUP(B2382,Equipo[DESCRIPCION],Equipo[UND],,0),"")</f>
        <v>Día</v>
      </c>
      <c r="D2382" s="31">
        <v>1</v>
      </c>
      <c r="E2382" s="32">
        <f>IF(C2382="%MO",G2390,IFERROR(_xlfn.XLOOKUP($B2382,Equipo[DESCRIPCION],Equipo[VALOR],,0),""))</f>
        <v>31825.5</v>
      </c>
      <c r="F2382" s="33">
        <v>-20</v>
      </c>
      <c r="G2382" s="34">
        <f>IFERROR(IF(F2382&gt;=0,D2382*E2382*(1+F2382/100),ABS(D2382*E2382/F2382)),"")</f>
        <v>1591.2750000000001</v>
      </c>
      <c r="H2382" s="43">
        <f>IFERROR(G2382*E2371,"")</f>
        <v>0</v>
      </c>
    </row>
    <row r="2383" spans="1:11">
      <c r="A2383" s="28"/>
      <c r="B2383" s="29" t="s">
        <v>3639</v>
      </c>
      <c r="C2383" s="30" t="str">
        <f>IFERROR(_xlfn.XLOOKUP(B2383,Equipo[DESCRIPCION],Equipo[UND],,0),"")</f>
        <v>Día</v>
      </c>
      <c r="D2383" s="31">
        <v>1</v>
      </c>
      <c r="E2383" s="32">
        <f>IF(C2383="%MO",G2391,IFERROR(_xlfn.XLOOKUP($B2383,Equipo[DESCRIPCION],Equipo[VALOR],,0),""))</f>
        <v>31825.5</v>
      </c>
      <c r="F2383" s="33">
        <v>-20</v>
      </c>
      <c r="G2383" s="34">
        <f>IFERROR(IF(F2383&gt;=0,D2383*E2383*(1+F2383/100),ABS(D2383*E2383/F2383)),"")</f>
        <v>1591.2750000000001</v>
      </c>
      <c r="H2383" s="43">
        <f>IFERROR(G2383*E2371,"")</f>
        <v>0</v>
      </c>
    </row>
    <row r="2384" spans="1:11">
      <c r="A2384" s="28"/>
      <c r="B2384" s="29" t="s">
        <v>3626</v>
      </c>
      <c r="C2384" s="30" t="str">
        <f>IFERROR(_xlfn.XLOOKUP(B2384,Equipo[DESCRIPCION],Equipo[UND],,0),"")</f>
        <v>%MO</v>
      </c>
      <c r="D2384" s="31">
        <v>0.05</v>
      </c>
      <c r="E2384" s="32">
        <f>IF(C2384="%MO",G2388,IFERROR(_xlfn.XLOOKUP($B2384,Equipo[DESCRIPCION],Equipo[VALOR],,0),""))</f>
        <v>165928.45186125004</v>
      </c>
      <c r="F2384" s="33"/>
      <c r="G2384" s="34">
        <f>IFERROR(IF(F2384&gt;=0,D2384*E2384*(1+F2384/100),ABS(D2384*E2384/F2384)),"")</f>
        <v>8296.4225930625016</v>
      </c>
      <c r="H2384" s="43">
        <f>IFERROR(G2384*E2371,"")</f>
        <v>0</v>
      </c>
    </row>
    <row r="2385" spans="1:11">
      <c r="A2385" s="21"/>
      <c r="B2385" s="22" t="s">
        <v>2533</v>
      </c>
      <c r="C2385" s="23"/>
      <c r="D2385" s="24"/>
      <c r="E2385" s="25"/>
      <c r="F2385" s="26"/>
      <c r="G2385" s="27">
        <f>SUM(G2386:G2387)</f>
        <v>0</v>
      </c>
      <c r="H2385" s="44">
        <f>G2385*E2371</f>
        <v>0</v>
      </c>
    </row>
    <row r="2386" spans="1:11">
      <c r="A2386" s="28"/>
      <c r="B2386" s="29"/>
      <c r="C2386" s="30" t="str">
        <f>IFERROR(_xlfn.XLOOKUP(B2386,Transporte[DESCRIPCION],Transporte[UND],,0),"")</f>
        <v/>
      </c>
      <c r="D2386" s="31"/>
      <c r="E2386" s="32" t="str">
        <f>IFERROR(_xlfn.XLOOKUP($B2386,Transporte[DESCRIPCION],Transporte[VALOR],,0),"")</f>
        <v/>
      </c>
      <c r="F2386" s="33"/>
      <c r="G2386" s="34" t="str">
        <f>IFERROR(IF(F2386&gt;=0,D2386*E2386*(1+F2386/100),ABS(D2386*E2386/F2386)),"")</f>
        <v/>
      </c>
      <c r="H2386" s="43" t="str">
        <f>IFERROR(G2386*E2371,"")</f>
        <v/>
      </c>
    </row>
    <row r="2387" spans="1:11">
      <c r="A2387" s="28"/>
      <c r="B2387" s="29"/>
      <c r="C2387" s="30" t="str">
        <f>IFERROR(_xlfn.XLOOKUP(B2387,Transporte[DESCRIPCION],Transporte[UND],,0),"")</f>
        <v/>
      </c>
      <c r="D2387" s="31"/>
      <c r="E2387" s="32" t="str">
        <f>IFERROR(_xlfn.XLOOKUP($B2387,Transporte[DESCRIPCION],Transporte[VALOR],,0),"")</f>
        <v/>
      </c>
      <c r="F2387" s="33"/>
      <c r="G2387" s="34" t="str">
        <f>IFERROR(IF(F2387&gt;=0,D2387*E2387*(1+F2387/100),ABS(D2387*E2387/F2387)),"")</f>
        <v/>
      </c>
      <c r="H2387" s="43" t="str">
        <f>IFERROR(G2387*E2371,"")</f>
        <v/>
      </c>
    </row>
    <row r="2388" spans="1:11">
      <c r="A2388" s="21"/>
      <c r="B2388" s="22" t="s">
        <v>3732</v>
      </c>
      <c r="C2388" s="23"/>
      <c r="D2388" s="24"/>
      <c r="E2388" s="25"/>
      <c r="F2388" s="26"/>
      <c r="G2388" s="27">
        <f>SUM(G2389:G2391)</f>
        <v>165928.45186125004</v>
      </c>
      <c r="H2388" s="44">
        <f>G2388*E2371</f>
        <v>0</v>
      </c>
    </row>
    <row r="2389" spans="1:11">
      <c r="A2389" s="28"/>
      <c r="B2389" s="29" t="s">
        <v>3713</v>
      </c>
      <c r="C2389" s="30" t="str">
        <f>IFERROR(_xlfn.XLOOKUP(B2389,MObra[DESCRIPCION],MObra[UN],,0),"")</f>
        <v>día</v>
      </c>
      <c r="D2389" s="31">
        <v>1</v>
      </c>
      <c r="E2389" s="32">
        <f>IFERROR(_xlfn.XLOOKUP($B2389,MObra[DESCRIPCION],MObra[VALOR UNIT],,0),"")</f>
        <v>663713.80744500016</v>
      </c>
      <c r="F2389" s="33">
        <v>-4</v>
      </c>
      <c r="G2389" s="34">
        <f>IFERROR(IF(F2389&gt;=0,D2389*E2389*(1+F2389/100),ABS(D2389*E2389/F2389)),"")</f>
        <v>165928.45186125004</v>
      </c>
      <c r="H2389" s="43">
        <f>IFERROR(G2389*E2371,"")</f>
        <v>0</v>
      </c>
    </row>
    <row r="2390" spans="1:11">
      <c r="A2390" s="28"/>
      <c r="B2390" s="29"/>
      <c r="C2390" s="30" t="str">
        <f>IFERROR(_xlfn.XLOOKUP(B2390,MObra[DESCRIPCION],MObra[UN],,0),"")</f>
        <v/>
      </c>
      <c r="D2390" s="31"/>
      <c r="E2390" s="32" t="str">
        <f>IFERROR(_xlfn.XLOOKUP($B2390,MObra[DESCRIPCION],MObra[VALOR UNIT],,0),"")</f>
        <v/>
      </c>
      <c r="F2390" s="33"/>
      <c r="G2390" s="34" t="str">
        <f>IFERROR(IF(F2390&gt;=0,D2390*E2390*(1+F2390/100),ABS(D2390*E2390/F2390)),"")</f>
        <v/>
      </c>
      <c r="H2390" s="43" t="str">
        <f>IFERROR(G2390*E2371,"")</f>
        <v/>
      </c>
    </row>
    <row r="2391" spans="1:11" ht="13.15" thickBot="1">
      <c r="A2391" s="35"/>
      <c r="B2391" s="36"/>
      <c r="C2391" s="37" t="str">
        <f>IFERROR(_xlfn.XLOOKUP(B2391,MObra[DESCRIPCION],MObra[UN],,0),"")</f>
        <v/>
      </c>
      <c r="D2391" s="38"/>
      <c r="E2391" s="39" t="str">
        <f>IFERROR(_xlfn.XLOOKUP($B2391,MObra[DESCRIPCION],MObra[VALOR UNIT],,0),"")</f>
        <v/>
      </c>
      <c r="F2391" s="40"/>
      <c r="G2391" s="41" t="str">
        <f>IFERROR(IF(F2391&gt;=0,D2391*E2391*(1+F2391/100),ABS(D2391*E2391/F2391)),"")</f>
        <v/>
      </c>
      <c r="H2391" s="42" t="str">
        <f>IFERROR(G2391*E2371,"")</f>
        <v/>
      </c>
    </row>
    <row r="2392" spans="1:11" ht="13.5" thickTop="1" thickBot="1"/>
    <row r="2393" spans="1:11" ht="13.5" thickTop="1" thickBot="1">
      <c r="A2393" s="6" t="s">
        <v>1964</v>
      </c>
      <c r="B2393" s="7" t="str">
        <f>VLOOKUP($A2393,Presupuesto!$A:$D,2,FALSE())</f>
        <v>Pavimento Mr = 4.1 Mpa premezclado</v>
      </c>
      <c r="C2393" s="8" t="str">
        <f>VLOOKUP($A2393,Presupuesto!$A:$D,3,FALSE())</f>
        <v>M3</v>
      </c>
      <c r="D2393" s="9"/>
      <c r="E2393" s="10">
        <f>VLOOKUP($A2393,Presupuesto!$A:$D,4,FALSE())</f>
        <v>0</v>
      </c>
      <c r="F2393" s="11" t="s">
        <v>2589</v>
      </c>
      <c r="G2393" s="12">
        <f>SUM(G2395:G2413)/2</f>
        <v>935451.72195431241</v>
      </c>
      <c r="H2393" s="13">
        <f>ROUND(SUM(H2395:H2413),0)/2</f>
        <v>0</v>
      </c>
      <c r="I2393" s="10">
        <f>VLOOKUP(A2393,Presupuesto!$A:$F,6,0)</f>
        <v>0</v>
      </c>
      <c r="J2393" s="10">
        <f>+H2393-I2393</f>
        <v>0</v>
      </c>
      <c r="K2393" s="46">
        <f>+H2393-G2393*E2393</f>
        <v>0</v>
      </c>
    </row>
    <row r="2394" spans="1:11" ht="13.15" thickTop="1">
      <c r="A2394" s="14"/>
      <c r="B2394" s="15" t="s">
        <v>2586</v>
      </c>
      <c r="C2394" s="15" t="s">
        <v>5</v>
      </c>
      <c r="D2394" s="16" t="s">
        <v>6</v>
      </c>
      <c r="E2394" s="17" t="s">
        <v>7</v>
      </c>
      <c r="F2394" s="18" t="s">
        <v>3728</v>
      </c>
      <c r="G2394" s="19" t="s">
        <v>3729</v>
      </c>
      <c r="H2394" s="20" t="s">
        <v>3797</v>
      </c>
    </row>
    <row r="2395" spans="1:11">
      <c r="A2395" s="21"/>
      <c r="B2395" s="22" t="s">
        <v>3730</v>
      </c>
      <c r="C2395" s="23"/>
      <c r="D2395" s="24"/>
      <c r="E2395" s="25"/>
      <c r="F2395" s="26"/>
      <c r="G2395" s="27">
        <f>SUM(G2396:G2400)</f>
        <v>752204.88</v>
      </c>
      <c r="H2395" s="27">
        <f>IFERROR(G2395*E2393,"")</f>
        <v>0</v>
      </c>
    </row>
    <row r="2396" spans="1:11">
      <c r="A2396" s="28"/>
      <c r="B2396" s="29" t="s">
        <v>2876</v>
      </c>
      <c r="C2396" s="30" t="str">
        <f>IFERROR(_xlfn.XLOOKUP(B2396,Insumo[DESCRIPCION],Insumo[UND],,0),"")</f>
        <v>M3</v>
      </c>
      <c r="D2396" s="31">
        <v>1</v>
      </c>
      <c r="E2396" s="32">
        <f>IFERROR(_xlfn.XLOOKUP($B2396,Insumo[DESCRIPCION],Insumo[VALOR],,0),"")</f>
        <v>730296</v>
      </c>
      <c r="F2396" s="33">
        <v>3</v>
      </c>
      <c r="G2396" s="34">
        <f>IFERROR(IF(F2396&gt;=0,D2396*E2396*(1+F2396/100),ABS(D2396*E2396/F2396)),"")</f>
        <v>752204.88</v>
      </c>
      <c r="H2396" s="43">
        <f>IFERROR(G2396*E2393,"")</f>
        <v>0</v>
      </c>
    </row>
    <row r="2397" spans="1:11">
      <c r="A2397" s="28"/>
      <c r="B2397" s="29"/>
      <c r="C2397" s="30" t="str">
        <f>IFERROR(_xlfn.XLOOKUP(B2397,Insumo[DESCRIPCION],Insumo[UND],,0),"")</f>
        <v/>
      </c>
      <c r="D2397" s="31"/>
      <c r="E2397" s="32" t="str">
        <f>IFERROR(_xlfn.XLOOKUP($B2397,Insumo[DESCRIPCION],Insumo[VALOR],,0),"")</f>
        <v/>
      </c>
      <c r="F2397" s="33"/>
      <c r="G2397" s="34" t="str">
        <f>IFERROR(IF(F2397&gt;=0,D2397*E2397*(1+F2397/100),ABS(D2397*E2397/F2397)),"")</f>
        <v/>
      </c>
      <c r="H2397" s="43" t="str">
        <f>IFERROR(G2397*E2393,"")</f>
        <v/>
      </c>
    </row>
    <row r="2398" spans="1:11">
      <c r="A2398" s="28"/>
      <c r="B2398" s="29"/>
      <c r="C2398" s="30" t="str">
        <f>IFERROR(_xlfn.XLOOKUP(B2398,Insumo[DESCRIPCION],Insumo[UND],,0),"")</f>
        <v/>
      </c>
      <c r="D2398" s="31"/>
      <c r="E2398" s="32" t="str">
        <f>IFERROR(_xlfn.XLOOKUP($B2398,Insumo[DESCRIPCION],Insumo[VALOR],,0),"")</f>
        <v/>
      </c>
      <c r="F2398" s="33"/>
      <c r="G2398" s="34" t="str">
        <f>IFERROR(IF(F2398&gt;=0,D2398*E2398*(1+F2398/100),ABS(D2398*E2398/F2398)),"")</f>
        <v/>
      </c>
      <c r="H2398" s="43" t="str">
        <f>IFERROR(G2398*E2393,"")</f>
        <v/>
      </c>
    </row>
    <row r="2399" spans="1:11">
      <c r="A2399" s="28"/>
      <c r="B2399" s="29"/>
      <c r="C2399" s="30" t="str">
        <f>IFERROR(_xlfn.XLOOKUP(B2399,Insumo[DESCRIPCION],Insumo[UND],,0),"")</f>
        <v/>
      </c>
      <c r="D2399" s="31"/>
      <c r="E2399" s="32" t="str">
        <f>IFERROR(_xlfn.XLOOKUP($B2399,Insumo[DESCRIPCION],Insumo[VALOR],,0),"")</f>
        <v/>
      </c>
      <c r="F2399" s="33"/>
      <c r="G2399" s="34" t="str">
        <f>IFERROR(IF(F2399&gt;=0,D2399*E2399*(1+F2399/100),ABS(D2399*E2399/F2399)),"")</f>
        <v/>
      </c>
      <c r="H2399" s="43" t="str">
        <f>IFERROR(G2399*E2393,"")</f>
        <v/>
      </c>
    </row>
    <row r="2400" spans="1:11">
      <c r="A2400" s="28"/>
      <c r="B2400" s="29"/>
      <c r="C2400" s="30" t="str">
        <f>IFERROR(_xlfn.XLOOKUP(B2400,Insumo[DESCRIPCION],Insumo[UND],,0),"")</f>
        <v/>
      </c>
      <c r="D2400" s="31"/>
      <c r="E2400" s="32" t="str">
        <f>IFERROR(_xlfn.XLOOKUP($B2400,Insumo[DESCRIPCION],Insumo[VALOR],,0),"")</f>
        <v/>
      </c>
      <c r="F2400" s="33"/>
      <c r="G2400" s="34" t="str">
        <f>IFERROR(IF(F2400&gt;=0,D2400*E2400*(1+F2400/100),ABS(D2400*E2400/F2400)),"")</f>
        <v/>
      </c>
      <c r="H2400" s="43" t="str">
        <f>IFERROR(G2400*E2393,"")</f>
        <v/>
      </c>
    </row>
    <row r="2401" spans="1:11">
      <c r="A2401" s="21"/>
      <c r="B2401" s="22" t="s">
        <v>3731</v>
      </c>
      <c r="C2401" s="23"/>
      <c r="D2401" s="24"/>
      <c r="E2401" s="25"/>
      <c r="F2401" s="26"/>
      <c r="G2401" s="27">
        <f>SUM(G2402:G2406)</f>
        <v>17318.390093062502</v>
      </c>
      <c r="H2401" s="44">
        <f>G2401*E2393</f>
        <v>0</v>
      </c>
    </row>
    <row r="2402" spans="1:11">
      <c r="A2402" s="28"/>
      <c r="B2402" s="29" t="s">
        <v>3618</v>
      </c>
      <c r="C2402" s="30" t="str">
        <f>IFERROR(_xlfn.XLOOKUP(B2402,Equipo[DESCRIPCION],Equipo[UND],,0),"")</f>
        <v>Día</v>
      </c>
      <c r="D2402" s="31">
        <v>1</v>
      </c>
      <c r="E2402" s="32">
        <f>IF(C2402="%MO",G2410,IFERROR(_xlfn.XLOOKUP($B2402,Equipo[DESCRIPCION],Equipo[VALOR],,0),""))</f>
        <v>3150</v>
      </c>
      <c r="F2402" s="33">
        <v>-4</v>
      </c>
      <c r="G2402" s="34">
        <f>IFERROR(IF(F2402&gt;=0,D2402*E2402*(1+F2402/100),ABS(D2402*E2402/F2402)),"")</f>
        <v>787.5</v>
      </c>
      <c r="H2402" s="43">
        <f>IFERROR(G2402*E2393,"")</f>
        <v>0</v>
      </c>
    </row>
    <row r="2403" spans="1:11">
      <c r="A2403" s="28"/>
      <c r="B2403" s="29" t="s">
        <v>3645</v>
      </c>
      <c r="C2403" s="30" t="str">
        <f>IFERROR(_xlfn.XLOOKUP(B2403,Equipo[DESCRIPCION],Equipo[UND],,0),"")</f>
        <v>Día</v>
      </c>
      <c r="D2403" s="31">
        <v>1</v>
      </c>
      <c r="E2403" s="32">
        <f>IF(C2403="%MO",G2411,IFERROR(_xlfn.XLOOKUP($B2403,Equipo[DESCRIPCION],Equipo[VALOR],,0),""))</f>
        <v>101038.35</v>
      </c>
      <c r="F2403" s="33">
        <v>-20</v>
      </c>
      <c r="G2403" s="34">
        <f>IFERROR(IF(F2403&gt;=0,D2403*E2403*(1+F2403/100),ABS(D2403*E2403/F2403)),"")</f>
        <v>5051.9175000000005</v>
      </c>
      <c r="H2403" s="43">
        <f>IFERROR(G2403*E2393,"")</f>
        <v>0</v>
      </c>
    </row>
    <row r="2404" spans="1:11">
      <c r="A2404" s="28"/>
      <c r="B2404" s="29" t="s">
        <v>3643</v>
      </c>
      <c r="C2404" s="30" t="str">
        <f>IFERROR(_xlfn.XLOOKUP(B2404,Equipo[DESCRIPCION],Equipo[UND],,0),"")</f>
        <v>Día</v>
      </c>
      <c r="D2404" s="31">
        <v>1</v>
      </c>
      <c r="E2404" s="32">
        <f>IF(C2404="%MO",G2412,IFERROR(_xlfn.XLOOKUP($B2404,Equipo[DESCRIPCION],Equipo[VALOR],,0),""))</f>
        <v>31825.5</v>
      </c>
      <c r="F2404" s="33">
        <v>-20</v>
      </c>
      <c r="G2404" s="34">
        <f>IFERROR(IF(F2404&gt;=0,D2404*E2404*(1+F2404/100),ABS(D2404*E2404/F2404)),"")</f>
        <v>1591.2750000000001</v>
      </c>
      <c r="H2404" s="43">
        <f>IFERROR(G2404*E2393,"")</f>
        <v>0</v>
      </c>
    </row>
    <row r="2405" spans="1:11">
      <c r="A2405" s="28"/>
      <c r="B2405" s="29" t="s">
        <v>3639</v>
      </c>
      <c r="C2405" s="30" t="str">
        <f>IFERROR(_xlfn.XLOOKUP(B2405,Equipo[DESCRIPCION],Equipo[UND],,0),"")</f>
        <v>Día</v>
      </c>
      <c r="D2405" s="31">
        <v>1</v>
      </c>
      <c r="E2405" s="32">
        <f>IF(C2405="%MO",G2413,IFERROR(_xlfn.XLOOKUP($B2405,Equipo[DESCRIPCION],Equipo[VALOR],,0),""))</f>
        <v>31825.5</v>
      </c>
      <c r="F2405" s="33">
        <v>-20</v>
      </c>
      <c r="G2405" s="34">
        <f>IFERROR(IF(F2405&gt;=0,D2405*E2405*(1+F2405/100),ABS(D2405*E2405/F2405)),"")</f>
        <v>1591.2750000000001</v>
      </c>
      <c r="H2405" s="43">
        <f>IFERROR(G2405*E2393,"")</f>
        <v>0</v>
      </c>
    </row>
    <row r="2406" spans="1:11">
      <c r="A2406" s="28"/>
      <c r="B2406" s="29" t="s">
        <v>3626</v>
      </c>
      <c r="C2406" s="30" t="str">
        <f>IFERROR(_xlfn.XLOOKUP(B2406,Equipo[DESCRIPCION],Equipo[UND],,0),"")</f>
        <v>%MO</v>
      </c>
      <c r="D2406" s="31">
        <v>0.05</v>
      </c>
      <c r="E2406" s="32">
        <f>IF(C2406="%MO",G2410,IFERROR(_xlfn.XLOOKUP($B2406,Equipo[DESCRIPCION],Equipo[VALOR],,0),""))</f>
        <v>165928.45186125004</v>
      </c>
      <c r="F2406" s="33"/>
      <c r="G2406" s="34">
        <f>IFERROR(IF(F2406&gt;=0,D2406*E2406*(1+F2406/100),ABS(D2406*E2406/F2406)),"")</f>
        <v>8296.4225930625016</v>
      </c>
      <c r="H2406" s="43">
        <f>IFERROR(G2406*E2393,"")</f>
        <v>0</v>
      </c>
    </row>
    <row r="2407" spans="1:11">
      <c r="A2407" s="21"/>
      <c r="B2407" s="22" t="s">
        <v>2533</v>
      </c>
      <c r="C2407" s="23"/>
      <c r="D2407" s="24"/>
      <c r="E2407" s="25"/>
      <c r="F2407" s="26"/>
      <c r="G2407" s="27">
        <f>SUM(G2408:G2409)</f>
        <v>0</v>
      </c>
      <c r="H2407" s="44">
        <f>G2407*E2393</f>
        <v>0</v>
      </c>
    </row>
    <row r="2408" spans="1:11">
      <c r="A2408" s="28"/>
      <c r="B2408" s="29"/>
      <c r="C2408" s="30" t="str">
        <f>IFERROR(_xlfn.XLOOKUP(B2408,Transporte[DESCRIPCION],Transporte[UND],,0),"")</f>
        <v/>
      </c>
      <c r="D2408" s="31"/>
      <c r="E2408" s="32" t="str">
        <f>IFERROR(_xlfn.XLOOKUP($B2408,Transporte[DESCRIPCION],Transporte[VALOR],,0),"")</f>
        <v/>
      </c>
      <c r="F2408" s="33"/>
      <c r="G2408" s="34" t="str">
        <f>IFERROR(IF(F2408&gt;=0,D2408*E2408*(1+F2408/100),ABS(D2408*E2408/F2408)),"")</f>
        <v/>
      </c>
      <c r="H2408" s="43" t="str">
        <f>IFERROR(G2408*E2393,"")</f>
        <v/>
      </c>
    </row>
    <row r="2409" spans="1:11">
      <c r="A2409" s="28"/>
      <c r="B2409" s="29"/>
      <c r="C2409" s="30" t="str">
        <f>IFERROR(_xlfn.XLOOKUP(B2409,Transporte[DESCRIPCION],Transporte[UND],,0),"")</f>
        <v/>
      </c>
      <c r="D2409" s="31"/>
      <c r="E2409" s="32" t="str">
        <f>IFERROR(_xlfn.XLOOKUP($B2409,Transporte[DESCRIPCION],Transporte[VALOR],,0),"")</f>
        <v/>
      </c>
      <c r="F2409" s="33"/>
      <c r="G2409" s="34" t="str">
        <f>IFERROR(IF(F2409&gt;=0,D2409*E2409*(1+F2409/100),ABS(D2409*E2409/F2409)),"")</f>
        <v/>
      </c>
      <c r="H2409" s="43" t="str">
        <f>IFERROR(G2409*E2393,"")</f>
        <v/>
      </c>
    </row>
    <row r="2410" spans="1:11">
      <c r="A2410" s="21"/>
      <c r="B2410" s="22" t="s">
        <v>3732</v>
      </c>
      <c r="C2410" s="23"/>
      <c r="D2410" s="24"/>
      <c r="E2410" s="25"/>
      <c r="F2410" s="26"/>
      <c r="G2410" s="27">
        <f>SUM(G2411:G2413)</f>
        <v>165928.45186125004</v>
      </c>
      <c r="H2410" s="44">
        <f>G2410*E2393</f>
        <v>0</v>
      </c>
    </row>
    <row r="2411" spans="1:11">
      <c r="A2411" s="28"/>
      <c r="B2411" s="29" t="s">
        <v>3713</v>
      </c>
      <c r="C2411" s="30" t="str">
        <f>IFERROR(_xlfn.XLOOKUP(B2411,MObra[DESCRIPCION],MObra[UN],,0),"")</f>
        <v>día</v>
      </c>
      <c r="D2411" s="31">
        <v>1</v>
      </c>
      <c r="E2411" s="32">
        <f>IFERROR(_xlfn.XLOOKUP($B2411,MObra[DESCRIPCION],MObra[VALOR UNIT],,0),"")</f>
        <v>663713.80744500016</v>
      </c>
      <c r="F2411" s="33">
        <v>-4</v>
      </c>
      <c r="G2411" s="34">
        <f>IFERROR(IF(F2411&gt;=0,D2411*E2411*(1+F2411/100),ABS(D2411*E2411/F2411)),"")</f>
        <v>165928.45186125004</v>
      </c>
      <c r="H2411" s="43">
        <f>IFERROR(G2411*E2393,"")</f>
        <v>0</v>
      </c>
    </row>
    <row r="2412" spans="1:11">
      <c r="A2412" s="28"/>
      <c r="B2412" s="29"/>
      <c r="C2412" s="30" t="str">
        <f>IFERROR(_xlfn.XLOOKUP(B2412,MObra[DESCRIPCION],MObra[UN],,0),"")</f>
        <v/>
      </c>
      <c r="D2412" s="31"/>
      <c r="E2412" s="32" t="str">
        <f>IFERROR(_xlfn.XLOOKUP($B2412,MObra[DESCRIPCION],MObra[VALOR UNIT],,0),"")</f>
        <v/>
      </c>
      <c r="F2412" s="33"/>
      <c r="G2412" s="34" t="str">
        <f>IFERROR(IF(F2412&gt;=0,D2412*E2412*(1+F2412/100),ABS(D2412*E2412/F2412)),"")</f>
        <v/>
      </c>
      <c r="H2412" s="43" t="str">
        <f>IFERROR(G2412*E2393,"")</f>
        <v/>
      </c>
    </row>
    <row r="2413" spans="1:11" ht="13.15" thickBot="1">
      <c r="A2413" s="35"/>
      <c r="B2413" s="36"/>
      <c r="C2413" s="37" t="str">
        <f>IFERROR(_xlfn.XLOOKUP(B2413,MObra[DESCRIPCION],MObra[UN],,0),"")</f>
        <v/>
      </c>
      <c r="D2413" s="38"/>
      <c r="E2413" s="39" t="str">
        <f>IFERROR(_xlfn.XLOOKUP($B2413,MObra[DESCRIPCION],MObra[VALOR UNIT],,0),"")</f>
        <v/>
      </c>
      <c r="F2413" s="40"/>
      <c r="G2413" s="41" t="str">
        <f>IFERROR(IF(F2413&gt;=0,D2413*E2413*(1+F2413/100),ABS(D2413*E2413/F2413)),"")</f>
        <v/>
      </c>
      <c r="H2413" s="42" t="str">
        <f>IFERROR(G2413*E2393,"")</f>
        <v/>
      </c>
    </row>
    <row r="2414" spans="1:11" ht="13.5" thickTop="1" thickBot="1"/>
    <row r="2415" spans="1:11" ht="13.5" thickTop="1" thickBot="1">
      <c r="A2415" s="6" t="s">
        <v>1966</v>
      </c>
      <c r="B2415" s="7" t="str">
        <f>VLOOKUP($A2415,Presupuesto!$A:$D,2,FALSE())</f>
        <v>Pavimento Mr = 4.1 Mpa premezclado (acelerado 3 días)</v>
      </c>
      <c r="C2415" s="8" t="str">
        <f>VLOOKUP($A2415,Presupuesto!$A:$D,3,FALSE())</f>
        <v>M3</v>
      </c>
      <c r="D2415" s="9"/>
      <c r="E2415" s="10">
        <f>VLOOKUP($A2415,Presupuesto!$A:$D,4,FALSE())</f>
        <v>0</v>
      </c>
      <c r="F2415" s="11" t="s">
        <v>2589</v>
      </c>
      <c r="G2415" s="12">
        <f>SUM(G2417:G2434)/2</f>
        <v>997407.61245431239</v>
      </c>
      <c r="H2415" s="13">
        <f>ROUND(SUM(H2417:H2434),0)/2</f>
        <v>0</v>
      </c>
      <c r="I2415" s="10">
        <f>VLOOKUP(A2415,Presupuesto!$A:$F,6,0)</f>
        <v>0</v>
      </c>
      <c r="J2415" s="10">
        <f>+H2415-I2415</f>
        <v>0</v>
      </c>
      <c r="K2415" s="46">
        <f>+H2415-G2415*E2415</f>
        <v>0</v>
      </c>
    </row>
    <row r="2416" spans="1:11" ht="13.15" thickTop="1">
      <c r="A2416" s="14"/>
      <c r="B2416" s="15" t="s">
        <v>2586</v>
      </c>
      <c r="C2416" s="15" t="s">
        <v>5</v>
      </c>
      <c r="D2416" s="16" t="s">
        <v>6</v>
      </c>
      <c r="E2416" s="17" t="s">
        <v>7</v>
      </c>
      <c r="F2416" s="18" t="s">
        <v>3728</v>
      </c>
      <c r="G2416" s="19" t="s">
        <v>3729</v>
      </c>
      <c r="H2416" s="20" t="s">
        <v>3797</v>
      </c>
    </row>
    <row r="2417" spans="1:8">
      <c r="A2417" s="21"/>
      <c r="B2417" s="22" t="s">
        <v>3730</v>
      </c>
      <c r="C2417" s="23"/>
      <c r="D2417" s="24"/>
      <c r="E2417" s="25"/>
      <c r="F2417" s="26"/>
      <c r="G2417" s="27">
        <f>SUM(G2418:G2422)</f>
        <v>814160.77049999998</v>
      </c>
      <c r="H2417" s="27">
        <f>IFERROR(G2417*E2415,"")</f>
        <v>0</v>
      </c>
    </row>
    <row r="2418" spans="1:8">
      <c r="A2418" s="28"/>
      <c r="B2418" s="29" t="s">
        <v>2877</v>
      </c>
      <c r="C2418" s="30" t="str">
        <f>IFERROR(_xlfn.XLOOKUP(B2418,Insumo[DESCRIPCION],Insumo[UND],,0),"")</f>
        <v>M3</v>
      </c>
      <c r="D2418" s="31">
        <v>1</v>
      </c>
      <c r="E2418" s="32">
        <f>IFERROR(_xlfn.XLOOKUP($B2418,Insumo[DESCRIPCION],Insumo[VALOR],,0),"")</f>
        <v>790447.35</v>
      </c>
      <c r="F2418" s="33">
        <v>3</v>
      </c>
      <c r="G2418" s="34">
        <f>IFERROR(IF(F2418&gt;=0,D2418*E2418*(1+F2418/100),ABS(D2418*E2418/F2418)),"")</f>
        <v>814160.77049999998</v>
      </c>
      <c r="H2418" s="43">
        <f>IFERROR(G2418*E2415,"")</f>
        <v>0</v>
      </c>
    </row>
    <row r="2419" spans="1:8">
      <c r="A2419" s="28"/>
      <c r="B2419" s="29"/>
      <c r="C2419" s="30" t="str">
        <f>IFERROR(_xlfn.XLOOKUP(B2419,Insumo[DESCRIPCION],Insumo[UND],,0),"")</f>
        <v/>
      </c>
      <c r="D2419" s="31"/>
      <c r="E2419" s="32" t="str">
        <f>IFERROR(_xlfn.XLOOKUP($B2419,Insumo[DESCRIPCION],Insumo[VALOR],,0),"")</f>
        <v/>
      </c>
      <c r="F2419" s="33"/>
      <c r="G2419" s="34" t="str">
        <f>IFERROR(IF(F2419&gt;=0,D2419*E2419*(1+F2419/100),ABS(D2419*E2419/F2419)),"")</f>
        <v/>
      </c>
      <c r="H2419" s="43" t="str">
        <f>IFERROR(G2419*E2415,"")</f>
        <v/>
      </c>
    </row>
    <row r="2420" spans="1:8">
      <c r="A2420" s="28"/>
      <c r="B2420" s="29"/>
      <c r="C2420" s="30" t="str">
        <f>IFERROR(_xlfn.XLOOKUP(B2420,Insumo[DESCRIPCION],Insumo[UND],,0),"")</f>
        <v/>
      </c>
      <c r="D2420" s="31"/>
      <c r="E2420" s="32" t="str">
        <f>IFERROR(_xlfn.XLOOKUP($B2420,Insumo[DESCRIPCION],Insumo[VALOR],,0),"")</f>
        <v/>
      </c>
      <c r="F2420" s="33"/>
      <c r="G2420" s="34" t="str">
        <f>IFERROR(IF(F2420&gt;=0,D2420*E2420*(1+F2420/100),ABS(D2420*E2420/F2420)),"")</f>
        <v/>
      </c>
      <c r="H2420" s="43" t="str">
        <f>IFERROR(G2420*E2415,"")</f>
        <v/>
      </c>
    </row>
    <row r="2421" spans="1:8">
      <c r="A2421" s="28"/>
      <c r="B2421" s="29"/>
      <c r="C2421" s="30" t="str">
        <f>IFERROR(_xlfn.XLOOKUP(B2421,Insumo[DESCRIPCION],Insumo[UND],,0),"")</f>
        <v/>
      </c>
      <c r="D2421" s="31"/>
      <c r="E2421" s="32" t="str">
        <f>IFERROR(_xlfn.XLOOKUP($B2421,Insumo[DESCRIPCION],Insumo[VALOR],,0),"")</f>
        <v/>
      </c>
      <c r="F2421" s="33"/>
      <c r="G2421" s="34" t="str">
        <f>IFERROR(IF(F2421&gt;=0,D2421*E2421*(1+F2421/100),ABS(D2421*E2421/F2421)),"")</f>
        <v/>
      </c>
      <c r="H2421" s="43" t="str">
        <f>IFERROR(G2421*E2415,"")</f>
        <v/>
      </c>
    </row>
    <row r="2422" spans="1:8">
      <c r="A2422" s="28"/>
      <c r="B2422" s="29"/>
      <c r="C2422" s="30" t="str">
        <f>IFERROR(_xlfn.XLOOKUP(B2422,Insumo[DESCRIPCION],Insumo[UND],,0),"")</f>
        <v/>
      </c>
      <c r="D2422" s="31"/>
      <c r="E2422" s="32" t="str">
        <f>IFERROR(_xlfn.XLOOKUP($B2422,Insumo[DESCRIPCION],Insumo[VALOR],,0),"")</f>
        <v/>
      </c>
      <c r="F2422" s="33"/>
      <c r="G2422" s="34" t="str">
        <f>IFERROR(IF(F2422&gt;=0,D2422*E2422*(1+F2422/100),ABS(D2422*E2422/F2422)),"")</f>
        <v/>
      </c>
      <c r="H2422" s="43" t="str">
        <f>IFERROR(G2422*E2415,"")</f>
        <v/>
      </c>
    </row>
    <row r="2423" spans="1:8">
      <c r="A2423" s="21"/>
      <c r="B2423" s="22" t="s">
        <v>3731</v>
      </c>
      <c r="C2423" s="23"/>
      <c r="D2423" s="24"/>
      <c r="E2423" s="25"/>
      <c r="F2423" s="26"/>
      <c r="G2423" s="27">
        <f>SUM(G2424:G2428)</f>
        <v>17318.390093062502</v>
      </c>
      <c r="H2423" s="44">
        <f>G2423*E2415</f>
        <v>0</v>
      </c>
    </row>
    <row r="2424" spans="1:8">
      <c r="A2424" s="28"/>
      <c r="B2424" s="29" t="s">
        <v>3618</v>
      </c>
      <c r="C2424" s="30" t="str">
        <f>IFERROR(_xlfn.XLOOKUP(B2424,Equipo[DESCRIPCION],Equipo[UND],,0),"")</f>
        <v>Día</v>
      </c>
      <c r="D2424" s="31">
        <v>1</v>
      </c>
      <c r="E2424" s="32">
        <f>IF(C2424="%MO",G2432,IFERROR(_xlfn.XLOOKUP($B2424,Equipo[DESCRIPCION],Equipo[VALOR],,0),""))</f>
        <v>3150</v>
      </c>
      <c r="F2424" s="33">
        <v>-4</v>
      </c>
      <c r="G2424" s="34">
        <f>IFERROR(IF(F2424&gt;=0,D2424*E2424*(1+F2424/100),ABS(D2424*E2424/F2424)),"")</f>
        <v>787.5</v>
      </c>
      <c r="H2424" s="43">
        <f>IFERROR(G2424*E2415,"")</f>
        <v>0</v>
      </c>
    </row>
    <row r="2425" spans="1:8">
      <c r="A2425" s="28"/>
      <c r="B2425" s="29" t="s">
        <v>3645</v>
      </c>
      <c r="C2425" s="30" t="str">
        <f>IFERROR(_xlfn.XLOOKUP(B2425,Equipo[DESCRIPCION],Equipo[UND],,0),"")</f>
        <v>Día</v>
      </c>
      <c r="D2425" s="31">
        <v>1</v>
      </c>
      <c r="E2425" s="32">
        <f>IF(C2425="%MO",G2433,IFERROR(_xlfn.XLOOKUP($B2425,Equipo[DESCRIPCION],Equipo[VALOR],,0),""))</f>
        <v>101038.35</v>
      </c>
      <c r="F2425" s="33">
        <v>-20</v>
      </c>
      <c r="G2425" s="34">
        <f>IFERROR(IF(F2425&gt;=0,D2425*E2425*(1+F2425/100),ABS(D2425*E2425/F2425)),"")</f>
        <v>5051.9175000000005</v>
      </c>
      <c r="H2425" s="43">
        <f>IFERROR(G2425*E2415,"")</f>
        <v>0</v>
      </c>
    </row>
    <row r="2426" spans="1:8">
      <c r="A2426" s="28"/>
      <c r="B2426" s="29" t="s">
        <v>3643</v>
      </c>
      <c r="C2426" s="30" t="str">
        <f>IFERROR(_xlfn.XLOOKUP(B2426,Equipo[DESCRIPCION],Equipo[UND],,0),"")</f>
        <v>Día</v>
      </c>
      <c r="D2426" s="31">
        <v>1</v>
      </c>
      <c r="E2426" s="32">
        <f>IF(C2426="%MO",G2434,IFERROR(_xlfn.XLOOKUP($B2426,Equipo[DESCRIPCION],Equipo[VALOR],,0),""))</f>
        <v>31825.5</v>
      </c>
      <c r="F2426" s="33">
        <v>-20</v>
      </c>
      <c r="G2426" s="34">
        <f>IFERROR(IF(F2426&gt;=0,D2426*E2426*(1+F2426/100),ABS(D2426*E2426/F2426)),"")</f>
        <v>1591.2750000000001</v>
      </c>
      <c r="H2426" s="43">
        <f>IFERROR(G2426*E2415,"")</f>
        <v>0</v>
      </c>
    </row>
    <row r="2427" spans="1:8">
      <c r="A2427" s="28"/>
      <c r="B2427" s="29" t="s">
        <v>3639</v>
      </c>
      <c r="C2427" s="30" t="str">
        <f>IFERROR(_xlfn.XLOOKUP(B2427,Equipo[DESCRIPCION],Equipo[UND],,0),"")</f>
        <v>Día</v>
      </c>
      <c r="D2427" s="31">
        <v>1</v>
      </c>
      <c r="E2427" s="32">
        <f>IF(C2427="%MO",G2435,IFERROR(_xlfn.XLOOKUP($B2427,Equipo[DESCRIPCION],Equipo[VALOR],,0),""))</f>
        <v>31825.5</v>
      </c>
      <c r="F2427" s="33">
        <v>-20</v>
      </c>
      <c r="G2427" s="34">
        <f>IFERROR(IF(F2427&gt;=0,D2427*E2427*(1+F2427/100),ABS(D2427*E2427/F2427)),"")</f>
        <v>1591.2750000000001</v>
      </c>
      <c r="H2427" s="43">
        <f>IFERROR(G2427*E2415,"")</f>
        <v>0</v>
      </c>
    </row>
    <row r="2428" spans="1:8">
      <c r="A2428" s="28"/>
      <c r="B2428" s="29" t="s">
        <v>3626</v>
      </c>
      <c r="C2428" s="30" t="str">
        <f>IFERROR(_xlfn.XLOOKUP(B2428,Equipo[DESCRIPCION],Equipo[UND],,0),"")</f>
        <v>%MO</v>
      </c>
      <c r="D2428" s="31">
        <v>0.05</v>
      </c>
      <c r="E2428" s="32">
        <f>IF(C2428="%MO",G2432,IFERROR(_xlfn.XLOOKUP($B2428,Equipo[DESCRIPCION],Equipo[VALOR],,0),""))</f>
        <v>165928.45186125004</v>
      </c>
      <c r="F2428" s="33"/>
      <c r="G2428" s="34">
        <f>IFERROR(IF(F2428&gt;=0,D2428*E2428*(1+F2428/100),ABS(D2428*E2428/F2428)),"")</f>
        <v>8296.4225930625016</v>
      </c>
      <c r="H2428" s="43">
        <f>IFERROR(G2428*E2415,"")</f>
        <v>0</v>
      </c>
    </row>
    <row r="2429" spans="1:8">
      <c r="A2429" s="21"/>
      <c r="B2429" s="22" t="s">
        <v>2533</v>
      </c>
      <c r="C2429" s="23"/>
      <c r="D2429" s="24"/>
      <c r="E2429" s="25"/>
      <c r="F2429" s="26"/>
      <c r="G2429" s="27">
        <f>SUM(G2430:G2431)</f>
        <v>0</v>
      </c>
      <c r="H2429" s="44">
        <f>G2429*E2415</f>
        <v>0</v>
      </c>
    </row>
    <row r="2430" spans="1:8">
      <c r="A2430" s="28"/>
      <c r="B2430" s="29"/>
      <c r="C2430" s="30" t="str">
        <f>IFERROR(_xlfn.XLOOKUP(B2430,Transporte[DESCRIPCION],Transporte[UND],,0),"")</f>
        <v/>
      </c>
      <c r="D2430" s="31"/>
      <c r="E2430" s="32" t="str">
        <f>IFERROR(_xlfn.XLOOKUP($B2430,Transporte[DESCRIPCION],Transporte[VALOR],,0),"")</f>
        <v/>
      </c>
      <c r="F2430" s="33"/>
      <c r="G2430" s="34" t="str">
        <f>IFERROR(IF(F2430&gt;=0,D2430*E2430*(1+F2430/100),ABS(D2430*E2430/F2430)),"")</f>
        <v/>
      </c>
      <c r="H2430" s="43" t="str">
        <f>IFERROR(G2430*E2415,"")</f>
        <v/>
      </c>
    </row>
    <row r="2431" spans="1:8">
      <c r="A2431" s="28"/>
      <c r="B2431" s="29"/>
      <c r="C2431" s="30" t="str">
        <f>IFERROR(_xlfn.XLOOKUP(B2431,Transporte[DESCRIPCION],Transporte[UND],,0),"")</f>
        <v/>
      </c>
      <c r="D2431" s="31"/>
      <c r="E2431" s="32" t="str">
        <f>IFERROR(_xlfn.XLOOKUP($B2431,Transporte[DESCRIPCION],Transporte[VALOR],,0),"")</f>
        <v/>
      </c>
      <c r="F2431" s="33"/>
      <c r="G2431" s="34" t="str">
        <f>IFERROR(IF(F2431&gt;=0,D2431*E2431*(1+F2431/100),ABS(D2431*E2431/F2431)),"")</f>
        <v/>
      </c>
      <c r="H2431" s="43" t="str">
        <f>IFERROR(G2431*E2415,"")</f>
        <v/>
      </c>
    </row>
    <row r="2432" spans="1:8">
      <c r="A2432" s="21"/>
      <c r="B2432" s="22" t="s">
        <v>3732</v>
      </c>
      <c r="C2432" s="23"/>
      <c r="D2432" s="24"/>
      <c r="E2432" s="25"/>
      <c r="F2432" s="26"/>
      <c r="G2432" s="27">
        <f>SUM(G2433:G2435)</f>
        <v>165928.45186125004</v>
      </c>
      <c r="H2432" s="44">
        <f>G2432*E2415</f>
        <v>0</v>
      </c>
    </row>
    <row r="2433" spans="1:11">
      <c r="A2433" s="28"/>
      <c r="B2433" s="29" t="s">
        <v>3713</v>
      </c>
      <c r="C2433" s="30" t="str">
        <f>IFERROR(_xlfn.XLOOKUP(B2433,MObra[DESCRIPCION],MObra[UN],,0),"")</f>
        <v>día</v>
      </c>
      <c r="D2433" s="31">
        <v>1</v>
      </c>
      <c r="E2433" s="32">
        <f>IFERROR(_xlfn.XLOOKUP($B2433,MObra[DESCRIPCION],MObra[VALOR UNIT],,0),"")</f>
        <v>663713.80744500016</v>
      </c>
      <c r="F2433" s="33">
        <v>-4</v>
      </c>
      <c r="G2433" s="34">
        <f>IFERROR(IF(F2433&gt;=0,D2433*E2433*(1+F2433/100),ABS(D2433*E2433/F2433)),"")</f>
        <v>165928.45186125004</v>
      </c>
      <c r="H2433" s="43">
        <f>IFERROR(G2433*E2415,"")</f>
        <v>0</v>
      </c>
    </row>
    <row r="2434" spans="1:11">
      <c r="A2434" s="28"/>
      <c r="B2434" s="29"/>
      <c r="C2434" s="30" t="str">
        <f>IFERROR(_xlfn.XLOOKUP(B2434,MObra[DESCRIPCION],MObra[UN],,0),"")</f>
        <v/>
      </c>
      <c r="D2434" s="31"/>
      <c r="E2434" s="32" t="str">
        <f>IFERROR(_xlfn.XLOOKUP($B2434,MObra[DESCRIPCION],MObra[VALOR UNIT],,0),"")</f>
        <v/>
      </c>
      <c r="F2434" s="33"/>
      <c r="G2434" s="34" t="str">
        <f>IFERROR(IF(F2434&gt;=0,D2434*E2434*(1+F2434/100),ABS(D2434*E2434/F2434)),"")</f>
        <v/>
      </c>
      <c r="H2434" s="43" t="str">
        <f>IFERROR(G2434*E2415,"")</f>
        <v/>
      </c>
    </row>
    <row r="2435" spans="1:11" ht="13.15" thickBot="1">
      <c r="A2435" s="35"/>
      <c r="B2435" s="36"/>
      <c r="C2435" s="37" t="str">
        <f>IFERROR(_xlfn.XLOOKUP(B2435,MObra[DESCRIPCION],MObra[UN],,0),"")</f>
        <v/>
      </c>
      <c r="D2435" s="38"/>
      <c r="E2435" s="39" t="str">
        <f>IFERROR(_xlfn.XLOOKUP($B2435,MObra[DESCRIPCION],MObra[VALOR UNIT],,0),"")</f>
        <v/>
      </c>
      <c r="F2435" s="40"/>
      <c r="G2435" s="41" t="str">
        <f>IFERROR(IF(F2435&gt;=0,D2435*E2435*(1+F2435/100),ABS(D2435*E2435/F2435)),"")</f>
        <v/>
      </c>
      <c r="H2435" s="42" t="str">
        <f>IFERROR(G2435*E2415,"")</f>
        <v/>
      </c>
    </row>
    <row r="2436" spans="1:11" ht="13.5" thickTop="1" thickBot="1"/>
    <row r="2437" spans="1:11" ht="13.5" thickTop="1" thickBot="1">
      <c r="A2437" s="6" t="s">
        <v>1968</v>
      </c>
      <c r="B2437" s="7" t="str">
        <f>VLOOKUP($A2437,Presupuesto!$A:$D,2,FALSE())</f>
        <v>Pavimento Mr = 4.2 Mpa premezclado</v>
      </c>
      <c r="C2437" s="8" t="str">
        <f>VLOOKUP($A2437,Presupuesto!$A:$D,3,FALSE())</f>
        <v>M3</v>
      </c>
      <c r="D2437" s="9"/>
      <c r="E2437" s="10">
        <f>VLOOKUP($A2437,Presupuesto!$A:$D,4,FALSE())</f>
        <v>0</v>
      </c>
      <c r="F2437" s="11" t="s">
        <v>2589</v>
      </c>
      <c r="G2437" s="12">
        <f>SUM(G2439:G2457)/2</f>
        <v>960434.37195431243</v>
      </c>
      <c r="H2437" s="13">
        <f>ROUND(SUM(H2439:H2457),0)/2</f>
        <v>0</v>
      </c>
      <c r="I2437" s="10">
        <f>VLOOKUP(A2437,Presupuesto!$A:$F,6,0)</f>
        <v>0</v>
      </c>
      <c r="J2437" s="10">
        <f>+H2437-I2437</f>
        <v>0</v>
      </c>
      <c r="K2437" s="46">
        <f>+H2437-G2437*E2437</f>
        <v>0</v>
      </c>
    </row>
    <row r="2438" spans="1:11" ht="13.15" thickTop="1">
      <c r="A2438" s="14"/>
      <c r="B2438" s="15" t="s">
        <v>2586</v>
      </c>
      <c r="C2438" s="15" t="s">
        <v>5</v>
      </c>
      <c r="D2438" s="16" t="s">
        <v>6</v>
      </c>
      <c r="E2438" s="17" t="s">
        <v>7</v>
      </c>
      <c r="F2438" s="18" t="s">
        <v>3728</v>
      </c>
      <c r="G2438" s="19" t="s">
        <v>3729</v>
      </c>
      <c r="H2438" s="20" t="s">
        <v>3797</v>
      </c>
    </row>
    <row r="2439" spans="1:11">
      <c r="A2439" s="21"/>
      <c r="B2439" s="22" t="s">
        <v>3730</v>
      </c>
      <c r="C2439" s="23"/>
      <c r="D2439" s="24"/>
      <c r="E2439" s="25"/>
      <c r="F2439" s="26"/>
      <c r="G2439" s="27">
        <f>SUM(G2440:G2444)</f>
        <v>777187.53</v>
      </c>
      <c r="H2439" s="27">
        <f>IFERROR(G2439*E2437,"")</f>
        <v>0</v>
      </c>
    </row>
    <row r="2440" spans="1:11">
      <c r="A2440" s="28"/>
      <c r="B2440" s="29" t="s">
        <v>2878</v>
      </c>
      <c r="C2440" s="30" t="str">
        <f>IFERROR(_xlfn.XLOOKUP(B2440,Insumo[DESCRIPCION],Insumo[UND],,0),"")</f>
        <v>M3</v>
      </c>
      <c r="D2440" s="31">
        <v>1</v>
      </c>
      <c r="E2440" s="32">
        <f>IFERROR(_xlfn.XLOOKUP($B2440,Insumo[DESCRIPCION],Insumo[VALOR],,0),"")</f>
        <v>754551</v>
      </c>
      <c r="F2440" s="33">
        <v>3</v>
      </c>
      <c r="G2440" s="34">
        <f>IFERROR(IF(F2440&gt;=0,D2440*E2440*(1+F2440/100),ABS(D2440*E2440/F2440)),"")</f>
        <v>777187.53</v>
      </c>
      <c r="H2440" s="43">
        <f>IFERROR(G2440*E2437,"")</f>
        <v>0</v>
      </c>
    </row>
    <row r="2441" spans="1:11">
      <c r="A2441" s="28"/>
      <c r="B2441" s="29"/>
      <c r="C2441" s="30" t="str">
        <f>IFERROR(_xlfn.XLOOKUP(B2441,Insumo[DESCRIPCION],Insumo[UND],,0),"")</f>
        <v/>
      </c>
      <c r="D2441" s="31"/>
      <c r="E2441" s="32" t="str">
        <f>IFERROR(_xlfn.XLOOKUP($B2441,Insumo[DESCRIPCION],Insumo[VALOR],,0),"")</f>
        <v/>
      </c>
      <c r="F2441" s="33"/>
      <c r="G2441" s="34" t="str">
        <f>IFERROR(IF(F2441&gt;=0,D2441*E2441*(1+F2441/100),ABS(D2441*E2441/F2441)),"")</f>
        <v/>
      </c>
      <c r="H2441" s="43" t="str">
        <f>IFERROR(G2441*E2437,"")</f>
        <v/>
      </c>
    </row>
    <row r="2442" spans="1:11">
      <c r="A2442" s="28"/>
      <c r="B2442" s="29"/>
      <c r="C2442" s="30" t="str">
        <f>IFERROR(_xlfn.XLOOKUP(B2442,Insumo[DESCRIPCION],Insumo[UND],,0),"")</f>
        <v/>
      </c>
      <c r="D2442" s="31"/>
      <c r="E2442" s="32" t="str">
        <f>IFERROR(_xlfn.XLOOKUP($B2442,Insumo[DESCRIPCION],Insumo[VALOR],,0),"")</f>
        <v/>
      </c>
      <c r="F2442" s="33"/>
      <c r="G2442" s="34" t="str">
        <f>IFERROR(IF(F2442&gt;=0,D2442*E2442*(1+F2442/100),ABS(D2442*E2442/F2442)),"")</f>
        <v/>
      </c>
      <c r="H2442" s="43" t="str">
        <f>IFERROR(G2442*E2437,"")</f>
        <v/>
      </c>
    </row>
    <row r="2443" spans="1:11">
      <c r="A2443" s="28"/>
      <c r="B2443" s="29"/>
      <c r="C2443" s="30" t="str">
        <f>IFERROR(_xlfn.XLOOKUP(B2443,Insumo[DESCRIPCION],Insumo[UND],,0),"")</f>
        <v/>
      </c>
      <c r="D2443" s="31"/>
      <c r="E2443" s="32" t="str">
        <f>IFERROR(_xlfn.XLOOKUP($B2443,Insumo[DESCRIPCION],Insumo[VALOR],,0),"")</f>
        <v/>
      </c>
      <c r="F2443" s="33"/>
      <c r="G2443" s="34" t="str">
        <f>IFERROR(IF(F2443&gt;=0,D2443*E2443*(1+F2443/100),ABS(D2443*E2443/F2443)),"")</f>
        <v/>
      </c>
      <c r="H2443" s="43" t="str">
        <f>IFERROR(G2443*E2437,"")</f>
        <v/>
      </c>
    </row>
    <row r="2444" spans="1:11">
      <c r="A2444" s="28"/>
      <c r="B2444" s="29"/>
      <c r="C2444" s="30" t="str">
        <f>IFERROR(_xlfn.XLOOKUP(B2444,Insumo[DESCRIPCION],Insumo[UND],,0),"")</f>
        <v/>
      </c>
      <c r="D2444" s="31"/>
      <c r="E2444" s="32" t="str">
        <f>IFERROR(_xlfn.XLOOKUP($B2444,Insumo[DESCRIPCION],Insumo[VALOR],,0),"")</f>
        <v/>
      </c>
      <c r="F2444" s="33"/>
      <c r="G2444" s="34" t="str">
        <f>IFERROR(IF(F2444&gt;=0,D2444*E2444*(1+F2444/100),ABS(D2444*E2444/F2444)),"")</f>
        <v/>
      </c>
      <c r="H2444" s="43" t="str">
        <f>IFERROR(G2444*E2437,"")</f>
        <v/>
      </c>
    </row>
    <row r="2445" spans="1:11">
      <c r="A2445" s="21"/>
      <c r="B2445" s="22" t="s">
        <v>3731</v>
      </c>
      <c r="C2445" s="23"/>
      <c r="D2445" s="24"/>
      <c r="E2445" s="25"/>
      <c r="F2445" s="26"/>
      <c r="G2445" s="27">
        <f>SUM(G2446:G2450)</f>
        <v>17318.390093062502</v>
      </c>
      <c r="H2445" s="44">
        <f>G2445*E2437</f>
        <v>0</v>
      </c>
    </row>
    <row r="2446" spans="1:11">
      <c r="A2446" s="28"/>
      <c r="B2446" s="29" t="s">
        <v>3618</v>
      </c>
      <c r="C2446" s="30" t="str">
        <f>IFERROR(_xlfn.XLOOKUP(B2446,Equipo[DESCRIPCION],Equipo[UND],,0),"")</f>
        <v>Día</v>
      </c>
      <c r="D2446" s="31">
        <v>1</v>
      </c>
      <c r="E2446" s="32">
        <f>IF(C2446="%MO",G2454,IFERROR(_xlfn.XLOOKUP($B2446,Equipo[DESCRIPCION],Equipo[VALOR],,0),""))</f>
        <v>3150</v>
      </c>
      <c r="F2446" s="33">
        <v>-4</v>
      </c>
      <c r="G2446" s="34">
        <f>IFERROR(IF(F2446&gt;=0,D2446*E2446*(1+F2446/100),ABS(D2446*E2446/F2446)),"")</f>
        <v>787.5</v>
      </c>
      <c r="H2446" s="43">
        <f>IFERROR(G2446*E2437,"")</f>
        <v>0</v>
      </c>
    </row>
    <row r="2447" spans="1:11">
      <c r="A2447" s="28"/>
      <c r="B2447" s="29" t="s">
        <v>3645</v>
      </c>
      <c r="C2447" s="30" t="str">
        <f>IFERROR(_xlfn.XLOOKUP(B2447,Equipo[DESCRIPCION],Equipo[UND],,0),"")</f>
        <v>Día</v>
      </c>
      <c r="D2447" s="31">
        <v>1</v>
      </c>
      <c r="E2447" s="32">
        <f>IF(C2447="%MO",G2455,IFERROR(_xlfn.XLOOKUP($B2447,Equipo[DESCRIPCION],Equipo[VALOR],,0),""))</f>
        <v>101038.35</v>
      </c>
      <c r="F2447" s="33">
        <v>-20</v>
      </c>
      <c r="G2447" s="34">
        <f>IFERROR(IF(F2447&gt;=0,D2447*E2447*(1+F2447/100),ABS(D2447*E2447/F2447)),"")</f>
        <v>5051.9175000000005</v>
      </c>
      <c r="H2447" s="43">
        <f>IFERROR(G2447*E2437,"")</f>
        <v>0</v>
      </c>
    </row>
    <row r="2448" spans="1:11">
      <c r="A2448" s="28"/>
      <c r="B2448" s="29" t="s">
        <v>3643</v>
      </c>
      <c r="C2448" s="30" t="str">
        <f>IFERROR(_xlfn.XLOOKUP(B2448,Equipo[DESCRIPCION],Equipo[UND],,0),"")</f>
        <v>Día</v>
      </c>
      <c r="D2448" s="31">
        <v>1</v>
      </c>
      <c r="E2448" s="32">
        <f>IF(C2448="%MO",G2456,IFERROR(_xlfn.XLOOKUP($B2448,Equipo[DESCRIPCION],Equipo[VALOR],,0),""))</f>
        <v>31825.5</v>
      </c>
      <c r="F2448" s="33">
        <v>-20</v>
      </c>
      <c r="G2448" s="34">
        <f>IFERROR(IF(F2448&gt;=0,D2448*E2448*(1+F2448/100),ABS(D2448*E2448/F2448)),"")</f>
        <v>1591.2750000000001</v>
      </c>
      <c r="H2448" s="43">
        <f>IFERROR(G2448*E2437,"")</f>
        <v>0</v>
      </c>
    </row>
    <row r="2449" spans="1:11">
      <c r="A2449" s="28"/>
      <c r="B2449" s="29" t="s">
        <v>3639</v>
      </c>
      <c r="C2449" s="30" t="str">
        <f>IFERROR(_xlfn.XLOOKUP(B2449,Equipo[DESCRIPCION],Equipo[UND],,0),"")</f>
        <v>Día</v>
      </c>
      <c r="D2449" s="31">
        <v>1</v>
      </c>
      <c r="E2449" s="32">
        <f>IF(C2449="%MO",G2457,IFERROR(_xlfn.XLOOKUP($B2449,Equipo[DESCRIPCION],Equipo[VALOR],,0),""))</f>
        <v>31825.5</v>
      </c>
      <c r="F2449" s="33">
        <v>-20</v>
      </c>
      <c r="G2449" s="34">
        <f>IFERROR(IF(F2449&gt;=0,D2449*E2449*(1+F2449/100),ABS(D2449*E2449/F2449)),"")</f>
        <v>1591.2750000000001</v>
      </c>
      <c r="H2449" s="43">
        <f>IFERROR(G2449*E2437,"")</f>
        <v>0</v>
      </c>
    </row>
    <row r="2450" spans="1:11">
      <c r="A2450" s="28"/>
      <c r="B2450" s="29" t="s">
        <v>3626</v>
      </c>
      <c r="C2450" s="30" t="str">
        <f>IFERROR(_xlfn.XLOOKUP(B2450,Equipo[DESCRIPCION],Equipo[UND],,0),"")</f>
        <v>%MO</v>
      </c>
      <c r="D2450" s="31">
        <v>0.05</v>
      </c>
      <c r="E2450" s="32">
        <f>IF(C2450="%MO",G2454,IFERROR(_xlfn.XLOOKUP($B2450,Equipo[DESCRIPCION],Equipo[VALOR],,0),""))</f>
        <v>165928.45186125004</v>
      </c>
      <c r="F2450" s="33"/>
      <c r="G2450" s="34">
        <f>IFERROR(IF(F2450&gt;=0,D2450*E2450*(1+F2450/100),ABS(D2450*E2450/F2450)),"")</f>
        <v>8296.4225930625016</v>
      </c>
      <c r="H2450" s="43">
        <f>IFERROR(G2450*E2437,"")</f>
        <v>0</v>
      </c>
    </row>
    <row r="2451" spans="1:11">
      <c r="A2451" s="21"/>
      <c r="B2451" s="22" t="s">
        <v>2533</v>
      </c>
      <c r="C2451" s="23"/>
      <c r="D2451" s="24"/>
      <c r="E2451" s="25"/>
      <c r="F2451" s="26"/>
      <c r="G2451" s="27">
        <f>SUM(G2452:G2453)</f>
        <v>0</v>
      </c>
      <c r="H2451" s="44">
        <f>G2451*E2437</f>
        <v>0</v>
      </c>
    </row>
    <row r="2452" spans="1:11">
      <c r="A2452" s="28"/>
      <c r="B2452" s="29"/>
      <c r="C2452" s="30" t="str">
        <f>IFERROR(_xlfn.XLOOKUP(B2452,Transporte[DESCRIPCION],Transporte[UND],,0),"")</f>
        <v/>
      </c>
      <c r="D2452" s="31"/>
      <c r="E2452" s="32" t="str">
        <f>IFERROR(_xlfn.XLOOKUP($B2452,Transporte[DESCRIPCION],Transporte[VALOR],,0),"")</f>
        <v/>
      </c>
      <c r="F2452" s="33"/>
      <c r="G2452" s="34" t="str">
        <f>IFERROR(IF(F2452&gt;=0,D2452*E2452*(1+F2452/100),ABS(D2452*E2452/F2452)),"")</f>
        <v/>
      </c>
      <c r="H2452" s="43" t="str">
        <f>IFERROR(G2452*E2437,"")</f>
        <v/>
      </c>
    </row>
    <row r="2453" spans="1:11">
      <c r="A2453" s="28"/>
      <c r="B2453" s="29"/>
      <c r="C2453" s="30" t="str">
        <f>IFERROR(_xlfn.XLOOKUP(B2453,Transporte[DESCRIPCION],Transporte[UND],,0),"")</f>
        <v/>
      </c>
      <c r="D2453" s="31"/>
      <c r="E2453" s="32" t="str">
        <f>IFERROR(_xlfn.XLOOKUP($B2453,Transporte[DESCRIPCION],Transporte[VALOR],,0),"")</f>
        <v/>
      </c>
      <c r="F2453" s="33"/>
      <c r="G2453" s="34" t="str">
        <f>IFERROR(IF(F2453&gt;=0,D2453*E2453*(1+F2453/100),ABS(D2453*E2453/F2453)),"")</f>
        <v/>
      </c>
      <c r="H2453" s="43" t="str">
        <f>IFERROR(G2453*E2437,"")</f>
        <v/>
      </c>
    </row>
    <row r="2454" spans="1:11">
      <c r="A2454" s="21"/>
      <c r="B2454" s="22" t="s">
        <v>3732</v>
      </c>
      <c r="C2454" s="23"/>
      <c r="D2454" s="24"/>
      <c r="E2454" s="25"/>
      <c r="F2454" s="26"/>
      <c r="G2454" s="27">
        <f>SUM(G2455:G2457)</f>
        <v>165928.45186125004</v>
      </c>
      <c r="H2454" s="44">
        <f>G2454*E2437</f>
        <v>0</v>
      </c>
    </row>
    <row r="2455" spans="1:11">
      <c r="A2455" s="28"/>
      <c r="B2455" s="29" t="s">
        <v>3713</v>
      </c>
      <c r="C2455" s="30" t="str">
        <f>IFERROR(_xlfn.XLOOKUP(B2455,MObra[DESCRIPCION],MObra[UN],,0),"")</f>
        <v>día</v>
      </c>
      <c r="D2455" s="31">
        <v>1</v>
      </c>
      <c r="E2455" s="32">
        <f>IFERROR(_xlfn.XLOOKUP($B2455,MObra[DESCRIPCION],MObra[VALOR UNIT],,0),"")</f>
        <v>663713.80744500016</v>
      </c>
      <c r="F2455" s="33">
        <v>-4</v>
      </c>
      <c r="G2455" s="34">
        <f>IFERROR(IF(F2455&gt;=0,D2455*E2455*(1+F2455/100),ABS(D2455*E2455/F2455)),"")</f>
        <v>165928.45186125004</v>
      </c>
      <c r="H2455" s="43">
        <f>IFERROR(G2455*E2437,"")</f>
        <v>0</v>
      </c>
    </row>
    <row r="2456" spans="1:11">
      <c r="A2456" s="28"/>
      <c r="B2456" s="29"/>
      <c r="C2456" s="30" t="str">
        <f>IFERROR(_xlfn.XLOOKUP(B2456,MObra[DESCRIPCION],MObra[UN],,0),"")</f>
        <v/>
      </c>
      <c r="D2456" s="31"/>
      <c r="E2456" s="32" t="str">
        <f>IFERROR(_xlfn.XLOOKUP($B2456,MObra[DESCRIPCION],MObra[VALOR UNIT],,0),"")</f>
        <v/>
      </c>
      <c r="F2456" s="33"/>
      <c r="G2456" s="34" t="str">
        <f>IFERROR(IF(F2456&gt;=0,D2456*E2456*(1+F2456/100),ABS(D2456*E2456/F2456)),"")</f>
        <v/>
      </c>
      <c r="H2456" s="43" t="str">
        <f>IFERROR(G2456*E2437,"")</f>
        <v/>
      </c>
    </row>
    <row r="2457" spans="1:11" ht="13.15" thickBot="1">
      <c r="A2457" s="35"/>
      <c r="B2457" s="36"/>
      <c r="C2457" s="37" t="str">
        <f>IFERROR(_xlfn.XLOOKUP(B2457,MObra[DESCRIPCION],MObra[UN],,0),"")</f>
        <v/>
      </c>
      <c r="D2457" s="38"/>
      <c r="E2457" s="39" t="str">
        <f>IFERROR(_xlfn.XLOOKUP($B2457,MObra[DESCRIPCION],MObra[VALOR UNIT],,0),"")</f>
        <v/>
      </c>
      <c r="F2457" s="40"/>
      <c r="G2457" s="41" t="str">
        <f>IFERROR(IF(F2457&gt;=0,D2457*E2457*(1+F2457/100),ABS(D2457*E2457/F2457)),"")</f>
        <v/>
      </c>
      <c r="H2457" s="42" t="str">
        <f>IFERROR(G2457*E2437,"")</f>
        <v/>
      </c>
    </row>
    <row r="2458" spans="1:11" ht="13.5" thickTop="1" thickBot="1"/>
    <row r="2459" spans="1:11" ht="13.5" thickTop="1" thickBot="1">
      <c r="A2459" s="6" t="s">
        <v>1970</v>
      </c>
      <c r="B2459" s="7" t="str">
        <f>VLOOKUP($A2459,Presupuesto!$A:$D,2,FALSE())</f>
        <v>Pavimento Mr = 4.2 Mpa premezclado (acelerado 3 días)</v>
      </c>
      <c r="C2459" s="8" t="str">
        <f>VLOOKUP($A2459,Presupuesto!$A:$D,3,FALSE())</f>
        <v>M3</v>
      </c>
      <c r="D2459" s="9"/>
      <c r="E2459" s="10">
        <f>VLOOKUP($A2459,Presupuesto!$A:$D,4,FALSE())</f>
        <v>0</v>
      </c>
      <c r="F2459" s="11" t="s">
        <v>2589</v>
      </c>
      <c r="G2459" s="12">
        <f>SUM(G2461:G2479)/2</f>
        <v>1085078.3284543126</v>
      </c>
      <c r="H2459" s="13">
        <f>ROUND(SUM(H2461:H2479),0)/2</f>
        <v>0</v>
      </c>
      <c r="I2459" s="10">
        <f>VLOOKUP(A2459,Presupuesto!$A:$F,6,0)</f>
        <v>0</v>
      </c>
      <c r="J2459" s="10">
        <f>+H2459-I2459</f>
        <v>0</v>
      </c>
      <c r="K2459" s="46">
        <f>+H2459-G2459*E2459</f>
        <v>0</v>
      </c>
    </row>
    <row r="2460" spans="1:11" ht="13.15" thickTop="1">
      <c r="A2460" s="14"/>
      <c r="B2460" s="15" t="s">
        <v>2586</v>
      </c>
      <c r="C2460" s="15" t="s">
        <v>5</v>
      </c>
      <c r="D2460" s="16" t="s">
        <v>6</v>
      </c>
      <c r="E2460" s="17" t="s">
        <v>7</v>
      </c>
      <c r="F2460" s="18" t="s">
        <v>3728</v>
      </c>
      <c r="G2460" s="19" t="s">
        <v>3729</v>
      </c>
      <c r="H2460" s="20" t="s">
        <v>3797</v>
      </c>
    </row>
    <row r="2461" spans="1:11">
      <c r="A2461" s="21"/>
      <c r="B2461" s="22" t="s">
        <v>3730</v>
      </c>
      <c r="C2461" s="23"/>
      <c r="D2461" s="24"/>
      <c r="E2461" s="25"/>
      <c r="F2461" s="26"/>
      <c r="G2461" s="27">
        <f>SUM(G2462:G2466)</f>
        <v>901831.48650000012</v>
      </c>
      <c r="H2461" s="27">
        <f>IFERROR(G2461*E2459,"")</f>
        <v>0</v>
      </c>
    </row>
    <row r="2462" spans="1:11">
      <c r="A2462" s="28"/>
      <c r="B2462" s="29" t="s">
        <v>2879</v>
      </c>
      <c r="C2462" s="30" t="str">
        <f>IFERROR(_xlfn.XLOOKUP(B2462,Insumo[DESCRIPCION],Insumo[UND],,0),"")</f>
        <v>M3</v>
      </c>
      <c r="D2462" s="31">
        <v>1</v>
      </c>
      <c r="E2462" s="32">
        <f>IFERROR(_xlfn.XLOOKUP($B2462,Insumo[DESCRIPCION],Insumo[VALOR],,0),"")</f>
        <v>875564.55</v>
      </c>
      <c r="F2462" s="33">
        <v>3</v>
      </c>
      <c r="G2462" s="34">
        <f>IFERROR(IF(F2462&gt;=0,D2462*E2462*(1+F2462/100),ABS(D2462*E2462/F2462)),"")</f>
        <v>901831.48650000012</v>
      </c>
      <c r="H2462" s="43">
        <f>IFERROR(G2462*E2459,"")</f>
        <v>0</v>
      </c>
    </row>
    <row r="2463" spans="1:11">
      <c r="A2463" s="28"/>
      <c r="B2463" s="29"/>
      <c r="C2463" s="30" t="str">
        <f>IFERROR(_xlfn.XLOOKUP(B2463,Insumo[DESCRIPCION],Insumo[UND],,0),"")</f>
        <v/>
      </c>
      <c r="D2463" s="31"/>
      <c r="E2463" s="32" t="str">
        <f>IFERROR(_xlfn.XLOOKUP($B2463,Insumo[DESCRIPCION],Insumo[VALOR],,0),"")</f>
        <v/>
      </c>
      <c r="F2463" s="33"/>
      <c r="G2463" s="34" t="str">
        <f>IFERROR(IF(F2463&gt;=0,D2463*E2463*(1+F2463/100),ABS(D2463*E2463/F2463)),"")</f>
        <v/>
      </c>
      <c r="H2463" s="43" t="str">
        <f>IFERROR(G2463*E2459,"")</f>
        <v/>
      </c>
    </row>
    <row r="2464" spans="1:11">
      <c r="A2464" s="28"/>
      <c r="B2464" s="29"/>
      <c r="C2464" s="30" t="str">
        <f>IFERROR(_xlfn.XLOOKUP(B2464,Insumo[DESCRIPCION],Insumo[UND],,0),"")</f>
        <v/>
      </c>
      <c r="D2464" s="31"/>
      <c r="E2464" s="32" t="str">
        <f>IFERROR(_xlfn.XLOOKUP($B2464,Insumo[DESCRIPCION],Insumo[VALOR],,0),"")</f>
        <v/>
      </c>
      <c r="F2464" s="33"/>
      <c r="G2464" s="34" t="str">
        <f>IFERROR(IF(F2464&gt;=0,D2464*E2464*(1+F2464/100),ABS(D2464*E2464/F2464)),"")</f>
        <v/>
      </c>
      <c r="H2464" s="43" t="str">
        <f>IFERROR(G2464*E2459,"")</f>
        <v/>
      </c>
    </row>
    <row r="2465" spans="1:8">
      <c r="A2465" s="28"/>
      <c r="B2465" s="29"/>
      <c r="C2465" s="30" t="str">
        <f>IFERROR(_xlfn.XLOOKUP(B2465,Insumo[DESCRIPCION],Insumo[UND],,0),"")</f>
        <v/>
      </c>
      <c r="D2465" s="31"/>
      <c r="E2465" s="32" t="str">
        <f>IFERROR(_xlfn.XLOOKUP($B2465,Insumo[DESCRIPCION],Insumo[VALOR],,0),"")</f>
        <v/>
      </c>
      <c r="F2465" s="33"/>
      <c r="G2465" s="34" t="str">
        <f>IFERROR(IF(F2465&gt;=0,D2465*E2465*(1+F2465/100),ABS(D2465*E2465/F2465)),"")</f>
        <v/>
      </c>
      <c r="H2465" s="43" t="str">
        <f>IFERROR(G2465*E2459,"")</f>
        <v/>
      </c>
    </row>
    <row r="2466" spans="1:8">
      <c r="A2466" s="28"/>
      <c r="B2466" s="29"/>
      <c r="C2466" s="30" t="str">
        <f>IFERROR(_xlfn.XLOOKUP(B2466,Insumo[DESCRIPCION],Insumo[UND],,0),"")</f>
        <v/>
      </c>
      <c r="D2466" s="31"/>
      <c r="E2466" s="32" t="str">
        <f>IFERROR(_xlfn.XLOOKUP($B2466,Insumo[DESCRIPCION],Insumo[VALOR],,0),"")</f>
        <v/>
      </c>
      <c r="F2466" s="33"/>
      <c r="G2466" s="34" t="str">
        <f>IFERROR(IF(F2466&gt;=0,D2466*E2466*(1+F2466/100),ABS(D2466*E2466/F2466)),"")</f>
        <v/>
      </c>
      <c r="H2466" s="43" t="str">
        <f>IFERROR(G2466*E2459,"")</f>
        <v/>
      </c>
    </row>
    <row r="2467" spans="1:8">
      <c r="A2467" s="21"/>
      <c r="B2467" s="22" t="s">
        <v>3731</v>
      </c>
      <c r="C2467" s="23"/>
      <c r="D2467" s="24"/>
      <c r="E2467" s="25"/>
      <c r="F2467" s="26"/>
      <c r="G2467" s="27">
        <f>SUM(G2468:G2472)</f>
        <v>17318.390093062502</v>
      </c>
      <c r="H2467" s="44">
        <f>G2467*E2459</f>
        <v>0</v>
      </c>
    </row>
    <row r="2468" spans="1:8">
      <c r="A2468" s="28"/>
      <c r="B2468" s="29" t="s">
        <v>3618</v>
      </c>
      <c r="C2468" s="30" t="str">
        <f>IFERROR(_xlfn.XLOOKUP(B2468,Equipo[DESCRIPCION],Equipo[UND],,0),"")</f>
        <v>Día</v>
      </c>
      <c r="D2468" s="31">
        <v>1</v>
      </c>
      <c r="E2468" s="32">
        <f>IF(C2468="%MO",G2476,IFERROR(_xlfn.XLOOKUP($B2468,Equipo[DESCRIPCION],Equipo[VALOR],,0),""))</f>
        <v>3150</v>
      </c>
      <c r="F2468" s="33">
        <v>-4</v>
      </c>
      <c r="G2468" s="34">
        <f>IFERROR(IF(F2468&gt;=0,D2468*E2468*(1+F2468/100),ABS(D2468*E2468/F2468)),"")</f>
        <v>787.5</v>
      </c>
      <c r="H2468" s="43">
        <f>IFERROR(G2468*E2459,"")</f>
        <v>0</v>
      </c>
    </row>
    <row r="2469" spans="1:8">
      <c r="A2469" s="28"/>
      <c r="B2469" s="29" t="s">
        <v>3645</v>
      </c>
      <c r="C2469" s="30" t="str">
        <f>IFERROR(_xlfn.XLOOKUP(B2469,Equipo[DESCRIPCION],Equipo[UND],,0),"")</f>
        <v>Día</v>
      </c>
      <c r="D2469" s="31">
        <v>1</v>
      </c>
      <c r="E2469" s="32">
        <f>IF(C2469="%MO",G2477,IFERROR(_xlfn.XLOOKUP($B2469,Equipo[DESCRIPCION],Equipo[VALOR],,0),""))</f>
        <v>101038.35</v>
      </c>
      <c r="F2469" s="33">
        <v>-20</v>
      </c>
      <c r="G2469" s="34">
        <f>IFERROR(IF(F2469&gt;=0,D2469*E2469*(1+F2469/100),ABS(D2469*E2469/F2469)),"")</f>
        <v>5051.9175000000005</v>
      </c>
      <c r="H2469" s="43">
        <f>IFERROR(G2469*E2459,"")</f>
        <v>0</v>
      </c>
    </row>
    <row r="2470" spans="1:8">
      <c r="A2470" s="28"/>
      <c r="B2470" s="29" t="s">
        <v>3643</v>
      </c>
      <c r="C2470" s="30" t="str">
        <f>IFERROR(_xlfn.XLOOKUP(B2470,Equipo[DESCRIPCION],Equipo[UND],,0),"")</f>
        <v>Día</v>
      </c>
      <c r="D2470" s="31">
        <v>1</v>
      </c>
      <c r="E2470" s="32">
        <f>IF(C2470="%MO",G2478,IFERROR(_xlfn.XLOOKUP($B2470,Equipo[DESCRIPCION],Equipo[VALOR],,0),""))</f>
        <v>31825.5</v>
      </c>
      <c r="F2470" s="33">
        <v>-20</v>
      </c>
      <c r="G2470" s="34">
        <f>IFERROR(IF(F2470&gt;=0,D2470*E2470*(1+F2470/100),ABS(D2470*E2470/F2470)),"")</f>
        <v>1591.2750000000001</v>
      </c>
      <c r="H2470" s="43">
        <f>IFERROR(G2470*E2459,"")</f>
        <v>0</v>
      </c>
    </row>
    <row r="2471" spans="1:8">
      <c r="A2471" s="28"/>
      <c r="B2471" s="29" t="s">
        <v>3639</v>
      </c>
      <c r="C2471" s="30" t="str">
        <f>IFERROR(_xlfn.XLOOKUP(B2471,Equipo[DESCRIPCION],Equipo[UND],,0),"")</f>
        <v>Día</v>
      </c>
      <c r="D2471" s="31">
        <v>1</v>
      </c>
      <c r="E2471" s="32">
        <f>IF(C2471="%MO",G2479,IFERROR(_xlfn.XLOOKUP($B2471,Equipo[DESCRIPCION],Equipo[VALOR],,0),""))</f>
        <v>31825.5</v>
      </c>
      <c r="F2471" s="33">
        <v>-20</v>
      </c>
      <c r="G2471" s="34">
        <f>IFERROR(IF(F2471&gt;=0,D2471*E2471*(1+F2471/100),ABS(D2471*E2471/F2471)),"")</f>
        <v>1591.2750000000001</v>
      </c>
      <c r="H2471" s="43">
        <f>IFERROR(G2471*E2459,"")</f>
        <v>0</v>
      </c>
    </row>
    <row r="2472" spans="1:8">
      <c r="A2472" s="28"/>
      <c r="B2472" s="29" t="s">
        <v>3626</v>
      </c>
      <c r="C2472" s="30" t="str">
        <f>IFERROR(_xlfn.XLOOKUP(B2472,Equipo[DESCRIPCION],Equipo[UND],,0),"")</f>
        <v>%MO</v>
      </c>
      <c r="D2472" s="31">
        <v>0.05</v>
      </c>
      <c r="E2472" s="32">
        <f>IF(C2472="%MO",G2476,IFERROR(_xlfn.XLOOKUP($B2472,Equipo[DESCRIPCION],Equipo[VALOR],,0),""))</f>
        <v>165928.45186125004</v>
      </c>
      <c r="F2472" s="33"/>
      <c r="G2472" s="34">
        <f>IFERROR(IF(F2472&gt;=0,D2472*E2472*(1+F2472/100),ABS(D2472*E2472/F2472)),"")</f>
        <v>8296.4225930625016</v>
      </c>
      <c r="H2472" s="43">
        <f>IFERROR(G2472*E2459,"")</f>
        <v>0</v>
      </c>
    </row>
    <row r="2473" spans="1:8">
      <c r="A2473" s="21"/>
      <c r="B2473" s="22" t="s">
        <v>2533</v>
      </c>
      <c r="C2473" s="23"/>
      <c r="D2473" s="24"/>
      <c r="E2473" s="25"/>
      <c r="F2473" s="26"/>
      <c r="G2473" s="27">
        <f>SUM(G2474:G2475)</f>
        <v>0</v>
      </c>
      <c r="H2473" s="44">
        <f>G2473*E2459</f>
        <v>0</v>
      </c>
    </row>
    <row r="2474" spans="1:8">
      <c r="A2474" s="28"/>
      <c r="B2474" s="29"/>
      <c r="C2474" s="30" t="str">
        <f>IFERROR(_xlfn.XLOOKUP(B2474,Transporte[DESCRIPCION],Transporte[UND],,0),"")</f>
        <v/>
      </c>
      <c r="D2474" s="31"/>
      <c r="E2474" s="32" t="str">
        <f>IFERROR(_xlfn.XLOOKUP($B2474,Transporte[DESCRIPCION],Transporte[VALOR],,0),"")</f>
        <v/>
      </c>
      <c r="F2474" s="33"/>
      <c r="G2474" s="34" t="str">
        <f>IFERROR(IF(F2474&gt;=0,D2474*E2474*(1+F2474/100),ABS(D2474*E2474/F2474)),"")</f>
        <v/>
      </c>
      <c r="H2474" s="43" t="str">
        <f>IFERROR(G2474*E2459,"")</f>
        <v/>
      </c>
    </row>
    <row r="2475" spans="1:8">
      <c r="A2475" s="28"/>
      <c r="B2475" s="29"/>
      <c r="C2475" s="30" t="str">
        <f>IFERROR(_xlfn.XLOOKUP(B2475,Transporte[DESCRIPCION],Transporte[UND],,0),"")</f>
        <v/>
      </c>
      <c r="D2475" s="31"/>
      <c r="E2475" s="32" t="str">
        <f>IFERROR(_xlfn.XLOOKUP($B2475,Transporte[DESCRIPCION],Transporte[VALOR],,0),"")</f>
        <v/>
      </c>
      <c r="F2475" s="33"/>
      <c r="G2475" s="34" t="str">
        <f>IFERROR(IF(F2475&gt;=0,D2475*E2475*(1+F2475/100),ABS(D2475*E2475/F2475)),"")</f>
        <v/>
      </c>
      <c r="H2475" s="43" t="str">
        <f>IFERROR(G2475*E2459,"")</f>
        <v/>
      </c>
    </row>
    <row r="2476" spans="1:8">
      <c r="A2476" s="21"/>
      <c r="B2476" s="22" t="s">
        <v>3732</v>
      </c>
      <c r="C2476" s="23"/>
      <c r="D2476" s="24"/>
      <c r="E2476" s="25"/>
      <c r="F2476" s="26"/>
      <c r="G2476" s="27">
        <f>SUM(G2477:G2479)</f>
        <v>165928.45186125004</v>
      </c>
      <c r="H2476" s="44">
        <f>G2476*E2459</f>
        <v>0</v>
      </c>
    </row>
    <row r="2477" spans="1:8">
      <c r="A2477" s="28"/>
      <c r="B2477" s="29" t="s">
        <v>3713</v>
      </c>
      <c r="C2477" s="30" t="str">
        <f>IFERROR(_xlfn.XLOOKUP(B2477,MObra[DESCRIPCION],MObra[UN],,0),"")</f>
        <v>día</v>
      </c>
      <c r="D2477" s="31">
        <v>1</v>
      </c>
      <c r="E2477" s="32">
        <f>IFERROR(_xlfn.XLOOKUP($B2477,MObra[DESCRIPCION],MObra[VALOR UNIT],,0),"")</f>
        <v>663713.80744500016</v>
      </c>
      <c r="F2477" s="33">
        <v>-4</v>
      </c>
      <c r="G2477" s="34">
        <f>IFERROR(IF(F2477&gt;=0,D2477*E2477*(1+F2477/100),ABS(D2477*E2477/F2477)),"")</f>
        <v>165928.45186125004</v>
      </c>
      <c r="H2477" s="43">
        <f>IFERROR(G2477*E2459,"")</f>
        <v>0</v>
      </c>
    </row>
    <row r="2478" spans="1:8">
      <c r="A2478" s="28"/>
      <c r="B2478" s="29"/>
      <c r="C2478" s="30" t="str">
        <f>IFERROR(_xlfn.XLOOKUP(B2478,MObra[DESCRIPCION],MObra[UN],,0),"")</f>
        <v/>
      </c>
      <c r="D2478" s="31"/>
      <c r="E2478" s="32" t="str">
        <f>IFERROR(_xlfn.XLOOKUP($B2478,MObra[DESCRIPCION],MObra[VALOR UNIT],,0),"")</f>
        <v/>
      </c>
      <c r="F2478" s="33"/>
      <c r="G2478" s="34" t="str">
        <f>IFERROR(IF(F2478&gt;=0,D2478*E2478*(1+F2478/100),ABS(D2478*E2478/F2478)),"")</f>
        <v/>
      </c>
      <c r="H2478" s="43" t="str">
        <f>IFERROR(G2478*E2459,"")</f>
        <v/>
      </c>
    </row>
    <row r="2479" spans="1:8" ht="13.15" thickBot="1">
      <c r="A2479" s="35"/>
      <c r="B2479" s="36"/>
      <c r="C2479" s="37" t="str">
        <f>IFERROR(_xlfn.XLOOKUP(B2479,MObra[DESCRIPCION],MObra[UN],,0),"")</f>
        <v/>
      </c>
      <c r="D2479" s="38"/>
      <c r="E2479" s="39" t="str">
        <f>IFERROR(_xlfn.XLOOKUP($B2479,MObra[DESCRIPCION],MObra[VALOR UNIT],,0),"")</f>
        <v/>
      </c>
      <c r="F2479" s="40"/>
      <c r="G2479" s="41" t="str">
        <f>IFERROR(IF(F2479&gt;=0,D2479*E2479*(1+F2479/100),ABS(D2479*E2479/F2479)),"")</f>
        <v/>
      </c>
      <c r="H2479" s="42" t="str">
        <f>IFERROR(G2479*E2459,"")</f>
        <v/>
      </c>
    </row>
    <row r="2480" spans="1:8" ht="13.5" thickTop="1" thickBot="1"/>
    <row r="2481" spans="1:11" ht="13.5" thickTop="1" thickBot="1">
      <c r="A2481" s="6" t="s">
        <v>1972</v>
      </c>
      <c r="B2481" s="7" t="str">
        <f>VLOOKUP($A2481,Presupuesto!$A:$D,2,FALSE())</f>
        <v>Pavimento Mr = 4.2 Mpa premezclado (acelerado 7 días)</v>
      </c>
      <c r="C2481" s="8" t="str">
        <f>VLOOKUP($A2481,Presupuesto!$A:$D,3,FALSE())</f>
        <v>M3</v>
      </c>
      <c r="D2481" s="9"/>
      <c r="E2481" s="10">
        <f>VLOOKUP($A2481,Presupuesto!$A:$D,4,FALSE())</f>
        <v>0</v>
      </c>
      <c r="F2481" s="11" t="s">
        <v>2589</v>
      </c>
      <c r="G2481" s="12">
        <f>SUM(G2483:G2500)/2</f>
        <v>959695.70745431236</v>
      </c>
      <c r="H2481" s="13">
        <f>ROUND(SUM(H2483:H2500),0)/2</f>
        <v>0</v>
      </c>
      <c r="I2481" s="10">
        <f>VLOOKUP(A2481,Presupuesto!$A:$F,6,0)</f>
        <v>0</v>
      </c>
      <c r="J2481" s="10">
        <f>+H2481-I2481</f>
        <v>0</v>
      </c>
      <c r="K2481" s="46">
        <f>+H2481-G2481*E2481</f>
        <v>0</v>
      </c>
    </row>
    <row r="2482" spans="1:11" ht="13.15" thickTop="1">
      <c r="A2482" s="14"/>
      <c r="B2482" s="15" t="s">
        <v>2586</v>
      </c>
      <c r="C2482" s="15" t="s">
        <v>5</v>
      </c>
      <c r="D2482" s="16" t="s">
        <v>6</v>
      </c>
      <c r="E2482" s="17" t="s">
        <v>7</v>
      </c>
      <c r="F2482" s="18" t="s">
        <v>3728</v>
      </c>
      <c r="G2482" s="19" t="s">
        <v>3729</v>
      </c>
      <c r="H2482" s="20" t="s">
        <v>3797</v>
      </c>
    </row>
    <row r="2483" spans="1:11">
      <c r="A2483" s="21"/>
      <c r="B2483" s="22" t="s">
        <v>3730</v>
      </c>
      <c r="C2483" s="23"/>
      <c r="D2483" s="24"/>
      <c r="E2483" s="25"/>
      <c r="F2483" s="26"/>
      <c r="G2483" s="27">
        <f>SUM(G2484:G2488)</f>
        <v>776448.86549999996</v>
      </c>
      <c r="H2483" s="27">
        <f>IFERROR(G2483*E2481,"")</f>
        <v>0</v>
      </c>
    </row>
    <row r="2484" spans="1:11">
      <c r="A2484" s="28"/>
      <c r="B2484" s="29" t="s">
        <v>2880</v>
      </c>
      <c r="C2484" s="30" t="str">
        <f>IFERROR(_xlfn.XLOOKUP(B2484,Insumo[DESCRIPCION],Insumo[UND],,0),"")</f>
        <v>M3</v>
      </c>
      <c r="D2484" s="31">
        <v>1</v>
      </c>
      <c r="E2484" s="32">
        <f>IFERROR(_xlfn.XLOOKUP($B2484,Insumo[DESCRIPCION],Insumo[VALOR],,0),"")</f>
        <v>753833.85</v>
      </c>
      <c r="F2484" s="33">
        <v>3</v>
      </c>
      <c r="G2484" s="34">
        <f>IFERROR(IF(F2484&gt;=0,D2484*E2484*(1+F2484/100),ABS(D2484*E2484/F2484)),"")</f>
        <v>776448.86549999996</v>
      </c>
      <c r="H2484" s="43">
        <f>IFERROR(G2484*E2481,"")</f>
        <v>0</v>
      </c>
    </row>
    <row r="2485" spans="1:11">
      <c r="A2485" s="28"/>
      <c r="B2485" s="29"/>
      <c r="C2485" s="30" t="str">
        <f>IFERROR(_xlfn.XLOOKUP(B2485,Insumo[DESCRIPCION],Insumo[UND],,0),"")</f>
        <v/>
      </c>
      <c r="D2485" s="31"/>
      <c r="E2485" s="32" t="str">
        <f>IFERROR(_xlfn.XLOOKUP($B2485,Insumo[DESCRIPCION],Insumo[VALOR],,0),"")</f>
        <v/>
      </c>
      <c r="F2485" s="33"/>
      <c r="G2485" s="34" t="str">
        <f>IFERROR(IF(F2485&gt;=0,D2485*E2485*(1+F2485/100),ABS(D2485*E2485/F2485)),"")</f>
        <v/>
      </c>
      <c r="H2485" s="43" t="str">
        <f>IFERROR(G2485*E2481,"")</f>
        <v/>
      </c>
    </row>
    <row r="2486" spans="1:11">
      <c r="A2486" s="28"/>
      <c r="B2486" s="29"/>
      <c r="C2486" s="30" t="str">
        <f>IFERROR(_xlfn.XLOOKUP(B2486,Insumo[DESCRIPCION],Insumo[UND],,0),"")</f>
        <v/>
      </c>
      <c r="D2486" s="31"/>
      <c r="E2486" s="32" t="str">
        <f>IFERROR(_xlfn.XLOOKUP($B2486,Insumo[DESCRIPCION],Insumo[VALOR],,0),"")</f>
        <v/>
      </c>
      <c r="F2486" s="33"/>
      <c r="G2486" s="34" t="str">
        <f>IFERROR(IF(F2486&gt;=0,D2486*E2486*(1+F2486/100),ABS(D2486*E2486/F2486)),"")</f>
        <v/>
      </c>
      <c r="H2486" s="43" t="str">
        <f>IFERROR(G2486*E2481,"")</f>
        <v/>
      </c>
    </row>
    <row r="2487" spans="1:11">
      <c r="A2487" s="28"/>
      <c r="B2487" s="29"/>
      <c r="C2487" s="30" t="str">
        <f>IFERROR(_xlfn.XLOOKUP(B2487,Insumo[DESCRIPCION],Insumo[UND],,0),"")</f>
        <v/>
      </c>
      <c r="D2487" s="31"/>
      <c r="E2487" s="32" t="str">
        <f>IFERROR(_xlfn.XLOOKUP($B2487,Insumo[DESCRIPCION],Insumo[VALOR],,0),"")</f>
        <v/>
      </c>
      <c r="F2487" s="33"/>
      <c r="G2487" s="34" t="str">
        <f>IFERROR(IF(F2487&gt;=0,D2487*E2487*(1+F2487/100),ABS(D2487*E2487/F2487)),"")</f>
        <v/>
      </c>
      <c r="H2487" s="43" t="str">
        <f>IFERROR(G2487*E2481,"")</f>
        <v/>
      </c>
    </row>
    <row r="2488" spans="1:11">
      <c r="A2488" s="28"/>
      <c r="B2488" s="29"/>
      <c r="C2488" s="30" t="str">
        <f>IFERROR(_xlfn.XLOOKUP(B2488,Insumo[DESCRIPCION],Insumo[UND],,0),"")</f>
        <v/>
      </c>
      <c r="D2488" s="31"/>
      <c r="E2488" s="32" t="str">
        <f>IFERROR(_xlfn.XLOOKUP($B2488,Insumo[DESCRIPCION],Insumo[VALOR],,0),"")</f>
        <v/>
      </c>
      <c r="F2488" s="33"/>
      <c r="G2488" s="34" t="str">
        <f>IFERROR(IF(F2488&gt;=0,D2488*E2488*(1+F2488/100),ABS(D2488*E2488/F2488)),"")</f>
        <v/>
      </c>
      <c r="H2488" s="43" t="str">
        <f>IFERROR(G2488*E2481,"")</f>
        <v/>
      </c>
    </row>
    <row r="2489" spans="1:11">
      <c r="A2489" s="21"/>
      <c r="B2489" s="22" t="s">
        <v>3731</v>
      </c>
      <c r="C2489" s="23"/>
      <c r="D2489" s="24"/>
      <c r="E2489" s="25"/>
      <c r="F2489" s="26"/>
      <c r="G2489" s="27">
        <f>SUM(G2490:G2494)</f>
        <v>17318.390093062502</v>
      </c>
      <c r="H2489" s="44">
        <f>G2489*E2481</f>
        <v>0</v>
      </c>
    </row>
    <row r="2490" spans="1:11">
      <c r="A2490" s="28"/>
      <c r="B2490" s="29" t="s">
        <v>3618</v>
      </c>
      <c r="C2490" s="30" t="str">
        <f>IFERROR(_xlfn.XLOOKUP(B2490,Equipo[DESCRIPCION],Equipo[UND],,0),"")</f>
        <v>Día</v>
      </c>
      <c r="D2490" s="31">
        <v>1</v>
      </c>
      <c r="E2490" s="32">
        <f>IF(C2490="%MO",G2498,IFERROR(_xlfn.XLOOKUP($B2490,Equipo[DESCRIPCION],Equipo[VALOR],,0),""))</f>
        <v>3150</v>
      </c>
      <c r="F2490" s="33">
        <v>-4</v>
      </c>
      <c r="G2490" s="34">
        <f>IFERROR(IF(F2490&gt;=0,D2490*E2490*(1+F2490/100),ABS(D2490*E2490/F2490)),"")</f>
        <v>787.5</v>
      </c>
      <c r="H2490" s="43">
        <f>IFERROR(G2490*E2481,"")</f>
        <v>0</v>
      </c>
    </row>
    <row r="2491" spans="1:11">
      <c r="A2491" s="28"/>
      <c r="B2491" s="29" t="s">
        <v>3645</v>
      </c>
      <c r="C2491" s="30" t="str">
        <f>IFERROR(_xlfn.XLOOKUP(B2491,Equipo[DESCRIPCION],Equipo[UND],,0),"")</f>
        <v>Día</v>
      </c>
      <c r="D2491" s="31">
        <v>1</v>
      </c>
      <c r="E2491" s="32">
        <f>IF(C2491="%MO",G2499,IFERROR(_xlfn.XLOOKUP($B2491,Equipo[DESCRIPCION],Equipo[VALOR],,0),""))</f>
        <v>101038.35</v>
      </c>
      <c r="F2491" s="33">
        <v>-20</v>
      </c>
      <c r="G2491" s="34">
        <f>IFERROR(IF(F2491&gt;=0,D2491*E2491*(1+F2491/100),ABS(D2491*E2491/F2491)),"")</f>
        <v>5051.9175000000005</v>
      </c>
      <c r="H2491" s="43">
        <f>IFERROR(G2491*E2481,"")</f>
        <v>0</v>
      </c>
    </row>
    <row r="2492" spans="1:11">
      <c r="A2492" s="28"/>
      <c r="B2492" s="29" t="s">
        <v>3643</v>
      </c>
      <c r="C2492" s="30" t="str">
        <f>IFERROR(_xlfn.XLOOKUP(B2492,Equipo[DESCRIPCION],Equipo[UND],,0),"")</f>
        <v>Día</v>
      </c>
      <c r="D2492" s="31">
        <v>1</v>
      </c>
      <c r="E2492" s="32">
        <f>IF(C2492="%MO",G2500,IFERROR(_xlfn.XLOOKUP($B2492,Equipo[DESCRIPCION],Equipo[VALOR],,0),""))</f>
        <v>31825.5</v>
      </c>
      <c r="F2492" s="33">
        <v>-20</v>
      </c>
      <c r="G2492" s="34">
        <f>IFERROR(IF(F2492&gt;=0,D2492*E2492*(1+F2492/100),ABS(D2492*E2492/F2492)),"")</f>
        <v>1591.2750000000001</v>
      </c>
      <c r="H2492" s="43">
        <f>IFERROR(G2492*E2481,"")</f>
        <v>0</v>
      </c>
    </row>
    <row r="2493" spans="1:11">
      <c r="A2493" s="28"/>
      <c r="B2493" s="29" t="s">
        <v>3639</v>
      </c>
      <c r="C2493" s="30" t="str">
        <f>IFERROR(_xlfn.XLOOKUP(B2493,Equipo[DESCRIPCION],Equipo[UND],,0),"")</f>
        <v>Día</v>
      </c>
      <c r="D2493" s="31">
        <v>1</v>
      </c>
      <c r="E2493" s="32">
        <f>IF(C2493="%MO",G2501,IFERROR(_xlfn.XLOOKUP($B2493,Equipo[DESCRIPCION],Equipo[VALOR],,0),""))</f>
        <v>31825.5</v>
      </c>
      <c r="F2493" s="33">
        <v>-20</v>
      </c>
      <c r="G2493" s="34">
        <f>IFERROR(IF(F2493&gt;=0,D2493*E2493*(1+F2493/100),ABS(D2493*E2493/F2493)),"")</f>
        <v>1591.2750000000001</v>
      </c>
      <c r="H2493" s="43">
        <f>IFERROR(G2493*E2481,"")</f>
        <v>0</v>
      </c>
    </row>
    <row r="2494" spans="1:11">
      <c r="A2494" s="28"/>
      <c r="B2494" s="29" t="s">
        <v>3626</v>
      </c>
      <c r="C2494" s="30" t="str">
        <f>IFERROR(_xlfn.XLOOKUP(B2494,Equipo[DESCRIPCION],Equipo[UND],,0),"")</f>
        <v>%MO</v>
      </c>
      <c r="D2494" s="31">
        <v>0.05</v>
      </c>
      <c r="E2494" s="32">
        <f>IF(C2494="%MO",G2498,IFERROR(_xlfn.XLOOKUP($B2494,Equipo[DESCRIPCION],Equipo[VALOR],,0),""))</f>
        <v>165928.45186125004</v>
      </c>
      <c r="F2494" s="33"/>
      <c r="G2494" s="34">
        <f>IFERROR(IF(F2494&gt;=0,D2494*E2494*(1+F2494/100),ABS(D2494*E2494/F2494)),"")</f>
        <v>8296.4225930625016</v>
      </c>
      <c r="H2494" s="43">
        <f>IFERROR(G2494*E2481,"")</f>
        <v>0</v>
      </c>
    </row>
    <row r="2495" spans="1:11">
      <c r="A2495" s="21"/>
      <c r="B2495" s="22" t="s">
        <v>2533</v>
      </c>
      <c r="C2495" s="23"/>
      <c r="D2495" s="24"/>
      <c r="E2495" s="25"/>
      <c r="F2495" s="26"/>
      <c r="G2495" s="27">
        <f>SUM(G2496:G2497)</f>
        <v>0</v>
      </c>
      <c r="H2495" s="44">
        <f>G2495*E2481</f>
        <v>0</v>
      </c>
    </row>
    <row r="2496" spans="1:11">
      <c r="A2496" s="28"/>
      <c r="B2496" s="29"/>
      <c r="C2496" s="30" t="str">
        <f>IFERROR(_xlfn.XLOOKUP(B2496,Transporte[DESCRIPCION],Transporte[UND],,0),"")</f>
        <v/>
      </c>
      <c r="D2496" s="31"/>
      <c r="E2496" s="32" t="str">
        <f>IFERROR(_xlfn.XLOOKUP($B2496,Transporte[DESCRIPCION],Transporte[VALOR],,0),"")</f>
        <v/>
      </c>
      <c r="F2496" s="33"/>
      <c r="G2496" s="34" t="str">
        <f>IFERROR(IF(F2496&gt;=0,D2496*E2496*(1+F2496/100),ABS(D2496*E2496/F2496)),"")</f>
        <v/>
      </c>
      <c r="H2496" s="43" t="str">
        <f>IFERROR(G2496*E2481,"")</f>
        <v/>
      </c>
    </row>
    <row r="2497" spans="1:11">
      <c r="A2497" s="28"/>
      <c r="B2497" s="29"/>
      <c r="C2497" s="30" t="str">
        <f>IFERROR(_xlfn.XLOOKUP(B2497,Transporte[DESCRIPCION],Transporte[UND],,0),"")</f>
        <v/>
      </c>
      <c r="D2497" s="31"/>
      <c r="E2497" s="32" t="str">
        <f>IFERROR(_xlfn.XLOOKUP($B2497,Transporte[DESCRIPCION],Transporte[VALOR],,0),"")</f>
        <v/>
      </c>
      <c r="F2497" s="33"/>
      <c r="G2497" s="34" t="str">
        <f>IFERROR(IF(F2497&gt;=0,D2497*E2497*(1+F2497/100),ABS(D2497*E2497/F2497)),"")</f>
        <v/>
      </c>
      <c r="H2497" s="43" t="str">
        <f>IFERROR(G2497*E2481,"")</f>
        <v/>
      </c>
    </row>
    <row r="2498" spans="1:11">
      <c r="A2498" s="21"/>
      <c r="B2498" s="22" t="s">
        <v>3732</v>
      </c>
      <c r="C2498" s="23"/>
      <c r="D2498" s="24"/>
      <c r="E2498" s="25"/>
      <c r="F2498" s="26"/>
      <c r="G2498" s="27">
        <f>SUM(G2499:G2501)</f>
        <v>165928.45186125004</v>
      </c>
      <c r="H2498" s="44">
        <f>G2498*E2481</f>
        <v>0</v>
      </c>
    </row>
    <row r="2499" spans="1:11">
      <c r="A2499" s="28"/>
      <c r="B2499" s="29" t="s">
        <v>3713</v>
      </c>
      <c r="C2499" s="30" t="str">
        <f>IFERROR(_xlfn.XLOOKUP(B2499,MObra[DESCRIPCION],MObra[UN],,0),"")</f>
        <v>día</v>
      </c>
      <c r="D2499" s="31">
        <v>1</v>
      </c>
      <c r="E2499" s="32">
        <f>IFERROR(_xlfn.XLOOKUP($B2499,MObra[DESCRIPCION],MObra[VALOR UNIT],,0),"")</f>
        <v>663713.80744500016</v>
      </c>
      <c r="F2499" s="33">
        <v>-4</v>
      </c>
      <c r="G2499" s="34">
        <f>IFERROR(IF(F2499&gt;=0,D2499*E2499*(1+F2499/100),ABS(D2499*E2499/F2499)),"")</f>
        <v>165928.45186125004</v>
      </c>
      <c r="H2499" s="43">
        <f>IFERROR(G2499*E2481,"")</f>
        <v>0</v>
      </c>
    </row>
    <row r="2500" spans="1:11">
      <c r="A2500" s="28"/>
      <c r="B2500" s="29"/>
      <c r="C2500" s="30" t="str">
        <f>IFERROR(_xlfn.XLOOKUP(B2500,MObra[DESCRIPCION],MObra[UN],,0),"")</f>
        <v/>
      </c>
      <c r="D2500" s="31"/>
      <c r="E2500" s="32" t="str">
        <f>IFERROR(_xlfn.XLOOKUP($B2500,MObra[DESCRIPCION],MObra[VALOR UNIT],,0),"")</f>
        <v/>
      </c>
      <c r="F2500" s="33"/>
      <c r="G2500" s="34" t="str">
        <f>IFERROR(IF(F2500&gt;=0,D2500*E2500*(1+F2500/100),ABS(D2500*E2500/F2500)),"")</f>
        <v/>
      </c>
      <c r="H2500" s="43" t="str">
        <f>IFERROR(G2500*E2481,"")</f>
        <v/>
      </c>
    </row>
    <row r="2501" spans="1:11" ht="13.15" thickBot="1">
      <c r="A2501" s="35"/>
      <c r="B2501" s="36"/>
      <c r="C2501" s="37" t="str">
        <f>IFERROR(_xlfn.XLOOKUP(B2501,MObra[DESCRIPCION],MObra[UN],,0),"")</f>
        <v/>
      </c>
      <c r="D2501" s="38"/>
      <c r="E2501" s="39" t="str">
        <f>IFERROR(_xlfn.XLOOKUP($B2501,MObra[DESCRIPCION],MObra[VALOR UNIT],,0),"")</f>
        <v/>
      </c>
      <c r="F2501" s="40"/>
      <c r="G2501" s="41" t="str">
        <f>IFERROR(IF(F2501&gt;=0,D2501*E2501*(1+F2501/100),ABS(D2501*E2501/F2501)),"")</f>
        <v/>
      </c>
      <c r="H2501" s="42" t="str">
        <f>IFERROR(G2501*E2481,"")</f>
        <v/>
      </c>
    </row>
    <row r="2502" spans="1:11" ht="13.5" thickTop="1" thickBot="1"/>
    <row r="2503" spans="1:11" ht="13.5" thickTop="1" thickBot="1">
      <c r="A2503" s="6" t="s">
        <v>1974</v>
      </c>
      <c r="B2503" s="7" t="str">
        <f>VLOOKUP($A2503,Presupuesto!$A:$D,2,FALSE())</f>
        <v>Pavimento Mr = 4.5 Mpa premezclado</v>
      </c>
      <c r="C2503" s="8" t="str">
        <f>VLOOKUP($A2503,Presupuesto!$A:$D,3,FALSE())</f>
        <v>M3</v>
      </c>
      <c r="D2503" s="9"/>
      <c r="E2503" s="10">
        <f>VLOOKUP($A2503,Presupuesto!$A:$D,4,FALSE())</f>
        <v>0</v>
      </c>
      <c r="F2503" s="11" t="s">
        <v>2589</v>
      </c>
      <c r="G2503" s="12">
        <f>SUM(G2505:G2522)/2</f>
        <v>996264.4669543124</v>
      </c>
      <c r="H2503" s="13">
        <f>ROUND(SUM(H2505:H2522),0)/2</f>
        <v>0</v>
      </c>
      <c r="I2503" s="10">
        <f>VLOOKUP(A2503,Presupuesto!$A:$F,6,0)</f>
        <v>0</v>
      </c>
      <c r="J2503" s="10">
        <f>+H2503-I2503</f>
        <v>0</v>
      </c>
      <c r="K2503" s="46">
        <f>+H2503-G2503*E2503</f>
        <v>0</v>
      </c>
    </row>
    <row r="2504" spans="1:11" ht="13.15" thickTop="1">
      <c r="A2504" s="14"/>
      <c r="B2504" s="15" t="s">
        <v>2586</v>
      </c>
      <c r="C2504" s="15" t="s">
        <v>5</v>
      </c>
      <c r="D2504" s="16" t="s">
        <v>6</v>
      </c>
      <c r="E2504" s="17" t="s">
        <v>7</v>
      </c>
      <c r="F2504" s="18" t="s">
        <v>3728</v>
      </c>
      <c r="G2504" s="19" t="s">
        <v>3729</v>
      </c>
      <c r="H2504" s="20" t="s">
        <v>3797</v>
      </c>
    </row>
    <row r="2505" spans="1:11">
      <c r="A2505" s="21"/>
      <c r="B2505" s="22" t="s">
        <v>3730</v>
      </c>
      <c r="C2505" s="23"/>
      <c r="D2505" s="24"/>
      <c r="E2505" s="25"/>
      <c r="F2505" s="26"/>
      <c r="G2505" s="27">
        <f>SUM(G2506:G2510)</f>
        <v>813017.625</v>
      </c>
      <c r="H2505" s="27">
        <f>IFERROR(G2505*E2503,"")</f>
        <v>0</v>
      </c>
    </row>
    <row r="2506" spans="1:11">
      <c r="A2506" s="28"/>
      <c r="B2506" s="29" t="s">
        <v>2881</v>
      </c>
      <c r="C2506" s="30" t="str">
        <f>IFERROR(_xlfn.XLOOKUP(B2506,Insumo[DESCRIPCION],Insumo[UND],,0),"")</f>
        <v>M3</v>
      </c>
      <c r="D2506" s="31">
        <v>1</v>
      </c>
      <c r="E2506" s="32">
        <f>IFERROR(_xlfn.XLOOKUP($B2506,Insumo[DESCRIPCION],Insumo[VALOR],,0),"")</f>
        <v>789337.5</v>
      </c>
      <c r="F2506" s="33">
        <v>3</v>
      </c>
      <c r="G2506" s="34">
        <f>IFERROR(IF(F2506&gt;=0,D2506*E2506*(1+F2506/100),ABS(D2506*E2506/F2506)),"")</f>
        <v>813017.625</v>
      </c>
      <c r="H2506" s="43">
        <f>IFERROR(G2506*E2503,"")</f>
        <v>0</v>
      </c>
    </row>
    <row r="2507" spans="1:11">
      <c r="A2507" s="28"/>
      <c r="B2507" s="29"/>
      <c r="C2507" s="30" t="str">
        <f>IFERROR(_xlfn.XLOOKUP(B2507,Insumo[DESCRIPCION],Insumo[UND],,0),"")</f>
        <v/>
      </c>
      <c r="D2507" s="31"/>
      <c r="E2507" s="32" t="str">
        <f>IFERROR(_xlfn.XLOOKUP($B2507,Insumo[DESCRIPCION],Insumo[VALOR],,0),"")</f>
        <v/>
      </c>
      <c r="F2507" s="33"/>
      <c r="G2507" s="34" t="str">
        <f>IFERROR(IF(F2507&gt;=0,D2507*E2507*(1+F2507/100),ABS(D2507*E2507/F2507)),"")</f>
        <v/>
      </c>
      <c r="H2507" s="43" t="str">
        <f>IFERROR(G2507*E2503,"")</f>
        <v/>
      </c>
    </row>
    <row r="2508" spans="1:11">
      <c r="A2508" s="28"/>
      <c r="B2508" s="29"/>
      <c r="C2508" s="30" t="str">
        <f>IFERROR(_xlfn.XLOOKUP(B2508,Insumo[DESCRIPCION],Insumo[UND],,0),"")</f>
        <v/>
      </c>
      <c r="D2508" s="31"/>
      <c r="E2508" s="32" t="str">
        <f>IFERROR(_xlfn.XLOOKUP($B2508,Insumo[DESCRIPCION],Insumo[VALOR],,0),"")</f>
        <v/>
      </c>
      <c r="F2508" s="33"/>
      <c r="G2508" s="34" t="str">
        <f>IFERROR(IF(F2508&gt;=0,D2508*E2508*(1+F2508/100),ABS(D2508*E2508/F2508)),"")</f>
        <v/>
      </c>
      <c r="H2508" s="43" t="str">
        <f>IFERROR(G2508*E2503,"")</f>
        <v/>
      </c>
    </row>
    <row r="2509" spans="1:11">
      <c r="A2509" s="28"/>
      <c r="B2509" s="29"/>
      <c r="C2509" s="30" t="str">
        <f>IFERROR(_xlfn.XLOOKUP(B2509,Insumo[DESCRIPCION],Insumo[UND],,0),"")</f>
        <v/>
      </c>
      <c r="D2509" s="31"/>
      <c r="E2509" s="32" t="str">
        <f>IFERROR(_xlfn.XLOOKUP($B2509,Insumo[DESCRIPCION],Insumo[VALOR],,0),"")</f>
        <v/>
      </c>
      <c r="F2509" s="33"/>
      <c r="G2509" s="34" t="str">
        <f>IFERROR(IF(F2509&gt;=0,D2509*E2509*(1+F2509/100),ABS(D2509*E2509/F2509)),"")</f>
        <v/>
      </c>
      <c r="H2509" s="43" t="str">
        <f>IFERROR(G2509*E2503,"")</f>
        <v/>
      </c>
    </row>
    <row r="2510" spans="1:11">
      <c r="A2510" s="28"/>
      <c r="B2510" s="29"/>
      <c r="C2510" s="30" t="str">
        <f>IFERROR(_xlfn.XLOOKUP(B2510,Insumo[DESCRIPCION],Insumo[UND],,0),"")</f>
        <v/>
      </c>
      <c r="D2510" s="31"/>
      <c r="E2510" s="32" t="str">
        <f>IFERROR(_xlfn.XLOOKUP($B2510,Insumo[DESCRIPCION],Insumo[VALOR],,0),"")</f>
        <v/>
      </c>
      <c r="F2510" s="33"/>
      <c r="G2510" s="34" t="str">
        <f>IFERROR(IF(F2510&gt;=0,D2510*E2510*(1+F2510/100),ABS(D2510*E2510/F2510)),"")</f>
        <v/>
      </c>
      <c r="H2510" s="43" t="str">
        <f>IFERROR(G2510*E2503,"")</f>
        <v/>
      </c>
    </row>
    <row r="2511" spans="1:11">
      <c r="A2511" s="21"/>
      <c r="B2511" s="22" t="s">
        <v>3731</v>
      </c>
      <c r="C2511" s="23"/>
      <c r="D2511" s="24"/>
      <c r="E2511" s="25"/>
      <c r="F2511" s="26"/>
      <c r="G2511" s="27">
        <f>SUM(G2512:G2516)</f>
        <v>17318.390093062502</v>
      </c>
      <c r="H2511" s="44">
        <f>G2511*E2503</f>
        <v>0</v>
      </c>
    </row>
    <row r="2512" spans="1:11">
      <c r="A2512" s="28"/>
      <c r="B2512" s="29" t="s">
        <v>3618</v>
      </c>
      <c r="C2512" s="30" t="str">
        <f>IFERROR(_xlfn.XLOOKUP(B2512,Equipo[DESCRIPCION],Equipo[UND],,0),"")</f>
        <v>Día</v>
      </c>
      <c r="D2512" s="31">
        <v>1</v>
      </c>
      <c r="E2512" s="32">
        <f>IF(C2512="%MO",G2520,IFERROR(_xlfn.XLOOKUP($B2512,Equipo[DESCRIPCION],Equipo[VALOR],,0),""))</f>
        <v>3150</v>
      </c>
      <c r="F2512" s="33">
        <v>-4</v>
      </c>
      <c r="G2512" s="34">
        <f>IFERROR(IF(F2512&gt;=0,D2512*E2512*(1+F2512/100),ABS(D2512*E2512/F2512)),"")</f>
        <v>787.5</v>
      </c>
      <c r="H2512" s="43">
        <f>IFERROR(G2512*E2503,"")</f>
        <v>0</v>
      </c>
    </row>
    <row r="2513" spans="1:11">
      <c r="A2513" s="28"/>
      <c r="B2513" s="29" t="s">
        <v>3645</v>
      </c>
      <c r="C2513" s="30" t="str">
        <f>IFERROR(_xlfn.XLOOKUP(B2513,Equipo[DESCRIPCION],Equipo[UND],,0),"")</f>
        <v>Día</v>
      </c>
      <c r="D2513" s="31">
        <v>1</v>
      </c>
      <c r="E2513" s="32">
        <f>IF(C2513="%MO",G2521,IFERROR(_xlfn.XLOOKUP($B2513,Equipo[DESCRIPCION],Equipo[VALOR],,0),""))</f>
        <v>101038.35</v>
      </c>
      <c r="F2513" s="33">
        <v>-20</v>
      </c>
      <c r="G2513" s="34">
        <f>IFERROR(IF(F2513&gt;=0,D2513*E2513*(1+F2513/100),ABS(D2513*E2513/F2513)),"")</f>
        <v>5051.9175000000005</v>
      </c>
      <c r="H2513" s="43">
        <f>IFERROR(G2513*E2503,"")</f>
        <v>0</v>
      </c>
    </row>
    <row r="2514" spans="1:11">
      <c r="A2514" s="28"/>
      <c r="B2514" s="29" t="s">
        <v>3643</v>
      </c>
      <c r="C2514" s="30" t="str">
        <f>IFERROR(_xlfn.XLOOKUP(B2514,Equipo[DESCRIPCION],Equipo[UND],,0),"")</f>
        <v>Día</v>
      </c>
      <c r="D2514" s="31">
        <v>1</v>
      </c>
      <c r="E2514" s="32">
        <f>IF(C2514="%MO",G2522,IFERROR(_xlfn.XLOOKUP($B2514,Equipo[DESCRIPCION],Equipo[VALOR],,0),""))</f>
        <v>31825.5</v>
      </c>
      <c r="F2514" s="33">
        <v>-20</v>
      </c>
      <c r="G2514" s="34">
        <f>IFERROR(IF(F2514&gt;=0,D2514*E2514*(1+F2514/100),ABS(D2514*E2514/F2514)),"")</f>
        <v>1591.2750000000001</v>
      </c>
      <c r="H2514" s="43">
        <f>IFERROR(G2514*E2503,"")</f>
        <v>0</v>
      </c>
    </row>
    <row r="2515" spans="1:11">
      <c r="A2515" s="28"/>
      <c r="B2515" s="29" t="s">
        <v>3639</v>
      </c>
      <c r="C2515" s="30" t="str">
        <f>IFERROR(_xlfn.XLOOKUP(B2515,Equipo[DESCRIPCION],Equipo[UND],,0),"")</f>
        <v>Día</v>
      </c>
      <c r="D2515" s="31">
        <v>1</v>
      </c>
      <c r="E2515" s="32">
        <f>IF(C2515="%MO",G2523,IFERROR(_xlfn.XLOOKUP($B2515,Equipo[DESCRIPCION],Equipo[VALOR],,0),""))</f>
        <v>31825.5</v>
      </c>
      <c r="F2515" s="33">
        <v>-20</v>
      </c>
      <c r="G2515" s="34">
        <f>IFERROR(IF(F2515&gt;=0,D2515*E2515*(1+F2515/100),ABS(D2515*E2515/F2515)),"")</f>
        <v>1591.2750000000001</v>
      </c>
      <c r="H2515" s="43">
        <f>IFERROR(G2515*E2503,"")</f>
        <v>0</v>
      </c>
    </row>
    <row r="2516" spans="1:11">
      <c r="A2516" s="28"/>
      <c r="B2516" s="29" t="s">
        <v>3626</v>
      </c>
      <c r="C2516" s="30" t="str">
        <f>IFERROR(_xlfn.XLOOKUP(B2516,Equipo[DESCRIPCION],Equipo[UND],,0),"")</f>
        <v>%MO</v>
      </c>
      <c r="D2516" s="31">
        <v>0.05</v>
      </c>
      <c r="E2516" s="32">
        <f>IF(C2516="%MO",G2520,IFERROR(_xlfn.XLOOKUP($B2516,Equipo[DESCRIPCION],Equipo[VALOR],,0),""))</f>
        <v>165928.45186125004</v>
      </c>
      <c r="F2516" s="33"/>
      <c r="G2516" s="34">
        <f>IFERROR(IF(F2516&gt;=0,D2516*E2516*(1+F2516/100),ABS(D2516*E2516/F2516)),"")</f>
        <v>8296.4225930625016</v>
      </c>
      <c r="H2516" s="43">
        <f>IFERROR(G2516*E2503,"")</f>
        <v>0</v>
      </c>
    </row>
    <row r="2517" spans="1:11">
      <c r="A2517" s="21"/>
      <c r="B2517" s="22" t="s">
        <v>2533</v>
      </c>
      <c r="C2517" s="23"/>
      <c r="D2517" s="24"/>
      <c r="E2517" s="25"/>
      <c r="F2517" s="26"/>
      <c r="G2517" s="27">
        <f>SUM(G2518:G2519)</f>
        <v>0</v>
      </c>
      <c r="H2517" s="44">
        <f>G2517*E2503</f>
        <v>0</v>
      </c>
    </row>
    <row r="2518" spans="1:11">
      <c r="A2518" s="28"/>
      <c r="B2518" s="29"/>
      <c r="C2518" s="30" t="str">
        <f>IFERROR(_xlfn.XLOOKUP(B2518,Transporte[DESCRIPCION],Transporte[UND],,0),"")</f>
        <v/>
      </c>
      <c r="D2518" s="31"/>
      <c r="E2518" s="32" t="str">
        <f>IFERROR(_xlfn.XLOOKUP($B2518,Transporte[DESCRIPCION],Transporte[VALOR],,0),"")</f>
        <v/>
      </c>
      <c r="F2518" s="33"/>
      <c r="G2518" s="34" t="str">
        <f>IFERROR(IF(F2518&gt;=0,D2518*E2518*(1+F2518/100),ABS(D2518*E2518/F2518)),"")</f>
        <v/>
      </c>
      <c r="H2518" s="43" t="str">
        <f>IFERROR(G2518*E2503,"")</f>
        <v/>
      </c>
    </row>
    <row r="2519" spans="1:11">
      <c r="A2519" s="28"/>
      <c r="B2519" s="29"/>
      <c r="C2519" s="30" t="str">
        <f>IFERROR(_xlfn.XLOOKUP(B2519,Transporte[DESCRIPCION],Transporte[UND],,0),"")</f>
        <v/>
      </c>
      <c r="D2519" s="31"/>
      <c r="E2519" s="32" t="str">
        <f>IFERROR(_xlfn.XLOOKUP($B2519,Transporte[DESCRIPCION],Transporte[VALOR],,0),"")</f>
        <v/>
      </c>
      <c r="F2519" s="33"/>
      <c r="G2519" s="34" t="str">
        <f>IFERROR(IF(F2519&gt;=0,D2519*E2519*(1+F2519/100),ABS(D2519*E2519/F2519)),"")</f>
        <v/>
      </c>
      <c r="H2519" s="43" t="str">
        <f>IFERROR(G2519*E2503,"")</f>
        <v/>
      </c>
    </row>
    <row r="2520" spans="1:11">
      <c r="A2520" s="21"/>
      <c r="B2520" s="22" t="s">
        <v>3732</v>
      </c>
      <c r="C2520" s="23"/>
      <c r="D2520" s="24"/>
      <c r="E2520" s="25"/>
      <c r="F2520" s="26"/>
      <c r="G2520" s="27">
        <f>SUM(G2521:G2523)</f>
        <v>165928.45186125004</v>
      </c>
      <c r="H2520" s="44">
        <f>G2520*E2503</f>
        <v>0</v>
      </c>
    </row>
    <row r="2521" spans="1:11">
      <c r="A2521" s="28"/>
      <c r="B2521" s="29" t="s">
        <v>3713</v>
      </c>
      <c r="C2521" s="30" t="str">
        <f>IFERROR(_xlfn.XLOOKUP(B2521,MObra[DESCRIPCION],MObra[UN],,0),"")</f>
        <v>día</v>
      </c>
      <c r="D2521" s="31">
        <v>1</v>
      </c>
      <c r="E2521" s="32">
        <f>IFERROR(_xlfn.XLOOKUP($B2521,MObra[DESCRIPCION],MObra[VALOR UNIT],,0),"")</f>
        <v>663713.80744500016</v>
      </c>
      <c r="F2521" s="33">
        <v>-4</v>
      </c>
      <c r="G2521" s="34">
        <f>IFERROR(IF(F2521&gt;=0,D2521*E2521*(1+F2521/100),ABS(D2521*E2521/F2521)),"")</f>
        <v>165928.45186125004</v>
      </c>
      <c r="H2521" s="43">
        <f>IFERROR(G2521*E2503,"")</f>
        <v>0</v>
      </c>
    </row>
    <row r="2522" spans="1:11">
      <c r="A2522" s="28"/>
      <c r="B2522" s="29"/>
      <c r="C2522" s="30" t="str">
        <f>IFERROR(_xlfn.XLOOKUP(B2522,MObra[DESCRIPCION],MObra[UN],,0),"")</f>
        <v/>
      </c>
      <c r="D2522" s="31"/>
      <c r="E2522" s="32" t="str">
        <f>IFERROR(_xlfn.XLOOKUP($B2522,MObra[DESCRIPCION],MObra[VALOR UNIT],,0),"")</f>
        <v/>
      </c>
      <c r="F2522" s="33"/>
      <c r="G2522" s="34" t="str">
        <f>IFERROR(IF(F2522&gt;=0,D2522*E2522*(1+F2522/100),ABS(D2522*E2522/F2522)),"")</f>
        <v/>
      </c>
      <c r="H2522" s="43" t="str">
        <f>IFERROR(G2522*E2503,"")</f>
        <v/>
      </c>
    </row>
    <row r="2523" spans="1:11" ht="13.15" thickBot="1">
      <c r="A2523" s="35"/>
      <c r="B2523" s="36"/>
      <c r="C2523" s="37" t="str">
        <f>IFERROR(_xlfn.XLOOKUP(B2523,MObra[DESCRIPCION],MObra[UN],,0),"")</f>
        <v/>
      </c>
      <c r="D2523" s="38"/>
      <c r="E2523" s="39" t="str">
        <f>IFERROR(_xlfn.XLOOKUP($B2523,MObra[DESCRIPCION],MObra[VALOR UNIT],,0),"")</f>
        <v/>
      </c>
      <c r="F2523" s="40"/>
      <c r="G2523" s="41" t="str">
        <f>IFERROR(IF(F2523&gt;=0,D2523*E2523*(1+F2523/100),ABS(D2523*E2523/F2523)),"")</f>
        <v/>
      </c>
      <c r="H2523" s="42" t="str">
        <f>IFERROR(G2523*E2503,"")</f>
        <v/>
      </c>
    </row>
    <row r="2524" spans="1:11" ht="13.5" thickTop="1" thickBot="1"/>
    <row r="2525" spans="1:11" ht="13.5" thickTop="1" thickBot="1">
      <c r="A2525" s="6" t="s">
        <v>1976</v>
      </c>
      <c r="B2525" s="7" t="str">
        <f>VLOOKUP($A2525,Presupuesto!$A:$D,2,FALSE())</f>
        <v>Pavimento Mr = 4.5 Mpa premezclado (acelerado 3 días)</v>
      </c>
      <c r="C2525" s="8" t="str">
        <f>VLOOKUP($A2525,Presupuesto!$A:$D,3,FALSE())</f>
        <v>M3</v>
      </c>
      <c r="D2525" s="9"/>
      <c r="E2525" s="10">
        <f>VLOOKUP($A2525,Presupuesto!$A:$D,4,FALSE())</f>
        <v>0</v>
      </c>
      <c r="F2525" s="11" t="s">
        <v>2589</v>
      </c>
      <c r="G2525" s="12">
        <f>SUM(G2527:G2545)/2</f>
        <v>988558.7794543124</v>
      </c>
      <c r="H2525" s="13">
        <f>ROUND(SUM(H2527:H2545),0)/2</f>
        <v>0</v>
      </c>
      <c r="I2525" s="10">
        <f>VLOOKUP(A2525,Presupuesto!$A:$F,6,0)</f>
        <v>0</v>
      </c>
      <c r="J2525" s="10">
        <f>+H2525-I2525</f>
        <v>0</v>
      </c>
      <c r="K2525" s="46">
        <f>+H2525-G2525*E2525</f>
        <v>0</v>
      </c>
    </row>
    <row r="2526" spans="1:11" ht="13.15" thickTop="1">
      <c r="A2526" s="14"/>
      <c r="B2526" s="15" t="s">
        <v>2586</v>
      </c>
      <c r="C2526" s="15" t="s">
        <v>5</v>
      </c>
      <c r="D2526" s="16" t="s">
        <v>6</v>
      </c>
      <c r="E2526" s="17" t="s">
        <v>7</v>
      </c>
      <c r="F2526" s="18" t="s">
        <v>3728</v>
      </c>
      <c r="G2526" s="19" t="s">
        <v>3729</v>
      </c>
      <c r="H2526" s="20" t="s">
        <v>3797</v>
      </c>
    </row>
    <row r="2527" spans="1:11">
      <c r="A2527" s="21"/>
      <c r="B2527" s="22" t="s">
        <v>3730</v>
      </c>
      <c r="C2527" s="23"/>
      <c r="D2527" s="24"/>
      <c r="E2527" s="25"/>
      <c r="F2527" s="26"/>
      <c r="G2527" s="27">
        <f>SUM(G2528:G2532)</f>
        <v>805311.9375</v>
      </c>
      <c r="H2527" s="27">
        <f>IFERROR(G2527*E2525,"")</f>
        <v>0</v>
      </c>
    </row>
    <row r="2528" spans="1:11">
      <c r="A2528" s="28"/>
      <c r="B2528" s="29" t="s">
        <v>2882</v>
      </c>
      <c r="C2528" s="30" t="str">
        <f>IFERROR(_xlfn.XLOOKUP(B2528,Insumo[DESCRIPCION],Insumo[UND],,0),"")</f>
        <v>M3</v>
      </c>
      <c r="D2528" s="31">
        <v>1</v>
      </c>
      <c r="E2528" s="32">
        <f>IFERROR(_xlfn.XLOOKUP($B2528,Insumo[DESCRIPCION],Insumo[VALOR],,0),"")</f>
        <v>781856.25</v>
      </c>
      <c r="F2528" s="33">
        <v>3</v>
      </c>
      <c r="G2528" s="34">
        <f>IFERROR(IF(F2528&gt;=0,D2528*E2528*(1+F2528/100),ABS(D2528*E2528/F2528)),"")</f>
        <v>805311.9375</v>
      </c>
      <c r="H2528" s="43">
        <f>IFERROR(G2528*E2525,"")</f>
        <v>0</v>
      </c>
    </row>
    <row r="2529" spans="1:8">
      <c r="A2529" s="28"/>
      <c r="B2529" s="29"/>
      <c r="C2529" s="30" t="str">
        <f>IFERROR(_xlfn.XLOOKUP(B2529,Insumo[DESCRIPCION],Insumo[UND],,0),"")</f>
        <v/>
      </c>
      <c r="D2529" s="31"/>
      <c r="E2529" s="32" t="str">
        <f>IFERROR(_xlfn.XLOOKUP($B2529,Insumo[DESCRIPCION],Insumo[VALOR],,0),"")</f>
        <v/>
      </c>
      <c r="F2529" s="33"/>
      <c r="G2529" s="34" t="str">
        <f>IFERROR(IF(F2529&gt;=0,D2529*E2529*(1+F2529/100),ABS(D2529*E2529/F2529)),"")</f>
        <v/>
      </c>
      <c r="H2529" s="43" t="str">
        <f>IFERROR(G2529*E2525,"")</f>
        <v/>
      </c>
    </row>
    <row r="2530" spans="1:8">
      <c r="A2530" s="28"/>
      <c r="B2530" s="29"/>
      <c r="C2530" s="30" t="str">
        <f>IFERROR(_xlfn.XLOOKUP(B2530,Insumo[DESCRIPCION],Insumo[UND],,0),"")</f>
        <v/>
      </c>
      <c r="D2530" s="31"/>
      <c r="E2530" s="32" t="str">
        <f>IFERROR(_xlfn.XLOOKUP($B2530,Insumo[DESCRIPCION],Insumo[VALOR],,0),"")</f>
        <v/>
      </c>
      <c r="F2530" s="33"/>
      <c r="G2530" s="34" t="str">
        <f>IFERROR(IF(F2530&gt;=0,D2530*E2530*(1+F2530/100),ABS(D2530*E2530/F2530)),"")</f>
        <v/>
      </c>
      <c r="H2530" s="43" t="str">
        <f>IFERROR(G2530*E2525,"")</f>
        <v/>
      </c>
    </row>
    <row r="2531" spans="1:8">
      <c r="A2531" s="28"/>
      <c r="B2531" s="29"/>
      <c r="C2531" s="30" t="str">
        <f>IFERROR(_xlfn.XLOOKUP(B2531,Insumo[DESCRIPCION],Insumo[UND],,0),"")</f>
        <v/>
      </c>
      <c r="D2531" s="31"/>
      <c r="E2531" s="32" t="str">
        <f>IFERROR(_xlfn.XLOOKUP($B2531,Insumo[DESCRIPCION],Insumo[VALOR],,0),"")</f>
        <v/>
      </c>
      <c r="F2531" s="33"/>
      <c r="G2531" s="34" t="str">
        <f>IFERROR(IF(F2531&gt;=0,D2531*E2531*(1+F2531/100),ABS(D2531*E2531/F2531)),"")</f>
        <v/>
      </c>
      <c r="H2531" s="43" t="str">
        <f>IFERROR(G2531*E2525,"")</f>
        <v/>
      </c>
    </row>
    <row r="2532" spans="1:8">
      <c r="A2532" s="28"/>
      <c r="B2532" s="29"/>
      <c r="C2532" s="30" t="str">
        <f>IFERROR(_xlfn.XLOOKUP(B2532,Insumo[DESCRIPCION],Insumo[UND],,0),"")</f>
        <v/>
      </c>
      <c r="D2532" s="31"/>
      <c r="E2532" s="32" t="str">
        <f>IFERROR(_xlfn.XLOOKUP($B2532,Insumo[DESCRIPCION],Insumo[VALOR],,0),"")</f>
        <v/>
      </c>
      <c r="F2532" s="33"/>
      <c r="G2532" s="34" t="str">
        <f>IFERROR(IF(F2532&gt;=0,D2532*E2532*(1+F2532/100),ABS(D2532*E2532/F2532)),"")</f>
        <v/>
      </c>
      <c r="H2532" s="43" t="str">
        <f>IFERROR(G2532*E2525,"")</f>
        <v/>
      </c>
    </row>
    <row r="2533" spans="1:8">
      <c r="A2533" s="21"/>
      <c r="B2533" s="22" t="s">
        <v>3731</v>
      </c>
      <c r="C2533" s="23"/>
      <c r="D2533" s="24"/>
      <c r="E2533" s="25"/>
      <c r="F2533" s="26"/>
      <c r="G2533" s="27">
        <f>SUM(G2534:G2538)</f>
        <v>17318.390093062502</v>
      </c>
      <c r="H2533" s="44">
        <f>G2533*E2525</f>
        <v>0</v>
      </c>
    </row>
    <row r="2534" spans="1:8">
      <c r="A2534" s="28"/>
      <c r="B2534" s="29" t="s">
        <v>3618</v>
      </c>
      <c r="C2534" s="30" t="str">
        <f>IFERROR(_xlfn.XLOOKUP(B2534,Equipo[DESCRIPCION],Equipo[UND],,0),"")</f>
        <v>Día</v>
      </c>
      <c r="D2534" s="31">
        <v>1</v>
      </c>
      <c r="E2534" s="32">
        <f>IF(C2534="%MO",G2542,IFERROR(_xlfn.XLOOKUP($B2534,Equipo[DESCRIPCION],Equipo[VALOR],,0),""))</f>
        <v>3150</v>
      </c>
      <c r="F2534" s="33">
        <v>-4</v>
      </c>
      <c r="G2534" s="34">
        <f>IFERROR(IF(F2534&gt;=0,D2534*E2534*(1+F2534/100),ABS(D2534*E2534/F2534)),"")</f>
        <v>787.5</v>
      </c>
      <c r="H2534" s="43">
        <f>IFERROR(G2534*E2525,"")</f>
        <v>0</v>
      </c>
    </row>
    <row r="2535" spans="1:8">
      <c r="A2535" s="28"/>
      <c r="B2535" s="29" t="s">
        <v>3645</v>
      </c>
      <c r="C2535" s="30" t="str">
        <f>IFERROR(_xlfn.XLOOKUP(B2535,Equipo[DESCRIPCION],Equipo[UND],,0),"")</f>
        <v>Día</v>
      </c>
      <c r="D2535" s="31">
        <v>1</v>
      </c>
      <c r="E2535" s="32">
        <f>IF(C2535="%MO",G2543,IFERROR(_xlfn.XLOOKUP($B2535,Equipo[DESCRIPCION],Equipo[VALOR],,0),""))</f>
        <v>101038.35</v>
      </c>
      <c r="F2535" s="33">
        <v>-20</v>
      </c>
      <c r="G2535" s="34">
        <f>IFERROR(IF(F2535&gt;=0,D2535*E2535*(1+F2535/100),ABS(D2535*E2535/F2535)),"")</f>
        <v>5051.9175000000005</v>
      </c>
      <c r="H2535" s="43">
        <f>IFERROR(G2535*E2525,"")</f>
        <v>0</v>
      </c>
    </row>
    <row r="2536" spans="1:8">
      <c r="A2536" s="28"/>
      <c r="B2536" s="29" t="s">
        <v>3643</v>
      </c>
      <c r="C2536" s="30" t="str">
        <f>IFERROR(_xlfn.XLOOKUP(B2536,Equipo[DESCRIPCION],Equipo[UND],,0),"")</f>
        <v>Día</v>
      </c>
      <c r="D2536" s="31">
        <v>1</v>
      </c>
      <c r="E2536" s="32">
        <f>IF(C2536="%MO",G2544,IFERROR(_xlfn.XLOOKUP($B2536,Equipo[DESCRIPCION],Equipo[VALOR],,0),""))</f>
        <v>31825.5</v>
      </c>
      <c r="F2536" s="33">
        <v>-20</v>
      </c>
      <c r="G2536" s="34">
        <f>IFERROR(IF(F2536&gt;=0,D2536*E2536*(1+F2536/100),ABS(D2536*E2536/F2536)),"")</f>
        <v>1591.2750000000001</v>
      </c>
      <c r="H2536" s="43">
        <f>IFERROR(G2536*E2525,"")</f>
        <v>0</v>
      </c>
    </row>
    <row r="2537" spans="1:8">
      <c r="A2537" s="28"/>
      <c r="B2537" s="29" t="s">
        <v>3639</v>
      </c>
      <c r="C2537" s="30" t="str">
        <f>IFERROR(_xlfn.XLOOKUP(B2537,Equipo[DESCRIPCION],Equipo[UND],,0),"")</f>
        <v>Día</v>
      </c>
      <c r="D2537" s="31">
        <v>1</v>
      </c>
      <c r="E2537" s="32">
        <f>IF(C2537="%MO",G2545,IFERROR(_xlfn.XLOOKUP($B2537,Equipo[DESCRIPCION],Equipo[VALOR],,0),""))</f>
        <v>31825.5</v>
      </c>
      <c r="F2537" s="33">
        <v>-20</v>
      </c>
      <c r="G2537" s="34">
        <f>IFERROR(IF(F2537&gt;=0,D2537*E2537*(1+F2537/100),ABS(D2537*E2537/F2537)),"")</f>
        <v>1591.2750000000001</v>
      </c>
      <c r="H2537" s="43">
        <f>IFERROR(G2537*E2525,"")</f>
        <v>0</v>
      </c>
    </row>
    <row r="2538" spans="1:8">
      <c r="A2538" s="28"/>
      <c r="B2538" s="29" t="s">
        <v>3626</v>
      </c>
      <c r="C2538" s="30" t="str">
        <f>IFERROR(_xlfn.XLOOKUP(B2538,Equipo[DESCRIPCION],Equipo[UND],,0),"")</f>
        <v>%MO</v>
      </c>
      <c r="D2538" s="31">
        <v>0.05</v>
      </c>
      <c r="E2538" s="32">
        <f>IF(C2538="%MO",G2542,IFERROR(_xlfn.XLOOKUP($B2538,Equipo[DESCRIPCION],Equipo[VALOR],,0),""))</f>
        <v>165928.45186125004</v>
      </c>
      <c r="F2538" s="33"/>
      <c r="G2538" s="34">
        <f>IFERROR(IF(F2538&gt;=0,D2538*E2538*(1+F2538/100),ABS(D2538*E2538/F2538)),"")</f>
        <v>8296.4225930625016</v>
      </c>
      <c r="H2538" s="43">
        <f>IFERROR(G2538*E2525,"")</f>
        <v>0</v>
      </c>
    </row>
    <row r="2539" spans="1:8">
      <c r="A2539" s="21"/>
      <c r="B2539" s="22" t="s">
        <v>2533</v>
      </c>
      <c r="C2539" s="23"/>
      <c r="D2539" s="24"/>
      <c r="E2539" s="25"/>
      <c r="F2539" s="26"/>
      <c r="G2539" s="27">
        <f>SUM(G2540:G2541)</f>
        <v>0</v>
      </c>
      <c r="H2539" s="44">
        <f>G2539*E2525</f>
        <v>0</v>
      </c>
    </row>
    <row r="2540" spans="1:8">
      <c r="A2540" s="28"/>
      <c r="B2540" s="29"/>
      <c r="C2540" s="30" t="str">
        <f>IFERROR(_xlfn.XLOOKUP(B2540,Transporte[DESCRIPCION],Transporte[UND],,0),"")</f>
        <v/>
      </c>
      <c r="D2540" s="31"/>
      <c r="E2540" s="32" t="str">
        <f>IFERROR(_xlfn.XLOOKUP($B2540,Transporte[DESCRIPCION],Transporte[VALOR],,0),"")</f>
        <v/>
      </c>
      <c r="F2540" s="33"/>
      <c r="G2540" s="34" t="str">
        <f>IFERROR(IF(F2540&gt;=0,D2540*E2540*(1+F2540/100),ABS(D2540*E2540/F2540)),"")</f>
        <v/>
      </c>
      <c r="H2540" s="43" t="str">
        <f>IFERROR(G2540*E2525,"")</f>
        <v/>
      </c>
    </row>
    <row r="2541" spans="1:8">
      <c r="A2541" s="28"/>
      <c r="B2541" s="29"/>
      <c r="C2541" s="30" t="str">
        <f>IFERROR(_xlfn.XLOOKUP(B2541,Transporte[DESCRIPCION],Transporte[UND],,0),"")</f>
        <v/>
      </c>
      <c r="D2541" s="31"/>
      <c r="E2541" s="32" t="str">
        <f>IFERROR(_xlfn.XLOOKUP($B2541,Transporte[DESCRIPCION],Transporte[VALOR],,0),"")</f>
        <v/>
      </c>
      <c r="F2541" s="33"/>
      <c r="G2541" s="34" t="str">
        <f>IFERROR(IF(F2541&gt;=0,D2541*E2541*(1+F2541/100),ABS(D2541*E2541/F2541)),"")</f>
        <v/>
      </c>
      <c r="H2541" s="43" t="str">
        <f>IFERROR(G2541*E2525,"")</f>
        <v/>
      </c>
    </row>
    <row r="2542" spans="1:8">
      <c r="A2542" s="21"/>
      <c r="B2542" s="22" t="s">
        <v>3732</v>
      </c>
      <c r="C2542" s="23"/>
      <c r="D2542" s="24"/>
      <c r="E2542" s="25"/>
      <c r="F2542" s="26"/>
      <c r="G2542" s="27">
        <f>SUM(G2543:G2545)</f>
        <v>165928.45186125004</v>
      </c>
      <c r="H2542" s="44">
        <f>G2542*E2525</f>
        <v>0</v>
      </c>
    </row>
    <row r="2543" spans="1:8">
      <c r="A2543" s="28"/>
      <c r="B2543" s="29" t="s">
        <v>3713</v>
      </c>
      <c r="C2543" s="30" t="str">
        <f>IFERROR(_xlfn.XLOOKUP(B2543,MObra[DESCRIPCION],MObra[UN],,0),"")</f>
        <v>día</v>
      </c>
      <c r="D2543" s="31">
        <v>1</v>
      </c>
      <c r="E2543" s="32">
        <f>IFERROR(_xlfn.XLOOKUP($B2543,MObra[DESCRIPCION],MObra[VALOR UNIT],,0),"")</f>
        <v>663713.80744500016</v>
      </c>
      <c r="F2543" s="33">
        <v>-4</v>
      </c>
      <c r="G2543" s="34">
        <f>IFERROR(IF(F2543&gt;=0,D2543*E2543*(1+F2543/100),ABS(D2543*E2543/F2543)),"")</f>
        <v>165928.45186125004</v>
      </c>
      <c r="H2543" s="43">
        <f>IFERROR(G2543*E2525,"")</f>
        <v>0</v>
      </c>
    </row>
    <row r="2544" spans="1:8">
      <c r="A2544" s="28"/>
      <c r="B2544" s="29"/>
      <c r="C2544" s="30" t="str">
        <f>IFERROR(_xlfn.XLOOKUP(B2544,MObra[DESCRIPCION],MObra[UN],,0),"")</f>
        <v/>
      </c>
      <c r="D2544" s="31"/>
      <c r="E2544" s="32" t="str">
        <f>IFERROR(_xlfn.XLOOKUP($B2544,MObra[DESCRIPCION],MObra[VALOR UNIT],,0),"")</f>
        <v/>
      </c>
      <c r="F2544" s="33"/>
      <c r="G2544" s="34" t="str">
        <f>IFERROR(IF(F2544&gt;=0,D2544*E2544*(1+F2544/100),ABS(D2544*E2544/F2544)),"")</f>
        <v/>
      </c>
      <c r="H2544" s="43" t="str">
        <f>IFERROR(G2544*E2525,"")</f>
        <v/>
      </c>
    </row>
    <row r="2545" spans="1:11" ht="13.15" thickBot="1">
      <c r="A2545" s="35"/>
      <c r="B2545" s="36"/>
      <c r="C2545" s="37" t="str">
        <f>IFERROR(_xlfn.XLOOKUP(B2545,MObra[DESCRIPCION],MObra[UN],,0),"")</f>
        <v/>
      </c>
      <c r="D2545" s="38"/>
      <c r="E2545" s="39" t="str">
        <f>IFERROR(_xlfn.XLOOKUP($B2545,MObra[DESCRIPCION],MObra[VALOR UNIT],,0),"")</f>
        <v/>
      </c>
      <c r="F2545" s="40"/>
      <c r="G2545" s="41" t="str">
        <f>IFERROR(IF(F2545&gt;=0,D2545*E2545*(1+F2545/100),ABS(D2545*E2545/F2545)),"")</f>
        <v/>
      </c>
      <c r="H2545" s="42" t="str">
        <f>IFERROR(G2545*E2525,"")</f>
        <v/>
      </c>
    </row>
    <row r="2546" spans="1:11" ht="13.5" thickTop="1" thickBot="1"/>
    <row r="2547" spans="1:11" ht="13.5" thickTop="1" thickBot="1">
      <c r="A2547" s="6" t="s">
        <v>1978</v>
      </c>
      <c r="B2547" s="7" t="str">
        <f>VLOOKUP($A2547,Presupuesto!$A:$D,2,FALSE())</f>
        <v>Pavimento Mr = 4.5 Mpa premezclado (acelerado 7 días)</v>
      </c>
      <c r="C2547" s="8" t="str">
        <f>VLOOKUP($A2547,Presupuesto!$A:$D,3,FALSE())</f>
        <v>M3</v>
      </c>
      <c r="D2547" s="9"/>
      <c r="E2547" s="10">
        <f>VLOOKUP($A2547,Presupuesto!$A:$D,4,FALSE())</f>
        <v>0</v>
      </c>
      <c r="F2547" s="11" t="s">
        <v>2589</v>
      </c>
      <c r="G2547" s="12">
        <f>SUM(G2549:G2567)/2</f>
        <v>1011302.7244543125</v>
      </c>
      <c r="H2547" s="13">
        <f>ROUND(SUM(H2549:H2567),0)/2</f>
        <v>0</v>
      </c>
      <c r="I2547" s="10">
        <f>VLOOKUP(A2547,Presupuesto!$A:$F,6,0)</f>
        <v>0</v>
      </c>
      <c r="J2547" s="10">
        <f>+H2547-I2547</f>
        <v>0</v>
      </c>
      <c r="K2547" s="46">
        <f>+H2547-G2547*E2547</f>
        <v>0</v>
      </c>
    </row>
    <row r="2548" spans="1:11" ht="13.15" thickTop="1">
      <c r="A2548" s="14"/>
      <c r="B2548" s="15" t="s">
        <v>2586</v>
      </c>
      <c r="C2548" s="15" t="s">
        <v>5</v>
      </c>
      <c r="D2548" s="16" t="s">
        <v>6</v>
      </c>
      <c r="E2548" s="17" t="s">
        <v>7</v>
      </c>
      <c r="F2548" s="18" t="s">
        <v>3728</v>
      </c>
      <c r="G2548" s="19" t="s">
        <v>3729</v>
      </c>
      <c r="H2548" s="20" t="s">
        <v>3797</v>
      </c>
    </row>
    <row r="2549" spans="1:11">
      <c r="A2549" s="21"/>
      <c r="B2549" s="22" t="s">
        <v>3730</v>
      </c>
      <c r="C2549" s="23"/>
      <c r="D2549" s="24"/>
      <c r="E2549" s="25"/>
      <c r="F2549" s="26"/>
      <c r="G2549" s="27">
        <f>SUM(G2550:G2554)</f>
        <v>828055.88250000007</v>
      </c>
      <c r="H2549" s="27">
        <f>IFERROR(G2549*E2547,"")</f>
        <v>0</v>
      </c>
    </row>
    <row r="2550" spans="1:11">
      <c r="A2550" s="28"/>
      <c r="B2550" s="29" t="s">
        <v>2883</v>
      </c>
      <c r="C2550" s="30" t="str">
        <f>IFERROR(_xlfn.XLOOKUP(B2550,Insumo[DESCRIPCION],Insumo[UND],,0),"")</f>
        <v>M3</v>
      </c>
      <c r="D2550" s="31">
        <v>1</v>
      </c>
      <c r="E2550" s="32">
        <f>IFERROR(_xlfn.XLOOKUP($B2550,Insumo[DESCRIPCION],Insumo[VALOR],,0),"")</f>
        <v>803937.75</v>
      </c>
      <c r="F2550" s="33">
        <v>3</v>
      </c>
      <c r="G2550" s="34">
        <f>IFERROR(IF(F2550&gt;=0,D2550*E2550*(1+F2550/100),ABS(D2550*E2550/F2550)),"")</f>
        <v>828055.88250000007</v>
      </c>
      <c r="H2550" s="43">
        <f>IFERROR(G2550*E2547,"")</f>
        <v>0</v>
      </c>
    </row>
    <row r="2551" spans="1:11">
      <c r="A2551" s="28"/>
      <c r="B2551" s="29"/>
      <c r="C2551" s="30" t="str">
        <f>IFERROR(_xlfn.XLOOKUP(B2551,Insumo[DESCRIPCION],Insumo[UND],,0),"")</f>
        <v/>
      </c>
      <c r="D2551" s="31"/>
      <c r="E2551" s="32" t="str">
        <f>IFERROR(_xlfn.XLOOKUP($B2551,Insumo[DESCRIPCION],Insumo[VALOR],,0),"")</f>
        <v/>
      </c>
      <c r="F2551" s="33"/>
      <c r="G2551" s="34" t="str">
        <f>IFERROR(IF(F2551&gt;=0,D2551*E2551*(1+F2551/100),ABS(D2551*E2551/F2551)),"")</f>
        <v/>
      </c>
      <c r="H2551" s="43" t="str">
        <f>IFERROR(G2551*E2547,"")</f>
        <v/>
      </c>
    </row>
    <row r="2552" spans="1:11">
      <c r="A2552" s="28"/>
      <c r="B2552" s="29"/>
      <c r="C2552" s="30" t="str">
        <f>IFERROR(_xlfn.XLOOKUP(B2552,Insumo[DESCRIPCION],Insumo[UND],,0),"")</f>
        <v/>
      </c>
      <c r="D2552" s="31"/>
      <c r="E2552" s="32" t="str">
        <f>IFERROR(_xlfn.XLOOKUP($B2552,Insumo[DESCRIPCION],Insumo[VALOR],,0),"")</f>
        <v/>
      </c>
      <c r="F2552" s="33"/>
      <c r="G2552" s="34" t="str">
        <f>IFERROR(IF(F2552&gt;=0,D2552*E2552*(1+F2552/100),ABS(D2552*E2552/F2552)),"")</f>
        <v/>
      </c>
      <c r="H2552" s="43" t="str">
        <f>IFERROR(G2552*E2547,"")</f>
        <v/>
      </c>
    </row>
    <row r="2553" spans="1:11">
      <c r="A2553" s="28"/>
      <c r="B2553" s="29"/>
      <c r="C2553" s="30" t="str">
        <f>IFERROR(_xlfn.XLOOKUP(B2553,Insumo[DESCRIPCION],Insumo[UND],,0),"")</f>
        <v/>
      </c>
      <c r="D2553" s="31"/>
      <c r="E2553" s="32" t="str">
        <f>IFERROR(_xlfn.XLOOKUP($B2553,Insumo[DESCRIPCION],Insumo[VALOR],,0),"")</f>
        <v/>
      </c>
      <c r="F2553" s="33"/>
      <c r="G2553" s="34" t="str">
        <f>IFERROR(IF(F2553&gt;=0,D2553*E2553*(1+F2553/100),ABS(D2553*E2553/F2553)),"")</f>
        <v/>
      </c>
      <c r="H2553" s="43" t="str">
        <f>IFERROR(G2553*E2547,"")</f>
        <v/>
      </c>
    </row>
    <row r="2554" spans="1:11">
      <c r="A2554" s="28"/>
      <c r="B2554" s="29"/>
      <c r="C2554" s="30" t="str">
        <f>IFERROR(_xlfn.XLOOKUP(B2554,Insumo[DESCRIPCION],Insumo[UND],,0),"")</f>
        <v/>
      </c>
      <c r="D2554" s="31"/>
      <c r="E2554" s="32" t="str">
        <f>IFERROR(_xlfn.XLOOKUP($B2554,Insumo[DESCRIPCION],Insumo[VALOR],,0),"")</f>
        <v/>
      </c>
      <c r="F2554" s="33"/>
      <c r="G2554" s="34" t="str">
        <f>IFERROR(IF(F2554&gt;=0,D2554*E2554*(1+F2554/100),ABS(D2554*E2554/F2554)),"")</f>
        <v/>
      </c>
      <c r="H2554" s="43" t="str">
        <f>IFERROR(G2554*E2547,"")</f>
        <v/>
      </c>
    </row>
    <row r="2555" spans="1:11">
      <c r="A2555" s="21"/>
      <c r="B2555" s="22" t="s">
        <v>3731</v>
      </c>
      <c r="C2555" s="23"/>
      <c r="D2555" s="24"/>
      <c r="E2555" s="25"/>
      <c r="F2555" s="26"/>
      <c r="G2555" s="27">
        <f>SUM(G2556:G2560)</f>
        <v>17318.390093062502</v>
      </c>
      <c r="H2555" s="44">
        <f>G2555*E2547</f>
        <v>0</v>
      </c>
    </row>
    <row r="2556" spans="1:11">
      <c r="A2556" s="28"/>
      <c r="B2556" s="29" t="s">
        <v>3618</v>
      </c>
      <c r="C2556" s="30" t="str">
        <f>IFERROR(_xlfn.XLOOKUP(B2556,Equipo[DESCRIPCION],Equipo[UND],,0),"")</f>
        <v>Día</v>
      </c>
      <c r="D2556" s="31">
        <v>1</v>
      </c>
      <c r="E2556" s="32">
        <f>IF(C2556="%MO",G2564,IFERROR(_xlfn.XLOOKUP($B2556,Equipo[DESCRIPCION],Equipo[VALOR],,0),""))</f>
        <v>3150</v>
      </c>
      <c r="F2556" s="33">
        <v>-4</v>
      </c>
      <c r="G2556" s="34">
        <f>IFERROR(IF(F2556&gt;=0,D2556*E2556*(1+F2556/100),ABS(D2556*E2556/F2556)),"")</f>
        <v>787.5</v>
      </c>
      <c r="H2556" s="43">
        <f>IFERROR(G2556*E2547,"")</f>
        <v>0</v>
      </c>
    </row>
    <row r="2557" spans="1:11">
      <c r="A2557" s="28"/>
      <c r="B2557" s="29" t="s">
        <v>3645</v>
      </c>
      <c r="C2557" s="30" t="str">
        <f>IFERROR(_xlfn.XLOOKUP(B2557,Equipo[DESCRIPCION],Equipo[UND],,0),"")</f>
        <v>Día</v>
      </c>
      <c r="D2557" s="31">
        <v>1</v>
      </c>
      <c r="E2557" s="32">
        <f>IF(C2557="%MO",G2565,IFERROR(_xlfn.XLOOKUP($B2557,Equipo[DESCRIPCION],Equipo[VALOR],,0),""))</f>
        <v>101038.35</v>
      </c>
      <c r="F2557" s="33">
        <v>-20</v>
      </c>
      <c r="G2557" s="34">
        <f>IFERROR(IF(F2557&gt;=0,D2557*E2557*(1+F2557/100),ABS(D2557*E2557/F2557)),"")</f>
        <v>5051.9175000000005</v>
      </c>
      <c r="H2557" s="43">
        <f>IFERROR(G2557*E2547,"")</f>
        <v>0</v>
      </c>
    </row>
    <row r="2558" spans="1:11">
      <c r="A2558" s="28"/>
      <c r="B2558" s="29" t="s">
        <v>3643</v>
      </c>
      <c r="C2558" s="30" t="str">
        <f>IFERROR(_xlfn.XLOOKUP(B2558,Equipo[DESCRIPCION],Equipo[UND],,0),"")</f>
        <v>Día</v>
      </c>
      <c r="D2558" s="31">
        <v>1</v>
      </c>
      <c r="E2558" s="32">
        <f>IF(C2558="%MO",G2566,IFERROR(_xlfn.XLOOKUP($B2558,Equipo[DESCRIPCION],Equipo[VALOR],,0),""))</f>
        <v>31825.5</v>
      </c>
      <c r="F2558" s="33">
        <v>-20</v>
      </c>
      <c r="G2558" s="34">
        <f>IFERROR(IF(F2558&gt;=0,D2558*E2558*(1+F2558/100),ABS(D2558*E2558/F2558)),"")</f>
        <v>1591.2750000000001</v>
      </c>
      <c r="H2558" s="43">
        <f>IFERROR(G2558*E2547,"")</f>
        <v>0</v>
      </c>
    </row>
    <row r="2559" spans="1:11">
      <c r="A2559" s="28"/>
      <c r="B2559" s="29" t="s">
        <v>3639</v>
      </c>
      <c r="C2559" s="30" t="str">
        <f>IFERROR(_xlfn.XLOOKUP(B2559,Equipo[DESCRIPCION],Equipo[UND],,0),"")</f>
        <v>Día</v>
      </c>
      <c r="D2559" s="31">
        <v>1</v>
      </c>
      <c r="E2559" s="32">
        <f>IF(C2559="%MO",G2567,IFERROR(_xlfn.XLOOKUP($B2559,Equipo[DESCRIPCION],Equipo[VALOR],,0),""))</f>
        <v>31825.5</v>
      </c>
      <c r="F2559" s="33">
        <v>-20</v>
      </c>
      <c r="G2559" s="34">
        <f>IFERROR(IF(F2559&gt;=0,D2559*E2559*(1+F2559/100),ABS(D2559*E2559/F2559)),"")</f>
        <v>1591.2750000000001</v>
      </c>
      <c r="H2559" s="43">
        <f>IFERROR(G2559*E2547,"")</f>
        <v>0</v>
      </c>
    </row>
    <row r="2560" spans="1:11">
      <c r="A2560" s="28"/>
      <c r="B2560" s="29" t="s">
        <v>3626</v>
      </c>
      <c r="C2560" s="30" t="str">
        <f>IFERROR(_xlfn.XLOOKUP(B2560,Equipo[DESCRIPCION],Equipo[UND],,0),"")</f>
        <v>%MO</v>
      </c>
      <c r="D2560" s="31">
        <v>0.05</v>
      </c>
      <c r="E2560" s="32">
        <f>IF(C2560="%MO",G2564,IFERROR(_xlfn.XLOOKUP($B2560,Equipo[DESCRIPCION],Equipo[VALOR],,0),""))</f>
        <v>165928.45186125004</v>
      </c>
      <c r="F2560" s="33"/>
      <c r="G2560" s="34">
        <f>IFERROR(IF(F2560&gt;=0,D2560*E2560*(1+F2560/100),ABS(D2560*E2560/F2560)),"")</f>
        <v>8296.4225930625016</v>
      </c>
      <c r="H2560" s="43">
        <f>IFERROR(G2560*E2547,"")</f>
        <v>0</v>
      </c>
    </row>
    <row r="2561" spans="1:11">
      <c r="A2561" s="21"/>
      <c r="B2561" s="22" t="s">
        <v>2533</v>
      </c>
      <c r="C2561" s="23"/>
      <c r="D2561" s="24"/>
      <c r="E2561" s="25"/>
      <c r="F2561" s="26"/>
      <c r="G2561" s="27">
        <f>SUM(G2562:G2563)</f>
        <v>0</v>
      </c>
      <c r="H2561" s="44">
        <f>G2561*E2547</f>
        <v>0</v>
      </c>
    </row>
    <row r="2562" spans="1:11">
      <c r="A2562" s="28"/>
      <c r="B2562" s="29"/>
      <c r="C2562" s="30" t="str">
        <f>IFERROR(_xlfn.XLOOKUP(B2562,Transporte[DESCRIPCION],Transporte[UND],,0),"")</f>
        <v/>
      </c>
      <c r="D2562" s="31"/>
      <c r="E2562" s="32" t="str">
        <f>IFERROR(_xlfn.XLOOKUP($B2562,Transporte[DESCRIPCION],Transporte[VALOR],,0),"")</f>
        <v/>
      </c>
      <c r="F2562" s="33"/>
      <c r="G2562" s="34" t="str">
        <f>IFERROR(IF(F2562&gt;=0,D2562*E2562*(1+F2562/100),ABS(D2562*E2562/F2562)),"")</f>
        <v/>
      </c>
      <c r="H2562" s="43" t="str">
        <f>IFERROR(G2562*E2547,"")</f>
        <v/>
      </c>
    </row>
    <row r="2563" spans="1:11">
      <c r="A2563" s="28"/>
      <c r="B2563" s="29"/>
      <c r="C2563" s="30" t="str">
        <f>IFERROR(_xlfn.XLOOKUP(B2563,Transporte[DESCRIPCION],Transporte[UND],,0),"")</f>
        <v/>
      </c>
      <c r="D2563" s="31"/>
      <c r="E2563" s="32" t="str">
        <f>IFERROR(_xlfn.XLOOKUP($B2563,Transporte[DESCRIPCION],Transporte[VALOR],,0),"")</f>
        <v/>
      </c>
      <c r="F2563" s="33"/>
      <c r="G2563" s="34" t="str">
        <f>IFERROR(IF(F2563&gt;=0,D2563*E2563*(1+F2563/100),ABS(D2563*E2563/F2563)),"")</f>
        <v/>
      </c>
      <c r="H2563" s="43" t="str">
        <f>IFERROR(G2563*E2547,"")</f>
        <v/>
      </c>
    </row>
    <row r="2564" spans="1:11">
      <c r="A2564" s="21"/>
      <c r="B2564" s="22" t="s">
        <v>3732</v>
      </c>
      <c r="C2564" s="23"/>
      <c r="D2564" s="24"/>
      <c r="E2564" s="25"/>
      <c r="F2564" s="26"/>
      <c r="G2564" s="27">
        <f>SUM(G2565:G2567)</f>
        <v>165928.45186125004</v>
      </c>
      <c r="H2564" s="44">
        <f>G2564*E2547</f>
        <v>0</v>
      </c>
    </row>
    <row r="2565" spans="1:11">
      <c r="A2565" s="28"/>
      <c r="B2565" s="29" t="s">
        <v>3713</v>
      </c>
      <c r="C2565" s="30" t="str">
        <f>IFERROR(_xlfn.XLOOKUP(B2565,MObra[DESCRIPCION],MObra[UN],,0),"")</f>
        <v>día</v>
      </c>
      <c r="D2565" s="31">
        <v>1</v>
      </c>
      <c r="E2565" s="32">
        <f>IFERROR(_xlfn.XLOOKUP($B2565,MObra[DESCRIPCION],MObra[VALOR UNIT],,0),"")</f>
        <v>663713.80744500016</v>
      </c>
      <c r="F2565" s="33">
        <v>-4</v>
      </c>
      <c r="G2565" s="34">
        <f>IFERROR(IF(F2565&gt;=0,D2565*E2565*(1+F2565/100),ABS(D2565*E2565/F2565)),"")</f>
        <v>165928.45186125004</v>
      </c>
      <c r="H2565" s="43">
        <f>IFERROR(G2565*E2547,"")</f>
        <v>0</v>
      </c>
    </row>
    <row r="2566" spans="1:11">
      <c r="A2566" s="28"/>
      <c r="B2566" s="29"/>
      <c r="C2566" s="30" t="str">
        <f>IFERROR(_xlfn.XLOOKUP(B2566,MObra[DESCRIPCION],MObra[UN],,0),"")</f>
        <v/>
      </c>
      <c r="D2566" s="31"/>
      <c r="E2566" s="32" t="str">
        <f>IFERROR(_xlfn.XLOOKUP($B2566,MObra[DESCRIPCION],MObra[VALOR UNIT],,0),"")</f>
        <v/>
      </c>
      <c r="F2566" s="33"/>
      <c r="G2566" s="34" t="str">
        <f>IFERROR(IF(F2566&gt;=0,D2566*E2566*(1+F2566/100),ABS(D2566*E2566/F2566)),"")</f>
        <v/>
      </c>
      <c r="H2566" s="43" t="str">
        <f>IFERROR(G2566*E2547,"")</f>
        <v/>
      </c>
    </row>
    <row r="2567" spans="1:11" ht="13.15" thickBot="1">
      <c r="A2567" s="35"/>
      <c r="B2567" s="36"/>
      <c r="C2567" s="37" t="str">
        <f>IFERROR(_xlfn.XLOOKUP(B2567,MObra[DESCRIPCION],MObra[UN],,0),"")</f>
        <v/>
      </c>
      <c r="D2567" s="38"/>
      <c r="E2567" s="39" t="str">
        <f>IFERROR(_xlfn.XLOOKUP($B2567,MObra[DESCRIPCION],MObra[VALOR UNIT],,0),"")</f>
        <v/>
      </c>
      <c r="F2567" s="40"/>
      <c r="G2567" s="41" t="str">
        <f>IFERROR(IF(F2567&gt;=0,D2567*E2567*(1+F2567/100),ABS(D2567*E2567/F2567)),"")</f>
        <v/>
      </c>
      <c r="H2567" s="42" t="str">
        <f>IFERROR(G2567*E2547,"")</f>
        <v/>
      </c>
    </row>
    <row r="2568" spans="1:11" ht="13.5" thickTop="1" thickBot="1"/>
    <row r="2569" spans="1:11" ht="13.5" thickTop="1" thickBot="1">
      <c r="A2569" s="6" t="s">
        <v>1980</v>
      </c>
      <c r="B2569" s="7" t="str">
        <f>VLOOKUP($A2569,Presupuesto!$A:$D,2,FALSE())</f>
        <v>Pavimento Mr = 5 Mpa premezclado</v>
      </c>
      <c r="C2569" s="8" t="str">
        <f>VLOOKUP($A2569,Presupuesto!$A:$D,3,FALSE())</f>
        <v>M3</v>
      </c>
      <c r="D2569" s="9"/>
      <c r="E2569" s="10">
        <f>VLOOKUP($A2569,Presupuesto!$A:$D,4,FALSE())</f>
        <v>0</v>
      </c>
      <c r="F2569" s="11" t="s">
        <v>2589</v>
      </c>
      <c r="G2569" s="12">
        <f>SUM(G2571:G2589)/2</f>
        <v>1030840.0219543125</v>
      </c>
      <c r="H2569" s="13">
        <f>ROUND(SUM(H2571:H2589),0)/2</f>
        <v>0</v>
      </c>
      <c r="I2569" s="10">
        <f>VLOOKUP(A2569,Presupuesto!$A:$F,6,0)</f>
        <v>0</v>
      </c>
      <c r="J2569" s="10">
        <f>+H2569-I2569</f>
        <v>0</v>
      </c>
      <c r="K2569" s="46">
        <f>+H2569-G2569*E2569</f>
        <v>0</v>
      </c>
    </row>
    <row r="2570" spans="1:11" ht="13.15" thickTop="1">
      <c r="A2570" s="14"/>
      <c r="B2570" s="15" t="s">
        <v>2586</v>
      </c>
      <c r="C2570" s="15" t="s">
        <v>5</v>
      </c>
      <c r="D2570" s="16" t="s">
        <v>6</v>
      </c>
      <c r="E2570" s="17" t="s">
        <v>7</v>
      </c>
      <c r="F2570" s="18" t="s">
        <v>3728</v>
      </c>
      <c r="G2570" s="19" t="s">
        <v>3729</v>
      </c>
      <c r="H2570" s="20" t="s">
        <v>3797</v>
      </c>
    </row>
    <row r="2571" spans="1:11">
      <c r="A2571" s="21"/>
      <c r="B2571" s="22" t="s">
        <v>3730</v>
      </c>
      <c r="C2571" s="23"/>
      <c r="D2571" s="24"/>
      <c r="E2571" s="25"/>
      <c r="F2571" s="26"/>
      <c r="G2571" s="27">
        <f>SUM(G2572:G2576)</f>
        <v>847593.18</v>
      </c>
      <c r="H2571" s="27">
        <f>IFERROR(G2571*E2569,"")</f>
        <v>0</v>
      </c>
    </row>
    <row r="2572" spans="1:11">
      <c r="A2572" s="28"/>
      <c r="B2572" s="29" t="s">
        <v>2884</v>
      </c>
      <c r="C2572" s="30" t="str">
        <f>IFERROR(_xlfn.XLOOKUP(B2572,Insumo[DESCRIPCION],Insumo[UND],,0),"")</f>
        <v>M3</v>
      </c>
      <c r="D2572" s="31">
        <v>1</v>
      </c>
      <c r="E2572" s="32">
        <f>IFERROR(_xlfn.XLOOKUP($B2572,Insumo[DESCRIPCION],Insumo[VALOR],,0),"")</f>
        <v>822906</v>
      </c>
      <c r="F2572" s="33">
        <v>3</v>
      </c>
      <c r="G2572" s="34">
        <f>IFERROR(IF(F2572&gt;=0,D2572*E2572*(1+F2572/100),ABS(D2572*E2572/F2572)),"")</f>
        <v>847593.18</v>
      </c>
      <c r="H2572" s="43">
        <f>IFERROR(G2572*E2569,"")</f>
        <v>0</v>
      </c>
    </row>
    <row r="2573" spans="1:11">
      <c r="A2573" s="28"/>
      <c r="B2573" s="29"/>
      <c r="C2573" s="30" t="str">
        <f>IFERROR(_xlfn.XLOOKUP(B2573,Insumo[DESCRIPCION],Insumo[UND],,0),"")</f>
        <v/>
      </c>
      <c r="D2573" s="31"/>
      <c r="E2573" s="32" t="str">
        <f>IFERROR(_xlfn.XLOOKUP($B2573,Insumo[DESCRIPCION],Insumo[VALOR],,0),"")</f>
        <v/>
      </c>
      <c r="F2573" s="33"/>
      <c r="G2573" s="34" t="str">
        <f>IFERROR(IF(F2573&gt;=0,D2573*E2573*(1+F2573/100),ABS(D2573*E2573/F2573)),"")</f>
        <v/>
      </c>
      <c r="H2573" s="43" t="str">
        <f>IFERROR(G2573*E2569,"")</f>
        <v/>
      </c>
    </row>
    <row r="2574" spans="1:11">
      <c r="A2574" s="28"/>
      <c r="B2574" s="29"/>
      <c r="C2574" s="30" t="str">
        <f>IFERROR(_xlfn.XLOOKUP(B2574,Insumo[DESCRIPCION],Insumo[UND],,0),"")</f>
        <v/>
      </c>
      <c r="D2574" s="31"/>
      <c r="E2574" s="32" t="str">
        <f>IFERROR(_xlfn.XLOOKUP($B2574,Insumo[DESCRIPCION],Insumo[VALOR],,0),"")</f>
        <v/>
      </c>
      <c r="F2574" s="33"/>
      <c r="G2574" s="34" t="str">
        <f>IFERROR(IF(F2574&gt;=0,D2574*E2574*(1+F2574/100),ABS(D2574*E2574/F2574)),"")</f>
        <v/>
      </c>
      <c r="H2574" s="43" t="str">
        <f>IFERROR(G2574*E2569,"")</f>
        <v/>
      </c>
    </row>
    <row r="2575" spans="1:11">
      <c r="A2575" s="28"/>
      <c r="B2575" s="29"/>
      <c r="C2575" s="30" t="str">
        <f>IFERROR(_xlfn.XLOOKUP(B2575,Insumo[DESCRIPCION],Insumo[UND],,0),"")</f>
        <v/>
      </c>
      <c r="D2575" s="31"/>
      <c r="E2575" s="32" t="str">
        <f>IFERROR(_xlfn.XLOOKUP($B2575,Insumo[DESCRIPCION],Insumo[VALOR],,0),"")</f>
        <v/>
      </c>
      <c r="F2575" s="33"/>
      <c r="G2575" s="34" t="str">
        <f>IFERROR(IF(F2575&gt;=0,D2575*E2575*(1+F2575/100),ABS(D2575*E2575/F2575)),"")</f>
        <v/>
      </c>
      <c r="H2575" s="43" t="str">
        <f>IFERROR(G2575*E2569,"")</f>
        <v/>
      </c>
    </row>
    <row r="2576" spans="1:11">
      <c r="A2576" s="28"/>
      <c r="B2576" s="29"/>
      <c r="C2576" s="30" t="str">
        <f>IFERROR(_xlfn.XLOOKUP(B2576,Insumo[DESCRIPCION],Insumo[UND],,0),"")</f>
        <v/>
      </c>
      <c r="D2576" s="31"/>
      <c r="E2576" s="32" t="str">
        <f>IFERROR(_xlfn.XLOOKUP($B2576,Insumo[DESCRIPCION],Insumo[VALOR],,0),"")</f>
        <v/>
      </c>
      <c r="F2576" s="33"/>
      <c r="G2576" s="34" t="str">
        <f>IFERROR(IF(F2576&gt;=0,D2576*E2576*(1+F2576/100),ABS(D2576*E2576/F2576)),"")</f>
        <v/>
      </c>
      <c r="H2576" s="43" t="str">
        <f>IFERROR(G2576*E2569,"")</f>
        <v/>
      </c>
    </row>
    <row r="2577" spans="1:11">
      <c r="A2577" s="21"/>
      <c r="B2577" s="22" t="s">
        <v>3731</v>
      </c>
      <c r="C2577" s="23"/>
      <c r="D2577" s="24"/>
      <c r="E2577" s="25"/>
      <c r="F2577" s="26"/>
      <c r="G2577" s="27">
        <f>SUM(G2578:G2582)</f>
        <v>17318.390093062502</v>
      </c>
      <c r="H2577" s="44">
        <f>G2577*E2569</f>
        <v>0</v>
      </c>
    </row>
    <row r="2578" spans="1:11">
      <c r="A2578" s="28"/>
      <c r="B2578" s="29" t="s">
        <v>3618</v>
      </c>
      <c r="C2578" s="30" t="str">
        <f>IFERROR(_xlfn.XLOOKUP(B2578,Equipo[DESCRIPCION],Equipo[UND],,0),"")</f>
        <v>Día</v>
      </c>
      <c r="D2578" s="31">
        <v>1</v>
      </c>
      <c r="E2578" s="32">
        <f>IF(C2578="%MO",G2586,IFERROR(_xlfn.XLOOKUP($B2578,Equipo[DESCRIPCION],Equipo[VALOR],,0),""))</f>
        <v>3150</v>
      </c>
      <c r="F2578" s="33">
        <v>-4</v>
      </c>
      <c r="G2578" s="34">
        <f>IFERROR(IF(F2578&gt;=0,D2578*E2578*(1+F2578/100),ABS(D2578*E2578/F2578)),"")</f>
        <v>787.5</v>
      </c>
      <c r="H2578" s="43">
        <f>IFERROR(G2578*E2569,"")</f>
        <v>0</v>
      </c>
    </row>
    <row r="2579" spans="1:11">
      <c r="A2579" s="28"/>
      <c r="B2579" s="29" t="s">
        <v>3645</v>
      </c>
      <c r="C2579" s="30" t="str">
        <f>IFERROR(_xlfn.XLOOKUP(B2579,Equipo[DESCRIPCION],Equipo[UND],,0),"")</f>
        <v>Día</v>
      </c>
      <c r="D2579" s="31">
        <v>1</v>
      </c>
      <c r="E2579" s="32">
        <f>IF(C2579="%MO",G2587,IFERROR(_xlfn.XLOOKUP($B2579,Equipo[DESCRIPCION],Equipo[VALOR],,0),""))</f>
        <v>101038.35</v>
      </c>
      <c r="F2579" s="33">
        <v>-20</v>
      </c>
      <c r="G2579" s="34">
        <f>IFERROR(IF(F2579&gt;=0,D2579*E2579*(1+F2579/100),ABS(D2579*E2579/F2579)),"")</f>
        <v>5051.9175000000005</v>
      </c>
      <c r="H2579" s="43">
        <f>IFERROR(G2579*E2569,"")</f>
        <v>0</v>
      </c>
    </row>
    <row r="2580" spans="1:11">
      <c r="A2580" s="28"/>
      <c r="B2580" s="29" t="s">
        <v>3643</v>
      </c>
      <c r="C2580" s="30" t="str">
        <f>IFERROR(_xlfn.XLOOKUP(B2580,Equipo[DESCRIPCION],Equipo[UND],,0),"")</f>
        <v>Día</v>
      </c>
      <c r="D2580" s="31">
        <v>1</v>
      </c>
      <c r="E2580" s="32">
        <f>IF(C2580="%MO",G2588,IFERROR(_xlfn.XLOOKUP($B2580,Equipo[DESCRIPCION],Equipo[VALOR],,0),""))</f>
        <v>31825.5</v>
      </c>
      <c r="F2580" s="33">
        <v>-20</v>
      </c>
      <c r="G2580" s="34">
        <f>IFERROR(IF(F2580&gt;=0,D2580*E2580*(1+F2580/100),ABS(D2580*E2580/F2580)),"")</f>
        <v>1591.2750000000001</v>
      </c>
      <c r="H2580" s="43">
        <f>IFERROR(G2580*E2569,"")</f>
        <v>0</v>
      </c>
    </row>
    <row r="2581" spans="1:11">
      <c r="A2581" s="28"/>
      <c r="B2581" s="29" t="s">
        <v>3639</v>
      </c>
      <c r="C2581" s="30" t="str">
        <f>IFERROR(_xlfn.XLOOKUP(B2581,Equipo[DESCRIPCION],Equipo[UND],,0),"")</f>
        <v>Día</v>
      </c>
      <c r="D2581" s="31">
        <v>1</v>
      </c>
      <c r="E2581" s="32">
        <f>IF(C2581="%MO",G2589,IFERROR(_xlfn.XLOOKUP($B2581,Equipo[DESCRIPCION],Equipo[VALOR],,0),""))</f>
        <v>31825.5</v>
      </c>
      <c r="F2581" s="33">
        <v>-20</v>
      </c>
      <c r="G2581" s="34">
        <f>IFERROR(IF(F2581&gt;=0,D2581*E2581*(1+F2581/100),ABS(D2581*E2581/F2581)),"")</f>
        <v>1591.2750000000001</v>
      </c>
      <c r="H2581" s="43">
        <f>IFERROR(G2581*E2569,"")</f>
        <v>0</v>
      </c>
    </row>
    <row r="2582" spans="1:11">
      <c r="A2582" s="28"/>
      <c r="B2582" s="29" t="s">
        <v>3626</v>
      </c>
      <c r="C2582" s="30" t="str">
        <f>IFERROR(_xlfn.XLOOKUP(B2582,Equipo[DESCRIPCION],Equipo[UND],,0),"")</f>
        <v>%MO</v>
      </c>
      <c r="D2582" s="31">
        <v>0.05</v>
      </c>
      <c r="E2582" s="32">
        <f>IF(C2582="%MO",G2586,IFERROR(_xlfn.XLOOKUP($B2582,Equipo[DESCRIPCION],Equipo[VALOR],,0),""))</f>
        <v>165928.45186125004</v>
      </c>
      <c r="F2582" s="33"/>
      <c r="G2582" s="34">
        <f>IFERROR(IF(F2582&gt;=0,D2582*E2582*(1+F2582/100),ABS(D2582*E2582/F2582)),"")</f>
        <v>8296.4225930625016</v>
      </c>
      <c r="H2582" s="43">
        <f>IFERROR(G2582*E2569,"")</f>
        <v>0</v>
      </c>
    </row>
    <row r="2583" spans="1:11">
      <c r="A2583" s="21"/>
      <c r="B2583" s="22" t="s">
        <v>2533</v>
      </c>
      <c r="C2583" s="23"/>
      <c r="D2583" s="24"/>
      <c r="E2583" s="25"/>
      <c r="F2583" s="26"/>
      <c r="G2583" s="27">
        <f>SUM(G2584:G2585)</f>
        <v>0</v>
      </c>
      <c r="H2583" s="44">
        <f>G2583*E2569</f>
        <v>0</v>
      </c>
    </row>
    <row r="2584" spans="1:11">
      <c r="A2584" s="28"/>
      <c r="B2584" s="29"/>
      <c r="C2584" s="30" t="str">
        <f>IFERROR(_xlfn.XLOOKUP(B2584,Transporte[DESCRIPCION],Transporte[UND],,0),"")</f>
        <v/>
      </c>
      <c r="D2584" s="31"/>
      <c r="E2584" s="32" t="str">
        <f>IFERROR(_xlfn.XLOOKUP($B2584,Transporte[DESCRIPCION],Transporte[VALOR],,0),"")</f>
        <v/>
      </c>
      <c r="F2584" s="33"/>
      <c r="G2584" s="34" t="str">
        <f>IFERROR(IF(F2584&gt;=0,D2584*E2584*(1+F2584/100),ABS(D2584*E2584/F2584)),"")</f>
        <v/>
      </c>
      <c r="H2584" s="43" t="str">
        <f>IFERROR(G2584*E2569,"")</f>
        <v/>
      </c>
    </row>
    <row r="2585" spans="1:11">
      <c r="A2585" s="28"/>
      <c r="B2585" s="29"/>
      <c r="C2585" s="30" t="str">
        <f>IFERROR(_xlfn.XLOOKUP(B2585,Transporte[DESCRIPCION],Transporte[UND],,0),"")</f>
        <v/>
      </c>
      <c r="D2585" s="31"/>
      <c r="E2585" s="32" t="str">
        <f>IFERROR(_xlfn.XLOOKUP($B2585,Transporte[DESCRIPCION],Transporte[VALOR],,0),"")</f>
        <v/>
      </c>
      <c r="F2585" s="33"/>
      <c r="G2585" s="34" t="str">
        <f>IFERROR(IF(F2585&gt;=0,D2585*E2585*(1+F2585/100),ABS(D2585*E2585/F2585)),"")</f>
        <v/>
      </c>
      <c r="H2585" s="43" t="str">
        <f>IFERROR(G2585*E2569,"")</f>
        <v/>
      </c>
    </row>
    <row r="2586" spans="1:11">
      <c r="A2586" s="21"/>
      <c r="B2586" s="22" t="s">
        <v>3732</v>
      </c>
      <c r="C2586" s="23"/>
      <c r="D2586" s="24"/>
      <c r="E2586" s="25"/>
      <c r="F2586" s="26"/>
      <c r="G2586" s="27">
        <f>SUM(G2587:G2589)</f>
        <v>165928.45186125004</v>
      </c>
      <c r="H2586" s="44">
        <f>G2586*E2569</f>
        <v>0</v>
      </c>
    </row>
    <row r="2587" spans="1:11">
      <c r="A2587" s="28"/>
      <c r="B2587" s="29" t="s">
        <v>3713</v>
      </c>
      <c r="C2587" s="30" t="str">
        <f>IFERROR(_xlfn.XLOOKUP(B2587,MObra[DESCRIPCION],MObra[UN],,0),"")</f>
        <v>día</v>
      </c>
      <c r="D2587" s="31">
        <v>1</v>
      </c>
      <c r="E2587" s="32">
        <f>IFERROR(_xlfn.XLOOKUP($B2587,MObra[DESCRIPCION],MObra[VALOR UNIT],,0),"")</f>
        <v>663713.80744500016</v>
      </c>
      <c r="F2587" s="33">
        <v>-4</v>
      </c>
      <c r="G2587" s="34">
        <f>IFERROR(IF(F2587&gt;=0,D2587*E2587*(1+F2587/100),ABS(D2587*E2587/F2587)),"")</f>
        <v>165928.45186125004</v>
      </c>
      <c r="H2587" s="43">
        <f>IFERROR(G2587*E2569,"")</f>
        <v>0</v>
      </c>
    </row>
    <row r="2588" spans="1:11">
      <c r="A2588" s="28"/>
      <c r="B2588" s="29"/>
      <c r="C2588" s="30" t="str">
        <f>IFERROR(_xlfn.XLOOKUP(B2588,MObra[DESCRIPCION],MObra[UN],,0),"")</f>
        <v/>
      </c>
      <c r="D2588" s="31"/>
      <c r="E2588" s="32" t="str">
        <f>IFERROR(_xlfn.XLOOKUP($B2588,MObra[DESCRIPCION],MObra[VALOR UNIT],,0),"")</f>
        <v/>
      </c>
      <c r="F2588" s="33"/>
      <c r="G2588" s="34" t="str">
        <f>IFERROR(IF(F2588&gt;=0,D2588*E2588*(1+F2588/100),ABS(D2588*E2588/F2588)),"")</f>
        <v/>
      </c>
      <c r="H2588" s="43" t="str">
        <f>IFERROR(G2588*E2569,"")</f>
        <v/>
      </c>
    </row>
    <row r="2589" spans="1:11" ht="13.15" thickBot="1">
      <c r="A2589" s="35"/>
      <c r="B2589" s="36"/>
      <c r="C2589" s="37" t="str">
        <f>IFERROR(_xlfn.XLOOKUP(B2589,MObra[DESCRIPCION],MObra[UN],,0),"")</f>
        <v/>
      </c>
      <c r="D2589" s="38"/>
      <c r="E2589" s="39" t="str">
        <f>IFERROR(_xlfn.XLOOKUP($B2589,MObra[DESCRIPCION],MObra[VALOR UNIT],,0),"")</f>
        <v/>
      </c>
      <c r="F2589" s="40"/>
      <c r="G2589" s="41" t="str">
        <f>IFERROR(IF(F2589&gt;=0,D2589*E2589*(1+F2589/100),ABS(D2589*E2589/F2589)),"")</f>
        <v/>
      </c>
      <c r="H2589" s="42" t="str">
        <f>IFERROR(G2589*E2569,"")</f>
        <v/>
      </c>
    </row>
    <row r="2590" spans="1:11" ht="13.5" thickTop="1" thickBot="1"/>
    <row r="2591" spans="1:11" ht="13.5" thickTop="1" thickBot="1">
      <c r="A2591" s="6" t="s">
        <v>1982</v>
      </c>
      <c r="B2591" s="7" t="str">
        <f>VLOOKUP($A2591,Presupuesto!$A:$D,2,FALSE())</f>
        <v>Pavimento Mr = 5 Mpa premezclado (acelerado 3 días)</v>
      </c>
      <c r="C2591" s="8" t="str">
        <f>VLOOKUP($A2591,Presupuesto!$A:$D,3,FALSE())</f>
        <v>M3</v>
      </c>
      <c r="D2591" s="9"/>
      <c r="E2591" s="10">
        <f>VLOOKUP($A2591,Presupuesto!$A:$D,4,FALSE())</f>
        <v>0</v>
      </c>
      <c r="F2591" s="11" t="s">
        <v>2589</v>
      </c>
      <c r="G2591" s="12">
        <f>SUM(G2593:G2611)/2</f>
        <v>1131533.0794543126</v>
      </c>
      <c r="H2591" s="13">
        <f>ROUND(SUM(H2593:H2611),0)/2</f>
        <v>0</v>
      </c>
      <c r="I2591" s="10">
        <f>VLOOKUP(A2591,Presupuesto!$A:$F,6,0)</f>
        <v>0</v>
      </c>
      <c r="J2591" s="10">
        <f>+H2591-I2591</f>
        <v>0</v>
      </c>
      <c r="K2591" s="46">
        <f>+H2591-G2591*E2591</f>
        <v>0</v>
      </c>
    </row>
    <row r="2592" spans="1:11" ht="13.15" thickTop="1">
      <c r="A2592" s="14"/>
      <c r="B2592" s="15" t="s">
        <v>2586</v>
      </c>
      <c r="C2592" s="15" t="s">
        <v>5</v>
      </c>
      <c r="D2592" s="16" t="s">
        <v>6</v>
      </c>
      <c r="E2592" s="17" t="s">
        <v>7</v>
      </c>
      <c r="F2592" s="18" t="s">
        <v>3728</v>
      </c>
      <c r="G2592" s="19" t="s">
        <v>3729</v>
      </c>
      <c r="H2592" s="20" t="s">
        <v>3797</v>
      </c>
    </row>
    <row r="2593" spans="1:8">
      <c r="A2593" s="21"/>
      <c r="B2593" s="22" t="s">
        <v>3730</v>
      </c>
      <c r="C2593" s="23"/>
      <c r="D2593" s="24"/>
      <c r="E2593" s="25"/>
      <c r="F2593" s="26"/>
      <c r="G2593" s="27">
        <f>SUM(G2594:G2598)</f>
        <v>948286.23750000005</v>
      </c>
      <c r="H2593" s="27">
        <f>IFERROR(G2593*E2591,"")</f>
        <v>0</v>
      </c>
    </row>
    <row r="2594" spans="1:8">
      <c r="A2594" s="28"/>
      <c r="B2594" s="29" t="s">
        <v>2885</v>
      </c>
      <c r="C2594" s="30" t="str">
        <f>IFERROR(_xlfn.XLOOKUP(B2594,Insumo[DESCRIPCION],Insumo[UND],,0),"")</f>
        <v>M3</v>
      </c>
      <c r="D2594" s="31">
        <v>1</v>
      </c>
      <c r="E2594" s="32">
        <f>IFERROR(_xlfn.XLOOKUP($B2594,Insumo[DESCRIPCION],Insumo[VALOR],,0),"")</f>
        <v>920666.25</v>
      </c>
      <c r="F2594" s="33">
        <v>3</v>
      </c>
      <c r="G2594" s="34">
        <f>IFERROR(IF(F2594&gt;=0,D2594*E2594*(1+F2594/100),ABS(D2594*E2594/F2594)),"")</f>
        <v>948286.23750000005</v>
      </c>
      <c r="H2594" s="43">
        <f>IFERROR(G2594*E2591,"")</f>
        <v>0</v>
      </c>
    </row>
    <row r="2595" spans="1:8">
      <c r="A2595" s="28"/>
      <c r="B2595" s="29"/>
      <c r="C2595" s="30" t="str">
        <f>IFERROR(_xlfn.XLOOKUP(B2595,Insumo[DESCRIPCION],Insumo[UND],,0),"")</f>
        <v/>
      </c>
      <c r="D2595" s="31"/>
      <c r="E2595" s="32" t="str">
        <f>IFERROR(_xlfn.XLOOKUP($B2595,Insumo[DESCRIPCION],Insumo[VALOR],,0),"")</f>
        <v/>
      </c>
      <c r="F2595" s="33"/>
      <c r="G2595" s="34" t="str">
        <f>IFERROR(IF(F2595&gt;=0,D2595*E2595*(1+F2595/100),ABS(D2595*E2595/F2595)),"")</f>
        <v/>
      </c>
      <c r="H2595" s="43" t="str">
        <f>IFERROR(G2595*E2591,"")</f>
        <v/>
      </c>
    </row>
    <row r="2596" spans="1:8">
      <c r="A2596" s="28"/>
      <c r="B2596" s="29"/>
      <c r="C2596" s="30" t="str">
        <f>IFERROR(_xlfn.XLOOKUP(B2596,Insumo[DESCRIPCION],Insumo[UND],,0),"")</f>
        <v/>
      </c>
      <c r="D2596" s="31"/>
      <c r="E2596" s="32" t="str">
        <f>IFERROR(_xlfn.XLOOKUP($B2596,Insumo[DESCRIPCION],Insumo[VALOR],,0),"")</f>
        <v/>
      </c>
      <c r="F2596" s="33"/>
      <c r="G2596" s="34" t="str">
        <f>IFERROR(IF(F2596&gt;=0,D2596*E2596*(1+F2596/100),ABS(D2596*E2596/F2596)),"")</f>
        <v/>
      </c>
      <c r="H2596" s="43" t="str">
        <f>IFERROR(G2596*E2591,"")</f>
        <v/>
      </c>
    </row>
    <row r="2597" spans="1:8">
      <c r="A2597" s="28"/>
      <c r="B2597" s="29"/>
      <c r="C2597" s="30" t="str">
        <f>IFERROR(_xlfn.XLOOKUP(B2597,Insumo[DESCRIPCION],Insumo[UND],,0),"")</f>
        <v/>
      </c>
      <c r="D2597" s="31"/>
      <c r="E2597" s="32" t="str">
        <f>IFERROR(_xlfn.XLOOKUP($B2597,Insumo[DESCRIPCION],Insumo[VALOR],,0),"")</f>
        <v/>
      </c>
      <c r="F2597" s="33"/>
      <c r="G2597" s="34" t="str">
        <f>IFERROR(IF(F2597&gt;=0,D2597*E2597*(1+F2597/100),ABS(D2597*E2597/F2597)),"")</f>
        <v/>
      </c>
      <c r="H2597" s="43" t="str">
        <f>IFERROR(G2597*E2591,"")</f>
        <v/>
      </c>
    </row>
    <row r="2598" spans="1:8">
      <c r="A2598" s="28"/>
      <c r="B2598" s="29"/>
      <c r="C2598" s="30" t="str">
        <f>IFERROR(_xlfn.XLOOKUP(B2598,Insumo[DESCRIPCION],Insumo[UND],,0),"")</f>
        <v/>
      </c>
      <c r="D2598" s="31"/>
      <c r="E2598" s="32" t="str">
        <f>IFERROR(_xlfn.XLOOKUP($B2598,Insumo[DESCRIPCION],Insumo[VALOR],,0),"")</f>
        <v/>
      </c>
      <c r="F2598" s="33"/>
      <c r="G2598" s="34" t="str">
        <f>IFERROR(IF(F2598&gt;=0,D2598*E2598*(1+F2598/100),ABS(D2598*E2598/F2598)),"")</f>
        <v/>
      </c>
      <c r="H2598" s="43" t="str">
        <f>IFERROR(G2598*E2591,"")</f>
        <v/>
      </c>
    </row>
    <row r="2599" spans="1:8">
      <c r="A2599" s="21"/>
      <c r="B2599" s="22" t="s">
        <v>3731</v>
      </c>
      <c r="C2599" s="23"/>
      <c r="D2599" s="24"/>
      <c r="E2599" s="25"/>
      <c r="F2599" s="26"/>
      <c r="G2599" s="27">
        <f>SUM(G2600:G2604)</f>
        <v>17318.390093062502</v>
      </c>
      <c r="H2599" s="44">
        <f>G2599*E2591</f>
        <v>0</v>
      </c>
    </row>
    <row r="2600" spans="1:8">
      <c r="A2600" s="28"/>
      <c r="B2600" s="29" t="s">
        <v>3618</v>
      </c>
      <c r="C2600" s="30" t="str">
        <f>IFERROR(_xlfn.XLOOKUP(B2600,Equipo[DESCRIPCION],Equipo[UND],,0),"")</f>
        <v>Día</v>
      </c>
      <c r="D2600" s="31">
        <v>1</v>
      </c>
      <c r="E2600" s="32">
        <f>IF(C2600="%MO",G2608,IFERROR(_xlfn.XLOOKUP($B2600,Equipo[DESCRIPCION],Equipo[VALOR],,0),""))</f>
        <v>3150</v>
      </c>
      <c r="F2600" s="33">
        <v>-4</v>
      </c>
      <c r="G2600" s="34">
        <f>IFERROR(IF(F2600&gt;=0,D2600*E2600*(1+F2600/100),ABS(D2600*E2600/F2600)),"")</f>
        <v>787.5</v>
      </c>
      <c r="H2600" s="43">
        <f>IFERROR(G2600*E2591,"")</f>
        <v>0</v>
      </c>
    </row>
    <row r="2601" spans="1:8">
      <c r="A2601" s="28"/>
      <c r="B2601" s="29" t="s">
        <v>3645</v>
      </c>
      <c r="C2601" s="30" t="str">
        <f>IFERROR(_xlfn.XLOOKUP(B2601,Equipo[DESCRIPCION],Equipo[UND],,0),"")</f>
        <v>Día</v>
      </c>
      <c r="D2601" s="31">
        <v>1</v>
      </c>
      <c r="E2601" s="32">
        <f>IF(C2601="%MO",G2609,IFERROR(_xlfn.XLOOKUP($B2601,Equipo[DESCRIPCION],Equipo[VALOR],,0),""))</f>
        <v>101038.35</v>
      </c>
      <c r="F2601" s="33">
        <v>-20</v>
      </c>
      <c r="G2601" s="34">
        <f>IFERROR(IF(F2601&gt;=0,D2601*E2601*(1+F2601/100),ABS(D2601*E2601/F2601)),"")</f>
        <v>5051.9175000000005</v>
      </c>
      <c r="H2601" s="43">
        <f>IFERROR(G2601*E2591,"")</f>
        <v>0</v>
      </c>
    </row>
    <row r="2602" spans="1:8">
      <c r="A2602" s="28"/>
      <c r="B2602" s="29" t="s">
        <v>3643</v>
      </c>
      <c r="C2602" s="30" t="str">
        <f>IFERROR(_xlfn.XLOOKUP(B2602,Equipo[DESCRIPCION],Equipo[UND],,0),"")</f>
        <v>Día</v>
      </c>
      <c r="D2602" s="31">
        <v>1</v>
      </c>
      <c r="E2602" s="32">
        <f>IF(C2602="%MO",G2610,IFERROR(_xlfn.XLOOKUP($B2602,Equipo[DESCRIPCION],Equipo[VALOR],,0),""))</f>
        <v>31825.5</v>
      </c>
      <c r="F2602" s="33">
        <v>-20</v>
      </c>
      <c r="G2602" s="34">
        <f>IFERROR(IF(F2602&gt;=0,D2602*E2602*(1+F2602/100),ABS(D2602*E2602/F2602)),"")</f>
        <v>1591.2750000000001</v>
      </c>
      <c r="H2602" s="43">
        <f>IFERROR(G2602*E2591,"")</f>
        <v>0</v>
      </c>
    </row>
    <row r="2603" spans="1:8">
      <c r="A2603" s="28"/>
      <c r="B2603" s="29" t="s">
        <v>3639</v>
      </c>
      <c r="C2603" s="30" t="str">
        <f>IFERROR(_xlfn.XLOOKUP(B2603,Equipo[DESCRIPCION],Equipo[UND],,0),"")</f>
        <v>Día</v>
      </c>
      <c r="D2603" s="31">
        <v>1</v>
      </c>
      <c r="E2603" s="32">
        <f>IF(C2603="%MO",G2611,IFERROR(_xlfn.XLOOKUP($B2603,Equipo[DESCRIPCION],Equipo[VALOR],,0),""))</f>
        <v>31825.5</v>
      </c>
      <c r="F2603" s="33">
        <v>-20</v>
      </c>
      <c r="G2603" s="34">
        <f>IFERROR(IF(F2603&gt;=0,D2603*E2603*(1+F2603/100),ABS(D2603*E2603/F2603)),"")</f>
        <v>1591.2750000000001</v>
      </c>
      <c r="H2603" s="43">
        <f>IFERROR(G2603*E2591,"")</f>
        <v>0</v>
      </c>
    </row>
    <row r="2604" spans="1:8">
      <c r="A2604" s="28"/>
      <c r="B2604" s="29" t="s">
        <v>3626</v>
      </c>
      <c r="C2604" s="30" t="str">
        <f>IFERROR(_xlfn.XLOOKUP(B2604,Equipo[DESCRIPCION],Equipo[UND],,0),"")</f>
        <v>%MO</v>
      </c>
      <c r="D2604" s="31">
        <v>0.05</v>
      </c>
      <c r="E2604" s="32">
        <f>IF(C2604="%MO",G2608,IFERROR(_xlfn.XLOOKUP($B2604,Equipo[DESCRIPCION],Equipo[VALOR],,0),""))</f>
        <v>165928.45186125004</v>
      </c>
      <c r="F2604" s="33"/>
      <c r="G2604" s="34">
        <f>IFERROR(IF(F2604&gt;=0,D2604*E2604*(1+F2604/100),ABS(D2604*E2604/F2604)),"")</f>
        <v>8296.4225930625016</v>
      </c>
      <c r="H2604" s="43">
        <f>IFERROR(G2604*E2591,"")</f>
        <v>0</v>
      </c>
    </row>
    <row r="2605" spans="1:8">
      <c r="A2605" s="21"/>
      <c r="B2605" s="22" t="s">
        <v>2533</v>
      </c>
      <c r="C2605" s="23"/>
      <c r="D2605" s="24"/>
      <c r="E2605" s="25"/>
      <c r="F2605" s="26"/>
      <c r="G2605" s="27">
        <f>SUM(G2606:G2607)</f>
        <v>0</v>
      </c>
      <c r="H2605" s="44">
        <f>G2605*E2591</f>
        <v>0</v>
      </c>
    </row>
    <row r="2606" spans="1:8">
      <c r="A2606" s="28"/>
      <c r="B2606" s="29"/>
      <c r="C2606" s="30" t="str">
        <f>IFERROR(_xlfn.XLOOKUP(B2606,Transporte[DESCRIPCION],Transporte[UND],,0),"")</f>
        <v/>
      </c>
      <c r="D2606" s="31"/>
      <c r="E2606" s="32" t="str">
        <f>IFERROR(_xlfn.XLOOKUP($B2606,Transporte[DESCRIPCION],Transporte[VALOR],,0),"")</f>
        <v/>
      </c>
      <c r="F2606" s="33"/>
      <c r="G2606" s="34" t="str">
        <f>IFERROR(IF(F2606&gt;=0,D2606*E2606*(1+F2606/100),ABS(D2606*E2606/F2606)),"")</f>
        <v/>
      </c>
      <c r="H2606" s="43" t="str">
        <f>IFERROR(G2606*E2591,"")</f>
        <v/>
      </c>
    </row>
    <row r="2607" spans="1:8">
      <c r="A2607" s="28"/>
      <c r="B2607" s="29"/>
      <c r="C2607" s="30" t="str">
        <f>IFERROR(_xlfn.XLOOKUP(B2607,Transporte[DESCRIPCION],Transporte[UND],,0),"")</f>
        <v/>
      </c>
      <c r="D2607" s="31"/>
      <c r="E2607" s="32" t="str">
        <f>IFERROR(_xlfn.XLOOKUP($B2607,Transporte[DESCRIPCION],Transporte[VALOR],,0),"")</f>
        <v/>
      </c>
      <c r="F2607" s="33"/>
      <c r="G2607" s="34" t="str">
        <f>IFERROR(IF(F2607&gt;=0,D2607*E2607*(1+F2607/100),ABS(D2607*E2607/F2607)),"")</f>
        <v/>
      </c>
      <c r="H2607" s="43" t="str">
        <f>IFERROR(G2607*E2591,"")</f>
        <v/>
      </c>
    </row>
    <row r="2608" spans="1:8">
      <c r="A2608" s="21"/>
      <c r="B2608" s="22" t="s">
        <v>3732</v>
      </c>
      <c r="C2608" s="23"/>
      <c r="D2608" s="24"/>
      <c r="E2608" s="25"/>
      <c r="F2608" s="26"/>
      <c r="G2608" s="27">
        <f>SUM(G2609:G2611)</f>
        <v>165928.45186125004</v>
      </c>
      <c r="H2608" s="44">
        <f>G2608*E2591</f>
        <v>0</v>
      </c>
    </row>
    <row r="2609" spans="1:11">
      <c r="A2609" s="28"/>
      <c r="B2609" s="29" t="s">
        <v>3713</v>
      </c>
      <c r="C2609" s="30" t="str">
        <f>IFERROR(_xlfn.XLOOKUP(B2609,MObra[DESCRIPCION],MObra[UN],,0),"")</f>
        <v>día</v>
      </c>
      <c r="D2609" s="31">
        <v>1</v>
      </c>
      <c r="E2609" s="32">
        <f>IFERROR(_xlfn.XLOOKUP($B2609,MObra[DESCRIPCION],MObra[VALOR UNIT],,0),"")</f>
        <v>663713.80744500016</v>
      </c>
      <c r="F2609" s="33">
        <v>-4</v>
      </c>
      <c r="G2609" s="34">
        <f>IFERROR(IF(F2609&gt;=0,D2609*E2609*(1+F2609/100),ABS(D2609*E2609/F2609)),"")</f>
        <v>165928.45186125004</v>
      </c>
      <c r="H2609" s="43">
        <f>IFERROR(G2609*E2591,"")</f>
        <v>0</v>
      </c>
    </row>
    <row r="2610" spans="1:11">
      <c r="A2610" s="28"/>
      <c r="B2610" s="29"/>
      <c r="C2610" s="30" t="str">
        <f>IFERROR(_xlfn.XLOOKUP(B2610,MObra[DESCRIPCION],MObra[UN],,0),"")</f>
        <v/>
      </c>
      <c r="D2610" s="31"/>
      <c r="E2610" s="32" t="str">
        <f>IFERROR(_xlfn.XLOOKUP($B2610,MObra[DESCRIPCION],MObra[VALOR UNIT],,0),"")</f>
        <v/>
      </c>
      <c r="F2610" s="33"/>
      <c r="G2610" s="34" t="str">
        <f>IFERROR(IF(F2610&gt;=0,D2610*E2610*(1+F2610/100),ABS(D2610*E2610/F2610)),"")</f>
        <v/>
      </c>
      <c r="H2610" s="43" t="str">
        <f>IFERROR(G2610*E2591,"")</f>
        <v/>
      </c>
    </row>
    <row r="2611" spans="1:11" ht="13.15" thickBot="1">
      <c r="A2611" s="35"/>
      <c r="B2611" s="36"/>
      <c r="C2611" s="37" t="str">
        <f>IFERROR(_xlfn.XLOOKUP(B2611,MObra[DESCRIPCION],MObra[UN],,0),"")</f>
        <v/>
      </c>
      <c r="D2611" s="38"/>
      <c r="E2611" s="39" t="str">
        <f>IFERROR(_xlfn.XLOOKUP($B2611,MObra[DESCRIPCION],MObra[VALOR UNIT],,0),"")</f>
        <v/>
      </c>
      <c r="F2611" s="40"/>
      <c r="G2611" s="41" t="str">
        <f>IFERROR(IF(F2611&gt;=0,D2611*E2611*(1+F2611/100),ABS(D2611*E2611/F2611)),"")</f>
        <v/>
      </c>
      <c r="H2611" s="42" t="str">
        <f>IFERROR(G2611*E2591,"")</f>
        <v/>
      </c>
    </row>
    <row r="2612" spans="1:11" ht="13.5" thickTop="1" thickBot="1"/>
    <row r="2613" spans="1:11" ht="13.5" thickTop="1" thickBot="1">
      <c r="A2613" s="6" t="s">
        <v>1984</v>
      </c>
      <c r="B2613" s="7" t="str">
        <f>VLOOKUP($A2613,Presupuesto!$A:$D,2,FALSE())</f>
        <v>Pavimento Mr = 5 Mpa premezclado (acelerado 7 días)</v>
      </c>
      <c r="C2613" s="8" t="str">
        <f>VLOOKUP($A2613,Presupuesto!$A:$D,3,FALSE())</f>
        <v>M3</v>
      </c>
      <c r="D2613" s="9"/>
      <c r="E2613" s="10">
        <f>VLOOKUP($A2613,Presupuesto!$A:$D,4,FALSE())</f>
        <v>0</v>
      </c>
      <c r="F2613" s="11" t="s">
        <v>2589</v>
      </c>
      <c r="G2613" s="12">
        <f>SUM(G2615:G2633)/2</f>
        <v>1102265.5264543125</v>
      </c>
      <c r="H2613" s="13">
        <f>ROUND(SUM(H2615:H2633),0)/2</f>
        <v>0</v>
      </c>
      <c r="I2613" s="10">
        <f>VLOOKUP(A2613,Presupuesto!$A:$F,6,0)</f>
        <v>0</v>
      </c>
      <c r="J2613" s="10">
        <f>+H2613-I2613</f>
        <v>0</v>
      </c>
      <c r="K2613" s="46">
        <f>+H2613-G2613*E2613</f>
        <v>0</v>
      </c>
    </row>
    <row r="2614" spans="1:11" ht="13.15" thickTop="1">
      <c r="A2614" s="14"/>
      <c r="B2614" s="15" t="s">
        <v>2586</v>
      </c>
      <c r="C2614" s="15" t="s">
        <v>5</v>
      </c>
      <c r="D2614" s="16" t="s">
        <v>6</v>
      </c>
      <c r="E2614" s="17" t="s">
        <v>7</v>
      </c>
      <c r="F2614" s="18" t="s">
        <v>3728</v>
      </c>
      <c r="G2614" s="19" t="s">
        <v>3729</v>
      </c>
      <c r="H2614" s="20" t="s">
        <v>3797</v>
      </c>
    </row>
    <row r="2615" spans="1:11">
      <c r="A2615" s="21"/>
      <c r="B2615" s="22" t="s">
        <v>3730</v>
      </c>
      <c r="C2615" s="23"/>
      <c r="D2615" s="24"/>
      <c r="E2615" s="25"/>
      <c r="F2615" s="26"/>
      <c r="G2615" s="27">
        <f>SUM(G2616:G2620)</f>
        <v>919018.68450000009</v>
      </c>
      <c r="H2615" s="27">
        <f>IFERROR(G2615*E2613,"")</f>
        <v>0</v>
      </c>
    </row>
    <row r="2616" spans="1:11">
      <c r="A2616" s="28"/>
      <c r="B2616" s="29" t="s">
        <v>2886</v>
      </c>
      <c r="C2616" s="30" t="str">
        <f>IFERROR(_xlfn.XLOOKUP(B2616,Insumo[DESCRIPCION],Insumo[UND],,0),"")</f>
        <v>M3</v>
      </c>
      <c r="D2616" s="31">
        <v>1</v>
      </c>
      <c r="E2616" s="32">
        <f>IFERROR(_xlfn.XLOOKUP($B2616,Insumo[DESCRIPCION],Insumo[VALOR],,0),"")</f>
        <v>892251.15</v>
      </c>
      <c r="F2616" s="33">
        <v>3</v>
      </c>
      <c r="G2616" s="34">
        <f>IFERROR(IF(F2616&gt;=0,D2616*E2616*(1+F2616/100),ABS(D2616*E2616/F2616)),"")</f>
        <v>919018.68450000009</v>
      </c>
      <c r="H2616" s="43">
        <f>IFERROR(G2616*E2613,"")</f>
        <v>0</v>
      </c>
    </row>
    <row r="2617" spans="1:11">
      <c r="A2617" s="28"/>
      <c r="B2617" s="29"/>
      <c r="C2617" s="30" t="str">
        <f>IFERROR(_xlfn.XLOOKUP(B2617,Insumo[DESCRIPCION],Insumo[UND],,0),"")</f>
        <v/>
      </c>
      <c r="D2617" s="31"/>
      <c r="E2617" s="32" t="str">
        <f>IFERROR(_xlfn.XLOOKUP($B2617,Insumo[DESCRIPCION],Insumo[VALOR],,0),"")</f>
        <v/>
      </c>
      <c r="F2617" s="33"/>
      <c r="G2617" s="34" t="str">
        <f>IFERROR(IF(F2617&gt;=0,D2617*E2617*(1+F2617/100),ABS(D2617*E2617/F2617)),"")</f>
        <v/>
      </c>
      <c r="H2617" s="43" t="str">
        <f>IFERROR(G2617*E2613,"")</f>
        <v/>
      </c>
    </row>
    <row r="2618" spans="1:11">
      <c r="A2618" s="28"/>
      <c r="B2618" s="29"/>
      <c r="C2618" s="30" t="str">
        <f>IFERROR(_xlfn.XLOOKUP(B2618,Insumo[DESCRIPCION],Insumo[UND],,0),"")</f>
        <v/>
      </c>
      <c r="D2618" s="31"/>
      <c r="E2618" s="32" t="str">
        <f>IFERROR(_xlfn.XLOOKUP($B2618,Insumo[DESCRIPCION],Insumo[VALOR],,0),"")</f>
        <v/>
      </c>
      <c r="F2618" s="33"/>
      <c r="G2618" s="34" t="str">
        <f>IFERROR(IF(F2618&gt;=0,D2618*E2618*(1+F2618/100),ABS(D2618*E2618/F2618)),"")</f>
        <v/>
      </c>
      <c r="H2618" s="43" t="str">
        <f>IFERROR(G2618*E2613,"")</f>
        <v/>
      </c>
    </row>
    <row r="2619" spans="1:11">
      <c r="A2619" s="28"/>
      <c r="B2619" s="29"/>
      <c r="C2619" s="30" t="str">
        <f>IFERROR(_xlfn.XLOOKUP(B2619,Insumo[DESCRIPCION],Insumo[UND],,0),"")</f>
        <v/>
      </c>
      <c r="D2619" s="31"/>
      <c r="E2619" s="32" t="str">
        <f>IFERROR(_xlfn.XLOOKUP($B2619,Insumo[DESCRIPCION],Insumo[VALOR],,0),"")</f>
        <v/>
      </c>
      <c r="F2619" s="33"/>
      <c r="G2619" s="34" t="str">
        <f>IFERROR(IF(F2619&gt;=0,D2619*E2619*(1+F2619/100),ABS(D2619*E2619/F2619)),"")</f>
        <v/>
      </c>
      <c r="H2619" s="43" t="str">
        <f>IFERROR(G2619*E2613,"")</f>
        <v/>
      </c>
    </row>
    <row r="2620" spans="1:11">
      <c r="A2620" s="28"/>
      <c r="B2620" s="29"/>
      <c r="C2620" s="30" t="str">
        <f>IFERROR(_xlfn.XLOOKUP(B2620,Insumo[DESCRIPCION],Insumo[UND],,0),"")</f>
        <v/>
      </c>
      <c r="D2620" s="31"/>
      <c r="E2620" s="32" t="str">
        <f>IFERROR(_xlfn.XLOOKUP($B2620,Insumo[DESCRIPCION],Insumo[VALOR],,0),"")</f>
        <v/>
      </c>
      <c r="F2620" s="33"/>
      <c r="G2620" s="34" t="str">
        <f>IFERROR(IF(F2620&gt;=0,D2620*E2620*(1+F2620/100),ABS(D2620*E2620/F2620)),"")</f>
        <v/>
      </c>
      <c r="H2620" s="43" t="str">
        <f>IFERROR(G2620*E2613,"")</f>
        <v/>
      </c>
    </row>
    <row r="2621" spans="1:11">
      <c r="A2621" s="21"/>
      <c r="B2621" s="22" t="s">
        <v>3731</v>
      </c>
      <c r="C2621" s="23"/>
      <c r="D2621" s="24"/>
      <c r="E2621" s="25"/>
      <c r="F2621" s="26"/>
      <c r="G2621" s="27">
        <f>SUM(G2622:G2626)</f>
        <v>17318.390093062502</v>
      </c>
      <c r="H2621" s="44">
        <f>G2621*E2613</f>
        <v>0</v>
      </c>
    </row>
    <row r="2622" spans="1:11">
      <c r="A2622" s="28"/>
      <c r="B2622" s="29" t="s">
        <v>3618</v>
      </c>
      <c r="C2622" s="30" t="str">
        <f>IFERROR(_xlfn.XLOOKUP(B2622,Equipo[DESCRIPCION],Equipo[UND],,0),"")</f>
        <v>Día</v>
      </c>
      <c r="D2622" s="31">
        <v>1</v>
      </c>
      <c r="E2622" s="32">
        <f>IF(C2622="%MO",G2630,IFERROR(_xlfn.XLOOKUP($B2622,Equipo[DESCRIPCION],Equipo[VALOR],,0),""))</f>
        <v>3150</v>
      </c>
      <c r="F2622" s="33">
        <v>-4</v>
      </c>
      <c r="G2622" s="34">
        <f>IFERROR(IF(F2622&gt;=0,D2622*E2622*(1+F2622/100),ABS(D2622*E2622/F2622)),"")</f>
        <v>787.5</v>
      </c>
      <c r="H2622" s="43">
        <f>IFERROR(G2622*E2613,"")</f>
        <v>0</v>
      </c>
    </row>
    <row r="2623" spans="1:11">
      <c r="A2623" s="28"/>
      <c r="B2623" s="29" t="s">
        <v>3645</v>
      </c>
      <c r="C2623" s="30" t="str">
        <f>IFERROR(_xlfn.XLOOKUP(B2623,Equipo[DESCRIPCION],Equipo[UND],,0),"")</f>
        <v>Día</v>
      </c>
      <c r="D2623" s="31">
        <v>1</v>
      </c>
      <c r="E2623" s="32">
        <f>IF(C2623="%MO",G2631,IFERROR(_xlfn.XLOOKUP($B2623,Equipo[DESCRIPCION],Equipo[VALOR],,0),""))</f>
        <v>101038.35</v>
      </c>
      <c r="F2623" s="33">
        <v>-20</v>
      </c>
      <c r="G2623" s="34">
        <f>IFERROR(IF(F2623&gt;=0,D2623*E2623*(1+F2623/100),ABS(D2623*E2623/F2623)),"")</f>
        <v>5051.9175000000005</v>
      </c>
      <c r="H2623" s="43">
        <f>IFERROR(G2623*E2613,"")</f>
        <v>0</v>
      </c>
    </row>
    <row r="2624" spans="1:11">
      <c r="A2624" s="28"/>
      <c r="B2624" s="29" t="s">
        <v>3643</v>
      </c>
      <c r="C2624" s="30" t="str">
        <f>IFERROR(_xlfn.XLOOKUP(B2624,Equipo[DESCRIPCION],Equipo[UND],,0),"")</f>
        <v>Día</v>
      </c>
      <c r="D2624" s="31">
        <v>1</v>
      </c>
      <c r="E2624" s="32">
        <f>IF(C2624="%MO",G2632,IFERROR(_xlfn.XLOOKUP($B2624,Equipo[DESCRIPCION],Equipo[VALOR],,0),""))</f>
        <v>31825.5</v>
      </c>
      <c r="F2624" s="33">
        <v>-20</v>
      </c>
      <c r="G2624" s="34">
        <f>IFERROR(IF(F2624&gt;=0,D2624*E2624*(1+F2624/100),ABS(D2624*E2624/F2624)),"")</f>
        <v>1591.2750000000001</v>
      </c>
      <c r="H2624" s="43">
        <f>IFERROR(G2624*E2613,"")</f>
        <v>0</v>
      </c>
    </row>
    <row r="2625" spans="1:11">
      <c r="A2625" s="28"/>
      <c r="B2625" s="29" t="s">
        <v>3639</v>
      </c>
      <c r="C2625" s="30" t="str">
        <f>IFERROR(_xlfn.XLOOKUP(B2625,Equipo[DESCRIPCION],Equipo[UND],,0),"")</f>
        <v>Día</v>
      </c>
      <c r="D2625" s="31">
        <v>1</v>
      </c>
      <c r="E2625" s="32">
        <f>IF(C2625="%MO",G2633,IFERROR(_xlfn.XLOOKUP($B2625,Equipo[DESCRIPCION],Equipo[VALOR],,0),""))</f>
        <v>31825.5</v>
      </c>
      <c r="F2625" s="33">
        <v>-20</v>
      </c>
      <c r="G2625" s="34">
        <f>IFERROR(IF(F2625&gt;=0,D2625*E2625*(1+F2625/100),ABS(D2625*E2625/F2625)),"")</f>
        <v>1591.2750000000001</v>
      </c>
      <c r="H2625" s="43">
        <f>IFERROR(G2625*E2613,"")</f>
        <v>0</v>
      </c>
    </row>
    <row r="2626" spans="1:11">
      <c r="A2626" s="28"/>
      <c r="B2626" s="29" t="s">
        <v>3626</v>
      </c>
      <c r="C2626" s="30" t="str">
        <f>IFERROR(_xlfn.XLOOKUP(B2626,Equipo[DESCRIPCION],Equipo[UND],,0),"")</f>
        <v>%MO</v>
      </c>
      <c r="D2626" s="31">
        <v>0.05</v>
      </c>
      <c r="E2626" s="32">
        <f>IF(C2626="%MO",G2630,IFERROR(_xlfn.XLOOKUP($B2626,Equipo[DESCRIPCION],Equipo[VALOR],,0),""))</f>
        <v>165928.45186125004</v>
      </c>
      <c r="F2626" s="33"/>
      <c r="G2626" s="34">
        <f>IFERROR(IF(F2626&gt;=0,D2626*E2626*(1+F2626/100),ABS(D2626*E2626/F2626)),"")</f>
        <v>8296.4225930625016</v>
      </c>
      <c r="H2626" s="43">
        <f>IFERROR(G2626*E2613,"")</f>
        <v>0</v>
      </c>
    </row>
    <row r="2627" spans="1:11">
      <c r="A2627" s="21"/>
      <c r="B2627" s="22" t="s">
        <v>2533</v>
      </c>
      <c r="C2627" s="23"/>
      <c r="D2627" s="24"/>
      <c r="E2627" s="25"/>
      <c r="F2627" s="26"/>
      <c r="G2627" s="27">
        <f>SUM(G2628:G2629)</f>
        <v>0</v>
      </c>
      <c r="H2627" s="44">
        <f>G2627*E2613</f>
        <v>0</v>
      </c>
    </row>
    <row r="2628" spans="1:11">
      <c r="A2628" s="28"/>
      <c r="B2628" s="29"/>
      <c r="C2628" s="30" t="str">
        <f>IFERROR(_xlfn.XLOOKUP(B2628,Transporte[DESCRIPCION],Transporte[UND],,0),"")</f>
        <v/>
      </c>
      <c r="D2628" s="31"/>
      <c r="E2628" s="32" t="str">
        <f>IFERROR(_xlfn.XLOOKUP($B2628,Transporte[DESCRIPCION],Transporte[VALOR],,0),"")</f>
        <v/>
      </c>
      <c r="F2628" s="33"/>
      <c r="G2628" s="34" t="str">
        <f>IFERROR(IF(F2628&gt;=0,D2628*E2628*(1+F2628/100),ABS(D2628*E2628/F2628)),"")</f>
        <v/>
      </c>
      <c r="H2628" s="43" t="str">
        <f>IFERROR(G2628*E2613,"")</f>
        <v/>
      </c>
    </row>
    <row r="2629" spans="1:11">
      <c r="A2629" s="28"/>
      <c r="B2629" s="29"/>
      <c r="C2629" s="30" t="str">
        <f>IFERROR(_xlfn.XLOOKUP(B2629,Transporte[DESCRIPCION],Transporte[UND],,0),"")</f>
        <v/>
      </c>
      <c r="D2629" s="31"/>
      <c r="E2629" s="32" t="str">
        <f>IFERROR(_xlfn.XLOOKUP($B2629,Transporte[DESCRIPCION],Transporte[VALOR],,0),"")</f>
        <v/>
      </c>
      <c r="F2629" s="33"/>
      <c r="G2629" s="34" t="str">
        <f>IFERROR(IF(F2629&gt;=0,D2629*E2629*(1+F2629/100),ABS(D2629*E2629/F2629)),"")</f>
        <v/>
      </c>
      <c r="H2629" s="43" t="str">
        <f>IFERROR(G2629*E2613,"")</f>
        <v/>
      </c>
    </row>
    <row r="2630" spans="1:11">
      <c r="A2630" s="21"/>
      <c r="B2630" s="22" t="s">
        <v>3732</v>
      </c>
      <c r="C2630" s="23"/>
      <c r="D2630" s="24"/>
      <c r="E2630" s="25"/>
      <c r="F2630" s="26"/>
      <c r="G2630" s="27">
        <f>SUM(G2631:G2633)</f>
        <v>165928.45186125004</v>
      </c>
      <c r="H2630" s="44">
        <f>G2630*E2613</f>
        <v>0</v>
      </c>
    </row>
    <row r="2631" spans="1:11">
      <c r="A2631" s="28"/>
      <c r="B2631" s="29" t="s">
        <v>3713</v>
      </c>
      <c r="C2631" s="30" t="str">
        <f>IFERROR(_xlfn.XLOOKUP(B2631,MObra[DESCRIPCION],MObra[UN],,0),"")</f>
        <v>día</v>
      </c>
      <c r="D2631" s="31">
        <v>1</v>
      </c>
      <c r="E2631" s="32">
        <f>IFERROR(_xlfn.XLOOKUP($B2631,MObra[DESCRIPCION],MObra[VALOR UNIT],,0),"")</f>
        <v>663713.80744500016</v>
      </c>
      <c r="F2631" s="33">
        <v>-4</v>
      </c>
      <c r="G2631" s="34">
        <f>IFERROR(IF(F2631&gt;=0,D2631*E2631*(1+F2631/100),ABS(D2631*E2631/F2631)),"")</f>
        <v>165928.45186125004</v>
      </c>
      <c r="H2631" s="43">
        <f>IFERROR(G2631*E2613,"")</f>
        <v>0</v>
      </c>
    </row>
    <row r="2632" spans="1:11">
      <c r="A2632" s="28"/>
      <c r="B2632" s="29"/>
      <c r="C2632" s="30" t="str">
        <f>IFERROR(_xlfn.XLOOKUP(B2632,MObra[DESCRIPCION],MObra[UN],,0),"")</f>
        <v/>
      </c>
      <c r="D2632" s="31"/>
      <c r="E2632" s="32" t="str">
        <f>IFERROR(_xlfn.XLOOKUP($B2632,MObra[DESCRIPCION],MObra[VALOR UNIT],,0),"")</f>
        <v/>
      </c>
      <c r="F2632" s="33"/>
      <c r="G2632" s="34" t="str">
        <f>IFERROR(IF(F2632&gt;=0,D2632*E2632*(1+F2632/100),ABS(D2632*E2632/F2632)),"")</f>
        <v/>
      </c>
      <c r="H2632" s="43" t="str">
        <f>IFERROR(G2632*E2613,"")</f>
        <v/>
      </c>
    </row>
    <row r="2633" spans="1:11" ht="13.15" thickBot="1">
      <c r="A2633" s="35"/>
      <c r="B2633" s="36"/>
      <c r="C2633" s="37" t="str">
        <f>IFERROR(_xlfn.XLOOKUP(B2633,MObra[DESCRIPCION],MObra[UN],,0),"")</f>
        <v/>
      </c>
      <c r="D2633" s="38"/>
      <c r="E2633" s="39" t="str">
        <f>IFERROR(_xlfn.XLOOKUP($B2633,MObra[DESCRIPCION],MObra[VALOR UNIT],,0),"")</f>
        <v/>
      </c>
      <c r="F2633" s="40"/>
      <c r="G2633" s="41" t="str">
        <f>IFERROR(IF(F2633&gt;=0,D2633*E2633*(1+F2633/100),ABS(D2633*E2633/F2633)),"")</f>
        <v/>
      </c>
      <c r="H2633" s="42" t="str">
        <f>IFERROR(G2633*E2613,"")</f>
        <v/>
      </c>
    </row>
    <row r="2634" spans="1:11" ht="13.5" thickTop="1" thickBot="1"/>
    <row r="2635" spans="1:11" ht="13.5" thickTop="1" thickBot="1">
      <c r="A2635" s="6" t="s">
        <v>1986</v>
      </c>
      <c r="B2635" s="7" t="str">
        <f>VLOOKUP($A2635,Presupuesto!$A:$D,2,FALSE())</f>
        <v>Placa huella concreto 20.7 Mpa H=0.15m</v>
      </c>
      <c r="C2635" s="8" t="str">
        <f>VLOOKUP($A2635,Presupuesto!$A:$D,3,FALSE())</f>
        <v>M3</v>
      </c>
      <c r="D2635" s="9"/>
      <c r="E2635" s="10">
        <f>VLOOKUP($A2635,Presupuesto!$A:$D,4,FALSE())</f>
        <v>0</v>
      </c>
      <c r="F2635" s="11" t="s">
        <v>2589</v>
      </c>
      <c r="G2635" s="12">
        <f>SUM(G2637:G2653)/2</f>
        <v>895862.66371871752</v>
      </c>
      <c r="H2635" s="13">
        <f>ROUND(SUM(H2637:H2653),0)/2</f>
        <v>0</v>
      </c>
      <c r="I2635" s="10">
        <f>VLOOKUP(A2635,Presupuesto!$A:$F,6,0)</f>
        <v>0</v>
      </c>
      <c r="J2635" s="10">
        <f>+H2635-I2635</f>
        <v>0</v>
      </c>
      <c r="K2635" s="46">
        <f>+H2635-G2635*E2635</f>
        <v>0</v>
      </c>
    </row>
    <row r="2636" spans="1:11" ht="13.15" thickTop="1">
      <c r="A2636" s="14"/>
      <c r="B2636" s="15" t="s">
        <v>2586</v>
      </c>
      <c r="C2636" s="15" t="s">
        <v>5</v>
      </c>
      <c r="D2636" s="16" t="s">
        <v>6</v>
      </c>
      <c r="E2636" s="17" t="s">
        <v>7</v>
      </c>
      <c r="F2636" s="18" t="s">
        <v>3728</v>
      </c>
      <c r="G2636" s="19" t="s">
        <v>3729</v>
      </c>
      <c r="H2636" s="20" t="s">
        <v>3797</v>
      </c>
    </row>
    <row r="2637" spans="1:11">
      <c r="A2637" s="21"/>
      <c r="B2637" s="22" t="s">
        <v>3730</v>
      </c>
      <c r="C2637" s="23"/>
      <c r="D2637" s="24"/>
      <c r="E2637" s="25"/>
      <c r="F2637" s="26"/>
      <c r="G2637" s="27">
        <f>SUM(G2638:G2642)</f>
        <v>664733.2305577643</v>
      </c>
      <c r="H2637" s="27">
        <f>IFERROR(G2637*E2635,"")</f>
        <v>0</v>
      </c>
    </row>
    <row r="2638" spans="1:11">
      <c r="A2638" s="28"/>
      <c r="B2638" s="29" t="s">
        <v>3239</v>
      </c>
      <c r="C2638" s="30" t="str">
        <f>IFERROR(_xlfn.XLOOKUP(B2638,Insumo[DESCRIPCION],Insumo[UND],,0),"")</f>
        <v>M3</v>
      </c>
      <c r="D2638" s="31">
        <f>2.4/4</f>
        <v>0.6</v>
      </c>
      <c r="E2638" s="32">
        <f>IFERROR(_xlfn.XLOOKUP($B2638,Insumo[DESCRIPCION],Insumo[VALOR],,0),"")</f>
        <v>521159.50227762427</v>
      </c>
      <c r="F2638" s="33">
        <v>3</v>
      </c>
      <c r="G2638" s="34">
        <f>IFERROR(IF(F2638&gt;=0,D2638*E2638*(1+F2638/100),ABS(D2638*E2638/F2638)),"")</f>
        <v>322076.57240757183</v>
      </c>
      <c r="H2638" s="43">
        <f>IFERROR(G2638*E2635,"")</f>
        <v>0</v>
      </c>
    </row>
    <row r="2639" spans="1:11">
      <c r="A2639" s="28"/>
      <c r="B2639" s="29" t="s">
        <v>3242</v>
      </c>
      <c r="C2639" s="30" t="str">
        <f>IFERROR(_xlfn.XLOOKUP(B2639,Insumo[DESCRIPCION],Insumo[UND],,0),"")</f>
        <v>M3</v>
      </c>
      <c r="D2639" s="31">
        <f>1.6/4</f>
        <v>0.4</v>
      </c>
      <c r="E2639" s="32">
        <f>IFERROR(_xlfn.XLOOKUP($B2639,Insumo[DESCRIPCION],Insumo[VALOR],,0),"")</f>
        <v>448609.94602931855</v>
      </c>
      <c r="F2639" s="33">
        <v>3</v>
      </c>
      <c r="G2639" s="34">
        <f>IFERROR(IF(F2639&gt;=0,D2639*E2639*(1+F2639/100),ABS(D2639*E2639/F2639)),"")</f>
        <v>184827.29776407927</v>
      </c>
      <c r="H2639" s="43">
        <f>IFERROR(G2639*E2635,"")</f>
        <v>0</v>
      </c>
    </row>
    <row r="2640" spans="1:11">
      <c r="A2640" s="28"/>
      <c r="B2640" s="29" t="s">
        <v>2954</v>
      </c>
      <c r="C2640" s="30" t="str">
        <f>IFERROR(_xlfn.XLOOKUP(B2640,Insumo[DESCRIPCION],Insumo[UND],,0),"")</f>
        <v>M2</v>
      </c>
      <c r="D2640" s="31">
        <v>1.5</v>
      </c>
      <c r="E2640" s="32">
        <f>IFERROR(_xlfn.XLOOKUP($B2640,Insumo[DESCRIPCION],Insumo[VALOR],,0),"")</f>
        <v>102154.92581625449</v>
      </c>
      <c r="F2640" s="33">
        <v>3</v>
      </c>
      <c r="G2640" s="34">
        <f>IFERROR(IF(F2640&gt;=0,D2640*E2640*(1+F2640/100),ABS(D2640*E2640/F2640)),"")</f>
        <v>157829.3603861132</v>
      </c>
      <c r="H2640" s="43">
        <f>IFERROR(G2640*E2635,"")</f>
        <v>0</v>
      </c>
    </row>
    <row r="2641" spans="1:11">
      <c r="A2641" s="28"/>
      <c r="B2641" s="29"/>
      <c r="C2641" s="30" t="str">
        <f>IFERROR(_xlfn.XLOOKUP(B2641,Insumo[DESCRIPCION],Insumo[UND],,0),"")</f>
        <v/>
      </c>
      <c r="D2641" s="31"/>
      <c r="E2641" s="32" t="str">
        <f>IFERROR(_xlfn.XLOOKUP($B2641,Insumo[DESCRIPCION],Insumo[VALOR],,0),"")</f>
        <v/>
      </c>
      <c r="F2641" s="33"/>
      <c r="G2641" s="34" t="str">
        <f>IFERROR(IF(F2641&gt;=0,D2641*E2641*(1+F2641/100),ABS(D2641*E2641/F2641)),"")</f>
        <v/>
      </c>
      <c r="H2641" s="43" t="str">
        <f>IFERROR(G2641*E2635,"")</f>
        <v/>
      </c>
    </row>
    <row r="2642" spans="1:11">
      <c r="A2642" s="28"/>
      <c r="B2642" s="29"/>
      <c r="C2642" s="30" t="str">
        <f>IFERROR(_xlfn.XLOOKUP(B2642,Insumo[DESCRIPCION],Insumo[UND],,0),"")</f>
        <v/>
      </c>
      <c r="D2642" s="31"/>
      <c r="E2642" s="32" t="str">
        <f>IFERROR(_xlfn.XLOOKUP($B2642,Insumo[DESCRIPCION],Insumo[VALOR],,0),"")</f>
        <v/>
      </c>
      <c r="F2642" s="33"/>
      <c r="G2642" s="34" t="str">
        <f>IFERROR(IF(F2642&gt;=0,D2642*E2642*(1+F2642/100),ABS(D2642*E2642/F2642)),"")</f>
        <v/>
      </c>
      <c r="H2642" s="43" t="str">
        <f>IFERROR(G2642*E2635,"")</f>
        <v/>
      </c>
    </row>
    <row r="2643" spans="1:11">
      <c r="A2643" s="21"/>
      <c r="B2643" s="22" t="s">
        <v>3731</v>
      </c>
      <c r="C2643" s="23"/>
      <c r="D2643" s="24"/>
      <c r="E2643" s="25"/>
      <c r="F2643" s="26"/>
      <c r="G2643" s="27">
        <f>SUM(G2644:G2646)</f>
        <v>23718.86833439063</v>
      </c>
      <c r="H2643" s="44">
        <f>G2643*E2635</f>
        <v>0</v>
      </c>
    </row>
    <row r="2644" spans="1:11">
      <c r="A2644" s="28"/>
      <c r="B2644" s="29" t="s">
        <v>3645</v>
      </c>
      <c r="C2644" s="30" t="str">
        <f>IFERROR(_xlfn.XLOOKUP(B2644,Equipo[DESCRIPCION],Equipo[UND],,0),"")</f>
        <v>Día</v>
      </c>
      <c r="D2644" s="31">
        <v>1</v>
      </c>
      <c r="E2644" s="32">
        <f>IF(C2644="%MO",G2651,IFERROR(_xlfn.XLOOKUP($B2644,Equipo[DESCRIPCION],Equipo[VALOR],,0),""))</f>
        <v>101038.35</v>
      </c>
      <c r="F2644" s="33">
        <v>-20</v>
      </c>
      <c r="G2644" s="34">
        <f>IFERROR(IF(F2644&gt;=0,D2644*E2644*(1+F2644/100),ABS(D2644*E2644/F2644)),"")</f>
        <v>5051.9175000000005</v>
      </c>
      <c r="H2644" s="43">
        <f>IFERROR(G2644*E2635,"")</f>
        <v>0</v>
      </c>
    </row>
    <row r="2645" spans="1:11">
      <c r="A2645" s="28"/>
      <c r="B2645" s="29" t="s">
        <v>3570</v>
      </c>
      <c r="C2645" s="30" t="str">
        <f>IFERROR(_xlfn.XLOOKUP(B2645,Equipo[DESCRIPCION],Equipo[UND],,0),"")</f>
        <v>%MO</v>
      </c>
      <c r="D2645" s="31">
        <v>0.04</v>
      </c>
      <c r="E2645" s="32">
        <f>IF(C2645="%MO",G2650,IFERROR(_xlfn.XLOOKUP($B2645,Equipo[DESCRIPCION],Equipo[VALOR],,0),""))</f>
        <v>207410.56482656254</v>
      </c>
      <c r="F2645" s="33"/>
      <c r="G2645" s="34">
        <f>IFERROR(IF(F2645&gt;=0,D2645*E2645*(1+F2645/100),ABS(D2645*E2645/F2645)),"")</f>
        <v>8296.4225930625016</v>
      </c>
      <c r="H2645" s="43">
        <f>IFERROR(G2645*E2635,"")</f>
        <v>0</v>
      </c>
    </row>
    <row r="2646" spans="1:11">
      <c r="A2646" s="28"/>
      <c r="B2646" s="29" t="s">
        <v>3626</v>
      </c>
      <c r="C2646" s="30" t="str">
        <f>IFERROR(_xlfn.XLOOKUP(B2646,Equipo[DESCRIPCION],Equipo[UND],,0),"")</f>
        <v>%MO</v>
      </c>
      <c r="D2646" s="31">
        <v>0.05</v>
      </c>
      <c r="E2646" s="32">
        <f>IF(C2646="%MO",G2650,IFERROR(_xlfn.XLOOKUP($B2646,Equipo[DESCRIPCION],Equipo[VALOR],,0),""))</f>
        <v>207410.56482656254</v>
      </c>
      <c r="F2646" s="33"/>
      <c r="G2646" s="34">
        <f>IFERROR(IF(F2646&gt;=0,D2646*E2646*(1+F2646/100),ABS(D2646*E2646/F2646)),"")</f>
        <v>10370.528241328127</v>
      </c>
      <c r="H2646" s="43">
        <f>IFERROR(G2646*E2635,"")</f>
        <v>0</v>
      </c>
    </row>
    <row r="2647" spans="1:11">
      <c r="A2647" s="21"/>
      <c r="B2647" s="22" t="s">
        <v>2533</v>
      </c>
      <c r="C2647" s="23"/>
      <c r="D2647" s="24"/>
      <c r="E2647" s="25"/>
      <c r="F2647" s="26"/>
      <c r="G2647" s="27">
        <f>SUM(G2648:G2649)</f>
        <v>0</v>
      </c>
      <c r="H2647" s="44">
        <f>G2647*E2635</f>
        <v>0</v>
      </c>
    </row>
    <row r="2648" spans="1:11">
      <c r="A2648" s="28"/>
      <c r="B2648" s="29"/>
      <c r="C2648" s="30" t="str">
        <f>IFERROR(_xlfn.XLOOKUP(B2648,Transporte[DESCRIPCION],Transporte[UND],,0),"")</f>
        <v/>
      </c>
      <c r="D2648" s="31"/>
      <c r="E2648" s="32" t="str">
        <f>IFERROR(_xlfn.XLOOKUP($B2648,Transporte[DESCRIPCION],Transporte[VALOR],,0),"")</f>
        <v/>
      </c>
      <c r="F2648" s="33"/>
      <c r="G2648" s="34" t="str">
        <f>IFERROR(IF(F2648&gt;=0,D2648*E2648*(1+F2648/100),ABS(D2648*E2648/F2648)),"")</f>
        <v/>
      </c>
      <c r="H2648" s="43" t="str">
        <f>IFERROR(G2648*E2635,"")</f>
        <v/>
      </c>
    </row>
    <row r="2649" spans="1:11">
      <c r="A2649" s="28"/>
      <c r="B2649" s="29"/>
      <c r="C2649" s="30" t="str">
        <f>IFERROR(_xlfn.XLOOKUP(B2649,Transporte[DESCRIPCION],Transporte[UND],,0),"")</f>
        <v/>
      </c>
      <c r="D2649" s="31"/>
      <c r="E2649" s="32" t="str">
        <f>IFERROR(_xlfn.XLOOKUP($B2649,Transporte[DESCRIPCION],Transporte[VALOR],,0),"")</f>
        <v/>
      </c>
      <c r="F2649" s="33"/>
      <c r="G2649" s="34" t="str">
        <f>IFERROR(IF(F2649&gt;=0,D2649*E2649*(1+F2649/100),ABS(D2649*E2649/F2649)),"")</f>
        <v/>
      </c>
      <c r="H2649" s="43" t="str">
        <f>IFERROR(G2649*E2635,"")</f>
        <v/>
      </c>
    </row>
    <row r="2650" spans="1:11">
      <c r="A2650" s="21"/>
      <c r="B2650" s="22" t="s">
        <v>3732</v>
      </c>
      <c r="C2650" s="23"/>
      <c r="D2650" s="24"/>
      <c r="E2650" s="25"/>
      <c r="F2650" s="26"/>
      <c r="G2650" s="27">
        <f>SUM(G2651:G2653)</f>
        <v>207410.56482656254</v>
      </c>
      <c r="H2650" s="44">
        <f>G2650*E2635</f>
        <v>0</v>
      </c>
    </row>
    <row r="2651" spans="1:11">
      <c r="A2651" s="28"/>
      <c r="B2651" s="29" t="s">
        <v>3713</v>
      </c>
      <c r="C2651" s="30" t="str">
        <f>IFERROR(_xlfn.XLOOKUP(B2651,MObra[DESCRIPCION],MObra[UN],,0),"")</f>
        <v>día</v>
      </c>
      <c r="D2651" s="31">
        <v>1</v>
      </c>
      <c r="E2651" s="32">
        <f>IFERROR(_xlfn.XLOOKUP($B2651,MObra[DESCRIPCION],MObra[VALOR UNIT],,0),"")</f>
        <v>663713.80744500016</v>
      </c>
      <c r="F2651" s="33">
        <v>-3.2</v>
      </c>
      <c r="G2651" s="34">
        <f>IFERROR(IF(F2651&gt;=0,D2651*E2651*(1+F2651/100),ABS(D2651*E2651/F2651)),"")</f>
        <v>207410.56482656254</v>
      </c>
      <c r="H2651" s="43">
        <f>IFERROR(G2651*E2635,"")</f>
        <v>0</v>
      </c>
    </row>
    <row r="2652" spans="1:11">
      <c r="A2652" s="28"/>
      <c r="B2652" s="29"/>
      <c r="C2652" s="30" t="str">
        <f>IFERROR(_xlfn.XLOOKUP(B2652,MObra[DESCRIPCION],MObra[UN],,0),"")</f>
        <v/>
      </c>
      <c r="D2652" s="31"/>
      <c r="E2652" s="32" t="str">
        <f>IFERROR(_xlfn.XLOOKUP($B2652,MObra[DESCRIPCION],MObra[VALOR UNIT],,0),"")</f>
        <v/>
      </c>
      <c r="F2652" s="33"/>
      <c r="G2652" s="34" t="str">
        <f>IFERROR(IF(F2652&gt;=0,D2652*E2652*(1+F2652/100),ABS(D2652*E2652/F2652)),"")</f>
        <v/>
      </c>
      <c r="H2652" s="43" t="str">
        <f>IFERROR(G2652*E2635,"")</f>
        <v/>
      </c>
    </row>
    <row r="2653" spans="1:11" ht="13.15" thickBot="1">
      <c r="A2653" s="35"/>
      <c r="B2653" s="36"/>
      <c r="C2653" s="37" t="str">
        <f>IFERROR(_xlfn.XLOOKUP(B2653,MObra[DESCRIPCION],MObra[UN],,0),"")</f>
        <v/>
      </c>
      <c r="D2653" s="38"/>
      <c r="E2653" s="39" t="str">
        <f>IFERROR(_xlfn.XLOOKUP($B2653,MObra[DESCRIPCION],MObra[VALOR UNIT],,0),"")</f>
        <v/>
      </c>
      <c r="F2653" s="40"/>
      <c r="G2653" s="41" t="str">
        <f>IFERROR(IF(F2653&gt;=0,D2653*E2653*(1+F2653/100),ABS(D2653*E2653/F2653)),"")</f>
        <v/>
      </c>
      <c r="H2653" s="42" t="str">
        <f>IFERROR(G2653*E2635,"")</f>
        <v/>
      </c>
    </row>
    <row r="2654" spans="1:11" ht="13.5" thickTop="1" thickBot="1"/>
    <row r="2655" spans="1:11" ht="13.5" thickTop="1" thickBot="1">
      <c r="A2655" s="6" t="s">
        <v>1988</v>
      </c>
      <c r="B2655" s="7" t="str">
        <f>VLOOKUP($A2655,Presupuesto!$A:$D,2,FALSE())</f>
        <v>Sellado dilatación Sika Flex 1A + icopor</v>
      </c>
      <c r="C2655" s="8" t="str">
        <f>VLOOKUP($A2655,Presupuesto!$A:$D,3,FALSE())</f>
        <v>M</v>
      </c>
      <c r="D2655" s="9"/>
      <c r="E2655" s="10">
        <f>VLOOKUP($A2655,Presupuesto!$A:$D,4,FALSE())</f>
        <v>0</v>
      </c>
      <c r="F2655" s="11" t="s">
        <v>2589</v>
      </c>
      <c r="G2655" s="12">
        <f>SUM(G2657:G2673)/2</f>
        <v>6491.2128843975006</v>
      </c>
      <c r="H2655" s="13">
        <f>ROUND(SUM(H2657:H2673),0)/2</f>
        <v>0</v>
      </c>
      <c r="I2655" s="10">
        <f>VLOOKUP(A2655,Presupuesto!$A:$F,6,0)</f>
        <v>0</v>
      </c>
      <c r="J2655" s="10">
        <f>+H2655-I2655</f>
        <v>0</v>
      </c>
      <c r="K2655" s="46">
        <f>+H2655-G2655*E2655</f>
        <v>0</v>
      </c>
    </row>
    <row r="2656" spans="1:11" ht="13.15" thickTop="1">
      <c r="A2656" s="14"/>
      <c r="B2656" s="15" t="s">
        <v>2586</v>
      </c>
      <c r="C2656" s="15" t="s">
        <v>5</v>
      </c>
      <c r="D2656" s="16" t="s">
        <v>6</v>
      </c>
      <c r="E2656" s="17" t="s">
        <v>7</v>
      </c>
      <c r="F2656" s="18" t="s">
        <v>3728</v>
      </c>
      <c r="G2656" s="19" t="s">
        <v>3729</v>
      </c>
      <c r="H2656" s="20" t="s">
        <v>3797</v>
      </c>
    </row>
    <row r="2657" spans="1:8">
      <c r="A2657" s="21"/>
      <c r="B2657" s="22" t="s">
        <v>3730</v>
      </c>
      <c r="C2657" s="23"/>
      <c r="D2657" s="24"/>
      <c r="E2657" s="25"/>
      <c r="F2657" s="26"/>
      <c r="G2657" s="27">
        <f>SUM(G2658:G2662)</f>
        <v>3190.1100000000006</v>
      </c>
      <c r="H2657" s="27">
        <f>IFERROR(G2657*E2655,"")</f>
        <v>0</v>
      </c>
    </row>
    <row r="2658" spans="1:8">
      <c r="A2658" s="28"/>
      <c r="B2658" s="29" t="s">
        <v>3309</v>
      </c>
      <c r="C2658" s="30" t="str">
        <f>IFERROR(_xlfn.XLOOKUP(B2658,Insumo[DESCRIPCION],Insumo[UND],,0),"")</f>
        <v>Un</v>
      </c>
      <c r="D2658" s="31">
        <v>0.05</v>
      </c>
      <c r="E2658" s="32">
        <f>IFERROR(_xlfn.XLOOKUP($B2658,Insumo[DESCRIPCION],Insumo[VALOR],,0),"")</f>
        <v>56717.850000000006</v>
      </c>
      <c r="F2658" s="33"/>
      <c r="G2658" s="34">
        <f>IFERROR(IF(F2658&gt;=0,D2658*E2658*(1+F2658/100),ABS(D2658*E2658/F2658)),"")</f>
        <v>2835.8925000000004</v>
      </c>
      <c r="H2658" s="43">
        <f>IFERROR(G2658*E2655,"")</f>
        <v>0</v>
      </c>
    </row>
    <row r="2659" spans="1:8">
      <c r="A2659" s="28"/>
      <c r="B2659" s="29" t="s">
        <v>2998</v>
      </c>
      <c r="C2659" s="30" t="str">
        <f>IFERROR(_xlfn.XLOOKUP(B2659,Insumo[DESCRIPCION],Insumo[UND],,0),"")</f>
        <v>M2</v>
      </c>
      <c r="D2659" s="31">
        <v>0.05</v>
      </c>
      <c r="E2659" s="32">
        <f>IFERROR(_xlfn.XLOOKUP($B2659,Insumo[DESCRIPCION],Insumo[VALOR],,0),"")</f>
        <v>7084.35</v>
      </c>
      <c r="F2659" s="33"/>
      <c r="G2659" s="34">
        <f>IFERROR(IF(F2659&gt;=0,D2659*E2659*(1+F2659/100),ABS(D2659*E2659/F2659)),"")</f>
        <v>354.21750000000003</v>
      </c>
      <c r="H2659" s="43">
        <f>IFERROR(G2659*E2655,"")</f>
        <v>0</v>
      </c>
    </row>
    <row r="2660" spans="1:8">
      <c r="A2660" s="28"/>
      <c r="B2660" s="29"/>
      <c r="C2660" s="30" t="str">
        <f>IFERROR(_xlfn.XLOOKUP(B2660,Insumo[DESCRIPCION],Insumo[UND],,0),"")</f>
        <v/>
      </c>
      <c r="D2660" s="31"/>
      <c r="E2660" s="32" t="str">
        <f>IFERROR(_xlfn.XLOOKUP($B2660,Insumo[DESCRIPCION],Insumo[VALOR],,0),"")</f>
        <v/>
      </c>
      <c r="F2660" s="33"/>
      <c r="G2660" s="34" t="str">
        <f>IFERROR(IF(F2660&gt;=0,D2660*E2660*(1+F2660/100),ABS(D2660*E2660/F2660)),"")</f>
        <v/>
      </c>
      <c r="H2660" s="43" t="str">
        <f>IFERROR(G2660*E2655,"")</f>
        <v/>
      </c>
    </row>
    <row r="2661" spans="1:8">
      <c r="A2661" s="28"/>
      <c r="B2661" s="29"/>
      <c r="C2661" s="30" t="str">
        <f>IFERROR(_xlfn.XLOOKUP(B2661,Insumo[DESCRIPCION],Insumo[UND],,0),"")</f>
        <v/>
      </c>
      <c r="D2661" s="31"/>
      <c r="E2661" s="32" t="str">
        <f>IFERROR(_xlfn.XLOOKUP($B2661,Insumo[DESCRIPCION],Insumo[VALOR],,0),"")</f>
        <v/>
      </c>
      <c r="F2661" s="33"/>
      <c r="G2661" s="34" t="str">
        <f>IFERROR(IF(F2661&gt;=0,D2661*E2661*(1+F2661/100),ABS(D2661*E2661/F2661)),"")</f>
        <v/>
      </c>
      <c r="H2661" s="43" t="str">
        <f>IFERROR(G2661*E2655,"")</f>
        <v/>
      </c>
    </row>
    <row r="2662" spans="1:8">
      <c r="A2662" s="28"/>
      <c r="B2662" s="29"/>
      <c r="C2662" s="30" t="str">
        <f>IFERROR(_xlfn.XLOOKUP(B2662,Insumo[DESCRIPCION],Insumo[UND],,0),"")</f>
        <v/>
      </c>
      <c r="D2662" s="31"/>
      <c r="E2662" s="32" t="str">
        <f>IFERROR(_xlfn.XLOOKUP($B2662,Insumo[DESCRIPCION],Insumo[VALOR],,0),"")</f>
        <v/>
      </c>
      <c r="F2662" s="33"/>
      <c r="G2662" s="34" t="str">
        <f>IFERROR(IF(F2662&gt;=0,D2662*E2662*(1+F2662/100),ABS(D2662*E2662/F2662)),"")</f>
        <v/>
      </c>
      <c r="H2662" s="43" t="str">
        <f>IFERROR(G2662*E2655,"")</f>
        <v/>
      </c>
    </row>
    <row r="2663" spans="1:8">
      <c r="A2663" s="21"/>
      <c r="B2663" s="22" t="s">
        <v>3731</v>
      </c>
      <c r="C2663" s="23"/>
      <c r="D2663" s="24"/>
      <c r="E2663" s="25"/>
      <c r="F2663" s="26"/>
      <c r="G2663" s="27">
        <f>SUM(G2664:G2666)</f>
        <v>157.19537544750006</v>
      </c>
      <c r="H2663" s="44">
        <f>G2663*E2655</f>
        <v>0</v>
      </c>
    </row>
    <row r="2664" spans="1:8">
      <c r="A2664" s="28"/>
      <c r="B2664" s="29" t="s">
        <v>3626</v>
      </c>
      <c r="C2664" s="30" t="str">
        <f>IFERROR(_xlfn.XLOOKUP(B2664,Equipo[DESCRIPCION],Equipo[UND],,0),"")</f>
        <v>%MO</v>
      </c>
      <c r="D2664" s="31">
        <v>0.05</v>
      </c>
      <c r="E2664" s="32">
        <f>IF(C2664="%MO",G2670,IFERROR(_xlfn.XLOOKUP($B2664,Equipo[DESCRIPCION],Equipo[VALOR],,0),""))</f>
        <v>3143.9075089500006</v>
      </c>
      <c r="F2664" s="33"/>
      <c r="G2664" s="34">
        <f>IFERROR(IF(F2664&gt;=0,D2664*E2664*(1+F2664/100),ABS(D2664*E2664/F2664)),"")</f>
        <v>157.19537544750006</v>
      </c>
      <c r="H2664" s="43">
        <f>IFERROR(G2664*E2655,"")</f>
        <v>0</v>
      </c>
    </row>
    <row r="2665" spans="1:8">
      <c r="A2665" s="28"/>
      <c r="B2665" s="29"/>
      <c r="C2665" s="30" t="str">
        <f>IFERROR(_xlfn.XLOOKUP(B2665,Equipo[DESCRIPCION],Equipo[UND],,0),"")</f>
        <v/>
      </c>
      <c r="D2665" s="31"/>
      <c r="E2665" s="32" t="str">
        <f>IF(C2665="%MO",G2670,IFERROR(_xlfn.XLOOKUP($B2665,Equipo[DESCRIPCION],Equipo[VALOR],,0),""))</f>
        <v/>
      </c>
      <c r="F2665" s="33"/>
      <c r="G2665" s="34" t="str">
        <f>IFERROR(IF(F2665&gt;=0,D2665*E2665*(1+F2665/100),ABS(D2665*E2665/F2665)),"")</f>
        <v/>
      </c>
      <c r="H2665" s="43" t="str">
        <f>IFERROR(G2665*E2655,"")</f>
        <v/>
      </c>
    </row>
    <row r="2666" spans="1:8">
      <c r="A2666" s="28"/>
      <c r="B2666" s="29"/>
      <c r="C2666" s="30" t="str">
        <f>IFERROR(_xlfn.XLOOKUP(B2666,Equipo[DESCRIPCION],Equipo[UND],,0),"")</f>
        <v/>
      </c>
      <c r="D2666" s="31"/>
      <c r="E2666" s="32" t="str">
        <f>IF(C2666="%MO",G2670,IFERROR(_xlfn.XLOOKUP($B2666,Equipo[DESCRIPCION],Equipo[VALOR],,0),""))</f>
        <v/>
      </c>
      <c r="F2666" s="33"/>
      <c r="G2666" s="34" t="str">
        <f>IFERROR(IF(F2666&gt;=0,D2666*E2666*(1+F2666/100),ABS(D2666*E2666/F2666)),"")</f>
        <v/>
      </c>
      <c r="H2666" s="43" t="str">
        <f>IFERROR(G2666*E2655,"")</f>
        <v/>
      </c>
    </row>
    <row r="2667" spans="1:8">
      <c r="A2667" s="21"/>
      <c r="B2667" s="22" t="s">
        <v>2533</v>
      </c>
      <c r="C2667" s="23"/>
      <c r="D2667" s="24"/>
      <c r="E2667" s="25"/>
      <c r="F2667" s="26"/>
      <c r="G2667" s="27">
        <f>SUM(G2668:G2669)</f>
        <v>0</v>
      </c>
      <c r="H2667" s="44">
        <f>G2667*E2655</f>
        <v>0</v>
      </c>
    </row>
    <row r="2668" spans="1:8">
      <c r="A2668" s="28"/>
      <c r="B2668" s="29"/>
      <c r="C2668" s="30" t="str">
        <f>IFERROR(_xlfn.XLOOKUP(B2668,Transporte[DESCRIPCION],Transporte[UND],,0),"")</f>
        <v/>
      </c>
      <c r="D2668" s="31"/>
      <c r="E2668" s="32" t="str">
        <f>IFERROR(_xlfn.XLOOKUP($B2668,Transporte[DESCRIPCION],Transporte[VALOR],,0),"")</f>
        <v/>
      </c>
      <c r="F2668" s="33"/>
      <c r="G2668" s="34" t="str">
        <f>IFERROR(IF(F2668&gt;=0,D2668*E2668*(1+F2668/100),ABS(D2668*E2668/F2668)),"")</f>
        <v/>
      </c>
      <c r="H2668" s="43" t="str">
        <f>IFERROR(G2668*E2655,"")</f>
        <v/>
      </c>
    </row>
    <row r="2669" spans="1:8">
      <c r="A2669" s="28"/>
      <c r="B2669" s="29"/>
      <c r="C2669" s="30" t="str">
        <f>IFERROR(_xlfn.XLOOKUP(B2669,Transporte[DESCRIPCION],Transporte[UND],,0),"")</f>
        <v/>
      </c>
      <c r="D2669" s="31"/>
      <c r="E2669" s="32" t="str">
        <f>IFERROR(_xlfn.XLOOKUP($B2669,Transporte[DESCRIPCION],Transporte[VALOR],,0),"")</f>
        <v/>
      </c>
      <c r="F2669" s="33"/>
      <c r="G2669" s="34" t="str">
        <f>IFERROR(IF(F2669&gt;=0,D2669*E2669*(1+F2669/100),ABS(D2669*E2669/F2669)),"")</f>
        <v/>
      </c>
      <c r="H2669" s="43" t="str">
        <f>IFERROR(G2669*E2655,"")</f>
        <v/>
      </c>
    </row>
    <row r="2670" spans="1:8">
      <c r="A2670" s="21"/>
      <c r="B2670" s="22" t="s">
        <v>3732</v>
      </c>
      <c r="C2670" s="23"/>
      <c r="D2670" s="24"/>
      <c r="E2670" s="25"/>
      <c r="F2670" s="26"/>
      <c r="G2670" s="27">
        <f>SUM(G2671:G2673)</f>
        <v>3143.9075089500006</v>
      </c>
      <c r="H2670" s="44">
        <f>G2670*E2655</f>
        <v>0</v>
      </c>
    </row>
    <row r="2671" spans="1:8">
      <c r="A2671" s="28"/>
      <c r="B2671" s="29" t="s">
        <v>3710</v>
      </c>
      <c r="C2671" s="30" t="str">
        <f>IFERROR(_xlfn.XLOOKUP(B2671,MObra[DESCRIPCION],MObra[UN],,0),"")</f>
        <v>día</v>
      </c>
      <c r="D2671" s="31">
        <v>1</v>
      </c>
      <c r="E2671" s="32">
        <f>IFERROR(_xlfn.XLOOKUP($B2671,MObra[DESCRIPCION],MObra[VALOR UNIT],,0),"")</f>
        <v>314390.75089500006</v>
      </c>
      <c r="F2671" s="33">
        <v>-100</v>
      </c>
      <c r="G2671" s="34">
        <f>IFERROR(IF(F2671&gt;=0,D2671*E2671*(1+F2671/100),ABS(D2671*E2671/F2671)),"")</f>
        <v>3143.9075089500006</v>
      </c>
      <c r="H2671" s="43">
        <f>IFERROR(G2671*E2655,"")</f>
        <v>0</v>
      </c>
    </row>
    <row r="2672" spans="1:8">
      <c r="A2672" s="28"/>
      <c r="B2672" s="29"/>
      <c r="C2672" s="30" t="str">
        <f>IFERROR(_xlfn.XLOOKUP(B2672,MObra[DESCRIPCION],MObra[UN],,0),"")</f>
        <v/>
      </c>
      <c r="D2672" s="31"/>
      <c r="E2672" s="32" t="str">
        <f>IFERROR(_xlfn.XLOOKUP($B2672,MObra[DESCRIPCION],MObra[VALOR UNIT],,0),"")</f>
        <v/>
      </c>
      <c r="F2672" s="33"/>
      <c r="G2672" s="34" t="str">
        <f>IFERROR(IF(F2672&gt;=0,D2672*E2672*(1+F2672/100),ABS(D2672*E2672/F2672)),"")</f>
        <v/>
      </c>
      <c r="H2672" s="43" t="str">
        <f>IFERROR(G2672*E2655,"")</f>
        <v/>
      </c>
    </row>
    <row r="2673" spans="1:11" ht="13.15" thickBot="1">
      <c r="A2673" s="35"/>
      <c r="B2673" s="36"/>
      <c r="C2673" s="37" t="str">
        <f>IFERROR(_xlfn.XLOOKUP(B2673,MObra[DESCRIPCION],MObra[UN],,0),"")</f>
        <v/>
      </c>
      <c r="D2673" s="38"/>
      <c r="E2673" s="39" t="str">
        <f>IFERROR(_xlfn.XLOOKUP($B2673,MObra[DESCRIPCION],MObra[VALOR UNIT],,0),"")</f>
        <v/>
      </c>
      <c r="F2673" s="40"/>
      <c r="G2673" s="41" t="str">
        <f>IFERROR(IF(F2673&gt;=0,D2673*E2673*(1+F2673/100),ABS(D2673*E2673/F2673)),"")</f>
        <v/>
      </c>
      <c r="H2673" s="42" t="str">
        <f>IFERROR(G2673*E2655,"")</f>
        <v/>
      </c>
    </row>
    <row r="2674" spans="1:11" ht="13.5" thickTop="1" thickBot="1"/>
    <row r="2675" spans="1:11" ht="26.25" thickTop="1" thickBot="1">
      <c r="A2675" s="6" t="s">
        <v>1990</v>
      </c>
      <c r="B2675" s="7" t="str">
        <f>VLOOKUP($A2675,Presupuesto!$A:$D,2,FALSE())</f>
        <v>Sellado fisuras, juntas y dilataciones. Concreto asfaltico modificado tipo Polibit o similar, incluye equipo Crafco o similar y equipo de aire a presión</v>
      </c>
      <c r="C2675" s="8" t="str">
        <f>VLOOKUP($A2675,Presupuesto!$A:$D,3,FALSE())</f>
        <v>M</v>
      </c>
      <c r="D2675" s="9"/>
      <c r="E2675" s="10">
        <f>VLOOKUP($A2675,Presupuesto!$A:$D,4,FALSE())</f>
        <v>0</v>
      </c>
      <c r="F2675" s="11" t="s">
        <v>2589</v>
      </c>
      <c r="G2675" s="12">
        <f>SUM(G2677:G2693)/2</f>
        <v>10053.326730496876</v>
      </c>
      <c r="H2675" s="13">
        <f>ROUND(SUM(H2677:H2693),0)/2</f>
        <v>0</v>
      </c>
      <c r="I2675" s="10">
        <f>VLOOKUP(A2675,Presupuesto!$A:$F,6,0)</f>
        <v>0</v>
      </c>
      <c r="J2675" s="10">
        <f>+H2675-I2675</f>
        <v>0</v>
      </c>
      <c r="K2675" s="46">
        <f>+H2675-G2675*E2675</f>
        <v>0</v>
      </c>
    </row>
    <row r="2676" spans="1:11" ht="13.15" thickTop="1">
      <c r="A2676" s="14"/>
      <c r="B2676" s="15" t="s">
        <v>2586</v>
      </c>
      <c r="C2676" s="15" t="s">
        <v>5</v>
      </c>
      <c r="D2676" s="16" t="s">
        <v>6</v>
      </c>
      <c r="E2676" s="17" t="s">
        <v>7</v>
      </c>
      <c r="F2676" s="18" t="s">
        <v>3728</v>
      </c>
      <c r="G2676" s="19" t="s">
        <v>3729</v>
      </c>
      <c r="H2676" s="20" t="s">
        <v>3797</v>
      </c>
    </row>
    <row r="2677" spans="1:11">
      <c r="A2677" s="21"/>
      <c r="B2677" s="22" t="s">
        <v>3730</v>
      </c>
      <c r="C2677" s="23"/>
      <c r="D2677" s="24"/>
      <c r="E2677" s="25"/>
      <c r="F2677" s="26"/>
      <c r="G2677" s="27">
        <f>SUM(G2678:G2682)</f>
        <v>2374.9950000000003</v>
      </c>
      <c r="H2677" s="27">
        <f>IFERROR(G2677*E2675,"")</f>
        <v>0</v>
      </c>
    </row>
    <row r="2678" spans="1:11">
      <c r="A2678" s="28"/>
      <c r="B2678" s="29" t="s">
        <v>2723</v>
      </c>
      <c r="C2678" s="30" t="str">
        <f>IFERROR(_xlfn.XLOOKUP(B2678,Insumo[DESCRIPCION],Insumo[UND],,0),"")</f>
        <v>galón</v>
      </c>
      <c r="D2678" s="31">
        <v>0.1</v>
      </c>
      <c r="E2678" s="32">
        <f>IFERROR(_xlfn.XLOOKUP($B2678,Insumo[DESCRIPCION],Insumo[VALOR],,0),"")</f>
        <v>23749.95</v>
      </c>
      <c r="F2678" s="33"/>
      <c r="G2678" s="34">
        <f>IFERROR(IF(F2678&gt;=0,D2678*E2678*(1+F2678/100),ABS(D2678*E2678/F2678)),"")</f>
        <v>2374.9950000000003</v>
      </c>
      <c r="H2678" s="43">
        <f>IFERROR(G2678*E2675,"")</f>
        <v>0</v>
      </c>
    </row>
    <row r="2679" spans="1:11">
      <c r="A2679" s="28"/>
      <c r="B2679" s="29"/>
      <c r="C2679" s="30" t="str">
        <f>IFERROR(_xlfn.XLOOKUP(B2679,Insumo[DESCRIPCION],Insumo[UND],,0),"")</f>
        <v/>
      </c>
      <c r="D2679" s="31"/>
      <c r="E2679" s="32" t="str">
        <f>IFERROR(_xlfn.XLOOKUP($B2679,Insumo[DESCRIPCION],Insumo[VALOR],,0),"")</f>
        <v/>
      </c>
      <c r="F2679" s="33"/>
      <c r="G2679" s="34" t="str">
        <f>IFERROR(IF(F2679&gt;=0,D2679*E2679*(1+F2679/100),ABS(D2679*E2679/F2679)),"")</f>
        <v/>
      </c>
      <c r="H2679" s="43" t="str">
        <f>IFERROR(G2679*E2675,"")</f>
        <v/>
      </c>
    </row>
    <row r="2680" spans="1:11">
      <c r="A2680" s="28"/>
      <c r="B2680" s="29"/>
      <c r="C2680" s="30" t="str">
        <f>IFERROR(_xlfn.XLOOKUP(B2680,Insumo[DESCRIPCION],Insumo[UND],,0),"")</f>
        <v/>
      </c>
      <c r="D2680" s="31"/>
      <c r="E2680" s="32" t="str">
        <f>IFERROR(_xlfn.XLOOKUP($B2680,Insumo[DESCRIPCION],Insumo[VALOR],,0),"")</f>
        <v/>
      </c>
      <c r="F2680" s="33"/>
      <c r="G2680" s="34" t="str">
        <f>IFERROR(IF(F2680&gt;=0,D2680*E2680*(1+F2680/100),ABS(D2680*E2680/F2680)),"")</f>
        <v/>
      </c>
      <c r="H2680" s="43" t="str">
        <f>IFERROR(G2680*E2675,"")</f>
        <v/>
      </c>
    </row>
    <row r="2681" spans="1:11">
      <c r="A2681" s="28"/>
      <c r="B2681" s="29"/>
      <c r="C2681" s="30" t="str">
        <f>IFERROR(_xlfn.XLOOKUP(B2681,Insumo[DESCRIPCION],Insumo[UND],,0),"")</f>
        <v/>
      </c>
      <c r="D2681" s="31"/>
      <c r="E2681" s="32" t="str">
        <f>IFERROR(_xlfn.XLOOKUP($B2681,Insumo[DESCRIPCION],Insumo[VALOR],,0),"")</f>
        <v/>
      </c>
      <c r="F2681" s="33"/>
      <c r="G2681" s="34" t="str">
        <f>IFERROR(IF(F2681&gt;=0,D2681*E2681*(1+F2681/100),ABS(D2681*E2681/F2681)),"")</f>
        <v/>
      </c>
      <c r="H2681" s="43" t="str">
        <f>IFERROR(G2681*E2675,"")</f>
        <v/>
      </c>
    </row>
    <row r="2682" spans="1:11">
      <c r="A2682" s="28"/>
      <c r="B2682" s="29"/>
      <c r="C2682" s="30" t="str">
        <f>IFERROR(_xlfn.XLOOKUP(B2682,Insumo[DESCRIPCION],Insumo[UND],,0),"")</f>
        <v/>
      </c>
      <c r="D2682" s="31"/>
      <c r="E2682" s="32" t="str">
        <f>IFERROR(_xlfn.XLOOKUP($B2682,Insumo[DESCRIPCION],Insumo[VALOR],,0),"")</f>
        <v/>
      </c>
      <c r="F2682" s="33"/>
      <c r="G2682" s="34" t="str">
        <f>IFERROR(IF(F2682&gt;=0,D2682*E2682*(1+F2682/100),ABS(D2682*E2682/F2682)),"")</f>
        <v/>
      </c>
      <c r="H2682" s="43" t="str">
        <f>IFERROR(G2682*E2675,"")</f>
        <v/>
      </c>
    </row>
    <row r="2683" spans="1:11">
      <c r="A2683" s="21"/>
      <c r="B2683" s="22" t="s">
        <v>3731</v>
      </c>
      <c r="C2683" s="23"/>
      <c r="D2683" s="24"/>
      <c r="E2683" s="25"/>
      <c r="F2683" s="26"/>
      <c r="G2683" s="27">
        <f>SUM(G2684:G2686)</f>
        <v>3748.4473443093752</v>
      </c>
      <c r="H2683" s="44">
        <f>G2683*E2675</f>
        <v>0</v>
      </c>
    </row>
    <row r="2684" spans="1:11">
      <c r="A2684" s="28"/>
      <c r="B2684" s="29" t="s">
        <v>3607</v>
      </c>
      <c r="C2684" s="30" t="str">
        <f>IFERROR(_xlfn.XLOOKUP(B2684,Equipo[DESCRIPCION],Equipo[UND],,0),"")</f>
        <v>Día</v>
      </c>
      <c r="D2684" s="31">
        <v>1</v>
      </c>
      <c r="E2684" s="32">
        <f>IF(C2684="%MO",G2690,IFERROR(_xlfn.XLOOKUP($B2684,Equipo[DESCRIPCION],Equipo[VALOR],,0),""))</f>
        <v>284156.25</v>
      </c>
      <c r="F2684" s="33">
        <v>-80</v>
      </c>
      <c r="G2684" s="34">
        <f>IFERROR(IF(F2684&gt;=0,D2684*E2684*(1+F2684/100),ABS(D2684*E2684/F2684)),"")</f>
        <v>3551.953125</v>
      </c>
      <c r="H2684" s="43">
        <f>IFERROR(G2684*E2675,"")</f>
        <v>0</v>
      </c>
    </row>
    <row r="2685" spans="1:11">
      <c r="A2685" s="28"/>
      <c r="B2685" s="29" t="s">
        <v>3626</v>
      </c>
      <c r="C2685" s="30" t="str">
        <f>IFERROR(_xlfn.XLOOKUP(B2685,Equipo[DESCRIPCION],Equipo[UND],,0),"")</f>
        <v>%MO</v>
      </c>
      <c r="D2685" s="31">
        <v>0.05</v>
      </c>
      <c r="E2685" s="32">
        <f>IF(C2685="%MO",G2690,IFERROR(_xlfn.XLOOKUP($B2685,Equipo[DESCRIPCION],Equipo[VALOR],,0),""))</f>
        <v>3929.8843861875007</v>
      </c>
      <c r="F2685" s="33"/>
      <c r="G2685" s="34">
        <f>IFERROR(IF(F2685&gt;=0,D2685*E2685*(1+F2685/100),ABS(D2685*E2685/F2685)),"")</f>
        <v>196.49421930937504</v>
      </c>
      <c r="H2685" s="43">
        <f>IFERROR(G2685*E2675,"")</f>
        <v>0</v>
      </c>
    </row>
    <row r="2686" spans="1:11">
      <c r="A2686" s="28"/>
      <c r="B2686" s="29"/>
      <c r="C2686" s="30" t="str">
        <f>IFERROR(_xlfn.XLOOKUP(B2686,Equipo[DESCRIPCION],Equipo[UND],,0),"")</f>
        <v/>
      </c>
      <c r="D2686" s="31"/>
      <c r="E2686" s="32" t="str">
        <f>IF(C2686="%MO",G2690,IFERROR(_xlfn.XLOOKUP($B2686,Equipo[DESCRIPCION],Equipo[VALOR],,0),""))</f>
        <v/>
      </c>
      <c r="F2686" s="33"/>
      <c r="G2686" s="34" t="str">
        <f>IFERROR(IF(F2686&gt;=0,D2686*E2686*(1+F2686/100),ABS(D2686*E2686/F2686)),"")</f>
        <v/>
      </c>
      <c r="H2686" s="43" t="str">
        <f>IFERROR(G2686*E2675,"")</f>
        <v/>
      </c>
    </row>
    <row r="2687" spans="1:11">
      <c r="A2687" s="21"/>
      <c r="B2687" s="22" t="s">
        <v>2533</v>
      </c>
      <c r="C2687" s="23"/>
      <c r="D2687" s="24"/>
      <c r="E2687" s="25"/>
      <c r="F2687" s="26"/>
      <c r="G2687" s="27">
        <f>SUM(G2688:G2689)</f>
        <v>0</v>
      </c>
      <c r="H2687" s="44">
        <f>G2687*E2675</f>
        <v>0</v>
      </c>
    </row>
    <row r="2688" spans="1:11">
      <c r="A2688" s="28"/>
      <c r="B2688" s="29"/>
      <c r="C2688" s="30" t="str">
        <f>IFERROR(_xlfn.XLOOKUP(B2688,Transporte[DESCRIPCION],Transporte[UND],,0),"")</f>
        <v/>
      </c>
      <c r="D2688" s="31"/>
      <c r="E2688" s="32" t="str">
        <f>IFERROR(_xlfn.XLOOKUP($B2688,Transporte[DESCRIPCION],Transporte[VALOR],,0),"")</f>
        <v/>
      </c>
      <c r="F2688" s="33"/>
      <c r="G2688" s="34" t="str">
        <f>IFERROR(IF(F2688&gt;=0,D2688*E2688*(1+F2688/100),ABS(D2688*E2688/F2688)),"")</f>
        <v/>
      </c>
      <c r="H2688" s="43" t="str">
        <f>IFERROR(G2688*E2675,"")</f>
        <v/>
      </c>
    </row>
    <row r="2689" spans="1:11">
      <c r="A2689" s="28"/>
      <c r="B2689" s="29"/>
      <c r="C2689" s="30" t="str">
        <f>IFERROR(_xlfn.XLOOKUP(B2689,Transporte[DESCRIPCION],Transporte[UND],,0),"")</f>
        <v/>
      </c>
      <c r="D2689" s="31"/>
      <c r="E2689" s="32" t="str">
        <f>IFERROR(_xlfn.XLOOKUP($B2689,Transporte[DESCRIPCION],Transporte[VALOR],,0),"")</f>
        <v/>
      </c>
      <c r="F2689" s="33"/>
      <c r="G2689" s="34" t="str">
        <f>IFERROR(IF(F2689&gt;=0,D2689*E2689*(1+F2689/100),ABS(D2689*E2689/F2689)),"")</f>
        <v/>
      </c>
      <c r="H2689" s="43" t="str">
        <f>IFERROR(G2689*E2675,"")</f>
        <v/>
      </c>
    </row>
    <row r="2690" spans="1:11">
      <c r="A2690" s="21"/>
      <c r="B2690" s="22" t="s">
        <v>3732</v>
      </c>
      <c r="C2690" s="23"/>
      <c r="D2690" s="24"/>
      <c r="E2690" s="25"/>
      <c r="F2690" s="26"/>
      <c r="G2690" s="27">
        <f>SUM(G2691:G2693)</f>
        <v>3929.8843861875007</v>
      </c>
      <c r="H2690" s="44">
        <f>G2690*E2675</f>
        <v>0</v>
      </c>
    </row>
    <row r="2691" spans="1:11">
      <c r="A2691" s="28"/>
      <c r="B2691" s="29" t="s">
        <v>3710</v>
      </c>
      <c r="C2691" s="30" t="str">
        <f>IFERROR(_xlfn.XLOOKUP(B2691,MObra[DESCRIPCION],MObra[UN],,0),"")</f>
        <v>día</v>
      </c>
      <c r="D2691" s="31">
        <v>1</v>
      </c>
      <c r="E2691" s="32">
        <f>IFERROR(_xlfn.XLOOKUP($B2691,MObra[DESCRIPCION],MObra[VALOR UNIT],,0),"")</f>
        <v>314390.75089500006</v>
      </c>
      <c r="F2691" s="33">
        <v>-80</v>
      </c>
      <c r="G2691" s="34">
        <f>IFERROR(IF(F2691&gt;=0,D2691*E2691*(1+F2691/100),ABS(D2691*E2691/F2691)),"")</f>
        <v>3929.8843861875007</v>
      </c>
      <c r="H2691" s="43">
        <f>IFERROR(G2691*E2675,"")</f>
        <v>0</v>
      </c>
    </row>
    <row r="2692" spans="1:11">
      <c r="A2692" s="28"/>
      <c r="B2692" s="29"/>
      <c r="C2692" s="30" t="str">
        <f>IFERROR(_xlfn.XLOOKUP(B2692,MObra[DESCRIPCION],MObra[UN],,0),"")</f>
        <v/>
      </c>
      <c r="D2692" s="31"/>
      <c r="E2692" s="32" t="str">
        <f>IFERROR(_xlfn.XLOOKUP($B2692,MObra[DESCRIPCION],MObra[VALOR UNIT],,0),"")</f>
        <v/>
      </c>
      <c r="F2692" s="33"/>
      <c r="G2692" s="34" t="str">
        <f>IFERROR(IF(F2692&gt;=0,D2692*E2692*(1+F2692/100),ABS(D2692*E2692/F2692)),"")</f>
        <v/>
      </c>
      <c r="H2692" s="43" t="str">
        <f>IFERROR(G2692*E2675,"")</f>
        <v/>
      </c>
    </row>
    <row r="2693" spans="1:11" ht="13.15" thickBot="1">
      <c r="A2693" s="35"/>
      <c r="B2693" s="36"/>
      <c r="C2693" s="37" t="str">
        <f>IFERROR(_xlfn.XLOOKUP(B2693,MObra[DESCRIPCION],MObra[UN],,0),"")</f>
        <v/>
      </c>
      <c r="D2693" s="38"/>
      <c r="E2693" s="39" t="str">
        <f>IFERROR(_xlfn.XLOOKUP($B2693,MObra[DESCRIPCION],MObra[VALOR UNIT],,0),"")</f>
        <v/>
      </c>
      <c r="F2693" s="40"/>
      <c r="G2693" s="41" t="str">
        <f>IFERROR(IF(F2693&gt;=0,D2693*E2693*(1+F2693/100),ABS(D2693*E2693/F2693)),"")</f>
        <v/>
      </c>
      <c r="H2693" s="42" t="str">
        <f>IFERROR(G2693*E2675,"")</f>
        <v/>
      </c>
    </row>
    <row r="2694" spans="1:11" ht="13.5" thickTop="1" thickBot="1"/>
    <row r="2695" spans="1:11" ht="13.5" thickTop="1" thickBot="1">
      <c r="A2695" s="6" t="s">
        <v>1992</v>
      </c>
      <c r="B2695" s="7" t="str">
        <f>VLOOKUP($A2695,Presupuesto!$A:$D,2,FALSE())</f>
        <v>Sellado junta Sika Flex + SikaRoad 15</v>
      </c>
      <c r="C2695" s="8" t="str">
        <f>VLOOKUP($A2695,Presupuesto!$A:$D,3,FALSE())</f>
        <v>M</v>
      </c>
      <c r="D2695" s="9"/>
      <c r="E2695" s="10">
        <f>VLOOKUP($A2695,Presupuesto!$A:$D,4,FALSE())</f>
        <v>0</v>
      </c>
      <c r="F2695" s="11" t="s">
        <v>2589</v>
      </c>
      <c r="G2695" s="12">
        <f>SUM(G2697:G2713)/2</f>
        <v>12434.236697925002</v>
      </c>
      <c r="H2695" s="13">
        <f>ROUND(SUM(H2697:H2713),0)/2</f>
        <v>0</v>
      </c>
      <c r="I2695" s="10">
        <f>VLOOKUP(A2695,Presupuesto!$A:$F,6,0)</f>
        <v>0</v>
      </c>
      <c r="J2695" s="10">
        <f>+H2695-I2695</f>
        <v>0</v>
      </c>
      <c r="K2695" s="46">
        <f>+H2695-G2695*E2695</f>
        <v>0</v>
      </c>
    </row>
    <row r="2696" spans="1:11" ht="13.15" thickTop="1">
      <c r="A2696" s="14"/>
      <c r="B2696" s="15" t="s">
        <v>2586</v>
      </c>
      <c r="C2696" s="15" t="s">
        <v>5</v>
      </c>
      <c r="D2696" s="16" t="s">
        <v>6</v>
      </c>
      <c r="E2696" s="17" t="s">
        <v>7</v>
      </c>
      <c r="F2696" s="18" t="s">
        <v>3728</v>
      </c>
      <c r="G2696" s="19" t="s">
        <v>3729</v>
      </c>
      <c r="H2696" s="20" t="s">
        <v>3797</v>
      </c>
    </row>
    <row r="2697" spans="1:11">
      <c r="A2697" s="21"/>
      <c r="B2697" s="22" t="s">
        <v>3730</v>
      </c>
      <c r="C2697" s="23"/>
      <c r="D2697" s="24"/>
      <c r="E2697" s="25"/>
      <c r="F2697" s="26"/>
      <c r="G2697" s="27">
        <f>SUM(G2698:G2702)</f>
        <v>11211.606000000002</v>
      </c>
      <c r="H2697" s="27">
        <f>IFERROR(G2697*E2695,"")</f>
        <v>0</v>
      </c>
    </row>
    <row r="2698" spans="1:11">
      <c r="A2698" s="28"/>
      <c r="B2698" s="29" t="s">
        <v>3309</v>
      </c>
      <c r="C2698" s="30" t="str">
        <f>IFERROR(_xlfn.XLOOKUP(B2698,Insumo[DESCRIPCION],Insumo[UND],,0),"")</f>
        <v>Un</v>
      </c>
      <c r="D2698" s="31">
        <v>0.16</v>
      </c>
      <c r="E2698" s="32">
        <f>IFERROR(_xlfn.XLOOKUP($B2698,Insumo[DESCRIPCION],Insumo[VALOR],,0),"")</f>
        <v>56717.850000000006</v>
      </c>
      <c r="F2698" s="33"/>
      <c r="G2698" s="34">
        <f>IFERROR(IF(F2698&gt;=0,D2698*E2698*(1+F2698/100),ABS(D2698*E2698/F2698)),"")</f>
        <v>9074.8560000000016</v>
      </c>
      <c r="H2698" s="43">
        <f>IFERROR(G2698*E2695,"")</f>
        <v>0</v>
      </c>
    </row>
    <row r="2699" spans="1:11">
      <c r="A2699" s="28"/>
      <c r="B2699" s="29" t="s">
        <v>3314</v>
      </c>
      <c r="C2699" s="30" t="str">
        <f>IFERROR(_xlfn.XLOOKUP(B2699,Insumo[DESCRIPCION],Insumo[UND],,0),"")</f>
        <v>M</v>
      </c>
      <c r="D2699" s="31">
        <v>1</v>
      </c>
      <c r="E2699" s="32">
        <f>IFERROR(_xlfn.XLOOKUP($B2699,Insumo[DESCRIPCION],Insumo[VALOR],,0),"")</f>
        <v>2136.75</v>
      </c>
      <c r="F2699" s="33"/>
      <c r="G2699" s="34">
        <f>IFERROR(IF(F2699&gt;=0,D2699*E2699*(1+F2699/100),ABS(D2699*E2699/F2699)),"")</f>
        <v>2136.75</v>
      </c>
      <c r="H2699" s="43">
        <f>IFERROR(G2699*E2695,"")</f>
        <v>0</v>
      </c>
    </row>
    <row r="2700" spans="1:11">
      <c r="A2700" s="28"/>
      <c r="B2700" s="29"/>
      <c r="C2700" s="30" t="str">
        <f>IFERROR(_xlfn.XLOOKUP(B2700,Insumo[DESCRIPCION],Insumo[UND],,0),"")</f>
        <v/>
      </c>
      <c r="D2700" s="31"/>
      <c r="E2700" s="32" t="str">
        <f>IFERROR(_xlfn.XLOOKUP($B2700,Insumo[DESCRIPCION],Insumo[VALOR],,0),"")</f>
        <v/>
      </c>
      <c r="F2700" s="33"/>
      <c r="G2700" s="34" t="str">
        <f>IFERROR(IF(F2700&gt;=0,D2700*E2700*(1+F2700/100),ABS(D2700*E2700/F2700)),"")</f>
        <v/>
      </c>
      <c r="H2700" s="43" t="str">
        <f>IFERROR(G2700*E2695,"")</f>
        <v/>
      </c>
    </row>
    <row r="2701" spans="1:11">
      <c r="A2701" s="28"/>
      <c r="B2701" s="29"/>
      <c r="C2701" s="30" t="str">
        <f>IFERROR(_xlfn.XLOOKUP(B2701,Insumo[DESCRIPCION],Insumo[UND],,0),"")</f>
        <v/>
      </c>
      <c r="D2701" s="31"/>
      <c r="E2701" s="32" t="str">
        <f>IFERROR(_xlfn.XLOOKUP($B2701,Insumo[DESCRIPCION],Insumo[VALOR],,0),"")</f>
        <v/>
      </c>
      <c r="F2701" s="33"/>
      <c r="G2701" s="34" t="str">
        <f>IFERROR(IF(F2701&gt;=0,D2701*E2701*(1+F2701/100),ABS(D2701*E2701/F2701)),"")</f>
        <v/>
      </c>
      <c r="H2701" s="43" t="str">
        <f>IFERROR(G2701*E2695,"")</f>
        <v/>
      </c>
    </row>
    <row r="2702" spans="1:11">
      <c r="A2702" s="28"/>
      <c r="B2702" s="29"/>
      <c r="C2702" s="30" t="str">
        <f>IFERROR(_xlfn.XLOOKUP(B2702,Insumo[DESCRIPCION],Insumo[UND],,0),"")</f>
        <v/>
      </c>
      <c r="D2702" s="31"/>
      <c r="E2702" s="32" t="str">
        <f>IFERROR(_xlfn.XLOOKUP($B2702,Insumo[DESCRIPCION],Insumo[VALOR],,0),"")</f>
        <v/>
      </c>
      <c r="F2702" s="33"/>
      <c r="G2702" s="34" t="str">
        <f>IFERROR(IF(F2702&gt;=0,D2702*E2702*(1+F2702/100),ABS(D2702*E2702/F2702)),"")</f>
        <v/>
      </c>
      <c r="H2702" s="43" t="str">
        <f>IFERROR(G2702*E2695,"")</f>
        <v/>
      </c>
    </row>
    <row r="2703" spans="1:11">
      <c r="A2703" s="21"/>
      <c r="B2703" s="22" t="s">
        <v>3731</v>
      </c>
      <c r="C2703" s="23"/>
      <c r="D2703" s="24"/>
      <c r="E2703" s="25"/>
      <c r="F2703" s="26"/>
      <c r="G2703" s="27">
        <f>SUM(G2704:G2706)</f>
        <v>58.220509425000017</v>
      </c>
      <c r="H2703" s="44">
        <f>G2703*E2695</f>
        <v>0</v>
      </c>
    </row>
    <row r="2704" spans="1:11">
      <c r="A2704" s="28"/>
      <c r="B2704" s="29" t="s">
        <v>3626</v>
      </c>
      <c r="C2704" s="30" t="str">
        <f>IFERROR(_xlfn.XLOOKUP(B2704,Equipo[DESCRIPCION],Equipo[UND],,0),"")</f>
        <v>%MO</v>
      </c>
      <c r="D2704" s="31">
        <v>0.05</v>
      </c>
      <c r="E2704" s="32">
        <f>IF(C2704="%MO",G2710,IFERROR(_xlfn.XLOOKUP($B2704,Equipo[DESCRIPCION],Equipo[VALOR],,0),""))</f>
        <v>1164.4101885000002</v>
      </c>
      <c r="F2704" s="33"/>
      <c r="G2704" s="34">
        <f>IFERROR(IF(F2704&gt;=0,D2704*E2704*(1+F2704/100),ABS(D2704*E2704/F2704)),"")</f>
        <v>58.220509425000017</v>
      </c>
      <c r="H2704" s="43">
        <f>IFERROR(G2704*E2695,"")</f>
        <v>0</v>
      </c>
    </row>
    <row r="2705" spans="1:11">
      <c r="A2705" s="28"/>
      <c r="B2705" s="29"/>
      <c r="C2705" s="30" t="str">
        <f>IFERROR(_xlfn.XLOOKUP(B2705,Equipo[DESCRIPCION],Equipo[UND],,0),"")</f>
        <v/>
      </c>
      <c r="D2705" s="31"/>
      <c r="E2705" s="32" t="str">
        <f>IF(C2705="%MO",G2710,IFERROR(_xlfn.XLOOKUP($B2705,Equipo[DESCRIPCION],Equipo[VALOR],,0),""))</f>
        <v/>
      </c>
      <c r="F2705" s="33"/>
      <c r="G2705" s="34" t="str">
        <f>IFERROR(IF(F2705&gt;=0,D2705*E2705*(1+F2705/100),ABS(D2705*E2705/F2705)),"")</f>
        <v/>
      </c>
      <c r="H2705" s="43" t="str">
        <f>IFERROR(G2705*E2695,"")</f>
        <v/>
      </c>
    </row>
    <row r="2706" spans="1:11">
      <c r="A2706" s="28"/>
      <c r="B2706" s="29"/>
      <c r="C2706" s="30" t="str">
        <f>IFERROR(_xlfn.XLOOKUP(B2706,Equipo[DESCRIPCION],Equipo[UND],,0),"")</f>
        <v/>
      </c>
      <c r="D2706" s="31"/>
      <c r="E2706" s="32" t="str">
        <f>IF(C2706="%MO",G2710,IFERROR(_xlfn.XLOOKUP($B2706,Equipo[DESCRIPCION],Equipo[VALOR],,0),""))</f>
        <v/>
      </c>
      <c r="F2706" s="33"/>
      <c r="G2706" s="34" t="str">
        <f>IFERROR(IF(F2706&gt;=0,D2706*E2706*(1+F2706/100),ABS(D2706*E2706/F2706)),"")</f>
        <v/>
      </c>
      <c r="H2706" s="43" t="str">
        <f>IFERROR(G2706*E2695,"")</f>
        <v/>
      </c>
    </row>
    <row r="2707" spans="1:11">
      <c r="A2707" s="21"/>
      <c r="B2707" s="22" t="s">
        <v>2533</v>
      </c>
      <c r="C2707" s="23"/>
      <c r="D2707" s="24"/>
      <c r="E2707" s="25"/>
      <c r="F2707" s="26"/>
      <c r="G2707" s="27">
        <f>SUM(G2708:G2709)</f>
        <v>0</v>
      </c>
      <c r="H2707" s="44">
        <f>G2707*E2695</f>
        <v>0</v>
      </c>
    </row>
    <row r="2708" spans="1:11">
      <c r="A2708" s="28"/>
      <c r="B2708" s="29"/>
      <c r="C2708" s="30" t="str">
        <f>IFERROR(_xlfn.XLOOKUP(B2708,Transporte[DESCRIPCION],Transporte[UND],,0),"")</f>
        <v/>
      </c>
      <c r="D2708" s="31"/>
      <c r="E2708" s="32" t="str">
        <f>IFERROR(_xlfn.XLOOKUP($B2708,Transporte[DESCRIPCION],Transporte[VALOR],,0),"")</f>
        <v/>
      </c>
      <c r="F2708" s="33"/>
      <c r="G2708" s="34" t="str">
        <f>IFERROR(IF(F2708&gt;=0,D2708*E2708*(1+F2708/100),ABS(D2708*E2708/F2708)),"")</f>
        <v/>
      </c>
      <c r="H2708" s="43" t="str">
        <f>IFERROR(G2708*E2695,"")</f>
        <v/>
      </c>
    </row>
    <row r="2709" spans="1:11">
      <c r="A2709" s="28"/>
      <c r="B2709" s="29"/>
      <c r="C2709" s="30" t="str">
        <f>IFERROR(_xlfn.XLOOKUP(B2709,Transporte[DESCRIPCION],Transporte[UND],,0),"")</f>
        <v/>
      </c>
      <c r="D2709" s="31"/>
      <c r="E2709" s="32" t="str">
        <f>IFERROR(_xlfn.XLOOKUP($B2709,Transporte[DESCRIPCION],Transporte[VALOR],,0),"")</f>
        <v/>
      </c>
      <c r="F2709" s="33"/>
      <c r="G2709" s="34" t="str">
        <f>IFERROR(IF(F2709&gt;=0,D2709*E2709*(1+F2709/100),ABS(D2709*E2709/F2709)),"")</f>
        <v/>
      </c>
      <c r="H2709" s="43" t="str">
        <f>IFERROR(G2709*E2695,"")</f>
        <v/>
      </c>
    </row>
    <row r="2710" spans="1:11">
      <c r="A2710" s="21"/>
      <c r="B2710" s="22" t="s">
        <v>3732</v>
      </c>
      <c r="C2710" s="23"/>
      <c r="D2710" s="24"/>
      <c r="E2710" s="25"/>
      <c r="F2710" s="26"/>
      <c r="G2710" s="27">
        <f>SUM(G2711:G2713)</f>
        <v>1164.4101885000002</v>
      </c>
      <c r="H2710" s="44">
        <f>G2710*E2695</f>
        <v>0</v>
      </c>
    </row>
    <row r="2711" spans="1:11">
      <c r="A2711" s="28"/>
      <c r="B2711" s="29" t="s">
        <v>3698</v>
      </c>
      <c r="C2711" s="30" t="str">
        <f>IFERROR(_xlfn.XLOOKUP(B2711,MObra[DESCRIPCION],MObra[UN],,0),"")</f>
        <v>día</v>
      </c>
      <c r="D2711" s="31">
        <v>1</v>
      </c>
      <c r="E2711" s="32">
        <f>IFERROR(_xlfn.XLOOKUP($B2711,MObra[DESCRIPCION],MObra[VALOR UNIT],,0),"")</f>
        <v>116441.01885000002</v>
      </c>
      <c r="F2711" s="33">
        <v>-100</v>
      </c>
      <c r="G2711" s="34">
        <f>IFERROR(IF(F2711&gt;=0,D2711*E2711*(1+F2711/100),ABS(D2711*E2711/F2711)),"")</f>
        <v>1164.4101885000002</v>
      </c>
      <c r="H2711" s="43">
        <f>IFERROR(G2711*E2695,"")</f>
        <v>0</v>
      </c>
    </row>
    <row r="2712" spans="1:11">
      <c r="A2712" s="28"/>
      <c r="B2712" s="29"/>
      <c r="C2712" s="30" t="str">
        <f>IFERROR(_xlfn.XLOOKUP(B2712,MObra[DESCRIPCION],MObra[UN],,0),"")</f>
        <v/>
      </c>
      <c r="D2712" s="31"/>
      <c r="E2712" s="32" t="str">
        <f>IFERROR(_xlfn.XLOOKUP($B2712,MObra[DESCRIPCION],MObra[VALOR UNIT],,0),"")</f>
        <v/>
      </c>
      <c r="F2712" s="33"/>
      <c r="G2712" s="34" t="str">
        <f>IFERROR(IF(F2712&gt;=0,D2712*E2712*(1+F2712/100),ABS(D2712*E2712/F2712)),"")</f>
        <v/>
      </c>
      <c r="H2712" s="43" t="str">
        <f>IFERROR(G2712*E2695,"")</f>
        <v/>
      </c>
    </row>
    <row r="2713" spans="1:11" ht="13.15" thickBot="1">
      <c r="A2713" s="35"/>
      <c r="B2713" s="36"/>
      <c r="C2713" s="37" t="str">
        <f>IFERROR(_xlfn.XLOOKUP(B2713,MObra[DESCRIPCION],MObra[UN],,0),"")</f>
        <v/>
      </c>
      <c r="D2713" s="38"/>
      <c r="E2713" s="39" t="str">
        <f>IFERROR(_xlfn.XLOOKUP($B2713,MObra[DESCRIPCION],MObra[VALOR UNIT],,0),"")</f>
        <v/>
      </c>
      <c r="F2713" s="40"/>
      <c r="G2713" s="41" t="str">
        <f>IFERROR(IF(F2713&gt;=0,D2713*E2713*(1+F2713/100),ABS(D2713*E2713/F2713)),"")</f>
        <v/>
      </c>
      <c r="H2713" s="42" t="str">
        <f>IFERROR(G2713*E2695,"")</f>
        <v/>
      </c>
    </row>
    <row r="2714" spans="1:11" ht="13.5" thickTop="1" thickBot="1"/>
    <row r="2715" spans="1:11" ht="13.5" thickTop="1" thickBot="1">
      <c r="A2715" s="6" t="s">
        <v>1996</v>
      </c>
      <c r="B2715" s="7" t="str">
        <f>VLOOKUP($A2715,Presupuesto!$A:$D,2,FALSE())</f>
        <v>Apoyo estructural Neopreno D-50 E=3/4"</v>
      </c>
      <c r="C2715" s="8" t="str">
        <f>VLOOKUP($A2715,Presupuesto!$A:$D,3,FALSE())</f>
        <v>M2</v>
      </c>
      <c r="D2715" s="9"/>
      <c r="E2715" s="10">
        <f>VLOOKUP($A2715,Presupuesto!$A:$D,4,FALSE())</f>
        <v>0</v>
      </c>
      <c r="F2715" s="11" t="s">
        <v>2589</v>
      </c>
      <c r="G2715" s="12">
        <f>SUM(G2717:G2733)/2</f>
        <v>18042215.24161613</v>
      </c>
      <c r="H2715" s="13">
        <f>ROUND(SUM(H2717:H2733),0)/2</f>
        <v>0</v>
      </c>
      <c r="I2715" s="10">
        <f>VLOOKUP(A2715,Presupuesto!$A:$F,6,0)</f>
        <v>0</v>
      </c>
      <c r="J2715" s="10">
        <f>+H2715-I2715</f>
        <v>0</v>
      </c>
      <c r="K2715" s="46">
        <f>+H2715-G2715*E2715</f>
        <v>0</v>
      </c>
    </row>
    <row r="2716" spans="1:11" ht="13.15" thickTop="1">
      <c r="A2716" s="14"/>
      <c r="B2716" s="15" t="s">
        <v>2586</v>
      </c>
      <c r="C2716" s="15" t="s">
        <v>5</v>
      </c>
      <c r="D2716" s="16" t="s">
        <v>6</v>
      </c>
      <c r="E2716" s="17" t="s">
        <v>7</v>
      </c>
      <c r="F2716" s="18" t="s">
        <v>3728</v>
      </c>
      <c r="G2716" s="19" t="s">
        <v>3729</v>
      </c>
      <c r="H2716" s="20" t="s">
        <v>3797</v>
      </c>
    </row>
    <row r="2717" spans="1:11">
      <c r="A2717" s="21"/>
      <c r="B2717" s="22" t="s">
        <v>3730</v>
      </c>
      <c r="C2717" s="23"/>
      <c r="D2717" s="24"/>
      <c r="E2717" s="25"/>
      <c r="F2717" s="26"/>
      <c r="G2717" s="27">
        <f>SUM(G2718:G2722)</f>
        <v>17816028.5625</v>
      </c>
      <c r="H2717" s="27">
        <f>IFERROR(G2717*E2715,"")</f>
        <v>0</v>
      </c>
    </row>
    <row r="2718" spans="1:11">
      <c r="A2718" s="28"/>
      <c r="B2718" s="29" t="s">
        <v>3175</v>
      </c>
      <c r="C2718" s="30" t="str">
        <f>IFERROR(_xlfn.XLOOKUP(B2718,Insumo[DESCRIPCION],Insumo[UND],,0),"")</f>
        <v>Un</v>
      </c>
      <c r="D2718" s="31">
        <v>6.67</v>
      </c>
      <c r="E2718" s="32">
        <f>IFERROR(_xlfn.XLOOKUP($B2718,Insumo[DESCRIPCION],Insumo[VALOR],,0),"")</f>
        <v>2671068.75</v>
      </c>
      <c r="F2718" s="33"/>
      <c r="G2718" s="34">
        <f>IFERROR(IF(F2718&gt;=0,D2718*E2718*(1+F2718/100),ABS(D2718*E2718/F2718)),"")</f>
        <v>17816028.5625</v>
      </c>
      <c r="H2718" s="43">
        <f>IFERROR(G2718*E2715,"")</f>
        <v>0</v>
      </c>
    </row>
    <row r="2719" spans="1:11">
      <c r="A2719" s="28"/>
      <c r="B2719" s="29"/>
      <c r="C2719" s="30" t="str">
        <f>IFERROR(_xlfn.XLOOKUP(B2719,Insumo[DESCRIPCION],Insumo[UND],,0),"")</f>
        <v/>
      </c>
      <c r="D2719" s="31"/>
      <c r="E2719" s="32" t="str">
        <f>IFERROR(_xlfn.XLOOKUP($B2719,Insumo[DESCRIPCION],Insumo[VALOR],,0),"")</f>
        <v/>
      </c>
      <c r="F2719" s="33"/>
      <c r="G2719" s="34" t="str">
        <f>IFERROR(IF(F2719&gt;=0,D2719*E2719*(1+F2719/100),ABS(D2719*E2719/F2719)),"")</f>
        <v/>
      </c>
      <c r="H2719" s="43" t="str">
        <f>IFERROR(G2719*E2715,"")</f>
        <v/>
      </c>
    </row>
    <row r="2720" spans="1:11">
      <c r="A2720" s="28"/>
      <c r="B2720" s="29"/>
      <c r="C2720" s="30" t="str">
        <f>IFERROR(_xlfn.XLOOKUP(B2720,Insumo[DESCRIPCION],Insumo[UND],,0),"")</f>
        <v/>
      </c>
      <c r="D2720" s="31"/>
      <c r="E2720" s="32" t="str">
        <f>IFERROR(_xlfn.XLOOKUP($B2720,Insumo[DESCRIPCION],Insumo[VALOR],,0),"")</f>
        <v/>
      </c>
      <c r="F2720" s="33"/>
      <c r="G2720" s="34" t="str">
        <f>IFERROR(IF(F2720&gt;=0,D2720*E2720*(1+F2720/100),ABS(D2720*E2720/F2720)),"")</f>
        <v/>
      </c>
      <c r="H2720" s="43" t="str">
        <f>IFERROR(G2720*E2715,"")</f>
        <v/>
      </c>
    </row>
    <row r="2721" spans="1:11">
      <c r="A2721" s="28"/>
      <c r="B2721" s="29"/>
      <c r="C2721" s="30" t="str">
        <f>IFERROR(_xlfn.XLOOKUP(B2721,Insumo[DESCRIPCION],Insumo[UND],,0),"")</f>
        <v/>
      </c>
      <c r="D2721" s="31"/>
      <c r="E2721" s="32" t="str">
        <f>IFERROR(_xlfn.XLOOKUP($B2721,Insumo[DESCRIPCION],Insumo[VALOR],,0),"")</f>
        <v/>
      </c>
      <c r="F2721" s="33"/>
      <c r="G2721" s="34" t="str">
        <f>IFERROR(IF(F2721&gt;=0,D2721*E2721*(1+F2721/100),ABS(D2721*E2721/F2721)),"")</f>
        <v/>
      </c>
      <c r="H2721" s="43" t="str">
        <f>IFERROR(G2721*E2715,"")</f>
        <v/>
      </c>
    </row>
    <row r="2722" spans="1:11">
      <c r="A2722" s="28"/>
      <c r="B2722" s="29"/>
      <c r="C2722" s="30" t="str">
        <f>IFERROR(_xlfn.XLOOKUP(B2722,Insumo[DESCRIPCION],Insumo[UND],,0),"")</f>
        <v/>
      </c>
      <c r="D2722" s="31"/>
      <c r="E2722" s="32" t="str">
        <f>IFERROR(_xlfn.XLOOKUP($B2722,Insumo[DESCRIPCION],Insumo[VALOR],,0),"")</f>
        <v/>
      </c>
      <c r="F2722" s="33"/>
      <c r="G2722" s="34" t="str">
        <f>IFERROR(IF(F2722&gt;=0,D2722*E2722*(1+F2722/100),ABS(D2722*E2722/F2722)),"")</f>
        <v/>
      </c>
      <c r="H2722" s="43" t="str">
        <f>IFERROR(G2722*E2715,"")</f>
        <v/>
      </c>
    </row>
    <row r="2723" spans="1:11">
      <c r="A2723" s="21"/>
      <c r="B2723" s="22" t="s">
        <v>3731</v>
      </c>
      <c r="C2723" s="23"/>
      <c r="D2723" s="24"/>
      <c r="E2723" s="25"/>
      <c r="F2723" s="26"/>
      <c r="G2723" s="27">
        <f>SUM(G2724:G2726)</f>
        <v>10770.794243625001</v>
      </c>
      <c r="H2723" s="27">
        <f>IFERROR(G2723*E2715,"")</f>
        <v>0</v>
      </c>
    </row>
    <row r="2724" spans="1:11">
      <c r="A2724" s="28"/>
      <c r="B2724" s="29" t="s">
        <v>3626</v>
      </c>
      <c r="C2724" s="30" t="str">
        <f>IFERROR(_xlfn.XLOOKUP(B2724,Equipo[DESCRIPCION],Equipo[UND],,0),"")</f>
        <v>%MO</v>
      </c>
      <c r="D2724" s="31">
        <v>0.05</v>
      </c>
      <c r="E2724" s="32">
        <f>IF(C2724="%MO",G2730,IFERROR(_xlfn.XLOOKUP($B2724,Equipo[DESCRIPCION],Equipo[VALOR],,0),""))</f>
        <v>215415.88487250003</v>
      </c>
      <c r="F2724" s="33"/>
      <c r="G2724" s="34">
        <f>IFERROR(IF(F2724&gt;=0,D2724*E2724*(1+F2724/100),ABS(D2724*E2724/F2724)),"")</f>
        <v>10770.794243625001</v>
      </c>
      <c r="H2724" s="43">
        <f>IFERROR(G2724*E2715,"")</f>
        <v>0</v>
      </c>
    </row>
    <row r="2725" spans="1:11">
      <c r="A2725" s="28"/>
      <c r="B2725" s="29"/>
      <c r="C2725" s="30" t="str">
        <f>IFERROR(_xlfn.XLOOKUP(B2725,Equipo[DESCRIPCION],Equipo[UND],,0),"")</f>
        <v/>
      </c>
      <c r="D2725" s="31"/>
      <c r="E2725" s="32" t="str">
        <f>IF(C2725="%MO",G2730,IFERROR(_xlfn.XLOOKUP($B2725,Equipo[DESCRIPCION],Equipo[VALOR],,0),""))</f>
        <v/>
      </c>
      <c r="F2725" s="33"/>
      <c r="G2725" s="34" t="str">
        <f>IFERROR(IF(F2725&gt;=0,D2725*E2725*(1+F2725/100),ABS(D2725*E2725/F2725)),"")</f>
        <v/>
      </c>
      <c r="H2725" s="43" t="str">
        <f>IFERROR(G2725*E2715,"")</f>
        <v/>
      </c>
    </row>
    <row r="2726" spans="1:11">
      <c r="A2726" s="28"/>
      <c r="B2726" s="29"/>
      <c r="C2726" s="30" t="str">
        <f>IFERROR(_xlfn.XLOOKUP(B2726,Equipo[DESCRIPCION],Equipo[UND],,0),"")</f>
        <v/>
      </c>
      <c r="D2726" s="31"/>
      <c r="E2726" s="32" t="str">
        <f>IF(C2726="%MO",G2730,IFERROR(_xlfn.XLOOKUP($B2726,Equipo[DESCRIPCION],Equipo[VALOR],,0),""))</f>
        <v/>
      </c>
      <c r="F2726" s="33"/>
      <c r="G2726" s="34" t="str">
        <f>IFERROR(IF(F2726&gt;=0,D2726*E2726*(1+F2726/100),ABS(D2726*E2726/F2726)),"")</f>
        <v/>
      </c>
      <c r="H2726" s="43" t="str">
        <f>IFERROR(G2726*E2715,"")</f>
        <v/>
      </c>
    </row>
    <row r="2727" spans="1:11">
      <c r="A2727" s="21"/>
      <c r="B2727" s="22" t="s">
        <v>2533</v>
      </c>
      <c r="C2727" s="23"/>
      <c r="D2727" s="24"/>
      <c r="E2727" s="25"/>
      <c r="F2727" s="26"/>
      <c r="G2727" s="27">
        <f>SUM(G2728:G2729)</f>
        <v>0</v>
      </c>
      <c r="H2727" s="27">
        <f>IFERROR(G2727*E2715,"")</f>
        <v>0</v>
      </c>
    </row>
    <row r="2728" spans="1:11">
      <c r="A2728" s="28"/>
      <c r="B2728" s="29"/>
      <c r="C2728" s="30" t="str">
        <f>IFERROR(_xlfn.XLOOKUP(B2728,Transporte[DESCRIPCION],Transporte[UND],,0),"")</f>
        <v/>
      </c>
      <c r="D2728" s="31"/>
      <c r="E2728" s="32" t="str">
        <f>IFERROR(_xlfn.XLOOKUP($B2728,Transporte[DESCRIPCION],Transporte[VALOR],,0),"")</f>
        <v/>
      </c>
      <c r="F2728" s="33"/>
      <c r="G2728" s="34" t="str">
        <f>IFERROR(IF(F2728&gt;=0,D2728*E2728*(1+F2728/100),ABS(D2728*E2728/F2728)),"")</f>
        <v/>
      </c>
      <c r="H2728" s="43" t="str">
        <f>IFERROR(G2728*E2715,"")</f>
        <v/>
      </c>
    </row>
    <row r="2729" spans="1:11">
      <c r="A2729" s="28"/>
      <c r="B2729" s="29"/>
      <c r="C2729" s="30" t="str">
        <f>IFERROR(_xlfn.XLOOKUP(B2729,Transporte[DESCRIPCION],Transporte[UND],,0),"")</f>
        <v/>
      </c>
      <c r="D2729" s="31"/>
      <c r="E2729" s="32" t="str">
        <f>IFERROR(_xlfn.XLOOKUP($B2729,Transporte[DESCRIPCION],Transporte[VALOR],,0),"")</f>
        <v/>
      </c>
      <c r="F2729" s="33"/>
      <c r="G2729" s="34" t="str">
        <f>IFERROR(IF(F2729&gt;=0,D2729*E2729*(1+F2729/100),ABS(D2729*E2729/F2729)),"")</f>
        <v/>
      </c>
      <c r="H2729" s="43" t="str">
        <f>IFERROR(G2729*E2715,"")</f>
        <v/>
      </c>
    </row>
    <row r="2730" spans="1:11">
      <c r="A2730" s="21"/>
      <c r="B2730" s="22" t="s">
        <v>3732</v>
      </c>
      <c r="C2730" s="23"/>
      <c r="D2730" s="24"/>
      <c r="E2730" s="25"/>
      <c r="F2730" s="26"/>
      <c r="G2730" s="27">
        <f>SUM(G2731:G2733)</f>
        <v>215415.88487250003</v>
      </c>
      <c r="H2730" s="27">
        <f>IFERROR(G2730*E2715,"")</f>
        <v>0</v>
      </c>
    </row>
    <row r="2731" spans="1:11">
      <c r="A2731" s="28"/>
      <c r="B2731" s="29" t="s">
        <v>3711</v>
      </c>
      <c r="C2731" s="30" t="str">
        <f>IFERROR(_xlfn.XLOOKUP(B2731,MObra[DESCRIPCION],MObra[UN],,0),"")</f>
        <v>día</v>
      </c>
      <c r="D2731" s="31">
        <v>1</v>
      </c>
      <c r="E2731" s="32">
        <f>IFERROR(_xlfn.XLOOKUP($B2731,MObra[DESCRIPCION],MObra[VALOR UNIT],,0),"")</f>
        <v>430831.76974500006</v>
      </c>
      <c r="F2731" s="33">
        <v>-2</v>
      </c>
      <c r="G2731" s="34">
        <f>IFERROR(IF(F2731&gt;=0,D2731*E2731*(1+F2731/100),ABS(D2731*E2731/F2731)),"")</f>
        <v>215415.88487250003</v>
      </c>
      <c r="H2731" s="43">
        <f>IFERROR(G2731*E2715,"")</f>
        <v>0</v>
      </c>
    </row>
    <row r="2732" spans="1:11">
      <c r="A2732" s="28"/>
      <c r="B2732" s="29"/>
      <c r="C2732" s="30" t="str">
        <f>IFERROR(_xlfn.XLOOKUP(B2732,MObra[DESCRIPCION],MObra[UN],,0),"")</f>
        <v/>
      </c>
      <c r="D2732" s="31"/>
      <c r="E2732" s="32" t="str">
        <f>IFERROR(_xlfn.XLOOKUP($B2732,MObra[DESCRIPCION],MObra[VALOR UNIT],,0),"")</f>
        <v/>
      </c>
      <c r="F2732" s="33"/>
      <c r="G2732" s="34" t="str">
        <f>IFERROR(IF(F2732&gt;=0,D2732*E2732*(1+F2732/100),ABS(D2732*E2732/F2732)),"")</f>
        <v/>
      </c>
      <c r="H2732" s="43" t="str">
        <f>IFERROR(G2732*E2715,"")</f>
        <v/>
      </c>
    </row>
    <row r="2733" spans="1:11" ht="13.15" thickBot="1">
      <c r="A2733" s="35"/>
      <c r="B2733" s="36"/>
      <c r="C2733" s="37" t="str">
        <f>IFERROR(_xlfn.XLOOKUP(B2733,MObra[DESCRIPCION],MObra[UN],,0),"")</f>
        <v/>
      </c>
      <c r="D2733" s="38"/>
      <c r="E2733" s="39" t="str">
        <f>IFERROR(_xlfn.XLOOKUP($B2733,MObra[DESCRIPCION],MObra[VALOR UNIT],,0),"")</f>
        <v/>
      </c>
      <c r="F2733" s="40"/>
      <c r="G2733" s="41" t="str">
        <f>IFERROR(IF(F2733&gt;=0,D2733*E2733*(1+F2733/100),ABS(D2733*E2733/F2733)),"")</f>
        <v/>
      </c>
      <c r="H2733" s="42" t="str">
        <f>IFERROR(G2733*E2715,"")</f>
        <v/>
      </c>
    </row>
    <row r="2734" spans="1:11" ht="13.5" thickTop="1" thickBot="1"/>
    <row r="2735" spans="1:11" ht="13.5" thickTop="1" thickBot="1">
      <c r="A2735" s="6" t="s">
        <v>1998</v>
      </c>
      <c r="B2735" s="7" t="str">
        <f>VLOOKUP($A2735,Presupuesto!$A:$D,2,FALSE())</f>
        <v>Concreto 20,7 Mpa para canales</v>
      </c>
      <c r="C2735" s="8" t="str">
        <f>VLOOKUP($A2735,Presupuesto!$A:$D,3,FALSE())</f>
        <v>M3</v>
      </c>
      <c r="D2735" s="9"/>
      <c r="E2735" s="10">
        <f>VLOOKUP($A2735,Presupuesto!$A:$D,4,FALSE())</f>
        <v>0</v>
      </c>
      <c r="F2735" s="11" t="s">
        <v>2589</v>
      </c>
      <c r="G2735" s="12">
        <f>SUM(G2737:G2753)/2</f>
        <v>1445254.8629843665</v>
      </c>
      <c r="H2735" s="13">
        <f>ROUND(SUM(H2737:H2753),0)/2</f>
        <v>0</v>
      </c>
      <c r="I2735" s="10">
        <f>VLOOKUP(A2735,Presupuesto!$A:$F,6,0)</f>
        <v>0</v>
      </c>
      <c r="J2735" s="10">
        <f>+H2735-I2735</f>
        <v>0</v>
      </c>
      <c r="K2735" s="46">
        <f>+H2735-G2735*E2735</f>
        <v>0</v>
      </c>
    </row>
    <row r="2736" spans="1:11" ht="13.15" thickTop="1">
      <c r="A2736" s="14"/>
      <c r="B2736" s="15" t="s">
        <v>2586</v>
      </c>
      <c r="C2736" s="15" t="s">
        <v>5</v>
      </c>
      <c r="D2736" s="16" t="s">
        <v>6</v>
      </c>
      <c r="E2736" s="17" t="s">
        <v>7</v>
      </c>
      <c r="F2736" s="18" t="s">
        <v>3728</v>
      </c>
      <c r="G2736" s="19" t="s">
        <v>3729</v>
      </c>
      <c r="H2736" s="20" t="s">
        <v>3797</v>
      </c>
    </row>
    <row r="2737" spans="1:8">
      <c r="A2737" s="21"/>
      <c r="B2737" s="22" t="s">
        <v>3730</v>
      </c>
      <c r="C2737" s="23"/>
      <c r="D2737" s="24"/>
      <c r="E2737" s="25"/>
      <c r="F2737" s="26"/>
      <c r="G2737" s="27">
        <f>SUM(G2738:G2742)</f>
        <v>1083530.8379268416</v>
      </c>
      <c r="H2737" s="27">
        <f>IFERROR(G2737*E2735,"")</f>
        <v>0</v>
      </c>
    </row>
    <row r="2738" spans="1:8">
      <c r="A2738" s="28"/>
      <c r="B2738" s="29" t="s">
        <v>3239</v>
      </c>
      <c r="C2738" s="30" t="str">
        <f>IFERROR(_xlfn.XLOOKUP(B2738,Insumo[DESCRIPCION],Insumo[UND],,0),"")</f>
        <v>M3</v>
      </c>
      <c r="D2738" s="31">
        <v>1</v>
      </c>
      <c r="E2738" s="32">
        <f>IFERROR(_xlfn.XLOOKUP($B2738,Insumo[DESCRIPCION],Insumo[VALOR],,0),"")</f>
        <v>521159.50227762427</v>
      </c>
      <c r="F2738" s="33">
        <v>5</v>
      </c>
      <c r="G2738" s="34">
        <f>IFERROR(IF(F2738&gt;=0,D2738*E2738*(1+F2738/100),ABS(D2738*E2738/F2738)),"")</f>
        <v>547217.4773915055</v>
      </c>
      <c r="H2738" s="43">
        <f>IFERROR(G2738*E2735,"")</f>
        <v>0</v>
      </c>
    </row>
    <row r="2739" spans="1:8">
      <c r="A2739" s="28"/>
      <c r="B2739" s="29" t="s">
        <v>2954</v>
      </c>
      <c r="C2739" s="30" t="str">
        <f>IFERROR(_xlfn.XLOOKUP(B2739,Insumo[DESCRIPCION],Insumo[UND],,0),"")</f>
        <v>M2</v>
      </c>
      <c r="D2739" s="31">
        <v>10.5</v>
      </c>
      <c r="E2739" s="32">
        <f>IFERROR(_xlfn.XLOOKUP($B2739,Insumo[DESCRIPCION],Insumo[VALOR],,0),"")</f>
        <v>102154.92581625449</v>
      </c>
      <c r="F2739" s="33">
        <v>-2</v>
      </c>
      <c r="G2739" s="34">
        <f>IFERROR(IF(F2739&gt;=0,D2739*E2739*(1+F2739/100),ABS(D2739*E2739/F2739)),"")</f>
        <v>536313.36053533608</v>
      </c>
      <c r="H2739" s="43">
        <f>IFERROR(G2739*E2735,"")</f>
        <v>0</v>
      </c>
    </row>
    <row r="2740" spans="1:8">
      <c r="A2740" s="28"/>
      <c r="B2740" s="29"/>
      <c r="C2740" s="30" t="str">
        <f>IFERROR(_xlfn.XLOOKUP(B2740,Insumo[DESCRIPCION],Insumo[UND],,0),"")</f>
        <v/>
      </c>
      <c r="D2740" s="31"/>
      <c r="E2740" s="32" t="str">
        <f>IFERROR(_xlfn.XLOOKUP($B2740,Insumo[DESCRIPCION],Insumo[VALOR],,0),"")</f>
        <v/>
      </c>
      <c r="F2740" s="33"/>
      <c r="G2740" s="34" t="str">
        <f>IFERROR(IF(F2740&gt;=0,D2740*E2740*(1+F2740/100),ABS(D2740*E2740/F2740)),"")</f>
        <v/>
      </c>
      <c r="H2740" s="43" t="str">
        <f>IFERROR(G2740*E2735,"")</f>
        <v/>
      </c>
    </row>
    <row r="2741" spans="1:8">
      <c r="A2741" s="28"/>
      <c r="B2741" s="29"/>
      <c r="C2741" s="30" t="str">
        <f>IFERROR(_xlfn.XLOOKUP(B2741,Insumo[DESCRIPCION],Insumo[UND],,0),"")</f>
        <v/>
      </c>
      <c r="D2741" s="31"/>
      <c r="E2741" s="32" t="str">
        <f>IFERROR(_xlfn.XLOOKUP($B2741,Insumo[DESCRIPCION],Insumo[VALOR],,0),"")</f>
        <v/>
      </c>
      <c r="F2741" s="33"/>
      <c r="G2741" s="34" t="str">
        <f>IFERROR(IF(F2741&gt;=0,D2741*E2741*(1+F2741/100),ABS(D2741*E2741/F2741)),"")</f>
        <v/>
      </c>
      <c r="H2741" s="43" t="str">
        <f>IFERROR(G2741*E2735,"")</f>
        <v/>
      </c>
    </row>
    <row r="2742" spans="1:8">
      <c r="A2742" s="28"/>
      <c r="B2742" s="29"/>
      <c r="C2742" s="30" t="str">
        <f>IFERROR(_xlfn.XLOOKUP(B2742,Insumo[DESCRIPCION],Insumo[UND],,0),"")</f>
        <v/>
      </c>
      <c r="D2742" s="31"/>
      <c r="E2742" s="32" t="str">
        <f>IFERROR(_xlfn.XLOOKUP($B2742,Insumo[DESCRIPCION],Insumo[VALOR],,0),"")</f>
        <v/>
      </c>
      <c r="F2742" s="33"/>
      <c r="G2742" s="34" t="str">
        <f>IFERROR(IF(F2742&gt;=0,D2742*E2742*(1+F2742/100),ABS(D2742*E2742/F2742)),"")</f>
        <v/>
      </c>
      <c r="H2742" s="43" t="str">
        <f>IFERROR(G2742*E2735,"")</f>
        <v/>
      </c>
    </row>
    <row r="2743" spans="1:8">
      <c r="A2743" s="21"/>
      <c r="B2743" s="22" t="s">
        <v>3731</v>
      </c>
      <c r="C2743" s="23"/>
      <c r="D2743" s="24"/>
      <c r="E2743" s="25"/>
      <c r="F2743" s="26"/>
      <c r="G2743" s="27">
        <f>SUM(G2744:G2746)</f>
        <v>29867.121335025007</v>
      </c>
      <c r="H2743" s="27">
        <f>IFERROR(G2743*E2735,"")</f>
        <v>0</v>
      </c>
    </row>
    <row r="2744" spans="1:8">
      <c r="A2744" s="28"/>
      <c r="B2744" s="29" t="s">
        <v>3570</v>
      </c>
      <c r="C2744" s="30" t="str">
        <f>IFERROR(_xlfn.XLOOKUP(B2744,Equipo[DESCRIPCION],Equipo[UND],,0),"")</f>
        <v>%MO</v>
      </c>
      <c r="D2744" s="31">
        <v>0.04</v>
      </c>
      <c r="E2744" s="32">
        <f>IF(C2744="%MO",G2750,IFERROR(_xlfn.XLOOKUP($B2744,Equipo[DESCRIPCION],Equipo[VALOR],,0),""))</f>
        <v>331856.90372250008</v>
      </c>
      <c r="F2744" s="33"/>
      <c r="G2744" s="34">
        <f>IFERROR(IF(F2744&gt;=0,D2744*E2744*(1+F2744/100),ABS(D2744*E2744/F2744)),"")</f>
        <v>13274.276148900004</v>
      </c>
      <c r="H2744" s="43">
        <f>IFERROR(G2744*E2735,"")</f>
        <v>0</v>
      </c>
    </row>
    <row r="2745" spans="1:8">
      <c r="A2745" s="28"/>
      <c r="B2745" s="29" t="s">
        <v>3626</v>
      </c>
      <c r="C2745" s="30" t="str">
        <f>IFERROR(_xlfn.XLOOKUP(B2745,Equipo[DESCRIPCION],Equipo[UND],,0),"")</f>
        <v>%MO</v>
      </c>
      <c r="D2745" s="31">
        <v>0.05</v>
      </c>
      <c r="E2745" s="32">
        <f>IF(C2745="%MO",G2750,IFERROR(_xlfn.XLOOKUP($B2745,Equipo[DESCRIPCION],Equipo[VALOR],,0),""))</f>
        <v>331856.90372250008</v>
      </c>
      <c r="F2745" s="33"/>
      <c r="G2745" s="34">
        <f>IFERROR(IF(F2745&gt;=0,D2745*E2745*(1+F2745/100),ABS(D2745*E2745/F2745)),"")</f>
        <v>16592.845186125003</v>
      </c>
      <c r="H2745" s="43">
        <f>IFERROR(G2745*E2735,"")</f>
        <v>0</v>
      </c>
    </row>
    <row r="2746" spans="1:8">
      <c r="A2746" s="28"/>
      <c r="B2746" s="29"/>
      <c r="C2746" s="30" t="str">
        <f>IFERROR(_xlfn.XLOOKUP(B2746,Equipo[DESCRIPCION],Equipo[UND],,0),"")</f>
        <v/>
      </c>
      <c r="D2746" s="31"/>
      <c r="E2746" s="32" t="str">
        <f>IF(C2746="%MO",G2750,IFERROR(_xlfn.XLOOKUP($B2746,Equipo[DESCRIPCION],Equipo[VALOR],,0),""))</f>
        <v/>
      </c>
      <c r="F2746" s="33"/>
      <c r="G2746" s="34" t="str">
        <f>IFERROR(IF(F2746&gt;=0,D2746*E2746*(1+F2746/100),ABS(D2746*E2746/F2746)),"")</f>
        <v/>
      </c>
      <c r="H2746" s="43" t="str">
        <f>IFERROR(G2746*E2735,"")</f>
        <v/>
      </c>
    </row>
    <row r="2747" spans="1:8">
      <c r="A2747" s="21"/>
      <c r="B2747" s="22" t="s">
        <v>2533</v>
      </c>
      <c r="C2747" s="23"/>
      <c r="D2747" s="24"/>
      <c r="E2747" s="25"/>
      <c r="F2747" s="26"/>
      <c r="G2747" s="27">
        <f>SUM(G2748:G2749)</f>
        <v>0</v>
      </c>
      <c r="H2747" s="27">
        <f>IFERROR(G2747*E2735,"")</f>
        <v>0</v>
      </c>
    </row>
    <row r="2748" spans="1:8">
      <c r="A2748" s="28"/>
      <c r="B2748" s="29"/>
      <c r="C2748" s="30" t="str">
        <f>IFERROR(_xlfn.XLOOKUP(B2748,Transporte[DESCRIPCION],Transporte[UND],,0),"")</f>
        <v/>
      </c>
      <c r="D2748" s="31"/>
      <c r="E2748" s="32" t="str">
        <f>IFERROR(_xlfn.XLOOKUP($B2748,Transporte[DESCRIPCION],Transporte[VALOR],,0),"")</f>
        <v/>
      </c>
      <c r="F2748" s="33"/>
      <c r="G2748" s="34" t="str">
        <f>IFERROR(IF(F2748&gt;=0,D2748*E2748*(1+F2748/100),ABS(D2748*E2748/F2748)),"")</f>
        <v/>
      </c>
      <c r="H2748" s="43" t="str">
        <f>IFERROR(G2748*E2735,"")</f>
        <v/>
      </c>
    </row>
    <row r="2749" spans="1:8">
      <c r="A2749" s="28"/>
      <c r="B2749" s="29"/>
      <c r="C2749" s="30" t="str">
        <f>IFERROR(_xlfn.XLOOKUP(B2749,Transporte[DESCRIPCION],Transporte[UND],,0),"")</f>
        <v/>
      </c>
      <c r="D2749" s="31"/>
      <c r="E2749" s="32" t="str">
        <f>IFERROR(_xlfn.XLOOKUP($B2749,Transporte[DESCRIPCION],Transporte[VALOR],,0),"")</f>
        <v/>
      </c>
      <c r="F2749" s="33"/>
      <c r="G2749" s="34" t="str">
        <f>IFERROR(IF(F2749&gt;=0,D2749*E2749*(1+F2749/100),ABS(D2749*E2749/F2749)),"")</f>
        <v/>
      </c>
      <c r="H2749" s="43" t="str">
        <f>IFERROR(G2749*E2735,"")</f>
        <v/>
      </c>
    </row>
    <row r="2750" spans="1:8">
      <c r="A2750" s="21"/>
      <c r="B2750" s="22" t="s">
        <v>3732</v>
      </c>
      <c r="C2750" s="23"/>
      <c r="D2750" s="24"/>
      <c r="E2750" s="25"/>
      <c r="F2750" s="26"/>
      <c r="G2750" s="27">
        <f>SUM(G2751:G2753)</f>
        <v>331856.90372250008</v>
      </c>
      <c r="H2750" s="27">
        <f>IFERROR(G2750*E2735,"")</f>
        <v>0</v>
      </c>
    </row>
    <row r="2751" spans="1:8">
      <c r="A2751" s="28"/>
      <c r="B2751" s="29" t="s">
        <v>3713</v>
      </c>
      <c r="C2751" s="30" t="str">
        <f>IFERROR(_xlfn.XLOOKUP(B2751,MObra[DESCRIPCION],MObra[UN],,0),"")</f>
        <v>día</v>
      </c>
      <c r="D2751" s="31">
        <v>1</v>
      </c>
      <c r="E2751" s="32">
        <f>IFERROR(_xlfn.XLOOKUP($B2751,MObra[DESCRIPCION],MObra[VALOR UNIT],,0),"")</f>
        <v>663713.80744500016</v>
      </c>
      <c r="F2751" s="33">
        <v>-2</v>
      </c>
      <c r="G2751" s="34">
        <f>IFERROR(IF(F2751&gt;=0,D2751*E2751*(1+F2751/100),ABS(D2751*E2751/F2751)),"")</f>
        <v>331856.90372250008</v>
      </c>
      <c r="H2751" s="43">
        <f>IFERROR(G2751*E2735,"")</f>
        <v>0</v>
      </c>
    </row>
    <row r="2752" spans="1:8">
      <c r="A2752" s="28"/>
      <c r="B2752" s="29"/>
      <c r="C2752" s="30" t="str">
        <f>IFERROR(_xlfn.XLOOKUP(B2752,MObra[DESCRIPCION],MObra[UN],,0),"")</f>
        <v/>
      </c>
      <c r="D2752" s="31"/>
      <c r="E2752" s="32" t="str">
        <f>IFERROR(_xlfn.XLOOKUP($B2752,MObra[DESCRIPCION],MObra[VALOR UNIT],,0),"")</f>
        <v/>
      </c>
      <c r="F2752" s="33"/>
      <c r="G2752" s="34" t="str">
        <f>IFERROR(IF(F2752&gt;=0,D2752*E2752*(1+F2752/100),ABS(D2752*E2752/F2752)),"")</f>
        <v/>
      </c>
      <c r="H2752" s="43" t="str">
        <f>IFERROR(G2752*E2735,"")</f>
        <v/>
      </c>
    </row>
    <row r="2753" spans="1:11" ht="13.15" thickBot="1">
      <c r="A2753" s="35"/>
      <c r="B2753" s="36"/>
      <c r="C2753" s="37" t="str">
        <f>IFERROR(_xlfn.XLOOKUP(B2753,MObra[DESCRIPCION],MObra[UN],,0),"")</f>
        <v/>
      </c>
      <c r="D2753" s="38"/>
      <c r="E2753" s="39" t="str">
        <f>IFERROR(_xlfn.XLOOKUP($B2753,MObra[DESCRIPCION],MObra[VALOR UNIT],,0),"")</f>
        <v/>
      </c>
      <c r="F2753" s="40"/>
      <c r="G2753" s="41" t="str">
        <f>IFERROR(IF(F2753&gt;=0,D2753*E2753*(1+F2753/100),ABS(D2753*E2753/F2753)),"")</f>
        <v/>
      </c>
      <c r="H2753" s="42" t="str">
        <f>IFERROR(G2753*E2735,"")</f>
        <v/>
      </c>
    </row>
    <row r="2754" spans="1:11" ht="13.5" thickTop="1" thickBot="1"/>
    <row r="2755" spans="1:11" ht="13.5" thickTop="1" thickBot="1">
      <c r="A2755" s="6" t="s">
        <v>2000</v>
      </c>
      <c r="B2755" s="7" t="str">
        <f>VLOOKUP($A2755,Presupuesto!$A:$D,2,FALSE())</f>
        <v>Concreto 20.7 Mpa estribos</v>
      </c>
      <c r="C2755" s="8" t="str">
        <f>VLOOKUP($A2755,Presupuesto!$A:$D,3,FALSE())</f>
        <v>M3</v>
      </c>
      <c r="D2755" s="9"/>
      <c r="E2755" s="10">
        <f>VLOOKUP($A2755,Presupuesto!$A:$D,4,FALSE())</f>
        <v>0</v>
      </c>
      <c r="F2755" s="11" t="s">
        <v>2589</v>
      </c>
      <c r="G2755" s="12">
        <f>SUM(G2757:G2773)/2</f>
        <v>1581782.7096870223</v>
      </c>
      <c r="H2755" s="13">
        <f>ROUND(SUM(H2757:H2773),0)/2</f>
        <v>0</v>
      </c>
      <c r="I2755" s="10">
        <f>VLOOKUP(A2755,Presupuesto!$A:$F,6,0)</f>
        <v>0</v>
      </c>
      <c r="J2755" s="10">
        <f>+H2755-I2755</f>
        <v>0</v>
      </c>
      <c r="K2755" s="46">
        <f>+H2755-G2755*E2755</f>
        <v>0</v>
      </c>
    </row>
    <row r="2756" spans="1:11" ht="13.15" thickTop="1">
      <c r="A2756" s="14"/>
      <c r="B2756" s="15" t="s">
        <v>2586</v>
      </c>
      <c r="C2756" s="15" t="s">
        <v>5</v>
      </c>
      <c r="D2756" s="16" t="s">
        <v>6</v>
      </c>
      <c r="E2756" s="17" t="s">
        <v>7</v>
      </c>
      <c r="F2756" s="18" t="s">
        <v>3728</v>
      </c>
      <c r="G2756" s="19" t="s">
        <v>3729</v>
      </c>
      <c r="H2756" s="20" t="s">
        <v>3797</v>
      </c>
    </row>
    <row r="2757" spans="1:11">
      <c r="A2757" s="21"/>
      <c r="B2757" s="22" t="s">
        <v>3730</v>
      </c>
      <c r="C2757" s="23"/>
      <c r="D2757" s="24"/>
      <c r="E2757" s="25"/>
      <c r="F2757" s="26"/>
      <c r="G2757" s="27">
        <f>SUM(G2758:G2762)</f>
        <v>1243970.2670812726</v>
      </c>
      <c r="H2757" s="27">
        <f>IFERROR(G2757*E2755,"")</f>
        <v>0</v>
      </c>
    </row>
    <row r="2758" spans="1:11">
      <c r="A2758" s="28"/>
      <c r="B2758" s="29" t="s">
        <v>2957</v>
      </c>
      <c r="C2758" s="30" t="str">
        <f>IFERROR(_xlfn.XLOOKUP(B2758,Insumo[DESCRIPCION],Insumo[UND],,0),"")</f>
        <v>M2</v>
      </c>
      <c r="D2758" s="31">
        <v>3</v>
      </c>
      <c r="E2758" s="32">
        <f>IFERROR(_xlfn.XLOOKUP($B2758,Insumo[DESCRIPCION],Insumo[VALOR],,0),"")</f>
        <v>149544.7581937575</v>
      </c>
      <c r="F2758" s="33"/>
      <c r="G2758" s="34">
        <f>IFERROR(IF(F2758&gt;=0,D2758*E2758*(1+F2758/100),ABS(D2758*E2758/F2758)),"")</f>
        <v>448634.2745812725</v>
      </c>
      <c r="H2758" s="43">
        <f>IFERROR(G2758*E2755,"")</f>
        <v>0</v>
      </c>
    </row>
    <row r="2759" spans="1:11">
      <c r="A2759" s="28"/>
      <c r="B2759" s="29" t="s">
        <v>2868</v>
      </c>
      <c r="C2759" s="30" t="str">
        <f>IFERROR(_xlfn.XLOOKUP(B2759,Insumo[DESCRIPCION],Insumo[UND],,0),"")</f>
        <v>M3</v>
      </c>
      <c r="D2759" s="31">
        <v>1</v>
      </c>
      <c r="E2759" s="32">
        <f>IFERROR(_xlfn.XLOOKUP($B2759,Insumo[DESCRIPCION],Insumo[VALOR],,0),"")</f>
        <v>718719.75</v>
      </c>
      <c r="F2759" s="33">
        <v>5</v>
      </c>
      <c r="G2759" s="34">
        <f>IFERROR(IF(F2759&gt;=0,D2759*E2759*(1+F2759/100),ABS(D2759*E2759/F2759)),"")</f>
        <v>754655.73750000005</v>
      </c>
      <c r="H2759" s="43">
        <f>IFERROR(G2759*E2755,"")</f>
        <v>0</v>
      </c>
    </row>
    <row r="2760" spans="1:11">
      <c r="A2760" s="28"/>
      <c r="B2760" s="29" t="s">
        <v>3295</v>
      </c>
      <c r="C2760" s="30" t="str">
        <f>IFERROR(_xlfn.XLOOKUP(B2760,Insumo[DESCRIPCION],Insumo[UND],,0),"")</f>
        <v>Kg</v>
      </c>
      <c r="D2760" s="31">
        <v>0.3</v>
      </c>
      <c r="E2760" s="32">
        <f>IFERROR(_xlfn.XLOOKUP($B2760,Insumo[DESCRIPCION],Insumo[VALOR],,0),"")</f>
        <v>22039.5</v>
      </c>
      <c r="F2760" s="33"/>
      <c r="G2760" s="34">
        <f>IFERROR(IF(F2760&gt;=0,D2760*E2760*(1+F2760/100),ABS(D2760*E2760/F2760)),"")</f>
        <v>6611.8499999999995</v>
      </c>
      <c r="H2760" s="43">
        <f>IFERROR(G2760*E2755,"")</f>
        <v>0</v>
      </c>
    </row>
    <row r="2761" spans="1:11">
      <c r="A2761" s="28"/>
      <c r="B2761" s="29" t="s">
        <v>2709</v>
      </c>
      <c r="C2761" s="30" t="str">
        <f>IFERROR(_xlfn.XLOOKUP(B2761,Insumo[DESCRIPCION],Insumo[UND],,0),"")</f>
        <v>Kg</v>
      </c>
      <c r="D2761" s="31">
        <v>2.2999999999999998</v>
      </c>
      <c r="E2761" s="32">
        <f>IFERROR(_xlfn.XLOOKUP($B2761,Insumo[DESCRIPCION],Insumo[VALOR],,0),"")</f>
        <v>14812.35</v>
      </c>
      <c r="F2761" s="33"/>
      <c r="G2761" s="34">
        <f>IFERROR(IF(F2761&gt;=0,D2761*E2761*(1+F2761/100),ABS(D2761*E2761/F2761)),"")</f>
        <v>34068.404999999999</v>
      </c>
      <c r="H2761" s="43">
        <f>IFERROR(G2761*E2755,"")</f>
        <v>0</v>
      </c>
    </row>
    <row r="2762" spans="1:11">
      <c r="A2762" s="28"/>
      <c r="B2762" s="29"/>
      <c r="C2762" s="30" t="str">
        <f>IFERROR(_xlfn.XLOOKUP(B2762,Insumo[DESCRIPCION],Insumo[UND],,0),"")</f>
        <v/>
      </c>
      <c r="D2762" s="31"/>
      <c r="E2762" s="32" t="str">
        <f>IFERROR(_xlfn.XLOOKUP($B2762,Insumo[DESCRIPCION],Insumo[VALOR],,0),"")</f>
        <v/>
      </c>
      <c r="F2762" s="33"/>
      <c r="G2762" s="34" t="str">
        <f>IFERROR(IF(F2762&gt;=0,D2762*E2762*(1+F2762/100),ABS(D2762*E2762/F2762)),"")</f>
        <v/>
      </c>
      <c r="H2762" s="43" t="str">
        <f>IFERROR(G2762*E2755,"")</f>
        <v/>
      </c>
    </row>
    <row r="2763" spans="1:11">
      <c r="A2763" s="21"/>
      <c r="B2763" s="22" t="s">
        <v>3731</v>
      </c>
      <c r="C2763" s="23"/>
      <c r="D2763" s="24"/>
      <c r="E2763" s="25"/>
      <c r="F2763" s="26"/>
      <c r="G2763" s="27">
        <f>SUM(G2764:G2766)</f>
        <v>116574.50679075001</v>
      </c>
      <c r="H2763" s="27">
        <f>IFERROR(G2763*E2755,"")</f>
        <v>0</v>
      </c>
    </row>
    <row r="2764" spans="1:11">
      <c r="A2764" s="28"/>
      <c r="B2764" s="29" t="s">
        <v>3580</v>
      </c>
      <c r="C2764" s="30" t="str">
        <f>IFERROR(_xlfn.XLOOKUP(B2764,Equipo[DESCRIPCION],Equipo[UND],,0),"")</f>
        <v>M3</v>
      </c>
      <c r="D2764" s="31">
        <v>1</v>
      </c>
      <c r="E2764" s="32">
        <f>IF(C2764="%MO",G2770,IFERROR(_xlfn.XLOOKUP($B2764,Equipo[DESCRIPCION],Equipo[VALOR],,0),""))</f>
        <v>82902.75</v>
      </c>
      <c r="F2764" s="33"/>
      <c r="G2764" s="34">
        <f>IFERROR(IF(F2764&gt;=0,D2764*E2764*(1+F2764/100),ABS(D2764*E2764/F2764)),"")</f>
        <v>82902.75</v>
      </c>
      <c r="H2764" s="43">
        <f>IFERROR(G2764*E2755,"")</f>
        <v>0</v>
      </c>
    </row>
    <row r="2765" spans="1:11">
      <c r="A2765" s="28"/>
      <c r="B2765" s="29" t="s">
        <v>3657</v>
      </c>
      <c r="C2765" s="30" t="str">
        <f>IFERROR(_xlfn.XLOOKUP(B2765,Equipo[DESCRIPCION],Equipo[UND],,0),"")</f>
        <v>Día</v>
      </c>
      <c r="D2765" s="31">
        <v>1</v>
      </c>
      <c r="E2765" s="32">
        <f>IF(C2765="%MO",G2770,IFERROR(_xlfn.XLOOKUP($B2765,Equipo[DESCRIPCION],Equipo[VALOR],,0),""))</f>
        <v>56524.65</v>
      </c>
      <c r="F2765" s="33">
        <v>-2.5</v>
      </c>
      <c r="G2765" s="34">
        <f>IFERROR(IF(F2765&gt;=0,D2765*E2765*(1+F2765/100),ABS(D2765*E2765/F2765)),"")</f>
        <v>22609.86</v>
      </c>
      <c r="H2765" s="43">
        <f>IFERROR(G2765*E2755,"")</f>
        <v>0</v>
      </c>
    </row>
    <row r="2766" spans="1:11">
      <c r="A2766" s="28"/>
      <c r="B2766" s="29" t="s">
        <v>3626</v>
      </c>
      <c r="C2766" s="30" t="str">
        <f>IFERROR(_xlfn.XLOOKUP(B2766,Equipo[DESCRIPCION],Equipo[UND],,0),"")</f>
        <v>%MO</v>
      </c>
      <c r="D2766" s="31">
        <v>0.05</v>
      </c>
      <c r="E2766" s="32">
        <f>IF(C2766="%MO",G2770,IFERROR(_xlfn.XLOOKUP($B2766,Equipo[DESCRIPCION],Equipo[VALOR],,0),""))</f>
        <v>221237.93581500006</v>
      </c>
      <c r="F2766" s="33"/>
      <c r="G2766" s="34">
        <f>IFERROR(IF(F2766&gt;=0,D2766*E2766*(1+F2766/100),ABS(D2766*E2766/F2766)),"")</f>
        <v>11061.896790750005</v>
      </c>
      <c r="H2766" s="43">
        <f>IFERROR(G2766*E2755,"")</f>
        <v>0</v>
      </c>
    </row>
    <row r="2767" spans="1:11">
      <c r="A2767" s="21"/>
      <c r="B2767" s="22" t="s">
        <v>2533</v>
      </c>
      <c r="C2767" s="23"/>
      <c r="D2767" s="24"/>
      <c r="E2767" s="25"/>
      <c r="F2767" s="26"/>
      <c r="G2767" s="27">
        <f>SUM(G2768:G2769)</f>
        <v>0</v>
      </c>
      <c r="H2767" s="27">
        <f>IFERROR(G2767*E2755,"")</f>
        <v>0</v>
      </c>
    </row>
    <row r="2768" spans="1:11">
      <c r="A2768" s="28"/>
      <c r="B2768" s="29"/>
      <c r="C2768" s="30" t="str">
        <f>IFERROR(_xlfn.XLOOKUP(B2768,Transporte[DESCRIPCION],Transporte[UND],,0),"")</f>
        <v/>
      </c>
      <c r="D2768" s="31"/>
      <c r="E2768" s="32" t="str">
        <f>IFERROR(_xlfn.XLOOKUP($B2768,Transporte[DESCRIPCION],Transporte[VALOR],,0),"")</f>
        <v/>
      </c>
      <c r="F2768" s="33"/>
      <c r="G2768" s="34" t="str">
        <f>IFERROR(IF(F2768&gt;=0,D2768*E2768*(1+F2768/100),ABS(D2768*E2768/F2768)),"")</f>
        <v/>
      </c>
      <c r="H2768" s="43" t="str">
        <f>IFERROR(G2768*E2755,"")</f>
        <v/>
      </c>
    </row>
    <row r="2769" spans="1:11">
      <c r="A2769" s="28"/>
      <c r="B2769" s="29"/>
      <c r="C2769" s="30" t="str">
        <f>IFERROR(_xlfn.XLOOKUP(B2769,Transporte[DESCRIPCION],Transporte[UND],,0),"")</f>
        <v/>
      </c>
      <c r="D2769" s="31"/>
      <c r="E2769" s="32" t="str">
        <f>IFERROR(_xlfn.XLOOKUP($B2769,Transporte[DESCRIPCION],Transporte[VALOR],,0),"")</f>
        <v/>
      </c>
      <c r="F2769" s="33"/>
      <c r="G2769" s="34" t="str">
        <f>IFERROR(IF(F2769&gt;=0,D2769*E2769*(1+F2769/100),ABS(D2769*E2769/F2769)),"")</f>
        <v/>
      </c>
      <c r="H2769" s="43" t="str">
        <f>IFERROR(G2769*E2755,"")</f>
        <v/>
      </c>
    </row>
    <row r="2770" spans="1:11">
      <c r="A2770" s="21"/>
      <c r="B2770" s="22" t="s">
        <v>3732</v>
      </c>
      <c r="C2770" s="23"/>
      <c r="D2770" s="24"/>
      <c r="E2770" s="25"/>
      <c r="F2770" s="26"/>
      <c r="G2770" s="27">
        <f>SUM(G2771:G2773)</f>
        <v>221237.93581500006</v>
      </c>
      <c r="H2770" s="27">
        <f>IFERROR(G2770*E2755,"")</f>
        <v>0</v>
      </c>
    </row>
    <row r="2771" spans="1:11">
      <c r="A2771" s="28"/>
      <c r="B2771" s="29" t="s">
        <v>3713</v>
      </c>
      <c r="C2771" s="30" t="str">
        <f>IFERROR(_xlfn.XLOOKUP(B2771,MObra[DESCRIPCION],MObra[UN],,0),"")</f>
        <v>día</v>
      </c>
      <c r="D2771" s="31">
        <v>1</v>
      </c>
      <c r="E2771" s="32">
        <f>IFERROR(_xlfn.XLOOKUP($B2771,MObra[DESCRIPCION],MObra[VALOR UNIT],,0),"")</f>
        <v>663713.80744500016</v>
      </c>
      <c r="F2771" s="33">
        <v>-3</v>
      </c>
      <c r="G2771" s="34">
        <f>IFERROR(IF(F2771&gt;=0,D2771*E2771*(1+F2771/100),ABS(D2771*E2771/F2771)),"")</f>
        <v>221237.93581500006</v>
      </c>
      <c r="H2771" s="43">
        <f>IFERROR(G2771*E2755,"")</f>
        <v>0</v>
      </c>
    </row>
    <row r="2772" spans="1:11">
      <c r="A2772" s="28"/>
      <c r="B2772" s="29"/>
      <c r="C2772" s="30" t="str">
        <f>IFERROR(_xlfn.XLOOKUP(B2772,MObra[DESCRIPCION],MObra[UN],,0),"")</f>
        <v/>
      </c>
      <c r="D2772" s="31"/>
      <c r="E2772" s="32" t="str">
        <f>IFERROR(_xlfn.XLOOKUP($B2772,MObra[DESCRIPCION],MObra[VALOR UNIT],,0),"")</f>
        <v/>
      </c>
      <c r="F2772" s="33"/>
      <c r="G2772" s="34" t="str">
        <f>IFERROR(IF(F2772&gt;=0,D2772*E2772*(1+F2772/100),ABS(D2772*E2772/F2772)),"")</f>
        <v/>
      </c>
      <c r="H2772" s="43" t="str">
        <f>IFERROR(G2772*E2755,"")</f>
        <v/>
      </c>
    </row>
    <row r="2773" spans="1:11" ht="13.15" thickBot="1">
      <c r="A2773" s="35"/>
      <c r="B2773" s="36"/>
      <c r="C2773" s="37" t="str">
        <f>IFERROR(_xlfn.XLOOKUP(B2773,MObra[DESCRIPCION],MObra[UN],,0),"")</f>
        <v/>
      </c>
      <c r="D2773" s="38"/>
      <c r="E2773" s="39" t="str">
        <f>IFERROR(_xlfn.XLOOKUP($B2773,MObra[DESCRIPCION],MObra[VALOR UNIT],,0),"")</f>
        <v/>
      </c>
      <c r="F2773" s="40"/>
      <c r="G2773" s="41" t="str">
        <f>IFERROR(IF(F2773&gt;=0,D2773*E2773*(1+F2773/100),ABS(D2773*E2773/F2773)),"")</f>
        <v/>
      </c>
      <c r="H2773" s="42" t="str">
        <f>IFERROR(G2773*E2755,"")</f>
        <v/>
      </c>
    </row>
    <row r="2774" spans="1:11" ht="13.5" thickTop="1" thickBot="1"/>
    <row r="2775" spans="1:11" ht="13.5" thickTop="1" thickBot="1">
      <c r="A2775" s="6" t="s">
        <v>2002</v>
      </c>
      <c r="B2775" s="7" t="str">
        <f>VLOOKUP($A2775,Presupuesto!$A:$D,2,FALSE())</f>
        <v>Concreto 20.7 Mpa para pilotes</v>
      </c>
      <c r="C2775" s="8" t="str">
        <f>VLOOKUP($A2775,Presupuesto!$A:$D,3,FALSE())</f>
        <v>M3</v>
      </c>
      <c r="D2775" s="9"/>
      <c r="E2775" s="10">
        <f>VLOOKUP($A2775,Presupuesto!$A:$D,4,FALSE())</f>
        <v>0</v>
      </c>
      <c r="F2775" s="11" t="s">
        <v>2589</v>
      </c>
      <c r="G2775" s="12">
        <f>SUM(G2777:G2793)/2</f>
        <v>1042894.8024662881</v>
      </c>
      <c r="H2775" s="13">
        <f>ROUND(SUM(H2777:H2793),0)/2</f>
        <v>0</v>
      </c>
      <c r="I2775" s="10">
        <f>VLOOKUP(A2775,Presupuesto!$A:$F,6,0)</f>
        <v>0</v>
      </c>
      <c r="J2775" s="10">
        <f>+H2775-I2775</f>
        <v>0</v>
      </c>
      <c r="K2775" s="46">
        <f>+H2775-G2775*E2775</f>
        <v>0</v>
      </c>
    </row>
    <row r="2776" spans="1:11" ht="13.15" thickTop="1">
      <c r="A2776" s="14"/>
      <c r="B2776" s="15" t="s">
        <v>2586</v>
      </c>
      <c r="C2776" s="15" t="s">
        <v>5</v>
      </c>
      <c r="D2776" s="16" t="s">
        <v>6</v>
      </c>
      <c r="E2776" s="17" t="s">
        <v>7</v>
      </c>
      <c r="F2776" s="18" t="s">
        <v>3728</v>
      </c>
      <c r="G2776" s="19" t="s">
        <v>3729</v>
      </c>
      <c r="H2776" s="20" t="s">
        <v>3797</v>
      </c>
    </row>
    <row r="2777" spans="1:11">
      <c r="A2777" s="21"/>
      <c r="B2777" s="22" t="s">
        <v>3730</v>
      </c>
      <c r="C2777" s="23"/>
      <c r="D2777" s="24"/>
      <c r="E2777" s="25"/>
      <c r="F2777" s="26"/>
      <c r="G2777" s="27">
        <f>SUM(G2778:G2782)</f>
        <v>547217.4773915055</v>
      </c>
      <c r="H2777" s="27">
        <f>IFERROR(G2777*E2775,"")</f>
        <v>0</v>
      </c>
    </row>
    <row r="2778" spans="1:11">
      <c r="A2778" s="28"/>
      <c r="B2778" s="29" t="s">
        <v>3239</v>
      </c>
      <c r="C2778" s="30" t="str">
        <f>IFERROR(_xlfn.XLOOKUP(B2778,Insumo[DESCRIPCION],Insumo[UND],,0),"")</f>
        <v>M3</v>
      </c>
      <c r="D2778" s="31">
        <v>1</v>
      </c>
      <c r="E2778" s="32">
        <f>IFERROR(_xlfn.XLOOKUP($B2778,Insumo[DESCRIPCION],Insumo[VALOR],,0),"")</f>
        <v>521159.50227762427</v>
      </c>
      <c r="F2778" s="33">
        <v>5</v>
      </c>
      <c r="G2778" s="34">
        <f>IFERROR(IF(F2778&gt;=0,D2778*E2778*(1+F2778/100),ABS(D2778*E2778/F2778)),"")</f>
        <v>547217.4773915055</v>
      </c>
      <c r="H2778" s="43">
        <f>IFERROR(G2778*E2775,"")</f>
        <v>0</v>
      </c>
    </row>
    <row r="2779" spans="1:11">
      <c r="A2779" s="28"/>
      <c r="B2779" s="29"/>
      <c r="C2779" s="30" t="str">
        <f>IFERROR(_xlfn.XLOOKUP(B2779,Insumo[DESCRIPCION],Insumo[UND],,0),"")</f>
        <v/>
      </c>
      <c r="D2779" s="31"/>
      <c r="E2779" s="32" t="str">
        <f>IFERROR(_xlfn.XLOOKUP($B2779,Insumo[DESCRIPCION],Insumo[VALOR],,0),"")</f>
        <v/>
      </c>
      <c r="F2779" s="33"/>
      <c r="G2779" s="34" t="str">
        <f>IFERROR(IF(F2779&gt;=0,D2779*E2779*(1+F2779/100),ABS(D2779*E2779/F2779)),"")</f>
        <v/>
      </c>
      <c r="H2779" s="43" t="str">
        <f>IFERROR(G2779*E2775,"")</f>
        <v/>
      </c>
    </row>
    <row r="2780" spans="1:11">
      <c r="A2780" s="28"/>
      <c r="B2780" s="29"/>
      <c r="C2780" s="30" t="str">
        <f>IFERROR(_xlfn.XLOOKUP(B2780,Insumo[DESCRIPCION],Insumo[UND],,0),"")</f>
        <v/>
      </c>
      <c r="D2780" s="31"/>
      <c r="E2780" s="32" t="str">
        <f>IFERROR(_xlfn.XLOOKUP($B2780,Insumo[DESCRIPCION],Insumo[VALOR],,0),"")</f>
        <v/>
      </c>
      <c r="F2780" s="33"/>
      <c r="G2780" s="34" t="str">
        <f>IFERROR(IF(F2780&gt;=0,D2780*E2780*(1+F2780/100),ABS(D2780*E2780/F2780)),"")</f>
        <v/>
      </c>
      <c r="H2780" s="43" t="str">
        <f>IFERROR(G2780*E2775,"")</f>
        <v/>
      </c>
    </row>
    <row r="2781" spans="1:11">
      <c r="A2781" s="28"/>
      <c r="B2781" s="29"/>
      <c r="C2781" s="30" t="str">
        <f>IFERROR(_xlfn.XLOOKUP(B2781,Insumo[DESCRIPCION],Insumo[UND],,0),"")</f>
        <v/>
      </c>
      <c r="D2781" s="31"/>
      <c r="E2781" s="32" t="str">
        <f>IFERROR(_xlfn.XLOOKUP($B2781,Insumo[DESCRIPCION],Insumo[VALOR],,0),"")</f>
        <v/>
      </c>
      <c r="F2781" s="33"/>
      <c r="G2781" s="34" t="str">
        <f>IFERROR(IF(F2781&gt;=0,D2781*E2781*(1+F2781/100),ABS(D2781*E2781/F2781)),"")</f>
        <v/>
      </c>
      <c r="H2781" s="43" t="str">
        <f>IFERROR(G2781*E2775,"")</f>
        <v/>
      </c>
    </row>
    <row r="2782" spans="1:11">
      <c r="A2782" s="28"/>
      <c r="B2782" s="29"/>
      <c r="C2782" s="30" t="str">
        <f>IFERROR(_xlfn.XLOOKUP(B2782,Insumo[DESCRIPCION],Insumo[UND],,0),"")</f>
        <v/>
      </c>
      <c r="D2782" s="31"/>
      <c r="E2782" s="32" t="str">
        <f>IFERROR(_xlfn.XLOOKUP($B2782,Insumo[DESCRIPCION],Insumo[VALOR],,0),"")</f>
        <v/>
      </c>
      <c r="F2782" s="33"/>
      <c r="G2782" s="34" t="str">
        <f>IFERROR(IF(F2782&gt;=0,D2782*E2782*(1+F2782/100),ABS(D2782*E2782/F2782)),"")</f>
        <v/>
      </c>
      <c r="H2782" s="43" t="str">
        <f>IFERROR(G2782*E2775,"")</f>
        <v/>
      </c>
    </row>
    <row r="2783" spans="1:11">
      <c r="A2783" s="21"/>
      <c r="B2783" s="22" t="s">
        <v>3731</v>
      </c>
      <c r="C2783" s="23"/>
      <c r="D2783" s="24"/>
      <c r="E2783" s="25"/>
      <c r="F2783" s="26"/>
      <c r="G2783" s="27">
        <f>SUM(G2784:G2786)</f>
        <v>64263.350235532511</v>
      </c>
      <c r="H2783" s="27">
        <f>IFERROR(G2783*E2775,"")</f>
        <v>0</v>
      </c>
    </row>
    <row r="2784" spans="1:11">
      <c r="A2784" s="28"/>
      <c r="B2784" s="29" t="s">
        <v>3657</v>
      </c>
      <c r="C2784" s="30" t="str">
        <f>IFERROR(_xlfn.XLOOKUP(B2784,Equipo[DESCRIPCION],Equipo[UND],,0),"")</f>
        <v>Día</v>
      </c>
      <c r="D2784" s="31">
        <v>1</v>
      </c>
      <c r="E2784" s="32">
        <f>IF(C2784="%MO",G2790,IFERROR(_xlfn.XLOOKUP($B2784,Equipo[DESCRIPCION],Equipo[VALOR],,0),""))</f>
        <v>56524.65</v>
      </c>
      <c r="F2784" s="33">
        <f>-1/0.45</f>
        <v>-2.2222222222222223</v>
      </c>
      <c r="G2784" s="34">
        <f>IFERROR(IF(F2784&gt;=0,D2784*E2784*(1+F2784/100),ABS(D2784*E2784/F2784)),"")</f>
        <v>25436.092499999999</v>
      </c>
      <c r="H2784" s="43">
        <f>IFERROR(G2784*E2775,"")</f>
        <v>0</v>
      </c>
    </row>
    <row r="2785" spans="1:11">
      <c r="A2785" s="28"/>
      <c r="B2785" s="29" t="s">
        <v>3570</v>
      </c>
      <c r="C2785" s="30" t="str">
        <f>IFERROR(_xlfn.XLOOKUP(B2785,Equipo[DESCRIPCION],Equipo[UND],,0),"")</f>
        <v>%MO</v>
      </c>
      <c r="D2785" s="31">
        <v>0.04</v>
      </c>
      <c r="E2785" s="32">
        <f>IF(C2785="%MO",G2790,IFERROR(_xlfn.XLOOKUP($B2785,Equipo[DESCRIPCION],Equipo[VALOR],,0),""))</f>
        <v>431413.97483925015</v>
      </c>
      <c r="F2785" s="33"/>
      <c r="G2785" s="34">
        <f>IFERROR(IF(F2785&gt;=0,D2785*E2785*(1+F2785/100),ABS(D2785*E2785/F2785)),"")</f>
        <v>17256.558993570005</v>
      </c>
      <c r="H2785" s="43">
        <f>IFERROR(G2785*E2775,"")</f>
        <v>0</v>
      </c>
    </row>
    <row r="2786" spans="1:11">
      <c r="A2786" s="28"/>
      <c r="B2786" s="29" t="s">
        <v>3626</v>
      </c>
      <c r="C2786" s="30" t="str">
        <f>IFERROR(_xlfn.XLOOKUP(B2786,Equipo[DESCRIPCION],Equipo[UND],,0),"")</f>
        <v>%MO</v>
      </c>
      <c r="D2786" s="31">
        <v>0.05</v>
      </c>
      <c r="E2786" s="32">
        <f>IF(C2786="%MO",G2790,IFERROR(_xlfn.XLOOKUP($B2786,Equipo[DESCRIPCION],Equipo[VALOR],,0),""))</f>
        <v>431413.97483925015</v>
      </c>
      <c r="F2786" s="33"/>
      <c r="G2786" s="34">
        <f>IFERROR(IF(F2786&gt;=0,D2786*E2786*(1+F2786/100),ABS(D2786*E2786/F2786)),"")</f>
        <v>21570.698741962507</v>
      </c>
      <c r="H2786" s="43">
        <f>IFERROR(G2786*E2775,"")</f>
        <v>0</v>
      </c>
    </row>
    <row r="2787" spans="1:11">
      <c r="A2787" s="21"/>
      <c r="B2787" s="22" t="s">
        <v>2533</v>
      </c>
      <c r="C2787" s="23"/>
      <c r="D2787" s="24"/>
      <c r="E2787" s="25"/>
      <c r="F2787" s="26"/>
      <c r="G2787" s="27">
        <f>SUM(G2788:G2789)</f>
        <v>0</v>
      </c>
      <c r="H2787" s="27">
        <f>IFERROR(G2787*E2775,"")</f>
        <v>0</v>
      </c>
    </row>
    <row r="2788" spans="1:11">
      <c r="A2788" s="28"/>
      <c r="B2788" s="29"/>
      <c r="C2788" s="30" t="str">
        <f>IFERROR(_xlfn.XLOOKUP(B2788,Transporte[DESCRIPCION],Transporte[UND],,0),"")</f>
        <v/>
      </c>
      <c r="D2788" s="31"/>
      <c r="E2788" s="32" t="str">
        <f>IFERROR(_xlfn.XLOOKUP($B2788,Transporte[DESCRIPCION],Transporte[VALOR],,0),"")</f>
        <v/>
      </c>
      <c r="F2788" s="33"/>
      <c r="G2788" s="34" t="str">
        <f>IFERROR(IF(F2788&gt;=0,D2788*E2788*(1+F2788/100),ABS(D2788*E2788/F2788)),"")</f>
        <v/>
      </c>
      <c r="H2788" s="43" t="str">
        <f>IFERROR(G2788*E2775,"")</f>
        <v/>
      </c>
    </row>
    <row r="2789" spans="1:11">
      <c r="A2789" s="28"/>
      <c r="B2789" s="29"/>
      <c r="C2789" s="30" t="str">
        <f>IFERROR(_xlfn.XLOOKUP(B2789,Transporte[DESCRIPCION],Transporte[UND],,0),"")</f>
        <v/>
      </c>
      <c r="D2789" s="31"/>
      <c r="E2789" s="32" t="str">
        <f>IFERROR(_xlfn.XLOOKUP($B2789,Transporte[DESCRIPCION],Transporte[VALOR],,0),"")</f>
        <v/>
      </c>
      <c r="F2789" s="33"/>
      <c r="G2789" s="34" t="str">
        <f>IFERROR(IF(F2789&gt;=0,D2789*E2789*(1+F2789/100),ABS(D2789*E2789/F2789)),"")</f>
        <v/>
      </c>
      <c r="H2789" s="43" t="str">
        <f>IFERROR(G2789*E2775,"")</f>
        <v/>
      </c>
    </row>
    <row r="2790" spans="1:11">
      <c r="A2790" s="21"/>
      <c r="B2790" s="22" t="s">
        <v>3732</v>
      </c>
      <c r="C2790" s="23"/>
      <c r="D2790" s="24"/>
      <c r="E2790" s="25"/>
      <c r="F2790" s="26"/>
      <c r="G2790" s="27">
        <f>SUM(G2791:G2793)</f>
        <v>431413.97483925015</v>
      </c>
      <c r="H2790" s="27">
        <f>IFERROR(G2790*E2775,"")</f>
        <v>0</v>
      </c>
    </row>
    <row r="2791" spans="1:11">
      <c r="A2791" s="28"/>
      <c r="B2791" s="29" t="s">
        <v>3713</v>
      </c>
      <c r="C2791" s="30" t="str">
        <f>IFERROR(_xlfn.XLOOKUP(B2791,MObra[DESCRIPCION],MObra[UN],,0),"")</f>
        <v>día</v>
      </c>
      <c r="D2791" s="31">
        <v>1</v>
      </c>
      <c r="E2791" s="32">
        <f>IFERROR(_xlfn.XLOOKUP($B2791,MObra[DESCRIPCION],MObra[VALOR UNIT],,0),"")</f>
        <v>663713.80744500016</v>
      </c>
      <c r="F2791" s="33">
        <f>-1/0.65</f>
        <v>-1.5384615384615383</v>
      </c>
      <c r="G2791" s="34">
        <f>IFERROR(IF(F2791&gt;=0,D2791*E2791*(1+F2791/100),ABS(D2791*E2791/F2791)),"")</f>
        <v>431413.97483925015</v>
      </c>
      <c r="H2791" s="43">
        <f>IFERROR(G2791*E2775,"")</f>
        <v>0</v>
      </c>
    </row>
    <row r="2792" spans="1:11">
      <c r="A2792" s="28"/>
      <c r="B2792" s="29"/>
      <c r="C2792" s="30" t="str">
        <f>IFERROR(_xlfn.XLOOKUP(B2792,MObra[DESCRIPCION],MObra[UN],,0),"")</f>
        <v/>
      </c>
      <c r="D2792" s="31"/>
      <c r="E2792" s="32" t="str">
        <f>IFERROR(_xlfn.XLOOKUP($B2792,MObra[DESCRIPCION],MObra[VALOR UNIT],,0),"")</f>
        <v/>
      </c>
      <c r="F2792" s="33"/>
      <c r="G2792" s="34" t="str">
        <f>IFERROR(IF(F2792&gt;=0,D2792*E2792*(1+F2792/100),ABS(D2792*E2792/F2792)),"")</f>
        <v/>
      </c>
      <c r="H2792" s="43" t="str">
        <f>IFERROR(G2792*E2775,"")</f>
        <v/>
      </c>
    </row>
    <row r="2793" spans="1:11" ht="13.15" thickBot="1">
      <c r="A2793" s="35"/>
      <c r="B2793" s="36"/>
      <c r="C2793" s="37" t="str">
        <f>IFERROR(_xlfn.XLOOKUP(B2793,MObra[DESCRIPCION],MObra[UN],,0),"")</f>
        <v/>
      </c>
      <c r="D2793" s="38"/>
      <c r="E2793" s="39" t="str">
        <f>IFERROR(_xlfn.XLOOKUP($B2793,MObra[DESCRIPCION],MObra[VALOR UNIT],,0),"")</f>
        <v/>
      </c>
      <c r="F2793" s="40"/>
      <c r="G2793" s="41" t="str">
        <f>IFERROR(IF(F2793&gt;=0,D2793*E2793*(1+F2793/100),ABS(D2793*E2793/F2793)),"")</f>
        <v/>
      </c>
      <c r="H2793" s="42" t="str">
        <f>IFERROR(G2793*E2775,"")</f>
        <v/>
      </c>
    </row>
    <row r="2794" spans="1:11" ht="13.5" thickTop="1" thickBot="1"/>
    <row r="2795" spans="1:11" ht="13.5" thickTop="1" thickBot="1">
      <c r="A2795" s="6" t="s">
        <v>2004</v>
      </c>
      <c r="B2795" s="7" t="str">
        <f>VLOOKUP($A2795,Presupuesto!$A:$D,2,FALSE())</f>
        <v>Concreto 24.1 Mpa estribos</v>
      </c>
      <c r="C2795" s="8" t="str">
        <f>VLOOKUP($A2795,Presupuesto!$A:$D,3,FALSE())</f>
        <v>M3</v>
      </c>
      <c r="D2795" s="9"/>
      <c r="E2795" s="10">
        <f>VLOOKUP($A2795,Presupuesto!$A:$D,4,FALSE())</f>
        <v>0</v>
      </c>
      <c r="F2795" s="11" t="s">
        <v>2589</v>
      </c>
      <c r="G2795" s="12">
        <f>SUM(G2797:G2813)/2</f>
        <v>1585834.3971870223</v>
      </c>
      <c r="H2795" s="13">
        <f>ROUND(SUM(H2797:H2813),0)/2</f>
        <v>0</v>
      </c>
      <c r="I2795" s="10">
        <f>VLOOKUP(A2795,Presupuesto!$A:$F,6,0)</f>
        <v>0</v>
      </c>
      <c r="J2795" s="10">
        <f>+H2795-I2795</f>
        <v>0</v>
      </c>
      <c r="K2795" s="46">
        <f>+H2795-G2795*E2795</f>
        <v>0</v>
      </c>
    </row>
    <row r="2796" spans="1:11" ht="13.15" thickTop="1">
      <c r="A2796" s="14"/>
      <c r="B2796" s="15" t="s">
        <v>2586</v>
      </c>
      <c r="C2796" s="15" t="s">
        <v>5</v>
      </c>
      <c r="D2796" s="16" t="s">
        <v>6</v>
      </c>
      <c r="E2796" s="17" t="s">
        <v>7</v>
      </c>
      <c r="F2796" s="18" t="s">
        <v>3728</v>
      </c>
      <c r="G2796" s="19" t="s">
        <v>3729</v>
      </c>
      <c r="H2796" s="20" t="s">
        <v>3797</v>
      </c>
    </row>
    <row r="2797" spans="1:11">
      <c r="A2797" s="21"/>
      <c r="B2797" s="22" t="s">
        <v>3730</v>
      </c>
      <c r="C2797" s="23"/>
      <c r="D2797" s="24"/>
      <c r="E2797" s="25"/>
      <c r="F2797" s="26"/>
      <c r="G2797" s="27">
        <f>SUM(G2798:G2802)</f>
        <v>1248021.9545812726</v>
      </c>
      <c r="H2797" s="27">
        <f>IFERROR(G2797*E2795,"")</f>
        <v>0</v>
      </c>
    </row>
    <row r="2798" spans="1:11">
      <c r="A2798" s="28"/>
      <c r="B2798" s="29" t="s">
        <v>2957</v>
      </c>
      <c r="C2798" s="30" t="str">
        <f>IFERROR(_xlfn.XLOOKUP(B2798,Insumo[DESCRIPCION],Insumo[UND],,0),"")</f>
        <v>M2</v>
      </c>
      <c r="D2798" s="31">
        <v>3</v>
      </c>
      <c r="E2798" s="32">
        <f>IFERROR(_xlfn.XLOOKUP($B2798,Insumo[DESCRIPCION],Insumo[VALOR],,0),"")</f>
        <v>149544.7581937575</v>
      </c>
      <c r="F2798" s="33"/>
      <c r="G2798" s="34">
        <f>IFERROR(IF(F2798&gt;=0,D2798*E2798*(1+F2798/100),ABS(D2798*E2798/F2798)),"")</f>
        <v>448634.2745812725</v>
      </c>
      <c r="H2798" s="43">
        <f>IFERROR(G2798*E2795,"")</f>
        <v>0</v>
      </c>
    </row>
    <row r="2799" spans="1:11">
      <c r="A2799" s="28"/>
      <c r="B2799" s="29" t="s">
        <v>2870</v>
      </c>
      <c r="C2799" s="30" t="str">
        <f>IFERROR(_xlfn.XLOOKUP(B2799,Insumo[DESCRIPCION],Insumo[UND],,0),"")</f>
        <v>M3</v>
      </c>
      <c r="D2799" s="31">
        <v>1</v>
      </c>
      <c r="E2799" s="32">
        <f>IFERROR(_xlfn.XLOOKUP($B2799,Insumo[DESCRIPCION],Insumo[VALOR],,0),"")</f>
        <v>722578.5</v>
      </c>
      <c r="F2799" s="33">
        <v>5</v>
      </c>
      <c r="G2799" s="34">
        <f>IFERROR(IF(F2799&gt;=0,D2799*E2799*(1+F2799/100),ABS(D2799*E2799/F2799)),"")</f>
        <v>758707.42500000005</v>
      </c>
      <c r="H2799" s="43">
        <f>IFERROR(G2799*E2795,"")</f>
        <v>0</v>
      </c>
    </row>
    <row r="2800" spans="1:11">
      <c r="A2800" s="28"/>
      <c r="B2800" s="29" t="s">
        <v>3295</v>
      </c>
      <c r="C2800" s="30" t="str">
        <f>IFERROR(_xlfn.XLOOKUP(B2800,Insumo[DESCRIPCION],Insumo[UND],,0),"")</f>
        <v>Kg</v>
      </c>
      <c r="D2800" s="31">
        <v>0.3</v>
      </c>
      <c r="E2800" s="32">
        <f>IFERROR(_xlfn.XLOOKUP($B2800,Insumo[DESCRIPCION],Insumo[VALOR],,0),"")</f>
        <v>22039.5</v>
      </c>
      <c r="F2800" s="33"/>
      <c r="G2800" s="34">
        <f>IFERROR(IF(F2800&gt;=0,D2800*E2800*(1+F2800/100),ABS(D2800*E2800/F2800)),"")</f>
        <v>6611.8499999999995</v>
      </c>
      <c r="H2800" s="43">
        <f>IFERROR(G2800*E2795,"")</f>
        <v>0</v>
      </c>
    </row>
    <row r="2801" spans="1:11">
      <c r="A2801" s="28"/>
      <c r="B2801" s="29" t="s">
        <v>2709</v>
      </c>
      <c r="C2801" s="30" t="str">
        <f>IFERROR(_xlfn.XLOOKUP(B2801,Insumo[DESCRIPCION],Insumo[UND],,0),"")</f>
        <v>Kg</v>
      </c>
      <c r="D2801" s="31">
        <v>2.2999999999999998</v>
      </c>
      <c r="E2801" s="32">
        <f>IFERROR(_xlfn.XLOOKUP($B2801,Insumo[DESCRIPCION],Insumo[VALOR],,0),"")</f>
        <v>14812.35</v>
      </c>
      <c r="F2801" s="33"/>
      <c r="G2801" s="34">
        <f>IFERROR(IF(F2801&gt;=0,D2801*E2801*(1+F2801/100),ABS(D2801*E2801/F2801)),"")</f>
        <v>34068.404999999999</v>
      </c>
      <c r="H2801" s="43">
        <f>IFERROR(G2801*E2795,"")</f>
        <v>0</v>
      </c>
    </row>
    <row r="2802" spans="1:11">
      <c r="A2802" s="28"/>
      <c r="B2802" s="29"/>
      <c r="C2802" s="30" t="str">
        <f>IFERROR(_xlfn.XLOOKUP(B2802,Insumo[DESCRIPCION],Insumo[UND],,0),"")</f>
        <v/>
      </c>
      <c r="D2802" s="31"/>
      <c r="E2802" s="32" t="str">
        <f>IFERROR(_xlfn.XLOOKUP($B2802,Insumo[DESCRIPCION],Insumo[VALOR],,0),"")</f>
        <v/>
      </c>
      <c r="F2802" s="33"/>
      <c r="G2802" s="34" t="str">
        <f>IFERROR(IF(F2802&gt;=0,D2802*E2802*(1+F2802/100),ABS(D2802*E2802/F2802)),"")</f>
        <v/>
      </c>
      <c r="H2802" s="43" t="str">
        <f>IFERROR(G2802*E2795,"")</f>
        <v/>
      </c>
    </row>
    <row r="2803" spans="1:11">
      <c r="A2803" s="21"/>
      <c r="B2803" s="22" t="s">
        <v>3731</v>
      </c>
      <c r="C2803" s="23"/>
      <c r="D2803" s="24"/>
      <c r="E2803" s="25"/>
      <c r="F2803" s="26"/>
      <c r="G2803" s="27">
        <f>SUM(G2804:G2806)</f>
        <v>116574.50679075001</v>
      </c>
      <c r="H2803" s="27">
        <f>IFERROR(G2803*E2795,"")</f>
        <v>0</v>
      </c>
    </row>
    <row r="2804" spans="1:11">
      <c r="A2804" s="28"/>
      <c r="B2804" s="29" t="s">
        <v>3580</v>
      </c>
      <c r="C2804" s="30" t="str">
        <f>IFERROR(_xlfn.XLOOKUP(B2804,Equipo[DESCRIPCION],Equipo[UND],,0),"")</f>
        <v>M3</v>
      </c>
      <c r="D2804" s="31">
        <v>1</v>
      </c>
      <c r="E2804" s="32">
        <f>IF(C2804="%MO",G2810,IFERROR(_xlfn.XLOOKUP($B2804,Equipo[DESCRIPCION],Equipo[VALOR],,0),""))</f>
        <v>82902.75</v>
      </c>
      <c r="F2804" s="33"/>
      <c r="G2804" s="34">
        <f>IFERROR(IF(F2804&gt;=0,D2804*E2804*(1+F2804/100),ABS(D2804*E2804/F2804)),"")</f>
        <v>82902.75</v>
      </c>
      <c r="H2804" s="43">
        <f>IFERROR(G2804*E2795,"")</f>
        <v>0</v>
      </c>
    </row>
    <row r="2805" spans="1:11">
      <c r="A2805" s="28"/>
      <c r="B2805" s="29" t="s">
        <v>3657</v>
      </c>
      <c r="C2805" s="30" t="str">
        <f>IFERROR(_xlfn.XLOOKUP(B2805,Equipo[DESCRIPCION],Equipo[UND],,0),"")</f>
        <v>Día</v>
      </c>
      <c r="D2805" s="31">
        <v>1</v>
      </c>
      <c r="E2805" s="32">
        <f>IF(C2805="%MO",G2810,IFERROR(_xlfn.XLOOKUP($B2805,Equipo[DESCRIPCION],Equipo[VALOR],,0),""))</f>
        <v>56524.65</v>
      </c>
      <c r="F2805" s="33">
        <v>-2.5</v>
      </c>
      <c r="G2805" s="34">
        <f>IFERROR(IF(F2805&gt;=0,D2805*E2805*(1+F2805/100),ABS(D2805*E2805/F2805)),"")</f>
        <v>22609.86</v>
      </c>
      <c r="H2805" s="43">
        <f>IFERROR(G2805*E2795,"")</f>
        <v>0</v>
      </c>
    </row>
    <row r="2806" spans="1:11">
      <c r="A2806" s="28"/>
      <c r="B2806" s="29" t="s">
        <v>3626</v>
      </c>
      <c r="C2806" s="30" t="str">
        <f>IFERROR(_xlfn.XLOOKUP(B2806,Equipo[DESCRIPCION],Equipo[UND],,0),"")</f>
        <v>%MO</v>
      </c>
      <c r="D2806" s="31">
        <v>0.05</v>
      </c>
      <c r="E2806" s="32">
        <f>IF(C2806="%MO",G2810,IFERROR(_xlfn.XLOOKUP($B2806,Equipo[DESCRIPCION],Equipo[VALOR],,0),""))</f>
        <v>221237.93581500006</v>
      </c>
      <c r="F2806" s="33"/>
      <c r="G2806" s="34">
        <f>IFERROR(IF(F2806&gt;=0,D2806*E2806*(1+F2806/100),ABS(D2806*E2806/F2806)),"")</f>
        <v>11061.896790750005</v>
      </c>
      <c r="H2806" s="43">
        <f>IFERROR(G2806*E2795,"")</f>
        <v>0</v>
      </c>
    </row>
    <row r="2807" spans="1:11">
      <c r="A2807" s="21"/>
      <c r="B2807" s="22" t="s">
        <v>2533</v>
      </c>
      <c r="C2807" s="23"/>
      <c r="D2807" s="24"/>
      <c r="E2807" s="25"/>
      <c r="F2807" s="26"/>
      <c r="G2807" s="27">
        <f>SUM(G2808:G2809)</f>
        <v>0</v>
      </c>
      <c r="H2807" s="27">
        <f>IFERROR(G2807*E2795,"")</f>
        <v>0</v>
      </c>
    </row>
    <row r="2808" spans="1:11">
      <c r="A2808" s="28"/>
      <c r="B2808" s="29"/>
      <c r="C2808" s="30" t="str">
        <f>IFERROR(_xlfn.XLOOKUP(B2808,Transporte[DESCRIPCION],Transporte[UND],,0),"")</f>
        <v/>
      </c>
      <c r="D2808" s="31"/>
      <c r="E2808" s="32" t="str">
        <f>IFERROR(_xlfn.XLOOKUP($B2808,Transporte[DESCRIPCION],Transporte[VALOR],,0),"")</f>
        <v/>
      </c>
      <c r="F2808" s="33"/>
      <c r="G2808" s="34" t="str">
        <f>IFERROR(IF(F2808&gt;=0,D2808*E2808*(1+F2808/100),ABS(D2808*E2808/F2808)),"")</f>
        <v/>
      </c>
      <c r="H2808" s="43" t="str">
        <f>IFERROR(G2808*E2795,"")</f>
        <v/>
      </c>
    </row>
    <row r="2809" spans="1:11">
      <c r="A2809" s="28"/>
      <c r="B2809" s="29"/>
      <c r="C2809" s="30" t="str">
        <f>IFERROR(_xlfn.XLOOKUP(B2809,Transporte[DESCRIPCION],Transporte[UND],,0),"")</f>
        <v/>
      </c>
      <c r="D2809" s="31"/>
      <c r="E2809" s="32" t="str">
        <f>IFERROR(_xlfn.XLOOKUP($B2809,Transporte[DESCRIPCION],Transporte[VALOR],,0),"")</f>
        <v/>
      </c>
      <c r="F2809" s="33"/>
      <c r="G2809" s="34" t="str">
        <f>IFERROR(IF(F2809&gt;=0,D2809*E2809*(1+F2809/100),ABS(D2809*E2809/F2809)),"")</f>
        <v/>
      </c>
      <c r="H2809" s="43" t="str">
        <f>IFERROR(G2809*E2795,"")</f>
        <v/>
      </c>
    </row>
    <row r="2810" spans="1:11">
      <c r="A2810" s="21"/>
      <c r="B2810" s="22" t="s">
        <v>3732</v>
      </c>
      <c r="C2810" s="23"/>
      <c r="D2810" s="24"/>
      <c r="E2810" s="25"/>
      <c r="F2810" s="26"/>
      <c r="G2810" s="27">
        <f>SUM(G2811:G2813)</f>
        <v>221237.93581500006</v>
      </c>
      <c r="H2810" s="27">
        <f>IFERROR(G2810*E2795,"")</f>
        <v>0</v>
      </c>
    </row>
    <row r="2811" spans="1:11">
      <c r="A2811" s="28"/>
      <c r="B2811" s="29" t="s">
        <v>3713</v>
      </c>
      <c r="C2811" s="30" t="str">
        <f>IFERROR(_xlfn.XLOOKUP(B2811,MObra[DESCRIPCION],MObra[UN],,0),"")</f>
        <v>día</v>
      </c>
      <c r="D2811" s="31">
        <v>1</v>
      </c>
      <c r="E2811" s="32">
        <f>IFERROR(_xlfn.XLOOKUP($B2811,MObra[DESCRIPCION],MObra[VALOR UNIT],,0),"")</f>
        <v>663713.80744500016</v>
      </c>
      <c r="F2811" s="33">
        <v>-3</v>
      </c>
      <c r="G2811" s="34">
        <f>IFERROR(IF(F2811&gt;=0,D2811*E2811*(1+F2811/100),ABS(D2811*E2811/F2811)),"")</f>
        <v>221237.93581500006</v>
      </c>
      <c r="H2811" s="43">
        <f>IFERROR(G2811*E2795,"")</f>
        <v>0</v>
      </c>
    </row>
    <row r="2812" spans="1:11">
      <c r="A2812" s="28"/>
      <c r="B2812" s="29"/>
      <c r="C2812" s="30" t="str">
        <f>IFERROR(_xlfn.XLOOKUP(B2812,MObra[DESCRIPCION],MObra[UN],,0),"")</f>
        <v/>
      </c>
      <c r="D2812" s="31"/>
      <c r="E2812" s="32" t="str">
        <f>IFERROR(_xlfn.XLOOKUP($B2812,MObra[DESCRIPCION],MObra[VALOR UNIT],,0),"")</f>
        <v/>
      </c>
      <c r="F2812" s="33"/>
      <c r="G2812" s="34" t="str">
        <f>IFERROR(IF(F2812&gt;=0,D2812*E2812*(1+F2812/100),ABS(D2812*E2812/F2812)),"")</f>
        <v/>
      </c>
      <c r="H2812" s="43" t="str">
        <f>IFERROR(G2812*E2795,"")</f>
        <v/>
      </c>
    </row>
    <row r="2813" spans="1:11" ht="13.15" thickBot="1">
      <c r="A2813" s="35"/>
      <c r="B2813" s="36"/>
      <c r="C2813" s="37" t="str">
        <f>IFERROR(_xlfn.XLOOKUP(B2813,MObra[DESCRIPCION],MObra[UN],,0),"")</f>
        <v/>
      </c>
      <c r="D2813" s="38"/>
      <c r="E2813" s="39" t="str">
        <f>IFERROR(_xlfn.XLOOKUP($B2813,MObra[DESCRIPCION],MObra[VALOR UNIT],,0),"")</f>
        <v/>
      </c>
      <c r="F2813" s="40"/>
      <c r="G2813" s="41" t="str">
        <f>IFERROR(IF(F2813&gt;=0,D2813*E2813*(1+F2813/100),ABS(D2813*E2813/F2813)),"")</f>
        <v/>
      </c>
      <c r="H2813" s="42" t="str">
        <f>IFERROR(G2813*E2795,"")</f>
        <v/>
      </c>
    </row>
    <row r="2814" spans="1:11" ht="13.5" thickTop="1" thickBot="1"/>
    <row r="2815" spans="1:11" ht="13.5" thickTop="1" thickBot="1">
      <c r="A2815" s="6" t="s">
        <v>2006</v>
      </c>
      <c r="B2815" s="7" t="str">
        <f>VLOOKUP($A2815,Presupuesto!$A:$D,2,FALSE())</f>
        <v>Concreto 24.1 Mpa para pilotes</v>
      </c>
      <c r="C2815" s="8" t="str">
        <f>VLOOKUP($A2815,Presupuesto!$A:$D,3,FALSE())</f>
        <v>M3</v>
      </c>
      <c r="D2815" s="9"/>
      <c r="E2815" s="10">
        <f>VLOOKUP($A2815,Presupuesto!$A:$D,4,FALSE())</f>
        <v>0</v>
      </c>
      <c r="F2815" s="11" t="s">
        <v>2589</v>
      </c>
      <c r="G2815" s="12">
        <f>SUM(G2817:G2833)/2</f>
        <v>1254384.7500747826</v>
      </c>
      <c r="H2815" s="13">
        <f>ROUND(SUM(H2817:H2833),0)/2</f>
        <v>0</v>
      </c>
      <c r="I2815" s="10">
        <f>VLOOKUP(A2815,Presupuesto!$A:$F,6,0)</f>
        <v>0</v>
      </c>
      <c r="J2815" s="10">
        <f>+H2815-I2815</f>
        <v>0</v>
      </c>
      <c r="K2815" s="46">
        <f>+H2815-G2815*E2815</f>
        <v>0</v>
      </c>
    </row>
    <row r="2816" spans="1:11" ht="13.15" thickTop="1">
      <c r="A2816" s="14"/>
      <c r="B2816" s="15" t="s">
        <v>2586</v>
      </c>
      <c r="C2816" s="15" t="s">
        <v>5</v>
      </c>
      <c r="D2816" s="16" t="s">
        <v>6</v>
      </c>
      <c r="E2816" s="17" t="s">
        <v>7</v>
      </c>
      <c r="F2816" s="18" t="s">
        <v>3728</v>
      </c>
      <c r="G2816" s="19" t="s">
        <v>3729</v>
      </c>
      <c r="H2816" s="20" t="s">
        <v>3797</v>
      </c>
    </row>
    <row r="2817" spans="1:8">
      <c r="A2817" s="21"/>
      <c r="B2817" s="22" t="s">
        <v>3730</v>
      </c>
      <c r="C2817" s="23"/>
      <c r="D2817" s="24"/>
      <c r="E2817" s="25"/>
      <c r="F2817" s="26"/>
      <c r="G2817" s="27">
        <f>SUM(G2818:G2822)</f>
        <v>758707.42500000005</v>
      </c>
      <c r="H2817" s="27">
        <f>IFERROR(G2817*E2815,"")</f>
        <v>0</v>
      </c>
    </row>
    <row r="2818" spans="1:8">
      <c r="A2818" s="28"/>
      <c r="B2818" s="29" t="s">
        <v>2870</v>
      </c>
      <c r="C2818" s="30" t="str">
        <f>IFERROR(_xlfn.XLOOKUP(B2818,Insumo[DESCRIPCION],Insumo[UND],,0),"")</f>
        <v>M3</v>
      </c>
      <c r="D2818" s="31">
        <v>1</v>
      </c>
      <c r="E2818" s="32">
        <f>IFERROR(_xlfn.XLOOKUP($B2818,Insumo[DESCRIPCION],Insumo[VALOR],,0),"")</f>
        <v>722578.5</v>
      </c>
      <c r="F2818" s="33">
        <v>5</v>
      </c>
      <c r="G2818" s="34">
        <f>IFERROR(IF(F2818&gt;=0,D2818*E2818*(1+F2818/100),ABS(D2818*E2818/F2818)),"")</f>
        <v>758707.42500000005</v>
      </c>
      <c r="H2818" s="43">
        <f>IFERROR(G2818*E2815,"")</f>
        <v>0</v>
      </c>
    </row>
    <row r="2819" spans="1:8">
      <c r="A2819" s="28"/>
      <c r="B2819" s="29"/>
      <c r="C2819" s="30" t="str">
        <f>IFERROR(_xlfn.XLOOKUP(B2819,Insumo[DESCRIPCION],Insumo[UND],,0),"")</f>
        <v/>
      </c>
      <c r="D2819" s="31"/>
      <c r="E2819" s="32" t="str">
        <f>IFERROR(_xlfn.XLOOKUP($B2819,Insumo[DESCRIPCION],Insumo[VALOR],,0),"")</f>
        <v/>
      </c>
      <c r="F2819" s="33"/>
      <c r="G2819" s="34" t="str">
        <f>IFERROR(IF(F2819&gt;=0,D2819*E2819*(1+F2819/100),ABS(D2819*E2819/F2819)),"")</f>
        <v/>
      </c>
      <c r="H2819" s="43" t="str">
        <f>IFERROR(G2819*E2815,"")</f>
        <v/>
      </c>
    </row>
    <row r="2820" spans="1:8">
      <c r="A2820" s="28"/>
      <c r="B2820" s="29"/>
      <c r="C2820" s="30" t="str">
        <f>IFERROR(_xlfn.XLOOKUP(B2820,Insumo[DESCRIPCION],Insumo[UND],,0),"")</f>
        <v/>
      </c>
      <c r="D2820" s="31"/>
      <c r="E2820" s="32" t="str">
        <f>IFERROR(_xlfn.XLOOKUP($B2820,Insumo[DESCRIPCION],Insumo[VALOR],,0),"")</f>
        <v/>
      </c>
      <c r="F2820" s="33"/>
      <c r="G2820" s="34" t="str">
        <f>IFERROR(IF(F2820&gt;=0,D2820*E2820*(1+F2820/100),ABS(D2820*E2820/F2820)),"")</f>
        <v/>
      </c>
      <c r="H2820" s="43" t="str">
        <f>IFERROR(G2820*E2815,"")</f>
        <v/>
      </c>
    </row>
    <row r="2821" spans="1:8">
      <c r="A2821" s="28"/>
      <c r="B2821" s="29"/>
      <c r="C2821" s="30" t="str">
        <f>IFERROR(_xlfn.XLOOKUP(B2821,Insumo[DESCRIPCION],Insumo[UND],,0),"")</f>
        <v/>
      </c>
      <c r="D2821" s="31"/>
      <c r="E2821" s="32" t="str">
        <f>IFERROR(_xlfn.XLOOKUP($B2821,Insumo[DESCRIPCION],Insumo[VALOR],,0),"")</f>
        <v/>
      </c>
      <c r="F2821" s="33"/>
      <c r="G2821" s="34" t="str">
        <f>IFERROR(IF(F2821&gt;=0,D2821*E2821*(1+F2821/100),ABS(D2821*E2821/F2821)),"")</f>
        <v/>
      </c>
      <c r="H2821" s="43" t="str">
        <f>IFERROR(G2821*E2815,"")</f>
        <v/>
      </c>
    </row>
    <row r="2822" spans="1:8">
      <c r="A2822" s="28"/>
      <c r="B2822" s="29"/>
      <c r="C2822" s="30" t="str">
        <f>IFERROR(_xlfn.XLOOKUP(B2822,Insumo[DESCRIPCION],Insumo[UND],,0),"")</f>
        <v/>
      </c>
      <c r="D2822" s="31"/>
      <c r="E2822" s="32" t="str">
        <f>IFERROR(_xlfn.XLOOKUP($B2822,Insumo[DESCRIPCION],Insumo[VALOR],,0),"")</f>
        <v/>
      </c>
      <c r="F2822" s="33"/>
      <c r="G2822" s="34" t="str">
        <f>IFERROR(IF(F2822&gt;=0,D2822*E2822*(1+F2822/100),ABS(D2822*E2822/F2822)),"")</f>
        <v/>
      </c>
      <c r="H2822" s="43" t="str">
        <f>IFERROR(G2822*E2815,"")</f>
        <v/>
      </c>
    </row>
    <row r="2823" spans="1:8">
      <c r="A2823" s="21"/>
      <c r="B2823" s="22" t="s">
        <v>3731</v>
      </c>
      <c r="C2823" s="23"/>
      <c r="D2823" s="24"/>
      <c r="E2823" s="25"/>
      <c r="F2823" s="26"/>
      <c r="G2823" s="27">
        <f>SUM(G2824:G2826)</f>
        <v>64263.350235532511</v>
      </c>
      <c r="H2823" s="27">
        <f>IFERROR(G2823*E2815,"")</f>
        <v>0</v>
      </c>
    </row>
    <row r="2824" spans="1:8">
      <c r="A2824" s="28"/>
      <c r="B2824" s="29" t="s">
        <v>3657</v>
      </c>
      <c r="C2824" s="30" t="str">
        <f>IFERROR(_xlfn.XLOOKUP(B2824,Equipo[DESCRIPCION],Equipo[UND],,0),"")</f>
        <v>Día</v>
      </c>
      <c r="D2824" s="31">
        <v>1</v>
      </c>
      <c r="E2824" s="32">
        <f>IF(C2824="%MO",G2830,IFERROR(_xlfn.XLOOKUP($B2824,Equipo[DESCRIPCION],Equipo[VALOR],,0),""))</f>
        <v>56524.65</v>
      </c>
      <c r="F2824" s="33">
        <f>-1/0.45</f>
        <v>-2.2222222222222223</v>
      </c>
      <c r="G2824" s="34">
        <f>IFERROR(IF(F2824&gt;=0,D2824*E2824*(1+F2824/100),ABS(D2824*E2824/F2824)),"")</f>
        <v>25436.092499999999</v>
      </c>
      <c r="H2824" s="43">
        <f>IFERROR(G2824*E2815,"")</f>
        <v>0</v>
      </c>
    </row>
    <row r="2825" spans="1:8">
      <c r="A2825" s="28"/>
      <c r="B2825" s="29" t="s">
        <v>3570</v>
      </c>
      <c r="C2825" s="30" t="str">
        <f>IFERROR(_xlfn.XLOOKUP(B2825,Equipo[DESCRIPCION],Equipo[UND],,0),"")</f>
        <v>%MO</v>
      </c>
      <c r="D2825" s="31">
        <v>0.04</v>
      </c>
      <c r="E2825" s="32">
        <f>IF(C2825="%MO",G2830,IFERROR(_xlfn.XLOOKUP($B2825,Equipo[DESCRIPCION],Equipo[VALOR],,0),""))</f>
        <v>431413.97483925015</v>
      </c>
      <c r="F2825" s="33"/>
      <c r="G2825" s="34">
        <f>IFERROR(IF(F2825&gt;=0,D2825*E2825*(1+F2825/100),ABS(D2825*E2825/F2825)),"")</f>
        <v>17256.558993570005</v>
      </c>
      <c r="H2825" s="43">
        <f>IFERROR(G2825*E2815,"")</f>
        <v>0</v>
      </c>
    </row>
    <row r="2826" spans="1:8">
      <c r="A2826" s="28"/>
      <c r="B2826" s="29" t="s">
        <v>3626</v>
      </c>
      <c r="C2826" s="30" t="str">
        <f>IFERROR(_xlfn.XLOOKUP(B2826,Equipo[DESCRIPCION],Equipo[UND],,0),"")</f>
        <v>%MO</v>
      </c>
      <c r="D2826" s="31">
        <v>0.05</v>
      </c>
      <c r="E2826" s="32">
        <f>IF(C2826="%MO",G2830,IFERROR(_xlfn.XLOOKUP($B2826,Equipo[DESCRIPCION],Equipo[VALOR],,0),""))</f>
        <v>431413.97483925015</v>
      </c>
      <c r="F2826" s="33"/>
      <c r="G2826" s="34">
        <f>IFERROR(IF(F2826&gt;=0,D2826*E2826*(1+F2826/100),ABS(D2826*E2826/F2826)),"")</f>
        <v>21570.698741962507</v>
      </c>
      <c r="H2826" s="43">
        <f>IFERROR(G2826*E2815,"")</f>
        <v>0</v>
      </c>
    </row>
    <row r="2827" spans="1:8">
      <c r="A2827" s="21"/>
      <c r="B2827" s="22" t="s">
        <v>2533</v>
      </c>
      <c r="C2827" s="23"/>
      <c r="D2827" s="24"/>
      <c r="E2827" s="25"/>
      <c r="F2827" s="26"/>
      <c r="G2827" s="27">
        <f>SUM(G2828:G2829)</f>
        <v>0</v>
      </c>
      <c r="H2827" s="27">
        <f>IFERROR(G2827*E2815,"")</f>
        <v>0</v>
      </c>
    </row>
    <row r="2828" spans="1:8">
      <c r="A2828" s="28"/>
      <c r="B2828" s="29"/>
      <c r="C2828" s="30" t="str">
        <f>IFERROR(_xlfn.XLOOKUP(B2828,Transporte[DESCRIPCION],Transporte[UND],,0),"")</f>
        <v/>
      </c>
      <c r="D2828" s="31"/>
      <c r="E2828" s="32" t="str">
        <f>IFERROR(_xlfn.XLOOKUP($B2828,Transporte[DESCRIPCION],Transporte[VALOR],,0),"")</f>
        <v/>
      </c>
      <c r="F2828" s="33"/>
      <c r="G2828" s="34" t="str">
        <f>IFERROR(IF(F2828&gt;=0,D2828*E2828*(1+F2828/100),ABS(D2828*E2828/F2828)),"")</f>
        <v/>
      </c>
      <c r="H2828" s="43" t="str">
        <f>IFERROR(G2828*E2815,"")</f>
        <v/>
      </c>
    </row>
    <row r="2829" spans="1:8">
      <c r="A2829" s="28"/>
      <c r="B2829" s="29"/>
      <c r="C2829" s="30" t="str">
        <f>IFERROR(_xlfn.XLOOKUP(B2829,Transporte[DESCRIPCION],Transporte[UND],,0),"")</f>
        <v/>
      </c>
      <c r="D2829" s="31"/>
      <c r="E2829" s="32" t="str">
        <f>IFERROR(_xlfn.XLOOKUP($B2829,Transporte[DESCRIPCION],Transporte[VALOR],,0),"")</f>
        <v/>
      </c>
      <c r="F2829" s="33"/>
      <c r="G2829" s="34" t="str">
        <f>IFERROR(IF(F2829&gt;=0,D2829*E2829*(1+F2829/100),ABS(D2829*E2829/F2829)),"")</f>
        <v/>
      </c>
      <c r="H2829" s="43" t="str">
        <f>IFERROR(G2829*E2815,"")</f>
        <v/>
      </c>
    </row>
    <row r="2830" spans="1:8">
      <c r="A2830" s="21"/>
      <c r="B2830" s="22" t="s">
        <v>3732</v>
      </c>
      <c r="C2830" s="23"/>
      <c r="D2830" s="24"/>
      <c r="E2830" s="25"/>
      <c r="F2830" s="26"/>
      <c r="G2830" s="27">
        <f>SUM(G2831:G2833)</f>
        <v>431413.97483925015</v>
      </c>
      <c r="H2830" s="27">
        <f>IFERROR(G2830*E2815,"")</f>
        <v>0</v>
      </c>
    </row>
    <row r="2831" spans="1:8">
      <c r="A2831" s="28"/>
      <c r="B2831" s="29" t="s">
        <v>3713</v>
      </c>
      <c r="C2831" s="30" t="str">
        <f>IFERROR(_xlfn.XLOOKUP(B2831,MObra[DESCRIPCION],MObra[UN],,0),"")</f>
        <v>día</v>
      </c>
      <c r="D2831" s="31">
        <v>1</v>
      </c>
      <c r="E2831" s="32">
        <f>IFERROR(_xlfn.XLOOKUP($B2831,MObra[DESCRIPCION],MObra[VALOR UNIT],,0),"")</f>
        <v>663713.80744500016</v>
      </c>
      <c r="F2831" s="33">
        <f>-1/0.65</f>
        <v>-1.5384615384615383</v>
      </c>
      <c r="G2831" s="34">
        <f>IFERROR(IF(F2831&gt;=0,D2831*E2831*(1+F2831/100),ABS(D2831*E2831/F2831)),"")</f>
        <v>431413.97483925015</v>
      </c>
      <c r="H2831" s="43">
        <f>IFERROR(G2831*E2815,"")</f>
        <v>0</v>
      </c>
    </row>
    <row r="2832" spans="1:8">
      <c r="A2832" s="28"/>
      <c r="B2832" s="29"/>
      <c r="C2832" s="30" t="str">
        <f>IFERROR(_xlfn.XLOOKUP(B2832,MObra[DESCRIPCION],MObra[UN],,0),"")</f>
        <v/>
      </c>
      <c r="D2832" s="31"/>
      <c r="E2832" s="32" t="str">
        <f>IFERROR(_xlfn.XLOOKUP($B2832,MObra[DESCRIPCION],MObra[VALOR UNIT],,0),"")</f>
        <v/>
      </c>
      <c r="F2832" s="33"/>
      <c r="G2832" s="34" t="str">
        <f>IFERROR(IF(F2832&gt;=0,D2832*E2832*(1+F2832/100),ABS(D2832*E2832/F2832)),"")</f>
        <v/>
      </c>
      <c r="H2832" s="43" t="str">
        <f>IFERROR(G2832*E2815,"")</f>
        <v/>
      </c>
    </row>
    <row r="2833" spans="1:11" ht="13.15" thickBot="1">
      <c r="A2833" s="35"/>
      <c r="B2833" s="36"/>
      <c r="C2833" s="37" t="str">
        <f>IFERROR(_xlfn.XLOOKUP(B2833,MObra[DESCRIPCION],MObra[UN],,0),"")</f>
        <v/>
      </c>
      <c r="D2833" s="38"/>
      <c r="E2833" s="39" t="str">
        <f>IFERROR(_xlfn.XLOOKUP($B2833,MObra[DESCRIPCION],MObra[VALOR UNIT],,0),"")</f>
        <v/>
      </c>
      <c r="F2833" s="40"/>
      <c r="G2833" s="41" t="str">
        <f>IFERROR(IF(F2833&gt;=0,D2833*E2833*(1+F2833/100),ABS(D2833*E2833/F2833)),"")</f>
        <v/>
      </c>
      <c r="H2833" s="42" t="str">
        <f>IFERROR(G2833*E2815,"")</f>
        <v/>
      </c>
    </row>
    <row r="2834" spans="1:11" ht="13.5" thickTop="1" thickBot="1"/>
    <row r="2835" spans="1:11" ht="13.5" thickTop="1" thickBot="1">
      <c r="A2835" s="6" t="s">
        <v>2008</v>
      </c>
      <c r="B2835" s="7" t="str">
        <f>VLOOKUP($A2835,Presupuesto!$A:$D,2,FALSE())</f>
        <v>Concreto 27.6 Mpa para pilotes</v>
      </c>
      <c r="C2835" s="8" t="str">
        <f>VLOOKUP($A2835,Presupuesto!$A:$D,3,FALSE())</f>
        <v>M3</v>
      </c>
      <c r="D2835" s="9"/>
      <c r="E2835" s="10">
        <f>VLOOKUP($A2835,Presupuesto!$A:$D,4,FALSE())</f>
        <v>0</v>
      </c>
      <c r="F2835" s="11" t="s">
        <v>2589</v>
      </c>
      <c r="G2835" s="12">
        <f>SUM(G2837:G2853)/2</f>
        <v>1258436.4375747826</v>
      </c>
      <c r="H2835" s="13">
        <f>ROUND(SUM(H2837:H2853),0)/2</f>
        <v>0</v>
      </c>
      <c r="I2835" s="10">
        <f>VLOOKUP(A2835,Presupuesto!$A:$F,6,0)</f>
        <v>0</v>
      </c>
      <c r="J2835" s="10">
        <f>+H2835-I2835</f>
        <v>0</v>
      </c>
      <c r="K2835" s="46">
        <f>+H2835-G2835*E2835</f>
        <v>0</v>
      </c>
    </row>
    <row r="2836" spans="1:11" ht="13.15" thickTop="1">
      <c r="A2836" s="14"/>
      <c r="B2836" s="15" t="s">
        <v>2586</v>
      </c>
      <c r="C2836" s="15" t="s">
        <v>5</v>
      </c>
      <c r="D2836" s="16" t="s">
        <v>6</v>
      </c>
      <c r="E2836" s="17" t="s">
        <v>7</v>
      </c>
      <c r="F2836" s="18" t="s">
        <v>3728</v>
      </c>
      <c r="G2836" s="19" t="s">
        <v>3729</v>
      </c>
      <c r="H2836" s="20" t="s">
        <v>3797</v>
      </c>
    </row>
    <row r="2837" spans="1:11">
      <c r="A2837" s="21"/>
      <c r="B2837" s="22" t="s">
        <v>3730</v>
      </c>
      <c r="C2837" s="23"/>
      <c r="D2837" s="24"/>
      <c r="E2837" s="25"/>
      <c r="F2837" s="26"/>
      <c r="G2837" s="27">
        <f>SUM(G2838:G2842)</f>
        <v>762759.11250000005</v>
      </c>
      <c r="H2837" s="27">
        <f>IFERROR(G2837*E2835,"")</f>
        <v>0</v>
      </c>
    </row>
    <row r="2838" spans="1:11">
      <c r="A2838" s="28"/>
      <c r="B2838" s="29" t="s">
        <v>2872</v>
      </c>
      <c r="C2838" s="30" t="str">
        <f>IFERROR(_xlfn.XLOOKUP(B2838,Insumo[DESCRIPCION],Insumo[UND],,0),"")</f>
        <v>M3</v>
      </c>
      <c r="D2838" s="31">
        <v>1</v>
      </c>
      <c r="E2838" s="32">
        <f>IFERROR(_xlfn.XLOOKUP($B2838,Insumo[DESCRIPCION],Insumo[VALOR],,0),"")</f>
        <v>726437.25</v>
      </c>
      <c r="F2838" s="33">
        <v>5</v>
      </c>
      <c r="G2838" s="34">
        <f>IFERROR(IF(F2838&gt;=0,D2838*E2838*(1+F2838/100),ABS(D2838*E2838/F2838)),"")</f>
        <v>762759.11250000005</v>
      </c>
      <c r="H2838" s="43">
        <f>IFERROR(G2838*E2835,"")</f>
        <v>0</v>
      </c>
    </row>
    <row r="2839" spans="1:11">
      <c r="A2839" s="28"/>
      <c r="B2839" s="29"/>
      <c r="C2839" s="30" t="str">
        <f>IFERROR(_xlfn.XLOOKUP(B2839,Insumo[DESCRIPCION],Insumo[UND],,0),"")</f>
        <v/>
      </c>
      <c r="D2839" s="31"/>
      <c r="E2839" s="32" t="str">
        <f>IFERROR(_xlfn.XLOOKUP($B2839,Insumo[DESCRIPCION],Insumo[VALOR],,0),"")</f>
        <v/>
      </c>
      <c r="F2839" s="33"/>
      <c r="G2839" s="34" t="str">
        <f>IFERROR(IF(F2839&gt;=0,D2839*E2839*(1+F2839/100),ABS(D2839*E2839/F2839)),"")</f>
        <v/>
      </c>
      <c r="H2839" s="43" t="str">
        <f>IFERROR(G2839*E2835,"")</f>
        <v/>
      </c>
    </row>
    <row r="2840" spans="1:11">
      <c r="A2840" s="28"/>
      <c r="B2840" s="29"/>
      <c r="C2840" s="30" t="str">
        <f>IFERROR(_xlfn.XLOOKUP(B2840,Insumo[DESCRIPCION],Insumo[UND],,0),"")</f>
        <v/>
      </c>
      <c r="D2840" s="31"/>
      <c r="E2840" s="32" t="str">
        <f>IFERROR(_xlfn.XLOOKUP($B2840,Insumo[DESCRIPCION],Insumo[VALOR],,0),"")</f>
        <v/>
      </c>
      <c r="F2840" s="33"/>
      <c r="G2840" s="34" t="str">
        <f>IFERROR(IF(F2840&gt;=0,D2840*E2840*(1+F2840/100),ABS(D2840*E2840/F2840)),"")</f>
        <v/>
      </c>
      <c r="H2840" s="43" t="str">
        <f>IFERROR(G2840*E2835,"")</f>
        <v/>
      </c>
    </row>
    <row r="2841" spans="1:11">
      <c r="A2841" s="28"/>
      <c r="B2841" s="29"/>
      <c r="C2841" s="30" t="str">
        <f>IFERROR(_xlfn.XLOOKUP(B2841,Insumo[DESCRIPCION],Insumo[UND],,0),"")</f>
        <v/>
      </c>
      <c r="D2841" s="31"/>
      <c r="E2841" s="32" t="str">
        <f>IFERROR(_xlfn.XLOOKUP($B2841,Insumo[DESCRIPCION],Insumo[VALOR],,0),"")</f>
        <v/>
      </c>
      <c r="F2841" s="33"/>
      <c r="G2841" s="34" t="str">
        <f>IFERROR(IF(F2841&gt;=0,D2841*E2841*(1+F2841/100),ABS(D2841*E2841/F2841)),"")</f>
        <v/>
      </c>
      <c r="H2841" s="43" t="str">
        <f>IFERROR(G2841*E2835,"")</f>
        <v/>
      </c>
    </row>
    <row r="2842" spans="1:11">
      <c r="A2842" s="28"/>
      <c r="B2842" s="29"/>
      <c r="C2842" s="30" t="str">
        <f>IFERROR(_xlfn.XLOOKUP(B2842,Insumo[DESCRIPCION],Insumo[UND],,0),"")</f>
        <v/>
      </c>
      <c r="D2842" s="31"/>
      <c r="E2842" s="32" t="str">
        <f>IFERROR(_xlfn.XLOOKUP($B2842,Insumo[DESCRIPCION],Insumo[VALOR],,0),"")</f>
        <v/>
      </c>
      <c r="F2842" s="33"/>
      <c r="G2842" s="34" t="str">
        <f>IFERROR(IF(F2842&gt;=0,D2842*E2842*(1+F2842/100),ABS(D2842*E2842/F2842)),"")</f>
        <v/>
      </c>
      <c r="H2842" s="43" t="str">
        <f>IFERROR(G2842*E2835,"")</f>
        <v/>
      </c>
    </row>
    <row r="2843" spans="1:11">
      <c r="A2843" s="21"/>
      <c r="B2843" s="22" t="s">
        <v>3731</v>
      </c>
      <c r="C2843" s="23"/>
      <c r="D2843" s="24"/>
      <c r="E2843" s="25"/>
      <c r="F2843" s="26"/>
      <c r="G2843" s="27">
        <f>SUM(G2844:G2846)</f>
        <v>64263.350235532511</v>
      </c>
      <c r="H2843" s="27">
        <f>IFERROR(G2843*E2835,"")</f>
        <v>0</v>
      </c>
    </row>
    <row r="2844" spans="1:11">
      <c r="A2844" s="28"/>
      <c r="B2844" s="29" t="s">
        <v>3657</v>
      </c>
      <c r="C2844" s="30" t="str">
        <f>IFERROR(_xlfn.XLOOKUP(B2844,Equipo[DESCRIPCION],Equipo[UND],,0),"")</f>
        <v>Día</v>
      </c>
      <c r="D2844" s="31">
        <v>1</v>
      </c>
      <c r="E2844" s="32">
        <f>IF(C2844="%MO",G2850,IFERROR(_xlfn.XLOOKUP($B2844,Equipo[DESCRIPCION],Equipo[VALOR],,0),""))</f>
        <v>56524.65</v>
      </c>
      <c r="F2844" s="33">
        <f>-1/0.45</f>
        <v>-2.2222222222222223</v>
      </c>
      <c r="G2844" s="34">
        <f>IFERROR(IF(F2844&gt;=0,D2844*E2844*(1+F2844/100),ABS(D2844*E2844/F2844)),"")</f>
        <v>25436.092499999999</v>
      </c>
      <c r="H2844" s="43">
        <f>IFERROR(G2844*E2835,"")</f>
        <v>0</v>
      </c>
    </row>
    <row r="2845" spans="1:11">
      <c r="A2845" s="28"/>
      <c r="B2845" s="29" t="s">
        <v>3570</v>
      </c>
      <c r="C2845" s="30" t="str">
        <f>IFERROR(_xlfn.XLOOKUP(B2845,Equipo[DESCRIPCION],Equipo[UND],,0),"")</f>
        <v>%MO</v>
      </c>
      <c r="D2845" s="31">
        <v>0.04</v>
      </c>
      <c r="E2845" s="32">
        <f>IF(C2845="%MO",G2850,IFERROR(_xlfn.XLOOKUP($B2845,Equipo[DESCRIPCION],Equipo[VALOR],,0),""))</f>
        <v>431413.97483925015</v>
      </c>
      <c r="F2845" s="33"/>
      <c r="G2845" s="34">
        <f>IFERROR(IF(F2845&gt;=0,D2845*E2845*(1+F2845/100),ABS(D2845*E2845/F2845)),"")</f>
        <v>17256.558993570005</v>
      </c>
      <c r="H2845" s="43">
        <f>IFERROR(G2845*E2835,"")</f>
        <v>0</v>
      </c>
    </row>
    <row r="2846" spans="1:11">
      <c r="A2846" s="28"/>
      <c r="B2846" s="29" t="s">
        <v>3626</v>
      </c>
      <c r="C2846" s="30" t="str">
        <f>IFERROR(_xlfn.XLOOKUP(B2846,Equipo[DESCRIPCION],Equipo[UND],,0),"")</f>
        <v>%MO</v>
      </c>
      <c r="D2846" s="31">
        <v>0.05</v>
      </c>
      <c r="E2846" s="32">
        <f>IF(C2846="%MO",G2850,IFERROR(_xlfn.XLOOKUP($B2846,Equipo[DESCRIPCION],Equipo[VALOR],,0),""))</f>
        <v>431413.97483925015</v>
      </c>
      <c r="F2846" s="33"/>
      <c r="G2846" s="34">
        <f>IFERROR(IF(F2846&gt;=0,D2846*E2846*(1+F2846/100),ABS(D2846*E2846/F2846)),"")</f>
        <v>21570.698741962507</v>
      </c>
      <c r="H2846" s="43">
        <f>IFERROR(G2846*E2835,"")</f>
        <v>0</v>
      </c>
    </row>
    <row r="2847" spans="1:11">
      <c r="A2847" s="21"/>
      <c r="B2847" s="22" t="s">
        <v>2533</v>
      </c>
      <c r="C2847" s="23"/>
      <c r="D2847" s="24"/>
      <c r="E2847" s="25"/>
      <c r="F2847" s="26"/>
      <c r="G2847" s="27">
        <f>SUM(G2848:G2849)</f>
        <v>0</v>
      </c>
      <c r="H2847" s="27">
        <f>IFERROR(G2847*E2835,"")</f>
        <v>0</v>
      </c>
    </row>
    <row r="2848" spans="1:11">
      <c r="A2848" s="28"/>
      <c r="B2848" s="29"/>
      <c r="C2848" s="30" t="str">
        <f>IFERROR(_xlfn.XLOOKUP(B2848,Transporte[DESCRIPCION],Transporte[UND],,0),"")</f>
        <v/>
      </c>
      <c r="D2848" s="31"/>
      <c r="E2848" s="32" t="str">
        <f>IFERROR(_xlfn.XLOOKUP($B2848,Transporte[DESCRIPCION],Transporte[VALOR],,0),"")</f>
        <v/>
      </c>
      <c r="F2848" s="33"/>
      <c r="G2848" s="34" t="str">
        <f>IFERROR(IF(F2848&gt;=0,D2848*E2848*(1+F2848/100),ABS(D2848*E2848/F2848)),"")</f>
        <v/>
      </c>
      <c r="H2848" s="43" t="str">
        <f>IFERROR(G2848*E2835,"")</f>
        <v/>
      </c>
    </row>
    <row r="2849" spans="1:11">
      <c r="A2849" s="28"/>
      <c r="B2849" s="29"/>
      <c r="C2849" s="30" t="str">
        <f>IFERROR(_xlfn.XLOOKUP(B2849,Transporte[DESCRIPCION],Transporte[UND],,0),"")</f>
        <v/>
      </c>
      <c r="D2849" s="31"/>
      <c r="E2849" s="32" t="str">
        <f>IFERROR(_xlfn.XLOOKUP($B2849,Transporte[DESCRIPCION],Transporte[VALOR],,0),"")</f>
        <v/>
      </c>
      <c r="F2849" s="33"/>
      <c r="G2849" s="34" t="str">
        <f>IFERROR(IF(F2849&gt;=0,D2849*E2849*(1+F2849/100),ABS(D2849*E2849/F2849)),"")</f>
        <v/>
      </c>
      <c r="H2849" s="43" t="str">
        <f>IFERROR(G2849*E2835,"")</f>
        <v/>
      </c>
    </row>
    <row r="2850" spans="1:11">
      <c r="A2850" s="21"/>
      <c r="B2850" s="22" t="s">
        <v>3732</v>
      </c>
      <c r="C2850" s="23"/>
      <c r="D2850" s="24"/>
      <c r="E2850" s="25"/>
      <c r="F2850" s="26"/>
      <c r="G2850" s="27">
        <f>SUM(G2851:G2853)</f>
        <v>431413.97483925015</v>
      </c>
      <c r="H2850" s="27">
        <f>IFERROR(G2850*E2835,"")</f>
        <v>0</v>
      </c>
    </row>
    <row r="2851" spans="1:11">
      <c r="A2851" s="28"/>
      <c r="B2851" s="29" t="s">
        <v>3713</v>
      </c>
      <c r="C2851" s="30" t="str">
        <f>IFERROR(_xlfn.XLOOKUP(B2851,MObra[DESCRIPCION],MObra[UN],,0),"")</f>
        <v>día</v>
      </c>
      <c r="D2851" s="31">
        <v>1</v>
      </c>
      <c r="E2851" s="32">
        <f>IFERROR(_xlfn.XLOOKUP($B2851,MObra[DESCRIPCION],MObra[VALOR UNIT],,0),"")</f>
        <v>663713.80744500016</v>
      </c>
      <c r="F2851" s="33">
        <f>-1/0.65</f>
        <v>-1.5384615384615383</v>
      </c>
      <c r="G2851" s="34">
        <f>IFERROR(IF(F2851&gt;=0,D2851*E2851*(1+F2851/100),ABS(D2851*E2851/F2851)),"")</f>
        <v>431413.97483925015</v>
      </c>
      <c r="H2851" s="43">
        <f>IFERROR(G2851*E2835,"")</f>
        <v>0</v>
      </c>
    </row>
    <row r="2852" spans="1:11">
      <c r="A2852" s="28"/>
      <c r="B2852" s="29"/>
      <c r="C2852" s="30" t="str">
        <f>IFERROR(_xlfn.XLOOKUP(B2852,MObra[DESCRIPCION],MObra[UN],,0),"")</f>
        <v/>
      </c>
      <c r="D2852" s="31"/>
      <c r="E2852" s="32" t="str">
        <f>IFERROR(_xlfn.XLOOKUP($B2852,MObra[DESCRIPCION],MObra[VALOR UNIT],,0),"")</f>
        <v/>
      </c>
      <c r="F2852" s="33"/>
      <c r="G2852" s="34" t="str">
        <f>IFERROR(IF(F2852&gt;=0,D2852*E2852*(1+F2852/100),ABS(D2852*E2852/F2852)),"")</f>
        <v/>
      </c>
      <c r="H2852" s="43" t="str">
        <f>IFERROR(G2852*E2835,"")</f>
        <v/>
      </c>
    </row>
    <row r="2853" spans="1:11" ht="13.15" thickBot="1">
      <c r="A2853" s="35"/>
      <c r="B2853" s="36"/>
      <c r="C2853" s="37" t="str">
        <f>IFERROR(_xlfn.XLOOKUP(B2853,MObra[DESCRIPCION],MObra[UN],,0),"")</f>
        <v/>
      </c>
      <c r="D2853" s="38"/>
      <c r="E2853" s="39" t="str">
        <f>IFERROR(_xlfn.XLOOKUP($B2853,MObra[DESCRIPCION],MObra[VALOR UNIT],,0),"")</f>
        <v/>
      </c>
      <c r="F2853" s="40"/>
      <c r="G2853" s="41" t="str">
        <f>IFERROR(IF(F2853&gt;=0,D2853*E2853*(1+F2853/100),ABS(D2853*E2853/F2853)),"")</f>
        <v/>
      </c>
      <c r="H2853" s="42" t="str">
        <f>IFERROR(G2853*E2835,"")</f>
        <v/>
      </c>
    </row>
    <row r="2854" spans="1:11" ht="13.5" thickTop="1" thickBot="1"/>
    <row r="2855" spans="1:11" ht="13.5" thickTop="1" thickBot="1">
      <c r="A2855" s="6" t="s">
        <v>2010</v>
      </c>
      <c r="B2855" s="7" t="str">
        <f>VLOOKUP($A2855,Presupuesto!$A:$D,2,FALSE())</f>
        <v>Junta elastomerica para puente</v>
      </c>
      <c r="C2855" s="8" t="str">
        <f>VLOOKUP($A2855,Presupuesto!$A:$D,3,FALSE())</f>
        <v>M</v>
      </c>
      <c r="D2855" s="9"/>
      <c r="E2855" s="10">
        <f>VLOOKUP($A2855,Presupuesto!$A:$D,4,FALSE())</f>
        <v>0</v>
      </c>
      <c r="F2855" s="11" t="s">
        <v>2589</v>
      </c>
      <c r="G2855" s="12">
        <f>SUM(G2857:G2873)/2</f>
        <v>2860455.0291161248</v>
      </c>
      <c r="H2855" s="13">
        <f>ROUND(SUM(H2857:H2873),0)/2</f>
        <v>0</v>
      </c>
      <c r="I2855" s="10">
        <f>VLOOKUP(A2855,Presupuesto!$A:$F,6,0)</f>
        <v>0</v>
      </c>
      <c r="J2855" s="10">
        <f>+H2855-I2855</f>
        <v>0</v>
      </c>
      <c r="K2855" s="46">
        <f>+H2855-G2855*E2855</f>
        <v>0</v>
      </c>
    </row>
    <row r="2856" spans="1:11" ht="13.15" thickTop="1">
      <c r="A2856" s="14"/>
      <c r="B2856" s="15" t="s">
        <v>2586</v>
      </c>
      <c r="C2856" s="15" t="s">
        <v>5</v>
      </c>
      <c r="D2856" s="16" t="s">
        <v>6</v>
      </c>
      <c r="E2856" s="17" t="s">
        <v>7</v>
      </c>
      <c r="F2856" s="18" t="s">
        <v>3728</v>
      </c>
      <c r="G2856" s="19" t="s">
        <v>3729</v>
      </c>
      <c r="H2856" s="20" t="s">
        <v>3797</v>
      </c>
    </row>
    <row r="2857" spans="1:11">
      <c r="A2857" s="21"/>
      <c r="B2857" s="22" t="s">
        <v>3730</v>
      </c>
      <c r="C2857" s="23"/>
      <c r="D2857" s="24"/>
      <c r="E2857" s="25"/>
      <c r="F2857" s="26"/>
      <c r="G2857" s="27">
        <f>SUM(G2858:G2862)</f>
        <v>2634268.3499999996</v>
      </c>
      <c r="H2857" s="27">
        <f>IFERROR(G2857*E2855,"")</f>
        <v>0</v>
      </c>
    </row>
    <row r="2858" spans="1:11">
      <c r="A2858" s="28"/>
      <c r="B2858" s="29" t="s">
        <v>3013</v>
      </c>
      <c r="C2858" s="30" t="str">
        <f>IFERROR(_xlfn.XLOOKUP(B2858,Insumo[DESCRIPCION],Insumo[UND],,0),"")</f>
        <v>M</v>
      </c>
      <c r="D2858" s="31">
        <v>1</v>
      </c>
      <c r="E2858" s="32">
        <f>IFERROR(_xlfn.XLOOKUP($B2858,Insumo[DESCRIPCION],Insumo[VALOR],,0),"")</f>
        <v>2386912.5</v>
      </c>
      <c r="F2858" s="33"/>
      <c r="G2858" s="34">
        <f>IFERROR(IF(F2858&gt;=0,D2858*E2858*(1+F2858/100),ABS(D2858*E2858/F2858)),"")</f>
        <v>2386912.5</v>
      </c>
      <c r="H2858" s="43">
        <f>IFERROR(G2858*E2855,"")</f>
        <v>0</v>
      </c>
    </row>
    <row r="2859" spans="1:11">
      <c r="A2859" s="28"/>
      <c r="B2859" s="29" t="s">
        <v>3311</v>
      </c>
      <c r="C2859" s="30" t="str">
        <f>IFERROR(_xlfn.XLOOKUP(B2859,Insumo[DESCRIPCION],Insumo[UND],,0),"")</f>
        <v>Kg</v>
      </c>
      <c r="D2859" s="31">
        <v>87</v>
      </c>
      <c r="E2859" s="32">
        <f>IFERROR(_xlfn.XLOOKUP($B2859,Insumo[DESCRIPCION],Insumo[VALOR],,0),"")</f>
        <v>2838.15</v>
      </c>
      <c r="F2859" s="33"/>
      <c r="G2859" s="34">
        <f>IFERROR(IF(F2859&gt;=0,D2859*E2859*(1+F2859/100),ABS(D2859*E2859/F2859)),"")</f>
        <v>246919.05000000002</v>
      </c>
      <c r="H2859" s="43">
        <f>IFERROR(G2859*E2855,"")</f>
        <v>0</v>
      </c>
    </row>
    <row r="2860" spans="1:11">
      <c r="A2860" s="28"/>
      <c r="B2860" s="29" t="s">
        <v>2685</v>
      </c>
      <c r="C2860" s="30" t="str">
        <f>IFERROR(_xlfn.XLOOKUP(B2860,Insumo[DESCRIPCION],Insumo[UND],,0),"")</f>
        <v>Lt</v>
      </c>
      <c r="D2860" s="31">
        <v>16</v>
      </c>
      <c r="E2860" s="32">
        <f>IFERROR(_xlfn.XLOOKUP($B2860,Insumo[DESCRIPCION],Insumo[VALOR],,0),"")</f>
        <v>27.3</v>
      </c>
      <c r="F2860" s="33"/>
      <c r="G2860" s="34">
        <f>IFERROR(IF(F2860&gt;=0,D2860*E2860*(1+F2860/100),ABS(D2860*E2860/F2860)),"")</f>
        <v>436.8</v>
      </c>
      <c r="H2860" s="43">
        <f>IFERROR(G2860*E2855,"")</f>
        <v>0</v>
      </c>
    </row>
    <row r="2861" spans="1:11">
      <c r="A2861" s="28"/>
      <c r="B2861" s="29"/>
      <c r="C2861" s="30" t="str">
        <f>IFERROR(_xlfn.XLOOKUP(B2861,Insumo[DESCRIPCION],Insumo[UND],,0),"")</f>
        <v/>
      </c>
      <c r="D2861" s="31"/>
      <c r="E2861" s="32" t="str">
        <f>IFERROR(_xlfn.XLOOKUP($B2861,Insumo[DESCRIPCION],Insumo[VALOR],,0),"")</f>
        <v/>
      </c>
      <c r="F2861" s="33"/>
      <c r="G2861" s="34" t="str">
        <f>IFERROR(IF(F2861&gt;=0,D2861*E2861*(1+F2861/100),ABS(D2861*E2861/F2861)),"")</f>
        <v/>
      </c>
      <c r="H2861" s="43" t="str">
        <f>IFERROR(G2861*E2855,"")</f>
        <v/>
      </c>
    </row>
    <row r="2862" spans="1:11">
      <c r="A2862" s="28"/>
      <c r="B2862" s="29"/>
      <c r="C2862" s="30" t="str">
        <f>IFERROR(_xlfn.XLOOKUP(B2862,Insumo[DESCRIPCION],Insumo[UND],,0),"")</f>
        <v/>
      </c>
      <c r="D2862" s="31"/>
      <c r="E2862" s="32" t="str">
        <f>IFERROR(_xlfn.XLOOKUP($B2862,Insumo[DESCRIPCION],Insumo[VALOR],,0),"")</f>
        <v/>
      </c>
      <c r="F2862" s="33"/>
      <c r="G2862" s="34" t="str">
        <f>IFERROR(IF(F2862&gt;=0,D2862*E2862*(1+F2862/100),ABS(D2862*E2862/F2862)),"")</f>
        <v/>
      </c>
      <c r="H2862" s="43" t="str">
        <f>IFERROR(G2862*E2855,"")</f>
        <v/>
      </c>
    </row>
    <row r="2863" spans="1:11">
      <c r="A2863" s="21"/>
      <c r="B2863" s="22" t="s">
        <v>3731</v>
      </c>
      <c r="C2863" s="23"/>
      <c r="D2863" s="24"/>
      <c r="E2863" s="25"/>
      <c r="F2863" s="26"/>
      <c r="G2863" s="27">
        <f>SUM(G2864:G2866)</f>
        <v>10770.794243625001</v>
      </c>
      <c r="H2863" s="27">
        <f>IFERROR(G2863*E2855,"")</f>
        <v>0</v>
      </c>
    </row>
    <row r="2864" spans="1:11">
      <c r="A2864" s="28"/>
      <c r="B2864" s="29" t="s">
        <v>3626</v>
      </c>
      <c r="C2864" s="30" t="str">
        <f>IFERROR(_xlfn.XLOOKUP(B2864,Equipo[DESCRIPCION],Equipo[UND],,0),"")</f>
        <v>%MO</v>
      </c>
      <c r="D2864" s="31">
        <v>0.05</v>
      </c>
      <c r="E2864" s="32">
        <f>IF(C2864="%MO",G2870,IFERROR(_xlfn.XLOOKUP($B2864,Equipo[DESCRIPCION],Equipo[VALOR],,0),""))</f>
        <v>215415.88487250003</v>
      </c>
      <c r="F2864" s="33"/>
      <c r="G2864" s="34">
        <f>IFERROR(IF(F2864&gt;=0,D2864*E2864*(1+F2864/100),ABS(D2864*E2864/F2864)),"")</f>
        <v>10770.794243625001</v>
      </c>
      <c r="H2864" s="43">
        <f>IFERROR(G2864*E2855,"")</f>
        <v>0</v>
      </c>
    </row>
    <row r="2865" spans="1:11">
      <c r="A2865" s="28"/>
      <c r="B2865" s="29"/>
      <c r="C2865" s="30" t="str">
        <f>IFERROR(_xlfn.XLOOKUP(B2865,Equipo[DESCRIPCION],Equipo[UND],,0),"")</f>
        <v/>
      </c>
      <c r="D2865" s="31"/>
      <c r="E2865" s="32" t="str">
        <f>IF(C2865="%MO",G2870,IFERROR(_xlfn.XLOOKUP($B2865,Equipo[DESCRIPCION],Equipo[VALOR],,0),""))</f>
        <v/>
      </c>
      <c r="F2865" s="33"/>
      <c r="G2865" s="34" t="str">
        <f>IFERROR(IF(F2865&gt;=0,D2865*E2865*(1+F2865/100),ABS(D2865*E2865/F2865)),"")</f>
        <v/>
      </c>
      <c r="H2865" s="43" t="str">
        <f>IFERROR(G2865*E2855,"")</f>
        <v/>
      </c>
    </row>
    <row r="2866" spans="1:11">
      <c r="A2866" s="28"/>
      <c r="B2866" s="29"/>
      <c r="C2866" s="30" t="str">
        <f>IFERROR(_xlfn.XLOOKUP(B2866,Equipo[DESCRIPCION],Equipo[UND],,0),"")</f>
        <v/>
      </c>
      <c r="D2866" s="31"/>
      <c r="E2866" s="32" t="str">
        <f>IF(C2866="%MO",G2870,IFERROR(_xlfn.XLOOKUP($B2866,Equipo[DESCRIPCION],Equipo[VALOR],,0),""))</f>
        <v/>
      </c>
      <c r="F2866" s="33"/>
      <c r="G2866" s="34" t="str">
        <f>IFERROR(IF(F2866&gt;=0,D2866*E2866*(1+F2866/100),ABS(D2866*E2866/F2866)),"")</f>
        <v/>
      </c>
      <c r="H2866" s="43" t="str">
        <f>IFERROR(G2866*E2855,"")</f>
        <v/>
      </c>
    </row>
    <row r="2867" spans="1:11">
      <c r="A2867" s="21"/>
      <c r="B2867" s="22" t="s">
        <v>2533</v>
      </c>
      <c r="C2867" s="23"/>
      <c r="D2867" s="24"/>
      <c r="E2867" s="25"/>
      <c r="F2867" s="26"/>
      <c r="G2867" s="27">
        <f>SUM(G2868:G2869)</f>
        <v>0</v>
      </c>
      <c r="H2867" s="27">
        <f>IFERROR(G2867*E2855,"")</f>
        <v>0</v>
      </c>
    </row>
    <row r="2868" spans="1:11">
      <c r="A2868" s="28"/>
      <c r="B2868" s="29"/>
      <c r="C2868" s="30" t="str">
        <f>IFERROR(_xlfn.XLOOKUP(B2868,Transporte[DESCRIPCION],Transporte[UND],,0),"")</f>
        <v/>
      </c>
      <c r="D2868" s="31"/>
      <c r="E2868" s="32" t="str">
        <f>IFERROR(_xlfn.XLOOKUP($B2868,Transporte[DESCRIPCION],Transporte[VALOR],,0),"")</f>
        <v/>
      </c>
      <c r="F2868" s="33"/>
      <c r="G2868" s="34" t="str">
        <f>IFERROR(IF(F2868&gt;=0,D2868*E2868*(1+F2868/100),ABS(D2868*E2868/F2868)),"")</f>
        <v/>
      </c>
      <c r="H2868" s="43" t="str">
        <f>IFERROR(G2868*E2855,"")</f>
        <v/>
      </c>
    </row>
    <row r="2869" spans="1:11">
      <c r="A2869" s="28"/>
      <c r="B2869" s="29"/>
      <c r="C2869" s="30" t="str">
        <f>IFERROR(_xlfn.XLOOKUP(B2869,Transporte[DESCRIPCION],Transporte[UND],,0),"")</f>
        <v/>
      </c>
      <c r="D2869" s="31"/>
      <c r="E2869" s="32" t="str">
        <f>IFERROR(_xlfn.XLOOKUP($B2869,Transporte[DESCRIPCION],Transporte[VALOR],,0),"")</f>
        <v/>
      </c>
      <c r="F2869" s="33"/>
      <c r="G2869" s="34" t="str">
        <f>IFERROR(IF(F2869&gt;=0,D2869*E2869*(1+F2869/100),ABS(D2869*E2869/F2869)),"")</f>
        <v/>
      </c>
      <c r="H2869" s="43" t="str">
        <f>IFERROR(G2869*E2855,"")</f>
        <v/>
      </c>
    </row>
    <row r="2870" spans="1:11">
      <c r="A2870" s="21"/>
      <c r="B2870" s="22" t="s">
        <v>3732</v>
      </c>
      <c r="C2870" s="23"/>
      <c r="D2870" s="24"/>
      <c r="E2870" s="25"/>
      <c r="F2870" s="26"/>
      <c r="G2870" s="27">
        <f>SUM(G2871:G2873)</f>
        <v>215415.88487250003</v>
      </c>
      <c r="H2870" s="27">
        <f>IFERROR(G2870*E2855,"")</f>
        <v>0</v>
      </c>
    </row>
    <row r="2871" spans="1:11">
      <c r="A2871" s="28"/>
      <c r="B2871" s="29" t="s">
        <v>3711</v>
      </c>
      <c r="C2871" s="30" t="str">
        <f>IFERROR(_xlfn.XLOOKUP(B2871,MObra[DESCRIPCION],MObra[UN],,0),"")</f>
        <v>día</v>
      </c>
      <c r="D2871" s="31">
        <v>1</v>
      </c>
      <c r="E2871" s="32">
        <f>IFERROR(_xlfn.XLOOKUP($B2871,MObra[DESCRIPCION],MObra[VALOR UNIT],,0),"")</f>
        <v>430831.76974500006</v>
      </c>
      <c r="F2871" s="33">
        <v>-2</v>
      </c>
      <c r="G2871" s="34">
        <f>IFERROR(IF(F2871&gt;=0,D2871*E2871*(1+F2871/100),ABS(D2871*E2871/F2871)),"")</f>
        <v>215415.88487250003</v>
      </c>
      <c r="H2871" s="43">
        <f>IFERROR(G2871*E2855,"")</f>
        <v>0</v>
      </c>
    </row>
    <row r="2872" spans="1:11">
      <c r="A2872" s="28"/>
      <c r="B2872" s="29"/>
      <c r="C2872" s="30" t="str">
        <f>IFERROR(_xlfn.XLOOKUP(B2872,MObra[DESCRIPCION],MObra[UN],,0),"")</f>
        <v/>
      </c>
      <c r="D2872" s="31"/>
      <c r="E2872" s="32" t="str">
        <f>IFERROR(_xlfn.XLOOKUP($B2872,MObra[DESCRIPCION],MObra[VALOR UNIT],,0),"")</f>
        <v/>
      </c>
      <c r="F2872" s="33"/>
      <c r="G2872" s="34" t="str">
        <f>IFERROR(IF(F2872&gt;=0,D2872*E2872*(1+F2872/100),ABS(D2872*E2872/F2872)),"")</f>
        <v/>
      </c>
      <c r="H2872" s="43" t="str">
        <f>IFERROR(G2872*E2855,"")</f>
        <v/>
      </c>
    </row>
    <row r="2873" spans="1:11" ht="13.15" thickBot="1">
      <c r="A2873" s="35"/>
      <c r="B2873" s="36"/>
      <c r="C2873" s="37" t="str">
        <f>IFERROR(_xlfn.XLOOKUP(B2873,MObra[DESCRIPCION],MObra[UN],,0),"")</f>
        <v/>
      </c>
      <c r="D2873" s="38"/>
      <c r="E2873" s="39" t="str">
        <f>IFERROR(_xlfn.XLOOKUP($B2873,MObra[DESCRIPCION],MObra[VALOR UNIT],,0),"")</f>
        <v/>
      </c>
      <c r="F2873" s="40"/>
      <c r="G2873" s="41" t="str">
        <f>IFERROR(IF(F2873&gt;=0,D2873*E2873*(1+F2873/100),ABS(D2873*E2873/F2873)),"")</f>
        <v/>
      </c>
      <c r="H2873" s="42" t="str">
        <f>IFERROR(G2873*E2855,"")</f>
        <v/>
      </c>
    </row>
    <row r="2874" spans="1:11" ht="13.5" thickTop="1" thickBot="1"/>
    <row r="2875" spans="1:11" ht="13.5" thickTop="1" thickBot="1">
      <c r="A2875" s="6" t="s">
        <v>2012</v>
      </c>
      <c r="B2875" s="7" t="str">
        <f>VLOOKUP($A2875,Presupuesto!$A:$D,2,FALSE())</f>
        <v>Malla Cal 18 acero tejida seguridad</v>
      </c>
      <c r="C2875" s="8" t="str">
        <f>VLOOKUP($A2875,Presupuesto!$A:$D,3,FALSE())</f>
        <v>M2</v>
      </c>
      <c r="D2875" s="9"/>
      <c r="E2875" s="10">
        <f>VLOOKUP($A2875,Presupuesto!$A:$D,4,FALSE())</f>
        <v>0</v>
      </c>
      <c r="F2875" s="11" t="s">
        <v>2589</v>
      </c>
      <c r="G2875" s="12">
        <f>SUM(G2877:G2893)/2</f>
        <v>89218.578843975003</v>
      </c>
      <c r="H2875" s="13">
        <f>ROUND(SUM(H2877:H2893),0)/2</f>
        <v>0</v>
      </c>
      <c r="I2875" s="10">
        <f>VLOOKUP(A2875,Presupuesto!$A:$F,6,0)</f>
        <v>0</v>
      </c>
      <c r="J2875" s="10">
        <f>+H2875-I2875</f>
        <v>0</v>
      </c>
      <c r="K2875" s="46">
        <f>+H2875-G2875*E2875</f>
        <v>0</v>
      </c>
    </row>
    <row r="2876" spans="1:11" ht="13.15" thickTop="1">
      <c r="A2876" s="14"/>
      <c r="B2876" s="15" t="s">
        <v>2586</v>
      </c>
      <c r="C2876" s="15" t="s">
        <v>5</v>
      </c>
      <c r="D2876" s="16" t="s">
        <v>6</v>
      </c>
      <c r="E2876" s="17" t="s">
        <v>7</v>
      </c>
      <c r="F2876" s="18" t="s">
        <v>3728</v>
      </c>
      <c r="G2876" s="19" t="s">
        <v>3729</v>
      </c>
      <c r="H2876" s="20" t="s">
        <v>3797</v>
      </c>
    </row>
    <row r="2877" spans="1:11">
      <c r="A2877" s="21"/>
      <c r="B2877" s="22" t="s">
        <v>3730</v>
      </c>
      <c r="C2877" s="23"/>
      <c r="D2877" s="24"/>
      <c r="E2877" s="25"/>
      <c r="F2877" s="26"/>
      <c r="G2877" s="27">
        <f>SUM(G2878:G2882)</f>
        <v>56207.55</v>
      </c>
      <c r="H2877" s="27">
        <f>IFERROR(G2877*E2875,"")</f>
        <v>0</v>
      </c>
    </row>
    <row r="2878" spans="1:11">
      <c r="A2878" s="28"/>
      <c r="B2878" s="29" t="s">
        <v>3128</v>
      </c>
      <c r="C2878" s="30" t="str">
        <f>IFERROR(_xlfn.XLOOKUP(B2878,Insumo[DESCRIPCION],Insumo[UND],,0),"")</f>
        <v>M2</v>
      </c>
      <c r="D2878" s="31">
        <v>1</v>
      </c>
      <c r="E2878" s="32">
        <f>IFERROR(_xlfn.XLOOKUP($B2878,Insumo[DESCRIPCION],Insumo[VALOR],,0),"")</f>
        <v>56207.55</v>
      </c>
      <c r="F2878" s="33"/>
      <c r="G2878" s="34">
        <f>IFERROR(IF(F2878&gt;=0,D2878*E2878*(1+F2878/100),ABS(D2878*E2878/F2878)),"")</f>
        <v>56207.55</v>
      </c>
      <c r="H2878" s="43">
        <f>IFERROR(G2878*E2875,"")</f>
        <v>0</v>
      </c>
    </row>
    <row r="2879" spans="1:11">
      <c r="A2879" s="28"/>
      <c r="B2879" s="29"/>
      <c r="C2879" s="30" t="str">
        <f>IFERROR(_xlfn.XLOOKUP(B2879,Insumo[DESCRIPCION],Insumo[UND],,0),"")</f>
        <v/>
      </c>
      <c r="D2879" s="31"/>
      <c r="E2879" s="32" t="str">
        <f>IFERROR(_xlfn.XLOOKUP($B2879,Insumo[DESCRIPCION],Insumo[VALOR],,0),"")</f>
        <v/>
      </c>
      <c r="F2879" s="33"/>
      <c r="G2879" s="34" t="str">
        <f>IFERROR(IF(F2879&gt;=0,D2879*E2879*(1+F2879/100),ABS(D2879*E2879/F2879)),"")</f>
        <v/>
      </c>
      <c r="H2879" s="43" t="str">
        <f>IFERROR(G2879*E2875,"")</f>
        <v/>
      </c>
    </row>
    <row r="2880" spans="1:11">
      <c r="A2880" s="28"/>
      <c r="B2880" s="29"/>
      <c r="C2880" s="30" t="str">
        <f>IFERROR(_xlfn.XLOOKUP(B2880,Insumo[DESCRIPCION],Insumo[UND],,0),"")</f>
        <v/>
      </c>
      <c r="D2880" s="31"/>
      <c r="E2880" s="32" t="str">
        <f>IFERROR(_xlfn.XLOOKUP($B2880,Insumo[DESCRIPCION],Insumo[VALOR],,0),"")</f>
        <v/>
      </c>
      <c r="F2880" s="33"/>
      <c r="G2880" s="34" t="str">
        <f>IFERROR(IF(F2880&gt;=0,D2880*E2880*(1+F2880/100),ABS(D2880*E2880/F2880)),"")</f>
        <v/>
      </c>
      <c r="H2880" s="43" t="str">
        <f>IFERROR(G2880*E2875,"")</f>
        <v/>
      </c>
    </row>
    <row r="2881" spans="1:11">
      <c r="A2881" s="28"/>
      <c r="B2881" s="29"/>
      <c r="C2881" s="30" t="str">
        <f>IFERROR(_xlfn.XLOOKUP(B2881,Insumo[DESCRIPCION],Insumo[UND],,0),"")</f>
        <v/>
      </c>
      <c r="D2881" s="31"/>
      <c r="E2881" s="32" t="str">
        <f>IFERROR(_xlfn.XLOOKUP($B2881,Insumo[DESCRIPCION],Insumo[VALOR],,0),"")</f>
        <v/>
      </c>
      <c r="F2881" s="33"/>
      <c r="G2881" s="34" t="str">
        <f>IFERROR(IF(F2881&gt;=0,D2881*E2881*(1+F2881/100),ABS(D2881*E2881/F2881)),"")</f>
        <v/>
      </c>
      <c r="H2881" s="43" t="str">
        <f>IFERROR(G2881*E2875,"")</f>
        <v/>
      </c>
    </row>
    <row r="2882" spans="1:11">
      <c r="A2882" s="28"/>
      <c r="B2882" s="29"/>
      <c r="C2882" s="30" t="str">
        <f>IFERROR(_xlfn.XLOOKUP(B2882,Insumo[DESCRIPCION],Insumo[UND],,0),"")</f>
        <v/>
      </c>
      <c r="D2882" s="31"/>
      <c r="E2882" s="32" t="str">
        <f>IFERROR(_xlfn.XLOOKUP($B2882,Insumo[DESCRIPCION],Insumo[VALOR],,0),"")</f>
        <v/>
      </c>
      <c r="F2882" s="33"/>
      <c r="G2882" s="34" t="str">
        <f>IFERROR(IF(F2882&gt;=0,D2882*E2882*(1+F2882/100),ABS(D2882*E2882/F2882)),"")</f>
        <v/>
      </c>
      <c r="H2882" s="43" t="str">
        <f>IFERROR(G2882*E2875,"")</f>
        <v/>
      </c>
    </row>
    <row r="2883" spans="1:11">
      <c r="A2883" s="21"/>
      <c r="B2883" s="22" t="s">
        <v>3731</v>
      </c>
      <c r="C2883" s="23"/>
      <c r="D2883" s="24"/>
      <c r="E2883" s="25"/>
      <c r="F2883" s="26"/>
      <c r="G2883" s="27">
        <f>SUM(G2884:G2886)</f>
        <v>1571.9537544750003</v>
      </c>
      <c r="H2883" s="27">
        <f>IFERROR(G2883*E2875,"")</f>
        <v>0</v>
      </c>
    </row>
    <row r="2884" spans="1:11">
      <c r="A2884" s="28"/>
      <c r="B2884" s="29" t="s">
        <v>3626</v>
      </c>
      <c r="C2884" s="30" t="str">
        <f>IFERROR(_xlfn.XLOOKUP(B2884,Equipo[DESCRIPCION],Equipo[UND],,0),"")</f>
        <v>%MO</v>
      </c>
      <c r="D2884" s="31">
        <v>0.05</v>
      </c>
      <c r="E2884" s="32">
        <f>IF(C2884="%MO",G2890,IFERROR(_xlfn.XLOOKUP($B2884,Equipo[DESCRIPCION],Equipo[VALOR],,0),""))</f>
        <v>31439.075089500006</v>
      </c>
      <c r="F2884" s="33"/>
      <c r="G2884" s="34">
        <f>IFERROR(IF(F2884&gt;=0,D2884*E2884*(1+F2884/100),ABS(D2884*E2884/F2884)),"")</f>
        <v>1571.9537544750003</v>
      </c>
      <c r="H2884" s="43">
        <f>IFERROR(G2884*E2875,"")</f>
        <v>0</v>
      </c>
    </row>
    <row r="2885" spans="1:11">
      <c r="A2885" s="28"/>
      <c r="B2885" s="29"/>
      <c r="C2885" s="30" t="str">
        <f>IFERROR(_xlfn.XLOOKUP(B2885,Equipo[DESCRIPCION],Equipo[UND],,0),"")</f>
        <v/>
      </c>
      <c r="D2885" s="31"/>
      <c r="E2885" s="32" t="str">
        <f>IF(C2885="%MO",G2890,IFERROR(_xlfn.XLOOKUP($B2885,Equipo[DESCRIPCION],Equipo[VALOR],,0),""))</f>
        <v/>
      </c>
      <c r="F2885" s="33"/>
      <c r="G2885" s="34" t="str">
        <f>IFERROR(IF(F2885&gt;=0,D2885*E2885*(1+F2885/100),ABS(D2885*E2885/F2885)),"")</f>
        <v/>
      </c>
      <c r="H2885" s="43" t="str">
        <f>IFERROR(G2885*E2875,"")</f>
        <v/>
      </c>
    </row>
    <row r="2886" spans="1:11">
      <c r="A2886" s="28"/>
      <c r="B2886" s="29"/>
      <c r="C2886" s="30" t="str">
        <f>IFERROR(_xlfn.XLOOKUP(B2886,Equipo[DESCRIPCION],Equipo[UND],,0),"")</f>
        <v/>
      </c>
      <c r="D2886" s="31"/>
      <c r="E2886" s="32" t="str">
        <f>IF(C2886="%MO",G2890,IFERROR(_xlfn.XLOOKUP($B2886,Equipo[DESCRIPCION],Equipo[VALOR],,0),""))</f>
        <v/>
      </c>
      <c r="F2886" s="33"/>
      <c r="G2886" s="34" t="str">
        <f>IFERROR(IF(F2886&gt;=0,D2886*E2886*(1+F2886/100),ABS(D2886*E2886/F2886)),"")</f>
        <v/>
      </c>
      <c r="H2886" s="43" t="str">
        <f>IFERROR(G2886*E2875,"")</f>
        <v/>
      </c>
    </row>
    <row r="2887" spans="1:11">
      <c r="A2887" s="21"/>
      <c r="B2887" s="22" t="s">
        <v>2533</v>
      </c>
      <c r="C2887" s="23"/>
      <c r="D2887" s="24"/>
      <c r="E2887" s="25"/>
      <c r="F2887" s="26"/>
      <c r="G2887" s="27">
        <f>SUM(G2888:G2889)</f>
        <v>0</v>
      </c>
      <c r="H2887" s="27">
        <f>IFERROR(G2887*E2875,"")</f>
        <v>0</v>
      </c>
    </row>
    <row r="2888" spans="1:11">
      <c r="A2888" s="28"/>
      <c r="B2888" s="29"/>
      <c r="C2888" s="30" t="str">
        <f>IFERROR(_xlfn.XLOOKUP(B2888,Transporte[DESCRIPCION],Transporte[UND],,0),"")</f>
        <v/>
      </c>
      <c r="D2888" s="31"/>
      <c r="E2888" s="32" t="str">
        <f>IFERROR(_xlfn.XLOOKUP($B2888,Transporte[DESCRIPCION],Transporte[VALOR],,0),"")</f>
        <v/>
      </c>
      <c r="F2888" s="33"/>
      <c r="G2888" s="34" t="str">
        <f>IFERROR(IF(F2888&gt;=0,D2888*E2888*(1+F2888/100),ABS(D2888*E2888/F2888)),"")</f>
        <v/>
      </c>
      <c r="H2888" s="43" t="str">
        <f>IFERROR(G2888*E2875,"")</f>
        <v/>
      </c>
    </row>
    <row r="2889" spans="1:11">
      <c r="A2889" s="28"/>
      <c r="B2889" s="29"/>
      <c r="C2889" s="30" t="str">
        <f>IFERROR(_xlfn.XLOOKUP(B2889,Transporte[DESCRIPCION],Transporte[UND],,0),"")</f>
        <v/>
      </c>
      <c r="D2889" s="31"/>
      <c r="E2889" s="32" t="str">
        <f>IFERROR(_xlfn.XLOOKUP($B2889,Transporte[DESCRIPCION],Transporte[VALOR],,0),"")</f>
        <v/>
      </c>
      <c r="F2889" s="33"/>
      <c r="G2889" s="34" t="str">
        <f>IFERROR(IF(F2889&gt;=0,D2889*E2889*(1+F2889/100),ABS(D2889*E2889/F2889)),"")</f>
        <v/>
      </c>
      <c r="H2889" s="43" t="str">
        <f>IFERROR(G2889*E2875,"")</f>
        <v/>
      </c>
    </row>
    <row r="2890" spans="1:11">
      <c r="A2890" s="21"/>
      <c r="B2890" s="22" t="s">
        <v>3732</v>
      </c>
      <c r="C2890" s="23"/>
      <c r="D2890" s="24"/>
      <c r="E2890" s="25"/>
      <c r="F2890" s="26"/>
      <c r="G2890" s="27">
        <f>SUM(G2891:G2893)</f>
        <v>31439.075089500006</v>
      </c>
      <c r="H2890" s="27">
        <f>IFERROR(G2890*E2875,"")</f>
        <v>0</v>
      </c>
    </row>
    <row r="2891" spans="1:11">
      <c r="A2891" s="28"/>
      <c r="B2891" s="29" t="s">
        <v>3710</v>
      </c>
      <c r="C2891" s="30" t="str">
        <f>IFERROR(_xlfn.XLOOKUP(B2891,MObra[DESCRIPCION],MObra[UN],,0),"")</f>
        <v>día</v>
      </c>
      <c r="D2891" s="31">
        <v>1</v>
      </c>
      <c r="E2891" s="32">
        <f>IFERROR(_xlfn.XLOOKUP($B2891,MObra[DESCRIPCION],MObra[VALOR UNIT],,0),"")</f>
        <v>314390.75089500006</v>
      </c>
      <c r="F2891" s="33">
        <v>-10</v>
      </c>
      <c r="G2891" s="34">
        <f>IFERROR(IF(F2891&gt;=0,D2891*E2891*(1+F2891/100),ABS(D2891*E2891/F2891)),"")</f>
        <v>31439.075089500006</v>
      </c>
      <c r="H2891" s="43">
        <f>IFERROR(G2891*E2875,"")</f>
        <v>0</v>
      </c>
    </row>
    <row r="2892" spans="1:11">
      <c r="A2892" s="28"/>
      <c r="B2892" s="29"/>
      <c r="C2892" s="30" t="str">
        <f>IFERROR(_xlfn.XLOOKUP(B2892,MObra[DESCRIPCION],MObra[UN],,0),"")</f>
        <v/>
      </c>
      <c r="D2892" s="31"/>
      <c r="E2892" s="32" t="str">
        <f>IFERROR(_xlfn.XLOOKUP($B2892,MObra[DESCRIPCION],MObra[VALOR UNIT],,0),"")</f>
        <v/>
      </c>
      <c r="F2892" s="33"/>
      <c r="G2892" s="34" t="str">
        <f>IFERROR(IF(F2892&gt;=0,D2892*E2892*(1+F2892/100),ABS(D2892*E2892/F2892)),"")</f>
        <v/>
      </c>
      <c r="H2892" s="43" t="str">
        <f>IFERROR(G2892*E2875,"")</f>
        <v/>
      </c>
    </row>
    <row r="2893" spans="1:11" ht="13.15" thickBot="1">
      <c r="A2893" s="35"/>
      <c r="B2893" s="36"/>
      <c r="C2893" s="37" t="str">
        <f>IFERROR(_xlfn.XLOOKUP(B2893,MObra[DESCRIPCION],MObra[UN],,0),"")</f>
        <v/>
      </c>
      <c r="D2893" s="38"/>
      <c r="E2893" s="39" t="str">
        <f>IFERROR(_xlfn.XLOOKUP($B2893,MObra[DESCRIPCION],MObra[VALOR UNIT],,0),"")</f>
        <v/>
      </c>
      <c r="F2893" s="40"/>
      <c r="G2893" s="41" t="str">
        <f>IFERROR(IF(F2893&gt;=0,D2893*E2893*(1+F2893/100),ABS(D2893*E2893/F2893)),"")</f>
        <v/>
      </c>
      <c r="H2893" s="42" t="str">
        <f>IFERROR(G2893*E2875,"")</f>
        <v/>
      </c>
    </row>
    <row r="2894" spans="1:11" ht="13.5" thickTop="1" thickBot="1"/>
    <row r="2895" spans="1:11" ht="13.5" thickTop="1" thickBot="1">
      <c r="A2895" s="6" t="s">
        <v>2014</v>
      </c>
      <c r="B2895" s="7" t="str">
        <f>VLOOKUP($A2895,Presupuesto!$A:$D,2,FALSE())</f>
        <v>Muro concreto ciclópeo</v>
      </c>
      <c r="C2895" s="8" t="str">
        <f>VLOOKUP($A2895,Presupuesto!$A:$D,3,FALSE())</f>
        <v>M3</v>
      </c>
      <c r="D2895" s="9"/>
      <c r="E2895" s="10">
        <f>VLOOKUP($A2895,Presupuesto!$A:$D,4,FALSE())</f>
        <v>0</v>
      </c>
      <c r="F2895" s="11" t="s">
        <v>2589</v>
      </c>
      <c r="G2895" s="12">
        <f>SUM(G2897:G2913)/2</f>
        <v>890674.87498630327</v>
      </c>
      <c r="H2895" s="13">
        <f>ROUND(SUM(H2897:H2913),0)/2</f>
        <v>0</v>
      </c>
      <c r="I2895" s="10">
        <f>VLOOKUP(A2895,Presupuesto!$A:$F,6,0)</f>
        <v>0</v>
      </c>
      <c r="J2895" s="10">
        <f>+H2895-I2895</f>
        <v>0</v>
      </c>
      <c r="K2895" s="46">
        <f>+H2895-G2895*E2895</f>
        <v>0</v>
      </c>
    </row>
    <row r="2896" spans="1:11" ht="13.15" thickTop="1">
      <c r="A2896" s="14"/>
      <c r="B2896" s="15" t="s">
        <v>2586</v>
      </c>
      <c r="C2896" s="15" t="s">
        <v>5</v>
      </c>
      <c r="D2896" s="16" t="s">
        <v>6</v>
      </c>
      <c r="E2896" s="17" t="s">
        <v>7</v>
      </c>
      <c r="F2896" s="18" t="s">
        <v>3728</v>
      </c>
      <c r="G2896" s="19" t="s">
        <v>3729</v>
      </c>
      <c r="H2896" s="20" t="s">
        <v>3797</v>
      </c>
    </row>
    <row r="2897" spans="1:9">
      <c r="A2897" s="21"/>
      <c r="B2897" s="22" t="s">
        <v>3730</v>
      </c>
      <c r="C2897" s="23"/>
      <c r="D2897" s="24"/>
      <c r="E2897" s="25"/>
      <c r="F2897" s="26"/>
      <c r="G2897" s="27">
        <f>SUM(G2898:G2902)</f>
        <v>739632.76496329345</v>
      </c>
      <c r="H2897" s="27">
        <f>IFERROR(G2897*E2895,"")</f>
        <v>0</v>
      </c>
    </row>
    <row r="2898" spans="1:9">
      <c r="A2898" s="28"/>
      <c r="B2898" s="29" t="s">
        <v>3242</v>
      </c>
      <c r="C2898" s="30" t="str">
        <f>IFERROR(_xlfn.XLOOKUP(B2898,Insumo[DESCRIPCION],Insumo[UND],,0),"")</f>
        <v>M3</v>
      </c>
      <c r="D2898" s="31">
        <v>1</v>
      </c>
      <c r="E2898" s="32">
        <f>IFERROR(_xlfn.XLOOKUP($B2898,Insumo[DESCRIPCION],Insumo[VALOR],,0),"")</f>
        <v>448609.94602931855</v>
      </c>
      <c r="F2898" s="33">
        <v>5</v>
      </c>
      <c r="G2898" s="34">
        <f>IFERROR(IF(F2898&gt;=0,D2898*E2898*(1+F2898/100),ABS(D2898*E2898/F2898)),"")</f>
        <v>471040.4433307845</v>
      </c>
      <c r="H2898" s="43">
        <f>IFERROR(G2898*E2895,"")</f>
        <v>0</v>
      </c>
      <c r="I2898" s="3">
        <f>H2898/E2898</f>
        <v>0</v>
      </c>
    </row>
    <row r="2899" spans="1:9">
      <c r="A2899" s="28"/>
      <c r="B2899" s="29" t="s">
        <v>2954</v>
      </c>
      <c r="C2899" s="30" t="str">
        <f>IFERROR(_xlfn.XLOOKUP(B2899,Insumo[DESCRIPCION],Insumo[UND],,0),"")</f>
        <v>M2</v>
      </c>
      <c r="D2899" s="31">
        <v>6</v>
      </c>
      <c r="E2899" s="32">
        <f>IFERROR(_xlfn.XLOOKUP($B2899,Insumo[DESCRIPCION],Insumo[VALOR],,0),"")</f>
        <v>102154.92581625449</v>
      </c>
      <c r="F2899" s="33">
        <v>-3</v>
      </c>
      <c r="G2899" s="34">
        <f>IFERROR(IF(F2899&gt;=0,D2899*E2899*(1+F2899/100),ABS(D2899*E2899/F2899)),"")</f>
        <v>204309.851632509</v>
      </c>
      <c r="H2899" s="43">
        <f>IFERROR(G2899*E2895,"")</f>
        <v>0</v>
      </c>
      <c r="I2899" s="3">
        <f t="shared" ref="I2899:I2901" si="14">H2899/E2899</f>
        <v>0</v>
      </c>
    </row>
    <row r="2900" spans="1:9">
      <c r="A2900" s="28"/>
      <c r="B2900" s="29" t="s">
        <v>2699</v>
      </c>
      <c r="C2900" s="30" t="str">
        <f>IFERROR(_xlfn.XLOOKUP(B2900,Insumo[DESCRIPCION],Insumo[UND],,0),"")</f>
        <v>Kg</v>
      </c>
      <c r="D2900" s="31">
        <v>8</v>
      </c>
      <c r="E2900" s="32">
        <f>IFERROR(_xlfn.XLOOKUP($B2900,Insumo[DESCRIPCION],Insumo[VALOR],,0),"")</f>
        <v>7665</v>
      </c>
      <c r="F2900" s="33"/>
      <c r="G2900" s="34">
        <f>IFERROR(IF(F2900&gt;=0,D2900*E2900*(1+F2900/100),ABS(D2900*E2900/F2900)),"")</f>
        <v>61320</v>
      </c>
      <c r="H2900" s="43">
        <f>IFERROR(G2900*E2895,"")</f>
        <v>0</v>
      </c>
      <c r="I2900" s="3">
        <f t="shared" si="14"/>
        <v>0</v>
      </c>
    </row>
    <row r="2901" spans="1:9">
      <c r="A2901" s="28"/>
      <c r="B2901" s="29" t="s">
        <v>2709</v>
      </c>
      <c r="C2901" s="30" t="str">
        <f>IFERROR(_xlfn.XLOOKUP(B2901,Insumo[DESCRIPCION],Insumo[UND],,0),"")</f>
        <v>Kg</v>
      </c>
      <c r="D2901" s="31">
        <v>0.2</v>
      </c>
      <c r="E2901" s="32">
        <f>IFERROR(_xlfn.XLOOKUP($B2901,Insumo[DESCRIPCION],Insumo[VALOR],,0),"")</f>
        <v>14812.35</v>
      </c>
      <c r="F2901" s="33"/>
      <c r="G2901" s="34">
        <f>IFERROR(IF(F2901&gt;=0,D2901*E2901*(1+F2901/100),ABS(D2901*E2901/F2901)),"")</f>
        <v>2962.4700000000003</v>
      </c>
      <c r="H2901" s="43">
        <f>IFERROR(G2901*E2895,"")</f>
        <v>0</v>
      </c>
      <c r="I2901" s="3">
        <f t="shared" si="14"/>
        <v>0</v>
      </c>
    </row>
    <row r="2902" spans="1:9">
      <c r="A2902" s="28"/>
      <c r="B2902" s="29"/>
      <c r="C2902" s="30" t="str">
        <f>IFERROR(_xlfn.XLOOKUP(B2902,Insumo[DESCRIPCION],Insumo[UND],,0),"")</f>
        <v/>
      </c>
      <c r="D2902" s="31"/>
      <c r="E2902" s="32" t="str">
        <f>IFERROR(_xlfn.XLOOKUP($B2902,Insumo[DESCRIPCION],Insumo[VALOR],,0),"")</f>
        <v/>
      </c>
      <c r="F2902" s="33"/>
      <c r="G2902" s="34" t="str">
        <f>IFERROR(IF(F2902&gt;=0,D2902*E2902*(1+F2902/100),ABS(D2902*E2902/F2902)),"")</f>
        <v/>
      </c>
      <c r="H2902" s="43" t="str">
        <f>IFERROR(G2902*E2895,"")</f>
        <v/>
      </c>
    </row>
    <row r="2903" spans="1:9">
      <c r="A2903" s="21"/>
      <c r="B2903" s="22" t="s">
        <v>3731</v>
      </c>
      <c r="C2903" s="23"/>
      <c r="D2903" s="24"/>
      <c r="E2903" s="25"/>
      <c r="F2903" s="26"/>
      <c r="G2903" s="27">
        <f>SUM(G2904:G2906)</f>
        <v>18299.348534010001</v>
      </c>
      <c r="H2903" s="27">
        <f>IFERROR(G2903*E2895,"")</f>
        <v>0</v>
      </c>
    </row>
    <row r="2904" spans="1:9">
      <c r="A2904" s="28"/>
      <c r="B2904" s="29" t="s">
        <v>3652</v>
      </c>
      <c r="C2904" s="30" t="str">
        <f>IFERROR(_xlfn.XLOOKUP(B2904,Equipo[DESCRIPCION],Equipo[UND],,0),"")</f>
        <v>Día</v>
      </c>
      <c r="D2904" s="31">
        <v>1</v>
      </c>
      <c r="E2904" s="32">
        <f>IF(C2904="%MO",G2910,IFERROR(_xlfn.XLOOKUP($B2904,Equipo[DESCRIPCION],Equipo[VALOR],,0),""))</f>
        <v>635.25</v>
      </c>
      <c r="F2904" s="33">
        <v>-0.1</v>
      </c>
      <c r="G2904" s="34">
        <f>IFERROR(IF(F2904&gt;=0,D2904*E2904*(1+F2904/100),ABS(D2904*E2904/F2904)),"")</f>
        <v>6352.5</v>
      </c>
      <c r="H2904" s="43">
        <f>IFERROR(G2904*E2895,"")</f>
        <v>0</v>
      </c>
      <c r="I2904" s="3">
        <f t="shared" ref="I2904:I2906" si="15">H2904/E2904</f>
        <v>0</v>
      </c>
    </row>
    <row r="2905" spans="1:9">
      <c r="A2905" s="28"/>
      <c r="B2905" s="29" t="s">
        <v>3570</v>
      </c>
      <c r="C2905" s="30" t="str">
        <f>IFERROR(_xlfn.XLOOKUP(B2905,Equipo[DESCRIPCION],Equipo[UND],,0),"")</f>
        <v>%MO</v>
      </c>
      <c r="D2905" s="31">
        <v>0.04</v>
      </c>
      <c r="E2905" s="32">
        <f>IF(C2905="%MO",G2910,IFERROR(_xlfn.XLOOKUP($B2905,Equipo[DESCRIPCION],Equipo[VALOR],,0),""))</f>
        <v>132742.76148900003</v>
      </c>
      <c r="F2905" s="33"/>
      <c r="G2905" s="34">
        <f>IFERROR(IF(F2905&gt;=0,D2905*E2905*(1+F2905/100),ABS(D2905*E2905/F2905)),"")</f>
        <v>5309.7104595600013</v>
      </c>
      <c r="H2905" s="43">
        <f>IFERROR(G2905*E2895,"")</f>
        <v>0</v>
      </c>
      <c r="I2905" s="3">
        <f t="shared" si="15"/>
        <v>0</v>
      </c>
    </row>
    <row r="2906" spans="1:9">
      <c r="A2906" s="28"/>
      <c r="B2906" s="29" t="s">
        <v>3626</v>
      </c>
      <c r="C2906" s="30" t="str">
        <f>IFERROR(_xlfn.XLOOKUP(B2906,Equipo[DESCRIPCION],Equipo[UND],,0),"")</f>
        <v>%MO</v>
      </c>
      <c r="D2906" s="31">
        <v>0.05</v>
      </c>
      <c r="E2906" s="32">
        <f>IF(C2906="%MO",G2910,IFERROR(_xlfn.XLOOKUP($B2906,Equipo[DESCRIPCION],Equipo[VALOR],,0),""))</f>
        <v>132742.76148900003</v>
      </c>
      <c r="F2906" s="33"/>
      <c r="G2906" s="34">
        <f>IFERROR(IF(F2906&gt;=0,D2906*E2906*(1+F2906/100),ABS(D2906*E2906/F2906)),"")</f>
        <v>6637.138074450002</v>
      </c>
      <c r="H2906" s="43">
        <f>IFERROR(G2906*E2895,"")</f>
        <v>0</v>
      </c>
      <c r="I2906" s="3">
        <f t="shared" si="15"/>
        <v>0</v>
      </c>
    </row>
    <row r="2907" spans="1:9">
      <c r="A2907" s="21"/>
      <c r="B2907" s="22" t="s">
        <v>2533</v>
      </c>
      <c r="C2907" s="23"/>
      <c r="D2907" s="24"/>
      <c r="E2907" s="25"/>
      <c r="F2907" s="26"/>
      <c r="G2907" s="27">
        <f>SUM(G2908:G2909)</f>
        <v>0</v>
      </c>
      <c r="H2907" s="27">
        <f>IFERROR(G2907*E2895,"")</f>
        <v>0</v>
      </c>
    </row>
    <row r="2908" spans="1:9">
      <c r="A2908" s="28"/>
      <c r="B2908" s="29"/>
      <c r="C2908" s="30" t="str">
        <f>IFERROR(_xlfn.XLOOKUP(B2908,Transporte[DESCRIPCION],Transporte[UND],,0),"")</f>
        <v/>
      </c>
      <c r="D2908" s="31"/>
      <c r="E2908" s="32" t="str">
        <f>IFERROR(_xlfn.XLOOKUP($B2908,Transporte[DESCRIPCION],Transporte[VALOR],,0),"")</f>
        <v/>
      </c>
      <c r="F2908" s="33"/>
      <c r="G2908" s="34" t="str">
        <f>IFERROR(IF(F2908&gt;=0,D2908*E2908*(1+F2908/100),ABS(D2908*E2908/F2908)),"")</f>
        <v/>
      </c>
      <c r="H2908" s="43" t="str">
        <f>IFERROR(G2908*E2895,"")</f>
        <v/>
      </c>
    </row>
    <row r="2909" spans="1:9">
      <c r="A2909" s="28"/>
      <c r="B2909" s="29"/>
      <c r="C2909" s="30" t="str">
        <f>IFERROR(_xlfn.XLOOKUP(B2909,Transporte[DESCRIPCION],Transporte[UND],,0),"")</f>
        <v/>
      </c>
      <c r="D2909" s="31"/>
      <c r="E2909" s="32" t="str">
        <f>IFERROR(_xlfn.XLOOKUP($B2909,Transporte[DESCRIPCION],Transporte[VALOR],,0),"")</f>
        <v/>
      </c>
      <c r="F2909" s="33"/>
      <c r="G2909" s="34" t="str">
        <f>IFERROR(IF(F2909&gt;=0,D2909*E2909*(1+F2909/100),ABS(D2909*E2909/F2909)),"")</f>
        <v/>
      </c>
      <c r="H2909" s="43" t="str">
        <f>IFERROR(G2909*E2895,"")</f>
        <v/>
      </c>
    </row>
    <row r="2910" spans="1:9">
      <c r="A2910" s="21"/>
      <c r="B2910" s="22" t="s">
        <v>3732</v>
      </c>
      <c r="C2910" s="23"/>
      <c r="D2910" s="24"/>
      <c r="E2910" s="25"/>
      <c r="F2910" s="26"/>
      <c r="G2910" s="27">
        <f>SUM(G2911:G2913)</f>
        <v>132742.76148900003</v>
      </c>
      <c r="H2910" s="27">
        <f>IFERROR(G2910*E2895,"")</f>
        <v>0</v>
      </c>
    </row>
    <row r="2911" spans="1:9">
      <c r="A2911" s="28"/>
      <c r="B2911" s="29" t="s">
        <v>3713</v>
      </c>
      <c r="C2911" s="30" t="str">
        <f>IFERROR(_xlfn.XLOOKUP(B2911,MObra[DESCRIPCION],MObra[UN],,0),"")</f>
        <v>día</v>
      </c>
      <c r="D2911" s="31">
        <v>1</v>
      </c>
      <c r="E2911" s="32">
        <f>IFERROR(_xlfn.XLOOKUP($B2911,MObra[DESCRIPCION],MObra[VALOR UNIT],,0),"")</f>
        <v>663713.80744500016</v>
      </c>
      <c r="F2911" s="33">
        <v>-5</v>
      </c>
      <c r="G2911" s="34">
        <f>IFERROR(IF(F2911&gt;=0,D2911*E2911*(1+F2911/100),ABS(D2911*E2911/F2911)),"")</f>
        <v>132742.76148900003</v>
      </c>
      <c r="H2911" s="43">
        <f>IFERROR(G2911*E2895,"")</f>
        <v>0</v>
      </c>
    </row>
    <row r="2912" spans="1:9">
      <c r="A2912" s="28"/>
      <c r="B2912" s="29"/>
      <c r="C2912" s="30" t="str">
        <f>IFERROR(_xlfn.XLOOKUP(B2912,MObra[DESCRIPCION],MObra[UN],,0),"")</f>
        <v/>
      </c>
      <c r="D2912" s="31"/>
      <c r="E2912" s="32" t="str">
        <f>IFERROR(_xlfn.XLOOKUP($B2912,MObra[DESCRIPCION],MObra[VALOR UNIT],,0),"")</f>
        <v/>
      </c>
      <c r="F2912" s="33"/>
      <c r="G2912" s="34" t="str">
        <f>IFERROR(IF(F2912&gt;=0,D2912*E2912*(1+F2912/100),ABS(D2912*E2912/F2912)),"")</f>
        <v/>
      </c>
      <c r="H2912" s="43" t="str">
        <f>IFERROR(G2912*E2895,"")</f>
        <v/>
      </c>
    </row>
    <row r="2913" spans="1:11" ht="13.15" thickBot="1">
      <c r="A2913" s="35"/>
      <c r="B2913" s="36"/>
      <c r="C2913" s="37" t="str">
        <f>IFERROR(_xlfn.XLOOKUP(B2913,MObra[DESCRIPCION],MObra[UN],,0),"")</f>
        <v/>
      </c>
      <c r="D2913" s="38"/>
      <c r="E2913" s="39" t="str">
        <f>IFERROR(_xlfn.XLOOKUP($B2913,MObra[DESCRIPCION],MObra[VALOR UNIT],,0),"")</f>
        <v/>
      </c>
      <c r="F2913" s="40"/>
      <c r="G2913" s="41" t="str">
        <f>IFERROR(IF(F2913&gt;=0,D2913*E2913*(1+F2913/100),ABS(D2913*E2913/F2913)),"")</f>
        <v/>
      </c>
      <c r="H2913" s="42" t="str">
        <f>IFERROR(G2913*E2895,"")</f>
        <v/>
      </c>
    </row>
    <row r="2914" spans="1:11" ht="13.5" thickTop="1" thickBot="1"/>
    <row r="2915" spans="1:11" ht="13.5" thickTop="1" thickBot="1">
      <c r="A2915" s="6" t="s">
        <v>2016</v>
      </c>
      <c r="B2915" s="7" t="str">
        <f>VLOOKUP($A2915,Presupuesto!$A:$D,2,FALSE())</f>
        <v>Muro concreto reforzado 20.7 Mpa espesor &lt;=0.25m</v>
      </c>
      <c r="C2915" s="8" t="str">
        <f>VLOOKUP($A2915,Presupuesto!$A:$D,3,FALSE())</f>
        <v>M3</v>
      </c>
      <c r="D2915" s="9"/>
      <c r="E2915" s="10">
        <f>VLOOKUP($A2915,Presupuesto!$A:$D,4,FALSE())</f>
        <v>0</v>
      </c>
      <c r="F2915" s="11" t="s">
        <v>2589</v>
      </c>
      <c r="G2915" s="12">
        <f>SUM(G2917:G2933)/2</f>
        <v>1143019.4794399738</v>
      </c>
      <c r="H2915" s="13">
        <f>ROUND(SUM(H2917:H2933),0)/2</f>
        <v>0</v>
      </c>
      <c r="I2915" s="10">
        <f>VLOOKUP(A2915,Presupuesto!$A:$F,6,0)</f>
        <v>0</v>
      </c>
      <c r="J2915" s="10">
        <f>+H2915-I2915</f>
        <v>0</v>
      </c>
      <c r="K2915" s="46">
        <f>+H2915-G2915*E2915</f>
        <v>0</v>
      </c>
    </row>
    <row r="2916" spans="1:11" ht="13.15" thickTop="1">
      <c r="A2916" s="14"/>
      <c r="B2916" s="15" t="s">
        <v>2586</v>
      </c>
      <c r="C2916" s="15" t="s">
        <v>5</v>
      </c>
      <c r="D2916" s="16" t="s">
        <v>6</v>
      </c>
      <c r="E2916" s="17" t="s">
        <v>7</v>
      </c>
      <c r="F2916" s="18" t="s">
        <v>3728</v>
      </c>
      <c r="G2916" s="19" t="s">
        <v>3729</v>
      </c>
      <c r="H2916" s="20" t="s">
        <v>3797</v>
      </c>
    </row>
    <row r="2917" spans="1:11">
      <c r="A2917" s="21"/>
      <c r="B2917" s="22" t="s">
        <v>3730</v>
      </c>
      <c r="C2917" s="23"/>
      <c r="D2917" s="24"/>
      <c r="E2917" s="25"/>
      <c r="F2917" s="26"/>
      <c r="G2917" s="27">
        <f>SUM(G2918:G2922)</f>
        <v>910589.46377902047</v>
      </c>
      <c r="H2917" s="27">
        <f>IFERROR(G2917*E2915,"")</f>
        <v>0</v>
      </c>
    </row>
    <row r="2918" spans="1:11">
      <c r="A2918" s="28"/>
      <c r="B2918" s="29" t="s">
        <v>3239</v>
      </c>
      <c r="C2918" s="30" t="str">
        <f>IFERROR(_xlfn.XLOOKUP(B2918,Insumo[DESCRIPCION],Insumo[UND],,0),"")</f>
        <v>M3</v>
      </c>
      <c r="D2918" s="31">
        <v>1</v>
      </c>
      <c r="E2918" s="32">
        <f>IFERROR(_xlfn.XLOOKUP($B2918,Insumo[DESCRIPCION],Insumo[VALOR],,0),"")</f>
        <v>521159.50227762427</v>
      </c>
      <c r="F2918" s="33">
        <v>5</v>
      </c>
      <c r="G2918" s="34">
        <f>IFERROR(IF(F2918&gt;=0,D2918*E2918*(1+F2918/100),ABS(D2918*E2918/F2918)),"")</f>
        <v>547217.4773915055</v>
      </c>
      <c r="H2918" s="43">
        <f>IFERROR(G2918*E2915,"")</f>
        <v>0</v>
      </c>
    </row>
    <row r="2919" spans="1:11">
      <c r="A2919" s="28"/>
      <c r="B2919" s="29" t="s">
        <v>2957</v>
      </c>
      <c r="C2919" s="30" t="str">
        <f>IFERROR(_xlfn.XLOOKUP(B2919,Insumo[DESCRIPCION],Insumo[UND],,0),"")</f>
        <v>M2</v>
      </c>
      <c r="D2919" s="31">
        <v>6</v>
      </c>
      <c r="E2919" s="32">
        <f>IFERROR(_xlfn.XLOOKUP($B2919,Insumo[DESCRIPCION],Insumo[VALOR],,0),"")</f>
        <v>149544.7581937575</v>
      </c>
      <c r="F2919" s="33">
        <v>-3</v>
      </c>
      <c r="G2919" s="34">
        <f>IFERROR(IF(F2919&gt;=0,D2919*E2919*(1+F2919/100),ABS(D2919*E2919/F2919)),"")</f>
        <v>299089.516387515</v>
      </c>
      <c r="H2919" s="43">
        <f>IFERROR(G2919*E2915,"")</f>
        <v>0</v>
      </c>
    </row>
    <row r="2920" spans="1:11">
      <c r="A2920" s="28"/>
      <c r="B2920" s="29" t="s">
        <v>2699</v>
      </c>
      <c r="C2920" s="30" t="str">
        <f>IFERROR(_xlfn.XLOOKUP(B2920,Insumo[DESCRIPCION],Insumo[UND],,0),"")</f>
        <v>Kg</v>
      </c>
      <c r="D2920" s="31">
        <v>8</v>
      </c>
      <c r="E2920" s="32">
        <f>IFERROR(_xlfn.XLOOKUP($B2920,Insumo[DESCRIPCION],Insumo[VALOR],,0),"")</f>
        <v>7665</v>
      </c>
      <c r="F2920" s="33"/>
      <c r="G2920" s="34">
        <f>IFERROR(IF(F2920&gt;=0,D2920*E2920*(1+F2920/100),ABS(D2920*E2920/F2920)),"")</f>
        <v>61320</v>
      </c>
      <c r="H2920" s="43">
        <f>IFERROR(G2920*E2915,"")</f>
        <v>0</v>
      </c>
    </row>
    <row r="2921" spans="1:11">
      <c r="A2921" s="28"/>
      <c r="B2921" s="29" t="s">
        <v>2709</v>
      </c>
      <c r="C2921" s="30" t="str">
        <f>IFERROR(_xlfn.XLOOKUP(B2921,Insumo[DESCRIPCION],Insumo[UND],,0),"")</f>
        <v>Kg</v>
      </c>
      <c r="D2921" s="31">
        <v>0.2</v>
      </c>
      <c r="E2921" s="32">
        <f>IFERROR(_xlfn.XLOOKUP($B2921,Insumo[DESCRIPCION],Insumo[VALOR],,0),"")</f>
        <v>14812.35</v>
      </c>
      <c r="F2921" s="33"/>
      <c r="G2921" s="34">
        <f>IFERROR(IF(F2921&gt;=0,D2921*E2921*(1+F2921/100),ABS(D2921*E2921/F2921)),"")</f>
        <v>2962.4700000000003</v>
      </c>
      <c r="H2921" s="43">
        <f>IFERROR(G2921*E2915,"")</f>
        <v>0</v>
      </c>
    </row>
    <row r="2922" spans="1:11">
      <c r="A2922" s="28"/>
      <c r="B2922" s="29"/>
      <c r="C2922" s="30" t="str">
        <f>IFERROR(_xlfn.XLOOKUP(B2922,Insumo[DESCRIPCION],Insumo[UND],,0),"")</f>
        <v/>
      </c>
      <c r="D2922" s="31"/>
      <c r="E2922" s="32" t="str">
        <f>IFERROR(_xlfn.XLOOKUP($B2922,Insumo[DESCRIPCION],Insumo[VALOR],,0),"")</f>
        <v/>
      </c>
      <c r="F2922" s="33"/>
      <c r="G2922" s="34" t="str">
        <f>IFERROR(IF(F2922&gt;=0,D2922*E2922*(1+F2922/100),ABS(D2922*E2922/F2922)),"")</f>
        <v/>
      </c>
      <c r="H2922" s="43" t="str">
        <f>IFERROR(G2922*E2915,"")</f>
        <v/>
      </c>
    </row>
    <row r="2923" spans="1:11">
      <c r="A2923" s="21"/>
      <c r="B2923" s="22" t="s">
        <v>3731</v>
      </c>
      <c r="C2923" s="23"/>
      <c r="D2923" s="24"/>
      <c r="E2923" s="25"/>
      <c r="F2923" s="26"/>
      <c r="G2923" s="27">
        <f>SUM(G2924:G2926)</f>
        <v>25019.450834390627</v>
      </c>
      <c r="H2923" s="27">
        <f>IFERROR(G2923*E2915,"")</f>
        <v>0</v>
      </c>
    </row>
    <row r="2924" spans="1:11">
      <c r="A2924" s="28"/>
      <c r="B2924" s="29" t="s">
        <v>3652</v>
      </c>
      <c r="C2924" s="30" t="str">
        <f>IFERROR(_xlfn.XLOOKUP(B2924,Equipo[DESCRIPCION],Equipo[UND],,0),"")</f>
        <v>Día</v>
      </c>
      <c r="D2924" s="31">
        <v>1</v>
      </c>
      <c r="E2924" s="32">
        <f>IF(C2924="%MO",G2930,IFERROR(_xlfn.XLOOKUP($B2924,Equipo[DESCRIPCION],Equipo[VALOR],,0),""))</f>
        <v>635.25</v>
      </c>
      <c r="F2924" s="33">
        <v>-0.1</v>
      </c>
      <c r="G2924" s="34">
        <f>IFERROR(IF(F2924&gt;=0,D2924*E2924*(1+F2924/100),ABS(D2924*E2924/F2924)),"")</f>
        <v>6352.5</v>
      </c>
      <c r="H2924" s="43">
        <f>IFERROR(G2924*E2915,"")</f>
        <v>0</v>
      </c>
    </row>
    <row r="2925" spans="1:11">
      <c r="A2925" s="28"/>
      <c r="B2925" s="29" t="s">
        <v>3570</v>
      </c>
      <c r="C2925" s="30" t="str">
        <f>IFERROR(_xlfn.XLOOKUP(B2925,Equipo[DESCRIPCION],Equipo[UND],,0),"")</f>
        <v>%MO</v>
      </c>
      <c r="D2925" s="31">
        <v>0.04</v>
      </c>
      <c r="E2925" s="32">
        <f>IF(C2925="%MO",G2930,IFERROR(_xlfn.XLOOKUP($B2925,Equipo[DESCRIPCION],Equipo[VALOR],,0),""))</f>
        <v>207410.56482656254</v>
      </c>
      <c r="F2925" s="33"/>
      <c r="G2925" s="34">
        <f>IFERROR(IF(F2925&gt;=0,D2925*E2925*(1+F2925/100),ABS(D2925*E2925/F2925)),"")</f>
        <v>8296.4225930625016</v>
      </c>
      <c r="H2925" s="43">
        <f>IFERROR(G2925*E2915,"")</f>
        <v>0</v>
      </c>
    </row>
    <row r="2926" spans="1:11">
      <c r="A2926" s="28"/>
      <c r="B2926" s="29" t="s">
        <v>3626</v>
      </c>
      <c r="C2926" s="30" t="str">
        <f>IFERROR(_xlfn.XLOOKUP(B2926,Equipo[DESCRIPCION],Equipo[UND],,0),"")</f>
        <v>%MO</v>
      </c>
      <c r="D2926" s="31">
        <v>0.05</v>
      </c>
      <c r="E2926" s="32">
        <f>IF(C2926="%MO",G2930,IFERROR(_xlfn.XLOOKUP($B2926,Equipo[DESCRIPCION],Equipo[VALOR],,0),""))</f>
        <v>207410.56482656254</v>
      </c>
      <c r="F2926" s="33"/>
      <c r="G2926" s="34">
        <f>IFERROR(IF(F2926&gt;=0,D2926*E2926*(1+F2926/100),ABS(D2926*E2926/F2926)),"")</f>
        <v>10370.528241328127</v>
      </c>
      <c r="H2926" s="43">
        <f>IFERROR(G2926*E2915,"")</f>
        <v>0</v>
      </c>
    </row>
    <row r="2927" spans="1:11">
      <c r="A2927" s="21"/>
      <c r="B2927" s="22" t="s">
        <v>2533</v>
      </c>
      <c r="C2927" s="23"/>
      <c r="D2927" s="24"/>
      <c r="E2927" s="25"/>
      <c r="F2927" s="26"/>
      <c r="G2927" s="27">
        <f>SUM(G2928:G2929)</f>
        <v>0</v>
      </c>
      <c r="H2927" s="27">
        <f>IFERROR(G2927*E2915,"")</f>
        <v>0</v>
      </c>
    </row>
    <row r="2928" spans="1:11">
      <c r="A2928" s="28"/>
      <c r="B2928" s="29"/>
      <c r="C2928" s="30" t="str">
        <f>IFERROR(_xlfn.XLOOKUP(B2928,Transporte[DESCRIPCION],Transporte[UND],,0),"")</f>
        <v/>
      </c>
      <c r="D2928" s="31"/>
      <c r="E2928" s="32" t="str">
        <f>IFERROR(_xlfn.XLOOKUP($B2928,Transporte[DESCRIPCION],Transporte[VALOR],,0),"")</f>
        <v/>
      </c>
      <c r="F2928" s="33"/>
      <c r="G2928" s="34" t="str">
        <f>IFERROR(IF(F2928&gt;=0,D2928*E2928*(1+F2928/100),ABS(D2928*E2928/F2928)),"")</f>
        <v/>
      </c>
      <c r="H2928" s="43" t="str">
        <f>IFERROR(G2928*E2915,"")</f>
        <v/>
      </c>
    </row>
    <row r="2929" spans="1:11">
      <c r="A2929" s="28"/>
      <c r="B2929" s="29"/>
      <c r="C2929" s="30" t="str">
        <f>IFERROR(_xlfn.XLOOKUP(B2929,Transporte[DESCRIPCION],Transporte[UND],,0),"")</f>
        <v/>
      </c>
      <c r="D2929" s="31"/>
      <c r="E2929" s="32" t="str">
        <f>IFERROR(_xlfn.XLOOKUP($B2929,Transporte[DESCRIPCION],Transporte[VALOR],,0),"")</f>
        <v/>
      </c>
      <c r="F2929" s="33"/>
      <c r="G2929" s="34" t="str">
        <f>IFERROR(IF(F2929&gt;=0,D2929*E2929*(1+F2929/100),ABS(D2929*E2929/F2929)),"")</f>
        <v/>
      </c>
      <c r="H2929" s="43" t="str">
        <f>IFERROR(G2929*E2915,"")</f>
        <v/>
      </c>
    </row>
    <row r="2930" spans="1:11">
      <c r="A2930" s="21"/>
      <c r="B2930" s="22" t="s">
        <v>3732</v>
      </c>
      <c r="C2930" s="23"/>
      <c r="D2930" s="24"/>
      <c r="E2930" s="25"/>
      <c r="F2930" s="26"/>
      <c r="G2930" s="27">
        <f>SUM(G2931:G2933)</f>
        <v>207410.56482656254</v>
      </c>
      <c r="H2930" s="27">
        <f>IFERROR(G2930*E2915,"")</f>
        <v>0</v>
      </c>
    </row>
    <row r="2931" spans="1:11">
      <c r="A2931" s="28"/>
      <c r="B2931" s="29" t="s">
        <v>3713</v>
      </c>
      <c r="C2931" s="30" t="str">
        <f>IFERROR(_xlfn.XLOOKUP(B2931,MObra[DESCRIPCION],MObra[UN],,0),"")</f>
        <v>día</v>
      </c>
      <c r="D2931" s="31">
        <v>1</v>
      </c>
      <c r="E2931" s="32">
        <f>IFERROR(_xlfn.XLOOKUP($B2931,MObra[DESCRIPCION],MObra[VALOR UNIT],,0),"")</f>
        <v>663713.80744500016</v>
      </c>
      <c r="F2931" s="33">
        <v>-3.2</v>
      </c>
      <c r="G2931" s="34">
        <f>IFERROR(IF(F2931&gt;=0,D2931*E2931*(1+F2931/100),ABS(D2931*E2931/F2931)),"")</f>
        <v>207410.56482656254</v>
      </c>
      <c r="H2931" s="43">
        <f>IFERROR(G2931*E2915,"")</f>
        <v>0</v>
      </c>
    </row>
    <row r="2932" spans="1:11">
      <c r="A2932" s="28"/>
      <c r="B2932" s="29"/>
      <c r="C2932" s="30" t="str">
        <f>IFERROR(_xlfn.XLOOKUP(B2932,MObra[DESCRIPCION],MObra[UN],,0),"")</f>
        <v/>
      </c>
      <c r="D2932" s="31"/>
      <c r="E2932" s="32" t="str">
        <f>IFERROR(_xlfn.XLOOKUP($B2932,MObra[DESCRIPCION],MObra[VALOR UNIT],,0),"")</f>
        <v/>
      </c>
      <c r="F2932" s="33"/>
      <c r="G2932" s="34" t="str">
        <f>IFERROR(IF(F2932&gt;=0,D2932*E2932*(1+F2932/100),ABS(D2932*E2932/F2932)),"")</f>
        <v/>
      </c>
      <c r="H2932" s="43" t="str">
        <f>IFERROR(G2932*E2915,"")</f>
        <v/>
      </c>
    </row>
    <row r="2933" spans="1:11" ht="13.15" thickBot="1">
      <c r="A2933" s="35"/>
      <c r="B2933" s="36"/>
      <c r="C2933" s="37" t="str">
        <f>IFERROR(_xlfn.XLOOKUP(B2933,MObra[DESCRIPCION],MObra[UN],,0),"")</f>
        <v/>
      </c>
      <c r="D2933" s="38"/>
      <c r="E2933" s="39" t="str">
        <f>IFERROR(_xlfn.XLOOKUP($B2933,MObra[DESCRIPCION],MObra[VALOR UNIT],,0),"")</f>
        <v/>
      </c>
      <c r="F2933" s="40"/>
      <c r="G2933" s="41" t="str">
        <f>IFERROR(IF(F2933&gt;=0,D2933*E2933*(1+F2933/100),ABS(D2933*E2933/F2933)),"")</f>
        <v/>
      </c>
      <c r="H2933" s="42" t="str">
        <f>IFERROR(G2933*E2915,"")</f>
        <v/>
      </c>
    </row>
    <row r="2934" spans="1:11" ht="13.5" thickTop="1" thickBot="1"/>
    <row r="2935" spans="1:11" ht="13.5" thickTop="1" thickBot="1">
      <c r="A2935" s="6" t="s">
        <v>2018</v>
      </c>
      <c r="B2935" s="7" t="str">
        <f>VLOOKUP($A2935,Presupuesto!$A:$D,2,FALSE())</f>
        <v>Muro concreto reforzado 20.7 Mpa espesor &gt;0.25m</v>
      </c>
      <c r="C2935" s="8" t="str">
        <f>VLOOKUP($A2935,Presupuesto!$A:$D,3,FALSE())</f>
        <v>M3</v>
      </c>
      <c r="D2935" s="9"/>
      <c r="E2935" s="10">
        <f>VLOOKUP($A2935,Presupuesto!$A:$D,4,FALSE())</f>
        <v>0</v>
      </c>
      <c r="F2935" s="11" t="s">
        <v>2589</v>
      </c>
      <c r="G2935" s="12">
        <f>SUM(G2937:G2953)/2</f>
        <v>1068051.502746393</v>
      </c>
      <c r="H2935" s="13">
        <f>ROUND(SUM(H2937:H2953),0)/2</f>
        <v>0</v>
      </c>
      <c r="I2935" s="10">
        <f>VLOOKUP(A2935,Presupuesto!$A:$F,6,0)</f>
        <v>0</v>
      </c>
      <c r="J2935" s="10">
        <f>+H2935-I2935</f>
        <v>0</v>
      </c>
      <c r="K2935" s="46">
        <f>+H2935-G2935*E2935</f>
        <v>0</v>
      </c>
    </row>
    <row r="2936" spans="1:11" ht="13.15" thickTop="1">
      <c r="A2936" s="14"/>
      <c r="B2936" s="15" t="s">
        <v>2586</v>
      </c>
      <c r="C2936" s="15" t="s">
        <v>5</v>
      </c>
      <c r="D2936" s="16" t="s">
        <v>6</v>
      </c>
      <c r="E2936" s="17" t="s">
        <v>7</v>
      </c>
      <c r="F2936" s="18" t="s">
        <v>3728</v>
      </c>
      <c r="G2936" s="19" t="s">
        <v>3729</v>
      </c>
      <c r="H2936" s="20" t="s">
        <v>3797</v>
      </c>
    </row>
    <row r="2937" spans="1:11">
      <c r="A2937" s="21"/>
      <c r="B2937" s="22" t="s">
        <v>3730</v>
      </c>
      <c r="C2937" s="23"/>
      <c r="D2937" s="24"/>
      <c r="E2937" s="25"/>
      <c r="F2937" s="26"/>
      <c r="G2937" s="27">
        <f>SUM(G2938:G2942)</f>
        <v>860741.21104776801</v>
      </c>
      <c r="H2937" s="27">
        <f>IFERROR(G2937*E2935,"")</f>
        <v>0</v>
      </c>
    </row>
    <row r="2938" spans="1:11">
      <c r="A2938" s="28"/>
      <c r="B2938" s="29" t="s">
        <v>3239</v>
      </c>
      <c r="C2938" s="30" t="str">
        <f>IFERROR(_xlfn.XLOOKUP(B2938,Insumo[DESCRIPCION],Insumo[UND],,0),"")</f>
        <v>M3</v>
      </c>
      <c r="D2938" s="31">
        <v>1</v>
      </c>
      <c r="E2938" s="32">
        <f>IFERROR(_xlfn.XLOOKUP($B2938,Insumo[DESCRIPCION],Insumo[VALOR],,0),"")</f>
        <v>521159.50227762427</v>
      </c>
      <c r="F2938" s="33">
        <v>5</v>
      </c>
      <c r="G2938" s="34">
        <f>IFERROR(IF(F2938&gt;=0,D2938*E2938*(1+F2938/100),ABS(D2938*E2938/F2938)),"")</f>
        <v>547217.4773915055</v>
      </c>
      <c r="H2938" s="43">
        <f>IFERROR(G2938*E2935,"")</f>
        <v>0</v>
      </c>
    </row>
    <row r="2939" spans="1:11">
      <c r="A2939" s="28"/>
      <c r="B2939" s="29" t="s">
        <v>2957</v>
      </c>
      <c r="C2939" s="30" t="str">
        <f>IFERROR(_xlfn.XLOOKUP(B2939,Insumo[DESCRIPCION],Insumo[UND],,0),"")</f>
        <v>M2</v>
      </c>
      <c r="D2939" s="31">
        <v>5</v>
      </c>
      <c r="E2939" s="32">
        <f>IFERROR(_xlfn.XLOOKUP($B2939,Insumo[DESCRIPCION],Insumo[VALOR],,0),"")</f>
        <v>149544.7581937575</v>
      </c>
      <c r="F2939" s="33">
        <v>-3</v>
      </c>
      <c r="G2939" s="34">
        <f>IFERROR(IF(F2939&gt;=0,D2939*E2939*(1+F2939/100),ABS(D2939*E2939/F2939)),"")</f>
        <v>249241.26365626251</v>
      </c>
      <c r="H2939" s="43">
        <f>IFERROR(G2939*E2935,"")</f>
        <v>0</v>
      </c>
    </row>
    <row r="2940" spans="1:11">
      <c r="A2940" s="28"/>
      <c r="B2940" s="29" t="s">
        <v>2699</v>
      </c>
      <c r="C2940" s="30" t="str">
        <f>IFERROR(_xlfn.XLOOKUP(B2940,Insumo[DESCRIPCION],Insumo[UND],,0),"")</f>
        <v>Kg</v>
      </c>
      <c r="D2940" s="31">
        <v>8</v>
      </c>
      <c r="E2940" s="32">
        <f>IFERROR(_xlfn.XLOOKUP($B2940,Insumo[DESCRIPCION],Insumo[VALOR],,0),"")</f>
        <v>7665</v>
      </c>
      <c r="F2940" s="33"/>
      <c r="G2940" s="34">
        <f>IFERROR(IF(F2940&gt;=0,D2940*E2940*(1+F2940/100),ABS(D2940*E2940/F2940)),"")</f>
        <v>61320</v>
      </c>
      <c r="H2940" s="43">
        <f>IFERROR(G2940*E2935,"")</f>
        <v>0</v>
      </c>
    </row>
    <row r="2941" spans="1:11">
      <c r="A2941" s="28"/>
      <c r="B2941" s="29" t="s">
        <v>2709</v>
      </c>
      <c r="C2941" s="30" t="str">
        <f>IFERROR(_xlfn.XLOOKUP(B2941,Insumo[DESCRIPCION],Insumo[UND],,0),"")</f>
        <v>Kg</v>
      </c>
      <c r="D2941" s="31">
        <v>0.2</v>
      </c>
      <c r="E2941" s="32">
        <f>IFERROR(_xlfn.XLOOKUP($B2941,Insumo[DESCRIPCION],Insumo[VALOR],,0),"")</f>
        <v>14812.35</v>
      </c>
      <c r="F2941" s="33"/>
      <c r="G2941" s="34">
        <f>IFERROR(IF(F2941&gt;=0,D2941*E2941*(1+F2941/100),ABS(D2941*E2941/F2941)),"")</f>
        <v>2962.4700000000003</v>
      </c>
      <c r="H2941" s="43">
        <f>IFERROR(G2941*E2935,"")</f>
        <v>0</v>
      </c>
    </row>
    <row r="2942" spans="1:11">
      <c r="A2942" s="28"/>
      <c r="B2942" s="29"/>
      <c r="C2942" s="30" t="str">
        <f>IFERROR(_xlfn.XLOOKUP(B2942,Insumo[DESCRIPCION],Insumo[UND],,0),"")</f>
        <v/>
      </c>
      <c r="D2942" s="31"/>
      <c r="E2942" s="32" t="str">
        <f>IFERROR(_xlfn.XLOOKUP($B2942,Insumo[DESCRIPCION],Insumo[VALOR],,0),"")</f>
        <v/>
      </c>
      <c r="F2942" s="33"/>
      <c r="G2942" s="34" t="str">
        <f>IFERROR(IF(F2942&gt;=0,D2942*E2942*(1+F2942/100),ABS(D2942*E2942/F2942)),"")</f>
        <v/>
      </c>
      <c r="H2942" s="43" t="str">
        <f>IFERROR(G2942*E2935,"")</f>
        <v/>
      </c>
    </row>
    <row r="2943" spans="1:11">
      <c r="A2943" s="21"/>
      <c r="B2943" s="22" t="s">
        <v>3731</v>
      </c>
      <c r="C2943" s="23"/>
      <c r="D2943" s="24"/>
      <c r="E2943" s="25"/>
      <c r="F2943" s="26"/>
      <c r="G2943" s="27">
        <f>SUM(G2944:G2946)</f>
        <v>22945.345186125003</v>
      </c>
      <c r="H2943" s="27">
        <f>IFERROR(G2943*E2935,"")</f>
        <v>0</v>
      </c>
    </row>
    <row r="2944" spans="1:11">
      <c r="A2944" s="28"/>
      <c r="B2944" s="29" t="s">
        <v>3652</v>
      </c>
      <c r="C2944" s="30" t="str">
        <f>IFERROR(_xlfn.XLOOKUP(B2944,Equipo[DESCRIPCION],Equipo[UND],,0),"")</f>
        <v>Día</v>
      </c>
      <c r="D2944" s="31">
        <v>1</v>
      </c>
      <c r="E2944" s="32">
        <f>IF(C2944="%MO",G2950,IFERROR(_xlfn.XLOOKUP($B2944,Equipo[DESCRIPCION],Equipo[VALOR],,0),""))</f>
        <v>635.25</v>
      </c>
      <c r="F2944" s="33">
        <v>-0.1</v>
      </c>
      <c r="G2944" s="34">
        <f>IFERROR(IF(F2944&gt;=0,D2944*E2944*(1+F2944/100),ABS(D2944*E2944/F2944)),"")</f>
        <v>6352.5</v>
      </c>
      <c r="H2944" s="43">
        <f>IFERROR(G2944*E2935,"")</f>
        <v>0</v>
      </c>
    </row>
    <row r="2945" spans="1:11">
      <c r="A2945" s="28"/>
      <c r="B2945" s="29" t="s">
        <v>3570</v>
      </c>
      <c r="C2945" s="30" t="str">
        <f>IFERROR(_xlfn.XLOOKUP(B2945,Equipo[DESCRIPCION],Equipo[UND],,0),"")</f>
        <v>%MO</v>
      </c>
      <c r="D2945" s="31">
        <v>0.04</v>
      </c>
      <c r="E2945" s="32">
        <f>IF(C2945="%MO",G2950,IFERROR(_xlfn.XLOOKUP($B2945,Equipo[DESCRIPCION],Equipo[VALOR],,0),""))</f>
        <v>184364.94651250003</v>
      </c>
      <c r="F2945" s="33"/>
      <c r="G2945" s="34">
        <f>IFERROR(IF(F2945&gt;=0,D2945*E2945*(1+F2945/100),ABS(D2945*E2945/F2945)),"")</f>
        <v>7374.5978605000009</v>
      </c>
      <c r="H2945" s="43">
        <f>IFERROR(G2945*E2935,"")</f>
        <v>0</v>
      </c>
    </row>
    <row r="2946" spans="1:11">
      <c r="A2946" s="28"/>
      <c r="B2946" s="29" t="s">
        <v>3626</v>
      </c>
      <c r="C2946" s="30" t="str">
        <f>IFERROR(_xlfn.XLOOKUP(B2946,Equipo[DESCRIPCION],Equipo[UND],,0),"")</f>
        <v>%MO</v>
      </c>
      <c r="D2946" s="31">
        <v>0.05</v>
      </c>
      <c r="E2946" s="32">
        <f>IF(C2946="%MO",G2950,IFERROR(_xlfn.XLOOKUP($B2946,Equipo[DESCRIPCION],Equipo[VALOR],,0),""))</f>
        <v>184364.94651250003</v>
      </c>
      <c r="F2946" s="33"/>
      <c r="G2946" s="34">
        <f>IFERROR(IF(F2946&gt;=0,D2946*E2946*(1+F2946/100),ABS(D2946*E2946/F2946)),"")</f>
        <v>9218.2473256250014</v>
      </c>
      <c r="H2946" s="43">
        <f>IFERROR(G2946*E2935,"")</f>
        <v>0</v>
      </c>
    </row>
    <row r="2947" spans="1:11">
      <c r="A2947" s="21"/>
      <c r="B2947" s="22" t="s">
        <v>2533</v>
      </c>
      <c r="C2947" s="23"/>
      <c r="D2947" s="24"/>
      <c r="E2947" s="25"/>
      <c r="F2947" s="26"/>
      <c r="G2947" s="27">
        <f>SUM(G2948:G2949)</f>
        <v>0</v>
      </c>
      <c r="H2947" s="27">
        <f>IFERROR(G2947*E2935,"")</f>
        <v>0</v>
      </c>
    </row>
    <row r="2948" spans="1:11">
      <c r="A2948" s="28"/>
      <c r="B2948" s="29"/>
      <c r="C2948" s="30" t="str">
        <f>IFERROR(_xlfn.XLOOKUP(B2948,Transporte[DESCRIPCION],Transporte[UND],,0),"")</f>
        <v/>
      </c>
      <c r="D2948" s="31"/>
      <c r="E2948" s="32" t="str">
        <f>IFERROR(_xlfn.XLOOKUP($B2948,Transporte[DESCRIPCION],Transporte[VALOR],,0),"")</f>
        <v/>
      </c>
      <c r="F2948" s="33"/>
      <c r="G2948" s="34" t="str">
        <f>IFERROR(IF(F2948&gt;=0,D2948*E2948*(1+F2948/100),ABS(D2948*E2948/F2948)),"")</f>
        <v/>
      </c>
      <c r="H2948" s="43" t="str">
        <f>IFERROR(G2948*E2935,"")</f>
        <v/>
      </c>
    </row>
    <row r="2949" spans="1:11">
      <c r="A2949" s="28"/>
      <c r="B2949" s="29"/>
      <c r="C2949" s="30" t="str">
        <f>IFERROR(_xlfn.XLOOKUP(B2949,Transporte[DESCRIPCION],Transporte[UND],,0),"")</f>
        <v/>
      </c>
      <c r="D2949" s="31"/>
      <c r="E2949" s="32" t="str">
        <f>IFERROR(_xlfn.XLOOKUP($B2949,Transporte[DESCRIPCION],Transporte[VALOR],,0),"")</f>
        <v/>
      </c>
      <c r="F2949" s="33"/>
      <c r="G2949" s="34" t="str">
        <f>IFERROR(IF(F2949&gt;=0,D2949*E2949*(1+F2949/100),ABS(D2949*E2949/F2949)),"")</f>
        <v/>
      </c>
      <c r="H2949" s="43" t="str">
        <f>IFERROR(G2949*E2935,"")</f>
        <v/>
      </c>
    </row>
    <row r="2950" spans="1:11">
      <c r="A2950" s="21"/>
      <c r="B2950" s="22" t="s">
        <v>3732</v>
      </c>
      <c r="C2950" s="23"/>
      <c r="D2950" s="24"/>
      <c r="E2950" s="25"/>
      <c r="F2950" s="26"/>
      <c r="G2950" s="27">
        <f>SUM(G2951:G2953)</f>
        <v>184364.94651250003</v>
      </c>
      <c r="H2950" s="27">
        <f>IFERROR(G2950*E2935,"")</f>
        <v>0</v>
      </c>
    </row>
    <row r="2951" spans="1:11">
      <c r="A2951" s="28"/>
      <c r="B2951" s="29" t="s">
        <v>3713</v>
      </c>
      <c r="C2951" s="30" t="str">
        <f>IFERROR(_xlfn.XLOOKUP(B2951,MObra[DESCRIPCION],MObra[UN],,0),"")</f>
        <v>día</v>
      </c>
      <c r="D2951" s="31">
        <v>1</v>
      </c>
      <c r="E2951" s="32">
        <f>IFERROR(_xlfn.XLOOKUP($B2951,MObra[DESCRIPCION],MObra[VALOR UNIT],,0),"")</f>
        <v>663713.80744500016</v>
      </c>
      <c r="F2951" s="33">
        <v>-3.6</v>
      </c>
      <c r="G2951" s="34">
        <f>IFERROR(IF(F2951&gt;=0,D2951*E2951*(1+F2951/100),ABS(D2951*E2951/F2951)),"")</f>
        <v>184364.94651250003</v>
      </c>
      <c r="H2951" s="43">
        <f>IFERROR(G2951*E2935,"")</f>
        <v>0</v>
      </c>
    </row>
    <row r="2952" spans="1:11">
      <c r="A2952" s="28"/>
      <c r="B2952" s="29"/>
      <c r="C2952" s="30" t="str">
        <f>IFERROR(_xlfn.XLOOKUP(B2952,MObra[DESCRIPCION],MObra[UN],,0),"")</f>
        <v/>
      </c>
      <c r="D2952" s="31"/>
      <c r="E2952" s="32" t="str">
        <f>IFERROR(_xlfn.XLOOKUP($B2952,MObra[DESCRIPCION],MObra[VALOR UNIT],,0),"")</f>
        <v/>
      </c>
      <c r="F2952" s="33"/>
      <c r="G2952" s="34" t="str">
        <f>IFERROR(IF(F2952&gt;=0,D2952*E2952*(1+F2952/100),ABS(D2952*E2952/F2952)),"")</f>
        <v/>
      </c>
      <c r="H2952" s="43" t="str">
        <f>IFERROR(G2952*E2935,"")</f>
        <v/>
      </c>
    </row>
    <row r="2953" spans="1:11" ht="13.15" thickBot="1">
      <c r="A2953" s="35"/>
      <c r="B2953" s="36"/>
      <c r="C2953" s="37" t="str">
        <f>IFERROR(_xlfn.XLOOKUP(B2953,MObra[DESCRIPCION],MObra[UN],,0),"")</f>
        <v/>
      </c>
      <c r="D2953" s="38"/>
      <c r="E2953" s="39" t="str">
        <f>IFERROR(_xlfn.XLOOKUP($B2953,MObra[DESCRIPCION],MObra[VALOR UNIT],,0),"")</f>
        <v/>
      </c>
      <c r="F2953" s="40"/>
      <c r="G2953" s="41" t="str">
        <f>IFERROR(IF(F2953&gt;=0,D2953*E2953*(1+F2953/100),ABS(D2953*E2953/F2953)),"")</f>
        <v/>
      </c>
      <c r="H2953" s="42" t="str">
        <f>IFERROR(G2953*E2935,"")</f>
        <v/>
      </c>
    </row>
    <row r="2954" spans="1:11" ht="13.5" thickTop="1" thickBot="1"/>
    <row r="2955" spans="1:11" ht="13.5" thickTop="1" thickBot="1">
      <c r="A2955" s="6" t="s">
        <v>2020</v>
      </c>
      <c r="B2955" s="7" t="str">
        <f>VLOOKUP($A2955,Presupuesto!$A:$D,2,FALSE())</f>
        <v>Muro concreto reforzado 24.1 Mpa espesor &lt;=0.25m</v>
      </c>
      <c r="C2955" s="8" t="str">
        <f>VLOOKUP($A2955,Presupuesto!$A:$D,3,FALSE())</f>
        <v>M3</v>
      </c>
      <c r="D2955" s="9"/>
      <c r="E2955" s="10">
        <f>VLOOKUP($A2955,Presupuesto!$A:$D,4,FALSE())</f>
        <v>0</v>
      </c>
      <c r="F2955" s="11" t="s">
        <v>2589</v>
      </c>
      <c r="G2955" s="12">
        <f>SUM(G2957:G2973)/2</f>
        <v>1162581.8207194076</v>
      </c>
      <c r="H2955" s="13">
        <f>ROUND(SUM(H2957:H2973),0)/2</f>
        <v>0</v>
      </c>
      <c r="I2955" s="10">
        <f>VLOOKUP(A2955,Presupuesto!$A:$F,6,0)</f>
        <v>0</v>
      </c>
      <c r="J2955" s="10">
        <f>+H2955-I2955</f>
        <v>0</v>
      </c>
      <c r="K2955" s="46">
        <f>+H2955-G2955*E2955</f>
        <v>0</v>
      </c>
    </row>
    <row r="2956" spans="1:11" ht="13.15" thickTop="1">
      <c r="A2956" s="14"/>
      <c r="B2956" s="15" t="s">
        <v>2586</v>
      </c>
      <c r="C2956" s="15" t="s">
        <v>5</v>
      </c>
      <c r="D2956" s="16" t="s">
        <v>6</v>
      </c>
      <c r="E2956" s="17" t="s">
        <v>7</v>
      </c>
      <c r="F2956" s="18" t="s">
        <v>3728</v>
      </c>
      <c r="G2956" s="19" t="s">
        <v>3729</v>
      </c>
      <c r="H2956" s="20" t="s">
        <v>3797</v>
      </c>
    </row>
    <row r="2957" spans="1:11">
      <c r="A2957" s="21"/>
      <c r="B2957" s="22" t="s">
        <v>3730</v>
      </c>
      <c r="C2957" s="23"/>
      <c r="D2957" s="24"/>
      <c r="E2957" s="25"/>
      <c r="F2957" s="26"/>
      <c r="G2957" s="27">
        <f>SUM(G2958:G2962)</f>
        <v>930151.80505845428</v>
      </c>
      <c r="H2957" s="27">
        <f>IFERROR(G2957*E2955,"")</f>
        <v>0</v>
      </c>
    </row>
    <row r="2958" spans="1:11">
      <c r="A2958" s="28"/>
      <c r="B2958" s="29" t="s">
        <v>3240</v>
      </c>
      <c r="C2958" s="30" t="str">
        <f>IFERROR(_xlfn.XLOOKUP(B2958,Insumo[DESCRIPCION],Insumo[UND],,0),"")</f>
        <v>M3</v>
      </c>
      <c r="D2958" s="31">
        <v>1</v>
      </c>
      <c r="E2958" s="32">
        <f>IFERROR(_xlfn.XLOOKUP($B2958,Insumo[DESCRIPCION],Insumo[VALOR],,0),"")</f>
        <v>539790.3034961326</v>
      </c>
      <c r="F2958" s="33">
        <v>5</v>
      </c>
      <c r="G2958" s="34">
        <f>IFERROR(IF(F2958&gt;=0,D2958*E2958*(1+F2958/100),ABS(D2958*E2958/F2958)),"")</f>
        <v>566779.8186709393</v>
      </c>
      <c r="H2958" s="43">
        <f>IFERROR(G2958*E2955,"")</f>
        <v>0</v>
      </c>
    </row>
    <row r="2959" spans="1:11">
      <c r="A2959" s="28"/>
      <c r="B2959" s="29" t="s">
        <v>2957</v>
      </c>
      <c r="C2959" s="30" t="str">
        <f>IFERROR(_xlfn.XLOOKUP(B2959,Insumo[DESCRIPCION],Insumo[UND],,0),"")</f>
        <v>M2</v>
      </c>
      <c r="D2959" s="31">
        <v>6</v>
      </c>
      <c r="E2959" s="32">
        <f>IFERROR(_xlfn.XLOOKUP($B2959,Insumo[DESCRIPCION],Insumo[VALOR],,0),"")</f>
        <v>149544.7581937575</v>
      </c>
      <c r="F2959" s="33">
        <v>-3</v>
      </c>
      <c r="G2959" s="34">
        <f>IFERROR(IF(F2959&gt;=0,D2959*E2959*(1+F2959/100),ABS(D2959*E2959/F2959)),"")</f>
        <v>299089.516387515</v>
      </c>
      <c r="H2959" s="43">
        <f>IFERROR(G2959*E2955,"")</f>
        <v>0</v>
      </c>
    </row>
    <row r="2960" spans="1:11">
      <c r="A2960" s="28"/>
      <c r="B2960" s="29" t="s">
        <v>2699</v>
      </c>
      <c r="C2960" s="30" t="str">
        <f>IFERROR(_xlfn.XLOOKUP(B2960,Insumo[DESCRIPCION],Insumo[UND],,0),"")</f>
        <v>Kg</v>
      </c>
      <c r="D2960" s="31">
        <v>8</v>
      </c>
      <c r="E2960" s="32">
        <f>IFERROR(_xlfn.XLOOKUP($B2960,Insumo[DESCRIPCION],Insumo[VALOR],,0),"")</f>
        <v>7665</v>
      </c>
      <c r="F2960" s="33"/>
      <c r="G2960" s="34">
        <f>IFERROR(IF(F2960&gt;=0,D2960*E2960*(1+F2960/100),ABS(D2960*E2960/F2960)),"")</f>
        <v>61320</v>
      </c>
      <c r="H2960" s="43">
        <f>IFERROR(G2960*E2955,"")</f>
        <v>0</v>
      </c>
    </row>
    <row r="2961" spans="1:11">
      <c r="A2961" s="28"/>
      <c r="B2961" s="29" t="s">
        <v>2709</v>
      </c>
      <c r="C2961" s="30" t="str">
        <f>IFERROR(_xlfn.XLOOKUP(B2961,Insumo[DESCRIPCION],Insumo[UND],,0),"")</f>
        <v>Kg</v>
      </c>
      <c r="D2961" s="31">
        <v>0.2</v>
      </c>
      <c r="E2961" s="32">
        <f>IFERROR(_xlfn.XLOOKUP($B2961,Insumo[DESCRIPCION],Insumo[VALOR],,0),"")</f>
        <v>14812.35</v>
      </c>
      <c r="F2961" s="33"/>
      <c r="G2961" s="34">
        <f>IFERROR(IF(F2961&gt;=0,D2961*E2961*(1+F2961/100),ABS(D2961*E2961/F2961)),"")</f>
        <v>2962.4700000000003</v>
      </c>
      <c r="H2961" s="43">
        <f>IFERROR(G2961*E2955,"")</f>
        <v>0</v>
      </c>
    </row>
    <row r="2962" spans="1:11">
      <c r="A2962" s="28"/>
      <c r="B2962" s="29"/>
      <c r="C2962" s="30" t="str">
        <f>IFERROR(_xlfn.XLOOKUP(B2962,Insumo[DESCRIPCION],Insumo[UND],,0),"")</f>
        <v/>
      </c>
      <c r="D2962" s="31"/>
      <c r="E2962" s="32" t="str">
        <f>IFERROR(_xlfn.XLOOKUP($B2962,Insumo[DESCRIPCION],Insumo[VALOR],,0),"")</f>
        <v/>
      </c>
      <c r="F2962" s="33"/>
      <c r="G2962" s="34" t="str">
        <f>IFERROR(IF(F2962&gt;=0,D2962*E2962*(1+F2962/100),ABS(D2962*E2962/F2962)),"")</f>
        <v/>
      </c>
      <c r="H2962" s="43" t="str">
        <f>IFERROR(G2962*E2955,"")</f>
        <v/>
      </c>
    </row>
    <row r="2963" spans="1:11">
      <c r="A2963" s="21"/>
      <c r="B2963" s="22" t="s">
        <v>3731</v>
      </c>
      <c r="C2963" s="23"/>
      <c r="D2963" s="24"/>
      <c r="E2963" s="25"/>
      <c r="F2963" s="26"/>
      <c r="G2963" s="27">
        <f>SUM(G2964:G2966)</f>
        <v>25019.450834390627</v>
      </c>
      <c r="H2963" s="27">
        <f>IFERROR(G2963*E2955,"")</f>
        <v>0</v>
      </c>
    </row>
    <row r="2964" spans="1:11">
      <c r="A2964" s="28"/>
      <c r="B2964" s="29" t="s">
        <v>3652</v>
      </c>
      <c r="C2964" s="30" t="str">
        <f>IFERROR(_xlfn.XLOOKUP(B2964,Equipo[DESCRIPCION],Equipo[UND],,0),"")</f>
        <v>Día</v>
      </c>
      <c r="D2964" s="31">
        <v>1</v>
      </c>
      <c r="E2964" s="32">
        <f>IF(C2964="%MO",G2970,IFERROR(_xlfn.XLOOKUP($B2964,Equipo[DESCRIPCION],Equipo[VALOR],,0),""))</f>
        <v>635.25</v>
      </c>
      <c r="F2964" s="33">
        <v>-0.1</v>
      </c>
      <c r="G2964" s="34">
        <f>IFERROR(IF(F2964&gt;=0,D2964*E2964*(1+F2964/100),ABS(D2964*E2964/F2964)),"")</f>
        <v>6352.5</v>
      </c>
      <c r="H2964" s="43">
        <f>IFERROR(G2964*E2955,"")</f>
        <v>0</v>
      </c>
    </row>
    <row r="2965" spans="1:11">
      <c r="A2965" s="28"/>
      <c r="B2965" s="29" t="s">
        <v>3570</v>
      </c>
      <c r="C2965" s="30" t="str">
        <f>IFERROR(_xlfn.XLOOKUP(B2965,Equipo[DESCRIPCION],Equipo[UND],,0),"")</f>
        <v>%MO</v>
      </c>
      <c r="D2965" s="31">
        <v>0.04</v>
      </c>
      <c r="E2965" s="32">
        <f>IF(C2965="%MO",G2970,IFERROR(_xlfn.XLOOKUP($B2965,Equipo[DESCRIPCION],Equipo[VALOR],,0),""))</f>
        <v>207410.56482656254</v>
      </c>
      <c r="F2965" s="33"/>
      <c r="G2965" s="34">
        <f>IFERROR(IF(F2965&gt;=0,D2965*E2965*(1+F2965/100),ABS(D2965*E2965/F2965)),"")</f>
        <v>8296.4225930625016</v>
      </c>
      <c r="H2965" s="43">
        <f>IFERROR(G2965*E2955,"")</f>
        <v>0</v>
      </c>
    </row>
    <row r="2966" spans="1:11">
      <c r="A2966" s="28"/>
      <c r="B2966" s="29" t="s">
        <v>3626</v>
      </c>
      <c r="C2966" s="30" t="str">
        <f>IFERROR(_xlfn.XLOOKUP(B2966,Equipo[DESCRIPCION],Equipo[UND],,0),"")</f>
        <v>%MO</v>
      </c>
      <c r="D2966" s="31">
        <v>0.05</v>
      </c>
      <c r="E2966" s="32">
        <f>IF(C2966="%MO",G2970,IFERROR(_xlfn.XLOOKUP($B2966,Equipo[DESCRIPCION],Equipo[VALOR],,0),""))</f>
        <v>207410.56482656254</v>
      </c>
      <c r="F2966" s="33"/>
      <c r="G2966" s="34">
        <f>IFERROR(IF(F2966&gt;=0,D2966*E2966*(1+F2966/100),ABS(D2966*E2966/F2966)),"")</f>
        <v>10370.528241328127</v>
      </c>
      <c r="H2966" s="43">
        <f>IFERROR(G2966*E2955,"")</f>
        <v>0</v>
      </c>
    </row>
    <row r="2967" spans="1:11">
      <c r="A2967" s="21"/>
      <c r="B2967" s="22" t="s">
        <v>2533</v>
      </c>
      <c r="C2967" s="23"/>
      <c r="D2967" s="24"/>
      <c r="E2967" s="25"/>
      <c r="F2967" s="26"/>
      <c r="G2967" s="27">
        <f>SUM(G2968:G2969)</f>
        <v>0</v>
      </c>
      <c r="H2967" s="27">
        <f>IFERROR(G2967*E2955,"")</f>
        <v>0</v>
      </c>
    </row>
    <row r="2968" spans="1:11">
      <c r="A2968" s="28"/>
      <c r="B2968" s="29"/>
      <c r="C2968" s="30" t="str">
        <f>IFERROR(_xlfn.XLOOKUP(B2968,Transporte[DESCRIPCION],Transporte[UND],,0),"")</f>
        <v/>
      </c>
      <c r="D2968" s="31"/>
      <c r="E2968" s="32" t="str">
        <f>IFERROR(_xlfn.XLOOKUP($B2968,Transporte[DESCRIPCION],Transporte[VALOR],,0),"")</f>
        <v/>
      </c>
      <c r="F2968" s="33"/>
      <c r="G2968" s="34" t="str">
        <f>IFERROR(IF(F2968&gt;=0,D2968*E2968*(1+F2968/100),ABS(D2968*E2968/F2968)),"")</f>
        <v/>
      </c>
      <c r="H2968" s="43" t="str">
        <f>IFERROR(G2968*E2955,"")</f>
        <v/>
      </c>
    </row>
    <row r="2969" spans="1:11">
      <c r="A2969" s="28"/>
      <c r="B2969" s="29"/>
      <c r="C2969" s="30" t="str">
        <f>IFERROR(_xlfn.XLOOKUP(B2969,Transporte[DESCRIPCION],Transporte[UND],,0),"")</f>
        <v/>
      </c>
      <c r="D2969" s="31"/>
      <c r="E2969" s="32" t="str">
        <f>IFERROR(_xlfn.XLOOKUP($B2969,Transporte[DESCRIPCION],Transporte[VALOR],,0),"")</f>
        <v/>
      </c>
      <c r="F2969" s="33"/>
      <c r="G2969" s="34" t="str">
        <f>IFERROR(IF(F2969&gt;=0,D2969*E2969*(1+F2969/100),ABS(D2969*E2969/F2969)),"")</f>
        <v/>
      </c>
      <c r="H2969" s="43" t="str">
        <f>IFERROR(G2969*E2955,"")</f>
        <v/>
      </c>
    </row>
    <row r="2970" spans="1:11">
      <c r="A2970" s="21"/>
      <c r="B2970" s="22" t="s">
        <v>3732</v>
      </c>
      <c r="C2970" s="23"/>
      <c r="D2970" s="24"/>
      <c r="E2970" s="25"/>
      <c r="F2970" s="26"/>
      <c r="G2970" s="27">
        <f>SUM(G2971:G2973)</f>
        <v>207410.56482656254</v>
      </c>
      <c r="H2970" s="27">
        <f>IFERROR(G2970*E2955,"")</f>
        <v>0</v>
      </c>
    </row>
    <row r="2971" spans="1:11">
      <c r="A2971" s="28"/>
      <c r="B2971" s="29" t="s">
        <v>3713</v>
      </c>
      <c r="C2971" s="30" t="str">
        <f>IFERROR(_xlfn.XLOOKUP(B2971,MObra[DESCRIPCION],MObra[UN],,0),"")</f>
        <v>día</v>
      </c>
      <c r="D2971" s="31">
        <v>1</v>
      </c>
      <c r="E2971" s="32">
        <f>IFERROR(_xlfn.XLOOKUP($B2971,MObra[DESCRIPCION],MObra[VALOR UNIT],,0),"")</f>
        <v>663713.80744500016</v>
      </c>
      <c r="F2971" s="33">
        <v>-3.2</v>
      </c>
      <c r="G2971" s="34">
        <f>IFERROR(IF(F2971&gt;=0,D2971*E2971*(1+F2971/100),ABS(D2971*E2971/F2971)),"")</f>
        <v>207410.56482656254</v>
      </c>
      <c r="H2971" s="43">
        <f>IFERROR(G2971*E2955,"")</f>
        <v>0</v>
      </c>
    </row>
    <row r="2972" spans="1:11">
      <c r="A2972" s="28"/>
      <c r="B2972" s="29"/>
      <c r="C2972" s="30" t="str">
        <f>IFERROR(_xlfn.XLOOKUP(B2972,MObra[DESCRIPCION],MObra[UN],,0),"")</f>
        <v/>
      </c>
      <c r="D2972" s="31"/>
      <c r="E2972" s="32" t="str">
        <f>IFERROR(_xlfn.XLOOKUP($B2972,MObra[DESCRIPCION],MObra[VALOR UNIT],,0),"")</f>
        <v/>
      </c>
      <c r="F2972" s="33"/>
      <c r="G2972" s="34" t="str">
        <f>IFERROR(IF(F2972&gt;=0,D2972*E2972*(1+F2972/100),ABS(D2972*E2972/F2972)),"")</f>
        <v/>
      </c>
      <c r="H2972" s="43" t="str">
        <f>IFERROR(G2972*E2955,"")</f>
        <v/>
      </c>
    </row>
    <row r="2973" spans="1:11" ht="13.15" thickBot="1">
      <c r="A2973" s="35"/>
      <c r="B2973" s="36"/>
      <c r="C2973" s="37" t="str">
        <f>IFERROR(_xlfn.XLOOKUP(B2973,MObra[DESCRIPCION],MObra[UN],,0),"")</f>
        <v/>
      </c>
      <c r="D2973" s="38"/>
      <c r="E2973" s="39" t="str">
        <f>IFERROR(_xlfn.XLOOKUP($B2973,MObra[DESCRIPCION],MObra[VALOR UNIT],,0),"")</f>
        <v/>
      </c>
      <c r="F2973" s="40"/>
      <c r="G2973" s="41" t="str">
        <f>IFERROR(IF(F2973&gt;=0,D2973*E2973*(1+F2973/100),ABS(D2973*E2973/F2973)),"")</f>
        <v/>
      </c>
      <c r="H2973" s="42" t="str">
        <f>IFERROR(G2973*E2955,"")</f>
        <v/>
      </c>
    </row>
    <row r="2974" spans="1:11" ht="13.5" thickTop="1" thickBot="1"/>
    <row r="2975" spans="1:11" ht="13.5" thickTop="1" thickBot="1">
      <c r="A2975" s="6" t="s">
        <v>2022</v>
      </c>
      <c r="B2975" s="7" t="str">
        <f>VLOOKUP($A2975,Presupuesto!$A:$D,2,FALSE())</f>
        <v>Muro concreto reforzado 24.1 Mpa espesor &gt;0.25m</v>
      </c>
      <c r="C2975" s="8" t="str">
        <f>VLOOKUP($A2975,Presupuesto!$A:$D,3,FALSE())</f>
        <v>M3</v>
      </c>
      <c r="D2975" s="9"/>
      <c r="E2975" s="10">
        <f>VLOOKUP($A2975,Presupuesto!$A:$D,4,FALSE())</f>
        <v>0</v>
      </c>
      <c r="F2975" s="11" t="s">
        <v>2589</v>
      </c>
      <c r="G2975" s="12">
        <f>SUM(G2977:G2993)/2</f>
        <v>1087613.8440258268</v>
      </c>
      <c r="H2975" s="13">
        <f>ROUND(SUM(H2977:H2993),0)/2</f>
        <v>0</v>
      </c>
      <c r="I2975" s="10">
        <f>VLOOKUP(A2975,Presupuesto!$A:$F,6,0)</f>
        <v>0</v>
      </c>
      <c r="J2975" s="10">
        <f>+H2975-I2975</f>
        <v>0</v>
      </c>
      <c r="K2975" s="46">
        <f>+H2975-G2975*E2975</f>
        <v>0</v>
      </c>
    </row>
    <row r="2976" spans="1:11" ht="13.15" thickTop="1">
      <c r="A2976" s="14"/>
      <c r="B2976" s="15" t="s">
        <v>2586</v>
      </c>
      <c r="C2976" s="15" t="s">
        <v>5</v>
      </c>
      <c r="D2976" s="16" t="s">
        <v>6</v>
      </c>
      <c r="E2976" s="17" t="s">
        <v>7</v>
      </c>
      <c r="F2976" s="18" t="s">
        <v>3728</v>
      </c>
      <c r="G2976" s="19" t="s">
        <v>3729</v>
      </c>
      <c r="H2976" s="20" t="s">
        <v>3797</v>
      </c>
    </row>
    <row r="2977" spans="1:8">
      <c r="A2977" s="21"/>
      <c r="B2977" s="22" t="s">
        <v>3730</v>
      </c>
      <c r="C2977" s="23"/>
      <c r="D2977" s="24"/>
      <c r="E2977" s="25"/>
      <c r="F2977" s="26"/>
      <c r="G2977" s="27">
        <f>SUM(G2978:G2982)</f>
        <v>880303.55232720182</v>
      </c>
      <c r="H2977" s="27">
        <f>IFERROR(G2977*E2975,"")</f>
        <v>0</v>
      </c>
    </row>
    <row r="2978" spans="1:8">
      <c r="A2978" s="28"/>
      <c r="B2978" s="29" t="s">
        <v>3240</v>
      </c>
      <c r="C2978" s="30" t="str">
        <f>IFERROR(_xlfn.XLOOKUP(B2978,Insumo[DESCRIPCION],Insumo[UND],,0),"")</f>
        <v>M3</v>
      </c>
      <c r="D2978" s="31">
        <v>1</v>
      </c>
      <c r="E2978" s="32">
        <f>IFERROR(_xlfn.XLOOKUP($B2978,Insumo[DESCRIPCION],Insumo[VALOR],,0),"")</f>
        <v>539790.3034961326</v>
      </c>
      <c r="F2978" s="33">
        <v>5</v>
      </c>
      <c r="G2978" s="34">
        <f>IFERROR(IF(F2978&gt;=0,D2978*E2978*(1+F2978/100),ABS(D2978*E2978/F2978)),"")</f>
        <v>566779.8186709393</v>
      </c>
      <c r="H2978" s="43">
        <f>IFERROR(G2978*E2975,"")</f>
        <v>0</v>
      </c>
    </row>
    <row r="2979" spans="1:8">
      <c r="A2979" s="28"/>
      <c r="B2979" s="29" t="s">
        <v>2957</v>
      </c>
      <c r="C2979" s="30" t="str">
        <f>IFERROR(_xlfn.XLOOKUP(B2979,Insumo[DESCRIPCION],Insumo[UND],,0),"")</f>
        <v>M2</v>
      </c>
      <c r="D2979" s="31">
        <v>5</v>
      </c>
      <c r="E2979" s="32">
        <f>IFERROR(_xlfn.XLOOKUP($B2979,Insumo[DESCRIPCION],Insumo[VALOR],,0),"")</f>
        <v>149544.7581937575</v>
      </c>
      <c r="F2979" s="33">
        <v>-3</v>
      </c>
      <c r="G2979" s="34">
        <f>IFERROR(IF(F2979&gt;=0,D2979*E2979*(1+F2979/100),ABS(D2979*E2979/F2979)),"")</f>
        <v>249241.26365626251</v>
      </c>
      <c r="H2979" s="43">
        <f>IFERROR(G2979*E2975,"")</f>
        <v>0</v>
      </c>
    </row>
    <row r="2980" spans="1:8">
      <c r="A2980" s="28"/>
      <c r="B2980" s="29" t="s">
        <v>2699</v>
      </c>
      <c r="C2980" s="30" t="str">
        <f>IFERROR(_xlfn.XLOOKUP(B2980,Insumo[DESCRIPCION],Insumo[UND],,0),"")</f>
        <v>Kg</v>
      </c>
      <c r="D2980" s="31">
        <v>8</v>
      </c>
      <c r="E2980" s="32">
        <f>IFERROR(_xlfn.XLOOKUP($B2980,Insumo[DESCRIPCION],Insumo[VALOR],,0),"")</f>
        <v>7665</v>
      </c>
      <c r="F2980" s="33"/>
      <c r="G2980" s="34">
        <f>IFERROR(IF(F2980&gt;=0,D2980*E2980*(1+F2980/100),ABS(D2980*E2980/F2980)),"")</f>
        <v>61320</v>
      </c>
      <c r="H2980" s="43">
        <f>IFERROR(G2980*E2975,"")</f>
        <v>0</v>
      </c>
    </row>
    <row r="2981" spans="1:8">
      <c r="A2981" s="28"/>
      <c r="B2981" s="29" t="s">
        <v>2709</v>
      </c>
      <c r="C2981" s="30" t="str">
        <f>IFERROR(_xlfn.XLOOKUP(B2981,Insumo[DESCRIPCION],Insumo[UND],,0),"")</f>
        <v>Kg</v>
      </c>
      <c r="D2981" s="31">
        <v>0.2</v>
      </c>
      <c r="E2981" s="32">
        <f>IFERROR(_xlfn.XLOOKUP($B2981,Insumo[DESCRIPCION],Insumo[VALOR],,0),"")</f>
        <v>14812.35</v>
      </c>
      <c r="F2981" s="33"/>
      <c r="G2981" s="34">
        <f>IFERROR(IF(F2981&gt;=0,D2981*E2981*(1+F2981/100),ABS(D2981*E2981/F2981)),"")</f>
        <v>2962.4700000000003</v>
      </c>
      <c r="H2981" s="43">
        <f>IFERROR(G2981*E2975,"")</f>
        <v>0</v>
      </c>
    </row>
    <row r="2982" spans="1:8">
      <c r="A2982" s="28"/>
      <c r="B2982" s="29"/>
      <c r="C2982" s="30" t="str">
        <f>IFERROR(_xlfn.XLOOKUP(B2982,Insumo[DESCRIPCION],Insumo[UND],,0),"")</f>
        <v/>
      </c>
      <c r="D2982" s="31"/>
      <c r="E2982" s="32" t="str">
        <f>IFERROR(_xlfn.XLOOKUP($B2982,Insumo[DESCRIPCION],Insumo[VALOR],,0),"")</f>
        <v/>
      </c>
      <c r="F2982" s="33"/>
      <c r="G2982" s="34" t="str">
        <f>IFERROR(IF(F2982&gt;=0,D2982*E2982*(1+F2982/100),ABS(D2982*E2982/F2982)),"")</f>
        <v/>
      </c>
      <c r="H2982" s="43" t="str">
        <f>IFERROR(G2982*E2975,"")</f>
        <v/>
      </c>
    </row>
    <row r="2983" spans="1:8">
      <c r="A2983" s="21"/>
      <c r="B2983" s="22" t="s">
        <v>3731</v>
      </c>
      <c r="C2983" s="23"/>
      <c r="D2983" s="24"/>
      <c r="E2983" s="25"/>
      <c r="F2983" s="26"/>
      <c r="G2983" s="27">
        <f>SUM(G2984:G2986)</f>
        <v>22945.345186125003</v>
      </c>
      <c r="H2983" s="27">
        <f>IFERROR(G2983*E2975,"")</f>
        <v>0</v>
      </c>
    </row>
    <row r="2984" spans="1:8">
      <c r="A2984" s="28"/>
      <c r="B2984" s="29" t="s">
        <v>3652</v>
      </c>
      <c r="C2984" s="30" t="str">
        <f>IFERROR(_xlfn.XLOOKUP(B2984,Equipo[DESCRIPCION],Equipo[UND],,0),"")</f>
        <v>Día</v>
      </c>
      <c r="D2984" s="31">
        <v>1</v>
      </c>
      <c r="E2984" s="32">
        <f>IF(C2984="%MO",G2990,IFERROR(_xlfn.XLOOKUP($B2984,Equipo[DESCRIPCION],Equipo[VALOR],,0),""))</f>
        <v>635.25</v>
      </c>
      <c r="F2984" s="33">
        <v>-0.1</v>
      </c>
      <c r="G2984" s="34">
        <f>IFERROR(IF(F2984&gt;=0,D2984*E2984*(1+F2984/100),ABS(D2984*E2984/F2984)),"")</f>
        <v>6352.5</v>
      </c>
      <c r="H2984" s="43">
        <f>IFERROR(G2984*E2975,"")</f>
        <v>0</v>
      </c>
    </row>
    <row r="2985" spans="1:8">
      <c r="A2985" s="28"/>
      <c r="B2985" s="29" t="s">
        <v>3570</v>
      </c>
      <c r="C2985" s="30" t="str">
        <f>IFERROR(_xlfn.XLOOKUP(B2985,Equipo[DESCRIPCION],Equipo[UND],,0),"")</f>
        <v>%MO</v>
      </c>
      <c r="D2985" s="31">
        <v>0.04</v>
      </c>
      <c r="E2985" s="32">
        <f>IF(C2985="%MO",G2990,IFERROR(_xlfn.XLOOKUP($B2985,Equipo[DESCRIPCION],Equipo[VALOR],,0),""))</f>
        <v>184364.94651250003</v>
      </c>
      <c r="F2985" s="33"/>
      <c r="G2985" s="34">
        <f>IFERROR(IF(F2985&gt;=0,D2985*E2985*(1+F2985/100),ABS(D2985*E2985/F2985)),"")</f>
        <v>7374.5978605000009</v>
      </c>
      <c r="H2985" s="43">
        <f>IFERROR(G2985*E2975,"")</f>
        <v>0</v>
      </c>
    </row>
    <row r="2986" spans="1:8">
      <c r="A2986" s="28"/>
      <c r="B2986" s="29" t="s">
        <v>3626</v>
      </c>
      <c r="C2986" s="30" t="str">
        <f>IFERROR(_xlfn.XLOOKUP(B2986,Equipo[DESCRIPCION],Equipo[UND],,0),"")</f>
        <v>%MO</v>
      </c>
      <c r="D2986" s="31">
        <v>0.05</v>
      </c>
      <c r="E2986" s="32">
        <f>IF(C2986="%MO",G2990,IFERROR(_xlfn.XLOOKUP($B2986,Equipo[DESCRIPCION],Equipo[VALOR],,0),""))</f>
        <v>184364.94651250003</v>
      </c>
      <c r="F2986" s="33"/>
      <c r="G2986" s="34">
        <f>IFERROR(IF(F2986&gt;=0,D2986*E2986*(1+F2986/100),ABS(D2986*E2986/F2986)),"")</f>
        <v>9218.2473256250014</v>
      </c>
      <c r="H2986" s="43">
        <f>IFERROR(G2986*E2975,"")</f>
        <v>0</v>
      </c>
    </row>
    <row r="2987" spans="1:8">
      <c r="A2987" s="21"/>
      <c r="B2987" s="22" t="s">
        <v>2533</v>
      </c>
      <c r="C2987" s="23"/>
      <c r="D2987" s="24"/>
      <c r="E2987" s="25"/>
      <c r="F2987" s="26"/>
      <c r="G2987" s="27">
        <f>SUM(G2988:G2989)</f>
        <v>0</v>
      </c>
      <c r="H2987" s="27">
        <f>IFERROR(G2987*E2975,"")</f>
        <v>0</v>
      </c>
    </row>
    <row r="2988" spans="1:8">
      <c r="A2988" s="28"/>
      <c r="B2988" s="29"/>
      <c r="C2988" s="30" t="str">
        <f>IFERROR(_xlfn.XLOOKUP(B2988,Transporte[DESCRIPCION],Transporte[UND],,0),"")</f>
        <v/>
      </c>
      <c r="D2988" s="31"/>
      <c r="E2988" s="32" t="str">
        <f>IFERROR(_xlfn.XLOOKUP($B2988,Transporte[DESCRIPCION],Transporte[VALOR],,0),"")</f>
        <v/>
      </c>
      <c r="F2988" s="33"/>
      <c r="G2988" s="34" t="str">
        <f>IFERROR(IF(F2988&gt;=0,D2988*E2988*(1+F2988/100),ABS(D2988*E2988/F2988)),"")</f>
        <v/>
      </c>
      <c r="H2988" s="43" t="str">
        <f>IFERROR(G2988*E2975,"")</f>
        <v/>
      </c>
    </row>
    <row r="2989" spans="1:8">
      <c r="A2989" s="28"/>
      <c r="B2989" s="29"/>
      <c r="C2989" s="30" t="str">
        <f>IFERROR(_xlfn.XLOOKUP(B2989,Transporte[DESCRIPCION],Transporte[UND],,0),"")</f>
        <v/>
      </c>
      <c r="D2989" s="31"/>
      <c r="E2989" s="32" t="str">
        <f>IFERROR(_xlfn.XLOOKUP($B2989,Transporte[DESCRIPCION],Transporte[VALOR],,0),"")</f>
        <v/>
      </c>
      <c r="F2989" s="33"/>
      <c r="G2989" s="34" t="str">
        <f>IFERROR(IF(F2989&gt;=0,D2989*E2989*(1+F2989/100),ABS(D2989*E2989/F2989)),"")</f>
        <v/>
      </c>
      <c r="H2989" s="43" t="str">
        <f>IFERROR(G2989*E2975,"")</f>
        <v/>
      </c>
    </row>
    <row r="2990" spans="1:8">
      <c r="A2990" s="21"/>
      <c r="B2990" s="22" t="s">
        <v>3732</v>
      </c>
      <c r="C2990" s="23"/>
      <c r="D2990" s="24"/>
      <c r="E2990" s="25"/>
      <c r="F2990" s="26"/>
      <c r="G2990" s="27">
        <f>SUM(G2991:G2993)</f>
        <v>184364.94651250003</v>
      </c>
      <c r="H2990" s="27">
        <f>IFERROR(G2990*E2975,"")</f>
        <v>0</v>
      </c>
    </row>
    <row r="2991" spans="1:8">
      <c r="A2991" s="28"/>
      <c r="B2991" s="29" t="s">
        <v>3713</v>
      </c>
      <c r="C2991" s="30" t="str">
        <f>IFERROR(_xlfn.XLOOKUP(B2991,MObra[DESCRIPCION],MObra[UN],,0),"")</f>
        <v>día</v>
      </c>
      <c r="D2991" s="31">
        <v>1</v>
      </c>
      <c r="E2991" s="32">
        <f>IFERROR(_xlfn.XLOOKUP($B2991,MObra[DESCRIPCION],MObra[VALOR UNIT],,0),"")</f>
        <v>663713.80744500016</v>
      </c>
      <c r="F2991" s="33">
        <v>-3.6</v>
      </c>
      <c r="G2991" s="34">
        <f>IFERROR(IF(F2991&gt;=0,D2991*E2991*(1+F2991/100),ABS(D2991*E2991/F2991)),"")</f>
        <v>184364.94651250003</v>
      </c>
      <c r="H2991" s="43">
        <f>IFERROR(G2991*E2975,"")</f>
        <v>0</v>
      </c>
    </row>
    <row r="2992" spans="1:8">
      <c r="A2992" s="28"/>
      <c r="B2992" s="29"/>
      <c r="C2992" s="30" t="str">
        <f>IFERROR(_xlfn.XLOOKUP(B2992,MObra[DESCRIPCION],MObra[UN],,0),"")</f>
        <v/>
      </c>
      <c r="D2992" s="31"/>
      <c r="E2992" s="32" t="str">
        <f>IFERROR(_xlfn.XLOOKUP($B2992,MObra[DESCRIPCION],MObra[VALOR UNIT],,0),"")</f>
        <v/>
      </c>
      <c r="F2992" s="33"/>
      <c r="G2992" s="34" t="str">
        <f>IFERROR(IF(F2992&gt;=0,D2992*E2992*(1+F2992/100),ABS(D2992*E2992/F2992)),"")</f>
        <v/>
      </c>
      <c r="H2992" s="43" t="str">
        <f>IFERROR(G2992*E2975,"")</f>
        <v/>
      </c>
    </row>
    <row r="2993" spans="1:11" ht="13.15" thickBot="1">
      <c r="A2993" s="35"/>
      <c r="B2993" s="36"/>
      <c r="C2993" s="37" t="str">
        <f>IFERROR(_xlfn.XLOOKUP(B2993,MObra[DESCRIPCION],MObra[UN],,0),"")</f>
        <v/>
      </c>
      <c r="D2993" s="38"/>
      <c r="E2993" s="39" t="str">
        <f>IFERROR(_xlfn.XLOOKUP($B2993,MObra[DESCRIPCION],MObra[VALOR UNIT],,0),"")</f>
        <v/>
      </c>
      <c r="F2993" s="40"/>
      <c r="G2993" s="41" t="str">
        <f>IFERROR(IF(F2993&gt;=0,D2993*E2993*(1+F2993/100),ABS(D2993*E2993/F2993)),"")</f>
        <v/>
      </c>
      <c r="H2993" s="42" t="str">
        <f>IFERROR(G2993*E2975,"")</f>
        <v/>
      </c>
    </row>
    <row r="2994" spans="1:11" ht="13.5" thickTop="1" thickBot="1"/>
    <row r="2995" spans="1:11" ht="13.5" thickTop="1" thickBot="1">
      <c r="A2995" s="6" t="s">
        <v>2024</v>
      </c>
      <c r="B2995" s="7" t="str">
        <f>VLOOKUP($A2995,Presupuesto!$A:$D,2,FALSE())</f>
        <v>Muro concreto reforzado 27.6 Mpa espesor &lt;=0.25m</v>
      </c>
      <c r="C2995" s="8" t="str">
        <f>VLOOKUP($A2995,Presupuesto!$A:$D,3,FALSE())</f>
        <v>M3</v>
      </c>
      <c r="D2995" s="9"/>
      <c r="E2995" s="10">
        <f>VLOOKUP($A2995,Presupuesto!$A:$D,4,FALSE())</f>
        <v>0</v>
      </c>
      <c r="F2995" s="11" t="s">
        <v>2589</v>
      </c>
      <c r="G2995" s="12">
        <f>SUM(G2997:G3013)/2</f>
        <v>1192678.3542316172</v>
      </c>
      <c r="H2995" s="13">
        <f>ROUND(SUM(H2997:H3013),0)/2</f>
        <v>0</v>
      </c>
      <c r="I2995" s="10">
        <f>VLOOKUP(A2995,Presupuesto!$A:$F,6,0)</f>
        <v>0</v>
      </c>
      <c r="J2995" s="10">
        <f>+H2995-I2995</f>
        <v>0</v>
      </c>
      <c r="K2995" s="46">
        <f>+H2995-G2995*E2995</f>
        <v>0</v>
      </c>
    </row>
    <row r="2996" spans="1:11" ht="13.15" thickTop="1">
      <c r="A2996" s="14"/>
      <c r="B2996" s="15" t="s">
        <v>2586</v>
      </c>
      <c r="C2996" s="15" t="s">
        <v>5</v>
      </c>
      <c r="D2996" s="16" t="s">
        <v>6</v>
      </c>
      <c r="E2996" s="17" t="s">
        <v>7</v>
      </c>
      <c r="F2996" s="18" t="s">
        <v>3728</v>
      </c>
      <c r="G2996" s="19" t="s">
        <v>3729</v>
      </c>
      <c r="H2996" s="20" t="s">
        <v>3797</v>
      </c>
    </row>
    <row r="2997" spans="1:11">
      <c r="A2997" s="21"/>
      <c r="B2997" s="22" t="s">
        <v>3730</v>
      </c>
      <c r="C2997" s="23"/>
      <c r="D2997" s="24"/>
      <c r="E2997" s="25"/>
      <c r="F2997" s="26"/>
      <c r="G2997" s="27">
        <f>SUM(G2998:G3002)</f>
        <v>960248.33857066405</v>
      </c>
      <c r="H2997" s="27">
        <f>IFERROR(G2997*E2995,"")</f>
        <v>0</v>
      </c>
    </row>
    <row r="2998" spans="1:11">
      <c r="A2998" s="28"/>
      <c r="B2998" s="29" t="s">
        <v>3241</v>
      </c>
      <c r="C2998" s="30" t="str">
        <f>IFERROR(_xlfn.XLOOKUP(B2998,Insumo[DESCRIPCION],Insumo[UND],,0),"")</f>
        <v>M3</v>
      </c>
      <c r="D2998" s="31">
        <v>1</v>
      </c>
      <c r="E2998" s="32">
        <f>IFERROR(_xlfn.XLOOKUP($B2998,Insumo[DESCRIPCION],Insumo[VALOR],,0),"")</f>
        <v>568453.66874585627</v>
      </c>
      <c r="F2998" s="33">
        <v>5</v>
      </c>
      <c r="G2998" s="34">
        <f>IFERROR(IF(F2998&gt;=0,D2998*E2998*(1+F2998/100),ABS(D2998*E2998/F2998)),"")</f>
        <v>596876.35218314908</v>
      </c>
      <c r="H2998" s="43">
        <f>IFERROR(G2998*E2995,"")</f>
        <v>0</v>
      </c>
    </row>
    <row r="2999" spans="1:11">
      <c r="A2999" s="28"/>
      <c r="B2999" s="29" t="s">
        <v>2957</v>
      </c>
      <c r="C2999" s="30" t="str">
        <f>IFERROR(_xlfn.XLOOKUP(B2999,Insumo[DESCRIPCION],Insumo[UND],,0),"")</f>
        <v>M2</v>
      </c>
      <c r="D2999" s="31">
        <v>6</v>
      </c>
      <c r="E2999" s="32">
        <f>IFERROR(_xlfn.XLOOKUP($B2999,Insumo[DESCRIPCION],Insumo[VALOR],,0),"")</f>
        <v>149544.7581937575</v>
      </c>
      <c r="F2999" s="33">
        <v>-3</v>
      </c>
      <c r="G2999" s="34">
        <f>IFERROR(IF(F2999&gt;=0,D2999*E2999*(1+F2999/100),ABS(D2999*E2999/F2999)),"")</f>
        <v>299089.516387515</v>
      </c>
      <c r="H2999" s="43">
        <f>IFERROR(G2999*E2995,"")</f>
        <v>0</v>
      </c>
    </row>
    <row r="3000" spans="1:11">
      <c r="A3000" s="28"/>
      <c r="B3000" s="29" t="s">
        <v>2699</v>
      </c>
      <c r="C3000" s="30" t="str">
        <f>IFERROR(_xlfn.XLOOKUP(B3000,Insumo[DESCRIPCION],Insumo[UND],,0),"")</f>
        <v>Kg</v>
      </c>
      <c r="D3000" s="31">
        <v>8</v>
      </c>
      <c r="E3000" s="32">
        <f>IFERROR(_xlfn.XLOOKUP($B3000,Insumo[DESCRIPCION],Insumo[VALOR],,0),"")</f>
        <v>7665</v>
      </c>
      <c r="F3000" s="33"/>
      <c r="G3000" s="34">
        <f>IFERROR(IF(F3000&gt;=0,D3000*E3000*(1+F3000/100),ABS(D3000*E3000/F3000)),"")</f>
        <v>61320</v>
      </c>
      <c r="H3000" s="43">
        <f>IFERROR(G3000*E2995,"")</f>
        <v>0</v>
      </c>
    </row>
    <row r="3001" spans="1:11">
      <c r="A3001" s="28"/>
      <c r="B3001" s="29" t="s">
        <v>2709</v>
      </c>
      <c r="C3001" s="30" t="str">
        <f>IFERROR(_xlfn.XLOOKUP(B3001,Insumo[DESCRIPCION],Insumo[UND],,0),"")</f>
        <v>Kg</v>
      </c>
      <c r="D3001" s="31">
        <v>0.2</v>
      </c>
      <c r="E3001" s="32">
        <f>IFERROR(_xlfn.XLOOKUP($B3001,Insumo[DESCRIPCION],Insumo[VALOR],,0),"")</f>
        <v>14812.35</v>
      </c>
      <c r="F3001" s="33"/>
      <c r="G3001" s="34">
        <f>IFERROR(IF(F3001&gt;=0,D3001*E3001*(1+F3001/100),ABS(D3001*E3001/F3001)),"")</f>
        <v>2962.4700000000003</v>
      </c>
      <c r="H3001" s="43">
        <f>IFERROR(G3001*E2995,"")</f>
        <v>0</v>
      </c>
    </row>
    <row r="3002" spans="1:11">
      <c r="A3002" s="28"/>
      <c r="B3002" s="29"/>
      <c r="C3002" s="30" t="str">
        <f>IFERROR(_xlfn.XLOOKUP(B3002,Insumo[DESCRIPCION],Insumo[UND],,0),"")</f>
        <v/>
      </c>
      <c r="D3002" s="31"/>
      <c r="E3002" s="32" t="str">
        <f>IFERROR(_xlfn.XLOOKUP($B3002,Insumo[DESCRIPCION],Insumo[VALOR],,0),"")</f>
        <v/>
      </c>
      <c r="F3002" s="33"/>
      <c r="G3002" s="34" t="str">
        <f>IFERROR(IF(F3002&gt;=0,D3002*E3002*(1+F3002/100),ABS(D3002*E3002/F3002)),"")</f>
        <v/>
      </c>
      <c r="H3002" s="43" t="str">
        <f>IFERROR(G3002*E2995,"")</f>
        <v/>
      </c>
    </row>
    <row r="3003" spans="1:11">
      <c r="A3003" s="21"/>
      <c r="B3003" s="22" t="s">
        <v>3731</v>
      </c>
      <c r="C3003" s="23"/>
      <c r="D3003" s="24"/>
      <c r="E3003" s="25"/>
      <c r="F3003" s="26"/>
      <c r="G3003" s="27">
        <f>SUM(G3004:G3006)</f>
        <v>25019.450834390627</v>
      </c>
      <c r="H3003" s="27">
        <f>IFERROR(G3003*E2995,"")</f>
        <v>0</v>
      </c>
    </row>
    <row r="3004" spans="1:11">
      <c r="A3004" s="28"/>
      <c r="B3004" s="29" t="s">
        <v>3652</v>
      </c>
      <c r="C3004" s="30" t="str">
        <f>IFERROR(_xlfn.XLOOKUP(B3004,Equipo[DESCRIPCION],Equipo[UND],,0),"")</f>
        <v>Día</v>
      </c>
      <c r="D3004" s="31">
        <v>1</v>
      </c>
      <c r="E3004" s="32">
        <f>IF(C3004="%MO",G3010,IFERROR(_xlfn.XLOOKUP($B3004,Equipo[DESCRIPCION],Equipo[VALOR],,0),""))</f>
        <v>635.25</v>
      </c>
      <c r="F3004" s="33">
        <v>-0.1</v>
      </c>
      <c r="G3004" s="34">
        <f>IFERROR(IF(F3004&gt;=0,D3004*E3004*(1+F3004/100),ABS(D3004*E3004/F3004)),"")</f>
        <v>6352.5</v>
      </c>
      <c r="H3004" s="43">
        <f>IFERROR(G3004*E2995,"")</f>
        <v>0</v>
      </c>
    </row>
    <row r="3005" spans="1:11">
      <c r="A3005" s="28"/>
      <c r="B3005" s="29" t="s">
        <v>3570</v>
      </c>
      <c r="C3005" s="30" t="str">
        <f>IFERROR(_xlfn.XLOOKUP(B3005,Equipo[DESCRIPCION],Equipo[UND],,0),"")</f>
        <v>%MO</v>
      </c>
      <c r="D3005" s="31">
        <v>0.04</v>
      </c>
      <c r="E3005" s="32">
        <f>IF(C3005="%MO",G3010,IFERROR(_xlfn.XLOOKUP($B3005,Equipo[DESCRIPCION],Equipo[VALOR],,0),""))</f>
        <v>207410.56482656254</v>
      </c>
      <c r="F3005" s="33"/>
      <c r="G3005" s="34">
        <f>IFERROR(IF(F3005&gt;=0,D3005*E3005*(1+F3005/100),ABS(D3005*E3005/F3005)),"")</f>
        <v>8296.4225930625016</v>
      </c>
      <c r="H3005" s="43">
        <f>IFERROR(G3005*E2995,"")</f>
        <v>0</v>
      </c>
    </row>
    <row r="3006" spans="1:11">
      <c r="A3006" s="28"/>
      <c r="B3006" s="29" t="s">
        <v>3626</v>
      </c>
      <c r="C3006" s="30" t="str">
        <f>IFERROR(_xlfn.XLOOKUP(B3006,Equipo[DESCRIPCION],Equipo[UND],,0),"")</f>
        <v>%MO</v>
      </c>
      <c r="D3006" s="31">
        <v>0.05</v>
      </c>
      <c r="E3006" s="32">
        <f>IF(C3006="%MO",G3010,IFERROR(_xlfn.XLOOKUP($B3006,Equipo[DESCRIPCION],Equipo[VALOR],,0),""))</f>
        <v>207410.56482656254</v>
      </c>
      <c r="F3006" s="33"/>
      <c r="G3006" s="34">
        <f>IFERROR(IF(F3006&gt;=0,D3006*E3006*(1+F3006/100),ABS(D3006*E3006/F3006)),"")</f>
        <v>10370.528241328127</v>
      </c>
      <c r="H3006" s="43">
        <f>IFERROR(G3006*E2995,"")</f>
        <v>0</v>
      </c>
    </row>
    <row r="3007" spans="1:11">
      <c r="A3007" s="21"/>
      <c r="B3007" s="22" t="s">
        <v>2533</v>
      </c>
      <c r="C3007" s="23"/>
      <c r="D3007" s="24"/>
      <c r="E3007" s="25"/>
      <c r="F3007" s="26"/>
      <c r="G3007" s="27">
        <f>SUM(G3008:G3009)</f>
        <v>0</v>
      </c>
      <c r="H3007" s="27">
        <f>IFERROR(G3007*E2995,"")</f>
        <v>0</v>
      </c>
    </row>
    <row r="3008" spans="1:11">
      <c r="A3008" s="28"/>
      <c r="B3008" s="29"/>
      <c r="C3008" s="30" t="str">
        <f>IFERROR(_xlfn.XLOOKUP(B3008,Transporte[DESCRIPCION],Transporte[UND],,0),"")</f>
        <v/>
      </c>
      <c r="D3008" s="31"/>
      <c r="E3008" s="32" t="str">
        <f>IFERROR(_xlfn.XLOOKUP($B3008,Transporte[DESCRIPCION],Transporte[VALOR],,0),"")</f>
        <v/>
      </c>
      <c r="F3008" s="33"/>
      <c r="G3008" s="34" t="str">
        <f>IFERROR(IF(F3008&gt;=0,D3008*E3008*(1+F3008/100),ABS(D3008*E3008/F3008)),"")</f>
        <v/>
      </c>
      <c r="H3008" s="43" t="str">
        <f>IFERROR(G3008*E2995,"")</f>
        <v/>
      </c>
    </row>
    <row r="3009" spans="1:11">
      <c r="A3009" s="28"/>
      <c r="B3009" s="29"/>
      <c r="C3009" s="30" t="str">
        <f>IFERROR(_xlfn.XLOOKUP(B3009,Transporte[DESCRIPCION],Transporte[UND],,0),"")</f>
        <v/>
      </c>
      <c r="D3009" s="31"/>
      <c r="E3009" s="32" t="str">
        <f>IFERROR(_xlfn.XLOOKUP($B3009,Transporte[DESCRIPCION],Transporte[VALOR],,0),"")</f>
        <v/>
      </c>
      <c r="F3009" s="33"/>
      <c r="G3009" s="34" t="str">
        <f>IFERROR(IF(F3009&gt;=0,D3009*E3009*(1+F3009/100),ABS(D3009*E3009/F3009)),"")</f>
        <v/>
      </c>
      <c r="H3009" s="43" t="str">
        <f>IFERROR(G3009*E2995,"")</f>
        <v/>
      </c>
    </row>
    <row r="3010" spans="1:11">
      <c r="A3010" s="21"/>
      <c r="B3010" s="22" t="s">
        <v>3732</v>
      </c>
      <c r="C3010" s="23"/>
      <c r="D3010" s="24"/>
      <c r="E3010" s="25"/>
      <c r="F3010" s="26"/>
      <c r="G3010" s="27">
        <f>SUM(G3011:G3013)</f>
        <v>207410.56482656254</v>
      </c>
      <c r="H3010" s="27">
        <f>IFERROR(G3010*E2995,"")</f>
        <v>0</v>
      </c>
    </row>
    <row r="3011" spans="1:11">
      <c r="A3011" s="28"/>
      <c r="B3011" s="29" t="s">
        <v>3713</v>
      </c>
      <c r="C3011" s="30" t="str">
        <f>IFERROR(_xlfn.XLOOKUP(B3011,MObra[DESCRIPCION],MObra[UN],,0),"")</f>
        <v>día</v>
      </c>
      <c r="D3011" s="31">
        <v>1</v>
      </c>
      <c r="E3011" s="32">
        <f>IFERROR(_xlfn.XLOOKUP($B3011,MObra[DESCRIPCION],MObra[VALOR UNIT],,0),"")</f>
        <v>663713.80744500016</v>
      </c>
      <c r="F3011" s="33">
        <v>-3.2</v>
      </c>
      <c r="G3011" s="34">
        <f>IFERROR(IF(F3011&gt;=0,D3011*E3011*(1+F3011/100),ABS(D3011*E3011/F3011)),"")</f>
        <v>207410.56482656254</v>
      </c>
      <c r="H3011" s="43">
        <f>IFERROR(G3011*E2995,"")</f>
        <v>0</v>
      </c>
    </row>
    <row r="3012" spans="1:11">
      <c r="A3012" s="28"/>
      <c r="B3012" s="29"/>
      <c r="C3012" s="30" t="str">
        <f>IFERROR(_xlfn.XLOOKUP(B3012,MObra[DESCRIPCION],MObra[UN],,0),"")</f>
        <v/>
      </c>
      <c r="D3012" s="31"/>
      <c r="E3012" s="32" t="str">
        <f>IFERROR(_xlfn.XLOOKUP($B3012,MObra[DESCRIPCION],MObra[VALOR UNIT],,0),"")</f>
        <v/>
      </c>
      <c r="F3012" s="33"/>
      <c r="G3012" s="34" t="str">
        <f>IFERROR(IF(F3012&gt;=0,D3012*E3012*(1+F3012/100),ABS(D3012*E3012/F3012)),"")</f>
        <v/>
      </c>
      <c r="H3012" s="43" t="str">
        <f>IFERROR(G3012*E2995,"")</f>
        <v/>
      </c>
    </row>
    <row r="3013" spans="1:11" ht="13.15" thickBot="1">
      <c r="A3013" s="35"/>
      <c r="B3013" s="36"/>
      <c r="C3013" s="37" t="str">
        <f>IFERROR(_xlfn.XLOOKUP(B3013,MObra[DESCRIPCION],MObra[UN],,0),"")</f>
        <v/>
      </c>
      <c r="D3013" s="38"/>
      <c r="E3013" s="39" t="str">
        <f>IFERROR(_xlfn.XLOOKUP($B3013,MObra[DESCRIPCION],MObra[VALOR UNIT],,0),"")</f>
        <v/>
      </c>
      <c r="F3013" s="40"/>
      <c r="G3013" s="41" t="str">
        <f>IFERROR(IF(F3013&gt;=0,D3013*E3013*(1+F3013/100),ABS(D3013*E3013/F3013)),"")</f>
        <v/>
      </c>
      <c r="H3013" s="42" t="str">
        <f>IFERROR(G3013*E2995,"")</f>
        <v/>
      </c>
    </row>
    <row r="3014" spans="1:11" ht="13.5" thickTop="1" thickBot="1"/>
    <row r="3015" spans="1:11" ht="13.5" thickTop="1" thickBot="1">
      <c r="A3015" s="6" t="s">
        <v>2026</v>
      </c>
      <c r="B3015" s="7" t="str">
        <f>VLOOKUP($A3015,Presupuesto!$A:$D,2,FALSE())</f>
        <v>Muro concreto reforzado 27.6 Mpa espesor &gt;0.25m</v>
      </c>
      <c r="C3015" s="8" t="str">
        <f>VLOOKUP($A3015,Presupuesto!$A:$D,3,FALSE())</f>
        <v>M3</v>
      </c>
      <c r="D3015" s="9"/>
      <c r="E3015" s="10">
        <f>VLOOKUP($A3015,Presupuesto!$A:$D,4,FALSE())</f>
        <v>0</v>
      </c>
      <c r="F3015" s="11" t="s">
        <v>2589</v>
      </c>
      <c r="G3015" s="12">
        <f>SUM(G3017:G3033)/2</f>
        <v>1192678.3542316172</v>
      </c>
      <c r="H3015" s="13">
        <f>ROUND(SUM(H3017:H3033),0)/2</f>
        <v>0</v>
      </c>
      <c r="I3015" s="10">
        <f>VLOOKUP(A3015,Presupuesto!$A:$F,6,0)</f>
        <v>0</v>
      </c>
      <c r="J3015" s="10">
        <f>+H3015-I3015</f>
        <v>0</v>
      </c>
      <c r="K3015" s="46">
        <f>+H3015-G3015*E3015</f>
        <v>0</v>
      </c>
    </row>
    <row r="3016" spans="1:11" ht="13.15" thickTop="1">
      <c r="A3016" s="14"/>
      <c r="B3016" s="15" t="s">
        <v>2586</v>
      </c>
      <c r="C3016" s="15" t="s">
        <v>5</v>
      </c>
      <c r="D3016" s="16" t="s">
        <v>6</v>
      </c>
      <c r="E3016" s="17" t="s">
        <v>7</v>
      </c>
      <c r="F3016" s="18" t="s">
        <v>3728</v>
      </c>
      <c r="G3016" s="19" t="s">
        <v>3729</v>
      </c>
      <c r="H3016" s="20" t="s">
        <v>3797</v>
      </c>
    </row>
    <row r="3017" spans="1:11">
      <c r="A3017" s="21"/>
      <c r="B3017" s="22" t="s">
        <v>3730</v>
      </c>
      <c r="C3017" s="23"/>
      <c r="D3017" s="24"/>
      <c r="E3017" s="25"/>
      <c r="F3017" s="26"/>
      <c r="G3017" s="27">
        <f>SUM(G3018:G3022)</f>
        <v>960248.33857066405</v>
      </c>
      <c r="H3017" s="27">
        <f>IFERROR(G3017*E3015,"")</f>
        <v>0</v>
      </c>
    </row>
    <row r="3018" spans="1:11">
      <c r="A3018" s="28"/>
      <c r="B3018" s="29" t="s">
        <v>3241</v>
      </c>
      <c r="C3018" s="30" t="str">
        <f>IFERROR(_xlfn.XLOOKUP(B3018,Insumo[DESCRIPCION],Insumo[UND],,0),"")</f>
        <v>M3</v>
      </c>
      <c r="D3018" s="31">
        <v>1</v>
      </c>
      <c r="E3018" s="32">
        <f>IFERROR(_xlfn.XLOOKUP($B3018,Insumo[DESCRIPCION],Insumo[VALOR],,0),"")</f>
        <v>568453.66874585627</v>
      </c>
      <c r="F3018" s="33">
        <v>5</v>
      </c>
      <c r="G3018" s="34">
        <f>IFERROR(IF(F3018&gt;=0,D3018*E3018*(1+F3018/100),ABS(D3018*E3018/F3018)),"")</f>
        <v>596876.35218314908</v>
      </c>
      <c r="H3018" s="43">
        <f>IFERROR(G3018*E3015,"")</f>
        <v>0</v>
      </c>
    </row>
    <row r="3019" spans="1:11">
      <c r="A3019" s="28"/>
      <c r="B3019" s="29" t="s">
        <v>2957</v>
      </c>
      <c r="C3019" s="30" t="str">
        <f>IFERROR(_xlfn.XLOOKUP(B3019,Insumo[DESCRIPCION],Insumo[UND],,0),"")</f>
        <v>M2</v>
      </c>
      <c r="D3019" s="31">
        <v>6</v>
      </c>
      <c r="E3019" s="32">
        <f>IFERROR(_xlfn.XLOOKUP($B3019,Insumo[DESCRIPCION],Insumo[VALOR],,0),"")</f>
        <v>149544.7581937575</v>
      </c>
      <c r="F3019" s="33">
        <v>-3</v>
      </c>
      <c r="G3019" s="34">
        <f>IFERROR(IF(F3019&gt;=0,D3019*E3019*(1+F3019/100),ABS(D3019*E3019/F3019)),"")</f>
        <v>299089.516387515</v>
      </c>
      <c r="H3019" s="43">
        <f>IFERROR(G3019*E3015,"")</f>
        <v>0</v>
      </c>
    </row>
    <row r="3020" spans="1:11">
      <c r="A3020" s="28"/>
      <c r="B3020" s="29" t="s">
        <v>2699</v>
      </c>
      <c r="C3020" s="30" t="str">
        <f>IFERROR(_xlfn.XLOOKUP(B3020,Insumo[DESCRIPCION],Insumo[UND],,0),"")</f>
        <v>Kg</v>
      </c>
      <c r="D3020" s="31">
        <v>8</v>
      </c>
      <c r="E3020" s="32">
        <f>IFERROR(_xlfn.XLOOKUP($B3020,Insumo[DESCRIPCION],Insumo[VALOR],,0),"")</f>
        <v>7665</v>
      </c>
      <c r="F3020" s="33"/>
      <c r="G3020" s="34">
        <f>IFERROR(IF(F3020&gt;=0,D3020*E3020*(1+F3020/100),ABS(D3020*E3020/F3020)),"")</f>
        <v>61320</v>
      </c>
      <c r="H3020" s="43">
        <f>IFERROR(G3020*E3015,"")</f>
        <v>0</v>
      </c>
    </row>
    <row r="3021" spans="1:11">
      <c r="A3021" s="28"/>
      <c r="B3021" s="29" t="s">
        <v>2709</v>
      </c>
      <c r="C3021" s="30" t="str">
        <f>IFERROR(_xlfn.XLOOKUP(B3021,Insumo[DESCRIPCION],Insumo[UND],,0),"")</f>
        <v>Kg</v>
      </c>
      <c r="D3021" s="31">
        <v>0.2</v>
      </c>
      <c r="E3021" s="32">
        <f>IFERROR(_xlfn.XLOOKUP($B3021,Insumo[DESCRIPCION],Insumo[VALOR],,0),"")</f>
        <v>14812.35</v>
      </c>
      <c r="F3021" s="33"/>
      <c r="G3021" s="34">
        <f>IFERROR(IF(F3021&gt;=0,D3021*E3021*(1+F3021/100),ABS(D3021*E3021/F3021)),"")</f>
        <v>2962.4700000000003</v>
      </c>
      <c r="H3021" s="43">
        <f>IFERROR(G3021*E3015,"")</f>
        <v>0</v>
      </c>
    </row>
    <row r="3022" spans="1:11">
      <c r="A3022" s="28"/>
      <c r="B3022" s="29"/>
      <c r="C3022" s="30" t="str">
        <f>IFERROR(_xlfn.XLOOKUP(B3022,Insumo[DESCRIPCION],Insumo[UND],,0),"")</f>
        <v/>
      </c>
      <c r="D3022" s="31"/>
      <c r="E3022" s="32" t="str">
        <f>IFERROR(_xlfn.XLOOKUP($B3022,Insumo[DESCRIPCION],Insumo[VALOR],,0),"")</f>
        <v/>
      </c>
      <c r="F3022" s="33"/>
      <c r="G3022" s="34" t="str">
        <f>IFERROR(IF(F3022&gt;=0,D3022*E3022*(1+F3022/100),ABS(D3022*E3022/F3022)),"")</f>
        <v/>
      </c>
      <c r="H3022" s="43" t="str">
        <f>IFERROR(G3022*E3015,"")</f>
        <v/>
      </c>
    </row>
    <row r="3023" spans="1:11">
      <c r="A3023" s="21"/>
      <c r="B3023" s="22" t="s">
        <v>3731</v>
      </c>
      <c r="C3023" s="23"/>
      <c r="D3023" s="24"/>
      <c r="E3023" s="25"/>
      <c r="F3023" s="26"/>
      <c r="G3023" s="27">
        <f>SUM(G3024:G3026)</f>
        <v>25019.450834390627</v>
      </c>
      <c r="H3023" s="27">
        <f>IFERROR(G3023*E3015,"")</f>
        <v>0</v>
      </c>
    </row>
    <row r="3024" spans="1:11">
      <c r="A3024" s="28"/>
      <c r="B3024" s="29" t="s">
        <v>3652</v>
      </c>
      <c r="C3024" s="30" t="str">
        <f>IFERROR(_xlfn.XLOOKUP(B3024,Equipo[DESCRIPCION],Equipo[UND],,0),"")</f>
        <v>Día</v>
      </c>
      <c r="D3024" s="31">
        <v>1</v>
      </c>
      <c r="E3024" s="32">
        <f>IF(C3024="%MO",G3030,IFERROR(_xlfn.XLOOKUP($B3024,Equipo[DESCRIPCION],Equipo[VALOR],,0),""))</f>
        <v>635.25</v>
      </c>
      <c r="F3024" s="33">
        <v>-0.1</v>
      </c>
      <c r="G3024" s="34">
        <f>IFERROR(IF(F3024&gt;=0,D3024*E3024*(1+F3024/100),ABS(D3024*E3024/F3024)),"")</f>
        <v>6352.5</v>
      </c>
      <c r="H3024" s="43">
        <f>IFERROR(G3024*E3015,"")</f>
        <v>0</v>
      </c>
    </row>
    <row r="3025" spans="1:11">
      <c r="A3025" s="28"/>
      <c r="B3025" s="29" t="s">
        <v>3570</v>
      </c>
      <c r="C3025" s="30" t="str">
        <f>IFERROR(_xlfn.XLOOKUP(B3025,Equipo[DESCRIPCION],Equipo[UND],,0),"")</f>
        <v>%MO</v>
      </c>
      <c r="D3025" s="31">
        <v>0.04</v>
      </c>
      <c r="E3025" s="32">
        <f>IF(C3025="%MO",G3030,IFERROR(_xlfn.XLOOKUP($B3025,Equipo[DESCRIPCION],Equipo[VALOR],,0),""))</f>
        <v>207410.56482656254</v>
      </c>
      <c r="F3025" s="33"/>
      <c r="G3025" s="34">
        <f>IFERROR(IF(F3025&gt;=0,D3025*E3025*(1+F3025/100),ABS(D3025*E3025/F3025)),"")</f>
        <v>8296.4225930625016</v>
      </c>
      <c r="H3025" s="43">
        <f>IFERROR(G3025*E3015,"")</f>
        <v>0</v>
      </c>
    </row>
    <row r="3026" spans="1:11">
      <c r="A3026" s="28"/>
      <c r="B3026" s="29" t="s">
        <v>3626</v>
      </c>
      <c r="C3026" s="30" t="str">
        <f>IFERROR(_xlfn.XLOOKUP(B3026,Equipo[DESCRIPCION],Equipo[UND],,0),"")</f>
        <v>%MO</v>
      </c>
      <c r="D3026" s="31">
        <v>0.05</v>
      </c>
      <c r="E3026" s="32">
        <f>IF(C3026="%MO",G3030,IFERROR(_xlfn.XLOOKUP($B3026,Equipo[DESCRIPCION],Equipo[VALOR],,0),""))</f>
        <v>207410.56482656254</v>
      </c>
      <c r="F3026" s="33"/>
      <c r="G3026" s="34">
        <f>IFERROR(IF(F3026&gt;=0,D3026*E3026*(1+F3026/100),ABS(D3026*E3026/F3026)),"")</f>
        <v>10370.528241328127</v>
      </c>
      <c r="H3026" s="43">
        <f>IFERROR(G3026*E3015,"")</f>
        <v>0</v>
      </c>
    </row>
    <row r="3027" spans="1:11">
      <c r="A3027" s="21"/>
      <c r="B3027" s="22" t="s">
        <v>2533</v>
      </c>
      <c r="C3027" s="23"/>
      <c r="D3027" s="24"/>
      <c r="E3027" s="25"/>
      <c r="F3027" s="26"/>
      <c r="G3027" s="27">
        <f>SUM(G3028:G3029)</f>
        <v>0</v>
      </c>
      <c r="H3027" s="27">
        <f>IFERROR(G3027*E3015,"")</f>
        <v>0</v>
      </c>
    </row>
    <row r="3028" spans="1:11">
      <c r="A3028" s="28"/>
      <c r="B3028" s="29"/>
      <c r="C3028" s="30" t="str">
        <f>IFERROR(_xlfn.XLOOKUP(B3028,Transporte[DESCRIPCION],Transporte[UND],,0),"")</f>
        <v/>
      </c>
      <c r="D3028" s="31"/>
      <c r="E3028" s="32" t="str">
        <f>IFERROR(_xlfn.XLOOKUP($B3028,Transporte[DESCRIPCION],Transporte[VALOR],,0),"")</f>
        <v/>
      </c>
      <c r="F3028" s="33"/>
      <c r="G3028" s="34" t="str">
        <f>IFERROR(IF(F3028&gt;=0,D3028*E3028*(1+F3028/100),ABS(D3028*E3028/F3028)),"")</f>
        <v/>
      </c>
      <c r="H3028" s="43" t="str">
        <f>IFERROR(G3028*E3015,"")</f>
        <v/>
      </c>
    </row>
    <row r="3029" spans="1:11">
      <c r="A3029" s="28"/>
      <c r="B3029" s="29"/>
      <c r="C3029" s="30" t="str">
        <f>IFERROR(_xlfn.XLOOKUP(B3029,Transporte[DESCRIPCION],Transporte[UND],,0),"")</f>
        <v/>
      </c>
      <c r="D3029" s="31"/>
      <c r="E3029" s="32" t="str">
        <f>IFERROR(_xlfn.XLOOKUP($B3029,Transporte[DESCRIPCION],Transporte[VALOR],,0),"")</f>
        <v/>
      </c>
      <c r="F3029" s="33"/>
      <c r="G3029" s="34" t="str">
        <f>IFERROR(IF(F3029&gt;=0,D3029*E3029*(1+F3029/100),ABS(D3029*E3029/F3029)),"")</f>
        <v/>
      </c>
      <c r="H3029" s="43" t="str">
        <f>IFERROR(G3029*E3015,"")</f>
        <v/>
      </c>
    </row>
    <row r="3030" spans="1:11">
      <c r="A3030" s="21"/>
      <c r="B3030" s="22" t="s">
        <v>3732</v>
      </c>
      <c r="C3030" s="23"/>
      <c r="D3030" s="24"/>
      <c r="E3030" s="25"/>
      <c r="F3030" s="26"/>
      <c r="G3030" s="27">
        <f>SUM(G3031:G3033)</f>
        <v>207410.56482656254</v>
      </c>
      <c r="H3030" s="27">
        <f>IFERROR(G3030*E3015,"")</f>
        <v>0</v>
      </c>
    </row>
    <row r="3031" spans="1:11">
      <c r="A3031" s="28"/>
      <c r="B3031" s="29" t="s">
        <v>3713</v>
      </c>
      <c r="C3031" s="30" t="str">
        <f>IFERROR(_xlfn.XLOOKUP(B3031,MObra[DESCRIPCION],MObra[UN],,0),"")</f>
        <v>día</v>
      </c>
      <c r="D3031" s="31">
        <v>1</v>
      </c>
      <c r="E3031" s="32">
        <f>IFERROR(_xlfn.XLOOKUP($B3031,MObra[DESCRIPCION],MObra[VALOR UNIT],,0),"")</f>
        <v>663713.80744500016</v>
      </c>
      <c r="F3031" s="33">
        <v>-3.2</v>
      </c>
      <c r="G3031" s="34">
        <f>IFERROR(IF(F3031&gt;=0,D3031*E3031*(1+F3031/100),ABS(D3031*E3031/F3031)),"")</f>
        <v>207410.56482656254</v>
      </c>
      <c r="H3031" s="43">
        <f>IFERROR(G3031*E3015,"")</f>
        <v>0</v>
      </c>
    </row>
    <row r="3032" spans="1:11">
      <c r="A3032" s="28"/>
      <c r="B3032" s="29"/>
      <c r="C3032" s="30" t="str">
        <f>IFERROR(_xlfn.XLOOKUP(B3032,MObra[DESCRIPCION],MObra[UN],,0),"")</f>
        <v/>
      </c>
      <c r="D3032" s="31"/>
      <c r="E3032" s="32" t="str">
        <f>IFERROR(_xlfn.XLOOKUP($B3032,MObra[DESCRIPCION],MObra[VALOR UNIT],,0),"")</f>
        <v/>
      </c>
      <c r="F3032" s="33"/>
      <c r="G3032" s="34" t="str">
        <f>IFERROR(IF(F3032&gt;=0,D3032*E3032*(1+F3032/100),ABS(D3032*E3032/F3032)),"")</f>
        <v/>
      </c>
      <c r="H3032" s="43" t="str">
        <f>IFERROR(G3032*E3015,"")</f>
        <v/>
      </c>
    </row>
    <row r="3033" spans="1:11" ht="13.15" thickBot="1">
      <c r="A3033" s="35"/>
      <c r="B3033" s="36"/>
      <c r="C3033" s="37" t="str">
        <f>IFERROR(_xlfn.XLOOKUP(B3033,MObra[DESCRIPCION],MObra[UN],,0),"")</f>
        <v/>
      </c>
      <c r="D3033" s="38"/>
      <c r="E3033" s="39" t="str">
        <f>IFERROR(_xlfn.XLOOKUP($B3033,MObra[DESCRIPCION],MObra[VALOR UNIT],,0),"")</f>
        <v/>
      </c>
      <c r="F3033" s="40"/>
      <c r="G3033" s="41" t="str">
        <f>IFERROR(IF(F3033&gt;=0,D3033*E3033*(1+F3033/100),ABS(D3033*E3033/F3033)),"")</f>
        <v/>
      </c>
      <c r="H3033" s="42" t="str">
        <f>IFERROR(G3033*E3015,"")</f>
        <v/>
      </c>
    </row>
    <row r="3034" spans="1:11" ht="13.5" thickTop="1" thickBot="1"/>
    <row r="3035" spans="1:11" ht="13.5" thickTop="1" thickBot="1">
      <c r="A3035" s="6" t="s">
        <v>2028</v>
      </c>
      <c r="B3035" s="7" t="str">
        <f>VLOOKUP($A3035,Presupuesto!$A:$D,2,FALSE())</f>
        <v>Placa maciza concreto 20.7 Mpa E&lt;=0.30m puente</v>
      </c>
      <c r="C3035" s="8" t="str">
        <f>VLOOKUP($A3035,Presupuesto!$A:$D,3,FALSE())</f>
        <v>M2</v>
      </c>
      <c r="D3035" s="9"/>
      <c r="E3035" s="10">
        <f>VLOOKUP($A3035,Presupuesto!$A:$D,4,FALSE())</f>
        <v>0</v>
      </c>
      <c r="F3035" s="11" t="s">
        <v>2589</v>
      </c>
      <c r="G3035" s="12">
        <f>SUM(G3037:G3054)/2</f>
        <v>1772872.6273909623</v>
      </c>
      <c r="H3035" s="13">
        <f>ROUND(SUM(H3037:H3054),0)/2</f>
        <v>0</v>
      </c>
      <c r="I3035" s="10">
        <f>VLOOKUP(A3035,Presupuesto!$A:$F,6,0)</f>
        <v>0</v>
      </c>
      <c r="J3035" s="10">
        <f>+H3035-I3035</f>
        <v>0</v>
      </c>
      <c r="K3035" s="46">
        <f>+H3035-G3035*E3035</f>
        <v>0</v>
      </c>
    </row>
    <row r="3036" spans="1:11" ht="13.15" thickTop="1">
      <c r="A3036" s="14"/>
      <c r="B3036" s="15" t="s">
        <v>2586</v>
      </c>
      <c r="C3036" s="15" t="s">
        <v>5</v>
      </c>
      <c r="D3036" s="16" t="s">
        <v>6</v>
      </c>
      <c r="E3036" s="17" t="s">
        <v>7</v>
      </c>
      <c r="F3036" s="18" t="s">
        <v>3728</v>
      </c>
      <c r="G3036" s="19" t="s">
        <v>3729</v>
      </c>
      <c r="H3036" s="20" t="s">
        <v>3797</v>
      </c>
    </row>
    <row r="3037" spans="1:11">
      <c r="A3037" s="21"/>
      <c r="B3037" s="22" t="s">
        <v>3730</v>
      </c>
      <c r="C3037" s="23"/>
      <c r="D3037" s="24"/>
      <c r="E3037" s="25"/>
      <c r="F3037" s="26"/>
      <c r="G3037" s="27">
        <f>SUM(G3038:G3042)</f>
        <v>1246328.4947852124</v>
      </c>
      <c r="H3037" s="27">
        <f>IFERROR(G3037*E3035,"")</f>
        <v>0</v>
      </c>
    </row>
    <row r="3038" spans="1:11">
      <c r="A3038" s="28"/>
      <c r="B3038" s="29" t="s">
        <v>2868</v>
      </c>
      <c r="C3038" s="30" t="str">
        <f>IFERROR(_xlfn.XLOOKUP(B3038,Insumo[DESCRIPCION],Insumo[UND],,0),"")</f>
        <v>M3</v>
      </c>
      <c r="D3038" s="31">
        <v>1</v>
      </c>
      <c r="E3038" s="32">
        <f>IFERROR(_xlfn.XLOOKUP($B3038,Insumo[DESCRIPCION],Insumo[VALOR],,0),"")</f>
        <v>718719.75</v>
      </c>
      <c r="F3038" s="33"/>
      <c r="G3038" s="34">
        <f>IFERROR(IF(F3038&gt;=0,D3038*E3038*(1+F3038/100),ABS(D3038*E3038/F3038)),"")</f>
        <v>718719.75</v>
      </c>
      <c r="H3038" s="43">
        <f>IFERROR(G3038*E3035,"")</f>
        <v>0</v>
      </c>
    </row>
    <row r="3039" spans="1:11">
      <c r="A3039" s="28"/>
      <c r="B3039" s="29" t="s">
        <v>2957</v>
      </c>
      <c r="C3039" s="30" t="str">
        <f>IFERROR(_xlfn.XLOOKUP(B3039,Insumo[DESCRIPCION],Insumo[UND],,0),"")</f>
        <v>M2</v>
      </c>
      <c r="D3039" s="31">
        <v>3.33</v>
      </c>
      <c r="E3039" s="32">
        <f>IFERROR(_xlfn.XLOOKUP($B3039,Insumo[DESCRIPCION],Insumo[VALOR],,0),"")</f>
        <v>149544.7581937575</v>
      </c>
      <c r="F3039" s="33"/>
      <c r="G3039" s="34">
        <f>IFERROR(IF(F3039&gt;=0,D3039*E3039*(1+F3039/100),ABS(D3039*E3039/F3039)),"")</f>
        <v>497984.04478521249</v>
      </c>
      <c r="H3039" s="43">
        <f>IFERROR(G3039*E3035,"")</f>
        <v>0</v>
      </c>
    </row>
    <row r="3040" spans="1:11">
      <c r="A3040" s="28"/>
      <c r="B3040" s="29" t="s">
        <v>2709</v>
      </c>
      <c r="C3040" s="30" t="str">
        <f>IFERROR(_xlfn.XLOOKUP(B3040,Insumo[DESCRIPCION],Insumo[UND],,0),"")</f>
        <v>Kg</v>
      </c>
      <c r="D3040" s="31">
        <v>2</v>
      </c>
      <c r="E3040" s="32">
        <f>IFERROR(_xlfn.XLOOKUP($B3040,Insumo[DESCRIPCION],Insumo[VALOR],,0),"")</f>
        <v>14812.35</v>
      </c>
      <c r="F3040" s="33"/>
      <c r="G3040" s="34">
        <f>IFERROR(IF(F3040&gt;=0,D3040*E3040*(1+F3040/100),ABS(D3040*E3040/F3040)),"")</f>
        <v>29624.7</v>
      </c>
      <c r="H3040" s="43">
        <f>IFERROR(G3040*E3035,"")</f>
        <v>0</v>
      </c>
    </row>
    <row r="3041" spans="1:11">
      <c r="A3041" s="28"/>
      <c r="B3041" s="29"/>
      <c r="C3041" s="30" t="str">
        <f>IFERROR(_xlfn.XLOOKUP(B3041,Insumo[DESCRIPCION],Insumo[UND],,0),"")</f>
        <v/>
      </c>
      <c r="D3041" s="31"/>
      <c r="E3041" s="32" t="str">
        <f>IFERROR(_xlfn.XLOOKUP($B3041,Insumo[DESCRIPCION],Insumo[VALOR],,0),"")</f>
        <v/>
      </c>
      <c r="F3041" s="33"/>
      <c r="G3041" s="34" t="str">
        <f>IFERROR(IF(F3041&gt;=0,D3041*E3041*(1+F3041/100),ABS(D3041*E3041/F3041)),"")</f>
        <v/>
      </c>
      <c r="H3041" s="43" t="str">
        <f>IFERROR(G3041*E3035,"")</f>
        <v/>
      </c>
    </row>
    <row r="3042" spans="1:11">
      <c r="A3042" s="28"/>
      <c r="B3042" s="29"/>
      <c r="C3042" s="30" t="str">
        <f>IFERROR(_xlfn.XLOOKUP(B3042,Insumo[DESCRIPCION],Insumo[UND],,0),"")</f>
        <v/>
      </c>
      <c r="D3042" s="31"/>
      <c r="E3042" s="32" t="str">
        <f>IFERROR(_xlfn.XLOOKUP($B3042,Insumo[DESCRIPCION],Insumo[VALOR],,0),"")</f>
        <v/>
      </c>
      <c r="F3042" s="33"/>
      <c r="G3042" s="34" t="str">
        <f>IFERROR(IF(F3042&gt;=0,D3042*E3042*(1+F3042/100),ABS(D3042*E3042/F3042)),"")</f>
        <v/>
      </c>
      <c r="H3042" s="43" t="str">
        <f>IFERROR(G3042*E3035,"")</f>
        <v/>
      </c>
    </row>
    <row r="3043" spans="1:11">
      <c r="A3043" s="21"/>
      <c r="B3043" s="22" t="s">
        <v>3731</v>
      </c>
      <c r="C3043" s="23"/>
      <c r="D3043" s="24"/>
      <c r="E3043" s="25"/>
      <c r="F3043" s="26"/>
      <c r="G3043" s="27">
        <f>SUM(G3044:G3047)</f>
        <v>305306.19679075002</v>
      </c>
      <c r="H3043" s="27">
        <f>IFERROR(G3043*E3035,"")</f>
        <v>0</v>
      </c>
    </row>
    <row r="3044" spans="1:11">
      <c r="A3044" s="28"/>
      <c r="B3044" s="29" t="s">
        <v>3580</v>
      </c>
      <c r="C3044" s="30" t="str">
        <f>IFERROR(_xlfn.XLOOKUP(B3044,Equipo[DESCRIPCION],Equipo[UND],,0),"")</f>
        <v>M3</v>
      </c>
      <c r="D3044" s="31">
        <v>1</v>
      </c>
      <c r="E3044" s="32">
        <f>IF(C3044="%MO",G3051,IFERROR(_xlfn.XLOOKUP($B3044,Equipo[DESCRIPCION],Equipo[VALOR],,0),""))</f>
        <v>82902.75</v>
      </c>
      <c r="F3044" s="33"/>
      <c r="G3044" s="34">
        <f>IFERROR(IF(F3044&gt;=0,D3044*E3044*(1+F3044/100),ABS(D3044*E3044/F3044)),"")</f>
        <v>82902.75</v>
      </c>
      <c r="H3044" s="43">
        <f>IFERROR(G3044*E3035,"")</f>
        <v>0</v>
      </c>
    </row>
    <row r="3045" spans="1:11">
      <c r="A3045" s="28"/>
      <c r="B3045" s="29" t="s">
        <v>3657</v>
      </c>
      <c r="C3045" s="30" t="str">
        <f>IFERROR(_xlfn.XLOOKUP(B3045,Equipo[DESCRIPCION],Equipo[UND],,0),"")</f>
        <v>Día</v>
      </c>
      <c r="D3045" s="31">
        <v>1</v>
      </c>
      <c r="E3045" s="32">
        <f>IF(C3045="%MO",G3051,IFERROR(_xlfn.XLOOKUP($B3045,Equipo[DESCRIPCION],Equipo[VALOR],,0),""))</f>
        <v>56524.65</v>
      </c>
      <c r="F3045" s="33">
        <v>-3</v>
      </c>
      <c r="G3045" s="34">
        <f>IFERROR(IF(F3045&gt;=0,D3045*E3045*(1+F3045/100),ABS(D3045*E3045/F3045)),"")</f>
        <v>18841.55</v>
      </c>
      <c r="H3045" s="43">
        <f>IFERROR(G3045*E3035,"")</f>
        <v>0</v>
      </c>
    </row>
    <row r="3046" spans="1:11">
      <c r="A3046" s="28"/>
      <c r="B3046" s="29" t="s">
        <v>3619</v>
      </c>
      <c r="C3046" s="30" t="str">
        <f>IFERROR(_xlfn.XLOOKUP(B3046,Equipo[DESCRIPCION],Equipo[UND],,0),"")</f>
        <v>Día</v>
      </c>
      <c r="D3046" s="31">
        <v>1</v>
      </c>
      <c r="E3046" s="32">
        <f>IF(C3046="%MO",G3050,IFERROR(_xlfn.XLOOKUP($B3046,Equipo[DESCRIPCION],Equipo[VALOR],,0),""))</f>
        <v>5775</v>
      </c>
      <c r="F3046" s="33">
        <v>-0.03</v>
      </c>
      <c r="G3046" s="34">
        <f>IFERROR(IF(F3046&gt;=0,D3046*E3046*(1+F3046/100),ABS(D3046*E3046/F3046)),"")</f>
        <v>192500</v>
      </c>
      <c r="H3046" s="43">
        <f>IFERROR(G3046*E3035,"")</f>
        <v>0</v>
      </c>
    </row>
    <row r="3047" spans="1:11">
      <c r="A3047" s="28"/>
      <c r="B3047" s="29" t="s">
        <v>3626</v>
      </c>
      <c r="C3047" s="30" t="str">
        <f>IFERROR(_xlfn.XLOOKUP(B3047,Equipo[DESCRIPCION],Equipo[UND],,0),"")</f>
        <v>%MO</v>
      </c>
      <c r="D3047" s="31">
        <v>0.05</v>
      </c>
      <c r="E3047" s="32">
        <f>IF(C3047="%MO",G3051,IFERROR(_xlfn.XLOOKUP($B3047,Equipo[DESCRIPCION],Equipo[VALOR],,0),""))</f>
        <v>221237.93581500006</v>
      </c>
      <c r="F3047" s="33"/>
      <c r="G3047" s="34">
        <f>IFERROR(IF(F3047&gt;=0,D3047*E3047*(1+F3047/100),ABS(D3047*E3047/F3047)),"")</f>
        <v>11061.896790750005</v>
      </c>
      <c r="H3047" s="43">
        <f>IFERROR(G3047*E3035,"")</f>
        <v>0</v>
      </c>
    </row>
    <row r="3048" spans="1:11">
      <c r="A3048" s="21"/>
      <c r="B3048" s="22" t="s">
        <v>2533</v>
      </c>
      <c r="C3048" s="23"/>
      <c r="D3048" s="24"/>
      <c r="E3048" s="25"/>
      <c r="F3048" s="26"/>
      <c r="G3048" s="27">
        <f>SUM(G3049:G3050)</f>
        <v>0</v>
      </c>
      <c r="H3048" s="27">
        <f>IFERROR(G3048*E3035,"")</f>
        <v>0</v>
      </c>
    </row>
    <row r="3049" spans="1:11">
      <c r="A3049" s="28"/>
      <c r="B3049" s="29"/>
      <c r="C3049" s="30" t="str">
        <f>IFERROR(_xlfn.XLOOKUP(B3049,Transporte[DESCRIPCION],Transporte[UND],,0),"")</f>
        <v/>
      </c>
      <c r="D3049" s="31"/>
      <c r="E3049" s="32" t="str">
        <f>IFERROR(_xlfn.XLOOKUP($B3049,Transporte[DESCRIPCION],Transporte[VALOR],,0),"")</f>
        <v/>
      </c>
      <c r="F3049" s="33"/>
      <c r="G3049" s="34" t="str">
        <f>IFERROR(IF(F3049&gt;=0,D3049*E3049*(1+F3049/100),ABS(D3049*E3049/F3049)),"")</f>
        <v/>
      </c>
      <c r="H3049" s="43" t="str">
        <f>IFERROR(G3049*E3035,"")</f>
        <v/>
      </c>
    </row>
    <row r="3050" spans="1:11">
      <c r="A3050" s="28"/>
      <c r="B3050" s="29"/>
      <c r="C3050" s="30" t="str">
        <f>IFERROR(_xlfn.XLOOKUP(B3050,Transporte[DESCRIPCION],Transporte[UND],,0),"")</f>
        <v/>
      </c>
      <c r="D3050" s="31"/>
      <c r="E3050" s="32" t="str">
        <f>IFERROR(_xlfn.XLOOKUP($B3050,Transporte[DESCRIPCION],Transporte[VALOR],,0),"")</f>
        <v/>
      </c>
      <c r="F3050" s="33"/>
      <c r="G3050" s="34" t="str">
        <f>IFERROR(IF(F3050&gt;=0,D3050*E3050*(1+F3050/100),ABS(D3050*E3050/F3050)),"")</f>
        <v/>
      </c>
      <c r="H3050" s="43" t="str">
        <f>IFERROR(G3050*E3035,"")</f>
        <v/>
      </c>
    </row>
    <row r="3051" spans="1:11">
      <c r="A3051" s="21"/>
      <c r="B3051" s="22" t="s">
        <v>3732</v>
      </c>
      <c r="C3051" s="23"/>
      <c r="D3051" s="24"/>
      <c r="E3051" s="25"/>
      <c r="F3051" s="26"/>
      <c r="G3051" s="27">
        <f>SUM(G3052:G3054)</f>
        <v>221237.93581500006</v>
      </c>
      <c r="H3051" s="27">
        <f>IFERROR(G3051*E3035,"")</f>
        <v>0</v>
      </c>
    </row>
    <row r="3052" spans="1:11">
      <c r="A3052" s="28"/>
      <c r="B3052" s="29" t="s">
        <v>3713</v>
      </c>
      <c r="C3052" s="30" t="str">
        <f>IFERROR(_xlfn.XLOOKUP(B3052,MObra[DESCRIPCION],MObra[UN],,0),"")</f>
        <v>día</v>
      </c>
      <c r="D3052" s="31">
        <v>1</v>
      </c>
      <c r="E3052" s="32">
        <f>IFERROR(_xlfn.XLOOKUP($B3052,MObra[DESCRIPCION],MObra[VALOR UNIT],,0),"")</f>
        <v>663713.80744500016</v>
      </c>
      <c r="F3052" s="33">
        <v>-3</v>
      </c>
      <c r="G3052" s="34">
        <f>IFERROR(IF(F3052&gt;=0,D3052*E3052*(1+F3052/100),ABS(D3052*E3052/F3052)),"")</f>
        <v>221237.93581500006</v>
      </c>
      <c r="H3052" s="43">
        <f>IFERROR(G3052*E3035,"")</f>
        <v>0</v>
      </c>
    </row>
    <row r="3053" spans="1:11">
      <c r="A3053" s="28"/>
      <c r="B3053" s="29"/>
      <c r="C3053" s="30" t="str">
        <f>IFERROR(_xlfn.XLOOKUP(B3053,MObra[DESCRIPCION],MObra[UN],,0),"")</f>
        <v/>
      </c>
      <c r="D3053" s="31"/>
      <c r="E3053" s="32" t="str">
        <f>IFERROR(_xlfn.XLOOKUP($B3053,MObra[DESCRIPCION],MObra[VALOR UNIT],,0),"")</f>
        <v/>
      </c>
      <c r="F3053" s="33"/>
      <c r="G3053" s="34" t="str">
        <f>IFERROR(IF(F3053&gt;=0,D3053*E3053*(1+F3053/100),ABS(D3053*E3053/F3053)),"")</f>
        <v/>
      </c>
      <c r="H3053" s="43" t="str">
        <f>IFERROR(G3053*E3035,"")</f>
        <v/>
      </c>
    </row>
    <row r="3054" spans="1:11" ht="13.15" thickBot="1">
      <c r="A3054" s="35"/>
      <c r="B3054" s="36"/>
      <c r="C3054" s="37" t="str">
        <f>IFERROR(_xlfn.XLOOKUP(B3054,MObra[DESCRIPCION],MObra[UN],,0),"")</f>
        <v/>
      </c>
      <c r="D3054" s="38"/>
      <c r="E3054" s="39" t="str">
        <f>IFERROR(_xlfn.XLOOKUP($B3054,MObra[DESCRIPCION],MObra[VALOR UNIT],,0),"")</f>
        <v/>
      </c>
      <c r="F3054" s="40"/>
      <c r="G3054" s="41" t="str">
        <f>IFERROR(IF(F3054&gt;=0,D3054*E3054*(1+F3054/100),ABS(D3054*E3054/F3054)),"")</f>
        <v/>
      </c>
      <c r="H3054" s="42" t="str">
        <f>IFERROR(G3054*E3035,"")</f>
        <v/>
      </c>
    </row>
    <row r="3055" spans="1:11" ht="13.5" thickTop="1" thickBot="1"/>
    <row r="3056" spans="1:11" ht="13.5" thickTop="1" thickBot="1">
      <c r="A3056" s="6" t="s">
        <v>2030</v>
      </c>
      <c r="B3056" s="7" t="str">
        <f>VLOOKUP($A3056,Presupuesto!$A:$D,2,FALSE())</f>
        <v>Placa maciza concreto 20.7 Mpa E&gt;0.30m puente</v>
      </c>
      <c r="C3056" s="8" t="str">
        <f>VLOOKUP($A3056,Presupuesto!$A:$D,3,FALSE())</f>
        <v>M2</v>
      </c>
      <c r="D3056" s="9"/>
      <c r="E3056" s="10">
        <f>VLOOKUP($A3056,Presupuesto!$A:$D,4,FALSE())</f>
        <v>0</v>
      </c>
      <c r="F3056" s="11" t="s">
        <v>2589</v>
      </c>
      <c r="G3056" s="12">
        <f>SUM(G3058:G3075)/2</f>
        <v>1723522.8571870225</v>
      </c>
      <c r="H3056" s="13">
        <f>ROUND(SUM(H3058:H3075),0)/2</f>
        <v>0</v>
      </c>
      <c r="I3056" s="10">
        <f>VLOOKUP(A3056,Presupuesto!$A:$F,6,0)</f>
        <v>0</v>
      </c>
      <c r="J3056" s="10">
        <f>+H3056-I3056</f>
        <v>0</v>
      </c>
      <c r="K3056" s="46">
        <f>+H3056-G3056*E3056</f>
        <v>0</v>
      </c>
    </row>
    <row r="3057" spans="1:8" ht="13.15" thickTop="1">
      <c r="A3057" s="14"/>
      <c r="B3057" s="15" t="s">
        <v>2586</v>
      </c>
      <c r="C3057" s="15" t="s">
        <v>5</v>
      </c>
      <c r="D3057" s="16" t="s">
        <v>6</v>
      </c>
      <c r="E3057" s="17" t="s">
        <v>7</v>
      </c>
      <c r="F3057" s="18" t="s">
        <v>3728</v>
      </c>
      <c r="G3057" s="19" t="s">
        <v>3729</v>
      </c>
      <c r="H3057" s="20" t="s">
        <v>3797</v>
      </c>
    </row>
    <row r="3058" spans="1:8">
      <c r="A3058" s="21"/>
      <c r="B3058" s="22" t="s">
        <v>3730</v>
      </c>
      <c r="C3058" s="23"/>
      <c r="D3058" s="24"/>
      <c r="E3058" s="25"/>
      <c r="F3058" s="26"/>
      <c r="G3058" s="27">
        <f>SUM(G3059:G3063)</f>
        <v>1196978.7245812726</v>
      </c>
      <c r="H3058" s="27">
        <f>IFERROR(G3058*E3056,"")</f>
        <v>0</v>
      </c>
    </row>
    <row r="3059" spans="1:8">
      <c r="A3059" s="28"/>
      <c r="B3059" s="29" t="s">
        <v>2868</v>
      </c>
      <c r="C3059" s="30" t="str">
        <f>IFERROR(_xlfn.XLOOKUP(B3059,Insumo[DESCRIPCION],Insumo[UND],,0),"")</f>
        <v>M3</v>
      </c>
      <c r="D3059" s="31">
        <v>1</v>
      </c>
      <c r="E3059" s="32">
        <f>IFERROR(_xlfn.XLOOKUP($B3059,Insumo[DESCRIPCION],Insumo[VALOR],,0),"")</f>
        <v>718719.75</v>
      </c>
      <c r="F3059" s="33"/>
      <c r="G3059" s="34">
        <f>IFERROR(IF(F3059&gt;=0,D3059*E3059*(1+F3059/100),ABS(D3059*E3059/F3059)),"")</f>
        <v>718719.75</v>
      </c>
      <c r="H3059" s="43">
        <f>IFERROR(G3059*E3056,"")</f>
        <v>0</v>
      </c>
    </row>
    <row r="3060" spans="1:8">
      <c r="A3060" s="28"/>
      <c r="B3060" s="29" t="s">
        <v>2957</v>
      </c>
      <c r="C3060" s="30" t="str">
        <f>IFERROR(_xlfn.XLOOKUP(B3060,Insumo[DESCRIPCION],Insumo[UND],,0),"")</f>
        <v>M2</v>
      </c>
      <c r="D3060" s="31">
        <v>3</v>
      </c>
      <c r="E3060" s="32">
        <f>IFERROR(_xlfn.XLOOKUP($B3060,Insumo[DESCRIPCION],Insumo[VALOR],,0),"")</f>
        <v>149544.7581937575</v>
      </c>
      <c r="F3060" s="33"/>
      <c r="G3060" s="34">
        <f>IFERROR(IF(F3060&gt;=0,D3060*E3060*(1+F3060/100),ABS(D3060*E3060/F3060)),"")</f>
        <v>448634.2745812725</v>
      </c>
      <c r="H3060" s="43">
        <f>IFERROR(G3060*E3056,"")</f>
        <v>0</v>
      </c>
    </row>
    <row r="3061" spans="1:8">
      <c r="A3061" s="28"/>
      <c r="B3061" s="29" t="s">
        <v>2709</v>
      </c>
      <c r="C3061" s="30" t="str">
        <f>IFERROR(_xlfn.XLOOKUP(B3061,Insumo[DESCRIPCION],Insumo[UND],,0),"")</f>
        <v>Kg</v>
      </c>
      <c r="D3061" s="31">
        <v>2</v>
      </c>
      <c r="E3061" s="32">
        <f>IFERROR(_xlfn.XLOOKUP($B3061,Insumo[DESCRIPCION],Insumo[VALOR],,0),"")</f>
        <v>14812.35</v>
      </c>
      <c r="F3061" s="33"/>
      <c r="G3061" s="34">
        <f>IFERROR(IF(F3061&gt;=0,D3061*E3061*(1+F3061/100),ABS(D3061*E3061/F3061)),"")</f>
        <v>29624.7</v>
      </c>
      <c r="H3061" s="43">
        <f>IFERROR(G3061*E3056,"")</f>
        <v>0</v>
      </c>
    </row>
    <row r="3062" spans="1:8">
      <c r="A3062" s="28"/>
      <c r="B3062" s="29"/>
      <c r="C3062" s="30" t="str">
        <f>IFERROR(_xlfn.XLOOKUP(B3062,Insumo[DESCRIPCION],Insumo[UND],,0),"")</f>
        <v/>
      </c>
      <c r="D3062" s="31"/>
      <c r="E3062" s="32" t="str">
        <f>IFERROR(_xlfn.XLOOKUP($B3062,Insumo[DESCRIPCION],Insumo[VALOR],,0),"")</f>
        <v/>
      </c>
      <c r="F3062" s="33"/>
      <c r="G3062" s="34" t="str">
        <f>IFERROR(IF(F3062&gt;=0,D3062*E3062*(1+F3062/100),ABS(D3062*E3062/F3062)),"")</f>
        <v/>
      </c>
      <c r="H3062" s="43" t="str">
        <f>IFERROR(G3062*E3056,"")</f>
        <v/>
      </c>
    </row>
    <row r="3063" spans="1:8">
      <c r="A3063" s="28"/>
      <c r="B3063" s="29"/>
      <c r="C3063" s="30" t="str">
        <f>IFERROR(_xlfn.XLOOKUP(B3063,Insumo[DESCRIPCION],Insumo[UND],,0),"")</f>
        <v/>
      </c>
      <c r="D3063" s="31"/>
      <c r="E3063" s="32" t="str">
        <f>IFERROR(_xlfn.XLOOKUP($B3063,Insumo[DESCRIPCION],Insumo[VALOR],,0),"")</f>
        <v/>
      </c>
      <c r="F3063" s="33"/>
      <c r="G3063" s="34" t="str">
        <f>IFERROR(IF(F3063&gt;=0,D3063*E3063*(1+F3063/100),ABS(D3063*E3063/F3063)),"")</f>
        <v/>
      </c>
      <c r="H3063" s="43" t="str">
        <f>IFERROR(G3063*E3056,"")</f>
        <v/>
      </c>
    </row>
    <row r="3064" spans="1:8">
      <c r="A3064" s="21"/>
      <c r="B3064" s="22" t="s">
        <v>3731</v>
      </c>
      <c r="C3064" s="23"/>
      <c r="D3064" s="24"/>
      <c r="E3064" s="25"/>
      <c r="F3064" s="26"/>
      <c r="G3064" s="27">
        <f>SUM(G3065:G3068)</f>
        <v>305306.19679075002</v>
      </c>
      <c r="H3064" s="27">
        <f>IFERROR(G3064*E3056,"")</f>
        <v>0</v>
      </c>
    </row>
    <row r="3065" spans="1:8">
      <c r="A3065" s="28"/>
      <c r="B3065" s="29" t="s">
        <v>3580</v>
      </c>
      <c r="C3065" s="30" t="str">
        <f>IFERROR(_xlfn.XLOOKUP(B3065,Equipo[DESCRIPCION],Equipo[UND],,0),"")</f>
        <v>M3</v>
      </c>
      <c r="D3065" s="31">
        <v>1</v>
      </c>
      <c r="E3065" s="32">
        <f>IF(C3065="%MO",G3072,IFERROR(_xlfn.XLOOKUP($B3065,Equipo[DESCRIPCION],Equipo[VALOR],,0),""))</f>
        <v>82902.75</v>
      </c>
      <c r="F3065" s="33"/>
      <c r="G3065" s="34">
        <f>IFERROR(IF(F3065&gt;=0,D3065*E3065*(1+F3065/100),ABS(D3065*E3065/F3065)),"")</f>
        <v>82902.75</v>
      </c>
      <c r="H3065" s="43">
        <f>IFERROR(G3065*E3056,"")</f>
        <v>0</v>
      </c>
    </row>
    <row r="3066" spans="1:8">
      <c r="A3066" s="28"/>
      <c r="B3066" s="29" t="s">
        <v>3657</v>
      </c>
      <c r="C3066" s="30" t="str">
        <f>IFERROR(_xlfn.XLOOKUP(B3066,Equipo[DESCRIPCION],Equipo[UND],,0),"")</f>
        <v>Día</v>
      </c>
      <c r="D3066" s="31">
        <v>1</v>
      </c>
      <c r="E3066" s="32">
        <f>IF(C3066="%MO",G3072,IFERROR(_xlfn.XLOOKUP($B3066,Equipo[DESCRIPCION],Equipo[VALOR],,0),""))</f>
        <v>56524.65</v>
      </c>
      <c r="F3066" s="33">
        <v>-3</v>
      </c>
      <c r="G3066" s="34">
        <f>IFERROR(IF(F3066&gt;=0,D3066*E3066*(1+F3066/100),ABS(D3066*E3066/F3066)),"")</f>
        <v>18841.55</v>
      </c>
      <c r="H3066" s="43">
        <f>IFERROR(G3066*E3056,"")</f>
        <v>0</v>
      </c>
    </row>
    <row r="3067" spans="1:8">
      <c r="A3067" s="28"/>
      <c r="B3067" s="29" t="s">
        <v>3619</v>
      </c>
      <c r="C3067" s="30" t="str">
        <f>IFERROR(_xlfn.XLOOKUP(B3067,Equipo[DESCRIPCION],Equipo[UND],,0),"")</f>
        <v>Día</v>
      </c>
      <c r="D3067" s="31">
        <v>1</v>
      </c>
      <c r="E3067" s="32">
        <f>IF(C3067="%MO",G3071,IFERROR(_xlfn.XLOOKUP($B3067,Equipo[DESCRIPCION],Equipo[VALOR],,0),""))</f>
        <v>5775</v>
      </c>
      <c r="F3067" s="33">
        <v>-0.03</v>
      </c>
      <c r="G3067" s="34">
        <f>IFERROR(IF(F3067&gt;=0,D3067*E3067*(1+F3067/100),ABS(D3067*E3067/F3067)),"")</f>
        <v>192500</v>
      </c>
      <c r="H3067" s="43">
        <f>IFERROR(G3067*E3056,"")</f>
        <v>0</v>
      </c>
    </row>
    <row r="3068" spans="1:8">
      <c r="A3068" s="28"/>
      <c r="B3068" s="29" t="s">
        <v>3626</v>
      </c>
      <c r="C3068" s="30" t="str">
        <f>IFERROR(_xlfn.XLOOKUP(B3068,Equipo[DESCRIPCION],Equipo[UND],,0),"")</f>
        <v>%MO</v>
      </c>
      <c r="D3068" s="31">
        <v>0.05</v>
      </c>
      <c r="E3068" s="32">
        <f>IF(C3068="%MO",G3072,IFERROR(_xlfn.XLOOKUP($B3068,Equipo[DESCRIPCION],Equipo[VALOR],,0),""))</f>
        <v>221237.93581500006</v>
      </c>
      <c r="F3068" s="33"/>
      <c r="G3068" s="34">
        <f>IFERROR(IF(F3068&gt;=0,D3068*E3068*(1+F3068/100),ABS(D3068*E3068/F3068)),"")</f>
        <v>11061.896790750005</v>
      </c>
      <c r="H3068" s="43">
        <f>IFERROR(G3068*E3056,"")</f>
        <v>0</v>
      </c>
    </row>
    <row r="3069" spans="1:8">
      <c r="A3069" s="21"/>
      <c r="B3069" s="22" t="s">
        <v>2533</v>
      </c>
      <c r="C3069" s="23"/>
      <c r="D3069" s="24"/>
      <c r="E3069" s="25"/>
      <c r="F3069" s="26"/>
      <c r="G3069" s="27">
        <f>SUM(G3070:G3071)</f>
        <v>0</v>
      </c>
      <c r="H3069" s="27">
        <f>IFERROR(G3069*E3056,"")</f>
        <v>0</v>
      </c>
    </row>
    <row r="3070" spans="1:8">
      <c r="A3070" s="28"/>
      <c r="B3070" s="29"/>
      <c r="C3070" s="30" t="str">
        <f>IFERROR(_xlfn.XLOOKUP(B3070,Transporte[DESCRIPCION],Transporte[UND],,0),"")</f>
        <v/>
      </c>
      <c r="D3070" s="31"/>
      <c r="E3070" s="32" t="str">
        <f>IFERROR(_xlfn.XLOOKUP($B3070,Transporte[DESCRIPCION],Transporte[VALOR],,0),"")</f>
        <v/>
      </c>
      <c r="F3070" s="33"/>
      <c r="G3070" s="34" t="str">
        <f>IFERROR(IF(F3070&gt;=0,D3070*E3070*(1+F3070/100),ABS(D3070*E3070/F3070)),"")</f>
        <v/>
      </c>
      <c r="H3070" s="43" t="str">
        <f>IFERROR(G3070*E3056,"")</f>
        <v/>
      </c>
    </row>
    <row r="3071" spans="1:8">
      <c r="A3071" s="28"/>
      <c r="B3071" s="29"/>
      <c r="C3071" s="30" t="str">
        <f>IFERROR(_xlfn.XLOOKUP(B3071,Transporte[DESCRIPCION],Transporte[UND],,0),"")</f>
        <v/>
      </c>
      <c r="D3071" s="31"/>
      <c r="E3071" s="32" t="str">
        <f>IFERROR(_xlfn.XLOOKUP($B3071,Transporte[DESCRIPCION],Transporte[VALOR],,0),"")</f>
        <v/>
      </c>
      <c r="F3071" s="33"/>
      <c r="G3071" s="34" t="str">
        <f>IFERROR(IF(F3071&gt;=0,D3071*E3071*(1+F3071/100),ABS(D3071*E3071/F3071)),"")</f>
        <v/>
      </c>
      <c r="H3071" s="43" t="str">
        <f>IFERROR(G3071*E3056,"")</f>
        <v/>
      </c>
    </row>
    <row r="3072" spans="1:8">
      <c r="A3072" s="21"/>
      <c r="B3072" s="22" t="s">
        <v>3732</v>
      </c>
      <c r="C3072" s="23"/>
      <c r="D3072" s="24"/>
      <c r="E3072" s="25"/>
      <c r="F3072" s="26"/>
      <c r="G3072" s="27">
        <f>SUM(G3073:G3075)</f>
        <v>221237.93581500006</v>
      </c>
      <c r="H3072" s="27">
        <f>IFERROR(G3072*E3056,"")</f>
        <v>0</v>
      </c>
    </row>
    <row r="3073" spans="1:11">
      <c r="A3073" s="28"/>
      <c r="B3073" s="29" t="s">
        <v>3713</v>
      </c>
      <c r="C3073" s="30" t="str">
        <f>IFERROR(_xlfn.XLOOKUP(B3073,MObra[DESCRIPCION],MObra[UN],,0),"")</f>
        <v>día</v>
      </c>
      <c r="D3073" s="31">
        <v>1</v>
      </c>
      <c r="E3073" s="32">
        <f>IFERROR(_xlfn.XLOOKUP($B3073,MObra[DESCRIPCION],MObra[VALOR UNIT],,0),"")</f>
        <v>663713.80744500016</v>
      </c>
      <c r="F3073" s="33">
        <v>-3</v>
      </c>
      <c r="G3073" s="34">
        <f>IFERROR(IF(F3073&gt;=0,D3073*E3073*(1+F3073/100),ABS(D3073*E3073/F3073)),"")</f>
        <v>221237.93581500006</v>
      </c>
      <c r="H3073" s="43">
        <f>IFERROR(G3073*E3056,"")</f>
        <v>0</v>
      </c>
    </row>
    <row r="3074" spans="1:11">
      <c r="A3074" s="28"/>
      <c r="B3074" s="29"/>
      <c r="C3074" s="30" t="str">
        <f>IFERROR(_xlfn.XLOOKUP(B3074,MObra[DESCRIPCION],MObra[UN],,0),"")</f>
        <v/>
      </c>
      <c r="D3074" s="31"/>
      <c r="E3074" s="32" t="str">
        <f>IFERROR(_xlfn.XLOOKUP($B3074,MObra[DESCRIPCION],MObra[VALOR UNIT],,0),"")</f>
        <v/>
      </c>
      <c r="F3074" s="33"/>
      <c r="G3074" s="34" t="str">
        <f>IFERROR(IF(F3074&gt;=0,D3074*E3074*(1+F3074/100),ABS(D3074*E3074/F3074)),"")</f>
        <v/>
      </c>
      <c r="H3074" s="43" t="str">
        <f>IFERROR(G3074*E3056,"")</f>
        <v/>
      </c>
    </row>
    <row r="3075" spans="1:11" ht="13.15" thickBot="1">
      <c r="A3075" s="35"/>
      <c r="B3075" s="36"/>
      <c r="C3075" s="37" t="str">
        <f>IFERROR(_xlfn.XLOOKUP(B3075,MObra[DESCRIPCION],MObra[UN],,0),"")</f>
        <v/>
      </c>
      <c r="D3075" s="38"/>
      <c r="E3075" s="39" t="str">
        <f>IFERROR(_xlfn.XLOOKUP($B3075,MObra[DESCRIPCION],MObra[VALOR UNIT],,0),"")</f>
        <v/>
      </c>
      <c r="F3075" s="40"/>
      <c r="G3075" s="41" t="str">
        <f>IFERROR(IF(F3075&gt;=0,D3075*E3075*(1+F3075/100),ABS(D3075*E3075/F3075)),"")</f>
        <v/>
      </c>
      <c r="H3075" s="42" t="str">
        <f>IFERROR(G3075*E3056,"")</f>
        <v/>
      </c>
    </row>
    <row r="3076" spans="1:11" ht="13.5" thickTop="1" thickBot="1"/>
    <row r="3077" spans="1:11" ht="13.5" thickTop="1" thickBot="1">
      <c r="A3077" s="6" t="s">
        <v>2032</v>
      </c>
      <c r="B3077" s="7" t="str">
        <f>VLOOKUP($A3077,Presupuesto!$A:$D,2,FALSE())</f>
        <v>Soldadura para barandas y estructura metálica</v>
      </c>
      <c r="C3077" s="8" t="str">
        <f>VLOOKUP($A3077,Presupuesto!$A:$D,3,FALSE())</f>
        <v>Kg</v>
      </c>
      <c r="D3077" s="9"/>
      <c r="E3077" s="10">
        <f>VLOOKUP($A3077,Presupuesto!$A:$D,4,FALSE())</f>
        <v>0</v>
      </c>
      <c r="F3077" s="11" t="s">
        <v>2589</v>
      </c>
      <c r="G3077" s="12">
        <f>SUM(G3079:G3095)/2</f>
        <v>12880.157512530002</v>
      </c>
      <c r="H3077" s="13">
        <f>ROUND(SUM(H3079:H3095),0)/2</f>
        <v>0</v>
      </c>
      <c r="I3077" s="10">
        <f>VLOOKUP(A3077,Presupuesto!$A:$F,6,0)</f>
        <v>0</v>
      </c>
      <c r="J3077" s="10">
        <f>+H3077-I3077</f>
        <v>0</v>
      </c>
      <c r="K3077" s="46">
        <f>+H3077-G3077*E3077</f>
        <v>0</v>
      </c>
    </row>
    <row r="3078" spans="1:11" ht="13.15" thickTop="1">
      <c r="A3078" s="14"/>
      <c r="B3078" s="15" t="s">
        <v>2586</v>
      </c>
      <c r="C3078" s="15" t="s">
        <v>5</v>
      </c>
      <c r="D3078" s="16" t="s">
        <v>6</v>
      </c>
      <c r="E3078" s="17" t="s">
        <v>7</v>
      </c>
      <c r="F3078" s="18" t="s">
        <v>3728</v>
      </c>
      <c r="G3078" s="19" t="s">
        <v>3729</v>
      </c>
      <c r="H3078" s="20" t="s">
        <v>3797</v>
      </c>
    </row>
    <row r="3079" spans="1:11">
      <c r="A3079" s="21"/>
      <c r="B3079" s="22" t="s">
        <v>3730</v>
      </c>
      <c r="C3079" s="23"/>
      <c r="D3079" s="24"/>
      <c r="E3079" s="25"/>
      <c r="F3079" s="26"/>
      <c r="G3079" s="27">
        <f>SUM(G3080:G3084)</f>
        <v>6576.5700000000006</v>
      </c>
      <c r="H3079" s="27">
        <f>IFERROR(G3079*E3077,"")</f>
        <v>0</v>
      </c>
    </row>
    <row r="3080" spans="1:11">
      <c r="A3080" s="28"/>
      <c r="B3080" s="29" t="s">
        <v>3326</v>
      </c>
      <c r="C3080" s="30" t="str">
        <f>IFERROR(_xlfn.XLOOKUP(B3080,Insumo[DESCRIPCION],Insumo[UND],,0),"")</f>
        <v>Kg</v>
      </c>
      <c r="D3080" s="31">
        <v>1</v>
      </c>
      <c r="E3080" s="32">
        <f>IFERROR(_xlfn.XLOOKUP($B3080,Insumo[DESCRIPCION],Insumo[VALOR],,0),"")</f>
        <v>5978.7</v>
      </c>
      <c r="F3080" s="33">
        <v>10</v>
      </c>
      <c r="G3080" s="34">
        <f>IFERROR(IF(F3080&gt;=0,D3080*E3080*(1+F3080/100),ABS(D3080*E3080/F3080)),"")</f>
        <v>6576.5700000000006</v>
      </c>
      <c r="H3080" s="43">
        <f>IFERROR(G3080*E3077,"")</f>
        <v>0</v>
      </c>
    </row>
    <row r="3081" spans="1:11">
      <c r="A3081" s="28"/>
      <c r="B3081" s="29"/>
      <c r="C3081" s="30" t="str">
        <f>IFERROR(_xlfn.XLOOKUP(B3081,Insumo[DESCRIPCION],Insumo[UND],,0),"")</f>
        <v/>
      </c>
      <c r="D3081" s="31"/>
      <c r="E3081" s="32" t="str">
        <f>IFERROR(_xlfn.XLOOKUP($B3081,Insumo[DESCRIPCION],Insumo[VALOR],,0),"")</f>
        <v/>
      </c>
      <c r="F3081" s="33"/>
      <c r="G3081" s="34" t="str">
        <f>IFERROR(IF(F3081&gt;=0,D3081*E3081*(1+F3081/100),ABS(D3081*E3081/F3081)),"")</f>
        <v/>
      </c>
      <c r="H3081" s="43" t="str">
        <f>IFERROR(G3081*E3077,"")</f>
        <v/>
      </c>
    </row>
    <row r="3082" spans="1:11">
      <c r="A3082" s="28"/>
      <c r="B3082" s="29"/>
      <c r="C3082" s="30" t="str">
        <f>IFERROR(_xlfn.XLOOKUP(B3082,Insumo[DESCRIPCION],Insumo[UND],,0),"")</f>
        <v/>
      </c>
      <c r="D3082" s="31"/>
      <c r="E3082" s="32" t="str">
        <f>IFERROR(_xlfn.XLOOKUP($B3082,Insumo[DESCRIPCION],Insumo[VALOR],,0),"")</f>
        <v/>
      </c>
      <c r="F3082" s="33"/>
      <c r="G3082" s="34" t="str">
        <f>IFERROR(IF(F3082&gt;=0,D3082*E3082*(1+F3082/100),ABS(D3082*E3082/F3082)),"")</f>
        <v/>
      </c>
      <c r="H3082" s="43" t="str">
        <f>IFERROR(G3082*E3077,"")</f>
        <v/>
      </c>
    </row>
    <row r="3083" spans="1:11">
      <c r="A3083" s="28"/>
      <c r="B3083" s="29"/>
      <c r="C3083" s="30" t="str">
        <f>IFERROR(_xlfn.XLOOKUP(B3083,Insumo[DESCRIPCION],Insumo[UND],,0),"")</f>
        <v/>
      </c>
      <c r="D3083" s="31"/>
      <c r="E3083" s="32" t="str">
        <f>IFERROR(_xlfn.XLOOKUP($B3083,Insumo[DESCRIPCION],Insumo[VALOR],,0),"")</f>
        <v/>
      </c>
      <c r="F3083" s="33"/>
      <c r="G3083" s="34" t="str">
        <f>IFERROR(IF(F3083&gt;=0,D3083*E3083*(1+F3083/100),ABS(D3083*E3083/F3083)),"")</f>
        <v/>
      </c>
      <c r="H3083" s="43" t="str">
        <f>IFERROR(G3083*E3077,"")</f>
        <v/>
      </c>
    </row>
    <row r="3084" spans="1:11">
      <c r="A3084" s="28"/>
      <c r="B3084" s="29"/>
      <c r="C3084" s="30" t="str">
        <f>IFERROR(_xlfn.XLOOKUP(B3084,Insumo[DESCRIPCION],Insumo[UND],,0),"")</f>
        <v/>
      </c>
      <c r="D3084" s="31"/>
      <c r="E3084" s="32" t="str">
        <f>IFERROR(_xlfn.XLOOKUP($B3084,Insumo[DESCRIPCION],Insumo[VALOR],,0),"")</f>
        <v/>
      </c>
      <c r="F3084" s="33"/>
      <c r="G3084" s="34" t="str">
        <f>IFERROR(IF(F3084&gt;=0,D3084*E3084*(1+F3084/100),ABS(D3084*E3084/F3084)),"")</f>
        <v/>
      </c>
      <c r="H3084" s="43" t="str">
        <f>IFERROR(G3084*E3077,"")</f>
        <v/>
      </c>
    </row>
    <row r="3085" spans="1:11">
      <c r="A3085" s="21"/>
      <c r="B3085" s="22" t="s">
        <v>3731</v>
      </c>
      <c r="C3085" s="23"/>
      <c r="D3085" s="24"/>
      <c r="E3085" s="25"/>
      <c r="F3085" s="26"/>
      <c r="G3085" s="27">
        <f>SUM(G3086:G3088)</f>
        <v>2111.7108339299998</v>
      </c>
      <c r="H3085" s="27">
        <f>IFERROR(G3085*E3077,"")</f>
        <v>0</v>
      </c>
    </row>
    <row r="3086" spans="1:11">
      <c r="A3086" s="28"/>
      <c r="B3086" s="29" t="s">
        <v>3575</v>
      </c>
      <c r="C3086" s="30" t="str">
        <f>IFERROR(_xlfn.XLOOKUP(B3086,Equipo[DESCRIPCION],Equipo[UND],,0),"")</f>
        <v>Día</v>
      </c>
      <c r="D3086" s="31">
        <v>1</v>
      </c>
      <c r="E3086" s="32">
        <f>IF(C3086="%MO",G3092,IFERROR(_xlfn.XLOOKUP($B3086,Equipo[DESCRIPCION],Equipo[VALOR],,0),""))</f>
        <v>142078.65</v>
      </c>
      <c r="F3086" s="33">
        <v>-100</v>
      </c>
      <c r="G3086" s="34">
        <f>IFERROR(IF(F3086&gt;=0,D3086*E3086*(1+F3086/100),ABS(D3086*E3086/F3086)),"")</f>
        <v>1420.7864999999999</v>
      </c>
      <c r="H3086" s="43">
        <f>IFERROR(G3086*E3077,"")</f>
        <v>0</v>
      </c>
    </row>
    <row r="3087" spans="1:11">
      <c r="A3087" s="28"/>
      <c r="B3087" s="29" t="s">
        <v>3613</v>
      </c>
      <c r="C3087" s="30" t="str">
        <f>IFERROR(_xlfn.XLOOKUP(B3087,Equipo[DESCRIPCION],Equipo[UND],,0),"")</f>
        <v>Día</v>
      </c>
      <c r="D3087" s="31">
        <v>1</v>
      </c>
      <c r="E3087" s="32">
        <f>IF(C3087="%MO",G3092,IFERROR(_xlfn.XLOOKUP($B3087,Equipo[DESCRIPCION],Equipo[VALOR],,0),""))</f>
        <v>48133.05</v>
      </c>
      <c r="F3087" s="33">
        <v>-100</v>
      </c>
      <c r="G3087" s="34">
        <f>IFERROR(IF(F3087&gt;=0,D3087*E3087*(1+F3087/100),ABS(D3087*E3087/F3087)),"")</f>
        <v>481.33050000000003</v>
      </c>
      <c r="H3087" s="43">
        <f>IFERROR(G3087*E3077,"")</f>
        <v>0</v>
      </c>
    </row>
    <row r="3088" spans="1:11">
      <c r="A3088" s="28"/>
      <c r="B3088" s="29" t="s">
        <v>3626</v>
      </c>
      <c r="C3088" s="30" t="str">
        <f>IFERROR(_xlfn.XLOOKUP(B3088,Equipo[DESCRIPCION],Equipo[UND],,0),"")</f>
        <v>%MO</v>
      </c>
      <c r="D3088" s="31">
        <v>0.05</v>
      </c>
      <c r="E3088" s="32">
        <f>IF(C3088="%MO",G3092,IFERROR(_xlfn.XLOOKUP($B3088,Equipo[DESCRIPCION],Equipo[VALOR],,0),""))</f>
        <v>4191.8766786000006</v>
      </c>
      <c r="F3088" s="33"/>
      <c r="G3088" s="34">
        <f>IFERROR(IF(F3088&gt;=0,D3088*E3088*(1+F3088/100),ABS(D3088*E3088/F3088)),"")</f>
        <v>209.59383393000005</v>
      </c>
      <c r="H3088" s="43">
        <f>IFERROR(G3088*E3077,"")</f>
        <v>0</v>
      </c>
    </row>
    <row r="3089" spans="1:11">
      <c r="A3089" s="21"/>
      <c r="B3089" s="22" t="s">
        <v>2533</v>
      </c>
      <c r="C3089" s="23"/>
      <c r="D3089" s="24"/>
      <c r="E3089" s="25"/>
      <c r="F3089" s="26"/>
      <c r="G3089" s="27">
        <f>SUM(G3090:G3091)</f>
        <v>0</v>
      </c>
      <c r="H3089" s="27">
        <f>IFERROR(G3089*E3077,"")</f>
        <v>0</v>
      </c>
    </row>
    <row r="3090" spans="1:11">
      <c r="A3090" s="28"/>
      <c r="B3090" s="29"/>
      <c r="C3090" s="30" t="str">
        <f>IFERROR(_xlfn.XLOOKUP(B3090,Transporte[DESCRIPCION],Transporte[UND],,0),"")</f>
        <v/>
      </c>
      <c r="D3090" s="31"/>
      <c r="E3090" s="32" t="str">
        <f>IFERROR(_xlfn.XLOOKUP($B3090,Transporte[DESCRIPCION],Transporte[VALOR],,0),"")</f>
        <v/>
      </c>
      <c r="F3090" s="33"/>
      <c r="G3090" s="34" t="str">
        <f>IFERROR(IF(F3090&gt;=0,D3090*E3090*(1+F3090/100),ABS(D3090*E3090/F3090)),"")</f>
        <v/>
      </c>
      <c r="H3090" s="43" t="str">
        <f>IFERROR(G3090*E3077,"")</f>
        <v/>
      </c>
    </row>
    <row r="3091" spans="1:11">
      <c r="A3091" s="28"/>
      <c r="B3091" s="29"/>
      <c r="C3091" s="30" t="str">
        <f>IFERROR(_xlfn.XLOOKUP(B3091,Transporte[DESCRIPCION],Transporte[UND],,0),"")</f>
        <v/>
      </c>
      <c r="D3091" s="31"/>
      <c r="E3091" s="32" t="str">
        <f>IFERROR(_xlfn.XLOOKUP($B3091,Transporte[DESCRIPCION],Transporte[VALOR],,0),"")</f>
        <v/>
      </c>
      <c r="F3091" s="33"/>
      <c r="G3091" s="34" t="str">
        <f>IFERROR(IF(F3091&gt;=0,D3091*E3091*(1+F3091/100),ABS(D3091*E3091/F3091)),"")</f>
        <v/>
      </c>
      <c r="H3091" s="43" t="str">
        <f>IFERROR(G3091*E3077,"")</f>
        <v/>
      </c>
    </row>
    <row r="3092" spans="1:11">
      <c r="A3092" s="21"/>
      <c r="B3092" s="22" t="s">
        <v>3732</v>
      </c>
      <c r="C3092" s="23"/>
      <c r="D3092" s="24"/>
      <c r="E3092" s="25"/>
      <c r="F3092" s="26"/>
      <c r="G3092" s="27">
        <f>SUM(G3093:G3095)</f>
        <v>4191.8766786000006</v>
      </c>
      <c r="H3092" s="27">
        <f>IFERROR(G3092*E3077,"")</f>
        <v>0</v>
      </c>
    </row>
    <row r="3093" spans="1:11">
      <c r="A3093" s="28"/>
      <c r="B3093" s="29" t="s">
        <v>3724</v>
      </c>
      <c r="C3093" s="30" t="str">
        <f>IFERROR(_xlfn.XLOOKUP(B3093,MObra[DESCRIPCION],MObra[UN],,0),"")</f>
        <v>día</v>
      </c>
      <c r="D3093" s="31">
        <v>1</v>
      </c>
      <c r="E3093" s="32">
        <f>IFERROR(_xlfn.XLOOKUP($B3093,MObra[DESCRIPCION],MObra[VALOR UNIT],,0),"")</f>
        <v>419187.66786000005</v>
      </c>
      <c r="F3093" s="33">
        <v>-100</v>
      </c>
      <c r="G3093" s="34">
        <f>IFERROR(IF(F3093&gt;=0,D3093*E3093*(1+F3093/100),ABS(D3093*E3093/F3093)),"")</f>
        <v>4191.8766786000006</v>
      </c>
      <c r="H3093" s="43">
        <f>IFERROR(G3093*E3077,"")</f>
        <v>0</v>
      </c>
    </row>
    <row r="3094" spans="1:11">
      <c r="A3094" s="28"/>
      <c r="B3094" s="29"/>
      <c r="C3094" s="30" t="str">
        <f>IFERROR(_xlfn.XLOOKUP(B3094,MObra[DESCRIPCION],MObra[UN],,0),"")</f>
        <v/>
      </c>
      <c r="D3094" s="31"/>
      <c r="E3094" s="32" t="str">
        <f>IFERROR(_xlfn.XLOOKUP($B3094,MObra[DESCRIPCION],MObra[VALOR UNIT],,0),"")</f>
        <v/>
      </c>
      <c r="F3094" s="33"/>
      <c r="G3094" s="34" t="str">
        <f>IFERROR(IF(F3094&gt;=0,D3094*E3094*(1+F3094/100),ABS(D3094*E3094/F3094)),"")</f>
        <v/>
      </c>
      <c r="H3094" s="43" t="str">
        <f>IFERROR(G3094*E3077,"")</f>
        <v/>
      </c>
    </row>
    <row r="3095" spans="1:11" ht="13.15" thickBot="1">
      <c r="A3095" s="35"/>
      <c r="B3095" s="36"/>
      <c r="C3095" s="37" t="str">
        <f>IFERROR(_xlfn.XLOOKUP(B3095,MObra[DESCRIPCION],MObra[UN],,0),"")</f>
        <v/>
      </c>
      <c r="D3095" s="38"/>
      <c r="E3095" s="39" t="str">
        <f>IFERROR(_xlfn.XLOOKUP($B3095,MObra[DESCRIPCION],MObra[VALOR UNIT],,0),"")</f>
        <v/>
      </c>
      <c r="F3095" s="40"/>
      <c r="G3095" s="41" t="str">
        <f>IFERROR(IF(F3095&gt;=0,D3095*E3095*(1+F3095/100),ABS(D3095*E3095/F3095)),"")</f>
        <v/>
      </c>
      <c r="H3095" s="42" t="str">
        <f>IFERROR(G3095*E3077,"")</f>
        <v/>
      </c>
    </row>
    <row r="3096" spans="1:11" ht="13.5" thickTop="1" thickBot="1"/>
    <row r="3097" spans="1:11" ht="13.5" thickTop="1" thickBot="1">
      <c r="A3097" s="6" t="s">
        <v>2034</v>
      </c>
      <c r="B3097" s="7" t="str">
        <f>VLOOKUP($A3097,Presupuesto!$A:$D,2,FALSE())</f>
        <v>Zapata concreto 20.7 Mpa estribo aletas</v>
      </c>
      <c r="C3097" s="8" t="str">
        <f>VLOOKUP($A3097,Presupuesto!$A:$D,3,FALSE())</f>
        <v>M3</v>
      </c>
      <c r="D3097" s="9"/>
      <c r="E3097" s="10">
        <f>VLOOKUP($A3097,Presupuesto!$A:$D,4,FALSE())</f>
        <v>0</v>
      </c>
      <c r="F3097" s="11" t="s">
        <v>2589</v>
      </c>
      <c r="G3097" s="12">
        <f>SUM(G3099:G3115)/2</f>
        <v>1063566.5982878318</v>
      </c>
      <c r="H3097" s="13">
        <f>ROUND(SUM(H3099:H3115),0)/2</f>
        <v>0</v>
      </c>
      <c r="I3097" s="10">
        <f>VLOOKUP(A3097,Presupuesto!$A:$F,6,0)</f>
        <v>0</v>
      </c>
      <c r="J3097" s="10">
        <f>+H3097-I3097</f>
        <v>0</v>
      </c>
      <c r="K3097" s="46">
        <f>+H3097-G3097*E3097</f>
        <v>0</v>
      </c>
    </row>
    <row r="3098" spans="1:11" ht="13.15" thickTop="1">
      <c r="A3098" s="14"/>
      <c r="B3098" s="15" t="s">
        <v>2586</v>
      </c>
      <c r="C3098" s="15" t="s">
        <v>5</v>
      </c>
      <c r="D3098" s="16" t="s">
        <v>6</v>
      </c>
      <c r="E3098" s="17" t="s">
        <v>7</v>
      </c>
      <c r="F3098" s="18" t="s">
        <v>3728</v>
      </c>
      <c r="G3098" s="19" t="s">
        <v>3729</v>
      </c>
      <c r="H3098" s="20" t="s">
        <v>3797</v>
      </c>
    </row>
    <row r="3099" spans="1:11">
      <c r="A3099" s="21"/>
      <c r="B3099" s="22" t="s">
        <v>3730</v>
      </c>
      <c r="C3099" s="23"/>
      <c r="D3099" s="24"/>
      <c r="E3099" s="25"/>
      <c r="F3099" s="26"/>
      <c r="G3099" s="27">
        <f>SUM(G3100:G3104)</f>
        <v>901576.83872438176</v>
      </c>
      <c r="H3099" s="27">
        <f>IFERROR(G3099*E3097,"")</f>
        <v>0</v>
      </c>
    </row>
    <row r="3100" spans="1:11">
      <c r="A3100" s="28"/>
      <c r="B3100" s="29" t="s">
        <v>2868</v>
      </c>
      <c r="C3100" s="30" t="str">
        <f>IFERROR(_xlfn.XLOOKUP(B3100,Insumo[DESCRIPCION],Insumo[UND],,0),"")</f>
        <v>M3</v>
      </c>
      <c r="D3100" s="31">
        <v>1</v>
      </c>
      <c r="E3100" s="32">
        <f>IFERROR(_xlfn.XLOOKUP($B3100,Insumo[DESCRIPCION],Insumo[VALOR],,0),"")</f>
        <v>718719.75</v>
      </c>
      <c r="F3100" s="33"/>
      <c r="G3100" s="34">
        <f>IFERROR(IF(F3100&gt;=0,D3100*E3100*(1+F3100/100),ABS(D3100*E3100/F3100)),"")</f>
        <v>718719.75</v>
      </c>
      <c r="H3100" s="43">
        <f>IFERROR(G3100*E3097,"")</f>
        <v>0</v>
      </c>
    </row>
    <row r="3101" spans="1:11">
      <c r="A3101" s="28"/>
      <c r="B3101" s="29" t="s">
        <v>2954</v>
      </c>
      <c r="C3101" s="30" t="str">
        <f>IFERROR(_xlfn.XLOOKUP(B3101,Insumo[DESCRIPCION],Insumo[UND],,0),"")</f>
        <v>M2</v>
      </c>
      <c r="D3101" s="31">
        <v>1.5</v>
      </c>
      <c r="E3101" s="32">
        <f>IFERROR(_xlfn.XLOOKUP($B3101,Insumo[DESCRIPCION],Insumo[VALOR],,0),"")</f>
        <v>102154.92581625449</v>
      </c>
      <c r="F3101" s="33"/>
      <c r="G3101" s="34">
        <f>IFERROR(IF(F3101&gt;=0,D3101*E3101*(1+F3101/100),ABS(D3101*E3101/F3101)),"")</f>
        <v>153232.38872438174</v>
      </c>
      <c r="H3101" s="43">
        <f>IFERROR(G3101*E3097,"")</f>
        <v>0</v>
      </c>
    </row>
    <row r="3102" spans="1:11">
      <c r="A3102" s="28"/>
      <c r="B3102" s="29" t="s">
        <v>2709</v>
      </c>
      <c r="C3102" s="30" t="str">
        <f>IFERROR(_xlfn.XLOOKUP(B3102,Insumo[DESCRIPCION],Insumo[UND],,0),"")</f>
        <v>Kg</v>
      </c>
      <c r="D3102" s="31">
        <v>2</v>
      </c>
      <c r="E3102" s="32">
        <f>IFERROR(_xlfn.XLOOKUP($B3102,Insumo[DESCRIPCION],Insumo[VALOR],,0),"")</f>
        <v>14812.35</v>
      </c>
      <c r="F3102" s="33"/>
      <c r="G3102" s="34">
        <f>IFERROR(IF(F3102&gt;=0,D3102*E3102*(1+F3102/100),ABS(D3102*E3102/F3102)),"")</f>
        <v>29624.7</v>
      </c>
      <c r="H3102" s="43">
        <f>IFERROR(G3102*E3097,"")</f>
        <v>0</v>
      </c>
    </row>
    <row r="3103" spans="1:11">
      <c r="A3103" s="28"/>
      <c r="B3103" s="29"/>
      <c r="C3103" s="30" t="str">
        <f>IFERROR(_xlfn.XLOOKUP(B3103,Insumo[DESCRIPCION],Insumo[UND],,0),"")</f>
        <v/>
      </c>
      <c r="D3103" s="31"/>
      <c r="E3103" s="32" t="str">
        <f>IFERROR(_xlfn.XLOOKUP($B3103,Insumo[DESCRIPCION],Insumo[VALOR],,0),"")</f>
        <v/>
      </c>
      <c r="F3103" s="33"/>
      <c r="G3103" s="34" t="str">
        <f>IFERROR(IF(F3103&gt;=0,D3103*E3103*(1+F3103/100),ABS(D3103*E3103/F3103)),"")</f>
        <v/>
      </c>
      <c r="H3103" s="43" t="str">
        <f>IFERROR(G3103*E3097,"")</f>
        <v/>
      </c>
    </row>
    <row r="3104" spans="1:11">
      <c r="A3104" s="28"/>
      <c r="B3104" s="29"/>
      <c r="C3104" s="30" t="str">
        <f>IFERROR(_xlfn.XLOOKUP(B3104,Insumo[DESCRIPCION],Insumo[UND],,0),"")</f>
        <v/>
      </c>
      <c r="D3104" s="31"/>
      <c r="E3104" s="32" t="str">
        <f>IFERROR(_xlfn.XLOOKUP($B3104,Insumo[DESCRIPCION],Insumo[VALOR],,0),"")</f>
        <v/>
      </c>
      <c r="F3104" s="33"/>
      <c r="G3104" s="34" t="str">
        <f>IFERROR(IF(F3104&gt;=0,D3104*E3104*(1+F3104/100),ABS(D3104*E3104/F3104)),"")</f>
        <v/>
      </c>
      <c r="H3104" s="43" t="str">
        <f>IFERROR(G3104*E3097,"")</f>
        <v/>
      </c>
    </row>
    <row r="3105" spans="1:8">
      <c r="A3105" s="21"/>
      <c r="B3105" s="22" t="s">
        <v>3731</v>
      </c>
      <c r="C3105" s="23"/>
      <c r="D3105" s="24"/>
      <c r="E3105" s="25"/>
      <c r="F3105" s="26"/>
      <c r="G3105" s="27">
        <f>SUM(G3106:G3108)</f>
        <v>29246.998074450003</v>
      </c>
      <c r="H3105" s="27">
        <f>IFERROR(G3105*E3097,"")</f>
        <v>0</v>
      </c>
    </row>
    <row r="3106" spans="1:8">
      <c r="A3106" s="28"/>
      <c r="B3106" s="29" t="s">
        <v>3657</v>
      </c>
      <c r="C3106" s="30" t="str">
        <f>IFERROR(_xlfn.XLOOKUP(B3106,Equipo[DESCRIPCION],Equipo[UND],,0),"")</f>
        <v>Día</v>
      </c>
      <c r="D3106" s="31">
        <v>1</v>
      </c>
      <c r="E3106" s="32">
        <f>IF(C3106="%MO",G3112,IFERROR(_xlfn.XLOOKUP($B3106,Equipo[DESCRIPCION],Equipo[VALOR],,0),""))</f>
        <v>56524.65</v>
      </c>
      <c r="F3106" s="33">
        <v>-2.5</v>
      </c>
      <c r="G3106" s="34">
        <f>IFERROR(IF(F3106&gt;=0,D3106*E3106*(1+F3106/100),ABS(D3106*E3106/F3106)),"")</f>
        <v>22609.86</v>
      </c>
      <c r="H3106" s="43">
        <f>IFERROR(G3106*E3097,"")</f>
        <v>0</v>
      </c>
    </row>
    <row r="3107" spans="1:8">
      <c r="A3107" s="28"/>
      <c r="B3107" s="29" t="s">
        <v>3626</v>
      </c>
      <c r="C3107" s="30" t="str">
        <f>IFERROR(_xlfn.XLOOKUP(B3107,Equipo[DESCRIPCION],Equipo[UND],,0),"")</f>
        <v>%MO</v>
      </c>
      <c r="D3107" s="31">
        <v>0.05</v>
      </c>
      <c r="E3107" s="32">
        <f>IF(C3107="%MO",G3112,IFERROR(_xlfn.XLOOKUP($B3107,Equipo[DESCRIPCION],Equipo[VALOR],,0),""))</f>
        <v>132742.76148900003</v>
      </c>
      <c r="F3107" s="33"/>
      <c r="G3107" s="34">
        <f>IFERROR(IF(F3107&gt;=0,D3107*E3107*(1+F3107/100),ABS(D3107*E3107/F3107)),"")</f>
        <v>6637.138074450002</v>
      </c>
      <c r="H3107" s="43">
        <f>IFERROR(G3107*E3097,"")</f>
        <v>0</v>
      </c>
    </row>
    <row r="3108" spans="1:8">
      <c r="A3108" s="28"/>
      <c r="B3108" s="29"/>
      <c r="C3108" s="30" t="str">
        <f>IFERROR(_xlfn.XLOOKUP(B3108,Equipo[DESCRIPCION],Equipo[UND],,0),"")</f>
        <v/>
      </c>
      <c r="D3108" s="31"/>
      <c r="E3108" s="32" t="str">
        <f>IF(C3108="%MO",G3112,IFERROR(_xlfn.XLOOKUP($B3108,Equipo[DESCRIPCION],Equipo[VALOR],,0),""))</f>
        <v/>
      </c>
      <c r="F3108" s="33"/>
      <c r="G3108" s="34" t="str">
        <f>IFERROR(IF(F3108&gt;=0,D3108*E3108*(1+F3108/100),ABS(D3108*E3108/F3108)),"")</f>
        <v/>
      </c>
      <c r="H3108" s="43" t="str">
        <f>IFERROR(G3108*E3097,"")</f>
        <v/>
      </c>
    </row>
    <row r="3109" spans="1:8">
      <c r="A3109" s="21"/>
      <c r="B3109" s="22" t="s">
        <v>2533</v>
      </c>
      <c r="C3109" s="23"/>
      <c r="D3109" s="24"/>
      <c r="E3109" s="25"/>
      <c r="F3109" s="26"/>
      <c r="G3109" s="27">
        <f>SUM(G3110:G3111)</f>
        <v>0</v>
      </c>
      <c r="H3109" s="27">
        <f>IFERROR(G3109*E3097,"")</f>
        <v>0</v>
      </c>
    </row>
    <row r="3110" spans="1:8">
      <c r="A3110" s="28"/>
      <c r="B3110" s="29"/>
      <c r="C3110" s="30" t="str">
        <f>IFERROR(_xlfn.XLOOKUP(B3110,Transporte[DESCRIPCION],Transporte[UND],,0),"")</f>
        <v/>
      </c>
      <c r="D3110" s="31"/>
      <c r="E3110" s="32" t="str">
        <f>IFERROR(_xlfn.XLOOKUP($B3110,Transporte[DESCRIPCION],Transporte[VALOR],,0),"")</f>
        <v/>
      </c>
      <c r="F3110" s="33"/>
      <c r="G3110" s="34" t="str">
        <f>IFERROR(IF(F3110&gt;=0,D3110*E3110*(1+F3110/100),ABS(D3110*E3110/F3110)),"")</f>
        <v/>
      </c>
      <c r="H3110" s="43" t="str">
        <f>IFERROR(G3110*E3097,"")</f>
        <v/>
      </c>
    </row>
    <row r="3111" spans="1:8">
      <c r="A3111" s="28"/>
      <c r="B3111" s="29"/>
      <c r="C3111" s="30" t="str">
        <f>IFERROR(_xlfn.XLOOKUP(B3111,Transporte[DESCRIPCION],Transporte[UND],,0),"")</f>
        <v/>
      </c>
      <c r="D3111" s="31"/>
      <c r="E3111" s="32" t="str">
        <f>IFERROR(_xlfn.XLOOKUP($B3111,Transporte[DESCRIPCION],Transporte[VALOR],,0),"")</f>
        <v/>
      </c>
      <c r="F3111" s="33"/>
      <c r="G3111" s="34" t="str">
        <f>IFERROR(IF(F3111&gt;=0,D3111*E3111*(1+F3111/100),ABS(D3111*E3111/F3111)),"")</f>
        <v/>
      </c>
      <c r="H3111" s="43" t="str">
        <f>IFERROR(G3111*E3097,"")</f>
        <v/>
      </c>
    </row>
    <row r="3112" spans="1:8">
      <c r="A3112" s="21"/>
      <c r="B3112" s="22" t="s">
        <v>3732</v>
      </c>
      <c r="C3112" s="23"/>
      <c r="D3112" s="24"/>
      <c r="E3112" s="25"/>
      <c r="F3112" s="26"/>
      <c r="G3112" s="27">
        <f>SUM(G3113:G3115)</f>
        <v>132742.76148900003</v>
      </c>
      <c r="H3112" s="27">
        <f>IFERROR(G3112*E3097,"")</f>
        <v>0</v>
      </c>
    </row>
    <row r="3113" spans="1:8">
      <c r="A3113" s="28"/>
      <c r="B3113" s="29" t="s">
        <v>3713</v>
      </c>
      <c r="C3113" s="30" t="str">
        <f>IFERROR(_xlfn.XLOOKUP(B3113,MObra[DESCRIPCION],MObra[UN],,0),"")</f>
        <v>día</v>
      </c>
      <c r="D3113" s="31">
        <v>1</v>
      </c>
      <c r="E3113" s="32">
        <f>IFERROR(_xlfn.XLOOKUP($B3113,MObra[DESCRIPCION],MObra[VALOR UNIT],,0),"")</f>
        <v>663713.80744500016</v>
      </c>
      <c r="F3113" s="33">
        <v>-5</v>
      </c>
      <c r="G3113" s="34">
        <f>IFERROR(IF(F3113&gt;=0,D3113*E3113*(1+F3113/100),ABS(D3113*E3113/F3113)),"")</f>
        <v>132742.76148900003</v>
      </c>
      <c r="H3113" s="43">
        <f>IFERROR(G3113*E3097,"")</f>
        <v>0</v>
      </c>
    </row>
    <row r="3114" spans="1:8">
      <c r="A3114" s="28"/>
      <c r="B3114" s="29"/>
      <c r="C3114" s="30" t="str">
        <f>IFERROR(_xlfn.XLOOKUP(B3114,MObra[DESCRIPCION],MObra[UN],,0),"")</f>
        <v/>
      </c>
      <c r="D3114" s="31"/>
      <c r="E3114" s="32" t="str">
        <f>IFERROR(_xlfn.XLOOKUP($B3114,MObra[DESCRIPCION],MObra[VALOR UNIT],,0),"")</f>
        <v/>
      </c>
      <c r="F3114" s="33"/>
      <c r="G3114" s="34" t="str">
        <f>IFERROR(IF(F3114&gt;=0,D3114*E3114*(1+F3114/100),ABS(D3114*E3114/F3114)),"")</f>
        <v/>
      </c>
      <c r="H3114" s="43" t="str">
        <f>IFERROR(G3114*E3097,"")</f>
        <v/>
      </c>
    </row>
    <row r="3115" spans="1:8" ht="13.15" thickBot="1">
      <c r="A3115" s="35"/>
      <c r="B3115" s="36"/>
      <c r="C3115" s="37" t="str">
        <f>IFERROR(_xlfn.XLOOKUP(B3115,MObra[DESCRIPCION],MObra[UN],,0),"")</f>
        <v/>
      </c>
      <c r="D3115" s="38"/>
      <c r="E3115" s="39" t="str">
        <f>IFERROR(_xlfn.XLOOKUP($B3115,MObra[DESCRIPCION],MObra[VALOR UNIT],,0),"")</f>
        <v/>
      </c>
      <c r="F3115" s="40"/>
      <c r="G3115" s="41" t="str">
        <f>IFERROR(IF(F3115&gt;=0,D3115*E3115*(1+F3115/100),ABS(D3115*E3115/F3115)),"")</f>
        <v/>
      </c>
      <c r="H3115" s="42" t="str">
        <f>IFERROR(G3115*E3097,"")</f>
        <v/>
      </c>
    </row>
    <row r="3116" spans="1:8" ht="13.15" thickTop="1"/>
  </sheetData>
  <mergeCells count="3">
    <mergeCell ref="B1:G1"/>
    <mergeCell ref="B2:G2"/>
    <mergeCell ref="B3:G3"/>
  </mergeCells>
  <dataValidations count="1">
    <dataValidation type="list" allowBlank="1" showInputMessage="1" showErrorMessage="1" sqref="B7:B21 B41:B55 B75:B89 B109:B123 B143:B158 B178:B182 B198:B202 B218:B222 B238:B242 B255 B259:B263 B280:B284 B301:B305 B322:B326 B343:B347 B364:B368 B384:B388 B400 B404:B408 B421 B425:B429 B445:B449 B465:B469 B485:B489 B505:B509 B525:B529 B545:B549 B565:B569 B585:B589 B605:B609 B625:B629 B641 B645:B649 B665:B669 B686:B690 B706:B710 B726:B730 B746:B750 B766:B770 B786:B790 B806:B810 B826:B830 B846:B850 B862 B866:B870 B886:B890 B906:B910 B926:B930 B942 B946:B950 B966:B970 B986:B990 B1006:B1010 B1026:B1030 B1046:B1050 B1062 B1066:B1070 B1086:B1090 B1106:B1110 B1126:B1130 B1146:B1150 B1166:B1170 B1186:B1190 B1206:B1210 B1226:B1230 B1246:B1250 B1266:B1270 B1286:B1290 B1306:B1312 B1328:B1334 B1350:B1354 B1372:B1376 B1394:B1398 B1416:B1420 B1436:B1440 B1459:B1463 B1479:B1483 B1499:B1503 B1519:B1523 B1539:B1543 B1559:B1564 B1580:B1584 B1600:B1604 B1620:B1624 B1640:B1644 B1660:B1664 B1680:B1684 B1700:B1704 B1720:B1724 B1740:B1744 B1760:B1764 B1776 B1780:B1784 B1800:B1804 B1820:B1824 B1840:B1844 B1860:B1864 B1880:B1884 B1900:B1904 B2040:B2044 B1920:B1924 B1940:B1944 B1980:B1984 B2000:B2004 B2020:B2024 B2616:B2620 B2060:B2064 B2080:B2084 B2100:B2104 B2120:B2124 B2136 B2140:B2144 B2160:B2164 B2180:B2184 B2200:B2204 B2698:B2702 B2242:B2246 B2260 B2264:B2268 B2286:B2290 B2308:B2312 B2221:B2225 B2352:B2356 B2330:B2334 B2396:B2400 B2418:B2422 B2440:B2444 B2462:B2466 B2484:B2488 B2528:B2532 B2550:B2554 B2638:B2642 B2654 B2658:B2662 B2678:B2682 B2374:B2378 B2506:B2510 B2572:B2576 B2594:B2598 B2036 B2056 B1960:B1964 B2718:B2722 B2738:B2742 B2758:B2762 B2778:B2782 B3100:B3104 B2798:B2802 B2838:B2842 B2854 B2858:B2862 B2878:B2882 B2894 B2898:B2902 B2918:B2922 B2938:B2942 B2958:B2962 B2978:B2982 B2998:B3002 B3014 B3018:B3022 B3038:B3042 B2818:B2822 B3080:B3084 B3059:B3063" xr:uid="{00000000-0002-0000-1900-000000000000}">
      <formula1>Desinsum</formula1>
      <formula2>0</formula2>
    </dataValidation>
  </dataValidations>
  <printOptions horizontalCentered="1"/>
  <pageMargins left="0.59055118110236227" right="0.59055118110236227" top="0.59055118110236227" bottom="0.59055118110236227" header="0.51181102362204722" footer="0.51181102362204722"/>
  <pageSetup scale="64" orientation="portrait" horizontalDpi="300" verticalDpi="300" r:id="rId1"/>
  <rowBreaks count="39" manualBreakCount="39">
    <brk id="70" max="6" man="1"/>
    <brk id="138" max="6" man="1"/>
    <brk id="213" max="6" man="1"/>
    <brk id="296" max="6" man="1"/>
    <brk id="379" max="6" man="1"/>
    <brk id="460" max="6" man="1"/>
    <brk id="540" max="6" man="1"/>
    <brk id="620" max="6" man="1"/>
    <brk id="701" max="6" man="1"/>
    <brk id="781" max="6" man="1"/>
    <brk id="861" max="6" man="1"/>
    <brk id="941" max="6" man="1"/>
    <brk id="1021" max="6" man="1"/>
    <brk id="1101" max="6" man="1"/>
    <brk id="1181" max="6" man="1"/>
    <brk id="1261" max="6" man="1"/>
    <brk id="1345" max="6" man="1"/>
    <brk id="1431" max="6" man="1"/>
    <brk id="1514" max="6" man="1"/>
    <brk id="1595" max="6" man="1"/>
    <brk id="1675" max="6" man="1"/>
    <brk id="1755" max="6" man="1"/>
    <brk id="1835" max="6" man="1"/>
    <brk id="1915" max="6" man="1"/>
    <brk id="1995" max="6" man="1"/>
    <brk id="2075" max="6" man="1"/>
    <brk id="2155" max="6" man="1"/>
    <brk id="2237" max="6" man="1"/>
    <brk id="2303" max="6" man="1"/>
    <brk id="2369" max="6" man="1"/>
    <brk id="2435" max="6" man="1"/>
    <brk id="2501" max="6" man="1"/>
    <brk id="2567" max="6" man="1"/>
    <brk id="2633" max="6" man="1"/>
    <brk id="2713" max="6" man="1"/>
    <brk id="2793" max="6" man="1"/>
    <brk id="2873" max="6" man="1"/>
    <brk id="2953" max="6" man="1"/>
    <brk id="3033" max="6" man="1"/>
  </rowBreaks>
  <colBreaks count="1" manualBreakCount="1">
    <brk id="7" max="1048575" man="1"/>
  </colBreaks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1900-000001000000}">
          <x14:formula1>
            <xm:f>Transporte!$A$4:$A$9</xm:f>
          </x14:formula1>
          <x14:formula2>
            <xm:f>0</xm:f>
          </x14:formula2>
          <xm:sqref>B31:B32 B65:B66 B99:B100 B133:B134 B168:B169 B188:B189 B208:B209 B228:B229 B249:B250 B270:B271 B291:B292 B312:B313 B333:B334 B354:B355 B374:B375 B394:B395 B414:B415 B435:B436 B455:B456 B475:B476 B495:B496 B515:B516 B535:B536 B555:B556 B575:B576 B595:B596 B615:B616 B635:B636 B655:B656 B675:B676 B696:B697 B716:B717 B736:B737 B756:B757 B776:B777 B796:B797 B816:B817 B836:B837 B856:B857 B876:B877 B896:B897 B916:B917 B936:B937 B956:B957 B976:B977 B996:B997 B1016:B1017 B1036:B1037 B1056:B1057 B1076:B1077 B1096:B1097 B1116:B1117 B1136:B1137 B1156:B1157 B1176:B1177 B1196:B1197 B1216:B1217 B1236:B1237 B1256:B1257 B1276:B1277 B1296:B1297 B1318:B1319 B1340:B1341 B1362:B1363 B1384:B1385 B1406:B1407 B1426:B1427 B1449:B1450 B1469:B1470 B1489:B1490 B1509:B1510 B1529:B1530 B1549:B1550 B1570:B1571 B1590:B1591 B1610:B1611 B1630:B1631 B1650:B1651 B1670:B1671 B1690:B1691 B1710:B1711 B1730:B1731 B1750:B1751 B1770:B1771 B1790:B1791 B1810:B1811 B1830:B1831 B1850:B1851 B1870:B1871 B1890:B1891 B1910:B1911 B1930:B1931 B2050:B2051 B1950:B1951 B1990:B1991 B2010:B2011 B2030:B2031 B2070:B2071 B2090:B2091 B2110:B2111 B2130:B2131 B2150:B2151 B2170:B2171 B2190:B2191 B2211:B2212 B2708:B2709 B2254:B2255 B2276:B2277 B2298:B2299 B2320:B2321 B2232:B2233 B2364:B2365 B2342:B2343 B2408:B2409 B2430:B2431 B2452:B2453 B2474:B2475 B2496:B2497 B2540:B2541 B2562:B2563 B2648:B2649 B2668:B2669 B2688:B2689 B2386:B2387 B2518:B2519 B2584:B2585 B2606:B2607 B2628:B2629 B1970:B1971 B2728:B2729 B2748:B2749 B2768:B2769 B2788:B2789 B3110:B3111 B2808:B2809 B2848:B2849 B2868:B2869 B2888:B2889 B2908:B2909 B2928:B2929 B2948:B2949 B2968:B2969 B2988:B2989 B3008:B3009 B3028:B3029 B3049:B3050 B2828:B2829 B3090:B3091 B3070:B3071</xm:sqref>
        </x14:dataValidation>
        <x14:dataValidation type="list" allowBlank="1" showInputMessage="1" showErrorMessage="1" xr:uid="{00000000-0002-0000-1900-000002000000}">
          <x14:formula1>
            <xm:f>'Mano de obra'!$B$31:$B$58</xm:f>
          </x14:formula1>
          <x14:formula2>
            <xm:f>0</xm:f>
          </x14:formula2>
          <xm:sqref>B34:B36 B68:B70 B102:B104 B136:B138 B171:B173 B191:B193 B211:B213 B231:B233 B252:B254 B273:B275 B294:B296 B315:B317 B336:B338 B357:B359 B377:B380 B397:B399 B417:B419 B438:B440 B458:B460 B478:B480 B498:B500 B518:B520 B538:B540 B558:B560 B578:B580 B598:B600 B618:B620 B638:B640 B658:B660 B678:B681 B699:B701 B719:B721 B739:B741 B759:B761 B779:B781 B799:B801 B819:B821 B839:B841 B859:B861 B879:B881 B899:B901 B919:B921 B939:B941 B959:B961 B979:B981 B999:B1001 B1019:B1021 B1039:B1041 B1059:B1061 B1079:B1081 B1099:B1101 B3073:B3075 B1139:B1141 B1159:B1161 B1179:B1181 B1199:B1201 B1219:B1221 B1239:B1241 B1259:B1261 B1279:B1281 B1299:B1301 B1321:B1323 B1343:B1345 B1365:B1367 B1387:B1389 B1409:B1411 B1429:B1431 B1452:B1454 B1472:B1474 B1492:B1494 B1512:B1514 B1532:B1534 B1552:B1554 B1573:B1575 B1593:B1595 B1613:B1615 B1633:B1635 B1653:B1655 B1673:B1675 B1693:B1695 B1713:B1715 B1733:B1735 B1753:B1755 B1773:B1775 B1793:B1795 B1813:B1815 B1833:B1835 B1853:B1855 B1873:B1875 B1893:B1895 B1913:B1915 B1933:B1935 B2053:B2055 B1953:B1955 B1993:B1995 B2013:B2015 B2033:B2035 B2073:B2075 B2093:B2095 B2113:B2115 B2133:B2135 B2153:B2155 B2173:B2175 B2193:B2195 B2214:B2216 B2711:B2713 B2257:B2259 B2279:B2281 B2301:B2303 B2323:B2325 B2235:B2237 B2367:B2369 B2345:B2347 B2411:B2413 B2433:B2436 B2455:B2457 B2477:B2479 B2389:B2391 B2543:B2545 B2565:B2567 B2651:B2653 B2671:B2673 B2691:B2693 B2499:B2502 B2521:B2524 B2587:B2589 B2609:B2611 B2631:B2633 B1973:B1975 B2731:B2733 B2751:B2753 B2771:B2773 B2791:B2793 B3113:B3115 B2811:B2813 B2851:B2853 B2871:B2873 B2891:B2893 B2911:B2913 B2931:B2933 B2951:B2953 B2971:B2973 B2991:B2993 B3011:B3013 B3031:B3033 B3052:B3054 B2831:B2833 B3093:B3095 B1119:B1121</xm:sqref>
        </x14:dataValidation>
        <x14:dataValidation type="list" allowBlank="1" showInputMessage="1" showErrorMessage="1" xr:uid="{00000000-0002-0000-1900-000003000000}">
          <x14:formula1>
            <xm:f>Equipo!$A$4:$A$90</xm:f>
          </x14:formula1>
          <x14:formula2>
            <xm:f>0</xm:f>
          </x14:formula2>
          <xm:sqref>B23:B29 B160:B166 B1606:B1608 B1586:B1588 B1566:B1568 B1545:B1547 B1525:B1527 B1505:B1507 B1485:B1487 B1465:B1467 B1442:B1447 B1422:B1424 B1400:B1404 B1378:B1382 B1356:B1360 B1336:B1338 B1314:B1316 B1292:B1294 B1272:B1274 B1252:B1254 B1232:B1234 B1212:B1214 B1192:B1194 B1172:B1174 B1152:B1154 B1132:B1134 B1112:B1114 B1092:B1094 B1072:B1074 B1052:B1054 B1032:B1034 B1012:B1014 B992:B994 B972:B974 B952:B954 B932:B934 B912:B914 B892:B894 B872:B874 B852:B854 B832:B834 B812:B814 B792:B794 B772:B774 B752:B754 B732:B734 B712:B714 B692:B694 B671:B673 B651:B653 B631:B633 B611:B613 B591:B593 B571:B573 B551:B553 B531:B533 B511:B513 B491:B493 B471:B473 B451:B453 B431:B433 B410:B412 B390:B392 B370:B372 B349:B352 B328:B331 B307:B310 B286:B289 B265:B268 B244:B247 B224:B226 B204:B206 B184:B186 B125:B131 B91:B97 B1626:B1628 B57:B63 B1646:B1648 B1826:B1828 B1806:B1808 B1786:B1788 B1766:B1768 B1746:B1748 B1726:B1728 B1706:B1708 B1686:B1688 B1666:B1668 B1846:B1848 B2186:B2188 B2684:B2686 B2664:B2666 B2556:B2560 B2534:B2538 B2490:B2494 B2468:B2472 B2446:B2450 B2424:B2428 B2402:B2406 B2336:B2340 B2358:B2362 B2227:B2230 B2314:B2318 B2292:B2296 B2270:B2274 B2248:B2252 B2704:B2706 B2206:B2209 B2166:B2168 B2146:B2148 B1906:B1908 B2126:B2128 B2106:B2108 B2086:B2088 B2066:B2068 B3065:B3068 B2006:B2008 B1986:B1988 B1946:B1948 B2380:B2384 B1926:B1928 B1886:B1888 B1966:B1968 B1866:B1868 B2512:B2516 B2578:B2582 B2600:B2604 B2622:B2626 B2046:B2048 B2644:B2646 B2724:B2726 B2824:B2826 B3086:B3088 B3044:B3047 B2744:B2746 B3024:B3026 B3004:B3006 B2984:B2986 B2964:B2966 B2944:B2946 B2924:B2926 B2904:B2906 B2884:B2886 B2864:B2866 B2844:B2846 B2804:B2806 B3106:B3108 B2784:B2786 B2764:B2766 B2026:B2028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tabColor rgb="FF92D050"/>
  </sheetPr>
  <dimension ref="A1:K2186"/>
  <sheetViews>
    <sheetView view="pageBreakPreview" topLeftCell="A2162" zoomScale="90" zoomScaleNormal="100" zoomScaleSheetLayoutView="90" zoomScalePageLayoutView="80" workbookViewId="0">
      <selection activeCell="B1387" sqref="B1387"/>
    </sheetView>
  </sheetViews>
  <sheetFormatPr baseColWidth="10" defaultColWidth="10.73046875" defaultRowHeight="12.75"/>
  <cols>
    <col min="1" max="1" width="8.73046875" style="48" customWidth="1"/>
    <col min="2" max="2" width="65.73046875" style="3" customWidth="1"/>
    <col min="3" max="3" width="10.73046875" style="3" customWidth="1"/>
    <col min="4" max="4" width="11.73046875" style="3" customWidth="1"/>
    <col min="5" max="5" width="13.73046875" style="49" customWidth="1"/>
    <col min="6" max="6" width="12.73046875" style="3" customWidth="1"/>
    <col min="7" max="10" width="14.73046875" style="3" customWidth="1"/>
    <col min="11" max="11" width="10.73046875" style="3" customWidth="1"/>
    <col min="12" max="16384" width="10.73046875" style="3"/>
  </cols>
  <sheetData>
    <row r="1" spans="1:11">
      <c r="A1" s="1"/>
      <c r="B1" s="316" t="str">
        <f>Presupuesto!A1</f>
        <v>ALCALDIA DE PEREIRA</v>
      </c>
      <c r="C1" s="316"/>
      <c r="D1" s="316"/>
      <c r="E1" s="316"/>
      <c r="F1" s="316"/>
      <c r="G1" s="316"/>
      <c r="H1" s="2"/>
    </row>
    <row r="2" spans="1:11">
      <c r="A2" s="1"/>
      <c r="B2" s="316" t="str">
        <f>Presupuesto!A2</f>
        <v>VERSION O BASE DE DATOS ALCALDIA DE PEREIRA 2026</v>
      </c>
      <c r="C2" s="316"/>
      <c r="D2" s="316"/>
      <c r="E2" s="316"/>
      <c r="F2" s="316"/>
      <c r="G2" s="316"/>
      <c r="H2" s="2"/>
    </row>
    <row r="3" spans="1:11">
      <c r="A3" s="4"/>
      <c r="B3" s="323" t="s">
        <v>3796</v>
      </c>
      <c r="C3" s="323"/>
      <c r="D3" s="323"/>
      <c r="E3" s="323"/>
      <c r="F3" s="323"/>
      <c r="G3" s="323"/>
      <c r="H3" s="5"/>
    </row>
    <row r="4" spans="1:11" ht="25.5">
      <c r="A4" s="6" t="s">
        <v>2038</v>
      </c>
      <c r="B4" s="7" t="str">
        <f>VLOOKUP($A4,Presupuesto!$A:$D,2,FALSE())</f>
        <v>Base y cañuela para cámaras de inspección Øinterior 1,20 m. Concreto 24,5 Mpa. Incluye acero de refuerzo.</v>
      </c>
      <c r="C4" s="8" t="str">
        <f>VLOOKUP($A4,Presupuesto!$A:$D,3,FALSE())</f>
        <v>Un</v>
      </c>
      <c r="D4" s="9"/>
      <c r="E4" s="10">
        <f>VLOOKUP($A4,Presupuesto!$A:$D,4,FALSE())</f>
        <v>0</v>
      </c>
      <c r="F4" s="11" t="s">
        <v>2589</v>
      </c>
      <c r="G4" s="12">
        <f>SUM(G6:G22)/2</f>
        <v>638908.59851447993</v>
      </c>
      <c r="H4" s="13">
        <f>ROUND(SUM(H6:H22),0)/2</f>
        <v>0</v>
      </c>
      <c r="I4" s="10">
        <f>VLOOKUP(A4,Presupuesto!$A:$F,6,0)</f>
        <v>0</v>
      </c>
      <c r="J4" s="10">
        <f>+H4-I4</f>
        <v>0</v>
      </c>
      <c r="K4" s="46">
        <f>+H4-G4*E4</f>
        <v>0</v>
      </c>
    </row>
    <row r="5" spans="1:11">
      <c r="A5" s="14"/>
      <c r="B5" s="15" t="s">
        <v>2586</v>
      </c>
      <c r="C5" s="15" t="s">
        <v>5</v>
      </c>
      <c r="D5" s="16" t="s">
        <v>6</v>
      </c>
      <c r="E5" s="17" t="s">
        <v>7</v>
      </c>
      <c r="F5" s="18" t="s">
        <v>3728</v>
      </c>
      <c r="G5" s="19" t="s">
        <v>3729</v>
      </c>
      <c r="H5" s="20" t="s">
        <v>3797</v>
      </c>
    </row>
    <row r="6" spans="1:11">
      <c r="A6" s="21"/>
      <c r="B6" s="22" t="s">
        <v>3730</v>
      </c>
      <c r="C6" s="23"/>
      <c r="D6" s="24"/>
      <c r="E6" s="25"/>
      <c r="F6" s="26"/>
      <c r="G6" s="27">
        <f>SUM(G7:G11)</f>
        <v>504735.27593675139</v>
      </c>
      <c r="H6" s="27">
        <f>IFERROR(G6*E4,"")</f>
        <v>0</v>
      </c>
    </row>
    <row r="7" spans="1:11">
      <c r="A7" s="28"/>
      <c r="B7" s="29" t="s">
        <v>3240</v>
      </c>
      <c r="C7" s="30" t="str">
        <f>IFERROR(_xlfn.XLOOKUP(B7,Insumo[DESCRIPCION],Insumo[UND],,0),"")</f>
        <v>M3</v>
      </c>
      <c r="D7" s="31">
        <v>0.8</v>
      </c>
      <c r="E7" s="32">
        <f>IFERROR(_xlfn.XLOOKUP($B7,Insumo[DESCRIPCION],Insumo[VALOR],,0),"")</f>
        <v>539790.3034961326</v>
      </c>
      <c r="F7" s="33">
        <v>5</v>
      </c>
      <c r="G7" s="34">
        <f>IFERROR(IF(F7&gt;=0,D7*E7*(1+F7/100),ABS(D7*E7/F7)),"")</f>
        <v>453423.85493675142</v>
      </c>
      <c r="H7" s="43">
        <f>IFERROR(G7*E4,"")</f>
        <v>0</v>
      </c>
    </row>
    <row r="8" spans="1:11">
      <c r="A8" s="28"/>
      <c r="B8" s="29" t="s">
        <v>3223</v>
      </c>
      <c r="C8" s="30" t="str">
        <f>IFERROR(_xlfn.XLOOKUP(B8,Insumo[DESCRIPCION],Insumo[UND],,0),"")</f>
        <v>Kg</v>
      </c>
      <c r="D8" s="31">
        <v>1.41</v>
      </c>
      <c r="E8" s="32">
        <f>IFERROR(_xlfn.XLOOKUP($B8,Insumo[DESCRIPCION],Insumo[VALOR],,0),"")</f>
        <v>29108.100000000002</v>
      </c>
      <c r="F8" s="33"/>
      <c r="G8" s="34">
        <f>IFERROR(IF(F8&gt;=0,D8*E8*(1+F8/100),ABS(D8*E8/F8)),"")</f>
        <v>41042.421000000002</v>
      </c>
      <c r="H8" s="43">
        <f>IFERROR(G8*E4,"")</f>
        <v>0</v>
      </c>
    </row>
    <row r="9" spans="1:11">
      <c r="A9" s="28"/>
      <c r="B9" s="29" t="s">
        <v>2824</v>
      </c>
      <c r="C9" s="30" t="str">
        <f>IFERROR(_xlfn.XLOOKUP(B9,Insumo[DESCRIPCION],Insumo[UND],,0),"")</f>
        <v>Un</v>
      </c>
      <c r="D9" s="31">
        <v>0.3</v>
      </c>
      <c r="E9" s="32">
        <f>IFERROR(_xlfn.XLOOKUP($B9,Insumo[DESCRIPCION],Insumo[VALOR],,0),"")</f>
        <v>34230</v>
      </c>
      <c r="F9" s="33"/>
      <c r="G9" s="34">
        <f>IFERROR(IF(F9&gt;=0,D9*E9*(1+F9/100),ABS(D9*E9/F9)),"")</f>
        <v>10269</v>
      </c>
      <c r="H9" s="43">
        <f>IFERROR(G9*E4,"")</f>
        <v>0</v>
      </c>
    </row>
    <row r="10" spans="1:11">
      <c r="A10" s="28"/>
      <c r="B10" s="29"/>
      <c r="C10" s="30" t="str">
        <f>IFERROR(_xlfn.XLOOKUP(B10,Insumo[DESCRIPCION],Insumo[UND],,0),"")</f>
        <v/>
      </c>
      <c r="D10" s="31"/>
      <c r="E10" s="32" t="str">
        <f>IFERROR(_xlfn.XLOOKUP($B10,Insumo[DESCRIPCION],Insumo[VALOR],,0),"")</f>
        <v/>
      </c>
      <c r="F10" s="33"/>
      <c r="G10" s="34" t="str">
        <f>IFERROR(IF(F10&gt;=0,D10*E10*(1+F10/100),ABS(D10*E10/F10)),"")</f>
        <v/>
      </c>
      <c r="H10" s="43" t="str">
        <f>IFERROR(G10*E4,"")</f>
        <v/>
      </c>
    </row>
    <row r="11" spans="1:11">
      <c r="A11" s="28"/>
      <c r="B11" s="29"/>
      <c r="C11" s="30" t="str">
        <f>IFERROR(_xlfn.XLOOKUP(B11,Insumo[DESCRIPCION],Insumo[UND],,0),"")</f>
        <v/>
      </c>
      <c r="D11" s="31"/>
      <c r="E11" s="32" t="str">
        <f>IFERROR(_xlfn.XLOOKUP($B11,Insumo[DESCRIPCION],Insumo[VALOR],,0),"")</f>
        <v/>
      </c>
      <c r="F11" s="33"/>
      <c r="G11" s="34" t="str">
        <f>IFERROR(IF(F11&gt;=0,D11*E11*(1+F11/100),ABS(D11*E11/F11)),"")</f>
        <v/>
      </c>
      <c r="H11" s="43" t="str">
        <f>IFERROR(G11*E4,"")</f>
        <v/>
      </c>
    </row>
    <row r="12" spans="1:11">
      <c r="A12" s="21"/>
      <c r="B12" s="22" t="s">
        <v>3731</v>
      </c>
      <c r="C12" s="23"/>
      <c r="D12" s="24"/>
      <c r="E12" s="25"/>
      <c r="F12" s="26"/>
      <c r="G12" s="27">
        <f>SUM(G13:G15)</f>
        <v>11078.531222014288</v>
      </c>
      <c r="H12" s="44">
        <f>G12*E4</f>
        <v>0</v>
      </c>
    </row>
    <row r="13" spans="1:11">
      <c r="A13" s="28"/>
      <c r="B13" s="29" t="s">
        <v>3570</v>
      </c>
      <c r="C13" s="30" t="str">
        <f>IFERROR(_xlfn.XLOOKUP(B13,Equipo[DESCRIPCION],Equipo[UND],,0),"")</f>
        <v>%MO</v>
      </c>
      <c r="D13" s="31">
        <v>0.04</v>
      </c>
      <c r="E13" s="32">
        <f>IF(C13="%MO",G19,IFERROR(_xlfn.XLOOKUP($B13,Equipo[DESCRIPCION],Equipo[VALOR],,0),""))</f>
        <v>123094.7913557143</v>
      </c>
      <c r="F13" s="33"/>
      <c r="G13" s="34">
        <f>IFERROR(IF(F13&gt;=0,D13*E13*(1+F13/100),ABS(D13*E13/F13)),"")</f>
        <v>4923.791654228572</v>
      </c>
      <c r="H13" s="43">
        <f>IFERROR(G13*E4,"")</f>
        <v>0</v>
      </c>
    </row>
    <row r="14" spans="1:11">
      <c r="A14" s="28"/>
      <c r="B14" s="29" t="s">
        <v>3626</v>
      </c>
      <c r="C14" s="30" t="str">
        <f>IFERROR(_xlfn.XLOOKUP(B14,Equipo[DESCRIPCION],Equipo[UND],,0),"")</f>
        <v>%MO</v>
      </c>
      <c r="D14" s="31">
        <v>0.05</v>
      </c>
      <c r="E14" s="32">
        <f>IF(C14="%MO",G20,IFERROR(_xlfn.XLOOKUP($B14,Equipo[DESCRIPCION],Equipo[VALOR],,0),""))</f>
        <v>123094.7913557143</v>
      </c>
      <c r="F14" s="33"/>
      <c r="G14" s="34">
        <f>IFERROR(IF(F14&gt;=0,D14*E14*(1+F14/100),ABS(D14*E14/F14)),"")</f>
        <v>6154.7395677857157</v>
      </c>
      <c r="H14" s="43">
        <f>IFERROR(G14*E4,"")</f>
        <v>0</v>
      </c>
    </row>
    <row r="15" spans="1:11">
      <c r="A15" s="28"/>
      <c r="B15" s="29"/>
      <c r="C15" s="30" t="str">
        <f>IFERROR(_xlfn.XLOOKUP(B15,Equipo[DESCRIPCION],Equipo[UND],,0),"")</f>
        <v/>
      </c>
      <c r="D15" s="31"/>
      <c r="E15" s="32" t="str">
        <f>IF(C15="%MO",G21,IFERROR(_xlfn.XLOOKUP($B15,Equipo[DESCRIPCION],Equipo[VALOR],,0),""))</f>
        <v/>
      </c>
      <c r="F15" s="33"/>
      <c r="G15" s="34" t="str">
        <f>IFERROR(IF(F15&gt;=0,D15*E15*(1+F15/100),ABS(D15*E15/F15)),"")</f>
        <v/>
      </c>
      <c r="H15" s="43" t="str">
        <f>IFERROR(G15*E4,"")</f>
        <v/>
      </c>
    </row>
    <row r="16" spans="1:11">
      <c r="A16" s="21"/>
      <c r="B16" s="22" t="s">
        <v>2533</v>
      </c>
      <c r="C16" s="23"/>
      <c r="D16" s="24"/>
      <c r="E16" s="25"/>
      <c r="F16" s="26"/>
      <c r="G16" s="27">
        <f>SUM(G17:G18)</f>
        <v>0</v>
      </c>
      <c r="H16" s="44">
        <f>G16*E4</f>
        <v>0</v>
      </c>
    </row>
    <row r="17" spans="1:11">
      <c r="A17" s="28"/>
      <c r="B17" s="29"/>
      <c r="C17" s="30" t="str">
        <f>IFERROR(_xlfn.XLOOKUP(B17,Transporte[DESCRIPCION],Transporte[UND],,0),"")</f>
        <v/>
      </c>
      <c r="D17" s="31"/>
      <c r="E17" s="32" t="str">
        <f>IFERROR(_xlfn.XLOOKUP($B17,Transporte[DESCRIPCION],Transporte[VALOR],,0),"")</f>
        <v/>
      </c>
      <c r="F17" s="33"/>
      <c r="G17" s="34" t="str">
        <f>IFERROR(IF(F17&gt;=0,D17*E17*(1+F17/100),ABS(D17*E17/F17)),"")</f>
        <v/>
      </c>
      <c r="H17" s="43" t="str">
        <f>IFERROR(G17*E4,"")</f>
        <v/>
      </c>
    </row>
    <row r="18" spans="1:11">
      <c r="A18" s="28"/>
      <c r="B18" s="29"/>
      <c r="C18" s="30" t="str">
        <f>IFERROR(_xlfn.XLOOKUP(B18,Transporte[DESCRIPCION],Transporte[UND],,0),"")</f>
        <v/>
      </c>
      <c r="D18" s="31"/>
      <c r="E18" s="32" t="str">
        <f>IFERROR(_xlfn.XLOOKUP($B18,Transporte[DESCRIPCION],Transporte[VALOR],,0),"")</f>
        <v/>
      </c>
      <c r="F18" s="33"/>
      <c r="G18" s="34" t="str">
        <f>IFERROR(IF(F18&gt;=0,D18*E18*(1+F18/100),ABS(D18*E18/F18)),"")</f>
        <v/>
      </c>
      <c r="H18" s="43" t="str">
        <f>IFERROR(G18*E4,"")</f>
        <v/>
      </c>
    </row>
    <row r="19" spans="1:11">
      <c r="A19" s="21"/>
      <c r="B19" s="22" t="s">
        <v>3732</v>
      </c>
      <c r="C19" s="23"/>
      <c r="D19" s="24"/>
      <c r="E19" s="25"/>
      <c r="F19" s="26"/>
      <c r="G19" s="27">
        <f>SUM(G20:G22)</f>
        <v>123094.7913557143</v>
      </c>
      <c r="H19" s="44">
        <f>G19*E4</f>
        <v>0</v>
      </c>
    </row>
    <row r="20" spans="1:11">
      <c r="A20" s="28"/>
      <c r="B20" s="29" t="s">
        <v>3711</v>
      </c>
      <c r="C20" s="30" t="str">
        <f>IFERROR(_xlfn.XLOOKUP(B20,MObra[DESCRIPCION],MObra[UN],,0),"")</f>
        <v>día</v>
      </c>
      <c r="D20" s="31">
        <v>1</v>
      </c>
      <c r="E20" s="32">
        <f>IFERROR(_xlfn.XLOOKUP($B20,MObra[DESCRIPCION],MObra[VALOR UNIT],,0),"")</f>
        <v>430831.76974500006</v>
      </c>
      <c r="F20" s="33">
        <v>-3.5</v>
      </c>
      <c r="G20" s="34">
        <f>IFERROR(IF(F20&gt;=0,D20*E20*(1+F20/100),ABS(D20*E20/F20)),"")</f>
        <v>123094.7913557143</v>
      </c>
      <c r="H20" s="43">
        <f>IFERROR(G20*E4,"")</f>
        <v>0</v>
      </c>
    </row>
    <row r="21" spans="1:11">
      <c r="A21" s="28"/>
      <c r="B21" s="29"/>
      <c r="C21" s="30" t="str">
        <f>IFERROR(_xlfn.XLOOKUP(B21,MObra[DESCRIPCION],MObra[UN],,0),"")</f>
        <v/>
      </c>
      <c r="D21" s="31"/>
      <c r="E21" s="32" t="str">
        <f>IFERROR(_xlfn.XLOOKUP($B21,MObra[DESCRIPCION],MObra[VALOR UNIT],,0),"")</f>
        <v/>
      </c>
      <c r="F21" s="33"/>
      <c r="G21" s="34" t="str">
        <f>IFERROR(IF(F21&gt;=0,D21*E21*(1+F21/100),ABS(D21*E21/F21)),"")</f>
        <v/>
      </c>
      <c r="H21" s="43" t="str">
        <f>IFERROR(G21*E4,"")</f>
        <v/>
      </c>
    </row>
    <row r="22" spans="1:11">
      <c r="A22" s="35"/>
      <c r="B22" s="36"/>
      <c r="C22" s="37" t="str">
        <f>IFERROR(_xlfn.XLOOKUP(B22,MObra[DESCRIPCION],MObra[UN],,0),"")</f>
        <v/>
      </c>
      <c r="D22" s="38"/>
      <c r="E22" s="39" t="str">
        <f>IFERROR(_xlfn.XLOOKUP($B22,MObra[DESCRIPCION],MObra[VALOR UNIT],,0),"")</f>
        <v/>
      </c>
      <c r="F22" s="40"/>
      <c r="G22" s="41" t="str">
        <f>IFERROR(IF(F22&gt;=0,D22*E22*(1+F22/100),ABS(D22*E22/F22)),"")</f>
        <v/>
      </c>
      <c r="H22" s="42" t="str">
        <f>IFERROR(G22*E4,"")</f>
        <v/>
      </c>
    </row>
    <row r="24" spans="1:11" ht="25.5">
      <c r="A24" s="6" t="s">
        <v>2040</v>
      </c>
      <c r="B24" s="7" t="str">
        <f>VLOOKUP($A24,Presupuesto!$A:$D,2,FALSE())</f>
        <v>Base y cañuela para cámaras de inspección Øinterior 1,50 m. Concreto 24,5 Mpa. Incluye acero de refuerzo.</v>
      </c>
      <c r="C24" s="8" t="str">
        <f>VLOOKUP($A24,Presupuesto!$A:$D,3,FALSE())</f>
        <v>Un</v>
      </c>
      <c r="D24" s="9"/>
      <c r="E24" s="10">
        <f>VLOOKUP($A24,Presupuesto!$A:$D,4,FALSE())</f>
        <v>0</v>
      </c>
      <c r="F24" s="11" t="s">
        <v>2589</v>
      </c>
      <c r="G24" s="12">
        <f>SUM(G26:G42)/2</f>
        <v>880531.61547893006</v>
      </c>
      <c r="H24" s="13">
        <f>ROUND(SUM(H26:H42),0)/2</f>
        <v>0</v>
      </c>
      <c r="I24" s="10">
        <f>VLOOKUP(A24,Presupuesto!$A:$F,6,0)</f>
        <v>0</v>
      </c>
      <c r="J24" s="10">
        <f>+H24-I24</f>
        <v>0</v>
      </c>
      <c r="K24" s="46">
        <f>+H24-G24*E24</f>
        <v>0</v>
      </c>
    </row>
    <row r="25" spans="1:11">
      <c r="A25" s="14"/>
      <c r="B25" s="15" t="s">
        <v>2586</v>
      </c>
      <c r="C25" s="15" t="s">
        <v>5</v>
      </c>
      <c r="D25" s="16" t="s">
        <v>6</v>
      </c>
      <c r="E25" s="17" t="s">
        <v>7</v>
      </c>
      <c r="F25" s="18" t="s">
        <v>3728</v>
      </c>
      <c r="G25" s="19" t="s">
        <v>3729</v>
      </c>
      <c r="H25" s="20" t="s">
        <v>3797</v>
      </c>
    </row>
    <row r="26" spans="1:11">
      <c r="A26" s="21"/>
      <c r="B26" s="22" t="s">
        <v>3730</v>
      </c>
      <c r="C26" s="23"/>
      <c r="D26" s="24"/>
      <c r="E26" s="25"/>
      <c r="F26" s="26"/>
      <c r="G26" s="27">
        <f>SUM(G27:G31)</f>
        <v>723996.07247158012</v>
      </c>
      <c r="H26" s="27">
        <f>IFERROR(G26*E24,"")</f>
        <v>0</v>
      </c>
    </row>
    <row r="27" spans="1:11">
      <c r="A27" s="28"/>
      <c r="B27" s="29" t="s">
        <v>3240</v>
      </c>
      <c r="C27" s="30" t="str">
        <f>IFERROR(_xlfn.XLOOKUP(B27,Insumo[DESCRIPCION],Insumo[UND],,0),"")</f>
        <v>M3</v>
      </c>
      <c r="D27" s="31">
        <v>1.1499999999999999</v>
      </c>
      <c r="E27" s="32">
        <f>IFERROR(_xlfn.XLOOKUP($B27,Insumo[DESCRIPCION],Insumo[VALOR],,0),"")</f>
        <v>539790.3034961326</v>
      </c>
      <c r="F27" s="33">
        <v>5</v>
      </c>
      <c r="G27" s="34">
        <f>IFERROR(IF(F27&gt;=0,D27*E27*(1+F27/100),ABS(D27*E27/F27)),"")</f>
        <v>651796.79147158016</v>
      </c>
      <c r="H27" s="43">
        <f>IFERROR(G27*E24,"")</f>
        <v>0</v>
      </c>
    </row>
    <row r="28" spans="1:11">
      <c r="A28" s="28"/>
      <c r="B28" s="29" t="s">
        <v>3223</v>
      </c>
      <c r="C28" s="30" t="str">
        <f>IFERROR(_xlfn.XLOOKUP(B28,Insumo[DESCRIPCION],Insumo[UND],,0),"")</f>
        <v>Kg</v>
      </c>
      <c r="D28" s="31">
        <v>2.0099999999999998</v>
      </c>
      <c r="E28" s="32">
        <f>IFERROR(_xlfn.XLOOKUP($B28,Insumo[DESCRIPCION],Insumo[VALOR],,0),"")</f>
        <v>29108.100000000002</v>
      </c>
      <c r="F28" s="33"/>
      <c r="G28" s="34">
        <f>IFERROR(IF(F28&gt;=0,D28*E28*(1+F28/100),ABS(D28*E28/F28)),"")</f>
        <v>58507.280999999995</v>
      </c>
      <c r="H28" s="43">
        <f>IFERROR(G28*E24,"")</f>
        <v>0</v>
      </c>
    </row>
    <row r="29" spans="1:11">
      <c r="A29" s="28"/>
      <c r="B29" s="29" t="s">
        <v>2824</v>
      </c>
      <c r="C29" s="30" t="str">
        <f>IFERROR(_xlfn.XLOOKUP(B29,Insumo[DESCRIPCION],Insumo[UND],,0),"")</f>
        <v>Un</v>
      </c>
      <c r="D29" s="31">
        <v>0.4</v>
      </c>
      <c r="E29" s="32">
        <f>IFERROR(_xlfn.XLOOKUP($B29,Insumo[DESCRIPCION],Insumo[VALOR],,0),"")</f>
        <v>34230</v>
      </c>
      <c r="F29" s="33"/>
      <c r="G29" s="34">
        <f>IFERROR(IF(F29&gt;=0,D29*E29*(1+F29/100),ABS(D29*E29/F29)),"")</f>
        <v>13692</v>
      </c>
      <c r="H29" s="43">
        <f>IFERROR(G29*E24,"")</f>
        <v>0</v>
      </c>
    </row>
    <row r="30" spans="1:11">
      <c r="A30" s="28"/>
      <c r="B30" s="29"/>
      <c r="C30" s="30" t="str">
        <f>IFERROR(_xlfn.XLOOKUP(B30,Insumo[DESCRIPCION],Insumo[UND],,0),"")</f>
        <v/>
      </c>
      <c r="D30" s="31"/>
      <c r="E30" s="32" t="str">
        <f>IFERROR(_xlfn.XLOOKUP($B30,Insumo[DESCRIPCION],Insumo[VALOR],,0),"")</f>
        <v/>
      </c>
      <c r="F30" s="33"/>
      <c r="G30" s="34" t="str">
        <f>IFERROR(IF(F30&gt;=0,D30*E30*(1+F30/100),ABS(D30*E30/F30)),"")</f>
        <v/>
      </c>
      <c r="H30" s="43" t="str">
        <f>IFERROR(G30*E24,"")</f>
        <v/>
      </c>
    </row>
    <row r="31" spans="1:11">
      <c r="A31" s="28"/>
      <c r="B31" s="29"/>
      <c r="C31" s="30" t="str">
        <f>IFERROR(_xlfn.XLOOKUP(B31,Insumo[DESCRIPCION],Insumo[UND],,0),"")</f>
        <v/>
      </c>
      <c r="D31" s="31"/>
      <c r="E31" s="32" t="str">
        <f>IFERROR(_xlfn.XLOOKUP($B31,Insumo[DESCRIPCION],Insumo[VALOR],,0),"")</f>
        <v/>
      </c>
      <c r="F31" s="33"/>
      <c r="G31" s="34" t="str">
        <f>IFERROR(IF(F31&gt;=0,D31*E31*(1+F31/100),ABS(D31*E31/F31)),"")</f>
        <v/>
      </c>
      <c r="H31" s="43" t="str">
        <f>IFERROR(G31*E24,"")</f>
        <v/>
      </c>
    </row>
    <row r="32" spans="1:11">
      <c r="A32" s="21"/>
      <c r="B32" s="22" t="s">
        <v>3731</v>
      </c>
      <c r="C32" s="23"/>
      <c r="D32" s="24"/>
      <c r="E32" s="25"/>
      <c r="F32" s="26"/>
      <c r="G32" s="27">
        <f>SUM(G33:G35)</f>
        <v>12924.953092350002</v>
      </c>
      <c r="H32" s="44">
        <f>G32*E24</f>
        <v>0</v>
      </c>
    </row>
    <row r="33" spans="1:11">
      <c r="A33" s="28"/>
      <c r="B33" s="29" t="s">
        <v>3570</v>
      </c>
      <c r="C33" s="30" t="str">
        <f>IFERROR(_xlfn.XLOOKUP(B33,Equipo[DESCRIPCION],Equipo[UND],,0),"")</f>
        <v>%MO</v>
      </c>
      <c r="D33" s="31">
        <v>0.04</v>
      </c>
      <c r="E33" s="32">
        <f>IF(C33="%MO",G39,IFERROR(_xlfn.XLOOKUP($B33,Equipo[DESCRIPCION],Equipo[VALOR],,0),""))</f>
        <v>143610.58991500002</v>
      </c>
      <c r="F33" s="33"/>
      <c r="G33" s="34">
        <f>IFERROR(IF(F33&gt;=0,D33*E33*(1+F33/100),ABS(D33*E33/F33)),"")</f>
        <v>5744.4235966000006</v>
      </c>
      <c r="H33" s="43">
        <f>IFERROR(G33*E24,"")</f>
        <v>0</v>
      </c>
    </row>
    <row r="34" spans="1:11">
      <c r="A34" s="28"/>
      <c r="B34" s="29" t="s">
        <v>3626</v>
      </c>
      <c r="C34" s="30" t="str">
        <f>IFERROR(_xlfn.XLOOKUP(B34,Equipo[DESCRIPCION],Equipo[UND],,0),"")</f>
        <v>%MO</v>
      </c>
      <c r="D34" s="31">
        <v>0.05</v>
      </c>
      <c r="E34" s="32">
        <f>IF(C34="%MO",G40,IFERROR(_xlfn.XLOOKUP($B34,Equipo[DESCRIPCION],Equipo[VALOR],,0),""))</f>
        <v>143610.58991500002</v>
      </c>
      <c r="F34" s="33"/>
      <c r="G34" s="34">
        <f>IFERROR(IF(F34&gt;=0,D34*E34*(1+F34/100),ABS(D34*E34/F34)),"")</f>
        <v>7180.5294957500009</v>
      </c>
      <c r="H34" s="43">
        <f>IFERROR(G34*E24,"")</f>
        <v>0</v>
      </c>
    </row>
    <row r="35" spans="1:11">
      <c r="A35" s="28"/>
      <c r="B35" s="29"/>
      <c r="C35" s="30" t="str">
        <f>IFERROR(_xlfn.XLOOKUP(B35,Equipo[DESCRIPCION],Equipo[UND],,0),"")</f>
        <v/>
      </c>
      <c r="D35" s="31"/>
      <c r="E35" s="32" t="str">
        <f>IF(C35="%MO",G41,IFERROR(_xlfn.XLOOKUP($B35,Equipo[DESCRIPCION],Equipo[VALOR],,0),""))</f>
        <v/>
      </c>
      <c r="F35" s="33"/>
      <c r="G35" s="34" t="str">
        <f>IFERROR(IF(F35&gt;=0,D35*E35*(1+F35/100),ABS(D35*E35/F35)),"")</f>
        <v/>
      </c>
      <c r="H35" s="43" t="str">
        <f>IFERROR(G35*E24,"")</f>
        <v/>
      </c>
    </row>
    <row r="36" spans="1:11">
      <c r="A36" s="21"/>
      <c r="B36" s="22" t="s">
        <v>2533</v>
      </c>
      <c r="C36" s="23"/>
      <c r="D36" s="24"/>
      <c r="E36" s="25"/>
      <c r="F36" s="26"/>
      <c r="G36" s="27">
        <f>SUM(G37:G38)</f>
        <v>0</v>
      </c>
      <c r="H36" s="44">
        <f>G36*E24</f>
        <v>0</v>
      </c>
    </row>
    <row r="37" spans="1:11">
      <c r="A37" s="28"/>
      <c r="B37" s="29"/>
      <c r="C37" s="30" t="str">
        <f>IFERROR(_xlfn.XLOOKUP(B37,Transporte[DESCRIPCION],Transporte[UND],,0),"")</f>
        <v/>
      </c>
      <c r="D37" s="31"/>
      <c r="E37" s="32" t="str">
        <f>IFERROR(_xlfn.XLOOKUP($B37,Transporte[DESCRIPCION],Transporte[VALOR],,0),"")</f>
        <v/>
      </c>
      <c r="F37" s="33"/>
      <c r="G37" s="34" t="str">
        <f>IFERROR(IF(F37&gt;=0,D37*E37*(1+F37/100),ABS(D37*E37/F37)),"")</f>
        <v/>
      </c>
      <c r="H37" s="43" t="str">
        <f>IFERROR(G37*E24,"")</f>
        <v/>
      </c>
    </row>
    <row r="38" spans="1:11">
      <c r="A38" s="28"/>
      <c r="B38" s="29"/>
      <c r="C38" s="30" t="str">
        <f>IFERROR(_xlfn.XLOOKUP(B38,Transporte[DESCRIPCION],Transporte[UND],,0),"")</f>
        <v/>
      </c>
      <c r="D38" s="31"/>
      <c r="E38" s="32" t="str">
        <f>IFERROR(_xlfn.XLOOKUP($B38,Transporte[DESCRIPCION],Transporte[VALOR],,0),"")</f>
        <v/>
      </c>
      <c r="F38" s="33"/>
      <c r="G38" s="34" t="str">
        <f>IFERROR(IF(F38&gt;=0,D38*E38*(1+F38/100),ABS(D38*E38/F38)),"")</f>
        <v/>
      </c>
      <c r="H38" s="43" t="str">
        <f>IFERROR(G38*E24,"")</f>
        <v/>
      </c>
    </row>
    <row r="39" spans="1:11">
      <c r="A39" s="21"/>
      <c r="B39" s="22" t="s">
        <v>3732</v>
      </c>
      <c r="C39" s="23"/>
      <c r="D39" s="24"/>
      <c r="E39" s="25"/>
      <c r="F39" s="26"/>
      <c r="G39" s="27">
        <f>SUM(G40:G42)</f>
        <v>143610.58991500002</v>
      </c>
      <c r="H39" s="44">
        <f>G39*E24</f>
        <v>0</v>
      </c>
    </row>
    <row r="40" spans="1:11">
      <c r="A40" s="28"/>
      <c r="B40" s="29" t="s">
        <v>3711</v>
      </c>
      <c r="C40" s="30" t="str">
        <f>IFERROR(_xlfn.XLOOKUP(B40,MObra[DESCRIPCION],MObra[UN],,0),"")</f>
        <v>día</v>
      </c>
      <c r="D40" s="31">
        <v>1</v>
      </c>
      <c r="E40" s="32">
        <f>IFERROR(_xlfn.XLOOKUP($B40,MObra[DESCRIPCION],MObra[VALOR UNIT],,0),"")</f>
        <v>430831.76974500006</v>
      </c>
      <c r="F40" s="33">
        <v>-3</v>
      </c>
      <c r="G40" s="34">
        <f>IFERROR(IF(F40&gt;=0,D40*E40*(1+F40/100),ABS(D40*E40/F40)),"")</f>
        <v>143610.58991500002</v>
      </c>
      <c r="H40" s="43">
        <f>IFERROR(G40*E24,"")</f>
        <v>0</v>
      </c>
    </row>
    <row r="41" spans="1:11">
      <c r="A41" s="28"/>
      <c r="B41" s="29"/>
      <c r="C41" s="30" t="str">
        <f>IFERROR(_xlfn.XLOOKUP(B41,MObra[DESCRIPCION],MObra[UN],,0),"")</f>
        <v/>
      </c>
      <c r="D41" s="31"/>
      <c r="E41" s="32" t="str">
        <f>IFERROR(_xlfn.XLOOKUP($B41,MObra[DESCRIPCION],MObra[VALOR UNIT],,0),"")</f>
        <v/>
      </c>
      <c r="F41" s="33"/>
      <c r="G41" s="34" t="str">
        <f>IFERROR(IF(F41&gt;=0,D41*E41*(1+F41/100),ABS(D41*E41/F41)),"")</f>
        <v/>
      </c>
      <c r="H41" s="43" t="str">
        <f>IFERROR(G41*E24,"")</f>
        <v/>
      </c>
    </row>
    <row r="42" spans="1:11">
      <c r="A42" s="35"/>
      <c r="B42" s="36"/>
      <c r="C42" s="37" t="str">
        <f>IFERROR(_xlfn.XLOOKUP(B42,MObra[DESCRIPCION],MObra[UN],,0),"")</f>
        <v/>
      </c>
      <c r="D42" s="38"/>
      <c r="E42" s="39" t="str">
        <f>IFERROR(_xlfn.XLOOKUP($B42,MObra[DESCRIPCION],MObra[VALOR UNIT],,0),"")</f>
        <v/>
      </c>
      <c r="F42" s="40"/>
      <c r="G42" s="41" t="str">
        <f>IFERROR(IF(F42&gt;=0,D42*E42*(1+F42/100),ABS(D42*E42/F42)),"")</f>
        <v/>
      </c>
      <c r="H42" s="42" t="str">
        <f>IFERROR(G42*E24,"")</f>
        <v/>
      </c>
    </row>
    <row r="44" spans="1:11" ht="25.5">
      <c r="A44" s="6" t="s">
        <v>2042</v>
      </c>
      <c r="B44" s="7" t="str">
        <f>VLOOKUP($A44,Presupuesto!$A:$D,2,FALSE())</f>
        <v>Base y cañuela para cámaras de inspección Øinterior 2,00 m. Concreto 24,5 Mpa. Incluye acero de refuerzo.</v>
      </c>
      <c r="C44" s="8" t="str">
        <f>VLOOKUP($A44,Presupuesto!$A:$D,3,FALSE())</f>
        <v>Un</v>
      </c>
      <c r="D44" s="9"/>
      <c r="E44" s="10">
        <f>VLOOKUP($A44,Presupuesto!$A:$D,4,FALSE())</f>
        <v>0</v>
      </c>
      <c r="F44" s="11" t="s">
        <v>2589</v>
      </c>
      <c r="G44" s="12">
        <f>SUM(G46:G62)/2</f>
        <v>1329656.7194032203</v>
      </c>
      <c r="H44" s="13">
        <f>ROUND(SUM(H46:H62),0)/2</f>
        <v>0</v>
      </c>
      <c r="I44" s="10">
        <f>VLOOKUP(A44,Presupuesto!$A:$F,6,0)</f>
        <v>0</v>
      </c>
      <c r="J44" s="10">
        <f>+H44-I44</f>
        <v>0</v>
      </c>
      <c r="K44" s="46">
        <f>+H44-G44*E44</f>
        <v>0</v>
      </c>
    </row>
    <row r="45" spans="1:11">
      <c r="A45" s="14"/>
      <c r="B45" s="15" t="s">
        <v>2586</v>
      </c>
      <c r="C45" s="15" t="s">
        <v>5</v>
      </c>
      <c r="D45" s="16" t="s">
        <v>6</v>
      </c>
      <c r="E45" s="17" t="s">
        <v>7</v>
      </c>
      <c r="F45" s="18" t="s">
        <v>3728</v>
      </c>
      <c r="G45" s="19" t="s">
        <v>3729</v>
      </c>
      <c r="H45" s="20" t="s">
        <v>3797</v>
      </c>
    </row>
    <row r="46" spans="1:11">
      <c r="A46" s="21"/>
      <c r="B46" s="22" t="s">
        <v>3730</v>
      </c>
      <c r="C46" s="23"/>
      <c r="D46" s="24"/>
      <c r="E46" s="25"/>
      <c r="F46" s="26"/>
      <c r="G46" s="27">
        <f>SUM(G47:G51)</f>
        <v>1141814.0677944</v>
      </c>
      <c r="H46" s="27">
        <f>IFERROR(G46*E44,"")</f>
        <v>0</v>
      </c>
    </row>
    <row r="47" spans="1:11">
      <c r="A47" s="28"/>
      <c r="B47" s="29" t="s">
        <v>3240</v>
      </c>
      <c r="C47" s="30" t="str">
        <f>IFERROR(_xlfn.XLOOKUP(B47,Insumo[DESCRIPCION],Insumo[UND],,0),"")</f>
        <v>M3</v>
      </c>
      <c r="D47" s="31">
        <v>1.81</v>
      </c>
      <c r="E47" s="32">
        <f>IFERROR(_xlfn.XLOOKUP($B47,Insumo[DESCRIPCION],Insumo[VALOR],,0),"")</f>
        <v>539790.3034961326</v>
      </c>
      <c r="F47" s="33">
        <v>5</v>
      </c>
      <c r="G47" s="34">
        <f>IFERROR(IF(F47&gt;=0,D47*E47*(1+F47/100),ABS(D47*E47/F47)),"")</f>
        <v>1025871.4717944001</v>
      </c>
      <c r="H47" s="43">
        <f>IFERROR(G47*E44,"")</f>
        <v>0</v>
      </c>
    </row>
    <row r="48" spans="1:11">
      <c r="A48" s="28"/>
      <c r="B48" s="29" t="s">
        <v>3223</v>
      </c>
      <c r="C48" s="30" t="str">
        <f>IFERROR(_xlfn.XLOOKUP(B48,Insumo[DESCRIPCION],Insumo[UND],,0),"")</f>
        <v>Kg</v>
      </c>
      <c r="D48" s="31">
        <v>3.16</v>
      </c>
      <c r="E48" s="32">
        <f>IFERROR(_xlfn.XLOOKUP($B48,Insumo[DESCRIPCION],Insumo[VALOR],,0),"")</f>
        <v>29108.100000000002</v>
      </c>
      <c r="F48" s="33"/>
      <c r="G48" s="34">
        <f>IFERROR(IF(F48&gt;=0,D48*E48*(1+F48/100),ABS(D48*E48/F48)),"")</f>
        <v>91981.596000000005</v>
      </c>
      <c r="H48" s="43">
        <f>IFERROR(G48*E44,"")</f>
        <v>0</v>
      </c>
    </row>
    <row r="49" spans="1:11">
      <c r="A49" s="28"/>
      <c r="B49" s="29" t="s">
        <v>2824</v>
      </c>
      <c r="C49" s="30" t="str">
        <f>IFERROR(_xlfn.XLOOKUP(B49,Insumo[DESCRIPCION],Insumo[UND],,0),"")</f>
        <v>Un</v>
      </c>
      <c r="D49" s="31">
        <v>0.7</v>
      </c>
      <c r="E49" s="32">
        <f>IFERROR(_xlfn.XLOOKUP($B49,Insumo[DESCRIPCION],Insumo[VALOR],,0),"")</f>
        <v>34230</v>
      </c>
      <c r="F49" s="33"/>
      <c r="G49" s="34">
        <f>IFERROR(IF(F49&gt;=0,D49*E49*(1+F49/100),ABS(D49*E49/F49)),"")</f>
        <v>23961</v>
      </c>
      <c r="H49" s="43">
        <f>IFERROR(G49*E44,"")</f>
        <v>0</v>
      </c>
    </row>
    <row r="50" spans="1:11">
      <c r="A50" s="28"/>
      <c r="B50" s="29"/>
      <c r="C50" s="30" t="str">
        <f>IFERROR(_xlfn.XLOOKUP(B50,Insumo[DESCRIPCION],Insumo[UND],,0),"")</f>
        <v/>
      </c>
      <c r="D50" s="31"/>
      <c r="E50" s="32" t="str">
        <f>IFERROR(_xlfn.XLOOKUP($B50,Insumo[DESCRIPCION],Insumo[VALOR],,0),"")</f>
        <v/>
      </c>
      <c r="F50" s="33"/>
      <c r="G50" s="34" t="str">
        <f>IFERROR(IF(F50&gt;=0,D50*E50*(1+F50/100),ABS(D50*E50/F50)),"")</f>
        <v/>
      </c>
      <c r="H50" s="43" t="str">
        <f>IFERROR(G50*E44,"")</f>
        <v/>
      </c>
    </row>
    <row r="51" spans="1:11">
      <c r="A51" s="28"/>
      <c r="B51" s="29"/>
      <c r="C51" s="30" t="str">
        <f>IFERROR(_xlfn.XLOOKUP(B51,Insumo[DESCRIPCION],Insumo[UND],,0),"")</f>
        <v/>
      </c>
      <c r="D51" s="31"/>
      <c r="E51" s="32" t="str">
        <f>IFERROR(_xlfn.XLOOKUP($B51,Insumo[DESCRIPCION],Insumo[VALOR],,0),"")</f>
        <v/>
      </c>
      <c r="F51" s="33"/>
      <c r="G51" s="34" t="str">
        <f>IFERROR(IF(F51&gt;=0,D51*E51*(1+F51/100),ABS(D51*E51/F51)),"")</f>
        <v/>
      </c>
      <c r="H51" s="43" t="str">
        <f>IFERROR(G51*E44,"")</f>
        <v/>
      </c>
    </row>
    <row r="52" spans="1:11">
      <c r="A52" s="21"/>
      <c r="B52" s="22" t="s">
        <v>3731</v>
      </c>
      <c r="C52" s="23"/>
      <c r="D52" s="24"/>
      <c r="E52" s="25"/>
      <c r="F52" s="26"/>
      <c r="G52" s="27">
        <f>SUM(G53:G55)</f>
        <v>15509.943710820004</v>
      </c>
      <c r="H52" s="44">
        <f>G52*E44</f>
        <v>0</v>
      </c>
    </row>
    <row r="53" spans="1:11">
      <c r="A53" s="28"/>
      <c r="B53" s="29" t="s">
        <v>3570</v>
      </c>
      <c r="C53" s="30" t="str">
        <f>IFERROR(_xlfn.XLOOKUP(B53,Equipo[DESCRIPCION],Equipo[UND],,0),"")</f>
        <v>%MO</v>
      </c>
      <c r="D53" s="31">
        <v>0.04</v>
      </c>
      <c r="E53" s="32">
        <f>IF(C53="%MO",G59,IFERROR(_xlfn.XLOOKUP($B53,Equipo[DESCRIPCION],Equipo[VALOR],,0),""))</f>
        <v>172332.70789800002</v>
      </c>
      <c r="F53" s="33"/>
      <c r="G53" s="34">
        <f>IFERROR(IF(F53&gt;=0,D53*E53*(1+F53/100),ABS(D53*E53/F53)),"")</f>
        <v>6893.3083159200014</v>
      </c>
      <c r="H53" s="43">
        <f>IFERROR(G53*E44,"")</f>
        <v>0</v>
      </c>
    </row>
    <row r="54" spans="1:11">
      <c r="A54" s="28"/>
      <c r="B54" s="29" t="s">
        <v>3626</v>
      </c>
      <c r="C54" s="30" t="str">
        <f>IFERROR(_xlfn.XLOOKUP(B54,Equipo[DESCRIPCION],Equipo[UND],,0),"")</f>
        <v>%MO</v>
      </c>
      <c r="D54" s="31">
        <v>0.05</v>
      </c>
      <c r="E54" s="32">
        <f>IF(C54="%MO",G60,IFERROR(_xlfn.XLOOKUP($B54,Equipo[DESCRIPCION],Equipo[VALOR],,0),""))</f>
        <v>172332.70789800002</v>
      </c>
      <c r="F54" s="33"/>
      <c r="G54" s="34">
        <f>IFERROR(IF(F54&gt;=0,D54*E54*(1+F54/100),ABS(D54*E54/F54)),"")</f>
        <v>8616.6353949000022</v>
      </c>
      <c r="H54" s="43">
        <f>IFERROR(G54*E44,"")</f>
        <v>0</v>
      </c>
    </row>
    <row r="55" spans="1:11">
      <c r="A55" s="28"/>
      <c r="B55" s="29"/>
      <c r="C55" s="30" t="str">
        <f>IFERROR(_xlfn.XLOOKUP(B55,Equipo[DESCRIPCION],Equipo[UND],,0),"")</f>
        <v/>
      </c>
      <c r="D55" s="31"/>
      <c r="E55" s="32" t="str">
        <f>IF(C55="%MO",G61,IFERROR(_xlfn.XLOOKUP($B55,Equipo[DESCRIPCION],Equipo[VALOR],,0),""))</f>
        <v/>
      </c>
      <c r="F55" s="33"/>
      <c r="G55" s="34" t="str">
        <f>IFERROR(IF(F55&gt;=0,D55*E55*(1+F55/100),ABS(D55*E55/F55)),"")</f>
        <v/>
      </c>
      <c r="H55" s="43" t="str">
        <f>IFERROR(G55*E44,"")</f>
        <v/>
      </c>
    </row>
    <row r="56" spans="1:11">
      <c r="A56" s="21"/>
      <c r="B56" s="22" t="s">
        <v>2533</v>
      </c>
      <c r="C56" s="23"/>
      <c r="D56" s="24"/>
      <c r="E56" s="25"/>
      <c r="F56" s="26"/>
      <c r="G56" s="27">
        <f>SUM(G57:G58)</f>
        <v>0</v>
      </c>
      <c r="H56" s="44">
        <f>G56*E44</f>
        <v>0</v>
      </c>
    </row>
    <row r="57" spans="1:11">
      <c r="A57" s="28"/>
      <c r="B57" s="29"/>
      <c r="C57" s="30" t="str">
        <f>IFERROR(_xlfn.XLOOKUP(B57,Transporte[DESCRIPCION],Transporte[UND],,0),"")</f>
        <v/>
      </c>
      <c r="D57" s="31"/>
      <c r="E57" s="32" t="str">
        <f>IFERROR(_xlfn.XLOOKUP($B57,Transporte[DESCRIPCION],Transporte[VALOR],,0),"")</f>
        <v/>
      </c>
      <c r="F57" s="33"/>
      <c r="G57" s="34" t="str">
        <f>IFERROR(IF(F57&gt;=0,D57*E57*(1+F57/100),ABS(D57*E57/F57)),"")</f>
        <v/>
      </c>
      <c r="H57" s="43" t="str">
        <f>IFERROR(G57*E44,"")</f>
        <v/>
      </c>
    </row>
    <row r="58" spans="1:11">
      <c r="A58" s="28"/>
      <c r="B58" s="29"/>
      <c r="C58" s="30" t="str">
        <f>IFERROR(_xlfn.XLOOKUP(B58,Transporte[DESCRIPCION],Transporte[UND],,0),"")</f>
        <v/>
      </c>
      <c r="D58" s="31"/>
      <c r="E58" s="32" t="str">
        <f>IFERROR(_xlfn.XLOOKUP($B58,Transporte[DESCRIPCION],Transporte[VALOR],,0),"")</f>
        <v/>
      </c>
      <c r="F58" s="33"/>
      <c r="G58" s="34" t="str">
        <f>IFERROR(IF(F58&gt;=0,D58*E58*(1+F58/100),ABS(D58*E58/F58)),"")</f>
        <v/>
      </c>
      <c r="H58" s="43" t="str">
        <f>IFERROR(G58*E44,"")</f>
        <v/>
      </c>
    </row>
    <row r="59" spans="1:11">
      <c r="A59" s="21"/>
      <c r="B59" s="22" t="s">
        <v>3732</v>
      </c>
      <c r="C59" s="23"/>
      <c r="D59" s="24"/>
      <c r="E59" s="25"/>
      <c r="F59" s="26"/>
      <c r="G59" s="27">
        <f>SUM(G60:G62)</f>
        <v>172332.70789800002</v>
      </c>
      <c r="H59" s="44">
        <f>G59*E44</f>
        <v>0</v>
      </c>
    </row>
    <row r="60" spans="1:11">
      <c r="A60" s="28"/>
      <c r="B60" s="29" t="s">
        <v>3711</v>
      </c>
      <c r="C60" s="30" t="str">
        <f>IFERROR(_xlfn.XLOOKUP(B60,MObra[DESCRIPCION],MObra[UN],,0),"")</f>
        <v>día</v>
      </c>
      <c r="D60" s="31">
        <v>1</v>
      </c>
      <c r="E60" s="32">
        <f>IFERROR(_xlfn.XLOOKUP($B60,MObra[DESCRIPCION],MObra[VALOR UNIT],,0),"")</f>
        <v>430831.76974500006</v>
      </c>
      <c r="F60" s="33">
        <v>-2.5</v>
      </c>
      <c r="G60" s="34">
        <f>IFERROR(IF(F60&gt;=0,D60*E60*(1+F60/100),ABS(D60*E60/F60)),"")</f>
        <v>172332.70789800002</v>
      </c>
      <c r="H60" s="43">
        <f>IFERROR(G60*E44,"")</f>
        <v>0</v>
      </c>
    </row>
    <row r="61" spans="1:11">
      <c r="A61" s="28"/>
      <c r="B61" s="29"/>
      <c r="C61" s="30" t="str">
        <f>IFERROR(_xlfn.XLOOKUP(B61,MObra[DESCRIPCION],MObra[UN],,0),"")</f>
        <v/>
      </c>
      <c r="D61" s="31"/>
      <c r="E61" s="32" t="str">
        <f>IFERROR(_xlfn.XLOOKUP($B61,MObra[DESCRIPCION],MObra[VALOR UNIT],,0),"")</f>
        <v/>
      </c>
      <c r="F61" s="33"/>
      <c r="G61" s="34" t="str">
        <f>IFERROR(IF(F61&gt;=0,D61*E61*(1+F61/100),ABS(D61*E61/F61)),"")</f>
        <v/>
      </c>
      <c r="H61" s="43" t="str">
        <f>IFERROR(G61*E44,"")</f>
        <v/>
      </c>
    </row>
    <row r="62" spans="1:11">
      <c r="A62" s="35"/>
      <c r="B62" s="36"/>
      <c r="C62" s="37" t="str">
        <f>IFERROR(_xlfn.XLOOKUP(B62,MObra[DESCRIPCION],MObra[UN],,0),"")</f>
        <v/>
      </c>
      <c r="D62" s="38"/>
      <c r="E62" s="39" t="str">
        <f>IFERROR(_xlfn.XLOOKUP($B62,MObra[DESCRIPCION],MObra[VALOR UNIT],,0),"")</f>
        <v/>
      </c>
      <c r="F62" s="40"/>
      <c r="G62" s="41" t="str">
        <f>IFERROR(IF(F62&gt;=0,D62*E62*(1+F62/100),ABS(D62*E62/F62)),"")</f>
        <v/>
      </c>
      <c r="H62" s="42" t="str">
        <f>IFERROR(G62*E44,"")</f>
        <v/>
      </c>
    </row>
    <row r="64" spans="1:11">
      <c r="A64" s="6" t="s">
        <v>2044</v>
      </c>
      <c r="B64" s="7" t="str">
        <f>VLOOKUP($A64,Presupuesto!$A:$D,2,FALSE())</f>
        <v>Bloque dentellón canal rápidas</v>
      </c>
      <c r="C64" s="8" t="str">
        <f>VLOOKUP($A64,Presupuesto!$A:$D,3,FALSE())</f>
        <v>M3</v>
      </c>
      <c r="D64" s="9"/>
      <c r="E64" s="10">
        <f>VLOOKUP($A64,Presupuesto!$A:$D,4,FALSE())</f>
        <v>0</v>
      </c>
      <c r="F64" s="11" t="s">
        <v>2589</v>
      </c>
      <c r="G64" s="12">
        <f>SUM(G66:G82)/2</f>
        <v>1251174.8668250404</v>
      </c>
      <c r="H64" s="13">
        <f>ROUND(SUM(H66:H82),0)/2</f>
        <v>0</v>
      </c>
      <c r="I64" s="10">
        <f>VLOOKUP(A64,Presupuesto!$A:$F,6,0)</f>
        <v>0</v>
      </c>
      <c r="J64" s="10">
        <f>+H64-I64</f>
        <v>0</v>
      </c>
      <c r="K64" s="46">
        <f>+H64-G64*E64</f>
        <v>0</v>
      </c>
    </row>
    <row r="65" spans="1:8">
      <c r="A65" s="14"/>
      <c r="B65" s="15" t="s">
        <v>2586</v>
      </c>
      <c r="C65" s="15" t="s">
        <v>5</v>
      </c>
      <c r="D65" s="16" t="s">
        <v>6</v>
      </c>
      <c r="E65" s="17" t="s">
        <v>7</v>
      </c>
      <c r="F65" s="18" t="s">
        <v>3728</v>
      </c>
      <c r="G65" s="19" t="s">
        <v>3729</v>
      </c>
      <c r="H65" s="20" t="s">
        <v>3797</v>
      </c>
    </row>
    <row r="66" spans="1:8">
      <c r="A66" s="21"/>
      <c r="B66" s="22" t="s">
        <v>3730</v>
      </c>
      <c r="C66" s="23"/>
      <c r="D66" s="24"/>
      <c r="E66" s="25"/>
      <c r="F66" s="26"/>
      <c r="G66" s="27">
        <f>SUM(G67:G71)</f>
        <v>961795.64677902043</v>
      </c>
      <c r="H66" s="27">
        <f>IFERROR(G66*E64,"")</f>
        <v>0</v>
      </c>
    </row>
    <row r="67" spans="1:8">
      <c r="A67" s="28"/>
      <c r="B67" s="29" t="s">
        <v>3239</v>
      </c>
      <c r="C67" s="30" t="str">
        <f>IFERROR(_xlfn.XLOOKUP(B67,Insumo[DESCRIPCION],Insumo[UND],,0),"")</f>
        <v>M3</v>
      </c>
      <c r="D67" s="31">
        <v>1</v>
      </c>
      <c r="E67" s="32">
        <f>IFERROR(_xlfn.XLOOKUP($B67,Insumo[DESCRIPCION],Insumo[VALOR],,0),"")</f>
        <v>521159.50227762427</v>
      </c>
      <c r="F67" s="33">
        <v>5</v>
      </c>
      <c r="G67" s="34">
        <f>IFERROR(IF(F67&gt;=0,D67*E67*(1+F67/100),ABS(D67*E67/F67)),"")</f>
        <v>547217.4773915055</v>
      </c>
      <c r="H67" s="43">
        <f>IFERROR(G67*E64,"")</f>
        <v>0</v>
      </c>
    </row>
    <row r="68" spans="1:8">
      <c r="A68" s="28"/>
      <c r="B68" s="29" t="s">
        <v>2954</v>
      </c>
      <c r="C68" s="30" t="str">
        <f>IFERROR(_xlfn.XLOOKUP(B68,Insumo[DESCRIPCION],Insumo[UND],,0),"")</f>
        <v>M2</v>
      </c>
      <c r="D68" s="31">
        <v>10</v>
      </c>
      <c r="E68" s="32">
        <f>IFERROR(_xlfn.XLOOKUP($B68,Insumo[DESCRIPCION],Insumo[VALOR],,0),"")</f>
        <v>102154.92581625449</v>
      </c>
      <c r="F68" s="33">
        <v>-3</v>
      </c>
      <c r="G68" s="34">
        <f>IFERROR(IF(F68&gt;=0,D68*E68*(1+F68/100),ABS(D68*E68/F68)),"")</f>
        <v>340516.41938751494</v>
      </c>
      <c r="H68" s="43">
        <f>IFERROR(G68*E64,"")</f>
        <v>0</v>
      </c>
    </row>
    <row r="69" spans="1:8">
      <c r="A69" s="28"/>
      <c r="B69" s="29" t="s">
        <v>2709</v>
      </c>
      <c r="C69" s="30" t="str">
        <f>IFERROR(_xlfn.XLOOKUP(B69,Insumo[DESCRIPCION],Insumo[UND],,0),"")</f>
        <v>Kg</v>
      </c>
      <c r="D69" s="31">
        <v>5</v>
      </c>
      <c r="E69" s="32">
        <f>IFERROR(_xlfn.XLOOKUP($B69,Insumo[DESCRIPCION],Insumo[VALOR],,0),"")</f>
        <v>14812.35</v>
      </c>
      <c r="F69" s="33"/>
      <c r="G69" s="34">
        <f>IFERROR(IF(F69&gt;=0,D69*E69*(1+F69/100),ABS(D69*E69/F69)),"")</f>
        <v>74061.75</v>
      </c>
      <c r="H69" s="43">
        <f>IFERROR(G69*E64,"")</f>
        <v>0</v>
      </c>
    </row>
    <row r="70" spans="1:8">
      <c r="A70" s="28"/>
      <c r="B70" s="29"/>
      <c r="C70" s="30" t="str">
        <f>IFERROR(_xlfn.XLOOKUP(B70,Insumo[DESCRIPCION],Insumo[UND],,0),"")</f>
        <v/>
      </c>
      <c r="D70" s="31"/>
      <c r="E70" s="32" t="str">
        <f>IFERROR(_xlfn.XLOOKUP($B70,Insumo[DESCRIPCION],Insumo[VALOR],,0),"")</f>
        <v/>
      </c>
      <c r="F70" s="33"/>
      <c r="G70" s="34" t="str">
        <f>IFERROR(IF(F70&gt;=0,D70*E70*(1+F70/100),ABS(D70*E70/F70)),"")</f>
        <v/>
      </c>
      <c r="H70" s="43" t="str">
        <f>IFERROR(G70*E64,"")</f>
        <v/>
      </c>
    </row>
    <row r="71" spans="1:8">
      <c r="A71" s="28"/>
      <c r="B71" s="29"/>
      <c r="C71" s="30" t="str">
        <f>IFERROR(_xlfn.XLOOKUP(B71,Insumo[DESCRIPCION],Insumo[UND],,0),"")</f>
        <v/>
      </c>
      <c r="D71" s="31"/>
      <c r="E71" s="32" t="str">
        <f>IFERROR(_xlfn.XLOOKUP($B71,Insumo[DESCRIPCION],Insumo[VALOR],,0),"")</f>
        <v/>
      </c>
      <c r="F71" s="33"/>
      <c r="G71" s="34" t="str">
        <f>IFERROR(IF(F71&gt;=0,D71*E71*(1+F71/100),ABS(D71*E71/F71)),"")</f>
        <v/>
      </c>
      <c r="H71" s="43" t="str">
        <f>IFERROR(G71*E64,"")</f>
        <v/>
      </c>
    </row>
    <row r="72" spans="1:8">
      <c r="A72" s="21"/>
      <c r="B72" s="22" t="s">
        <v>3731</v>
      </c>
      <c r="C72" s="23"/>
      <c r="D72" s="24"/>
      <c r="E72" s="25"/>
      <c r="F72" s="26"/>
      <c r="G72" s="27">
        <f>SUM(G73:G75)</f>
        <v>23893.697068020007</v>
      </c>
      <c r="H72" s="44">
        <f>G72*E64</f>
        <v>0</v>
      </c>
    </row>
    <row r="73" spans="1:8">
      <c r="A73" s="28"/>
      <c r="B73" s="29" t="s">
        <v>3570</v>
      </c>
      <c r="C73" s="30" t="str">
        <f>IFERROR(_xlfn.XLOOKUP(B73,Equipo[DESCRIPCION],Equipo[UND],,0),"")</f>
        <v>%MO</v>
      </c>
      <c r="D73" s="31">
        <v>0.04</v>
      </c>
      <c r="E73" s="32">
        <f>IF(C73="%MO",G79,IFERROR(_xlfn.XLOOKUP($B73,Equipo[DESCRIPCION],Equipo[VALOR],,0),""))</f>
        <v>265485.52297800005</v>
      </c>
      <c r="F73" s="33"/>
      <c r="G73" s="34">
        <f>IFERROR(IF(F73&gt;=0,D73*E73*(1+F73/100),ABS(D73*E73/F73)),"")</f>
        <v>10619.420919120003</v>
      </c>
      <c r="H73" s="43">
        <f>IFERROR(G73*E64,"")</f>
        <v>0</v>
      </c>
    </row>
    <row r="74" spans="1:8">
      <c r="A74" s="28"/>
      <c r="B74" s="29" t="s">
        <v>3626</v>
      </c>
      <c r="C74" s="30" t="str">
        <f>IFERROR(_xlfn.XLOOKUP(B74,Equipo[DESCRIPCION],Equipo[UND],,0),"")</f>
        <v>%MO</v>
      </c>
      <c r="D74" s="31">
        <v>0.05</v>
      </c>
      <c r="E74" s="32">
        <f>IF(C74="%MO",G80,IFERROR(_xlfn.XLOOKUP($B74,Equipo[DESCRIPCION],Equipo[VALOR],,0),""))</f>
        <v>265485.52297800005</v>
      </c>
      <c r="F74" s="33"/>
      <c r="G74" s="34">
        <f>IFERROR(IF(F74&gt;=0,D74*E74*(1+F74/100),ABS(D74*E74/F74)),"")</f>
        <v>13274.276148900004</v>
      </c>
      <c r="H74" s="43">
        <f>IFERROR(G74*E64,"")</f>
        <v>0</v>
      </c>
    </row>
    <row r="75" spans="1:8">
      <c r="A75" s="28"/>
      <c r="B75" s="29"/>
      <c r="C75" s="30" t="str">
        <f>IFERROR(_xlfn.XLOOKUP(B75,Equipo[DESCRIPCION],Equipo[UND],,0),"")</f>
        <v/>
      </c>
      <c r="D75" s="31"/>
      <c r="E75" s="32" t="str">
        <f>IF(C75="%MO",G81,IFERROR(_xlfn.XLOOKUP($B75,Equipo[DESCRIPCION],Equipo[VALOR],,0),""))</f>
        <v/>
      </c>
      <c r="F75" s="33"/>
      <c r="G75" s="34" t="str">
        <f>IFERROR(IF(F75&gt;=0,D75*E75*(1+F75/100),ABS(D75*E75/F75)),"")</f>
        <v/>
      </c>
      <c r="H75" s="43" t="str">
        <f>IFERROR(G75*E64,"")</f>
        <v/>
      </c>
    </row>
    <row r="76" spans="1:8">
      <c r="A76" s="21"/>
      <c r="B76" s="22" t="s">
        <v>2533</v>
      </c>
      <c r="C76" s="23"/>
      <c r="D76" s="24"/>
      <c r="E76" s="25"/>
      <c r="F76" s="26"/>
      <c r="G76" s="27">
        <f>SUM(G77:G78)</f>
        <v>0</v>
      </c>
      <c r="H76" s="44">
        <f>G76*E64</f>
        <v>0</v>
      </c>
    </row>
    <row r="77" spans="1:8">
      <c r="A77" s="28"/>
      <c r="B77" s="29"/>
      <c r="C77" s="30" t="str">
        <f>IFERROR(_xlfn.XLOOKUP(B77,Transporte[DESCRIPCION],Transporte[UND],,0),"")</f>
        <v/>
      </c>
      <c r="D77" s="31"/>
      <c r="E77" s="32" t="str">
        <f>IFERROR(_xlfn.XLOOKUP($B77,Transporte[DESCRIPCION],Transporte[VALOR],,0),"")</f>
        <v/>
      </c>
      <c r="F77" s="33"/>
      <c r="G77" s="34" t="str">
        <f>IFERROR(IF(F77&gt;=0,D77*E77*(1+F77/100),ABS(D77*E77/F77)),"")</f>
        <v/>
      </c>
      <c r="H77" s="43" t="str">
        <f>IFERROR(G77*E64,"")</f>
        <v/>
      </c>
    </row>
    <row r="78" spans="1:8">
      <c r="A78" s="28"/>
      <c r="B78" s="29"/>
      <c r="C78" s="30" t="str">
        <f>IFERROR(_xlfn.XLOOKUP(B78,Transporte[DESCRIPCION],Transporte[UND],,0),"")</f>
        <v/>
      </c>
      <c r="D78" s="31"/>
      <c r="E78" s="32" t="str">
        <f>IFERROR(_xlfn.XLOOKUP($B78,Transporte[DESCRIPCION],Transporte[VALOR],,0),"")</f>
        <v/>
      </c>
      <c r="F78" s="33"/>
      <c r="G78" s="34" t="str">
        <f>IFERROR(IF(F78&gt;=0,D78*E78*(1+F78/100),ABS(D78*E78/F78)),"")</f>
        <v/>
      </c>
      <c r="H78" s="43" t="str">
        <f>IFERROR(G78*E64,"")</f>
        <v/>
      </c>
    </row>
    <row r="79" spans="1:8">
      <c r="A79" s="21"/>
      <c r="B79" s="22" t="s">
        <v>3732</v>
      </c>
      <c r="C79" s="23"/>
      <c r="D79" s="24"/>
      <c r="E79" s="25"/>
      <c r="F79" s="26"/>
      <c r="G79" s="27">
        <f>SUM(G80:G82)</f>
        <v>265485.52297800005</v>
      </c>
      <c r="H79" s="44">
        <f>G79*E64</f>
        <v>0</v>
      </c>
    </row>
    <row r="80" spans="1:8">
      <c r="A80" s="28"/>
      <c r="B80" s="29" t="s">
        <v>3713</v>
      </c>
      <c r="C80" s="30" t="str">
        <f>IFERROR(_xlfn.XLOOKUP(B80,MObra[DESCRIPCION],MObra[UN],,0),"")</f>
        <v>día</v>
      </c>
      <c r="D80" s="31">
        <v>1</v>
      </c>
      <c r="E80" s="32">
        <f>IFERROR(_xlfn.XLOOKUP($B80,MObra[DESCRIPCION],MObra[VALOR UNIT],,0),"")</f>
        <v>663713.80744500016</v>
      </c>
      <c r="F80" s="33">
        <v>-2.5</v>
      </c>
      <c r="G80" s="34">
        <f>IFERROR(IF(F80&gt;=0,D80*E80*(1+F80/100),ABS(D80*E80/F80)),"")</f>
        <v>265485.52297800005</v>
      </c>
      <c r="H80" s="43">
        <f>IFERROR(G80*E64,"")</f>
        <v>0</v>
      </c>
    </row>
    <row r="81" spans="1:11">
      <c r="A81" s="28"/>
      <c r="B81" s="29"/>
      <c r="C81" s="30" t="str">
        <f>IFERROR(_xlfn.XLOOKUP(B81,MObra[DESCRIPCION],MObra[UN],,0),"")</f>
        <v/>
      </c>
      <c r="D81" s="31"/>
      <c r="E81" s="32" t="str">
        <f>IFERROR(_xlfn.XLOOKUP($B81,MObra[DESCRIPCION],MObra[VALOR UNIT],,0),"")</f>
        <v/>
      </c>
      <c r="F81" s="33"/>
      <c r="G81" s="34" t="str">
        <f>IFERROR(IF(F81&gt;=0,D81*E81*(1+F81/100),ABS(D81*E81/F81)),"")</f>
        <v/>
      </c>
      <c r="H81" s="43" t="str">
        <f>IFERROR(G81*E64,"")</f>
        <v/>
      </c>
    </row>
    <row r="82" spans="1:11">
      <c r="A82" s="35"/>
      <c r="B82" s="36"/>
      <c r="C82" s="37" t="str">
        <f>IFERROR(_xlfn.XLOOKUP(B82,MObra[DESCRIPCION],MObra[UN],,0),"")</f>
        <v/>
      </c>
      <c r="D82" s="38"/>
      <c r="E82" s="39" t="str">
        <f>IFERROR(_xlfn.XLOOKUP($B82,MObra[DESCRIPCION],MObra[VALOR UNIT],,0),"")</f>
        <v/>
      </c>
      <c r="F82" s="40"/>
      <c r="G82" s="41" t="str">
        <f>IFERROR(IF(F82&gt;=0,D82*E82*(1+F82/100),ABS(D82*E82/F82)),"")</f>
        <v/>
      </c>
      <c r="H82" s="42" t="str">
        <f>IFERROR(G82*E64,"")</f>
        <v/>
      </c>
    </row>
    <row r="84" spans="1:11">
      <c r="A84" s="6" t="s">
        <v>2046</v>
      </c>
      <c r="B84" s="7" t="str">
        <f>VLOOKUP($A84,Presupuesto!$A:$D,2,FALSE())</f>
        <v>Box Culvert C 20.7 Mpa</v>
      </c>
      <c r="C84" s="8" t="str">
        <f>VLOOKUP($A84,Presupuesto!$A:$D,3,FALSE())</f>
        <v>M3</v>
      </c>
      <c r="D84" s="9"/>
      <c r="E84" s="10">
        <f>VLOOKUP($A84,Presupuesto!$A:$D,4,FALSE())</f>
        <v>0</v>
      </c>
      <c r="F84" s="11" t="s">
        <v>2589</v>
      </c>
      <c r="G84" s="12">
        <f>SUM(G86:G102)/2</f>
        <v>1674614.6097237738</v>
      </c>
      <c r="H84" s="13">
        <f>ROUND(SUM(H86:H102),0)/2</f>
        <v>0</v>
      </c>
      <c r="I84" s="10">
        <f>VLOOKUP(A84,Presupuesto!$A:$F,6,0)</f>
        <v>0</v>
      </c>
      <c r="J84" s="10">
        <f>+H84-I84</f>
        <v>0</v>
      </c>
      <c r="K84" s="46">
        <f>+H84-G84*E84</f>
        <v>0</v>
      </c>
    </row>
    <row r="85" spans="1:11">
      <c r="A85" s="14"/>
      <c r="B85" s="15" t="s">
        <v>2586</v>
      </c>
      <c r="C85" s="15" t="s">
        <v>5</v>
      </c>
      <c r="D85" s="16" t="s">
        <v>6</v>
      </c>
      <c r="E85" s="17" t="s">
        <v>7</v>
      </c>
      <c r="F85" s="18" t="s">
        <v>3728</v>
      </c>
      <c r="G85" s="19" t="s">
        <v>3729</v>
      </c>
      <c r="H85" s="20" t="s">
        <v>3797</v>
      </c>
    </row>
    <row r="86" spans="1:11">
      <c r="A86" s="21"/>
      <c r="B86" s="22" t="s">
        <v>3730</v>
      </c>
      <c r="C86" s="23"/>
      <c r="D86" s="24"/>
      <c r="E86" s="25"/>
      <c r="F86" s="26"/>
      <c r="G86" s="27">
        <f>SUM(G87:G91)</f>
        <v>970649.53065652342</v>
      </c>
      <c r="H86" s="27">
        <f>IFERROR(G86*E84,"")</f>
        <v>0</v>
      </c>
    </row>
    <row r="87" spans="1:11">
      <c r="A87" s="28"/>
      <c r="B87" s="29" t="s">
        <v>2954</v>
      </c>
      <c r="C87" s="30" t="str">
        <f>IFERROR(_xlfn.XLOOKUP(B87,Insumo[DESCRIPCION],Insumo[UND],,0),"")</f>
        <v>M2</v>
      </c>
      <c r="D87" s="31">
        <v>4</v>
      </c>
      <c r="E87" s="32">
        <f>IFERROR(_xlfn.XLOOKUP($B87,Insumo[DESCRIPCION],Insumo[VALOR],,0),"")</f>
        <v>102154.92581625449</v>
      </c>
      <c r="F87" s="33"/>
      <c r="G87" s="34">
        <f>IFERROR(IF(F87&gt;=0,D87*E87*(1+F87/100),ABS(D87*E87/F87)),"")</f>
        <v>408619.70326501795</v>
      </c>
      <c r="H87" s="43">
        <f>IFERROR(G87*E84,"")</f>
        <v>0</v>
      </c>
    </row>
    <row r="88" spans="1:11">
      <c r="A88" s="28"/>
      <c r="B88" s="29" t="s">
        <v>3239</v>
      </c>
      <c r="C88" s="30" t="str">
        <f>IFERROR(_xlfn.XLOOKUP(B88,Insumo[DESCRIPCION],Insumo[UND],,0),"")</f>
        <v>M3</v>
      </c>
      <c r="D88" s="31">
        <v>1</v>
      </c>
      <c r="E88" s="32">
        <f>IFERROR(_xlfn.XLOOKUP($B88,Insumo[DESCRIPCION],Insumo[VALOR],,0),"")</f>
        <v>521159.50227762427</v>
      </c>
      <c r="F88" s="33">
        <v>5</v>
      </c>
      <c r="G88" s="34">
        <f>IFERROR(IF(F88&gt;=0,D88*E88*(1+F88/100),ABS(D88*E88/F88)),"")</f>
        <v>547217.4773915055</v>
      </c>
      <c r="H88" s="43">
        <f>IFERROR(G88*E84,"")</f>
        <v>0</v>
      </c>
    </row>
    <row r="89" spans="1:11">
      <c r="A89" s="28"/>
      <c r="B89" s="29" t="s">
        <v>2709</v>
      </c>
      <c r="C89" s="30" t="str">
        <f>IFERROR(_xlfn.XLOOKUP(B89,Insumo[DESCRIPCION],Insumo[UND],,0),"")</f>
        <v>Kg</v>
      </c>
      <c r="D89" s="31">
        <v>1</v>
      </c>
      <c r="E89" s="32">
        <f>IFERROR(_xlfn.XLOOKUP($B89,Insumo[DESCRIPCION],Insumo[VALOR],,0),"")</f>
        <v>14812.35</v>
      </c>
      <c r="F89" s="33"/>
      <c r="G89" s="34">
        <f>IFERROR(IF(F89&gt;=0,D89*E89*(1+F89/100),ABS(D89*E89/F89)),"")</f>
        <v>14812.35</v>
      </c>
      <c r="H89" s="43">
        <f>IFERROR(G89*E84,"")</f>
        <v>0</v>
      </c>
    </row>
    <row r="90" spans="1:11">
      <c r="A90" s="28"/>
      <c r="B90" s="29"/>
      <c r="C90" s="30" t="str">
        <f>IFERROR(_xlfn.XLOOKUP(B90,Insumo[DESCRIPCION],Insumo[UND],,0),"")</f>
        <v/>
      </c>
      <c r="D90" s="31"/>
      <c r="E90" s="32" t="str">
        <f>IFERROR(_xlfn.XLOOKUP($B90,Insumo[DESCRIPCION],Insumo[VALOR],,0),"")</f>
        <v/>
      </c>
      <c r="F90" s="33"/>
      <c r="G90" s="34" t="str">
        <f>IFERROR(IF(F90&gt;=0,D90*E90*(1+F90/100),ABS(D90*E90/F90)),"")</f>
        <v/>
      </c>
      <c r="H90" s="43" t="str">
        <f>IFERROR(G90*E84,"")</f>
        <v/>
      </c>
    </row>
    <row r="91" spans="1:11">
      <c r="A91" s="28"/>
      <c r="B91" s="29"/>
      <c r="C91" s="30" t="str">
        <f>IFERROR(_xlfn.XLOOKUP(B91,Insumo[DESCRIPCION],Insumo[UND],,0),"")</f>
        <v/>
      </c>
      <c r="D91" s="31"/>
      <c r="E91" s="32" t="str">
        <f>IFERROR(_xlfn.XLOOKUP($B91,Insumo[DESCRIPCION],Insumo[VALOR],,0),"")</f>
        <v/>
      </c>
      <c r="F91" s="33"/>
      <c r="G91" s="34" t="str">
        <f>IFERROR(IF(F91&gt;=0,D91*E91*(1+F91/100),ABS(D91*E91/F91)),"")</f>
        <v/>
      </c>
      <c r="H91" s="43" t="str">
        <f>IFERROR(G91*E84,"")</f>
        <v/>
      </c>
    </row>
    <row r="92" spans="1:11">
      <c r="A92" s="21"/>
      <c r="B92" s="22" t="s">
        <v>3731</v>
      </c>
      <c r="C92" s="23"/>
      <c r="D92" s="24"/>
      <c r="E92" s="25"/>
      <c r="F92" s="26"/>
      <c r="G92" s="27">
        <f>SUM(G93:G95)</f>
        <v>40251.271622250009</v>
      </c>
      <c r="H92" s="44">
        <f>G92*E84</f>
        <v>0</v>
      </c>
    </row>
    <row r="93" spans="1:11">
      <c r="A93" s="28"/>
      <c r="B93" s="29" t="s">
        <v>3657</v>
      </c>
      <c r="C93" s="30" t="str">
        <f>IFERROR(_xlfn.XLOOKUP(B93,Equipo[DESCRIPCION],Equipo[UND],,0),"")</f>
        <v>Día</v>
      </c>
      <c r="D93" s="31">
        <v>1</v>
      </c>
      <c r="E93" s="32">
        <f>IF(C93="%MO",G99,IFERROR(_xlfn.XLOOKUP($B93,Equipo[DESCRIPCION],Equipo[VALOR],,0),""))</f>
        <v>56524.65</v>
      </c>
      <c r="F93" s="33">
        <v>-8</v>
      </c>
      <c r="G93" s="34">
        <f>IFERROR(IF(F93&gt;=0,D93*E93*(1+F93/100),ABS(D93*E93/F93)),"")</f>
        <v>7065.5812500000002</v>
      </c>
      <c r="H93" s="43">
        <f>IFERROR(G93*E84,"")</f>
        <v>0</v>
      </c>
    </row>
    <row r="94" spans="1:11">
      <c r="A94" s="28"/>
      <c r="B94" s="29" t="s">
        <v>3626</v>
      </c>
      <c r="C94" s="30" t="str">
        <f>IFERROR(_xlfn.XLOOKUP(B94,Equipo[DESCRIPCION],Equipo[UND],,0),"")</f>
        <v>%MO</v>
      </c>
      <c r="D94" s="31">
        <v>0.05</v>
      </c>
      <c r="E94" s="32">
        <f>IF(C94="%MO",G100,IFERROR(_xlfn.XLOOKUP($B94,Equipo[DESCRIPCION],Equipo[VALOR],,0),""))</f>
        <v>663713.80744500016</v>
      </c>
      <c r="F94" s="33"/>
      <c r="G94" s="34">
        <f>IFERROR(IF(F94&gt;=0,D94*E94*(1+F94/100),ABS(D94*E94/F94)),"")</f>
        <v>33185.690372250006</v>
      </c>
      <c r="H94" s="43">
        <f>IFERROR(G94*E84,"")</f>
        <v>0</v>
      </c>
    </row>
    <row r="95" spans="1:11">
      <c r="A95" s="28"/>
      <c r="B95" s="29"/>
      <c r="C95" s="30" t="str">
        <f>IFERROR(_xlfn.XLOOKUP(B95,Equipo[DESCRIPCION],Equipo[UND],,0),"")</f>
        <v/>
      </c>
      <c r="D95" s="31"/>
      <c r="E95" s="32" t="str">
        <f>IF(C95="%MO",G101,IFERROR(_xlfn.XLOOKUP($B95,Equipo[DESCRIPCION],Equipo[VALOR],,0),""))</f>
        <v/>
      </c>
      <c r="F95" s="33"/>
      <c r="G95" s="34" t="str">
        <f>IFERROR(IF(F95&gt;=0,D95*E95*(1+F95/100),ABS(D95*E95/F95)),"")</f>
        <v/>
      </c>
      <c r="H95" s="43" t="str">
        <f>IFERROR(G95*E84,"")</f>
        <v/>
      </c>
    </row>
    <row r="96" spans="1:11">
      <c r="A96" s="21"/>
      <c r="B96" s="22" t="s">
        <v>2533</v>
      </c>
      <c r="C96" s="23"/>
      <c r="D96" s="24"/>
      <c r="E96" s="25"/>
      <c r="F96" s="26"/>
      <c r="G96" s="27">
        <f>SUM(G97:G98)</f>
        <v>0</v>
      </c>
      <c r="H96" s="44">
        <f>G96*E84</f>
        <v>0</v>
      </c>
    </row>
    <row r="97" spans="1:11">
      <c r="A97" s="28"/>
      <c r="B97" s="29"/>
      <c r="C97" s="30" t="str">
        <f>IFERROR(_xlfn.XLOOKUP(B97,Transporte[DESCRIPCION],Transporte[UND],,0),"")</f>
        <v/>
      </c>
      <c r="D97" s="31"/>
      <c r="E97" s="32" t="str">
        <f>IFERROR(_xlfn.XLOOKUP($B97,Transporte[DESCRIPCION],Transporte[VALOR],,0),"")</f>
        <v/>
      </c>
      <c r="F97" s="33"/>
      <c r="G97" s="34" t="str">
        <f>IFERROR(IF(F97&gt;=0,D97*E97*(1+F97/100),ABS(D97*E97/F97)),"")</f>
        <v/>
      </c>
      <c r="H97" s="43" t="str">
        <f>IFERROR(G97*E84,"")</f>
        <v/>
      </c>
    </row>
    <row r="98" spans="1:11">
      <c r="A98" s="28"/>
      <c r="B98" s="29"/>
      <c r="C98" s="30" t="str">
        <f>IFERROR(_xlfn.XLOOKUP(B98,Transporte[DESCRIPCION],Transporte[UND],,0),"")</f>
        <v/>
      </c>
      <c r="D98" s="31"/>
      <c r="E98" s="32" t="str">
        <f>IFERROR(_xlfn.XLOOKUP($B98,Transporte[DESCRIPCION],Transporte[VALOR],,0),"")</f>
        <v/>
      </c>
      <c r="F98" s="33"/>
      <c r="G98" s="34" t="str">
        <f>IFERROR(IF(F98&gt;=0,D98*E98*(1+F98/100),ABS(D98*E98/F98)),"")</f>
        <v/>
      </c>
      <c r="H98" s="43" t="str">
        <f>IFERROR(G98*E84,"")</f>
        <v/>
      </c>
    </row>
    <row r="99" spans="1:11">
      <c r="A99" s="21"/>
      <c r="B99" s="22" t="s">
        <v>3732</v>
      </c>
      <c r="C99" s="23"/>
      <c r="D99" s="24"/>
      <c r="E99" s="25"/>
      <c r="F99" s="26"/>
      <c r="G99" s="27">
        <f>SUM(G100:G102)</f>
        <v>663713.80744500016</v>
      </c>
      <c r="H99" s="44">
        <f>G99*E84</f>
        <v>0</v>
      </c>
    </row>
    <row r="100" spans="1:11">
      <c r="A100" s="28"/>
      <c r="B100" s="29" t="s">
        <v>3713</v>
      </c>
      <c r="C100" s="30" t="str">
        <f>IFERROR(_xlfn.XLOOKUP(B100,MObra[DESCRIPCION],MObra[UN],,0),"")</f>
        <v>día</v>
      </c>
      <c r="D100" s="31">
        <v>1</v>
      </c>
      <c r="E100" s="32">
        <f>IFERROR(_xlfn.XLOOKUP($B100,MObra[DESCRIPCION],MObra[VALOR UNIT],,0),"")</f>
        <v>663713.80744500016</v>
      </c>
      <c r="F100" s="33">
        <v>-1</v>
      </c>
      <c r="G100" s="34">
        <f>IFERROR(IF(F100&gt;=0,D100*E100*(1+F100/100),ABS(D100*E100/F100)),"")</f>
        <v>663713.80744500016</v>
      </c>
      <c r="H100" s="43">
        <f>IFERROR(G100*E84,"")</f>
        <v>0</v>
      </c>
    </row>
    <row r="101" spans="1:11">
      <c r="A101" s="28"/>
      <c r="B101" s="29"/>
      <c r="C101" s="30" t="str">
        <f>IFERROR(_xlfn.XLOOKUP(B101,MObra[DESCRIPCION],MObra[UN],,0),"")</f>
        <v/>
      </c>
      <c r="D101" s="31"/>
      <c r="E101" s="32" t="str">
        <f>IFERROR(_xlfn.XLOOKUP($B101,MObra[DESCRIPCION],MObra[VALOR UNIT],,0),"")</f>
        <v/>
      </c>
      <c r="F101" s="33"/>
      <c r="G101" s="34" t="str">
        <f>IFERROR(IF(F101&gt;=0,D101*E101*(1+F101/100),ABS(D101*E101/F101)),"")</f>
        <v/>
      </c>
      <c r="H101" s="43" t="str">
        <f>IFERROR(G101*E84,"")</f>
        <v/>
      </c>
    </row>
    <row r="102" spans="1:11">
      <c r="A102" s="35"/>
      <c r="B102" s="36"/>
      <c r="C102" s="37" t="str">
        <f>IFERROR(_xlfn.XLOOKUP(B102,MObra[DESCRIPCION],MObra[UN],,0),"")</f>
        <v/>
      </c>
      <c r="D102" s="38"/>
      <c r="E102" s="39" t="str">
        <f>IFERROR(_xlfn.XLOOKUP($B102,MObra[DESCRIPCION],MObra[VALOR UNIT],,0),"")</f>
        <v/>
      </c>
      <c r="F102" s="40"/>
      <c r="G102" s="41" t="str">
        <f>IFERROR(IF(F102&gt;=0,D102*E102*(1+F102/100),ABS(D102*E102/F102)),"")</f>
        <v/>
      </c>
      <c r="H102" s="42" t="str">
        <f>IFERROR(G102*E84,"")</f>
        <v/>
      </c>
    </row>
    <row r="104" spans="1:11">
      <c r="A104" s="6" t="s">
        <v>2048</v>
      </c>
      <c r="B104" s="7" t="str">
        <f>VLOOKUP($A104,Presupuesto!$A:$D,2,FALSE())</f>
        <v>Cabezote concreto ciclópeo H=2.5m</v>
      </c>
      <c r="C104" s="8" t="str">
        <f>VLOOKUP($A104,Presupuesto!$A:$D,3,FALSE())</f>
        <v>M3</v>
      </c>
      <c r="D104" s="9"/>
      <c r="E104" s="10">
        <f>VLOOKUP($A104,Presupuesto!$A:$D,4,FALSE())</f>
        <v>0</v>
      </c>
      <c r="F104" s="11" t="s">
        <v>2589</v>
      </c>
      <c r="G104" s="12">
        <f>SUM(G106:G122)/2</f>
        <v>907650.12756904354</v>
      </c>
      <c r="H104" s="13">
        <f>ROUND(SUM(H106:H122),0)/2</f>
        <v>0</v>
      </c>
      <c r="I104" s="10">
        <f>VLOOKUP(A104,Presupuesto!$A:$F,6,0)</f>
        <v>0</v>
      </c>
      <c r="J104" s="10">
        <f>+H104-I104</f>
        <v>0</v>
      </c>
      <c r="K104" s="46">
        <f>+H104-G104*E104</f>
        <v>0</v>
      </c>
    </row>
    <row r="105" spans="1:11">
      <c r="A105" s="14"/>
      <c r="B105" s="15" t="s">
        <v>2586</v>
      </c>
      <c r="C105" s="15" t="s">
        <v>5</v>
      </c>
      <c r="D105" s="16" t="s">
        <v>6</v>
      </c>
      <c r="E105" s="17" t="s">
        <v>7</v>
      </c>
      <c r="F105" s="18" t="s">
        <v>3728</v>
      </c>
      <c r="G105" s="19" t="s">
        <v>3729</v>
      </c>
      <c r="H105" s="20" t="s">
        <v>3797</v>
      </c>
    </row>
    <row r="106" spans="1:11">
      <c r="A106" s="21"/>
      <c r="B106" s="22" t="s">
        <v>3730</v>
      </c>
      <c r="C106" s="23"/>
      <c r="D106" s="24"/>
      <c r="E106" s="25"/>
      <c r="F106" s="26"/>
      <c r="G106" s="27">
        <f>SUM(G107:G111)</f>
        <v>675350.29496329348</v>
      </c>
      <c r="H106" s="27">
        <f>IFERROR(G106*E104,"")</f>
        <v>0</v>
      </c>
    </row>
    <row r="107" spans="1:11">
      <c r="A107" s="28"/>
      <c r="B107" s="29" t="s">
        <v>3242</v>
      </c>
      <c r="C107" s="30" t="str">
        <f>IFERROR(_xlfn.XLOOKUP(B107,Insumo[DESCRIPCION],Insumo[UND],,0),"")</f>
        <v>M3</v>
      </c>
      <c r="D107" s="31">
        <v>1</v>
      </c>
      <c r="E107" s="32">
        <f>IFERROR(_xlfn.XLOOKUP($B107,Insumo[DESCRIPCION],Insumo[VALOR],,0),"")</f>
        <v>448609.94602931855</v>
      </c>
      <c r="F107" s="33">
        <v>5</v>
      </c>
      <c r="G107" s="34">
        <f>IFERROR(IF(F107&gt;=0,D107*E107*(1+F107/100),ABS(D107*E107/F107)),"")</f>
        <v>471040.4433307845</v>
      </c>
      <c r="H107" s="43">
        <f>IFERROR(G107*E104,"")</f>
        <v>0</v>
      </c>
    </row>
    <row r="108" spans="1:11">
      <c r="A108" s="28"/>
      <c r="B108" s="29" t="s">
        <v>2954</v>
      </c>
      <c r="C108" s="30" t="str">
        <f>IFERROR(_xlfn.XLOOKUP(B108,Insumo[DESCRIPCION],Insumo[UND],,0),"")</f>
        <v>M2</v>
      </c>
      <c r="D108" s="31">
        <v>2</v>
      </c>
      <c r="E108" s="32">
        <f>IFERROR(_xlfn.XLOOKUP($B108,Insumo[DESCRIPCION],Insumo[VALOR],,0),"")</f>
        <v>102154.92581625449</v>
      </c>
      <c r="F108" s="33"/>
      <c r="G108" s="34">
        <f>IFERROR(IF(F108&gt;=0,D108*E108*(1+F108/100),ABS(D108*E108/F108)),"")</f>
        <v>204309.85163250897</v>
      </c>
      <c r="H108" s="43">
        <f>IFERROR(G108*E104,"")</f>
        <v>0</v>
      </c>
    </row>
    <row r="109" spans="1:11">
      <c r="A109" s="28"/>
      <c r="B109" s="29"/>
      <c r="C109" s="30" t="str">
        <f>IFERROR(_xlfn.XLOOKUP(B109,Insumo[DESCRIPCION],Insumo[UND],,0),"")</f>
        <v/>
      </c>
      <c r="D109" s="31"/>
      <c r="E109" s="32" t="str">
        <f>IFERROR(_xlfn.XLOOKUP($B109,Insumo[DESCRIPCION],Insumo[VALOR],,0),"")</f>
        <v/>
      </c>
      <c r="F109" s="33"/>
      <c r="G109" s="34" t="str">
        <f>IFERROR(IF(F109&gt;=0,D109*E109*(1+F109/100),ABS(D109*E109/F109)),"")</f>
        <v/>
      </c>
      <c r="H109" s="43" t="str">
        <f>IFERROR(G109*E104,"")</f>
        <v/>
      </c>
    </row>
    <row r="110" spans="1:11">
      <c r="A110" s="28"/>
      <c r="B110" s="29"/>
      <c r="C110" s="30" t="str">
        <f>IFERROR(_xlfn.XLOOKUP(B110,Insumo[DESCRIPCION],Insumo[UND],,0),"")</f>
        <v/>
      </c>
      <c r="D110" s="31"/>
      <c r="E110" s="32" t="str">
        <f>IFERROR(_xlfn.XLOOKUP($B110,Insumo[DESCRIPCION],Insumo[VALOR],,0),"")</f>
        <v/>
      </c>
      <c r="F110" s="33"/>
      <c r="G110" s="34" t="str">
        <f>IFERROR(IF(F110&gt;=0,D110*E110*(1+F110/100),ABS(D110*E110/F110)),"")</f>
        <v/>
      </c>
      <c r="H110" s="43" t="str">
        <f>IFERROR(G110*E104,"")</f>
        <v/>
      </c>
    </row>
    <row r="111" spans="1:11">
      <c r="A111" s="28"/>
      <c r="B111" s="29"/>
      <c r="C111" s="30" t="str">
        <f>IFERROR(_xlfn.XLOOKUP(B111,Insumo[DESCRIPCION],Insumo[UND],,0),"")</f>
        <v/>
      </c>
      <c r="D111" s="31"/>
      <c r="E111" s="32" t="str">
        <f>IFERROR(_xlfn.XLOOKUP($B111,Insumo[DESCRIPCION],Insumo[VALOR],,0),"")</f>
        <v/>
      </c>
      <c r="F111" s="33"/>
      <c r="G111" s="34" t="str">
        <f>IFERROR(IF(F111&gt;=0,D111*E111*(1+F111/100),ABS(D111*E111/F111)),"")</f>
        <v/>
      </c>
      <c r="H111" s="43" t="str">
        <f>IFERROR(G111*E104,"")</f>
        <v/>
      </c>
    </row>
    <row r="112" spans="1:11">
      <c r="A112" s="21"/>
      <c r="B112" s="22" t="s">
        <v>3731</v>
      </c>
      <c r="C112" s="23"/>
      <c r="D112" s="24"/>
      <c r="E112" s="25"/>
      <c r="F112" s="26"/>
      <c r="G112" s="27">
        <f>SUM(G113:G115)</f>
        <v>11061.896790750005</v>
      </c>
      <c r="H112" s="44">
        <f>G112*E104</f>
        <v>0</v>
      </c>
    </row>
    <row r="113" spans="1:11">
      <c r="A113" s="28"/>
      <c r="B113" s="29" t="s">
        <v>3626</v>
      </c>
      <c r="C113" s="30" t="str">
        <f>IFERROR(_xlfn.XLOOKUP(B113,Equipo[DESCRIPCION],Equipo[UND],,0),"")</f>
        <v>%MO</v>
      </c>
      <c r="D113" s="31">
        <v>0.05</v>
      </c>
      <c r="E113" s="32">
        <f>IF(C113="%MO",G119,IFERROR(_xlfn.XLOOKUP($B113,Equipo[DESCRIPCION],Equipo[VALOR],,0),""))</f>
        <v>221237.93581500006</v>
      </c>
      <c r="F113" s="33"/>
      <c r="G113" s="34">
        <f>IFERROR(IF(F113&gt;=0,D113*E113*(1+F113/100),ABS(D113*E113/F113)),"")</f>
        <v>11061.896790750005</v>
      </c>
      <c r="H113" s="43">
        <f>IFERROR(G113*E104,"")</f>
        <v>0</v>
      </c>
    </row>
    <row r="114" spans="1:11">
      <c r="A114" s="28"/>
      <c r="B114" s="29"/>
      <c r="C114" s="30" t="str">
        <f>IFERROR(_xlfn.XLOOKUP(B114,Equipo[DESCRIPCION],Equipo[UND],,0),"")</f>
        <v/>
      </c>
      <c r="D114" s="31"/>
      <c r="E114" s="32" t="str">
        <f>IF(C114="%MO",G120,IFERROR(_xlfn.XLOOKUP($B114,Equipo[DESCRIPCION],Equipo[VALOR],,0),""))</f>
        <v/>
      </c>
      <c r="F114" s="33"/>
      <c r="G114" s="34" t="str">
        <f>IFERROR(IF(F114&gt;=0,D114*E114*(1+F114/100),ABS(D114*E114/F114)),"")</f>
        <v/>
      </c>
      <c r="H114" s="43" t="str">
        <f>IFERROR(G114*E104,"")</f>
        <v/>
      </c>
    </row>
    <row r="115" spans="1:11">
      <c r="A115" s="28"/>
      <c r="B115" s="29"/>
      <c r="C115" s="30" t="str">
        <f>IFERROR(_xlfn.XLOOKUP(B115,Equipo[DESCRIPCION],Equipo[UND],,0),"")</f>
        <v/>
      </c>
      <c r="D115" s="31"/>
      <c r="E115" s="32" t="str">
        <f>IF(C115="%MO",G121,IFERROR(_xlfn.XLOOKUP($B115,Equipo[DESCRIPCION],Equipo[VALOR],,0),""))</f>
        <v/>
      </c>
      <c r="F115" s="33"/>
      <c r="G115" s="34" t="str">
        <f>IFERROR(IF(F115&gt;=0,D115*E115*(1+F115/100),ABS(D115*E115/F115)),"")</f>
        <v/>
      </c>
      <c r="H115" s="43" t="str">
        <f>IFERROR(G115*E104,"")</f>
        <v/>
      </c>
    </row>
    <row r="116" spans="1:11">
      <c r="A116" s="21"/>
      <c r="B116" s="22" t="s">
        <v>2533</v>
      </c>
      <c r="C116" s="23"/>
      <c r="D116" s="24"/>
      <c r="E116" s="25"/>
      <c r="F116" s="26"/>
      <c r="G116" s="27">
        <f>SUM(G117:G118)</f>
        <v>0</v>
      </c>
      <c r="H116" s="44">
        <f>G116*E104</f>
        <v>0</v>
      </c>
    </row>
    <row r="117" spans="1:11">
      <c r="A117" s="28"/>
      <c r="B117" s="29"/>
      <c r="C117" s="30" t="str">
        <f>IFERROR(_xlfn.XLOOKUP(B117,Transporte[DESCRIPCION],Transporte[UND],,0),"")</f>
        <v/>
      </c>
      <c r="D117" s="31"/>
      <c r="E117" s="32" t="str">
        <f>IFERROR(_xlfn.XLOOKUP($B117,Transporte[DESCRIPCION],Transporte[VALOR],,0),"")</f>
        <v/>
      </c>
      <c r="F117" s="33"/>
      <c r="G117" s="34" t="str">
        <f>IFERROR(IF(F117&gt;=0,D117*E117*(1+F117/100),ABS(D117*E117/F117)),"")</f>
        <v/>
      </c>
      <c r="H117" s="43" t="str">
        <f>IFERROR(G117*E104,"")</f>
        <v/>
      </c>
    </row>
    <row r="118" spans="1:11">
      <c r="A118" s="28"/>
      <c r="B118" s="29"/>
      <c r="C118" s="30" t="str">
        <f>IFERROR(_xlfn.XLOOKUP(B118,Transporte[DESCRIPCION],Transporte[UND],,0),"")</f>
        <v/>
      </c>
      <c r="D118" s="31"/>
      <c r="E118" s="32" t="str">
        <f>IFERROR(_xlfn.XLOOKUP($B118,Transporte[DESCRIPCION],Transporte[VALOR],,0),"")</f>
        <v/>
      </c>
      <c r="F118" s="33"/>
      <c r="G118" s="34" t="str">
        <f>IFERROR(IF(F118&gt;=0,D118*E118*(1+F118/100),ABS(D118*E118/F118)),"")</f>
        <v/>
      </c>
      <c r="H118" s="43" t="str">
        <f>IFERROR(G118*E104,"")</f>
        <v/>
      </c>
    </row>
    <row r="119" spans="1:11">
      <c r="A119" s="21"/>
      <c r="B119" s="22" t="s">
        <v>3732</v>
      </c>
      <c r="C119" s="23"/>
      <c r="D119" s="24"/>
      <c r="E119" s="25"/>
      <c r="F119" s="26"/>
      <c r="G119" s="27">
        <f>SUM(G120:G122)</f>
        <v>221237.93581500006</v>
      </c>
      <c r="H119" s="44">
        <f>G119*E104</f>
        <v>0</v>
      </c>
    </row>
    <row r="120" spans="1:11">
      <c r="A120" s="28"/>
      <c r="B120" s="29" t="s">
        <v>3713</v>
      </c>
      <c r="C120" s="30" t="str">
        <f>IFERROR(_xlfn.XLOOKUP(B120,MObra[DESCRIPCION],MObra[UN],,0),"")</f>
        <v>día</v>
      </c>
      <c r="D120" s="31">
        <v>1</v>
      </c>
      <c r="E120" s="32">
        <f>IFERROR(_xlfn.XLOOKUP($B120,MObra[DESCRIPCION],MObra[VALOR UNIT],,0),"")</f>
        <v>663713.80744500016</v>
      </c>
      <c r="F120" s="33">
        <v>-3</v>
      </c>
      <c r="G120" s="34">
        <f>IFERROR(IF(F120&gt;=0,D120*E120*(1+F120/100),ABS(D120*E120/F120)),"")</f>
        <v>221237.93581500006</v>
      </c>
      <c r="H120" s="43">
        <f>IFERROR(G120*E104,"")</f>
        <v>0</v>
      </c>
    </row>
    <row r="121" spans="1:11">
      <c r="A121" s="28"/>
      <c r="B121" s="29"/>
      <c r="C121" s="30" t="str">
        <f>IFERROR(_xlfn.XLOOKUP(B121,MObra[DESCRIPCION],MObra[UN],,0),"")</f>
        <v/>
      </c>
      <c r="D121" s="31"/>
      <c r="E121" s="32" t="str">
        <f>IFERROR(_xlfn.XLOOKUP($B121,MObra[DESCRIPCION],MObra[VALOR UNIT],,0),"")</f>
        <v/>
      </c>
      <c r="F121" s="33"/>
      <c r="G121" s="34" t="str">
        <f>IFERROR(IF(F121&gt;=0,D121*E121*(1+F121/100),ABS(D121*E121/F121)),"")</f>
        <v/>
      </c>
      <c r="H121" s="43" t="str">
        <f>IFERROR(G121*E104,"")</f>
        <v/>
      </c>
    </row>
    <row r="122" spans="1:11">
      <c r="A122" s="35"/>
      <c r="B122" s="36"/>
      <c r="C122" s="37" t="str">
        <f>IFERROR(_xlfn.XLOOKUP(B122,MObra[DESCRIPCION],MObra[UN],,0),"")</f>
        <v/>
      </c>
      <c r="D122" s="38"/>
      <c r="E122" s="39" t="str">
        <f>IFERROR(_xlfn.XLOOKUP($B122,MObra[DESCRIPCION],MObra[VALOR UNIT],,0),"")</f>
        <v/>
      </c>
      <c r="F122" s="40"/>
      <c r="G122" s="41" t="str">
        <f>IFERROR(IF(F122&gt;=0,D122*E122*(1+F122/100),ABS(D122*E122/F122)),"")</f>
        <v/>
      </c>
      <c r="H122" s="42" t="str">
        <f>IFERROR(G122*E104,"")</f>
        <v/>
      </c>
    </row>
    <row r="124" spans="1:11">
      <c r="A124" s="6" t="s">
        <v>2050</v>
      </c>
      <c r="B124" s="7" t="str">
        <f>VLOOKUP($A124,Presupuesto!$A:$D,2,FALSE())</f>
        <v>Concreto 20.7 Mpa para recubrimiento de gaviones E=0,10 m</v>
      </c>
      <c r="C124" s="8" t="str">
        <f>VLOOKUP($A124,Presupuesto!$A:$D,3,FALSE())</f>
        <v>M3</v>
      </c>
      <c r="D124" s="9"/>
      <c r="E124" s="10">
        <f>VLOOKUP($A124,Presupuesto!$A:$D,4,FALSE())</f>
        <v>0</v>
      </c>
      <c r="F124" s="11" t="s">
        <v>2589</v>
      </c>
      <c r="G124" s="12">
        <f>SUM(G126:G142)/2</f>
        <v>896216.93904702447</v>
      </c>
      <c r="H124" s="13">
        <f>ROUND(SUM(H126:H142),0)/2</f>
        <v>0</v>
      </c>
      <c r="I124" s="10">
        <f>VLOOKUP(A124,Presupuesto!$A:$F,6,0)</f>
        <v>0</v>
      </c>
      <c r="J124" s="10">
        <f>+H124-I124</f>
        <v>0</v>
      </c>
      <c r="K124" s="46">
        <f>+H124-G124*E124</f>
        <v>0</v>
      </c>
    </row>
    <row r="125" spans="1:11">
      <c r="A125" s="14"/>
      <c r="B125" s="15" t="s">
        <v>2586</v>
      </c>
      <c r="C125" s="15" t="s">
        <v>5</v>
      </c>
      <c r="D125" s="16" t="s">
        <v>6</v>
      </c>
      <c r="E125" s="17" t="s">
        <v>7</v>
      </c>
      <c r="F125" s="18" t="s">
        <v>3728</v>
      </c>
      <c r="G125" s="19" t="s">
        <v>3729</v>
      </c>
      <c r="H125" s="20" t="s">
        <v>3797</v>
      </c>
    </row>
    <row r="126" spans="1:11">
      <c r="A126" s="21"/>
      <c r="B126" s="22" t="s">
        <v>3730</v>
      </c>
      <c r="C126" s="23"/>
      <c r="D126" s="24"/>
      <c r="E126" s="25"/>
      <c r="F126" s="26"/>
      <c r="G126" s="27">
        <f>SUM(G127:G131)</f>
        <v>751527.32902401453</v>
      </c>
      <c r="H126" s="27">
        <f>IFERROR(G126*E124,"")</f>
        <v>0</v>
      </c>
    </row>
    <row r="127" spans="1:11">
      <c r="A127" s="28"/>
      <c r="B127" s="29" t="s">
        <v>2954</v>
      </c>
      <c r="C127" s="30" t="str">
        <f>IFERROR(_xlfn.XLOOKUP(B127,Insumo[DESCRIPCION],Insumo[UND],,0),"")</f>
        <v>M2</v>
      </c>
      <c r="D127" s="31">
        <v>2</v>
      </c>
      <c r="E127" s="32">
        <f>IFERROR(_xlfn.XLOOKUP($B127,Insumo[DESCRIPCION],Insumo[VALOR],,0),"")</f>
        <v>102154.92581625449</v>
      </c>
      <c r="F127" s="33"/>
      <c r="G127" s="34">
        <f>IFERROR(IF(F127&gt;=0,D127*E127*(1+F127/100),ABS(D127*E127/F127)),"")</f>
        <v>204309.85163250897</v>
      </c>
      <c r="H127" s="43">
        <f>IFERROR(G127*E124,"")</f>
        <v>0</v>
      </c>
    </row>
    <row r="128" spans="1:11">
      <c r="A128" s="28"/>
      <c r="B128" s="29" t="s">
        <v>3239</v>
      </c>
      <c r="C128" s="30" t="str">
        <f>IFERROR(_xlfn.XLOOKUP(B128,Insumo[DESCRIPCION],Insumo[UND],,0),"")</f>
        <v>M3</v>
      </c>
      <c r="D128" s="31">
        <v>1</v>
      </c>
      <c r="E128" s="32">
        <f>IFERROR(_xlfn.XLOOKUP($B128,Insumo[DESCRIPCION],Insumo[VALOR],,0),"")</f>
        <v>521159.50227762427</v>
      </c>
      <c r="F128" s="33">
        <v>5</v>
      </c>
      <c r="G128" s="34">
        <f>IFERROR(IF(F128&gt;=0,D128*E128*(1+F128/100),ABS(D128*E128/F128)),"")</f>
        <v>547217.4773915055</v>
      </c>
      <c r="H128" s="43">
        <f>IFERROR(G128*E124,"")</f>
        <v>0</v>
      </c>
    </row>
    <row r="129" spans="1:11">
      <c r="A129" s="28"/>
      <c r="B129" s="29"/>
      <c r="C129" s="30" t="str">
        <f>IFERROR(_xlfn.XLOOKUP(B129,Insumo[DESCRIPCION],Insumo[UND],,0),"")</f>
        <v/>
      </c>
      <c r="D129" s="31"/>
      <c r="E129" s="32" t="str">
        <f>IFERROR(_xlfn.XLOOKUP($B129,Insumo[DESCRIPCION],Insumo[VALOR],,0),"")</f>
        <v/>
      </c>
      <c r="F129" s="33"/>
      <c r="G129" s="34" t="str">
        <f>IFERROR(IF(F129&gt;=0,D129*E129*(1+F129/100),ABS(D129*E129/F129)),"")</f>
        <v/>
      </c>
      <c r="H129" s="43" t="str">
        <f>IFERROR(G129*E124,"")</f>
        <v/>
      </c>
    </row>
    <row r="130" spans="1:11">
      <c r="A130" s="28"/>
      <c r="B130" s="29"/>
      <c r="C130" s="30" t="str">
        <f>IFERROR(_xlfn.XLOOKUP(B130,Insumo[DESCRIPCION],Insumo[UND],,0),"")</f>
        <v/>
      </c>
      <c r="D130" s="31"/>
      <c r="E130" s="32" t="str">
        <f>IFERROR(_xlfn.XLOOKUP($B130,Insumo[DESCRIPCION],Insumo[VALOR],,0),"")</f>
        <v/>
      </c>
      <c r="F130" s="33"/>
      <c r="G130" s="34" t="str">
        <f>IFERROR(IF(F130&gt;=0,D130*E130*(1+F130/100),ABS(D130*E130/F130)),"")</f>
        <v/>
      </c>
      <c r="H130" s="43" t="str">
        <f>IFERROR(G130*E124,"")</f>
        <v/>
      </c>
    </row>
    <row r="131" spans="1:11">
      <c r="A131" s="28"/>
      <c r="B131" s="29"/>
      <c r="C131" s="30" t="str">
        <f>IFERROR(_xlfn.XLOOKUP(B131,Insumo[DESCRIPCION],Insumo[UND],,0),"")</f>
        <v/>
      </c>
      <c r="D131" s="31"/>
      <c r="E131" s="32" t="str">
        <f>IFERROR(_xlfn.XLOOKUP($B131,Insumo[DESCRIPCION],Insumo[VALOR],,0),"")</f>
        <v/>
      </c>
      <c r="F131" s="33"/>
      <c r="G131" s="34" t="str">
        <f>IFERROR(IF(F131&gt;=0,D131*E131*(1+F131/100),ABS(D131*E131/F131)),"")</f>
        <v/>
      </c>
      <c r="H131" s="43" t="str">
        <f>IFERROR(G131*E124,"")</f>
        <v/>
      </c>
    </row>
    <row r="132" spans="1:11">
      <c r="A132" s="21"/>
      <c r="B132" s="22" t="s">
        <v>3731</v>
      </c>
      <c r="C132" s="23"/>
      <c r="D132" s="24"/>
      <c r="E132" s="25"/>
      <c r="F132" s="26"/>
      <c r="G132" s="27">
        <f>SUM(G133:G135)</f>
        <v>11946.848534010003</v>
      </c>
      <c r="H132" s="44">
        <f>G132*E124</f>
        <v>0</v>
      </c>
    </row>
    <row r="133" spans="1:11">
      <c r="A133" s="28"/>
      <c r="B133" s="29" t="s">
        <v>3570</v>
      </c>
      <c r="C133" s="30" t="str">
        <f>IFERROR(_xlfn.XLOOKUP(B133,Equipo[DESCRIPCION],Equipo[UND],,0),"")</f>
        <v>%MO</v>
      </c>
      <c r="D133" s="31">
        <v>0.04</v>
      </c>
      <c r="E133" s="32">
        <f>IF(C133="%MO",G139,IFERROR(_xlfn.XLOOKUP($B133,Equipo[DESCRIPCION],Equipo[VALOR],,0),""))</f>
        <v>132742.76148900003</v>
      </c>
      <c r="F133" s="33"/>
      <c r="G133" s="34">
        <f>IFERROR(IF(F133&gt;=0,D133*E133*(1+F133/100),ABS(D133*E133/F133)),"")</f>
        <v>5309.7104595600013</v>
      </c>
      <c r="H133" s="43">
        <f>IFERROR(G133*E124,"")</f>
        <v>0</v>
      </c>
    </row>
    <row r="134" spans="1:11">
      <c r="A134" s="28"/>
      <c r="B134" s="29" t="s">
        <v>3626</v>
      </c>
      <c r="C134" s="30" t="str">
        <f>IFERROR(_xlfn.XLOOKUP(B134,Equipo[DESCRIPCION],Equipo[UND],,0),"")</f>
        <v>%MO</v>
      </c>
      <c r="D134" s="31">
        <v>0.05</v>
      </c>
      <c r="E134" s="32">
        <f>IF(C134="%MO",G140,IFERROR(_xlfn.XLOOKUP($B134,Equipo[DESCRIPCION],Equipo[VALOR],,0),""))</f>
        <v>132742.76148900003</v>
      </c>
      <c r="F134" s="33"/>
      <c r="G134" s="34">
        <f>IFERROR(IF(F134&gt;=0,D134*E134*(1+F134/100),ABS(D134*E134/F134)),"")</f>
        <v>6637.138074450002</v>
      </c>
      <c r="H134" s="43">
        <f>IFERROR(G134*E124,"")</f>
        <v>0</v>
      </c>
    </row>
    <row r="135" spans="1:11">
      <c r="A135" s="28"/>
      <c r="B135" s="29"/>
      <c r="C135" s="30" t="str">
        <f>IFERROR(_xlfn.XLOOKUP(B135,Equipo[DESCRIPCION],Equipo[UND],,0),"")</f>
        <v/>
      </c>
      <c r="D135" s="31"/>
      <c r="E135" s="32" t="str">
        <f>IF(C135="%MO",G139,IFERROR(_xlfn.XLOOKUP($B135,Equipo[DESCRIPCION],Equipo[VALOR],,0),""))</f>
        <v/>
      </c>
      <c r="F135" s="33"/>
      <c r="G135" s="34" t="str">
        <f>IFERROR(IF(F135&gt;=0,D135*E135*(1+F135/100),ABS(D135*E135/F135)),"")</f>
        <v/>
      </c>
      <c r="H135" s="43" t="str">
        <f>IFERROR(G135*E124,"")</f>
        <v/>
      </c>
    </row>
    <row r="136" spans="1:11">
      <c r="A136" s="21"/>
      <c r="B136" s="22" t="s">
        <v>2533</v>
      </c>
      <c r="C136" s="23"/>
      <c r="D136" s="24"/>
      <c r="E136" s="25"/>
      <c r="F136" s="26"/>
      <c r="G136" s="27">
        <f>SUM(G137:G138)</f>
        <v>0</v>
      </c>
      <c r="H136" s="44">
        <f>G136*E124</f>
        <v>0</v>
      </c>
    </row>
    <row r="137" spans="1:11">
      <c r="A137" s="28"/>
      <c r="B137" s="29"/>
      <c r="C137" s="30" t="str">
        <f>IFERROR(_xlfn.XLOOKUP(B137,Transporte[DESCRIPCION],Transporte[UND],,0),"")</f>
        <v/>
      </c>
      <c r="D137" s="31"/>
      <c r="E137" s="32" t="str">
        <f>IFERROR(_xlfn.XLOOKUP($B137,Transporte[DESCRIPCION],Transporte[VALOR],,0),"")</f>
        <v/>
      </c>
      <c r="F137" s="33"/>
      <c r="G137" s="34" t="str">
        <f>IFERROR(IF(F137&gt;=0,D137*E137*(1+F137/100),ABS(D137*E137/F137)),"")</f>
        <v/>
      </c>
      <c r="H137" s="43" t="str">
        <f>IFERROR(G137*E124,"")</f>
        <v/>
      </c>
    </row>
    <row r="138" spans="1:11">
      <c r="A138" s="28"/>
      <c r="B138" s="29"/>
      <c r="C138" s="30" t="str">
        <f>IFERROR(_xlfn.XLOOKUP(B138,Transporte[DESCRIPCION],Transporte[UND],,0),"")</f>
        <v/>
      </c>
      <c r="D138" s="31"/>
      <c r="E138" s="32" t="str">
        <f>IFERROR(_xlfn.XLOOKUP($B138,Transporte[DESCRIPCION],Transporte[VALOR],,0),"")</f>
        <v/>
      </c>
      <c r="F138" s="33"/>
      <c r="G138" s="34" t="str">
        <f>IFERROR(IF(F138&gt;=0,D138*E138*(1+F138/100),ABS(D138*E138/F138)),"")</f>
        <v/>
      </c>
      <c r="H138" s="43" t="str">
        <f>IFERROR(G138*E124,"")</f>
        <v/>
      </c>
    </row>
    <row r="139" spans="1:11">
      <c r="A139" s="21"/>
      <c r="B139" s="22" t="s">
        <v>3732</v>
      </c>
      <c r="C139" s="23"/>
      <c r="D139" s="24"/>
      <c r="E139" s="25"/>
      <c r="F139" s="26"/>
      <c r="G139" s="27">
        <f>SUM(G140:G142)</f>
        <v>132742.76148900003</v>
      </c>
      <c r="H139" s="44">
        <f>G139*E124</f>
        <v>0</v>
      </c>
    </row>
    <row r="140" spans="1:11">
      <c r="A140" s="28"/>
      <c r="B140" s="29" t="s">
        <v>3713</v>
      </c>
      <c r="C140" s="30" t="str">
        <f>IFERROR(_xlfn.XLOOKUP(B140,MObra[DESCRIPCION],MObra[UN],,0),"")</f>
        <v>día</v>
      </c>
      <c r="D140" s="31">
        <v>1</v>
      </c>
      <c r="E140" s="32">
        <f>IFERROR(_xlfn.XLOOKUP($B140,MObra[DESCRIPCION],MObra[VALOR UNIT],,0),"")</f>
        <v>663713.80744500016</v>
      </c>
      <c r="F140" s="33">
        <v>-5</v>
      </c>
      <c r="G140" s="34">
        <f>IFERROR(IF(F140&gt;=0,D140*E140*(1+F140/100),ABS(D140*E140/F140)),"")</f>
        <v>132742.76148900003</v>
      </c>
      <c r="H140" s="43">
        <f>IFERROR(G140*E124,"")</f>
        <v>0</v>
      </c>
    </row>
    <row r="141" spans="1:11">
      <c r="A141" s="28"/>
      <c r="B141" s="29"/>
      <c r="C141" s="30" t="str">
        <f>IFERROR(_xlfn.XLOOKUP(B141,MObra[DESCRIPCION],MObra[UN],,0),"")</f>
        <v/>
      </c>
      <c r="D141" s="31"/>
      <c r="E141" s="32" t="str">
        <f>IFERROR(_xlfn.XLOOKUP($B141,MObra[DESCRIPCION],MObra[VALOR UNIT],,0),"")</f>
        <v/>
      </c>
      <c r="F141" s="33"/>
      <c r="G141" s="34" t="str">
        <f>IFERROR(IF(F141&gt;=0,D141*E141*(1+F141/100),ABS(D141*E141/F141)),"")</f>
        <v/>
      </c>
      <c r="H141" s="43" t="str">
        <f>IFERROR(G141*E124,"")</f>
        <v/>
      </c>
    </row>
    <row r="142" spans="1:11">
      <c r="A142" s="35"/>
      <c r="B142" s="36"/>
      <c r="C142" s="37" t="str">
        <f>IFERROR(_xlfn.XLOOKUP(B142,MObra[DESCRIPCION],MObra[UN],,0),"")</f>
        <v/>
      </c>
      <c r="D142" s="38"/>
      <c r="E142" s="39" t="str">
        <f>IFERROR(_xlfn.XLOOKUP($B142,MObra[DESCRIPCION],MObra[VALOR UNIT],,0),"")</f>
        <v/>
      </c>
      <c r="F142" s="40"/>
      <c r="G142" s="41" t="str">
        <f>IFERROR(IF(F142&gt;=0,D142*E142*(1+F142/100),ABS(D142*E142/F142)),"")</f>
        <v/>
      </c>
      <c r="H142" s="42" t="str">
        <f>IFERROR(G142*E124,"")</f>
        <v/>
      </c>
    </row>
    <row r="144" spans="1:11">
      <c r="A144" s="6" t="s">
        <v>2052</v>
      </c>
      <c r="B144" s="7" t="str">
        <f>VLOOKUP($A144,Presupuesto!$A:$D,2,FALSE())</f>
        <v>Cono cámara de inspección C 20.7 Mpa D=1.2 T=24</v>
      </c>
      <c r="C144" s="8" t="str">
        <f>VLOOKUP($A144,Presupuesto!$A:$D,3,FALSE())</f>
        <v>Un</v>
      </c>
      <c r="D144" s="9"/>
      <c r="E144" s="10">
        <f>VLOOKUP($A144,Presupuesto!$A:$D,4,FALSE())</f>
        <v>0</v>
      </c>
      <c r="F144" s="11" t="s">
        <v>2589</v>
      </c>
      <c r="G144" s="12">
        <f>SUM(G146:G162)/2</f>
        <v>604021.61035782273</v>
      </c>
      <c r="H144" s="13">
        <f>ROUND(SUM(H146:H162),0)/2</f>
        <v>0</v>
      </c>
      <c r="I144" s="10">
        <f>VLOOKUP(A144,Presupuesto!$A:$F,6,0)</f>
        <v>0</v>
      </c>
      <c r="J144" s="10">
        <f>+H144-I144</f>
        <v>0</v>
      </c>
      <c r="K144" s="46">
        <f>+H144-G144*E144</f>
        <v>0</v>
      </c>
    </row>
    <row r="145" spans="1:8">
      <c r="A145" s="14"/>
      <c r="B145" s="15" t="s">
        <v>2586</v>
      </c>
      <c r="C145" s="15" t="s">
        <v>5</v>
      </c>
      <c r="D145" s="16" t="s">
        <v>6</v>
      </c>
      <c r="E145" s="17" t="s">
        <v>7</v>
      </c>
      <c r="F145" s="18" t="s">
        <v>3728</v>
      </c>
      <c r="G145" s="19" t="s">
        <v>3729</v>
      </c>
      <c r="H145" s="20" t="s">
        <v>3797</v>
      </c>
    </row>
    <row r="146" spans="1:8">
      <c r="A146" s="21"/>
      <c r="B146" s="22" t="s">
        <v>3730</v>
      </c>
      <c r="C146" s="23"/>
      <c r="D146" s="24"/>
      <c r="E146" s="25"/>
      <c r="F146" s="26"/>
      <c r="G146" s="27">
        <f>SUM(G147:G151)</f>
        <v>262664.38914792263</v>
      </c>
      <c r="H146" s="27">
        <f>IFERROR(G146*E144,"")</f>
        <v>0</v>
      </c>
    </row>
    <row r="147" spans="1:8">
      <c r="A147" s="28"/>
      <c r="B147" s="29" t="s">
        <v>3239</v>
      </c>
      <c r="C147" s="30" t="str">
        <f>IFERROR(_xlfn.XLOOKUP(B147,Insumo[DESCRIPCION],Insumo[UND],,0),"")</f>
        <v>M3</v>
      </c>
      <c r="D147" s="31">
        <v>0.48</v>
      </c>
      <c r="E147" s="32">
        <f>IFERROR(_xlfn.XLOOKUP($B147,Insumo[DESCRIPCION],Insumo[VALOR],,0),"")</f>
        <v>521159.50227762427</v>
      </c>
      <c r="F147" s="33">
        <v>5</v>
      </c>
      <c r="G147" s="34">
        <f>IFERROR(IF(F147&gt;=0,D147*E147*(1+F147/100),ABS(D147*E147/F147)),"")</f>
        <v>262664.38914792263</v>
      </c>
      <c r="H147" s="43">
        <f>IFERROR(G147*E144,"")</f>
        <v>0</v>
      </c>
    </row>
    <row r="148" spans="1:8">
      <c r="A148" s="28"/>
      <c r="B148" s="29"/>
      <c r="C148" s="30" t="str">
        <f>IFERROR(_xlfn.XLOOKUP(B148,Insumo[DESCRIPCION],Insumo[UND],,0),"")</f>
        <v/>
      </c>
      <c r="D148" s="31"/>
      <c r="E148" s="32" t="str">
        <f>IFERROR(_xlfn.XLOOKUP($B148,Insumo[DESCRIPCION],Insumo[VALOR],,0),"")</f>
        <v/>
      </c>
      <c r="F148" s="33"/>
      <c r="G148" s="34" t="str">
        <f>IFERROR(IF(F148&gt;=0,D148*E148*(1+F148/100),ABS(D148*E148/F148)),"")</f>
        <v/>
      </c>
      <c r="H148" s="43" t="str">
        <f>IFERROR(G148*E144,"")</f>
        <v/>
      </c>
    </row>
    <row r="149" spans="1:8">
      <c r="A149" s="28"/>
      <c r="B149" s="29"/>
      <c r="C149" s="30" t="str">
        <f>IFERROR(_xlfn.XLOOKUP(B149,Insumo[DESCRIPCION],Insumo[UND],,0),"")</f>
        <v/>
      </c>
      <c r="D149" s="31"/>
      <c r="E149" s="32" t="str">
        <f>IFERROR(_xlfn.XLOOKUP($B149,Insumo[DESCRIPCION],Insumo[VALOR],,0),"")</f>
        <v/>
      </c>
      <c r="F149" s="33"/>
      <c r="G149" s="34" t="str">
        <f>IFERROR(IF(F149&gt;=0,D149*E149*(1+F149/100),ABS(D149*E149/F149)),"")</f>
        <v/>
      </c>
      <c r="H149" s="43" t="str">
        <f>IFERROR(G149*E144,"")</f>
        <v/>
      </c>
    </row>
    <row r="150" spans="1:8">
      <c r="A150" s="28"/>
      <c r="B150" s="29"/>
      <c r="C150" s="30" t="str">
        <f>IFERROR(_xlfn.XLOOKUP(B150,Insumo[DESCRIPCION],Insumo[UND],,0),"")</f>
        <v/>
      </c>
      <c r="D150" s="31"/>
      <c r="E150" s="32" t="str">
        <f>IFERROR(_xlfn.XLOOKUP($B150,Insumo[DESCRIPCION],Insumo[VALOR],,0),"")</f>
        <v/>
      </c>
      <c r="F150" s="33"/>
      <c r="G150" s="34" t="str">
        <f>IFERROR(IF(F150&gt;=0,D150*E150*(1+F150/100),ABS(D150*E150/F150)),"")</f>
        <v/>
      </c>
      <c r="H150" s="43" t="str">
        <f>IFERROR(G150*E144,"")</f>
        <v/>
      </c>
    </row>
    <row r="151" spans="1:8">
      <c r="A151" s="28"/>
      <c r="B151" s="29"/>
      <c r="C151" s="30" t="str">
        <f>IFERROR(_xlfn.XLOOKUP(B151,Insumo[DESCRIPCION],Insumo[UND],,0),"")</f>
        <v/>
      </c>
      <c r="D151" s="31"/>
      <c r="E151" s="32" t="str">
        <f>IFERROR(_xlfn.XLOOKUP($B151,Insumo[DESCRIPCION],Insumo[VALOR],,0),"")</f>
        <v/>
      </c>
      <c r="F151" s="33"/>
      <c r="G151" s="34" t="str">
        <f>IFERROR(IF(F151&gt;=0,D151*E151*(1+F151/100),ABS(D151*E151/F151)),"")</f>
        <v/>
      </c>
      <c r="H151" s="43" t="str">
        <f>IFERROR(G151*E144,"")</f>
        <v/>
      </c>
    </row>
    <row r="152" spans="1:8">
      <c r="A152" s="21"/>
      <c r="B152" s="22" t="s">
        <v>3731</v>
      </c>
      <c r="C152" s="23"/>
      <c r="D152" s="24"/>
      <c r="E152" s="25"/>
      <c r="F152" s="26"/>
      <c r="G152" s="27">
        <f>SUM(G153:G155)</f>
        <v>122448.10577189999</v>
      </c>
      <c r="H152" s="44">
        <f>G152*E144</f>
        <v>0</v>
      </c>
    </row>
    <row r="153" spans="1:8">
      <c r="A153" s="28"/>
      <c r="B153" s="29" t="s">
        <v>3616</v>
      </c>
      <c r="C153" s="30" t="str">
        <f>IFERROR(_xlfn.XLOOKUP(B153,Equipo[DESCRIPCION],Equipo[UND],,0),"")</f>
        <v>Día</v>
      </c>
      <c r="D153" s="31">
        <v>1</v>
      </c>
      <c r="E153" s="32">
        <f>IF(C153="%MO",G159,IFERROR(_xlfn.XLOOKUP($B153,Equipo[DESCRIPCION],Equipo[VALOR],,0),""))</f>
        <v>54978</v>
      </c>
      <c r="F153" s="33"/>
      <c r="G153" s="34">
        <f>IFERROR(IF(F153&gt;=0,D153*E153*(1+F153/100),ABS(D153*E153/F153)),"")</f>
        <v>54978</v>
      </c>
      <c r="H153" s="43">
        <f>IFERROR(G153*E144,"")</f>
        <v>0</v>
      </c>
    </row>
    <row r="154" spans="1:8">
      <c r="A154" s="28"/>
      <c r="B154" s="29" t="s">
        <v>3657</v>
      </c>
      <c r="C154" s="30" t="str">
        <f>IFERROR(_xlfn.XLOOKUP(B154,Equipo[DESCRIPCION],Equipo[UND],,0),"")</f>
        <v>Día</v>
      </c>
      <c r="D154" s="31">
        <v>1</v>
      </c>
      <c r="E154" s="32">
        <f>IF(C154="%MO",G160,IFERROR(_xlfn.XLOOKUP($B154,Equipo[DESCRIPCION],Equipo[VALOR],,0),""))</f>
        <v>56524.65</v>
      </c>
      <c r="F154" s="33"/>
      <c r="G154" s="34">
        <f>IFERROR(IF(F154&gt;=0,D154*E154*(1+F154/100),ABS(D154*E154/F154)),"")</f>
        <v>56524.65</v>
      </c>
      <c r="H154" s="43">
        <f>IFERROR(G154*E144,"")</f>
        <v>0</v>
      </c>
    </row>
    <row r="155" spans="1:8">
      <c r="A155" s="28"/>
      <c r="B155" s="29" t="s">
        <v>3626</v>
      </c>
      <c r="C155" s="30" t="str">
        <f>IFERROR(_xlfn.XLOOKUP(B155,Equipo[DESCRIPCION],Equipo[UND],,0),"")</f>
        <v>%MO</v>
      </c>
      <c r="D155" s="31">
        <v>0.05</v>
      </c>
      <c r="E155" s="32">
        <f>IF(C155="%MO",G159,IFERROR(_xlfn.XLOOKUP($B155,Equipo[DESCRIPCION],Equipo[VALOR],,0),""))</f>
        <v>218909.11543800007</v>
      </c>
      <c r="F155" s="33"/>
      <c r="G155" s="34">
        <f>IFERROR(IF(F155&gt;=0,D155*E155*(1+F155/100),ABS(D155*E155/F155)),"")</f>
        <v>10945.455771900004</v>
      </c>
      <c r="H155" s="43">
        <f>IFERROR(G155*E144,"")</f>
        <v>0</v>
      </c>
    </row>
    <row r="156" spans="1:8">
      <c r="A156" s="21"/>
      <c r="B156" s="22" t="s">
        <v>2533</v>
      </c>
      <c r="C156" s="23"/>
      <c r="D156" s="24"/>
      <c r="E156" s="25"/>
      <c r="F156" s="26"/>
      <c r="G156" s="27">
        <f>SUM(G157:G158)</f>
        <v>0</v>
      </c>
      <c r="H156" s="44">
        <f>G156*E144</f>
        <v>0</v>
      </c>
    </row>
    <row r="157" spans="1:8">
      <c r="A157" s="28"/>
      <c r="B157" s="29"/>
      <c r="C157" s="30" t="str">
        <f>IFERROR(_xlfn.XLOOKUP(B157,Transporte[DESCRIPCION],Transporte[UND],,0),"")</f>
        <v/>
      </c>
      <c r="D157" s="31"/>
      <c r="E157" s="32" t="str">
        <f>IFERROR(_xlfn.XLOOKUP($B157,Transporte[DESCRIPCION],Transporte[VALOR],,0),"")</f>
        <v/>
      </c>
      <c r="F157" s="33"/>
      <c r="G157" s="34" t="str">
        <f>IFERROR(IF(F157&gt;=0,D157*E157*(1+F157/100),ABS(D157*E157/F157)),"")</f>
        <v/>
      </c>
      <c r="H157" s="43" t="str">
        <f>IFERROR(G157*E144,"")</f>
        <v/>
      </c>
    </row>
    <row r="158" spans="1:8">
      <c r="A158" s="28"/>
      <c r="B158" s="29"/>
      <c r="C158" s="30" t="str">
        <f>IFERROR(_xlfn.XLOOKUP(B158,Transporte[DESCRIPCION],Transporte[UND],,0),"")</f>
        <v/>
      </c>
      <c r="D158" s="31"/>
      <c r="E158" s="32" t="str">
        <f>IFERROR(_xlfn.XLOOKUP($B158,Transporte[DESCRIPCION],Transporte[VALOR],,0),"")</f>
        <v/>
      </c>
      <c r="F158" s="33"/>
      <c r="G158" s="34" t="str">
        <f>IFERROR(IF(F158&gt;=0,D158*E158*(1+F158/100),ABS(D158*E158/F158)),"")</f>
        <v/>
      </c>
      <c r="H158" s="43" t="str">
        <f>IFERROR(G158*E144,"")</f>
        <v/>
      </c>
    </row>
    <row r="159" spans="1:8">
      <c r="A159" s="21"/>
      <c r="B159" s="22" t="s">
        <v>3732</v>
      </c>
      <c r="C159" s="23"/>
      <c r="D159" s="24"/>
      <c r="E159" s="25"/>
      <c r="F159" s="26"/>
      <c r="G159" s="27">
        <f>SUM(G160:G162)</f>
        <v>218909.11543800007</v>
      </c>
      <c r="H159" s="44">
        <f>G159*E144</f>
        <v>0</v>
      </c>
    </row>
    <row r="160" spans="1:8">
      <c r="A160" s="28"/>
      <c r="B160" s="29" t="s">
        <v>3712</v>
      </c>
      <c r="C160" s="30" t="str">
        <f>IFERROR(_xlfn.XLOOKUP(B160,MObra[DESCRIPCION],MObra[UN],,0),"")</f>
        <v>día</v>
      </c>
      <c r="D160" s="31">
        <v>1</v>
      </c>
      <c r="E160" s="32">
        <f>IFERROR(_xlfn.XLOOKUP($B160,MObra[DESCRIPCION],MObra[VALOR UNIT],,0),"")</f>
        <v>547272.78859500017</v>
      </c>
      <c r="F160" s="33">
        <v>-2.5</v>
      </c>
      <c r="G160" s="34">
        <f>IFERROR(IF(F160&gt;=0,D160*E160*(1+F160/100),ABS(D160*E160/F160)),"")</f>
        <v>218909.11543800007</v>
      </c>
      <c r="H160" s="43">
        <f>IFERROR(G160*E144,"")</f>
        <v>0</v>
      </c>
    </row>
    <row r="161" spans="1:11">
      <c r="A161" s="28"/>
      <c r="B161" s="29"/>
      <c r="C161" s="30" t="str">
        <f>IFERROR(_xlfn.XLOOKUP(B161,MObra[DESCRIPCION],MObra[UN],,0),"")</f>
        <v/>
      </c>
      <c r="D161" s="31"/>
      <c r="E161" s="32" t="str">
        <f>IFERROR(_xlfn.XLOOKUP($B161,MObra[DESCRIPCION],MObra[VALOR UNIT],,0),"")</f>
        <v/>
      </c>
      <c r="F161" s="33"/>
      <c r="G161" s="34" t="str">
        <f>IFERROR(IF(F161&gt;=0,D161*E161*(1+F161/100),ABS(D161*E161/F161)),"")</f>
        <v/>
      </c>
      <c r="H161" s="43" t="str">
        <f>IFERROR(G161*E144,"")</f>
        <v/>
      </c>
    </row>
    <row r="162" spans="1:11">
      <c r="A162" s="35"/>
      <c r="B162" s="36"/>
      <c r="C162" s="37" t="str">
        <f>IFERROR(_xlfn.XLOOKUP(B162,MObra[DESCRIPCION],MObra[UN],,0),"")</f>
        <v/>
      </c>
      <c r="D162" s="38"/>
      <c r="E162" s="39" t="str">
        <f>IFERROR(_xlfn.XLOOKUP($B162,MObra[DESCRIPCION],MObra[VALOR UNIT],,0),"")</f>
        <v/>
      </c>
      <c r="F162" s="40"/>
      <c r="G162" s="41" t="str">
        <f>IFERROR(IF(F162&gt;=0,D162*E162*(1+F162/100),ABS(D162*E162/F162)),"")</f>
        <v/>
      </c>
      <c r="H162" s="42" t="str">
        <f>IFERROR(G162*E144,"")</f>
        <v/>
      </c>
    </row>
    <row r="164" spans="1:11" ht="25.5">
      <c r="A164" s="6" t="s">
        <v>2054</v>
      </c>
      <c r="B164" s="7" t="str">
        <f>VLOOKUP($A164,Presupuesto!$A:$D,2,FALSE())</f>
        <v>Cuerpo para cámaras de inspección Øinterior 1,20 m. Concreto 24,5 Mpa. Incluye acero de refuerzo.</v>
      </c>
      <c r="C164" s="8" t="str">
        <f>VLOOKUP($A164,Presupuesto!$A:$D,3,FALSE())</f>
        <v>M</v>
      </c>
      <c r="D164" s="9"/>
      <c r="E164" s="10">
        <f>VLOOKUP($A164,Presupuesto!$A:$D,4,FALSE())</f>
        <v>0</v>
      </c>
      <c r="F164" s="11" t="s">
        <v>2589</v>
      </c>
      <c r="G164" s="12">
        <f>SUM(G166:G182)/2</f>
        <v>857880.22266392654</v>
      </c>
      <c r="H164" s="13">
        <f>ROUND(SUM(H166:H182),0)/2</f>
        <v>0</v>
      </c>
      <c r="I164" s="10">
        <f>VLOOKUP(A164,Presupuesto!$A:$F,6,0)</f>
        <v>0</v>
      </c>
      <c r="J164" s="10">
        <f>+H164-I164</f>
        <v>0</v>
      </c>
      <c r="K164" s="46">
        <f>+H164-G164*E164</f>
        <v>0</v>
      </c>
    </row>
    <row r="165" spans="1:11">
      <c r="A165" s="14"/>
      <c r="B165" s="15" t="s">
        <v>2586</v>
      </c>
      <c r="C165" s="15" t="s">
        <v>5</v>
      </c>
      <c r="D165" s="16" t="s">
        <v>6</v>
      </c>
      <c r="E165" s="17" t="s">
        <v>7</v>
      </c>
      <c r="F165" s="18" t="s">
        <v>3728</v>
      </c>
      <c r="G165" s="19" t="s">
        <v>3729</v>
      </c>
      <c r="H165" s="20" t="s">
        <v>3797</v>
      </c>
    </row>
    <row r="166" spans="1:11">
      <c r="A166" s="21"/>
      <c r="B166" s="22" t="s">
        <v>3730</v>
      </c>
      <c r="C166" s="23"/>
      <c r="D166" s="24"/>
      <c r="E166" s="25"/>
      <c r="F166" s="26"/>
      <c r="G166" s="27">
        <f>SUM(G167:G171)</f>
        <v>548810.08043042652</v>
      </c>
      <c r="H166" s="27">
        <f>IFERROR(G166*E164,"")</f>
        <v>0</v>
      </c>
    </row>
    <row r="167" spans="1:11">
      <c r="A167" s="28"/>
      <c r="B167" s="29" t="s">
        <v>3240</v>
      </c>
      <c r="C167" s="30" t="str">
        <f>IFERROR(_xlfn.XLOOKUP(B167,Insumo[DESCRIPCION],Insumo[UND],,0),"")</f>
        <v>M3</v>
      </c>
      <c r="D167" s="31">
        <v>0.88</v>
      </c>
      <c r="E167" s="32">
        <f>IFERROR(_xlfn.XLOOKUP($B167,Insumo[DESCRIPCION],Insumo[VALOR],,0),"")</f>
        <v>539790.3034961326</v>
      </c>
      <c r="F167" s="33">
        <v>5</v>
      </c>
      <c r="G167" s="34">
        <f>IFERROR(IF(F167&gt;=0,D167*E167*(1+F167/100),ABS(D167*E167/F167)),"")</f>
        <v>498766.24043042655</v>
      </c>
      <c r="H167" s="43">
        <f>IFERROR(G167*E164,"")</f>
        <v>0</v>
      </c>
    </row>
    <row r="168" spans="1:11">
      <c r="A168" s="28"/>
      <c r="B168" s="29" t="s">
        <v>2653</v>
      </c>
      <c r="C168" s="30" t="str">
        <f>IFERROR(_xlfn.XLOOKUP(B168,Insumo[DESCRIPCION],Insumo[UND],,0),"")</f>
        <v>Kg</v>
      </c>
      <c r="D168" s="31">
        <v>8.8000000000000007</v>
      </c>
      <c r="E168" s="32">
        <f>IFERROR(_xlfn.XLOOKUP($B168,Insumo[DESCRIPCION],Insumo[VALOR],,0),"")</f>
        <v>5686.8</v>
      </c>
      <c r="F168" s="33"/>
      <c r="G168" s="34">
        <f>IFERROR(IF(F168&gt;=0,D168*E168*(1+F168/100),ABS(D168*E168/F168)),"")</f>
        <v>50043.840000000004</v>
      </c>
      <c r="H168" s="43">
        <f>IFERROR(G168*E164,"")</f>
        <v>0</v>
      </c>
    </row>
    <row r="169" spans="1:11">
      <c r="A169" s="28"/>
      <c r="B169" s="29"/>
      <c r="C169" s="30" t="str">
        <f>IFERROR(_xlfn.XLOOKUP(B169,Insumo[DESCRIPCION],Insumo[UND],,0),"")</f>
        <v/>
      </c>
      <c r="D169" s="31"/>
      <c r="E169" s="32" t="str">
        <f>IFERROR(_xlfn.XLOOKUP($B169,Insumo[DESCRIPCION],Insumo[VALOR],,0),"")</f>
        <v/>
      </c>
      <c r="F169" s="33"/>
      <c r="G169" s="34" t="str">
        <f>IFERROR(IF(F169&gt;=0,D169*E169*(1+F169/100),ABS(D169*E169/F169)),"")</f>
        <v/>
      </c>
      <c r="H169" s="43" t="str">
        <f>IFERROR(G169*E164,"")</f>
        <v/>
      </c>
    </row>
    <row r="170" spans="1:11">
      <c r="A170" s="28"/>
      <c r="B170" s="29"/>
      <c r="C170" s="30" t="str">
        <f>IFERROR(_xlfn.XLOOKUP(B170,Insumo[DESCRIPCION],Insumo[UND],,0),"")</f>
        <v/>
      </c>
      <c r="D170" s="31"/>
      <c r="E170" s="32" t="str">
        <f>IFERROR(_xlfn.XLOOKUP($B170,Insumo[DESCRIPCION],Insumo[VALOR],,0),"")</f>
        <v/>
      </c>
      <c r="F170" s="33"/>
      <c r="G170" s="34" t="str">
        <f>IFERROR(IF(F170&gt;=0,D170*E170*(1+F170/100),ABS(D170*E170/F170)),"")</f>
        <v/>
      </c>
      <c r="H170" s="43" t="str">
        <f>IFERROR(G170*E164,"")</f>
        <v/>
      </c>
    </row>
    <row r="171" spans="1:11">
      <c r="A171" s="28"/>
      <c r="B171" s="29"/>
      <c r="C171" s="30" t="str">
        <f>IFERROR(_xlfn.XLOOKUP(B171,Insumo[DESCRIPCION],Insumo[UND],,0),"")</f>
        <v/>
      </c>
      <c r="D171" s="31"/>
      <c r="E171" s="32" t="str">
        <f>IFERROR(_xlfn.XLOOKUP($B171,Insumo[DESCRIPCION],Insumo[VALOR],,0),"")</f>
        <v/>
      </c>
      <c r="F171" s="33"/>
      <c r="G171" s="34" t="str">
        <f>IFERROR(IF(F171&gt;=0,D171*E171*(1+F171/100),ABS(D171*E171/F171)),"")</f>
        <v/>
      </c>
      <c r="H171" s="43" t="str">
        <f>IFERROR(G171*E164,"")</f>
        <v/>
      </c>
    </row>
    <row r="172" spans="1:11">
      <c r="A172" s="21"/>
      <c r="B172" s="22" t="s">
        <v>3731</v>
      </c>
      <c r="C172" s="23"/>
      <c r="D172" s="24"/>
      <c r="E172" s="25"/>
      <c r="F172" s="26"/>
      <c r="G172" s="27">
        <f>SUM(G173:G175)</f>
        <v>119437.62582064286</v>
      </c>
      <c r="H172" s="44">
        <f>G172*E164</f>
        <v>0</v>
      </c>
    </row>
    <row r="173" spans="1:11">
      <c r="A173" s="28"/>
      <c r="B173" s="29" t="s">
        <v>3616</v>
      </c>
      <c r="C173" s="30" t="str">
        <f>IFERROR(_xlfn.XLOOKUP(B173,Equipo[DESCRIPCION],Equipo[UND],,0),"")</f>
        <v>Día</v>
      </c>
      <c r="D173" s="31">
        <v>1</v>
      </c>
      <c r="E173" s="32">
        <f>IF(C173="%MO",G179,IFERROR(_xlfn.XLOOKUP($B173,Equipo[DESCRIPCION],Equipo[VALOR],,0),""))</f>
        <v>54978</v>
      </c>
      <c r="F173" s="33">
        <v>-0.5</v>
      </c>
      <c r="G173" s="34">
        <f>IFERROR(IF(F173&gt;=0,D173*E173*(1+F173/100),ABS(D173*E173/F173)),"")</f>
        <v>109956</v>
      </c>
      <c r="H173" s="43">
        <f>IFERROR(G173*E164,"")</f>
        <v>0</v>
      </c>
    </row>
    <row r="174" spans="1:11">
      <c r="A174" s="28"/>
      <c r="B174" s="29" t="s">
        <v>3626</v>
      </c>
      <c r="C174" s="30" t="str">
        <f>IFERROR(_xlfn.XLOOKUP(B174,Equipo[DESCRIPCION],Equipo[UND],,0),"")</f>
        <v>%MO</v>
      </c>
      <c r="D174" s="31">
        <v>0.05</v>
      </c>
      <c r="E174" s="32">
        <f>IF(C174="%MO",G180,IFERROR(_xlfn.XLOOKUP($B174,Equipo[DESCRIPCION],Equipo[VALOR],,0),""))</f>
        <v>189632.51641285719</v>
      </c>
      <c r="F174" s="33"/>
      <c r="G174" s="34">
        <f>IFERROR(IF(F174&gt;=0,D174*E174*(1+F174/100),ABS(D174*E174/F174)),"")</f>
        <v>9481.6258206428593</v>
      </c>
      <c r="H174" s="43">
        <f>IFERROR(G174*E164,"")</f>
        <v>0</v>
      </c>
    </row>
    <row r="175" spans="1:11">
      <c r="A175" s="28"/>
      <c r="B175" s="29"/>
      <c r="C175" s="30" t="str">
        <f>IFERROR(_xlfn.XLOOKUP(B175,Equipo[DESCRIPCION],Equipo[UND],,0),"")</f>
        <v/>
      </c>
      <c r="D175" s="31"/>
      <c r="E175" s="32" t="str">
        <f>IF(C175="%MO",G181,IFERROR(_xlfn.XLOOKUP($B175,Equipo[DESCRIPCION],Equipo[VALOR],,0),""))</f>
        <v/>
      </c>
      <c r="F175" s="33"/>
      <c r="G175" s="34" t="str">
        <f>IFERROR(IF(F175&gt;=0,D175*E175*(1+F175/100),ABS(D175*E175/F175)),"")</f>
        <v/>
      </c>
      <c r="H175" s="43" t="str">
        <f>IFERROR(G175*E164,"")</f>
        <v/>
      </c>
    </row>
    <row r="176" spans="1:11">
      <c r="A176" s="21"/>
      <c r="B176" s="22" t="s">
        <v>2533</v>
      </c>
      <c r="C176" s="23"/>
      <c r="D176" s="24"/>
      <c r="E176" s="25"/>
      <c r="F176" s="26"/>
      <c r="G176" s="27">
        <f>SUM(G177:G178)</f>
        <v>0</v>
      </c>
      <c r="H176" s="44">
        <f>G176*E164</f>
        <v>0</v>
      </c>
    </row>
    <row r="177" spans="1:11">
      <c r="A177" s="28"/>
      <c r="B177" s="29"/>
      <c r="C177" s="30" t="str">
        <f>IFERROR(_xlfn.XLOOKUP(B177,Transporte[DESCRIPCION],Transporte[UND],,0),"")</f>
        <v/>
      </c>
      <c r="D177" s="31"/>
      <c r="E177" s="32" t="str">
        <f>IFERROR(_xlfn.XLOOKUP($B177,Transporte[DESCRIPCION],Transporte[VALOR],,0),"")</f>
        <v/>
      </c>
      <c r="F177" s="33"/>
      <c r="G177" s="34" t="str">
        <f>IFERROR(IF(F177&gt;=0,D177*E177*(1+F177/100),ABS(D177*E177/F177)),"")</f>
        <v/>
      </c>
      <c r="H177" s="43" t="str">
        <f>IFERROR(G177*E164,"")</f>
        <v/>
      </c>
    </row>
    <row r="178" spans="1:11">
      <c r="A178" s="28"/>
      <c r="B178" s="29"/>
      <c r="C178" s="30" t="str">
        <f>IFERROR(_xlfn.XLOOKUP(B178,Transporte[DESCRIPCION],Transporte[UND],,0),"")</f>
        <v/>
      </c>
      <c r="D178" s="31"/>
      <c r="E178" s="32" t="str">
        <f>IFERROR(_xlfn.XLOOKUP($B178,Transporte[DESCRIPCION],Transporte[VALOR],,0),"")</f>
        <v/>
      </c>
      <c r="F178" s="33"/>
      <c r="G178" s="34" t="str">
        <f>IFERROR(IF(F178&gt;=0,D178*E178*(1+F178/100),ABS(D178*E178/F178)),"")</f>
        <v/>
      </c>
      <c r="H178" s="43" t="str">
        <f>IFERROR(G178*E164,"")</f>
        <v/>
      </c>
    </row>
    <row r="179" spans="1:11">
      <c r="A179" s="21"/>
      <c r="B179" s="22" t="s">
        <v>3732</v>
      </c>
      <c r="C179" s="23"/>
      <c r="D179" s="24"/>
      <c r="E179" s="25"/>
      <c r="F179" s="26"/>
      <c r="G179" s="27">
        <f>SUM(G180:G182)</f>
        <v>189632.51641285719</v>
      </c>
      <c r="H179" s="44">
        <f>G179*E164</f>
        <v>0</v>
      </c>
    </row>
    <row r="180" spans="1:11">
      <c r="A180" s="28"/>
      <c r="B180" s="29" t="s">
        <v>3713</v>
      </c>
      <c r="C180" s="30" t="str">
        <f>IFERROR(_xlfn.XLOOKUP(B180,MObra[DESCRIPCION],MObra[UN],,0),"")</f>
        <v>día</v>
      </c>
      <c r="D180" s="31">
        <v>1</v>
      </c>
      <c r="E180" s="32">
        <f>IFERROR(_xlfn.XLOOKUP($B180,MObra[DESCRIPCION],MObra[VALOR UNIT],,0),"")</f>
        <v>663713.80744500016</v>
      </c>
      <c r="F180" s="33">
        <v>-3.5</v>
      </c>
      <c r="G180" s="34">
        <f>IFERROR(IF(F180&gt;=0,D180*E180*(1+F180/100),ABS(D180*E180/F180)),"")</f>
        <v>189632.51641285719</v>
      </c>
      <c r="H180" s="43">
        <f>IFERROR(G180*E164,"")</f>
        <v>0</v>
      </c>
    </row>
    <row r="181" spans="1:11">
      <c r="A181" s="28"/>
      <c r="B181" s="29"/>
      <c r="C181" s="30" t="str">
        <f>IFERROR(_xlfn.XLOOKUP(B181,MObra[DESCRIPCION],MObra[UN],,0),"")</f>
        <v/>
      </c>
      <c r="D181" s="31"/>
      <c r="E181" s="32" t="str">
        <f>IFERROR(_xlfn.XLOOKUP($B181,MObra[DESCRIPCION],MObra[VALOR UNIT],,0),"")</f>
        <v/>
      </c>
      <c r="F181" s="33"/>
      <c r="G181" s="34" t="str">
        <f>IFERROR(IF(F181&gt;=0,D181*E181*(1+F181/100),ABS(D181*E181/F181)),"")</f>
        <v/>
      </c>
      <c r="H181" s="43" t="str">
        <f>IFERROR(G181*E164,"")</f>
        <v/>
      </c>
    </row>
    <row r="182" spans="1:11">
      <c r="A182" s="35"/>
      <c r="B182" s="36"/>
      <c r="C182" s="37" t="str">
        <f>IFERROR(_xlfn.XLOOKUP(B182,MObra[DESCRIPCION],MObra[UN],,0),"")</f>
        <v/>
      </c>
      <c r="D182" s="38"/>
      <c r="E182" s="39" t="str">
        <f>IFERROR(_xlfn.XLOOKUP($B182,MObra[DESCRIPCION],MObra[VALOR UNIT],,0),"")</f>
        <v/>
      </c>
      <c r="F182" s="40"/>
      <c r="G182" s="41" t="str">
        <f>IFERROR(IF(F182&gt;=0,D182*E182*(1+F182/100),ABS(D182*E182/F182)),"")</f>
        <v/>
      </c>
      <c r="H182" s="42" t="str">
        <f>IFERROR(G182*E164,"")</f>
        <v/>
      </c>
    </row>
    <row r="184" spans="1:11" ht="25.5">
      <c r="A184" s="6" t="s">
        <v>2056</v>
      </c>
      <c r="B184" s="7" t="str">
        <f>VLOOKUP($A184,Presupuesto!$A:$D,2,FALSE())</f>
        <v>Cuerpo para cámaras de inspección Øinterior 1,50 m. Concreto 24,5 Mpa. Incluye acero de refuerzo.</v>
      </c>
      <c r="C184" s="8" t="str">
        <f>VLOOKUP($A184,Presupuesto!$A:$D,3,FALSE())</f>
        <v>M</v>
      </c>
      <c r="D184" s="9"/>
      <c r="E184" s="10">
        <f>VLOOKUP($A184,Presupuesto!$A:$D,4,FALSE())</f>
        <v>0</v>
      </c>
      <c r="F184" s="11" t="s">
        <v>2589</v>
      </c>
      <c r="G184" s="12">
        <f>SUM(G186:G202)/2</f>
        <v>1009558.9985836551</v>
      </c>
      <c r="H184" s="13">
        <f>ROUND(SUM(H186:H202),0)/2</f>
        <v>0</v>
      </c>
      <c r="I184" s="10">
        <f>VLOOKUP(A184,Presupuesto!$A:$F,6,0)</f>
        <v>0</v>
      </c>
      <c r="J184" s="10">
        <f>+H184-I184</f>
        <v>0</v>
      </c>
      <c r="K184" s="46">
        <f>+H184-G184*E184</f>
        <v>0</v>
      </c>
    </row>
    <row r="185" spans="1:11">
      <c r="A185" s="14"/>
      <c r="B185" s="15" t="s">
        <v>2586</v>
      </c>
      <c r="C185" s="15" t="s">
        <v>5</v>
      </c>
      <c r="D185" s="16" t="s">
        <v>6</v>
      </c>
      <c r="E185" s="17" t="s">
        <v>7</v>
      </c>
      <c r="F185" s="18" t="s">
        <v>3728</v>
      </c>
      <c r="G185" s="19" t="s">
        <v>3729</v>
      </c>
      <c r="H185" s="20" t="s">
        <v>3797</v>
      </c>
    </row>
    <row r="186" spans="1:11">
      <c r="A186" s="21"/>
      <c r="B186" s="22" t="s">
        <v>3730</v>
      </c>
      <c r="C186" s="23"/>
      <c r="D186" s="24"/>
      <c r="E186" s="25"/>
      <c r="F186" s="26"/>
      <c r="G186" s="27">
        <f>SUM(G187:G191)</f>
        <v>667303.16597790504</v>
      </c>
      <c r="H186" s="27">
        <f>IFERROR(G186*E184,"")</f>
        <v>0</v>
      </c>
    </row>
    <row r="187" spans="1:11">
      <c r="A187" s="28"/>
      <c r="B187" s="29" t="s">
        <v>3240</v>
      </c>
      <c r="C187" s="30" t="str">
        <f>IFERROR(_xlfn.XLOOKUP(B187,Insumo[DESCRIPCION],Insumo[UND],,0),"")</f>
        <v>M3</v>
      </c>
      <c r="D187" s="31">
        <v>1.07</v>
      </c>
      <c r="E187" s="32">
        <f>IFERROR(_xlfn.XLOOKUP($B187,Insumo[DESCRIPCION],Insumo[VALOR],,0),"")</f>
        <v>539790.3034961326</v>
      </c>
      <c r="F187" s="33">
        <v>5</v>
      </c>
      <c r="G187" s="34">
        <f>IFERROR(IF(F187&gt;=0,D187*E187*(1+F187/100),ABS(D187*E187/F187)),"")</f>
        <v>606454.40597790503</v>
      </c>
      <c r="H187" s="43">
        <f>IFERROR(G187*E184,"")</f>
        <v>0</v>
      </c>
    </row>
    <row r="188" spans="1:11">
      <c r="A188" s="28"/>
      <c r="B188" s="29" t="s">
        <v>2653</v>
      </c>
      <c r="C188" s="30" t="str">
        <f>IFERROR(_xlfn.XLOOKUP(B188,Insumo[DESCRIPCION],Insumo[UND],,0),"")</f>
        <v>Kg</v>
      </c>
      <c r="D188" s="31">
        <v>10.7</v>
      </c>
      <c r="E188" s="32">
        <f>IFERROR(_xlfn.XLOOKUP($B188,Insumo[DESCRIPCION],Insumo[VALOR],,0),"")</f>
        <v>5686.8</v>
      </c>
      <c r="F188" s="33"/>
      <c r="G188" s="34">
        <f>IFERROR(IF(F188&gt;=0,D188*E188*(1+F188/100),ABS(D188*E188/F188)),"")</f>
        <v>60848.759999999995</v>
      </c>
      <c r="H188" s="43">
        <f>IFERROR(G188*E184,"")</f>
        <v>0</v>
      </c>
    </row>
    <row r="189" spans="1:11">
      <c r="A189" s="28"/>
      <c r="B189" s="29"/>
      <c r="C189" s="30" t="str">
        <f>IFERROR(_xlfn.XLOOKUP(B189,Insumo[DESCRIPCION],Insumo[UND],,0),"")</f>
        <v/>
      </c>
      <c r="D189" s="31"/>
      <c r="E189" s="32" t="str">
        <f>IFERROR(_xlfn.XLOOKUP($B189,Insumo[DESCRIPCION],Insumo[VALOR],,0),"")</f>
        <v/>
      </c>
      <c r="F189" s="33"/>
      <c r="G189" s="34" t="str">
        <f>IFERROR(IF(F189&gt;=0,D189*E189*(1+F189/100),ABS(D189*E189/F189)),"")</f>
        <v/>
      </c>
      <c r="H189" s="43" t="str">
        <f>IFERROR(G189*E184,"")</f>
        <v/>
      </c>
    </row>
    <row r="190" spans="1:11">
      <c r="A190" s="28"/>
      <c r="B190" s="29"/>
      <c r="C190" s="30" t="str">
        <f>IFERROR(_xlfn.XLOOKUP(B190,Insumo[DESCRIPCION],Insumo[UND],,0),"")</f>
        <v/>
      </c>
      <c r="D190" s="31"/>
      <c r="E190" s="32" t="str">
        <f>IFERROR(_xlfn.XLOOKUP($B190,Insumo[DESCRIPCION],Insumo[VALOR],,0),"")</f>
        <v/>
      </c>
      <c r="F190" s="33"/>
      <c r="G190" s="34" t="str">
        <f>IFERROR(IF(F190&gt;=0,D190*E190*(1+F190/100),ABS(D190*E190/F190)),"")</f>
        <v/>
      </c>
      <c r="H190" s="43" t="str">
        <f>IFERROR(G190*E184,"")</f>
        <v/>
      </c>
    </row>
    <row r="191" spans="1:11">
      <c r="A191" s="28"/>
      <c r="B191" s="29"/>
      <c r="C191" s="30" t="str">
        <f>IFERROR(_xlfn.XLOOKUP(B191,Insumo[DESCRIPCION],Insumo[UND],,0),"")</f>
        <v/>
      </c>
      <c r="D191" s="31"/>
      <c r="E191" s="32" t="str">
        <f>IFERROR(_xlfn.XLOOKUP($B191,Insumo[DESCRIPCION],Insumo[VALOR],,0),"")</f>
        <v/>
      </c>
      <c r="F191" s="33"/>
      <c r="G191" s="34" t="str">
        <f>IFERROR(IF(F191&gt;=0,D191*E191*(1+F191/100),ABS(D191*E191/F191)),"")</f>
        <v/>
      </c>
      <c r="H191" s="43" t="str">
        <f>IFERROR(G191*E184,"")</f>
        <v/>
      </c>
    </row>
    <row r="192" spans="1:11">
      <c r="A192" s="21"/>
      <c r="B192" s="22" t="s">
        <v>3731</v>
      </c>
      <c r="C192" s="23"/>
      <c r="D192" s="24"/>
      <c r="E192" s="25"/>
      <c r="F192" s="26"/>
      <c r="G192" s="27">
        <f>SUM(G193:G195)</f>
        <v>121017.89679075</v>
      </c>
      <c r="H192" s="44">
        <f>G192*E184</f>
        <v>0</v>
      </c>
    </row>
    <row r="193" spans="1:11">
      <c r="A193" s="28"/>
      <c r="B193" s="29" t="s">
        <v>3616</v>
      </c>
      <c r="C193" s="30" t="str">
        <f>IFERROR(_xlfn.XLOOKUP(B193,Equipo[DESCRIPCION],Equipo[UND],,0),"")</f>
        <v>Día</v>
      </c>
      <c r="D193" s="31">
        <v>1</v>
      </c>
      <c r="E193" s="32">
        <f>IF(C193="%MO",G199,IFERROR(_xlfn.XLOOKUP($B193,Equipo[DESCRIPCION],Equipo[VALOR],,0),""))</f>
        <v>54978</v>
      </c>
      <c r="F193" s="33">
        <v>-0.5</v>
      </c>
      <c r="G193" s="34">
        <f>IFERROR(IF(F193&gt;=0,D193*E193*(1+F193/100),ABS(D193*E193/F193)),"")</f>
        <v>109956</v>
      </c>
      <c r="H193" s="43">
        <f>IFERROR(G193*E184,"")</f>
        <v>0</v>
      </c>
    </row>
    <row r="194" spans="1:11">
      <c r="A194" s="28"/>
      <c r="B194" s="29" t="s">
        <v>3626</v>
      </c>
      <c r="C194" s="30" t="str">
        <f>IFERROR(_xlfn.XLOOKUP(B194,Equipo[DESCRIPCION],Equipo[UND],,0),"")</f>
        <v>%MO</v>
      </c>
      <c r="D194" s="31">
        <v>0.05</v>
      </c>
      <c r="E194" s="32">
        <f>IF(C194="%MO",G200,IFERROR(_xlfn.XLOOKUP($B194,Equipo[DESCRIPCION],Equipo[VALOR],,0),""))</f>
        <v>221237.93581500006</v>
      </c>
      <c r="F194" s="33"/>
      <c r="G194" s="34">
        <f>IFERROR(IF(F194&gt;=0,D194*E194*(1+F194/100),ABS(D194*E194/F194)),"")</f>
        <v>11061.896790750005</v>
      </c>
      <c r="H194" s="43">
        <f>IFERROR(G194*E184,"")</f>
        <v>0</v>
      </c>
    </row>
    <row r="195" spans="1:11">
      <c r="A195" s="28"/>
      <c r="B195" s="29"/>
      <c r="C195" s="30" t="str">
        <f>IFERROR(_xlfn.XLOOKUP(B195,Equipo[DESCRIPCION],Equipo[UND],,0),"")</f>
        <v/>
      </c>
      <c r="D195" s="31"/>
      <c r="E195" s="32" t="str">
        <f>IF(C195="%MO",G201,IFERROR(_xlfn.XLOOKUP($B195,Equipo[DESCRIPCION],Equipo[VALOR],,0),""))</f>
        <v/>
      </c>
      <c r="F195" s="33"/>
      <c r="G195" s="34" t="str">
        <f>IFERROR(IF(F195&gt;=0,D195*E195*(1+F195/100),ABS(D195*E195/F195)),"")</f>
        <v/>
      </c>
      <c r="H195" s="43" t="str">
        <f>IFERROR(G195*E184,"")</f>
        <v/>
      </c>
    </row>
    <row r="196" spans="1:11">
      <c r="A196" s="21"/>
      <c r="B196" s="22" t="s">
        <v>2533</v>
      </c>
      <c r="C196" s="23"/>
      <c r="D196" s="24"/>
      <c r="E196" s="25"/>
      <c r="F196" s="26"/>
      <c r="G196" s="27">
        <f>SUM(G197:G198)</f>
        <v>0</v>
      </c>
      <c r="H196" s="44">
        <f>G196*E184</f>
        <v>0</v>
      </c>
    </row>
    <row r="197" spans="1:11">
      <c r="A197" s="28"/>
      <c r="B197" s="29"/>
      <c r="C197" s="30" t="str">
        <f>IFERROR(_xlfn.XLOOKUP(B197,Transporte[DESCRIPCION],Transporte[UND],,0),"")</f>
        <v/>
      </c>
      <c r="D197" s="31"/>
      <c r="E197" s="32" t="str">
        <f>IFERROR(_xlfn.XLOOKUP($B197,Transporte[DESCRIPCION],Transporte[VALOR],,0),"")</f>
        <v/>
      </c>
      <c r="F197" s="33"/>
      <c r="G197" s="34" t="str">
        <f>IFERROR(IF(F197&gt;=0,D197*E197*(1+F197/100),ABS(D197*E197/F197)),"")</f>
        <v/>
      </c>
      <c r="H197" s="43" t="str">
        <f>IFERROR(G197*E184,"")</f>
        <v/>
      </c>
    </row>
    <row r="198" spans="1:11">
      <c r="A198" s="28"/>
      <c r="B198" s="29"/>
      <c r="C198" s="30" t="str">
        <f>IFERROR(_xlfn.XLOOKUP(B198,Transporte[DESCRIPCION],Transporte[UND],,0),"")</f>
        <v/>
      </c>
      <c r="D198" s="31"/>
      <c r="E198" s="32" t="str">
        <f>IFERROR(_xlfn.XLOOKUP($B198,Transporte[DESCRIPCION],Transporte[VALOR],,0),"")</f>
        <v/>
      </c>
      <c r="F198" s="33"/>
      <c r="G198" s="34" t="str">
        <f>IFERROR(IF(F198&gt;=0,D198*E198*(1+F198/100),ABS(D198*E198/F198)),"")</f>
        <v/>
      </c>
      <c r="H198" s="43" t="str">
        <f>IFERROR(G198*E184,"")</f>
        <v/>
      </c>
    </row>
    <row r="199" spans="1:11">
      <c r="A199" s="21"/>
      <c r="B199" s="22" t="s">
        <v>3732</v>
      </c>
      <c r="C199" s="23"/>
      <c r="D199" s="24"/>
      <c r="E199" s="25"/>
      <c r="F199" s="26"/>
      <c r="G199" s="27">
        <f>SUM(G200:G202)</f>
        <v>221237.93581500006</v>
      </c>
      <c r="H199" s="44">
        <f>G199*E184</f>
        <v>0</v>
      </c>
    </row>
    <row r="200" spans="1:11">
      <c r="A200" s="28"/>
      <c r="B200" s="29" t="s">
        <v>3713</v>
      </c>
      <c r="C200" s="30" t="str">
        <f>IFERROR(_xlfn.XLOOKUP(B200,MObra[DESCRIPCION],MObra[UN],,0),"")</f>
        <v>día</v>
      </c>
      <c r="D200" s="31">
        <v>1</v>
      </c>
      <c r="E200" s="32">
        <f>IFERROR(_xlfn.XLOOKUP($B200,MObra[DESCRIPCION],MObra[VALOR UNIT],,0),"")</f>
        <v>663713.80744500016</v>
      </c>
      <c r="F200" s="33">
        <v>-3</v>
      </c>
      <c r="G200" s="34">
        <f>IFERROR(IF(F200&gt;=0,D200*E200*(1+F200/100),ABS(D200*E200/F200)),"")</f>
        <v>221237.93581500006</v>
      </c>
      <c r="H200" s="43">
        <f>IFERROR(G200*E184,"")</f>
        <v>0</v>
      </c>
    </row>
    <row r="201" spans="1:11">
      <c r="A201" s="28"/>
      <c r="B201" s="29"/>
      <c r="C201" s="30" t="str">
        <f>IFERROR(_xlfn.XLOOKUP(B201,MObra[DESCRIPCION],MObra[UN],,0),"")</f>
        <v/>
      </c>
      <c r="D201" s="31"/>
      <c r="E201" s="32" t="str">
        <f>IFERROR(_xlfn.XLOOKUP($B201,MObra[DESCRIPCION],MObra[VALOR UNIT],,0),"")</f>
        <v/>
      </c>
      <c r="F201" s="33"/>
      <c r="G201" s="34" t="str">
        <f>IFERROR(IF(F201&gt;=0,D201*E201*(1+F201/100),ABS(D201*E201/F201)),"")</f>
        <v/>
      </c>
      <c r="H201" s="43" t="str">
        <f>IFERROR(G201*E184,"")</f>
        <v/>
      </c>
    </row>
    <row r="202" spans="1:11">
      <c r="A202" s="35"/>
      <c r="B202" s="36"/>
      <c r="C202" s="37" t="str">
        <f>IFERROR(_xlfn.XLOOKUP(B202,MObra[DESCRIPCION],MObra[UN],,0),"")</f>
        <v/>
      </c>
      <c r="D202" s="38"/>
      <c r="E202" s="39" t="str">
        <f>IFERROR(_xlfn.XLOOKUP($B202,MObra[DESCRIPCION],MObra[VALOR UNIT],,0),"")</f>
        <v/>
      </c>
      <c r="F202" s="40"/>
      <c r="G202" s="41" t="str">
        <f>IFERROR(IF(F202&gt;=0,D202*E202*(1+F202/100),ABS(D202*E202/F202)),"")</f>
        <v/>
      </c>
      <c r="H202" s="42" t="str">
        <f>IFERROR(G202*E184,"")</f>
        <v/>
      </c>
    </row>
    <row r="204" spans="1:11" ht="25.5">
      <c r="A204" s="6" t="s">
        <v>2058</v>
      </c>
      <c r="B204" s="7" t="str">
        <f>VLOOKUP($A204,Presupuesto!$A:$D,2,FALSE())</f>
        <v>Cuerpo para cámaras de inspección Øinterior 2,00 m. Concreto 24,5 Mpa. Incluye acero de refuerzo.</v>
      </c>
      <c r="C204" s="8" t="str">
        <f>VLOOKUP($A204,Presupuesto!$A:$D,3,FALSE())</f>
        <v>M</v>
      </c>
      <c r="D204" s="9"/>
      <c r="E204" s="10">
        <f>VLOOKUP($A204,Presupuesto!$A:$D,4,FALSE())</f>
        <v>0</v>
      </c>
      <c r="F204" s="11" t="s">
        <v>2589</v>
      </c>
      <c r="G204" s="12">
        <f>SUM(G206:G222)/2</f>
        <v>1255245.0590795053</v>
      </c>
      <c r="H204" s="13">
        <f>ROUND(SUM(H206:H222),0)/2</f>
        <v>0</v>
      </c>
      <c r="I204" s="10">
        <f>VLOOKUP(A204,Presupuesto!$A:$F,6,0)</f>
        <v>0</v>
      </c>
      <c r="J204" s="10">
        <f>+H204-I204</f>
        <v>0</v>
      </c>
      <c r="K204" s="46">
        <f>+H204-G204*E204</f>
        <v>0</v>
      </c>
    </row>
    <row r="205" spans="1:11">
      <c r="A205" s="14"/>
      <c r="B205" s="15" t="s">
        <v>2586</v>
      </c>
      <c r="C205" s="15" t="s">
        <v>5</v>
      </c>
      <c r="D205" s="16" t="s">
        <v>6</v>
      </c>
      <c r="E205" s="17" t="s">
        <v>7</v>
      </c>
      <c r="F205" s="18" t="s">
        <v>3728</v>
      </c>
      <c r="G205" s="19" t="s">
        <v>3729</v>
      </c>
      <c r="H205" s="20" t="s">
        <v>3797</v>
      </c>
    </row>
    <row r="206" spans="1:11">
      <c r="A206" s="21"/>
      <c r="B206" s="22" t="s">
        <v>3730</v>
      </c>
      <c r="C206" s="23"/>
      <c r="D206" s="24"/>
      <c r="E206" s="25"/>
      <c r="F206" s="26"/>
      <c r="G206" s="27">
        <f>SUM(G207:G211)</f>
        <v>866529.25995260559</v>
      </c>
      <c r="H206" s="27">
        <f>IFERROR(G206*E204,"")</f>
        <v>0</v>
      </c>
    </row>
    <row r="207" spans="1:11">
      <c r="A207" s="28"/>
      <c r="B207" s="29" t="s">
        <v>3240</v>
      </c>
      <c r="C207" s="30" t="str">
        <f>IFERROR(_xlfn.XLOOKUP(B207,Insumo[DESCRIPCION],Insumo[UND],,0),"")</f>
        <v>M3</v>
      </c>
      <c r="D207" s="31">
        <v>1.39</v>
      </c>
      <c r="E207" s="32">
        <f>IFERROR(_xlfn.XLOOKUP($B207,Insumo[DESCRIPCION],Insumo[VALOR],,0),"")</f>
        <v>539790.3034961326</v>
      </c>
      <c r="F207" s="33">
        <v>5</v>
      </c>
      <c r="G207" s="34">
        <f>IFERROR(IF(F207&gt;=0,D207*E207*(1+F207/100),ABS(D207*E207/F207)),"")</f>
        <v>787823.94795260555</v>
      </c>
      <c r="H207" s="43">
        <f>IFERROR(G207*E204,"")</f>
        <v>0</v>
      </c>
    </row>
    <row r="208" spans="1:11">
      <c r="A208" s="28"/>
      <c r="B208" s="29" t="s">
        <v>2653</v>
      </c>
      <c r="C208" s="30" t="str">
        <f>IFERROR(_xlfn.XLOOKUP(B208,Insumo[DESCRIPCION],Insumo[UND],,0),"")</f>
        <v>Kg</v>
      </c>
      <c r="D208" s="31">
        <v>13.84</v>
      </c>
      <c r="E208" s="32">
        <f>IFERROR(_xlfn.XLOOKUP($B208,Insumo[DESCRIPCION],Insumo[VALOR],,0),"")</f>
        <v>5686.8</v>
      </c>
      <c r="F208" s="33"/>
      <c r="G208" s="34">
        <f>IFERROR(IF(F208&gt;=0,D208*E208*(1+F208/100),ABS(D208*E208/F208)),"")</f>
        <v>78705.312000000005</v>
      </c>
      <c r="H208" s="43">
        <f>IFERROR(G208*E204,"")</f>
        <v>0</v>
      </c>
    </row>
    <row r="209" spans="1:11">
      <c r="A209" s="28"/>
      <c r="B209" s="29"/>
      <c r="C209" s="30" t="str">
        <f>IFERROR(_xlfn.XLOOKUP(B209,Insumo[DESCRIPCION],Insumo[UND],,0),"")</f>
        <v/>
      </c>
      <c r="D209" s="31"/>
      <c r="E209" s="32" t="str">
        <f>IFERROR(_xlfn.XLOOKUP($B209,Insumo[DESCRIPCION],Insumo[VALOR],,0),"")</f>
        <v/>
      </c>
      <c r="F209" s="33"/>
      <c r="G209" s="34" t="str">
        <f>IFERROR(IF(F209&gt;=0,D209*E209*(1+F209/100),ABS(D209*E209/F209)),"")</f>
        <v/>
      </c>
      <c r="H209" s="43" t="str">
        <f>IFERROR(G209*E204,"")</f>
        <v/>
      </c>
    </row>
    <row r="210" spans="1:11">
      <c r="A210" s="28"/>
      <c r="B210" s="29"/>
      <c r="C210" s="30" t="str">
        <f>IFERROR(_xlfn.XLOOKUP(B210,Insumo[DESCRIPCION],Insumo[UND],,0),"")</f>
        <v/>
      </c>
      <c r="D210" s="31"/>
      <c r="E210" s="32" t="str">
        <f>IFERROR(_xlfn.XLOOKUP($B210,Insumo[DESCRIPCION],Insumo[VALOR],,0),"")</f>
        <v/>
      </c>
      <c r="F210" s="33"/>
      <c r="G210" s="34" t="str">
        <f>IFERROR(IF(F210&gt;=0,D210*E210*(1+F210/100),ABS(D210*E210/F210)),"")</f>
        <v/>
      </c>
      <c r="H210" s="43" t="str">
        <f>IFERROR(G210*E204,"")</f>
        <v/>
      </c>
    </row>
    <row r="211" spans="1:11">
      <c r="A211" s="28"/>
      <c r="B211" s="29"/>
      <c r="C211" s="30" t="str">
        <f>IFERROR(_xlfn.XLOOKUP(B211,Insumo[DESCRIPCION],Insumo[UND],,0),"")</f>
        <v/>
      </c>
      <c r="D211" s="31"/>
      <c r="E211" s="32" t="str">
        <f>IFERROR(_xlfn.XLOOKUP($B211,Insumo[DESCRIPCION],Insumo[VALOR],,0),"")</f>
        <v/>
      </c>
      <c r="F211" s="33"/>
      <c r="G211" s="34" t="str">
        <f>IFERROR(IF(F211&gt;=0,D211*E211*(1+F211/100),ABS(D211*E211/F211)),"")</f>
        <v/>
      </c>
      <c r="H211" s="43" t="str">
        <f>IFERROR(G211*E204,"")</f>
        <v/>
      </c>
    </row>
    <row r="212" spans="1:11">
      <c r="A212" s="21"/>
      <c r="B212" s="22" t="s">
        <v>3731</v>
      </c>
      <c r="C212" s="23"/>
      <c r="D212" s="24"/>
      <c r="E212" s="25"/>
      <c r="F212" s="26"/>
      <c r="G212" s="27">
        <f>SUM(G213:G215)</f>
        <v>123230.27614890001</v>
      </c>
      <c r="H212" s="44">
        <f>G212*E204</f>
        <v>0</v>
      </c>
    </row>
    <row r="213" spans="1:11">
      <c r="A213" s="28"/>
      <c r="B213" s="29" t="s">
        <v>3616</v>
      </c>
      <c r="C213" s="30" t="str">
        <f>IFERROR(_xlfn.XLOOKUP(B213,Equipo[DESCRIPCION],Equipo[UND],,0),"")</f>
        <v>Día</v>
      </c>
      <c r="D213" s="31">
        <v>1</v>
      </c>
      <c r="E213" s="32">
        <f>IF(C213="%MO",G219,IFERROR(_xlfn.XLOOKUP($B213,Equipo[DESCRIPCION],Equipo[VALOR],,0),""))</f>
        <v>54978</v>
      </c>
      <c r="F213" s="33">
        <v>-0.5</v>
      </c>
      <c r="G213" s="34">
        <f>IFERROR(IF(F213&gt;=0,D213*E213*(1+F213/100),ABS(D213*E213/F213)),"")</f>
        <v>109956</v>
      </c>
      <c r="H213" s="43">
        <f>IFERROR(G213*E204,"")</f>
        <v>0</v>
      </c>
    </row>
    <row r="214" spans="1:11">
      <c r="A214" s="28"/>
      <c r="B214" s="29" t="s">
        <v>3626</v>
      </c>
      <c r="C214" s="30" t="str">
        <f>IFERROR(_xlfn.XLOOKUP(B214,Equipo[DESCRIPCION],Equipo[UND],,0),"")</f>
        <v>%MO</v>
      </c>
      <c r="D214" s="31">
        <v>0.05</v>
      </c>
      <c r="E214" s="32">
        <f>IF(C214="%MO",G220,IFERROR(_xlfn.XLOOKUP($B214,Equipo[DESCRIPCION],Equipo[VALOR],,0),""))</f>
        <v>265485.52297800005</v>
      </c>
      <c r="F214" s="33"/>
      <c r="G214" s="34">
        <f>IFERROR(IF(F214&gt;=0,D214*E214*(1+F214/100),ABS(D214*E214/F214)),"")</f>
        <v>13274.276148900004</v>
      </c>
      <c r="H214" s="43">
        <f>IFERROR(G214*E204,"")</f>
        <v>0</v>
      </c>
    </row>
    <row r="215" spans="1:11">
      <c r="A215" s="28"/>
      <c r="B215" s="29"/>
      <c r="C215" s="30" t="str">
        <f>IFERROR(_xlfn.XLOOKUP(B215,Equipo[DESCRIPCION],Equipo[UND],,0),"")</f>
        <v/>
      </c>
      <c r="D215" s="31"/>
      <c r="E215" s="32" t="str">
        <f>IF(C215="%MO",G221,IFERROR(_xlfn.XLOOKUP($B215,Equipo[DESCRIPCION],Equipo[VALOR],,0),""))</f>
        <v/>
      </c>
      <c r="F215" s="33"/>
      <c r="G215" s="34" t="str">
        <f>IFERROR(IF(F215&gt;=0,D215*E215*(1+F215/100),ABS(D215*E215/F215)),"")</f>
        <v/>
      </c>
      <c r="H215" s="43" t="str">
        <f>IFERROR(G215*E204,"")</f>
        <v/>
      </c>
    </row>
    <row r="216" spans="1:11">
      <c r="A216" s="21"/>
      <c r="B216" s="22" t="s">
        <v>2533</v>
      </c>
      <c r="C216" s="23"/>
      <c r="D216" s="24"/>
      <c r="E216" s="25"/>
      <c r="F216" s="26"/>
      <c r="G216" s="27">
        <f>SUM(G217:G218)</f>
        <v>0</v>
      </c>
      <c r="H216" s="44">
        <f>G216*E204</f>
        <v>0</v>
      </c>
    </row>
    <row r="217" spans="1:11">
      <c r="A217" s="28"/>
      <c r="B217" s="29"/>
      <c r="C217" s="30" t="str">
        <f>IFERROR(_xlfn.XLOOKUP(B217,Transporte[DESCRIPCION],Transporte[UND],,0),"")</f>
        <v/>
      </c>
      <c r="D217" s="31"/>
      <c r="E217" s="32" t="str">
        <f>IFERROR(_xlfn.XLOOKUP($B217,Transporte[DESCRIPCION],Transporte[VALOR],,0),"")</f>
        <v/>
      </c>
      <c r="F217" s="33"/>
      <c r="G217" s="34" t="str">
        <f>IFERROR(IF(F217&gt;=0,D217*E217*(1+F217/100),ABS(D217*E217/F217)),"")</f>
        <v/>
      </c>
      <c r="H217" s="43" t="str">
        <f>IFERROR(G217*E204,"")</f>
        <v/>
      </c>
    </row>
    <row r="218" spans="1:11">
      <c r="A218" s="28"/>
      <c r="B218" s="29"/>
      <c r="C218" s="30" t="str">
        <f>IFERROR(_xlfn.XLOOKUP(B218,Transporte[DESCRIPCION],Transporte[UND],,0),"")</f>
        <v/>
      </c>
      <c r="D218" s="31"/>
      <c r="E218" s="32" t="str">
        <f>IFERROR(_xlfn.XLOOKUP($B218,Transporte[DESCRIPCION],Transporte[VALOR],,0),"")</f>
        <v/>
      </c>
      <c r="F218" s="33"/>
      <c r="G218" s="34" t="str">
        <f>IFERROR(IF(F218&gt;=0,D218*E218*(1+F218/100),ABS(D218*E218/F218)),"")</f>
        <v/>
      </c>
      <c r="H218" s="43" t="str">
        <f>IFERROR(G218*E204,"")</f>
        <v/>
      </c>
    </row>
    <row r="219" spans="1:11">
      <c r="A219" s="21"/>
      <c r="B219" s="22" t="s">
        <v>3732</v>
      </c>
      <c r="C219" s="23"/>
      <c r="D219" s="24"/>
      <c r="E219" s="25"/>
      <c r="F219" s="26"/>
      <c r="G219" s="27">
        <f>SUM(G220:G222)</f>
        <v>265485.52297800005</v>
      </c>
      <c r="H219" s="44">
        <f>G219*E204</f>
        <v>0</v>
      </c>
    </row>
    <row r="220" spans="1:11">
      <c r="A220" s="28"/>
      <c r="B220" s="29" t="s">
        <v>3713</v>
      </c>
      <c r="C220" s="30" t="str">
        <f>IFERROR(_xlfn.XLOOKUP(B220,MObra[DESCRIPCION],MObra[UN],,0),"")</f>
        <v>día</v>
      </c>
      <c r="D220" s="31">
        <v>1</v>
      </c>
      <c r="E220" s="32">
        <f>IFERROR(_xlfn.XLOOKUP($B220,MObra[DESCRIPCION],MObra[VALOR UNIT],,0),"")</f>
        <v>663713.80744500016</v>
      </c>
      <c r="F220" s="33">
        <v>-2.5</v>
      </c>
      <c r="G220" s="34">
        <f>IFERROR(IF(F220&gt;=0,D220*E220*(1+F220/100),ABS(D220*E220/F220)),"")</f>
        <v>265485.52297800005</v>
      </c>
      <c r="H220" s="43">
        <f>IFERROR(G220*E204,"")</f>
        <v>0</v>
      </c>
    </row>
    <row r="221" spans="1:11">
      <c r="A221" s="28"/>
      <c r="B221" s="29"/>
      <c r="C221" s="30" t="str">
        <f>IFERROR(_xlfn.XLOOKUP(B221,MObra[DESCRIPCION],MObra[UN],,0),"")</f>
        <v/>
      </c>
      <c r="D221" s="31"/>
      <c r="E221" s="32" t="str">
        <f>IFERROR(_xlfn.XLOOKUP($B221,MObra[DESCRIPCION],MObra[VALOR UNIT],,0),"")</f>
        <v/>
      </c>
      <c r="F221" s="33"/>
      <c r="G221" s="34" t="str">
        <f>IFERROR(IF(F221&gt;=0,D221*E221*(1+F221/100),ABS(D221*E221/F221)),"")</f>
        <v/>
      </c>
      <c r="H221" s="43" t="str">
        <f>IFERROR(G221*E204,"")</f>
        <v/>
      </c>
    </row>
    <row r="222" spans="1:11">
      <c r="A222" s="35"/>
      <c r="B222" s="36"/>
      <c r="C222" s="37" t="str">
        <f>IFERROR(_xlfn.XLOOKUP(B222,MObra[DESCRIPCION],MObra[UN],,0),"")</f>
        <v/>
      </c>
      <c r="D222" s="38"/>
      <c r="E222" s="39" t="str">
        <f>IFERROR(_xlfn.XLOOKUP($B222,MObra[DESCRIPCION],MObra[VALOR UNIT],,0),"")</f>
        <v/>
      </c>
      <c r="F222" s="40"/>
      <c r="G222" s="41" t="str">
        <f>IFERROR(IF(F222&gt;=0,D222*E222*(1+F222/100),ABS(D222*E222/F222)),"")</f>
        <v/>
      </c>
      <c r="H222" s="42" t="str">
        <f>IFERROR(G222*E204,"")</f>
        <v/>
      </c>
    </row>
    <row r="224" spans="1:11">
      <c r="A224" s="6" t="s">
        <v>2060</v>
      </c>
      <c r="B224" s="7" t="str">
        <f>VLOOKUP($A224,Presupuesto!$A:$D,2,FALSE())</f>
        <v>Empotramiento de tuberías en concreto 20.7 Mpa</v>
      </c>
      <c r="C224" s="8" t="str">
        <f>VLOOKUP($A224,Presupuesto!$A:$D,3,FALSE())</f>
        <v>M3</v>
      </c>
      <c r="D224" s="9"/>
      <c r="E224" s="10">
        <f>VLOOKUP($A224,Presupuesto!$A:$D,4,FALSE())</f>
        <v>0</v>
      </c>
      <c r="F224" s="11" t="s">
        <v>2589</v>
      </c>
      <c r="G224" s="12">
        <f>SUM(G226:G242)/2</f>
        <v>734590.59457469557</v>
      </c>
      <c r="H224" s="13">
        <f>ROUND(SUM(H226:H242),0)/2</f>
        <v>0</v>
      </c>
      <c r="I224" s="10">
        <f>VLOOKUP(A224,Presupuesto!$A:$F,6,0)</f>
        <v>0</v>
      </c>
      <c r="J224" s="10">
        <f>+H224-I224</f>
        <v>0</v>
      </c>
      <c r="K224" s="46">
        <f>+H224-G224*E224</f>
        <v>0</v>
      </c>
    </row>
    <row r="225" spans="1:8">
      <c r="A225" s="14"/>
      <c r="B225" s="15" t="s">
        <v>2586</v>
      </c>
      <c r="C225" s="15" t="s">
        <v>5</v>
      </c>
      <c r="D225" s="16" t="s">
        <v>6</v>
      </c>
      <c r="E225" s="17" t="s">
        <v>7</v>
      </c>
      <c r="F225" s="18" t="s">
        <v>3728</v>
      </c>
      <c r="G225" s="19" t="s">
        <v>3729</v>
      </c>
      <c r="H225" s="20" t="s">
        <v>3797</v>
      </c>
    </row>
    <row r="226" spans="1:8">
      <c r="A226" s="21"/>
      <c r="B226" s="22" t="s">
        <v>3730</v>
      </c>
      <c r="C226" s="23"/>
      <c r="D226" s="24"/>
      <c r="E226" s="25"/>
      <c r="F226" s="26"/>
      <c r="G226" s="27">
        <f>SUM(G227:G231)</f>
        <v>649372.40320775995</v>
      </c>
      <c r="H226" s="27">
        <f>IFERROR(G226*E224,"")</f>
        <v>0</v>
      </c>
    </row>
    <row r="227" spans="1:8">
      <c r="A227" s="28"/>
      <c r="B227" s="29" t="s">
        <v>3239</v>
      </c>
      <c r="C227" s="30" t="str">
        <f>IFERROR(_xlfn.XLOOKUP(B227,Insumo[DESCRIPCION],Insumo[UND],,0),"")</f>
        <v>M3</v>
      </c>
      <c r="D227" s="31">
        <v>1</v>
      </c>
      <c r="E227" s="32">
        <f>IFERROR(_xlfn.XLOOKUP($B227,Insumo[DESCRIPCION],Insumo[VALOR],,0),"")</f>
        <v>521159.50227762427</v>
      </c>
      <c r="F227" s="33">
        <v>5</v>
      </c>
      <c r="G227" s="34">
        <f>IFERROR(IF(F227&gt;=0,D227*E227*(1+F227/100),ABS(D227*E227/F227)),"")</f>
        <v>547217.4773915055</v>
      </c>
      <c r="H227" s="43">
        <f>IFERROR(G227*E224,"")</f>
        <v>0</v>
      </c>
    </row>
    <row r="228" spans="1:8">
      <c r="A228" s="28"/>
      <c r="B228" s="29" t="s">
        <v>2954</v>
      </c>
      <c r="C228" s="30" t="str">
        <f>IFERROR(_xlfn.XLOOKUP(B228,Insumo[DESCRIPCION],Insumo[UND],,0),"")</f>
        <v>M2</v>
      </c>
      <c r="D228" s="31">
        <v>1</v>
      </c>
      <c r="E228" s="32">
        <f>IFERROR(_xlfn.XLOOKUP($B228,Insumo[DESCRIPCION],Insumo[VALOR],,0),"")</f>
        <v>102154.92581625449</v>
      </c>
      <c r="F228" s="33"/>
      <c r="G228" s="34">
        <f>IFERROR(IF(F228&gt;=0,D228*E228*(1+F228/100),ABS(D228*E228/F228)),"")</f>
        <v>102154.92581625449</v>
      </c>
      <c r="H228" s="43">
        <f>IFERROR(G228*E224,"")</f>
        <v>0</v>
      </c>
    </row>
    <row r="229" spans="1:8">
      <c r="A229" s="28"/>
      <c r="B229" s="29"/>
      <c r="C229" s="30" t="str">
        <f>IFERROR(_xlfn.XLOOKUP(B229,Insumo[DESCRIPCION],Insumo[UND],,0),"")</f>
        <v/>
      </c>
      <c r="D229" s="31"/>
      <c r="E229" s="32" t="str">
        <f>IFERROR(_xlfn.XLOOKUP($B229,Insumo[DESCRIPCION],Insumo[VALOR],,0),"")</f>
        <v/>
      </c>
      <c r="F229" s="33"/>
      <c r="G229" s="34" t="str">
        <f>IFERROR(IF(F229&gt;=0,D229*E229*(1+F229/100),ABS(D229*E229/F229)),"")</f>
        <v/>
      </c>
      <c r="H229" s="43" t="str">
        <f>IFERROR(G229*E224,"")</f>
        <v/>
      </c>
    </row>
    <row r="230" spans="1:8">
      <c r="A230" s="28"/>
      <c r="B230" s="29"/>
      <c r="C230" s="30" t="str">
        <f>IFERROR(_xlfn.XLOOKUP(B230,Insumo[DESCRIPCION],Insumo[UND],,0),"")</f>
        <v/>
      </c>
      <c r="D230" s="31"/>
      <c r="E230" s="32" t="str">
        <f>IFERROR(_xlfn.XLOOKUP($B230,Insumo[DESCRIPCION],Insumo[VALOR],,0),"")</f>
        <v/>
      </c>
      <c r="F230" s="33"/>
      <c r="G230" s="34" t="str">
        <f>IFERROR(IF(F230&gt;=0,D230*E230*(1+F230/100),ABS(D230*E230/F230)),"")</f>
        <v/>
      </c>
      <c r="H230" s="43" t="str">
        <f>IFERROR(G230*E224,"")</f>
        <v/>
      </c>
    </row>
    <row r="231" spans="1:8">
      <c r="A231" s="28"/>
      <c r="B231" s="29"/>
      <c r="C231" s="30" t="str">
        <f>IFERROR(_xlfn.XLOOKUP(B231,Insumo[DESCRIPCION],Insumo[UND],,0),"")</f>
        <v/>
      </c>
      <c r="D231" s="31"/>
      <c r="E231" s="32" t="str">
        <f>IFERROR(_xlfn.XLOOKUP($B231,Insumo[DESCRIPCION],Insumo[VALOR],,0),"")</f>
        <v/>
      </c>
      <c r="F231" s="33"/>
      <c r="G231" s="34" t="str">
        <f>IFERROR(IF(F231&gt;=0,D231*E231*(1+F231/100),ABS(D231*E231/F231)),"")</f>
        <v/>
      </c>
      <c r="H231" s="43" t="str">
        <f>IFERROR(G231*E224,"")</f>
        <v/>
      </c>
    </row>
    <row r="232" spans="1:8">
      <c r="A232" s="21"/>
      <c r="B232" s="22" t="s">
        <v>3731</v>
      </c>
      <c r="C232" s="23"/>
      <c r="D232" s="24"/>
      <c r="E232" s="25"/>
      <c r="F232" s="26"/>
      <c r="G232" s="27">
        <f>SUM(G233:G235)</f>
        <v>7036.3644247928605</v>
      </c>
      <c r="H232" s="44">
        <f>G232*E224</f>
        <v>0</v>
      </c>
    </row>
    <row r="233" spans="1:8">
      <c r="A233" s="28"/>
      <c r="B233" s="29" t="s">
        <v>3570</v>
      </c>
      <c r="C233" s="30" t="str">
        <f>IFERROR(_xlfn.XLOOKUP(B233,Equipo[DESCRIPCION],Equipo[UND],,0),"")</f>
        <v>%MO</v>
      </c>
      <c r="D233" s="31">
        <v>0.04</v>
      </c>
      <c r="E233" s="32">
        <f>IF(C233="%MO",G239,IFERROR(_xlfn.XLOOKUP($B233,Equipo[DESCRIPCION],Equipo[VALOR],,0),""))</f>
        <v>78181.826942142885</v>
      </c>
      <c r="F233" s="33"/>
      <c r="G233" s="34">
        <f>IFERROR(IF(F233&gt;=0,D233*E233*(1+F233/100),ABS(D233*E233/F233)),"")</f>
        <v>3127.2730776857156</v>
      </c>
      <c r="H233" s="43">
        <f>IFERROR(G233*E224,"")</f>
        <v>0</v>
      </c>
    </row>
    <row r="234" spans="1:8">
      <c r="A234" s="28"/>
      <c r="B234" s="29" t="s">
        <v>3626</v>
      </c>
      <c r="C234" s="30" t="str">
        <f>IFERROR(_xlfn.XLOOKUP(B234,Equipo[DESCRIPCION],Equipo[UND],,0),"")</f>
        <v>%MO</v>
      </c>
      <c r="D234" s="31">
        <v>0.05</v>
      </c>
      <c r="E234" s="32">
        <f>IF(C234="%MO",G239,IFERROR(_xlfn.XLOOKUP($B234,Equipo[DESCRIPCION],Equipo[VALOR],,0),""))</f>
        <v>78181.826942142885</v>
      </c>
      <c r="F234" s="33"/>
      <c r="G234" s="34">
        <f>IFERROR(IF(F234&gt;=0,D234*E234*(1+F234/100),ABS(D234*E234/F234)),"")</f>
        <v>3909.0913471071444</v>
      </c>
      <c r="H234" s="43">
        <f>IFERROR(G234*E224,"")</f>
        <v>0</v>
      </c>
    </row>
    <row r="235" spans="1:8">
      <c r="A235" s="28"/>
      <c r="B235" s="29"/>
      <c r="C235" s="30" t="str">
        <f>IFERROR(_xlfn.XLOOKUP(B235,Equipo[DESCRIPCION],Equipo[UND],,0),"")</f>
        <v/>
      </c>
      <c r="D235" s="31"/>
      <c r="E235" s="32" t="str">
        <f>IF(C235="%MO",G239,IFERROR(_xlfn.XLOOKUP($B235,Equipo[DESCRIPCION],Equipo[VALOR],,0),""))</f>
        <v/>
      </c>
      <c r="F235" s="33"/>
      <c r="G235" s="34" t="str">
        <f>IFERROR(IF(F235&gt;=0,D235*E235*(1+F235/100),ABS(D235*E235/F235)),"")</f>
        <v/>
      </c>
      <c r="H235" s="43" t="str">
        <f>IFERROR(G235*E224,"")</f>
        <v/>
      </c>
    </row>
    <row r="236" spans="1:8">
      <c r="A236" s="21"/>
      <c r="B236" s="22" t="s">
        <v>2533</v>
      </c>
      <c r="C236" s="23"/>
      <c r="D236" s="24"/>
      <c r="E236" s="25"/>
      <c r="F236" s="26"/>
      <c r="G236" s="27">
        <f>SUM(G237:G238)</f>
        <v>0</v>
      </c>
      <c r="H236" s="44">
        <f>G236*E224</f>
        <v>0</v>
      </c>
    </row>
    <row r="237" spans="1:8">
      <c r="A237" s="28"/>
      <c r="B237" s="29"/>
      <c r="C237" s="30" t="str">
        <f>IFERROR(_xlfn.XLOOKUP(B237,Transporte[DESCRIPCION],Transporte[UND],,0),"")</f>
        <v/>
      </c>
      <c r="D237" s="31"/>
      <c r="E237" s="32" t="str">
        <f>IFERROR(_xlfn.XLOOKUP($B237,Transporte[DESCRIPCION],Transporte[VALOR],,0),"")</f>
        <v/>
      </c>
      <c r="F237" s="33"/>
      <c r="G237" s="34" t="str">
        <f>IFERROR(IF(F237&gt;=0,D237*E237*(1+F237/100),ABS(D237*E237/F237)),"")</f>
        <v/>
      </c>
      <c r="H237" s="43" t="str">
        <f>IFERROR(G237*E224,"")</f>
        <v/>
      </c>
    </row>
    <row r="238" spans="1:8">
      <c r="A238" s="28"/>
      <c r="B238" s="29"/>
      <c r="C238" s="30" t="str">
        <f>IFERROR(_xlfn.XLOOKUP(B238,Transporte[DESCRIPCION],Transporte[UND],,0),"")</f>
        <v/>
      </c>
      <c r="D238" s="31"/>
      <c r="E238" s="32" t="str">
        <f>IFERROR(_xlfn.XLOOKUP($B238,Transporte[DESCRIPCION],Transporte[VALOR],,0),"")</f>
        <v/>
      </c>
      <c r="F238" s="33"/>
      <c r="G238" s="34" t="str">
        <f>IFERROR(IF(F238&gt;=0,D238*E238*(1+F238/100),ABS(D238*E238/F238)),"")</f>
        <v/>
      </c>
      <c r="H238" s="43" t="str">
        <f>IFERROR(G238*E224,"")</f>
        <v/>
      </c>
    </row>
    <row r="239" spans="1:8">
      <c r="A239" s="21"/>
      <c r="B239" s="22" t="s">
        <v>3732</v>
      </c>
      <c r="C239" s="23"/>
      <c r="D239" s="24"/>
      <c r="E239" s="25"/>
      <c r="F239" s="26"/>
      <c r="G239" s="27">
        <f>SUM(G240:G242)</f>
        <v>78181.826942142885</v>
      </c>
      <c r="H239" s="44">
        <f>G239*E224</f>
        <v>0</v>
      </c>
    </row>
    <row r="240" spans="1:8">
      <c r="A240" s="28"/>
      <c r="B240" s="29" t="s">
        <v>3712</v>
      </c>
      <c r="C240" s="30" t="str">
        <f>IFERROR(_xlfn.XLOOKUP(B240,MObra[DESCRIPCION],MObra[UN],,0),"")</f>
        <v>día</v>
      </c>
      <c r="D240" s="31">
        <v>1</v>
      </c>
      <c r="E240" s="32">
        <f>IFERROR(_xlfn.XLOOKUP($B240,MObra[DESCRIPCION],MObra[VALOR UNIT],,0),"")</f>
        <v>547272.78859500017</v>
      </c>
      <c r="F240" s="33">
        <v>-7</v>
      </c>
      <c r="G240" s="34">
        <f>IFERROR(IF(F240&gt;=0,D240*E240*(1+F240/100),ABS(D240*E240/F240)),"")</f>
        <v>78181.826942142885</v>
      </c>
      <c r="H240" s="43">
        <f>IFERROR(G240*E224,"")</f>
        <v>0</v>
      </c>
    </row>
    <row r="241" spans="1:11">
      <c r="A241" s="28"/>
      <c r="B241" s="29"/>
      <c r="C241" s="30" t="str">
        <f>IFERROR(_xlfn.XLOOKUP(B241,MObra[DESCRIPCION],MObra[UN],,0),"")</f>
        <v/>
      </c>
      <c r="D241" s="31"/>
      <c r="E241" s="32" t="str">
        <f>IFERROR(_xlfn.XLOOKUP($B241,MObra[DESCRIPCION],MObra[VALOR UNIT],,0),"")</f>
        <v/>
      </c>
      <c r="F241" s="33"/>
      <c r="G241" s="34" t="str">
        <f>IFERROR(IF(F241&gt;=0,D241*E241*(1+F241/100),ABS(D241*E241/F241)),"")</f>
        <v/>
      </c>
      <c r="H241" s="43" t="str">
        <f>IFERROR(G241*E224,"")</f>
        <v/>
      </c>
    </row>
    <row r="242" spans="1:11">
      <c r="A242" s="35"/>
      <c r="B242" s="36"/>
      <c r="C242" s="37" t="str">
        <f>IFERROR(_xlfn.XLOOKUP(B242,MObra[DESCRIPCION],MObra[UN],,0),"")</f>
        <v/>
      </c>
      <c r="D242" s="38"/>
      <c r="E242" s="39" t="str">
        <f>IFERROR(_xlfn.XLOOKUP($B242,MObra[DESCRIPCION],MObra[VALOR UNIT],,0),"")</f>
        <v/>
      </c>
      <c r="F242" s="40"/>
      <c r="G242" s="41" t="str">
        <f>IFERROR(IF(F242&gt;=0,D242*E242*(1+F242/100),ABS(D242*E242/F242)),"")</f>
        <v/>
      </c>
      <c r="H242" s="42" t="str">
        <f>IFERROR(G242*E224,"")</f>
        <v/>
      </c>
    </row>
    <row r="244" spans="1:11">
      <c r="A244" s="6" t="s">
        <v>2062</v>
      </c>
      <c r="B244" s="7" t="str">
        <f>VLOOKUP($A244,Presupuesto!$A:$D,2,FALSE())</f>
        <v>Empotramiento tubería alcantarillado Ø variable</v>
      </c>
      <c r="C244" s="8" t="str">
        <f>VLOOKUP($A244,Presupuesto!$A:$D,3,FALSE())</f>
        <v>Un</v>
      </c>
      <c r="D244" s="9"/>
      <c r="E244" s="10">
        <f>VLOOKUP($A244,Presupuesto!$A:$D,4,FALSE())</f>
        <v>0</v>
      </c>
      <c r="F244" s="11" t="s">
        <v>2589</v>
      </c>
      <c r="G244" s="12">
        <f>SUM(G246:G262)/2</f>
        <v>268323.39391488151</v>
      </c>
      <c r="H244" s="13">
        <f>ROUND(SUM(H246:H262),0)/2</f>
        <v>0</v>
      </c>
      <c r="I244" s="10">
        <f>VLOOKUP(A244,Presupuesto!$A:$F,6,0)</f>
        <v>0</v>
      </c>
      <c r="J244" s="10">
        <f>+H244-I244</f>
        <v>0</v>
      </c>
      <c r="K244" s="46">
        <f>+H244-G244*E244</f>
        <v>0</v>
      </c>
    </row>
    <row r="245" spans="1:11">
      <c r="A245" s="14"/>
      <c r="B245" s="15" t="s">
        <v>2586</v>
      </c>
      <c r="C245" s="15" t="s">
        <v>5</v>
      </c>
      <c r="D245" s="16" t="s">
        <v>6</v>
      </c>
      <c r="E245" s="17" t="s">
        <v>7</v>
      </c>
      <c r="F245" s="18" t="s">
        <v>3728</v>
      </c>
      <c r="G245" s="19" t="s">
        <v>3729</v>
      </c>
      <c r="H245" s="20" t="s">
        <v>3797</v>
      </c>
    </row>
    <row r="246" spans="1:11">
      <c r="A246" s="21"/>
      <c r="B246" s="22" t="s">
        <v>3730</v>
      </c>
      <c r="C246" s="23"/>
      <c r="D246" s="24"/>
      <c r="E246" s="25"/>
      <c r="F246" s="26"/>
      <c r="G246" s="27">
        <f>SUM(G247:G251)</f>
        <v>147748.71889570649</v>
      </c>
      <c r="H246" s="27">
        <f>IFERROR(G246*E244,"")</f>
        <v>0</v>
      </c>
    </row>
    <row r="247" spans="1:11">
      <c r="A247" s="28"/>
      <c r="B247" s="29" t="s">
        <v>3239</v>
      </c>
      <c r="C247" s="30" t="str">
        <f>IFERROR(_xlfn.XLOOKUP(B247,Insumo[DESCRIPCION],Insumo[UND],,0),"")</f>
        <v>M3</v>
      </c>
      <c r="D247" s="31">
        <v>0.27</v>
      </c>
      <c r="E247" s="32">
        <f>IFERROR(_xlfn.XLOOKUP($B247,Insumo[DESCRIPCION],Insumo[VALOR],,0),"")</f>
        <v>521159.50227762427</v>
      </c>
      <c r="F247" s="33">
        <v>5</v>
      </c>
      <c r="G247" s="34">
        <f>IFERROR(IF(F247&gt;=0,D247*E247*(1+F247/100),ABS(D247*E247/F247)),"")</f>
        <v>147748.71889570649</v>
      </c>
      <c r="H247" s="43">
        <f>IFERROR(G247*E244,"")</f>
        <v>0</v>
      </c>
    </row>
    <row r="248" spans="1:11">
      <c r="A248" s="28"/>
      <c r="B248" s="29"/>
      <c r="C248" s="30" t="str">
        <f>IFERROR(_xlfn.XLOOKUP(B248,Insumo[DESCRIPCION],Insumo[UND],,0),"")</f>
        <v/>
      </c>
      <c r="D248" s="31"/>
      <c r="E248" s="32" t="str">
        <f>IFERROR(_xlfn.XLOOKUP($B248,Insumo[DESCRIPCION],Insumo[VALOR],,0),"")</f>
        <v/>
      </c>
      <c r="F248" s="33"/>
      <c r="G248" s="34" t="str">
        <f>IFERROR(IF(F248&gt;=0,D248*E248*(1+F248/100),ABS(D248*E248/F248)),"")</f>
        <v/>
      </c>
      <c r="H248" s="43" t="str">
        <f>IFERROR(G248*E244,"")</f>
        <v/>
      </c>
    </row>
    <row r="249" spans="1:11">
      <c r="A249" s="28"/>
      <c r="B249" s="29"/>
      <c r="C249" s="30" t="str">
        <f>IFERROR(_xlfn.XLOOKUP(B249,Insumo[DESCRIPCION],Insumo[UND],,0),"")</f>
        <v/>
      </c>
      <c r="D249" s="31"/>
      <c r="E249" s="32" t="str">
        <f>IFERROR(_xlfn.XLOOKUP($B249,Insumo[DESCRIPCION],Insumo[VALOR],,0),"")</f>
        <v/>
      </c>
      <c r="F249" s="33"/>
      <c r="G249" s="34" t="str">
        <f>IFERROR(IF(F249&gt;=0,D249*E249*(1+F249/100),ABS(D249*E249/F249)),"")</f>
        <v/>
      </c>
      <c r="H249" s="43" t="str">
        <f>IFERROR(G249*E244,"")</f>
        <v/>
      </c>
    </row>
    <row r="250" spans="1:11">
      <c r="A250" s="28"/>
      <c r="B250" s="29"/>
      <c r="C250" s="30" t="str">
        <f>IFERROR(_xlfn.XLOOKUP(B250,Insumo[DESCRIPCION],Insumo[UND],,0),"")</f>
        <v/>
      </c>
      <c r="D250" s="31"/>
      <c r="E250" s="32" t="str">
        <f>IFERROR(_xlfn.XLOOKUP($B250,Insumo[DESCRIPCION],Insumo[VALOR],,0),"")</f>
        <v/>
      </c>
      <c r="F250" s="33"/>
      <c r="G250" s="34" t="str">
        <f>IFERROR(IF(F250&gt;=0,D250*E250*(1+F250/100),ABS(D250*E250/F250)),"")</f>
        <v/>
      </c>
      <c r="H250" s="43" t="str">
        <f>IFERROR(G250*E244,"")</f>
        <v/>
      </c>
    </row>
    <row r="251" spans="1:11">
      <c r="A251" s="28"/>
      <c r="B251" s="29"/>
      <c r="C251" s="30" t="str">
        <f>IFERROR(_xlfn.XLOOKUP(B251,Insumo[DESCRIPCION],Insumo[UND],,0),"")</f>
        <v/>
      </c>
      <c r="D251" s="31"/>
      <c r="E251" s="32" t="str">
        <f>IFERROR(_xlfn.XLOOKUP($B251,Insumo[DESCRIPCION],Insumo[VALOR],,0),"")</f>
        <v/>
      </c>
      <c r="F251" s="33"/>
      <c r="G251" s="34" t="str">
        <f>IFERROR(IF(F251&gt;=0,D251*E251*(1+F251/100),ABS(D251*E251/F251)),"")</f>
        <v/>
      </c>
      <c r="H251" s="43" t="str">
        <f>IFERROR(G251*E244,"")</f>
        <v/>
      </c>
    </row>
    <row r="252" spans="1:11">
      <c r="A252" s="21"/>
      <c r="B252" s="22" t="s">
        <v>3731</v>
      </c>
      <c r="C252" s="23"/>
      <c r="D252" s="24"/>
      <c r="E252" s="25"/>
      <c r="F252" s="26"/>
      <c r="G252" s="27">
        <f>SUM(G253:G255)</f>
        <v>9955.7071116750049</v>
      </c>
      <c r="H252" s="44">
        <f>G252*E244</f>
        <v>0</v>
      </c>
    </row>
    <row r="253" spans="1:11">
      <c r="A253" s="28"/>
      <c r="B253" s="29" t="s">
        <v>3570</v>
      </c>
      <c r="C253" s="30" t="str">
        <f>IFERROR(_xlfn.XLOOKUP(B253,Equipo[DESCRIPCION],Equipo[UND],,0),"")</f>
        <v>%MO</v>
      </c>
      <c r="D253" s="31">
        <v>0.04</v>
      </c>
      <c r="E253" s="32">
        <f>IF(C253="%MO",G259,IFERROR(_xlfn.XLOOKUP($B253,Equipo[DESCRIPCION],Equipo[VALOR],,0),""))</f>
        <v>110618.96790750003</v>
      </c>
      <c r="F253" s="33"/>
      <c r="G253" s="34">
        <f>IFERROR(IF(F253&gt;=0,D253*E253*(1+F253/100),ABS(D253*E253/F253)),"")</f>
        <v>4424.7587163000017</v>
      </c>
      <c r="H253" s="43">
        <f>IFERROR(G253*E244,"")</f>
        <v>0</v>
      </c>
    </row>
    <row r="254" spans="1:11">
      <c r="A254" s="28"/>
      <c r="B254" s="29" t="s">
        <v>3626</v>
      </c>
      <c r="C254" s="30" t="str">
        <f>IFERROR(_xlfn.XLOOKUP(B254,Equipo[DESCRIPCION],Equipo[UND],,0),"")</f>
        <v>%MO</v>
      </c>
      <c r="D254" s="31">
        <v>0.05</v>
      </c>
      <c r="E254" s="32">
        <f>IF(C254="%MO",G260,IFERROR(_xlfn.XLOOKUP($B254,Equipo[DESCRIPCION],Equipo[VALOR],,0),""))</f>
        <v>110618.96790750003</v>
      </c>
      <c r="F254" s="33"/>
      <c r="G254" s="34">
        <f>IFERROR(IF(F254&gt;=0,D254*E254*(1+F254/100),ABS(D254*E254/F254)),"")</f>
        <v>5530.9483953750023</v>
      </c>
      <c r="H254" s="43">
        <f>IFERROR(G254*E244,"")</f>
        <v>0</v>
      </c>
    </row>
    <row r="255" spans="1:11">
      <c r="A255" s="28"/>
      <c r="B255" s="29"/>
      <c r="C255" s="30" t="str">
        <f>IFERROR(_xlfn.XLOOKUP(B255,Equipo[DESCRIPCION],Equipo[UND],,0),"")</f>
        <v/>
      </c>
      <c r="D255" s="31"/>
      <c r="E255" s="32" t="str">
        <f>IF(C255="%MO",G261,IFERROR(_xlfn.XLOOKUP($B255,Equipo[DESCRIPCION],Equipo[VALOR],,0),""))</f>
        <v/>
      </c>
      <c r="F255" s="33"/>
      <c r="G255" s="34" t="str">
        <f>IFERROR(IF(F255&gt;=0,D255*E255*(1+F255/100),ABS(D255*E255/F255)),"")</f>
        <v/>
      </c>
      <c r="H255" s="43" t="str">
        <f>IFERROR(G255*E244,"")</f>
        <v/>
      </c>
    </row>
    <row r="256" spans="1:11">
      <c r="A256" s="21"/>
      <c r="B256" s="22" t="s">
        <v>2533</v>
      </c>
      <c r="C256" s="23"/>
      <c r="D256" s="24"/>
      <c r="E256" s="25"/>
      <c r="F256" s="26"/>
      <c r="G256" s="27">
        <f>SUM(G257:G258)</f>
        <v>0</v>
      </c>
      <c r="H256" s="44">
        <f>G256*E244</f>
        <v>0</v>
      </c>
    </row>
    <row r="257" spans="1:11">
      <c r="A257" s="28"/>
      <c r="B257" s="29"/>
      <c r="C257" s="30" t="str">
        <f>IFERROR(_xlfn.XLOOKUP(B257,Transporte[DESCRIPCION],Transporte[UND],,0),"")</f>
        <v/>
      </c>
      <c r="D257" s="31"/>
      <c r="E257" s="32" t="str">
        <f>IFERROR(_xlfn.XLOOKUP($B257,Transporte[DESCRIPCION],Transporte[VALOR],,0),"")</f>
        <v/>
      </c>
      <c r="F257" s="33"/>
      <c r="G257" s="34" t="str">
        <f>IFERROR(IF(F257&gt;=0,D257*E257*(1+F257/100),ABS(D257*E257/F257)),"")</f>
        <v/>
      </c>
      <c r="H257" s="43" t="str">
        <f>IFERROR(G257*E244,"")</f>
        <v/>
      </c>
    </row>
    <row r="258" spans="1:11">
      <c r="A258" s="28"/>
      <c r="B258" s="29"/>
      <c r="C258" s="30" t="str">
        <f>IFERROR(_xlfn.XLOOKUP(B258,Transporte[DESCRIPCION],Transporte[UND],,0),"")</f>
        <v/>
      </c>
      <c r="D258" s="31"/>
      <c r="E258" s="32" t="str">
        <f>IFERROR(_xlfn.XLOOKUP($B258,Transporte[DESCRIPCION],Transporte[VALOR],,0),"")</f>
        <v/>
      </c>
      <c r="F258" s="33"/>
      <c r="G258" s="34" t="str">
        <f>IFERROR(IF(F258&gt;=0,D258*E258*(1+F258/100),ABS(D258*E258/F258)),"")</f>
        <v/>
      </c>
      <c r="H258" s="43" t="str">
        <f>IFERROR(G258*E244,"")</f>
        <v/>
      </c>
    </row>
    <row r="259" spans="1:11">
      <c r="A259" s="21"/>
      <c r="B259" s="22" t="s">
        <v>3732</v>
      </c>
      <c r="C259" s="23"/>
      <c r="D259" s="24"/>
      <c r="E259" s="25"/>
      <c r="F259" s="26"/>
      <c r="G259" s="27">
        <f>SUM(G260:G262)</f>
        <v>110618.96790750003</v>
      </c>
      <c r="H259" s="44">
        <f>G259*E244</f>
        <v>0</v>
      </c>
    </row>
    <row r="260" spans="1:11">
      <c r="A260" s="28"/>
      <c r="B260" s="29" t="s">
        <v>3713</v>
      </c>
      <c r="C260" s="30" t="str">
        <f>IFERROR(_xlfn.XLOOKUP(B260,MObra[DESCRIPCION],MObra[UN],,0),"")</f>
        <v>día</v>
      </c>
      <c r="D260" s="31">
        <v>1</v>
      </c>
      <c r="E260" s="32">
        <f>IFERROR(_xlfn.XLOOKUP($B260,MObra[DESCRIPCION],MObra[VALOR UNIT],,0),"")</f>
        <v>663713.80744500016</v>
      </c>
      <c r="F260" s="33">
        <v>-6</v>
      </c>
      <c r="G260" s="34">
        <f>IFERROR(IF(F260&gt;=0,D260*E260*(1+F260/100),ABS(D260*E260/F260)),"")</f>
        <v>110618.96790750003</v>
      </c>
      <c r="H260" s="43">
        <f>IFERROR(G260*E244,"")</f>
        <v>0</v>
      </c>
    </row>
    <row r="261" spans="1:11">
      <c r="A261" s="28"/>
      <c r="B261" s="29"/>
      <c r="C261" s="30" t="str">
        <f>IFERROR(_xlfn.XLOOKUP(B261,MObra[DESCRIPCION],MObra[UN],,0),"")</f>
        <v/>
      </c>
      <c r="D261" s="31"/>
      <c r="E261" s="32" t="str">
        <f>IFERROR(_xlfn.XLOOKUP($B261,MObra[DESCRIPCION],MObra[VALOR UNIT],,0),"")</f>
        <v/>
      </c>
      <c r="F261" s="33"/>
      <c r="G261" s="34" t="str">
        <f>IFERROR(IF(F261&gt;=0,D261*E261*(1+F261/100),ABS(D261*E261/F261)),"")</f>
        <v/>
      </c>
      <c r="H261" s="43" t="str">
        <f>IFERROR(G261*E244,"")</f>
        <v/>
      </c>
    </row>
    <row r="262" spans="1:11">
      <c r="A262" s="35"/>
      <c r="B262" s="36"/>
      <c r="C262" s="37" t="str">
        <f>IFERROR(_xlfn.XLOOKUP(B262,MObra[DESCRIPCION],MObra[UN],,0),"")</f>
        <v/>
      </c>
      <c r="D262" s="38"/>
      <c r="E262" s="39" t="str">
        <f>IFERROR(_xlfn.XLOOKUP($B262,MObra[DESCRIPCION],MObra[VALOR UNIT],,0),"")</f>
        <v/>
      </c>
      <c r="F262" s="40"/>
      <c r="G262" s="41" t="str">
        <f>IFERROR(IF(F262&gt;=0,D262*E262*(1+F262/100),ABS(D262*E262/F262)),"")</f>
        <v/>
      </c>
      <c r="H262" s="42" t="str">
        <f>IFERROR(G262*E244,"")</f>
        <v/>
      </c>
    </row>
    <row r="264" spans="1:11">
      <c r="A264" s="6" t="s">
        <v>2064</v>
      </c>
      <c r="B264" s="7" t="str">
        <f>VLOOKUP($A264,Presupuesto!$A:$D,2,FALSE())</f>
        <v>Enrocado base gavión sin concreto</v>
      </c>
      <c r="C264" s="8" t="str">
        <f>VLOOKUP($A264,Presupuesto!$A:$D,3,FALSE())</f>
        <v>M3</v>
      </c>
      <c r="D264" s="9"/>
      <c r="E264" s="10">
        <f>VLOOKUP($A264,Presupuesto!$A:$D,4,FALSE())</f>
        <v>0</v>
      </c>
      <c r="F264" s="11" t="s">
        <v>2589</v>
      </c>
      <c r="G264" s="12">
        <f>SUM(G266:G282)/2</f>
        <v>405744.83226640068</v>
      </c>
      <c r="H264" s="13">
        <f>ROUND(SUM(H266:H282),0)/2</f>
        <v>0</v>
      </c>
      <c r="I264" s="10">
        <f>VLOOKUP(A264,Presupuesto!$A:$F,6,0)</f>
        <v>0</v>
      </c>
      <c r="J264" s="10">
        <f>+H264-I264</f>
        <v>0</v>
      </c>
      <c r="K264" s="46">
        <f>+H264-G264*E264</f>
        <v>0</v>
      </c>
    </row>
    <row r="265" spans="1:11">
      <c r="A265" s="14"/>
      <c r="B265" s="15" t="s">
        <v>2586</v>
      </c>
      <c r="C265" s="15" t="s">
        <v>5</v>
      </c>
      <c r="D265" s="16" t="s">
        <v>6</v>
      </c>
      <c r="E265" s="17" t="s">
        <v>7</v>
      </c>
      <c r="F265" s="18" t="s">
        <v>3728</v>
      </c>
      <c r="G265" s="19" t="s">
        <v>3729</v>
      </c>
      <c r="H265" s="20" t="s">
        <v>3797</v>
      </c>
    </row>
    <row r="266" spans="1:11">
      <c r="A266" s="21"/>
      <c r="B266" s="22" t="s">
        <v>3730</v>
      </c>
      <c r="C266" s="23"/>
      <c r="D266" s="24"/>
      <c r="E266" s="25"/>
      <c r="F266" s="26"/>
      <c r="G266" s="27">
        <f>SUM(G267:G271)</f>
        <v>347044.00363864447</v>
      </c>
      <c r="H266" s="27">
        <f>IFERROR(G266*E264,"")</f>
        <v>0</v>
      </c>
    </row>
    <row r="267" spans="1:11">
      <c r="A267" s="28"/>
      <c r="B267" s="29" t="s">
        <v>3239</v>
      </c>
      <c r="C267" s="30" t="str">
        <f>IFERROR(_xlfn.XLOOKUP(B267,Insumo[DESCRIPCION],Insumo[UND],,0),"")</f>
        <v>M3</v>
      </c>
      <c r="D267" s="31">
        <v>0.41</v>
      </c>
      <c r="E267" s="32">
        <f>IFERROR(_xlfn.XLOOKUP($B267,Insumo[DESCRIPCION],Insumo[VALOR],,0),"")</f>
        <v>521159.50227762427</v>
      </c>
      <c r="F267" s="33">
        <v>5</v>
      </c>
      <c r="G267" s="34">
        <f>IFERROR(IF(F267&gt;=0,D267*E267*(1+F267/100),ABS(D267*E267/F267)),"")</f>
        <v>224359.16573051724</v>
      </c>
      <c r="H267" s="43">
        <f>IFERROR(G267*E264,"")</f>
        <v>0</v>
      </c>
    </row>
    <row r="268" spans="1:11">
      <c r="A268" s="28"/>
      <c r="B268" s="29" t="s">
        <v>3201</v>
      </c>
      <c r="C268" s="30" t="str">
        <f>IFERROR(_xlfn.XLOOKUP(B268,Insumo[DESCRIPCION],Insumo[UND],,0),"")</f>
        <v>M3</v>
      </c>
      <c r="D268" s="31">
        <v>0.6</v>
      </c>
      <c r="E268" s="32">
        <f>IFERROR(_xlfn.XLOOKUP($B268,Insumo[DESCRIPCION],Insumo[VALOR],,0),"")</f>
        <v>113662.5</v>
      </c>
      <c r="F268" s="33">
        <v>5</v>
      </c>
      <c r="G268" s="34">
        <f>IFERROR(IF(F268&gt;=0,D268*E268*(1+F268/100),ABS(D268*E268/F268)),"")</f>
        <v>71607.375</v>
      </c>
      <c r="H268" s="43">
        <f>IFERROR(G268*E264,"")</f>
        <v>0</v>
      </c>
    </row>
    <row r="269" spans="1:11">
      <c r="A269" s="28"/>
      <c r="B269" s="29" t="s">
        <v>2954</v>
      </c>
      <c r="C269" s="30" t="str">
        <f>IFERROR(_xlfn.XLOOKUP(B269,Insumo[DESCRIPCION],Insumo[UND],,0),"")</f>
        <v>M2</v>
      </c>
      <c r="D269" s="31">
        <v>0.5</v>
      </c>
      <c r="E269" s="32">
        <f>IFERROR(_xlfn.XLOOKUP($B269,Insumo[DESCRIPCION],Insumo[VALOR],,0),"")</f>
        <v>102154.92581625449</v>
      </c>
      <c r="F269" s="33"/>
      <c r="G269" s="34">
        <f>IFERROR(IF(F269&gt;=0,D269*E269*(1+F269/100),ABS(D269*E269/F269)),"")</f>
        <v>51077.462908127243</v>
      </c>
      <c r="H269" s="43">
        <f>IFERROR(G269*E264,"")</f>
        <v>0</v>
      </c>
    </row>
    <row r="270" spans="1:11">
      <c r="A270" s="28"/>
      <c r="B270" s="29"/>
      <c r="C270" s="30" t="str">
        <f>IFERROR(_xlfn.XLOOKUP(B270,Insumo[DESCRIPCION],Insumo[UND],,0),"")</f>
        <v/>
      </c>
      <c r="D270" s="31"/>
      <c r="E270" s="32" t="str">
        <f>IFERROR(_xlfn.XLOOKUP($B270,Insumo[DESCRIPCION],Insumo[VALOR],,0),"")</f>
        <v/>
      </c>
      <c r="F270" s="33"/>
      <c r="G270" s="34" t="str">
        <f>IFERROR(IF(F270&gt;=0,D270*E270*(1+F270/100),ABS(D270*E270/F270)),"")</f>
        <v/>
      </c>
      <c r="H270" s="43" t="str">
        <f>IFERROR(G270*E264,"")</f>
        <v/>
      </c>
    </row>
    <row r="271" spans="1:11">
      <c r="A271" s="28"/>
      <c r="B271" s="29"/>
      <c r="C271" s="30" t="str">
        <f>IFERROR(_xlfn.XLOOKUP(B271,Insumo[DESCRIPCION],Insumo[UND],,0),"")</f>
        <v/>
      </c>
      <c r="D271" s="31"/>
      <c r="E271" s="32" t="str">
        <f>IFERROR(_xlfn.XLOOKUP($B271,Insumo[DESCRIPCION],Insumo[VALOR],,0),"")</f>
        <v/>
      </c>
      <c r="F271" s="33"/>
      <c r="G271" s="34" t="str">
        <f>IFERROR(IF(F271&gt;=0,D271*E271*(1+F271/100),ABS(D271*E271/F271)),"")</f>
        <v/>
      </c>
      <c r="H271" s="43" t="str">
        <f>IFERROR(G271*E264,"")</f>
        <v/>
      </c>
    </row>
    <row r="272" spans="1:11">
      <c r="A272" s="21"/>
      <c r="B272" s="22" t="s">
        <v>3731</v>
      </c>
      <c r="C272" s="23"/>
      <c r="D272" s="24"/>
      <c r="E272" s="25"/>
      <c r="F272" s="26"/>
      <c r="G272" s="27">
        <f>SUM(G273:G275)</f>
        <v>4846.8574096312504</v>
      </c>
      <c r="H272" s="44">
        <f>G272*E264</f>
        <v>0</v>
      </c>
    </row>
    <row r="273" spans="1:11">
      <c r="A273" s="28"/>
      <c r="B273" s="29" t="s">
        <v>3570</v>
      </c>
      <c r="C273" s="30" t="str">
        <f>IFERROR(_xlfn.XLOOKUP(B273,Equipo[DESCRIPCION],Equipo[UND],,0),"")</f>
        <v>%MO</v>
      </c>
      <c r="D273" s="31">
        <v>0.04</v>
      </c>
      <c r="E273" s="32">
        <f>IF(C273="%MO",G279,IFERROR(_xlfn.XLOOKUP($B273,Equipo[DESCRIPCION],Equipo[VALOR],,0),""))</f>
        <v>53853.971218125007</v>
      </c>
      <c r="F273" s="33"/>
      <c r="G273" s="34">
        <f>IFERROR(IF(F273&gt;=0,D273*E273*(1+F273/100),ABS(D273*E273/F273)),"")</f>
        <v>2154.1588487250001</v>
      </c>
      <c r="H273" s="43">
        <f>IFERROR(G273*E264,"")</f>
        <v>0</v>
      </c>
    </row>
    <row r="274" spans="1:11">
      <c r="A274" s="28"/>
      <c r="B274" s="29" t="s">
        <v>3626</v>
      </c>
      <c r="C274" s="30" t="str">
        <f>IFERROR(_xlfn.XLOOKUP(B274,Equipo[DESCRIPCION],Equipo[UND],,0),"")</f>
        <v>%MO</v>
      </c>
      <c r="D274" s="31">
        <v>0.05</v>
      </c>
      <c r="E274" s="32">
        <f>IF(C274="%MO",G280,IFERROR(_xlfn.XLOOKUP($B274,Equipo[DESCRIPCION],Equipo[VALOR],,0),""))</f>
        <v>53853.971218125007</v>
      </c>
      <c r="F274" s="33"/>
      <c r="G274" s="34">
        <f>IFERROR(IF(F274&gt;=0,D274*E274*(1+F274/100),ABS(D274*E274/F274)),"")</f>
        <v>2692.6985609062503</v>
      </c>
      <c r="H274" s="43">
        <f>IFERROR(G274*E264,"")</f>
        <v>0</v>
      </c>
    </row>
    <row r="275" spans="1:11">
      <c r="A275" s="28"/>
      <c r="B275" s="29"/>
      <c r="C275" s="30" t="str">
        <f>IFERROR(_xlfn.XLOOKUP(B275,Equipo[DESCRIPCION],Equipo[UND],,0),"")</f>
        <v/>
      </c>
      <c r="D275" s="31"/>
      <c r="E275" s="32" t="str">
        <f>IF(C275="%MO",G281,IFERROR(_xlfn.XLOOKUP($B275,Equipo[DESCRIPCION],Equipo[VALOR],,0),""))</f>
        <v/>
      </c>
      <c r="F275" s="33"/>
      <c r="G275" s="34" t="str">
        <f>IFERROR(IF(F275&gt;=0,D275*E275*(1+F275/100),ABS(D275*E275/F275)),"")</f>
        <v/>
      </c>
      <c r="H275" s="43" t="str">
        <f>IFERROR(G275*E264,"")</f>
        <v/>
      </c>
    </row>
    <row r="276" spans="1:11">
      <c r="A276" s="21"/>
      <c r="B276" s="22" t="s">
        <v>2533</v>
      </c>
      <c r="C276" s="23"/>
      <c r="D276" s="24"/>
      <c r="E276" s="25"/>
      <c r="F276" s="26"/>
      <c r="G276" s="27">
        <f>SUM(G277:G278)</f>
        <v>0</v>
      </c>
      <c r="H276" s="44">
        <f>G276*E264</f>
        <v>0</v>
      </c>
    </row>
    <row r="277" spans="1:11">
      <c r="A277" s="28"/>
      <c r="B277" s="29"/>
      <c r="C277" s="30" t="str">
        <f>IFERROR(_xlfn.XLOOKUP(B277,Transporte[DESCRIPCION],Transporte[UND],,0),"")</f>
        <v/>
      </c>
      <c r="D277" s="31"/>
      <c r="E277" s="32" t="str">
        <f>IFERROR(_xlfn.XLOOKUP($B277,Transporte[DESCRIPCION],Transporte[VALOR],,0),"")</f>
        <v/>
      </c>
      <c r="F277" s="33"/>
      <c r="G277" s="34" t="str">
        <f>IFERROR(IF(F277&gt;=0,D277*E277*(1+F277/100),ABS(D277*E277/F277)),"")</f>
        <v/>
      </c>
      <c r="H277" s="43" t="str">
        <f>IFERROR(G277*E264,"")</f>
        <v/>
      </c>
    </row>
    <row r="278" spans="1:11">
      <c r="A278" s="28"/>
      <c r="B278" s="29"/>
      <c r="C278" s="30" t="str">
        <f>IFERROR(_xlfn.XLOOKUP(B278,Transporte[DESCRIPCION],Transporte[UND],,0),"")</f>
        <v/>
      </c>
      <c r="D278" s="31"/>
      <c r="E278" s="32" t="str">
        <f>IFERROR(_xlfn.XLOOKUP($B278,Transporte[DESCRIPCION],Transporte[VALOR],,0),"")</f>
        <v/>
      </c>
      <c r="F278" s="33"/>
      <c r="G278" s="34" t="str">
        <f>IFERROR(IF(F278&gt;=0,D278*E278*(1+F278/100),ABS(D278*E278/F278)),"")</f>
        <v/>
      </c>
      <c r="H278" s="43" t="str">
        <f>IFERROR(G278*E264,"")</f>
        <v/>
      </c>
    </row>
    <row r="279" spans="1:11">
      <c r="A279" s="21"/>
      <c r="B279" s="22" t="s">
        <v>3732</v>
      </c>
      <c r="C279" s="23"/>
      <c r="D279" s="24"/>
      <c r="E279" s="25"/>
      <c r="F279" s="26"/>
      <c r="G279" s="27">
        <f>SUM(G280:G282)</f>
        <v>53853.971218125007</v>
      </c>
      <c r="H279" s="44">
        <f>G279*E264</f>
        <v>0</v>
      </c>
    </row>
    <row r="280" spans="1:11">
      <c r="A280" s="28"/>
      <c r="B280" s="29" t="s">
        <v>3711</v>
      </c>
      <c r="C280" s="30" t="str">
        <f>IFERROR(_xlfn.XLOOKUP(B280,MObra[DESCRIPCION],MObra[UN],,0),"")</f>
        <v>día</v>
      </c>
      <c r="D280" s="31">
        <v>1</v>
      </c>
      <c r="E280" s="32">
        <f>IFERROR(_xlfn.XLOOKUP($B280,MObra[DESCRIPCION],MObra[VALOR UNIT],,0),"")</f>
        <v>430831.76974500006</v>
      </c>
      <c r="F280" s="33">
        <v>-8</v>
      </c>
      <c r="G280" s="34">
        <f>IFERROR(IF(F280&gt;=0,D280*E280*(1+F280/100),ABS(D280*E280/F280)),"")</f>
        <v>53853.971218125007</v>
      </c>
      <c r="H280" s="43">
        <f>IFERROR(G280*E264,"")</f>
        <v>0</v>
      </c>
    </row>
    <row r="281" spans="1:11">
      <c r="A281" s="28"/>
      <c r="B281" s="29"/>
      <c r="C281" s="30" t="str">
        <f>IFERROR(_xlfn.XLOOKUP(B281,MObra[DESCRIPCION],MObra[UN],,0),"")</f>
        <v/>
      </c>
      <c r="D281" s="31"/>
      <c r="E281" s="32" t="str">
        <f>IFERROR(_xlfn.XLOOKUP($B281,MObra[DESCRIPCION],MObra[VALOR UNIT],,0),"")</f>
        <v/>
      </c>
      <c r="F281" s="33"/>
      <c r="G281" s="34" t="str">
        <f>IFERROR(IF(F281&gt;=0,D281*E281*(1+F281/100),ABS(D281*E281/F281)),"")</f>
        <v/>
      </c>
      <c r="H281" s="43" t="str">
        <f>IFERROR(G281*E264,"")</f>
        <v/>
      </c>
    </row>
    <row r="282" spans="1:11">
      <c r="A282" s="35"/>
      <c r="B282" s="36"/>
      <c r="C282" s="37" t="str">
        <f>IFERROR(_xlfn.XLOOKUP(B282,MObra[DESCRIPCION],MObra[UN],,0),"")</f>
        <v/>
      </c>
      <c r="D282" s="38"/>
      <c r="E282" s="39" t="str">
        <f>IFERROR(_xlfn.XLOOKUP($B282,MObra[DESCRIPCION],MObra[VALOR UNIT],,0),"")</f>
        <v/>
      </c>
      <c r="F282" s="40"/>
      <c r="G282" s="41" t="str">
        <f>IFERROR(IF(F282&gt;=0,D282*E282*(1+F282/100),ABS(D282*E282/F282)),"")</f>
        <v/>
      </c>
      <c r="H282" s="42" t="str">
        <f>IFERROR(G282*E264,"")</f>
        <v/>
      </c>
    </row>
    <row r="284" spans="1:11">
      <c r="A284" s="6" t="s">
        <v>2066</v>
      </c>
      <c r="B284" s="7" t="str">
        <f>VLOOKUP($A284,Presupuesto!$A:$D,2,FALSE())</f>
        <v>Enrocado protección salida canal</v>
      </c>
      <c r="C284" s="8" t="str">
        <f>VLOOKUP($A284,Presupuesto!$A:$D,3,FALSE())</f>
        <v>M3</v>
      </c>
      <c r="D284" s="9"/>
      <c r="E284" s="10">
        <f>VLOOKUP($A284,Presupuesto!$A:$D,4,FALSE())</f>
        <v>0</v>
      </c>
      <c r="F284" s="11" t="s">
        <v>2589</v>
      </c>
      <c r="G284" s="12">
        <f>SUM(G286:G302)/2</f>
        <v>476389.23805044673</v>
      </c>
      <c r="H284" s="13">
        <f>ROUND(SUM(H286:H302),0)/2</f>
        <v>0</v>
      </c>
      <c r="I284" s="10">
        <f>VLOOKUP(A284,Presupuesto!$A:$F,6,0)</f>
        <v>0</v>
      </c>
      <c r="J284" s="10">
        <f>+H284-I284</f>
        <v>0</v>
      </c>
      <c r="K284" s="46">
        <f>+H284-G284*E284</f>
        <v>0</v>
      </c>
    </row>
    <row r="285" spans="1:11">
      <c r="A285" s="14"/>
      <c r="B285" s="15" t="s">
        <v>2586</v>
      </c>
      <c r="C285" s="15" t="s">
        <v>5</v>
      </c>
      <c r="D285" s="16" t="s">
        <v>6</v>
      </c>
      <c r="E285" s="17" t="s">
        <v>7</v>
      </c>
      <c r="F285" s="18" t="s">
        <v>3728</v>
      </c>
      <c r="G285" s="19" t="s">
        <v>3729</v>
      </c>
      <c r="H285" s="20" t="s">
        <v>3797</v>
      </c>
    </row>
    <row r="286" spans="1:11">
      <c r="A286" s="21"/>
      <c r="B286" s="22" t="s">
        <v>3730</v>
      </c>
      <c r="C286" s="23"/>
      <c r="D286" s="24"/>
      <c r="E286" s="25"/>
      <c r="F286" s="26"/>
      <c r="G286" s="27">
        <f>SUM(G287:G291)</f>
        <v>398121.4665467717</v>
      </c>
      <c r="H286" s="27">
        <f>IFERROR(G286*E284,"")</f>
        <v>0</v>
      </c>
    </row>
    <row r="287" spans="1:11">
      <c r="A287" s="28"/>
      <c r="B287" s="29" t="s">
        <v>3239</v>
      </c>
      <c r="C287" s="30" t="str">
        <f>IFERROR(_xlfn.XLOOKUP(B287,Insumo[DESCRIPCION],Insumo[UND],,0),"")</f>
        <v>M3</v>
      </c>
      <c r="D287" s="31">
        <v>0.41</v>
      </c>
      <c r="E287" s="32">
        <f>IFERROR(_xlfn.XLOOKUP($B287,Insumo[DESCRIPCION],Insumo[VALOR],,0),"")</f>
        <v>521159.50227762427</v>
      </c>
      <c r="F287" s="33">
        <v>5</v>
      </c>
      <c r="G287" s="34">
        <f>IFERROR(IF(F287&gt;=0,D287*E287*(1+F287/100),ABS(D287*E287/F287)),"")</f>
        <v>224359.16573051724</v>
      </c>
      <c r="H287" s="43">
        <f>IFERROR(G287*E284,"")</f>
        <v>0</v>
      </c>
    </row>
    <row r="288" spans="1:11">
      <c r="A288" s="28"/>
      <c r="B288" s="29" t="s">
        <v>3201</v>
      </c>
      <c r="C288" s="30" t="str">
        <f>IFERROR(_xlfn.XLOOKUP(B288,Insumo[DESCRIPCION],Insumo[UND],,0),"")</f>
        <v>M3</v>
      </c>
      <c r="D288" s="31">
        <v>0.6</v>
      </c>
      <c r="E288" s="32">
        <f>IFERROR(_xlfn.XLOOKUP($B288,Insumo[DESCRIPCION],Insumo[VALOR],,0),"")</f>
        <v>113662.5</v>
      </c>
      <c r="F288" s="33">
        <v>5</v>
      </c>
      <c r="G288" s="34">
        <f>IFERROR(IF(F288&gt;=0,D288*E288*(1+F288/100),ABS(D288*E288/F288)),"")</f>
        <v>71607.375</v>
      </c>
      <c r="H288" s="43">
        <f>IFERROR(G288*E284,"")</f>
        <v>0</v>
      </c>
    </row>
    <row r="289" spans="1:11">
      <c r="A289" s="28"/>
      <c r="B289" s="29" t="s">
        <v>2954</v>
      </c>
      <c r="C289" s="30" t="str">
        <f>IFERROR(_xlfn.XLOOKUP(B289,Insumo[DESCRIPCION],Insumo[UND],,0),"")</f>
        <v>M2</v>
      </c>
      <c r="D289" s="31">
        <v>1</v>
      </c>
      <c r="E289" s="32">
        <f>IFERROR(_xlfn.XLOOKUP($B289,Insumo[DESCRIPCION],Insumo[VALOR],,0),"")</f>
        <v>102154.92581625449</v>
      </c>
      <c r="F289" s="33"/>
      <c r="G289" s="34">
        <f>IFERROR(IF(F289&gt;=0,D289*E289*(1+F289/100),ABS(D289*E289/F289)),"")</f>
        <v>102154.92581625449</v>
      </c>
      <c r="H289" s="43">
        <f>IFERROR(G289*E284,"")</f>
        <v>0</v>
      </c>
    </row>
    <row r="290" spans="1:11">
      <c r="A290" s="28"/>
      <c r="B290" s="29"/>
      <c r="C290" s="30" t="str">
        <f>IFERROR(_xlfn.XLOOKUP(B290,Insumo[DESCRIPCION],Insumo[UND],,0),"")</f>
        <v/>
      </c>
      <c r="D290" s="31"/>
      <c r="E290" s="32" t="str">
        <f>IFERROR(_xlfn.XLOOKUP($B290,Insumo[DESCRIPCION],Insumo[VALOR],,0),"")</f>
        <v/>
      </c>
      <c r="F290" s="33"/>
      <c r="G290" s="34" t="str">
        <f>IFERROR(IF(F290&gt;=0,D290*E290*(1+F290/100),ABS(D290*E290/F290)),"")</f>
        <v/>
      </c>
      <c r="H290" s="43" t="str">
        <f>IFERROR(G290*E284,"")</f>
        <v/>
      </c>
    </row>
    <row r="291" spans="1:11">
      <c r="A291" s="28"/>
      <c r="B291" s="29"/>
      <c r="C291" s="30" t="str">
        <f>IFERROR(_xlfn.XLOOKUP(B291,Insumo[DESCRIPCION],Insumo[UND],,0),"")</f>
        <v/>
      </c>
      <c r="D291" s="31"/>
      <c r="E291" s="32" t="str">
        <f>IFERROR(_xlfn.XLOOKUP($B291,Insumo[DESCRIPCION],Insumo[VALOR],,0),"")</f>
        <v/>
      </c>
      <c r="F291" s="33"/>
      <c r="G291" s="34" t="str">
        <f>IFERROR(IF(F291&gt;=0,D291*E291*(1+F291/100),ABS(D291*E291/F291)),"")</f>
        <v/>
      </c>
      <c r="H291" s="43" t="str">
        <f>IFERROR(G291*E284,"")</f>
        <v/>
      </c>
    </row>
    <row r="292" spans="1:11">
      <c r="A292" s="21"/>
      <c r="B292" s="22" t="s">
        <v>3731</v>
      </c>
      <c r="C292" s="23"/>
      <c r="D292" s="24"/>
      <c r="E292" s="25"/>
      <c r="F292" s="26"/>
      <c r="G292" s="27">
        <f>SUM(G293:G295)</f>
        <v>6462.4765461750012</v>
      </c>
      <c r="H292" s="44">
        <f>G292*E284</f>
        <v>0</v>
      </c>
    </row>
    <row r="293" spans="1:11">
      <c r="A293" s="28"/>
      <c r="B293" s="29" t="s">
        <v>3570</v>
      </c>
      <c r="C293" s="30" t="str">
        <f>IFERROR(_xlfn.XLOOKUP(B293,Equipo[DESCRIPCION],Equipo[UND],,0),"")</f>
        <v>%MO</v>
      </c>
      <c r="D293" s="31">
        <v>0.04</v>
      </c>
      <c r="E293" s="32">
        <f>IF(C293="%MO",G299,IFERROR(_xlfn.XLOOKUP($B293,Equipo[DESCRIPCION],Equipo[VALOR],,0),""))</f>
        <v>71805.294957500009</v>
      </c>
      <c r="F293" s="33"/>
      <c r="G293" s="34">
        <f>IFERROR(IF(F293&gt;=0,D293*E293*(1+F293/100),ABS(D293*E293/F293)),"")</f>
        <v>2872.2117983000003</v>
      </c>
      <c r="H293" s="43">
        <f>IFERROR(G293*E284,"")</f>
        <v>0</v>
      </c>
    </row>
    <row r="294" spans="1:11">
      <c r="A294" s="28"/>
      <c r="B294" s="29" t="s">
        <v>3626</v>
      </c>
      <c r="C294" s="30" t="str">
        <f>IFERROR(_xlfn.XLOOKUP(B294,Equipo[DESCRIPCION],Equipo[UND],,0),"")</f>
        <v>%MO</v>
      </c>
      <c r="D294" s="31">
        <v>0.05</v>
      </c>
      <c r="E294" s="32">
        <f>IF(C294="%MO",G300,IFERROR(_xlfn.XLOOKUP($B294,Equipo[DESCRIPCION],Equipo[VALOR],,0),""))</f>
        <v>71805.294957500009</v>
      </c>
      <c r="F294" s="33"/>
      <c r="G294" s="34">
        <f>IFERROR(IF(F294&gt;=0,D294*E294*(1+F294/100),ABS(D294*E294/F294)),"")</f>
        <v>3590.2647478750005</v>
      </c>
      <c r="H294" s="43">
        <f>IFERROR(G294*E284,"")</f>
        <v>0</v>
      </c>
    </row>
    <row r="295" spans="1:11">
      <c r="A295" s="28"/>
      <c r="B295" s="29"/>
      <c r="C295" s="30" t="str">
        <f>IFERROR(_xlfn.XLOOKUP(B295,Equipo[DESCRIPCION],Equipo[UND],,0),"")</f>
        <v/>
      </c>
      <c r="D295" s="31"/>
      <c r="E295" s="32" t="str">
        <f>IF(C295="%MO",G301,IFERROR(_xlfn.XLOOKUP($B295,Equipo[DESCRIPCION],Equipo[VALOR],,0),""))</f>
        <v/>
      </c>
      <c r="F295" s="33"/>
      <c r="G295" s="34" t="str">
        <f>IFERROR(IF(F295&gt;=0,D295*E295*(1+F295/100),ABS(D295*E295/F295)),"")</f>
        <v/>
      </c>
      <c r="H295" s="43" t="str">
        <f>IFERROR(G295*E284,"")</f>
        <v/>
      </c>
    </row>
    <row r="296" spans="1:11">
      <c r="A296" s="21"/>
      <c r="B296" s="22" t="s">
        <v>2533</v>
      </c>
      <c r="C296" s="23"/>
      <c r="D296" s="24"/>
      <c r="E296" s="25"/>
      <c r="F296" s="26"/>
      <c r="G296" s="27">
        <f>SUM(G297:G298)</f>
        <v>0</v>
      </c>
      <c r="H296" s="44">
        <f>G296*E284</f>
        <v>0</v>
      </c>
    </row>
    <row r="297" spans="1:11">
      <c r="A297" s="28"/>
      <c r="B297" s="29"/>
      <c r="C297" s="30" t="str">
        <f>IFERROR(_xlfn.XLOOKUP(B297,Transporte[DESCRIPCION],Transporte[UND],,0),"")</f>
        <v/>
      </c>
      <c r="D297" s="31"/>
      <c r="E297" s="32" t="str">
        <f>IFERROR(_xlfn.XLOOKUP($B297,Transporte[DESCRIPCION],Transporte[VALOR],,0),"")</f>
        <v/>
      </c>
      <c r="F297" s="33"/>
      <c r="G297" s="34" t="str">
        <f>IFERROR(IF(F297&gt;=0,D297*E297*(1+F297/100),ABS(D297*E297/F297)),"")</f>
        <v/>
      </c>
      <c r="H297" s="43" t="str">
        <f>IFERROR(G297*E284,"")</f>
        <v/>
      </c>
    </row>
    <row r="298" spans="1:11">
      <c r="A298" s="28"/>
      <c r="B298" s="29"/>
      <c r="C298" s="30" t="str">
        <f>IFERROR(_xlfn.XLOOKUP(B298,Transporte[DESCRIPCION],Transporte[UND],,0),"")</f>
        <v/>
      </c>
      <c r="D298" s="31"/>
      <c r="E298" s="32" t="str">
        <f>IFERROR(_xlfn.XLOOKUP($B298,Transporte[DESCRIPCION],Transporte[VALOR],,0),"")</f>
        <v/>
      </c>
      <c r="F298" s="33"/>
      <c r="G298" s="34" t="str">
        <f>IFERROR(IF(F298&gt;=0,D298*E298*(1+F298/100),ABS(D298*E298/F298)),"")</f>
        <v/>
      </c>
      <c r="H298" s="43" t="str">
        <f>IFERROR(G298*E284,"")</f>
        <v/>
      </c>
    </row>
    <row r="299" spans="1:11">
      <c r="A299" s="21"/>
      <c r="B299" s="22" t="s">
        <v>3732</v>
      </c>
      <c r="C299" s="23"/>
      <c r="D299" s="24"/>
      <c r="E299" s="25"/>
      <c r="F299" s="26"/>
      <c r="G299" s="27">
        <f>SUM(G300:G302)</f>
        <v>71805.294957500009</v>
      </c>
      <c r="H299" s="44">
        <f>G299*E284</f>
        <v>0</v>
      </c>
    </row>
    <row r="300" spans="1:11">
      <c r="A300" s="28"/>
      <c r="B300" s="29" t="s">
        <v>3711</v>
      </c>
      <c r="C300" s="30" t="str">
        <f>IFERROR(_xlfn.XLOOKUP(B300,MObra[DESCRIPCION],MObra[UN],,0),"")</f>
        <v>día</v>
      </c>
      <c r="D300" s="31">
        <v>1</v>
      </c>
      <c r="E300" s="32">
        <f>IFERROR(_xlfn.XLOOKUP($B300,MObra[DESCRIPCION],MObra[VALOR UNIT],,0),"")</f>
        <v>430831.76974500006</v>
      </c>
      <c r="F300" s="33">
        <v>-6</v>
      </c>
      <c r="G300" s="34">
        <f>IFERROR(IF(F300&gt;=0,D300*E300*(1+F300/100),ABS(D300*E300/F300)),"")</f>
        <v>71805.294957500009</v>
      </c>
      <c r="H300" s="43">
        <f>IFERROR(G300*E284,"")</f>
        <v>0</v>
      </c>
    </row>
    <row r="301" spans="1:11">
      <c r="A301" s="28"/>
      <c r="B301" s="29"/>
      <c r="C301" s="30" t="str">
        <f>IFERROR(_xlfn.XLOOKUP(B301,MObra[DESCRIPCION],MObra[UN],,0),"")</f>
        <v/>
      </c>
      <c r="D301" s="31"/>
      <c r="E301" s="32" t="str">
        <f>IFERROR(_xlfn.XLOOKUP($B301,MObra[DESCRIPCION],MObra[VALOR UNIT],,0),"")</f>
        <v/>
      </c>
      <c r="F301" s="33"/>
      <c r="G301" s="34" t="str">
        <f>IFERROR(IF(F301&gt;=0,D301*E301*(1+F301/100),ABS(D301*E301/F301)),"")</f>
        <v/>
      </c>
      <c r="H301" s="43" t="str">
        <f>IFERROR(G301*E284,"")</f>
        <v/>
      </c>
    </row>
    <row r="302" spans="1:11">
      <c r="A302" s="35"/>
      <c r="B302" s="36"/>
      <c r="C302" s="37" t="str">
        <f>IFERROR(_xlfn.XLOOKUP(B302,MObra[DESCRIPCION],MObra[UN],,0),"")</f>
        <v/>
      </c>
      <c r="D302" s="38"/>
      <c r="E302" s="39" t="str">
        <f>IFERROR(_xlfn.XLOOKUP($B302,MObra[DESCRIPCION],MObra[VALOR UNIT],,0),"")</f>
        <v/>
      </c>
      <c r="F302" s="40"/>
      <c r="G302" s="41" t="str">
        <f>IFERROR(IF(F302&gt;=0,D302*E302*(1+F302/100),ABS(D302*E302/F302)),"")</f>
        <v/>
      </c>
      <c r="H302" s="42" t="str">
        <f>IFERROR(G302*E284,"")</f>
        <v/>
      </c>
    </row>
    <row r="304" spans="1:11">
      <c r="A304" s="6" t="s">
        <v>2068</v>
      </c>
      <c r="B304" s="7" t="str">
        <f>VLOOKUP($A304,Presupuesto!$A:$D,2,FALSE())</f>
        <v>Enrocado/pedraplen concreto 24 Mpa, piedra 60% Ø 0,20 - 0,30 m</v>
      </c>
      <c r="C304" s="8" t="str">
        <f>VLOOKUP($A304,Presupuesto!$A:$D,3,FALSE())</f>
        <v>M3</v>
      </c>
      <c r="D304" s="9"/>
      <c r="E304" s="10">
        <f>VLOOKUP($A304,Presupuesto!$A:$D,4,FALSE())</f>
        <v>0</v>
      </c>
      <c r="F304" s="11" t="s">
        <v>2589</v>
      </c>
      <c r="G304" s="12">
        <f>SUM(G306:G322)/2</f>
        <v>492042.79235118174</v>
      </c>
      <c r="H304" s="13">
        <f>ROUND(SUM(H306:H322),0)/2</f>
        <v>0</v>
      </c>
      <c r="I304" s="10">
        <f>VLOOKUP(A304,Presupuesto!$A:$F,6,0)</f>
        <v>0</v>
      </c>
      <c r="J304" s="10">
        <f>+H304-I304</f>
        <v>0</v>
      </c>
      <c r="K304" s="46">
        <f>+H304-G304*E304</f>
        <v>0</v>
      </c>
    </row>
    <row r="305" spans="1:8">
      <c r="A305" s="14"/>
      <c r="B305" s="15" t="s">
        <v>2586</v>
      </c>
      <c r="C305" s="15" t="s">
        <v>5</v>
      </c>
      <c r="D305" s="16" t="s">
        <v>6</v>
      </c>
      <c r="E305" s="17" t="s">
        <v>7</v>
      </c>
      <c r="F305" s="18" t="s">
        <v>3728</v>
      </c>
      <c r="G305" s="19" t="s">
        <v>3729</v>
      </c>
      <c r="H305" s="20" t="s">
        <v>3797</v>
      </c>
    </row>
    <row r="306" spans="1:8">
      <c r="A306" s="21"/>
      <c r="B306" s="22" t="s">
        <v>3730</v>
      </c>
      <c r="C306" s="23"/>
      <c r="D306" s="24"/>
      <c r="E306" s="25"/>
      <c r="F306" s="26"/>
      <c r="G306" s="27">
        <f>SUM(G307:G311)</f>
        <v>398121.4665467717</v>
      </c>
      <c r="H306" s="27">
        <f>IFERROR(G306*E304,"")</f>
        <v>0</v>
      </c>
    </row>
    <row r="307" spans="1:8">
      <c r="A307" s="28"/>
      <c r="B307" s="29" t="s">
        <v>3239</v>
      </c>
      <c r="C307" s="30" t="str">
        <f>IFERROR(_xlfn.XLOOKUP(B307,Insumo[DESCRIPCION],Insumo[UND],,0),"")</f>
        <v>M3</v>
      </c>
      <c r="D307" s="31">
        <v>0.41</v>
      </c>
      <c r="E307" s="32">
        <f>IFERROR(_xlfn.XLOOKUP($B307,Insumo[DESCRIPCION],Insumo[VALOR],,0),"")</f>
        <v>521159.50227762427</v>
      </c>
      <c r="F307" s="33">
        <v>5</v>
      </c>
      <c r="G307" s="34">
        <f>IFERROR(IF(F307&gt;=0,D307*E307*(1+F307/100),ABS(D307*E307/F307)),"")</f>
        <v>224359.16573051724</v>
      </c>
      <c r="H307" s="43">
        <f>IFERROR(G307*E304,"")</f>
        <v>0</v>
      </c>
    </row>
    <row r="308" spans="1:8">
      <c r="A308" s="28"/>
      <c r="B308" s="29" t="s">
        <v>3201</v>
      </c>
      <c r="C308" s="30" t="str">
        <f>IFERROR(_xlfn.XLOOKUP(B308,Insumo[DESCRIPCION],Insumo[UND],,0),"")</f>
        <v>M3</v>
      </c>
      <c r="D308" s="31">
        <v>0.6</v>
      </c>
      <c r="E308" s="32">
        <f>IFERROR(_xlfn.XLOOKUP($B308,Insumo[DESCRIPCION],Insumo[VALOR],,0),"")</f>
        <v>113662.5</v>
      </c>
      <c r="F308" s="33">
        <v>5</v>
      </c>
      <c r="G308" s="34">
        <f>IFERROR(IF(F308&gt;=0,D308*E308*(1+F308/100),ABS(D308*E308/F308)),"")</f>
        <v>71607.375</v>
      </c>
      <c r="H308" s="43">
        <f>IFERROR(G308*E304,"")</f>
        <v>0</v>
      </c>
    </row>
    <row r="309" spans="1:8">
      <c r="A309" s="28"/>
      <c r="B309" s="29" t="s">
        <v>2954</v>
      </c>
      <c r="C309" s="30" t="str">
        <f>IFERROR(_xlfn.XLOOKUP(B309,Insumo[DESCRIPCION],Insumo[UND],,0),"")</f>
        <v>M2</v>
      </c>
      <c r="D309" s="31">
        <v>1</v>
      </c>
      <c r="E309" s="32">
        <f>IFERROR(_xlfn.XLOOKUP($B309,Insumo[DESCRIPCION],Insumo[VALOR],,0),"")</f>
        <v>102154.92581625449</v>
      </c>
      <c r="F309" s="33"/>
      <c r="G309" s="34">
        <f>IFERROR(IF(F309&gt;=0,D309*E309*(1+F309/100),ABS(D309*E309/F309)),"")</f>
        <v>102154.92581625449</v>
      </c>
      <c r="H309" s="43">
        <f>IFERROR(G309*E304,"")</f>
        <v>0</v>
      </c>
    </row>
    <row r="310" spans="1:8">
      <c r="A310" s="28"/>
      <c r="B310" s="29"/>
      <c r="C310" s="30" t="str">
        <f>IFERROR(_xlfn.XLOOKUP(B310,Insumo[DESCRIPCION],Insumo[UND],,0),"")</f>
        <v/>
      </c>
      <c r="D310" s="31"/>
      <c r="E310" s="32" t="str">
        <f>IFERROR(_xlfn.XLOOKUP($B310,Insumo[DESCRIPCION],Insumo[VALOR],,0),"")</f>
        <v/>
      </c>
      <c r="F310" s="33"/>
      <c r="G310" s="34" t="str">
        <f>IFERROR(IF(F310&gt;=0,D310*E310*(1+F310/100),ABS(D310*E310/F310)),"")</f>
        <v/>
      </c>
      <c r="H310" s="43" t="str">
        <f>IFERROR(G310*E304,"")</f>
        <v/>
      </c>
    </row>
    <row r="311" spans="1:8">
      <c r="A311" s="28"/>
      <c r="B311" s="29"/>
      <c r="C311" s="30" t="str">
        <f>IFERROR(_xlfn.XLOOKUP(B311,Insumo[DESCRIPCION],Insumo[UND],,0),"")</f>
        <v/>
      </c>
      <c r="D311" s="31"/>
      <c r="E311" s="32" t="str">
        <f>IFERROR(_xlfn.XLOOKUP($B311,Insumo[DESCRIPCION],Insumo[VALOR],,0),"")</f>
        <v/>
      </c>
      <c r="F311" s="33"/>
      <c r="G311" s="34" t="str">
        <f>IFERROR(IF(F311&gt;=0,D311*E311*(1+F311/100),ABS(D311*E311/F311)),"")</f>
        <v/>
      </c>
      <c r="H311" s="43" t="str">
        <f>IFERROR(G311*E304,"")</f>
        <v/>
      </c>
    </row>
    <row r="312" spans="1:8">
      <c r="A312" s="21"/>
      <c r="B312" s="22" t="s">
        <v>3731</v>
      </c>
      <c r="C312" s="23"/>
      <c r="D312" s="24"/>
      <c r="E312" s="25"/>
      <c r="F312" s="26"/>
      <c r="G312" s="27">
        <f>SUM(G313:G315)</f>
        <v>7754.9718554100018</v>
      </c>
      <c r="H312" s="44">
        <f>G312*E304</f>
        <v>0</v>
      </c>
    </row>
    <row r="313" spans="1:8">
      <c r="A313" s="28"/>
      <c r="B313" s="29" t="s">
        <v>3570</v>
      </c>
      <c r="C313" s="30" t="str">
        <f>IFERROR(_xlfn.XLOOKUP(B313,Equipo[DESCRIPCION],Equipo[UND],,0),"")</f>
        <v>%MO</v>
      </c>
      <c r="D313" s="31">
        <v>0.04</v>
      </c>
      <c r="E313" s="32">
        <f>IF(C313="%MO",G319,IFERROR(_xlfn.XLOOKUP($B313,Equipo[DESCRIPCION],Equipo[VALOR],,0),""))</f>
        <v>86166.353949000011</v>
      </c>
      <c r="F313" s="33"/>
      <c r="G313" s="34">
        <f>IFERROR(IF(F313&gt;=0,D313*E313*(1+F313/100),ABS(D313*E313/F313)),"")</f>
        <v>3446.6541579600007</v>
      </c>
      <c r="H313" s="43">
        <f>IFERROR(G313*E304,"")</f>
        <v>0</v>
      </c>
    </row>
    <row r="314" spans="1:8">
      <c r="A314" s="28"/>
      <c r="B314" s="29" t="s">
        <v>3626</v>
      </c>
      <c r="C314" s="30" t="str">
        <f>IFERROR(_xlfn.XLOOKUP(B314,Equipo[DESCRIPCION],Equipo[UND],,0),"")</f>
        <v>%MO</v>
      </c>
      <c r="D314" s="31">
        <v>0.05</v>
      </c>
      <c r="E314" s="32">
        <f>IF(C314="%MO",G320,IFERROR(_xlfn.XLOOKUP($B314,Equipo[DESCRIPCION],Equipo[VALOR],,0),""))</f>
        <v>86166.353949000011</v>
      </c>
      <c r="F314" s="33"/>
      <c r="G314" s="34">
        <f>IFERROR(IF(F314&gt;=0,D314*E314*(1+F314/100),ABS(D314*E314/F314)),"")</f>
        <v>4308.3176974500011</v>
      </c>
      <c r="H314" s="43">
        <f>IFERROR(G314*E304,"")</f>
        <v>0</v>
      </c>
    </row>
    <row r="315" spans="1:8">
      <c r="A315" s="28"/>
      <c r="B315" s="29"/>
      <c r="C315" s="30" t="str">
        <f>IFERROR(_xlfn.XLOOKUP(B315,Equipo[DESCRIPCION],Equipo[UND],,0),"")</f>
        <v/>
      </c>
      <c r="D315" s="31"/>
      <c r="E315" s="32" t="str">
        <f>IF(C315="%MO",G321,IFERROR(_xlfn.XLOOKUP($B315,Equipo[DESCRIPCION],Equipo[VALOR],,0),""))</f>
        <v/>
      </c>
      <c r="F315" s="33"/>
      <c r="G315" s="34" t="str">
        <f>IFERROR(IF(F315&gt;=0,D315*E315*(1+F315/100),ABS(D315*E315/F315)),"")</f>
        <v/>
      </c>
      <c r="H315" s="43" t="str">
        <f>IFERROR(G315*E304,"")</f>
        <v/>
      </c>
    </row>
    <row r="316" spans="1:8">
      <c r="A316" s="21"/>
      <c r="B316" s="22" t="s">
        <v>2533</v>
      </c>
      <c r="C316" s="23"/>
      <c r="D316" s="24"/>
      <c r="E316" s="25"/>
      <c r="F316" s="26"/>
      <c r="G316" s="27">
        <f>SUM(G317:G318)</f>
        <v>0</v>
      </c>
      <c r="H316" s="44">
        <f>G316*E304</f>
        <v>0</v>
      </c>
    </row>
    <row r="317" spans="1:8">
      <c r="A317" s="28"/>
      <c r="B317" s="29"/>
      <c r="C317" s="30" t="str">
        <f>IFERROR(_xlfn.XLOOKUP(B317,Transporte[DESCRIPCION],Transporte[UND],,0),"")</f>
        <v/>
      </c>
      <c r="D317" s="31"/>
      <c r="E317" s="32" t="str">
        <f>IFERROR(_xlfn.XLOOKUP($B317,Transporte[DESCRIPCION],Transporte[VALOR],,0),"")</f>
        <v/>
      </c>
      <c r="F317" s="33"/>
      <c r="G317" s="34" t="str">
        <f>IFERROR(IF(F317&gt;=0,D317*E317*(1+F317/100),ABS(D317*E317/F317)),"")</f>
        <v/>
      </c>
      <c r="H317" s="43" t="str">
        <f>IFERROR(G317*E304,"")</f>
        <v/>
      </c>
    </row>
    <row r="318" spans="1:8">
      <c r="A318" s="28"/>
      <c r="B318" s="29"/>
      <c r="C318" s="30" t="str">
        <f>IFERROR(_xlfn.XLOOKUP(B318,Transporte[DESCRIPCION],Transporte[UND],,0),"")</f>
        <v/>
      </c>
      <c r="D318" s="31"/>
      <c r="E318" s="32" t="str">
        <f>IFERROR(_xlfn.XLOOKUP($B318,Transporte[DESCRIPCION],Transporte[VALOR],,0),"")</f>
        <v/>
      </c>
      <c r="F318" s="33"/>
      <c r="G318" s="34" t="str">
        <f>IFERROR(IF(F318&gt;=0,D318*E318*(1+F318/100),ABS(D318*E318/F318)),"")</f>
        <v/>
      </c>
      <c r="H318" s="43" t="str">
        <f>IFERROR(G318*E304,"")</f>
        <v/>
      </c>
    </row>
    <row r="319" spans="1:8">
      <c r="A319" s="21"/>
      <c r="B319" s="22" t="s">
        <v>3732</v>
      </c>
      <c r="C319" s="23"/>
      <c r="D319" s="24"/>
      <c r="E319" s="25"/>
      <c r="F319" s="26"/>
      <c r="G319" s="27">
        <f>SUM(G320:G322)</f>
        <v>86166.353949000011</v>
      </c>
      <c r="H319" s="44">
        <f>G319*E304</f>
        <v>0</v>
      </c>
    </row>
    <row r="320" spans="1:8">
      <c r="A320" s="28"/>
      <c r="B320" s="29" t="s">
        <v>3711</v>
      </c>
      <c r="C320" s="30" t="str">
        <f>IFERROR(_xlfn.XLOOKUP(B320,MObra[DESCRIPCION],MObra[UN],,0),"")</f>
        <v>día</v>
      </c>
      <c r="D320" s="31">
        <v>1</v>
      </c>
      <c r="E320" s="32">
        <f>IFERROR(_xlfn.XLOOKUP($B320,MObra[DESCRIPCION],MObra[VALOR UNIT],,0),"")</f>
        <v>430831.76974500006</v>
      </c>
      <c r="F320" s="33">
        <v>-5</v>
      </c>
      <c r="G320" s="34">
        <f>IFERROR(IF(F320&gt;=0,D320*E320*(1+F320/100),ABS(D320*E320/F320)),"")</f>
        <v>86166.353949000011</v>
      </c>
      <c r="H320" s="43">
        <f>IFERROR(G320*E304,"")</f>
        <v>0</v>
      </c>
    </row>
    <row r="321" spans="1:11">
      <c r="A321" s="28"/>
      <c r="B321" s="29"/>
      <c r="C321" s="30" t="str">
        <f>IFERROR(_xlfn.XLOOKUP(B321,MObra[DESCRIPCION],MObra[UN],,0),"")</f>
        <v/>
      </c>
      <c r="D321" s="31"/>
      <c r="E321" s="32" t="str">
        <f>IFERROR(_xlfn.XLOOKUP($B321,MObra[DESCRIPCION],MObra[VALOR UNIT],,0),"")</f>
        <v/>
      </c>
      <c r="F321" s="33"/>
      <c r="G321" s="34" t="str">
        <f>IFERROR(IF(F321&gt;=0,D321*E321*(1+F321/100),ABS(D321*E321/F321)),"")</f>
        <v/>
      </c>
      <c r="H321" s="43" t="str">
        <f>IFERROR(G321*E304,"")</f>
        <v/>
      </c>
    </row>
    <row r="322" spans="1:11">
      <c r="A322" s="35"/>
      <c r="B322" s="36"/>
      <c r="C322" s="37" t="str">
        <f>IFERROR(_xlfn.XLOOKUP(B322,MObra[DESCRIPCION],MObra[UN],,0),"")</f>
        <v/>
      </c>
      <c r="D322" s="38"/>
      <c r="E322" s="39" t="str">
        <f>IFERROR(_xlfn.XLOOKUP($B322,MObra[DESCRIPCION],MObra[VALOR UNIT],,0),"")</f>
        <v/>
      </c>
      <c r="F322" s="40"/>
      <c r="G322" s="41" t="str">
        <f>IFERROR(IF(F322&gt;=0,D322*E322*(1+F322/100),ABS(D322*E322/F322)),"")</f>
        <v/>
      </c>
      <c r="H322" s="42" t="str">
        <f>IFERROR(G322*E304,"")</f>
        <v/>
      </c>
    </row>
    <row r="324" spans="1:11">
      <c r="A324" s="6" t="s">
        <v>2070</v>
      </c>
      <c r="B324" s="7" t="str">
        <f>VLOOKUP($A324,Presupuesto!$A:$D,2,FALSE())</f>
        <v>Estructura tipo aliviadero domiciliario 21 Mpa</v>
      </c>
      <c r="C324" s="8" t="str">
        <f>VLOOKUP($A324,Presupuesto!$A:$D,3,FALSE())</f>
        <v>Un</v>
      </c>
      <c r="D324" s="9"/>
      <c r="E324" s="10">
        <f>VLOOKUP($A324,Presupuesto!$A:$D,4,FALSE())</f>
        <v>0</v>
      </c>
      <c r="F324" s="11" t="s">
        <v>2589</v>
      </c>
      <c r="G324" s="12">
        <f>SUM(G326:G342)/2</f>
        <v>3620939.4940107912</v>
      </c>
      <c r="H324" s="13">
        <f>ROUND(SUM(H326:H342),0)/2</f>
        <v>0</v>
      </c>
      <c r="I324" s="10">
        <f>VLOOKUP(A324,Presupuesto!$A:$F,6,0)</f>
        <v>0</v>
      </c>
      <c r="J324" s="10">
        <f>+H324-I324</f>
        <v>0</v>
      </c>
      <c r="K324" s="46">
        <f>+H324-G324*E324</f>
        <v>0</v>
      </c>
    </row>
    <row r="325" spans="1:11">
      <c r="A325" s="14"/>
      <c r="B325" s="15" t="s">
        <v>2586</v>
      </c>
      <c r="C325" s="15" t="s">
        <v>5</v>
      </c>
      <c r="D325" s="16" t="s">
        <v>6</v>
      </c>
      <c r="E325" s="17" t="s">
        <v>7</v>
      </c>
      <c r="F325" s="18" t="s">
        <v>3728</v>
      </c>
      <c r="G325" s="19" t="s">
        <v>3729</v>
      </c>
      <c r="H325" s="20" t="s">
        <v>3797</v>
      </c>
    </row>
    <row r="326" spans="1:11">
      <c r="A326" s="21"/>
      <c r="B326" s="22" t="s">
        <v>3730</v>
      </c>
      <c r="C326" s="23"/>
      <c r="D326" s="24"/>
      <c r="E326" s="25"/>
      <c r="F326" s="26"/>
      <c r="G326" s="27">
        <f>SUM(G327:G331)</f>
        <v>2170615.8483762904</v>
      </c>
      <c r="H326" s="27">
        <f>IFERROR(G326*E324,"")</f>
        <v>0</v>
      </c>
    </row>
    <row r="327" spans="1:11">
      <c r="A327" s="28"/>
      <c r="B327" s="29" t="s">
        <v>3239</v>
      </c>
      <c r="C327" s="30" t="str">
        <f>IFERROR(_xlfn.XLOOKUP(B327,Insumo[DESCRIPCION],Insumo[UND],,0),"")</f>
        <v>M3</v>
      </c>
      <c r="D327" s="31">
        <v>2.5</v>
      </c>
      <c r="E327" s="32">
        <f>IFERROR(_xlfn.XLOOKUP($B327,Insumo[DESCRIPCION],Insumo[VALOR],,0),"")</f>
        <v>521159.50227762427</v>
      </c>
      <c r="F327" s="33">
        <v>5</v>
      </c>
      <c r="G327" s="34">
        <f>IFERROR(IF(F327&gt;=0,D327*E327*(1+F327/100),ABS(D327*E327/F327)),"")</f>
        <v>1368043.6934787636</v>
      </c>
      <c r="H327" s="43">
        <f>IFERROR(G327*E324,"")</f>
        <v>0</v>
      </c>
    </row>
    <row r="328" spans="1:11">
      <c r="A328" s="28"/>
      <c r="B328" s="29" t="s">
        <v>2954</v>
      </c>
      <c r="C328" s="30" t="str">
        <f>IFERROR(_xlfn.XLOOKUP(B328,Insumo[DESCRIPCION],Insumo[UND],,0),"")</f>
        <v>M2</v>
      </c>
      <c r="D328" s="31">
        <v>6</v>
      </c>
      <c r="E328" s="32">
        <f>IFERROR(_xlfn.XLOOKUP($B328,Insumo[DESCRIPCION],Insumo[VALOR],,0),"")</f>
        <v>102154.92581625449</v>
      </c>
      <c r="F328" s="33"/>
      <c r="G328" s="34">
        <f>IFERROR(IF(F328&gt;=0,D328*E328*(1+F328/100),ABS(D328*E328/F328)),"")</f>
        <v>612929.55489752698</v>
      </c>
      <c r="H328" s="43">
        <f>IFERROR(G328*E324,"")</f>
        <v>0</v>
      </c>
    </row>
    <row r="329" spans="1:11">
      <c r="A329" s="28"/>
      <c r="B329" s="29" t="s">
        <v>2653</v>
      </c>
      <c r="C329" s="30" t="str">
        <f>IFERROR(_xlfn.XLOOKUP(B329,Insumo[DESCRIPCION],Insumo[UND],,0),"")</f>
        <v>Kg</v>
      </c>
      <c r="D329" s="31">
        <v>32</v>
      </c>
      <c r="E329" s="32">
        <f>IFERROR(_xlfn.XLOOKUP($B329,Insumo[DESCRIPCION],Insumo[VALOR],,0),"")</f>
        <v>5686.8</v>
      </c>
      <c r="F329" s="33"/>
      <c r="G329" s="34">
        <f>IFERROR(IF(F329&gt;=0,D329*E329*(1+F329/100),ABS(D329*E329/F329)),"")</f>
        <v>181977.60000000001</v>
      </c>
      <c r="H329" s="43">
        <f>IFERROR(G329*E324,"")</f>
        <v>0</v>
      </c>
    </row>
    <row r="330" spans="1:11">
      <c r="A330" s="28"/>
      <c r="B330" s="29" t="s">
        <v>2699</v>
      </c>
      <c r="C330" s="30" t="str">
        <f>IFERROR(_xlfn.XLOOKUP(B330,Insumo[DESCRIPCION],Insumo[UND],,0),"")</f>
        <v>Kg</v>
      </c>
      <c r="D330" s="31">
        <v>1</v>
      </c>
      <c r="E330" s="32">
        <f>IFERROR(_xlfn.XLOOKUP($B330,Insumo[DESCRIPCION],Insumo[VALOR],,0),"")</f>
        <v>7665</v>
      </c>
      <c r="F330" s="33"/>
      <c r="G330" s="34">
        <f>IFERROR(IF(F330&gt;=0,D330*E330*(1+F330/100),ABS(D330*E330/F330)),"")</f>
        <v>7665</v>
      </c>
      <c r="H330" s="43">
        <f>IFERROR(G330*E324,"")</f>
        <v>0</v>
      </c>
    </row>
    <row r="331" spans="1:11">
      <c r="A331" s="28"/>
      <c r="B331" s="29"/>
      <c r="C331" s="30" t="str">
        <f>IFERROR(_xlfn.XLOOKUP(B331,Insumo[DESCRIPCION],Insumo[UND],,0),"")</f>
        <v/>
      </c>
      <c r="D331" s="31"/>
      <c r="E331" s="32" t="str">
        <f>IFERROR(_xlfn.XLOOKUP($B331,Insumo[DESCRIPCION],Insumo[VALOR],,0),"")</f>
        <v/>
      </c>
      <c r="F331" s="33"/>
      <c r="G331" s="34" t="str">
        <f>IFERROR(IF(F331&gt;=0,D331*E331*(1+F331/100),ABS(D331*E331/F331)),"")</f>
        <v/>
      </c>
      <c r="H331" s="43" t="str">
        <f>IFERROR(G331*E324,"")</f>
        <v/>
      </c>
    </row>
    <row r="332" spans="1:11">
      <c r="A332" s="21"/>
      <c r="B332" s="22" t="s">
        <v>3731</v>
      </c>
      <c r="C332" s="23"/>
      <c r="D332" s="24"/>
      <c r="E332" s="25"/>
      <c r="F332" s="26"/>
      <c r="G332" s="27">
        <f>SUM(G333:G335)</f>
        <v>122896.03074450002</v>
      </c>
      <c r="H332" s="44">
        <f>G332*E324</f>
        <v>0</v>
      </c>
    </row>
    <row r="333" spans="1:11">
      <c r="A333" s="28"/>
      <c r="B333" s="29" t="s">
        <v>3657</v>
      </c>
      <c r="C333" s="30" t="str">
        <f>IFERROR(_xlfn.XLOOKUP(B333,Equipo[DESCRIPCION],Equipo[UND],,0),"")</f>
        <v>Día</v>
      </c>
      <c r="D333" s="31">
        <v>1</v>
      </c>
      <c r="E333" s="32">
        <f>IF(C333="%MO",G339,IFERROR(_xlfn.XLOOKUP($B333,Equipo[DESCRIPCION],Equipo[VALOR],,0),""))</f>
        <v>56524.65</v>
      </c>
      <c r="F333" s="33">
        <v>-1</v>
      </c>
      <c r="G333" s="34">
        <f>IFERROR(IF(F333&gt;=0,D333*E333*(1+F333/100),ABS(D333*E333/F333)),"")</f>
        <v>56524.65</v>
      </c>
      <c r="H333" s="43">
        <f>IFERROR(G333*E324,"")</f>
        <v>0</v>
      </c>
    </row>
    <row r="334" spans="1:11">
      <c r="A334" s="28"/>
      <c r="B334" s="29" t="s">
        <v>3626</v>
      </c>
      <c r="C334" s="30" t="str">
        <f>IFERROR(_xlfn.XLOOKUP(B334,Equipo[DESCRIPCION],Equipo[UND],,0),"")</f>
        <v>%MO</v>
      </c>
      <c r="D334" s="31">
        <v>0.05</v>
      </c>
      <c r="E334" s="32">
        <f>IF(C334="%MO",G340,IFERROR(_xlfn.XLOOKUP($B334,Equipo[DESCRIPCION],Equipo[VALOR],,0),""))</f>
        <v>1327427.6148900003</v>
      </c>
      <c r="F334" s="33"/>
      <c r="G334" s="34">
        <f>IFERROR(IF(F334&gt;=0,D334*E334*(1+F334/100),ABS(D334*E334/F334)),"")</f>
        <v>66371.380744500013</v>
      </c>
      <c r="H334" s="43">
        <f>IFERROR(G334*E324,"")</f>
        <v>0</v>
      </c>
    </row>
    <row r="335" spans="1:11">
      <c r="A335" s="28"/>
      <c r="B335" s="29"/>
      <c r="C335" s="30" t="str">
        <f>IFERROR(_xlfn.XLOOKUP(B335,Equipo[DESCRIPCION],Equipo[UND],,0),"")</f>
        <v/>
      </c>
      <c r="D335" s="31"/>
      <c r="E335" s="32" t="str">
        <f>IF(C335="%MO",G341,IFERROR(_xlfn.XLOOKUP($B335,Equipo[DESCRIPCION],Equipo[VALOR],,0),""))</f>
        <v/>
      </c>
      <c r="F335" s="33"/>
      <c r="G335" s="34" t="str">
        <f>IFERROR(IF(F335&gt;=0,D335*E335*(1+F335/100),ABS(D335*E335/F335)),"")</f>
        <v/>
      </c>
      <c r="H335" s="43" t="str">
        <f>IFERROR(G335*E324,"")</f>
        <v/>
      </c>
    </row>
    <row r="336" spans="1:11">
      <c r="A336" s="21"/>
      <c r="B336" s="22" t="s">
        <v>2533</v>
      </c>
      <c r="C336" s="23"/>
      <c r="D336" s="24"/>
      <c r="E336" s="25"/>
      <c r="F336" s="26"/>
      <c r="G336" s="27">
        <f>SUM(G337:G338)</f>
        <v>0</v>
      </c>
      <c r="H336" s="44">
        <f>G336*E324</f>
        <v>0</v>
      </c>
    </row>
    <row r="337" spans="1:11">
      <c r="A337" s="28"/>
      <c r="B337" s="29"/>
      <c r="C337" s="30" t="str">
        <f>IFERROR(_xlfn.XLOOKUP(B337,Transporte[DESCRIPCION],Transporte[UND],,0),"")</f>
        <v/>
      </c>
      <c r="D337" s="31"/>
      <c r="E337" s="32" t="str">
        <f>IFERROR(_xlfn.XLOOKUP($B337,Transporte[DESCRIPCION],Transporte[VALOR],,0),"")</f>
        <v/>
      </c>
      <c r="F337" s="33"/>
      <c r="G337" s="34" t="str">
        <f>IFERROR(IF(F337&gt;=0,D337*E337*(1+F337/100),ABS(D337*E337/F337)),"")</f>
        <v/>
      </c>
      <c r="H337" s="43" t="str">
        <f>IFERROR(G337*E324,"")</f>
        <v/>
      </c>
    </row>
    <row r="338" spans="1:11">
      <c r="A338" s="28"/>
      <c r="B338" s="29"/>
      <c r="C338" s="30" t="str">
        <f>IFERROR(_xlfn.XLOOKUP(B338,Transporte[DESCRIPCION],Transporte[UND],,0),"")</f>
        <v/>
      </c>
      <c r="D338" s="31"/>
      <c r="E338" s="32" t="str">
        <f>IFERROR(_xlfn.XLOOKUP($B338,Transporte[DESCRIPCION],Transporte[VALOR],,0),"")</f>
        <v/>
      </c>
      <c r="F338" s="33"/>
      <c r="G338" s="34" t="str">
        <f>IFERROR(IF(F338&gt;=0,D338*E338*(1+F338/100),ABS(D338*E338/F338)),"")</f>
        <v/>
      </c>
      <c r="H338" s="43" t="str">
        <f>IFERROR(G338*E324,"")</f>
        <v/>
      </c>
    </row>
    <row r="339" spans="1:11">
      <c r="A339" s="21"/>
      <c r="B339" s="22" t="s">
        <v>3732</v>
      </c>
      <c r="C339" s="23"/>
      <c r="D339" s="24"/>
      <c r="E339" s="25"/>
      <c r="F339" s="26"/>
      <c r="G339" s="27">
        <f>SUM(G340:G342)</f>
        <v>1327427.6148900003</v>
      </c>
      <c r="H339" s="44">
        <f>G339*E324</f>
        <v>0</v>
      </c>
    </row>
    <row r="340" spans="1:11">
      <c r="A340" s="28"/>
      <c r="B340" s="29" t="s">
        <v>3713</v>
      </c>
      <c r="C340" s="30" t="str">
        <f>IFERROR(_xlfn.XLOOKUP(B340,MObra[DESCRIPCION],MObra[UN],,0),"")</f>
        <v>día</v>
      </c>
      <c r="D340" s="31">
        <v>1</v>
      </c>
      <c r="E340" s="32">
        <f>IFERROR(_xlfn.XLOOKUP($B340,MObra[DESCRIPCION],MObra[VALOR UNIT],,0),"")</f>
        <v>663713.80744500016</v>
      </c>
      <c r="F340" s="33">
        <v>-0.5</v>
      </c>
      <c r="G340" s="34">
        <f>IFERROR(IF(F340&gt;=0,D340*E340*(1+F340/100),ABS(D340*E340/F340)),"")</f>
        <v>1327427.6148900003</v>
      </c>
      <c r="H340" s="43">
        <f>IFERROR(G340*E324,"")</f>
        <v>0</v>
      </c>
    </row>
    <row r="341" spans="1:11">
      <c r="A341" s="28"/>
      <c r="B341" s="29"/>
      <c r="C341" s="30" t="str">
        <f>IFERROR(_xlfn.XLOOKUP(B341,MObra[DESCRIPCION],MObra[UN],,0),"")</f>
        <v/>
      </c>
      <c r="D341" s="31"/>
      <c r="E341" s="32" t="str">
        <f>IFERROR(_xlfn.XLOOKUP($B341,MObra[DESCRIPCION],MObra[VALOR UNIT],,0),"")</f>
        <v/>
      </c>
      <c r="F341" s="33"/>
      <c r="G341" s="34" t="str">
        <f>IFERROR(IF(F341&gt;=0,D341*E341*(1+F341/100),ABS(D341*E341/F341)),"")</f>
        <v/>
      </c>
      <c r="H341" s="43" t="str">
        <f>IFERROR(G341*E324,"")</f>
        <v/>
      </c>
    </row>
    <row r="342" spans="1:11">
      <c r="A342" s="35"/>
      <c r="B342" s="36"/>
      <c r="C342" s="37" t="str">
        <f>IFERROR(_xlfn.XLOOKUP(B342,MObra[DESCRIPCION],MObra[UN],,0),"")</f>
        <v/>
      </c>
      <c r="D342" s="38"/>
      <c r="E342" s="39" t="str">
        <f>IFERROR(_xlfn.XLOOKUP($B342,MObra[DESCRIPCION],MObra[VALOR UNIT],,0),"")</f>
        <v/>
      </c>
      <c r="F342" s="40"/>
      <c r="G342" s="41" t="str">
        <f>IFERROR(IF(F342&gt;=0,D342*E342*(1+F342/100),ABS(D342*E342/F342)),"")</f>
        <v/>
      </c>
      <c r="H342" s="42" t="str">
        <f>IFERROR(G342*E324,"")</f>
        <v/>
      </c>
    </row>
    <row r="344" spans="1:11">
      <c r="A344" s="6" t="s">
        <v>2072</v>
      </c>
      <c r="B344" s="7" t="str">
        <f>VLOOKUP($A344,Presupuesto!$A:$D,2,FALSE())</f>
        <v>Junta dilatación /exp cinta OVC V-22</v>
      </c>
      <c r="C344" s="8" t="str">
        <f>VLOOKUP($A344,Presupuesto!$A:$D,3,FALSE())</f>
        <v>M</v>
      </c>
      <c r="D344" s="9"/>
      <c r="E344" s="10">
        <f>VLOOKUP($A344,Presupuesto!$A:$D,4,FALSE())</f>
        <v>0</v>
      </c>
      <c r="F344" s="11" t="s">
        <v>2589</v>
      </c>
      <c r="G344" s="12">
        <f>SUM(G346:G362)/2</f>
        <v>130432.82006265</v>
      </c>
      <c r="H344" s="13">
        <f>ROUND(SUM(H346:H362),0)/2</f>
        <v>0</v>
      </c>
      <c r="I344" s="10">
        <f>VLOOKUP(A344,Presupuesto!$A:$F,6,0)</f>
        <v>0</v>
      </c>
      <c r="J344" s="10">
        <f>+H344-I344</f>
        <v>0</v>
      </c>
      <c r="K344" s="46">
        <f>+H344-G344*E344</f>
        <v>0</v>
      </c>
    </row>
    <row r="345" spans="1:11">
      <c r="A345" s="14"/>
      <c r="B345" s="15" t="s">
        <v>2586</v>
      </c>
      <c r="C345" s="15" t="s">
        <v>5</v>
      </c>
      <c r="D345" s="16" t="s">
        <v>6</v>
      </c>
      <c r="E345" s="17" t="s">
        <v>7</v>
      </c>
      <c r="F345" s="18" t="s">
        <v>3728</v>
      </c>
      <c r="G345" s="19" t="s">
        <v>3729</v>
      </c>
      <c r="H345" s="20" t="s">
        <v>3797</v>
      </c>
    </row>
    <row r="346" spans="1:11">
      <c r="A346" s="21"/>
      <c r="B346" s="22" t="s">
        <v>3730</v>
      </c>
      <c r="C346" s="23"/>
      <c r="D346" s="24"/>
      <c r="E346" s="25"/>
      <c r="F346" s="26"/>
      <c r="G346" s="27">
        <f>SUM(G347:G351)</f>
        <v>108425.46750000001</v>
      </c>
      <c r="H346" s="27">
        <f>IFERROR(G346*E344,"")</f>
        <v>0</v>
      </c>
    </row>
    <row r="347" spans="1:11">
      <c r="A347" s="28"/>
      <c r="B347" s="29" t="s">
        <v>2851</v>
      </c>
      <c r="C347" s="30" t="str">
        <f>IFERROR(_xlfn.XLOOKUP(B347,Insumo[DESCRIPCION],Insumo[UND],,0),"")</f>
        <v>M</v>
      </c>
      <c r="D347" s="31">
        <v>1</v>
      </c>
      <c r="E347" s="32">
        <f>IFERROR(_xlfn.XLOOKUP($B347,Insumo[DESCRIPCION],Insumo[VALOR],,0),"")</f>
        <v>102970.35</v>
      </c>
      <c r="F347" s="33">
        <v>5</v>
      </c>
      <c r="G347" s="34">
        <f>IFERROR(IF(F347&gt;=0,D347*E347*(1+F347/100),ABS(D347*E347/F347)),"")</f>
        <v>108118.86750000001</v>
      </c>
      <c r="H347" s="43">
        <f>IFERROR(G347*E344,"")</f>
        <v>0</v>
      </c>
    </row>
    <row r="348" spans="1:11">
      <c r="A348" s="28"/>
      <c r="B348" s="29" t="s">
        <v>2699</v>
      </c>
      <c r="C348" s="30" t="str">
        <f>IFERROR(_xlfn.XLOOKUP(B348,Insumo[DESCRIPCION],Insumo[UND],,0),"")</f>
        <v>Kg</v>
      </c>
      <c r="D348" s="31">
        <v>0.04</v>
      </c>
      <c r="E348" s="32">
        <f>IFERROR(_xlfn.XLOOKUP($B348,Insumo[DESCRIPCION],Insumo[VALOR],,0),"")</f>
        <v>7665</v>
      </c>
      <c r="F348" s="33"/>
      <c r="G348" s="34">
        <f>IFERROR(IF(F348&gt;=0,D348*E348*(1+F348/100),ABS(D348*E348/F348)),"")</f>
        <v>306.60000000000002</v>
      </c>
      <c r="H348" s="43">
        <f>IFERROR(G348*E344,"")</f>
        <v>0</v>
      </c>
    </row>
    <row r="349" spans="1:11">
      <c r="A349" s="28"/>
      <c r="B349" s="29"/>
      <c r="C349" s="30" t="str">
        <f>IFERROR(_xlfn.XLOOKUP(B349,Insumo[DESCRIPCION],Insumo[UND],,0),"")</f>
        <v/>
      </c>
      <c r="D349" s="31"/>
      <c r="E349" s="32" t="str">
        <f>IFERROR(_xlfn.XLOOKUP($B349,Insumo[DESCRIPCION],Insumo[VALOR],,0),"")</f>
        <v/>
      </c>
      <c r="F349" s="33"/>
      <c r="G349" s="34" t="str">
        <f>IFERROR(IF(F349&gt;=0,D349*E349*(1+F349/100),ABS(D349*E349/F349)),"")</f>
        <v/>
      </c>
      <c r="H349" s="43" t="str">
        <f>IFERROR(G349*E344,"")</f>
        <v/>
      </c>
    </row>
    <row r="350" spans="1:11">
      <c r="A350" s="28"/>
      <c r="B350" s="29"/>
      <c r="C350" s="30" t="str">
        <f>IFERROR(_xlfn.XLOOKUP(B350,Insumo[DESCRIPCION],Insumo[UND],,0),"")</f>
        <v/>
      </c>
      <c r="D350" s="31"/>
      <c r="E350" s="32" t="str">
        <f>IFERROR(_xlfn.XLOOKUP($B350,Insumo[DESCRIPCION],Insumo[VALOR],,0),"")</f>
        <v/>
      </c>
      <c r="F350" s="33"/>
      <c r="G350" s="34" t="str">
        <f>IFERROR(IF(F350&gt;=0,D350*E350*(1+F350/100),ABS(D350*E350/F350)),"")</f>
        <v/>
      </c>
      <c r="H350" s="43" t="str">
        <f>IFERROR(G350*E344,"")</f>
        <v/>
      </c>
    </row>
    <row r="351" spans="1:11">
      <c r="A351" s="28"/>
      <c r="B351" s="29"/>
      <c r="C351" s="30" t="str">
        <f>IFERROR(_xlfn.XLOOKUP(B351,Insumo[DESCRIPCION],Insumo[UND],,0),"")</f>
        <v/>
      </c>
      <c r="D351" s="31"/>
      <c r="E351" s="32" t="str">
        <f>IFERROR(_xlfn.XLOOKUP($B351,Insumo[DESCRIPCION],Insumo[VALOR],,0),"")</f>
        <v/>
      </c>
      <c r="F351" s="33"/>
      <c r="G351" s="34" t="str">
        <f>IFERROR(IF(F351&gt;=0,D351*E351*(1+F351/100),ABS(D351*E351/F351)),"")</f>
        <v/>
      </c>
      <c r="H351" s="43" t="str">
        <f>IFERROR(G351*E344,"")</f>
        <v/>
      </c>
    </row>
    <row r="352" spans="1:11">
      <c r="A352" s="21"/>
      <c r="B352" s="22" t="s">
        <v>3731</v>
      </c>
      <c r="C352" s="23"/>
      <c r="D352" s="24"/>
      <c r="E352" s="25"/>
      <c r="F352" s="26"/>
      <c r="G352" s="27">
        <f>SUM(G353:G355)</f>
        <v>1047.9691696500001</v>
      </c>
      <c r="H352" s="44">
        <f>G352*E344</f>
        <v>0</v>
      </c>
    </row>
    <row r="353" spans="1:11">
      <c r="A353" s="28"/>
      <c r="B353" s="29" t="s">
        <v>3626</v>
      </c>
      <c r="C353" s="30" t="str">
        <f>IFERROR(_xlfn.XLOOKUP(B353,Equipo[DESCRIPCION],Equipo[UND],,0),"")</f>
        <v>%MO</v>
      </c>
      <c r="D353" s="31">
        <v>0.05</v>
      </c>
      <c r="E353" s="32">
        <f>IF(C353="%MO",G359,IFERROR(_xlfn.XLOOKUP($B353,Equipo[DESCRIPCION],Equipo[VALOR],,0),""))</f>
        <v>20959.383393000004</v>
      </c>
      <c r="F353" s="33"/>
      <c r="G353" s="34">
        <f>IFERROR(IF(F353&gt;=0,D353*E353*(1+F353/100),ABS(D353*E353/F353)),"")</f>
        <v>1047.9691696500001</v>
      </c>
      <c r="H353" s="43">
        <f>IFERROR(G353*E344,"")</f>
        <v>0</v>
      </c>
    </row>
    <row r="354" spans="1:11">
      <c r="A354" s="28"/>
      <c r="B354" s="29"/>
      <c r="C354" s="30" t="str">
        <f>IFERROR(_xlfn.XLOOKUP(B354,Equipo[DESCRIPCION],Equipo[UND],,0),"")</f>
        <v/>
      </c>
      <c r="D354" s="31"/>
      <c r="E354" s="32" t="str">
        <f>IF(C354="%MO",G360,IFERROR(_xlfn.XLOOKUP($B354,Equipo[DESCRIPCION],Equipo[VALOR],,0),""))</f>
        <v/>
      </c>
      <c r="F354" s="33"/>
      <c r="G354" s="34" t="str">
        <f>IFERROR(IF(F354&gt;=0,D354*E354*(1+F354/100),ABS(D354*E354/F354)),"")</f>
        <v/>
      </c>
      <c r="H354" s="43" t="str">
        <f>IFERROR(G354*E344,"")</f>
        <v/>
      </c>
    </row>
    <row r="355" spans="1:11">
      <c r="A355" s="28"/>
      <c r="B355" s="29"/>
      <c r="C355" s="30" t="str">
        <f>IFERROR(_xlfn.XLOOKUP(B355,Equipo[DESCRIPCION],Equipo[UND],,0),"")</f>
        <v/>
      </c>
      <c r="D355" s="31"/>
      <c r="E355" s="32" t="str">
        <f>IF(C355="%MO",G361,IFERROR(_xlfn.XLOOKUP($B355,Equipo[DESCRIPCION],Equipo[VALOR],,0),""))</f>
        <v/>
      </c>
      <c r="F355" s="33"/>
      <c r="G355" s="34" t="str">
        <f>IFERROR(IF(F355&gt;=0,D355*E355*(1+F355/100),ABS(D355*E355/F355)),"")</f>
        <v/>
      </c>
      <c r="H355" s="43" t="str">
        <f>IFERROR(G355*E344,"")</f>
        <v/>
      </c>
    </row>
    <row r="356" spans="1:11">
      <c r="A356" s="21"/>
      <c r="B356" s="22" t="s">
        <v>2533</v>
      </c>
      <c r="C356" s="23"/>
      <c r="D356" s="24"/>
      <c r="E356" s="25"/>
      <c r="F356" s="26"/>
      <c r="G356" s="27">
        <f>SUM(G357:G358)</f>
        <v>0</v>
      </c>
      <c r="H356" s="44">
        <f>G356*E344</f>
        <v>0</v>
      </c>
    </row>
    <row r="357" spans="1:11">
      <c r="A357" s="28"/>
      <c r="B357" s="29"/>
      <c r="C357" s="30" t="str">
        <f>IFERROR(_xlfn.XLOOKUP(B357,Transporte[DESCRIPCION],Transporte[UND],,0),"")</f>
        <v/>
      </c>
      <c r="D357" s="31"/>
      <c r="E357" s="32" t="str">
        <f>IFERROR(_xlfn.XLOOKUP($B357,Transporte[DESCRIPCION],Transporte[VALOR],,0),"")</f>
        <v/>
      </c>
      <c r="F357" s="33"/>
      <c r="G357" s="34" t="str">
        <f>IFERROR(IF(F357&gt;=0,D357*E357*(1+F357/100),ABS(D357*E357/F357)),"")</f>
        <v/>
      </c>
      <c r="H357" s="43" t="str">
        <f>IFERROR(G357*E344,"")</f>
        <v/>
      </c>
    </row>
    <row r="358" spans="1:11">
      <c r="A358" s="28"/>
      <c r="B358" s="29"/>
      <c r="C358" s="30" t="str">
        <f>IFERROR(_xlfn.XLOOKUP(B358,Transporte[DESCRIPCION],Transporte[UND],,0),"")</f>
        <v/>
      </c>
      <c r="D358" s="31"/>
      <c r="E358" s="32" t="str">
        <f>IFERROR(_xlfn.XLOOKUP($B358,Transporte[DESCRIPCION],Transporte[VALOR],,0),"")</f>
        <v/>
      </c>
      <c r="F358" s="33"/>
      <c r="G358" s="34" t="str">
        <f>IFERROR(IF(F358&gt;=0,D358*E358*(1+F358/100),ABS(D358*E358/F358)),"")</f>
        <v/>
      </c>
      <c r="H358" s="43" t="str">
        <f>IFERROR(G358*E344,"")</f>
        <v/>
      </c>
    </row>
    <row r="359" spans="1:11">
      <c r="A359" s="21"/>
      <c r="B359" s="22" t="s">
        <v>3732</v>
      </c>
      <c r="C359" s="23"/>
      <c r="D359" s="24"/>
      <c r="E359" s="25"/>
      <c r="F359" s="26"/>
      <c r="G359" s="27">
        <f>SUM(G360:G362)</f>
        <v>20959.383393000004</v>
      </c>
      <c r="H359" s="44">
        <f>G359*E344</f>
        <v>0</v>
      </c>
    </row>
    <row r="360" spans="1:11">
      <c r="A360" s="28"/>
      <c r="B360" s="29" t="s">
        <v>3710</v>
      </c>
      <c r="C360" s="30" t="str">
        <f>IFERROR(_xlfn.XLOOKUP(B360,MObra[DESCRIPCION],MObra[UN],,0),"")</f>
        <v>día</v>
      </c>
      <c r="D360" s="31">
        <v>1</v>
      </c>
      <c r="E360" s="32">
        <f>IFERROR(_xlfn.XLOOKUP($B360,MObra[DESCRIPCION],MObra[VALOR UNIT],,0),"")</f>
        <v>314390.75089500006</v>
      </c>
      <c r="F360" s="33">
        <v>-15</v>
      </c>
      <c r="G360" s="34">
        <f>IFERROR(IF(F360&gt;=0,D360*E360*(1+F360/100),ABS(D360*E360/F360)),"")</f>
        <v>20959.383393000004</v>
      </c>
      <c r="H360" s="43">
        <f>IFERROR(G360*E344,"")</f>
        <v>0</v>
      </c>
    </row>
    <row r="361" spans="1:11">
      <c r="A361" s="28"/>
      <c r="B361" s="29"/>
      <c r="C361" s="30" t="str">
        <f>IFERROR(_xlfn.XLOOKUP(B361,MObra[DESCRIPCION],MObra[UN],,0),"")</f>
        <v/>
      </c>
      <c r="D361" s="31"/>
      <c r="E361" s="32" t="str">
        <f>IFERROR(_xlfn.XLOOKUP($B361,MObra[DESCRIPCION],MObra[VALOR UNIT],,0),"")</f>
        <v/>
      </c>
      <c r="F361" s="33"/>
      <c r="G361" s="34" t="str">
        <f>IFERROR(IF(F361&gt;=0,D361*E361*(1+F361/100),ABS(D361*E361/F361)),"")</f>
        <v/>
      </c>
      <c r="H361" s="43" t="str">
        <f>IFERROR(G361*E344,"")</f>
        <v/>
      </c>
    </row>
    <row r="362" spans="1:11">
      <c r="A362" s="35"/>
      <c r="B362" s="36"/>
      <c r="C362" s="37" t="str">
        <f>IFERROR(_xlfn.XLOOKUP(B362,MObra[DESCRIPCION],MObra[UN],,0),"")</f>
        <v/>
      </c>
      <c r="D362" s="38"/>
      <c r="E362" s="39" t="str">
        <f>IFERROR(_xlfn.XLOOKUP($B362,MObra[DESCRIPCION],MObra[VALOR UNIT],,0),"")</f>
        <v/>
      </c>
      <c r="F362" s="40"/>
      <c r="G362" s="41" t="str">
        <f>IFERROR(IF(F362&gt;=0,D362*E362*(1+F362/100),ABS(D362*E362/F362)),"")</f>
        <v/>
      </c>
      <c r="H362" s="42" t="str">
        <f>IFERROR(G362*E344,"")</f>
        <v/>
      </c>
    </row>
    <row r="364" spans="1:11">
      <c r="A364" s="6" t="s">
        <v>2074</v>
      </c>
      <c r="B364" s="7" t="str">
        <f>VLOOKUP($A364,Presupuesto!$A:$D,2,FALSE())</f>
        <v>Junta dilatación /exp cinta PVC V-10</v>
      </c>
      <c r="C364" s="8" t="str">
        <f>VLOOKUP($A364,Presupuesto!$A:$D,3,FALSE())</f>
        <v>M</v>
      </c>
      <c r="D364" s="9"/>
      <c r="E364" s="10">
        <f>VLOOKUP($A364,Presupuesto!$A:$D,4,FALSE())</f>
        <v>0</v>
      </c>
      <c r="F364" s="11" t="s">
        <v>2589</v>
      </c>
      <c r="G364" s="12">
        <f>SUM(G366:G382)/2</f>
        <v>53219.866921987501</v>
      </c>
      <c r="H364" s="13">
        <f>ROUND(SUM(H366:H382),0)/2</f>
        <v>0</v>
      </c>
      <c r="I364" s="10">
        <f>VLOOKUP(A364,Presupuesto!$A:$F,6,0)</f>
        <v>0</v>
      </c>
      <c r="J364" s="10">
        <f>+H364-I364</f>
        <v>0</v>
      </c>
      <c r="K364" s="46">
        <f>+H364-G364*E364</f>
        <v>0</v>
      </c>
    </row>
    <row r="365" spans="1:11">
      <c r="A365" s="14"/>
      <c r="B365" s="15" t="s">
        <v>2586</v>
      </c>
      <c r="C365" s="15" t="s">
        <v>5</v>
      </c>
      <c r="D365" s="16" t="s">
        <v>6</v>
      </c>
      <c r="E365" s="17" t="s">
        <v>7</v>
      </c>
      <c r="F365" s="18" t="s">
        <v>3728</v>
      </c>
      <c r="G365" s="19" t="s">
        <v>3729</v>
      </c>
      <c r="H365" s="20" t="s">
        <v>3797</v>
      </c>
    </row>
    <row r="366" spans="1:11">
      <c r="A366" s="21"/>
      <c r="B366" s="22" t="s">
        <v>3730</v>
      </c>
      <c r="C366" s="23"/>
      <c r="D366" s="24"/>
      <c r="E366" s="25"/>
      <c r="F366" s="26"/>
      <c r="G366" s="27">
        <f>SUM(G367:G371)</f>
        <v>36714.352500000008</v>
      </c>
      <c r="H366" s="27">
        <f>IFERROR(G366*E364,"")</f>
        <v>0</v>
      </c>
    </row>
    <row r="367" spans="1:11">
      <c r="A367" s="28"/>
      <c r="B367" s="29" t="s">
        <v>2852</v>
      </c>
      <c r="C367" s="30" t="str">
        <f>IFERROR(_xlfn.XLOOKUP(B367,Insumo[DESCRIPCION],Insumo[UND],,0),"")</f>
        <v>M</v>
      </c>
      <c r="D367" s="31">
        <v>1</v>
      </c>
      <c r="E367" s="32">
        <f>IFERROR(_xlfn.XLOOKUP($B367,Insumo[DESCRIPCION],Insumo[VALOR],,0),"")</f>
        <v>34966.050000000003</v>
      </c>
      <c r="F367" s="33">
        <v>5</v>
      </c>
      <c r="G367" s="34">
        <f>IFERROR(IF(F367&gt;=0,D367*E367*(1+F367/100),ABS(D367*E367/F367)),"")</f>
        <v>36714.352500000008</v>
      </c>
      <c r="H367" s="43">
        <f>IFERROR(G367*E364,"")</f>
        <v>0</v>
      </c>
    </row>
    <row r="368" spans="1:11">
      <c r="A368" s="28"/>
      <c r="B368" s="29"/>
      <c r="C368" s="30" t="str">
        <f>IFERROR(_xlfn.XLOOKUP(B368,Insumo[DESCRIPCION],Insumo[UND],,0),"")</f>
        <v/>
      </c>
      <c r="D368" s="31"/>
      <c r="E368" s="32" t="str">
        <f>IFERROR(_xlfn.XLOOKUP($B368,Insumo[DESCRIPCION],Insumo[VALOR],,0),"")</f>
        <v/>
      </c>
      <c r="F368" s="33"/>
      <c r="G368" s="34" t="str">
        <f>IFERROR(IF(F368&gt;=0,D368*E368*(1+F368/100),ABS(D368*E368/F368)),"")</f>
        <v/>
      </c>
      <c r="H368" s="43" t="str">
        <f>IFERROR(G368*E364,"")</f>
        <v/>
      </c>
    </row>
    <row r="369" spans="1:11">
      <c r="A369" s="28"/>
      <c r="B369" s="29"/>
      <c r="C369" s="30" t="str">
        <f>IFERROR(_xlfn.XLOOKUP(B369,Insumo[DESCRIPCION],Insumo[UND],,0),"")</f>
        <v/>
      </c>
      <c r="D369" s="31"/>
      <c r="E369" s="32" t="str">
        <f>IFERROR(_xlfn.XLOOKUP($B369,Insumo[DESCRIPCION],Insumo[VALOR],,0),"")</f>
        <v/>
      </c>
      <c r="F369" s="33"/>
      <c r="G369" s="34" t="str">
        <f>IFERROR(IF(F369&gt;=0,D369*E369*(1+F369/100),ABS(D369*E369/F369)),"")</f>
        <v/>
      </c>
      <c r="H369" s="43" t="str">
        <f>IFERROR(G369*E364,"")</f>
        <v/>
      </c>
    </row>
    <row r="370" spans="1:11">
      <c r="A370" s="28"/>
      <c r="B370" s="29"/>
      <c r="C370" s="30" t="str">
        <f>IFERROR(_xlfn.XLOOKUP(B370,Insumo[DESCRIPCION],Insumo[UND],,0),"")</f>
        <v/>
      </c>
      <c r="D370" s="31"/>
      <c r="E370" s="32" t="str">
        <f>IFERROR(_xlfn.XLOOKUP($B370,Insumo[DESCRIPCION],Insumo[VALOR],,0),"")</f>
        <v/>
      </c>
      <c r="F370" s="33"/>
      <c r="G370" s="34" t="str">
        <f>IFERROR(IF(F370&gt;=0,D370*E370*(1+F370/100),ABS(D370*E370/F370)),"")</f>
        <v/>
      </c>
      <c r="H370" s="43" t="str">
        <f>IFERROR(G370*E364,"")</f>
        <v/>
      </c>
    </row>
    <row r="371" spans="1:11">
      <c r="A371" s="28"/>
      <c r="B371" s="29"/>
      <c r="C371" s="30" t="str">
        <f>IFERROR(_xlfn.XLOOKUP(B371,Insumo[DESCRIPCION],Insumo[UND],,0),"")</f>
        <v/>
      </c>
      <c r="D371" s="31"/>
      <c r="E371" s="32" t="str">
        <f>IFERROR(_xlfn.XLOOKUP($B371,Insumo[DESCRIPCION],Insumo[VALOR],,0),"")</f>
        <v/>
      </c>
      <c r="F371" s="33"/>
      <c r="G371" s="34" t="str">
        <f>IFERROR(IF(F371&gt;=0,D371*E371*(1+F371/100),ABS(D371*E371/F371)),"")</f>
        <v/>
      </c>
      <c r="H371" s="43" t="str">
        <f>IFERROR(G371*E364,"")</f>
        <v/>
      </c>
    </row>
    <row r="372" spans="1:11">
      <c r="A372" s="21"/>
      <c r="B372" s="22" t="s">
        <v>3731</v>
      </c>
      <c r="C372" s="23"/>
      <c r="D372" s="24"/>
      <c r="E372" s="25"/>
      <c r="F372" s="26"/>
      <c r="G372" s="27">
        <f>SUM(G373:G375)</f>
        <v>785.97687723750016</v>
      </c>
      <c r="H372" s="44">
        <f>G372*E364</f>
        <v>0</v>
      </c>
    </row>
    <row r="373" spans="1:11">
      <c r="A373" s="28"/>
      <c r="B373" s="29" t="s">
        <v>3626</v>
      </c>
      <c r="C373" s="30" t="str">
        <f>IFERROR(_xlfn.XLOOKUP(B373,Equipo[DESCRIPCION],Equipo[UND],,0),"")</f>
        <v>%MO</v>
      </c>
      <c r="D373" s="31">
        <v>0.05</v>
      </c>
      <c r="E373" s="32">
        <f>IF(C373="%MO",G379,IFERROR(_xlfn.XLOOKUP($B373,Equipo[DESCRIPCION],Equipo[VALOR],,0),""))</f>
        <v>15719.537544750003</v>
      </c>
      <c r="F373" s="33"/>
      <c r="G373" s="34">
        <f>IFERROR(IF(F373&gt;=0,D373*E373*(1+F373/100),ABS(D373*E373/F373)),"")</f>
        <v>785.97687723750016</v>
      </c>
      <c r="H373" s="43">
        <f>IFERROR(G373*E364,"")</f>
        <v>0</v>
      </c>
    </row>
    <row r="374" spans="1:11">
      <c r="A374" s="28"/>
      <c r="B374" s="29"/>
      <c r="C374" s="30" t="str">
        <f>IFERROR(_xlfn.XLOOKUP(B374,Equipo[DESCRIPCION],Equipo[UND],,0),"")</f>
        <v/>
      </c>
      <c r="D374" s="31"/>
      <c r="E374" s="32" t="str">
        <f>IF(C374="%MO",G380,IFERROR(_xlfn.XLOOKUP($B374,Equipo[DESCRIPCION],Equipo[VALOR],,0),""))</f>
        <v/>
      </c>
      <c r="F374" s="33"/>
      <c r="G374" s="34" t="str">
        <f>IFERROR(IF(F374&gt;=0,D374*E374*(1+F374/100),ABS(D374*E374/F374)),"")</f>
        <v/>
      </c>
      <c r="H374" s="43" t="str">
        <f>IFERROR(G374*E364,"")</f>
        <v/>
      </c>
    </row>
    <row r="375" spans="1:11">
      <c r="A375" s="28"/>
      <c r="B375" s="29"/>
      <c r="C375" s="30" t="str">
        <f>IFERROR(_xlfn.XLOOKUP(B375,Equipo[DESCRIPCION],Equipo[UND],,0),"")</f>
        <v/>
      </c>
      <c r="D375" s="31"/>
      <c r="E375" s="32" t="str">
        <f>IF(C375="%MO",G381,IFERROR(_xlfn.XLOOKUP($B375,Equipo[DESCRIPCION],Equipo[VALOR],,0),""))</f>
        <v/>
      </c>
      <c r="F375" s="33"/>
      <c r="G375" s="34" t="str">
        <f>IFERROR(IF(F375&gt;=0,D375*E375*(1+F375/100),ABS(D375*E375/F375)),"")</f>
        <v/>
      </c>
      <c r="H375" s="43" t="str">
        <f>IFERROR(G375*E364,"")</f>
        <v/>
      </c>
    </row>
    <row r="376" spans="1:11">
      <c r="A376" s="21"/>
      <c r="B376" s="22" t="s">
        <v>2533</v>
      </c>
      <c r="C376" s="23"/>
      <c r="D376" s="24"/>
      <c r="E376" s="25"/>
      <c r="F376" s="26"/>
      <c r="G376" s="27">
        <f>SUM(G377:G378)</f>
        <v>0</v>
      </c>
      <c r="H376" s="44">
        <f>G376*E364</f>
        <v>0</v>
      </c>
    </row>
    <row r="377" spans="1:11">
      <c r="A377" s="28"/>
      <c r="B377" s="29"/>
      <c r="C377" s="30" t="str">
        <f>IFERROR(_xlfn.XLOOKUP(B377,Transporte[DESCRIPCION],Transporte[UND],,0),"")</f>
        <v/>
      </c>
      <c r="D377" s="31"/>
      <c r="E377" s="32" t="str">
        <f>IFERROR(_xlfn.XLOOKUP($B377,Transporte[DESCRIPCION],Transporte[VALOR],,0),"")</f>
        <v/>
      </c>
      <c r="F377" s="33"/>
      <c r="G377" s="34" t="str">
        <f>IFERROR(IF(F377&gt;=0,D377*E377*(1+F377/100),ABS(D377*E377/F377)),"")</f>
        <v/>
      </c>
      <c r="H377" s="43" t="str">
        <f>IFERROR(G377*E364,"")</f>
        <v/>
      </c>
    </row>
    <row r="378" spans="1:11">
      <c r="A378" s="28"/>
      <c r="B378" s="29"/>
      <c r="C378" s="30" t="str">
        <f>IFERROR(_xlfn.XLOOKUP(B378,Transporte[DESCRIPCION],Transporte[UND],,0),"")</f>
        <v/>
      </c>
      <c r="D378" s="31"/>
      <c r="E378" s="32" t="str">
        <f>IFERROR(_xlfn.XLOOKUP($B378,Transporte[DESCRIPCION],Transporte[VALOR],,0),"")</f>
        <v/>
      </c>
      <c r="F378" s="33"/>
      <c r="G378" s="34" t="str">
        <f>IFERROR(IF(F378&gt;=0,D378*E378*(1+F378/100),ABS(D378*E378/F378)),"")</f>
        <v/>
      </c>
      <c r="H378" s="43" t="str">
        <f>IFERROR(G378*E364,"")</f>
        <v/>
      </c>
    </row>
    <row r="379" spans="1:11">
      <c r="A379" s="21"/>
      <c r="B379" s="22" t="s">
        <v>3732</v>
      </c>
      <c r="C379" s="23"/>
      <c r="D379" s="24"/>
      <c r="E379" s="25"/>
      <c r="F379" s="26"/>
      <c r="G379" s="27">
        <f>SUM(G380:G382)</f>
        <v>15719.537544750003</v>
      </c>
      <c r="H379" s="44">
        <f>G379*E364</f>
        <v>0</v>
      </c>
    </row>
    <row r="380" spans="1:11">
      <c r="A380" s="28"/>
      <c r="B380" s="29" t="s">
        <v>3710</v>
      </c>
      <c r="C380" s="30" t="str">
        <f>IFERROR(_xlfn.XLOOKUP(B380,MObra[DESCRIPCION],MObra[UN],,0),"")</f>
        <v>día</v>
      </c>
      <c r="D380" s="31">
        <v>1</v>
      </c>
      <c r="E380" s="32">
        <f>IFERROR(_xlfn.XLOOKUP($B380,MObra[DESCRIPCION],MObra[VALOR UNIT],,0),"")</f>
        <v>314390.75089500006</v>
      </c>
      <c r="F380" s="33">
        <v>-20</v>
      </c>
      <c r="G380" s="34">
        <f>IFERROR(IF(F380&gt;=0,D380*E380*(1+F380/100),ABS(D380*E380/F380)),"")</f>
        <v>15719.537544750003</v>
      </c>
      <c r="H380" s="43">
        <f>IFERROR(G380*E364,"")</f>
        <v>0</v>
      </c>
    </row>
    <row r="381" spans="1:11">
      <c r="A381" s="28"/>
      <c r="B381" s="29"/>
      <c r="C381" s="30" t="str">
        <f>IFERROR(_xlfn.XLOOKUP(B381,MObra[DESCRIPCION],MObra[UN],,0),"")</f>
        <v/>
      </c>
      <c r="D381" s="31"/>
      <c r="E381" s="32" t="str">
        <f>IFERROR(_xlfn.XLOOKUP($B381,MObra[DESCRIPCION],MObra[VALOR UNIT],,0),"")</f>
        <v/>
      </c>
      <c r="F381" s="33"/>
      <c r="G381" s="34" t="str">
        <f>IFERROR(IF(F381&gt;=0,D381*E381*(1+F381/100),ABS(D381*E381/F381)),"")</f>
        <v/>
      </c>
      <c r="H381" s="43" t="str">
        <f>IFERROR(G381*E364,"")</f>
        <v/>
      </c>
    </row>
    <row r="382" spans="1:11">
      <c r="A382" s="35"/>
      <c r="B382" s="36"/>
      <c r="C382" s="37" t="str">
        <f>IFERROR(_xlfn.XLOOKUP(B382,MObra[DESCRIPCION],MObra[UN],,0),"")</f>
        <v/>
      </c>
      <c r="D382" s="38"/>
      <c r="E382" s="39" t="str">
        <f>IFERROR(_xlfn.XLOOKUP($B382,MObra[DESCRIPCION],MObra[VALOR UNIT],,0),"")</f>
        <v/>
      </c>
      <c r="F382" s="40"/>
      <c r="G382" s="41" t="str">
        <f>IFERROR(IF(F382&gt;=0,D382*E382*(1+F382/100),ABS(D382*E382/F382)),"")</f>
        <v/>
      </c>
      <c r="H382" s="42" t="str">
        <f>IFERROR(G382*E364,"")</f>
        <v/>
      </c>
    </row>
    <row r="384" spans="1:11">
      <c r="A384" s="6" t="s">
        <v>2076</v>
      </c>
      <c r="B384" s="7" t="str">
        <f>VLOOKUP($A384,Presupuesto!$A:$D,2,FALSE())</f>
        <v>Junta dilatación /exp cinta PVC V-15</v>
      </c>
      <c r="C384" s="8" t="str">
        <f>VLOOKUP($A384,Presupuesto!$A:$D,3,FALSE())</f>
        <v>M</v>
      </c>
      <c r="D384" s="9"/>
      <c r="E384" s="10">
        <f>VLOOKUP($A384,Presupuesto!$A:$D,4,FALSE())</f>
        <v>0</v>
      </c>
      <c r="F384" s="11" t="s">
        <v>2589</v>
      </c>
      <c r="G384" s="12">
        <f>SUM(G386:G402)/2</f>
        <v>78920.244421987503</v>
      </c>
      <c r="H384" s="13">
        <f>ROUND(SUM(H386:H402),0)/2</f>
        <v>0</v>
      </c>
      <c r="I384" s="10">
        <f>VLOOKUP(A384,Presupuesto!$A:$F,6,0)</f>
        <v>0</v>
      </c>
      <c r="J384" s="10">
        <f>+H384-I384</f>
        <v>0</v>
      </c>
      <c r="K384" s="46">
        <f>+H384-G384*E384</f>
        <v>0</v>
      </c>
    </row>
    <row r="385" spans="1:8">
      <c r="A385" s="14"/>
      <c r="B385" s="15" t="s">
        <v>2586</v>
      </c>
      <c r="C385" s="15" t="s">
        <v>5</v>
      </c>
      <c r="D385" s="16" t="s">
        <v>6</v>
      </c>
      <c r="E385" s="17" t="s">
        <v>7</v>
      </c>
      <c r="F385" s="18" t="s">
        <v>3728</v>
      </c>
      <c r="G385" s="19" t="s">
        <v>3729</v>
      </c>
      <c r="H385" s="20" t="s">
        <v>3797</v>
      </c>
    </row>
    <row r="386" spans="1:8">
      <c r="A386" s="21"/>
      <c r="B386" s="22" t="s">
        <v>3730</v>
      </c>
      <c r="C386" s="23"/>
      <c r="D386" s="24"/>
      <c r="E386" s="25"/>
      <c r="F386" s="26"/>
      <c r="G386" s="27">
        <f>SUM(G387:G391)</f>
        <v>62414.73000000001</v>
      </c>
      <c r="H386" s="27">
        <f>IFERROR(G386*E384,"")</f>
        <v>0</v>
      </c>
    </row>
    <row r="387" spans="1:8">
      <c r="A387" s="28"/>
      <c r="B387" s="29" t="s">
        <v>2853</v>
      </c>
      <c r="C387" s="30" t="str">
        <f>IFERROR(_xlfn.XLOOKUP(B387,Insumo[DESCRIPCION],Insumo[UND],,0),"")</f>
        <v>M</v>
      </c>
      <c r="D387" s="31">
        <v>1</v>
      </c>
      <c r="E387" s="32">
        <f>IFERROR(_xlfn.XLOOKUP($B387,Insumo[DESCRIPCION],Insumo[VALOR],,0),"")</f>
        <v>59442.600000000006</v>
      </c>
      <c r="F387" s="33">
        <v>5</v>
      </c>
      <c r="G387" s="34">
        <f>IFERROR(IF(F387&gt;=0,D387*E387*(1+F387/100),ABS(D387*E387/F387)),"")</f>
        <v>62414.73000000001</v>
      </c>
      <c r="H387" s="43">
        <f>IFERROR(G387*E384,"")</f>
        <v>0</v>
      </c>
    </row>
    <row r="388" spans="1:8">
      <c r="A388" s="28"/>
      <c r="B388" s="29"/>
      <c r="C388" s="30" t="str">
        <f>IFERROR(_xlfn.XLOOKUP(B388,Insumo[DESCRIPCION],Insumo[UND],,0),"")</f>
        <v/>
      </c>
      <c r="D388" s="31"/>
      <c r="E388" s="32" t="str">
        <f>IFERROR(_xlfn.XLOOKUP($B388,Insumo[DESCRIPCION],Insumo[VALOR],,0),"")</f>
        <v/>
      </c>
      <c r="F388" s="33"/>
      <c r="G388" s="34" t="str">
        <f>IFERROR(IF(F388&gt;=0,D388*E388*(1+F388/100),ABS(D388*E388/F388)),"")</f>
        <v/>
      </c>
      <c r="H388" s="43" t="str">
        <f>IFERROR(G388*E384,"")</f>
        <v/>
      </c>
    </row>
    <row r="389" spans="1:8">
      <c r="A389" s="28"/>
      <c r="B389" s="29"/>
      <c r="C389" s="30" t="str">
        <f>IFERROR(_xlfn.XLOOKUP(B389,Insumo[DESCRIPCION],Insumo[UND],,0),"")</f>
        <v/>
      </c>
      <c r="D389" s="31"/>
      <c r="E389" s="32" t="str">
        <f>IFERROR(_xlfn.XLOOKUP($B389,Insumo[DESCRIPCION],Insumo[VALOR],,0),"")</f>
        <v/>
      </c>
      <c r="F389" s="33"/>
      <c r="G389" s="34" t="str">
        <f>IFERROR(IF(F389&gt;=0,D389*E389*(1+F389/100),ABS(D389*E389/F389)),"")</f>
        <v/>
      </c>
      <c r="H389" s="43" t="str">
        <f>IFERROR(G389*E384,"")</f>
        <v/>
      </c>
    </row>
    <row r="390" spans="1:8">
      <c r="A390" s="28"/>
      <c r="B390" s="29"/>
      <c r="C390" s="30" t="str">
        <f>IFERROR(_xlfn.XLOOKUP(B390,Insumo[DESCRIPCION],Insumo[UND],,0),"")</f>
        <v/>
      </c>
      <c r="D390" s="31"/>
      <c r="E390" s="32" t="str">
        <f>IFERROR(_xlfn.XLOOKUP($B390,Insumo[DESCRIPCION],Insumo[VALOR],,0),"")</f>
        <v/>
      </c>
      <c r="F390" s="33"/>
      <c r="G390" s="34" t="str">
        <f>IFERROR(IF(F390&gt;=0,D390*E390*(1+F390/100),ABS(D390*E390/F390)),"")</f>
        <v/>
      </c>
      <c r="H390" s="43" t="str">
        <f>IFERROR(G390*E384,"")</f>
        <v/>
      </c>
    </row>
    <row r="391" spans="1:8">
      <c r="A391" s="28"/>
      <c r="B391" s="29"/>
      <c r="C391" s="30" t="str">
        <f>IFERROR(_xlfn.XLOOKUP(B391,Insumo[DESCRIPCION],Insumo[UND],,0),"")</f>
        <v/>
      </c>
      <c r="D391" s="31"/>
      <c r="E391" s="32" t="str">
        <f>IFERROR(_xlfn.XLOOKUP($B391,Insumo[DESCRIPCION],Insumo[VALOR],,0),"")</f>
        <v/>
      </c>
      <c r="F391" s="33"/>
      <c r="G391" s="34" t="str">
        <f>IFERROR(IF(F391&gt;=0,D391*E391*(1+F391/100),ABS(D391*E391/F391)),"")</f>
        <v/>
      </c>
      <c r="H391" s="43" t="str">
        <f>IFERROR(G391*E384,"")</f>
        <v/>
      </c>
    </row>
    <row r="392" spans="1:8">
      <c r="A392" s="21"/>
      <c r="B392" s="22" t="s">
        <v>3731</v>
      </c>
      <c r="C392" s="23"/>
      <c r="D392" s="24"/>
      <c r="E392" s="25"/>
      <c r="F392" s="26"/>
      <c r="G392" s="27">
        <f>SUM(G393:G395)</f>
        <v>785.97687723750016</v>
      </c>
      <c r="H392" s="44">
        <f>G392*E384</f>
        <v>0</v>
      </c>
    </row>
    <row r="393" spans="1:8">
      <c r="A393" s="28"/>
      <c r="B393" s="29" t="s">
        <v>3626</v>
      </c>
      <c r="C393" s="30" t="str">
        <f>IFERROR(_xlfn.XLOOKUP(B393,Equipo[DESCRIPCION],Equipo[UND],,0),"")</f>
        <v>%MO</v>
      </c>
      <c r="D393" s="31">
        <v>0.05</v>
      </c>
      <c r="E393" s="32">
        <f>IF(C393="%MO",G399,IFERROR(_xlfn.XLOOKUP($B393,Equipo[DESCRIPCION],Equipo[VALOR],,0),""))</f>
        <v>15719.537544750003</v>
      </c>
      <c r="F393" s="33"/>
      <c r="G393" s="34">
        <f>IFERROR(IF(F393&gt;=0,D393*E393*(1+F393/100),ABS(D393*E393/F393)),"")</f>
        <v>785.97687723750016</v>
      </c>
      <c r="H393" s="43">
        <f>IFERROR(G393*E384,"")</f>
        <v>0</v>
      </c>
    </row>
    <row r="394" spans="1:8">
      <c r="A394" s="28"/>
      <c r="B394" s="29"/>
      <c r="C394" s="30" t="str">
        <f>IFERROR(_xlfn.XLOOKUP(B394,Equipo[DESCRIPCION],Equipo[UND],,0),"")</f>
        <v/>
      </c>
      <c r="D394" s="31"/>
      <c r="E394" s="32" t="str">
        <f>IF(C394="%MO",G400,IFERROR(_xlfn.XLOOKUP($B394,Equipo[DESCRIPCION],Equipo[VALOR],,0),""))</f>
        <v/>
      </c>
      <c r="F394" s="33"/>
      <c r="G394" s="34" t="str">
        <f>IFERROR(IF(F394&gt;=0,D394*E394*(1+F394/100),ABS(D394*E394/F394)),"")</f>
        <v/>
      </c>
      <c r="H394" s="43" t="str">
        <f>IFERROR(G394*E384,"")</f>
        <v/>
      </c>
    </row>
    <row r="395" spans="1:8">
      <c r="A395" s="28"/>
      <c r="B395" s="29"/>
      <c r="C395" s="30" t="str">
        <f>IFERROR(_xlfn.XLOOKUP(B395,Equipo[DESCRIPCION],Equipo[UND],,0),"")</f>
        <v/>
      </c>
      <c r="D395" s="31"/>
      <c r="E395" s="32" t="str">
        <f>IF(C395="%MO",G401,IFERROR(_xlfn.XLOOKUP($B395,Equipo[DESCRIPCION],Equipo[VALOR],,0),""))</f>
        <v/>
      </c>
      <c r="F395" s="33"/>
      <c r="G395" s="34" t="str">
        <f>IFERROR(IF(F395&gt;=0,D395*E395*(1+F395/100),ABS(D395*E395/F395)),"")</f>
        <v/>
      </c>
      <c r="H395" s="43" t="str">
        <f>IFERROR(G395*E384,"")</f>
        <v/>
      </c>
    </row>
    <row r="396" spans="1:8">
      <c r="A396" s="21"/>
      <c r="B396" s="22" t="s">
        <v>2533</v>
      </c>
      <c r="C396" s="23"/>
      <c r="D396" s="24"/>
      <c r="E396" s="25"/>
      <c r="F396" s="26"/>
      <c r="G396" s="27">
        <f>SUM(G397:G398)</f>
        <v>0</v>
      </c>
      <c r="H396" s="44">
        <f>G396*E384</f>
        <v>0</v>
      </c>
    </row>
    <row r="397" spans="1:8">
      <c r="A397" s="28"/>
      <c r="B397" s="29"/>
      <c r="C397" s="30" t="str">
        <f>IFERROR(_xlfn.XLOOKUP(B397,Transporte[DESCRIPCION],Transporte[UND],,0),"")</f>
        <v/>
      </c>
      <c r="D397" s="31"/>
      <c r="E397" s="32" t="str">
        <f>IFERROR(_xlfn.XLOOKUP($B397,Transporte[DESCRIPCION],Transporte[VALOR],,0),"")</f>
        <v/>
      </c>
      <c r="F397" s="33"/>
      <c r="G397" s="34" t="str">
        <f>IFERROR(IF(F397&gt;=0,D397*E397*(1+F397/100),ABS(D397*E397/F397)),"")</f>
        <v/>
      </c>
      <c r="H397" s="43" t="str">
        <f>IFERROR(G397*E384,"")</f>
        <v/>
      </c>
    </row>
    <row r="398" spans="1:8">
      <c r="A398" s="28"/>
      <c r="B398" s="29"/>
      <c r="C398" s="30" t="str">
        <f>IFERROR(_xlfn.XLOOKUP(B398,Transporte[DESCRIPCION],Transporte[UND],,0),"")</f>
        <v/>
      </c>
      <c r="D398" s="31"/>
      <c r="E398" s="32" t="str">
        <f>IFERROR(_xlfn.XLOOKUP($B398,Transporte[DESCRIPCION],Transporte[VALOR],,0),"")</f>
        <v/>
      </c>
      <c r="F398" s="33"/>
      <c r="G398" s="34" t="str">
        <f>IFERROR(IF(F398&gt;=0,D398*E398*(1+F398/100),ABS(D398*E398/F398)),"")</f>
        <v/>
      </c>
      <c r="H398" s="43" t="str">
        <f>IFERROR(G398*E384,"")</f>
        <v/>
      </c>
    </row>
    <row r="399" spans="1:8">
      <c r="A399" s="21"/>
      <c r="B399" s="22" t="s">
        <v>3732</v>
      </c>
      <c r="C399" s="23"/>
      <c r="D399" s="24"/>
      <c r="E399" s="25"/>
      <c r="F399" s="26"/>
      <c r="G399" s="27">
        <f>SUM(G400:G402)</f>
        <v>15719.537544750003</v>
      </c>
      <c r="H399" s="44">
        <f>G399*E384</f>
        <v>0</v>
      </c>
    </row>
    <row r="400" spans="1:8">
      <c r="A400" s="28"/>
      <c r="B400" s="29" t="s">
        <v>3710</v>
      </c>
      <c r="C400" s="30" t="str">
        <f>IFERROR(_xlfn.XLOOKUP(B400,MObra[DESCRIPCION],MObra[UN],,0),"")</f>
        <v>día</v>
      </c>
      <c r="D400" s="31">
        <v>1</v>
      </c>
      <c r="E400" s="32">
        <f>IFERROR(_xlfn.XLOOKUP($B400,MObra[DESCRIPCION],MObra[VALOR UNIT],,0),"")</f>
        <v>314390.75089500006</v>
      </c>
      <c r="F400" s="33">
        <v>-20</v>
      </c>
      <c r="G400" s="34">
        <f>IFERROR(IF(F400&gt;=0,D400*E400*(1+F400/100),ABS(D400*E400/F400)),"")</f>
        <v>15719.537544750003</v>
      </c>
      <c r="H400" s="43">
        <f>IFERROR(G400*E384,"")</f>
        <v>0</v>
      </c>
    </row>
    <row r="401" spans="1:11">
      <c r="A401" s="28"/>
      <c r="B401" s="29"/>
      <c r="C401" s="30" t="str">
        <f>IFERROR(_xlfn.XLOOKUP(B401,MObra[DESCRIPCION],MObra[UN],,0),"")</f>
        <v/>
      </c>
      <c r="D401" s="31"/>
      <c r="E401" s="32" t="str">
        <f>IFERROR(_xlfn.XLOOKUP($B401,MObra[DESCRIPCION],MObra[VALOR UNIT],,0),"")</f>
        <v/>
      </c>
      <c r="F401" s="33"/>
      <c r="G401" s="34" t="str">
        <f>IFERROR(IF(F401&gt;=0,D401*E401*(1+F401/100),ABS(D401*E401/F401)),"")</f>
        <v/>
      </c>
      <c r="H401" s="43" t="str">
        <f>IFERROR(G401*E384,"")</f>
        <v/>
      </c>
    </row>
    <row r="402" spans="1:11">
      <c r="A402" s="35"/>
      <c r="B402" s="36"/>
      <c r="C402" s="37" t="str">
        <f>IFERROR(_xlfn.XLOOKUP(B402,MObra[DESCRIPCION],MObra[UN],,0),"")</f>
        <v/>
      </c>
      <c r="D402" s="38"/>
      <c r="E402" s="39" t="str">
        <f>IFERROR(_xlfn.XLOOKUP($B402,MObra[DESCRIPCION],MObra[VALOR UNIT],,0),"")</f>
        <v/>
      </c>
      <c r="F402" s="40"/>
      <c r="G402" s="41" t="str">
        <f>IFERROR(IF(F402&gt;=0,D402*E402*(1+F402/100),ABS(D402*E402/F402)),"")</f>
        <v/>
      </c>
      <c r="H402" s="42" t="str">
        <f>IFERROR(G402*E384,"")</f>
        <v/>
      </c>
    </row>
    <row r="404" spans="1:11">
      <c r="A404" s="6" t="s">
        <v>2078</v>
      </c>
      <c r="B404" s="7" t="str">
        <f>VLOOKUP($A404,Presupuesto!$A:$D,2,FALSE())</f>
        <v>Lloradero muro PVC aguas lluvias 2"</v>
      </c>
      <c r="C404" s="8" t="str">
        <f>VLOOKUP($A404,Presupuesto!$A:$D,3,FALSE())</f>
        <v>Un</v>
      </c>
      <c r="D404" s="9"/>
      <c r="E404" s="10">
        <f>VLOOKUP($A404,Presupuesto!$A:$D,4,FALSE())</f>
        <v>0</v>
      </c>
      <c r="F404" s="11" t="s">
        <v>2589</v>
      </c>
      <c r="G404" s="12">
        <f>SUM(G406:G422)/2</f>
        <v>14386.805371575003</v>
      </c>
      <c r="H404" s="13">
        <f>ROUND(SUM(H406:H422),0)/2</f>
        <v>0</v>
      </c>
      <c r="I404" s="10">
        <f>VLOOKUP(A404,Presupuesto!$A:$F,6,0)</f>
        <v>0</v>
      </c>
      <c r="J404" s="10">
        <f>+H404-I404</f>
        <v>0</v>
      </c>
      <c r="K404" s="46">
        <f>+H404-G404*E404</f>
        <v>0</v>
      </c>
    </row>
    <row r="405" spans="1:11">
      <c r="A405" s="14"/>
      <c r="B405" s="15" t="s">
        <v>2586</v>
      </c>
      <c r="C405" s="15" t="s">
        <v>5</v>
      </c>
      <c r="D405" s="16" t="s">
        <v>6</v>
      </c>
      <c r="E405" s="17" t="s">
        <v>7</v>
      </c>
      <c r="F405" s="18" t="s">
        <v>3728</v>
      </c>
      <c r="G405" s="19" t="s">
        <v>3729</v>
      </c>
      <c r="H405" s="20" t="s">
        <v>3797</v>
      </c>
    </row>
    <row r="406" spans="1:11">
      <c r="A406" s="21"/>
      <c r="B406" s="22" t="s">
        <v>3730</v>
      </c>
      <c r="C406" s="23"/>
      <c r="D406" s="24"/>
      <c r="E406" s="25"/>
      <c r="F406" s="26"/>
      <c r="G406" s="27">
        <f>SUM(G407:G411)</f>
        <v>7458.5647500000014</v>
      </c>
      <c r="H406" s="27">
        <f>IFERROR(G406*E404,"")</f>
        <v>0</v>
      </c>
    </row>
    <row r="407" spans="1:11">
      <c r="A407" s="28"/>
      <c r="B407" s="29" t="s">
        <v>3508</v>
      </c>
      <c r="C407" s="30" t="str">
        <f>IFERROR(_xlfn.XLOOKUP(B407,Insumo[DESCRIPCION],Insumo[UND],,0),"")</f>
        <v>M</v>
      </c>
      <c r="D407" s="31">
        <v>0.5</v>
      </c>
      <c r="E407" s="32">
        <f>IFERROR(_xlfn.XLOOKUP($B407,Insumo[DESCRIPCION],Insumo[VALOR],,0),"")</f>
        <v>14482.650000000001</v>
      </c>
      <c r="F407" s="33">
        <v>3</v>
      </c>
      <c r="G407" s="34">
        <f>IFERROR(IF(F407&gt;=0,D407*E407*(1+F407/100),ABS(D407*E407/F407)),"")</f>
        <v>7458.5647500000014</v>
      </c>
      <c r="H407" s="43">
        <f>IFERROR(G407*E404,"")</f>
        <v>0</v>
      </c>
    </row>
    <row r="408" spans="1:11">
      <c r="A408" s="28"/>
      <c r="B408" s="29"/>
      <c r="C408" s="30" t="str">
        <f>IFERROR(_xlfn.XLOOKUP(B408,Insumo[DESCRIPCION],Insumo[UND],,0),"")</f>
        <v/>
      </c>
      <c r="D408" s="31"/>
      <c r="E408" s="32" t="str">
        <f>IFERROR(_xlfn.XLOOKUP($B408,Insumo[DESCRIPCION],Insumo[VALOR],,0),"")</f>
        <v/>
      </c>
      <c r="F408" s="33"/>
      <c r="G408" s="34" t="str">
        <f>IFERROR(IF(F408&gt;=0,D408*E408*(1+F408/100),ABS(D408*E408/F408)),"")</f>
        <v/>
      </c>
      <c r="H408" s="43" t="str">
        <f>IFERROR(G408*E404,"")</f>
        <v/>
      </c>
    </row>
    <row r="409" spans="1:11">
      <c r="A409" s="28"/>
      <c r="B409" s="29"/>
      <c r="C409" s="30" t="str">
        <f>IFERROR(_xlfn.XLOOKUP(B409,Insumo[DESCRIPCION],Insumo[UND],,0),"")</f>
        <v/>
      </c>
      <c r="D409" s="31"/>
      <c r="E409" s="32" t="str">
        <f>IFERROR(_xlfn.XLOOKUP($B409,Insumo[DESCRIPCION],Insumo[VALOR],,0),"")</f>
        <v/>
      </c>
      <c r="F409" s="33"/>
      <c r="G409" s="34" t="str">
        <f>IFERROR(IF(F409&gt;=0,D409*E409*(1+F409/100),ABS(D409*E409/F409)),"")</f>
        <v/>
      </c>
      <c r="H409" s="43" t="str">
        <f>IFERROR(G409*E404,"")</f>
        <v/>
      </c>
    </row>
    <row r="410" spans="1:11">
      <c r="A410" s="28"/>
      <c r="B410" s="29"/>
      <c r="C410" s="30" t="str">
        <f>IFERROR(_xlfn.XLOOKUP(B410,Insumo[DESCRIPCION],Insumo[UND],,0),"")</f>
        <v/>
      </c>
      <c r="D410" s="31"/>
      <c r="E410" s="32" t="str">
        <f>IFERROR(_xlfn.XLOOKUP($B410,Insumo[DESCRIPCION],Insumo[VALOR],,0),"")</f>
        <v/>
      </c>
      <c r="F410" s="33"/>
      <c r="G410" s="34" t="str">
        <f>IFERROR(IF(F410&gt;=0,D410*E410*(1+F410/100),ABS(D410*E410/F410)),"")</f>
        <v/>
      </c>
      <c r="H410" s="43" t="str">
        <f>IFERROR(G410*E404,"")</f>
        <v/>
      </c>
    </row>
    <row r="411" spans="1:11">
      <c r="A411" s="28"/>
      <c r="B411" s="29"/>
      <c r="C411" s="30" t="str">
        <f>IFERROR(_xlfn.XLOOKUP(B411,Insumo[DESCRIPCION],Insumo[UND],,0),"")</f>
        <v/>
      </c>
      <c r="D411" s="31"/>
      <c r="E411" s="32" t="str">
        <f>IFERROR(_xlfn.XLOOKUP($B411,Insumo[DESCRIPCION],Insumo[VALOR],,0),"")</f>
        <v/>
      </c>
      <c r="F411" s="33"/>
      <c r="G411" s="34" t="str">
        <f>IFERROR(IF(F411&gt;=0,D411*E411*(1+F411/100),ABS(D411*E411/F411)),"")</f>
        <v/>
      </c>
      <c r="H411" s="43" t="str">
        <f>IFERROR(G411*E404,"")</f>
        <v/>
      </c>
    </row>
    <row r="412" spans="1:11">
      <c r="A412" s="21"/>
      <c r="B412" s="22" t="s">
        <v>3731</v>
      </c>
      <c r="C412" s="23"/>
      <c r="D412" s="24"/>
      <c r="E412" s="25"/>
      <c r="F412" s="26"/>
      <c r="G412" s="27">
        <f>SUM(G413:G415)</f>
        <v>329.91622007500007</v>
      </c>
      <c r="H412" s="44">
        <f>G412*E404</f>
        <v>0</v>
      </c>
    </row>
    <row r="413" spans="1:11">
      <c r="A413" s="28"/>
      <c r="B413" s="29" t="s">
        <v>3626</v>
      </c>
      <c r="C413" s="30" t="str">
        <f>IFERROR(_xlfn.XLOOKUP(B413,Equipo[DESCRIPCION],Equipo[UND],,0),"")</f>
        <v>%MO</v>
      </c>
      <c r="D413" s="31">
        <v>0.05</v>
      </c>
      <c r="E413" s="32">
        <f>IF(C413="%MO",G419,IFERROR(_xlfn.XLOOKUP($B413,Equipo[DESCRIPCION],Equipo[VALOR],,0),""))</f>
        <v>6598.3244015000009</v>
      </c>
      <c r="F413" s="33"/>
      <c r="G413" s="34">
        <f>IFERROR(IF(F413&gt;=0,D413*E413*(1+F413/100),ABS(D413*E413/F413)),"")</f>
        <v>329.91622007500007</v>
      </c>
      <c r="H413" s="43">
        <f>IFERROR(G413*E404,"")</f>
        <v>0</v>
      </c>
    </row>
    <row r="414" spans="1:11">
      <c r="A414" s="28"/>
      <c r="B414" s="29"/>
      <c r="C414" s="30" t="str">
        <f>IFERROR(_xlfn.XLOOKUP(B414,Equipo[DESCRIPCION],Equipo[UND],,0),"")</f>
        <v/>
      </c>
      <c r="D414" s="31"/>
      <c r="E414" s="32" t="str">
        <f>IF(C414="%MO",G420,IFERROR(_xlfn.XLOOKUP($B414,Equipo[DESCRIPCION],Equipo[VALOR],,0),""))</f>
        <v/>
      </c>
      <c r="F414" s="33"/>
      <c r="G414" s="34" t="str">
        <f>IFERROR(IF(F414&gt;=0,D414*E414*(1+F414/100),ABS(D414*E414/F414)),"")</f>
        <v/>
      </c>
      <c r="H414" s="43" t="str">
        <f>IFERROR(G414*E404,"")</f>
        <v/>
      </c>
    </row>
    <row r="415" spans="1:11">
      <c r="A415" s="28"/>
      <c r="B415" s="29"/>
      <c r="C415" s="30" t="str">
        <f>IFERROR(_xlfn.XLOOKUP(B415,Equipo[DESCRIPCION],Equipo[UND],,0),"")</f>
        <v/>
      </c>
      <c r="D415" s="31"/>
      <c r="E415" s="32" t="str">
        <f>IF(C415="%MO",G421,IFERROR(_xlfn.XLOOKUP($B415,Equipo[DESCRIPCION],Equipo[VALOR],,0),""))</f>
        <v/>
      </c>
      <c r="F415" s="33"/>
      <c r="G415" s="34" t="str">
        <f>IFERROR(IF(F415&gt;=0,D415*E415*(1+F415/100),ABS(D415*E415/F415)),"")</f>
        <v/>
      </c>
      <c r="H415" s="43" t="str">
        <f>IFERROR(G415*E404,"")</f>
        <v/>
      </c>
    </row>
    <row r="416" spans="1:11">
      <c r="A416" s="21"/>
      <c r="B416" s="22" t="s">
        <v>2533</v>
      </c>
      <c r="C416" s="23"/>
      <c r="D416" s="24"/>
      <c r="E416" s="25"/>
      <c r="F416" s="26"/>
      <c r="G416" s="27">
        <f>SUM(G417:G418)</f>
        <v>0</v>
      </c>
      <c r="H416" s="44">
        <f>G416*E404</f>
        <v>0</v>
      </c>
    </row>
    <row r="417" spans="1:11">
      <c r="A417" s="28"/>
      <c r="B417" s="29"/>
      <c r="C417" s="30" t="str">
        <f>IFERROR(_xlfn.XLOOKUP(B417,Transporte[DESCRIPCION],Transporte[UND],,0),"")</f>
        <v/>
      </c>
      <c r="D417" s="31"/>
      <c r="E417" s="32" t="str">
        <f>IFERROR(_xlfn.XLOOKUP($B417,Transporte[DESCRIPCION],Transporte[VALOR],,0),"")</f>
        <v/>
      </c>
      <c r="F417" s="33"/>
      <c r="G417" s="34" t="str">
        <f>IFERROR(IF(F417&gt;=0,D417*E417*(1+F417/100),ABS(D417*E417/F417)),"")</f>
        <v/>
      </c>
      <c r="H417" s="43" t="str">
        <f>IFERROR(G417*E404,"")</f>
        <v/>
      </c>
    </row>
    <row r="418" spans="1:11">
      <c r="A418" s="28"/>
      <c r="B418" s="29"/>
      <c r="C418" s="30" t="str">
        <f>IFERROR(_xlfn.XLOOKUP(B418,Transporte[DESCRIPCION],Transporte[UND],,0),"")</f>
        <v/>
      </c>
      <c r="D418" s="31"/>
      <c r="E418" s="32" t="str">
        <f>IFERROR(_xlfn.XLOOKUP($B418,Transporte[DESCRIPCION],Transporte[VALOR],,0),"")</f>
        <v/>
      </c>
      <c r="F418" s="33"/>
      <c r="G418" s="34" t="str">
        <f>IFERROR(IF(F418&gt;=0,D418*E418*(1+F418/100),ABS(D418*E418/F418)),"")</f>
        <v/>
      </c>
      <c r="H418" s="43" t="str">
        <f>IFERROR(G418*E404,"")</f>
        <v/>
      </c>
    </row>
    <row r="419" spans="1:11">
      <c r="A419" s="21"/>
      <c r="B419" s="22" t="s">
        <v>3732</v>
      </c>
      <c r="C419" s="23"/>
      <c r="D419" s="24"/>
      <c r="E419" s="25"/>
      <c r="F419" s="26"/>
      <c r="G419" s="27">
        <f>SUM(G420:G422)</f>
        <v>6598.3244015000009</v>
      </c>
      <c r="H419" s="44">
        <f>G419*E404</f>
        <v>0</v>
      </c>
    </row>
    <row r="420" spans="1:11">
      <c r="A420" s="28"/>
      <c r="B420" s="29" t="s">
        <v>3705</v>
      </c>
      <c r="C420" s="30" t="str">
        <f>IFERROR(_xlfn.XLOOKUP(B420,MObra[DESCRIPCION],MObra[UN],,0),"")</f>
        <v>día</v>
      </c>
      <c r="D420" s="31">
        <v>1</v>
      </c>
      <c r="E420" s="32">
        <f>IFERROR(_xlfn.XLOOKUP($B420,MObra[DESCRIPCION],MObra[VALOR UNIT],,0),"")</f>
        <v>197949.73204500004</v>
      </c>
      <c r="F420" s="33">
        <v>-30</v>
      </c>
      <c r="G420" s="34">
        <f>IFERROR(IF(F420&gt;=0,D420*E420*(1+F420/100),ABS(D420*E420/F420)),"")</f>
        <v>6598.3244015000009</v>
      </c>
      <c r="H420" s="43">
        <f>IFERROR(G420*E404,"")</f>
        <v>0</v>
      </c>
    </row>
    <row r="421" spans="1:11">
      <c r="A421" s="28"/>
      <c r="B421" s="29"/>
      <c r="C421" s="30" t="str">
        <f>IFERROR(_xlfn.XLOOKUP(B421,MObra[DESCRIPCION],MObra[UN],,0),"")</f>
        <v/>
      </c>
      <c r="D421" s="31"/>
      <c r="E421" s="32" t="str">
        <f>IFERROR(_xlfn.XLOOKUP($B421,MObra[DESCRIPCION],MObra[VALOR UNIT],,0),"")</f>
        <v/>
      </c>
      <c r="F421" s="33"/>
      <c r="G421" s="34" t="str">
        <f>IFERROR(IF(F421&gt;=0,D421*E421*(1+F421/100),ABS(D421*E421/F421)),"")</f>
        <v/>
      </c>
      <c r="H421" s="43" t="str">
        <f>IFERROR(G421*E404,"")</f>
        <v/>
      </c>
    </row>
    <row r="422" spans="1:11">
      <c r="A422" s="35"/>
      <c r="B422" s="36"/>
      <c r="C422" s="37" t="str">
        <f>IFERROR(_xlfn.XLOOKUP(B422,MObra[DESCRIPCION],MObra[UN],,0),"")</f>
        <v/>
      </c>
      <c r="D422" s="38"/>
      <c r="E422" s="39" t="str">
        <f>IFERROR(_xlfn.XLOOKUP($B422,MObra[DESCRIPCION],MObra[VALOR UNIT],,0),"")</f>
        <v/>
      </c>
      <c r="F422" s="40"/>
      <c r="G422" s="41" t="str">
        <f>IFERROR(IF(F422&gt;=0,D422*E422*(1+F422/100),ABS(D422*E422/F422)),"")</f>
        <v/>
      </c>
      <c r="H422" s="42" t="str">
        <f>IFERROR(G422*E404,"")</f>
        <v/>
      </c>
    </row>
    <row r="424" spans="1:11" ht="25.5">
      <c r="A424" s="6" t="s">
        <v>2080</v>
      </c>
      <c r="B424" s="7" t="str">
        <f>VLOOKUP($A424,Presupuesto!$A:$D,2,FALSE())</f>
        <v>Losa para cámaras de inspección Øinterior 1,20 m e=0,20m. Concreto 24,5 Mpa. Incluye 64 kg de acero de refuerzo para tapa metálica</v>
      </c>
      <c r="C424" s="8" t="str">
        <f>VLOOKUP($A424,Presupuesto!$A:$D,3,FALSE())</f>
        <v>Un</v>
      </c>
      <c r="D424" s="9"/>
      <c r="E424" s="10">
        <f>VLOOKUP($A424,Presupuesto!$A:$D,4,FALSE())</f>
        <v>0</v>
      </c>
      <c r="F424" s="11" t="s">
        <v>2589</v>
      </c>
      <c r="G424" s="12">
        <f>SUM(G426:G442)/2</f>
        <v>1026530.1562678232</v>
      </c>
      <c r="H424" s="13">
        <f>ROUND(SUM(H426:H442),0)/2</f>
        <v>0</v>
      </c>
      <c r="I424" s="10">
        <f>VLOOKUP(A424,Presupuesto!$A:$F,6,0)</f>
        <v>0</v>
      </c>
      <c r="J424" s="10">
        <f>+H424-I424</f>
        <v>0</v>
      </c>
      <c r="K424" s="46">
        <f>+H424-G424*E424</f>
        <v>0</v>
      </c>
    </row>
    <row r="425" spans="1:11">
      <c r="A425" s="14"/>
      <c r="B425" s="15" t="s">
        <v>2586</v>
      </c>
      <c r="C425" s="15" t="s">
        <v>5</v>
      </c>
      <c r="D425" s="16" t="s">
        <v>6</v>
      </c>
      <c r="E425" s="17" t="s">
        <v>7</v>
      </c>
      <c r="F425" s="18" t="s">
        <v>3728</v>
      </c>
      <c r="G425" s="19" t="s">
        <v>3729</v>
      </c>
      <c r="H425" s="20" t="s">
        <v>3797</v>
      </c>
    </row>
    <row r="426" spans="1:11">
      <c r="A426" s="21"/>
      <c r="B426" s="22" t="s">
        <v>3730</v>
      </c>
      <c r="C426" s="23"/>
      <c r="D426" s="24"/>
      <c r="E426" s="25"/>
      <c r="F426" s="26"/>
      <c r="G426" s="27">
        <f>SUM(G427:G431)</f>
        <v>636543.80621029821</v>
      </c>
      <c r="H426" s="27">
        <f>IFERROR(G426*E424,"")</f>
        <v>0</v>
      </c>
    </row>
    <row r="427" spans="1:11">
      <c r="A427" s="28"/>
      <c r="B427" s="29" t="s">
        <v>3240</v>
      </c>
      <c r="C427" s="30" t="str">
        <f>IFERROR(_xlfn.XLOOKUP(B427,Insumo[DESCRIPCION],Insumo[UND],,0),"")</f>
        <v>M3</v>
      </c>
      <c r="D427" s="31">
        <v>0.30299999999999999</v>
      </c>
      <c r="E427" s="32">
        <f>IFERROR(_xlfn.XLOOKUP($B427,Insumo[DESCRIPCION],Insumo[VALOR],,0),"")</f>
        <v>539790.3034961326</v>
      </c>
      <c r="F427" s="33">
        <v>5</v>
      </c>
      <c r="G427" s="34">
        <f>IFERROR(IF(F427&gt;=0,D427*E427*(1+F427/100),ABS(D427*E427/F427)),"")</f>
        <v>171734.28505729459</v>
      </c>
      <c r="H427" s="43">
        <f>IFERROR(G427*E424,"")</f>
        <v>0</v>
      </c>
    </row>
    <row r="428" spans="1:11">
      <c r="A428" s="28"/>
      <c r="B428" s="29" t="s">
        <v>2954</v>
      </c>
      <c r="C428" s="30" t="str">
        <f>IFERROR(_xlfn.XLOOKUP(B428,Insumo[DESCRIPCION],Insumo[UND],,0),"")</f>
        <v>M2</v>
      </c>
      <c r="D428" s="31">
        <v>2.4</v>
      </c>
      <c r="E428" s="32">
        <f>IFERROR(_xlfn.XLOOKUP($B428,Insumo[DESCRIPCION],Insumo[VALOR],,0),"")</f>
        <v>102154.92581625449</v>
      </c>
      <c r="F428" s="33">
        <v>-3</v>
      </c>
      <c r="G428" s="34">
        <f>IFERROR(IF(F428&gt;=0,D428*E428*(1+F428/100),ABS(D428*E428/F428)),"")</f>
        <v>81723.940653003592</v>
      </c>
      <c r="H428" s="43">
        <f>IFERROR(G428*E424,"")</f>
        <v>0</v>
      </c>
    </row>
    <row r="429" spans="1:11">
      <c r="A429" s="28"/>
      <c r="B429" s="29" t="s">
        <v>3223</v>
      </c>
      <c r="C429" s="30" t="str">
        <f>IFERROR(_xlfn.XLOOKUP(B429,Insumo[DESCRIPCION],Insumo[UND],,0),"")</f>
        <v>Kg</v>
      </c>
      <c r="D429" s="31">
        <v>0.53</v>
      </c>
      <c r="E429" s="32">
        <f>IFERROR(_xlfn.XLOOKUP($B429,Insumo[DESCRIPCION],Insumo[VALOR],,0),"")</f>
        <v>29108.100000000002</v>
      </c>
      <c r="F429" s="33"/>
      <c r="G429" s="34">
        <f>IFERROR(IF(F429&gt;=0,D429*E429*(1+F429/100),ABS(D429*E429/F429)),"")</f>
        <v>15427.293000000001</v>
      </c>
      <c r="H429" s="43">
        <f>IFERROR(G429*E424,"")</f>
        <v>0</v>
      </c>
    </row>
    <row r="430" spans="1:11">
      <c r="A430" s="28"/>
      <c r="B430" s="29" t="s">
        <v>2709</v>
      </c>
      <c r="C430" s="30" t="str">
        <f>IFERROR(_xlfn.XLOOKUP(B430,Insumo[DESCRIPCION],Insumo[UND],,0),"")</f>
        <v>Kg</v>
      </c>
      <c r="D430" s="31">
        <v>0.25</v>
      </c>
      <c r="E430" s="32">
        <f>IFERROR(_xlfn.XLOOKUP($B430,Insumo[DESCRIPCION],Insumo[VALOR],,0),"")</f>
        <v>14812.35</v>
      </c>
      <c r="F430" s="33"/>
      <c r="G430" s="34">
        <f>IFERROR(IF(F430&gt;=0,D430*E430*(1+F430/100),ABS(D430*E430/F430)),"")</f>
        <v>3703.0875000000001</v>
      </c>
      <c r="H430" s="43">
        <f>IFERROR(G430*E424,"")</f>
        <v>0</v>
      </c>
    </row>
    <row r="431" spans="1:11">
      <c r="A431" s="28"/>
      <c r="B431" s="29" t="s">
        <v>2653</v>
      </c>
      <c r="C431" s="30" t="str">
        <f>IFERROR(_xlfn.XLOOKUP(B431,Insumo[DESCRIPCION],Insumo[UND],,0),"")</f>
        <v>Kg</v>
      </c>
      <c r="D431" s="31">
        <v>64</v>
      </c>
      <c r="E431" s="32">
        <f>IFERROR(_xlfn.XLOOKUP($B431,Insumo[DESCRIPCION],Insumo[VALOR],,0),"")</f>
        <v>5686.8</v>
      </c>
      <c r="F431" s="33"/>
      <c r="G431" s="34">
        <f>IFERROR(IF(F431&gt;=0,D431*E431*(1+F431/100),ABS(D431*E431/F431)),"")</f>
        <v>363955.20000000001</v>
      </c>
      <c r="H431" s="43">
        <f>IFERROR(G431*E424,"")</f>
        <v>0</v>
      </c>
    </row>
    <row r="432" spans="1:11">
      <c r="A432" s="21"/>
      <c r="B432" s="22" t="s">
        <v>3731</v>
      </c>
      <c r="C432" s="23"/>
      <c r="D432" s="24"/>
      <c r="E432" s="25"/>
      <c r="F432" s="26"/>
      <c r="G432" s="27">
        <f>SUM(G433:G435)</f>
        <v>58129.446335025015</v>
      </c>
      <c r="H432" s="44">
        <f>G432*E424</f>
        <v>0</v>
      </c>
    </row>
    <row r="433" spans="1:11">
      <c r="A433" s="28"/>
      <c r="B433" s="29" t="s">
        <v>3657</v>
      </c>
      <c r="C433" s="30" t="str">
        <f>IFERROR(_xlfn.XLOOKUP(B433,Equipo[DESCRIPCION],Equipo[UND],,0),"")</f>
        <v>Día</v>
      </c>
      <c r="D433" s="31">
        <v>1</v>
      </c>
      <c r="E433" s="32">
        <f>IF(C433="%MO",G439,IFERROR(_xlfn.XLOOKUP($B433,Equipo[DESCRIPCION],Equipo[VALOR],,0),""))</f>
        <v>56524.65</v>
      </c>
      <c r="F433" s="33">
        <v>-2</v>
      </c>
      <c r="G433" s="34">
        <f>IFERROR(IF(F433&gt;=0,D433*E433*(1+F433/100),ABS(D433*E433/F433)),"")</f>
        <v>28262.325000000001</v>
      </c>
      <c r="H433" s="43">
        <f>IFERROR(G433*E424,"")</f>
        <v>0</v>
      </c>
    </row>
    <row r="434" spans="1:11">
      <c r="A434" s="28"/>
      <c r="B434" s="29" t="s">
        <v>3570</v>
      </c>
      <c r="C434" s="30" t="str">
        <f>IFERROR(_xlfn.XLOOKUP(B434,Equipo[DESCRIPCION],Equipo[UND],,0),"")</f>
        <v>%MO</v>
      </c>
      <c r="D434" s="31">
        <v>0.04</v>
      </c>
      <c r="E434" s="32">
        <f>IF(C434="%MO",G440,IFERROR(_xlfn.XLOOKUP($B434,Equipo[DESCRIPCION],Equipo[VALOR],,0),""))</f>
        <v>331856.90372250008</v>
      </c>
      <c r="F434" s="33"/>
      <c r="G434" s="34">
        <f>IFERROR(IF(F434&gt;=0,D434*E434*(1+F434/100),ABS(D434*E434/F434)),"")</f>
        <v>13274.276148900004</v>
      </c>
      <c r="H434" s="43">
        <f>IFERROR(G434*E424,"")</f>
        <v>0</v>
      </c>
    </row>
    <row r="435" spans="1:11">
      <c r="A435" s="28"/>
      <c r="B435" s="29" t="s">
        <v>3626</v>
      </c>
      <c r="C435" s="30" t="str">
        <f>IFERROR(_xlfn.XLOOKUP(B435,Equipo[DESCRIPCION],Equipo[UND],,0),"")</f>
        <v>%MO</v>
      </c>
      <c r="D435" s="31">
        <v>0.05</v>
      </c>
      <c r="E435" s="32">
        <f>IF(C435="%MO",G439,IFERROR(_xlfn.XLOOKUP($B435,Equipo[DESCRIPCION],Equipo[VALOR],,0),""))</f>
        <v>331856.90372250008</v>
      </c>
      <c r="F435" s="33"/>
      <c r="G435" s="34">
        <f>IFERROR(IF(F435&gt;=0,D435*E435*(1+F435/100),ABS(D435*E435/F435)),"")</f>
        <v>16592.845186125003</v>
      </c>
      <c r="H435" s="43">
        <f>IFERROR(G435*E424,"")</f>
        <v>0</v>
      </c>
    </row>
    <row r="436" spans="1:11">
      <c r="A436" s="21"/>
      <c r="B436" s="22" t="s">
        <v>2533</v>
      </c>
      <c r="C436" s="23"/>
      <c r="D436" s="24"/>
      <c r="E436" s="25"/>
      <c r="F436" s="26"/>
      <c r="G436" s="27">
        <f>SUM(G437:G438)</f>
        <v>0</v>
      </c>
      <c r="H436" s="44">
        <f>G436*E424</f>
        <v>0</v>
      </c>
    </row>
    <row r="437" spans="1:11">
      <c r="A437" s="28"/>
      <c r="B437" s="29"/>
      <c r="C437" s="30" t="str">
        <f>IFERROR(_xlfn.XLOOKUP(B437,Transporte[DESCRIPCION],Transporte[UND],,0),"")</f>
        <v/>
      </c>
      <c r="D437" s="31"/>
      <c r="E437" s="32" t="str">
        <f>IFERROR(_xlfn.XLOOKUP($B437,Transporte[DESCRIPCION],Transporte[VALOR],,0),"")</f>
        <v/>
      </c>
      <c r="F437" s="33"/>
      <c r="G437" s="34" t="str">
        <f>IFERROR(IF(F437&gt;=0,D437*E437*(1+F437/100),ABS(D437*E437/F437)),"")</f>
        <v/>
      </c>
      <c r="H437" s="43" t="str">
        <f>IFERROR(G437*E424,"")</f>
        <v/>
      </c>
    </row>
    <row r="438" spans="1:11">
      <c r="A438" s="28"/>
      <c r="B438" s="29"/>
      <c r="C438" s="30" t="str">
        <f>IFERROR(_xlfn.XLOOKUP(B438,Transporte[DESCRIPCION],Transporte[UND],,0),"")</f>
        <v/>
      </c>
      <c r="D438" s="31"/>
      <c r="E438" s="32" t="str">
        <f>IFERROR(_xlfn.XLOOKUP($B438,Transporte[DESCRIPCION],Transporte[VALOR],,0),"")</f>
        <v/>
      </c>
      <c r="F438" s="33"/>
      <c r="G438" s="34" t="str">
        <f>IFERROR(IF(F438&gt;=0,D438*E438*(1+F438/100),ABS(D438*E438/F438)),"")</f>
        <v/>
      </c>
      <c r="H438" s="43" t="str">
        <f>IFERROR(G438*E424,"")</f>
        <v/>
      </c>
    </row>
    <row r="439" spans="1:11">
      <c r="A439" s="21"/>
      <c r="B439" s="22" t="s">
        <v>3732</v>
      </c>
      <c r="C439" s="23"/>
      <c r="D439" s="24"/>
      <c r="E439" s="25"/>
      <c r="F439" s="26"/>
      <c r="G439" s="27">
        <f>SUM(G440:G442)</f>
        <v>331856.90372250008</v>
      </c>
      <c r="H439" s="44">
        <f>G439*E424</f>
        <v>0</v>
      </c>
    </row>
    <row r="440" spans="1:11">
      <c r="A440" s="28"/>
      <c r="B440" s="29" t="s">
        <v>3713</v>
      </c>
      <c r="C440" s="30" t="str">
        <f>IFERROR(_xlfn.XLOOKUP(B440,MObra[DESCRIPCION],MObra[UN],,0),"")</f>
        <v>día</v>
      </c>
      <c r="D440" s="31">
        <v>1</v>
      </c>
      <c r="E440" s="32">
        <f>IFERROR(_xlfn.XLOOKUP($B440,MObra[DESCRIPCION],MObra[VALOR UNIT],,0),"")</f>
        <v>663713.80744500016</v>
      </c>
      <c r="F440" s="33">
        <v>-2</v>
      </c>
      <c r="G440" s="34">
        <f>IFERROR(IF(F440&gt;=0,D440*E440*(1+F440/100),ABS(D440*E440/F440)),"")</f>
        <v>331856.90372250008</v>
      </c>
      <c r="H440" s="43">
        <f>IFERROR(G440*E424,"")</f>
        <v>0</v>
      </c>
    </row>
    <row r="441" spans="1:11">
      <c r="A441" s="28"/>
      <c r="B441" s="29"/>
      <c r="C441" s="30" t="str">
        <f>IFERROR(_xlfn.XLOOKUP(B441,MObra[DESCRIPCION],MObra[UN],,0),"")</f>
        <v/>
      </c>
      <c r="D441" s="31"/>
      <c r="E441" s="32" t="str">
        <f>IFERROR(_xlfn.XLOOKUP($B441,MObra[DESCRIPCION],MObra[VALOR UNIT],,0),"")</f>
        <v/>
      </c>
      <c r="F441" s="33"/>
      <c r="G441" s="34" t="str">
        <f>IFERROR(IF(F441&gt;=0,D441*E441*(1+F441/100),ABS(D441*E441/F441)),"")</f>
        <v/>
      </c>
      <c r="H441" s="43" t="str">
        <f>IFERROR(G441*E424,"")</f>
        <v/>
      </c>
    </row>
    <row r="442" spans="1:11">
      <c r="A442" s="35"/>
      <c r="B442" s="36"/>
      <c r="C442" s="37" t="str">
        <f>IFERROR(_xlfn.XLOOKUP(B442,MObra[DESCRIPCION],MObra[UN],,0),"")</f>
        <v/>
      </c>
      <c r="D442" s="38"/>
      <c r="E442" s="39" t="str">
        <f>IFERROR(_xlfn.XLOOKUP($B442,MObra[DESCRIPCION],MObra[VALOR UNIT],,0),"")</f>
        <v/>
      </c>
      <c r="F442" s="40"/>
      <c r="G442" s="41" t="str">
        <f>IFERROR(IF(F442&gt;=0,D442*E442*(1+F442/100),ABS(D442*E442/F442)),"")</f>
        <v/>
      </c>
      <c r="H442" s="42" t="str">
        <f>IFERROR(G442*E424,"")</f>
        <v/>
      </c>
    </row>
    <row r="444" spans="1:11" ht="25.5">
      <c r="A444" s="6" t="s">
        <v>2082</v>
      </c>
      <c r="B444" s="7" t="str">
        <f>VLOOKUP($A444,Presupuesto!$A:$D,2,FALSE())</f>
        <v>Losa para cámaras de inspección Øinterior 1,50 m e=0,20m. Concreto 24,5 Mpa. Incluye 64 kg de acero de refuerzo para tapa metálica</v>
      </c>
      <c r="C444" s="8" t="str">
        <f>VLOOKUP($A444,Presupuesto!$A:$D,3,FALSE())</f>
        <v>Un</v>
      </c>
      <c r="D444" s="9"/>
      <c r="E444" s="10">
        <f>VLOOKUP($A444,Presupuesto!$A:$D,4,FALSE())</f>
        <v>0</v>
      </c>
      <c r="F444" s="11" t="s">
        <v>2589</v>
      </c>
      <c r="G444" s="12">
        <f>SUM(G446:G462)/2</f>
        <v>1243747.7493896335</v>
      </c>
      <c r="H444" s="13">
        <f>ROUND(SUM(H446:H462),0)/2</f>
        <v>0</v>
      </c>
      <c r="I444" s="10">
        <f>VLOOKUP(A444,Presupuesto!$A:$F,6,0)</f>
        <v>0</v>
      </c>
      <c r="J444" s="10">
        <f>+H444-I444</f>
        <v>0</v>
      </c>
      <c r="K444" s="46">
        <f>+H444-G444*E444</f>
        <v>0</v>
      </c>
    </row>
    <row r="445" spans="1:11">
      <c r="A445" s="14"/>
      <c r="B445" s="15" t="s">
        <v>2586</v>
      </c>
      <c r="C445" s="15" t="s">
        <v>5</v>
      </c>
      <c r="D445" s="16" t="s">
        <v>6</v>
      </c>
      <c r="E445" s="17" t="s">
        <v>7</v>
      </c>
      <c r="F445" s="18" t="s">
        <v>3728</v>
      </c>
      <c r="G445" s="19" t="s">
        <v>3729</v>
      </c>
      <c r="H445" s="20" t="s">
        <v>3797</v>
      </c>
    </row>
    <row r="446" spans="1:11">
      <c r="A446" s="21"/>
      <c r="B446" s="22" t="s">
        <v>3730</v>
      </c>
      <c r="C446" s="23"/>
      <c r="D446" s="24"/>
      <c r="E446" s="25"/>
      <c r="F446" s="26"/>
      <c r="G446" s="27">
        <f>SUM(G447:G451)</f>
        <v>853761.39933210867</v>
      </c>
      <c r="H446" s="27">
        <f>IFERROR(G446*E444,"")</f>
        <v>0</v>
      </c>
    </row>
    <row r="447" spans="1:11">
      <c r="A447" s="28"/>
      <c r="B447" s="29" t="s">
        <v>3240</v>
      </c>
      <c r="C447" s="30" t="str">
        <f>IFERROR(_xlfn.XLOOKUP(B447,Insumo[DESCRIPCION],Insumo[UND],,0),"")</f>
        <v>M3</v>
      </c>
      <c r="D447" s="31">
        <v>0.59</v>
      </c>
      <c r="E447" s="32">
        <f>IFERROR(_xlfn.XLOOKUP($B447,Insumo[DESCRIPCION],Insumo[VALOR],,0),"")</f>
        <v>539790.3034961326</v>
      </c>
      <c r="F447" s="33">
        <v>5</v>
      </c>
      <c r="G447" s="34">
        <f>IFERROR(IF(F447&gt;=0,D447*E447*(1+F447/100),ABS(D447*E447/F447)),"")</f>
        <v>334400.09301585413</v>
      </c>
      <c r="H447" s="43">
        <f>IFERROR(G447*E444,"")</f>
        <v>0</v>
      </c>
    </row>
    <row r="448" spans="1:11">
      <c r="A448" s="28"/>
      <c r="B448" s="29" t="s">
        <v>2954</v>
      </c>
      <c r="C448" s="30" t="str">
        <f>IFERROR(_xlfn.XLOOKUP(B448,Insumo[DESCRIPCION],Insumo[UND],,0),"")</f>
        <v>M2</v>
      </c>
      <c r="D448" s="31">
        <v>3</v>
      </c>
      <c r="E448" s="32">
        <f>IFERROR(_xlfn.XLOOKUP($B448,Insumo[DESCRIPCION],Insumo[VALOR],,0),"")</f>
        <v>102154.92581625449</v>
      </c>
      <c r="F448" s="33">
        <v>-3</v>
      </c>
      <c r="G448" s="34">
        <f>IFERROR(IF(F448&gt;=0,D448*E448*(1+F448/100),ABS(D448*E448/F448)),"")</f>
        <v>102154.9258162545</v>
      </c>
      <c r="H448" s="43">
        <f>IFERROR(G448*E444,"")</f>
        <v>0</v>
      </c>
    </row>
    <row r="449" spans="1:11">
      <c r="A449" s="28"/>
      <c r="B449" s="29" t="s">
        <v>3223</v>
      </c>
      <c r="C449" s="30" t="str">
        <f>IFERROR(_xlfn.XLOOKUP(B449,Insumo[DESCRIPCION],Insumo[UND],,0),"")</f>
        <v>Kg</v>
      </c>
      <c r="D449" s="31">
        <v>0.53</v>
      </c>
      <c r="E449" s="32">
        <f>IFERROR(_xlfn.XLOOKUP($B449,Insumo[DESCRIPCION],Insumo[VALOR],,0),"")</f>
        <v>29108.100000000002</v>
      </c>
      <c r="F449" s="33"/>
      <c r="G449" s="34">
        <f>IFERROR(IF(F449&gt;=0,D449*E449*(1+F449/100),ABS(D449*E449/F449)),"")</f>
        <v>15427.293000000001</v>
      </c>
      <c r="H449" s="43">
        <f>IFERROR(G449*E444,"")</f>
        <v>0</v>
      </c>
    </row>
    <row r="450" spans="1:11">
      <c r="A450" s="28"/>
      <c r="B450" s="29" t="s">
        <v>2709</v>
      </c>
      <c r="C450" s="30" t="str">
        <f>IFERROR(_xlfn.XLOOKUP(B450,Insumo[DESCRIPCION],Insumo[UND],,0),"")</f>
        <v>Kg</v>
      </c>
      <c r="D450" s="31">
        <v>0.25</v>
      </c>
      <c r="E450" s="32">
        <f>IFERROR(_xlfn.XLOOKUP($B450,Insumo[DESCRIPCION],Insumo[VALOR],,0),"")</f>
        <v>14812.35</v>
      </c>
      <c r="F450" s="33"/>
      <c r="G450" s="34">
        <f>IFERROR(IF(F450&gt;=0,D450*E450*(1+F450/100),ABS(D450*E450/F450)),"")</f>
        <v>3703.0875000000001</v>
      </c>
      <c r="H450" s="43">
        <f>IFERROR(G450*E444,"")</f>
        <v>0</v>
      </c>
    </row>
    <row r="451" spans="1:11">
      <c r="A451" s="28"/>
      <c r="B451" s="29" t="s">
        <v>2653</v>
      </c>
      <c r="C451" s="30" t="str">
        <f>IFERROR(_xlfn.XLOOKUP(B451,Insumo[DESCRIPCION],Insumo[UND],,0),"")</f>
        <v>Kg</v>
      </c>
      <c r="D451" s="31">
        <v>70</v>
      </c>
      <c r="E451" s="32">
        <f>IFERROR(_xlfn.XLOOKUP($B451,Insumo[DESCRIPCION],Insumo[VALOR],,0),"")</f>
        <v>5686.8</v>
      </c>
      <c r="F451" s="33"/>
      <c r="G451" s="34">
        <f>IFERROR(IF(F451&gt;=0,D451*E451*(1+F451/100),ABS(D451*E451/F451)),"")</f>
        <v>398076</v>
      </c>
      <c r="H451" s="43">
        <f>IFERROR(G451*E444,"")</f>
        <v>0</v>
      </c>
    </row>
    <row r="452" spans="1:11">
      <c r="A452" s="21"/>
      <c r="B452" s="22" t="s">
        <v>3731</v>
      </c>
      <c r="C452" s="23"/>
      <c r="D452" s="24"/>
      <c r="E452" s="25"/>
      <c r="F452" s="26"/>
      <c r="G452" s="27">
        <f>SUM(G453:G455)</f>
        <v>58129.446335025015</v>
      </c>
      <c r="H452" s="44">
        <f>G452*E444</f>
        <v>0</v>
      </c>
    </row>
    <row r="453" spans="1:11">
      <c r="A453" s="28"/>
      <c r="B453" s="29" t="s">
        <v>3657</v>
      </c>
      <c r="C453" s="30" t="str">
        <f>IFERROR(_xlfn.XLOOKUP(B453,Equipo[DESCRIPCION],Equipo[UND],,0),"")</f>
        <v>Día</v>
      </c>
      <c r="D453" s="31">
        <v>1</v>
      </c>
      <c r="E453" s="32">
        <f>IF(C453="%MO",G459,IFERROR(_xlfn.XLOOKUP($B453,Equipo[DESCRIPCION],Equipo[VALOR],,0),""))</f>
        <v>56524.65</v>
      </c>
      <c r="F453" s="33">
        <v>-2</v>
      </c>
      <c r="G453" s="34">
        <f>IFERROR(IF(F453&gt;=0,D453*E453*(1+F453/100),ABS(D453*E453/F453)),"")</f>
        <v>28262.325000000001</v>
      </c>
      <c r="H453" s="43">
        <f>IFERROR(G453*E444,"")</f>
        <v>0</v>
      </c>
    </row>
    <row r="454" spans="1:11">
      <c r="A454" s="28"/>
      <c r="B454" s="29" t="s">
        <v>3570</v>
      </c>
      <c r="C454" s="30" t="str">
        <f>IFERROR(_xlfn.XLOOKUP(B454,Equipo[DESCRIPCION],Equipo[UND],,0),"")</f>
        <v>%MO</v>
      </c>
      <c r="D454" s="31">
        <v>0.04</v>
      </c>
      <c r="E454" s="32">
        <f>IF(C454="%MO",G460,IFERROR(_xlfn.XLOOKUP($B454,Equipo[DESCRIPCION],Equipo[VALOR],,0),""))</f>
        <v>331856.90372250008</v>
      </c>
      <c r="F454" s="33"/>
      <c r="G454" s="34">
        <f>IFERROR(IF(F454&gt;=0,D454*E454*(1+F454/100),ABS(D454*E454/F454)),"")</f>
        <v>13274.276148900004</v>
      </c>
      <c r="H454" s="43">
        <f>IFERROR(G454*E444,"")</f>
        <v>0</v>
      </c>
    </row>
    <row r="455" spans="1:11">
      <c r="A455" s="28"/>
      <c r="B455" s="29" t="s">
        <v>3626</v>
      </c>
      <c r="C455" s="30" t="str">
        <f>IFERROR(_xlfn.XLOOKUP(B455,Equipo[DESCRIPCION],Equipo[UND],,0),"")</f>
        <v>%MO</v>
      </c>
      <c r="D455" s="31">
        <v>0.05</v>
      </c>
      <c r="E455" s="32">
        <f>IF(C455="%MO",G459,IFERROR(_xlfn.XLOOKUP($B455,Equipo[DESCRIPCION],Equipo[VALOR],,0),""))</f>
        <v>331856.90372250008</v>
      </c>
      <c r="F455" s="33"/>
      <c r="G455" s="34">
        <f>IFERROR(IF(F455&gt;=0,D455*E455*(1+F455/100),ABS(D455*E455/F455)),"")</f>
        <v>16592.845186125003</v>
      </c>
      <c r="H455" s="43">
        <f>IFERROR(G455*E444,"")</f>
        <v>0</v>
      </c>
    </row>
    <row r="456" spans="1:11">
      <c r="A456" s="21"/>
      <c r="B456" s="22" t="s">
        <v>2533</v>
      </c>
      <c r="C456" s="23"/>
      <c r="D456" s="24"/>
      <c r="E456" s="25"/>
      <c r="F456" s="26"/>
      <c r="G456" s="27">
        <f>SUM(G457:G458)</f>
        <v>0</v>
      </c>
      <c r="H456" s="44">
        <f>G456*E444</f>
        <v>0</v>
      </c>
    </row>
    <row r="457" spans="1:11">
      <c r="A457" s="28"/>
      <c r="B457" s="29"/>
      <c r="C457" s="30" t="str">
        <f>IFERROR(_xlfn.XLOOKUP(B457,Transporte[DESCRIPCION],Transporte[UND],,0),"")</f>
        <v/>
      </c>
      <c r="D457" s="31"/>
      <c r="E457" s="32" t="str">
        <f>IFERROR(_xlfn.XLOOKUP($B457,Transporte[DESCRIPCION],Transporte[VALOR],,0),"")</f>
        <v/>
      </c>
      <c r="F457" s="33"/>
      <c r="G457" s="34" t="str">
        <f>IFERROR(IF(F457&gt;=0,D457*E457*(1+F457/100),ABS(D457*E457/F457)),"")</f>
        <v/>
      </c>
      <c r="H457" s="43" t="str">
        <f>IFERROR(G457*E444,"")</f>
        <v/>
      </c>
    </row>
    <row r="458" spans="1:11">
      <c r="A458" s="28"/>
      <c r="B458" s="29"/>
      <c r="C458" s="30" t="str">
        <f>IFERROR(_xlfn.XLOOKUP(B458,Transporte[DESCRIPCION],Transporte[UND],,0),"")</f>
        <v/>
      </c>
      <c r="D458" s="31"/>
      <c r="E458" s="32" t="str">
        <f>IFERROR(_xlfn.XLOOKUP($B458,Transporte[DESCRIPCION],Transporte[VALOR],,0),"")</f>
        <v/>
      </c>
      <c r="F458" s="33"/>
      <c r="G458" s="34" t="str">
        <f>IFERROR(IF(F458&gt;=0,D458*E458*(1+F458/100),ABS(D458*E458/F458)),"")</f>
        <v/>
      </c>
      <c r="H458" s="43" t="str">
        <f>IFERROR(G458*E444,"")</f>
        <v/>
      </c>
    </row>
    <row r="459" spans="1:11">
      <c r="A459" s="21"/>
      <c r="B459" s="22" t="s">
        <v>3732</v>
      </c>
      <c r="C459" s="23"/>
      <c r="D459" s="24"/>
      <c r="E459" s="25"/>
      <c r="F459" s="26"/>
      <c r="G459" s="27">
        <f>SUM(G460:G462)</f>
        <v>331856.90372250008</v>
      </c>
      <c r="H459" s="44">
        <f>G459*E444</f>
        <v>0</v>
      </c>
    </row>
    <row r="460" spans="1:11">
      <c r="A460" s="28"/>
      <c r="B460" s="29" t="s">
        <v>3713</v>
      </c>
      <c r="C460" s="30" t="str">
        <f>IFERROR(_xlfn.XLOOKUP(B460,MObra[DESCRIPCION],MObra[UN],,0),"")</f>
        <v>día</v>
      </c>
      <c r="D460" s="31">
        <v>1</v>
      </c>
      <c r="E460" s="32">
        <f>IFERROR(_xlfn.XLOOKUP($B460,MObra[DESCRIPCION],MObra[VALOR UNIT],,0),"")</f>
        <v>663713.80744500016</v>
      </c>
      <c r="F460" s="33">
        <v>-2</v>
      </c>
      <c r="G460" s="34">
        <f>IFERROR(IF(F460&gt;=0,D460*E460*(1+F460/100),ABS(D460*E460/F460)),"")</f>
        <v>331856.90372250008</v>
      </c>
      <c r="H460" s="43">
        <f>IFERROR(G460*E444,"")</f>
        <v>0</v>
      </c>
    </row>
    <row r="461" spans="1:11">
      <c r="A461" s="28"/>
      <c r="B461" s="29"/>
      <c r="C461" s="30" t="str">
        <f>IFERROR(_xlfn.XLOOKUP(B461,MObra[DESCRIPCION],MObra[UN],,0),"")</f>
        <v/>
      </c>
      <c r="D461" s="31"/>
      <c r="E461" s="32" t="str">
        <f>IFERROR(_xlfn.XLOOKUP($B461,MObra[DESCRIPCION],MObra[VALOR UNIT],,0),"")</f>
        <v/>
      </c>
      <c r="F461" s="33"/>
      <c r="G461" s="34" t="str">
        <f>IFERROR(IF(F461&gt;=0,D461*E461*(1+F461/100),ABS(D461*E461/F461)),"")</f>
        <v/>
      </c>
      <c r="H461" s="43" t="str">
        <f>IFERROR(G461*E444,"")</f>
        <v/>
      </c>
    </row>
    <row r="462" spans="1:11">
      <c r="A462" s="35"/>
      <c r="B462" s="36"/>
      <c r="C462" s="37" t="str">
        <f>IFERROR(_xlfn.XLOOKUP(B462,MObra[DESCRIPCION],MObra[UN],,0),"")</f>
        <v/>
      </c>
      <c r="D462" s="38"/>
      <c r="E462" s="39" t="str">
        <f>IFERROR(_xlfn.XLOOKUP($B462,MObra[DESCRIPCION],MObra[VALOR UNIT],,0),"")</f>
        <v/>
      </c>
      <c r="F462" s="40"/>
      <c r="G462" s="41" t="str">
        <f>IFERROR(IF(F462&gt;=0,D462*E462*(1+F462/100),ABS(D462*E462/F462)),"")</f>
        <v/>
      </c>
      <c r="H462" s="42" t="str">
        <f>IFERROR(G462*E444,"")</f>
        <v/>
      </c>
    </row>
    <row r="464" spans="1:11" ht="25.5">
      <c r="A464" s="6" t="s">
        <v>2084</v>
      </c>
      <c r="B464" s="7" t="str">
        <f>VLOOKUP($A464,Presupuesto!$A:$D,2,FALSE())</f>
        <v>Losa para cámaras de inspección Øinterior 2,00 m e=0,20m. Concreto 24,5 Mpa. Incluye 64 kg de acero de refuerzo para tapa metálica</v>
      </c>
      <c r="C464" s="8" t="str">
        <f>VLOOKUP($A464,Presupuesto!$A:$D,3,FALSE())</f>
        <v>Un</v>
      </c>
      <c r="D464" s="9"/>
      <c r="E464" s="10">
        <f>VLOOKUP($A464,Presupuesto!$A:$D,4,FALSE())</f>
        <v>0</v>
      </c>
      <c r="F464" s="11" t="s">
        <v>2589</v>
      </c>
      <c r="G464" s="12">
        <f>SUM(G466:G482)/2</f>
        <v>1538518.1079170173</v>
      </c>
      <c r="H464" s="13">
        <f>ROUND(SUM(H466:H482),0)/2</f>
        <v>0</v>
      </c>
      <c r="I464" s="10">
        <f>VLOOKUP(A464,Presupuesto!$A:$F,6,0)</f>
        <v>0</v>
      </c>
      <c r="J464" s="10">
        <f>+H464-I464</f>
        <v>0</v>
      </c>
      <c r="K464" s="46">
        <f>+H464-G464*E464</f>
        <v>0</v>
      </c>
    </row>
    <row r="465" spans="1:8">
      <c r="A465" s="14"/>
      <c r="B465" s="15" t="s">
        <v>2586</v>
      </c>
      <c r="C465" s="15" t="s">
        <v>5</v>
      </c>
      <c r="D465" s="16" t="s">
        <v>6</v>
      </c>
      <c r="E465" s="17" t="s">
        <v>7</v>
      </c>
      <c r="F465" s="18" t="s">
        <v>3728</v>
      </c>
      <c r="G465" s="19" t="s">
        <v>3729</v>
      </c>
      <c r="H465" s="20" t="s">
        <v>3797</v>
      </c>
    </row>
    <row r="466" spans="1:8">
      <c r="A466" s="21"/>
      <c r="B466" s="22" t="s">
        <v>3730</v>
      </c>
      <c r="C466" s="23"/>
      <c r="D466" s="24"/>
      <c r="E466" s="25"/>
      <c r="F466" s="26"/>
      <c r="G466" s="27">
        <f>SUM(G467:G471)</f>
        <v>1148531.7578594922</v>
      </c>
      <c r="H466" s="27">
        <f>IFERROR(G466*E464,"")</f>
        <v>0</v>
      </c>
    </row>
    <row r="467" spans="1:8">
      <c r="A467" s="28"/>
      <c r="B467" s="29" t="s">
        <v>3240</v>
      </c>
      <c r="C467" s="30" t="str">
        <f>IFERROR(_xlfn.XLOOKUP(B467,Insumo[DESCRIPCION],Insumo[UND],,0),"")</f>
        <v>M3</v>
      </c>
      <c r="D467" s="31">
        <v>1.05</v>
      </c>
      <c r="E467" s="32">
        <f>IFERROR(_xlfn.XLOOKUP($B467,Insumo[DESCRIPCION],Insumo[VALOR],,0),"")</f>
        <v>539790.3034961326</v>
      </c>
      <c r="F467" s="33">
        <v>5</v>
      </c>
      <c r="G467" s="34">
        <f>IFERROR(IF(F467&gt;=0,D467*E467*(1+F467/100),ABS(D467*E467/F467)),"")</f>
        <v>595118.80960448633</v>
      </c>
      <c r="H467" s="43">
        <f>IFERROR(G467*E464,"")</f>
        <v>0</v>
      </c>
    </row>
    <row r="468" spans="1:8">
      <c r="A468" s="28"/>
      <c r="B468" s="29" t="s">
        <v>2954</v>
      </c>
      <c r="C468" s="30" t="str">
        <f>IFERROR(_xlfn.XLOOKUP(B468,Insumo[DESCRIPCION],Insumo[UND],,0),"")</f>
        <v>M2</v>
      </c>
      <c r="D468" s="31">
        <v>4</v>
      </c>
      <c r="E468" s="32">
        <f>IFERROR(_xlfn.XLOOKUP($B468,Insumo[DESCRIPCION],Insumo[VALOR],,0),"")</f>
        <v>102154.92581625449</v>
      </c>
      <c r="F468" s="33">
        <v>-3</v>
      </c>
      <c r="G468" s="34">
        <f>IFERROR(IF(F468&gt;=0,D468*E468*(1+F468/100),ABS(D468*E468/F468)),"")</f>
        <v>136206.56775500599</v>
      </c>
      <c r="H468" s="43">
        <f>IFERROR(G468*E464,"")</f>
        <v>0</v>
      </c>
    </row>
    <row r="469" spans="1:8">
      <c r="A469" s="28"/>
      <c r="B469" s="29" t="s">
        <v>3223</v>
      </c>
      <c r="C469" s="30" t="str">
        <f>IFERROR(_xlfn.XLOOKUP(B469,Insumo[DESCRIPCION],Insumo[UND],,0),"")</f>
        <v>Kg</v>
      </c>
      <c r="D469" s="31">
        <v>0.53</v>
      </c>
      <c r="E469" s="32">
        <f>IFERROR(_xlfn.XLOOKUP($B469,Insumo[DESCRIPCION],Insumo[VALOR],,0),"")</f>
        <v>29108.100000000002</v>
      </c>
      <c r="F469" s="33"/>
      <c r="G469" s="34">
        <f>IFERROR(IF(F469&gt;=0,D469*E469*(1+F469/100),ABS(D469*E469/F469)),"")</f>
        <v>15427.293000000001</v>
      </c>
      <c r="H469" s="43">
        <f>IFERROR(G469*E464,"")</f>
        <v>0</v>
      </c>
    </row>
    <row r="470" spans="1:8">
      <c r="A470" s="28"/>
      <c r="B470" s="29" t="s">
        <v>2709</v>
      </c>
      <c r="C470" s="30" t="str">
        <f>IFERROR(_xlfn.XLOOKUP(B470,Insumo[DESCRIPCION],Insumo[UND],,0),"")</f>
        <v>Kg</v>
      </c>
      <c r="D470" s="31">
        <v>0.25</v>
      </c>
      <c r="E470" s="32">
        <f>IFERROR(_xlfn.XLOOKUP($B470,Insumo[DESCRIPCION],Insumo[VALOR],,0),"")</f>
        <v>14812.35</v>
      </c>
      <c r="F470" s="33"/>
      <c r="G470" s="34">
        <f>IFERROR(IF(F470&gt;=0,D470*E470*(1+F470/100),ABS(D470*E470/F470)),"")</f>
        <v>3703.0875000000001</v>
      </c>
      <c r="H470" s="43">
        <f>IFERROR(G470*E464,"")</f>
        <v>0</v>
      </c>
    </row>
    <row r="471" spans="1:8">
      <c r="A471" s="28"/>
      <c r="B471" s="29" t="s">
        <v>2653</v>
      </c>
      <c r="C471" s="30" t="str">
        <f>IFERROR(_xlfn.XLOOKUP(B471,Insumo[DESCRIPCION],Insumo[UND],,0),"")</f>
        <v>Kg</v>
      </c>
      <c r="D471" s="31">
        <v>70</v>
      </c>
      <c r="E471" s="32">
        <f>IFERROR(_xlfn.XLOOKUP($B471,Insumo[DESCRIPCION],Insumo[VALOR],,0),"")</f>
        <v>5686.8</v>
      </c>
      <c r="F471" s="33"/>
      <c r="G471" s="34">
        <f>IFERROR(IF(F471&gt;=0,D471*E471*(1+F471/100),ABS(D471*E471/F471)),"")</f>
        <v>398076</v>
      </c>
      <c r="H471" s="43">
        <f>IFERROR(G471*E464,"")</f>
        <v>0</v>
      </c>
    </row>
    <row r="472" spans="1:8">
      <c r="A472" s="21"/>
      <c r="B472" s="22" t="s">
        <v>3731</v>
      </c>
      <c r="C472" s="23"/>
      <c r="D472" s="24"/>
      <c r="E472" s="25"/>
      <c r="F472" s="26"/>
      <c r="G472" s="27">
        <f>SUM(G473:G475)</f>
        <v>58129.446335025015</v>
      </c>
      <c r="H472" s="44">
        <f>G472*E464</f>
        <v>0</v>
      </c>
    </row>
    <row r="473" spans="1:8">
      <c r="A473" s="28"/>
      <c r="B473" s="29" t="s">
        <v>3657</v>
      </c>
      <c r="C473" s="30" t="str">
        <f>IFERROR(_xlfn.XLOOKUP(B473,Equipo[DESCRIPCION],Equipo[UND],,0),"")</f>
        <v>Día</v>
      </c>
      <c r="D473" s="31">
        <v>1</v>
      </c>
      <c r="E473" s="32">
        <f>IF(C473="%MO",G479,IFERROR(_xlfn.XLOOKUP($B473,Equipo[DESCRIPCION],Equipo[VALOR],,0),""))</f>
        <v>56524.65</v>
      </c>
      <c r="F473" s="33">
        <v>-2</v>
      </c>
      <c r="G473" s="34">
        <f>IFERROR(IF(F473&gt;=0,D473*E473*(1+F473/100),ABS(D473*E473/F473)),"")</f>
        <v>28262.325000000001</v>
      </c>
      <c r="H473" s="43">
        <f>IFERROR(G473*E464,"")</f>
        <v>0</v>
      </c>
    </row>
    <row r="474" spans="1:8">
      <c r="A474" s="28"/>
      <c r="B474" s="29" t="s">
        <v>3570</v>
      </c>
      <c r="C474" s="30" t="str">
        <f>IFERROR(_xlfn.XLOOKUP(B474,Equipo[DESCRIPCION],Equipo[UND],,0),"")</f>
        <v>%MO</v>
      </c>
      <c r="D474" s="31">
        <v>0.04</v>
      </c>
      <c r="E474" s="32">
        <f>IF(C474="%MO",G480,IFERROR(_xlfn.XLOOKUP($B474,Equipo[DESCRIPCION],Equipo[VALOR],,0),""))</f>
        <v>331856.90372250008</v>
      </c>
      <c r="F474" s="33"/>
      <c r="G474" s="34">
        <f>IFERROR(IF(F474&gt;=0,D474*E474*(1+F474/100),ABS(D474*E474/F474)),"")</f>
        <v>13274.276148900004</v>
      </c>
      <c r="H474" s="43">
        <f>IFERROR(G474*E464,"")</f>
        <v>0</v>
      </c>
    </row>
    <row r="475" spans="1:8">
      <c r="A475" s="28"/>
      <c r="B475" s="29" t="s">
        <v>3626</v>
      </c>
      <c r="C475" s="30" t="str">
        <f>IFERROR(_xlfn.XLOOKUP(B475,Equipo[DESCRIPCION],Equipo[UND],,0),"")</f>
        <v>%MO</v>
      </c>
      <c r="D475" s="31">
        <v>0.05</v>
      </c>
      <c r="E475" s="32">
        <f>IF(C475="%MO",G479,IFERROR(_xlfn.XLOOKUP($B475,Equipo[DESCRIPCION],Equipo[VALOR],,0),""))</f>
        <v>331856.90372250008</v>
      </c>
      <c r="F475" s="33"/>
      <c r="G475" s="34">
        <f>IFERROR(IF(F475&gt;=0,D475*E475*(1+F475/100),ABS(D475*E475/F475)),"")</f>
        <v>16592.845186125003</v>
      </c>
      <c r="H475" s="43">
        <f>IFERROR(G475*E464,"")</f>
        <v>0</v>
      </c>
    </row>
    <row r="476" spans="1:8">
      <c r="A476" s="21"/>
      <c r="B476" s="22" t="s">
        <v>2533</v>
      </c>
      <c r="C476" s="23"/>
      <c r="D476" s="24"/>
      <c r="E476" s="25"/>
      <c r="F476" s="26"/>
      <c r="G476" s="27">
        <f>SUM(G477:G478)</f>
        <v>0</v>
      </c>
      <c r="H476" s="44">
        <f>G476*E464</f>
        <v>0</v>
      </c>
    </row>
    <row r="477" spans="1:8">
      <c r="A477" s="28"/>
      <c r="B477" s="29"/>
      <c r="C477" s="30" t="str">
        <f>IFERROR(_xlfn.XLOOKUP(B477,Transporte[DESCRIPCION],Transporte[UND],,0),"")</f>
        <v/>
      </c>
      <c r="D477" s="31"/>
      <c r="E477" s="32" t="str">
        <f>IFERROR(_xlfn.XLOOKUP($B477,Transporte[DESCRIPCION],Transporte[VALOR],,0),"")</f>
        <v/>
      </c>
      <c r="F477" s="33"/>
      <c r="G477" s="34" t="str">
        <f>IFERROR(IF(F477&gt;=0,D477*E477*(1+F477/100),ABS(D477*E477/F477)),"")</f>
        <v/>
      </c>
      <c r="H477" s="43" t="str">
        <f>IFERROR(G477*E464,"")</f>
        <v/>
      </c>
    </row>
    <row r="478" spans="1:8">
      <c r="A478" s="28"/>
      <c r="B478" s="29"/>
      <c r="C478" s="30" t="str">
        <f>IFERROR(_xlfn.XLOOKUP(B478,Transporte[DESCRIPCION],Transporte[UND],,0),"")</f>
        <v/>
      </c>
      <c r="D478" s="31"/>
      <c r="E478" s="32" t="str">
        <f>IFERROR(_xlfn.XLOOKUP($B478,Transporte[DESCRIPCION],Transporte[VALOR],,0),"")</f>
        <v/>
      </c>
      <c r="F478" s="33"/>
      <c r="G478" s="34" t="str">
        <f>IFERROR(IF(F478&gt;=0,D478*E478*(1+F478/100),ABS(D478*E478/F478)),"")</f>
        <v/>
      </c>
      <c r="H478" s="43" t="str">
        <f>IFERROR(G478*E464,"")</f>
        <v/>
      </c>
    </row>
    <row r="479" spans="1:8">
      <c r="A479" s="21"/>
      <c r="B479" s="22" t="s">
        <v>3732</v>
      </c>
      <c r="C479" s="23"/>
      <c r="D479" s="24"/>
      <c r="E479" s="25"/>
      <c r="F479" s="26"/>
      <c r="G479" s="27">
        <f>SUM(G480:G482)</f>
        <v>331856.90372250008</v>
      </c>
      <c r="H479" s="44">
        <f>G479*E464</f>
        <v>0</v>
      </c>
    </row>
    <row r="480" spans="1:8">
      <c r="A480" s="28"/>
      <c r="B480" s="29" t="s">
        <v>3713</v>
      </c>
      <c r="C480" s="30" t="str">
        <f>IFERROR(_xlfn.XLOOKUP(B480,MObra[DESCRIPCION],MObra[UN],,0),"")</f>
        <v>día</v>
      </c>
      <c r="D480" s="31">
        <v>1</v>
      </c>
      <c r="E480" s="32">
        <f>IFERROR(_xlfn.XLOOKUP($B480,MObra[DESCRIPCION],MObra[VALOR UNIT],,0),"")</f>
        <v>663713.80744500016</v>
      </c>
      <c r="F480" s="33">
        <v>-2</v>
      </c>
      <c r="G480" s="34">
        <f>IFERROR(IF(F480&gt;=0,D480*E480*(1+F480/100),ABS(D480*E480/F480)),"")</f>
        <v>331856.90372250008</v>
      </c>
      <c r="H480" s="43">
        <f>IFERROR(G480*E464,"")</f>
        <v>0</v>
      </c>
    </row>
    <row r="481" spans="1:11">
      <c r="A481" s="28"/>
      <c r="B481" s="29"/>
      <c r="C481" s="30" t="str">
        <f>IFERROR(_xlfn.XLOOKUP(B481,MObra[DESCRIPCION],MObra[UN],,0),"")</f>
        <v/>
      </c>
      <c r="D481" s="31"/>
      <c r="E481" s="32" t="str">
        <f>IFERROR(_xlfn.XLOOKUP($B481,MObra[DESCRIPCION],MObra[VALOR UNIT],,0),"")</f>
        <v/>
      </c>
      <c r="F481" s="33"/>
      <c r="G481" s="34" t="str">
        <f>IFERROR(IF(F481&gt;=0,D481*E481*(1+F481/100),ABS(D481*E481/F481)),"")</f>
        <v/>
      </c>
      <c r="H481" s="43" t="str">
        <f>IFERROR(G481*E464,"")</f>
        <v/>
      </c>
    </row>
    <row r="482" spans="1:11">
      <c r="A482" s="35"/>
      <c r="B482" s="36"/>
      <c r="C482" s="37" t="str">
        <f>IFERROR(_xlfn.XLOOKUP(B482,MObra[DESCRIPCION],MObra[UN],,0),"")</f>
        <v/>
      </c>
      <c r="D482" s="38"/>
      <c r="E482" s="39" t="str">
        <f>IFERROR(_xlfn.XLOOKUP($B482,MObra[DESCRIPCION],MObra[VALOR UNIT],,0),"")</f>
        <v/>
      </c>
      <c r="F482" s="40"/>
      <c r="G482" s="41" t="str">
        <f>IFERROR(IF(F482&gt;=0,D482*E482*(1+F482/100),ABS(D482*E482/F482)),"")</f>
        <v/>
      </c>
      <c r="H482" s="42" t="str">
        <f>IFERROR(G482*E464,"")</f>
        <v/>
      </c>
    </row>
    <row r="484" spans="1:11">
      <c r="A484" s="6" t="s">
        <v>2086</v>
      </c>
      <c r="B484" s="7" t="str">
        <f>VLOOKUP($A484,Presupuesto!$A:$D,2,FALSE())</f>
        <v>Manejo temporal aguas negras brecha</v>
      </c>
      <c r="C484" s="8" t="str">
        <f>VLOOKUP($A484,Presupuesto!$A:$D,3,FALSE())</f>
        <v>M</v>
      </c>
      <c r="D484" s="9"/>
      <c r="E484" s="10">
        <f>VLOOKUP($A484,Presupuesto!$A:$D,4,FALSE())</f>
        <v>0</v>
      </c>
      <c r="F484" s="11" t="s">
        <v>2589</v>
      </c>
      <c r="G484" s="12">
        <f>SUM(G486:G502)/2</f>
        <v>38076.21316395</v>
      </c>
      <c r="H484" s="13">
        <f>ROUND(SUM(H486:H502),0)/2</f>
        <v>0</v>
      </c>
      <c r="I484" s="10">
        <f>VLOOKUP(A484,Presupuesto!$A:$F,6,0)</f>
        <v>0</v>
      </c>
      <c r="J484" s="10">
        <f>+H484-I484</f>
        <v>0</v>
      </c>
      <c r="K484" s="46">
        <f>+H484-G484*E484</f>
        <v>0</v>
      </c>
    </row>
    <row r="485" spans="1:11">
      <c r="A485" s="14"/>
      <c r="B485" s="15" t="s">
        <v>2586</v>
      </c>
      <c r="C485" s="15" t="s">
        <v>5</v>
      </c>
      <c r="D485" s="16" t="s">
        <v>6</v>
      </c>
      <c r="E485" s="17" t="s">
        <v>7</v>
      </c>
      <c r="F485" s="18" t="s">
        <v>3728</v>
      </c>
      <c r="G485" s="19" t="s">
        <v>3729</v>
      </c>
      <c r="H485" s="20" t="s">
        <v>3797</v>
      </c>
    </row>
    <row r="486" spans="1:11">
      <c r="A486" s="21"/>
      <c r="B486" s="22" t="s">
        <v>3730</v>
      </c>
      <c r="C486" s="23"/>
      <c r="D486" s="24"/>
      <c r="E486" s="25"/>
      <c r="F486" s="26"/>
      <c r="G486" s="27">
        <f>SUM(G487:G491)</f>
        <v>0</v>
      </c>
      <c r="H486" s="27">
        <f>IFERROR(G486*E484,"")</f>
        <v>0</v>
      </c>
    </row>
    <row r="487" spans="1:11">
      <c r="A487" s="28"/>
      <c r="B487" s="29"/>
      <c r="C487" s="30" t="str">
        <f>IFERROR(_xlfn.XLOOKUP(B487,Insumo[DESCRIPCION],Insumo[UND],,0),"")</f>
        <v/>
      </c>
      <c r="D487" s="31"/>
      <c r="E487" s="32" t="str">
        <f>IFERROR(_xlfn.XLOOKUP($B487,Insumo[DESCRIPCION],Insumo[VALOR],,0),"")</f>
        <v/>
      </c>
      <c r="F487" s="33"/>
      <c r="G487" s="34" t="str">
        <f>IFERROR(IF(F487&gt;=0,D487*E487*(1+F487/100),ABS(D487*E487/F487)),"")</f>
        <v/>
      </c>
      <c r="H487" s="43" t="str">
        <f>IFERROR(G487*E484,"")</f>
        <v/>
      </c>
    </row>
    <row r="488" spans="1:11">
      <c r="A488" s="28"/>
      <c r="B488" s="29"/>
      <c r="C488" s="30" t="str">
        <f>IFERROR(_xlfn.XLOOKUP(B488,Insumo[DESCRIPCION],Insumo[UND],,0),"")</f>
        <v/>
      </c>
      <c r="D488" s="31"/>
      <c r="E488" s="32" t="str">
        <f>IFERROR(_xlfn.XLOOKUP($B488,Insumo[DESCRIPCION],Insumo[VALOR],,0),"")</f>
        <v/>
      </c>
      <c r="F488" s="33"/>
      <c r="G488" s="34" t="str">
        <f>IFERROR(IF(F488&gt;=0,D488*E488*(1+F488/100),ABS(D488*E488/F488)),"")</f>
        <v/>
      </c>
      <c r="H488" s="43" t="str">
        <f>IFERROR(G488*E484,"")</f>
        <v/>
      </c>
    </row>
    <row r="489" spans="1:11">
      <c r="A489" s="28"/>
      <c r="B489" s="29"/>
      <c r="C489" s="30" t="str">
        <f>IFERROR(_xlfn.XLOOKUP(B489,Insumo[DESCRIPCION],Insumo[UND],,0),"")</f>
        <v/>
      </c>
      <c r="D489" s="31"/>
      <c r="E489" s="32" t="str">
        <f>IFERROR(_xlfn.XLOOKUP($B489,Insumo[DESCRIPCION],Insumo[VALOR],,0),"")</f>
        <v/>
      </c>
      <c r="F489" s="33"/>
      <c r="G489" s="34" t="str">
        <f>IFERROR(IF(F489&gt;=0,D489*E489*(1+F489/100),ABS(D489*E489/F489)),"")</f>
        <v/>
      </c>
      <c r="H489" s="43" t="str">
        <f>IFERROR(G489*E484,"")</f>
        <v/>
      </c>
    </row>
    <row r="490" spans="1:11">
      <c r="A490" s="28"/>
      <c r="B490" s="29"/>
      <c r="C490" s="30" t="str">
        <f>IFERROR(_xlfn.XLOOKUP(B490,Insumo[DESCRIPCION],Insumo[UND],,0),"")</f>
        <v/>
      </c>
      <c r="D490" s="31"/>
      <c r="E490" s="32" t="str">
        <f>IFERROR(_xlfn.XLOOKUP($B490,Insumo[DESCRIPCION],Insumo[VALOR],,0),"")</f>
        <v/>
      </c>
      <c r="F490" s="33"/>
      <c r="G490" s="34" t="str">
        <f>IFERROR(IF(F490&gt;=0,D490*E490*(1+F490/100),ABS(D490*E490/F490)),"")</f>
        <v/>
      </c>
      <c r="H490" s="43" t="str">
        <f>IFERROR(G490*E484,"")</f>
        <v/>
      </c>
    </row>
    <row r="491" spans="1:11">
      <c r="A491" s="28"/>
      <c r="B491" s="29"/>
      <c r="C491" s="30" t="str">
        <f>IFERROR(_xlfn.XLOOKUP(B491,Insumo[DESCRIPCION],Insumo[UND],,0),"")</f>
        <v/>
      </c>
      <c r="D491" s="31"/>
      <c r="E491" s="32" t="str">
        <f>IFERROR(_xlfn.XLOOKUP($B491,Insumo[DESCRIPCION],Insumo[VALOR],,0),"")</f>
        <v/>
      </c>
      <c r="F491" s="33"/>
      <c r="G491" s="34" t="str">
        <f>IFERROR(IF(F491&gt;=0,D491*E491*(1+F491/100),ABS(D491*E491/F491)),"")</f>
        <v/>
      </c>
      <c r="H491" s="43" t="str">
        <f>IFERROR(G491*E484,"")</f>
        <v/>
      </c>
    </row>
    <row r="492" spans="1:11">
      <c r="A492" s="21"/>
      <c r="B492" s="22" t="s">
        <v>3731</v>
      </c>
      <c r="C492" s="23"/>
      <c r="D492" s="24"/>
      <c r="E492" s="25"/>
      <c r="F492" s="26"/>
      <c r="G492" s="27">
        <f>SUM(G493:G495)</f>
        <v>3143.9075089500002</v>
      </c>
      <c r="H492" s="44">
        <f>G492*E484</f>
        <v>0</v>
      </c>
    </row>
    <row r="493" spans="1:11">
      <c r="A493" s="28"/>
      <c r="B493" s="29" t="s">
        <v>3570</v>
      </c>
      <c r="C493" s="30" t="str">
        <f>IFERROR(_xlfn.XLOOKUP(B493,Equipo[DESCRIPCION],Equipo[UND],,0),"")</f>
        <v>%MO</v>
      </c>
      <c r="D493" s="31">
        <v>0.04</v>
      </c>
      <c r="E493" s="32">
        <f>IF(C493="%MO",G499,IFERROR(_xlfn.XLOOKUP($B493,Equipo[DESCRIPCION],Equipo[VALOR],,0),""))</f>
        <v>34932.305655000004</v>
      </c>
      <c r="F493" s="33"/>
      <c r="G493" s="34">
        <f>IFERROR(IF(F493&gt;=0,D493*E493*(1+F493/100),ABS(D493*E493/F493)),"")</f>
        <v>1397.2922262000002</v>
      </c>
      <c r="H493" s="43">
        <f>IFERROR(G493*E484,"")</f>
        <v>0</v>
      </c>
    </row>
    <row r="494" spans="1:11">
      <c r="A494" s="28"/>
      <c r="B494" s="29" t="s">
        <v>3626</v>
      </c>
      <c r="C494" s="30" t="str">
        <f>IFERROR(_xlfn.XLOOKUP(B494,Equipo[DESCRIPCION],Equipo[UND],,0),"")</f>
        <v>%MO</v>
      </c>
      <c r="D494" s="31">
        <v>0.05</v>
      </c>
      <c r="E494" s="32">
        <f>IF(C494="%MO",G499,IFERROR(_xlfn.XLOOKUP($B494,Equipo[DESCRIPCION],Equipo[VALOR],,0),""))</f>
        <v>34932.305655000004</v>
      </c>
      <c r="F494" s="33"/>
      <c r="G494" s="34">
        <f>IFERROR(IF(F494&gt;=0,D494*E494*(1+F494/100),ABS(D494*E494/F494)),"")</f>
        <v>1746.6152827500002</v>
      </c>
      <c r="H494" s="43">
        <f>IFERROR(G494*E484,"")</f>
        <v>0</v>
      </c>
    </row>
    <row r="495" spans="1:11">
      <c r="A495" s="28"/>
      <c r="B495" s="29"/>
      <c r="C495" s="30" t="str">
        <f>IFERROR(_xlfn.XLOOKUP(B495,Equipo[DESCRIPCION],Equipo[UND],,0),"")</f>
        <v/>
      </c>
      <c r="D495" s="31"/>
      <c r="E495" s="32" t="str">
        <f>IF(C495="%MO",G501,IFERROR(_xlfn.XLOOKUP($B495,Equipo[DESCRIPCION],Equipo[VALOR],,0),""))</f>
        <v/>
      </c>
      <c r="F495" s="33"/>
      <c r="G495" s="34" t="str">
        <f>IFERROR(IF(F495&gt;=0,D495*E495*(1+F495/100),ABS(D495*E495/F495)),"")</f>
        <v/>
      </c>
      <c r="H495" s="43" t="str">
        <f>IFERROR(G495*E484,"")</f>
        <v/>
      </c>
    </row>
    <row r="496" spans="1:11">
      <c r="A496" s="21"/>
      <c r="B496" s="22" t="s">
        <v>2533</v>
      </c>
      <c r="C496" s="23"/>
      <c r="D496" s="24"/>
      <c r="E496" s="25"/>
      <c r="F496" s="26"/>
      <c r="G496" s="27">
        <f>SUM(G497:G498)</f>
        <v>0</v>
      </c>
      <c r="H496" s="44">
        <f>G496*E484</f>
        <v>0</v>
      </c>
    </row>
    <row r="497" spans="1:11">
      <c r="A497" s="28"/>
      <c r="B497" s="29"/>
      <c r="C497" s="30" t="str">
        <f>IFERROR(_xlfn.XLOOKUP(B497,Transporte[DESCRIPCION],Transporte[UND],,0),"")</f>
        <v/>
      </c>
      <c r="D497" s="31"/>
      <c r="E497" s="32" t="str">
        <f>IFERROR(_xlfn.XLOOKUP($B497,Transporte[DESCRIPCION],Transporte[VALOR],,0),"")</f>
        <v/>
      </c>
      <c r="F497" s="33"/>
      <c r="G497" s="34" t="str">
        <f>IFERROR(IF(F497&gt;=0,D497*E497*(1+F497/100),ABS(D497*E497/F497)),"")</f>
        <v/>
      </c>
      <c r="H497" s="43" t="str">
        <f>IFERROR(G497*E484,"")</f>
        <v/>
      </c>
    </row>
    <row r="498" spans="1:11">
      <c r="A498" s="28"/>
      <c r="B498" s="29"/>
      <c r="C498" s="30" t="str">
        <f>IFERROR(_xlfn.XLOOKUP(B498,Transporte[DESCRIPCION],Transporte[UND],,0),"")</f>
        <v/>
      </c>
      <c r="D498" s="31"/>
      <c r="E498" s="32" t="str">
        <f>IFERROR(_xlfn.XLOOKUP($B498,Transporte[DESCRIPCION],Transporte[VALOR],,0),"")</f>
        <v/>
      </c>
      <c r="F498" s="33"/>
      <c r="G498" s="34" t="str">
        <f>IFERROR(IF(F498&gt;=0,D498*E498*(1+F498/100),ABS(D498*E498/F498)),"")</f>
        <v/>
      </c>
      <c r="H498" s="43" t="str">
        <f>IFERROR(G498*E484,"")</f>
        <v/>
      </c>
    </row>
    <row r="499" spans="1:11">
      <c r="A499" s="21"/>
      <c r="B499" s="22" t="s">
        <v>3732</v>
      </c>
      <c r="C499" s="23"/>
      <c r="D499" s="24"/>
      <c r="E499" s="25"/>
      <c r="F499" s="26"/>
      <c r="G499" s="27">
        <f>SUM(G500:G502)</f>
        <v>34932.305655000004</v>
      </c>
      <c r="H499" s="44">
        <f>G499*E484</f>
        <v>0</v>
      </c>
    </row>
    <row r="500" spans="1:11">
      <c r="A500" s="28"/>
      <c r="B500" s="29" t="s">
        <v>3710</v>
      </c>
      <c r="C500" s="30" t="str">
        <f>IFERROR(_xlfn.XLOOKUP(B500,MObra[DESCRIPCION],MObra[UN],,0),"")</f>
        <v>día</v>
      </c>
      <c r="D500" s="31">
        <v>1</v>
      </c>
      <c r="E500" s="32">
        <f>IFERROR(_xlfn.XLOOKUP($B500,MObra[DESCRIPCION],MObra[VALOR UNIT],,0),"")</f>
        <v>314390.75089500006</v>
      </c>
      <c r="F500" s="33">
        <v>-9</v>
      </c>
      <c r="G500" s="34">
        <f>IFERROR(IF(F500&gt;=0,D500*E500*(1+F500/100),ABS(D500*E500/F500)),"")</f>
        <v>34932.305655000004</v>
      </c>
      <c r="H500" s="43">
        <f>IFERROR(G500*E484,"")</f>
        <v>0</v>
      </c>
    </row>
    <row r="501" spans="1:11">
      <c r="A501" s="28"/>
      <c r="B501" s="29"/>
      <c r="C501" s="30" t="str">
        <f>IFERROR(_xlfn.XLOOKUP(B501,MObra[DESCRIPCION],MObra[UN],,0),"")</f>
        <v/>
      </c>
      <c r="D501" s="31"/>
      <c r="E501" s="32" t="str">
        <f>IFERROR(_xlfn.XLOOKUP($B501,MObra[DESCRIPCION],MObra[VALOR UNIT],,0),"")</f>
        <v/>
      </c>
      <c r="F501" s="33"/>
      <c r="G501" s="34" t="str">
        <f>IFERROR(IF(F501&gt;=0,D501*E501*(1+F501/100),ABS(D501*E501/F501)),"")</f>
        <v/>
      </c>
      <c r="H501" s="43" t="str">
        <f>IFERROR(G501*E484,"")</f>
        <v/>
      </c>
    </row>
    <row r="502" spans="1:11">
      <c r="A502" s="35"/>
      <c r="B502" s="36"/>
      <c r="C502" s="37" t="str">
        <f>IFERROR(_xlfn.XLOOKUP(B502,MObra[DESCRIPCION],MObra[UN],,0),"")</f>
        <v/>
      </c>
      <c r="D502" s="38"/>
      <c r="E502" s="39" t="str">
        <f>IFERROR(_xlfn.XLOOKUP($B502,MObra[DESCRIPCION],MObra[VALOR UNIT],,0),"")</f>
        <v/>
      </c>
      <c r="F502" s="40"/>
      <c r="G502" s="41" t="str">
        <f>IFERROR(IF(F502&gt;=0,D502*E502*(1+F502/100),ABS(D502*E502/F502)),"")</f>
        <v/>
      </c>
      <c r="H502" s="42" t="str">
        <f>IFERROR(G502*E484,"")</f>
        <v/>
      </c>
    </row>
    <row r="504" spans="1:11">
      <c r="A504" s="6" t="s">
        <v>2088</v>
      </c>
      <c r="B504" s="7" t="str">
        <f>VLOOKUP($A504,Presupuesto!$A:$D,2,FALSE())</f>
        <v>Pasos de acero de refuerzo 3/4" Fy=420 Mpa incluye anticorrosivo</v>
      </c>
      <c r="C504" s="8" t="str">
        <f>VLOOKUP($A504,Presupuesto!$A:$D,3,FALSE())</f>
        <v>Un</v>
      </c>
      <c r="D504" s="9"/>
      <c r="E504" s="10">
        <f>VLOOKUP($A504,Presupuesto!$A:$D,4,FALSE())</f>
        <v>0</v>
      </c>
      <c r="F504" s="11" t="s">
        <v>2589</v>
      </c>
      <c r="G504" s="12">
        <f>SUM(G506:G522)/2</f>
        <v>77320.486406625016</v>
      </c>
      <c r="H504" s="13">
        <f>ROUND(SUM(H506:H522),0)/2</f>
        <v>0</v>
      </c>
      <c r="I504" s="10">
        <f>VLOOKUP(A504,Presupuesto!$A:$F,6,0)</f>
        <v>0</v>
      </c>
      <c r="J504" s="10">
        <f>+H504-I504</f>
        <v>0</v>
      </c>
      <c r="K504" s="46">
        <f>+H504-G504*E504</f>
        <v>0</v>
      </c>
    </row>
    <row r="505" spans="1:11">
      <c r="A505" s="14"/>
      <c r="B505" s="15" t="s">
        <v>2586</v>
      </c>
      <c r="C505" s="15" t="s">
        <v>5</v>
      </c>
      <c r="D505" s="16" t="s">
        <v>6</v>
      </c>
      <c r="E505" s="17" t="s">
        <v>7</v>
      </c>
      <c r="F505" s="18" t="s">
        <v>3728</v>
      </c>
      <c r="G505" s="19" t="s">
        <v>3729</v>
      </c>
      <c r="H505" s="20" t="s">
        <v>3797</v>
      </c>
    </row>
    <row r="506" spans="1:11">
      <c r="A506" s="21"/>
      <c r="B506" s="22" t="s">
        <v>3730</v>
      </c>
      <c r="C506" s="23"/>
      <c r="D506" s="24"/>
      <c r="E506" s="25"/>
      <c r="F506" s="26"/>
      <c r="G506" s="27">
        <f>SUM(G507:G511)</f>
        <v>11056.605000000001</v>
      </c>
      <c r="H506" s="27">
        <f>IFERROR(G506*E504,"")</f>
        <v>0</v>
      </c>
    </row>
    <row r="507" spans="1:11">
      <c r="A507" s="28"/>
      <c r="B507" s="29" t="s">
        <v>2653</v>
      </c>
      <c r="C507" s="30" t="str">
        <f>IFERROR(_xlfn.XLOOKUP(B507,Insumo[DESCRIPCION],Insumo[UND],,0),"")</f>
        <v>Kg</v>
      </c>
      <c r="D507" s="31">
        <v>1.6</v>
      </c>
      <c r="E507" s="32">
        <f>IFERROR(_xlfn.XLOOKUP($B507,Insumo[DESCRIPCION],Insumo[VALOR],,0),"")</f>
        <v>5686.8</v>
      </c>
      <c r="F507" s="33"/>
      <c r="G507" s="34">
        <f>IFERROR(IF(F507&gt;=0,D507*E507*(1+F507/100),ABS(D507*E507/F507)),"")</f>
        <v>9098.880000000001</v>
      </c>
      <c r="H507" s="43">
        <f>IFERROR(G507*E504,"")</f>
        <v>0</v>
      </c>
    </row>
    <row r="508" spans="1:11">
      <c r="A508" s="28"/>
      <c r="B508" s="29" t="s">
        <v>2708</v>
      </c>
      <c r="C508" s="30" t="str">
        <f>IFERROR(_xlfn.XLOOKUP(B508,Insumo[DESCRIPCION],Insumo[UND],,0),"")</f>
        <v>galón</v>
      </c>
      <c r="D508" s="31">
        <v>0.02</v>
      </c>
      <c r="E508" s="32">
        <f>IFERROR(_xlfn.XLOOKUP($B508,Insumo[DESCRIPCION],Insumo[VALOR],,0),"")</f>
        <v>97886.25</v>
      </c>
      <c r="F508" s="33"/>
      <c r="G508" s="34">
        <f>IFERROR(IF(F508&gt;=0,D508*E508*(1+F508/100),ABS(D508*E508/F508)),"")</f>
        <v>1957.7250000000001</v>
      </c>
      <c r="H508" s="43">
        <f>IFERROR(G508*E504,"")</f>
        <v>0</v>
      </c>
    </row>
    <row r="509" spans="1:11">
      <c r="A509" s="28"/>
      <c r="B509" s="29"/>
      <c r="C509" s="30" t="str">
        <f>IFERROR(_xlfn.XLOOKUP(B509,Insumo[DESCRIPCION],Insumo[UND],,0),"")</f>
        <v/>
      </c>
      <c r="D509" s="31"/>
      <c r="E509" s="32" t="str">
        <f>IFERROR(_xlfn.XLOOKUP($B509,Insumo[DESCRIPCION],Insumo[VALOR],,0),"")</f>
        <v/>
      </c>
      <c r="F509" s="33"/>
      <c r="G509" s="34" t="str">
        <f>IFERROR(IF(F509&gt;=0,D509*E509*(1+F509/100),ABS(D509*E509/F509)),"")</f>
        <v/>
      </c>
      <c r="H509" s="43" t="str">
        <f>IFERROR(G509*E504,"")</f>
        <v/>
      </c>
    </row>
    <row r="510" spans="1:11">
      <c r="A510" s="28"/>
      <c r="B510" s="29"/>
      <c r="C510" s="30" t="str">
        <f>IFERROR(_xlfn.XLOOKUP(B510,Insumo[DESCRIPCION],Insumo[UND],,0),"")</f>
        <v/>
      </c>
      <c r="D510" s="31"/>
      <c r="E510" s="32" t="str">
        <f>IFERROR(_xlfn.XLOOKUP($B510,Insumo[DESCRIPCION],Insumo[VALOR],,0),"")</f>
        <v/>
      </c>
      <c r="F510" s="33"/>
      <c r="G510" s="34" t="str">
        <f>IFERROR(IF(F510&gt;=0,D510*E510*(1+F510/100),ABS(D510*E510/F510)),"")</f>
        <v/>
      </c>
      <c r="H510" s="43" t="str">
        <f>IFERROR(G510*E504,"")</f>
        <v/>
      </c>
    </row>
    <row r="511" spans="1:11">
      <c r="A511" s="28"/>
      <c r="B511" s="29"/>
      <c r="C511" s="30" t="str">
        <f>IFERROR(_xlfn.XLOOKUP(B511,Insumo[DESCRIPCION],Insumo[UND],,0),"")</f>
        <v/>
      </c>
      <c r="D511" s="31"/>
      <c r="E511" s="32" t="str">
        <f>IFERROR(_xlfn.XLOOKUP($B511,Insumo[DESCRIPCION],Insumo[VALOR],,0),"")</f>
        <v/>
      </c>
      <c r="F511" s="33"/>
      <c r="G511" s="34" t="str">
        <f>IFERROR(IF(F511&gt;=0,D511*E511*(1+F511/100),ABS(D511*E511/F511)),"")</f>
        <v/>
      </c>
      <c r="H511" s="43" t="str">
        <f>IFERROR(G511*E504,"")</f>
        <v/>
      </c>
    </row>
    <row r="512" spans="1:11">
      <c r="A512" s="21"/>
      <c r="B512" s="22" t="s">
        <v>3731</v>
      </c>
      <c r="C512" s="23"/>
      <c r="D512" s="24"/>
      <c r="E512" s="25"/>
      <c r="F512" s="26"/>
      <c r="G512" s="27">
        <f>SUM(G513:G515)</f>
        <v>13865.422924125001</v>
      </c>
      <c r="H512" s="44">
        <f>G512*E504</f>
        <v>0</v>
      </c>
    </row>
    <row r="513" spans="1:11">
      <c r="A513" s="28"/>
      <c r="B513" s="29" t="s">
        <v>3655</v>
      </c>
      <c r="C513" s="30" t="str">
        <f>IFERROR(_xlfn.XLOOKUP(B513,Equipo[DESCRIPCION],Equipo[UND],,0),"")</f>
        <v>Día</v>
      </c>
      <c r="D513" s="31">
        <v>1</v>
      </c>
      <c r="E513" s="32">
        <f>IF(C513="%MO",G519,IFERROR(_xlfn.XLOOKUP($B513,Equipo[DESCRIPCION],Equipo[VALOR],,0),""))</f>
        <v>112455</v>
      </c>
      <c r="F513" s="33">
        <v>-10</v>
      </c>
      <c r="G513" s="34">
        <f>IFERROR(IF(F513&gt;=0,D513*E513*(1+F513/100),ABS(D513*E513/F513)),"")</f>
        <v>11245.5</v>
      </c>
      <c r="H513" s="43">
        <f>IFERROR(G513*E504,"")</f>
        <v>0</v>
      </c>
    </row>
    <row r="514" spans="1:11">
      <c r="A514" s="28"/>
      <c r="B514" s="29" t="s">
        <v>3626</v>
      </c>
      <c r="C514" s="30" t="str">
        <f>IFERROR(_xlfn.XLOOKUP(B514,Equipo[DESCRIPCION],Equipo[UND],,0),"")</f>
        <v>%MO</v>
      </c>
      <c r="D514" s="31">
        <v>0.05</v>
      </c>
      <c r="E514" s="32">
        <f>IF(C514="%MO",G520,IFERROR(_xlfn.XLOOKUP($B514,Equipo[DESCRIPCION],Equipo[VALOR],,0),""))</f>
        <v>52398.458482500013</v>
      </c>
      <c r="F514" s="33"/>
      <c r="G514" s="34">
        <f>IFERROR(IF(F514&gt;=0,D514*E514*(1+F514/100),ABS(D514*E514/F514)),"")</f>
        <v>2619.9229241250009</v>
      </c>
      <c r="H514" s="43">
        <f>IFERROR(G514*E504,"")</f>
        <v>0</v>
      </c>
    </row>
    <row r="515" spans="1:11">
      <c r="A515" s="28"/>
      <c r="B515" s="29"/>
      <c r="C515" s="30" t="str">
        <f>IFERROR(_xlfn.XLOOKUP(B515,Equipo[DESCRIPCION],Equipo[UND],,0),"")</f>
        <v/>
      </c>
      <c r="D515" s="31"/>
      <c r="E515" s="32" t="str">
        <f>IF(C515="%MO",G521,IFERROR(_xlfn.XLOOKUP($B515,Equipo[DESCRIPCION],Equipo[VALOR],,0),""))</f>
        <v/>
      </c>
      <c r="F515" s="33"/>
      <c r="G515" s="34" t="str">
        <f>IFERROR(IF(F515&gt;=0,D515*E515*(1+F515/100),ABS(D515*E515/F515)),"")</f>
        <v/>
      </c>
      <c r="H515" s="43" t="str">
        <f>IFERROR(G515*E504,"")</f>
        <v/>
      </c>
    </row>
    <row r="516" spans="1:11">
      <c r="A516" s="21"/>
      <c r="B516" s="22" t="s">
        <v>2533</v>
      </c>
      <c r="C516" s="23"/>
      <c r="D516" s="24"/>
      <c r="E516" s="25"/>
      <c r="F516" s="26"/>
      <c r="G516" s="27">
        <f>SUM(G517:G518)</f>
        <v>0</v>
      </c>
      <c r="H516" s="44">
        <f>G516*E504</f>
        <v>0</v>
      </c>
    </row>
    <row r="517" spans="1:11">
      <c r="A517" s="28"/>
      <c r="B517" s="29"/>
      <c r="C517" s="30" t="str">
        <f>IFERROR(_xlfn.XLOOKUP(B517,Transporte[DESCRIPCION],Transporte[UND],,0),"")</f>
        <v/>
      </c>
      <c r="D517" s="31"/>
      <c r="E517" s="32" t="str">
        <f>IFERROR(_xlfn.XLOOKUP($B517,Transporte[DESCRIPCION],Transporte[VALOR],,0),"")</f>
        <v/>
      </c>
      <c r="F517" s="33"/>
      <c r="G517" s="34" t="str">
        <f>IFERROR(IF(F517&gt;=0,D517*E517*(1+F517/100),ABS(D517*E517/F517)),"")</f>
        <v/>
      </c>
      <c r="H517" s="43" t="str">
        <f>IFERROR(G517*E504,"")</f>
        <v/>
      </c>
    </row>
    <row r="518" spans="1:11">
      <c r="A518" s="28"/>
      <c r="B518" s="29"/>
      <c r="C518" s="30" t="str">
        <f>IFERROR(_xlfn.XLOOKUP(B518,Transporte[DESCRIPCION],Transporte[UND],,0),"")</f>
        <v/>
      </c>
      <c r="D518" s="31"/>
      <c r="E518" s="32" t="str">
        <f>IFERROR(_xlfn.XLOOKUP($B518,Transporte[DESCRIPCION],Transporte[VALOR],,0),"")</f>
        <v/>
      </c>
      <c r="F518" s="33"/>
      <c r="G518" s="34" t="str">
        <f>IFERROR(IF(F518&gt;=0,D518*E518*(1+F518/100),ABS(D518*E518/F518)),"")</f>
        <v/>
      </c>
      <c r="H518" s="43" t="str">
        <f>IFERROR(G518*E504,"")</f>
        <v/>
      </c>
    </row>
    <row r="519" spans="1:11">
      <c r="A519" s="21"/>
      <c r="B519" s="22" t="s">
        <v>3732</v>
      </c>
      <c r="C519" s="23"/>
      <c r="D519" s="24"/>
      <c r="E519" s="25"/>
      <c r="F519" s="26"/>
      <c r="G519" s="27">
        <f>SUM(G520:G522)</f>
        <v>52398.458482500013</v>
      </c>
      <c r="H519" s="44">
        <f>G519*E504</f>
        <v>0</v>
      </c>
    </row>
    <row r="520" spans="1:11">
      <c r="A520" s="28"/>
      <c r="B520" s="29" t="s">
        <v>3710</v>
      </c>
      <c r="C520" s="30" t="str">
        <f>IFERROR(_xlfn.XLOOKUP(B520,MObra[DESCRIPCION],MObra[UN],,0),"")</f>
        <v>día</v>
      </c>
      <c r="D520" s="31">
        <v>1</v>
      </c>
      <c r="E520" s="32">
        <f>IFERROR(_xlfn.XLOOKUP($B520,MObra[DESCRIPCION],MObra[VALOR UNIT],,0),"")</f>
        <v>314390.75089500006</v>
      </c>
      <c r="F520" s="33">
        <v>-6</v>
      </c>
      <c r="G520" s="34">
        <f>IFERROR(IF(F520&gt;=0,D520*E520*(1+F520/100),ABS(D520*E520/F520)),"")</f>
        <v>52398.458482500013</v>
      </c>
      <c r="H520" s="43">
        <f>IFERROR(G520*E504,"")</f>
        <v>0</v>
      </c>
    </row>
    <row r="521" spans="1:11">
      <c r="A521" s="28"/>
      <c r="B521" s="29"/>
      <c r="C521" s="30" t="str">
        <f>IFERROR(_xlfn.XLOOKUP(B521,MObra[DESCRIPCION],MObra[UN],,0),"")</f>
        <v/>
      </c>
      <c r="D521" s="31"/>
      <c r="E521" s="32" t="str">
        <f>IFERROR(_xlfn.XLOOKUP($B521,MObra[DESCRIPCION],MObra[VALOR UNIT],,0),"")</f>
        <v/>
      </c>
      <c r="F521" s="33"/>
      <c r="G521" s="34" t="str">
        <f>IFERROR(IF(F521&gt;=0,D521*E521*(1+F521/100),ABS(D521*E521/F521)),"")</f>
        <v/>
      </c>
      <c r="H521" s="43" t="str">
        <f>IFERROR(G521*E504,"")</f>
        <v/>
      </c>
    </row>
    <row r="522" spans="1:11">
      <c r="A522" s="35"/>
      <c r="B522" s="36"/>
      <c r="C522" s="37" t="str">
        <f>IFERROR(_xlfn.XLOOKUP(B522,MObra[DESCRIPCION],MObra[UN],,0),"")</f>
        <v/>
      </c>
      <c r="D522" s="38"/>
      <c r="E522" s="39" t="str">
        <f>IFERROR(_xlfn.XLOOKUP($B522,MObra[DESCRIPCION],MObra[VALOR UNIT],,0),"")</f>
        <v/>
      </c>
      <c r="F522" s="40"/>
      <c r="G522" s="41" t="str">
        <f>IFERROR(IF(F522&gt;=0,D522*E522*(1+F522/100),ABS(D522*E522/F522)),"")</f>
        <v/>
      </c>
      <c r="H522" s="42" t="str">
        <f>IFERROR(G522*E504,"")</f>
        <v/>
      </c>
    </row>
    <row r="524" spans="1:11">
      <c r="A524" s="6" t="s">
        <v>2090</v>
      </c>
      <c r="B524" s="7" t="str">
        <f>VLOOKUP($A524,Presupuesto!$A:$D,2,FALSE())</f>
        <v>Perforación en material común (manual) para dren horizontal de 65mm</v>
      </c>
      <c r="C524" s="8" t="str">
        <f>VLOOKUP($A524,Presupuesto!$A:$D,3,FALSE())</f>
        <v>M</v>
      </c>
      <c r="D524" s="9"/>
      <c r="E524" s="10">
        <f>VLOOKUP($A524,Presupuesto!$A:$D,4,FALSE())</f>
        <v>0</v>
      </c>
      <c r="F524" s="11" t="s">
        <v>2589</v>
      </c>
      <c r="G524" s="12">
        <f>SUM(G526:G542)/2</f>
        <v>37356.883882150003</v>
      </c>
      <c r="H524" s="13">
        <f>ROUND(SUM(H526:H542),0)/2</f>
        <v>0</v>
      </c>
      <c r="I524" s="10">
        <f>VLOOKUP(A524,Presupuesto!$A:$F,6,0)</f>
        <v>0</v>
      </c>
      <c r="J524" s="10">
        <f>+H524-I524</f>
        <v>0</v>
      </c>
      <c r="K524" s="46">
        <f>+H524-G524*E524</f>
        <v>0</v>
      </c>
    </row>
    <row r="525" spans="1:11">
      <c r="A525" s="14"/>
      <c r="B525" s="15" t="s">
        <v>2586</v>
      </c>
      <c r="C525" s="15" t="s">
        <v>5</v>
      </c>
      <c r="D525" s="16" t="s">
        <v>6</v>
      </c>
      <c r="E525" s="17" t="s">
        <v>7</v>
      </c>
      <c r="F525" s="18" t="s">
        <v>3728</v>
      </c>
      <c r="G525" s="19" t="s">
        <v>3729</v>
      </c>
      <c r="H525" s="20" t="s">
        <v>3797</v>
      </c>
    </row>
    <row r="526" spans="1:11">
      <c r="A526" s="21"/>
      <c r="B526" s="22" t="s">
        <v>3730</v>
      </c>
      <c r="C526" s="23"/>
      <c r="D526" s="24"/>
      <c r="E526" s="25"/>
      <c r="F526" s="26"/>
      <c r="G526" s="27">
        <f>SUM(G527:G531)</f>
        <v>0</v>
      </c>
      <c r="H526" s="27">
        <f>IFERROR(G526*E524,"")</f>
        <v>0</v>
      </c>
    </row>
    <row r="527" spans="1:11">
      <c r="A527" s="28"/>
      <c r="B527" s="29"/>
      <c r="C527" s="30" t="str">
        <f>IFERROR(_xlfn.XLOOKUP(B527,Insumo[DESCRIPCION],Insumo[UND],,0),"")</f>
        <v/>
      </c>
      <c r="D527" s="31"/>
      <c r="E527" s="32" t="str">
        <f>IFERROR(_xlfn.XLOOKUP($B527,Insumo[DESCRIPCION],Insumo[VALOR],,0),"")</f>
        <v/>
      </c>
      <c r="F527" s="33"/>
      <c r="G527" s="34" t="str">
        <f>IFERROR(IF(F527&gt;=0,D527*E527*(1+F527/100),ABS(D527*E527/F527)),"")</f>
        <v/>
      </c>
      <c r="H527" s="43" t="str">
        <f>IFERROR(G527*E524,"")</f>
        <v/>
      </c>
    </row>
    <row r="528" spans="1:11">
      <c r="A528" s="28"/>
      <c r="B528" s="29"/>
      <c r="C528" s="30" t="str">
        <f>IFERROR(_xlfn.XLOOKUP(B528,Insumo[DESCRIPCION],Insumo[UND],,0),"")</f>
        <v/>
      </c>
      <c r="D528" s="31"/>
      <c r="E528" s="32" t="str">
        <f>IFERROR(_xlfn.XLOOKUP($B528,Insumo[DESCRIPCION],Insumo[VALOR],,0),"")</f>
        <v/>
      </c>
      <c r="F528" s="33"/>
      <c r="G528" s="34" t="str">
        <f>IFERROR(IF(F528&gt;=0,D528*E528*(1+F528/100),ABS(D528*E528/F528)),"")</f>
        <v/>
      </c>
      <c r="H528" s="43" t="str">
        <f>IFERROR(G528*E524,"")</f>
        <v/>
      </c>
    </row>
    <row r="529" spans="1:11">
      <c r="A529" s="28"/>
      <c r="B529" s="29"/>
      <c r="C529" s="30" t="str">
        <f>IFERROR(_xlfn.XLOOKUP(B529,Insumo[DESCRIPCION],Insumo[UND],,0),"")</f>
        <v/>
      </c>
      <c r="D529" s="31"/>
      <c r="E529" s="32" t="str">
        <f>IFERROR(_xlfn.XLOOKUP($B529,Insumo[DESCRIPCION],Insumo[VALOR],,0),"")</f>
        <v/>
      </c>
      <c r="F529" s="33"/>
      <c r="G529" s="34" t="str">
        <f>IFERROR(IF(F529&gt;=0,D529*E529*(1+F529/100),ABS(D529*E529/F529)),"")</f>
        <v/>
      </c>
      <c r="H529" s="43" t="str">
        <f>IFERROR(G529*E524,"")</f>
        <v/>
      </c>
    </row>
    <row r="530" spans="1:11">
      <c r="A530" s="28"/>
      <c r="B530" s="29"/>
      <c r="C530" s="30" t="str">
        <f>IFERROR(_xlfn.XLOOKUP(B530,Insumo[DESCRIPCION],Insumo[UND],,0),"")</f>
        <v/>
      </c>
      <c r="D530" s="31"/>
      <c r="E530" s="32" t="str">
        <f>IFERROR(_xlfn.XLOOKUP($B530,Insumo[DESCRIPCION],Insumo[VALOR],,0),"")</f>
        <v/>
      </c>
      <c r="F530" s="33"/>
      <c r="G530" s="34" t="str">
        <f>IFERROR(IF(F530&gt;=0,D530*E530*(1+F530/100),ABS(D530*E530/F530)),"")</f>
        <v/>
      </c>
      <c r="H530" s="43" t="str">
        <f>IFERROR(G530*E524,"")</f>
        <v/>
      </c>
    </row>
    <row r="531" spans="1:11">
      <c r="A531" s="28"/>
      <c r="B531" s="29"/>
      <c r="C531" s="30" t="str">
        <f>IFERROR(_xlfn.XLOOKUP(B531,Insumo[DESCRIPCION],Insumo[UND],,0),"")</f>
        <v/>
      </c>
      <c r="D531" s="31"/>
      <c r="E531" s="32" t="str">
        <f>IFERROR(_xlfn.XLOOKUP($B531,Insumo[DESCRIPCION],Insumo[VALOR],,0),"")</f>
        <v/>
      </c>
      <c r="F531" s="33"/>
      <c r="G531" s="34" t="str">
        <f>IFERROR(IF(F531&gt;=0,D531*E531*(1+F531/100),ABS(D531*E531/F531)),"")</f>
        <v/>
      </c>
      <c r="H531" s="43" t="str">
        <f>IFERROR(G531*E524,"")</f>
        <v/>
      </c>
    </row>
    <row r="532" spans="1:11">
      <c r="A532" s="21"/>
      <c r="B532" s="22" t="s">
        <v>3731</v>
      </c>
      <c r="C532" s="23"/>
      <c r="D532" s="24"/>
      <c r="E532" s="25"/>
      <c r="F532" s="26"/>
      <c r="G532" s="27">
        <f>SUM(G533:G535)</f>
        <v>8634.7658991500011</v>
      </c>
      <c r="H532" s="44">
        <f>G532*E524</f>
        <v>0</v>
      </c>
    </row>
    <row r="533" spans="1:11">
      <c r="A533" s="28"/>
      <c r="B533" s="29" t="s">
        <v>3578</v>
      </c>
      <c r="C533" s="30" t="str">
        <f>IFERROR(_xlfn.XLOOKUP(B533,Equipo[DESCRIPCION],Equipo[UND],,0),"")</f>
        <v>Día</v>
      </c>
      <c r="D533" s="31">
        <v>1</v>
      </c>
      <c r="E533" s="32">
        <f>IF(C533="%MO",G539,IFERROR(_xlfn.XLOOKUP($B533,Equipo[DESCRIPCION],Equipo[VALOR],,0),""))</f>
        <v>107979.90000000001</v>
      </c>
      <c r="F533" s="33">
        <v>-15</v>
      </c>
      <c r="G533" s="34">
        <f>IFERROR(IF(F533&gt;=0,D533*E533*(1+F533/100),ABS(D533*E533/F533)),"")</f>
        <v>7198.6600000000008</v>
      </c>
      <c r="H533" s="43">
        <f>IFERROR(G533*E524,"")</f>
        <v>0</v>
      </c>
    </row>
    <row r="534" spans="1:11">
      <c r="A534" s="28"/>
      <c r="B534" s="29" t="s">
        <v>3626</v>
      </c>
      <c r="C534" s="30" t="str">
        <f>IFERROR(_xlfn.XLOOKUP(B534,Equipo[DESCRIPCION],Equipo[UND],,0),"")</f>
        <v>%MO</v>
      </c>
      <c r="D534" s="31">
        <v>0.05</v>
      </c>
      <c r="E534" s="32">
        <f>IF(C534="%MO",G540,IFERROR(_xlfn.XLOOKUP($B534,Equipo[DESCRIPCION],Equipo[VALOR],,0),""))</f>
        <v>28722.117983000004</v>
      </c>
      <c r="F534" s="33"/>
      <c r="G534" s="34">
        <f>IFERROR(IF(F534&gt;=0,D534*E534*(1+F534/100),ABS(D534*E534/F534)),"")</f>
        <v>1436.1058991500004</v>
      </c>
      <c r="H534" s="43">
        <f>IFERROR(G534*E524,"")</f>
        <v>0</v>
      </c>
    </row>
    <row r="535" spans="1:11">
      <c r="A535" s="28"/>
      <c r="B535" s="29"/>
      <c r="C535" s="30" t="str">
        <f>IFERROR(_xlfn.XLOOKUP(B535,Equipo[DESCRIPCION],Equipo[UND],,0),"")</f>
        <v/>
      </c>
      <c r="D535" s="31"/>
      <c r="E535" s="32" t="str">
        <f>IF(C535="%MO",G541,IFERROR(_xlfn.XLOOKUP($B535,Equipo[DESCRIPCION],Equipo[VALOR],,0),""))</f>
        <v/>
      </c>
      <c r="F535" s="33"/>
      <c r="G535" s="34" t="str">
        <f>IFERROR(IF(F535&gt;=0,D535*E535*(1+F535/100),ABS(D535*E535/F535)),"")</f>
        <v/>
      </c>
      <c r="H535" s="43" t="str">
        <f>IFERROR(G535*E524,"")</f>
        <v/>
      </c>
    </row>
    <row r="536" spans="1:11">
      <c r="A536" s="21"/>
      <c r="B536" s="22" t="s">
        <v>2533</v>
      </c>
      <c r="C536" s="23"/>
      <c r="D536" s="24"/>
      <c r="E536" s="25"/>
      <c r="F536" s="26"/>
      <c r="G536" s="27">
        <f>SUM(G537:G538)</f>
        <v>0</v>
      </c>
      <c r="H536" s="44">
        <f>G536*E524</f>
        <v>0</v>
      </c>
    </row>
    <row r="537" spans="1:11">
      <c r="A537" s="28"/>
      <c r="B537" s="29"/>
      <c r="C537" s="30" t="str">
        <f>IFERROR(_xlfn.XLOOKUP(B537,Transporte[DESCRIPCION],Transporte[UND],,0),"")</f>
        <v/>
      </c>
      <c r="D537" s="31"/>
      <c r="E537" s="32" t="str">
        <f>IFERROR(_xlfn.XLOOKUP($B537,Transporte[DESCRIPCION],Transporte[VALOR],,0),"")</f>
        <v/>
      </c>
      <c r="F537" s="33"/>
      <c r="G537" s="34" t="str">
        <f>IFERROR(IF(F537&gt;=0,D537*E537*(1+F537/100),ABS(D537*E537/F537)),"")</f>
        <v/>
      </c>
      <c r="H537" s="43" t="str">
        <f>IFERROR(G537*E524,"")</f>
        <v/>
      </c>
    </row>
    <row r="538" spans="1:11">
      <c r="A538" s="28"/>
      <c r="B538" s="29"/>
      <c r="C538" s="30" t="str">
        <f>IFERROR(_xlfn.XLOOKUP(B538,Transporte[DESCRIPCION],Transporte[UND],,0),"")</f>
        <v/>
      </c>
      <c r="D538" s="31"/>
      <c r="E538" s="32" t="str">
        <f>IFERROR(_xlfn.XLOOKUP($B538,Transporte[DESCRIPCION],Transporte[VALOR],,0),"")</f>
        <v/>
      </c>
      <c r="F538" s="33"/>
      <c r="G538" s="34" t="str">
        <f>IFERROR(IF(F538&gt;=0,D538*E538*(1+F538/100),ABS(D538*E538/F538)),"")</f>
        <v/>
      </c>
      <c r="H538" s="43" t="str">
        <f>IFERROR(G538*E524,"")</f>
        <v/>
      </c>
    </row>
    <row r="539" spans="1:11">
      <c r="A539" s="21"/>
      <c r="B539" s="22" t="s">
        <v>3732</v>
      </c>
      <c r="C539" s="23"/>
      <c r="D539" s="24"/>
      <c r="E539" s="25"/>
      <c r="F539" s="26"/>
      <c r="G539" s="27">
        <f>SUM(G540:G542)</f>
        <v>28722.117983000004</v>
      </c>
      <c r="H539" s="44">
        <f>G539*E524</f>
        <v>0</v>
      </c>
    </row>
    <row r="540" spans="1:11">
      <c r="A540" s="28"/>
      <c r="B540" s="29" t="s">
        <v>3711</v>
      </c>
      <c r="C540" s="30" t="str">
        <f>IFERROR(_xlfn.XLOOKUP(B540,MObra[DESCRIPCION],MObra[UN],,0),"")</f>
        <v>día</v>
      </c>
      <c r="D540" s="31">
        <v>1</v>
      </c>
      <c r="E540" s="32">
        <f>IFERROR(_xlfn.XLOOKUP($B540,MObra[DESCRIPCION],MObra[VALOR UNIT],,0),"")</f>
        <v>430831.76974500006</v>
      </c>
      <c r="F540" s="33">
        <v>-15</v>
      </c>
      <c r="G540" s="34">
        <f>IFERROR(IF(F540&gt;=0,D540*E540*(1+F540/100),ABS(D540*E540/F540)),"")</f>
        <v>28722.117983000004</v>
      </c>
      <c r="H540" s="43">
        <f>IFERROR(G540*E524,"")</f>
        <v>0</v>
      </c>
    </row>
    <row r="541" spans="1:11">
      <c r="A541" s="28"/>
      <c r="B541" s="29"/>
      <c r="C541" s="30" t="str">
        <f>IFERROR(_xlfn.XLOOKUP(B541,MObra[DESCRIPCION],MObra[UN],,0),"")</f>
        <v/>
      </c>
      <c r="D541" s="31"/>
      <c r="E541" s="32" t="str">
        <f>IFERROR(_xlfn.XLOOKUP($B541,MObra[DESCRIPCION],MObra[VALOR UNIT],,0),"")</f>
        <v/>
      </c>
      <c r="F541" s="33"/>
      <c r="G541" s="34" t="str">
        <f>IFERROR(IF(F541&gt;=0,D541*E541*(1+F541/100),ABS(D541*E541/F541)),"")</f>
        <v/>
      </c>
      <c r="H541" s="43" t="str">
        <f>IFERROR(G541*E524,"")</f>
        <v/>
      </c>
    </row>
    <row r="542" spans="1:11">
      <c r="A542" s="35"/>
      <c r="B542" s="36"/>
      <c r="C542" s="37" t="str">
        <f>IFERROR(_xlfn.XLOOKUP(B542,MObra[DESCRIPCION],MObra[UN],,0),"")</f>
        <v/>
      </c>
      <c r="D542" s="38"/>
      <c r="E542" s="39" t="str">
        <f>IFERROR(_xlfn.XLOOKUP($B542,MObra[DESCRIPCION],MObra[VALOR UNIT],,0),"")</f>
        <v/>
      </c>
      <c r="F542" s="40"/>
      <c r="G542" s="41" t="str">
        <f>IFERROR(IF(F542&gt;=0,D542*E542*(1+F542/100),ABS(D542*E542/F542)),"")</f>
        <v/>
      </c>
      <c r="H542" s="42" t="str">
        <f>IFERROR(G542*E524,"")</f>
        <v/>
      </c>
    </row>
    <row r="544" spans="1:11">
      <c r="A544" s="6" t="s">
        <v>2092</v>
      </c>
      <c r="B544" s="7" t="str">
        <f>VLOOKUP($A544,Presupuesto!$A:$D,2,FALSE())</f>
        <v>Perforación en material común (mecánica) para dren horizontal de 65 mm</v>
      </c>
      <c r="C544" s="8" t="str">
        <f>VLOOKUP($A544,Presupuesto!$A:$D,3,FALSE())</f>
        <v>Un</v>
      </c>
      <c r="D544" s="9"/>
      <c r="E544" s="10">
        <f>VLOOKUP($A544,Presupuesto!$A:$D,4,FALSE())</f>
        <v>0</v>
      </c>
      <c r="F544" s="11" t="s">
        <v>2589</v>
      </c>
      <c r="G544" s="12">
        <f>SUM(G546:G562)/2</f>
        <v>44176.633882150003</v>
      </c>
      <c r="H544" s="13">
        <f>ROUND(SUM(H546:H562),0)/2</f>
        <v>0</v>
      </c>
      <c r="I544" s="10">
        <f>VLOOKUP(A544,Presupuesto!$A:$F,6,0)</f>
        <v>0</v>
      </c>
      <c r="J544" s="10">
        <f>+H544-I544</f>
        <v>0</v>
      </c>
      <c r="K544" s="46">
        <f>+H544-G544*E544</f>
        <v>0</v>
      </c>
    </row>
    <row r="545" spans="1:8">
      <c r="A545" s="14"/>
      <c r="B545" s="15" t="s">
        <v>2586</v>
      </c>
      <c r="C545" s="15" t="s">
        <v>5</v>
      </c>
      <c r="D545" s="16" t="s">
        <v>6</v>
      </c>
      <c r="E545" s="17" t="s">
        <v>7</v>
      </c>
      <c r="F545" s="18" t="s">
        <v>3728</v>
      </c>
      <c r="G545" s="19" t="s">
        <v>3729</v>
      </c>
      <c r="H545" s="20" t="s">
        <v>3797</v>
      </c>
    </row>
    <row r="546" spans="1:8">
      <c r="A546" s="21"/>
      <c r="B546" s="22" t="s">
        <v>3730</v>
      </c>
      <c r="C546" s="23"/>
      <c r="D546" s="24"/>
      <c r="E546" s="25"/>
      <c r="F546" s="26"/>
      <c r="G546" s="27">
        <f>SUM(G547:G551)</f>
        <v>0</v>
      </c>
      <c r="H546" s="27">
        <f>IFERROR(G546*E544,"")</f>
        <v>0</v>
      </c>
    </row>
    <row r="547" spans="1:8">
      <c r="A547" s="28"/>
      <c r="B547" s="29"/>
      <c r="C547" s="30" t="str">
        <f>IFERROR(_xlfn.XLOOKUP(B547,Insumo[DESCRIPCION],Insumo[UND],,0),"")</f>
        <v/>
      </c>
      <c r="D547" s="31"/>
      <c r="E547" s="32" t="str">
        <f>IFERROR(_xlfn.XLOOKUP($B547,Insumo[DESCRIPCION],Insumo[VALOR],,0),"")</f>
        <v/>
      </c>
      <c r="F547" s="33"/>
      <c r="G547" s="34" t="str">
        <f>IFERROR(IF(F547&gt;=0,D547*E547*(1+F547/100),ABS(D547*E547/F547)),"")</f>
        <v/>
      </c>
      <c r="H547" s="43" t="str">
        <f>IFERROR(G547*E544,"")</f>
        <v/>
      </c>
    </row>
    <row r="548" spans="1:8">
      <c r="A548" s="28"/>
      <c r="B548" s="29"/>
      <c r="C548" s="30" t="str">
        <f>IFERROR(_xlfn.XLOOKUP(B548,Insumo[DESCRIPCION],Insumo[UND],,0),"")</f>
        <v/>
      </c>
      <c r="D548" s="31"/>
      <c r="E548" s="32" t="str">
        <f>IFERROR(_xlfn.XLOOKUP($B548,Insumo[DESCRIPCION],Insumo[VALOR],,0),"")</f>
        <v/>
      </c>
      <c r="F548" s="33"/>
      <c r="G548" s="34" t="str">
        <f>IFERROR(IF(F548&gt;=0,D548*E548*(1+F548/100),ABS(D548*E548/F548)),"")</f>
        <v/>
      </c>
      <c r="H548" s="43" t="str">
        <f>IFERROR(G548*E544,"")</f>
        <v/>
      </c>
    </row>
    <row r="549" spans="1:8">
      <c r="A549" s="28"/>
      <c r="B549" s="29"/>
      <c r="C549" s="30" t="str">
        <f>IFERROR(_xlfn.XLOOKUP(B549,Insumo[DESCRIPCION],Insumo[UND],,0),"")</f>
        <v/>
      </c>
      <c r="D549" s="31"/>
      <c r="E549" s="32" t="str">
        <f>IFERROR(_xlfn.XLOOKUP($B549,Insumo[DESCRIPCION],Insumo[VALOR],,0),"")</f>
        <v/>
      </c>
      <c r="F549" s="33"/>
      <c r="G549" s="34" t="str">
        <f>IFERROR(IF(F549&gt;=0,D549*E549*(1+F549/100),ABS(D549*E549/F549)),"")</f>
        <v/>
      </c>
      <c r="H549" s="43" t="str">
        <f>IFERROR(G549*E544,"")</f>
        <v/>
      </c>
    </row>
    <row r="550" spans="1:8">
      <c r="A550" s="28"/>
      <c r="B550" s="29"/>
      <c r="C550" s="30" t="str">
        <f>IFERROR(_xlfn.XLOOKUP(B550,Insumo[DESCRIPCION],Insumo[UND],,0),"")</f>
        <v/>
      </c>
      <c r="D550" s="31"/>
      <c r="E550" s="32" t="str">
        <f>IFERROR(_xlfn.XLOOKUP($B550,Insumo[DESCRIPCION],Insumo[VALOR],,0),"")</f>
        <v/>
      </c>
      <c r="F550" s="33"/>
      <c r="G550" s="34" t="str">
        <f>IFERROR(IF(F550&gt;=0,D550*E550*(1+F550/100),ABS(D550*E550/F550)),"")</f>
        <v/>
      </c>
      <c r="H550" s="43" t="str">
        <f>IFERROR(G550*E544,"")</f>
        <v/>
      </c>
    </row>
    <row r="551" spans="1:8">
      <c r="A551" s="28"/>
      <c r="B551" s="29"/>
      <c r="C551" s="30" t="str">
        <f>IFERROR(_xlfn.XLOOKUP(B551,Insumo[DESCRIPCION],Insumo[UND],,0),"")</f>
        <v/>
      </c>
      <c r="D551" s="31"/>
      <c r="E551" s="32" t="str">
        <f>IFERROR(_xlfn.XLOOKUP($B551,Insumo[DESCRIPCION],Insumo[VALOR],,0),"")</f>
        <v/>
      </c>
      <c r="F551" s="33"/>
      <c r="G551" s="34" t="str">
        <f>IFERROR(IF(F551&gt;=0,D551*E551*(1+F551/100),ABS(D551*E551/F551)),"")</f>
        <v/>
      </c>
      <c r="H551" s="43" t="str">
        <f>IFERROR(G551*E544,"")</f>
        <v/>
      </c>
    </row>
    <row r="552" spans="1:8">
      <c r="A552" s="21"/>
      <c r="B552" s="22" t="s">
        <v>3731</v>
      </c>
      <c r="C552" s="23"/>
      <c r="D552" s="24"/>
      <c r="E552" s="25"/>
      <c r="F552" s="26"/>
      <c r="G552" s="27">
        <f>SUM(G553:G555)</f>
        <v>15454.515899150003</v>
      </c>
      <c r="H552" s="44">
        <f>G552*E544</f>
        <v>0</v>
      </c>
    </row>
    <row r="553" spans="1:8">
      <c r="A553" s="28"/>
      <c r="B553" s="29" t="s">
        <v>3579</v>
      </c>
      <c r="C553" s="30" t="str">
        <f>IFERROR(_xlfn.XLOOKUP(B553,Equipo[DESCRIPCION],Equipo[UND],,0),"")</f>
        <v>Día</v>
      </c>
      <c r="D553" s="31">
        <v>1</v>
      </c>
      <c r="E553" s="32">
        <f>IF(C553="%MO",G559,IFERROR(_xlfn.XLOOKUP($B553,Equipo[DESCRIPCION],Equipo[VALOR],,0),""))</f>
        <v>210276.15000000002</v>
      </c>
      <c r="F553" s="33">
        <v>-15</v>
      </c>
      <c r="G553" s="34">
        <f>IFERROR(IF(F553&gt;=0,D553*E553*(1+F553/100),ABS(D553*E553/F553)),"")</f>
        <v>14018.410000000002</v>
      </c>
      <c r="H553" s="43">
        <f>IFERROR(G553*E544,"")</f>
        <v>0</v>
      </c>
    </row>
    <row r="554" spans="1:8">
      <c r="A554" s="28"/>
      <c r="B554" s="29" t="s">
        <v>3626</v>
      </c>
      <c r="C554" s="30" t="str">
        <f>IFERROR(_xlfn.XLOOKUP(B554,Equipo[DESCRIPCION],Equipo[UND],,0),"")</f>
        <v>%MO</v>
      </c>
      <c r="D554" s="31">
        <v>0.05</v>
      </c>
      <c r="E554" s="32">
        <f>IF(C554="%MO",G560,IFERROR(_xlfn.XLOOKUP($B554,Equipo[DESCRIPCION],Equipo[VALOR],,0),""))</f>
        <v>28722.117983000004</v>
      </c>
      <c r="F554" s="33"/>
      <c r="G554" s="34">
        <f>IFERROR(IF(F554&gt;=0,D554*E554*(1+F554/100),ABS(D554*E554/F554)),"")</f>
        <v>1436.1058991500004</v>
      </c>
      <c r="H554" s="43">
        <f>IFERROR(G554*E544,"")</f>
        <v>0</v>
      </c>
    </row>
    <row r="555" spans="1:8">
      <c r="A555" s="28"/>
      <c r="B555" s="29"/>
      <c r="C555" s="30" t="str">
        <f>IFERROR(_xlfn.XLOOKUP(B555,Equipo[DESCRIPCION],Equipo[UND],,0),"")</f>
        <v/>
      </c>
      <c r="D555" s="31"/>
      <c r="E555" s="32" t="str">
        <f>IF(C555="%MO",G561,IFERROR(_xlfn.XLOOKUP($B555,Equipo[DESCRIPCION],Equipo[VALOR],,0),""))</f>
        <v/>
      </c>
      <c r="F555" s="33"/>
      <c r="G555" s="34" t="str">
        <f>IFERROR(IF(F555&gt;=0,D555*E555*(1+F555/100),ABS(D555*E555/F555)),"")</f>
        <v/>
      </c>
      <c r="H555" s="43" t="str">
        <f>IFERROR(G555*E544,"")</f>
        <v/>
      </c>
    </row>
    <row r="556" spans="1:8">
      <c r="A556" s="21"/>
      <c r="B556" s="22" t="s">
        <v>2533</v>
      </c>
      <c r="C556" s="23"/>
      <c r="D556" s="24"/>
      <c r="E556" s="25"/>
      <c r="F556" s="26"/>
      <c r="G556" s="27">
        <f>SUM(G557:G558)</f>
        <v>0</v>
      </c>
      <c r="H556" s="44">
        <f>G556*E544</f>
        <v>0</v>
      </c>
    </row>
    <row r="557" spans="1:8">
      <c r="A557" s="28"/>
      <c r="B557" s="29"/>
      <c r="C557" s="30" t="str">
        <f>IFERROR(_xlfn.XLOOKUP(B557,Transporte[DESCRIPCION],Transporte[UND],,0),"")</f>
        <v/>
      </c>
      <c r="D557" s="31"/>
      <c r="E557" s="32" t="str">
        <f>IFERROR(_xlfn.XLOOKUP($B557,Transporte[DESCRIPCION],Transporte[VALOR],,0),"")</f>
        <v/>
      </c>
      <c r="F557" s="33"/>
      <c r="G557" s="34" t="str">
        <f>IFERROR(IF(F557&gt;=0,D557*E557*(1+F557/100),ABS(D557*E557/F557)),"")</f>
        <v/>
      </c>
      <c r="H557" s="43" t="str">
        <f>IFERROR(G557*E544,"")</f>
        <v/>
      </c>
    </row>
    <row r="558" spans="1:8">
      <c r="A558" s="28"/>
      <c r="B558" s="29"/>
      <c r="C558" s="30" t="str">
        <f>IFERROR(_xlfn.XLOOKUP(B558,Transporte[DESCRIPCION],Transporte[UND],,0),"")</f>
        <v/>
      </c>
      <c r="D558" s="31"/>
      <c r="E558" s="32" t="str">
        <f>IFERROR(_xlfn.XLOOKUP($B558,Transporte[DESCRIPCION],Transporte[VALOR],,0),"")</f>
        <v/>
      </c>
      <c r="F558" s="33"/>
      <c r="G558" s="34" t="str">
        <f>IFERROR(IF(F558&gt;=0,D558*E558*(1+F558/100),ABS(D558*E558/F558)),"")</f>
        <v/>
      </c>
      <c r="H558" s="43" t="str">
        <f>IFERROR(G558*E544,"")</f>
        <v/>
      </c>
    </row>
    <row r="559" spans="1:8">
      <c r="A559" s="21"/>
      <c r="B559" s="22" t="s">
        <v>3732</v>
      </c>
      <c r="C559" s="23"/>
      <c r="D559" s="24"/>
      <c r="E559" s="25"/>
      <c r="F559" s="26"/>
      <c r="G559" s="27">
        <f>SUM(G560:G562)</f>
        <v>28722.117983000004</v>
      </c>
      <c r="H559" s="44">
        <f>G559*E544</f>
        <v>0</v>
      </c>
    </row>
    <row r="560" spans="1:8">
      <c r="A560" s="28"/>
      <c r="B560" s="29" t="s">
        <v>3711</v>
      </c>
      <c r="C560" s="30" t="str">
        <f>IFERROR(_xlfn.XLOOKUP(B560,MObra[DESCRIPCION],MObra[UN],,0),"")</f>
        <v>día</v>
      </c>
      <c r="D560" s="31">
        <v>1</v>
      </c>
      <c r="E560" s="32">
        <f>IFERROR(_xlfn.XLOOKUP($B560,MObra[DESCRIPCION],MObra[VALOR UNIT],,0),"")</f>
        <v>430831.76974500006</v>
      </c>
      <c r="F560" s="33">
        <v>-15</v>
      </c>
      <c r="G560" s="34">
        <f>IFERROR(IF(F560&gt;=0,D560*E560*(1+F560/100),ABS(D560*E560/F560)),"")</f>
        <v>28722.117983000004</v>
      </c>
      <c r="H560" s="43">
        <f>IFERROR(G560*E544,"")</f>
        <v>0</v>
      </c>
    </row>
    <row r="561" spans="1:11">
      <c r="A561" s="28"/>
      <c r="B561" s="29"/>
      <c r="C561" s="30" t="str">
        <f>IFERROR(_xlfn.XLOOKUP(B561,MObra[DESCRIPCION],MObra[UN],,0),"")</f>
        <v/>
      </c>
      <c r="D561" s="31"/>
      <c r="E561" s="32" t="str">
        <f>IFERROR(_xlfn.XLOOKUP($B561,MObra[DESCRIPCION],MObra[VALOR UNIT],,0),"")</f>
        <v/>
      </c>
      <c r="F561" s="33"/>
      <c r="G561" s="34" t="str">
        <f>IFERROR(IF(F561&gt;=0,D561*E561*(1+F561/100),ABS(D561*E561/F561)),"")</f>
        <v/>
      </c>
      <c r="H561" s="43" t="str">
        <f>IFERROR(G561*E544,"")</f>
        <v/>
      </c>
    </row>
    <row r="562" spans="1:11">
      <c r="A562" s="35"/>
      <c r="B562" s="36"/>
      <c r="C562" s="37" t="str">
        <f>IFERROR(_xlfn.XLOOKUP(B562,MObra[DESCRIPCION],MObra[UN],,0),"")</f>
        <v/>
      </c>
      <c r="D562" s="38"/>
      <c r="E562" s="39" t="str">
        <f>IFERROR(_xlfn.XLOOKUP($B562,MObra[DESCRIPCION],MObra[VALOR UNIT],,0),"")</f>
        <v/>
      </c>
      <c r="F562" s="40"/>
      <c r="G562" s="41" t="str">
        <f>IFERROR(IF(F562&gt;=0,D562*E562*(1+F562/100),ABS(D562*E562/F562)),"")</f>
        <v/>
      </c>
      <c r="H562" s="42" t="str">
        <f>IFERROR(G562*E544,"")</f>
        <v/>
      </c>
    </row>
    <row r="564" spans="1:11">
      <c r="A564" s="6" t="s">
        <v>2094</v>
      </c>
      <c r="B564" s="7" t="str">
        <f>VLOOKUP($A564,Presupuesto!$A:$D,2,FALSE())</f>
        <v>Poceta cabezotes concreto ciclópeo</v>
      </c>
      <c r="C564" s="8" t="str">
        <f>VLOOKUP($A564,Presupuesto!$A:$D,3,FALSE())</f>
        <v>M3</v>
      </c>
      <c r="D564" s="9"/>
      <c r="E564" s="10">
        <f>VLOOKUP($A564,Presupuesto!$A:$D,4,FALSE())</f>
        <v>0</v>
      </c>
      <c r="F564" s="11" t="s">
        <v>2589</v>
      </c>
      <c r="G564" s="12">
        <f>SUM(G566:G582)/2</f>
        <v>995810.06289867742</v>
      </c>
      <c r="H564" s="13">
        <f>ROUND(SUM(H566:H582),0)/2</f>
        <v>0</v>
      </c>
      <c r="I564" s="10">
        <f>VLOOKUP(A564,Presupuesto!$A:$F,6,0)</f>
        <v>0</v>
      </c>
      <c r="J564" s="10">
        <f>+H564-I564</f>
        <v>0</v>
      </c>
      <c r="K564" s="46">
        <f>+H564-G564*E564</f>
        <v>0</v>
      </c>
    </row>
    <row r="565" spans="1:11">
      <c r="A565" s="14"/>
      <c r="B565" s="15" t="s">
        <v>2586</v>
      </c>
      <c r="C565" s="15" t="s">
        <v>5</v>
      </c>
      <c r="D565" s="16" t="s">
        <v>6</v>
      </c>
      <c r="E565" s="17" t="s">
        <v>7</v>
      </c>
      <c r="F565" s="18" t="s">
        <v>3728</v>
      </c>
      <c r="G565" s="19" t="s">
        <v>3729</v>
      </c>
      <c r="H565" s="20" t="s">
        <v>3797</v>
      </c>
    </row>
    <row r="566" spans="1:11">
      <c r="A566" s="21"/>
      <c r="B566" s="22" t="s">
        <v>3730</v>
      </c>
      <c r="C566" s="23"/>
      <c r="D566" s="24"/>
      <c r="E566" s="25"/>
      <c r="F566" s="26"/>
      <c r="G566" s="27">
        <f>SUM(G567:G571)</f>
        <v>879660.14659580239</v>
      </c>
      <c r="H566" s="27">
        <f>IFERROR(G566*E564,"")</f>
        <v>0</v>
      </c>
    </row>
    <row r="567" spans="1:11">
      <c r="A567" s="28"/>
      <c r="B567" s="29" t="s">
        <v>2954</v>
      </c>
      <c r="C567" s="30" t="str">
        <f>IFERROR(_xlfn.XLOOKUP(B567,Insumo[DESCRIPCION],Insumo[UND],,0),"")</f>
        <v>M2</v>
      </c>
      <c r="D567" s="31">
        <v>4</v>
      </c>
      <c r="E567" s="32">
        <f>IFERROR(_xlfn.XLOOKUP($B567,Insumo[DESCRIPCION],Insumo[VALOR],,0),"")</f>
        <v>102154.92581625449</v>
      </c>
      <c r="F567" s="33"/>
      <c r="G567" s="34">
        <f>IFERROR(IF(F567&gt;=0,D567*E567*(1+F567/100),ABS(D567*E567/F567)),"")</f>
        <v>408619.70326501795</v>
      </c>
      <c r="H567" s="43">
        <f>IFERROR(G567*E564,"")</f>
        <v>0</v>
      </c>
    </row>
    <row r="568" spans="1:11">
      <c r="A568" s="28"/>
      <c r="B568" s="29" t="s">
        <v>3242</v>
      </c>
      <c r="C568" s="30" t="str">
        <f>IFERROR(_xlfn.XLOOKUP(B568,Insumo[DESCRIPCION],Insumo[UND],,0),"")</f>
        <v>M3</v>
      </c>
      <c r="D568" s="31">
        <v>1</v>
      </c>
      <c r="E568" s="32">
        <f>IFERROR(_xlfn.XLOOKUP($B568,Insumo[DESCRIPCION],Insumo[VALOR],,0),"")</f>
        <v>448609.94602931855</v>
      </c>
      <c r="F568" s="33">
        <v>5</v>
      </c>
      <c r="G568" s="34">
        <f>IFERROR(IF(F568&gt;=0,D568*E568*(1+F568/100),ABS(D568*E568/F568)),"")</f>
        <v>471040.4433307845</v>
      </c>
      <c r="H568" s="43">
        <f>IFERROR(G568*E564,"")</f>
        <v>0</v>
      </c>
    </row>
    <row r="569" spans="1:11">
      <c r="A569" s="28"/>
      <c r="B569" s="29"/>
      <c r="C569" s="30" t="str">
        <f>IFERROR(_xlfn.XLOOKUP(B569,Insumo[DESCRIPCION],Insumo[UND],,0),"")</f>
        <v/>
      </c>
      <c r="D569" s="31"/>
      <c r="E569" s="32" t="str">
        <f>IFERROR(_xlfn.XLOOKUP($B569,Insumo[DESCRIPCION],Insumo[VALOR],,0),"")</f>
        <v/>
      </c>
      <c r="F569" s="33"/>
      <c r="G569" s="34" t="str">
        <f>IFERROR(IF(F569&gt;=0,D569*E569*(1+F569/100),ABS(D569*E569/F569)),"")</f>
        <v/>
      </c>
      <c r="H569" s="43" t="str">
        <f>IFERROR(G569*E564,"")</f>
        <v/>
      </c>
    </row>
    <row r="570" spans="1:11">
      <c r="A570" s="28"/>
      <c r="B570" s="29"/>
      <c r="C570" s="30" t="str">
        <f>IFERROR(_xlfn.XLOOKUP(B570,Insumo[DESCRIPCION],Insumo[UND],,0),"")</f>
        <v/>
      </c>
      <c r="D570" s="31"/>
      <c r="E570" s="32" t="str">
        <f>IFERROR(_xlfn.XLOOKUP($B570,Insumo[DESCRIPCION],Insumo[VALOR],,0),"")</f>
        <v/>
      </c>
      <c r="F570" s="33"/>
      <c r="G570" s="34" t="str">
        <f>IFERROR(IF(F570&gt;=0,D570*E570*(1+F570/100),ABS(D570*E570/F570)),"")</f>
        <v/>
      </c>
      <c r="H570" s="43" t="str">
        <f>IFERROR(G570*E564,"")</f>
        <v/>
      </c>
    </row>
    <row r="571" spans="1:11">
      <c r="A571" s="28"/>
      <c r="B571" s="29"/>
      <c r="C571" s="30" t="str">
        <f>IFERROR(_xlfn.XLOOKUP(B571,Insumo[DESCRIPCION],Insumo[UND],,0),"")</f>
        <v/>
      </c>
      <c r="D571" s="31"/>
      <c r="E571" s="32" t="str">
        <f>IFERROR(_xlfn.XLOOKUP($B571,Insumo[DESCRIPCION],Insumo[VALOR],,0),"")</f>
        <v/>
      </c>
      <c r="F571" s="33"/>
      <c r="G571" s="34" t="str">
        <f>IFERROR(IF(F571&gt;=0,D571*E571*(1+F571/100),ABS(D571*E571/F571)),"")</f>
        <v/>
      </c>
      <c r="H571" s="43" t="str">
        <f>IFERROR(G571*E564,"")</f>
        <v/>
      </c>
    </row>
    <row r="572" spans="1:11">
      <c r="A572" s="21"/>
      <c r="B572" s="22" t="s">
        <v>3731</v>
      </c>
      <c r="C572" s="23"/>
      <c r="D572" s="24"/>
      <c r="E572" s="25"/>
      <c r="F572" s="26"/>
      <c r="G572" s="27">
        <f>SUM(G573:G575)</f>
        <v>5530.9483953750023</v>
      </c>
      <c r="H572" s="44">
        <f>G572*E564</f>
        <v>0</v>
      </c>
    </row>
    <row r="573" spans="1:11">
      <c r="A573" s="28"/>
      <c r="B573" s="29" t="s">
        <v>3626</v>
      </c>
      <c r="C573" s="30" t="str">
        <f>IFERROR(_xlfn.XLOOKUP(B573,Equipo[DESCRIPCION],Equipo[UND],,0),"")</f>
        <v>%MO</v>
      </c>
      <c r="D573" s="31">
        <v>0.05</v>
      </c>
      <c r="E573" s="32">
        <f>IF(C573="%MO",G579,IFERROR(_xlfn.XLOOKUP($B573,Equipo[DESCRIPCION],Equipo[VALOR],,0),""))</f>
        <v>110618.96790750003</v>
      </c>
      <c r="F573" s="33"/>
      <c r="G573" s="34">
        <f>IFERROR(IF(F573&gt;=0,D573*E573*(1+F573/100),ABS(D573*E573/F573)),"")</f>
        <v>5530.9483953750023</v>
      </c>
      <c r="H573" s="43">
        <f>IFERROR(G573*E564,"")</f>
        <v>0</v>
      </c>
    </row>
    <row r="574" spans="1:11">
      <c r="A574" s="28"/>
      <c r="B574" s="29"/>
      <c r="C574" s="30" t="str">
        <f>IFERROR(_xlfn.XLOOKUP(B574,Equipo[DESCRIPCION],Equipo[UND],,0),"")</f>
        <v/>
      </c>
      <c r="D574" s="31"/>
      <c r="E574" s="32" t="str">
        <f>IF(C574="%MO",G580,IFERROR(_xlfn.XLOOKUP($B574,Equipo[DESCRIPCION],Equipo[VALOR],,0),""))</f>
        <v/>
      </c>
      <c r="F574" s="33"/>
      <c r="G574" s="34" t="str">
        <f>IFERROR(IF(F574&gt;=0,D574*E574*(1+F574/100),ABS(D574*E574/F574)),"")</f>
        <v/>
      </c>
      <c r="H574" s="43" t="str">
        <f>IFERROR(G574*E564,"")</f>
        <v/>
      </c>
    </row>
    <row r="575" spans="1:11">
      <c r="A575" s="28"/>
      <c r="B575" s="29"/>
      <c r="C575" s="30" t="str">
        <f>IFERROR(_xlfn.XLOOKUP(B575,Equipo[DESCRIPCION],Equipo[UND],,0),"")</f>
        <v/>
      </c>
      <c r="D575" s="31"/>
      <c r="E575" s="32" t="str">
        <f>IF(C575="%MO",G581,IFERROR(_xlfn.XLOOKUP($B575,Equipo[DESCRIPCION],Equipo[VALOR],,0),""))</f>
        <v/>
      </c>
      <c r="F575" s="33"/>
      <c r="G575" s="34" t="str">
        <f>IFERROR(IF(F575&gt;=0,D575*E575*(1+F575/100),ABS(D575*E575/F575)),"")</f>
        <v/>
      </c>
      <c r="H575" s="43" t="str">
        <f>IFERROR(G575*E564,"")</f>
        <v/>
      </c>
    </row>
    <row r="576" spans="1:11">
      <c r="A576" s="21"/>
      <c r="B576" s="22" t="s">
        <v>2533</v>
      </c>
      <c r="C576" s="23"/>
      <c r="D576" s="24"/>
      <c r="E576" s="25"/>
      <c r="F576" s="26"/>
      <c r="G576" s="27">
        <f>SUM(G577:G578)</f>
        <v>0</v>
      </c>
      <c r="H576" s="44">
        <f>G576*E564</f>
        <v>0</v>
      </c>
    </row>
    <row r="577" spans="1:11">
      <c r="A577" s="28"/>
      <c r="B577" s="29"/>
      <c r="C577" s="30" t="str">
        <f>IFERROR(_xlfn.XLOOKUP(B577,Transporte[DESCRIPCION],Transporte[UND],,0),"")</f>
        <v/>
      </c>
      <c r="D577" s="31"/>
      <c r="E577" s="32" t="str">
        <f>IFERROR(_xlfn.XLOOKUP($B577,Transporte[DESCRIPCION],Transporte[VALOR],,0),"")</f>
        <v/>
      </c>
      <c r="F577" s="33"/>
      <c r="G577" s="34" t="str">
        <f>IFERROR(IF(F577&gt;=0,D577*E577*(1+F577/100),ABS(D577*E577/F577)),"")</f>
        <v/>
      </c>
      <c r="H577" s="43" t="str">
        <f>IFERROR(G577*E564,"")</f>
        <v/>
      </c>
    </row>
    <row r="578" spans="1:11">
      <c r="A578" s="28"/>
      <c r="B578" s="29"/>
      <c r="C578" s="30" t="str">
        <f>IFERROR(_xlfn.XLOOKUP(B578,Transporte[DESCRIPCION],Transporte[UND],,0),"")</f>
        <v/>
      </c>
      <c r="D578" s="31"/>
      <c r="E578" s="32" t="str">
        <f>IFERROR(_xlfn.XLOOKUP($B578,Transporte[DESCRIPCION],Transporte[VALOR],,0),"")</f>
        <v/>
      </c>
      <c r="F578" s="33"/>
      <c r="G578" s="34" t="str">
        <f>IFERROR(IF(F578&gt;=0,D578*E578*(1+F578/100),ABS(D578*E578/F578)),"")</f>
        <v/>
      </c>
      <c r="H578" s="43" t="str">
        <f>IFERROR(G578*E564,"")</f>
        <v/>
      </c>
    </row>
    <row r="579" spans="1:11">
      <c r="A579" s="21"/>
      <c r="B579" s="22" t="s">
        <v>3732</v>
      </c>
      <c r="C579" s="23"/>
      <c r="D579" s="24"/>
      <c r="E579" s="25"/>
      <c r="F579" s="26"/>
      <c r="G579" s="27">
        <f>SUM(G580:G582)</f>
        <v>110618.96790750003</v>
      </c>
      <c r="H579" s="44">
        <f>G579*E564</f>
        <v>0</v>
      </c>
    </row>
    <row r="580" spans="1:11">
      <c r="A580" s="28"/>
      <c r="B580" s="29" t="s">
        <v>3713</v>
      </c>
      <c r="C580" s="30" t="str">
        <f>IFERROR(_xlfn.XLOOKUP(B580,MObra[DESCRIPCION],MObra[UN],,0),"")</f>
        <v>día</v>
      </c>
      <c r="D580" s="31">
        <v>1</v>
      </c>
      <c r="E580" s="32">
        <f>IFERROR(_xlfn.XLOOKUP($B580,MObra[DESCRIPCION],MObra[VALOR UNIT],,0),"")</f>
        <v>663713.80744500016</v>
      </c>
      <c r="F580" s="33">
        <v>-6</v>
      </c>
      <c r="G580" s="34">
        <f>IFERROR(IF(F580&gt;=0,D580*E580*(1+F580/100),ABS(D580*E580/F580)),"")</f>
        <v>110618.96790750003</v>
      </c>
      <c r="H580" s="43">
        <f>IFERROR(G580*E564,"")</f>
        <v>0</v>
      </c>
    </row>
    <row r="581" spans="1:11">
      <c r="A581" s="28"/>
      <c r="B581" s="29"/>
      <c r="C581" s="30" t="str">
        <f>IFERROR(_xlfn.XLOOKUP(B581,MObra[DESCRIPCION],MObra[UN],,0),"")</f>
        <v/>
      </c>
      <c r="D581" s="31"/>
      <c r="E581" s="32" t="str">
        <f>IFERROR(_xlfn.XLOOKUP($B581,MObra[DESCRIPCION],MObra[VALOR UNIT],,0),"")</f>
        <v/>
      </c>
      <c r="F581" s="33"/>
      <c r="G581" s="34" t="str">
        <f>IFERROR(IF(F581&gt;=0,D581*E581*(1+F581/100),ABS(D581*E581/F581)),"")</f>
        <v/>
      </c>
      <c r="H581" s="43" t="str">
        <f>IFERROR(G581*E564,"")</f>
        <v/>
      </c>
    </row>
    <row r="582" spans="1:11">
      <c r="A582" s="35"/>
      <c r="B582" s="36"/>
      <c r="C582" s="37" t="str">
        <f>IFERROR(_xlfn.XLOOKUP(B582,MObra[DESCRIPCION],MObra[UN],,0),"")</f>
        <v/>
      </c>
      <c r="D582" s="38"/>
      <c r="E582" s="39" t="str">
        <f>IFERROR(_xlfn.XLOOKUP($B582,MObra[DESCRIPCION],MObra[VALOR UNIT],,0),"")</f>
        <v/>
      </c>
      <c r="F582" s="40"/>
      <c r="G582" s="41" t="str">
        <f>IFERROR(IF(F582&gt;=0,D582*E582*(1+F582/100),ABS(D582*E582/F582)),"")</f>
        <v/>
      </c>
      <c r="H582" s="42" t="str">
        <f>IFERROR(G582*E564,"")</f>
        <v/>
      </c>
    </row>
    <row r="584" spans="1:11">
      <c r="A584" s="6" t="s">
        <v>2096</v>
      </c>
      <c r="B584" s="7" t="str">
        <f>VLOOKUP($A584,Presupuesto!$A:$D,2,FALSE())</f>
        <v>Polietileno (plástico) negro calibre4</v>
      </c>
      <c r="C584" s="8" t="str">
        <f>VLOOKUP($A584,Presupuesto!$A:$D,3,FALSE())</f>
        <v>M2</v>
      </c>
      <c r="D584" s="9"/>
      <c r="E584" s="10">
        <f>VLOOKUP($A584,Presupuesto!$A:$D,4,FALSE())</f>
        <v>0</v>
      </c>
      <c r="F584" s="11" t="s">
        <v>2589</v>
      </c>
      <c r="G584" s="12">
        <f>SUM(G586:G602)/2</f>
        <v>2994.6672096468756</v>
      </c>
      <c r="H584" s="13">
        <f>ROUND(SUM(H586:H602),0)/2</f>
        <v>0</v>
      </c>
      <c r="I584" s="10">
        <f>VLOOKUP(A584,Presupuesto!$A:$F,6,0)</f>
        <v>0</v>
      </c>
      <c r="J584" s="10">
        <f>+H584-I584</f>
        <v>0</v>
      </c>
      <c r="K584" s="46">
        <f>+H584-G584*E584</f>
        <v>0</v>
      </c>
    </row>
    <row r="585" spans="1:11">
      <c r="A585" s="14"/>
      <c r="B585" s="15" t="s">
        <v>2586</v>
      </c>
      <c r="C585" s="15" t="s">
        <v>5</v>
      </c>
      <c r="D585" s="16" t="s">
        <v>6</v>
      </c>
      <c r="E585" s="17" t="s">
        <v>7</v>
      </c>
      <c r="F585" s="18" t="s">
        <v>3728</v>
      </c>
      <c r="G585" s="19" t="s">
        <v>3729</v>
      </c>
      <c r="H585" s="20" t="s">
        <v>3797</v>
      </c>
    </row>
    <row r="586" spans="1:11">
      <c r="A586" s="21"/>
      <c r="B586" s="22" t="s">
        <v>3730</v>
      </c>
      <c r="C586" s="23"/>
      <c r="D586" s="24"/>
      <c r="E586" s="25"/>
      <c r="F586" s="26"/>
      <c r="G586" s="27">
        <f>SUM(G587:G591)</f>
        <v>1313.55</v>
      </c>
      <c r="H586" s="27">
        <f>IFERROR(G586*E584,"")</f>
        <v>0</v>
      </c>
    </row>
    <row r="587" spans="1:11">
      <c r="A587" s="28"/>
      <c r="B587" s="29" t="s">
        <v>3221</v>
      </c>
      <c r="C587" s="30" t="str">
        <f>IFERROR(_xlfn.XLOOKUP(B587,Insumo[DESCRIPCION],Insumo[UND],,0),"")</f>
        <v>M2</v>
      </c>
      <c r="D587" s="31">
        <v>1</v>
      </c>
      <c r="E587" s="32">
        <f>IFERROR(_xlfn.XLOOKUP($B587,Insumo[DESCRIPCION],Insumo[VALOR],,0),"")</f>
        <v>1313.55</v>
      </c>
      <c r="F587" s="33"/>
      <c r="G587" s="34">
        <f>IFERROR(IF(F587&gt;=0,D587*E587*(1+F587/100),ABS(D587*E587/F587)),"")</f>
        <v>1313.55</v>
      </c>
      <c r="H587" s="43">
        <f>IFERROR(G587*E584,"")</f>
        <v>0</v>
      </c>
    </row>
    <row r="588" spans="1:11">
      <c r="A588" s="28"/>
      <c r="B588" s="29"/>
      <c r="C588" s="30" t="str">
        <f>IFERROR(_xlfn.XLOOKUP(B588,Insumo[DESCRIPCION],Insumo[UND],,0),"")</f>
        <v/>
      </c>
      <c r="D588" s="31"/>
      <c r="E588" s="32" t="str">
        <f>IFERROR(_xlfn.XLOOKUP($B588,Insumo[DESCRIPCION],Insumo[VALOR],,0),"")</f>
        <v/>
      </c>
      <c r="F588" s="33"/>
      <c r="G588" s="34" t="str">
        <f>IFERROR(IF(F588&gt;=0,D588*E588*(1+F588/100),ABS(D588*E588/F588)),"")</f>
        <v/>
      </c>
      <c r="H588" s="43" t="str">
        <f>IFERROR(G588*E584,"")</f>
        <v/>
      </c>
    </row>
    <row r="589" spans="1:11">
      <c r="A589" s="28"/>
      <c r="B589" s="29"/>
      <c r="C589" s="30" t="str">
        <f>IFERROR(_xlfn.XLOOKUP(B589,Insumo[DESCRIPCION],Insumo[UND],,0),"")</f>
        <v/>
      </c>
      <c r="D589" s="31"/>
      <c r="E589" s="32" t="str">
        <f>IFERROR(_xlfn.XLOOKUP($B589,Insumo[DESCRIPCION],Insumo[VALOR],,0),"")</f>
        <v/>
      </c>
      <c r="F589" s="33"/>
      <c r="G589" s="34" t="str">
        <f>IFERROR(IF(F589&gt;=0,D589*E589*(1+F589/100),ABS(D589*E589/F589)),"")</f>
        <v/>
      </c>
      <c r="H589" s="43" t="str">
        <f>IFERROR(G589*E584,"")</f>
        <v/>
      </c>
    </row>
    <row r="590" spans="1:11">
      <c r="A590" s="28"/>
      <c r="B590" s="29"/>
      <c r="C590" s="30" t="str">
        <f>IFERROR(_xlfn.XLOOKUP(B590,Insumo[DESCRIPCION],Insumo[UND],,0),"")</f>
        <v/>
      </c>
      <c r="D590" s="31"/>
      <c r="E590" s="32" t="str">
        <f>IFERROR(_xlfn.XLOOKUP($B590,Insumo[DESCRIPCION],Insumo[VALOR],,0),"")</f>
        <v/>
      </c>
      <c r="F590" s="33"/>
      <c r="G590" s="34" t="str">
        <f>IFERROR(IF(F590&gt;=0,D590*E590*(1+F590/100),ABS(D590*E590/F590)),"")</f>
        <v/>
      </c>
      <c r="H590" s="43" t="str">
        <f>IFERROR(G590*E584,"")</f>
        <v/>
      </c>
    </row>
    <row r="591" spans="1:11">
      <c r="A591" s="28"/>
      <c r="B591" s="29"/>
      <c r="C591" s="30" t="str">
        <f>IFERROR(_xlfn.XLOOKUP(B591,Insumo[DESCRIPCION],Insumo[UND],,0),"")</f>
        <v/>
      </c>
      <c r="D591" s="31"/>
      <c r="E591" s="32" t="str">
        <f>IFERROR(_xlfn.XLOOKUP($B591,Insumo[DESCRIPCION],Insumo[VALOR],,0),"")</f>
        <v/>
      </c>
      <c r="F591" s="33"/>
      <c r="G591" s="34" t="str">
        <f>IFERROR(IF(F591&gt;=0,D591*E591*(1+F591/100),ABS(D591*E591/F591)),"")</f>
        <v/>
      </c>
      <c r="H591" s="43" t="str">
        <f>IFERROR(G591*E584,"")</f>
        <v/>
      </c>
    </row>
    <row r="592" spans="1:11">
      <c r="A592" s="21"/>
      <c r="B592" s="22" t="s">
        <v>3731</v>
      </c>
      <c r="C592" s="23"/>
      <c r="D592" s="24"/>
      <c r="E592" s="25"/>
      <c r="F592" s="26"/>
      <c r="G592" s="27">
        <f>SUM(G593:G595)</f>
        <v>80.053200459375034</v>
      </c>
      <c r="H592" s="44">
        <f>G592*E584</f>
        <v>0</v>
      </c>
    </row>
    <row r="593" spans="1:11">
      <c r="A593" s="28"/>
      <c r="B593" s="29" t="s">
        <v>3626</v>
      </c>
      <c r="C593" s="30" t="str">
        <f>IFERROR(_xlfn.XLOOKUP(B593,Equipo[DESCRIPCION],Equipo[UND],,0),"")</f>
        <v>%MO</v>
      </c>
      <c r="D593" s="31">
        <v>0.05</v>
      </c>
      <c r="E593" s="32">
        <f>IF(C593="%MO",G599,IFERROR(_xlfn.XLOOKUP($B593,Equipo[DESCRIPCION],Equipo[VALOR],,0),""))</f>
        <v>1601.0640091875005</v>
      </c>
      <c r="F593" s="33"/>
      <c r="G593" s="34">
        <f>IFERROR(IF(F593&gt;=0,D593*E593*(1+F593/100),ABS(D593*E593/F593)),"")</f>
        <v>80.053200459375034</v>
      </c>
      <c r="H593" s="43">
        <f>IFERROR(G593*E584,"")</f>
        <v>0</v>
      </c>
    </row>
    <row r="594" spans="1:11">
      <c r="A594" s="28"/>
      <c r="B594" s="29"/>
      <c r="C594" s="30" t="str">
        <f>IFERROR(_xlfn.XLOOKUP(B594,Equipo[DESCRIPCION],Equipo[UND],,0),"")</f>
        <v/>
      </c>
      <c r="D594" s="31"/>
      <c r="E594" s="32" t="str">
        <f>IF(C594="%MO",G600,IFERROR(_xlfn.XLOOKUP($B594,Equipo[DESCRIPCION],Equipo[VALOR],,0),""))</f>
        <v/>
      </c>
      <c r="F594" s="33"/>
      <c r="G594" s="34" t="str">
        <f>IFERROR(IF(F594&gt;=0,D594*E594*(1+F594/100),ABS(D594*E594/F594)),"")</f>
        <v/>
      </c>
      <c r="H594" s="43" t="str">
        <f>IFERROR(G594*E584,"")</f>
        <v/>
      </c>
    </row>
    <row r="595" spans="1:11">
      <c r="A595" s="28"/>
      <c r="B595" s="29"/>
      <c r="C595" s="30" t="str">
        <f>IFERROR(_xlfn.XLOOKUP(B595,Equipo[DESCRIPCION],Equipo[UND],,0),"")</f>
        <v/>
      </c>
      <c r="D595" s="31"/>
      <c r="E595" s="32" t="str">
        <f>IF(C595="%MO",G601,IFERROR(_xlfn.XLOOKUP($B595,Equipo[DESCRIPCION],Equipo[VALOR],,0),""))</f>
        <v/>
      </c>
      <c r="F595" s="33"/>
      <c r="G595" s="34" t="str">
        <f>IFERROR(IF(F595&gt;=0,D595*E595*(1+F595/100),ABS(D595*E595/F595)),"")</f>
        <v/>
      </c>
      <c r="H595" s="43" t="str">
        <f>IFERROR(G595*E584,"")</f>
        <v/>
      </c>
    </row>
    <row r="596" spans="1:11">
      <c r="A596" s="21"/>
      <c r="B596" s="22" t="s">
        <v>2533</v>
      </c>
      <c r="C596" s="23"/>
      <c r="D596" s="24"/>
      <c r="E596" s="25"/>
      <c r="F596" s="26"/>
      <c r="G596" s="27">
        <f>SUM(G597:G598)</f>
        <v>0</v>
      </c>
      <c r="H596" s="44">
        <f>G596*E584</f>
        <v>0</v>
      </c>
    </row>
    <row r="597" spans="1:11">
      <c r="A597" s="28"/>
      <c r="B597" s="29"/>
      <c r="C597" s="30" t="str">
        <f>IFERROR(_xlfn.XLOOKUP(B597,Transporte[DESCRIPCION],Transporte[UND],,0),"")</f>
        <v/>
      </c>
      <c r="D597" s="31"/>
      <c r="E597" s="32" t="str">
        <f>IFERROR(_xlfn.XLOOKUP($B597,Transporte[DESCRIPCION],Transporte[VALOR],,0),"")</f>
        <v/>
      </c>
      <c r="F597" s="33"/>
      <c r="G597" s="34" t="str">
        <f>IFERROR(IF(F597&gt;=0,D597*E597*(1+F597/100),ABS(D597*E597/F597)),"")</f>
        <v/>
      </c>
      <c r="H597" s="43" t="str">
        <f>IFERROR(G597*E584,"")</f>
        <v/>
      </c>
    </row>
    <row r="598" spans="1:11">
      <c r="A598" s="28"/>
      <c r="B598" s="29"/>
      <c r="C598" s="30" t="str">
        <f>IFERROR(_xlfn.XLOOKUP(B598,Transporte[DESCRIPCION],Transporte[UND],,0),"")</f>
        <v/>
      </c>
      <c r="D598" s="31"/>
      <c r="E598" s="32" t="str">
        <f>IFERROR(_xlfn.XLOOKUP($B598,Transporte[DESCRIPCION],Transporte[VALOR],,0),"")</f>
        <v/>
      </c>
      <c r="F598" s="33"/>
      <c r="G598" s="34" t="str">
        <f>IFERROR(IF(F598&gt;=0,D598*E598*(1+F598/100),ABS(D598*E598/F598)),"")</f>
        <v/>
      </c>
      <c r="H598" s="43" t="str">
        <f>IFERROR(G598*E584,"")</f>
        <v/>
      </c>
    </row>
    <row r="599" spans="1:11">
      <c r="A599" s="21"/>
      <c r="B599" s="22" t="s">
        <v>3732</v>
      </c>
      <c r="C599" s="23"/>
      <c r="D599" s="24"/>
      <c r="E599" s="25"/>
      <c r="F599" s="26"/>
      <c r="G599" s="27">
        <f>SUM(G600:G602)</f>
        <v>1601.0640091875005</v>
      </c>
      <c r="H599" s="44">
        <f>G599*E584</f>
        <v>0</v>
      </c>
    </row>
    <row r="600" spans="1:11">
      <c r="A600" s="28"/>
      <c r="B600" s="29" t="s">
        <v>3701</v>
      </c>
      <c r="C600" s="30" t="str">
        <f>IFERROR(_xlfn.XLOOKUP(B600,MObra[DESCRIPCION],MObra[UN],,0),"")</f>
        <v>día</v>
      </c>
      <c r="D600" s="31">
        <v>1</v>
      </c>
      <c r="E600" s="32">
        <f>IFERROR(_xlfn.XLOOKUP($B600,MObra[DESCRIPCION],MObra[VALOR UNIT],,0),"")</f>
        <v>128085.12073500003</v>
      </c>
      <c r="F600" s="33">
        <v>-80</v>
      </c>
      <c r="G600" s="34">
        <f>IFERROR(IF(F600&gt;=0,D600*E600*(1+F600/100),ABS(D600*E600/F600)),"")</f>
        <v>1601.0640091875005</v>
      </c>
      <c r="H600" s="43">
        <f>IFERROR(G600*E584,"")</f>
        <v>0</v>
      </c>
    </row>
    <row r="601" spans="1:11">
      <c r="A601" s="28"/>
      <c r="B601" s="29"/>
      <c r="C601" s="30" t="str">
        <f>IFERROR(_xlfn.XLOOKUP(B601,MObra[DESCRIPCION],MObra[UN],,0),"")</f>
        <v/>
      </c>
      <c r="D601" s="31"/>
      <c r="E601" s="32" t="str">
        <f>IFERROR(_xlfn.XLOOKUP($B601,MObra[DESCRIPCION],MObra[VALOR UNIT],,0),"")</f>
        <v/>
      </c>
      <c r="F601" s="33"/>
      <c r="G601" s="34" t="str">
        <f>IFERROR(IF(F601&gt;=0,D601*E601*(1+F601/100),ABS(D601*E601/F601)),"")</f>
        <v/>
      </c>
      <c r="H601" s="43" t="str">
        <f>IFERROR(G601*E584,"")</f>
        <v/>
      </c>
    </row>
    <row r="602" spans="1:11">
      <c r="A602" s="35"/>
      <c r="B602" s="36"/>
      <c r="C602" s="37" t="str">
        <f>IFERROR(_xlfn.XLOOKUP(B602,MObra[DESCRIPCION],MObra[UN],,0),"")</f>
        <v/>
      </c>
      <c r="D602" s="38"/>
      <c r="E602" s="39" t="str">
        <f>IFERROR(_xlfn.XLOOKUP($B602,MObra[DESCRIPCION],MObra[VALOR UNIT],,0),"")</f>
        <v/>
      </c>
      <c r="F602" s="40"/>
      <c r="G602" s="41" t="str">
        <f>IFERROR(IF(F602&gt;=0,D602*E602*(1+F602/100),ABS(D602*E602/F602)),"")</f>
        <v/>
      </c>
      <c r="H602" s="42" t="str">
        <f>IFERROR(G602*E584,"")</f>
        <v/>
      </c>
    </row>
    <row r="604" spans="1:11">
      <c r="A604" s="6" t="s">
        <v>2098</v>
      </c>
      <c r="B604" s="7" t="str">
        <f>VLOOKUP($A604,Presupuesto!$A:$D,2,FALSE())</f>
        <v>Protección superficie con plástico Calibre 6</v>
      </c>
      <c r="C604" s="8" t="str">
        <f>VLOOKUP($A604,Presupuesto!$A:$D,3,FALSE())</f>
        <v>M2</v>
      </c>
      <c r="D604" s="9"/>
      <c r="E604" s="10">
        <f>VLOOKUP($A604,Presupuesto!$A:$D,4,FALSE())</f>
        <v>0</v>
      </c>
      <c r="F604" s="11" t="s">
        <v>2589</v>
      </c>
      <c r="G604" s="12">
        <f>SUM(G606:G622)/2</f>
        <v>3404.1672096468756</v>
      </c>
      <c r="H604" s="13">
        <f>ROUND(SUM(H606:H622),0)/2</f>
        <v>0</v>
      </c>
      <c r="I604" s="10">
        <f>VLOOKUP(A604,Presupuesto!$A:$F,6,0)</f>
        <v>0</v>
      </c>
      <c r="J604" s="10">
        <f>+H604-I604</f>
        <v>0</v>
      </c>
      <c r="K604" s="46">
        <f>+H604-G604*E604</f>
        <v>0</v>
      </c>
    </row>
    <row r="605" spans="1:11">
      <c r="A605" s="14"/>
      <c r="B605" s="15" t="s">
        <v>2586</v>
      </c>
      <c r="C605" s="15" t="s">
        <v>5</v>
      </c>
      <c r="D605" s="16" t="s">
        <v>6</v>
      </c>
      <c r="E605" s="17" t="s">
        <v>7</v>
      </c>
      <c r="F605" s="18" t="s">
        <v>3728</v>
      </c>
      <c r="G605" s="19" t="s">
        <v>3729</v>
      </c>
      <c r="H605" s="20" t="s">
        <v>3797</v>
      </c>
    </row>
    <row r="606" spans="1:11">
      <c r="A606" s="21"/>
      <c r="B606" s="22" t="s">
        <v>3730</v>
      </c>
      <c r="C606" s="23"/>
      <c r="D606" s="24"/>
      <c r="E606" s="25"/>
      <c r="F606" s="26"/>
      <c r="G606" s="27">
        <f>SUM(G607:G611)</f>
        <v>1723.0500000000002</v>
      </c>
      <c r="H606" s="27">
        <f>IFERROR(G606*E604,"")</f>
        <v>0</v>
      </c>
    </row>
    <row r="607" spans="1:11">
      <c r="A607" s="28"/>
      <c r="B607" s="29" t="s">
        <v>3222</v>
      </c>
      <c r="C607" s="30" t="str">
        <f>IFERROR(_xlfn.XLOOKUP(B607,Insumo[DESCRIPCION],Insumo[UND],,0),"")</f>
        <v>M2</v>
      </c>
      <c r="D607" s="31">
        <v>1</v>
      </c>
      <c r="E607" s="32">
        <f>IFERROR(_xlfn.XLOOKUP($B607,Insumo[DESCRIPCION],Insumo[VALOR],,0),"")</f>
        <v>1723.0500000000002</v>
      </c>
      <c r="F607" s="33"/>
      <c r="G607" s="34">
        <f>IFERROR(IF(F607&gt;=0,D607*E607*(1+F607/100),ABS(D607*E607/F607)),"")</f>
        <v>1723.0500000000002</v>
      </c>
      <c r="H607" s="43">
        <f>IFERROR(G607*E604,"")</f>
        <v>0</v>
      </c>
    </row>
    <row r="608" spans="1:11">
      <c r="A608" s="28"/>
      <c r="B608" s="29"/>
      <c r="C608" s="30" t="str">
        <f>IFERROR(_xlfn.XLOOKUP(B608,Insumo[DESCRIPCION],Insumo[UND],,0),"")</f>
        <v/>
      </c>
      <c r="D608" s="31"/>
      <c r="E608" s="32" t="str">
        <f>IFERROR(_xlfn.XLOOKUP($B608,Insumo[DESCRIPCION],Insumo[VALOR],,0),"")</f>
        <v/>
      </c>
      <c r="F608" s="33"/>
      <c r="G608" s="34" t="str">
        <f>IFERROR(IF(F608&gt;=0,D608*E608*(1+F608/100),ABS(D608*E608/F608)),"")</f>
        <v/>
      </c>
      <c r="H608" s="43" t="str">
        <f>IFERROR(G608*E604,"")</f>
        <v/>
      </c>
    </row>
    <row r="609" spans="1:11">
      <c r="A609" s="28"/>
      <c r="B609" s="29"/>
      <c r="C609" s="30" t="str">
        <f>IFERROR(_xlfn.XLOOKUP(B609,Insumo[DESCRIPCION],Insumo[UND],,0),"")</f>
        <v/>
      </c>
      <c r="D609" s="31"/>
      <c r="E609" s="32" t="str">
        <f>IFERROR(_xlfn.XLOOKUP($B609,Insumo[DESCRIPCION],Insumo[VALOR],,0),"")</f>
        <v/>
      </c>
      <c r="F609" s="33"/>
      <c r="G609" s="34" t="str">
        <f>IFERROR(IF(F609&gt;=0,D609*E609*(1+F609/100),ABS(D609*E609/F609)),"")</f>
        <v/>
      </c>
      <c r="H609" s="43" t="str">
        <f>IFERROR(G609*E604,"")</f>
        <v/>
      </c>
    </row>
    <row r="610" spans="1:11">
      <c r="A610" s="28"/>
      <c r="B610" s="29"/>
      <c r="C610" s="30" t="str">
        <f>IFERROR(_xlfn.XLOOKUP(B610,Insumo[DESCRIPCION],Insumo[UND],,0),"")</f>
        <v/>
      </c>
      <c r="D610" s="31"/>
      <c r="E610" s="32" t="str">
        <f>IFERROR(_xlfn.XLOOKUP($B610,Insumo[DESCRIPCION],Insumo[VALOR],,0),"")</f>
        <v/>
      </c>
      <c r="F610" s="33"/>
      <c r="G610" s="34" t="str">
        <f>IFERROR(IF(F610&gt;=0,D610*E610*(1+F610/100),ABS(D610*E610/F610)),"")</f>
        <v/>
      </c>
      <c r="H610" s="43" t="str">
        <f>IFERROR(G610*E604,"")</f>
        <v/>
      </c>
    </row>
    <row r="611" spans="1:11">
      <c r="A611" s="28"/>
      <c r="B611" s="29"/>
      <c r="C611" s="30" t="str">
        <f>IFERROR(_xlfn.XLOOKUP(B611,Insumo[DESCRIPCION],Insumo[UND],,0),"")</f>
        <v/>
      </c>
      <c r="D611" s="31"/>
      <c r="E611" s="32" t="str">
        <f>IFERROR(_xlfn.XLOOKUP($B611,Insumo[DESCRIPCION],Insumo[VALOR],,0),"")</f>
        <v/>
      </c>
      <c r="F611" s="33"/>
      <c r="G611" s="34" t="str">
        <f>IFERROR(IF(F611&gt;=0,D611*E611*(1+F611/100),ABS(D611*E611/F611)),"")</f>
        <v/>
      </c>
      <c r="H611" s="43" t="str">
        <f>IFERROR(G611*E604,"")</f>
        <v/>
      </c>
    </row>
    <row r="612" spans="1:11">
      <c r="A612" s="21"/>
      <c r="B612" s="22" t="s">
        <v>3731</v>
      </c>
      <c r="C612" s="23"/>
      <c r="D612" s="24"/>
      <c r="E612" s="25"/>
      <c r="F612" s="26"/>
      <c r="G612" s="27">
        <f>SUM(G613:G615)</f>
        <v>80.053200459375034</v>
      </c>
      <c r="H612" s="44">
        <f>G612*E604</f>
        <v>0</v>
      </c>
    </row>
    <row r="613" spans="1:11">
      <c r="A613" s="28"/>
      <c r="B613" s="29" t="s">
        <v>3626</v>
      </c>
      <c r="C613" s="30" t="str">
        <f>IFERROR(_xlfn.XLOOKUP(B613,Equipo[DESCRIPCION],Equipo[UND],,0),"")</f>
        <v>%MO</v>
      </c>
      <c r="D613" s="31">
        <v>0.05</v>
      </c>
      <c r="E613" s="32">
        <f>IF(C613="%MO",G619,IFERROR(_xlfn.XLOOKUP($B613,Equipo[DESCRIPCION],Equipo[VALOR],,0),""))</f>
        <v>1601.0640091875005</v>
      </c>
      <c r="F613" s="33"/>
      <c r="G613" s="34">
        <f>IFERROR(IF(F613&gt;=0,D613*E613*(1+F613/100),ABS(D613*E613/F613)),"")</f>
        <v>80.053200459375034</v>
      </c>
      <c r="H613" s="43">
        <f>IFERROR(G613*E604,"")</f>
        <v>0</v>
      </c>
    </row>
    <row r="614" spans="1:11">
      <c r="A614" s="28"/>
      <c r="B614" s="29"/>
      <c r="C614" s="30" t="str">
        <f>IFERROR(_xlfn.XLOOKUP(B614,Equipo[DESCRIPCION],Equipo[UND],,0),"")</f>
        <v/>
      </c>
      <c r="D614" s="31"/>
      <c r="E614" s="32" t="str">
        <f>IF(C614="%MO",G620,IFERROR(_xlfn.XLOOKUP($B614,Equipo[DESCRIPCION],Equipo[VALOR],,0),""))</f>
        <v/>
      </c>
      <c r="F614" s="33"/>
      <c r="G614" s="34" t="str">
        <f>IFERROR(IF(F614&gt;=0,D614*E614*(1+F614/100),ABS(D614*E614/F614)),"")</f>
        <v/>
      </c>
      <c r="H614" s="43" t="str">
        <f>IFERROR(G614*E604,"")</f>
        <v/>
      </c>
    </row>
    <row r="615" spans="1:11">
      <c r="A615" s="28"/>
      <c r="B615" s="29"/>
      <c r="C615" s="30" t="str">
        <f>IFERROR(_xlfn.XLOOKUP(B615,Equipo[DESCRIPCION],Equipo[UND],,0),"")</f>
        <v/>
      </c>
      <c r="D615" s="31"/>
      <c r="E615" s="32" t="str">
        <f>IF(C615="%MO",G621,IFERROR(_xlfn.XLOOKUP($B615,Equipo[DESCRIPCION],Equipo[VALOR],,0),""))</f>
        <v/>
      </c>
      <c r="F615" s="33"/>
      <c r="G615" s="34" t="str">
        <f>IFERROR(IF(F615&gt;=0,D615*E615*(1+F615/100),ABS(D615*E615/F615)),"")</f>
        <v/>
      </c>
      <c r="H615" s="43" t="str">
        <f>IFERROR(G615*E604,"")</f>
        <v/>
      </c>
    </row>
    <row r="616" spans="1:11">
      <c r="A616" s="21"/>
      <c r="B616" s="22" t="s">
        <v>2533</v>
      </c>
      <c r="C616" s="23"/>
      <c r="D616" s="24"/>
      <c r="E616" s="25"/>
      <c r="F616" s="26"/>
      <c r="G616" s="27">
        <f>SUM(G617:G618)</f>
        <v>0</v>
      </c>
      <c r="H616" s="44">
        <f>G616*E604</f>
        <v>0</v>
      </c>
    </row>
    <row r="617" spans="1:11">
      <c r="A617" s="28"/>
      <c r="B617" s="29"/>
      <c r="C617" s="30" t="str">
        <f>IFERROR(_xlfn.XLOOKUP(B617,Transporte[DESCRIPCION],Transporte[UND],,0),"")</f>
        <v/>
      </c>
      <c r="D617" s="31"/>
      <c r="E617" s="32" t="str">
        <f>IFERROR(_xlfn.XLOOKUP($B617,Transporte[DESCRIPCION],Transporte[VALOR],,0),"")</f>
        <v/>
      </c>
      <c r="F617" s="33"/>
      <c r="G617" s="34" t="str">
        <f>IFERROR(IF(F617&gt;=0,D617*E617*(1+F617/100),ABS(D617*E617/F617)),"")</f>
        <v/>
      </c>
      <c r="H617" s="43" t="str">
        <f>IFERROR(G617*E604,"")</f>
        <v/>
      </c>
    </row>
    <row r="618" spans="1:11">
      <c r="A618" s="28"/>
      <c r="B618" s="29"/>
      <c r="C618" s="30" t="str">
        <f>IFERROR(_xlfn.XLOOKUP(B618,Transporte[DESCRIPCION],Transporte[UND],,0),"")</f>
        <v/>
      </c>
      <c r="D618" s="31"/>
      <c r="E618" s="32" t="str">
        <f>IFERROR(_xlfn.XLOOKUP($B618,Transporte[DESCRIPCION],Transporte[VALOR],,0),"")</f>
        <v/>
      </c>
      <c r="F618" s="33"/>
      <c r="G618" s="34" t="str">
        <f>IFERROR(IF(F618&gt;=0,D618*E618*(1+F618/100),ABS(D618*E618/F618)),"")</f>
        <v/>
      </c>
      <c r="H618" s="43" t="str">
        <f>IFERROR(G618*E604,"")</f>
        <v/>
      </c>
    </row>
    <row r="619" spans="1:11">
      <c r="A619" s="21"/>
      <c r="B619" s="22" t="s">
        <v>3732</v>
      </c>
      <c r="C619" s="23"/>
      <c r="D619" s="24"/>
      <c r="E619" s="25"/>
      <c r="F619" s="26"/>
      <c r="G619" s="27">
        <f>SUM(G620:G622)</f>
        <v>1601.0640091875005</v>
      </c>
      <c r="H619" s="44">
        <f>G619*E604</f>
        <v>0</v>
      </c>
    </row>
    <row r="620" spans="1:11">
      <c r="A620" s="28"/>
      <c r="B620" s="29" t="s">
        <v>3701</v>
      </c>
      <c r="C620" s="30" t="str">
        <f>IFERROR(_xlfn.XLOOKUP(B620,MObra[DESCRIPCION],MObra[UN],,0),"")</f>
        <v>día</v>
      </c>
      <c r="D620" s="31">
        <v>1</v>
      </c>
      <c r="E620" s="32">
        <f>IFERROR(_xlfn.XLOOKUP($B620,MObra[DESCRIPCION],MObra[VALOR UNIT],,0),"")</f>
        <v>128085.12073500003</v>
      </c>
      <c r="F620" s="33">
        <v>-80</v>
      </c>
      <c r="G620" s="34">
        <f>IFERROR(IF(F620&gt;=0,D620*E620*(1+F620/100),ABS(D620*E620/F620)),"")</f>
        <v>1601.0640091875005</v>
      </c>
      <c r="H620" s="43">
        <f>IFERROR(G620*E604,"")</f>
        <v>0</v>
      </c>
    </row>
    <row r="621" spans="1:11">
      <c r="A621" s="28"/>
      <c r="B621" s="29"/>
      <c r="C621" s="30" t="str">
        <f>IFERROR(_xlfn.XLOOKUP(B621,MObra[DESCRIPCION],MObra[UN],,0),"")</f>
        <v/>
      </c>
      <c r="D621" s="31"/>
      <c r="E621" s="32" t="str">
        <f>IFERROR(_xlfn.XLOOKUP($B621,MObra[DESCRIPCION],MObra[VALOR UNIT],,0),"")</f>
        <v/>
      </c>
      <c r="F621" s="33"/>
      <c r="G621" s="34" t="str">
        <f>IFERROR(IF(F621&gt;=0,D621*E621*(1+F621/100),ABS(D621*E621/F621)),"")</f>
        <v/>
      </c>
      <c r="H621" s="43" t="str">
        <f>IFERROR(G621*E604,"")</f>
        <v/>
      </c>
    </row>
    <row r="622" spans="1:11">
      <c r="A622" s="35"/>
      <c r="B622" s="36"/>
      <c r="C622" s="37" t="str">
        <f>IFERROR(_xlfn.XLOOKUP(B622,MObra[DESCRIPCION],MObra[UN],,0),"")</f>
        <v/>
      </c>
      <c r="D622" s="38"/>
      <c r="E622" s="39" t="str">
        <f>IFERROR(_xlfn.XLOOKUP($B622,MObra[DESCRIPCION],MObra[VALOR UNIT],,0),"")</f>
        <v/>
      </c>
      <c r="F622" s="40"/>
      <c r="G622" s="41" t="str">
        <f>IFERROR(IF(F622&gt;=0,D622*E622*(1+F622/100),ABS(D622*E622/F622)),"")</f>
        <v/>
      </c>
      <c r="H622" s="42" t="str">
        <f>IFERROR(G622*E604,"")</f>
        <v/>
      </c>
    </row>
    <row r="624" spans="1:11">
      <c r="A624" s="6" t="s">
        <v>2100</v>
      </c>
      <c r="B624" s="7" t="str">
        <f>VLOOKUP($A624,Presupuesto!$A:$D,2,FALSE())</f>
        <v>Realce boca cámara alcantarillado C 20.7 Mpa</v>
      </c>
      <c r="C624" s="8" t="str">
        <f>VLOOKUP($A624,Presupuesto!$A:$D,3,FALSE())</f>
        <v>M3</v>
      </c>
      <c r="D624" s="9"/>
      <c r="E624" s="10">
        <f>VLOOKUP($A624,Presupuesto!$A:$D,4,FALSE())</f>
        <v>0</v>
      </c>
      <c r="F624" s="11" t="s">
        <v>2589</v>
      </c>
      <c r="G624" s="12">
        <f>SUM(G626:G642)/2</f>
        <v>833019.56137152063</v>
      </c>
      <c r="H624" s="13">
        <f>ROUND(SUM(H626:H642),0)/2</f>
        <v>0</v>
      </c>
      <c r="I624" s="10">
        <f>VLOOKUP(A624,Presupuesto!$A:$F,6,0)</f>
        <v>0</v>
      </c>
      <c r="J624" s="10">
        <f>+H624-I624</f>
        <v>0</v>
      </c>
      <c r="K624" s="46">
        <f>+H624-G624*E624</f>
        <v>0</v>
      </c>
    </row>
    <row r="625" spans="1:8">
      <c r="A625" s="14"/>
      <c r="B625" s="15" t="s">
        <v>2586</v>
      </c>
      <c r="C625" s="15" t="s">
        <v>5</v>
      </c>
      <c r="D625" s="16" t="s">
        <v>6</v>
      </c>
      <c r="E625" s="17" t="s">
        <v>7</v>
      </c>
      <c r="F625" s="18" t="s">
        <v>3728</v>
      </c>
      <c r="G625" s="19" t="s">
        <v>3729</v>
      </c>
      <c r="H625" s="20" t="s">
        <v>3797</v>
      </c>
    </row>
    <row r="626" spans="1:8">
      <c r="A626" s="21"/>
      <c r="B626" s="22" t="s">
        <v>3730</v>
      </c>
      <c r="C626" s="23"/>
      <c r="D626" s="24"/>
      <c r="E626" s="25"/>
      <c r="F626" s="26"/>
      <c r="G626" s="27">
        <f>SUM(G627:G631)</f>
        <v>682228.44196077064</v>
      </c>
      <c r="H626" s="27">
        <f>IFERROR(G626*E624,"")</f>
        <v>0</v>
      </c>
    </row>
    <row r="627" spans="1:8">
      <c r="A627" s="28"/>
      <c r="B627" s="29" t="s">
        <v>3239</v>
      </c>
      <c r="C627" s="30" t="str">
        <f>IFERROR(_xlfn.XLOOKUP(B627,Insumo[DESCRIPCION],Insumo[UND],,0),"")</f>
        <v>M3</v>
      </c>
      <c r="D627" s="31">
        <v>0.5</v>
      </c>
      <c r="E627" s="32">
        <f>IFERROR(_xlfn.XLOOKUP($B627,Insumo[DESCRIPCION],Insumo[VALOR],,0),"")</f>
        <v>521159.50227762427</v>
      </c>
      <c r="F627" s="33">
        <v>5</v>
      </c>
      <c r="G627" s="34">
        <f>IFERROR(IF(F627&gt;=0,D627*E627*(1+F627/100),ABS(D627*E627/F627)),"")</f>
        <v>273608.73869575275</v>
      </c>
      <c r="H627" s="43">
        <f>IFERROR(G627*E624,"")</f>
        <v>0</v>
      </c>
    </row>
    <row r="628" spans="1:8">
      <c r="A628" s="28"/>
      <c r="B628" s="29" t="s">
        <v>2954</v>
      </c>
      <c r="C628" s="30" t="str">
        <f>IFERROR(_xlfn.XLOOKUP(B628,Insumo[DESCRIPCION],Insumo[UND],,0),"")</f>
        <v>M2</v>
      </c>
      <c r="D628" s="31">
        <v>4</v>
      </c>
      <c r="E628" s="32">
        <f>IFERROR(_xlfn.XLOOKUP($B628,Insumo[DESCRIPCION],Insumo[VALOR],,0),"")</f>
        <v>102154.92581625449</v>
      </c>
      <c r="F628" s="33"/>
      <c r="G628" s="34">
        <f>IFERROR(IF(F628&gt;=0,D628*E628*(1+F628/100),ABS(D628*E628/F628)),"")</f>
        <v>408619.70326501795</v>
      </c>
      <c r="H628" s="43">
        <f>IFERROR(G628*E624,"")</f>
        <v>0</v>
      </c>
    </row>
    <row r="629" spans="1:8">
      <c r="A629" s="28"/>
      <c r="B629" s="29"/>
      <c r="C629" s="30" t="str">
        <f>IFERROR(_xlfn.XLOOKUP(B629,Insumo[DESCRIPCION],Insumo[UND],,0),"")</f>
        <v/>
      </c>
      <c r="D629" s="31"/>
      <c r="E629" s="32" t="str">
        <f>IFERROR(_xlfn.XLOOKUP($B629,Insumo[DESCRIPCION],Insumo[VALOR],,0),"")</f>
        <v/>
      </c>
      <c r="F629" s="33"/>
      <c r="G629" s="34" t="str">
        <f>IFERROR(IF(F629&gt;=0,D629*E629*(1+F629/100),ABS(D629*E629/F629)),"")</f>
        <v/>
      </c>
      <c r="H629" s="43" t="str">
        <f>IFERROR(G629*E624,"")</f>
        <v/>
      </c>
    </row>
    <row r="630" spans="1:8">
      <c r="A630" s="28"/>
      <c r="B630" s="29"/>
      <c r="C630" s="30" t="str">
        <f>IFERROR(_xlfn.XLOOKUP(B630,Insumo[DESCRIPCION],Insumo[UND],,0),"")</f>
        <v/>
      </c>
      <c r="D630" s="31"/>
      <c r="E630" s="32" t="str">
        <f>IFERROR(_xlfn.XLOOKUP($B630,Insumo[DESCRIPCION],Insumo[VALOR],,0),"")</f>
        <v/>
      </c>
      <c r="F630" s="33"/>
      <c r="G630" s="34" t="str">
        <f>IFERROR(IF(F630&gt;=0,D630*E630*(1+F630/100),ABS(D630*E630/F630)),"")</f>
        <v/>
      </c>
      <c r="H630" s="43" t="str">
        <f>IFERROR(G630*E624,"")</f>
        <v/>
      </c>
    </row>
    <row r="631" spans="1:8">
      <c r="A631" s="28"/>
      <c r="B631" s="29"/>
      <c r="C631" s="30" t="str">
        <f>IFERROR(_xlfn.XLOOKUP(B631,Insumo[DESCRIPCION],Insumo[UND],,0),"")</f>
        <v/>
      </c>
      <c r="D631" s="31"/>
      <c r="E631" s="32" t="str">
        <f>IFERROR(_xlfn.XLOOKUP($B631,Insumo[DESCRIPCION],Insumo[VALOR],,0),"")</f>
        <v/>
      </c>
      <c r="F631" s="33"/>
      <c r="G631" s="34" t="str">
        <f>IFERROR(IF(F631&gt;=0,D631*E631*(1+F631/100),ABS(D631*E631/F631)),"")</f>
        <v/>
      </c>
      <c r="H631" s="43" t="str">
        <f>IFERROR(G631*E624,"")</f>
        <v/>
      </c>
    </row>
    <row r="632" spans="1:8">
      <c r="A632" s="21"/>
      <c r="B632" s="22" t="s">
        <v>3731</v>
      </c>
      <c r="C632" s="23"/>
      <c r="D632" s="24"/>
      <c r="E632" s="25"/>
      <c r="F632" s="26"/>
      <c r="G632" s="27">
        <f>SUM(G633:G635)</f>
        <v>7180.5294957500009</v>
      </c>
      <c r="H632" s="44">
        <f>G632*E624</f>
        <v>0</v>
      </c>
    </row>
    <row r="633" spans="1:8">
      <c r="A633" s="28"/>
      <c r="B633" s="29" t="s">
        <v>3626</v>
      </c>
      <c r="C633" s="30" t="str">
        <f>IFERROR(_xlfn.XLOOKUP(B633,Equipo[DESCRIPCION],Equipo[UND],,0),"")</f>
        <v>%MO</v>
      </c>
      <c r="D633" s="31">
        <v>0.05</v>
      </c>
      <c r="E633" s="32">
        <f>IF(C633="%MO",G639,IFERROR(_xlfn.XLOOKUP($B633,Equipo[DESCRIPCION],Equipo[VALOR],,0),""))</f>
        <v>143610.58991500002</v>
      </c>
      <c r="F633" s="33"/>
      <c r="G633" s="34">
        <f>IFERROR(IF(F633&gt;=0,D633*E633*(1+F633/100),ABS(D633*E633/F633)),"")</f>
        <v>7180.5294957500009</v>
      </c>
      <c r="H633" s="43">
        <f>IFERROR(G633*E624,"")</f>
        <v>0</v>
      </c>
    </row>
    <row r="634" spans="1:8">
      <c r="A634" s="28"/>
      <c r="B634" s="29"/>
      <c r="C634" s="30" t="str">
        <f>IFERROR(_xlfn.XLOOKUP(B634,Equipo[DESCRIPCION],Equipo[UND],,0),"")</f>
        <v/>
      </c>
      <c r="D634" s="31"/>
      <c r="E634" s="32" t="str">
        <f>IF(C634="%MO",G640,IFERROR(_xlfn.XLOOKUP($B634,Equipo[DESCRIPCION],Equipo[VALOR],,0),""))</f>
        <v/>
      </c>
      <c r="F634" s="33"/>
      <c r="G634" s="34" t="str">
        <f>IFERROR(IF(F634&gt;=0,D634*E634*(1+F634/100),ABS(D634*E634/F634)),"")</f>
        <v/>
      </c>
      <c r="H634" s="43" t="str">
        <f>IFERROR(G634*E624,"")</f>
        <v/>
      </c>
    </row>
    <row r="635" spans="1:8">
      <c r="A635" s="28"/>
      <c r="B635" s="29"/>
      <c r="C635" s="30" t="str">
        <f>IFERROR(_xlfn.XLOOKUP(B635,Equipo[DESCRIPCION],Equipo[UND],,0),"")</f>
        <v/>
      </c>
      <c r="D635" s="31"/>
      <c r="E635" s="32" t="str">
        <f>IF(C635="%MO",G641,IFERROR(_xlfn.XLOOKUP($B635,Equipo[DESCRIPCION],Equipo[VALOR],,0),""))</f>
        <v/>
      </c>
      <c r="F635" s="33"/>
      <c r="G635" s="34" t="str">
        <f>IFERROR(IF(F635&gt;=0,D635*E635*(1+F635/100),ABS(D635*E635/F635)),"")</f>
        <v/>
      </c>
      <c r="H635" s="43" t="str">
        <f>IFERROR(G635*E624,"")</f>
        <v/>
      </c>
    </row>
    <row r="636" spans="1:8">
      <c r="A636" s="21"/>
      <c r="B636" s="22" t="s">
        <v>2533</v>
      </c>
      <c r="C636" s="23"/>
      <c r="D636" s="24"/>
      <c r="E636" s="25"/>
      <c r="F636" s="26"/>
      <c r="G636" s="27">
        <f>SUM(G637:G638)</f>
        <v>0</v>
      </c>
      <c r="H636" s="44">
        <f>G636*E624</f>
        <v>0</v>
      </c>
    </row>
    <row r="637" spans="1:8">
      <c r="A637" s="28"/>
      <c r="B637" s="29"/>
      <c r="C637" s="30" t="str">
        <f>IFERROR(_xlfn.XLOOKUP(B637,Transporte[DESCRIPCION],Transporte[UND],,0),"")</f>
        <v/>
      </c>
      <c r="D637" s="31"/>
      <c r="E637" s="32" t="str">
        <f>IFERROR(_xlfn.XLOOKUP($B637,Transporte[DESCRIPCION],Transporte[VALOR],,0),"")</f>
        <v/>
      </c>
      <c r="F637" s="33"/>
      <c r="G637" s="34" t="str">
        <f>IFERROR(IF(F637&gt;=0,D637*E637*(1+F637/100),ABS(D637*E637/F637)),"")</f>
        <v/>
      </c>
      <c r="H637" s="43" t="str">
        <f>IFERROR(G637*E624,"")</f>
        <v/>
      </c>
    </row>
    <row r="638" spans="1:8">
      <c r="A638" s="28"/>
      <c r="B638" s="29"/>
      <c r="C638" s="30" t="str">
        <f>IFERROR(_xlfn.XLOOKUP(B638,Transporte[DESCRIPCION],Transporte[UND],,0),"")</f>
        <v/>
      </c>
      <c r="D638" s="31"/>
      <c r="E638" s="32" t="str">
        <f>IFERROR(_xlfn.XLOOKUP($B638,Transporte[DESCRIPCION],Transporte[VALOR],,0),"")</f>
        <v/>
      </c>
      <c r="F638" s="33"/>
      <c r="G638" s="34" t="str">
        <f>IFERROR(IF(F638&gt;=0,D638*E638*(1+F638/100),ABS(D638*E638/F638)),"")</f>
        <v/>
      </c>
      <c r="H638" s="43" t="str">
        <f>IFERROR(G638*E624,"")</f>
        <v/>
      </c>
    </row>
    <row r="639" spans="1:8">
      <c r="A639" s="21"/>
      <c r="B639" s="22" t="s">
        <v>3732</v>
      </c>
      <c r="C639" s="23"/>
      <c r="D639" s="24"/>
      <c r="E639" s="25"/>
      <c r="F639" s="26"/>
      <c r="G639" s="27">
        <f>SUM(G640:G642)</f>
        <v>143610.58991500002</v>
      </c>
      <c r="H639" s="44">
        <f>G639*E624</f>
        <v>0</v>
      </c>
    </row>
    <row r="640" spans="1:8">
      <c r="A640" s="28"/>
      <c r="B640" s="29" t="s">
        <v>3711</v>
      </c>
      <c r="C640" s="30" t="str">
        <f>IFERROR(_xlfn.XLOOKUP(B640,MObra[DESCRIPCION],MObra[UN],,0),"")</f>
        <v>día</v>
      </c>
      <c r="D640" s="31">
        <v>1</v>
      </c>
      <c r="E640" s="32">
        <f>IFERROR(_xlfn.XLOOKUP($B640,MObra[DESCRIPCION],MObra[VALOR UNIT],,0),"")</f>
        <v>430831.76974500006</v>
      </c>
      <c r="F640" s="33">
        <v>-3</v>
      </c>
      <c r="G640" s="34">
        <f>IFERROR(IF(F640&gt;=0,D640*E640*(1+F640/100),ABS(D640*E640/F640)),"")</f>
        <v>143610.58991500002</v>
      </c>
      <c r="H640" s="43">
        <f>IFERROR(G640*E624,"")</f>
        <v>0</v>
      </c>
    </row>
    <row r="641" spans="1:11">
      <c r="A641" s="28"/>
      <c r="B641" s="29"/>
      <c r="C641" s="30" t="str">
        <f>IFERROR(_xlfn.XLOOKUP(B641,MObra[DESCRIPCION],MObra[UN],,0),"")</f>
        <v/>
      </c>
      <c r="D641" s="31"/>
      <c r="E641" s="32" t="str">
        <f>IFERROR(_xlfn.XLOOKUP($B641,MObra[DESCRIPCION],MObra[VALOR UNIT],,0),"")</f>
        <v/>
      </c>
      <c r="F641" s="33"/>
      <c r="G641" s="34" t="str">
        <f>IFERROR(IF(F641&gt;=0,D641*E641*(1+F641/100),ABS(D641*E641/F641)),"")</f>
        <v/>
      </c>
      <c r="H641" s="43" t="str">
        <f>IFERROR(G641*E624,"")</f>
        <v/>
      </c>
    </row>
    <row r="642" spans="1:11">
      <c r="A642" s="35"/>
      <c r="B642" s="36"/>
      <c r="C642" s="37" t="str">
        <f>IFERROR(_xlfn.XLOOKUP(B642,MObra[DESCRIPCION],MObra[UN],,0),"")</f>
        <v/>
      </c>
      <c r="D642" s="38"/>
      <c r="E642" s="39" t="str">
        <f>IFERROR(_xlfn.XLOOKUP($B642,MObra[DESCRIPCION],MObra[VALOR UNIT],,0),"")</f>
        <v/>
      </c>
      <c r="F642" s="40"/>
      <c r="G642" s="41" t="str">
        <f>IFERROR(IF(F642&gt;=0,D642*E642*(1+F642/100),ABS(D642*E642/F642)),"")</f>
        <v/>
      </c>
      <c r="H642" s="42" t="str">
        <f>IFERROR(G642*E624,"")</f>
        <v/>
      </c>
    </row>
    <row r="644" spans="1:11">
      <c r="A644" s="6" t="s">
        <v>2102</v>
      </c>
      <c r="B644" s="7" t="str">
        <f>VLOOKUP($A644,Presupuesto!$A:$D,2,FALSE())</f>
        <v>Realce sumidero simple C 20.7 Mpa</v>
      </c>
      <c r="C644" s="8" t="str">
        <f>VLOOKUP($A644,Presupuesto!$A:$D,3,FALSE())</f>
        <v>M3</v>
      </c>
      <c r="D644" s="9"/>
      <c r="E644" s="10">
        <f>VLOOKUP($A644,Presupuesto!$A:$D,4,FALSE())</f>
        <v>0</v>
      </c>
      <c r="F644" s="11" t="s">
        <v>2589</v>
      </c>
      <c r="G644" s="12">
        <f>SUM(G646:G662)/2</f>
        <v>730864.63555526617</v>
      </c>
      <c r="H644" s="13">
        <f>ROUND(SUM(H646:H662),0)/2</f>
        <v>0</v>
      </c>
      <c r="I644" s="10">
        <f>VLOOKUP(A644,Presupuesto!$A:$F,6,0)</f>
        <v>0</v>
      </c>
      <c r="J644" s="10">
        <f>+H644-I644</f>
        <v>0</v>
      </c>
      <c r="K644" s="46">
        <f>+H644-G644*E644</f>
        <v>0</v>
      </c>
    </row>
    <row r="645" spans="1:11">
      <c r="A645" s="14"/>
      <c r="B645" s="15" t="s">
        <v>2586</v>
      </c>
      <c r="C645" s="15" t="s">
        <v>5</v>
      </c>
      <c r="D645" s="16" t="s">
        <v>6</v>
      </c>
      <c r="E645" s="17" t="s">
        <v>7</v>
      </c>
      <c r="F645" s="18" t="s">
        <v>3728</v>
      </c>
      <c r="G645" s="19" t="s">
        <v>3729</v>
      </c>
      <c r="H645" s="20" t="s">
        <v>3797</v>
      </c>
    </row>
    <row r="646" spans="1:11">
      <c r="A646" s="21"/>
      <c r="B646" s="22" t="s">
        <v>3730</v>
      </c>
      <c r="C646" s="23"/>
      <c r="D646" s="24"/>
      <c r="E646" s="25"/>
      <c r="F646" s="26"/>
      <c r="G646" s="27">
        <f>SUM(G647:G651)</f>
        <v>580073.51614451618</v>
      </c>
      <c r="H646" s="27">
        <f>IFERROR(G646*E644,"")</f>
        <v>0</v>
      </c>
    </row>
    <row r="647" spans="1:11">
      <c r="A647" s="28"/>
      <c r="B647" s="29" t="s">
        <v>3239</v>
      </c>
      <c r="C647" s="30" t="str">
        <f>IFERROR(_xlfn.XLOOKUP(B647,Insumo[DESCRIPCION],Insumo[UND],,0),"")</f>
        <v>M3</v>
      </c>
      <c r="D647" s="31">
        <v>0.5</v>
      </c>
      <c r="E647" s="32">
        <f>IFERROR(_xlfn.XLOOKUP($B647,Insumo[DESCRIPCION],Insumo[VALOR],,0),"")</f>
        <v>521159.50227762427</v>
      </c>
      <c r="F647" s="33">
        <v>5</v>
      </c>
      <c r="G647" s="34">
        <f>IFERROR(IF(F647&gt;=0,D647*E647*(1+F647/100),ABS(D647*E647/F647)),"")</f>
        <v>273608.73869575275</v>
      </c>
      <c r="H647" s="43">
        <f>IFERROR(G647*E644,"")</f>
        <v>0</v>
      </c>
    </row>
    <row r="648" spans="1:11">
      <c r="A648" s="28"/>
      <c r="B648" s="29" t="s">
        <v>2954</v>
      </c>
      <c r="C648" s="30" t="str">
        <f>IFERROR(_xlfn.XLOOKUP(B648,Insumo[DESCRIPCION],Insumo[UND],,0),"")</f>
        <v>M2</v>
      </c>
      <c r="D648" s="31">
        <v>3</v>
      </c>
      <c r="E648" s="32">
        <f>IFERROR(_xlfn.XLOOKUP($B648,Insumo[DESCRIPCION],Insumo[VALOR],,0),"")</f>
        <v>102154.92581625449</v>
      </c>
      <c r="F648" s="33"/>
      <c r="G648" s="34">
        <f>IFERROR(IF(F648&gt;=0,D648*E648*(1+F648/100),ABS(D648*E648/F648)),"")</f>
        <v>306464.77744876349</v>
      </c>
      <c r="H648" s="43">
        <f>IFERROR(G648*E644,"")</f>
        <v>0</v>
      </c>
    </row>
    <row r="649" spans="1:11">
      <c r="A649" s="28"/>
      <c r="B649" s="29"/>
      <c r="C649" s="30" t="str">
        <f>IFERROR(_xlfn.XLOOKUP(B649,Insumo[DESCRIPCION],Insumo[UND],,0),"")</f>
        <v/>
      </c>
      <c r="D649" s="31"/>
      <c r="E649" s="32" t="str">
        <f>IFERROR(_xlfn.XLOOKUP($B649,Insumo[DESCRIPCION],Insumo[VALOR],,0),"")</f>
        <v/>
      </c>
      <c r="F649" s="33"/>
      <c r="G649" s="34" t="str">
        <f>IFERROR(IF(F649&gt;=0,D649*E649*(1+F649/100),ABS(D649*E649/F649)),"")</f>
        <v/>
      </c>
      <c r="H649" s="43" t="str">
        <f>IFERROR(G649*E644,"")</f>
        <v/>
      </c>
    </row>
    <row r="650" spans="1:11">
      <c r="A650" s="28"/>
      <c r="B650" s="29"/>
      <c r="C650" s="30" t="str">
        <f>IFERROR(_xlfn.XLOOKUP(B650,Insumo[DESCRIPCION],Insumo[UND],,0),"")</f>
        <v/>
      </c>
      <c r="D650" s="31"/>
      <c r="E650" s="32" t="str">
        <f>IFERROR(_xlfn.XLOOKUP($B650,Insumo[DESCRIPCION],Insumo[VALOR],,0),"")</f>
        <v/>
      </c>
      <c r="F650" s="33"/>
      <c r="G650" s="34" t="str">
        <f>IFERROR(IF(F650&gt;=0,D650*E650*(1+F650/100),ABS(D650*E650/F650)),"")</f>
        <v/>
      </c>
      <c r="H650" s="43" t="str">
        <f>IFERROR(G650*E644,"")</f>
        <v/>
      </c>
    </row>
    <row r="651" spans="1:11">
      <c r="A651" s="28"/>
      <c r="B651" s="29"/>
      <c r="C651" s="30" t="str">
        <f>IFERROR(_xlfn.XLOOKUP(B651,Insumo[DESCRIPCION],Insumo[UND],,0),"")</f>
        <v/>
      </c>
      <c r="D651" s="31"/>
      <c r="E651" s="32" t="str">
        <f>IFERROR(_xlfn.XLOOKUP($B651,Insumo[DESCRIPCION],Insumo[VALOR],,0),"")</f>
        <v/>
      </c>
      <c r="F651" s="33"/>
      <c r="G651" s="34" t="str">
        <f>IFERROR(IF(F651&gt;=0,D651*E651*(1+F651/100),ABS(D651*E651/F651)),"")</f>
        <v/>
      </c>
      <c r="H651" s="43" t="str">
        <f>IFERROR(G651*E644,"")</f>
        <v/>
      </c>
    </row>
    <row r="652" spans="1:11">
      <c r="A652" s="21"/>
      <c r="B652" s="22" t="s">
        <v>3731</v>
      </c>
      <c r="C652" s="23"/>
      <c r="D652" s="24"/>
      <c r="E652" s="25"/>
      <c r="F652" s="26"/>
      <c r="G652" s="27">
        <f>SUM(G653:G655)</f>
        <v>7180.5294957500009</v>
      </c>
      <c r="H652" s="44">
        <f>G652*E644</f>
        <v>0</v>
      </c>
    </row>
    <row r="653" spans="1:11">
      <c r="A653" s="28"/>
      <c r="B653" s="29" t="s">
        <v>3626</v>
      </c>
      <c r="C653" s="30" t="str">
        <f>IFERROR(_xlfn.XLOOKUP(B653,Equipo[DESCRIPCION],Equipo[UND],,0),"")</f>
        <v>%MO</v>
      </c>
      <c r="D653" s="31">
        <v>0.05</v>
      </c>
      <c r="E653" s="32">
        <f>IF(C653="%MO",G659,IFERROR(_xlfn.XLOOKUP($B653,Equipo[DESCRIPCION],Equipo[VALOR],,0),""))</f>
        <v>143610.58991500002</v>
      </c>
      <c r="F653" s="33"/>
      <c r="G653" s="34">
        <f>IFERROR(IF(F653&gt;=0,D653*E653*(1+F653/100),ABS(D653*E653/F653)),"")</f>
        <v>7180.5294957500009</v>
      </c>
      <c r="H653" s="43">
        <f>IFERROR(G653*E644,"")</f>
        <v>0</v>
      </c>
    </row>
    <row r="654" spans="1:11">
      <c r="A654" s="28"/>
      <c r="B654" s="29"/>
      <c r="C654" s="30" t="str">
        <f>IFERROR(_xlfn.XLOOKUP(B654,Equipo[DESCRIPCION],Equipo[UND],,0),"")</f>
        <v/>
      </c>
      <c r="D654" s="31"/>
      <c r="E654" s="32" t="str">
        <f>IF(C654="%MO",G660,IFERROR(_xlfn.XLOOKUP($B654,Equipo[DESCRIPCION],Equipo[VALOR],,0),""))</f>
        <v/>
      </c>
      <c r="F654" s="33"/>
      <c r="G654" s="34" t="str">
        <f>IFERROR(IF(F654&gt;=0,D654*E654*(1+F654/100),ABS(D654*E654/F654)),"")</f>
        <v/>
      </c>
      <c r="H654" s="43" t="str">
        <f>IFERROR(G654*E644,"")</f>
        <v/>
      </c>
    </row>
    <row r="655" spans="1:11">
      <c r="A655" s="28"/>
      <c r="B655" s="29"/>
      <c r="C655" s="30" t="str">
        <f>IFERROR(_xlfn.XLOOKUP(B655,Equipo[DESCRIPCION],Equipo[UND],,0),"")</f>
        <v/>
      </c>
      <c r="D655" s="31"/>
      <c r="E655" s="32" t="str">
        <f>IF(C655="%MO",G661,IFERROR(_xlfn.XLOOKUP($B655,Equipo[DESCRIPCION],Equipo[VALOR],,0),""))</f>
        <v/>
      </c>
      <c r="F655" s="33"/>
      <c r="G655" s="34" t="str">
        <f>IFERROR(IF(F655&gt;=0,D655*E655*(1+F655/100),ABS(D655*E655/F655)),"")</f>
        <v/>
      </c>
      <c r="H655" s="43" t="str">
        <f>IFERROR(G655*E644,"")</f>
        <v/>
      </c>
    </row>
    <row r="656" spans="1:11">
      <c r="A656" s="21"/>
      <c r="B656" s="22" t="s">
        <v>2533</v>
      </c>
      <c r="C656" s="23"/>
      <c r="D656" s="24"/>
      <c r="E656" s="25"/>
      <c r="F656" s="26"/>
      <c r="G656" s="27">
        <f>SUM(G657:G658)</f>
        <v>0</v>
      </c>
      <c r="H656" s="44">
        <f>G656*E644</f>
        <v>0</v>
      </c>
    </row>
    <row r="657" spans="1:11">
      <c r="A657" s="28"/>
      <c r="B657" s="29"/>
      <c r="C657" s="30" t="str">
        <f>IFERROR(_xlfn.XLOOKUP(B657,Transporte[DESCRIPCION],Transporte[UND],,0),"")</f>
        <v/>
      </c>
      <c r="D657" s="31"/>
      <c r="E657" s="32" t="str">
        <f>IFERROR(_xlfn.XLOOKUP($B657,Transporte[DESCRIPCION],Transporte[VALOR],,0),"")</f>
        <v/>
      </c>
      <c r="F657" s="33"/>
      <c r="G657" s="34" t="str">
        <f>IFERROR(IF(F657&gt;=0,D657*E657*(1+F657/100),ABS(D657*E657/F657)),"")</f>
        <v/>
      </c>
      <c r="H657" s="43" t="str">
        <f>IFERROR(G657*E644,"")</f>
        <v/>
      </c>
    </row>
    <row r="658" spans="1:11">
      <c r="A658" s="28"/>
      <c r="B658" s="29"/>
      <c r="C658" s="30" t="str">
        <f>IFERROR(_xlfn.XLOOKUP(B658,Transporte[DESCRIPCION],Transporte[UND],,0),"")</f>
        <v/>
      </c>
      <c r="D658" s="31"/>
      <c r="E658" s="32" t="str">
        <f>IFERROR(_xlfn.XLOOKUP($B658,Transporte[DESCRIPCION],Transporte[VALOR],,0),"")</f>
        <v/>
      </c>
      <c r="F658" s="33"/>
      <c r="G658" s="34" t="str">
        <f>IFERROR(IF(F658&gt;=0,D658*E658*(1+F658/100),ABS(D658*E658/F658)),"")</f>
        <v/>
      </c>
      <c r="H658" s="43" t="str">
        <f>IFERROR(G658*E644,"")</f>
        <v/>
      </c>
    </row>
    <row r="659" spans="1:11">
      <c r="A659" s="21"/>
      <c r="B659" s="22" t="s">
        <v>3732</v>
      </c>
      <c r="C659" s="23"/>
      <c r="D659" s="24"/>
      <c r="E659" s="25"/>
      <c r="F659" s="26"/>
      <c r="G659" s="27">
        <f>SUM(G660:G662)</f>
        <v>143610.58991500002</v>
      </c>
      <c r="H659" s="44">
        <f>G659*E644</f>
        <v>0</v>
      </c>
    </row>
    <row r="660" spans="1:11">
      <c r="A660" s="28"/>
      <c r="B660" s="29" t="s">
        <v>3711</v>
      </c>
      <c r="C660" s="30" t="str">
        <f>IFERROR(_xlfn.XLOOKUP(B660,MObra[DESCRIPCION],MObra[UN],,0),"")</f>
        <v>día</v>
      </c>
      <c r="D660" s="31">
        <v>1</v>
      </c>
      <c r="E660" s="32">
        <f>IFERROR(_xlfn.XLOOKUP($B660,MObra[DESCRIPCION],MObra[VALOR UNIT],,0),"")</f>
        <v>430831.76974500006</v>
      </c>
      <c r="F660" s="33">
        <v>-3</v>
      </c>
      <c r="G660" s="34">
        <f>IFERROR(IF(F660&gt;=0,D660*E660*(1+F660/100),ABS(D660*E660/F660)),"")</f>
        <v>143610.58991500002</v>
      </c>
      <c r="H660" s="43">
        <f>IFERROR(G660*E644,"")</f>
        <v>0</v>
      </c>
    </row>
    <row r="661" spans="1:11">
      <c r="A661" s="28"/>
      <c r="B661" s="29"/>
      <c r="C661" s="30" t="str">
        <f>IFERROR(_xlfn.XLOOKUP(B661,MObra[DESCRIPCION],MObra[UN],,0),"")</f>
        <v/>
      </c>
      <c r="D661" s="31"/>
      <c r="E661" s="32" t="str">
        <f>IFERROR(_xlfn.XLOOKUP($B661,MObra[DESCRIPCION],MObra[VALOR UNIT],,0),"")</f>
        <v/>
      </c>
      <c r="F661" s="33"/>
      <c r="G661" s="34" t="str">
        <f>IFERROR(IF(F661&gt;=0,D661*E661*(1+F661/100),ABS(D661*E661/F661)),"")</f>
        <v/>
      </c>
      <c r="H661" s="43" t="str">
        <f>IFERROR(G661*E644,"")</f>
        <v/>
      </c>
    </row>
    <row r="662" spans="1:11">
      <c r="A662" s="35"/>
      <c r="B662" s="36"/>
      <c r="C662" s="37" t="str">
        <f>IFERROR(_xlfn.XLOOKUP(B662,MObra[DESCRIPCION],MObra[UN],,0),"")</f>
        <v/>
      </c>
      <c r="D662" s="38"/>
      <c r="E662" s="39" t="str">
        <f>IFERROR(_xlfn.XLOOKUP($B662,MObra[DESCRIPCION],MObra[VALOR UNIT],,0),"")</f>
        <v/>
      </c>
      <c r="F662" s="40"/>
      <c r="G662" s="41" t="str">
        <f>IFERROR(IF(F662&gt;=0,D662*E662*(1+F662/100),ABS(D662*E662/F662)),"")</f>
        <v/>
      </c>
      <c r="H662" s="42" t="str">
        <f>IFERROR(G662*E644,"")</f>
        <v/>
      </c>
    </row>
    <row r="664" spans="1:11">
      <c r="A664" s="6" t="s">
        <v>2104</v>
      </c>
      <c r="B664" s="7" t="str">
        <f>VLOOKUP($A664,Presupuesto!$A:$D,2,FALSE())</f>
        <v>Realce tapa cámara alcantarillado (incluye tapa, anclajes y SikaGrout)</v>
      </c>
      <c r="C664" s="8" t="str">
        <f>VLOOKUP($A664,Presupuesto!$A:$D,3,FALSE())</f>
        <v>Un</v>
      </c>
      <c r="D664" s="9"/>
      <c r="E664" s="10">
        <f>VLOOKUP($A664,Presupuesto!$A:$D,4,FALSE())</f>
        <v>0</v>
      </c>
      <c r="F664" s="11" t="s">
        <v>2589</v>
      </c>
      <c r="G664" s="12">
        <f>SUM(G666:G682)/2</f>
        <v>2594720.0613715202</v>
      </c>
      <c r="H664" s="13">
        <f>ROUND(SUM(H666:H682),0)/2</f>
        <v>0</v>
      </c>
      <c r="I664" s="10">
        <f>VLOOKUP(A664,Presupuesto!$A:$F,6,0)</f>
        <v>0</v>
      </c>
      <c r="J664" s="10">
        <f>+H664-I664</f>
        <v>0</v>
      </c>
      <c r="K664" s="46">
        <f>+H664-G664*E664</f>
        <v>0</v>
      </c>
    </row>
    <row r="665" spans="1:11">
      <c r="A665" s="14"/>
      <c r="B665" s="15" t="s">
        <v>2586</v>
      </c>
      <c r="C665" s="15" t="s">
        <v>5</v>
      </c>
      <c r="D665" s="16" t="s">
        <v>6</v>
      </c>
      <c r="E665" s="17" t="s">
        <v>7</v>
      </c>
      <c r="F665" s="18" t="s">
        <v>3728</v>
      </c>
      <c r="G665" s="19" t="s">
        <v>3729</v>
      </c>
      <c r="H665" s="20" t="s">
        <v>3797</v>
      </c>
    </row>
    <row r="666" spans="1:11">
      <c r="A666" s="21"/>
      <c r="B666" s="22" t="s">
        <v>3730</v>
      </c>
      <c r="C666" s="23"/>
      <c r="D666" s="24"/>
      <c r="E666" s="25"/>
      <c r="F666" s="26"/>
      <c r="G666" s="27">
        <f>SUM(G667:G671)</f>
        <v>2443928.9419607706</v>
      </c>
      <c r="H666" s="27">
        <f>IFERROR(G666*E664,"")</f>
        <v>0</v>
      </c>
    </row>
    <row r="667" spans="1:11">
      <c r="A667" s="28"/>
      <c r="B667" s="29" t="s">
        <v>3239</v>
      </c>
      <c r="C667" s="30" t="str">
        <f>IFERROR(_xlfn.XLOOKUP(B667,Insumo[DESCRIPCION],Insumo[UND],,0),"")</f>
        <v>M3</v>
      </c>
      <c r="D667" s="31">
        <v>0.5</v>
      </c>
      <c r="E667" s="32">
        <f>IFERROR(_xlfn.XLOOKUP($B667,Insumo[DESCRIPCION],Insumo[VALOR],,0),"")</f>
        <v>521159.50227762427</v>
      </c>
      <c r="F667" s="33">
        <v>5</v>
      </c>
      <c r="G667" s="34">
        <f>IFERROR(IF(F667&gt;=0,D667*E667*(1+F667/100),ABS(D667*E667/F667)),"")</f>
        <v>273608.73869575275</v>
      </c>
      <c r="H667" s="43">
        <f>IFERROR(G667*E664,"")</f>
        <v>0</v>
      </c>
    </row>
    <row r="668" spans="1:11">
      <c r="A668" s="28"/>
      <c r="B668" s="29" t="s">
        <v>2954</v>
      </c>
      <c r="C668" s="30" t="str">
        <f>IFERROR(_xlfn.XLOOKUP(B668,Insumo[DESCRIPCION],Insumo[UND],,0),"")</f>
        <v>M2</v>
      </c>
      <c r="D668" s="31">
        <v>4</v>
      </c>
      <c r="E668" s="32">
        <f>IFERROR(_xlfn.XLOOKUP($B668,Insumo[DESCRIPCION],Insumo[VALOR],,0),"")</f>
        <v>102154.92581625449</v>
      </c>
      <c r="F668" s="33"/>
      <c r="G668" s="34">
        <f>IFERROR(IF(F668&gt;=0,D668*E668*(1+F668/100),ABS(D668*E668/F668)),"")</f>
        <v>408619.70326501795</v>
      </c>
      <c r="H668" s="43">
        <f>IFERROR(G668*E664,"")</f>
        <v>0</v>
      </c>
    </row>
    <row r="669" spans="1:11">
      <c r="A669" s="28"/>
      <c r="B669" s="29" t="s">
        <v>3311</v>
      </c>
      <c r="C669" s="30" t="str">
        <f>IFERROR(_xlfn.XLOOKUP(B669,Insumo[DESCRIPCION],Insumo[UND],,0),"")</f>
        <v>Kg</v>
      </c>
      <c r="D669" s="31">
        <v>20</v>
      </c>
      <c r="E669" s="32">
        <f>IFERROR(_xlfn.XLOOKUP($B669,Insumo[DESCRIPCION],Insumo[VALOR],,0),"")</f>
        <v>2838.15</v>
      </c>
      <c r="F669" s="33"/>
      <c r="G669" s="34">
        <f>IFERROR(IF(F669&gt;=0,D669*E669*(1+F669/100),ABS(D669*E669/F669)),"")</f>
        <v>56763</v>
      </c>
      <c r="H669" s="43">
        <f>IFERROR(G669*E664,"")</f>
        <v>0</v>
      </c>
    </row>
    <row r="670" spans="1:11">
      <c r="A670" s="28"/>
      <c r="B670" s="29" t="s">
        <v>3364</v>
      </c>
      <c r="C670" s="30" t="str">
        <f>IFERROR(_xlfn.XLOOKUP(B670,Insumo[DESCRIPCION],Insumo[UND],,0),"")</f>
        <v>Un</v>
      </c>
      <c r="D670" s="31">
        <v>1</v>
      </c>
      <c r="E670" s="32">
        <f>IFERROR(_xlfn.XLOOKUP($B670,Insumo[DESCRIPCION],Insumo[VALOR],,0),"")</f>
        <v>1704937.5</v>
      </c>
      <c r="F670" s="33"/>
      <c r="G670" s="34">
        <f>IFERROR(IF(F670&gt;=0,D670*E670*(1+F670/100),ABS(D670*E670/F670)),"")</f>
        <v>1704937.5</v>
      </c>
      <c r="H670" s="43">
        <f>IFERROR(G670*E664,"")</f>
        <v>0</v>
      </c>
    </row>
    <row r="671" spans="1:11">
      <c r="A671" s="28"/>
      <c r="B671" s="29"/>
      <c r="C671" s="30" t="str">
        <f>IFERROR(_xlfn.XLOOKUP(B671,Insumo[DESCRIPCION],Insumo[UND],,0),"")</f>
        <v/>
      </c>
      <c r="D671" s="31"/>
      <c r="E671" s="32" t="str">
        <f>IFERROR(_xlfn.XLOOKUP($B671,Insumo[DESCRIPCION],Insumo[VALOR],,0),"")</f>
        <v/>
      </c>
      <c r="F671" s="33"/>
      <c r="G671" s="34" t="str">
        <f>IFERROR(IF(F671&gt;=0,D671*E671*(1+F671/100),ABS(D671*E671/F671)),"")</f>
        <v/>
      </c>
      <c r="H671" s="43" t="str">
        <f>IFERROR(G671*E664,"")</f>
        <v/>
      </c>
    </row>
    <row r="672" spans="1:11">
      <c r="A672" s="21"/>
      <c r="B672" s="22" t="s">
        <v>3731</v>
      </c>
      <c r="C672" s="23"/>
      <c r="D672" s="24"/>
      <c r="E672" s="25"/>
      <c r="F672" s="26"/>
      <c r="G672" s="27">
        <f>SUM(G673:G675)</f>
        <v>7180.5294957500009</v>
      </c>
      <c r="H672" s="44">
        <f>G672*E664</f>
        <v>0</v>
      </c>
    </row>
    <row r="673" spans="1:11">
      <c r="A673" s="28"/>
      <c r="B673" s="29" t="s">
        <v>3626</v>
      </c>
      <c r="C673" s="30" t="str">
        <f>IFERROR(_xlfn.XLOOKUP(B673,Equipo[DESCRIPCION],Equipo[UND],,0),"")</f>
        <v>%MO</v>
      </c>
      <c r="D673" s="31">
        <v>0.05</v>
      </c>
      <c r="E673" s="32">
        <f>IF(C673="%MO",G679,IFERROR(_xlfn.XLOOKUP($B673,Equipo[DESCRIPCION],Equipo[VALOR],,0),""))</f>
        <v>143610.58991500002</v>
      </c>
      <c r="F673" s="33"/>
      <c r="G673" s="34">
        <f>IFERROR(IF(F673&gt;=0,D673*E673*(1+F673/100),ABS(D673*E673/F673)),"")</f>
        <v>7180.5294957500009</v>
      </c>
      <c r="H673" s="43">
        <f>IFERROR(G673*E664,"")</f>
        <v>0</v>
      </c>
    </row>
    <row r="674" spans="1:11">
      <c r="A674" s="28"/>
      <c r="B674" s="29"/>
      <c r="C674" s="30" t="str">
        <f>IFERROR(_xlfn.XLOOKUP(B674,Equipo[DESCRIPCION],Equipo[UND],,0),"")</f>
        <v/>
      </c>
      <c r="D674" s="31"/>
      <c r="E674" s="32" t="str">
        <f>IF(C674="%MO",G680,IFERROR(_xlfn.XLOOKUP($B674,Equipo[DESCRIPCION],Equipo[VALOR],,0),""))</f>
        <v/>
      </c>
      <c r="F674" s="33"/>
      <c r="G674" s="34" t="str">
        <f>IFERROR(IF(F674&gt;=0,D674*E674*(1+F674/100),ABS(D674*E674/F674)),"")</f>
        <v/>
      </c>
      <c r="H674" s="43" t="str">
        <f>IFERROR(G674*E664,"")</f>
        <v/>
      </c>
    </row>
    <row r="675" spans="1:11">
      <c r="A675" s="28"/>
      <c r="B675" s="29"/>
      <c r="C675" s="30" t="str">
        <f>IFERROR(_xlfn.XLOOKUP(B675,Equipo[DESCRIPCION],Equipo[UND],,0),"")</f>
        <v/>
      </c>
      <c r="D675" s="31"/>
      <c r="E675" s="32" t="str">
        <f>IF(C675="%MO",G681,IFERROR(_xlfn.XLOOKUP($B675,Equipo[DESCRIPCION],Equipo[VALOR],,0),""))</f>
        <v/>
      </c>
      <c r="F675" s="33"/>
      <c r="G675" s="34" t="str">
        <f>IFERROR(IF(F675&gt;=0,D675*E675*(1+F675/100),ABS(D675*E675/F675)),"")</f>
        <v/>
      </c>
      <c r="H675" s="43" t="str">
        <f>IFERROR(G675*E664,"")</f>
        <v/>
      </c>
    </row>
    <row r="676" spans="1:11">
      <c r="A676" s="21"/>
      <c r="B676" s="22" t="s">
        <v>2533</v>
      </c>
      <c r="C676" s="23"/>
      <c r="D676" s="24"/>
      <c r="E676" s="25"/>
      <c r="F676" s="26"/>
      <c r="G676" s="27">
        <f>SUM(G677:G678)</f>
        <v>0</v>
      </c>
      <c r="H676" s="44">
        <f>G676*E664</f>
        <v>0</v>
      </c>
    </row>
    <row r="677" spans="1:11">
      <c r="A677" s="28"/>
      <c r="B677" s="29"/>
      <c r="C677" s="30" t="str">
        <f>IFERROR(_xlfn.XLOOKUP(B677,Transporte[DESCRIPCION],Transporte[UND],,0),"")</f>
        <v/>
      </c>
      <c r="D677" s="31"/>
      <c r="E677" s="32" t="str">
        <f>IFERROR(_xlfn.XLOOKUP($B677,Transporte[DESCRIPCION],Transporte[VALOR],,0),"")</f>
        <v/>
      </c>
      <c r="F677" s="33"/>
      <c r="G677" s="34" t="str">
        <f>IFERROR(IF(F677&gt;=0,D677*E677*(1+F677/100),ABS(D677*E677/F677)),"")</f>
        <v/>
      </c>
      <c r="H677" s="43" t="str">
        <f>IFERROR(G677*E664,"")</f>
        <v/>
      </c>
    </row>
    <row r="678" spans="1:11">
      <c r="A678" s="28"/>
      <c r="B678" s="29"/>
      <c r="C678" s="30" t="str">
        <f>IFERROR(_xlfn.XLOOKUP(B678,Transporte[DESCRIPCION],Transporte[UND],,0),"")</f>
        <v/>
      </c>
      <c r="D678" s="31"/>
      <c r="E678" s="32" t="str">
        <f>IFERROR(_xlfn.XLOOKUP($B678,Transporte[DESCRIPCION],Transporte[VALOR],,0),"")</f>
        <v/>
      </c>
      <c r="F678" s="33"/>
      <c r="G678" s="34" t="str">
        <f>IFERROR(IF(F678&gt;=0,D678*E678*(1+F678/100),ABS(D678*E678/F678)),"")</f>
        <v/>
      </c>
      <c r="H678" s="43" t="str">
        <f>IFERROR(G678*E664,"")</f>
        <v/>
      </c>
    </row>
    <row r="679" spans="1:11">
      <c r="A679" s="21"/>
      <c r="B679" s="22" t="s">
        <v>3732</v>
      </c>
      <c r="C679" s="23"/>
      <c r="D679" s="24"/>
      <c r="E679" s="25"/>
      <c r="F679" s="26"/>
      <c r="G679" s="27">
        <f>SUM(G680:G682)</f>
        <v>143610.58991500002</v>
      </c>
      <c r="H679" s="44">
        <f>G679*E664</f>
        <v>0</v>
      </c>
    </row>
    <row r="680" spans="1:11">
      <c r="A680" s="28"/>
      <c r="B680" s="29" t="s">
        <v>3711</v>
      </c>
      <c r="C680" s="30" t="str">
        <f>IFERROR(_xlfn.XLOOKUP(B680,MObra[DESCRIPCION],MObra[UN],,0),"")</f>
        <v>día</v>
      </c>
      <c r="D680" s="31">
        <v>1</v>
      </c>
      <c r="E680" s="32">
        <f>IFERROR(_xlfn.XLOOKUP($B680,MObra[DESCRIPCION],MObra[VALOR UNIT],,0),"")</f>
        <v>430831.76974500006</v>
      </c>
      <c r="F680" s="33">
        <v>-3</v>
      </c>
      <c r="G680" s="34">
        <f>IFERROR(IF(F680&gt;=0,D680*E680*(1+F680/100),ABS(D680*E680/F680)),"")</f>
        <v>143610.58991500002</v>
      </c>
      <c r="H680" s="43">
        <f>IFERROR(G680*E664,"")</f>
        <v>0</v>
      </c>
    </row>
    <row r="681" spans="1:11">
      <c r="A681" s="28"/>
      <c r="B681" s="29"/>
      <c r="C681" s="30" t="str">
        <f>IFERROR(_xlfn.XLOOKUP(B681,MObra[DESCRIPCION],MObra[UN],,0),"")</f>
        <v/>
      </c>
      <c r="D681" s="31"/>
      <c r="E681" s="32" t="str">
        <f>IFERROR(_xlfn.XLOOKUP($B681,MObra[DESCRIPCION],MObra[VALOR UNIT],,0),"")</f>
        <v/>
      </c>
      <c r="F681" s="33"/>
      <c r="G681" s="34" t="str">
        <f>IFERROR(IF(F681&gt;=0,D681*E681*(1+F681/100),ABS(D681*E681/F681)),"")</f>
        <v/>
      </c>
      <c r="H681" s="43" t="str">
        <f>IFERROR(G681*E664,"")</f>
        <v/>
      </c>
    </row>
    <row r="682" spans="1:11">
      <c r="A682" s="35"/>
      <c r="B682" s="36"/>
      <c r="C682" s="37" t="str">
        <f>IFERROR(_xlfn.XLOOKUP(B682,MObra[DESCRIPCION],MObra[UN],,0),"")</f>
        <v/>
      </c>
      <c r="D682" s="38"/>
      <c r="E682" s="39" t="str">
        <f>IFERROR(_xlfn.XLOOKUP($B682,MObra[DESCRIPCION],MObra[VALOR UNIT],,0),"")</f>
        <v/>
      </c>
      <c r="F682" s="40"/>
      <c r="G682" s="41" t="str">
        <f>IFERROR(IF(F682&gt;=0,D682*E682*(1+F682/100),ABS(D682*E682/F682)),"")</f>
        <v/>
      </c>
      <c r="H682" s="42" t="str">
        <f>IFERROR(G682*E664,"")</f>
        <v/>
      </c>
    </row>
    <row r="684" spans="1:11">
      <c r="A684" s="6" t="s">
        <v>2106</v>
      </c>
      <c r="B684" s="7" t="str">
        <f>VLOOKUP($A684,Presupuesto!$A:$D,2,FALSE())</f>
        <v>Realce tapa sumidero simple (incluye reja, anclajes y SikaGrout)</v>
      </c>
      <c r="C684" s="8" t="str">
        <f>VLOOKUP($A684,Presupuesto!$A:$D,3,FALSE())</f>
        <v>Un</v>
      </c>
      <c r="D684" s="9"/>
      <c r="E684" s="10">
        <f>VLOOKUP($A684,Presupuesto!$A:$D,4,FALSE())</f>
        <v>0</v>
      </c>
      <c r="F684" s="11" t="s">
        <v>2589</v>
      </c>
      <c r="G684" s="12">
        <f>SUM(G686:G702)/2</f>
        <v>1103577.8855552662</v>
      </c>
      <c r="H684" s="13">
        <f>ROUND(SUM(H686:H702),0)/2</f>
        <v>0</v>
      </c>
      <c r="I684" s="10">
        <f>VLOOKUP(A684,Presupuesto!$A:$F,6,0)</f>
        <v>0</v>
      </c>
      <c r="J684" s="10">
        <f>+H684-I684</f>
        <v>0</v>
      </c>
      <c r="K684" s="46">
        <f>+H684-G684*E684</f>
        <v>0</v>
      </c>
    </row>
    <row r="685" spans="1:11">
      <c r="A685" s="14"/>
      <c r="B685" s="15" t="s">
        <v>2586</v>
      </c>
      <c r="C685" s="15" t="s">
        <v>5</v>
      </c>
      <c r="D685" s="16" t="s">
        <v>6</v>
      </c>
      <c r="E685" s="17" t="s">
        <v>7</v>
      </c>
      <c r="F685" s="18" t="s">
        <v>3728</v>
      </c>
      <c r="G685" s="19" t="s">
        <v>3729</v>
      </c>
      <c r="H685" s="20" t="s">
        <v>3797</v>
      </c>
    </row>
    <row r="686" spans="1:11">
      <c r="A686" s="21"/>
      <c r="B686" s="22" t="s">
        <v>3730</v>
      </c>
      <c r="C686" s="23"/>
      <c r="D686" s="24"/>
      <c r="E686" s="25"/>
      <c r="F686" s="26"/>
      <c r="G686" s="27">
        <f>SUM(G687:G691)</f>
        <v>952786.76614451618</v>
      </c>
      <c r="H686" s="27">
        <f>IFERROR(G686*E684,"")</f>
        <v>0</v>
      </c>
    </row>
    <row r="687" spans="1:11">
      <c r="A687" s="28"/>
      <c r="B687" s="29" t="s">
        <v>3239</v>
      </c>
      <c r="C687" s="30" t="str">
        <f>IFERROR(_xlfn.XLOOKUP(B687,Insumo[DESCRIPCION],Insumo[UND],,0),"")</f>
        <v>M3</v>
      </c>
      <c r="D687" s="31">
        <v>0.5</v>
      </c>
      <c r="E687" s="32">
        <f>IFERROR(_xlfn.XLOOKUP($B687,Insumo[DESCRIPCION],Insumo[VALOR],,0),"")</f>
        <v>521159.50227762427</v>
      </c>
      <c r="F687" s="33">
        <v>5</v>
      </c>
      <c r="G687" s="34">
        <f>IFERROR(IF(F687&gt;=0,D687*E687*(1+F687/100),ABS(D687*E687/F687)),"")</f>
        <v>273608.73869575275</v>
      </c>
      <c r="H687" s="43">
        <f>IFERROR(G687*E684,"")</f>
        <v>0</v>
      </c>
    </row>
    <row r="688" spans="1:11">
      <c r="A688" s="28"/>
      <c r="B688" s="29" t="s">
        <v>2954</v>
      </c>
      <c r="C688" s="30" t="str">
        <f>IFERROR(_xlfn.XLOOKUP(B688,Insumo[DESCRIPCION],Insumo[UND],,0),"")</f>
        <v>M2</v>
      </c>
      <c r="D688" s="31">
        <v>3</v>
      </c>
      <c r="E688" s="32">
        <f>IFERROR(_xlfn.XLOOKUP($B688,Insumo[DESCRIPCION],Insumo[VALOR],,0),"")</f>
        <v>102154.92581625449</v>
      </c>
      <c r="F688" s="33"/>
      <c r="G688" s="34">
        <f>IFERROR(IF(F688&gt;=0,D688*E688*(1+F688/100),ABS(D688*E688/F688)),"")</f>
        <v>306464.77744876349</v>
      </c>
      <c r="H688" s="43">
        <f>IFERROR(G688*E684,"")</f>
        <v>0</v>
      </c>
    </row>
    <row r="689" spans="1:11" ht="25.5">
      <c r="A689" s="28"/>
      <c r="B689" s="29" t="s">
        <v>3263</v>
      </c>
      <c r="C689" s="30" t="str">
        <f>IFERROR(_xlfn.XLOOKUP(B689,Insumo[DESCRIPCION],Insumo[UND],,0),"")</f>
        <v>Un</v>
      </c>
      <c r="D689" s="31">
        <v>1</v>
      </c>
      <c r="E689" s="32">
        <f>IFERROR(_xlfn.XLOOKUP($B689,Insumo[DESCRIPCION],Insumo[VALOR],,0),"")</f>
        <v>372713.25</v>
      </c>
      <c r="F689" s="33"/>
      <c r="G689" s="34">
        <f>IFERROR(IF(F689&gt;=0,D689*E689*(1+F689/100),ABS(D689*E689/F689)),"")</f>
        <v>372713.25</v>
      </c>
      <c r="H689" s="43">
        <f>IFERROR(G689*E684,"")</f>
        <v>0</v>
      </c>
    </row>
    <row r="690" spans="1:11">
      <c r="A690" s="28"/>
      <c r="B690" s="29"/>
      <c r="C690" s="30" t="str">
        <f>IFERROR(_xlfn.XLOOKUP(B690,Insumo[DESCRIPCION],Insumo[UND],,0),"")</f>
        <v/>
      </c>
      <c r="D690" s="31"/>
      <c r="E690" s="32" t="str">
        <f>IFERROR(_xlfn.XLOOKUP($B690,Insumo[DESCRIPCION],Insumo[VALOR],,0),"")</f>
        <v/>
      </c>
      <c r="F690" s="33"/>
      <c r="G690" s="34" t="str">
        <f>IFERROR(IF(F690&gt;=0,D690*E690*(1+F690/100),ABS(D690*E690/F690)),"")</f>
        <v/>
      </c>
      <c r="H690" s="43" t="str">
        <f>IFERROR(G690*E684,"")</f>
        <v/>
      </c>
    </row>
    <row r="691" spans="1:11">
      <c r="A691" s="28"/>
      <c r="B691" s="29"/>
      <c r="C691" s="30" t="str">
        <f>IFERROR(_xlfn.XLOOKUP(B691,Insumo[DESCRIPCION],Insumo[UND],,0),"")</f>
        <v/>
      </c>
      <c r="D691" s="31"/>
      <c r="E691" s="32" t="str">
        <f>IFERROR(_xlfn.XLOOKUP($B691,Insumo[DESCRIPCION],Insumo[VALOR],,0),"")</f>
        <v/>
      </c>
      <c r="F691" s="33"/>
      <c r="G691" s="34" t="str">
        <f>IFERROR(IF(F691&gt;=0,D691*E691*(1+F691/100),ABS(D691*E691/F691)),"")</f>
        <v/>
      </c>
      <c r="H691" s="43" t="str">
        <f>IFERROR(G691*E684,"")</f>
        <v/>
      </c>
    </row>
    <row r="692" spans="1:11">
      <c r="A692" s="21"/>
      <c r="B692" s="22" t="s">
        <v>3731</v>
      </c>
      <c r="C692" s="23"/>
      <c r="D692" s="24"/>
      <c r="E692" s="25"/>
      <c r="F692" s="26"/>
      <c r="G692" s="27">
        <f>SUM(G693:G695)</f>
        <v>7180.5294957500009</v>
      </c>
      <c r="H692" s="44">
        <f>G692*E684</f>
        <v>0</v>
      </c>
    </row>
    <row r="693" spans="1:11">
      <c r="A693" s="28"/>
      <c r="B693" s="29" t="s">
        <v>3626</v>
      </c>
      <c r="C693" s="30" t="str">
        <f>IFERROR(_xlfn.XLOOKUP(B693,Equipo[DESCRIPCION],Equipo[UND],,0),"")</f>
        <v>%MO</v>
      </c>
      <c r="D693" s="31">
        <v>0.05</v>
      </c>
      <c r="E693" s="32">
        <f>IF(C693="%MO",G699,IFERROR(_xlfn.XLOOKUP($B693,Equipo[DESCRIPCION],Equipo[VALOR],,0),""))</f>
        <v>143610.58991500002</v>
      </c>
      <c r="F693" s="33"/>
      <c r="G693" s="34">
        <f>IFERROR(IF(F693&gt;=0,D693*E693*(1+F693/100),ABS(D693*E693/F693)),"")</f>
        <v>7180.5294957500009</v>
      </c>
      <c r="H693" s="43">
        <f>IFERROR(G693*E684,"")</f>
        <v>0</v>
      </c>
    </row>
    <row r="694" spans="1:11">
      <c r="A694" s="28"/>
      <c r="B694" s="29"/>
      <c r="C694" s="30" t="str">
        <f>IFERROR(_xlfn.XLOOKUP(B694,Equipo[DESCRIPCION],Equipo[UND],,0),"")</f>
        <v/>
      </c>
      <c r="D694" s="31"/>
      <c r="E694" s="32" t="str">
        <f>IF(C694="%MO",G700,IFERROR(_xlfn.XLOOKUP($B694,Equipo[DESCRIPCION],Equipo[VALOR],,0),""))</f>
        <v/>
      </c>
      <c r="F694" s="33"/>
      <c r="G694" s="34" t="str">
        <f>IFERROR(IF(F694&gt;=0,D694*E694*(1+F694/100),ABS(D694*E694/F694)),"")</f>
        <v/>
      </c>
      <c r="H694" s="43" t="str">
        <f>IFERROR(G694*E684,"")</f>
        <v/>
      </c>
    </row>
    <row r="695" spans="1:11">
      <c r="A695" s="28"/>
      <c r="B695" s="29"/>
      <c r="C695" s="30" t="str">
        <f>IFERROR(_xlfn.XLOOKUP(B695,Equipo[DESCRIPCION],Equipo[UND],,0),"")</f>
        <v/>
      </c>
      <c r="D695" s="31"/>
      <c r="E695" s="32" t="str">
        <f>IF(C695="%MO",G701,IFERROR(_xlfn.XLOOKUP($B695,Equipo[DESCRIPCION],Equipo[VALOR],,0),""))</f>
        <v/>
      </c>
      <c r="F695" s="33"/>
      <c r="G695" s="34" t="str">
        <f>IFERROR(IF(F695&gt;=0,D695*E695*(1+F695/100),ABS(D695*E695/F695)),"")</f>
        <v/>
      </c>
      <c r="H695" s="43" t="str">
        <f>IFERROR(G695*E684,"")</f>
        <v/>
      </c>
    </row>
    <row r="696" spans="1:11">
      <c r="A696" s="21"/>
      <c r="B696" s="22" t="s">
        <v>2533</v>
      </c>
      <c r="C696" s="23"/>
      <c r="D696" s="24"/>
      <c r="E696" s="25"/>
      <c r="F696" s="26"/>
      <c r="G696" s="27">
        <f>SUM(G697:G698)</f>
        <v>0</v>
      </c>
      <c r="H696" s="44">
        <f>G696*E684</f>
        <v>0</v>
      </c>
    </row>
    <row r="697" spans="1:11">
      <c r="A697" s="28"/>
      <c r="B697" s="29"/>
      <c r="C697" s="30" t="str">
        <f>IFERROR(_xlfn.XLOOKUP(B697,Transporte[DESCRIPCION],Transporte[UND],,0),"")</f>
        <v/>
      </c>
      <c r="D697" s="31"/>
      <c r="E697" s="32" t="str">
        <f>IFERROR(_xlfn.XLOOKUP($B697,Transporte[DESCRIPCION],Transporte[VALOR],,0),"")</f>
        <v/>
      </c>
      <c r="F697" s="33"/>
      <c r="G697" s="34" t="str">
        <f>IFERROR(IF(F697&gt;=0,D697*E697*(1+F697/100),ABS(D697*E697/F697)),"")</f>
        <v/>
      </c>
      <c r="H697" s="43" t="str">
        <f>IFERROR(G697*E684,"")</f>
        <v/>
      </c>
    </row>
    <row r="698" spans="1:11">
      <c r="A698" s="28"/>
      <c r="B698" s="29"/>
      <c r="C698" s="30" t="str">
        <f>IFERROR(_xlfn.XLOOKUP(B698,Transporte[DESCRIPCION],Transporte[UND],,0),"")</f>
        <v/>
      </c>
      <c r="D698" s="31"/>
      <c r="E698" s="32" t="str">
        <f>IFERROR(_xlfn.XLOOKUP($B698,Transporte[DESCRIPCION],Transporte[VALOR],,0),"")</f>
        <v/>
      </c>
      <c r="F698" s="33"/>
      <c r="G698" s="34" t="str">
        <f>IFERROR(IF(F698&gt;=0,D698*E698*(1+F698/100),ABS(D698*E698/F698)),"")</f>
        <v/>
      </c>
      <c r="H698" s="43" t="str">
        <f>IFERROR(G698*E684,"")</f>
        <v/>
      </c>
    </row>
    <row r="699" spans="1:11">
      <c r="A699" s="21"/>
      <c r="B699" s="22" t="s">
        <v>3732</v>
      </c>
      <c r="C699" s="23"/>
      <c r="D699" s="24"/>
      <c r="E699" s="25"/>
      <c r="F699" s="26"/>
      <c r="G699" s="27">
        <f>SUM(G700:G702)</f>
        <v>143610.58991500002</v>
      </c>
      <c r="H699" s="44">
        <f>G699*E684</f>
        <v>0</v>
      </c>
    </row>
    <row r="700" spans="1:11">
      <c r="A700" s="28"/>
      <c r="B700" s="29" t="s">
        <v>3711</v>
      </c>
      <c r="C700" s="30" t="str">
        <f>IFERROR(_xlfn.XLOOKUP(B700,MObra[DESCRIPCION],MObra[UN],,0),"")</f>
        <v>día</v>
      </c>
      <c r="D700" s="31">
        <v>1</v>
      </c>
      <c r="E700" s="32">
        <f>IFERROR(_xlfn.XLOOKUP($B700,MObra[DESCRIPCION],MObra[VALOR UNIT],,0),"")</f>
        <v>430831.76974500006</v>
      </c>
      <c r="F700" s="33">
        <v>-3</v>
      </c>
      <c r="G700" s="34">
        <f>IFERROR(IF(F700&gt;=0,D700*E700*(1+F700/100),ABS(D700*E700/F700)),"")</f>
        <v>143610.58991500002</v>
      </c>
      <c r="H700" s="43">
        <f>IFERROR(G700*E684,"")</f>
        <v>0</v>
      </c>
    </row>
    <row r="701" spans="1:11">
      <c r="A701" s="28"/>
      <c r="B701" s="29"/>
      <c r="C701" s="30" t="str">
        <f>IFERROR(_xlfn.XLOOKUP(B701,MObra[DESCRIPCION],MObra[UN],,0),"")</f>
        <v/>
      </c>
      <c r="D701" s="31"/>
      <c r="E701" s="32" t="str">
        <f>IFERROR(_xlfn.XLOOKUP($B701,MObra[DESCRIPCION],MObra[VALOR UNIT],,0),"")</f>
        <v/>
      </c>
      <c r="F701" s="33"/>
      <c r="G701" s="34" t="str">
        <f>IFERROR(IF(F701&gt;=0,D701*E701*(1+F701/100),ABS(D701*E701/F701)),"")</f>
        <v/>
      </c>
      <c r="H701" s="43" t="str">
        <f>IFERROR(G701*E684,"")</f>
        <v/>
      </c>
    </row>
    <row r="702" spans="1:11">
      <c r="A702" s="35"/>
      <c r="B702" s="36"/>
      <c r="C702" s="37" t="str">
        <f>IFERROR(_xlfn.XLOOKUP(B702,MObra[DESCRIPCION],MObra[UN],,0),"")</f>
        <v/>
      </c>
      <c r="D702" s="38"/>
      <c r="E702" s="39" t="str">
        <f>IFERROR(_xlfn.XLOOKUP($B702,MObra[DESCRIPCION],MObra[VALOR UNIT],,0),"")</f>
        <v/>
      </c>
      <c r="F702" s="40"/>
      <c r="G702" s="41" t="str">
        <f>IFERROR(IF(F702&gt;=0,D702*E702*(1+F702/100),ABS(D702*E702/F702)),"")</f>
        <v/>
      </c>
      <c r="H702" s="42" t="str">
        <f>IFERROR(G702*E684,"")</f>
        <v/>
      </c>
    </row>
    <row r="703" spans="1:11" ht="13.5" thickTop="1" thickBot="1"/>
    <row r="704" spans="1:11" ht="13.5" thickTop="1" thickBot="1">
      <c r="A704" s="6" t="s">
        <v>2108</v>
      </c>
      <c r="B704" s="7" t="str">
        <f>VLOOKUP($A704,Presupuesto!$A:$D,2,FALSE())</f>
        <v>Reja liviana sumidero lineal B=0.3m modular</v>
      </c>
      <c r="C704" s="8" t="str">
        <f>VLOOKUP($A704,Presupuesto!$A:$D,3,FALSE())</f>
        <v>M</v>
      </c>
      <c r="D704" s="9"/>
      <c r="E704" s="10">
        <f>VLOOKUP($A704,Presupuesto!$A:$D,4,FALSE())</f>
        <v>0</v>
      </c>
      <c r="F704" s="11" t="s">
        <v>2589</v>
      </c>
      <c r="G704" s="12">
        <f>SUM(G706:G722)/2</f>
        <v>295479.90527620027</v>
      </c>
      <c r="H704" s="13">
        <f>ROUND(SUM(H706:H722),0)/2</f>
        <v>0</v>
      </c>
      <c r="I704" s="10">
        <f>VLOOKUP(A704,Presupuesto!$A:$F,6,0)</f>
        <v>0</v>
      </c>
      <c r="J704" s="10">
        <f>+H704-I704</f>
        <v>0</v>
      </c>
      <c r="K704" s="46">
        <f>+H704-G704*E704</f>
        <v>0</v>
      </c>
    </row>
    <row r="705" spans="1:8">
      <c r="A705" s="14"/>
      <c r="B705" s="15" t="s">
        <v>2586</v>
      </c>
      <c r="C705" s="15" t="s">
        <v>5</v>
      </c>
      <c r="D705" s="16" t="s">
        <v>6</v>
      </c>
      <c r="E705" s="17" t="s">
        <v>7</v>
      </c>
      <c r="F705" s="18" t="s">
        <v>3728</v>
      </c>
      <c r="G705" s="19" t="s">
        <v>3729</v>
      </c>
      <c r="H705" s="20" t="s">
        <v>3797</v>
      </c>
    </row>
    <row r="706" spans="1:8">
      <c r="A706" s="21"/>
      <c r="B706" s="22" t="s">
        <v>3730</v>
      </c>
      <c r="C706" s="23"/>
      <c r="D706" s="24"/>
      <c r="E706" s="25"/>
      <c r="F706" s="26"/>
      <c r="G706" s="27">
        <f>SUM(G707:G711)</f>
        <v>240461.52386957526</v>
      </c>
      <c r="H706" s="27">
        <f>IFERROR(G706*E704,"")</f>
        <v>0</v>
      </c>
    </row>
    <row r="707" spans="1:8">
      <c r="A707" s="28"/>
      <c r="B707" s="29" t="s">
        <v>3261</v>
      </c>
      <c r="C707" s="30" t="str">
        <f>IFERROR(_xlfn.XLOOKUP(B707,Insumo[DESCRIPCION],Insumo[UND],,0),"")</f>
        <v>M</v>
      </c>
      <c r="D707" s="31">
        <v>1</v>
      </c>
      <c r="E707" s="32">
        <f>IFERROR(_xlfn.XLOOKUP($B707,Insumo[DESCRIPCION],Insumo[VALOR],,0),"")</f>
        <v>198909.9</v>
      </c>
      <c r="F707" s="33"/>
      <c r="G707" s="34">
        <f>IFERROR(IF(F707&gt;=0,D707*E707*(1+F707/100),ABS(D707*E707/F707)),"")</f>
        <v>198909.9</v>
      </c>
      <c r="H707" s="43">
        <f>IFERROR(G707*E704,"")</f>
        <v>0</v>
      </c>
    </row>
    <row r="708" spans="1:8">
      <c r="A708" s="28"/>
      <c r="B708" s="29" t="s">
        <v>3239</v>
      </c>
      <c r="C708" s="30" t="str">
        <f>IFERROR(_xlfn.XLOOKUP(B708,Insumo[DESCRIPCION],Insumo[UND],,0),"")</f>
        <v>M3</v>
      </c>
      <c r="D708" s="31">
        <v>0.05</v>
      </c>
      <c r="E708" s="32">
        <f>IFERROR(_xlfn.XLOOKUP($B708,Insumo[DESCRIPCION],Insumo[VALOR],,0),"")</f>
        <v>521159.50227762427</v>
      </c>
      <c r="F708" s="33">
        <v>5</v>
      </c>
      <c r="G708" s="34">
        <f>IFERROR(IF(F708&gt;=0,D708*E708*(1+F708/100),ABS(D708*E708/F708)),"")</f>
        <v>27360.873869575276</v>
      </c>
      <c r="H708" s="43">
        <f>IFERROR(G708*E704,"")</f>
        <v>0</v>
      </c>
    </row>
    <row r="709" spans="1:8">
      <c r="A709" s="28"/>
      <c r="B709" s="29" t="s">
        <v>3311</v>
      </c>
      <c r="C709" s="30" t="str">
        <f>IFERROR(_xlfn.XLOOKUP(B709,Insumo[DESCRIPCION],Insumo[UND],,0),"")</f>
        <v>Kg</v>
      </c>
      <c r="D709" s="31">
        <v>5</v>
      </c>
      <c r="E709" s="32">
        <f>IFERROR(_xlfn.XLOOKUP($B709,Insumo[DESCRIPCION],Insumo[VALOR],,0),"")</f>
        <v>2838.15</v>
      </c>
      <c r="F709" s="33"/>
      <c r="G709" s="34">
        <f>IFERROR(IF(F709&gt;=0,D709*E709*(1+F709/100),ABS(D709*E709/F709)),"")</f>
        <v>14190.75</v>
      </c>
      <c r="H709" s="43">
        <f>IFERROR(G709*E704,"")</f>
        <v>0</v>
      </c>
    </row>
    <row r="710" spans="1:8">
      <c r="A710" s="28"/>
      <c r="B710" s="29"/>
      <c r="C710" s="30" t="str">
        <f>IFERROR(_xlfn.XLOOKUP(B710,Insumo[DESCRIPCION],Insumo[UND],,0),"")</f>
        <v/>
      </c>
      <c r="D710" s="31"/>
      <c r="E710" s="32" t="str">
        <f>IFERROR(_xlfn.XLOOKUP($B710,Insumo[DESCRIPCION],Insumo[VALOR],,0),"")</f>
        <v/>
      </c>
      <c r="F710" s="33"/>
      <c r="G710" s="34" t="str">
        <f>IFERROR(IF(F710&gt;=0,D710*E710*(1+F710/100),ABS(D710*E710/F710)),"")</f>
        <v/>
      </c>
      <c r="H710" s="43" t="str">
        <f>IFERROR(G710*E704,"")</f>
        <v/>
      </c>
    </row>
    <row r="711" spans="1:8">
      <c r="A711" s="28"/>
      <c r="B711" s="29"/>
      <c r="C711" s="30" t="str">
        <f>IFERROR(_xlfn.XLOOKUP(B711,Insumo[DESCRIPCION],Insumo[UND],,0),"")</f>
        <v/>
      </c>
      <c r="D711" s="31"/>
      <c r="E711" s="32" t="str">
        <f>IFERROR(_xlfn.XLOOKUP($B711,Insumo[DESCRIPCION],Insumo[VALOR],,0),"")</f>
        <v/>
      </c>
      <c r="F711" s="33"/>
      <c r="G711" s="34" t="str">
        <f>IFERROR(IF(F711&gt;=0,D711*E711*(1+F711/100),ABS(D711*E711/F711)),"")</f>
        <v/>
      </c>
      <c r="H711" s="43" t="str">
        <f>IFERROR(G711*E704,"")</f>
        <v/>
      </c>
    </row>
    <row r="712" spans="1:8">
      <c r="A712" s="21"/>
      <c r="B712" s="22" t="s">
        <v>3731</v>
      </c>
      <c r="C712" s="23"/>
      <c r="D712" s="24"/>
      <c r="E712" s="25"/>
      <c r="F712" s="26"/>
      <c r="G712" s="27">
        <f>SUM(G713:G715)</f>
        <v>2619.9229241250009</v>
      </c>
      <c r="H712" s="44">
        <f>G712*E704</f>
        <v>0</v>
      </c>
    </row>
    <row r="713" spans="1:8">
      <c r="A713" s="28"/>
      <c r="B713" s="29" t="s">
        <v>3626</v>
      </c>
      <c r="C713" s="30" t="str">
        <f>IFERROR(_xlfn.XLOOKUP(B713,Equipo[DESCRIPCION],Equipo[UND],,0),"")</f>
        <v>%MO</v>
      </c>
      <c r="D713" s="31">
        <v>0.05</v>
      </c>
      <c r="E713" s="32">
        <f>IF(C713="%MO",G719,IFERROR(_xlfn.XLOOKUP($B713,Equipo[DESCRIPCION],Equipo[VALOR],,0),""))</f>
        <v>52398.458482500013</v>
      </c>
      <c r="F713" s="33"/>
      <c r="G713" s="34">
        <f>IFERROR(IF(F713&gt;=0,D713*E713*(1+F713/100),ABS(D713*E713/F713)),"")</f>
        <v>2619.9229241250009</v>
      </c>
      <c r="H713" s="43">
        <f>IFERROR(G713*E704,"")</f>
        <v>0</v>
      </c>
    </row>
    <row r="714" spans="1:8">
      <c r="A714" s="28"/>
      <c r="B714" s="29"/>
      <c r="C714" s="30" t="str">
        <f>IFERROR(_xlfn.XLOOKUP(B714,Equipo[DESCRIPCION],Equipo[UND],,0),"")</f>
        <v/>
      </c>
      <c r="D714" s="31"/>
      <c r="E714" s="32" t="str">
        <f>IF(C714="%MO",G720,IFERROR(_xlfn.XLOOKUP($B714,Equipo[DESCRIPCION],Equipo[VALOR],,0),""))</f>
        <v/>
      </c>
      <c r="F714" s="33"/>
      <c r="G714" s="34" t="str">
        <f>IFERROR(IF(F714&gt;=0,D714*E714*(1+F714/100),ABS(D714*E714/F714)),"")</f>
        <v/>
      </c>
      <c r="H714" s="43" t="str">
        <f>IFERROR(G714*E704,"")</f>
        <v/>
      </c>
    </row>
    <row r="715" spans="1:8">
      <c r="A715" s="28"/>
      <c r="B715" s="29"/>
      <c r="C715" s="30" t="str">
        <f>IFERROR(_xlfn.XLOOKUP(B715,Equipo[DESCRIPCION],Equipo[UND],,0),"")</f>
        <v/>
      </c>
      <c r="D715" s="31"/>
      <c r="E715" s="32" t="str">
        <f>IF(C715="%MO",G721,IFERROR(_xlfn.XLOOKUP($B715,Equipo[DESCRIPCION],Equipo[VALOR],,0),""))</f>
        <v/>
      </c>
      <c r="F715" s="33"/>
      <c r="G715" s="34" t="str">
        <f>IFERROR(IF(F715&gt;=0,D715*E715*(1+F715/100),ABS(D715*E715/F715)),"")</f>
        <v/>
      </c>
      <c r="H715" s="43" t="str">
        <f>IFERROR(G715*E704,"")</f>
        <v/>
      </c>
    </row>
    <row r="716" spans="1:8">
      <c r="A716" s="21"/>
      <c r="B716" s="22" t="s">
        <v>2533</v>
      </c>
      <c r="C716" s="23"/>
      <c r="D716" s="24"/>
      <c r="E716" s="25"/>
      <c r="F716" s="26"/>
      <c r="G716" s="27">
        <f>SUM(G717:G718)</f>
        <v>0</v>
      </c>
      <c r="H716" s="44">
        <f>G716*E704</f>
        <v>0</v>
      </c>
    </row>
    <row r="717" spans="1:8">
      <c r="A717" s="28"/>
      <c r="B717" s="29"/>
      <c r="C717" s="30" t="str">
        <f>IFERROR(_xlfn.XLOOKUP(B717,Transporte[DESCRIPCION],Transporte[UND],,0),"")</f>
        <v/>
      </c>
      <c r="D717" s="31"/>
      <c r="E717" s="32" t="str">
        <f>IFERROR(_xlfn.XLOOKUP($B717,Transporte[DESCRIPCION],Transporte[VALOR],,0),"")</f>
        <v/>
      </c>
      <c r="F717" s="33"/>
      <c r="G717" s="34" t="str">
        <f>IFERROR(IF(F717&gt;=0,D717*E717*(1+F717/100),ABS(D717*E717/F717)),"")</f>
        <v/>
      </c>
      <c r="H717" s="43" t="str">
        <f>IFERROR(G717*E704,"")</f>
        <v/>
      </c>
    </row>
    <row r="718" spans="1:8">
      <c r="A718" s="28"/>
      <c r="B718" s="29"/>
      <c r="C718" s="30" t="str">
        <f>IFERROR(_xlfn.XLOOKUP(B718,Transporte[DESCRIPCION],Transporte[UND],,0),"")</f>
        <v/>
      </c>
      <c r="D718" s="31"/>
      <c r="E718" s="32" t="str">
        <f>IFERROR(_xlfn.XLOOKUP($B718,Transporte[DESCRIPCION],Transporte[VALOR],,0),"")</f>
        <v/>
      </c>
      <c r="F718" s="33"/>
      <c r="G718" s="34" t="str">
        <f>IFERROR(IF(F718&gt;=0,D718*E718*(1+F718/100),ABS(D718*E718/F718)),"")</f>
        <v/>
      </c>
      <c r="H718" s="43" t="str">
        <f>IFERROR(G718*E704,"")</f>
        <v/>
      </c>
    </row>
    <row r="719" spans="1:8">
      <c r="A719" s="21"/>
      <c r="B719" s="22" t="s">
        <v>3732</v>
      </c>
      <c r="C719" s="23"/>
      <c r="D719" s="24"/>
      <c r="E719" s="25"/>
      <c r="F719" s="26"/>
      <c r="G719" s="27">
        <f>SUM(G720:G722)</f>
        <v>52398.458482500013</v>
      </c>
      <c r="H719" s="44">
        <f>G719*E704</f>
        <v>0</v>
      </c>
    </row>
    <row r="720" spans="1:8">
      <c r="A720" s="28"/>
      <c r="B720" s="29" t="s">
        <v>3710</v>
      </c>
      <c r="C720" s="30" t="str">
        <f>IFERROR(_xlfn.XLOOKUP(B720,MObra[DESCRIPCION],MObra[UN],,0),"")</f>
        <v>día</v>
      </c>
      <c r="D720" s="31">
        <v>1</v>
      </c>
      <c r="E720" s="32">
        <f>IFERROR(_xlfn.XLOOKUP($B720,MObra[DESCRIPCION],MObra[VALOR UNIT],,0),"")</f>
        <v>314390.75089500006</v>
      </c>
      <c r="F720" s="33">
        <v>-6</v>
      </c>
      <c r="G720" s="34">
        <f>IFERROR(IF(F720&gt;=0,D720*E720*(1+F720/100),ABS(D720*E720/F720)),"")</f>
        <v>52398.458482500013</v>
      </c>
      <c r="H720" s="43">
        <f>IFERROR(G720*E704,"")</f>
        <v>0</v>
      </c>
    </row>
    <row r="721" spans="1:11">
      <c r="A721" s="28"/>
      <c r="B721" s="29"/>
      <c r="C721" s="30" t="str">
        <f>IFERROR(_xlfn.XLOOKUP(B721,MObra[DESCRIPCION],MObra[UN],,0),"")</f>
        <v/>
      </c>
      <c r="D721" s="31"/>
      <c r="E721" s="32" t="str">
        <f>IFERROR(_xlfn.XLOOKUP($B721,MObra[DESCRIPCION],MObra[VALOR UNIT],,0),"")</f>
        <v/>
      </c>
      <c r="F721" s="33"/>
      <c r="G721" s="34" t="str">
        <f>IFERROR(IF(F721&gt;=0,D721*E721*(1+F721/100),ABS(D721*E721/F721)),"")</f>
        <v/>
      </c>
      <c r="H721" s="43" t="str">
        <f>IFERROR(G721*E704,"")</f>
        <v/>
      </c>
    </row>
    <row r="722" spans="1:11">
      <c r="A722" s="35"/>
      <c r="B722" s="36"/>
      <c r="C722" s="37" t="str">
        <f>IFERROR(_xlfn.XLOOKUP(B722,MObra[DESCRIPCION],MObra[UN],,0),"")</f>
        <v/>
      </c>
      <c r="D722" s="38"/>
      <c r="E722" s="39" t="str">
        <f>IFERROR(_xlfn.XLOOKUP($B722,MObra[DESCRIPCION],MObra[VALOR UNIT],,0),"")</f>
        <v/>
      </c>
      <c r="F722" s="40"/>
      <c r="G722" s="41" t="str">
        <f>IFERROR(IF(F722&gt;=0,D722*E722*(1+F722/100),ABS(D722*E722/F722)),"")</f>
        <v/>
      </c>
      <c r="H722" s="42" t="str">
        <f>IFERROR(G722*E704,"")</f>
        <v/>
      </c>
    </row>
    <row r="724" spans="1:11">
      <c r="A724" s="6" t="s">
        <v>2110</v>
      </c>
      <c r="B724" s="7" t="str">
        <f>VLOOKUP($A724,Presupuesto!$A:$D,2,FALSE())</f>
        <v>Reja pesada sumid línea B=0.6m módulo</v>
      </c>
      <c r="C724" s="8" t="str">
        <f>VLOOKUP($A724,Presupuesto!$A:$D,3,FALSE())</f>
        <v>M</v>
      </c>
      <c r="D724" s="9"/>
      <c r="E724" s="10">
        <f>VLOOKUP($A724,Presupuesto!$A:$D,4,FALSE())</f>
        <v>0</v>
      </c>
      <c r="F724" s="11" t="s">
        <v>2589</v>
      </c>
      <c r="G724" s="12">
        <f>SUM(G726:G742)/2</f>
        <v>487159.52030125808</v>
      </c>
      <c r="H724" s="13">
        <f>ROUND(SUM(H726:H742),0)/2</f>
        <v>0</v>
      </c>
      <c r="I724" s="10">
        <f>VLOOKUP(A724,Presupuesto!$A:$F,6,0)</f>
        <v>0</v>
      </c>
      <c r="J724" s="10">
        <f>+H724-I724</f>
        <v>0</v>
      </c>
      <c r="K724" s="46">
        <f>+H724-G724*E724</f>
        <v>0</v>
      </c>
    </row>
    <row r="725" spans="1:11">
      <c r="A725" s="14"/>
      <c r="B725" s="15" t="s">
        <v>2586</v>
      </c>
      <c r="C725" s="15" t="s">
        <v>5</v>
      </c>
      <c r="D725" s="16" t="s">
        <v>6</v>
      </c>
      <c r="E725" s="17" t="s">
        <v>7</v>
      </c>
      <c r="F725" s="18" t="s">
        <v>3728</v>
      </c>
      <c r="G725" s="19" t="s">
        <v>3729</v>
      </c>
      <c r="H725" s="20" t="s">
        <v>3797</v>
      </c>
    </row>
    <row r="726" spans="1:11">
      <c r="A726" s="21"/>
      <c r="B726" s="22" t="s">
        <v>3730</v>
      </c>
      <c r="C726" s="23"/>
      <c r="D726" s="24"/>
      <c r="E726" s="25"/>
      <c r="F726" s="26"/>
      <c r="G726" s="27">
        <f>SUM(G727:G731)</f>
        <v>404631.94819132047</v>
      </c>
      <c r="H726" s="27">
        <f>IFERROR(G726*E724,"")</f>
        <v>0</v>
      </c>
    </row>
    <row r="727" spans="1:11">
      <c r="A727" s="28"/>
      <c r="B727" s="29" t="s">
        <v>3262</v>
      </c>
      <c r="C727" s="30" t="str">
        <f>IFERROR(_xlfn.XLOOKUP(B727,Insumo[DESCRIPCION],Insumo[UND],,0),"")</f>
        <v>M</v>
      </c>
      <c r="D727" s="31">
        <v>1</v>
      </c>
      <c r="E727" s="32">
        <f>IFERROR(_xlfn.XLOOKUP($B727,Insumo[DESCRIPCION],Insumo[VALOR],,0),"")</f>
        <v>340987.5</v>
      </c>
      <c r="F727" s="33"/>
      <c r="G727" s="34">
        <f>IFERROR(IF(F727&gt;=0,D727*E727*(1+F727/100),ABS(D727*E727/F727)),"")</f>
        <v>340987.5</v>
      </c>
      <c r="H727" s="43">
        <f>IFERROR(G727*E724,"")</f>
        <v>0</v>
      </c>
    </row>
    <row r="728" spans="1:11">
      <c r="A728" s="28"/>
      <c r="B728" s="29" t="s">
        <v>3239</v>
      </c>
      <c r="C728" s="30" t="str">
        <f>IFERROR(_xlfn.XLOOKUP(B728,Insumo[DESCRIPCION],Insumo[UND],,0),"")</f>
        <v>M3</v>
      </c>
      <c r="D728" s="31">
        <v>0.08</v>
      </c>
      <c r="E728" s="32">
        <f>IFERROR(_xlfn.XLOOKUP($B728,Insumo[DESCRIPCION],Insumo[VALOR],,0),"")</f>
        <v>521159.50227762427</v>
      </c>
      <c r="F728" s="33">
        <v>5</v>
      </c>
      <c r="G728" s="34">
        <f>IFERROR(IF(F728&gt;=0,D728*E728*(1+F728/100),ABS(D728*E728/F728)),"")</f>
        <v>43777.398191320448</v>
      </c>
      <c r="H728" s="43">
        <f>IFERROR(G728*E724,"")</f>
        <v>0</v>
      </c>
    </row>
    <row r="729" spans="1:11">
      <c r="A729" s="28"/>
      <c r="B729" s="29" t="s">
        <v>3311</v>
      </c>
      <c r="C729" s="30" t="str">
        <f>IFERROR(_xlfn.XLOOKUP(B729,Insumo[DESCRIPCION],Insumo[UND],,0),"")</f>
        <v>Kg</v>
      </c>
      <c r="D729" s="31">
        <v>7</v>
      </c>
      <c r="E729" s="32">
        <f>IFERROR(_xlfn.XLOOKUP($B729,Insumo[DESCRIPCION],Insumo[VALOR],,0),"")</f>
        <v>2838.15</v>
      </c>
      <c r="F729" s="33"/>
      <c r="G729" s="34">
        <f>IFERROR(IF(F729&gt;=0,D729*E729*(1+F729/100),ABS(D729*E729/F729)),"")</f>
        <v>19867.05</v>
      </c>
      <c r="H729" s="43">
        <f>IFERROR(G729*E724,"")</f>
        <v>0</v>
      </c>
    </row>
    <row r="730" spans="1:11">
      <c r="A730" s="28"/>
      <c r="B730" s="29"/>
      <c r="C730" s="30" t="str">
        <f>IFERROR(_xlfn.XLOOKUP(B730,Insumo[DESCRIPCION],Insumo[UND],,0),"")</f>
        <v/>
      </c>
      <c r="D730" s="31"/>
      <c r="E730" s="32" t="str">
        <f>IFERROR(_xlfn.XLOOKUP($B730,Insumo[DESCRIPCION],Insumo[VALOR],,0),"")</f>
        <v/>
      </c>
      <c r="F730" s="33"/>
      <c r="G730" s="34" t="str">
        <f>IFERROR(IF(F730&gt;=0,D730*E730*(1+F730/100),ABS(D730*E730/F730)),"")</f>
        <v/>
      </c>
      <c r="H730" s="43" t="str">
        <f>IFERROR(G730*E724,"")</f>
        <v/>
      </c>
    </row>
    <row r="731" spans="1:11">
      <c r="A731" s="28"/>
      <c r="B731" s="29"/>
      <c r="C731" s="30" t="str">
        <f>IFERROR(_xlfn.XLOOKUP(B731,Insumo[DESCRIPCION],Insumo[UND],,0),"")</f>
        <v/>
      </c>
      <c r="D731" s="31"/>
      <c r="E731" s="32" t="str">
        <f>IFERROR(_xlfn.XLOOKUP($B731,Insumo[DESCRIPCION],Insumo[VALOR],,0),"")</f>
        <v/>
      </c>
      <c r="F731" s="33"/>
      <c r="G731" s="34" t="str">
        <f>IFERROR(IF(F731&gt;=0,D731*E731*(1+F731/100),ABS(D731*E731/F731)),"")</f>
        <v/>
      </c>
      <c r="H731" s="43" t="str">
        <f>IFERROR(G731*E724,"")</f>
        <v/>
      </c>
    </row>
    <row r="732" spans="1:11">
      <c r="A732" s="21"/>
      <c r="B732" s="22" t="s">
        <v>3731</v>
      </c>
      <c r="C732" s="23"/>
      <c r="D732" s="24"/>
      <c r="E732" s="25"/>
      <c r="F732" s="26"/>
      <c r="G732" s="27">
        <f>SUM(G733:G735)</f>
        <v>3929.8843861875011</v>
      </c>
      <c r="H732" s="44">
        <f>G732*E724</f>
        <v>0</v>
      </c>
    </row>
    <row r="733" spans="1:11">
      <c r="A733" s="28"/>
      <c r="B733" s="29" t="s">
        <v>3626</v>
      </c>
      <c r="C733" s="30" t="str">
        <f>IFERROR(_xlfn.XLOOKUP(B733,Equipo[DESCRIPCION],Equipo[UND],,0),"")</f>
        <v>%MO</v>
      </c>
      <c r="D733" s="31">
        <v>0.05</v>
      </c>
      <c r="E733" s="32">
        <f>IF(C733="%MO",G739,IFERROR(_xlfn.XLOOKUP($B733,Equipo[DESCRIPCION],Equipo[VALOR],,0),""))</f>
        <v>78597.687723750016</v>
      </c>
      <c r="F733" s="33"/>
      <c r="G733" s="34">
        <f>IFERROR(IF(F733&gt;=0,D733*E733*(1+F733/100),ABS(D733*E733/F733)),"")</f>
        <v>3929.8843861875011</v>
      </c>
      <c r="H733" s="43">
        <f>IFERROR(G733*E724,"")</f>
        <v>0</v>
      </c>
    </row>
    <row r="734" spans="1:11">
      <c r="A734" s="28"/>
      <c r="B734" s="29"/>
      <c r="C734" s="30" t="str">
        <f>IFERROR(_xlfn.XLOOKUP(B734,Equipo[DESCRIPCION],Equipo[UND],,0),"")</f>
        <v/>
      </c>
      <c r="D734" s="31"/>
      <c r="E734" s="32" t="str">
        <f>IF(C734="%MO",G740,IFERROR(_xlfn.XLOOKUP($B734,Equipo[DESCRIPCION],Equipo[VALOR],,0),""))</f>
        <v/>
      </c>
      <c r="F734" s="33"/>
      <c r="G734" s="34" t="str">
        <f>IFERROR(IF(F734&gt;=0,D734*E734*(1+F734/100),ABS(D734*E734/F734)),"")</f>
        <v/>
      </c>
      <c r="H734" s="43" t="str">
        <f>IFERROR(G734*E724,"")</f>
        <v/>
      </c>
    </row>
    <row r="735" spans="1:11">
      <c r="A735" s="28"/>
      <c r="B735" s="29"/>
      <c r="C735" s="30" t="str">
        <f>IFERROR(_xlfn.XLOOKUP(B735,Equipo[DESCRIPCION],Equipo[UND],,0),"")</f>
        <v/>
      </c>
      <c r="D735" s="31"/>
      <c r="E735" s="32" t="str">
        <f>IF(C735="%MO",G741,IFERROR(_xlfn.XLOOKUP($B735,Equipo[DESCRIPCION],Equipo[VALOR],,0),""))</f>
        <v/>
      </c>
      <c r="F735" s="33"/>
      <c r="G735" s="34" t="str">
        <f>IFERROR(IF(F735&gt;=0,D735*E735*(1+F735/100),ABS(D735*E735/F735)),"")</f>
        <v/>
      </c>
      <c r="H735" s="43" t="str">
        <f>IFERROR(G735*E724,"")</f>
        <v/>
      </c>
    </row>
    <row r="736" spans="1:11">
      <c r="A736" s="21"/>
      <c r="B736" s="22" t="s">
        <v>2533</v>
      </c>
      <c r="C736" s="23"/>
      <c r="D736" s="24"/>
      <c r="E736" s="25"/>
      <c r="F736" s="26"/>
      <c r="G736" s="27">
        <f>SUM(G737:G738)</f>
        <v>0</v>
      </c>
      <c r="H736" s="44">
        <f>G736*E724</f>
        <v>0</v>
      </c>
    </row>
    <row r="737" spans="1:11">
      <c r="A737" s="28"/>
      <c r="B737" s="29"/>
      <c r="C737" s="30" t="str">
        <f>IFERROR(_xlfn.XLOOKUP(B737,Transporte[DESCRIPCION],Transporte[UND],,0),"")</f>
        <v/>
      </c>
      <c r="D737" s="31"/>
      <c r="E737" s="32" t="str">
        <f>IFERROR(_xlfn.XLOOKUP($B737,Transporte[DESCRIPCION],Transporte[VALOR],,0),"")</f>
        <v/>
      </c>
      <c r="F737" s="33"/>
      <c r="G737" s="34" t="str">
        <f>IFERROR(IF(F737&gt;=0,D737*E737*(1+F737/100),ABS(D737*E737/F737)),"")</f>
        <v/>
      </c>
      <c r="H737" s="43" t="str">
        <f>IFERROR(G737*E724,"")</f>
        <v/>
      </c>
    </row>
    <row r="738" spans="1:11">
      <c r="A738" s="28"/>
      <c r="B738" s="29"/>
      <c r="C738" s="30" t="str">
        <f>IFERROR(_xlfn.XLOOKUP(B738,Transporte[DESCRIPCION],Transporte[UND],,0),"")</f>
        <v/>
      </c>
      <c r="D738" s="31"/>
      <c r="E738" s="32" t="str">
        <f>IFERROR(_xlfn.XLOOKUP($B738,Transporte[DESCRIPCION],Transporte[VALOR],,0),"")</f>
        <v/>
      </c>
      <c r="F738" s="33"/>
      <c r="G738" s="34" t="str">
        <f>IFERROR(IF(F738&gt;=0,D738*E738*(1+F738/100),ABS(D738*E738/F738)),"")</f>
        <v/>
      </c>
      <c r="H738" s="43" t="str">
        <f>IFERROR(G738*E724,"")</f>
        <v/>
      </c>
    </row>
    <row r="739" spans="1:11">
      <c r="A739" s="21"/>
      <c r="B739" s="22" t="s">
        <v>3732</v>
      </c>
      <c r="C739" s="23"/>
      <c r="D739" s="24"/>
      <c r="E739" s="25"/>
      <c r="F739" s="26"/>
      <c r="G739" s="27">
        <f>SUM(G740:G742)</f>
        <v>78597.687723750016</v>
      </c>
      <c r="H739" s="44">
        <f>G739*E724</f>
        <v>0</v>
      </c>
    </row>
    <row r="740" spans="1:11">
      <c r="A740" s="28"/>
      <c r="B740" s="29" t="s">
        <v>3710</v>
      </c>
      <c r="C740" s="30" t="str">
        <f>IFERROR(_xlfn.XLOOKUP(B740,MObra[DESCRIPCION],MObra[UN],,0),"")</f>
        <v>día</v>
      </c>
      <c r="D740" s="31">
        <v>1</v>
      </c>
      <c r="E740" s="32">
        <f>IFERROR(_xlfn.XLOOKUP($B740,MObra[DESCRIPCION],MObra[VALOR UNIT],,0),"")</f>
        <v>314390.75089500006</v>
      </c>
      <c r="F740" s="33">
        <v>-4</v>
      </c>
      <c r="G740" s="34">
        <f>IFERROR(IF(F740&gt;=0,D740*E740*(1+F740/100),ABS(D740*E740/F740)),"")</f>
        <v>78597.687723750016</v>
      </c>
      <c r="H740" s="43">
        <f>IFERROR(G740*E724,"")</f>
        <v>0</v>
      </c>
    </row>
    <row r="741" spans="1:11">
      <c r="A741" s="28"/>
      <c r="B741" s="29"/>
      <c r="C741" s="30" t="str">
        <f>IFERROR(_xlfn.XLOOKUP(B741,MObra[DESCRIPCION],MObra[UN],,0),"")</f>
        <v/>
      </c>
      <c r="D741" s="31"/>
      <c r="E741" s="32" t="str">
        <f>IFERROR(_xlfn.XLOOKUP($B741,MObra[DESCRIPCION],MObra[VALOR UNIT],,0),"")</f>
        <v/>
      </c>
      <c r="F741" s="33"/>
      <c r="G741" s="34" t="str">
        <f>IFERROR(IF(F741&gt;=0,D741*E741*(1+F741/100),ABS(D741*E741/F741)),"")</f>
        <v/>
      </c>
      <c r="H741" s="43" t="str">
        <f>IFERROR(G741*E724,"")</f>
        <v/>
      </c>
    </row>
    <row r="742" spans="1:11">
      <c r="A742" s="35"/>
      <c r="B742" s="36"/>
      <c r="C742" s="37" t="str">
        <f>IFERROR(_xlfn.XLOOKUP(B742,MObra[DESCRIPCION],MObra[UN],,0),"")</f>
        <v/>
      </c>
      <c r="D742" s="38"/>
      <c r="E742" s="39" t="str">
        <f>IFERROR(_xlfn.XLOOKUP($B742,MObra[DESCRIPCION],MObra[VALOR UNIT],,0),"")</f>
        <v/>
      </c>
      <c r="F742" s="40"/>
      <c r="G742" s="41" t="str">
        <f>IFERROR(IF(F742&gt;=0,D742*E742*(1+F742/100),ABS(D742*E742/F742)),"")</f>
        <v/>
      </c>
      <c r="H742" s="42" t="str">
        <f>IFERROR(G742*E724,"")</f>
        <v/>
      </c>
    </row>
    <row r="744" spans="1:11">
      <c r="A744" s="6" t="s">
        <v>2112</v>
      </c>
      <c r="B744" s="7" t="str">
        <f>VLOOKUP($A744,Presupuesto!$A:$D,2,FALSE())</f>
        <v>Reposición empaque caucho tubería Novafort</v>
      </c>
      <c r="C744" s="8" t="str">
        <f>VLOOKUP($A744,Presupuesto!$A:$D,3,FALSE())</f>
        <v>Un</v>
      </c>
      <c r="D744" s="9"/>
      <c r="E744" s="10">
        <f>VLOOKUP($A744,Presupuesto!$A:$D,4,FALSE())</f>
        <v>0</v>
      </c>
      <c r="F744" s="11" t="s">
        <v>2589</v>
      </c>
      <c r="G744" s="12">
        <f>SUM(G746:G762)/2</f>
        <v>53051.547562650012</v>
      </c>
      <c r="H744" s="13">
        <f>ROUND(SUM(H746:H762),0)/2</f>
        <v>0</v>
      </c>
      <c r="I744" s="10">
        <f>VLOOKUP(A744,Presupuesto!$A:$F,6,0)</f>
        <v>0</v>
      </c>
      <c r="J744" s="10">
        <f>+H744-I744</f>
        <v>0</v>
      </c>
      <c r="K744" s="46">
        <f>+H744-G744*E744</f>
        <v>0</v>
      </c>
    </row>
    <row r="745" spans="1:11">
      <c r="A745" s="14"/>
      <c r="B745" s="15" t="s">
        <v>2586</v>
      </c>
      <c r="C745" s="15" t="s">
        <v>5</v>
      </c>
      <c r="D745" s="16" t="s">
        <v>6</v>
      </c>
      <c r="E745" s="17" t="s">
        <v>7</v>
      </c>
      <c r="F745" s="18" t="s">
        <v>3728</v>
      </c>
      <c r="G745" s="19" t="s">
        <v>3729</v>
      </c>
      <c r="H745" s="20" t="s">
        <v>3797</v>
      </c>
    </row>
    <row r="746" spans="1:11">
      <c r="A746" s="21"/>
      <c r="B746" s="22" t="s">
        <v>3730</v>
      </c>
      <c r="C746" s="23"/>
      <c r="D746" s="24"/>
      <c r="E746" s="25"/>
      <c r="F746" s="26"/>
      <c r="G746" s="27">
        <f>SUM(G747:G751)</f>
        <v>31044.195</v>
      </c>
      <c r="H746" s="27">
        <f>IFERROR(G746*E744,"")</f>
        <v>0</v>
      </c>
    </row>
    <row r="747" spans="1:11">
      <c r="A747" s="28"/>
      <c r="B747" s="29" t="s">
        <v>2935</v>
      </c>
      <c r="C747" s="30" t="str">
        <f>IFERROR(_xlfn.XLOOKUP(B747,Insumo[DESCRIPCION],Insumo[UND],,0),"")</f>
        <v>Un</v>
      </c>
      <c r="D747" s="31">
        <v>1</v>
      </c>
      <c r="E747" s="32">
        <f>IFERROR(_xlfn.XLOOKUP($B747,Insumo[DESCRIPCION],Insumo[VALOR],,0),"")</f>
        <v>19791.45</v>
      </c>
      <c r="F747" s="33"/>
      <c r="G747" s="34">
        <f>IFERROR(IF(F747&gt;=0,D747*E747*(1+F747/100),ABS(D747*E747/F747)),"")</f>
        <v>19791.45</v>
      </c>
      <c r="H747" s="43">
        <f>IFERROR(G747*E744,"")</f>
        <v>0</v>
      </c>
    </row>
    <row r="748" spans="1:11">
      <c r="A748" s="28"/>
      <c r="B748" s="29" t="s">
        <v>3060</v>
      </c>
      <c r="C748" s="30" t="str">
        <f>IFERROR(_xlfn.XLOOKUP(B748,Insumo[DESCRIPCION],Insumo[UND],,0),"")</f>
        <v>Kg</v>
      </c>
      <c r="D748" s="31">
        <v>0.3</v>
      </c>
      <c r="E748" s="32">
        <f>IFERROR(_xlfn.XLOOKUP($B748,Insumo[DESCRIPCION],Insumo[VALOR],,0),"")</f>
        <v>37509.15</v>
      </c>
      <c r="F748" s="33"/>
      <c r="G748" s="34">
        <f>IFERROR(IF(F748&gt;=0,D748*E748*(1+F748/100),ABS(D748*E748/F748)),"")</f>
        <v>11252.745000000001</v>
      </c>
      <c r="H748" s="43">
        <f>IFERROR(G748*E744,"")</f>
        <v>0</v>
      </c>
    </row>
    <row r="749" spans="1:11">
      <c r="A749" s="28"/>
      <c r="B749" s="29"/>
      <c r="C749" s="30" t="str">
        <f>IFERROR(_xlfn.XLOOKUP(B749,Insumo[DESCRIPCION],Insumo[UND],,0),"")</f>
        <v/>
      </c>
      <c r="D749" s="31"/>
      <c r="E749" s="32" t="str">
        <f>IFERROR(_xlfn.XLOOKUP($B749,Insumo[DESCRIPCION],Insumo[VALOR],,0),"")</f>
        <v/>
      </c>
      <c r="F749" s="33"/>
      <c r="G749" s="34" t="str">
        <f>IFERROR(IF(F749&gt;=0,D749*E749*(1+F749/100),ABS(D749*E749/F749)),"")</f>
        <v/>
      </c>
      <c r="H749" s="43" t="str">
        <f>IFERROR(G749*E744,"")</f>
        <v/>
      </c>
    </row>
    <row r="750" spans="1:11">
      <c r="A750" s="28"/>
      <c r="B750" s="29"/>
      <c r="C750" s="30" t="str">
        <f>IFERROR(_xlfn.XLOOKUP(B750,Insumo[DESCRIPCION],Insumo[UND],,0),"")</f>
        <v/>
      </c>
      <c r="D750" s="31"/>
      <c r="E750" s="32" t="str">
        <f>IFERROR(_xlfn.XLOOKUP($B750,Insumo[DESCRIPCION],Insumo[VALOR],,0),"")</f>
        <v/>
      </c>
      <c r="F750" s="33"/>
      <c r="G750" s="34" t="str">
        <f>IFERROR(IF(F750&gt;=0,D750*E750*(1+F750/100),ABS(D750*E750/F750)),"")</f>
        <v/>
      </c>
      <c r="H750" s="43" t="str">
        <f>IFERROR(G750*E744,"")</f>
        <v/>
      </c>
    </row>
    <row r="751" spans="1:11">
      <c r="A751" s="28"/>
      <c r="B751" s="29"/>
      <c r="C751" s="30" t="str">
        <f>IFERROR(_xlfn.XLOOKUP(B751,Insumo[DESCRIPCION],Insumo[UND],,0),"")</f>
        <v/>
      </c>
      <c r="D751" s="31"/>
      <c r="E751" s="32" t="str">
        <f>IFERROR(_xlfn.XLOOKUP($B751,Insumo[DESCRIPCION],Insumo[VALOR],,0),"")</f>
        <v/>
      </c>
      <c r="F751" s="33"/>
      <c r="G751" s="34" t="str">
        <f>IFERROR(IF(F751&gt;=0,D751*E751*(1+F751/100),ABS(D751*E751/F751)),"")</f>
        <v/>
      </c>
      <c r="H751" s="43" t="str">
        <f>IFERROR(G751*E744,"")</f>
        <v/>
      </c>
    </row>
    <row r="752" spans="1:11">
      <c r="A752" s="21"/>
      <c r="B752" s="22" t="s">
        <v>3731</v>
      </c>
      <c r="C752" s="23"/>
      <c r="D752" s="24"/>
      <c r="E752" s="25"/>
      <c r="F752" s="26"/>
      <c r="G752" s="27">
        <f>SUM(G753:G755)</f>
        <v>1047.9691696500001</v>
      </c>
      <c r="H752" s="44">
        <f>G752*E744</f>
        <v>0</v>
      </c>
    </row>
    <row r="753" spans="1:11">
      <c r="A753" s="28"/>
      <c r="B753" s="29" t="s">
        <v>3626</v>
      </c>
      <c r="C753" s="30" t="str">
        <f>IFERROR(_xlfn.XLOOKUP(B753,Equipo[DESCRIPCION],Equipo[UND],,0),"")</f>
        <v>%MO</v>
      </c>
      <c r="D753" s="31">
        <v>0.05</v>
      </c>
      <c r="E753" s="32">
        <f>IF(C753="%MO",G759,IFERROR(_xlfn.XLOOKUP($B753,Equipo[DESCRIPCION],Equipo[VALOR],,0),""))</f>
        <v>20959.383393000004</v>
      </c>
      <c r="F753" s="33"/>
      <c r="G753" s="34">
        <f>IFERROR(IF(F753&gt;=0,D753*E753*(1+F753/100),ABS(D753*E753/F753)),"")</f>
        <v>1047.9691696500001</v>
      </c>
      <c r="H753" s="43">
        <f>IFERROR(G753*E744,"")</f>
        <v>0</v>
      </c>
    </row>
    <row r="754" spans="1:11">
      <c r="A754" s="28"/>
      <c r="B754" s="29"/>
      <c r="C754" s="30" t="str">
        <f>IFERROR(_xlfn.XLOOKUP(B754,Equipo[DESCRIPCION],Equipo[UND],,0),"")</f>
        <v/>
      </c>
      <c r="D754" s="31"/>
      <c r="E754" s="32" t="str">
        <f>IF(C754="%MO",G760,IFERROR(_xlfn.XLOOKUP($B754,Equipo[DESCRIPCION],Equipo[VALOR],,0),""))</f>
        <v/>
      </c>
      <c r="F754" s="33"/>
      <c r="G754" s="34" t="str">
        <f>IFERROR(IF(F754&gt;=0,D754*E754*(1+F754/100),ABS(D754*E754/F754)),"")</f>
        <v/>
      </c>
      <c r="H754" s="43" t="str">
        <f>IFERROR(G754*E744,"")</f>
        <v/>
      </c>
    </row>
    <row r="755" spans="1:11">
      <c r="A755" s="28"/>
      <c r="B755" s="29"/>
      <c r="C755" s="30" t="str">
        <f>IFERROR(_xlfn.XLOOKUP(B755,Equipo[DESCRIPCION],Equipo[UND],,0),"")</f>
        <v/>
      </c>
      <c r="D755" s="31"/>
      <c r="E755" s="32" t="str">
        <f>IF(C755="%MO",G761,IFERROR(_xlfn.XLOOKUP($B755,Equipo[DESCRIPCION],Equipo[VALOR],,0),""))</f>
        <v/>
      </c>
      <c r="F755" s="33"/>
      <c r="G755" s="34" t="str">
        <f>IFERROR(IF(F755&gt;=0,D755*E755*(1+F755/100),ABS(D755*E755/F755)),"")</f>
        <v/>
      </c>
      <c r="H755" s="43" t="str">
        <f>IFERROR(G755*E744,"")</f>
        <v/>
      </c>
    </row>
    <row r="756" spans="1:11">
      <c r="A756" s="21"/>
      <c r="B756" s="22" t="s">
        <v>2533</v>
      </c>
      <c r="C756" s="23"/>
      <c r="D756" s="24"/>
      <c r="E756" s="25"/>
      <c r="F756" s="26"/>
      <c r="G756" s="27">
        <f>SUM(G757:G758)</f>
        <v>0</v>
      </c>
      <c r="H756" s="44">
        <f>G756*E744</f>
        <v>0</v>
      </c>
    </row>
    <row r="757" spans="1:11">
      <c r="A757" s="28"/>
      <c r="B757" s="29"/>
      <c r="C757" s="30" t="str">
        <f>IFERROR(_xlfn.XLOOKUP(B757,Transporte[DESCRIPCION],Transporte[UND],,0),"")</f>
        <v/>
      </c>
      <c r="D757" s="31"/>
      <c r="E757" s="32" t="str">
        <f>IFERROR(_xlfn.XLOOKUP($B757,Transporte[DESCRIPCION],Transporte[VALOR],,0),"")</f>
        <v/>
      </c>
      <c r="F757" s="33"/>
      <c r="G757" s="34" t="str">
        <f>IFERROR(IF(F757&gt;=0,D757*E757*(1+F757/100),ABS(D757*E757/F757)),"")</f>
        <v/>
      </c>
      <c r="H757" s="43" t="str">
        <f>IFERROR(G757*E744,"")</f>
        <v/>
      </c>
    </row>
    <row r="758" spans="1:11">
      <c r="A758" s="28"/>
      <c r="B758" s="29"/>
      <c r="C758" s="30" t="str">
        <f>IFERROR(_xlfn.XLOOKUP(B758,Transporte[DESCRIPCION],Transporte[UND],,0),"")</f>
        <v/>
      </c>
      <c r="D758" s="31"/>
      <c r="E758" s="32" t="str">
        <f>IFERROR(_xlfn.XLOOKUP($B758,Transporte[DESCRIPCION],Transporte[VALOR],,0),"")</f>
        <v/>
      </c>
      <c r="F758" s="33"/>
      <c r="G758" s="34" t="str">
        <f>IFERROR(IF(F758&gt;=0,D758*E758*(1+F758/100),ABS(D758*E758/F758)),"")</f>
        <v/>
      </c>
      <c r="H758" s="43" t="str">
        <f>IFERROR(G758*E744,"")</f>
        <v/>
      </c>
    </row>
    <row r="759" spans="1:11">
      <c r="A759" s="21"/>
      <c r="B759" s="22" t="s">
        <v>3732</v>
      </c>
      <c r="C759" s="23"/>
      <c r="D759" s="24"/>
      <c r="E759" s="25"/>
      <c r="F759" s="26"/>
      <c r="G759" s="27">
        <f>SUM(G760:G762)</f>
        <v>20959.383393000004</v>
      </c>
      <c r="H759" s="44">
        <f>G759*E744</f>
        <v>0</v>
      </c>
    </row>
    <row r="760" spans="1:11">
      <c r="A760" s="28"/>
      <c r="B760" s="29" t="s">
        <v>3710</v>
      </c>
      <c r="C760" s="30" t="str">
        <f>IFERROR(_xlfn.XLOOKUP(B760,MObra[DESCRIPCION],MObra[UN],,0),"")</f>
        <v>día</v>
      </c>
      <c r="D760" s="31">
        <v>1</v>
      </c>
      <c r="E760" s="32">
        <f>IFERROR(_xlfn.XLOOKUP($B760,MObra[DESCRIPCION],MObra[VALOR UNIT],,0),"")</f>
        <v>314390.75089500006</v>
      </c>
      <c r="F760" s="33">
        <v>-15</v>
      </c>
      <c r="G760" s="34">
        <f>IFERROR(IF(F760&gt;=0,D760*E760*(1+F760/100),ABS(D760*E760/F760)),"")</f>
        <v>20959.383393000004</v>
      </c>
      <c r="H760" s="43">
        <f>IFERROR(G760*E744,"")</f>
        <v>0</v>
      </c>
    </row>
    <row r="761" spans="1:11">
      <c r="A761" s="28"/>
      <c r="B761" s="29"/>
      <c r="C761" s="30" t="str">
        <f>IFERROR(_xlfn.XLOOKUP(B761,MObra[DESCRIPCION],MObra[UN],,0),"")</f>
        <v/>
      </c>
      <c r="D761" s="31"/>
      <c r="E761" s="32" t="str">
        <f>IFERROR(_xlfn.XLOOKUP($B761,MObra[DESCRIPCION],MObra[VALOR UNIT],,0),"")</f>
        <v/>
      </c>
      <c r="F761" s="33"/>
      <c r="G761" s="34" t="str">
        <f>IFERROR(IF(F761&gt;=0,D761*E761*(1+F761/100),ABS(D761*E761/F761)),"")</f>
        <v/>
      </c>
      <c r="H761" s="43" t="str">
        <f>IFERROR(G761*E744,"")</f>
        <v/>
      </c>
    </row>
    <row r="762" spans="1:11">
      <c r="A762" s="35"/>
      <c r="B762" s="36"/>
      <c r="C762" s="37" t="str">
        <f>IFERROR(_xlfn.XLOOKUP(B762,MObra[DESCRIPCION],MObra[UN],,0),"")</f>
        <v/>
      </c>
      <c r="D762" s="38"/>
      <c r="E762" s="39" t="str">
        <f>IFERROR(_xlfn.XLOOKUP($B762,MObra[DESCRIPCION],MObra[VALOR UNIT],,0),"")</f>
        <v/>
      </c>
      <c r="F762" s="40"/>
      <c r="G762" s="41" t="str">
        <f>IFERROR(IF(F762&gt;=0,D762*E762*(1+F762/100),ABS(D762*E762/F762)),"")</f>
        <v/>
      </c>
      <c r="H762" s="42" t="str">
        <f>IFERROR(G762*E744,"")</f>
        <v/>
      </c>
    </row>
    <row r="763" spans="1:11" ht="13.5" thickTop="1" thickBot="1"/>
    <row r="764" spans="1:11" ht="13.5" thickTop="1" thickBot="1">
      <c r="A764" s="6" t="s">
        <v>2114</v>
      </c>
      <c r="B764" s="7" t="str">
        <f>VLOOKUP($A764,Presupuesto!$A:$D,2,FALSE())</f>
        <v>Silla Yee PVC Novafort 160x110</v>
      </c>
      <c r="C764" s="8" t="str">
        <f>VLOOKUP($A764,Presupuesto!$A:$D,3,FALSE())</f>
        <v>Un</v>
      </c>
      <c r="D764" s="9"/>
      <c r="E764" s="10">
        <f>VLOOKUP($A764,Presupuesto!$A:$D,4,FALSE())</f>
        <v>0</v>
      </c>
      <c r="F764" s="11" t="s">
        <v>2589</v>
      </c>
      <c r="G764" s="12">
        <f>SUM(G766:G782)/2</f>
        <v>101882.62884397499</v>
      </c>
      <c r="H764" s="13">
        <f>ROUND(SUM(H766:H782),0)/2</f>
        <v>0</v>
      </c>
      <c r="I764" s="10">
        <f>VLOOKUP(A764,Presupuesto!$A:$F,6,0)</f>
        <v>0</v>
      </c>
      <c r="J764" s="10">
        <f>+H764-I764</f>
        <v>0</v>
      </c>
      <c r="K764" s="46">
        <f>+H764-G764*E764</f>
        <v>0</v>
      </c>
    </row>
    <row r="765" spans="1:11">
      <c r="A765" s="14"/>
      <c r="B765" s="15" t="s">
        <v>2586</v>
      </c>
      <c r="C765" s="15" t="s">
        <v>5</v>
      </c>
      <c r="D765" s="16" t="s">
        <v>6</v>
      </c>
      <c r="E765" s="17" t="s">
        <v>7</v>
      </c>
      <c r="F765" s="18" t="s">
        <v>3728</v>
      </c>
      <c r="G765" s="19" t="s">
        <v>3729</v>
      </c>
      <c r="H765" s="20" t="s">
        <v>3797</v>
      </c>
    </row>
    <row r="766" spans="1:11">
      <c r="A766" s="21"/>
      <c r="B766" s="22" t="s">
        <v>3730</v>
      </c>
      <c r="C766" s="23"/>
      <c r="D766" s="24"/>
      <c r="E766" s="25"/>
      <c r="F766" s="26"/>
      <c r="G766" s="27">
        <f>SUM(G767:G771)</f>
        <v>66122.7</v>
      </c>
      <c r="H766" s="27">
        <f>IFERROR(G766*E764,"")</f>
        <v>0</v>
      </c>
    </row>
    <row r="767" spans="1:11">
      <c r="A767" s="28"/>
      <c r="B767" s="29" t="s">
        <v>3318</v>
      </c>
      <c r="C767" s="30" t="str">
        <f>IFERROR(_xlfn.XLOOKUP(B767,Insumo[DESCRIPCION],Insumo[UND],,0),"")</f>
        <v>Un</v>
      </c>
      <c r="D767" s="31">
        <v>1</v>
      </c>
      <c r="E767" s="32">
        <f>IFERROR(_xlfn.XLOOKUP($B767,Insumo[DESCRIPCION],Insumo[VALOR],,0),"")</f>
        <v>66122.7</v>
      </c>
      <c r="F767" s="33"/>
      <c r="G767" s="34">
        <f>IFERROR(IF(F767&gt;=0,D767*E767*(1+F767/100),ABS(D767*E767/F767)),"")</f>
        <v>66122.7</v>
      </c>
      <c r="H767" s="43">
        <f>IFERROR(G767*E764,"")</f>
        <v>0</v>
      </c>
    </row>
    <row r="768" spans="1:11">
      <c r="A768" s="28"/>
      <c r="B768" s="29"/>
      <c r="C768" s="30" t="str">
        <f>IFERROR(_xlfn.XLOOKUP(B768,Insumo[DESCRIPCION],Insumo[UND],,0),"")</f>
        <v/>
      </c>
      <c r="D768" s="31"/>
      <c r="E768" s="32" t="str">
        <f>IFERROR(_xlfn.XLOOKUP($B768,Insumo[DESCRIPCION],Insumo[VALOR],,0),"")</f>
        <v/>
      </c>
      <c r="F768" s="33"/>
      <c r="G768" s="34" t="str">
        <f>IFERROR(IF(F768&gt;=0,D768*E768*(1+F768/100),ABS(D768*E768/F768)),"")</f>
        <v/>
      </c>
      <c r="H768" s="43" t="str">
        <f>IFERROR(G768*E764,"")</f>
        <v/>
      </c>
    </row>
    <row r="769" spans="1:11">
      <c r="A769" s="28"/>
      <c r="B769" s="29"/>
      <c r="C769" s="30" t="str">
        <f>IFERROR(_xlfn.XLOOKUP(B769,Insumo[DESCRIPCION],Insumo[UND],,0),"")</f>
        <v/>
      </c>
      <c r="D769" s="31"/>
      <c r="E769" s="32" t="str">
        <f>IFERROR(_xlfn.XLOOKUP($B769,Insumo[DESCRIPCION],Insumo[VALOR],,0),"")</f>
        <v/>
      </c>
      <c r="F769" s="33"/>
      <c r="G769" s="34" t="str">
        <f>IFERROR(IF(F769&gt;=0,D769*E769*(1+F769/100),ABS(D769*E769/F769)),"")</f>
        <v/>
      </c>
      <c r="H769" s="43" t="str">
        <f>IFERROR(G769*E764,"")</f>
        <v/>
      </c>
    </row>
    <row r="770" spans="1:11">
      <c r="A770" s="28"/>
      <c r="B770" s="29"/>
      <c r="C770" s="30" t="str">
        <f>IFERROR(_xlfn.XLOOKUP(B770,Insumo[DESCRIPCION],Insumo[UND],,0),"")</f>
        <v/>
      </c>
      <c r="D770" s="31"/>
      <c r="E770" s="32" t="str">
        <f>IFERROR(_xlfn.XLOOKUP($B770,Insumo[DESCRIPCION],Insumo[VALOR],,0),"")</f>
        <v/>
      </c>
      <c r="F770" s="33"/>
      <c r="G770" s="34" t="str">
        <f>IFERROR(IF(F770&gt;=0,D770*E770*(1+F770/100),ABS(D770*E770/F770)),"")</f>
        <v/>
      </c>
      <c r="H770" s="43" t="str">
        <f>IFERROR(G770*E764,"")</f>
        <v/>
      </c>
    </row>
    <row r="771" spans="1:11">
      <c r="A771" s="28"/>
      <c r="B771" s="29"/>
      <c r="C771" s="30" t="str">
        <f>IFERROR(_xlfn.XLOOKUP(B771,Insumo[DESCRIPCION],Insumo[UND],,0),"")</f>
        <v/>
      </c>
      <c r="D771" s="31"/>
      <c r="E771" s="32" t="str">
        <f>IFERROR(_xlfn.XLOOKUP($B771,Insumo[DESCRIPCION],Insumo[VALOR],,0),"")</f>
        <v/>
      </c>
      <c r="F771" s="33"/>
      <c r="G771" s="34" t="str">
        <f>IFERROR(IF(F771&gt;=0,D771*E771*(1+F771/100),ABS(D771*E771/F771)),"")</f>
        <v/>
      </c>
      <c r="H771" s="43" t="str">
        <f>IFERROR(G771*E764,"")</f>
        <v/>
      </c>
    </row>
    <row r="772" spans="1:11">
      <c r="A772" s="21"/>
      <c r="B772" s="22" t="s">
        <v>3731</v>
      </c>
      <c r="C772" s="23"/>
      <c r="D772" s="24"/>
      <c r="E772" s="25"/>
      <c r="F772" s="26"/>
      <c r="G772" s="27">
        <f>SUM(G773:G775)</f>
        <v>4320.8537544750006</v>
      </c>
      <c r="H772" s="44">
        <f>G772*E764</f>
        <v>0</v>
      </c>
    </row>
    <row r="773" spans="1:11">
      <c r="A773" s="28"/>
      <c r="B773" s="29" t="s">
        <v>3642</v>
      </c>
      <c r="C773" s="30" t="str">
        <f>IFERROR(_xlfn.XLOOKUP(B773,Equipo[DESCRIPCION],Equipo[UND],,0),"")</f>
        <v>Día</v>
      </c>
      <c r="D773" s="31">
        <v>1</v>
      </c>
      <c r="E773" s="32">
        <f>IF(C773="%MO",G779,IFERROR(_xlfn.XLOOKUP($B773,Equipo[DESCRIPCION],Equipo[VALOR],,0),""))</f>
        <v>54978</v>
      </c>
      <c r="F773" s="33">
        <v>-20</v>
      </c>
      <c r="G773" s="34">
        <f>IFERROR(IF(F773&gt;=0,D773*E773*(1+F773/100),ABS(D773*E773/F773)),"")</f>
        <v>2748.9</v>
      </c>
      <c r="H773" s="43">
        <f>IFERROR(G773*E764,"")</f>
        <v>0</v>
      </c>
    </row>
    <row r="774" spans="1:11">
      <c r="A774" s="28"/>
      <c r="B774" s="29" t="s">
        <v>3626</v>
      </c>
      <c r="C774" s="30" t="str">
        <f>IFERROR(_xlfn.XLOOKUP(B774,Equipo[DESCRIPCION],Equipo[UND],,0),"")</f>
        <v>%MO</v>
      </c>
      <c r="D774" s="31">
        <v>0.05</v>
      </c>
      <c r="E774" s="32">
        <f>IF(C774="%MO",G779,IFERROR(_xlfn.XLOOKUP($B774,Equipo[DESCRIPCION],Equipo[VALOR],,0),""))</f>
        <v>31439.075089500006</v>
      </c>
      <c r="F774" s="33"/>
      <c r="G774" s="34">
        <f>IFERROR(IF(F774&gt;=0,D774*E774*(1+F774/100),ABS(D774*E774/F774)),"")</f>
        <v>1571.9537544750003</v>
      </c>
      <c r="H774" s="43">
        <f>IFERROR(G774*E764,"")</f>
        <v>0</v>
      </c>
    </row>
    <row r="775" spans="1:11">
      <c r="A775" s="28"/>
      <c r="B775" s="29"/>
      <c r="C775" s="30" t="str">
        <f>IFERROR(_xlfn.XLOOKUP(B775,Equipo[DESCRIPCION],Equipo[UND],,0),"")</f>
        <v/>
      </c>
      <c r="D775" s="31"/>
      <c r="E775" s="32" t="str">
        <f>IF(C775="%MO",G781,IFERROR(_xlfn.XLOOKUP($B775,Equipo[DESCRIPCION],Equipo[VALOR],,0),""))</f>
        <v/>
      </c>
      <c r="F775" s="33"/>
      <c r="G775" s="34" t="str">
        <f>IFERROR(IF(F775&gt;=0,D775*E775*(1+F775/100),ABS(D775*E775/F775)),"")</f>
        <v/>
      </c>
      <c r="H775" s="43" t="str">
        <f>IFERROR(G775*E764,"")</f>
        <v/>
      </c>
    </row>
    <row r="776" spans="1:11">
      <c r="A776" s="21"/>
      <c r="B776" s="22" t="s">
        <v>2533</v>
      </c>
      <c r="C776" s="23"/>
      <c r="D776" s="24"/>
      <c r="E776" s="25"/>
      <c r="F776" s="26"/>
      <c r="G776" s="27">
        <f>SUM(G777:G778)</f>
        <v>0</v>
      </c>
      <c r="H776" s="44">
        <f>G776*E764</f>
        <v>0</v>
      </c>
    </row>
    <row r="777" spans="1:11">
      <c r="A777" s="28"/>
      <c r="B777" s="29"/>
      <c r="C777" s="30" t="str">
        <f>IFERROR(_xlfn.XLOOKUP(B777,Transporte[DESCRIPCION],Transporte[UND],,0),"")</f>
        <v/>
      </c>
      <c r="D777" s="31"/>
      <c r="E777" s="32" t="str">
        <f>IFERROR(_xlfn.XLOOKUP($B777,Transporte[DESCRIPCION],Transporte[VALOR],,0),"")</f>
        <v/>
      </c>
      <c r="F777" s="33"/>
      <c r="G777" s="34" t="str">
        <f>IFERROR(IF(F777&gt;=0,D777*E777*(1+F777/100),ABS(D777*E777/F777)),"")</f>
        <v/>
      </c>
      <c r="H777" s="43" t="str">
        <f>IFERROR(G777*E764,"")</f>
        <v/>
      </c>
    </row>
    <row r="778" spans="1:11">
      <c r="A778" s="28"/>
      <c r="B778" s="29"/>
      <c r="C778" s="30" t="str">
        <f>IFERROR(_xlfn.XLOOKUP(B778,Transporte[DESCRIPCION],Transporte[UND],,0),"")</f>
        <v/>
      </c>
      <c r="D778" s="31"/>
      <c r="E778" s="32" t="str">
        <f>IFERROR(_xlfn.XLOOKUP($B778,Transporte[DESCRIPCION],Transporte[VALOR],,0),"")</f>
        <v/>
      </c>
      <c r="F778" s="33"/>
      <c r="G778" s="34" t="str">
        <f>IFERROR(IF(F778&gt;=0,D778*E778*(1+F778/100),ABS(D778*E778/F778)),"")</f>
        <v/>
      </c>
      <c r="H778" s="43" t="str">
        <f>IFERROR(G778*E764,"")</f>
        <v/>
      </c>
    </row>
    <row r="779" spans="1:11">
      <c r="A779" s="21"/>
      <c r="B779" s="22" t="s">
        <v>3732</v>
      </c>
      <c r="C779" s="23"/>
      <c r="D779" s="24"/>
      <c r="E779" s="25"/>
      <c r="F779" s="26"/>
      <c r="G779" s="27">
        <f>SUM(G780:G782)</f>
        <v>31439.075089500006</v>
      </c>
      <c r="H779" s="44">
        <f>G779*E764</f>
        <v>0</v>
      </c>
    </row>
    <row r="780" spans="1:11">
      <c r="A780" s="28"/>
      <c r="B780" s="29" t="s">
        <v>3710</v>
      </c>
      <c r="C780" s="30" t="str">
        <f>IFERROR(_xlfn.XLOOKUP(B780,MObra[DESCRIPCION],MObra[UN],,0),"")</f>
        <v>día</v>
      </c>
      <c r="D780" s="31">
        <v>1</v>
      </c>
      <c r="E780" s="32">
        <f>IFERROR(_xlfn.XLOOKUP($B780,MObra[DESCRIPCION],MObra[VALOR UNIT],,0),"")</f>
        <v>314390.75089500006</v>
      </c>
      <c r="F780" s="33">
        <v>-10</v>
      </c>
      <c r="G780" s="34">
        <f>IFERROR(IF(F780&gt;=0,D780*E780*(1+F780/100),ABS(D780*E780/F780)),"")</f>
        <v>31439.075089500006</v>
      </c>
      <c r="H780" s="43">
        <f>IFERROR(G780*E764,"")</f>
        <v>0</v>
      </c>
    </row>
    <row r="781" spans="1:11">
      <c r="A781" s="28"/>
      <c r="B781" s="29"/>
      <c r="C781" s="30" t="str">
        <f>IFERROR(_xlfn.XLOOKUP(B781,MObra[DESCRIPCION],MObra[UN],,0),"")</f>
        <v/>
      </c>
      <c r="D781" s="31"/>
      <c r="E781" s="32" t="str">
        <f>IFERROR(_xlfn.XLOOKUP($B781,MObra[DESCRIPCION],MObra[VALOR UNIT],,0),"")</f>
        <v/>
      </c>
      <c r="F781" s="33"/>
      <c r="G781" s="34" t="str">
        <f>IFERROR(IF(F781&gt;=0,D781*E781*(1+F781/100),ABS(D781*E781/F781)),"")</f>
        <v/>
      </c>
      <c r="H781" s="43" t="str">
        <f>IFERROR(G781*E764,"")</f>
        <v/>
      </c>
    </row>
    <row r="782" spans="1:11">
      <c r="A782" s="35"/>
      <c r="B782" s="36"/>
      <c r="C782" s="37" t="str">
        <f>IFERROR(_xlfn.XLOOKUP(B782,MObra[DESCRIPCION],MObra[UN],,0),"")</f>
        <v/>
      </c>
      <c r="D782" s="38"/>
      <c r="E782" s="39" t="str">
        <f>IFERROR(_xlfn.XLOOKUP($B782,MObra[DESCRIPCION],MObra[VALOR UNIT],,0),"")</f>
        <v/>
      </c>
      <c r="F782" s="40"/>
      <c r="G782" s="41" t="str">
        <f>IFERROR(IF(F782&gt;=0,D782*E782*(1+F782/100),ABS(D782*E782/F782)),"")</f>
        <v/>
      </c>
      <c r="H782" s="42" t="str">
        <f>IFERROR(G782*E764,"")</f>
        <v/>
      </c>
    </row>
    <row r="784" spans="1:11">
      <c r="A784" s="6" t="s">
        <v>2116</v>
      </c>
      <c r="B784" s="7" t="str">
        <f>VLOOKUP($A784,Presupuesto!$A:$D,2,FALSE())</f>
        <v>Silla Yee PVC Novafort 160x200</v>
      </c>
      <c r="C784" s="8" t="str">
        <f>VLOOKUP($A784,Presupuesto!$A:$D,3,FALSE())</f>
        <v>Un</v>
      </c>
      <c r="D784" s="9"/>
      <c r="E784" s="10">
        <f>VLOOKUP($A784,Presupuesto!$A:$D,4,FALSE())</f>
        <v>0</v>
      </c>
      <c r="F784" s="11" t="s">
        <v>2589</v>
      </c>
      <c r="G784" s="12">
        <f>SUM(G786:G802)/2</f>
        <v>101882.62884397499</v>
      </c>
      <c r="H784" s="13">
        <f>ROUND(SUM(H786:H802),0)/2</f>
        <v>0</v>
      </c>
      <c r="I784" s="10">
        <f>VLOOKUP(A784,Presupuesto!$A:$F,6,0)</f>
        <v>0</v>
      </c>
      <c r="J784" s="10">
        <f>+H784-I784</f>
        <v>0</v>
      </c>
      <c r="K784" s="46">
        <f>+H784-G784*E784</f>
        <v>0</v>
      </c>
    </row>
    <row r="785" spans="1:8">
      <c r="A785" s="14"/>
      <c r="B785" s="15" t="s">
        <v>2586</v>
      </c>
      <c r="C785" s="15" t="s">
        <v>5</v>
      </c>
      <c r="D785" s="16" t="s">
        <v>6</v>
      </c>
      <c r="E785" s="17" t="s">
        <v>7</v>
      </c>
      <c r="F785" s="18" t="s">
        <v>3728</v>
      </c>
      <c r="G785" s="19" t="s">
        <v>3729</v>
      </c>
      <c r="H785" s="20" t="s">
        <v>3797</v>
      </c>
    </row>
    <row r="786" spans="1:8">
      <c r="A786" s="21"/>
      <c r="B786" s="22" t="s">
        <v>3730</v>
      </c>
      <c r="C786" s="23"/>
      <c r="D786" s="24"/>
      <c r="E786" s="25"/>
      <c r="F786" s="26"/>
      <c r="G786" s="27">
        <f>SUM(G787:G791)</f>
        <v>66122.7</v>
      </c>
      <c r="H786" s="27">
        <f>IFERROR(G786*E784,"")</f>
        <v>0</v>
      </c>
    </row>
    <row r="787" spans="1:8">
      <c r="A787" s="28"/>
      <c r="B787" s="29" t="s">
        <v>3319</v>
      </c>
      <c r="C787" s="30" t="str">
        <f>IFERROR(_xlfn.XLOOKUP(B787,Insumo[DESCRIPCION],Insumo[UND],,0),"")</f>
        <v>Un</v>
      </c>
      <c r="D787" s="31">
        <v>1</v>
      </c>
      <c r="E787" s="32">
        <f>IFERROR(_xlfn.XLOOKUP($B787,Insumo[DESCRIPCION],Insumo[VALOR],,0),"")</f>
        <v>66122.7</v>
      </c>
      <c r="F787" s="33"/>
      <c r="G787" s="34">
        <f>IFERROR(IF(F787&gt;=0,D787*E787*(1+F787/100),ABS(D787*E787/F787)),"")</f>
        <v>66122.7</v>
      </c>
      <c r="H787" s="43">
        <f>IFERROR(G787*E784,"")</f>
        <v>0</v>
      </c>
    </row>
    <row r="788" spans="1:8">
      <c r="A788" s="28"/>
      <c r="B788" s="29"/>
      <c r="C788" s="30" t="str">
        <f>IFERROR(_xlfn.XLOOKUP(B788,Insumo[DESCRIPCION],Insumo[UND],,0),"")</f>
        <v/>
      </c>
      <c r="D788" s="31"/>
      <c r="E788" s="32" t="str">
        <f>IFERROR(_xlfn.XLOOKUP($B788,Insumo[DESCRIPCION],Insumo[VALOR],,0),"")</f>
        <v/>
      </c>
      <c r="F788" s="33"/>
      <c r="G788" s="34" t="str">
        <f>IFERROR(IF(F788&gt;=0,D788*E788*(1+F788/100),ABS(D788*E788/F788)),"")</f>
        <v/>
      </c>
      <c r="H788" s="43" t="str">
        <f>IFERROR(G788*E784,"")</f>
        <v/>
      </c>
    </row>
    <row r="789" spans="1:8">
      <c r="A789" s="28"/>
      <c r="B789" s="29"/>
      <c r="C789" s="30" t="str">
        <f>IFERROR(_xlfn.XLOOKUP(B789,Insumo[DESCRIPCION],Insumo[UND],,0),"")</f>
        <v/>
      </c>
      <c r="D789" s="31"/>
      <c r="E789" s="32" t="str">
        <f>IFERROR(_xlfn.XLOOKUP($B789,Insumo[DESCRIPCION],Insumo[VALOR],,0),"")</f>
        <v/>
      </c>
      <c r="F789" s="33"/>
      <c r="G789" s="34" t="str">
        <f>IFERROR(IF(F789&gt;=0,D789*E789*(1+F789/100),ABS(D789*E789/F789)),"")</f>
        <v/>
      </c>
      <c r="H789" s="43" t="str">
        <f>IFERROR(G789*E784,"")</f>
        <v/>
      </c>
    </row>
    <row r="790" spans="1:8">
      <c r="A790" s="28"/>
      <c r="B790" s="29"/>
      <c r="C790" s="30" t="str">
        <f>IFERROR(_xlfn.XLOOKUP(B790,Insumo[DESCRIPCION],Insumo[UND],,0),"")</f>
        <v/>
      </c>
      <c r="D790" s="31"/>
      <c r="E790" s="32" t="str">
        <f>IFERROR(_xlfn.XLOOKUP($B790,Insumo[DESCRIPCION],Insumo[VALOR],,0),"")</f>
        <v/>
      </c>
      <c r="F790" s="33"/>
      <c r="G790" s="34" t="str">
        <f>IFERROR(IF(F790&gt;=0,D790*E790*(1+F790/100),ABS(D790*E790/F790)),"")</f>
        <v/>
      </c>
      <c r="H790" s="43" t="str">
        <f>IFERROR(G790*E784,"")</f>
        <v/>
      </c>
    </row>
    <row r="791" spans="1:8">
      <c r="A791" s="28"/>
      <c r="B791" s="29"/>
      <c r="C791" s="30" t="str">
        <f>IFERROR(_xlfn.XLOOKUP(B791,Insumo[DESCRIPCION],Insumo[UND],,0),"")</f>
        <v/>
      </c>
      <c r="D791" s="31"/>
      <c r="E791" s="32" t="str">
        <f>IFERROR(_xlfn.XLOOKUP($B791,Insumo[DESCRIPCION],Insumo[VALOR],,0),"")</f>
        <v/>
      </c>
      <c r="F791" s="33"/>
      <c r="G791" s="34" t="str">
        <f>IFERROR(IF(F791&gt;=0,D791*E791*(1+F791/100),ABS(D791*E791/F791)),"")</f>
        <v/>
      </c>
      <c r="H791" s="43" t="str">
        <f>IFERROR(G791*E784,"")</f>
        <v/>
      </c>
    </row>
    <row r="792" spans="1:8">
      <c r="A792" s="21"/>
      <c r="B792" s="22" t="s">
        <v>3731</v>
      </c>
      <c r="C792" s="23"/>
      <c r="D792" s="24"/>
      <c r="E792" s="25"/>
      <c r="F792" s="26"/>
      <c r="G792" s="27">
        <f>SUM(G793:G795)</f>
        <v>4320.8537544750006</v>
      </c>
      <c r="H792" s="44">
        <f>G792*E784</f>
        <v>0</v>
      </c>
    </row>
    <row r="793" spans="1:8">
      <c r="A793" s="28"/>
      <c r="B793" s="29" t="s">
        <v>3642</v>
      </c>
      <c r="C793" s="30" t="str">
        <f>IFERROR(_xlfn.XLOOKUP(B793,Equipo[DESCRIPCION],Equipo[UND],,0),"")</f>
        <v>Día</v>
      </c>
      <c r="D793" s="31">
        <v>1</v>
      </c>
      <c r="E793" s="32">
        <f>IF(C793="%MO",G799,IFERROR(_xlfn.XLOOKUP($B793,Equipo[DESCRIPCION],Equipo[VALOR],,0),""))</f>
        <v>54978</v>
      </c>
      <c r="F793" s="33">
        <v>-20</v>
      </c>
      <c r="G793" s="34">
        <f>IFERROR(IF(F793&gt;=0,D793*E793*(1+F793/100),ABS(D793*E793/F793)),"")</f>
        <v>2748.9</v>
      </c>
      <c r="H793" s="43">
        <f>IFERROR(G793*E784,"")</f>
        <v>0</v>
      </c>
    </row>
    <row r="794" spans="1:8">
      <c r="A794" s="28"/>
      <c r="B794" s="29" t="s">
        <v>3626</v>
      </c>
      <c r="C794" s="30" t="str">
        <f>IFERROR(_xlfn.XLOOKUP(B794,Equipo[DESCRIPCION],Equipo[UND],,0),"")</f>
        <v>%MO</v>
      </c>
      <c r="D794" s="31">
        <v>0.05</v>
      </c>
      <c r="E794" s="32">
        <f>IF(C794="%MO",G799,IFERROR(_xlfn.XLOOKUP($B794,Equipo[DESCRIPCION],Equipo[VALOR],,0),""))</f>
        <v>31439.075089500006</v>
      </c>
      <c r="F794" s="33"/>
      <c r="G794" s="34">
        <f>IFERROR(IF(F794&gt;=0,D794*E794*(1+F794/100),ABS(D794*E794/F794)),"")</f>
        <v>1571.9537544750003</v>
      </c>
      <c r="H794" s="43">
        <f>IFERROR(G794*E784,"")</f>
        <v>0</v>
      </c>
    </row>
    <row r="795" spans="1:8">
      <c r="A795" s="28"/>
      <c r="B795" s="29"/>
      <c r="C795" s="30" t="str">
        <f>IFERROR(_xlfn.XLOOKUP(B795,Equipo[DESCRIPCION],Equipo[UND],,0),"")</f>
        <v/>
      </c>
      <c r="D795" s="31"/>
      <c r="E795" s="32" t="str">
        <f>IF(C795="%MO",G801,IFERROR(_xlfn.XLOOKUP($B795,Equipo[DESCRIPCION],Equipo[VALOR],,0),""))</f>
        <v/>
      </c>
      <c r="F795" s="33"/>
      <c r="G795" s="34" t="str">
        <f>IFERROR(IF(F795&gt;=0,D795*E795*(1+F795/100),ABS(D795*E795/F795)),"")</f>
        <v/>
      </c>
      <c r="H795" s="43" t="str">
        <f>IFERROR(G795*E784,"")</f>
        <v/>
      </c>
    </row>
    <row r="796" spans="1:8">
      <c r="A796" s="21"/>
      <c r="B796" s="22" t="s">
        <v>2533</v>
      </c>
      <c r="C796" s="23"/>
      <c r="D796" s="24"/>
      <c r="E796" s="25"/>
      <c r="F796" s="26"/>
      <c r="G796" s="27">
        <f>SUM(G797:G798)</f>
        <v>0</v>
      </c>
      <c r="H796" s="44">
        <f>G796*E784</f>
        <v>0</v>
      </c>
    </row>
    <row r="797" spans="1:8">
      <c r="A797" s="28"/>
      <c r="B797" s="29"/>
      <c r="C797" s="30" t="str">
        <f>IFERROR(_xlfn.XLOOKUP(B797,Transporte[DESCRIPCION],Transporte[UND],,0),"")</f>
        <v/>
      </c>
      <c r="D797" s="31"/>
      <c r="E797" s="32" t="str">
        <f>IFERROR(_xlfn.XLOOKUP($B797,Transporte[DESCRIPCION],Transporte[VALOR],,0),"")</f>
        <v/>
      </c>
      <c r="F797" s="33"/>
      <c r="G797" s="34" t="str">
        <f>IFERROR(IF(F797&gt;=0,D797*E797*(1+F797/100),ABS(D797*E797/F797)),"")</f>
        <v/>
      </c>
      <c r="H797" s="43" t="str">
        <f>IFERROR(G797*E784,"")</f>
        <v/>
      </c>
    </row>
    <row r="798" spans="1:8">
      <c r="A798" s="28"/>
      <c r="B798" s="29"/>
      <c r="C798" s="30" t="str">
        <f>IFERROR(_xlfn.XLOOKUP(B798,Transporte[DESCRIPCION],Transporte[UND],,0),"")</f>
        <v/>
      </c>
      <c r="D798" s="31"/>
      <c r="E798" s="32" t="str">
        <f>IFERROR(_xlfn.XLOOKUP($B798,Transporte[DESCRIPCION],Transporte[VALOR],,0),"")</f>
        <v/>
      </c>
      <c r="F798" s="33"/>
      <c r="G798" s="34" t="str">
        <f>IFERROR(IF(F798&gt;=0,D798*E798*(1+F798/100),ABS(D798*E798/F798)),"")</f>
        <v/>
      </c>
      <c r="H798" s="43" t="str">
        <f>IFERROR(G798*E784,"")</f>
        <v/>
      </c>
    </row>
    <row r="799" spans="1:8">
      <c r="A799" s="21"/>
      <c r="B799" s="22" t="s">
        <v>3732</v>
      </c>
      <c r="C799" s="23"/>
      <c r="D799" s="24"/>
      <c r="E799" s="25"/>
      <c r="F799" s="26"/>
      <c r="G799" s="27">
        <f>SUM(G800:G802)</f>
        <v>31439.075089500006</v>
      </c>
      <c r="H799" s="44">
        <f>G799*E784</f>
        <v>0</v>
      </c>
    </row>
    <row r="800" spans="1:8">
      <c r="A800" s="28"/>
      <c r="B800" s="29" t="s">
        <v>3710</v>
      </c>
      <c r="C800" s="30" t="str">
        <f>IFERROR(_xlfn.XLOOKUP(B800,MObra[DESCRIPCION],MObra[UN],,0),"")</f>
        <v>día</v>
      </c>
      <c r="D800" s="31">
        <v>1</v>
      </c>
      <c r="E800" s="32">
        <f>IFERROR(_xlfn.XLOOKUP($B800,MObra[DESCRIPCION],MObra[VALOR UNIT],,0),"")</f>
        <v>314390.75089500006</v>
      </c>
      <c r="F800" s="33">
        <v>-10</v>
      </c>
      <c r="G800" s="34">
        <f>IFERROR(IF(F800&gt;=0,D800*E800*(1+F800/100),ABS(D800*E800/F800)),"")</f>
        <v>31439.075089500006</v>
      </c>
      <c r="H800" s="43">
        <f>IFERROR(G800*E784,"")</f>
        <v>0</v>
      </c>
    </row>
    <row r="801" spans="1:11">
      <c r="A801" s="28"/>
      <c r="B801" s="29"/>
      <c r="C801" s="30" t="str">
        <f>IFERROR(_xlfn.XLOOKUP(B801,MObra[DESCRIPCION],MObra[UN],,0),"")</f>
        <v/>
      </c>
      <c r="D801" s="31"/>
      <c r="E801" s="32" t="str">
        <f>IFERROR(_xlfn.XLOOKUP($B801,MObra[DESCRIPCION],MObra[VALOR UNIT],,0),"")</f>
        <v/>
      </c>
      <c r="F801" s="33"/>
      <c r="G801" s="34" t="str">
        <f>IFERROR(IF(F801&gt;=0,D801*E801*(1+F801/100),ABS(D801*E801/F801)),"")</f>
        <v/>
      </c>
      <c r="H801" s="43" t="str">
        <f>IFERROR(G801*E784,"")</f>
        <v/>
      </c>
    </row>
    <row r="802" spans="1:11">
      <c r="A802" s="35"/>
      <c r="B802" s="36"/>
      <c r="C802" s="37" t="str">
        <f>IFERROR(_xlfn.XLOOKUP(B802,MObra[DESCRIPCION],MObra[UN],,0),"")</f>
        <v/>
      </c>
      <c r="D802" s="38"/>
      <c r="E802" s="39" t="str">
        <f>IFERROR(_xlfn.XLOOKUP($B802,MObra[DESCRIPCION],MObra[VALOR UNIT],,0),"")</f>
        <v/>
      </c>
      <c r="F802" s="40"/>
      <c r="G802" s="41" t="str">
        <f>IFERROR(IF(F802&gt;=0,D802*E802*(1+F802/100),ABS(D802*E802/F802)),"")</f>
        <v/>
      </c>
      <c r="H802" s="42" t="str">
        <f>IFERROR(G802*E784,"")</f>
        <v/>
      </c>
    </row>
    <row r="804" spans="1:11">
      <c r="A804" s="6" t="s">
        <v>2118</v>
      </c>
      <c r="B804" s="7" t="str">
        <f>VLOOKUP($A804,Presupuesto!$A:$D,2,FALSE())</f>
        <v>Silla Yee PVC Novafort 160x250</v>
      </c>
      <c r="C804" s="8" t="str">
        <f>VLOOKUP($A804,Presupuesto!$A:$D,3,FALSE())</f>
        <v>Un</v>
      </c>
      <c r="D804" s="9"/>
      <c r="E804" s="10">
        <f>VLOOKUP($A804,Presupuesto!$A:$D,4,FALSE())</f>
        <v>0</v>
      </c>
      <c r="F804" s="11" t="s">
        <v>2589</v>
      </c>
      <c r="G804" s="12">
        <f>SUM(G806:G822)/2</f>
        <v>101882.62884397499</v>
      </c>
      <c r="H804" s="13">
        <f>ROUND(SUM(H806:H822),0)/2</f>
        <v>0</v>
      </c>
      <c r="I804" s="10">
        <f>VLOOKUP(A804,Presupuesto!$A:$F,6,0)</f>
        <v>0</v>
      </c>
      <c r="J804" s="10">
        <f>+H804-I804</f>
        <v>0</v>
      </c>
      <c r="K804" s="46">
        <f>+H804-G804*E804</f>
        <v>0</v>
      </c>
    </row>
    <row r="805" spans="1:11">
      <c r="A805" s="14"/>
      <c r="B805" s="15" t="s">
        <v>2586</v>
      </c>
      <c r="C805" s="15" t="s">
        <v>5</v>
      </c>
      <c r="D805" s="16" t="s">
        <v>6</v>
      </c>
      <c r="E805" s="17" t="s">
        <v>7</v>
      </c>
      <c r="F805" s="18" t="s">
        <v>3728</v>
      </c>
      <c r="G805" s="19" t="s">
        <v>3729</v>
      </c>
      <c r="H805" s="20" t="s">
        <v>3797</v>
      </c>
    </row>
    <row r="806" spans="1:11">
      <c r="A806" s="21"/>
      <c r="B806" s="22" t="s">
        <v>3730</v>
      </c>
      <c r="C806" s="23"/>
      <c r="D806" s="24"/>
      <c r="E806" s="25"/>
      <c r="F806" s="26"/>
      <c r="G806" s="27">
        <f>SUM(G807:G811)</f>
        <v>66122.7</v>
      </c>
      <c r="H806" s="27">
        <f>IFERROR(G806*E804,"")</f>
        <v>0</v>
      </c>
    </row>
    <row r="807" spans="1:11">
      <c r="A807" s="28"/>
      <c r="B807" s="29" t="s">
        <v>3320</v>
      </c>
      <c r="C807" s="30" t="str">
        <f>IFERROR(_xlfn.XLOOKUP(B807,Insumo[DESCRIPCION],Insumo[UND],,0),"")</f>
        <v>Un</v>
      </c>
      <c r="D807" s="31">
        <v>1</v>
      </c>
      <c r="E807" s="32">
        <f>IFERROR(_xlfn.XLOOKUP($B807,Insumo[DESCRIPCION],Insumo[VALOR],,0),"")</f>
        <v>66122.7</v>
      </c>
      <c r="F807" s="33"/>
      <c r="G807" s="34">
        <f>IFERROR(IF(F807&gt;=0,D807*E807*(1+F807/100),ABS(D807*E807/F807)),"")</f>
        <v>66122.7</v>
      </c>
      <c r="H807" s="43">
        <f>IFERROR(G807*E804,"")</f>
        <v>0</v>
      </c>
    </row>
    <row r="808" spans="1:11">
      <c r="A808" s="28"/>
      <c r="B808" s="29"/>
      <c r="C808" s="30" t="str">
        <f>IFERROR(_xlfn.XLOOKUP(B808,Insumo[DESCRIPCION],Insumo[UND],,0),"")</f>
        <v/>
      </c>
      <c r="D808" s="31"/>
      <c r="E808" s="32" t="str">
        <f>IFERROR(_xlfn.XLOOKUP($B808,Insumo[DESCRIPCION],Insumo[VALOR],,0),"")</f>
        <v/>
      </c>
      <c r="F808" s="33"/>
      <c r="G808" s="34" t="str">
        <f>IFERROR(IF(F808&gt;=0,D808*E808*(1+F808/100),ABS(D808*E808/F808)),"")</f>
        <v/>
      </c>
      <c r="H808" s="43" t="str">
        <f>IFERROR(G808*E804,"")</f>
        <v/>
      </c>
    </row>
    <row r="809" spans="1:11">
      <c r="A809" s="28"/>
      <c r="B809" s="29"/>
      <c r="C809" s="30" t="str">
        <f>IFERROR(_xlfn.XLOOKUP(B809,Insumo[DESCRIPCION],Insumo[UND],,0),"")</f>
        <v/>
      </c>
      <c r="D809" s="31"/>
      <c r="E809" s="32" t="str">
        <f>IFERROR(_xlfn.XLOOKUP($B809,Insumo[DESCRIPCION],Insumo[VALOR],,0),"")</f>
        <v/>
      </c>
      <c r="F809" s="33"/>
      <c r="G809" s="34" t="str">
        <f>IFERROR(IF(F809&gt;=0,D809*E809*(1+F809/100),ABS(D809*E809/F809)),"")</f>
        <v/>
      </c>
      <c r="H809" s="43" t="str">
        <f>IFERROR(G809*E804,"")</f>
        <v/>
      </c>
    </row>
    <row r="810" spans="1:11">
      <c r="A810" s="28"/>
      <c r="B810" s="29"/>
      <c r="C810" s="30" t="str">
        <f>IFERROR(_xlfn.XLOOKUP(B810,Insumo[DESCRIPCION],Insumo[UND],,0),"")</f>
        <v/>
      </c>
      <c r="D810" s="31"/>
      <c r="E810" s="32" t="str">
        <f>IFERROR(_xlfn.XLOOKUP($B810,Insumo[DESCRIPCION],Insumo[VALOR],,0),"")</f>
        <v/>
      </c>
      <c r="F810" s="33"/>
      <c r="G810" s="34" t="str">
        <f>IFERROR(IF(F810&gt;=0,D810*E810*(1+F810/100),ABS(D810*E810/F810)),"")</f>
        <v/>
      </c>
      <c r="H810" s="43" t="str">
        <f>IFERROR(G810*E804,"")</f>
        <v/>
      </c>
    </row>
    <row r="811" spans="1:11">
      <c r="A811" s="28"/>
      <c r="B811" s="29"/>
      <c r="C811" s="30" t="str">
        <f>IFERROR(_xlfn.XLOOKUP(B811,Insumo[DESCRIPCION],Insumo[UND],,0),"")</f>
        <v/>
      </c>
      <c r="D811" s="31"/>
      <c r="E811" s="32" t="str">
        <f>IFERROR(_xlfn.XLOOKUP($B811,Insumo[DESCRIPCION],Insumo[VALOR],,0),"")</f>
        <v/>
      </c>
      <c r="F811" s="33"/>
      <c r="G811" s="34" t="str">
        <f>IFERROR(IF(F811&gt;=0,D811*E811*(1+F811/100),ABS(D811*E811/F811)),"")</f>
        <v/>
      </c>
      <c r="H811" s="43" t="str">
        <f>IFERROR(G811*E804,"")</f>
        <v/>
      </c>
    </row>
    <row r="812" spans="1:11">
      <c r="A812" s="21"/>
      <c r="B812" s="22" t="s">
        <v>3731</v>
      </c>
      <c r="C812" s="23"/>
      <c r="D812" s="24"/>
      <c r="E812" s="25"/>
      <c r="F812" s="26"/>
      <c r="G812" s="27">
        <f>SUM(G813:G815)</f>
        <v>4320.8537544750006</v>
      </c>
      <c r="H812" s="44">
        <f>G812*E804</f>
        <v>0</v>
      </c>
    </row>
    <row r="813" spans="1:11">
      <c r="A813" s="28"/>
      <c r="B813" s="29" t="s">
        <v>3642</v>
      </c>
      <c r="C813" s="30" t="str">
        <f>IFERROR(_xlfn.XLOOKUP(B813,Equipo[DESCRIPCION],Equipo[UND],,0),"")</f>
        <v>Día</v>
      </c>
      <c r="D813" s="31">
        <v>1</v>
      </c>
      <c r="E813" s="32">
        <f>IF(C813="%MO",G819,IFERROR(_xlfn.XLOOKUP($B813,Equipo[DESCRIPCION],Equipo[VALOR],,0),""))</f>
        <v>54978</v>
      </c>
      <c r="F813" s="33">
        <v>-20</v>
      </c>
      <c r="G813" s="34">
        <f>IFERROR(IF(F813&gt;=0,D813*E813*(1+F813/100),ABS(D813*E813/F813)),"")</f>
        <v>2748.9</v>
      </c>
      <c r="H813" s="43">
        <f>IFERROR(G813*E804,"")</f>
        <v>0</v>
      </c>
    </row>
    <row r="814" spans="1:11">
      <c r="A814" s="28"/>
      <c r="B814" s="29" t="s">
        <v>3626</v>
      </c>
      <c r="C814" s="30" t="str">
        <f>IFERROR(_xlfn.XLOOKUP(B814,Equipo[DESCRIPCION],Equipo[UND],,0),"")</f>
        <v>%MO</v>
      </c>
      <c r="D814" s="31">
        <v>0.05</v>
      </c>
      <c r="E814" s="32">
        <f>IF(C814="%MO",G819,IFERROR(_xlfn.XLOOKUP($B814,Equipo[DESCRIPCION],Equipo[VALOR],,0),""))</f>
        <v>31439.075089500006</v>
      </c>
      <c r="F814" s="33"/>
      <c r="G814" s="34">
        <f>IFERROR(IF(F814&gt;=0,D814*E814*(1+F814/100),ABS(D814*E814/F814)),"")</f>
        <v>1571.9537544750003</v>
      </c>
      <c r="H814" s="43">
        <f>IFERROR(G814*E804,"")</f>
        <v>0</v>
      </c>
    </row>
    <row r="815" spans="1:11">
      <c r="A815" s="28"/>
      <c r="B815" s="29"/>
      <c r="C815" s="30" t="str">
        <f>IFERROR(_xlfn.XLOOKUP(B815,Equipo[DESCRIPCION],Equipo[UND],,0),"")</f>
        <v/>
      </c>
      <c r="D815" s="31"/>
      <c r="E815" s="32" t="str">
        <f>IF(C815="%MO",G821,IFERROR(_xlfn.XLOOKUP($B815,Equipo[DESCRIPCION],Equipo[VALOR],,0),""))</f>
        <v/>
      </c>
      <c r="F815" s="33"/>
      <c r="G815" s="34" t="str">
        <f>IFERROR(IF(F815&gt;=0,D815*E815*(1+F815/100),ABS(D815*E815/F815)),"")</f>
        <v/>
      </c>
      <c r="H815" s="43" t="str">
        <f>IFERROR(G815*E804,"")</f>
        <v/>
      </c>
    </row>
    <row r="816" spans="1:11">
      <c r="A816" s="21"/>
      <c r="B816" s="22" t="s">
        <v>2533</v>
      </c>
      <c r="C816" s="23"/>
      <c r="D816" s="24"/>
      <c r="E816" s="25"/>
      <c r="F816" s="26"/>
      <c r="G816" s="27">
        <f>SUM(G817:G818)</f>
        <v>0</v>
      </c>
      <c r="H816" s="44">
        <f>G816*E804</f>
        <v>0</v>
      </c>
    </row>
    <row r="817" spans="1:11">
      <c r="A817" s="28"/>
      <c r="B817" s="29"/>
      <c r="C817" s="30" t="str">
        <f>IFERROR(_xlfn.XLOOKUP(B817,Transporte[DESCRIPCION],Transporte[UND],,0),"")</f>
        <v/>
      </c>
      <c r="D817" s="31"/>
      <c r="E817" s="32" t="str">
        <f>IFERROR(_xlfn.XLOOKUP($B817,Transporte[DESCRIPCION],Transporte[VALOR],,0),"")</f>
        <v/>
      </c>
      <c r="F817" s="33"/>
      <c r="G817" s="34" t="str">
        <f>IFERROR(IF(F817&gt;=0,D817*E817*(1+F817/100),ABS(D817*E817/F817)),"")</f>
        <v/>
      </c>
      <c r="H817" s="43" t="str">
        <f>IFERROR(G817*E804,"")</f>
        <v/>
      </c>
    </row>
    <row r="818" spans="1:11">
      <c r="A818" s="28"/>
      <c r="B818" s="29"/>
      <c r="C818" s="30" t="str">
        <f>IFERROR(_xlfn.XLOOKUP(B818,Transporte[DESCRIPCION],Transporte[UND],,0),"")</f>
        <v/>
      </c>
      <c r="D818" s="31"/>
      <c r="E818" s="32" t="str">
        <f>IFERROR(_xlfn.XLOOKUP($B818,Transporte[DESCRIPCION],Transporte[VALOR],,0),"")</f>
        <v/>
      </c>
      <c r="F818" s="33"/>
      <c r="G818" s="34" t="str">
        <f>IFERROR(IF(F818&gt;=0,D818*E818*(1+F818/100),ABS(D818*E818/F818)),"")</f>
        <v/>
      </c>
      <c r="H818" s="43" t="str">
        <f>IFERROR(G818*E804,"")</f>
        <v/>
      </c>
    </row>
    <row r="819" spans="1:11">
      <c r="A819" s="21"/>
      <c r="B819" s="22" t="s">
        <v>3732</v>
      </c>
      <c r="C819" s="23"/>
      <c r="D819" s="24"/>
      <c r="E819" s="25"/>
      <c r="F819" s="26"/>
      <c r="G819" s="27">
        <f>SUM(G820:G822)</f>
        <v>31439.075089500006</v>
      </c>
      <c r="H819" s="44">
        <f>G819*E804</f>
        <v>0</v>
      </c>
    </row>
    <row r="820" spans="1:11">
      <c r="A820" s="28"/>
      <c r="B820" s="29" t="s">
        <v>3710</v>
      </c>
      <c r="C820" s="30" t="str">
        <f>IFERROR(_xlfn.XLOOKUP(B820,MObra[DESCRIPCION],MObra[UN],,0),"")</f>
        <v>día</v>
      </c>
      <c r="D820" s="31">
        <v>1</v>
      </c>
      <c r="E820" s="32">
        <f>IFERROR(_xlfn.XLOOKUP($B820,MObra[DESCRIPCION],MObra[VALOR UNIT],,0),"")</f>
        <v>314390.75089500006</v>
      </c>
      <c r="F820" s="33">
        <v>-10</v>
      </c>
      <c r="G820" s="34">
        <f>IFERROR(IF(F820&gt;=0,D820*E820*(1+F820/100),ABS(D820*E820/F820)),"")</f>
        <v>31439.075089500006</v>
      </c>
      <c r="H820" s="43">
        <f>IFERROR(G820*E804,"")</f>
        <v>0</v>
      </c>
    </row>
    <row r="821" spans="1:11">
      <c r="A821" s="28"/>
      <c r="B821" s="29"/>
      <c r="C821" s="30" t="str">
        <f>IFERROR(_xlfn.XLOOKUP(B821,MObra[DESCRIPCION],MObra[UN],,0),"")</f>
        <v/>
      </c>
      <c r="D821" s="31"/>
      <c r="E821" s="32" t="str">
        <f>IFERROR(_xlfn.XLOOKUP($B821,MObra[DESCRIPCION],MObra[VALOR UNIT],,0),"")</f>
        <v/>
      </c>
      <c r="F821" s="33"/>
      <c r="G821" s="34" t="str">
        <f>IFERROR(IF(F821&gt;=0,D821*E821*(1+F821/100),ABS(D821*E821/F821)),"")</f>
        <v/>
      </c>
      <c r="H821" s="43" t="str">
        <f>IFERROR(G821*E804,"")</f>
        <v/>
      </c>
    </row>
    <row r="822" spans="1:11">
      <c r="A822" s="35"/>
      <c r="B822" s="36"/>
      <c r="C822" s="37" t="str">
        <f>IFERROR(_xlfn.XLOOKUP(B822,MObra[DESCRIPCION],MObra[UN],,0),"")</f>
        <v/>
      </c>
      <c r="D822" s="38"/>
      <c r="E822" s="39" t="str">
        <f>IFERROR(_xlfn.XLOOKUP($B822,MObra[DESCRIPCION],MObra[VALOR UNIT],,0),"")</f>
        <v/>
      </c>
      <c r="F822" s="40"/>
      <c r="G822" s="41" t="str">
        <f>IFERROR(IF(F822&gt;=0,D822*E822*(1+F822/100),ABS(D822*E822/F822)),"")</f>
        <v/>
      </c>
      <c r="H822" s="42" t="str">
        <f>IFERROR(G822*E804,"")</f>
        <v/>
      </c>
    </row>
    <row r="824" spans="1:11">
      <c r="A824" s="6" t="s">
        <v>2120</v>
      </c>
      <c r="B824" s="7" t="str">
        <f>VLOOKUP($A824,Presupuesto!$A:$D,2,FALSE())</f>
        <v>Silla Yee PVC Novafort 160x315</v>
      </c>
      <c r="C824" s="8" t="str">
        <f>VLOOKUP($A824,Presupuesto!$A:$D,3,FALSE())</f>
        <v>Un</v>
      </c>
      <c r="D824" s="9"/>
      <c r="E824" s="10">
        <f>VLOOKUP($A824,Presupuesto!$A:$D,4,FALSE())</f>
        <v>0</v>
      </c>
      <c r="F824" s="11" t="s">
        <v>2589</v>
      </c>
      <c r="G824" s="12">
        <f>SUM(G826:G842)/2</f>
        <v>101882.62884397499</v>
      </c>
      <c r="H824" s="13">
        <f>ROUND(SUM(H826:H842),0)/2</f>
        <v>0</v>
      </c>
      <c r="I824" s="10">
        <f>VLOOKUP(A824,Presupuesto!$A:$F,6,0)</f>
        <v>0</v>
      </c>
      <c r="J824" s="10">
        <f>+H824-I824</f>
        <v>0</v>
      </c>
      <c r="K824" s="46">
        <f>+H824-G824*E824</f>
        <v>0</v>
      </c>
    </row>
    <row r="825" spans="1:11">
      <c r="A825" s="14"/>
      <c r="B825" s="15" t="s">
        <v>2586</v>
      </c>
      <c r="C825" s="15" t="s">
        <v>5</v>
      </c>
      <c r="D825" s="16" t="s">
        <v>6</v>
      </c>
      <c r="E825" s="17" t="s">
        <v>7</v>
      </c>
      <c r="F825" s="18" t="s">
        <v>3728</v>
      </c>
      <c r="G825" s="19" t="s">
        <v>3729</v>
      </c>
      <c r="H825" s="20" t="s">
        <v>3797</v>
      </c>
    </row>
    <row r="826" spans="1:11">
      <c r="A826" s="21"/>
      <c r="B826" s="22" t="s">
        <v>3730</v>
      </c>
      <c r="C826" s="23"/>
      <c r="D826" s="24"/>
      <c r="E826" s="25"/>
      <c r="F826" s="26"/>
      <c r="G826" s="27">
        <f>SUM(G827:G831)</f>
        <v>66122.7</v>
      </c>
      <c r="H826" s="27">
        <f>IFERROR(G826*E824,"")</f>
        <v>0</v>
      </c>
    </row>
    <row r="827" spans="1:11">
      <c r="A827" s="28"/>
      <c r="B827" s="29" t="s">
        <v>3321</v>
      </c>
      <c r="C827" s="30" t="str">
        <f>IFERROR(_xlfn.XLOOKUP(B827,Insumo[DESCRIPCION],Insumo[UND],,0),"")</f>
        <v>Un</v>
      </c>
      <c r="D827" s="31">
        <v>1</v>
      </c>
      <c r="E827" s="32">
        <f>IFERROR(_xlfn.XLOOKUP($B827,Insumo[DESCRIPCION],Insumo[VALOR],,0),"")</f>
        <v>66122.7</v>
      </c>
      <c r="F827" s="33"/>
      <c r="G827" s="34">
        <f>IFERROR(IF(F827&gt;=0,D827*E827*(1+F827/100),ABS(D827*E827/F827)),"")</f>
        <v>66122.7</v>
      </c>
      <c r="H827" s="43">
        <f>IFERROR(G827*E824,"")</f>
        <v>0</v>
      </c>
    </row>
    <row r="828" spans="1:11">
      <c r="A828" s="28"/>
      <c r="B828" s="29"/>
      <c r="C828" s="30" t="str">
        <f>IFERROR(_xlfn.XLOOKUP(B828,Insumo[DESCRIPCION],Insumo[UND],,0),"")</f>
        <v/>
      </c>
      <c r="D828" s="31"/>
      <c r="E828" s="32" t="str">
        <f>IFERROR(_xlfn.XLOOKUP($B828,Insumo[DESCRIPCION],Insumo[VALOR],,0),"")</f>
        <v/>
      </c>
      <c r="F828" s="33"/>
      <c r="G828" s="34" t="str">
        <f>IFERROR(IF(F828&gt;=0,D828*E828*(1+F828/100),ABS(D828*E828/F828)),"")</f>
        <v/>
      </c>
      <c r="H828" s="43" t="str">
        <f>IFERROR(G828*E824,"")</f>
        <v/>
      </c>
    </row>
    <row r="829" spans="1:11">
      <c r="A829" s="28"/>
      <c r="B829" s="29"/>
      <c r="C829" s="30" t="str">
        <f>IFERROR(_xlfn.XLOOKUP(B829,Insumo[DESCRIPCION],Insumo[UND],,0),"")</f>
        <v/>
      </c>
      <c r="D829" s="31"/>
      <c r="E829" s="32" t="str">
        <f>IFERROR(_xlfn.XLOOKUP($B829,Insumo[DESCRIPCION],Insumo[VALOR],,0),"")</f>
        <v/>
      </c>
      <c r="F829" s="33"/>
      <c r="G829" s="34" t="str">
        <f>IFERROR(IF(F829&gt;=0,D829*E829*(1+F829/100),ABS(D829*E829/F829)),"")</f>
        <v/>
      </c>
      <c r="H829" s="43" t="str">
        <f>IFERROR(G829*E824,"")</f>
        <v/>
      </c>
    </row>
    <row r="830" spans="1:11">
      <c r="A830" s="28"/>
      <c r="B830" s="29"/>
      <c r="C830" s="30" t="str">
        <f>IFERROR(_xlfn.XLOOKUP(B830,Insumo[DESCRIPCION],Insumo[UND],,0),"")</f>
        <v/>
      </c>
      <c r="D830" s="31"/>
      <c r="E830" s="32" t="str">
        <f>IFERROR(_xlfn.XLOOKUP($B830,Insumo[DESCRIPCION],Insumo[VALOR],,0),"")</f>
        <v/>
      </c>
      <c r="F830" s="33"/>
      <c r="G830" s="34" t="str">
        <f>IFERROR(IF(F830&gt;=0,D830*E830*(1+F830/100),ABS(D830*E830/F830)),"")</f>
        <v/>
      </c>
      <c r="H830" s="43" t="str">
        <f>IFERROR(G830*E824,"")</f>
        <v/>
      </c>
    </row>
    <row r="831" spans="1:11">
      <c r="A831" s="28"/>
      <c r="B831" s="29"/>
      <c r="C831" s="30" t="str">
        <f>IFERROR(_xlfn.XLOOKUP(B831,Insumo[DESCRIPCION],Insumo[UND],,0),"")</f>
        <v/>
      </c>
      <c r="D831" s="31"/>
      <c r="E831" s="32" t="str">
        <f>IFERROR(_xlfn.XLOOKUP($B831,Insumo[DESCRIPCION],Insumo[VALOR],,0),"")</f>
        <v/>
      </c>
      <c r="F831" s="33"/>
      <c r="G831" s="34" t="str">
        <f>IFERROR(IF(F831&gt;=0,D831*E831*(1+F831/100),ABS(D831*E831/F831)),"")</f>
        <v/>
      </c>
      <c r="H831" s="43" t="str">
        <f>IFERROR(G831*E824,"")</f>
        <v/>
      </c>
    </row>
    <row r="832" spans="1:11">
      <c r="A832" s="21"/>
      <c r="B832" s="22" t="s">
        <v>3731</v>
      </c>
      <c r="C832" s="23"/>
      <c r="D832" s="24"/>
      <c r="E832" s="25"/>
      <c r="F832" s="26"/>
      <c r="G832" s="27">
        <f>SUM(G833:G835)</f>
        <v>4320.8537544750006</v>
      </c>
      <c r="H832" s="44">
        <f>G832*E824</f>
        <v>0</v>
      </c>
    </row>
    <row r="833" spans="1:11">
      <c r="A833" s="28"/>
      <c r="B833" s="29" t="s">
        <v>3642</v>
      </c>
      <c r="C833" s="30" t="str">
        <f>IFERROR(_xlfn.XLOOKUP(B833,Equipo[DESCRIPCION],Equipo[UND],,0),"")</f>
        <v>Día</v>
      </c>
      <c r="D833" s="31">
        <v>1</v>
      </c>
      <c r="E833" s="32">
        <f>IF(C833="%MO",G839,IFERROR(_xlfn.XLOOKUP($B833,Equipo[DESCRIPCION],Equipo[VALOR],,0),""))</f>
        <v>54978</v>
      </c>
      <c r="F833" s="33">
        <v>-20</v>
      </c>
      <c r="G833" s="34">
        <f>IFERROR(IF(F833&gt;=0,D833*E833*(1+F833/100),ABS(D833*E833/F833)),"")</f>
        <v>2748.9</v>
      </c>
      <c r="H833" s="43">
        <f>IFERROR(G833*E824,"")</f>
        <v>0</v>
      </c>
    </row>
    <row r="834" spans="1:11">
      <c r="A834" s="28"/>
      <c r="B834" s="29" t="s">
        <v>3626</v>
      </c>
      <c r="C834" s="30" t="str">
        <f>IFERROR(_xlfn.XLOOKUP(B834,Equipo[DESCRIPCION],Equipo[UND],,0),"")</f>
        <v>%MO</v>
      </c>
      <c r="D834" s="31">
        <v>0.05</v>
      </c>
      <c r="E834" s="32">
        <f>IF(C834="%MO",G839,IFERROR(_xlfn.XLOOKUP($B834,Equipo[DESCRIPCION],Equipo[VALOR],,0),""))</f>
        <v>31439.075089500006</v>
      </c>
      <c r="F834" s="33"/>
      <c r="G834" s="34">
        <f>IFERROR(IF(F834&gt;=0,D834*E834*(1+F834/100),ABS(D834*E834/F834)),"")</f>
        <v>1571.9537544750003</v>
      </c>
      <c r="H834" s="43">
        <f>IFERROR(G834*E824,"")</f>
        <v>0</v>
      </c>
    </row>
    <row r="835" spans="1:11">
      <c r="A835" s="28"/>
      <c r="B835" s="29"/>
      <c r="C835" s="30" t="str">
        <f>IFERROR(_xlfn.XLOOKUP(B835,Equipo[DESCRIPCION],Equipo[UND],,0),"")</f>
        <v/>
      </c>
      <c r="D835" s="31"/>
      <c r="E835" s="32" t="str">
        <f>IF(C835="%MO",G841,IFERROR(_xlfn.XLOOKUP($B835,Equipo[DESCRIPCION],Equipo[VALOR],,0),""))</f>
        <v/>
      </c>
      <c r="F835" s="33"/>
      <c r="G835" s="34" t="str">
        <f>IFERROR(IF(F835&gt;=0,D835*E835*(1+F835/100),ABS(D835*E835/F835)),"")</f>
        <v/>
      </c>
      <c r="H835" s="43" t="str">
        <f>IFERROR(G835*E824,"")</f>
        <v/>
      </c>
    </row>
    <row r="836" spans="1:11">
      <c r="A836" s="21"/>
      <c r="B836" s="22" t="s">
        <v>2533</v>
      </c>
      <c r="C836" s="23"/>
      <c r="D836" s="24"/>
      <c r="E836" s="25"/>
      <c r="F836" s="26"/>
      <c r="G836" s="27">
        <f>SUM(G837:G838)</f>
        <v>0</v>
      </c>
      <c r="H836" s="44">
        <f>G836*E824</f>
        <v>0</v>
      </c>
    </row>
    <row r="837" spans="1:11">
      <c r="A837" s="28"/>
      <c r="B837" s="29"/>
      <c r="C837" s="30" t="str">
        <f>IFERROR(_xlfn.XLOOKUP(B837,Transporte[DESCRIPCION],Transporte[UND],,0),"")</f>
        <v/>
      </c>
      <c r="D837" s="31"/>
      <c r="E837" s="32" t="str">
        <f>IFERROR(_xlfn.XLOOKUP($B837,Transporte[DESCRIPCION],Transporte[VALOR],,0),"")</f>
        <v/>
      </c>
      <c r="F837" s="33"/>
      <c r="G837" s="34" t="str">
        <f>IFERROR(IF(F837&gt;=0,D837*E837*(1+F837/100),ABS(D837*E837/F837)),"")</f>
        <v/>
      </c>
      <c r="H837" s="43" t="str">
        <f>IFERROR(G837*E824,"")</f>
        <v/>
      </c>
    </row>
    <row r="838" spans="1:11">
      <c r="A838" s="28"/>
      <c r="B838" s="29"/>
      <c r="C838" s="30" t="str">
        <f>IFERROR(_xlfn.XLOOKUP(B838,Transporte[DESCRIPCION],Transporte[UND],,0),"")</f>
        <v/>
      </c>
      <c r="D838" s="31"/>
      <c r="E838" s="32" t="str">
        <f>IFERROR(_xlfn.XLOOKUP($B838,Transporte[DESCRIPCION],Transporte[VALOR],,0),"")</f>
        <v/>
      </c>
      <c r="F838" s="33"/>
      <c r="G838" s="34" t="str">
        <f>IFERROR(IF(F838&gt;=0,D838*E838*(1+F838/100),ABS(D838*E838/F838)),"")</f>
        <v/>
      </c>
      <c r="H838" s="43" t="str">
        <f>IFERROR(G838*E824,"")</f>
        <v/>
      </c>
    </row>
    <row r="839" spans="1:11">
      <c r="A839" s="21"/>
      <c r="B839" s="22" t="s">
        <v>3732</v>
      </c>
      <c r="C839" s="23"/>
      <c r="D839" s="24"/>
      <c r="E839" s="25"/>
      <c r="F839" s="26"/>
      <c r="G839" s="27">
        <f>SUM(G840:G842)</f>
        <v>31439.075089500006</v>
      </c>
      <c r="H839" s="44">
        <f>G839*E824</f>
        <v>0</v>
      </c>
    </row>
    <row r="840" spans="1:11">
      <c r="A840" s="28"/>
      <c r="B840" s="29" t="s">
        <v>3710</v>
      </c>
      <c r="C840" s="30" t="str">
        <f>IFERROR(_xlfn.XLOOKUP(B840,MObra[DESCRIPCION],MObra[UN],,0),"")</f>
        <v>día</v>
      </c>
      <c r="D840" s="31">
        <v>1</v>
      </c>
      <c r="E840" s="32">
        <f>IFERROR(_xlfn.XLOOKUP($B840,MObra[DESCRIPCION],MObra[VALOR UNIT],,0),"")</f>
        <v>314390.75089500006</v>
      </c>
      <c r="F840" s="33">
        <v>-10</v>
      </c>
      <c r="G840" s="34">
        <f>IFERROR(IF(F840&gt;=0,D840*E840*(1+F840/100),ABS(D840*E840/F840)),"")</f>
        <v>31439.075089500006</v>
      </c>
      <c r="H840" s="43">
        <f>IFERROR(G840*E824,"")</f>
        <v>0</v>
      </c>
    </row>
    <row r="841" spans="1:11">
      <c r="A841" s="28"/>
      <c r="B841" s="29"/>
      <c r="C841" s="30" t="str">
        <f>IFERROR(_xlfn.XLOOKUP(B841,MObra[DESCRIPCION],MObra[UN],,0),"")</f>
        <v/>
      </c>
      <c r="D841" s="31"/>
      <c r="E841" s="32" t="str">
        <f>IFERROR(_xlfn.XLOOKUP($B841,MObra[DESCRIPCION],MObra[VALOR UNIT],,0),"")</f>
        <v/>
      </c>
      <c r="F841" s="33"/>
      <c r="G841" s="34" t="str">
        <f>IFERROR(IF(F841&gt;=0,D841*E841*(1+F841/100),ABS(D841*E841/F841)),"")</f>
        <v/>
      </c>
      <c r="H841" s="43" t="str">
        <f>IFERROR(G841*E824,"")</f>
        <v/>
      </c>
    </row>
    <row r="842" spans="1:11">
      <c r="A842" s="35"/>
      <c r="B842" s="36"/>
      <c r="C842" s="37" t="str">
        <f>IFERROR(_xlfn.XLOOKUP(B842,MObra[DESCRIPCION],MObra[UN],,0),"")</f>
        <v/>
      </c>
      <c r="D842" s="38"/>
      <c r="E842" s="39" t="str">
        <f>IFERROR(_xlfn.XLOOKUP($B842,MObra[DESCRIPCION],MObra[VALOR UNIT],,0),"")</f>
        <v/>
      </c>
      <c r="F842" s="40"/>
      <c r="G842" s="41" t="str">
        <f>IFERROR(IF(F842&gt;=0,D842*E842*(1+F842/100),ABS(D842*E842/F842)),"")</f>
        <v/>
      </c>
      <c r="H842" s="42" t="str">
        <f>IFERROR(G842*E824,"")</f>
        <v/>
      </c>
    </row>
    <row r="844" spans="1:11">
      <c r="A844" s="6" t="s">
        <v>2122</v>
      </c>
      <c r="B844" s="7" t="str">
        <f>VLOOKUP($A844,Presupuesto!$A:$D,2,FALSE())</f>
        <v>Silla Yee PVC Novafort 160x400</v>
      </c>
      <c r="C844" s="8" t="str">
        <f>VLOOKUP($A844,Presupuesto!$A:$D,3,FALSE())</f>
        <v>Un</v>
      </c>
      <c r="D844" s="9"/>
      <c r="E844" s="10">
        <f>VLOOKUP($A844,Presupuesto!$A:$D,4,FALSE())</f>
        <v>0</v>
      </c>
      <c r="F844" s="11" t="s">
        <v>2589</v>
      </c>
      <c r="G844" s="12">
        <f>SUM(G846:G862)/2</f>
        <v>101882.62884397499</v>
      </c>
      <c r="H844" s="13">
        <f>ROUND(SUM(H846:H862),0)/2</f>
        <v>0</v>
      </c>
      <c r="I844" s="10">
        <f>VLOOKUP(A844,Presupuesto!$A:$F,6,0)</f>
        <v>0</v>
      </c>
      <c r="J844" s="10">
        <f>+H844-I844</f>
        <v>0</v>
      </c>
      <c r="K844" s="46">
        <f>+H844-G844*E844</f>
        <v>0</v>
      </c>
    </row>
    <row r="845" spans="1:11">
      <c r="A845" s="14"/>
      <c r="B845" s="15" t="s">
        <v>2586</v>
      </c>
      <c r="C845" s="15" t="s">
        <v>5</v>
      </c>
      <c r="D845" s="16" t="s">
        <v>6</v>
      </c>
      <c r="E845" s="17" t="s">
        <v>7</v>
      </c>
      <c r="F845" s="18" t="s">
        <v>3728</v>
      </c>
      <c r="G845" s="19" t="s">
        <v>3729</v>
      </c>
      <c r="H845" s="20" t="s">
        <v>3797</v>
      </c>
    </row>
    <row r="846" spans="1:11">
      <c r="A846" s="21"/>
      <c r="B846" s="22" t="s">
        <v>3730</v>
      </c>
      <c r="C846" s="23"/>
      <c r="D846" s="24"/>
      <c r="E846" s="25"/>
      <c r="F846" s="26"/>
      <c r="G846" s="27">
        <f>SUM(G847:G851)</f>
        <v>66122.7</v>
      </c>
      <c r="H846" s="27">
        <f>IFERROR(G846*E844,"")</f>
        <v>0</v>
      </c>
    </row>
    <row r="847" spans="1:11">
      <c r="A847" s="28"/>
      <c r="B847" s="29" t="s">
        <v>3322</v>
      </c>
      <c r="C847" s="30" t="str">
        <f>IFERROR(_xlfn.XLOOKUP(B847,Insumo[DESCRIPCION],Insumo[UND],,0),"")</f>
        <v>Un</v>
      </c>
      <c r="D847" s="31">
        <v>1</v>
      </c>
      <c r="E847" s="32">
        <f>IFERROR(_xlfn.XLOOKUP($B847,Insumo[DESCRIPCION],Insumo[VALOR],,0),"")</f>
        <v>66122.7</v>
      </c>
      <c r="F847" s="33"/>
      <c r="G847" s="34">
        <f>IFERROR(IF(F847&gt;=0,D847*E847*(1+F847/100),ABS(D847*E847/F847)),"")</f>
        <v>66122.7</v>
      </c>
      <c r="H847" s="43">
        <f>IFERROR(G847*E844,"")</f>
        <v>0</v>
      </c>
    </row>
    <row r="848" spans="1:11">
      <c r="A848" s="28"/>
      <c r="B848" s="29"/>
      <c r="C848" s="30" t="str">
        <f>IFERROR(_xlfn.XLOOKUP(B848,Insumo[DESCRIPCION],Insumo[UND],,0),"")</f>
        <v/>
      </c>
      <c r="D848" s="31"/>
      <c r="E848" s="32" t="str">
        <f>IFERROR(_xlfn.XLOOKUP($B848,Insumo[DESCRIPCION],Insumo[VALOR],,0),"")</f>
        <v/>
      </c>
      <c r="F848" s="33"/>
      <c r="G848" s="34" t="str">
        <f>IFERROR(IF(F848&gt;=0,D848*E848*(1+F848/100),ABS(D848*E848/F848)),"")</f>
        <v/>
      </c>
      <c r="H848" s="43" t="str">
        <f>IFERROR(G848*E844,"")</f>
        <v/>
      </c>
    </row>
    <row r="849" spans="1:11">
      <c r="A849" s="28"/>
      <c r="B849" s="29"/>
      <c r="C849" s="30" t="str">
        <f>IFERROR(_xlfn.XLOOKUP(B849,Insumo[DESCRIPCION],Insumo[UND],,0),"")</f>
        <v/>
      </c>
      <c r="D849" s="31"/>
      <c r="E849" s="32" t="str">
        <f>IFERROR(_xlfn.XLOOKUP($B849,Insumo[DESCRIPCION],Insumo[VALOR],,0),"")</f>
        <v/>
      </c>
      <c r="F849" s="33"/>
      <c r="G849" s="34" t="str">
        <f>IFERROR(IF(F849&gt;=0,D849*E849*(1+F849/100),ABS(D849*E849/F849)),"")</f>
        <v/>
      </c>
      <c r="H849" s="43" t="str">
        <f>IFERROR(G849*E844,"")</f>
        <v/>
      </c>
    </row>
    <row r="850" spans="1:11">
      <c r="A850" s="28"/>
      <c r="B850" s="29"/>
      <c r="C850" s="30" t="str">
        <f>IFERROR(_xlfn.XLOOKUP(B850,Insumo[DESCRIPCION],Insumo[UND],,0),"")</f>
        <v/>
      </c>
      <c r="D850" s="31"/>
      <c r="E850" s="32" t="str">
        <f>IFERROR(_xlfn.XLOOKUP($B850,Insumo[DESCRIPCION],Insumo[VALOR],,0),"")</f>
        <v/>
      </c>
      <c r="F850" s="33"/>
      <c r="G850" s="34" t="str">
        <f>IFERROR(IF(F850&gt;=0,D850*E850*(1+F850/100),ABS(D850*E850/F850)),"")</f>
        <v/>
      </c>
      <c r="H850" s="43" t="str">
        <f>IFERROR(G850*E844,"")</f>
        <v/>
      </c>
    </row>
    <row r="851" spans="1:11">
      <c r="A851" s="28"/>
      <c r="B851" s="29"/>
      <c r="C851" s="30" t="str">
        <f>IFERROR(_xlfn.XLOOKUP(B851,Insumo[DESCRIPCION],Insumo[UND],,0),"")</f>
        <v/>
      </c>
      <c r="D851" s="31"/>
      <c r="E851" s="32" t="str">
        <f>IFERROR(_xlfn.XLOOKUP($B851,Insumo[DESCRIPCION],Insumo[VALOR],,0),"")</f>
        <v/>
      </c>
      <c r="F851" s="33"/>
      <c r="G851" s="34" t="str">
        <f>IFERROR(IF(F851&gt;=0,D851*E851*(1+F851/100),ABS(D851*E851/F851)),"")</f>
        <v/>
      </c>
      <c r="H851" s="43" t="str">
        <f>IFERROR(G851*E844,"")</f>
        <v/>
      </c>
    </row>
    <row r="852" spans="1:11">
      <c r="A852" s="21"/>
      <c r="B852" s="22" t="s">
        <v>3731</v>
      </c>
      <c r="C852" s="23"/>
      <c r="D852" s="24"/>
      <c r="E852" s="25"/>
      <c r="F852" s="26"/>
      <c r="G852" s="27">
        <f>SUM(G853:G855)</f>
        <v>4320.8537544750006</v>
      </c>
      <c r="H852" s="44">
        <f>G852*E844</f>
        <v>0</v>
      </c>
    </row>
    <row r="853" spans="1:11">
      <c r="A853" s="28"/>
      <c r="B853" s="29" t="s">
        <v>3642</v>
      </c>
      <c r="C853" s="30" t="str">
        <f>IFERROR(_xlfn.XLOOKUP(B853,Equipo[DESCRIPCION],Equipo[UND],,0),"")</f>
        <v>Día</v>
      </c>
      <c r="D853" s="31">
        <v>1</v>
      </c>
      <c r="E853" s="32">
        <f>IF(C853="%MO",G859,IFERROR(_xlfn.XLOOKUP($B853,Equipo[DESCRIPCION],Equipo[VALOR],,0),""))</f>
        <v>54978</v>
      </c>
      <c r="F853" s="33">
        <v>-20</v>
      </c>
      <c r="G853" s="34">
        <f>IFERROR(IF(F853&gt;=0,D853*E853*(1+F853/100),ABS(D853*E853/F853)),"")</f>
        <v>2748.9</v>
      </c>
      <c r="H853" s="43">
        <f>IFERROR(G853*E844,"")</f>
        <v>0</v>
      </c>
    </row>
    <row r="854" spans="1:11">
      <c r="A854" s="28"/>
      <c r="B854" s="29" t="s">
        <v>3626</v>
      </c>
      <c r="C854" s="30" t="str">
        <f>IFERROR(_xlfn.XLOOKUP(B854,Equipo[DESCRIPCION],Equipo[UND],,0),"")</f>
        <v>%MO</v>
      </c>
      <c r="D854" s="31">
        <v>0.05</v>
      </c>
      <c r="E854" s="32">
        <f>IF(C854="%MO",G859,IFERROR(_xlfn.XLOOKUP($B854,Equipo[DESCRIPCION],Equipo[VALOR],,0),""))</f>
        <v>31439.075089500006</v>
      </c>
      <c r="F854" s="33"/>
      <c r="G854" s="34">
        <f>IFERROR(IF(F854&gt;=0,D854*E854*(1+F854/100),ABS(D854*E854/F854)),"")</f>
        <v>1571.9537544750003</v>
      </c>
      <c r="H854" s="43">
        <f>IFERROR(G854*E844,"")</f>
        <v>0</v>
      </c>
    </row>
    <row r="855" spans="1:11">
      <c r="A855" s="28"/>
      <c r="B855" s="29"/>
      <c r="C855" s="30" t="str">
        <f>IFERROR(_xlfn.XLOOKUP(B855,Equipo[DESCRIPCION],Equipo[UND],,0),"")</f>
        <v/>
      </c>
      <c r="D855" s="31"/>
      <c r="E855" s="32" t="str">
        <f>IF(C855="%MO",G861,IFERROR(_xlfn.XLOOKUP($B855,Equipo[DESCRIPCION],Equipo[VALOR],,0),""))</f>
        <v/>
      </c>
      <c r="F855" s="33"/>
      <c r="G855" s="34" t="str">
        <f>IFERROR(IF(F855&gt;=0,D855*E855*(1+F855/100),ABS(D855*E855/F855)),"")</f>
        <v/>
      </c>
      <c r="H855" s="43" t="str">
        <f>IFERROR(G855*E844,"")</f>
        <v/>
      </c>
    </row>
    <row r="856" spans="1:11">
      <c r="A856" s="21"/>
      <c r="B856" s="22" t="s">
        <v>2533</v>
      </c>
      <c r="C856" s="23"/>
      <c r="D856" s="24"/>
      <c r="E856" s="25"/>
      <c r="F856" s="26"/>
      <c r="G856" s="27">
        <f>SUM(G857:G858)</f>
        <v>0</v>
      </c>
      <c r="H856" s="44">
        <f>G856*E844</f>
        <v>0</v>
      </c>
    </row>
    <row r="857" spans="1:11">
      <c r="A857" s="28"/>
      <c r="B857" s="29"/>
      <c r="C857" s="30" t="str">
        <f>IFERROR(_xlfn.XLOOKUP(B857,Transporte[DESCRIPCION],Transporte[UND],,0),"")</f>
        <v/>
      </c>
      <c r="D857" s="31"/>
      <c r="E857" s="32" t="str">
        <f>IFERROR(_xlfn.XLOOKUP($B857,Transporte[DESCRIPCION],Transporte[VALOR],,0),"")</f>
        <v/>
      </c>
      <c r="F857" s="33"/>
      <c r="G857" s="34" t="str">
        <f>IFERROR(IF(F857&gt;=0,D857*E857*(1+F857/100),ABS(D857*E857/F857)),"")</f>
        <v/>
      </c>
      <c r="H857" s="43" t="str">
        <f>IFERROR(G857*E844,"")</f>
        <v/>
      </c>
    </row>
    <row r="858" spans="1:11">
      <c r="A858" s="28"/>
      <c r="B858" s="29"/>
      <c r="C858" s="30" t="str">
        <f>IFERROR(_xlfn.XLOOKUP(B858,Transporte[DESCRIPCION],Transporte[UND],,0),"")</f>
        <v/>
      </c>
      <c r="D858" s="31"/>
      <c r="E858" s="32" t="str">
        <f>IFERROR(_xlfn.XLOOKUP($B858,Transporte[DESCRIPCION],Transporte[VALOR],,0),"")</f>
        <v/>
      </c>
      <c r="F858" s="33"/>
      <c r="G858" s="34" t="str">
        <f>IFERROR(IF(F858&gt;=0,D858*E858*(1+F858/100),ABS(D858*E858/F858)),"")</f>
        <v/>
      </c>
      <c r="H858" s="43" t="str">
        <f>IFERROR(G858*E844,"")</f>
        <v/>
      </c>
    </row>
    <row r="859" spans="1:11">
      <c r="A859" s="21"/>
      <c r="B859" s="22" t="s">
        <v>3732</v>
      </c>
      <c r="C859" s="23"/>
      <c r="D859" s="24"/>
      <c r="E859" s="25"/>
      <c r="F859" s="26"/>
      <c r="G859" s="27">
        <f>SUM(G860:G862)</f>
        <v>31439.075089500006</v>
      </c>
      <c r="H859" s="44">
        <f>G859*E844</f>
        <v>0</v>
      </c>
    </row>
    <row r="860" spans="1:11">
      <c r="A860" s="28"/>
      <c r="B860" s="29" t="s">
        <v>3710</v>
      </c>
      <c r="C860" s="30" t="str">
        <f>IFERROR(_xlfn.XLOOKUP(B860,MObra[DESCRIPCION],MObra[UN],,0),"")</f>
        <v>día</v>
      </c>
      <c r="D860" s="31">
        <v>1</v>
      </c>
      <c r="E860" s="32">
        <f>IFERROR(_xlfn.XLOOKUP($B860,MObra[DESCRIPCION],MObra[VALOR UNIT],,0),"")</f>
        <v>314390.75089500006</v>
      </c>
      <c r="F860" s="33">
        <v>-10</v>
      </c>
      <c r="G860" s="34">
        <f>IFERROR(IF(F860&gt;=0,D860*E860*(1+F860/100),ABS(D860*E860/F860)),"")</f>
        <v>31439.075089500006</v>
      </c>
      <c r="H860" s="43">
        <f>IFERROR(G860*E844,"")</f>
        <v>0</v>
      </c>
    </row>
    <row r="861" spans="1:11">
      <c r="A861" s="28"/>
      <c r="B861" s="29"/>
      <c r="C861" s="30" t="str">
        <f>IFERROR(_xlfn.XLOOKUP(B861,MObra[DESCRIPCION],MObra[UN],,0),"")</f>
        <v/>
      </c>
      <c r="D861" s="31"/>
      <c r="E861" s="32" t="str">
        <f>IFERROR(_xlfn.XLOOKUP($B861,MObra[DESCRIPCION],MObra[VALOR UNIT],,0),"")</f>
        <v/>
      </c>
      <c r="F861" s="33"/>
      <c r="G861" s="34" t="str">
        <f>IFERROR(IF(F861&gt;=0,D861*E861*(1+F861/100),ABS(D861*E861/F861)),"")</f>
        <v/>
      </c>
      <c r="H861" s="43" t="str">
        <f>IFERROR(G861*E844,"")</f>
        <v/>
      </c>
    </row>
    <row r="862" spans="1:11">
      <c r="A862" s="35"/>
      <c r="B862" s="36"/>
      <c r="C862" s="37" t="str">
        <f>IFERROR(_xlfn.XLOOKUP(B862,MObra[DESCRIPCION],MObra[UN],,0),"")</f>
        <v/>
      </c>
      <c r="D862" s="38"/>
      <c r="E862" s="39" t="str">
        <f>IFERROR(_xlfn.XLOOKUP($B862,MObra[DESCRIPCION],MObra[VALOR UNIT],,0),"")</f>
        <v/>
      </c>
      <c r="F862" s="40"/>
      <c r="G862" s="41" t="str">
        <f>IFERROR(IF(F862&gt;=0,D862*E862*(1+F862/100),ABS(D862*E862/F862)),"")</f>
        <v/>
      </c>
      <c r="H862" s="42" t="str">
        <f>IFERROR(G862*E844,"")</f>
        <v/>
      </c>
    </row>
    <row r="864" spans="1:11">
      <c r="A864" s="6" t="s">
        <v>2124</v>
      </c>
      <c r="B864" s="7" t="str">
        <f>VLOOKUP($A864,Presupuesto!$A:$D,2,FALSE())</f>
        <v>Silla Yee PVC Novafort 160x450</v>
      </c>
      <c r="C864" s="8" t="str">
        <f>VLOOKUP($A864,Presupuesto!$A:$D,3,FALSE())</f>
        <v>Un</v>
      </c>
      <c r="D864" s="9"/>
      <c r="E864" s="10">
        <f>VLOOKUP($A864,Presupuesto!$A:$D,4,FALSE())</f>
        <v>0</v>
      </c>
      <c r="F864" s="11" t="s">
        <v>2589</v>
      </c>
      <c r="G864" s="12">
        <f>SUM(G866:G882)/2</f>
        <v>101882.62884397499</v>
      </c>
      <c r="H864" s="13">
        <f>ROUND(SUM(H866:H882),0)/2</f>
        <v>0</v>
      </c>
      <c r="I864" s="10">
        <f>VLOOKUP(A864,Presupuesto!$A:$F,6,0)</f>
        <v>0</v>
      </c>
      <c r="J864" s="10">
        <f>+H864-I864</f>
        <v>0</v>
      </c>
      <c r="K864" s="46">
        <f>+H864-G864*E864</f>
        <v>0</v>
      </c>
    </row>
    <row r="865" spans="1:8">
      <c r="A865" s="14"/>
      <c r="B865" s="15" t="s">
        <v>2586</v>
      </c>
      <c r="C865" s="15" t="s">
        <v>5</v>
      </c>
      <c r="D865" s="16" t="s">
        <v>6</v>
      </c>
      <c r="E865" s="17" t="s">
        <v>7</v>
      </c>
      <c r="F865" s="18" t="s">
        <v>3728</v>
      </c>
      <c r="G865" s="19" t="s">
        <v>3729</v>
      </c>
      <c r="H865" s="20" t="s">
        <v>3797</v>
      </c>
    </row>
    <row r="866" spans="1:8">
      <c r="A866" s="21"/>
      <c r="B866" s="22" t="s">
        <v>3730</v>
      </c>
      <c r="C866" s="23"/>
      <c r="D866" s="24"/>
      <c r="E866" s="25"/>
      <c r="F866" s="26"/>
      <c r="G866" s="27">
        <f>SUM(G867:G871)</f>
        <v>66122.7</v>
      </c>
      <c r="H866" s="27">
        <f>IFERROR(G866*E864,"")</f>
        <v>0</v>
      </c>
    </row>
    <row r="867" spans="1:8">
      <c r="A867" s="28"/>
      <c r="B867" s="29" t="s">
        <v>3323</v>
      </c>
      <c r="C867" s="30" t="str">
        <f>IFERROR(_xlfn.XLOOKUP(B867,Insumo[DESCRIPCION],Insumo[UND],,0),"")</f>
        <v>Un</v>
      </c>
      <c r="D867" s="31">
        <v>1</v>
      </c>
      <c r="E867" s="32">
        <f>IFERROR(_xlfn.XLOOKUP($B867,Insumo[DESCRIPCION],Insumo[VALOR],,0),"")</f>
        <v>66122.7</v>
      </c>
      <c r="F867" s="33"/>
      <c r="G867" s="34">
        <f>IFERROR(IF(F867&gt;=0,D867*E867*(1+F867/100),ABS(D867*E867/F867)),"")</f>
        <v>66122.7</v>
      </c>
      <c r="H867" s="43">
        <f>IFERROR(G867*E864,"")</f>
        <v>0</v>
      </c>
    </row>
    <row r="868" spans="1:8">
      <c r="A868" s="28"/>
      <c r="B868" s="29"/>
      <c r="C868" s="30" t="str">
        <f>IFERROR(_xlfn.XLOOKUP(B868,Insumo[DESCRIPCION],Insumo[UND],,0),"")</f>
        <v/>
      </c>
      <c r="D868" s="31"/>
      <c r="E868" s="32" t="str">
        <f>IFERROR(_xlfn.XLOOKUP($B868,Insumo[DESCRIPCION],Insumo[VALOR],,0),"")</f>
        <v/>
      </c>
      <c r="F868" s="33"/>
      <c r="G868" s="34" t="str">
        <f>IFERROR(IF(F868&gt;=0,D868*E868*(1+F868/100),ABS(D868*E868/F868)),"")</f>
        <v/>
      </c>
      <c r="H868" s="43" t="str">
        <f>IFERROR(G868*E864,"")</f>
        <v/>
      </c>
    </row>
    <row r="869" spans="1:8">
      <c r="A869" s="28"/>
      <c r="B869" s="29"/>
      <c r="C869" s="30" t="str">
        <f>IFERROR(_xlfn.XLOOKUP(B869,Insumo[DESCRIPCION],Insumo[UND],,0),"")</f>
        <v/>
      </c>
      <c r="D869" s="31"/>
      <c r="E869" s="32" t="str">
        <f>IFERROR(_xlfn.XLOOKUP($B869,Insumo[DESCRIPCION],Insumo[VALOR],,0),"")</f>
        <v/>
      </c>
      <c r="F869" s="33"/>
      <c r="G869" s="34" t="str">
        <f>IFERROR(IF(F869&gt;=0,D869*E869*(1+F869/100),ABS(D869*E869/F869)),"")</f>
        <v/>
      </c>
      <c r="H869" s="43" t="str">
        <f>IFERROR(G869*E864,"")</f>
        <v/>
      </c>
    </row>
    <row r="870" spans="1:8">
      <c r="A870" s="28"/>
      <c r="B870" s="29"/>
      <c r="C870" s="30" t="str">
        <f>IFERROR(_xlfn.XLOOKUP(B870,Insumo[DESCRIPCION],Insumo[UND],,0),"")</f>
        <v/>
      </c>
      <c r="D870" s="31"/>
      <c r="E870" s="32" t="str">
        <f>IFERROR(_xlfn.XLOOKUP($B870,Insumo[DESCRIPCION],Insumo[VALOR],,0),"")</f>
        <v/>
      </c>
      <c r="F870" s="33"/>
      <c r="G870" s="34" t="str">
        <f>IFERROR(IF(F870&gt;=0,D870*E870*(1+F870/100),ABS(D870*E870/F870)),"")</f>
        <v/>
      </c>
      <c r="H870" s="43" t="str">
        <f>IFERROR(G870*E864,"")</f>
        <v/>
      </c>
    </row>
    <row r="871" spans="1:8">
      <c r="A871" s="28"/>
      <c r="B871" s="29"/>
      <c r="C871" s="30" t="str">
        <f>IFERROR(_xlfn.XLOOKUP(B871,Insumo[DESCRIPCION],Insumo[UND],,0),"")</f>
        <v/>
      </c>
      <c r="D871" s="31"/>
      <c r="E871" s="32" t="str">
        <f>IFERROR(_xlfn.XLOOKUP($B871,Insumo[DESCRIPCION],Insumo[VALOR],,0),"")</f>
        <v/>
      </c>
      <c r="F871" s="33"/>
      <c r="G871" s="34" t="str">
        <f>IFERROR(IF(F871&gt;=0,D871*E871*(1+F871/100),ABS(D871*E871/F871)),"")</f>
        <v/>
      </c>
      <c r="H871" s="43" t="str">
        <f>IFERROR(G871*E864,"")</f>
        <v/>
      </c>
    </row>
    <row r="872" spans="1:8">
      <c r="A872" s="21"/>
      <c r="B872" s="22" t="s">
        <v>3731</v>
      </c>
      <c r="C872" s="23"/>
      <c r="D872" s="24"/>
      <c r="E872" s="25"/>
      <c r="F872" s="26"/>
      <c r="G872" s="27">
        <f>SUM(G873:G875)</f>
        <v>4320.8537544750006</v>
      </c>
      <c r="H872" s="44">
        <f>G872*E864</f>
        <v>0</v>
      </c>
    </row>
    <row r="873" spans="1:8">
      <c r="A873" s="28"/>
      <c r="B873" s="29" t="s">
        <v>3642</v>
      </c>
      <c r="C873" s="30" t="str">
        <f>IFERROR(_xlfn.XLOOKUP(B873,Equipo[DESCRIPCION],Equipo[UND],,0),"")</f>
        <v>Día</v>
      </c>
      <c r="D873" s="31">
        <v>1</v>
      </c>
      <c r="E873" s="32">
        <f>IF(C873="%MO",G879,IFERROR(_xlfn.XLOOKUP($B873,Equipo[DESCRIPCION],Equipo[VALOR],,0),""))</f>
        <v>54978</v>
      </c>
      <c r="F873" s="33">
        <v>-20</v>
      </c>
      <c r="G873" s="34">
        <f>IFERROR(IF(F873&gt;=0,D873*E873*(1+F873/100),ABS(D873*E873/F873)),"")</f>
        <v>2748.9</v>
      </c>
      <c r="H873" s="43">
        <f>IFERROR(G873*E864,"")</f>
        <v>0</v>
      </c>
    </row>
    <row r="874" spans="1:8">
      <c r="A874" s="28"/>
      <c r="B874" s="29" t="s">
        <v>3626</v>
      </c>
      <c r="C874" s="30" t="str">
        <f>IFERROR(_xlfn.XLOOKUP(B874,Equipo[DESCRIPCION],Equipo[UND],,0),"")</f>
        <v>%MO</v>
      </c>
      <c r="D874" s="31">
        <v>0.05</v>
      </c>
      <c r="E874" s="32">
        <f>IF(C874="%MO",G879,IFERROR(_xlfn.XLOOKUP($B874,Equipo[DESCRIPCION],Equipo[VALOR],,0),""))</f>
        <v>31439.075089500006</v>
      </c>
      <c r="F874" s="33"/>
      <c r="G874" s="34">
        <f>IFERROR(IF(F874&gt;=0,D874*E874*(1+F874/100),ABS(D874*E874/F874)),"")</f>
        <v>1571.9537544750003</v>
      </c>
      <c r="H874" s="43">
        <f>IFERROR(G874*E864,"")</f>
        <v>0</v>
      </c>
    </row>
    <row r="875" spans="1:8">
      <c r="A875" s="28"/>
      <c r="B875" s="29"/>
      <c r="C875" s="30" t="str">
        <f>IFERROR(_xlfn.XLOOKUP(B875,Equipo[DESCRIPCION],Equipo[UND],,0),"")</f>
        <v/>
      </c>
      <c r="D875" s="31"/>
      <c r="E875" s="32" t="str">
        <f>IF(C875="%MO",G881,IFERROR(_xlfn.XLOOKUP($B875,Equipo[DESCRIPCION],Equipo[VALOR],,0),""))</f>
        <v/>
      </c>
      <c r="F875" s="33"/>
      <c r="G875" s="34" t="str">
        <f>IFERROR(IF(F875&gt;=0,D875*E875*(1+F875/100),ABS(D875*E875/F875)),"")</f>
        <v/>
      </c>
      <c r="H875" s="43" t="str">
        <f>IFERROR(G875*E864,"")</f>
        <v/>
      </c>
    </row>
    <row r="876" spans="1:8">
      <c r="A876" s="21"/>
      <c r="B876" s="22" t="s">
        <v>2533</v>
      </c>
      <c r="C876" s="23"/>
      <c r="D876" s="24"/>
      <c r="E876" s="25"/>
      <c r="F876" s="26"/>
      <c r="G876" s="27">
        <f>SUM(G877:G878)</f>
        <v>0</v>
      </c>
      <c r="H876" s="44">
        <f>G876*E864</f>
        <v>0</v>
      </c>
    </row>
    <row r="877" spans="1:8">
      <c r="A877" s="28"/>
      <c r="B877" s="29"/>
      <c r="C877" s="30" t="str">
        <f>IFERROR(_xlfn.XLOOKUP(B877,Transporte[DESCRIPCION],Transporte[UND],,0),"")</f>
        <v/>
      </c>
      <c r="D877" s="31"/>
      <c r="E877" s="32" t="str">
        <f>IFERROR(_xlfn.XLOOKUP($B877,Transporte[DESCRIPCION],Transporte[VALOR],,0),"")</f>
        <v/>
      </c>
      <c r="F877" s="33"/>
      <c r="G877" s="34" t="str">
        <f>IFERROR(IF(F877&gt;=0,D877*E877*(1+F877/100),ABS(D877*E877/F877)),"")</f>
        <v/>
      </c>
      <c r="H877" s="43" t="str">
        <f>IFERROR(G877*E864,"")</f>
        <v/>
      </c>
    </row>
    <row r="878" spans="1:8">
      <c r="A878" s="28"/>
      <c r="B878" s="29"/>
      <c r="C878" s="30" t="str">
        <f>IFERROR(_xlfn.XLOOKUP(B878,Transporte[DESCRIPCION],Transporte[UND],,0),"")</f>
        <v/>
      </c>
      <c r="D878" s="31"/>
      <c r="E878" s="32" t="str">
        <f>IFERROR(_xlfn.XLOOKUP($B878,Transporte[DESCRIPCION],Transporte[VALOR],,0),"")</f>
        <v/>
      </c>
      <c r="F878" s="33"/>
      <c r="G878" s="34" t="str">
        <f>IFERROR(IF(F878&gt;=0,D878*E878*(1+F878/100),ABS(D878*E878/F878)),"")</f>
        <v/>
      </c>
      <c r="H878" s="43" t="str">
        <f>IFERROR(G878*E864,"")</f>
        <v/>
      </c>
    </row>
    <row r="879" spans="1:8">
      <c r="A879" s="21"/>
      <c r="B879" s="22" t="s">
        <v>3732</v>
      </c>
      <c r="C879" s="23"/>
      <c r="D879" s="24"/>
      <c r="E879" s="25"/>
      <c r="F879" s="26"/>
      <c r="G879" s="27">
        <f>SUM(G880:G882)</f>
        <v>31439.075089500006</v>
      </c>
      <c r="H879" s="44">
        <f>G879*E864</f>
        <v>0</v>
      </c>
    </row>
    <row r="880" spans="1:8">
      <c r="A880" s="28"/>
      <c r="B880" s="29" t="s">
        <v>3710</v>
      </c>
      <c r="C880" s="30" t="str">
        <f>IFERROR(_xlfn.XLOOKUP(B880,MObra[DESCRIPCION],MObra[UN],,0),"")</f>
        <v>día</v>
      </c>
      <c r="D880" s="31">
        <v>1</v>
      </c>
      <c r="E880" s="32">
        <f>IFERROR(_xlfn.XLOOKUP($B880,MObra[DESCRIPCION],MObra[VALOR UNIT],,0),"")</f>
        <v>314390.75089500006</v>
      </c>
      <c r="F880" s="33">
        <v>-10</v>
      </c>
      <c r="G880" s="34">
        <f>IFERROR(IF(F880&gt;=0,D880*E880*(1+F880/100),ABS(D880*E880/F880)),"")</f>
        <v>31439.075089500006</v>
      </c>
      <c r="H880" s="43">
        <f>IFERROR(G880*E864,"")</f>
        <v>0</v>
      </c>
    </row>
    <row r="881" spans="1:11">
      <c r="A881" s="28"/>
      <c r="B881" s="29"/>
      <c r="C881" s="30" t="str">
        <f>IFERROR(_xlfn.XLOOKUP(B881,MObra[DESCRIPCION],MObra[UN],,0),"")</f>
        <v/>
      </c>
      <c r="D881" s="31"/>
      <c r="E881" s="32" t="str">
        <f>IFERROR(_xlfn.XLOOKUP($B881,MObra[DESCRIPCION],MObra[VALOR UNIT],,0),"")</f>
        <v/>
      </c>
      <c r="F881" s="33"/>
      <c r="G881" s="34" t="str">
        <f>IFERROR(IF(F881&gt;=0,D881*E881*(1+F881/100),ABS(D881*E881/F881)),"")</f>
        <v/>
      </c>
      <c r="H881" s="43" t="str">
        <f>IFERROR(G881*E864,"")</f>
        <v/>
      </c>
    </row>
    <row r="882" spans="1:11">
      <c r="A882" s="35"/>
      <c r="B882" s="36"/>
      <c r="C882" s="37" t="str">
        <f>IFERROR(_xlfn.XLOOKUP(B882,MObra[DESCRIPCION],MObra[UN],,0),"")</f>
        <v/>
      </c>
      <c r="D882" s="38"/>
      <c r="E882" s="39" t="str">
        <f>IFERROR(_xlfn.XLOOKUP($B882,MObra[DESCRIPCION],MObra[VALOR UNIT],,0),"")</f>
        <v/>
      </c>
      <c r="F882" s="40"/>
      <c r="G882" s="41" t="str">
        <f>IFERROR(IF(F882&gt;=0,D882*E882*(1+F882/100),ABS(D882*E882/F882)),"")</f>
        <v/>
      </c>
      <c r="H882" s="42" t="str">
        <f>IFERROR(G882*E864,"")</f>
        <v/>
      </c>
    </row>
    <row r="884" spans="1:11">
      <c r="A884" s="6" t="s">
        <v>2126</v>
      </c>
      <c r="B884" s="7" t="str">
        <f>VLOOKUP($A884,Presupuesto!$A:$D,2,FALSE())</f>
        <v>Silla Yee PVC Novafort 160x500</v>
      </c>
      <c r="C884" s="8" t="str">
        <f>VLOOKUP($A884,Presupuesto!$A:$D,3,FALSE())</f>
        <v>Un</v>
      </c>
      <c r="D884" s="9"/>
      <c r="E884" s="10">
        <f>VLOOKUP($A884,Presupuesto!$A:$D,4,FALSE())</f>
        <v>0</v>
      </c>
      <c r="F884" s="11" t="s">
        <v>2589</v>
      </c>
      <c r="G884" s="12">
        <f>SUM(G886:G902)/2</f>
        <v>101882.62884397499</v>
      </c>
      <c r="H884" s="13">
        <f>ROUND(SUM(H886:H902),0)/2</f>
        <v>0</v>
      </c>
      <c r="I884" s="10">
        <f>VLOOKUP(A884,Presupuesto!$A:$F,6,0)</f>
        <v>0</v>
      </c>
      <c r="J884" s="10">
        <f>+H884-I884</f>
        <v>0</v>
      </c>
      <c r="K884" s="46">
        <f>+H884-G884*E884</f>
        <v>0</v>
      </c>
    </row>
    <row r="885" spans="1:11">
      <c r="A885" s="14"/>
      <c r="B885" s="15" t="s">
        <v>2586</v>
      </c>
      <c r="C885" s="15" t="s">
        <v>5</v>
      </c>
      <c r="D885" s="16" t="s">
        <v>6</v>
      </c>
      <c r="E885" s="17" t="s">
        <v>7</v>
      </c>
      <c r="F885" s="18" t="s">
        <v>3728</v>
      </c>
      <c r="G885" s="19" t="s">
        <v>3729</v>
      </c>
      <c r="H885" s="20" t="s">
        <v>3797</v>
      </c>
    </row>
    <row r="886" spans="1:11">
      <c r="A886" s="21"/>
      <c r="B886" s="22" t="s">
        <v>3730</v>
      </c>
      <c r="C886" s="23"/>
      <c r="D886" s="24"/>
      <c r="E886" s="25"/>
      <c r="F886" s="26"/>
      <c r="G886" s="27">
        <f>SUM(G887:G891)</f>
        <v>66122.7</v>
      </c>
      <c r="H886" s="27">
        <f>IFERROR(G886*E884,"")</f>
        <v>0</v>
      </c>
    </row>
    <row r="887" spans="1:11">
      <c r="A887" s="28"/>
      <c r="B887" s="29" t="s">
        <v>3324</v>
      </c>
      <c r="C887" s="30" t="str">
        <f>IFERROR(_xlfn.XLOOKUP(B887,Insumo[DESCRIPCION],Insumo[UND],,0),"")</f>
        <v>Un</v>
      </c>
      <c r="D887" s="31">
        <v>1</v>
      </c>
      <c r="E887" s="32">
        <f>IFERROR(_xlfn.XLOOKUP($B887,Insumo[DESCRIPCION],Insumo[VALOR],,0),"")</f>
        <v>66122.7</v>
      </c>
      <c r="F887" s="33"/>
      <c r="G887" s="34">
        <f>IFERROR(IF(F887&gt;=0,D887*E887*(1+F887/100),ABS(D887*E887/F887)),"")</f>
        <v>66122.7</v>
      </c>
      <c r="H887" s="43">
        <f>IFERROR(G887*E884,"")</f>
        <v>0</v>
      </c>
    </row>
    <row r="888" spans="1:11">
      <c r="A888" s="28"/>
      <c r="B888" s="29"/>
      <c r="C888" s="30" t="str">
        <f>IFERROR(_xlfn.XLOOKUP(B888,Insumo[DESCRIPCION],Insumo[UND],,0),"")</f>
        <v/>
      </c>
      <c r="D888" s="31"/>
      <c r="E888" s="32" t="str">
        <f>IFERROR(_xlfn.XLOOKUP($B888,Insumo[DESCRIPCION],Insumo[VALOR],,0),"")</f>
        <v/>
      </c>
      <c r="F888" s="33"/>
      <c r="G888" s="34" t="str">
        <f>IFERROR(IF(F888&gt;=0,D888*E888*(1+F888/100),ABS(D888*E888/F888)),"")</f>
        <v/>
      </c>
      <c r="H888" s="43" t="str">
        <f>IFERROR(G888*E884,"")</f>
        <v/>
      </c>
    </row>
    <row r="889" spans="1:11">
      <c r="A889" s="28"/>
      <c r="B889" s="29"/>
      <c r="C889" s="30" t="str">
        <f>IFERROR(_xlfn.XLOOKUP(B889,Insumo[DESCRIPCION],Insumo[UND],,0),"")</f>
        <v/>
      </c>
      <c r="D889" s="31"/>
      <c r="E889" s="32" t="str">
        <f>IFERROR(_xlfn.XLOOKUP($B889,Insumo[DESCRIPCION],Insumo[VALOR],,0),"")</f>
        <v/>
      </c>
      <c r="F889" s="33"/>
      <c r="G889" s="34" t="str">
        <f>IFERROR(IF(F889&gt;=0,D889*E889*(1+F889/100),ABS(D889*E889/F889)),"")</f>
        <v/>
      </c>
      <c r="H889" s="43" t="str">
        <f>IFERROR(G889*E884,"")</f>
        <v/>
      </c>
    </row>
    <row r="890" spans="1:11">
      <c r="A890" s="28"/>
      <c r="B890" s="29"/>
      <c r="C890" s="30" t="str">
        <f>IFERROR(_xlfn.XLOOKUP(B890,Insumo[DESCRIPCION],Insumo[UND],,0),"")</f>
        <v/>
      </c>
      <c r="D890" s="31"/>
      <c r="E890" s="32" t="str">
        <f>IFERROR(_xlfn.XLOOKUP($B890,Insumo[DESCRIPCION],Insumo[VALOR],,0),"")</f>
        <v/>
      </c>
      <c r="F890" s="33"/>
      <c r="G890" s="34" t="str">
        <f>IFERROR(IF(F890&gt;=0,D890*E890*(1+F890/100),ABS(D890*E890/F890)),"")</f>
        <v/>
      </c>
      <c r="H890" s="43" t="str">
        <f>IFERROR(G890*E884,"")</f>
        <v/>
      </c>
    </row>
    <row r="891" spans="1:11">
      <c r="A891" s="28"/>
      <c r="B891" s="29"/>
      <c r="C891" s="30" t="str">
        <f>IFERROR(_xlfn.XLOOKUP(B891,Insumo[DESCRIPCION],Insumo[UND],,0),"")</f>
        <v/>
      </c>
      <c r="D891" s="31"/>
      <c r="E891" s="32" t="str">
        <f>IFERROR(_xlfn.XLOOKUP($B891,Insumo[DESCRIPCION],Insumo[VALOR],,0),"")</f>
        <v/>
      </c>
      <c r="F891" s="33"/>
      <c r="G891" s="34" t="str">
        <f>IFERROR(IF(F891&gt;=0,D891*E891*(1+F891/100),ABS(D891*E891/F891)),"")</f>
        <v/>
      </c>
      <c r="H891" s="43" t="str">
        <f>IFERROR(G891*E884,"")</f>
        <v/>
      </c>
    </row>
    <row r="892" spans="1:11">
      <c r="A892" s="21"/>
      <c r="B892" s="22" t="s">
        <v>3731</v>
      </c>
      <c r="C892" s="23"/>
      <c r="D892" s="24"/>
      <c r="E892" s="25"/>
      <c r="F892" s="26"/>
      <c r="G892" s="27">
        <f>SUM(G893:G895)</f>
        <v>4320.8537544750006</v>
      </c>
      <c r="H892" s="44">
        <f>G892*E884</f>
        <v>0</v>
      </c>
    </row>
    <row r="893" spans="1:11">
      <c r="A893" s="28"/>
      <c r="B893" s="29" t="s">
        <v>3642</v>
      </c>
      <c r="C893" s="30" t="str">
        <f>IFERROR(_xlfn.XLOOKUP(B893,Equipo[DESCRIPCION],Equipo[UND],,0),"")</f>
        <v>Día</v>
      </c>
      <c r="D893" s="31">
        <v>1</v>
      </c>
      <c r="E893" s="32">
        <f>IF(C893="%MO",G899,IFERROR(_xlfn.XLOOKUP($B893,Equipo[DESCRIPCION],Equipo[VALOR],,0),""))</f>
        <v>54978</v>
      </c>
      <c r="F893" s="33">
        <v>-20</v>
      </c>
      <c r="G893" s="34">
        <f>IFERROR(IF(F893&gt;=0,D893*E893*(1+F893/100),ABS(D893*E893/F893)),"")</f>
        <v>2748.9</v>
      </c>
      <c r="H893" s="43">
        <f>IFERROR(G893*E884,"")</f>
        <v>0</v>
      </c>
    </row>
    <row r="894" spans="1:11">
      <c r="A894" s="28"/>
      <c r="B894" s="29" t="s">
        <v>3626</v>
      </c>
      <c r="C894" s="30" t="str">
        <f>IFERROR(_xlfn.XLOOKUP(B894,Equipo[DESCRIPCION],Equipo[UND],,0),"")</f>
        <v>%MO</v>
      </c>
      <c r="D894" s="31">
        <v>0.05</v>
      </c>
      <c r="E894" s="32">
        <f>IF(C894="%MO",G899,IFERROR(_xlfn.XLOOKUP($B894,Equipo[DESCRIPCION],Equipo[VALOR],,0),""))</f>
        <v>31439.075089500006</v>
      </c>
      <c r="F894" s="33"/>
      <c r="G894" s="34">
        <f>IFERROR(IF(F894&gt;=0,D894*E894*(1+F894/100),ABS(D894*E894/F894)),"")</f>
        <v>1571.9537544750003</v>
      </c>
      <c r="H894" s="43">
        <f>IFERROR(G894*E884,"")</f>
        <v>0</v>
      </c>
    </row>
    <row r="895" spans="1:11">
      <c r="A895" s="28"/>
      <c r="B895" s="29"/>
      <c r="C895" s="30" t="str">
        <f>IFERROR(_xlfn.XLOOKUP(B895,Equipo[DESCRIPCION],Equipo[UND],,0),"")</f>
        <v/>
      </c>
      <c r="D895" s="31"/>
      <c r="E895" s="32" t="str">
        <f>IF(C895="%MO",G901,IFERROR(_xlfn.XLOOKUP($B895,Equipo[DESCRIPCION],Equipo[VALOR],,0),""))</f>
        <v/>
      </c>
      <c r="F895" s="33"/>
      <c r="G895" s="34" t="str">
        <f>IFERROR(IF(F895&gt;=0,D895*E895*(1+F895/100),ABS(D895*E895/F895)),"")</f>
        <v/>
      </c>
      <c r="H895" s="43" t="str">
        <f>IFERROR(G895*E884,"")</f>
        <v/>
      </c>
    </row>
    <row r="896" spans="1:11">
      <c r="A896" s="21"/>
      <c r="B896" s="22" t="s">
        <v>2533</v>
      </c>
      <c r="C896" s="23"/>
      <c r="D896" s="24"/>
      <c r="E896" s="25"/>
      <c r="F896" s="26"/>
      <c r="G896" s="27">
        <f>SUM(G897:G898)</f>
        <v>0</v>
      </c>
      <c r="H896" s="44">
        <f>G896*E884</f>
        <v>0</v>
      </c>
    </row>
    <row r="897" spans="1:11">
      <c r="A897" s="28"/>
      <c r="B897" s="29"/>
      <c r="C897" s="30" t="str">
        <f>IFERROR(_xlfn.XLOOKUP(B897,Transporte[DESCRIPCION],Transporte[UND],,0),"")</f>
        <v/>
      </c>
      <c r="D897" s="31"/>
      <c r="E897" s="32" t="str">
        <f>IFERROR(_xlfn.XLOOKUP($B897,Transporte[DESCRIPCION],Transporte[VALOR],,0),"")</f>
        <v/>
      </c>
      <c r="F897" s="33"/>
      <c r="G897" s="34" t="str">
        <f>IFERROR(IF(F897&gt;=0,D897*E897*(1+F897/100),ABS(D897*E897/F897)),"")</f>
        <v/>
      </c>
      <c r="H897" s="43" t="str">
        <f>IFERROR(G897*E884,"")</f>
        <v/>
      </c>
    </row>
    <row r="898" spans="1:11">
      <c r="A898" s="28"/>
      <c r="B898" s="29"/>
      <c r="C898" s="30" t="str">
        <f>IFERROR(_xlfn.XLOOKUP(B898,Transporte[DESCRIPCION],Transporte[UND],,0),"")</f>
        <v/>
      </c>
      <c r="D898" s="31"/>
      <c r="E898" s="32" t="str">
        <f>IFERROR(_xlfn.XLOOKUP($B898,Transporte[DESCRIPCION],Transporte[VALOR],,0),"")</f>
        <v/>
      </c>
      <c r="F898" s="33"/>
      <c r="G898" s="34" t="str">
        <f>IFERROR(IF(F898&gt;=0,D898*E898*(1+F898/100),ABS(D898*E898/F898)),"")</f>
        <v/>
      </c>
      <c r="H898" s="43" t="str">
        <f>IFERROR(G898*E884,"")</f>
        <v/>
      </c>
    </row>
    <row r="899" spans="1:11">
      <c r="A899" s="21"/>
      <c r="B899" s="22" t="s">
        <v>3732</v>
      </c>
      <c r="C899" s="23"/>
      <c r="D899" s="24"/>
      <c r="E899" s="25"/>
      <c r="F899" s="26"/>
      <c r="G899" s="27">
        <f>SUM(G900:G902)</f>
        <v>31439.075089500006</v>
      </c>
      <c r="H899" s="44">
        <f>G899*E884</f>
        <v>0</v>
      </c>
    </row>
    <row r="900" spans="1:11">
      <c r="A900" s="28"/>
      <c r="B900" s="29" t="s">
        <v>3710</v>
      </c>
      <c r="C900" s="30" t="str">
        <f>IFERROR(_xlfn.XLOOKUP(B900,MObra[DESCRIPCION],MObra[UN],,0),"")</f>
        <v>día</v>
      </c>
      <c r="D900" s="31">
        <v>1</v>
      </c>
      <c r="E900" s="32">
        <f>IFERROR(_xlfn.XLOOKUP($B900,MObra[DESCRIPCION],MObra[VALOR UNIT],,0),"")</f>
        <v>314390.75089500006</v>
      </c>
      <c r="F900" s="33">
        <v>-10</v>
      </c>
      <c r="G900" s="34">
        <f>IFERROR(IF(F900&gt;=0,D900*E900*(1+F900/100),ABS(D900*E900/F900)),"")</f>
        <v>31439.075089500006</v>
      </c>
      <c r="H900" s="43">
        <f>IFERROR(G900*E884,"")</f>
        <v>0</v>
      </c>
    </row>
    <row r="901" spans="1:11">
      <c r="A901" s="28"/>
      <c r="B901" s="29"/>
      <c r="C901" s="30" t="str">
        <f>IFERROR(_xlfn.XLOOKUP(B901,MObra[DESCRIPCION],MObra[UN],,0),"")</f>
        <v/>
      </c>
      <c r="D901" s="31"/>
      <c r="E901" s="32" t="str">
        <f>IFERROR(_xlfn.XLOOKUP($B901,MObra[DESCRIPCION],MObra[VALOR UNIT],,0),"")</f>
        <v/>
      </c>
      <c r="F901" s="33"/>
      <c r="G901" s="34" t="str">
        <f>IFERROR(IF(F901&gt;=0,D901*E901*(1+F901/100),ABS(D901*E901/F901)),"")</f>
        <v/>
      </c>
      <c r="H901" s="43" t="str">
        <f>IFERROR(G901*E884,"")</f>
        <v/>
      </c>
    </row>
    <row r="902" spans="1:11">
      <c r="A902" s="35"/>
      <c r="B902" s="36"/>
      <c r="C902" s="37" t="str">
        <f>IFERROR(_xlfn.XLOOKUP(B902,MObra[DESCRIPCION],MObra[UN],,0),"")</f>
        <v/>
      </c>
      <c r="D902" s="38"/>
      <c r="E902" s="39" t="str">
        <f>IFERROR(_xlfn.XLOOKUP($B902,MObra[DESCRIPCION],MObra[VALOR UNIT],,0),"")</f>
        <v/>
      </c>
      <c r="F902" s="40"/>
      <c r="G902" s="41" t="str">
        <f>IFERROR(IF(F902&gt;=0,D902*E902*(1+F902/100),ABS(D902*E902/F902)),"")</f>
        <v/>
      </c>
      <c r="H902" s="42" t="str">
        <f>IFERROR(G902*E884,"")</f>
        <v/>
      </c>
    </row>
    <row r="904" spans="1:11">
      <c r="A904" s="6" t="s">
        <v>2128</v>
      </c>
      <c r="B904" s="7" t="str">
        <f>VLOOKUP($A904,Presupuesto!$A:$D,2,FALSE())</f>
        <v>Sumidero desarenador A.A. Concreto 17.1 Mpa + reja</v>
      </c>
      <c r="C904" s="8" t="str">
        <f>VLOOKUP($A904,Presupuesto!$A:$D,3,FALSE())</f>
        <v>Un</v>
      </c>
      <c r="D904" s="9"/>
      <c r="E904" s="10">
        <f>VLOOKUP($A904,Presupuesto!$A:$D,4,FALSE())</f>
        <v>0</v>
      </c>
      <c r="F904" s="11" t="s">
        <v>2589</v>
      </c>
      <c r="G904" s="12">
        <f>SUM(G906:G922)/2</f>
        <v>1049650.2408349691</v>
      </c>
      <c r="H904" s="13">
        <f>ROUND(SUM(H906:H922),0)/2</f>
        <v>0</v>
      </c>
      <c r="I904" s="10">
        <f>VLOOKUP(A904,Presupuesto!$A:$F,6,0)</f>
        <v>0</v>
      </c>
      <c r="J904" s="10">
        <f>+H904-I904</f>
        <v>0</v>
      </c>
      <c r="K904" s="46">
        <f>+H904-G904*E904</f>
        <v>0</v>
      </c>
    </row>
    <row r="905" spans="1:11">
      <c r="A905" s="14"/>
      <c r="B905" s="15" t="s">
        <v>2586</v>
      </c>
      <c r="C905" s="15" t="s">
        <v>5</v>
      </c>
      <c r="D905" s="16" t="s">
        <v>6</v>
      </c>
      <c r="E905" s="17" t="s">
        <v>7</v>
      </c>
      <c r="F905" s="18" t="s">
        <v>3728</v>
      </c>
      <c r="G905" s="19" t="s">
        <v>3729</v>
      </c>
      <c r="H905" s="20" t="s">
        <v>3797</v>
      </c>
    </row>
    <row r="906" spans="1:11">
      <c r="A906" s="21"/>
      <c r="B906" s="22" t="s">
        <v>3730</v>
      </c>
      <c r="C906" s="23"/>
      <c r="D906" s="24"/>
      <c r="E906" s="25"/>
      <c r="F906" s="26"/>
      <c r="G906" s="27">
        <f>SUM(G907:G911)</f>
        <v>580043.61181291891</v>
      </c>
      <c r="H906" s="27">
        <f>IFERROR(G906*E904,"")</f>
        <v>0</v>
      </c>
    </row>
    <row r="907" spans="1:11">
      <c r="A907" s="28"/>
      <c r="B907" s="29" t="s">
        <v>3239</v>
      </c>
      <c r="C907" s="30" t="str">
        <f>IFERROR(_xlfn.XLOOKUP(B907,Insumo[DESCRIPCION],Insumo[UND],,0),"")</f>
        <v>M3</v>
      </c>
      <c r="D907" s="31">
        <v>1</v>
      </c>
      <c r="E907" s="32">
        <f>IFERROR(_xlfn.XLOOKUP($B907,Insumo[DESCRIPCION],Insumo[VALOR],,0),"")</f>
        <v>521159.50227762427</v>
      </c>
      <c r="F907" s="33">
        <v>5</v>
      </c>
      <c r="G907" s="34">
        <f>IFERROR(IF(F907&gt;=0,D907*E907*(1+F907/100),ABS(D907*E907/F907)),"")</f>
        <v>547217.4773915055</v>
      </c>
      <c r="H907" s="43">
        <f>IFERROR(G907*E904,"")</f>
        <v>0</v>
      </c>
    </row>
    <row r="908" spans="1:11">
      <c r="A908" s="28"/>
      <c r="B908" s="29" t="s">
        <v>2954</v>
      </c>
      <c r="C908" s="30" t="str">
        <f>IFERROR(_xlfn.XLOOKUP(B908,Insumo[DESCRIPCION],Insumo[UND],,0),"")</f>
        <v>M2</v>
      </c>
      <c r="D908" s="31">
        <v>2.1</v>
      </c>
      <c r="E908" s="32">
        <f>IFERROR(_xlfn.XLOOKUP($B908,Insumo[DESCRIPCION],Insumo[VALOR],,0),"")</f>
        <v>102154.92581625449</v>
      </c>
      <c r="F908" s="33">
        <v>-10</v>
      </c>
      <c r="G908" s="34">
        <f>IFERROR(IF(F908&gt;=0,D908*E908*(1+F908/100),ABS(D908*E908/F908)),"")</f>
        <v>21452.534421413446</v>
      </c>
      <c r="H908" s="43">
        <f>IFERROR(G908*E904,"")</f>
        <v>0</v>
      </c>
    </row>
    <row r="909" spans="1:11">
      <c r="A909" s="28"/>
      <c r="B909" s="29" t="s">
        <v>2653</v>
      </c>
      <c r="C909" s="30" t="str">
        <f>IFERROR(_xlfn.XLOOKUP(B909,Insumo[DESCRIPCION],Insumo[UND],,0),"")</f>
        <v>Kg</v>
      </c>
      <c r="D909" s="31">
        <v>2</v>
      </c>
      <c r="E909" s="32">
        <f>IFERROR(_xlfn.XLOOKUP($B909,Insumo[DESCRIPCION],Insumo[VALOR],,0),"")</f>
        <v>5686.8</v>
      </c>
      <c r="F909" s="33"/>
      <c r="G909" s="34">
        <f>IFERROR(IF(F909&gt;=0,D909*E909*(1+F909/100),ABS(D909*E909/F909)),"")</f>
        <v>11373.6</v>
      </c>
      <c r="H909" s="43">
        <f>IFERROR(G909*E904,"")</f>
        <v>0</v>
      </c>
    </row>
    <row r="910" spans="1:11">
      <c r="A910" s="28"/>
      <c r="B910" s="29"/>
      <c r="C910" s="30" t="str">
        <f>IFERROR(_xlfn.XLOOKUP(B910,Insumo[DESCRIPCION],Insumo[UND],,0),"")</f>
        <v/>
      </c>
      <c r="D910" s="31"/>
      <c r="E910" s="32" t="str">
        <f>IFERROR(_xlfn.XLOOKUP($B910,Insumo[DESCRIPCION],Insumo[VALOR],,0),"")</f>
        <v/>
      </c>
      <c r="F910" s="33"/>
      <c r="G910" s="34" t="str">
        <f>IFERROR(IF(F910&gt;=0,D910*E910*(1+F910/100),ABS(D910*E910/F910)),"")</f>
        <v/>
      </c>
      <c r="H910" s="43" t="str">
        <f>IFERROR(G910*E904,"")</f>
        <v/>
      </c>
    </row>
    <row r="911" spans="1:11">
      <c r="A911" s="28"/>
      <c r="B911" s="29"/>
      <c r="C911" s="30" t="str">
        <f>IFERROR(_xlfn.XLOOKUP(B911,Insumo[DESCRIPCION],Insumo[UND],,0),"")</f>
        <v/>
      </c>
      <c r="D911" s="31"/>
      <c r="E911" s="32" t="str">
        <f>IFERROR(_xlfn.XLOOKUP($B911,Insumo[DESCRIPCION],Insumo[VALOR],,0),"")</f>
        <v/>
      </c>
      <c r="F911" s="33"/>
      <c r="G911" s="34" t="str">
        <f>IFERROR(IF(F911&gt;=0,D911*E911*(1+F911/100),ABS(D911*E911/F911)),"")</f>
        <v/>
      </c>
      <c r="H911" s="43" t="str">
        <f>IFERROR(G911*E904,"")</f>
        <v/>
      </c>
    </row>
    <row r="912" spans="1:11">
      <c r="A912" s="21"/>
      <c r="B912" s="22" t="s">
        <v>3731</v>
      </c>
      <c r="C912" s="23"/>
      <c r="D912" s="24"/>
      <c r="E912" s="25"/>
      <c r="F912" s="26"/>
      <c r="G912" s="27">
        <f>SUM(G913:G915)</f>
        <v>38774.859277050004</v>
      </c>
      <c r="H912" s="44">
        <f>G912*E904</f>
        <v>0</v>
      </c>
    </row>
    <row r="913" spans="1:11">
      <c r="A913" s="28"/>
      <c r="B913" s="29" t="s">
        <v>3570</v>
      </c>
      <c r="C913" s="30" t="str">
        <f>IFERROR(_xlfn.XLOOKUP(B913,Equipo[DESCRIPCION],Equipo[UND],,0),"")</f>
        <v>%MO</v>
      </c>
      <c r="D913" s="31">
        <v>0.04</v>
      </c>
      <c r="E913" s="32">
        <f>IF(C913="%MO",G919,IFERROR(_xlfn.XLOOKUP($B913,Equipo[DESCRIPCION],Equipo[VALOR],,0),""))</f>
        <v>430831.76974500006</v>
      </c>
      <c r="F913" s="33"/>
      <c r="G913" s="34">
        <f>IFERROR(IF(F913&gt;=0,D913*E913*(1+F913/100),ABS(D913*E913/F913)),"")</f>
        <v>17233.270789800001</v>
      </c>
      <c r="H913" s="43">
        <f>IFERROR(G913*E904,"")</f>
        <v>0</v>
      </c>
    </row>
    <row r="914" spans="1:11">
      <c r="A914" s="28"/>
      <c r="B914" s="29" t="s">
        <v>3626</v>
      </c>
      <c r="C914" s="30" t="str">
        <f>IFERROR(_xlfn.XLOOKUP(B914,Equipo[DESCRIPCION],Equipo[UND],,0),"")</f>
        <v>%MO</v>
      </c>
      <c r="D914" s="31">
        <v>0.05</v>
      </c>
      <c r="E914" s="32">
        <f>IF(C914="%MO",G920,IFERROR(_xlfn.XLOOKUP($B914,Equipo[DESCRIPCION],Equipo[VALOR],,0),""))</f>
        <v>430831.76974500006</v>
      </c>
      <c r="F914" s="33"/>
      <c r="G914" s="34">
        <f>IFERROR(IF(F914&gt;=0,D914*E914*(1+F914/100),ABS(D914*E914/F914)),"")</f>
        <v>21541.588487250003</v>
      </c>
      <c r="H914" s="43">
        <f>IFERROR(G914*E904,"")</f>
        <v>0</v>
      </c>
    </row>
    <row r="915" spans="1:11">
      <c r="A915" s="28"/>
      <c r="B915" s="29"/>
      <c r="C915" s="30" t="str">
        <f>IFERROR(_xlfn.XLOOKUP(B915,Equipo[DESCRIPCION],Equipo[UND],,0),"")</f>
        <v/>
      </c>
      <c r="D915" s="31"/>
      <c r="E915" s="32" t="str">
        <f>IF(C915="%MO",G921,IFERROR(_xlfn.XLOOKUP($B915,Equipo[DESCRIPCION],Equipo[VALOR],,0),""))</f>
        <v/>
      </c>
      <c r="F915" s="33"/>
      <c r="G915" s="34" t="str">
        <f>IFERROR(IF(F915&gt;=0,D915*E915*(1+F915/100),ABS(D915*E915/F915)),"")</f>
        <v/>
      </c>
      <c r="H915" s="43" t="str">
        <f>IFERROR(G915*E904,"")</f>
        <v/>
      </c>
    </row>
    <row r="916" spans="1:11">
      <c r="A916" s="21"/>
      <c r="B916" s="22" t="s">
        <v>2533</v>
      </c>
      <c r="C916" s="23"/>
      <c r="D916" s="24"/>
      <c r="E916" s="25"/>
      <c r="F916" s="26"/>
      <c r="G916" s="27">
        <f>SUM(G917:G918)</f>
        <v>0</v>
      </c>
      <c r="H916" s="44">
        <f>G916*E904</f>
        <v>0</v>
      </c>
    </row>
    <row r="917" spans="1:11">
      <c r="A917" s="28"/>
      <c r="B917" s="29"/>
      <c r="C917" s="30" t="str">
        <f>IFERROR(_xlfn.XLOOKUP(B917,Transporte[DESCRIPCION],Transporte[UND],,0),"")</f>
        <v/>
      </c>
      <c r="D917" s="31"/>
      <c r="E917" s="32" t="str">
        <f>IFERROR(_xlfn.XLOOKUP($B917,Transporte[DESCRIPCION],Transporte[VALOR],,0),"")</f>
        <v/>
      </c>
      <c r="F917" s="33"/>
      <c r="G917" s="34" t="str">
        <f>IFERROR(IF(F917&gt;=0,D917*E917*(1+F917/100),ABS(D917*E917/F917)),"")</f>
        <v/>
      </c>
      <c r="H917" s="43" t="str">
        <f>IFERROR(G917*E904,"")</f>
        <v/>
      </c>
    </row>
    <row r="918" spans="1:11">
      <c r="A918" s="28"/>
      <c r="B918" s="29"/>
      <c r="C918" s="30" t="str">
        <f>IFERROR(_xlfn.XLOOKUP(B918,Transporte[DESCRIPCION],Transporte[UND],,0),"")</f>
        <v/>
      </c>
      <c r="D918" s="31"/>
      <c r="E918" s="32" t="str">
        <f>IFERROR(_xlfn.XLOOKUP($B918,Transporte[DESCRIPCION],Transporte[VALOR],,0),"")</f>
        <v/>
      </c>
      <c r="F918" s="33"/>
      <c r="G918" s="34" t="str">
        <f>IFERROR(IF(F918&gt;=0,D918*E918*(1+F918/100),ABS(D918*E918/F918)),"")</f>
        <v/>
      </c>
      <c r="H918" s="43" t="str">
        <f>IFERROR(G918*E904,"")</f>
        <v/>
      </c>
    </row>
    <row r="919" spans="1:11">
      <c r="A919" s="21"/>
      <c r="B919" s="22" t="s">
        <v>3732</v>
      </c>
      <c r="C919" s="23"/>
      <c r="D919" s="24"/>
      <c r="E919" s="25"/>
      <c r="F919" s="26"/>
      <c r="G919" s="27">
        <f>SUM(G920:G922)</f>
        <v>430831.76974500006</v>
      </c>
      <c r="H919" s="44">
        <f>G919*E904</f>
        <v>0</v>
      </c>
    </row>
    <row r="920" spans="1:11">
      <c r="A920" s="28"/>
      <c r="B920" s="29" t="s">
        <v>3711</v>
      </c>
      <c r="C920" s="30" t="str">
        <f>IFERROR(_xlfn.XLOOKUP(B920,MObra[DESCRIPCION],MObra[UN],,0),"")</f>
        <v>día</v>
      </c>
      <c r="D920" s="31">
        <v>1</v>
      </c>
      <c r="E920" s="32">
        <f>IFERROR(_xlfn.XLOOKUP($B920,MObra[DESCRIPCION],MObra[VALOR UNIT],,0),"")</f>
        <v>430831.76974500006</v>
      </c>
      <c r="F920" s="33">
        <v>-1</v>
      </c>
      <c r="G920" s="34">
        <f>IFERROR(IF(F920&gt;=0,D920*E920*(1+F920/100),ABS(D920*E920/F920)),"")</f>
        <v>430831.76974500006</v>
      </c>
      <c r="H920" s="43">
        <f>IFERROR(G920*E904,"")</f>
        <v>0</v>
      </c>
    </row>
    <row r="921" spans="1:11">
      <c r="A921" s="28"/>
      <c r="B921" s="29"/>
      <c r="C921" s="30" t="str">
        <f>IFERROR(_xlfn.XLOOKUP(B921,MObra[DESCRIPCION],MObra[UN],,0),"")</f>
        <v/>
      </c>
      <c r="D921" s="31"/>
      <c r="E921" s="32" t="str">
        <f>IFERROR(_xlfn.XLOOKUP($B921,MObra[DESCRIPCION],MObra[VALOR UNIT],,0),"")</f>
        <v/>
      </c>
      <c r="F921" s="33"/>
      <c r="G921" s="34" t="str">
        <f>IFERROR(IF(F921&gt;=0,D921*E921*(1+F921/100),ABS(D921*E921/F921)),"")</f>
        <v/>
      </c>
      <c r="H921" s="43" t="str">
        <f>IFERROR(G921*E904,"")</f>
        <v/>
      </c>
    </row>
    <row r="922" spans="1:11">
      <c r="A922" s="35"/>
      <c r="B922" s="36"/>
      <c r="C922" s="37" t="str">
        <f>IFERROR(_xlfn.XLOOKUP(B922,MObra[DESCRIPCION],MObra[UN],,0),"")</f>
        <v/>
      </c>
      <c r="D922" s="38"/>
      <c r="E922" s="39" t="str">
        <f>IFERROR(_xlfn.XLOOKUP($B922,MObra[DESCRIPCION],MObra[VALOR UNIT],,0),"")</f>
        <v/>
      </c>
      <c r="F922" s="40"/>
      <c r="G922" s="41" t="str">
        <f>IFERROR(IF(F922&gt;=0,D922*E922*(1+F922/100),ABS(D922*E922/F922)),"")</f>
        <v/>
      </c>
      <c r="H922" s="42" t="str">
        <f>IFERROR(G922*E904,"")</f>
        <v/>
      </c>
    </row>
    <row r="924" spans="1:11">
      <c r="A924" s="6" t="s">
        <v>2130</v>
      </c>
      <c r="B924" s="7" t="str">
        <f>VLOOKUP($A924,Presupuesto!$A:$D,2,FALSE())</f>
        <v>Sumidero desarenador A.A. Concreto 24.5 Mpa doble reja</v>
      </c>
      <c r="C924" s="8" t="str">
        <f>VLOOKUP($A924,Presupuesto!$A:$D,3,FALSE())</f>
        <v>Un</v>
      </c>
      <c r="D924" s="9"/>
      <c r="E924" s="10">
        <f>VLOOKUP($A924,Presupuesto!$A:$D,4,FALSE())</f>
        <v>0</v>
      </c>
      <c r="F924" s="11" t="s">
        <v>2589</v>
      </c>
      <c r="G924" s="12">
        <f>SUM(G926:G942)/2</f>
        <v>1420138.7809559139</v>
      </c>
      <c r="H924" s="13">
        <f>ROUND(SUM(H926:H942),0)/2</f>
        <v>0</v>
      </c>
      <c r="I924" s="10">
        <f>VLOOKUP(A924,Presupuesto!$A:$F,6,0)</f>
        <v>0</v>
      </c>
      <c r="J924" s="10">
        <f>+H924-I924</f>
        <v>0</v>
      </c>
      <c r="K924" s="46">
        <f>+H924-G924*E924</f>
        <v>0</v>
      </c>
    </row>
    <row r="925" spans="1:11">
      <c r="A925" s="14"/>
      <c r="B925" s="15" t="s">
        <v>2586</v>
      </c>
      <c r="C925" s="15" t="s">
        <v>5</v>
      </c>
      <c r="D925" s="16" t="s">
        <v>6</v>
      </c>
      <c r="E925" s="17" t="s">
        <v>7</v>
      </c>
      <c r="F925" s="18" t="s">
        <v>3728</v>
      </c>
      <c r="G925" s="19" t="s">
        <v>3729</v>
      </c>
      <c r="H925" s="20" t="s">
        <v>3797</v>
      </c>
    </row>
    <row r="926" spans="1:11">
      <c r="A926" s="21"/>
      <c r="B926" s="22" t="s">
        <v>3730</v>
      </c>
      <c r="C926" s="23"/>
      <c r="D926" s="24"/>
      <c r="E926" s="25"/>
      <c r="F926" s="26"/>
      <c r="G926" s="27">
        <f>SUM(G927:G931)</f>
        <v>967765.42272366385</v>
      </c>
      <c r="H926" s="27">
        <f>IFERROR(G926*E924,"")</f>
        <v>0</v>
      </c>
    </row>
    <row r="927" spans="1:11">
      <c r="A927" s="28"/>
      <c r="B927" s="29" t="s">
        <v>3240</v>
      </c>
      <c r="C927" s="30" t="str">
        <f>IFERROR(_xlfn.XLOOKUP(B927,Insumo[DESCRIPCION],Insumo[UND],,0),"")</f>
        <v>M3</v>
      </c>
      <c r="D927" s="31">
        <v>0.67</v>
      </c>
      <c r="E927" s="32">
        <f>IFERROR(_xlfn.XLOOKUP($B927,Insumo[DESCRIPCION],Insumo[VALOR],,0),"")</f>
        <v>539790.3034961326</v>
      </c>
      <c r="F927" s="33">
        <v>5</v>
      </c>
      <c r="G927" s="34">
        <f>IFERROR(IF(F927&gt;=0,D927*E927*(1+F927/100),ABS(D927*E927/F927)),"")</f>
        <v>379742.47850952932</v>
      </c>
      <c r="H927" s="43">
        <f>IFERROR(G927*E924,"")</f>
        <v>0</v>
      </c>
    </row>
    <row r="928" spans="1:11">
      <c r="A928" s="28"/>
      <c r="B928" s="29" t="s">
        <v>2954</v>
      </c>
      <c r="C928" s="30" t="str">
        <f>IFERROR(_xlfn.XLOOKUP(B928,Insumo[DESCRIPCION],Insumo[UND],,0),"")</f>
        <v>M2</v>
      </c>
      <c r="D928" s="31">
        <v>2.1</v>
      </c>
      <c r="E928" s="32">
        <f>IFERROR(_xlfn.XLOOKUP($B928,Insumo[DESCRIPCION],Insumo[VALOR],,0),"")</f>
        <v>102154.92581625449</v>
      </c>
      <c r="F928" s="33"/>
      <c r="G928" s="34">
        <f>IFERROR(IF(F928&gt;=0,D928*E928*(1+F928/100),ABS(D928*E928/F928)),"")</f>
        <v>214525.34421413444</v>
      </c>
      <c r="H928" s="43">
        <f>IFERROR(G928*E924,"")</f>
        <v>0</v>
      </c>
    </row>
    <row r="929" spans="1:11">
      <c r="A929" s="28"/>
      <c r="B929" s="29" t="s">
        <v>3260</v>
      </c>
      <c r="C929" s="30" t="str">
        <f>IFERROR(_xlfn.XLOOKUP(B929,Insumo[DESCRIPCION],Insumo[UND],,0),"")</f>
        <v>M2</v>
      </c>
      <c r="D929" s="31">
        <v>2</v>
      </c>
      <c r="E929" s="32">
        <f>IFERROR(_xlfn.XLOOKUP($B929,Insumo[DESCRIPCION],Insumo[VALOR],,0),"")</f>
        <v>173493.6</v>
      </c>
      <c r="F929" s="33"/>
      <c r="G929" s="34">
        <f>IFERROR(IF(F929&gt;=0,D929*E929*(1+F929/100),ABS(D929*E929/F929)),"")</f>
        <v>346987.2</v>
      </c>
      <c r="H929" s="43">
        <f>IFERROR(G929*E924,"")</f>
        <v>0</v>
      </c>
    </row>
    <row r="930" spans="1:11">
      <c r="A930" s="28"/>
      <c r="B930" s="29" t="s">
        <v>2653</v>
      </c>
      <c r="C930" s="30" t="str">
        <f>IFERROR(_xlfn.XLOOKUP(B930,Insumo[DESCRIPCION],Insumo[UND],,0),"")</f>
        <v>Kg</v>
      </c>
      <c r="D930" s="31">
        <v>4.5</v>
      </c>
      <c r="E930" s="32">
        <f>IFERROR(_xlfn.XLOOKUP($B930,Insumo[DESCRIPCION],Insumo[VALOR],,0),"")</f>
        <v>5686.8</v>
      </c>
      <c r="F930" s="33"/>
      <c r="G930" s="34">
        <f>IFERROR(IF(F930&gt;=0,D930*E930*(1+F930/100),ABS(D930*E930/F930)),"")</f>
        <v>25590.600000000002</v>
      </c>
      <c r="H930" s="43">
        <f>IFERROR(G930*E924,"")</f>
        <v>0</v>
      </c>
    </row>
    <row r="931" spans="1:11">
      <c r="A931" s="28"/>
      <c r="B931" s="29" t="s">
        <v>2699</v>
      </c>
      <c r="C931" s="30" t="str">
        <f>IFERROR(_xlfn.XLOOKUP(B931,Insumo[DESCRIPCION],Insumo[UND],,0),"")</f>
        <v>Kg</v>
      </c>
      <c r="D931" s="31">
        <v>0.12</v>
      </c>
      <c r="E931" s="32">
        <f>IFERROR(_xlfn.XLOOKUP($B931,Insumo[DESCRIPCION],Insumo[VALOR],,0),"")</f>
        <v>7665</v>
      </c>
      <c r="F931" s="33"/>
      <c r="G931" s="34">
        <f>IFERROR(IF(F931&gt;=0,D931*E931*(1+F931/100),ABS(D931*E931/F931)),"")</f>
        <v>919.8</v>
      </c>
      <c r="H931" s="43">
        <f>IFERROR(G931*E924,"")</f>
        <v>0</v>
      </c>
    </row>
    <row r="932" spans="1:11">
      <c r="A932" s="21"/>
      <c r="B932" s="22" t="s">
        <v>3731</v>
      </c>
      <c r="C932" s="23"/>
      <c r="D932" s="24"/>
      <c r="E932" s="25"/>
      <c r="F932" s="26"/>
      <c r="G932" s="27">
        <f>SUM(G933:G935)</f>
        <v>21541.588487250003</v>
      </c>
      <c r="H932" s="44">
        <f>G932*E924</f>
        <v>0</v>
      </c>
    </row>
    <row r="933" spans="1:11">
      <c r="A933" s="28"/>
      <c r="B933" s="29" t="s">
        <v>3626</v>
      </c>
      <c r="C933" s="30" t="str">
        <f>IFERROR(_xlfn.XLOOKUP(B933,Equipo[DESCRIPCION],Equipo[UND],,0),"")</f>
        <v>%MO</v>
      </c>
      <c r="D933" s="31">
        <v>0.05</v>
      </c>
      <c r="E933" s="32">
        <f>IF(C933="%MO",G939,IFERROR(_xlfn.XLOOKUP($B933,Equipo[DESCRIPCION],Equipo[VALOR],,0),""))</f>
        <v>430831.76974500006</v>
      </c>
      <c r="F933" s="33"/>
      <c r="G933" s="34">
        <f>IFERROR(IF(F933&gt;=0,D933*E933*(1+F933/100),ABS(D933*E933/F933)),"")</f>
        <v>21541.588487250003</v>
      </c>
      <c r="H933" s="43">
        <f>IFERROR(G933*E924,"")</f>
        <v>0</v>
      </c>
    </row>
    <row r="934" spans="1:11">
      <c r="A934" s="28"/>
      <c r="B934" s="29"/>
      <c r="C934" s="30" t="str">
        <f>IFERROR(_xlfn.XLOOKUP(B934,Equipo[DESCRIPCION],Equipo[UND],,0),"")</f>
        <v/>
      </c>
      <c r="D934" s="31"/>
      <c r="E934" s="32" t="str">
        <f>IF(C934="%MO",G940,IFERROR(_xlfn.XLOOKUP($B934,Equipo[DESCRIPCION],Equipo[VALOR],,0),""))</f>
        <v/>
      </c>
      <c r="F934" s="33"/>
      <c r="G934" s="34" t="str">
        <f>IFERROR(IF(F934&gt;=0,D934*E934*(1+F934/100),ABS(D934*E934/F934)),"")</f>
        <v/>
      </c>
      <c r="H934" s="43" t="str">
        <f>IFERROR(G934*E924,"")</f>
        <v/>
      </c>
    </row>
    <row r="935" spans="1:11">
      <c r="A935" s="28"/>
      <c r="B935" s="29"/>
      <c r="C935" s="30" t="str">
        <f>IFERROR(_xlfn.XLOOKUP(B935,Equipo[DESCRIPCION],Equipo[UND],,0),"")</f>
        <v/>
      </c>
      <c r="D935" s="31"/>
      <c r="E935" s="32" t="str">
        <f>IF(C935="%MO",G941,IFERROR(_xlfn.XLOOKUP($B935,Equipo[DESCRIPCION],Equipo[VALOR],,0),""))</f>
        <v/>
      </c>
      <c r="F935" s="33"/>
      <c r="G935" s="34" t="str">
        <f>IFERROR(IF(F935&gt;=0,D935*E935*(1+F935/100),ABS(D935*E935/F935)),"")</f>
        <v/>
      </c>
      <c r="H935" s="43" t="str">
        <f>IFERROR(G935*E924,"")</f>
        <v/>
      </c>
    </row>
    <row r="936" spans="1:11">
      <c r="A936" s="21"/>
      <c r="B936" s="22" t="s">
        <v>2533</v>
      </c>
      <c r="C936" s="23"/>
      <c r="D936" s="24"/>
      <c r="E936" s="25"/>
      <c r="F936" s="26"/>
      <c r="G936" s="27">
        <f>SUM(G937:G938)</f>
        <v>0</v>
      </c>
      <c r="H936" s="44">
        <f>G936*E924</f>
        <v>0</v>
      </c>
    </row>
    <row r="937" spans="1:11">
      <c r="A937" s="28"/>
      <c r="B937" s="29"/>
      <c r="C937" s="30" t="str">
        <f>IFERROR(_xlfn.XLOOKUP(B937,Transporte[DESCRIPCION],Transporte[UND],,0),"")</f>
        <v/>
      </c>
      <c r="D937" s="31"/>
      <c r="E937" s="32" t="str">
        <f>IFERROR(_xlfn.XLOOKUP($B937,Transporte[DESCRIPCION],Transporte[VALOR],,0),"")</f>
        <v/>
      </c>
      <c r="F937" s="33"/>
      <c r="G937" s="34" t="str">
        <f>IFERROR(IF(F937&gt;=0,D937*E937*(1+F937/100),ABS(D937*E937/F937)),"")</f>
        <v/>
      </c>
      <c r="H937" s="43" t="str">
        <f>IFERROR(G937*E924,"")</f>
        <v/>
      </c>
    </row>
    <row r="938" spans="1:11">
      <c r="A938" s="28"/>
      <c r="B938" s="29"/>
      <c r="C938" s="30" t="str">
        <f>IFERROR(_xlfn.XLOOKUP(B938,Transporte[DESCRIPCION],Transporte[UND],,0),"")</f>
        <v/>
      </c>
      <c r="D938" s="31"/>
      <c r="E938" s="32" t="str">
        <f>IFERROR(_xlfn.XLOOKUP($B938,Transporte[DESCRIPCION],Transporte[VALOR],,0),"")</f>
        <v/>
      </c>
      <c r="F938" s="33"/>
      <c r="G938" s="34" t="str">
        <f>IFERROR(IF(F938&gt;=0,D938*E938*(1+F938/100),ABS(D938*E938/F938)),"")</f>
        <v/>
      </c>
      <c r="H938" s="43" t="str">
        <f>IFERROR(G938*E924,"")</f>
        <v/>
      </c>
    </row>
    <row r="939" spans="1:11">
      <c r="A939" s="21"/>
      <c r="B939" s="22" t="s">
        <v>3732</v>
      </c>
      <c r="C939" s="23"/>
      <c r="D939" s="24"/>
      <c r="E939" s="25"/>
      <c r="F939" s="26"/>
      <c r="G939" s="27">
        <f>SUM(G940:G942)</f>
        <v>430831.76974500006</v>
      </c>
      <c r="H939" s="44">
        <f>G939*E924</f>
        <v>0</v>
      </c>
    </row>
    <row r="940" spans="1:11">
      <c r="A940" s="28"/>
      <c r="B940" s="29" t="s">
        <v>3711</v>
      </c>
      <c r="C940" s="30" t="str">
        <f>IFERROR(_xlfn.XLOOKUP(B940,MObra[DESCRIPCION],MObra[UN],,0),"")</f>
        <v>día</v>
      </c>
      <c r="D940" s="31">
        <v>1</v>
      </c>
      <c r="E940" s="32">
        <f>IFERROR(_xlfn.XLOOKUP($B940,MObra[DESCRIPCION],MObra[VALOR UNIT],,0),"")</f>
        <v>430831.76974500006</v>
      </c>
      <c r="F940" s="33">
        <v>-1</v>
      </c>
      <c r="G940" s="34">
        <f>IFERROR(IF(F940&gt;=0,D940*E940*(1+F940/100),ABS(D940*E940/F940)),"")</f>
        <v>430831.76974500006</v>
      </c>
      <c r="H940" s="43">
        <f>IFERROR(G940*E924,"")</f>
        <v>0</v>
      </c>
    </row>
    <row r="941" spans="1:11">
      <c r="A941" s="28"/>
      <c r="B941" s="29"/>
      <c r="C941" s="30" t="str">
        <f>IFERROR(_xlfn.XLOOKUP(B941,MObra[DESCRIPCION],MObra[UN],,0),"")</f>
        <v/>
      </c>
      <c r="D941" s="31"/>
      <c r="E941" s="32" t="str">
        <f>IFERROR(_xlfn.XLOOKUP($B941,MObra[DESCRIPCION],MObra[VALOR UNIT],,0),"")</f>
        <v/>
      </c>
      <c r="F941" s="33"/>
      <c r="G941" s="34" t="str">
        <f>IFERROR(IF(F941&gt;=0,D941*E941*(1+F941/100),ABS(D941*E941/F941)),"")</f>
        <v/>
      </c>
      <c r="H941" s="43" t="str">
        <f>IFERROR(G941*E924,"")</f>
        <v/>
      </c>
    </row>
    <row r="942" spans="1:11">
      <c r="A942" s="35"/>
      <c r="B942" s="36"/>
      <c r="C942" s="37" t="str">
        <f>IFERROR(_xlfn.XLOOKUP(B942,MObra[DESCRIPCION],MObra[UN],,0),"")</f>
        <v/>
      </c>
      <c r="D942" s="38"/>
      <c r="E942" s="39" t="str">
        <f>IFERROR(_xlfn.XLOOKUP($B942,MObra[DESCRIPCION],MObra[VALOR UNIT],,0),"")</f>
        <v/>
      </c>
      <c r="F942" s="40"/>
      <c r="G942" s="41" t="str">
        <f>IFERROR(IF(F942&gt;=0,D942*E942*(1+F942/100),ABS(D942*E942/F942)),"")</f>
        <v/>
      </c>
      <c r="H942" s="42" t="str">
        <f>IFERROR(G942*E924,"")</f>
        <v/>
      </c>
    </row>
    <row r="944" spans="1:11">
      <c r="A944" s="6" t="s">
        <v>2132</v>
      </c>
      <c r="B944" s="7" t="str">
        <f>VLOOKUP($A944,Presupuesto!$A:$D,2,FALSE())</f>
        <v>Sumidero desarenador A.A. Concreto 24.5 Mpa tipo ventana</v>
      </c>
      <c r="C944" s="8" t="str">
        <f>VLOOKUP($A944,Presupuesto!$A:$D,3,FALSE())</f>
        <v>Un</v>
      </c>
      <c r="D944" s="9"/>
      <c r="E944" s="10">
        <f>VLOOKUP($A944,Presupuesto!$A:$D,4,FALSE())</f>
        <v>0</v>
      </c>
      <c r="F944" s="11" t="s">
        <v>2589</v>
      </c>
      <c r="G944" s="12">
        <f>SUM(G946:G962)/2</f>
        <v>1360752.0796343372</v>
      </c>
      <c r="H944" s="13">
        <f>ROUND(SUM(H946:H962),0)/2</f>
        <v>0</v>
      </c>
      <c r="I944" s="10">
        <f>VLOOKUP(A944,Presupuesto!$A:$F,6,0)</f>
        <v>0</v>
      </c>
      <c r="J944" s="10">
        <f>+H944-I944</f>
        <v>0</v>
      </c>
      <c r="K944" s="46">
        <f>+H944-G944*E944</f>
        <v>0</v>
      </c>
    </row>
    <row r="945" spans="1:8">
      <c r="A945" s="14"/>
      <c r="B945" s="15" t="s">
        <v>2586</v>
      </c>
      <c r="C945" s="15" t="s">
        <v>5</v>
      </c>
      <c r="D945" s="16" t="s">
        <v>6</v>
      </c>
      <c r="E945" s="17" t="s">
        <v>7</v>
      </c>
      <c r="F945" s="18" t="s">
        <v>3728</v>
      </c>
      <c r="G945" s="19" t="s">
        <v>3729</v>
      </c>
      <c r="H945" s="20" t="s">
        <v>3797</v>
      </c>
    </row>
    <row r="946" spans="1:8">
      <c r="A946" s="21"/>
      <c r="B946" s="22" t="s">
        <v>3730</v>
      </c>
      <c r="C946" s="23"/>
      <c r="D946" s="24"/>
      <c r="E946" s="25"/>
      <c r="F946" s="26"/>
      <c r="G946" s="27">
        <f>SUM(G947:G951)</f>
        <v>908378.72140208702</v>
      </c>
      <c r="H946" s="27">
        <f>IFERROR(G946*E944,"")</f>
        <v>0</v>
      </c>
    </row>
    <row r="947" spans="1:8">
      <c r="A947" s="28"/>
      <c r="B947" s="29" t="s">
        <v>3240</v>
      </c>
      <c r="C947" s="30" t="str">
        <f>IFERROR(_xlfn.XLOOKUP(B947,Insumo[DESCRIPCION],Insumo[UND],,0),"")</f>
        <v>M3</v>
      </c>
      <c r="D947" s="31">
        <v>0.72</v>
      </c>
      <c r="E947" s="32">
        <f>IFERROR(_xlfn.XLOOKUP($B947,Insumo[DESCRIPCION],Insumo[VALOR],,0),"")</f>
        <v>539790.3034961326</v>
      </c>
      <c r="F947" s="33">
        <v>5</v>
      </c>
      <c r="G947" s="34">
        <f>IFERROR(IF(F947&gt;=0,D947*E947*(1+F947/100),ABS(D947*E947/F947)),"")</f>
        <v>408081.46944307623</v>
      </c>
      <c r="H947" s="43">
        <f>IFERROR(G947*E944,"")</f>
        <v>0</v>
      </c>
    </row>
    <row r="948" spans="1:8">
      <c r="A948" s="28"/>
      <c r="B948" s="29" t="s">
        <v>2954</v>
      </c>
      <c r="C948" s="30" t="str">
        <f>IFERROR(_xlfn.XLOOKUP(B948,Insumo[DESCRIPCION],Insumo[UND],,0),"")</f>
        <v>M2</v>
      </c>
      <c r="D948" s="31">
        <v>2.4</v>
      </c>
      <c r="E948" s="32">
        <f>IFERROR(_xlfn.XLOOKUP($B948,Insumo[DESCRIPCION],Insumo[VALOR],,0),"")</f>
        <v>102154.92581625449</v>
      </c>
      <c r="F948" s="33"/>
      <c r="G948" s="34">
        <f>IFERROR(IF(F948&gt;=0,D948*E948*(1+F948/100),ABS(D948*E948/F948)),"")</f>
        <v>245171.82195901076</v>
      </c>
      <c r="H948" s="43">
        <f>IFERROR(G948*E944,"")</f>
        <v>0</v>
      </c>
    </row>
    <row r="949" spans="1:8">
      <c r="A949" s="28"/>
      <c r="B949" s="29" t="s">
        <v>3260</v>
      </c>
      <c r="C949" s="30" t="str">
        <f>IFERROR(_xlfn.XLOOKUP(B949,Insumo[DESCRIPCION],Insumo[UND],,0),"")</f>
        <v>M2</v>
      </c>
      <c r="D949" s="31">
        <v>1.3</v>
      </c>
      <c r="E949" s="32">
        <f>IFERROR(_xlfn.XLOOKUP($B949,Insumo[DESCRIPCION],Insumo[VALOR],,0),"")</f>
        <v>173493.6</v>
      </c>
      <c r="F949" s="33"/>
      <c r="G949" s="34">
        <f>IFERROR(IF(F949&gt;=0,D949*E949*(1+F949/100),ABS(D949*E949/F949)),"")</f>
        <v>225541.68000000002</v>
      </c>
      <c r="H949" s="43">
        <f>IFERROR(G949*E944,"")</f>
        <v>0</v>
      </c>
    </row>
    <row r="950" spans="1:8">
      <c r="A950" s="28"/>
      <c r="B950" s="29" t="s">
        <v>2653</v>
      </c>
      <c r="C950" s="30" t="str">
        <f>IFERROR(_xlfn.XLOOKUP(B950,Insumo[DESCRIPCION],Insumo[UND],,0),"")</f>
        <v>Kg</v>
      </c>
      <c r="D950" s="31">
        <v>5</v>
      </c>
      <c r="E950" s="32">
        <f>IFERROR(_xlfn.XLOOKUP($B950,Insumo[DESCRIPCION],Insumo[VALOR],,0),"")</f>
        <v>5686.8</v>
      </c>
      <c r="F950" s="33"/>
      <c r="G950" s="34">
        <f>IFERROR(IF(F950&gt;=0,D950*E950*(1+F950/100),ABS(D950*E950/F950)),"")</f>
        <v>28434</v>
      </c>
      <c r="H950" s="43">
        <f>IFERROR(G950*E944,"")</f>
        <v>0</v>
      </c>
    </row>
    <row r="951" spans="1:8">
      <c r="A951" s="28"/>
      <c r="B951" s="29" t="s">
        <v>2699</v>
      </c>
      <c r="C951" s="30" t="str">
        <f>IFERROR(_xlfn.XLOOKUP(B951,Insumo[DESCRIPCION],Insumo[UND],,0),"")</f>
        <v>Kg</v>
      </c>
      <c r="D951" s="31">
        <v>0.15</v>
      </c>
      <c r="E951" s="32">
        <f>IFERROR(_xlfn.XLOOKUP($B951,Insumo[DESCRIPCION],Insumo[VALOR],,0),"")</f>
        <v>7665</v>
      </c>
      <c r="F951" s="33"/>
      <c r="G951" s="34">
        <f>IFERROR(IF(F951&gt;=0,D951*E951*(1+F951/100),ABS(D951*E951/F951)),"")</f>
        <v>1149.75</v>
      </c>
      <c r="H951" s="43">
        <f>IFERROR(G951*E944,"")</f>
        <v>0</v>
      </c>
    </row>
    <row r="952" spans="1:8">
      <c r="A952" s="21"/>
      <c r="B952" s="22" t="s">
        <v>3731</v>
      </c>
      <c r="C952" s="23"/>
      <c r="D952" s="24"/>
      <c r="E952" s="25"/>
      <c r="F952" s="26"/>
      <c r="G952" s="27">
        <f>SUM(G953:G955)</f>
        <v>21541.588487250003</v>
      </c>
      <c r="H952" s="44">
        <f>G952*E944</f>
        <v>0</v>
      </c>
    </row>
    <row r="953" spans="1:8">
      <c r="A953" s="28"/>
      <c r="B953" s="29" t="s">
        <v>3626</v>
      </c>
      <c r="C953" s="30" t="str">
        <f>IFERROR(_xlfn.XLOOKUP(B953,Equipo[DESCRIPCION],Equipo[UND],,0),"")</f>
        <v>%MO</v>
      </c>
      <c r="D953" s="31">
        <v>0.05</v>
      </c>
      <c r="E953" s="32">
        <f>IF(C953="%MO",G959,IFERROR(_xlfn.XLOOKUP($B953,Equipo[DESCRIPCION],Equipo[VALOR],,0),""))</f>
        <v>430831.76974500006</v>
      </c>
      <c r="F953" s="33"/>
      <c r="G953" s="34">
        <f>IFERROR(IF(F953&gt;=0,D953*E953*(1+F953/100),ABS(D953*E953/F953)),"")</f>
        <v>21541.588487250003</v>
      </c>
      <c r="H953" s="43">
        <f>IFERROR(G953*E944,"")</f>
        <v>0</v>
      </c>
    </row>
    <row r="954" spans="1:8">
      <c r="A954" s="28"/>
      <c r="B954" s="29"/>
      <c r="C954" s="30" t="str">
        <f>IFERROR(_xlfn.XLOOKUP(B954,Equipo[DESCRIPCION],Equipo[UND],,0),"")</f>
        <v/>
      </c>
      <c r="D954" s="31"/>
      <c r="E954" s="32" t="str">
        <f>IF(C954="%MO",G960,IFERROR(_xlfn.XLOOKUP($B954,Equipo[DESCRIPCION],Equipo[VALOR],,0),""))</f>
        <v/>
      </c>
      <c r="F954" s="33"/>
      <c r="G954" s="34" t="str">
        <f>IFERROR(IF(F954&gt;=0,D954*E954*(1+F954/100),ABS(D954*E954/F954)),"")</f>
        <v/>
      </c>
      <c r="H954" s="43" t="str">
        <f>IFERROR(G954*E944,"")</f>
        <v/>
      </c>
    </row>
    <row r="955" spans="1:8">
      <c r="A955" s="28"/>
      <c r="B955" s="29"/>
      <c r="C955" s="30" t="str">
        <f>IFERROR(_xlfn.XLOOKUP(B955,Equipo[DESCRIPCION],Equipo[UND],,0),"")</f>
        <v/>
      </c>
      <c r="D955" s="31"/>
      <c r="E955" s="32" t="str">
        <f>IF(C955="%MO",G961,IFERROR(_xlfn.XLOOKUP($B955,Equipo[DESCRIPCION],Equipo[VALOR],,0),""))</f>
        <v/>
      </c>
      <c r="F955" s="33"/>
      <c r="G955" s="34" t="str">
        <f>IFERROR(IF(F955&gt;=0,D955*E955*(1+F955/100),ABS(D955*E955/F955)),"")</f>
        <v/>
      </c>
      <c r="H955" s="43" t="str">
        <f>IFERROR(G955*E944,"")</f>
        <v/>
      </c>
    </row>
    <row r="956" spans="1:8">
      <c r="A956" s="21"/>
      <c r="B956" s="22" t="s">
        <v>2533</v>
      </c>
      <c r="C956" s="23"/>
      <c r="D956" s="24"/>
      <c r="E956" s="25"/>
      <c r="F956" s="26"/>
      <c r="G956" s="27">
        <f>SUM(G957:G958)</f>
        <v>0</v>
      </c>
      <c r="H956" s="44">
        <f>G956*E944</f>
        <v>0</v>
      </c>
    </row>
    <row r="957" spans="1:8">
      <c r="A957" s="28"/>
      <c r="B957" s="29"/>
      <c r="C957" s="30" t="str">
        <f>IFERROR(_xlfn.XLOOKUP(B957,Transporte[DESCRIPCION],Transporte[UND],,0),"")</f>
        <v/>
      </c>
      <c r="D957" s="31"/>
      <c r="E957" s="32" t="str">
        <f>IFERROR(_xlfn.XLOOKUP($B957,Transporte[DESCRIPCION],Transporte[VALOR],,0),"")</f>
        <v/>
      </c>
      <c r="F957" s="33"/>
      <c r="G957" s="34" t="str">
        <f>IFERROR(IF(F957&gt;=0,D957*E957*(1+F957/100),ABS(D957*E957/F957)),"")</f>
        <v/>
      </c>
      <c r="H957" s="43" t="str">
        <f>IFERROR(G957*E944,"")</f>
        <v/>
      </c>
    </row>
    <row r="958" spans="1:8">
      <c r="A958" s="28"/>
      <c r="B958" s="29"/>
      <c r="C958" s="30" t="str">
        <f>IFERROR(_xlfn.XLOOKUP(B958,Transporte[DESCRIPCION],Transporte[UND],,0),"")</f>
        <v/>
      </c>
      <c r="D958" s="31"/>
      <c r="E958" s="32" t="str">
        <f>IFERROR(_xlfn.XLOOKUP($B958,Transporte[DESCRIPCION],Transporte[VALOR],,0),"")</f>
        <v/>
      </c>
      <c r="F958" s="33"/>
      <c r="G958" s="34" t="str">
        <f>IFERROR(IF(F958&gt;=0,D958*E958*(1+F958/100),ABS(D958*E958/F958)),"")</f>
        <v/>
      </c>
      <c r="H958" s="43" t="str">
        <f>IFERROR(G958*E944,"")</f>
        <v/>
      </c>
    </row>
    <row r="959" spans="1:8">
      <c r="A959" s="21"/>
      <c r="B959" s="22" t="s">
        <v>3732</v>
      </c>
      <c r="C959" s="23"/>
      <c r="D959" s="24"/>
      <c r="E959" s="25"/>
      <c r="F959" s="26"/>
      <c r="G959" s="27">
        <f>SUM(G960:G962)</f>
        <v>430831.76974500006</v>
      </c>
      <c r="H959" s="44">
        <f>G959*E944</f>
        <v>0</v>
      </c>
    </row>
    <row r="960" spans="1:8">
      <c r="A960" s="28"/>
      <c r="B960" s="29" t="s">
        <v>3711</v>
      </c>
      <c r="C960" s="30" t="str">
        <f>IFERROR(_xlfn.XLOOKUP(B960,MObra[DESCRIPCION],MObra[UN],,0),"")</f>
        <v>día</v>
      </c>
      <c r="D960" s="31">
        <v>1</v>
      </c>
      <c r="E960" s="32">
        <f>IFERROR(_xlfn.XLOOKUP($B960,MObra[DESCRIPCION],MObra[VALOR UNIT],,0),"")</f>
        <v>430831.76974500006</v>
      </c>
      <c r="F960" s="33">
        <v>-1</v>
      </c>
      <c r="G960" s="34">
        <f>IFERROR(IF(F960&gt;=0,D960*E960*(1+F960/100),ABS(D960*E960/F960)),"")</f>
        <v>430831.76974500006</v>
      </c>
      <c r="H960" s="43">
        <f>IFERROR(G960*E944,"")</f>
        <v>0</v>
      </c>
    </row>
    <row r="961" spans="1:11">
      <c r="A961" s="28"/>
      <c r="B961" s="29"/>
      <c r="C961" s="30" t="str">
        <f>IFERROR(_xlfn.XLOOKUP(B961,MObra[DESCRIPCION],MObra[UN],,0),"")</f>
        <v/>
      </c>
      <c r="D961" s="31"/>
      <c r="E961" s="32" t="str">
        <f>IFERROR(_xlfn.XLOOKUP($B961,MObra[DESCRIPCION],MObra[VALOR UNIT],,0),"")</f>
        <v/>
      </c>
      <c r="F961" s="33"/>
      <c r="G961" s="34" t="str">
        <f>IFERROR(IF(F961&gt;=0,D961*E961*(1+F961/100),ABS(D961*E961/F961)),"")</f>
        <v/>
      </c>
      <c r="H961" s="43" t="str">
        <f>IFERROR(G961*E944,"")</f>
        <v/>
      </c>
    </row>
    <row r="962" spans="1:11">
      <c r="A962" s="35"/>
      <c r="B962" s="36"/>
      <c r="C962" s="37" t="str">
        <f>IFERROR(_xlfn.XLOOKUP(B962,MObra[DESCRIPCION],MObra[UN],,0),"")</f>
        <v/>
      </c>
      <c r="D962" s="38"/>
      <c r="E962" s="39" t="str">
        <f>IFERROR(_xlfn.XLOOKUP($B962,MObra[DESCRIPCION],MObra[VALOR UNIT],,0),"")</f>
        <v/>
      </c>
      <c r="F962" s="40"/>
      <c r="G962" s="41" t="str">
        <f>IFERROR(IF(F962&gt;=0,D962*E962*(1+F962/100),ABS(D962*E962/F962)),"")</f>
        <v/>
      </c>
      <c r="H962" s="42" t="str">
        <f>IFERROR(G962*E944,"")</f>
        <v/>
      </c>
    </row>
    <row r="963" spans="1:11" ht="12.75" customHeight="1"/>
    <row r="964" spans="1:11" ht="13.5" thickTop="1" thickBot="1">
      <c r="A964" s="6" t="s">
        <v>2134</v>
      </c>
      <c r="B964" s="7" t="str">
        <f>VLOOKUP($A964,Presupuesto!$A:$D,2,FALSE())</f>
        <v>Sumidero longitud W=0.25 m concreto 24.5 Mpa + reja</v>
      </c>
      <c r="C964" s="8" t="str">
        <f>VLOOKUP($A964,Presupuesto!$A:$D,3,FALSE())</f>
        <v>M</v>
      </c>
      <c r="D964" s="9"/>
      <c r="E964" s="10">
        <f>VLOOKUP($A964,Presupuesto!$A:$D,4,FALSE())</f>
        <v>0</v>
      </c>
      <c r="F964" s="11" t="s">
        <v>2589</v>
      </c>
      <c r="G964" s="12">
        <f>SUM(G966:G982)/2</f>
        <v>1470402.4874261639</v>
      </c>
      <c r="H964" s="13">
        <f>ROUND(SUM(H966:H982),0)/2</f>
        <v>0</v>
      </c>
      <c r="I964" s="10">
        <f>VLOOKUP(A964,Presupuesto!$A:$F,6,0)</f>
        <v>0</v>
      </c>
      <c r="J964" s="10">
        <f>+H964-I964</f>
        <v>0</v>
      </c>
      <c r="K964" s="46">
        <f>+H964-G964*E964</f>
        <v>0</v>
      </c>
    </row>
    <row r="965" spans="1:11" ht="13.15" thickTop="1">
      <c r="A965" s="14"/>
      <c r="B965" s="15" t="s">
        <v>2586</v>
      </c>
      <c r="C965" s="15" t="s">
        <v>5</v>
      </c>
      <c r="D965" s="16" t="s">
        <v>6</v>
      </c>
      <c r="E965" s="17" t="s">
        <v>7</v>
      </c>
      <c r="F965" s="18" t="s">
        <v>3728</v>
      </c>
      <c r="G965" s="19" t="s">
        <v>3729</v>
      </c>
      <c r="H965" s="20" t="s">
        <v>3797</v>
      </c>
    </row>
    <row r="966" spans="1:11">
      <c r="A966" s="21"/>
      <c r="B966" s="22" t="s">
        <v>3730</v>
      </c>
      <c r="C966" s="23"/>
      <c r="D966" s="24"/>
      <c r="E966" s="25"/>
      <c r="F966" s="26"/>
      <c r="G966" s="27">
        <f>SUM(G967:G971)</f>
        <v>967765.42272366385</v>
      </c>
      <c r="H966" s="27">
        <f>IFERROR(G966*E964,"")</f>
        <v>0</v>
      </c>
    </row>
    <row r="967" spans="1:11">
      <c r="A967" s="28"/>
      <c r="B967" s="29" t="s">
        <v>3240</v>
      </c>
      <c r="C967" s="30" t="str">
        <f>IFERROR(_xlfn.XLOOKUP(B967,Insumo[DESCRIPCION],Insumo[UND],,0),"")</f>
        <v>M3</v>
      </c>
      <c r="D967" s="31">
        <v>0.67</v>
      </c>
      <c r="E967" s="32">
        <f>IFERROR(_xlfn.XLOOKUP($B967,Insumo[DESCRIPCION],Insumo[VALOR],,0),"")</f>
        <v>539790.3034961326</v>
      </c>
      <c r="F967" s="33">
        <v>5</v>
      </c>
      <c r="G967" s="34">
        <f>IFERROR(IF(F967&gt;=0,D967*E967*(1+F967/100),ABS(D967*E967/F967)),"")</f>
        <v>379742.47850952932</v>
      </c>
      <c r="H967" s="43">
        <f>IFERROR(G967*E964,"")</f>
        <v>0</v>
      </c>
    </row>
    <row r="968" spans="1:11">
      <c r="A968" s="28"/>
      <c r="B968" s="29" t="s">
        <v>2954</v>
      </c>
      <c r="C968" s="30" t="str">
        <f>IFERROR(_xlfn.XLOOKUP(B968,Insumo[DESCRIPCION],Insumo[UND],,0),"")</f>
        <v>M2</v>
      </c>
      <c r="D968" s="31">
        <v>2.1</v>
      </c>
      <c r="E968" s="32">
        <f>IFERROR(_xlfn.XLOOKUP($B968,Insumo[DESCRIPCION],Insumo[VALOR],,0),"")</f>
        <v>102154.92581625449</v>
      </c>
      <c r="F968" s="33"/>
      <c r="G968" s="34">
        <f>IFERROR(IF(F968&gt;=0,D968*E968*(1+F968/100),ABS(D968*E968/F968)),"")</f>
        <v>214525.34421413444</v>
      </c>
      <c r="H968" s="43">
        <f>IFERROR(G968*E964,"")</f>
        <v>0</v>
      </c>
    </row>
    <row r="969" spans="1:11">
      <c r="A969" s="28"/>
      <c r="B969" s="29" t="s">
        <v>3260</v>
      </c>
      <c r="C969" s="30" t="str">
        <f>IFERROR(_xlfn.XLOOKUP(B969,Insumo[DESCRIPCION],Insumo[UND],,0),"")</f>
        <v>M2</v>
      </c>
      <c r="D969" s="31">
        <v>2</v>
      </c>
      <c r="E969" s="32">
        <f>IFERROR(_xlfn.XLOOKUP($B969,Insumo[DESCRIPCION],Insumo[VALOR],,0),"")</f>
        <v>173493.6</v>
      </c>
      <c r="F969" s="33"/>
      <c r="G969" s="34">
        <f>IFERROR(IF(F969&gt;=0,D969*E969*(1+F969/100),ABS(D969*E969/F969)),"")</f>
        <v>346987.2</v>
      </c>
      <c r="H969" s="43">
        <f>IFERROR(G969*E964,"")</f>
        <v>0</v>
      </c>
    </row>
    <row r="970" spans="1:11">
      <c r="A970" s="28"/>
      <c r="B970" s="29" t="s">
        <v>2653</v>
      </c>
      <c r="C970" s="30" t="str">
        <f>IFERROR(_xlfn.XLOOKUP(B970,Insumo[DESCRIPCION],Insumo[UND],,0),"")</f>
        <v>Kg</v>
      </c>
      <c r="D970" s="31">
        <v>4.5</v>
      </c>
      <c r="E970" s="32">
        <f>IFERROR(_xlfn.XLOOKUP($B970,Insumo[DESCRIPCION],Insumo[VALOR],,0),"")</f>
        <v>5686.8</v>
      </c>
      <c r="F970" s="33"/>
      <c r="G970" s="34">
        <f>IFERROR(IF(F970&gt;=0,D970*E970*(1+F970/100),ABS(D970*E970/F970)),"")</f>
        <v>25590.600000000002</v>
      </c>
      <c r="H970" s="43">
        <f>IFERROR(G970*E964,"")</f>
        <v>0</v>
      </c>
    </row>
    <row r="971" spans="1:11">
      <c r="A971" s="28"/>
      <c r="B971" s="29" t="s">
        <v>2699</v>
      </c>
      <c r="C971" s="30" t="str">
        <f>IFERROR(_xlfn.XLOOKUP(B971,Insumo[DESCRIPCION],Insumo[UND],,0),"")</f>
        <v>Kg</v>
      </c>
      <c r="D971" s="31">
        <v>0.12</v>
      </c>
      <c r="E971" s="32">
        <f>IFERROR(_xlfn.XLOOKUP($B971,Insumo[DESCRIPCION],Insumo[VALOR],,0),"")</f>
        <v>7665</v>
      </c>
      <c r="F971" s="33"/>
      <c r="G971" s="34">
        <f>IFERROR(IF(F971&gt;=0,D971*E971*(1+F971/100),ABS(D971*E971/F971)),"")</f>
        <v>919.8</v>
      </c>
      <c r="H971" s="43">
        <f>IFERROR(G971*E964,"")</f>
        <v>0</v>
      </c>
    </row>
    <row r="972" spans="1:11">
      <c r="A972" s="21"/>
      <c r="B972" s="22" t="s">
        <v>3731</v>
      </c>
      <c r="C972" s="23"/>
      <c r="D972" s="24"/>
      <c r="E972" s="25"/>
      <c r="F972" s="26"/>
      <c r="G972" s="27">
        <f>SUM(G973:G975)</f>
        <v>23935.098319166671</v>
      </c>
      <c r="H972" s="44">
        <f>G972*E964</f>
        <v>0</v>
      </c>
    </row>
    <row r="973" spans="1:11">
      <c r="A973" s="28"/>
      <c r="B973" s="29" t="s">
        <v>3626</v>
      </c>
      <c r="C973" s="30" t="str">
        <f>IFERROR(_xlfn.XLOOKUP(B973,Equipo[DESCRIPCION],Equipo[UND],,0),"")</f>
        <v>%MO</v>
      </c>
      <c r="D973" s="31">
        <v>0.05</v>
      </c>
      <c r="E973" s="32">
        <f>IF(C973="%MO",G979,IFERROR(_xlfn.XLOOKUP($B973,Equipo[DESCRIPCION],Equipo[VALOR],,0),""))</f>
        <v>478701.96638333338</v>
      </c>
      <c r="F973" s="33"/>
      <c r="G973" s="34">
        <f>IFERROR(IF(F973&gt;=0,D973*E973*(1+F973/100),ABS(D973*E973/F973)),"")</f>
        <v>23935.098319166671</v>
      </c>
      <c r="H973" s="43">
        <f>IFERROR(G973*E964,"")</f>
        <v>0</v>
      </c>
    </row>
    <row r="974" spans="1:11">
      <c r="A974" s="28"/>
      <c r="B974" s="29"/>
      <c r="C974" s="30" t="str">
        <f>IFERROR(_xlfn.XLOOKUP(B974,Equipo[DESCRIPCION],Equipo[UND],,0),"")</f>
        <v/>
      </c>
      <c r="D974" s="31"/>
      <c r="E974" s="32" t="str">
        <f>IF(C974="%MO",G980,IFERROR(_xlfn.XLOOKUP($B974,Equipo[DESCRIPCION],Equipo[VALOR],,0),""))</f>
        <v/>
      </c>
      <c r="F974" s="33"/>
      <c r="G974" s="34" t="str">
        <f>IFERROR(IF(F974&gt;=0,D974*E974*(1+F974/100),ABS(D974*E974/F974)),"")</f>
        <v/>
      </c>
      <c r="H974" s="43" t="str">
        <f>IFERROR(G974*E964,"")</f>
        <v/>
      </c>
    </row>
    <row r="975" spans="1:11">
      <c r="A975" s="28"/>
      <c r="B975" s="29"/>
      <c r="C975" s="30" t="str">
        <f>IFERROR(_xlfn.XLOOKUP(B975,Equipo[DESCRIPCION],Equipo[UND],,0),"")</f>
        <v/>
      </c>
      <c r="D975" s="31"/>
      <c r="E975" s="32" t="str">
        <f>IF(C975="%MO",G981,IFERROR(_xlfn.XLOOKUP($B975,Equipo[DESCRIPCION],Equipo[VALOR],,0),""))</f>
        <v/>
      </c>
      <c r="F975" s="33"/>
      <c r="G975" s="34" t="str">
        <f>IFERROR(IF(F975&gt;=0,D975*E975*(1+F975/100),ABS(D975*E975/F975)),"")</f>
        <v/>
      </c>
      <c r="H975" s="43" t="str">
        <f>IFERROR(G975*E964,"")</f>
        <v/>
      </c>
    </row>
    <row r="976" spans="1:11">
      <c r="A976" s="21"/>
      <c r="B976" s="22" t="s">
        <v>2533</v>
      </c>
      <c r="C976" s="23"/>
      <c r="D976" s="24"/>
      <c r="E976" s="25"/>
      <c r="F976" s="26"/>
      <c r="G976" s="27">
        <f>SUM(G977:G978)</f>
        <v>0</v>
      </c>
      <c r="H976" s="44">
        <f>G976*E964</f>
        <v>0</v>
      </c>
    </row>
    <row r="977" spans="1:11">
      <c r="A977" s="28"/>
      <c r="B977" s="29"/>
      <c r="C977" s="30" t="str">
        <f>IFERROR(_xlfn.XLOOKUP(B977,Transporte[DESCRIPCION],Transporte[UND],,0),"")</f>
        <v/>
      </c>
      <c r="D977" s="31"/>
      <c r="E977" s="32" t="str">
        <f>IFERROR(_xlfn.XLOOKUP($B977,Transporte[DESCRIPCION],Transporte[VALOR],,0),"")</f>
        <v/>
      </c>
      <c r="F977" s="33"/>
      <c r="G977" s="34" t="str">
        <f>IFERROR(IF(F977&gt;=0,D977*E977*(1+F977/100),ABS(D977*E977/F977)),"")</f>
        <v/>
      </c>
      <c r="H977" s="43" t="str">
        <f>IFERROR(G977*E964,"")</f>
        <v/>
      </c>
    </row>
    <row r="978" spans="1:11">
      <c r="A978" s="28"/>
      <c r="B978" s="29"/>
      <c r="C978" s="30" t="str">
        <f>IFERROR(_xlfn.XLOOKUP(B978,Transporte[DESCRIPCION],Transporte[UND],,0),"")</f>
        <v/>
      </c>
      <c r="D978" s="31"/>
      <c r="E978" s="32" t="str">
        <f>IFERROR(_xlfn.XLOOKUP($B978,Transporte[DESCRIPCION],Transporte[VALOR],,0),"")</f>
        <v/>
      </c>
      <c r="F978" s="33"/>
      <c r="G978" s="34" t="str">
        <f>IFERROR(IF(F978&gt;=0,D978*E978*(1+F978/100),ABS(D978*E978/F978)),"")</f>
        <v/>
      </c>
      <c r="H978" s="43" t="str">
        <f>IFERROR(G978*E964,"")</f>
        <v/>
      </c>
    </row>
    <row r="979" spans="1:11">
      <c r="A979" s="21"/>
      <c r="B979" s="22" t="s">
        <v>3732</v>
      </c>
      <c r="C979" s="23"/>
      <c r="D979" s="24"/>
      <c r="E979" s="25"/>
      <c r="F979" s="26"/>
      <c r="G979" s="27">
        <f>SUM(G980:G982)</f>
        <v>478701.96638333338</v>
      </c>
      <c r="H979" s="44">
        <f>G979*E964</f>
        <v>0</v>
      </c>
    </row>
    <row r="980" spans="1:11">
      <c r="A980" s="28"/>
      <c r="B980" s="29" t="s">
        <v>3711</v>
      </c>
      <c r="C980" s="30" t="str">
        <f>IFERROR(_xlfn.XLOOKUP(B980,MObra[DESCRIPCION],MObra[UN],,0),"")</f>
        <v>día</v>
      </c>
      <c r="D980" s="31">
        <v>1</v>
      </c>
      <c r="E980" s="32">
        <f>IFERROR(_xlfn.XLOOKUP($B980,MObra[DESCRIPCION],MObra[VALOR UNIT],,0),"")</f>
        <v>430831.76974500006</v>
      </c>
      <c r="F980" s="33">
        <v>-0.9</v>
      </c>
      <c r="G980" s="34">
        <f>IFERROR(IF(F980&gt;=0,D980*E980*(1+F980/100),ABS(D980*E980/F980)),"")</f>
        <v>478701.96638333338</v>
      </c>
      <c r="H980" s="43">
        <f>IFERROR(G980*E964,"")</f>
        <v>0</v>
      </c>
    </row>
    <row r="981" spans="1:11">
      <c r="A981" s="28"/>
      <c r="B981" s="29"/>
      <c r="C981" s="30" t="str">
        <f>IFERROR(_xlfn.XLOOKUP(B981,MObra[DESCRIPCION],MObra[UN],,0),"")</f>
        <v/>
      </c>
      <c r="D981" s="31"/>
      <c r="E981" s="32" t="str">
        <f>IFERROR(_xlfn.XLOOKUP($B981,MObra[DESCRIPCION],MObra[VALOR UNIT],,0),"")</f>
        <v/>
      </c>
      <c r="F981" s="33"/>
      <c r="G981" s="34" t="str">
        <f>IFERROR(IF(F981&gt;=0,D981*E981*(1+F981/100),ABS(D981*E981/F981)),"")</f>
        <v/>
      </c>
      <c r="H981" s="43" t="str">
        <f>IFERROR(G981*E964,"")</f>
        <v/>
      </c>
    </row>
    <row r="982" spans="1:11">
      <c r="A982" s="35"/>
      <c r="B982" s="36"/>
      <c r="C982" s="37" t="str">
        <f>IFERROR(_xlfn.XLOOKUP(B982,MObra[DESCRIPCION],MObra[UN],,0),"")</f>
        <v/>
      </c>
      <c r="D982" s="38"/>
      <c r="E982" s="39" t="str">
        <f>IFERROR(_xlfn.XLOOKUP($B982,MObra[DESCRIPCION],MObra[VALOR UNIT],,0),"")</f>
        <v/>
      </c>
      <c r="F982" s="40"/>
      <c r="G982" s="41" t="str">
        <f>IFERROR(IF(F982&gt;=0,D982*E982*(1+F982/100),ABS(D982*E982/F982)),"")</f>
        <v/>
      </c>
      <c r="H982" s="42" t="str">
        <f>IFERROR(G982*E964,"")</f>
        <v/>
      </c>
    </row>
    <row r="983" spans="1:11" ht="12.75" customHeight="1"/>
    <row r="984" spans="1:11" ht="13.5" thickTop="1" thickBot="1">
      <c r="A984" s="6" t="s">
        <v>2136</v>
      </c>
      <c r="B984" s="7" t="str">
        <f>VLOOKUP($A984,Presupuesto!$A:$D,2,FALSE())</f>
        <v>Sumidero longitud W=0.40 m concreto 24.5 Mpa + reja</v>
      </c>
      <c r="C984" s="8" t="str">
        <f>VLOOKUP($A984,Presupuesto!$A:$D,3,FALSE())</f>
        <v>M</v>
      </c>
      <c r="D984" s="9"/>
      <c r="E984" s="10">
        <f>VLOOKUP($A984,Presupuesto!$A:$D,4,FALSE())</f>
        <v>0</v>
      </c>
      <c r="F984" s="11" t="s">
        <v>2589</v>
      </c>
      <c r="G984" s="12">
        <f>SUM(G986:G1002)/2</f>
        <v>1411015.7861045869</v>
      </c>
      <c r="H984" s="13">
        <f>ROUND(SUM(H986:H1002),0)/2</f>
        <v>0</v>
      </c>
      <c r="I984" s="10">
        <f>VLOOKUP(A984,Presupuesto!$A:$F,6,0)</f>
        <v>0</v>
      </c>
      <c r="J984" s="10">
        <f>+H984-I984</f>
        <v>0</v>
      </c>
      <c r="K984" s="46">
        <f>+H984-G984*E984</f>
        <v>0</v>
      </c>
    </row>
    <row r="985" spans="1:11" ht="13.15" thickTop="1">
      <c r="A985" s="14"/>
      <c r="B985" s="15" t="s">
        <v>2586</v>
      </c>
      <c r="C985" s="15" t="s">
        <v>5</v>
      </c>
      <c r="D985" s="16" t="s">
        <v>6</v>
      </c>
      <c r="E985" s="17" t="s">
        <v>7</v>
      </c>
      <c r="F985" s="18" t="s">
        <v>3728</v>
      </c>
      <c r="G985" s="19" t="s">
        <v>3729</v>
      </c>
      <c r="H985" s="20" t="s">
        <v>3797</v>
      </c>
    </row>
    <row r="986" spans="1:11">
      <c r="A986" s="21"/>
      <c r="B986" s="22" t="s">
        <v>3730</v>
      </c>
      <c r="C986" s="23"/>
      <c r="D986" s="24"/>
      <c r="E986" s="25"/>
      <c r="F986" s="26"/>
      <c r="G986" s="27">
        <f>SUM(G987:G991)</f>
        <v>908378.72140208702</v>
      </c>
      <c r="H986" s="27">
        <f>IFERROR(G986*E984,"")</f>
        <v>0</v>
      </c>
    </row>
    <row r="987" spans="1:11">
      <c r="A987" s="28"/>
      <c r="B987" s="29" t="s">
        <v>3240</v>
      </c>
      <c r="C987" s="30" t="str">
        <f>IFERROR(_xlfn.XLOOKUP(B987,Insumo[DESCRIPCION],Insumo[UND],,0),"")</f>
        <v>M3</v>
      </c>
      <c r="D987" s="31">
        <v>0.72</v>
      </c>
      <c r="E987" s="32">
        <f>IFERROR(_xlfn.XLOOKUP($B987,Insumo[DESCRIPCION],Insumo[VALOR],,0),"")</f>
        <v>539790.3034961326</v>
      </c>
      <c r="F987" s="33">
        <v>5</v>
      </c>
      <c r="G987" s="34">
        <f>IFERROR(IF(F987&gt;=0,D987*E987*(1+F987/100),ABS(D987*E987/F987)),"")</f>
        <v>408081.46944307623</v>
      </c>
      <c r="H987" s="43">
        <f>IFERROR(G987*E984,"")</f>
        <v>0</v>
      </c>
    </row>
    <row r="988" spans="1:11">
      <c r="A988" s="28"/>
      <c r="B988" s="29" t="s">
        <v>2954</v>
      </c>
      <c r="C988" s="30" t="str">
        <f>IFERROR(_xlfn.XLOOKUP(B988,Insumo[DESCRIPCION],Insumo[UND],,0),"")</f>
        <v>M2</v>
      </c>
      <c r="D988" s="31">
        <v>2.4</v>
      </c>
      <c r="E988" s="32">
        <f>IFERROR(_xlfn.XLOOKUP($B988,Insumo[DESCRIPCION],Insumo[VALOR],,0),"")</f>
        <v>102154.92581625449</v>
      </c>
      <c r="F988" s="33"/>
      <c r="G988" s="34">
        <f>IFERROR(IF(F988&gt;=0,D988*E988*(1+F988/100),ABS(D988*E988/F988)),"")</f>
        <v>245171.82195901076</v>
      </c>
      <c r="H988" s="43">
        <f>IFERROR(G988*E984,"")</f>
        <v>0</v>
      </c>
    </row>
    <row r="989" spans="1:11">
      <c r="A989" s="28"/>
      <c r="B989" s="29" t="s">
        <v>3260</v>
      </c>
      <c r="C989" s="30" t="str">
        <f>IFERROR(_xlfn.XLOOKUP(B989,Insumo[DESCRIPCION],Insumo[UND],,0),"")</f>
        <v>M2</v>
      </c>
      <c r="D989" s="31">
        <v>1.3</v>
      </c>
      <c r="E989" s="32">
        <f>IFERROR(_xlfn.XLOOKUP($B989,Insumo[DESCRIPCION],Insumo[VALOR],,0),"")</f>
        <v>173493.6</v>
      </c>
      <c r="F989" s="33"/>
      <c r="G989" s="34">
        <f>IFERROR(IF(F989&gt;=0,D989*E989*(1+F989/100),ABS(D989*E989/F989)),"")</f>
        <v>225541.68000000002</v>
      </c>
      <c r="H989" s="43">
        <f>IFERROR(G989*E984,"")</f>
        <v>0</v>
      </c>
    </row>
    <row r="990" spans="1:11">
      <c r="A990" s="28"/>
      <c r="B990" s="29" t="s">
        <v>2653</v>
      </c>
      <c r="C990" s="30" t="str">
        <f>IFERROR(_xlfn.XLOOKUP(B990,Insumo[DESCRIPCION],Insumo[UND],,0),"")</f>
        <v>Kg</v>
      </c>
      <c r="D990" s="31">
        <v>5</v>
      </c>
      <c r="E990" s="32">
        <f>IFERROR(_xlfn.XLOOKUP($B990,Insumo[DESCRIPCION],Insumo[VALOR],,0),"")</f>
        <v>5686.8</v>
      </c>
      <c r="F990" s="33"/>
      <c r="G990" s="34">
        <f>IFERROR(IF(F990&gt;=0,D990*E990*(1+F990/100),ABS(D990*E990/F990)),"")</f>
        <v>28434</v>
      </c>
      <c r="H990" s="43">
        <f>IFERROR(G990*E984,"")</f>
        <v>0</v>
      </c>
    </row>
    <row r="991" spans="1:11">
      <c r="A991" s="28"/>
      <c r="B991" s="29" t="s">
        <v>2699</v>
      </c>
      <c r="C991" s="30" t="str">
        <f>IFERROR(_xlfn.XLOOKUP(B991,Insumo[DESCRIPCION],Insumo[UND],,0),"")</f>
        <v>Kg</v>
      </c>
      <c r="D991" s="31">
        <v>0.15</v>
      </c>
      <c r="E991" s="32">
        <f>IFERROR(_xlfn.XLOOKUP($B991,Insumo[DESCRIPCION],Insumo[VALOR],,0),"")</f>
        <v>7665</v>
      </c>
      <c r="F991" s="33"/>
      <c r="G991" s="34">
        <f>IFERROR(IF(F991&gt;=0,D991*E991*(1+F991/100),ABS(D991*E991/F991)),"")</f>
        <v>1149.75</v>
      </c>
      <c r="H991" s="43">
        <f>IFERROR(G991*E984,"")</f>
        <v>0</v>
      </c>
    </row>
    <row r="992" spans="1:11">
      <c r="A992" s="21"/>
      <c r="B992" s="22" t="s">
        <v>3731</v>
      </c>
      <c r="C992" s="23"/>
      <c r="D992" s="24"/>
      <c r="E992" s="25"/>
      <c r="F992" s="26"/>
      <c r="G992" s="27">
        <f>SUM(G993:G995)</f>
        <v>23935.098319166671</v>
      </c>
      <c r="H992" s="44">
        <f>G992*E984</f>
        <v>0</v>
      </c>
    </row>
    <row r="993" spans="1:11">
      <c r="A993" s="28"/>
      <c r="B993" s="29" t="s">
        <v>3626</v>
      </c>
      <c r="C993" s="30" t="str">
        <f>IFERROR(_xlfn.XLOOKUP(B993,Equipo[DESCRIPCION],Equipo[UND],,0),"")</f>
        <v>%MO</v>
      </c>
      <c r="D993" s="31">
        <v>0.05</v>
      </c>
      <c r="E993" s="32">
        <f>IF(C993="%MO",G999,IFERROR(_xlfn.XLOOKUP($B993,Equipo[DESCRIPCION],Equipo[VALOR],,0),""))</f>
        <v>478701.96638333338</v>
      </c>
      <c r="F993" s="33"/>
      <c r="G993" s="34">
        <f>IFERROR(IF(F993&gt;=0,D993*E993*(1+F993/100),ABS(D993*E993/F993)),"")</f>
        <v>23935.098319166671</v>
      </c>
      <c r="H993" s="43">
        <f>IFERROR(G993*E984,"")</f>
        <v>0</v>
      </c>
    </row>
    <row r="994" spans="1:11">
      <c r="A994" s="28"/>
      <c r="B994" s="29"/>
      <c r="C994" s="30" t="str">
        <f>IFERROR(_xlfn.XLOOKUP(B994,Equipo[DESCRIPCION],Equipo[UND],,0),"")</f>
        <v/>
      </c>
      <c r="D994" s="31"/>
      <c r="E994" s="32" t="str">
        <f>IF(C994="%MO",G1000,IFERROR(_xlfn.XLOOKUP($B994,Equipo[DESCRIPCION],Equipo[VALOR],,0),""))</f>
        <v/>
      </c>
      <c r="F994" s="33"/>
      <c r="G994" s="34" t="str">
        <f>IFERROR(IF(F994&gt;=0,D994*E994*(1+F994/100),ABS(D994*E994/F994)),"")</f>
        <v/>
      </c>
      <c r="H994" s="43" t="str">
        <f>IFERROR(G994*E984,"")</f>
        <v/>
      </c>
    </row>
    <row r="995" spans="1:11">
      <c r="A995" s="28"/>
      <c r="B995" s="29"/>
      <c r="C995" s="30" t="str">
        <f>IFERROR(_xlfn.XLOOKUP(B995,Equipo[DESCRIPCION],Equipo[UND],,0),"")</f>
        <v/>
      </c>
      <c r="D995" s="31"/>
      <c r="E995" s="32" t="str">
        <f>IF(C995="%MO",G1001,IFERROR(_xlfn.XLOOKUP($B995,Equipo[DESCRIPCION],Equipo[VALOR],,0),""))</f>
        <v/>
      </c>
      <c r="F995" s="33"/>
      <c r="G995" s="34" t="str">
        <f>IFERROR(IF(F995&gt;=0,D995*E995*(1+F995/100),ABS(D995*E995/F995)),"")</f>
        <v/>
      </c>
      <c r="H995" s="43" t="str">
        <f>IFERROR(G995*E984,"")</f>
        <v/>
      </c>
    </row>
    <row r="996" spans="1:11">
      <c r="A996" s="21"/>
      <c r="B996" s="22" t="s">
        <v>2533</v>
      </c>
      <c r="C996" s="23"/>
      <c r="D996" s="24"/>
      <c r="E996" s="25"/>
      <c r="F996" s="26"/>
      <c r="G996" s="27">
        <f>SUM(G997:G998)</f>
        <v>0</v>
      </c>
      <c r="H996" s="44">
        <f>G996*E984</f>
        <v>0</v>
      </c>
    </row>
    <row r="997" spans="1:11">
      <c r="A997" s="28"/>
      <c r="B997" s="29"/>
      <c r="C997" s="30" t="str">
        <f>IFERROR(_xlfn.XLOOKUP(B997,Transporte[DESCRIPCION],Transporte[UND],,0),"")</f>
        <v/>
      </c>
      <c r="D997" s="31"/>
      <c r="E997" s="32" t="str">
        <f>IFERROR(_xlfn.XLOOKUP($B997,Transporte[DESCRIPCION],Transporte[VALOR],,0),"")</f>
        <v/>
      </c>
      <c r="F997" s="33"/>
      <c r="G997" s="34" t="str">
        <f>IFERROR(IF(F997&gt;=0,D997*E997*(1+F997/100),ABS(D997*E997/F997)),"")</f>
        <v/>
      </c>
      <c r="H997" s="43" t="str">
        <f>IFERROR(G997*E984,"")</f>
        <v/>
      </c>
    </row>
    <row r="998" spans="1:11">
      <c r="A998" s="28"/>
      <c r="B998" s="29"/>
      <c r="C998" s="30" t="str">
        <f>IFERROR(_xlfn.XLOOKUP(B998,Transporte[DESCRIPCION],Transporte[UND],,0),"")</f>
        <v/>
      </c>
      <c r="D998" s="31"/>
      <c r="E998" s="32" t="str">
        <f>IFERROR(_xlfn.XLOOKUP($B998,Transporte[DESCRIPCION],Transporte[VALOR],,0),"")</f>
        <v/>
      </c>
      <c r="F998" s="33"/>
      <c r="G998" s="34" t="str">
        <f>IFERROR(IF(F998&gt;=0,D998*E998*(1+F998/100),ABS(D998*E998/F998)),"")</f>
        <v/>
      </c>
      <c r="H998" s="43" t="str">
        <f>IFERROR(G998*E984,"")</f>
        <v/>
      </c>
    </row>
    <row r="999" spans="1:11">
      <c r="A999" s="21"/>
      <c r="B999" s="22" t="s">
        <v>3732</v>
      </c>
      <c r="C999" s="23"/>
      <c r="D999" s="24"/>
      <c r="E999" s="25"/>
      <c r="F999" s="26"/>
      <c r="G999" s="27">
        <f>SUM(G1000:G1002)</f>
        <v>478701.96638333338</v>
      </c>
      <c r="H999" s="44">
        <f>G999*E984</f>
        <v>0</v>
      </c>
    </row>
    <row r="1000" spans="1:11">
      <c r="A1000" s="28"/>
      <c r="B1000" s="29" t="s">
        <v>3711</v>
      </c>
      <c r="C1000" s="30" t="str">
        <f>IFERROR(_xlfn.XLOOKUP(B1000,MObra[DESCRIPCION],MObra[UN],,0),"")</f>
        <v>día</v>
      </c>
      <c r="D1000" s="31">
        <v>1</v>
      </c>
      <c r="E1000" s="32">
        <f>IFERROR(_xlfn.XLOOKUP($B1000,MObra[DESCRIPCION],MObra[VALOR UNIT],,0),"")</f>
        <v>430831.76974500006</v>
      </c>
      <c r="F1000" s="33">
        <v>-0.9</v>
      </c>
      <c r="G1000" s="34">
        <f>IFERROR(IF(F1000&gt;=0,D1000*E1000*(1+F1000/100),ABS(D1000*E1000/F1000)),"")</f>
        <v>478701.96638333338</v>
      </c>
      <c r="H1000" s="43">
        <f>IFERROR(G1000*E984,"")</f>
        <v>0</v>
      </c>
    </row>
    <row r="1001" spans="1:11">
      <c r="A1001" s="28"/>
      <c r="B1001" s="29"/>
      <c r="C1001" s="30" t="str">
        <f>IFERROR(_xlfn.XLOOKUP(B1001,MObra[DESCRIPCION],MObra[UN],,0),"")</f>
        <v/>
      </c>
      <c r="D1001" s="31"/>
      <c r="E1001" s="32" t="str">
        <f>IFERROR(_xlfn.XLOOKUP($B1001,MObra[DESCRIPCION],MObra[VALOR UNIT],,0),"")</f>
        <v/>
      </c>
      <c r="F1001" s="33"/>
      <c r="G1001" s="34" t="str">
        <f>IFERROR(IF(F1001&gt;=0,D1001*E1001*(1+F1001/100),ABS(D1001*E1001/F1001)),"")</f>
        <v/>
      </c>
      <c r="H1001" s="43" t="str">
        <f>IFERROR(G1001*E984,"")</f>
        <v/>
      </c>
    </row>
    <row r="1002" spans="1:11">
      <c r="A1002" s="35"/>
      <c r="B1002" s="36"/>
      <c r="C1002" s="37" t="str">
        <f>IFERROR(_xlfn.XLOOKUP(B1002,MObra[DESCRIPCION],MObra[UN],,0),"")</f>
        <v/>
      </c>
      <c r="D1002" s="38"/>
      <c r="E1002" s="39" t="str">
        <f>IFERROR(_xlfn.XLOOKUP($B1002,MObra[DESCRIPCION],MObra[VALOR UNIT],,0),"")</f>
        <v/>
      </c>
      <c r="F1002" s="40"/>
      <c r="G1002" s="41" t="str">
        <f>IFERROR(IF(F1002&gt;=0,D1002*E1002*(1+F1002/100),ABS(D1002*E1002/F1002)),"")</f>
        <v/>
      </c>
      <c r="H1002" s="42" t="str">
        <f>IFERROR(G1002*E984,"")</f>
        <v/>
      </c>
    </row>
    <row r="1003" spans="1:11" ht="12.75" customHeight="1"/>
    <row r="1004" spans="1:11" ht="13.5" thickTop="1" thickBot="1">
      <c r="A1004" s="6" t="s">
        <v>2138</v>
      </c>
      <c r="B1004" s="7" t="str">
        <f>VLOOKUP($A1004,Presupuesto!$A:$D,2,FALSE())</f>
        <v>Tapa cámara alcantarillado A.A. HF + aro Manhole</v>
      </c>
      <c r="C1004" s="8" t="str">
        <f>VLOOKUP($A1004,Presupuesto!$A:$D,3,FALSE())</f>
        <v>Un</v>
      </c>
      <c r="D1004" s="9"/>
      <c r="E1004" s="10">
        <f>VLOOKUP($A1004,Presupuesto!$A:$D,4,FALSE())</f>
        <v>0</v>
      </c>
      <c r="F1004" s="11" t="s">
        <v>2589</v>
      </c>
      <c r="G1004" s="12">
        <f>SUM(G1006:G1022)/2</f>
        <v>1737948.5288439747</v>
      </c>
      <c r="H1004" s="13">
        <f>ROUND(SUM(H1006:H1022),0)/2</f>
        <v>0</v>
      </c>
      <c r="I1004" s="10">
        <f>VLOOKUP(A1004,Presupuesto!$A:$F,6,0)</f>
        <v>0</v>
      </c>
      <c r="J1004" s="10">
        <f>+H1004-I1004</f>
        <v>0</v>
      </c>
      <c r="K1004" s="46">
        <f>+H1004-G1004*E1004</f>
        <v>0</v>
      </c>
    </row>
    <row r="1005" spans="1:11" ht="13.15" thickTop="1">
      <c r="A1005" s="14"/>
      <c r="B1005" s="15" t="s">
        <v>2586</v>
      </c>
      <c r="C1005" s="15" t="s">
        <v>5</v>
      </c>
      <c r="D1005" s="16" t="s">
        <v>6</v>
      </c>
      <c r="E1005" s="17" t="s">
        <v>7</v>
      </c>
      <c r="F1005" s="18" t="s">
        <v>3728</v>
      </c>
      <c r="G1005" s="19" t="s">
        <v>3729</v>
      </c>
      <c r="H1005" s="20" t="s">
        <v>3797</v>
      </c>
    </row>
    <row r="1006" spans="1:11">
      <c r="A1006" s="21"/>
      <c r="B1006" s="22" t="s">
        <v>3730</v>
      </c>
      <c r="C1006" s="23"/>
      <c r="D1006" s="24"/>
      <c r="E1006" s="25"/>
      <c r="F1006" s="26"/>
      <c r="G1006" s="27">
        <f>SUM(G1007:G1011)</f>
        <v>1704937.5</v>
      </c>
      <c r="H1006" s="27">
        <f>IFERROR(G1006*E1004,"")</f>
        <v>0</v>
      </c>
    </row>
    <row r="1007" spans="1:11">
      <c r="A1007" s="28"/>
      <c r="B1007" s="29" t="s">
        <v>3364</v>
      </c>
      <c r="C1007" s="30" t="str">
        <f>IFERROR(_xlfn.XLOOKUP(B1007,Insumo[DESCRIPCION],Insumo[UND],,0),"")</f>
        <v>Un</v>
      </c>
      <c r="D1007" s="31">
        <v>1</v>
      </c>
      <c r="E1007" s="32">
        <f>IFERROR(_xlfn.XLOOKUP($B1007,Insumo[DESCRIPCION],Insumo[VALOR],,0),"")</f>
        <v>1704937.5</v>
      </c>
      <c r="F1007" s="33"/>
      <c r="G1007" s="34">
        <f>IFERROR(IF(F1007&gt;=0,D1007*E1007*(1+F1007/100),ABS(D1007*E1007/F1007)),"")</f>
        <v>1704937.5</v>
      </c>
      <c r="H1007" s="43">
        <f>IFERROR(G1007*E1004,"")</f>
        <v>0</v>
      </c>
    </row>
    <row r="1008" spans="1:11">
      <c r="A1008" s="28"/>
      <c r="B1008" s="29"/>
      <c r="C1008" s="30" t="str">
        <f>IFERROR(_xlfn.XLOOKUP(B1008,Insumo[DESCRIPCION],Insumo[UND],,0),"")</f>
        <v/>
      </c>
      <c r="D1008" s="31"/>
      <c r="E1008" s="32" t="str">
        <f>IFERROR(_xlfn.XLOOKUP($B1008,Insumo[DESCRIPCION],Insumo[VALOR],,0),"")</f>
        <v/>
      </c>
      <c r="F1008" s="33"/>
      <c r="G1008" s="34" t="str">
        <f>IFERROR(IF(F1008&gt;=0,D1008*E1008*(1+F1008/100),ABS(D1008*E1008/F1008)),"")</f>
        <v/>
      </c>
      <c r="H1008" s="43" t="str">
        <f>IFERROR(G1008*E1004,"")</f>
        <v/>
      </c>
    </row>
    <row r="1009" spans="1:11">
      <c r="A1009" s="28"/>
      <c r="B1009" s="29"/>
      <c r="C1009" s="30" t="str">
        <f>IFERROR(_xlfn.XLOOKUP(B1009,Insumo[DESCRIPCION],Insumo[UND],,0),"")</f>
        <v/>
      </c>
      <c r="D1009" s="31"/>
      <c r="E1009" s="32" t="str">
        <f>IFERROR(_xlfn.XLOOKUP($B1009,Insumo[DESCRIPCION],Insumo[VALOR],,0),"")</f>
        <v/>
      </c>
      <c r="F1009" s="33"/>
      <c r="G1009" s="34" t="str">
        <f>IFERROR(IF(F1009&gt;=0,D1009*E1009*(1+F1009/100),ABS(D1009*E1009/F1009)),"")</f>
        <v/>
      </c>
      <c r="H1009" s="43" t="str">
        <f>IFERROR(G1009*E1004,"")</f>
        <v/>
      </c>
    </row>
    <row r="1010" spans="1:11">
      <c r="A1010" s="28"/>
      <c r="B1010" s="29"/>
      <c r="C1010" s="30" t="str">
        <f>IFERROR(_xlfn.XLOOKUP(B1010,Insumo[DESCRIPCION],Insumo[UND],,0),"")</f>
        <v/>
      </c>
      <c r="D1010" s="31"/>
      <c r="E1010" s="32" t="str">
        <f>IFERROR(_xlfn.XLOOKUP($B1010,Insumo[DESCRIPCION],Insumo[VALOR],,0),"")</f>
        <v/>
      </c>
      <c r="F1010" s="33"/>
      <c r="G1010" s="34" t="str">
        <f>IFERROR(IF(F1010&gt;=0,D1010*E1010*(1+F1010/100),ABS(D1010*E1010/F1010)),"")</f>
        <v/>
      </c>
      <c r="H1010" s="43" t="str">
        <f>IFERROR(G1010*E1004,"")</f>
        <v/>
      </c>
    </row>
    <row r="1011" spans="1:11">
      <c r="A1011" s="28"/>
      <c r="B1011" s="29"/>
      <c r="C1011" s="30" t="str">
        <f>IFERROR(_xlfn.XLOOKUP(B1011,Insumo[DESCRIPCION],Insumo[UND],,0),"")</f>
        <v/>
      </c>
      <c r="D1011" s="31"/>
      <c r="E1011" s="32" t="str">
        <f>IFERROR(_xlfn.XLOOKUP($B1011,Insumo[DESCRIPCION],Insumo[VALOR],,0),"")</f>
        <v/>
      </c>
      <c r="F1011" s="33"/>
      <c r="G1011" s="34" t="str">
        <f>IFERROR(IF(F1011&gt;=0,D1011*E1011*(1+F1011/100),ABS(D1011*E1011/F1011)),"")</f>
        <v/>
      </c>
      <c r="H1011" s="43" t="str">
        <f>IFERROR(G1011*E1004,"")</f>
        <v/>
      </c>
    </row>
    <row r="1012" spans="1:11">
      <c r="A1012" s="21"/>
      <c r="B1012" s="22" t="s">
        <v>3731</v>
      </c>
      <c r="C1012" s="23"/>
      <c r="D1012" s="24"/>
      <c r="E1012" s="25"/>
      <c r="F1012" s="26"/>
      <c r="G1012" s="27">
        <f>SUM(G1013:G1015)</f>
        <v>1571.9537544750003</v>
      </c>
      <c r="H1012" s="44">
        <f>G1012*E1004</f>
        <v>0</v>
      </c>
    </row>
    <row r="1013" spans="1:11">
      <c r="A1013" s="28"/>
      <c r="B1013" s="29" t="s">
        <v>3626</v>
      </c>
      <c r="C1013" s="30" t="str">
        <f>IFERROR(_xlfn.XLOOKUP(B1013,Equipo[DESCRIPCION],Equipo[UND],,0),"")</f>
        <v>%MO</v>
      </c>
      <c r="D1013" s="31">
        <v>0.05</v>
      </c>
      <c r="E1013" s="32">
        <f>IF(C1013="%MO",G1019,IFERROR(_xlfn.XLOOKUP($B1013,Equipo[DESCRIPCION],Equipo[VALOR],,0),""))</f>
        <v>31439.075089500006</v>
      </c>
      <c r="F1013" s="33"/>
      <c r="G1013" s="34">
        <f>IFERROR(IF(F1013&gt;=0,D1013*E1013*(1+F1013/100),ABS(D1013*E1013/F1013)),"")</f>
        <v>1571.9537544750003</v>
      </c>
      <c r="H1013" s="43">
        <f>IFERROR(G1013*E1004,"")</f>
        <v>0</v>
      </c>
    </row>
    <row r="1014" spans="1:11">
      <c r="A1014" s="28"/>
      <c r="B1014" s="29"/>
      <c r="C1014" s="30" t="str">
        <f>IFERROR(_xlfn.XLOOKUP(B1014,Equipo[DESCRIPCION],Equipo[UND],,0),"")</f>
        <v/>
      </c>
      <c r="D1014" s="31"/>
      <c r="E1014" s="32" t="str">
        <f>IF(C1014="%MO",G1020,IFERROR(_xlfn.XLOOKUP($B1014,Equipo[DESCRIPCION],Equipo[VALOR],,0),""))</f>
        <v/>
      </c>
      <c r="F1014" s="33"/>
      <c r="G1014" s="34" t="str">
        <f>IFERROR(IF(F1014&gt;=0,D1014*E1014*(1+F1014/100),ABS(D1014*E1014/F1014)),"")</f>
        <v/>
      </c>
      <c r="H1014" s="43" t="str">
        <f>IFERROR(G1014*E1004,"")</f>
        <v/>
      </c>
    </row>
    <row r="1015" spans="1:11">
      <c r="A1015" s="28"/>
      <c r="B1015" s="29"/>
      <c r="C1015" s="30" t="str">
        <f>IFERROR(_xlfn.XLOOKUP(B1015,Equipo[DESCRIPCION],Equipo[UND],,0),"")</f>
        <v/>
      </c>
      <c r="D1015" s="31"/>
      <c r="E1015" s="32" t="str">
        <f>IF(C1015="%MO",G1021,IFERROR(_xlfn.XLOOKUP($B1015,Equipo[DESCRIPCION],Equipo[VALOR],,0),""))</f>
        <v/>
      </c>
      <c r="F1015" s="33"/>
      <c r="G1015" s="34" t="str">
        <f>IFERROR(IF(F1015&gt;=0,D1015*E1015*(1+F1015/100),ABS(D1015*E1015/F1015)),"")</f>
        <v/>
      </c>
      <c r="H1015" s="43" t="str">
        <f>IFERROR(G1015*E1004,"")</f>
        <v/>
      </c>
    </row>
    <row r="1016" spans="1:11">
      <c r="A1016" s="21"/>
      <c r="B1016" s="22" t="s">
        <v>2533</v>
      </c>
      <c r="C1016" s="23"/>
      <c r="D1016" s="24"/>
      <c r="E1016" s="25"/>
      <c r="F1016" s="26"/>
      <c r="G1016" s="27">
        <f>SUM(G1017:G1018)</f>
        <v>0</v>
      </c>
      <c r="H1016" s="44">
        <f>G1016*E1004</f>
        <v>0</v>
      </c>
    </row>
    <row r="1017" spans="1:11">
      <c r="A1017" s="28"/>
      <c r="B1017" s="29"/>
      <c r="C1017" s="30" t="str">
        <f>IFERROR(_xlfn.XLOOKUP(B1017,Transporte[DESCRIPCION],Transporte[UND],,0),"")</f>
        <v/>
      </c>
      <c r="D1017" s="31"/>
      <c r="E1017" s="32" t="str">
        <f>IFERROR(_xlfn.XLOOKUP($B1017,Transporte[DESCRIPCION],Transporte[VALOR],,0),"")</f>
        <v/>
      </c>
      <c r="F1017" s="33"/>
      <c r="G1017" s="34" t="str">
        <f>IFERROR(IF(F1017&gt;=0,D1017*E1017*(1+F1017/100),ABS(D1017*E1017/F1017)),"")</f>
        <v/>
      </c>
      <c r="H1017" s="43" t="str">
        <f>IFERROR(G1017*E1004,"")</f>
        <v/>
      </c>
    </row>
    <row r="1018" spans="1:11">
      <c r="A1018" s="28"/>
      <c r="B1018" s="29"/>
      <c r="C1018" s="30" t="str">
        <f>IFERROR(_xlfn.XLOOKUP(B1018,Transporte[DESCRIPCION],Transporte[UND],,0),"")</f>
        <v/>
      </c>
      <c r="D1018" s="31"/>
      <c r="E1018" s="32" t="str">
        <f>IFERROR(_xlfn.XLOOKUP($B1018,Transporte[DESCRIPCION],Transporte[VALOR],,0),"")</f>
        <v/>
      </c>
      <c r="F1018" s="33"/>
      <c r="G1018" s="34" t="str">
        <f>IFERROR(IF(F1018&gt;=0,D1018*E1018*(1+F1018/100),ABS(D1018*E1018/F1018)),"")</f>
        <v/>
      </c>
      <c r="H1018" s="43" t="str">
        <f>IFERROR(G1018*E1004,"")</f>
        <v/>
      </c>
    </row>
    <row r="1019" spans="1:11">
      <c r="A1019" s="21"/>
      <c r="B1019" s="22" t="s">
        <v>3732</v>
      </c>
      <c r="C1019" s="23"/>
      <c r="D1019" s="24"/>
      <c r="E1019" s="25"/>
      <c r="F1019" s="26"/>
      <c r="G1019" s="27">
        <f>SUM(G1020:G1022)</f>
        <v>31439.075089500006</v>
      </c>
      <c r="H1019" s="44">
        <f>G1019*E1004</f>
        <v>0</v>
      </c>
    </row>
    <row r="1020" spans="1:11">
      <c r="A1020" s="28"/>
      <c r="B1020" s="29" t="s">
        <v>3710</v>
      </c>
      <c r="C1020" s="30" t="str">
        <f>IFERROR(_xlfn.XLOOKUP(B1020,MObra[DESCRIPCION],MObra[UN],,0),"")</f>
        <v>día</v>
      </c>
      <c r="D1020" s="31">
        <v>1</v>
      </c>
      <c r="E1020" s="32">
        <f>IFERROR(_xlfn.XLOOKUP($B1020,MObra[DESCRIPCION],MObra[VALOR UNIT],,0),"")</f>
        <v>314390.75089500006</v>
      </c>
      <c r="F1020" s="33">
        <v>-10</v>
      </c>
      <c r="G1020" s="34">
        <f>IFERROR(IF(F1020&gt;=0,D1020*E1020*(1+F1020/100),ABS(D1020*E1020/F1020)),"")</f>
        <v>31439.075089500006</v>
      </c>
      <c r="H1020" s="43">
        <f>IFERROR(G1020*E1004,"")</f>
        <v>0</v>
      </c>
    </row>
    <row r="1021" spans="1:11">
      <c r="A1021" s="28"/>
      <c r="B1021" s="29"/>
      <c r="C1021" s="30" t="str">
        <f>IFERROR(_xlfn.XLOOKUP(B1021,MObra[DESCRIPCION],MObra[UN],,0),"")</f>
        <v/>
      </c>
      <c r="D1021" s="31"/>
      <c r="E1021" s="32" t="str">
        <f>IFERROR(_xlfn.XLOOKUP($B1021,MObra[DESCRIPCION],MObra[VALOR UNIT],,0),"")</f>
        <v/>
      </c>
      <c r="F1021" s="33"/>
      <c r="G1021" s="34" t="str">
        <f>IFERROR(IF(F1021&gt;=0,D1021*E1021*(1+F1021/100),ABS(D1021*E1021/F1021)),"")</f>
        <v/>
      </c>
      <c r="H1021" s="43" t="str">
        <f>IFERROR(G1021*E1004,"")</f>
        <v/>
      </c>
    </row>
    <row r="1022" spans="1:11">
      <c r="A1022" s="35"/>
      <c r="B1022" s="36"/>
      <c r="C1022" s="37" t="str">
        <f>IFERROR(_xlfn.XLOOKUP(B1022,MObra[DESCRIPCION],MObra[UN],,0),"")</f>
        <v/>
      </c>
      <c r="D1022" s="38"/>
      <c r="E1022" s="39" t="str">
        <f>IFERROR(_xlfn.XLOOKUP($B1022,MObra[DESCRIPCION],MObra[VALOR UNIT],,0),"")</f>
        <v/>
      </c>
      <c r="F1022" s="40"/>
      <c r="G1022" s="41" t="str">
        <f>IFERROR(IF(F1022&gt;=0,D1022*E1022*(1+F1022/100),ABS(D1022*E1022/F1022)),"")</f>
        <v/>
      </c>
      <c r="H1022" s="42" t="str">
        <f>IFERROR(G1022*E1004,"")</f>
        <v/>
      </c>
    </row>
    <row r="1023" spans="1:11" ht="12.75" customHeight="1"/>
    <row r="1024" spans="1:11">
      <c r="A1024" s="6" t="s">
        <v>2140</v>
      </c>
      <c r="B1024" s="7" t="str">
        <f>VLOOKUP($A1024,Presupuesto!$A:$D,2,FALSE())</f>
        <v>Tapa cámara alcantarillado concreto 20.7 Mpa + aro lámina</v>
      </c>
      <c r="C1024" s="8" t="str">
        <f>VLOOKUP($A1024,Presupuesto!$A:$D,3,FALSE())</f>
        <v>Un</v>
      </c>
      <c r="D1024" s="9"/>
      <c r="E1024" s="10">
        <f>VLOOKUP($A1024,Presupuesto!$A:$D,4,FALSE())</f>
        <v>0</v>
      </c>
      <c r="F1024" s="11" t="s">
        <v>2589</v>
      </c>
      <c r="G1024" s="12">
        <f>SUM(G1026:G1042)/2</f>
        <v>546987.46200922295</v>
      </c>
      <c r="H1024" s="13">
        <f>ROUND(SUM(H1026:H1042),0)/2</f>
        <v>0</v>
      </c>
      <c r="I1024" s="10">
        <f>VLOOKUP(A1024,Presupuesto!$A:$F,6,0)</f>
        <v>0</v>
      </c>
      <c r="J1024" s="10">
        <f>+H1024-I1024</f>
        <v>0</v>
      </c>
      <c r="K1024" s="46">
        <f>+H1024-G1024*E1024</f>
        <v>0</v>
      </c>
    </row>
    <row r="1025" spans="1:8">
      <c r="A1025" s="14"/>
      <c r="B1025" s="15" t="s">
        <v>2586</v>
      </c>
      <c r="C1025" s="15" t="s">
        <v>5</v>
      </c>
      <c r="D1025" s="16" t="s">
        <v>6</v>
      </c>
      <c r="E1025" s="17" t="s">
        <v>7</v>
      </c>
      <c r="F1025" s="18" t="s">
        <v>3728</v>
      </c>
      <c r="G1025" s="19" t="s">
        <v>3729</v>
      </c>
      <c r="H1025" s="20" t="s">
        <v>3797</v>
      </c>
    </row>
    <row r="1026" spans="1:8">
      <c r="A1026" s="21"/>
      <c r="B1026" s="22" t="s">
        <v>3730</v>
      </c>
      <c r="C1026" s="23"/>
      <c r="D1026" s="24"/>
      <c r="E1026" s="25"/>
      <c r="F1026" s="26"/>
      <c r="G1026" s="27">
        <f>SUM(G1027:G1031)</f>
        <v>505723.67595425411</v>
      </c>
      <c r="H1026" s="27">
        <f>IFERROR(G1026*E1024,"")</f>
        <v>0</v>
      </c>
    </row>
    <row r="1027" spans="1:8">
      <c r="A1027" s="28"/>
      <c r="B1027" s="29" t="s">
        <v>2718</v>
      </c>
      <c r="C1027" s="30" t="str">
        <f>IFERROR(_xlfn.XLOOKUP(B1027,Insumo[DESCRIPCION],Insumo[UND],,0),"")</f>
        <v>Un</v>
      </c>
      <c r="D1027" s="31">
        <v>1</v>
      </c>
      <c r="E1027" s="32">
        <f>IFERROR(_xlfn.XLOOKUP($B1027,Insumo[DESCRIPCION],Insumo[VALOR],,0),"")</f>
        <v>284997.3</v>
      </c>
      <c r="F1027" s="33"/>
      <c r="G1027" s="34">
        <f>IFERROR(IF(F1027&gt;=0,D1027*E1027*(1+F1027/100),ABS(D1027*E1027/F1027)),"")</f>
        <v>284997.3</v>
      </c>
      <c r="H1027" s="43">
        <f>IFERROR(G1027*E1024,"")</f>
        <v>0</v>
      </c>
    </row>
    <row r="1028" spans="1:8">
      <c r="A1028" s="28"/>
      <c r="B1028" s="29" t="s">
        <v>3239</v>
      </c>
      <c r="C1028" s="30" t="str">
        <f>IFERROR(_xlfn.XLOOKUP(B1028,Insumo[DESCRIPCION],Insumo[UND],,0),"")</f>
        <v>M3</v>
      </c>
      <c r="D1028" s="31">
        <v>0.03</v>
      </c>
      <c r="E1028" s="32">
        <f>IFERROR(_xlfn.XLOOKUP($B1028,Insumo[DESCRIPCION],Insumo[VALOR],,0),"")</f>
        <v>521159.50227762427</v>
      </c>
      <c r="F1028" s="33">
        <v>5</v>
      </c>
      <c r="G1028" s="34">
        <f>IFERROR(IF(F1028&gt;=0,D1028*E1028*(1+F1028/100),ABS(D1028*E1028/F1028)),"")</f>
        <v>16416.524321745164</v>
      </c>
      <c r="H1028" s="43">
        <f>IFERROR(G1028*E1024,"")</f>
        <v>0</v>
      </c>
    </row>
    <row r="1029" spans="1:8">
      <c r="A1029" s="28"/>
      <c r="B1029" s="29" t="s">
        <v>2954</v>
      </c>
      <c r="C1029" s="30" t="str">
        <f>IFERROR(_xlfn.XLOOKUP(B1029,Insumo[DESCRIPCION],Insumo[UND],,0),"")</f>
        <v>M2</v>
      </c>
      <c r="D1029" s="31">
        <v>2</v>
      </c>
      <c r="E1029" s="32">
        <f>IFERROR(_xlfn.XLOOKUP($B1029,Insumo[DESCRIPCION],Insumo[VALOR],,0),"")</f>
        <v>102154.92581625449</v>
      </c>
      <c r="F1029" s="33"/>
      <c r="G1029" s="34">
        <f>IFERROR(IF(F1029&gt;=0,D1029*E1029*(1+F1029/100),ABS(D1029*E1029/F1029)),"")</f>
        <v>204309.85163250897</v>
      </c>
      <c r="H1029" s="43">
        <f>IFERROR(G1029*E1024,"")</f>
        <v>0</v>
      </c>
    </row>
    <row r="1030" spans="1:8">
      <c r="A1030" s="28"/>
      <c r="B1030" s="29"/>
      <c r="C1030" s="30" t="str">
        <f>IFERROR(_xlfn.XLOOKUP(B1030,Insumo[DESCRIPCION],Insumo[UND],,0),"")</f>
        <v/>
      </c>
      <c r="D1030" s="31"/>
      <c r="E1030" s="32" t="str">
        <f>IFERROR(_xlfn.XLOOKUP($B1030,Insumo[DESCRIPCION],Insumo[VALOR],,0),"")</f>
        <v/>
      </c>
      <c r="F1030" s="33"/>
      <c r="G1030" s="34" t="str">
        <f>IFERROR(IF(F1030&gt;=0,D1030*E1030*(1+F1030/100),ABS(D1030*E1030/F1030)),"")</f>
        <v/>
      </c>
      <c r="H1030" s="43" t="str">
        <f>IFERROR(G1030*E1024,"")</f>
        <v/>
      </c>
    </row>
    <row r="1031" spans="1:8">
      <c r="A1031" s="28"/>
      <c r="B1031" s="29"/>
      <c r="C1031" s="30" t="str">
        <f>IFERROR(_xlfn.XLOOKUP(B1031,Insumo[DESCRIPCION],Insumo[UND],,0),"")</f>
        <v/>
      </c>
      <c r="D1031" s="31"/>
      <c r="E1031" s="32" t="str">
        <f>IFERROR(_xlfn.XLOOKUP($B1031,Insumo[DESCRIPCION],Insumo[VALOR],,0),"")</f>
        <v/>
      </c>
      <c r="F1031" s="33"/>
      <c r="G1031" s="34" t="str">
        <f>IFERROR(IF(F1031&gt;=0,D1031*E1031*(1+F1031/100),ABS(D1031*E1031/F1031)),"")</f>
        <v/>
      </c>
      <c r="H1031" s="43" t="str">
        <f>IFERROR(G1031*E1024,"")</f>
        <v/>
      </c>
    </row>
    <row r="1032" spans="1:8">
      <c r="A1032" s="21"/>
      <c r="B1032" s="22" t="s">
        <v>3731</v>
      </c>
      <c r="C1032" s="23"/>
      <c r="D1032" s="24"/>
      <c r="E1032" s="25"/>
      <c r="F1032" s="26"/>
      <c r="G1032" s="27">
        <f>SUM(G1033:G1035)</f>
        <v>1964.9421930937506</v>
      </c>
      <c r="H1032" s="44">
        <f>G1032*E1024</f>
        <v>0</v>
      </c>
    </row>
    <row r="1033" spans="1:8">
      <c r="A1033" s="28"/>
      <c r="B1033" s="29" t="s">
        <v>3626</v>
      </c>
      <c r="C1033" s="30" t="str">
        <f>IFERROR(_xlfn.XLOOKUP(B1033,Equipo[DESCRIPCION],Equipo[UND],,0),"")</f>
        <v>%MO</v>
      </c>
      <c r="D1033" s="31">
        <v>0.05</v>
      </c>
      <c r="E1033" s="32">
        <f>IF(C1033="%MO",G1039,IFERROR(_xlfn.XLOOKUP($B1033,Equipo[DESCRIPCION],Equipo[VALOR],,0),""))</f>
        <v>39298.843861875008</v>
      </c>
      <c r="F1033" s="33"/>
      <c r="G1033" s="34">
        <f>IFERROR(IF(F1033&gt;=0,D1033*E1033*(1+F1033/100),ABS(D1033*E1033/F1033)),"")</f>
        <v>1964.9421930937506</v>
      </c>
      <c r="H1033" s="43">
        <f>IFERROR(G1033*E1024,"")</f>
        <v>0</v>
      </c>
    </row>
    <row r="1034" spans="1:8">
      <c r="A1034" s="28"/>
      <c r="B1034" s="29"/>
      <c r="C1034" s="30" t="str">
        <f>IFERROR(_xlfn.XLOOKUP(B1034,Equipo[DESCRIPCION],Equipo[UND],,0),"")</f>
        <v/>
      </c>
      <c r="D1034" s="31"/>
      <c r="E1034" s="32" t="str">
        <f>IF(C1034="%MO",G1040,IFERROR(_xlfn.XLOOKUP($B1034,Equipo[DESCRIPCION],Equipo[VALOR],,0),""))</f>
        <v/>
      </c>
      <c r="F1034" s="33"/>
      <c r="G1034" s="34" t="str">
        <f>IFERROR(IF(F1034&gt;=0,D1034*E1034*(1+F1034/100),ABS(D1034*E1034/F1034)),"")</f>
        <v/>
      </c>
      <c r="H1034" s="43" t="str">
        <f>IFERROR(G1034*E1024,"")</f>
        <v/>
      </c>
    </row>
    <row r="1035" spans="1:8">
      <c r="A1035" s="28"/>
      <c r="B1035" s="29"/>
      <c r="C1035" s="30" t="str">
        <f>IFERROR(_xlfn.XLOOKUP(B1035,Equipo[DESCRIPCION],Equipo[UND],,0),"")</f>
        <v/>
      </c>
      <c r="D1035" s="31"/>
      <c r="E1035" s="32" t="str">
        <f>IF(C1035="%MO",G1041,IFERROR(_xlfn.XLOOKUP($B1035,Equipo[DESCRIPCION],Equipo[VALOR],,0),""))</f>
        <v/>
      </c>
      <c r="F1035" s="33"/>
      <c r="G1035" s="34" t="str">
        <f>IFERROR(IF(F1035&gt;=0,D1035*E1035*(1+F1035/100),ABS(D1035*E1035/F1035)),"")</f>
        <v/>
      </c>
      <c r="H1035" s="43" t="str">
        <f>IFERROR(G1035*E1024,"")</f>
        <v/>
      </c>
    </row>
    <row r="1036" spans="1:8">
      <c r="A1036" s="21"/>
      <c r="B1036" s="22" t="s">
        <v>2533</v>
      </c>
      <c r="C1036" s="23"/>
      <c r="D1036" s="24"/>
      <c r="E1036" s="25"/>
      <c r="F1036" s="26"/>
      <c r="G1036" s="27">
        <f>SUM(G1037:G1038)</f>
        <v>0</v>
      </c>
      <c r="H1036" s="44">
        <f>G1036*E1024</f>
        <v>0</v>
      </c>
    </row>
    <row r="1037" spans="1:8">
      <c r="A1037" s="28"/>
      <c r="B1037" s="29"/>
      <c r="C1037" s="30" t="str">
        <f>IFERROR(_xlfn.XLOOKUP(B1037,Transporte[DESCRIPCION],Transporte[UND],,0),"")</f>
        <v/>
      </c>
      <c r="D1037" s="31"/>
      <c r="E1037" s="32" t="str">
        <f>IFERROR(_xlfn.XLOOKUP($B1037,Transporte[DESCRIPCION],Transporte[VALOR],,0),"")</f>
        <v/>
      </c>
      <c r="F1037" s="33"/>
      <c r="G1037" s="34" t="str">
        <f>IFERROR(IF(F1037&gt;=0,D1037*E1037*(1+F1037/100),ABS(D1037*E1037/F1037)),"")</f>
        <v/>
      </c>
      <c r="H1037" s="43" t="str">
        <f>IFERROR(G1037*E1024,"")</f>
        <v/>
      </c>
    </row>
    <row r="1038" spans="1:8">
      <c r="A1038" s="28"/>
      <c r="B1038" s="29"/>
      <c r="C1038" s="30" t="str">
        <f>IFERROR(_xlfn.XLOOKUP(B1038,Transporte[DESCRIPCION],Transporte[UND],,0),"")</f>
        <v/>
      </c>
      <c r="D1038" s="31"/>
      <c r="E1038" s="32" t="str">
        <f>IFERROR(_xlfn.XLOOKUP($B1038,Transporte[DESCRIPCION],Transporte[VALOR],,0),"")</f>
        <v/>
      </c>
      <c r="F1038" s="33"/>
      <c r="G1038" s="34" t="str">
        <f>IFERROR(IF(F1038&gt;=0,D1038*E1038*(1+F1038/100),ABS(D1038*E1038/F1038)),"")</f>
        <v/>
      </c>
      <c r="H1038" s="43" t="str">
        <f>IFERROR(G1038*E1024,"")</f>
        <v/>
      </c>
    </row>
    <row r="1039" spans="1:8">
      <c r="A1039" s="21"/>
      <c r="B1039" s="22" t="s">
        <v>3732</v>
      </c>
      <c r="C1039" s="23"/>
      <c r="D1039" s="24"/>
      <c r="E1039" s="25"/>
      <c r="F1039" s="26"/>
      <c r="G1039" s="27">
        <f>SUM(G1040:G1042)</f>
        <v>39298.843861875008</v>
      </c>
      <c r="H1039" s="44">
        <f>G1039*E1024</f>
        <v>0</v>
      </c>
    </row>
    <row r="1040" spans="1:8">
      <c r="A1040" s="28"/>
      <c r="B1040" s="29" t="s">
        <v>3710</v>
      </c>
      <c r="C1040" s="30" t="str">
        <f>IFERROR(_xlfn.XLOOKUP(B1040,MObra[DESCRIPCION],MObra[UN],,0),"")</f>
        <v>día</v>
      </c>
      <c r="D1040" s="31">
        <v>1</v>
      </c>
      <c r="E1040" s="32">
        <f>IFERROR(_xlfn.XLOOKUP($B1040,MObra[DESCRIPCION],MObra[VALOR UNIT],,0),"")</f>
        <v>314390.75089500006</v>
      </c>
      <c r="F1040" s="33">
        <v>-8</v>
      </c>
      <c r="G1040" s="34">
        <f>IFERROR(IF(F1040&gt;=0,D1040*E1040*(1+F1040/100),ABS(D1040*E1040/F1040)),"")</f>
        <v>39298.843861875008</v>
      </c>
      <c r="H1040" s="43">
        <f>IFERROR(G1040*E1024,"")</f>
        <v>0</v>
      </c>
    </row>
    <row r="1041" spans="1:11">
      <c r="A1041" s="28"/>
      <c r="B1041" s="29"/>
      <c r="C1041" s="30" t="str">
        <f>IFERROR(_xlfn.XLOOKUP(B1041,MObra[DESCRIPCION],MObra[UN],,0),"")</f>
        <v/>
      </c>
      <c r="D1041" s="31"/>
      <c r="E1041" s="32" t="str">
        <f>IFERROR(_xlfn.XLOOKUP($B1041,MObra[DESCRIPCION],MObra[VALOR UNIT],,0),"")</f>
        <v/>
      </c>
      <c r="F1041" s="33"/>
      <c r="G1041" s="34" t="str">
        <f>IFERROR(IF(F1041&gt;=0,D1041*E1041*(1+F1041/100),ABS(D1041*E1041/F1041)),"")</f>
        <v/>
      </c>
      <c r="H1041" s="43" t="str">
        <f>IFERROR(G1041*E1024,"")</f>
        <v/>
      </c>
    </row>
    <row r="1042" spans="1:11">
      <c r="A1042" s="35"/>
      <c r="B1042" s="36"/>
      <c r="C1042" s="37" t="str">
        <f>IFERROR(_xlfn.XLOOKUP(B1042,MObra[DESCRIPCION],MObra[UN],,0),"")</f>
        <v/>
      </c>
      <c r="D1042" s="38"/>
      <c r="E1042" s="39" t="str">
        <f>IFERROR(_xlfn.XLOOKUP($B1042,MObra[DESCRIPCION],MObra[VALOR UNIT],,0),"")</f>
        <v/>
      </c>
      <c r="F1042" s="40"/>
      <c r="G1042" s="41" t="str">
        <f>IFERROR(IF(F1042&gt;=0,D1042*E1042*(1+F1042/100),ABS(D1042*E1042/F1042)),"")</f>
        <v/>
      </c>
      <c r="H1042" s="42" t="str">
        <f>IFERROR(G1042*E1024,"")</f>
        <v/>
      </c>
    </row>
    <row r="1043" spans="1:11" ht="12.75" customHeight="1"/>
    <row r="1044" spans="1:11">
      <c r="A1044" s="6" t="s">
        <v>2142</v>
      </c>
      <c r="B1044" s="7" t="str">
        <f>VLOOKUP($A1044,Presupuesto!$A:$D,2,FALSE())</f>
        <v>Tapa cámara alcantarillado en polipropileno de alto impacto</v>
      </c>
      <c r="C1044" s="8" t="str">
        <f>VLOOKUP($A1044,Presupuesto!$A:$D,3,FALSE())</f>
        <v>Un</v>
      </c>
      <c r="D1044" s="9"/>
      <c r="E1044" s="10">
        <f>VLOOKUP($A1044,Presupuesto!$A:$D,4,FALSE())</f>
        <v>0</v>
      </c>
      <c r="F1044" s="11" t="s">
        <v>2589</v>
      </c>
      <c r="G1044" s="12">
        <f>SUM(G1046:G1062)/2</f>
        <v>1101149.1120092231</v>
      </c>
      <c r="H1044" s="13">
        <f>ROUND(SUM(H1046:H1062),0)/2</f>
        <v>0</v>
      </c>
      <c r="I1044" s="10">
        <f>VLOOKUP(A1044,Presupuesto!$A:$F,6,0)</f>
        <v>0</v>
      </c>
      <c r="J1044" s="10">
        <f>+H1044-I1044</f>
        <v>0</v>
      </c>
      <c r="K1044" s="46">
        <f>+H1044-G1044*E1044</f>
        <v>0</v>
      </c>
    </row>
    <row r="1045" spans="1:11">
      <c r="A1045" s="14"/>
      <c r="B1045" s="15" t="s">
        <v>2586</v>
      </c>
      <c r="C1045" s="15" t="s">
        <v>5</v>
      </c>
      <c r="D1045" s="16" t="s">
        <v>6</v>
      </c>
      <c r="E1045" s="17" t="s">
        <v>7</v>
      </c>
      <c r="F1045" s="18" t="s">
        <v>3728</v>
      </c>
      <c r="G1045" s="19" t="s">
        <v>3729</v>
      </c>
      <c r="H1045" s="20" t="s">
        <v>3797</v>
      </c>
    </row>
    <row r="1046" spans="1:11">
      <c r="A1046" s="21"/>
      <c r="B1046" s="22" t="s">
        <v>3730</v>
      </c>
      <c r="C1046" s="23"/>
      <c r="D1046" s="24"/>
      <c r="E1046" s="25"/>
      <c r="F1046" s="26"/>
      <c r="G1046" s="27">
        <f>SUM(G1047:G1051)</f>
        <v>1059885.3259542543</v>
      </c>
      <c r="H1046" s="27">
        <f>IFERROR(G1046*E1044,"")</f>
        <v>0</v>
      </c>
    </row>
    <row r="1047" spans="1:11">
      <c r="A1047" s="28"/>
      <c r="B1047" s="29" t="s">
        <v>3365</v>
      </c>
      <c r="C1047" s="30" t="str">
        <f>IFERROR(_xlfn.XLOOKUP(B1047,Insumo[DESCRIPCION],Insumo[UND],,0),"")</f>
        <v>Un</v>
      </c>
      <c r="D1047" s="31">
        <v>1</v>
      </c>
      <c r="E1047" s="32">
        <f>IFERROR(_xlfn.XLOOKUP($B1047,Insumo[DESCRIPCION],Insumo[VALOR],,0),"")</f>
        <v>839158.95000000007</v>
      </c>
      <c r="F1047" s="33"/>
      <c r="G1047" s="34">
        <f>IFERROR(IF(F1047&gt;=0,D1047*E1047*(1+F1047/100),ABS(D1047*E1047/F1047)),"")</f>
        <v>839158.95000000007</v>
      </c>
      <c r="H1047" s="43">
        <f>IFERROR(G1047*E1044,"")</f>
        <v>0</v>
      </c>
    </row>
    <row r="1048" spans="1:11">
      <c r="A1048" s="28"/>
      <c r="B1048" s="29" t="s">
        <v>3239</v>
      </c>
      <c r="C1048" s="30" t="str">
        <f>IFERROR(_xlfn.XLOOKUP(B1048,Insumo[DESCRIPCION],Insumo[UND],,0),"")</f>
        <v>M3</v>
      </c>
      <c r="D1048" s="31">
        <v>0.03</v>
      </c>
      <c r="E1048" s="32">
        <f>IFERROR(_xlfn.XLOOKUP($B1048,Insumo[DESCRIPCION],Insumo[VALOR],,0),"")</f>
        <v>521159.50227762427</v>
      </c>
      <c r="F1048" s="33">
        <v>5</v>
      </c>
      <c r="G1048" s="34">
        <f>IFERROR(IF(F1048&gt;=0,D1048*E1048*(1+F1048/100),ABS(D1048*E1048/F1048)),"")</f>
        <v>16416.524321745164</v>
      </c>
      <c r="H1048" s="43">
        <f>IFERROR(G1048*E1044,"")</f>
        <v>0</v>
      </c>
    </row>
    <row r="1049" spans="1:11">
      <c r="A1049" s="28"/>
      <c r="B1049" s="29" t="s">
        <v>2954</v>
      </c>
      <c r="C1049" s="30" t="str">
        <f>IFERROR(_xlfn.XLOOKUP(B1049,Insumo[DESCRIPCION],Insumo[UND],,0),"")</f>
        <v>M2</v>
      </c>
      <c r="D1049" s="31">
        <v>2</v>
      </c>
      <c r="E1049" s="32">
        <f>IFERROR(_xlfn.XLOOKUP($B1049,Insumo[DESCRIPCION],Insumo[VALOR],,0),"")</f>
        <v>102154.92581625449</v>
      </c>
      <c r="F1049" s="33"/>
      <c r="G1049" s="34">
        <f>IFERROR(IF(F1049&gt;=0,D1049*E1049*(1+F1049/100),ABS(D1049*E1049/F1049)),"")</f>
        <v>204309.85163250897</v>
      </c>
      <c r="H1049" s="43">
        <f>IFERROR(G1049*E1044,"")</f>
        <v>0</v>
      </c>
    </row>
    <row r="1050" spans="1:11">
      <c r="A1050" s="28"/>
      <c r="B1050" s="29"/>
      <c r="C1050" s="30" t="str">
        <f>IFERROR(_xlfn.XLOOKUP(B1050,Insumo[DESCRIPCION],Insumo[UND],,0),"")</f>
        <v/>
      </c>
      <c r="D1050" s="31"/>
      <c r="E1050" s="32" t="str">
        <f>IFERROR(_xlfn.XLOOKUP($B1050,Insumo[DESCRIPCION],Insumo[VALOR],,0),"")</f>
        <v/>
      </c>
      <c r="F1050" s="33"/>
      <c r="G1050" s="34" t="str">
        <f>IFERROR(IF(F1050&gt;=0,D1050*E1050*(1+F1050/100),ABS(D1050*E1050/F1050)),"")</f>
        <v/>
      </c>
      <c r="H1050" s="43" t="str">
        <f>IFERROR(G1050*E1044,"")</f>
        <v/>
      </c>
    </row>
    <row r="1051" spans="1:11">
      <c r="A1051" s="28"/>
      <c r="B1051" s="29"/>
      <c r="C1051" s="30" t="str">
        <f>IFERROR(_xlfn.XLOOKUP(B1051,Insumo[DESCRIPCION],Insumo[UND],,0),"")</f>
        <v/>
      </c>
      <c r="D1051" s="31"/>
      <c r="E1051" s="32" t="str">
        <f>IFERROR(_xlfn.XLOOKUP($B1051,Insumo[DESCRIPCION],Insumo[VALOR],,0),"")</f>
        <v/>
      </c>
      <c r="F1051" s="33"/>
      <c r="G1051" s="34" t="str">
        <f>IFERROR(IF(F1051&gt;=0,D1051*E1051*(1+F1051/100),ABS(D1051*E1051/F1051)),"")</f>
        <v/>
      </c>
      <c r="H1051" s="43" t="str">
        <f>IFERROR(G1051*E1044,"")</f>
        <v/>
      </c>
    </row>
    <row r="1052" spans="1:11">
      <c r="A1052" s="21"/>
      <c r="B1052" s="22" t="s">
        <v>3731</v>
      </c>
      <c r="C1052" s="23"/>
      <c r="D1052" s="24"/>
      <c r="E1052" s="25"/>
      <c r="F1052" s="26"/>
      <c r="G1052" s="27">
        <f>SUM(G1053:G1055)</f>
        <v>1964.9421930937506</v>
      </c>
      <c r="H1052" s="44">
        <f>G1052*E1044</f>
        <v>0</v>
      </c>
    </row>
    <row r="1053" spans="1:11">
      <c r="A1053" s="28"/>
      <c r="B1053" s="29" t="s">
        <v>3626</v>
      </c>
      <c r="C1053" s="30" t="str">
        <f>IFERROR(_xlfn.XLOOKUP(B1053,Equipo[DESCRIPCION],Equipo[UND],,0),"")</f>
        <v>%MO</v>
      </c>
      <c r="D1053" s="31">
        <v>0.05</v>
      </c>
      <c r="E1053" s="32">
        <f>IF(C1053="%MO",G1059,IFERROR(_xlfn.XLOOKUP($B1053,Equipo[DESCRIPCION],Equipo[VALOR],,0),""))</f>
        <v>39298.843861875008</v>
      </c>
      <c r="F1053" s="33"/>
      <c r="G1053" s="34">
        <f>IFERROR(IF(F1053&gt;=0,D1053*E1053*(1+F1053/100),ABS(D1053*E1053/F1053)),"")</f>
        <v>1964.9421930937506</v>
      </c>
      <c r="H1053" s="43">
        <f>IFERROR(G1053*E1044,"")</f>
        <v>0</v>
      </c>
    </row>
    <row r="1054" spans="1:11">
      <c r="A1054" s="28"/>
      <c r="B1054" s="29"/>
      <c r="C1054" s="30" t="str">
        <f>IFERROR(_xlfn.XLOOKUP(B1054,Equipo[DESCRIPCION],Equipo[UND],,0),"")</f>
        <v/>
      </c>
      <c r="D1054" s="31"/>
      <c r="E1054" s="32" t="str">
        <f>IF(C1054="%MO",G1060,IFERROR(_xlfn.XLOOKUP($B1054,Equipo[DESCRIPCION],Equipo[VALOR],,0),""))</f>
        <v/>
      </c>
      <c r="F1054" s="33"/>
      <c r="G1054" s="34" t="str">
        <f>IFERROR(IF(F1054&gt;=0,D1054*E1054*(1+F1054/100),ABS(D1054*E1054/F1054)),"")</f>
        <v/>
      </c>
      <c r="H1054" s="43" t="str">
        <f>IFERROR(G1054*E1044,"")</f>
        <v/>
      </c>
    </row>
    <row r="1055" spans="1:11">
      <c r="A1055" s="28"/>
      <c r="B1055" s="29"/>
      <c r="C1055" s="30" t="str">
        <f>IFERROR(_xlfn.XLOOKUP(B1055,Equipo[DESCRIPCION],Equipo[UND],,0),"")</f>
        <v/>
      </c>
      <c r="D1055" s="31"/>
      <c r="E1055" s="32" t="str">
        <f>IF(C1055="%MO",G1061,IFERROR(_xlfn.XLOOKUP($B1055,Equipo[DESCRIPCION],Equipo[VALOR],,0),""))</f>
        <v/>
      </c>
      <c r="F1055" s="33"/>
      <c r="G1055" s="34" t="str">
        <f>IFERROR(IF(F1055&gt;=0,D1055*E1055*(1+F1055/100),ABS(D1055*E1055/F1055)),"")</f>
        <v/>
      </c>
      <c r="H1055" s="43" t="str">
        <f>IFERROR(G1055*E1044,"")</f>
        <v/>
      </c>
    </row>
    <row r="1056" spans="1:11">
      <c r="A1056" s="21"/>
      <c r="B1056" s="22" t="s">
        <v>2533</v>
      </c>
      <c r="C1056" s="23"/>
      <c r="D1056" s="24"/>
      <c r="E1056" s="25"/>
      <c r="F1056" s="26"/>
      <c r="G1056" s="27">
        <f>SUM(G1057:G1058)</f>
        <v>0</v>
      </c>
      <c r="H1056" s="44">
        <f>G1056*E1044</f>
        <v>0</v>
      </c>
    </row>
    <row r="1057" spans="1:11">
      <c r="A1057" s="28"/>
      <c r="B1057" s="29"/>
      <c r="C1057" s="30" t="str">
        <f>IFERROR(_xlfn.XLOOKUP(B1057,Transporte[DESCRIPCION],Transporte[UND],,0),"")</f>
        <v/>
      </c>
      <c r="D1057" s="31"/>
      <c r="E1057" s="32" t="str">
        <f>IFERROR(_xlfn.XLOOKUP($B1057,Transporte[DESCRIPCION],Transporte[VALOR],,0),"")</f>
        <v/>
      </c>
      <c r="F1057" s="33"/>
      <c r="G1057" s="34" t="str">
        <f>IFERROR(IF(F1057&gt;=0,D1057*E1057*(1+F1057/100),ABS(D1057*E1057/F1057)),"")</f>
        <v/>
      </c>
      <c r="H1057" s="43" t="str">
        <f>IFERROR(G1057*E1044,"")</f>
        <v/>
      </c>
    </row>
    <row r="1058" spans="1:11">
      <c r="A1058" s="28"/>
      <c r="B1058" s="29"/>
      <c r="C1058" s="30" t="str">
        <f>IFERROR(_xlfn.XLOOKUP(B1058,Transporte[DESCRIPCION],Transporte[UND],,0),"")</f>
        <v/>
      </c>
      <c r="D1058" s="31"/>
      <c r="E1058" s="32" t="str">
        <f>IFERROR(_xlfn.XLOOKUP($B1058,Transporte[DESCRIPCION],Transporte[VALOR],,0),"")</f>
        <v/>
      </c>
      <c r="F1058" s="33"/>
      <c r="G1058" s="34" t="str">
        <f>IFERROR(IF(F1058&gt;=0,D1058*E1058*(1+F1058/100),ABS(D1058*E1058/F1058)),"")</f>
        <v/>
      </c>
      <c r="H1058" s="43" t="str">
        <f>IFERROR(G1058*E1044,"")</f>
        <v/>
      </c>
    </row>
    <row r="1059" spans="1:11">
      <c r="A1059" s="21"/>
      <c r="B1059" s="22" t="s">
        <v>3732</v>
      </c>
      <c r="C1059" s="23"/>
      <c r="D1059" s="24"/>
      <c r="E1059" s="25"/>
      <c r="F1059" s="26"/>
      <c r="G1059" s="27">
        <f>SUM(G1060:G1062)</f>
        <v>39298.843861875008</v>
      </c>
      <c r="H1059" s="44">
        <f>G1059*E1044</f>
        <v>0</v>
      </c>
    </row>
    <row r="1060" spans="1:11">
      <c r="A1060" s="28"/>
      <c r="B1060" s="29" t="s">
        <v>3710</v>
      </c>
      <c r="C1060" s="30" t="str">
        <f>IFERROR(_xlfn.XLOOKUP(B1060,MObra[DESCRIPCION],MObra[UN],,0),"")</f>
        <v>día</v>
      </c>
      <c r="D1060" s="31">
        <v>1</v>
      </c>
      <c r="E1060" s="32">
        <f>IFERROR(_xlfn.XLOOKUP($B1060,MObra[DESCRIPCION],MObra[VALOR UNIT],,0),"")</f>
        <v>314390.75089500006</v>
      </c>
      <c r="F1060" s="33">
        <v>-8</v>
      </c>
      <c r="G1060" s="34">
        <f>IFERROR(IF(F1060&gt;=0,D1060*E1060*(1+F1060/100),ABS(D1060*E1060/F1060)),"")</f>
        <v>39298.843861875008</v>
      </c>
      <c r="H1060" s="43">
        <f>IFERROR(G1060*E1044,"")</f>
        <v>0</v>
      </c>
    </row>
    <row r="1061" spans="1:11">
      <c r="A1061" s="28"/>
      <c r="B1061" s="29"/>
      <c r="C1061" s="30" t="str">
        <f>IFERROR(_xlfn.XLOOKUP(B1061,MObra[DESCRIPCION],MObra[UN],,0),"")</f>
        <v/>
      </c>
      <c r="D1061" s="31"/>
      <c r="E1061" s="32" t="str">
        <f>IFERROR(_xlfn.XLOOKUP($B1061,MObra[DESCRIPCION],MObra[VALOR UNIT],,0),"")</f>
        <v/>
      </c>
      <c r="F1061" s="33"/>
      <c r="G1061" s="34" t="str">
        <f>IFERROR(IF(F1061&gt;=0,D1061*E1061*(1+F1061/100),ABS(D1061*E1061/F1061)),"")</f>
        <v/>
      </c>
      <c r="H1061" s="43" t="str">
        <f>IFERROR(G1061*E1044,"")</f>
        <v/>
      </c>
    </row>
    <row r="1062" spans="1:11">
      <c r="A1062" s="35"/>
      <c r="B1062" s="36"/>
      <c r="C1062" s="37" t="str">
        <f>IFERROR(_xlfn.XLOOKUP(B1062,MObra[DESCRIPCION],MObra[UN],,0),"")</f>
        <v/>
      </c>
      <c r="D1062" s="38"/>
      <c r="E1062" s="39" t="str">
        <f>IFERROR(_xlfn.XLOOKUP($B1062,MObra[DESCRIPCION],MObra[VALOR UNIT],,0),"")</f>
        <v/>
      </c>
      <c r="F1062" s="40"/>
      <c r="G1062" s="41" t="str">
        <f>IFERROR(IF(F1062&gt;=0,D1062*E1062*(1+F1062/100),ABS(D1062*E1062/F1062)),"")</f>
        <v/>
      </c>
      <c r="H1062" s="42" t="str">
        <f>IFERROR(G1062*E1044,"")</f>
        <v/>
      </c>
    </row>
    <row r="1063" spans="1:11" ht="12.75" customHeight="1"/>
    <row r="1064" spans="1:11">
      <c r="A1064" s="6" t="s">
        <v>2144</v>
      </c>
      <c r="B1064" s="7" t="str">
        <f>VLOOKUP($A1064,Presupuesto!$A:$D,2,FALSE())</f>
        <v>Tapa canal rápidas</v>
      </c>
      <c r="C1064" s="8" t="str">
        <f>VLOOKUP($A1064,Presupuesto!$A:$D,3,FALSE())</f>
        <v>Un</v>
      </c>
      <c r="D1064" s="9"/>
      <c r="E1064" s="10">
        <f>VLOOKUP($A1064,Presupuesto!$A:$D,4,FALSE())</f>
        <v>0</v>
      </c>
      <c r="F1064" s="11" t="s">
        <v>2589</v>
      </c>
      <c r="G1064" s="12">
        <f>SUM(G1066:G1082)/2</f>
        <v>176889.03754616473</v>
      </c>
      <c r="H1064" s="13">
        <f>ROUND(SUM(H1066:H1082),0)/2</f>
        <v>0</v>
      </c>
      <c r="I1064" s="10">
        <f>VLOOKUP(A1064,Presupuesto!$A:$F,6,0)</f>
        <v>0</v>
      </c>
      <c r="J1064" s="10">
        <f>+H1064-I1064</f>
        <v>0</v>
      </c>
      <c r="K1064" s="46">
        <f>+H1064-G1064*E1064</f>
        <v>0</v>
      </c>
    </row>
    <row r="1065" spans="1:11">
      <c r="A1065" s="14"/>
      <c r="B1065" s="15" t="s">
        <v>2586</v>
      </c>
      <c r="C1065" s="15" t="s">
        <v>5</v>
      </c>
      <c r="D1065" s="16" t="s">
        <v>6</v>
      </c>
      <c r="E1065" s="17" t="s">
        <v>7</v>
      </c>
      <c r="F1065" s="18" t="s">
        <v>3728</v>
      </c>
      <c r="G1065" s="19" t="s">
        <v>3729</v>
      </c>
      <c r="H1065" s="20" t="s">
        <v>3797</v>
      </c>
    </row>
    <row r="1066" spans="1:11">
      <c r="A1066" s="21"/>
      <c r="B1066" s="22" t="s">
        <v>3730</v>
      </c>
      <c r="C1066" s="23"/>
      <c r="D1066" s="24"/>
      <c r="E1066" s="25"/>
      <c r="F1066" s="26"/>
      <c r="G1066" s="27">
        <f>SUM(G1067:G1071)</f>
        <v>129730.42491191471</v>
      </c>
      <c r="H1066" s="27">
        <f>IFERROR(G1066*E1064,"")</f>
        <v>0</v>
      </c>
    </row>
    <row r="1067" spans="1:11">
      <c r="A1067" s="28"/>
      <c r="B1067" s="29" t="s">
        <v>3239</v>
      </c>
      <c r="C1067" s="30" t="str">
        <f>IFERROR(_xlfn.XLOOKUP(B1067,Insumo[DESCRIPCION],Insumo[UND],,0),"")</f>
        <v>M3</v>
      </c>
      <c r="D1067" s="31">
        <v>0.04</v>
      </c>
      <c r="E1067" s="32">
        <f>IFERROR(_xlfn.XLOOKUP($B1067,Insumo[DESCRIPCION],Insumo[VALOR],,0),"")</f>
        <v>521159.50227762427</v>
      </c>
      <c r="F1067" s="33">
        <v>5</v>
      </c>
      <c r="G1067" s="34">
        <f>IFERROR(IF(F1067&gt;=0,D1067*E1067*(1+F1067/100),ABS(D1067*E1067/F1067)),"")</f>
        <v>21888.699095660224</v>
      </c>
      <c r="H1067" s="43">
        <f>IFERROR(G1067*E1064,"")</f>
        <v>0</v>
      </c>
    </row>
    <row r="1068" spans="1:11">
      <c r="A1068" s="28"/>
      <c r="B1068" s="29" t="s">
        <v>2954</v>
      </c>
      <c r="C1068" s="30" t="str">
        <f>IFERROR(_xlfn.XLOOKUP(B1068,Insumo[DESCRIPCION],Insumo[UND],,0),"")</f>
        <v>M2</v>
      </c>
      <c r="D1068" s="31">
        <v>1</v>
      </c>
      <c r="E1068" s="32">
        <f>IFERROR(_xlfn.XLOOKUP($B1068,Insumo[DESCRIPCION],Insumo[VALOR],,0),"")</f>
        <v>102154.92581625449</v>
      </c>
      <c r="F1068" s="33"/>
      <c r="G1068" s="34">
        <f>IFERROR(IF(F1068&gt;=0,D1068*E1068*(1+F1068/100),ABS(D1068*E1068/F1068)),"")</f>
        <v>102154.92581625449</v>
      </c>
      <c r="H1068" s="43">
        <f>IFERROR(G1068*E1064,"")</f>
        <v>0</v>
      </c>
    </row>
    <row r="1069" spans="1:11">
      <c r="A1069" s="28"/>
      <c r="B1069" s="29" t="s">
        <v>2653</v>
      </c>
      <c r="C1069" s="30" t="str">
        <f>IFERROR(_xlfn.XLOOKUP(B1069,Insumo[DESCRIPCION],Insumo[UND],,0),"")</f>
        <v>Kg</v>
      </c>
      <c r="D1069" s="31">
        <v>1</v>
      </c>
      <c r="E1069" s="32">
        <f>IFERROR(_xlfn.XLOOKUP($B1069,Insumo[DESCRIPCION],Insumo[VALOR],,0),"")</f>
        <v>5686.8</v>
      </c>
      <c r="F1069" s="33"/>
      <c r="G1069" s="34">
        <f>IFERROR(IF(F1069&gt;=0,D1069*E1069*(1+F1069/100),ABS(D1069*E1069/F1069)),"")</f>
        <v>5686.8</v>
      </c>
      <c r="H1069" s="43">
        <f>IFERROR(G1069*E1064,"")</f>
        <v>0</v>
      </c>
    </row>
    <row r="1070" spans="1:11">
      <c r="A1070" s="28"/>
      <c r="B1070" s="29"/>
      <c r="C1070" s="30" t="str">
        <f>IFERROR(_xlfn.XLOOKUP(B1070,Insumo[DESCRIPCION],Insumo[UND],,0),"")</f>
        <v/>
      </c>
      <c r="D1070" s="31"/>
      <c r="E1070" s="32" t="str">
        <f>IFERROR(_xlfn.XLOOKUP($B1070,Insumo[DESCRIPCION],Insumo[VALOR],,0),"")</f>
        <v/>
      </c>
      <c r="F1070" s="33"/>
      <c r="G1070" s="34" t="str">
        <f>IFERROR(IF(F1070&gt;=0,D1070*E1070*(1+F1070/100),ABS(D1070*E1070/F1070)),"")</f>
        <v/>
      </c>
      <c r="H1070" s="43" t="str">
        <f>IFERROR(G1070*E1064,"")</f>
        <v/>
      </c>
    </row>
    <row r="1071" spans="1:11">
      <c r="A1071" s="28"/>
      <c r="B1071" s="29"/>
      <c r="C1071" s="30" t="str">
        <f>IFERROR(_xlfn.XLOOKUP(B1071,Insumo[DESCRIPCION],Insumo[UND],,0),"")</f>
        <v/>
      </c>
      <c r="D1071" s="31"/>
      <c r="E1071" s="32" t="str">
        <f>IFERROR(_xlfn.XLOOKUP($B1071,Insumo[DESCRIPCION],Insumo[VALOR],,0),"")</f>
        <v/>
      </c>
      <c r="F1071" s="33"/>
      <c r="G1071" s="34" t="str">
        <f>IFERROR(IF(F1071&gt;=0,D1071*E1071*(1+F1071/100),ABS(D1071*E1071/F1071)),"")</f>
        <v/>
      </c>
      <c r="H1071" s="43" t="str">
        <f>IFERROR(G1071*E1064,"")</f>
        <v/>
      </c>
    </row>
    <row r="1072" spans="1:11">
      <c r="A1072" s="21"/>
      <c r="B1072" s="22" t="s">
        <v>3731</v>
      </c>
      <c r="C1072" s="23"/>
      <c r="D1072" s="24"/>
      <c r="E1072" s="25"/>
      <c r="F1072" s="26"/>
      <c r="G1072" s="27">
        <f>SUM(G1073:G1075)</f>
        <v>2245.6482206785722</v>
      </c>
      <c r="H1072" s="44">
        <f>G1072*E1064</f>
        <v>0</v>
      </c>
    </row>
    <row r="1073" spans="1:11">
      <c r="A1073" s="28"/>
      <c r="B1073" s="29" t="s">
        <v>3626</v>
      </c>
      <c r="C1073" s="30" t="str">
        <f>IFERROR(_xlfn.XLOOKUP(B1073,Equipo[DESCRIPCION],Equipo[UND],,0),"")</f>
        <v>%MO</v>
      </c>
      <c r="D1073" s="31">
        <v>0.05</v>
      </c>
      <c r="E1073" s="32">
        <f>IF(C1073="%MO",G1079,IFERROR(_xlfn.XLOOKUP($B1073,Equipo[DESCRIPCION],Equipo[VALOR],,0),""))</f>
        <v>44912.964413571441</v>
      </c>
      <c r="F1073" s="33"/>
      <c r="G1073" s="34">
        <f>IFERROR(IF(F1073&gt;=0,D1073*E1073*(1+F1073/100),ABS(D1073*E1073/F1073)),"")</f>
        <v>2245.6482206785722</v>
      </c>
      <c r="H1073" s="43">
        <f>IFERROR(G1073*E1064,"")</f>
        <v>0</v>
      </c>
    </row>
    <row r="1074" spans="1:11">
      <c r="A1074" s="28"/>
      <c r="B1074" s="29"/>
      <c r="C1074" s="30" t="str">
        <f>IFERROR(_xlfn.XLOOKUP(B1074,Equipo[DESCRIPCION],Equipo[UND],,0),"")</f>
        <v/>
      </c>
      <c r="D1074" s="31"/>
      <c r="E1074" s="32" t="str">
        <f>IF(C1074="%MO",G1080,IFERROR(_xlfn.XLOOKUP($B1074,Equipo[DESCRIPCION],Equipo[VALOR],,0),""))</f>
        <v/>
      </c>
      <c r="F1074" s="33"/>
      <c r="G1074" s="34" t="str">
        <f>IFERROR(IF(F1074&gt;=0,D1074*E1074*(1+F1074/100),ABS(D1074*E1074/F1074)),"")</f>
        <v/>
      </c>
      <c r="H1074" s="43" t="str">
        <f>IFERROR(G1074*E1064,"")</f>
        <v/>
      </c>
    </row>
    <row r="1075" spans="1:11">
      <c r="A1075" s="28"/>
      <c r="B1075" s="29"/>
      <c r="C1075" s="30" t="str">
        <f>IFERROR(_xlfn.XLOOKUP(B1075,Equipo[DESCRIPCION],Equipo[UND],,0),"")</f>
        <v/>
      </c>
      <c r="D1075" s="31"/>
      <c r="E1075" s="32" t="str">
        <f>IF(C1075="%MO",G1081,IFERROR(_xlfn.XLOOKUP($B1075,Equipo[DESCRIPCION],Equipo[VALOR],,0),""))</f>
        <v/>
      </c>
      <c r="F1075" s="33"/>
      <c r="G1075" s="34" t="str">
        <f>IFERROR(IF(F1075&gt;=0,D1075*E1075*(1+F1075/100),ABS(D1075*E1075/F1075)),"")</f>
        <v/>
      </c>
      <c r="H1075" s="43" t="str">
        <f>IFERROR(G1075*E1064,"")</f>
        <v/>
      </c>
    </row>
    <row r="1076" spans="1:11">
      <c r="A1076" s="21"/>
      <c r="B1076" s="22" t="s">
        <v>2533</v>
      </c>
      <c r="C1076" s="23"/>
      <c r="D1076" s="24"/>
      <c r="E1076" s="25"/>
      <c r="F1076" s="26"/>
      <c r="G1076" s="27">
        <f>SUM(G1077:G1078)</f>
        <v>0</v>
      </c>
      <c r="H1076" s="44">
        <f>G1076*E1064</f>
        <v>0</v>
      </c>
    </row>
    <row r="1077" spans="1:11">
      <c r="A1077" s="28"/>
      <c r="B1077" s="29"/>
      <c r="C1077" s="30" t="str">
        <f>IFERROR(_xlfn.XLOOKUP(B1077,Transporte[DESCRIPCION],Transporte[UND],,0),"")</f>
        <v/>
      </c>
      <c r="D1077" s="31"/>
      <c r="E1077" s="32" t="str">
        <f>IFERROR(_xlfn.XLOOKUP($B1077,Transporte[DESCRIPCION],Transporte[VALOR],,0),"")</f>
        <v/>
      </c>
      <c r="F1077" s="33"/>
      <c r="G1077" s="34" t="str">
        <f>IFERROR(IF(F1077&gt;=0,D1077*E1077*(1+F1077/100),ABS(D1077*E1077/F1077)),"")</f>
        <v/>
      </c>
      <c r="H1077" s="43" t="str">
        <f>IFERROR(G1077*E1064,"")</f>
        <v/>
      </c>
    </row>
    <row r="1078" spans="1:11">
      <c r="A1078" s="28"/>
      <c r="B1078" s="29"/>
      <c r="C1078" s="30" t="str">
        <f>IFERROR(_xlfn.XLOOKUP(B1078,Transporte[DESCRIPCION],Transporte[UND],,0),"")</f>
        <v/>
      </c>
      <c r="D1078" s="31"/>
      <c r="E1078" s="32" t="str">
        <f>IFERROR(_xlfn.XLOOKUP($B1078,Transporte[DESCRIPCION],Transporte[VALOR],,0),"")</f>
        <v/>
      </c>
      <c r="F1078" s="33"/>
      <c r="G1078" s="34" t="str">
        <f>IFERROR(IF(F1078&gt;=0,D1078*E1078*(1+F1078/100),ABS(D1078*E1078/F1078)),"")</f>
        <v/>
      </c>
      <c r="H1078" s="43" t="str">
        <f>IFERROR(G1078*E1064,"")</f>
        <v/>
      </c>
    </row>
    <row r="1079" spans="1:11">
      <c r="A1079" s="21"/>
      <c r="B1079" s="22" t="s">
        <v>3732</v>
      </c>
      <c r="C1079" s="23"/>
      <c r="D1079" s="24"/>
      <c r="E1079" s="25"/>
      <c r="F1079" s="26"/>
      <c r="G1079" s="27">
        <f>SUM(G1080:G1082)</f>
        <v>44912.964413571441</v>
      </c>
      <c r="H1079" s="44">
        <f>G1079*E1064</f>
        <v>0</v>
      </c>
    </row>
    <row r="1080" spans="1:11">
      <c r="A1080" s="28"/>
      <c r="B1080" s="29" t="s">
        <v>3710</v>
      </c>
      <c r="C1080" s="30" t="str">
        <f>IFERROR(_xlfn.XLOOKUP(B1080,MObra[DESCRIPCION],MObra[UN],,0),"")</f>
        <v>día</v>
      </c>
      <c r="D1080" s="31">
        <v>1</v>
      </c>
      <c r="E1080" s="32">
        <f>IFERROR(_xlfn.XLOOKUP($B1080,MObra[DESCRIPCION],MObra[VALOR UNIT],,0),"")</f>
        <v>314390.75089500006</v>
      </c>
      <c r="F1080" s="33">
        <v>-7</v>
      </c>
      <c r="G1080" s="34">
        <f>IFERROR(IF(F1080&gt;=0,D1080*E1080*(1+F1080/100),ABS(D1080*E1080/F1080)),"")</f>
        <v>44912.964413571441</v>
      </c>
      <c r="H1080" s="43">
        <f>IFERROR(G1080*E1064,"")</f>
        <v>0</v>
      </c>
    </row>
    <row r="1081" spans="1:11">
      <c r="A1081" s="28"/>
      <c r="B1081" s="29"/>
      <c r="C1081" s="30" t="str">
        <f>IFERROR(_xlfn.XLOOKUP(B1081,MObra[DESCRIPCION],MObra[UN],,0),"")</f>
        <v/>
      </c>
      <c r="D1081" s="31"/>
      <c r="E1081" s="32" t="str">
        <f>IFERROR(_xlfn.XLOOKUP($B1081,MObra[DESCRIPCION],MObra[VALOR UNIT],,0),"")</f>
        <v/>
      </c>
      <c r="F1081" s="33"/>
      <c r="G1081" s="34" t="str">
        <f>IFERROR(IF(F1081&gt;=0,D1081*E1081*(1+F1081/100),ABS(D1081*E1081/F1081)),"")</f>
        <v/>
      </c>
      <c r="H1081" s="43" t="str">
        <f>IFERROR(G1081*E1064,"")</f>
        <v/>
      </c>
    </row>
    <row r="1082" spans="1:11">
      <c r="A1082" s="35"/>
      <c r="B1082" s="36"/>
      <c r="C1082" s="37" t="str">
        <f>IFERROR(_xlfn.XLOOKUP(B1082,MObra[DESCRIPCION],MObra[UN],,0),"")</f>
        <v/>
      </c>
      <c r="D1082" s="38"/>
      <c r="E1082" s="39" t="str">
        <f>IFERROR(_xlfn.XLOOKUP($B1082,MObra[DESCRIPCION],MObra[VALOR UNIT],,0),"")</f>
        <v/>
      </c>
      <c r="F1082" s="40"/>
      <c r="G1082" s="41" t="str">
        <f>IFERROR(IF(F1082&gt;=0,D1082*E1082*(1+F1082/100),ABS(D1082*E1082/F1082)),"")</f>
        <v/>
      </c>
      <c r="H1082" s="42" t="str">
        <f>IFERROR(G1082*E1064,"")</f>
        <v/>
      </c>
    </row>
    <row r="1083" spans="1:11" ht="12.75" customHeight="1"/>
    <row r="1084" spans="1:11">
      <c r="A1084" s="6" t="s">
        <v>2146</v>
      </c>
      <c r="B1084" s="7" t="str">
        <f>VLOOKUP($A1084,Presupuesto!$A:$D,2,FALSE())</f>
        <v>Tubería en concreto reforzado unión caucho 24" clase 2</v>
      </c>
      <c r="C1084" s="8" t="str">
        <f>VLOOKUP($A1084,Presupuesto!$A:$D,3,FALSE())</f>
        <v>M3</v>
      </c>
      <c r="D1084" s="9"/>
      <c r="E1084" s="10">
        <f>VLOOKUP($A1084,Presupuesto!$A:$D,4,FALSE())</f>
        <v>0</v>
      </c>
      <c r="F1084" s="11" t="s">
        <v>2589</v>
      </c>
      <c r="G1084" s="12">
        <f>SUM(G1086:G1102)/2</f>
        <v>310039.90350309375</v>
      </c>
      <c r="H1084" s="13">
        <f>ROUND(SUM(H1086:H1102),0)/2</f>
        <v>0</v>
      </c>
      <c r="I1084" s="10">
        <f>VLOOKUP(A1084,Presupuesto!$A:$F,6,0)</f>
        <v>0</v>
      </c>
      <c r="J1084" s="10">
        <f>+H1084-I1084</f>
        <v>0</v>
      </c>
      <c r="K1084" s="46">
        <f>+H1084-G1084*E1084</f>
        <v>0</v>
      </c>
    </row>
    <row r="1085" spans="1:11">
      <c r="A1085" s="14"/>
      <c r="B1085" s="15" t="s">
        <v>2586</v>
      </c>
      <c r="C1085" s="15" t="s">
        <v>5</v>
      </c>
      <c r="D1085" s="16" t="s">
        <v>6</v>
      </c>
      <c r="E1085" s="17" t="s">
        <v>7</v>
      </c>
      <c r="F1085" s="18" t="s">
        <v>3728</v>
      </c>
      <c r="G1085" s="19" t="s">
        <v>3729</v>
      </c>
      <c r="H1085" s="20" t="s">
        <v>3797</v>
      </c>
    </row>
    <row r="1086" spans="1:11">
      <c r="A1086" s="21"/>
      <c r="B1086" s="22" t="s">
        <v>3730</v>
      </c>
      <c r="C1086" s="23"/>
      <c r="D1086" s="24"/>
      <c r="E1086" s="25"/>
      <c r="F1086" s="26"/>
      <c r="G1086" s="27">
        <f>SUM(G1087:G1091)</f>
        <v>227325</v>
      </c>
      <c r="H1086" s="27">
        <f>IFERROR(G1086*E1084,"")</f>
        <v>0</v>
      </c>
    </row>
    <row r="1087" spans="1:11">
      <c r="A1087" s="28"/>
      <c r="B1087" s="29" t="s">
        <v>3422</v>
      </c>
      <c r="C1087" s="30" t="str">
        <f>IFERROR(_xlfn.XLOOKUP(B1087,Insumo[DESCRIPCION],Insumo[UND],,0),"")</f>
        <v>M</v>
      </c>
      <c r="D1087" s="31">
        <v>1</v>
      </c>
      <c r="E1087" s="32">
        <f>IFERROR(_xlfn.XLOOKUP($B1087,Insumo[DESCRIPCION],Insumo[VALOR],,0),"")</f>
        <v>227325</v>
      </c>
      <c r="F1087" s="33"/>
      <c r="G1087" s="34">
        <f>IFERROR(IF(F1087&gt;=0,D1087*E1087*(1+F1087/100),ABS(D1087*E1087/F1087)),"")</f>
        <v>227325</v>
      </c>
      <c r="H1087" s="43">
        <f>IFERROR(G1087*E1084,"")</f>
        <v>0</v>
      </c>
    </row>
    <row r="1088" spans="1:11">
      <c r="A1088" s="28"/>
      <c r="B1088" s="29"/>
      <c r="C1088" s="30" t="str">
        <f>IFERROR(_xlfn.XLOOKUP(B1088,Insumo[DESCRIPCION],Insumo[UND],,0),"")</f>
        <v/>
      </c>
      <c r="D1088" s="31"/>
      <c r="E1088" s="32" t="str">
        <f>IFERROR(_xlfn.XLOOKUP($B1088,Insumo[DESCRIPCION],Insumo[VALOR],,0),"")</f>
        <v/>
      </c>
      <c r="F1088" s="33"/>
      <c r="G1088" s="34" t="str">
        <f>IFERROR(IF(F1088&gt;=0,D1088*E1088*(1+F1088/100),ABS(D1088*E1088/F1088)),"")</f>
        <v/>
      </c>
      <c r="H1088" s="43" t="str">
        <f>IFERROR(G1088*E1084,"")</f>
        <v/>
      </c>
    </row>
    <row r="1089" spans="1:11">
      <c r="A1089" s="28"/>
      <c r="B1089" s="29"/>
      <c r="C1089" s="30" t="str">
        <f>IFERROR(_xlfn.XLOOKUP(B1089,Insumo[DESCRIPCION],Insumo[UND],,0),"")</f>
        <v/>
      </c>
      <c r="D1089" s="31"/>
      <c r="E1089" s="32" t="str">
        <f>IFERROR(_xlfn.XLOOKUP($B1089,Insumo[DESCRIPCION],Insumo[VALOR],,0),"")</f>
        <v/>
      </c>
      <c r="F1089" s="33"/>
      <c r="G1089" s="34" t="str">
        <f>IFERROR(IF(F1089&gt;=0,D1089*E1089*(1+F1089/100),ABS(D1089*E1089/F1089)),"")</f>
        <v/>
      </c>
      <c r="H1089" s="43" t="str">
        <f>IFERROR(G1089*E1084,"")</f>
        <v/>
      </c>
    </row>
    <row r="1090" spans="1:11">
      <c r="A1090" s="28"/>
      <c r="B1090" s="29"/>
      <c r="C1090" s="30" t="str">
        <f>IFERROR(_xlfn.XLOOKUP(B1090,Insumo[DESCRIPCION],Insumo[UND],,0),"")</f>
        <v/>
      </c>
      <c r="D1090" s="31"/>
      <c r="E1090" s="32" t="str">
        <f>IFERROR(_xlfn.XLOOKUP($B1090,Insumo[DESCRIPCION],Insumo[VALOR],,0),"")</f>
        <v/>
      </c>
      <c r="F1090" s="33"/>
      <c r="G1090" s="34" t="str">
        <f>IFERROR(IF(F1090&gt;=0,D1090*E1090*(1+F1090/100),ABS(D1090*E1090/F1090)),"")</f>
        <v/>
      </c>
      <c r="H1090" s="43" t="str">
        <f>IFERROR(G1090*E1084,"")</f>
        <v/>
      </c>
    </row>
    <row r="1091" spans="1:11">
      <c r="A1091" s="28"/>
      <c r="B1091" s="29"/>
      <c r="C1091" s="30" t="str">
        <f>IFERROR(_xlfn.XLOOKUP(B1091,Insumo[DESCRIPCION],Insumo[UND],,0),"")</f>
        <v/>
      </c>
      <c r="D1091" s="31"/>
      <c r="E1091" s="32" t="str">
        <f>IFERROR(_xlfn.XLOOKUP($B1091,Insumo[DESCRIPCION],Insumo[VALOR],,0),"")</f>
        <v/>
      </c>
      <c r="F1091" s="33"/>
      <c r="G1091" s="34" t="str">
        <f>IFERROR(IF(F1091&gt;=0,D1091*E1091*(1+F1091/100),ABS(D1091*E1091/F1091)),"")</f>
        <v/>
      </c>
      <c r="H1091" s="43" t="str">
        <f>IFERROR(G1091*E1084,"")</f>
        <v/>
      </c>
    </row>
    <row r="1092" spans="1:11">
      <c r="A1092" s="21"/>
      <c r="B1092" s="22" t="s">
        <v>3731</v>
      </c>
      <c r="C1092" s="23"/>
      <c r="D1092" s="24"/>
      <c r="E1092" s="25"/>
      <c r="F1092" s="26"/>
      <c r="G1092" s="27">
        <f>SUM(G1093:G1095)</f>
        <v>14305.804928718751</v>
      </c>
      <c r="H1092" s="44">
        <f>G1092*E1084</f>
        <v>0</v>
      </c>
    </row>
    <row r="1093" spans="1:11">
      <c r="A1093" s="28"/>
      <c r="B1093" s="29" t="s">
        <v>3622</v>
      </c>
      <c r="C1093" s="30" t="str">
        <f>IFERROR(_xlfn.XLOOKUP(B1093,Equipo[DESCRIPCION],Equipo[UND],,0),"")</f>
        <v>Hr</v>
      </c>
      <c r="D1093" s="31">
        <v>1</v>
      </c>
      <c r="E1093" s="32">
        <f>IF(C1093="%MO",G1099,IFERROR(_xlfn.XLOOKUP($B1093,Equipo[DESCRIPCION],Equipo[VALOR],,0),""))</f>
        <v>87082.8</v>
      </c>
      <c r="F1093" s="33">
        <v>-8</v>
      </c>
      <c r="G1093" s="34">
        <f>IFERROR(IF(F1093&gt;=0,D1093*E1093*(1+F1093/100),ABS(D1093*E1093/F1093)),"")</f>
        <v>10885.35</v>
      </c>
      <c r="H1093" s="43">
        <f>IFERROR(G1093*E1084,"")</f>
        <v>0</v>
      </c>
    </row>
    <row r="1094" spans="1:11">
      <c r="A1094" s="28"/>
      <c r="B1094" s="29" t="s">
        <v>3626</v>
      </c>
      <c r="C1094" s="30" t="str">
        <f>IFERROR(_xlfn.XLOOKUP(B1094,Equipo[DESCRIPCION],Equipo[UND],,0),"")</f>
        <v>%MO</v>
      </c>
      <c r="D1094" s="31">
        <v>0.05</v>
      </c>
      <c r="E1094" s="32">
        <f>IF(C1094="%MO",G1100,IFERROR(_xlfn.XLOOKUP($B1094,Equipo[DESCRIPCION],Equipo[VALOR],,0),""))</f>
        <v>68409.098574375021</v>
      </c>
      <c r="F1094" s="33"/>
      <c r="G1094" s="34">
        <f>IFERROR(IF(F1094&gt;=0,D1094*E1094*(1+F1094/100),ABS(D1094*E1094/F1094)),"")</f>
        <v>3420.454928718751</v>
      </c>
      <c r="H1094" s="43">
        <f>IFERROR(G1094*E1084,"")</f>
        <v>0</v>
      </c>
    </row>
    <row r="1095" spans="1:11">
      <c r="A1095" s="28"/>
      <c r="B1095" s="29"/>
      <c r="C1095" s="30" t="str">
        <f>IFERROR(_xlfn.XLOOKUP(B1095,Equipo[DESCRIPCION],Equipo[UND],,0),"")</f>
        <v/>
      </c>
      <c r="D1095" s="31"/>
      <c r="E1095" s="32" t="str">
        <f>IF(C1095="%MO",G1101,IFERROR(_xlfn.XLOOKUP($B1095,Equipo[DESCRIPCION],Equipo[VALOR],,0),""))</f>
        <v/>
      </c>
      <c r="F1095" s="33"/>
      <c r="G1095" s="34" t="str">
        <f>IFERROR(IF(F1095&gt;=0,D1095*E1095*(1+F1095/100),ABS(D1095*E1095/F1095)),"")</f>
        <v/>
      </c>
      <c r="H1095" s="43" t="str">
        <f>IFERROR(G1095*E1084,"")</f>
        <v/>
      </c>
    </row>
    <row r="1096" spans="1:11">
      <c r="A1096" s="21"/>
      <c r="B1096" s="22" t="s">
        <v>2533</v>
      </c>
      <c r="C1096" s="23"/>
      <c r="D1096" s="24"/>
      <c r="E1096" s="25"/>
      <c r="F1096" s="26"/>
      <c r="G1096" s="27">
        <f>SUM(G1097:G1098)</f>
        <v>0</v>
      </c>
      <c r="H1096" s="44">
        <f>G1096*E1084</f>
        <v>0</v>
      </c>
    </row>
    <row r="1097" spans="1:11">
      <c r="A1097" s="28"/>
      <c r="B1097" s="29"/>
      <c r="C1097" s="30" t="str">
        <f>IFERROR(_xlfn.XLOOKUP(B1097,Transporte[DESCRIPCION],Transporte[UND],,0),"")</f>
        <v/>
      </c>
      <c r="D1097" s="31"/>
      <c r="E1097" s="32" t="str">
        <f>IFERROR(_xlfn.XLOOKUP($B1097,Transporte[DESCRIPCION],Transporte[VALOR],,0),"")</f>
        <v/>
      </c>
      <c r="F1097" s="33"/>
      <c r="G1097" s="34" t="str">
        <f>IFERROR(IF(F1097&gt;=0,D1097*E1097*(1+F1097/100),ABS(D1097*E1097/F1097)),"")</f>
        <v/>
      </c>
      <c r="H1097" s="43" t="str">
        <f>IFERROR(G1097*E1084,"")</f>
        <v/>
      </c>
    </row>
    <row r="1098" spans="1:11">
      <c r="A1098" s="28"/>
      <c r="B1098" s="29"/>
      <c r="C1098" s="30" t="str">
        <f>IFERROR(_xlfn.XLOOKUP(B1098,Transporte[DESCRIPCION],Transporte[UND],,0),"")</f>
        <v/>
      </c>
      <c r="D1098" s="31"/>
      <c r="E1098" s="32" t="str">
        <f>IFERROR(_xlfn.XLOOKUP($B1098,Transporte[DESCRIPCION],Transporte[VALOR],,0),"")</f>
        <v/>
      </c>
      <c r="F1098" s="33"/>
      <c r="G1098" s="34" t="str">
        <f>IFERROR(IF(F1098&gt;=0,D1098*E1098*(1+F1098/100),ABS(D1098*E1098/F1098)),"")</f>
        <v/>
      </c>
      <c r="H1098" s="43" t="str">
        <f>IFERROR(G1098*E1084,"")</f>
        <v/>
      </c>
    </row>
    <row r="1099" spans="1:11">
      <c r="A1099" s="21"/>
      <c r="B1099" s="22" t="s">
        <v>3732</v>
      </c>
      <c r="C1099" s="23"/>
      <c r="D1099" s="24"/>
      <c r="E1099" s="25"/>
      <c r="F1099" s="26"/>
      <c r="G1099" s="27">
        <f>SUM(G1100:G1102)</f>
        <v>68409.098574375021</v>
      </c>
      <c r="H1099" s="44">
        <f>G1099*E1084</f>
        <v>0</v>
      </c>
    </row>
    <row r="1100" spans="1:11">
      <c r="A1100" s="28"/>
      <c r="B1100" s="29" t="s">
        <v>3712</v>
      </c>
      <c r="C1100" s="30" t="str">
        <f>IFERROR(_xlfn.XLOOKUP(B1100,MObra[DESCRIPCION],MObra[UN],,0),"")</f>
        <v>día</v>
      </c>
      <c r="D1100" s="31">
        <v>1</v>
      </c>
      <c r="E1100" s="32">
        <f>IFERROR(_xlfn.XLOOKUP($B1100,MObra[DESCRIPCION],MObra[VALOR UNIT],,0),"")</f>
        <v>547272.78859500017</v>
      </c>
      <c r="F1100" s="33">
        <v>-8</v>
      </c>
      <c r="G1100" s="34">
        <f>IFERROR(IF(F1100&gt;=0,D1100*E1100*(1+F1100/100),ABS(D1100*E1100/F1100)),"")</f>
        <v>68409.098574375021</v>
      </c>
      <c r="H1100" s="43">
        <f>IFERROR(G1100*E1084,"")</f>
        <v>0</v>
      </c>
    </row>
    <row r="1101" spans="1:11">
      <c r="A1101" s="28"/>
      <c r="B1101" s="29"/>
      <c r="C1101" s="30" t="str">
        <f>IFERROR(_xlfn.XLOOKUP(B1101,MObra[DESCRIPCION],MObra[UN],,0),"")</f>
        <v/>
      </c>
      <c r="D1101" s="31"/>
      <c r="E1101" s="32" t="str">
        <f>IFERROR(_xlfn.XLOOKUP($B1101,MObra[DESCRIPCION],MObra[VALOR UNIT],,0),"")</f>
        <v/>
      </c>
      <c r="F1101" s="33"/>
      <c r="G1101" s="34" t="str">
        <f>IFERROR(IF(F1101&gt;=0,D1101*E1101*(1+F1101/100),ABS(D1101*E1101/F1101)),"")</f>
        <v/>
      </c>
      <c r="H1101" s="43" t="str">
        <f>IFERROR(G1101*E1084,"")</f>
        <v/>
      </c>
    </row>
    <row r="1102" spans="1:11">
      <c r="A1102" s="35"/>
      <c r="B1102" s="36"/>
      <c r="C1102" s="37" t="str">
        <f>IFERROR(_xlfn.XLOOKUP(B1102,MObra[DESCRIPCION],MObra[UN],,0),"")</f>
        <v/>
      </c>
      <c r="D1102" s="38"/>
      <c r="E1102" s="39" t="str">
        <f>IFERROR(_xlfn.XLOOKUP($B1102,MObra[DESCRIPCION],MObra[VALOR UNIT],,0),"")</f>
        <v/>
      </c>
      <c r="F1102" s="40"/>
      <c r="G1102" s="41" t="str">
        <f>IFERROR(IF(F1102&gt;=0,D1102*E1102*(1+F1102/100),ABS(D1102*E1102/F1102)),"")</f>
        <v/>
      </c>
      <c r="H1102" s="42" t="str">
        <f>IFERROR(G1102*E1084,"")</f>
        <v/>
      </c>
    </row>
    <row r="1103" spans="1:11" ht="12.75" customHeight="1"/>
    <row r="1104" spans="1:11">
      <c r="A1104" s="6" t="s">
        <v>2148</v>
      </c>
      <c r="B1104" s="7" t="str">
        <f>VLOOKUP($A1104,Presupuesto!$A:$D,2,FALSE())</f>
        <v>Tubería en concreto reforzado unión caucho 27" clase 2</v>
      </c>
      <c r="C1104" s="8" t="str">
        <f>VLOOKUP($A1104,Presupuesto!$A:$D,3,FALSE())</f>
        <v>M</v>
      </c>
      <c r="D1104" s="9"/>
      <c r="E1104" s="10">
        <f>VLOOKUP($A1104,Presupuesto!$A:$D,4,FALSE())</f>
        <v>0</v>
      </c>
      <c r="F1104" s="11" t="s">
        <v>2589</v>
      </c>
      <c r="G1104" s="12">
        <f>SUM(G1106:G1122)/2</f>
        <v>372385.48040330003</v>
      </c>
      <c r="H1104" s="13">
        <f>ROUND(SUM(H1106:H1122),0)/2</f>
        <v>0</v>
      </c>
      <c r="I1104" s="10">
        <f>VLOOKUP(A1104,Presupuesto!$A:$F,6,0)</f>
        <v>0</v>
      </c>
      <c r="J1104" s="10">
        <f>+H1104-I1104</f>
        <v>0</v>
      </c>
      <c r="K1104" s="46">
        <f>+H1104-G1104*E1104</f>
        <v>0</v>
      </c>
    </row>
    <row r="1105" spans="1:8">
      <c r="A1105" s="14"/>
      <c r="B1105" s="15" t="s">
        <v>2586</v>
      </c>
      <c r="C1105" s="15" t="s">
        <v>5</v>
      </c>
      <c r="D1105" s="16" t="s">
        <v>6</v>
      </c>
      <c r="E1105" s="17" t="s">
        <v>7</v>
      </c>
      <c r="F1105" s="18" t="s">
        <v>3728</v>
      </c>
      <c r="G1105" s="19" t="s">
        <v>3729</v>
      </c>
      <c r="H1105" s="20" t="s">
        <v>3797</v>
      </c>
    </row>
    <row r="1106" spans="1:8">
      <c r="A1106" s="21"/>
      <c r="B1106" s="22" t="s">
        <v>3730</v>
      </c>
      <c r="C1106" s="23"/>
      <c r="D1106" s="24"/>
      <c r="E1106" s="25"/>
      <c r="F1106" s="26"/>
      <c r="G1106" s="27">
        <f>SUM(G1107:G1111)</f>
        <v>284156.25</v>
      </c>
      <c r="H1106" s="27">
        <f>IFERROR(G1106*E1104,"")</f>
        <v>0</v>
      </c>
    </row>
    <row r="1107" spans="1:8">
      <c r="A1107" s="28"/>
      <c r="B1107" s="29" t="s">
        <v>3423</v>
      </c>
      <c r="C1107" s="30" t="str">
        <f>IFERROR(_xlfn.XLOOKUP(B1107,Insumo[DESCRIPCION],Insumo[UND],,0),"")</f>
        <v>M</v>
      </c>
      <c r="D1107" s="31">
        <v>1</v>
      </c>
      <c r="E1107" s="32">
        <f>IFERROR(_xlfn.XLOOKUP($B1107,Insumo[DESCRIPCION],Insumo[VALOR],,0),"")</f>
        <v>284156.25</v>
      </c>
      <c r="F1107" s="33"/>
      <c r="G1107" s="34">
        <f>IFERROR(IF(F1107&gt;=0,D1107*E1107*(1+F1107/100),ABS(D1107*E1107/F1107)),"")</f>
        <v>284156.25</v>
      </c>
      <c r="H1107" s="43">
        <f>IFERROR(G1107*E1104,"")</f>
        <v>0</v>
      </c>
    </row>
    <row r="1108" spans="1:8">
      <c r="A1108" s="28"/>
      <c r="B1108" s="29"/>
      <c r="C1108" s="30" t="str">
        <f>IFERROR(_xlfn.XLOOKUP(B1108,Insumo[DESCRIPCION],Insumo[UND],,0),"")</f>
        <v/>
      </c>
      <c r="D1108" s="31"/>
      <c r="E1108" s="32" t="str">
        <f>IFERROR(_xlfn.XLOOKUP($B1108,Insumo[DESCRIPCION],Insumo[VALOR],,0),"")</f>
        <v/>
      </c>
      <c r="F1108" s="33"/>
      <c r="G1108" s="34" t="str">
        <f>IFERROR(IF(F1108&gt;=0,D1108*E1108*(1+F1108/100),ABS(D1108*E1108/F1108)),"")</f>
        <v/>
      </c>
      <c r="H1108" s="43" t="str">
        <f>IFERROR(G1108*E1104,"")</f>
        <v/>
      </c>
    </row>
    <row r="1109" spans="1:8">
      <c r="A1109" s="28"/>
      <c r="B1109" s="29"/>
      <c r="C1109" s="30" t="str">
        <f>IFERROR(_xlfn.XLOOKUP(B1109,Insumo[DESCRIPCION],Insumo[UND],,0),"")</f>
        <v/>
      </c>
      <c r="D1109" s="31"/>
      <c r="E1109" s="32" t="str">
        <f>IFERROR(_xlfn.XLOOKUP($B1109,Insumo[DESCRIPCION],Insumo[VALOR],,0),"")</f>
        <v/>
      </c>
      <c r="F1109" s="33"/>
      <c r="G1109" s="34" t="str">
        <f>IFERROR(IF(F1109&gt;=0,D1109*E1109*(1+F1109/100),ABS(D1109*E1109/F1109)),"")</f>
        <v/>
      </c>
      <c r="H1109" s="43" t="str">
        <f>IFERROR(G1109*E1104,"")</f>
        <v/>
      </c>
    </row>
    <row r="1110" spans="1:8">
      <c r="A1110" s="28"/>
      <c r="B1110" s="29"/>
      <c r="C1110" s="30" t="str">
        <f>IFERROR(_xlfn.XLOOKUP(B1110,Insumo[DESCRIPCION],Insumo[UND],,0),"")</f>
        <v/>
      </c>
      <c r="D1110" s="31"/>
      <c r="E1110" s="32" t="str">
        <f>IFERROR(_xlfn.XLOOKUP($B1110,Insumo[DESCRIPCION],Insumo[VALOR],,0),"")</f>
        <v/>
      </c>
      <c r="F1110" s="33"/>
      <c r="G1110" s="34" t="str">
        <f>IFERROR(IF(F1110&gt;=0,D1110*E1110*(1+F1110/100),ABS(D1110*E1110/F1110)),"")</f>
        <v/>
      </c>
      <c r="H1110" s="43" t="str">
        <f>IFERROR(G1110*E1104,"")</f>
        <v/>
      </c>
    </row>
    <row r="1111" spans="1:8">
      <c r="A1111" s="28"/>
      <c r="B1111" s="29"/>
      <c r="C1111" s="30" t="str">
        <f>IFERROR(_xlfn.XLOOKUP(B1111,Insumo[DESCRIPCION],Insumo[UND],,0),"")</f>
        <v/>
      </c>
      <c r="D1111" s="31"/>
      <c r="E1111" s="32" t="str">
        <f>IFERROR(_xlfn.XLOOKUP($B1111,Insumo[DESCRIPCION],Insumo[VALOR],,0),"")</f>
        <v/>
      </c>
      <c r="F1111" s="33"/>
      <c r="G1111" s="34" t="str">
        <f>IFERROR(IF(F1111&gt;=0,D1111*E1111*(1+F1111/100),ABS(D1111*E1111/F1111)),"")</f>
        <v/>
      </c>
      <c r="H1111" s="43" t="str">
        <f>IFERROR(G1111*E1104,"")</f>
        <v/>
      </c>
    </row>
    <row r="1112" spans="1:8">
      <c r="A1112" s="21"/>
      <c r="B1112" s="22" t="s">
        <v>3731</v>
      </c>
      <c r="C1112" s="23"/>
      <c r="D1112" s="24"/>
      <c r="E1112" s="25"/>
      <c r="F1112" s="26"/>
      <c r="G1112" s="27">
        <f>SUM(G1113:G1115)</f>
        <v>15259.525257300002</v>
      </c>
      <c r="H1112" s="44">
        <f>G1112*E1104</f>
        <v>0</v>
      </c>
    </row>
    <row r="1113" spans="1:8">
      <c r="A1113" s="28"/>
      <c r="B1113" s="29" t="s">
        <v>3622</v>
      </c>
      <c r="C1113" s="30" t="str">
        <f>IFERROR(_xlfn.XLOOKUP(B1113,Equipo[DESCRIPCION],Equipo[UND],,0),"")</f>
        <v>Hr</v>
      </c>
      <c r="D1113" s="31">
        <v>1</v>
      </c>
      <c r="E1113" s="32">
        <f>IF(C1113="%MO",G1119,IFERROR(_xlfn.XLOOKUP($B1113,Equipo[DESCRIPCION],Equipo[VALOR],,0),""))</f>
        <v>87082.8</v>
      </c>
      <c r="F1113" s="33">
        <v>-7.5</v>
      </c>
      <c r="G1113" s="34">
        <f>IFERROR(IF(F1113&gt;=0,D1113*E1113*(1+F1113/100),ABS(D1113*E1113/F1113)),"")</f>
        <v>11611.04</v>
      </c>
      <c r="H1113" s="43">
        <f>IFERROR(G1113*E1104,"")</f>
        <v>0</v>
      </c>
    </row>
    <row r="1114" spans="1:8">
      <c r="A1114" s="28"/>
      <c r="B1114" s="29" t="s">
        <v>3626</v>
      </c>
      <c r="C1114" s="30" t="str">
        <f>IFERROR(_xlfn.XLOOKUP(B1114,Equipo[DESCRIPCION],Equipo[UND],,0),"")</f>
        <v>%MO</v>
      </c>
      <c r="D1114" s="31">
        <v>0.05</v>
      </c>
      <c r="E1114" s="32">
        <f>IF(C1114="%MO",G1120,IFERROR(_xlfn.XLOOKUP($B1114,Equipo[DESCRIPCION],Equipo[VALOR],,0),""))</f>
        <v>72969.705146000022</v>
      </c>
      <c r="F1114" s="33"/>
      <c r="G1114" s="34">
        <f>IFERROR(IF(F1114&gt;=0,D1114*E1114*(1+F1114/100),ABS(D1114*E1114/F1114)),"")</f>
        <v>3648.4852573000012</v>
      </c>
      <c r="H1114" s="43">
        <f>IFERROR(G1114*E1104,"")</f>
        <v>0</v>
      </c>
    </row>
    <row r="1115" spans="1:8">
      <c r="A1115" s="28"/>
      <c r="B1115" s="29"/>
      <c r="C1115" s="30" t="str">
        <f>IFERROR(_xlfn.XLOOKUP(B1115,Equipo[DESCRIPCION],Equipo[UND],,0),"")</f>
        <v/>
      </c>
      <c r="D1115" s="31"/>
      <c r="E1115" s="32" t="str">
        <f>IF(C1115="%MO",G1121,IFERROR(_xlfn.XLOOKUP($B1115,Equipo[DESCRIPCION],Equipo[VALOR],,0),""))</f>
        <v/>
      </c>
      <c r="F1115" s="33"/>
      <c r="G1115" s="34" t="str">
        <f>IFERROR(IF(F1115&gt;=0,D1115*E1115*(1+F1115/100),ABS(D1115*E1115/F1115)),"")</f>
        <v/>
      </c>
      <c r="H1115" s="43" t="str">
        <f>IFERROR(G1115*E1104,"")</f>
        <v/>
      </c>
    </row>
    <row r="1116" spans="1:8">
      <c r="A1116" s="21"/>
      <c r="B1116" s="22" t="s">
        <v>2533</v>
      </c>
      <c r="C1116" s="23"/>
      <c r="D1116" s="24"/>
      <c r="E1116" s="25"/>
      <c r="F1116" s="26"/>
      <c r="G1116" s="27">
        <f>SUM(G1117:G1118)</f>
        <v>0</v>
      </c>
      <c r="H1116" s="44">
        <f>G1116*E1104</f>
        <v>0</v>
      </c>
    </row>
    <row r="1117" spans="1:8">
      <c r="A1117" s="28"/>
      <c r="B1117" s="29"/>
      <c r="C1117" s="30" t="str">
        <f>IFERROR(_xlfn.XLOOKUP(B1117,Transporte[DESCRIPCION],Transporte[UND],,0),"")</f>
        <v/>
      </c>
      <c r="D1117" s="31"/>
      <c r="E1117" s="32" t="str">
        <f>IFERROR(_xlfn.XLOOKUP($B1117,Transporte[DESCRIPCION],Transporte[VALOR],,0),"")</f>
        <v/>
      </c>
      <c r="F1117" s="33"/>
      <c r="G1117" s="34" t="str">
        <f>IFERROR(IF(F1117&gt;=0,D1117*E1117*(1+F1117/100),ABS(D1117*E1117/F1117)),"")</f>
        <v/>
      </c>
      <c r="H1117" s="43" t="str">
        <f>IFERROR(G1117*E1104,"")</f>
        <v/>
      </c>
    </row>
    <row r="1118" spans="1:8">
      <c r="A1118" s="28"/>
      <c r="B1118" s="29"/>
      <c r="C1118" s="30" t="str">
        <f>IFERROR(_xlfn.XLOOKUP(B1118,Transporte[DESCRIPCION],Transporte[UND],,0),"")</f>
        <v/>
      </c>
      <c r="D1118" s="31"/>
      <c r="E1118" s="32" t="str">
        <f>IFERROR(_xlfn.XLOOKUP($B1118,Transporte[DESCRIPCION],Transporte[VALOR],,0),"")</f>
        <v/>
      </c>
      <c r="F1118" s="33"/>
      <c r="G1118" s="34" t="str">
        <f>IFERROR(IF(F1118&gt;=0,D1118*E1118*(1+F1118/100),ABS(D1118*E1118/F1118)),"")</f>
        <v/>
      </c>
      <c r="H1118" s="43" t="str">
        <f>IFERROR(G1118*E1104,"")</f>
        <v/>
      </c>
    </row>
    <row r="1119" spans="1:8">
      <c r="A1119" s="21"/>
      <c r="B1119" s="22" t="s">
        <v>3732</v>
      </c>
      <c r="C1119" s="23"/>
      <c r="D1119" s="24"/>
      <c r="E1119" s="25"/>
      <c r="F1119" s="26"/>
      <c r="G1119" s="27">
        <f>SUM(G1120:G1122)</f>
        <v>72969.705146000022</v>
      </c>
      <c r="H1119" s="44">
        <f>G1119*E1104</f>
        <v>0</v>
      </c>
    </row>
    <row r="1120" spans="1:8">
      <c r="A1120" s="28"/>
      <c r="B1120" s="29" t="s">
        <v>3712</v>
      </c>
      <c r="C1120" s="30" t="str">
        <f>IFERROR(_xlfn.XLOOKUP(B1120,MObra[DESCRIPCION],MObra[UN],,0),"")</f>
        <v>día</v>
      </c>
      <c r="D1120" s="31">
        <v>1</v>
      </c>
      <c r="E1120" s="32">
        <f>IFERROR(_xlfn.XLOOKUP($B1120,MObra[DESCRIPCION],MObra[VALOR UNIT],,0),"")</f>
        <v>547272.78859500017</v>
      </c>
      <c r="F1120" s="33">
        <v>-7.5</v>
      </c>
      <c r="G1120" s="34">
        <f>IFERROR(IF(F1120&gt;=0,D1120*E1120*(1+F1120/100),ABS(D1120*E1120/F1120)),"")</f>
        <v>72969.705146000022</v>
      </c>
      <c r="H1120" s="43">
        <f>IFERROR(G1120*E1104,"")</f>
        <v>0</v>
      </c>
    </row>
    <row r="1121" spans="1:11">
      <c r="A1121" s="28"/>
      <c r="B1121" s="29"/>
      <c r="C1121" s="30" t="str">
        <f>IFERROR(_xlfn.XLOOKUP(B1121,MObra[DESCRIPCION],MObra[UN],,0),"")</f>
        <v/>
      </c>
      <c r="D1121" s="31"/>
      <c r="E1121" s="32" t="str">
        <f>IFERROR(_xlfn.XLOOKUP($B1121,MObra[DESCRIPCION],MObra[VALOR UNIT],,0),"")</f>
        <v/>
      </c>
      <c r="F1121" s="33"/>
      <c r="G1121" s="34" t="str">
        <f>IFERROR(IF(F1121&gt;=0,D1121*E1121*(1+F1121/100),ABS(D1121*E1121/F1121)),"")</f>
        <v/>
      </c>
      <c r="H1121" s="43" t="str">
        <f>IFERROR(G1121*E1104,"")</f>
        <v/>
      </c>
    </row>
    <row r="1122" spans="1:11">
      <c r="A1122" s="35"/>
      <c r="B1122" s="36"/>
      <c r="C1122" s="37" t="str">
        <f>IFERROR(_xlfn.XLOOKUP(B1122,MObra[DESCRIPCION],MObra[UN],,0),"")</f>
        <v/>
      </c>
      <c r="D1122" s="38"/>
      <c r="E1122" s="39" t="str">
        <f>IFERROR(_xlfn.XLOOKUP($B1122,MObra[DESCRIPCION],MObra[VALOR UNIT],,0),"")</f>
        <v/>
      </c>
      <c r="F1122" s="40"/>
      <c r="G1122" s="41" t="str">
        <f>IFERROR(IF(F1122&gt;=0,D1122*E1122*(1+F1122/100),ABS(D1122*E1122/F1122)),"")</f>
        <v/>
      </c>
      <c r="H1122" s="42" t="str">
        <f>IFERROR(G1122*E1104,"")</f>
        <v/>
      </c>
    </row>
    <row r="1123" spans="1:11" ht="12.75" customHeight="1"/>
    <row r="1124" spans="1:11">
      <c r="A1124" s="6" t="s">
        <v>2150</v>
      </c>
      <c r="B1124" s="7" t="str">
        <f>VLOOKUP($A1124,Presupuesto!$A:$D,2,FALSE())</f>
        <v>Tubería en concreto reforzado unión caucho 30" clase 2</v>
      </c>
      <c r="C1124" s="8" t="str">
        <f>VLOOKUP($A1124,Presupuesto!$A:$D,3,FALSE())</f>
        <v>M</v>
      </c>
      <c r="D1124" s="9"/>
      <c r="E1124" s="10">
        <f>VLOOKUP($A1124,Presupuesto!$A:$D,4,FALSE())</f>
        <v>0</v>
      </c>
      <c r="F1124" s="11" t="s">
        <v>2589</v>
      </c>
      <c r="G1124" s="12">
        <f>SUM(G1126:G1142)/2</f>
        <v>412786.31828925008</v>
      </c>
      <c r="H1124" s="13">
        <f>ROUND(SUM(H1126:H1142),0)/2</f>
        <v>0</v>
      </c>
      <c r="I1124" s="10">
        <f>VLOOKUP(A1124,Presupuesto!$A:$F,6,0)</f>
        <v>0</v>
      </c>
      <c r="J1124" s="10">
        <f>+H1124-I1124</f>
        <v>0</v>
      </c>
      <c r="K1124" s="46">
        <f>+H1124-G1124*E1124</f>
        <v>0</v>
      </c>
    </row>
    <row r="1125" spans="1:11">
      <c r="A1125" s="14"/>
      <c r="B1125" s="15" t="s">
        <v>2586</v>
      </c>
      <c r="C1125" s="15" t="s">
        <v>5</v>
      </c>
      <c r="D1125" s="16" t="s">
        <v>6</v>
      </c>
      <c r="E1125" s="17" t="s">
        <v>7</v>
      </c>
      <c r="F1125" s="18" t="s">
        <v>3728</v>
      </c>
      <c r="G1125" s="19" t="s">
        <v>3729</v>
      </c>
      <c r="H1125" s="20" t="s">
        <v>3797</v>
      </c>
    </row>
    <row r="1126" spans="1:11">
      <c r="A1126" s="21"/>
      <c r="B1126" s="22" t="s">
        <v>3730</v>
      </c>
      <c r="C1126" s="23"/>
      <c r="D1126" s="24"/>
      <c r="E1126" s="25"/>
      <c r="F1126" s="26"/>
      <c r="G1126" s="27">
        <f>SUM(G1127:G1131)</f>
        <v>318255</v>
      </c>
      <c r="H1126" s="27">
        <f>IFERROR(G1126*E1124,"")</f>
        <v>0</v>
      </c>
    </row>
    <row r="1127" spans="1:11">
      <c r="A1127" s="28"/>
      <c r="B1127" s="29" t="s">
        <v>3424</v>
      </c>
      <c r="C1127" s="30" t="str">
        <f>IFERROR(_xlfn.XLOOKUP(B1127,Insumo[DESCRIPCION],Insumo[UND],,0),"")</f>
        <v>M</v>
      </c>
      <c r="D1127" s="31">
        <v>1</v>
      </c>
      <c r="E1127" s="32">
        <f>IFERROR(_xlfn.XLOOKUP($B1127,Insumo[DESCRIPCION],Insumo[VALOR],,0),"")</f>
        <v>318255</v>
      </c>
      <c r="F1127" s="33"/>
      <c r="G1127" s="34">
        <f>IFERROR(IF(F1127&gt;=0,D1127*E1127*(1+F1127/100),ABS(D1127*E1127/F1127)),"")</f>
        <v>318255</v>
      </c>
      <c r="H1127" s="43">
        <f>IFERROR(G1127*E1124,"")</f>
        <v>0</v>
      </c>
    </row>
    <row r="1128" spans="1:11">
      <c r="A1128" s="28"/>
      <c r="B1128" s="29"/>
      <c r="C1128" s="30" t="str">
        <f>IFERROR(_xlfn.XLOOKUP(B1128,Insumo[DESCRIPCION],Insumo[UND],,0),"")</f>
        <v/>
      </c>
      <c r="D1128" s="31"/>
      <c r="E1128" s="32" t="str">
        <f>IFERROR(_xlfn.XLOOKUP($B1128,Insumo[DESCRIPCION],Insumo[VALOR],,0),"")</f>
        <v/>
      </c>
      <c r="F1128" s="33"/>
      <c r="G1128" s="34" t="str">
        <f>IFERROR(IF(F1128&gt;=0,D1128*E1128*(1+F1128/100),ABS(D1128*E1128/F1128)),"")</f>
        <v/>
      </c>
      <c r="H1128" s="43" t="str">
        <f>IFERROR(G1128*E1124,"")</f>
        <v/>
      </c>
    </row>
    <row r="1129" spans="1:11">
      <c r="A1129" s="28"/>
      <c r="B1129" s="29"/>
      <c r="C1129" s="30" t="str">
        <f>IFERROR(_xlfn.XLOOKUP(B1129,Insumo[DESCRIPCION],Insumo[UND],,0),"")</f>
        <v/>
      </c>
      <c r="D1129" s="31"/>
      <c r="E1129" s="32" t="str">
        <f>IFERROR(_xlfn.XLOOKUP($B1129,Insumo[DESCRIPCION],Insumo[VALOR],,0),"")</f>
        <v/>
      </c>
      <c r="F1129" s="33"/>
      <c r="G1129" s="34" t="str">
        <f>IFERROR(IF(F1129&gt;=0,D1129*E1129*(1+F1129/100),ABS(D1129*E1129/F1129)),"")</f>
        <v/>
      </c>
      <c r="H1129" s="43" t="str">
        <f>IFERROR(G1129*E1124,"")</f>
        <v/>
      </c>
    </row>
    <row r="1130" spans="1:11">
      <c r="A1130" s="28"/>
      <c r="B1130" s="29"/>
      <c r="C1130" s="30" t="str">
        <f>IFERROR(_xlfn.XLOOKUP(B1130,Insumo[DESCRIPCION],Insumo[UND],,0),"")</f>
        <v/>
      </c>
      <c r="D1130" s="31"/>
      <c r="E1130" s="32" t="str">
        <f>IFERROR(_xlfn.XLOOKUP($B1130,Insumo[DESCRIPCION],Insumo[VALOR],,0),"")</f>
        <v/>
      </c>
      <c r="F1130" s="33"/>
      <c r="G1130" s="34" t="str">
        <f>IFERROR(IF(F1130&gt;=0,D1130*E1130*(1+F1130/100),ABS(D1130*E1130/F1130)),"")</f>
        <v/>
      </c>
      <c r="H1130" s="43" t="str">
        <f>IFERROR(G1130*E1124,"")</f>
        <v/>
      </c>
    </row>
    <row r="1131" spans="1:11">
      <c r="A1131" s="28"/>
      <c r="B1131" s="29"/>
      <c r="C1131" s="30" t="str">
        <f>IFERROR(_xlfn.XLOOKUP(B1131,Insumo[DESCRIPCION],Insumo[UND],,0),"")</f>
        <v/>
      </c>
      <c r="D1131" s="31"/>
      <c r="E1131" s="32" t="str">
        <f>IFERROR(_xlfn.XLOOKUP($B1131,Insumo[DESCRIPCION],Insumo[VALOR],,0),"")</f>
        <v/>
      </c>
      <c r="F1131" s="33"/>
      <c r="G1131" s="34" t="str">
        <f>IFERROR(IF(F1131&gt;=0,D1131*E1131*(1+F1131/100),ABS(D1131*E1131/F1131)),"")</f>
        <v/>
      </c>
      <c r="H1131" s="43" t="str">
        <f>IFERROR(G1131*E1124,"")</f>
        <v/>
      </c>
    </row>
    <row r="1132" spans="1:11">
      <c r="A1132" s="21"/>
      <c r="B1132" s="22" t="s">
        <v>3731</v>
      </c>
      <c r="C1132" s="23"/>
      <c r="D1132" s="24"/>
      <c r="E1132" s="25"/>
      <c r="F1132" s="26"/>
      <c r="G1132" s="27">
        <f>SUM(G1133:G1135)</f>
        <v>16349.491347107145</v>
      </c>
      <c r="H1132" s="44">
        <f>G1132*E1124</f>
        <v>0</v>
      </c>
    </row>
    <row r="1133" spans="1:11">
      <c r="A1133" s="28"/>
      <c r="B1133" s="29" t="s">
        <v>3622</v>
      </c>
      <c r="C1133" s="30" t="str">
        <f>IFERROR(_xlfn.XLOOKUP(B1133,Equipo[DESCRIPCION],Equipo[UND],,0),"")</f>
        <v>Hr</v>
      </c>
      <c r="D1133" s="31">
        <v>1</v>
      </c>
      <c r="E1133" s="32">
        <f>IF(C1133="%MO",G1139,IFERROR(_xlfn.XLOOKUP($B1133,Equipo[DESCRIPCION],Equipo[VALOR],,0),""))</f>
        <v>87082.8</v>
      </c>
      <c r="F1133" s="33">
        <v>-7</v>
      </c>
      <c r="G1133" s="34">
        <f>IFERROR(IF(F1133&gt;=0,D1133*E1133*(1+F1133/100),ABS(D1133*E1133/F1133)),"")</f>
        <v>12440.4</v>
      </c>
      <c r="H1133" s="43">
        <f>IFERROR(G1133*E1124,"")</f>
        <v>0</v>
      </c>
    </row>
    <row r="1134" spans="1:11">
      <c r="A1134" s="28"/>
      <c r="B1134" s="29" t="s">
        <v>3626</v>
      </c>
      <c r="C1134" s="30" t="str">
        <f>IFERROR(_xlfn.XLOOKUP(B1134,Equipo[DESCRIPCION],Equipo[UND],,0),"")</f>
        <v>%MO</v>
      </c>
      <c r="D1134" s="31">
        <v>0.05</v>
      </c>
      <c r="E1134" s="32">
        <f>IF(C1134="%MO",G1140,IFERROR(_xlfn.XLOOKUP($B1134,Equipo[DESCRIPCION],Equipo[VALOR],,0),""))</f>
        <v>78181.826942142885</v>
      </c>
      <c r="F1134" s="33"/>
      <c r="G1134" s="34">
        <f>IFERROR(IF(F1134&gt;=0,D1134*E1134*(1+F1134/100),ABS(D1134*E1134/F1134)),"")</f>
        <v>3909.0913471071444</v>
      </c>
      <c r="H1134" s="43">
        <f>IFERROR(G1134*E1124,"")</f>
        <v>0</v>
      </c>
    </row>
    <row r="1135" spans="1:11">
      <c r="A1135" s="28"/>
      <c r="B1135" s="29"/>
      <c r="C1135" s="30" t="str">
        <f>IFERROR(_xlfn.XLOOKUP(B1135,Equipo[DESCRIPCION],Equipo[UND],,0),"")</f>
        <v/>
      </c>
      <c r="D1135" s="31"/>
      <c r="E1135" s="32" t="str">
        <f>IF(C1135="%MO",G1141,IFERROR(_xlfn.XLOOKUP($B1135,Equipo[DESCRIPCION],Equipo[VALOR],,0),""))</f>
        <v/>
      </c>
      <c r="F1135" s="33"/>
      <c r="G1135" s="34" t="str">
        <f>IFERROR(IF(F1135&gt;=0,D1135*E1135*(1+F1135/100),ABS(D1135*E1135/F1135)),"")</f>
        <v/>
      </c>
      <c r="H1135" s="43" t="str">
        <f>IFERROR(G1135*E1124,"")</f>
        <v/>
      </c>
    </row>
    <row r="1136" spans="1:11">
      <c r="A1136" s="21"/>
      <c r="B1136" s="22" t="s">
        <v>2533</v>
      </c>
      <c r="C1136" s="23"/>
      <c r="D1136" s="24"/>
      <c r="E1136" s="25"/>
      <c r="F1136" s="26"/>
      <c r="G1136" s="27">
        <f>SUM(G1137:G1138)</f>
        <v>0</v>
      </c>
      <c r="H1136" s="44">
        <f>G1136*E1124</f>
        <v>0</v>
      </c>
    </row>
    <row r="1137" spans="1:11">
      <c r="A1137" s="28"/>
      <c r="B1137" s="29"/>
      <c r="C1137" s="30" t="str">
        <f>IFERROR(_xlfn.XLOOKUP(B1137,Transporte[DESCRIPCION],Transporte[UND],,0),"")</f>
        <v/>
      </c>
      <c r="D1137" s="31"/>
      <c r="E1137" s="32" t="str">
        <f>IFERROR(_xlfn.XLOOKUP($B1137,Transporte[DESCRIPCION],Transporte[VALOR],,0),"")</f>
        <v/>
      </c>
      <c r="F1137" s="33"/>
      <c r="G1137" s="34" t="str">
        <f>IFERROR(IF(F1137&gt;=0,D1137*E1137*(1+F1137/100),ABS(D1137*E1137/F1137)),"")</f>
        <v/>
      </c>
      <c r="H1137" s="43" t="str">
        <f>IFERROR(G1137*E1124,"")</f>
        <v/>
      </c>
    </row>
    <row r="1138" spans="1:11">
      <c r="A1138" s="28"/>
      <c r="B1138" s="29"/>
      <c r="C1138" s="30" t="str">
        <f>IFERROR(_xlfn.XLOOKUP(B1138,Transporte[DESCRIPCION],Transporte[UND],,0),"")</f>
        <v/>
      </c>
      <c r="D1138" s="31"/>
      <c r="E1138" s="32" t="str">
        <f>IFERROR(_xlfn.XLOOKUP($B1138,Transporte[DESCRIPCION],Transporte[VALOR],,0),"")</f>
        <v/>
      </c>
      <c r="F1138" s="33"/>
      <c r="G1138" s="34" t="str">
        <f>IFERROR(IF(F1138&gt;=0,D1138*E1138*(1+F1138/100),ABS(D1138*E1138/F1138)),"")</f>
        <v/>
      </c>
      <c r="H1138" s="43" t="str">
        <f>IFERROR(G1138*E1124,"")</f>
        <v/>
      </c>
    </row>
    <row r="1139" spans="1:11">
      <c r="A1139" s="21"/>
      <c r="B1139" s="22" t="s">
        <v>3732</v>
      </c>
      <c r="C1139" s="23"/>
      <c r="D1139" s="24"/>
      <c r="E1139" s="25"/>
      <c r="F1139" s="26"/>
      <c r="G1139" s="27">
        <f>SUM(G1140:G1142)</f>
        <v>78181.826942142885</v>
      </c>
      <c r="H1139" s="44">
        <f>G1139*E1124</f>
        <v>0</v>
      </c>
    </row>
    <row r="1140" spans="1:11">
      <c r="A1140" s="28"/>
      <c r="B1140" s="29" t="s">
        <v>3712</v>
      </c>
      <c r="C1140" s="30" t="str">
        <f>IFERROR(_xlfn.XLOOKUP(B1140,MObra[DESCRIPCION],MObra[UN],,0),"")</f>
        <v>día</v>
      </c>
      <c r="D1140" s="31">
        <v>1</v>
      </c>
      <c r="E1140" s="32">
        <f>IFERROR(_xlfn.XLOOKUP($B1140,MObra[DESCRIPCION],MObra[VALOR UNIT],,0),"")</f>
        <v>547272.78859500017</v>
      </c>
      <c r="F1140" s="33">
        <v>-7</v>
      </c>
      <c r="G1140" s="34">
        <f>IFERROR(IF(F1140&gt;=0,D1140*E1140*(1+F1140/100),ABS(D1140*E1140/F1140)),"")</f>
        <v>78181.826942142885</v>
      </c>
      <c r="H1140" s="43">
        <f>IFERROR(G1140*E1124,"")</f>
        <v>0</v>
      </c>
    </row>
    <row r="1141" spans="1:11">
      <c r="A1141" s="28"/>
      <c r="B1141" s="29"/>
      <c r="C1141" s="30" t="str">
        <f>IFERROR(_xlfn.XLOOKUP(B1141,MObra[DESCRIPCION],MObra[UN],,0),"")</f>
        <v/>
      </c>
      <c r="D1141" s="31"/>
      <c r="E1141" s="32" t="str">
        <f>IFERROR(_xlfn.XLOOKUP($B1141,MObra[DESCRIPCION],MObra[VALOR UNIT],,0),"")</f>
        <v/>
      </c>
      <c r="F1141" s="33"/>
      <c r="G1141" s="34" t="str">
        <f>IFERROR(IF(F1141&gt;=0,D1141*E1141*(1+F1141/100),ABS(D1141*E1141/F1141)),"")</f>
        <v/>
      </c>
      <c r="H1141" s="43" t="str">
        <f>IFERROR(G1141*E1124,"")</f>
        <v/>
      </c>
    </row>
    <row r="1142" spans="1:11">
      <c r="A1142" s="35"/>
      <c r="B1142" s="36"/>
      <c r="C1142" s="37" t="str">
        <f>IFERROR(_xlfn.XLOOKUP(B1142,MObra[DESCRIPCION],MObra[UN],,0),"")</f>
        <v/>
      </c>
      <c r="D1142" s="38"/>
      <c r="E1142" s="39" t="str">
        <f>IFERROR(_xlfn.XLOOKUP($B1142,MObra[DESCRIPCION],MObra[VALOR UNIT],,0),"")</f>
        <v/>
      </c>
      <c r="F1142" s="40"/>
      <c r="G1142" s="41" t="str">
        <f>IFERROR(IF(F1142&gt;=0,D1142*E1142*(1+F1142/100),ABS(D1142*E1142/F1142)),"")</f>
        <v/>
      </c>
      <c r="H1142" s="42" t="str">
        <f>IFERROR(G1142*E1124,"")</f>
        <v/>
      </c>
    </row>
    <row r="1143" spans="1:11" ht="12.75" customHeight="1"/>
    <row r="1144" spans="1:11">
      <c r="A1144" s="6" t="s">
        <v>2152</v>
      </c>
      <c r="B1144" s="7" t="str">
        <f>VLOOKUP($A1144,Presupuesto!$A:$D,2,FALSE())</f>
        <v>Tubería en concreto reforzado unión caucho 36" clase 2</v>
      </c>
      <c r="C1144" s="8" t="str">
        <f>VLOOKUP($A1144,Presupuesto!$A:$D,3,FALSE())</f>
        <v>M</v>
      </c>
      <c r="D1144" s="9"/>
      <c r="E1144" s="10">
        <f>VLOOKUP($A1144,Presupuesto!$A:$D,4,FALSE())</f>
        <v>0</v>
      </c>
      <c r="F1144" s="11" t="s">
        <v>2589</v>
      </c>
      <c r="G1144" s="12">
        <f>SUM(G1146:G1162)/2</f>
        <v>476889.2081576538</v>
      </c>
      <c r="H1144" s="13">
        <f>ROUND(SUM(H1146:H1162),0)/2</f>
        <v>0</v>
      </c>
      <c r="I1144" s="10">
        <f>VLOOKUP(A1144,Presupuesto!$A:$F,6,0)</f>
        <v>0</v>
      </c>
      <c r="J1144" s="10">
        <f>+H1144-I1144</f>
        <v>0</v>
      </c>
      <c r="K1144" s="46">
        <f>+H1144-G1144*E1144</f>
        <v>0</v>
      </c>
    </row>
    <row r="1145" spans="1:11">
      <c r="A1145" s="14"/>
      <c r="B1145" s="15" t="s">
        <v>2586</v>
      </c>
      <c r="C1145" s="15" t="s">
        <v>5</v>
      </c>
      <c r="D1145" s="16" t="s">
        <v>6</v>
      </c>
      <c r="E1145" s="17" t="s">
        <v>7</v>
      </c>
      <c r="F1145" s="18" t="s">
        <v>3728</v>
      </c>
      <c r="G1145" s="19" t="s">
        <v>3729</v>
      </c>
      <c r="H1145" s="20" t="s">
        <v>3797</v>
      </c>
    </row>
    <row r="1146" spans="1:11">
      <c r="A1146" s="21"/>
      <c r="B1146" s="22" t="s">
        <v>3730</v>
      </c>
      <c r="C1146" s="23"/>
      <c r="D1146" s="24"/>
      <c r="E1146" s="25"/>
      <c r="F1146" s="26"/>
      <c r="G1146" s="27">
        <f>SUM(G1147:G1151)</f>
        <v>375086.25</v>
      </c>
      <c r="H1146" s="27">
        <f>IFERROR(G1146*E1144,"")</f>
        <v>0</v>
      </c>
    </row>
    <row r="1147" spans="1:11">
      <c r="A1147" s="28"/>
      <c r="B1147" s="29" t="s">
        <v>3425</v>
      </c>
      <c r="C1147" s="30" t="str">
        <f>IFERROR(_xlfn.XLOOKUP(B1147,Insumo[DESCRIPCION],Insumo[UND],,0),"")</f>
        <v>M</v>
      </c>
      <c r="D1147" s="31">
        <v>1</v>
      </c>
      <c r="E1147" s="32">
        <f>IFERROR(_xlfn.XLOOKUP($B1147,Insumo[DESCRIPCION],Insumo[VALOR],,0),"")</f>
        <v>375086.25</v>
      </c>
      <c r="F1147" s="33"/>
      <c r="G1147" s="34">
        <f>IFERROR(IF(F1147&gt;=0,D1147*E1147*(1+F1147/100),ABS(D1147*E1147/F1147)),"")</f>
        <v>375086.25</v>
      </c>
      <c r="H1147" s="43">
        <f>IFERROR(G1147*E1144,"")</f>
        <v>0</v>
      </c>
    </row>
    <row r="1148" spans="1:11">
      <c r="A1148" s="28"/>
      <c r="B1148" s="29"/>
      <c r="C1148" s="30" t="str">
        <f>IFERROR(_xlfn.XLOOKUP(B1148,Insumo[DESCRIPCION],Insumo[UND],,0),"")</f>
        <v/>
      </c>
      <c r="D1148" s="31"/>
      <c r="E1148" s="32" t="str">
        <f>IFERROR(_xlfn.XLOOKUP($B1148,Insumo[DESCRIPCION],Insumo[VALOR],,0),"")</f>
        <v/>
      </c>
      <c r="F1148" s="33"/>
      <c r="G1148" s="34" t="str">
        <f>IFERROR(IF(F1148&gt;=0,D1148*E1148*(1+F1148/100),ABS(D1148*E1148/F1148)),"")</f>
        <v/>
      </c>
      <c r="H1148" s="43" t="str">
        <f>IFERROR(G1148*E1144,"")</f>
        <v/>
      </c>
    </row>
    <row r="1149" spans="1:11">
      <c r="A1149" s="28"/>
      <c r="B1149" s="29"/>
      <c r="C1149" s="30" t="str">
        <f>IFERROR(_xlfn.XLOOKUP(B1149,Insumo[DESCRIPCION],Insumo[UND],,0),"")</f>
        <v/>
      </c>
      <c r="D1149" s="31"/>
      <c r="E1149" s="32" t="str">
        <f>IFERROR(_xlfn.XLOOKUP($B1149,Insumo[DESCRIPCION],Insumo[VALOR],,0),"")</f>
        <v/>
      </c>
      <c r="F1149" s="33"/>
      <c r="G1149" s="34" t="str">
        <f>IFERROR(IF(F1149&gt;=0,D1149*E1149*(1+F1149/100),ABS(D1149*E1149/F1149)),"")</f>
        <v/>
      </c>
      <c r="H1149" s="43" t="str">
        <f>IFERROR(G1149*E1144,"")</f>
        <v/>
      </c>
    </row>
    <row r="1150" spans="1:11">
      <c r="A1150" s="28"/>
      <c r="B1150" s="29"/>
      <c r="C1150" s="30" t="str">
        <f>IFERROR(_xlfn.XLOOKUP(B1150,Insumo[DESCRIPCION],Insumo[UND],,0),"")</f>
        <v/>
      </c>
      <c r="D1150" s="31"/>
      <c r="E1150" s="32" t="str">
        <f>IFERROR(_xlfn.XLOOKUP($B1150,Insumo[DESCRIPCION],Insumo[VALOR],,0),"")</f>
        <v/>
      </c>
      <c r="F1150" s="33"/>
      <c r="G1150" s="34" t="str">
        <f>IFERROR(IF(F1150&gt;=0,D1150*E1150*(1+F1150/100),ABS(D1150*E1150/F1150)),"")</f>
        <v/>
      </c>
      <c r="H1150" s="43" t="str">
        <f>IFERROR(G1150*E1144,"")</f>
        <v/>
      </c>
    </row>
    <row r="1151" spans="1:11">
      <c r="A1151" s="28"/>
      <c r="B1151" s="29"/>
      <c r="C1151" s="30" t="str">
        <f>IFERROR(_xlfn.XLOOKUP(B1151,Insumo[DESCRIPCION],Insumo[UND],,0),"")</f>
        <v/>
      </c>
      <c r="D1151" s="31"/>
      <c r="E1151" s="32" t="str">
        <f>IFERROR(_xlfn.XLOOKUP($B1151,Insumo[DESCRIPCION],Insumo[VALOR],,0),"")</f>
        <v/>
      </c>
      <c r="F1151" s="33"/>
      <c r="G1151" s="34" t="str">
        <f>IFERROR(IF(F1151&gt;=0,D1151*E1151*(1+F1151/100),ABS(D1151*E1151/F1151)),"")</f>
        <v/>
      </c>
      <c r="H1151" s="43" t="str">
        <f>IFERROR(G1151*E1144,"")</f>
        <v/>
      </c>
    </row>
    <row r="1152" spans="1:11">
      <c r="A1152" s="21"/>
      <c r="B1152" s="22" t="s">
        <v>3731</v>
      </c>
      <c r="C1152" s="23"/>
      <c r="D1152" s="24"/>
      <c r="E1152" s="25"/>
      <c r="F1152" s="26"/>
      <c r="G1152" s="27">
        <f>SUM(G1153:G1155)</f>
        <v>17607.144527653847</v>
      </c>
      <c r="H1152" s="44">
        <f>G1152*E1144</f>
        <v>0</v>
      </c>
    </row>
    <row r="1153" spans="1:11">
      <c r="A1153" s="28"/>
      <c r="B1153" s="29" t="s">
        <v>3622</v>
      </c>
      <c r="C1153" s="30" t="str">
        <f>IFERROR(_xlfn.XLOOKUP(B1153,Equipo[DESCRIPCION],Equipo[UND],,0),"")</f>
        <v>Hr</v>
      </c>
      <c r="D1153" s="31">
        <v>1</v>
      </c>
      <c r="E1153" s="32">
        <f>IF(C1153="%MO",G1159,IFERROR(_xlfn.XLOOKUP($B1153,Equipo[DESCRIPCION],Equipo[VALOR],,0),""))</f>
        <v>87082.8</v>
      </c>
      <c r="F1153" s="33">
        <v>-6.5</v>
      </c>
      <c r="G1153" s="34">
        <f>IFERROR(IF(F1153&gt;=0,D1153*E1153*(1+F1153/100),ABS(D1153*E1153/F1153)),"")</f>
        <v>13397.353846153846</v>
      </c>
      <c r="H1153" s="43">
        <f>IFERROR(G1153*E1144,"")</f>
        <v>0</v>
      </c>
    </row>
    <row r="1154" spans="1:11">
      <c r="A1154" s="28"/>
      <c r="B1154" s="29" t="s">
        <v>3626</v>
      </c>
      <c r="C1154" s="30" t="str">
        <f>IFERROR(_xlfn.XLOOKUP(B1154,Equipo[DESCRIPCION],Equipo[UND],,0),"")</f>
        <v>%MO</v>
      </c>
      <c r="D1154" s="31">
        <v>0.05</v>
      </c>
      <c r="E1154" s="32">
        <f>IF(C1154="%MO",G1160,IFERROR(_xlfn.XLOOKUP($B1154,Equipo[DESCRIPCION],Equipo[VALOR],,0),""))</f>
        <v>84195.813630000019</v>
      </c>
      <c r="F1154" s="33"/>
      <c r="G1154" s="34">
        <f>IFERROR(IF(F1154&gt;=0,D1154*E1154*(1+F1154/100),ABS(D1154*E1154/F1154)),"")</f>
        <v>4209.7906815000015</v>
      </c>
      <c r="H1154" s="43">
        <f>IFERROR(G1154*E1144,"")</f>
        <v>0</v>
      </c>
    </row>
    <row r="1155" spans="1:11">
      <c r="A1155" s="28"/>
      <c r="B1155" s="29"/>
      <c r="C1155" s="30" t="str">
        <f>IFERROR(_xlfn.XLOOKUP(B1155,Equipo[DESCRIPCION],Equipo[UND],,0),"")</f>
        <v/>
      </c>
      <c r="D1155" s="31"/>
      <c r="E1155" s="32" t="str">
        <f>IF(C1155="%MO",G1161,IFERROR(_xlfn.XLOOKUP($B1155,Equipo[DESCRIPCION],Equipo[VALOR],,0),""))</f>
        <v/>
      </c>
      <c r="F1155" s="33"/>
      <c r="G1155" s="34" t="str">
        <f>IFERROR(IF(F1155&gt;=0,D1155*E1155*(1+F1155/100),ABS(D1155*E1155/F1155)),"")</f>
        <v/>
      </c>
      <c r="H1155" s="43" t="str">
        <f>IFERROR(G1155*E1144,"")</f>
        <v/>
      </c>
    </row>
    <row r="1156" spans="1:11">
      <c r="A1156" s="21"/>
      <c r="B1156" s="22" t="s">
        <v>2533</v>
      </c>
      <c r="C1156" s="23"/>
      <c r="D1156" s="24"/>
      <c r="E1156" s="25"/>
      <c r="F1156" s="26"/>
      <c r="G1156" s="27">
        <f>SUM(G1157:G1158)</f>
        <v>0</v>
      </c>
      <c r="H1156" s="44">
        <f>G1156*E1144</f>
        <v>0</v>
      </c>
    </row>
    <row r="1157" spans="1:11">
      <c r="A1157" s="28"/>
      <c r="B1157" s="29"/>
      <c r="C1157" s="30" t="str">
        <f>IFERROR(_xlfn.XLOOKUP(B1157,Transporte[DESCRIPCION],Transporte[UND],,0),"")</f>
        <v/>
      </c>
      <c r="D1157" s="31"/>
      <c r="E1157" s="32" t="str">
        <f>IFERROR(_xlfn.XLOOKUP($B1157,Transporte[DESCRIPCION],Transporte[VALOR],,0),"")</f>
        <v/>
      </c>
      <c r="F1157" s="33"/>
      <c r="G1157" s="34" t="str">
        <f>IFERROR(IF(F1157&gt;=0,D1157*E1157*(1+F1157/100),ABS(D1157*E1157/F1157)),"")</f>
        <v/>
      </c>
      <c r="H1157" s="43" t="str">
        <f>IFERROR(G1157*E1144,"")</f>
        <v/>
      </c>
    </row>
    <row r="1158" spans="1:11">
      <c r="A1158" s="28"/>
      <c r="B1158" s="29"/>
      <c r="C1158" s="30" t="str">
        <f>IFERROR(_xlfn.XLOOKUP(B1158,Transporte[DESCRIPCION],Transporte[UND],,0),"")</f>
        <v/>
      </c>
      <c r="D1158" s="31"/>
      <c r="E1158" s="32" t="str">
        <f>IFERROR(_xlfn.XLOOKUP($B1158,Transporte[DESCRIPCION],Transporte[VALOR],,0),"")</f>
        <v/>
      </c>
      <c r="F1158" s="33"/>
      <c r="G1158" s="34" t="str">
        <f>IFERROR(IF(F1158&gt;=0,D1158*E1158*(1+F1158/100),ABS(D1158*E1158/F1158)),"")</f>
        <v/>
      </c>
      <c r="H1158" s="43" t="str">
        <f>IFERROR(G1158*E1144,"")</f>
        <v/>
      </c>
    </row>
    <row r="1159" spans="1:11">
      <c r="A1159" s="21"/>
      <c r="B1159" s="22" t="s">
        <v>3732</v>
      </c>
      <c r="C1159" s="23"/>
      <c r="D1159" s="24"/>
      <c r="E1159" s="25"/>
      <c r="F1159" s="26"/>
      <c r="G1159" s="27">
        <f>SUM(G1160:G1162)</f>
        <v>84195.813630000019</v>
      </c>
      <c r="H1159" s="44">
        <f>G1159*E1144</f>
        <v>0</v>
      </c>
    </row>
    <row r="1160" spans="1:11">
      <c r="A1160" s="28"/>
      <c r="B1160" s="29" t="s">
        <v>3712</v>
      </c>
      <c r="C1160" s="30" t="str">
        <f>IFERROR(_xlfn.XLOOKUP(B1160,MObra[DESCRIPCION],MObra[UN],,0),"")</f>
        <v>día</v>
      </c>
      <c r="D1160" s="31">
        <v>1</v>
      </c>
      <c r="E1160" s="32">
        <f>IFERROR(_xlfn.XLOOKUP($B1160,MObra[DESCRIPCION],MObra[VALOR UNIT],,0),"")</f>
        <v>547272.78859500017</v>
      </c>
      <c r="F1160" s="33">
        <v>-6.5</v>
      </c>
      <c r="G1160" s="34">
        <f>IFERROR(IF(F1160&gt;=0,D1160*E1160*(1+F1160/100),ABS(D1160*E1160/F1160)),"")</f>
        <v>84195.813630000019</v>
      </c>
      <c r="H1160" s="43">
        <f>IFERROR(G1160*E1144,"")</f>
        <v>0</v>
      </c>
    </row>
    <row r="1161" spans="1:11">
      <c r="A1161" s="28"/>
      <c r="B1161" s="29"/>
      <c r="C1161" s="30" t="str">
        <f>IFERROR(_xlfn.XLOOKUP(B1161,MObra[DESCRIPCION],MObra[UN],,0),"")</f>
        <v/>
      </c>
      <c r="D1161" s="31"/>
      <c r="E1161" s="32" t="str">
        <f>IFERROR(_xlfn.XLOOKUP($B1161,MObra[DESCRIPCION],MObra[VALOR UNIT],,0),"")</f>
        <v/>
      </c>
      <c r="F1161" s="33"/>
      <c r="G1161" s="34" t="str">
        <f>IFERROR(IF(F1161&gt;=0,D1161*E1161*(1+F1161/100),ABS(D1161*E1161/F1161)),"")</f>
        <v/>
      </c>
      <c r="H1161" s="43" t="str">
        <f>IFERROR(G1161*E1144,"")</f>
        <v/>
      </c>
    </row>
    <row r="1162" spans="1:11">
      <c r="A1162" s="35"/>
      <c r="B1162" s="36"/>
      <c r="C1162" s="37" t="str">
        <f>IFERROR(_xlfn.XLOOKUP(B1162,MObra[DESCRIPCION],MObra[UN],,0),"")</f>
        <v/>
      </c>
      <c r="D1162" s="38"/>
      <c r="E1162" s="39" t="str">
        <f>IFERROR(_xlfn.XLOOKUP($B1162,MObra[DESCRIPCION],MObra[VALOR UNIT],,0),"")</f>
        <v/>
      </c>
      <c r="F1162" s="40"/>
      <c r="G1162" s="41" t="str">
        <f>IFERROR(IF(F1162&gt;=0,D1162*E1162*(1+F1162/100),ABS(D1162*E1162/F1162)),"")</f>
        <v/>
      </c>
      <c r="H1162" s="42" t="str">
        <f>IFERROR(G1162*E1144,"")</f>
        <v/>
      </c>
    </row>
    <row r="1163" spans="1:11" ht="12.75" customHeight="1"/>
    <row r="1164" spans="1:11">
      <c r="A1164" s="6" t="s">
        <v>2154</v>
      </c>
      <c r="B1164" s="7" t="str">
        <f>VLOOKUP($A1164,Presupuesto!$A:$D,2,FALSE())</f>
        <v>Tubería en concreto reforzado unión caucho 40" clase 2</v>
      </c>
      <c r="C1164" s="8" t="str">
        <f>VLOOKUP($A1164,Presupuesto!$A:$D,3,FALSE())</f>
        <v>M</v>
      </c>
      <c r="D1164" s="9"/>
      <c r="E1164" s="10">
        <f>VLOOKUP($A1164,Presupuesto!$A:$D,4,FALSE())</f>
        <v>0</v>
      </c>
      <c r="F1164" s="11" t="s">
        <v>2589</v>
      </c>
      <c r="G1164" s="12">
        <f>SUM(G1166:G1182)/2</f>
        <v>519471.538004125</v>
      </c>
      <c r="H1164" s="13">
        <f>ROUND(SUM(H1166:H1182),0)/2</f>
        <v>0</v>
      </c>
      <c r="I1164" s="10">
        <f>VLOOKUP(A1164,Presupuesto!$A:$F,6,0)</f>
        <v>0</v>
      </c>
      <c r="J1164" s="10">
        <f>+H1164-I1164</f>
        <v>0</v>
      </c>
      <c r="K1164" s="46">
        <f>+H1164-G1164*E1164</f>
        <v>0</v>
      </c>
    </row>
    <row r="1165" spans="1:11">
      <c r="A1165" s="14"/>
      <c r="B1165" s="15" t="s">
        <v>2586</v>
      </c>
      <c r="C1165" s="15" t="s">
        <v>5</v>
      </c>
      <c r="D1165" s="16" t="s">
        <v>6</v>
      </c>
      <c r="E1165" s="17" t="s">
        <v>7</v>
      </c>
      <c r="F1165" s="18" t="s">
        <v>3728</v>
      </c>
      <c r="G1165" s="19" t="s">
        <v>3729</v>
      </c>
      <c r="H1165" s="20" t="s">
        <v>3797</v>
      </c>
    </row>
    <row r="1166" spans="1:11">
      <c r="A1166" s="21"/>
      <c r="B1166" s="22" t="s">
        <v>3730</v>
      </c>
      <c r="C1166" s="23"/>
      <c r="D1166" s="24"/>
      <c r="E1166" s="25"/>
      <c r="F1166" s="26"/>
      <c r="G1166" s="27">
        <f>SUM(G1167:G1171)</f>
        <v>409185</v>
      </c>
      <c r="H1166" s="27">
        <f>IFERROR(G1166*E1164,"")</f>
        <v>0</v>
      </c>
    </row>
    <row r="1167" spans="1:11">
      <c r="A1167" s="28"/>
      <c r="B1167" s="29" t="s">
        <v>3426</v>
      </c>
      <c r="C1167" s="30" t="str">
        <f>IFERROR(_xlfn.XLOOKUP(B1167,Insumo[DESCRIPCION],Insumo[UND],,0),"")</f>
        <v>M</v>
      </c>
      <c r="D1167" s="31">
        <v>1</v>
      </c>
      <c r="E1167" s="32">
        <f>IFERROR(_xlfn.XLOOKUP($B1167,Insumo[DESCRIPCION],Insumo[VALOR],,0),"")</f>
        <v>409185</v>
      </c>
      <c r="F1167" s="33"/>
      <c r="G1167" s="34">
        <f>IFERROR(IF(F1167&gt;=0,D1167*E1167*(1+F1167/100),ABS(D1167*E1167/F1167)),"")</f>
        <v>409185</v>
      </c>
      <c r="H1167" s="43">
        <f>IFERROR(G1167*E1164,"")</f>
        <v>0</v>
      </c>
    </row>
    <row r="1168" spans="1:11">
      <c r="A1168" s="28"/>
      <c r="B1168" s="29"/>
      <c r="C1168" s="30" t="str">
        <f>IFERROR(_xlfn.XLOOKUP(B1168,Insumo[DESCRIPCION],Insumo[UND],,0),"")</f>
        <v/>
      </c>
      <c r="D1168" s="31"/>
      <c r="E1168" s="32" t="str">
        <f>IFERROR(_xlfn.XLOOKUP($B1168,Insumo[DESCRIPCION],Insumo[VALOR],,0),"")</f>
        <v/>
      </c>
      <c r="F1168" s="33"/>
      <c r="G1168" s="34" t="str">
        <f>IFERROR(IF(F1168&gt;=0,D1168*E1168*(1+F1168/100),ABS(D1168*E1168/F1168)),"")</f>
        <v/>
      </c>
      <c r="H1168" s="43" t="str">
        <f>IFERROR(G1168*E1164,"")</f>
        <v/>
      </c>
    </row>
    <row r="1169" spans="1:11">
      <c r="A1169" s="28"/>
      <c r="B1169" s="29"/>
      <c r="C1169" s="30" t="str">
        <f>IFERROR(_xlfn.XLOOKUP(B1169,Insumo[DESCRIPCION],Insumo[UND],,0),"")</f>
        <v/>
      </c>
      <c r="D1169" s="31"/>
      <c r="E1169" s="32" t="str">
        <f>IFERROR(_xlfn.XLOOKUP($B1169,Insumo[DESCRIPCION],Insumo[VALOR],,0),"")</f>
        <v/>
      </c>
      <c r="F1169" s="33"/>
      <c r="G1169" s="34" t="str">
        <f>IFERROR(IF(F1169&gt;=0,D1169*E1169*(1+F1169/100),ABS(D1169*E1169/F1169)),"")</f>
        <v/>
      </c>
      <c r="H1169" s="43" t="str">
        <f>IFERROR(G1169*E1164,"")</f>
        <v/>
      </c>
    </row>
    <row r="1170" spans="1:11">
      <c r="A1170" s="28"/>
      <c r="B1170" s="29"/>
      <c r="C1170" s="30" t="str">
        <f>IFERROR(_xlfn.XLOOKUP(B1170,Insumo[DESCRIPCION],Insumo[UND],,0),"")</f>
        <v/>
      </c>
      <c r="D1170" s="31"/>
      <c r="E1170" s="32" t="str">
        <f>IFERROR(_xlfn.XLOOKUP($B1170,Insumo[DESCRIPCION],Insumo[VALOR],,0),"")</f>
        <v/>
      </c>
      <c r="F1170" s="33"/>
      <c r="G1170" s="34" t="str">
        <f>IFERROR(IF(F1170&gt;=0,D1170*E1170*(1+F1170/100),ABS(D1170*E1170/F1170)),"")</f>
        <v/>
      </c>
      <c r="H1170" s="43" t="str">
        <f>IFERROR(G1170*E1164,"")</f>
        <v/>
      </c>
    </row>
    <row r="1171" spans="1:11">
      <c r="A1171" s="28"/>
      <c r="B1171" s="29"/>
      <c r="C1171" s="30" t="str">
        <f>IFERROR(_xlfn.XLOOKUP(B1171,Insumo[DESCRIPCION],Insumo[UND],,0),"")</f>
        <v/>
      </c>
      <c r="D1171" s="31"/>
      <c r="E1171" s="32" t="str">
        <f>IFERROR(_xlfn.XLOOKUP($B1171,Insumo[DESCRIPCION],Insumo[VALOR],,0),"")</f>
        <v/>
      </c>
      <c r="F1171" s="33"/>
      <c r="G1171" s="34" t="str">
        <f>IFERROR(IF(F1171&gt;=0,D1171*E1171*(1+F1171/100),ABS(D1171*E1171/F1171)),"")</f>
        <v/>
      </c>
      <c r="H1171" s="43" t="str">
        <f>IFERROR(G1171*E1164,"")</f>
        <v/>
      </c>
    </row>
    <row r="1172" spans="1:11">
      <c r="A1172" s="21"/>
      <c r="B1172" s="22" t="s">
        <v>3731</v>
      </c>
      <c r="C1172" s="23"/>
      <c r="D1172" s="24"/>
      <c r="E1172" s="25"/>
      <c r="F1172" s="26"/>
      <c r="G1172" s="27">
        <f>SUM(G1173:G1175)</f>
        <v>19074.406571625004</v>
      </c>
      <c r="H1172" s="44">
        <f>G1172*E1164</f>
        <v>0</v>
      </c>
    </row>
    <row r="1173" spans="1:11">
      <c r="A1173" s="28"/>
      <c r="B1173" s="29" t="s">
        <v>3622</v>
      </c>
      <c r="C1173" s="30" t="str">
        <f>IFERROR(_xlfn.XLOOKUP(B1173,Equipo[DESCRIPCION],Equipo[UND],,0),"")</f>
        <v>Hr</v>
      </c>
      <c r="D1173" s="31">
        <v>1</v>
      </c>
      <c r="E1173" s="32">
        <f>IF(C1173="%MO",G1179,IFERROR(_xlfn.XLOOKUP($B1173,Equipo[DESCRIPCION],Equipo[VALOR],,0),""))</f>
        <v>87082.8</v>
      </c>
      <c r="F1173" s="33">
        <v>-6</v>
      </c>
      <c r="G1173" s="34">
        <f>IFERROR(IF(F1173&gt;=0,D1173*E1173*(1+F1173/100),ABS(D1173*E1173/F1173)),"")</f>
        <v>14513.800000000001</v>
      </c>
      <c r="H1173" s="43">
        <f>IFERROR(G1173*E1164,"")</f>
        <v>0</v>
      </c>
    </row>
    <row r="1174" spans="1:11">
      <c r="A1174" s="28"/>
      <c r="B1174" s="29" t="s">
        <v>3626</v>
      </c>
      <c r="C1174" s="30" t="str">
        <f>IFERROR(_xlfn.XLOOKUP(B1174,Equipo[DESCRIPCION],Equipo[UND],,0),"")</f>
        <v>%MO</v>
      </c>
      <c r="D1174" s="31">
        <v>0.05</v>
      </c>
      <c r="E1174" s="32">
        <f>IF(C1174="%MO",G1180,IFERROR(_xlfn.XLOOKUP($B1174,Equipo[DESCRIPCION],Equipo[VALOR],,0),""))</f>
        <v>91212.131432500028</v>
      </c>
      <c r="F1174" s="33"/>
      <c r="G1174" s="34">
        <f>IFERROR(IF(F1174&gt;=0,D1174*E1174*(1+F1174/100),ABS(D1174*E1174/F1174)),"")</f>
        <v>4560.6065716250014</v>
      </c>
      <c r="H1174" s="43">
        <f>IFERROR(G1174*E1164,"")</f>
        <v>0</v>
      </c>
    </row>
    <row r="1175" spans="1:11">
      <c r="A1175" s="28"/>
      <c r="B1175" s="29"/>
      <c r="C1175" s="30" t="str">
        <f>IFERROR(_xlfn.XLOOKUP(B1175,Equipo[DESCRIPCION],Equipo[UND],,0),"")</f>
        <v/>
      </c>
      <c r="D1175" s="31"/>
      <c r="E1175" s="32" t="str">
        <f>IF(C1175="%MO",G1181,IFERROR(_xlfn.XLOOKUP($B1175,Equipo[DESCRIPCION],Equipo[VALOR],,0),""))</f>
        <v/>
      </c>
      <c r="F1175" s="33"/>
      <c r="G1175" s="34" t="str">
        <f>IFERROR(IF(F1175&gt;=0,D1175*E1175*(1+F1175/100),ABS(D1175*E1175/F1175)),"")</f>
        <v/>
      </c>
      <c r="H1175" s="43" t="str">
        <f>IFERROR(G1175*E1164,"")</f>
        <v/>
      </c>
    </row>
    <row r="1176" spans="1:11">
      <c r="A1176" s="21"/>
      <c r="B1176" s="22" t="s">
        <v>2533</v>
      </c>
      <c r="C1176" s="23"/>
      <c r="D1176" s="24"/>
      <c r="E1176" s="25"/>
      <c r="F1176" s="26"/>
      <c r="G1176" s="27">
        <f>SUM(G1177:G1178)</f>
        <v>0</v>
      </c>
      <c r="H1176" s="44">
        <f>G1176*E1164</f>
        <v>0</v>
      </c>
    </row>
    <row r="1177" spans="1:11">
      <c r="A1177" s="28"/>
      <c r="B1177" s="29"/>
      <c r="C1177" s="30" t="str">
        <f>IFERROR(_xlfn.XLOOKUP(B1177,Transporte[DESCRIPCION],Transporte[UND],,0),"")</f>
        <v/>
      </c>
      <c r="D1177" s="31"/>
      <c r="E1177" s="32" t="str">
        <f>IFERROR(_xlfn.XLOOKUP($B1177,Transporte[DESCRIPCION],Transporte[VALOR],,0),"")</f>
        <v/>
      </c>
      <c r="F1177" s="33"/>
      <c r="G1177" s="34" t="str">
        <f>IFERROR(IF(F1177&gt;=0,D1177*E1177*(1+F1177/100),ABS(D1177*E1177/F1177)),"")</f>
        <v/>
      </c>
      <c r="H1177" s="43" t="str">
        <f>IFERROR(G1177*E1164,"")</f>
        <v/>
      </c>
    </row>
    <row r="1178" spans="1:11">
      <c r="A1178" s="28"/>
      <c r="B1178" s="29"/>
      <c r="C1178" s="30" t="str">
        <f>IFERROR(_xlfn.XLOOKUP(B1178,Transporte[DESCRIPCION],Transporte[UND],,0),"")</f>
        <v/>
      </c>
      <c r="D1178" s="31"/>
      <c r="E1178" s="32" t="str">
        <f>IFERROR(_xlfn.XLOOKUP($B1178,Transporte[DESCRIPCION],Transporte[VALOR],,0),"")</f>
        <v/>
      </c>
      <c r="F1178" s="33"/>
      <c r="G1178" s="34" t="str">
        <f>IFERROR(IF(F1178&gt;=0,D1178*E1178*(1+F1178/100),ABS(D1178*E1178/F1178)),"")</f>
        <v/>
      </c>
      <c r="H1178" s="43" t="str">
        <f>IFERROR(G1178*E1164,"")</f>
        <v/>
      </c>
    </row>
    <row r="1179" spans="1:11">
      <c r="A1179" s="21"/>
      <c r="B1179" s="22" t="s">
        <v>3732</v>
      </c>
      <c r="C1179" s="23"/>
      <c r="D1179" s="24"/>
      <c r="E1179" s="25"/>
      <c r="F1179" s="26"/>
      <c r="G1179" s="27">
        <f>SUM(G1180:G1182)</f>
        <v>91212.131432500028</v>
      </c>
      <c r="H1179" s="44">
        <f>G1179*E1164</f>
        <v>0</v>
      </c>
    </row>
    <row r="1180" spans="1:11">
      <c r="A1180" s="28"/>
      <c r="B1180" s="29" t="s">
        <v>3712</v>
      </c>
      <c r="C1180" s="30" t="str">
        <f>IFERROR(_xlfn.XLOOKUP(B1180,MObra[DESCRIPCION],MObra[UN],,0),"")</f>
        <v>día</v>
      </c>
      <c r="D1180" s="31">
        <v>1</v>
      </c>
      <c r="E1180" s="32">
        <f>IFERROR(_xlfn.XLOOKUP($B1180,MObra[DESCRIPCION],MObra[VALOR UNIT],,0),"")</f>
        <v>547272.78859500017</v>
      </c>
      <c r="F1180" s="33">
        <v>-6</v>
      </c>
      <c r="G1180" s="34">
        <f>IFERROR(IF(F1180&gt;=0,D1180*E1180*(1+F1180/100),ABS(D1180*E1180/F1180)),"")</f>
        <v>91212.131432500028</v>
      </c>
      <c r="H1180" s="43">
        <f>IFERROR(G1180*E1164,"")</f>
        <v>0</v>
      </c>
    </row>
    <row r="1181" spans="1:11">
      <c r="A1181" s="28"/>
      <c r="B1181" s="29"/>
      <c r="C1181" s="30" t="str">
        <f>IFERROR(_xlfn.XLOOKUP(B1181,MObra[DESCRIPCION],MObra[UN],,0),"")</f>
        <v/>
      </c>
      <c r="D1181" s="31"/>
      <c r="E1181" s="32" t="str">
        <f>IFERROR(_xlfn.XLOOKUP($B1181,MObra[DESCRIPCION],MObra[VALOR UNIT],,0),"")</f>
        <v/>
      </c>
      <c r="F1181" s="33"/>
      <c r="G1181" s="34" t="str">
        <f>IFERROR(IF(F1181&gt;=0,D1181*E1181*(1+F1181/100),ABS(D1181*E1181/F1181)),"")</f>
        <v/>
      </c>
      <c r="H1181" s="43" t="str">
        <f>IFERROR(G1181*E1164,"")</f>
        <v/>
      </c>
    </row>
    <row r="1182" spans="1:11">
      <c r="A1182" s="35"/>
      <c r="B1182" s="36"/>
      <c r="C1182" s="37" t="str">
        <f>IFERROR(_xlfn.XLOOKUP(B1182,MObra[DESCRIPCION],MObra[UN],,0),"")</f>
        <v/>
      </c>
      <c r="D1182" s="38"/>
      <c r="E1182" s="39" t="str">
        <f>IFERROR(_xlfn.XLOOKUP($B1182,MObra[DESCRIPCION],MObra[VALOR UNIT],,0),"")</f>
        <v/>
      </c>
      <c r="F1182" s="40"/>
      <c r="G1182" s="41" t="str">
        <f>IFERROR(IF(F1182&gt;=0,D1182*E1182*(1+F1182/100),ABS(D1182*E1182/F1182)),"")</f>
        <v/>
      </c>
      <c r="H1182" s="42" t="str">
        <f>IFERROR(G1182*E1164,"")</f>
        <v/>
      </c>
    </row>
    <row r="1183" spans="1:11" ht="12.75" customHeight="1"/>
    <row r="1184" spans="1:11">
      <c r="A1184" s="6" t="s">
        <v>2156</v>
      </c>
      <c r="B1184" s="7" t="str">
        <f>VLOOKUP($A1184,Presupuesto!$A:$D,2,FALSE())</f>
        <v>Tubería en concreto reforzado unión caucho 44" clase 2</v>
      </c>
      <c r="C1184" s="8" t="str">
        <f>VLOOKUP($A1184,Presupuesto!$A:$D,3,FALSE())</f>
        <v>M</v>
      </c>
      <c r="D1184" s="9"/>
      <c r="E1184" s="10">
        <f>VLOOKUP($A1184,Presupuesto!$A:$D,4,FALSE())</f>
        <v>0</v>
      </c>
      <c r="F1184" s="11" t="s">
        <v>2589</v>
      </c>
      <c r="G1184" s="12">
        <f>SUM(G1186:G1202)/2</f>
        <v>597695.08691359102</v>
      </c>
      <c r="H1184" s="13">
        <f>ROUND(SUM(H1186:H1202),0)/2</f>
        <v>0</v>
      </c>
      <c r="I1184" s="10">
        <f>VLOOKUP(A1184,Presupuesto!$A:$F,6,0)</f>
        <v>0</v>
      </c>
      <c r="J1184" s="10">
        <f>+H1184-I1184</f>
        <v>0</v>
      </c>
      <c r="K1184" s="46">
        <f>+H1184-G1184*E1184</f>
        <v>0</v>
      </c>
    </row>
    <row r="1185" spans="1:8">
      <c r="A1185" s="14"/>
      <c r="B1185" s="15" t="s">
        <v>2586</v>
      </c>
      <c r="C1185" s="15" t="s">
        <v>5</v>
      </c>
      <c r="D1185" s="16" t="s">
        <v>6</v>
      </c>
      <c r="E1185" s="17" t="s">
        <v>7</v>
      </c>
      <c r="F1185" s="18" t="s">
        <v>3728</v>
      </c>
      <c r="G1185" s="19" t="s">
        <v>3729</v>
      </c>
      <c r="H1185" s="20" t="s">
        <v>3797</v>
      </c>
    </row>
    <row r="1186" spans="1:8">
      <c r="A1186" s="21"/>
      <c r="B1186" s="22" t="s">
        <v>3730</v>
      </c>
      <c r="C1186" s="23"/>
      <c r="D1186" s="24"/>
      <c r="E1186" s="25"/>
      <c r="F1186" s="26"/>
      <c r="G1186" s="27">
        <f>SUM(G1187:G1191)</f>
        <v>477382.5</v>
      </c>
      <c r="H1186" s="27">
        <f>IFERROR(G1186*E1184,"")</f>
        <v>0</v>
      </c>
    </row>
    <row r="1187" spans="1:8">
      <c r="A1187" s="28"/>
      <c r="B1187" s="29" t="s">
        <v>3427</v>
      </c>
      <c r="C1187" s="30" t="str">
        <f>IFERROR(_xlfn.XLOOKUP(B1187,Insumo[DESCRIPCION],Insumo[UND],,0),"")</f>
        <v>M</v>
      </c>
      <c r="D1187" s="31">
        <v>1</v>
      </c>
      <c r="E1187" s="32">
        <f>IFERROR(_xlfn.XLOOKUP($B1187,Insumo[DESCRIPCION],Insumo[VALOR],,0),"")</f>
        <v>477382.5</v>
      </c>
      <c r="F1187" s="33"/>
      <c r="G1187" s="34">
        <f>IFERROR(IF(F1187&gt;=0,D1187*E1187*(1+F1187/100),ABS(D1187*E1187/F1187)),"")</f>
        <v>477382.5</v>
      </c>
      <c r="H1187" s="43">
        <f>IFERROR(G1187*E1184,"")</f>
        <v>0</v>
      </c>
    </row>
    <row r="1188" spans="1:8">
      <c r="A1188" s="28"/>
      <c r="B1188" s="29"/>
      <c r="C1188" s="30" t="str">
        <f>IFERROR(_xlfn.XLOOKUP(B1188,Insumo[DESCRIPCION],Insumo[UND],,0),"")</f>
        <v/>
      </c>
      <c r="D1188" s="31"/>
      <c r="E1188" s="32" t="str">
        <f>IFERROR(_xlfn.XLOOKUP($B1188,Insumo[DESCRIPCION],Insumo[VALOR],,0),"")</f>
        <v/>
      </c>
      <c r="F1188" s="33"/>
      <c r="G1188" s="34" t="str">
        <f>IFERROR(IF(F1188&gt;=0,D1188*E1188*(1+F1188/100),ABS(D1188*E1188/F1188)),"")</f>
        <v/>
      </c>
      <c r="H1188" s="43" t="str">
        <f>IFERROR(G1188*E1184,"")</f>
        <v/>
      </c>
    </row>
    <row r="1189" spans="1:8">
      <c r="A1189" s="28"/>
      <c r="B1189" s="29"/>
      <c r="C1189" s="30" t="str">
        <f>IFERROR(_xlfn.XLOOKUP(B1189,Insumo[DESCRIPCION],Insumo[UND],,0),"")</f>
        <v/>
      </c>
      <c r="D1189" s="31"/>
      <c r="E1189" s="32" t="str">
        <f>IFERROR(_xlfn.XLOOKUP($B1189,Insumo[DESCRIPCION],Insumo[VALOR],,0),"")</f>
        <v/>
      </c>
      <c r="F1189" s="33"/>
      <c r="G1189" s="34" t="str">
        <f>IFERROR(IF(F1189&gt;=0,D1189*E1189*(1+F1189/100),ABS(D1189*E1189/F1189)),"")</f>
        <v/>
      </c>
      <c r="H1189" s="43" t="str">
        <f>IFERROR(G1189*E1184,"")</f>
        <v/>
      </c>
    </row>
    <row r="1190" spans="1:8">
      <c r="A1190" s="28"/>
      <c r="B1190" s="29"/>
      <c r="C1190" s="30" t="str">
        <f>IFERROR(_xlfn.XLOOKUP(B1190,Insumo[DESCRIPCION],Insumo[UND],,0),"")</f>
        <v/>
      </c>
      <c r="D1190" s="31"/>
      <c r="E1190" s="32" t="str">
        <f>IFERROR(_xlfn.XLOOKUP($B1190,Insumo[DESCRIPCION],Insumo[VALOR],,0),"")</f>
        <v/>
      </c>
      <c r="F1190" s="33"/>
      <c r="G1190" s="34" t="str">
        <f>IFERROR(IF(F1190&gt;=0,D1190*E1190*(1+F1190/100),ABS(D1190*E1190/F1190)),"")</f>
        <v/>
      </c>
      <c r="H1190" s="43" t="str">
        <f>IFERROR(G1190*E1184,"")</f>
        <v/>
      </c>
    </row>
    <row r="1191" spans="1:8">
      <c r="A1191" s="28"/>
      <c r="B1191" s="29"/>
      <c r="C1191" s="30" t="str">
        <f>IFERROR(_xlfn.XLOOKUP(B1191,Insumo[DESCRIPCION],Insumo[UND],,0),"")</f>
        <v/>
      </c>
      <c r="D1191" s="31"/>
      <c r="E1191" s="32" t="str">
        <f>IFERROR(_xlfn.XLOOKUP($B1191,Insumo[DESCRIPCION],Insumo[VALOR],,0),"")</f>
        <v/>
      </c>
      <c r="F1191" s="33"/>
      <c r="G1191" s="34" t="str">
        <f>IFERROR(IF(F1191&gt;=0,D1191*E1191*(1+F1191/100),ABS(D1191*E1191/F1191)),"")</f>
        <v/>
      </c>
      <c r="H1191" s="43" t="str">
        <f>IFERROR(G1191*E1184,"")</f>
        <v/>
      </c>
    </row>
    <row r="1192" spans="1:8">
      <c r="A1192" s="21"/>
      <c r="B1192" s="22" t="s">
        <v>3731</v>
      </c>
      <c r="C1192" s="23"/>
      <c r="D1192" s="24"/>
      <c r="E1192" s="25"/>
      <c r="F1192" s="26"/>
      <c r="G1192" s="27">
        <f>SUM(G1193:G1195)</f>
        <v>20808.44353268182</v>
      </c>
      <c r="H1192" s="44">
        <f>G1192*E1184</f>
        <v>0</v>
      </c>
    </row>
    <row r="1193" spans="1:8">
      <c r="A1193" s="28"/>
      <c r="B1193" s="29" t="s">
        <v>3622</v>
      </c>
      <c r="C1193" s="30" t="str">
        <f>IFERROR(_xlfn.XLOOKUP(B1193,Equipo[DESCRIPCION],Equipo[UND],,0),"")</f>
        <v>Hr</v>
      </c>
      <c r="D1193" s="31">
        <v>1</v>
      </c>
      <c r="E1193" s="32">
        <f>IF(C1193="%MO",G1199,IFERROR(_xlfn.XLOOKUP($B1193,Equipo[DESCRIPCION],Equipo[VALOR],,0),""))</f>
        <v>87082.8</v>
      </c>
      <c r="F1193" s="33">
        <v>-5.5</v>
      </c>
      <c r="G1193" s="34">
        <f>IFERROR(IF(F1193&gt;=0,D1193*E1193*(1+F1193/100),ABS(D1193*E1193/F1193)),"")</f>
        <v>15833.236363636364</v>
      </c>
      <c r="H1193" s="43">
        <f>IFERROR(G1193*E1184,"")</f>
        <v>0</v>
      </c>
    </row>
    <row r="1194" spans="1:8">
      <c r="A1194" s="28"/>
      <c r="B1194" s="29" t="s">
        <v>3626</v>
      </c>
      <c r="C1194" s="30" t="str">
        <f>IFERROR(_xlfn.XLOOKUP(B1194,Equipo[DESCRIPCION],Equipo[UND],,0),"")</f>
        <v>%MO</v>
      </c>
      <c r="D1194" s="31">
        <v>0.05</v>
      </c>
      <c r="E1194" s="32">
        <f>IF(C1194="%MO",G1200,IFERROR(_xlfn.XLOOKUP($B1194,Equipo[DESCRIPCION],Equipo[VALOR],,0),""))</f>
        <v>99504.143380909125</v>
      </c>
      <c r="F1194" s="33"/>
      <c r="G1194" s="34">
        <f>IFERROR(IF(F1194&gt;=0,D1194*E1194*(1+F1194/100),ABS(D1194*E1194/F1194)),"")</f>
        <v>4975.2071690454568</v>
      </c>
      <c r="H1194" s="43">
        <f>IFERROR(G1194*E1184,"")</f>
        <v>0</v>
      </c>
    </row>
    <row r="1195" spans="1:8">
      <c r="A1195" s="28"/>
      <c r="B1195" s="29"/>
      <c r="C1195" s="30" t="str">
        <f>IFERROR(_xlfn.XLOOKUP(B1195,Equipo[DESCRIPCION],Equipo[UND],,0),"")</f>
        <v/>
      </c>
      <c r="D1195" s="31"/>
      <c r="E1195" s="32" t="str">
        <f>IF(C1195="%MO",G1201,IFERROR(_xlfn.XLOOKUP($B1195,Equipo[DESCRIPCION],Equipo[VALOR],,0),""))</f>
        <v/>
      </c>
      <c r="F1195" s="33"/>
      <c r="G1195" s="34" t="str">
        <f>IFERROR(IF(F1195&gt;=0,D1195*E1195*(1+F1195/100),ABS(D1195*E1195/F1195)),"")</f>
        <v/>
      </c>
      <c r="H1195" s="43" t="str">
        <f>IFERROR(G1195*E1184,"")</f>
        <v/>
      </c>
    </row>
    <row r="1196" spans="1:8">
      <c r="A1196" s="21"/>
      <c r="B1196" s="22" t="s">
        <v>2533</v>
      </c>
      <c r="C1196" s="23"/>
      <c r="D1196" s="24"/>
      <c r="E1196" s="25"/>
      <c r="F1196" s="26"/>
      <c r="G1196" s="27">
        <f>SUM(G1197:G1198)</f>
        <v>0</v>
      </c>
      <c r="H1196" s="44">
        <f>G1196*E1184</f>
        <v>0</v>
      </c>
    </row>
    <row r="1197" spans="1:8">
      <c r="A1197" s="28"/>
      <c r="B1197" s="29"/>
      <c r="C1197" s="30" t="str">
        <f>IFERROR(_xlfn.XLOOKUP(B1197,Transporte[DESCRIPCION],Transporte[UND],,0),"")</f>
        <v/>
      </c>
      <c r="D1197" s="31"/>
      <c r="E1197" s="32" t="str">
        <f>IFERROR(_xlfn.XLOOKUP($B1197,Transporte[DESCRIPCION],Transporte[VALOR],,0),"")</f>
        <v/>
      </c>
      <c r="F1197" s="33"/>
      <c r="G1197" s="34" t="str">
        <f>IFERROR(IF(F1197&gt;=0,D1197*E1197*(1+F1197/100),ABS(D1197*E1197/F1197)),"")</f>
        <v/>
      </c>
      <c r="H1197" s="43" t="str">
        <f>IFERROR(G1197*E1184,"")</f>
        <v/>
      </c>
    </row>
    <row r="1198" spans="1:8">
      <c r="A1198" s="28"/>
      <c r="B1198" s="29"/>
      <c r="C1198" s="30" t="str">
        <f>IFERROR(_xlfn.XLOOKUP(B1198,Transporte[DESCRIPCION],Transporte[UND],,0),"")</f>
        <v/>
      </c>
      <c r="D1198" s="31"/>
      <c r="E1198" s="32" t="str">
        <f>IFERROR(_xlfn.XLOOKUP($B1198,Transporte[DESCRIPCION],Transporte[VALOR],,0),"")</f>
        <v/>
      </c>
      <c r="F1198" s="33"/>
      <c r="G1198" s="34" t="str">
        <f>IFERROR(IF(F1198&gt;=0,D1198*E1198*(1+F1198/100),ABS(D1198*E1198/F1198)),"")</f>
        <v/>
      </c>
      <c r="H1198" s="43" t="str">
        <f>IFERROR(G1198*E1184,"")</f>
        <v/>
      </c>
    </row>
    <row r="1199" spans="1:8">
      <c r="A1199" s="21"/>
      <c r="B1199" s="22" t="s">
        <v>3732</v>
      </c>
      <c r="C1199" s="23"/>
      <c r="D1199" s="24"/>
      <c r="E1199" s="25"/>
      <c r="F1199" s="26"/>
      <c r="G1199" s="27">
        <f>SUM(G1200:G1202)</f>
        <v>99504.143380909125</v>
      </c>
      <c r="H1199" s="44">
        <f>G1199*E1184</f>
        <v>0</v>
      </c>
    </row>
    <row r="1200" spans="1:8">
      <c r="A1200" s="28"/>
      <c r="B1200" s="29" t="s">
        <v>3712</v>
      </c>
      <c r="C1200" s="30" t="str">
        <f>IFERROR(_xlfn.XLOOKUP(B1200,MObra[DESCRIPCION],MObra[UN],,0),"")</f>
        <v>día</v>
      </c>
      <c r="D1200" s="31">
        <v>1</v>
      </c>
      <c r="E1200" s="32">
        <f>IFERROR(_xlfn.XLOOKUP($B1200,MObra[DESCRIPCION],MObra[VALOR UNIT],,0),"")</f>
        <v>547272.78859500017</v>
      </c>
      <c r="F1200" s="33">
        <v>-5.5</v>
      </c>
      <c r="G1200" s="34">
        <f>IFERROR(IF(F1200&gt;=0,D1200*E1200*(1+F1200/100),ABS(D1200*E1200/F1200)),"")</f>
        <v>99504.143380909125</v>
      </c>
      <c r="H1200" s="43">
        <f>IFERROR(G1200*E1184,"")</f>
        <v>0</v>
      </c>
    </row>
    <row r="1201" spans="1:11">
      <c r="A1201" s="28"/>
      <c r="B1201" s="29"/>
      <c r="C1201" s="30" t="str">
        <f>IFERROR(_xlfn.XLOOKUP(B1201,MObra[DESCRIPCION],MObra[UN],,0),"")</f>
        <v/>
      </c>
      <c r="D1201" s="31"/>
      <c r="E1201" s="32" t="str">
        <f>IFERROR(_xlfn.XLOOKUP($B1201,MObra[DESCRIPCION],MObra[VALOR UNIT],,0),"")</f>
        <v/>
      </c>
      <c r="F1201" s="33"/>
      <c r="G1201" s="34" t="str">
        <f>IFERROR(IF(F1201&gt;=0,D1201*E1201*(1+F1201/100),ABS(D1201*E1201/F1201)),"")</f>
        <v/>
      </c>
      <c r="H1201" s="43" t="str">
        <f>IFERROR(G1201*E1184,"")</f>
        <v/>
      </c>
    </row>
    <row r="1202" spans="1:11">
      <c r="A1202" s="35"/>
      <c r="B1202" s="36"/>
      <c r="C1202" s="37" t="str">
        <f>IFERROR(_xlfn.XLOOKUP(B1202,MObra[DESCRIPCION],MObra[UN],,0),"")</f>
        <v/>
      </c>
      <c r="D1202" s="38"/>
      <c r="E1202" s="39" t="str">
        <f>IFERROR(_xlfn.XLOOKUP($B1202,MObra[DESCRIPCION],MObra[VALOR UNIT],,0),"")</f>
        <v/>
      </c>
      <c r="F1202" s="40"/>
      <c r="G1202" s="41" t="str">
        <f>IFERROR(IF(F1202&gt;=0,D1202*E1202*(1+F1202/100),ABS(D1202*E1202/F1202)),"")</f>
        <v/>
      </c>
      <c r="H1202" s="42" t="str">
        <f>IFERROR(G1202*E1184,"")</f>
        <v/>
      </c>
    </row>
    <row r="1203" spans="1:11" ht="12.75" customHeight="1"/>
    <row r="1204" spans="1:11">
      <c r="A1204" s="6" t="s">
        <v>2158</v>
      </c>
      <c r="B1204" s="7" t="str">
        <f>VLOOKUP($A1204,Presupuesto!$A:$D,2,FALSE())</f>
        <v>Tubería en concreto reforzado unión caucho 48" clase 2</v>
      </c>
      <c r="C1204" s="8" t="str">
        <f>VLOOKUP($A1204,Presupuesto!$A:$D,3,FALSE())</f>
        <v>M</v>
      </c>
      <c r="D1204" s="9"/>
      <c r="E1204" s="10">
        <f>VLOOKUP($A1204,Presupuesto!$A:$D,4,FALSE())</f>
        <v>0</v>
      </c>
      <c r="F1204" s="11" t="s">
        <v>2589</v>
      </c>
      <c r="G1204" s="12">
        <f>SUM(G1206:G1222)/2</f>
        <v>666557.5956049501</v>
      </c>
      <c r="H1204" s="13">
        <f>ROUND(SUM(H1206:H1222),0)/2</f>
        <v>0</v>
      </c>
      <c r="I1204" s="10">
        <f>VLOOKUP(A1204,Presupuesto!$A:$F,6,0)</f>
        <v>0</v>
      </c>
      <c r="J1204" s="10">
        <f>+H1204-I1204</f>
        <v>0</v>
      </c>
      <c r="K1204" s="46">
        <f>+H1204-G1204*E1204</f>
        <v>0</v>
      </c>
    </row>
    <row r="1205" spans="1:11">
      <c r="A1205" s="14"/>
      <c r="B1205" s="15" t="s">
        <v>2586</v>
      </c>
      <c r="C1205" s="15" t="s">
        <v>5</v>
      </c>
      <c r="D1205" s="16" t="s">
        <v>6</v>
      </c>
      <c r="E1205" s="17" t="s">
        <v>7</v>
      </c>
      <c r="F1205" s="18" t="s">
        <v>3728</v>
      </c>
      <c r="G1205" s="19" t="s">
        <v>3729</v>
      </c>
      <c r="H1205" s="20" t="s">
        <v>3797</v>
      </c>
    </row>
    <row r="1206" spans="1:11">
      <c r="A1206" s="21"/>
      <c r="B1206" s="22" t="s">
        <v>3730</v>
      </c>
      <c r="C1206" s="23"/>
      <c r="D1206" s="24"/>
      <c r="E1206" s="25"/>
      <c r="F1206" s="26"/>
      <c r="G1206" s="27">
        <f>SUM(G1207:G1211)</f>
        <v>534213.75</v>
      </c>
      <c r="H1206" s="27">
        <f>IFERROR(G1206*E1204,"")</f>
        <v>0</v>
      </c>
    </row>
    <row r="1207" spans="1:11">
      <c r="A1207" s="28"/>
      <c r="B1207" s="29" t="s">
        <v>3428</v>
      </c>
      <c r="C1207" s="30" t="str">
        <f>IFERROR(_xlfn.XLOOKUP(B1207,Insumo[DESCRIPCION],Insumo[UND],,0),"")</f>
        <v>M</v>
      </c>
      <c r="D1207" s="31">
        <v>1</v>
      </c>
      <c r="E1207" s="32">
        <f>IFERROR(_xlfn.XLOOKUP($B1207,Insumo[DESCRIPCION],Insumo[VALOR],,0),"")</f>
        <v>534213.75</v>
      </c>
      <c r="F1207" s="33"/>
      <c r="G1207" s="34">
        <f>IFERROR(IF(F1207&gt;=0,D1207*E1207*(1+F1207/100),ABS(D1207*E1207/F1207)),"")</f>
        <v>534213.75</v>
      </c>
      <c r="H1207" s="43">
        <f>IFERROR(G1207*E1204,"")</f>
        <v>0</v>
      </c>
    </row>
    <row r="1208" spans="1:11">
      <c r="A1208" s="28"/>
      <c r="B1208" s="29"/>
      <c r="C1208" s="30" t="str">
        <f>IFERROR(_xlfn.XLOOKUP(B1208,Insumo[DESCRIPCION],Insumo[UND],,0),"")</f>
        <v/>
      </c>
      <c r="D1208" s="31"/>
      <c r="E1208" s="32" t="str">
        <f>IFERROR(_xlfn.XLOOKUP($B1208,Insumo[DESCRIPCION],Insumo[VALOR],,0),"")</f>
        <v/>
      </c>
      <c r="F1208" s="33"/>
      <c r="G1208" s="34" t="str">
        <f>IFERROR(IF(F1208&gt;=0,D1208*E1208*(1+F1208/100),ABS(D1208*E1208/F1208)),"")</f>
        <v/>
      </c>
      <c r="H1208" s="43" t="str">
        <f>IFERROR(G1208*E1204,"")</f>
        <v/>
      </c>
    </row>
    <row r="1209" spans="1:11">
      <c r="A1209" s="28"/>
      <c r="B1209" s="29"/>
      <c r="C1209" s="30" t="str">
        <f>IFERROR(_xlfn.XLOOKUP(B1209,Insumo[DESCRIPCION],Insumo[UND],,0),"")</f>
        <v/>
      </c>
      <c r="D1209" s="31"/>
      <c r="E1209" s="32" t="str">
        <f>IFERROR(_xlfn.XLOOKUP($B1209,Insumo[DESCRIPCION],Insumo[VALOR],,0),"")</f>
        <v/>
      </c>
      <c r="F1209" s="33"/>
      <c r="G1209" s="34" t="str">
        <f>IFERROR(IF(F1209&gt;=0,D1209*E1209*(1+F1209/100),ABS(D1209*E1209/F1209)),"")</f>
        <v/>
      </c>
      <c r="H1209" s="43" t="str">
        <f>IFERROR(G1209*E1204,"")</f>
        <v/>
      </c>
    </row>
    <row r="1210" spans="1:11">
      <c r="A1210" s="28"/>
      <c r="B1210" s="29"/>
      <c r="C1210" s="30" t="str">
        <f>IFERROR(_xlfn.XLOOKUP(B1210,Insumo[DESCRIPCION],Insumo[UND],,0),"")</f>
        <v/>
      </c>
      <c r="D1210" s="31"/>
      <c r="E1210" s="32" t="str">
        <f>IFERROR(_xlfn.XLOOKUP($B1210,Insumo[DESCRIPCION],Insumo[VALOR],,0),"")</f>
        <v/>
      </c>
      <c r="F1210" s="33"/>
      <c r="G1210" s="34" t="str">
        <f>IFERROR(IF(F1210&gt;=0,D1210*E1210*(1+F1210/100),ABS(D1210*E1210/F1210)),"")</f>
        <v/>
      </c>
      <c r="H1210" s="43" t="str">
        <f>IFERROR(G1210*E1204,"")</f>
        <v/>
      </c>
    </row>
    <row r="1211" spans="1:11">
      <c r="A1211" s="28"/>
      <c r="B1211" s="29"/>
      <c r="C1211" s="30" t="str">
        <f>IFERROR(_xlfn.XLOOKUP(B1211,Insumo[DESCRIPCION],Insumo[UND],,0),"")</f>
        <v/>
      </c>
      <c r="D1211" s="31"/>
      <c r="E1211" s="32" t="str">
        <f>IFERROR(_xlfn.XLOOKUP($B1211,Insumo[DESCRIPCION],Insumo[VALOR],,0),"")</f>
        <v/>
      </c>
      <c r="F1211" s="33"/>
      <c r="G1211" s="34" t="str">
        <f>IFERROR(IF(F1211&gt;=0,D1211*E1211*(1+F1211/100),ABS(D1211*E1211/F1211)),"")</f>
        <v/>
      </c>
      <c r="H1211" s="43" t="str">
        <f>IFERROR(G1211*E1204,"")</f>
        <v/>
      </c>
    </row>
    <row r="1212" spans="1:11">
      <c r="A1212" s="21"/>
      <c r="B1212" s="22" t="s">
        <v>3731</v>
      </c>
      <c r="C1212" s="23"/>
      <c r="D1212" s="24"/>
      <c r="E1212" s="25"/>
      <c r="F1212" s="26"/>
      <c r="G1212" s="27">
        <f>SUM(G1213:G1215)</f>
        <v>22889.287885950005</v>
      </c>
      <c r="H1212" s="44">
        <f>G1212*E1204</f>
        <v>0</v>
      </c>
    </row>
    <row r="1213" spans="1:11">
      <c r="A1213" s="28"/>
      <c r="B1213" s="29" t="s">
        <v>3622</v>
      </c>
      <c r="C1213" s="30" t="str">
        <f>IFERROR(_xlfn.XLOOKUP(B1213,Equipo[DESCRIPCION],Equipo[UND],,0),"")</f>
        <v>Hr</v>
      </c>
      <c r="D1213" s="31">
        <v>1</v>
      </c>
      <c r="E1213" s="32">
        <f>IF(C1213="%MO",G1219,IFERROR(_xlfn.XLOOKUP($B1213,Equipo[DESCRIPCION],Equipo[VALOR],,0),""))</f>
        <v>87082.8</v>
      </c>
      <c r="F1213" s="33">
        <v>-5</v>
      </c>
      <c r="G1213" s="34">
        <f>IFERROR(IF(F1213&gt;=0,D1213*E1213*(1+F1213/100),ABS(D1213*E1213/F1213)),"")</f>
        <v>17416.560000000001</v>
      </c>
      <c r="H1213" s="43">
        <f>IFERROR(G1213*E1204,"")</f>
        <v>0</v>
      </c>
    </row>
    <row r="1214" spans="1:11">
      <c r="A1214" s="28"/>
      <c r="B1214" s="29" t="s">
        <v>3626</v>
      </c>
      <c r="C1214" s="30" t="str">
        <f>IFERROR(_xlfn.XLOOKUP(B1214,Equipo[DESCRIPCION],Equipo[UND],,0),"")</f>
        <v>%MO</v>
      </c>
      <c r="D1214" s="31">
        <v>0.05</v>
      </c>
      <c r="E1214" s="32">
        <f>IF(C1214="%MO",G1220,IFERROR(_xlfn.XLOOKUP($B1214,Equipo[DESCRIPCION],Equipo[VALOR],,0),""))</f>
        <v>109454.55771900003</v>
      </c>
      <c r="F1214" s="33"/>
      <c r="G1214" s="34">
        <f>IFERROR(IF(F1214&gt;=0,D1214*E1214*(1+F1214/100),ABS(D1214*E1214/F1214)),"")</f>
        <v>5472.727885950002</v>
      </c>
      <c r="H1214" s="43">
        <f>IFERROR(G1214*E1204,"")</f>
        <v>0</v>
      </c>
    </row>
    <row r="1215" spans="1:11">
      <c r="A1215" s="28"/>
      <c r="B1215" s="29"/>
      <c r="C1215" s="30" t="str">
        <f>IFERROR(_xlfn.XLOOKUP(B1215,Equipo[DESCRIPCION],Equipo[UND],,0),"")</f>
        <v/>
      </c>
      <c r="D1215" s="31"/>
      <c r="E1215" s="32" t="str">
        <f>IF(C1215="%MO",G1221,IFERROR(_xlfn.XLOOKUP($B1215,Equipo[DESCRIPCION],Equipo[VALOR],,0),""))</f>
        <v/>
      </c>
      <c r="F1215" s="33"/>
      <c r="G1215" s="34" t="str">
        <f>IFERROR(IF(F1215&gt;=0,D1215*E1215*(1+F1215/100),ABS(D1215*E1215/F1215)),"")</f>
        <v/>
      </c>
      <c r="H1215" s="43" t="str">
        <f>IFERROR(G1215*E1204,"")</f>
        <v/>
      </c>
    </row>
    <row r="1216" spans="1:11">
      <c r="A1216" s="21"/>
      <c r="B1216" s="22" t="s">
        <v>2533</v>
      </c>
      <c r="C1216" s="23"/>
      <c r="D1216" s="24"/>
      <c r="E1216" s="25"/>
      <c r="F1216" s="26"/>
      <c r="G1216" s="27">
        <f>SUM(G1217:G1218)</f>
        <v>0</v>
      </c>
      <c r="H1216" s="44">
        <f>G1216*E1204</f>
        <v>0</v>
      </c>
    </row>
    <row r="1217" spans="1:11">
      <c r="A1217" s="28"/>
      <c r="B1217" s="29"/>
      <c r="C1217" s="30" t="str">
        <f>IFERROR(_xlfn.XLOOKUP(B1217,Transporte[DESCRIPCION],Transporte[UND],,0),"")</f>
        <v/>
      </c>
      <c r="D1217" s="31"/>
      <c r="E1217" s="32" t="str">
        <f>IFERROR(_xlfn.XLOOKUP($B1217,Transporte[DESCRIPCION],Transporte[VALOR],,0),"")</f>
        <v/>
      </c>
      <c r="F1217" s="33"/>
      <c r="G1217" s="34" t="str">
        <f>IFERROR(IF(F1217&gt;=0,D1217*E1217*(1+F1217/100),ABS(D1217*E1217/F1217)),"")</f>
        <v/>
      </c>
      <c r="H1217" s="43" t="str">
        <f>IFERROR(G1217*E1204,"")</f>
        <v/>
      </c>
    </row>
    <row r="1218" spans="1:11">
      <c r="A1218" s="28"/>
      <c r="B1218" s="29"/>
      <c r="C1218" s="30" t="str">
        <f>IFERROR(_xlfn.XLOOKUP(B1218,Transporte[DESCRIPCION],Transporte[UND],,0),"")</f>
        <v/>
      </c>
      <c r="D1218" s="31"/>
      <c r="E1218" s="32" t="str">
        <f>IFERROR(_xlfn.XLOOKUP($B1218,Transporte[DESCRIPCION],Transporte[VALOR],,0),"")</f>
        <v/>
      </c>
      <c r="F1218" s="33"/>
      <c r="G1218" s="34" t="str">
        <f>IFERROR(IF(F1218&gt;=0,D1218*E1218*(1+F1218/100),ABS(D1218*E1218/F1218)),"")</f>
        <v/>
      </c>
      <c r="H1218" s="43" t="str">
        <f>IFERROR(G1218*E1204,"")</f>
        <v/>
      </c>
    </row>
    <row r="1219" spans="1:11">
      <c r="A1219" s="21"/>
      <c r="B1219" s="22" t="s">
        <v>3732</v>
      </c>
      <c r="C1219" s="23"/>
      <c r="D1219" s="24"/>
      <c r="E1219" s="25"/>
      <c r="F1219" s="26"/>
      <c r="G1219" s="27">
        <f>SUM(G1220:G1222)</f>
        <v>109454.55771900003</v>
      </c>
      <c r="H1219" s="44">
        <f>G1219*E1204</f>
        <v>0</v>
      </c>
    </row>
    <row r="1220" spans="1:11">
      <c r="A1220" s="28"/>
      <c r="B1220" s="29" t="s">
        <v>3712</v>
      </c>
      <c r="C1220" s="30" t="str">
        <f>IFERROR(_xlfn.XLOOKUP(B1220,MObra[DESCRIPCION],MObra[UN],,0),"")</f>
        <v>día</v>
      </c>
      <c r="D1220" s="31">
        <v>1</v>
      </c>
      <c r="E1220" s="32">
        <f>IFERROR(_xlfn.XLOOKUP($B1220,MObra[DESCRIPCION],MObra[VALOR UNIT],,0),"")</f>
        <v>547272.78859500017</v>
      </c>
      <c r="F1220" s="33">
        <v>-5</v>
      </c>
      <c r="G1220" s="34">
        <f>IFERROR(IF(F1220&gt;=0,D1220*E1220*(1+F1220/100),ABS(D1220*E1220/F1220)),"")</f>
        <v>109454.55771900003</v>
      </c>
      <c r="H1220" s="43">
        <f>IFERROR(G1220*E1204,"")</f>
        <v>0</v>
      </c>
    </row>
    <row r="1221" spans="1:11">
      <c r="A1221" s="28"/>
      <c r="B1221" s="29"/>
      <c r="C1221" s="30" t="str">
        <f>IFERROR(_xlfn.XLOOKUP(B1221,MObra[DESCRIPCION],MObra[UN],,0),"")</f>
        <v/>
      </c>
      <c r="D1221" s="31"/>
      <c r="E1221" s="32" t="str">
        <f>IFERROR(_xlfn.XLOOKUP($B1221,MObra[DESCRIPCION],MObra[VALOR UNIT],,0),"")</f>
        <v/>
      </c>
      <c r="F1221" s="33"/>
      <c r="G1221" s="34" t="str">
        <f>IFERROR(IF(F1221&gt;=0,D1221*E1221*(1+F1221/100),ABS(D1221*E1221/F1221)),"")</f>
        <v/>
      </c>
      <c r="H1221" s="43" t="str">
        <f>IFERROR(G1221*E1204,"")</f>
        <v/>
      </c>
    </row>
    <row r="1222" spans="1:11">
      <c r="A1222" s="35"/>
      <c r="B1222" s="36"/>
      <c r="C1222" s="37" t="str">
        <f>IFERROR(_xlfn.XLOOKUP(B1222,MObra[DESCRIPCION],MObra[UN],,0),"")</f>
        <v/>
      </c>
      <c r="D1222" s="38"/>
      <c r="E1222" s="39" t="str">
        <f>IFERROR(_xlfn.XLOOKUP($B1222,MObra[DESCRIPCION],MObra[VALOR UNIT],,0),"")</f>
        <v/>
      </c>
      <c r="F1222" s="40"/>
      <c r="G1222" s="41" t="str">
        <f>IFERROR(IF(F1222&gt;=0,D1222*E1222*(1+F1222/100),ABS(D1222*E1222/F1222)),"")</f>
        <v/>
      </c>
      <c r="H1222" s="42" t="str">
        <f>IFERROR(G1222*E1204,"")</f>
        <v/>
      </c>
    </row>
    <row r="1223" spans="1:11" ht="12.75" customHeight="1"/>
    <row r="1224" spans="1:11">
      <c r="A1224" s="6" t="s">
        <v>2160</v>
      </c>
      <c r="B1224" s="7" t="str">
        <f>VLOOKUP($A1224,Presupuesto!$A:$D,2,FALSE())</f>
        <v>Tubería en concreto reforzado unión caucho 52" clase 2</v>
      </c>
      <c r="C1224" s="8" t="str">
        <f>VLOOKUP($A1224,Presupuesto!$A:$D,3,FALSE())</f>
        <v>M</v>
      </c>
      <c r="D1224" s="9"/>
      <c r="E1224" s="10">
        <f>VLOOKUP($A1224,Presupuesto!$A:$D,4,FALSE())</f>
        <v>0</v>
      </c>
      <c r="F1224" s="11" t="s">
        <v>2589</v>
      </c>
      <c r="G1224" s="12">
        <f>SUM(G1226:G1242)/2</f>
        <v>806291.21733883349</v>
      </c>
      <c r="H1224" s="13">
        <f>ROUND(SUM(H1226:H1242),0)/2</f>
        <v>0</v>
      </c>
      <c r="I1224" s="10">
        <f>VLOOKUP(A1224,Presupuesto!$A:$F,6,0)</f>
        <v>0</v>
      </c>
      <c r="J1224" s="10">
        <f>+H1224-I1224</f>
        <v>0</v>
      </c>
      <c r="K1224" s="46">
        <f>+H1224-G1224*E1224</f>
        <v>0</v>
      </c>
    </row>
    <row r="1225" spans="1:11">
      <c r="A1225" s="14"/>
      <c r="B1225" s="15" t="s">
        <v>2586</v>
      </c>
      <c r="C1225" s="15" t="s">
        <v>5</v>
      </c>
      <c r="D1225" s="16" t="s">
        <v>6</v>
      </c>
      <c r="E1225" s="17" t="s">
        <v>7</v>
      </c>
      <c r="F1225" s="18" t="s">
        <v>3728</v>
      </c>
      <c r="G1225" s="19" t="s">
        <v>3729</v>
      </c>
      <c r="H1225" s="20" t="s">
        <v>3797</v>
      </c>
    </row>
    <row r="1226" spans="1:11">
      <c r="A1226" s="21"/>
      <c r="B1226" s="22" t="s">
        <v>3730</v>
      </c>
      <c r="C1226" s="23"/>
      <c r="D1226" s="24"/>
      <c r="E1226" s="25"/>
      <c r="F1226" s="26"/>
      <c r="G1226" s="27">
        <f>SUM(G1227:G1231)</f>
        <v>659242.5</v>
      </c>
      <c r="H1226" s="27">
        <f>IFERROR(G1226*E1224,"")</f>
        <v>0</v>
      </c>
    </row>
    <row r="1227" spans="1:11">
      <c r="A1227" s="28"/>
      <c r="B1227" s="29" t="s">
        <v>3429</v>
      </c>
      <c r="C1227" s="30" t="str">
        <f>IFERROR(_xlfn.XLOOKUP(B1227,Insumo[DESCRIPCION],Insumo[UND],,0),"")</f>
        <v>M</v>
      </c>
      <c r="D1227" s="31">
        <v>1</v>
      </c>
      <c r="E1227" s="32">
        <f>IFERROR(_xlfn.XLOOKUP($B1227,Insumo[DESCRIPCION],Insumo[VALOR],,0),"")</f>
        <v>659242.5</v>
      </c>
      <c r="F1227" s="33"/>
      <c r="G1227" s="34">
        <f>IFERROR(IF(F1227&gt;=0,D1227*E1227*(1+F1227/100),ABS(D1227*E1227/F1227)),"")</f>
        <v>659242.5</v>
      </c>
      <c r="H1227" s="43">
        <f>IFERROR(G1227*E1224,"")</f>
        <v>0</v>
      </c>
    </row>
    <row r="1228" spans="1:11">
      <c r="A1228" s="28"/>
      <c r="B1228" s="29"/>
      <c r="C1228" s="30" t="str">
        <f>IFERROR(_xlfn.XLOOKUP(B1228,Insumo[DESCRIPCION],Insumo[UND],,0),"")</f>
        <v/>
      </c>
      <c r="D1228" s="31"/>
      <c r="E1228" s="32" t="str">
        <f>IFERROR(_xlfn.XLOOKUP($B1228,Insumo[DESCRIPCION],Insumo[VALOR],,0),"")</f>
        <v/>
      </c>
      <c r="F1228" s="33"/>
      <c r="G1228" s="34" t="str">
        <f>IFERROR(IF(F1228&gt;=0,D1228*E1228*(1+F1228/100),ABS(D1228*E1228/F1228)),"")</f>
        <v/>
      </c>
      <c r="H1228" s="43" t="str">
        <f>IFERROR(G1228*E1224,"")</f>
        <v/>
      </c>
    </row>
    <row r="1229" spans="1:11">
      <c r="A1229" s="28"/>
      <c r="B1229" s="29"/>
      <c r="C1229" s="30" t="str">
        <f>IFERROR(_xlfn.XLOOKUP(B1229,Insumo[DESCRIPCION],Insumo[UND],,0),"")</f>
        <v/>
      </c>
      <c r="D1229" s="31"/>
      <c r="E1229" s="32" t="str">
        <f>IFERROR(_xlfn.XLOOKUP($B1229,Insumo[DESCRIPCION],Insumo[VALOR],,0),"")</f>
        <v/>
      </c>
      <c r="F1229" s="33"/>
      <c r="G1229" s="34" t="str">
        <f>IFERROR(IF(F1229&gt;=0,D1229*E1229*(1+F1229/100),ABS(D1229*E1229/F1229)),"")</f>
        <v/>
      </c>
      <c r="H1229" s="43" t="str">
        <f>IFERROR(G1229*E1224,"")</f>
        <v/>
      </c>
    </row>
    <row r="1230" spans="1:11">
      <c r="A1230" s="28"/>
      <c r="B1230" s="29"/>
      <c r="C1230" s="30" t="str">
        <f>IFERROR(_xlfn.XLOOKUP(B1230,Insumo[DESCRIPCION],Insumo[UND],,0),"")</f>
        <v/>
      </c>
      <c r="D1230" s="31"/>
      <c r="E1230" s="32" t="str">
        <f>IFERROR(_xlfn.XLOOKUP($B1230,Insumo[DESCRIPCION],Insumo[VALOR],,0),"")</f>
        <v/>
      </c>
      <c r="F1230" s="33"/>
      <c r="G1230" s="34" t="str">
        <f>IFERROR(IF(F1230&gt;=0,D1230*E1230*(1+F1230/100),ABS(D1230*E1230/F1230)),"")</f>
        <v/>
      </c>
      <c r="H1230" s="43" t="str">
        <f>IFERROR(G1230*E1224,"")</f>
        <v/>
      </c>
    </row>
    <row r="1231" spans="1:11">
      <c r="A1231" s="28"/>
      <c r="B1231" s="29"/>
      <c r="C1231" s="30" t="str">
        <f>IFERROR(_xlfn.XLOOKUP(B1231,Insumo[DESCRIPCION],Insumo[UND],,0),"")</f>
        <v/>
      </c>
      <c r="D1231" s="31"/>
      <c r="E1231" s="32" t="str">
        <f>IFERROR(_xlfn.XLOOKUP($B1231,Insumo[DESCRIPCION],Insumo[VALOR],,0),"")</f>
        <v/>
      </c>
      <c r="F1231" s="33"/>
      <c r="G1231" s="34" t="str">
        <f>IFERROR(IF(F1231&gt;=0,D1231*E1231*(1+F1231/100),ABS(D1231*E1231/F1231)),"")</f>
        <v/>
      </c>
      <c r="H1231" s="43" t="str">
        <f>IFERROR(G1231*E1224,"")</f>
        <v/>
      </c>
    </row>
    <row r="1232" spans="1:11">
      <c r="A1232" s="21"/>
      <c r="B1232" s="22" t="s">
        <v>3731</v>
      </c>
      <c r="C1232" s="23"/>
      <c r="D1232" s="24"/>
      <c r="E1232" s="25"/>
      <c r="F1232" s="26"/>
      <c r="G1232" s="27">
        <f>SUM(G1233:G1235)</f>
        <v>25432.542095500001</v>
      </c>
      <c r="H1232" s="44">
        <f>G1232*E1224</f>
        <v>0</v>
      </c>
    </row>
    <row r="1233" spans="1:11">
      <c r="A1233" s="28"/>
      <c r="B1233" s="29" t="s">
        <v>3622</v>
      </c>
      <c r="C1233" s="30" t="str">
        <f>IFERROR(_xlfn.XLOOKUP(B1233,Equipo[DESCRIPCION],Equipo[UND],,0),"")</f>
        <v>Hr</v>
      </c>
      <c r="D1233" s="31">
        <v>1</v>
      </c>
      <c r="E1233" s="32">
        <f>IF(C1233="%MO",G1239,IFERROR(_xlfn.XLOOKUP($B1233,Equipo[DESCRIPCION],Equipo[VALOR],,0),""))</f>
        <v>87082.8</v>
      </c>
      <c r="F1233" s="33">
        <v>-4.5</v>
      </c>
      <c r="G1233" s="34">
        <f>IFERROR(IF(F1233&gt;=0,D1233*E1233*(1+F1233/100),ABS(D1233*E1233/F1233)),"")</f>
        <v>19351.733333333334</v>
      </c>
      <c r="H1233" s="43">
        <f>IFERROR(G1233*E1224,"")</f>
        <v>0</v>
      </c>
    </row>
    <row r="1234" spans="1:11">
      <c r="A1234" s="28"/>
      <c r="B1234" s="29" t="s">
        <v>3626</v>
      </c>
      <c r="C1234" s="30" t="str">
        <f>IFERROR(_xlfn.XLOOKUP(B1234,Equipo[DESCRIPCION],Equipo[UND],,0),"")</f>
        <v>%MO</v>
      </c>
      <c r="D1234" s="31">
        <v>0.05</v>
      </c>
      <c r="E1234" s="32">
        <f>IF(C1234="%MO",G1240,IFERROR(_xlfn.XLOOKUP($B1234,Equipo[DESCRIPCION],Equipo[VALOR],,0),""))</f>
        <v>121616.17524333337</v>
      </c>
      <c r="F1234" s="33"/>
      <c r="G1234" s="34">
        <f>IFERROR(IF(F1234&gt;=0,D1234*E1234*(1+F1234/100),ABS(D1234*E1234/F1234)),"")</f>
        <v>6080.8087621666691</v>
      </c>
      <c r="H1234" s="43">
        <f>IFERROR(G1234*E1224,"")</f>
        <v>0</v>
      </c>
    </row>
    <row r="1235" spans="1:11">
      <c r="A1235" s="28"/>
      <c r="B1235" s="29"/>
      <c r="C1235" s="30" t="str">
        <f>IFERROR(_xlfn.XLOOKUP(B1235,Equipo[DESCRIPCION],Equipo[UND],,0),"")</f>
        <v/>
      </c>
      <c r="D1235" s="31"/>
      <c r="E1235" s="32" t="str">
        <f>IF(C1235="%MO",G1241,IFERROR(_xlfn.XLOOKUP($B1235,Equipo[DESCRIPCION],Equipo[VALOR],,0),""))</f>
        <v/>
      </c>
      <c r="F1235" s="33"/>
      <c r="G1235" s="34" t="str">
        <f>IFERROR(IF(F1235&gt;=0,D1235*E1235*(1+F1235/100),ABS(D1235*E1235/F1235)),"")</f>
        <v/>
      </c>
      <c r="H1235" s="43" t="str">
        <f>IFERROR(G1235*E1224,"")</f>
        <v/>
      </c>
    </row>
    <row r="1236" spans="1:11">
      <c r="A1236" s="21"/>
      <c r="B1236" s="22" t="s">
        <v>2533</v>
      </c>
      <c r="C1236" s="23"/>
      <c r="D1236" s="24"/>
      <c r="E1236" s="25"/>
      <c r="F1236" s="26"/>
      <c r="G1236" s="27">
        <f>SUM(G1237:G1238)</f>
        <v>0</v>
      </c>
      <c r="H1236" s="44">
        <f>G1236*E1224</f>
        <v>0</v>
      </c>
    </row>
    <row r="1237" spans="1:11">
      <c r="A1237" s="28"/>
      <c r="B1237" s="29"/>
      <c r="C1237" s="30" t="str">
        <f>IFERROR(_xlfn.XLOOKUP(B1237,Transporte[DESCRIPCION],Transporte[UND],,0),"")</f>
        <v/>
      </c>
      <c r="D1237" s="31"/>
      <c r="E1237" s="32" t="str">
        <f>IFERROR(_xlfn.XLOOKUP($B1237,Transporte[DESCRIPCION],Transporte[VALOR],,0),"")</f>
        <v/>
      </c>
      <c r="F1237" s="33"/>
      <c r="G1237" s="34" t="str">
        <f>IFERROR(IF(F1237&gt;=0,D1237*E1237*(1+F1237/100),ABS(D1237*E1237/F1237)),"")</f>
        <v/>
      </c>
      <c r="H1237" s="43" t="str">
        <f>IFERROR(G1237*E1224,"")</f>
        <v/>
      </c>
    </row>
    <row r="1238" spans="1:11">
      <c r="A1238" s="28"/>
      <c r="B1238" s="29"/>
      <c r="C1238" s="30" t="str">
        <f>IFERROR(_xlfn.XLOOKUP(B1238,Transporte[DESCRIPCION],Transporte[UND],,0),"")</f>
        <v/>
      </c>
      <c r="D1238" s="31"/>
      <c r="E1238" s="32" t="str">
        <f>IFERROR(_xlfn.XLOOKUP($B1238,Transporte[DESCRIPCION],Transporte[VALOR],,0),"")</f>
        <v/>
      </c>
      <c r="F1238" s="33"/>
      <c r="G1238" s="34" t="str">
        <f>IFERROR(IF(F1238&gt;=0,D1238*E1238*(1+F1238/100),ABS(D1238*E1238/F1238)),"")</f>
        <v/>
      </c>
      <c r="H1238" s="43" t="str">
        <f>IFERROR(G1238*E1224,"")</f>
        <v/>
      </c>
    </row>
    <row r="1239" spans="1:11">
      <c r="A1239" s="21"/>
      <c r="B1239" s="22" t="s">
        <v>3732</v>
      </c>
      <c r="C1239" s="23"/>
      <c r="D1239" s="24"/>
      <c r="E1239" s="25"/>
      <c r="F1239" s="26"/>
      <c r="G1239" s="27">
        <f>SUM(G1240:G1242)</f>
        <v>121616.17524333337</v>
      </c>
      <c r="H1239" s="44">
        <f>G1239*E1224</f>
        <v>0</v>
      </c>
    </row>
    <row r="1240" spans="1:11">
      <c r="A1240" s="28"/>
      <c r="B1240" s="29" t="s">
        <v>3712</v>
      </c>
      <c r="C1240" s="30" t="str">
        <f>IFERROR(_xlfn.XLOOKUP(B1240,MObra[DESCRIPCION],MObra[UN],,0),"")</f>
        <v>día</v>
      </c>
      <c r="D1240" s="31">
        <v>1</v>
      </c>
      <c r="E1240" s="32">
        <f>IFERROR(_xlfn.XLOOKUP($B1240,MObra[DESCRIPCION],MObra[VALOR UNIT],,0),"")</f>
        <v>547272.78859500017</v>
      </c>
      <c r="F1240" s="33">
        <v>-4.5</v>
      </c>
      <c r="G1240" s="34">
        <f>IFERROR(IF(F1240&gt;=0,D1240*E1240*(1+F1240/100),ABS(D1240*E1240/F1240)),"")</f>
        <v>121616.17524333337</v>
      </c>
      <c r="H1240" s="43">
        <f>IFERROR(G1240*E1224,"")</f>
        <v>0</v>
      </c>
    </row>
    <row r="1241" spans="1:11">
      <c r="A1241" s="28"/>
      <c r="B1241" s="29"/>
      <c r="C1241" s="30" t="str">
        <f>IFERROR(_xlfn.XLOOKUP(B1241,MObra[DESCRIPCION],MObra[UN],,0),"")</f>
        <v/>
      </c>
      <c r="D1241" s="31"/>
      <c r="E1241" s="32" t="str">
        <f>IFERROR(_xlfn.XLOOKUP($B1241,MObra[DESCRIPCION],MObra[VALOR UNIT],,0),"")</f>
        <v/>
      </c>
      <c r="F1241" s="33"/>
      <c r="G1241" s="34" t="str">
        <f>IFERROR(IF(F1241&gt;=0,D1241*E1241*(1+F1241/100),ABS(D1241*E1241/F1241)),"")</f>
        <v/>
      </c>
      <c r="H1241" s="43" t="str">
        <f>IFERROR(G1241*E1224,"")</f>
        <v/>
      </c>
    </row>
    <row r="1242" spans="1:11">
      <c r="A1242" s="35"/>
      <c r="B1242" s="36"/>
      <c r="C1242" s="37" t="str">
        <f>IFERROR(_xlfn.XLOOKUP(B1242,MObra[DESCRIPCION],MObra[UN],,0),"")</f>
        <v/>
      </c>
      <c r="D1242" s="38"/>
      <c r="E1242" s="39" t="str">
        <f>IFERROR(_xlfn.XLOOKUP($B1242,MObra[DESCRIPCION],MObra[VALOR UNIT],,0),"")</f>
        <v/>
      </c>
      <c r="F1242" s="40"/>
      <c r="G1242" s="41" t="str">
        <f>IFERROR(IF(F1242&gt;=0,D1242*E1242*(1+F1242/100),ABS(D1242*E1242/F1242)),"")</f>
        <v/>
      </c>
      <c r="H1242" s="42" t="str">
        <f>IFERROR(G1242*E1224,"")</f>
        <v/>
      </c>
    </row>
    <row r="1243" spans="1:11" ht="12.75" customHeight="1"/>
    <row r="1244" spans="1:11">
      <c r="A1244" s="6" t="s">
        <v>2162</v>
      </c>
      <c r="B1244" s="7" t="str">
        <f>VLOOKUP($A1244,Presupuesto!$A:$D,2,FALSE())</f>
        <v>Tubería en concreto reforzado unión caucho 60" clase 2</v>
      </c>
      <c r="C1244" s="8" t="str">
        <f>VLOOKUP($A1244,Presupuesto!$A:$D,3,FALSE())</f>
        <v>M</v>
      </c>
      <c r="D1244" s="9"/>
      <c r="E1244" s="10">
        <f>VLOOKUP($A1244,Presupuesto!$A:$D,4,FALSE())</f>
        <v>0</v>
      </c>
      <c r="F1244" s="11" t="s">
        <v>2589</v>
      </c>
      <c r="G1244" s="12">
        <f>SUM(G1246:G1262)/2</f>
        <v>1074729.8070061875</v>
      </c>
      <c r="H1244" s="13">
        <f>ROUND(SUM(H1246:H1262),0)/2</f>
        <v>0</v>
      </c>
      <c r="I1244" s="10">
        <f>VLOOKUP(A1244,Presupuesto!$A:$F,6,0)</f>
        <v>0</v>
      </c>
      <c r="J1244" s="10">
        <f>+H1244-I1244</f>
        <v>0</v>
      </c>
      <c r="K1244" s="46">
        <f>+H1244-G1244*E1244</f>
        <v>0</v>
      </c>
    </row>
    <row r="1245" spans="1:11">
      <c r="A1245" s="14"/>
      <c r="B1245" s="15" t="s">
        <v>2586</v>
      </c>
      <c r="C1245" s="15" t="s">
        <v>5</v>
      </c>
      <c r="D1245" s="16" t="s">
        <v>6</v>
      </c>
      <c r="E1245" s="17" t="s">
        <v>7</v>
      </c>
      <c r="F1245" s="18" t="s">
        <v>3728</v>
      </c>
      <c r="G1245" s="19" t="s">
        <v>3729</v>
      </c>
      <c r="H1245" s="20" t="s">
        <v>3797</v>
      </c>
    </row>
    <row r="1246" spans="1:11">
      <c r="A1246" s="21"/>
      <c r="B1246" s="22" t="s">
        <v>3730</v>
      </c>
      <c r="C1246" s="23"/>
      <c r="D1246" s="24"/>
      <c r="E1246" s="25"/>
      <c r="F1246" s="26"/>
      <c r="G1246" s="27">
        <f>SUM(G1247:G1251)</f>
        <v>909300</v>
      </c>
      <c r="H1246" s="27">
        <f>IFERROR(G1246*E1244,"")</f>
        <v>0</v>
      </c>
    </row>
    <row r="1247" spans="1:11">
      <c r="A1247" s="28"/>
      <c r="B1247" s="29" t="s">
        <v>3430</v>
      </c>
      <c r="C1247" s="30" t="str">
        <f>IFERROR(_xlfn.XLOOKUP(B1247,Insumo[DESCRIPCION],Insumo[UND],,0),"")</f>
        <v>M</v>
      </c>
      <c r="D1247" s="31">
        <v>1</v>
      </c>
      <c r="E1247" s="32">
        <f>IFERROR(_xlfn.XLOOKUP($B1247,Insumo[DESCRIPCION],Insumo[VALOR],,0),"")</f>
        <v>909300</v>
      </c>
      <c r="F1247" s="33"/>
      <c r="G1247" s="34">
        <f>IFERROR(IF(F1247&gt;=0,D1247*E1247*(1+F1247/100),ABS(D1247*E1247/F1247)),"")</f>
        <v>909300</v>
      </c>
      <c r="H1247" s="43">
        <f>IFERROR(G1247*E1244,"")</f>
        <v>0</v>
      </c>
    </row>
    <row r="1248" spans="1:11">
      <c r="A1248" s="28"/>
      <c r="B1248" s="29"/>
      <c r="C1248" s="30" t="str">
        <f>IFERROR(_xlfn.XLOOKUP(B1248,Insumo[DESCRIPCION],Insumo[UND],,0),"")</f>
        <v/>
      </c>
      <c r="D1248" s="31"/>
      <c r="E1248" s="32" t="str">
        <f>IFERROR(_xlfn.XLOOKUP($B1248,Insumo[DESCRIPCION],Insumo[VALOR],,0),"")</f>
        <v/>
      </c>
      <c r="F1248" s="33"/>
      <c r="G1248" s="34" t="str">
        <f>IFERROR(IF(F1248&gt;=0,D1248*E1248*(1+F1248/100),ABS(D1248*E1248/F1248)),"")</f>
        <v/>
      </c>
      <c r="H1248" s="43" t="str">
        <f>IFERROR(G1248*E1244,"")</f>
        <v/>
      </c>
    </row>
    <row r="1249" spans="1:11">
      <c r="A1249" s="28"/>
      <c r="B1249" s="29"/>
      <c r="C1249" s="30" t="str">
        <f>IFERROR(_xlfn.XLOOKUP(B1249,Insumo[DESCRIPCION],Insumo[UND],,0),"")</f>
        <v/>
      </c>
      <c r="D1249" s="31"/>
      <c r="E1249" s="32" t="str">
        <f>IFERROR(_xlfn.XLOOKUP($B1249,Insumo[DESCRIPCION],Insumo[VALOR],,0),"")</f>
        <v/>
      </c>
      <c r="F1249" s="33"/>
      <c r="G1249" s="34" t="str">
        <f>IFERROR(IF(F1249&gt;=0,D1249*E1249*(1+F1249/100),ABS(D1249*E1249/F1249)),"")</f>
        <v/>
      </c>
      <c r="H1249" s="43" t="str">
        <f>IFERROR(G1249*E1244,"")</f>
        <v/>
      </c>
    </row>
    <row r="1250" spans="1:11">
      <c r="A1250" s="28"/>
      <c r="B1250" s="29"/>
      <c r="C1250" s="30" t="str">
        <f>IFERROR(_xlfn.XLOOKUP(B1250,Insumo[DESCRIPCION],Insumo[UND],,0),"")</f>
        <v/>
      </c>
      <c r="D1250" s="31"/>
      <c r="E1250" s="32" t="str">
        <f>IFERROR(_xlfn.XLOOKUP($B1250,Insumo[DESCRIPCION],Insumo[VALOR],,0),"")</f>
        <v/>
      </c>
      <c r="F1250" s="33"/>
      <c r="G1250" s="34" t="str">
        <f>IFERROR(IF(F1250&gt;=0,D1250*E1250*(1+F1250/100),ABS(D1250*E1250/F1250)),"")</f>
        <v/>
      </c>
      <c r="H1250" s="43" t="str">
        <f>IFERROR(G1250*E1244,"")</f>
        <v/>
      </c>
    </row>
    <row r="1251" spans="1:11">
      <c r="A1251" s="28"/>
      <c r="B1251" s="29"/>
      <c r="C1251" s="30" t="str">
        <f>IFERROR(_xlfn.XLOOKUP(B1251,Insumo[DESCRIPCION],Insumo[UND],,0),"")</f>
        <v/>
      </c>
      <c r="D1251" s="31"/>
      <c r="E1251" s="32" t="str">
        <f>IFERROR(_xlfn.XLOOKUP($B1251,Insumo[DESCRIPCION],Insumo[VALOR],,0),"")</f>
        <v/>
      </c>
      <c r="F1251" s="33"/>
      <c r="G1251" s="34" t="str">
        <f>IFERROR(IF(F1251&gt;=0,D1251*E1251*(1+F1251/100),ABS(D1251*E1251/F1251)),"")</f>
        <v/>
      </c>
      <c r="H1251" s="43" t="str">
        <f>IFERROR(G1251*E1244,"")</f>
        <v/>
      </c>
    </row>
    <row r="1252" spans="1:11">
      <c r="A1252" s="21"/>
      <c r="B1252" s="22" t="s">
        <v>3731</v>
      </c>
      <c r="C1252" s="23"/>
      <c r="D1252" s="24"/>
      <c r="E1252" s="25"/>
      <c r="F1252" s="26"/>
      <c r="G1252" s="27">
        <f>SUM(G1253:G1255)</f>
        <v>28611.609857437503</v>
      </c>
      <c r="H1252" s="44">
        <f>G1252*E1244</f>
        <v>0</v>
      </c>
    </row>
    <row r="1253" spans="1:11">
      <c r="A1253" s="28"/>
      <c r="B1253" s="29" t="s">
        <v>3622</v>
      </c>
      <c r="C1253" s="30" t="str">
        <f>IFERROR(_xlfn.XLOOKUP(B1253,Equipo[DESCRIPCION],Equipo[UND],,0),"")</f>
        <v>Hr</v>
      </c>
      <c r="D1253" s="31">
        <v>1</v>
      </c>
      <c r="E1253" s="32">
        <f>IF(C1253="%MO",G1259,IFERROR(_xlfn.XLOOKUP($B1253,Equipo[DESCRIPCION],Equipo[VALOR],,0),""))</f>
        <v>87082.8</v>
      </c>
      <c r="F1253" s="33">
        <v>-4</v>
      </c>
      <c r="G1253" s="34">
        <f>IFERROR(IF(F1253&gt;=0,D1253*E1253*(1+F1253/100),ABS(D1253*E1253/F1253)),"")</f>
        <v>21770.7</v>
      </c>
      <c r="H1253" s="43">
        <f>IFERROR(G1253*E1244,"")</f>
        <v>0</v>
      </c>
    </row>
    <row r="1254" spans="1:11">
      <c r="A1254" s="28"/>
      <c r="B1254" s="29" t="s">
        <v>3626</v>
      </c>
      <c r="C1254" s="30" t="str">
        <f>IFERROR(_xlfn.XLOOKUP(B1254,Equipo[DESCRIPCION],Equipo[UND],,0),"")</f>
        <v>%MO</v>
      </c>
      <c r="D1254" s="31">
        <v>0.05</v>
      </c>
      <c r="E1254" s="32">
        <f>IF(C1254="%MO",G1260,IFERROR(_xlfn.XLOOKUP($B1254,Equipo[DESCRIPCION],Equipo[VALOR],,0),""))</f>
        <v>136818.19714875004</v>
      </c>
      <c r="F1254" s="33"/>
      <c r="G1254" s="34">
        <f>IFERROR(IF(F1254&gt;=0,D1254*E1254*(1+F1254/100),ABS(D1254*E1254/F1254)),"")</f>
        <v>6840.9098574375021</v>
      </c>
      <c r="H1254" s="43">
        <f>IFERROR(G1254*E1244,"")</f>
        <v>0</v>
      </c>
    </row>
    <row r="1255" spans="1:11">
      <c r="A1255" s="28"/>
      <c r="B1255" s="29"/>
      <c r="C1255" s="30" t="str">
        <f>IFERROR(_xlfn.XLOOKUP(B1255,Equipo[DESCRIPCION],Equipo[UND],,0),"")</f>
        <v/>
      </c>
      <c r="D1255" s="31"/>
      <c r="E1255" s="32" t="str">
        <f>IF(C1255="%MO",G1261,IFERROR(_xlfn.XLOOKUP($B1255,Equipo[DESCRIPCION],Equipo[VALOR],,0),""))</f>
        <v/>
      </c>
      <c r="F1255" s="33"/>
      <c r="G1255" s="34" t="str">
        <f>IFERROR(IF(F1255&gt;=0,D1255*E1255*(1+F1255/100),ABS(D1255*E1255/F1255)),"")</f>
        <v/>
      </c>
      <c r="H1255" s="43" t="str">
        <f>IFERROR(G1255*E1244,"")</f>
        <v/>
      </c>
    </row>
    <row r="1256" spans="1:11">
      <c r="A1256" s="21"/>
      <c r="B1256" s="22" t="s">
        <v>2533</v>
      </c>
      <c r="C1256" s="23"/>
      <c r="D1256" s="24"/>
      <c r="E1256" s="25"/>
      <c r="F1256" s="26"/>
      <c r="G1256" s="27">
        <f>SUM(G1257:G1258)</f>
        <v>0</v>
      </c>
      <c r="H1256" s="44">
        <f>G1256*E1244</f>
        <v>0</v>
      </c>
    </row>
    <row r="1257" spans="1:11">
      <c r="A1257" s="28"/>
      <c r="B1257" s="29"/>
      <c r="C1257" s="30" t="str">
        <f>IFERROR(_xlfn.XLOOKUP(B1257,Transporte[DESCRIPCION],Transporte[UND],,0),"")</f>
        <v/>
      </c>
      <c r="D1257" s="31"/>
      <c r="E1257" s="32" t="str">
        <f>IFERROR(_xlfn.XLOOKUP($B1257,Transporte[DESCRIPCION],Transporte[VALOR],,0),"")</f>
        <v/>
      </c>
      <c r="F1257" s="33"/>
      <c r="G1257" s="34" t="str">
        <f>IFERROR(IF(F1257&gt;=0,D1257*E1257*(1+F1257/100),ABS(D1257*E1257/F1257)),"")</f>
        <v/>
      </c>
      <c r="H1257" s="43" t="str">
        <f>IFERROR(G1257*E1244,"")</f>
        <v/>
      </c>
    </row>
    <row r="1258" spans="1:11">
      <c r="A1258" s="28"/>
      <c r="B1258" s="29"/>
      <c r="C1258" s="30" t="str">
        <f>IFERROR(_xlfn.XLOOKUP(B1258,Transporte[DESCRIPCION],Transporte[UND],,0),"")</f>
        <v/>
      </c>
      <c r="D1258" s="31"/>
      <c r="E1258" s="32" t="str">
        <f>IFERROR(_xlfn.XLOOKUP($B1258,Transporte[DESCRIPCION],Transporte[VALOR],,0),"")</f>
        <v/>
      </c>
      <c r="F1258" s="33"/>
      <c r="G1258" s="34" t="str">
        <f>IFERROR(IF(F1258&gt;=0,D1258*E1258*(1+F1258/100),ABS(D1258*E1258/F1258)),"")</f>
        <v/>
      </c>
      <c r="H1258" s="43" t="str">
        <f>IFERROR(G1258*E1244,"")</f>
        <v/>
      </c>
    </row>
    <row r="1259" spans="1:11">
      <c r="A1259" s="21"/>
      <c r="B1259" s="22" t="s">
        <v>3732</v>
      </c>
      <c r="C1259" s="23"/>
      <c r="D1259" s="24"/>
      <c r="E1259" s="25"/>
      <c r="F1259" s="26"/>
      <c r="G1259" s="27">
        <f>SUM(G1260:G1262)</f>
        <v>136818.19714875004</v>
      </c>
      <c r="H1259" s="44">
        <f>G1259*E1244</f>
        <v>0</v>
      </c>
    </row>
    <row r="1260" spans="1:11">
      <c r="A1260" s="28"/>
      <c r="B1260" s="29" t="s">
        <v>3712</v>
      </c>
      <c r="C1260" s="30" t="str">
        <f>IFERROR(_xlfn.XLOOKUP(B1260,MObra[DESCRIPCION],MObra[UN],,0),"")</f>
        <v>día</v>
      </c>
      <c r="D1260" s="31">
        <v>1</v>
      </c>
      <c r="E1260" s="32">
        <f>IFERROR(_xlfn.XLOOKUP($B1260,MObra[DESCRIPCION],MObra[VALOR UNIT],,0),"")</f>
        <v>547272.78859500017</v>
      </c>
      <c r="F1260" s="33">
        <v>-4</v>
      </c>
      <c r="G1260" s="34">
        <f>IFERROR(IF(F1260&gt;=0,D1260*E1260*(1+F1260/100),ABS(D1260*E1260/F1260)),"")</f>
        <v>136818.19714875004</v>
      </c>
      <c r="H1260" s="43">
        <f>IFERROR(G1260*E1244,"")</f>
        <v>0</v>
      </c>
    </row>
    <row r="1261" spans="1:11">
      <c r="A1261" s="28"/>
      <c r="B1261" s="29"/>
      <c r="C1261" s="30" t="str">
        <f>IFERROR(_xlfn.XLOOKUP(B1261,MObra[DESCRIPCION],MObra[UN],,0),"")</f>
        <v/>
      </c>
      <c r="D1261" s="31"/>
      <c r="E1261" s="32" t="str">
        <f>IFERROR(_xlfn.XLOOKUP($B1261,MObra[DESCRIPCION],MObra[VALOR UNIT],,0),"")</f>
        <v/>
      </c>
      <c r="F1261" s="33"/>
      <c r="G1261" s="34" t="str">
        <f>IFERROR(IF(F1261&gt;=0,D1261*E1261*(1+F1261/100),ABS(D1261*E1261/F1261)),"")</f>
        <v/>
      </c>
      <c r="H1261" s="43" t="str">
        <f>IFERROR(G1261*E1244,"")</f>
        <v/>
      </c>
    </row>
    <row r="1262" spans="1:11">
      <c r="A1262" s="35"/>
      <c r="B1262" s="36"/>
      <c r="C1262" s="37" t="str">
        <f>IFERROR(_xlfn.XLOOKUP(B1262,MObra[DESCRIPCION],MObra[UN],,0),"")</f>
        <v/>
      </c>
      <c r="D1262" s="38"/>
      <c r="E1262" s="39" t="str">
        <f>IFERROR(_xlfn.XLOOKUP($B1262,MObra[DESCRIPCION],MObra[VALOR UNIT],,0),"")</f>
        <v/>
      </c>
      <c r="F1262" s="40"/>
      <c r="G1262" s="41" t="str">
        <f>IFERROR(IF(F1262&gt;=0,D1262*E1262*(1+F1262/100),ABS(D1262*E1262/F1262)),"")</f>
        <v/>
      </c>
      <c r="H1262" s="42" t="str">
        <f>IFERROR(G1262*E1244,"")</f>
        <v/>
      </c>
    </row>
    <row r="1263" spans="1:11" ht="12.75" customHeight="1"/>
    <row r="1264" spans="1:11">
      <c r="A1264" s="6" t="s">
        <v>2164</v>
      </c>
      <c r="B1264" s="7" t="str">
        <f>VLOOKUP($A1264,Presupuesto!$A:$D,2,FALSE())</f>
        <v>Tubería perforada PVC Ø = 4"</v>
      </c>
      <c r="C1264" s="8" t="str">
        <f>VLOOKUP($A1264,Presupuesto!$A:$D,3,FALSE())</f>
        <v>M</v>
      </c>
      <c r="D1264" s="9"/>
      <c r="E1264" s="10">
        <f>VLOOKUP($A1264,Presupuesto!$A:$D,4,FALSE())</f>
        <v>0</v>
      </c>
      <c r="F1264" s="11" t="s">
        <v>2589</v>
      </c>
      <c r="G1264" s="12">
        <f>SUM(G1266:G1282)/2</f>
        <v>36552.940621574999</v>
      </c>
      <c r="H1264" s="13">
        <f>ROUND(SUM(H1266:H1282),0)/2</f>
        <v>0</v>
      </c>
      <c r="I1264" s="10">
        <f>VLOOKUP(A1264,Presupuesto!$A:$F,6,0)</f>
        <v>0</v>
      </c>
      <c r="J1264" s="10">
        <f>+H1264-I1264</f>
        <v>0</v>
      </c>
      <c r="K1264" s="46">
        <f>+H1264-G1264*E1264</f>
        <v>0</v>
      </c>
    </row>
    <row r="1265" spans="1:8">
      <c r="A1265" s="14"/>
      <c r="B1265" s="15" t="s">
        <v>2586</v>
      </c>
      <c r="C1265" s="15" t="s">
        <v>5</v>
      </c>
      <c r="D1265" s="16" t="s">
        <v>6</v>
      </c>
      <c r="E1265" s="17" t="s">
        <v>7</v>
      </c>
      <c r="F1265" s="18" t="s">
        <v>3728</v>
      </c>
      <c r="G1265" s="19" t="s">
        <v>3729</v>
      </c>
      <c r="H1265" s="20" t="s">
        <v>3797</v>
      </c>
    </row>
    <row r="1266" spans="1:8">
      <c r="A1266" s="21"/>
      <c r="B1266" s="22" t="s">
        <v>3730</v>
      </c>
      <c r="C1266" s="23"/>
      <c r="D1266" s="24"/>
      <c r="E1266" s="25"/>
      <c r="F1266" s="26"/>
      <c r="G1266" s="27">
        <f>SUM(G1267:G1271)</f>
        <v>29624.7</v>
      </c>
      <c r="H1266" s="27">
        <f>IFERROR(G1266*E1264,"")</f>
        <v>0</v>
      </c>
    </row>
    <row r="1267" spans="1:8">
      <c r="A1267" s="28"/>
      <c r="B1267" s="29" t="s">
        <v>3471</v>
      </c>
      <c r="C1267" s="30" t="str">
        <f>IFERROR(_xlfn.XLOOKUP(B1267,Insumo[DESCRIPCION],Insumo[UND],,0),"")</f>
        <v>M</v>
      </c>
      <c r="D1267" s="31">
        <v>1</v>
      </c>
      <c r="E1267" s="32">
        <f>IFERROR(_xlfn.XLOOKUP($B1267,Insumo[DESCRIPCION],Insumo[VALOR],,0),"")</f>
        <v>29624.7</v>
      </c>
      <c r="F1267" s="33"/>
      <c r="G1267" s="34">
        <f>IFERROR(IF(F1267&gt;=0,D1267*E1267*(1+F1267/100),ABS(D1267*E1267/F1267)),"")</f>
        <v>29624.7</v>
      </c>
      <c r="H1267" s="43">
        <f>IFERROR(G1267*E1264,"")</f>
        <v>0</v>
      </c>
    </row>
    <row r="1268" spans="1:8">
      <c r="A1268" s="28"/>
      <c r="B1268" s="29"/>
      <c r="C1268" s="30" t="str">
        <f>IFERROR(_xlfn.XLOOKUP(B1268,Insumo[DESCRIPCION],Insumo[UND],,0),"")</f>
        <v/>
      </c>
      <c r="D1268" s="31"/>
      <c r="E1268" s="32" t="str">
        <f>IFERROR(_xlfn.XLOOKUP($B1268,Insumo[DESCRIPCION],Insumo[VALOR],,0),"")</f>
        <v/>
      </c>
      <c r="F1268" s="33"/>
      <c r="G1268" s="34" t="str">
        <f>IFERROR(IF(F1268&gt;=0,D1268*E1268*(1+F1268/100),ABS(D1268*E1268/F1268)),"")</f>
        <v/>
      </c>
      <c r="H1268" s="43" t="str">
        <f>IFERROR(G1268*E1264,"")</f>
        <v/>
      </c>
    </row>
    <row r="1269" spans="1:8">
      <c r="A1269" s="28"/>
      <c r="B1269" s="29"/>
      <c r="C1269" s="30" t="str">
        <f>IFERROR(_xlfn.XLOOKUP(B1269,Insumo[DESCRIPCION],Insumo[UND],,0),"")</f>
        <v/>
      </c>
      <c r="D1269" s="31"/>
      <c r="E1269" s="32" t="str">
        <f>IFERROR(_xlfn.XLOOKUP($B1269,Insumo[DESCRIPCION],Insumo[VALOR],,0),"")</f>
        <v/>
      </c>
      <c r="F1269" s="33"/>
      <c r="G1269" s="34" t="str">
        <f>IFERROR(IF(F1269&gt;=0,D1269*E1269*(1+F1269/100),ABS(D1269*E1269/F1269)),"")</f>
        <v/>
      </c>
      <c r="H1269" s="43" t="str">
        <f>IFERROR(G1269*E1264,"")</f>
        <v/>
      </c>
    </row>
    <row r="1270" spans="1:8">
      <c r="A1270" s="28"/>
      <c r="B1270" s="29"/>
      <c r="C1270" s="30" t="str">
        <f>IFERROR(_xlfn.XLOOKUP(B1270,Insumo[DESCRIPCION],Insumo[UND],,0),"")</f>
        <v/>
      </c>
      <c r="D1270" s="31"/>
      <c r="E1270" s="32" t="str">
        <f>IFERROR(_xlfn.XLOOKUP($B1270,Insumo[DESCRIPCION],Insumo[VALOR],,0),"")</f>
        <v/>
      </c>
      <c r="F1270" s="33"/>
      <c r="G1270" s="34" t="str">
        <f>IFERROR(IF(F1270&gt;=0,D1270*E1270*(1+F1270/100),ABS(D1270*E1270/F1270)),"")</f>
        <v/>
      </c>
      <c r="H1270" s="43" t="str">
        <f>IFERROR(G1270*E1264,"")</f>
        <v/>
      </c>
    </row>
    <row r="1271" spans="1:8">
      <c r="A1271" s="28"/>
      <c r="B1271" s="29"/>
      <c r="C1271" s="30" t="str">
        <f>IFERROR(_xlfn.XLOOKUP(B1271,Insumo[DESCRIPCION],Insumo[UND],,0),"")</f>
        <v/>
      </c>
      <c r="D1271" s="31"/>
      <c r="E1271" s="32" t="str">
        <f>IFERROR(_xlfn.XLOOKUP($B1271,Insumo[DESCRIPCION],Insumo[VALOR],,0),"")</f>
        <v/>
      </c>
      <c r="F1271" s="33"/>
      <c r="G1271" s="34" t="str">
        <f>IFERROR(IF(F1271&gt;=0,D1271*E1271*(1+F1271/100),ABS(D1271*E1271/F1271)),"")</f>
        <v/>
      </c>
      <c r="H1271" s="43" t="str">
        <f>IFERROR(G1271*E1264,"")</f>
        <v/>
      </c>
    </row>
    <row r="1272" spans="1:8">
      <c r="A1272" s="21"/>
      <c r="B1272" s="22" t="s">
        <v>3731</v>
      </c>
      <c r="C1272" s="23"/>
      <c r="D1272" s="24"/>
      <c r="E1272" s="25"/>
      <c r="F1272" s="26"/>
      <c r="G1272" s="27">
        <f>SUM(G1273:G1275)</f>
        <v>329.91622007500007</v>
      </c>
      <c r="H1272" s="44">
        <f>G1272*E1264</f>
        <v>0</v>
      </c>
    </row>
    <row r="1273" spans="1:8">
      <c r="A1273" s="28"/>
      <c r="B1273" s="29" t="s">
        <v>3626</v>
      </c>
      <c r="C1273" s="30" t="str">
        <f>IFERROR(_xlfn.XLOOKUP(B1273,Equipo[DESCRIPCION],Equipo[UND],,0),"")</f>
        <v>%MO</v>
      </c>
      <c r="D1273" s="31">
        <v>0.05</v>
      </c>
      <c r="E1273" s="32">
        <f>IF(C1273="%MO",G1279,IFERROR(_xlfn.XLOOKUP($B1273,Equipo[DESCRIPCION],Equipo[VALOR],,0),""))</f>
        <v>6598.3244015000009</v>
      </c>
      <c r="F1273" s="33"/>
      <c r="G1273" s="34">
        <f>IFERROR(IF(F1273&gt;=0,D1273*E1273*(1+F1273/100),ABS(D1273*E1273/F1273)),"")</f>
        <v>329.91622007500007</v>
      </c>
      <c r="H1273" s="43">
        <f>IFERROR(G1273*E1264,"")</f>
        <v>0</v>
      </c>
    </row>
    <row r="1274" spans="1:8">
      <c r="A1274" s="28"/>
      <c r="B1274" s="29"/>
      <c r="C1274" s="30" t="str">
        <f>IFERROR(_xlfn.XLOOKUP(B1274,Equipo[DESCRIPCION],Equipo[UND],,0),"")</f>
        <v/>
      </c>
      <c r="D1274" s="31"/>
      <c r="E1274" s="32" t="str">
        <f>IF(C1274="%MO",G1280,IFERROR(_xlfn.XLOOKUP($B1274,Equipo[DESCRIPCION],Equipo[VALOR],,0),""))</f>
        <v/>
      </c>
      <c r="F1274" s="33"/>
      <c r="G1274" s="34" t="str">
        <f>IFERROR(IF(F1274&gt;=0,D1274*E1274*(1+F1274/100),ABS(D1274*E1274/F1274)),"")</f>
        <v/>
      </c>
      <c r="H1274" s="43" t="str">
        <f>IFERROR(G1274*E1264,"")</f>
        <v/>
      </c>
    </row>
    <row r="1275" spans="1:8">
      <c r="A1275" s="28"/>
      <c r="B1275" s="29"/>
      <c r="C1275" s="30" t="str">
        <f>IFERROR(_xlfn.XLOOKUP(B1275,Equipo[DESCRIPCION],Equipo[UND],,0),"")</f>
        <v/>
      </c>
      <c r="D1275" s="31"/>
      <c r="E1275" s="32" t="str">
        <f>IF(C1275="%MO",G1281,IFERROR(_xlfn.XLOOKUP($B1275,Equipo[DESCRIPCION],Equipo[VALOR],,0),""))</f>
        <v/>
      </c>
      <c r="F1275" s="33"/>
      <c r="G1275" s="34" t="str">
        <f>IFERROR(IF(F1275&gt;=0,D1275*E1275*(1+F1275/100),ABS(D1275*E1275/F1275)),"")</f>
        <v/>
      </c>
      <c r="H1275" s="43" t="str">
        <f>IFERROR(G1275*E1264,"")</f>
        <v/>
      </c>
    </row>
    <row r="1276" spans="1:8">
      <c r="A1276" s="21"/>
      <c r="B1276" s="22" t="s">
        <v>2533</v>
      </c>
      <c r="C1276" s="23"/>
      <c r="D1276" s="24"/>
      <c r="E1276" s="25"/>
      <c r="F1276" s="26"/>
      <c r="G1276" s="27">
        <f>SUM(G1277:G1278)</f>
        <v>0</v>
      </c>
      <c r="H1276" s="44">
        <f>G1276*E1264</f>
        <v>0</v>
      </c>
    </row>
    <row r="1277" spans="1:8">
      <c r="A1277" s="28"/>
      <c r="B1277" s="29"/>
      <c r="C1277" s="30" t="str">
        <f>IFERROR(_xlfn.XLOOKUP(B1277,Transporte[DESCRIPCION],Transporte[UND],,0),"")</f>
        <v/>
      </c>
      <c r="D1277" s="31"/>
      <c r="E1277" s="32" t="str">
        <f>IFERROR(_xlfn.XLOOKUP($B1277,Transporte[DESCRIPCION],Transporte[VALOR],,0),"")</f>
        <v/>
      </c>
      <c r="F1277" s="33"/>
      <c r="G1277" s="34" t="str">
        <f>IFERROR(IF(F1277&gt;=0,D1277*E1277*(1+F1277/100),ABS(D1277*E1277/F1277)),"")</f>
        <v/>
      </c>
      <c r="H1277" s="43" t="str">
        <f>IFERROR(G1277*E1264,"")</f>
        <v/>
      </c>
    </row>
    <row r="1278" spans="1:8">
      <c r="A1278" s="28"/>
      <c r="B1278" s="29"/>
      <c r="C1278" s="30" t="str">
        <f>IFERROR(_xlfn.XLOOKUP(B1278,Transporte[DESCRIPCION],Transporte[UND],,0),"")</f>
        <v/>
      </c>
      <c r="D1278" s="31"/>
      <c r="E1278" s="32" t="str">
        <f>IFERROR(_xlfn.XLOOKUP($B1278,Transporte[DESCRIPCION],Transporte[VALOR],,0),"")</f>
        <v/>
      </c>
      <c r="F1278" s="33"/>
      <c r="G1278" s="34" t="str">
        <f>IFERROR(IF(F1278&gt;=0,D1278*E1278*(1+F1278/100),ABS(D1278*E1278/F1278)),"")</f>
        <v/>
      </c>
      <c r="H1278" s="43" t="str">
        <f>IFERROR(G1278*E1264,"")</f>
        <v/>
      </c>
    </row>
    <row r="1279" spans="1:8">
      <c r="A1279" s="21"/>
      <c r="B1279" s="22" t="s">
        <v>3732</v>
      </c>
      <c r="C1279" s="23"/>
      <c r="D1279" s="24"/>
      <c r="E1279" s="25"/>
      <c r="F1279" s="26"/>
      <c r="G1279" s="27">
        <f>SUM(G1280:G1282)</f>
        <v>6598.3244015000009</v>
      </c>
      <c r="H1279" s="44">
        <f>G1279*E1264</f>
        <v>0</v>
      </c>
    </row>
    <row r="1280" spans="1:8">
      <c r="A1280" s="28"/>
      <c r="B1280" s="29" t="s">
        <v>3705</v>
      </c>
      <c r="C1280" s="30" t="str">
        <f>IFERROR(_xlfn.XLOOKUP(B1280,MObra[DESCRIPCION],MObra[UN],,0),"")</f>
        <v>día</v>
      </c>
      <c r="D1280" s="31">
        <v>1</v>
      </c>
      <c r="E1280" s="32">
        <f>IFERROR(_xlfn.XLOOKUP($B1280,MObra[DESCRIPCION],MObra[VALOR UNIT],,0),"")</f>
        <v>197949.73204500004</v>
      </c>
      <c r="F1280" s="33">
        <v>-30</v>
      </c>
      <c r="G1280" s="34">
        <f>IFERROR(IF(F1280&gt;=0,D1280*E1280*(1+F1280/100),ABS(D1280*E1280/F1280)),"")</f>
        <v>6598.3244015000009</v>
      </c>
      <c r="H1280" s="43">
        <f>IFERROR(G1280*E1264,"")</f>
        <v>0</v>
      </c>
    </row>
    <row r="1281" spans="1:11">
      <c r="A1281" s="28"/>
      <c r="B1281" s="29"/>
      <c r="C1281" s="30" t="str">
        <f>IFERROR(_xlfn.XLOOKUP(B1281,MObra[DESCRIPCION],MObra[UN],,0),"")</f>
        <v/>
      </c>
      <c r="D1281" s="31"/>
      <c r="E1281" s="32" t="str">
        <f>IFERROR(_xlfn.XLOOKUP($B1281,MObra[DESCRIPCION],MObra[VALOR UNIT],,0),"")</f>
        <v/>
      </c>
      <c r="F1281" s="33"/>
      <c r="G1281" s="34" t="str">
        <f>IFERROR(IF(F1281&gt;=0,D1281*E1281*(1+F1281/100),ABS(D1281*E1281/F1281)),"")</f>
        <v/>
      </c>
      <c r="H1281" s="43" t="str">
        <f>IFERROR(G1281*E1264,"")</f>
        <v/>
      </c>
    </row>
    <row r="1282" spans="1:11">
      <c r="A1282" s="35"/>
      <c r="B1282" s="36"/>
      <c r="C1282" s="37" t="str">
        <f>IFERROR(_xlfn.XLOOKUP(B1282,MObra[DESCRIPCION],MObra[UN],,0),"")</f>
        <v/>
      </c>
      <c r="D1282" s="38"/>
      <c r="E1282" s="39" t="str">
        <f>IFERROR(_xlfn.XLOOKUP($B1282,MObra[DESCRIPCION],MObra[VALOR UNIT],,0),"")</f>
        <v/>
      </c>
      <c r="F1282" s="40"/>
      <c r="G1282" s="41" t="str">
        <f>IFERROR(IF(F1282&gt;=0,D1282*E1282*(1+F1282/100),ABS(D1282*E1282/F1282)),"")</f>
        <v/>
      </c>
      <c r="H1282" s="42" t="str">
        <f>IFERROR(G1282*E1264,"")</f>
        <v/>
      </c>
    </row>
    <row r="1283" spans="1:11" ht="12.75" customHeight="1"/>
    <row r="1284" spans="1:11">
      <c r="A1284" s="6" t="s">
        <v>2166</v>
      </c>
      <c r="B1284" s="7" t="str">
        <f>VLOOKUP($A1284,Presupuesto!$A:$D,2,FALSE())</f>
        <v>Tubería PVC Novafort 110 mm</v>
      </c>
      <c r="C1284" s="8" t="str">
        <f>VLOOKUP($A1284,Presupuesto!$A:$D,3,FALSE())</f>
        <v>M</v>
      </c>
      <c r="D1284" s="9"/>
      <c r="E1284" s="10">
        <f>VLOOKUP($A1284,Presupuesto!$A:$D,4,FALSE())</f>
        <v>0</v>
      </c>
      <c r="F1284" s="11" t="s">
        <v>2589</v>
      </c>
      <c r="G1284" s="12">
        <f>SUM(G1286:G1302)/2</f>
        <v>67641.280921987505</v>
      </c>
      <c r="H1284" s="13">
        <f>ROUND(SUM(H1286:H1302),0)/2</f>
        <v>0</v>
      </c>
      <c r="I1284" s="10">
        <f>VLOOKUP(A1284,Presupuesto!$A:$F,6,0)</f>
        <v>0</v>
      </c>
      <c r="J1284" s="10">
        <f>+H1284-I1284</f>
        <v>0</v>
      </c>
      <c r="K1284" s="46">
        <f>+H1284-G1284*E1284</f>
        <v>0</v>
      </c>
    </row>
    <row r="1285" spans="1:11">
      <c r="A1285" s="14"/>
      <c r="B1285" s="15" t="s">
        <v>2586</v>
      </c>
      <c r="C1285" s="15" t="s">
        <v>5</v>
      </c>
      <c r="D1285" s="16" t="s">
        <v>6</v>
      </c>
      <c r="E1285" s="17" t="s">
        <v>7</v>
      </c>
      <c r="F1285" s="18" t="s">
        <v>3728</v>
      </c>
      <c r="G1285" s="19" t="s">
        <v>3729</v>
      </c>
      <c r="H1285" s="20" t="s">
        <v>3797</v>
      </c>
    </row>
    <row r="1286" spans="1:11">
      <c r="A1286" s="21"/>
      <c r="B1286" s="22" t="s">
        <v>3730</v>
      </c>
      <c r="C1286" s="23"/>
      <c r="D1286" s="24"/>
      <c r="E1286" s="25"/>
      <c r="F1286" s="26"/>
      <c r="G1286" s="27">
        <f>SUM(G1287:G1291)</f>
        <v>51135.766500000005</v>
      </c>
      <c r="H1286" s="27">
        <f>IFERROR(G1286*E1284,"")</f>
        <v>0</v>
      </c>
    </row>
    <row r="1287" spans="1:11">
      <c r="A1287" s="28"/>
      <c r="B1287" s="29" t="s">
        <v>3477</v>
      </c>
      <c r="C1287" s="30" t="str">
        <f>IFERROR(_xlfn.XLOOKUP(B1287,Insumo[DESCRIPCION],Insumo[UND],,0),"")</f>
        <v>M</v>
      </c>
      <c r="D1287" s="31">
        <v>1</v>
      </c>
      <c r="E1287" s="32">
        <f>IFERROR(_xlfn.XLOOKUP($B1287,Insumo[DESCRIPCION],Insumo[VALOR],,0),"")</f>
        <v>31438.050000000003</v>
      </c>
      <c r="F1287" s="33">
        <v>3</v>
      </c>
      <c r="G1287" s="34">
        <f>IFERROR(IF(F1287&gt;=0,D1287*E1287*(1+F1287/100),ABS(D1287*E1287/F1287)),"")</f>
        <v>32381.191500000004</v>
      </c>
      <c r="H1287" s="43">
        <f>IFERROR(G1287*E1284,"")</f>
        <v>0</v>
      </c>
    </row>
    <row r="1288" spans="1:11">
      <c r="A1288" s="28"/>
      <c r="B1288" s="29" t="s">
        <v>3060</v>
      </c>
      <c r="C1288" s="30" t="str">
        <f>IFERROR(_xlfn.XLOOKUP(B1288,Insumo[DESCRIPCION],Insumo[UND],,0),"")</f>
        <v>Kg</v>
      </c>
      <c r="D1288" s="31">
        <v>0.5</v>
      </c>
      <c r="E1288" s="32">
        <f>IFERROR(_xlfn.XLOOKUP($B1288,Insumo[DESCRIPCION],Insumo[VALOR],,0),"")</f>
        <v>37509.15</v>
      </c>
      <c r="F1288" s="33"/>
      <c r="G1288" s="34">
        <f>IFERROR(IF(F1288&gt;=0,D1288*E1288*(1+F1288/100),ABS(D1288*E1288/F1288)),"")</f>
        <v>18754.575000000001</v>
      </c>
      <c r="H1288" s="43">
        <f>IFERROR(G1288*E1284,"")</f>
        <v>0</v>
      </c>
    </row>
    <row r="1289" spans="1:11">
      <c r="A1289" s="28"/>
      <c r="B1289" s="29"/>
      <c r="C1289" s="30" t="str">
        <f>IFERROR(_xlfn.XLOOKUP(B1289,Insumo[DESCRIPCION],Insumo[UND],,0),"")</f>
        <v/>
      </c>
      <c r="D1289" s="31"/>
      <c r="E1289" s="32" t="str">
        <f>IFERROR(_xlfn.XLOOKUP($B1289,Insumo[DESCRIPCION],Insumo[VALOR],,0),"")</f>
        <v/>
      </c>
      <c r="F1289" s="33"/>
      <c r="G1289" s="34" t="str">
        <f>IFERROR(IF(F1289&gt;=0,D1289*E1289*(1+F1289/100),ABS(D1289*E1289/F1289)),"")</f>
        <v/>
      </c>
      <c r="H1289" s="43" t="str">
        <f>IFERROR(G1289*E1284,"")</f>
        <v/>
      </c>
    </row>
    <row r="1290" spans="1:11">
      <c r="A1290" s="28"/>
      <c r="B1290" s="29"/>
      <c r="C1290" s="30" t="str">
        <f>IFERROR(_xlfn.XLOOKUP(B1290,Insumo[DESCRIPCION],Insumo[UND],,0),"")</f>
        <v/>
      </c>
      <c r="D1290" s="31"/>
      <c r="E1290" s="32" t="str">
        <f>IFERROR(_xlfn.XLOOKUP($B1290,Insumo[DESCRIPCION],Insumo[VALOR],,0),"")</f>
        <v/>
      </c>
      <c r="F1290" s="33"/>
      <c r="G1290" s="34" t="str">
        <f>IFERROR(IF(F1290&gt;=0,D1290*E1290*(1+F1290/100),ABS(D1290*E1290/F1290)),"")</f>
        <v/>
      </c>
      <c r="H1290" s="43" t="str">
        <f>IFERROR(G1290*E1284,"")</f>
        <v/>
      </c>
    </row>
    <row r="1291" spans="1:11">
      <c r="A1291" s="28"/>
      <c r="B1291" s="29"/>
      <c r="C1291" s="30" t="str">
        <f>IFERROR(_xlfn.XLOOKUP(B1291,Insumo[DESCRIPCION],Insumo[UND],,0),"")</f>
        <v/>
      </c>
      <c r="D1291" s="31"/>
      <c r="E1291" s="32" t="str">
        <f>IFERROR(_xlfn.XLOOKUP($B1291,Insumo[DESCRIPCION],Insumo[VALOR],,0),"")</f>
        <v/>
      </c>
      <c r="F1291" s="33"/>
      <c r="G1291" s="34" t="str">
        <f>IFERROR(IF(F1291&gt;=0,D1291*E1291*(1+F1291/100),ABS(D1291*E1291/F1291)),"")</f>
        <v/>
      </c>
      <c r="H1291" s="43" t="str">
        <f>IFERROR(G1291*E1284,"")</f>
        <v/>
      </c>
    </row>
    <row r="1292" spans="1:11">
      <c r="A1292" s="21"/>
      <c r="B1292" s="22" t="s">
        <v>3731</v>
      </c>
      <c r="C1292" s="23"/>
      <c r="D1292" s="24"/>
      <c r="E1292" s="25"/>
      <c r="F1292" s="26"/>
      <c r="G1292" s="27">
        <f>SUM(G1293:G1295)</f>
        <v>785.97687723750016</v>
      </c>
      <c r="H1292" s="44">
        <f>G1292*E1284</f>
        <v>0</v>
      </c>
    </row>
    <row r="1293" spans="1:11">
      <c r="A1293" s="28"/>
      <c r="B1293" s="29" t="s">
        <v>3626</v>
      </c>
      <c r="C1293" s="30" t="str">
        <f>IFERROR(_xlfn.XLOOKUP(B1293,Equipo[DESCRIPCION],Equipo[UND],,0),"")</f>
        <v>%MO</v>
      </c>
      <c r="D1293" s="31">
        <v>0.05</v>
      </c>
      <c r="E1293" s="32">
        <f>IF(C1293="%MO",G1299,IFERROR(_xlfn.XLOOKUP($B1293,Equipo[DESCRIPCION],Equipo[VALOR],,0),""))</f>
        <v>15719.537544750003</v>
      </c>
      <c r="F1293" s="33"/>
      <c r="G1293" s="34">
        <f>IFERROR(IF(F1293&gt;=0,D1293*E1293*(1+F1293/100),ABS(D1293*E1293/F1293)),"")</f>
        <v>785.97687723750016</v>
      </c>
      <c r="H1293" s="43">
        <f>IFERROR(G1293*E1284,"")</f>
        <v>0</v>
      </c>
    </row>
    <row r="1294" spans="1:11">
      <c r="A1294" s="28"/>
      <c r="B1294" s="29"/>
      <c r="C1294" s="30" t="str">
        <f>IFERROR(_xlfn.XLOOKUP(B1294,Equipo[DESCRIPCION],Equipo[UND],,0),"")</f>
        <v/>
      </c>
      <c r="D1294" s="31"/>
      <c r="E1294" s="32" t="str">
        <f>IF(C1294="%MO",G1300,IFERROR(_xlfn.XLOOKUP($B1294,Equipo[DESCRIPCION],Equipo[VALOR],,0),""))</f>
        <v/>
      </c>
      <c r="F1294" s="33"/>
      <c r="G1294" s="34" t="str">
        <f>IFERROR(IF(F1294&gt;=0,D1294*E1294*(1+F1294/100),ABS(D1294*E1294/F1294)),"")</f>
        <v/>
      </c>
      <c r="H1294" s="43" t="str">
        <f>IFERROR(G1294*E1284,"")</f>
        <v/>
      </c>
    </row>
    <row r="1295" spans="1:11">
      <c r="A1295" s="28"/>
      <c r="B1295" s="29"/>
      <c r="C1295" s="30" t="str">
        <f>IFERROR(_xlfn.XLOOKUP(B1295,Equipo[DESCRIPCION],Equipo[UND],,0),"")</f>
        <v/>
      </c>
      <c r="D1295" s="31"/>
      <c r="E1295" s="32" t="str">
        <f>IF(C1295="%MO",G1301,IFERROR(_xlfn.XLOOKUP($B1295,Equipo[DESCRIPCION],Equipo[VALOR],,0),""))</f>
        <v/>
      </c>
      <c r="F1295" s="33"/>
      <c r="G1295" s="34" t="str">
        <f>IFERROR(IF(F1295&gt;=0,D1295*E1295*(1+F1295/100),ABS(D1295*E1295/F1295)),"")</f>
        <v/>
      </c>
      <c r="H1295" s="43" t="str">
        <f>IFERROR(G1295*E1284,"")</f>
        <v/>
      </c>
    </row>
    <row r="1296" spans="1:11">
      <c r="A1296" s="21"/>
      <c r="B1296" s="22" t="s">
        <v>2533</v>
      </c>
      <c r="C1296" s="23"/>
      <c r="D1296" s="24"/>
      <c r="E1296" s="25"/>
      <c r="F1296" s="26"/>
      <c r="G1296" s="27">
        <f>SUM(G1297:G1298)</f>
        <v>0</v>
      </c>
      <c r="H1296" s="44">
        <f>G1296*E1284</f>
        <v>0</v>
      </c>
    </row>
    <row r="1297" spans="1:11">
      <c r="A1297" s="28"/>
      <c r="B1297" s="29"/>
      <c r="C1297" s="30" t="str">
        <f>IFERROR(_xlfn.XLOOKUP(B1297,Transporte[DESCRIPCION],Transporte[UND],,0),"")</f>
        <v/>
      </c>
      <c r="D1297" s="31"/>
      <c r="E1297" s="32" t="str">
        <f>IFERROR(_xlfn.XLOOKUP($B1297,Transporte[DESCRIPCION],Transporte[VALOR],,0),"")</f>
        <v/>
      </c>
      <c r="F1297" s="33"/>
      <c r="G1297" s="34" t="str">
        <f>IFERROR(IF(F1297&gt;=0,D1297*E1297*(1+F1297/100),ABS(D1297*E1297/F1297)),"")</f>
        <v/>
      </c>
      <c r="H1297" s="43" t="str">
        <f>IFERROR(G1297*E1284,"")</f>
        <v/>
      </c>
    </row>
    <row r="1298" spans="1:11">
      <c r="A1298" s="28"/>
      <c r="B1298" s="29"/>
      <c r="C1298" s="30" t="str">
        <f>IFERROR(_xlfn.XLOOKUP(B1298,Transporte[DESCRIPCION],Transporte[UND],,0),"")</f>
        <v/>
      </c>
      <c r="D1298" s="31"/>
      <c r="E1298" s="32" t="str">
        <f>IFERROR(_xlfn.XLOOKUP($B1298,Transporte[DESCRIPCION],Transporte[VALOR],,0),"")</f>
        <v/>
      </c>
      <c r="F1298" s="33"/>
      <c r="G1298" s="34" t="str">
        <f>IFERROR(IF(F1298&gt;=0,D1298*E1298*(1+F1298/100),ABS(D1298*E1298/F1298)),"")</f>
        <v/>
      </c>
      <c r="H1298" s="43" t="str">
        <f>IFERROR(G1298*E1284,"")</f>
        <v/>
      </c>
    </row>
    <row r="1299" spans="1:11">
      <c r="A1299" s="21"/>
      <c r="B1299" s="22" t="s">
        <v>3732</v>
      </c>
      <c r="C1299" s="23"/>
      <c r="D1299" s="24"/>
      <c r="E1299" s="25"/>
      <c r="F1299" s="26"/>
      <c r="G1299" s="27">
        <f>SUM(G1300:G1302)</f>
        <v>15719.537544750003</v>
      </c>
      <c r="H1299" s="44">
        <f>G1299*E1284</f>
        <v>0</v>
      </c>
    </row>
    <row r="1300" spans="1:11">
      <c r="A1300" s="28"/>
      <c r="B1300" s="29" t="s">
        <v>3710</v>
      </c>
      <c r="C1300" s="30" t="str">
        <f>IFERROR(_xlfn.XLOOKUP(B1300,MObra[DESCRIPCION],MObra[UN],,0),"")</f>
        <v>día</v>
      </c>
      <c r="D1300" s="31">
        <v>1</v>
      </c>
      <c r="E1300" s="32">
        <f>IFERROR(_xlfn.XLOOKUP($B1300,MObra[DESCRIPCION],MObra[VALOR UNIT],,0),"")</f>
        <v>314390.75089500006</v>
      </c>
      <c r="F1300" s="33">
        <v>-20</v>
      </c>
      <c r="G1300" s="34">
        <f>IFERROR(IF(F1300&gt;=0,D1300*E1300*(1+F1300/100),ABS(D1300*E1300/F1300)),"")</f>
        <v>15719.537544750003</v>
      </c>
      <c r="H1300" s="43">
        <f>IFERROR(G1300*E1284,"")</f>
        <v>0</v>
      </c>
    </row>
    <row r="1301" spans="1:11">
      <c r="A1301" s="28"/>
      <c r="B1301" s="29"/>
      <c r="C1301" s="30" t="str">
        <f>IFERROR(_xlfn.XLOOKUP(B1301,MObra[DESCRIPCION],MObra[UN],,0),"")</f>
        <v/>
      </c>
      <c r="D1301" s="31"/>
      <c r="E1301" s="32" t="str">
        <f>IFERROR(_xlfn.XLOOKUP($B1301,MObra[DESCRIPCION],MObra[VALOR UNIT],,0),"")</f>
        <v/>
      </c>
      <c r="F1301" s="33"/>
      <c r="G1301" s="34" t="str">
        <f>IFERROR(IF(F1301&gt;=0,D1301*E1301*(1+F1301/100),ABS(D1301*E1301/F1301)),"")</f>
        <v/>
      </c>
      <c r="H1301" s="43" t="str">
        <f>IFERROR(G1301*E1284,"")</f>
        <v/>
      </c>
    </row>
    <row r="1302" spans="1:11">
      <c r="A1302" s="35"/>
      <c r="B1302" s="36"/>
      <c r="C1302" s="37" t="str">
        <f>IFERROR(_xlfn.XLOOKUP(B1302,MObra[DESCRIPCION],MObra[UN],,0),"")</f>
        <v/>
      </c>
      <c r="D1302" s="38"/>
      <c r="E1302" s="39" t="str">
        <f>IFERROR(_xlfn.XLOOKUP($B1302,MObra[DESCRIPCION],MObra[VALOR UNIT],,0),"")</f>
        <v/>
      </c>
      <c r="F1302" s="40"/>
      <c r="G1302" s="41" t="str">
        <f>IFERROR(IF(F1302&gt;=0,D1302*E1302*(1+F1302/100),ABS(D1302*E1302/F1302)),"")</f>
        <v/>
      </c>
      <c r="H1302" s="42" t="str">
        <f>IFERROR(G1302*E1284,"")</f>
        <v/>
      </c>
    </row>
    <row r="1303" spans="1:11" ht="12.75" customHeight="1"/>
    <row r="1304" spans="1:11">
      <c r="A1304" s="6" t="s">
        <v>2168</v>
      </c>
      <c r="B1304" s="7" t="str">
        <f>VLOOKUP($A1304,Presupuesto!$A:$D,2,FALSE())</f>
        <v>Tubería PVC Novafort 160 mm</v>
      </c>
      <c r="C1304" s="8" t="str">
        <f>VLOOKUP($A1304,Presupuesto!$A:$D,3,FALSE())</f>
        <v>M</v>
      </c>
      <c r="D1304" s="9"/>
      <c r="E1304" s="10">
        <f>VLOOKUP($A1304,Presupuesto!$A:$D,4,FALSE())</f>
        <v>0</v>
      </c>
      <c r="F1304" s="11" t="s">
        <v>2589</v>
      </c>
      <c r="G1304" s="12">
        <f>SUM(G1306:G1322)/2</f>
        <v>96801.765421987511</v>
      </c>
      <c r="H1304" s="13">
        <f>ROUND(SUM(H1306:H1322),0)/2</f>
        <v>0</v>
      </c>
      <c r="I1304" s="10">
        <f>VLOOKUP(A1304,Presupuesto!$A:$F,6,0)</f>
        <v>0</v>
      </c>
      <c r="J1304" s="10">
        <f>+H1304-I1304</f>
        <v>0</v>
      </c>
      <c r="K1304" s="46">
        <f>+H1304-G1304*E1304</f>
        <v>0</v>
      </c>
    </row>
    <row r="1305" spans="1:11">
      <c r="A1305" s="14"/>
      <c r="B1305" s="15" t="s">
        <v>2586</v>
      </c>
      <c r="C1305" s="15" t="s">
        <v>5</v>
      </c>
      <c r="D1305" s="16" t="s">
        <v>6</v>
      </c>
      <c r="E1305" s="17" t="s">
        <v>7</v>
      </c>
      <c r="F1305" s="18" t="s">
        <v>3728</v>
      </c>
      <c r="G1305" s="19" t="s">
        <v>3729</v>
      </c>
      <c r="H1305" s="20" t="s">
        <v>3797</v>
      </c>
    </row>
    <row r="1306" spans="1:11">
      <c r="A1306" s="21"/>
      <c r="B1306" s="22" t="s">
        <v>3730</v>
      </c>
      <c r="C1306" s="23"/>
      <c r="D1306" s="24"/>
      <c r="E1306" s="25"/>
      <c r="F1306" s="26"/>
      <c r="G1306" s="27">
        <f>SUM(G1307:G1311)</f>
        <v>80296.251000000004</v>
      </c>
      <c r="H1306" s="27">
        <f>IFERROR(G1306*E1304,"")</f>
        <v>0</v>
      </c>
    </row>
    <row r="1307" spans="1:11">
      <c r="A1307" s="28"/>
      <c r="B1307" s="29" t="s">
        <v>3478</v>
      </c>
      <c r="C1307" s="30" t="str">
        <f>IFERROR(_xlfn.XLOOKUP(B1307,Insumo[DESCRIPCION],Insumo[UND],,0),"")</f>
        <v>M</v>
      </c>
      <c r="D1307" s="31">
        <v>1</v>
      </c>
      <c r="E1307" s="32">
        <f>IFERROR(_xlfn.XLOOKUP($B1307,Insumo[DESCRIPCION],Insumo[VALOR],,0),"")</f>
        <v>59749.200000000004</v>
      </c>
      <c r="F1307" s="33">
        <v>3</v>
      </c>
      <c r="G1307" s="34">
        <f>IFERROR(IF(F1307&gt;=0,D1307*E1307*(1+F1307/100),ABS(D1307*E1307/F1307)),"")</f>
        <v>61541.676000000007</v>
      </c>
      <c r="H1307" s="43">
        <f>IFERROR(G1307*E1304,"")</f>
        <v>0</v>
      </c>
    </row>
    <row r="1308" spans="1:11">
      <c r="A1308" s="28"/>
      <c r="B1308" s="29" t="s">
        <v>3060</v>
      </c>
      <c r="C1308" s="30" t="str">
        <f>IFERROR(_xlfn.XLOOKUP(B1308,Insumo[DESCRIPCION],Insumo[UND],,0),"")</f>
        <v>Kg</v>
      </c>
      <c r="D1308" s="31">
        <v>0.5</v>
      </c>
      <c r="E1308" s="32">
        <f>IFERROR(_xlfn.XLOOKUP($B1308,Insumo[DESCRIPCION],Insumo[VALOR],,0),"")</f>
        <v>37509.15</v>
      </c>
      <c r="F1308" s="33"/>
      <c r="G1308" s="34">
        <f>IFERROR(IF(F1308&gt;=0,D1308*E1308*(1+F1308/100),ABS(D1308*E1308/F1308)),"")</f>
        <v>18754.575000000001</v>
      </c>
      <c r="H1308" s="43">
        <f>IFERROR(G1308*E1304,"")</f>
        <v>0</v>
      </c>
    </row>
    <row r="1309" spans="1:11">
      <c r="A1309" s="28"/>
      <c r="B1309" s="29"/>
      <c r="C1309" s="30" t="str">
        <f>IFERROR(_xlfn.XLOOKUP(B1309,Insumo[DESCRIPCION],Insumo[UND],,0),"")</f>
        <v/>
      </c>
      <c r="D1309" s="31"/>
      <c r="E1309" s="32" t="str">
        <f>IFERROR(_xlfn.XLOOKUP($B1309,Insumo[DESCRIPCION],Insumo[VALOR],,0),"")</f>
        <v/>
      </c>
      <c r="F1309" s="33"/>
      <c r="G1309" s="34" t="str">
        <f>IFERROR(IF(F1309&gt;=0,D1309*E1309*(1+F1309/100),ABS(D1309*E1309/F1309)),"")</f>
        <v/>
      </c>
      <c r="H1309" s="43" t="str">
        <f>IFERROR(G1309*E1304,"")</f>
        <v/>
      </c>
    </row>
    <row r="1310" spans="1:11">
      <c r="A1310" s="28"/>
      <c r="B1310" s="29"/>
      <c r="C1310" s="30" t="str">
        <f>IFERROR(_xlfn.XLOOKUP(B1310,Insumo[DESCRIPCION],Insumo[UND],,0),"")</f>
        <v/>
      </c>
      <c r="D1310" s="31"/>
      <c r="E1310" s="32" t="str">
        <f>IFERROR(_xlfn.XLOOKUP($B1310,Insumo[DESCRIPCION],Insumo[VALOR],,0),"")</f>
        <v/>
      </c>
      <c r="F1310" s="33"/>
      <c r="G1310" s="34" t="str">
        <f>IFERROR(IF(F1310&gt;=0,D1310*E1310*(1+F1310/100),ABS(D1310*E1310/F1310)),"")</f>
        <v/>
      </c>
      <c r="H1310" s="43" t="str">
        <f>IFERROR(G1310*E1304,"")</f>
        <v/>
      </c>
    </row>
    <row r="1311" spans="1:11">
      <c r="A1311" s="28"/>
      <c r="B1311" s="29"/>
      <c r="C1311" s="30" t="str">
        <f>IFERROR(_xlfn.XLOOKUP(B1311,Insumo[DESCRIPCION],Insumo[UND],,0),"")</f>
        <v/>
      </c>
      <c r="D1311" s="31"/>
      <c r="E1311" s="32" t="str">
        <f>IFERROR(_xlfn.XLOOKUP($B1311,Insumo[DESCRIPCION],Insumo[VALOR],,0),"")</f>
        <v/>
      </c>
      <c r="F1311" s="33"/>
      <c r="G1311" s="34" t="str">
        <f>IFERROR(IF(F1311&gt;=0,D1311*E1311*(1+F1311/100),ABS(D1311*E1311/F1311)),"")</f>
        <v/>
      </c>
      <c r="H1311" s="43" t="str">
        <f>IFERROR(G1311*E1304,"")</f>
        <v/>
      </c>
    </row>
    <row r="1312" spans="1:11">
      <c r="A1312" s="21"/>
      <c r="B1312" s="22" t="s">
        <v>3731</v>
      </c>
      <c r="C1312" s="23"/>
      <c r="D1312" s="24"/>
      <c r="E1312" s="25"/>
      <c r="F1312" s="26"/>
      <c r="G1312" s="27">
        <f>SUM(G1313:G1315)</f>
        <v>785.97687723750016</v>
      </c>
      <c r="H1312" s="44">
        <f>G1312*E1304</f>
        <v>0</v>
      </c>
    </row>
    <row r="1313" spans="1:11">
      <c r="A1313" s="28"/>
      <c r="B1313" s="29" t="s">
        <v>3626</v>
      </c>
      <c r="C1313" s="30" t="str">
        <f>IFERROR(_xlfn.XLOOKUP(B1313,Equipo[DESCRIPCION],Equipo[UND],,0),"")</f>
        <v>%MO</v>
      </c>
      <c r="D1313" s="31">
        <v>0.05</v>
      </c>
      <c r="E1313" s="32">
        <f>IF(C1313="%MO",G1319,IFERROR(_xlfn.XLOOKUP($B1313,Equipo[DESCRIPCION],Equipo[VALOR],,0),""))</f>
        <v>15719.537544750003</v>
      </c>
      <c r="F1313" s="33"/>
      <c r="G1313" s="34">
        <f>IFERROR(IF(F1313&gt;=0,D1313*E1313*(1+F1313/100),ABS(D1313*E1313/F1313)),"")</f>
        <v>785.97687723750016</v>
      </c>
      <c r="H1313" s="43">
        <f>IFERROR(G1313*E1304,"")</f>
        <v>0</v>
      </c>
    </row>
    <row r="1314" spans="1:11">
      <c r="A1314" s="28"/>
      <c r="B1314" s="29"/>
      <c r="C1314" s="30" t="str">
        <f>IFERROR(_xlfn.XLOOKUP(B1314,Equipo[DESCRIPCION],Equipo[UND],,0),"")</f>
        <v/>
      </c>
      <c r="D1314" s="31"/>
      <c r="E1314" s="32" t="str">
        <f>IF(C1314="%MO",G1320,IFERROR(_xlfn.XLOOKUP($B1314,Equipo[DESCRIPCION],Equipo[VALOR],,0),""))</f>
        <v/>
      </c>
      <c r="F1314" s="33"/>
      <c r="G1314" s="34" t="str">
        <f>IFERROR(IF(F1314&gt;=0,D1314*E1314*(1+F1314/100),ABS(D1314*E1314/F1314)),"")</f>
        <v/>
      </c>
      <c r="H1314" s="43" t="str">
        <f>IFERROR(G1314*E1304,"")</f>
        <v/>
      </c>
    </row>
    <row r="1315" spans="1:11">
      <c r="A1315" s="28"/>
      <c r="B1315" s="29"/>
      <c r="C1315" s="30" t="str">
        <f>IFERROR(_xlfn.XLOOKUP(B1315,Equipo[DESCRIPCION],Equipo[UND],,0),"")</f>
        <v/>
      </c>
      <c r="D1315" s="31"/>
      <c r="E1315" s="32" t="str">
        <f>IF(C1315="%MO",G1321,IFERROR(_xlfn.XLOOKUP($B1315,Equipo[DESCRIPCION],Equipo[VALOR],,0),""))</f>
        <v/>
      </c>
      <c r="F1315" s="33"/>
      <c r="G1315" s="34" t="str">
        <f>IFERROR(IF(F1315&gt;=0,D1315*E1315*(1+F1315/100),ABS(D1315*E1315/F1315)),"")</f>
        <v/>
      </c>
      <c r="H1315" s="43" t="str">
        <f>IFERROR(G1315*E1304,"")</f>
        <v/>
      </c>
    </row>
    <row r="1316" spans="1:11">
      <c r="A1316" s="21"/>
      <c r="B1316" s="22" t="s">
        <v>2533</v>
      </c>
      <c r="C1316" s="23"/>
      <c r="D1316" s="24"/>
      <c r="E1316" s="25"/>
      <c r="F1316" s="26"/>
      <c r="G1316" s="27">
        <f>SUM(G1317:G1318)</f>
        <v>0</v>
      </c>
      <c r="H1316" s="44">
        <f>G1316*E1304</f>
        <v>0</v>
      </c>
    </row>
    <row r="1317" spans="1:11">
      <c r="A1317" s="28"/>
      <c r="B1317" s="29"/>
      <c r="C1317" s="30" t="str">
        <f>IFERROR(_xlfn.XLOOKUP(B1317,Transporte[DESCRIPCION],Transporte[UND],,0),"")</f>
        <v/>
      </c>
      <c r="D1317" s="31"/>
      <c r="E1317" s="32" t="str">
        <f>IFERROR(_xlfn.XLOOKUP($B1317,Transporte[DESCRIPCION],Transporte[VALOR],,0),"")</f>
        <v/>
      </c>
      <c r="F1317" s="33"/>
      <c r="G1317" s="34" t="str">
        <f>IFERROR(IF(F1317&gt;=0,D1317*E1317*(1+F1317/100),ABS(D1317*E1317/F1317)),"")</f>
        <v/>
      </c>
      <c r="H1317" s="43" t="str">
        <f>IFERROR(G1317*E1304,"")</f>
        <v/>
      </c>
    </row>
    <row r="1318" spans="1:11">
      <c r="A1318" s="28"/>
      <c r="B1318" s="29"/>
      <c r="C1318" s="30" t="str">
        <f>IFERROR(_xlfn.XLOOKUP(B1318,Transporte[DESCRIPCION],Transporte[UND],,0),"")</f>
        <v/>
      </c>
      <c r="D1318" s="31"/>
      <c r="E1318" s="32" t="str">
        <f>IFERROR(_xlfn.XLOOKUP($B1318,Transporte[DESCRIPCION],Transporte[VALOR],,0),"")</f>
        <v/>
      </c>
      <c r="F1318" s="33"/>
      <c r="G1318" s="34" t="str">
        <f>IFERROR(IF(F1318&gt;=0,D1318*E1318*(1+F1318/100),ABS(D1318*E1318/F1318)),"")</f>
        <v/>
      </c>
      <c r="H1318" s="43" t="str">
        <f>IFERROR(G1318*E1304,"")</f>
        <v/>
      </c>
    </row>
    <row r="1319" spans="1:11">
      <c r="A1319" s="21"/>
      <c r="B1319" s="22" t="s">
        <v>3732</v>
      </c>
      <c r="C1319" s="23"/>
      <c r="D1319" s="24"/>
      <c r="E1319" s="25"/>
      <c r="F1319" s="26"/>
      <c r="G1319" s="27">
        <f>SUM(G1320:G1322)</f>
        <v>15719.537544750003</v>
      </c>
      <c r="H1319" s="44">
        <f>G1319*E1304</f>
        <v>0</v>
      </c>
    </row>
    <row r="1320" spans="1:11">
      <c r="A1320" s="28"/>
      <c r="B1320" s="29" t="s">
        <v>3710</v>
      </c>
      <c r="C1320" s="30" t="str">
        <f>IFERROR(_xlfn.XLOOKUP(B1320,MObra[DESCRIPCION],MObra[UN],,0),"")</f>
        <v>día</v>
      </c>
      <c r="D1320" s="31">
        <v>1</v>
      </c>
      <c r="E1320" s="32">
        <f>IFERROR(_xlfn.XLOOKUP($B1320,MObra[DESCRIPCION],MObra[VALOR UNIT],,0),"")</f>
        <v>314390.75089500006</v>
      </c>
      <c r="F1320" s="33">
        <v>-20</v>
      </c>
      <c r="G1320" s="34">
        <f>IFERROR(IF(F1320&gt;=0,D1320*E1320*(1+F1320/100),ABS(D1320*E1320/F1320)),"")</f>
        <v>15719.537544750003</v>
      </c>
      <c r="H1320" s="43">
        <f>IFERROR(G1320*E1304,"")</f>
        <v>0</v>
      </c>
    </row>
    <row r="1321" spans="1:11">
      <c r="A1321" s="28"/>
      <c r="B1321" s="29"/>
      <c r="C1321" s="30" t="str">
        <f>IFERROR(_xlfn.XLOOKUP(B1321,MObra[DESCRIPCION],MObra[UN],,0),"")</f>
        <v/>
      </c>
      <c r="D1321" s="31"/>
      <c r="E1321" s="32" t="str">
        <f>IFERROR(_xlfn.XLOOKUP($B1321,MObra[DESCRIPCION],MObra[VALOR UNIT],,0),"")</f>
        <v/>
      </c>
      <c r="F1321" s="33"/>
      <c r="G1321" s="34" t="str">
        <f>IFERROR(IF(F1321&gt;=0,D1321*E1321*(1+F1321/100),ABS(D1321*E1321/F1321)),"")</f>
        <v/>
      </c>
      <c r="H1321" s="43" t="str">
        <f>IFERROR(G1321*E1304,"")</f>
        <v/>
      </c>
    </row>
    <row r="1322" spans="1:11" ht="13.15" thickBot="1">
      <c r="A1322" s="35"/>
      <c r="B1322" s="36"/>
      <c r="C1322" s="37" t="str">
        <f>IFERROR(_xlfn.XLOOKUP(B1322,MObra[DESCRIPCION],MObra[UN],,0),"")</f>
        <v/>
      </c>
      <c r="D1322" s="38"/>
      <c r="E1322" s="39" t="str">
        <f>IFERROR(_xlfn.XLOOKUP($B1322,MObra[DESCRIPCION],MObra[VALOR UNIT],,0),"")</f>
        <v/>
      </c>
      <c r="F1322" s="40"/>
      <c r="G1322" s="41" t="str">
        <f>IFERROR(IF(F1322&gt;=0,D1322*E1322*(1+F1322/100),ABS(D1322*E1322/F1322)),"")</f>
        <v/>
      </c>
      <c r="H1322" s="42" t="str">
        <f>IFERROR(G1322*E1304,"")</f>
        <v/>
      </c>
    </row>
    <row r="1323" spans="1:11" ht="12.75" customHeight="1" thickTop="1" thickBot="1"/>
    <row r="1324" spans="1:11" ht="13.5" thickTop="1" thickBot="1">
      <c r="A1324" s="6" t="s">
        <v>2170</v>
      </c>
      <c r="B1324" s="7" t="str">
        <f>VLOOKUP($A1324,Presupuesto!$A:$D,2,FALSE())</f>
        <v>Tubería PVC Novafort 200 mm</v>
      </c>
      <c r="C1324" s="8" t="str">
        <f>VLOOKUP($A1324,Presupuesto!$A:$D,3,FALSE())</f>
        <v>M</v>
      </c>
      <c r="D1324" s="9"/>
      <c r="E1324" s="10">
        <f>VLOOKUP($A1324,Presupuesto!$A:$D,4,FALSE())</f>
        <v>0</v>
      </c>
      <c r="F1324" s="11" t="s">
        <v>2589</v>
      </c>
      <c r="G1324" s="12">
        <f>SUM(G1326:G1342)/2</f>
        <v>123233.6254219875</v>
      </c>
      <c r="H1324" s="13">
        <f>ROUND(SUM(H1326:H1342),0)/2</f>
        <v>0</v>
      </c>
      <c r="I1324" s="10">
        <f>VLOOKUP(A1324,Presupuesto!$A:$F,6,0)</f>
        <v>0</v>
      </c>
      <c r="J1324" s="10">
        <f>+H1324-I1324</f>
        <v>0</v>
      </c>
      <c r="K1324" s="46">
        <f>+H1324-G1324*E1324</f>
        <v>0</v>
      </c>
    </row>
    <row r="1325" spans="1:11">
      <c r="A1325" s="14"/>
      <c r="B1325" s="15" t="s">
        <v>2586</v>
      </c>
      <c r="C1325" s="15" t="s">
        <v>5</v>
      </c>
      <c r="D1325" s="16" t="s">
        <v>6</v>
      </c>
      <c r="E1325" s="17" t="s">
        <v>7</v>
      </c>
      <c r="F1325" s="18" t="s">
        <v>3728</v>
      </c>
      <c r="G1325" s="19" t="s">
        <v>3729</v>
      </c>
      <c r="H1325" s="20" t="s">
        <v>3797</v>
      </c>
    </row>
    <row r="1326" spans="1:11">
      <c r="A1326" s="21"/>
      <c r="B1326" s="22" t="s">
        <v>3730</v>
      </c>
      <c r="C1326" s="23"/>
      <c r="D1326" s="24"/>
      <c r="E1326" s="25"/>
      <c r="F1326" s="26"/>
      <c r="G1326" s="27">
        <f>SUM(G1327:G1331)</f>
        <v>106728.11099999999</v>
      </c>
      <c r="H1326" s="27">
        <f>IFERROR(G1326*E1324,"")</f>
        <v>0</v>
      </c>
    </row>
    <row r="1327" spans="1:11">
      <c r="A1327" s="28"/>
      <c r="B1327" s="29" t="s">
        <v>3479</v>
      </c>
      <c r="C1327" s="30" t="str">
        <f>IFERROR(_xlfn.XLOOKUP(B1327,Insumo[DESCRIPCION],Insumo[UND],,0),"")</f>
        <v>M</v>
      </c>
      <c r="D1327" s="31">
        <v>1</v>
      </c>
      <c r="E1327" s="32">
        <f>IFERROR(_xlfn.XLOOKUP($B1327,Insumo[DESCRIPCION],Insumo[VALOR],,0),"")</f>
        <v>85411.199999999997</v>
      </c>
      <c r="F1327" s="33">
        <v>3</v>
      </c>
      <c r="G1327" s="34">
        <f>IFERROR(IF(F1327&gt;=0,D1327*E1327*(1+F1327/100),ABS(D1327*E1327/F1327)),"")</f>
        <v>87973.535999999993</v>
      </c>
      <c r="H1327" s="43">
        <f>IFERROR(G1327*E1324,"")</f>
        <v>0</v>
      </c>
    </row>
    <row r="1328" spans="1:11">
      <c r="A1328" s="28"/>
      <c r="B1328" s="29" t="s">
        <v>3060</v>
      </c>
      <c r="C1328" s="30" t="str">
        <f>IFERROR(_xlfn.XLOOKUP(B1328,Insumo[DESCRIPCION],Insumo[UND],,0),"")</f>
        <v>Kg</v>
      </c>
      <c r="D1328" s="31">
        <v>0.5</v>
      </c>
      <c r="E1328" s="32">
        <f>IFERROR(_xlfn.XLOOKUP($B1328,Insumo[DESCRIPCION],Insumo[VALOR],,0),"")</f>
        <v>37509.15</v>
      </c>
      <c r="F1328" s="33"/>
      <c r="G1328" s="34">
        <f>IFERROR(IF(F1328&gt;=0,D1328*E1328*(1+F1328/100),ABS(D1328*E1328/F1328)),"")</f>
        <v>18754.575000000001</v>
      </c>
      <c r="H1328" s="43">
        <f>IFERROR(G1328*E1324,"")</f>
        <v>0</v>
      </c>
    </row>
    <row r="1329" spans="1:11">
      <c r="A1329" s="28"/>
      <c r="B1329" s="29"/>
      <c r="C1329" s="30" t="str">
        <f>IFERROR(_xlfn.XLOOKUP(B1329,Insumo[DESCRIPCION],Insumo[UND],,0),"")</f>
        <v/>
      </c>
      <c r="D1329" s="31"/>
      <c r="E1329" s="32" t="str">
        <f>IFERROR(_xlfn.XLOOKUP($B1329,Insumo[DESCRIPCION],Insumo[VALOR],,0),"")</f>
        <v/>
      </c>
      <c r="F1329" s="33"/>
      <c r="G1329" s="34" t="str">
        <f>IFERROR(IF(F1329&gt;=0,D1329*E1329*(1+F1329/100),ABS(D1329*E1329/F1329)),"")</f>
        <v/>
      </c>
      <c r="H1329" s="43" t="str">
        <f>IFERROR(G1329*E1324,"")</f>
        <v/>
      </c>
    </row>
    <row r="1330" spans="1:11">
      <c r="A1330" s="28"/>
      <c r="B1330" s="29"/>
      <c r="C1330" s="30" t="str">
        <f>IFERROR(_xlfn.XLOOKUP(B1330,Insumo[DESCRIPCION],Insumo[UND],,0),"")</f>
        <v/>
      </c>
      <c r="D1330" s="31"/>
      <c r="E1330" s="32" t="str">
        <f>IFERROR(_xlfn.XLOOKUP($B1330,Insumo[DESCRIPCION],Insumo[VALOR],,0),"")</f>
        <v/>
      </c>
      <c r="F1330" s="33"/>
      <c r="G1330" s="34" t="str">
        <f>IFERROR(IF(F1330&gt;=0,D1330*E1330*(1+F1330/100),ABS(D1330*E1330/F1330)),"")</f>
        <v/>
      </c>
      <c r="H1330" s="43" t="str">
        <f>IFERROR(G1330*E1324,"")</f>
        <v/>
      </c>
    </row>
    <row r="1331" spans="1:11">
      <c r="A1331" s="28"/>
      <c r="B1331" s="29"/>
      <c r="C1331" s="30" t="str">
        <f>IFERROR(_xlfn.XLOOKUP(B1331,Insumo[DESCRIPCION],Insumo[UND],,0),"")</f>
        <v/>
      </c>
      <c r="D1331" s="31"/>
      <c r="E1331" s="32" t="str">
        <f>IFERROR(_xlfn.XLOOKUP($B1331,Insumo[DESCRIPCION],Insumo[VALOR],,0),"")</f>
        <v/>
      </c>
      <c r="F1331" s="33"/>
      <c r="G1331" s="34" t="str">
        <f>IFERROR(IF(F1331&gt;=0,D1331*E1331*(1+F1331/100),ABS(D1331*E1331/F1331)),"")</f>
        <v/>
      </c>
      <c r="H1331" s="43" t="str">
        <f>IFERROR(G1331*E1324,"")</f>
        <v/>
      </c>
    </row>
    <row r="1332" spans="1:11">
      <c r="A1332" s="21"/>
      <c r="B1332" s="22" t="s">
        <v>3731</v>
      </c>
      <c r="C1332" s="23"/>
      <c r="D1332" s="24"/>
      <c r="E1332" s="25"/>
      <c r="F1332" s="26"/>
      <c r="G1332" s="27">
        <f>SUM(G1333:G1335)</f>
        <v>785.97687723750016</v>
      </c>
      <c r="H1332" s="44">
        <f>G1332*E1324</f>
        <v>0</v>
      </c>
    </row>
    <row r="1333" spans="1:11">
      <c r="A1333" s="28"/>
      <c r="B1333" s="29" t="s">
        <v>3626</v>
      </c>
      <c r="C1333" s="30" t="str">
        <f>IFERROR(_xlfn.XLOOKUP(B1333,Equipo[DESCRIPCION],Equipo[UND],,0),"")</f>
        <v>%MO</v>
      </c>
      <c r="D1333" s="31">
        <v>0.05</v>
      </c>
      <c r="E1333" s="32">
        <f>IF(C1333="%MO",G1339,IFERROR(_xlfn.XLOOKUP($B1333,Equipo[DESCRIPCION],Equipo[VALOR],,0),""))</f>
        <v>15719.537544750003</v>
      </c>
      <c r="F1333" s="33"/>
      <c r="G1333" s="34">
        <f>IFERROR(IF(F1333&gt;=0,D1333*E1333*(1+F1333/100),ABS(D1333*E1333/F1333)),"")</f>
        <v>785.97687723750016</v>
      </c>
      <c r="H1333" s="43">
        <f>IFERROR(G1333*E1324,"")</f>
        <v>0</v>
      </c>
    </row>
    <row r="1334" spans="1:11">
      <c r="A1334" s="28"/>
      <c r="B1334" s="29"/>
      <c r="C1334" s="30" t="str">
        <f>IFERROR(_xlfn.XLOOKUP(B1334,Equipo[DESCRIPCION],Equipo[UND],,0),"")</f>
        <v/>
      </c>
      <c r="D1334" s="31"/>
      <c r="E1334" s="32" t="str">
        <f>IF(C1334="%MO",G1340,IFERROR(_xlfn.XLOOKUP($B1334,Equipo[DESCRIPCION],Equipo[VALOR],,0),""))</f>
        <v/>
      </c>
      <c r="F1334" s="33"/>
      <c r="G1334" s="34" t="str">
        <f>IFERROR(IF(F1334&gt;=0,D1334*E1334*(1+F1334/100),ABS(D1334*E1334/F1334)),"")</f>
        <v/>
      </c>
      <c r="H1334" s="43" t="str">
        <f>IFERROR(G1334*E1324,"")</f>
        <v/>
      </c>
    </row>
    <row r="1335" spans="1:11">
      <c r="A1335" s="28"/>
      <c r="B1335" s="29"/>
      <c r="C1335" s="30" t="str">
        <f>IFERROR(_xlfn.XLOOKUP(B1335,Equipo[DESCRIPCION],Equipo[UND],,0),"")</f>
        <v/>
      </c>
      <c r="D1335" s="31"/>
      <c r="E1335" s="32" t="str">
        <f>IF(C1335="%MO",G1341,IFERROR(_xlfn.XLOOKUP($B1335,Equipo[DESCRIPCION],Equipo[VALOR],,0),""))</f>
        <v/>
      </c>
      <c r="F1335" s="33"/>
      <c r="G1335" s="34" t="str">
        <f>IFERROR(IF(F1335&gt;=0,D1335*E1335*(1+F1335/100),ABS(D1335*E1335/F1335)),"")</f>
        <v/>
      </c>
      <c r="H1335" s="43" t="str">
        <f>IFERROR(G1335*E1324,"")</f>
        <v/>
      </c>
    </row>
    <row r="1336" spans="1:11">
      <c r="A1336" s="21"/>
      <c r="B1336" s="22" t="s">
        <v>2533</v>
      </c>
      <c r="C1336" s="23"/>
      <c r="D1336" s="24"/>
      <c r="E1336" s="25"/>
      <c r="F1336" s="26"/>
      <c r="G1336" s="27">
        <f>SUM(G1337:G1338)</f>
        <v>0</v>
      </c>
      <c r="H1336" s="44">
        <f>G1336*E1324</f>
        <v>0</v>
      </c>
    </row>
    <row r="1337" spans="1:11">
      <c r="A1337" s="28"/>
      <c r="B1337" s="29"/>
      <c r="C1337" s="30" t="str">
        <f>IFERROR(_xlfn.XLOOKUP(B1337,Transporte[DESCRIPCION],Transporte[UND],,0),"")</f>
        <v/>
      </c>
      <c r="D1337" s="31"/>
      <c r="E1337" s="32" t="str">
        <f>IFERROR(_xlfn.XLOOKUP($B1337,Transporte[DESCRIPCION],Transporte[VALOR],,0),"")</f>
        <v/>
      </c>
      <c r="F1337" s="33"/>
      <c r="G1337" s="34" t="str">
        <f>IFERROR(IF(F1337&gt;=0,D1337*E1337*(1+F1337/100),ABS(D1337*E1337/F1337)),"")</f>
        <v/>
      </c>
      <c r="H1337" s="43" t="str">
        <f>IFERROR(G1337*E1324,"")</f>
        <v/>
      </c>
    </row>
    <row r="1338" spans="1:11">
      <c r="A1338" s="28"/>
      <c r="B1338" s="29"/>
      <c r="C1338" s="30" t="str">
        <f>IFERROR(_xlfn.XLOOKUP(B1338,Transporte[DESCRIPCION],Transporte[UND],,0),"")</f>
        <v/>
      </c>
      <c r="D1338" s="31"/>
      <c r="E1338" s="32" t="str">
        <f>IFERROR(_xlfn.XLOOKUP($B1338,Transporte[DESCRIPCION],Transporte[VALOR],,0),"")</f>
        <v/>
      </c>
      <c r="F1338" s="33"/>
      <c r="G1338" s="34" t="str">
        <f>IFERROR(IF(F1338&gt;=0,D1338*E1338*(1+F1338/100),ABS(D1338*E1338/F1338)),"")</f>
        <v/>
      </c>
      <c r="H1338" s="43" t="str">
        <f>IFERROR(G1338*E1324,"")</f>
        <v/>
      </c>
    </row>
    <row r="1339" spans="1:11">
      <c r="A1339" s="21"/>
      <c r="B1339" s="22" t="s">
        <v>3732</v>
      </c>
      <c r="C1339" s="23"/>
      <c r="D1339" s="24"/>
      <c r="E1339" s="25"/>
      <c r="F1339" s="26"/>
      <c r="G1339" s="27">
        <f>SUM(G1340:G1342)</f>
        <v>15719.537544750003</v>
      </c>
      <c r="H1339" s="44">
        <f>G1339*E1324</f>
        <v>0</v>
      </c>
    </row>
    <row r="1340" spans="1:11">
      <c r="A1340" s="28"/>
      <c r="B1340" s="29" t="s">
        <v>3710</v>
      </c>
      <c r="C1340" s="30" t="str">
        <f>IFERROR(_xlfn.XLOOKUP(B1340,MObra[DESCRIPCION],MObra[UN],,0),"")</f>
        <v>día</v>
      </c>
      <c r="D1340" s="31">
        <v>1</v>
      </c>
      <c r="E1340" s="32">
        <f>IFERROR(_xlfn.XLOOKUP($B1340,MObra[DESCRIPCION],MObra[VALOR UNIT],,0),"")</f>
        <v>314390.75089500006</v>
      </c>
      <c r="F1340" s="33">
        <v>-20</v>
      </c>
      <c r="G1340" s="34">
        <f>IFERROR(IF(F1340&gt;=0,D1340*E1340*(1+F1340/100),ABS(D1340*E1340/F1340)),"")</f>
        <v>15719.537544750003</v>
      </c>
      <c r="H1340" s="43">
        <f>IFERROR(G1340*E1324,"")</f>
        <v>0</v>
      </c>
    </row>
    <row r="1341" spans="1:11">
      <c r="A1341" s="28"/>
      <c r="B1341" s="29"/>
      <c r="C1341" s="30" t="str">
        <f>IFERROR(_xlfn.XLOOKUP(B1341,MObra[DESCRIPCION],MObra[UN],,0),"")</f>
        <v/>
      </c>
      <c r="D1341" s="31"/>
      <c r="E1341" s="32" t="str">
        <f>IFERROR(_xlfn.XLOOKUP($B1341,MObra[DESCRIPCION],MObra[VALOR UNIT],,0),"")</f>
        <v/>
      </c>
      <c r="F1341" s="33"/>
      <c r="G1341" s="34" t="str">
        <f>IFERROR(IF(F1341&gt;=0,D1341*E1341*(1+F1341/100),ABS(D1341*E1341/F1341)),"")</f>
        <v/>
      </c>
      <c r="H1341" s="43" t="str">
        <f>IFERROR(G1341*E1324,"")</f>
        <v/>
      </c>
    </row>
    <row r="1342" spans="1:11">
      <c r="A1342" s="35"/>
      <c r="B1342" s="36"/>
      <c r="C1342" s="37" t="str">
        <f>IFERROR(_xlfn.XLOOKUP(B1342,MObra[DESCRIPCION],MObra[UN],,0),"")</f>
        <v/>
      </c>
      <c r="D1342" s="38"/>
      <c r="E1342" s="39" t="str">
        <f>IFERROR(_xlfn.XLOOKUP($B1342,MObra[DESCRIPCION],MObra[VALOR UNIT],,0),"")</f>
        <v/>
      </c>
      <c r="F1342" s="40"/>
      <c r="G1342" s="41" t="str">
        <f>IFERROR(IF(F1342&gt;=0,D1342*E1342*(1+F1342/100),ABS(D1342*E1342/F1342)),"")</f>
        <v/>
      </c>
      <c r="H1342" s="42" t="str">
        <f>IFERROR(G1342*E1324,"")</f>
        <v/>
      </c>
    </row>
    <row r="1343" spans="1:11" ht="12.75" customHeight="1"/>
    <row r="1344" spans="1:11">
      <c r="A1344" s="6" t="s">
        <v>2172</v>
      </c>
      <c r="B1344" s="7" t="str">
        <f>VLOOKUP($A1344,Presupuesto!$A:$D,2,FALSE())</f>
        <v>Tubería PVC Novafort 250 mm</v>
      </c>
      <c r="C1344" s="8" t="str">
        <f>VLOOKUP($A1344,Presupuesto!$A:$D,3,FALSE())</f>
        <v>M</v>
      </c>
      <c r="D1344" s="9"/>
      <c r="E1344" s="10">
        <f>VLOOKUP($A1344,Presupuesto!$A:$D,4,FALSE())</f>
        <v>0</v>
      </c>
      <c r="F1344" s="11" t="s">
        <v>2589</v>
      </c>
      <c r="G1344" s="12">
        <f>SUM(G1346:G1362)/2</f>
        <v>163748.77842198755</v>
      </c>
      <c r="H1344" s="13">
        <f>ROUND(SUM(H1346:H1362),0)/2</f>
        <v>0</v>
      </c>
      <c r="I1344" s="10">
        <f>VLOOKUP(A1344,Presupuesto!$A:$F,6,0)</f>
        <v>0</v>
      </c>
      <c r="J1344" s="10">
        <f>+H1344-I1344</f>
        <v>0</v>
      </c>
      <c r="K1344" s="46">
        <f>+H1344-G1344*E1344</f>
        <v>0</v>
      </c>
    </row>
    <row r="1345" spans="1:8">
      <c r="A1345" s="14"/>
      <c r="B1345" s="15" t="s">
        <v>2586</v>
      </c>
      <c r="C1345" s="15" t="s">
        <v>5</v>
      </c>
      <c r="D1345" s="16" t="s">
        <v>6</v>
      </c>
      <c r="E1345" s="17" t="s">
        <v>7</v>
      </c>
      <c r="F1345" s="18" t="s">
        <v>3728</v>
      </c>
      <c r="G1345" s="19" t="s">
        <v>3729</v>
      </c>
      <c r="H1345" s="20" t="s">
        <v>3797</v>
      </c>
    </row>
    <row r="1346" spans="1:8">
      <c r="A1346" s="21"/>
      <c r="B1346" s="22" t="s">
        <v>3730</v>
      </c>
      <c r="C1346" s="23"/>
      <c r="D1346" s="24"/>
      <c r="E1346" s="25"/>
      <c r="F1346" s="26"/>
      <c r="G1346" s="27">
        <f>SUM(G1347:G1351)</f>
        <v>147243.26400000002</v>
      </c>
      <c r="H1346" s="27">
        <f>IFERROR(G1346*E1344,"")</f>
        <v>0</v>
      </c>
    </row>
    <row r="1347" spans="1:8">
      <c r="A1347" s="28"/>
      <c r="B1347" s="29" t="s">
        <v>3480</v>
      </c>
      <c r="C1347" s="30" t="str">
        <f>IFERROR(_xlfn.XLOOKUP(B1347,Insumo[DESCRIPCION],Insumo[UND],,0),"")</f>
        <v>M</v>
      </c>
      <c r="D1347" s="31">
        <v>1</v>
      </c>
      <c r="E1347" s="32">
        <f>IFERROR(_xlfn.XLOOKUP($B1347,Insumo[DESCRIPCION],Insumo[VALOR],,0),"")</f>
        <v>124746.3</v>
      </c>
      <c r="F1347" s="33">
        <v>3</v>
      </c>
      <c r="G1347" s="34">
        <f>IFERROR(IF(F1347&gt;=0,D1347*E1347*(1+F1347/100),ABS(D1347*E1347/F1347)),"")</f>
        <v>128488.68900000001</v>
      </c>
      <c r="H1347" s="43">
        <f>IFERROR(G1347*E1344,"")</f>
        <v>0</v>
      </c>
    </row>
    <row r="1348" spans="1:8">
      <c r="A1348" s="28"/>
      <c r="B1348" s="29" t="s">
        <v>3060</v>
      </c>
      <c r="C1348" s="30" t="str">
        <f>IFERROR(_xlfn.XLOOKUP(B1348,Insumo[DESCRIPCION],Insumo[UND],,0),"")</f>
        <v>Kg</v>
      </c>
      <c r="D1348" s="31">
        <v>0.5</v>
      </c>
      <c r="E1348" s="32">
        <f>IFERROR(_xlfn.XLOOKUP($B1348,Insumo[DESCRIPCION],Insumo[VALOR],,0),"")</f>
        <v>37509.15</v>
      </c>
      <c r="F1348" s="33"/>
      <c r="G1348" s="34">
        <f>IFERROR(IF(F1348&gt;=0,D1348*E1348*(1+F1348/100),ABS(D1348*E1348/F1348)),"")</f>
        <v>18754.575000000001</v>
      </c>
      <c r="H1348" s="43">
        <f>IFERROR(G1348*E1344,"")</f>
        <v>0</v>
      </c>
    </row>
    <row r="1349" spans="1:8">
      <c r="A1349" s="28"/>
      <c r="B1349" s="29"/>
      <c r="C1349" s="30" t="str">
        <f>IFERROR(_xlfn.XLOOKUP(B1349,Insumo[DESCRIPCION],Insumo[UND],,0),"")</f>
        <v/>
      </c>
      <c r="D1349" s="31"/>
      <c r="E1349" s="32" t="str">
        <f>IFERROR(_xlfn.XLOOKUP($B1349,Insumo[DESCRIPCION],Insumo[VALOR],,0),"")</f>
        <v/>
      </c>
      <c r="F1349" s="33"/>
      <c r="G1349" s="34" t="str">
        <f>IFERROR(IF(F1349&gt;=0,D1349*E1349*(1+F1349/100),ABS(D1349*E1349/F1349)),"")</f>
        <v/>
      </c>
      <c r="H1349" s="43" t="str">
        <f>IFERROR(G1349*E1344,"")</f>
        <v/>
      </c>
    </row>
    <row r="1350" spans="1:8">
      <c r="A1350" s="28"/>
      <c r="B1350" s="29"/>
      <c r="C1350" s="30" t="str">
        <f>IFERROR(_xlfn.XLOOKUP(B1350,Insumo[DESCRIPCION],Insumo[UND],,0),"")</f>
        <v/>
      </c>
      <c r="D1350" s="31"/>
      <c r="E1350" s="32" t="str">
        <f>IFERROR(_xlfn.XLOOKUP($B1350,Insumo[DESCRIPCION],Insumo[VALOR],,0),"")</f>
        <v/>
      </c>
      <c r="F1350" s="33"/>
      <c r="G1350" s="34" t="str">
        <f>IFERROR(IF(F1350&gt;=0,D1350*E1350*(1+F1350/100),ABS(D1350*E1350/F1350)),"")</f>
        <v/>
      </c>
      <c r="H1350" s="43" t="str">
        <f>IFERROR(G1350*E1344,"")</f>
        <v/>
      </c>
    </row>
    <row r="1351" spans="1:8">
      <c r="A1351" s="28"/>
      <c r="B1351" s="29"/>
      <c r="C1351" s="30" t="str">
        <f>IFERROR(_xlfn.XLOOKUP(B1351,Insumo[DESCRIPCION],Insumo[UND],,0),"")</f>
        <v/>
      </c>
      <c r="D1351" s="31"/>
      <c r="E1351" s="32" t="str">
        <f>IFERROR(_xlfn.XLOOKUP($B1351,Insumo[DESCRIPCION],Insumo[VALOR],,0),"")</f>
        <v/>
      </c>
      <c r="F1351" s="33"/>
      <c r="G1351" s="34" t="str">
        <f>IFERROR(IF(F1351&gt;=0,D1351*E1351*(1+F1351/100),ABS(D1351*E1351/F1351)),"")</f>
        <v/>
      </c>
      <c r="H1351" s="43" t="str">
        <f>IFERROR(G1351*E1344,"")</f>
        <v/>
      </c>
    </row>
    <row r="1352" spans="1:8">
      <c r="A1352" s="21"/>
      <c r="B1352" s="22" t="s">
        <v>3731</v>
      </c>
      <c r="C1352" s="23"/>
      <c r="D1352" s="24"/>
      <c r="E1352" s="25"/>
      <c r="F1352" s="26"/>
      <c r="G1352" s="27">
        <f>SUM(G1353:G1355)</f>
        <v>785.97687723750016</v>
      </c>
      <c r="H1352" s="44">
        <f>G1352*E1344</f>
        <v>0</v>
      </c>
    </row>
    <row r="1353" spans="1:8">
      <c r="A1353" s="28"/>
      <c r="B1353" s="29" t="s">
        <v>3626</v>
      </c>
      <c r="C1353" s="30" t="str">
        <f>IFERROR(_xlfn.XLOOKUP(B1353,Equipo[DESCRIPCION],Equipo[UND],,0),"")</f>
        <v>%MO</v>
      </c>
      <c r="D1353" s="31">
        <v>0.05</v>
      </c>
      <c r="E1353" s="32">
        <f>IF(C1353="%MO",G1359,IFERROR(_xlfn.XLOOKUP($B1353,Equipo[DESCRIPCION],Equipo[VALOR],,0),""))</f>
        <v>15719.537544750003</v>
      </c>
      <c r="F1353" s="33"/>
      <c r="G1353" s="34">
        <f>IFERROR(IF(F1353&gt;=0,D1353*E1353*(1+F1353/100),ABS(D1353*E1353/F1353)),"")</f>
        <v>785.97687723750016</v>
      </c>
      <c r="H1353" s="43">
        <f>IFERROR(G1353*E1344,"")</f>
        <v>0</v>
      </c>
    </row>
    <row r="1354" spans="1:8">
      <c r="A1354" s="28"/>
      <c r="B1354" s="29"/>
      <c r="C1354" s="30" t="str">
        <f>IFERROR(_xlfn.XLOOKUP(B1354,Equipo[DESCRIPCION],Equipo[UND],,0),"")</f>
        <v/>
      </c>
      <c r="D1354" s="31"/>
      <c r="E1354" s="32" t="str">
        <f>IF(C1354="%MO",G1360,IFERROR(_xlfn.XLOOKUP($B1354,Equipo[DESCRIPCION],Equipo[VALOR],,0),""))</f>
        <v/>
      </c>
      <c r="F1354" s="33"/>
      <c r="G1354" s="34" t="str">
        <f>IFERROR(IF(F1354&gt;=0,D1354*E1354*(1+F1354/100),ABS(D1354*E1354/F1354)),"")</f>
        <v/>
      </c>
      <c r="H1354" s="43" t="str">
        <f>IFERROR(G1354*E1344,"")</f>
        <v/>
      </c>
    </row>
    <row r="1355" spans="1:8">
      <c r="A1355" s="28"/>
      <c r="B1355" s="29"/>
      <c r="C1355" s="30" t="str">
        <f>IFERROR(_xlfn.XLOOKUP(B1355,Equipo[DESCRIPCION],Equipo[UND],,0),"")</f>
        <v/>
      </c>
      <c r="D1355" s="31"/>
      <c r="E1355" s="32" t="str">
        <f>IF(C1355="%MO",G1361,IFERROR(_xlfn.XLOOKUP($B1355,Equipo[DESCRIPCION],Equipo[VALOR],,0),""))</f>
        <v/>
      </c>
      <c r="F1355" s="33"/>
      <c r="G1355" s="34" t="str">
        <f>IFERROR(IF(F1355&gt;=0,D1355*E1355*(1+F1355/100),ABS(D1355*E1355/F1355)),"")</f>
        <v/>
      </c>
      <c r="H1355" s="43" t="str">
        <f>IFERROR(G1355*E1344,"")</f>
        <v/>
      </c>
    </row>
    <row r="1356" spans="1:8">
      <c r="A1356" s="21"/>
      <c r="B1356" s="22" t="s">
        <v>2533</v>
      </c>
      <c r="C1356" s="23"/>
      <c r="D1356" s="24"/>
      <c r="E1356" s="25"/>
      <c r="F1356" s="26"/>
      <c r="G1356" s="27">
        <f>SUM(G1357:G1358)</f>
        <v>0</v>
      </c>
      <c r="H1356" s="44">
        <f>G1356*E1344</f>
        <v>0</v>
      </c>
    </row>
    <row r="1357" spans="1:8">
      <c r="A1357" s="28"/>
      <c r="B1357" s="29"/>
      <c r="C1357" s="30" t="str">
        <f>IFERROR(_xlfn.XLOOKUP(B1357,Transporte[DESCRIPCION],Transporte[UND],,0),"")</f>
        <v/>
      </c>
      <c r="D1357" s="31"/>
      <c r="E1357" s="32" t="str">
        <f>IFERROR(_xlfn.XLOOKUP($B1357,Transporte[DESCRIPCION],Transporte[VALOR],,0),"")</f>
        <v/>
      </c>
      <c r="F1357" s="33"/>
      <c r="G1357" s="34" t="str">
        <f>IFERROR(IF(F1357&gt;=0,D1357*E1357*(1+F1357/100),ABS(D1357*E1357/F1357)),"")</f>
        <v/>
      </c>
      <c r="H1357" s="43" t="str">
        <f>IFERROR(G1357*E1344,"")</f>
        <v/>
      </c>
    </row>
    <row r="1358" spans="1:8">
      <c r="A1358" s="28"/>
      <c r="B1358" s="29"/>
      <c r="C1358" s="30" t="str">
        <f>IFERROR(_xlfn.XLOOKUP(B1358,Transporte[DESCRIPCION],Transporte[UND],,0),"")</f>
        <v/>
      </c>
      <c r="D1358" s="31"/>
      <c r="E1358" s="32" t="str">
        <f>IFERROR(_xlfn.XLOOKUP($B1358,Transporte[DESCRIPCION],Transporte[VALOR],,0),"")</f>
        <v/>
      </c>
      <c r="F1358" s="33"/>
      <c r="G1358" s="34" t="str">
        <f>IFERROR(IF(F1358&gt;=0,D1358*E1358*(1+F1358/100),ABS(D1358*E1358/F1358)),"")</f>
        <v/>
      </c>
      <c r="H1358" s="43" t="str">
        <f>IFERROR(G1358*E1344,"")</f>
        <v/>
      </c>
    </row>
    <row r="1359" spans="1:8">
      <c r="A1359" s="21"/>
      <c r="B1359" s="22" t="s">
        <v>3732</v>
      </c>
      <c r="C1359" s="23"/>
      <c r="D1359" s="24"/>
      <c r="E1359" s="25"/>
      <c r="F1359" s="26"/>
      <c r="G1359" s="27">
        <f>SUM(G1360:G1362)</f>
        <v>15719.537544750003</v>
      </c>
      <c r="H1359" s="44">
        <f>G1359*E1344</f>
        <v>0</v>
      </c>
    </row>
    <row r="1360" spans="1:8">
      <c r="A1360" s="28"/>
      <c r="B1360" s="29" t="s">
        <v>3710</v>
      </c>
      <c r="C1360" s="30" t="str">
        <f>IFERROR(_xlfn.XLOOKUP(B1360,MObra[DESCRIPCION],MObra[UN],,0),"")</f>
        <v>día</v>
      </c>
      <c r="D1360" s="31">
        <v>1</v>
      </c>
      <c r="E1360" s="32">
        <f>IFERROR(_xlfn.XLOOKUP($B1360,MObra[DESCRIPCION],MObra[VALOR UNIT],,0),"")</f>
        <v>314390.75089500006</v>
      </c>
      <c r="F1360" s="33">
        <v>-20</v>
      </c>
      <c r="G1360" s="34">
        <f>IFERROR(IF(F1360&gt;=0,D1360*E1360*(1+F1360/100),ABS(D1360*E1360/F1360)),"")</f>
        <v>15719.537544750003</v>
      </c>
      <c r="H1360" s="43">
        <f>IFERROR(G1360*E1344,"")</f>
        <v>0</v>
      </c>
    </row>
    <row r="1361" spans="1:11">
      <c r="A1361" s="28"/>
      <c r="B1361" s="29"/>
      <c r="C1361" s="30" t="str">
        <f>IFERROR(_xlfn.XLOOKUP(B1361,MObra[DESCRIPCION],MObra[UN],,0),"")</f>
        <v/>
      </c>
      <c r="D1361" s="31"/>
      <c r="E1361" s="32" t="str">
        <f>IFERROR(_xlfn.XLOOKUP($B1361,MObra[DESCRIPCION],MObra[VALOR UNIT],,0),"")</f>
        <v/>
      </c>
      <c r="F1361" s="33"/>
      <c r="G1361" s="34" t="str">
        <f>IFERROR(IF(F1361&gt;=0,D1361*E1361*(1+F1361/100),ABS(D1361*E1361/F1361)),"")</f>
        <v/>
      </c>
      <c r="H1361" s="43" t="str">
        <f>IFERROR(G1361*E1344,"")</f>
        <v/>
      </c>
    </row>
    <row r="1362" spans="1:11">
      <c r="A1362" s="35"/>
      <c r="B1362" s="36"/>
      <c r="C1362" s="37" t="str">
        <f>IFERROR(_xlfn.XLOOKUP(B1362,MObra[DESCRIPCION],MObra[UN],,0),"")</f>
        <v/>
      </c>
      <c r="D1362" s="38"/>
      <c r="E1362" s="39" t="str">
        <f>IFERROR(_xlfn.XLOOKUP($B1362,MObra[DESCRIPCION],MObra[VALOR UNIT],,0),"")</f>
        <v/>
      </c>
      <c r="F1362" s="40"/>
      <c r="G1362" s="41" t="str">
        <f>IFERROR(IF(F1362&gt;=0,D1362*E1362*(1+F1362/100),ABS(D1362*E1362/F1362)),"")</f>
        <v/>
      </c>
      <c r="H1362" s="42" t="str">
        <f>IFERROR(G1362*E1344,"")</f>
        <v/>
      </c>
    </row>
    <row r="1363" spans="1:11" ht="12.75" customHeight="1"/>
    <row r="1364" spans="1:11">
      <c r="A1364" s="6" t="s">
        <v>2174</v>
      </c>
      <c r="B1364" s="7" t="str">
        <f>VLOOKUP($A1364,Presupuesto!$A:$D,2,FALSE())</f>
        <v>Tubería PVC Novafort 315 mm</v>
      </c>
      <c r="C1364" s="8" t="str">
        <f>VLOOKUP($A1364,Presupuesto!$A:$D,3,FALSE())</f>
        <v>M</v>
      </c>
      <c r="D1364" s="9"/>
      <c r="E1364" s="10">
        <f>VLOOKUP($A1364,Presupuesto!$A:$D,4,FALSE())</f>
        <v>0</v>
      </c>
      <c r="F1364" s="11" t="s">
        <v>2589</v>
      </c>
      <c r="G1364" s="12">
        <f>SUM(G1366:G1382)/2</f>
        <v>221981.86796887504</v>
      </c>
      <c r="H1364" s="13">
        <f>ROUND(SUM(H1366:H1382),0)/2</f>
        <v>0</v>
      </c>
      <c r="I1364" s="10">
        <f>VLOOKUP(A1364,Presupuesto!$A:$F,6,0)</f>
        <v>0</v>
      </c>
      <c r="J1364" s="10">
        <f>+H1364-I1364</f>
        <v>0</v>
      </c>
      <c r="K1364" s="46">
        <f>+H1364-G1364*E1364</f>
        <v>0</v>
      </c>
    </row>
    <row r="1365" spans="1:11">
      <c r="A1365" s="14"/>
      <c r="B1365" s="15" t="s">
        <v>2586</v>
      </c>
      <c r="C1365" s="15" t="s">
        <v>5</v>
      </c>
      <c r="D1365" s="16" t="s">
        <v>6</v>
      </c>
      <c r="E1365" s="17" t="s">
        <v>7</v>
      </c>
      <c r="F1365" s="18" t="s">
        <v>3728</v>
      </c>
      <c r="G1365" s="19" t="s">
        <v>3729</v>
      </c>
      <c r="H1365" s="20" t="s">
        <v>3797</v>
      </c>
    </row>
    <row r="1366" spans="1:11">
      <c r="A1366" s="21"/>
      <c r="B1366" s="22" t="s">
        <v>3730</v>
      </c>
      <c r="C1366" s="23"/>
      <c r="D1366" s="24"/>
      <c r="E1366" s="25"/>
      <c r="F1366" s="26"/>
      <c r="G1366" s="27">
        <f>SUM(G1367:G1371)</f>
        <v>203642.40750000003</v>
      </c>
      <c r="H1366" s="27">
        <f>IFERROR(G1366*E1364,"")</f>
        <v>0</v>
      </c>
    </row>
    <row r="1367" spans="1:11">
      <c r="A1367" s="28"/>
      <c r="B1367" s="29" t="s">
        <v>3481</v>
      </c>
      <c r="C1367" s="30" t="str">
        <f>IFERROR(_xlfn.XLOOKUP(B1367,Insumo[DESCRIPCION],Insumo[UND],,0),"")</f>
        <v>M</v>
      </c>
      <c r="D1367" s="31">
        <v>1</v>
      </c>
      <c r="E1367" s="32">
        <f>IFERROR(_xlfn.XLOOKUP($B1367,Insumo[DESCRIPCION],Insumo[VALOR],,0),"")</f>
        <v>179502.75</v>
      </c>
      <c r="F1367" s="33">
        <v>3</v>
      </c>
      <c r="G1367" s="34">
        <f>IFERROR(IF(F1367&gt;=0,D1367*E1367*(1+F1367/100),ABS(D1367*E1367/F1367)),"")</f>
        <v>184887.83250000002</v>
      </c>
      <c r="H1367" s="43">
        <f>IFERROR(G1367*E1364,"")</f>
        <v>0</v>
      </c>
    </row>
    <row r="1368" spans="1:11">
      <c r="A1368" s="28"/>
      <c r="B1368" s="29" t="s">
        <v>3060</v>
      </c>
      <c r="C1368" s="30" t="str">
        <f>IFERROR(_xlfn.XLOOKUP(B1368,Insumo[DESCRIPCION],Insumo[UND],,0),"")</f>
        <v>Kg</v>
      </c>
      <c r="D1368" s="31">
        <v>0.5</v>
      </c>
      <c r="E1368" s="32">
        <f>IFERROR(_xlfn.XLOOKUP($B1368,Insumo[DESCRIPCION],Insumo[VALOR],,0),"")</f>
        <v>37509.15</v>
      </c>
      <c r="F1368" s="33"/>
      <c r="G1368" s="34">
        <f>IFERROR(IF(F1368&gt;=0,D1368*E1368*(1+F1368/100),ABS(D1368*E1368/F1368)),"")</f>
        <v>18754.575000000001</v>
      </c>
      <c r="H1368" s="43">
        <f>IFERROR(G1368*E1364,"")</f>
        <v>0</v>
      </c>
    </row>
    <row r="1369" spans="1:11">
      <c r="A1369" s="28"/>
      <c r="B1369" s="29"/>
      <c r="C1369" s="30" t="str">
        <f>IFERROR(_xlfn.XLOOKUP(B1369,Insumo[DESCRIPCION],Insumo[UND],,0),"")</f>
        <v/>
      </c>
      <c r="D1369" s="31"/>
      <c r="E1369" s="32" t="str">
        <f>IFERROR(_xlfn.XLOOKUP($B1369,Insumo[DESCRIPCION],Insumo[VALOR],,0),"")</f>
        <v/>
      </c>
      <c r="F1369" s="33"/>
      <c r="G1369" s="34" t="str">
        <f>IFERROR(IF(F1369&gt;=0,D1369*E1369*(1+F1369/100),ABS(D1369*E1369/F1369)),"")</f>
        <v/>
      </c>
      <c r="H1369" s="43" t="str">
        <f>IFERROR(G1369*E1364,"")</f>
        <v/>
      </c>
    </row>
    <row r="1370" spans="1:11">
      <c r="A1370" s="28"/>
      <c r="B1370" s="29"/>
      <c r="C1370" s="30" t="str">
        <f>IFERROR(_xlfn.XLOOKUP(B1370,Insumo[DESCRIPCION],Insumo[UND],,0),"")</f>
        <v/>
      </c>
      <c r="D1370" s="31"/>
      <c r="E1370" s="32" t="str">
        <f>IFERROR(_xlfn.XLOOKUP($B1370,Insumo[DESCRIPCION],Insumo[VALOR],,0),"")</f>
        <v/>
      </c>
      <c r="F1370" s="33"/>
      <c r="G1370" s="34" t="str">
        <f>IFERROR(IF(F1370&gt;=0,D1370*E1370*(1+F1370/100),ABS(D1370*E1370/F1370)),"")</f>
        <v/>
      </c>
      <c r="H1370" s="43" t="str">
        <f>IFERROR(G1370*E1364,"")</f>
        <v/>
      </c>
    </row>
    <row r="1371" spans="1:11">
      <c r="A1371" s="28"/>
      <c r="B1371" s="29"/>
      <c r="C1371" s="30" t="str">
        <f>IFERROR(_xlfn.XLOOKUP(B1371,Insumo[DESCRIPCION],Insumo[UND],,0),"")</f>
        <v/>
      </c>
      <c r="D1371" s="31"/>
      <c r="E1371" s="32" t="str">
        <f>IFERROR(_xlfn.XLOOKUP($B1371,Insumo[DESCRIPCION],Insumo[VALOR],,0),"")</f>
        <v/>
      </c>
      <c r="F1371" s="33"/>
      <c r="G1371" s="34" t="str">
        <f>IFERROR(IF(F1371&gt;=0,D1371*E1371*(1+F1371/100),ABS(D1371*E1371/F1371)),"")</f>
        <v/>
      </c>
      <c r="H1371" s="43" t="str">
        <f>IFERROR(G1371*E1364,"")</f>
        <v/>
      </c>
    </row>
    <row r="1372" spans="1:11">
      <c r="A1372" s="21"/>
      <c r="B1372" s="22" t="s">
        <v>3731</v>
      </c>
      <c r="C1372" s="23"/>
      <c r="D1372" s="24"/>
      <c r="E1372" s="25"/>
      <c r="F1372" s="26"/>
      <c r="G1372" s="27">
        <f>SUM(G1373:G1375)</f>
        <v>873.30764137500012</v>
      </c>
      <c r="H1372" s="44">
        <f>G1372*E1364</f>
        <v>0</v>
      </c>
    </row>
    <row r="1373" spans="1:11">
      <c r="A1373" s="28"/>
      <c r="B1373" s="29" t="s">
        <v>3626</v>
      </c>
      <c r="C1373" s="30" t="str">
        <f>IFERROR(_xlfn.XLOOKUP(B1373,Equipo[DESCRIPCION],Equipo[UND],,0),"")</f>
        <v>%MO</v>
      </c>
      <c r="D1373" s="31">
        <v>0.05</v>
      </c>
      <c r="E1373" s="32">
        <f>IF(C1373="%MO",G1379,IFERROR(_xlfn.XLOOKUP($B1373,Equipo[DESCRIPCION],Equipo[VALOR],,0),""))</f>
        <v>17466.152827500002</v>
      </c>
      <c r="F1373" s="33"/>
      <c r="G1373" s="34">
        <f>IFERROR(IF(F1373&gt;=0,D1373*E1373*(1+F1373/100),ABS(D1373*E1373/F1373)),"")</f>
        <v>873.30764137500012</v>
      </c>
      <c r="H1373" s="43">
        <f>IFERROR(G1373*E1364,"")</f>
        <v>0</v>
      </c>
    </row>
    <row r="1374" spans="1:11">
      <c r="A1374" s="28"/>
      <c r="B1374" s="29"/>
      <c r="C1374" s="30" t="str">
        <f>IFERROR(_xlfn.XLOOKUP(B1374,Equipo[DESCRIPCION],Equipo[UND],,0),"")</f>
        <v/>
      </c>
      <c r="D1374" s="31"/>
      <c r="E1374" s="32" t="str">
        <f>IF(C1374="%MO",G1380,IFERROR(_xlfn.XLOOKUP($B1374,Equipo[DESCRIPCION],Equipo[VALOR],,0),""))</f>
        <v/>
      </c>
      <c r="F1374" s="33"/>
      <c r="G1374" s="34" t="str">
        <f>IFERROR(IF(F1374&gt;=0,D1374*E1374*(1+F1374/100),ABS(D1374*E1374/F1374)),"")</f>
        <v/>
      </c>
      <c r="H1374" s="43" t="str">
        <f>IFERROR(G1374*E1364,"")</f>
        <v/>
      </c>
    </row>
    <row r="1375" spans="1:11">
      <c r="A1375" s="28"/>
      <c r="B1375" s="29"/>
      <c r="C1375" s="30" t="str">
        <f>IFERROR(_xlfn.XLOOKUP(B1375,Equipo[DESCRIPCION],Equipo[UND],,0),"")</f>
        <v/>
      </c>
      <c r="D1375" s="31"/>
      <c r="E1375" s="32" t="str">
        <f>IF(C1375="%MO",G1381,IFERROR(_xlfn.XLOOKUP($B1375,Equipo[DESCRIPCION],Equipo[VALOR],,0),""))</f>
        <v/>
      </c>
      <c r="F1375" s="33"/>
      <c r="G1375" s="34" t="str">
        <f>IFERROR(IF(F1375&gt;=0,D1375*E1375*(1+F1375/100),ABS(D1375*E1375/F1375)),"")</f>
        <v/>
      </c>
      <c r="H1375" s="43" t="str">
        <f>IFERROR(G1375*E1364,"")</f>
        <v/>
      </c>
    </row>
    <row r="1376" spans="1:11">
      <c r="A1376" s="21"/>
      <c r="B1376" s="22" t="s">
        <v>2533</v>
      </c>
      <c r="C1376" s="23"/>
      <c r="D1376" s="24"/>
      <c r="E1376" s="25"/>
      <c r="F1376" s="26"/>
      <c r="G1376" s="27">
        <f>SUM(G1377:G1378)</f>
        <v>0</v>
      </c>
      <c r="H1376" s="44">
        <f>G1376*E1364</f>
        <v>0</v>
      </c>
    </row>
    <row r="1377" spans="1:11">
      <c r="A1377" s="28"/>
      <c r="B1377" s="29"/>
      <c r="C1377" s="30" t="str">
        <f>IFERROR(_xlfn.XLOOKUP(B1377,Transporte[DESCRIPCION],Transporte[UND],,0),"")</f>
        <v/>
      </c>
      <c r="D1377" s="31"/>
      <c r="E1377" s="32" t="str">
        <f>IFERROR(_xlfn.XLOOKUP($B1377,Transporte[DESCRIPCION],Transporte[VALOR],,0),"")</f>
        <v/>
      </c>
      <c r="F1377" s="33"/>
      <c r="G1377" s="34" t="str">
        <f>IFERROR(IF(F1377&gt;=0,D1377*E1377*(1+F1377/100),ABS(D1377*E1377/F1377)),"")</f>
        <v/>
      </c>
      <c r="H1377" s="43" t="str">
        <f>IFERROR(G1377*E1364,"")</f>
        <v/>
      </c>
    </row>
    <row r="1378" spans="1:11">
      <c r="A1378" s="28"/>
      <c r="B1378" s="29"/>
      <c r="C1378" s="30" t="str">
        <f>IFERROR(_xlfn.XLOOKUP(B1378,Transporte[DESCRIPCION],Transporte[UND],,0),"")</f>
        <v/>
      </c>
      <c r="D1378" s="31"/>
      <c r="E1378" s="32" t="str">
        <f>IFERROR(_xlfn.XLOOKUP($B1378,Transporte[DESCRIPCION],Transporte[VALOR],,0),"")</f>
        <v/>
      </c>
      <c r="F1378" s="33"/>
      <c r="G1378" s="34" t="str">
        <f>IFERROR(IF(F1378&gt;=0,D1378*E1378*(1+F1378/100),ABS(D1378*E1378/F1378)),"")</f>
        <v/>
      </c>
      <c r="H1378" s="43" t="str">
        <f>IFERROR(G1378*E1364,"")</f>
        <v/>
      </c>
    </row>
    <row r="1379" spans="1:11">
      <c r="A1379" s="21"/>
      <c r="B1379" s="22" t="s">
        <v>3732</v>
      </c>
      <c r="C1379" s="23"/>
      <c r="D1379" s="24"/>
      <c r="E1379" s="25"/>
      <c r="F1379" s="26"/>
      <c r="G1379" s="27">
        <f>SUM(G1380:G1382)</f>
        <v>17466.152827500002</v>
      </c>
      <c r="H1379" s="44">
        <f>G1379*E1364</f>
        <v>0</v>
      </c>
    </row>
    <row r="1380" spans="1:11">
      <c r="A1380" s="28"/>
      <c r="B1380" s="29" t="s">
        <v>3710</v>
      </c>
      <c r="C1380" s="30" t="str">
        <f>IFERROR(_xlfn.XLOOKUP(B1380,MObra[DESCRIPCION],MObra[UN],,0),"")</f>
        <v>día</v>
      </c>
      <c r="D1380" s="31">
        <v>1</v>
      </c>
      <c r="E1380" s="32">
        <f>IFERROR(_xlfn.XLOOKUP($B1380,MObra[DESCRIPCION],MObra[VALOR UNIT],,0),"")</f>
        <v>314390.75089500006</v>
      </c>
      <c r="F1380" s="33">
        <v>-18</v>
      </c>
      <c r="G1380" s="34">
        <f>IFERROR(IF(F1380&gt;=0,D1380*E1380*(1+F1380/100),ABS(D1380*E1380/F1380)),"")</f>
        <v>17466.152827500002</v>
      </c>
      <c r="H1380" s="43">
        <f>IFERROR(G1380*E1364,"")</f>
        <v>0</v>
      </c>
    </row>
    <row r="1381" spans="1:11">
      <c r="A1381" s="28"/>
      <c r="B1381" s="29"/>
      <c r="C1381" s="30" t="str">
        <f>IFERROR(_xlfn.XLOOKUP(B1381,MObra[DESCRIPCION],MObra[UN],,0),"")</f>
        <v/>
      </c>
      <c r="D1381" s="31"/>
      <c r="E1381" s="32" t="str">
        <f>IFERROR(_xlfn.XLOOKUP($B1381,MObra[DESCRIPCION],MObra[VALOR UNIT],,0),"")</f>
        <v/>
      </c>
      <c r="F1381" s="33"/>
      <c r="G1381" s="34" t="str">
        <f>IFERROR(IF(F1381&gt;=0,D1381*E1381*(1+F1381/100),ABS(D1381*E1381/F1381)),"")</f>
        <v/>
      </c>
      <c r="H1381" s="43" t="str">
        <f>IFERROR(G1381*E1364,"")</f>
        <v/>
      </c>
    </row>
    <row r="1382" spans="1:11">
      <c r="A1382" s="35"/>
      <c r="B1382" s="36"/>
      <c r="C1382" s="37" t="str">
        <f>IFERROR(_xlfn.XLOOKUP(B1382,MObra[DESCRIPCION],MObra[UN],,0),"")</f>
        <v/>
      </c>
      <c r="D1382" s="38"/>
      <c r="E1382" s="39" t="str">
        <f>IFERROR(_xlfn.XLOOKUP($B1382,MObra[DESCRIPCION],MObra[VALOR UNIT],,0),"")</f>
        <v/>
      </c>
      <c r="F1382" s="40"/>
      <c r="G1382" s="41" t="str">
        <f>IFERROR(IF(F1382&gt;=0,D1382*E1382*(1+F1382/100),ABS(D1382*E1382/F1382)),"")</f>
        <v/>
      </c>
      <c r="H1382" s="42" t="str">
        <f>IFERROR(G1382*E1364,"")</f>
        <v/>
      </c>
    </row>
    <row r="1383" spans="1:11" ht="12.75" customHeight="1" thickTop="1" thickBot="1"/>
    <row r="1384" spans="1:11" ht="13.5" thickTop="1" thickBot="1">
      <c r="A1384" s="6" t="s">
        <v>2176</v>
      </c>
      <c r="B1384" s="7" t="str">
        <f>VLOOKUP($A1384,Presupuesto!$A:$D,2,FALSE())</f>
        <v>Tubería PVC Novafort 355 mm</v>
      </c>
      <c r="C1384" s="8" t="str">
        <f>VLOOKUP($A1384,Presupuesto!$A:$D,3,FALSE())</f>
        <v>M</v>
      </c>
      <c r="D1384" s="9"/>
      <c r="E1384" s="10">
        <f>VLOOKUP($A1384,Presupuesto!$A:$D,4,FALSE())</f>
        <v>0</v>
      </c>
      <c r="F1384" s="11" t="s">
        <v>2589</v>
      </c>
      <c r="G1384" s="12">
        <f>SUM(G1386:G1402)/2</f>
        <v>314173.25396887504</v>
      </c>
      <c r="H1384" s="13">
        <f>ROUND(SUM(H1386:H1402),0)/2</f>
        <v>0</v>
      </c>
      <c r="I1384" s="10">
        <f>VLOOKUP(A1384,Presupuesto!$A:$F,6,0)</f>
        <v>0</v>
      </c>
      <c r="J1384" s="10">
        <f>+H1384-I1384</f>
        <v>0</v>
      </c>
      <c r="K1384" s="46">
        <f>+H1384-G1384*E1384</f>
        <v>0</v>
      </c>
    </row>
    <row r="1385" spans="1:11" ht="13.15" thickTop="1">
      <c r="A1385" s="14"/>
      <c r="B1385" s="15" t="s">
        <v>2586</v>
      </c>
      <c r="C1385" s="15" t="s">
        <v>5</v>
      </c>
      <c r="D1385" s="16" t="s">
        <v>6</v>
      </c>
      <c r="E1385" s="17" t="s">
        <v>7</v>
      </c>
      <c r="F1385" s="18" t="s">
        <v>3728</v>
      </c>
      <c r="G1385" s="19" t="s">
        <v>3729</v>
      </c>
      <c r="H1385" s="20" t="s">
        <v>3797</v>
      </c>
    </row>
    <row r="1386" spans="1:11">
      <c r="A1386" s="21"/>
      <c r="B1386" s="22" t="s">
        <v>3730</v>
      </c>
      <c r="C1386" s="23"/>
      <c r="D1386" s="24"/>
      <c r="E1386" s="25"/>
      <c r="F1386" s="26"/>
      <c r="G1386" s="27">
        <f>SUM(G1387:G1391)</f>
        <v>295833.79350000003</v>
      </c>
      <c r="H1386" s="27">
        <f>IFERROR(G1386*E1384,"")</f>
        <v>0</v>
      </c>
    </row>
    <row r="1387" spans="1:11">
      <c r="A1387" s="28"/>
      <c r="B1387" s="29" t="s">
        <v>3482</v>
      </c>
      <c r="C1387" s="30" t="str">
        <f>IFERROR(_xlfn.XLOOKUP(B1387,Insumo[DESCRIPCION],Insumo[UND],,0),"")</f>
        <v>M</v>
      </c>
      <c r="D1387" s="31">
        <v>1</v>
      </c>
      <c r="E1387" s="32">
        <f>IFERROR(_xlfn.XLOOKUP($B1387,Insumo[DESCRIPCION],Insumo[VALOR],,0),"")</f>
        <v>269008.95</v>
      </c>
      <c r="F1387" s="33">
        <v>3</v>
      </c>
      <c r="G1387" s="34">
        <f>IFERROR(IF(F1387&gt;=0,D1387*E1387*(1+F1387/100),ABS(D1387*E1387/F1387)),"")</f>
        <v>277079.21850000002</v>
      </c>
      <c r="H1387" s="43">
        <f>IFERROR(G1387*E1384,"")</f>
        <v>0</v>
      </c>
    </row>
    <row r="1388" spans="1:11">
      <c r="A1388" s="28"/>
      <c r="B1388" s="29" t="s">
        <v>3060</v>
      </c>
      <c r="C1388" s="30" t="str">
        <f>IFERROR(_xlfn.XLOOKUP(B1388,Insumo[DESCRIPCION],Insumo[UND],,0),"")</f>
        <v>Kg</v>
      </c>
      <c r="D1388" s="31">
        <v>0.5</v>
      </c>
      <c r="E1388" s="32">
        <f>IFERROR(_xlfn.XLOOKUP($B1388,Insumo[DESCRIPCION],Insumo[VALOR],,0),"")</f>
        <v>37509.15</v>
      </c>
      <c r="F1388" s="33"/>
      <c r="G1388" s="34">
        <f>IFERROR(IF(F1388&gt;=0,D1388*E1388*(1+F1388/100),ABS(D1388*E1388/F1388)),"")</f>
        <v>18754.575000000001</v>
      </c>
      <c r="H1388" s="43">
        <f>IFERROR(G1388*E1384,"")</f>
        <v>0</v>
      </c>
    </row>
    <row r="1389" spans="1:11">
      <c r="A1389" s="28"/>
      <c r="B1389" s="29"/>
      <c r="C1389" s="30" t="str">
        <f>IFERROR(_xlfn.XLOOKUP(B1389,Insumo[DESCRIPCION],Insumo[UND],,0),"")</f>
        <v/>
      </c>
      <c r="D1389" s="31"/>
      <c r="E1389" s="32" t="str">
        <f>IFERROR(_xlfn.XLOOKUP($B1389,Insumo[DESCRIPCION],Insumo[VALOR],,0),"")</f>
        <v/>
      </c>
      <c r="F1389" s="33"/>
      <c r="G1389" s="34" t="str">
        <f>IFERROR(IF(F1389&gt;=0,D1389*E1389*(1+F1389/100),ABS(D1389*E1389/F1389)),"")</f>
        <v/>
      </c>
      <c r="H1389" s="43" t="str">
        <f>IFERROR(G1389*E1384,"")</f>
        <v/>
      </c>
    </row>
    <row r="1390" spans="1:11">
      <c r="A1390" s="28"/>
      <c r="B1390" s="29"/>
      <c r="C1390" s="30" t="str">
        <f>IFERROR(_xlfn.XLOOKUP(B1390,Insumo[DESCRIPCION],Insumo[UND],,0),"")</f>
        <v/>
      </c>
      <c r="D1390" s="31"/>
      <c r="E1390" s="32" t="str">
        <f>IFERROR(_xlfn.XLOOKUP($B1390,Insumo[DESCRIPCION],Insumo[VALOR],,0),"")</f>
        <v/>
      </c>
      <c r="F1390" s="33"/>
      <c r="G1390" s="34" t="str">
        <f>IFERROR(IF(F1390&gt;=0,D1390*E1390*(1+F1390/100),ABS(D1390*E1390/F1390)),"")</f>
        <v/>
      </c>
      <c r="H1390" s="43" t="str">
        <f>IFERROR(G1390*E1384,"")</f>
        <v/>
      </c>
    </row>
    <row r="1391" spans="1:11">
      <c r="A1391" s="28"/>
      <c r="B1391" s="29"/>
      <c r="C1391" s="30" t="str">
        <f>IFERROR(_xlfn.XLOOKUP(B1391,Insumo[DESCRIPCION],Insumo[UND],,0),"")</f>
        <v/>
      </c>
      <c r="D1391" s="31"/>
      <c r="E1391" s="32" t="str">
        <f>IFERROR(_xlfn.XLOOKUP($B1391,Insumo[DESCRIPCION],Insumo[VALOR],,0),"")</f>
        <v/>
      </c>
      <c r="F1391" s="33"/>
      <c r="G1391" s="34" t="str">
        <f>IFERROR(IF(F1391&gt;=0,D1391*E1391*(1+F1391/100),ABS(D1391*E1391/F1391)),"")</f>
        <v/>
      </c>
      <c r="H1391" s="43" t="str">
        <f>IFERROR(G1391*E1384,"")</f>
        <v/>
      </c>
    </row>
    <row r="1392" spans="1:11">
      <c r="A1392" s="21"/>
      <c r="B1392" s="22" t="s">
        <v>3731</v>
      </c>
      <c r="C1392" s="23"/>
      <c r="D1392" s="24"/>
      <c r="E1392" s="25"/>
      <c r="F1392" s="26"/>
      <c r="G1392" s="27">
        <f>SUM(G1393:G1395)</f>
        <v>873.30764137500012</v>
      </c>
      <c r="H1392" s="44">
        <f>G1392*E1384</f>
        <v>0</v>
      </c>
    </row>
    <row r="1393" spans="1:11">
      <c r="A1393" s="28"/>
      <c r="B1393" s="29" t="s">
        <v>3626</v>
      </c>
      <c r="C1393" s="30" t="str">
        <f>IFERROR(_xlfn.XLOOKUP(B1393,Equipo[DESCRIPCION],Equipo[UND],,0),"")</f>
        <v>%MO</v>
      </c>
      <c r="D1393" s="31">
        <v>0.05</v>
      </c>
      <c r="E1393" s="32">
        <f>IF(C1393="%MO",G1399,IFERROR(_xlfn.XLOOKUP($B1393,Equipo[DESCRIPCION],Equipo[VALOR],,0),""))</f>
        <v>17466.152827500002</v>
      </c>
      <c r="F1393" s="33"/>
      <c r="G1393" s="34">
        <f>IFERROR(IF(F1393&gt;=0,D1393*E1393*(1+F1393/100),ABS(D1393*E1393/F1393)),"")</f>
        <v>873.30764137500012</v>
      </c>
      <c r="H1393" s="43">
        <f>IFERROR(G1393*E1384,"")</f>
        <v>0</v>
      </c>
    </row>
    <row r="1394" spans="1:11">
      <c r="A1394" s="28"/>
      <c r="B1394" s="29"/>
      <c r="C1394" s="30" t="str">
        <f>IFERROR(_xlfn.XLOOKUP(B1394,Equipo[DESCRIPCION],Equipo[UND],,0),"")</f>
        <v/>
      </c>
      <c r="D1394" s="31"/>
      <c r="E1394" s="32" t="str">
        <f>IF(C1394="%MO",G1400,IFERROR(_xlfn.XLOOKUP($B1394,Equipo[DESCRIPCION],Equipo[VALOR],,0),""))</f>
        <v/>
      </c>
      <c r="F1394" s="33"/>
      <c r="G1394" s="34" t="str">
        <f>IFERROR(IF(F1394&gt;=0,D1394*E1394*(1+F1394/100),ABS(D1394*E1394/F1394)),"")</f>
        <v/>
      </c>
      <c r="H1394" s="43" t="str">
        <f>IFERROR(G1394*E1384,"")</f>
        <v/>
      </c>
    </row>
    <row r="1395" spans="1:11">
      <c r="A1395" s="28"/>
      <c r="B1395" s="29"/>
      <c r="C1395" s="30" t="str">
        <f>IFERROR(_xlfn.XLOOKUP(B1395,Equipo[DESCRIPCION],Equipo[UND],,0),"")</f>
        <v/>
      </c>
      <c r="D1395" s="31"/>
      <c r="E1395" s="32" t="str">
        <f>IF(C1395="%MO",G1401,IFERROR(_xlfn.XLOOKUP($B1395,Equipo[DESCRIPCION],Equipo[VALOR],,0),""))</f>
        <v/>
      </c>
      <c r="F1395" s="33"/>
      <c r="G1395" s="34" t="str">
        <f>IFERROR(IF(F1395&gt;=0,D1395*E1395*(1+F1395/100),ABS(D1395*E1395/F1395)),"")</f>
        <v/>
      </c>
      <c r="H1395" s="43" t="str">
        <f>IFERROR(G1395*E1384,"")</f>
        <v/>
      </c>
    </row>
    <row r="1396" spans="1:11">
      <c r="A1396" s="21"/>
      <c r="B1396" s="22" t="s">
        <v>2533</v>
      </c>
      <c r="C1396" s="23"/>
      <c r="D1396" s="24"/>
      <c r="E1396" s="25"/>
      <c r="F1396" s="26"/>
      <c r="G1396" s="27">
        <f>SUM(G1397:G1398)</f>
        <v>0</v>
      </c>
      <c r="H1396" s="44">
        <f>G1396*E1384</f>
        <v>0</v>
      </c>
    </row>
    <row r="1397" spans="1:11">
      <c r="A1397" s="28"/>
      <c r="B1397" s="29"/>
      <c r="C1397" s="30" t="str">
        <f>IFERROR(_xlfn.XLOOKUP(B1397,Transporte[DESCRIPCION],Transporte[UND],,0),"")</f>
        <v/>
      </c>
      <c r="D1397" s="31"/>
      <c r="E1397" s="32" t="str">
        <f>IFERROR(_xlfn.XLOOKUP($B1397,Transporte[DESCRIPCION],Transporte[VALOR],,0),"")</f>
        <v/>
      </c>
      <c r="F1397" s="33"/>
      <c r="G1397" s="34" t="str">
        <f>IFERROR(IF(F1397&gt;=0,D1397*E1397*(1+F1397/100),ABS(D1397*E1397/F1397)),"")</f>
        <v/>
      </c>
      <c r="H1397" s="43" t="str">
        <f>IFERROR(G1397*E1384,"")</f>
        <v/>
      </c>
    </row>
    <row r="1398" spans="1:11">
      <c r="A1398" s="28"/>
      <c r="B1398" s="29"/>
      <c r="C1398" s="30" t="str">
        <f>IFERROR(_xlfn.XLOOKUP(B1398,Transporte[DESCRIPCION],Transporte[UND],,0),"")</f>
        <v/>
      </c>
      <c r="D1398" s="31"/>
      <c r="E1398" s="32" t="str">
        <f>IFERROR(_xlfn.XLOOKUP($B1398,Transporte[DESCRIPCION],Transporte[VALOR],,0),"")</f>
        <v/>
      </c>
      <c r="F1398" s="33"/>
      <c r="G1398" s="34" t="str">
        <f>IFERROR(IF(F1398&gt;=0,D1398*E1398*(1+F1398/100),ABS(D1398*E1398/F1398)),"")</f>
        <v/>
      </c>
      <c r="H1398" s="43" t="str">
        <f>IFERROR(G1398*E1384,"")</f>
        <v/>
      </c>
    </row>
    <row r="1399" spans="1:11">
      <c r="A1399" s="21"/>
      <c r="B1399" s="22" t="s">
        <v>3732</v>
      </c>
      <c r="C1399" s="23"/>
      <c r="D1399" s="24"/>
      <c r="E1399" s="25"/>
      <c r="F1399" s="26"/>
      <c r="G1399" s="27">
        <f>SUM(G1400:G1402)</f>
        <v>17466.152827500002</v>
      </c>
      <c r="H1399" s="44">
        <f>G1399*E1384</f>
        <v>0</v>
      </c>
    </row>
    <row r="1400" spans="1:11">
      <c r="A1400" s="28"/>
      <c r="B1400" s="29" t="s">
        <v>3710</v>
      </c>
      <c r="C1400" s="30" t="str">
        <f>IFERROR(_xlfn.XLOOKUP(B1400,MObra[DESCRIPCION],MObra[UN],,0),"")</f>
        <v>día</v>
      </c>
      <c r="D1400" s="31">
        <v>1</v>
      </c>
      <c r="E1400" s="32">
        <f>IFERROR(_xlfn.XLOOKUP($B1400,MObra[DESCRIPCION],MObra[VALOR UNIT],,0),"")</f>
        <v>314390.75089500006</v>
      </c>
      <c r="F1400" s="33">
        <v>-18</v>
      </c>
      <c r="G1400" s="34">
        <f>IFERROR(IF(F1400&gt;=0,D1400*E1400*(1+F1400/100),ABS(D1400*E1400/F1400)),"")</f>
        <v>17466.152827500002</v>
      </c>
      <c r="H1400" s="43">
        <f>IFERROR(G1400*E1384,"")</f>
        <v>0</v>
      </c>
    </row>
    <row r="1401" spans="1:11">
      <c r="A1401" s="28"/>
      <c r="B1401" s="29"/>
      <c r="C1401" s="30" t="str">
        <f>IFERROR(_xlfn.XLOOKUP(B1401,MObra[DESCRIPCION],MObra[UN],,0),"")</f>
        <v/>
      </c>
      <c r="D1401" s="31"/>
      <c r="E1401" s="32" t="str">
        <f>IFERROR(_xlfn.XLOOKUP($B1401,MObra[DESCRIPCION],MObra[VALOR UNIT],,0),"")</f>
        <v/>
      </c>
      <c r="F1401" s="33"/>
      <c r="G1401" s="34" t="str">
        <f>IFERROR(IF(F1401&gt;=0,D1401*E1401*(1+F1401/100),ABS(D1401*E1401/F1401)),"")</f>
        <v/>
      </c>
      <c r="H1401" s="43" t="str">
        <f>IFERROR(G1401*E1384,"")</f>
        <v/>
      </c>
    </row>
    <row r="1402" spans="1:11" ht="13.15" thickBot="1">
      <c r="A1402" s="35"/>
      <c r="B1402" s="36"/>
      <c r="C1402" s="37" t="str">
        <f>IFERROR(_xlfn.XLOOKUP(B1402,MObra[DESCRIPCION],MObra[UN],,0),"")</f>
        <v/>
      </c>
      <c r="D1402" s="38"/>
      <c r="E1402" s="39" t="str">
        <f>IFERROR(_xlfn.XLOOKUP($B1402,MObra[DESCRIPCION],MObra[VALOR UNIT],,0),"")</f>
        <v/>
      </c>
      <c r="F1402" s="40"/>
      <c r="G1402" s="41" t="str">
        <f>IFERROR(IF(F1402&gt;=0,D1402*E1402*(1+F1402/100),ABS(D1402*E1402/F1402)),"")</f>
        <v/>
      </c>
      <c r="H1402" s="42" t="str">
        <f>IFERROR(G1402*E1384,"")</f>
        <v/>
      </c>
    </row>
    <row r="1403" spans="1:11" ht="12.75" customHeight="1" thickTop="1" thickBot="1"/>
    <row r="1404" spans="1:11" ht="13.5" thickTop="1" thickBot="1">
      <c r="A1404" s="6" t="s">
        <v>2178</v>
      </c>
      <c r="B1404" s="7" t="str">
        <f>VLOOKUP($A1404,Presupuesto!$A:$D,2,FALSE())</f>
        <v>Tubería PVC Novafort 400 mm</v>
      </c>
      <c r="C1404" s="8" t="str">
        <f>VLOOKUP($A1404,Presupuesto!$A:$D,3,FALSE())</f>
        <v>M</v>
      </c>
      <c r="D1404" s="9"/>
      <c r="E1404" s="10">
        <f>VLOOKUP($A1404,Presupuesto!$A:$D,4,FALSE())</f>
        <v>0</v>
      </c>
      <c r="F1404" s="11" t="s">
        <v>2589</v>
      </c>
      <c r="G1404" s="12">
        <f>SUM(G1406:G1422)/2</f>
        <v>378284.22652748437</v>
      </c>
      <c r="H1404" s="13">
        <f>ROUND(SUM(H1406:H1422),0)/2</f>
        <v>0</v>
      </c>
      <c r="I1404" s="10">
        <f>VLOOKUP(A1404,Presupuesto!$A:$F,6,0)</f>
        <v>0</v>
      </c>
      <c r="J1404" s="10">
        <f>+H1404-I1404</f>
        <v>0</v>
      </c>
      <c r="K1404" s="46">
        <f>+H1404-G1404*E1404</f>
        <v>0</v>
      </c>
    </row>
    <row r="1405" spans="1:11">
      <c r="A1405" s="14"/>
      <c r="B1405" s="15" t="s">
        <v>2586</v>
      </c>
      <c r="C1405" s="15" t="s">
        <v>5</v>
      </c>
      <c r="D1405" s="16" t="s">
        <v>6</v>
      </c>
      <c r="E1405" s="17" t="s">
        <v>7</v>
      </c>
      <c r="F1405" s="18" t="s">
        <v>3728</v>
      </c>
      <c r="G1405" s="19" t="s">
        <v>3729</v>
      </c>
      <c r="H1405" s="20" t="s">
        <v>3797</v>
      </c>
    </row>
    <row r="1406" spans="1:11">
      <c r="A1406" s="21"/>
      <c r="B1406" s="22" t="s">
        <v>3730</v>
      </c>
      <c r="C1406" s="23"/>
      <c r="D1406" s="24"/>
      <c r="E1406" s="25"/>
      <c r="F1406" s="26"/>
      <c r="G1406" s="27">
        <f>SUM(G1407:G1411)</f>
        <v>357652.33350000001</v>
      </c>
      <c r="H1406" s="27">
        <f>IFERROR(G1406*E1404,"")</f>
        <v>0</v>
      </c>
    </row>
    <row r="1407" spans="1:11">
      <c r="A1407" s="28"/>
      <c r="B1407" s="29" t="s">
        <v>3483</v>
      </c>
      <c r="C1407" s="30" t="str">
        <f>IFERROR(_xlfn.XLOOKUP(B1407,Insumo[DESCRIPCION],Insumo[UND],,0),"")</f>
        <v>M</v>
      </c>
      <c r="D1407" s="31">
        <v>1</v>
      </c>
      <c r="E1407" s="32">
        <f>IFERROR(_xlfn.XLOOKUP($B1407,Insumo[DESCRIPCION],Insumo[VALOR],,0),"")</f>
        <v>329026.95</v>
      </c>
      <c r="F1407" s="33">
        <v>3</v>
      </c>
      <c r="G1407" s="34">
        <f>IFERROR(IF(F1407&gt;=0,D1407*E1407*(1+F1407/100),ABS(D1407*E1407/F1407)),"")</f>
        <v>338897.7585</v>
      </c>
      <c r="H1407" s="43">
        <f>IFERROR(G1407*E1404,"")</f>
        <v>0</v>
      </c>
    </row>
    <row r="1408" spans="1:11">
      <c r="A1408" s="28"/>
      <c r="B1408" s="29" t="s">
        <v>3060</v>
      </c>
      <c r="C1408" s="30" t="str">
        <f>IFERROR(_xlfn.XLOOKUP(B1408,Insumo[DESCRIPCION],Insumo[UND],,0),"")</f>
        <v>Kg</v>
      </c>
      <c r="D1408" s="31">
        <v>0.5</v>
      </c>
      <c r="E1408" s="32">
        <f>IFERROR(_xlfn.XLOOKUP($B1408,Insumo[DESCRIPCION],Insumo[VALOR],,0),"")</f>
        <v>37509.15</v>
      </c>
      <c r="F1408" s="33"/>
      <c r="G1408" s="34">
        <f>IFERROR(IF(F1408&gt;=0,D1408*E1408*(1+F1408/100),ABS(D1408*E1408/F1408)),"")</f>
        <v>18754.575000000001</v>
      </c>
      <c r="H1408" s="43">
        <f>IFERROR(G1408*E1404,"")</f>
        <v>0</v>
      </c>
    </row>
    <row r="1409" spans="1:11">
      <c r="A1409" s="28"/>
      <c r="B1409" s="29"/>
      <c r="C1409" s="30" t="str">
        <f>IFERROR(_xlfn.XLOOKUP(B1409,Insumo[DESCRIPCION],Insumo[UND],,0),"")</f>
        <v/>
      </c>
      <c r="D1409" s="31"/>
      <c r="E1409" s="32" t="str">
        <f>IFERROR(_xlfn.XLOOKUP($B1409,Insumo[DESCRIPCION],Insumo[VALOR],,0),"")</f>
        <v/>
      </c>
      <c r="F1409" s="33"/>
      <c r="G1409" s="34" t="str">
        <f>IFERROR(IF(F1409&gt;=0,D1409*E1409*(1+F1409/100),ABS(D1409*E1409/F1409)),"")</f>
        <v/>
      </c>
      <c r="H1409" s="43" t="str">
        <f>IFERROR(G1409*E1404,"")</f>
        <v/>
      </c>
    </row>
    <row r="1410" spans="1:11">
      <c r="A1410" s="28"/>
      <c r="B1410" s="29"/>
      <c r="C1410" s="30" t="str">
        <f>IFERROR(_xlfn.XLOOKUP(B1410,Insumo[DESCRIPCION],Insumo[UND],,0),"")</f>
        <v/>
      </c>
      <c r="D1410" s="31"/>
      <c r="E1410" s="32" t="str">
        <f>IFERROR(_xlfn.XLOOKUP($B1410,Insumo[DESCRIPCION],Insumo[VALOR],,0),"")</f>
        <v/>
      </c>
      <c r="F1410" s="33"/>
      <c r="G1410" s="34" t="str">
        <f>IFERROR(IF(F1410&gt;=0,D1410*E1410*(1+F1410/100),ABS(D1410*E1410/F1410)),"")</f>
        <v/>
      </c>
      <c r="H1410" s="43" t="str">
        <f>IFERROR(G1410*E1404,"")</f>
        <v/>
      </c>
    </row>
    <row r="1411" spans="1:11">
      <c r="A1411" s="28"/>
      <c r="B1411" s="29"/>
      <c r="C1411" s="30" t="str">
        <f>IFERROR(_xlfn.XLOOKUP(B1411,Insumo[DESCRIPCION],Insumo[UND],,0),"")</f>
        <v/>
      </c>
      <c r="D1411" s="31"/>
      <c r="E1411" s="32" t="str">
        <f>IFERROR(_xlfn.XLOOKUP($B1411,Insumo[DESCRIPCION],Insumo[VALOR],,0),"")</f>
        <v/>
      </c>
      <c r="F1411" s="33"/>
      <c r="G1411" s="34" t="str">
        <f>IFERROR(IF(F1411&gt;=0,D1411*E1411*(1+F1411/100),ABS(D1411*E1411/F1411)),"")</f>
        <v/>
      </c>
      <c r="H1411" s="43" t="str">
        <f>IFERROR(G1411*E1404,"")</f>
        <v/>
      </c>
    </row>
    <row r="1412" spans="1:11">
      <c r="A1412" s="21"/>
      <c r="B1412" s="22" t="s">
        <v>3731</v>
      </c>
      <c r="C1412" s="23"/>
      <c r="D1412" s="24"/>
      <c r="E1412" s="25"/>
      <c r="F1412" s="26"/>
      <c r="G1412" s="27">
        <f>SUM(G1413:G1415)</f>
        <v>982.47109654687529</v>
      </c>
      <c r="H1412" s="44">
        <f>G1412*E1404</f>
        <v>0</v>
      </c>
    </row>
    <row r="1413" spans="1:11">
      <c r="A1413" s="28"/>
      <c r="B1413" s="29" t="s">
        <v>3626</v>
      </c>
      <c r="C1413" s="30" t="str">
        <f>IFERROR(_xlfn.XLOOKUP(B1413,Equipo[DESCRIPCION],Equipo[UND],,0),"")</f>
        <v>%MO</v>
      </c>
      <c r="D1413" s="31">
        <v>0.05</v>
      </c>
      <c r="E1413" s="32">
        <f>IF(C1413="%MO",G1419,IFERROR(_xlfn.XLOOKUP($B1413,Equipo[DESCRIPCION],Equipo[VALOR],,0),""))</f>
        <v>19649.421930937504</v>
      </c>
      <c r="F1413" s="33"/>
      <c r="G1413" s="34">
        <f>IFERROR(IF(F1413&gt;=0,D1413*E1413*(1+F1413/100),ABS(D1413*E1413/F1413)),"")</f>
        <v>982.47109654687529</v>
      </c>
      <c r="H1413" s="43">
        <f>IFERROR(G1413*E1404,"")</f>
        <v>0</v>
      </c>
    </row>
    <row r="1414" spans="1:11">
      <c r="A1414" s="28"/>
      <c r="B1414" s="29"/>
      <c r="C1414" s="30" t="str">
        <f>IFERROR(_xlfn.XLOOKUP(B1414,Equipo[DESCRIPCION],Equipo[UND],,0),"")</f>
        <v/>
      </c>
      <c r="D1414" s="31"/>
      <c r="E1414" s="32" t="str">
        <f>IF(C1414="%MO",G1420,IFERROR(_xlfn.XLOOKUP($B1414,Equipo[DESCRIPCION],Equipo[VALOR],,0),""))</f>
        <v/>
      </c>
      <c r="F1414" s="33"/>
      <c r="G1414" s="34" t="str">
        <f>IFERROR(IF(F1414&gt;=0,D1414*E1414*(1+F1414/100),ABS(D1414*E1414/F1414)),"")</f>
        <v/>
      </c>
      <c r="H1414" s="43" t="str">
        <f>IFERROR(G1414*E1404,"")</f>
        <v/>
      </c>
    </row>
    <row r="1415" spans="1:11">
      <c r="A1415" s="28"/>
      <c r="B1415" s="29"/>
      <c r="C1415" s="30" t="str">
        <f>IFERROR(_xlfn.XLOOKUP(B1415,Equipo[DESCRIPCION],Equipo[UND],,0),"")</f>
        <v/>
      </c>
      <c r="D1415" s="31"/>
      <c r="E1415" s="32" t="str">
        <f>IF(C1415="%MO",G1421,IFERROR(_xlfn.XLOOKUP($B1415,Equipo[DESCRIPCION],Equipo[VALOR],,0),""))</f>
        <v/>
      </c>
      <c r="F1415" s="33"/>
      <c r="G1415" s="34" t="str">
        <f>IFERROR(IF(F1415&gt;=0,D1415*E1415*(1+F1415/100),ABS(D1415*E1415/F1415)),"")</f>
        <v/>
      </c>
      <c r="H1415" s="43" t="str">
        <f>IFERROR(G1415*E1404,"")</f>
        <v/>
      </c>
    </row>
    <row r="1416" spans="1:11">
      <c r="A1416" s="21"/>
      <c r="B1416" s="22" t="s">
        <v>2533</v>
      </c>
      <c r="C1416" s="23"/>
      <c r="D1416" s="24"/>
      <c r="E1416" s="25"/>
      <c r="F1416" s="26"/>
      <c r="G1416" s="27">
        <f>SUM(G1417:G1418)</f>
        <v>0</v>
      </c>
      <c r="H1416" s="44">
        <f>G1416*E1404</f>
        <v>0</v>
      </c>
    </row>
    <row r="1417" spans="1:11">
      <c r="A1417" s="28"/>
      <c r="B1417" s="29"/>
      <c r="C1417" s="30" t="str">
        <f>IFERROR(_xlfn.XLOOKUP(B1417,Transporte[DESCRIPCION],Transporte[UND],,0),"")</f>
        <v/>
      </c>
      <c r="D1417" s="31"/>
      <c r="E1417" s="32" t="str">
        <f>IFERROR(_xlfn.XLOOKUP($B1417,Transporte[DESCRIPCION],Transporte[VALOR],,0),"")</f>
        <v/>
      </c>
      <c r="F1417" s="33"/>
      <c r="G1417" s="34" t="str">
        <f>IFERROR(IF(F1417&gt;=0,D1417*E1417*(1+F1417/100),ABS(D1417*E1417/F1417)),"")</f>
        <v/>
      </c>
      <c r="H1417" s="43" t="str">
        <f>IFERROR(G1417*E1404,"")</f>
        <v/>
      </c>
    </row>
    <row r="1418" spans="1:11">
      <c r="A1418" s="28"/>
      <c r="B1418" s="29"/>
      <c r="C1418" s="30" t="str">
        <f>IFERROR(_xlfn.XLOOKUP(B1418,Transporte[DESCRIPCION],Transporte[UND],,0),"")</f>
        <v/>
      </c>
      <c r="D1418" s="31"/>
      <c r="E1418" s="32" t="str">
        <f>IFERROR(_xlfn.XLOOKUP($B1418,Transporte[DESCRIPCION],Transporte[VALOR],,0),"")</f>
        <v/>
      </c>
      <c r="F1418" s="33"/>
      <c r="G1418" s="34" t="str">
        <f>IFERROR(IF(F1418&gt;=0,D1418*E1418*(1+F1418/100),ABS(D1418*E1418/F1418)),"")</f>
        <v/>
      </c>
      <c r="H1418" s="43" t="str">
        <f>IFERROR(G1418*E1404,"")</f>
        <v/>
      </c>
    </row>
    <row r="1419" spans="1:11">
      <c r="A1419" s="21"/>
      <c r="B1419" s="22" t="s">
        <v>3732</v>
      </c>
      <c r="C1419" s="23"/>
      <c r="D1419" s="24"/>
      <c r="E1419" s="25"/>
      <c r="F1419" s="26"/>
      <c r="G1419" s="27">
        <f>SUM(G1420:G1422)</f>
        <v>19649.421930937504</v>
      </c>
      <c r="H1419" s="44">
        <f>G1419*E1404</f>
        <v>0</v>
      </c>
    </row>
    <row r="1420" spans="1:11">
      <c r="A1420" s="28"/>
      <c r="B1420" s="29" t="s">
        <v>3710</v>
      </c>
      <c r="C1420" s="30" t="str">
        <f>IFERROR(_xlfn.XLOOKUP(B1420,MObra[DESCRIPCION],MObra[UN],,0),"")</f>
        <v>día</v>
      </c>
      <c r="D1420" s="31">
        <v>1</v>
      </c>
      <c r="E1420" s="32">
        <f>IFERROR(_xlfn.XLOOKUP($B1420,MObra[DESCRIPCION],MObra[VALOR UNIT],,0),"")</f>
        <v>314390.75089500006</v>
      </c>
      <c r="F1420" s="33">
        <v>-16</v>
      </c>
      <c r="G1420" s="34">
        <f>IFERROR(IF(F1420&gt;=0,D1420*E1420*(1+F1420/100),ABS(D1420*E1420/F1420)),"")</f>
        <v>19649.421930937504</v>
      </c>
      <c r="H1420" s="43">
        <f>IFERROR(G1420*E1404,"")</f>
        <v>0</v>
      </c>
    </row>
    <row r="1421" spans="1:11">
      <c r="A1421" s="28"/>
      <c r="B1421" s="29"/>
      <c r="C1421" s="30" t="str">
        <f>IFERROR(_xlfn.XLOOKUP(B1421,MObra[DESCRIPCION],MObra[UN],,0),"")</f>
        <v/>
      </c>
      <c r="D1421" s="31"/>
      <c r="E1421" s="32" t="str">
        <f>IFERROR(_xlfn.XLOOKUP($B1421,MObra[DESCRIPCION],MObra[VALOR UNIT],,0),"")</f>
        <v/>
      </c>
      <c r="F1421" s="33"/>
      <c r="G1421" s="34" t="str">
        <f>IFERROR(IF(F1421&gt;=0,D1421*E1421*(1+F1421/100),ABS(D1421*E1421/F1421)),"")</f>
        <v/>
      </c>
      <c r="H1421" s="43" t="str">
        <f>IFERROR(G1421*E1404,"")</f>
        <v/>
      </c>
    </row>
    <row r="1422" spans="1:11">
      <c r="A1422" s="35"/>
      <c r="B1422" s="36"/>
      <c r="C1422" s="37" t="str">
        <f>IFERROR(_xlfn.XLOOKUP(B1422,MObra[DESCRIPCION],MObra[UN],,0),"")</f>
        <v/>
      </c>
      <c r="D1422" s="38"/>
      <c r="E1422" s="39" t="str">
        <f>IFERROR(_xlfn.XLOOKUP($B1422,MObra[DESCRIPCION],MObra[VALOR UNIT],,0),"")</f>
        <v/>
      </c>
      <c r="F1422" s="40"/>
      <c r="G1422" s="41" t="str">
        <f>IFERROR(IF(F1422&gt;=0,D1422*E1422*(1+F1422/100),ABS(D1422*E1422/F1422)),"")</f>
        <v/>
      </c>
      <c r="H1422" s="42" t="str">
        <f>IFERROR(G1422*E1404,"")</f>
        <v/>
      </c>
    </row>
    <row r="1423" spans="1:11" ht="12.75" customHeight="1"/>
    <row r="1424" spans="1:11">
      <c r="A1424" s="6" t="s">
        <v>2180</v>
      </c>
      <c r="B1424" s="7" t="str">
        <f>VLOOKUP($A1424,Presupuesto!$A:$D,2,FALSE())</f>
        <v>Tubería PVC Novafort 450 mm</v>
      </c>
      <c r="C1424" s="8" t="str">
        <f>VLOOKUP($A1424,Presupuesto!$A:$D,3,FALSE())</f>
        <v>M</v>
      </c>
      <c r="D1424" s="9"/>
      <c r="E1424" s="10">
        <f>VLOOKUP($A1424,Presupuesto!$A:$D,4,FALSE())</f>
        <v>0</v>
      </c>
      <c r="F1424" s="11" t="s">
        <v>2589</v>
      </c>
      <c r="G1424" s="12">
        <f>SUM(G1426:G1442)/2</f>
        <v>507873.12681712501</v>
      </c>
      <c r="H1424" s="13">
        <f>ROUND(SUM(H1426:H1442),0)/2</f>
        <v>0</v>
      </c>
      <c r="I1424" s="10">
        <f>VLOOKUP(A1424,Presupuesto!$A:$F,6,0)</f>
        <v>0</v>
      </c>
      <c r="J1424" s="10">
        <f>+H1424-I1424</f>
        <v>0</v>
      </c>
      <c r="K1424" s="46">
        <f>+H1424-G1424*E1424</f>
        <v>0</v>
      </c>
    </row>
    <row r="1425" spans="1:8">
      <c r="A1425" s="14"/>
      <c r="B1425" s="15" t="s">
        <v>2586</v>
      </c>
      <c r="C1425" s="15" t="s">
        <v>5</v>
      </c>
      <c r="D1425" s="16" t="s">
        <v>6</v>
      </c>
      <c r="E1425" s="17" t="s">
        <v>7</v>
      </c>
      <c r="F1425" s="18" t="s">
        <v>3728</v>
      </c>
      <c r="G1425" s="19" t="s">
        <v>3729</v>
      </c>
      <c r="H1425" s="20" t="s">
        <v>3797</v>
      </c>
    </row>
    <row r="1426" spans="1:8">
      <c r="A1426" s="21"/>
      <c r="B1426" s="22" t="s">
        <v>3730</v>
      </c>
      <c r="C1426" s="23"/>
      <c r="D1426" s="24"/>
      <c r="E1426" s="25"/>
      <c r="F1426" s="26"/>
      <c r="G1426" s="27">
        <f>SUM(G1427:G1431)</f>
        <v>484293.82050000003</v>
      </c>
      <c r="H1426" s="27">
        <f>IFERROR(G1426*E1424,"")</f>
        <v>0</v>
      </c>
    </row>
    <row r="1427" spans="1:8">
      <c r="A1427" s="28"/>
      <c r="B1427" s="29" t="s">
        <v>3484</v>
      </c>
      <c r="C1427" s="30" t="str">
        <f>IFERROR(_xlfn.XLOOKUP(B1427,Insumo[DESCRIPCION],Insumo[UND],,0),"")</f>
        <v>M</v>
      </c>
      <c r="D1427" s="31">
        <v>1</v>
      </c>
      <c r="E1427" s="32">
        <f>IFERROR(_xlfn.XLOOKUP($B1427,Insumo[DESCRIPCION],Insumo[VALOR],,0),"")</f>
        <v>451979.85000000003</v>
      </c>
      <c r="F1427" s="33">
        <v>3</v>
      </c>
      <c r="G1427" s="34">
        <f>IFERROR(IF(F1427&gt;=0,D1427*E1427*(1+F1427/100),ABS(D1427*E1427/F1427)),"")</f>
        <v>465539.24550000002</v>
      </c>
      <c r="H1427" s="43">
        <f>IFERROR(G1427*E1424,"")</f>
        <v>0</v>
      </c>
    </row>
    <row r="1428" spans="1:8">
      <c r="A1428" s="28"/>
      <c r="B1428" s="29" t="s">
        <v>3060</v>
      </c>
      <c r="C1428" s="30" t="str">
        <f>IFERROR(_xlfn.XLOOKUP(B1428,Insumo[DESCRIPCION],Insumo[UND],,0),"")</f>
        <v>Kg</v>
      </c>
      <c r="D1428" s="31">
        <v>0.5</v>
      </c>
      <c r="E1428" s="32">
        <f>IFERROR(_xlfn.XLOOKUP($B1428,Insumo[DESCRIPCION],Insumo[VALOR],,0),"")</f>
        <v>37509.15</v>
      </c>
      <c r="F1428" s="33"/>
      <c r="G1428" s="34">
        <f>IFERROR(IF(F1428&gt;=0,D1428*E1428*(1+F1428/100),ABS(D1428*E1428/F1428)),"")</f>
        <v>18754.575000000001</v>
      </c>
      <c r="H1428" s="43">
        <f>IFERROR(G1428*E1424,"")</f>
        <v>0</v>
      </c>
    </row>
    <row r="1429" spans="1:8">
      <c r="A1429" s="28"/>
      <c r="B1429" s="29"/>
      <c r="C1429" s="30" t="str">
        <f>IFERROR(_xlfn.XLOOKUP(B1429,Insumo[DESCRIPCION],Insumo[UND],,0),"")</f>
        <v/>
      </c>
      <c r="D1429" s="31"/>
      <c r="E1429" s="32" t="str">
        <f>IFERROR(_xlfn.XLOOKUP($B1429,Insumo[DESCRIPCION],Insumo[VALOR],,0),"")</f>
        <v/>
      </c>
      <c r="F1429" s="33"/>
      <c r="G1429" s="34" t="str">
        <f>IFERROR(IF(F1429&gt;=0,D1429*E1429*(1+F1429/100),ABS(D1429*E1429/F1429)),"")</f>
        <v/>
      </c>
      <c r="H1429" s="43" t="str">
        <f>IFERROR(G1429*E1424,"")</f>
        <v/>
      </c>
    </row>
    <row r="1430" spans="1:8">
      <c r="A1430" s="28"/>
      <c r="B1430" s="29"/>
      <c r="C1430" s="30" t="str">
        <f>IFERROR(_xlfn.XLOOKUP(B1430,Insumo[DESCRIPCION],Insumo[UND],,0),"")</f>
        <v/>
      </c>
      <c r="D1430" s="31"/>
      <c r="E1430" s="32" t="str">
        <f>IFERROR(_xlfn.XLOOKUP($B1430,Insumo[DESCRIPCION],Insumo[VALOR],,0),"")</f>
        <v/>
      </c>
      <c r="F1430" s="33"/>
      <c r="G1430" s="34" t="str">
        <f>IFERROR(IF(F1430&gt;=0,D1430*E1430*(1+F1430/100),ABS(D1430*E1430/F1430)),"")</f>
        <v/>
      </c>
      <c r="H1430" s="43" t="str">
        <f>IFERROR(G1430*E1424,"")</f>
        <v/>
      </c>
    </row>
    <row r="1431" spans="1:8">
      <c r="A1431" s="28"/>
      <c r="B1431" s="29"/>
      <c r="C1431" s="30" t="str">
        <f>IFERROR(_xlfn.XLOOKUP(B1431,Insumo[DESCRIPCION],Insumo[UND],,0),"")</f>
        <v/>
      </c>
      <c r="D1431" s="31"/>
      <c r="E1431" s="32" t="str">
        <f>IFERROR(_xlfn.XLOOKUP($B1431,Insumo[DESCRIPCION],Insumo[VALOR],,0),"")</f>
        <v/>
      </c>
      <c r="F1431" s="33"/>
      <c r="G1431" s="34" t="str">
        <f>IFERROR(IF(F1431&gt;=0,D1431*E1431*(1+F1431/100),ABS(D1431*E1431/F1431)),"")</f>
        <v/>
      </c>
      <c r="H1431" s="43" t="str">
        <f>IFERROR(G1431*E1424,"")</f>
        <v/>
      </c>
    </row>
    <row r="1432" spans="1:8">
      <c r="A1432" s="21"/>
      <c r="B1432" s="22" t="s">
        <v>3731</v>
      </c>
      <c r="C1432" s="23"/>
      <c r="D1432" s="24"/>
      <c r="E1432" s="25"/>
      <c r="F1432" s="26"/>
      <c r="G1432" s="27">
        <f>SUM(G1433:G1435)</f>
        <v>1122.8241103392861</v>
      </c>
      <c r="H1432" s="44">
        <f>G1432*E1424</f>
        <v>0</v>
      </c>
    </row>
    <row r="1433" spans="1:8">
      <c r="A1433" s="28"/>
      <c r="B1433" s="29" t="s">
        <v>3626</v>
      </c>
      <c r="C1433" s="30" t="str">
        <f>IFERROR(_xlfn.XLOOKUP(B1433,Equipo[DESCRIPCION],Equipo[UND],,0),"")</f>
        <v>%MO</v>
      </c>
      <c r="D1433" s="31">
        <v>0.05</v>
      </c>
      <c r="E1433" s="32">
        <f>IF(C1433="%MO",G1439,IFERROR(_xlfn.XLOOKUP($B1433,Equipo[DESCRIPCION],Equipo[VALOR],,0),""))</f>
        <v>22456.48220678572</v>
      </c>
      <c r="F1433" s="33"/>
      <c r="G1433" s="34">
        <f>IFERROR(IF(F1433&gt;=0,D1433*E1433*(1+F1433/100),ABS(D1433*E1433/F1433)),"")</f>
        <v>1122.8241103392861</v>
      </c>
      <c r="H1433" s="43">
        <f>IFERROR(G1433*E1424,"")</f>
        <v>0</v>
      </c>
    </row>
    <row r="1434" spans="1:8">
      <c r="A1434" s="28"/>
      <c r="B1434" s="29"/>
      <c r="C1434" s="30" t="str">
        <f>IFERROR(_xlfn.XLOOKUP(B1434,Equipo[DESCRIPCION],Equipo[UND],,0),"")</f>
        <v/>
      </c>
      <c r="D1434" s="31"/>
      <c r="E1434" s="32" t="str">
        <f>IF(C1434="%MO",G1440,IFERROR(_xlfn.XLOOKUP($B1434,Equipo[DESCRIPCION],Equipo[VALOR],,0),""))</f>
        <v/>
      </c>
      <c r="F1434" s="33"/>
      <c r="G1434" s="34" t="str">
        <f>IFERROR(IF(F1434&gt;=0,D1434*E1434*(1+F1434/100),ABS(D1434*E1434/F1434)),"")</f>
        <v/>
      </c>
      <c r="H1434" s="43" t="str">
        <f>IFERROR(G1434*E1424,"")</f>
        <v/>
      </c>
    </row>
    <row r="1435" spans="1:8">
      <c r="A1435" s="28"/>
      <c r="B1435" s="29"/>
      <c r="C1435" s="30" t="str">
        <f>IFERROR(_xlfn.XLOOKUP(B1435,Equipo[DESCRIPCION],Equipo[UND],,0),"")</f>
        <v/>
      </c>
      <c r="D1435" s="31"/>
      <c r="E1435" s="32" t="str">
        <f>IF(C1435="%MO",G1441,IFERROR(_xlfn.XLOOKUP($B1435,Equipo[DESCRIPCION],Equipo[VALOR],,0),""))</f>
        <v/>
      </c>
      <c r="F1435" s="33"/>
      <c r="G1435" s="34" t="str">
        <f>IFERROR(IF(F1435&gt;=0,D1435*E1435*(1+F1435/100),ABS(D1435*E1435/F1435)),"")</f>
        <v/>
      </c>
      <c r="H1435" s="43" t="str">
        <f>IFERROR(G1435*E1424,"")</f>
        <v/>
      </c>
    </row>
    <row r="1436" spans="1:8">
      <c r="A1436" s="21"/>
      <c r="B1436" s="22" t="s">
        <v>2533</v>
      </c>
      <c r="C1436" s="23"/>
      <c r="D1436" s="24"/>
      <c r="E1436" s="25"/>
      <c r="F1436" s="26"/>
      <c r="G1436" s="27">
        <f>SUM(G1437:G1438)</f>
        <v>0</v>
      </c>
      <c r="H1436" s="44">
        <f>G1436*E1424</f>
        <v>0</v>
      </c>
    </row>
    <row r="1437" spans="1:8">
      <c r="A1437" s="28"/>
      <c r="B1437" s="29"/>
      <c r="C1437" s="30" t="str">
        <f>IFERROR(_xlfn.XLOOKUP(B1437,Transporte[DESCRIPCION],Transporte[UND],,0),"")</f>
        <v/>
      </c>
      <c r="D1437" s="31"/>
      <c r="E1437" s="32" t="str">
        <f>IFERROR(_xlfn.XLOOKUP($B1437,Transporte[DESCRIPCION],Transporte[VALOR],,0),"")</f>
        <v/>
      </c>
      <c r="F1437" s="33"/>
      <c r="G1437" s="34" t="str">
        <f>IFERROR(IF(F1437&gt;=0,D1437*E1437*(1+F1437/100),ABS(D1437*E1437/F1437)),"")</f>
        <v/>
      </c>
      <c r="H1437" s="43" t="str">
        <f>IFERROR(G1437*E1424,"")</f>
        <v/>
      </c>
    </row>
    <row r="1438" spans="1:8">
      <c r="A1438" s="28"/>
      <c r="B1438" s="29"/>
      <c r="C1438" s="30" t="str">
        <f>IFERROR(_xlfn.XLOOKUP(B1438,Transporte[DESCRIPCION],Transporte[UND],,0),"")</f>
        <v/>
      </c>
      <c r="D1438" s="31"/>
      <c r="E1438" s="32" t="str">
        <f>IFERROR(_xlfn.XLOOKUP($B1438,Transporte[DESCRIPCION],Transporte[VALOR],,0),"")</f>
        <v/>
      </c>
      <c r="F1438" s="33"/>
      <c r="G1438" s="34" t="str">
        <f>IFERROR(IF(F1438&gt;=0,D1438*E1438*(1+F1438/100),ABS(D1438*E1438/F1438)),"")</f>
        <v/>
      </c>
      <c r="H1438" s="43" t="str">
        <f>IFERROR(G1438*E1424,"")</f>
        <v/>
      </c>
    </row>
    <row r="1439" spans="1:8">
      <c r="A1439" s="21"/>
      <c r="B1439" s="22" t="s">
        <v>3732</v>
      </c>
      <c r="C1439" s="23"/>
      <c r="D1439" s="24"/>
      <c r="E1439" s="25"/>
      <c r="F1439" s="26"/>
      <c r="G1439" s="27">
        <f>SUM(G1440:G1442)</f>
        <v>22456.48220678572</v>
      </c>
      <c r="H1439" s="44">
        <f>G1439*E1424</f>
        <v>0</v>
      </c>
    </row>
    <row r="1440" spans="1:8">
      <c r="A1440" s="28"/>
      <c r="B1440" s="29" t="s">
        <v>3710</v>
      </c>
      <c r="C1440" s="30" t="str">
        <f>IFERROR(_xlfn.XLOOKUP(B1440,MObra[DESCRIPCION],MObra[UN],,0),"")</f>
        <v>día</v>
      </c>
      <c r="D1440" s="31">
        <v>1</v>
      </c>
      <c r="E1440" s="32">
        <f>IFERROR(_xlfn.XLOOKUP($B1440,MObra[DESCRIPCION],MObra[VALOR UNIT],,0),"")</f>
        <v>314390.75089500006</v>
      </c>
      <c r="F1440" s="33">
        <v>-14</v>
      </c>
      <c r="G1440" s="34">
        <f>IFERROR(IF(F1440&gt;=0,D1440*E1440*(1+F1440/100),ABS(D1440*E1440/F1440)),"")</f>
        <v>22456.48220678572</v>
      </c>
      <c r="H1440" s="43">
        <f>IFERROR(G1440*E1424,"")</f>
        <v>0</v>
      </c>
    </row>
    <row r="1441" spans="1:11">
      <c r="A1441" s="28"/>
      <c r="B1441" s="29"/>
      <c r="C1441" s="30" t="str">
        <f>IFERROR(_xlfn.XLOOKUP(B1441,MObra[DESCRIPCION],MObra[UN],,0),"")</f>
        <v/>
      </c>
      <c r="D1441" s="31"/>
      <c r="E1441" s="32" t="str">
        <f>IFERROR(_xlfn.XLOOKUP($B1441,MObra[DESCRIPCION],MObra[VALOR UNIT],,0),"")</f>
        <v/>
      </c>
      <c r="F1441" s="33"/>
      <c r="G1441" s="34" t="str">
        <f>IFERROR(IF(F1441&gt;=0,D1441*E1441*(1+F1441/100),ABS(D1441*E1441/F1441)),"")</f>
        <v/>
      </c>
      <c r="H1441" s="43" t="str">
        <f>IFERROR(G1441*E1424,"")</f>
        <v/>
      </c>
    </row>
    <row r="1442" spans="1:11">
      <c r="A1442" s="35"/>
      <c r="B1442" s="36"/>
      <c r="C1442" s="37" t="str">
        <f>IFERROR(_xlfn.XLOOKUP(B1442,MObra[DESCRIPCION],MObra[UN],,0),"")</f>
        <v/>
      </c>
      <c r="D1442" s="38"/>
      <c r="E1442" s="39" t="str">
        <f>IFERROR(_xlfn.XLOOKUP($B1442,MObra[DESCRIPCION],MObra[VALOR UNIT],,0),"")</f>
        <v/>
      </c>
      <c r="F1442" s="40"/>
      <c r="G1442" s="41" t="str">
        <f>IFERROR(IF(F1442&gt;=0,D1442*E1442*(1+F1442/100),ABS(D1442*E1442/F1442)),"")</f>
        <v/>
      </c>
      <c r="H1442" s="42" t="str">
        <f>IFERROR(G1442*E1424,"")</f>
        <v/>
      </c>
    </row>
    <row r="1443" spans="1:11" ht="12.75" customHeight="1"/>
    <row r="1444" spans="1:11">
      <c r="A1444" s="6" t="s">
        <v>2182</v>
      </c>
      <c r="B1444" s="7" t="str">
        <f>VLOOKUP($A1444,Presupuesto!$A:$D,2,FALSE())</f>
        <v>Tubería PVC Novafort 500 mm</v>
      </c>
      <c r="C1444" s="8" t="str">
        <f>VLOOKUP($A1444,Presupuesto!$A:$D,3,FALSE())</f>
        <v>M</v>
      </c>
      <c r="D1444" s="9"/>
      <c r="E1444" s="10">
        <f>VLOOKUP($A1444,Presupuesto!$A:$D,4,FALSE())</f>
        <v>0</v>
      </c>
      <c r="F1444" s="11" t="s">
        <v>2589</v>
      </c>
      <c r="G1444" s="12">
        <f>SUM(G1446:G1462)/2</f>
        <v>616878.30670331267</v>
      </c>
      <c r="H1444" s="13">
        <f>ROUND(SUM(H1446:H1462),0)/2</f>
        <v>0</v>
      </c>
      <c r="I1444" s="10">
        <f>VLOOKUP(A1444,Presupuesto!$A:$F,6,0)</f>
        <v>0</v>
      </c>
      <c r="J1444" s="10">
        <f>+H1444-I1444</f>
        <v>0</v>
      </c>
      <c r="K1444" s="46">
        <f>+H1444-G1444*E1444</f>
        <v>0</v>
      </c>
    </row>
    <row r="1445" spans="1:11">
      <c r="A1445" s="14"/>
      <c r="B1445" s="15" t="s">
        <v>2586</v>
      </c>
      <c r="C1445" s="15" t="s">
        <v>5</v>
      </c>
      <c r="D1445" s="16" t="s">
        <v>6</v>
      </c>
      <c r="E1445" s="17" t="s">
        <v>7</v>
      </c>
      <c r="F1445" s="18" t="s">
        <v>3728</v>
      </c>
      <c r="G1445" s="19" t="s">
        <v>3729</v>
      </c>
      <c r="H1445" s="20" t="s">
        <v>3797</v>
      </c>
    </row>
    <row r="1446" spans="1:11">
      <c r="A1446" s="21"/>
      <c r="B1446" s="22" t="s">
        <v>3730</v>
      </c>
      <c r="C1446" s="23"/>
      <c r="D1446" s="24"/>
      <c r="E1446" s="25"/>
      <c r="F1446" s="26"/>
      <c r="G1446" s="27">
        <f>SUM(G1447:G1451)</f>
        <v>589369.11600000004</v>
      </c>
      <c r="H1446" s="27">
        <f>IFERROR(G1446*E1444,"")</f>
        <v>0</v>
      </c>
    </row>
    <row r="1447" spans="1:11">
      <c r="A1447" s="28"/>
      <c r="B1447" s="29" t="s">
        <v>3485</v>
      </c>
      <c r="C1447" s="30" t="str">
        <f>IFERROR(_xlfn.XLOOKUP(B1447,Insumo[DESCRIPCION],Insumo[UND],,0),"")</f>
        <v>M</v>
      </c>
      <c r="D1447" s="31">
        <v>1</v>
      </c>
      <c r="E1447" s="32">
        <f>IFERROR(_xlfn.XLOOKUP($B1447,Insumo[DESCRIPCION],Insumo[VALOR],,0),"")</f>
        <v>553994.70000000007</v>
      </c>
      <c r="F1447" s="33">
        <v>3</v>
      </c>
      <c r="G1447" s="34">
        <f>IFERROR(IF(F1447&gt;=0,D1447*E1447*(1+F1447/100),ABS(D1447*E1447/F1447)),"")</f>
        <v>570614.54100000008</v>
      </c>
      <c r="H1447" s="43">
        <f>IFERROR(G1447*E1444,"")</f>
        <v>0</v>
      </c>
    </row>
    <row r="1448" spans="1:11">
      <c r="A1448" s="28"/>
      <c r="B1448" s="29" t="s">
        <v>3060</v>
      </c>
      <c r="C1448" s="30" t="str">
        <f>IFERROR(_xlfn.XLOOKUP(B1448,Insumo[DESCRIPCION],Insumo[UND],,0),"")</f>
        <v>Kg</v>
      </c>
      <c r="D1448" s="31">
        <v>0.5</v>
      </c>
      <c r="E1448" s="32">
        <f>IFERROR(_xlfn.XLOOKUP($B1448,Insumo[DESCRIPCION],Insumo[VALOR],,0),"")</f>
        <v>37509.15</v>
      </c>
      <c r="F1448" s="33"/>
      <c r="G1448" s="34">
        <f>IFERROR(IF(F1448&gt;=0,D1448*E1448*(1+F1448/100),ABS(D1448*E1448/F1448)),"")</f>
        <v>18754.575000000001</v>
      </c>
      <c r="H1448" s="43">
        <f>IFERROR(G1448*E1444,"")</f>
        <v>0</v>
      </c>
    </row>
    <row r="1449" spans="1:11">
      <c r="A1449" s="28"/>
      <c r="B1449" s="29"/>
      <c r="C1449" s="30" t="str">
        <f>IFERROR(_xlfn.XLOOKUP(B1449,Insumo[DESCRIPCION],Insumo[UND],,0),"")</f>
        <v/>
      </c>
      <c r="D1449" s="31"/>
      <c r="E1449" s="32" t="str">
        <f>IFERROR(_xlfn.XLOOKUP($B1449,Insumo[DESCRIPCION],Insumo[VALOR],,0),"")</f>
        <v/>
      </c>
      <c r="F1449" s="33"/>
      <c r="G1449" s="34" t="str">
        <f>IFERROR(IF(F1449&gt;=0,D1449*E1449*(1+F1449/100),ABS(D1449*E1449/F1449)),"")</f>
        <v/>
      </c>
      <c r="H1449" s="43" t="str">
        <f>IFERROR(G1449*E1444,"")</f>
        <v/>
      </c>
    </row>
    <row r="1450" spans="1:11">
      <c r="A1450" s="28"/>
      <c r="B1450" s="29"/>
      <c r="C1450" s="30" t="str">
        <f>IFERROR(_xlfn.XLOOKUP(B1450,Insumo[DESCRIPCION],Insumo[UND],,0),"")</f>
        <v/>
      </c>
      <c r="D1450" s="31"/>
      <c r="E1450" s="32" t="str">
        <f>IFERROR(_xlfn.XLOOKUP($B1450,Insumo[DESCRIPCION],Insumo[VALOR],,0),"")</f>
        <v/>
      </c>
      <c r="F1450" s="33"/>
      <c r="G1450" s="34" t="str">
        <f>IFERROR(IF(F1450&gt;=0,D1450*E1450*(1+F1450/100),ABS(D1450*E1450/F1450)),"")</f>
        <v/>
      </c>
      <c r="H1450" s="43" t="str">
        <f>IFERROR(G1450*E1444,"")</f>
        <v/>
      </c>
    </row>
    <row r="1451" spans="1:11">
      <c r="A1451" s="28"/>
      <c r="B1451" s="29"/>
      <c r="C1451" s="30" t="str">
        <f>IFERROR(_xlfn.XLOOKUP(B1451,Insumo[DESCRIPCION],Insumo[UND],,0),"")</f>
        <v/>
      </c>
      <c r="D1451" s="31"/>
      <c r="E1451" s="32" t="str">
        <f>IFERROR(_xlfn.XLOOKUP($B1451,Insumo[DESCRIPCION],Insumo[VALOR],,0),"")</f>
        <v/>
      </c>
      <c r="F1451" s="33"/>
      <c r="G1451" s="34" t="str">
        <f>IFERROR(IF(F1451&gt;=0,D1451*E1451*(1+F1451/100),ABS(D1451*E1451/F1451)),"")</f>
        <v/>
      </c>
      <c r="H1451" s="43" t="str">
        <f>IFERROR(G1451*E1444,"")</f>
        <v/>
      </c>
    </row>
    <row r="1452" spans="1:11">
      <c r="A1452" s="21"/>
      <c r="B1452" s="22" t="s">
        <v>3731</v>
      </c>
      <c r="C1452" s="23"/>
      <c r="D1452" s="24"/>
      <c r="E1452" s="25"/>
      <c r="F1452" s="26"/>
      <c r="G1452" s="27">
        <f>SUM(G1453:G1455)</f>
        <v>1309.9614620625005</v>
      </c>
      <c r="H1452" s="44">
        <f>G1452*E1444</f>
        <v>0</v>
      </c>
    </row>
    <row r="1453" spans="1:11">
      <c r="A1453" s="28"/>
      <c r="B1453" s="29" t="s">
        <v>3626</v>
      </c>
      <c r="C1453" s="30" t="str">
        <f>IFERROR(_xlfn.XLOOKUP(B1453,Equipo[DESCRIPCION],Equipo[UND],,0),"")</f>
        <v>%MO</v>
      </c>
      <c r="D1453" s="31">
        <v>0.05</v>
      </c>
      <c r="E1453" s="32">
        <f>IF(C1453="%MO",G1459,IFERROR(_xlfn.XLOOKUP($B1453,Equipo[DESCRIPCION],Equipo[VALOR],,0),""))</f>
        <v>26199.229241250006</v>
      </c>
      <c r="F1453" s="33"/>
      <c r="G1453" s="34">
        <f>IFERROR(IF(F1453&gt;=0,D1453*E1453*(1+F1453/100),ABS(D1453*E1453/F1453)),"")</f>
        <v>1309.9614620625005</v>
      </c>
      <c r="H1453" s="43">
        <f>IFERROR(G1453*E1444,"")</f>
        <v>0</v>
      </c>
    </row>
    <row r="1454" spans="1:11">
      <c r="A1454" s="28"/>
      <c r="B1454" s="29"/>
      <c r="C1454" s="30" t="str">
        <f>IFERROR(_xlfn.XLOOKUP(B1454,Equipo[DESCRIPCION],Equipo[UND],,0),"")</f>
        <v/>
      </c>
      <c r="D1454" s="31"/>
      <c r="E1454" s="32" t="str">
        <f>IF(C1454="%MO",G1460,IFERROR(_xlfn.XLOOKUP($B1454,Equipo[DESCRIPCION],Equipo[VALOR],,0),""))</f>
        <v/>
      </c>
      <c r="F1454" s="33"/>
      <c r="G1454" s="34" t="str">
        <f>IFERROR(IF(F1454&gt;=0,D1454*E1454*(1+F1454/100),ABS(D1454*E1454/F1454)),"")</f>
        <v/>
      </c>
      <c r="H1454" s="43" t="str">
        <f>IFERROR(G1454*E1444,"")</f>
        <v/>
      </c>
    </row>
    <row r="1455" spans="1:11">
      <c r="A1455" s="28"/>
      <c r="B1455" s="29"/>
      <c r="C1455" s="30" t="str">
        <f>IFERROR(_xlfn.XLOOKUP(B1455,Equipo[DESCRIPCION],Equipo[UND],,0),"")</f>
        <v/>
      </c>
      <c r="D1455" s="31"/>
      <c r="E1455" s="32" t="str">
        <f>IF(C1455="%MO",G1461,IFERROR(_xlfn.XLOOKUP($B1455,Equipo[DESCRIPCION],Equipo[VALOR],,0),""))</f>
        <v/>
      </c>
      <c r="F1455" s="33"/>
      <c r="G1455" s="34" t="str">
        <f>IFERROR(IF(F1455&gt;=0,D1455*E1455*(1+F1455/100),ABS(D1455*E1455/F1455)),"")</f>
        <v/>
      </c>
      <c r="H1455" s="43" t="str">
        <f>IFERROR(G1455*E1444,"")</f>
        <v/>
      </c>
    </row>
    <row r="1456" spans="1:11">
      <c r="A1456" s="21"/>
      <c r="B1456" s="22" t="s">
        <v>2533</v>
      </c>
      <c r="C1456" s="23"/>
      <c r="D1456" s="24"/>
      <c r="E1456" s="25"/>
      <c r="F1456" s="26"/>
      <c r="G1456" s="27">
        <f>SUM(G1457:G1458)</f>
        <v>0</v>
      </c>
      <c r="H1456" s="44">
        <f>G1456*E1444</f>
        <v>0</v>
      </c>
    </row>
    <row r="1457" spans="1:11">
      <c r="A1457" s="28"/>
      <c r="B1457" s="29"/>
      <c r="C1457" s="30" t="str">
        <f>IFERROR(_xlfn.XLOOKUP(B1457,Transporte[DESCRIPCION],Transporte[UND],,0),"")</f>
        <v/>
      </c>
      <c r="D1457" s="31"/>
      <c r="E1457" s="32" t="str">
        <f>IFERROR(_xlfn.XLOOKUP($B1457,Transporte[DESCRIPCION],Transporte[VALOR],,0),"")</f>
        <v/>
      </c>
      <c r="F1457" s="33"/>
      <c r="G1457" s="34" t="str">
        <f>IFERROR(IF(F1457&gt;=0,D1457*E1457*(1+F1457/100),ABS(D1457*E1457/F1457)),"")</f>
        <v/>
      </c>
      <c r="H1457" s="43" t="str">
        <f>IFERROR(G1457*E1444,"")</f>
        <v/>
      </c>
    </row>
    <row r="1458" spans="1:11">
      <c r="A1458" s="28"/>
      <c r="B1458" s="29"/>
      <c r="C1458" s="30" t="str">
        <f>IFERROR(_xlfn.XLOOKUP(B1458,Transporte[DESCRIPCION],Transporte[UND],,0),"")</f>
        <v/>
      </c>
      <c r="D1458" s="31"/>
      <c r="E1458" s="32" t="str">
        <f>IFERROR(_xlfn.XLOOKUP($B1458,Transporte[DESCRIPCION],Transporte[VALOR],,0),"")</f>
        <v/>
      </c>
      <c r="F1458" s="33"/>
      <c r="G1458" s="34" t="str">
        <f>IFERROR(IF(F1458&gt;=0,D1458*E1458*(1+F1458/100),ABS(D1458*E1458/F1458)),"")</f>
        <v/>
      </c>
      <c r="H1458" s="43" t="str">
        <f>IFERROR(G1458*E1444,"")</f>
        <v/>
      </c>
    </row>
    <row r="1459" spans="1:11">
      <c r="A1459" s="21"/>
      <c r="B1459" s="22" t="s">
        <v>3732</v>
      </c>
      <c r="C1459" s="23"/>
      <c r="D1459" s="24"/>
      <c r="E1459" s="25"/>
      <c r="F1459" s="26"/>
      <c r="G1459" s="27">
        <f>SUM(G1460:G1462)</f>
        <v>26199.229241250006</v>
      </c>
      <c r="H1459" s="44">
        <f>G1459*E1444</f>
        <v>0</v>
      </c>
    </row>
    <row r="1460" spans="1:11">
      <c r="A1460" s="28"/>
      <c r="B1460" s="29" t="s">
        <v>3710</v>
      </c>
      <c r="C1460" s="30" t="str">
        <f>IFERROR(_xlfn.XLOOKUP(B1460,MObra[DESCRIPCION],MObra[UN],,0),"")</f>
        <v>día</v>
      </c>
      <c r="D1460" s="31">
        <v>1</v>
      </c>
      <c r="E1460" s="32">
        <f>IFERROR(_xlfn.XLOOKUP($B1460,MObra[DESCRIPCION],MObra[VALOR UNIT],,0),"")</f>
        <v>314390.75089500006</v>
      </c>
      <c r="F1460" s="33">
        <v>-12</v>
      </c>
      <c r="G1460" s="34">
        <f>IFERROR(IF(F1460&gt;=0,D1460*E1460*(1+F1460/100),ABS(D1460*E1460/F1460)),"")</f>
        <v>26199.229241250006</v>
      </c>
      <c r="H1460" s="43">
        <f>IFERROR(G1460*E1444,"")</f>
        <v>0</v>
      </c>
    </row>
    <row r="1461" spans="1:11">
      <c r="A1461" s="28"/>
      <c r="B1461" s="29"/>
      <c r="C1461" s="30" t="str">
        <f>IFERROR(_xlfn.XLOOKUP(B1461,MObra[DESCRIPCION],MObra[UN],,0),"")</f>
        <v/>
      </c>
      <c r="D1461" s="31"/>
      <c r="E1461" s="32" t="str">
        <f>IFERROR(_xlfn.XLOOKUP($B1461,MObra[DESCRIPCION],MObra[VALOR UNIT],,0),"")</f>
        <v/>
      </c>
      <c r="F1461" s="33"/>
      <c r="G1461" s="34" t="str">
        <f>IFERROR(IF(F1461&gt;=0,D1461*E1461*(1+F1461/100),ABS(D1461*E1461/F1461)),"")</f>
        <v/>
      </c>
      <c r="H1461" s="43" t="str">
        <f>IFERROR(G1461*E1444,"")</f>
        <v/>
      </c>
    </row>
    <row r="1462" spans="1:11">
      <c r="A1462" s="35"/>
      <c r="B1462" s="36"/>
      <c r="C1462" s="37" t="str">
        <f>IFERROR(_xlfn.XLOOKUP(B1462,MObra[DESCRIPCION],MObra[UN],,0),"")</f>
        <v/>
      </c>
      <c r="D1462" s="38"/>
      <c r="E1462" s="39" t="str">
        <f>IFERROR(_xlfn.XLOOKUP($B1462,MObra[DESCRIPCION],MObra[VALOR UNIT],,0),"")</f>
        <v/>
      </c>
      <c r="F1462" s="40"/>
      <c r="G1462" s="41" t="str">
        <f>IFERROR(IF(F1462&gt;=0,D1462*E1462*(1+F1462/100),ABS(D1462*E1462/F1462)),"")</f>
        <v/>
      </c>
      <c r="H1462" s="42" t="str">
        <f>IFERROR(G1462*E1444,"")</f>
        <v/>
      </c>
    </row>
    <row r="1463" spans="1:11" ht="12.75" customHeight="1"/>
    <row r="1464" spans="1:11">
      <c r="A1464" s="6" t="s">
        <v>2184</v>
      </c>
      <c r="B1464" s="7" t="str">
        <f>VLOOKUP($A1464,Presupuesto!$A:$D,2,FALSE())</f>
        <v>Tubería PVC Novaloc 24"</v>
      </c>
      <c r="C1464" s="8" t="str">
        <f>VLOOKUP($A1464,Presupuesto!$A:$D,3,FALSE())</f>
        <v>M</v>
      </c>
      <c r="D1464" s="9"/>
      <c r="E1464" s="10">
        <f>VLOOKUP($A1464,Presupuesto!$A:$D,4,FALSE())</f>
        <v>0</v>
      </c>
      <c r="F1464" s="11" t="s">
        <v>2589</v>
      </c>
      <c r="G1464" s="12">
        <f>SUM(G1466:G1482)/2</f>
        <v>856603.88634397509</v>
      </c>
      <c r="H1464" s="13">
        <f>ROUND(SUM(H1466:H1482),0)/2</f>
        <v>0</v>
      </c>
      <c r="I1464" s="10">
        <f>VLOOKUP(A1464,Presupuesto!$A:$F,6,0)</f>
        <v>0</v>
      </c>
      <c r="J1464" s="10">
        <f>+H1464-I1464</f>
        <v>0</v>
      </c>
      <c r="K1464" s="46">
        <f>+H1464-G1464*E1464</f>
        <v>0</v>
      </c>
    </row>
    <row r="1465" spans="1:11">
      <c r="A1465" s="14"/>
      <c r="B1465" s="15" t="s">
        <v>2586</v>
      </c>
      <c r="C1465" s="15" t="s">
        <v>5</v>
      </c>
      <c r="D1465" s="16" t="s">
        <v>6</v>
      </c>
      <c r="E1465" s="17" t="s">
        <v>7</v>
      </c>
      <c r="F1465" s="18" t="s">
        <v>3728</v>
      </c>
      <c r="G1465" s="19" t="s">
        <v>3729</v>
      </c>
      <c r="H1465" s="20" t="s">
        <v>3797</v>
      </c>
    </row>
    <row r="1466" spans="1:11">
      <c r="A1466" s="21"/>
      <c r="B1466" s="22" t="s">
        <v>3730</v>
      </c>
      <c r="C1466" s="23"/>
      <c r="D1466" s="24"/>
      <c r="E1466" s="25"/>
      <c r="F1466" s="26"/>
      <c r="G1466" s="27">
        <f>SUM(G1467:G1471)</f>
        <v>814884.57750000001</v>
      </c>
      <c r="H1466" s="27">
        <f>IFERROR(G1466*E1464,"")</f>
        <v>0</v>
      </c>
    </row>
    <row r="1467" spans="1:11">
      <c r="A1467" s="28"/>
      <c r="B1467" s="29" t="s">
        <v>3486</v>
      </c>
      <c r="C1467" s="30" t="str">
        <f>IFERROR(_xlfn.XLOOKUP(B1467,Insumo[DESCRIPCION],Insumo[UND],,0),"")</f>
        <v>M</v>
      </c>
      <c r="D1467" s="31">
        <v>1</v>
      </c>
      <c r="E1467" s="32">
        <f>IFERROR(_xlfn.XLOOKUP($B1467,Insumo[DESCRIPCION],Insumo[VALOR],,0),"")</f>
        <v>772941.75</v>
      </c>
      <c r="F1467" s="33">
        <v>3</v>
      </c>
      <c r="G1467" s="34">
        <f>IFERROR(IF(F1467&gt;=0,D1467*E1467*(1+F1467/100),ABS(D1467*E1467/F1467)),"")</f>
        <v>796130.00250000006</v>
      </c>
      <c r="H1467" s="43">
        <f>IFERROR(G1467*E1464,"")</f>
        <v>0</v>
      </c>
    </row>
    <row r="1468" spans="1:11">
      <c r="A1468" s="28"/>
      <c r="B1468" s="29" t="s">
        <v>3060</v>
      </c>
      <c r="C1468" s="30" t="str">
        <f>IFERROR(_xlfn.XLOOKUP(B1468,Insumo[DESCRIPCION],Insumo[UND],,0),"")</f>
        <v>Kg</v>
      </c>
      <c r="D1468" s="31">
        <v>0.5</v>
      </c>
      <c r="E1468" s="32">
        <f>IFERROR(_xlfn.XLOOKUP($B1468,Insumo[DESCRIPCION],Insumo[VALOR],,0),"")</f>
        <v>37509.15</v>
      </c>
      <c r="F1468" s="33"/>
      <c r="G1468" s="34">
        <f>IFERROR(IF(F1468&gt;=0,D1468*E1468*(1+F1468/100),ABS(D1468*E1468/F1468)),"")</f>
        <v>18754.575000000001</v>
      </c>
      <c r="H1468" s="43">
        <f>IFERROR(G1468*E1464,"")</f>
        <v>0</v>
      </c>
    </row>
    <row r="1469" spans="1:11">
      <c r="A1469" s="28"/>
      <c r="B1469" s="29"/>
      <c r="C1469" s="30" t="str">
        <f>IFERROR(_xlfn.XLOOKUP(B1469,Insumo[DESCRIPCION],Insumo[UND],,0),"")</f>
        <v/>
      </c>
      <c r="D1469" s="31"/>
      <c r="E1469" s="32" t="str">
        <f>IFERROR(_xlfn.XLOOKUP($B1469,Insumo[DESCRIPCION],Insumo[VALOR],,0),"")</f>
        <v/>
      </c>
      <c r="F1469" s="33"/>
      <c r="G1469" s="34" t="str">
        <f>IFERROR(IF(F1469&gt;=0,D1469*E1469*(1+F1469/100),ABS(D1469*E1469/F1469)),"")</f>
        <v/>
      </c>
      <c r="H1469" s="43" t="str">
        <f>IFERROR(G1469*E1464,"")</f>
        <v/>
      </c>
    </row>
    <row r="1470" spans="1:11">
      <c r="A1470" s="28"/>
      <c r="B1470" s="29"/>
      <c r="C1470" s="30" t="str">
        <f>IFERROR(_xlfn.XLOOKUP(B1470,Insumo[DESCRIPCION],Insumo[UND],,0),"")</f>
        <v/>
      </c>
      <c r="D1470" s="31"/>
      <c r="E1470" s="32" t="str">
        <f>IFERROR(_xlfn.XLOOKUP($B1470,Insumo[DESCRIPCION],Insumo[VALOR],,0),"")</f>
        <v/>
      </c>
      <c r="F1470" s="33"/>
      <c r="G1470" s="34" t="str">
        <f>IFERROR(IF(F1470&gt;=0,D1470*E1470*(1+F1470/100),ABS(D1470*E1470/F1470)),"")</f>
        <v/>
      </c>
      <c r="H1470" s="43" t="str">
        <f>IFERROR(G1470*E1464,"")</f>
        <v/>
      </c>
    </row>
    <row r="1471" spans="1:11">
      <c r="A1471" s="28"/>
      <c r="B1471" s="29"/>
      <c r="C1471" s="30" t="str">
        <f>IFERROR(_xlfn.XLOOKUP(B1471,Insumo[DESCRIPCION],Insumo[UND],,0),"")</f>
        <v/>
      </c>
      <c r="D1471" s="31"/>
      <c r="E1471" s="32" t="str">
        <f>IFERROR(_xlfn.XLOOKUP($B1471,Insumo[DESCRIPCION],Insumo[VALOR],,0),"")</f>
        <v/>
      </c>
      <c r="F1471" s="33"/>
      <c r="G1471" s="34" t="str">
        <f>IFERROR(IF(F1471&gt;=0,D1471*E1471*(1+F1471/100),ABS(D1471*E1471/F1471)),"")</f>
        <v/>
      </c>
      <c r="H1471" s="43" t="str">
        <f>IFERROR(G1471*E1464,"")</f>
        <v/>
      </c>
    </row>
    <row r="1472" spans="1:11">
      <c r="A1472" s="21"/>
      <c r="B1472" s="22" t="s">
        <v>3731</v>
      </c>
      <c r="C1472" s="23"/>
      <c r="D1472" s="24"/>
      <c r="E1472" s="25"/>
      <c r="F1472" s="26"/>
      <c r="G1472" s="27">
        <f>SUM(G1473:G1475)</f>
        <v>10280.233754475001</v>
      </c>
      <c r="H1472" s="44">
        <f>G1472*E1464</f>
        <v>0</v>
      </c>
    </row>
    <row r="1473" spans="1:11">
      <c r="A1473" s="28"/>
      <c r="B1473" s="29" t="s">
        <v>3622</v>
      </c>
      <c r="C1473" s="30" t="str">
        <f>IFERROR(_xlfn.XLOOKUP(B1473,Equipo[DESCRIPCION],Equipo[UND],,0),"")</f>
        <v>Hr</v>
      </c>
      <c r="D1473" s="31">
        <v>1</v>
      </c>
      <c r="E1473" s="32">
        <f>IF(C1473="%MO",G1479,IFERROR(_xlfn.XLOOKUP($B1473,Equipo[DESCRIPCION],Equipo[VALOR],,0),""))</f>
        <v>87082.8</v>
      </c>
      <c r="F1473" s="33">
        <v>-10</v>
      </c>
      <c r="G1473" s="34">
        <f>IFERROR(IF(F1473&gt;=0,D1473*E1473*(1+F1473/100),ABS(D1473*E1473/F1473)),"")</f>
        <v>8708.2800000000007</v>
      </c>
      <c r="H1473" s="43">
        <f>IFERROR(G1473*E1464,"")</f>
        <v>0</v>
      </c>
    </row>
    <row r="1474" spans="1:11">
      <c r="A1474" s="28"/>
      <c r="B1474" s="29" t="s">
        <v>3626</v>
      </c>
      <c r="C1474" s="30" t="str">
        <f>IFERROR(_xlfn.XLOOKUP(B1474,Equipo[DESCRIPCION],Equipo[UND],,0),"")</f>
        <v>%MO</v>
      </c>
      <c r="D1474" s="31">
        <v>0.05</v>
      </c>
      <c r="E1474" s="32">
        <f>IF(C1474="%MO",G1480,IFERROR(_xlfn.XLOOKUP($B1474,Equipo[DESCRIPCION],Equipo[VALOR],,0),""))</f>
        <v>31439.075089500006</v>
      </c>
      <c r="F1474" s="33"/>
      <c r="G1474" s="34">
        <f>IFERROR(IF(F1474&gt;=0,D1474*E1474*(1+F1474/100),ABS(D1474*E1474/F1474)),"")</f>
        <v>1571.9537544750003</v>
      </c>
      <c r="H1474" s="43">
        <f>IFERROR(G1474*E1464,"")</f>
        <v>0</v>
      </c>
    </row>
    <row r="1475" spans="1:11">
      <c r="A1475" s="28"/>
      <c r="B1475" s="29"/>
      <c r="C1475" s="30" t="str">
        <f>IFERROR(_xlfn.XLOOKUP(B1475,Equipo[DESCRIPCION],Equipo[UND],,0),"")</f>
        <v/>
      </c>
      <c r="D1475" s="31"/>
      <c r="E1475" s="32" t="str">
        <f>IF(C1475="%MO",G1481,IFERROR(_xlfn.XLOOKUP($B1475,Equipo[DESCRIPCION],Equipo[VALOR],,0),""))</f>
        <v/>
      </c>
      <c r="F1475" s="33"/>
      <c r="G1475" s="34" t="str">
        <f>IFERROR(IF(F1475&gt;=0,D1475*E1475*(1+F1475/100),ABS(D1475*E1475/F1475)),"")</f>
        <v/>
      </c>
      <c r="H1475" s="43" t="str">
        <f>IFERROR(G1475*E1464,"")</f>
        <v/>
      </c>
    </row>
    <row r="1476" spans="1:11">
      <c r="A1476" s="21"/>
      <c r="B1476" s="22" t="s">
        <v>2533</v>
      </c>
      <c r="C1476" s="23"/>
      <c r="D1476" s="24"/>
      <c r="E1476" s="25"/>
      <c r="F1476" s="26"/>
      <c r="G1476" s="27">
        <f>SUM(G1477:G1478)</f>
        <v>0</v>
      </c>
      <c r="H1476" s="44">
        <f>G1476*E1464</f>
        <v>0</v>
      </c>
    </row>
    <row r="1477" spans="1:11">
      <c r="A1477" s="28"/>
      <c r="B1477" s="29"/>
      <c r="C1477" s="30" t="str">
        <f>IFERROR(_xlfn.XLOOKUP(B1477,Transporte[DESCRIPCION],Transporte[UND],,0),"")</f>
        <v/>
      </c>
      <c r="D1477" s="31"/>
      <c r="E1477" s="32" t="str">
        <f>IFERROR(_xlfn.XLOOKUP($B1477,Transporte[DESCRIPCION],Transporte[VALOR],,0),"")</f>
        <v/>
      </c>
      <c r="F1477" s="33"/>
      <c r="G1477" s="34" t="str">
        <f>IFERROR(IF(F1477&gt;=0,D1477*E1477*(1+F1477/100),ABS(D1477*E1477/F1477)),"")</f>
        <v/>
      </c>
      <c r="H1477" s="43" t="str">
        <f>IFERROR(G1477*E1464,"")</f>
        <v/>
      </c>
    </row>
    <row r="1478" spans="1:11">
      <c r="A1478" s="28"/>
      <c r="B1478" s="29"/>
      <c r="C1478" s="30" t="str">
        <f>IFERROR(_xlfn.XLOOKUP(B1478,Transporte[DESCRIPCION],Transporte[UND],,0),"")</f>
        <v/>
      </c>
      <c r="D1478" s="31"/>
      <c r="E1478" s="32" t="str">
        <f>IFERROR(_xlfn.XLOOKUP($B1478,Transporte[DESCRIPCION],Transporte[VALOR],,0),"")</f>
        <v/>
      </c>
      <c r="F1478" s="33"/>
      <c r="G1478" s="34" t="str">
        <f>IFERROR(IF(F1478&gt;=0,D1478*E1478*(1+F1478/100),ABS(D1478*E1478/F1478)),"")</f>
        <v/>
      </c>
      <c r="H1478" s="43" t="str">
        <f>IFERROR(G1478*E1464,"")</f>
        <v/>
      </c>
    </row>
    <row r="1479" spans="1:11">
      <c r="A1479" s="21"/>
      <c r="B1479" s="22" t="s">
        <v>3732</v>
      </c>
      <c r="C1479" s="23"/>
      <c r="D1479" s="24"/>
      <c r="E1479" s="25"/>
      <c r="F1479" s="26"/>
      <c r="G1479" s="27">
        <f>SUM(G1480:G1482)</f>
        <v>31439.075089500006</v>
      </c>
      <c r="H1479" s="44">
        <f>G1479*E1464</f>
        <v>0</v>
      </c>
    </row>
    <row r="1480" spans="1:11">
      <c r="A1480" s="28"/>
      <c r="B1480" s="29" t="s">
        <v>3710</v>
      </c>
      <c r="C1480" s="30" t="str">
        <f>IFERROR(_xlfn.XLOOKUP(B1480,MObra[DESCRIPCION],MObra[UN],,0),"")</f>
        <v>día</v>
      </c>
      <c r="D1480" s="31">
        <v>1</v>
      </c>
      <c r="E1480" s="32">
        <f>IFERROR(_xlfn.XLOOKUP($B1480,MObra[DESCRIPCION],MObra[VALOR UNIT],,0),"")</f>
        <v>314390.75089500006</v>
      </c>
      <c r="F1480" s="33">
        <v>-10</v>
      </c>
      <c r="G1480" s="34">
        <f>IFERROR(IF(F1480&gt;=0,D1480*E1480*(1+F1480/100),ABS(D1480*E1480/F1480)),"")</f>
        <v>31439.075089500006</v>
      </c>
      <c r="H1480" s="43">
        <f>IFERROR(G1480*E1464,"")</f>
        <v>0</v>
      </c>
    </row>
    <row r="1481" spans="1:11">
      <c r="A1481" s="28"/>
      <c r="B1481" s="29"/>
      <c r="C1481" s="30" t="str">
        <f>IFERROR(_xlfn.XLOOKUP(B1481,MObra[DESCRIPCION],MObra[UN],,0),"")</f>
        <v/>
      </c>
      <c r="D1481" s="31"/>
      <c r="E1481" s="32" t="str">
        <f>IFERROR(_xlfn.XLOOKUP($B1481,MObra[DESCRIPCION],MObra[VALOR UNIT],,0),"")</f>
        <v/>
      </c>
      <c r="F1481" s="33"/>
      <c r="G1481" s="34" t="str">
        <f>IFERROR(IF(F1481&gt;=0,D1481*E1481*(1+F1481/100),ABS(D1481*E1481/F1481)),"")</f>
        <v/>
      </c>
      <c r="H1481" s="43" t="str">
        <f>IFERROR(G1481*E1464,"")</f>
        <v/>
      </c>
    </row>
    <row r="1482" spans="1:11">
      <c r="A1482" s="35"/>
      <c r="B1482" s="36"/>
      <c r="C1482" s="37" t="str">
        <f>IFERROR(_xlfn.XLOOKUP(B1482,MObra[DESCRIPCION],MObra[UN],,0),"")</f>
        <v/>
      </c>
      <c r="D1482" s="38"/>
      <c r="E1482" s="39" t="str">
        <f>IFERROR(_xlfn.XLOOKUP($B1482,MObra[DESCRIPCION],MObra[VALOR UNIT],,0),"")</f>
        <v/>
      </c>
      <c r="F1482" s="40"/>
      <c r="G1482" s="41" t="str">
        <f>IFERROR(IF(F1482&gt;=0,D1482*E1482*(1+F1482/100),ABS(D1482*E1482/F1482)),"")</f>
        <v/>
      </c>
      <c r="H1482" s="42" t="str">
        <f>IFERROR(G1482*E1464,"")</f>
        <v/>
      </c>
    </row>
    <row r="1483" spans="1:11" ht="12.75" customHeight="1"/>
    <row r="1484" spans="1:11">
      <c r="A1484" s="6" t="s">
        <v>2186</v>
      </c>
      <c r="B1484" s="7" t="str">
        <f>VLOOKUP($A1484,Presupuesto!$A:$D,2,FALSE())</f>
        <v>Tubería PVC Novaloc 27"</v>
      </c>
      <c r="C1484" s="8" t="str">
        <f>VLOOKUP($A1484,Presupuesto!$A:$D,3,FALSE())</f>
        <v>M</v>
      </c>
      <c r="D1484" s="9"/>
      <c r="E1484" s="10">
        <f>VLOOKUP($A1484,Presupuesto!$A:$D,4,FALSE())</f>
        <v>0</v>
      </c>
      <c r="F1484" s="11" t="s">
        <v>2589</v>
      </c>
      <c r="G1484" s="12">
        <f>SUM(G1486:G1502)/2</f>
        <v>1020107.6726044167</v>
      </c>
      <c r="H1484" s="13">
        <f>ROUND(SUM(H1486:H1502),0)/2</f>
        <v>0</v>
      </c>
      <c r="I1484" s="10">
        <f>VLOOKUP(A1484,Presupuesto!$A:$F,6,0)</f>
        <v>0</v>
      </c>
      <c r="J1484" s="10">
        <f>+H1484-I1484</f>
        <v>0</v>
      </c>
      <c r="K1484" s="46">
        <f>+H1484-G1484*E1484</f>
        <v>0</v>
      </c>
    </row>
    <row r="1485" spans="1:11">
      <c r="A1485" s="14"/>
      <c r="B1485" s="15" t="s">
        <v>2586</v>
      </c>
      <c r="C1485" s="15" t="s">
        <v>5</v>
      </c>
      <c r="D1485" s="16" t="s">
        <v>6</v>
      </c>
      <c r="E1485" s="17" t="s">
        <v>7</v>
      </c>
      <c r="F1485" s="18" t="s">
        <v>3728</v>
      </c>
      <c r="G1485" s="19" t="s">
        <v>3729</v>
      </c>
      <c r="H1485" s="20" t="s">
        <v>3797</v>
      </c>
    </row>
    <row r="1486" spans="1:11">
      <c r="A1486" s="21"/>
      <c r="B1486" s="22" t="s">
        <v>3730</v>
      </c>
      <c r="C1486" s="23"/>
      <c r="D1486" s="24"/>
      <c r="E1486" s="25"/>
      <c r="F1486" s="26"/>
      <c r="G1486" s="27">
        <f>SUM(G1487:G1491)</f>
        <v>973752.88500000001</v>
      </c>
      <c r="H1486" s="27">
        <f>IFERROR(G1486*E1484,"")</f>
        <v>0</v>
      </c>
    </row>
    <row r="1487" spans="1:11">
      <c r="A1487" s="28"/>
      <c r="B1487" s="29" t="s">
        <v>3487</v>
      </c>
      <c r="C1487" s="30" t="str">
        <f>IFERROR(_xlfn.XLOOKUP(B1487,Insumo[DESCRIPCION],Insumo[UND],,0),"")</f>
        <v>M</v>
      </c>
      <c r="D1487" s="31">
        <v>1</v>
      </c>
      <c r="E1487" s="32">
        <f>IFERROR(_xlfn.XLOOKUP($B1487,Insumo[DESCRIPCION],Insumo[VALOR],,0),"")</f>
        <v>908974.5</v>
      </c>
      <c r="F1487" s="33">
        <v>3</v>
      </c>
      <c r="G1487" s="34">
        <f>IFERROR(IF(F1487&gt;=0,D1487*E1487*(1+F1487/100),ABS(D1487*E1487/F1487)),"")</f>
        <v>936243.73499999999</v>
      </c>
      <c r="H1487" s="43">
        <f>IFERROR(G1487*E1484,"")</f>
        <v>0</v>
      </c>
    </row>
    <row r="1488" spans="1:11">
      <c r="A1488" s="28"/>
      <c r="B1488" s="29" t="s">
        <v>3060</v>
      </c>
      <c r="C1488" s="30" t="str">
        <f>IFERROR(_xlfn.XLOOKUP(B1488,Insumo[DESCRIPCION],Insumo[UND],,0),"")</f>
        <v>Kg</v>
      </c>
      <c r="D1488" s="31">
        <v>1</v>
      </c>
      <c r="E1488" s="32">
        <f>IFERROR(_xlfn.XLOOKUP($B1488,Insumo[DESCRIPCION],Insumo[VALOR],,0),"")</f>
        <v>37509.15</v>
      </c>
      <c r="F1488" s="33"/>
      <c r="G1488" s="34">
        <f>IFERROR(IF(F1488&gt;=0,D1488*E1488*(1+F1488/100),ABS(D1488*E1488/F1488)),"")</f>
        <v>37509.15</v>
      </c>
      <c r="H1488" s="43">
        <f>IFERROR(G1488*E1484,"")</f>
        <v>0</v>
      </c>
    </row>
    <row r="1489" spans="1:11">
      <c r="A1489" s="28"/>
      <c r="B1489" s="29"/>
      <c r="C1489" s="30" t="str">
        <f>IFERROR(_xlfn.XLOOKUP(B1489,Insumo[DESCRIPCION],Insumo[UND],,0),"")</f>
        <v/>
      </c>
      <c r="D1489" s="31"/>
      <c r="E1489" s="32" t="str">
        <f>IFERROR(_xlfn.XLOOKUP($B1489,Insumo[DESCRIPCION],Insumo[VALOR],,0),"")</f>
        <v/>
      </c>
      <c r="F1489" s="33"/>
      <c r="G1489" s="34" t="str">
        <f>IFERROR(IF(F1489&gt;=0,D1489*E1489*(1+F1489/100),ABS(D1489*E1489/F1489)),"")</f>
        <v/>
      </c>
      <c r="H1489" s="43" t="str">
        <f>IFERROR(G1489*E1484,"")</f>
        <v/>
      </c>
    </row>
    <row r="1490" spans="1:11">
      <c r="A1490" s="28"/>
      <c r="B1490" s="29"/>
      <c r="C1490" s="30" t="str">
        <f>IFERROR(_xlfn.XLOOKUP(B1490,Insumo[DESCRIPCION],Insumo[UND],,0),"")</f>
        <v/>
      </c>
      <c r="D1490" s="31"/>
      <c r="E1490" s="32" t="str">
        <f>IFERROR(_xlfn.XLOOKUP($B1490,Insumo[DESCRIPCION],Insumo[VALOR],,0),"")</f>
        <v/>
      </c>
      <c r="F1490" s="33"/>
      <c r="G1490" s="34" t="str">
        <f>IFERROR(IF(F1490&gt;=0,D1490*E1490*(1+F1490/100),ABS(D1490*E1490/F1490)),"")</f>
        <v/>
      </c>
      <c r="H1490" s="43" t="str">
        <f>IFERROR(G1490*E1484,"")</f>
        <v/>
      </c>
    </row>
    <row r="1491" spans="1:11">
      <c r="A1491" s="28"/>
      <c r="B1491" s="29"/>
      <c r="C1491" s="30" t="str">
        <f>IFERROR(_xlfn.XLOOKUP(B1491,Insumo[DESCRIPCION],Insumo[UND],,0),"")</f>
        <v/>
      </c>
      <c r="D1491" s="31"/>
      <c r="E1491" s="32" t="str">
        <f>IFERROR(_xlfn.XLOOKUP($B1491,Insumo[DESCRIPCION],Insumo[VALOR],,0),"")</f>
        <v/>
      </c>
      <c r="F1491" s="33"/>
      <c r="G1491" s="34" t="str">
        <f>IFERROR(IF(F1491&gt;=0,D1491*E1491*(1+F1491/100),ABS(D1491*E1491/F1491)),"")</f>
        <v/>
      </c>
      <c r="H1491" s="43" t="str">
        <f>IFERROR(G1491*E1484,"")</f>
        <v/>
      </c>
    </row>
    <row r="1492" spans="1:11">
      <c r="A1492" s="21"/>
      <c r="B1492" s="22" t="s">
        <v>3731</v>
      </c>
      <c r="C1492" s="23"/>
      <c r="D1492" s="24"/>
      <c r="E1492" s="25"/>
      <c r="F1492" s="26"/>
      <c r="G1492" s="27">
        <f>SUM(G1493:G1495)</f>
        <v>11422.481949416668</v>
      </c>
      <c r="H1492" s="44">
        <f>G1492*E1484</f>
        <v>0</v>
      </c>
    </row>
    <row r="1493" spans="1:11">
      <c r="A1493" s="28"/>
      <c r="B1493" s="29" t="s">
        <v>3622</v>
      </c>
      <c r="C1493" s="30" t="str">
        <f>IFERROR(_xlfn.XLOOKUP(B1493,Equipo[DESCRIPCION],Equipo[UND],,0),"")</f>
        <v>Hr</v>
      </c>
      <c r="D1493" s="31">
        <v>1</v>
      </c>
      <c r="E1493" s="32">
        <f>IF(C1493="%MO",G1499,IFERROR(_xlfn.XLOOKUP($B1493,Equipo[DESCRIPCION],Equipo[VALOR],,0),""))</f>
        <v>87082.8</v>
      </c>
      <c r="F1493" s="33">
        <v>-9</v>
      </c>
      <c r="G1493" s="34">
        <f>IFERROR(IF(F1493&gt;=0,D1493*E1493*(1+F1493/100),ABS(D1493*E1493/F1493)),"")</f>
        <v>9675.8666666666668</v>
      </c>
      <c r="H1493" s="43">
        <f>IFERROR(G1493*E1484,"")</f>
        <v>0</v>
      </c>
    </row>
    <row r="1494" spans="1:11">
      <c r="A1494" s="28"/>
      <c r="B1494" s="29" t="s">
        <v>3626</v>
      </c>
      <c r="C1494" s="30" t="str">
        <f>IFERROR(_xlfn.XLOOKUP(B1494,Equipo[DESCRIPCION],Equipo[UND],,0),"")</f>
        <v>%MO</v>
      </c>
      <c r="D1494" s="31">
        <v>0.05</v>
      </c>
      <c r="E1494" s="32">
        <f>IF(C1494="%MO",G1500,IFERROR(_xlfn.XLOOKUP($B1494,Equipo[DESCRIPCION],Equipo[VALOR],,0),""))</f>
        <v>34932.305655000004</v>
      </c>
      <c r="F1494" s="33"/>
      <c r="G1494" s="34">
        <f>IFERROR(IF(F1494&gt;=0,D1494*E1494*(1+F1494/100),ABS(D1494*E1494/F1494)),"")</f>
        <v>1746.6152827500002</v>
      </c>
      <c r="H1494" s="43">
        <f>IFERROR(G1494*E1484,"")</f>
        <v>0</v>
      </c>
    </row>
    <row r="1495" spans="1:11">
      <c r="A1495" s="28"/>
      <c r="B1495" s="29"/>
      <c r="C1495" s="30" t="str">
        <f>IFERROR(_xlfn.XLOOKUP(B1495,Equipo[DESCRIPCION],Equipo[UND],,0),"")</f>
        <v/>
      </c>
      <c r="D1495" s="31"/>
      <c r="E1495" s="32" t="str">
        <f>IF(C1495="%MO",G1501,IFERROR(_xlfn.XLOOKUP($B1495,Equipo[DESCRIPCION],Equipo[VALOR],,0),""))</f>
        <v/>
      </c>
      <c r="F1495" s="33"/>
      <c r="G1495" s="34" t="str">
        <f>IFERROR(IF(F1495&gt;=0,D1495*E1495*(1+F1495/100),ABS(D1495*E1495/F1495)),"")</f>
        <v/>
      </c>
      <c r="H1495" s="43" t="str">
        <f>IFERROR(G1495*E1484,"")</f>
        <v/>
      </c>
    </row>
    <row r="1496" spans="1:11">
      <c r="A1496" s="21"/>
      <c r="B1496" s="22" t="s">
        <v>2533</v>
      </c>
      <c r="C1496" s="23"/>
      <c r="D1496" s="24"/>
      <c r="E1496" s="25"/>
      <c r="F1496" s="26"/>
      <c r="G1496" s="27">
        <f>SUM(G1497:G1498)</f>
        <v>0</v>
      </c>
      <c r="H1496" s="44">
        <f>G1496*E1484</f>
        <v>0</v>
      </c>
    </row>
    <row r="1497" spans="1:11">
      <c r="A1497" s="28"/>
      <c r="B1497" s="29"/>
      <c r="C1497" s="30" t="str">
        <f>IFERROR(_xlfn.XLOOKUP(B1497,Transporte[DESCRIPCION],Transporte[UND],,0),"")</f>
        <v/>
      </c>
      <c r="D1497" s="31"/>
      <c r="E1497" s="32" t="str">
        <f>IFERROR(_xlfn.XLOOKUP($B1497,Transporte[DESCRIPCION],Transporte[VALOR],,0),"")</f>
        <v/>
      </c>
      <c r="F1497" s="33"/>
      <c r="G1497" s="34" t="str">
        <f>IFERROR(IF(F1497&gt;=0,D1497*E1497*(1+F1497/100),ABS(D1497*E1497/F1497)),"")</f>
        <v/>
      </c>
      <c r="H1497" s="43" t="str">
        <f>IFERROR(G1497*E1484,"")</f>
        <v/>
      </c>
    </row>
    <row r="1498" spans="1:11">
      <c r="A1498" s="28"/>
      <c r="B1498" s="29"/>
      <c r="C1498" s="30" t="str">
        <f>IFERROR(_xlfn.XLOOKUP(B1498,Transporte[DESCRIPCION],Transporte[UND],,0),"")</f>
        <v/>
      </c>
      <c r="D1498" s="31"/>
      <c r="E1498" s="32" t="str">
        <f>IFERROR(_xlfn.XLOOKUP($B1498,Transporte[DESCRIPCION],Transporte[VALOR],,0),"")</f>
        <v/>
      </c>
      <c r="F1498" s="33"/>
      <c r="G1498" s="34" t="str">
        <f>IFERROR(IF(F1498&gt;=0,D1498*E1498*(1+F1498/100),ABS(D1498*E1498/F1498)),"")</f>
        <v/>
      </c>
      <c r="H1498" s="43" t="str">
        <f>IFERROR(G1498*E1484,"")</f>
        <v/>
      </c>
    </row>
    <row r="1499" spans="1:11">
      <c r="A1499" s="21"/>
      <c r="B1499" s="22" t="s">
        <v>3732</v>
      </c>
      <c r="C1499" s="23"/>
      <c r="D1499" s="24"/>
      <c r="E1499" s="25"/>
      <c r="F1499" s="26"/>
      <c r="G1499" s="27">
        <f>SUM(G1500:G1502)</f>
        <v>34932.305655000004</v>
      </c>
      <c r="H1499" s="44">
        <f>G1499*E1484</f>
        <v>0</v>
      </c>
    </row>
    <row r="1500" spans="1:11">
      <c r="A1500" s="28"/>
      <c r="B1500" s="29" t="s">
        <v>3710</v>
      </c>
      <c r="C1500" s="30" t="str">
        <f>IFERROR(_xlfn.XLOOKUP(B1500,MObra[DESCRIPCION],MObra[UN],,0),"")</f>
        <v>día</v>
      </c>
      <c r="D1500" s="31">
        <v>1</v>
      </c>
      <c r="E1500" s="32">
        <f>IFERROR(_xlfn.XLOOKUP($B1500,MObra[DESCRIPCION],MObra[VALOR UNIT],,0),"")</f>
        <v>314390.75089500006</v>
      </c>
      <c r="F1500" s="33">
        <v>-9</v>
      </c>
      <c r="G1500" s="34">
        <f>IFERROR(IF(F1500&gt;=0,D1500*E1500*(1+F1500/100),ABS(D1500*E1500/F1500)),"")</f>
        <v>34932.305655000004</v>
      </c>
      <c r="H1500" s="43">
        <f>IFERROR(G1500*E1484,"")</f>
        <v>0</v>
      </c>
    </row>
    <row r="1501" spans="1:11">
      <c r="A1501" s="28"/>
      <c r="B1501" s="29"/>
      <c r="C1501" s="30" t="str">
        <f>IFERROR(_xlfn.XLOOKUP(B1501,MObra[DESCRIPCION],MObra[UN],,0),"")</f>
        <v/>
      </c>
      <c r="D1501" s="31"/>
      <c r="E1501" s="32" t="str">
        <f>IFERROR(_xlfn.XLOOKUP($B1501,MObra[DESCRIPCION],MObra[VALOR UNIT],,0),"")</f>
        <v/>
      </c>
      <c r="F1501" s="33"/>
      <c r="G1501" s="34" t="str">
        <f>IFERROR(IF(F1501&gt;=0,D1501*E1501*(1+F1501/100),ABS(D1501*E1501/F1501)),"")</f>
        <v/>
      </c>
      <c r="H1501" s="43" t="str">
        <f>IFERROR(G1501*E1484,"")</f>
        <v/>
      </c>
    </row>
    <row r="1502" spans="1:11">
      <c r="A1502" s="35"/>
      <c r="B1502" s="36"/>
      <c r="C1502" s="37" t="str">
        <f>IFERROR(_xlfn.XLOOKUP(B1502,MObra[DESCRIPCION],MObra[UN],,0),"")</f>
        <v/>
      </c>
      <c r="D1502" s="38"/>
      <c r="E1502" s="39" t="str">
        <f>IFERROR(_xlfn.XLOOKUP($B1502,MObra[DESCRIPCION],MObra[VALOR UNIT],,0),"")</f>
        <v/>
      </c>
      <c r="F1502" s="40"/>
      <c r="G1502" s="41" t="str">
        <f>IFERROR(IF(F1502&gt;=0,D1502*E1502*(1+F1502/100),ABS(D1502*E1502/F1502)),"")</f>
        <v/>
      </c>
      <c r="H1502" s="42" t="str">
        <f>IFERROR(G1502*E1484,"")</f>
        <v/>
      </c>
    </row>
    <row r="1503" spans="1:11" ht="12.75" customHeight="1"/>
    <row r="1504" spans="1:11">
      <c r="A1504" s="6" t="s">
        <v>2188</v>
      </c>
      <c r="B1504" s="7" t="str">
        <f>VLOOKUP($A1504,Presupuesto!$A:$D,2,FALSE())</f>
        <v>Tubería PVC Novaloc 30"</v>
      </c>
      <c r="C1504" s="8" t="str">
        <f>VLOOKUP($A1504,Presupuesto!$A:$D,3,FALSE())</f>
        <v>M</v>
      </c>
      <c r="D1504" s="9"/>
      <c r="E1504" s="10">
        <f>VLOOKUP($A1504,Presupuesto!$A:$D,4,FALSE())</f>
        <v>0</v>
      </c>
      <c r="F1504" s="11" t="s">
        <v>2589</v>
      </c>
      <c r="G1504" s="12">
        <f>SUM(G1506:G1522)/2</f>
        <v>1265502.4030549692</v>
      </c>
      <c r="H1504" s="13">
        <f>ROUND(SUM(H1506:H1522),0)/2</f>
        <v>0</v>
      </c>
      <c r="I1504" s="10">
        <f>VLOOKUP(A1504,Presupuesto!$A:$F,6,0)</f>
        <v>0</v>
      </c>
      <c r="J1504" s="10">
        <f>+H1504-I1504</f>
        <v>0</v>
      </c>
      <c r="K1504" s="46">
        <f>+H1504-G1504*E1504</f>
        <v>0</v>
      </c>
    </row>
    <row r="1505" spans="1:8">
      <c r="A1505" s="14"/>
      <c r="B1505" s="15" t="s">
        <v>2586</v>
      </c>
      <c r="C1505" s="15" t="s">
        <v>5</v>
      </c>
      <c r="D1505" s="16" t="s">
        <v>6</v>
      </c>
      <c r="E1505" s="17" t="s">
        <v>7</v>
      </c>
      <c r="F1505" s="18" t="s">
        <v>3728</v>
      </c>
      <c r="G1505" s="19" t="s">
        <v>3729</v>
      </c>
      <c r="H1505" s="20" t="s">
        <v>3797</v>
      </c>
    </row>
    <row r="1506" spans="1:8">
      <c r="A1506" s="21"/>
      <c r="B1506" s="22" t="s">
        <v>3730</v>
      </c>
      <c r="C1506" s="23"/>
      <c r="D1506" s="24"/>
      <c r="E1506" s="25"/>
      <c r="F1506" s="26"/>
      <c r="G1506" s="27">
        <f>SUM(G1507:G1511)</f>
        <v>1213353.2670000002</v>
      </c>
      <c r="H1506" s="27">
        <f>IFERROR(G1506*E1504,"")</f>
        <v>0</v>
      </c>
    </row>
    <row r="1507" spans="1:8">
      <c r="A1507" s="28"/>
      <c r="B1507" s="29" t="s">
        <v>3488</v>
      </c>
      <c r="C1507" s="30" t="str">
        <f>IFERROR(_xlfn.XLOOKUP(B1507,Insumo[DESCRIPCION],Insumo[UND],,0),"")</f>
        <v>M</v>
      </c>
      <c r="D1507" s="31">
        <v>1</v>
      </c>
      <c r="E1507" s="32">
        <f>IFERROR(_xlfn.XLOOKUP($B1507,Insumo[DESCRIPCION],Insumo[VALOR],,0),"")</f>
        <v>1134312.9000000001</v>
      </c>
      <c r="F1507" s="33">
        <v>3</v>
      </c>
      <c r="G1507" s="34">
        <f>IFERROR(IF(F1507&gt;=0,D1507*E1507*(1+F1507/100),ABS(D1507*E1507/F1507)),"")</f>
        <v>1168342.2870000002</v>
      </c>
      <c r="H1507" s="43">
        <f>IFERROR(G1507*E1504,"")</f>
        <v>0</v>
      </c>
    </row>
    <row r="1508" spans="1:8">
      <c r="A1508" s="28"/>
      <c r="B1508" s="29" t="s">
        <v>3060</v>
      </c>
      <c r="C1508" s="30" t="str">
        <f>IFERROR(_xlfn.XLOOKUP(B1508,Insumo[DESCRIPCION],Insumo[UND],,0),"")</f>
        <v>Kg</v>
      </c>
      <c r="D1508" s="31">
        <v>1.2</v>
      </c>
      <c r="E1508" s="32">
        <f>IFERROR(_xlfn.XLOOKUP($B1508,Insumo[DESCRIPCION],Insumo[VALOR],,0),"")</f>
        <v>37509.15</v>
      </c>
      <c r="F1508" s="33"/>
      <c r="G1508" s="34">
        <f>IFERROR(IF(F1508&gt;=0,D1508*E1508*(1+F1508/100),ABS(D1508*E1508/F1508)),"")</f>
        <v>45010.98</v>
      </c>
      <c r="H1508" s="43">
        <f>IFERROR(G1508*E1504,"")</f>
        <v>0</v>
      </c>
    </row>
    <row r="1509" spans="1:8">
      <c r="A1509" s="28"/>
      <c r="B1509" s="29"/>
      <c r="C1509" s="30" t="str">
        <f>IFERROR(_xlfn.XLOOKUP(B1509,Insumo[DESCRIPCION],Insumo[UND],,0),"")</f>
        <v/>
      </c>
      <c r="D1509" s="31"/>
      <c r="E1509" s="32" t="str">
        <f>IFERROR(_xlfn.XLOOKUP($B1509,Insumo[DESCRIPCION],Insumo[VALOR],,0),"")</f>
        <v/>
      </c>
      <c r="F1509" s="33"/>
      <c r="G1509" s="34" t="str">
        <f>IFERROR(IF(F1509&gt;=0,D1509*E1509*(1+F1509/100),ABS(D1509*E1509/F1509)),"")</f>
        <v/>
      </c>
      <c r="H1509" s="43" t="str">
        <f>IFERROR(G1509*E1504,"")</f>
        <v/>
      </c>
    </row>
    <row r="1510" spans="1:8">
      <c r="A1510" s="28"/>
      <c r="B1510" s="29"/>
      <c r="C1510" s="30" t="str">
        <f>IFERROR(_xlfn.XLOOKUP(B1510,Insumo[DESCRIPCION],Insumo[UND],,0),"")</f>
        <v/>
      </c>
      <c r="D1510" s="31"/>
      <c r="E1510" s="32" t="str">
        <f>IFERROR(_xlfn.XLOOKUP($B1510,Insumo[DESCRIPCION],Insumo[VALOR],,0),"")</f>
        <v/>
      </c>
      <c r="F1510" s="33"/>
      <c r="G1510" s="34" t="str">
        <f>IFERROR(IF(F1510&gt;=0,D1510*E1510*(1+F1510/100),ABS(D1510*E1510/F1510)),"")</f>
        <v/>
      </c>
      <c r="H1510" s="43" t="str">
        <f>IFERROR(G1510*E1504,"")</f>
        <v/>
      </c>
    </row>
    <row r="1511" spans="1:8">
      <c r="A1511" s="28"/>
      <c r="B1511" s="29"/>
      <c r="C1511" s="30" t="str">
        <f>IFERROR(_xlfn.XLOOKUP(B1511,Insumo[DESCRIPCION],Insumo[UND],,0),"")</f>
        <v/>
      </c>
      <c r="D1511" s="31"/>
      <c r="E1511" s="32" t="str">
        <f>IFERROR(_xlfn.XLOOKUP($B1511,Insumo[DESCRIPCION],Insumo[VALOR],,0),"")</f>
        <v/>
      </c>
      <c r="F1511" s="33"/>
      <c r="G1511" s="34" t="str">
        <f>IFERROR(IF(F1511&gt;=0,D1511*E1511*(1+F1511/100),ABS(D1511*E1511/F1511)),"")</f>
        <v/>
      </c>
      <c r="H1511" s="43" t="str">
        <f>IFERROR(G1511*E1504,"")</f>
        <v/>
      </c>
    </row>
    <row r="1512" spans="1:8">
      <c r="A1512" s="21"/>
      <c r="B1512" s="22" t="s">
        <v>3731</v>
      </c>
      <c r="C1512" s="23"/>
      <c r="D1512" s="24"/>
      <c r="E1512" s="25"/>
      <c r="F1512" s="26"/>
      <c r="G1512" s="27">
        <f>SUM(G1513:G1515)</f>
        <v>12850.292193093752</v>
      </c>
      <c r="H1512" s="44">
        <f>G1512*E1504</f>
        <v>0</v>
      </c>
    </row>
    <row r="1513" spans="1:8">
      <c r="A1513" s="28"/>
      <c r="B1513" s="29" t="s">
        <v>3622</v>
      </c>
      <c r="C1513" s="30" t="str">
        <f>IFERROR(_xlfn.XLOOKUP(B1513,Equipo[DESCRIPCION],Equipo[UND],,0),"")</f>
        <v>Hr</v>
      </c>
      <c r="D1513" s="31">
        <v>1</v>
      </c>
      <c r="E1513" s="32">
        <f>IF(C1513="%MO",G1519,IFERROR(_xlfn.XLOOKUP($B1513,Equipo[DESCRIPCION],Equipo[VALOR],,0),""))</f>
        <v>87082.8</v>
      </c>
      <c r="F1513" s="33">
        <v>-8</v>
      </c>
      <c r="G1513" s="34">
        <f>IFERROR(IF(F1513&gt;=0,D1513*E1513*(1+F1513/100),ABS(D1513*E1513/F1513)),"")</f>
        <v>10885.35</v>
      </c>
      <c r="H1513" s="43">
        <f>IFERROR(G1513*E1504,"")</f>
        <v>0</v>
      </c>
    </row>
    <row r="1514" spans="1:8">
      <c r="A1514" s="28"/>
      <c r="B1514" s="29" t="s">
        <v>3626</v>
      </c>
      <c r="C1514" s="30" t="str">
        <f>IFERROR(_xlfn.XLOOKUP(B1514,Equipo[DESCRIPCION],Equipo[UND],,0),"")</f>
        <v>%MO</v>
      </c>
      <c r="D1514" s="31">
        <v>0.05</v>
      </c>
      <c r="E1514" s="32">
        <f>IF(C1514="%MO",G1520,IFERROR(_xlfn.XLOOKUP($B1514,Equipo[DESCRIPCION],Equipo[VALOR],,0),""))</f>
        <v>39298.843861875008</v>
      </c>
      <c r="F1514" s="33"/>
      <c r="G1514" s="34">
        <f>IFERROR(IF(F1514&gt;=0,D1514*E1514*(1+F1514/100),ABS(D1514*E1514/F1514)),"")</f>
        <v>1964.9421930937506</v>
      </c>
      <c r="H1514" s="43">
        <f>IFERROR(G1514*E1504,"")</f>
        <v>0</v>
      </c>
    </row>
    <row r="1515" spans="1:8">
      <c r="A1515" s="28"/>
      <c r="B1515" s="29"/>
      <c r="C1515" s="30" t="str">
        <f>IFERROR(_xlfn.XLOOKUP(B1515,Equipo[DESCRIPCION],Equipo[UND],,0),"")</f>
        <v/>
      </c>
      <c r="D1515" s="31"/>
      <c r="E1515" s="32" t="str">
        <f>IF(C1515="%MO",G1521,IFERROR(_xlfn.XLOOKUP($B1515,Equipo[DESCRIPCION],Equipo[VALOR],,0),""))</f>
        <v/>
      </c>
      <c r="F1515" s="33"/>
      <c r="G1515" s="34" t="str">
        <f>IFERROR(IF(F1515&gt;=0,D1515*E1515*(1+F1515/100),ABS(D1515*E1515/F1515)),"")</f>
        <v/>
      </c>
      <c r="H1515" s="43" t="str">
        <f>IFERROR(G1515*E1504,"")</f>
        <v/>
      </c>
    </row>
    <row r="1516" spans="1:8">
      <c r="A1516" s="21"/>
      <c r="B1516" s="22" t="s">
        <v>2533</v>
      </c>
      <c r="C1516" s="23"/>
      <c r="D1516" s="24"/>
      <c r="E1516" s="25"/>
      <c r="F1516" s="26"/>
      <c r="G1516" s="27">
        <f>SUM(G1517:G1518)</f>
        <v>0</v>
      </c>
      <c r="H1516" s="44">
        <f>G1516*E1504</f>
        <v>0</v>
      </c>
    </row>
    <row r="1517" spans="1:8">
      <c r="A1517" s="28"/>
      <c r="B1517" s="29"/>
      <c r="C1517" s="30" t="str">
        <f>IFERROR(_xlfn.XLOOKUP(B1517,Transporte[DESCRIPCION],Transporte[UND],,0),"")</f>
        <v/>
      </c>
      <c r="D1517" s="31"/>
      <c r="E1517" s="32" t="str">
        <f>IFERROR(_xlfn.XLOOKUP($B1517,Transporte[DESCRIPCION],Transporte[VALOR],,0),"")</f>
        <v/>
      </c>
      <c r="F1517" s="33"/>
      <c r="G1517" s="34" t="str">
        <f>IFERROR(IF(F1517&gt;=0,D1517*E1517*(1+F1517/100),ABS(D1517*E1517/F1517)),"")</f>
        <v/>
      </c>
      <c r="H1517" s="43" t="str">
        <f>IFERROR(G1517*E1504,"")</f>
        <v/>
      </c>
    </row>
    <row r="1518" spans="1:8">
      <c r="A1518" s="28"/>
      <c r="B1518" s="29"/>
      <c r="C1518" s="30" t="str">
        <f>IFERROR(_xlfn.XLOOKUP(B1518,Transporte[DESCRIPCION],Transporte[UND],,0),"")</f>
        <v/>
      </c>
      <c r="D1518" s="31"/>
      <c r="E1518" s="32" t="str">
        <f>IFERROR(_xlfn.XLOOKUP($B1518,Transporte[DESCRIPCION],Transporte[VALOR],,0),"")</f>
        <v/>
      </c>
      <c r="F1518" s="33"/>
      <c r="G1518" s="34" t="str">
        <f>IFERROR(IF(F1518&gt;=0,D1518*E1518*(1+F1518/100),ABS(D1518*E1518/F1518)),"")</f>
        <v/>
      </c>
      <c r="H1518" s="43" t="str">
        <f>IFERROR(G1518*E1504,"")</f>
        <v/>
      </c>
    </row>
    <row r="1519" spans="1:8">
      <c r="A1519" s="21"/>
      <c r="B1519" s="22" t="s">
        <v>3732</v>
      </c>
      <c r="C1519" s="23"/>
      <c r="D1519" s="24"/>
      <c r="E1519" s="25"/>
      <c r="F1519" s="26"/>
      <c r="G1519" s="27">
        <f>SUM(G1520:G1522)</f>
        <v>39298.843861875008</v>
      </c>
      <c r="H1519" s="44">
        <f>G1519*E1504</f>
        <v>0</v>
      </c>
    </row>
    <row r="1520" spans="1:8">
      <c r="A1520" s="28"/>
      <c r="B1520" s="29" t="s">
        <v>3710</v>
      </c>
      <c r="C1520" s="30" t="str">
        <f>IFERROR(_xlfn.XLOOKUP(B1520,MObra[DESCRIPCION],MObra[UN],,0),"")</f>
        <v>día</v>
      </c>
      <c r="D1520" s="31">
        <v>1</v>
      </c>
      <c r="E1520" s="32">
        <f>IFERROR(_xlfn.XLOOKUP($B1520,MObra[DESCRIPCION],MObra[VALOR UNIT],,0),"")</f>
        <v>314390.75089500006</v>
      </c>
      <c r="F1520" s="33">
        <v>-8</v>
      </c>
      <c r="G1520" s="34">
        <f>IFERROR(IF(F1520&gt;=0,D1520*E1520*(1+F1520/100),ABS(D1520*E1520/F1520)),"")</f>
        <v>39298.843861875008</v>
      </c>
      <c r="H1520" s="43">
        <f>IFERROR(G1520*E1504,"")</f>
        <v>0</v>
      </c>
    </row>
    <row r="1521" spans="1:11">
      <c r="A1521" s="28"/>
      <c r="B1521" s="29"/>
      <c r="C1521" s="30" t="str">
        <f>IFERROR(_xlfn.XLOOKUP(B1521,MObra[DESCRIPCION],MObra[UN],,0),"")</f>
        <v/>
      </c>
      <c r="D1521" s="31"/>
      <c r="E1521" s="32" t="str">
        <f>IFERROR(_xlfn.XLOOKUP($B1521,MObra[DESCRIPCION],MObra[VALOR UNIT],,0),"")</f>
        <v/>
      </c>
      <c r="F1521" s="33"/>
      <c r="G1521" s="34" t="str">
        <f>IFERROR(IF(F1521&gt;=0,D1521*E1521*(1+F1521/100),ABS(D1521*E1521/F1521)),"")</f>
        <v/>
      </c>
      <c r="H1521" s="43" t="str">
        <f>IFERROR(G1521*E1504,"")</f>
        <v/>
      </c>
    </row>
    <row r="1522" spans="1:11">
      <c r="A1522" s="35"/>
      <c r="B1522" s="36"/>
      <c r="C1522" s="37" t="str">
        <f>IFERROR(_xlfn.XLOOKUP(B1522,MObra[DESCRIPCION],MObra[UN],,0),"")</f>
        <v/>
      </c>
      <c r="D1522" s="38"/>
      <c r="E1522" s="39" t="str">
        <f>IFERROR(_xlfn.XLOOKUP($B1522,MObra[DESCRIPCION],MObra[VALOR UNIT],,0),"")</f>
        <v/>
      </c>
      <c r="F1522" s="40"/>
      <c r="G1522" s="41" t="str">
        <f>IFERROR(IF(F1522&gt;=0,D1522*E1522*(1+F1522/100),ABS(D1522*E1522/F1522)),"")</f>
        <v/>
      </c>
      <c r="H1522" s="42" t="str">
        <f>IFERROR(G1522*E1504,"")</f>
        <v/>
      </c>
    </row>
    <row r="1523" spans="1:11" ht="12.75" customHeight="1"/>
    <row r="1524" spans="1:11">
      <c r="A1524" s="6" t="s">
        <v>2190</v>
      </c>
      <c r="B1524" s="7" t="str">
        <f>VLOOKUP($A1524,Presupuesto!$A:$D,2,FALSE())</f>
        <v>Tubería PVC Novaloc 33"</v>
      </c>
      <c r="C1524" s="8" t="str">
        <f>VLOOKUP($A1524,Presupuesto!$A:$D,3,FALSE())</f>
        <v>M</v>
      </c>
      <c r="D1524" s="9"/>
      <c r="E1524" s="10">
        <f>VLOOKUP($A1524,Presupuesto!$A:$D,4,FALSE())</f>
        <v>0</v>
      </c>
      <c r="F1524" s="11" t="s">
        <v>2589</v>
      </c>
      <c r="G1524" s="12">
        <f>SUM(G1526:G1542)/2</f>
        <v>1715727.0316342504</v>
      </c>
      <c r="H1524" s="13">
        <f>ROUND(SUM(H1526:H1542),0)/2</f>
        <v>0</v>
      </c>
      <c r="I1524" s="10">
        <f>VLOOKUP(A1524,Presupuesto!$A:$F,6,0)</f>
        <v>0</v>
      </c>
      <c r="J1524" s="10">
        <f>+H1524-I1524</f>
        <v>0</v>
      </c>
      <c r="K1524" s="46">
        <f>+H1524-G1524*E1524</f>
        <v>0</v>
      </c>
    </row>
    <row r="1525" spans="1:11">
      <c r="A1525" s="14"/>
      <c r="B1525" s="15" t="s">
        <v>2586</v>
      </c>
      <c r="C1525" s="15" t="s">
        <v>5</v>
      </c>
      <c r="D1525" s="16" t="s">
        <v>6</v>
      </c>
      <c r="E1525" s="17" t="s">
        <v>7</v>
      </c>
      <c r="F1525" s="18" t="s">
        <v>3728</v>
      </c>
      <c r="G1525" s="19" t="s">
        <v>3729</v>
      </c>
      <c r="H1525" s="20" t="s">
        <v>3797</v>
      </c>
    </row>
    <row r="1526" spans="1:11">
      <c r="A1526" s="21"/>
      <c r="B1526" s="22" t="s">
        <v>3730</v>
      </c>
      <c r="C1526" s="23"/>
      <c r="D1526" s="24"/>
      <c r="E1526" s="25"/>
      <c r="F1526" s="26"/>
      <c r="G1526" s="27">
        <f>SUM(G1527:G1531)</f>
        <v>1656128.0190000001</v>
      </c>
      <c r="H1526" s="27">
        <f>IFERROR(G1526*E1524,"")</f>
        <v>0</v>
      </c>
    </row>
    <row r="1527" spans="1:11">
      <c r="A1527" s="28"/>
      <c r="B1527" s="29" t="s">
        <v>3489</v>
      </c>
      <c r="C1527" s="30" t="str">
        <f>IFERROR(_xlfn.XLOOKUP(B1527,Insumo[DESCRIPCION],Insumo[UND],,0),"")</f>
        <v>M</v>
      </c>
      <c r="D1527" s="31">
        <v>1</v>
      </c>
      <c r="E1527" s="32">
        <f>IFERROR(_xlfn.XLOOKUP($B1527,Insumo[DESCRIPCION],Insumo[VALOR],,0),"")</f>
        <v>1564191.3</v>
      </c>
      <c r="F1527" s="33">
        <v>3</v>
      </c>
      <c r="G1527" s="34">
        <f>IFERROR(IF(F1527&gt;=0,D1527*E1527*(1+F1527/100),ABS(D1527*E1527/F1527)),"")</f>
        <v>1611117.0390000001</v>
      </c>
      <c r="H1527" s="43">
        <f>IFERROR(G1527*E1524,"")</f>
        <v>0</v>
      </c>
    </row>
    <row r="1528" spans="1:11">
      <c r="A1528" s="28"/>
      <c r="B1528" s="29" t="s">
        <v>3060</v>
      </c>
      <c r="C1528" s="30" t="str">
        <f>IFERROR(_xlfn.XLOOKUP(B1528,Insumo[DESCRIPCION],Insumo[UND],,0),"")</f>
        <v>Kg</v>
      </c>
      <c r="D1528" s="31">
        <v>1.2</v>
      </c>
      <c r="E1528" s="32">
        <f>IFERROR(_xlfn.XLOOKUP($B1528,Insumo[DESCRIPCION],Insumo[VALOR],,0),"")</f>
        <v>37509.15</v>
      </c>
      <c r="F1528" s="33"/>
      <c r="G1528" s="34">
        <f>IFERROR(IF(F1528&gt;=0,D1528*E1528*(1+F1528/100),ABS(D1528*E1528/F1528)),"")</f>
        <v>45010.98</v>
      </c>
      <c r="H1528" s="43">
        <f>IFERROR(G1528*E1524,"")</f>
        <v>0</v>
      </c>
    </row>
    <row r="1529" spans="1:11">
      <c r="A1529" s="28"/>
      <c r="B1529" s="29"/>
      <c r="C1529" s="30" t="str">
        <f>IFERROR(_xlfn.XLOOKUP(B1529,Insumo[DESCRIPCION],Insumo[UND],,0),"")</f>
        <v/>
      </c>
      <c r="D1529" s="31"/>
      <c r="E1529" s="32" t="str">
        <f>IFERROR(_xlfn.XLOOKUP($B1529,Insumo[DESCRIPCION],Insumo[VALOR],,0),"")</f>
        <v/>
      </c>
      <c r="F1529" s="33"/>
      <c r="G1529" s="34" t="str">
        <f>IFERROR(IF(F1529&gt;=0,D1529*E1529*(1+F1529/100),ABS(D1529*E1529/F1529)),"")</f>
        <v/>
      </c>
      <c r="H1529" s="43" t="str">
        <f>IFERROR(G1529*E1524,"")</f>
        <v/>
      </c>
    </row>
    <row r="1530" spans="1:11">
      <c r="A1530" s="28"/>
      <c r="B1530" s="29"/>
      <c r="C1530" s="30" t="str">
        <f>IFERROR(_xlfn.XLOOKUP(B1530,Insumo[DESCRIPCION],Insumo[UND],,0),"")</f>
        <v/>
      </c>
      <c r="D1530" s="31"/>
      <c r="E1530" s="32" t="str">
        <f>IFERROR(_xlfn.XLOOKUP($B1530,Insumo[DESCRIPCION],Insumo[VALOR],,0),"")</f>
        <v/>
      </c>
      <c r="F1530" s="33"/>
      <c r="G1530" s="34" t="str">
        <f>IFERROR(IF(F1530&gt;=0,D1530*E1530*(1+F1530/100),ABS(D1530*E1530/F1530)),"")</f>
        <v/>
      </c>
      <c r="H1530" s="43" t="str">
        <f>IFERROR(G1530*E1524,"")</f>
        <v/>
      </c>
    </row>
    <row r="1531" spans="1:11">
      <c r="A1531" s="28"/>
      <c r="B1531" s="29"/>
      <c r="C1531" s="30" t="str">
        <f>IFERROR(_xlfn.XLOOKUP(B1531,Insumo[DESCRIPCION],Insumo[UND],,0),"")</f>
        <v/>
      </c>
      <c r="D1531" s="31"/>
      <c r="E1531" s="32" t="str">
        <f>IFERROR(_xlfn.XLOOKUP($B1531,Insumo[DESCRIPCION],Insumo[VALOR],,0),"")</f>
        <v/>
      </c>
      <c r="F1531" s="33"/>
      <c r="G1531" s="34" t="str">
        <f>IFERROR(IF(F1531&gt;=0,D1531*E1531*(1+F1531/100),ABS(D1531*E1531/F1531)),"")</f>
        <v/>
      </c>
      <c r="H1531" s="43" t="str">
        <f>IFERROR(G1531*E1524,"")</f>
        <v/>
      </c>
    </row>
    <row r="1532" spans="1:11">
      <c r="A1532" s="21"/>
      <c r="B1532" s="22" t="s">
        <v>3731</v>
      </c>
      <c r="C1532" s="23"/>
      <c r="D1532" s="24"/>
      <c r="E1532" s="25"/>
      <c r="F1532" s="26"/>
      <c r="G1532" s="27">
        <f>SUM(G1533:G1535)</f>
        <v>14686.048220678571</v>
      </c>
      <c r="H1532" s="44">
        <f>G1532*E1524</f>
        <v>0</v>
      </c>
    </row>
    <row r="1533" spans="1:11">
      <c r="A1533" s="28"/>
      <c r="B1533" s="29" t="s">
        <v>3622</v>
      </c>
      <c r="C1533" s="30" t="str">
        <f>IFERROR(_xlfn.XLOOKUP(B1533,Equipo[DESCRIPCION],Equipo[UND],,0),"")</f>
        <v>Hr</v>
      </c>
      <c r="D1533" s="31">
        <v>1</v>
      </c>
      <c r="E1533" s="32">
        <f>IF(C1533="%MO",G1539,IFERROR(_xlfn.XLOOKUP($B1533,Equipo[DESCRIPCION],Equipo[VALOR],,0),""))</f>
        <v>87082.8</v>
      </c>
      <c r="F1533" s="33">
        <v>-7</v>
      </c>
      <c r="G1533" s="34">
        <f>IFERROR(IF(F1533&gt;=0,D1533*E1533*(1+F1533/100),ABS(D1533*E1533/F1533)),"")</f>
        <v>12440.4</v>
      </c>
      <c r="H1533" s="43">
        <f>IFERROR(G1533*E1524,"")</f>
        <v>0</v>
      </c>
    </row>
    <row r="1534" spans="1:11">
      <c r="A1534" s="28"/>
      <c r="B1534" s="29" t="s">
        <v>3626</v>
      </c>
      <c r="C1534" s="30" t="str">
        <f>IFERROR(_xlfn.XLOOKUP(B1534,Equipo[DESCRIPCION],Equipo[UND],,0),"")</f>
        <v>%MO</v>
      </c>
      <c r="D1534" s="31">
        <v>0.05</v>
      </c>
      <c r="E1534" s="32">
        <f>IF(C1534="%MO",G1540,IFERROR(_xlfn.XLOOKUP($B1534,Equipo[DESCRIPCION],Equipo[VALOR],,0),""))</f>
        <v>44912.964413571441</v>
      </c>
      <c r="F1534" s="33"/>
      <c r="G1534" s="34">
        <f>IFERROR(IF(F1534&gt;=0,D1534*E1534*(1+F1534/100),ABS(D1534*E1534/F1534)),"")</f>
        <v>2245.6482206785722</v>
      </c>
      <c r="H1534" s="43">
        <f>IFERROR(G1534*E1524,"")</f>
        <v>0</v>
      </c>
    </row>
    <row r="1535" spans="1:11">
      <c r="A1535" s="28"/>
      <c r="B1535" s="29"/>
      <c r="C1535" s="30" t="str">
        <f>IFERROR(_xlfn.XLOOKUP(B1535,Equipo[DESCRIPCION],Equipo[UND],,0),"")</f>
        <v/>
      </c>
      <c r="D1535" s="31"/>
      <c r="E1535" s="32" t="str">
        <f>IF(C1535="%MO",G1541,IFERROR(_xlfn.XLOOKUP($B1535,Equipo[DESCRIPCION],Equipo[VALOR],,0),""))</f>
        <v/>
      </c>
      <c r="F1535" s="33"/>
      <c r="G1535" s="34" t="str">
        <f>IFERROR(IF(F1535&gt;=0,D1535*E1535*(1+F1535/100),ABS(D1535*E1535/F1535)),"")</f>
        <v/>
      </c>
      <c r="H1535" s="43" t="str">
        <f>IFERROR(G1535*E1524,"")</f>
        <v/>
      </c>
    </row>
    <row r="1536" spans="1:11">
      <c r="A1536" s="21"/>
      <c r="B1536" s="22" t="s">
        <v>2533</v>
      </c>
      <c r="C1536" s="23"/>
      <c r="D1536" s="24"/>
      <c r="E1536" s="25"/>
      <c r="F1536" s="26"/>
      <c r="G1536" s="27">
        <f>SUM(G1537:G1538)</f>
        <v>0</v>
      </c>
      <c r="H1536" s="44">
        <f>G1536*E1524</f>
        <v>0</v>
      </c>
    </row>
    <row r="1537" spans="1:11">
      <c r="A1537" s="28"/>
      <c r="B1537" s="29"/>
      <c r="C1537" s="30" t="str">
        <f>IFERROR(_xlfn.XLOOKUP(B1537,Transporte[DESCRIPCION],Transporte[UND],,0),"")</f>
        <v/>
      </c>
      <c r="D1537" s="31"/>
      <c r="E1537" s="32" t="str">
        <f>IFERROR(_xlfn.XLOOKUP($B1537,Transporte[DESCRIPCION],Transporte[VALOR],,0),"")</f>
        <v/>
      </c>
      <c r="F1537" s="33"/>
      <c r="G1537" s="34" t="str">
        <f>IFERROR(IF(F1537&gt;=0,D1537*E1537*(1+F1537/100),ABS(D1537*E1537/F1537)),"")</f>
        <v/>
      </c>
      <c r="H1537" s="43" t="str">
        <f>IFERROR(G1537*E1524,"")</f>
        <v/>
      </c>
    </row>
    <row r="1538" spans="1:11">
      <c r="A1538" s="28"/>
      <c r="B1538" s="29"/>
      <c r="C1538" s="30" t="str">
        <f>IFERROR(_xlfn.XLOOKUP(B1538,Transporte[DESCRIPCION],Transporte[UND],,0),"")</f>
        <v/>
      </c>
      <c r="D1538" s="31"/>
      <c r="E1538" s="32" t="str">
        <f>IFERROR(_xlfn.XLOOKUP($B1538,Transporte[DESCRIPCION],Transporte[VALOR],,0),"")</f>
        <v/>
      </c>
      <c r="F1538" s="33"/>
      <c r="G1538" s="34" t="str">
        <f>IFERROR(IF(F1538&gt;=0,D1538*E1538*(1+F1538/100),ABS(D1538*E1538/F1538)),"")</f>
        <v/>
      </c>
      <c r="H1538" s="43" t="str">
        <f>IFERROR(G1538*E1524,"")</f>
        <v/>
      </c>
    </row>
    <row r="1539" spans="1:11">
      <c r="A1539" s="21"/>
      <c r="B1539" s="22" t="s">
        <v>3732</v>
      </c>
      <c r="C1539" s="23"/>
      <c r="D1539" s="24"/>
      <c r="E1539" s="25"/>
      <c r="F1539" s="26"/>
      <c r="G1539" s="27">
        <f>SUM(G1540:G1542)</f>
        <v>44912.964413571441</v>
      </c>
      <c r="H1539" s="44">
        <f>G1539*E1524</f>
        <v>0</v>
      </c>
    </row>
    <row r="1540" spans="1:11">
      <c r="A1540" s="28"/>
      <c r="B1540" s="29" t="s">
        <v>3710</v>
      </c>
      <c r="C1540" s="30" t="str">
        <f>IFERROR(_xlfn.XLOOKUP(B1540,MObra[DESCRIPCION],MObra[UN],,0),"")</f>
        <v>día</v>
      </c>
      <c r="D1540" s="31">
        <v>1</v>
      </c>
      <c r="E1540" s="32">
        <f>IFERROR(_xlfn.XLOOKUP($B1540,MObra[DESCRIPCION],MObra[VALOR UNIT],,0),"")</f>
        <v>314390.75089500006</v>
      </c>
      <c r="F1540" s="33">
        <v>-7</v>
      </c>
      <c r="G1540" s="34">
        <f>IFERROR(IF(F1540&gt;=0,D1540*E1540*(1+F1540/100),ABS(D1540*E1540/F1540)),"")</f>
        <v>44912.964413571441</v>
      </c>
      <c r="H1540" s="43">
        <f>IFERROR(G1540*E1524,"")</f>
        <v>0</v>
      </c>
    </row>
    <row r="1541" spans="1:11">
      <c r="A1541" s="28"/>
      <c r="B1541" s="29"/>
      <c r="C1541" s="30" t="str">
        <f>IFERROR(_xlfn.XLOOKUP(B1541,MObra[DESCRIPCION],MObra[UN],,0),"")</f>
        <v/>
      </c>
      <c r="D1541" s="31"/>
      <c r="E1541" s="32" t="str">
        <f>IFERROR(_xlfn.XLOOKUP($B1541,MObra[DESCRIPCION],MObra[VALOR UNIT],,0),"")</f>
        <v/>
      </c>
      <c r="F1541" s="33"/>
      <c r="G1541" s="34" t="str">
        <f>IFERROR(IF(F1541&gt;=0,D1541*E1541*(1+F1541/100),ABS(D1541*E1541/F1541)),"")</f>
        <v/>
      </c>
      <c r="H1541" s="43" t="str">
        <f>IFERROR(G1541*E1524,"")</f>
        <v/>
      </c>
    </row>
    <row r="1542" spans="1:11">
      <c r="A1542" s="35"/>
      <c r="B1542" s="36"/>
      <c r="C1542" s="37" t="str">
        <f>IFERROR(_xlfn.XLOOKUP(B1542,MObra[DESCRIPCION],MObra[UN],,0),"")</f>
        <v/>
      </c>
      <c r="D1542" s="38"/>
      <c r="E1542" s="39" t="str">
        <f>IFERROR(_xlfn.XLOOKUP($B1542,MObra[DESCRIPCION],MObra[VALOR UNIT],,0),"")</f>
        <v/>
      </c>
      <c r="F1542" s="40"/>
      <c r="G1542" s="41" t="str">
        <f>IFERROR(IF(F1542&gt;=0,D1542*E1542*(1+F1542/100),ABS(D1542*E1542/F1542)),"")</f>
        <v/>
      </c>
      <c r="H1542" s="42" t="str">
        <f>IFERROR(G1542*E1524,"")</f>
        <v/>
      </c>
    </row>
    <row r="1543" spans="1:11" ht="12.75" customHeight="1"/>
    <row r="1544" spans="1:11">
      <c r="A1544" s="6" t="s">
        <v>2192</v>
      </c>
      <c r="B1544" s="7" t="str">
        <f>VLOOKUP($A1544,Presupuesto!$A:$D,2,FALSE())</f>
        <v>Tubería PVC Novaloc 36"</v>
      </c>
      <c r="C1544" s="8" t="str">
        <f>VLOOKUP($A1544,Presupuesto!$A:$D,3,FALSE())</f>
        <v>M</v>
      </c>
      <c r="D1544" s="9"/>
      <c r="E1544" s="10">
        <f>VLOOKUP($A1544,Presupuesto!$A:$D,4,FALSE())</f>
        <v>0</v>
      </c>
      <c r="F1544" s="11" t="s">
        <v>2589</v>
      </c>
      <c r="G1544" s="12">
        <f>SUM(G1546:G1562)/2</f>
        <v>2294384.0169066251</v>
      </c>
      <c r="H1544" s="13">
        <f>ROUND(SUM(H1546:H1562),0)/2</f>
        <v>0</v>
      </c>
      <c r="I1544" s="10">
        <f>VLOOKUP(A1544,Presupuesto!$A:$F,6,0)</f>
        <v>0</v>
      </c>
      <c r="J1544" s="10">
        <f>+H1544-I1544</f>
        <v>0</v>
      </c>
      <c r="K1544" s="46">
        <f>+H1544-G1544*E1544</f>
        <v>0</v>
      </c>
    </row>
    <row r="1545" spans="1:11">
      <c r="A1545" s="14"/>
      <c r="B1545" s="15" t="s">
        <v>2586</v>
      </c>
      <c r="C1545" s="15" t="s">
        <v>5</v>
      </c>
      <c r="D1545" s="16" t="s">
        <v>6</v>
      </c>
      <c r="E1545" s="17" t="s">
        <v>7</v>
      </c>
      <c r="F1545" s="18" t="s">
        <v>3728</v>
      </c>
      <c r="G1545" s="19" t="s">
        <v>3729</v>
      </c>
      <c r="H1545" s="20" t="s">
        <v>3797</v>
      </c>
    </row>
    <row r="1546" spans="1:11">
      <c r="A1546" s="21"/>
      <c r="B1546" s="22" t="s">
        <v>3730</v>
      </c>
      <c r="C1546" s="23"/>
      <c r="D1546" s="24"/>
      <c r="E1546" s="25"/>
      <c r="F1546" s="26"/>
      <c r="G1546" s="27">
        <f>SUM(G1547:G1551)</f>
        <v>2224851.8355</v>
      </c>
      <c r="H1546" s="27">
        <f>IFERROR(G1546*E1544,"")</f>
        <v>0</v>
      </c>
    </row>
    <row r="1547" spans="1:11">
      <c r="A1547" s="28"/>
      <c r="B1547" s="29" t="s">
        <v>3490</v>
      </c>
      <c r="C1547" s="30" t="str">
        <f>IFERROR(_xlfn.XLOOKUP(B1547,Insumo[DESCRIPCION],Insumo[UND],,0),"")</f>
        <v>M</v>
      </c>
      <c r="D1547" s="31">
        <v>1</v>
      </c>
      <c r="E1547" s="32">
        <f>IFERROR(_xlfn.XLOOKUP($B1547,Insumo[DESCRIPCION],Insumo[VALOR],,0),"")</f>
        <v>2105425.35</v>
      </c>
      <c r="F1547" s="33">
        <v>3</v>
      </c>
      <c r="G1547" s="34">
        <f>IFERROR(IF(F1547&gt;=0,D1547*E1547*(1+F1547/100),ABS(D1547*E1547/F1547)),"")</f>
        <v>2168588.1105</v>
      </c>
      <c r="H1547" s="43">
        <f>IFERROR(G1547*E1544,"")</f>
        <v>0</v>
      </c>
    </row>
    <row r="1548" spans="1:11">
      <c r="A1548" s="28"/>
      <c r="B1548" s="29" t="s">
        <v>3060</v>
      </c>
      <c r="C1548" s="30" t="str">
        <f>IFERROR(_xlfn.XLOOKUP(B1548,Insumo[DESCRIPCION],Insumo[UND],,0),"")</f>
        <v>Kg</v>
      </c>
      <c r="D1548" s="31">
        <v>1.5</v>
      </c>
      <c r="E1548" s="32">
        <f>IFERROR(_xlfn.XLOOKUP($B1548,Insumo[DESCRIPCION],Insumo[VALOR],,0),"")</f>
        <v>37509.15</v>
      </c>
      <c r="F1548" s="33"/>
      <c r="G1548" s="34">
        <f>IFERROR(IF(F1548&gt;=0,D1548*E1548*(1+F1548/100),ABS(D1548*E1548/F1548)),"")</f>
        <v>56263.725000000006</v>
      </c>
      <c r="H1548" s="43">
        <f>IFERROR(G1548*E1544,"")</f>
        <v>0</v>
      </c>
    </row>
    <row r="1549" spans="1:11">
      <c r="A1549" s="28"/>
      <c r="B1549" s="29"/>
      <c r="C1549" s="30" t="str">
        <f>IFERROR(_xlfn.XLOOKUP(B1549,Insumo[DESCRIPCION],Insumo[UND],,0),"")</f>
        <v/>
      </c>
      <c r="D1549" s="31"/>
      <c r="E1549" s="32" t="str">
        <f>IFERROR(_xlfn.XLOOKUP($B1549,Insumo[DESCRIPCION],Insumo[VALOR],,0),"")</f>
        <v/>
      </c>
      <c r="F1549" s="33"/>
      <c r="G1549" s="34" t="str">
        <f>IFERROR(IF(F1549&gt;=0,D1549*E1549*(1+F1549/100),ABS(D1549*E1549/F1549)),"")</f>
        <v/>
      </c>
      <c r="H1549" s="43" t="str">
        <f>IFERROR(G1549*E1544,"")</f>
        <v/>
      </c>
    </row>
    <row r="1550" spans="1:11">
      <c r="A1550" s="28"/>
      <c r="B1550" s="29"/>
      <c r="C1550" s="30" t="str">
        <f>IFERROR(_xlfn.XLOOKUP(B1550,Insumo[DESCRIPCION],Insumo[UND],,0),"")</f>
        <v/>
      </c>
      <c r="D1550" s="31"/>
      <c r="E1550" s="32" t="str">
        <f>IFERROR(_xlfn.XLOOKUP($B1550,Insumo[DESCRIPCION],Insumo[VALOR],,0),"")</f>
        <v/>
      </c>
      <c r="F1550" s="33"/>
      <c r="G1550" s="34" t="str">
        <f>IFERROR(IF(F1550&gt;=0,D1550*E1550*(1+F1550/100),ABS(D1550*E1550/F1550)),"")</f>
        <v/>
      </c>
      <c r="H1550" s="43" t="str">
        <f>IFERROR(G1550*E1544,"")</f>
        <v/>
      </c>
    </row>
    <row r="1551" spans="1:11">
      <c r="A1551" s="28"/>
      <c r="B1551" s="29"/>
      <c r="C1551" s="30" t="str">
        <f>IFERROR(_xlfn.XLOOKUP(B1551,Insumo[DESCRIPCION],Insumo[UND],,0),"")</f>
        <v/>
      </c>
      <c r="D1551" s="31"/>
      <c r="E1551" s="32" t="str">
        <f>IFERROR(_xlfn.XLOOKUP($B1551,Insumo[DESCRIPCION],Insumo[VALOR],,0),"")</f>
        <v/>
      </c>
      <c r="F1551" s="33"/>
      <c r="G1551" s="34" t="str">
        <f>IFERROR(IF(F1551&gt;=0,D1551*E1551*(1+F1551/100),ABS(D1551*E1551/F1551)),"")</f>
        <v/>
      </c>
      <c r="H1551" s="43" t="str">
        <f>IFERROR(G1551*E1544,"")</f>
        <v/>
      </c>
    </row>
    <row r="1552" spans="1:11">
      <c r="A1552" s="21"/>
      <c r="B1552" s="22" t="s">
        <v>3731</v>
      </c>
      <c r="C1552" s="23"/>
      <c r="D1552" s="24"/>
      <c r="E1552" s="25"/>
      <c r="F1552" s="26"/>
      <c r="G1552" s="27">
        <f>SUM(G1553:G1555)</f>
        <v>17133.722924125002</v>
      </c>
      <c r="H1552" s="44">
        <f>G1552*E1544</f>
        <v>0</v>
      </c>
    </row>
    <row r="1553" spans="1:11">
      <c r="A1553" s="28"/>
      <c r="B1553" s="29" t="s">
        <v>3622</v>
      </c>
      <c r="C1553" s="30" t="str">
        <f>IFERROR(_xlfn.XLOOKUP(B1553,Equipo[DESCRIPCION],Equipo[UND],,0),"")</f>
        <v>Hr</v>
      </c>
      <c r="D1553" s="31">
        <v>1</v>
      </c>
      <c r="E1553" s="32">
        <f>IF(C1553="%MO",G1559,IFERROR(_xlfn.XLOOKUP($B1553,Equipo[DESCRIPCION],Equipo[VALOR],,0),""))</f>
        <v>87082.8</v>
      </c>
      <c r="F1553" s="33">
        <v>-6</v>
      </c>
      <c r="G1553" s="34">
        <f>IFERROR(IF(F1553&gt;=0,D1553*E1553*(1+F1553/100),ABS(D1553*E1553/F1553)),"")</f>
        <v>14513.800000000001</v>
      </c>
      <c r="H1553" s="43">
        <f>IFERROR(G1553*E1544,"")</f>
        <v>0</v>
      </c>
    </row>
    <row r="1554" spans="1:11">
      <c r="A1554" s="28"/>
      <c r="B1554" s="29" t="s">
        <v>3626</v>
      </c>
      <c r="C1554" s="30" t="str">
        <f>IFERROR(_xlfn.XLOOKUP(B1554,Equipo[DESCRIPCION],Equipo[UND],,0),"")</f>
        <v>%MO</v>
      </c>
      <c r="D1554" s="31">
        <v>0.05</v>
      </c>
      <c r="E1554" s="32">
        <f>IF(C1554="%MO",G1560,IFERROR(_xlfn.XLOOKUP($B1554,Equipo[DESCRIPCION],Equipo[VALOR],,0),""))</f>
        <v>52398.458482500013</v>
      </c>
      <c r="F1554" s="33"/>
      <c r="G1554" s="34">
        <f>IFERROR(IF(F1554&gt;=0,D1554*E1554*(1+F1554/100),ABS(D1554*E1554/F1554)),"")</f>
        <v>2619.9229241250009</v>
      </c>
      <c r="H1554" s="43">
        <f>IFERROR(G1554*E1544,"")</f>
        <v>0</v>
      </c>
    </row>
    <row r="1555" spans="1:11">
      <c r="A1555" s="28"/>
      <c r="B1555" s="29"/>
      <c r="C1555" s="30" t="str">
        <f>IFERROR(_xlfn.XLOOKUP(B1555,Equipo[DESCRIPCION],Equipo[UND],,0),"")</f>
        <v/>
      </c>
      <c r="D1555" s="31"/>
      <c r="E1555" s="32" t="str">
        <f>IF(C1555="%MO",G1561,IFERROR(_xlfn.XLOOKUP($B1555,Equipo[DESCRIPCION],Equipo[VALOR],,0),""))</f>
        <v/>
      </c>
      <c r="F1555" s="33"/>
      <c r="G1555" s="34" t="str">
        <f>IFERROR(IF(F1555&gt;=0,D1555*E1555*(1+F1555/100),ABS(D1555*E1555/F1555)),"")</f>
        <v/>
      </c>
      <c r="H1555" s="43" t="str">
        <f>IFERROR(G1555*E1544,"")</f>
        <v/>
      </c>
    </row>
    <row r="1556" spans="1:11">
      <c r="A1556" s="21"/>
      <c r="B1556" s="22" t="s">
        <v>2533</v>
      </c>
      <c r="C1556" s="23"/>
      <c r="D1556" s="24"/>
      <c r="E1556" s="25"/>
      <c r="F1556" s="26"/>
      <c r="G1556" s="27">
        <f>SUM(G1557:G1558)</f>
        <v>0</v>
      </c>
      <c r="H1556" s="44">
        <f>G1556*E1544</f>
        <v>0</v>
      </c>
    </row>
    <row r="1557" spans="1:11">
      <c r="A1557" s="28"/>
      <c r="B1557" s="29"/>
      <c r="C1557" s="30" t="str">
        <f>IFERROR(_xlfn.XLOOKUP(B1557,Transporte[DESCRIPCION],Transporte[UND],,0),"")</f>
        <v/>
      </c>
      <c r="D1557" s="31"/>
      <c r="E1557" s="32" t="str">
        <f>IFERROR(_xlfn.XLOOKUP($B1557,Transporte[DESCRIPCION],Transporte[VALOR],,0),"")</f>
        <v/>
      </c>
      <c r="F1557" s="33"/>
      <c r="G1557" s="34" t="str">
        <f>IFERROR(IF(F1557&gt;=0,D1557*E1557*(1+F1557/100),ABS(D1557*E1557/F1557)),"")</f>
        <v/>
      </c>
      <c r="H1557" s="43" t="str">
        <f>IFERROR(G1557*E1544,"")</f>
        <v/>
      </c>
    </row>
    <row r="1558" spans="1:11">
      <c r="A1558" s="28"/>
      <c r="B1558" s="29"/>
      <c r="C1558" s="30" t="str">
        <f>IFERROR(_xlfn.XLOOKUP(B1558,Transporte[DESCRIPCION],Transporte[UND],,0),"")</f>
        <v/>
      </c>
      <c r="D1558" s="31"/>
      <c r="E1558" s="32" t="str">
        <f>IFERROR(_xlfn.XLOOKUP($B1558,Transporte[DESCRIPCION],Transporte[VALOR],,0),"")</f>
        <v/>
      </c>
      <c r="F1558" s="33"/>
      <c r="G1558" s="34" t="str">
        <f>IFERROR(IF(F1558&gt;=0,D1558*E1558*(1+F1558/100),ABS(D1558*E1558/F1558)),"")</f>
        <v/>
      </c>
      <c r="H1558" s="43" t="str">
        <f>IFERROR(G1558*E1544,"")</f>
        <v/>
      </c>
    </row>
    <row r="1559" spans="1:11">
      <c r="A1559" s="21"/>
      <c r="B1559" s="22" t="s">
        <v>3732</v>
      </c>
      <c r="C1559" s="23"/>
      <c r="D1559" s="24"/>
      <c r="E1559" s="25"/>
      <c r="F1559" s="26"/>
      <c r="G1559" s="27">
        <f>SUM(G1560:G1562)</f>
        <v>52398.458482500013</v>
      </c>
      <c r="H1559" s="44">
        <f>G1559*E1544</f>
        <v>0</v>
      </c>
    </row>
    <row r="1560" spans="1:11">
      <c r="A1560" s="28"/>
      <c r="B1560" s="29" t="s">
        <v>3710</v>
      </c>
      <c r="C1560" s="30" t="str">
        <f>IFERROR(_xlfn.XLOOKUP(B1560,MObra[DESCRIPCION],MObra[UN],,0),"")</f>
        <v>día</v>
      </c>
      <c r="D1560" s="31">
        <v>1</v>
      </c>
      <c r="E1560" s="32">
        <f>IFERROR(_xlfn.XLOOKUP($B1560,MObra[DESCRIPCION],MObra[VALOR UNIT],,0),"")</f>
        <v>314390.75089500006</v>
      </c>
      <c r="F1560" s="33">
        <v>-6</v>
      </c>
      <c r="G1560" s="34">
        <f>IFERROR(IF(F1560&gt;=0,D1560*E1560*(1+F1560/100),ABS(D1560*E1560/F1560)),"")</f>
        <v>52398.458482500013</v>
      </c>
      <c r="H1560" s="43">
        <f>IFERROR(G1560*E1544,"")</f>
        <v>0</v>
      </c>
    </row>
    <row r="1561" spans="1:11">
      <c r="A1561" s="28"/>
      <c r="B1561" s="29"/>
      <c r="C1561" s="30" t="str">
        <f>IFERROR(_xlfn.XLOOKUP(B1561,MObra[DESCRIPCION],MObra[UN],,0),"")</f>
        <v/>
      </c>
      <c r="D1561" s="31"/>
      <c r="E1561" s="32" t="str">
        <f>IFERROR(_xlfn.XLOOKUP($B1561,MObra[DESCRIPCION],MObra[VALOR UNIT],,0),"")</f>
        <v/>
      </c>
      <c r="F1561" s="33"/>
      <c r="G1561" s="34" t="str">
        <f>IFERROR(IF(F1561&gt;=0,D1561*E1561*(1+F1561/100),ABS(D1561*E1561/F1561)),"")</f>
        <v/>
      </c>
      <c r="H1561" s="43" t="str">
        <f>IFERROR(G1561*E1544,"")</f>
        <v/>
      </c>
    </row>
    <row r="1562" spans="1:11">
      <c r="A1562" s="35"/>
      <c r="B1562" s="36"/>
      <c r="C1562" s="37" t="str">
        <f>IFERROR(_xlfn.XLOOKUP(B1562,MObra[DESCRIPCION],MObra[UN],,0),"")</f>
        <v/>
      </c>
      <c r="D1562" s="38"/>
      <c r="E1562" s="39" t="str">
        <f>IFERROR(_xlfn.XLOOKUP($B1562,MObra[DESCRIPCION],MObra[VALOR UNIT],,0),"")</f>
        <v/>
      </c>
      <c r="F1562" s="40"/>
      <c r="G1562" s="41" t="str">
        <f>IFERROR(IF(F1562&gt;=0,D1562*E1562*(1+F1562/100),ABS(D1562*E1562/F1562)),"")</f>
        <v/>
      </c>
      <c r="H1562" s="42" t="str">
        <f>IFERROR(G1562*E1544,"")</f>
        <v/>
      </c>
    </row>
    <row r="1563" spans="1:11" ht="12.75" customHeight="1"/>
    <row r="1564" spans="1:11">
      <c r="A1564" s="6" t="s">
        <v>2194</v>
      </c>
      <c r="B1564" s="7" t="str">
        <f>VLOOKUP($A1564,Presupuesto!$A:$D,2,FALSE())</f>
        <v>Tubería PVC Novaloc 39"</v>
      </c>
      <c r="C1564" s="8" t="str">
        <f>VLOOKUP($A1564,Presupuesto!$A:$D,3,FALSE())</f>
        <v>M</v>
      </c>
      <c r="D1564" s="9"/>
      <c r="E1564" s="10">
        <f>VLOOKUP($A1564,Presupuesto!$A:$D,4,FALSE())</f>
        <v>0</v>
      </c>
      <c r="F1564" s="11" t="s">
        <v>2589</v>
      </c>
      <c r="G1564" s="12">
        <f>SUM(G1566:G1582)/2</f>
        <v>3059935.3996879491</v>
      </c>
      <c r="H1564" s="13">
        <f>ROUND(SUM(H1566:H1582),0)/2</f>
        <v>0</v>
      </c>
      <c r="I1564" s="10">
        <f>VLOOKUP(A1564,Presupuesto!$A:$F,6,0)</f>
        <v>0</v>
      </c>
      <c r="J1564" s="10">
        <f>+H1564-I1564</f>
        <v>0</v>
      </c>
      <c r="K1564" s="46">
        <f>+H1564-G1564*E1564</f>
        <v>0</v>
      </c>
    </row>
    <row r="1565" spans="1:11">
      <c r="A1565" s="14"/>
      <c r="B1565" s="15" t="s">
        <v>2586</v>
      </c>
      <c r="C1565" s="15" t="s">
        <v>5</v>
      </c>
      <c r="D1565" s="16" t="s">
        <v>6</v>
      </c>
      <c r="E1565" s="17" t="s">
        <v>7</v>
      </c>
      <c r="F1565" s="18" t="s">
        <v>3728</v>
      </c>
      <c r="G1565" s="19" t="s">
        <v>3729</v>
      </c>
      <c r="H1565" s="20" t="s">
        <v>3797</v>
      </c>
    </row>
    <row r="1566" spans="1:11">
      <c r="A1566" s="21"/>
      <c r="B1566" s="22" t="s">
        <v>3730</v>
      </c>
      <c r="C1566" s="23"/>
      <c r="D1566" s="24"/>
      <c r="E1566" s="25"/>
      <c r="F1566" s="26"/>
      <c r="G1566" s="27">
        <f>SUM(G1567:G1571)</f>
        <v>2976496.7819999997</v>
      </c>
      <c r="H1566" s="27">
        <f>IFERROR(G1566*E1564,"")</f>
        <v>0</v>
      </c>
    </row>
    <row r="1567" spans="1:11">
      <c r="A1567" s="28"/>
      <c r="B1567" s="29" t="s">
        <v>3491</v>
      </c>
      <c r="C1567" s="30" t="str">
        <f>IFERROR(_xlfn.XLOOKUP(B1567,Insumo[DESCRIPCION],Insumo[UND],,0),"")</f>
        <v>M</v>
      </c>
      <c r="D1567" s="31">
        <v>1</v>
      </c>
      <c r="E1567" s="32">
        <f>IFERROR(_xlfn.XLOOKUP($B1567,Insumo[DESCRIPCION],Insumo[VALOR],,0),"")</f>
        <v>2816969.4</v>
      </c>
      <c r="F1567" s="33">
        <v>3</v>
      </c>
      <c r="G1567" s="34">
        <f>IFERROR(IF(F1567&gt;=0,D1567*E1567*(1+F1567/100),ABS(D1567*E1567/F1567)),"")</f>
        <v>2901478.4819999998</v>
      </c>
      <c r="H1567" s="43">
        <f>IFERROR(G1567*E1564,"")</f>
        <v>0</v>
      </c>
    </row>
    <row r="1568" spans="1:11">
      <c r="A1568" s="28"/>
      <c r="B1568" s="29" t="s">
        <v>3060</v>
      </c>
      <c r="C1568" s="30" t="str">
        <f>IFERROR(_xlfn.XLOOKUP(B1568,Insumo[DESCRIPCION],Insumo[UND],,0),"")</f>
        <v>Kg</v>
      </c>
      <c r="D1568" s="31">
        <v>2</v>
      </c>
      <c r="E1568" s="32">
        <f>IFERROR(_xlfn.XLOOKUP($B1568,Insumo[DESCRIPCION],Insumo[VALOR],,0),"")</f>
        <v>37509.15</v>
      </c>
      <c r="F1568" s="33"/>
      <c r="G1568" s="34">
        <f>IFERROR(IF(F1568&gt;=0,D1568*E1568*(1+F1568/100),ABS(D1568*E1568/F1568)),"")</f>
        <v>75018.3</v>
      </c>
      <c r="H1568" s="43">
        <f>IFERROR(G1568*E1564,"")</f>
        <v>0</v>
      </c>
    </row>
    <row r="1569" spans="1:11">
      <c r="A1569" s="28"/>
      <c r="B1569" s="29"/>
      <c r="C1569" s="30" t="str">
        <f>IFERROR(_xlfn.XLOOKUP(B1569,Insumo[DESCRIPCION],Insumo[UND],,0),"")</f>
        <v/>
      </c>
      <c r="D1569" s="31"/>
      <c r="E1569" s="32" t="str">
        <f>IFERROR(_xlfn.XLOOKUP($B1569,Insumo[DESCRIPCION],Insumo[VALOR],,0),"")</f>
        <v/>
      </c>
      <c r="F1569" s="33"/>
      <c r="G1569" s="34" t="str">
        <f>IFERROR(IF(F1569&gt;=0,D1569*E1569*(1+F1569/100),ABS(D1569*E1569/F1569)),"")</f>
        <v/>
      </c>
      <c r="H1569" s="43" t="str">
        <f>IFERROR(G1569*E1564,"")</f>
        <v/>
      </c>
    </row>
    <row r="1570" spans="1:11">
      <c r="A1570" s="28"/>
      <c r="B1570" s="29"/>
      <c r="C1570" s="30" t="str">
        <f>IFERROR(_xlfn.XLOOKUP(B1570,Insumo[DESCRIPCION],Insumo[UND],,0),"")</f>
        <v/>
      </c>
      <c r="D1570" s="31"/>
      <c r="E1570" s="32" t="str">
        <f>IFERROR(_xlfn.XLOOKUP($B1570,Insumo[DESCRIPCION],Insumo[VALOR],,0),"")</f>
        <v/>
      </c>
      <c r="F1570" s="33"/>
      <c r="G1570" s="34" t="str">
        <f>IFERROR(IF(F1570&gt;=0,D1570*E1570*(1+F1570/100),ABS(D1570*E1570/F1570)),"")</f>
        <v/>
      </c>
      <c r="H1570" s="43" t="str">
        <f>IFERROR(G1570*E1564,"")</f>
        <v/>
      </c>
    </row>
    <row r="1571" spans="1:11">
      <c r="A1571" s="28"/>
      <c r="B1571" s="29"/>
      <c r="C1571" s="30" t="str">
        <f>IFERROR(_xlfn.XLOOKUP(B1571,Insumo[DESCRIPCION],Insumo[UND],,0),"")</f>
        <v/>
      </c>
      <c r="D1571" s="31"/>
      <c r="E1571" s="32" t="str">
        <f>IFERROR(_xlfn.XLOOKUP($B1571,Insumo[DESCRIPCION],Insumo[VALOR],,0),"")</f>
        <v/>
      </c>
      <c r="F1571" s="33"/>
      <c r="G1571" s="34" t="str">
        <f>IFERROR(IF(F1571&gt;=0,D1571*E1571*(1+F1571/100),ABS(D1571*E1571/F1571)),"")</f>
        <v/>
      </c>
      <c r="H1571" s="43" t="str">
        <f>IFERROR(G1571*E1564,"")</f>
        <v/>
      </c>
    </row>
    <row r="1572" spans="1:11">
      <c r="A1572" s="21"/>
      <c r="B1572" s="22" t="s">
        <v>3731</v>
      </c>
      <c r="C1572" s="23"/>
      <c r="D1572" s="24"/>
      <c r="E1572" s="25"/>
      <c r="F1572" s="26"/>
      <c r="G1572" s="27">
        <f>SUM(G1573:G1575)</f>
        <v>20560.467508950002</v>
      </c>
      <c r="H1572" s="44">
        <f>G1572*E1564</f>
        <v>0</v>
      </c>
    </row>
    <row r="1573" spans="1:11">
      <c r="A1573" s="28"/>
      <c r="B1573" s="29" t="s">
        <v>3622</v>
      </c>
      <c r="C1573" s="30" t="str">
        <f>IFERROR(_xlfn.XLOOKUP(B1573,Equipo[DESCRIPCION],Equipo[UND],,0),"")</f>
        <v>Hr</v>
      </c>
      <c r="D1573" s="31">
        <v>1</v>
      </c>
      <c r="E1573" s="32">
        <f>IF(C1573="%MO",G1579,IFERROR(_xlfn.XLOOKUP($B1573,Equipo[DESCRIPCION],Equipo[VALOR],,0),""))</f>
        <v>87082.8</v>
      </c>
      <c r="F1573" s="33">
        <v>-5</v>
      </c>
      <c r="G1573" s="34">
        <f>IFERROR(IF(F1573&gt;=0,D1573*E1573*(1+F1573/100),ABS(D1573*E1573/F1573)),"")</f>
        <v>17416.560000000001</v>
      </c>
      <c r="H1573" s="43">
        <f>IFERROR(G1573*E1564,"")</f>
        <v>0</v>
      </c>
    </row>
    <row r="1574" spans="1:11">
      <c r="A1574" s="28"/>
      <c r="B1574" s="29" t="s">
        <v>3626</v>
      </c>
      <c r="C1574" s="30" t="str">
        <f>IFERROR(_xlfn.XLOOKUP(B1574,Equipo[DESCRIPCION],Equipo[UND],,0),"")</f>
        <v>%MO</v>
      </c>
      <c r="D1574" s="31">
        <v>0.05</v>
      </c>
      <c r="E1574" s="32">
        <f>IF(C1574="%MO",G1580,IFERROR(_xlfn.XLOOKUP($B1574,Equipo[DESCRIPCION],Equipo[VALOR],,0),""))</f>
        <v>62878.150179000011</v>
      </c>
      <c r="F1574" s="33"/>
      <c r="G1574" s="34">
        <f>IFERROR(IF(F1574&gt;=0,D1574*E1574*(1+F1574/100),ABS(D1574*E1574/F1574)),"")</f>
        <v>3143.9075089500006</v>
      </c>
      <c r="H1574" s="43">
        <f>IFERROR(G1574*E1564,"")</f>
        <v>0</v>
      </c>
    </row>
    <row r="1575" spans="1:11">
      <c r="A1575" s="28"/>
      <c r="B1575" s="29"/>
      <c r="C1575" s="30" t="str">
        <f>IFERROR(_xlfn.XLOOKUP(B1575,Equipo[DESCRIPCION],Equipo[UND],,0),"")</f>
        <v/>
      </c>
      <c r="D1575" s="31"/>
      <c r="E1575" s="32" t="str">
        <f>IF(C1575="%MO",G1581,IFERROR(_xlfn.XLOOKUP($B1575,Equipo[DESCRIPCION],Equipo[VALOR],,0),""))</f>
        <v/>
      </c>
      <c r="F1575" s="33"/>
      <c r="G1575" s="34" t="str">
        <f>IFERROR(IF(F1575&gt;=0,D1575*E1575*(1+F1575/100),ABS(D1575*E1575/F1575)),"")</f>
        <v/>
      </c>
      <c r="H1575" s="43" t="str">
        <f>IFERROR(G1575*E1564,"")</f>
        <v/>
      </c>
    </row>
    <row r="1576" spans="1:11">
      <c r="A1576" s="21"/>
      <c r="B1576" s="22" t="s">
        <v>2533</v>
      </c>
      <c r="C1576" s="23"/>
      <c r="D1576" s="24"/>
      <c r="E1576" s="25"/>
      <c r="F1576" s="26"/>
      <c r="G1576" s="27">
        <f>SUM(G1577:G1578)</f>
        <v>0</v>
      </c>
      <c r="H1576" s="44">
        <f>G1576*E1564</f>
        <v>0</v>
      </c>
    </row>
    <row r="1577" spans="1:11">
      <c r="A1577" s="28"/>
      <c r="B1577" s="29"/>
      <c r="C1577" s="30" t="str">
        <f>IFERROR(_xlfn.XLOOKUP(B1577,Transporte[DESCRIPCION],Transporte[UND],,0),"")</f>
        <v/>
      </c>
      <c r="D1577" s="31"/>
      <c r="E1577" s="32" t="str">
        <f>IFERROR(_xlfn.XLOOKUP($B1577,Transporte[DESCRIPCION],Transporte[VALOR],,0),"")</f>
        <v/>
      </c>
      <c r="F1577" s="33"/>
      <c r="G1577" s="34" t="str">
        <f>IFERROR(IF(F1577&gt;=0,D1577*E1577*(1+F1577/100),ABS(D1577*E1577/F1577)),"")</f>
        <v/>
      </c>
      <c r="H1577" s="43" t="str">
        <f>IFERROR(G1577*E1564,"")</f>
        <v/>
      </c>
    </row>
    <row r="1578" spans="1:11">
      <c r="A1578" s="28"/>
      <c r="B1578" s="29"/>
      <c r="C1578" s="30" t="str">
        <f>IFERROR(_xlfn.XLOOKUP(B1578,Transporte[DESCRIPCION],Transporte[UND],,0),"")</f>
        <v/>
      </c>
      <c r="D1578" s="31"/>
      <c r="E1578" s="32" t="str">
        <f>IFERROR(_xlfn.XLOOKUP($B1578,Transporte[DESCRIPCION],Transporte[VALOR],,0),"")</f>
        <v/>
      </c>
      <c r="F1578" s="33"/>
      <c r="G1578" s="34" t="str">
        <f>IFERROR(IF(F1578&gt;=0,D1578*E1578*(1+F1578/100),ABS(D1578*E1578/F1578)),"")</f>
        <v/>
      </c>
      <c r="H1578" s="43" t="str">
        <f>IFERROR(G1578*E1564,"")</f>
        <v/>
      </c>
    </row>
    <row r="1579" spans="1:11">
      <c r="A1579" s="21"/>
      <c r="B1579" s="22" t="s">
        <v>3732</v>
      </c>
      <c r="C1579" s="23"/>
      <c r="D1579" s="24"/>
      <c r="E1579" s="25"/>
      <c r="F1579" s="26"/>
      <c r="G1579" s="27">
        <f>SUM(G1580:G1582)</f>
        <v>62878.150179000011</v>
      </c>
      <c r="H1579" s="44">
        <f>G1579*E1564</f>
        <v>0</v>
      </c>
    </row>
    <row r="1580" spans="1:11">
      <c r="A1580" s="28"/>
      <c r="B1580" s="29" t="s">
        <v>3710</v>
      </c>
      <c r="C1580" s="30" t="str">
        <f>IFERROR(_xlfn.XLOOKUP(B1580,MObra[DESCRIPCION],MObra[UN],,0),"")</f>
        <v>día</v>
      </c>
      <c r="D1580" s="31">
        <v>1</v>
      </c>
      <c r="E1580" s="32">
        <f>IFERROR(_xlfn.XLOOKUP($B1580,MObra[DESCRIPCION],MObra[VALOR UNIT],,0),"")</f>
        <v>314390.75089500006</v>
      </c>
      <c r="F1580" s="33">
        <v>-5</v>
      </c>
      <c r="G1580" s="34">
        <f>IFERROR(IF(F1580&gt;=0,D1580*E1580*(1+F1580/100),ABS(D1580*E1580/F1580)),"")</f>
        <v>62878.150179000011</v>
      </c>
      <c r="H1580" s="43">
        <f>IFERROR(G1580*E1564,"")</f>
        <v>0</v>
      </c>
    </row>
    <row r="1581" spans="1:11">
      <c r="A1581" s="28"/>
      <c r="B1581" s="29"/>
      <c r="C1581" s="30" t="str">
        <f>IFERROR(_xlfn.XLOOKUP(B1581,MObra[DESCRIPCION],MObra[UN],,0),"")</f>
        <v/>
      </c>
      <c r="D1581" s="31"/>
      <c r="E1581" s="32" t="str">
        <f>IFERROR(_xlfn.XLOOKUP($B1581,MObra[DESCRIPCION],MObra[VALOR UNIT],,0),"")</f>
        <v/>
      </c>
      <c r="F1581" s="33"/>
      <c r="G1581" s="34" t="str">
        <f>IFERROR(IF(F1581&gt;=0,D1581*E1581*(1+F1581/100),ABS(D1581*E1581/F1581)),"")</f>
        <v/>
      </c>
      <c r="H1581" s="43" t="str">
        <f>IFERROR(G1581*E1564,"")</f>
        <v/>
      </c>
    </row>
    <row r="1582" spans="1:11">
      <c r="A1582" s="35"/>
      <c r="B1582" s="36"/>
      <c r="C1582" s="37" t="str">
        <f>IFERROR(_xlfn.XLOOKUP(B1582,MObra[DESCRIPCION],MObra[UN],,0),"")</f>
        <v/>
      </c>
      <c r="D1582" s="38"/>
      <c r="E1582" s="39" t="str">
        <f>IFERROR(_xlfn.XLOOKUP($B1582,MObra[DESCRIPCION],MObra[VALOR UNIT],,0),"")</f>
        <v/>
      </c>
      <c r="F1582" s="40"/>
      <c r="G1582" s="41" t="str">
        <f>IFERROR(IF(F1582&gt;=0,D1582*E1582*(1+F1582/100),ABS(D1582*E1582/F1582)),"")</f>
        <v/>
      </c>
      <c r="H1582" s="42" t="str">
        <f>IFERROR(G1582*E1564,"")</f>
        <v/>
      </c>
    </row>
    <row r="1583" spans="1:11" ht="12.75" customHeight="1"/>
    <row r="1584" spans="1:11">
      <c r="A1584" s="6" t="s">
        <v>2196</v>
      </c>
      <c r="B1584" s="7" t="str">
        <f>VLOOKUP($A1584,Presupuesto!$A:$D,2,FALSE())</f>
        <v>Tubería PVC Novaloc 42"</v>
      </c>
      <c r="C1584" s="8" t="str">
        <f>VLOOKUP($A1584,Presupuesto!$A:$D,3,FALSE())</f>
        <v>M</v>
      </c>
      <c r="D1584" s="9"/>
      <c r="E1584" s="10">
        <f>VLOOKUP($A1584,Presupuesto!$A:$D,4,FALSE())</f>
        <v>0</v>
      </c>
      <c r="F1584" s="11" t="s">
        <v>2589</v>
      </c>
      <c r="G1584" s="12">
        <f>SUM(G1586:G1602)/2</f>
        <v>3604378.6881099381</v>
      </c>
      <c r="H1584" s="13">
        <f>ROUND(SUM(H1586:H1602),0)/2</f>
        <v>0</v>
      </c>
      <c r="I1584" s="10">
        <f>VLOOKUP(A1584,Presupuesto!$A:$F,6,0)</f>
        <v>0</v>
      </c>
      <c r="J1584" s="10">
        <f>+H1584-I1584</f>
        <v>0</v>
      </c>
      <c r="K1584" s="46">
        <f>+H1584-G1584*E1584</f>
        <v>0</v>
      </c>
    </row>
    <row r="1585" spans="1:8">
      <c r="A1585" s="14"/>
      <c r="B1585" s="15" t="s">
        <v>2586</v>
      </c>
      <c r="C1585" s="15" t="s">
        <v>5</v>
      </c>
      <c r="D1585" s="16" t="s">
        <v>6</v>
      </c>
      <c r="E1585" s="17" t="s">
        <v>7</v>
      </c>
      <c r="F1585" s="18" t="s">
        <v>3728</v>
      </c>
      <c r="G1585" s="19" t="s">
        <v>3729</v>
      </c>
      <c r="H1585" s="20" t="s">
        <v>3797</v>
      </c>
    </row>
    <row r="1586" spans="1:8">
      <c r="A1586" s="21"/>
      <c r="B1586" s="22" t="s">
        <v>3730</v>
      </c>
      <c r="C1586" s="23"/>
      <c r="D1586" s="24"/>
      <c r="E1586" s="25"/>
      <c r="F1586" s="26"/>
      <c r="G1586" s="27">
        <f>SUM(G1587:G1591)</f>
        <v>3500080.4160000002</v>
      </c>
      <c r="H1586" s="27">
        <f>IFERROR(G1586*E1584,"")</f>
        <v>0</v>
      </c>
    </row>
    <row r="1587" spans="1:8">
      <c r="A1587" s="28"/>
      <c r="B1587" s="29" t="s">
        <v>3475</v>
      </c>
      <c r="C1587" s="30" t="str">
        <f>IFERROR(_xlfn.XLOOKUP(B1587,Insumo[DESCRIPCION],Insumo[UND],,0),"")</f>
        <v>M</v>
      </c>
      <c r="D1587" s="31">
        <v>1</v>
      </c>
      <c r="E1587" s="32">
        <f>IFERROR(_xlfn.XLOOKUP($B1587,Insumo[DESCRIPCION],Insumo[VALOR],,0),"")</f>
        <v>3307094.7</v>
      </c>
      <c r="F1587" s="33">
        <v>3</v>
      </c>
      <c r="G1587" s="34">
        <f>IFERROR(IF(F1587&gt;=0,D1587*E1587*(1+F1587/100),ABS(D1587*E1587/F1587)),"")</f>
        <v>3406307.5410000002</v>
      </c>
      <c r="H1587" s="43">
        <f>IFERROR(G1587*E1584,"")</f>
        <v>0</v>
      </c>
    </row>
    <row r="1588" spans="1:8">
      <c r="A1588" s="28"/>
      <c r="B1588" s="29" t="s">
        <v>3060</v>
      </c>
      <c r="C1588" s="30" t="str">
        <f>IFERROR(_xlfn.XLOOKUP(B1588,Insumo[DESCRIPCION],Insumo[UND],,0),"")</f>
        <v>Kg</v>
      </c>
      <c r="D1588" s="31">
        <v>2.5</v>
      </c>
      <c r="E1588" s="32">
        <f>IFERROR(_xlfn.XLOOKUP($B1588,Insumo[DESCRIPCION],Insumo[VALOR],,0),"")</f>
        <v>37509.15</v>
      </c>
      <c r="F1588" s="33"/>
      <c r="G1588" s="34">
        <f>IFERROR(IF(F1588&gt;=0,D1588*E1588*(1+F1588/100),ABS(D1588*E1588/F1588)),"")</f>
        <v>93772.875</v>
      </c>
      <c r="H1588" s="43">
        <f>IFERROR(G1588*E1584,"")</f>
        <v>0</v>
      </c>
    </row>
    <row r="1589" spans="1:8">
      <c r="A1589" s="28"/>
      <c r="B1589" s="29"/>
      <c r="C1589" s="30" t="str">
        <f>IFERROR(_xlfn.XLOOKUP(B1589,Insumo[DESCRIPCION],Insumo[UND],,0),"")</f>
        <v/>
      </c>
      <c r="D1589" s="31"/>
      <c r="E1589" s="32" t="str">
        <f>IFERROR(_xlfn.XLOOKUP($B1589,Insumo[DESCRIPCION],Insumo[VALOR],,0),"")</f>
        <v/>
      </c>
      <c r="F1589" s="33"/>
      <c r="G1589" s="34" t="str">
        <f>IFERROR(IF(F1589&gt;=0,D1589*E1589*(1+F1589/100),ABS(D1589*E1589/F1589)),"")</f>
        <v/>
      </c>
      <c r="H1589" s="43" t="str">
        <f>IFERROR(G1589*E1584,"")</f>
        <v/>
      </c>
    </row>
    <row r="1590" spans="1:8">
      <c r="A1590" s="28"/>
      <c r="B1590" s="29"/>
      <c r="C1590" s="30" t="str">
        <f>IFERROR(_xlfn.XLOOKUP(B1590,Insumo[DESCRIPCION],Insumo[UND],,0),"")</f>
        <v/>
      </c>
      <c r="D1590" s="31"/>
      <c r="E1590" s="32" t="str">
        <f>IFERROR(_xlfn.XLOOKUP($B1590,Insumo[DESCRIPCION],Insumo[VALOR],,0),"")</f>
        <v/>
      </c>
      <c r="F1590" s="33"/>
      <c r="G1590" s="34" t="str">
        <f>IFERROR(IF(F1590&gt;=0,D1590*E1590*(1+F1590/100),ABS(D1590*E1590/F1590)),"")</f>
        <v/>
      </c>
      <c r="H1590" s="43" t="str">
        <f>IFERROR(G1590*E1584,"")</f>
        <v/>
      </c>
    </row>
    <row r="1591" spans="1:8">
      <c r="A1591" s="28"/>
      <c r="B1591" s="29"/>
      <c r="C1591" s="30" t="str">
        <f>IFERROR(_xlfn.XLOOKUP(B1591,Insumo[DESCRIPCION],Insumo[UND],,0),"")</f>
        <v/>
      </c>
      <c r="D1591" s="31"/>
      <c r="E1591" s="32" t="str">
        <f>IFERROR(_xlfn.XLOOKUP($B1591,Insumo[DESCRIPCION],Insumo[VALOR],,0),"")</f>
        <v/>
      </c>
      <c r="F1591" s="33"/>
      <c r="G1591" s="34" t="str">
        <f>IFERROR(IF(F1591&gt;=0,D1591*E1591*(1+F1591/100),ABS(D1591*E1591/F1591)),"")</f>
        <v/>
      </c>
      <c r="H1591" s="43" t="str">
        <f>IFERROR(G1591*E1584,"")</f>
        <v/>
      </c>
    </row>
    <row r="1592" spans="1:8">
      <c r="A1592" s="21"/>
      <c r="B1592" s="22" t="s">
        <v>3731</v>
      </c>
      <c r="C1592" s="23"/>
      <c r="D1592" s="24"/>
      <c r="E1592" s="25"/>
      <c r="F1592" s="26"/>
      <c r="G1592" s="27">
        <f>SUM(G1593:G1595)</f>
        <v>25700.584386187504</v>
      </c>
      <c r="H1592" s="44">
        <f>G1592*E1584</f>
        <v>0</v>
      </c>
    </row>
    <row r="1593" spans="1:8">
      <c r="A1593" s="28"/>
      <c r="B1593" s="29" t="s">
        <v>3622</v>
      </c>
      <c r="C1593" s="30" t="str">
        <f>IFERROR(_xlfn.XLOOKUP(B1593,Equipo[DESCRIPCION],Equipo[UND],,0),"")</f>
        <v>Hr</v>
      </c>
      <c r="D1593" s="31">
        <v>1</v>
      </c>
      <c r="E1593" s="32">
        <f>IF(C1593="%MO",G1599,IFERROR(_xlfn.XLOOKUP($B1593,Equipo[DESCRIPCION],Equipo[VALOR],,0),""))</f>
        <v>87082.8</v>
      </c>
      <c r="F1593" s="33">
        <v>-4</v>
      </c>
      <c r="G1593" s="34">
        <f>IFERROR(IF(F1593&gt;=0,D1593*E1593*(1+F1593/100),ABS(D1593*E1593/F1593)),"")</f>
        <v>21770.7</v>
      </c>
      <c r="H1593" s="43">
        <f>IFERROR(G1593*E1584,"")</f>
        <v>0</v>
      </c>
    </row>
    <row r="1594" spans="1:8">
      <c r="A1594" s="28"/>
      <c r="B1594" s="29" t="s">
        <v>3626</v>
      </c>
      <c r="C1594" s="30" t="str">
        <f>IFERROR(_xlfn.XLOOKUP(B1594,Equipo[DESCRIPCION],Equipo[UND],,0),"")</f>
        <v>%MO</v>
      </c>
      <c r="D1594" s="31">
        <v>0.05</v>
      </c>
      <c r="E1594" s="32">
        <f>IF(C1594="%MO",G1600,IFERROR(_xlfn.XLOOKUP($B1594,Equipo[DESCRIPCION],Equipo[VALOR],,0),""))</f>
        <v>78597.687723750016</v>
      </c>
      <c r="F1594" s="33"/>
      <c r="G1594" s="34">
        <f>IFERROR(IF(F1594&gt;=0,D1594*E1594*(1+F1594/100),ABS(D1594*E1594/F1594)),"")</f>
        <v>3929.8843861875011</v>
      </c>
      <c r="H1594" s="43">
        <f>IFERROR(G1594*E1584,"")</f>
        <v>0</v>
      </c>
    </row>
    <row r="1595" spans="1:8">
      <c r="A1595" s="28"/>
      <c r="B1595" s="29"/>
      <c r="C1595" s="30" t="str">
        <f>IFERROR(_xlfn.XLOOKUP(B1595,Equipo[DESCRIPCION],Equipo[UND],,0),"")</f>
        <v/>
      </c>
      <c r="D1595" s="31"/>
      <c r="E1595" s="32" t="str">
        <f>IF(C1595="%MO",G1601,IFERROR(_xlfn.XLOOKUP($B1595,Equipo[DESCRIPCION],Equipo[VALOR],,0),""))</f>
        <v/>
      </c>
      <c r="F1595" s="33"/>
      <c r="G1595" s="34" t="str">
        <f>IFERROR(IF(F1595&gt;=0,D1595*E1595*(1+F1595/100),ABS(D1595*E1595/F1595)),"")</f>
        <v/>
      </c>
      <c r="H1595" s="43" t="str">
        <f>IFERROR(G1595*E1584,"")</f>
        <v/>
      </c>
    </row>
    <row r="1596" spans="1:8">
      <c r="A1596" s="21"/>
      <c r="B1596" s="22" t="s">
        <v>2533</v>
      </c>
      <c r="C1596" s="23"/>
      <c r="D1596" s="24"/>
      <c r="E1596" s="25"/>
      <c r="F1596" s="26"/>
      <c r="G1596" s="27">
        <f>SUM(G1597:G1598)</f>
        <v>0</v>
      </c>
      <c r="H1596" s="44">
        <f>G1596*E1584</f>
        <v>0</v>
      </c>
    </row>
    <row r="1597" spans="1:8">
      <c r="A1597" s="28"/>
      <c r="B1597" s="29"/>
      <c r="C1597" s="30" t="str">
        <f>IFERROR(_xlfn.XLOOKUP(B1597,Transporte[DESCRIPCION],Transporte[UND],,0),"")</f>
        <v/>
      </c>
      <c r="D1597" s="31"/>
      <c r="E1597" s="32" t="str">
        <f>IFERROR(_xlfn.XLOOKUP($B1597,Transporte[DESCRIPCION],Transporte[VALOR],,0),"")</f>
        <v/>
      </c>
      <c r="F1597" s="33"/>
      <c r="G1597" s="34" t="str">
        <f>IFERROR(IF(F1597&gt;=0,D1597*E1597*(1+F1597/100),ABS(D1597*E1597/F1597)),"")</f>
        <v/>
      </c>
      <c r="H1597" s="43" t="str">
        <f>IFERROR(G1597*E1584,"")</f>
        <v/>
      </c>
    </row>
    <row r="1598" spans="1:8">
      <c r="A1598" s="28"/>
      <c r="B1598" s="29"/>
      <c r="C1598" s="30" t="str">
        <f>IFERROR(_xlfn.XLOOKUP(B1598,Transporte[DESCRIPCION],Transporte[UND],,0),"")</f>
        <v/>
      </c>
      <c r="D1598" s="31"/>
      <c r="E1598" s="32" t="str">
        <f>IFERROR(_xlfn.XLOOKUP($B1598,Transporte[DESCRIPCION],Transporte[VALOR],,0),"")</f>
        <v/>
      </c>
      <c r="F1598" s="33"/>
      <c r="G1598" s="34" t="str">
        <f>IFERROR(IF(F1598&gt;=0,D1598*E1598*(1+F1598/100),ABS(D1598*E1598/F1598)),"")</f>
        <v/>
      </c>
      <c r="H1598" s="43" t="str">
        <f>IFERROR(G1598*E1584,"")</f>
        <v/>
      </c>
    </row>
    <row r="1599" spans="1:8">
      <c r="A1599" s="21"/>
      <c r="B1599" s="22" t="s">
        <v>3732</v>
      </c>
      <c r="C1599" s="23"/>
      <c r="D1599" s="24"/>
      <c r="E1599" s="25"/>
      <c r="F1599" s="26"/>
      <c r="G1599" s="27">
        <f>SUM(G1600:G1602)</f>
        <v>78597.687723750016</v>
      </c>
      <c r="H1599" s="44">
        <f>G1599*E1584</f>
        <v>0</v>
      </c>
    </row>
    <row r="1600" spans="1:8">
      <c r="A1600" s="28"/>
      <c r="B1600" s="29" t="s">
        <v>3710</v>
      </c>
      <c r="C1600" s="30" t="str">
        <f>IFERROR(_xlfn.XLOOKUP(B1600,MObra[DESCRIPCION],MObra[UN],,0),"")</f>
        <v>día</v>
      </c>
      <c r="D1600" s="31">
        <v>1</v>
      </c>
      <c r="E1600" s="32">
        <f>IFERROR(_xlfn.XLOOKUP($B1600,MObra[DESCRIPCION],MObra[VALOR UNIT],,0),"")</f>
        <v>314390.75089500006</v>
      </c>
      <c r="F1600" s="33">
        <v>-4</v>
      </c>
      <c r="G1600" s="34">
        <f>IFERROR(IF(F1600&gt;=0,D1600*E1600*(1+F1600/100),ABS(D1600*E1600/F1600)),"")</f>
        <v>78597.687723750016</v>
      </c>
      <c r="H1600" s="43">
        <f>IFERROR(G1600*E1584,"")</f>
        <v>0</v>
      </c>
    </row>
    <row r="1601" spans="1:11">
      <c r="A1601" s="28"/>
      <c r="B1601" s="29"/>
      <c r="C1601" s="30" t="str">
        <f>IFERROR(_xlfn.XLOOKUP(B1601,MObra[DESCRIPCION],MObra[UN],,0),"")</f>
        <v/>
      </c>
      <c r="D1601" s="31"/>
      <c r="E1601" s="32" t="str">
        <f>IFERROR(_xlfn.XLOOKUP($B1601,MObra[DESCRIPCION],MObra[VALOR UNIT],,0),"")</f>
        <v/>
      </c>
      <c r="F1601" s="33"/>
      <c r="G1601" s="34" t="str">
        <f>IFERROR(IF(F1601&gt;=0,D1601*E1601*(1+F1601/100),ABS(D1601*E1601/F1601)),"")</f>
        <v/>
      </c>
      <c r="H1601" s="43" t="str">
        <f>IFERROR(G1601*E1584,"")</f>
        <v/>
      </c>
    </row>
    <row r="1602" spans="1:11">
      <c r="A1602" s="35"/>
      <c r="B1602" s="36"/>
      <c r="C1602" s="37" t="str">
        <f>IFERROR(_xlfn.XLOOKUP(B1602,MObra[DESCRIPCION],MObra[UN],,0),"")</f>
        <v/>
      </c>
      <c r="D1602" s="38"/>
      <c r="E1602" s="39" t="str">
        <f>IFERROR(_xlfn.XLOOKUP($B1602,MObra[DESCRIPCION],MObra[VALOR UNIT],,0),"")</f>
        <v/>
      </c>
      <c r="F1602" s="40"/>
      <c r="G1602" s="41" t="str">
        <f>IFERROR(IF(F1602&gt;=0,D1602*E1602*(1+F1602/100),ABS(D1602*E1602/F1602)),"")</f>
        <v/>
      </c>
      <c r="H1602" s="42" t="str">
        <f>IFERROR(G1602*E1584,"")</f>
        <v/>
      </c>
    </row>
    <row r="1603" spans="1:11" ht="12.75" customHeight="1"/>
    <row r="1604" spans="1:11">
      <c r="A1604" s="6" t="s">
        <v>2198</v>
      </c>
      <c r="B1604" s="7" t="str">
        <f>VLOOKUP($A1604,Presupuesto!$A:$D,2,FALSE())</f>
        <v>Zarpa concreto ciclópeo estribo aletas</v>
      </c>
      <c r="C1604" s="8" t="str">
        <f>VLOOKUP($A1604,Presupuesto!$A:$D,3,FALSE())</f>
        <v>M3</v>
      </c>
      <c r="D1604" s="9"/>
      <c r="E1604" s="10">
        <f>VLOOKUP($A1604,Presupuesto!$A:$D,4,FALSE())</f>
        <v>0</v>
      </c>
      <c r="F1604" s="11" t="s">
        <v>2589</v>
      </c>
      <c r="G1604" s="12">
        <f>SUM(G1606:G1622)/2</f>
        <v>1019040.0461592523</v>
      </c>
      <c r="H1604" s="13">
        <f>ROUND(SUM(H1606:H1622),0)/2</f>
        <v>0</v>
      </c>
      <c r="I1604" s="10">
        <f>VLOOKUP(A1604,Presupuesto!$A:$F,6,0)</f>
        <v>0</v>
      </c>
      <c r="J1604" s="10">
        <f>+H1604-I1604</f>
        <v>0</v>
      </c>
      <c r="K1604" s="46">
        <f>+H1604-G1604*E1604</f>
        <v>0</v>
      </c>
    </row>
    <row r="1605" spans="1:11">
      <c r="A1605" s="14"/>
      <c r="B1605" s="15" t="s">
        <v>2586</v>
      </c>
      <c r="C1605" s="15" t="s">
        <v>5</v>
      </c>
      <c r="D1605" s="16" t="s">
        <v>6</v>
      </c>
      <c r="E1605" s="17" t="s">
        <v>7</v>
      </c>
      <c r="F1605" s="18" t="s">
        <v>3728</v>
      </c>
      <c r="G1605" s="19" t="s">
        <v>3729</v>
      </c>
      <c r="H1605" s="20" t="s">
        <v>3797</v>
      </c>
    </row>
    <row r="1606" spans="1:11">
      <c r="A1606" s="21"/>
      <c r="B1606" s="22" t="s">
        <v>3730</v>
      </c>
      <c r="C1606" s="23"/>
      <c r="D1606" s="24"/>
      <c r="E1606" s="25"/>
      <c r="F1606" s="26"/>
      <c r="G1606" s="27">
        <f>SUM(G1607:G1611)</f>
        <v>879660.14659580239</v>
      </c>
      <c r="H1606" s="27">
        <f>IFERROR(G1606*E1604,"")</f>
        <v>0</v>
      </c>
    </row>
    <row r="1607" spans="1:11">
      <c r="A1607" s="28"/>
      <c r="B1607" s="29" t="s">
        <v>3242</v>
      </c>
      <c r="C1607" s="30" t="str">
        <f>IFERROR(_xlfn.XLOOKUP(B1607,Insumo[DESCRIPCION],Insumo[UND],,0),"")</f>
        <v>M3</v>
      </c>
      <c r="D1607" s="31">
        <v>1</v>
      </c>
      <c r="E1607" s="32">
        <f>IFERROR(_xlfn.XLOOKUP($B1607,Insumo[DESCRIPCION],Insumo[VALOR],,0),"")</f>
        <v>448609.94602931855</v>
      </c>
      <c r="F1607" s="33">
        <v>5</v>
      </c>
      <c r="G1607" s="34">
        <f>IFERROR(IF(F1607&gt;=0,D1607*E1607*(1+F1607/100),ABS(D1607*E1607/F1607)),"")</f>
        <v>471040.4433307845</v>
      </c>
      <c r="H1607" s="43">
        <f>IFERROR(G1607*E1604,"")</f>
        <v>0</v>
      </c>
    </row>
    <row r="1608" spans="1:11">
      <c r="A1608" s="28"/>
      <c r="B1608" s="29" t="s">
        <v>2954</v>
      </c>
      <c r="C1608" s="30" t="str">
        <f>IFERROR(_xlfn.XLOOKUP(B1608,Insumo[DESCRIPCION],Insumo[UND],,0),"")</f>
        <v>M2</v>
      </c>
      <c r="D1608" s="31">
        <v>4</v>
      </c>
      <c r="E1608" s="32">
        <f>IFERROR(_xlfn.XLOOKUP($B1608,Insumo[DESCRIPCION],Insumo[VALOR],,0),"")</f>
        <v>102154.92581625449</v>
      </c>
      <c r="F1608" s="33"/>
      <c r="G1608" s="34">
        <f>IFERROR(IF(F1608&gt;=0,D1608*E1608*(1+F1608/100),ABS(D1608*E1608/F1608)),"")</f>
        <v>408619.70326501795</v>
      </c>
      <c r="H1608" s="43">
        <f>IFERROR(G1608*E1604,"")</f>
        <v>0</v>
      </c>
    </row>
    <row r="1609" spans="1:11">
      <c r="A1609" s="28"/>
      <c r="B1609" s="29"/>
      <c r="C1609" s="30" t="str">
        <f>IFERROR(_xlfn.XLOOKUP(B1609,Insumo[DESCRIPCION],Insumo[UND],,0),"")</f>
        <v/>
      </c>
      <c r="D1609" s="31"/>
      <c r="E1609" s="32" t="str">
        <f>IFERROR(_xlfn.XLOOKUP($B1609,Insumo[DESCRIPCION],Insumo[VALOR],,0),"")</f>
        <v/>
      </c>
      <c r="F1609" s="33"/>
      <c r="G1609" s="34" t="str">
        <f>IFERROR(IF(F1609&gt;=0,D1609*E1609*(1+F1609/100),ABS(D1609*E1609/F1609)),"")</f>
        <v/>
      </c>
      <c r="H1609" s="43" t="str">
        <f>IFERROR(G1609*E1604,"")</f>
        <v/>
      </c>
    </row>
    <row r="1610" spans="1:11">
      <c r="A1610" s="28"/>
      <c r="B1610" s="29"/>
      <c r="C1610" s="30" t="str">
        <f>IFERROR(_xlfn.XLOOKUP(B1610,Insumo[DESCRIPCION],Insumo[UND],,0),"")</f>
        <v/>
      </c>
      <c r="D1610" s="31"/>
      <c r="E1610" s="32" t="str">
        <f>IFERROR(_xlfn.XLOOKUP($B1610,Insumo[DESCRIPCION],Insumo[VALOR],,0),"")</f>
        <v/>
      </c>
      <c r="F1610" s="33"/>
      <c r="G1610" s="34" t="str">
        <f>IFERROR(IF(F1610&gt;=0,D1610*E1610*(1+F1610/100),ABS(D1610*E1610/F1610)),"")</f>
        <v/>
      </c>
      <c r="H1610" s="43" t="str">
        <f>IFERROR(G1610*E1604,"")</f>
        <v/>
      </c>
    </row>
    <row r="1611" spans="1:11">
      <c r="A1611" s="28"/>
      <c r="B1611" s="29"/>
      <c r="C1611" s="30" t="str">
        <f>IFERROR(_xlfn.XLOOKUP(B1611,Insumo[DESCRIPCION],Insumo[UND],,0),"")</f>
        <v/>
      </c>
      <c r="D1611" s="31"/>
      <c r="E1611" s="32" t="str">
        <f>IFERROR(_xlfn.XLOOKUP($B1611,Insumo[DESCRIPCION],Insumo[VALOR],,0),"")</f>
        <v/>
      </c>
      <c r="F1611" s="33"/>
      <c r="G1611" s="34" t="str">
        <f>IFERROR(IF(F1611&gt;=0,D1611*E1611*(1+F1611/100),ABS(D1611*E1611/F1611)),"")</f>
        <v/>
      </c>
      <c r="H1611" s="43" t="str">
        <f>IFERROR(G1611*E1604,"")</f>
        <v/>
      </c>
    </row>
    <row r="1612" spans="1:11">
      <c r="A1612" s="21"/>
      <c r="B1612" s="22" t="s">
        <v>3731</v>
      </c>
      <c r="C1612" s="23"/>
      <c r="D1612" s="24"/>
      <c r="E1612" s="25"/>
      <c r="F1612" s="26"/>
      <c r="G1612" s="27">
        <f>SUM(G1613:G1615)</f>
        <v>6637.138074450002</v>
      </c>
      <c r="H1612" s="44">
        <f>G1612*E1604</f>
        <v>0</v>
      </c>
    </row>
    <row r="1613" spans="1:11">
      <c r="A1613" s="28"/>
      <c r="B1613" s="29" t="s">
        <v>3626</v>
      </c>
      <c r="C1613" s="30" t="str">
        <f>IFERROR(_xlfn.XLOOKUP(B1613,Equipo[DESCRIPCION],Equipo[UND],,0),"")</f>
        <v>%MO</v>
      </c>
      <c r="D1613" s="31">
        <v>0.05</v>
      </c>
      <c r="E1613" s="32">
        <f>IF(C1613="%MO",G1619,IFERROR(_xlfn.XLOOKUP($B1613,Equipo[DESCRIPCION],Equipo[VALOR],,0),""))</f>
        <v>132742.76148900003</v>
      </c>
      <c r="F1613" s="33"/>
      <c r="G1613" s="34">
        <f>IFERROR(IF(F1613&gt;=0,D1613*E1613*(1+F1613/100),ABS(D1613*E1613/F1613)),"")</f>
        <v>6637.138074450002</v>
      </c>
      <c r="H1613" s="43">
        <f>IFERROR(G1613*E1604,"")</f>
        <v>0</v>
      </c>
    </row>
    <row r="1614" spans="1:11">
      <c r="A1614" s="28"/>
      <c r="B1614" s="29"/>
      <c r="C1614" s="30" t="str">
        <f>IFERROR(_xlfn.XLOOKUP(B1614,Equipo[DESCRIPCION],Equipo[UND],,0),"")</f>
        <v/>
      </c>
      <c r="D1614" s="31"/>
      <c r="E1614" s="32" t="str">
        <f>IF(C1614="%MO",G1620,IFERROR(_xlfn.XLOOKUP($B1614,Equipo[DESCRIPCION],Equipo[VALOR],,0),""))</f>
        <v/>
      </c>
      <c r="F1614" s="33"/>
      <c r="G1614" s="34" t="str">
        <f>IFERROR(IF(F1614&gt;=0,D1614*E1614*(1+F1614/100),ABS(D1614*E1614/F1614)),"")</f>
        <v/>
      </c>
      <c r="H1614" s="43" t="str">
        <f>IFERROR(G1614*E1604,"")</f>
        <v/>
      </c>
    </row>
    <row r="1615" spans="1:11">
      <c r="A1615" s="28"/>
      <c r="B1615" s="29"/>
      <c r="C1615" s="30" t="str">
        <f>IFERROR(_xlfn.XLOOKUP(B1615,Equipo[DESCRIPCION],Equipo[UND],,0),"")</f>
        <v/>
      </c>
      <c r="D1615" s="31"/>
      <c r="E1615" s="32" t="str">
        <f>IF(C1615="%MO",G1621,IFERROR(_xlfn.XLOOKUP($B1615,Equipo[DESCRIPCION],Equipo[VALOR],,0),""))</f>
        <v/>
      </c>
      <c r="F1615" s="33"/>
      <c r="G1615" s="34" t="str">
        <f>IFERROR(IF(F1615&gt;=0,D1615*E1615*(1+F1615/100),ABS(D1615*E1615/F1615)),"")</f>
        <v/>
      </c>
      <c r="H1615" s="43" t="str">
        <f>IFERROR(G1615*E1604,"")</f>
        <v/>
      </c>
    </row>
    <row r="1616" spans="1:11">
      <c r="A1616" s="21"/>
      <c r="B1616" s="22" t="s">
        <v>2533</v>
      </c>
      <c r="C1616" s="23"/>
      <c r="D1616" s="24"/>
      <c r="E1616" s="25"/>
      <c r="F1616" s="26"/>
      <c r="G1616" s="27">
        <f>SUM(G1617:G1618)</f>
        <v>0</v>
      </c>
      <c r="H1616" s="44">
        <f>G1616*E1604</f>
        <v>0</v>
      </c>
    </row>
    <row r="1617" spans="1:11">
      <c r="A1617" s="28"/>
      <c r="B1617" s="29"/>
      <c r="C1617" s="30" t="str">
        <f>IFERROR(_xlfn.XLOOKUP(B1617,Transporte[DESCRIPCION],Transporte[UND],,0),"")</f>
        <v/>
      </c>
      <c r="D1617" s="31"/>
      <c r="E1617" s="32" t="str">
        <f>IFERROR(_xlfn.XLOOKUP($B1617,Transporte[DESCRIPCION],Transporte[VALOR],,0),"")</f>
        <v/>
      </c>
      <c r="F1617" s="33"/>
      <c r="G1617" s="34" t="str">
        <f>IFERROR(IF(F1617&gt;=0,D1617*E1617*(1+F1617/100),ABS(D1617*E1617/F1617)),"")</f>
        <v/>
      </c>
      <c r="H1617" s="43" t="str">
        <f>IFERROR(G1617*E1604,"")</f>
        <v/>
      </c>
    </row>
    <row r="1618" spans="1:11">
      <c r="A1618" s="28"/>
      <c r="B1618" s="29"/>
      <c r="C1618" s="30" t="str">
        <f>IFERROR(_xlfn.XLOOKUP(B1618,Transporte[DESCRIPCION],Transporte[UND],,0),"")</f>
        <v/>
      </c>
      <c r="D1618" s="31"/>
      <c r="E1618" s="32" t="str">
        <f>IFERROR(_xlfn.XLOOKUP($B1618,Transporte[DESCRIPCION],Transporte[VALOR],,0),"")</f>
        <v/>
      </c>
      <c r="F1618" s="33"/>
      <c r="G1618" s="34" t="str">
        <f>IFERROR(IF(F1618&gt;=0,D1618*E1618*(1+F1618/100),ABS(D1618*E1618/F1618)),"")</f>
        <v/>
      </c>
      <c r="H1618" s="43" t="str">
        <f>IFERROR(G1618*E1604,"")</f>
        <v/>
      </c>
    </row>
    <row r="1619" spans="1:11">
      <c r="A1619" s="21"/>
      <c r="B1619" s="22" t="s">
        <v>3732</v>
      </c>
      <c r="C1619" s="23"/>
      <c r="D1619" s="24"/>
      <c r="E1619" s="25"/>
      <c r="F1619" s="26"/>
      <c r="G1619" s="27">
        <f>SUM(G1620:G1622)</f>
        <v>132742.76148900003</v>
      </c>
      <c r="H1619" s="44">
        <f>G1619*E1604</f>
        <v>0</v>
      </c>
    </row>
    <row r="1620" spans="1:11">
      <c r="A1620" s="28"/>
      <c r="B1620" s="29" t="s">
        <v>3713</v>
      </c>
      <c r="C1620" s="30" t="str">
        <f>IFERROR(_xlfn.XLOOKUP(B1620,MObra[DESCRIPCION],MObra[UN],,0),"")</f>
        <v>día</v>
      </c>
      <c r="D1620" s="31">
        <v>1</v>
      </c>
      <c r="E1620" s="32">
        <f>IFERROR(_xlfn.XLOOKUP($B1620,MObra[DESCRIPCION],MObra[VALOR UNIT],,0),"")</f>
        <v>663713.80744500016</v>
      </c>
      <c r="F1620" s="33">
        <v>-5</v>
      </c>
      <c r="G1620" s="34">
        <f>IFERROR(IF(F1620&gt;=0,D1620*E1620*(1+F1620/100),ABS(D1620*E1620/F1620)),"")</f>
        <v>132742.76148900003</v>
      </c>
      <c r="H1620" s="43">
        <f>IFERROR(G1620*E1604,"")</f>
        <v>0</v>
      </c>
    </row>
    <row r="1621" spans="1:11">
      <c r="A1621" s="28"/>
      <c r="B1621" s="29"/>
      <c r="C1621" s="30" t="str">
        <f>IFERROR(_xlfn.XLOOKUP(B1621,MObra[DESCRIPCION],MObra[UN],,0),"")</f>
        <v/>
      </c>
      <c r="D1621" s="31"/>
      <c r="E1621" s="32" t="str">
        <f>IFERROR(_xlfn.XLOOKUP($B1621,MObra[DESCRIPCION],MObra[VALOR UNIT],,0),"")</f>
        <v/>
      </c>
      <c r="F1621" s="33"/>
      <c r="G1621" s="34" t="str">
        <f>IFERROR(IF(F1621&gt;=0,D1621*E1621*(1+F1621/100),ABS(D1621*E1621/F1621)),"")</f>
        <v/>
      </c>
      <c r="H1621" s="43" t="str">
        <f>IFERROR(G1621*E1604,"")</f>
        <v/>
      </c>
    </row>
    <row r="1622" spans="1:11">
      <c r="A1622" s="35"/>
      <c r="B1622" s="36"/>
      <c r="C1622" s="37" t="str">
        <f>IFERROR(_xlfn.XLOOKUP(B1622,MObra[DESCRIPCION],MObra[UN],,0),"")</f>
        <v/>
      </c>
      <c r="D1622" s="38"/>
      <c r="E1622" s="39" t="str">
        <f>IFERROR(_xlfn.XLOOKUP($B1622,MObra[DESCRIPCION],MObra[VALOR UNIT],,0),"")</f>
        <v/>
      </c>
      <c r="F1622" s="40"/>
      <c r="G1622" s="41" t="str">
        <f>IFERROR(IF(F1622&gt;=0,D1622*E1622*(1+F1622/100),ABS(D1622*E1622/F1622)),"")</f>
        <v/>
      </c>
      <c r="H1622" s="42" t="str">
        <f>IFERROR(G1622*E1604,"")</f>
        <v/>
      </c>
    </row>
    <row r="1623" spans="1:11" ht="12.75" customHeight="1" thickTop="1" thickBot="1"/>
    <row r="1624" spans="1:11" ht="13.5" thickTop="1" thickBot="1">
      <c r="A1624" s="6" t="s">
        <v>2202</v>
      </c>
      <c r="B1624" s="7" t="str">
        <f>VLOOKUP($A1624,Presupuesto!$A:$D,2,FALSE())</f>
        <v>Adaptadores macho PVC presión Ø 3"</v>
      </c>
      <c r="C1624" s="8" t="str">
        <f>VLOOKUP($A1624,Presupuesto!$A:$D,3,FALSE())</f>
        <v>Un</v>
      </c>
      <c r="D1624" s="9"/>
      <c r="E1624" s="10">
        <f>VLOOKUP($A1624,Presupuesto!$A:$D,4,FALSE())</f>
        <v>0</v>
      </c>
      <c r="F1624" s="11" t="s">
        <v>2589</v>
      </c>
      <c r="G1624" s="12">
        <f>SUM(G1626:G1642)/2</f>
        <v>55294.279710993746</v>
      </c>
      <c r="H1624" s="13">
        <f>ROUND(SUM(H1626:H1642),0)/2</f>
        <v>0</v>
      </c>
      <c r="I1624" s="10">
        <f>VLOOKUP(A1624,Presupuesto!$A:$F,6,0)</f>
        <v>0</v>
      </c>
      <c r="J1624" s="10">
        <f>+H1624-I1624</f>
        <v>0</v>
      </c>
      <c r="K1624" s="46">
        <f>+H1624-G1624*E1624</f>
        <v>0</v>
      </c>
    </row>
    <row r="1625" spans="1:11" ht="13.15" thickTop="1">
      <c r="A1625" s="14"/>
      <c r="B1625" s="15" t="s">
        <v>2586</v>
      </c>
      <c r="C1625" s="15" t="s">
        <v>5</v>
      </c>
      <c r="D1625" s="16" t="s">
        <v>6</v>
      </c>
      <c r="E1625" s="17" t="s">
        <v>7</v>
      </c>
      <c r="F1625" s="18" t="s">
        <v>3728</v>
      </c>
      <c r="G1625" s="19" t="s">
        <v>3729</v>
      </c>
      <c r="H1625" s="20" t="s">
        <v>3797</v>
      </c>
    </row>
    <row r="1626" spans="1:11">
      <c r="A1626" s="21"/>
      <c r="B1626" s="22" t="s">
        <v>3730</v>
      </c>
      <c r="C1626" s="23"/>
      <c r="D1626" s="24"/>
      <c r="E1626" s="25"/>
      <c r="F1626" s="26"/>
      <c r="G1626" s="27">
        <f>SUM(G1627:G1631)</f>
        <v>47041.522499999999</v>
      </c>
      <c r="H1626" s="27">
        <f>IFERROR(G1626*E1624,"")</f>
        <v>0</v>
      </c>
    </row>
    <row r="1627" spans="1:11">
      <c r="A1627" s="28"/>
      <c r="B1627" s="29" t="s">
        <v>2665</v>
      </c>
      <c r="C1627" s="30" t="str">
        <f>IFERROR(_xlfn.XLOOKUP(B1627,Insumo[DESCRIPCION],Insumo[UND],,0),"")</f>
        <v>Un</v>
      </c>
      <c r="D1627" s="31">
        <v>1</v>
      </c>
      <c r="E1627" s="32">
        <f>IFERROR(_xlfn.XLOOKUP($B1627,Insumo[DESCRIPCION],Insumo[VALOR],,0),"")</f>
        <v>45993.15</v>
      </c>
      <c r="F1627" s="33"/>
      <c r="G1627" s="34">
        <f>IFERROR(IF(F1627&gt;=0,D1627*E1627*(1+F1627/100),ABS(D1627*E1627/F1627)),"")</f>
        <v>45993.15</v>
      </c>
      <c r="H1627" s="43">
        <f>IFERROR(G1627*E1624,"")</f>
        <v>0</v>
      </c>
    </row>
    <row r="1628" spans="1:11">
      <c r="A1628" s="28"/>
      <c r="B1628" s="29" t="s">
        <v>3046</v>
      </c>
      <c r="C1628" s="30" t="str">
        <f>IFERROR(_xlfn.XLOOKUP(B1628,Insumo[DESCRIPCION],Insumo[UND],,0),"")</f>
        <v>Un</v>
      </c>
      <c r="D1628" s="31">
        <v>0.01</v>
      </c>
      <c r="E1628" s="32">
        <f>IFERROR(_xlfn.XLOOKUP($B1628,Insumo[DESCRIPCION],Insumo[VALOR],,0),"")</f>
        <v>62413.05</v>
      </c>
      <c r="F1628" s="33"/>
      <c r="G1628" s="34">
        <f>IFERROR(IF(F1628&gt;=0,D1628*E1628*(1+F1628/100),ABS(D1628*E1628/F1628)),"")</f>
        <v>624.1305000000001</v>
      </c>
      <c r="H1628" s="43">
        <f>IFERROR(G1628*E1624,"")</f>
        <v>0</v>
      </c>
    </row>
    <row r="1629" spans="1:11">
      <c r="A1629" s="28"/>
      <c r="B1629" s="29" t="s">
        <v>3329</v>
      </c>
      <c r="C1629" s="30" t="str">
        <f>IFERROR(_xlfn.XLOOKUP(B1629,Insumo[DESCRIPCION],Insumo[UND],,0),"")</f>
        <v>Un</v>
      </c>
      <c r="D1629" s="31">
        <v>0.01</v>
      </c>
      <c r="E1629" s="32">
        <f>IFERROR(_xlfn.XLOOKUP($B1629,Insumo[DESCRIPCION],Insumo[VALOR],,0),"")</f>
        <v>42424.200000000004</v>
      </c>
      <c r="F1629" s="33"/>
      <c r="G1629" s="34">
        <f>IFERROR(IF(F1629&gt;=0,D1629*E1629*(1+F1629/100),ABS(D1629*E1629/F1629)),"")</f>
        <v>424.24200000000008</v>
      </c>
      <c r="H1629" s="43">
        <f>IFERROR(G1629*E1624,"")</f>
        <v>0</v>
      </c>
    </row>
    <row r="1630" spans="1:11">
      <c r="A1630" s="28"/>
      <c r="B1630" s="29"/>
      <c r="C1630" s="30" t="str">
        <f>IFERROR(_xlfn.XLOOKUP(B1630,Insumo[DESCRIPCION],Insumo[UND],,0),"")</f>
        <v/>
      </c>
      <c r="D1630" s="31"/>
      <c r="E1630" s="32" t="str">
        <f>IFERROR(_xlfn.XLOOKUP($B1630,Insumo[DESCRIPCION],Insumo[VALOR],,0),"")</f>
        <v/>
      </c>
      <c r="F1630" s="33"/>
      <c r="G1630" s="34" t="str">
        <f>IFERROR(IF(F1630&gt;=0,D1630*E1630*(1+F1630/100),ABS(D1630*E1630/F1630)),"")</f>
        <v/>
      </c>
      <c r="H1630" s="43" t="str">
        <f>IFERROR(G1630*E1624,"")</f>
        <v/>
      </c>
    </row>
    <row r="1631" spans="1:11">
      <c r="A1631" s="28"/>
      <c r="B1631" s="29"/>
      <c r="C1631" s="30" t="str">
        <f>IFERROR(_xlfn.XLOOKUP(B1631,Insumo[DESCRIPCION],Insumo[UND],,0),"")</f>
        <v/>
      </c>
      <c r="D1631" s="31"/>
      <c r="E1631" s="32" t="str">
        <f>IFERROR(_xlfn.XLOOKUP($B1631,Insumo[DESCRIPCION],Insumo[VALOR],,0),"")</f>
        <v/>
      </c>
      <c r="F1631" s="33"/>
      <c r="G1631" s="34" t="str">
        <f>IFERROR(IF(F1631&gt;=0,D1631*E1631*(1+F1631/100),ABS(D1631*E1631/F1631)),"")</f>
        <v/>
      </c>
      <c r="H1631" s="43" t="str">
        <f>IFERROR(G1631*E1624,"")</f>
        <v/>
      </c>
    </row>
    <row r="1632" spans="1:11">
      <c r="A1632" s="21"/>
      <c r="B1632" s="22" t="s">
        <v>3731</v>
      </c>
      <c r="C1632" s="23"/>
      <c r="D1632" s="24"/>
      <c r="E1632" s="25"/>
      <c r="F1632" s="26"/>
      <c r="G1632" s="27">
        <f>SUM(G1633:G1635)</f>
        <v>392.98843861875008</v>
      </c>
      <c r="H1632" s="27">
        <f>IFERROR(G1632*E1624,"")</f>
        <v>0</v>
      </c>
    </row>
    <row r="1633" spans="1:11">
      <c r="A1633" s="28"/>
      <c r="B1633" s="29" t="s">
        <v>3626</v>
      </c>
      <c r="C1633" s="30" t="str">
        <f>IFERROR(_xlfn.XLOOKUP(B1633,Equipo[DESCRIPCION],Equipo[UND],,0),"")</f>
        <v>%MO</v>
      </c>
      <c r="D1633" s="31">
        <v>0.05</v>
      </c>
      <c r="E1633" s="32">
        <f>IF(C1633="%MO",G1639,IFERROR(_xlfn.XLOOKUP($B1633,Equipo[DESCRIPCION],Equipo[VALOR],,0),""))</f>
        <v>7859.7687723750014</v>
      </c>
      <c r="F1633" s="33">
        <v>-1</v>
      </c>
      <c r="G1633" s="34">
        <f>IFERROR(IF(F1633&gt;=0,D1633*E1633*(1+F1633/100),ABS(D1633*E1633/F1633)),"")</f>
        <v>392.98843861875008</v>
      </c>
      <c r="H1633" s="43">
        <f>IFERROR(G1633*E1624,"")</f>
        <v>0</v>
      </c>
    </row>
    <row r="1634" spans="1:11">
      <c r="A1634" s="28"/>
      <c r="B1634" s="29"/>
      <c r="C1634" s="30" t="str">
        <f>IFERROR(_xlfn.XLOOKUP(B1634,Equipo[DESCRIPCION],Equipo[UND],,0),"")</f>
        <v/>
      </c>
      <c r="D1634" s="31"/>
      <c r="E1634" s="32" t="str">
        <f>IF(C1634="%MO",G1639,IFERROR(_xlfn.XLOOKUP($B1634,Equipo[DESCRIPCION],Equipo[VALOR],,0),""))</f>
        <v/>
      </c>
      <c r="F1634" s="33"/>
      <c r="G1634" s="34" t="str">
        <f>IFERROR(IF(F1634&gt;=0,D1634*E1634*(1+F1634/100),ABS(D1634*E1634/F1634)),"")</f>
        <v/>
      </c>
      <c r="H1634" s="43" t="str">
        <f>IFERROR(G1634*E1624,"")</f>
        <v/>
      </c>
    </row>
    <row r="1635" spans="1:11">
      <c r="A1635" s="28"/>
      <c r="B1635" s="29"/>
      <c r="C1635" s="30" t="str">
        <f>IFERROR(_xlfn.XLOOKUP(B1635,Equipo[DESCRIPCION],Equipo[UND],,0),"")</f>
        <v/>
      </c>
      <c r="D1635" s="31"/>
      <c r="E1635" s="32" t="str">
        <f>IF(C1635="%MO",G1639,IFERROR(_xlfn.XLOOKUP($B1635,Equipo[DESCRIPCION],Equipo[VALOR],,0),""))</f>
        <v/>
      </c>
      <c r="F1635" s="33"/>
      <c r="G1635" s="34" t="str">
        <f>IFERROR(IF(F1635&gt;=0,D1635*E1635*(1+F1635/100),ABS(D1635*E1635/F1635)),"")</f>
        <v/>
      </c>
      <c r="H1635" s="43" t="str">
        <f>IFERROR(G1635*E1624,"")</f>
        <v/>
      </c>
    </row>
    <row r="1636" spans="1:11">
      <c r="A1636" s="21"/>
      <c r="B1636" s="22" t="s">
        <v>2533</v>
      </c>
      <c r="C1636" s="23"/>
      <c r="D1636" s="24"/>
      <c r="E1636" s="25"/>
      <c r="F1636" s="26"/>
      <c r="G1636" s="27">
        <f>SUM(G1637:G1638)</f>
        <v>0</v>
      </c>
      <c r="H1636" s="27">
        <f>IFERROR(G1636*E1624,"")</f>
        <v>0</v>
      </c>
    </row>
    <row r="1637" spans="1:11">
      <c r="A1637" s="28"/>
      <c r="B1637" s="29"/>
      <c r="C1637" s="30" t="str">
        <f>IFERROR(_xlfn.XLOOKUP(B1637,Transporte[DESCRIPCION],Transporte[UND],,0),"")</f>
        <v/>
      </c>
      <c r="D1637" s="31"/>
      <c r="E1637" s="32" t="str">
        <f>IFERROR(_xlfn.XLOOKUP($B1637,Transporte[DESCRIPCION],Transporte[VALOR],,0),"")</f>
        <v/>
      </c>
      <c r="F1637" s="33"/>
      <c r="G1637" s="34" t="str">
        <f>IFERROR(IF(F1637&gt;=0,D1637*E1637*(1+F1637/100),ABS(D1637*E1637/F1637)),"")</f>
        <v/>
      </c>
      <c r="H1637" s="43" t="str">
        <f>IFERROR(G1637*E1624,"")</f>
        <v/>
      </c>
    </row>
    <row r="1638" spans="1:11">
      <c r="A1638" s="28"/>
      <c r="B1638" s="29"/>
      <c r="C1638" s="30" t="str">
        <f>IFERROR(_xlfn.XLOOKUP(B1638,Transporte[DESCRIPCION],Transporte[UND],,0),"")</f>
        <v/>
      </c>
      <c r="D1638" s="31"/>
      <c r="E1638" s="32" t="str">
        <f>IFERROR(_xlfn.XLOOKUP($B1638,Transporte[DESCRIPCION],Transporte[VALOR],,0),"")</f>
        <v/>
      </c>
      <c r="F1638" s="33"/>
      <c r="G1638" s="34" t="str">
        <f>IFERROR(IF(F1638&gt;=0,D1638*E1638*(1+F1638/100),ABS(D1638*E1638/F1638)),"")</f>
        <v/>
      </c>
      <c r="H1638" s="43" t="str">
        <f>IFERROR(G1638*E1624,"")</f>
        <v/>
      </c>
    </row>
    <row r="1639" spans="1:11">
      <c r="A1639" s="21"/>
      <c r="B1639" s="22" t="s">
        <v>3732</v>
      </c>
      <c r="C1639" s="23"/>
      <c r="D1639" s="24"/>
      <c r="E1639" s="25"/>
      <c r="F1639" s="26"/>
      <c r="G1639" s="27">
        <f>SUM(G1640:G1642)</f>
        <v>7859.7687723750014</v>
      </c>
      <c r="H1639" s="27">
        <f>IFERROR(G1639*E1624,"")</f>
        <v>0</v>
      </c>
    </row>
    <row r="1640" spans="1:11">
      <c r="A1640" s="28"/>
      <c r="B1640" s="29" t="s">
        <v>3710</v>
      </c>
      <c r="C1640" s="30" t="str">
        <f>IFERROR(_xlfn.XLOOKUP(B1640,MObra[DESCRIPCION],MObra[UN],,0),"")</f>
        <v>día</v>
      </c>
      <c r="D1640" s="31">
        <v>1</v>
      </c>
      <c r="E1640" s="32">
        <f>IFERROR(_xlfn.XLOOKUP($B1640,MObra[DESCRIPCION],MObra[VALOR UNIT],,0),"")</f>
        <v>314390.75089500006</v>
      </c>
      <c r="F1640" s="33">
        <v>-40</v>
      </c>
      <c r="G1640" s="34">
        <f>IFERROR(IF(F1640&gt;=0,D1640*E1640*(1+F1640/100),ABS(D1640*E1640/F1640)),"")</f>
        <v>7859.7687723750014</v>
      </c>
      <c r="H1640" s="43">
        <f>IFERROR(G1640*E1624,"")</f>
        <v>0</v>
      </c>
    </row>
    <row r="1641" spans="1:11">
      <c r="A1641" s="28"/>
      <c r="B1641" s="29"/>
      <c r="C1641" s="30" t="str">
        <f>IFERROR(_xlfn.XLOOKUP(B1641,MObra[DESCRIPCION],MObra[UN],,0),"")</f>
        <v/>
      </c>
      <c r="D1641" s="31"/>
      <c r="E1641" s="32" t="str">
        <f>IFERROR(_xlfn.XLOOKUP($B1641,MObra[DESCRIPCION],MObra[VALOR UNIT],,0),"")</f>
        <v/>
      </c>
      <c r="F1641" s="33"/>
      <c r="G1641" s="34" t="str">
        <f>IFERROR(IF(F1641&gt;=0,D1641*E1641*(1+F1641/100),ABS(D1641*E1641/F1641)),"")</f>
        <v/>
      </c>
      <c r="H1641" s="43" t="str">
        <f>IFERROR(G1641*E1624,"")</f>
        <v/>
      </c>
    </row>
    <row r="1642" spans="1:11" ht="13.15" thickBot="1">
      <c r="A1642" s="35"/>
      <c r="B1642" s="36"/>
      <c r="C1642" s="37" t="str">
        <f>IFERROR(_xlfn.XLOOKUP(B1642,MObra[DESCRIPCION],MObra[UN],,0),"")</f>
        <v/>
      </c>
      <c r="D1642" s="38"/>
      <c r="E1642" s="39" t="str">
        <f>IFERROR(_xlfn.XLOOKUP($B1642,MObra[DESCRIPCION],MObra[VALOR UNIT],,0),"")</f>
        <v/>
      </c>
      <c r="F1642" s="40"/>
      <c r="G1642" s="41" t="str">
        <f>IFERROR(IF(F1642&gt;=0,D1642*E1642*(1+F1642/100),ABS(D1642*E1642/F1642)),"")</f>
        <v/>
      </c>
      <c r="H1642" s="42" t="str">
        <f>IFERROR(G1642*E1624,"")</f>
        <v/>
      </c>
    </row>
    <row r="1643" spans="1:11" ht="13.5" thickTop="1" thickBot="1"/>
    <row r="1644" spans="1:11" ht="13.5" thickTop="1" thickBot="1">
      <c r="A1644" s="6" t="s">
        <v>2204</v>
      </c>
      <c r="B1644" s="7" t="str">
        <f>VLOOKUP($A1644,Presupuesto!$A:$D,2,FALSE())</f>
        <v>Caja válvula + tapa en polipropileno</v>
      </c>
      <c r="C1644" s="8" t="str">
        <f>VLOOKUP($A1644,Presupuesto!$A:$D,3,FALSE())</f>
        <v>Un</v>
      </c>
      <c r="D1644" s="9"/>
      <c r="E1644" s="10">
        <f>VLOOKUP($A1644,Presupuesto!$A:$D,4,FALSE())</f>
        <v>0</v>
      </c>
      <c r="F1644" s="11" t="s">
        <v>2589</v>
      </c>
      <c r="G1644" s="12">
        <f>SUM(G1646:G1662)/2</f>
        <v>86318.478843975012</v>
      </c>
      <c r="H1644" s="13">
        <f>ROUND(SUM(H1646:H1662),0)/2</f>
        <v>0</v>
      </c>
      <c r="I1644" s="10">
        <f>VLOOKUP(A1644,Presupuesto!$A:$F,6,0)</f>
        <v>0</v>
      </c>
      <c r="J1644" s="10">
        <f>+H1644-I1644</f>
        <v>0</v>
      </c>
      <c r="K1644" s="46">
        <f>+H1644-G1644*E1644</f>
        <v>0</v>
      </c>
    </row>
    <row r="1645" spans="1:11" ht="13.15" thickTop="1">
      <c r="A1645" s="14"/>
      <c r="B1645" s="15" t="s">
        <v>2586</v>
      </c>
      <c r="C1645" s="15" t="s">
        <v>5</v>
      </c>
      <c r="D1645" s="16" t="s">
        <v>6</v>
      </c>
      <c r="E1645" s="17" t="s">
        <v>7</v>
      </c>
      <c r="F1645" s="18" t="s">
        <v>3728</v>
      </c>
      <c r="G1645" s="19" t="s">
        <v>3729</v>
      </c>
      <c r="H1645" s="20" t="s">
        <v>3797</v>
      </c>
    </row>
    <row r="1646" spans="1:11">
      <c r="A1646" s="21"/>
      <c r="B1646" s="22" t="s">
        <v>3730</v>
      </c>
      <c r="C1646" s="23"/>
      <c r="D1646" s="24"/>
      <c r="E1646" s="25"/>
      <c r="F1646" s="26"/>
      <c r="G1646" s="27">
        <f>SUM(G1647:G1651)</f>
        <v>53307.450000000004</v>
      </c>
      <c r="H1646" s="27">
        <f>IFERROR(G1646*E1644,"")</f>
        <v>0</v>
      </c>
    </row>
    <row r="1647" spans="1:11">
      <c r="A1647" s="28"/>
      <c r="B1647" s="29" t="s">
        <v>3802</v>
      </c>
      <c r="C1647" s="30" t="str">
        <f>IFERROR(_xlfn.XLOOKUP(B1647,Insumo[DESCRIPCION],Insumo[UND],,0),"")</f>
        <v>Un</v>
      </c>
      <c r="D1647" s="31">
        <v>1</v>
      </c>
      <c r="E1647" s="32">
        <f>IFERROR(_xlfn.XLOOKUP($B1647,Insumo[DESCRIPCION],Insumo[VALOR],,0),"")</f>
        <v>53307.450000000004</v>
      </c>
      <c r="F1647" s="33"/>
      <c r="G1647" s="34">
        <f>IFERROR(IF(F1647&gt;=0,D1647*E1647*(1+F1647/100),ABS(D1647*E1647/F1647)),"")</f>
        <v>53307.450000000004</v>
      </c>
      <c r="H1647" s="43">
        <f>IFERROR(G1647*E1644,"")</f>
        <v>0</v>
      </c>
    </row>
    <row r="1648" spans="1:11">
      <c r="A1648" s="28"/>
      <c r="B1648" s="29"/>
      <c r="C1648" s="30" t="str">
        <f>IFERROR(_xlfn.XLOOKUP(B1648,Insumo[DESCRIPCION],Insumo[UND],,0),"")</f>
        <v/>
      </c>
      <c r="D1648" s="31"/>
      <c r="E1648" s="32" t="str">
        <f>IFERROR(_xlfn.XLOOKUP($B1648,Insumo[DESCRIPCION],Insumo[VALOR],,0),"")</f>
        <v/>
      </c>
      <c r="F1648" s="33"/>
      <c r="G1648" s="34" t="str">
        <f>IFERROR(IF(F1648&gt;=0,D1648*E1648*(1+F1648/100),ABS(D1648*E1648/F1648)),"")</f>
        <v/>
      </c>
      <c r="H1648" s="43" t="str">
        <f>IFERROR(G1648*E1644,"")</f>
        <v/>
      </c>
    </row>
    <row r="1649" spans="1:11">
      <c r="A1649" s="28"/>
      <c r="B1649" s="29"/>
      <c r="C1649" s="30" t="str">
        <f>IFERROR(_xlfn.XLOOKUP(B1649,Insumo[DESCRIPCION],Insumo[UND],,0),"")</f>
        <v/>
      </c>
      <c r="D1649" s="31"/>
      <c r="E1649" s="32" t="str">
        <f>IFERROR(_xlfn.XLOOKUP($B1649,Insumo[DESCRIPCION],Insumo[VALOR],,0),"")</f>
        <v/>
      </c>
      <c r="F1649" s="33"/>
      <c r="G1649" s="34" t="str">
        <f>IFERROR(IF(F1649&gt;=0,D1649*E1649*(1+F1649/100),ABS(D1649*E1649/F1649)),"")</f>
        <v/>
      </c>
      <c r="H1649" s="43" t="str">
        <f>IFERROR(G1649*E1644,"")</f>
        <v/>
      </c>
    </row>
    <row r="1650" spans="1:11">
      <c r="A1650" s="28"/>
      <c r="B1650" s="29"/>
      <c r="C1650" s="30" t="str">
        <f>IFERROR(_xlfn.XLOOKUP(B1650,Insumo[DESCRIPCION],Insumo[UND],,0),"")</f>
        <v/>
      </c>
      <c r="D1650" s="31"/>
      <c r="E1650" s="32" t="str">
        <f>IFERROR(_xlfn.XLOOKUP($B1650,Insumo[DESCRIPCION],Insumo[VALOR],,0),"")</f>
        <v/>
      </c>
      <c r="F1650" s="33"/>
      <c r="G1650" s="34" t="str">
        <f>IFERROR(IF(F1650&gt;=0,D1650*E1650*(1+F1650/100),ABS(D1650*E1650/F1650)),"")</f>
        <v/>
      </c>
      <c r="H1650" s="43" t="str">
        <f>IFERROR(G1650*E1644,"")</f>
        <v/>
      </c>
    </row>
    <row r="1651" spans="1:11">
      <c r="A1651" s="28"/>
      <c r="B1651" s="29"/>
      <c r="C1651" s="30" t="str">
        <f>IFERROR(_xlfn.XLOOKUP(B1651,Insumo[DESCRIPCION],Insumo[UND],,0),"")</f>
        <v/>
      </c>
      <c r="D1651" s="31"/>
      <c r="E1651" s="32" t="str">
        <f>IFERROR(_xlfn.XLOOKUP($B1651,Insumo[DESCRIPCION],Insumo[VALOR],,0),"")</f>
        <v/>
      </c>
      <c r="F1651" s="33"/>
      <c r="G1651" s="34" t="str">
        <f>IFERROR(IF(F1651&gt;=0,D1651*E1651*(1+F1651/100),ABS(D1651*E1651/F1651)),"")</f>
        <v/>
      </c>
      <c r="H1651" s="43" t="str">
        <f>IFERROR(G1651*E1644,"")</f>
        <v/>
      </c>
    </row>
    <row r="1652" spans="1:11">
      <c r="A1652" s="21"/>
      <c r="B1652" s="22" t="s">
        <v>3731</v>
      </c>
      <c r="C1652" s="23"/>
      <c r="D1652" s="24"/>
      <c r="E1652" s="25"/>
      <c r="F1652" s="26"/>
      <c r="G1652" s="27">
        <f>SUM(G1653:G1655)</f>
        <v>1571.9537544750003</v>
      </c>
      <c r="H1652" s="27">
        <f>IFERROR(G1652*E1644,"")</f>
        <v>0</v>
      </c>
    </row>
    <row r="1653" spans="1:11">
      <c r="A1653" s="28"/>
      <c r="B1653" s="29" t="s">
        <v>3626</v>
      </c>
      <c r="C1653" s="30" t="str">
        <f>IFERROR(_xlfn.XLOOKUP(B1653,Equipo[DESCRIPCION],Equipo[UND],,0),"")</f>
        <v>%MO</v>
      </c>
      <c r="D1653" s="31">
        <v>0.05</v>
      </c>
      <c r="E1653" s="32">
        <f>IF(C1653="%MO",G1659,IFERROR(_xlfn.XLOOKUP($B1653,Equipo[DESCRIPCION],Equipo[VALOR],,0),""))</f>
        <v>31439.075089500006</v>
      </c>
      <c r="F1653" s="33"/>
      <c r="G1653" s="34">
        <f>IFERROR(IF(F1653&gt;=0,D1653*E1653*(1+F1653/100),ABS(D1653*E1653/F1653)),"")</f>
        <v>1571.9537544750003</v>
      </c>
      <c r="H1653" s="43">
        <f>IFERROR(G1653*E1644,"")</f>
        <v>0</v>
      </c>
    </row>
    <row r="1654" spans="1:11">
      <c r="A1654" s="28"/>
      <c r="B1654" s="29"/>
      <c r="C1654" s="30" t="str">
        <f>IFERROR(_xlfn.XLOOKUP(B1654,Equipo[DESCRIPCION],Equipo[UND],,0),"")</f>
        <v/>
      </c>
      <c r="D1654" s="31"/>
      <c r="E1654" s="32" t="str">
        <f>IF(C1654="%MO",G1659,IFERROR(_xlfn.XLOOKUP($B1654,Equipo[DESCRIPCION],Equipo[VALOR],,0),""))</f>
        <v/>
      </c>
      <c r="F1654" s="33"/>
      <c r="G1654" s="34" t="str">
        <f>IFERROR(IF(F1654&gt;=0,D1654*E1654*(1+F1654/100),ABS(D1654*E1654/F1654)),"")</f>
        <v/>
      </c>
      <c r="H1654" s="43" t="str">
        <f>IFERROR(G1654*E1644,"")</f>
        <v/>
      </c>
    </row>
    <row r="1655" spans="1:11">
      <c r="A1655" s="28"/>
      <c r="B1655" s="29"/>
      <c r="C1655" s="30" t="str">
        <f>IFERROR(_xlfn.XLOOKUP(B1655,Equipo[DESCRIPCION],Equipo[UND],,0),"")</f>
        <v/>
      </c>
      <c r="D1655" s="31"/>
      <c r="E1655" s="32" t="str">
        <f>IF(C1655="%MO",G1659,IFERROR(_xlfn.XLOOKUP($B1655,Equipo[DESCRIPCION],Equipo[VALOR],,0),""))</f>
        <v/>
      </c>
      <c r="F1655" s="33"/>
      <c r="G1655" s="34" t="str">
        <f>IFERROR(IF(F1655&gt;=0,D1655*E1655*(1+F1655/100),ABS(D1655*E1655/F1655)),"")</f>
        <v/>
      </c>
      <c r="H1655" s="43" t="str">
        <f>IFERROR(G1655*E1644,"")</f>
        <v/>
      </c>
    </row>
    <row r="1656" spans="1:11">
      <c r="A1656" s="21"/>
      <c r="B1656" s="22" t="s">
        <v>2533</v>
      </c>
      <c r="C1656" s="23"/>
      <c r="D1656" s="24"/>
      <c r="E1656" s="25"/>
      <c r="F1656" s="26"/>
      <c r="G1656" s="27">
        <f>SUM(G1657:G1658)</f>
        <v>0</v>
      </c>
      <c r="H1656" s="27">
        <f>IFERROR(G1656*E1644,"")</f>
        <v>0</v>
      </c>
    </row>
    <row r="1657" spans="1:11">
      <c r="A1657" s="28"/>
      <c r="B1657" s="29"/>
      <c r="C1657" s="30" t="str">
        <f>IFERROR(_xlfn.XLOOKUP(B1657,Transporte[DESCRIPCION],Transporte[UND],,0),"")</f>
        <v/>
      </c>
      <c r="D1657" s="31"/>
      <c r="E1657" s="32" t="str">
        <f>IFERROR(_xlfn.XLOOKUP($B1657,Transporte[DESCRIPCION],Transporte[VALOR],,0),"")</f>
        <v/>
      </c>
      <c r="F1657" s="33"/>
      <c r="G1657" s="34" t="str">
        <f>IFERROR(IF(F1657&gt;=0,D1657*E1657*(1+F1657/100),ABS(D1657*E1657/F1657)),"")</f>
        <v/>
      </c>
      <c r="H1657" s="43" t="str">
        <f>IFERROR(G1657*E1644,"")</f>
        <v/>
      </c>
    </row>
    <row r="1658" spans="1:11">
      <c r="A1658" s="28"/>
      <c r="B1658" s="29"/>
      <c r="C1658" s="30" t="str">
        <f>IFERROR(_xlfn.XLOOKUP(B1658,Transporte[DESCRIPCION],Transporte[UND],,0),"")</f>
        <v/>
      </c>
      <c r="D1658" s="31"/>
      <c r="E1658" s="32" t="str">
        <f>IFERROR(_xlfn.XLOOKUP($B1658,Transporte[DESCRIPCION],Transporte[VALOR],,0),"")</f>
        <v/>
      </c>
      <c r="F1658" s="33"/>
      <c r="G1658" s="34" t="str">
        <f>IFERROR(IF(F1658&gt;=0,D1658*E1658*(1+F1658/100),ABS(D1658*E1658/F1658)),"")</f>
        <v/>
      </c>
      <c r="H1658" s="43" t="str">
        <f>IFERROR(G1658*E1644,"")</f>
        <v/>
      </c>
    </row>
    <row r="1659" spans="1:11">
      <c r="A1659" s="21"/>
      <c r="B1659" s="22" t="s">
        <v>3732</v>
      </c>
      <c r="C1659" s="23"/>
      <c r="D1659" s="24"/>
      <c r="E1659" s="25"/>
      <c r="F1659" s="26"/>
      <c r="G1659" s="27">
        <f>SUM(G1660:G1662)</f>
        <v>31439.075089500006</v>
      </c>
      <c r="H1659" s="27">
        <f>IFERROR(G1659*E1644,"")</f>
        <v>0</v>
      </c>
    </row>
    <row r="1660" spans="1:11">
      <c r="A1660" s="28"/>
      <c r="B1660" s="29" t="s">
        <v>3710</v>
      </c>
      <c r="C1660" s="30" t="str">
        <f>IFERROR(_xlfn.XLOOKUP(B1660,MObra[DESCRIPCION],MObra[UN],,0),"")</f>
        <v>día</v>
      </c>
      <c r="D1660" s="31">
        <v>1</v>
      </c>
      <c r="E1660" s="32">
        <f>IFERROR(_xlfn.XLOOKUP($B1660,MObra[DESCRIPCION],MObra[VALOR UNIT],,0),"")</f>
        <v>314390.75089500006</v>
      </c>
      <c r="F1660" s="33">
        <v>-10</v>
      </c>
      <c r="G1660" s="34">
        <f>IFERROR(IF(F1660&gt;=0,D1660*E1660*(1+F1660/100),ABS(D1660*E1660/F1660)),"")</f>
        <v>31439.075089500006</v>
      </c>
      <c r="H1660" s="43">
        <f>IFERROR(G1660*E1644,"")</f>
        <v>0</v>
      </c>
    </row>
    <row r="1661" spans="1:11">
      <c r="A1661" s="28"/>
      <c r="B1661" s="29"/>
      <c r="C1661" s="30" t="str">
        <f>IFERROR(_xlfn.XLOOKUP(B1661,MObra[DESCRIPCION],MObra[UN],,0),"")</f>
        <v/>
      </c>
      <c r="D1661" s="31"/>
      <c r="E1661" s="32" t="str">
        <f>IFERROR(_xlfn.XLOOKUP($B1661,MObra[DESCRIPCION],MObra[VALOR UNIT],,0),"")</f>
        <v/>
      </c>
      <c r="F1661" s="33"/>
      <c r="G1661" s="34" t="str">
        <f>IFERROR(IF(F1661&gt;=0,D1661*E1661*(1+F1661/100),ABS(D1661*E1661/F1661)),"")</f>
        <v/>
      </c>
      <c r="H1661" s="43" t="str">
        <f>IFERROR(G1661*E1644,"")</f>
        <v/>
      </c>
    </row>
    <row r="1662" spans="1:11" ht="13.15" thickBot="1">
      <c r="A1662" s="35"/>
      <c r="B1662" s="36"/>
      <c r="C1662" s="37" t="str">
        <f>IFERROR(_xlfn.XLOOKUP(B1662,MObra[DESCRIPCION],MObra[UN],,0),"")</f>
        <v/>
      </c>
      <c r="D1662" s="38"/>
      <c r="E1662" s="39" t="str">
        <f>IFERROR(_xlfn.XLOOKUP($B1662,MObra[DESCRIPCION],MObra[VALOR UNIT],,0),"")</f>
        <v/>
      </c>
      <c r="F1662" s="40"/>
      <c r="G1662" s="41" t="str">
        <f>IFERROR(IF(F1662&gt;=0,D1662*E1662*(1+F1662/100),ABS(D1662*E1662/F1662)),"")</f>
        <v/>
      </c>
      <c r="H1662" s="42" t="str">
        <f>IFERROR(G1662*E1644,"")</f>
        <v/>
      </c>
    </row>
    <row r="1663" spans="1:11" ht="13.5" thickTop="1" thickBot="1"/>
    <row r="1664" spans="1:11" ht="13.5" thickTop="1" thickBot="1">
      <c r="A1664" s="6" t="s">
        <v>2206</v>
      </c>
      <c r="B1664" s="7" t="str">
        <f>VLOOKUP($A1664,Presupuesto!$A:$D,2,FALSE())</f>
        <v>Caja medidor de agua</v>
      </c>
      <c r="C1664" s="8" t="str">
        <f>VLOOKUP($A1664,Presupuesto!$A:$D,3,FALSE())</f>
        <v>Un</v>
      </c>
      <c r="D1664" s="9"/>
      <c r="E1664" s="10">
        <f>VLOOKUP($A1664,Presupuesto!$A:$D,4,FALSE())</f>
        <v>0</v>
      </c>
      <c r="F1664" s="11" t="s">
        <v>2589</v>
      </c>
      <c r="G1664" s="12">
        <f>SUM(G1666:G1682)/2</f>
        <v>323031.69070331252</v>
      </c>
      <c r="H1664" s="13">
        <f>ROUND(SUM(H1666:H1682),0)/2</f>
        <v>0</v>
      </c>
      <c r="I1664" s="10">
        <f>VLOOKUP(A1664,Presupuesto!$A:$F,6,0)</f>
        <v>0</v>
      </c>
      <c r="J1664" s="10">
        <f>+H1664-I1664</f>
        <v>0</v>
      </c>
      <c r="K1664" s="46">
        <f>+H1664-G1664*E1664</f>
        <v>0</v>
      </c>
    </row>
    <row r="1665" spans="1:8" ht="13.15" thickTop="1">
      <c r="A1665" s="14"/>
      <c r="B1665" s="15" t="s">
        <v>2586</v>
      </c>
      <c r="C1665" s="15" t="s">
        <v>5</v>
      </c>
      <c r="D1665" s="16" t="s">
        <v>6</v>
      </c>
      <c r="E1665" s="17" t="s">
        <v>7</v>
      </c>
      <c r="F1665" s="18" t="s">
        <v>3728</v>
      </c>
      <c r="G1665" s="19" t="s">
        <v>3729</v>
      </c>
      <c r="H1665" s="20" t="s">
        <v>3797</v>
      </c>
    </row>
    <row r="1666" spans="1:8">
      <c r="A1666" s="21"/>
      <c r="B1666" s="22" t="s">
        <v>3730</v>
      </c>
      <c r="C1666" s="23"/>
      <c r="D1666" s="24"/>
      <c r="E1666" s="25"/>
      <c r="F1666" s="26"/>
      <c r="G1666" s="27">
        <f>SUM(G1667:G1671)</f>
        <v>295522.5</v>
      </c>
      <c r="H1666" s="27">
        <f>IFERROR(G1666*E1664,"")</f>
        <v>0</v>
      </c>
    </row>
    <row r="1667" spans="1:8">
      <c r="A1667" s="28"/>
      <c r="B1667" s="29" t="s">
        <v>2804</v>
      </c>
      <c r="C1667" s="30" t="str">
        <f>IFERROR(_xlfn.XLOOKUP(B1667,Insumo[DESCRIPCION],Insumo[UND],,0),"")</f>
        <v>Un</v>
      </c>
      <c r="D1667" s="31">
        <v>1</v>
      </c>
      <c r="E1667" s="32">
        <f>IFERROR(_xlfn.XLOOKUP($B1667,Insumo[DESCRIPCION],Insumo[VALOR],,0),"")</f>
        <v>295522.5</v>
      </c>
      <c r="F1667" s="33"/>
      <c r="G1667" s="34">
        <f>IFERROR(IF(F1667&gt;=0,D1667*E1667*(1+F1667/100),ABS(D1667*E1667/F1667)),"")</f>
        <v>295522.5</v>
      </c>
      <c r="H1667" s="43">
        <f>IFERROR(G1667*E1664,"")</f>
        <v>0</v>
      </c>
    </row>
    <row r="1668" spans="1:8">
      <c r="A1668" s="28"/>
      <c r="B1668" s="29"/>
      <c r="C1668" s="30" t="str">
        <f>IFERROR(_xlfn.XLOOKUP(B1668,Insumo[DESCRIPCION],Insumo[UND],,0),"")</f>
        <v/>
      </c>
      <c r="D1668" s="31"/>
      <c r="E1668" s="32" t="str">
        <f>IFERROR(_xlfn.XLOOKUP($B1668,Insumo[DESCRIPCION],Insumo[VALOR],,0),"")</f>
        <v/>
      </c>
      <c r="F1668" s="33"/>
      <c r="G1668" s="34" t="str">
        <f>IFERROR(IF(F1668&gt;=0,D1668*E1668*(1+F1668/100),ABS(D1668*E1668/F1668)),"")</f>
        <v/>
      </c>
      <c r="H1668" s="43" t="str">
        <f>IFERROR(G1668*E1664,"")</f>
        <v/>
      </c>
    </row>
    <row r="1669" spans="1:8">
      <c r="A1669" s="28"/>
      <c r="B1669" s="29"/>
      <c r="C1669" s="30" t="str">
        <f>IFERROR(_xlfn.XLOOKUP(B1669,Insumo[DESCRIPCION],Insumo[UND],,0),"")</f>
        <v/>
      </c>
      <c r="D1669" s="31"/>
      <c r="E1669" s="32" t="str">
        <f>IFERROR(_xlfn.XLOOKUP($B1669,Insumo[DESCRIPCION],Insumo[VALOR],,0),"")</f>
        <v/>
      </c>
      <c r="F1669" s="33"/>
      <c r="G1669" s="34" t="str">
        <f>IFERROR(IF(F1669&gt;=0,D1669*E1669*(1+F1669/100),ABS(D1669*E1669/F1669)),"")</f>
        <v/>
      </c>
      <c r="H1669" s="43" t="str">
        <f>IFERROR(G1669*E1664,"")</f>
        <v/>
      </c>
    </row>
    <row r="1670" spans="1:8">
      <c r="A1670" s="28"/>
      <c r="B1670" s="29"/>
      <c r="C1670" s="30" t="str">
        <f>IFERROR(_xlfn.XLOOKUP(B1670,Insumo[DESCRIPCION],Insumo[UND],,0),"")</f>
        <v/>
      </c>
      <c r="D1670" s="31"/>
      <c r="E1670" s="32" t="str">
        <f>IFERROR(_xlfn.XLOOKUP($B1670,Insumo[DESCRIPCION],Insumo[VALOR],,0),"")</f>
        <v/>
      </c>
      <c r="F1670" s="33"/>
      <c r="G1670" s="34" t="str">
        <f>IFERROR(IF(F1670&gt;=0,D1670*E1670*(1+F1670/100),ABS(D1670*E1670/F1670)),"")</f>
        <v/>
      </c>
      <c r="H1670" s="43" t="str">
        <f>IFERROR(G1670*E1664,"")</f>
        <v/>
      </c>
    </row>
    <row r="1671" spans="1:8">
      <c r="A1671" s="28"/>
      <c r="B1671" s="29"/>
      <c r="C1671" s="30" t="str">
        <f>IFERROR(_xlfn.XLOOKUP(B1671,Insumo[DESCRIPCION],Insumo[UND],,0),"")</f>
        <v/>
      </c>
      <c r="D1671" s="31"/>
      <c r="E1671" s="32" t="str">
        <f>IFERROR(_xlfn.XLOOKUP($B1671,Insumo[DESCRIPCION],Insumo[VALOR],,0),"")</f>
        <v/>
      </c>
      <c r="F1671" s="33"/>
      <c r="G1671" s="34" t="str">
        <f>IFERROR(IF(F1671&gt;=0,D1671*E1671*(1+F1671/100),ABS(D1671*E1671/F1671)),"")</f>
        <v/>
      </c>
      <c r="H1671" s="43" t="str">
        <f>IFERROR(G1671*E1664,"")</f>
        <v/>
      </c>
    </row>
    <row r="1672" spans="1:8">
      <c r="A1672" s="21"/>
      <c r="B1672" s="22" t="s">
        <v>3731</v>
      </c>
      <c r="C1672" s="23"/>
      <c r="D1672" s="24"/>
      <c r="E1672" s="25"/>
      <c r="F1672" s="26"/>
      <c r="G1672" s="27">
        <f>SUM(G1673:G1675)</f>
        <v>1309.9614620625005</v>
      </c>
      <c r="H1672" s="27">
        <f>IFERROR(G1672*E1664,"")</f>
        <v>0</v>
      </c>
    </row>
    <row r="1673" spans="1:8">
      <c r="A1673" s="28"/>
      <c r="B1673" s="29" t="s">
        <v>3626</v>
      </c>
      <c r="C1673" s="30" t="str">
        <f>IFERROR(_xlfn.XLOOKUP(B1673,Equipo[DESCRIPCION],Equipo[UND],,0),"")</f>
        <v>%MO</v>
      </c>
      <c r="D1673" s="31">
        <v>0.05</v>
      </c>
      <c r="E1673" s="32">
        <f>IF(C1673="%MO",G1679,IFERROR(_xlfn.XLOOKUP($B1673,Equipo[DESCRIPCION],Equipo[VALOR],,0),""))</f>
        <v>26199.229241250006</v>
      </c>
      <c r="F1673" s="33"/>
      <c r="G1673" s="34">
        <f>IFERROR(IF(F1673&gt;=0,D1673*E1673*(1+F1673/100),ABS(D1673*E1673/F1673)),"")</f>
        <v>1309.9614620625005</v>
      </c>
      <c r="H1673" s="43">
        <f>IFERROR(G1673*E1664,"")</f>
        <v>0</v>
      </c>
    </row>
    <row r="1674" spans="1:8">
      <c r="A1674" s="28"/>
      <c r="B1674" s="29"/>
      <c r="C1674" s="30" t="str">
        <f>IFERROR(_xlfn.XLOOKUP(B1674,Equipo[DESCRIPCION],Equipo[UND],,0),"")</f>
        <v/>
      </c>
      <c r="D1674" s="31"/>
      <c r="E1674" s="32" t="str">
        <f>IF(C1674="%MO",G1679,IFERROR(_xlfn.XLOOKUP($B1674,Equipo[DESCRIPCION],Equipo[VALOR],,0),""))</f>
        <v/>
      </c>
      <c r="F1674" s="33"/>
      <c r="G1674" s="34" t="str">
        <f>IFERROR(IF(F1674&gt;=0,D1674*E1674*(1+F1674/100),ABS(D1674*E1674/F1674)),"")</f>
        <v/>
      </c>
      <c r="H1674" s="43" t="str">
        <f>IFERROR(G1674*E1664,"")</f>
        <v/>
      </c>
    </row>
    <row r="1675" spans="1:8">
      <c r="A1675" s="28"/>
      <c r="B1675" s="29"/>
      <c r="C1675" s="30" t="str">
        <f>IFERROR(_xlfn.XLOOKUP(B1675,Equipo[DESCRIPCION],Equipo[UND],,0),"")</f>
        <v/>
      </c>
      <c r="D1675" s="31"/>
      <c r="E1675" s="32" t="str">
        <f>IF(C1675="%MO",G1679,IFERROR(_xlfn.XLOOKUP($B1675,Equipo[DESCRIPCION],Equipo[VALOR],,0),""))</f>
        <v/>
      </c>
      <c r="F1675" s="33"/>
      <c r="G1675" s="34" t="str">
        <f>IFERROR(IF(F1675&gt;=0,D1675*E1675*(1+F1675/100),ABS(D1675*E1675/F1675)),"")</f>
        <v/>
      </c>
      <c r="H1675" s="43" t="str">
        <f>IFERROR(G1675*E1664,"")</f>
        <v/>
      </c>
    </row>
    <row r="1676" spans="1:8">
      <c r="A1676" s="21"/>
      <c r="B1676" s="22" t="s">
        <v>2533</v>
      </c>
      <c r="C1676" s="23"/>
      <c r="D1676" s="24"/>
      <c r="E1676" s="25"/>
      <c r="F1676" s="26"/>
      <c r="G1676" s="27">
        <f>SUM(G1677:G1678)</f>
        <v>0</v>
      </c>
      <c r="H1676" s="27">
        <f>IFERROR(G1676*E1664,"")</f>
        <v>0</v>
      </c>
    </row>
    <row r="1677" spans="1:8">
      <c r="A1677" s="28"/>
      <c r="B1677" s="29"/>
      <c r="C1677" s="30" t="str">
        <f>IFERROR(_xlfn.XLOOKUP(B1677,Transporte[DESCRIPCION],Transporte[UND],,0),"")</f>
        <v/>
      </c>
      <c r="D1677" s="31"/>
      <c r="E1677" s="32" t="str">
        <f>IFERROR(_xlfn.XLOOKUP($B1677,Transporte[DESCRIPCION],Transporte[VALOR],,0),"")</f>
        <v/>
      </c>
      <c r="F1677" s="33"/>
      <c r="G1677" s="34" t="str">
        <f>IFERROR(IF(F1677&gt;=0,D1677*E1677*(1+F1677/100),ABS(D1677*E1677/F1677)),"")</f>
        <v/>
      </c>
      <c r="H1677" s="43" t="str">
        <f>IFERROR(G1677*E1664,"")</f>
        <v/>
      </c>
    </row>
    <row r="1678" spans="1:8">
      <c r="A1678" s="28"/>
      <c r="B1678" s="29"/>
      <c r="C1678" s="30" t="str">
        <f>IFERROR(_xlfn.XLOOKUP(B1678,Transporte[DESCRIPCION],Transporte[UND],,0),"")</f>
        <v/>
      </c>
      <c r="D1678" s="31"/>
      <c r="E1678" s="32" t="str">
        <f>IFERROR(_xlfn.XLOOKUP($B1678,Transporte[DESCRIPCION],Transporte[VALOR],,0),"")</f>
        <v/>
      </c>
      <c r="F1678" s="33"/>
      <c r="G1678" s="34" t="str">
        <f>IFERROR(IF(F1678&gt;=0,D1678*E1678*(1+F1678/100),ABS(D1678*E1678/F1678)),"")</f>
        <v/>
      </c>
      <c r="H1678" s="43" t="str">
        <f>IFERROR(G1678*E1664,"")</f>
        <v/>
      </c>
    </row>
    <row r="1679" spans="1:8">
      <c r="A1679" s="21"/>
      <c r="B1679" s="22" t="s">
        <v>3732</v>
      </c>
      <c r="C1679" s="23"/>
      <c r="D1679" s="24"/>
      <c r="E1679" s="25"/>
      <c r="F1679" s="26"/>
      <c r="G1679" s="27">
        <f>SUM(G1680:G1682)</f>
        <v>26199.229241250006</v>
      </c>
      <c r="H1679" s="27">
        <f>IFERROR(G1679*E1664,"")</f>
        <v>0</v>
      </c>
    </row>
    <row r="1680" spans="1:8">
      <c r="A1680" s="28"/>
      <c r="B1680" s="29" t="s">
        <v>3710</v>
      </c>
      <c r="C1680" s="30" t="str">
        <f>IFERROR(_xlfn.XLOOKUP(B1680,MObra[DESCRIPCION],MObra[UN],,0),"")</f>
        <v>día</v>
      </c>
      <c r="D1680" s="31">
        <v>1</v>
      </c>
      <c r="E1680" s="32">
        <f>IFERROR(_xlfn.XLOOKUP($B1680,MObra[DESCRIPCION],MObra[VALOR UNIT],,0),"")</f>
        <v>314390.75089500006</v>
      </c>
      <c r="F1680" s="33">
        <v>-12</v>
      </c>
      <c r="G1680" s="34">
        <f>IFERROR(IF(F1680&gt;=0,D1680*E1680*(1+F1680/100),ABS(D1680*E1680/F1680)),"")</f>
        <v>26199.229241250006</v>
      </c>
      <c r="H1680" s="43">
        <f>IFERROR(G1680*E1664,"")</f>
        <v>0</v>
      </c>
    </row>
    <row r="1681" spans="1:11">
      <c r="A1681" s="28"/>
      <c r="B1681" s="29"/>
      <c r="C1681" s="30" t="str">
        <f>IFERROR(_xlfn.XLOOKUP(B1681,MObra[DESCRIPCION],MObra[UN],,0),"")</f>
        <v/>
      </c>
      <c r="D1681" s="31"/>
      <c r="E1681" s="32" t="str">
        <f>IFERROR(_xlfn.XLOOKUP($B1681,MObra[DESCRIPCION],MObra[VALOR UNIT],,0),"")</f>
        <v/>
      </c>
      <c r="F1681" s="33"/>
      <c r="G1681" s="34" t="str">
        <f>IFERROR(IF(F1681&gt;=0,D1681*E1681*(1+F1681/100),ABS(D1681*E1681/F1681)),"")</f>
        <v/>
      </c>
      <c r="H1681" s="43" t="str">
        <f>IFERROR(G1681*E1664,"")</f>
        <v/>
      </c>
    </row>
    <row r="1682" spans="1:11" ht="13.15" thickBot="1">
      <c r="A1682" s="35"/>
      <c r="B1682" s="36"/>
      <c r="C1682" s="37" t="str">
        <f>IFERROR(_xlfn.XLOOKUP(B1682,MObra[DESCRIPCION],MObra[UN],,0),"")</f>
        <v/>
      </c>
      <c r="D1682" s="38"/>
      <c r="E1682" s="39" t="str">
        <f>IFERROR(_xlfn.XLOOKUP($B1682,MObra[DESCRIPCION],MObra[VALOR UNIT],,0),"")</f>
        <v/>
      </c>
      <c r="F1682" s="40"/>
      <c r="G1682" s="41" t="str">
        <f>IFERROR(IF(F1682&gt;=0,D1682*E1682*(1+F1682/100),ABS(D1682*E1682/F1682)),"")</f>
        <v/>
      </c>
      <c r="H1682" s="42" t="str">
        <f>IFERROR(G1682*E1664,"")</f>
        <v/>
      </c>
    </row>
    <row r="1683" spans="1:11" ht="13.5" thickTop="1" thickBot="1"/>
    <row r="1684" spans="1:11" ht="13.5" thickTop="1" thickBot="1">
      <c r="A1684" s="6" t="s">
        <v>2208</v>
      </c>
      <c r="B1684" s="7" t="str">
        <f>VLOOKUP($A1684,Presupuesto!$A:$D,2,FALSE())</f>
        <v>Canaleta Parshall en fibra de vidrio w=1" (5 lts/seg)</v>
      </c>
      <c r="C1684" s="8" t="str">
        <f>VLOOKUP($A1684,Presupuesto!$A:$D,3,FALSE())</f>
        <v>Un</v>
      </c>
      <c r="D1684" s="9"/>
      <c r="E1684" s="10">
        <f>VLOOKUP($A1684,Presupuesto!$A:$D,4,FALSE())</f>
        <v>0</v>
      </c>
      <c r="F1684" s="11" t="s">
        <v>2589</v>
      </c>
      <c r="G1684" s="12">
        <f>SUM(G1686:G1702)/2</f>
        <v>2902946.8653759006</v>
      </c>
      <c r="H1684" s="13">
        <f>ROUND(SUM(H1686:H1702),0)/2</f>
        <v>0</v>
      </c>
      <c r="I1684" s="10">
        <f>VLOOKUP(A1684,Presupuesto!$A:$F,6,0)</f>
        <v>0</v>
      </c>
      <c r="J1684" s="10">
        <f>+H1684-I1684</f>
        <v>0</v>
      </c>
      <c r="K1684" s="46">
        <f>+H1684-G1684*E1684</f>
        <v>0</v>
      </c>
    </row>
    <row r="1685" spans="1:11" ht="13.15" thickTop="1">
      <c r="A1685" s="14"/>
      <c r="B1685" s="15" t="s">
        <v>2586</v>
      </c>
      <c r="C1685" s="15" t="s">
        <v>5</v>
      </c>
      <c r="D1685" s="16" t="s">
        <v>6</v>
      </c>
      <c r="E1685" s="17" t="s">
        <v>7</v>
      </c>
      <c r="F1685" s="18" t="s">
        <v>3728</v>
      </c>
      <c r="G1685" s="19" t="s">
        <v>3729</v>
      </c>
      <c r="H1685" s="20" t="s">
        <v>3797</v>
      </c>
    </row>
    <row r="1686" spans="1:11">
      <c r="A1686" s="21"/>
      <c r="B1686" s="22" t="s">
        <v>3730</v>
      </c>
      <c r="C1686" s="23"/>
      <c r="D1686" s="24"/>
      <c r="E1686" s="25"/>
      <c r="F1686" s="26"/>
      <c r="G1686" s="27">
        <f>SUM(G1687:G1691)</f>
        <v>2770902.75</v>
      </c>
      <c r="H1686" s="27">
        <f>IFERROR(G1686*E1684,"")</f>
        <v>0</v>
      </c>
    </row>
    <row r="1687" spans="1:11">
      <c r="A1687" s="28"/>
      <c r="B1687" s="29" t="s">
        <v>2818</v>
      </c>
      <c r="C1687" s="30" t="str">
        <f>IFERROR(_xlfn.XLOOKUP(B1687,Insumo[DESCRIPCION],Insumo[UND],,0),"")</f>
        <v>Un</v>
      </c>
      <c r="D1687" s="31">
        <v>1</v>
      </c>
      <c r="E1687" s="32">
        <f>IFERROR(_xlfn.XLOOKUP($B1687,Insumo[DESCRIPCION],Insumo[VALOR],,0),"")</f>
        <v>2770902.75</v>
      </c>
      <c r="F1687" s="33"/>
      <c r="G1687" s="34">
        <f>IFERROR(IF(F1687&gt;=0,D1687*E1687*(1+F1687/100),ABS(D1687*E1687/F1687)),"")</f>
        <v>2770902.75</v>
      </c>
      <c r="H1687" s="43">
        <f>IFERROR(G1687*E1684,"")</f>
        <v>0</v>
      </c>
    </row>
    <row r="1688" spans="1:11">
      <c r="A1688" s="28"/>
      <c r="B1688" s="29"/>
      <c r="C1688" s="30" t="str">
        <f>IFERROR(_xlfn.XLOOKUP(B1688,Insumo[DESCRIPCION],Insumo[UND],,0),"")</f>
        <v/>
      </c>
      <c r="D1688" s="31"/>
      <c r="E1688" s="32" t="str">
        <f>IFERROR(_xlfn.XLOOKUP($B1688,Insumo[DESCRIPCION],Insumo[VALOR],,0),"")</f>
        <v/>
      </c>
      <c r="F1688" s="33"/>
      <c r="G1688" s="34" t="str">
        <f>IFERROR(IF(F1688&gt;=0,D1688*E1688*(1+F1688/100),ABS(D1688*E1688/F1688)),"")</f>
        <v/>
      </c>
      <c r="H1688" s="43" t="str">
        <f>IFERROR(G1688*E1684,"")</f>
        <v/>
      </c>
    </row>
    <row r="1689" spans="1:11">
      <c r="A1689" s="28"/>
      <c r="B1689" s="29"/>
      <c r="C1689" s="30" t="str">
        <f>IFERROR(_xlfn.XLOOKUP(B1689,Insumo[DESCRIPCION],Insumo[UND],,0),"")</f>
        <v/>
      </c>
      <c r="D1689" s="31"/>
      <c r="E1689" s="32" t="str">
        <f>IFERROR(_xlfn.XLOOKUP($B1689,Insumo[DESCRIPCION],Insumo[VALOR],,0),"")</f>
        <v/>
      </c>
      <c r="F1689" s="33"/>
      <c r="G1689" s="34" t="str">
        <f>IFERROR(IF(F1689&gt;=0,D1689*E1689*(1+F1689/100),ABS(D1689*E1689/F1689)),"")</f>
        <v/>
      </c>
      <c r="H1689" s="43" t="str">
        <f>IFERROR(G1689*E1684,"")</f>
        <v/>
      </c>
    </row>
    <row r="1690" spans="1:11">
      <c r="A1690" s="28"/>
      <c r="B1690" s="29"/>
      <c r="C1690" s="30" t="str">
        <f>IFERROR(_xlfn.XLOOKUP(B1690,Insumo[DESCRIPCION],Insumo[UND],,0),"")</f>
        <v/>
      </c>
      <c r="D1690" s="31"/>
      <c r="E1690" s="32" t="str">
        <f>IFERROR(_xlfn.XLOOKUP($B1690,Insumo[DESCRIPCION],Insumo[VALOR],,0),"")</f>
        <v/>
      </c>
      <c r="F1690" s="33"/>
      <c r="G1690" s="34" t="str">
        <f>IFERROR(IF(F1690&gt;=0,D1690*E1690*(1+F1690/100),ABS(D1690*E1690/F1690)),"")</f>
        <v/>
      </c>
      <c r="H1690" s="43" t="str">
        <f>IFERROR(G1690*E1684,"")</f>
        <v/>
      </c>
    </row>
    <row r="1691" spans="1:11">
      <c r="A1691" s="28"/>
      <c r="B1691" s="29"/>
      <c r="C1691" s="30" t="str">
        <f>IFERROR(_xlfn.XLOOKUP(B1691,Insumo[DESCRIPCION],Insumo[UND],,0),"")</f>
        <v/>
      </c>
      <c r="D1691" s="31"/>
      <c r="E1691" s="32" t="str">
        <f>IFERROR(_xlfn.XLOOKUP($B1691,Insumo[DESCRIPCION],Insumo[VALOR],,0),"")</f>
        <v/>
      </c>
      <c r="F1691" s="33"/>
      <c r="G1691" s="34" t="str">
        <f>IFERROR(IF(F1691&gt;=0,D1691*E1691*(1+F1691/100),ABS(D1691*E1691/F1691)),"")</f>
        <v/>
      </c>
      <c r="H1691" s="43" t="str">
        <f>IFERROR(G1691*E1684,"")</f>
        <v/>
      </c>
    </row>
    <row r="1692" spans="1:11">
      <c r="A1692" s="21"/>
      <c r="B1692" s="22" t="s">
        <v>3731</v>
      </c>
      <c r="C1692" s="23"/>
      <c r="D1692" s="24"/>
      <c r="E1692" s="25"/>
      <c r="F1692" s="26"/>
      <c r="G1692" s="27">
        <f>SUM(G1693:G1695)</f>
        <v>6287.8150179000013</v>
      </c>
      <c r="H1692" s="27">
        <f>IFERROR(G1692*E1684,"")</f>
        <v>0</v>
      </c>
    </row>
    <row r="1693" spans="1:11">
      <c r="A1693" s="28"/>
      <c r="B1693" s="29" t="s">
        <v>3626</v>
      </c>
      <c r="C1693" s="30" t="str">
        <f>IFERROR(_xlfn.XLOOKUP(B1693,Equipo[DESCRIPCION],Equipo[UND],,0),"")</f>
        <v>%MO</v>
      </c>
      <c r="D1693" s="31">
        <v>0.05</v>
      </c>
      <c r="E1693" s="32">
        <f>IF(C1693="%MO",G1699,IFERROR(_xlfn.XLOOKUP($B1693,Equipo[DESCRIPCION],Equipo[VALOR],,0),""))</f>
        <v>125756.30035800002</v>
      </c>
      <c r="F1693" s="33"/>
      <c r="G1693" s="34">
        <f>IFERROR(IF(F1693&gt;=0,D1693*E1693*(1+F1693/100),ABS(D1693*E1693/F1693)),"")</f>
        <v>6287.8150179000013</v>
      </c>
      <c r="H1693" s="43">
        <f>IFERROR(G1693*E1684,"")</f>
        <v>0</v>
      </c>
    </row>
    <row r="1694" spans="1:11">
      <c r="A1694" s="28"/>
      <c r="B1694" s="29"/>
      <c r="C1694" s="30" t="str">
        <f>IFERROR(_xlfn.XLOOKUP(B1694,Equipo[DESCRIPCION],Equipo[UND],,0),"")</f>
        <v/>
      </c>
      <c r="D1694" s="31"/>
      <c r="E1694" s="32" t="str">
        <f>IF(C1694="%MO",G1699,IFERROR(_xlfn.XLOOKUP($B1694,Equipo[DESCRIPCION],Equipo[VALOR],,0),""))</f>
        <v/>
      </c>
      <c r="F1694" s="33"/>
      <c r="G1694" s="34" t="str">
        <f>IFERROR(IF(F1694&gt;=0,D1694*E1694*(1+F1694/100),ABS(D1694*E1694/F1694)),"")</f>
        <v/>
      </c>
      <c r="H1694" s="43" t="str">
        <f>IFERROR(G1694*E1684,"")</f>
        <v/>
      </c>
    </row>
    <row r="1695" spans="1:11">
      <c r="A1695" s="28"/>
      <c r="B1695" s="29"/>
      <c r="C1695" s="30" t="str">
        <f>IFERROR(_xlfn.XLOOKUP(B1695,Equipo[DESCRIPCION],Equipo[UND],,0),"")</f>
        <v/>
      </c>
      <c r="D1695" s="31"/>
      <c r="E1695" s="32" t="str">
        <f>IF(C1695="%MO",G1699,IFERROR(_xlfn.XLOOKUP($B1695,Equipo[DESCRIPCION],Equipo[VALOR],,0),""))</f>
        <v/>
      </c>
      <c r="F1695" s="33"/>
      <c r="G1695" s="34" t="str">
        <f>IFERROR(IF(F1695&gt;=0,D1695*E1695*(1+F1695/100),ABS(D1695*E1695/F1695)),"")</f>
        <v/>
      </c>
      <c r="H1695" s="43" t="str">
        <f>IFERROR(G1695*E1684,"")</f>
        <v/>
      </c>
    </row>
    <row r="1696" spans="1:11">
      <c r="A1696" s="21"/>
      <c r="B1696" s="22" t="s">
        <v>2533</v>
      </c>
      <c r="C1696" s="23"/>
      <c r="D1696" s="24"/>
      <c r="E1696" s="25"/>
      <c r="F1696" s="26"/>
      <c r="G1696" s="27">
        <f>SUM(G1697:G1698)</f>
        <v>0</v>
      </c>
      <c r="H1696" s="27">
        <f>IFERROR(G1696*E1684,"")</f>
        <v>0</v>
      </c>
    </row>
    <row r="1697" spans="1:11">
      <c r="A1697" s="28"/>
      <c r="B1697" s="29"/>
      <c r="C1697" s="30" t="str">
        <f>IFERROR(_xlfn.XLOOKUP(B1697,Transporte[DESCRIPCION],Transporte[UND],,0),"")</f>
        <v/>
      </c>
      <c r="D1697" s="31"/>
      <c r="E1697" s="32" t="str">
        <f>IFERROR(_xlfn.XLOOKUP($B1697,Transporte[DESCRIPCION],Transporte[VALOR],,0),"")</f>
        <v/>
      </c>
      <c r="F1697" s="33"/>
      <c r="G1697" s="34" t="str">
        <f>IFERROR(IF(F1697&gt;=0,D1697*E1697*(1+F1697/100),ABS(D1697*E1697/F1697)),"")</f>
        <v/>
      </c>
      <c r="H1697" s="43" t="str">
        <f>IFERROR(G1697*E1684,"")</f>
        <v/>
      </c>
    </row>
    <row r="1698" spans="1:11">
      <c r="A1698" s="28"/>
      <c r="B1698" s="29"/>
      <c r="C1698" s="30" t="str">
        <f>IFERROR(_xlfn.XLOOKUP(B1698,Transporte[DESCRIPCION],Transporte[UND],,0),"")</f>
        <v/>
      </c>
      <c r="D1698" s="31"/>
      <c r="E1698" s="32" t="str">
        <f>IFERROR(_xlfn.XLOOKUP($B1698,Transporte[DESCRIPCION],Transporte[VALOR],,0),"")</f>
        <v/>
      </c>
      <c r="F1698" s="33"/>
      <c r="G1698" s="34" t="str">
        <f>IFERROR(IF(F1698&gt;=0,D1698*E1698*(1+F1698/100),ABS(D1698*E1698/F1698)),"")</f>
        <v/>
      </c>
      <c r="H1698" s="43" t="str">
        <f>IFERROR(G1698*E1684,"")</f>
        <v/>
      </c>
    </row>
    <row r="1699" spans="1:11">
      <c r="A1699" s="21"/>
      <c r="B1699" s="22" t="s">
        <v>3732</v>
      </c>
      <c r="C1699" s="23"/>
      <c r="D1699" s="24"/>
      <c r="E1699" s="25"/>
      <c r="F1699" s="26"/>
      <c r="G1699" s="27">
        <f>SUM(G1700:G1702)</f>
        <v>125756.30035800002</v>
      </c>
      <c r="H1699" s="27">
        <f>IFERROR(G1699*E1684,"")</f>
        <v>0</v>
      </c>
    </row>
    <row r="1700" spans="1:11">
      <c r="A1700" s="28"/>
      <c r="B1700" s="29" t="s">
        <v>3710</v>
      </c>
      <c r="C1700" s="30" t="str">
        <f>IFERROR(_xlfn.XLOOKUP(B1700,MObra[DESCRIPCION],MObra[UN],,0),"")</f>
        <v>día</v>
      </c>
      <c r="D1700" s="31">
        <v>1</v>
      </c>
      <c r="E1700" s="32">
        <f>IFERROR(_xlfn.XLOOKUP($B1700,MObra[DESCRIPCION],MObra[VALOR UNIT],,0),"")</f>
        <v>314390.75089500006</v>
      </c>
      <c r="F1700" s="33">
        <v>-2.5</v>
      </c>
      <c r="G1700" s="34">
        <f>IFERROR(IF(F1700&gt;=0,D1700*E1700*(1+F1700/100),ABS(D1700*E1700/F1700)),"")</f>
        <v>125756.30035800002</v>
      </c>
      <c r="H1700" s="43">
        <f>IFERROR(G1700*E1684,"")</f>
        <v>0</v>
      </c>
    </row>
    <row r="1701" spans="1:11">
      <c r="A1701" s="28"/>
      <c r="B1701" s="29"/>
      <c r="C1701" s="30" t="str">
        <f>IFERROR(_xlfn.XLOOKUP(B1701,MObra[DESCRIPCION],MObra[UN],,0),"")</f>
        <v/>
      </c>
      <c r="D1701" s="31"/>
      <c r="E1701" s="32" t="str">
        <f>IFERROR(_xlfn.XLOOKUP($B1701,MObra[DESCRIPCION],MObra[VALOR UNIT],,0),"")</f>
        <v/>
      </c>
      <c r="F1701" s="33"/>
      <c r="G1701" s="34" t="str">
        <f>IFERROR(IF(F1701&gt;=0,D1701*E1701*(1+F1701/100),ABS(D1701*E1701/F1701)),"")</f>
        <v/>
      </c>
      <c r="H1701" s="43" t="str">
        <f>IFERROR(G1701*E1684,"")</f>
        <v/>
      </c>
    </row>
    <row r="1702" spans="1:11" ht="13.15" thickBot="1">
      <c r="A1702" s="35"/>
      <c r="B1702" s="36"/>
      <c r="C1702" s="37" t="str">
        <f>IFERROR(_xlfn.XLOOKUP(B1702,MObra[DESCRIPCION],MObra[UN],,0),"")</f>
        <v/>
      </c>
      <c r="D1702" s="38"/>
      <c r="E1702" s="39" t="str">
        <f>IFERROR(_xlfn.XLOOKUP($B1702,MObra[DESCRIPCION],MObra[VALOR UNIT],,0),"")</f>
        <v/>
      </c>
      <c r="F1702" s="40"/>
      <c r="G1702" s="41" t="str">
        <f>IFERROR(IF(F1702&gt;=0,D1702*E1702*(1+F1702/100),ABS(D1702*E1702/F1702)),"")</f>
        <v/>
      </c>
      <c r="H1702" s="42" t="str">
        <f>IFERROR(G1702*E1684,"")</f>
        <v/>
      </c>
    </row>
    <row r="1703" spans="1:11" ht="13.5" thickTop="1" thickBot="1"/>
    <row r="1704" spans="1:11" ht="13.5" thickTop="1" thickBot="1">
      <c r="A1704" s="6" t="s">
        <v>2210</v>
      </c>
      <c r="B1704" s="7" t="str">
        <f>VLOOKUP($A1704,Presupuesto!$A:$D,2,FALSE())</f>
        <v>Canaleta Parshall en fibra de vidrio w=2" (10 lts/seg)</v>
      </c>
      <c r="C1704" s="8" t="str">
        <f>VLOOKUP($A1704,Presupuesto!$A:$D,3,FALSE())</f>
        <v>Un</v>
      </c>
      <c r="D1704" s="9"/>
      <c r="E1704" s="10">
        <f>VLOOKUP($A1704,Presupuesto!$A:$D,4,FALSE())</f>
        <v>0</v>
      </c>
      <c r="F1704" s="11" t="s">
        <v>2589</v>
      </c>
      <c r="G1704" s="12">
        <f>SUM(G1706:G1722)/2</f>
        <v>3189565.3653759006</v>
      </c>
      <c r="H1704" s="13">
        <f>ROUND(SUM(H1706:H1722),0)/2</f>
        <v>0</v>
      </c>
      <c r="I1704" s="10">
        <f>VLOOKUP(A1704,Presupuesto!$A:$F,6,0)</f>
        <v>0</v>
      </c>
      <c r="J1704" s="10">
        <f>+H1704-I1704</f>
        <v>0</v>
      </c>
      <c r="K1704" s="46">
        <f>+H1704-G1704*E1704</f>
        <v>0</v>
      </c>
    </row>
    <row r="1705" spans="1:11" ht="13.15" thickTop="1">
      <c r="A1705" s="14"/>
      <c r="B1705" s="15" t="s">
        <v>2586</v>
      </c>
      <c r="C1705" s="15" t="s">
        <v>5</v>
      </c>
      <c r="D1705" s="16" t="s">
        <v>6</v>
      </c>
      <c r="E1705" s="17" t="s">
        <v>7</v>
      </c>
      <c r="F1705" s="18" t="s">
        <v>3728</v>
      </c>
      <c r="G1705" s="19" t="s">
        <v>3729</v>
      </c>
      <c r="H1705" s="20" t="s">
        <v>3797</v>
      </c>
    </row>
    <row r="1706" spans="1:11">
      <c r="A1706" s="21"/>
      <c r="B1706" s="22" t="s">
        <v>3730</v>
      </c>
      <c r="C1706" s="23"/>
      <c r="D1706" s="24"/>
      <c r="E1706" s="25"/>
      <c r="F1706" s="26"/>
      <c r="G1706" s="27">
        <f>SUM(G1707:G1711)</f>
        <v>3057521.25</v>
      </c>
      <c r="H1706" s="27">
        <f>IFERROR(G1706*E1704,"")</f>
        <v>0</v>
      </c>
    </row>
    <row r="1707" spans="1:11">
      <c r="A1707" s="28"/>
      <c r="B1707" s="29" t="s">
        <v>2819</v>
      </c>
      <c r="C1707" s="30" t="str">
        <f>IFERROR(_xlfn.XLOOKUP(B1707,Insumo[DESCRIPCION],Insumo[UND],,0),"")</f>
        <v>Un</v>
      </c>
      <c r="D1707" s="31">
        <v>1</v>
      </c>
      <c r="E1707" s="32">
        <f>IFERROR(_xlfn.XLOOKUP($B1707,Insumo[DESCRIPCION],Insumo[VALOR],,0),"")</f>
        <v>3057521.25</v>
      </c>
      <c r="F1707" s="33"/>
      <c r="G1707" s="34">
        <f>IFERROR(IF(F1707&gt;=0,D1707*E1707*(1+F1707/100),ABS(D1707*E1707/F1707)),"")</f>
        <v>3057521.25</v>
      </c>
      <c r="H1707" s="43">
        <f>IFERROR(G1707*E1704,"")</f>
        <v>0</v>
      </c>
    </row>
    <row r="1708" spans="1:11">
      <c r="A1708" s="28"/>
      <c r="B1708" s="29"/>
      <c r="C1708" s="30" t="str">
        <f>IFERROR(_xlfn.XLOOKUP(B1708,Insumo[DESCRIPCION],Insumo[UND],,0),"")</f>
        <v/>
      </c>
      <c r="D1708" s="31"/>
      <c r="E1708" s="32" t="str">
        <f>IFERROR(_xlfn.XLOOKUP($B1708,Insumo[DESCRIPCION],Insumo[VALOR],,0),"")</f>
        <v/>
      </c>
      <c r="F1708" s="33"/>
      <c r="G1708" s="34" t="str">
        <f>IFERROR(IF(F1708&gt;=0,D1708*E1708*(1+F1708/100),ABS(D1708*E1708/F1708)),"")</f>
        <v/>
      </c>
      <c r="H1708" s="43" t="str">
        <f>IFERROR(G1708*E1704,"")</f>
        <v/>
      </c>
    </row>
    <row r="1709" spans="1:11">
      <c r="A1709" s="28"/>
      <c r="B1709" s="29"/>
      <c r="C1709" s="30" t="str">
        <f>IFERROR(_xlfn.XLOOKUP(B1709,Insumo[DESCRIPCION],Insumo[UND],,0),"")</f>
        <v/>
      </c>
      <c r="D1709" s="31"/>
      <c r="E1709" s="32" t="str">
        <f>IFERROR(_xlfn.XLOOKUP($B1709,Insumo[DESCRIPCION],Insumo[VALOR],,0),"")</f>
        <v/>
      </c>
      <c r="F1709" s="33"/>
      <c r="G1709" s="34" t="str">
        <f>IFERROR(IF(F1709&gt;=0,D1709*E1709*(1+F1709/100),ABS(D1709*E1709/F1709)),"")</f>
        <v/>
      </c>
      <c r="H1709" s="43" t="str">
        <f>IFERROR(G1709*E1704,"")</f>
        <v/>
      </c>
    </row>
    <row r="1710" spans="1:11">
      <c r="A1710" s="28"/>
      <c r="B1710" s="29"/>
      <c r="C1710" s="30" t="str">
        <f>IFERROR(_xlfn.XLOOKUP(B1710,Insumo[DESCRIPCION],Insumo[UND],,0),"")</f>
        <v/>
      </c>
      <c r="D1710" s="31"/>
      <c r="E1710" s="32" t="str">
        <f>IFERROR(_xlfn.XLOOKUP($B1710,Insumo[DESCRIPCION],Insumo[VALOR],,0),"")</f>
        <v/>
      </c>
      <c r="F1710" s="33"/>
      <c r="G1710" s="34" t="str">
        <f>IFERROR(IF(F1710&gt;=0,D1710*E1710*(1+F1710/100),ABS(D1710*E1710/F1710)),"")</f>
        <v/>
      </c>
      <c r="H1710" s="43" t="str">
        <f>IFERROR(G1710*E1704,"")</f>
        <v/>
      </c>
    </row>
    <row r="1711" spans="1:11">
      <c r="A1711" s="28"/>
      <c r="B1711" s="29"/>
      <c r="C1711" s="30" t="str">
        <f>IFERROR(_xlfn.XLOOKUP(B1711,Insumo[DESCRIPCION],Insumo[UND],,0),"")</f>
        <v/>
      </c>
      <c r="D1711" s="31"/>
      <c r="E1711" s="32" t="str">
        <f>IFERROR(_xlfn.XLOOKUP($B1711,Insumo[DESCRIPCION],Insumo[VALOR],,0),"")</f>
        <v/>
      </c>
      <c r="F1711" s="33"/>
      <c r="G1711" s="34" t="str">
        <f>IFERROR(IF(F1711&gt;=0,D1711*E1711*(1+F1711/100),ABS(D1711*E1711/F1711)),"")</f>
        <v/>
      </c>
      <c r="H1711" s="43" t="str">
        <f>IFERROR(G1711*E1704,"")</f>
        <v/>
      </c>
    </row>
    <row r="1712" spans="1:11">
      <c r="A1712" s="21"/>
      <c r="B1712" s="22" t="s">
        <v>3731</v>
      </c>
      <c r="C1712" s="23"/>
      <c r="D1712" s="24"/>
      <c r="E1712" s="25"/>
      <c r="F1712" s="26"/>
      <c r="G1712" s="27">
        <f>SUM(G1713:G1715)</f>
        <v>6287.8150179000013</v>
      </c>
      <c r="H1712" s="27">
        <f>IFERROR(G1712*E1704,"")</f>
        <v>0</v>
      </c>
    </row>
    <row r="1713" spans="1:11">
      <c r="A1713" s="28"/>
      <c r="B1713" s="29" t="s">
        <v>3626</v>
      </c>
      <c r="C1713" s="30" t="str">
        <f>IFERROR(_xlfn.XLOOKUP(B1713,Equipo[DESCRIPCION],Equipo[UND],,0),"")</f>
        <v>%MO</v>
      </c>
      <c r="D1713" s="31">
        <v>0.05</v>
      </c>
      <c r="E1713" s="32">
        <f>IF(C1713="%MO",G1719,IFERROR(_xlfn.XLOOKUP($B1713,Equipo[DESCRIPCION],Equipo[VALOR],,0),""))</f>
        <v>125756.30035800002</v>
      </c>
      <c r="F1713" s="33"/>
      <c r="G1713" s="34">
        <f>IFERROR(IF(F1713&gt;=0,D1713*E1713*(1+F1713/100),ABS(D1713*E1713/F1713)),"")</f>
        <v>6287.8150179000013</v>
      </c>
      <c r="H1713" s="43">
        <f>IFERROR(G1713*E1704,"")</f>
        <v>0</v>
      </c>
    </row>
    <row r="1714" spans="1:11">
      <c r="A1714" s="28"/>
      <c r="B1714" s="29"/>
      <c r="C1714" s="30" t="str">
        <f>IFERROR(_xlfn.XLOOKUP(B1714,Equipo[DESCRIPCION],Equipo[UND],,0),"")</f>
        <v/>
      </c>
      <c r="D1714" s="31"/>
      <c r="E1714" s="32" t="str">
        <f>IF(C1714="%MO",G1719,IFERROR(_xlfn.XLOOKUP($B1714,Equipo[DESCRIPCION],Equipo[VALOR],,0),""))</f>
        <v/>
      </c>
      <c r="F1714" s="33"/>
      <c r="G1714" s="34" t="str">
        <f>IFERROR(IF(F1714&gt;=0,D1714*E1714*(1+F1714/100),ABS(D1714*E1714/F1714)),"")</f>
        <v/>
      </c>
      <c r="H1714" s="43" t="str">
        <f>IFERROR(G1714*E1704,"")</f>
        <v/>
      </c>
    </row>
    <row r="1715" spans="1:11">
      <c r="A1715" s="28"/>
      <c r="B1715" s="29"/>
      <c r="C1715" s="30" t="str">
        <f>IFERROR(_xlfn.XLOOKUP(B1715,Equipo[DESCRIPCION],Equipo[UND],,0),"")</f>
        <v/>
      </c>
      <c r="D1715" s="31"/>
      <c r="E1715" s="32" t="str">
        <f>IF(C1715="%MO",G1719,IFERROR(_xlfn.XLOOKUP($B1715,Equipo[DESCRIPCION],Equipo[VALOR],,0),""))</f>
        <v/>
      </c>
      <c r="F1715" s="33"/>
      <c r="G1715" s="34" t="str">
        <f>IFERROR(IF(F1715&gt;=0,D1715*E1715*(1+F1715/100),ABS(D1715*E1715/F1715)),"")</f>
        <v/>
      </c>
      <c r="H1715" s="43" t="str">
        <f>IFERROR(G1715*E1704,"")</f>
        <v/>
      </c>
    </row>
    <row r="1716" spans="1:11">
      <c r="A1716" s="21"/>
      <c r="B1716" s="22" t="s">
        <v>2533</v>
      </c>
      <c r="C1716" s="23"/>
      <c r="D1716" s="24"/>
      <c r="E1716" s="25"/>
      <c r="F1716" s="26"/>
      <c r="G1716" s="27">
        <f>SUM(G1717:G1718)</f>
        <v>0</v>
      </c>
      <c r="H1716" s="27">
        <f>IFERROR(G1716*E1704,"")</f>
        <v>0</v>
      </c>
    </row>
    <row r="1717" spans="1:11">
      <c r="A1717" s="28"/>
      <c r="B1717" s="29"/>
      <c r="C1717" s="30" t="str">
        <f>IFERROR(_xlfn.XLOOKUP(B1717,Transporte[DESCRIPCION],Transporte[UND],,0),"")</f>
        <v/>
      </c>
      <c r="D1717" s="31"/>
      <c r="E1717" s="32" t="str">
        <f>IFERROR(_xlfn.XLOOKUP($B1717,Transporte[DESCRIPCION],Transporte[VALOR],,0),"")</f>
        <v/>
      </c>
      <c r="F1717" s="33"/>
      <c r="G1717" s="34" t="str">
        <f>IFERROR(IF(F1717&gt;=0,D1717*E1717*(1+F1717/100),ABS(D1717*E1717/F1717)),"")</f>
        <v/>
      </c>
      <c r="H1717" s="43" t="str">
        <f>IFERROR(G1717*E1704,"")</f>
        <v/>
      </c>
    </row>
    <row r="1718" spans="1:11">
      <c r="A1718" s="28"/>
      <c r="B1718" s="29"/>
      <c r="C1718" s="30" t="str">
        <f>IFERROR(_xlfn.XLOOKUP(B1718,Transporte[DESCRIPCION],Transporte[UND],,0),"")</f>
        <v/>
      </c>
      <c r="D1718" s="31"/>
      <c r="E1718" s="32" t="str">
        <f>IFERROR(_xlfn.XLOOKUP($B1718,Transporte[DESCRIPCION],Transporte[VALOR],,0),"")</f>
        <v/>
      </c>
      <c r="F1718" s="33"/>
      <c r="G1718" s="34" t="str">
        <f>IFERROR(IF(F1718&gt;=0,D1718*E1718*(1+F1718/100),ABS(D1718*E1718/F1718)),"")</f>
        <v/>
      </c>
      <c r="H1718" s="43" t="str">
        <f>IFERROR(G1718*E1704,"")</f>
        <v/>
      </c>
    </row>
    <row r="1719" spans="1:11">
      <c r="A1719" s="21"/>
      <c r="B1719" s="22" t="s">
        <v>3732</v>
      </c>
      <c r="C1719" s="23"/>
      <c r="D1719" s="24"/>
      <c r="E1719" s="25"/>
      <c r="F1719" s="26"/>
      <c r="G1719" s="27">
        <f>SUM(G1720:G1722)</f>
        <v>125756.30035800002</v>
      </c>
      <c r="H1719" s="27">
        <f>IFERROR(G1719*E1704,"")</f>
        <v>0</v>
      </c>
    </row>
    <row r="1720" spans="1:11">
      <c r="A1720" s="28"/>
      <c r="B1720" s="29" t="s">
        <v>3710</v>
      </c>
      <c r="C1720" s="30" t="str">
        <f>IFERROR(_xlfn.XLOOKUP(B1720,MObra[DESCRIPCION],MObra[UN],,0),"")</f>
        <v>día</v>
      </c>
      <c r="D1720" s="31">
        <v>1</v>
      </c>
      <c r="E1720" s="32">
        <f>IFERROR(_xlfn.XLOOKUP($B1720,MObra[DESCRIPCION],MObra[VALOR UNIT],,0),"")</f>
        <v>314390.75089500006</v>
      </c>
      <c r="F1720" s="33">
        <v>-2.5</v>
      </c>
      <c r="G1720" s="34">
        <f>IFERROR(IF(F1720&gt;=0,D1720*E1720*(1+F1720/100),ABS(D1720*E1720/F1720)),"")</f>
        <v>125756.30035800002</v>
      </c>
      <c r="H1720" s="43">
        <f>IFERROR(G1720*E1704,"")</f>
        <v>0</v>
      </c>
    </row>
    <row r="1721" spans="1:11">
      <c r="A1721" s="28"/>
      <c r="B1721" s="29"/>
      <c r="C1721" s="30" t="str">
        <f>IFERROR(_xlfn.XLOOKUP(B1721,MObra[DESCRIPCION],MObra[UN],,0),"")</f>
        <v/>
      </c>
      <c r="D1721" s="31"/>
      <c r="E1721" s="32" t="str">
        <f>IFERROR(_xlfn.XLOOKUP($B1721,MObra[DESCRIPCION],MObra[VALOR UNIT],,0),"")</f>
        <v/>
      </c>
      <c r="F1721" s="33"/>
      <c r="G1721" s="34" t="str">
        <f>IFERROR(IF(F1721&gt;=0,D1721*E1721*(1+F1721/100),ABS(D1721*E1721/F1721)),"")</f>
        <v/>
      </c>
      <c r="H1721" s="43" t="str">
        <f>IFERROR(G1721*E1704,"")</f>
        <v/>
      </c>
    </row>
    <row r="1722" spans="1:11" ht="13.15" thickBot="1">
      <c r="A1722" s="35"/>
      <c r="B1722" s="36"/>
      <c r="C1722" s="37" t="str">
        <f>IFERROR(_xlfn.XLOOKUP(B1722,MObra[DESCRIPCION],MObra[UN],,0),"")</f>
        <v/>
      </c>
      <c r="D1722" s="38"/>
      <c r="E1722" s="39" t="str">
        <f>IFERROR(_xlfn.XLOOKUP($B1722,MObra[DESCRIPCION],MObra[VALOR UNIT],,0),"")</f>
        <v/>
      </c>
      <c r="F1722" s="40"/>
      <c r="G1722" s="41" t="str">
        <f>IFERROR(IF(F1722&gt;=0,D1722*E1722*(1+F1722/100),ABS(D1722*E1722/F1722)),"")</f>
        <v/>
      </c>
      <c r="H1722" s="42" t="str">
        <f>IFERROR(G1722*E1704,"")</f>
        <v/>
      </c>
    </row>
    <row r="1723" spans="1:11" ht="13.5" thickTop="1" thickBot="1"/>
    <row r="1724" spans="1:11" ht="13.5" thickTop="1" thickBot="1">
      <c r="A1724" s="6" t="s">
        <v>2212</v>
      </c>
      <c r="B1724" s="7" t="str">
        <f>VLOOKUP($A1724,Presupuesto!$A:$D,2,FALSE())</f>
        <v>Codo PVC presion 2"</v>
      </c>
      <c r="C1724" s="8" t="str">
        <f>VLOOKUP($A1724,Presupuesto!$A:$D,3,FALSE())</f>
        <v>Un</v>
      </c>
      <c r="D1724" s="9"/>
      <c r="E1724" s="10">
        <f>VLOOKUP($A1724,Presupuesto!$A:$D,4,FALSE())</f>
        <v>0</v>
      </c>
      <c r="F1724" s="11" t="s">
        <v>2589</v>
      </c>
      <c r="G1724" s="12">
        <f>SUM(G1726:G1742)/2</f>
        <v>64591.125384397492</v>
      </c>
      <c r="H1724" s="13">
        <f>ROUND(SUM(H1726:H1742),0)/2</f>
        <v>0</v>
      </c>
      <c r="I1724" s="10">
        <f>VLOOKUP(A1724,Presupuesto!$A:$F,6,0)</f>
        <v>0</v>
      </c>
      <c r="J1724" s="10">
        <f>+H1724-I1724</f>
        <v>0</v>
      </c>
      <c r="K1724" s="46">
        <f>+H1724-G1724*E1724</f>
        <v>0</v>
      </c>
    </row>
    <row r="1725" spans="1:11" ht="13.15" thickTop="1">
      <c r="A1725" s="14"/>
      <c r="B1725" s="15" t="s">
        <v>2586</v>
      </c>
      <c r="C1725" s="15" t="s">
        <v>5</v>
      </c>
      <c r="D1725" s="16" t="s">
        <v>6</v>
      </c>
      <c r="E1725" s="17" t="s">
        <v>7</v>
      </c>
      <c r="F1725" s="18" t="s">
        <v>3728</v>
      </c>
      <c r="G1725" s="19" t="s">
        <v>3729</v>
      </c>
      <c r="H1725" s="20" t="s">
        <v>3797</v>
      </c>
    </row>
    <row r="1726" spans="1:11">
      <c r="A1726" s="21"/>
      <c r="B1726" s="22" t="s">
        <v>3730</v>
      </c>
      <c r="C1726" s="23"/>
      <c r="D1726" s="24"/>
      <c r="E1726" s="25"/>
      <c r="F1726" s="26"/>
      <c r="G1726" s="27">
        <f>SUM(G1727:G1731)</f>
        <v>61290.022499999999</v>
      </c>
      <c r="H1726" s="27">
        <f>IFERROR(G1726*E1724,"")</f>
        <v>0</v>
      </c>
    </row>
    <row r="1727" spans="1:11">
      <c r="A1727" s="28"/>
      <c r="B1727" s="29" t="s">
        <v>2856</v>
      </c>
      <c r="C1727" s="30" t="str">
        <f>IFERROR(_xlfn.XLOOKUP(B1727,Insumo[DESCRIPCION],Insumo[UND],,0),"")</f>
        <v>Un</v>
      </c>
      <c r="D1727" s="31">
        <v>1</v>
      </c>
      <c r="E1727" s="32">
        <f>IFERROR(_xlfn.XLOOKUP($B1727,Insumo[DESCRIPCION],Insumo[VALOR],,0),"")</f>
        <v>60241.65</v>
      </c>
      <c r="F1727" s="33"/>
      <c r="G1727" s="34">
        <f>IFERROR(IF(F1727&gt;=0,D1727*E1727*(1+F1727/100),ABS(D1727*E1727/F1727)),"")</f>
        <v>60241.65</v>
      </c>
      <c r="H1727" s="43">
        <f>IFERROR(G1727*E1724,"")</f>
        <v>0</v>
      </c>
    </row>
    <row r="1728" spans="1:11">
      <c r="A1728" s="28"/>
      <c r="B1728" s="29" t="s">
        <v>3046</v>
      </c>
      <c r="C1728" s="30" t="str">
        <f>IFERROR(_xlfn.XLOOKUP(B1728,Insumo[DESCRIPCION],Insumo[UND],,0),"")</f>
        <v>Un</v>
      </c>
      <c r="D1728" s="31">
        <v>0.01</v>
      </c>
      <c r="E1728" s="32">
        <f>IFERROR(_xlfn.XLOOKUP($B1728,Insumo[DESCRIPCION],Insumo[VALOR],,0),"")</f>
        <v>62413.05</v>
      </c>
      <c r="F1728" s="33"/>
      <c r="G1728" s="34">
        <f>IFERROR(IF(F1728&gt;=0,D1728*E1728*(1+F1728/100),ABS(D1728*E1728/F1728)),"")</f>
        <v>624.1305000000001</v>
      </c>
      <c r="H1728" s="43">
        <f>IFERROR(G1728*E1724,"")</f>
        <v>0</v>
      </c>
    </row>
    <row r="1729" spans="1:11">
      <c r="A1729" s="28"/>
      <c r="B1729" s="29" t="s">
        <v>3329</v>
      </c>
      <c r="C1729" s="30" t="str">
        <f>IFERROR(_xlfn.XLOOKUP(B1729,Insumo[DESCRIPCION],Insumo[UND],,0),"")</f>
        <v>Un</v>
      </c>
      <c r="D1729" s="31">
        <v>0.01</v>
      </c>
      <c r="E1729" s="32">
        <f>IFERROR(_xlfn.XLOOKUP($B1729,Insumo[DESCRIPCION],Insumo[VALOR],,0),"")</f>
        <v>42424.200000000004</v>
      </c>
      <c r="F1729" s="33"/>
      <c r="G1729" s="34">
        <f>IFERROR(IF(F1729&gt;=0,D1729*E1729*(1+F1729/100),ABS(D1729*E1729/F1729)),"")</f>
        <v>424.24200000000008</v>
      </c>
      <c r="H1729" s="43">
        <f>IFERROR(G1729*E1724,"")</f>
        <v>0</v>
      </c>
    </row>
    <row r="1730" spans="1:11">
      <c r="A1730" s="28"/>
      <c r="B1730" s="29"/>
      <c r="C1730" s="30" t="str">
        <f>IFERROR(_xlfn.XLOOKUP(B1730,Insumo[DESCRIPCION],Insumo[UND],,0),"")</f>
        <v/>
      </c>
      <c r="D1730" s="31"/>
      <c r="E1730" s="32" t="str">
        <f>IFERROR(_xlfn.XLOOKUP($B1730,Insumo[DESCRIPCION],Insumo[VALOR],,0),"")</f>
        <v/>
      </c>
      <c r="F1730" s="33"/>
      <c r="G1730" s="34" t="str">
        <f>IFERROR(IF(F1730&gt;=0,D1730*E1730*(1+F1730/100),ABS(D1730*E1730/F1730)),"")</f>
        <v/>
      </c>
      <c r="H1730" s="43" t="str">
        <f>IFERROR(G1730*E1724,"")</f>
        <v/>
      </c>
    </row>
    <row r="1731" spans="1:11">
      <c r="A1731" s="28"/>
      <c r="B1731" s="29"/>
      <c r="C1731" s="30" t="str">
        <f>IFERROR(_xlfn.XLOOKUP(B1731,Insumo[DESCRIPCION],Insumo[UND],,0),"")</f>
        <v/>
      </c>
      <c r="D1731" s="31"/>
      <c r="E1731" s="32" t="str">
        <f>IFERROR(_xlfn.XLOOKUP($B1731,Insumo[DESCRIPCION],Insumo[VALOR],,0),"")</f>
        <v/>
      </c>
      <c r="F1731" s="33"/>
      <c r="G1731" s="34" t="str">
        <f>IFERROR(IF(F1731&gt;=0,D1731*E1731*(1+F1731/100),ABS(D1731*E1731/F1731)),"")</f>
        <v/>
      </c>
      <c r="H1731" s="43" t="str">
        <f>IFERROR(G1731*E1724,"")</f>
        <v/>
      </c>
    </row>
    <row r="1732" spans="1:11">
      <c r="A1732" s="21"/>
      <c r="B1732" s="22" t="s">
        <v>3731</v>
      </c>
      <c r="C1732" s="23"/>
      <c r="D1732" s="24"/>
      <c r="E1732" s="25"/>
      <c r="F1732" s="26"/>
      <c r="G1732" s="27">
        <f>SUM(G1733:G1735)</f>
        <v>157.19537544750006</v>
      </c>
      <c r="H1732" s="27">
        <f>IFERROR(G1732*E1724,"")</f>
        <v>0</v>
      </c>
    </row>
    <row r="1733" spans="1:11">
      <c r="A1733" s="28"/>
      <c r="B1733" s="29" t="s">
        <v>3626</v>
      </c>
      <c r="C1733" s="30" t="str">
        <f>IFERROR(_xlfn.XLOOKUP(B1733,Equipo[DESCRIPCION],Equipo[UND],,0),"")</f>
        <v>%MO</v>
      </c>
      <c r="D1733" s="31">
        <v>0.05</v>
      </c>
      <c r="E1733" s="32">
        <f>IF(C1733="%MO",G1739,IFERROR(_xlfn.XLOOKUP($B1733,Equipo[DESCRIPCION],Equipo[VALOR],,0),""))</f>
        <v>3143.9075089500006</v>
      </c>
      <c r="F1733" s="33"/>
      <c r="G1733" s="34">
        <f>IFERROR(IF(F1733&gt;=0,D1733*E1733*(1+F1733/100),ABS(D1733*E1733/F1733)),"")</f>
        <v>157.19537544750006</v>
      </c>
      <c r="H1733" s="43">
        <f>IFERROR(G1733*E1724,"")</f>
        <v>0</v>
      </c>
    </row>
    <row r="1734" spans="1:11">
      <c r="A1734" s="28"/>
      <c r="B1734" s="29"/>
      <c r="C1734" s="30" t="str">
        <f>IFERROR(_xlfn.XLOOKUP(B1734,Equipo[DESCRIPCION],Equipo[UND],,0),"")</f>
        <v/>
      </c>
      <c r="D1734" s="31"/>
      <c r="E1734" s="32" t="str">
        <f>IF(C1734="%MO",G1739,IFERROR(_xlfn.XLOOKUP($B1734,Equipo[DESCRIPCION],Equipo[VALOR],,0),""))</f>
        <v/>
      </c>
      <c r="F1734" s="33"/>
      <c r="G1734" s="34" t="str">
        <f>IFERROR(IF(F1734&gt;=0,D1734*E1734*(1+F1734/100),ABS(D1734*E1734/F1734)),"")</f>
        <v/>
      </c>
      <c r="H1734" s="43" t="str">
        <f>IFERROR(G1734*E1724,"")</f>
        <v/>
      </c>
    </row>
    <row r="1735" spans="1:11">
      <c r="A1735" s="28"/>
      <c r="B1735" s="29"/>
      <c r="C1735" s="30" t="str">
        <f>IFERROR(_xlfn.XLOOKUP(B1735,Equipo[DESCRIPCION],Equipo[UND],,0),"")</f>
        <v/>
      </c>
      <c r="D1735" s="31"/>
      <c r="E1735" s="32" t="str">
        <f>IF(C1735="%MO",G1739,IFERROR(_xlfn.XLOOKUP($B1735,Equipo[DESCRIPCION],Equipo[VALOR],,0),""))</f>
        <v/>
      </c>
      <c r="F1735" s="33"/>
      <c r="G1735" s="34" t="str">
        <f>IFERROR(IF(F1735&gt;=0,D1735*E1735*(1+F1735/100),ABS(D1735*E1735/F1735)),"")</f>
        <v/>
      </c>
      <c r="H1735" s="43" t="str">
        <f>IFERROR(G1735*E1724,"")</f>
        <v/>
      </c>
    </row>
    <row r="1736" spans="1:11">
      <c r="A1736" s="21"/>
      <c r="B1736" s="22" t="s">
        <v>2533</v>
      </c>
      <c r="C1736" s="23"/>
      <c r="D1736" s="24"/>
      <c r="E1736" s="25"/>
      <c r="F1736" s="26"/>
      <c r="G1736" s="27">
        <f>SUM(G1737:G1738)</f>
        <v>0</v>
      </c>
      <c r="H1736" s="27">
        <f>IFERROR(G1736*E1724,"")</f>
        <v>0</v>
      </c>
    </row>
    <row r="1737" spans="1:11">
      <c r="A1737" s="28"/>
      <c r="B1737" s="29"/>
      <c r="C1737" s="30" t="str">
        <f>IFERROR(_xlfn.XLOOKUP(B1737,Transporte[DESCRIPCION],Transporte[UND],,0),"")</f>
        <v/>
      </c>
      <c r="D1737" s="31"/>
      <c r="E1737" s="32" t="str">
        <f>IFERROR(_xlfn.XLOOKUP($B1737,Transporte[DESCRIPCION],Transporte[VALOR],,0),"")</f>
        <v/>
      </c>
      <c r="F1737" s="33"/>
      <c r="G1737" s="34" t="str">
        <f>IFERROR(IF(F1737&gt;=0,D1737*E1737*(1+F1737/100),ABS(D1737*E1737/F1737)),"")</f>
        <v/>
      </c>
      <c r="H1737" s="43" t="str">
        <f>IFERROR(G1737*E1724,"")</f>
        <v/>
      </c>
    </row>
    <row r="1738" spans="1:11">
      <c r="A1738" s="28"/>
      <c r="B1738" s="29"/>
      <c r="C1738" s="30" t="str">
        <f>IFERROR(_xlfn.XLOOKUP(B1738,Transporte[DESCRIPCION],Transporte[UND],,0),"")</f>
        <v/>
      </c>
      <c r="D1738" s="31"/>
      <c r="E1738" s="32" t="str">
        <f>IFERROR(_xlfn.XLOOKUP($B1738,Transporte[DESCRIPCION],Transporte[VALOR],,0),"")</f>
        <v/>
      </c>
      <c r="F1738" s="33"/>
      <c r="G1738" s="34" t="str">
        <f>IFERROR(IF(F1738&gt;=0,D1738*E1738*(1+F1738/100),ABS(D1738*E1738/F1738)),"")</f>
        <v/>
      </c>
      <c r="H1738" s="43" t="str">
        <f>IFERROR(G1738*E1724,"")</f>
        <v/>
      </c>
    </row>
    <row r="1739" spans="1:11">
      <c r="A1739" s="21"/>
      <c r="B1739" s="22" t="s">
        <v>3732</v>
      </c>
      <c r="C1739" s="23"/>
      <c r="D1739" s="24"/>
      <c r="E1739" s="25"/>
      <c r="F1739" s="26"/>
      <c r="G1739" s="27">
        <f>SUM(G1740:G1742)</f>
        <v>3143.9075089500006</v>
      </c>
      <c r="H1739" s="27">
        <f>IFERROR(G1739*E1724,"")</f>
        <v>0</v>
      </c>
    </row>
    <row r="1740" spans="1:11">
      <c r="A1740" s="28"/>
      <c r="B1740" s="29" t="s">
        <v>3710</v>
      </c>
      <c r="C1740" s="30" t="str">
        <f>IFERROR(_xlfn.XLOOKUP(B1740,MObra[DESCRIPCION],MObra[UN],,0),"")</f>
        <v>día</v>
      </c>
      <c r="D1740" s="31">
        <v>1</v>
      </c>
      <c r="E1740" s="32">
        <f>IFERROR(_xlfn.XLOOKUP($B1740,MObra[DESCRIPCION],MObra[VALOR UNIT],,0),"")</f>
        <v>314390.75089500006</v>
      </c>
      <c r="F1740" s="33">
        <v>-100</v>
      </c>
      <c r="G1740" s="34">
        <f>IFERROR(IF(F1740&gt;=0,D1740*E1740*(1+F1740/100),ABS(D1740*E1740/F1740)),"")</f>
        <v>3143.9075089500006</v>
      </c>
      <c r="H1740" s="43">
        <f>IFERROR(G1740*E1724,"")</f>
        <v>0</v>
      </c>
    </row>
    <row r="1741" spans="1:11">
      <c r="A1741" s="28"/>
      <c r="B1741" s="29"/>
      <c r="C1741" s="30" t="str">
        <f>IFERROR(_xlfn.XLOOKUP(B1741,MObra[DESCRIPCION],MObra[UN],,0),"")</f>
        <v/>
      </c>
      <c r="D1741" s="31"/>
      <c r="E1741" s="32" t="str">
        <f>IFERROR(_xlfn.XLOOKUP($B1741,MObra[DESCRIPCION],MObra[VALOR UNIT],,0),"")</f>
        <v/>
      </c>
      <c r="F1741" s="33"/>
      <c r="G1741" s="34" t="str">
        <f>IFERROR(IF(F1741&gt;=0,D1741*E1741*(1+F1741/100),ABS(D1741*E1741/F1741)),"")</f>
        <v/>
      </c>
      <c r="H1741" s="43" t="str">
        <f>IFERROR(G1741*E1724,"")</f>
        <v/>
      </c>
    </row>
    <row r="1742" spans="1:11" ht="13.15" thickBot="1">
      <c r="A1742" s="35"/>
      <c r="B1742" s="36"/>
      <c r="C1742" s="37" t="str">
        <f>IFERROR(_xlfn.XLOOKUP(B1742,MObra[DESCRIPCION],MObra[UN],,0),"")</f>
        <v/>
      </c>
      <c r="D1742" s="38"/>
      <c r="E1742" s="39" t="str">
        <f>IFERROR(_xlfn.XLOOKUP($B1742,MObra[DESCRIPCION],MObra[VALOR UNIT],,0),"")</f>
        <v/>
      </c>
      <c r="F1742" s="40"/>
      <c r="G1742" s="41" t="str">
        <f>IFERROR(IF(F1742&gt;=0,D1742*E1742*(1+F1742/100),ABS(D1742*E1742/F1742)),"")</f>
        <v/>
      </c>
      <c r="H1742" s="42" t="str">
        <f>IFERROR(G1742*E1724,"")</f>
        <v/>
      </c>
    </row>
    <row r="1743" spans="1:11" ht="13.5" thickTop="1" thickBot="1"/>
    <row r="1744" spans="1:11" ht="13.5" thickTop="1" thickBot="1">
      <c r="A1744" s="6" t="s">
        <v>2214</v>
      </c>
      <c r="B1744" s="7" t="str">
        <f>VLOOKUP($A1744,Presupuesto!$A:$D,2,FALSE())</f>
        <v>Codo PVC presion 3"</v>
      </c>
      <c r="C1744" s="8" t="str">
        <f>VLOOKUP($A1744,Presupuesto!$A:$D,3,FALSE())</f>
        <v>Un</v>
      </c>
      <c r="D1744" s="9"/>
      <c r="E1744" s="10">
        <f>VLOOKUP($A1744,Presupuesto!$A:$D,4,FALSE())</f>
        <v>0</v>
      </c>
      <c r="F1744" s="11" t="s">
        <v>2589</v>
      </c>
      <c r="G1744" s="12">
        <f>SUM(G1746:G1762)/2</f>
        <v>79240.72538439752</v>
      </c>
      <c r="H1744" s="13">
        <f>ROUND(SUM(H1746:H1762),0)/2</f>
        <v>0</v>
      </c>
      <c r="I1744" s="10">
        <f>VLOOKUP(A1744,Presupuesto!$A:$F,6,0)</f>
        <v>0</v>
      </c>
      <c r="J1744" s="10">
        <f>+H1744-I1744</f>
        <v>0</v>
      </c>
      <c r="K1744" s="46">
        <f>+H1744-G1744*E1744</f>
        <v>0</v>
      </c>
    </row>
    <row r="1745" spans="1:8" ht="13.15" thickTop="1">
      <c r="A1745" s="14"/>
      <c r="B1745" s="15" t="s">
        <v>2586</v>
      </c>
      <c r="C1745" s="15" t="s">
        <v>5</v>
      </c>
      <c r="D1745" s="16" t="s">
        <v>6</v>
      </c>
      <c r="E1745" s="17" t="s">
        <v>7</v>
      </c>
      <c r="F1745" s="18" t="s">
        <v>3728</v>
      </c>
      <c r="G1745" s="19" t="s">
        <v>3729</v>
      </c>
      <c r="H1745" s="20" t="s">
        <v>3797</v>
      </c>
    </row>
    <row r="1746" spans="1:8">
      <c r="A1746" s="21"/>
      <c r="B1746" s="22" t="s">
        <v>3730</v>
      </c>
      <c r="C1746" s="23"/>
      <c r="D1746" s="24"/>
      <c r="E1746" s="25"/>
      <c r="F1746" s="26"/>
      <c r="G1746" s="27">
        <f>SUM(G1747:G1751)</f>
        <v>75939.622499999998</v>
      </c>
      <c r="H1746" s="27">
        <f>IFERROR(G1746*E1744,"")</f>
        <v>0</v>
      </c>
    </row>
    <row r="1747" spans="1:8">
      <c r="A1747" s="28"/>
      <c r="B1747" s="29" t="s">
        <v>2857</v>
      </c>
      <c r="C1747" s="30" t="str">
        <f>IFERROR(_xlfn.XLOOKUP(B1747,Insumo[DESCRIPCION],Insumo[UND],,0),"")</f>
        <v>Un</v>
      </c>
      <c r="D1747" s="31">
        <v>1</v>
      </c>
      <c r="E1747" s="32">
        <f>IFERROR(_xlfn.XLOOKUP($B1747,Insumo[DESCRIPCION],Insumo[VALOR],,0),"")</f>
        <v>74891.25</v>
      </c>
      <c r="F1747" s="33"/>
      <c r="G1747" s="34">
        <f>IFERROR(IF(F1747&gt;=0,D1747*E1747*(1+F1747/100),ABS(D1747*E1747/F1747)),"")</f>
        <v>74891.25</v>
      </c>
      <c r="H1747" s="43">
        <f>IFERROR(G1747*E1744,"")</f>
        <v>0</v>
      </c>
    </row>
    <row r="1748" spans="1:8">
      <c r="A1748" s="28"/>
      <c r="B1748" s="29" t="s">
        <v>3046</v>
      </c>
      <c r="C1748" s="30" t="str">
        <f>IFERROR(_xlfn.XLOOKUP(B1748,Insumo[DESCRIPCION],Insumo[UND],,0),"")</f>
        <v>Un</v>
      </c>
      <c r="D1748" s="31">
        <v>0.01</v>
      </c>
      <c r="E1748" s="32">
        <f>IFERROR(_xlfn.XLOOKUP($B1748,Insumo[DESCRIPCION],Insumo[VALOR],,0),"")</f>
        <v>62413.05</v>
      </c>
      <c r="F1748" s="33"/>
      <c r="G1748" s="34">
        <f>IFERROR(IF(F1748&gt;=0,D1748*E1748*(1+F1748/100),ABS(D1748*E1748/F1748)),"")</f>
        <v>624.1305000000001</v>
      </c>
      <c r="H1748" s="43">
        <f>IFERROR(G1748*E1744,"")</f>
        <v>0</v>
      </c>
    </row>
    <row r="1749" spans="1:8">
      <c r="A1749" s="28"/>
      <c r="B1749" s="29" t="s">
        <v>3329</v>
      </c>
      <c r="C1749" s="30" t="str">
        <f>IFERROR(_xlfn.XLOOKUP(B1749,Insumo[DESCRIPCION],Insumo[UND],,0),"")</f>
        <v>Un</v>
      </c>
      <c r="D1749" s="31">
        <v>0.01</v>
      </c>
      <c r="E1749" s="32">
        <f>IFERROR(_xlfn.XLOOKUP($B1749,Insumo[DESCRIPCION],Insumo[VALOR],,0),"")</f>
        <v>42424.200000000004</v>
      </c>
      <c r="F1749" s="33"/>
      <c r="G1749" s="34">
        <f>IFERROR(IF(F1749&gt;=0,D1749*E1749*(1+F1749/100),ABS(D1749*E1749/F1749)),"")</f>
        <v>424.24200000000008</v>
      </c>
      <c r="H1749" s="43">
        <f>IFERROR(G1749*E1744,"")</f>
        <v>0</v>
      </c>
    </row>
    <row r="1750" spans="1:8">
      <c r="A1750" s="28"/>
      <c r="B1750" s="29"/>
      <c r="C1750" s="30" t="str">
        <f>IFERROR(_xlfn.XLOOKUP(B1750,Insumo[DESCRIPCION],Insumo[UND],,0),"")</f>
        <v/>
      </c>
      <c r="D1750" s="31"/>
      <c r="E1750" s="32" t="str">
        <f>IFERROR(_xlfn.XLOOKUP($B1750,Insumo[DESCRIPCION],Insumo[VALOR],,0),"")</f>
        <v/>
      </c>
      <c r="F1750" s="33"/>
      <c r="G1750" s="34" t="str">
        <f>IFERROR(IF(F1750&gt;=0,D1750*E1750*(1+F1750/100),ABS(D1750*E1750/F1750)),"")</f>
        <v/>
      </c>
      <c r="H1750" s="43" t="str">
        <f>IFERROR(G1750*E1744,"")</f>
        <v/>
      </c>
    </row>
    <row r="1751" spans="1:8">
      <c r="A1751" s="28"/>
      <c r="B1751" s="29"/>
      <c r="C1751" s="30" t="str">
        <f>IFERROR(_xlfn.XLOOKUP(B1751,Insumo[DESCRIPCION],Insumo[UND],,0),"")</f>
        <v/>
      </c>
      <c r="D1751" s="31"/>
      <c r="E1751" s="32" t="str">
        <f>IFERROR(_xlfn.XLOOKUP($B1751,Insumo[DESCRIPCION],Insumo[VALOR],,0),"")</f>
        <v/>
      </c>
      <c r="F1751" s="33"/>
      <c r="G1751" s="34" t="str">
        <f>IFERROR(IF(F1751&gt;=0,D1751*E1751*(1+F1751/100),ABS(D1751*E1751/F1751)),"")</f>
        <v/>
      </c>
      <c r="H1751" s="43" t="str">
        <f>IFERROR(G1751*E1744,"")</f>
        <v/>
      </c>
    </row>
    <row r="1752" spans="1:8">
      <c r="A1752" s="21"/>
      <c r="B1752" s="22" t="s">
        <v>3731</v>
      </c>
      <c r="C1752" s="23"/>
      <c r="D1752" s="24"/>
      <c r="E1752" s="25"/>
      <c r="F1752" s="26"/>
      <c r="G1752" s="27">
        <f>SUM(G1753:G1755)</f>
        <v>157.19537544750006</v>
      </c>
      <c r="H1752" s="27">
        <f>IFERROR(G1752*E1744,"")</f>
        <v>0</v>
      </c>
    </row>
    <row r="1753" spans="1:8">
      <c r="A1753" s="28"/>
      <c r="B1753" s="29" t="s">
        <v>3626</v>
      </c>
      <c r="C1753" s="30" t="str">
        <f>IFERROR(_xlfn.XLOOKUP(B1753,Equipo[DESCRIPCION],Equipo[UND],,0),"")</f>
        <v>%MO</v>
      </c>
      <c r="D1753" s="31">
        <v>0.05</v>
      </c>
      <c r="E1753" s="32">
        <f>IF(C1753="%MO",G1759,IFERROR(_xlfn.XLOOKUP($B1753,Equipo[DESCRIPCION],Equipo[VALOR],,0),""))</f>
        <v>3143.9075089500006</v>
      </c>
      <c r="F1753" s="33"/>
      <c r="G1753" s="34">
        <f>IFERROR(IF(F1753&gt;=0,D1753*E1753*(1+F1753/100),ABS(D1753*E1753/F1753)),"")</f>
        <v>157.19537544750006</v>
      </c>
      <c r="H1753" s="43">
        <f>IFERROR(G1753*E1744,"")</f>
        <v>0</v>
      </c>
    </row>
    <row r="1754" spans="1:8">
      <c r="A1754" s="28"/>
      <c r="B1754" s="29"/>
      <c r="C1754" s="30" t="str">
        <f>IFERROR(_xlfn.XLOOKUP(B1754,Equipo[DESCRIPCION],Equipo[UND],,0),"")</f>
        <v/>
      </c>
      <c r="D1754" s="31"/>
      <c r="E1754" s="32" t="str">
        <f>IF(C1754="%MO",G1759,IFERROR(_xlfn.XLOOKUP($B1754,Equipo[DESCRIPCION],Equipo[VALOR],,0),""))</f>
        <v/>
      </c>
      <c r="F1754" s="33"/>
      <c r="G1754" s="34" t="str">
        <f>IFERROR(IF(F1754&gt;=0,D1754*E1754*(1+F1754/100),ABS(D1754*E1754/F1754)),"")</f>
        <v/>
      </c>
      <c r="H1754" s="43" t="str">
        <f>IFERROR(G1754*E1744,"")</f>
        <v/>
      </c>
    </row>
    <row r="1755" spans="1:8">
      <c r="A1755" s="28"/>
      <c r="B1755" s="29"/>
      <c r="C1755" s="30" t="str">
        <f>IFERROR(_xlfn.XLOOKUP(B1755,Equipo[DESCRIPCION],Equipo[UND],,0),"")</f>
        <v/>
      </c>
      <c r="D1755" s="31"/>
      <c r="E1755" s="32" t="str">
        <f>IF(C1755="%MO",G1759,IFERROR(_xlfn.XLOOKUP($B1755,Equipo[DESCRIPCION],Equipo[VALOR],,0),""))</f>
        <v/>
      </c>
      <c r="F1755" s="33"/>
      <c r="G1755" s="34" t="str">
        <f>IFERROR(IF(F1755&gt;=0,D1755*E1755*(1+F1755/100),ABS(D1755*E1755/F1755)),"")</f>
        <v/>
      </c>
      <c r="H1755" s="43" t="str">
        <f>IFERROR(G1755*E1744,"")</f>
        <v/>
      </c>
    </row>
    <row r="1756" spans="1:8">
      <c r="A1756" s="21"/>
      <c r="B1756" s="22" t="s">
        <v>2533</v>
      </c>
      <c r="C1756" s="23"/>
      <c r="D1756" s="24"/>
      <c r="E1756" s="25"/>
      <c r="F1756" s="26"/>
      <c r="G1756" s="27">
        <f>SUM(G1757:G1758)</f>
        <v>0</v>
      </c>
      <c r="H1756" s="27">
        <f>IFERROR(G1756*E1744,"")</f>
        <v>0</v>
      </c>
    </row>
    <row r="1757" spans="1:8">
      <c r="A1757" s="28"/>
      <c r="B1757" s="29"/>
      <c r="C1757" s="30" t="str">
        <f>IFERROR(_xlfn.XLOOKUP(B1757,Transporte[DESCRIPCION],Transporte[UND],,0),"")</f>
        <v/>
      </c>
      <c r="D1757" s="31"/>
      <c r="E1757" s="32" t="str">
        <f>IFERROR(_xlfn.XLOOKUP($B1757,Transporte[DESCRIPCION],Transporte[VALOR],,0),"")</f>
        <v/>
      </c>
      <c r="F1757" s="33"/>
      <c r="G1757" s="34" t="str">
        <f>IFERROR(IF(F1757&gt;=0,D1757*E1757*(1+F1757/100),ABS(D1757*E1757/F1757)),"")</f>
        <v/>
      </c>
      <c r="H1757" s="43" t="str">
        <f>IFERROR(G1757*E1744,"")</f>
        <v/>
      </c>
    </row>
    <row r="1758" spans="1:8">
      <c r="A1758" s="28"/>
      <c r="B1758" s="29"/>
      <c r="C1758" s="30" t="str">
        <f>IFERROR(_xlfn.XLOOKUP(B1758,Transporte[DESCRIPCION],Transporte[UND],,0),"")</f>
        <v/>
      </c>
      <c r="D1758" s="31"/>
      <c r="E1758" s="32" t="str">
        <f>IFERROR(_xlfn.XLOOKUP($B1758,Transporte[DESCRIPCION],Transporte[VALOR],,0),"")</f>
        <v/>
      </c>
      <c r="F1758" s="33"/>
      <c r="G1758" s="34" t="str">
        <f>IFERROR(IF(F1758&gt;=0,D1758*E1758*(1+F1758/100),ABS(D1758*E1758/F1758)),"")</f>
        <v/>
      </c>
      <c r="H1758" s="43" t="str">
        <f>IFERROR(G1758*E1744,"")</f>
        <v/>
      </c>
    </row>
    <row r="1759" spans="1:8">
      <c r="A1759" s="21"/>
      <c r="B1759" s="22" t="s">
        <v>3732</v>
      </c>
      <c r="C1759" s="23"/>
      <c r="D1759" s="24"/>
      <c r="E1759" s="25"/>
      <c r="F1759" s="26"/>
      <c r="G1759" s="27">
        <f>SUM(G1760:G1762)</f>
        <v>3143.9075089500006</v>
      </c>
      <c r="H1759" s="27">
        <f>IFERROR(G1759*E1744,"")</f>
        <v>0</v>
      </c>
    </row>
    <row r="1760" spans="1:8">
      <c r="A1760" s="28"/>
      <c r="B1760" s="29" t="s">
        <v>3710</v>
      </c>
      <c r="C1760" s="30" t="str">
        <f>IFERROR(_xlfn.XLOOKUP(B1760,MObra[DESCRIPCION],MObra[UN],,0),"")</f>
        <v>día</v>
      </c>
      <c r="D1760" s="31">
        <v>1</v>
      </c>
      <c r="E1760" s="32">
        <f>IFERROR(_xlfn.XLOOKUP($B1760,MObra[DESCRIPCION],MObra[VALOR UNIT],,0),"")</f>
        <v>314390.75089500006</v>
      </c>
      <c r="F1760" s="33">
        <v>-100</v>
      </c>
      <c r="G1760" s="34">
        <f>IFERROR(IF(F1760&gt;=0,D1760*E1760*(1+F1760/100),ABS(D1760*E1760/F1760)),"")</f>
        <v>3143.9075089500006</v>
      </c>
      <c r="H1760" s="43">
        <f>IFERROR(G1760*E1744,"")</f>
        <v>0</v>
      </c>
    </row>
    <row r="1761" spans="1:11">
      <c r="A1761" s="28"/>
      <c r="B1761" s="29"/>
      <c r="C1761" s="30" t="str">
        <f>IFERROR(_xlfn.XLOOKUP(B1761,MObra[DESCRIPCION],MObra[UN],,0),"")</f>
        <v/>
      </c>
      <c r="D1761" s="31"/>
      <c r="E1761" s="32" t="str">
        <f>IFERROR(_xlfn.XLOOKUP($B1761,MObra[DESCRIPCION],MObra[VALOR UNIT],,0),"")</f>
        <v/>
      </c>
      <c r="F1761" s="33"/>
      <c r="G1761" s="34" t="str">
        <f>IFERROR(IF(F1761&gt;=0,D1761*E1761*(1+F1761/100),ABS(D1761*E1761/F1761)),"")</f>
        <v/>
      </c>
      <c r="H1761" s="43" t="str">
        <f>IFERROR(G1761*E1744,"")</f>
        <v/>
      </c>
    </row>
    <row r="1762" spans="1:11" ht="13.15" thickBot="1">
      <c r="A1762" s="35"/>
      <c r="B1762" s="36"/>
      <c r="C1762" s="37" t="str">
        <f>IFERROR(_xlfn.XLOOKUP(B1762,MObra[DESCRIPCION],MObra[UN],,0),"")</f>
        <v/>
      </c>
      <c r="D1762" s="38"/>
      <c r="E1762" s="39" t="str">
        <f>IFERROR(_xlfn.XLOOKUP($B1762,MObra[DESCRIPCION],MObra[VALOR UNIT],,0),"")</f>
        <v/>
      </c>
      <c r="F1762" s="40"/>
      <c r="G1762" s="41" t="str">
        <f>IFERROR(IF(F1762&gt;=0,D1762*E1762*(1+F1762/100),ABS(D1762*E1762/F1762)),"")</f>
        <v/>
      </c>
      <c r="H1762" s="42" t="str">
        <f>IFERROR(G1762*E1744,"")</f>
        <v/>
      </c>
    </row>
    <row r="1763" spans="1:11" ht="13.5" thickTop="1" thickBot="1"/>
    <row r="1764" spans="1:11" ht="13.5" thickTop="1" thickBot="1">
      <c r="A1764" s="6" t="s">
        <v>2216</v>
      </c>
      <c r="B1764" s="7" t="str">
        <f>VLOOKUP($A1764,Presupuesto!$A:$D,2,FALSE())</f>
        <v>Codo PVC presion 4"</v>
      </c>
      <c r="C1764" s="8" t="str">
        <f>VLOOKUP($A1764,Presupuesto!$A:$D,3,FALSE())</f>
        <v>Un</v>
      </c>
      <c r="D1764" s="9"/>
      <c r="E1764" s="10">
        <f>VLOOKUP($A1764,Presupuesto!$A:$D,4,FALSE())</f>
        <v>0</v>
      </c>
      <c r="F1764" s="11" t="s">
        <v>2589</v>
      </c>
      <c r="G1764" s="12">
        <f>SUM(G1766:G1782)/2</f>
        <v>166002.56459377502</v>
      </c>
      <c r="H1764" s="13">
        <f>ROUND(SUM(H1766:H1782),0)/2</f>
        <v>0</v>
      </c>
      <c r="I1764" s="10">
        <f>VLOOKUP(A1764,Presupuesto!$A:$F,6,0)</f>
        <v>0</v>
      </c>
      <c r="J1764" s="10">
        <f>+H1764-I1764</f>
        <v>0</v>
      </c>
      <c r="K1764" s="46">
        <f>+H1764-G1764*E1764</f>
        <v>0</v>
      </c>
    </row>
    <row r="1765" spans="1:11" ht="13.15" thickTop="1">
      <c r="A1765" s="14"/>
      <c r="B1765" s="15" t="s">
        <v>2586</v>
      </c>
      <c r="C1765" s="15" t="s">
        <v>5</v>
      </c>
      <c r="D1765" s="16" t="s">
        <v>6</v>
      </c>
      <c r="E1765" s="17" t="s">
        <v>7</v>
      </c>
      <c r="F1765" s="18" t="s">
        <v>3728</v>
      </c>
      <c r="G1765" s="19" t="s">
        <v>3729</v>
      </c>
      <c r="H1765" s="20" t="s">
        <v>3797</v>
      </c>
    </row>
    <row r="1766" spans="1:11">
      <c r="A1766" s="21"/>
      <c r="B1766" s="22" t="s">
        <v>3730</v>
      </c>
      <c r="C1766" s="23"/>
      <c r="D1766" s="24"/>
      <c r="E1766" s="25"/>
      <c r="F1766" s="26"/>
      <c r="G1766" s="27">
        <f>SUM(G1767:G1771)</f>
        <v>162334.67250000002</v>
      </c>
      <c r="H1766" s="27">
        <f>IFERROR(G1766*E1764,"")</f>
        <v>0</v>
      </c>
    </row>
    <row r="1767" spans="1:11">
      <c r="A1767" s="28"/>
      <c r="B1767" s="29" t="s">
        <v>2858</v>
      </c>
      <c r="C1767" s="30" t="str">
        <f>IFERROR(_xlfn.XLOOKUP(B1767,Insumo[DESCRIPCION],Insumo[UND],,0),"")</f>
        <v>Un</v>
      </c>
      <c r="D1767" s="31">
        <v>1</v>
      </c>
      <c r="E1767" s="32">
        <f>IFERROR(_xlfn.XLOOKUP($B1767,Insumo[DESCRIPCION],Insumo[VALOR],,0),"")</f>
        <v>161286.30000000002</v>
      </c>
      <c r="F1767" s="33"/>
      <c r="G1767" s="34">
        <f>IFERROR(IF(F1767&gt;=0,D1767*E1767*(1+F1767/100),ABS(D1767*E1767/F1767)),"")</f>
        <v>161286.30000000002</v>
      </c>
      <c r="H1767" s="43">
        <f>IFERROR(G1767*E1764,"")</f>
        <v>0</v>
      </c>
    </row>
    <row r="1768" spans="1:11">
      <c r="A1768" s="28"/>
      <c r="B1768" s="29" t="s">
        <v>3046</v>
      </c>
      <c r="C1768" s="30" t="str">
        <f>IFERROR(_xlfn.XLOOKUP(B1768,Insumo[DESCRIPCION],Insumo[UND],,0),"")</f>
        <v>Un</v>
      </c>
      <c r="D1768" s="31">
        <v>0.01</v>
      </c>
      <c r="E1768" s="32">
        <f>IFERROR(_xlfn.XLOOKUP($B1768,Insumo[DESCRIPCION],Insumo[VALOR],,0),"")</f>
        <v>62413.05</v>
      </c>
      <c r="F1768" s="33"/>
      <c r="G1768" s="34">
        <f>IFERROR(IF(F1768&gt;=0,D1768*E1768*(1+F1768/100),ABS(D1768*E1768/F1768)),"")</f>
        <v>624.1305000000001</v>
      </c>
      <c r="H1768" s="43">
        <f>IFERROR(G1768*E1764,"")</f>
        <v>0</v>
      </c>
    </row>
    <row r="1769" spans="1:11">
      <c r="A1769" s="28"/>
      <c r="B1769" s="29" t="s">
        <v>3329</v>
      </c>
      <c r="C1769" s="30" t="str">
        <f>IFERROR(_xlfn.XLOOKUP(B1769,Insumo[DESCRIPCION],Insumo[UND],,0),"")</f>
        <v>Un</v>
      </c>
      <c r="D1769" s="31">
        <v>0.01</v>
      </c>
      <c r="E1769" s="32">
        <f>IFERROR(_xlfn.XLOOKUP($B1769,Insumo[DESCRIPCION],Insumo[VALOR],,0),"")</f>
        <v>42424.200000000004</v>
      </c>
      <c r="F1769" s="33"/>
      <c r="G1769" s="34">
        <f>IFERROR(IF(F1769&gt;=0,D1769*E1769*(1+F1769/100),ABS(D1769*E1769/F1769)),"")</f>
        <v>424.24200000000008</v>
      </c>
      <c r="H1769" s="43">
        <f>IFERROR(G1769*E1764,"")</f>
        <v>0</v>
      </c>
    </row>
    <row r="1770" spans="1:11">
      <c r="A1770" s="28"/>
      <c r="B1770" s="29"/>
      <c r="C1770" s="30" t="str">
        <f>IFERROR(_xlfn.XLOOKUP(B1770,Insumo[DESCRIPCION],Insumo[UND],,0),"")</f>
        <v/>
      </c>
      <c r="D1770" s="31"/>
      <c r="E1770" s="32" t="str">
        <f>IFERROR(_xlfn.XLOOKUP($B1770,Insumo[DESCRIPCION],Insumo[VALOR],,0),"")</f>
        <v/>
      </c>
      <c r="F1770" s="33"/>
      <c r="G1770" s="34" t="str">
        <f>IFERROR(IF(F1770&gt;=0,D1770*E1770*(1+F1770/100),ABS(D1770*E1770/F1770)),"")</f>
        <v/>
      </c>
      <c r="H1770" s="43" t="str">
        <f>IFERROR(G1770*E1764,"")</f>
        <v/>
      </c>
    </row>
    <row r="1771" spans="1:11">
      <c r="A1771" s="28"/>
      <c r="B1771" s="29"/>
      <c r="C1771" s="30" t="str">
        <f>IFERROR(_xlfn.XLOOKUP(B1771,Insumo[DESCRIPCION],Insumo[UND],,0),"")</f>
        <v/>
      </c>
      <c r="D1771" s="31"/>
      <c r="E1771" s="32" t="str">
        <f>IFERROR(_xlfn.XLOOKUP($B1771,Insumo[DESCRIPCION],Insumo[VALOR],,0),"")</f>
        <v/>
      </c>
      <c r="F1771" s="33"/>
      <c r="G1771" s="34" t="str">
        <f>IFERROR(IF(F1771&gt;=0,D1771*E1771*(1+F1771/100),ABS(D1771*E1771/F1771)),"")</f>
        <v/>
      </c>
      <c r="H1771" s="43" t="str">
        <f>IFERROR(G1771*E1764,"")</f>
        <v/>
      </c>
    </row>
    <row r="1772" spans="1:11">
      <c r="A1772" s="21"/>
      <c r="B1772" s="22" t="s">
        <v>3731</v>
      </c>
      <c r="C1772" s="23"/>
      <c r="D1772" s="24"/>
      <c r="E1772" s="25"/>
      <c r="F1772" s="26"/>
      <c r="G1772" s="27">
        <f>SUM(G1773:G1775)</f>
        <v>174.66152827500005</v>
      </c>
      <c r="H1772" s="27">
        <f>IFERROR(G1772*E1764,"")</f>
        <v>0</v>
      </c>
    </row>
    <row r="1773" spans="1:11">
      <c r="A1773" s="28"/>
      <c r="B1773" s="29" t="s">
        <v>3626</v>
      </c>
      <c r="C1773" s="30" t="str">
        <f>IFERROR(_xlfn.XLOOKUP(B1773,Equipo[DESCRIPCION],Equipo[UND],,0),"")</f>
        <v>%MO</v>
      </c>
      <c r="D1773" s="31">
        <v>0.05</v>
      </c>
      <c r="E1773" s="32">
        <f>IF(C1773="%MO",G1779,IFERROR(_xlfn.XLOOKUP($B1773,Equipo[DESCRIPCION],Equipo[VALOR],,0),""))</f>
        <v>3493.2305655000009</v>
      </c>
      <c r="F1773" s="33"/>
      <c r="G1773" s="34">
        <f>IFERROR(IF(F1773&gt;=0,D1773*E1773*(1+F1773/100),ABS(D1773*E1773/F1773)),"")</f>
        <v>174.66152827500005</v>
      </c>
      <c r="H1773" s="43">
        <f>IFERROR(G1773*E1764,"")</f>
        <v>0</v>
      </c>
    </row>
    <row r="1774" spans="1:11">
      <c r="A1774" s="28"/>
      <c r="B1774" s="29"/>
      <c r="C1774" s="30" t="str">
        <f>IFERROR(_xlfn.XLOOKUP(B1774,Equipo[DESCRIPCION],Equipo[UND],,0),"")</f>
        <v/>
      </c>
      <c r="D1774" s="31"/>
      <c r="E1774" s="32" t="str">
        <f>IF(C1774="%MO",G1779,IFERROR(_xlfn.XLOOKUP($B1774,Equipo[DESCRIPCION],Equipo[VALOR],,0),""))</f>
        <v/>
      </c>
      <c r="F1774" s="33"/>
      <c r="G1774" s="34" t="str">
        <f>IFERROR(IF(F1774&gt;=0,D1774*E1774*(1+F1774/100),ABS(D1774*E1774/F1774)),"")</f>
        <v/>
      </c>
      <c r="H1774" s="43" t="str">
        <f>IFERROR(G1774*E1764,"")</f>
        <v/>
      </c>
    </row>
    <row r="1775" spans="1:11">
      <c r="A1775" s="28"/>
      <c r="B1775" s="29"/>
      <c r="C1775" s="30" t="str">
        <f>IFERROR(_xlfn.XLOOKUP(B1775,Equipo[DESCRIPCION],Equipo[UND],,0),"")</f>
        <v/>
      </c>
      <c r="D1775" s="31"/>
      <c r="E1775" s="32" t="str">
        <f>IF(C1775="%MO",G1779,IFERROR(_xlfn.XLOOKUP($B1775,Equipo[DESCRIPCION],Equipo[VALOR],,0),""))</f>
        <v/>
      </c>
      <c r="F1775" s="33"/>
      <c r="G1775" s="34" t="str">
        <f>IFERROR(IF(F1775&gt;=0,D1775*E1775*(1+F1775/100),ABS(D1775*E1775/F1775)),"")</f>
        <v/>
      </c>
      <c r="H1775" s="43" t="str">
        <f>IFERROR(G1775*E1764,"")</f>
        <v/>
      </c>
    </row>
    <row r="1776" spans="1:11">
      <c r="A1776" s="21"/>
      <c r="B1776" s="22" t="s">
        <v>2533</v>
      </c>
      <c r="C1776" s="23"/>
      <c r="D1776" s="24"/>
      <c r="E1776" s="25"/>
      <c r="F1776" s="26"/>
      <c r="G1776" s="27">
        <f>SUM(G1777:G1778)</f>
        <v>0</v>
      </c>
      <c r="H1776" s="27">
        <f>IFERROR(G1776*E1764,"")</f>
        <v>0</v>
      </c>
    </row>
    <row r="1777" spans="1:11">
      <c r="A1777" s="28"/>
      <c r="B1777" s="29"/>
      <c r="C1777" s="30" t="str">
        <f>IFERROR(_xlfn.XLOOKUP(B1777,Transporte[DESCRIPCION],Transporte[UND],,0),"")</f>
        <v/>
      </c>
      <c r="D1777" s="31"/>
      <c r="E1777" s="32" t="str">
        <f>IFERROR(_xlfn.XLOOKUP($B1777,Transporte[DESCRIPCION],Transporte[VALOR],,0),"")</f>
        <v/>
      </c>
      <c r="F1777" s="33"/>
      <c r="G1777" s="34" t="str">
        <f>IFERROR(IF(F1777&gt;=0,D1777*E1777*(1+F1777/100),ABS(D1777*E1777/F1777)),"")</f>
        <v/>
      </c>
      <c r="H1777" s="43" t="str">
        <f>IFERROR(G1777*E1764,"")</f>
        <v/>
      </c>
    </row>
    <row r="1778" spans="1:11">
      <c r="A1778" s="28"/>
      <c r="B1778" s="29"/>
      <c r="C1778" s="30" t="str">
        <f>IFERROR(_xlfn.XLOOKUP(B1778,Transporte[DESCRIPCION],Transporte[UND],,0),"")</f>
        <v/>
      </c>
      <c r="D1778" s="31"/>
      <c r="E1778" s="32" t="str">
        <f>IFERROR(_xlfn.XLOOKUP($B1778,Transporte[DESCRIPCION],Transporte[VALOR],,0),"")</f>
        <v/>
      </c>
      <c r="F1778" s="33"/>
      <c r="G1778" s="34" t="str">
        <f>IFERROR(IF(F1778&gt;=0,D1778*E1778*(1+F1778/100),ABS(D1778*E1778/F1778)),"")</f>
        <v/>
      </c>
      <c r="H1778" s="43" t="str">
        <f>IFERROR(G1778*E1764,"")</f>
        <v/>
      </c>
    </row>
    <row r="1779" spans="1:11">
      <c r="A1779" s="21"/>
      <c r="B1779" s="22" t="s">
        <v>3732</v>
      </c>
      <c r="C1779" s="23"/>
      <c r="D1779" s="24"/>
      <c r="E1779" s="25"/>
      <c r="F1779" s="26"/>
      <c r="G1779" s="27">
        <f>SUM(G1780:G1782)</f>
        <v>3493.2305655000009</v>
      </c>
      <c r="H1779" s="27">
        <f>IFERROR(G1779*E1764,"")</f>
        <v>0</v>
      </c>
    </row>
    <row r="1780" spans="1:11">
      <c r="A1780" s="28"/>
      <c r="B1780" s="29" t="s">
        <v>3710</v>
      </c>
      <c r="C1780" s="30" t="str">
        <f>IFERROR(_xlfn.XLOOKUP(B1780,MObra[DESCRIPCION],MObra[UN],,0),"")</f>
        <v>día</v>
      </c>
      <c r="D1780" s="31">
        <v>1</v>
      </c>
      <c r="E1780" s="32">
        <f>IFERROR(_xlfn.XLOOKUP($B1780,MObra[DESCRIPCION],MObra[VALOR UNIT],,0),"")</f>
        <v>314390.75089500006</v>
      </c>
      <c r="F1780" s="33">
        <v>-90</v>
      </c>
      <c r="G1780" s="34">
        <f>IFERROR(IF(F1780&gt;=0,D1780*E1780*(1+F1780/100),ABS(D1780*E1780/F1780)),"")</f>
        <v>3493.2305655000009</v>
      </c>
      <c r="H1780" s="43">
        <f>IFERROR(G1780*E1764,"")</f>
        <v>0</v>
      </c>
    </row>
    <row r="1781" spans="1:11">
      <c r="A1781" s="28"/>
      <c r="B1781" s="29"/>
      <c r="C1781" s="30" t="str">
        <f>IFERROR(_xlfn.XLOOKUP(B1781,MObra[DESCRIPCION],MObra[UN],,0),"")</f>
        <v/>
      </c>
      <c r="D1781" s="31"/>
      <c r="E1781" s="32" t="str">
        <f>IFERROR(_xlfn.XLOOKUP($B1781,MObra[DESCRIPCION],MObra[VALOR UNIT],,0),"")</f>
        <v/>
      </c>
      <c r="F1781" s="33"/>
      <c r="G1781" s="34" t="str">
        <f>IFERROR(IF(F1781&gt;=0,D1781*E1781*(1+F1781/100),ABS(D1781*E1781/F1781)),"")</f>
        <v/>
      </c>
      <c r="H1781" s="43" t="str">
        <f>IFERROR(G1781*E1764,"")</f>
        <v/>
      </c>
    </row>
    <row r="1782" spans="1:11" ht="13.15" thickBot="1">
      <c r="A1782" s="35"/>
      <c r="B1782" s="36"/>
      <c r="C1782" s="37" t="str">
        <f>IFERROR(_xlfn.XLOOKUP(B1782,MObra[DESCRIPCION],MObra[UN],,0),"")</f>
        <v/>
      </c>
      <c r="D1782" s="38"/>
      <c r="E1782" s="39" t="str">
        <f>IFERROR(_xlfn.XLOOKUP($B1782,MObra[DESCRIPCION],MObra[VALOR UNIT],,0),"")</f>
        <v/>
      </c>
      <c r="F1782" s="40"/>
      <c r="G1782" s="41" t="str">
        <f>IFERROR(IF(F1782&gt;=0,D1782*E1782*(1+F1782/100),ABS(D1782*E1782/F1782)),"")</f>
        <v/>
      </c>
      <c r="H1782" s="42" t="str">
        <f>IFERROR(G1782*E1764,"")</f>
        <v/>
      </c>
    </row>
    <row r="1783" spans="1:11" ht="13.5" thickTop="1" thickBot="1"/>
    <row r="1784" spans="1:11" ht="13.5" thickTop="1" thickBot="1">
      <c r="A1784" s="6" t="s">
        <v>2218</v>
      </c>
      <c r="B1784" s="7" t="str">
        <f>VLOOKUP($A1784,Presupuesto!$A:$D,2,FALSE())</f>
        <v>Codo PVC presion 6"</v>
      </c>
      <c r="C1784" s="8" t="str">
        <f>VLOOKUP($A1784,Presupuesto!$A:$D,3,FALSE())</f>
        <v>Un</v>
      </c>
      <c r="D1784" s="9"/>
      <c r="E1784" s="10">
        <f>VLOOKUP($A1784,Presupuesto!$A:$D,4,FALSE())</f>
        <v>0</v>
      </c>
      <c r="F1784" s="11" t="s">
        <v>2589</v>
      </c>
      <c r="G1784" s="12">
        <f>SUM(G1786:G1802)/2</f>
        <v>313645.27360549703</v>
      </c>
      <c r="H1784" s="13">
        <f>ROUND(SUM(H1786:H1802),0)/2</f>
        <v>0</v>
      </c>
      <c r="I1784" s="10">
        <f>VLOOKUP(A1784,Presupuesto!$A:$F,6,0)</f>
        <v>0</v>
      </c>
      <c r="J1784" s="10">
        <f>+H1784-I1784</f>
        <v>0</v>
      </c>
      <c r="K1784" s="46">
        <f>+H1784-G1784*E1784</f>
        <v>0</v>
      </c>
    </row>
    <row r="1785" spans="1:11" ht="13.15" thickTop="1">
      <c r="A1785" s="14"/>
      <c r="B1785" s="15" t="s">
        <v>2586</v>
      </c>
      <c r="C1785" s="15" t="s">
        <v>5</v>
      </c>
      <c r="D1785" s="16" t="s">
        <v>6</v>
      </c>
      <c r="E1785" s="17" t="s">
        <v>7</v>
      </c>
      <c r="F1785" s="18" t="s">
        <v>3728</v>
      </c>
      <c r="G1785" s="19" t="s">
        <v>3729</v>
      </c>
      <c r="H1785" s="20" t="s">
        <v>3797</v>
      </c>
    </row>
    <row r="1786" spans="1:11">
      <c r="A1786" s="21"/>
      <c r="B1786" s="22" t="s">
        <v>3730</v>
      </c>
      <c r="C1786" s="23"/>
      <c r="D1786" s="24"/>
      <c r="E1786" s="25"/>
      <c r="F1786" s="26"/>
      <c r="G1786" s="27">
        <f>SUM(G1787:G1791)</f>
        <v>309518.89500000002</v>
      </c>
      <c r="H1786" s="27">
        <f>IFERROR(G1786*E1784,"")</f>
        <v>0</v>
      </c>
    </row>
    <row r="1787" spans="1:11">
      <c r="A1787" s="28"/>
      <c r="B1787" s="29" t="s">
        <v>2859</v>
      </c>
      <c r="C1787" s="30" t="str">
        <f>IFERROR(_xlfn.XLOOKUP(B1787,Insumo[DESCRIPCION],Insumo[UND],,0),"")</f>
        <v>Un</v>
      </c>
      <c r="D1787" s="31">
        <v>1</v>
      </c>
      <c r="E1787" s="32">
        <f>IFERROR(_xlfn.XLOOKUP($B1787,Insumo[DESCRIPCION],Insumo[VALOR],,0),"")</f>
        <v>307422.15000000002</v>
      </c>
      <c r="F1787" s="33"/>
      <c r="G1787" s="34">
        <f>IFERROR(IF(F1787&gt;=0,D1787*E1787*(1+F1787/100),ABS(D1787*E1787/F1787)),"")</f>
        <v>307422.15000000002</v>
      </c>
      <c r="H1787" s="43">
        <f>IFERROR(G1787*E1784,"")</f>
        <v>0</v>
      </c>
    </row>
    <row r="1788" spans="1:11">
      <c r="A1788" s="28"/>
      <c r="B1788" s="29" t="s">
        <v>3046</v>
      </c>
      <c r="C1788" s="30" t="str">
        <f>IFERROR(_xlfn.XLOOKUP(B1788,Insumo[DESCRIPCION],Insumo[UND],,0),"")</f>
        <v>Un</v>
      </c>
      <c r="D1788" s="31">
        <v>0.02</v>
      </c>
      <c r="E1788" s="32">
        <f>IFERROR(_xlfn.XLOOKUP($B1788,Insumo[DESCRIPCION],Insumo[VALOR],,0),"")</f>
        <v>62413.05</v>
      </c>
      <c r="F1788" s="33"/>
      <c r="G1788" s="34">
        <f>IFERROR(IF(F1788&gt;=0,D1788*E1788*(1+F1788/100),ABS(D1788*E1788/F1788)),"")</f>
        <v>1248.2610000000002</v>
      </c>
      <c r="H1788" s="43">
        <f>IFERROR(G1788*E1784,"")</f>
        <v>0</v>
      </c>
    </row>
    <row r="1789" spans="1:11">
      <c r="A1789" s="28"/>
      <c r="B1789" s="29" t="s">
        <v>3329</v>
      </c>
      <c r="C1789" s="30" t="str">
        <f>IFERROR(_xlfn.XLOOKUP(B1789,Insumo[DESCRIPCION],Insumo[UND],,0),"")</f>
        <v>Un</v>
      </c>
      <c r="D1789" s="31">
        <v>0.02</v>
      </c>
      <c r="E1789" s="32">
        <f>IFERROR(_xlfn.XLOOKUP($B1789,Insumo[DESCRIPCION],Insumo[VALOR],,0),"")</f>
        <v>42424.200000000004</v>
      </c>
      <c r="F1789" s="33"/>
      <c r="G1789" s="34">
        <f>IFERROR(IF(F1789&gt;=0,D1789*E1789*(1+F1789/100),ABS(D1789*E1789/F1789)),"")</f>
        <v>848.48400000000015</v>
      </c>
      <c r="H1789" s="43">
        <f>IFERROR(G1789*E1784,"")</f>
        <v>0</v>
      </c>
    </row>
    <row r="1790" spans="1:11">
      <c r="A1790" s="28"/>
      <c r="B1790" s="29"/>
      <c r="C1790" s="30" t="str">
        <f>IFERROR(_xlfn.XLOOKUP(B1790,Insumo[DESCRIPCION],Insumo[UND],,0),"")</f>
        <v/>
      </c>
      <c r="D1790" s="31"/>
      <c r="E1790" s="32" t="str">
        <f>IFERROR(_xlfn.XLOOKUP($B1790,Insumo[DESCRIPCION],Insumo[VALOR],,0),"")</f>
        <v/>
      </c>
      <c r="F1790" s="33"/>
      <c r="G1790" s="34" t="str">
        <f>IFERROR(IF(F1790&gt;=0,D1790*E1790*(1+F1790/100),ABS(D1790*E1790/F1790)),"")</f>
        <v/>
      </c>
      <c r="H1790" s="43" t="str">
        <f>IFERROR(G1790*E1784,"")</f>
        <v/>
      </c>
    </row>
    <row r="1791" spans="1:11">
      <c r="A1791" s="28"/>
      <c r="B1791" s="29"/>
      <c r="C1791" s="30" t="str">
        <f>IFERROR(_xlfn.XLOOKUP(B1791,Insumo[DESCRIPCION],Insumo[UND],,0),"")</f>
        <v/>
      </c>
      <c r="D1791" s="31"/>
      <c r="E1791" s="32" t="str">
        <f>IFERROR(_xlfn.XLOOKUP($B1791,Insumo[DESCRIPCION],Insumo[VALOR],,0),"")</f>
        <v/>
      </c>
      <c r="F1791" s="33"/>
      <c r="G1791" s="34" t="str">
        <f>IFERROR(IF(F1791&gt;=0,D1791*E1791*(1+F1791/100),ABS(D1791*E1791/F1791)),"")</f>
        <v/>
      </c>
      <c r="H1791" s="43" t="str">
        <f>IFERROR(G1791*E1784,"")</f>
        <v/>
      </c>
    </row>
    <row r="1792" spans="1:11">
      <c r="A1792" s="21"/>
      <c r="B1792" s="22" t="s">
        <v>3731</v>
      </c>
      <c r="C1792" s="23"/>
      <c r="D1792" s="24"/>
      <c r="E1792" s="25"/>
      <c r="F1792" s="26"/>
      <c r="G1792" s="27">
        <f>SUM(G1793:G1795)</f>
        <v>196.49421930937504</v>
      </c>
      <c r="H1792" s="27">
        <f>IFERROR(G1792*E1784,"")</f>
        <v>0</v>
      </c>
    </row>
    <row r="1793" spans="1:11">
      <c r="A1793" s="28"/>
      <c r="B1793" s="29" t="s">
        <v>3626</v>
      </c>
      <c r="C1793" s="30" t="str">
        <f>IFERROR(_xlfn.XLOOKUP(B1793,Equipo[DESCRIPCION],Equipo[UND],,0),"")</f>
        <v>%MO</v>
      </c>
      <c r="D1793" s="31">
        <v>0.05</v>
      </c>
      <c r="E1793" s="32">
        <f>IF(C1793="%MO",G1799,IFERROR(_xlfn.XLOOKUP($B1793,Equipo[DESCRIPCION],Equipo[VALOR],,0),""))</f>
        <v>3929.8843861875007</v>
      </c>
      <c r="F1793" s="33"/>
      <c r="G1793" s="34">
        <f>IFERROR(IF(F1793&gt;=0,D1793*E1793*(1+F1793/100),ABS(D1793*E1793/F1793)),"")</f>
        <v>196.49421930937504</v>
      </c>
      <c r="H1793" s="43">
        <f>IFERROR(G1793*E1784,"")</f>
        <v>0</v>
      </c>
    </row>
    <row r="1794" spans="1:11">
      <c r="A1794" s="28"/>
      <c r="B1794" s="29"/>
      <c r="C1794" s="30" t="str">
        <f>IFERROR(_xlfn.XLOOKUP(B1794,Equipo[DESCRIPCION],Equipo[UND],,0),"")</f>
        <v/>
      </c>
      <c r="D1794" s="31"/>
      <c r="E1794" s="32" t="str">
        <f>IF(C1794="%MO",G1799,IFERROR(_xlfn.XLOOKUP($B1794,Equipo[DESCRIPCION],Equipo[VALOR],,0),""))</f>
        <v/>
      </c>
      <c r="F1794" s="33"/>
      <c r="G1794" s="34" t="str">
        <f>IFERROR(IF(F1794&gt;=0,D1794*E1794*(1+F1794/100),ABS(D1794*E1794/F1794)),"")</f>
        <v/>
      </c>
      <c r="H1794" s="43" t="str">
        <f>IFERROR(G1794*E1784,"")</f>
        <v/>
      </c>
    </row>
    <row r="1795" spans="1:11">
      <c r="A1795" s="28"/>
      <c r="B1795" s="29"/>
      <c r="C1795" s="30" t="str">
        <f>IFERROR(_xlfn.XLOOKUP(B1795,Equipo[DESCRIPCION],Equipo[UND],,0),"")</f>
        <v/>
      </c>
      <c r="D1795" s="31"/>
      <c r="E1795" s="32" t="str">
        <f>IF(C1795="%MO",G1799,IFERROR(_xlfn.XLOOKUP($B1795,Equipo[DESCRIPCION],Equipo[VALOR],,0),""))</f>
        <v/>
      </c>
      <c r="F1795" s="33"/>
      <c r="G1795" s="34" t="str">
        <f>IFERROR(IF(F1795&gt;=0,D1795*E1795*(1+F1795/100),ABS(D1795*E1795/F1795)),"")</f>
        <v/>
      </c>
      <c r="H1795" s="43" t="str">
        <f>IFERROR(G1795*E1784,"")</f>
        <v/>
      </c>
    </row>
    <row r="1796" spans="1:11">
      <c r="A1796" s="21"/>
      <c r="B1796" s="22" t="s">
        <v>2533</v>
      </c>
      <c r="C1796" s="23"/>
      <c r="D1796" s="24"/>
      <c r="E1796" s="25"/>
      <c r="F1796" s="26"/>
      <c r="G1796" s="27">
        <f>SUM(G1797:G1798)</f>
        <v>0</v>
      </c>
      <c r="H1796" s="27">
        <f>IFERROR(G1796*E1784,"")</f>
        <v>0</v>
      </c>
    </row>
    <row r="1797" spans="1:11">
      <c r="A1797" s="28"/>
      <c r="B1797" s="29"/>
      <c r="C1797" s="30" t="str">
        <f>IFERROR(_xlfn.XLOOKUP(B1797,Transporte[DESCRIPCION],Transporte[UND],,0),"")</f>
        <v/>
      </c>
      <c r="D1797" s="31"/>
      <c r="E1797" s="32" t="str">
        <f>IFERROR(_xlfn.XLOOKUP($B1797,Transporte[DESCRIPCION],Transporte[VALOR],,0),"")</f>
        <v/>
      </c>
      <c r="F1797" s="33"/>
      <c r="G1797" s="34" t="str">
        <f>IFERROR(IF(F1797&gt;=0,D1797*E1797*(1+F1797/100),ABS(D1797*E1797/F1797)),"")</f>
        <v/>
      </c>
      <c r="H1797" s="43" t="str">
        <f>IFERROR(G1797*E1784,"")</f>
        <v/>
      </c>
    </row>
    <row r="1798" spans="1:11">
      <c r="A1798" s="28"/>
      <c r="B1798" s="29"/>
      <c r="C1798" s="30" t="str">
        <f>IFERROR(_xlfn.XLOOKUP(B1798,Transporte[DESCRIPCION],Transporte[UND],,0),"")</f>
        <v/>
      </c>
      <c r="D1798" s="31"/>
      <c r="E1798" s="32" t="str">
        <f>IFERROR(_xlfn.XLOOKUP($B1798,Transporte[DESCRIPCION],Transporte[VALOR],,0),"")</f>
        <v/>
      </c>
      <c r="F1798" s="33"/>
      <c r="G1798" s="34" t="str">
        <f>IFERROR(IF(F1798&gt;=0,D1798*E1798*(1+F1798/100),ABS(D1798*E1798/F1798)),"")</f>
        <v/>
      </c>
      <c r="H1798" s="43" t="str">
        <f>IFERROR(G1798*E1784,"")</f>
        <v/>
      </c>
    </row>
    <row r="1799" spans="1:11">
      <c r="A1799" s="21"/>
      <c r="B1799" s="22" t="s">
        <v>3732</v>
      </c>
      <c r="C1799" s="23"/>
      <c r="D1799" s="24"/>
      <c r="E1799" s="25"/>
      <c r="F1799" s="26"/>
      <c r="G1799" s="27">
        <f>SUM(G1800:G1802)</f>
        <v>3929.8843861875007</v>
      </c>
      <c r="H1799" s="27">
        <f>IFERROR(G1799*E1784,"")</f>
        <v>0</v>
      </c>
    </row>
    <row r="1800" spans="1:11">
      <c r="A1800" s="28"/>
      <c r="B1800" s="29" t="s">
        <v>3710</v>
      </c>
      <c r="C1800" s="30" t="str">
        <f>IFERROR(_xlfn.XLOOKUP(B1800,MObra[DESCRIPCION],MObra[UN],,0),"")</f>
        <v>día</v>
      </c>
      <c r="D1800" s="31">
        <v>1</v>
      </c>
      <c r="E1800" s="32">
        <f>IFERROR(_xlfn.XLOOKUP($B1800,MObra[DESCRIPCION],MObra[VALOR UNIT],,0),"")</f>
        <v>314390.75089500006</v>
      </c>
      <c r="F1800" s="33">
        <v>-80</v>
      </c>
      <c r="G1800" s="34">
        <f>IFERROR(IF(F1800&gt;=0,D1800*E1800*(1+F1800/100),ABS(D1800*E1800/F1800)),"")</f>
        <v>3929.8843861875007</v>
      </c>
      <c r="H1800" s="43">
        <f>IFERROR(G1800*E1784,"")</f>
        <v>0</v>
      </c>
    </row>
    <row r="1801" spans="1:11">
      <c r="A1801" s="28"/>
      <c r="B1801" s="29"/>
      <c r="C1801" s="30" t="str">
        <f>IFERROR(_xlfn.XLOOKUP(B1801,MObra[DESCRIPCION],MObra[UN],,0),"")</f>
        <v/>
      </c>
      <c r="D1801" s="31"/>
      <c r="E1801" s="32" t="str">
        <f>IFERROR(_xlfn.XLOOKUP($B1801,MObra[DESCRIPCION],MObra[VALOR UNIT],,0),"")</f>
        <v/>
      </c>
      <c r="F1801" s="33"/>
      <c r="G1801" s="34" t="str">
        <f>IFERROR(IF(F1801&gt;=0,D1801*E1801*(1+F1801/100),ABS(D1801*E1801/F1801)),"")</f>
        <v/>
      </c>
      <c r="H1801" s="43" t="str">
        <f>IFERROR(G1801*E1784,"")</f>
        <v/>
      </c>
    </row>
    <row r="1802" spans="1:11" ht="13.15" thickBot="1">
      <c r="A1802" s="35"/>
      <c r="B1802" s="36"/>
      <c r="C1802" s="37" t="str">
        <f>IFERROR(_xlfn.XLOOKUP(B1802,MObra[DESCRIPCION],MObra[UN],,0),"")</f>
        <v/>
      </c>
      <c r="D1802" s="38"/>
      <c r="E1802" s="39" t="str">
        <f>IFERROR(_xlfn.XLOOKUP($B1802,MObra[DESCRIPCION],MObra[VALOR UNIT],,0),"")</f>
        <v/>
      </c>
      <c r="F1802" s="40"/>
      <c r="G1802" s="41" t="str">
        <f>IFERROR(IF(F1802&gt;=0,D1802*E1802*(1+F1802/100),ABS(D1802*E1802/F1802)),"")</f>
        <v/>
      </c>
      <c r="H1802" s="42" t="str">
        <f>IFERROR(G1802*E1784,"")</f>
        <v/>
      </c>
    </row>
    <row r="1803" spans="1:11" ht="13.5" thickTop="1" thickBot="1"/>
    <row r="1804" spans="1:11" ht="13.5" thickTop="1" thickBot="1">
      <c r="A1804" s="6" t="s">
        <v>2220</v>
      </c>
      <c r="B1804" s="7" t="str">
        <f>VLOOKUP($A1804,Presupuesto!$A:$D,2,FALSE())</f>
        <v>Pasamuros 2"</v>
      </c>
      <c r="C1804" s="8" t="str">
        <f>VLOOKUP($A1804,Presupuesto!$A:$D,3,FALSE())</f>
        <v>Un</v>
      </c>
      <c r="D1804" s="9"/>
      <c r="E1804" s="10">
        <f>VLOOKUP($A1804,Presupuesto!$A:$D,4,FALSE())</f>
        <v>0</v>
      </c>
      <c r="F1804" s="11" t="s">
        <v>2589</v>
      </c>
      <c r="G1804" s="12">
        <f>SUM(G1806:G1822)/2</f>
        <v>617528.67544750008</v>
      </c>
      <c r="H1804" s="13">
        <f>ROUND(SUM(H1806:H1822),0)/2</f>
        <v>0</v>
      </c>
      <c r="I1804" s="10">
        <f>VLOOKUP(A1804,Presupuesto!$A:$F,6,0)</f>
        <v>0</v>
      </c>
      <c r="J1804" s="10">
        <f>+H1804-I1804</f>
        <v>0</v>
      </c>
      <c r="K1804" s="46">
        <f>+H1804-G1804*E1804</f>
        <v>0</v>
      </c>
    </row>
    <row r="1805" spans="1:11" ht="13.15" thickTop="1">
      <c r="A1805" s="14"/>
      <c r="B1805" s="15" t="s">
        <v>2586</v>
      </c>
      <c r="C1805" s="15" t="s">
        <v>5</v>
      </c>
      <c r="D1805" s="16" t="s">
        <v>6</v>
      </c>
      <c r="E1805" s="17" t="s">
        <v>7</v>
      </c>
      <c r="F1805" s="18" t="s">
        <v>3728</v>
      </c>
      <c r="G1805" s="19" t="s">
        <v>3729</v>
      </c>
      <c r="H1805" s="20" t="s">
        <v>3797</v>
      </c>
    </row>
    <row r="1806" spans="1:11">
      <c r="A1806" s="21"/>
      <c r="B1806" s="22" t="s">
        <v>3730</v>
      </c>
      <c r="C1806" s="23"/>
      <c r="D1806" s="24"/>
      <c r="E1806" s="25"/>
      <c r="F1806" s="26"/>
      <c r="G1806" s="27">
        <f>SUM(G1807:G1811)</f>
        <v>397818.75</v>
      </c>
      <c r="H1806" s="27">
        <f>IFERROR(G1806*E1804,"")</f>
        <v>0</v>
      </c>
    </row>
    <row r="1807" spans="1:11">
      <c r="A1807" s="28"/>
      <c r="B1807" s="29" t="s">
        <v>3190</v>
      </c>
      <c r="C1807" s="30" t="str">
        <f>IFERROR(_xlfn.XLOOKUP(B1807,Insumo[DESCRIPCION],Insumo[UND],,0),"")</f>
        <v>Un</v>
      </c>
      <c r="D1807" s="31">
        <v>1</v>
      </c>
      <c r="E1807" s="32">
        <f>IFERROR(_xlfn.XLOOKUP($B1807,Insumo[DESCRIPCION],Insumo[VALOR],,0),"")</f>
        <v>397818.75</v>
      </c>
      <c r="F1807" s="33"/>
      <c r="G1807" s="34">
        <f>IFERROR(IF(F1807&gt;=0,D1807*E1807*(1+F1807/100),ABS(D1807*E1807/F1807)),"")</f>
        <v>397818.75</v>
      </c>
      <c r="H1807" s="43">
        <f>IFERROR(G1807*E1804,"")</f>
        <v>0</v>
      </c>
    </row>
    <row r="1808" spans="1:11">
      <c r="A1808" s="28"/>
      <c r="B1808" s="29"/>
      <c r="C1808" s="30" t="str">
        <f>IFERROR(_xlfn.XLOOKUP(B1808,Insumo[DESCRIPCION],Insumo[UND],,0),"")</f>
        <v/>
      </c>
      <c r="D1808" s="31"/>
      <c r="E1808" s="32" t="str">
        <f>IFERROR(_xlfn.XLOOKUP($B1808,Insumo[DESCRIPCION],Insumo[VALOR],,0),"")</f>
        <v/>
      </c>
      <c r="F1808" s="33"/>
      <c r="G1808" s="34" t="str">
        <f>IFERROR(IF(F1808&gt;=0,D1808*E1808*(1+F1808/100),ABS(D1808*E1808/F1808)),"")</f>
        <v/>
      </c>
      <c r="H1808" s="43" t="str">
        <f>IFERROR(G1808*E1804,"")</f>
        <v/>
      </c>
    </row>
    <row r="1809" spans="1:11">
      <c r="A1809" s="28"/>
      <c r="B1809" s="29"/>
      <c r="C1809" s="30" t="str">
        <f>IFERROR(_xlfn.XLOOKUP(B1809,Insumo[DESCRIPCION],Insumo[UND],,0),"")</f>
        <v/>
      </c>
      <c r="D1809" s="31"/>
      <c r="E1809" s="32" t="str">
        <f>IFERROR(_xlfn.XLOOKUP($B1809,Insumo[DESCRIPCION],Insumo[VALOR],,0),"")</f>
        <v/>
      </c>
      <c r="F1809" s="33"/>
      <c r="G1809" s="34" t="str">
        <f>IFERROR(IF(F1809&gt;=0,D1809*E1809*(1+F1809/100),ABS(D1809*E1809/F1809)),"")</f>
        <v/>
      </c>
      <c r="H1809" s="43" t="str">
        <f>IFERROR(G1809*E1804,"")</f>
        <v/>
      </c>
    </row>
    <row r="1810" spans="1:11">
      <c r="A1810" s="28"/>
      <c r="B1810" s="29"/>
      <c r="C1810" s="30" t="str">
        <f>IFERROR(_xlfn.XLOOKUP(B1810,Insumo[DESCRIPCION],Insumo[UND],,0),"")</f>
        <v/>
      </c>
      <c r="D1810" s="31"/>
      <c r="E1810" s="32" t="str">
        <f>IFERROR(_xlfn.XLOOKUP($B1810,Insumo[DESCRIPCION],Insumo[VALOR],,0),"")</f>
        <v/>
      </c>
      <c r="F1810" s="33"/>
      <c r="G1810" s="34" t="str">
        <f>IFERROR(IF(F1810&gt;=0,D1810*E1810*(1+F1810/100),ABS(D1810*E1810/F1810)),"")</f>
        <v/>
      </c>
      <c r="H1810" s="43" t="str">
        <f>IFERROR(G1810*E1804,"")</f>
        <v/>
      </c>
    </row>
    <row r="1811" spans="1:11">
      <c r="A1811" s="28"/>
      <c r="B1811" s="29"/>
      <c r="C1811" s="30" t="str">
        <f>IFERROR(_xlfn.XLOOKUP(B1811,Insumo[DESCRIPCION],Insumo[UND],,0),"")</f>
        <v/>
      </c>
      <c r="D1811" s="31"/>
      <c r="E1811" s="32" t="str">
        <f>IFERROR(_xlfn.XLOOKUP($B1811,Insumo[DESCRIPCION],Insumo[VALOR],,0),"")</f>
        <v/>
      </c>
      <c r="F1811" s="33"/>
      <c r="G1811" s="34" t="str">
        <f>IFERROR(IF(F1811&gt;=0,D1811*E1811*(1+F1811/100),ABS(D1811*E1811/F1811)),"")</f>
        <v/>
      </c>
      <c r="H1811" s="43" t="str">
        <f>IFERROR(G1811*E1804,"")</f>
        <v/>
      </c>
    </row>
    <row r="1812" spans="1:11">
      <c r="A1812" s="21"/>
      <c r="B1812" s="22" t="s">
        <v>3731</v>
      </c>
      <c r="C1812" s="23"/>
      <c r="D1812" s="24"/>
      <c r="E1812" s="25"/>
      <c r="F1812" s="26"/>
      <c r="G1812" s="27">
        <f>SUM(G1813:G1815)</f>
        <v>62514.549999999996</v>
      </c>
      <c r="H1812" s="27">
        <f>IFERROR(G1812*E1804,"")</f>
        <v>0</v>
      </c>
    </row>
    <row r="1813" spans="1:11">
      <c r="A1813" s="28"/>
      <c r="B1813" s="29" t="s">
        <v>3635</v>
      </c>
      <c r="C1813" s="30" t="str">
        <f>IFERROR(_xlfn.XLOOKUP(B1813,Equipo[DESCRIPCION],Equipo[UND],,0),"")</f>
        <v>Día</v>
      </c>
      <c r="D1813" s="31">
        <v>1</v>
      </c>
      <c r="E1813" s="32">
        <f>IF(C1813="%MO",G1819,IFERROR(_xlfn.XLOOKUP($B1813,Equipo[DESCRIPCION],Equipo[VALOR],,0),""))</f>
        <v>187543.65</v>
      </c>
      <c r="F1813" s="33">
        <v>-3</v>
      </c>
      <c r="G1813" s="34">
        <f>IFERROR(IF(F1813&gt;=0,D1813*E1813*(1+F1813/100),ABS(D1813*E1813/F1813)),"")</f>
        <v>62514.549999999996</v>
      </c>
      <c r="H1813" s="43">
        <f>IFERROR(G1813*E1804,"")</f>
        <v>0</v>
      </c>
    </row>
    <row r="1814" spans="1:11">
      <c r="A1814" s="28"/>
      <c r="B1814" s="29"/>
      <c r="C1814" s="30" t="str">
        <f>IFERROR(_xlfn.XLOOKUP(B1814,Equipo[DESCRIPCION],Equipo[UND],,0),"")</f>
        <v/>
      </c>
      <c r="D1814" s="31"/>
      <c r="E1814" s="32" t="str">
        <f>IF(C1814="%MO",G1819,IFERROR(_xlfn.XLOOKUP($B1814,Equipo[DESCRIPCION],Equipo[VALOR],,0),""))</f>
        <v/>
      </c>
      <c r="F1814" s="33"/>
      <c r="G1814" s="34" t="str">
        <f>IFERROR(IF(F1814&gt;=0,D1814*E1814*(1+F1814/100),ABS(D1814*E1814/F1814)),"")</f>
        <v/>
      </c>
      <c r="H1814" s="43" t="str">
        <f>IFERROR(G1814*E1804,"")</f>
        <v/>
      </c>
    </row>
    <row r="1815" spans="1:11">
      <c r="A1815" s="28"/>
      <c r="B1815" s="29"/>
      <c r="C1815" s="30" t="str">
        <f>IFERROR(_xlfn.XLOOKUP(B1815,Equipo[DESCRIPCION],Equipo[UND],,0),"")</f>
        <v/>
      </c>
      <c r="D1815" s="31"/>
      <c r="E1815" s="32" t="str">
        <f>IF(C1815="%MO",G1819,IFERROR(_xlfn.XLOOKUP($B1815,Equipo[DESCRIPCION],Equipo[VALOR],,0),""))</f>
        <v/>
      </c>
      <c r="F1815" s="33"/>
      <c r="G1815" s="34" t="str">
        <f>IFERROR(IF(F1815&gt;=0,D1815*E1815*(1+F1815/100),ABS(D1815*E1815/F1815)),"")</f>
        <v/>
      </c>
      <c r="H1815" s="43" t="str">
        <f>IFERROR(G1815*E1804,"")</f>
        <v/>
      </c>
    </row>
    <row r="1816" spans="1:11">
      <c r="A1816" s="21"/>
      <c r="B1816" s="22" t="s">
        <v>2533</v>
      </c>
      <c r="C1816" s="23"/>
      <c r="D1816" s="24"/>
      <c r="E1816" s="25"/>
      <c r="F1816" s="26"/>
      <c r="G1816" s="27">
        <f>SUM(G1817:G1818)</f>
        <v>0</v>
      </c>
      <c r="H1816" s="27">
        <f>IFERROR(G1816*E1804,"")</f>
        <v>0</v>
      </c>
    </row>
    <row r="1817" spans="1:11">
      <c r="A1817" s="28"/>
      <c r="B1817" s="29"/>
      <c r="C1817" s="30" t="str">
        <f>IFERROR(_xlfn.XLOOKUP(B1817,Transporte[DESCRIPCION],Transporte[UND],,0),"")</f>
        <v/>
      </c>
      <c r="D1817" s="31"/>
      <c r="E1817" s="32" t="str">
        <f>IFERROR(_xlfn.XLOOKUP($B1817,Transporte[DESCRIPCION],Transporte[VALOR],,0),"")</f>
        <v/>
      </c>
      <c r="F1817" s="33"/>
      <c r="G1817" s="34" t="str">
        <f>IFERROR(IF(F1817&gt;=0,D1817*E1817*(1+F1817/100),ABS(D1817*E1817/F1817)),"")</f>
        <v/>
      </c>
      <c r="H1817" s="43" t="str">
        <f>IFERROR(G1817*E1804,"")</f>
        <v/>
      </c>
    </row>
    <row r="1818" spans="1:11">
      <c r="A1818" s="28"/>
      <c r="B1818" s="29"/>
      <c r="C1818" s="30" t="str">
        <f>IFERROR(_xlfn.XLOOKUP(B1818,Transporte[DESCRIPCION],Transporte[UND],,0),"")</f>
        <v/>
      </c>
      <c r="D1818" s="31"/>
      <c r="E1818" s="32" t="str">
        <f>IFERROR(_xlfn.XLOOKUP($B1818,Transporte[DESCRIPCION],Transporte[VALOR],,0),"")</f>
        <v/>
      </c>
      <c r="F1818" s="33"/>
      <c r="G1818" s="34" t="str">
        <f>IFERROR(IF(F1818&gt;=0,D1818*E1818*(1+F1818/100),ABS(D1818*E1818/F1818)),"")</f>
        <v/>
      </c>
      <c r="H1818" s="43" t="str">
        <f>IFERROR(G1818*E1804,"")</f>
        <v/>
      </c>
    </row>
    <row r="1819" spans="1:11">
      <c r="A1819" s="21"/>
      <c r="B1819" s="22" t="s">
        <v>3732</v>
      </c>
      <c r="C1819" s="23"/>
      <c r="D1819" s="24"/>
      <c r="E1819" s="25"/>
      <c r="F1819" s="26"/>
      <c r="G1819" s="27">
        <f>SUM(G1820:G1822)</f>
        <v>157195.37544750003</v>
      </c>
      <c r="H1819" s="27">
        <f>IFERROR(G1819*E1804,"")</f>
        <v>0</v>
      </c>
    </row>
    <row r="1820" spans="1:11">
      <c r="A1820" s="28"/>
      <c r="B1820" s="29" t="s">
        <v>3710</v>
      </c>
      <c r="C1820" s="30" t="str">
        <f>IFERROR(_xlfn.XLOOKUP(B1820,MObra[DESCRIPCION],MObra[UN],,0),"")</f>
        <v>día</v>
      </c>
      <c r="D1820" s="31">
        <v>1</v>
      </c>
      <c r="E1820" s="32">
        <f>IFERROR(_xlfn.XLOOKUP($B1820,MObra[DESCRIPCION],MObra[VALOR UNIT],,0),"")</f>
        <v>314390.75089500006</v>
      </c>
      <c r="F1820" s="33">
        <v>-2</v>
      </c>
      <c r="G1820" s="34">
        <f>IFERROR(IF(F1820&gt;=0,D1820*E1820*(1+F1820/100),ABS(D1820*E1820/F1820)),"")</f>
        <v>157195.37544750003</v>
      </c>
      <c r="H1820" s="43">
        <f>IFERROR(G1820*E1804,"")</f>
        <v>0</v>
      </c>
    </row>
    <row r="1821" spans="1:11">
      <c r="A1821" s="28"/>
      <c r="B1821" s="29"/>
      <c r="C1821" s="30" t="str">
        <f>IFERROR(_xlfn.XLOOKUP(B1821,MObra[DESCRIPCION],MObra[UN],,0),"")</f>
        <v/>
      </c>
      <c r="D1821" s="31"/>
      <c r="E1821" s="32" t="str">
        <f>IFERROR(_xlfn.XLOOKUP($B1821,MObra[DESCRIPCION],MObra[VALOR UNIT],,0),"")</f>
        <v/>
      </c>
      <c r="F1821" s="33"/>
      <c r="G1821" s="34" t="str">
        <f>IFERROR(IF(F1821&gt;=0,D1821*E1821*(1+F1821/100),ABS(D1821*E1821/F1821)),"")</f>
        <v/>
      </c>
      <c r="H1821" s="43" t="str">
        <f>IFERROR(G1821*E1804,"")</f>
        <v/>
      </c>
    </row>
    <row r="1822" spans="1:11" ht="13.15" thickBot="1">
      <c r="A1822" s="35"/>
      <c r="B1822" s="36"/>
      <c r="C1822" s="37" t="str">
        <f>IFERROR(_xlfn.XLOOKUP(B1822,MObra[DESCRIPCION],MObra[UN],,0),"")</f>
        <v/>
      </c>
      <c r="D1822" s="38"/>
      <c r="E1822" s="39" t="str">
        <f>IFERROR(_xlfn.XLOOKUP($B1822,MObra[DESCRIPCION],MObra[VALOR UNIT],,0),"")</f>
        <v/>
      </c>
      <c r="F1822" s="40"/>
      <c r="G1822" s="41" t="str">
        <f>IFERROR(IF(F1822&gt;=0,D1822*E1822*(1+F1822/100),ABS(D1822*E1822/F1822)),"")</f>
        <v/>
      </c>
      <c r="H1822" s="42" t="str">
        <f>IFERROR(G1822*E1804,"")</f>
        <v/>
      </c>
    </row>
    <row r="1823" spans="1:11" ht="13.5" thickTop="1" thickBot="1"/>
    <row r="1824" spans="1:11" ht="13.5" thickTop="1" thickBot="1">
      <c r="A1824" s="6" t="s">
        <v>2222</v>
      </c>
      <c r="B1824" s="7" t="str">
        <f>VLOOKUP($A1824,Presupuesto!$A:$D,2,FALSE())</f>
        <v>Remoción de servicios existentes de acueducto y/o alcantarillado</v>
      </c>
      <c r="C1824" s="8" t="str">
        <f>VLOOKUP($A1824,Presupuesto!$A:$D,3,FALSE())</f>
        <v>Un</v>
      </c>
      <c r="D1824" s="9"/>
      <c r="E1824" s="10">
        <f>VLOOKUP($A1824,Presupuesto!$A:$D,4,FALSE())</f>
        <v>0</v>
      </c>
      <c r="F1824" s="11" t="s">
        <v>2589</v>
      </c>
      <c r="G1824" s="12">
        <f>SUM(G1826:G1842)/2</f>
        <v>69077.613958500006</v>
      </c>
      <c r="H1824" s="13">
        <f>ROUND(SUM(H1826:H1842),0)/2</f>
        <v>0</v>
      </c>
      <c r="I1824" s="10">
        <f>VLOOKUP(A1824,Presupuesto!$A:$F,6,0)</f>
        <v>0</v>
      </c>
      <c r="J1824" s="10">
        <f>+H1824-I1824</f>
        <v>0</v>
      </c>
      <c r="K1824" s="46">
        <f>+H1824-G1824*E1824</f>
        <v>0</v>
      </c>
    </row>
    <row r="1825" spans="1:8" ht="13.15" thickTop="1">
      <c r="A1825" s="14"/>
      <c r="B1825" s="15" t="s">
        <v>2586</v>
      </c>
      <c r="C1825" s="15" t="s">
        <v>5</v>
      </c>
      <c r="D1825" s="16" t="s">
        <v>6</v>
      </c>
      <c r="E1825" s="17" t="s">
        <v>7</v>
      </c>
      <c r="F1825" s="18" t="s">
        <v>3728</v>
      </c>
      <c r="G1825" s="19" t="s">
        <v>3729</v>
      </c>
      <c r="H1825" s="20" t="s">
        <v>3797</v>
      </c>
    </row>
    <row r="1826" spans="1:8">
      <c r="A1826" s="21"/>
      <c r="B1826" s="22" t="s">
        <v>3730</v>
      </c>
      <c r="C1826" s="23"/>
      <c r="D1826" s="24"/>
      <c r="E1826" s="25"/>
      <c r="F1826" s="26"/>
      <c r="G1826" s="27">
        <f>SUM(G1827:G1831)</f>
        <v>0</v>
      </c>
      <c r="H1826" s="27">
        <f>IFERROR(G1826*E1824,"")</f>
        <v>0</v>
      </c>
    </row>
    <row r="1827" spans="1:8">
      <c r="A1827" s="28"/>
      <c r="B1827" s="29"/>
      <c r="C1827" s="30" t="str">
        <f>IFERROR(_xlfn.XLOOKUP(B1827,Insumo[DESCRIPCION],Insumo[UND],,0),"")</f>
        <v/>
      </c>
      <c r="D1827" s="31"/>
      <c r="E1827" s="32" t="str">
        <f>IFERROR(_xlfn.XLOOKUP($B1827,Insumo[DESCRIPCION],Insumo[VALOR],,0),"")</f>
        <v/>
      </c>
      <c r="F1827" s="33"/>
      <c r="G1827" s="34" t="str">
        <f>IFERROR(IF(F1827&gt;=0,D1827*E1827*(1+F1827/100),ABS(D1827*E1827/F1827)),"")</f>
        <v/>
      </c>
      <c r="H1827" s="43" t="str">
        <f>IFERROR(G1827*E1824,"")</f>
        <v/>
      </c>
    </row>
    <row r="1828" spans="1:8">
      <c r="A1828" s="28"/>
      <c r="B1828" s="29"/>
      <c r="C1828" s="30" t="str">
        <f>IFERROR(_xlfn.XLOOKUP(B1828,Insumo[DESCRIPCION],Insumo[UND],,0),"")</f>
        <v/>
      </c>
      <c r="D1828" s="31"/>
      <c r="E1828" s="32" t="str">
        <f>IFERROR(_xlfn.XLOOKUP($B1828,Insumo[DESCRIPCION],Insumo[VALOR],,0),"")</f>
        <v/>
      </c>
      <c r="F1828" s="33"/>
      <c r="G1828" s="34" t="str">
        <f>IFERROR(IF(F1828&gt;=0,D1828*E1828*(1+F1828/100),ABS(D1828*E1828/F1828)),"")</f>
        <v/>
      </c>
      <c r="H1828" s="43" t="str">
        <f>IFERROR(G1828*E1824,"")</f>
        <v/>
      </c>
    </row>
    <row r="1829" spans="1:8">
      <c r="A1829" s="28"/>
      <c r="B1829" s="29"/>
      <c r="C1829" s="30" t="str">
        <f>IFERROR(_xlfn.XLOOKUP(B1829,Insumo[DESCRIPCION],Insumo[UND],,0),"")</f>
        <v/>
      </c>
      <c r="D1829" s="31"/>
      <c r="E1829" s="32" t="str">
        <f>IFERROR(_xlfn.XLOOKUP($B1829,Insumo[DESCRIPCION],Insumo[VALOR],,0),"")</f>
        <v/>
      </c>
      <c r="F1829" s="33"/>
      <c r="G1829" s="34" t="str">
        <f>IFERROR(IF(F1829&gt;=0,D1829*E1829*(1+F1829/100),ABS(D1829*E1829/F1829)),"")</f>
        <v/>
      </c>
      <c r="H1829" s="43" t="str">
        <f>IFERROR(G1829*E1824,"")</f>
        <v/>
      </c>
    </row>
    <row r="1830" spans="1:8">
      <c r="A1830" s="28"/>
      <c r="B1830" s="29"/>
      <c r="C1830" s="30" t="str">
        <f>IFERROR(_xlfn.XLOOKUP(B1830,Insumo[DESCRIPCION],Insumo[UND],,0),"")</f>
        <v/>
      </c>
      <c r="D1830" s="31"/>
      <c r="E1830" s="32" t="str">
        <f>IFERROR(_xlfn.XLOOKUP($B1830,Insumo[DESCRIPCION],Insumo[VALOR],,0),"")</f>
        <v/>
      </c>
      <c r="F1830" s="33"/>
      <c r="G1830" s="34" t="str">
        <f>IFERROR(IF(F1830&gt;=0,D1830*E1830*(1+F1830/100),ABS(D1830*E1830/F1830)),"")</f>
        <v/>
      </c>
      <c r="H1830" s="43" t="str">
        <f>IFERROR(G1830*E1824,"")</f>
        <v/>
      </c>
    </row>
    <row r="1831" spans="1:8">
      <c r="A1831" s="28"/>
      <c r="B1831" s="29"/>
      <c r="C1831" s="30" t="str">
        <f>IFERROR(_xlfn.XLOOKUP(B1831,Insumo[DESCRIPCION],Insumo[UND],,0),"")</f>
        <v/>
      </c>
      <c r="D1831" s="31"/>
      <c r="E1831" s="32" t="str">
        <f>IFERROR(_xlfn.XLOOKUP($B1831,Insumo[DESCRIPCION],Insumo[VALOR],,0),"")</f>
        <v/>
      </c>
      <c r="F1831" s="33"/>
      <c r="G1831" s="34" t="str">
        <f>IFERROR(IF(F1831&gt;=0,D1831*E1831*(1+F1831/100),ABS(D1831*E1831/F1831)),"")</f>
        <v/>
      </c>
      <c r="H1831" s="43" t="str">
        <f>IFERROR(G1831*E1824,"")</f>
        <v/>
      </c>
    </row>
    <row r="1832" spans="1:8">
      <c r="A1832" s="21"/>
      <c r="B1832" s="22" t="s">
        <v>3731</v>
      </c>
      <c r="C1832" s="23"/>
      <c r="D1832" s="24"/>
      <c r="E1832" s="25"/>
      <c r="F1832" s="26"/>
      <c r="G1832" s="27">
        <f>SUM(G1833:G1835)</f>
        <v>45789.410188499998</v>
      </c>
      <c r="H1832" s="27">
        <f>IFERROR(G1832*E1824,"")</f>
        <v>0</v>
      </c>
    </row>
    <row r="1833" spans="1:8">
      <c r="A1833" s="28"/>
      <c r="B1833" s="29" t="s">
        <v>3659</v>
      </c>
      <c r="C1833" s="30" t="str">
        <f>IFERROR(_xlfn.XLOOKUP(B1833,Equipo[DESCRIPCION],Equipo[UND],,0),"")</f>
        <v>Hr</v>
      </c>
      <c r="D1833" s="31">
        <v>1</v>
      </c>
      <c r="E1833" s="32">
        <f>IF(C1833="%MO",G1839,IFERROR(_xlfn.XLOOKUP($B1833,Equipo[DESCRIPCION],Equipo[VALOR],,0),""))</f>
        <v>89250</v>
      </c>
      <c r="F1833" s="33">
        <v>-2</v>
      </c>
      <c r="G1833" s="34">
        <f>IFERROR(IF(F1833&gt;=0,D1833*E1833*(1+F1833/100),ABS(D1833*E1833/F1833)),"")</f>
        <v>44625</v>
      </c>
      <c r="H1833" s="43">
        <f>IFERROR(G1833*E1824,"")</f>
        <v>0</v>
      </c>
    </row>
    <row r="1834" spans="1:8">
      <c r="A1834" s="28"/>
      <c r="B1834" s="29" t="s">
        <v>3626</v>
      </c>
      <c r="C1834" s="30" t="str">
        <f>IFERROR(_xlfn.XLOOKUP(B1834,Equipo[DESCRIPCION],Equipo[UND],,0),"")</f>
        <v>%MO</v>
      </c>
      <c r="D1834" s="31">
        <v>0.05</v>
      </c>
      <c r="E1834" s="32">
        <f>IF(C1834="%MO",G1839,IFERROR(_xlfn.XLOOKUP($B1834,Equipo[DESCRIPCION],Equipo[VALOR],,0),""))</f>
        <v>23288.203770000004</v>
      </c>
      <c r="F1834" s="33"/>
      <c r="G1834" s="34">
        <f>IFERROR(IF(F1834&gt;=0,D1834*E1834*(1+F1834/100),ABS(D1834*E1834/F1834)),"")</f>
        <v>1164.4101885000002</v>
      </c>
      <c r="H1834" s="43">
        <f>IFERROR(G1834*E1824,"")</f>
        <v>0</v>
      </c>
    </row>
    <row r="1835" spans="1:8">
      <c r="A1835" s="28"/>
      <c r="B1835" s="29"/>
      <c r="C1835" s="30" t="str">
        <f>IFERROR(_xlfn.XLOOKUP(B1835,Equipo[DESCRIPCION],Equipo[UND],,0),"")</f>
        <v/>
      </c>
      <c r="D1835" s="31"/>
      <c r="E1835" s="32" t="str">
        <f>IF(C1835="%MO",G1839,IFERROR(_xlfn.XLOOKUP($B1835,Equipo[DESCRIPCION],Equipo[VALOR],,0),""))</f>
        <v/>
      </c>
      <c r="F1835" s="33"/>
      <c r="G1835" s="34" t="str">
        <f>IFERROR(IF(F1835&gt;=0,D1835*E1835*(1+F1835/100),ABS(D1835*E1835/F1835)),"")</f>
        <v/>
      </c>
      <c r="H1835" s="43" t="str">
        <f>IFERROR(G1835*E1824,"")</f>
        <v/>
      </c>
    </row>
    <row r="1836" spans="1:8">
      <c r="A1836" s="21"/>
      <c r="B1836" s="22" t="s">
        <v>2533</v>
      </c>
      <c r="C1836" s="23"/>
      <c r="D1836" s="24"/>
      <c r="E1836" s="25"/>
      <c r="F1836" s="26"/>
      <c r="G1836" s="27">
        <f>SUM(G1837:G1838)</f>
        <v>0</v>
      </c>
      <c r="H1836" s="27">
        <f>IFERROR(G1836*E1824,"")</f>
        <v>0</v>
      </c>
    </row>
    <row r="1837" spans="1:8">
      <c r="A1837" s="28"/>
      <c r="B1837" s="29"/>
      <c r="C1837" s="30" t="str">
        <f>IFERROR(_xlfn.XLOOKUP(B1837,Transporte[DESCRIPCION],Transporte[UND],,0),"")</f>
        <v/>
      </c>
      <c r="D1837" s="31"/>
      <c r="E1837" s="32" t="str">
        <f>IFERROR(_xlfn.XLOOKUP($B1837,Transporte[DESCRIPCION],Transporte[VALOR],,0),"")</f>
        <v/>
      </c>
      <c r="F1837" s="33"/>
      <c r="G1837" s="34" t="str">
        <f>IFERROR(IF(F1837&gt;=0,D1837*E1837*(1+F1837/100),ABS(D1837*E1837/F1837)),"")</f>
        <v/>
      </c>
      <c r="H1837" s="43" t="str">
        <f>IFERROR(G1837*E1824,"")</f>
        <v/>
      </c>
    </row>
    <row r="1838" spans="1:8">
      <c r="A1838" s="28"/>
      <c r="B1838" s="29"/>
      <c r="C1838" s="30" t="str">
        <f>IFERROR(_xlfn.XLOOKUP(B1838,Transporte[DESCRIPCION],Transporte[UND],,0),"")</f>
        <v/>
      </c>
      <c r="D1838" s="31"/>
      <c r="E1838" s="32" t="str">
        <f>IFERROR(_xlfn.XLOOKUP($B1838,Transporte[DESCRIPCION],Transporte[VALOR],,0),"")</f>
        <v/>
      </c>
      <c r="F1838" s="33"/>
      <c r="G1838" s="34" t="str">
        <f>IFERROR(IF(F1838&gt;=0,D1838*E1838*(1+F1838/100),ABS(D1838*E1838/F1838)),"")</f>
        <v/>
      </c>
      <c r="H1838" s="43" t="str">
        <f>IFERROR(G1838*E1824,"")</f>
        <v/>
      </c>
    </row>
    <row r="1839" spans="1:8">
      <c r="A1839" s="21"/>
      <c r="B1839" s="22" t="s">
        <v>3732</v>
      </c>
      <c r="C1839" s="23"/>
      <c r="D1839" s="24"/>
      <c r="E1839" s="25"/>
      <c r="F1839" s="26"/>
      <c r="G1839" s="27">
        <f>SUM(G1840:G1842)</f>
        <v>23288.203770000004</v>
      </c>
      <c r="H1839" s="27">
        <f>IFERROR(G1839*E1824,"")</f>
        <v>0</v>
      </c>
    </row>
    <row r="1840" spans="1:8">
      <c r="A1840" s="28"/>
      <c r="B1840" s="29" t="s">
        <v>3719</v>
      </c>
      <c r="C1840" s="30" t="str">
        <f>IFERROR(_xlfn.XLOOKUP(B1840,MObra[DESCRIPCION],MObra[UN],,0),"")</f>
        <v>día</v>
      </c>
      <c r="D1840" s="31">
        <v>1</v>
      </c>
      <c r="E1840" s="32">
        <f>IFERROR(_xlfn.XLOOKUP($B1840,MObra[DESCRIPCION],MObra[VALOR UNIT],,0),"")</f>
        <v>232882.03770000004</v>
      </c>
      <c r="F1840" s="33">
        <v>-10</v>
      </c>
      <c r="G1840" s="34">
        <f>IFERROR(IF(F1840&gt;=0,D1840*E1840*(1+F1840/100),ABS(D1840*E1840/F1840)),"")</f>
        <v>23288.203770000004</v>
      </c>
      <c r="H1840" s="43">
        <f>IFERROR(G1840*E1824,"")</f>
        <v>0</v>
      </c>
    </row>
    <row r="1841" spans="1:10">
      <c r="A1841" s="28"/>
      <c r="B1841" s="29"/>
      <c r="C1841" s="30" t="str">
        <f>IFERROR(_xlfn.XLOOKUP(B1841,MObra[DESCRIPCION],MObra[UN],,0),"")</f>
        <v/>
      </c>
      <c r="D1841" s="31"/>
      <c r="E1841" s="32" t="str">
        <f>IFERROR(_xlfn.XLOOKUP($B1841,MObra[DESCRIPCION],MObra[VALOR UNIT],,0),"")</f>
        <v/>
      </c>
      <c r="F1841" s="33"/>
      <c r="G1841" s="34" t="str">
        <f>IFERROR(IF(F1841&gt;=0,D1841*E1841*(1+F1841/100),ABS(D1841*E1841/F1841)),"")</f>
        <v/>
      </c>
      <c r="H1841" s="43" t="str">
        <f>IFERROR(G1841*E1824,"")</f>
        <v/>
      </c>
    </row>
    <row r="1842" spans="1:10" ht="13.15" thickBot="1">
      <c r="A1842" s="35"/>
      <c r="B1842" s="36"/>
      <c r="C1842" s="37" t="str">
        <f>IFERROR(_xlfn.XLOOKUP(B1842,MObra[DESCRIPCION],MObra[UN],,0),"")</f>
        <v/>
      </c>
      <c r="D1842" s="38"/>
      <c r="E1842" s="39" t="str">
        <f>IFERROR(_xlfn.XLOOKUP($B1842,MObra[DESCRIPCION],MObra[VALOR UNIT],,0),"")</f>
        <v/>
      </c>
      <c r="F1842" s="40"/>
      <c r="G1842" s="41" t="str">
        <f>IFERROR(IF(F1842&gt;=0,D1842*E1842*(1+F1842/100),ABS(D1842*E1842/F1842)),"")</f>
        <v/>
      </c>
      <c r="H1842" s="42" t="str">
        <f>IFERROR(G1842*E1824,"")</f>
        <v/>
      </c>
    </row>
    <row r="1843" spans="1:10" ht="13.5" thickTop="1" thickBot="1"/>
    <row r="1844" spans="1:10" ht="13.5" thickTop="1" thickBot="1">
      <c r="A1844" s="6" t="s">
        <v>2224</v>
      </c>
      <c r="B1844" s="7" t="str">
        <f>VLOOKUP($A1844,Presupuesto!$A:$D,2,FALSE())</f>
        <v>Tuberia PEAD PN 10 DN 50 mm</v>
      </c>
      <c r="C1844" s="8" t="str">
        <f>VLOOKUP($A1844,Presupuesto!$A:$D,3,FALSE())</f>
        <v>M</v>
      </c>
      <c r="D1844" s="9"/>
      <c r="E1844" s="10">
        <f>VLOOKUP($A1844,Presupuesto!$A:$D,4,FALSE())</f>
        <v>0</v>
      </c>
      <c r="F1844" s="11" t="s">
        <v>2589</v>
      </c>
      <c r="G1844" s="12">
        <f>SUM(G1846:G1862)/2</f>
        <v>22192.513012529998</v>
      </c>
      <c r="H1844" s="13">
        <f>ROUND(SUM(H1846:H1862),0)/2</f>
        <v>0</v>
      </c>
      <c r="I1844" s="10">
        <f>VLOOKUP(A1844,Presupuesto!$A:$F,6,0)</f>
        <v>0</v>
      </c>
      <c r="J1844" s="10">
        <f>+H1844-I1844</f>
        <v>0</v>
      </c>
    </row>
    <row r="1845" spans="1:10" ht="13.15" thickTop="1">
      <c r="A1845" s="14"/>
      <c r="B1845" s="15" t="s">
        <v>2586</v>
      </c>
      <c r="C1845" s="15" t="s">
        <v>5</v>
      </c>
      <c r="D1845" s="16" t="s">
        <v>6</v>
      </c>
      <c r="E1845" s="17" t="s">
        <v>7</v>
      </c>
      <c r="F1845" s="18" t="s">
        <v>3728</v>
      </c>
      <c r="G1845" s="19" t="s">
        <v>3729</v>
      </c>
      <c r="H1845" s="20" t="s">
        <v>3797</v>
      </c>
    </row>
    <row r="1846" spans="1:10">
      <c r="A1846" s="21"/>
      <c r="B1846" s="22" t="s">
        <v>3730</v>
      </c>
      <c r="C1846" s="23"/>
      <c r="D1846" s="24"/>
      <c r="E1846" s="25"/>
      <c r="F1846" s="26"/>
      <c r="G1846" s="27">
        <f>SUM(G1847:G1851)</f>
        <v>17791.042500000003</v>
      </c>
      <c r="H1846" s="27">
        <f>IFERROR(G1846*E1844,"")</f>
        <v>0</v>
      </c>
    </row>
    <row r="1847" spans="1:10">
      <c r="A1847" s="28"/>
      <c r="B1847" s="29" t="s">
        <v>3456</v>
      </c>
      <c r="C1847" s="30" t="str">
        <f>IFERROR(_xlfn.XLOOKUP(B1847,Insumo[DESCRIPCION],Insumo[UND],,0),"")</f>
        <v>M</v>
      </c>
      <c r="D1847" s="31">
        <v>1</v>
      </c>
      <c r="E1847" s="32">
        <f>IFERROR(_xlfn.XLOOKUP($B1847,Insumo[DESCRIPCION],Insumo[VALOR],,0),"")</f>
        <v>16943.850000000002</v>
      </c>
      <c r="F1847" s="33">
        <v>5</v>
      </c>
      <c r="G1847" s="34">
        <f>IFERROR(IF(F1847&gt;=0,D1847*E1847*(1+F1847/100),ABS(D1847*E1847/F1847)),"")</f>
        <v>17791.042500000003</v>
      </c>
      <c r="H1847" s="43">
        <f>IFERROR(G1847*E1844,"")</f>
        <v>0</v>
      </c>
    </row>
    <row r="1848" spans="1:10">
      <c r="A1848" s="28"/>
      <c r="B1848" s="29"/>
      <c r="C1848" s="30" t="str">
        <f>IFERROR(_xlfn.XLOOKUP(B1848,Insumo[DESCRIPCION],Insumo[UND],,0),"")</f>
        <v/>
      </c>
      <c r="D1848" s="31"/>
      <c r="E1848" s="32" t="str">
        <f>IFERROR(_xlfn.XLOOKUP($B1848,Insumo[DESCRIPCION],Insumo[VALOR],,0),"")</f>
        <v/>
      </c>
      <c r="F1848" s="33"/>
      <c r="G1848" s="34" t="str">
        <f>IFERROR(IF(F1848&gt;=0,D1848*E1848*(1+F1848/100),ABS(D1848*E1848/F1848)),"")</f>
        <v/>
      </c>
      <c r="H1848" s="43" t="str">
        <f>IFERROR(G1848*E1844,"")</f>
        <v/>
      </c>
    </row>
    <row r="1849" spans="1:10">
      <c r="A1849" s="28"/>
      <c r="B1849" s="29"/>
      <c r="C1849" s="30" t="str">
        <f>IFERROR(_xlfn.XLOOKUP(B1849,Insumo[DESCRIPCION],Insumo[UND],,0),"")</f>
        <v/>
      </c>
      <c r="D1849" s="31"/>
      <c r="E1849" s="32" t="str">
        <f>IFERROR(_xlfn.XLOOKUP($B1849,Insumo[DESCRIPCION],Insumo[VALOR],,0),"")</f>
        <v/>
      </c>
      <c r="F1849" s="33"/>
      <c r="G1849" s="34" t="str">
        <f>IFERROR(IF(F1849&gt;=0,D1849*E1849*(1+F1849/100),ABS(D1849*E1849/F1849)),"")</f>
        <v/>
      </c>
      <c r="H1849" s="43" t="str">
        <f>IFERROR(G1849*E1844,"")</f>
        <v/>
      </c>
    </row>
    <row r="1850" spans="1:10">
      <c r="A1850" s="28"/>
      <c r="B1850" s="29"/>
      <c r="C1850" s="30" t="str">
        <f>IFERROR(_xlfn.XLOOKUP(B1850,Insumo[DESCRIPCION],Insumo[UND],,0),"")</f>
        <v/>
      </c>
      <c r="D1850" s="31"/>
      <c r="E1850" s="32" t="str">
        <f>IFERROR(_xlfn.XLOOKUP($B1850,Insumo[DESCRIPCION],Insumo[VALOR],,0),"")</f>
        <v/>
      </c>
      <c r="F1850" s="33"/>
      <c r="G1850" s="34" t="str">
        <f>IFERROR(IF(F1850&gt;=0,D1850*E1850*(1+F1850/100),ABS(D1850*E1850/F1850)),"")</f>
        <v/>
      </c>
      <c r="H1850" s="43" t="str">
        <f>IFERROR(G1850*E1844,"")</f>
        <v/>
      </c>
    </row>
    <row r="1851" spans="1:10">
      <c r="A1851" s="28"/>
      <c r="B1851" s="29"/>
      <c r="C1851" s="30" t="str">
        <f>IFERROR(_xlfn.XLOOKUP(B1851,Insumo[DESCRIPCION],Insumo[UND],,0),"")</f>
        <v/>
      </c>
      <c r="D1851" s="31"/>
      <c r="E1851" s="32" t="str">
        <f>IFERROR(_xlfn.XLOOKUP($B1851,Insumo[DESCRIPCION],Insumo[VALOR],,0),"")</f>
        <v/>
      </c>
      <c r="F1851" s="33"/>
      <c r="G1851" s="34" t="str">
        <f>IFERROR(IF(F1851&gt;=0,D1851*E1851*(1+F1851/100),ABS(D1851*E1851/F1851)),"")</f>
        <v/>
      </c>
      <c r="H1851" s="43" t="str">
        <f>IFERROR(G1851*E1844,"")</f>
        <v/>
      </c>
    </row>
    <row r="1852" spans="1:10">
      <c r="A1852" s="21"/>
      <c r="B1852" s="22" t="s">
        <v>3731</v>
      </c>
      <c r="C1852" s="23"/>
      <c r="D1852" s="24"/>
      <c r="E1852" s="25"/>
      <c r="F1852" s="26"/>
      <c r="G1852" s="27">
        <f>SUM(G1853:G1855)</f>
        <v>209.59383393000005</v>
      </c>
      <c r="H1852" s="27">
        <f>IFERROR(G1852*E1844,"")</f>
        <v>0</v>
      </c>
    </row>
    <row r="1853" spans="1:10">
      <c r="A1853" s="28"/>
      <c r="B1853" s="29" t="s">
        <v>3626</v>
      </c>
      <c r="C1853" s="30" t="str">
        <f>IFERROR(_xlfn.XLOOKUP(B1853,Equipo[DESCRIPCION],Equipo[UND],,0),"")</f>
        <v>%MO</v>
      </c>
      <c r="D1853" s="31">
        <v>0.05</v>
      </c>
      <c r="E1853" s="32">
        <f>IF(C1853="%MO",G1859,IFERROR(_xlfn.XLOOKUP($B1853,Equipo[DESCRIPCION],Equipo[VALOR],,0),""))</f>
        <v>4191.8766786000006</v>
      </c>
      <c r="F1853" s="33"/>
      <c r="G1853" s="34">
        <f>IFERROR(IF(F1853&gt;=0,D1853*E1853*(1+F1853/100),ABS(D1853*E1853/F1853)),"")</f>
        <v>209.59383393000005</v>
      </c>
      <c r="H1853" s="43">
        <f>IFERROR(G1853*E1844,"")</f>
        <v>0</v>
      </c>
    </row>
    <row r="1854" spans="1:10">
      <c r="A1854" s="28"/>
      <c r="B1854" s="29"/>
      <c r="C1854" s="30" t="str">
        <f>IFERROR(_xlfn.XLOOKUP(B1854,Equipo[DESCRIPCION],Equipo[UND],,0),"")</f>
        <v/>
      </c>
      <c r="D1854" s="31"/>
      <c r="E1854" s="32" t="str">
        <f>IF(C1854="%MO",G1859,IFERROR(_xlfn.XLOOKUP($B1854,Equipo[DESCRIPCION],Equipo[VALOR],,0),""))</f>
        <v/>
      </c>
      <c r="F1854" s="33"/>
      <c r="G1854" s="34" t="str">
        <f>IFERROR(IF(F1854&gt;=0,D1854*E1854*(1+F1854/100),ABS(D1854*E1854/F1854)),"")</f>
        <v/>
      </c>
      <c r="H1854" s="43" t="str">
        <f>IFERROR(G1854*E1844,"")</f>
        <v/>
      </c>
    </row>
    <row r="1855" spans="1:10">
      <c r="A1855" s="28"/>
      <c r="B1855" s="29"/>
      <c r="C1855" s="30" t="str">
        <f>IFERROR(_xlfn.XLOOKUP(B1855,Equipo[DESCRIPCION],Equipo[UND],,0),"")</f>
        <v/>
      </c>
      <c r="D1855" s="31"/>
      <c r="E1855" s="32" t="str">
        <f>IF(C1855="%MO",G1859,IFERROR(_xlfn.XLOOKUP($B1855,Equipo[DESCRIPCION],Equipo[VALOR],,0),""))</f>
        <v/>
      </c>
      <c r="F1855" s="33"/>
      <c r="G1855" s="34" t="str">
        <f>IFERROR(IF(F1855&gt;=0,D1855*E1855*(1+F1855/100),ABS(D1855*E1855/F1855)),"")</f>
        <v/>
      </c>
      <c r="H1855" s="43" t="str">
        <f>IFERROR(G1855*E1844,"")</f>
        <v/>
      </c>
    </row>
    <row r="1856" spans="1:10">
      <c r="A1856" s="21"/>
      <c r="B1856" s="22" t="s">
        <v>2533</v>
      </c>
      <c r="C1856" s="23"/>
      <c r="D1856" s="24"/>
      <c r="E1856" s="25"/>
      <c r="F1856" s="26"/>
      <c r="G1856" s="27">
        <f>SUM(G1857:G1858)</f>
        <v>0</v>
      </c>
      <c r="H1856" s="27">
        <f>IFERROR(G1856*E1844,"")</f>
        <v>0</v>
      </c>
    </row>
    <row r="1857" spans="1:10">
      <c r="A1857" s="28"/>
      <c r="B1857" s="29"/>
      <c r="C1857" s="30" t="str">
        <f>IFERROR(_xlfn.XLOOKUP(B1857,Transporte[DESCRIPCION],Transporte[UND],,0),"")</f>
        <v/>
      </c>
      <c r="D1857" s="31"/>
      <c r="E1857" s="32" t="str">
        <f>IFERROR(_xlfn.XLOOKUP($B1857,Transporte[DESCRIPCION],Transporte[VALOR],,0),"")</f>
        <v/>
      </c>
      <c r="F1857" s="33"/>
      <c r="G1857" s="34" t="str">
        <f>IFERROR(IF(F1857&gt;=0,D1857*E1857*(1+F1857/100),ABS(D1857*E1857/F1857)),"")</f>
        <v/>
      </c>
      <c r="H1857" s="43" t="str">
        <f>IFERROR(G1857*E1844,"")</f>
        <v/>
      </c>
    </row>
    <row r="1858" spans="1:10">
      <c r="A1858" s="28"/>
      <c r="B1858" s="29"/>
      <c r="C1858" s="30" t="str">
        <f>IFERROR(_xlfn.XLOOKUP(B1858,Transporte[DESCRIPCION],Transporte[UND],,0),"")</f>
        <v/>
      </c>
      <c r="D1858" s="31"/>
      <c r="E1858" s="32" t="str">
        <f>IFERROR(_xlfn.XLOOKUP($B1858,Transporte[DESCRIPCION],Transporte[VALOR],,0),"")</f>
        <v/>
      </c>
      <c r="F1858" s="33"/>
      <c r="G1858" s="34" t="str">
        <f>IFERROR(IF(F1858&gt;=0,D1858*E1858*(1+F1858/100),ABS(D1858*E1858/F1858)),"")</f>
        <v/>
      </c>
      <c r="H1858" s="43" t="str">
        <f>IFERROR(G1858*E1844,"")</f>
        <v/>
      </c>
    </row>
    <row r="1859" spans="1:10">
      <c r="A1859" s="21"/>
      <c r="B1859" s="22" t="s">
        <v>3732</v>
      </c>
      <c r="C1859" s="23"/>
      <c r="D1859" s="24"/>
      <c r="E1859" s="25"/>
      <c r="F1859" s="26"/>
      <c r="G1859" s="27">
        <f>SUM(G1860:G1862)</f>
        <v>4191.8766786000006</v>
      </c>
      <c r="H1859" s="27">
        <f>IFERROR(G1859*E1844,"")</f>
        <v>0</v>
      </c>
    </row>
    <row r="1860" spans="1:10">
      <c r="A1860" s="28"/>
      <c r="B1860" s="29" t="s">
        <v>3710</v>
      </c>
      <c r="C1860" s="30" t="str">
        <f>IFERROR(_xlfn.XLOOKUP(B1860,MObra[DESCRIPCION],MObra[UN],,0),"")</f>
        <v>día</v>
      </c>
      <c r="D1860" s="31">
        <v>1</v>
      </c>
      <c r="E1860" s="32">
        <f>IFERROR(_xlfn.XLOOKUP($B1860,MObra[DESCRIPCION],MObra[VALOR UNIT],,0),"")</f>
        <v>314390.75089500006</v>
      </c>
      <c r="F1860" s="33">
        <v>-75</v>
      </c>
      <c r="G1860" s="34">
        <f>IFERROR(IF(F1860&gt;=0,D1860*E1860*(1+F1860/100),ABS(D1860*E1860/F1860)),"")</f>
        <v>4191.8766786000006</v>
      </c>
      <c r="H1860" s="43">
        <f>IFERROR(G1860*E1844,"")</f>
        <v>0</v>
      </c>
    </row>
    <row r="1861" spans="1:10">
      <c r="A1861" s="28"/>
      <c r="B1861" s="29"/>
      <c r="C1861" s="30" t="str">
        <f>IFERROR(_xlfn.XLOOKUP(B1861,MObra[DESCRIPCION],MObra[UN],,0),"")</f>
        <v/>
      </c>
      <c r="D1861" s="31"/>
      <c r="E1861" s="32" t="str">
        <f>IFERROR(_xlfn.XLOOKUP($B1861,MObra[DESCRIPCION],MObra[VALOR UNIT],,0),"")</f>
        <v/>
      </c>
      <c r="F1861" s="33"/>
      <c r="G1861" s="34" t="str">
        <f>IFERROR(IF(F1861&gt;=0,D1861*E1861*(1+F1861/100),ABS(D1861*E1861/F1861)),"")</f>
        <v/>
      </c>
      <c r="H1861" s="43" t="str">
        <f>IFERROR(G1861*E1844,"")</f>
        <v/>
      </c>
    </row>
    <row r="1862" spans="1:10" ht="13.15" thickBot="1">
      <c r="A1862" s="35"/>
      <c r="B1862" s="36"/>
      <c r="C1862" s="37" t="str">
        <f>IFERROR(_xlfn.XLOOKUP(B1862,MObra[DESCRIPCION],MObra[UN],,0),"")</f>
        <v/>
      </c>
      <c r="D1862" s="38"/>
      <c r="E1862" s="39" t="str">
        <f>IFERROR(_xlfn.XLOOKUP($B1862,MObra[DESCRIPCION],MObra[VALOR UNIT],,0),"")</f>
        <v/>
      </c>
      <c r="F1862" s="40"/>
      <c r="G1862" s="41" t="str">
        <f>IFERROR(IF(F1862&gt;=0,D1862*E1862*(1+F1862/100),ABS(D1862*E1862/F1862)),"")</f>
        <v/>
      </c>
      <c r="H1862" s="42" t="str">
        <f>IFERROR(G1862*E1844,"")</f>
        <v/>
      </c>
    </row>
    <row r="1863" spans="1:10" ht="13.5" thickTop="1" thickBot="1"/>
    <row r="1864" spans="1:10" ht="13.5" thickTop="1" thickBot="1">
      <c r="A1864" s="6" t="s">
        <v>2226</v>
      </c>
      <c r="B1864" s="7" t="str">
        <f>VLOOKUP($A1864,Presupuesto!$A:$D,2,FALSE())</f>
        <v>Tuberia PEAD PN 10 DN 75 mm</v>
      </c>
      <c r="C1864" s="8" t="str">
        <f>VLOOKUP($A1864,Presupuesto!$A:$D,3,FALSE())</f>
        <v>M</v>
      </c>
      <c r="D1864" s="9"/>
      <c r="E1864" s="10">
        <f>VLOOKUP($A1864,Presupuesto!$A:$D,4,FALSE())</f>
        <v>0</v>
      </c>
      <c r="F1864" s="11" t="s">
        <v>2589</v>
      </c>
      <c r="G1864" s="12">
        <f>SUM(G1866:G1882)/2</f>
        <v>46172.990512530014</v>
      </c>
      <c r="H1864" s="13">
        <f>ROUND(SUM(H1866:H1882),0)/2</f>
        <v>0</v>
      </c>
      <c r="I1864" s="10">
        <f>VLOOKUP(A1864,Presupuesto!$A:$F,6,0)</f>
        <v>0</v>
      </c>
      <c r="J1864" s="10">
        <f>+H1864-I1864</f>
        <v>0</v>
      </c>
    </row>
    <row r="1865" spans="1:10" ht="13.15" thickTop="1">
      <c r="A1865" s="14"/>
      <c r="B1865" s="15" t="s">
        <v>2586</v>
      </c>
      <c r="C1865" s="15" t="s">
        <v>5</v>
      </c>
      <c r="D1865" s="16" t="s">
        <v>6</v>
      </c>
      <c r="E1865" s="17" t="s">
        <v>7</v>
      </c>
      <c r="F1865" s="18" t="s">
        <v>3728</v>
      </c>
      <c r="G1865" s="19" t="s">
        <v>3729</v>
      </c>
      <c r="H1865" s="20" t="s">
        <v>3797</v>
      </c>
    </row>
    <row r="1866" spans="1:10">
      <c r="A1866" s="21"/>
      <c r="B1866" s="22" t="s">
        <v>3730</v>
      </c>
      <c r="C1866" s="23"/>
      <c r="D1866" s="24"/>
      <c r="E1866" s="25"/>
      <c r="F1866" s="26"/>
      <c r="G1866" s="27">
        <f>SUM(G1867:G1871)</f>
        <v>41771.520000000004</v>
      </c>
      <c r="H1866" s="27">
        <f>IFERROR(G1866*E1864,"")</f>
        <v>0</v>
      </c>
    </row>
    <row r="1867" spans="1:10">
      <c r="A1867" s="28"/>
      <c r="B1867" s="29" t="s">
        <v>3457</v>
      </c>
      <c r="C1867" s="30" t="str">
        <f>IFERROR(_xlfn.XLOOKUP(B1867,Insumo[DESCRIPCION],Insumo[UND],,0),"")</f>
        <v>M</v>
      </c>
      <c r="D1867" s="31">
        <v>1</v>
      </c>
      <c r="E1867" s="32">
        <f>IFERROR(_xlfn.XLOOKUP($B1867,Insumo[DESCRIPCION],Insumo[VALOR],,0),"")</f>
        <v>39782.400000000001</v>
      </c>
      <c r="F1867" s="33">
        <v>5</v>
      </c>
      <c r="G1867" s="34">
        <f>IFERROR(IF(F1867&gt;=0,D1867*E1867*(1+F1867/100),ABS(D1867*E1867/F1867)),"")</f>
        <v>41771.520000000004</v>
      </c>
      <c r="H1867" s="43">
        <f>IFERROR(G1867*E1864,"")</f>
        <v>0</v>
      </c>
    </row>
    <row r="1868" spans="1:10">
      <c r="A1868" s="28"/>
      <c r="B1868" s="29"/>
      <c r="C1868" s="30" t="str">
        <f>IFERROR(_xlfn.XLOOKUP(B1868,Insumo[DESCRIPCION],Insumo[UND],,0),"")</f>
        <v/>
      </c>
      <c r="D1868" s="31"/>
      <c r="E1868" s="32" t="str">
        <f>IFERROR(_xlfn.XLOOKUP($B1868,Insumo[DESCRIPCION],Insumo[VALOR],,0),"")</f>
        <v/>
      </c>
      <c r="F1868" s="33"/>
      <c r="G1868" s="34" t="str">
        <f>IFERROR(IF(F1868&gt;=0,D1868*E1868*(1+F1868/100),ABS(D1868*E1868/F1868)),"")</f>
        <v/>
      </c>
      <c r="H1868" s="43" t="str">
        <f>IFERROR(G1868*E1864,"")</f>
        <v/>
      </c>
    </row>
    <row r="1869" spans="1:10">
      <c r="A1869" s="28"/>
      <c r="B1869" s="29"/>
      <c r="C1869" s="30" t="str">
        <f>IFERROR(_xlfn.XLOOKUP(B1869,Insumo[DESCRIPCION],Insumo[UND],,0),"")</f>
        <v/>
      </c>
      <c r="D1869" s="31"/>
      <c r="E1869" s="32" t="str">
        <f>IFERROR(_xlfn.XLOOKUP($B1869,Insumo[DESCRIPCION],Insumo[VALOR],,0),"")</f>
        <v/>
      </c>
      <c r="F1869" s="33"/>
      <c r="G1869" s="34" t="str">
        <f>IFERROR(IF(F1869&gt;=0,D1869*E1869*(1+F1869/100),ABS(D1869*E1869/F1869)),"")</f>
        <v/>
      </c>
      <c r="H1869" s="43" t="str">
        <f>IFERROR(G1869*E1864,"")</f>
        <v/>
      </c>
    </row>
    <row r="1870" spans="1:10">
      <c r="A1870" s="28"/>
      <c r="B1870" s="29"/>
      <c r="C1870" s="30" t="str">
        <f>IFERROR(_xlfn.XLOOKUP(B1870,Insumo[DESCRIPCION],Insumo[UND],,0),"")</f>
        <v/>
      </c>
      <c r="D1870" s="31"/>
      <c r="E1870" s="32" t="str">
        <f>IFERROR(_xlfn.XLOOKUP($B1870,Insumo[DESCRIPCION],Insumo[VALOR],,0),"")</f>
        <v/>
      </c>
      <c r="F1870" s="33"/>
      <c r="G1870" s="34" t="str">
        <f>IFERROR(IF(F1870&gt;=0,D1870*E1870*(1+F1870/100),ABS(D1870*E1870/F1870)),"")</f>
        <v/>
      </c>
      <c r="H1870" s="43" t="str">
        <f>IFERROR(G1870*E1864,"")</f>
        <v/>
      </c>
    </row>
    <row r="1871" spans="1:10">
      <c r="A1871" s="28"/>
      <c r="B1871" s="29"/>
      <c r="C1871" s="30" t="str">
        <f>IFERROR(_xlfn.XLOOKUP(B1871,Insumo[DESCRIPCION],Insumo[UND],,0),"")</f>
        <v/>
      </c>
      <c r="D1871" s="31"/>
      <c r="E1871" s="32" t="str">
        <f>IFERROR(_xlfn.XLOOKUP($B1871,Insumo[DESCRIPCION],Insumo[VALOR],,0),"")</f>
        <v/>
      </c>
      <c r="F1871" s="33"/>
      <c r="G1871" s="34" t="str">
        <f>IFERROR(IF(F1871&gt;=0,D1871*E1871*(1+F1871/100),ABS(D1871*E1871/F1871)),"")</f>
        <v/>
      </c>
      <c r="H1871" s="43" t="str">
        <f>IFERROR(G1871*E1864,"")</f>
        <v/>
      </c>
    </row>
    <row r="1872" spans="1:10">
      <c r="A1872" s="21"/>
      <c r="B1872" s="22" t="s">
        <v>3731</v>
      </c>
      <c r="C1872" s="23"/>
      <c r="D1872" s="24"/>
      <c r="E1872" s="25"/>
      <c r="F1872" s="26"/>
      <c r="G1872" s="27">
        <f>SUM(G1873:G1875)</f>
        <v>209.59383393000005</v>
      </c>
      <c r="H1872" s="27">
        <f>IFERROR(G1872*E1864,"")</f>
        <v>0</v>
      </c>
    </row>
    <row r="1873" spans="1:10">
      <c r="A1873" s="28"/>
      <c r="B1873" s="29" t="s">
        <v>3626</v>
      </c>
      <c r="C1873" s="30" t="str">
        <f>IFERROR(_xlfn.XLOOKUP(B1873,Equipo[DESCRIPCION],Equipo[UND],,0),"")</f>
        <v>%MO</v>
      </c>
      <c r="D1873" s="31">
        <v>0.05</v>
      </c>
      <c r="E1873" s="32">
        <f>IF(C1873="%MO",G1879,IFERROR(_xlfn.XLOOKUP($B1873,Equipo[DESCRIPCION],Equipo[VALOR],,0),""))</f>
        <v>4191.8766786000006</v>
      </c>
      <c r="F1873" s="33"/>
      <c r="G1873" s="34">
        <f>IFERROR(IF(F1873&gt;=0,D1873*E1873*(1+F1873/100),ABS(D1873*E1873/F1873)),"")</f>
        <v>209.59383393000005</v>
      </c>
      <c r="H1873" s="43">
        <f>IFERROR(G1873*E1864,"")</f>
        <v>0</v>
      </c>
    </row>
    <row r="1874" spans="1:10">
      <c r="A1874" s="28"/>
      <c r="B1874" s="29"/>
      <c r="C1874" s="30" t="str">
        <f>IFERROR(_xlfn.XLOOKUP(B1874,Equipo[DESCRIPCION],Equipo[UND],,0),"")</f>
        <v/>
      </c>
      <c r="D1874" s="31"/>
      <c r="E1874" s="32" t="str">
        <f>IF(C1874="%MO",G1879,IFERROR(_xlfn.XLOOKUP($B1874,Equipo[DESCRIPCION],Equipo[VALOR],,0),""))</f>
        <v/>
      </c>
      <c r="F1874" s="33"/>
      <c r="G1874" s="34" t="str">
        <f>IFERROR(IF(F1874&gt;=0,D1874*E1874*(1+F1874/100),ABS(D1874*E1874/F1874)),"")</f>
        <v/>
      </c>
      <c r="H1874" s="43" t="str">
        <f>IFERROR(G1874*E1864,"")</f>
        <v/>
      </c>
    </row>
    <row r="1875" spans="1:10">
      <c r="A1875" s="28"/>
      <c r="B1875" s="29"/>
      <c r="C1875" s="30" t="str">
        <f>IFERROR(_xlfn.XLOOKUP(B1875,Equipo[DESCRIPCION],Equipo[UND],,0),"")</f>
        <v/>
      </c>
      <c r="D1875" s="31"/>
      <c r="E1875" s="32" t="str">
        <f>IF(C1875="%MO",G1879,IFERROR(_xlfn.XLOOKUP($B1875,Equipo[DESCRIPCION],Equipo[VALOR],,0),""))</f>
        <v/>
      </c>
      <c r="F1875" s="33"/>
      <c r="G1875" s="34" t="str">
        <f>IFERROR(IF(F1875&gt;=0,D1875*E1875*(1+F1875/100),ABS(D1875*E1875/F1875)),"")</f>
        <v/>
      </c>
      <c r="H1875" s="43" t="str">
        <f>IFERROR(G1875*E1864,"")</f>
        <v/>
      </c>
    </row>
    <row r="1876" spans="1:10">
      <c r="A1876" s="21"/>
      <c r="B1876" s="22" t="s">
        <v>2533</v>
      </c>
      <c r="C1876" s="23"/>
      <c r="D1876" s="24"/>
      <c r="E1876" s="25"/>
      <c r="F1876" s="26"/>
      <c r="G1876" s="27">
        <f>SUM(G1877:G1878)</f>
        <v>0</v>
      </c>
      <c r="H1876" s="27">
        <f>IFERROR(G1876*E1864,"")</f>
        <v>0</v>
      </c>
    </row>
    <row r="1877" spans="1:10">
      <c r="A1877" s="28"/>
      <c r="B1877" s="29"/>
      <c r="C1877" s="30" t="str">
        <f>IFERROR(_xlfn.XLOOKUP(B1877,Transporte[DESCRIPCION],Transporte[UND],,0),"")</f>
        <v/>
      </c>
      <c r="D1877" s="31"/>
      <c r="E1877" s="32" t="str">
        <f>IFERROR(_xlfn.XLOOKUP($B1877,Transporte[DESCRIPCION],Transporte[VALOR],,0),"")</f>
        <v/>
      </c>
      <c r="F1877" s="33"/>
      <c r="G1877" s="34" t="str">
        <f>IFERROR(IF(F1877&gt;=0,D1877*E1877*(1+F1877/100),ABS(D1877*E1877/F1877)),"")</f>
        <v/>
      </c>
      <c r="H1877" s="43" t="str">
        <f>IFERROR(G1877*E1864,"")</f>
        <v/>
      </c>
    </row>
    <row r="1878" spans="1:10">
      <c r="A1878" s="28"/>
      <c r="B1878" s="29"/>
      <c r="C1878" s="30" t="str">
        <f>IFERROR(_xlfn.XLOOKUP(B1878,Transporte[DESCRIPCION],Transporte[UND],,0),"")</f>
        <v/>
      </c>
      <c r="D1878" s="31"/>
      <c r="E1878" s="32" t="str">
        <f>IFERROR(_xlfn.XLOOKUP($B1878,Transporte[DESCRIPCION],Transporte[VALOR],,0),"")</f>
        <v/>
      </c>
      <c r="F1878" s="33"/>
      <c r="G1878" s="34" t="str">
        <f>IFERROR(IF(F1878&gt;=0,D1878*E1878*(1+F1878/100),ABS(D1878*E1878/F1878)),"")</f>
        <v/>
      </c>
      <c r="H1878" s="43" t="str">
        <f>IFERROR(G1878*E1864,"")</f>
        <v/>
      </c>
    </row>
    <row r="1879" spans="1:10">
      <c r="A1879" s="21"/>
      <c r="B1879" s="22" t="s">
        <v>3732</v>
      </c>
      <c r="C1879" s="23"/>
      <c r="D1879" s="24"/>
      <c r="E1879" s="25"/>
      <c r="F1879" s="26"/>
      <c r="G1879" s="27">
        <f>SUM(G1880:G1882)</f>
        <v>4191.8766786000006</v>
      </c>
      <c r="H1879" s="27">
        <f>IFERROR(G1879*E1864,"")</f>
        <v>0</v>
      </c>
    </row>
    <row r="1880" spans="1:10">
      <c r="A1880" s="28"/>
      <c r="B1880" s="29" t="s">
        <v>3710</v>
      </c>
      <c r="C1880" s="30" t="str">
        <f>IFERROR(_xlfn.XLOOKUP(B1880,MObra[DESCRIPCION],MObra[UN],,0),"")</f>
        <v>día</v>
      </c>
      <c r="D1880" s="31">
        <v>1</v>
      </c>
      <c r="E1880" s="32">
        <f>IFERROR(_xlfn.XLOOKUP($B1880,MObra[DESCRIPCION],MObra[VALOR UNIT],,0),"")</f>
        <v>314390.75089500006</v>
      </c>
      <c r="F1880" s="33">
        <v>-75</v>
      </c>
      <c r="G1880" s="34">
        <f>IFERROR(IF(F1880&gt;=0,D1880*E1880*(1+F1880/100),ABS(D1880*E1880/F1880)),"")</f>
        <v>4191.8766786000006</v>
      </c>
      <c r="H1880" s="43">
        <f>IFERROR(G1880*E1864,"")</f>
        <v>0</v>
      </c>
    </row>
    <row r="1881" spans="1:10">
      <c r="A1881" s="28"/>
      <c r="B1881" s="29"/>
      <c r="C1881" s="30" t="str">
        <f>IFERROR(_xlfn.XLOOKUP(B1881,MObra[DESCRIPCION],MObra[UN],,0),"")</f>
        <v/>
      </c>
      <c r="D1881" s="31"/>
      <c r="E1881" s="32" t="str">
        <f>IFERROR(_xlfn.XLOOKUP($B1881,MObra[DESCRIPCION],MObra[VALOR UNIT],,0),"")</f>
        <v/>
      </c>
      <c r="F1881" s="33"/>
      <c r="G1881" s="34" t="str">
        <f>IFERROR(IF(F1881&gt;=0,D1881*E1881*(1+F1881/100),ABS(D1881*E1881/F1881)),"")</f>
        <v/>
      </c>
      <c r="H1881" s="43" t="str">
        <f>IFERROR(G1881*E1864,"")</f>
        <v/>
      </c>
    </row>
    <row r="1882" spans="1:10" ht="13.15" thickBot="1">
      <c r="A1882" s="35"/>
      <c r="B1882" s="36"/>
      <c r="C1882" s="37" t="str">
        <f>IFERROR(_xlfn.XLOOKUP(B1882,MObra[DESCRIPCION],MObra[UN],,0),"")</f>
        <v/>
      </c>
      <c r="D1882" s="38"/>
      <c r="E1882" s="39" t="str">
        <f>IFERROR(_xlfn.XLOOKUP($B1882,MObra[DESCRIPCION],MObra[VALOR UNIT],,0),"")</f>
        <v/>
      </c>
      <c r="F1882" s="40"/>
      <c r="G1882" s="41" t="str">
        <f>IFERROR(IF(F1882&gt;=0,D1882*E1882*(1+F1882/100),ABS(D1882*E1882/F1882)),"")</f>
        <v/>
      </c>
      <c r="H1882" s="42" t="str">
        <f>IFERROR(G1882*E1864,"")</f>
        <v/>
      </c>
    </row>
    <row r="1883" spans="1:10" ht="13.5" thickTop="1" thickBot="1"/>
    <row r="1884" spans="1:10" ht="13.5" thickTop="1" thickBot="1">
      <c r="A1884" s="6" t="s">
        <v>2228</v>
      </c>
      <c r="B1884" s="7" t="str">
        <f>VLOOKUP($A1884,Presupuesto!$A:$D,2,FALSE())</f>
        <v>Tuberia PEAD PN 10 DN 90 mm</v>
      </c>
      <c r="C1884" s="8" t="str">
        <f>VLOOKUP($A1884,Presupuesto!$A:$D,3,FALSE())</f>
        <v>M</v>
      </c>
      <c r="D1884" s="9"/>
      <c r="E1884" s="10">
        <f>VLOOKUP($A1884,Presupuesto!$A:$D,4,FALSE())</f>
        <v>0</v>
      </c>
      <c r="F1884" s="11" t="s">
        <v>2589</v>
      </c>
      <c r="G1884" s="12">
        <f>SUM(G1886:G1902)/2</f>
        <v>122487.65551253002</v>
      </c>
      <c r="H1884" s="13">
        <f>ROUND(SUM(H1886:H1902),0)/2</f>
        <v>0</v>
      </c>
      <c r="I1884" s="10">
        <f>VLOOKUP(A1884,Presupuesto!$A:$F,6,0)</f>
        <v>0</v>
      </c>
      <c r="J1884" s="10">
        <f>+H1884-I1884</f>
        <v>0</v>
      </c>
    </row>
    <row r="1885" spans="1:10" ht="13.15" thickTop="1">
      <c r="A1885" s="14"/>
      <c r="B1885" s="15" t="s">
        <v>2586</v>
      </c>
      <c r="C1885" s="15" t="s">
        <v>5</v>
      </c>
      <c r="D1885" s="16" t="s">
        <v>6</v>
      </c>
      <c r="E1885" s="17" t="s">
        <v>7</v>
      </c>
      <c r="F1885" s="18" t="s">
        <v>3728</v>
      </c>
      <c r="G1885" s="19" t="s">
        <v>3729</v>
      </c>
      <c r="H1885" s="20" t="s">
        <v>3797</v>
      </c>
    </row>
    <row r="1886" spans="1:10">
      <c r="A1886" s="21"/>
      <c r="B1886" s="22" t="s">
        <v>3730</v>
      </c>
      <c r="C1886" s="23"/>
      <c r="D1886" s="24"/>
      <c r="E1886" s="25"/>
      <c r="F1886" s="26"/>
      <c r="G1886" s="27">
        <f>SUM(G1887:G1891)</f>
        <v>63253.732500000006</v>
      </c>
      <c r="H1886" s="27">
        <f>IFERROR(G1886*E1884,"")</f>
        <v>0</v>
      </c>
    </row>
    <row r="1887" spans="1:10">
      <c r="A1887" s="28"/>
      <c r="B1887" s="29" t="s">
        <v>3458</v>
      </c>
      <c r="C1887" s="30" t="str">
        <f>IFERROR(_xlfn.XLOOKUP(B1887,Insumo[DESCRIPCION],Insumo[UND],,0),"")</f>
        <v>M</v>
      </c>
      <c r="D1887" s="31">
        <v>1</v>
      </c>
      <c r="E1887" s="32">
        <f>IFERROR(_xlfn.XLOOKUP($B1887,Insumo[DESCRIPCION],Insumo[VALOR],,0),"")</f>
        <v>60241.65</v>
      </c>
      <c r="F1887" s="33">
        <v>5</v>
      </c>
      <c r="G1887" s="34">
        <f>IFERROR(IF(F1887&gt;=0,D1887*E1887*(1+F1887/100),ABS(D1887*E1887/F1887)),"")</f>
        <v>63253.732500000006</v>
      </c>
      <c r="H1887" s="43">
        <f>IFERROR(G1887*E1884,"")</f>
        <v>0</v>
      </c>
    </row>
    <row r="1888" spans="1:10">
      <c r="A1888" s="28"/>
      <c r="B1888" s="29"/>
      <c r="C1888" s="30" t="str">
        <f>IFERROR(_xlfn.XLOOKUP(B1888,Insumo[DESCRIPCION],Insumo[UND],,0),"")</f>
        <v/>
      </c>
      <c r="D1888" s="31"/>
      <c r="E1888" s="32" t="str">
        <f>IFERROR(_xlfn.XLOOKUP($B1888,Insumo[DESCRIPCION],Insumo[VALOR],,0),"")</f>
        <v/>
      </c>
      <c r="F1888" s="33"/>
      <c r="G1888" s="34" t="str">
        <f>IFERROR(IF(F1888&gt;=0,D1888*E1888*(1+F1888/100),ABS(D1888*E1888/F1888)),"")</f>
        <v/>
      </c>
      <c r="H1888" s="43" t="str">
        <f>IFERROR(G1888*E1884,"")</f>
        <v/>
      </c>
    </row>
    <row r="1889" spans="1:10">
      <c r="A1889" s="28"/>
      <c r="B1889" s="29"/>
      <c r="C1889" s="30" t="str">
        <f>IFERROR(_xlfn.XLOOKUP(B1889,Insumo[DESCRIPCION],Insumo[UND],,0),"")</f>
        <v/>
      </c>
      <c r="D1889" s="31"/>
      <c r="E1889" s="32" t="str">
        <f>IFERROR(_xlfn.XLOOKUP($B1889,Insumo[DESCRIPCION],Insumo[VALOR],,0),"")</f>
        <v/>
      </c>
      <c r="F1889" s="33"/>
      <c r="G1889" s="34" t="str">
        <f>IFERROR(IF(F1889&gt;=0,D1889*E1889*(1+F1889/100),ABS(D1889*E1889/F1889)),"")</f>
        <v/>
      </c>
      <c r="H1889" s="43" t="str">
        <f>IFERROR(G1889*E1884,"")</f>
        <v/>
      </c>
    </row>
    <row r="1890" spans="1:10">
      <c r="A1890" s="28"/>
      <c r="B1890" s="29"/>
      <c r="C1890" s="30" t="str">
        <f>IFERROR(_xlfn.XLOOKUP(B1890,Insumo[DESCRIPCION],Insumo[UND],,0),"")</f>
        <v/>
      </c>
      <c r="D1890" s="31"/>
      <c r="E1890" s="32" t="str">
        <f>IFERROR(_xlfn.XLOOKUP($B1890,Insumo[DESCRIPCION],Insumo[VALOR],,0),"")</f>
        <v/>
      </c>
      <c r="F1890" s="33"/>
      <c r="G1890" s="34" t="str">
        <f>IFERROR(IF(F1890&gt;=0,D1890*E1890*(1+F1890/100),ABS(D1890*E1890/F1890)),"")</f>
        <v/>
      </c>
      <c r="H1890" s="43" t="str">
        <f>IFERROR(G1890*E1884,"")</f>
        <v/>
      </c>
    </row>
    <row r="1891" spans="1:10">
      <c r="A1891" s="28"/>
      <c r="B1891" s="29"/>
      <c r="C1891" s="30" t="str">
        <f>IFERROR(_xlfn.XLOOKUP(B1891,Insumo[DESCRIPCION],Insumo[UND],,0),"")</f>
        <v/>
      </c>
      <c r="D1891" s="31"/>
      <c r="E1891" s="32" t="str">
        <f>IFERROR(_xlfn.XLOOKUP($B1891,Insumo[DESCRIPCION],Insumo[VALOR],,0),"")</f>
        <v/>
      </c>
      <c r="F1891" s="33"/>
      <c r="G1891" s="34" t="str">
        <f>IFERROR(IF(F1891&gt;=0,D1891*E1891*(1+F1891/100),ABS(D1891*E1891/F1891)),"")</f>
        <v/>
      </c>
      <c r="H1891" s="43" t="str">
        <f>IFERROR(G1891*E1884,"")</f>
        <v/>
      </c>
    </row>
    <row r="1892" spans="1:10">
      <c r="A1892" s="21"/>
      <c r="B1892" s="22" t="s">
        <v>3731</v>
      </c>
      <c r="C1892" s="23"/>
      <c r="D1892" s="24"/>
      <c r="E1892" s="25"/>
      <c r="F1892" s="26"/>
      <c r="G1892" s="27">
        <f>SUM(G1893:G1895)</f>
        <v>55042.046333929997</v>
      </c>
      <c r="H1892" s="27">
        <f>IFERROR(G1892*E1884,"")</f>
        <v>0</v>
      </c>
    </row>
    <row r="1893" spans="1:10">
      <c r="A1893" s="28"/>
      <c r="B1893" s="29" t="s">
        <v>3636</v>
      </c>
      <c r="C1893" s="30" t="str">
        <f>IFERROR(_xlfn.XLOOKUP(B1893,Equipo[DESCRIPCION],Equipo[UND],,0),"")</f>
        <v>Día</v>
      </c>
      <c r="D1893" s="31">
        <v>1</v>
      </c>
      <c r="E1893" s="32">
        <f>IF(C1893="%MO",G1899,IFERROR(_xlfn.XLOOKUP($B1893,Equipo[DESCRIPCION],Equipo[VALOR],,0),""))</f>
        <v>187543.65</v>
      </c>
      <c r="F1893" s="33">
        <v>-4</v>
      </c>
      <c r="G1893" s="34">
        <f>IFERROR(IF(F1893&gt;=0,D1893*E1893*(1+F1893/100),ABS(D1893*E1893/F1893)),"")</f>
        <v>46885.912499999999</v>
      </c>
      <c r="H1893" s="43">
        <f>IFERROR(G1893*E1884,"")</f>
        <v>0</v>
      </c>
    </row>
    <row r="1894" spans="1:10">
      <c r="A1894" s="28"/>
      <c r="B1894" s="29" t="s">
        <v>3637</v>
      </c>
      <c r="C1894" s="30" t="str">
        <f>IFERROR(_xlfn.XLOOKUP(B1894,Equipo[DESCRIPCION],Equipo[UND],,0),"")</f>
        <v>Día</v>
      </c>
      <c r="D1894" s="31">
        <v>1</v>
      </c>
      <c r="E1894" s="32">
        <f>IF(C1894="%MO",G1899,IFERROR(_xlfn.XLOOKUP($B1894,Equipo[DESCRIPCION],Equipo[VALOR],,0),""))</f>
        <v>119198.1</v>
      </c>
      <c r="F1894" s="33">
        <v>-15</v>
      </c>
      <c r="G1894" s="34">
        <f>IFERROR(IF(F1894&gt;=0,D1894*E1894*(1+F1894/100),ABS(D1894*E1894/F1894)),"")</f>
        <v>7946.54</v>
      </c>
      <c r="H1894" s="43">
        <f>IFERROR(G1894*E1884,"")</f>
        <v>0</v>
      </c>
    </row>
    <row r="1895" spans="1:10">
      <c r="A1895" s="28"/>
      <c r="B1895" s="29" t="s">
        <v>3626</v>
      </c>
      <c r="C1895" s="30" t="str">
        <f>IFERROR(_xlfn.XLOOKUP(B1895,Equipo[DESCRIPCION],Equipo[UND],,0),"")</f>
        <v>%MO</v>
      </c>
      <c r="D1895" s="31">
        <v>0.05</v>
      </c>
      <c r="E1895" s="32">
        <f>IF(C1895="%MO",G1899,IFERROR(_xlfn.XLOOKUP($B1895,Equipo[DESCRIPCION],Equipo[VALOR],,0),""))</f>
        <v>4191.8766786000006</v>
      </c>
      <c r="F1895" s="33"/>
      <c r="G1895" s="34">
        <f>IFERROR(IF(F1895&gt;=0,D1895*E1895*(1+F1895/100),ABS(D1895*E1895/F1895)),"")</f>
        <v>209.59383393000005</v>
      </c>
      <c r="H1895" s="43">
        <f>IFERROR(G1895*E1884,"")</f>
        <v>0</v>
      </c>
    </row>
    <row r="1896" spans="1:10">
      <c r="A1896" s="21"/>
      <c r="B1896" s="22" t="s">
        <v>2533</v>
      </c>
      <c r="C1896" s="23"/>
      <c r="D1896" s="24"/>
      <c r="E1896" s="25"/>
      <c r="F1896" s="26"/>
      <c r="G1896" s="27">
        <f>SUM(G1897:G1898)</f>
        <v>0</v>
      </c>
      <c r="H1896" s="27">
        <f>IFERROR(G1896*E1884,"")</f>
        <v>0</v>
      </c>
    </row>
    <row r="1897" spans="1:10">
      <c r="A1897" s="28"/>
      <c r="B1897" s="29"/>
      <c r="C1897" s="30" t="str">
        <f>IFERROR(_xlfn.XLOOKUP(B1897,Transporte[DESCRIPCION],Transporte[UND],,0),"")</f>
        <v/>
      </c>
      <c r="D1897" s="31"/>
      <c r="E1897" s="32" t="str">
        <f>IFERROR(_xlfn.XLOOKUP($B1897,Transporte[DESCRIPCION],Transporte[VALOR],,0),"")</f>
        <v/>
      </c>
      <c r="F1897" s="33"/>
      <c r="G1897" s="34" t="str">
        <f>IFERROR(IF(F1897&gt;=0,D1897*E1897*(1+F1897/100),ABS(D1897*E1897/F1897)),"")</f>
        <v/>
      </c>
      <c r="H1897" s="43" t="str">
        <f>IFERROR(G1897*E1884,"")</f>
        <v/>
      </c>
    </row>
    <row r="1898" spans="1:10">
      <c r="A1898" s="28"/>
      <c r="B1898" s="29"/>
      <c r="C1898" s="30" t="str">
        <f>IFERROR(_xlfn.XLOOKUP(B1898,Transporte[DESCRIPCION],Transporte[UND],,0),"")</f>
        <v/>
      </c>
      <c r="D1898" s="31"/>
      <c r="E1898" s="32" t="str">
        <f>IFERROR(_xlfn.XLOOKUP($B1898,Transporte[DESCRIPCION],Transporte[VALOR],,0),"")</f>
        <v/>
      </c>
      <c r="F1898" s="33"/>
      <c r="G1898" s="34" t="str">
        <f>IFERROR(IF(F1898&gt;=0,D1898*E1898*(1+F1898/100),ABS(D1898*E1898/F1898)),"")</f>
        <v/>
      </c>
      <c r="H1898" s="43" t="str">
        <f>IFERROR(G1898*E1884,"")</f>
        <v/>
      </c>
    </row>
    <row r="1899" spans="1:10">
      <c r="A1899" s="21"/>
      <c r="B1899" s="22" t="s">
        <v>3732</v>
      </c>
      <c r="C1899" s="23"/>
      <c r="D1899" s="24"/>
      <c r="E1899" s="25"/>
      <c r="F1899" s="26"/>
      <c r="G1899" s="27">
        <f>SUM(G1900:G1902)</f>
        <v>4191.8766786000006</v>
      </c>
      <c r="H1899" s="27">
        <f>IFERROR(G1899*E1884,"")</f>
        <v>0</v>
      </c>
    </row>
    <row r="1900" spans="1:10">
      <c r="A1900" s="28"/>
      <c r="B1900" s="29" t="s">
        <v>3710</v>
      </c>
      <c r="C1900" s="30" t="str">
        <f>IFERROR(_xlfn.XLOOKUP(B1900,MObra[DESCRIPCION],MObra[UN],,0),"")</f>
        <v>día</v>
      </c>
      <c r="D1900" s="31">
        <v>1</v>
      </c>
      <c r="E1900" s="32">
        <f>IFERROR(_xlfn.XLOOKUP($B1900,MObra[DESCRIPCION],MObra[VALOR UNIT],,0),"")</f>
        <v>314390.75089500006</v>
      </c>
      <c r="F1900" s="33">
        <v>-75</v>
      </c>
      <c r="G1900" s="34">
        <f>IFERROR(IF(F1900&gt;=0,D1900*E1900*(1+F1900/100),ABS(D1900*E1900/F1900)),"")</f>
        <v>4191.8766786000006</v>
      </c>
      <c r="H1900" s="43">
        <f>IFERROR(G1900*E1884,"")</f>
        <v>0</v>
      </c>
    </row>
    <row r="1901" spans="1:10">
      <c r="A1901" s="28"/>
      <c r="B1901" s="29"/>
      <c r="C1901" s="30" t="str">
        <f>IFERROR(_xlfn.XLOOKUP(B1901,MObra[DESCRIPCION],MObra[UN],,0),"")</f>
        <v/>
      </c>
      <c r="D1901" s="31"/>
      <c r="E1901" s="32" t="str">
        <f>IFERROR(_xlfn.XLOOKUP($B1901,MObra[DESCRIPCION],MObra[VALOR UNIT],,0),"")</f>
        <v/>
      </c>
      <c r="F1901" s="33"/>
      <c r="G1901" s="34" t="str">
        <f>IFERROR(IF(F1901&gt;=0,D1901*E1901*(1+F1901/100),ABS(D1901*E1901/F1901)),"")</f>
        <v/>
      </c>
      <c r="H1901" s="43" t="str">
        <f>IFERROR(G1901*E1884,"")</f>
        <v/>
      </c>
    </row>
    <row r="1902" spans="1:10" ht="13.15" thickBot="1">
      <c r="A1902" s="35"/>
      <c r="B1902" s="36"/>
      <c r="C1902" s="37" t="str">
        <f>IFERROR(_xlfn.XLOOKUP(B1902,MObra[DESCRIPCION],MObra[UN],,0),"")</f>
        <v/>
      </c>
      <c r="D1902" s="38"/>
      <c r="E1902" s="39" t="str">
        <f>IFERROR(_xlfn.XLOOKUP($B1902,MObra[DESCRIPCION],MObra[VALOR UNIT],,0),"")</f>
        <v/>
      </c>
      <c r="F1902" s="40"/>
      <c r="G1902" s="41" t="str">
        <f>IFERROR(IF(F1902&gt;=0,D1902*E1902*(1+F1902/100),ABS(D1902*E1902/F1902)),"")</f>
        <v/>
      </c>
      <c r="H1902" s="42" t="str">
        <f>IFERROR(G1902*E1884,"")</f>
        <v/>
      </c>
    </row>
    <row r="1903" spans="1:10" ht="13.5" thickTop="1" thickBot="1"/>
    <row r="1904" spans="1:10" ht="13.5" thickTop="1" thickBot="1">
      <c r="A1904" s="6" t="s">
        <v>2230</v>
      </c>
      <c r="B1904" s="7" t="str">
        <f>VLOOKUP($A1904,Presupuesto!$A:$D,2,FALSE())</f>
        <v>Tuberia PEAD PN 10 DN 110 mm</v>
      </c>
      <c r="C1904" s="8" t="str">
        <f>VLOOKUP($A1904,Presupuesto!$A:$D,3,FALSE())</f>
        <v>M</v>
      </c>
      <c r="D1904" s="9"/>
      <c r="E1904" s="10">
        <f>VLOOKUP($A1904,Presupuesto!$A:$D,4,FALSE())</f>
        <v>0</v>
      </c>
      <c r="F1904" s="11" t="s">
        <v>2589</v>
      </c>
      <c r="G1904" s="12">
        <f>SUM(G1906:G1923)/2</f>
        <v>179879.05687296254</v>
      </c>
      <c r="H1904" s="13">
        <f>ROUND(SUM(H1906:H1923),0)/2</f>
        <v>0</v>
      </c>
      <c r="I1904" s="10">
        <f>VLOOKUP(A1904,Presupuesto!$A:$F,6,0)</f>
        <v>0</v>
      </c>
      <c r="J1904" s="10">
        <f>+H1904-I1904</f>
        <v>0</v>
      </c>
    </row>
    <row r="1905" spans="1:8" ht="13.15" thickTop="1">
      <c r="A1905" s="14"/>
      <c r="B1905" s="15" t="s">
        <v>2586</v>
      </c>
      <c r="C1905" s="15" t="s">
        <v>5</v>
      </c>
      <c r="D1905" s="16" t="s">
        <v>6</v>
      </c>
      <c r="E1905" s="17" t="s">
        <v>7</v>
      </c>
      <c r="F1905" s="18" t="s">
        <v>3728</v>
      </c>
      <c r="G1905" s="19" t="s">
        <v>3729</v>
      </c>
      <c r="H1905" s="20" t="s">
        <v>3797</v>
      </c>
    </row>
    <row r="1906" spans="1:8">
      <c r="A1906" s="21"/>
      <c r="B1906" s="22" t="s">
        <v>3730</v>
      </c>
      <c r="C1906" s="23"/>
      <c r="D1906" s="24"/>
      <c r="E1906" s="25"/>
      <c r="F1906" s="26"/>
      <c r="G1906" s="27">
        <f>SUM(G1907:G1911)</f>
        <v>87804.822000000015</v>
      </c>
      <c r="H1906" s="27">
        <f>IFERROR(G1906*E1904,"")</f>
        <v>0</v>
      </c>
    </row>
    <row r="1907" spans="1:8">
      <c r="A1907" s="28"/>
      <c r="B1907" s="29" t="s">
        <v>3453</v>
      </c>
      <c r="C1907" s="30" t="str">
        <f>IFERROR(_xlfn.XLOOKUP(B1907,Insumo[DESCRIPCION],Insumo[UND],,0),"")</f>
        <v>M</v>
      </c>
      <c r="D1907" s="31">
        <v>1</v>
      </c>
      <c r="E1907" s="32">
        <f>IFERROR(_xlfn.XLOOKUP($B1907,Insumo[DESCRIPCION],Insumo[VALOR],,0),"")</f>
        <v>85247.400000000009</v>
      </c>
      <c r="F1907" s="33">
        <v>3</v>
      </c>
      <c r="G1907" s="34">
        <f>IFERROR(IF(F1907&gt;=0,D1907*E1907*(1+F1907/100),ABS(D1907*E1907/F1907)),"")</f>
        <v>87804.822000000015</v>
      </c>
      <c r="H1907" s="43">
        <f>IFERROR(G1907*E1904,"")</f>
        <v>0</v>
      </c>
    </row>
    <row r="1908" spans="1:8">
      <c r="A1908" s="28"/>
      <c r="B1908" s="29"/>
      <c r="C1908" s="30" t="str">
        <f>IFERROR(_xlfn.XLOOKUP(B1908,Insumo[DESCRIPCION],Insumo[UND],,0),"")</f>
        <v/>
      </c>
      <c r="D1908" s="31"/>
      <c r="E1908" s="32" t="str">
        <f>IFERROR(_xlfn.XLOOKUP($B1908,Insumo[DESCRIPCION],Insumo[VALOR],,0),"")</f>
        <v/>
      </c>
      <c r="F1908" s="33"/>
      <c r="G1908" s="34" t="str">
        <f>IFERROR(IF(F1908&gt;=0,D1908*E1908*(1+F1908/100),ABS(D1908*E1908/F1908)),"")</f>
        <v/>
      </c>
      <c r="H1908" s="43" t="str">
        <f>IFERROR(G1908*E1904,"")</f>
        <v/>
      </c>
    </row>
    <row r="1909" spans="1:8">
      <c r="A1909" s="28"/>
      <c r="B1909" s="29"/>
      <c r="C1909" s="30" t="str">
        <f>IFERROR(_xlfn.XLOOKUP(B1909,Insumo[DESCRIPCION],Insumo[UND],,0),"")</f>
        <v/>
      </c>
      <c r="D1909" s="31"/>
      <c r="E1909" s="32" t="str">
        <f>IFERROR(_xlfn.XLOOKUP($B1909,Insumo[DESCRIPCION],Insumo[VALOR],,0),"")</f>
        <v/>
      </c>
      <c r="F1909" s="33"/>
      <c r="G1909" s="34" t="str">
        <f>IFERROR(IF(F1909&gt;=0,D1909*E1909*(1+F1909/100),ABS(D1909*E1909/F1909)),"")</f>
        <v/>
      </c>
      <c r="H1909" s="43" t="str">
        <f>IFERROR(G1909*E1904,"")</f>
        <v/>
      </c>
    </row>
    <row r="1910" spans="1:8">
      <c r="A1910" s="28"/>
      <c r="B1910" s="29"/>
      <c r="C1910" s="30" t="str">
        <f>IFERROR(_xlfn.XLOOKUP(B1910,Insumo[DESCRIPCION],Insumo[UND],,0),"")</f>
        <v/>
      </c>
      <c r="D1910" s="31"/>
      <c r="E1910" s="32" t="str">
        <f>IFERROR(_xlfn.XLOOKUP($B1910,Insumo[DESCRIPCION],Insumo[VALOR],,0),"")</f>
        <v/>
      </c>
      <c r="F1910" s="33"/>
      <c r="G1910" s="34" t="str">
        <f>IFERROR(IF(F1910&gt;=0,D1910*E1910*(1+F1910/100),ABS(D1910*E1910/F1910)),"")</f>
        <v/>
      </c>
      <c r="H1910" s="43" t="str">
        <f>IFERROR(G1910*E1904,"")</f>
        <v/>
      </c>
    </row>
    <row r="1911" spans="1:8">
      <c r="A1911" s="28"/>
      <c r="B1911" s="29"/>
      <c r="C1911" s="30" t="str">
        <f>IFERROR(_xlfn.XLOOKUP(B1911,Insumo[DESCRIPCION],Insumo[UND],,0),"")</f>
        <v/>
      </c>
      <c r="D1911" s="31"/>
      <c r="E1911" s="32" t="str">
        <f>IFERROR(_xlfn.XLOOKUP($B1911,Insumo[DESCRIPCION],Insumo[VALOR],,0),"")</f>
        <v/>
      </c>
      <c r="F1911" s="33"/>
      <c r="G1911" s="34" t="str">
        <f>IFERROR(IF(F1911&gt;=0,D1911*E1911*(1+F1911/100),ABS(D1911*E1911/F1911)),"")</f>
        <v/>
      </c>
      <c r="H1911" s="43" t="str">
        <f>IFERROR(G1911*E1904,"")</f>
        <v/>
      </c>
    </row>
    <row r="1912" spans="1:8">
      <c r="A1912" s="21"/>
      <c r="B1912" s="22" t="s">
        <v>3731</v>
      </c>
      <c r="C1912" s="23"/>
      <c r="D1912" s="24"/>
      <c r="E1912" s="25"/>
      <c r="F1912" s="26"/>
      <c r="G1912" s="27">
        <f>SUM(G1913:G1916)</f>
        <v>65875.005631712513</v>
      </c>
      <c r="H1912" s="27">
        <f>IFERROR(G1912*E1904,"")</f>
        <v>0</v>
      </c>
    </row>
    <row r="1913" spans="1:8">
      <c r="A1913" s="28"/>
      <c r="B1913" s="29" t="s">
        <v>3636</v>
      </c>
      <c r="C1913" s="30" t="str">
        <f>IFERROR(_xlfn.XLOOKUP(B1913,Equipo[DESCRIPCION],Equipo[UND],,0),"")</f>
        <v>Día</v>
      </c>
      <c r="D1913" s="31">
        <v>1</v>
      </c>
      <c r="E1913" s="32">
        <f>IF(C1913="%MO",G1920,IFERROR(_xlfn.XLOOKUP($B1913,Equipo[DESCRIPCION],Equipo[VALOR],,0),""))</f>
        <v>187543.65</v>
      </c>
      <c r="F1913" s="33">
        <v>-3.5</v>
      </c>
      <c r="G1913" s="34">
        <f>IFERROR(IF(F1913&gt;=0,D1913*E1913*(1+F1913/100),ABS(D1913*E1913/F1913)),"")</f>
        <v>53583.9</v>
      </c>
      <c r="H1913" s="43">
        <f>IFERROR(G1913*E1904,"")</f>
        <v>0</v>
      </c>
    </row>
    <row r="1914" spans="1:8">
      <c r="A1914" s="28"/>
      <c r="B1914" s="29" t="s">
        <v>3637</v>
      </c>
      <c r="C1914" s="30" t="str">
        <f>IFERROR(_xlfn.XLOOKUP(B1914,Equipo[DESCRIPCION],Equipo[UND],,0),"")</f>
        <v>Día</v>
      </c>
      <c r="D1914" s="31">
        <v>1</v>
      </c>
      <c r="E1914" s="32">
        <f>IF(C1914="%MO",G1921,IFERROR(_xlfn.XLOOKUP($B1914,Equipo[DESCRIPCION],Equipo[VALOR],,0),""))</f>
        <v>119198.1</v>
      </c>
      <c r="F1914" s="33">
        <v>-12</v>
      </c>
      <c r="G1914" s="34">
        <f>IFERROR(IF(F1914&gt;=0,D1914*E1914*(1+F1914/100),ABS(D1914*E1914/F1914)),"")</f>
        <v>9933.1750000000011</v>
      </c>
      <c r="H1914" s="43">
        <f>IFERROR(G1914*E1904,"")</f>
        <v>0</v>
      </c>
    </row>
    <row r="1915" spans="1:8">
      <c r="A1915" s="28"/>
      <c r="B1915" s="29" t="s">
        <v>3570</v>
      </c>
      <c r="C1915" s="30" t="str">
        <f>IFERROR(_xlfn.XLOOKUP(B1915,Equipo[DESCRIPCION],Equipo[UND],,0),"")</f>
        <v>%MO</v>
      </c>
      <c r="D1915" s="31">
        <v>0.04</v>
      </c>
      <c r="E1915" s="32">
        <f>IF(C1915="%MO",G1920,IFERROR(_xlfn.XLOOKUP($B1915,Equipo[DESCRIPCION],Equipo[VALOR],,0),""))</f>
        <v>26199.229241250006</v>
      </c>
      <c r="F1915" s="33"/>
      <c r="G1915" s="34">
        <f>IFERROR(IF(F1915&gt;=0,D1915*E1915*(1+F1915/100),ABS(D1915*E1915/F1915)),"")</f>
        <v>1047.9691696500004</v>
      </c>
      <c r="H1915" s="43">
        <f>IFERROR(G1915*E1904,"")</f>
        <v>0</v>
      </c>
    </row>
    <row r="1916" spans="1:8">
      <c r="A1916" s="28"/>
      <c r="B1916" s="29" t="s">
        <v>3626</v>
      </c>
      <c r="C1916" s="30" t="str">
        <f>IFERROR(_xlfn.XLOOKUP(B1916,Equipo[DESCRIPCION],Equipo[UND],,0),"")</f>
        <v>%MO</v>
      </c>
      <c r="D1916" s="31">
        <v>0.05</v>
      </c>
      <c r="E1916" s="32">
        <f>IF(C1916="%MO",G1920,IFERROR(_xlfn.XLOOKUP($B1916,Equipo[DESCRIPCION],Equipo[VALOR],,0),""))</f>
        <v>26199.229241250006</v>
      </c>
      <c r="F1916" s="33"/>
      <c r="G1916" s="34">
        <f>IFERROR(IF(F1916&gt;=0,D1916*E1916*(1+F1916/100),ABS(D1916*E1916/F1916)),"")</f>
        <v>1309.9614620625005</v>
      </c>
      <c r="H1916" s="43">
        <f>IFERROR(G1916*E1904,"")</f>
        <v>0</v>
      </c>
    </row>
    <row r="1917" spans="1:8">
      <c r="A1917" s="21"/>
      <c r="B1917" s="22" t="s">
        <v>2533</v>
      </c>
      <c r="C1917" s="23"/>
      <c r="D1917" s="24"/>
      <c r="E1917" s="25"/>
      <c r="F1917" s="26"/>
      <c r="G1917" s="27">
        <f>SUM(G1918:G1919)</f>
        <v>0</v>
      </c>
      <c r="H1917" s="27">
        <f>IFERROR(G1917*E1904,"")</f>
        <v>0</v>
      </c>
    </row>
    <row r="1918" spans="1:8">
      <c r="A1918" s="28"/>
      <c r="B1918" s="29"/>
      <c r="C1918" s="30" t="str">
        <f>IFERROR(_xlfn.XLOOKUP(B1918,Transporte[DESCRIPCION],Transporte[UND],,0),"")</f>
        <v/>
      </c>
      <c r="D1918" s="31"/>
      <c r="E1918" s="32" t="str">
        <f>IFERROR(_xlfn.XLOOKUP($B1918,Transporte[DESCRIPCION],Transporte[VALOR],,0),"")</f>
        <v/>
      </c>
      <c r="F1918" s="33"/>
      <c r="G1918" s="34" t="str">
        <f>IFERROR(IF(F1918&gt;=0,D1918*E1918*(1+F1918/100),ABS(D1918*E1918/F1918)),"")</f>
        <v/>
      </c>
      <c r="H1918" s="43" t="str">
        <f>IFERROR(G1918*E1904,"")</f>
        <v/>
      </c>
    </row>
    <row r="1919" spans="1:8">
      <c r="A1919" s="28"/>
      <c r="B1919" s="29"/>
      <c r="C1919" s="30" t="str">
        <f>IFERROR(_xlfn.XLOOKUP(B1919,Transporte[DESCRIPCION],Transporte[UND],,0),"")</f>
        <v/>
      </c>
      <c r="D1919" s="31"/>
      <c r="E1919" s="32" t="str">
        <f>IFERROR(_xlfn.XLOOKUP($B1919,Transporte[DESCRIPCION],Transporte[VALOR],,0),"")</f>
        <v/>
      </c>
      <c r="F1919" s="33"/>
      <c r="G1919" s="34" t="str">
        <f>IFERROR(IF(F1919&gt;=0,D1919*E1919*(1+F1919/100),ABS(D1919*E1919/F1919)),"")</f>
        <v/>
      </c>
      <c r="H1919" s="43" t="str">
        <f>IFERROR(G1919*E1904,"")</f>
        <v/>
      </c>
    </row>
    <row r="1920" spans="1:8">
      <c r="A1920" s="21"/>
      <c r="B1920" s="22" t="s">
        <v>3732</v>
      </c>
      <c r="C1920" s="23"/>
      <c r="D1920" s="24"/>
      <c r="E1920" s="25"/>
      <c r="F1920" s="26"/>
      <c r="G1920" s="27">
        <f>SUM(G1921:G1923)</f>
        <v>26199.229241250006</v>
      </c>
      <c r="H1920" s="27">
        <f>IFERROR(G1920*E1904,"")</f>
        <v>0</v>
      </c>
    </row>
    <row r="1921" spans="1:10">
      <c r="A1921" s="28"/>
      <c r="B1921" s="29" t="s">
        <v>3710</v>
      </c>
      <c r="C1921" s="30" t="str">
        <f>IFERROR(_xlfn.XLOOKUP(B1921,MObra[DESCRIPCION],MObra[UN],,0),"")</f>
        <v>día</v>
      </c>
      <c r="D1921" s="31">
        <v>1</v>
      </c>
      <c r="E1921" s="32">
        <f>IFERROR(_xlfn.XLOOKUP($B1921,MObra[DESCRIPCION],MObra[VALOR UNIT],,0),"")</f>
        <v>314390.75089500006</v>
      </c>
      <c r="F1921" s="33">
        <v>-12</v>
      </c>
      <c r="G1921" s="34">
        <f>IFERROR(IF(F1921&gt;=0,D1921*E1921*(1+F1921/100),ABS(D1921*E1921/F1921)),"")</f>
        <v>26199.229241250006</v>
      </c>
      <c r="H1921" s="43">
        <f>IFERROR(G1921*E1904,"")</f>
        <v>0</v>
      </c>
    </row>
    <row r="1922" spans="1:10">
      <c r="A1922" s="28"/>
      <c r="B1922" s="29"/>
      <c r="C1922" s="30" t="str">
        <f>IFERROR(_xlfn.XLOOKUP(B1922,MObra[DESCRIPCION],MObra[UN],,0),"")</f>
        <v/>
      </c>
      <c r="D1922" s="31"/>
      <c r="E1922" s="32" t="str">
        <f>IFERROR(_xlfn.XLOOKUP($B1922,MObra[DESCRIPCION],MObra[VALOR UNIT],,0),"")</f>
        <v/>
      </c>
      <c r="F1922" s="33"/>
      <c r="G1922" s="34" t="str">
        <f>IFERROR(IF(F1922&gt;=0,D1922*E1922*(1+F1922/100),ABS(D1922*E1922/F1922)),"")</f>
        <v/>
      </c>
      <c r="H1922" s="43" t="str">
        <f>IFERROR(G1922*E1904,"")</f>
        <v/>
      </c>
    </row>
    <row r="1923" spans="1:10" ht="13.15" thickBot="1">
      <c r="A1923" s="35"/>
      <c r="B1923" s="36"/>
      <c r="C1923" s="37" t="str">
        <f>IFERROR(_xlfn.XLOOKUP(B1923,MObra[DESCRIPCION],MObra[UN],,0),"")</f>
        <v/>
      </c>
      <c r="D1923" s="38"/>
      <c r="E1923" s="39" t="str">
        <f>IFERROR(_xlfn.XLOOKUP($B1923,MObra[DESCRIPCION],MObra[VALOR UNIT],,0),"")</f>
        <v/>
      </c>
      <c r="F1923" s="40"/>
      <c r="G1923" s="41" t="str">
        <f>IFERROR(IF(F1923&gt;=0,D1923*E1923*(1+F1923/100),ABS(D1923*E1923/F1923)),"")</f>
        <v/>
      </c>
      <c r="H1923" s="42" t="str">
        <f>IFERROR(G1923*E1904,"")</f>
        <v/>
      </c>
    </row>
    <row r="1924" spans="1:10" ht="13.5" thickTop="1" thickBot="1"/>
    <row r="1925" spans="1:10" ht="13.5" thickTop="1" thickBot="1">
      <c r="A1925" s="6" t="s">
        <v>2232</v>
      </c>
      <c r="B1925" s="7" t="str">
        <f>VLOOKUP($A1925,Presupuesto!$A:$D,2,FALSE())</f>
        <v>Tuberia PEAD PN 10 DN 160 mm</v>
      </c>
      <c r="C1925" s="8" t="str">
        <f>VLOOKUP($A1925,Presupuesto!$A:$D,3,FALSE())</f>
        <v>M</v>
      </c>
      <c r="D1925" s="9"/>
      <c r="E1925" s="10">
        <f>VLOOKUP($A1925,Presupuesto!$A:$D,4,FALSE())</f>
        <v>0</v>
      </c>
      <c r="F1925" s="11" t="s">
        <v>2589</v>
      </c>
      <c r="G1925" s="12">
        <f>SUM(G1927:G1944)/2</f>
        <v>208317.02249796252</v>
      </c>
      <c r="H1925" s="13">
        <f>ROUND(SUM(H1927:H1944),0)/2</f>
        <v>0</v>
      </c>
      <c r="I1925" s="10">
        <f>VLOOKUP(A1925,Presupuesto!$A:$F,6,0)</f>
        <v>0</v>
      </c>
      <c r="J1925" s="10">
        <f>+H1925-I1925</f>
        <v>0</v>
      </c>
    </row>
    <row r="1926" spans="1:10" ht="13.15" thickTop="1">
      <c r="A1926" s="14"/>
      <c r="B1926" s="15" t="s">
        <v>2586</v>
      </c>
      <c r="C1926" s="15" t="s">
        <v>5</v>
      </c>
      <c r="D1926" s="16" t="s">
        <v>6</v>
      </c>
      <c r="E1926" s="17" t="s">
        <v>7</v>
      </c>
      <c r="F1926" s="18" t="s">
        <v>3728</v>
      </c>
      <c r="G1926" s="19" t="s">
        <v>3729</v>
      </c>
      <c r="H1926" s="20" t="s">
        <v>3797</v>
      </c>
    </row>
    <row r="1927" spans="1:10">
      <c r="A1927" s="21"/>
      <c r="B1927" s="22" t="s">
        <v>3730</v>
      </c>
      <c r="C1927" s="23"/>
      <c r="D1927" s="24"/>
      <c r="E1927" s="25"/>
      <c r="F1927" s="26"/>
      <c r="G1927" s="27">
        <f>SUM(G1928:G1932)</f>
        <v>111219.29700000001</v>
      </c>
      <c r="H1927" s="27">
        <f>IFERROR(G1927*E1925,"")</f>
        <v>0</v>
      </c>
    </row>
    <row r="1928" spans="1:10">
      <c r="A1928" s="28"/>
      <c r="B1928" s="29" t="s">
        <v>3454</v>
      </c>
      <c r="C1928" s="30" t="str">
        <f>IFERROR(_xlfn.XLOOKUP(B1928,Insumo[DESCRIPCION],Insumo[UND],,0),"")</f>
        <v>M</v>
      </c>
      <c r="D1928" s="31">
        <v>1</v>
      </c>
      <c r="E1928" s="32">
        <f>IFERROR(_xlfn.XLOOKUP($B1928,Insumo[DESCRIPCION],Insumo[VALOR],,0),"")</f>
        <v>107979.90000000001</v>
      </c>
      <c r="F1928" s="33">
        <v>3</v>
      </c>
      <c r="G1928" s="34">
        <f>IFERROR(IF(F1928&gt;=0,D1928*E1928*(1+F1928/100),ABS(D1928*E1928/F1928)),"")</f>
        <v>111219.29700000001</v>
      </c>
      <c r="H1928" s="43">
        <f>IFERROR(G1928*E1925,"")</f>
        <v>0</v>
      </c>
    </row>
    <row r="1929" spans="1:10">
      <c r="A1929" s="28"/>
      <c r="B1929" s="29"/>
      <c r="C1929" s="30" t="str">
        <f>IFERROR(_xlfn.XLOOKUP(B1929,Insumo[DESCRIPCION],Insumo[UND],,0),"")</f>
        <v/>
      </c>
      <c r="D1929" s="31"/>
      <c r="E1929" s="32" t="str">
        <f>IFERROR(_xlfn.XLOOKUP($B1929,Insumo[DESCRIPCION],Insumo[VALOR],,0),"")</f>
        <v/>
      </c>
      <c r="F1929" s="33"/>
      <c r="G1929" s="34" t="str">
        <f>IFERROR(IF(F1929&gt;=0,D1929*E1929*(1+F1929/100),ABS(D1929*E1929/F1929)),"")</f>
        <v/>
      </c>
      <c r="H1929" s="43" t="str">
        <f>IFERROR(G1929*E1925,"")</f>
        <v/>
      </c>
    </row>
    <row r="1930" spans="1:10">
      <c r="A1930" s="28"/>
      <c r="B1930" s="29"/>
      <c r="C1930" s="30" t="str">
        <f>IFERROR(_xlfn.XLOOKUP(B1930,Insumo[DESCRIPCION],Insumo[UND],,0),"")</f>
        <v/>
      </c>
      <c r="D1930" s="31"/>
      <c r="E1930" s="32" t="str">
        <f>IFERROR(_xlfn.XLOOKUP($B1930,Insumo[DESCRIPCION],Insumo[VALOR],,0),"")</f>
        <v/>
      </c>
      <c r="F1930" s="33"/>
      <c r="G1930" s="34" t="str">
        <f>IFERROR(IF(F1930&gt;=0,D1930*E1930*(1+F1930/100),ABS(D1930*E1930/F1930)),"")</f>
        <v/>
      </c>
      <c r="H1930" s="43" t="str">
        <f>IFERROR(G1930*E1925,"")</f>
        <v/>
      </c>
    </row>
    <row r="1931" spans="1:10">
      <c r="A1931" s="28"/>
      <c r="B1931" s="29"/>
      <c r="C1931" s="30" t="str">
        <f>IFERROR(_xlfn.XLOOKUP(B1931,Insumo[DESCRIPCION],Insumo[UND],,0),"")</f>
        <v/>
      </c>
      <c r="D1931" s="31"/>
      <c r="E1931" s="32" t="str">
        <f>IFERROR(_xlfn.XLOOKUP($B1931,Insumo[DESCRIPCION],Insumo[VALOR],,0),"")</f>
        <v/>
      </c>
      <c r="F1931" s="33"/>
      <c r="G1931" s="34" t="str">
        <f>IFERROR(IF(F1931&gt;=0,D1931*E1931*(1+F1931/100),ABS(D1931*E1931/F1931)),"")</f>
        <v/>
      </c>
      <c r="H1931" s="43" t="str">
        <f>IFERROR(G1931*E1925,"")</f>
        <v/>
      </c>
    </row>
    <row r="1932" spans="1:10">
      <c r="A1932" s="28"/>
      <c r="B1932" s="29"/>
      <c r="C1932" s="30" t="str">
        <f>IFERROR(_xlfn.XLOOKUP(B1932,Insumo[DESCRIPCION],Insumo[UND],,0),"")</f>
        <v/>
      </c>
      <c r="D1932" s="31"/>
      <c r="E1932" s="32" t="str">
        <f>IFERROR(_xlfn.XLOOKUP($B1932,Insumo[DESCRIPCION],Insumo[VALOR],,0),"")</f>
        <v/>
      </c>
      <c r="F1932" s="33"/>
      <c r="G1932" s="34" t="str">
        <f>IFERROR(IF(F1932&gt;=0,D1932*E1932*(1+F1932/100),ABS(D1932*E1932/F1932)),"")</f>
        <v/>
      </c>
      <c r="H1932" s="43" t="str">
        <f>IFERROR(G1932*E1925,"")</f>
        <v/>
      </c>
    </row>
    <row r="1933" spans="1:10">
      <c r="A1933" s="21"/>
      <c r="B1933" s="22" t="s">
        <v>3731</v>
      </c>
      <c r="C1933" s="23"/>
      <c r="D1933" s="24"/>
      <c r="E1933" s="25"/>
      <c r="F1933" s="26"/>
      <c r="G1933" s="27">
        <f>SUM(G1934:G1937)</f>
        <v>70898.496256712489</v>
      </c>
      <c r="H1933" s="27">
        <f>IFERROR(G1933*E1925,"")</f>
        <v>0</v>
      </c>
    </row>
    <row r="1934" spans="1:10">
      <c r="A1934" s="28"/>
      <c r="B1934" s="29" t="s">
        <v>3636</v>
      </c>
      <c r="C1934" s="30" t="str">
        <f>IFERROR(_xlfn.XLOOKUP(B1934,Equipo[DESCRIPCION],Equipo[UND],,0),"")</f>
        <v>Día</v>
      </c>
      <c r="D1934" s="31">
        <v>1</v>
      </c>
      <c r="E1934" s="32">
        <f>IF(C1934="%MO",G1941,IFERROR(_xlfn.XLOOKUP($B1934,Equipo[DESCRIPCION],Equipo[VALOR],,0),""))</f>
        <v>187543.65</v>
      </c>
      <c r="F1934" s="33">
        <v>-3.2</v>
      </c>
      <c r="G1934" s="34">
        <f>IFERROR(IF(F1934&gt;=0,D1934*E1934*(1+F1934/100),ABS(D1934*E1934/F1934)),"")</f>
        <v>58607.390624999993</v>
      </c>
      <c r="H1934" s="43">
        <f>IFERROR(G1934*E1925,"")</f>
        <v>0</v>
      </c>
    </row>
    <row r="1935" spans="1:10">
      <c r="A1935" s="28"/>
      <c r="B1935" s="29" t="s">
        <v>3637</v>
      </c>
      <c r="C1935" s="30" t="str">
        <f>IFERROR(_xlfn.XLOOKUP(B1935,Equipo[DESCRIPCION],Equipo[UND],,0),"")</f>
        <v>Día</v>
      </c>
      <c r="D1935" s="31">
        <v>1</v>
      </c>
      <c r="E1935" s="32">
        <f>IF(C1935="%MO",G1942,IFERROR(_xlfn.XLOOKUP($B1935,Equipo[DESCRIPCION],Equipo[VALOR],,0),""))</f>
        <v>119198.1</v>
      </c>
      <c r="F1935" s="33">
        <v>-12</v>
      </c>
      <c r="G1935" s="34">
        <f>IFERROR(IF(F1935&gt;=0,D1935*E1935*(1+F1935/100),ABS(D1935*E1935/F1935)),"")</f>
        <v>9933.1750000000011</v>
      </c>
      <c r="H1935" s="43">
        <f>IFERROR(G1935*E1925,"")</f>
        <v>0</v>
      </c>
    </row>
    <row r="1936" spans="1:10">
      <c r="A1936" s="28"/>
      <c r="B1936" s="29" t="s">
        <v>3570</v>
      </c>
      <c r="C1936" s="30" t="str">
        <f>IFERROR(_xlfn.XLOOKUP(B1936,Equipo[DESCRIPCION],Equipo[UND],,0),"")</f>
        <v>%MO</v>
      </c>
      <c r="D1936" s="31">
        <v>0.04</v>
      </c>
      <c r="E1936" s="32">
        <f>IF(C1936="%MO",G1941,IFERROR(_xlfn.XLOOKUP($B1936,Equipo[DESCRIPCION],Equipo[VALOR],,0),""))</f>
        <v>26199.229241250006</v>
      </c>
      <c r="F1936" s="33"/>
      <c r="G1936" s="34">
        <f>IFERROR(IF(F1936&gt;=0,D1936*E1936*(1+F1936/100),ABS(D1936*E1936/F1936)),"")</f>
        <v>1047.9691696500004</v>
      </c>
      <c r="H1936" s="43">
        <f>IFERROR(G1936*E1925,"")</f>
        <v>0</v>
      </c>
    </row>
    <row r="1937" spans="1:10">
      <c r="A1937" s="28"/>
      <c r="B1937" s="29" t="s">
        <v>3626</v>
      </c>
      <c r="C1937" s="30" t="str">
        <f>IFERROR(_xlfn.XLOOKUP(B1937,Equipo[DESCRIPCION],Equipo[UND],,0),"")</f>
        <v>%MO</v>
      </c>
      <c r="D1937" s="31">
        <v>0.05</v>
      </c>
      <c r="E1937" s="32">
        <f>IF(C1937="%MO",G1941,IFERROR(_xlfn.XLOOKUP($B1937,Equipo[DESCRIPCION],Equipo[VALOR],,0),""))</f>
        <v>26199.229241250006</v>
      </c>
      <c r="F1937" s="33"/>
      <c r="G1937" s="34">
        <f>IFERROR(IF(F1937&gt;=0,D1937*E1937*(1+F1937/100),ABS(D1937*E1937/F1937)),"")</f>
        <v>1309.9614620625005</v>
      </c>
      <c r="H1937" s="43">
        <f>IFERROR(G1937*E1925,"")</f>
        <v>0</v>
      </c>
    </row>
    <row r="1938" spans="1:10">
      <c r="A1938" s="21"/>
      <c r="B1938" s="22" t="s">
        <v>2533</v>
      </c>
      <c r="C1938" s="23"/>
      <c r="D1938" s="24"/>
      <c r="E1938" s="25"/>
      <c r="F1938" s="26"/>
      <c r="G1938" s="27">
        <f>SUM(G1939:G1940)</f>
        <v>0</v>
      </c>
      <c r="H1938" s="27">
        <f>IFERROR(G1938*E1925,"")</f>
        <v>0</v>
      </c>
    </row>
    <row r="1939" spans="1:10">
      <c r="A1939" s="28"/>
      <c r="B1939" s="29"/>
      <c r="C1939" s="30" t="str">
        <f>IFERROR(_xlfn.XLOOKUP(B1939,Transporte[DESCRIPCION],Transporte[UND],,0),"")</f>
        <v/>
      </c>
      <c r="D1939" s="31"/>
      <c r="E1939" s="32" t="str">
        <f>IFERROR(_xlfn.XLOOKUP($B1939,Transporte[DESCRIPCION],Transporte[VALOR],,0),"")</f>
        <v/>
      </c>
      <c r="F1939" s="33"/>
      <c r="G1939" s="34" t="str">
        <f>IFERROR(IF(F1939&gt;=0,D1939*E1939*(1+F1939/100),ABS(D1939*E1939/F1939)),"")</f>
        <v/>
      </c>
      <c r="H1939" s="43" t="str">
        <f>IFERROR(G1939*E1925,"")</f>
        <v/>
      </c>
    </row>
    <row r="1940" spans="1:10">
      <c r="A1940" s="28"/>
      <c r="B1940" s="29"/>
      <c r="C1940" s="30" t="str">
        <f>IFERROR(_xlfn.XLOOKUP(B1940,Transporte[DESCRIPCION],Transporte[UND],,0),"")</f>
        <v/>
      </c>
      <c r="D1940" s="31"/>
      <c r="E1940" s="32" t="str">
        <f>IFERROR(_xlfn.XLOOKUP($B1940,Transporte[DESCRIPCION],Transporte[VALOR],,0),"")</f>
        <v/>
      </c>
      <c r="F1940" s="33"/>
      <c r="G1940" s="34" t="str">
        <f>IFERROR(IF(F1940&gt;=0,D1940*E1940*(1+F1940/100),ABS(D1940*E1940/F1940)),"")</f>
        <v/>
      </c>
      <c r="H1940" s="43" t="str">
        <f>IFERROR(G1940*E1925,"")</f>
        <v/>
      </c>
    </row>
    <row r="1941" spans="1:10">
      <c r="A1941" s="21"/>
      <c r="B1941" s="22" t="s">
        <v>3732</v>
      </c>
      <c r="C1941" s="23"/>
      <c r="D1941" s="24"/>
      <c r="E1941" s="25"/>
      <c r="F1941" s="26"/>
      <c r="G1941" s="27">
        <f>SUM(G1942:G1944)</f>
        <v>26199.229241250006</v>
      </c>
      <c r="H1941" s="27">
        <f>IFERROR(G1941*E1925,"")</f>
        <v>0</v>
      </c>
    </row>
    <row r="1942" spans="1:10">
      <c r="A1942" s="28"/>
      <c r="B1942" s="29" t="s">
        <v>3710</v>
      </c>
      <c r="C1942" s="30" t="str">
        <f>IFERROR(_xlfn.XLOOKUP(B1942,MObra[DESCRIPCION],MObra[UN],,0),"")</f>
        <v>día</v>
      </c>
      <c r="D1942" s="31">
        <v>1</v>
      </c>
      <c r="E1942" s="32">
        <f>IFERROR(_xlfn.XLOOKUP($B1942,MObra[DESCRIPCION],MObra[VALOR UNIT],,0),"")</f>
        <v>314390.75089500006</v>
      </c>
      <c r="F1942" s="33">
        <v>-12</v>
      </c>
      <c r="G1942" s="34">
        <f>IFERROR(IF(F1942&gt;=0,D1942*E1942*(1+F1942/100),ABS(D1942*E1942/F1942)),"")</f>
        <v>26199.229241250006</v>
      </c>
      <c r="H1942" s="43">
        <f>IFERROR(G1942*E1925,"")</f>
        <v>0</v>
      </c>
    </row>
    <row r="1943" spans="1:10">
      <c r="A1943" s="28"/>
      <c r="B1943" s="29"/>
      <c r="C1943" s="30" t="str">
        <f>IFERROR(_xlfn.XLOOKUP(B1943,MObra[DESCRIPCION],MObra[UN],,0),"")</f>
        <v/>
      </c>
      <c r="D1943" s="31"/>
      <c r="E1943" s="32" t="str">
        <f>IFERROR(_xlfn.XLOOKUP($B1943,MObra[DESCRIPCION],MObra[VALOR UNIT],,0),"")</f>
        <v/>
      </c>
      <c r="F1943" s="33"/>
      <c r="G1943" s="34" t="str">
        <f>IFERROR(IF(F1943&gt;=0,D1943*E1943*(1+F1943/100),ABS(D1943*E1943/F1943)),"")</f>
        <v/>
      </c>
      <c r="H1943" s="43" t="str">
        <f>IFERROR(G1943*E1925,"")</f>
        <v/>
      </c>
    </row>
    <row r="1944" spans="1:10" ht="13.15" thickBot="1">
      <c r="A1944" s="35"/>
      <c r="B1944" s="36"/>
      <c r="C1944" s="37" t="str">
        <f>IFERROR(_xlfn.XLOOKUP(B1944,MObra[DESCRIPCION],MObra[UN],,0),"")</f>
        <v/>
      </c>
      <c r="D1944" s="38"/>
      <c r="E1944" s="39" t="str">
        <f>IFERROR(_xlfn.XLOOKUP($B1944,MObra[DESCRIPCION],MObra[VALOR UNIT],,0),"")</f>
        <v/>
      </c>
      <c r="F1944" s="40"/>
      <c r="G1944" s="41" t="str">
        <f>IFERROR(IF(F1944&gt;=0,D1944*E1944*(1+F1944/100),ABS(D1944*E1944/F1944)),"")</f>
        <v/>
      </c>
      <c r="H1944" s="42" t="str">
        <f>IFERROR(G1944*E1925,"")</f>
        <v/>
      </c>
    </row>
    <row r="1945" spans="1:10" ht="13.5" thickTop="1" thickBot="1"/>
    <row r="1946" spans="1:10" ht="13.5" thickTop="1" thickBot="1">
      <c r="A1946" s="6" t="s">
        <v>2234</v>
      </c>
      <c r="B1946" s="7" t="str">
        <f>VLOOKUP($A1946,Presupuesto!$A:$D,2,FALSE())</f>
        <v>Tuberia PEAD PN 10 DN 200 mm</v>
      </c>
      <c r="C1946" s="8" t="str">
        <f>VLOOKUP($A1946,Presupuesto!$A:$D,3,FALSE())</f>
        <v>M</v>
      </c>
      <c r="D1946" s="9"/>
      <c r="E1946" s="10">
        <f>VLOOKUP($A1946,Presupuesto!$A:$D,4,FALSE())</f>
        <v>0</v>
      </c>
      <c r="F1946" s="11" t="s">
        <v>2589</v>
      </c>
      <c r="G1946" s="12">
        <f>SUM(G1948:G1965)/2</f>
        <v>247345.8943729625</v>
      </c>
      <c r="H1946" s="13">
        <f>ROUND(SUM(H1948:H1965),0)/2</f>
        <v>0</v>
      </c>
      <c r="I1946" s="10">
        <f>VLOOKUP(A1946,Presupuesto!$A:$F,6,0)</f>
        <v>0</v>
      </c>
      <c r="J1946" s="10">
        <f>+H1946-I1946</f>
        <v>0</v>
      </c>
    </row>
    <row r="1947" spans="1:10" ht="13.15" thickTop="1">
      <c r="A1947" s="14"/>
      <c r="B1947" s="15" t="s">
        <v>2586</v>
      </c>
      <c r="C1947" s="15" t="s">
        <v>5</v>
      </c>
      <c r="D1947" s="16" t="s">
        <v>6</v>
      </c>
      <c r="E1947" s="17" t="s">
        <v>7</v>
      </c>
      <c r="F1947" s="18" t="s">
        <v>3728</v>
      </c>
      <c r="G1947" s="19" t="s">
        <v>3729</v>
      </c>
      <c r="H1947" s="20" t="s">
        <v>3797</v>
      </c>
    </row>
    <row r="1948" spans="1:10">
      <c r="A1948" s="21"/>
      <c r="B1948" s="22" t="s">
        <v>3730</v>
      </c>
      <c r="C1948" s="23"/>
      <c r="D1948" s="24"/>
      <c r="E1948" s="25"/>
      <c r="F1948" s="26"/>
      <c r="G1948" s="27">
        <f>SUM(G1949:G1953)</f>
        <v>146341.00949999999</v>
      </c>
      <c r="H1948" s="27">
        <f>IFERROR(G1948*E1946,"")</f>
        <v>0</v>
      </c>
    </row>
    <row r="1949" spans="1:10">
      <c r="A1949" s="28"/>
      <c r="B1949" s="29" t="s">
        <v>3455</v>
      </c>
      <c r="C1949" s="30" t="str">
        <f>IFERROR(_xlfn.XLOOKUP(B1949,Insumo[DESCRIPCION],Insumo[UND],,0),"")</f>
        <v>M</v>
      </c>
      <c r="D1949" s="31">
        <v>1</v>
      </c>
      <c r="E1949" s="32">
        <f>IFERROR(_xlfn.XLOOKUP($B1949,Insumo[DESCRIPCION],Insumo[VALOR],,0),"")</f>
        <v>142078.65</v>
      </c>
      <c r="F1949" s="33">
        <v>3</v>
      </c>
      <c r="G1949" s="34">
        <f>IFERROR(IF(F1949&gt;=0,D1949*E1949*(1+F1949/100),ABS(D1949*E1949/F1949)),"")</f>
        <v>146341.00949999999</v>
      </c>
      <c r="H1949" s="43">
        <f>IFERROR(G1949*E1946,"")</f>
        <v>0</v>
      </c>
    </row>
    <row r="1950" spans="1:10">
      <c r="A1950" s="28"/>
      <c r="B1950" s="29"/>
      <c r="C1950" s="30" t="str">
        <f>IFERROR(_xlfn.XLOOKUP(B1950,Insumo[DESCRIPCION],Insumo[UND],,0),"")</f>
        <v/>
      </c>
      <c r="D1950" s="31"/>
      <c r="E1950" s="32" t="str">
        <f>IFERROR(_xlfn.XLOOKUP($B1950,Insumo[DESCRIPCION],Insumo[VALOR],,0),"")</f>
        <v/>
      </c>
      <c r="F1950" s="33"/>
      <c r="G1950" s="34" t="str">
        <f>IFERROR(IF(F1950&gt;=0,D1950*E1950*(1+F1950/100),ABS(D1950*E1950/F1950)),"")</f>
        <v/>
      </c>
      <c r="H1950" s="43" t="str">
        <f>IFERROR(G1950*E1946,"")</f>
        <v/>
      </c>
    </row>
    <row r="1951" spans="1:10">
      <c r="A1951" s="28"/>
      <c r="B1951" s="29"/>
      <c r="C1951" s="30" t="str">
        <f>IFERROR(_xlfn.XLOOKUP(B1951,Insumo[DESCRIPCION],Insumo[UND],,0),"")</f>
        <v/>
      </c>
      <c r="D1951" s="31"/>
      <c r="E1951" s="32" t="str">
        <f>IFERROR(_xlfn.XLOOKUP($B1951,Insumo[DESCRIPCION],Insumo[VALOR],,0),"")</f>
        <v/>
      </c>
      <c r="F1951" s="33"/>
      <c r="G1951" s="34" t="str">
        <f>IFERROR(IF(F1951&gt;=0,D1951*E1951*(1+F1951/100),ABS(D1951*E1951/F1951)),"")</f>
        <v/>
      </c>
      <c r="H1951" s="43" t="str">
        <f>IFERROR(G1951*E1946,"")</f>
        <v/>
      </c>
    </row>
    <row r="1952" spans="1:10">
      <c r="A1952" s="28"/>
      <c r="B1952" s="29"/>
      <c r="C1952" s="30" t="str">
        <f>IFERROR(_xlfn.XLOOKUP(B1952,Insumo[DESCRIPCION],Insumo[UND],,0),"")</f>
        <v/>
      </c>
      <c r="D1952" s="31"/>
      <c r="E1952" s="32" t="str">
        <f>IFERROR(_xlfn.XLOOKUP($B1952,Insumo[DESCRIPCION],Insumo[VALOR],,0),"")</f>
        <v/>
      </c>
      <c r="F1952" s="33"/>
      <c r="G1952" s="34" t="str">
        <f>IFERROR(IF(F1952&gt;=0,D1952*E1952*(1+F1952/100),ABS(D1952*E1952/F1952)),"")</f>
        <v/>
      </c>
      <c r="H1952" s="43" t="str">
        <f>IFERROR(G1952*E1946,"")</f>
        <v/>
      </c>
    </row>
    <row r="1953" spans="1:10">
      <c r="A1953" s="28"/>
      <c r="B1953" s="29"/>
      <c r="C1953" s="30" t="str">
        <f>IFERROR(_xlfn.XLOOKUP(B1953,Insumo[DESCRIPCION],Insumo[UND],,0),"")</f>
        <v/>
      </c>
      <c r="D1953" s="31"/>
      <c r="E1953" s="32" t="str">
        <f>IFERROR(_xlfn.XLOOKUP($B1953,Insumo[DESCRIPCION],Insumo[VALOR],,0),"")</f>
        <v/>
      </c>
      <c r="F1953" s="33"/>
      <c r="G1953" s="34" t="str">
        <f>IFERROR(IF(F1953&gt;=0,D1953*E1953*(1+F1953/100),ABS(D1953*E1953/F1953)),"")</f>
        <v/>
      </c>
      <c r="H1953" s="43" t="str">
        <f>IFERROR(G1953*E1946,"")</f>
        <v/>
      </c>
    </row>
    <row r="1954" spans="1:10">
      <c r="A1954" s="21"/>
      <c r="B1954" s="22" t="s">
        <v>3731</v>
      </c>
      <c r="C1954" s="23"/>
      <c r="D1954" s="24"/>
      <c r="E1954" s="25"/>
      <c r="F1954" s="26"/>
      <c r="G1954" s="27">
        <f>SUM(G1955:G1958)</f>
        <v>74805.655631712492</v>
      </c>
      <c r="H1954" s="27">
        <f>IFERROR(G1954*E1946,"")</f>
        <v>0</v>
      </c>
    </row>
    <row r="1955" spans="1:10">
      <c r="A1955" s="28"/>
      <c r="B1955" s="29" t="s">
        <v>3636</v>
      </c>
      <c r="C1955" s="30" t="str">
        <f>IFERROR(_xlfn.XLOOKUP(B1955,Equipo[DESCRIPCION],Equipo[UND],,0),"")</f>
        <v>Día</v>
      </c>
      <c r="D1955" s="31">
        <v>1</v>
      </c>
      <c r="E1955" s="32">
        <f>IF(C1955="%MO",G1962,IFERROR(_xlfn.XLOOKUP($B1955,Equipo[DESCRIPCION],Equipo[VALOR],,0),""))</f>
        <v>187543.65</v>
      </c>
      <c r="F1955" s="33">
        <v>-3</v>
      </c>
      <c r="G1955" s="34">
        <f>IFERROR(IF(F1955&gt;=0,D1955*E1955*(1+F1955/100),ABS(D1955*E1955/F1955)),"")</f>
        <v>62514.549999999996</v>
      </c>
      <c r="H1955" s="43">
        <f>IFERROR(G1955*E1946,"")</f>
        <v>0</v>
      </c>
    </row>
    <row r="1956" spans="1:10">
      <c r="A1956" s="28"/>
      <c r="B1956" s="29" t="s">
        <v>3637</v>
      </c>
      <c r="C1956" s="30" t="str">
        <f>IFERROR(_xlfn.XLOOKUP(B1956,Equipo[DESCRIPCION],Equipo[UND],,0),"")</f>
        <v>Día</v>
      </c>
      <c r="D1956" s="31">
        <v>1</v>
      </c>
      <c r="E1956" s="32">
        <f>IF(C1956="%MO",G1963,IFERROR(_xlfn.XLOOKUP($B1956,Equipo[DESCRIPCION],Equipo[VALOR],,0),""))</f>
        <v>119198.1</v>
      </c>
      <c r="F1956" s="33">
        <v>-12</v>
      </c>
      <c r="G1956" s="34">
        <f>IFERROR(IF(F1956&gt;=0,D1956*E1956*(1+F1956/100),ABS(D1956*E1956/F1956)),"")</f>
        <v>9933.1750000000011</v>
      </c>
      <c r="H1956" s="43">
        <f>IFERROR(G1956*E1946,"")</f>
        <v>0</v>
      </c>
    </row>
    <row r="1957" spans="1:10">
      <c r="A1957" s="28"/>
      <c r="B1957" s="29" t="s">
        <v>3570</v>
      </c>
      <c r="C1957" s="30" t="str">
        <f>IFERROR(_xlfn.XLOOKUP(B1957,Equipo[DESCRIPCION],Equipo[UND],,0),"")</f>
        <v>%MO</v>
      </c>
      <c r="D1957" s="31">
        <v>0.04</v>
      </c>
      <c r="E1957" s="32">
        <f>IF(C1957="%MO",G1962,IFERROR(_xlfn.XLOOKUP($B1957,Equipo[DESCRIPCION],Equipo[VALOR],,0),""))</f>
        <v>26199.229241250006</v>
      </c>
      <c r="F1957" s="33"/>
      <c r="G1957" s="34">
        <f>IFERROR(IF(F1957&gt;=0,D1957*E1957*(1+F1957/100),ABS(D1957*E1957/F1957)),"")</f>
        <v>1047.9691696500004</v>
      </c>
      <c r="H1957" s="43">
        <f>IFERROR(G1957*E1946,"")</f>
        <v>0</v>
      </c>
    </row>
    <row r="1958" spans="1:10">
      <c r="A1958" s="28"/>
      <c r="B1958" s="29" t="s">
        <v>3626</v>
      </c>
      <c r="C1958" s="30" t="str">
        <f>IFERROR(_xlfn.XLOOKUP(B1958,Equipo[DESCRIPCION],Equipo[UND],,0),"")</f>
        <v>%MO</v>
      </c>
      <c r="D1958" s="31">
        <v>0.05</v>
      </c>
      <c r="E1958" s="32">
        <f>IF(C1958="%MO",G1962,IFERROR(_xlfn.XLOOKUP($B1958,Equipo[DESCRIPCION],Equipo[VALOR],,0),""))</f>
        <v>26199.229241250006</v>
      </c>
      <c r="F1958" s="33"/>
      <c r="G1958" s="34">
        <f>IFERROR(IF(F1958&gt;=0,D1958*E1958*(1+F1958/100),ABS(D1958*E1958/F1958)),"")</f>
        <v>1309.9614620625005</v>
      </c>
      <c r="H1958" s="43">
        <f>IFERROR(G1958*E1946,"")</f>
        <v>0</v>
      </c>
    </row>
    <row r="1959" spans="1:10">
      <c r="A1959" s="21"/>
      <c r="B1959" s="22" t="s">
        <v>2533</v>
      </c>
      <c r="C1959" s="23"/>
      <c r="D1959" s="24"/>
      <c r="E1959" s="25"/>
      <c r="F1959" s="26"/>
      <c r="G1959" s="27">
        <f>SUM(G1960:G1961)</f>
        <v>0</v>
      </c>
      <c r="H1959" s="27">
        <f>IFERROR(G1959*E1946,"")</f>
        <v>0</v>
      </c>
    </row>
    <row r="1960" spans="1:10">
      <c r="A1960" s="28"/>
      <c r="B1960" s="29"/>
      <c r="C1960" s="30" t="str">
        <f>IFERROR(_xlfn.XLOOKUP(B1960,Transporte[DESCRIPCION],Transporte[UND],,0),"")</f>
        <v/>
      </c>
      <c r="D1960" s="31"/>
      <c r="E1960" s="32" t="str">
        <f>IFERROR(_xlfn.XLOOKUP($B1960,Transporte[DESCRIPCION],Transporte[VALOR],,0),"")</f>
        <v/>
      </c>
      <c r="F1960" s="33"/>
      <c r="G1960" s="34" t="str">
        <f>IFERROR(IF(F1960&gt;=0,D1960*E1960*(1+F1960/100),ABS(D1960*E1960/F1960)),"")</f>
        <v/>
      </c>
      <c r="H1960" s="43" t="str">
        <f>IFERROR(G1960*E1946,"")</f>
        <v/>
      </c>
    </row>
    <row r="1961" spans="1:10">
      <c r="A1961" s="28"/>
      <c r="B1961" s="29"/>
      <c r="C1961" s="30" t="str">
        <f>IFERROR(_xlfn.XLOOKUP(B1961,Transporte[DESCRIPCION],Transporte[UND],,0),"")</f>
        <v/>
      </c>
      <c r="D1961" s="31"/>
      <c r="E1961" s="32" t="str">
        <f>IFERROR(_xlfn.XLOOKUP($B1961,Transporte[DESCRIPCION],Transporte[VALOR],,0),"")</f>
        <v/>
      </c>
      <c r="F1961" s="33"/>
      <c r="G1961" s="34" t="str">
        <f>IFERROR(IF(F1961&gt;=0,D1961*E1961*(1+F1961/100),ABS(D1961*E1961/F1961)),"")</f>
        <v/>
      </c>
      <c r="H1961" s="43" t="str">
        <f>IFERROR(G1961*E1946,"")</f>
        <v/>
      </c>
    </row>
    <row r="1962" spans="1:10">
      <c r="A1962" s="21"/>
      <c r="B1962" s="22" t="s">
        <v>3732</v>
      </c>
      <c r="C1962" s="23"/>
      <c r="D1962" s="24"/>
      <c r="E1962" s="25"/>
      <c r="F1962" s="26"/>
      <c r="G1962" s="27">
        <f>SUM(G1963:G1965)</f>
        <v>26199.229241250006</v>
      </c>
      <c r="H1962" s="27">
        <f>IFERROR(G1962*E1946,"")</f>
        <v>0</v>
      </c>
    </row>
    <row r="1963" spans="1:10">
      <c r="A1963" s="28"/>
      <c r="B1963" s="29" t="s">
        <v>3710</v>
      </c>
      <c r="C1963" s="30" t="str">
        <f>IFERROR(_xlfn.XLOOKUP(B1963,MObra[DESCRIPCION],MObra[UN],,0),"")</f>
        <v>día</v>
      </c>
      <c r="D1963" s="31">
        <v>1</v>
      </c>
      <c r="E1963" s="32">
        <f>IFERROR(_xlfn.XLOOKUP($B1963,MObra[DESCRIPCION],MObra[VALOR UNIT],,0),"")</f>
        <v>314390.75089500006</v>
      </c>
      <c r="F1963" s="33">
        <v>-12</v>
      </c>
      <c r="G1963" s="34">
        <f>IFERROR(IF(F1963&gt;=0,D1963*E1963*(1+F1963/100),ABS(D1963*E1963/F1963)),"")</f>
        <v>26199.229241250006</v>
      </c>
      <c r="H1963" s="43">
        <f>IFERROR(G1963*E1946,"")</f>
        <v>0</v>
      </c>
    </row>
    <row r="1964" spans="1:10">
      <c r="A1964" s="28"/>
      <c r="B1964" s="29"/>
      <c r="C1964" s="30" t="str">
        <f>IFERROR(_xlfn.XLOOKUP(B1964,MObra[DESCRIPCION],MObra[UN],,0),"")</f>
        <v/>
      </c>
      <c r="D1964" s="31"/>
      <c r="E1964" s="32" t="str">
        <f>IFERROR(_xlfn.XLOOKUP($B1964,MObra[DESCRIPCION],MObra[VALOR UNIT],,0),"")</f>
        <v/>
      </c>
      <c r="F1964" s="33"/>
      <c r="G1964" s="34" t="str">
        <f>IFERROR(IF(F1964&gt;=0,D1964*E1964*(1+F1964/100),ABS(D1964*E1964/F1964)),"")</f>
        <v/>
      </c>
      <c r="H1964" s="43" t="str">
        <f>IFERROR(G1964*E1946,"")</f>
        <v/>
      </c>
    </row>
    <row r="1965" spans="1:10" ht="13.15" thickBot="1">
      <c r="A1965" s="35"/>
      <c r="B1965" s="36"/>
      <c r="C1965" s="37" t="str">
        <f>IFERROR(_xlfn.XLOOKUP(B1965,MObra[DESCRIPCION],MObra[UN],,0),"")</f>
        <v/>
      </c>
      <c r="D1965" s="38"/>
      <c r="E1965" s="39" t="str">
        <f>IFERROR(_xlfn.XLOOKUP($B1965,MObra[DESCRIPCION],MObra[VALOR UNIT],,0),"")</f>
        <v/>
      </c>
      <c r="F1965" s="40"/>
      <c r="G1965" s="41" t="str">
        <f>IFERROR(IF(F1965&gt;=0,D1965*E1965*(1+F1965/100),ABS(D1965*E1965/F1965)),"")</f>
        <v/>
      </c>
      <c r="H1965" s="42" t="str">
        <f>IFERROR(G1965*E1946,"")</f>
        <v/>
      </c>
    </row>
    <row r="1966" spans="1:10" ht="13.5" thickTop="1" thickBot="1"/>
    <row r="1967" spans="1:10" ht="13.5" thickTop="1" thickBot="1">
      <c r="A1967" s="6" t="s">
        <v>2236</v>
      </c>
      <c r="B1967" s="7" t="str">
        <f>VLOOKUP($A1967,Presupuesto!$A:$D,2,FALSE())</f>
        <v>Tubería PVC U-Z 2" RDE 21</v>
      </c>
      <c r="C1967" s="8" t="str">
        <f>VLOOKUP($A1967,Presupuesto!$A:$D,3,FALSE())</f>
        <v>M</v>
      </c>
      <c r="D1967" s="9"/>
      <c r="E1967" s="10">
        <f>VLOOKUP($A1967,Presupuesto!$A:$D,4,FALSE())</f>
        <v>0</v>
      </c>
      <c r="F1967" s="11" t="s">
        <v>2589</v>
      </c>
      <c r="G1967" s="12">
        <f>SUM(G1969:G1985)/2</f>
        <v>54572.161921987492</v>
      </c>
      <c r="H1967" s="13">
        <f>ROUND(SUM(H1969:H1985),0)/2</f>
        <v>0</v>
      </c>
      <c r="I1967" s="10">
        <f>VLOOKUP(A1967,Presupuesto!$A:$F,6,0)</f>
        <v>0</v>
      </c>
      <c r="J1967" s="10">
        <f>+H1967-I1967</f>
        <v>0</v>
      </c>
    </row>
    <row r="1968" spans="1:10" ht="13.15" thickTop="1">
      <c r="A1968" s="14"/>
      <c r="B1968" s="15" t="s">
        <v>2586</v>
      </c>
      <c r="C1968" s="15" t="s">
        <v>5</v>
      </c>
      <c r="D1968" s="16" t="s">
        <v>6</v>
      </c>
      <c r="E1968" s="17" t="s">
        <v>7</v>
      </c>
      <c r="F1968" s="18" t="s">
        <v>3728</v>
      </c>
      <c r="G1968" s="19" t="s">
        <v>3729</v>
      </c>
      <c r="H1968" s="20" t="s">
        <v>3797</v>
      </c>
    </row>
    <row r="1969" spans="1:8">
      <c r="A1969" s="21"/>
      <c r="B1969" s="22" t="s">
        <v>3730</v>
      </c>
      <c r="C1969" s="23"/>
      <c r="D1969" s="24"/>
      <c r="E1969" s="25"/>
      <c r="F1969" s="26"/>
      <c r="G1969" s="27">
        <f>SUM(G1970:G1974)</f>
        <v>38066.647499999999</v>
      </c>
      <c r="H1969" s="27">
        <f>IFERROR(G1969*E1967,"")</f>
        <v>0</v>
      </c>
    </row>
    <row r="1970" spans="1:8">
      <c r="A1970" s="28"/>
      <c r="B1970" s="29" t="s">
        <v>3497</v>
      </c>
      <c r="C1970" s="30" t="str">
        <f>IFERROR(_xlfn.XLOOKUP(B1970,Insumo[DESCRIPCION],Insumo[UND],,0),"")</f>
        <v>M</v>
      </c>
      <c r="D1970" s="31">
        <v>1</v>
      </c>
      <c r="E1970" s="32">
        <f>IFERROR(_xlfn.XLOOKUP($B1970,Insumo[DESCRIPCION],Insumo[VALOR],,0),"")</f>
        <v>29006.25</v>
      </c>
      <c r="F1970" s="33">
        <v>5</v>
      </c>
      <c r="G1970" s="34">
        <f>IFERROR(IF(F1970&gt;=0,D1970*E1970*(1+F1970/100),ABS(D1970*E1970/F1970)),"")</f>
        <v>30456.5625</v>
      </c>
      <c r="H1970" s="43">
        <f>IFERROR(G1970*E1967,"")</f>
        <v>0</v>
      </c>
    </row>
    <row r="1971" spans="1:8">
      <c r="A1971" s="28"/>
      <c r="B1971" s="29" t="s">
        <v>2642</v>
      </c>
      <c r="C1971" s="30" t="str">
        <f>IFERROR(_xlfn.XLOOKUP(B1971,Insumo[DESCRIPCION],Insumo[UND],,0),"")</f>
        <v>Un</v>
      </c>
      <c r="D1971" s="31">
        <v>0.3</v>
      </c>
      <c r="E1971" s="32">
        <f>IFERROR(_xlfn.XLOOKUP($B1971,Insumo[DESCRIPCION],Insumo[VALOR],,0),"")</f>
        <v>25366.95</v>
      </c>
      <c r="F1971" s="33"/>
      <c r="G1971" s="34">
        <f>IFERROR(IF(F1971&gt;=0,D1971*E1971*(1+F1971/100),ABS(D1971*E1971/F1971)),"")</f>
        <v>7610.085</v>
      </c>
      <c r="H1971" s="43">
        <f>IFERROR(G1971*E1967,"")</f>
        <v>0</v>
      </c>
    </row>
    <row r="1972" spans="1:8">
      <c r="A1972" s="28"/>
      <c r="B1972" s="29"/>
      <c r="C1972" s="30" t="str">
        <f>IFERROR(_xlfn.XLOOKUP(B1972,Insumo[DESCRIPCION],Insumo[UND],,0),"")</f>
        <v/>
      </c>
      <c r="D1972" s="31"/>
      <c r="E1972" s="32" t="str">
        <f>IFERROR(_xlfn.XLOOKUP($B1972,Insumo[DESCRIPCION],Insumo[VALOR],,0),"")</f>
        <v/>
      </c>
      <c r="F1972" s="33"/>
      <c r="G1972" s="34" t="str">
        <f>IFERROR(IF(F1972&gt;=0,D1972*E1972*(1+F1972/100),ABS(D1972*E1972/F1972)),"")</f>
        <v/>
      </c>
      <c r="H1972" s="43" t="str">
        <f>IFERROR(G1972*E1967,"")</f>
        <v/>
      </c>
    </row>
    <row r="1973" spans="1:8">
      <c r="A1973" s="28"/>
      <c r="B1973" s="29"/>
      <c r="C1973" s="30" t="str">
        <f>IFERROR(_xlfn.XLOOKUP(B1973,Insumo[DESCRIPCION],Insumo[UND],,0),"")</f>
        <v/>
      </c>
      <c r="D1973" s="31"/>
      <c r="E1973" s="32" t="str">
        <f>IFERROR(_xlfn.XLOOKUP($B1973,Insumo[DESCRIPCION],Insumo[VALOR],,0),"")</f>
        <v/>
      </c>
      <c r="F1973" s="33"/>
      <c r="G1973" s="34" t="str">
        <f>IFERROR(IF(F1973&gt;=0,D1973*E1973*(1+F1973/100),ABS(D1973*E1973/F1973)),"")</f>
        <v/>
      </c>
      <c r="H1973" s="43" t="str">
        <f>IFERROR(G1973*E1967,"")</f>
        <v/>
      </c>
    </row>
    <row r="1974" spans="1:8">
      <c r="A1974" s="28"/>
      <c r="B1974" s="29"/>
      <c r="C1974" s="30" t="str">
        <f>IFERROR(_xlfn.XLOOKUP(B1974,Insumo[DESCRIPCION],Insumo[UND],,0),"")</f>
        <v/>
      </c>
      <c r="D1974" s="31"/>
      <c r="E1974" s="32" t="str">
        <f>IFERROR(_xlfn.XLOOKUP($B1974,Insumo[DESCRIPCION],Insumo[VALOR],,0),"")</f>
        <v/>
      </c>
      <c r="F1974" s="33"/>
      <c r="G1974" s="34" t="str">
        <f>IFERROR(IF(F1974&gt;=0,D1974*E1974*(1+F1974/100),ABS(D1974*E1974/F1974)),"")</f>
        <v/>
      </c>
      <c r="H1974" s="43" t="str">
        <f>IFERROR(G1974*E1967,"")</f>
        <v/>
      </c>
    </row>
    <row r="1975" spans="1:8">
      <c r="A1975" s="21"/>
      <c r="B1975" s="22" t="s">
        <v>3731</v>
      </c>
      <c r="C1975" s="23"/>
      <c r="D1975" s="24"/>
      <c r="E1975" s="25"/>
      <c r="F1975" s="26"/>
      <c r="G1975" s="27">
        <f>SUM(G1976:G1978)</f>
        <v>785.97687723750016</v>
      </c>
      <c r="H1975" s="27">
        <f>IFERROR(G1975*E1967,"")</f>
        <v>0</v>
      </c>
    </row>
    <row r="1976" spans="1:8">
      <c r="A1976" s="28"/>
      <c r="B1976" s="29" t="s">
        <v>3626</v>
      </c>
      <c r="C1976" s="30" t="str">
        <f>IFERROR(_xlfn.XLOOKUP(B1976,Equipo[DESCRIPCION],Equipo[UND],,0),"")</f>
        <v>%MO</v>
      </c>
      <c r="D1976" s="31">
        <v>0.05</v>
      </c>
      <c r="E1976" s="32">
        <f>IF(C1976="%MO",G1982,IFERROR(_xlfn.XLOOKUP($B1976,Equipo[DESCRIPCION],Equipo[VALOR],,0),""))</f>
        <v>15719.537544750003</v>
      </c>
      <c r="F1976" s="33"/>
      <c r="G1976" s="34">
        <f>IFERROR(IF(F1976&gt;=0,D1976*E1976*(1+F1976/100),ABS(D1976*E1976/F1976)),"")</f>
        <v>785.97687723750016</v>
      </c>
      <c r="H1976" s="43">
        <f>IFERROR(G1976*E1967,"")</f>
        <v>0</v>
      </c>
    </row>
    <row r="1977" spans="1:8">
      <c r="A1977" s="28"/>
      <c r="B1977" s="29"/>
      <c r="C1977" s="30" t="str">
        <f>IFERROR(_xlfn.XLOOKUP(B1977,Equipo[DESCRIPCION],Equipo[UND],,0),"")</f>
        <v/>
      </c>
      <c r="D1977" s="31"/>
      <c r="E1977" s="32" t="str">
        <f>IF(C1977="%MO",G1982,IFERROR(_xlfn.XLOOKUP($B1977,Equipo[DESCRIPCION],Equipo[VALOR],,0),""))</f>
        <v/>
      </c>
      <c r="F1977" s="33"/>
      <c r="G1977" s="34" t="str">
        <f>IFERROR(IF(F1977&gt;=0,D1977*E1977*(1+F1977/100),ABS(D1977*E1977/F1977)),"")</f>
        <v/>
      </c>
      <c r="H1977" s="43" t="str">
        <f>IFERROR(G1977*E1967,"")</f>
        <v/>
      </c>
    </row>
    <row r="1978" spans="1:8">
      <c r="A1978" s="28"/>
      <c r="B1978" s="29"/>
      <c r="C1978" s="30" t="str">
        <f>IFERROR(_xlfn.XLOOKUP(B1978,Equipo[DESCRIPCION],Equipo[UND],,0),"")</f>
        <v/>
      </c>
      <c r="D1978" s="31"/>
      <c r="E1978" s="32" t="str">
        <f>IF(C1978="%MO",G1982,IFERROR(_xlfn.XLOOKUP($B1978,Equipo[DESCRIPCION],Equipo[VALOR],,0),""))</f>
        <v/>
      </c>
      <c r="F1978" s="33"/>
      <c r="G1978" s="34" t="str">
        <f>IFERROR(IF(F1978&gt;=0,D1978*E1978*(1+F1978/100),ABS(D1978*E1978/F1978)),"")</f>
        <v/>
      </c>
      <c r="H1978" s="43" t="str">
        <f>IFERROR(G1978*E1967,"")</f>
        <v/>
      </c>
    </row>
    <row r="1979" spans="1:8">
      <c r="A1979" s="21"/>
      <c r="B1979" s="22" t="s">
        <v>2533</v>
      </c>
      <c r="C1979" s="23"/>
      <c r="D1979" s="24"/>
      <c r="E1979" s="25"/>
      <c r="F1979" s="26"/>
      <c r="G1979" s="27">
        <f>SUM(G1980:G1981)</f>
        <v>0</v>
      </c>
      <c r="H1979" s="27">
        <f>IFERROR(G1979*E1967,"")</f>
        <v>0</v>
      </c>
    </row>
    <row r="1980" spans="1:8">
      <c r="A1980" s="28"/>
      <c r="B1980" s="29"/>
      <c r="C1980" s="30" t="str">
        <f>IFERROR(_xlfn.XLOOKUP(B1980,Transporte[DESCRIPCION],Transporte[UND],,0),"")</f>
        <v/>
      </c>
      <c r="D1980" s="31"/>
      <c r="E1980" s="32" t="str">
        <f>IFERROR(_xlfn.XLOOKUP($B1980,Transporte[DESCRIPCION],Transporte[VALOR],,0),"")</f>
        <v/>
      </c>
      <c r="F1980" s="33"/>
      <c r="G1980" s="34" t="str">
        <f>IFERROR(IF(F1980&gt;=0,D1980*E1980*(1+F1980/100),ABS(D1980*E1980/F1980)),"")</f>
        <v/>
      </c>
      <c r="H1980" s="43" t="str">
        <f>IFERROR(G1980*E1967,"")</f>
        <v/>
      </c>
    </row>
    <row r="1981" spans="1:8">
      <c r="A1981" s="28"/>
      <c r="B1981" s="29"/>
      <c r="C1981" s="30" t="str">
        <f>IFERROR(_xlfn.XLOOKUP(B1981,Transporte[DESCRIPCION],Transporte[UND],,0),"")</f>
        <v/>
      </c>
      <c r="D1981" s="31"/>
      <c r="E1981" s="32" t="str">
        <f>IFERROR(_xlfn.XLOOKUP($B1981,Transporte[DESCRIPCION],Transporte[VALOR],,0),"")</f>
        <v/>
      </c>
      <c r="F1981" s="33"/>
      <c r="G1981" s="34" t="str">
        <f>IFERROR(IF(F1981&gt;=0,D1981*E1981*(1+F1981/100),ABS(D1981*E1981/F1981)),"")</f>
        <v/>
      </c>
      <c r="H1981" s="43" t="str">
        <f>IFERROR(G1981*E1967,"")</f>
        <v/>
      </c>
    </row>
    <row r="1982" spans="1:8">
      <c r="A1982" s="21"/>
      <c r="B1982" s="22" t="s">
        <v>3732</v>
      </c>
      <c r="C1982" s="23"/>
      <c r="D1982" s="24"/>
      <c r="E1982" s="25"/>
      <c r="F1982" s="26"/>
      <c r="G1982" s="27">
        <f>SUM(G1983:G1985)</f>
        <v>15719.537544750003</v>
      </c>
      <c r="H1982" s="27">
        <f>IFERROR(G1982*E1967,"")</f>
        <v>0</v>
      </c>
    </row>
    <row r="1983" spans="1:8">
      <c r="A1983" s="28"/>
      <c r="B1983" s="29" t="s">
        <v>3710</v>
      </c>
      <c r="C1983" s="30" t="str">
        <f>IFERROR(_xlfn.XLOOKUP(B1983,MObra[DESCRIPCION],MObra[UN],,0),"")</f>
        <v>día</v>
      </c>
      <c r="D1983" s="31">
        <v>1</v>
      </c>
      <c r="E1983" s="32">
        <f>IFERROR(_xlfn.XLOOKUP($B1983,MObra[DESCRIPCION],MObra[VALOR UNIT],,0),"")</f>
        <v>314390.75089500006</v>
      </c>
      <c r="F1983" s="33">
        <v>-20</v>
      </c>
      <c r="G1983" s="34">
        <f>IFERROR(IF(F1983&gt;=0,D1983*E1983*(1+F1983/100),ABS(D1983*E1983/F1983)),"")</f>
        <v>15719.537544750003</v>
      </c>
      <c r="H1983" s="43">
        <f>IFERROR(G1983*E1967,"")</f>
        <v>0</v>
      </c>
    </row>
    <row r="1984" spans="1:8">
      <c r="A1984" s="28"/>
      <c r="B1984" s="29"/>
      <c r="C1984" s="30" t="str">
        <f>IFERROR(_xlfn.XLOOKUP(B1984,MObra[DESCRIPCION],MObra[UN],,0),"")</f>
        <v/>
      </c>
      <c r="D1984" s="31"/>
      <c r="E1984" s="32" t="str">
        <f>IFERROR(_xlfn.XLOOKUP($B1984,MObra[DESCRIPCION],MObra[VALOR UNIT],,0),"")</f>
        <v/>
      </c>
      <c r="F1984" s="33"/>
      <c r="G1984" s="34" t="str">
        <f>IFERROR(IF(F1984&gt;=0,D1984*E1984*(1+F1984/100),ABS(D1984*E1984/F1984)),"")</f>
        <v/>
      </c>
      <c r="H1984" s="43" t="str">
        <f>IFERROR(G1984*E1967,"")</f>
        <v/>
      </c>
    </row>
    <row r="1985" spans="1:10" ht="13.15" thickBot="1">
      <c r="A1985" s="35"/>
      <c r="B1985" s="36"/>
      <c r="C1985" s="37" t="str">
        <f>IFERROR(_xlfn.XLOOKUP(B1985,MObra[DESCRIPCION],MObra[UN],,0),"")</f>
        <v/>
      </c>
      <c r="D1985" s="38"/>
      <c r="E1985" s="39" t="str">
        <f>IFERROR(_xlfn.XLOOKUP($B1985,MObra[DESCRIPCION],MObra[VALOR UNIT],,0),"")</f>
        <v/>
      </c>
      <c r="F1985" s="40"/>
      <c r="G1985" s="41" t="str">
        <f>IFERROR(IF(F1985&gt;=0,D1985*E1985*(1+F1985/100),ABS(D1985*E1985/F1985)),"")</f>
        <v/>
      </c>
      <c r="H1985" s="42" t="str">
        <f>IFERROR(G1985*E1967,"")</f>
        <v/>
      </c>
    </row>
    <row r="1986" spans="1:10" ht="13.5" thickTop="1" thickBot="1"/>
    <row r="1987" spans="1:10" ht="13.5" thickTop="1" thickBot="1">
      <c r="A1987" s="6" t="s">
        <v>2238</v>
      </c>
      <c r="B1987" s="7" t="str">
        <f>VLOOKUP($A1987,Presupuesto!$A:$D,2,FALSE())</f>
        <v>Tubería PVC U-Z 2-1/2" RDE 21</v>
      </c>
      <c r="C1987" s="8" t="str">
        <f>VLOOKUP($A1987,Presupuesto!$A:$D,3,FALSE())</f>
        <v>M</v>
      </c>
      <c r="D1987" s="9"/>
      <c r="E1987" s="10">
        <f>VLOOKUP($A1987,Presupuesto!$A:$D,4,FALSE())</f>
        <v>0</v>
      </c>
      <c r="F1987" s="11" t="s">
        <v>2589</v>
      </c>
      <c r="G1987" s="12">
        <f>SUM(G1989:G2005)/2</f>
        <v>87070.711921987502</v>
      </c>
      <c r="H1987" s="13">
        <f>ROUND(SUM(H1989:H2005),0)/2</f>
        <v>0</v>
      </c>
      <c r="I1987" s="10">
        <f>VLOOKUP(A1987,Presupuesto!$A:$F,6,0)</f>
        <v>0</v>
      </c>
      <c r="J1987" s="10">
        <f>+H1987-I1987</f>
        <v>0</v>
      </c>
    </row>
    <row r="1988" spans="1:10" ht="13.15" thickTop="1">
      <c r="A1988" s="14"/>
      <c r="B1988" s="15" t="s">
        <v>2586</v>
      </c>
      <c r="C1988" s="15" t="s">
        <v>5</v>
      </c>
      <c r="D1988" s="16" t="s">
        <v>6</v>
      </c>
      <c r="E1988" s="17" t="s">
        <v>7</v>
      </c>
      <c r="F1988" s="18" t="s">
        <v>3728</v>
      </c>
      <c r="G1988" s="19" t="s">
        <v>3729</v>
      </c>
      <c r="H1988" s="20" t="s">
        <v>3797</v>
      </c>
    </row>
    <row r="1989" spans="1:10">
      <c r="A1989" s="21"/>
      <c r="B1989" s="22" t="s">
        <v>3730</v>
      </c>
      <c r="C1989" s="23"/>
      <c r="D1989" s="24"/>
      <c r="E1989" s="25"/>
      <c r="F1989" s="26"/>
      <c r="G1989" s="27">
        <f>SUM(G1990:G1994)</f>
        <v>70565.197500000009</v>
      </c>
      <c r="H1989" s="27">
        <f>IFERROR(G1989*E1987,"")</f>
        <v>0</v>
      </c>
    </row>
    <row r="1990" spans="1:10">
      <c r="A1990" s="28"/>
      <c r="B1990" s="29" t="s">
        <v>3496</v>
      </c>
      <c r="C1990" s="30" t="str">
        <f>IFERROR(_xlfn.XLOOKUP(B1990,Insumo[DESCRIPCION],Insumo[UND],,0),"")</f>
        <v>M</v>
      </c>
      <c r="D1990" s="31">
        <v>1</v>
      </c>
      <c r="E1990" s="32">
        <f>IFERROR(_xlfn.XLOOKUP($B1990,Insumo[DESCRIPCION],Insumo[VALOR],,0),"")</f>
        <v>46948.65</v>
      </c>
      <c r="F1990" s="33">
        <v>5</v>
      </c>
      <c r="G1990" s="34">
        <f>IFERROR(IF(F1990&gt;=0,D1990*E1990*(1+F1990/100),ABS(D1990*E1990/F1990)),"")</f>
        <v>49296.082500000004</v>
      </c>
      <c r="H1990" s="43">
        <f>IFERROR(G1990*E1987,"")</f>
        <v>0</v>
      </c>
    </row>
    <row r="1991" spans="1:10">
      <c r="A1991" s="28"/>
      <c r="B1991" s="29" t="s">
        <v>2641</v>
      </c>
      <c r="C1991" s="30" t="str">
        <f>IFERROR(_xlfn.XLOOKUP(B1991,Insumo[DESCRIPCION],Insumo[UND],,0),"")</f>
        <v>Un</v>
      </c>
      <c r="D1991" s="31">
        <v>0.3</v>
      </c>
      <c r="E1991" s="32">
        <f>IFERROR(_xlfn.XLOOKUP($B1991,Insumo[DESCRIPCION],Insumo[VALOR],,0),"")</f>
        <v>70897.05</v>
      </c>
      <c r="F1991" s="33"/>
      <c r="G1991" s="34">
        <f>IFERROR(IF(F1991&gt;=0,D1991*E1991*(1+F1991/100),ABS(D1991*E1991/F1991)),"")</f>
        <v>21269.115000000002</v>
      </c>
      <c r="H1991" s="43">
        <f>IFERROR(G1991*E1987,"")</f>
        <v>0</v>
      </c>
    </row>
    <row r="1992" spans="1:10">
      <c r="A1992" s="28"/>
      <c r="B1992" s="29"/>
      <c r="C1992" s="30" t="str">
        <f>IFERROR(_xlfn.XLOOKUP(B1992,Insumo[DESCRIPCION],Insumo[UND],,0),"")</f>
        <v/>
      </c>
      <c r="D1992" s="31"/>
      <c r="E1992" s="32" t="str">
        <f>IFERROR(_xlfn.XLOOKUP($B1992,Insumo[DESCRIPCION],Insumo[VALOR],,0),"")</f>
        <v/>
      </c>
      <c r="F1992" s="33"/>
      <c r="G1992" s="34" t="str">
        <f>IFERROR(IF(F1992&gt;=0,D1992*E1992*(1+F1992/100),ABS(D1992*E1992/F1992)),"")</f>
        <v/>
      </c>
      <c r="H1992" s="43" t="str">
        <f>IFERROR(G1992*E1987,"")</f>
        <v/>
      </c>
    </row>
    <row r="1993" spans="1:10">
      <c r="A1993" s="28"/>
      <c r="B1993" s="29"/>
      <c r="C1993" s="30" t="str">
        <f>IFERROR(_xlfn.XLOOKUP(B1993,Insumo[DESCRIPCION],Insumo[UND],,0),"")</f>
        <v/>
      </c>
      <c r="D1993" s="31"/>
      <c r="E1993" s="32" t="str">
        <f>IFERROR(_xlfn.XLOOKUP($B1993,Insumo[DESCRIPCION],Insumo[VALOR],,0),"")</f>
        <v/>
      </c>
      <c r="F1993" s="33"/>
      <c r="G1993" s="34" t="str">
        <f>IFERROR(IF(F1993&gt;=0,D1993*E1993*(1+F1993/100),ABS(D1993*E1993/F1993)),"")</f>
        <v/>
      </c>
      <c r="H1993" s="43" t="str">
        <f>IFERROR(G1993*E1987,"")</f>
        <v/>
      </c>
    </row>
    <row r="1994" spans="1:10">
      <c r="A1994" s="28"/>
      <c r="B1994" s="29"/>
      <c r="C1994" s="30" t="str">
        <f>IFERROR(_xlfn.XLOOKUP(B1994,Insumo[DESCRIPCION],Insumo[UND],,0),"")</f>
        <v/>
      </c>
      <c r="D1994" s="31"/>
      <c r="E1994" s="32" t="str">
        <f>IFERROR(_xlfn.XLOOKUP($B1994,Insumo[DESCRIPCION],Insumo[VALOR],,0),"")</f>
        <v/>
      </c>
      <c r="F1994" s="33"/>
      <c r="G1994" s="34" t="str">
        <f>IFERROR(IF(F1994&gt;=0,D1994*E1994*(1+F1994/100),ABS(D1994*E1994/F1994)),"")</f>
        <v/>
      </c>
      <c r="H1994" s="43" t="str">
        <f>IFERROR(G1994*E1987,"")</f>
        <v/>
      </c>
    </row>
    <row r="1995" spans="1:10">
      <c r="A1995" s="21"/>
      <c r="B1995" s="22" t="s">
        <v>3731</v>
      </c>
      <c r="C1995" s="23"/>
      <c r="D1995" s="24"/>
      <c r="E1995" s="25"/>
      <c r="F1995" s="26"/>
      <c r="G1995" s="27">
        <f>SUM(G1996:G1998)</f>
        <v>785.97687723750016</v>
      </c>
      <c r="H1995" s="27">
        <f>IFERROR(G1995*E1987,"")</f>
        <v>0</v>
      </c>
    </row>
    <row r="1996" spans="1:10">
      <c r="A1996" s="28"/>
      <c r="B1996" s="29" t="s">
        <v>3626</v>
      </c>
      <c r="C1996" s="30" t="str">
        <f>IFERROR(_xlfn.XLOOKUP(B1996,Equipo[DESCRIPCION],Equipo[UND],,0),"")</f>
        <v>%MO</v>
      </c>
      <c r="D1996" s="31">
        <v>0.05</v>
      </c>
      <c r="E1996" s="32">
        <f>IF(C1996="%MO",G2002,IFERROR(_xlfn.XLOOKUP($B1996,Equipo[DESCRIPCION],Equipo[VALOR],,0),""))</f>
        <v>15719.537544750003</v>
      </c>
      <c r="F1996" s="33"/>
      <c r="G1996" s="34">
        <f>IFERROR(IF(F1996&gt;=0,D1996*E1996*(1+F1996/100),ABS(D1996*E1996/F1996)),"")</f>
        <v>785.97687723750016</v>
      </c>
      <c r="H1996" s="43">
        <f>IFERROR(G1996*E1987,"")</f>
        <v>0</v>
      </c>
    </row>
    <row r="1997" spans="1:10">
      <c r="A1997" s="28"/>
      <c r="B1997" s="29"/>
      <c r="C1997" s="30" t="str">
        <f>IFERROR(_xlfn.XLOOKUP(B1997,Equipo[DESCRIPCION],Equipo[UND],,0),"")</f>
        <v/>
      </c>
      <c r="D1997" s="31"/>
      <c r="E1997" s="32" t="str">
        <f>IF(C1997="%MO",G2002,IFERROR(_xlfn.XLOOKUP($B1997,Equipo[DESCRIPCION],Equipo[VALOR],,0),""))</f>
        <v/>
      </c>
      <c r="F1997" s="33"/>
      <c r="G1997" s="34" t="str">
        <f>IFERROR(IF(F1997&gt;=0,D1997*E1997*(1+F1997/100),ABS(D1997*E1997/F1997)),"")</f>
        <v/>
      </c>
      <c r="H1997" s="43" t="str">
        <f>IFERROR(G1997*E1987,"")</f>
        <v/>
      </c>
    </row>
    <row r="1998" spans="1:10">
      <c r="A1998" s="28"/>
      <c r="B1998" s="29"/>
      <c r="C1998" s="30" t="str">
        <f>IFERROR(_xlfn.XLOOKUP(B1998,Equipo[DESCRIPCION],Equipo[UND],,0),"")</f>
        <v/>
      </c>
      <c r="D1998" s="31"/>
      <c r="E1998" s="32" t="str">
        <f>IF(C1998="%MO",G2002,IFERROR(_xlfn.XLOOKUP($B1998,Equipo[DESCRIPCION],Equipo[VALOR],,0),""))</f>
        <v/>
      </c>
      <c r="F1998" s="33"/>
      <c r="G1998" s="34" t="str">
        <f>IFERROR(IF(F1998&gt;=0,D1998*E1998*(1+F1998/100),ABS(D1998*E1998/F1998)),"")</f>
        <v/>
      </c>
      <c r="H1998" s="43" t="str">
        <f>IFERROR(G1998*E1987,"")</f>
        <v/>
      </c>
    </row>
    <row r="1999" spans="1:10">
      <c r="A1999" s="21"/>
      <c r="B1999" s="22" t="s">
        <v>2533</v>
      </c>
      <c r="C1999" s="23"/>
      <c r="D1999" s="24"/>
      <c r="E1999" s="25"/>
      <c r="F1999" s="26"/>
      <c r="G1999" s="27">
        <f>SUM(G2000:G2001)</f>
        <v>0</v>
      </c>
      <c r="H1999" s="27">
        <f>IFERROR(G1999*E1987,"")</f>
        <v>0</v>
      </c>
    </row>
    <row r="2000" spans="1:10">
      <c r="A2000" s="28"/>
      <c r="B2000" s="29"/>
      <c r="C2000" s="30" t="str">
        <f>IFERROR(_xlfn.XLOOKUP(B2000,Transporte[DESCRIPCION],Transporte[UND],,0),"")</f>
        <v/>
      </c>
      <c r="D2000" s="31"/>
      <c r="E2000" s="32" t="str">
        <f>IFERROR(_xlfn.XLOOKUP($B2000,Transporte[DESCRIPCION],Transporte[VALOR],,0),"")</f>
        <v/>
      </c>
      <c r="F2000" s="33"/>
      <c r="G2000" s="34" t="str">
        <f>IFERROR(IF(F2000&gt;=0,D2000*E2000*(1+F2000/100),ABS(D2000*E2000/F2000)),"")</f>
        <v/>
      </c>
      <c r="H2000" s="43" t="str">
        <f>IFERROR(G2000*E1987,"")</f>
        <v/>
      </c>
    </row>
    <row r="2001" spans="1:10">
      <c r="A2001" s="28"/>
      <c r="B2001" s="29"/>
      <c r="C2001" s="30" t="str">
        <f>IFERROR(_xlfn.XLOOKUP(B2001,Transporte[DESCRIPCION],Transporte[UND],,0),"")</f>
        <v/>
      </c>
      <c r="D2001" s="31"/>
      <c r="E2001" s="32" t="str">
        <f>IFERROR(_xlfn.XLOOKUP($B2001,Transporte[DESCRIPCION],Transporte[VALOR],,0),"")</f>
        <v/>
      </c>
      <c r="F2001" s="33"/>
      <c r="G2001" s="34" t="str">
        <f>IFERROR(IF(F2001&gt;=0,D2001*E2001*(1+F2001/100),ABS(D2001*E2001/F2001)),"")</f>
        <v/>
      </c>
      <c r="H2001" s="43" t="str">
        <f>IFERROR(G2001*E1987,"")</f>
        <v/>
      </c>
    </row>
    <row r="2002" spans="1:10">
      <c r="A2002" s="21"/>
      <c r="B2002" s="22" t="s">
        <v>3732</v>
      </c>
      <c r="C2002" s="23"/>
      <c r="D2002" s="24"/>
      <c r="E2002" s="25"/>
      <c r="F2002" s="26"/>
      <c r="G2002" s="27">
        <f>SUM(G2003:G2005)</f>
        <v>15719.537544750003</v>
      </c>
      <c r="H2002" s="27">
        <f>IFERROR(G2002*E1987,"")</f>
        <v>0</v>
      </c>
    </row>
    <row r="2003" spans="1:10">
      <c r="A2003" s="28"/>
      <c r="B2003" s="29" t="s">
        <v>3710</v>
      </c>
      <c r="C2003" s="30" t="str">
        <f>IFERROR(_xlfn.XLOOKUP(B2003,MObra[DESCRIPCION],MObra[UN],,0),"")</f>
        <v>día</v>
      </c>
      <c r="D2003" s="31">
        <v>1</v>
      </c>
      <c r="E2003" s="32">
        <f>IFERROR(_xlfn.XLOOKUP($B2003,MObra[DESCRIPCION],MObra[VALOR UNIT],,0),"")</f>
        <v>314390.75089500006</v>
      </c>
      <c r="F2003" s="33">
        <v>-20</v>
      </c>
      <c r="G2003" s="34">
        <f>IFERROR(IF(F2003&gt;=0,D2003*E2003*(1+F2003/100),ABS(D2003*E2003/F2003)),"")</f>
        <v>15719.537544750003</v>
      </c>
      <c r="H2003" s="43">
        <f>IFERROR(G2003*E1987,"")</f>
        <v>0</v>
      </c>
    </row>
    <row r="2004" spans="1:10">
      <c r="A2004" s="28"/>
      <c r="B2004" s="29"/>
      <c r="C2004" s="30" t="str">
        <f>IFERROR(_xlfn.XLOOKUP(B2004,MObra[DESCRIPCION],MObra[UN],,0),"")</f>
        <v/>
      </c>
      <c r="D2004" s="31"/>
      <c r="E2004" s="32" t="str">
        <f>IFERROR(_xlfn.XLOOKUP($B2004,MObra[DESCRIPCION],MObra[VALOR UNIT],,0),"")</f>
        <v/>
      </c>
      <c r="F2004" s="33"/>
      <c r="G2004" s="34" t="str">
        <f>IFERROR(IF(F2004&gt;=0,D2004*E2004*(1+F2004/100),ABS(D2004*E2004/F2004)),"")</f>
        <v/>
      </c>
      <c r="H2004" s="43" t="str">
        <f>IFERROR(G2004*E1987,"")</f>
        <v/>
      </c>
    </row>
    <row r="2005" spans="1:10" ht="13.15" thickBot="1">
      <c r="A2005" s="35"/>
      <c r="B2005" s="36"/>
      <c r="C2005" s="37" t="str">
        <f>IFERROR(_xlfn.XLOOKUP(B2005,MObra[DESCRIPCION],MObra[UN],,0),"")</f>
        <v/>
      </c>
      <c r="D2005" s="38"/>
      <c r="E2005" s="39" t="str">
        <f>IFERROR(_xlfn.XLOOKUP($B2005,MObra[DESCRIPCION],MObra[VALOR UNIT],,0),"")</f>
        <v/>
      </c>
      <c r="F2005" s="40"/>
      <c r="G2005" s="41" t="str">
        <f>IFERROR(IF(F2005&gt;=0,D2005*E2005*(1+F2005/100),ABS(D2005*E2005/F2005)),"")</f>
        <v/>
      </c>
      <c r="H2005" s="42" t="str">
        <f>IFERROR(G2005*E1987,"")</f>
        <v/>
      </c>
    </row>
    <row r="2006" spans="1:10" ht="13.5" thickTop="1" thickBot="1"/>
    <row r="2007" spans="1:10" ht="13.5" thickTop="1" thickBot="1">
      <c r="A2007" s="6" t="s">
        <v>2240</v>
      </c>
      <c r="B2007" s="7" t="str">
        <f>VLOOKUP($A2007,Presupuesto!$A:$D,2,FALSE())</f>
        <v>Tubería PVC U-Z 3" RDE 21</v>
      </c>
      <c r="C2007" s="8" t="str">
        <f>VLOOKUP($A2007,Presupuesto!$A:$D,3,FALSE())</f>
        <v>M</v>
      </c>
      <c r="D2007" s="9"/>
      <c r="E2007" s="10">
        <f>VLOOKUP($A2007,Presupuesto!$A:$D,4,FALSE())</f>
        <v>0</v>
      </c>
      <c r="F2007" s="11" t="s">
        <v>2589</v>
      </c>
      <c r="G2007" s="12">
        <f>SUM(G2009:G2025)/2</f>
        <v>112957.42796887501</v>
      </c>
      <c r="H2007" s="13">
        <f>ROUND(SUM(H2009:H2025),0)/2</f>
        <v>0</v>
      </c>
      <c r="I2007" s="10">
        <f>VLOOKUP(A2007,Presupuesto!$A:$F,6,0)</f>
        <v>0</v>
      </c>
      <c r="J2007" s="10">
        <f>+H2007-I2007</f>
        <v>0</v>
      </c>
    </row>
    <row r="2008" spans="1:10" ht="13.15" thickTop="1">
      <c r="A2008" s="14"/>
      <c r="B2008" s="15" t="s">
        <v>2586</v>
      </c>
      <c r="C2008" s="15" t="s">
        <v>5</v>
      </c>
      <c r="D2008" s="16" t="s">
        <v>6</v>
      </c>
      <c r="E2008" s="17" t="s">
        <v>7</v>
      </c>
      <c r="F2008" s="18" t="s">
        <v>3728</v>
      </c>
      <c r="G2008" s="19" t="s">
        <v>3729</v>
      </c>
      <c r="H2008" s="20" t="s">
        <v>3797</v>
      </c>
    </row>
    <row r="2009" spans="1:10">
      <c r="A2009" s="21"/>
      <c r="B2009" s="22" t="s">
        <v>3730</v>
      </c>
      <c r="C2009" s="23"/>
      <c r="D2009" s="24"/>
      <c r="E2009" s="25"/>
      <c r="F2009" s="26"/>
      <c r="G2009" s="27">
        <f>SUM(G2010:G2014)</f>
        <v>94617.967499999999</v>
      </c>
      <c r="H2009" s="27">
        <f>IFERROR(G2009*E2007,"")</f>
        <v>0</v>
      </c>
    </row>
    <row r="2010" spans="1:10">
      <c r="A2010" s="28"/>
      <c r="B2010" s="29" t="s">
        <v>3498</v>
      </c>
      <c r="C2010" s="30" t="str">
        <f>IFERROR(_xlfn.XLOOKUP(B2010,Insumo[DESCRIPCION],Insumo[UND],,0),"")</f>
        <v>M</v>
      </c>
      <c r="D2010" s="31">
        <v>1</v>
      </c>
      <c r="E2010" s="32">
        <f>IFERROR(_xlfn.XLOOKUP($B2010,Insumo[DESCRIPCION],Insumo[VALOR],,0),"")</f>
        <v>62784.75</v>
      </c>
      <c r="F2010" s="33">
        <v>5</v>
      </c>
      <c r="G2010" s="34">
        <f>IFERROR(IF(F2010&gt;=0,D2010*E2010*(1+F2010/100),ABS(D2010*E2010/F2010)),"")</f>
        <v>65923.987500000003</v>
      </c>
      <c r="H2010" s="43">
        <f>IFERROR(G2010*E2007,"")</f>
        <v>0</v>
      </c>
    </row>
    <row r="2011" spans="1:10">
      <c r="A2011" s="28"/>
      <c r="B2011" s="29" t="s">
        <v>2643</v>
      </c>
      <c r="C2011" s="30" t="str">
        <f>IFERROR(_xlfn.XLOOKUP(B2011,Insumo[DESCRIPCION],Insumo[UND],,0),"")</f>
        <v>Un</v>
      </c>
      <c r="D2011" s="31">
        <v>0.3</v>
      </c>
      <c r="E2011" s="32">
        <f>IFERROR(_xlfn.XLOOKUP($B2011,Insumo[DESCRIPCION],Insumo[VALOR],,0),"")</f>
        <v>95646.6</v>
      </c>
      <c r="F2011" s="33"/>
      <c r="G2011" s="34">
        <f>IFERROR(IF(F2011&gt;=0,D2011*E2011*(1+F2011/100),ABS(D2011*E2011/F2011)),"")</f>
        <v>28693.98</v>
      </c>
      <c r="H2011" s="43">
        <f>IFERROR(G2011*E2007,"")</f>
        <v>0</v>
      </c>
    </row>
    <row r="2012" spans="1:10">
      <c r="A2012" s="28"/>
      <c r="B2012" s="29"/>
      <c r="C2012" s="30" t="str">
        <f>IFERROR(_xlfn.XLOOKUP(B2012,Insumo[DESCRIPCION],Insumo[UND],,0),"")</f>
        <v/>
      </c>
      <c r="D2012" s="31"/>
      <c r="E2012" s="32" t="str">
        <f>IFERROR(_xlfn.XLOOKUP($B2012,Insumo[DESCRIPCION],Insumo[VALOR],,0),"")</f>
        <v/>
      </c>
      <c r="F2012" s="33"/>
      <c r="G2012" s="34" t="str">
        <f>IFERROR(IF(F2012&gt;=0,D2012*E2012*(1+F2012/100),ABS(D2012*E2012/F2012)),"")</f>
        <v/>
      </c>
      <c r="H2012" s="43" t="str">
        <f>IFERROR(G2012*E2007,"")</f>
        <v/>
      </c>
    </row>
    <row r="2013" spans="1:10">
      <c r="A2013" s="28"/>
      <c r="B2013" s="29"/>
      <c r="C2013" s="30" t="str">
        <f>IFERROR(_xlfn.XLOOKUP(B2013,Insumo[DESCRIPCION],Insumo[UND],,0),"")</f>
        <v/>
      </c>
      <c r="D2013" s="31"/>
      <c r="E2013" s="32" t="str">
        <f>IFERROR(_xlfn.XLOOKUP($B2013,Insumo[DESCRIPCION],Insumo[VALOR],,0),"")</f>
        <v/>
      </c>
      <c r="F2013" s="33"/>
      <c r="G2013" s="34" t="str">
        <f>IFERROR(IF(F2013&gt;=0,D2013*E2013*(1+F2013/100),ABS(D2013*E2013/F2013)),"")</f>
        <v/>
      </c>
      <c r="H2013" s="43" t="str">
        <f>IFERROR(G2013*E2007,"")</f>
        <v/>
      </c>
    </row>
    <row r="2014" spans="1:10">
      <c r="A2014" s="28"/>
      <c r="B2014" s="29"/>
      <c r="C2014" s="30" t="str">
        <f>IFERROR(_xlfn.XLOOKUP(B2014,Insumo[DESCRIPCION],Insumo[UND],,0),"")</f>
        <v/>
      </c>
      <c r="D2014" s="31"/>
      <c r="E2014" s="32" t="str">
        <f>IFERROR(_xlfn.XLOOKUP($B2014,Insumo[DESCRIPCION],Insumo[VALOR],,0),"")</f>
        <v/>
      </c>
      <c r="F2014" s="33"/>
      <c r="G2014" s="34" t="str">
        <f>IFERROR(IF(F2014&gt;=0,D2014*E2014*(1+F2014/100),ABS(D2014*E2014/F2014)),"")</f>
        <v/>
      </c>
      <c r="H2014" s="43" t="str">
        <f>IFERROR(G2014*E2007,"")</f>
        <v/>
      </c>
    </row>
    <row r="2015" spans="1:10">
      <c r="A2015" s="21"/>
      <c r="B2015" s="22" t="s">
        <v>3731</v>
      </c>
      <c r="C2015" s="23"/>
      <c r="D2015" s="24"/>
      <c r="E2015" s="25"/>
      <c r="F2015" s="26"/>
      <c r="G2015" s="27">
        <f>SUM(G2016:G2018)</f>
        <v>873.30764137500012</v>
      </c>
      <c r="H2015" s="27">
        <f>IFERROR(G2015*E2007,"")</f>
        <v>0</v>
      </c>
    </row>
    <row r="2016" spans="1:10">
      <c r="A2016" s="28"/>
      <c r="B2016" s="29" t="s">
        <v>3626</v>
      </c>
      <c r="C2016" s="30" t="str">
        <f>IFERROR(_xlfn.XLOOKUP(B2016,Equipo[DESCRIPCION],Equipo[UND],,0),"")</f>
        <v>%MO</v>
      </c>
      <c r="D2016" s="31">
        <v>0.05</v>
      </c>
      <c r="E2016" s="32">
        <f>IF(C2016="%MO",G2022,IFERROR(_xlfn.XLOOKUP($B2016,Equipo[DESCRIPCION],Equipo[VALOR],,0),""))</f>
        <v>17466.152827500002</v>
      </c>
      <c r="F2016" s="33"/>
      <c r="G2016" s="34">
        <f>IFERROR(IF(F2016&gt;=0,D2016*E2016*(1+F2016/100),ABS(D2016*E2016/F2016)),"")</f>
        <v>873.30764137500012</v>
      </c>
      <c r="H2016" s="43">
        <f>IFERROR(G2016*E2007,"")</f>
        <v>0</v>
      </c>
    </row>
    <row r="2017" spans="1:10">
      <c r="A2017" s="28"/>
      <c r="B2017" s="29"/>
      <c r="C2017" s="30" t="str">
        <f>IFERROR(_xlfn.XLOOKUP(B2017,Equipo[DESCRIPCION],Equipo[UND],,0),"")</f>
        <v/>
      </c>
      <c r="D2017" s="31"/>
      <c r="E2017" s="32" t="str">
        <f>IF(C2017="%MO",G2022,IFERROR(_xlfn.XLOOKUP($B2017,Equipo[DESCRIPCION],Equipo[VALOR],,0),""))</f>
        <v/>
      </c>
      <c r="F2017" s="33"/>
      <c r="G2017" s="34" t="str">
        <f>IFERROR(IF(F2017&gt;=0,D2017*E2017*(1+F2017/100),ABS(D2017*E2017/F2017)),"")</f>
        <v/>
      </c>
      <c r="H2017" s="43" t="str">
        <f>IFERROR(G2017*E2007,"")</f>
        <v/>
      </c>
    </row>
    <row r="2018" spans="1:10">
      <c r="A2018" s="28"/>
      <c r="B2018" s="29"/>
      <c r="C2018" s="30" t="str">
        <f>IFERROR(_xlfn.XLOOKUP(B2018,Equipo[DESCRIPCION],Equipo[UND],,0),"")</f>
        <v/>
      </c>
      <c r="D2018" s="31"/>
      <c r="E2018" s="32" t="str">
        <f>IF(C2018="%MO",G2022,IFERROR(_xlfn.XLOOKUP($B2018,Equipo[DESCRIPCION],Equipo[VALOR],,0),""))</f>
        <v/>
      </c>
      <c r="F2018" s="33"/>
      <c r="G2018" s="34" t="str">
        <f>IFERROR(IF(F2018&gt;=0,D2018*E2018*(1+F2018/100),ABS(D2018*E2018/F2018)),"")</f>
        <v/>
      </c>
      <c r="H2018" s="43" t="str">
        <f>IFERROR(G2018*E2007,"")</f>
        <v/>
      </c>
    </row>
    <row r="2019" spans="1:10">
      <c r="A2019" s="21"/>
      <c r="B2019" s="22" t="s">
        <v>2533</v>
      </c>
      <c r="C2019" s="23"/>
      <c r="D2019" s="24"/>
      <c r="E2019" s="25"/>
      <c r="F2019" s="26"/>
      <c r="G2019" s="27">
        <f>SUM(G2020:G2021)</f>
        <v>0</v>
      </c>
      <c r="H2019" s="27">
        <f>IFERROR(G2019*E2007,"")</f>
        <v>0</v>
      </c>
    </row>
    <row r="2020" spans="1:10">
      <c r="A2020" s="28"/>
      <c r="B2020" s="29"/>
      <c r="C2020" s="30" t="str">
        <f>IFERROR(_xlfn.XLOOKUP(B2020,Transporte[DESCRIPCION],Transporte[UND],,0),"")</f>
        <v/>
      </c>
      <c r="D2020" s="31"/>
      <c r="E2020" s="32" t="str">
        <f>IFERROR(_xlfn.XLOOKUP($B2020,Transporte[DESCRIPCION],Transporte[VALOR],,0),"")</f>
        <v/>
      </c>
      <c r="F2020" s="33"/>
      <c r="G2020" s="34" t="str">
        <f>IFERROR(IF(F2020&gt;=0,D2020*E2020*(1+F2020/100),ABS(D2020*E2020/F2020)),"")</f>
        <v/>
      </c>
      <c r="H2020" s="43" t="str">
        <f>IFERROR(G2020*E2007,"")</f>
        <v/>
      </c>
    </row>
    <row r="2021" spans="1:10">
      <c r="A2021" s="28"/>
      <c r="B2021" s="29"/>
      <c r="C2021" s="30" t="str">
        <f>IFERROR(_xlfn.XLOOKUP(B2021,Transporte[DESCRIPCION],Transporte[UND],,0),"")</f>
        <v/>
      </c>
      <c r="D2021" s="31"/>
      <c r="E2021" s="32" t="str">
        <f>IFERROR(_xlfn.XLOOKUP($B2021,Transporte[DESCRIPCION],Transporte[VALOR],,0),"")</f>
        <v/>
      </c>
      <c r="F2021" s="33"/>
      <c r="G2021" s="34" t="str">
        <f>IFERROR(IF(F2021&gt;=0,D2021*E2021*(1+F2021/100),ABS(D2021*E2021/F2021)),"")</f>
        <v/>
      </c>
      <c r="H2021" s="43" t="str">
        <f>IFERROR(G2021*E2007,"")</f>
        <v/>
      </c>
    </row>
    <row r="2022" spans="1:10">
      <c r="A2022" s="21"/>
      <c r="B2022" s="22" t="s">
        <v>3732</v>
      </c>
      <c r="C2022" s="23"/>
      <c r="D2022" s="24"/>
      <c r="E2022" s="25"/>
      <c r="F2022" s="26"/>
      <c r="G2022" s="27">
        <f>SUM(G2023:G2025)</f>
        <v>17466.152827500002</v>
      </c>
      <c r="H2022" s="27">
        <f>IFERROR(G2022*E2007,"")</f>
        <v>0</v>
      </c>
    </row>
    <row r="2023" spans="1:10">
      <c r="A2023" s="28"/>
      <c r="B2023" s="29" t="s">
        <v>3710</v>
      </c>
      <c r="C2023" s="30" t="str">
        <f>IFERROR(_xlfn.XLOOKUP(B2023,MObra[DESCRIPCION],MObra[UN],,0),"")</f>
        <v>día</v>
      </c>
      <c r="D2023" s="31">
        <v>1</v>
      </c>
      <c r="E2023" s="32">
        <f>IFERROR(_xlfn.XLOOKUP($B2023,MObra[DESCRIPCION],MObra[VALOR UNIT],,0),"")</f>
        <v>314390.75089500006</v>
      </c>
      <c r="F2023" s="33">
        <v>-18</v>
      </c>
      <c r="G2023" s="34">
        <f>IFERROR(IF(F2023&gt;=0,D2023*E2023*(1+F2023/100),ABS(D2023*E2023/F2023)),"")</f>
        <v>17466.152827500002</v>
      </c>
      <c r="H2023" s="43">
        <f>IFERROR(G2023*E2007,"")</f>
        <v>0</v>
      </c>
    </row>
    <row r="2024" spans="1:10">
      <c r="A2024" s="28"/>
      <c r="B2024" s="29"/>
      <c r="C2024" s="30" t="str">
        <f>IFERROR(_xlfn.XLOOKUP(B2024,MObra[DESCRIPCION],MObra[UN],,0),"")</f>
        <v/>
      </c>
      <c r="D2024" s="31"/>
      <c r="E2024" s="32" t="str">
        <f>IFERROR(_xlfn.XLOOKUP($B2024,MObra[DESCRIPCION],MObra[VALOR UNIT],,0),"")</f>
        <v/>
      </c>
      <c r="F2024" s="33"/>
      <c r="G2024" s="34" t="str">
        <f>IFERROR(IF(F2024&gt;=0,D2024*E2024*(1+F2024/100),ABS(D2024*E2024/F2024)),"")</f>
        <v/>
      </c>
      <c r="H2024" s="43" t="str">
        <f>IFERROR(G2024*E2007,"")</f>
        <v/>
      </c>
    </row>
    <row r="2025" spans="1:10" ht="13.15" thickBot="1">
      <c r="A2025" s="35"/>
      <c r="B2025" s="36"/>
      <c r="C2025" s="37" t="str">
        <f>IFERROR(_xlfn.XLOOKUP(B2025,MObra[DESCRIPCION],MObra[UN],,0),"")</f>
        <v/>
      </c>
      <c r="D2025" s="38"/>
      <c r="E2025" s="39" t="str">
        <f>IFERROR(_xlfn.XLOOKUP($B2025,MObra[DESCRIPCION],MObra[VALOR UNIT],,0),"")</f>
        <v/>
      </c>
      <c r="F2025" s="40"/>
      <c r="G2025" s="41" t="str">
        <f>IFERROR(IF(F2025&gt;=0,D2025*E2025*(1+F2025/100),ABS(D2025*E2025/F2025)),"")</f>
        <v/>
      </c>
      <c r="H2025" s="42" t="str">
        <f>IFERROR(G2025*E2007,"")</f>
        <v/>
      </c>
    </row>
    <row r="2026" spans="1:10" ht="13.5" thickTop="1" thickBot="1"/>
    <row r="2027" spans="1:10" ht="13.5" thickTop="1" thickBot="1">
      <c r="A2027" s="6" t="s">
        <v>2242</v>
      </c>
      <c r="B2027" s="7" t="str">
        <f>VLOOKUP($A2027,Presupuesto!$A:$D,2,FALSE())</f>
        <v>Tubería PVC U-Z 4" RDE 21</v>
      </c>
      <c r="C2027" s="8" t="str">
        <f>VLOOKUP($A2027,Presupuesto!$A:$D,3,FALSE())</f>
        <v>M</v>
      </c>
      <c r="D2027" s="9"/>
      <c r="E2027" s="10">
        <f>VLOOKUP($A2027,Presupuesto!$A:$D,4,FALSE())</f>
        <v>0</v>
      </c>
      <c r="F2027" s="11" t="s">
        <v>2589</v>
      </c>
      <c r="G2027" s="12">
        <f>SUM(G2029:G2045)/2</f>
        <v>172175.71552748437</v>
      </c>
      <c r="H2027" s="13">
        <f>ROUND(SUM(H2029:H2045),0)/2</f>
        <v>0</v>
      </c>
      <c r="I2027" s="10">
        <f>VLOOKUP(A2027,Presupuesto!$A:$F,6,0)</f>
        <v>0</v>
      </c>
      <c r="J2027" s="10">
        <f>+H2027-I2027</f>
        <v>0</v>
      </c>
    </row>
    <row r="2028" spans="1:10" ht="13.15" thickTop="1">
      <c r="A2028" s="14"/>
      <c r="B2028" s="15" t="s">
        <v>2586</v>
      </c>
      <c r="C2028" s="15" t="s">
        <v>5</v>
      </c>
      <c r="D2028" s="16" t="s">
        <v>6</v>
      </c>
      <c r="E2028" s="17" t="s">
        <v>7</v>
      </c>
      <c r="F2028" s="18" t="s">
        <v>3728</v>
      </c>
      <c r="G2028" s="19" t="s">
        <v>3729</v>
      </c>
      <c r="H2028" s="20" t="s">
        <v>3797</v>
      </c>
    </row>
    <row r="2029" spans="1:10">
      <c r="A2029" s="21"/>
      <c r="B2029" s="22" t="s">
        <v>3730</v>
      </c>
      <c r="C2029" s="23"/>
      <c r="D2029" s="24"/>
      <c r="E2029" s="25"/>
      <c r="F2029" s="26"/>
      <c r="G2029" s="27">
        <f>SUM(G2030:G2034)</f>
        <v>151543.82250000001</v>
      </c>
      <c r="H2029" s="27">
        <f>IFERROR(G2029*E2027,"")</f>
        <v>0</v>
      </c>
    </row>
    <row r="2030" spans="1:10">
      <c r="A2030" s="28"/>
      <c r="B2030" s="29" t="s">
        <v>3500</v>
      </c>
      <c r="C2030" s="30" t="str">
        <f>IFERROR(_xlfn.XLOOKUP(B2030,Insumo[DESCRIPCION],Insumo[UND],,0),"")</f>
        <v>M</v>
      </c>
      <c r="D2030" s="31">
        <v>1</v>
      </c>
      <c r="E2030" s="32">
        <f>IFERROR(_xlfn.XLOOKUP($B2030,Insumo[DESCRIPCION],Insumo[VALOR],,0),"")</f>
        <v>84706.650000000009</v>
      </c>
      <c r="F2030" s="33">
        <v>5</v>
      </c>
      <c r="G2030" s="34">
        <f>IFERROR(IF(F2030&gt;=0,D2030*E2030*(1+F2030/100),ABS(D2030*E2030/F2030)),"")</f>
        <v>88941.982500000013</v>
      </c>
      <c r="H2030" s="43">
        <f>IFERROR(G2030*E2027,"")</f>
        <v>0</v>
      </c>
    </row>
    <row r="2031" spans="1:10">
      <c r="A2031" s="28"/>
      <c r="B2031" s="29" t="s">
        <v>2645</v>
      </c>
      <c r="C2031" s="30" t="str">
        <f>IFERROR(_xlfn.XLOOKUP(B2031,Insumo[DESCRIPCION],Insumo[UND],,0),"")</f>
        <v>Un</v>
      </c>
      <c r="D2031" s="31">
        <v>0.3</v>
      </c>
      <c r="E2031" s="32">
        <f>IFERROR(_xlfn.XLOOKUP($B2031,Insumo[DESCRIPCION],Insumo[VALOR],,0),"")</f>
        <v>208672.80000000002</v>
      </c>
      <c r="F2031" s="33"/>
      <c r="G2031" s="34">
        <f>IFERROR(IF(F2031&gt;=0,D2031*E2031*(1+F2031/100),ABS(D2031*E2031/F2031)),"")</f>
        <v>62601.840000000004</v>
      </c>
      <c r="H2031" s="43">
        <f>IFERROR(G2031*E2027,"")</f>
        <v>0</v>
      </c>
    </row>
    <row r="2032" spans="1:10">
      <c r="A2032" s="28"/>
      <c r="B2032" s="29"/>
      <c r="C2032" s="30" t="str">
        <f>IFERROR(_xlfn.XLOOKUP(B2032,Insumo[DESCRIPCION],Insumo[UND],,0),"")</f>
        <v/>
      </c>
      <c r="D2032" s="31"/>
      <c r="E2032" s="32" t="str">
        <f>IFERROR(_xlfn.XLOOKUP($B2032,Insumo[DESCRIPCION],Insumo[VALOR],,0),"")</f>
        <v/>
      </c>
      <c r="F2032" s="33"/>
      <c r="G2032" s="34" t="str">
        <f>IFERROR(IF(F2032&gt;=0,D2032*E2032*(1+F2032/100),ABS(D2032*E2032/F2032)),"")</f>
        <v/>
      </c>
      <c r="H2032" s="43" t="str">
        <f>IFERROR(G2032*E2027,"")</f>
        <v/>
      </c>
    </row>
    <row r="2033" spans="1:10">
      <c r="A2033" s="28"/>
      <c r="B2033" s="29"/>
      <c r="C2033" s="30" t="str">
        <f>IFERROR(_xlfn.XLOOKUP(B2033,Insumo[DESCRIPCION],Insumo[UND],,0),"")</f>
        <v/>
      </c>
      <c r="D2033" s="31"/>
      <c r="E2033" s="32" t="str">
        <f>IFERROR(_xlfn.XLOOKUP($B2033,Insumo[DESCRIPCION],Insumo[VALOR],,0),"")</f>
        <v/>
      </c>
      <c r="F2033" s="33"/>
      <c r="G2033" s="34" t="str">
        <f>IFERROR(IF(F2033&gt;=0,D2033*E2033*(1+F2033/100),ABS(D2033*E2033/F2033)),"")</f>
        <v/>
      </c>
      <c r="H2033" s="43" t="str">
        <f>IFERROR(G2033*E2027,"")</f>
        <v/>
      </c>
    </row>
    <row r="2034" spans="1:10">
      <c r="A2034" s="28"/>
      <c r="B2034" s="29"/>
      <c r="C2034" s="30" t="str">
        <f>IFERROR(_xlfn.XLOOKUP(B2034,Insumo[DESCRIPCION],Insumo[UND],,0),"")</f>
        <v/>
      </c>
      <c r="D2034" s="31"/>
      <c r="E2034" s="32" t="str">
        <f>IFERROR(_xlfn.XLOOKUP($B2034,Insumo[DESCRIPCION],Insumo[VALOR],,0),"")</f>
        <v/>
      </c>
      <c r="F2034" s="33"/>
      <c r="G2034" s="34" t="str">
        <f>IFERROR(IF(F2034&gt;=0,D2034*E2034*(1+F2034/100),ABS(D2034*E2034/F2034)),"")</f>
        <v/>
      </c>
      <c r="H2034" s="43" t="str">
        <f>IFERROR(G2034*E2027,"")</f>
        <v/>
      </c>
    </row>
    <row r="2035" spans="1:10">
      <c r="A2035" s="21"/>
      <c r="B2035" s="22" t="s">
        <v>3731</v>
      </c>
      <c r="C2035" s="23"/>
      <c r="D2035" s="24"/>
      <c r="E2035" s="25"/>
      <c r="F2035" s="26"/>
      <c r="G2035" s="27">
        <f>SUM(G2036:G2038)</f>
        <v>982.47109654687529</v>
      </c>
      <c r="H2035" s="27">
        <f>IFERROR(G2035*E2027,"")</f>
        <v>0</v>
      </c>
    </row>
    <row r="2036" spans="1:10">
      <c r="A2036" s="28"/>
      <c r="B2036" s="29" t="s">
        <v>3626</v>
      </c>
      <c r="C2036" s="30" t="str">
        <f>IFERROR(_xlfn.XLOOKUP(B2036,Equipo[DESCRIPCION],Equipo[UND],,0),"")</f>
        <v>%MO</v>
      </c>
      <c r="D2036" s="31">
        <v>0.05</v>
      </c>
      <c r="E2036" s="32">
        <f>IF(C2036="%MO",G2042,IFERROR(_xlfn.XLOOKUP($B2036,Equipo[DESCRIPCION],Equipo[VALOR],,0),""))</f>
        <v>19649.421930937504</v>
      </c>
      <c r="F2036" s="33"/>
      <c r="G2036" s="34">
        <f>IFERROR(IF(F2036&gt;=0,D2036*E2036*(1+F2036/100),ABS(D2036*E2036/F2036)),"")</f>
        <v>982.47109654687529</v>
      </c>
      <c r="H2036" s="43">
        <f>IFERROR(G2036*E2027,"")</f>
        <v>0</v>
      </c>
    </row>
    <row r="2037" spans="1:10">
      <c r="A2037" s="28"/>
      <c r="B2037" s="29"/>
      <c r="C2037" s="30" t="str">
        <f>IFERROR(_xlfn.XLOOKUP(B2037,Equipo[DESCRIPCION],Equipo[UND],,0),"")</f>
        <v/>
      </c>
      <c r="D2037" s="31"/>
      <c r="E2037" s="32" t="str">
        <f>IF(C2037="%MO",G2042,IFERROR(_xlfn.XLOOKUP($B2037,Equipo[DESCRIPCION],Equipo[VALOR],,0),""))</f>
        <v/>
      </c>
      <c r="F2037" s="33"/>
      <c r="G2037" s="34" t="str">
        <f>IFERROR(IF(F2037&gt;=0,D2037*E2037*(1+F2037/100),ABS(D2037*E2037/F2037)),"")</f>
        <v/>
      </c>
      <c r="H2037" s="43" t="str">
        <f>IFERROR(G2037*E2027,"")</f>
        <v/>
      </c>
    </row>
    <row r="2038" spans="1:10">
      <c r="A2038" s="28"/>
      <c r="B2038" s="29"/>
      <c r="C2038" s="30" t="str">
        <f>IFERROR(_xlfn.XLOOKUP(B2038,Equipo[DESCRIPCION],Equipo[UND],,0),"")</f>
        <v/>
      </c>
      <c r="D2038" s="31"/>
      <c r="E2038" s="32" t="str">
        <f>IF(C2038="%MO",G2042,IFERROR(_xlfn.XLOOKUP($B2038,Equipo[DESCRIPCION],Equipo[VALOR],,0),""))</f>
        <v/>
      </c>
      <c r="F2038" s="33"/>
      <c r="G2038" s="34" t="str">
        <f>IFERROR(IF(F2038&gt;=0,D2038*E2038*(1+F2038/100),ABS(D2038*E2038/F2038)),"")</f>
        <v/>
      </c>
      <c r="H2038" s="43" t="str">
        <f>IFERROR(G2038*E2027,"")</f>
        <v/>
      </c>
    </row>
    <row r="2039" spans="1:10">
      <c r="A2039" s="21"/>
      <c r="B2039" s="22" t="s">
        <v>2533</v>
      </c>
      <c r="C2039" s="23"/>
      <c r="D2039" s="24"/>
      <c r="E2039" s="25"/>
      <c r="F2039" s="26"/>
      <c r="G2039" s="27">
        <f>SUM(G2040:G2041)</f>
        <v>0</v>
      </c>
      <c r="H2039" s="27">
        <f>IFERROR(G2039*E2027,"")</f>
        <v>0</v>
      </c>
    </row>
    <row r="2040" spans="1:10">
      <c r="A2040" s="28"/>
      <c r="B2040" s="29"/>
      <c r="C2040" s="30" t="str">
        <f>IFERROR(_xlfn.XLOOKUP(B2040,Transporte[DESCRIPCION],Transporte[UND],,0),"")</f>
        <v/>
      </c>
      <c r="D2040" s="31"/>
      <c r="E2040" s="32" t="str">
        <f>IFERROR(_xlfn.XLOOKUP($B2040,Transporte[DESCRIPCION],Transporte[VALOR],,0),"")</f>
        <v/>
      </c>
      <c r="F2040" s="33"/>
      <c r="G2040" s="34" t="str">
        <f>IFERROR(IF(F2040&gt;=0,D2040*E2040*(1+F2040/100),ABS(D2040*E2040/F2040)),"")</f>
        <v/>
      </c>
      <c r="H2040" s="43" t="str">
        <f>IFERROR(G2040*E2027,"")</f>
        <v/>
      </c>
    </row>
    <row r="2041" spans="1:10">
      <c r="A2041" s="28"/>
      <c r="B2041" s="29"/>
      <c r="C2041" s="30" t="str">
        <f>IFERROR(_xlfn.XLOOKUP(B2041,Transporte[DESCRIPCION],Transporte[UND],,0),"")</f>
        <v/>
      </c>
      <c r="D2041" s="31"/>
      <c r="E2041" s="32" t="str">
        <f>IFERROR(_xlfn.XLOOKUP($B2041,Transporte[DESCRIPCION],Transporte[VALOR],,0),"")</f>
        <v/>
      </c>
      <c r="F2041" s="33"/>
      <c r="G2041" s="34" t="str">
        <f>IFERROR(IF(F2041&gt;=0,D2041*E2041*(1+F2041/100),ABS(D2041*E2041/F2041)),"")</f>
        <v/>
      </c>
      <c r="H2041" s="43" t="str">
        <f>IFERROR(G2041*E2027,"")</f>
        <v/>
      </c>
    </row>
    <row r="2042" spans="1:10">
      <c r="A2042" s="21"/>
      <c r="B2042" s="22" t="s">
        <v>3732</v>
      </c>
      <c r="C2042" s="23"/>
      <c r="D2042" s="24"/>
      <c r="E2042" s="25"/>
      <c r="F2042" s="26"/>
      <c r="G2042" s="27">
        <f>SUM(G2043:G2045)</f>
        <v>19649.421930937504</v>
      </c>
      <c r="H2042" s="27">
        <f>IFERROR(G2042*E2027,"")</f>
        <v>0</v>
      </c>
    </row>
    <row r="2043" spans="1:10">
      <c r="A2043" s="28"/>
      <c r="B2043" s="29" t="s">
        <v>3710</v>
      </c>
      <c r="C2043" s="30" t="str">
        <f>IFERROR(_xlfn.XLOOKUP(B2043,MObra[DESCRIPCION],MObra[UN],,0),"")</f>
        <v>día</v>
      </c>
      <c r="D2043" s="31">
        <v>1</v>
      </c>
      <c r="E2043" s="32">
        <f>IFERROR(_xlfn.XLOOKUP($B2043,MObra[DESCRIPCION],MObra[VALOR UNIT],,0),"")</f>
        <v>314390.75089500006</v>
      </c>
      <c r="F2043" s="33">
        <v>-16</v>
      </c>
      <c r="G2043" s="34">
        <f>IFERROR(IF(F2043&gt;=0,D2043*E2043*(1+F2043/100),ABS(D2043*E2043/F2043)),"")</f>
        <v>19649.421930937504</v>
      </c>
      <c r="H2043" s="43">
        <f>IFERROR(G2043*E2027,"")</f>
        <v>0</v>
      </c>
    </row>
    <row r="2044" spans="1:10">
      <c r="A2044" s="28"/>
      <c r="B2044" s="29"/>
      <c r="C2044" s="30" t="str">
        <f>IFERROR(_xlfn.XLOOKUP(B2044,MObra[DESCRIPCION],MObra[UN],,0),"")</f>
        <v/>
      </c>
      <c r="D2044" s="31"/>
      <c r="E2044" s="32" t="str">
        <f>IFERROR(_xlfn.XLOOKUP($B2044,MObra[DESCRIPCION],MObra[VALOR UNIT],,0),"")</f>
        <v/>
      </c>
      <c r="F2044" s="33"/>
      <c r="G2044" s="34" t="str">
        <f>IFERROR(IF(F2044&gt;=0,D2044*E2044*(1+F2044/100),ABS(D2044*E2044/F2044)),"")</f>
        <v/>
      </c>
      <c r="H2044" s="43" t="str">
        <f>IFERROR(G2044*E2027,"")</f>
        <v/>
      </c>
    </row>
    <row r="2045" spans="1:10" ht="13.15" thickBot="1">
      <c r="A2045" s="35"/>
      <c r="B2045" s="36"/>
      <c r="C2045" s="37" t="str">
        <f>IFERROR(_xlfn.XLOOKUP(B2045,MObra[DESCRIPCION],MObra[UN],,0),"")</f>
        <v/>
      </c>
      <c r="D2045" s="38"/>
      <c r="E2045" s="39" t="str">
        <f>IFERROR(_xlfn.XLOOKUP($B2045,MObra[DESCRIPCION],MObra[VALOR UNIT],,0),"")</f>
        <v/>
      </c>
      <c r="F2045" s="40"/>
      <c r="G2045" s="41" t="str">
        <f>IFERROR(IF(F2045&gt;=0,D2045*E2045*(1+F2045/100),ABS(D2045*E2045/F2045)),"")</f>
        <v/>
      </c>
      <c r="H2045" s="42" t="str">
        <f>IFERROR(G2045*E2027,"")</f>
        <v/>
      </c>
    </row>
    <row r="2046" spans="1:10" ht="13.5" thickTop="1" thickBot="1"/>
    <row r="2047" spans="1:10" ht="13.5" thickTop="1" thickBot="1">
      <c r="A2047" s="6" t="s">
        <v>2244</v>
      </c>
      <c r="B2047" s="7" t="str">
        <f>VLOOKUP($A2047,Presupuesto!$A:$D,2,FALSE())</f>
        <v>Tubería PVC U-Z 6" RDE 21</v>
      </c>
      <c r="C2047" s="8" t="str">
        <f>VLOOKUP($A2047,Presupuesto!$A:$D,3,FALSE())</f>
        <v>M</v>
      </c>
      <c r="D2047" s="9"/>
      <c r="E2047" s="10">
        <f>VLOOKUP($A2047,Presupuesto!$A:$D,4,FALSE())</f>
        <v>0</v>
      </c>
      <c r="F2047" s="11" t="s">
        <v>2589</v>
      </c>
      <c r="G2047" s="12">
        <f>SUM(G2049:G2065)/2</f>
        <v>278806.68052748439</v>
      </c>
      <c r="H2047" s="13">
        <f>ROUND(SUM(H2049:H2065),0)/2</f>
        <v>0</v>
      </c>
      <c r="I2047" s="10">
        <f>VLOOKUP(A2047,Presupuesto!$A:$F,6,0)</f>
        <v>0</v>
      </c>
      <c r="J2047" s="10">
        <f>+H2047-I2047</f>
        <v>0</v>
      </c>
    </row>
    <row r="2048" spans="1:10" ht="13.15" thickTop="1">
      <c r="A2048" s="14"/>
      <c r="B2048" s="15" t="s">
        <v>2586</v>
      </c>
      <c r="C2048" s="15" t="s">
        <v>5</v>
      </c>
      <c r="D2048" s="16" t="s">
        <v>6</v>
      </c>
      <c r="E2048" s="17" t="s">
        <v>7</v>
      </c>
      <c r="F2048" s="18" t="s">
        <v>3728</v>
      </c>
      <c r="G2048" s="19" t="s">
        <v>3729</v>
      </c>
      <c r="H2048" s="20" t="s">
        <v>3797</v>
      </c>
    </row>
    <row r="2049" spans="1:8">
      <c r="A2049" s="21"/>
      <c r="B2049" s="22" t="s">
        <v>3730</v>
      </c>
      <c r="C2049" s="23"/>
      <c r="D2049" s="24"/>
      <c r="E2049" s="25"/>
      <c r="F2049" s="26"/>
      <c r="G2049" s="27">
        <f>SUM(G2050:G2054)</f>
        <v>258174.78750000003</v>
      </c>
      <c r="H2049" s="27">
        <f>IFERROR(G2049*E2047,"")</f>
        <v>0</v>
      </c>
    </row>
    <row r="2050" spans="1:8">
      <c r="A2050" s="28"/>
      <c r="B2050" s="29" t="s">
        <v>3501</v>
      </c>
      <c r="C2050" s="30" t="str">
        <f>IFERROR(_xlfn.XLOOKUP(B2050,Insumo[DESCRIPCION],Insumo[UND],,0),"")</f>
        <v>M</v>
      </c>
      <c r="D2050" s="31">
        <v>1</v>
      </c>
      <c r="E2050" s="32">
        <f>IFERROR(_xlfn.XLOOKUP($B2050,Insumo[DESCRIPCION],Insumo[VALOR],,0),"")</f>
        <v>145402.95000000001</v>
      </c>
      <c r="F2050" s="33">
        <v>5</v>
      </c>
      <c r="G2050" s="34">
        <f>IFERROR(IF(F2050&gt;=0,D2050*E2050*(1+F2050/100),ABS(D2050*E2050/F2050)),"")</f>
        <v>152673.09750000003</v>
      </c>
      <c r="H2050" s="43">
        <f>IFERROR(G2050*E2047,"")</f>
        <v>0</v>
      </c>
    </row>
    <row r="2051" spans="1:8">
      <c r="A2051" s="28"/>
      <c r="B2051" s="29" t="s">
        <v>2646</v>
      </c>
      <c r="C2051" s="30" t="str">
        <f>IFERROR(_xlfn.XLOOKUP(B2051,Insumo[DESCRIPCION],Insumo[UND],,0),"")</f>
        <v>Un</v>
      </c>
      <c r="D2051" s="31">
        <v>0.3</v>
      </c>
      <c r="E2051" s="32">
        <f>IFERROR(_xlfn.XLOOKUP($B2051,Insumo[DESCRIPCION],Insumo[VALOR],,0),"")</f>
        <v>351672.3</v>
      </c>
      <c r="F2051" s="33"/>
      <c r="G2051" s="34">
        <f>IFERROR(IF(F2051&gt;=0,D2051*E2051*(1+F2051/100),ABS(D2051*E2051/F2051)),"")</f>
        <v>105501.68999999999</v>
      </c>
      <c r="H2051" s="43">
        <f>IFERROR(G2051*E2047,"")</f>
        <v>0</v>
      </c>
    </row>
    <row r="2052" spans="1:8">
      <c r="A2052" s="28"/>
      <c r="B2052" s="29"/>
      <c r="C2052" s="30" t="str">
        <f>IFERROR(_xlfn.XLOOKUP(B2052,Insumo[DESCRIPCION],Insumo[UND],,0),"")</f>
        <v/>
      </c>
      <c r="D2052" s="31"/>
      <c r="E2052" s="32" t="str">
        <f>IFERROR(_xlfn.XLOOKUP($B2052,Insumo[DESCRIPCION],Insumo[VALOR],,0),"")</f>
        <v/>
      </c>
      <c r="F2052" s="33"/>
      <c r="G2052" s="34" t="str">
        <f>IFERROR(IF(F2052&gt;=0,D2052*E2052*(1+F2052/100),ABS(D2052*E2052/F2052)),"")</f>
        <v/>
      </c>
      <c r="H2052" s="43" t="str">
        <f>IFERROR(G2052*E2047,"")</f>
        <v/>
      </c>
    </row>
    <row r="2053" spans="1:8">
      <c r="A2053" s="28"/>
      <c r="B2053" s="29"/>
      <c r="C2053" s="30" t="str">
        <f>IFERROR(_xlfn.XLOOKUP(B2053,Insumo[DESCRIPCION],Insumo[UND],,0),"")</f>
        <v/>
      </c>
      <c r="D2053" s="31"/>
      <c r="E2053" s="32" t="str">
        <f>IFERROR(_xlfn.XLOOKUP($B2053,Insumo[DESCRIPCION],Insumo[VALOR],,0),"")</f>
        <v/>
      </c>
      <c r="F2053" s="33"/>
      <c r="G2053" s="34" t="str">
        <f>IFERROR(IF(F2053&gt;=0,D2053*E2053*(1+F2053/100),ABS(D2053*E2053/F2053)),"")</f>
        <v/>
      </c>
      <c r="H2053" s="43" t="str">
        <f>IFERROR(G2053*E2047,"")</f>
        <v/>
      </c>
    </row>
    <row r="2054" spans="1:8">
      <c r="A2054" s="28"/>
      <c r="B2054" s="29"/>
      <c r="C2054" s="30" t="str">
        <f>IFERROR(_xlfn.XLOOKUP(B2054,Insumo[DESCRIPCION],Insumo[UND],,0),"")</f>
        <v/>
      </c>
      <c r="D2054" s="31"/>
      <c r="E2054" s="32" t="str">
        <f>IFERROR(_xlfn.XLOOKUP($B2054,Insumo[DESCRIPCION],Insumo[VALOR],,0),"")</f>
        <v/>
      </c>
      <c r="F2054" s="33"/>
      <c r="G2054" s="34" t="str">
        <f>IFERROR(IF(F2054&gt;=0,D2054*E2054*(1+F2054/100),ABS(D2054*E2054/F2054)),"")</f>
        <v/>
      </c>
      <c r="H2054" s="43" t="str">
        <f>IFERROR(G2054*E2047,"")</f>
        <v/>
      </c>
    </row>
    <row r="2055" spans="1:8">
      <c r="A2055" s="21"/>
      <c r="B2055" s="22" t="s">
        <v>3731</v>
      </c>
      <c r="C2055" s="23"/>
      <c r="D2055" s="24"/>
      <c r="E2055" s="25"/>
      <c r="F2055" s="26"/>
      <c r="G2055" s="27">
        <f>SUM(G2056:G2058)</f>
        <v>982.47109654687529</v>
      </c>
      <c r="H2055" s="27">
        <f>IFERROR(G2055*E2047,"")</f>
        <v>0</v>
      </c>
    </row>
    <row r="2056" spans="1:8">
      <c r="A2056" s="28"/>
      <c r="B2056" s="29" t="s">
        <v>3626</v>
      </c>
      <c r="C2056" s="30" t="str">
        <f>IFERROR(_xlfn.XLOOKUP(B2056,Equipo[DESCRIPCION],Equipo[UND],,0),"")</f>
        <v>%MO</v>
      </c>
      <c r="D2056" s="31">
        <v>0.05</v>
      </c>
      <c r="E2056" s="32">
        <f>IF(C2056="%MO",G2062,IFERROR(_xlfn.XLOOKUP($B2056,Equipo[DESCRIPCION],Equipo[VALOR],,0),""))</f>
        <v>19649.421930937504</v>
      </c>
      <c r="F2056" s="33"/>
      <c r="G2056" s="34">
        <f>IFERROR(IF(F2056&gt;=0,D2056*E2056*(1+F2056/100),ABS(D2056*E2056/F2056)),"")</f>
        <v>982.47109654687529</v>
      </c>
      <c r="H2056" s="43">
        <f>IFERROR(G2056*E2047,"")</f>
        <v>0</v>
      </c>
    </row>
    <row r="2057" spans="1:8">
      <c r="A2057" s="28"/>
      <c r="B2057" s="29"/>
      <c r="C2057" s="30" t="str">
        <f>IFERROR(_xlfn.XLOOKUP(B2057,Equipo[DESCRIPCION],Equipo[UND],,0),"")</f>
        <v/>
      </c>
      <c r="D2057" s="31"/>
      <c r="E2057" s="32" t="str">
        <f>IF(C2057="%MO",G2062,IFERROR(_xlfn.XLOOKUP($B2057,Equipo[DESCRIPCION],Equipo[VALOR],,0),""))</f>
        <v/>
      </c>
      <c r="F2057" s="33"/>
      <c r="G2057" s="34" t="str">
        <f>IFERROR(IF(F2057&gt;=0,D2057*E2057*(1+F2057/100),ABS(D2057*E2057/F2057)),"")</f>
        <v/>
      </c>
      <c r="H2057" s="43" t="str">
        <f>IFERROR(G2057*E2047,"")</f>
        <v/>
      </c>
    </row>
    <row r="2058" spans="1:8">
      <c r="A2058" s="28"/>
      <c r="B2058" s="29"/>
      <c r="C2058" s="30" t="str">
        <f>IFERROR(_xlfn.XLOOKUP(B2058,Equipo[DESCRIPCION],Equipo[UND],,0),"")</f>
        <v/>
      </c>
      <c r="D2058" s="31"/>
      <c r="E2058" s="32" t="str">
        <f>IF(C2058="%MO",G2062,IFERROR(_xlfn.XLOOKUP($B2058,Equipo[DESCRIPCION],Equipo[VALOR],,0),""))</f>
        <v/>
      </c>
      <c r="F2058" s="33"/>
      <c r="G2058" s="34" t="str">
        <f>IFERROR(IF(F2058&gt;=0,D2058*E2058*(1+F2058/100),ABS(D2058*E2058/F2058)),"")</f>
        <v/>
      </c>
      <c r="H2058" s="43" t="str">
        <f>IFERROR(G2058*E2047,"")</f>
        <v/>
      </c>
    </row>
    <row r="2059" spans="1:8">
      <c r="A2059" s="21"/>
      <c r="B2059" s="22" t="s">
        <v>2533</v>
      </c>
      <c r="C2059" s="23"/>
      <c r="D2059" s="24"/>
      <c r="E2059" s="25"/>
      <c r="F2059" s="26"/>
      <c r="G2059" s="27">
        <f>SUM(G2060:G2061)</f>
        <v>0</v>
      </c>
      <c r="H2059" s="27">
        <f>IFERROR(G2059*E2047,"")</f>
        <v>0</v>
      </c>
    </row>
    <row r="2060" spans="1:8">
      <c r="A2060" s="28"/>
      <c r="B2060" s="29"/>
      <c r="C2060" s="30" t="str">
        <f>IFERROR(_xlfn.XLOOKUP(B2060,Transporte[DESCRIPCION],Transporte[UND],,0),"")</f>
        <v/>
      </c>
      <c r="D2060" s="31"/>
      <c r="E2060" s="32" t="str">
        <f>IFERROR(_xlfn.XLOOKUP($B2060,Transporte[DESCRIPCION],Transporte[VALOR],,0),"")</f>
        <v/>
      </c>
      <c r="F2060" s="33"/>
      <c r="G2060" s="34" t="str">
        <f>IFERROR(IF(F2060&gt;=0,D2060*E2060*(1+F2060/100),ABS(D2060*E2060/F2060)),"")</f>
        <v/>
      </c>
      <c r="H2060" s="43" t="str">
        <f>IFERROR(G2060*E2047,"")</f>
        <v/>
      </c>
    </row>
    <row r="2061" spans="1:8">
      <c r="A2061" s="28"/>
      <c r="B2061" s="29"/>
      <c r="C2061" s="30" t="str">
        <f>IFERROR(_xlfn.XLOOKUP(B2061,Transporte[DESCRIPCION],Transporte[UND],,0),"")</f>
        <v/>
      </c>
      <c r="D2061" s="31"/>
      <c r="E2061" s="32" t="str">
        <f>IFERROR(_xlfn.XLOOKUP($B2061,Transporte[DESCRIPCION],Transporte[VALOR],,0),"")</f>
        <v/>
      </c>
      <c r="F2061" s="33"/>
      <c r="G2061" s="34" t="str">
        <f>IFERROR(IF(F2061&gt;=0,D2061*E2061*(1+F2061/100),ABS(D2061*E2061/F2061)),"")</f>
        <v/>
      </c>
      <c r="H2061" s="43" t="str">
        <f>IFERROR(G2061*E2047,"")</f>
        <v/>
      </c>
    </row>
    <row r="2062" spans="1:8">
      <c r="A2062" s="21"/>
      <c r="B2062" s="22" t="s">
        <v>3732</v>
      </c>
      <c r="C2062" s="23"/>
      <c r="D2062" s="24"/>
      <c r="E2062" s="25"/>
      <c r="F2062" s="26"/>
      <c r="G2062" s="27">
        <f>SUM(G2063:G2065)</f>
        <v>19649.421930937504</v>
      </c>
      <c r="H2062" s="27">
        <f>IFERROR(G2062*E2047,"")</f>
        <v>0</v>
      </c>
    </row>
    <row r="2063" spans="1:8">
      <c r="A2063" s="28"/>
      <c r="B2063" s="29" t="s">
        <v>3710</v>
      </c>
      <c r="C2063" s="30" t="str">
        <f>IFERROR(_xlfn.XLOOKUP(B2063,MObra[DESCRIPCION],MObra[UN],,0),"")</f>
        <v>día</v>
      </c>
      <c r="D2063" s="31">
        <v>1</v>
      </c>
      <c r="E2063" s="32">
        <f>IFERROR(_xlfn.XLOOKUP($B2063,MObra[DESCRIPCION],MObra[VALOR UNIT],,0),"")</f>
        <v>314390.75089500006</v>
      </c>
      <c r="F2063" s="33">
        <v>-16</v>
      </c>
      <c r="G2063" s="34">
        <f>IFERROR(IF(F2063&gt;=0,D2063*E2063*(1+F2063/100),ABS(D2063*E2063/F2063)),"")</f>
        <v>19649.421930937504</v>
      </c>
      <c r="H2063" s="43">
        <f>IFERROR(G2063*E2047,"")</f>
        <v>0</v>
      </c>
    </row>
    <row r="2064" spans="1:8">
      <c r="A2064" s="28"/>
      <c r="B2064" s="29"/>
      <c r="C2064" s="30" t="str">
        <f>IFERROR(_xlfn.XLOOKUP(B2064,MObra[DESCRIPCION],MObra[UN],,0),"")</f>
        <v/>
      </c>
      <c r="D2064" s="31"/>
      <c r="E2064" s="32" t="str">
        <f>IFERROR(_xlfn.XLOOKUP($B2064,MObra[DESCRIPCION],MObra[VALOR UNIT],,0),"")</f>
        <v/>
      </c>
      <c r="F2064" s="33"/>
      <c r="G2064" s="34" t="str">
        <f>IFERROR(IF(F2064&gt;=0,D2064*E2064*(1+F2064/100),ABS(D2064*E2064/F2064)),"")</f>
        <v/>
      </c>
      <c r="H2064" s="43" t="str">
        <f>IFERROR(G2064*E2047,"")</f>
        <v/>
      </c>
    </row>
    <row r="2065" spans="1:10" ht="13.15" thickBot="1">
      <c r="A2065" s="35"/>
      <c r="B2065" s="36"/>
      <c r="C2065" s="37" t="str">
        <f>IFERROR(_xlfn.XLOOKUP(B2065,MObra[DESCRIPCION],MObra[UN],,0),"")</f>
        <v/>
      </c>
      <c r="D2065" s="38"/>
      <c r="E2065" s="39" t="str">
        <f>IFERROR(_xlfn.XLOOKUP($B2065,MObra[DESCRIPCION],MObra[VALOR UNIT],,0),"")</f>
        <v/>
      </c>
      <c r="F2065" s="40"/>
      <c r="G2065" s="41" t="str">
        <f>IFERROR(IF(F2065&gt;=0,D2065*E2065*(1+F2065/100),ABS(D2065*E2065/F2065)),"")</f>
        <v/>
      </c>
      <c r="H2065" s="42" t="str">
        <f>IFERROR(G2065*E2047,"")</f>
        <v/>
      </c>
    </row>
    <row r="2066" spans="1:10" ht="13.5" thickTop="1" thickBot="1"/>
    <row r="2067" spans="1:10" ht="13.5" thickTop="1" thickBot="1">
      <c r="A2067" s="6" t="s">
        <v>2246</v>
      </c>
      <c r="B2067" s="7" t="str">
        <f>VLOOKUP($A2067,Presupuesto!$A:$D,2,FALSE())</f>
        <v>Valvula de entrada 3/4" + acces</v>
      </c>
      <c r="C2067" s="8" t="str">
        <f>VLOOKUP($A2067,Presupuesto!$A:$D,3,FALSE())</f>
        <v>Un</v>
      </c>
      <c r="D2067" s="9"/>
      <c r="E2067" s="10">
        <f>VLOOKUP($A2067,Presupuesto!$A:$D,4,FALSE())</f>
        <v>0</v>
      </c>
      <c r="F2067" s="11" t="s">
        <v>2589</v>
      </c>
      <c r="G2067" s="12">
        <f>SUM(G2069:G2085)/2</f>
        <v>179208.57506265002</v>
      </c>
      <c r="H2067" s="13">
        <f>ROUND(SUM(H2069:H2085),0)/2</f>
        <v>0</v>
      </c>
      <c r="I2067" s="10">
        <f>VLOOKUP(A2067,Presupuesto!$A:$F,6,0)</f>
        <v>0</v>
      </c>
      <c r="J2067" s="10">
        <f>+H2067-I2067</f>
        <v>0</v>
      </c>
    </row>
    <row r="2068" spans="1:10" ht="13.15" thickTop="1">
      <c r="A2068" s="14"/>
      <c r="B2068" s="15" t="s">
        <v>2586</v>
      </c>
      <c r="C2068" s="15" t="s">
        <v>5</v>
      </c>
      <c r="D2068" s="16" t="s">
        <v>6</v>
      </c>
      <c r="E2068" s="17" t="s">
        <v>7</v>
      </c>
      <c r="F2068" s="18" t="s">
        <v>3728</v>
      </c>
      <c r="G2068" s="19" t="s">
        <v>3729</v>
      </c>
      <c r="H2068" s="20" t="s">
        <v>3797</v>
      </c>
    </row>
    <row r="2069" spans="1:10">
      <c r="A2069" s="21"/>
      <c r="B2069" s="22" t="s">
        <v>3730</v>
      </c>
      <c r="C2069" s="23"/>
      <c r="D2069" s="24"/>
      <c r="E2069" s="25"/>
      <c r="F2069" s="26"/>
      <c r="G2069" s="27">
        <f>SUM(G2070:G2074)</f>
        <v>157201.2225</v>
      </c>
      <c r="H2069" s="27">
        <f>IFERROR(G2069*E2067,"")</f>
        <v>0</v>
      </c>
    </row>
    <row r="2070" spans="1:10">
      <c r="A2070" s="28"/>
      <c r="B2070" s="29" t="s">
        <v>3054</v>
      </c>
      <c r="C2070" s="30" t="str">
        <f>IFERROR(_xlfn.XLOOKUP(B2070,Insumo[DESCRIPCION],Insumo[UND],,0),"")</f>
        <v>Un</v>
      </c>
      <c r="D2070" s="31">
        <v>1</v>
      </c>
      <c r="E2070" s="32">
        <f>IFERROR(_xlfn.XLOOKUP($B2070,Insumo[DESCRIPCION],Insumo[VALOR],,0),"")</f>
        <v>153753.60000000001</v>
      </c>
      <c r="F2070" s="33"/>
      <c r="G2070" s="34">
        <f>IFERROR(IF(F2070&gt;=0,D2070*E2070*(1+F2070/100),ABS(D2070*E2070/F2070)),"")</f>
        <v>153753.60000000001</v>
      </c>
      <c r="H2070" s="43">
        <f>IFERROR(G2070*E2067,"")</f>
        <v>0</v>
      </c>
    </row>
    <row r="2071" spans="1:10">
      <c r="A2071" s="28"/>
      <c r="B2071" s="29" t="s">
        <v>2644</v>
      </c>
      <c r="C2071" s="30" t="str">
        <f>IFERROR(_xlfn.XLOOKUP(B2071,Insumo[DESCRIPCION],Insumo[UND],,0),"")</f>
        <v>Un</v>
      </c>
      <c r="D2071" s="31">
        <v>1</v>
      </c>
      <c r="E2071" s="32">
        <f>IFERROR(_xlfn.XLOOKUP($B2071,Insumo[DESCRIPCION],Insumo[VALOR],,0),"")</f>
        <v>2399.25</v>
      </c>
      <c r="F2071" s="33"/>
      <c r="G2071" s="34">
        <f>IFERROR(IF(F2071&gt;=0,D2071*E2071*(1+F2071/100),ABS(D2071*E2071/F2071)),"")</f>
        <v>2399.25</v>
      </c>
      <c r="H2071" s="43">
        <f>IFERROR(G2071*E2067,"")</f>
        <v>0</v>
      </c>
    </row>
    <row r="2072" spans="1:10">
      <c r="A2072" s="28"/>
      <c r="B2072" s="29" t="s">
        <v>3046</v>
      </c>
      <c r="C2072" s="30" t="str">
        <f>IFERROR(_xlfn.XLOOKUP(B2072,Insumo[DESCRIPCION],Insumo[UND],,0),"")</f>
        <v>Un</v>
      </c>
      <c r="D2072" s="31">
        <v>0.01</v>
      </c>
      <c r="E2072" s="32">
        <f>IFERROR(_xlfn.XLOOKUP($B2072,Insumo[DESCRIPCION],Insumo[VALOR],,0),"")</f>
        <v>62413.05</v>
      </c>
      <c r="F2072" s="33"/>
      <c r="G2072" s="34">
        <f>IFERROR(IF(F2072&gt;=0,D2072*E2072*(1+F2072/100),ABS(D2072*E2072/F2072)),"")</f>
        <v>624.1305000000001</v>
      </c>
      <c r="H2072" s="43">
        <f>IFERROR(G2072*E2067,"")</f>
        <v>0</v>
      </c>
    </row>
    <row r="2073" spans="1:10">
      <c r="A2073" s="28"/>
      <c r="B2073" s="29" t="s">
        <v>3329</v>
      </c>
      <c r="C2073" s="30" t="str">
        <f>IFERROR(_xlfn.XLOOKUP(B2073,Insumo[DESCRIPCION],Insumo[UND],,0),"")</f>
        <v>Un</v>
      </c>
      <c r="D2073" s="31">
        <v>0.01</v>
      </c>
      <c r="E2073" s="32">
        <f>IFERROR(_xlfn.XLOOKUP($B2073,Insumo[DESCRIPCION],Insumo[VALOR],,0),"")</f>
        <v>42424.200000000004</v>
      </c>
      <c r="F2073" s="33"/>
      <c r="G2073" s="34">
        <f>IFERROR(IF(F2073&gt;=0,D2073*E2073*(1+F2073/100),ABS(D2073*E2073/F2073)),"")</f>
        <v>424.24200000000008</v>
      </c>
      <c r="H2073" s="43">
        <f>IFERROR(G2073*E2067,"")</f>
        <v>0</v>
      </c>
    </row>
    <row r="2074" spans="1:10">
      <c r="A2074" s="28"/>
      <c r="B2074" s="29"/>
      <c r="C2074" s="30" t="str">
        <f>IFERROR(_xlfn.XLOOKUP(B2074,Insumo[DESCRIPCION],Insumo[UND],,0),"")</f>
        <v/>
      </c>
      <c r="D2074" s="31"/>
      <c r="E2074" s="32" t="str">
        <f>IFERROR(_xlfn.XLOOKUP($B2074,Insumo[DESCRIPCION],Insumo[VALOR],,0),"")</f>
        <v/>
      </c>
      <c r="F2074" s="33"/>
      <c r="G2074" s="34" t="str">
        <f>IFERROR(IF(F2074&gt;=0,D2074*E2074*(1+F2074/100),ABS(D2074*E2074/F2074)),"")</f>
        <v/>
      </c>
      <c r="H2074" s="43" t="str">
        <f>IFERROR(G2074*E2067,"")</f>
        <v/>
      </c>
    </row>
    <row r="2075" spans="1:10">
      <c r="A2075" s="21"/>
      <c r="B2075" s="22" t="s">
        <v>3731</v>
      </c>
      <c r="C2075" s="23"/>
      <c r="D2075" s="24"/>
      <c r="E2075" s="25"/>
      <c r="F2075" s="26"/>
      <c r="G2075" s="27">
        <f>SUM(G2076:G2078)</f>
        <v>1047.9691696500001</v>
      </c>
      <c r="H2075" s="27">
        <f>IFERROR(G2075*E2067,"")</f>
        <v>0</v>
      </c>
    </row>
    <row r="2076" spans="1:10">
      <c r="A2076" s="28"/>
      <c r="B2076" s="29" t="s">
        <v>3626</v>
      </c>
      <c r="C2076" s="30" t="str">
        <f>IFERROR(_xlfn.XLOOKUP(B2076,Equipo[DESCRIPCION],Equipo[UND],,0),"")</f>
        <v>%MO</v>
      </c>
      <c r="D2076" s="31">
        <v>0.05</v>
      </c>
      <c r="E2076" s="32">
        <f>IF(C2076="%MO",G2082,IFERROR(_xlfn.XLOOKUP($B2076,Equipo[DESCRIPCION],Equipo[VALOR],,0),""))</f>
        <v>20959.383393000004</v>
      </c>
      <c r="F2076" s="33"/>
      <c r="G2076" s="34">
        <f>IFERROR(IF(F2076&gt;=0,D2076*E2076*(1+F2076/100),ABS(D2076*E2076/F2076)),"")</f>
        <v>1047.9691696500001</v>
      </c>
      <c r="H2076" s="43">
        <f>IFERROR(G2076*E2067,"")</f>
        <v>0</v>
      </c>
    </row>
    <row r="2077" spans="1:10">
      <c r="A2077" s="28"/>
      <c r="B2077" s="29"/>
      <c r="C2077" s="30" t="str">
        <f>IFERROR(_xlfn.XLOOKUP(B2077,Equipo[DESCRIPCION],Equipo[UND],,0),"")</f>
        <v/>
      </c>
      <c r="D2077" s="31"/>
      <c r="E2077" s="32" t="str">
        <f>IF(C2077="%MO",G2082,IFERROR(_xlfn.XLOOKUP($B2077,Equipo[DESCRIPCION],Equipo[VALOR],,0),""))</f>
        <v/>
      </c>
      <c r="F2077" s="33"/>
      <c r="G2077" s="34" t="str">
        <f>IFERROR(IF(F2077&gt;=0,D2077*E2077*(1+F2077/100),ABS(D2077*E2077/F2077)),"")</f>
        <v/>
      </c>
      <c r="H2077" s="43" t="str">
        <f>IFERROR(G2077*E2067,"")</f>
        <v/>
      </c>
    </row>
    <row r="2078" spans="1:10">
      <c r="A2078" s="28"/>
      <c r="B2078" s="29"/>
      <c r="C2078" s="30" t="str">
        <f>IFERROR(_xlfn.XLOOKUP(B2078,Equipo[DESCRIPCION],Equipo[UND],,0),"")</f>
        <v/>
      </c>
      <c r="D2078" s="31"/>
      <c r="E2078" s="32" t="str">
        <f>IF(C2078="%MO",G2082,IFERROR(_xlfn.XLOOKUP($B2078,Equipo[DESCRIPCION],Equipo[VALOR],,0),""))</f>
        <v/>
      </c>
      <c r="F2078" s="33"/>
      <c r="G2078" s="34" t="str">
        <f>IFERROR(IF(F2078&gt;=0,D2078*E2078*(1+F2078/100),ABS(D2078*E2078/F2078)),"")</f>
        <v/>
      </c>
      <c r="H2078" s="43" t="str">
        <f>IFERROR(G2078*E2067,"")</f>
        <v/>
      </c>
    </row>
    <row r="2079" spans="1:10">
      <c r="A2079" s="21"/>
      <c r="B2079" s="22" t="s">
        <v>2533</v>
      </c>
      <c r="C2079" s="23"/>
      <c r="D2079" s="24"/>
      <c r="E2079" s="25"/>
      <c r="F2079" s="26"/>
      <c r="G2079" s="27">
        <f>SUM(G2080:G2081)</f>
        <v>0</v>
      </c>
      <c r="H2079" s="27">
        <f>IFERROR(G2079*E2067,"")</f>
        <v>0</v>
      </c>
    </row>
    <row r="2080" spans="1:10">
      <c r="A2080" s="28"/>
      <c r="B2080" s="29"/>
      <c r="C2080" s="30" t="str">
        <f>IFERROR(_xlfn.XLOOKUP(B2080,Transporte[DESCRIPCION],Transporte[UND],,0),"")</f>
        <v/>
      </c>
      <c r="D2080" s="31"/>
      <c r="E2080" s="32" t="str">
        <f>IFERROR(_xlfn.XLOOKUP($B2080,Transporte[DESCRIPCION],Transporte[VALOR],,0),"")</f>
        <v/>
      </c>
      <c r="F2080" s="33"/>
      <c r="G2080" s="34" t="str">
        <f>IFERROR(IF(F2080&gt;=0,D2080*E2080*(1+F2080/100),ABS(D2080*E2080/F2080)),"")</f>
        <v/>
      </c>
      <c r="H2080" s="43" t="str">
        <f>IFERROR(G2080*E2067,"")</f>
        <v/>
      </c>
    </row>
    <row r="2081" spans="1:10">
      <c r="A2081" s="28"/>
      <c r="B2081" s="29"/>
      <c r="C2081" s="30" t="str">
        <f>IFERROR(_xlfn.XLOOKUP(B2081,Transporte[DESCRIPCION],Transporte[UND],,0),"")</f>
        <v/>
      </c>
      <c r="D2081" s="31"/>
      <c r="E2081" s="32" t="str">
        <f>IFERROR(_xlfn.XLOOKUP($B2081,Transporte[DESCRIPCION],Transporte[VALOR],,0),"")</f>
        <v/>
      </c>
      <c r="F2081" s="33"/>
      <c r="G2081" s="34" t="str">
        <f>IFERROR(IF(F2081&gt;=0,D2081*E2081*(1+F2081/100),ABS(D2081*E2081/F2081)),"")</f>
        <v/>
      </c>
      <c r="H2081" s="43" t="str">
        <f>IFERROR(G2081*E2067,"")</f>
        <v/>
      </c>
    </row>
    <row r="2082" spans="1:10">
      <c r="A2082" s="21"/>
      <c r="B2082" s="22" t="s">
        <v>3732</v>
      </c>
      <c r="C2082" s="23"/>
      <c r="D2082" s="24"/>
      <c r="E2082" s="25"/>
      <c r="F2082" s="26"/>
      <c r="G2082" s="27">
        <f>SUM(G2083:G2085)</f>
        <v>20959.383393000004</v>
      </c>
      <c r="H2082" s="27">
        <f>IFERROR(G2082*E2067,"")</f>
        <v>0</v>
      </c>
    </row>
    <row r="2083" spans="1:10">
      <c r="A2083" s="28"/>
      <c r="B2083" s="29" t="s">
        <v>3710</v>
      </c>
      <c r="C2083" s="30" t="str">
        <f>IFERROR(_xlfn.XLOOKUP(B2083,MObra[DESCRIPCION],MObra[UN],,0),"")</f>
        <v>día</v>
      </c>
      <c r="D2083" s="31">
        <v>1</v>
      </c>
      <c r="E2083" s="32">
        <f>IFERROR(_xlfn.XLOOKUP($B2083,MObra[DESCRIPCION],MObra[VALOR UNIT],,0),"")</f>
        <v>314390.75089500006</v>
      </c>
      <c r="F2083" s="33">
        <v>-15</v>
      </c>
      <c r="G2083" s="34">
        <f>IFERROR(IF(F2083&gt;=0,D2083*E2083*(1+F2083/100),ABS(D2083*E2083/F2083)),"")</f>
        <v>20959.383393000004</v>
      </c>
      <c r="H2083" s="43">
        <f>IFERROR(G2083*E2067,"")</f>
        <v>0</v>
      </c>
    </row>
    <row r="2084" spans="1:10">
      <c r="A2084" s="28"/>
      <c r="B2084" s="29"/>
      <c r="C2084" s="30" t="str">
        <f>IFERROR(_xlfn.XLOOKUP(B2084,MObra[DESCRIPCION],MObra[UN],,0),"")</f>
        <v/>
      </c>
      <c r="D2084" s="31"/>
      <c r="E2084" s="32" t="str">
        <f>IFERROR(_xlfn.XLOOKUP($B2084,MObra[DESCRIPCION],MObra[VALOR UNIT],,0),"")</f>
        <v/>
      </c>
      <c r="F2084" s="33"/>
      <c r="G2084" s="34" t="str">
        <f>IFERROR(IF(F2084&gt;=0,D2084*E2084*(1+F2084/100),ABS(D2084*E2084/F2084)),"")</f>
        <v/>
      </c>
      <c r="H2084" s="43" t="str">
        <f>IFERROR(G2084*E2067,"")</f>
        <v/>
      </c>
    </row>
    <row r="2085" spans="1:10" ht="13.15" thickBot="1">
      <c r="A2085" s="35"/>
      <c r="B2085" s="36"/>
      <c r="C2085" s="37" t="str">
        <f>IFERROR(_xlfn.XLOOKUP(B2085,MObra[DESCRIPCION],MObra[UN],,0),"")</f>
        <v/>
      </c>
      <c r="D2085" s="38"/>
      <c r="E2085" s="39" t="str">
        <f>IFERROR(_xlfn.XLOOKUP($B2085,MObra[DESCRIPCION],MObra[VALOR UNIT],,0),"")</f>
        <v/>
      </c>
      <c r="F2085" s="40"/>
      <c r="G2085" s="41" t="str">
        <f>IFERROR(IF(F2085&gt;=0,D2085*E2085*(1+F2085/100),ABS(D2085*E2085/F2085)),"")</f>
        <v/>
      </c>
      <c r="H2085" s="42" t="str">
        <f>IFERROR(G2085*E2067,"")</f>
        <v/>
      </c>
    </row>
    <row r="2086" spans="1:10" ht="13.5" thickTop="1" thickBot="1"/>
    <row r="2087" spans="1:10" ht="13.5" thickTop="1" thickBot="1">
      <c r="A2087" s="6" t="s">
        <v>2248</v>
      </c>
      <c r="B2087" s="7" t="str">
        <f>VLOOKUP($A2087,Presupuesto!$A:$D,2,FALSE())</f>
        <v>Valvula de entrada 3"</v>
      </c>
      <c r="C2087" s="8" t="str">
        <f>VLOOKUP($A2087,Presupuesto!$A:$D,3,FALSE())</f>
        <v>Un</v>
      </c>
      <c r="D2087" s="9"/>
      <c r="E2087" s="10">
        <f>VLOOKUP($A2087,Presupuesto!$A:$D,4,FALSE())</f>
        <v>0</v>
      </c>
      <c r="F2087" s="11" t="s">
        <v>2589</v>
      </c>
      <c r="G2087" s="12">
        <f>SUM(G2089:G2105)/2</f>
        <v>769947.02122179547</v>
      </c>
      <c r="H2087" s="13">
        <f>ROUND(SUM(H2089:H2105),0)/2</f>
        <v>0</v>
      </c>
      <c r="I2087" s="10">
        <f>VLOOKUP(A2087,Presupuesto!$A:$F,6,0)</f>
        <v>0</v>
      </c>
      <c r="J2087" s="10">
        <f>+H2087-I2087</f>
        <v>0</v>
      </c>
    </row>
    <row r="2088" spans="1:10" ht="13.15" thickTop="1">
      <c r="A2088" s="14"/>
      <c r="B2088" s="15" t="s">
        <v>2586</v>
      </c>
      <c r="C2088" s="15" t="s">
        <v>5</v>
      </c>
      <c r="D2088" s="16" t="s">
        <v>6</v>
      </c>
      <c r="E2088" s="17" t="s">
        <v>7</v>
      </c>
      <c r="F2088" s="18" t="s">
        <v>3728</v>
      </c>
      <c r="G2088" s="19" t="s">
        <v>3729</v>
      </c>
      <c r="H2088" s="20" t="s">
        <v>3797</v>
      </c>
    </row>
    <row r="2089" spans="1:10">
      <c r="A2089" s="21"/>
      <c r="B2089" s="22" t="s">
        <v>3730</v>
      </c>
      <c r="C2089" s="23"/>
      <c r="D2089" s="24"/>
      <c r="E2089" s="25"/>
      <c r="F2089" s="26"/>
      <c r="G2089" s="27">
        <f>SUM(G2090:G2094)</f>
        <v>739936.99500000011</v>
      </c>
      <c r="H2089" s="27">
        <f>IFERROR(G2089*E2087,"")</f>
        <v>0</v>
      </c>
    </row>
    <row r="2090" spans="1:10">
      <c r="A2090" s="28"/>
      <c r="B2090" s="29" t="s">
        <v>3053</v>
      </c>
      <c r="C2090" s="30" t="str">
        <f>IFERROR(_xlfn.XLOOKUP(B2090,Insumo[DESCRIPCION],Insumo[UND],,0),"")</f>
        <v>Un</v>
      </c>
      <c r="D2090" s="31">
        <v>1</v>
      </c>
      <c r="E2090" s="32">
        <f>IFERROR(_xlfn.XLOOKUP($B2090,Insumo[DESCRIPCION],Insumo[VALOR],,0),"")</f>
        <v>642193.65</v>
      </c>
      <c r="F2090" s="33"/>
      <c r="G2090" s="34">
        <f>IFERROR(IF(F2090&gt;=0,D2090*E2090*(1+F2090/100),ABS(D2090*E2090/F2090)),"")</f>
        <v>642193.65</v>
      </c>
      <c r="H2090" s="43">
        <f>IFERROR(G2090*E2087,"")</f>
        <v>0</v>
      </c>
    </row>
    <row r="2091" spans="1:10">
      <c r="A2091" s="28"/>
      <c r="B2091" s="29" t="s">
        <v>2643</v>
      </c>
      <c r="C2091" s="30" t="str">
        <f>IFERROR(_xlfn.XLOOKUP(B2091,Insumo[DESCRIPCION],Insumo[UND],,0),"")</f>
        <v>Un</v>
      </c>
      <c r="D2091" s="31">
        <v>1</v>
      </c>
      <c r="E2091" s="32">
        <f>IFERROR(_xlfn.XLOOKUP($B2091,Insumo[DESCRIPCION],Insumo[VALOR],,0),"")</f>
        <v>95646.6</v>
      </c>
      <c r="F2091" s="33"/>
      <c r="G2091" s="34">
        <f>IFERROR(IF(F2091&gt;=0,D2091*E2091*(1+F2091/100),ABS(D2091*E2091/F2091)),"")</f>
        <v>95646.6</v>
      </c>
      <c r="H2091" s="43">
        <f>IFERROR(G2091*E2087,"")</f>
        <v>0</v>
      </c>
    </row>
    <row r="2092" spans="1:10">
      <c r="A2092" s="28"/>
      <c r="B2092" s="29" t="s">
        <v>3046</v>
      </c>
      <c r="C2092" s="30" t="str">
        <f>IFERROR(_xlfn.XLOOKUP(B2092,Insumo[DESCRIPCION],Insumo[UND],,0),"")</f>
        <v>Un</v>
      </c>
      <c r="D2092" s="31">
        <v>0.02</v>
      </c>
      <c r="E2092" s="32">
        <f>IFERROR(_xlfn.XLOOKUP($B2092,Insumo[DESCRIPCION],Insumo[VALOR],,0),"")</f>
        <v>62413.05</v>
      </c>
      <c r="F2092" s="33"/>
      <c r="G2092" s="34">
        <f>IFERROR(IF(F2092&gt;=0,D2092*E2092*(1+F2092/100),ABS(D2092*E2092/F2092)),"")</f>
        <v>1248.2610000000002</v>
      </c>
      <c r="H2092" s="43">
        <f>IFERROR(G2092*E2087,"")</f>
        <v>0</v>
      </c>
    </row>
    <row r="2093" spans="1:10">
      <c r="A2093" s="28"/>
      <c r="B2093" s="29" t="s">
        <v>3329</v>
      </c>
      <c r="C2093" s="30" t="str">
        <f>IFERROR(_xlfn.XLOOKUP(B2093,Insumo[DESCRIPCION],Insumo[UND],,0),"")</f>
        <v>Un</v>
      </c>
      <c r="D2093" s="31">
        <v>0.02</v>
      </c>
      <c r="E2093" s="32">
        <f>IFERROR(_xlfn.XLOOKUP($B2093,Insumo[DESCRIPCION],Insumo[VALOR],,0),"")</f>
        <v>42424.200000000004</v>
      </c>
      <c r="F2093" s="33"/>
      <c r="G2093" s="34">
        <f>IFERROR(IF(F2093&gt;=0,D2093*E2093*(1+F2093/100),ABS(D2093*E2093/F2093)),"")</f>
        <v>848.48400000000015</v>
      </c>
      <c r="H2093" s="43">
        <f>IFERROR(G2093*E2087,"")</f>
        <v>0</v>
      </c>
    </row>
    <row r="2094" spans="1:10">
      <c r="A2094" s="28"/>
      <c r="B2094" s="29"/>
      <c r="C2094" s="30" t="str">
        <f>IFERROR(_xlfn.XLOOKUP(B2094,Insumo[DESCRIPCION],Insumo[UND],,0),"")</f>
        <v/>
      </c>
      <c r="D2094" s="31"/>
      <c r="E2094" s="32" t="str">
        <f>IFERROR(_xlfn.XLOOKUP($B2094,Insumo[DESCRIPCION],Insumo[VALOR],,0),"")</f>
        <v/>
      </c>
      <c r="F2094" s="33"/>
      <c r="G2094" s="34" t="str">
        <f>IFERROR(IF(F2094&gt;=0,D2094*E2094*(1+F2094/100),ABS(D2094*E2094/F2094)),"")</f>
        <v/>
      </c>
      <c r="H2094" s="43" t="str">
        <f>IFERROR(G2094*E2087,"")</f>
        <v/>
      </c>
    </row>
    <row r="2095" spans="1:10">
      <c r="A2095" s="21"/>
      <c r="B2095" s="22" t="s">
        <v>3731</v>
      </c>
      <c r="C2095" s="23"/>
      <c r="D2095" s="24"/>
      <c r="E2095" s="25"/>
      <c r="F2095" s="26"/>
      <c r="G2095" s="27">
        <f>SUM(G2096:G2098)</f>
        <v>1429.048867704546</v>
      </c>
      <c r="H2095" s="27">
        <f>IFERROR(G2095*E2087,"")</f>
        <v>0</v>
      </c>
    </row>
    <row r="2096" spans="1:10">
      <c r="A2096" s="28"/>
      <c r="B2096" s="29" t="s">
        <v>3626</v>
      </c>
      <c r="C2096" s="30" t="str">
        <f>IFERROR(_xlfn.XLOOKUP(B2096,Equipo[DESCRIPCION],Equipo[UND],,0),"")</f>
        <v>%MO</v>
      </c>
      <c r="D2096" s="31">
        <v>0.05</v>
      </c>
      <c r="E2096" s="32">
        <f>IF(C2096="%MO",G2102,IFERROR(_xlfn.XLOOKUP($B2096,Equipo[DESCRIPCION],Equipo[VALOR],,0),""))</f>
        <v>28580.977354090915</v>
      </c>
      <c r="F2096" s="33"/>
      <c r="G2096" s="34">
        <f>IFERROR(IF(F2096&gt;=0,D2096*E2096*(1+F2096/100),ABS(D2096*E2096/F2096)),"")</f>
        <v>1429.048867704546</v>
      </c>
      <c r="H2096" s="43">
        <f>IFERROR(G2096*E2087,"")</f>
        <v>0</v>
      </c>
    </row>
    <row r="2097" spans="1:10">
      <c r="A2097" s="28"/>
      <c r="B2097" s="29"/>
      <c r="C2097" s="30" t="str">
        <f>IFERROR(_xlfn.XLOOKUP(B2097,Equipo[DESCRIPCION],Equipo[UND],,0),"")</f>
        <v/>
      </c>
      <c r="D2097" s="31"/>
      <c r="E2097" s="32" t="str">
        <f>IF(C2097="%MO",G2102,IFERROR(_xlfn.XLOOKUP($B2097,Equipo[DESCRIPCION],Equipo[VALOR],,0),""))</f>
        <v/>
      </c>
      <c r="F2097" s="33"/>
      <c r="G2097" s="34" t="str">
        <f>IFERROR(IF(F2097&gt;=0,D2097*E2097*(1+F2097/100),ABS(D2097*E2097/F2097)),"")</f>
        <v/>
      </c>
      <c r="H2097" s="43" t="str">
        <f>IFERROR(G2097*E2087,"")</f>
        <v/>
      </c>
    </row>
    <row r="2098" spans="1:10">
      <c r="A2098" s="28"/>
      <c r="B2098" s="29"/>
      <c r="C2098" s="30" t="str">
        <f>IFERROR(_xlfn.XLOOKUP(B2098,Equipo[DESCRIPCION],Equipo[UND],,0),"")</f>
        <v/>
      </c>
      <c r="D2098" s="31"/>
      <c r="E2098" s="32" t="str">
        <f>IF(C2098="%MO",G2102,IFERROR(_xlfn.XLOOKUP($B2098,Equipo[DESCRIPCION],Equipo[VALOR],,0),""))</f>
        <v/>
      </c>
      <c r="F2098" s="33"/>
      <c r="G2098" s="34" t="str">
        <f>IFERROR(IF(F2098&gt;=0,D2098*E2098*(1+F2098/100),ABS(D2098*E2098/F2098)),"")</f>
        <v/>
      </c>
      <c r="H2098" s="43" t="str">
        <f>IFERROR(G2098*E2087,"")</f>
        <v/>
      </c>
    </row>
    <row r="2099" spans="1:10">
      <c r="A2099" s="21"/>
      <c r="B2099" s="22" t="s">
        <v>2533</v>
      </c>
      <c r="C2099" s="23"/>
      <c r="D2099" s="24"/>
      <c r="E2099" s="25"/>
      <c r="F2099" s="26"/>
      <c r="G2099" s="27">
        <f>SUM(G2100:G2101)</f>
        <v>0</v>
      </c>
      <c r="H2099" s="27">
        <f>IFERROR(G2099*E2087,"")</f>
        <v>0</v>
      </c>
    </row>
    <row r="2100" spans="1:10">
      <c r="A2100" s="28"/>
      <c r="B2100" s="29"/>
      <c r="C2100" s="30" t="str">
        <f>IFERROR(_xlfn.XLOOKUP(B2100,Transporte[DESCRIPCION],Transporte[UND],,0),"")</f>
        <v/>
      </c>
      <c r="D2100" s="31"/>
      <c r="E2100" s="32" t="str">
        <f>IFERROR(_xlfn.XLOOKUP($B2100,Transporte[DESCRIPCION],Transporte[VALOR],,0),"")</f>
        <v/>
      </c>
      <c r="F2100" s="33"/>
      <c r="G2100" s="34" t="str">
        <f>IFERROR(IF(F2100&gt;=0,D2100*E2100*(1+F2100/100),ABS(D2100*E2100/F2100)),"")</f>
        <v/>
      </c>
      <c r="H2100" s="43" t="str">
        <f>IFERROR(G2100*E2087,"")</f>
        <v/>
      </c>
    </row>
    <row r="2101" spans="1:10">
      <c r="A2101" s="28"/>
      <c r="B2101" s="29"/>
      <c r="C2101" s="30" t="str">
        <f>IFERROR(_xlfn.XLOOKUP(B2101,Transporte[DESCRIPCION],Transporte[UND],,0),"")</f>
        <v/>
      </c>
      <c r="D2101" s="31"/>
      <c r="E2101" s="32" t="str">
        <f>IFERROR(_xlfn.XLOOKUP($B2101,Transporte[DESCRIPCION],Transporte[VALOR],,0),"")</f>
        <v/>
      </c>
      <c r="F2101" s="33"/>
      <c r="G2101" s="34" t="str">
        <f>IFERROR(IF(F2101&gt;=0,D2101*E2101*(1+F2101/100),ABS(D2101*E2101/F2101)),"")</f>
        <v/>
      </c>
      <c r="H2101" s="43" t="str">
        <f>IFERROR(G2101*E2087,"")</f>
        <v/>
      </c>
    </row>
    <row r="2102" spans="1:10">
      <c r="A2102" s="21"/>
      <c r="B2102" s="22" t="s">
        <v>3732</v>
      </c>
      <c r="C2102" s="23"/>
      <c r="D2102" s="24"/>
      <c r="E2102" s="25"/>
      <c r="F2102" s="26"/>
      <c r="G2102" s="27">
        <f>SUM(G2103:G2105)</f>
        <v>28580.977354090915</v>
      </c>
      <c r="H2102" s="27">
        <f>IFERROR(G2102*E2087,"")</f>
        <v>0</v>
      </c>
    </row>
    <row r="2103" spans="1:10">
      <c r="A2103" s="28"/>
      <c r="B2103" s="29" t="s">
        <v>3710</v>
      </c>
      <c r="C2103" s="30" t="str">
        <f>IFERROR(_xlfn.XLOOKUP(B2103,MObra[DESCRIPCION],MObra[UN],,0),"")</f>
        <v>día</v>
      </c>
      <c r="D2103" s="31">
        <v>1</v>
      </c>
      <c r="E2103" s="32">
        <f>IFERROR(_xlfn.XLOOKUP($B2103,MObra[DESCRIPCION],MObra[VALOR UNIT],,0),"")</f>
        <v>314390.75089500006</v>
      </c>
      <c r="F2103" s="33">
        <v>-11</v>
      </c>
      <c r="G2103" s="34">
        <f>IFERROR(IF(F2103&gt;=0,D2103*E2103*(1+F2103/100),ABS(D2103*E2103/F2103)),"")</f>
        <v>28580.977354090915</v>
      </c>
      <c r="H2103" s="43">
        <f>IFERROR(G2103*E2087,"")</f>
        <v>0</v>
      </c>
    </row>
    <row r="2104" spans="1:10">
      <c r="A2104" s="28"/>
      <c r="B2104" s="29"/>
      <c r="C2104" s="30" t="str">
        <f>IFERROR(_xlfn.XLOOKUP(B2104,MObra[DESCRIPCION],MObra[UN],,0),"")</f>
        <v/>
      </c>
      <c r="D2104" s="31"/>
      <c r="E2104" s="32" t="str">
        <f>IFERROR(_xlfn.XLOOKUP($B2104,MObra[DESCRIPCION],MObra[VALOR UNIT],,0),"")</f>
        <v/>
      </c>
      <c r="F2104" s="33"/>
      <c r="G2104" s="34" t="str">
        <f>IFERROR(IF(F2104&gt;=0,D2104*E2104*(1+F2104/100),ABS(D2104*E2104/F2104)),"")</f>
        <v/>
      </c>
      <c r="H2104" s="43" t="str">
        <f>IFERROR(G2104*E2087,"")</f>
        <v/>
      </c>
    </row>
    <row r="2105" spans="1:10" ht="13.15" thickBot="1">
      <c r="A2105" s="35"/>
      <c r="B2105" s="36"/>
      <c r="C2105" s="37" t="str">
        <f>IFERROR(_xlfn.XLOOKUP(B2105,MObra[DESCRIPCION],MObra[UN],,0),"")</f>
        <v/>
      </c>
      <c r="D2105" s="38"/>
      <c r="E2105" s="39" t="str">
        <f>IFERROR(_xlfn.XLOOKUP($B2105,MObra[DESCRIPCION],MObra[VALOR UNIT],,0),"")</f>
        <v/>
      </c>
      <c r="F2105" s="40"/>
      <c r="G2105" s="41" t="str">
        <f>IFERROR(IF(F2105&gt;=0,D2105*E2105*(1+F2105/100),ABS(D2105*E2105/F2105)),"")</f>
        <v/>
      </c>
      <c r="H2105" s="42" t="str">
        <f>IFERROR(G2105*E2087,"")</f>
        <v/>
      </c>
    </row>
    <row r="2106" spans="1:10" ht="13.5" thickTop="1" thickBot="1"/>
    <row r="2107" spans="1:10" ht="13.5" thickTop="1" thickBot="1">
      <c r="A2107" s="6" t="s">
        <v>2250</v>
      </c>
      <c r="B2107" s="7" t="str">
        <f>VLOOKUP($A2107,Presupuesto!$A:$D,2,FALSE())</f>
        <v>Válvula de globo hierro dúctil Ø2"</v>
      </c>
      <c r="C2107" s="8" t="str">
        <f>VLOOKUP($A2107,Presupuesto!$A:$D,3,FALSE())</f>
        <v>Un</v>
      </c>
      <c r="D2107" s="9"/>
      <c r="E2107" s="10">
        <f>VLOOKUP($A2107,Presupuesto!$A:$D,4,FALSE())</f>
        <v>0</v>
      </c>
      <c r="F2107" s="11" t="s">
        <v>2589</v>
      </c>
      <c r="G2107" s="12">
        <f>SUM(G2109:G2125)/2</f>
        <v>600990.81593774993</v>
      </c>
      <c r="H2107" s="13">
        <f>ROUND(SUM(H2109:H2125),0)/2</f>
        <v>0</v>
      </c>
      <c r="I2107" s="10">
        <f>VLOOKUP(A2107,Presupuesto!$A:$F,6,0)</f>
        <v>0</v>
      </c>
      <c r="J2107" s="10">
        <f>+H2107-I2107</f>
        <v>0</v>
      </c>
    </row>
    <row r="2108" spans="1:10" ht="13.15" thickTop="1">
      <c r="A2108" s="14"/>
      <c r="B2108" s="15" t="s">
        <v>2586</v>
      </c>
      <c r="C2108" s="15" t="s">
        <v>5</v>
      </c>
      <c r="D2108" s="16" t="s">
        <v>6</v>
      </c>
      <c r="E2108" s="17" t="s">
        <v>7</v>
      </c>
      <c r="F2108" s="18" t="s">
        <v>3728</v>
      </c>
      <c r="G2108" s="19" t="s">
        <v>3729</v>
      </c>
      <c r="H2108" s="20" t="s">
        <v>3797</v>
      </c>
    </row>
    <row r="2109" spans="1:10">
      <c r="A2109" s="21"/>
      <c r="B2109" s="22" t="s">
        <v>3730</v>
      </c>
      <c r="C2109" s="23"/>
      <c r="D2109" s="24"/>
      <c r="E2109" s="25"/>
      <c r="F2109" s="26"/>
      <c r="G2109" s="27">
        <f>SUM(G2110:G2114)</f>
        <v>564311.89500000014</v>
      </c>
      <c r="H2109" s="27">
        <f>IFERROR(G2109*E2107,"")</f>
        <v>0</v>
      </c>
    </row>
    <row r="2110" spans="1:10">
      <c r="A2110" s="28"/>
      <c r="B2110" s="29" t="s">
        <v>3538</v>
      </c>
      <c r="C2110" s="30" t="str">
        <f>IFERROR(_xlfn.XLOOKUP(B2110,Insumo[DESCRIPCION],Insumo[UND],,0),"")</f>
        <v>Un</v>
      </c>
      <c r="D2110" s="31">
        <v>1</v>
      </c>
      <c r="E2110" s="32">
        <f>IFERROR(_xlfn.XLOOKUP($B2110,Insumo[DESCRIPCION],Insumo[VALOR],,0),"")</f>
        <v>511481.25</v>
      </c>
      <c r="F2110" s="33"/>
      <c r="G2110" s="34">
        <f>IFERROR(IF(F2110&gt;=0,D2110*E2110*(1+F2110/100),ABS(D2110*E2110/F2110)),"")</f>
        <v>511481.25</v>
      </c>
      <c r="H2110" s="43">
        <f>IFERROR(G2110*E2107,"")</f>
        <v>0</v>
      </c>
    </row>
    <row r="2111" spans="1:10">
      <c r="A2111" s="28"/>
      <c r="B2111" s="29" t="s">
        <v>2642</v>
      </c>
      <c r="C2111" s="30" t="str">
        <f>IFERROR(_xlfn.XLOOKUP(B2111,Insumo[DESCRIPCION],Insumo[UND],,0),"")</f>
        <v>Un</v>
      </c>
      <c r="D2111" s="31">
        <v>2</v>
      </c>
      <c r="E2111" s="32">
        <f>IFERROR(_xlfn.XLOOKUP($B2111,Insumo[DESCRIPCION],Insumo[VALOR],,0),"")</f>
        <v>25366.95</v>
      </c>
      <c r="F2111" s="33"/>
      <c r="G2111" s="34">
        <f>IFERROR(IF(F2111&gt;=0,D2111*E2111*(1+F2111/100),ABS(D2111*E2111/F2111)),"")</f>
        <v>50733.9</v>
      </c>
      <c r="H2111" s="43">
        <f>IFERROR(G2111*E2107,"")</f>
        <v>0</v>
      </c>
    </row>
    <row r="2112" spans="1:10">
      <c r="A2112" s="28"/>
      <c r="B2112" s="29" t="s">
        <v>3046</v>
      </c>
      <c r="C2112" s="30" t="str">
        <f>IFERROR(_xlfn.XLOOKUP(B2112,Insumo[DESCRIPCION],Insumo[UND],,0),"")</f>
        <v>Un</v>
      </c>
      <c r="D2112" s="31">
        <v>0.02</v>
      </c>
      <c r="E2112" s="32">
        <f>IFERROR(_xlfn.XLOOKUP($B2112,Insumo[DESCRIPCION],Insumo[VALOR],,0),"")</f>
        <v>62413.05</v>
      </c>
      <c r="F2112" s="33"/>
      <c r="G2112" s="34">
        <f>IFERROR(IF(F2112&gt;=0,D2112*E2112*(1+F2112/100),ABS(D2112*E2112/F2112)),"")</f>
        <v>1248.2610000000002</v>
      </c>
      <c r="H2112" s="43">
        <f>IFERROR(G2112*E2107,"")</f>
        <v>0</v>
      </c>
    </row>
    <row r="2113" spans="1:10">
      <c r="A2113" s="28"/>
      <c r="B2113" s="29" t="s">
        <v>3329</v>
      </c>
      <c r="C2113" s="30" t="str">
        <f>IFERROR(_xlfn.XLOOKUP(B2113,Insumo[DESCRIPCION],Insumo[UND],,0),"")</f>
        <v>Un</v>
      </c>
      <c r="D2113" s="31">
        <v>0.02</v>
      </c>
      <c r="E2113" s="32">
        <f>IFERROR(_xlfn.XLOOKUP($B2113,Insumo[DESCRIPCION],Insumo[VALOR],,0),"")</f>
        <v>42424.200000000004</v>
      </c>
      <c r="F2113" s="33"/>
      <c r="G2113" s="34">
        <f>IFERROR(IF(F2113&gt;=0,D2113*E2113*(1+F2113/100),ABS(D2113*E2113/F2113)),"")</f>
        <v>848.48400000000015</v>
      </c>
      <c r="H2113" s="43">
        <f>IFERROR(G2113*E2107,"")</f>
        <v>0</v>
      </c>
    </row>
    <row r="2114" spans="1:10">
      <c r="A2114" s="28"/>
      <c r="B2114" s="29"/>
      <c r="C2114" s="30" t="str">
        <f>IFERROR(_xlfn.XLOOKUP(B2114,Insumo[DESCRIPCION],Insumo[UND],,0),"")</f>
        <v/>
      </c>
      <c r="D2114" s="31"/>
      <c r="E2114" s="32" t="str">
        <f>IFERROR(_xlfn.XLOOKUP($B2114,Insumo[DESCRIPCION],Insumo[VALOR],,0),"")</f>
        <v/>
      </c>
      <c r="F2114" s="33"/>
      <c r="G2114" s="34" t="str">
        <f>IFERROR(IF(F2114&gt;=0,D2114*E2114*(1+F2114/100),ABS(D2114*E2114/F2114)),"")</f>
        <v/>
      </c>
      <c r="H2114" s="43" t="str">
        <f>IFERROR(G2114*E2107,"")</f>
        <v/>
      </c>
    </row>
    <row r="2115" spans="1:10">
      <c r="A2115" s="21"/>
      <c r="B2115" s="22" t="s">
        <v>3731</v>
      </c>
      <c r="C2115" s="23"/>
      <c r="D2115" s="24"/>
      <c r="E2115" s="25"/>
      <c r="F2115" s="26"/>
      <c r="G2115" s="27">
        <f>SUM(G2116:G2118)</f>
        <v>1746.6152827500002</v>
      </c>
      <c r="H2115" s="27">
        <f>IFERROR(G2115*E2107,"")</f>
        <v>0</v>
      </c>
    </row>
    <row r="2116" spans="1:10">
      <c r="A2116" s="28"/>
      <c r="B2116" s="29" t="s">
        <v>3626</v>
      </c>
      <c r="C2116" s="30" t="str">
        <f>IFERROR(_xlfn.XLOOKUP(B2116,Equipo[DESCRIPCION],Equipo[UND],,0),"")</f>
        <v>%MO</v>
      </c>
      <c r="D2116" s="31">
        <v>0.05</v>
      </c>
      <c r="E2116" s="32">
        <f>IF(C2116="%MO",G2122,IFERROR(_xlfn.XLOOKUP($B2116,Equipo[DESCRIPCION],Equipo[VALOR],,0),""))</f>
        <v>34932.305655000004</v>
      </c>
      <c r="F2116" s="33"/>
      <c r="G2116" s="34">
        <f>IFERROR(IF(F2116&gt;=0,D2116*E2116*(1+F2116/100),ABS(D2116*E2116/F2116)),"")</f>
        <v>1746.6152827500002</v>
      </c>
      <c r="H2116" s="43">
        <f>IFERROR(G2116*E2107,"")</f>
        <v>0</v>
      </c>
    </row>
    <row r="2117" spans="1:10">
      <c r="A2117" s="28"/>
      <c r="B2117" s="29"/>
      <c r="C2117" s="30" t="str">
        <f>IFERROR(_xlfn.XLOOKUP(B2117,Equipo[DESCRIPCION],Equipo[UND],,0),"")</f>
        <v/>
      </c>
      <c r="D2117" s="31"/>
      <c r="E2117" s="32" t="str">
        <f>IF(C2117="%MO",G2122,IFERROR(_xlfn.XLOOKUP($B2117,Equipo[DESCRIPCION],Equipo[VALOR],,0),""))</f>
        <v/>
      </c>
      <c r="F2117" s="33"/>
      <c r="G2117" s="34" t="str">
        <f>IFERROR(IF(F2117&gt;=0,D2117*E2117*(1+F2117/100),ABS(D2117*E2117/F2117)),"")</f>
        <v/>
      </c>
      <c r="H2117" s="43" t="str">
        <f>IFERROR(G2117*E2107,"")</f>
        <v/>
      </c>
    </row>
    <row r="2118" spans="1:10">
      <c r="A2118" s="28"/>
      <c r="B2118" s="29"/>
      <c r="C2118" s="30" t="str">
        <f>IFERROR(_xlfn.XLOOKUP(B2118,Equipo[DESCRIPCION],Equipo[UND],,0),"")</f>
        <v/>
      </c>
      <c r="D2118" s="31"/>
      <c r="E2118" s="32" t="str">
        <f>IF(C2118="%MO",G2122,IFERROR(_xlfn.XLOOKUP($B2118,Equipo[DESCRIPCION],Equipo[VALOR],,0),""))</f>
        <v/>
      </c>
      <c r="F2118" s="33"/>
      <c r="G2118" s="34" t="str">
        <f>IFERROR(IF(F2118&gt;=0,D2118*E2118*(1+F2118/100),ABS(D2118*E2118/F2118)),"")</f>
        <v/>
      </c>
      <c r="H2118" s="43" t="str">
        <f>IFERROR(G2118*E2107,"")</f>
        <v/>
      </c>
    </row>
    <row r="2119" spans="1:10">
      <c r="A2119" s="21"/>
      <c r="B2119" s="22" t="s">
        <v>2533</v>
      </c>
      <c r="C2119" s="23"/>
      <c r="D2119" s="24"/>
      <c r="E2119" s="25"/>
      <c r="F2119" s="26"/>
      <c r="G2119" s="27">
        <f>SUM(G2120:G2121)</f>
        <v>0</v>
      </c>
      <c r="H2119" s="27">
        <f>IFERROR(G2119*E2107,"")</f>
        <v>0</v>
      </c>
    </row>
    <row r="2120" spans="1:10">
      <c r="A2120" s="28"/>
      <c r="B2120" s="29"/>
      <c r="C2120" s="30" t="str">
        <f>IFERROR(_xlfn.XLOOKUP(B2120,Transporte[DESCRIPCION],Transporte[UND],,0),"")</f>
        <v/>
      </c>
      <c r="D2120" s="31"/>
      <c r="E2120" s="32" t="str">
        <f>IFERROR(_xlfn.XLOOKUP($B2120,Transporte[DESCRIPCION],Transporte[VALOR],,0),"")</f>
        <v/>
      </c>
      <c r="F2120" s="33"/>
      <c r="G2120" s="34" t="str">
        <f>IFERROR(IF(F2120&gt;=0,D2120*E2120*(1+F2120/100),ABS(D2120*E2120/F2120)),"")</f>
        <v/>
      </c>
      <c r="H2120" s="43" t="str">
        <f>IFERROR(G2120*E2107,"")</f>
        <v/>
      </c>
    </row>
    <row r="2121" spans="1:10">
      <c r="A2121" s="28"/>
      <c r="B2121" s="29"/>
      <c r="C2121" s="30" t="str">
        <f>IFERROR(_xlfn.XLOOKUP(B2121,Transporte[DESCRIPCION],Transporte[UND],,0),"")</f>
        <v/>
      </c>
      <c r="D2121" s="31"/>
      <c r="E2121" s="32" t="str">
        <f>IFERROR(_xlfn.XLOOKUP($B2121,Transporte[DESCRIPCION],Transporte[VALOR],,0),"")</f>
        <v/>
      </c>
      <c r="F2121" s="33"/>
      <c r="G2121" s="34" t="str">
        <f>IFERROR(IF(F2121&gt;=0,D2121*E2121*(1+F2121/100),ABS(D2121*E2121/F2121)),"")</f>
        <v/>
      </c>
      <c r="H2121" s="43" t="str">
        <f>IFERROR(G2121*E2107,"")</f>
        <v/>
      </c>
    </row>
    <row r="2122" spans="1:10">
      <c r="A2122" s="21"/>
      <c r="B2122" s="22" t="s">
        <v>3732</v>
      </c>
      <c r="C2122" s="23"/>
      <c r="D2122" s="24"/>
      <c r="E2122" s="25"/>
      <c r="F2122" s="26"/>
      <c r="G2122" s="27">
        <f>SUM(G2123:G2125)</f>
        <v>34932.305655000004</v>
      </c>
      <c r="H2122" s="27">
        <f>IFERROR(G2122*E2107,"")</f>
        <v>0</v>
      </c>
    </row>
    <row r="2123" spans="1:10">
      <c r="A2123" s="28"/>
      <c r="B2123" s="29" t="s">
        <v>3710</v>
      </c>
      <c r="C2123" s="30" t="str">
        <f>IFERROR(_xlfn.XLOOKUP(B2123,MObra[DESCRIPCION],MObra[UN],,0),"")</f>
        <v>día</v>
      </c>
      <c r="D2123" s="31">
        <v>1</v>
      </c>
      <c r="E2123" s="32">
        <f>IFERROR(_xlfn.XLOOKUP($B2123,MObra[DESCRIPCION],MObra[VALOR UNIT],,0),"")</f>
        <v>314390.75089500006</v>
      </c>
      <c r="F2123" s="33">
        <v>-9</v>
      </c>
      <c r="G2123" s="34">
        <f>IFERROR(IF(F2123&gt;=0,D2123*E2123*(1+F2123/100),ABS(D2123*E2123/F2123)),"")</f>
        <v>34932.305655000004</v>
      </c>
      <c r="H2123" s="43">
        <f>IFERROR(G2123*E2107,"")</f>
        <v>0</v>
      </c>
    </row>
    <row r="2124" spans="1:10">
      <c r="A2124" s="28"/>
      <c r="B2124" s="29"/>
      <c r="C2124" s="30" t="str">
        <f>IFERROR(_xlfn.XLOOKUP(B2124,MObra[DESCRIPCION],MObra[UN],,0),"")</f>
        <v/>
      </c>
      <c r="D2124" s="31"/>
      <c r="E2124" s="32" t="str">
        <f>IFERROR(_xlfn.XLOOKUP($B2124,MObra[DESCRIPCION],MObra[VALOR UNIT],,0),"")</f>
        <v/>
      </c>
      <c r="F2124" s="33"/>
      <c r="G2124" s="34" t="str">
        <f>IFERROR(IF(F2124&gt;=0,D2124*E2124*(1+F2124/100),ABS(D2124*E2124/F2124)),"")</f>
        <v/>
      </c>
      <c r="H2124" s="43" t="str">
        <f>IFERROR(G2124*E2107,"")</f>
        <v/>
      </c>
    </row>
    <row r="2125" spans="1:10" ht="13.15" thickBot="1">
      <c r="A2125" s="35"/>
      <c r="B2125" s="36"/>
      <c r="C2125" s="37" t="str">
        <f>IFERROR(_xlfn.XLOOKUP(B2125,MObra[DESCRIPCION],MObra[UN],,0),"")</f>
        <v/>
      </c>
      <c r="D2125" s="38"/>
      <c r="E2125" s="39" t="str">
        <f>IFERROR(_xlfn.XLOOKUP($B2125,MObra[DESCRIPCION],MObra[VALOR UNIT],,0),"")</f>
        <v/>
      </c>
      <c r="F2125" s="40"/>
      <c r="G2125" s="41" t="str">
        <f>IFERROR(IF(F2125&gt;=0,D2125*E2125*(1+F2125/100),ABS(D2125*E2125/F2125)),"")</f>
        <v/>
      </c>
      <c r="H2125" s="42" t="str">
        <f>IFERROR(G2125*E2107,"")</f>
        <v/>
      </c>
    </row>
    <row r="2126" spans="1:10" ht="13.5" thickTop="1" thickBot="1"/>
    <row r="2127" spans="1:10" ht="13.5" thickTop="1" thickBot="1">
      <c r="A2127" s="6" t="s">
        <v>2252</v>
      </c>
      <c r="B2127" s="7" t="str">
        <f>VLOOKUP($A2127,Presupuesto!$A:$D,2,FALSE())</f>
        <v>Válvula de globo hierro dúctil Ø2 1/2"</v>
      </c>
      <c r="C2127" s="8" t="str">
        <f>VLOOKUP($A2127,Presupuesto!$A:$D,3,FALSE())</f>
        <v>Un</v>
      </c>
      <c r="D2127" s="9"/>
      <c r="E2127" s="10">
        <f>VLOOKUP($A2127,Presupuesto!$A:$D,4,FALSE())</f>
        <v>0</v>
      </c>
      <c r="F2127" s="11" t="s">
        <v>2589</v>
      </c>
      <c r="G2127" s="12">
        <f>SUM(G2129:G2145)/2</f>
        <v>771614.76593775011</v>
      </c>
      <c r="H2127" s="13">
        <f>ROUND(SUM(H2129:H2145),0)/2</f>
        <v>0</v>
      </c>
      <c r="I2127" s="10">
        <f>VLOOKUP(A2127,Presupuesto!$A:$F,6,0)</f>
        <v>0</v>
      </c>
      <c r="J2127" s="10">
        <f>+H2127-I2127</f>
        <v>0</v>
      </c>
    </row>
    <row r="2128" spans="1:10" ht="13.15" thickTop="1">
      <c r="A2128" s="14"/>
      <c r="B2128" s="15" t="s">
        <v>2586</v>
      </c>
      <c r="C2128" s="15" t="s">
        <v>5</v>
      </c>
      <c r="D2128" s="16" t="s">
        <v>6</v>
      </c>
      <c r="E2128" s="17" t="s">
        <v>7</v>
      </c>
      <c r="F2128" s="18" t="s">
        <v>3728</v>
      </c>
      <c r="G2128" s="19" t="s">
        <v>3729</v>
      </c>
      <c r="H2128" s="20" t="s">
        <v>3797</v>
      </c>
    </row>
    <row r="2129" spans="1:8">
      <c r="A2129" s="21"/>
      <c r="B2129" s="22" t="s">
        <v>3730</v>
      </c>
      <c r="C2129" s="23"/>
      <c r="D2129" s="24"/>
      <c r="E2129" s="25"/>
      <c r="F2129" s="26"/>
      <c r="G2129" s="27">
        <f>SUM(G2130:G2134)</f>
        <v>734935.84500000009</v>
      </c>
      <c r="H2129" s="27">
        <f>IFERROR(G2129*E2127,"")</f>
        <v>0</v>
      </c>
    </row>
    <row r="2130" spans="1:8">
      <c r="A2130" s="28"/>
      <c r="B2130" s="29" t="s">
        <v>3537</v>
      </c>
      <c r="C2130" s="30" t="str">
        <f>IFERROR(_xlfn.XLOOKUP(B2130,Insumo[DESCRIPCION],Insumo[UND],,0),"")</f>
        <v>Un</v>
      </c>
      <c r="D2130" s="31">
        <v>1</v>
      </c>
      <c r="E2130" s="32">
        <f>IFERROR(_xlfn.XLOOKUP($B2130,Insumo[DESCRIPCION],Insumo[VALOR],,0),"")</f>
        <v>591045</v>
      </c>
      <c r="F2130" s="33"/>
      <c r="G2130" s="34">
        <f>IFERROR(IF(F2130&gt;=0,D2130*E2130*(1+F2130/100),ABS(D2130*E2130/F2130)),"")</f>
        <v>591045</v>
      </c>
      <c r="H2130" s="43">
        <f>IFERROR(G2130*E2127,"")</f>
        <v>0</v>
      </c>
    </row>
    <row r="2131" spans="1:8">
      <c r="A2131" s="28"/>
      <c r="B2131" s="29" t="s">
        <v>2641</v>
      </c>
      <c r="C2131" s="30" t="str">
        <f>IFERROR(_xlfn.XLOOKUP(B2131,Insumo[DESCRIPCION],Insumo[UND],,0),"")</f>
        <v>Un</v>
      </c>
      <c r="D2131" s="31">
        <v>2</v>
      </c>
      <c r="E2131" s="32">
        <f>IFERROR(_xlfn.XLOOKUP($B2131,Insumo[DESCRIPCION],Insumo[VALOR],,0),"")</f>
        <v>70897.05</v>
      </c>
      <c r="F2131" s="33"/>
      <c r="G2131" s="34">
        <f>IFERROR(IF(F2131&gt;=0,D2131*E2131*(1+F2131/100),ABS(D2131*E2131/F2131)),"")</f>
        <v>141794.1</v>
      </c>
      <c r="H2131" s="43">
        <f>IFERROR(G2131*E2127,"")</f>
        <v>0</v>
      </c>
    </row>
    <row r="2132" spans="1:8">
      <c r="A2132" s="28"/>
      <c r="B2132" s="29" t="s">
        <v>3046</v>
      </c>
      <c r="C2132" s="30" t="str">
        <f>IFERROR(_xlfn.XLOOKUP(B2132,Insumo[DESCRIPCION],Insumo[UND],,0),"")</f>
        <v>Un</v>
      </c>
      <c r="D2132" s="31">
        <v>0.02</v>
      </c>
      <c r="E2132" s="32">
        <f>IFERROR(_xlfn.XLOOKUP($B2132,Insumo[DESCRIPCION],Insumo[VALOR],,0),"")</f>
        <v>62413.05</v>
      </c>
      <c r="F2132" s="33"/>
      <c r="G2132" s="34">
        <f>IFERROR(IF(F2132&gt;=0,D2132*E2132*(1+F2132/100),ABS(D2132*E2132/F2132)),"")</f>
        <v>1248.2610000000002</v>
      </c>
      <c r="H2132" s="43">
        <f>IFERROR(G2132*E2127,"")</f>
        <v>0</v>
      </c>
    </row>
    <row r="2133" spans="1:8">
      <c r="A2133" s="28"/>
      <c r="B2133" s="29" t="s">
        <v>3329</v>
      </c>
      <c r="C2133" s="30" t="str">
        <f>IFERROR(_xlfn.XLOOKUP(B2133,Insumo[DESCRIPCION],Insumo[UND],,0),"")</f>
        <v>Un</v>
      </c>
      <c r="D2133" s="31">
        <v>0.02</v>
      </c>
      <c r="E2133" s="32">
        <f>IFERROR(_xlfn.XLOOKUP($B2133,Insumo[DESCRIPCION],Insumo[VALOR],,0),"")</f>
        <v>42424.200000000004</v>
      </c>
      <c r="F2133" s="33"/>
      <c r="G2133" s="34">
        <f>IFERROR(IF(F2133&gt;=0,D2133*E2133*(1+F2133/100),ABS(D2133*E2133/F2133)),"")</f>
        <v>848.48400000000015</v>
      </c>
      <c r="H2133" s="43">
        <f>IFERROR(G2133*E2127,"")</f>
        <v>0</v>
      </c>
    </row>
    <row r="2134" spans="1:8">
      <c r="A2134" s="28"/>
      <c r="B2134" s="29"/>
      <c r="C2134" s="30" t="str">
        <f>IFERROR(_xlfn.XLOOKUP(B2134,Insumo[DESCRIPCION],Insumo[UND],,0),"")</f>
        <v/>
      </c>
      <c r="D2134" s="31"/>
      <c r="E2134" s="32" t="str">
        <f>IFERROR(_xlfn.XLOOKUP($B2134,Insumo[DESCRIPCION],Insumo[VALOR],,0),"")</f>
        <v/>
      </c>
      <c r="F2134" s="33"/>
      <c r="G2134" s="34" t="str">
        <f>IFERROR(IF(F2134&gt;=0,D2134*E2134*(1+F2134/100),ABS(D2134*E2134/F2134)),"")</f>
        <v/>
      </c>
      <c r="H2134" s="43" t="str">
        <f>IFERROR(G2134*E2127,"")</f>
        <v/>
      </c>
    </row>
    <row r="2135" spans="1:8">
      <c r="A2135" s="21"/>
      <c r="B2135" s="22" t="s">
        <v>3731</v>
      </c>
      <c r="C2135" s="23"/>
      <c r="D2135" s="24"/>
      <c r="E2135" s="25"/>
      <c r="F2135" s="26"/>
      <c r="G2135" s="27">
        <f>SUM(G2136:G2138)</f>
        <v>1746.6152827500002</v>
      </c>
      <c r="H2135" s="27">
        <f>IFERROR(G2135*E2127,"")</f>
        <v>0</v>
      </c>
    </row>
    <row r="2136" spans="1:8">
      <c r="A2136" s="28"/>
      <c r="B2136" s="29" t="s">
        <v>3626</v>
      </c>
      <c r="C2136" s="30" t="str">
        <f>IFERROR(_xlfn.XLOOKUP(B2136,Equipo[DESCRIPCION],Equipo[UND],,0),"")</f>
        <v>%MO</v>
      </c>
      <c r="D2136" s="31">
        <v>0.05</v>
      </c>
      <c r="E2136" s="32">
        <f>IF(C2136="%MO",G2142,IFERROR(_xlfn.XLOOKUP($B2136,Equipo[DESCRIPCION],Equipo[VALOR],,0),""))</f>
        <v>34932.305655000004</v>
      </c>
      <c r="F2136" s="33"/>
      <c r="G2136" s="34">
        <f>IFERROR(IF(F2136&gt;=0,D2136*E2136*(1+F2136/100),ABS(D2136*E2136/F2136)),"")</f>
        <v>1746.6152827500002</v>
      </c>
      <c r="H2136" s="43">
        <f>IFERROR(G2136*E2127,"")</f>
        <v>0</v>
      </c>
    </row>
    <row r="2137" spans="1:8">
      <c r="A2137" s="28"/>
      <c r="B2137" s="29"/>
      <c r="C2137" s="30" t="str">
        <f>IFERROR(_xlfn.XLOOKUP(B2137,Equipo[DESCRIPCION],Equipo[UND],,0),"")</f>
        <v/>
      </c>
      <c r="D2137" s="31"/>
      <c r="E2137" s="32" t="str">
        <f>IF(C2137="%MO",G2142,IFERROR(_xlfn.XLOOKUP($B2137,Equipo[DESCRIPCION],Equipo[VALOR],,0),""))</f>
        <v/>
      </c>
      <c r="F2137" s="33"/>
      <c r="G2137" s="34" t="str">
        <f>IFERROR(IF(F2137&gt;=0,D2137*E2137*(1+F2137/100),ABS(D2137*E2137/F2137)),"")</f>
        <v/>
      </c>
      <c r="H2137" s="43" t="str">
        <f>IFERROR(G2137*E2127,"")</f>
        <v/>
      </c>
    </row>
    <row r="2138" spans="1:8">
      <c r="A2138" s="28"/>
      <c r="B2138" s="29"/>
      <c r="C2138" s="30" t="str">
        <f>IFERROR(_xlfn.XLOOKUP(B2138,Equipo[DESCRIPCION],Equipo[UND],,0),"")</f>
        <v/>
      </c>
      <c r="D2138" s="31"/>
      <c r="E2138" s="32" t="str">
        <f>IF(C2138="%MO",G2142,IFERROR(_xlfn.XLOOKUP($B2138,Equipo[DESCRIPCION],Equipo[VALOR],,0),""))</f>
        <v/>
      </c>
      <c r="F2138" s="33"/>
      <c r="G2138" s="34" t="str">
        <f>IFERROR(IF(F2138&gt;=0,D2138*E2138*(1+F2138/100),ABS(D2138*E2138/F2138)),"")</f>
        <v/>
      </c>
      <c r="H2138" s="43" t="str">
        <f>IFERROR(G2138*E2127,"")</f>
        <v/>
      </c>
    </row>
    <row r="2139" spans="1:8">
      <c r="A2139" s="21"/>
      <c r="B2139" s="22" t="s">
        <v>2533</v>
      </c>
      <c r="C2139" s="23"/>
      <c r="D2139" s="24"/>
      <c r="E2139" s="25"/>
      <c r="F2139" s="26"/>
      <c r="G2139" s="27">
        <f>SUM(G2140:G2141)</f>
        <v>0</v>
      </c>
      <c r="H2139" s="27">
        <f>IFERROR(G2139*E2127,"")</f>
        <v>0</v>
      </c>
    </row>
    <row r="2140" spans="1:8">
      <c r="A2140" s="28"/>
      <c r="B2140" s="29"/>
      <c r="C2140" s="30" t="str">
        <f>IFERROR(_xlfn.XLOOKUP(B2140,Transporte[DESCRIPCION],Transporte[UND],,0),"")</f>
        <v/>
      </c>
      <c r="D2140" s="31"/>
      <c r="E2140" s="32" t="str">
        <f>IFERROR(_xlfn.XLOOKUP($B2140,Transporte[DESCRIPCION],Transporte[VALOR],,0),"")</f>
        <v/>
      </c>
      <c r="F2140" s="33"/>
      <c r="G2140" s="34" t="str">
        <f>IFERROR(IF(F2140&gt;=0,D2140*E2140*(1+F2140/100),ABS(D2140*E2140/F2140)),"")</f>
        <v/>
      </c>
      <c r="H2140" s="43" t="str">
        <f>IFERROR(G2140*E2127,"")</f>
        <v/>
      </c>
    </row>
    <row r="2141" spans="1:8">
      <c r="A2141" s="28"/>
      <c r="B2141" s="29"/>
      <c r="C2141" s="30" t="str">
        <f>IFERROR(_xlfn.XLOOKUP(B2141,Transporte[DESCRIPCION],Transporte[UND],,0),"")</f>
        <v/>
      </c>
      <c r="D2141" s="31"/>
      <c r="E2141" s="32" t="str">
        <f>IFERROR(_xlfn.XLOOKUP($B2141,Transporte[DESCRIPCION],Transporte[VALOR],,0),"")</f>
        <v/>
      </c>
      <c r="F2141" s="33"/>
      <c r="G2141" s="34" t="str">
        <f>IFERROR(IF(F2141&gt;=0,D2141*E2141*(1+F2141/100),ABS(D2141*E2141/F2141)),"")</f>
        <v/>
      </c>
      <c r="H2141" s="43" t="str">
        <f>IFERROR(G2141*E2127,"")</f>
        <v/>
      </c>
    </row>
    <row r="2142" spans="1:8">
      <c r="A2142" s="21"/>
      <c r="B2142" s="22" t="s">
        <v>3732</v>
      </c>
      <c r="C2142" s="23"/>
      <c r="D2142" s="24"/>
      <c r="E2142" s="25"/>
      <c r="F2142" s="26"/>
      <c r="G2142" s="27">
        <f>SUM(G2143:G2145)</f>
        <v>34932.305655000004</v>
      </c>
      <c r="H2142" s="27">
        <f>IFERROR(G2142*E2127,"")</f>
        <v>0</v>
      </c>
    </row>
    <row r="2143" spans="1:8">
      <c r="A2143" s="28"/>
      <c r="B2143" s="29" t="s">
        <v>3710</v>
      </c>
      <c r="C2143" s="30" t="str">
        <f>IFERROR(_xlfn.XLOOKUP(B2143,MObra[DESCRIPCION],MObra[UN],,0),"")</f>
        <v>día</v>
      </c>
      <c r="D2143" s="31">
        <v>1</v>
      </c>
      <c r="E2143" s="32">
        <f>IFERROR(_xlfn.XLOOKUP($B2143,MObra[DESCRIPCION],MObra[VALOR UNIT],,0),"")</f>
        <v>314390.75089500006</v>
      </c>
      <c r="F2143" s="33">
        <v>-9</v>
      </c>
      <c r="G2143" s="34">
        <f>IFERROR(IF(F2143&gt;=0,D2143*E2143*(1+F2143/100),ABS(D2143*E2143/F2143)),"")</f>
        <v>34932.305655000004</v>
      </c>
      <c r="H2143" s="43">
        <f>IFERROR(G2143*E2127,"")</f>
        <v>0</v>
      </c>
    </row>
    <row r="2144" spans="1:8">
      <c r="A2144" s="28"/>
      <c r="B2144" s="29"/>
      <c r="C2144" s="30" t="str">
        <f>IFERROR(_xlfn.XLOOKUP(B2144,MObra[DESCRIPCION],MObra[UN],,0),"")</f>
        <v/>
      </c>
      <c r="D2144" s="31"/>
      <c r="E2144" s="32" t="str">
        <f>IFERROR(_xlfn.XLOOKUP($B2144,MObra[DESCRIPCION],MObra[VALOR UNIT],,0),"")</f>
        <v/>
      </c>
      <c r="F2144" s="33"/>
      <c r="G2144" s="34" t="str">
        <f>IFERROR(IF(F2144&gt;=0,D2144*E2144*(1+F2144/100),ABS(D2144*E2144/F2144)),"")</f>
        <v/>
      </c>
      <c r="H2144" s="43" t="str">
        <f>IFERROR(G2144*E2127,"")</f>
        <v/>
      </c>
    </row>
    <row r="2145" spans="1:10" ht="13.15" thickBot="1">
      <c r="A2145" s="35"/>
      <c r="B2145" s="36"/>
      <c r="C2145" s="37" t="str">
        <f>IFERROR(_xlfn.XLOOKUP(B2145,MObra[DESCRIPCION],MObra[UN],,0),"")</f>
        <v/>
      </c>
      <c r="D2145" s="38"/>
      <c r="E2145" s="39" t="str">
        <f>IFERROR(_xlfn.XLOOKUP($B2145,MObra[DESCRIPCION],MObra[VALOR UNIT],,0),"")</f>
        <v/>
      </c>
      <c r="F2145" s="40"/>
      <c r="G2145" s="41" t="str">
        <f>IFERROR(IF(F2145&gt;=0,D2145*E2145*(1+F2145/100),ABS(D2145*E2145/F2145)),"")</f>
        <v/>
      </c>
      <c r="H2145" s="42" t="str">
        <f>IFERROR(G2145*E2127,"")</f>
        <v/>
      </c>
    </row>
    <row r="2146" spans="1:10" ht="13.5" thickTop="1" thickBot="1"/>
    <row r="2147" spans="1:10" ht="13.5" thickTop="1" thickBot="1">
      <c r="A2147" s="6" t="s">
        <v>2254</v>
      </c>
      <c r="B2147" s="7" t="str">
        <f>VLOOKUP($A2147,Presupuesto!$A:$D,2,FALSE())</f>
        <v>Válvula de globo hierro dúctil Ø3"</v>
      </c>
      <c r="C2147" s="8" t="str">
        <f>VLOOKUP($A2147,Presupuesto!$A:$D,3,FALSE())</f>
        <v>Un</v>
      </c>
      <c r="D2147" s="9"/>
      <c r="E2147" s="10">
        <f>VLOOKUP($A2147,Presupuesto!$A:$D,4,FALSE())</f>
        <v>0</v>
      </c>
      <c r="F2147" s="11" t="s">
        <v>2589</v>
      </c>
      <c r="G2147" s="12">
        <f>SUM(G2149:G2165)/2</f>
        <v>923410.11593774997</v>
      </c>
      <c r="H2147" s="13">
        <f>ROUND(SUM(H2149:H2165),0)/2</f>
        <v>0</v>
      </c>
      <c r="I2147" s="10">
        <f>VLOOKUP(A2147,Presupuesto!$A:$F,6,0)</f>
        <v>0</v>
      </c>
      <c r="J2147" s="10">
        <f>+H2147-I2147</f>
        <v>0</v>
      </c>
    </row>
    <row r="2148" spans="1:10" ht="13.15" thickTop="1">
      <c r="A2148" s="14"/>
      <c r="B2148" s="15" t="s">
        <v>2586</v>
      </c>
      <c r="C2148" s="15" t="s">
        <v>5</v>
      </c>
      <c r="D2148" s="16" t="s">
        <v>6</v>
      </c>
      <c r="E2148" s="17" t="s">
        <v>7</v>
      </c>
      <c r="F2148" s="18" t="s">
        <v>3728</v>
      </c>
      <c r="G2148" s="19" t="s">
        <v>3729</v>
      </c>
      <c r="H2148" s="20" t="s">
        <v>3797</v>
      </c>
    </row>
    <row r="2149" spans="1:10">
      <c r="A2149" s="21"/>
      <c r="B2149" s="22" t="s">
        <v>3730</v>
      </c>
      <c r="C2149" s="23"/>
      <c r="D2149" s="24"/>
      <c r="E2149" s="25"/>
      <c r="F2149" s="26"/>
      <c r="G2149" s="27">
        <f>SUM(G2150:G2154)</f>
        <v>886731.19500000007</v>
      </c>
      <c r="H2149" s="27">
        <f>IFERROR(G2149*E2147,"")</f>
        <v>0</v>
      </c>
    </row>
    <row r="2150" spans="1:10">
      <c r="A2150" s="28"/>
      <c r="B2150" s="29" t="s">
        <v>3539</v>
      </c>
      <c r="C2150" s="30" t="str">
        <f>IFERROR(_xlfn.XLOOKUP(B2150,Insumo[DESCRIPCION],Insumo[UND],,0),"")</f>
        <v>Un</v>
      </c>
      <c r="D2150" s="31">
        <v>1</v>
      </c>
      <c r="E2150" s="32">
        <f>IFERROR(_xlfn.XLOOKUP($B2150,Insumo[DESCRIPCION],Insumo[VALOR],,0),"")</f>
        <v>693341.25</v>
      </c>
      <c r="F2150" s="33"/>
      <c r="G2150" s="34">
        <f>IFERROR(IF(F2150&gt;=0,D2150*E2150*(1+F2150/100),ABS(D2150*E2150/F2150)),"")</f>
        <v>693341.25</v>
      </c>
      <c r="H2150" s="43">
        <f>IFERROR(G2150*E2147,"")</f>
        <v>0</v>
      </c>
    </row>
    <row r="2151" spans="1:10">
      <c r="A2151" s="28"/>
      <c r="B2151" s="29" t="s">
        <v>2643</v>
      </c>
      <c r="C2151" s="30" t="str">
        <f>IFERROR(_xlfn.XLOOKUP(B2151,Insumo[DESCRIPCION],Insumo[UND],,0),"")</f>
        <v>Un</v>
      </c>
      <c r="D2151" s="31">
        <v>2</v>
      </c>
      <c r="E2151" s="32">
        <f>IFERROR(_xlfn.XLOOKUP($B2151,Insumo[DESCRIPCION],Insumo[VALOR],,0),"")</f>
        <v>95646.6</v>
      </c>
      <c r="F2151" s="33"/>
      <c r="G2151" s="34">
        <f>IFERROR(IF(F2151&gt;=0,D2151*E2151*(1+F2151/100),ABS(D2151*E2151/F2151)),"")</f>
        <v>191293.2</v>
      </c>
      <c r="H2151" s="43">
        <f>IFERROR(G2151*E2147,"")</f>
        <v>0</v>
      </c>
    </row>
    <row r="2152" spans="1:10">
      <c r="A2152" s="28"/>
      <c r="B2152" s="29" t="s">
        <v>3046</v>
      </c>
      <c r="C2152" s="30" t="str">
        <f>IFERROR(_xlfn.XLOOKUP(B2152,Insumo[DESCRIPCION],Insumo[UND],,0),"")</f>
        <v>Un</v>
      </c>
      <c r="D2152" s="31">
        <v>0.02</v>
      </c>
      <c r="E2152" s="32">
        <f>IFERROR(_xlfn.XLOOKUP($B2152,Insumo[DESCRIPCION],Insumo[VALOR],,0),"")</f>
        <v>62413.05</v>
      </c>
      <c r="F2152" s="33"/>
      <c r="G2152" s="34">
        <f>IFERROR(IF(F2152&gt;=0,D2152*E2152*(1+F2152/100),ABS(D2152*E2152/F2152)),"")</f>
        <v>1248.2610000000002</v>
      </c>
      <c r="H2152" s="43">
        <f>IFERROR(G2152*E2147,"")</f>
        <v>0</v>
      </c>
    </row>
    <row r="2153" spans="1:10">
      <c r="A2153" s="28"/>
      <c r="B2153" s="29" t="s">
        <v>3329</v>
      </c>
      <c r="C2153" s="30" t="str">
        <f>IFERROR(_xlfn.XLOOKUP(B2153,Insumo[DESCRIPCION],Insumo[UND],,0),"")</f>
        <v>Un</v>
      </c>
      <c r="D2153" s="31">
        <v>0.02</v>
      </c>
      <c r="E2153" s="32">
        <f>IFERROR(_xlfn.XLOOKUP($B2153,Insumo[DESCRIPCION],Insumo[VALOR],,0),"")</f>
        <v>42424.200000000004</v>
      </c>
      <c r="F2153" s="33"/>
      <c r="G2153" s="34">
        <f>IFERROR(IF(F2153&gt;=0,D2153*E2153*(1+F2153/100),ABS(D2153*E2153/F2153)),"")</f>
        <v>848.48400000000015</v>
      </c>
      <c r="H2153" s="43">
        <f>IFERROR(G2153*E2147,"")</f>
        <v>0</v>
      </c>
    </row>
    <row r="2154" spans="1:10">
      <c r="A2154" s="28"/>
      <c r="B2154" s="29"/>
      <c r="C2154" s="30" t="str">
        <f>IFERROR(_xlfn.XLOOKUP(B2154,Insumo[DESCRIPCION],Insumo[UND],,0),"")</f>
        <v/>
      </c>
      <c r="D2154" s="31"/>
      <c r="E2154" s="32" t="str">
        <f>IFERROR(_xlfn.XLOOKUP($B2154,Insumo[DESCRIPCION],Insumo[VALOR],,0),"")</f>
        <v/>
      </c>
      <c r="F2154" s="33"/>
      <c r="G2154" s="34" t="str">
        <f>IFERROR(IF(F2154&gt;=0,D2154*E2154*(1+F2154/100),ABS(D2154*E2154/F2154)),"")</f>
        <v/>
      </c>
      <c r="H2154" s="43" t="str">
        <f>IFERROR(G2154*E2147,"")</f>
        <v/>
      </c>
    </row>
    <row r="2155" spans="1:10">
      <c r="A2155" s="21"/>
      <c r="B2155" s="22" t="s">
        <v>3731</v>
      </c>
      <c r="C2155" s="23"/>
      <c r="D2155" s="24"/>
      <c r="E2155" s="25"/>
      <c r="F2155" s="26"/>
      <c r="G2155" s="27">
        <f>SUM(G2156:G2158)</f>
        <v>1746.6152827500002</v>
      </c>
      <c r="H2155" s="27">
        <f>IFERROR(G2155*E2147,"")</f>
        <v>0</v>
      </c>
    </row>
    <row r="2156" spans="1:10">
      <c r="A2156" s="28"/>
      <c r="B2156" s="29" t="s">
        <v>3626</v>
      </c>
      <c r="C2156" s="30" t="str">
        <f>IFERROR(_xlfn.XLOOKUP(B2156,Equipo[DESCRIPCION],Equipo[UND],,0),"")</f>
        <v>%MO</v>
      </c>
      <c r="D2156" s="31">
        <v>0.05</v>
      </c>
      <c r="E2156" s="32">
        <f>IF(C2156="%MO",G2162,IFERROR(_xlfn.XLOOKUP($B2156,Equipo[DESCRIPCION],Equipo[VALOR],,0),""))</f>
        <v>34932.305655000004</v>
      </c>
      <c r="F2156" s="33"/>
      <c r="G2156" s="34">
        <f>IFERROR(IF(F2156&gt;=0,D2156*E2156*(1+F2156/100),ABS(D2156*E2156/F2156)),"")</f>
        <v>1746.6152827500002</v>
      </c>
      <c r="H2156" s="43">
        <f>IFERROR(G2156*E2147,"")</f>
        <v>0</v>
      </c>
    </row>
    <row r="2157" spans="1:10">
      <c r="A2157" s="28"/>
      <c r="B2157" s="29"/>
      <c r="C2157" s="30" t="str">
        <f>IFERROR(_xlfn.XLOOKUP(B2157,Equipo[DESCRIPCION],Equipo[UND],,0),"")</f>
        <v/>
      </c>
      <c r="D2157" s="31"/>
      <c r="E2157" s="32" t="str">
        <f>IF(C2157="%MO",G2162,IFERROR(_xlfn.XLOOKUP($B2157,Equipo[DESCRIPCION],Equipo[VALOR],,0),""))</f>
        <v/>
      </c>
      <c r="F2157" s="33"/>
      <c r="G2157" s="34" t="str">
        <f>IFERROR(IF(F2157&gt;=0,D2157*E2157*(1+F2157/100),ABS(D2157*E2157/F2157)),"")</f>
        <v/>
      </c>
      <c r="H2157" s="43" t="str">
        <f>IFERROR(G2157*E2147,"")</f>
        <v/>
      </c>
    </row>
    <row r="2158" spans="1:10">
      <c r="A2158" s="28"/>
      <c r="B2158" s="29"/>
      <c r="C2158" s="30" t="str">
        <f>IFERROR(_xlfn.XLOOKUP(B2158,Equipo[DESCRIPCION],Equipo[UND],,0),"")</f>
        <v/>
      </c>
      <c r="D2158" s="31"/>
      <c r="E2158" s="32" t="str">
        <f>IF(C2158="%MO",G2162,IFERROR(_xlfn.XLOOKUP($B2158,Equipo[DESCRIPCION],Equipo[VALOR],,0),""))</f>
        <v/>
      </c>
      <c r="F2158" s="33"/>
      <c r="G2158" s="34" t="str">
        <f>IFERROR(IF(F2158&gt;=0,D2158*E2158*(1+F2158/100),ABS(D2158*E2158/F2158)),"")</f>
        <v/>
      </c>
      <c r="H2158" s="43" t="str">
        <f>IFERROR(G2158*E2147,"")</f>
        <v/>
      </c>
    </row>
    <row r="2159" spans="1:10">
      <c r="A2159" s="21"/>
      <c r="B2159" s="22" t="s">
        <v>2533</v>
      </c>
      <c r="C2159" s="23"/>
      <c r="D2159" s="24"/>
      <c r="E2159" s="25"/>
      <c r="F2159" s="26"/>
      <c r="G2159" s="27">
        <f>SUM(G2160:G2161)</f>
        <v>0</v>
      </c>
      <c r="H2159" s="27">
        <f>IFERROR(G2159*E2147,"")</f>
        <v>0</v>
      </c>
    </row>
    <row r="2160" spans="1:10">
      <c r="A2160" s="28"/>
      <c r="B2160" s="29"/>
      <c r="C2160" s="30" t="str">
        <f>IFERROR(_xlfn.XLOOKUP(B2160,Transporte[DESCRIPCION],Transporte[UND],,0),"")</f>
        <v/>
      </c>
      <c r="D2160" s="31"/>
      <c r="E2160" s="32" t="str">
        <f>IFERROR(_xlfn.XLOOKUP($B2160,Transporte[DESCRIPCION],Transporte[VALOR],,0),"")</f>
        <v/>
      </c>
      <c r="F2160" s="33"/>
      <c r="G2160" s="34" t="str">
        <f>IFERROR(IF(F2160&gt;=0,D2160*E2160*(1+F2160/100),ABS(D2160*E2160/F2160)),"")</f>
        <v/>
      </c>
      <c r="H2160" s="43" t="str">
        <f>IFERROR(G2160*E2147,"")</f>
        <v/>
      </c>
    </row>
    <row r="2161" spans="1:10">
      <c r="A2161" s="28"/>
      <c r="B2161" s="29"/>
      <c r="C2161" s="30" t="str">
        <f>IFERROR(_xlfn.XLOOKUP(B2161,Transporte[DESCRIPCION],Transporte[UND],,0),"")</f>
        <v/>
      </c>
      <c r="D2161" s="31"/>
      <c r="E2161" s="32" t="str">
        <f>IFERROR(_xlfn.XLOOKUP($B2161,Transporte[DESCRIPCION],Transporte[VALOR],,0),"")</f>
        <v/>
      </c>
      <c r="F2161" s="33"/>
      <c r="G2161" s="34" t="str">
        <f>IFERROR(IF(F2161&gt;=0,D2161*E2161*(1+F2161/100),ABS(D2161*E2161/F2161)),"")</f>
        <v/>
      </c>
      <c r="H2161" s="43" t="str">
        <f>IFERROR(G2161*E2147,"")</f>
        <v/>
      </c>
    </row>
    <row r="2162" spans="1:10">
      <c r="A2162" s="21"/>
      <c r="B2162" s="22" t="s">
        <v>3732</v>
      </c>
      <c r="C2162" s="23"/>
      <c r="D2162" s="24"/>
      <c r="E2162" s="25"/>
      <c r="F2162" s="26"/>
      <c r="G2162" s="27">
        <f>SUM(G2163:G2165)</f>
        <v>34932.305655000004</v>
      </c>
      <c r="H2162" s="27">
        <f>IFERROR(G2162*E2147,"")</f>
        <v>0</v>
      </c>
    </row>
    <row r="2163" spans="1:10">
      <c r="A2163" s="28"/>
      <c r="B2163" s="29" t="s">
        <v>3710</v>
      </c>
      <c r="C2163" s="30" t="str">
        <f>IFERROR(_xlfn.XLOOKUP(B2163,MObra[DESCRIPCION],MObra[UN],,0),"")</f>
        <v>día</v>
      </c>
      <c r="D2163" s="31">
        <v>1</v>
      </c>
      <c r="E2163" s="32">
        <f>IFERROR(_xlfn.XLOOKUP($B2163,MObra[DESCRIPCION],MObra[VALOR UNIT],,0),"")</f>
        <v>314390.75089500006</v>
      </c>
      <c r="F2163" s="33">
        <v>-9</v>
      </c>
      <c r="G2163" s="34">
        <f>IFERROR(IF(F2163&gt;=0,D2163*E2163*(1+F2163/100),ABS(D2163*E2163/F2163)),"")</f>
        <v>34932.305655000004</v>
      </c>
      <c r="H2163" s="43">
        <f>IFERROR(G2163*E2147,"")</f>
        <v>0</v>
      </c>
    </row>
    <row r="2164" spans="1:10">
      <c r="A2164" s="28"/>
      <c r="B2164" s="29"/>
      <c r="C2164" s="30" t="str">
        <f>IFERROR(_xlfn.XLOOKUP(B2164,MObra[DESCRIPCION],MObra[UN],,0),"")</f>
        <v/>
      </c>
      <c r="D2164" s="31"/>
      <c r="E2164" s="32" t="str">
        <f>IFERROR(_xlfn.XLOOKUP($B2164,MObra[DESCRIPCION],MObra[VALOR UNIT],,0),"")</f>
        <v/>
      </c>
      <c r="F2164" s="33"/>
      <c r="G2164" s="34" t="str">
        <f>IFERROR(IF(F2164&gt;=0,D2164*E2164*(1+F2164/100),ABS(D2164*E2164/F2164)),"")</f>
        <v/>
      </c>
      <c r="H2164" s="43" t="str">
        <f>IFERROR(G2164*E2147,"")</f>
        <v/>
      </c>
    </row>
    <row r="2165" spans="1:10" ht="13.15" thickBot="1">
      <c r="A2165" s="35"/>
      <c r="B2165" s="36"/>
      <c r="C2165" s="37" t="str">
        <f>IFERROR(_xlfn.XLOOKUP(B2165,MObra[DESCRIPCION],MObra[UN],,0),"")</f>
        <v/>
      </c>
      <c r="D2165" s="38"/>
      <c r="E2165" s="39" t="str">
        <f>IFERROR(_xlfn.XLOOKUP($B2165,MObra[DESCRIPCION],MObra[VALOR UNIT],,0),"")</f>
        <v/>
      </c>
      <c r="F2165" s="40"/>
      <c r="G2165" s="41" t="str">
        <f>IFERROR(IF(F2165&gt;=0,D2165*E2165*(1+F2165/100),ABS(D2165*E2165/F2165)),"")</f>
        <v/>
      </c>
      <c r="H2165" s="42" t="str">
        <f>IFERROR(G2165*E2147,"")</f>
        <v/>
      </c>
    </row>
    <row r="2166" spans="1:10" ht="13.5" thickTop="1" thickBot="1"/>
    <row r="2167" spans="1:10" ht="13.5" thickTop="1" thickBot="1">
      <c r="A2167" s="6" t="s">
        <v>2256</v>
      </c>
      <c r="B2167" s="7" t="str">
        <f>VLOOKUP($A2167,Presupuesto!$A:$D,2,FALSE())</f>
        <v>Válvula de globo hierro dúctil Ø4"</v>
      </c>
      <c r="C2167" s="8" t="str">
        <f>VLOOKUP($A2167,Presupuesto!$A:$D,3,FALSE())</f>
        <v>Un</v>
      </c>
      <c r="D2167" s="9"/>
      <c r="E2167" s="10">
        <f>VLOOKUP($A2167,Presupuesto!$A:$D,4,FALSE())</f>
        <v>0</v>
      </c>
      <c r="F2167" s="11" t="s">
        <v>2589</v>
      </c>
      <c r="G2167" s="12">
        <f>SUM(G2169:G2185)/2</f>
        <v>1308590.01593775</v>
      </c>
      <c r="H2167" s="13">
        <f>ROUND(SUM(H2169:H2185),0)/2</f>
        <v>0</v>
      </c>
      <c r="I2167" s="10">
        <f>VLOOKUP(A2167,Presupuesto!$A:$F,6,0)</f>
        <v>0</v>
      </c>
      <c r="J2167" s="10">
        <f>+H2167-I2167</f>
        <v>0</v>
      </c>
    </row>
    <row r="2168" spans="1:10" ht="13.15" thickTop="1">
      <c r="A2168" s="14"/>
      <c r="B2168" s="15" t="s">
        <v>2586</v>
      </c>
      <c r="C2168" s="15" t="s">
        <v>5</v>
      </c>
      <c r="D2168" s="16" t="s">
        <v>6</v>
      </c>
      <c r="E2168" s="17" t="s">
        <v>7</v>
      </c>
      <c r="F2168" s="18" t="s">
        <v>3728</v>
      </c>
      <c r="G2168" s="19" t="s">
        <v>3729</v>
      </c>
      <c r="H2168" s="20" t="s">
        <v>3797</v>
      </c>
    </row>
    <row r="2169" spans="1:10">
      <c r="A2169" s="21"/>
      <c r="B2169" s="22" t="s">
        <v>3730</v>
      </c>
      <c r="C2169" s="23"/>
      <c r="D2169" s="24"/>
      <c r="E2169" s="25"/>
      <c r="F2169" s="26"/>
      <c r="G2169" s="27">
        <f>SUM(G2170:G2174)</f>
        <v>1271911.095</v>
      </c>
      <c r="H2169" s="27">
        <f>IFERROR(G2169*E2167,"")</f>
        <v>0</v>
      </c>
    </row>
    <row r="2170" spans="1:10">
      <c r="A2170" s="28"/>
      <c r="B2170" s="29" t="s">
        <v>3540</v>
      </c>
      <c r="C2170" s="30" t="str">
        <f>IFERROR(_xlfn.XLOOKUP(B2170,Insumo[DESCRIPCION],Insumo[UND],,0),"")</f>
        <v>Un</v>
      </c>
      <c r="D2170" s="31">
        <v>1</v>
      </c>
      <c r="E2170" s="32">
        <f>IFERROR(_xlfn.XLOOKUP($B2170,Insumo[DESCRIPCION],Insumo[VALOR],,0),"")</f>
        <v>852468.75</v>
      </c>
      <c r="F2170" s="33"/>
      <c r="G2170" s="34">
        <f>IFERROR(IF(F2170&gt;=0,D2170*E2170*(1+F2170/100),ABS(D2170*E2170/F2170)),"")</f>
        <v>852468.75</v>
      </c>
      <c r="H2170" s="43">
        <f>IFERROR(G2170*E2167,"")</f>
        <v>0</v>
      </c>
    </row>
    <row r="2171" spans="1:10">
      <c r="A2171" s="28"/>
      <c r="B2171" s="29" t="s">
        <v>2645</v>
      </c>
      <c r="C2171" s="30" t="str">
        <f>IFERROR(_xlfn.XLOOKUP(B2171,Insumo[DESCRIPCION],Insumo[UND],,0),"")</f>
        <v>Un</v>
      </c>
      <c r="D2171" s="31">
        <v>2</v>
      </c>
      <c r="E2171" s="32">
        <f>IFERROR(_xlfn.XLOOKUP($B2171,Insumo[DESCRIPCION],Insumo[VALOR],,0),"")</f>
        <v>208672.80000000002</v>
      </c>
      <c r="F2171" s="33"/>
      <c r="G2171" s="34">
        <f>IFERROR(IF(F2171&gt;=0,D2171*E2171*(1+F2171/100),ABS(D2171*E2171/F2171)),"")</f>
        <v>417345.60000000003</v>
      </c>
      <c r="H2171" s="43">
        <f>IFERROR(G2171*E2167,"")</f>
        <v>0</v>
      </c>
    </row>
    <row r="2172" spans="1:10">
      <c r="A2172" s="28"/>
      <c r="B2172" s="29" t="s">
        <v>3046</v>
      </c>
      <c r="C2172" s="30" t="str">
        <f>IFERROR(_xlfn.XLOOKUP(B2172,Insumo[DESCRIPCION],Insumo[UND],,0),"")</f>
        <v>Un</v>
      </c>
      <c r="D2172" s="31">
        <v>0.02</v>
      </c>
      <c r="E2172" s="32">
        <f>IFERROR(_xlfn.XLOOKUP($B2172,Insumo[DESCRIPCION],Insumo[VALOR],,0),"")</f>
        <v>62413.05</v>
      </c>
      <c r="F2172" s="33"/>
      <c r="G2172" s="34">
        <f>IFERROR(IF(F2172&gt;=0,D2172*E2172*(1+F2172/100),ABS(D2172*E2172/F2172)),"")</f>
        <v>1248.2610000000002</v>
      </c>
      <c r="H2172" s="43">
        <f>IFERROR(G2172*E2167,"")</f>
        <v>0</v>
      </c>
    </row>
    <row r="2173" spans="1:10">
      <c r="A2173" s="28"/>
      <c r="B2173" s="29" t="s">
        <v>3329</v>
      </c>
      <c r="C2173" s="30" t="str">
        <f>IFERROR(_xlfn.XLOOKUP(B2173,Insumo[DESCRIPCION],Insumo[UND],,0),"")</f>
        <v>Un</v>
      </c>
      <c r="D2173" s="31">
        <v>0.02</v>
      </c>
      <c r="E2173" s="32">
        <f>IFERROR(_xlfn.XLOOKUP($B2173,Insumo[DESCRIPCION],Insumo[VALOR],,0),"")</f>
        <v>42424.200000000004</v>
      </c>
      <c r="F2173" s="33"/>
      <c r="G2173" s="34">
        <f>IFERROR(IF(F2173&gt;=0,D2173*E2173*(1+F2173/100),ABS(D2173*E2173/F2173)),"")</f>
        <v>848.48400000000015</v>
      </c>
      <c r="H2173" s="43">
        <f>IFERROR(G2173*E2167,"")</f>
        <v>0</v>
      </c>
    </row>
    <row r="2174" spans="1:10">
      <c r="A2174" s="28"/>
      <c r="B2174" s="29"/>
      <c r="C2174" s="30" t="str">
        <f>IFERROR(_xlfn.XLOOKUP(B2174,Insumo[DESCRIPCION],Insumo[UND],,0),"")</f>
        <v/>
      </c>
      <c r="D2174" s="31"/>
      <c r="E2174" s="32" t="str">
        <f>IFERROR(_xlfn.XLOOKUP($B2174,Insumo[DESCRIPCION],Insumo[VALOR],,0),"")</f>
        <v/>
      </c>
      <c r="F2174" s="33"/>
      <c r="G2174" s="34" t="str">
        <f>IFERROR(IF(F2174&gt;=0,D2174*E2174*(1+F2174/100),ABS(D2174*E2174/F2174)),"")</f>
        <v/>
      </c>
      <c r="H2174" s="43" t="str">
        <f>IFERROR(G2174*E2167,"")</f>
        <v/>
      </c>
    </row>
    <row r="2175" spans="1:10">
      <c r="A2175" s="21"/>
      <c r="B2175" s="22" t="s">
        <v>3731</v>
      </c>
      <c r="C2175" s="23"/>
      <c r="D2175" s="24"/>
      <c r="E2175" s="25"/>
      <c r="F2175" s="26"/>
      <c r="G2175" s="27">
        <f>SUM(G2176:G2178)</f>
        <v>1746.6152827500002</v>
      </c>
      <c r="H2175" s="27">
        <f>IFERROR(G2175*E2167,"")</f>
        <v>0</v>
      </c>
    </row>
    <row r="2176" spans="1:10">
      <c r="A2176" s="28"/>
      <c r="B2176" s="29" t="s">
        <v>3626</v>
      </c>
      <c r="C2176" s="30" t="str">
        <f>IFERROR(_xlfn.XLOOKUP(B2176,Equipo[DESCRIPCION],Equipo[UND],,0),"")</f>
        <v>%MO</v>
      </c>
      <c r="D2176" s="31">
        <v>0.05</v>
      </c>
      <c r="E2176" s="32">
        <f>IF(C2176="%MO",G2182,IFERROR(_xlfn.XLOOKUP($B2176,Equipo[DESCRIPCION],Equipo[VALOR],,0),""))</f>
        <v>34932.305655000004</v>
      </c>
      <c r="F2176" s="33"/>
      <c r="G2176" s="34">
        <f>IFERROR(IF(F2176&gt;=0,D2176*E2176*(1+F2176/100),ABS(D2176*E2176/F2176)),"")</f>
        <v>1746.6152827500002</v>
      </c>
      <c r="H2176" s="43">
        <f>IFERROR(G2176*E2167,"")</f>
        <v>0</v>
      </c>
    </row>
    <row r="2177" spans="1:8">
      <c r="A2177" s="28"/>
      <c r="B2177" s="29"/>
      <c r="C2177" s="30" t="str">
        <f>IFERROR(_xlfn.XLOOKUP(B2177,Equipo[DESCRIPCION],Equipo[UND],,0),"")</f>
        <v/>
      </c>
      <c r="D2177" s="31"/>
      <c r="E2177" s="32" t="str">
        <f>IF(C2177="%MO",G2182,IFERROR(_xlfn.XLOOKUP($B2177,Equipo[DESCRIPCION],Equipo[VALOR],,0),""))</f>
        <v/>
      </c>
      <c r="F2177" s="33"/>
      <c r="G2177" s="34" t="str">
        <f>IFERROR(IF(F2177&gt;=0,D2177*E2177*(1+F2177/100),ABS(D2177*E2177/F2177)),"")</f>
        <v/>
      </c>
      <c r="H2177" s="43" t="str">
        <f>IFERROR(G2177*E2167,"")</f>
        <v/>
      </c>
    </row>
    <row r="2178" spans="1:8">
      <c r="A2178" s="28"/>
      <c r="B2178" s="29"/>
      <c r="C2178" s="30" t="str">
        <f>IFERROR(_xlfn.XLOOKUP(B2178,Equipo[DESCRIPCION],Equipo[UND],,0),"")</f>
        <v/>
      </c>
      <c r="D2178" s="31"/>
      <c r="E2178" s="32" t="str">
        <f>IF(C2178="%MO",G2182,IFERROR(_xlfn.XLOOKUP($B2178,Equipo[DESCRIPCION],Equipo[VALOR],,0),""))</f>
        <v/>
      </c>
      <c r="F2178" s="33"/>
      <c r="G2178" s="34" t="str">
        <f>IFERROR(IF(F2178&gt;=0,D2178*E2178*(1+F2178/100),ABS(D2178*E2178/F2178)),"")</f>
        <v/>
      </c>
      <c r="H2178" s="43" t="str">
        <f>IFERROR(G2178*E2167,"")</f>
        <v/>
      </c>
    </row>
    <row r="2179" spans="1:8">
      <c r="A2179" s="21"/>
      <c r="B2179" s="22" t="s">
        <v>2533</v>
      </c>
      <c r="C2179" s="23"/>
      <c r="D2179" s="24"/>
      <c r="E2179" s="25"/>
      <c r="F2179" s="26"/>
      <c r="G2179" s="27">
        <f>SUM(G2180:G2181)</f>
        <v>0</v>
      </c>
      <c r="H2179" s="27">
        <f>IFERROR(G2179*E2167,"")</f>
        <v>0</v>
      </c>
    </row>
    <row r="2180" spans="1:8">
      <c r="A2180" s="28"/>
      <c r="B2180" s="29"/>
      <c r="C2180" s="30" t="str">
        <f>IFERROR(_xlfn.XLOOKUP(B2180,Transporte[DESCRIPCION],Transporte[UND],,0),"")</f>
        <v/>
      </c>
      <c r="D2180" s="31"/>
      <c r="E2180" s="32" t="str">
        <f>IFERROR(_xlfn.XLOOKUP($B2180,Transporte[DESCRIPCION],Transporte[VALOR],,0),"")</f>
        <v/>
      </c>
      <c r="F2180" s="33"/>
      <c r="G2180" s="34" t="str">
        <f>IFERROR(IF(F2180&gt;=0,D2180*E2180*(1+F2180/100),ABS(D2180*E2180/F2180)),"")</f>
        <v/>
      </c>
      <c r="H2180" s="43" t="str">
        <f>IFERROR(G2180*E2167,"")</f>
        <v/>
      </c>
    </row>
    <row r="2181" spans="1:8">
      <c r="A2181" s="28"/>
      <c r="B2181" s="29"/>
      <c r="C2181" s="30" t="str">
        <f>IFERROR(_xlfn.XLOOKUP(B2181,Transporte[DESCRIPCION],Transporte[UND],,0),"")</f>
        <v/>
      </c>
      <c r="D2181" s="31"/>
      <c r="E2181" s="32" t="str">
        <f>IFERROR(_xlfn.XLOOKUP($B2181,Transporte[DESCRIPCION],Transporte[VALOR],,0),"")</f>
        <v/>
      </c>
      <c r="F2181" s="33"/>
      <c r="G2181" s="34" t="str">
        <f>IFERROR(IF(F2181&gt;=0,D2181*E2181*(1+F2181/100),ABS(D2181*E2181/F2181)),"")</f>
        <v/>
      </c>
      <c r="H2181" s="43" t="str">
        <f>IFERROR(G2181*E2167,"")</f>
        <v/>
      </c>
    </row>
    <row r="2182" spans="1:8">
      <c r="A2182" s="21"/>
      <c r="B2182" s="22" t="s">
        <v>3732</v>
      </c>
      <c r="C2182" s="23"/>
      <c r="D2182" s="24"/>
      <c r="E2182" s="25"/>
      <c r="F2182" s="26"/>
      <c r="G2182" s="27">
        <f>SUM(G2183:G2185)</f>
        <v>34932.305655000004</v>
      </c>
      <c r="H2182" s="27">
        <f>IFERROR(G2182*E2167,"")</f>
        <v>0</v>
      </c>
    </row>
    <row r="2183" spans="1:8">
      <c r="A2183" s="28"/>
      <c r="B2183" s="29" t="s">
        <v>3710</v>
      </c>
      <c r="C2183" s="30" t="str">
        <f>IFERROR(_xlfn.XLOOKUP(B2183,MObra[DESCRIPCION],MObra[UN],,0),"")</f>
        <v>día</v>
      </c>
      <c r="D2183" s="31">
        <v>1</v>
      </c>
      <c r="E2183" s="32">
        <f>IFERROR(_xlfn.XLOOKUP($B2183,MObra[DESCRIPCION],MObra[VALOR UNIT],,0),"")</f>
        <v>314390.75089500006</v>
      </c>
      <c r="F2183" s="33">
        <v>-9</v>
      </c>
      <c r="G2183" s="34">
        <f>IFERROR(IF(F2183&gt;=0,D2183*E2183*(1+F2183/100),ABS(D2183*E2183/F2183)),"")</f>
        <v>34932.305655000004</v>
      </c>
      <c r="H2183" s="43">
        <f>IFERROR(G2183*E2167,"")</f>
        <v>0</v>
      </c>
    </row>
    <row r="2184" spans="1:8">
      <c r="A2184" s="28"/>
      <c r="B2184" s="29"/>
      <c r="C2184" s="30" t="str">
        <f>IFERROR(_xlfn.XLOOKUP(B2184,MObra[DESCRIPCION],MObra[UN],,0),"")</f>
        <v/>
      </c>
      <c r="D2184" s="31"/>
      <c r="E2184" s="32" t="str">
        <f>IFERROR(_xlfn.XLOOKUP($B2184,MObra[DESCRIPCION],MObra[VALOR UNIT],,0),"")</f>
        <v/>
      </c>
      <c r="F2184" s="33"/>
      <c r="G2184" s="34" t="str">
        <f>IFERROR(IF(F2184&gt;=0,D2184*E2184*(1+F2184/100),ABS(D2184*E2184/F2184)),"")</f>
        <v/>
      </c>
      <c r="H2184" s="43" t="str">
        <f>IFERROR(G2184*E2167,"")</f>
        <v/>
      </c>
    </row>
    <row r="2185" spans="1:8" ht="13.15" thickBot="1">
      <c r="A2185" s="35"/>
      <c r="B2185" s="36"/>
      <c r="C2185" s="37" t="str">
        <f>IFERROR(_xlfn.XLOOKUP(B2185,MObra[DESCRIPCION],MObra[UN],,0),"")</f>
        <v/>
      </c>
      <c r="D2185" s="38"/>
      <c r="E2185" s="39" t="str">
        <f>IFERROR(_xlfn.XLOOKUP($B2185,MObra[DESCRIPCION],MObra[VALOR UNIT],,0),"")</f>
        <v/>
      </c>
      <c r="F2185" s="40"/>
      <c r="G2185" s="41" t="str">
        <f>IFERROR(IF(F2185&gt;=0,D2185*E2185*(1+F2185/100),ABS(D2185*E2185/F2185)),"")</f>
        <v/>
      </c>
      <c r="H2185" s="42" t="str">
        <f>IFERROR(G2185*E2167,"")</f>
        <v/>
      </c>
    </row>
    <row r="2186" spans="1:8" ht="13.15" thickTop="1"/>
  </sheetData>
  <mergeCells count="3">
    <mergeCell ref="B1:G1"/>
    <mergeCell ref="B2:G2"/>
    <mergeCell ref="B3:G3"/>
  </mergeCells>
  <dataValidations count="1">
    <dataValidation type="list" allowBlank="1" showInputMessage="1" showErrorMessage="1" sqref="B7:B11 B27:B31 B47:B51 B67:B71 B87:B91 B107:B111 B127:B131 B143 B147:B151 B167:B171 B187:B191 B207:B211 B223 B227:B231 B247:B251 B287:B291 B267:B271 B327:B331 B343 B347:B351 B367:B371 B307:B311 B407:B411 B387:B391 B427:B431 B447:B451 B487:B491 B507:B511 B527:B531 B547:B551 B563 B567:B571 B587:B591 B1307:B1311 B627:B631 B643 B607:B611 B647:B651 B667:B671 B707:B711 B1047:B1051 B743 B747:B751 B767:B771 B467:B471 B787:B791 B807:B811 B827:B831 B847:B851 B867:B871 B907:B911 B927:B931 B687:B691 B963 B947:B951 B967:B971 B1007:B1011 B1027:B1031 B1043 B987:B991 B1067:B1071 B1087:B1091 B887:B891 B1107:B1111 B1127:B1131 B1163 B1147:B1151 B1167:B1171 B1187:B1191 B1207:B1211 B1227:B1231 B1267:B1271 B1247:B1251 B1287:B1291 B1327:B1331 B1347:B1351 B1367:B1371 B727:B731 B1407:B1411 B1427:B1431 B1447:B1451 B1467:B1471 B1483 B1487:B1491 B1507:B1511 B1527:B1531 B1547:B1551 B1567:B1571 B1587:B1591 B1603 B1607:B1611 B1383 B1403 B1387:B1391 B1627:B1631 B1647:B1651 B1667:B1671 B1687:B1691 B1707:B1711 B2150:B2154 B1747:B1751 B1767:B1771 B1783 B1787:B1791 B1807:B1811 B1827:B1831 B1847:B1851 B1867:B1871 B1887:B1891 B1907:B1911 B1928:B1932 B1949:B1953 B1970:B1974 B1990:B1994 B2010:B2014 B2030:B2034 B2050:B2054 B2070:B2074 B2090:B2094 B1727:B1731 B2110:B2114 B2130:B2134 B2170:B2174" xr:uid="{00000000-0002-0000-1D00-000000000000}">
      <formula1>Desinsum</formula1>
      <formula2>0</formula2>
    </dataValidation>
  </dataValidations>
  <printOptions horizontalCentered="1"/>
  <pageMargins left="0.59055118110236227" right="0.59055118110236227" top="0.59055118110236227" bottom="0.59055118110236227" header="0.51181102362204722" footer="0.51181102362204722"/>
  <pageSetup scale="64" orientation="portrait" horizontalDpi="300" verticalDpi="300" r:id="rId1"/>
  <rowBreaks count="27" manualBreakCount="27">
    <brk id="82" max="6" man="1"/>
    <brk id="162" max="6" man="1"/>
    <brk id="242" max="6" man="1"/>
    <brk id="322" max="6" man="1"/>
    <brk id="402" max="6" man="1"/>
    <brk id="482" max="6" man="1"/>
    <brk id="562" max="6" man="1"/>
    <brk id="642" max="6" man="1"/>
    <brk id="722" max="6" man="1"/>
    <brk id="802" max="6" man="1"/>
    <brk id="882" max="6" man="1"/>
    <brk id="962" max="6" man="1"/>
    <brk id="1042" max="6" man="1"/>
    <brk id="1122" max="6" man="1"/>
    <brk id="1202" max="6" man="1"/>
    <brk id="1282" max="6" man="1"/>
    <brk id="1362" max="6" man="1"/>
    <brk id="1442" max="6" man="1"/>
    <brk id="1522" max="6" man="1"/>
    <brk id="1602" max="6" man="1"/>
    <brk id="1682" max="6" man="1"/>
    <brk id="1762" max="6" man="1"/>
    <brk id="1842" max="6" man="1"/>
    <brk id="1923" max="6" man="1"/>
    <brk id="2005" max="6" man="1"/>
    <brk id="2085" max="6" man="1"/>
    <brk id="2165" max="6" man="1"/>
  </rowBreaks>
  <colBreaks count="1" manualBreakCount="1">
    <brk id="7" max="1048575" man="1"/>
  </colBreaks>
  <ignoredErrors>
    <ignoredError sqref="E894" formula="1"/>
  </ignoredErrors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1D00-000001000000}">
          <x14:formula1>
            <xm:f>'Mano de obra'!$B$31:$B$58</xm:f>
          </x14:formula1>
          <x14:formula2>
            <xm:f>0</xm:f>
          </x14:formula2>
          <xm:sqref>B20:B22 B40:B42 B60:B62 B80:B82 B100:B102 B120:B122 B140:B142 B160:B162 B180:B182 B200:B202 B220:B222 B240:B242 B260:B262 B300:B302 B280:B282 B340:B342 B360:B362 B380:B382 B320:B322 B420:B422 B400:B402 B440:B442 B460:B462 B500:B502 B520:B522 B540:B542 B480:B482 B580:B582 B600:B602 B1320:B1322 B640:B642 B620:B622 B660:B662 B680:B682 B720:B722 B1060:B1062 B760:B762 B780:B782 B560:B562 B800:B802 B820:B822 B840:B842 B860:B862 B880:B882 B920:B922 B940:B942 B700:B702 B960:B962 B980:B982 B1020:B1022 B1040:B1042 B1000:B1002 B1080:B1082 B1100:B1102 B900:B902 B1120:B1122 B1140:B1142 B1160:B1162 B1180:B1182 B1200:B1202 B1220:B1222 B1240:B1242 B1280:B1282 B1260:B1262 B1300:B1302 B1340:B1342 B1360:B1362 B1380:B1382 B1420:B1422 B1440:B1442 B1460:B1462 B1480:B1482 B1500:B1502 B1520:B1522 B1540:B1542 B1560:B1562 B1580:B1582 B1600:B1602 B1620:B1622 B740:B742 B1400:B1402 B1640:B1642 B1660:B1662 B1680:B1682 B1700:B1702 B1720:B1722 B2163:B2165 B1760:B1762 B1780:B1782 B1800:B1802 B1820:B1822 B1840:B1842 B1860:B1862 B1880:B1882 B1900:B1902 B1921:B1923 B1942:B1944 B1963:B1965 B1983:B1985 B2003:B2005 B2023:B2025 B2043:B2045 B2063:B2065 B2083:B2085 B2103:B2105 B1740:B1742 B2123:B2125 B2143:B2145 B2183:B2185</xm:sqref>
        </x14:dataValidation>
        <x14:dataValidation type="list" allowBlank="1" showInputMessage="1" showErrorMessage="1" xr:uid="{00000000-0002-0000-1D00-000002000000}">
          <x14:formula1>
            <xm:f>Transporte!$A$4:$A$9</xm:f>
          </x14:formula1>
          <x14:formula2>
            <xm:f>0</xm:f>
          </x14:formula2>
          <xm:sqref>B17:B18 B37:B38 B57:B58 B77:B78 B97:B98 B117:B118 B137:B138 B157:B158 B177:B178 B197:B198 B217:B218 B237:B238 B257:B258 B297:B298 B277:B278 B337:B338 B357:B358 B377:B378 B317:B318 B417:B418 B397:B398 B437:B438 B457:B458 B497:B498 B517:B518 B537:B538 B477:B478 B577:B578 B597:B598 B1317:B1318 B637:B638 B617:B618 B657:B658 B677:B678 B717:B718 B1057:B1058 B757:B758 B777:B778 B557:B558 B797:B798 B817:B818 B837:B838 B857:B858 B877:B878 B917:B918 B937:B938 B697:B698 B957:B958 B977:B978 B1017:B1018 B1037:B1038 B997:B998 B1077:B1078 B1097:B1098 B897:B898 B1117:B1118 B1137:B1138 B1157:B1158 B1177:B1178 B1197:B1198 B1217:B1218 B1237:B1238 B1277:B1278 B1257:B1258 B1297:B1298 B1337:B1338 B1357:B1358 B1377:B1378 B1417:B1418 B1437:B1438 B1457:B1458 B1477:B1478 B1497:B1498 B1517:B1518 B1537:B1538 B1557:B1558 B1577:B1578 B1597:B1598 B1617:B1618 B737:B738 B1397:B1398 B1637:B1638 B1657:B1658 B1677:B1678 B1697:B1698 B1717:B1718 B2160:B2161 B1757:B1758 B1777:B1778 B1797:B1798 B1817:B1818 B1837:B1838 B1857:B1858 B1877:B1878 B1897:B1898 B1918:B1919 B1939:B1940 B1960:B1961 B1980:B1981 B2000:B2001 B2020:B2021 B2040:B2041 B2060:B2061 B2080:B2081 B2100:B2101 B1737:B1738 B2120:B2121 B2140:B2141 B2180:B2181</xm:sqref>
        </x14:dataValidation>
        <x14:dataValidation type="list" allowBlank="1" showInputMessage="1" showErrorMessage="1" xr:uid="{00000000-0002-0000-1D00-000003000000}">
          <x14:formula1>
            <xm:f>Equipo!$A$4:$A$90</xm:f>
          </x14:formula1>
          <x14:formula2>
            <xm:f>0</xm:f>
          </x14:formula2>
          <xm:sqref>B13:B15 B1613:B1615 B1593:B1595 B1573:B1575 B1553:B1555 B1533:B1535 B1513:B1515 B1493:B1495 B1473:B1475 B1453:B1455 B1433:B1435 B1413:B1415 B1373:B1375 B1353:B1355 B1333:B1335 B1293:B1295 B1253:B1255 B1273:B1275 B1233:B1235 B1213:B1215 B1193:B1195 B1173:B1175 B1153:B1155 B1133:B1135 B1113:B1115 B893:B895 B1093:B1095 B1073:B1075 B993:B995 B1033:B1035 B1013:B1015 B973:B975 B953:B955 B693:B695 B933:B935 B913:B915 B873:B875 B853:B855 B833:B835 B813:B815 B793:B795 B553:B555 B773:B775 B753:B755 B1053:B1055 B713:B715 B673:B675 B653:B655 B613:B615 B633:B635 B1313:B1315 B593:B595 B573:B575 B473:B475 B533:B535 B513:B515 B493:B495 B453:B455 B433:B435 B393:B395 B413:B415 B313:B315 B373:B375 B353:B355 B333:B335 B273:B275 B233:B235 B293:B295 B253:B255 B153:B155 B213:B215 B193:B195 B173:B175 B33:B35 B133:B135 B113:B115 B93:B95 B73:B75 B53:B55 B733:B735 B1393:B1395 B1633:B1635 B1955:B1958 B2136:B2138 B2116:B2118 B1733:B1735 B2096:B2098 B2076:B2078 B2056:B2058 B2036:B2038 B2016:B2018 B1996:B1998 B1976:B1978 B1934:B1937 B1913:B1916 B2156:B2158 B1893:B1895 B1873:B1875 B1853:B1855 B1833:B1835 B1813:B1815 B1793:B1795 B1773:B1775 B1753:B1755 B1653:B1655 B1713:B1715 B1693:B1695 B1673:B1675 B2176:B2178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tabColor rgb="FF92D050"/>
  </sheetPr>
  <dimension ref="A1:K1667"/>
  <sheetViews>
    <sheetView view="pageBreakPreview" topLeftCell="A1638" zoomScale="90" zoomScaleNormal="100" zoomScaleSheetLayoutView="90" zoomScalePageLayoutView="90" workbookViewId="0">
      <selection activeCell="B224" sqref="B224"/>
    </sheetView>
  </sheetViews>
  <sheetFormatPr baseColWidth="10" defaultColWidth="10.73046875" defaultRowHeight="12.75" customHeight="1"/>
  <cols>
    <col min="1" max="1" width="8.73046875" style="48" customWidth="1"/>
    <col min="2" max="2" width="65.73046875" style="3" customWidth="1"/>
    <col min="3" max="3" width="10.73046875" style="3" customWidth="1"/>
    <col min="4" max="4" width="11.73046875" style="3" customWidth="1"/>
    <col min="5" max="5" width="13.73046875" style="49" customWidth="1"/>
    <col min="6" max="6" width="12.73046875" style="3" customWidth="1"/>
    <col min="7" max="10" width="14.73046875" style="3" customWidth="1"/>
    <col min="11" max="11" width="10.73046875" style="3" customWidth="1"/>
    <col min="12" max="16384" width="10.73046875" style="3"/>
  </cols>
  <sheetData>
    <row r="1" spans="1:11">
      <c r="A1" s="1"/>
      <c r="B1" s="316" t="str">
        <f>Presupuesto!A1</f>
        <v>ALCALDIA DE PEREIRA</v>
      </c>
      <c r="C1" s="316"/>
      <c r="D1" s="316"/>
      <c r="E1" s="316"/>
      <c r="F1" s="316"/>
      <c r="G1" s="316"/>
      <c r="H1" s="2"/>
    </row>
    <row r="2" spans="1:11">
      <c r="A2" s="1"/>
      <c r="B2" s="316" t="str">
        <f>Presupuesto!A2</f>
        <v>VERSION O BASE DE DATOS ALCALDIA DE PEREIRA 2026</v>
      </c>
      <c r="C2" s="316"/>
      <c r="D2" s="316"/>
      <c r="E2" s="316"/>
      <c r="F2" s="316"/>
      <c r="G2" s="316"/>
      <c r="H2" s="2"/>
    </row>
    <row r="3" spans="1:11" ht="14.85" customHeight="1" thickBot="1">
      <c r="A3" s="4"/>
      <c r="B3" s="323" t="s">
        <v>3796</v>
      </c>
      <c r="C3" s="323"/>
      <c r="D3" s="323"/>
      <c r="E3" s="323"/>
      <c r="F3" s="323"/>
      <c r="G3" s="323"/>
      <c r="H3" s="5"/>
    </row>
    <row r="4" spans="1:11" ht="13.5" thickTop="1" thickBot="1">
      <c r="A4" s="6" t="s">
        <v>2260</v>
      </c>
      <c r="B4" s="7" t="str">
        <f>VLOOKUP($A4,Presupuesto!$A:$D,2,FALSE())</f>
        <v xml:space="preserve">Acometida 2xNo.4(F)+1xNo.4(T) Cu AWG THHN </v>
      </c>
      <c r="C4" s="8" t="str">
        <f>VLOOKUP($A4,Presupuesto!$A:$D,3,FALSE())</f>
        <v>M</v>
      </c>
      <c r="D4" s="9"/>
      <c r="E4" s="10">
        <f>VLOOKUP($A4,Presupuesto!$A:$D,4,FALSE())</f>
        <v>0</v>
      </c>
      <c r="F4" s="11" t="s">
        <v>2589</v>
      </c>
      <c r="G4" s="12">
        <f>SUM(G6:G22)/2</f>
        <v>73169.397802567517</v>
      </c>
      <c r="H4" s="13">
        <f>ROUND(SUM(H6:H22),0)/2</f>
        <v>0</v>
      </c>
      <c r="I4" s="10">
        <f>VLOOKUP(A4,Presupuesto!$A:$F,6,0)</f>
        <v>0</v>
      </c>
      <c r="J4" s="10">
        <f>+H4-I4</f>
        <v>0</v>
      </c>
      <c r="K4" s="46">
        <f>+H4-G4*E4</f>
        <v>0</v>
      </c>
    </row>
    <row r="5" spans="1:11" ht="13.15" thickTop="1">
      <c r="A5" s="14"/>
      <c r="B5" s="15" t="s">
        <v>2586</v>
      </c>
      <c r="C5" s="15" t="s">
        <v>5</v>
      </c>
      <c r="D5" s="16" t="s">
        <v>6</v>
      </c>
      <c r="E5" s="17" t="s">
        <v>7</v>
      </c>
      <c r="F5" s="18" t="s">
        <v>3728</v>
      </c>
      <c r="G5" s="19" t="s">
        <v>3729</v>
      </c>
      <c r="H5" s="20" t="s">
        <v>3797</v>
      </c>
    </row>
    <row r="6" spans="1:11">
      <c r="A6" s="21"/>
      <c r="B6" s="22"/>
      <c r="C6" s="23"/>
      <c r="D6" s="24"/>
      <c r="E6" s="25"/>
      <c r="F6" s="26"/>
      <c r="G6" s="27">
        <f>SUM(G7:G11)</f>
        <v>53077.5</v>
      </c>
      <c r="H6" s="27">
        <f>IFERROR(G6*E4,"")</f>
        <v>0</v>
      </c>
    </row>
    <row r="7" spans="1:11">
      <c r="A7" s="28"/>
      <c r="B7" s="29" t="s">
        <v>2689</v>
      </c>
      <c r="C7" s="30" t="str">
        <f>IFERROR(_xlfn.XLOOKUP(B7,Insumo[DESCRIPCION],Insumo[UND],,0),"")</f>
        <v>M</v>
      </c>
      <c r="D7" s="31">
        <v>3</v>
      </c>
      <c r="E7" s="32">
        <f>IFERROR(_xlfn.XLOOKUP($B7,Insumo[DESCRIPCION],Insumo[VALOR],,0),"")</f>
        <v>17692.5</v>
      </c>
      <c r="F7" s="33"/>
      <c r="G7" s="34">
        <f>IFERROR(IF(F7&gt;=0,D7*E7*(1+F7/100),ABS(D7*E7/F7)),"")</f>
        <v>53077.5</v>
      </c>
      <c r="H7" s="43">
        <f>IFERROR(G7*E4,"")</f>
        <v>0</v>
      </c>
    </row>
    <row r="8" spans="1:11">
      <c r="A8" s="28"/>
      <c r="B8" s="29"/>
      <c r="C8" s="30" t="str">
        <f>IFERROR(_xlfn.XLOOKUP(B8,Insumo[DESCRIPCION],Insumo[UND],,0),"")</f>
        <v/>
      </c>
      <c r="D8" s="31"/>
      <c r="E8" s="32" t="str">
        <f>IFERROR(_xlfn.XLOOKUP($B8,Insumo[DESCRIPCION],Insumo[VALOR],,0),"")</f>
        <v/>
      </c>
      <c r="F8" s="33"/>
      <c r="G8" s="34" t="str">
        <f>IFERROR(IF(F8&gt;=0,D8*E8*(1+F8/100),ABS(D8*E8/F8)),"")</f>
        <v/>
      </c>
      <c r="H8" s="43" t="str">
        <f>IFERROR(G8*E4,"")</f>
        <v/>
      </c>
    </row>
    <row r="9" spans="1:11">
      <c r="A9" s="28"/>
      <c r="B9" s="29"/>
      <c r="C9" s="30" t="str">
        <f>IFERROR(_xlfn.XLOOKUP(B9,Insumo[DESCRIPCION],Insumo[UND],,0),"")</f>
        <v/>
      </c>
      <c r="D9" s="31"/>
      <c r="E9" s="32" t="str">
        <f>IFERROR(_xlfn.XLOOKUP($B9,Insumo[DESCRIPCION],Insumo[VALOR],,0),"")</f>
        <v/>
      </c>
      <c r="F9" s="33"/>
      <c r="G9" s="34" t="str">
        <f>IFERROR(IF(F9&gt;=0,D9*E9*(1+F9/100),ABS(D9*E9/F9)),"")</f>
        <v/>
      </c>
      <c r="H9" s="43" t="str">
        <f>IFERROR(G9*E4,"")</f>
        <v/>
      </c>
    </row>
    <row r="10" spans="1:11">
      <c r="A10" s="28"/>
      <c r="B10" s="29"/>
      <c r="C10" s="30" t="str">
        <f>IFERROR(_xlfn.XLOOKUP(B10,Insumo[DESCRIPCION],Insumo[UND],,0),"")</f>
        <v/>
      </c>
      <c r="D10" s="31"/>
      <c r="E10" s="32" t="str">
        <f>IFERROR(_xlfn.XLOOKUP($B10,Insumo[DESCRIPCION],Insumo[VALOR],,0),"")</f>
        <v/>
      </c>
      <c r="F10" s="33"/>
      <c r="G10" s="34" t="str">
        <f>IFERROR(IF(F10&gt;=0,D10*E10*(1+F10/100),ABS(D10*E10/F10)),"")</f>
        <v/>
      </c>
      <c r="H10" s="43" t="str">
        <f>IFERROR(G10*E4,"")</f>
        <v/>
      </c>
    </row>
    <row r="11" spans="1:11">
      <c r="A11" s="28"/>
      <c r="B11" s="29"/>
      <c r="C11" s="30" t="str">
        <f>IFERROR(_xlfn.XLOOKUP(B11,Insumo[DESCRIPCION],Insumo[UND],,0),"")</f>
        <v/>
      </c>
      <c r="D11" s="31"/>
      <c r="E11" s="32" t="str">
        <f>IFERROR(_xlfn.XLOOKUP($B11,Insumo[DESCRIPCION],Insumo[VALOR],,0),"")</f>
        <v/>
      </c>
      <c r="F11" s="33"/>
      <c r="G11" s="34" t="str">
        <f>IFERROR(IF(F11&gt;=0,D11*E11*(1+F11/100),ABS(D11*E11/F11)),"")</f>
        <v/>
      </c>
      <c r="H11" s="43" t="str">
        <f>IFERROR(G11*E4,"")</f>
        <v/>
      </c>
    </row>
    <row r="12" spans="1:11">
      <c r="A12" s="21"/>
      <c r="B12" s="22" t="s">
        <v>3731</v>
      </c>
      <c r="C12" s="23"/>
      <c r="D12" s="24"/>
      <c r="E12" s="25"/>
      <c r="F12" s="26"/>
      <c r="G12" s="27">
        <f>SUM(G13:G15)</f>
        <v>3207.9500693175009</v>
      </c>
      <c r="H12" s="27">
        <f>IFERROR(G12*E4,"")</f>
        <v>0</v>
      </c>
    </row>
    <row r="13" spans="1:11">
      <c r="A13" s="28"/>
      <c r="B13" s="29" t="s">
        <v>3573</v>
      </c>
      <c r="C13" s="30" t="str">
        <f>IFERROR(_xlfn.XLOOKUP(B13,Equipo[DESCRIPCION],Equipo[UND],,0),"")</f>
        <v>%MO</v>
      </c>
      <c r="D13" s="31">
        <v>0.1</v>
      </c>
      <c r="E13" s="32">
        <f>IF(C13="%MO",G19,IFERROR(_xlfn.XLOOKUP($B13,Equipo[DESCRIPCION],Equipo[VALOR],,0),""))</f>
        <v>16883.947733250003</v>
      </c>
      <c r="F13" s="33"/>
      <c r="G13" s="34">
        <f>IFERROR(IF(F13&gt;=0,D13*E13*(1+F13/100),ABS(D13*E13/F13)),"")</f>
        <v>1688.3947733250004</v>
      </c>
      <c r="H13" s="43">
        <f>IFERROR(G13*E4,"")</f>
        <v>0</v>
      </c>
    </row>
    <row r="14" spans="1:11">
      <c r="A14" s="28"/>
      <c r="B14" s="29" t="s">
        <v>3570</v>
      </c>
      <c r="C14" s="30" t="str">
        <f>IFERROR(_xlfn.XLOOKUP(B14,Equipo[DESCRIPCION],Equipo[UND],,0),"")</f>
        <v>%MO</v>
      </c>
      <c r="D14" s="31">
        <v>0.04</v>
      </c>
      <c r="E14" s="32">
        <f>IF(C14="%MO",G19,IFERROR(_xlfn.XLOOKUP($B14,Equipo[DESCRIPCION],Equipo[VALOR],,0),""))</f>
        <v>16883.947733250003</v>
      </c>
      <c r="F14" s="33"/>
      <c r="G14" s="34">
        <f>IFERROR(IF(F14&gt;=0,D14*E14*(1+F14/100),ABS(D14*E14/F14)),"")</f>
        <v>675.3579093300001</v>
      </c>
      <c r="H14" s="43">
        <f>IFERROR(G14*E4,"")</f>
        <v>0</v>
      </c>
    </row>
    <row r="15" spans="1:11">
      <c r="A15" s="28"/>
      <c r="B15" s="29" t="s">
        <v>3626</v>
      </c>
      <c r="C15" s="30" t="str">
        <f>IFERROR(_xlfn.XLOOKUP(B15,Equipo[DESCRIPCION],Equipo[UND],,0),"")</f>
        <v>%MO</v>
      </c>
      <c r="D15" s="31">
        <v>0.05</v>
      </c>
      <c r="E15" s="32">
        <f>IF(C15="%MO",G19,IFERROR(_xlfn.XLOOKUP($B15,Equipo[DESCRIPCION],Equipo[VALOR],,0),""))</f>
        <v>16883.947733250003</v>
      </c>
      <c r="F15" s="33"/>
      <c r="G15" s="34">
        <f>IFERROR(IF(F15&gt;=0,D15*E15*(1+F15/100),ABS(D15*E15/F15)),"")</f>
        <v>844.19738666250021</v>
      </c>
      <c r="H15" s="43">
        <f>IFERROR(G15*E4,"")</f>
        <v>0</v>
      </c>
    </row>
    <row r="16" spans="1:11">
      <c r="A16" s="21"/>
      <c r="B16" s="22" t="s">
        <v>2533</v>
      </c>
      <c r="C16" s="23"/>
      <c r="D16" s="24"/>
      <c r="E16" s="25"/>
      <c r="F16" s="26"/>
      <c r="G16" s="27">
        <f>SUM(G17:G18)</f>
        <v>0</v>
      </c>
      <c r="H16" s="27">
        <f>IFERROR(G16*E4,"")</f>
        <v>0</v>
      </c>
    </row>
    <row r="17" spans="1:11">
      <c r="A17" s="28"/>
      <c r="B17" s="29"/>
      <c r="C17" s="30" t="str">
        <f>IFERROR(_xlfn.XLOOKUP(B17,Transporte[DESCRIPCION],Transporte[UND],,0),"")</f>
        <v/>
      </c>
      <c r="D17" s="31"/>
      <c r="E17" s="32" t="str">
        <f>IFERROR(_xlfn.XLOOKUP($B17,Transporte[DESCRIPCION],Transporte[VALOR],,0),"")</f>
        <v/>
      </c>
      <c r="F17" s="33"/>
      <c r="G17" s="34" t="str">
        <f>IFERROR(IF(F17&gt;=0,D17*E17*(1+F17/100),ABS(D17*E17/F17)),"")</f>
        <v/>
      </c>
      <c r="H17" s="43" t="str">
        <f>IFERROR(G17*E4,"")</f>
        <v/>
      </c>
    </row>
    <row r="18" spans="1:11">
      <c r="A18" s="28"/>
      <c r="B18" s="29"/>
      <c r="C18" s="30" t="str">
        <f>IFERROR(_xlfn.XLOOKUP(B18,Transporte[DESCRIPCION],Transporte[UND],,0),"")</f>
        <v/>
      </c>
      <c r="D18" s="31"/>
      <c r="E18" s="32" t="str">
        <f>IFERROR(_xlfn.XLOOKUP($B18,Transporte[DESCRIPCION],Transporte[VALOR],,0),"")</f>
        <v/>
      </c>
      <c r="F18" s="33"/>
      <c r="G18" s="34" t="str">
        <f>IFERROR(IF(F18&gt;=0,D18*E18*(1+F18/100),ABS(D18*E18/F18)),"")</f>
        <v/>
      </c>
      <c r="H18" s="43" t="str">
        <f>IFERROR(G18*E4,"")</f>
        <v/>
      </c>
    </row>
    <row r="19" spans="1:11">
      <c r="A19" s="21"/>
      <c r="B19" s="22" t="s">
        <v>3732</v>
      </c>
      <c r="C19" s="23"/>
      <c r="D19" s="24"/>
      <c r="E19" s="25"/>
      <c r="F19" s="26"/>
      <c r="G19" s="27">
        <f>SUM(G20:G22)</f>
        <v>16883.947733250003</v>
      </c>
      <c r="H19" s="27">
        <f>IFERROR(G19*E4,"")</f>
        <v>0</v>
      </c>
    </row>
    <row r="20" spans="1:11">
      <c r="A20" s="28"/>
      <c r="B20" s="29" t="s">
        <v>3715</v>
      </c>
      <c r="C20" s="30" t="str">
        <f>IFERROR(_xlfn.XLOOKUP(B20,MObra[DESCRIPCION],MObra[UN],,0),"")</f>
        <v>día</v>
      </c>
      <c r="D20" s="31">
        <v>1</v>
      </c>
      <c r="E20" s="32">
        <f>IFERROR(_xlfn.XLOOKUP($B20,MObra[DESCRIPCION],MObra[VALOR UNIT],,0),"")</f>
        <v>337678.95466500008</v>
      </c>
      <c r="F20" s="33">
        <v>-20</v>
      </c>
      <c r="G20" s="34">
        <f>IFERROR(IF(F20&gt;=0,D20*E20*(1+F20/100),ABS(D20*E20/F20)),"")</f>
        <v>16883.947733250003</v>
      </c>
      <c r="H20" s="43">
        <f>IFERROR(G20*E4,"")</f>
        <v>0</v>
      </c>
    </row>
    <row r="21" spans="1:11">
      <c r="A21" s="28"/>
      <c r="B21" s="29"/>
      <c r="C21" s="30" t="str">
        <f>IFERROR(_xlfn.XLOOKUP(B21,MObra[DESCRIPCION],MObra[UN],,0),"")</f>
        <v/>
      </c>
      <c r="D21" s="31"/>
      <c r="E21" s="32" t="str">
        <f>IFERROR(_xlfn.XLOOKUP($B21,MObra[DESCRIPCION],MObra[VALOR UNIT],,0),"")</f>
        <v/>
      </c>
      <c r="F21" s="33"/>
      <c r="G21" s="34" t="str">
        <f>IFERROR(IF(F21&gt;=0,D21*E21*(1+F21/100),ABS(D21*E21/F21)),"")</f>
        <v/>
      </c>
      <c r="H21" s="43" t="str">
        <f>IFERROR(G21*E4,"")</f>
        <v/>
      </c>
    </row>
    <row r="22" spans="1:11" ht="13.15" thickBot="1">
      <c r="A22" s="35"/>
      <c r="B22" s="36"/>
      <c r="C22" s="37" t="str">
        <f>IFERROR(_xlfn.XLOOKUP(B22,MObra[DESCRIPCION],MObra[UN],,0),"")</f>
        <v/>
      </c>
      <c r="D22" s="38"/>
      <c r="E22" s="39" t="str">
        <f>IFERROR(_xlfn.XLOOKUP($B22,MObra[DESCRIPCION],MObra[VALOR UNIT],,0),"")</f>
        <v/>
      </c>
      <c r="F22" s="40"/>
      <c r="G22" s="41" t="str">
        <f>IFERROR(IF(F22&gt;=0,D22*E22*(1+F22/100),ABS(D22*E22/F22)),"")</f>
        <v/>
      </c>
      <c r="H22" s="42" t="str">
        <f>IFERROR(G22*E4,"")</f>
        <v/>
      </c>
    </row>
    <row r="23" spans="1:11" ht="12.75" customHeight="1" thickTop="1" thickBot="1"/>
    <row r="24" spans="1:11" ht="13.5" thickTop="1" thickBot="1">
      <c r="A24" s="6" t="s">
        <v>2262</v>
      </c>
      <c r="B24" s="7" t="str">
        <f>VLOOKUP($A24,Presupuesto!$A:$D,2,FALSE())</f>
        <v>Acometida 3 x XLPE No. 1/0 AWG, 15 kv 133% Sin Ducto</v>
      </c>
      <c r="C24" s="8" t="str">
        <f>VLOOKUP($A24,Presupuesto!$A:$D,3,FALSE())</f>
        <v>M</v>
      </c>
      <c r="D24" s="9"/>
      <c r="E24" s="10">
        <f>VLOOKUP($A24,Presupuesto!$A:$D,4,FALSE())</f>
        <v>0</v>
      </c>
      <c r="F24" s="11" t="s">
        <v>2589</v>
      </c>
      <c r="G24" s="12">
        <f>SUM(G26:G42)/2</f>
        <v>223349.19707009001</v>
      </c>
      <c r="H24" s="13">
        <f>ROUND(SUM(H26:H42),0)/2</f>
        <v>0</v>
      </c>
      <c r="I24" s="10">
        <f>VLOOKUP(A24,Presupuesto!$A:$F,6,0)</f>
        <v>0</v>
      </c>
      <c r="J24" s="10">
        <f>+H24-I24</f>
        <v>0</v>
      </c>
      <c r="K24" s="46">
        <f>+H24-G24*E24</f>
        <v>0</v>
      </c>
    </row>
    <row r="25" spans="1:11" ht="13.15" thickTop="1">
      <c r="A25" s="14"/>
      <c r="B25" s="15" t="s">
        <v>2586</v>
      </c>
      <c r="C25" s="15" t="s">
        <v>5</v>
      </c>
      <c r="D25" s="16" t="s">
        <v>6</v>
      </c>
      <c r="E25" s="17" t="s">
        <v>7</v>
      </c>
      <c r="F25" s="18" t="s">
        <v>3728</v>
      </c>
      <c r="G25" s="19" t="s">
        <v>3729</v>
      </c>
      <c r="H25" s="20" t="s">
        <v>3797</v>
      </c>
    </row>
    <row r="26" spans="1:11">
      <c r="A26" s="21"/>
      <c r="B26" s="22" t="s">
        <v>3730</v>
      </c>
      <c r="C26" s="23"/>
      <c r="D26" s="24"/>
      <c r="E26" s="25"/>
      <c r="F26" s="26"/>
      <c r="G26" s="27">
        <f>SUM(G27:G31)</f>
        <v>196560</v>
      </c>
      <c r="H26" s="27">
        <f>IFERROR(G26*E24,"")</f>
        <v>0</v>
      </c>
    </row>
    <row r="27" spans="1:11">
      <c r="A27" s="28"/>
      <c r="B27" s="29" t="s">
        <v>2789</v>
      </c>
      <c r="C27" s="30" t="str">
        <f>IFERROR(_xlfn.XLOOKUP(B27,Insumo[DESCRIPCION],Insumo[UND],,0),"")</f>
        <v>M</v>
      </c>
      <c r="D27" s="31">
        <v>3</v>
      </c>
      <c r="E27" s="32">
        <f>IFERROR(_xlfn.XLOOKUP($B27,Insumo[DESCRIPCION],Insumo[VALOR],,0),"")</f>
        <v>65520</v>
      </c>
      <c r="F27" s="33"/>
      <c r="G27" s="34">
        <f>IFERROR(IF(F27&gt;=0,D27*E27*(1+F27/100),ABS(D27*E27/F27)),"")</f>
        <v>196560</v>
      </c>
      <c r="H27" s="43">
        <f>IFERROR(G27*E24,"")</f>
        <v>0</v>
      </c>
    </row>
    <row r="28" spans="1:11">
      <c r="A28" s="28"/>
      <c r="B28" s="29"/>
      <c r="C28" s="30" t="str">
        <f>IFERROR(_xlfn.XLOOKUP(B28,Insumo[DESCRIPCION],Insumo[UND],,0),"")</f>
        <v/>
      </c>
      <c r="D28" s="31"/>
      <c r="E28" s="32" t="str">
        <f>IFERROR(_xlfn.XLOOKUP($B28,Insumo[DESCRIPCION],Insumo[VALOR],,0),"")</f>
        <v/>
      </c>
      <c r="F28" s="33"/>
      <c r="G28" s="34" t="str">
        <f>IFERROR(IF(F28&gt;=0,D28*E28*(1+F28/100),ABS(D28*E28/F28)),"")</f>
        <v/>
      </c>
      <c r="H28" s="43" t="str">
        <f>IFERROR(G28*E24,"")</f>
        <v/>
      </c>
    </row>
    <row r="29" spans="1:11">
      <c r="A29" s="28"/>
      <c r="B29" s="29"/>
      <c r="C29" s="30" t="str">
        <f>IFERROR(_xlfn.XLOOKUP(B29,Insumo[DESCRIPCION],Insumo[UND],,0),"")</f>
        <v/>
      </c>
      <c r="D29" s="31"/>
      <c r="E29" s="32" t="str">
        <f>IFERROR(_xlfn.XLOOKUP($B29,Insumo[DESCRIPCION],Insumo[VALOR],,0),"")</f>
        <v/>
      </c>
      <c r="F29" s="33"/>
      <c r="G29" s="34" t="str">
        <f>IFERROR(IF(F29&gt;=0,D29*E29*(1+F29/100),ABS(D29*E29/F29)),"")</f>
        <v/>
      </c>
      <c r="H29" s="43" t="str">
        <f>IFERROR(G29*E24,"")</f>
        <v/>
      </c>
    </row>
    <row r="30" spans="1:11">
      <c r="A30" s="28"/>
      <c r="B30" s="29"/>
      <c r="C30" s="30" t="str">
        <f>IFERROR(_xlfn.XLOOKUP(B30,Insumo[DESCRIPCION],Insumo[UND],,0),"")</f>
        <v/>
      </c>
      <c r="D30" s="31"/>
      <c r="E30" s="32" t="str">
        <f>IFERROR(_xlfn.XLOOKUP($B30,Insumo[DESCRIPCION],Insumo[VALOR],,0),"")</f>
        <v/>
      </c>
      <c r="F30" s="33"/>
      <c r="G30" s="34" t="str">
        <f>IFERROR(IF(F30&gt;=0,D30*E30*(1+F30/100),ABS(D30*E30/F30)),"")</f>
        <v/>
      </c>
      <c r="H30" s="43" t="str">
        <f>IFERROR(G30*E24,"")</f>
        <v/>
      </c>
    </row>
    <row r="31" spans="1:11">
      <c r="A31" s="28"/>
      <c r="B31" s="29"/>
      <c r="C31" s="30" t="str">
        <f>IFERROR(_xlfn.XLOOKUP(B31,Insumo[DESCRIPCION],Insumo[UND],,0),"")</f>
        <v/>
      </c>
      <c r="D31" s="31"/>
      <c r="E31" s="32" t="str">
        <f>IFERROR(_xlfn.XLOOKUP($B31,Insumo[DESCRIPCION],Insumo[VALOR],,0),"")</f>
        <v/>
      </c>
      <c r="F31" s="33"/>
      <c r="G31" s="34" t="str">
        <f>IFERROR(IF(F31&gt;=0,D31*E31*(1+F31/100),ABS(D31*E31/F31)),"")</f>
        <v/>
      </c>
      <c r="H31" s="43" t="str">
        <f>IFERROR(G31*E24,"")</f>
        <v/>
      </c>
    </row>
    <row r="32" spans="1:11">
      <c r="A32" s="21"/>
      <c r="B32" s="22" t="s">
        <v>3731</v>
      </c>
      <c r="C32" s="23"/>
      <c r="D32" s="24"/>
      <c r="E32" s="25"/>
      <c r="F32" s="26"/>
      <c r="G32" s="27">
        <f>SUM(G33:G35)</f>
        <v>4277.2667590900019</v>
      </c>
      <c r="H32" s="27">
        <f>IFERROR(G32*E24,"")</f>
        <v>0</v>
      </c>
    </row>
    <row r="33" spans="1:11">
      <c r="A33" s="28"/>
      <c r="B33" s="29" t="s">
        <v>3573</v>
      </c>
      <c r="C33" s="30" t="str">
        <f>IFERROR(_xlfn.XLOOKUP(B33,Equipo[DESCRIPCION],Equipo[UND],,0),"")</f>
        <v>%MO</v>
      </c>
      <c r="D33" s="31">
        <v>0.1</v>
      </c>
      <c r="E33" s="32">
        <f>IF(C33="%MO",G39,IFERROR(_xlfn.XLOOKUP($B33,Equipo[DESCRIPCION],Equipo[VALOR],,0),""))</f>
        <v>22511.930311000007</v>
      </c>
      <c r="F33" s="33"/>
      <c r="G33" s="34">
        <f>IFERROR(IF(F33&gt;=0,D33*E33*(1+F33/100),ABS(D33*E33/F33)),"")</f>
        <v>2251.193031100001</v>
      </c>
      <c r="H33" s="43">
        <f>IFERROR(G33*E24,"")</f>
        <v>0</v>
      </c>
    </row>
    <row r="34" spans="1:11">
      <c r="A34" s="28"/>
      <c r="B34" s="29" t="s">
        <v>3570</v>
      </c>
      <c r="C34" s="30" t="str">
        <f>IFERROR(_xlfn.XLOOKUP(B34,Equipo[DESCRIPCION],Equipo[UND],,0),"")</f>
        <v>%MO</v>
      </c>
      <c r="D34" s="31">
        <v>0.04</v>
      </c>
      <c r="E34" s="32">
        <f>IF(C34="%MO",G39,IFERROR(_xlfn.XLOOKUP($B34,Equipo[DESCRIPCION],Equipo[VALOR],,0),""))</f>
        <v>22511.930311000007</v>
      </c>
      <c r="F34" s="33"/>
      <c r="G34" s="34">
        <f>IFERROR(IF(F34&gt;=0,D34*E34*(1+F34/100),ABS(D34*E34/F34)),"")</f>
        <v>900.47721244000036</v>
      </c>
      <c r="H34" s="43">
        <f>IFERROR(G34*E24,"")</f>
        <v>0</v>
      </c>
    </row>
    <row r="35" spans="1:11">
      <c r="A35" s="28"/>
      <c r="B35" s="29" t="s">
        <v>3626</v>
      </c>
      <c r="C35" s="30" t="str">
        <f>IFERROR(_xlfn.XLOOKUP(B35,Equipo[DESCRIPCION],Equipo[UND],,0),"")</f>
        <v>%MO</v>
      </c>
      <c r="D35" s="31">
        <v>0.05</v>
      </c>
      <c r="E35" s="32">
        <f>IF(C35="%MO",G39,IFERROR(_xlfn.XLOOKUP($B35,Equipo[DESCRIPCION],Equipo[VALOR],,0),""))</f>
        <v>22511.930311000007</v>
      </c>
      <c r="F35" s="33"/>
      <c r="G35" s="34">
        <f>IFERROR(IF(F35&gt;=0,D35*E35*(1+F35/100),ABS(D35*E35/F35)),"")</f>
        <v>1125.5965155500005</v>
      </c>
      <c r="H35" s="43">
        <f>IFERROR(G35*E24,"")</f>
        <v>0</v>
      </c>
    </row>
    <row r="36" spans="1:11">
      <c r="A36" s="21"/>
      <c r="B36" s="22" t="s">
        <v>2533</v>
      </c>
      <c r="C36" s="23"/>
      <c r="D36" s="24"/>
      <c r="E36" s="25"/>
      <c r="F36" s="26"/>
      <c r="G36" s="27">
        <f>SUM(G37:G38)</f>
        <v>0</v>
      </c>
      <c r="H36" s="27">
        <f>IFERROR(G36*E24,"")</f>
        <v>0</v>
      </c>
    </row>
    <row r="37" spans="1:11">
      <c r="A37" s="28"/>
      <c r="B37" s="29"/>
      <c r="C37" s="30" t="str">
        <f>IFERROR(_xlfn.XLOOKUP(B37,Transporte[DESCRIPCION],Transporte[UND],,0),"")</f>
        <v/>
      </c>
      <c r="D37" s="31"/>
      <c r="E37" s="32" t="str">
        <f>IFERROR(_xlfn.XLOOKUP($B37,Transporte[DESCRIPCION],Transporte[VALOR],,0),"")</f>
        <v/>
      </c>
      <c r="F37" s="33"/>
      <c r="G37" s="34" t="str">
        <f>IFERROR(IF(F37&gt;=0,D37*E37*(1+F37/100),ABS(D37*E37/F37)),"")</f>
        <v/>
      </c>
      <c r="H37" s="43" t="str">
        <f>IFERROR(G37*E24,"")</f>
        <v/>
      </c>
    </row>
    <row r="38" spans="1:11">
      <c r="A38" s="28"/>
      <c r="B38" s="29"/>
      <c r="C38" s="30" t="str">
        <f>IFERROR(_xlfn.XLOOKUP(B38,Transporte[DESCRIPCION],Transporte[UND],,0),"")</f>
        <v/>
      </c>
      <c r="D38" s="31"/>
      <c r="E38" s="32" t="str">
        <f>IFERROR(_xlfn.XLOOKUP($B38,Transporte[DESCRIPCION],Transporte[VALOR],,0),"")</f>
        <v/>
      </c>
      <c r="F38" s="33"/>
      <c r="G38" s="34" t="str">
        <f>IFERROR(IF(F38&gt;=0,D38*E38*(1+F38/100),ABS(D38*E38/F38)),"")</f>
        <v/>
      </c>
      <c r="H38" s="43" t="str">
        <f>IFERROR(G38*E24,"")</f>
        <v/>
      </c>
    </row>
    <row r="39" spans="1:11">
      <c r="A39" s="21"/>
      <c r="B39" s="22" t="s">
        <v>3732</v>
      </c>
      <c r="C39" s="23"/>
      <c r="D39" s="24"/>
      <c r="E39" s="25"/>
      <c r="F39" s="26"/>
      <c r="G39" s="27">
        <f>SUM(G40:G42)</f>
        <v>22511.930311000007</v>
      </c>
      <c r="H39" s="27">
        <f>IFERROR(G39*E24,"")</f>
        <v>0</v>
      </c>
    </row>
    <row r="40" spans="1:11">
      <c r="A40" s="28"/>
      <c r="B40" s="29" t="s">
        <v>3715</v>
      </c>
      <c r="C40" s="30" t="str">
        <f>IFERROR(_xlfn.XLOOKUP(B40,MObra[DESCRIPCION],MObra[UN],,0),"")</f>
        <v>día</v>
      </c>
      <c r="D40" s="31">
        <v>1</v>
      </c>
      <c r="E40" s="32">
        <f>IFERROR(_xlfn.XLOOKUP($B40,MObra[DESCRIPCION],MObra[VALOR UNIT],,0),"")</f>
        <v>337678.95466500008</v>
      </c>
      <c r="F40" s="33">
        <v>-15</v>
      </c>
      <c r="G40" s="34">
        <f>IFERROR(IF(F40&gt;=0,D40*E40*(1+F40/100),ABS(D40*E40/F40)),"")</f>
        <v>22511.930311000007</v>
      </c>
      <c r="H40" s="43">
        <f>IFERROR(G40*E24,"")</f>
        <v>0</v>
      </c>
    </row>
    <row r="41" spans="1:11">
      <c r="A41" s="28"/>
      <c r="B41" s="29"/>
      <c r="C41" s="30" t="str">
        <f>IFERROR(_xlfn.XLOOKUP(B41,MObra[DESCRIPCION],MObra[UN],,0),"")</f>
        <v/>
      </c>
      <c r="D41" s="31"/>
      <c r="E41" s="32" t="str">
        <f>IFERROR(_xlfn.XLOOKUP($B41,MObra[DESCRIPCION],MObra[VALOR UNIT],,0),"")</f>
        <v/>
      </c>
      <c r="F41" s="33"/>
      <c r="G41" s="34" t="str">
        <f>IFERROR(IF(F41&gt;=0,D41*E41*(1+F41/100),ABS(D41*E41/F41)),"")</f>
        <v/>
      </c>
      <c r="H41" s="43" t="str">
        <f>IFERROR(G41*E24,"")</f>
        <v/>
      </c>
    </row>
    <row r="42" spans="1:11" ht="13.15" thickBot="1">
      <c r="A42" s="35"/>
      <c r="B42" s="36"/>
      <c r="C42" s="37" t="str">
        <f>IFERROR(_xlfn.XLOOKUP(B42,MObra[DESCRIPCION],MObra[UN],,0),"")</f>
        <v/>
      </c>
      <c r="D42" s="38"/>
      <c r="E42" s="39" t="str">
        <f>IFERROR(_xlfn.XLOOKUP($B42,MObra[DESCRIPCION],MObra[VALOR UNIT],,0),"")</f>
        <v/>
      </c>
      <c r="F42" s="40"/>
      <c r="G42" s="41" t="str">
        <f>IFERROR(IF(F42&gt;=0,D42*E42*(1+F42/100),ABS(D42*E42/F42)),"")</f>
        <v/>
      </c>
      <c r="H42" s="42" t="str">
        <f>IFERROR(G42*E24,"")</f>
        <v/>
      </c>
    </row>
    <row r="43" spans="1:11" ht="12.75" customHeight="1" thickTop="1" thickBot="1"/>
    <row r="44" spans="1:11" ht="13.5" thickTop="1" thickBot="1">
      <c r="A44" s="6" t="s">
        <v>2264</v>
      </c>
      <c r="B44" s="7" t="str">
        <f>VLOOKUP($A44,Presupuesto!$A:$D,2,FALSE())</f>
        <v>Acometida 3 x XLPE No. 4/0 AWG, 15 kv 133% (13,2 KV)</v>
      </c>
      <c r="C44" s="8" t="str">
        <f>VLOOKUP($A44,Presupuesto!$A:$D,3,FALSE())</f>
        <v>M</v>
      </c>
      <c r="D44" s="9"/>
      <c r="E44" s="10">
        <f>VLOOKUP($A44,Presupuesto!$A:$D,4,FALSE())</f>
        <v>0</v>
      </c>
      <c r="F44" s="11" t="s">
        <v>2589</v>
      </c>
      <c r="G44" s="12">
        <f>SUM(G46:G62)/2</f>
        <v>486689.19707008998</v>
      </c>
      <c r="H44" s="13">
        <f>ROUND(SUM(H46:H62),0)/2</f>
        <v>0</v>
      </c>
      <c r="I44" s="10">
        <f>VLOOKUP(A44,Presupuesto!$A:$F,6,0)</f>
        <v>0</v>
      </c>
      <c r="J44" s="10">
        <f>+H44-I44</f>
        <v>0</v>
      </c>
      <c r="K44" s="46">
        <f>+H44-G44*E44</f>
        <v>0</v>
      </c>
    </row>
    <row r="45" spans="1:11" ht="13.15" thickTop="1">
      <c r="A45" s="14"/>
      <c r="B45" s="15" t="s">
        <v>2586</v>
      </c>
      <c r="C45" s="15" t="s">
        <v>5</v>
      </c>
      <c r="D45" s="16" t="s">
        <v>6</v>
      </c>
      <c r="E45" s="17" t="s">
        <v>7</v>
      </c>
      <c r="F45" s="18" t="s">
        <v>3728</v>
      </c>
      <c r="G45" s="19" t="s">
        <v>3729</v>
      </c>
      <c r="H45" s="20" t="s">
        <v>3797</v>
      </c>
    </row>
    <row r="46" spans="1:11">
      <c r="A46" s="21"/>
      <c r="B46" s="22" t="s">
        <v>3730</v>
      </c>
      <c r="C46" s="23"/>
      <c r="D46" s="24"/>
      <c r="E46" s="25"/>
      <c r="F46" s="26"/>
      <c r="G46" s="27">
        <f>SUM(G47:G51)</f>
        <v>459900</v>
      </c>
      <c r="H46" s="27">
        <f>IFERROR(G46*E44,"")</f>
        <v>0</v>
      </c>
    </row>
    <row r="47" spans="1:11">
      <c r="A47" s="28"/>
      <c r="B47" s="29" t="s">
        <v>2790</v>
      </c>
      <c r="C47" s="30" t="str">
        <f>IFERROR(_xlfn.XLOOKUP(B47,Insumo[DESCRIPCION],Insumo[UND],,0),"")</f>
        <v>M</v>
      </c>
      <c r="D47" s="31">
        <v>3</v>
      </c>
      <c r="E47" s="32">
        <f>IFERROR(_xlfn.XLOOKUP($B47,Insumo[DESCRIPCION],Insumo[VALOR],,0),"")</f>
        <v>153300</v>
      </c>
      <c r="F47" s="33"/>
      <c r="G47" s="34">
        <f>IFERROR(IF(F47&gt;=0,D47*E47*(1+F47/100),ABS(D47*E47/F47)),"")</f>
        <v>459900</v>
      </c>
      <c r="H47" s="43">
        <f>IFERROR(G47*E44,"")</f>
        <v>0</v>
      </c>
    </row>
    <row r="48" spans="1:11">
      <c r="A48" s="28"/>
      <c r="B48" s="29"/>
      <c r="C48" s="30" t="str">
        <f>IFERROR(_xlfn.XLOOKUP(B48,Insumo[DESCRIPCION],Insumo[UND],,0),"")</f>
        <v/>
      </c>
      <c r="D48" s="31"/>
      <c r="E48" s="32" t="str">
        <f>IFERROR(_xlfn.XLOOKUP($B48,Insumo[DESCRIPCION],Insumo[VALOR],,0),"")</f>
        <v/>
      </c>
      <c r="F48" s="33"/>
      <c r="G48" s="34" t="str">
        <f>IFERROR(IF(F48&gt;=0,D48*E48*(1+F48/100),ABS(D48*E48/F48)),"")</f>
        <v/>
      </c>
      <c r="H48" s="43" t="str">
        <f>IFERROR(G48*E44,"")</f>
        <v/>
      </c>
    </row>
    <row r="49" spans="1:11">
      <c r="A49" s="28"/>
      <c r="B49" s="29"/>
      <c r="C49" s="30" t="str">
        <f>IFERROR(_xlfn.XLOOKUP(B49,Insumo[DESCRIPCION],Insumo[UND],,0),"")</f>
        <v/>
      </c>
      <c r="D49" s="31"/>
      <c r="E49" s="32" t="str">
        <f>IFERROR(_xlfn.XLOOKUP($B49,Insumo[DESCRIPCION],Insumo[VALOR],,0),"")</f>
        <v/>
      </c>
      <c r="F49" s="33"/>
      <c r="G49" s="34" t="str">
        <f>IFERROR(IF(F49&gt;=0,D49*E49*(1+F49/100),ABS(D49*E49/F49)),"")</f>
        <v/>
      </c>
      <c r="H49" s="43" t="str">
        <f>IFERROR(G49*E44,"")</f>
        <v/>
      </c>
    </row>
    <row r="50" spans="1:11">
      <c r="A50" s="28"/>
      <c r="B50" s="29"/>
      <c r="C50" s="30" t="str">
        <f>IFERROR(_xlfn.XLOOKUP(B50,Insumo[DESCRIPCION],Insumo[UND],,0),"")</f>
        <v/>
      </c>
      <c r="D50" s="31"/>
      <c r="E50" s="32" t="str">
        <f>IFERROR(_xlfn.XLOOKUP($B50,Insumo[DESCRIPCION],Insumo[VALOR],,0),"")</f>
        <v/>
      </c>
      <c r="F50" s="33"/>
      <c r="G50" s="34" t="str">
        <f>IFERROR(IF(F50&gt;=0,D50*E50*(1+F50/100),ABS(D50*E50/F50)),"")</f>
        <v/>
      </c>
      <c r="H50" s="43" t="str">
        <f>IFERROR(G50*E44,"")</f>
        <v/>
      </c>
    </row>
    <row r="51" spans="1:11">
      <c r="A51" s="28"/>
      <c r="B51" s="29"/>
      <c r="C51" s="30" t="str">
        <f>IFERROR(_xlfn.XLOOKUP(B51,Insumo[DESCRIPCION],Insumo[UND],,0),"")</f>
        <v/>
      </c>
      <c r="D51" s="31"/>
      <c r="E51" s="32" t="str">
        <f>IFERROR(_xlfn.XLOOKUP($B51,Insumo[DESCRIPCION],Insumo[VALOR],,0),"")</f>
        <v/>
      </c>
      <c r="F51" s="33"/>
      <c r="G51" s="34" t="str">
        <f>IFERROR(IF(F51&gt;=0,D51*E51*(1+F51/100),ABS(D51*E51/F51)),"")</f>
        <v/>
      </c>
      <c r="H51" s="43" t="str">
        <f>IFERROR(G51*E44,"")</f>
        <v/>
      </c>
    </row>
    <row r="52" spans="1:11">
      <c r="A52" s="21"/>
      <c r="B52" s="22" t="s">
        <v>3731</v>
      </c>
      <c r="C52" s="23"/>
      <c r="D52" s="24"/>
      <c r="E52" s="25"/>
      <c r="F52" s="26"/>
      <c r="G52" s="27">
        <f>SUM(G53:G55)</f>
        <v>4277.2667590900019</v>
      </c>
      <c r="H52" s="27">
        <f>IFERROR(G52*E44,"")</f>
        <v>0</v>
      </c>
    </row>
    <row r="53" spans="1:11">
      <c r="A53" s="28"/>
      <c r="B53" s="29" t="s">
        <v>3573</v>
      </c>
      <c r="C53" s="30" t="str">
        <f>IFERROR(_xlfn.XLOOKUP(B53,Equipo[DESCRIPCION],Equipo[UND],,0),"")</f>
        <v>%MO</v>
      </c>
      <c r="D53" s="31">
        <v>0.1</v>
      </c>
      <c r="E53" s="32">
        <f>IF(C53="%MO",G59,IFERROR(_xlfn.XLOOKUP($B53,Equipo[DESCRIPCION],Equipo[VALOR],,0),""))</f>
        <v>22511.930311000007</v>
      </c>
      <c r="F53" s="33"/>
      <c r="G53" s="34">
        <f>IFERROR(IF(F53&gt;=0,D53*E53*(1+F53/100),ABS(D53*E53/F53)),"")</f>
        <v>2251.193031100001</v>
      </c>
      <c r="H53" s="43">
        <f>IFERROR(G53*E44,"")</f>
        <v>0</v>
      </c>
    </row>
    <row r="54" spans="1:11">
      <c r="A54" s="28"/>
      <c r="B54" s="29" t="s">
        <v>3570</v>
      </c>
      <c r="C54" s="30" t="str">
        <f>IFERROR(_xlfn.XLOOKUP(B54,Equipo[DESCRIPCION],Equipo[UND],,0),"")</f>
        <v>%MO</v>
      </c>
      <c r="D54" s="31">
        <v>0.04</v>
      </c>
      <c r="E54" s="32">
        <f>IF(C54="%MO",G59,IFERROR(_xlfn.XLOOKUP($B54,Equipo[DESCRIPCION],Equipo[VALOR],,0),""))</f>
        <v>22511.930311000007</v>
      </c>
      <c r="F54" s="33"/>
      <c r="G54" s="34">
        <f>IFERROR(IF(F54&gt;=0,D54*E54*(1+F54/100),ABS(D54*E54/F54)),"")</f>
        <v>900.47721244000036</v>
      </c>
      <c r="H54" s="43">
        <f>IFERROR(G54*E44,"")</f>
        <v>0</v>
      </c>
    </row>
    <row r="55" spans="1:11">
      <c r="A55" s="28"/>
      <c r="B55" s="29" t="s">
        <v>3626</v>
      </c>
      <c r="C55" s="30" t="str">
        <f>IFERROR(_xlfn.XLOOKUP(B55,Equipo[DESCRIPCION],Equipo[UND],,0),"")</f>
        <v>%MO</v>
      </c>
      <c r="D55" s="31">
        <v>0.05</v>
      </c>
      <c r="E55" s="32">
        <f>IF(C55="%MO",G59,IFERROR(_xlfn.XLOOKUP($B55,Equipo[DESCRIPCION],Equipo[VALOR],,0),""))</f>
        <v>22511.930311000007</v>
      </c>
      <c r="F55" s="33"/>
      <c r="G55" s="34">
        <f>IFERROR(IF(F55&gt;=0,D55*E55*(1+F55/100),ABS(D55*E55/F55)),"")</f>
        <v>1125.5965155500005</v>
      </c>
      <c r="H55" s="43">
        <f>IFERROR(G55*E44,"")</f>
        <v>0</v>
      </c>
    </row>
    <row r="56" spans="1:11">
      <c r="A56" s="21"/>
      <c r="B56" s="22" t="s">
        <v>2533</v>
      </c>
      <c r="C56" s="23"/>
      <c r="D56" s="24"/>
      <c r="E56" s="25"/>
      <c r="F56" s="26"/>
      <c r="G56" s="27">
        <f>SUM(G57:G58)</f>
        <v>0</v>
      </c>
      <c r="H56" s="27">
        <f>IFERROR(G56*E44,"")</f>
        <v>0</v>
      </c>
    </row>
    <row r="57" spans="1:11">
      <c r="A57" s="28"/>
      <c r="B57" s="29"/>
      <c r="C57" s="30" t="str">
        <f>IFERROR(_xlfn.XLOOKUP(B57,Transporte[DESCRIPCION],Transporte[UND],,0),"")</f>
        <v/>
      </c>
      <c r="D57" s="31"/>
      <c r="E57" s="32" t="str">
        <f>IFERROR(_xlfn.XLOOKUP($B57,Transporte[DESCRIPCION],Transporte[VALOR],,0),"")</f>
        <v/>
      </c>
      <c r="F57" s="33"/>
      <c r="G57" s="34" t="str">
        <f>IFERROR(IF(F57&gt;=0,D57*E57*(1+F57/100),ABS(D57*E57/F57)),"")</f>
        <v/>
      </c>
      <c r="H57" s="43" t="str">
        <f>IFERROR(G57*E44,"")</f>
        <v/>
      </c>
    </row>
    <row r="58" spans="1:11">
      <c r="A58" s="28"/>
      <c r="B58" s="29"/>
      <c r="C58" s="30" t="str">
        <f>IFERROR(_xlfn.XLOOKUP(B58,Transporte[DESCRIPCION],Transporte[UND],,0),"")</f>
        <v/>
      </c>
      <c r="D58" s="31"/>
      <c r="E58" s="32" t="str">
        <f>IFERROR(_xlfn.XLOOKUP($B58,Transporte[DESCRIPCION],Transporte[VALOR],,0),"")</f>
        <v/>
      </c>
      <c r="F58" s="33"/>
      <c r="G58" s="34" t="str">
        <f>IFERROR(IF(F58&gt;=0,D58*E58*(1+F58/100),ABS(D58*E58/F58)),"")</f>
        <v/>
      </c>
      <c r="H58" s="43" t="str">
        <f>IFERROR(G58*E44,"")</f>
        <v/>
      </c>
    </row>
    <row r="59" spans="1:11">
      <c r="A59" s="21"/>
      <c r="B59" s="22" t="s">
        <v>3732</v>
      </c>
      <c r="C59" s="23"/>
      <c r="D59" s="24"/>
      <c r="E59" s="25"/>
      <c r="F59" s="26"/>
      <c r="G59" s="27">
        <f>SUM(G60:G62)</f>
        <v>22511.930311000007</v>
      </c>
      <c r="H59" s="27">
        <f>IFERROR(G59*E44,"")</f>
        <v>0</v>
      </c>
    </row>
    <row r="60" spans="1:11">
      <c r="A60" s="28"/>
      <c r="B60" s="29" t="s">
        <v>3715</v>
      </c>
      <c r="C60" s="30" t="str">
        <f>IFERROR(_xlfn.XLOOKUP(B60,MObra[DESCRIPCION],MObra[UN],,0),"")</f>
        <v>día</v>
      </c>
      <c r="D60" s="31">
        <v>1</v>
      </c>
      <c r="E60" s="32">
        <f>IFERROR(_xlfn.XLOOKUP($B60,MObra[DESCRIPCION],MObra[VALOR UNIT],,0),"")</f>
        <v>337678.95466500008</v>
      </c>
      <c r="F60" s="33">
        <v>-15</v>
      </c>
      <c r="G60" s="34">
        <f>IFERROR(IF(F60&gt;=0,D60*E60*(1+F60/100),ABS(D60*E60/F60)),"")</f>
        <v>22511.930311000007</v>
      </c>
      <c r="H60" s="43">
        <f>IFERROR(G60*E44,"")</f>
        <v>0</v>
      </c>
    </row>
    <row r="61" spans="1:11">
      <c r="A61" s="28"/>
      <c r="B61" s="29"/>
      <c r="C61" s="30" t="str">
        <f>IFERROR(_xlfn.XLOOKUP(B61,MObra[DESCRIPCION],MObra[UN],,0),"")</f>
        <v/>
      </c>
      <c r="D61" s="31"/>
      <c r="E61" s="32" t="str">
        <f>IFERROR(_xlfn.XLOOKUP($B61,MObra[DESCRIPCION],MObra[VALOR UNIT],,0),"")</f>
        <v/>
      </c>
      <c r="F61" s="33"/>
      <c r="G61" s="34" t="str">
        <f>IFERROR(IF(F61&gt;=0,D61*E61*(1+F61/100),ABS(D61*E61/F61)),"")</f>
        <v/>
      </c>
      <c r="H61" s="43" t="str">
        <f>IFERROR(G61*E44,"")</f>
        <v/>
      </c>
    </row>
    <row r="62" spans="1:11" ht="13.15" thickBot="1">
      <c r="A62" s="35"/>
      <c r="B62" s="36"/>
      <c r="C62" s="37" t="str">
        <f>IFERROR(_xlfn.XLOOKUP(B62,MObra[DESCRIPCION],MObra[UN],,0),"")</f>
        <v/>
      </c>
      <c r="D62" s="38"/>
      <c r="E62" s="39" t="str">
        <f>IFERROR(_xlfn.XLOOKUP($B62,MObra[DESCRIPCION],MObra[VALOR UNIT],,0),"")</f>
        <v/>
      </c>
      <c r="F62" s="40"/>
      <c r="G62" s="41" t="str">
        <f>IFERROR(IF(F62&gt;=0,D62*E62*(1+F62/100),ABS(D62*E62/F62)),"")</f>
        <v/>
      </c>
      <c r="H62" s="42" t="str">
        <f>IFERROR(G62*E44,"")</f>
        <v/>
      </c>
    </row>
    <row r="63" spans="1:11" ht="12.75" customHeight="1" thickTop="1" thickBot="1"/>
    <row r="64" spans="1:11" ht="13.5" thickTop="1" thickBot="1">
      <c r="A64" s="6" t="s">
        <v>2266</v>
      </c>
      <c r="B64" s="7" t="str">
        <f>VLOOKUP($A64,Presupuesto!$A:$D,2,FALSE())</f>
        <v>Acometida aerea  Al desnudo ACSR de 3 No. 2/0 AWG</v>
      </c>
      <c r="C64" s="8" t="str">
        <f>VLOOKUP($A64,Presupuesto!$A:$D,3,FALSE())</f>
        <v>M</v>
      </c>
      <c r="D64" s="9"/>
      <c r="E64" s="10">
        <f>VLOOKUP($A64,Presupuesto!$A:$D,4,FALSE())</f>
        <v>0</v>
      </c>
      <c r="F64" s="11" t="s">
        <v>2589</v>
      </c>
      <c r="G64" s="12">
        <f>SUM(G66:G82)/2</f>
        <v>43938.418242054002</v>
      </c>
      <c r="H64" s="13">
        <f>ROUND(SUM(H66:H82),0)/2</f>
        <v>0</v>
      </c>
      <c r="I64" s="10">
        <f>VLOOKUP(A64,Presupuesto!$A:$F,6,0)</f>
        <v>0</v>
      </c>
      <c r="J64" s="10">
        <f>+H64-I64</f>
        <v>0</v>
      </c>
      <c r="K64" s="46">
        <f>+H64-G64*E64</f>
        <v>0</v>
      </c>
    </row>
    <row r="65" spans="1:8" ht="13.15" thickTop="1">
      <c r="A65" s="14"/>
      <c r="B65" s="15" t="s">
        <v>2586</v>
      </c>
      <c r="C65" s="15" t="s">
        <v>5</v>
      </c>
      <c r="D65" s="16" t="s">
        <v>6</v>
      </c>
      <c r="E65" s="17" t="s">
        <v>7</v>
      </c>
      <c r="F65" s="18" t="s">
        <v>3728</v>
      </c>
      <c r="G65" s="19" t="s">
        <v>3729</v>
      </c>
      <c r="H65" s="20" t="s">
        <v>3797</v>
      </c>
    </row>
    <row r="66" spans="1:8">
      <c r="A66" s="21"/>
      <c r="B66" s="22" t="s">
        <v>3730</v>
      </c>
      <c r="C66" s="23"/>
      <c r="D66" s="24"/>
      <c r="E66" s="25"/>
      <c r="F66" s="26"/>
      <c r="G66" s="27">
        <f>SUM(G67:G71)</f>
        <v>27864.9</v>
      </c>
      <c r="H66" s="27">
        <f>IFERROR(G66*E64,"")</f>
        <v>0</v>
      </c>
    </row>
    <row r="67" spans="1:8">
      <c r="A67" s="28"/>
      <c r="B67" s="29" t="s">
        <v>2781</v>
      </c>
      <c r="C67" s="30" t="str">
        <f>IFERROR(_xlfn.XLOOKUP(B67,Insumo[DESCRIPCION],Insumo[UND],,0),"")</f>
        <v>M</v>
      </c>
      <c r="D67" s="31">
        <v>3</v>
      </c>
      <c r="E67" s="32">
        <f>IFERROR(_xlfn.XLOOKUP($B67,Insumo[DESCRIPCION],Insumo[VALOR],,0),"")</f>
        <v>9288.3000000000011</v>
      </c>
      <c r="F67" s="33"/>
      <c r="G67" s="34">
        <f>IFERROR(IF(F67&gt;=0,D67*E67*(1+F67/100),ABS(D67*E67/F67)),"")</f>
        <v>27864.9</v>
      </c>
      <c r="H67" s="43">
        <f>IFERROR(G67*E64,"")</f>
        <v>0</v>
      </c>
    </row>
    <row r="68" spans="1:8">
      <c r="A68" s="28"/>
      <c r="B68" s="29"/>
      <c r="C68" s="30" t="str">
        <f>IFERROR(_xlfn.XLOOKUP(B68,Insumo[DESCRIPCION],Insumo[UND],,0),"")</f>
        <v/>
      </c>
      <c r="D68" s="31"/>
      <c r="E68" s="32" t="str">
        <f>IFERROR(_xlfn.XLOOKUP($B68,Insumo[DESCRIPCION],Insumo[VALOR],,0),"")</f>
        <v/>
      </c>
      <c r="F68" s="33"/>
      <c r="G68" s="34" t="str">
        <f>IFERROR(IF(F68&gt;=0,D68*E68*(1+F68/100),ABS(D68*E68/F68)),"")</f>
        <v/>
      </c>
      <c r="H68" s="43" t="str">
        <f>IFERROR(G68*E64,"")</f>
        <v/>
      </c>
    </row>
    <row r="69" spans="1:8">
      <c r="A69" s="28"/>
      <c r="B69" s="29"/>
      <c r="C69" s="30" t="str">
        <f>IFERROR(_xlfn.XLOOKUP(B69,Insumo[DESCRIPCION],Insumo[UND],,0),"")</f>
        <v/>
      </c>
      <c r="D69" s="31"/>
      <c r="E69" s="32" t="str">
        <f>IFERROR(_xlfn.XLOOKUP($B69,Insumo[DESCRIPCION],Insumo[VALOR],,0),"")</f>
        <v/>
      </c>
      <c r="F69" s="33"/>
      <c r="G69" s="34" t="str">
        <f>IFERROR(IF(F69&gt;=0,D69*E69*(1+F69/100),ABS(D69*E69/F69)),"")</f>
        <v/>
      </c>
      <c r="H69" s="43" t="str">
        <f>IFERROR(G69*E64,"")</f>
        <v/>
      </c>
    </row>
    <row r="70" spans="1:8">
      <c r="A70" s="28"/>
      <c r="B70" s="29"/>
      <c r="C70" s="30" t="str">
        <f>IFERROR(_xlfn.XLOOKUP(B70,Insumo[DESCRIPCION],Insumo[UND],,0),"")</f>
        <v/>
      </c>
      <c r="D70" s="31"/>
      <c r="E70" s="32" t="str">
        <f>IFERROR(_xlfn.XLOOKUP($B70,Insumo[DESCRIPCION],Insumo[VALOR],,0),"")</f>
        <v/>
      </c>
      <c r="F70" s="33"/>
      <c r="G70" s="34" t="str">
        <f>IFERROR(IF(F70&gt;=0,D70*E70*(1+F70/100),ABS(D70*E70/F70)),"")</f>
        <v/>
      </c>
      <c r="H70" s="43" t="str">
        <f>IFERROR(G70*E64,"")</f>
        <v/>
      </c>
    </row>
    <row r="71" spans="1:8">
      <c r="A71" s="28"/>
      <c r="B71" s="29"/>
      <c r="C71" s="30" t="str">
        <f>IFERROR(_xlfn.XLOOKUP(B71,Insumo[DESCRIPCION],Insumo[UND],,0),"")</f>
        <v/>
      </c>
      <c r="D71" s="31"/>
      <c r="E71" s="32" t="str">
        <f>IFERROR(_xlfn.XLOOKUP($B71,Insumo[DESCRIPCION],Insumo[VALOR],,0),"")</f>
        <v/>
      </c>
      <c r="F71" s="33"/>
      <c r="G71" s="34" t="str">
        <f>IFERROR(IF(F71&gt;=0,D71*E71*(1+F71/100),ABS(D71*E71/F71)),"")</f>
        <v/>
      </c>
      <c r="H71" s="43" t="str">
        <f>IFERROR(G71*E64,"")</f>
        <v/>
      </c>
    </row>
    <row r="72" spans="1:8">
      <c r="A72" s="21"/>
      <c r="B72" s="22" t="s">
        <v>3731</v>
      </c>
      <c r="C72" s="23"/>
      <c r="D72" s="24"/>
      <c r="E72" s="25"/>
      <c r="F72" s="26"/>
      <c r="G72" s="27">
        <f>SUM(G73:G75)</f>
        <v>2566.3600554540008</v>
      </c>
      <c r="H72" s="27">
        <f>IFERROR(G72*E64,"")</f>
        <v>0</v>
      </c>
    </row>
    <row r="73" spans="1:8">
      <c r="A73" s="28"/>
      <c r="B73" s="29" t="s">
        <v>3573</v>
      </c>
      <c r="C73" s="30" t="str">
        <f>IFERROR(_xlfn.XLOOKUP(B73,Equipo[DESCRIPCION],Equipo[UND],,0),"")</f>
        <v>%MO</v>
      </c>
      <c r="D73" s="31">
        <v>0.1</v>
      </c>
      <c r="E73" s="32">
        <f>IF(C73="%MO",G79,IFERROR(_xlfn.XLOOKUP($B73,Equipo[DESCRIPCION],Equipo[VALOR],,0),""))</f>
        <v>13507.158186600003</v>
      </c>
      <c r="F73" s="33"/>
      <c r="G73" s="34">
        <f>IFERROR(IF(F73&gt;=0,D73*E73*(1+F73/100),ABS(D73*E73/F73)),"")</f>
        <v>1350.7158186600004</v>
      </c>
      <c r="H73" s="43">
        <f>IFERROR(G73*E64,"")</f>
        <v>0</v>
      </c>
    </row>
    <row r="74" spans="1:8">
      <c r="A74" s="28"/>
      <c r="B74" s="29" t="s">
        <v>3570</v>
      </c>
      <c r="C74" s="30" t="str">
        <f>IFERROR(_xlfn.XLOOKUP(B74,Equipo[DESCRIPCION],Equipo[UND],,0),"")</f>
        <v>%MO</v>
      </c>
      <c r="D74" s="31">
        <v>0.04</v>
      </c>
      <c r="E74" s="32">
        <f>IF(C74="%MO",G79,IFERROR(_xlfn.XLOOKUP($B74,Equipo[DESCRIPCION],Equipo[VALOR],,0),""))</f>
        <v>13507.158186600003</v>
      </c>
      <c r="F74" s="33"/>
      <c r="G74" s="34">
        <f>IFERROR(IF(F74&gt;=0,D74*E74*(1+F74/100),ABS(D74*E74/F74)),"")</f>
        <v>540.28632746400012</v>
      </c>
      <c r="H74" s="43">
        <f>IFERROR(G74*E64,"")</f>
        <v>0</v>
      </c>
    </row>
    <row r="75" spans="1:8">
      <c r="A75" s="28"/>
      <c r="B75" s="29" t="s">
        <v>3626</v>
      </c>
      <c r="C75" s="30" t="str">
        <f>IFERROR(_xlfn.XLOOKUP(B75,Equipo[DESCRIPCION],Equipo[UND],,0),"")</f>
        <v>%MO</v>
      </c>
      <c r="D75" s="31">
        <v>0.05</v>
      </c>
      <c r="E75" s="32">
        <f>IF(C75="%MO",G79,IFERROR(_xlfn.XLOOKUP($B75,Equipo[DESCRIPCION],Equipo[VALOR],,0),""))</f>
        <v>13507.158186600003</v>
      </c>
      <c r="F75" s="33"/>
      <c r="G75" s="34">
        <f>IFERROR(IF(F75&gt;=0,D75*E75*(1+F75/100),ABS(D75*E75/F75)),"")</f>
        <v>675.35790933000021</v>
      </c>
      <c r="H75" s="43">
        <f>IFERROR(G75*E64,"")</f>
        <v>0</v>
      </c>
    </row>
    <row r="76" spans="1:8">
      <c r="A76" s="21"/>
      <c r="B76" s="22" t="s">
        <v>2533</v>
      </c>
      <c r="C76" s="23"/>
      <c r="D76" s="24"/>
      <c r="E76" s="25"/>
      <c r="F76" s="26"/>
      <c r="G76" s="27">
        <f>SUM(G77:G78)</f>
        <v>0</v>
      </c>
      <c r="H76" s="27">
        <f>IFERROR(G76*E64,"")</f>
        <v>0</v>
      </c>
    </row>
    <row r="77" spans="1:8">
      <c r="A77" s="28"/>
      <c r="B77" s="29"/>
      <c r="C77" s="30" t="str">
        <f>IFERROR(_xlfn.XLOOKUP(B77,Transporte[DESCRIPCION],Transporte[UND],,0),"")</f>
        <v/>
      </c>
      <c r="D77" s="31"/>
      <c r="E77" s="32" t="str">
        <f>IFERROR(_xlfn.XLOOKUP($B77,Transporte[DESCRIPCION],Transporte[VALOR],,0),"")</f>
        <v/>
      </c>
      <c r="F77" s="33"/>
      <c r="G77" s="34" t="str">
        <f>IFERROR(IF(F77&gt;=0,D77*E77*(1+F77/100),ABS(D77*E77/F77)),"")</f>
        <v/>
      </c>
      <c r="H77" s="43" t="str">
        <f>IFERROR(G77*E64,"")</f>
        <v/>
      </c>
    </row>
    <row r="78" spans="1:8">
      <c r="A78" s="28"/>
      <c r="B78" s="29"/>
      <c r="C78" s="30" t="str">
        <f>IFERROR(_xlfn.XLOOKUP(B78,Transporte[DESCRIPCION],Transporte[UND],,0),"")</f>
        <v/>
      </c>
      <c r="D78" s="31"/>
      <c r="E78" s="32" t="str">
        <f>IFERROR(_xlfn.XLOOKUP($B78,Transporte[DESCRIPCION],Transporte[VALOR],,0),"")</f>
        <v/>
      </c>
      <c r="F78" s="33"/>
      <c r="G78" s="34" t="str">
        <f>IFERROR(IF(F78&gt;=0,D78*E78*(1+F78/100),ABS(D78*E78/F78)),"")</f>
        <v/>
      </c>
      <c r="H78" s="43" t="str">
        <f>IFERROR(G78*E64,"")</f>
        <v/>
      </c>
    </row>
    <row r="79" spans="1:8">
      <c r="A79" s="21"/>
      <c r="B79" s="22" t="s">
        <v>3732</v>
      </c>
      <c r="C79" s="23"/>
      <c r="D79" s="24"/>
      <c r="E79" s="25"/>
      <c r="F79" s="26"/>
      <c r="G79" s="27">
        <f>SUM(G80:G82)</f>
        <v>13507.158186600003</v>
      </c>
      <c r="H79" s="27">
        <f>IFERROR(G79*E64,"")</f>
        <v>0</v>
      </c>
    </row>
    <row r="80" spans="1:8">
      <c r="A80" s="28"/>
      <c r="B80" s="29" t="s">
        <v>3715</v>
      </c>
      <c r="C80" s="30" t="str">
        <f>IFERROR(_xlfn.XLOOKUP(B80,MObra[DESCRIPCION],MObra[UN],,0),"")</f>
        <v>día</v>
      </c>
      <c r="D80" s="31">
        <v>1</v>
      </c>
      <c r="E80" s="32">
        <f>IFERROR(_xlfn.XLOOKUP($B80,MObra[DESCRIPCION],MObra[VALOR UNIT],,0),"")</f>
        <v>337678.95466500008</v>
      </c>
      <c r="F80" s="33">
        <v>-25</v>
      </c>
      <c r="G80" s="34">
        <f>IFERROR(IF(F80&gt;=0,D80*E80*(1+F80/100),ABS(D80*E80/F80)),"")</f>
        <v>13507.158186600003</v>
      </c>
      <c r="H80" s="43">
        <f>IFERROR(G80*E64,"")</f>
        <v>0</v>
      </c>
    </row>
    <row r="81" spans="1:11">
      <c r="A81" s="28"/>
      <c r="B81" s="29"/>
      <c r="C81" s="30" t="str">
        <f>IFERROR(_xlfn.XLOOKUP(B81,MObra[DESCRIPCION],MObra[UN],,0),"")</f>
        <v/>
      </c>
      <c r="D81" s="31"/>
      <c r="E81" s="32" t="str">
        <f>IFERROR(_xlfn.XLOOKUP($B81,MObra[DESCRIPCION],MObra[VALOR UNIT],,0),"")</f>
        <v/>
      </c>
      <c r="F81" s="33"/>
      <c r="G81" s="34" t="str">
        <f>IFERROR(IF(F81&gt;=0,D81*E81*(1+F81/100),ABS(D81*E81/F81)),"")</f>
        <v/>
      </c>
      <c r="H81" s="43" t="str">
        <f>IFERROR(G81*E64,"")</f>
        <v/>
      </c>
    </row>
    <row r="82" spans="1:11" ht="13.15" thickBot="1">
      <c r="A82" s="35"/>
      <c r="B82" s="36"/>
      <c r="C82" s="37" t="str">
        <f>IFERROR(_xlfn.XLOOKUP(B82,MObra[DESCRIPCION],MObra[UN],,0),"")</f>
        <v/>
      </c>
      <c r="D82" s="38"/>
      <c r="E82" s="39" t="str">
        <f>IFERROR(_xlfn.XLOOKUP($B82,MObra[DESCRIPCION],MObra[VALOR UNIT],,0),"")</f>
        <v/>
      </c>
      <c r="F82" s="40"/>
      <c r="G82" s="41" t="str">
        <f>IFERROR(IF(F82&gt;=0,D82*E82*(1+F82/100),ABS(D82*E82/F82)),"")</f>
        <v/>
      </c>
      <c r="H82" s="42" t="str">
        <f>IFERROR(G82*E64,"")</f>
        <v/>
      </c>
    </row>
    <row r="83" spans="1:11" ht="12.75" customHeight="1" thickTop="1" thickBot="1"/>
    <row r="84" spans="1:11" ht="13.5" thickTop="1" thickBot="1">
      <c r="A84" s="6" t="s">
        <v>2268</v>
      </c>
      <c r="B84" s="7" t="str">
        <f>VLOOKUP($A84,Presupuesto!$A:$D,2,FALSE())</f>
        <v>Acometida aerea  Al desnudo ACSR de 3 No. 4/0 AWG</v>
      </c>
      <c r="C84" s="8" t="str">
        <f>VLOOKUP($A84,Presupuesto!$A:$D,3,FALSE())</f>
        <v>M</v>
      </c>
      <c r="D84" s="9"/>
      <c r="E84" s="10">
        <f>VLOOKUP($A84,Presupuesto!$A:$D,4,FALSE())</f>
        <v>0</v>
      </c>
      <c r="F84" s="11" t="s">
        <v>2589</v>
      </c>
      <c r="G84" s="12">
        <f>SUM(G86:G102)/2</f>
        <v>45456.718242053998</v>
      </c>
      <c r="H84" s="13">
        <f>ROUND(SUM(H86:H102),0)/2</f>
        <v>0</v>
      </c>
      <c r="I84" s="10">
        <f>VLOOKUP(A84,Presupuesto!$A:$F,6,0)</f>
        <v>0</v>
      </c>
      <c r="J84" s="10">
        <f>+H84-I84</f>
        <v>0</v>
      </c>
      <c r="K84" s="46">
        <f>+H84-G84*E84</f>
        <v>0</v>
      </c>
    </row>
    <row r="85" spans="1:11" ht="13.15" thickTop="1">
      <c r="A85" s="14"/>
      <c r="B85" s="15" t="s">
        <v>2586</v>
      </c>
      <c r="C85" s="15" t="s">
        <v>5</v>
      </c>
      <c r="D85" s="16" t="s">
        <v>6</v>
      </c>
      <c r="E85" s="17" t="s">
        <v>7</v>
      </c>
      <c r="F85" s="18" t="s">
        <v>3728</v>
      </c>
      <c r="G85" s="19" t="s">
        <v>3729</v>
      </c>
      <c r="H85" s="20" t="s">
        <v>3797</v>
      </c>
    </row>
    <row r="86" spans="1:11">
      <c r="A86" s="21"/>
      <c r="B86" s="22" t="s">
        <v>3730</v>
      </c>
      <c r="C86" s="23"/>
      <c r="D86" s="24"/>
      <c r="E86" s="25"/>
      <c r="F86" s="26"/>
      <c r="G86" s="27">
        <f>SUM(G87:G91)</f>
        <v>29383.199999999997</v>
      </c>
      <c r="H86" s="27">
        <f>IFERROR(G86*E84,"")</f>
        <v>0</v>
      </c>
    </row>
    <row r="87" spans="1:11">
      <c r="A87" s="28"/>
      <c r="B87" s="29" t="s">
        <v>2782</v>
      </c>
      <c r="C87" s="30" t="str">
        <f>IFERROR(_xlfn.XLOOKUP(B87,Insumo[DESCRIPCION],Insumo[UND],,0),"")</f>
        <v>M</v>
      </c>
      <c r="D87" s="31">
        <v>3</v>
      </c>
      <c r="E87" s="32">
        <f>IFERROR(_xlfn.XLOOKUP($B87,Insumo[DESCRIPCION],Insumo[VALOR],,0),"")</f>
        <v>9794.4</v>
      </c>
      <c r="F87" s="33"/>
      <c r="G87" s="34">
        <f>IFERROR(IF(F87&gt;=0,D87*E87*(1+F87/100),ABS(D87*E87/F87)),"")</f>
        <v>29383.199999999997</v>
      </c>
      <c r="H87" s="43">
        <f>IFERROR(G87*E84,"")</f>
        <v>0</v>
      </c>
    </row>
    <row r="88" spans="1:11">
      <c r="A88" s="28"/>
      <c r="B88" s="29"/>
      <c r="C88" s="30" t="str">
        <f>IFERROR(_xlfn.XLOOKUP(B88,Insumo[DESCRIPCION],Insumo[UND],,0),"")</f>
        <v/>
      </c>
      <c r="D88" s="31"/>
      <c r="E88" s="32" t="str">
        <f>IFERROR(_xlfn.XLOOKUP($B88,Insumo[DESCRIPCION],Insumo[VALOR],,0),"")</f>
        <v/>
      </c>
      <c r="F88" s="33"/>
      <c r="G88" s="34" t="str">
        <f>IFERROR(IF(F88&gt;=0,D88*E88*(1+F88/100),ABS(D88*E88/F88)),"")</f>
        <v/>
      </c>
      <c r="H88" s="43" t="str">
        <f>IFERROR(G88*E84,"")</f>
        <v/>
      </c>
    </row>
    <row r="89" spans="1:11">
      <c r="A89" s="28"/>
      <c r="B89" s="29"/>
      <c r="C89" s="30" t="str">
        <f>IFERROR(_xlfn.XLOOKUP(B89,Insumo[DESCRIPCION],Insumo[UND],,0),"")</f>
        <v/>
      </c>
      <c r="D89" s="31"/>
      <c r="E89" s="32" t="str">
        <f>IFERROR(_xlfn.XLOOKUP($B89,Insumo[DESCRIPCION],Insumo[VALOR],,0),"")</f>
        <v/>
      </c>
      <c r="F89" s="33"/>
      <c r="G89" s="34" t="str">
        <f>IFERROR(IF(F89&gt;=0,D89*E89*(1+F89/100),ABS(D89*E89/F89)),"")</f>
        <v/>
      </c>
      <c r="H89" s="43" t="str">
        <f>IFERROR(G89*E84,"")</f>
        <v/>
      </c>
    </row>
    <row r="90" spans="1:11">
      <c r="A90" s="28"/>
      <c r="B90" s="29"/>
      <c r="C90" s="30" t="str">
        <f>IFERROR(_xlfn.XLOOKUP(B90,Insumo[DESCRIPCION],Insumo[UND],,0),"")</f>
        <v/>
      </c>
      <c r="D90" s="31"/>
      <c r="E90" s="32" t="str">
        <f>IFERROR(_xlfn.XLOOKUP($B90,Insumo[DESCRIPCION],Insumo[VALOR],,0),"")</f>
        <v/>
      </c>
      <c r="F90" s="33"/>
      <c r="G90" s="34" t="str">
        <f>IFERROR(IF(F90&gt;=0,D90*E90*(1+F90/100),ABS(D90*E90/F90)),"")</f>
        <v/>
      </c>
      <c r="H90" s="43" t="str">
        <f>IFERROR(G90*E84,"")</f>
        <v/>
      </c>
    </row>
    <row r="91" spans="1:11">
      <c r="A91" s="28"/>
      <c r="B91" s="29"/>
      <c r="C91" s="30" t="str">
        <f>IFERROR(_xlfn.XLOOKUP(B91,Insumo[DESCRIPCION],Insumo[UND],,0),"")</f>
        <v/>
      </c>
      <c r="D91" s="31"/>
      <c r="E91" s="32" t="str">
        <f>IFERROR(_xlfn.XLOOKUP($B91,Insumo[DESCRIPCION],Insumo[VALOR],,0),"")</f>
        <v/>
      </c>
      <c r="F91" s="33"/>
      <c r="G91" s="34" t="str">
        <f>IFERROR(IF(F91&gt;=0,D91*E91*(1+F91/100),ABS(D91*E91/F91)),"")</f>
        <v/>
      </c>
      <c r="H91" s="43" t="str">
        <f>IFERROR(G91*E84,"")</f>
        <v/>
      </c>
    </row>
    <row r="92" spans="1:11">
      <c r="A92" s="21"/>
      <c r="B92" s="22" t="s">
        <v>3731</v>
      </c>
      <c r="C92" s="23"/>
      <c r="D92" s="24"/>
      <c r="E92" s="25"/>
      <c r="F92" s="26"/>
      <c r="G92" s="27">
        <f>SUM(G93:G95)</f>
        <v>2566.3600554540008</v>
      </c>
      <c r="H92" s="27">
        <f>IFERROR(G92*E84,"")</f>
        <v>0</v>
      </c>
    </row>
    <row r="93" spans="1:11">
      <c r="A93" s="28"/>
      <c r="B93" s="29" t="s">
        <v>3573</v>
      </c>
      <c r="C93" s="30" t="str">
        <f>IFERROR(_xlfn.XLOOKUP(B93,Equipo[DESCRIPCION],Equipo[UND],,0),"")</f>
        <v>%MO</v>
      </c>
      <c r="D93" s="31">
        <v>0.1</v>
      </c>
      <c r="E93" s="32">
        <f>IF(C93="%MO",G99,IFERROR(_xlfn.XLOOKUP($B93,Equipo[DESCRIPCION],Equipo[VALOR],,0),""))</f>
        <v>13507.158186600003</v>
      </c>
      <c r="F93" s="33"/>
      <c r="G93" s="34">
        <f>IFERROR(IF(F93&gt;=0,D93*E93*(1+F93/100),ABS(D93*E93/F93)),"")</f>
        <v>1350.7158186600004</v>
      </c>
      <c r="H93" s="43">
        <f>IFERROR(G93*E84,"")</f>
        <v>0</v>
      </c>
    </row>
    <row r="94" spans="1:11">
      <c r="A94" s="28"/>
      <c r="B94" s="29" t="s">
        <v>3570</v>
      </c>
      <c r="C94" s="30" t="str">
        <f>IFERROR(_xlfn.XLOOKUP(B94,Equipo[DESCRIPCION],Equipo[UND],,0),"")</f>
        <v>%MO</v>
      </c>
      <c r="D94" s="31">
        <v>0.04</v>
      </c>
      <c r="E94" s="32">
        <f>IF(C94="%MO",G99,IFERROR(_xlfn.XLOOKUP($B94,Equipo[DESCRIPCION],Equipo[VALOR],,0),""))</f>
        <v>13507.158186600003</v>
      </c>
      <c r="F94" s="33"/>
      <c r="G94" s="34">
        <f>IFERROR(IF(F94&gt;=0,D94*E94*(1+F94/100),ABS(D94*E94/F94)),"")</f>
        <v>540.28632746400012</v>
      </c>
      <c r="H94" s="43">
        <f>IFERROR(G94*E84,"")</f>
        <v>0</v>
      </c>
    </row>
    <row r="95" spans="1:11">
      <c r="A95" s="28"/>
      <c r="B95" s="29" t="s">
        <v>3626</v>
      </c>
      <c r="C95" s="30" t="str">
        <f>IFERROR(_xlfn.XLOOKUP(B95,Equipo[DESCRIPCION],Equipo[UND],,0),"")</f>
        <v>%MO</v>
      </c>
      <c r="D95" s="31">
        <v>0.05</v>
      </c>
      <c r="E95" s="32">
        <f>IF(C95="%MO",G99,IFERROR(_xlfn.XLOOKUP($B95,Equipo[DESCRIPCION],Equipo[VALOR],,0),""))</f>
        <v>13507.158186600003</v>
      </c>
      <c r="F95" s="33"/>
      <c r="G95" s="34">
        <f>IFERROR(IF(F95&gt;=0,D95*E95*(1+F95/100),ABS(D95*E95/F95)),"")</f>
        <v>675.35790933000021</v>
      </c>
      <c r="H95" s="43">
        <f>IFERROR(G95*E84,"")</f>
        <v>0</v>
      </c>
    </row>
    <row r="96" spans="1:11">
      <c r="A96" s="21"/>
      <c r="B96" s="22" t="s">
        <v>2533</v>
      </c>
      <c r="C96" s="23"/>
      <c r="D96" s="24"/>
      <c r="E96" s="25"/>
      <c r="F96" s="26"/>
      <c r="G96" s="27">
        <f>SUM(G97:G98)</f>
        <v>0</v>
      </c>
      <c r="H96" s="27">
        <f>IFERROR(G96*E84,"")</f>
        <v>0</v>
      </c>
    </row>
    <row r="97" spans="1:11">
      <c r="A97" s="28"/>
      <c r="B97" s="29"/>
      <c r="C97" s="30" t="str">
        <f>IFERROR(_xlfn.XLOOKUP(B97,Transporte[DESCRIPCION],Transporte[UND],,0),"")</f>
        <v/>
      </c>
      <c r="D97" s="31"/>
      <c r="E97" s="32" t="str">
        <f>IFERROR(_xlfn.XLOOKUP($B97,Transporte[DESCRIPCION],Transporte[VALOR],,0),"")</f>
        <v/>
      </c>
      <c r="F97" s="33"/>
      <c r="G97" s="34" t="str">
        <f>IFERROR(IF(F97&gt;=0,D97*E97*(1+F97/100),ABS(D97*E97/F97)),"")</f>
        <v/>
      </c>
      <c r="H97" s="43" t="str">
        <f>IFERROR(G97*E84,"")</f>
        <v/>
      </c>
    </row>
    <row r="98" spans="1:11">
      <c r="A98" s="28"/>
      <c r="B98" s="29"/>
      <c r="C98" s="30" t="str">
        <f>IFERROR(_xlfn.XLOOKUP(B98,Transporte[DESCRIPCION],Transporte[UND],,0),"")</f>
        <v/>
      </c>
      <c r="D98" s="31"/>
      <c r="E98" s="32" t="str">
        <f>IFERROR(_xlfn.XLOOKUP($B98,Transporte[DESCRIPCION],Transporte[VALOR],,0),"")</f>
        <v/>
      </c>
      <c r="F98" s="33"/>
      <c r="G98" s="34" t="str">
        <f>IFERROR(IF(F98&gt;=0,D98*E98*(1+F98/100),ABS(D98*E98/F98)),"")</f>
        <v/>
      </c>
      <c r="H98" s="43" t="str">
        <f>IFERROR(G98*E84,"")</f>
        <v/>
      </c>
    </row>
    <row r="99" spans="1:11">
      <c r="A99" s="21"/>
      <c r="B99" s="22" t="s">
        <v>3732</v>
      </c>
      <c r="C99" s="23"/>
      <c r="D99" s="24"/>
      <c r="E99" s="25"/>
      <c r="F99" s="26"/>
      <c r="G99" s="27">
        <f>SUM(G100:G102)</f>
        <v>13507.158186600003</v>
      </c>
      <c r="H99" s="27">
        <f>IFERROR(G99*E84,"")</f>
        <v>0</v>
      </c>
    </row>
    <row r="100" spans="1:11">
      <c r="A100" s="28"/>
      <c r="B100" s="29" t="s">
        <v>3715</v>
      </c>
      <c r="C100" s="30" t="str">
        <f>IFERROR(_xlfn.XLOOKUP(B100,MObra[DESCRIPCION],MObra[UN],,0),"")</f>
        <v>día</v>
      </c>
      <c r="D100" s="31">
        <v>1</v>
      </c>
      <c r="E100" s="32">
        <f>IFERROR(_xlfn.XLOOKUP($B100,MObra[DESCRIPCION],MObra[VALOR UNIT],,0),"")</f>
        <v>337678.95466500008</v>
      </c>
      <c r="F100" s="33">
        <v>-25</v>
      </c>
      <c r="G100" s="34">
        <f>IFERROR(IF(F100&gt;=0,D100*E100*(1+F100/100),ABS(D100*E100/F100)),"")</f>
        <v>13507.158186600003</v>
      </c>
      <c r="H100" s="43">
        <f>IFERROR(G100*E84,"")</f>
        <v>0</v>
      </c>
    </row>
    <row r="101" spans="1:11">
      <c r="A101" s="28"/>
      <c r="B101" s="29"/>
      <c r="C101" s="30" t="str">
        <f>IFERROR(_xlfn.XLOOKUP(B101,MObra[DESCRIPCION],MObra[UN],,0),"")</f>
        <v/>
      </c>
      <c r="D101" s="31"/>
      <c r="E101" s="32" t="str">
        <f>IFERROR(_xlfn.XLOOKUP($B101,MObra[DESCRIPCION],MObra[VALOR UNIT],,0),"")</f>
        <v/>
      </c>
      <c r="F101" s="33"/>
      <c r="G101" s="34" t="str">
        <f>IFERROR(IF(F101&gt;=0,D101*E101*(1+F101/100),ABS(D101*E101/F101)),"")</f>
        <v/>
      </c>
      <c r="H101" s="43" t="str">
        <f>IFERROR(G101*E84,"")</f>
        <v/>
      </c>
    </row>
    <row r="102" spans="1:11" ht="13.15" thickBot="1">
      <c r="A102" s="35"/>
      <c r="B102" s="36"/>
      <c r="C102" s="37" t="str">
        <f>IFERROR(_xlfn.XLOOKUP(B102,MObra[DESCRIPCION],MObra[UN],,0),"")</f>
        <v/>
      </c>
      <c r="D102" s="38"/>
      <c r="E102" s="39" t="str">
        <f>IFERROR(_xlfn.XLOOKUP($B102,MObra[DESCRIPCION],MObra[VALOR UNIT],,0),"")</f>
        <v/>
      </c>
      <c r="F102" s="40"/>
      <c r="G102" s="41" t="str">
        <f>IFERROR(IF(F102&gt;=0,D102*E102*(1+F102/100),ABS(D102*E102/F102)),"")</f>
        <v/>
      </c>
      <c r="H102" s="42" t="str">
        <f>IFERROR(G102*E84,"")</f>
        <v/>
      </c>
    </row>
    <row r="103" spans="1:11" ht="12.75" customHeight="1" thickTop="1" thickBot="1"/>
    <row r="104" spans="1:11" ht="13.5" thickTop="1" thickBot="1">
      <c r="A104" s="6" t="s">
        <v>2270</v>
      </c>
      <c r="B104" s="7" t="str">
        <f>VLOOKUP($A104,Presupuesto!$A:$D,2,FALSE())</f>
        <v xml:space="preserve">Acometida Al Semislado ACSR ecologico de 3 x XLPE No. 4/0 THW, 35 KV </v>
      </c>
      <c r="C104" s="8" t="str">
        <f>VLOOKUP($A104,Presupuesto!$A:$D,3,FALSE())</f>
        <v>M</v>
      </c>
      <c r="D104" s="9"/>
      <c r="E104" s="10">
        <f>VLOOKUP($A104,Presupuesto!$A:$D,4,FALSE())</f>
        <v>0</v>
      </c>
      <c r="F104" s="11" t="s">
        <v>2589</v>
      </c>
      <c r="G104" s="12">
        <f>SUM(G106:G122)/2</f>
        <v>716639.19707008998</v>
      </c>
      <c r="H104" s="13">
        <f>ROUND(SUM(H106:H122),0)/2</f>
        <v>0</v>
      </c>
      <c r="I104" s="10">
        <f>VLOOKUP(A104,Presupuesto!$A:$F,6,0)</f>
        <v>0</v>
      </c>
      <c r="J104" s="10">
        <f>+H104-I104</f>
        <v>0</v>
      </c>
      <c r="K104" s="46">
        <f>+H104-G104*E104</f>
        <v>0</v>
      </c>
    </row>
    <row r="105" spans="1:11" ht="13.15" thickTop="1">
      <c r="A105" s="14"/>
      <c r="B105" s="15" t="s">
        <v>2586</v>
      </c>
      <c r="C105" s="15" t="s">
        <v>5</v>
      </c>
      <c r="D105" s="16" t="s">
        <v>6</v>
      </c>
      <c r="E105" s="17" t="s">
        <v>7</v>
      </c>
      <c r="F105" s="18" t="s">
        <v>3728</v>
      </c>
      <c r="G105" s="19" t="s">
        <v>3729</v>
      </c>
      <c r="H105" s="20" t="s">
        <v>3797</v>
      </c>
    </row>
    <row r="106" spans="1:11">
      <c r="A106" s="21"/>
      <c r="B106" s="22" t="s">
        <v>3730</v>
      </c>
      <c r="C106" s="23"/>
      <c r="D106" s="24"/>
      <c r="E106" s="25"/>
      <c r="F106" s="26"/>
      <c r="G106" s="27">
        <f>SUM(G107:G111)</f>
        <v>689850</v>
      </c>
      <c r="H106" s="27">
        <f>IFERROR(G106*E104,"")</f>
        <v>0</v>
      </c>
    </row>
    <row r="107" spans="1:11">
      <c r="A107" s="28"/>
      <c r="B107" s="29" t="s">
        <v>2791</v>
      </c>
      <c r="C107" s="30" t="str">
        <f>IFERROR(_xlfn.XLOOKUP(B107,Insumo[DESCRIPCION],Insumo[UND],,0),"")</f>
        <v>M</v>
      </c>
      <c r="D107" s="31">
        <v>3</v>
      </c>
      <c r="E107" s="32">
        <f>IFERROR(_xlfn.XLOOKUP($B107,Insumo[DESCRIPCION],Insumo[VALOR],,0),"")</f>
        <v>229950</v>
      </c>
      <c r="F107" s="33"/>
      <c r="G107" s="34">
        <f>IFERROR(IF(F107&gt;=0,D107*E107*(1+F107/100),ABS(D107*E107/F107)),"")</f>
        <v>689850</v>
      </c>
      <c r="H107" s="43">
        <f>IFERROR(G107*E104,"")</f>
        <v>0</v>
      </c>
    </row>
    <row r="108" spans="1:11">
      <c r="A108" s="28"/>
      <c r="B108" s="29"/>
      <c r="C108" s="30" t="str">
        <f>IFERROR(_xlfn.XLOOKUP(B108,Insumo[DESCRIPCION],Insumo[UND],,0),"")</f>
        <v/>
      </c>
      <c r="D108" s="31"/>
      <c r="E108" s="32" t="str">
        <f>IFERROR(_xlfn.XLOOKUP($B108,Insumo[DESCRIPCION],Insumo[VALOR],,0),"")</f>
        <v/>
      </c>
      <c r="F108" s="33"/>
      <c r="G108" s="34" t="str">
        <f>IFERROR(IF(F108&gt;=0,D108*E108*(1+F108/100),ABS(D108*E108/F108)),"")</f>
        <v/>
      </c>
      <c r="H108" s="43" t="str">
        <f>IFERROR(G108*E104,"")</f>
        <v/>
      </c>
    </row>
    <row r="109" spans="1:11">
      <c r="A109" s="28"/>
      <c r="B109" s="29"/>
      <c r="C109" s="30" t="str">
        <f>IFERROR(_xlfn.XLOOKUP(B109,Insumo[DESCRIPCION],Insumo[UND],,0),"")</f>
        <v/>
      </c>
      <c r="D109" s="31"/>
      <c r="E109" s="32" t="str">
        <f>IFERROR(_xlfn.XLOOKUP($B109,Insumo[DESCRIPCION],Insumo[VALOR],,0),"")</f>
        <v/>
      </c>
      <c r="F109" s="33"/>
      <c r="G109" s="34" t="str">
        <f>IFERROR(IF(F109&gt;=0,D109*E109*(1+F109/100),ABS(D109*E109/F109)),"")</f>
        <v/>
      </c>
      <c r="H109" s="43" t="str">
        <f>IFERROR(G109*E104,"")</f>
        <v/>
      </c>
    </row>
    <row r="110" spans="1:11">
      <c r="A110" s="28"/>
      <c r="B110" s="29"/>
      <c r="C110" s="30" t="str">
        <f>IFERROR(_xlfn.XLOOKUP(B110,Insumo[DESCRIPCION],Insumo[UND],,0),"")</f>
        <v/>
      </c>
      <c r="D110" s="31"/>
      <c r="E110" s="32" t="str">
        <f>IFERROR(_xlfn.XLOOKUP($B110,Insumo[DESCRIPCION],Insumo[VALOR],,0),"")</f>
        <v/>
      </c>
      <c r="F110" s="33"/>
      <c r="G110" s="34" t="str">
        <f>IFERROR(IF(F110&gt;=0,D110*E110*(1+F110/100),ABS(D110*E110/F110)),"")</f>
        <v/>
      </c>
      <c r="H110" s="43" t="str">
        <f>IFERROR(G110*E104,"")</f>
        <v/>
      </c>
    </row>
    <row r="111" spans="1:11">
      <c r="A111" s="28"/>
      <c r="B111" s="29"/>
      <c r="C111" s="30" t="str">
        <f>IFERROR(_xlfn.XLOOKUP(B111,Insumo[DESCRIPCION],Insumo[UND],,0),"")</f>
        <v/>
      </c>
      <c r="D111" s="31"/>
      <c r="E111" s="32" t="str">
        <f>IFERROR(_xlfn.XLOOKUP($B111,Insumo[DESCRIPCION],Insumo[VALOR],,0),"")</f>
        <v/>
      </c>
      <c r="F111" s="33"/>
      <c r="G111" s="34" t="str">
        <f>IFERROR(IF(F111&gt;=0,D111*E111*(1+F111/100),ABS(D111*E111/F111)),"")</f>
        <v/>
      </c>
      <c r="H111" s="43" t="str">
        <f>IFERROR(G111*E104,"")</f>
        <v/>
      </c>
    </row>
    <row r="112" spans="1:11">
      <c r="A112" s="21"/>
      <c r="B112" s="22" t="s">
        <v>3731</v>
      </c>
      <c r="C112" s="23"/>
      <c r="D112" s="24"/>
      <c r="E112" s="25"/>
      <c r="F112" s="26"/>
      <c r="G112" s="27">
        <f>SUM(G113:G115)</f>
        <v>4277.2667590900019</v>
      </c>
      <c r="H112" s="27">
        <f>IFERROR(G112*E104,"")</f>
        <v>0</v>
      </c>
    </row>
    <row r="113" spans="1:11">
      <c r="A113" s="28"/>
      <c r="B113" s="29" t="s">
        <v>3573</v>
      </c>
      <c r="C113" s="30" t="str">
        <f>IFERROR(_xlfn.XLOOKUP(B113,Equipo[DESCRIPCION],Equipo[UND],,0),"")</f>
        <v>%MO</v>
      </c>
      <c r="D113" s="31">
        <v>0.1</v>
      </c>
      <c r="E113" s="32">
        <f>IF(C113="%MO",G119,IFERROR(_xlfn.XLOOKUP($B113,Equipo[DESCRIPCION],Equipo[VALOR],,0),""))</f>
        <v>22511.930311000007</v>
      </c>
      <c r="F113" s="33"/>
      <c r="G113" s="34">
        <f>IFERROR(IF(F113&gt;=0,D113*E113*(1+F113/100),ABS(D113*E113/F113)),"")</f>
        <v>2251.193031100001</v>
      </c>
      <c r="H113" s="43">
        <f>IFERROR(G113*E104,"")</f>
        <v>0</v>
      </c>
    </row>
    <row r="114" spans="1:11">
      <c r="A114" s="28"/>
      <c r="B114" s="29" t="s">
        <v>3570</v>
      </c>
      <c r="C114" s="30" t="str">
        <f>IFERROR(_xlfn.XLOOKUP(B114,Equipo[DESCRIPCION],Equipo[UND],,0),"")</f>
        <v>%MO</v>
      </c>
      <c r="D114" s="31">
        <v>0.04</v>
      </c>
      <c r="E114" s="32">
        <f>IF(C114="%MO",G119,IFERROR(_xlfn.XLOOKUP($B114,Equipo[DESCRIPCION],Equipo[VALOR],,0),""))</f>
        <v>22511.930311000007</v>
      </c>
      <c r="F114" s="33"/>
      <c r="G114" s="34">
        <f>IFERROR(IF(F114&gt;=0,D114*E114*(1+F114/100),ABS(D114*E114/F114)),"")</f>
        <v>900.47721244000036</v>
      </c>
      <c r="H114" s="43">
        <f>IFERROR(G114*E104,"")</f>
        <v>0</v>
      </c>
    </row>
    <row r="115" spans="1:11">
      <c r="A115" s="28"/>
      <c r="B115" s="29" t="s">
        <v>3626</v>
      </c>
      <c r="C115" s="30" t="str">
        <f>IFERROR(_xlfn.XLOOKUP(B115,Equipo[DESCRIPCION],Equipo[UND],,0),"")</f>
        <v>%MO</v>
      </c>
      <c r="D115" s="31">
        <v>0.05</v>
      </c>
      <c r="E115" s="32">
        <f>IF(C115="%MO",G119,IFERROR(_xlfn.XLOOKUP($B115,Equipo[DESCRIPCION],Equipo[VALOR],,0),""))</f>
        <v>22511.930311000007</v>
      </c>
      <c r="F115" s="33"/>
      <c r="G115" s="34">
        <f>IFERROR(IF(F115&gt;=0,D115*E115*(1+F115/100),ABS(D115*E115/F115)),"")</f>
        <v>1125.5965155500005</v>
      </c>
      <c r="H115" s="43">
        <f>IFERROR(G115*E104,"")</f>
        <v>0</v>
      </c>
    </row>
    <row r="116" spans="1:11">
      <c r="A116" s="21"/>
      <c r="B116" s="22" t="s">
        <v>2533</v>
      </c>
      <c r="C116" s="23"/>
      <c r="D116" s="24"/>
      <c r="E116" s="25"/>
      <c r="F116" s="26"/>
      <c r="G116" s="27">
        <f>SUM(G117:G118)</f>
        <v>0</v>
      </c>
      <c r="H116" s="27">
        <f>IFERROR(G116*E104,"")</f>
        <v>0</v>
      </c>
    </row>
    <row r="117" spans="1:11">
      <c r="A117" s="28"/>
      <c r="B117" s="29"/>
      <c r="C117" s="30" t="str">
        <f>IFERROR(_xlfn.XLOOKUP(B117,Transporte[DESCRIPCION],Transporte[UND],,0),"")</f>
        <v/>
      </c>
      <c r="D117" s="31"/>
      <c r="E117" s="32" t="str">
        <f>IFERROR(_xlfn.XLOOKUP($B117,Transporte[DESCRIPCION],Transporte[VALOR],,0),"")</f>
        <v/>
      </c>
      <c r="F117" s="33"/>
      <c r="G117" s="34" t="str">
        <f>IFERROR(IF(F117&gt;=0,D117*E117*(1+F117/100),ABS(D117*E117/F117)),"")</f>
        <v/>
      </c>
      <c r="H117" s="43" t="str">
        <f>IFERROR(G117*E104,"")</f>
        <v/>
      </c>
    </row>
    <row r="118" spans="1:11">
      <c r="A118" s="28"/>
      <c r="B118" s="29"/>
      <c r="C118" s="30" t="str">
        <f>IFERROR(_xlfn.XLOOKUP(B118,Transporte[DESCRIPCION],Transporte[UND],,0),"")</f>
        <v/>
      </c>
      <c r="D118" s="31"/>
      <c r="E118" s="32" t="str">
        <f>IFERROR(_xlfn.XLOOKUP($B118,Transporte[DESCRIPCION],Transporte[VALOR],,0),"")</f>
        <v/>
      </c>
      <c r="F118" s="33"/>
      <c r="G118" s="34" t="str">
        <f>IFERROR(IF(F118&gt;=0,D118*E118*(1+F118/100),ABS(D118*E118/F118)),"")</f>
        <v/>
      </c>
      <c r="H118" s="43" t="str">
        <f>IFERROR(G118*E104,"")</f>
        <v/>
      </c>
    </row>
    <row r="119" spans="1:11">
      <c r="A119" s="21"/>
      <c r="B119" s="22" t="s">
        <v>3732</v>
      </c>
      <c r="C119" s="23"/>
      <c r="D119" s="24"/>
      <c r="E119" s="25"/>
      <c r="F119" s="26"/>
      <c r="G119" s="27">
        <f>SUM(G120:G122)</f>
        <v>22511.930311000007</v>
      </c>
      <c r="H119" s="27">
        <f>IFERROR(G119*E104,"")</f>
        <v>0</v>
      </c>
    </row>
    <row r="120" spans="1:11">
      <c r="A120" s="28"/>
      <c r="B120" s="29" t="s">
        <v>3715</v>
      </c>
      <c r="C120" s="30" t="str">
        <f>IFERROR(_xlfn.XLOOKUP(B120,MObra[DESCRIPCION],MObra[UN],,0),"")</f>
        <v>día</v>
      </c>
      <c r="D120" s="31">
        <v>1</v>
      </c>
      <c r="E120" s="32">
        <f>IFERROR(_xlfn.XLOOKUP($B120,MObra[DESCRIPCION],MObra[VALOR UNIT],,0),"")</f>
        <v>337678.95466500008</v>
      </c>
      <c r="F120" s="33">
        <v>-15</v>
      </c>
      <c r="G120" s="34">
        <f>IFERROR(IF(F120&gt;=0,D120*E120*(1+F120/100),ABS(D120*E120/F120)),"")</f>
        <v>22511.930311000007</v>
      </c>
      <c r="H120" s="43">
        <f>IFERROR(G120*E104,"")</f>
        <v>0</v>
      </c>
    </row>
    <row r="121" spans="1:11">
      <c r="A121" s="28"/>
      <c r="B121" s="29"/>
      <c r="C121" s="30" t="str">
        <f>IFERROR(_xlfn.XLOOKUP(B121,MObra[DESCRIPCION],MObra[UN],,0),"")</f>
        <v/>
      </c>
      <c r="D121" s="31"/>
      <c r="E121" s="32" t="str">
        <f>IFERROR(_xlfn.XLOOKUP($B121,MObra[DESCRIPCION],MObra[VALOR UNIT],,0),"")</f>
        <v/>
      </c>
      <c r="F121" s="33"/>
      <c r="G121" s="34" t="str">
        <f>IFERROR(IF(F121&gt;=0,D121*E121*(1+F121/100),ABS(D121*E121/F121)),"")</f>
        <v/>
      </c>
      <c r="H121" s="43" t="str">
        <f>IFERROR(G121*E104,"")</f>
        <v/>
      </c>
    </row>
    <row r="122" spans="1:11" ht="13.15" thickBot="1">
      <c r="A122" s="35"/>
      <c r="B122" s="36"/>
      <c r="C122" s="37" t="str">
        <f>IFERROR(_xlfn.XLOOKUP(B122,MObra[DESCRIPCION],MObra[UN],,0),"")</f>
        <v/>
      </c>
      <c r="D122" s="38"/>
      <c r="E122" s="39" t="str">
        <f>IFERROR(_xlfn.XLOOKUP($B122,MObra[DESCRIPCION],MObra[VALOR UNIT],,0),"")</f>
        <v/>
      </c>
      <c r="F122" s="40"/>
      <c r="G122" s="41" t="str">
        <f>IFERROR(IF(F122&gt;=0,D122*E122*(1+F122/100),ABS(D122*E122/F122)),"")</f>
        <v/>
      </c>
      <c r="H122" s="42" t="str">
        <f>IFERROR(G122*E104,"")</f>
        <v/>
      </c>
    </row>
    <row r="123" spans="1:11" ht="12.75" customHeight="1" thickTop="1" thickBot="1"/>
    <row r="124" spans="1:11" ht="13.5" thickTop="1" thickBot="1">
      <c r="A124" s="6" t="s">
        <v>2272</v>
      </c>
      <c r="B124" s="7" t="str">
        <f>VLOOKUP($A124,Presupuesto!$A:$D,2,FALSE())</f>
        <v>Acometida aluminio Serie 8000 2xNo4(F)+1xNo.6(T), sin ducto</v>
      </c>
      <c r="C124" s="8" t="str">
        <f>VLOOKUP($A124,Presupuesto!$A:$D,3,FALSE())</f>
        <v>M</v>
      </c>
      <c r="D124" s="9"/>
      <c r="E124" s="10">
        <f>VLOOKUP($A124,Presupuesto!$A:$D,4,FALSE())</f>
        <v>0</v>
      </c>
      <c r="F124" s="11" t="s">
        <v>2589</v>
      </c>
      <c r="G124" s="12">
        <f>SUM(G126:G142)/2</f>
        <v>29203.469694690793</v>
      </c>
      <c r="H124" s="13">
        <f>ROUND(SUM(H126:H142),0)/2</f>
        <v>0</v>
      </c>
      <c r="I124" s="10">
        <f>VLOOKUP(A124,Presupuesto!$A:$F,6,0)</f>
        <v>0</v>
      </c>
      <c r="J124" s="10">
        <f>+H124-I124</f>
        <v>0</v>
      </c>
      <c r="K124" s="46">
        <f>+H124-G124*E124</f>
        <v>0</v>
      </c>
    </row>
    <row r="125" spans="1:11">
      <c r="A125" s="14"/>
      <c r="B125" s="15" t="s">
        <v>2586</v>
      </c>
      <c r="C125" s="15" t="s">
        <v>5</v>
      </c>
      <c r="D125" s="16" t="s">
        <v>6</v>
      </c>
      <c r="E125" s="17" t="s">
        <v>7</v>
      </c>
      <c r="F125" s="18" t="s">
        <v>3728</v>
      </c>
      <c r="G125" s="19" t="s">
        <v>3729</v>
      </c>
      <c r="H125" s="20" t="s">
        <v>3797</v>
      </c>
    </row>
    <row r="126" spans="1:11">
      <c r="A126" s="21"/>
      <c r="B126" s="22" t="s">
        <v>3730</v>
      </c>
      <c r="C126" s="23"/>
      <c r="D126" s="24"/>
      <c r="E126" s="25"/>
      <c r="F126" s="26"/>
      <c r="G126" s="27">
        <f>SUM(G127:G131)</f>
        <v>19872.866999999998</v>
      </c>
      <c r="H126" s="27">
        <f>IFERROR(G126*E124,"")</f>
        <v>0</v>
      </c>
    </row>
    <row r="127" spans="1:11">
      <c r="A127" s="28"/>
      <c r="B127" s="29" t="s">
        <v>2783</v>
      </c>
      <c r="C127" s="30" t="str">
        <f>IFERROR(_xlfn.XLOOKUP(B127,Insumo[DESCRIPCION],Insumo[UND],,0),"")</f>
        <v>M</v>
      </c>
      <c r="D127" s="31">
        <v>2</v>
      </c>
      <c r="E127" s="32">
        <f>IFERROR(_xlfn.XLOOKUP($B127,Insumo[DESCRIPCION],Insumo[VALOR],,0),"")</f>
        <v>3941.7000000000003</v>
      </c>
      <c r="F127" s="33"/>
      <c r="G127" s="34">
        <f>IFERROR(IF(F127&gt;=0,D127*E127*(1+F127/100),ABS(D127*E127/F127)),"")</f>
        <v>7883.4000000000005</v>
      </c>
      <c r="H127" s="43">
        <f>IFERROR(G127*E124,"")</f>
        <v>0</v>
      </c>
    </row>
    <row r="128" spans="1:11">
      <c r="A128" s="28"/>
      <c r="B128" s="29" t="s">
        <v>2797</v>
      </c>
      <c r="C128" s="30" t="str">
        <f>IFERROR(_xlfn.XLOOKUP(B128,Insumo[DESCRIPCION],Insumo[UND],,0),"")</f>
        <v>M</v>
      </c>
      <c r="D128" s="31">
        <v>1</v>
      </c>
      <c r="E128" s="32">
        <f>IFERROR(_xlfn.XLOOKUP($B128,Insumo[DESCRIPCION],Insumo[VALOR],,0),"")</f>
        <v>11989.466999999999</v>
      </c>
      <c r="F128" s="33"/>
      <c r="G128" s="34">
        <f>IFERROR(IF(F128&gt;=0,D128*E128*(1+F128/100),ABS(D128*E128/F128)),"")</f>
        <v>11989.466999999999</v>
      </c>
      <c r="H128" s="43">
        <f>IFERROR(G128*E124,"")</f>
        <v>0</v>
      </c>
    </row>
    <row r="129" spans="1:11">
      <c r="A129" s="28"/>
      <c r="B129" s="29"/>
      <c r="C129" s="30" t="str">
        <f>IFERROR(_xlfn.XLOOKUP(B129,Insumo[DESCRIPCION],Insumo[UND],,0),"")</f>
        <v/>
      </c>
      <c r="D129" s="31"/>
      <c r="E129" s="32" t="str">
        <f>IFERROR(_xlfn.XLOOKUP($B129,Insumo[DESCRIPCION],Insumo[VALOR],,0),"")</f>
        <v/>
      </c>
      <c r="F129" s="33"/>
      <c r="G129" s="34" t="str">
        <f>IFERROR(IF(F129&gt;=0,D129*E129*(1+F129/100),ABS(D129*E129/F129)),"")</f>
        <v/>
      </c>
      <c r="H129" s="43" t="str">
        <f>IFERROR(G129*E124,"")</f>
        <v/>
      </c>
    </row>
    <row r="130" spans="1:11">
      <c r="A130" s="28"/>
      <c r="B130" s="29"/>
      <c r="C130" s="30" t="str">
        <f>IFERROR(_xlfn.XLOOKUP(B130,Insumo[DESCRIPCION],Insumo[UND],,0),"")</f>
        <v/>
      </c>
      <c r="D130" s="31"/>
      <c r="E130" s="32" t="str">
        <f>IFERROR(_xlfn.XLOOKUP($B130,Insumo[DESCRIPCION],Insumo[VALOR],,0),"")</f>
        <v/>
      </c>
      <c r="F130" s="33"/>
      <c r="G130" s="34" t="str">
        <f>IFERROR(IF(F130&gt;=0,D130*E130*(1+F130/100),ABS(D130*E130/F130)),"")</f>
        <v/>
      </c>
      <c r="H130" s="43" t="str">
        <f>IFERROR(G130*E124,"")</f>
        <v/>
      </c>
    </row>
    <row r="131" spans="1:11">
      <c r="A131" s="28"/>
      <c r="B131" s="29"/>
      <c r="C131" s="30" t="str">
        <f>IFERROR(_xlfn.XLOOKUP(B131,Insumo[DESCRIPCION],Insumo[UND],,0),"")</f>
        <v/>
      </c>
      <c r="D131" s="31"/>
      <c r="E131" s="32" t="str">
        <f>IFERROR(_xlfn.XLOOKUP($B131,Insumo[DESCRIPCION],Insumo[VALOR],,0),"")</f>
        <v/>
      </c>
      <c r="F131" s="33"/>
      <c r="G131" s="34" t="str">
        <f>IFERROR(IF(F131&gt;=0,D131*E131*(1+F131/100),ABS(D131*E131/F131)),"")</f>
        <v/>
      </c>
      <c r="H131" s="43" t="str">
        <f>IFERROR(G131*E124,"")</f>
        <v/>
      </c>
    </row>
    <row r="132" spans="1:11">
      <c r="A132" s="21"/>
      <c r="B132" s="22" t="s">
        <v>3731</v>
      </c>
      <c r="C132" s="23"/>
      <c r="D132" s="24"/>
      <c r="E132" s="25"/>
      <c r="F132" s="26"/>
      <c r="G132" s="27">
        <f>SUM(G133:G135)</f>
        <v>444.31441403289483</v>
      </c>
      <c r="H132" s="27">
        <f>IFERROR(G132*E124,"")</f>
        <v>0</v>
      </c>
    </row>
    <row r="133" spans="1:11">
      <c r="A133" s="28"/>
      <c r="B133" s="29" t="s">
        <v>3626</v>
      </c>
      <c r="C133" s="30" t="str">
        <f>IFERROR(_xlfn.XLOOKUP(B133,Equipo[DESCRIPCION],Equipo[UND],,0),"")</f>
        <v>%MO</v>
      </c>
      <c r="D133" s="31">
        <v>0.05</v>
      </c>
      <c r="E133" s="32">
        <f>IF(C133="%MO",G139,IFERROR(_xlfn.XLOOKUP($B133,Equipo[DESCRIPCION],Equipo[VALOR],,0),""))</f>
        <v>8886.2882806578964</v>
      </c>
      <c r="F133" s="33">
        <v>-1</v>
      </c>
      <c r="G133" s="34">
        <f>IFERROR(IF(F133&gt;=0,D133*E133*(1+F133/100),ABS(D133*E133/F133)),"")</f>
        <v>444.31441403289483</v>
      </c>
      <c r="H133" s="43">
        <f>IFERROR(G133*E124,"")</f>
        <v>0</v>
      </c>
    </row>
    <row r="134" spans="1:11">
      <c r="A134" s="28"/>
      <c r="B134" s="29"/>
      <c r="C134" s="30" t="str">
        <f>IFERROR(_xlfn.XLOOKUP(B134,Equipo[DESCRIPCION],Equipo[UND],,0),"")</f>
        <v/>
      </c>
      <c r="D134" s="31"/>
      <c r="E134" s="32" t="str">
        <f>IF(C134="%MO",G139,IFERROR(_xlfn.XLOOKUP($B134,Equipo[DESCRIPCION],Equipo[VALOR],,0),""))</f>
        <v/>
      </c>
      <c r="F134" s="33"/>
      <c r="G134" s="34" t="str">
        <f>IFERROR(IF(F134&gt;=0,D134*E134*(1+F134/100),ABS(D134*E134/F134)),"")</f>
        <v/>
      </c>
      <c r="H134" s="43" t="str">
        <f>IFERROR(G134*E124,"")</f>
        <v/>
      </c>
    </row>
    <row r="135" spans="1:11">
      <c r="A135" s="28"/>
      <c r="B135" s="29"/>
      <c r="C135" s="30" t="str">
        <f>IFERROR(_xlfn.XLOOKUP(B135,Equipo[DESCRIPCION],Equipo[UND],,0),"")</f>
        <v/>
      </c>
      <c r="D135" s="31"/>
      <c r="E135" s="32" t="str">
        <f>IF(C135="%MO",G139,IFERROR(_xlfn.XLOOKUP($B135,Equipo[DESCRIPCION],Equipo[VALOR],,0),""))</f>
        <v/>
      </c>
      <c r="F135" s="33"/>
      <c r="G135" s="34" t="str">
        <f>IFERROR(IF(F135&gt;=0,D135*E135*(1+F135/100),ABS(D135*E135/F135)),"")</f>
        <v/>
      </c>
      <c r="H135" s="43" t="str">
        <f>IFERROR(G135*E124,"")</f>
        <v/>
      </c>
    </row>
    <row r="136" spans="1:11">
      <c r="A136" s="21"/>
      <c r="B136" s="22" t="s">
        <v>2533</v>
      </c>
      <c r="C136" s="23"/>
      <c r="D136" s="24"/>
      <c r="E136" s="25"/>
      <c r="F136" s="26"/>
      <c r="G136" s="27">
        <f>SUM(G137:G138)</f>
        <v>0</v>
      </c>
      <c r="H136" s="27">
        <f>IFERROR(G136*E124,"")</f>
        <v>0</v>
      </c>
    </row>
    <row r="137" spans="1:11">
      <c r="A137" s="28"/>
      <c r="B137" s="29"/>
      <c r="C137" s="30" t="str">
        <f>IFERROR(_xlfn.XLOOKUP(B137,Transporte[DESCRIPCION],Transporte[UND],,0),"")</f>
        <v/>
      </c>
      <c r="D137" s="31"/>
      <c r="E137" s="32" t="str">
        <f>IFERROR(_xlfn.XLOOKUP($B137,Transporte[DESCRIPCION],Transporte[VALOR],,0),"")</f>
        <v/>
      </c>
      <c r="F137" s="33"/>
      <c r="G137" s="34" t="str">
        <f>IFERROR(IF(F137&gt;=0,D137*E137*(1+F137/100),ABS(D137*E137/F137)),"")</f>
        <v/>
      </c>
      <c r="H137" s="43" t="str">
        <f>IFERROR(G137*E124,"")</f>
        <v/>
      </c>
    </row>
    <row r="138" spans="1:11">
      <c r="A138" s="28"/>
      <c r="B138" s="29"/>
      <c r="C138" s="30" t="str">
        <f>IFERROR(_xlfn.XLOOKUP(B138,Transporte[DESCRIPCION],Transporte[UND],,0),"")</f>
        <v/>
      </c>
      <c r="D138" s="31"/>
      <c r="E138" s="32" t="str">
        <f>IFERROR(_xlfn.XLOOKUP($B138,Transporte[DESCRIPCION],Transporte[VALOR],,0),"")</f>
        <v/>
      </c>
      <c r="F138" s="33"/>
      <c r="G138" s="34" t="str">
        <f>IFERROR(IF(F138&gt;=0,D138*E138*(1+F138/100),ABS(D138*E138/F138)),"")</f>
        <v/>
      </c>
      <c r="H138" s="43" t="str">
        <f>IFERROR(G138*E124,"")</f>
        <v/>
      </c>
    </row>
    <row r="139" spans="1:11">
      <c r="A139" s="21"/>
      <c r="B139" s="22" t="s">
        <v>3732</v>
      </c>
      <c r="C139" s="23"/>
      <c r="D139" s="24"/>
      <c r="E139" s="25"/>
      <c r="F139" s="26"/>
      <c r="G139" s="27">
        <f>SUM(G140:G142)</f>
        <v>8886.2882806578964</v>
      </c>
      <c r="H139" s="27">
        <f>IFERROR(G139*E124,"")</f>
        <v>0</v>
      </c>
    </row>
    <row r="140" spans="1:11">
      <c r="A140" s="28"/>
      <c r="B140" s="29" t="s">
        <v>3715</v>
      </c>
      <c r="C140" s="30" t="str">
        <f>IFERROR(_xlfn.XLOOKUP(B140,MObra[DESCRIPCION],MObra[UN],,0),"")</f>
        <v>día</v>
      </c>
      <c r="D140" s="31">
        <v>1</v>
      </c>
      <c r="E140" s="32">
        <f>IFERROR(_xlfn.XLOOKUP($B140,MObra[DESCRIPCION],MObra[VALOR UNIT],,0),"")</f>
        <v>337678.95466500008</v>
      </c>
      <c r="F140" s="33">
        <v>-38</v>
      </c>
      <c r="G140" s="34">
        <f>IFERROR(IF(F140&gt;=0,D140*E140*(1+F140/100),ABS(D140*E140/F140)),"")</f>
        <v>8886.2882806578964</v>
      </c>
      <c r="H140" s="43">
        <f>IFERROR(G140*E124,"")</f>
        <v>0</v>
      </c>
    </row>
    <row r="141" spans="1:11">
      <c r="A141" s="28"/>
      <c r="B141" s="29"/>
      <c r="C141" s="30" t="str">
        <f>IFERROR(_xlfn.XLOOKUP(B141,MObra[DESCRIPCION],MObra[UN],,0),"")</f>
        <v/>
      </c>
      <c r="D141" s="31"/>
      <c r="E141" s="32" t="str">
        <f>IFERROR(_xlfn.XLOOKUP($B141,MObra[DESCRIPCION],MObra[VALOR UNIT],,0),"")</f>
        <v/>
      </c>
      <c r="F141" s="33"/>
      <c r="G141" s="34" t="str">
        <f>IFERROR(IF(F141&gt;=0,D141*E141*(1+F141/100),ABS(D141*E141/F141)),"")</f>
        <v/>
      </c>
      <c r="H141" s="43" t="str">
        <f>IFERROR(G141*E124,"")</f>
        <v/>
      </c>
    </row>
    <row r="142" spans="1:11">
      <c r="A142" s="35"/>
      <c r="B142" s="36"/>
      <c r="C142" s="37" t="str">
        <f>IFERROR(_xlfn.XLOOKUP(B142,MObra[DESCRIPCION],MObra[UN],,0),"")</f>
        <v/>
      </c>
      <c r="D142" s="38"/>
      <c r="E142" s="39" t="str">
        <f>IFERROR(_xlfn.XLOOKUP($B142,MObra[DESCRIPCION],MObra[VALOR UNIT],,0),"")</f>
        <v/>
      </c>
      <c r="F142" s="40"/>
      <c r="G142" s="41" t="str">
        <f>IFERROR(IF(F142&gt;=0,D142*E142*(1+F142/100),ABS(D142*E142/F142)),"")</f>
        <v/>
      </c>
      <c r="H142" s="42" t="str">
        <f>IFERROR(G142*E124,"")</f>
        <v/>
      </c>
    </row>
    <row r="144" spans="1:11">
      <c r="A144" s="6" t="s">
        <v>2274</v>
      </c>
      <c r="B144" s="7" t="str">
        <f>VLOOKUP($A144,Presupuesto!$A:$D,2,FALSE())</f>
        <v>Acometida aluminio Serie 8000 2xNo.2(F)+1xNo.6(T), sin ducto</v>
      </c>
      <c r="C144" s="8" t="str">
        <f>VLOOKUP($A144,Presupuesto!$A:$D,3,FALSE())</f>
        <v>M</v>
      </c>
      <c r="D144" s="9"/>
      <c r="E144" s="10">
        <f>VLOOKUP($A144,Presupuesto!$A:$D,4,FALSE())</f>
        <v>0</v>
      </c>
      <c r="F144" s="11" t="s">
        <v>2589</v>
      </c>
      <c r="G144" s="12">
        <f>SUM(G146:G162)/2</f>
        <v>31295.069694690792</v>
      </c>
      <c r="H144" s="13">
        <f>ROUND(SUM(H146:H162),0)/2</f>
        <v>0</v>
      </c>
      <c r="I144" s="10">
        <f>VLOOKUP(A144,Presupuesto!$A:$F,6,0)</f>
        <v>0</v>
      </c>
      <c r="J144" s="10">
        <f>+H144-I144</f>
        <v>0</v>
      </c>
      <c r="K144" s="46">
        <f>+H144-G144*E144</f>
        <v>0</v>
      </c>
    </row>
    <row r="145" spans="1:8">
      <c r="A145" s="14"/>
      <c r="B145" s="15" t="s">
        <v>2586</v>
      </c>
      <c r="C145" s="15" t="s">
        <v>5</v>
      </c>
      <c r="D145" s="16" t="s">
        <v>6</v>
      </c>
      <c r="E145" s="17" t="s">
        <v>7</v>
      </c>
      <c r="F145" s="18" t="s">
        <v>3728</v>
      </c>
      <c r="G145" s="19" t="s">
        <v>3729</v>
      </c>
      <c r="H145" s="20" t="s">
        <v>3797</v>
      </c>
    </row>
    <row r="146" spans="1:8">
      <c r="A146" s="21"/>
      <c r="B146" s="22" t="s">
        <v>3730</v>
      </c>
      <c r="C146" s="23"/>
      <c r="D146" s="24"/>
      <c r="E146" s="25"/>
      <c r="F146" s="26"/>
      <c r="G146" s="27">
        <f>SUM(G147:G151)</f>
        <v>21964.466999999997</v>
      </c>
      <c r="H146" s="27">
        <f>IFERROR(G146*E144,"")</f>
        <v>0</v>
      </c>
    </row>
    <row r="147" spans="1:8">
      <c r="A147" s="28"/>
      <c r="B147" s="29" t="s">
        <v>2784</v>
      </c>
      <c r="C147" s="30" t="str">
        <f>IFERROR(_xlfn.XLOOKUP(B147,Insumo[DESCRIPCION],Insumo[UND],,0),"")</f>
        <v>M</v>
      </c>
      <c r="D147" s="31">
        <v>2</v>
      </c>
      <c r="E147" s="32">
        <f>IFERROR(_xlfn.XLOOKUP($B147,Insumo[DESCRIPCION],Insumo[VALOR],,0),"")</f>
        <v>4987.5</v>
      </c>
      <c r="F147" s="33"/>
      <c r="G147" s="34">
        <f>IFERROR(IF(F147&gt;=0,D147*E147*(1+F147/100),ABS(D147*E147/F147)),"")</f>
        <v>9975</v>
      </c>
      <c r="H147" s="43">
        <f>IFERROR(G147*E144,"")</f>
        <v>0</v>
      </c>
    </row>
    <row r="148" spans="1:8">
      <c r="A148" s="28"/>
      <c r="B148" s="29" t="s">
        <v>2797</v>
      </c>
      <c r="C148" s="30" t="str">
        <f>IFERROR(_xlfn.XLOOKUP(B148,Insumo[DESCRIPCION],Insumo[UND],,0),"")</f>
        <v>M</v>
      </c>
      <c r="D148" s="31">
        <v>1</v>
      </c>
      <c r="E148" s="32">
        <f>IFERROR(_xlfn.XLOOKUP($B148,Insumo[DESCRIPCION],Insumo[VALOR],,0),"")</f>
        <v>11989.466999999999</v>
      </c>
      <c r="F148" s="33"/>
      <c r="G148" s="34">
        <f>IFERROR(IF(F148&gt;=0,D148*E148*(1+F148/100),ABS(D148*E148/F148)),"")</f>
        <v>11989.466999999999</v>
      </c>
      <c r="H148" s="43">
        <f>IFERROR(G148*E144,"")</f>
        <v>0</v>
      </c>
    </row>
    <row r="149" spans="1:8">
      <c r="A149" s="28"/>
      <c r="B149" s="29"/>
      <c r="C149" s="30" t="str">
        <f>IFERROR(_xlfn.XLOOKUP(B149,Insumo[DESCRIPCION],Insumo[UND],,0),"")</f>
        <v/>
      </c>
      <c r="D149" s="31"/>
      <c r="E149" s="32" t="str">
        <f>IFERROR(_xlfn.XLOOKUP($B149,Insumo[DESCRIPCION],Insumo[VALOR],,0),"")</f>
        <v/>
      </c>
      <c r="F149" s="33"/>
      <c r="G149" s="34" t="str">
        <f>IFERROR(IF(F149&gt;=0,D149*E149*(1+F149/100),ABS(D149*E149/F149)),"")</f>
        <v/>
      </c>
      <c r="H149" s="43" t="str">
        <f>IFERROR(G149*E144,"")</f>
        <v/>
      </c>
    </row>
    <row r="150" spans="1:8">
      <c r="A150" s="28"/>
      <c r="B150" s="29"/>
      <c r="C150" s="30" t="str">
        <f>IFERROR(_xlfn.XLOOKUP(B150,Insumo[DESCRIPCION],Insumo[UND],,0),"")</f>
        <v/>
      </c>
      <c r="D150" s="31"/>
      <c r="E150" s="32" t="str">
        <f>IFERROR(_xlfn.XLOOKUP($B150,Insumo[DESCRIPCION],Insumo[VALOR],,0),"")</f>
        <v/>
      </c>
      <c r="F150" s="33"/>
      <c r="G150" s="34" t="str">
        <f>IFERROR(IF(F150&gt;=0,D150*E150*(1+F150/100),ABS(D150*E150/F150)),"")</f>
        <v/>
      </c>
      <c r="H150" s="43" t="str">
        <f>IFERROR(G150*E144,"")</f>
        <v/>
      </c>
    </row>
    <row r="151" spans="1:8">
      <c r="A151" s="28"/>
      <c r="B151" s="29"/>
      <c r="C151" s="30" t="str">
        <f>IFERROR(_xlfn.XLOOKUP(B151,Insumo[DESCRIPCION],Insumo[UND],,0),"")</f>
        <v/>
      </c>
      <c r="D151" s="31"/>
      <c r="E151" s="32" t="str">
        <f>IFERROR(_xlfn.XLOOKUP($B151,Insumo[DESCRIPCION],Insumo[VALOR],,0),"")</f>
        <v/>
      </c>
      <c r="F151" s="33"/>
      <c r="G151" s="34" t="str">
        <f>IFERROR(IF(F151&gt;=0,D151*E151*(1+F151/100),ABS(D151*E151/F151)),"")</f>
        <v/>
      </c>
      <c r="H151" s="43" t="str">
        <f>IFERROR(G151*E144,"")</f>
        <v/>
      </c>
    </row>
    <row r="152" spans="1:8">
      <c r="A152" s="21"/>
      <c r="B152" s="22" t="s">
        <v>3731</v>
      </c>
      <c r="C152" s="23"/>
      <c r="D152" s="24"/>
      <c r="E152" s="25"/>
      <c r="F152" s="26"/>
      <c r="G152" s="27">
        <f>SUM(G153:G155)</f>
        <v>444.31441403289483</v>
      </c>
      <c r="H152" s="27">
        <f>IFERROR(G152*E144,"")</f>
        <v>0</v>
      </c>
    </row>
    <row r="153" spans="1:8">
      <c r="A153" s="28"/>
      <c r="B153" s="29" t="s">
        <v>3626</v>
      </c>
      <c r="C153" s="30" t="str">
        <f>IFERROR(_xlfn.XLOOKUP(B153,Equipo[DESCRIPCION],Equipo[UND],,0),"")</f>
        <v>%MO</v>
      </c>
      <c r="D153" s="31">
        <v>0.05</v>
      </c>
      <c r="E153" s="32">
        <f>IF(C153="%MO",G159,IFERROR(_xlfn.XLOOKUP($B153,Equipo[DESCRIPCION],Equipo[VALOR],,0),""))</f>
        <v>8886.2882806578964</v>
      </c>
      <c r="F153" s="33">
        <v>-1</v>
      </c>
      <c r="G153" s="34">
        <f>IFERROR(IF(F153&gt;=0,D153*E153*(1+F153/100),ABS(D153*E153/F153)),"")</f>
        <v>444.31441403289483</v>
      </c>
      <c r="H153" s="43">
        <f>IFERROR(G153*E144,"")</f>
        <v>0</v>
      </c>
    </row>
    <row r="154" spans="1:8">
      <c r="A154" s="28"/>
      <c r="B154" s="29"/>
      <c r="C154" s="30" t="str">
        <f>IFERROR(_xlfn.XLOOKUP(B154,Equipo[DESCRIPCION],Equipo[UND],,0),"")</f>
        <v/>
      </c>
      <c r="D154" s="31"/>
      <c r="E154" s="32" t="str">
        <f>IF(C154="%MO",G159,IFERROR(_xlfn.XLOOKUP($B154,Equipo[DESCRIPCION],Equipo[VALOR],,0),""))</f>
        <v/>
      </c>
      <c r="F154" s="33"/>
      <c r="G154" s="34" t="str">
        <f>IFERROR(IF(F154&gt;=0,D154*E154*(1+F154/100),ABS(D154*E154/F154)),"")</f>
        <v/>
      </c>
      <c r="H154" s="43" t="str">
        <f>IFERROR(G154*E144,"")</f>
        <v/>
      </c>
    </row>
    <row r="155" spans="1:8">
      <c r="A155" s="28"/>
      <c r="B155" s="29"/>
      <c r="C155" s="30" t="str">
        <f>IFERROR(_xlfn.XLOOKUP(B155,Equipo[DESCRIPCION],Equipo[UND],,0),"")</f>
        <v/>
      </c>
      <c r="D155" s="31"/>
      <c r="E155" s="32" t="str">
        <f>IF(C155="%MO",G159,IFERROR(_xlfn.XLOOKUP($B155,Equipo[DESCRIPCION],Equipo[VALOR],,0),""))</f>
        <v/>
      </c>
      <c r="F155" s="33"/>
      <c r="G155" s="34" t="str">
        <f>IFERROR(IF(F155&gt;=0,D155*E155*(1+F155/100),ABS(D155*E155/F155)),"")</f>
        <v/>
      </c>
      <c r="H155" s="43" t="str">
        <f>IFERROR(G155*E144,"")</f>
        <v/>
      </c>
    </row>
    <row r="156" spans="1:8">
      <c r="A156" s="21"/>
      <c r="B156" s="22" t="s">
        <v>2533</v>
      </c>
      <c r="C156" s="23"/>
      <c r="D156" s="24"/>
      <c r="E156" s="25"/>
      <c r="F156" s="26"/>
      <c r="G156" s="27">
        <f>SUM(G157:G158)</f>
        <v>0</v>
      </c>
      <c r="H156" s="27">
        <f>IFERROR(G156*E144,"")</f>
        <v>0</v>
      </c>
    </row>
    <row r="157" spans="1:8">
      <c r="A157" s="28"/>
      <c r="B157" s="29"/>
      <c r="C157" s="30" t="str">
        <f>IFERROR(_xlfn.XLOOKUP(B157,Transporte[DESCRIPCION],Transporte[UND],,0),"")</f>
        <v/>
      </c>
      <c r="D157" s="31"/>
      <c r="E157" s="32" t="str">
        <f>IFERROR(_xlfn.XLOOKUP($B157,Transporte[DESCRIPCION],Transporte[VALOR],,0),"")</f>
        <v/>
      </c>
      <c r="F157" s="33"/>
      <c r="G157" s="34" t="str">
        <f>IFERROR(IF(F157&gt;=0,D157*E157*(1+F157/100),ABS(D157*E157/F157)),"")</f>
        <v/>
      </c>
      <c r="H157" s="43" t="str">
        <f>IFERROR(G157*E144,"")</f>
        <v/>
      </c>
    </row>
    <row r="158" spans="1:8">
      <c r="A158" s="28"/>
      <c r="B158" s="29"/>
      <c r="C158" s="30" t="str">
        <f>IFERROR(_xlfn.XLOOKUP(B158,Transporte[DESCRIPCION],Transporte[UND],,0),"")</f>
        <v/>
      </c>
      <c r="D158" s="31"/>
      <c r="E158" s="32" t="str">
        <f>IFERROR(_xlfn.XLOOKUP($B158,Transporte[DESCRIPCION],Transporte[VALOR],,0),"")</f>
        <v/>
      </c>
      <c r="F158" s="33"/>
      <c r="G158" s="34" t="str">
        <f>IFERROR(IF(F158&gt;=0,D158*E158*(1+F158/100),ABS(D158*E158/F158)),"")</f>
        <v/>
      </c>
      <c r="H158" s="43" t="str">
        <f>IFERROR(G158*E144,"")</f>
        <v/>
      </c>
    </row>
    <row r="159" spans="1:8">
      <c r="A159" s="21"/>
      <c r="B159" s="22" t="s">
        <v>3732</v>
      </c>
      <c r="C159" s="23"/>
      <c r="D159" s="24"/>
      <c r="E159" s="25"/>
      <c r="F159" s="26"/>
      <c r="G159" s="27">
        <f>SUM(G160:G162)</f>
        <v>8886.2882806578964</v>
      </c>
      <c r="H159" s="27">
        <f>IFERROR(G159*E144,"")</f>
        <v>0</v>
      </c>
    </row>
    <row r="160" spans="1:8">
      <c r="A160" s="28"/>
      <c r="B160" s="29" t="s">
        <v>3715</v>
      </c>
      <c r="C160" s="30" t="str">
        <f>IFERROR(_xlfn.XLOOKUP(B160,MObra[DESCRIPCION],MObra[UN],,0),"")</f>
        <v>día</v>
      </c>
      <c r="D160" s="31">
        <v>1</v>
      </c>
      <c r="E160" s="32">
        <f>IFERROR(_xlfn.XLOOKUP($B160,MObra[DESCRIPCION],MObra[VALOR UNIT],,0),"")</f>
        <v>337678.95466500008</v>
      </c>
      <c r="F160" s="33">
        <v>-38</v>
      </c>
      <c r="G160" s="34">
        <f>IFERROR(IF(F160&gt;=0,D160*E160*(1+F160/100),ABS(D160*E160/F160)),"")</f>
        <v>8886.2882806578964</v>
      </c>
      <c r="H160" s="43">
        <f>IFERROR(G160*E144,"")</f>
        <v>0</v>
      </c>
    </row>
    <row r="161" spans="1:11">
      <c r="A161" s="28"/>
      <c r="B161" s="29"/>
      <c r="C161" s="30" t="str">
        <f>IFERROR(_xlfn.XLOOKUP(B161,MObra[DESCRIPCION],MObra[UN],,0),"")</f>
        <v/>
      </c>
      <c r="D161" s="31"/>
      <c r="E161" s="32" t="str">
        <f>IFERROR(_xlfn.XLOOKUP($B161,MObra[DESCRIPCION],MObra[VALOR UNIT],,0),"")</f>
        <v/>
      </c>
      <c r="F161" s="33"/>
      <c r="G161" s="34" t="str">
        <f>IFERROR(IF(F161&gt;=0,D161*E161*(1+F161/100),ABS(D161*E161/F161)),"")</f>
        <v/>
      </c>
      <c r="H161" s="43" t="str">
        <f>IFERROR(G161*E144,"")</f>
        <v/>
      </c>
    </row>
    <row r="162" spans="1:11">
      <c r="A162" s="35"/>
      <c r="B162" s="36"/>
      <c r="C162" s="37" t="str">
        <f>IFERROR(_xlfn.XLOOKUP(B162,MObra[DESCRIPCION],MObra[UN],,0),"")</f>
        <v/>
      </c>
      <c r="D162" s="38"/>
      <c r="E162" s="39" t="str">
        <f>IFERROR(_xlfn.XLOOKUP($B162,MObra[DESCRIPCION],MObra[VALOR UNIT],,0),"")</f>
        <v/>
      </c>
      <c r="F162" s="40"/>
      <c r="G162" s="41" t="str">
        <f>IFERROR(IF(F162&gt;=0,D162*E162*(1+F162/100),ABS(D162*E162/F162)),"")</f>
        <v/>
      </c>
      <c r="H162" s="42" t="str">
        <f>IFERROR(G162*E144,"")</f>
        <v/>
      </c>
    </row>
    <row r="163" spans="1:11" ht="12.75" customHeight="1" thickTop="1" thickBot="1"/>
    <row r="164" spans="1:11" ht="13.5" thickTop="1" thickBot="1">
      <c r="A164" s="6" t="s">
        <v>2276</v>
      </c>
      <c r="B164" s="7" t="str">
        <f>VLOOKUP($A164,Presupuesto!$A:$D,2,FALSE())</f>
        <v>Acometida eléctrica incluye cable concéntrico para pegue exterior</v>
      </c>
      <c r="C164" s="8" t="str">
        <f>VLOOKUP($A164,Presupuesto!$A:$D,3,FALSE())</f>
        <v>M</v>
      </c>
      <c r="D164" s="9"/>
      <c r="E164" s="10">
        <f>VLOOKUP($A164,Presupuesto!$A:$D,4,FALSE())</f>
        <v>0</v>
      </c>
      <c r="F164" s="11" t="s">
        <v>2589</v>
      </c>
      <c r="G164" s="12">
        <f>SUM(G166:G184)/2</f>
        <v>78748.543047965009</v>
      </c>
      <c r="H164" s="13">
        <f>ROUND(SUM(H166:H184),0)/2</f>
        <v>0</v>
      </c>
      <c r="I164" s="10">
        <f>VLOOKUP(A164,Presupuesto!$A:$F,6,0)</f>
        <v>0</v>
      </c>
      <c r="J164" s="10">
        <f>+H164-I164</f>
        <v>0</v>
      </c>
      <c r="K164" s="46">
        <f>+H164-G164*E164</f>
        <v>0</v>
      </c>
    </row>
    <row r="165" spans="1:11">
      <c r="A165" s="14"/>
      <c r="B165" s="15" t="s">
        <v>2586</v>
      </c>
      <c r="C165" s="15" t="s">
        <v>5</v>
      </c>
      <c r="D165" s="16" t="s">
        <v>6</v>
      </c>
      <c r="E165" s="17" t="s">
        <v>7</v>
      </c>
      <c r="F165" s="18" t="s">
        <v>3728</v>
      </c>
      <c r="G165" s="19" t="s">
        <v>3729</v>
      </c>
      <c r="H165" s="20" t="s">
        <v>3797</v>
      </c>
    </row>
    <row r="166" spans="1:11">
      <c r="A166" s="21"/>
      <c r="B166" s="22" t="s">
        <v>3730</v>
      </c>
      <c r="C166" s="23"/>
      <c r="D166" s="24"/>
      <c r="E166" s="25"/>
      <c r="F166" s="26"/>
      <c r="G166" s="27">
        <f>SUM(G167:G173)</f>
        <v>71657.285000000003</v>
      </c>
      <c r="H166" s="27">
        <f>IFERROR(G166*E164,"")</f>
        <v>0</v>
      </c>
    </row>
    <row r="167" spans="1:11">
      <c r="A167" s="28"/>
      <c r="B167" s="29" t="s">
        <v>2785</v>
      </c>
      <c r="C167" s="30" t="str">
        <f>IFERROR(_xlfn.XLOOKUP(B167,Insumo[DESCRIPCION],Insumo[UND],,0),"")</f>
        <v>M</v>
      </c>
      <c r="D167" s="31">
        <v>1</v>
      </c>
      <c r="E167" s="32">
        <f>IFERROR(_xlfn.XLOOKUP($B167,Insumo[DESCRIPCION],Insumo[VALOR],,0),"")</f>
        <v>46709.25</v>
      </c>
      <c r="F167" s="33"/>
      <c r="G167" s="34">
        <f>IFERROR(IF(F167&gt;=0,D167*E167*(1+F167/100),ABS(D167*E167/F167)),"")</f>
        <v>46709.25</v>
      </c>
      <c r="H167" s="43">
        <f>IFERROR(G167*E164,"")</f>
        <v>0</v>
      </c>
    </row>
    <row r="168" spans="1:11">
      <c r="A168" s="28"/>
      <c r="B168" s="29" t="s">
        <v>3468</v>
      </c>
      <c r="C168" s="30" t="str">
        <f>IFERROR(_xlfn.XLOOKUP(B168,Insumo[DESCRIPCION],Insumo[UND],,0),"")</f>
        <v>M</v>
      </c>
      <c r="D168" s="31">
        <v>0.5</v>
      </c>
      <c r="E168" s="32">
        <f>IFERROR(_xlfn.XLOOKUP($B168,Insumo[DESCRIPCION],Insumo[VALOR],,0),"")</f>
        <v>36925</v>
      </c>
      <c r="F168" s="33"/>
      <c r="G168" s="34">
        <f>IFERROR(IF(F168&gt;=0,D168*E168*(1+F168/100),ABS(D168*E168/F168)),"")</f>
        <v>18462.5</v>
      </c>
      <c r="H168" s="43">
        <f>IFERROR(G168*E164,"")</f>
        <v>0</v>
      </c>
    </row>
    <row r="169" spans="1:11">
      <c r="A169" s="28"/>
      <c r="B169" s="29" t="s">
        <v>2822</v>
      </c>
      <c r="C169" s="30" t="str">
        <f>IFERROR(_xlfn.XLOOKUP(B169,Insumo[DESCRIPCION],Insumo[UND],,0),"")</f>
        <v>Un</v>
      </c>
      <c r="D169" s="31">
        <v>0.05</v>
      </c>
      <c r="E169" s="32">
        <f>IFERROR(_xlfn.XLOOKUP($B169,Insumo[DESCRIPCION],Insumo[VALOR],,0),"")</f>
        <v>9797.5500000000011</v>
      </c>
      <c r="F169" s="33"/>
      <c r="G169" s="34">
        <f>IFERROR(IF(F169&gt;=0,D169*E169*(1+F169/100),ABS(D169*E169/F169)),"")</f>
        <v>489.87750000000005</v>
      </c>
      <c r="H169" s="43">
        <f>IFERROR(G169*E164,"")</f>
        <v>0</v>
      </c>
    </row>
    <row r="170" spans="1:11">
      <c r="A170" s="28"/>
      <c r="B170" s="135" t="s">
        <v>2688</v>
      </c>
      <c r="C170" s="30" t="str">
        <f>IFERROR(_xlfn.XLOOKUP(B170,Insumo[DESCRIPCION],Insumo[UND],,0),"")</f>
        <v>Un</v>
      </c>
      <c r="D170" s="31">
        <v>0.05</v>
      </c>
      <c r="E170" s="32">
        <f>IFERROR(_xlfn.XLOOKUP($B170,Insumo[DESCRIPCION],Insumo[VALOR],,0),"")</f>
        <v>5565</v>
      </c>
      <c r="F170" s="33"/>
      <c r="G170" s="34">
        <f t="shared" ref="G170:G171" si="0">IFERROR(IF(F170&gt;=0,D170*E170*(1+F170/100),ABS(D170*E170/F170)),"")</f>
        <v>278.25</v>
      </c>
      <c r="H170" s="43">
        <f>IFERROR(G170*E164,"")</f>
        <v>0</v>
      </c>
    </row>
    <row r="171" spans="1:11">
      <c r="A171" s="28"/>
      <c r="B171" s="135" t="s">
        <v>3387</v>
      </c>
      <c r="C171" s="30" t="str">
        <f>IFERROR(_xlfn.XLOOKUP(B171,Insumo[DESCRIPCION],Insumo[UND],,0),"")</f>
        <v>Un</v>
      </c>
      <c r="D171" s="31">
        <v>0.05</v>
      </c>
      <c r="E171" s="32">
        <f>IFERROR(_xlfn.XLOOKUP($B171,Insumo[DESCRIPCION],Insumo[VALOR],,0),"")</f>
        <v>7171.5</v>
      </c>
      <c r="F171" s="33"/>
      <c r="G171" s="34">
        <f t="shared" si="0"/>
        <v>358.57500000000005</v>
      </c>
      <c r="H171" s="43">
        <f>IFERROR(G171*E164,"")</f>
        <v>0</v>
      </c>
    </row>
    <row r="172" spans="1:11">
      <c r="A172" s="28"/>
      <c r="B172" s="135" t="s">
        <v>2995</v>
      </c>
      <c r="C172" s="30" t="str">
        <f>IFERROR(_xlfn.XLOOKUP(B172,Insumo[DESCRIPCION],Insumo[UND],,0),"")</f>
        <v>Un</v>
      </c>
      <c r="D172" s="31">
        <v>0.5</v>
      </c>
      <c r="E172" s="32">
        <f>IFERROR(_xlfn.XLOOKUP($B172,Insumo[DESCRIPCION],Insumo[VALOR],,0),"")</f>
        <v>10479</v>
      </c>
      <c r="F172" s="33"/>
      <c r="G172" s="34">
        <f t="shared" ref="G172" si="1">IFERROR(IF(F172&gt;=0,D172*E172*(1+F172/100),ABS(D172*E172/F172)),"")</f>
        <v>5239.5</v>
      </c>
      <c r="H172" s="43">
        <f>IFERROR(G172*E164,"")</f>
        <v>0</v>
      </c>
    </row>
    <row r="173" spans="1:11">
      <c r="A173" s="28"/>
      <c r="B173" s="29" t="s">
        <v>3200</v>
      </c>
      <c r="C173" s="30" t="str">
        <f>IFERROR(_xlfn.XLOOKUP(B173,Insumo[DESCRIPCION],Insumo[UND],,0),"")</f>
        <v>Un</v>
      </c>
      <c r="D173" s="31">
        <v>0.05</v>
      </c>
      <c r="E173" s="32">
        <f>IFERROR(_xlfn.XLOOKUP($B173,Insumo[DESCRIPCION],Insumo[VALOR],,0),"")</f>
        <v>2386.65</v>
      </c>
      <c r="F173" s="33"/>
      <c r="G173" s="34">
        <f>IFERROR(IF(F173&gt;=0,D173*E173*(1+F173/100),ABS(D173*E173/F173)),"")</f>
        <v>119.33250000000001</v>
      </c>
      <c r="H173" s="43">
        <f>IFERROR(G173*E164,"")</f>
        <v>0</v>
      </c>
    </row>
    <row r="174" spans="1:11">
      <c r="A174" s="21"/>
      <c r="B174" s="22" t="s">
        <v>3731</v>
      </c>
      <c r="C174" s="23"/>
      <c r="D174" s="24"/>
      <c r="E174" s="25"/>
      <c r="F174" s="26"/>
      <c r="G174" s="27">
        <f>SUM(G175:G177)</f>
        <v>337.67895466500011</v>
      </c>
      <c r="H174" s="27">
        <f>IFERROR(G174*E164,"")</f>
        <v>0</v>
      </c>
    </row>
    <row r="175" spans="1:11">
      <c r="A175" s="28"/>
      <c r="B175" s="29" t="s">
        <v>3626</v>
      </c>
      <c r="C175" s="30" t="str">
        <f>IFERROR(_xlfn.XLOOKUP(B175,Equipo[DESCRIPCION],Equipo[UND],,0),"")</f>
        <v>%MO</v>
      </c>
      <c r="D175" s="31">
        <v>0.05</v>
      </c>
      <c r="E175" s="32">
        <f>IF(C175="%MO",G181,IFERROR(_xlfn.XLOOKUP($B175,Equipo[DESCRIPCION],Equipo[VALOR],,0),""))</f>
        <v>6753.5790933000017</v>
      </c>
      <c r="F175" s="33"/>
      <c r="G175" s="34">
        <f>IFERROR(IF(F175&gt;=0,D175*E175*(1+F175/100),ABS(D175*E175/F175)),"")</f>
        <v>337.67895466500011</v>
      </c>
      <c r="H175" s="43">
        <f>IFERROR(G175*E164,"")</f>
        <v>0</v>
      </c>
    </row>
    <row r="176" spans="1:11">
      <c r="A176" s="28"/>
      <c r="B176" s="29"/>
      <c r="C176" s="30" t="str">
        <f>IFERROR(_xlfn.XLOOKUP(B176,Equipo[DESCRIPCION],Equipo[UND],,0),"")</f>
        <v/>
      </c>
      <c r="D176" s="31"/>
      <c r="E176" s="32" t="str">
        <f>IF(C176="%MO",G181,IFERROR(_xlfn.XLOOKUP($B176,Equipo[DESCRIPCION],Equipo[VALOR],,0),""))</f>
        <v/>
      </c>
      <c r="F176" s="33"/>
      <c r="G176" s="34" t="str">
        <f>IFERROR(IF(F176&gt;=0,D176*E176*(1+F176/100),ABS(D176*E176/F176)),"")</f>
        <v/>
      </c>
      <c r="H176" s="43" t="str">
        <f>IFERROR(G176*E164,"")</f>
        <v/>
      </c>
    </row>
    <row r="177" spans="1:11">
      <c r="A177" s="28"/>
      <c r="B177" s="29"/>
      <c r="C177" s="30" t="str">
        <f>IFERROR(_xlfn.XLOOKUP(B177,Equipo[DESCRIPCION],Equipo[UND],,0),"")</f>
        <v/>
      </c>
      <c r="D177" s="31"/>
      <c r="E177" s="32" t="str">
        <f>IF(C177="%MO",G181,IFERROR(_xlfn.XLOOKUP($B177,Equipo[DESCRIPCION],Equipo[VALOR],,0),""))</f>
        <v/>
      </c>
      <c r="F177" s="33"/>
      <c r="G177" s="34" t="str">
        <f>IFERROR(IF(F177&gt;=0,D177*E177*(1+F177/100),ABS(D177*E177/F177)),"")</f>
        <v/>
      </c>
      <c r="H177" s="43" t="str">
        <f>IFERROR(G177*E164,"")</f>
        <v/>
      </c>
    </row>
    <row r="178" spans="1:11">
      <c r="A178" s="21"/>
      <c r="B178" s="22" t="s">
        <v>2533</v>
      </c>
      <c r="C178" s="23"/>
      <c r="D178" s="24"/>
      <c r="E178" s="25"/>
      <c r="F178" s="26"/>
      <c r="G178" s="27">
        <f>SUM(G179:G180)</f>
        <v>0</v>
      </c>
      <c r="H178" s="27">
        <f>IFERROR(G178*E164,"")</f>
        <v>0</v>
      </c>
    </row>
    <row r="179" spans="1:11">
      <c r="A179" s="28"/>
      <c r="B179" s="29"/>
      <c r="C179" s="30" t="str">
        <f>IFERROR(_xlfn.XLOOKUP(B179,Transporte[DESCRIPCION],Transporte[UND],,0),"")</f>
        <v/>
      </c>
      <c r="D179" s="31"/>
      <c r="E179" s="32" t="str">
        <f>IFERROR(_xlfn.XLOOKUP($B179,Transporte[DESCRIPCION],Transporte[VALOR],,0),"")</f>
        <v/>
      </c>
      <c r="F179" s="33"/>
      <c r="G179" s="34" t="str">
        <f>IFERROR(IF(F179&gt;=0,D179*E179*(1+F179/100),ABS(D179*E179/F179)),"")</f>
        <v/>
      </c>
      <c r="H179" s="43" t="str">
        <f>IFERROR(G179*E164,"")</f>
        <v/>
      </c>
    </row>
    <row r="180" spans="1:11">
      <c r="A180" s="28"/>
      <c r="B180" s="29"/>
      <c r="C180" s="30" t="str">
        <f>IFERROR(_xlfn.XLOOKUP(B180,Transporte[DESCRIPCION],Transporte[UND],,0),"")</f>
        <v/>
      </c>
      <c r="D180" s="31"/>
      <c r="E180" s="32" t="str">
        <f>IFERROR(_xlfn.XLOOKUP($B180,Transporte[DESCRIPCION],Transporte[VALOR],,0),"")</f>
        <v/>
      </c>
      <c r="F180" s="33"/>
      <c r="G180" s="34" t="str">
        <f>IFERROR(IF(F180&gt;=0,D180*E180*(1+F180/100),ABS(D180*E180/F180)),"")</f>
        <v/>
      </c>
      <c r="H180" s="43" t="str">
        <f>IFERROR(G180*E164,"")</f>
        <v/>
      </c>
    </row>
    <row r="181" spans="1:11">
      <c r="A181" s="21"/>
      <c r="B181" s="22" t="s">
        <v>3732</v>
      </c>
      <c r="C181" s="23"/>
      <c r="D181" s="24"/>
      <c r="E181" s="25"/>
      <c r="F181" s="26"/>
      <c r="G181" s="27">
        <f>SUM(G182:G184)</f>
        <v>6753.5790933000017</v>
      </c>
      <c r="H181" s="27">
        <f>IFERROR(G181*E164,"")</f>
        <v>0</v>
      </c>
    </row>
    <row r="182" spans="1:11">
      <c r="A182" s="28"/>
      <c r="B182" s="29" t="s">
        <v>3715</v>
      </c>
      <c r="C182" s="30" t="str">
        <f>IFERROR(_xlfn.XLOOKUP(B182,MObra[DESCRIPCION],MObra[UN],,0),"")</f>
        <v>día</v>
      </c>
      <c r="D182" s="31">
        <v>1</v>
      </c>
      <c r="E182" s="32">
        <f>IFERROR(_xlfn.XLOOKUP($B182,MObra[DESCRIPCION],MObra[VALOR UNIT],,0),"")</f>
        <v>337678.95466500008</v>
      </c>
      <c r="F182" s="33">
        <v>-50</v>
      </c>
      <c r="G182" s="34">
        <f>IFERROR(IF(F182&gt;=0,D182*E182*(1+F182/100),ABS(D182*E182/F182)),"")</f>
        <v>6753.5790933000017</v>
      </c>
      <c r="H182" s="43">
        <f>IFERROR(G182*E164,"")</f>
        <v>0</v>
      </c>
    </row>
    <row r="183" spans="1:11">
      <c r="A183" s="28"/>
      <c r="B183" s="29"/>
      <c r="C183" s="30" t="str">
        <f>IFERROR(_xlfn.XLOOKUP(B183,MObra[DESCRIPCION],MObra[UN],,0),"")</f>
        <v/>
      </c>
      <c r="D183" s="31"/>
      <c r="E183" s="32" t="str">
        <f>IFERROR(_xlfn.XLOOKUP($B183,MObra[DESCRIPCION],MObra[VALOR UNIT],,0),"")</f>
        <v/>
      </c>
      <c r="F183" s="33"/>
      <c r="G183" s="34" t="str">
        <f>IFERROR(IF(F183&gt;=0,D183*E183*(1+F183/100),ABS(D183*E183/F183)),"")</f>
        <v/>
      </c>
      <c r="H183" s="43" t="str">
        <f>IFERROR(G183*E164,"")</f>
        <v/>
      </c>
    </row>
    <row r="184" spans="1:11">
      <c r="A184" s="35"/>
      <c r="B184" s="36"/>
      <c r="C184" s="37" t="str">
        <f>IFERROR(_xlfn.XLOOKUP(B184,MObra[DESCRIPCION],MObra[UN],,0),"")</f>
        <v/>
      </c>
      <c r="D184" s="38"/>
      <c r="E184" s="39" t="str">
        <f>IFERROR(_xlfn.XLOOKUP($B184,MObra[DESCRIPCION],MObra[VALOR UNIT],,0),"")</f>
        <v/>
      </c>
      <c r="F184" s="40"/>
      <c r="G184" s="41" t="str">
        <f>IFERROR(IF(F184&gt;=0,D184*E184*(1+F184/100),ABS(D184*E184/F184)),"")</f>
        <v/>
      </c>
      <c r="H184" s="42" t="str">
        <f>IFERROR(G184*E164,"")</f>
        <v/>
      </c>
    </row>
    <row r="185" spans="1:11" ht="12.75" customHeight="1" thickTop="1" thickBot="1"/>
    <row r="186" spans="1:11" ht="13.5" thickTop="1" thickBot="1">
      <c r="A186" s="6" t="s">
        <v>2278</v>
      </c>
      <c r="B186" s="7" t="str">
        <f>VLOOKUP($A186,Presupuesto!$A:$D,2,FALSE())</f>
        <v>Base de concreto y anclajes para poste metálico de 12m</v>
      </c>
      <c r="C186" s="8" t="str">
        <f>VLOOKUP($A186,Presupuesto!$A:$D,3,FALSE())</f>
        <v>Un</v>
      </c>
      <c r="D186" s="9"/>
      <c r="E186" s="10">
        <f>VLOOKUP($A186,Presupuesto!$A:$D,4,FALSE())</f>
        <v>0</v>
      </c>
      <c r="F186" s="11" t="s">
        <v>2589</v>
      </c>
      <c r="G186" s="12">
        <f>SUM(G188:G205)/2</f>
        <v>483669.04183697538</v>
      </c>
      <c r="H186" s="13">
        <f>ROUND(SUM(H188:H205),0)/2</f>
        <v>0</v>
      </c>
      <c r="I186" s="10">
        <f>VLOOKUP(A186,Presupuesto!$A:$F,6,0)</f>
        <v>0</v>
      </c>
      <c r="J186" s="10">
        <f>+H186-I186</f>
        <v>0</v>
      </c>
      <c r="K186" s="46">
        <f>+H186-G186*E186</f>
        <v>0</v>
      </c>
    </row>
    <row r="187" spans="1:11">
      <c r="A187" s="14"/>
      <c r="B187" s="15" t="s">
        <v>2586</v>
      </c>
      <c r="C187" s="15" t="s">
        <v>5</v>
      </c>
      <c r="D187" s="16" t="s">
        <v>6</v>
      </c>
      <c r="E187" s="17" t="s">
        <v>7</v>
      </c>
      <c r="F187" s="18" t="s">
        <v>3728</v>
      </c>
      <c r="G187" s="19" t="s">
        <v>3729</v>
      </c>
      <c r="H187" s="20" t="s">
        <v>3797</v>
      </c>
    </row>
    <row r="188" spans="1:11">
      <c r="A188" s="21"/>
      <c r="B188" s="22" t="s">
        <v>3730</v>
      </c>
      <c r="C188" s="23"/>
      <c r="D188" s="24"/>
      <c r="E188" s="25"/>
      <c r="F188" s="26"/>
      <c r="G188" s="27">
        <f>SUM(G189:G194)</f>
        <v>389747.71603256534</v>
      </c>
      <c r="H188" s="27">
        <f>IFERROR(G188*E186,"")</f>
        <v>0</v>
      </c>
    </row>
    <row r="189" spans="1:11">
      <c r="A189" s="28"/>
      <c r="B189" s="29" t="s">
        <v>2653</v>
      </c>
      <c r="C189" s="30" t="str">
        <f>IFERROR(_xlfn.XLOOKUP(B189,Insumo[DESCRIPCION],Insumo[UND],,0),"")</f>
        <v>Kg</v>
      </c>
      <c r="D189" s="31">
        <v>10</v>
      </c>
      <c r="E189" s="32">
        <f>IFERROR(_xlfn.XLOOKUP($B189,Insumo[DESCRIPCION],Insumo[VALOR],,0),"")</f>
        <v>5686.8</v>
      </c>
      <c r="F189" s="33"/>
      <c r="G189" s="34">
        <f>IFERROR(IF(F189&gt;=0,D189*E189*(1+F189/100),ABS(D189*E189/F189)),"")</f>
        <v>56868</v>
      </c>
      <c r="H189" s="43">
        <f>IFERROR(G189*E186,"")</f>
        <v>0</v>
      </c>
    </row>
    <row r="190" spans="1:11">
      <c r="A190" s="28"/>
      <c r="B190" s="29" t="s">
        <v>3239</v>
      </c>
      <c r="C190" s="30" t="str">
        <f>IFERROR(_xlfn.XLOOKUP(B190,Insumo[DESCRIPCION],Insumo[UND],,0),"")</f>
        <v>M3</v>
      </c>
      <c r="D190" s="31">
        <v>0.31</v>
      </c>
      <c r="E190" s="32">
        <f>IFERROR(_xlfn.XLOOKUP($B190,Insumo[DESCRIPCION],Insumo[VALOR],,0),"")</f>
        <v>521159.50227762427</v>
      </c>
      <c r="F190" s="33"/>
      <c r="G190" s="34">
        <f>IFERROR(IF(F190&gt;=0,D190*E190*(1+F190/100),ABS(D190*E190/F190)),"")</f>
        <v>161559.44570606353</v>
      </c>
      <c r="H190" s="43">
        <f>IFERROR(G190*E186,"")</f>
        <v>0</v>
      </c>
    </row>
    <row r="191" spans="1:11">
      <c r="A191" s="28"/>
      <c r="B191" s="29" t="s">
        <v>3435</v>
      </c>
      <c r="C191" s="30" t="str">
        <f>IFERROR(_xlfn.XLOOKUP(B191,Insumo[DESCRIPCION],Insumo[UND],,0),"")</f>
        <v>M</v>
      </c>
      <c r="D191" s="31">
        <v>2</v>
      </c>
      <c r="E191" s="32">
        <f>IFERROR(_xlfn.XLOOKUP($B191,Insumo[DESCRIPCION],Insumo[VALOR],,0),"")</f>
        <v>6376.6500000000005</v>
      </c>
      <c r="F191" s="33"/>
      <c r="G191" s="34">
        <f>IFERROR(IF(F191&gt;=0,D191*E191*(1+F191/100),ABS(D191*E191/F191)),"")</f>
        <v>12753.300000000001</v>
      </c>
      <c r="H191" s="43">
        <f>IFERROR(G191*E186,"")</f>
        <v>0</v>
      </c>
    </row>
    <row r="192" spans="1:11">
      <c r="A192" s="28"/>
      <c r="B192" s="29" t="s">
        <v>2910</v>
      </c>
      <c r="C192" s="30" t="str">
        <f>IFERROR(_xlfn.XLOOKUP(B192,Insumo[DESCRIPCION],Insumo[UND],,0),"")</f>
        <v>Un</v>
      </c>
      <c r="D192" s="31">
        <v>1</v>
      </c>
      <c r="E192" s="32">
        <f>IFERROR(_xlfn.XLOOKUP($B192,Insumo[DESCRIPCION],Insumo[VALOR],,0),"")</f>
        <v>6825</v>
      </c>
      <c r="F192" s="33"/>
      <c r="G192" s="34">
        <f>IFERROR(IF(F192&gt;=0,D192*E192*(1+F192/100),ABS(D192*E192/F192)),"")</f>
        <v>6825</v>
      </c>
      <c r="H192" s="43">
        <f>IFERROR(G192*E186,"")</f>
        <v>0</v>
      </c>
    </row>
    <row r="193" spans="1:11">
      <c r="A193" s="28"/>
      <c r="B193" s="29" t="s">
        <v>3199</v>
      </c>
      <c r="C193" s="30" t="str">
        <f>IFERROR(_xlfn.XLOOKUP(B193,Insumo[DESCRIPCION],Insumo[UND],,0),"")</f>
        <v>Un</v>
      </c>
      <c r="D193" s="31">
        <v>4</v>
      </c>
      <c r="E193" s="32">
        <f>IFERROR(_xlfn.XLOOKUP($B193,Insumo[DESCRIPCION],Insumo[VALOR],,0),"")</f>
        <v>27720</v>
      </c>
      <c r="F193" s="33"/>
      <c r="G193" s="34">
        <f t="shared" ref="G193:G194" si="2">IFERROR(IF(F193&gt;=0,D193*E193*(1+F193/100),ABS(D193*E193/F193)),"")</f>
        <v>110880</v>
      </c>
      <c r="H193" s="43">
        <f>IFERROR(G193*E186,"")</f>
        <v>0</v>
      </c>
    </row>
    <row r="194" spans="1:11">
      <c r="A194" s="28"/>
      <c r="B194" s="29" t="s">
        <v>2954</v>
      </c>
      <c r="C194" s="30" t="str">
        <f>IFERROR(_xlfn.XLOOKUP(B194,Insumo[DESCRIPCION],Insumo[UND],,0),"")</f>
        <v>M2</v>
      </c>
      <c r="D194" s="31">
        <v>0.4</v>
      </c>
      <c r="E194" s="32">
        <f>IFERROR(_xlfn.XLOOKUP($B194,Insumo[DESCRIPCION],Insumo[VALOR],,0),"")</f>
        <v>102154.92581625449</v>
      </c>
      <c r="F194" s="33"/>
      <c r="G194" s="34">
        <f t="shared" si="2"/>
        <v>40861.970326501796</v>
      </c>
      <c r="H194" s="43">
        <f>IFERROR(G194*E186,"")</f>
        <v>0</v>
      </c>
    </row>
    <row r="195" spans="1:11">
      <c r="A195" s="21"/>
      <c r="B195" s="22" t="s">
        <v>3731</v>
      </c>
      <c r="C195" s="23"/>
      <c r="D195" s="24"/>
      <c r="E195" s="25"/>
      <c r="F195" s="26"/>
      <c r="G195" s="27">
        <f>SUM(G196:G198)</f>
        <v>7754.9718554100018</v>
      </c>
      <c r="H195" s="27">
        <f>IFERROR(G195*E186,"")</f>
        <v>0</v>
      </c>
    </row>
    <row r="196" spans="1:11">
      <c r="A196" s="28"/>
      <c r="B196" s="29" t="s">
        <v>3570</v>
      </c>
      <c r="C196" s="30" t="str">
        <f>IFERROR(_xlfn.XLOOKUP(B196,Equipo[DESCRIPCION],Equipo[UND],,0),"")</f>
        <v>%MO</v>
      </c>
      <c r="D196" s="31">
        <v>0.04</v>
      </c>
      <c r="E196" s="32">
        <f>IF(C196="%MO",G202,IFERROR(_xlfn.XLOOKUP($B196,Equipo[DESCRIPCION],Equipo[VALOR],,0),""))</f>
        <v>86166.353949000011</v>
      </c>
      <c r="F196" s="33"/>
      <c r="G196" s="34">
        <f>IFERROR(IF(F196&gt;=0,D196*E196*(1+F196/100),ABS(D196*E196/F196)),"")</f>
        <v>3446.6541579600007</v>
      </c>
      <c r="H196" s="43">
        <f>IFERROR(G196*E186,"")</f>
        <v>0</v>
      </c>
    </row>
    <row r="197" spans="1:11">
      <c r="A197" s="28"/>
      <c r="B197" s="29" t="s">
        <v>3626</v>
      </c>
      <c r="C197" s="30" t="str">
        <f>IFERROR(_xlfn.XLOOKUP(B197,Equipo[DESCRIPCION],Equipo[UND],,0),"")</f>
        <v>%MO</v>
      </c>
      <c r="D197" s="31">
        <v>0.05</v>
      </c>
      <c r="E197" s="32">
        <f>IF(C197="%MO",G202,IFERROR(_xlfn.XLOOKUP($B197,Equipo[DESCRIPCION],Equipo[VALOR],,0),""))</f>
        <v>86166.353949000011</v>
      </c>
      <c r="F197" s="33"/>
      <c r="G197" s="34">
        <f>IFERROR(IF(F197&gt;=0,D197*E197*(1+F197/100),ABS(D197*E197/F197)),"")</f>
        <v>4308.3176974500011</v>
      </c>
      <c r="H197" s="43">
        <f>IFERROR(G197*E186,"")</f>
        <v>0</v>
      </c>
    </row>
    <row r="198" spans="1:11">
      <c r="A198" s="28"/>
      <c r="B198" s="29"/>
      <c r="C198" s="30" t="str">
        <f>IFERROR(_xlfn.XLOOKUP(B198,Equipo[DESCRIPCION],Equipo[UND],,0),"")</f>
        <v/>
      </c>
      <c r="D198" s="31"/>
      <c r="E198" s="32" t="str">
        <f>IF(C198="%MO",G202,IFERROR(_xlfn.XLOOKUP($B198,Equipo[DESCRIPCION],Equipo[VALOR],,0),""))</f>
        <v/>
      </c>
      <c r="F198" s="33"/>
      <c r="G198" s="34" t="str">
        <f>IFERROR(IF(F198&gt;=0,D198*E198*(1+F198/100),ABS(D198*E198/F198)),"")</f>
        <v/>
      </c>
      <c r="H198" s="43" t="str">
        <f>IFERROR(G198*E186,"")</f>
        <v/>
      </c>
    </row>
    <row r="199" spans="1:11">
      <c r="A199" s="21"/>
      <c r="B199" s="22" t="s">
        <v>2533</v>
      </c>
      <c r="C199" s="23"/>
      <c r="D199" s="24"/>
      <c r="E199" s="25"/>
      <c r="F199" s="26"/>
      <c r="G199" s="27">
        <f>SUM(G200:G201)</f>
        <v>0</v>
      </c>
      <c r="H199" s="27">
        <f>IFERROR(G199*E186,"")</f>
        <v>0</v>
      </c>
    </row>
    <row r="200" spans="1:11">
      <c r="A200" s="28"/>
      <c r="B200" s="29"/>
      <c r="C200" s="30" t="str">
        <f>IFERROR(_xlfn.XLOOKUP(B200,Transporte[DESCRIPCION],Transporte[UND],,0),"")</f>
        <v/>
      </c>
      <c r="D200" s="31"/>
      <c r="E200" s="32" t="str">
        <f>IFERROR(_xlfn.XLOOKUP($B200,Transporte[DESCRIPCION],Transporte[VALOR],,0),"")</f>
        <v/>
      </c>
      <c r="F200" s="33"/>
      <c r="G200" s="34" t="str">
        <f>IFERROR(IF(F200&gt;=0,D200*E200*(1+F200/100),ABS(D200*E200/F200)),"")</f>
        <v/>
      </c>
      <c r="H200" s="43" t="str">
        <f>IFERROR(G200*E186,"")</f>
        <v/>
      </c>
    </row>
    <row r="201" spans="1:11">
      <c r="A201" s="28"/>
      <c r="B201" s="29"/>
      <c r="C201" s="30" t="str">
        <f>IFERROR(_xlfn.XLOOKUP(B201,Transporte[DESCRIPCION],Transporte[UND],,0),"")</f>
        <v/>
      </c>
      <c r="D201" s="31"/>
      <c r="E201" s="32" t="str">
        <f>IFERROR(_xlfn.XLOOKUP($B201,Transporte[DESCRIPCION],Transporte[VALOR],,0),"")</f>
        <v/>
      </c>
      <c r="F201" s="33"/>
      <c r="G201" s="34" t="str">
        <f>IFERROR(IF(F201&gt;=0,D201*E201*(1+F201/100),ABS(D201*E201/F201)),"")</f>
        <v/>
      </c>
      <c r="H201" s="43" t="str">
        <f>IFERROR(G201*E186,"")</f>
        <v/>
      </c>
    </row>
    <row r="202" spans="1:11">
      <c r="A202" s="21"/>
      <c r="B202" s="22" t="s">
        <v>3732</v>
      </c>
      <c r="C202" s="23"/>
      <c r="D202" s="24"/>
      <c r="E202" s="25"/>
      <c r="F202" s="26"/>
      <c r="G202" s="27">
        <f>SUM(G203:G205)</f>
        <v>86166.353949000011</v>
      </c>
      <c r="H202" s="27">
        <f>IFERROR(G202*E186,"")</f>
        <v>0</v>
      </c>
    </row>
    <row r="203" spans="1:11">
      <c r="A203" s="28"/>
      <c r="B203" s="29" t="s">
        <v>3711</v>
      </c>
      <c r="C203" s="30" t="str">
        <f>IFERROR(_xlfn.XLOOKUP(B203,MObra[DESCRIPCION],MObra[UN],,0),"")</f>
        <v>día</v>
      </c>
      <c r="D203" s="31">
        <v>1</v>
      </c>
      <c r="E203" s="32">
        <f>IFERROR(_xlfn.XLOOKUP($B203,MObra[DESCRIPCION],MObra[VALOR UNIT],,0),"")</f>
        <v>430831.76974500006</v>
      </c>
      <c r="F203" s="33">
        <v>-5</v>
      </c>
      <c r="G203" s="34">
        <f>IFERROR(IF(F203&gt;=0,D203*E203*(1+F203/100),ABS(D203*E203/F203)),"")</f>
        <v>86166.353949000011</v>
      </c>
      <c r="H203" s="43">
        <f>IFERROR(G203*E186,"")</f>
        <v>0</v>
      </c>
    </row>
    <row r="204" spans="1:11">
      <c r="A204" s="28"/>
      <c r="B204" s="29"/>
      <c r="C204" s="30" t="str">
        <f>IFERROR(_xlfn.XLOOKUP(B204,MObra[DESCRIPCION],MObra[UN],,0),"")</f>
        <v/>
      </c>
      <c r="D204" s="31"/>
      <c r="E204" s="32" t="str">
        <f>IFERROR(_xlfn.XLOOKUP($B204,MObra[DESCRIPCION],MObra[VALOR UNIT],,0),"")</f>
        <v/>
      </c>
      <c r="F204" s="33"/>
      <c r="G204" s="34" t="str">
        <f>IFERROR(IF(F204&gt;=0,D204*E204*(1+F204/100),ABS(D204*E204/F204)),"")</f>
        <v/>
      </c>
      <c r="H204" s="43" t="str">
        <f>IFERROR(G204*E186,"")</f>
        <v/>
      </c>
    </row>
    <row r="205" spans="1:11">
      <c r="A205" s="35"/>
      <c r="B205" s="36"/>
      <c r="C205" s="37" t="str">
        <f>IFERROR(_xlfn.XLOOKUP(B205,MObra[DESCRIPCION],MObra[UN],,0),"")</f>
        <v/>
      </c>
      <c r="D205" s="38"/>
      <c r="E205" s="39" t="str">
        <f>IFERROR(_xlfn.XLOOKUP($B205,MObra[DESCRIPCION],MObra[VALOR UNIT],,0),"")</f>
        <v/>
      </c>
      <c r="F205" s="40"/>
      <c r="G205" s="41" t="str">
        <f>IFERROR(IF(F205&gt;=0,D205*E205*(1+F205/100),ABS(D205*E205/F205)),"")</f>
        <v/>
      </c>
      <c r="H205" s="42" t="str">
        <f>IFERROR(G205*E186,"")</f>
        <v/>
      </c>
    </row>
    <row r="206" spans="1:11" ht="12.75" customHeight="1" thickTop="1" thickBot="1"/>
    <row r="207" spans="1:11" ht="26.25" thickTop="1" thickBot="1">
      <c r="A207" s="6" t="s">
        <v>2280</v>
      </c>
      <c r="B207" s="7" t="str">
        <f>VLOOKUP($A207,Presupuesto!$A:$D,2,FALSE())</f>
        <v>Cámara en concreto 0.6x0.6x0.8m libre en prado y tapa de seguridad, Tipo CALE Norma EEP para red de alumbrado público</v>
      </c>
      <c r="C207" s="8" t="str">
        <f>VLOOKUP($A207,Presupuesto!$A:$D,3,FALSE())</f>
        <v>Un</v>
      </c>
      <c r="D207" s="9"/>
      <c r="E207" s="10">
        <f>VLOOKUP($A207,Presupuesto!$A:$D,4,FALSE())</f>
        <v>0</v>
      </c>
      <c r="F207" s="11" t="s">
        <v>2589</v>
      </c>
      <c r="G207" s="12">
        <f>SUM(G209:G226)/2</f>
        <v>1198312.7836299113</v>
      </c>
      <c r="H207" s="13">
        <f>ROUND(SUM(H209:H226),0)/2</f>
        <v>0</v>
      </c>
      <c r="I207" s="10">
        <f>VLOOKUP(A207,Presupuesto!$A:$F,6,0)</f>
        <v>0</v>
      </c>
      <c r="J207" s="10">
        <f>+H207-I207</f>
        <v>0</v>
      </c>
      <c r="K207" s="46">
        <f>+H207-G207*E207</f>
        <v>0</v>
      </c>
    </row>
    <row r="208" spans="1:11">
      <c r="A208" s="14"/>
      <c r="B208" s="15" t="s">
        <v>2586</v>
      </c>
      <c r="C208" s="15" t="s">
        <v>5</v>
      </c>
      <c r="D208" s="16" t="s">
        <v>6</v>
      </c>
      <c r="E208" s="17" t="s">
        <v>7</v>
      </c>
      <c r="F208" s="18" t="s">
        <v>3728</v>
      </c>
      <c r="G208" s="19" t="s">
        <v>3729</v>
      </c>
      <c r="H208" s="20" t="s">
        <v>3797</v>
      </c>
    </row>
    <row r="209" spans="1:8">
      <c r="A209" s="21"/>
      <c r="B209" s="22" t="s">
        <v>3730</v>
      </c>
      <c r="C209" s="23"/>
      <c r="D209" s="24"/>
      <c r="E209" s="25"/>
      <c r="F209" s="26"/>
      <c r="G209" s="27">
        <f>SUM(G210:G215)</f>
        <v>1104391.457825501</v>
      </c>
      <c r="H209" s="27">
        <f>IFERROR(G209*E207,"")</f>
        <v>0</v>
      </c>
    </row>
    <row r="210" spans="1:8">
      <c r="A210" s="28"/>
      <c r="B210" s="29" t="s">
        <v>3239</v>
      </c>
      <c r="C210" s="30" t="str">
        <f>IFERROR(_xlfn.XLOOKUP(B210,Insumo[DESCRIPCION],Insumo[UND],,0),"")</f>
        <v>M3</v>
      </c>
      <c r="D210" s="31">
        <v>0.14000000000000001</v>
      </c>
      <c r="E210" s="32">
        <f>IFERROR(_xlfn.XLOOKUP($B210,Insumo[DESCRIPCION],Insumo[VALOR],,0),"")</f>
        <v>521159.50227762427</v>
      </c>
      <c r="F210" s="33"/>
      <c r="G210" s="34">
        <f t="shared" ref="G210:G215" si="3">IFERROR(IF(F210&gt;=0,D210*E210*(1+F210/100),ABS(D210*E210/F210)),"")</f>
        <v>72962.330318867404</v>
      </c>
      <c r="H210" s="43">
        <f>IFERROR(G210*E207,"")</f>
        <v>0</v>
      </c>
    </row>
    <row r="211" spans="1:8">
      <c r="A211" s="28"/>
      <c r="B211" s="29" t="s">
        <v>2718</v>
      </c>
      <c r="C211" s="30" t="str">
        <f>IFERROR(_xlfn.XLOOKUP(B211,Insumo[DESCRIPCION],Insumo[UND],,0),"")</f>
        <v>Un</v>
      </c>
      <c r="D211" s="31">
        <v>1</v>
      </c>
      <c r="E211" s="32">
        <f>IFERROR(_xlfn.XLOOKUP($B211,Insumo[DESCRIPCION],Insumo[VALOR],,0),"")</f>
        <v>284997.3</v>
      </c>
      <c r="F211" s="33"/>
      <c r="G211" s="34">
        <f t="shared" si="3"/>
        <v>284997.3</v>
      </c>
      <c r="H211" s="43">
        <f>IFERROR(G211*E207,"")</f>
        <v>0</v>
      </c>
    </row>
    <row r="212" spans="1:8">
      <c r="A212" s="28"/>
      <c r="B212" s="29" t="s">
        <v>2653</v>
      </c>
      <c r="C212" s="30" t="str">
        <f>IFERROR(_xlfn.XLOOKUP(B212,Insumo[DESCRIPCION],Insumo[UND],,0),"")</f>
        <v>Kg</v>
      </c>
      <c r="D212" s="31">
        <v>12</v>
      </c>
      <c r="E212" s="32">
        <f>IFERROR(_xlfn.XLOOKUP($B212,Insumo[DESCRIPCION],Insumo[VALOR],,0),"")</f>
        <v>5686.8</v>
      </c>
      <c r="F212" s="33"/>
      <c r="G212" s="34">
        <f t="shared" si="3"/>
        <v>68241.600000000006</v>
      </c>
      <c r="H212" s="43">
        <f>IFERROR(G212*E207,"")</f>
        <v>0</v>
      </c>
    </row>
    <row r="213" spans="1:8">
      <c r="A213" s="28"/>
      <c r="B213" s="29" t="s">
        <v>2954</v>
      </c>
      <c r="C213" s="30" t="str">
        <f>IFERROR(_xlfn.XLOOKUP(B213,Insumo[DESCRIPCION],Insumo[UND],,0),"")</f>
        <v>M2</v>
      </c>
      <c r="D213" s="31">
        <v>0.75</v>
      </c>
      <c r="E213" s="32">
        <f>IFERROR(_xlfn.XLOOKUP($B213,Insumo[DESCRIPCION],Insumo[VALOR],,0),"")</f>
        <v>102154.92581625449</v>
      </c>
      <c r="F213" s="33"/>
      <c r="G213" s="34">
        <f t="shared" si="3"/>
        <v>76616.194362190872</v>
      </c>
      <c r="H213" s="43">
        <f>IFERROR(G213*E207,"")</f>
        <v>0</v>
      </c>
    </row>
    <row r="214" spans="1:8">
      <c r="A214" s="28"/>
      <c r="B214" s="29" t="s">
        <v>3244</v>
      </c>
      <c r="C214" s="30" t="str">
        <f>IFERROR(_xlfn.XLOOKUP(B214,Insumo[DESCRIPCION],Insumo[UND],,0),"")</f>
        <v>M3</v>
      </c>
      <c r="D214" s="31">
        <v>0.02</v>
      </c>
      <c r="E214" s="32">
        <f>IFERROR(_xlfn.XLOOKUP($B214,Insumo[DESCRIPCION],Insumo[VALOR],,0),"")</f>
        <v>497765.65722213761</v>
      </c>
      <c r="F214" s="33"/>
      <c r="G214" s="34">
        <f t="shared" si="3"/>
        <v>9955.3131444427527</v>
      </c>
      <c r="H214" s="43">
        <f>IFERROR(G214*E207,"")</f>
        <v>0</v>
      </c>
    </row>
    <row r="215" spans="1:8">
      <c r="A215" s="28"/>
      <c r="B215" s="29" t="s">
        <v>3136</v>
      </c>
      <c r="C215" s="30" t="str">
        <f>IFERROR(_xlfn.XLOOKUP(B215,Insumo[DESCRIPCION],Insumo[UND],,0),"")</f>
        <v>Un</v>
      </c>
      <c r="D215" s="31">
        <v>2.2000000000000002</v>
      </c>
      <c r="E215" s="32">
        <f>IFERROR(_xlfn.XLOOKUP($B215,Insumo[DESCRIPCION],Insumo[VALOR],,0),"")</f>
        <v>268917.60000000003</v>
      </c>
      <c r="F215" s="33"/>
      <c r="G215" s="34">
        <f t="shared" si="3"/>
        <v>591618.72000000009</v>
      </c>
      <c r="H215" s="43">
        <f>IFERROR(G215*E207,"")</f>
        <v>0</v>
      </c>
    </row>
    <row r="216" spans="1:8">
      <c r="A216" s="21"/>
      <c r="B216" s="22" t="s">
        <v>3731</v>
      </c>
      <c r="C216" s="23"/>
      <c r="D216" s="24"/>
      <c r="E216" s="25"/>
      <c r="F216" s="26"/>
      <c r="G216" s="27">
        <f>SUM(G217:G219)</f>
        <v>7754.9718554100018</v>
      </c>
      <c r="H216" s="27">
        <f>IFERROR(G216*E207,"")</f>
        <v>0</v>
      </c>
    </row>
    <row r="217" spans="1:8">
      <c r="A217" s="28"/>
      <c r="B217" s="29" t="s">
        <v>3570</v>
      </c>
      <c r="C217" s="30" t="str">
        <f>IFERROR(_xlfn.XLOOKUP(B217,Equipo[DESCRIPCION],Equipo[UND],,0),"")</f>
        <v>%MO</v>
      </c>
      <c r="D217" s="31">
        <v>0.04</v>
      </c>
      <c r="E217" s="32">
        <f>IF(C217="%MO",G223,IFERROR(_xlfn.XLOOKUP($B217,Equipo[DESCRIPCION],Equipo[VALOR],,0),""))</f>
        <v>86166.353949000011</v>
      </c>
      <c r="F217" s="33"/>
      <c r="G217" s="34">
        <f>IFERROR(IF(F217&gt;=0,D217*E217*(1+F217/100),ABS(D217*E217/F217)),"")</f>
        <v>3446.6541579600007</v>
      </c>
      <c r="H217" s="43">
        <f>IFERROR(G217*E207,"")</f>
        <v>0</v>
      </c>
    </row>
    <row r="218" spans="1:8">
      <c r="A218" s="28"/>
      <c r="B218" s="29" t="s">
        <v>3626</v>
      </c>
      <c r="C218" s="30" t="str">
        <f>IFERROR(_xlfn.XLOOKUP(B218,Equipo[DESCRIPCION],Equipo[UND],,0),"")</f>
        <v>%MO</v>
      </c>
      <c r="D218" s="31">
        <v>0.05</v>
      </c>
      <c r="E218" s="32">
        <f>IF(C218="%MO",G223,IFERROR(_xlfn.XLOOKUP($B218,Equipo[DESCRIPCION],Equipo[VALOR],,0),""))</f>
        <v>86166.353949000011</v>
      </c>
      <c r="F218" s="33"/>
      <c r="G218" s="34">
        <f>IFERROR(IF(F218&gt;=0,D218*E218*(1+F218/100),ABS(D218*E218/F218)),"")</f>
        <v>4308.3176974500011</v>
      </c>
      <c r="H218" s="43">
        <f>IFERROR(G218*E207,"")</f>
        <v>0</v>
      </c>
    </row>
    <row r="219" spans="1:8">
      <c r="A219" s="28"/>
      <c r="B219" s="29"/>
      <c r="C219" s="30" t="str">
        <f>IFERROR(_xlfn.XLOOKUP(B219,Equipo[DESCRIPCION],Equipo[UND],,0),"")</f>
        <v/>
      </c>
      <c r="D219" s="31"/>
      <c r="E219" s="32" t="str">
        <f>IF(C219="%MO",G223,IFERROR(_xlfn.XLOOKUP($B219,Equipo[DESCRIPCION],Equipo[VALOR],,0),""))</f>
        <v/>
      </c>
      <c r="F219" s="33"/>
      <c r="G219" s="34" t="str">
        <f>IFERROR(IF(F219&gt;=0,D219*E219*(1+F219/100),ABS(D219*E219/F219)),"")</f>
        <v/>
      </c>
      <c r="H219" s="43" t="str">
        <f>IFERROR(G219*E207,"")</f>
        <v/>
      </c>
    </row>
    <row r="220" spans="1:8">
      <c r="A220" s="21"/>
      <c r="B220" s="22" t="s">
        <v>2533</v>
      </c>
      <c r="C220" s="23"/>
      <c r="D220" s="24"/>
      <c r="E220" s="25"/>
      <c r="F220" s="26"/>
      <c r="G220" s="27">
        <f>SUM(G221:G222)</f>
        <v>0</v>
      </c>
      <c r="H220" s="27">
        <f>IFERROR(G220*E207,"")</f>
        <v>0</v>
      </c>
    </row>
    <row r="221" spans="1:8">
      <c r="A221" s="28"/>
      <c r="B221" s="29"/>
      <c r="C221" s="30" t="str">
        <f>IFERROR(_xlfn.XLOOKUP(B221,Transporte[DESCRIPCION],Transporte[UND],,0),"")</f>
        <v/>
      </c>
      <c r="D221" s="31"/>
      <c r="E221" s="32" t="str">
        <f>IFERROR(_xlfn.XLOOKUP($B221,Transporte[DESCRIPCION],Transporte[VALOR],,0),"")</f>
        <v/>
      </c>
      <c r="F221" s="33"/>
      <c r="G221" s="34" t="str">
        <f>IFERROR(IF(F221&gt;=0,D221*E221*(1+F221/100),ABS(D221*E221/F221)),"")</f>
        <v/>
      </c>
      <c r="H221" s="43" t="str">
        <f>IFERROR(G221*E207,"")</f>
        <v/>
      </c>
    </row>
    <row r="222" spans="1:8">
      <c r="A222" s="28"/>
      <c r="B222" s="29"/>
      <c r="C222" s="30" t="str">
        <f>IFERROR(_xlfn.XLOOKUP(B222,Transporte[DESCRIPCION],Transporte[UND],,0),"")</f>
        <v/>
      </c>
      <c r="D222" s="31"/>
      <c r="E222" s="32" t="str">
        <f>IFERROR(_xlfn.XLOOKUP($B222,Transporte[DESCRIPCION],Transporte[VALOR],,0),"")</f>
        <v/>
      </c>
      <c r="F222" s="33"/>
      <c r="G222" s="34" t="str">
        <f>IFERROR(IF(F222&gt;=0,D222*E222*(1+F222/100),ABS(D222*E222/F222)),"")</f>
        <v/>
      </c>
      <c r="H222" s="43" t="str">
        <f>IFERROR(G222*E207,"")</f>
        <v/>
      </c>
    </row>
    <row r="223" spans="1:8">
      <c r="A223" s="21"/>
      <c r="B223" s="22" t="s">
        <v>3732</v>
      </c>
      <c r="C223" s="23"/>
      <c r="D223" s="24"/>
      <c r="E223" s="25"/>
      <c r="F223" s="26"/>
      <c r="G223" s="27">
        <f>SUM(G224:G226)</f>
        <v>86166.353949000011</v>
      </c>
      <c r="H223" s="27">
        <f>IFERROR(G223*E207,"")</f>
        <v>0</v>
      </c>
    </row>
    <row r="224" spans="1:8">
      <c r="A224" s="28"/>
      <c r="B224" s="29" t="s">
        <v>3711</v>
      </c>
      <c r="C224" s="30" t="str">
        <f>IFERROR(_xlfn.XLOOKUP(B224,MObra[DESCRIPCION],MObra[UN],,0),"")</f>
        <v>día</v>
      </c>
      <c r="D224" s="31">
        <v>1</v>
      </c>
      <c r="E224" s="32">
        <f>IFERROR(_xlfn.XLOOKUP($B224,MObra[DESCRIPCION],MObra[VALOR UNIT],,0),"")</f>
        <v>430831.76974500006</v>
      </c>
      <c r="F224" s="33">
        <v>-5</v>
      </c>
      <c r="G224" s="34">
        <f>IFERROR(IF(F224&gt;=0,D224*E224*(1+F224/100),ABS(D224*E224/F224)),"")</f>
        <v>86166.353949000011</v>
      </c>
      <c r="H224" s="43">
        <f>IFERROR(G224*E207,"")</f>
        <v>0</v>
      </c>
    </row>
    <row r="225" spans="1:11">
      <c r="A225" s="28"/>
      <c r="B225" s="29"/>
      <c r="C225" s="30" t="str">
        <f>IFERROR(_xlfn.XLOOKUP(B225,MObra[DESCRIPCION],MObra[UN],,0),"")</f>
        <v/>
      </c>
      <c r="D225" s="31"/>
      <c r="E225" s="32" t="str">
        <f>IFERROR(_xlfn.XLOOKUP($B225,MObra[DESCRIPCION],MObra[VALOR UNIT],,0),"")</f>
        <v/>
      </c>
      <c r="F225" s="33"/>
      <c r="G225" s="34" t="str">
        <f>IFERROR(IF(F225&gt;=0,D225*E225*(1+F225/100),ABS(D225*E225/F225)),"")</f>
        <v/>
      </c>
      <c r="H225" s="43" t="str">
        <f>IFERROR(G225*E207,"")</f>
        <v/>
      </c>
    </row>
    <row r="226" spans="1:11">
      <c r="A226" s="35"/>
      <c r="B226" s="36"/>
      <c r="C226" s="37" t="str">
        <f>IFERROR(_xlfn.XLOOKUP(B226,MObra[DESCRIPCION],MObra[UN],,0),"")</f>
        <v/>
      </c>
      <c r="D226" s="38"/>
      <c r="E226" s="39" t="str">
        <f>IFERROR(_xlfn.XLOOKUP($B226,MObra[DESCRIPCION],MObra[VALOR UNIT],,0),"")</f>
        <v/>
      </c>
      <c r="F226" s="40"/>
      <c r="G226" s="41" t="str">
        <f>IFERROR(IF(F226&gt;=0,D226*E226*(1+F226/100),ABS(D226*E226/F226)),"")</f>
        <v/>
      </c>
      <c r="H226" s="42" t="str">
        <f>IFERROR(G226*E207,"")</f>
        <v/>
      </c>
    </row>
    <row r="227" spans="1:11" ht="12.75" customHeight="1" thickTop="1" thickBot="1"/>
    <row r="228" spans="1:11" ht="13.5" thickTop="1" thickBot="1">
      <c r="A228" s="6" t="s">
        <v>2282</v>
      </c>
      <c r="B228" s="7" t="str">
        <f>VLOOKUP($A228,Presupuesto!$A:$D,2,FALSE())</f>
        <v>Conector para empalme de derivación gel marca TYCO GHFC1-90</v>
      </c>
      <c r="C228" s="8" t="str">
        <f>VLOOKUP($A228,Presupuesto!$A:$D,3,FALSE())</f>
        <v>Un</v>
      </c>
      <c r="D228" s="9"/>
      <c r="E228" s="10">
        <f>VLOOKUP($A228,Presupuesto!$A:$D,4,FALSE())</f>
        <v>0</v>
      </c>
      <c r="F228" s="11" t="s">
        <v>2589</v>
      </c>
      <c r="G228" s="12">
        <f>SUM(G230:G246)/2</f>
        <v>48826.776281324994</v>
      </c>
      <c r="H228" s="13">
        <f>ROUND(SUM(H230:H246),0)/2</f>
        <v>0</v>
      </c>
      <c r="I228" s="10">
        <f>VLOOKUP(A228,Presupuesto!$A:$F,6,0)</f>
        <v>0</v>
      </c>
      <c r="J228" s="10">
        <f>+H228-I228</f>
        <v>0</v>
      </c>
      <c r="K228" s="46">
        <f>+H228-G228*E228</f>
        <v>0</v>
      </c>
    </row>
    <row r="229" spans="1:11">
      <c r="A229" s="14"/>
      <c r="B229" s="15" t="s">
        <v>2586</v>
      </c>
      <c r="C229" s="15" t="s">
        <v>5</v>
      </c>
      <c r="D229" s="16" t="s">
        <v>6</v>
      </c>
      <c r="E229" s="17" t="s">
        <v>7</v>
      </c>
      <c r="F229" s="18" t="s">
        <v>3728</v>
      </c>
      <c r="G229" s="19" t="s">
        <v>3729</v>
      </c>
      <c r="H229" s="20" t="s">
        <v>3797</v>
      </c>
    </row>
    <row r="230" spans="1:11">
      <c r="A230" s="21"/>
      <c r="B230" s="22" t="s">
        <v>3730</v>
      </c>
      <c r="C230" s="23"/>
      <c r="D230" s="24"/>
      <c r="E230" s="25"/>
      <c r="F230" s="26"/>
      <c r="G230" s="27">
        <f>SUM(G231:G235)</f>
        <v>37823.1</v>
      </c>
      <c r="H230" s="27">
        <f>IFERROR(G230*E228,"")</f>
        <v>0</v>
      </c>
    </row>
    <row r="231" spans="1:11">
      <c r="A231" s="28"/>
      <c r="B231" s="29" t="s">
        <v>2890</v>
      </c>
      <c r="C231" s="30" t="str">
        <f>IFERROR(_xlfn.XLOOKUP(B231,Insumo[DESCRIPCION],Insumo[UND],,0),"")</f>
        <v>Un</v>
      </c>
      <c r="D231" s="31">
        <v>1</v>
      </c>
      <c r="E231" s="32">
        <f>IFERROR(_xlfn.XLOOKUP($B231,Insumo[DESCRIPCION],Insumo[VALOR],,0),"")</f>
        <v>37823.1</v>
      </c>
      <c r="F231" s="33"/>
      <c r="G231" s="34">
        <f>IFERROR(IF(F231&gt;=0,D231*E231*(1+F231/100),ABS(D231*E231/F231)),"")</f>
        <v>37823.1</v>
      </c>
      <c r="H231" s="43">
        <f>IFERROR(G231*E228,"")</f>
        <v>0</v>
      </c>
    </row>
    <row r="232" spans="1:11">
      <c r="A232" s="28"/>
      <c r="B232" s="29"/>
      <c r="C232" s="30" t="str">
        <f>IFERROR(_xlfn.XLOOKUP(B232,Insumo[DESCRIPCION],Insumo[UND],,0),"")</f>
        <v/>
      </c>
      <c r="D232" s="31"/>
      <c r="E232" s="32" t="str">
        <f>IFERROR(_xlfn.XLOOKUP($B232,Insumo[DESCRIPCION],Insumo[VALOR],,0),"")</f>
        <v/>
      </c>
      <c r="F232" s="33"/>
      <c r="G232" s="34" t="str">
        <f>IFERROR(IF(F232&gt;=0,D232*E232*(1+F232/100),ABS(D232*E232/F232)),"")</f>
        <v/>
      </c>
      <c r="H232" s="43" t="str">
        <f>IFERROR(G232*E228,"")</f>
        <v/>
      </c>
    </row>
    <row r="233" spans="1:11">
      <c r="A233" s="28"/>
      <c r="B233" s="29"/>
      <c r="C233" s="30" t="str">
        <f>IFERROR(_xlfn.XLOOKUP(B233,Insumo[DESCRIPCION],Insumo[UND],,0),"")</f>
        <v/>
      </c>
      <c r="D233" s="31"/>
      <c r="E233" s="32" t="str">
        <f>IFERROR(_xlfn.XLOOKUP($B233,Insumo[DESCRIPCION],Insumo[VALOR],,0),"")</f>
        <v/>
      </c>
      <c r="F233" s="33"/>
      <c r="G233" s="34" t="str">
        <f>IFERROR(IF(F233&gt;=0,D233*E233*(1+F233/100),ABS(D233*E233/F233)),"")</f>
        <v/>
      </c>
      <c r="H233" s="43" t="str">
        <f>IFERROR(G233*E228,"")</f>
        <v/>
      </c>
    </row>
    <row r="234" spans="1:11">
      <c r="A234" s="28"/>
      <c r="B234" s="29"/>
      <c r="C234" s="30" t="str">
        <f>IFERROR(_xlfn.XLOOKUP(B234,Insumo[DESCRIPCION],Insumo[UND],,0),"")</f>
        <v/>
      </c>
      <c r="D234" s="31"/>
      <c r="E234" s="32" t="str">
        <f>IFERROR(_xlfn.XLOOKUP($B234,Insumo[DESCRIPCION],Insumo[VALOR],,0),"")</f>
        <v/>
      </c>
      <c r="F234" s="33"/>
      <c r="G234" s="34" t="str">
        <f>IFERROR(IF(F234&gt;=0,D234*E234*(1+F234/100),ABS(D234*E234/F234)),"")</f>
        <v/>
      </c>
      <c r="H234" s="43" t="str">
        <f>IFERROR(G234*E228,"")</f>
        <v/>
      </c>
    </row>
    <row r="235" spans="1:11">
      <c r="A235" s="28"/>
      <c r="B235" s="29"/>
      <c r="C235" s="30" t="str">
        <f>IFERROR(_xlfn.XLOOKUP(B235,Insumo[DESCRIPCION],Insumo[UND],,0),"")</f>
        <v/>
      </c>
      <c r="D235" s="31"/>
      <c r="E235" s="32" t="str">
        <f>IFERROR(_xlfn.XLOOKUP($B235,Insumo[DESCRIPCION],Insumo[VALOR],,0),"")</f>
        <v/>
      </c>
      <c r="F235" s="33"/>
      <c r="G235" s="34" t="str">
        <f>IFERROR(IF(F235&gt;=0,D235*E235*(1+F235/100),ABS(D235*E235/F235)),"")</f>
        <v/>
      </c>
      <c r="H235" s="43" t="str">
        <f>IFERROR(G235*E228,"")</f>
        <v/>
      </c>
    </row>
    <row r="236" spans="1:11">
      <c r="A236" s="21"/>
      <c r="B236" s="22" t="s">
        <v>3731</v>
      </c>
      <c r="C236" s="23"/>
      <c r="D236" s="24"/>
      <c r="E236" s="25"/>
      <c r="F236" s="26"/>
      <c r="G236" s="27">
        <f>SUM(G237:G239)</f>
        <v>523.98458482500007</v>
      </c>
      <c r="H236" s="27">
        <f>IFERROR(G236*E228,"")</f>
        <v>0</v>
      </c>
    </row>
    <row r="237" spans="1:11">
      <c r="A237" s="28"/>
      <c r="B237" s="29" t="s">
        <v>3626</v>
      </c>
      <c r="C237" s="30" t="str">
        <f>IFERROR(_xlfn.XLOOKUP(B237,Equipo[DESCRIPCION],Equipo[UND],,0),"")</f>
        <v>%MO</v>
      </c>
      <c r="D237" s="31">
        <v>0.05</v>
      </c>
      <c r="E237" s="32">
        <f>IF(C237="%MO",G243,IFERROR(_xlfn.XLOOKUP($B237,Equipo[DESCRIPCION],Equipo[VALOR],,0),""))</f>
        <v>10479.691696500002</v>
      </c>
      <c r="F237" s="33"/>
      <c r="G237" s="34">
        <f>IFERROR(IF(F237&gt;=0,D237*E237*(1+F237/100),ABS(D237*E237/F237)),"")</f>
        <v>523.98458482500007</v>
      </c>
      <c r="H237" s="43">
        <f>IFERROR(G237*E228,"")</f>
        <v>0</v>
      </c>
    </row>
    <row r="238" spans="1:11">
      <c r="A238" s="28"/>
      <c r="B238" s="29"/>
      <c r="C238" s="30" t="str">
        <f>IFERROR(_xlfn.XLOOKUP(B238,Equipo[DESCRIPCION],Equipo[UND],,0),"")</f>
        <v/>
      </c>
      <c r="D238" s="31"/>
      <c r="E238" s="32" t="str">
        <f>IF(C238="%MO",G243,IFERROR(_xlfn.XLOOKUP($B238,Equipo[DESCRIPCION],Equipo[VALOR],,0),""))</f>
        <v/>
      </c>
      <c r="F238" s="33"/>
      <c r="G238" s="34" t="str">
        <f>IFERROR(IF(F238&gt;=0,D238*E238*(1+F238/100),ABS(D238*E238/F238)),"")</f>
        <v/>
      </c>
      <c r="H238" s="43" t="str">
        <f>IFERROR(G238*E228,"")</f>
        <v/>
      </c>
    </row>
    <row r="239" spans="1:11">
      <c r="A239" s="28"/>
      <c r="B239" s="29"/>
      <c r="C239" s="30" t="str">
        <f>IFERROR(_xlfn.XLOOKUP(B239,Equipo[DESCRIPCION],Equipo[UND],,0),"")</f>
        <v/>
      </c>
      <c r="D239" s="31"/>
      <c r="E239" s="32" t="str">
        <f>IF(C239="%MO",G243,IFERROR(_xlfn.XLOOKUP($B239,Equipo[DESCRIPCION],Equipo[VALOR],,0),""))</f>
        <v/>
      </c>
      <c r="F239" s="33"/>
      <c r="G239" s="34" t="str">
        <f>IFERROR(IF(F239&gt;=0,D239*E239*(1+F239/100),ABS(D239*E239/F239)),"")</f>
        <v/>
      </c>
      <c r="H239" s="43" t="str">
        <f>IFERROR(G239*E228,"")</f>
        <v/>
      </c>
    </row>
    <row r="240" spans="1:11">
      <c r="A240" s="21"/>
      <c r="B240" s="22" t="s">
        <v>2533</v>
      </c>
      <c r="C240" s="23"/>
      <c r="D240" s="24"/>
      <c r="E240" s="25"/>
      <c r="F240" s="26"/>
      <c r="G240" s="27">
        <f>SUM(G241:G242)</f>
        <v>0</v>
      </c>
      <c r="H240" s="27">
        <f>IFERROR(G240*E228,"")</f>
        <v>0</v>
      </c>
    </row>
    <row r="241" spans="1:11">
      <c r="A241" s="28"/>
      <c r="B241" s="29"/>
      <c r="C241" s="30" t="str">
        <f>IFERROR(_xlfn.XLOOKUP(B241,Transporte[DESCRIPCION],Transporte[UND],,0),"")</f>
        <v/>
      </c>
      <c r="D241" s="31"/>
      <c r="E241" s="32" t="str">
        <f>IFERROR(_xlfn.XLOOKUP($B241,Transporte[DESCRIPCION],Transporte[VALOR],,0),"")</f>
        <v/>
      </c>
      <c r="F241" s="33"/>
      <c r="G241" s="34" t="str">
        <f>IFERROR(IF(F241&gt;=0,D241*E241*(1+F241/100),ABS(D241*E241/F241)),"")</f>
        <v/>
      </c>
      <c r="H241" s="43" t="str">
        <f>IFERROR(G241*E228,"")</f>
        <v/>
      </c>
    </row>
    <row r="242" spans="1:11">
      <c r="A242" s="28"/>
      <c r="B242" s="29"/>
      <c r="C242" s="30" t="str">
        <f>IFERROR(_xlfn.XLOOKUP(B242,Transporte[DESCRIPCION],Transporte[UND],,0),"")</f>
        <v/>
      </c>
      <c r="D242" s="31"/>
      <c r="E242" s="32" t="str">
        <f>IFERROR(_xlfn.XLOOKUP($B242,Transporte[DESCRIPCION],Transporte[VALOR],,0),"")</f>
        <v/>
      </c>
      <c r="F242" s="33"/>
      <c r="G242" s="34" t="str">
        <f>IFERROR(IF(F242&gt;=0,D242*E242*(1+F242/100),ABS(D242*E242/F242)),"")</f>
        <v/>
      </c>
      <c r="H242" s="43" t="str">
        <f>IFERROR(G242*E228,"")</f>
        <v/>
      </c>
    </row>
    <row r="243" spans="1:11">
      <c r="A243" s="21"/>
      <c r="B243" s="22" t="s">
        <v>3732</v>
      </c>
      <c r="C243" s="23"/>
      <c r="D243" s="24"/>
      <c r="E243" s="25"/>
      <c r="F243" s="26"/>
      <c r="G243" s="27">
        <f>SUM(G244:G246)</f>
        <v>10479.691696500002</v>
      </c>
      <c r="H243" s="27">
        <f>IFERROR(G243*E228,"")</f>
        <v>0</v>
      </c>
    </row>
    <row r="244" spans="1:11">
      <c r="A244" s="28"/>
      <c r="B244" s="29" t="s">
        <v>3706</v>
      </c>
      <c r="C244" s="30" t="str">
        <f>IFERROR(_xlfn.XLOOKUP(B244,MObra[DESCRIPCION],MObra[UN],,0),"")</f>
        <v>día</v>
      </c>
      <c r="D244" s="31">
        <v>1</v>
      </c>
      <c r="E244" s="32">
        <f>IFERROR(_xlfn.XLOOKUP($B244,MObra[DESCRIPCION],MObra[VALOR UNIT],,0),"")</f>
        <v>209593.83393000005</v>
      </c>
      <c r="F244" s="33">
        <v>-20</v>
      </c>
      <c r="G244" s="34">
        <f>IFERROR(IF(F244&gt;=0,D244*E244*(1+F244/100),ABS(D244*E244/F244)),"")</f>
        <v>10479.691696500002</v>
      </c>
      <c r="H244" s="43">
        <f>IFERROR(G244*E228,"")</f>
        <v>0</v>
      </c>
    </row>
    <row r="245" spans="1:11">
      <c r="A245" s="28"/>
      <c r="B245" s="29"/>
      <c r="C245" s="30" t="str">
        <f>IFERROR(_xlfn.XLOOKUP(B245,MObra[DESCRIPCION],MObra[UN],,0),"")</f>
        <v/>
      </c>
      <c r="D245" s="31"/>
      <c r="E245" s="32" t="str">
        <f>IFERROR(_xlfn.XLOOKUP($B245,MObra[DESCRIPCION],MObra[VALOR UNIT],,0),"")</f>
        <v/>
      </c>
      <c r="F245" s="33"/>
      <c r="G245" s="34" t="str">
        <f>IFERROR(IF(F245&gt;=0,D245*E245*(1+F245/100),ABS(D245*E245/F245)),"")</f>
        <v/>
      </c>
      <c r="H245" s="43" t="str">
        <f>IFERROR(G245*E228,"")</f>
        <v/>
      </c>
    </row>
    <row r="246" spans="1:11">
      <c r="A246" s="35"/>
      <c r="B246" s="36"/>
      <c r="C246" s="37" t="str">
        <f>IFERROR(_xlfn.XLOOKUP(B246,MObra[DESCRIPCION],MObra[UN],,0),"")</f>
        <v/>
      </c>
      <c r="D246" s="38"/>
      <c r="E246" s="39" t="str">
        <f>IFERROR(_xlfn.XLOOKUP($B246,MObra[DESCRIPCION],MObra[VALOR UNIT],,0),"")</f>
        <v/>
      </c>
      <c r="F246" s="40"/>
      <c r="G246" s="41" t="str">
        <f>IFERROR(IF(F246&gt;=0,D246*E246*(1+F246/100),ABS(D246*E246/F246)),"")</f>
        <v/>
      </c>
      <c r="H246" s="42" t="str">
        <f>IFERROR(G246*E228,"")</f>
        <v/>
      </c>
    </row>
    <row r="248" spans="1:11">
      <c r="A248" s="6" t="s">
        <v>2284</v>
      </c>
      <c r="B248" s="7" t="str">
        <f>VLOOKUP($A248,Presupuesto!$A:$D,2,FALSE())</f>
        <v>Ducto conduit PVC 2ø2" DB 2 x metro, enterrado a profundidad de 0.80m</v>
      </c>
      <c r="C248" s="8" t="str">
        <f>VLOOKUP($A248,Presupuesto!$A:$D,3,FALSE())</f>
        <v>Un</v>
      </c>
      <c r="D248" s="9"/>
      <c r="E248" s="10">
        <f>VLOOKUP($A248,Presupuesto!$A:$D,4,FALSE())</f>
        <v>0</v>
      </c>
      <c r="F248" s="11" t="s">
        <v>2589</v>
      </c>
      <c r="G248" s="12">
        <f>SUM(G250:G266)/2</f>
        <v>50797.924239825006</v>
      </c>
      <c r="H248" s="13">
        <f>ROUND(SUM(H250:H266),0)/2</f>
        <v>0</v>
      </c>
      <c r="I248" s="10">
        <f>VLOOKUP(A248,Presupuesto!$A:$F,6,0)</f>
        <v>0</v>
      </c>
      <c r="J248" s="10">
        <f>+H248-I248</f>
        <v>0</v>
      </c>
      <c r="K248" s="46">
        <f>+H248-G248*E248</f>
        <v>0</v>
      </c>
    </row>
    <row r="249" spans="1:11">
      <c r="A249" s="14"/>
      <c r="B249" s="15" t="s">
        <v>2586</v>
      </c>
      <c r="C249" s="15" t="s">
        <v>5</v>
      </c>
      <c r="D249" s="16" t="s">
        <v>6</v>
      </c>
      <c r="E249" s="17" t="s">
        <v>7</v>
      </c>
      <c r="F249" s="18" t="s">
        <v>3728</v>
      </c>
      <c r="G249" s="19" t="s">
        <v>3729</v>
      </c>
      <c r="H249" s="20" t="s">
        <v>3797</v>
      </c>
    </row>
    <row r="250" spans="1:11">
      <c r="A250" s="21"/>
      <c r="B250" s="22" t="s">
        <v>3730</v>
      </c>
      <c r="C250" s="23"/>
      <c r="D250" s="24"/>
      <c r="E250" s="25"/>
      <c r="F250" s="26"/>
      <c r="G250" s="27">
        <f>SUM(G251:G255)</f>
        <v>15341.634</v>
      </c>
      <c r="H250" s="27">
        <f>IFERROR(G250*E248,"")</f>
        <v>0</v>
      </c>
    </row>
    <row r="251" spans="1:11">
      <c r="A251" s="28"/>
      <c r="B251" s="29" t="s">
        <v>3431</v>
      </c>
      <c r="C251" s="30" t="str">
        <f>IFERROR(_xlfn.XLOOKUP(B251,Insumo[DESCRIPCION],Insumo[UND],,0),"")</f>
        <v>M</v>
      </c>
      <c r="D251" s="31">
        <v>1</v>
      </c>
      <c r="E251" s="32">
        <f>IFERROR(_xlfn.XLOOKUP($B251,Insumo[DESCRIPCION],Insumo[VALOR],,0),"")</f>
        <v>13650</v>
      </c>
      <c r="F251" s="33">
        <v>5</v>
      </c>
      <c r="G251" s="34">
        <f>IFERROR(IF(F251&gt;=0,D251*E251*(1+F251/100),ABS(D251*E251/F251)),"")</f>
        <v>14332.5</v>
      </c>
      <c r="H251" s="43">
        <f>IFERROR(G251*E248,"")</f>
        <v>0</v>
      </c>
    </row>
    <row r="252" spans="1:11">
      <c r="A252" s="28"/>
      <c r="B252" s="29" t="s">
        <v>3329</v>
      </c>
      <c r="C252" s="30" t="str">
        <f>IFERROR(_xlfn.XLOOKUP(B252,Insumo[DESCRIPCION],Insumo[UND],,0),"")</f>
        <v>Un</v>
      </c>
      <c r="D252" s="31">
        <v>0.02</v>
      </c>
      <c r="E252" s="32">
        <f>IFERROR(_xlfn.XLOOKUP($B252,Insumo[DESCRIPCION],Insumo[VALOR],,0),"")</f>
        <v>42424.200000000004</v>
      </c>
      <c r="F252" s="33"/>
      <c r="G252" s="34">
        <f>IFERROR(IF(F252&gt;=0,D252*E252*(1+F252/100),ABS(D252*E252/F252)),"")</f>
        <v>848.48400000000015</v>
      </c>
      <c r="H252" s="43">
        <f>IFERROR(G252*E248,"")</f>
        <v>0</v>
      </c>
    </row>
    <row r="253" spans="1:11">
      <c r="A253" s="28"/>
      <c r="B253" s="29" t="s">
        <v>2846</v>
      </c>
      <c r="C253" s="30" t="str">
        <f>IFERROR(_xlfn.XLOOKUP(B253,Insumo[DESCRIPCION],Insumo[UND],,0),"")</f>
        <v>M</v>
      </c>
      <c r="D253" s="31">
        <v>1</v>
      </c>
      <c r="E253" s="32">
        <f>IFERROR(_xlfn.XLOOKUP($B253,Insumo[DESCRIPCION],Insumo[VALOR],,0),"")</f>
        <v>160.65</v>
      </c>
      <c r="F253" s="33"/>
      <c r="G253" s="34">
        <f>IFERROR(IF(F253&gt;=0,D253*E253*(1+F253/100),ABS(D253*E253/F253)),"")</f>
        <v>160.65</v>
      </c>
      <c r="H253" s="43">
        <f>IFERROR(G253*E248,"")</f>
        <v>0</v>
      </c>
    </row>
    <row r="254" spans="1:11">
      <c r="A254" s="28"/>
      <c r="B254" s="29"/>
      <c r="C254" s="30" t="str">
        <f>IFERROR(_xlfn.XLOOKUP(B254,Insumo[DESCRIPCION],Insumo[UND],,0),"")</f>
        <v/>
      </c>
      <c r="D254" s="31"/>
      <c r="E254" s="32" t="str">
        <f>IFERROR(_xlfn.XLOOKUP($B254,Insumo[DESCRIPCION],Insumo[VALOR],,0),"")</f>
        <v/>
      </c>
      <c r="F254" s="33"/>
      <c r="G254" s="34" t="str">
        <f>IFERROR(IF(F254&gt;=0,D254*E254*(1+F254/100),ABS(D254*E254/F254)),"")</f>
        <v/>
      </c>
      <c r="H254" s="43" t="str">
        <f>IFERROR(G254*E248,"")</f>
        <v/>
      </c>
    </row>
    <row r="255" spans="1:11">
      <c r="A255" s="28"/>
      <c r="B255" s="29"/>
      <c r="C255" s="30" t="str">
        <f>IFERROR(_xlfn.XLOOKUP(B255,Insumo[DESCRIPCION],Insumo[UND],,0),"")</f>
        <v/>
      </c>
      <c r="D255" s="31"/>
      <c r="E255" s="32" t="str">
        <f>IFERROR(_xlfn.XLOOKUP($B255,Insumo[DESCRIPCION],Insumo[VALOR],,0),"")</f>
        <v/>
      </c>
      <c r="F255" s="33"/>
      <c r="G255" s="34" t="str">
        <f>IFERROR(IF(F255&gt;=0,D255*E255*(1+F255/100),ABS(D255*E255/F255)),"")</f>
        <v/>
      </c>
      <c r="H255" s="43" t="str">
        <f>IFERROR(G255*E248,"")</f>
        <v/>
      </c>
    </row>
    <row r="256" spans="1:11">
      <c r="A256" s="21"/>
      <c r="B256" s="22" t="s">
        <v>3731</v>
      </c>
      <c r="C256" s="23"/>
      <c r="D256" s="24"/>
      <c r="E256" s="25"/>
      <c r="F256" s="26"/>
      <c r="G256" s="27">
        <f>SUM(G257:G259)</f>
        <v>1688.3947733250004</v>
      </c>
      <c r="H256" s="27">
        <f>IFERROR(G256*E248,"")</f>
        <v>0</v>
      </c>
    </row>
    <row r="257" spans="1:11">
      <c r="A257" s="28"/>
      <c r="B257" s="29" t="s">
        <v>3626</v>
      </c>
      <c r="C257" s="30" t="str">
        <f>IFERROR(_xlfn.XLOOKUP(B257,Equipo[DESCRIPCION],Equipo[UND],,0),"")</f>
        <v>%MO</v>
      </c>
      <c r="D257" s="31">
        <v>0.05</v>
      </c>
      <c r="E257" s="32">
        <f>IF(C257="%MO",G263,IFERROR(_xlfn.XLOOKUP($B257,Equipo[DESCRIPCION],Equipo[VALOR],,0),""))</f>
        <v>33767.895466500006</v>
      </c>
      <c r="F257" s="33"/>
      <c r="G257" s="34">
        <f>IFERROR(IF(F257&gt;=0,D257*E257*(1+F257/100),ABS(D257*E257/F257)),"")</f>
        <v>1688.3947733250004</v>
      </c>
      <c r="H257" s="43">
        <f>IFERROR(G257*E248,"")</f>
        <v>0</v>
      </c>
    </row>
    <row r="258" spans="1:11">
      <c r="A258" s="28"/>
      <c r="B258" s="29"/>
      <c r="C258" s="30" t="str">
        <f>IFERROR(_xlfn.XLOOKUP(B258,Equipo[DESCRIPCION],Equipo[UND],,0),"")</f>
        <v/>
      </c>
      <c r="D258" s="31"/>
      <c r="E258" s="32" t="str">
        <f>IF(C258="%MO",G263,IFERROR(_xlfn.XLOOKUP($B258,Equipo[DESCRIPCION],Equipo[VALOR],,0),""))</f>
        <v/>
      </c>
      <c r="F258" s="33"/>
      <c r="G258" s="34" t="str">
        <f>IFERROR(IF(F258&gt;=0,D258*E258*(1+F258/100),ABS(D258*E258/F258)),"")</f>
        <v/>
      </c>
      <c r="H258" s="43" t="str">
        <f>IFERROR(G258*E248,"")</f>
        <v/>
      </c>
    </row>
    <row r="259" spans="1:11">
      <c r="A259" s="28"/>
      <c r="B259" s="29"/>
      <c r="C259" s="30" t="str">
        <f>IFERROR(_xlfn.XLOOKUP(B259,Equipo[DESCRIPCION],Equipo[UND],,0),"")</f>
        <v/>
      </c>
      <c r="D259" s="31"/>
      <c r="E259" s="32" t="str">
        <f>IF(C259="%MO",G263,IFERROR(_xlfn.XLOOKUP($B259,Equipo[DESCRIPCION],Equipo[VALOR],,0),""))</f>
        <v/>
      </c>
      <c r="F259" s="33"/>
      <c r="G259" s="34" t="str">
        <f>IFERROR(IF(F259&gt;=0,D259*E259*(1+F259/100),ABS(D259*E259/F259)),"")</f>
        <v/>
      </c>
      <c r="H259" s="43" t="str">
        <f>IFERROR(G259*E248,"")</f>
        <v/>
      </c>
    </row>
    <row r="260" spans="1:11">
      <c r="A260" s="21"/>
      <c r="B260" s="22" t="s">
        <v>2533</v>
      </c>
      <c r="C260" s="23"/>
      <c r="D260" s="24"/>
      <c r="E260" s="25"/>
      <c r="F260" s="26"/>
      <c r="G260" s="27">
        <f>SUM(G261:G262)</f>
        <v>0</v>
      </c>
      <c r="H260" s="27">
        <f>IFERROR(G260*E248,"")</f>
        <v>0</v>
      </c>
    </row>
    <row r="261" spans="1:11">
      <c r="A261" s="28"/>
      <c r="B261" s="29"/>
      <c r="C261" s="30" t="str">
        <f>IFERROR(_xlfn.XLOOKUP(B261,Transporte[DESCRIPCION],Transporte[UND],,0),"")</f>
        <v/>
      </c>
      <c r="D261" s="31"/>
      <c r="E261" s="32" t="str">
        <f>IFERROR(_xlfn.XLOOKUP($B261,Transporte[DESCRIPCION],Transporte[VALOR],,0),"")</f>
        <v/>
      </c>
      <c r="F261" s="33"/>
      <c r="G261" s="34" t="str">
        <f>IFERROR(IF(F261&gt;=0,D261*E261*(1+F261/100),ABS(D261*E261/F261)),"")</f>
        <v/>
      </c>
      <c r="H261" s="43" t="str">
        <f>IFERROR(G261*E248,"")</f>
        <v/>
      </c>
    </row>
    <row r="262" spans="1:11">
      <c r="A262" s="28"/>
      <c r="B262" s="29"/>
      <c r="C262" s="30" t="str">
        <f>IFERROR(_xlfn.XLOOKUP(B262,Transporte[DESCRIPCION],Transporte[UND],,0),"")</f>
        <v/>
      </c>
      <c r="D262" s="31"/>
      <c r="E262" s="32" t="str">
        <f>IFERROR(_xlfn.XLOOKUP($B262,Transporte[DESCRIPCION],Transporte[VALOR],,0),"")</f>
        <v/>
      </c>
      <c r="F262" s="33"/>
      <c r="G262" s="34" t="str">
        <f>IFERROR(IF(F262&gt;=0,D262*E262*(1+F262/100),ABS(D262*E262/F262)),"")</f>
        <v/>
      </c>
      <c r="H262" s="43" t="str">
        <f>IFERROR(G262*E248,"")</f>
        <v/>
      </c>
    </row>
    <row r="263" spans="1:11">
      <c r="A263" s="21"/>
      <c r="B263" s="22" t="s">
        <v>3732</v>
      </c>
      <c r="C263" s="23"/>
      <c r="D263" s="24"/>
      <c r="E263" s="25"/>
      <c r="F263" s="26"/>
      <c r="G263" s="27">
        <f>SUM(G264:G266)</f>
        <v>33767.895466500006</v>
      </c>
      <c r="H263" s="27">
        <f>IFERROR(G263*E248,"")</f>
        <v>0</v>
      </c>
    </row>
    <row r="264" spans="1:11">
      <c r="A264" s="28"/>
      <c r="B264" s="29" t="s">
        <v>3715</v>
      </c>
      <c r="C264" s="30" t="str">
        <f>IFERROR(_xlfn.XLOOKUP(B264,MObra[DESCRIPCION],MObra[UN],,0),"")</f>
        <v>día</v>
      </c>
      <c r="D264" s="31">
        <v>1</v>
      </c>
      <c r="E264" s="32">
        <f>IFERROR(_xlfn.XLOOKUP($B264,MObra[DESCRIPCION],MObra[VALOR UNIT],,0),"")</f>
        <v>337678.95466500008</v>
      </c>
      <c r="F264" s="33">
        <v>-10</v>
      </c>
      <c r="G264" s="34">
        <f>IFERROR(IF(F264&gt;=0,D264*E264*(1+F264/100),ABS(D264*E264/F264)),"")</f>
        <v>33767.895466500006</v>
      </c>
      <c r="H264" s="43">
        <f>IFERROR(G264*E248,"")</f>
        <v>0</v>
      </c>
    </row>
    <row r="265" spans="1:11">
      <c r="A265" s="28"/>
      <c r="B265" s="29"/>
      <c r="C265" s="30" t="str">
        <f>IFERROR(_xlfn.XLOOKUP(B265,MObra[DESCRIPCION],MObra[UN],,0),"")</f>
        <v/>
      </c>
      <c r="D265" s="31"/>
      <c r="E265" s="32" t="str">
        <f>IFERROR(_xlfn.XLOOKUP($B265,MObra[DESCRIPCION],MObra[VALOR UNIT],,0),"")</f>
        <v/>
      </c>
      <c r="F265" s="33"/>
      <c r="G265" s="34" t="str">
        <f>IFERROR(IF(F265&gt;=0,D265*E265*(1+F265/100),ABS(D265*E265/F265)),"")</f>
        <v/>
      </c>
      <c r="H265" s="43" t="str">
        <f>IFERROR(G265*E248,"")</f>
        <v/>
      </c>
    </row>
    <row r="266" spans="1:11">
      <c r="A266" s="35"/>
      <c r="B266" s="36"/>
      <c r="C266" s="37" t="str">
        <f>IFERROR(_xlfn.XLOOKUP(B266,MObra[DESCRIPCION],MObra[UN],,0),"")</f>
        <v/>
      </c>
      <c r="D266" s="38"/>
      <c r="E266" s="39" t="str">
        <f>IFERROR(_xlfn.XLOOKUP($B266,MObra[DESCRIPCION],MObra[VALOR UNIT],,0),"")</f>
        <v/>
      </c>
      <c r="F266" s="40"/>
      <c r="G266" s="41" t="str">
        <f>IFERROR(IF(F266&gt;=0,D266*E266*(1+F266/100),ABS(D266*E266/F266)),"")</f>
        <v/>
      </c>
      <c r="H266" s="42" t="str">
        <f>IFERROR(G266*E248,"")</f>
        <v/>
      </c>
    </row>
    <row r="267" spans="1:11" ht="12.75" customHeight="1" thickTop="1" thickBot="1"/>
    <row r="268" spans="1:11" ht="51.75" thickTop="1" thickBot="1">
      <c r="A268" s="6" t="s">
        <v>2286</v>
      </c>
      <c r="B268" s="7" t="str">
        <f>VLOOKUP($A268,Presupuesto!$A:$D,2,FALSE())</f>
        <v>Luminaria alumbrado público, dimerizable 100-277 Vac, 60W, 5300 Lm, VU&gt;=100000 h L70 B10, CRI &gt;=70, IP 66, IK 08, 4000K, eficacia &gt;=135 Lm/W, THDi &lt;=20%, FP&gt;=0.9. base fotocelda 7 pines, difusor en vidrio alta transmitancia. Apta para instalación sistema integral de tele gestión</v>
      </c>
      <c r="C268" s="8" t="str">
        <f>VLOOKUP($A268,Presupuesto!$A:$D,3,FALSE())</f>
        <v>Un</v>
      </c>
      <c r="D268" s="9"/>
      <c r="E268" s="10">
        <f>VLOOKUP($A268,Presupuesto!$A:$D,4,FALSE())</f>
        <v>0</v>
      </c>
      <c r="F268" s="11" t="s">
        <v>2589</v>
      </c>
      <c r="G268" s="12">
        <f>SUM(G270:G286)/2</f>
        <v>2498701.6627997812</v>
      </c>
      <c r="H268" s="13">
        <f>ROUND(SUM(H270:H286),0)/2</f>
        <v>0</v>
      </c>
      <c r="I268" s="10">
        <f>VLOOKUP(A268,Presupuesto!$A:$F,6,0)</f>
        <v>0</v>
      </c>
      <c r="J268" s="10">
        <f>+H268-I268</f>
        <v>0</v>
      </c>
      <c r="K268" s="46">
        <f>+H268-G268*E268</f>
        <v>0</v>
      </c>
    </row>
    <row r="269" spans="1:11">
      <c r="A269" s="14"/>
      <c r="B269" s="15" t="s">
        <v>2586</v>
      </c>
      <c r="C269" s="15" t="s">
        <v>5</v>
      </c>
      <c r="D269" s="16" t="s">
        <v>6</v>
      </c>
      <c r="E269" s="17" t="s">
        <v>7</v>
      </c>
      <c r="F269" s="18" t="s">
        <v>3728</v>
      </c>
      <c r="G269" s="19" t="s">
        <v>3729</v>
      </c>
      <c r="H269" s="20" t="s">
        <v>3797</v>
      </c>
    </row>
    <row r="270" spans="1:11">
      <c r="A270" s="21"/>
      <c r="B270" s="22" t="s">
        <v>3730</v>
      </c>
      <c r="C270" s="23"/>
      <c r="D270" s="24"/>
      <c r="E270" s="25"/>
      <c r="F270" s="26"/>
      <c r="G270" s="27">
        <f>SUM(G271:G275)</f>
        <v>2367298.5</v>
      </c>
      <c r="H270" s="27">
        <f>IFERROR(G270*E268,"")</f>
        <v>0</v>
      </c>
    </row>
    <row r="271" spans="1:11" ht="38.25">
      <c r="A271" s="28"/>
      <c r="B271" s="29" t="s">
        <v>3091</v>
      </c>
      <c r="C271" s="30" t="str">
        <f>IFERROR(_xlfn.XLOOKUP(B271,Insumo[DESCRIPCION],Insumo[UND],,0),"")</f>
        <v>Un</v>
      </c>
      <c r="D271" s="31">
        <v>1</v>
      </c>
      <c r="E271" s="32">
        <f>IFERROR(_xlfn.XLOOKUP($B271,Insumo[DESCRIPCION],Insumo[VALOR],,0),"")</f>
        <v>2150400</v>
      </c>
      <c r="F271" s="33"/>
      <c r="G271" s="34">
        <f>IFERROR(IF(F271&gt;=0,D271*E271*(1+F271/100),ABS(D271*E271/F271)),"")</f>
        <v>2150400</v>
      </c>
      <c r="H271" s="43">
        <f>IFERROR(G271*E268,"")</f>
        <v>0</v>
      </c>
    </row>
    <row r="272" spans="1:11">
      <c r="A272" s="28"/>
      <c r="B272" s="29" t="s">
        <v>2800</v>
      </c>
      <c r="C272" s="30" t="str">
        <f>IFERROR(_xlfn.XLOOKUP(B272,Insumo[DESCRIPCION],Insumo[UND],,0),"")</f>
        <v>M</v>
      </c>
      <c r="D272" s="31">
        <v>14</v>
      </c>
      <c r="E272" s="32">
        <f>IFERROR(_xlfn.XLOOKUP($B272,Insumo[DESCRIPCION],Insumo[VALOR],,0),"")</f>
        <v>7387.8</v>
      </c>
      <c r="F272" s="33"/>
      <c r="G272" s="34">
        <f>IFERROR(IF(F272&gt;=0,D272*E272*(1+F272/100),ABS(D272*E272/F272)),"")</f>
        <v>103429.2</v>
      </c>
      <c r="H272" s="43">
        <f>IFERROR(G272*E268,"")</f>
        <v>0</v>
      </c>
    </row>
    <row r="273" spans="1:11">
      <c r="A273" s="28"/>
      <c r="B273" s="29" t="s">
        <v>2890</v>
      </c>
      <c r="C273" s="30" t="str">
        <f>IFERROR(_xlfn.XLOOKUP(B273,Insumo[DESCRIPCION],Insumo[UND],,0),"")</f>
        <v>Un</v>
      </c>
      <c r="D273" s="31">
        <v>3</v>
      </c>
      <c r="E273" s="32">
        <f>IFERROR(_xlfn.XLOOKUP($B273,Insumo[DESCRIPCION],Insumo[VALOR],,0),"")</f>
        <v>37823.1</v>
      </c>
      <c r="F273" s="33"/>
      <c r="G273" s="34">
        <f>IFERROR(IF(F273&gt;=0,D273*E273*(1+F273/100),ABS(D273*E273/F273)),"")</f>
        <v>113469.29999999999</v>
      </c>
      <c r="H273" s="43">
        <f>IFERROR(G273*E268,"")</f>
        <v>0</v>
      </c>
    </row>
    <row r="274" spans="1:11">
      <c r="A274" s="28"/>
      <c r="B274" s="29"/>
      <c r="C274" s="30" t="str">
        <f>IFERROR(_xlfn.XLOOKUP(B274,Insumo[DESCRIPCION],Insumo[UND],,0),"")</f>
        <v/>
      </c>
      <c r="D274" s="31"/>
      <c r="E274" s="32" t="str">
        <f>IFERROR(_xlfn.XLOOKUP($B274,Insumo[DESCRIPCION],Insumo[VALOR],,0),"")</f>
        <v/>
      </c>
      <c r="F274" s="33"/>
      <c r="G274" s="34" t="str">
        <f>IFERROR(IF(F274&gt;=0,D274*E274*(1+F274/100),ABS(D274*E274/F274)),"")</f>
        <v/>
      </c>
      <c r="H274" s="43" t="str">
        <f>IFERROR(G274*E268,"")</f>
        <v/>
      </c>
    </row>
    <row r="275" spans="1:11">
      <c r="A275" s="28"/>
      <c r="B275" s="29"/>
      <c r="C275" s="30" t="str">
        <f>IFERROR(_xlfn.XLOOKUP(B275,Insumo[DESCRIPCION],Insumo[UND],,0),"")</f>
        <v/>
      </c>
      <c r="D275" s="31"/>
      <c r="E275" s="32" t="str">
        <f>IFERROR(_xlfn.XLOOKUP($B275,Insumo[DESCRIPCION],Insumo[VALOR],,0),"")</f>
        <v/>
      </c>
      <c r="F275" s="33"/>
      <c r="G275" s="34" t="str">
        <f>IFERROR(IF(F275&gt;=0,D275*E275*(1+F275/100),ABS(D275*E275/F275)),"")</f>
        <v/>
      </c>
      <c r="H275" s="43" t="str">
        <f>IFERROR(G275*E268,"")</f>
        <v/>
      </c>
    </row>
    <row r="276" spans="1:11">
      <c r="A276" s="21"/>
      <c r="B276" s="22" t="s">
        <v>3731</v>
      </c>
      <c r="C276" s="23"/>
      <c r="D276" s="24"/>
      <c r="E276" s="25"/>
      <c r="F276" s="26"/>
      <c r="G276" s="27">
        <f>SUM(G277:G279)</f>
        <v>89193.293466656251</v>
      </c>
      <c r="H276" s="27">
        <f>IFERROR(G276*E268,"")</f>
        <v>0</v>
      </c>
    </row>
    <row r="277" spans="1:11">
      <c r="A277" s="28"/>
      <c r="B277" s="29" t="s">
        <v>3622</v>
      </c>
      <c r="C277" s="30" t="str">
        <f>IFERROR(_xlfn.XLOOKUP(B277,Equipo[DESCRIPCION],Equipo[UND],,0),"")</f>
        <v>Hr</v>
      </c>
      <c r="D277" s="31">
        <v>1</v>
      </c>
      <c r="E277" s="32">
        <f>IF(C277="%MO",G283,IFERROR(_xlfn.XLOOKUP($B277,Equipo[DESCRIPCION],Equipo[VALOR],,0),""))</f>
        <v>87082.8</v>
      </c>
      <c r="F277" s="33">
        <v>-1</v>
      </c>
      <c r="G277" s="34">
        <f>IFERROR(IF(F277&gt;=0,D277*E277*(1+F277/100),ABS(D277*E277/F277)),"")</f>
        <v>87082.8</v>
      </c>
      <c r="H277" s="43">
        <f>IFERROR(G277*E268,"")</f>
        <v>0</v>
      </c>
    </row>
    <row r="278" spans="1:11">
      <c r="A278" s="28"/>
      <c r="B278" s="29" t="s">
        <v>3626</v>
      </c>
      <c r="C278" s="30" t="str">
        <f>IFERROR(_xlfn.XLOOKUP(B278,Equipo[DESCRIPCION],Equipo[UND],,0),"")</f>
        <v>%MO</v>
      </c>
      <c r="D278" s="31">
        <v>0.05</v>
      </c>
      <c r="E278" s="32">
        <f>IF(C278="%MO",G283,IFERROR(_xlfn.XLOOKUP($B278,Equipo[DESCRIPCION],Equipo[VALOR],,0),""))</f>
        <v>42209.869333125011</v>
      </c>
      <c r="F278" s="33"/>
      <c r="G278" s="34">
        <f>IFERROR(IF(F278&gt;=0,D278*E278*(1+F278/100),ABS(D278*E278/F278)),"")</f>
        <v>2110.4934666562508</v>
      </c>
      <c r="H278" s="43">
        <f>IFERROR(G278*E268,"")</f>
        <v>0</v>
      </c>
    </row>
    <row r="279" spans="1:11">
      <c r="A279" s="28"/>
      <c r="B279" s="29"/>
      <c r="C279" s="30" t="str">
        <f>IFERROR(_xlfn.XLOOKUP(B279,Equipo[DESCRIPCION],Equipo[UND],,0),"")</f>
        <v/>
      </c>
      <c r="D279" s="31"/>
      <c r="E279" s="32" t="str">
        <f>IF(C279="%MO",G283,IFERROR(_xlfn.XLOOKUP($B279,Equipo[DESCRIPCION],Equipo[VALOR],,0),""))</f>
        <v/>
      </c>
      <c r="F279" s="33"/>
      <c r="G279" s="34" t="str">
        <f>IFERROR(IF(F279&gt;=0,D279*E279*(1+F279/100),ABS(D279*E279/F279)),"")</f>
        <v/>
      </c>
      <c r="H279" s="43" t="str">
        <f>IFERROR(G279*E268,"")</f>
        <v/>
      </c>
    </row>
    <row r="280" spans="1:11">
      <c r="A280" s="21"/>
      <c r="B280" s="22" t="s">
        <v>2533</v>
      </c>
      <c r="C280" s="23"/>
      <c r="D280" s="24"/>
      <c r="E280" s="25"/>
      <c r="F280" s="26"/>
      <c r="G280" s="27">
        <f>SUM(G281:G282)</f>
        <v>0</v>
      </c>
      <c r="H280" s="27">
        <f>IFERROR(G280*E268,"")</f>
        <v>0</v>
      </c>
    </row>
    <row r="281" spans="1:11">
      <c r="A281" s="28"/>
      <c r="B281" s="29"/>
      <c r="C281" s="30" t="str">
        <f>IFERROR(_xlfn.XLOOKUP(B281,Transporte[DESCRIPCION],Transporte[UND],,0),"")</f>
        <v/>
      </c>
      <c r="D281" s="31"/>
      <c r="E281" s="32" t="str">
        <f>IFERROR(_xlfn.XLOOKUP($B281,Transporte[DESCRIPCION],Transporte[VALOR],,0),"")</f>
        <v/>
      </c>
      <c r="F281" s="33"/>
      <c r="G281" s="34" t="str">
        <f>IFERROR(IF(F281&gt;=0,D281*E281*(1+F281/100),ABS(D281*E281/F281)),"")</f>
        <v/>
      </c>
      <c r="H281" s="43" t="str">
        <f>IFERROR(G281*E268,"")</f>
        <v/>
      </c>
    </row>
    <row r="282" spans="1:11">
      <c r="A282" s="28"/>
      <c r="B282" s="29"/>
      <c r="C282" s="30" t="str">
        <f>IFERROR(_xlfn.XLOOKUP(B282,Transporte[DESCRIPCION],Transporte[UND],,0),"")</f>
        <v/>
      </c>
      <c r="D282" s="31"/>
      <c r="E282" s="32" t="str">
        <f>IFERROR(_xlfn.XLOOKUP($B282,Transporte[DESCRIPCION],Transporte[VALOR],,0),"")</f>
        <v/>
      </c>
      <c r="F282" s="33"/>
      <c r="G282" s="34" t="str">
        <f>IFERROR(IF(F282&gt;=0,D282*E282*(1+F282/100),ABS(D282*E282/F282)),"")</f>
        <v/>
      </c>
      <c r="H282" s="43" t="str">
        <f>IFERROR(G282*E268,"")</f>
        <v/>
      </c>
    </row>
    <row r="283" spans="1:11">
      <c r="A283" s="21"/>
      <c r="B283" s="22" t="s">
        <v>3732</v>
      </c>
      <c r="C283" s="23"/>
      <c r="D283" s="24"/>
      <c r="E283" s="25"/>
      <c r="F283" s="26"/>
      <c r="G283" s="27">
        <f>SUM(G284:G286)</f>
        <v>42209.869333125011</v>
      </c>
      <c r="H283" s="27">
        <f>IFERROR(G283*E268,"")</f>
        <v>0</v>
      </c>
    </row>
    <row r="284" spans="1:11">
      <c r="A284" s="28"/>
      <c r="B284" s="29" t="s">
        <v>3715</v>
      </c>
      <c r="C284" s="30" t="str">
        <f>IFERROR(_xlfn.XLOOKUP(B284,MObra[DESCRIPCION],MObra[UN],,0),"")</f>
        <v>día</v>
      </c>
      <c r="D284" s="31">
        <v>1</v>
      </c>
      <c r="E284" s="32">
        <f>IFERROR(_xlfn.XLOOKUP($B284,MObra[DESCRIPCION],MObra[VALOR UNIT],,0),"")</f>
        <v>337678.95466500008</v>
      </c>
      <c r="F284" s="33">
        <v>-8</v>
      </c>
      <c r="G284" s="34">
        <f>IFERROR(IF(F284&gt;=0,D284*E284*(1+F284/100),ABS(D284*E284/F284)),"")</f>
        <v>42209.869333125011</v>
      </c>
      <c r="H284" s="43">
        <f>IFERROR(G284*E268,"")</f>
        <v>0</v>
      </c>
    </row>
    <row r="285" spans="1:11">
      <c r="A285" s="28"/>
      <c r="B285" s="29"/>
      <c r="C285" s="30" t="str">
        <f>IFERROR(_xlfn.XLOOKUP(B285,MObra[DESCRIPCION],MObra[UN],,0),"")</f>
        <v/>
      </c>
      <c r="D285" s="31"/>
      <c r="E285" s="32" t="str">
        <f>IFERROR(_xlfn.XLOOKUP($B285,MObra[DESCRIPCION],MObra[VALOR UNIT],,0),"")</f>
        <v/>
      </c>
      <c r="F285" s="33"/>
      <c r="G285" s="34" t="str">
        <f>IFERROR(IF(F285&gt;=0,D285*E285*(1+F285/100),ABS(D285*E285/F285)),"")</f>
        <v/>
      </c>
      <c r="H285" s="43" t="str">
        <f>IFERROR(G285*E268,"")</f>
        <v/>
      </c>
    </row>
    <row r="286" spans="1:11">
      <c r="A286" s="35"/>
      <c r="B286" s="36"/>
      <c r="C286" s="37" t="str">
        <f>IFERROR(_xlfn.XLOOKUP(B286,MObra[DESCRIPCION],MObra[UN],,0),"")</f>
        <v/>
      </c>
      <c r="D286" s="38"/>
      <c r="E286" s="39" t="str">
        <f>IFERROR(_xlfn.XLOOKUP($B286,MObra[DESCRIPCION],MObra[VALOR UNIT],,0),"")</f>
        <v/>
      </c>
      <c r="F286" s="40"/>
      <c r="G286" s="41" t="str">
        <f>IFERROR(IF(F286&gt;=0,D286*E286*(1+F286/100),ABS(D286*E286/F286)),"")</f>
        <v/>
      </c>
      <c r="H286" s="42" t="str">
        <f>IFERROR(G286*E268,"")</f>
        <v/>
      </c>
    </row>
    <row r="288" spans="1:11" ht="51">
      <c r="A288" s="6" t="s">
        <v>2288</v>
      </c>
      <c r="B288" s="7" t="str">
        <f>VLOOKUP($A288,Presupuesto!$A:$D,2,FALSE())</f>
        <v>Luminaria alumbrado público, dimerizable 100-277 Vac, 100W, 9000 Lm, VU&gt;=100000 h L70 B10, CRI &gt;=70, IP 66, IK 08, 4000K, eficacia &gt;=135 Lm/W, THDi &lt;=20%, FP&gt;=0.9. base fotocelda 7 pines, difusor en vidrio alta transmitancia. Apta para instalación sistema integral de tele gestión</v>
      </c>
      <c r="C288" s="8" t="str">
        <f>VLOOKUP($A288,Presupuesto!$A:$D,3,FALSE())</f>
        <v>Un</v>
      </c>
      <c r="D288" s="9"/>
      <c r="E288" s="10">
        <f>VLOOKUP($A288,Presupuesto!$A:$D,4,FALSE())</f>
        <v>0</v>
      </c>
      <c r="F288" s="11" t="s">
        <v>2589</v>
      </c>
      <c r="G288" s="12">
        <f>SUM(G290:G306)/2</f>
        <v>2659351.6627997812</v>
      </c>
      <c r="H288" s="13">
        <f>ROUND(SUM(H290:H306),0)/2</f>
        <v>0</v>
      </c>
      <c r="I288" s="10">
        <f>VLOOKUP(A288,Presupuesto!$A:$F,6,0)</f>
        <v>0</v>
      </c>
      <c r="J288" s="10">
        <f>+H288-I288</f>
        <v>0</v>
      </c>
      <c r="K288" s="46">
        <f>+H288-G288*E288</f>
        <v>0</v>
      </c>
    </row>
    <row r="289" spans="1:8">
      <c r="A289" s="14"/>
      <c r="B289" s="15" t="s">
        <v>2586</v>
      </c>
      <c r="C289" s="15" t="s">
        <v>5</v>
      </c>
      <c r="D289" s="16" t="s">
        <v>6</v>
      </c>
      <c r="E289" s="17" t="s">
        <v>7</v>
      </c>
      <c r="F289" s="18" t="s">
        <v>3728</v>
      </c>
      <c r="G289" s="19" t="s">
        <v>3729</v>
      </c>
      <c r="H289" s="20" t="s">
        <v>3797</v>
      </c>
    </row>
    <row r="290" spans="1:8">
      <c r="A290" s="21"/>
      <c r="B290" s="22" t="s">
        <v>3730</v>
      </c>
      <c r="C290" s="23"/>
      <c r="D290" s="24"/>
      <c r="E290" s="25"/>
      <c r="F290" s="26"/>
      <c r="G290" s="27">
        <f>SUM(G291:G295)</f>
        <v>2527948.5</v>
      </c>
      <c r="H290" s="27">
        <f>IFERROR(G290*E288,"")</f>
        <v>0</v>
      </c>
    </row>
    <row r="291" spans="1:8" ht="38.25">
      <c r="A291" s="28"/>
      <c r="B291" s="29" t="s">
        <v>3092</v>
      </c>
      <c r="C291" s="30" t="str">
        <f>IFERROR(_xlfn.XLOOKUP(B291,Insumo[DESCRIPCION],Insumo[UND],,0),"")</f>
        <v>Un</v>
      </c>
      <c r="D291" s="31">
        <v>1</v>
      </c>
      <c r="E291" s="32">
        <f>IFERROR(_xlfn.XLOOKUP($B291,Insumo[DESCRIPCION],Insumo[VALOR],,0),"")</f>
        <v>2311050</v>
      </c>
      <c r="F291" s="33"/>
      <c r="G291" s="34">
        <f>IFERROR(IF(F291&gt;=0,D291*E291*(1+F291/100),ABS(D291*E291/F291)),"")</f>
        <v>2311050</v>
      </c>
      <c r="H291" s="43">
        <f>IFERROR(G291*E288,"")</f>
        <v>0</v>
      </c>
    </row>
    <row r="292" spans="1:8">
      <c r="A292" s="28"/>
      <c r="B292" s="29" t="s">
        <v>2800</v>
      </c>
      <c r="C292" s="30" t="str">
        <f>IFERROR(_xlfn.XLOOKUP(B292,Insumo[DESCRIPCION],Insumo[UND],,0),"")</f>
        <v>M</v>
      </c>
      <c r="D292" s="31">
        <v>14</v>
      </c>
      <c r="E292" s="32">
        <f>IFERROR(_xlfn.XLOOKUP($B292,Insumo[DESCRIPCION],Insumo[VALOR],,0),"")</f>
        <v>7387.8</v>
      </c>
      <c r="F292" s="33"/>
      <c r="G292" s="34">
        <f>IFERROR(IF(F292&gt;=0,D292*E292*(1+F292/100),ABS(D292*E292/F292)),"")</f>
        <v>103429.2</v>
      </c>
      <c r="H292" s="43">
        <f>IFERROR(G292*E288,"")</f>
        <v>0</v>
      </c>
    </row>
    <row r="293" spans="1:8">
      <c r="A293" s="28"/>
      <c r="B293" s="29" t="s">
        <v>2890</v>
      </c>
      <c r="C293" s="30" t="str">
        <f>IFERROR(_xlfn.XLOOKUP(B293,Insumo[DESCRIPCION],Insumo[UND],,0),"")</f>
        <v>Un</v>
      </c>
      <c r="D293" s="31">
        <v>3</v>
      </c>
      <c r="E293" s="32">
        <f>IFERROR(_xlfn.XLOOKUP($B293,Insumo[DESCRIPCION],Insumo[VALOR],,0),"")</f>
        <v>37823.1</v>
      </c>
      <c r="F293" s="33"/>
      <c r="G293" s="34">
        <f>IFERROR(IF(F293&gt;=0,D293*E293*(1+F293/100),ABS(D293*E293/F293)),"")</f>
        <v>113469.29999999999</v>
      </c>
      <c r="H293" s="43">
        <f>IFERROR(G293*E288,"")</f>
        <v>0</v>
      </c>
    </row>
    <row r="294" spans="1:8">
      <c r="A294" s="28"/>
      <c r="B294" s="29"/>
      <c r="C294" s="30" t="str">
        <f>IFERROR(_xlfn.XLOOKUP(B294,Insumo[DESCRIPCION],Insumo[UND],,0),"")</f>
        <v/>
      </c>
      <c r="D294" s="31"/>
      <c r="E294" s="32" t="str">
        <f>IFERROR(_xlfn.XLOOKUP($B294,Insumo[DESCRIPCION],Insumo[VALOR],,0),"")</f>
        <v/>
      </c>
      <c r="F294" s="33"/>
      <c r="G294" s="34" t="str">
        <f>IFERROR(IF(F294&gt;=0,D294*E294*(1+F294/100),ABS(D294*E294/F294)),"")</f>
        <v/>
      </c>
      <c r="H294" s="43" t="str">
        <f>IFERROR(G294*E288,"")</f>
        <v/>
      </c>
    </row>
    <row r="295" spans="1:8">
      <c r="A295" s="28"/>
      <c r="B295" s="29"/>
      <c r="C295" s="30" t="str">
        <f>IFERROR(_xlfn.XLOOKUP(B295,Insumo[DESCRIPCION],Insumo[UND],,0),"")</f>
        <v/>
      </c>
      <c r="D295" s="31"/>
      <c r="E295" s="32" t="str">
        <f>IFERROR(_xlfn.XLOOKUP($B295,Insumo[DESCRIPCION],Insumo[VALOR],,0),"")</f>
        <v/>
      </c>
      <c r="F295" s="33"/>
      <c r="G295" s="34" t="str">
        <f>IFERROR(IF(F295&gt;=0,D295*E295*(1+F295/100),ABS(D295*E295/F295)),"")</f>
        <v/>
      </c>
      <c r="H295" s="43" t="str">
        <f>IFERROR(G295*E288,"")</f>
        <v/>
      </c>
    </row>
    <row r="296" spans="1:8">
      <c r="A296" s="21"/>
      <c r="B296" s="22" t="s">
        <v>3731</v>
      </c>
      <c r="C296" s="23"/>
      <c r="D296" s="24"/>
      <c r="E296" s="25"/>
      <c r="F296" s="26"/>
      <c r="G296" s="27">
        <f>SUM(G297:G299)</f>
        <v>89193.293466656251</v>
      </c>
      <c r="H296" s="27">
        <f>IFERROR(G296*E288,"")</f>
        <v>0</v>
      </c>
    </row>
    <row r="297" spans="1:8">
      <c r="A297" s="28"/>
      <c r="B297" s="29" t="s">
        <v>3622</v>
      </c>
      <c r="C297" s="30" t="str">
        <f>IFERROR(_xlfn.XLOOKUP(B297,Equipo[DESCRIPCION],Equipo[UND],,0),"")</f>
        <v>Hr</v>
      </c>
      <c r="D297" s="31">
        <v>1</v>
      </c>
      <c r="E297" s="32">
        <f>IF(C297="%MO",G303,IFERROR(_xlfn.XLOOKUP($B297,Equipo[DESCRIPCION],Equipo[VALOR],,0),""))</f>
        <v>87082.8</v>
      </c>
      <c r="F297" s="33">
        <v>-1</v>
      </c>
      <c r="G297" s="34">
        <f>IFERROR(IF(F297&gt;=0,D297*E297*(1+F297/100),ABS(D297*E297/F297)),"")</f>
        <v>87082.8</v>
      </c>
      <c r="H297" s="43">
        <f>IFERROR(G297*E288,"")</f>
        <v>0</v>
      </c>
    </row>
    <row r="298" spans="1:8">
      <c r="A298" s="28"/>
      <c r="B298" s="29" t="s">
        <v>3626</v>
      </c>
      <c r="C298" s="30" t="str">
        <f>IFERROR(_xlfn.XLOOKUP(B298,Equipo[DESCRIPCION],Equipo[UND],,0),"")</f>
        <v>%MO</v>
      </c>
      <c r="D298" s="31">
        <v>0.05</v>
      </c>
      <c r="E298" s="32">
        <f>IF(C298="%MO",G303,IFERROR(_xlfn.XLOOKUP($B298,Equipo[DESCRIPCION],Equipo[VALOR],,0),""))</f>
        <v>42209.869333125011</v>
      </c>
      <c r="F298" s="33"/>
      <c r="G298" s="34">
        <f>IFERROR(IF(F298&gt;=0,D298*E298*(1+F298/100),ABS(D298*E298/F298)),"")</f>
        <v>2110.4934666562508</v>
      </c>
      <c r="H298" s="43">
        <f>IFERROR(G298*E288,"")</f>
        <v>0</v>
      </c>
    </row>
    <row r="299" spans="1:8">
      <c r="A299" s="28"/>
      <c r="B299" s="29"/>
      <c r="C299" s="30" t="str">
        <f>IFERROR(_xlfn.XLOOKUP(B299,Equipo[DESCRIPCION],Equipo[UND],,0),"")</f>
        <v/>
      </c>
      <c r="D299" s="31"/>
      <c r="E299" s="32" t="str">
        <f>IF(C299="%MO",G303,IFERROR(_xlfn.XLOOKUP($B299,Equipo[DESCRIPCION],Equipo[VALOR],,0),""))</f>
        <v/>
      </c>
      <c r="F299" s="33"/>
      <c r="G299" s="34" t="str">
        <f>IFERROR(IF(F299&gt;=0,D299*E299*(1+F299/100),ABS(D299*E299/F299)),"")</f>
        <v/>
      </c>
      <c r="H299" s="43" t="str">
        <f>IFERROR(G299*E288,"")</f>
        <v/>
      </c>
    </row>
    <row r="300" spans="1:8">
      <c r="A300" s="21"/>
      <c r="B300" s="22" t="s">
        <v>2533</v>
      </c>
      <c r="C300" s="23"/>
      <c r="D300" s="24"/>
      <c r="E300" s="25"/>
      <c r="F300" s="26"/>
      <c r="G300" s="27">
        <f>SUM(G301:G302)</f>
        <v>0</v>
      </c>
      <c r="H300" s="27">
        <f>IFERROR(G300*E288,"")</f>
        <v>0</v>
      </c>
    </row>
    <row r="301" spans="1:8">
      <c r="A301" s="28"/>
      <c r="B301" s="29"/>
      <c r="C301" s="30" t="str">
        <f>IFERROR(_xlfn.XLOOKUP(B301,Transporte[DESCRIPCION],Transporte[UND],,0),"")</f>
        <v/>
      </c>
      <c r="D301" s="31"/>
      <c r="E301" s="32" t="str">
        <f>IFERROR(_xlfn.XLOOKUP($B301,Transporte[DESCRIPCION],Transporte[VALOR],,0),"")</f>
        <v/>
      </c>
      <c r="F301" s="33"/>
      <c r="G301" s="34" t="str">
        <f>IFERROR(IF(F301&gt;=0,D301*E301*(1+F301/100),ABS(D301*E301/F301)),"")</f>
        <v/>
      </c>
      <c r="H301" s="43" t="str">
        <f>IFERROR(G301*E288,"")</f>
        <v/>
      </c>
    </row>
    <row r="302" spans="1:8">
      <c r="A302" s="28"/>
      <c r="B302" s="29"/>
      <c r="C302" s="30" t="str">
        <f>IFERROR(_xlfn.XLOOKUP(B302,Transporte[DESCRIPCION],Transporte[UND],,0),"")</f>
        <v/>
      </c>
      <c r="D302" s="31"/>
      <c r="E302" s="32" t="str">
        <f>IFERROR(_xlfn.XLOOKUP($B302,Transporte[DESCRIPCION],Transporte[VALOR],,0),"")</f>
        <v/>
      </c>
      <c r="F302" s="33"/>
      <c r="G302" s="34" t="str">
        <f>IFERROR(IF(F302&gt;=0,D302*E302*(1+F302/100),ABS(D302*E302/F302)),"")</f>
        <v/>
      </c>
      <c r="H302" s="43" t="str">
        <f>IFERROR(G302*E288,"")</f>
        <v/>
      </c>
    </row>
    <row r="303" spans="1:8">
      <c r="A303" s="21"/>
      <c r="B303" s="22" t="s">
        <v>3732</v>
      </c>
      <c r="C303" s="23"/>
      <c r="D303" s="24"/>
      <c r="E303" s="25"/>
      <c r="F303" s="26"/>
      <c r="G303" s="27">
        <f>SUM(G304:G306)</f>
        <v>42209.869333125011</v>
      </c>
      <c r="H303" s="27">
        <f>IFERROR(G303*E288,"")</f>
        <v>0</v>
      </c>
    </row>
    <row r="304" spans="1:8">
      <c r="A304" s="28"/>
      <c r="B304" s="29" t="s">
        <v>3715</v>
      </c>
      <c r="C304" s="30" t="str">
        <f>IFERROR(_xlfn.XLOOKUP(B304,MObra[DESCRIPCION],MObra[UN],,0),"")</f>
        <v>día</v>
      </c>
      <c r="D304" s="31">
        <v>1</v>
      </c>
      <c r="E304" s="32">
        <f>IFERROR(_xlfn.XLOOKUP($B304,MObra[DESCRIPCION],MObra[VALOR UNIT],,0),"")</f>
        <v>337678.95466500008</v>
      </c>
      <c r="F304" s="33">
        <v>-8</v>
      </c>
      <c r="G304" s="34">
        <f>IFERROR(IF(F304&gt;=0,D304*E304*(1+F304/100),ABS(D304*E304/F304)),"")</f>
        <v>42209.869333125011</v>
      </c>
      <c r="H304" s="43">
        <f>IFERROR(G304*E288,"")</f>
        <v>0</v>
      </c>
    </row>
    <row r="305" spans="1:11">
      <c r="A305" s="28"/>
      <c r="B305" s="29"/>
      <c r="C305" s="30" t="str">
        <f>IFERROR(_xlfn.XLOOKUP(B305,MObra[DESCRIPCION],MObra[UN],,0),"")</f>
        <v/>
      </c>
      <c r="D305" s="31"/>
      <c r="E305" s="32" t="str">
        <f>IFERROR(_xlfn.XLOOKUP($B305,MObra[DESCRIPCION],MObra[VALOR UNIT],,0),"")</f>
        <v/>
      </c>
      <c r="F305" s="33"/>
      <c r="G305" s="34" t="str">
        <f>IFERROR(IF(F305&gt;=0,D305*E305*(1+F305/100),ABS(D305*E305/F305)),"")</f>
        <v/>
      </c>
      <c r="H305" s="43" t="str">
        <f>IFERROR(G305*E288,"")</f>
        <v/>
      </c>
    </row>
    <row r="306" spans="1:11">
      <c r="A306" s="35"/>
      <c r="B306" s="36"/>
      <c r="C306" s="37" t="str">
        <f>IFERROR(_xlfn.XLOOKUP(B306,MObra[DESCRIPCION],MObra[UN],,0),"")</f>
        <v/>
      </c>
      <c r="D306" s="38"/>
      <c r="E306" s="39" t="str">
        <f>IFERROR(_xlfn.XLOOKUP($B306,MObra[DESCRIPCION],MObra[VALOR UNIT],,0),"")</f>
        <v/>
      </c>
      <c r="F306" s="40"/>
      <c r="G306" s="41" t="str">
        <f>IFERROR(IF(F306&gt;=0,D306*E306*(1+F306/100),ABS(D306*E306/F306)),"")</f>
        <v/>
      </c>
      <c r="H306" s="42" t="str">
        <f>IFERROR(G306*E288,"")</f>
        <v/>
      </c>
    </row>
    <row r="308" spans="1:11" ht="51">
      <c r="A308" s="6" t="s">
        <v>2290</v>
      </c>
      <c r="B308" s="7" t="str">
        <f>VLOOKUP($A308,Presupuesto!$A:$D,2,FALSE())</f>
        <v>Luminaria alumbrado público, dimerizable 100-277 Vac, 120W, 18240 Lm, VU&gt;=100000 h L70 B10, CRI &gt;=70, IP 66, IK 08, 4000K, eficacia &gt;=135 Lm/W, THDi &lt;=20%, FP&gt;=0.9. base fotocelda 7 pines, difusor en vidrio alta transmitancia. Apta para instalación sistema integral de tele gestión.</v>
      </c>
      <c r="C308" s="8" t="str">
        <f>VLOOKUP($A308,Presupuesto!$A:$D,3,FALSE())</f>
        <v>Un</v>
      </c>
      <c r="D308" s="9"/>
      <c r="E308" s="10">
        <f>VLOOKUP($A308,Presupuesto!$A:$D,4,FALSE())</f>
        <v>0</v>
      </c>
      <c r="F308" s="11" t="s">
        <v>2589</v>
      </c>
      <c r="G308" s="12">
        <f>SUM(G310:G326)/2</f>
        <v>2678251.6627997812</v>
      </c>
      <c r="H308" s="13">
        <f>ROUND(SUM(H310:H326),0)/2</f>
        <v>0</v>
      </c>
      <c r="I308" s="10">
        <f>VLOOKUP(A308,Presupuesto!$A:$F,6,0)</f>
        <v>0</v>
      </c>
      <c r="J308" s="10">
        <f>+H308-I308</f>
        <v>0</v>
      </c>
      <c r="K308" s="46">
        <f>+H308-G308*E308</f>
        <v>0</v>
      </c>
    </row>
    <row r="309" spans="1:11">
      <c r="A309" s="14"/>
      <c r="B309" s="15" t="s">
        <v>2586</v>
      </c>
      <c r="C309" s="15" t="s">
        <v>5</v>
      </c>
      <c r="D309" s="16" t="s">
        <v>6</v>
      </c>
      <c r="E309" s="17" t="s">
        <v>7</v>
      </c>
      <c r="F309" s="18" t="s">
        <v>3728</v>
      </c>
      <c r="G309" s="19" t="s">
        <v>3729</v>
      </c>
      <c r="H309" s="20" t="s">
        <v>3797</v>
      </c>
    </row>
    <row r="310" spans="1:11">
      <c r="A310" s="21"/>
      <c r="B310" s="22" t="s">
        <v>3730</v>
      </c>
      <c r="C310" s="23"/>
      <c r="D310" s="24"/>
      <c r="E310" s="25"/>
      <c r="F310" s="26"/>
      <c r="G310" s="27">
        <f>SUM(G311:G315)</f>
        <v>2546848.5</v>
      </c>
      <c r="H310" s="27">
        <f>IFERROR(G310*E308,"")</f>
        <v>0</v>
      </c>
    </row>
    <row r="311" spans="1:11" ht="38.25">
      <c r="A311" s="28"/>
      <c r="B311" s="29" t="s">
        <v>3093</v>
      </c>
      <c r="C311" s="30" t="str">
        <f>IFERROR(_xlfn.XLOOKUP(B311,Insumo[DESCRIPCION],Insumo[UND],,0),"")</f>
        <v>Un</v>
      </c>
      <c r="D311" s="31">
        <v>1</v>
      </c>
      <c r="E311" s="32">
        <f>IFERROR(_xlfn.XLOOKUP($B311,Insumo[DESCRIPCION],Insumo[VALOR],,0),"")</f>
        <v>2329950</v>
      </c>
      <c r="F311" s="33"/>
      <c r="G311" s="34">
        <f>IFERROR(IF(F311&gt;=0,D311*E311*(1+F311/100),ABS(D311*E311/F311)),"")</f>
        <v>2329950</v>
      </c>
      <c r="H311" s="43">
        <f>IFERROR(G311*E308,"")</f>
        <v>0</v>
      </c>
    </row>
    <row r="312" spans="1:11">
      <c r="A312" s="28"/>
      <c r="B312" s="29" t="s">
        <v>2800</v>
      </c>
      <c r="C312" s="30" t="str">
        <f>IFERROR(_xlfn.XLOOKUP(B312,Insumo[DESCRIPCION],Insumo[UND],,0),"")</f>
        <v>M</v>
      </c>
      <c r="D312" s="31">
        <v>14</v>
      </c>
      <c r="E312" s="32">
        <f>IFERROR(_xlfn.XLOOKUP($B312,Insumo[DESCRIPCION],Insumo[VALOR],,0),"")</f>
        <v>7387.8</v>
      </c>
      <c r="F312" s="33"/>
      <c r="G312" s="34">
        <f>IFERROR(IF(F312&gt;=0,D312*E312*(1+F312/100),ABS(D312*E312/F312)),"")</f>
        <v>103429.2</v>
      </c>
      <c r="H312" s="43">
        <f>IFERROR(G312*E308,"")</f>
        <v>0</v>
      </c>
    </row>
    <row r="313" spans="1:11">
      <c r="A313" s="28"/>
      <c r="B313" s="29" t="s">
        <v>2890</v>
      </c>
      <c r="C313" s="30" t="str">
        <f>IFERROR(_xlfn.XLOOKUP(B313,Insumo[DESCRIPCION],Insumo[UND],,0),"")</f>
        <v>Un</v>
      </c>
      <c r="D313" s="31">
        <v>3</v>
      </c>
      <c r="E313" s="32">
        <f>IFERROR(_xlfn.XLOOKUP($B313,Insumo[DESCRIPCION],Insumo[VALOR],,0),"")</f>
        <v>37823.1</v>
      </c>
      <c r="F313" s="33"/>
      <c r="G313" s="34">
        <f>IFERROR(IF(F313&gt;=0,D313*E313*(1+F313/100),ABS(D313*E313/F313)),"")</f>
        <v>113469.29999999999</v>
      </c>
      <c r="H313" s="43">
        <f>IFERROR(G313*E308,"")</f>
        <v>0</v>
      </c>
    </row>
    <row r="314" spans="1:11">
      <c r="A314" s="28"/>
      <c r="B314" s="29"/>
      <c r="C314" s="30" t="str">
        <f>IFERROR(_xlfn.XLOOKUP(B314,Insumo[DESCRIPCION],Insumo[UND],,0),"")</f>
        <v/>
      </c>
      <c r="D314" s="31"/>
      <c r="E314" s="32" t="str">
        <f>IFERROR(_xlfn.XLOOKUP($B314,Insumo[DESCRIPCION],Insumo[VALOR],,0),"")</f>
        <v/>
      </c>
      <c r="F314" s="33"/>
      <c r="G314" s="34" t="str">
        <f>IFERROR(IF(F314&gt;=0,D314*E314*(1+F314/100),ABS(D314*E314/F314)),"")</f>
        <v/>
      </c>
      <c r="H314" s="43" t="str">
        <f>IFERROR(G314*E308,"")</f>
        <v/>
      </c>
    </row>
    <row r="315" spans="1:11">
      <c r="A315" s="28"/>
      <c r="B315" s="29"/>
      <c r="C315" s="30" t="str">
        <f>IFERROR(_xlfn.XLOOKUP(B315,Insumo[DESCRIPCION],Insumo[UND],,0),"")</f>
        <v/>
      </c>
      <c r="D315" s="31"/>
      <c r="E315" s="32" t="str">
        <f>IFERROR(_xlfn.XLOOKUP($B315,Insumo[DESCRIPCION],Insumo[VALOR],,0),"")</f>
        <v/>
      </c>
      <c r="F315" s="33"/>
      <c r="G315" s="34" t="str">
        <f>IFERROR(IF(F315&gt;=0,D315*E315*(1+F315/100),ABS(D315*E315/F315)),"")</f>
        <v/>
      </c>
      <c r="H315" s="43" t="str">
        <f>IFERROR(G315*E308,"")</f>
        <v/>
      </c>
    </row>
    <row r="316" spans="1:11">
      <c r="A316" s="21"/>
      <c r="B316" s="22" t="s">
        <v>3731</v>
      </c>
      <c r="C316" s="23"/>
      <c r="D316" s="24"/>
      <c r="E316" s="25"/>
      <c r="F316" s="26"/>
      <c r="G316" s="27">
        <f>SUM(G317:G319)</f>
        <v>89193.293466656251</v>
      </c>
      <c r="H316" s="27">
        <f>IFERROR(G316*E308,"")</f>
        <v>0</v>
      </c>
    </row>
    <row r="317" spans="1:11">
      <c r="A317" s="28"/>
      <c r="B317" s="29" t="s">
        <v>3622</v>
      </c>
      <c r="C317" s="30" t="str">
        <f>IFERROR(_xlfn.XLOOKUP(B317,Equipo[DESCRIPCION],Equipo[UND],,0),"")</f>
        <v>Hr</v>
      </c>
      <c r="D317" s="31">
        <v>1</v>
      </c>
      <c r="E317" s="32">
        <f>IF(C317="%MO",G323,IFERROR(_xlfn.XLOOKUP($B317,Equipo[DESCRIPCION],Equipo[VALOR],,0),""))</f>
        <v>87082.8</v>
      </c>
      <c r="F317" s="33">
        <v>-1</v>
      </c>
      <c r="G317" s="34">
        <f>IFERROR(IF(F317&gt;=0,D317*E317*(1+F317/100),ABS(D317*E317/F317)),"")</f>
        <v>87082.8</v>
      </c>
      <c r="H317" s="43">
        <f>IFERROR(G317*E308,"")</f>
        <v>0</v>
      </c>
    </row>
    <row r="318" spans="1:11">
      <c r="A318" s="28"/>
      <c r="B318" s="29" t="s">
        <v>3626</v>
      </c>
      <c r="C318" s="30" t="str">
        <f>IFERROR(_xlfn.XLOOKUP(B318,Equipo[DESCRIPCION],Equipo[UND],,0),"")</f>
        <v>%MO</v>
      </c>
      <c r="D318" s="31">
        <v>0.05</v>
      </c>
      <c r="E318" s="32">
        <f>IF(C318="%MO",G323,IFERROR(_xlfn.XLOOKUP($B318,Equipo[DESCRIPCION],Equipo[VALOR],,0),""))</f>
        <v>42209.869333125011</v>
      </c>
      <c r="F318" s="33"/>
      <c r="G318" s="34">
        <f>IFERROR(IF(F318&gt;=0,D318*E318*(1+F318/100),ABS(D318*E318/F318)),"")</f>
        <v>2110.4934666562508</v>
      </c>
      <c r="H318" s="43">
        <f>IFERROR(G318*E308,"")</f>
        <v>0</v>
      </c>
    </row>
    <row r="319" spans="1:11">
      <c r="A319" s="28"/>
      <c r="B319" s="29"/>
      <c r="C319" s="30" t="str">
        <f>IFERROR(_xlfn.XLOOKUP(B319,Equipo[DESCRIPCION],Equipo[UND],,0),"")</f>
        <v/>
      </c>
      <c r="D319" s="31"/>
      <c r="E319" s="32" t="str">
        <f>IF(C319="%MO",G323,IFERROR(_xlfn.XLOOKUP($B319,Equipo[DESCRIPCION],Equipo[VALOR],,0),""))</f>
        <v/>
      </c>
      <c r="F319" s="33"/>
      <c r="G319" s="34" t="str">
        <f>IFERROR(IF(F319&gt;=0,D319*E319*(1+F319/100),ABS(D319*E319/F319)),"")</f>
        <v/>
      </c>
      <c r="H319" s="43" t="str">
        <f>IFERROR(G319*E308,"")</f>
        <v/>
      </c>
    </row>
    <row r="320" spans="1:11">
      <c r="A320" s="21"/>
      <c r="B320" s="22" t="s">
        <v>2533</v>
      </c>
      <c r="C320" s="23"/>
      <c r="D320" s="24"/>
      <c r="E320" s="25"/>
      <c r="F320" s="26"/>
      <c r="G320" s="27">
        <f>SUM(G321:G322)</f>
        <v>0</v>
      </c>
      <c r="H320" s="27">
        <f>IFERROR(G320*E308,"")</f>
        <v>0</v>
      </c>
    </row>
    <row r="321" spans="1:11">
      <c r="A321" s="28"/>
      <c r="B321" s="29"/>
      <c r="C321" s="30" t="str">
        <f>IFERROR(_xlfn.XLOOKUP(B321,Transporte[DESCRIPCION],Transporte[UND],,0),"")</f>
        <v/>
      </c>
      <c r="D321" s="31"/>
      <c r="E321" s="32" t="str">
        <f>IFERROR(_xlfn.XLOOKUP($B321,Transporte[DESCRIPCION],Transporte[VALOR],,0),"")</f>
        <v/>
      </c>
      <c r="F321" s="33"/>
      <c r="G321" s="34" t="str">
        <f>IFERROR(IF(F321&gt;=0,D321*E321*(1+F321/100),ABS(D321*E321/F321)),"")</f>
        <v/>
      </c>
      <c r="H321" s="43" t="str">
        <f>IFERROR(G321*E308,"")</f>
        <v/>
      </c>
    </row>
    <row r="322" spans="1:11">
      <c r="A322" s="28"/>
      <c r="B322" s="29"/>
      <c r="C322" s="30" t="str">
        <f>IFERROR(_xlfn.XLOOKUP(B322,Transporte[DESCRIPCION],Transporte[UND],,0),"")</f>
        <v/>
      </c>
      <c r="D322" s="31"/>
      <c r="E322" s="32" t="str">
        <f>IFERROR(_xlfn.XLOOKUP($B322,Transporte[DESCRIPCION],Transporte[VALOR],,0),"")</f>
        <v/>
      </c>
      <c r="F322" s="33"/>
      <c r="G322" s="34" t="str">
        <f>IFERROR(IF(F322&gt;=0,D322*E322*(1+F322/100),ABS(D322*E322/F322)),"")</f>
        <v/>
      </c>
      <c r="H322" s="43" t="str">
        <f>IFERROR(G322*E308,"")</f>
        <v/>
      </c>
    </row>
    <row r="323" spans="1:11">
      <c r="A323" s="21"/>
      <c r="B323" s="22" t="s">
        <v>3732</v>
      </c>
      <c r="C323" s="23"/>
      <c r="D323" s="24"/>
      <c r="E323" s="25"/>
      <c r="F323" s="26"/>
      <c r="G323" s="27">
        <f>SUM(G324:G326)</f>
        <v>42209.869333125011</v>
      </c>
      <c r="H323" s="27">
        <f>IFERROR(G323*E308,"")</f>
        <v>0</v>
      </c>
    </row>
    <row r="324" spans="1:11">
      <c r="A324" s="28"/>
      <c r="B324" s="29" t="s">
        <v>3715</v>
      </c>
      <c r="C324" s="30" t="str">
        <f>IFERROR(_xlfn.XLOOKUP(B324,MObra[DESCRIPCION],MObra[UN],,0),"")</f>
        <v>día</v>
      </c>
      <c r="D324" s="31">
        <v>1</v>
      </c>
      <c r="E324" s="32">
        <f>IFERROR(_xlfn.XLOOKUP($B324,MObra[DESCRIPCION],MObra[VALOR UNIT],,0),"")</f>
        <v>337678.95466500008</v>
      </c>
      <c r="F324" s="33">
        <v>-8</v>
      </c>
      <c r="G324" s="34">
        <f>IFERROR(IF(F324&gt;=0,D324*E324*(1+F324/100),ABS(D324*E324/F324)),"")</f>
        <v>42209.869333125011</v>
      </c>
      <c r="H324" s="43">
        <f>IFERROR(G324*E308,"")</f>
        <v>0</v>
      </c>
    </row>
    <row r="325" spans="1:11">
      <c r="A325" s="28"/>
      <c r="B325" s="29"/>
      <c r="C325" s="30" t="str">
        <f>IFERROR(_xlfn.XLOOKUP(B325,MObra[DESCRIPCION],MObra[UN],,0),"")</f>
        <v/>
      </c>
      <c r="D325" s="31"/>
      <c r="E325" s="32" t="str">
        <f>IFERROR(_xlfn.XLOOKUP($B325,MObra[DESCRIPCION],MObra[VALOR UNIT],,0),"")</f>
        <v/>
      </c>
      <c r="F325" s="33"/>
      <c r="G325" s="34" t="str">
        <f>IFERROR(IF(F325&gt;=0,D325*E325*(1+F325/100),ABS(D325*E325/F325)),"")</f>
        <v/>
      </c>
      <c r="H325" s="43" t="str">
        <f>IFERROR(G325*E308,"")</f>
        <v/>
      </c>
    </row>
    <row r="326" spans="1:11">
      <c r="A326" s="35"/>
      <c r="B326" s="36"/>
      <c r="C326" s="37" t="str">
        <f>IFERROR(_xlfn.XLOOKUP(B326,MObra[DESCRIPCION],MObra[UN],,0),"")</f>
        <v/>
      </c>
      <c r="D326" s="38"/>
      <c r="E326" s="39" t="str">
        <f>IFERROR(_xlfn.XLOOKUP($B326,MObra[DESCRIPCION],MObra[VALOR UNIT],,0),"")</f>
        <v/>
      </c>
      <c r="F326" s="40"/>
      <c r="G326" s="41" t="str">
        <f>IFERROR(IF(F326&gt;=0,D326*E326*(1+F326/100),ABS(D326*E326/F326)),"")</f>
        <v/>
      </c>
      <c r="H326" s="42" t="str">
        <f>IFERROR(G326*E308,"")</f>
        <v/>
      </c>
    </row>
    <row r="328" spans="1:11" ht="51">
      <c r="A328" s="6" t="s">
        <v>2292</v>
      </c>
      <c r="B328" s="7" t="str">
        <f>VLOOKUP($A328,Presupuesto!$A:$D,2,FALSE())</f>
        <v>Luminaria alumbrado público, dimerizable 100-277 Vac, 160W, 23660 Lm, VU&gt;=100000 h L70 B10, CRI &gt;=70, IP 66, IK 08, 4000K, eficacia &gt;=135 Lm/W, THDi &lt;=20%, FP&gt;=0.9. base fotocelda 7 pines, difusor en vidrio alta transmitancia. Apta para instalación sistema integral de tele gestión</v>
      </c>
      <c r="C328" s="8" t="str">
        <f>VLOOKUP($A328,Presupuesto!$A:$D,3,FALSE())</f>
        <v>Un</v>
      </c>
      <c r="D328" s="9"/>
      <c r="E328" s="10">
        <f>VLOOKUP($A328,Presupuesto!$A:$D,4,FALSE())</f>
        <v>0</v>
      </c>
      <c r="F328" s="11" t="s">
        <v>2589</v>
      </c>
      <c r="G328" s="12">
        <f>SUM(G330:G346)/2</f>
        <v>2741251.6627997812</v>
      </c>
      <c r="H328" s="13">
        <f>ROUND(SUM(H330:H346),0)/2</f>
        <v>0</v>
      </c>
      <c r="I328" s="10">
        <f>VLOOKUP(A328,Presupuesto!$A:$F,6,0)</f>
        <v>0</v>
      </c>
      <c r="J328" s="10">
        <f>+H328-I328</f>
        <v>0</v>
      </c>
      <c r="K328" s="46">
        <f>+H328-G328*E328</f>
        <v>0</v>
      </c>
    </row>
    <row r="329" spans="1:11">
      <c r="A329" s="14"/>
      <c r="B329" s="15" t="s">
        <v>2586</v>
      </c>
      <c r="C329" s="15" t="s">
        <v>5</v>
      </c>
      <c r="D329" s="16" t="s">
        <v>6</v>
      </c>
      <c r="E329" s="17" t="s">
        <v>7</v>
      </c>
      <c r="F329" s="18" t="s">
        <v>3728</v>
      </c>
      <c r="G329" s="19" t="s">
        <v>3729</v>
      </c>
      <c r="H329" s="20" t="s">
        <v>3797</v>
      </c>
    </row>
    <row r="330" spans="1:11">
      <c r="A330" s="21"/>
      <c r="B330" s="22" t="s">
        <v>3730</v>
      </c>
      <c r="C330" s="23"/>
      <c r="D330" s="24"/>
      <c r="E330" s="25"/>
      <c r="F330" s="26"/>
      <c r="G330" s="27">
        <f>SUM(G331:G335)</f>
        <v>2609848.5</v>
      </c>
      <c r="H330" s="27">
        <f>IFERROR(G330*E328,"")</f>
        <v>0</v>
      </c>
    </row>
    <row r="331" spans="1:11" ht="38.25">
      <c r="A331" s="28"/>
      <c r="B331" s="29" t="s">
        <v>3094</v>
      </c>
      <c r="C331" s="30" t="str">
        <f>IFERROR(_xlfn.XLOOKUP(B331,Insumo[DESCRIPCION],Insumo[UND],,0),"")</f>
        <v>Un</v>
      </c>
      <c r="D331" s="31">
        <v>1</v>
      </c>
      <c r="E331" s="32">
        <f>IFERROR(_xlfn.XLOOKUP($B331,Insumo[DESCRIPCION],Insumo[VALOR],,0),"")</f>
        <v>2392950</v>
      </c>
      <c r="F331" s="33"/>
      <c r="G331" s="34">
        <f>IFERROR(IF(F331&gt;=0,D331*E331*(1+F331/100),ABS(D331*E331/F331)),"")</f>
        <v>2392950</v>
      </c>
      <c r="H331" s="43">
        <f>IFERROR(G331*E328,"")</f>
        <v>0</v>
      </c>
    </row>
    <row r="332" spans="1:11">
      <c r="A332" s="28"/>
      <c r="B332" s="29" t="s">
        <v>2800</v>
      </c>
      <c r="C332" s="30" t="str">
        <f>IFERROR(_xlfn.XLOOKUP(B332,Insumo[DESCRIPCION],Insumo[UND],,0),"")</f>
        <v>M</v>
      </c>
      <c r="D332" s="31">
        <v>14</v>
      </c>
      <c r="E332" s="32">
        <f>IFERROR(_xlfn.XLOOKUP($B332,Insumo[DESCRIPCION],Insumo[VALOR],,0),"")</f>
        <v>7387.8</v>
      </c>
      <c r="F332" s="33"/>
      <c r="G332" s="34">
        <f>IFERROR(IF(F332&gt;=0,D332*E332*(1+F332/100),ABS(D332*E332/F332)),"")</f>
        <v>103429.2</v>
      </c>
      <c r="H332" s="43">
        <f>IFERROR(G332*E328,"")</f>
        <v>0</v>
      </c>
    </row>
    <row r="333" spans="1:11">
      <c r="A333" s="28"/>
      <c r="B333" s="29" t="s">
        <v>2890</v>
      </c>
      <c r="C333" s="30" t="str">
        <f>IFERROR(_xlfn.XLOOKUP(B333,Insumo[DESCRIPCION],Insumo[UND],,0),"")</f>
        <v>Un</v>
      </c>
      <c r="D333" s="31">
        <v>3</v>
      </c>
      <c r="E333" s="32">
        <f>IFERROR(_xlfn.XLOOKUP($B333,Insumo[DESCRIPCION],Insumo[VALOR],,0),"")</f>
        <v>37823.1</v>
      </c>
      <c r="F333" s="33"/>
      <c r="G333" s="34">
        <f>IFERROR(IF(F333&gt;=0,D333*E333*(1+F333/100),ABS(D333*E333/F333)),"")</f>
        <v>113469.29999999999</v>
      </c>
      <c r="H333" s="43">
        <f>IFERROR(G333*E328,"")</f>
        <v>0</v>
      </c>
    </row>
    <row r="334" spans="1:11">
      <c r="A334" s="28"/>
      <c r="B334" s="29"/>
      <c r="C334" s="30" t="str">
        <f>IFERROR(_xlfn.XLOOKUP(B334,Insumo[DESCRIPCION],Insumo[UND],,0),"")</f>
        <v/>
      </c>
      <c r="D334" s="31"/>
      <c r="E334" s="32" t="str">
        <f>IFERROR(_xlfn.XLOOKUP($B334,Insumo[DESCRIPCION],Insumo[VALOR],,0),"")</f>
        <v/>
      </c>
      <c r="F334" s="33"/>
      <c r="G334" s="34" t="str">
        <f>IFERROR(IF(F334&gt;=0,D334*E334*(1+F334/100),ABS(D334*E334/F334)),"")</f>
        <v/>
      </c>
      <c r="H334" s="43" t="str">
        <f>IFERROR(G334*E328,"")</f>
        <v/>
      </c>
    </row>
    <row r="335" spans="1:11">
      <c r="A335" s="28"/>
      <c r="B335" s="29"/>
      <c r="C335" s="30" t="str">
        <f>IFERROR(_xlfn.XLOOKUP(B335,Insumo[DESCRIPCION],Insumo[UND],,0),"")</f>
        <v/>
      </c>
      <c r="D335" s="31"/>
      <c r="E335" s="32" t="str">
        <f>IFERROR(_xlfn.XLOOKUP($B335,Insumo[DESCRIPCION],Insumo[VALOR],,0),"")</f>
        <v/>
      </c>
      <c r="F335" s="33"/>
      <c r="G335" s="34" t="str">
        <f>IFERROR(IF(F335&gt;=0,D335*E335*(1+F335/100),ABS(D335*E335/F335)),"")</f>
        <v/>
      </c>
      <c r="H335" s="43" t="str">
        <f>IFERROR(G335*E328,"")</f>
        <v/>
      </c>
    </row>
    <row r="336" spans="1:11">
      <c r="A336" s="21"/>
      <c r="B336" s="22" t="s">
        <v>3731</v>
      </c>
      <c r="C336" s="23"/>
      <c r="D336" s="24"/>
      <c r="E336" s="25"/>
      <c r="F336" s="26"/>
      <c r="G336" s="27">
        <f>SUM(G337:G339)</f>
        <v>89193.293466656251</v>
      </c>
      <c r="H336" s="27">
        <f>IFERROR(G336*E328,"")</f>
        <v>0</v>
      </c>
    </row>
    <row r="337" spans="1:11">
      <c r="A337" s="28"/>
      <c r="B337" s="29" t="s">
        <v>3622</v>
      </c>
      <c r="C337" s="30" t="str">
        <f>IFERROR(_xlfn.XLOOKUP(B337,Equipo[DESCRIPCION],Equipo[UND],,0),"")</f>
        <v>Hr</v>
      </c>
      <c r="D337" s="31">
        <v>1</v>
      </c>
      <c r="E337" s="32">
        <f>IF(C337="%MO",G343,IFERROR(_xlfn.XLOOKUP($B337,Equipo[DESCRIPCION],Equipo[VALOR],,0),""))</f>
        <v>87082.8</v>
      </c>
      <c r="F337" s="33">
        <v>-1</v>
      </c>
      <c r="G337" s="34">
        <f>IFERROR(IF(F337&gt;=0,D337*E337*(1+F337/100),ABS(D337*E337/F337)),"")</f>
        <v>87082.8</v>
      </c>
      <c r="H337" s="43">
        <f>IFERROR(G337*E328,"")</f>
        <v>0</v>
      </c>
    </row>
    <row r="338" spans="1:11">
      <c r="A338" s="28"/>
      <c r="B338" s="29" t="s">
        <v>3626</v>
      </c>
      <c r="C338" s="30" t="str">
        <f>IFERROR(_xlfn.XLOOKUP(B338,Equipo[DESCRIPCION],Equipo[UND],,0),"")</f>
        <v>%MO</v>
      </c>
      <c r="D338" s="31">
        <v>0.05</v>
      </c>
      <c r="E338" s="32">
        <f>IF(C338="%MO",G343,IFERROR(_xlfn.XLOOKUP($B338,Equipo[DESCRIPCION],Equipo[VALOR],,0),""))</f>
        <v>42209.869333125011</v>
      </c>
      <c r="F338" s="33"/>
      <c r="G338" s="34">
        <f>IFERROR(IF(F338&gt;=0,D338*E338*(1+F338/100),ABS(D338*E338/F338)),"")</f>
        <v>2110.4934666562508</v>
      </c>
      <c r="H338" s="43">
        <f>IFERROR(G338*E328,"")</f>
        <v>0</v>
      </c>
    </row>
    <row r="339" spans="1:11">
      <c r="A339" s="28"/>
      <c r="B339" s="29"/>
      <c r="C339" s="30" t="str">
        <f>IFERROR(_xlfn.XLOOKUP(B339,Equipo[DESCRIPCION],Equipo[UND],,0),"")</f>
        <v/>
      </c>
      <c r="D339" s="31"/>
      <c r="E339" s="32" t="str">
        <f>IF(C339="%MO",G343,IFERROR(_xlfn.XLOOKUP($B339,Equipo[DESCRIPCION],Equipo[VALOR],,0),""))</f>
        <v/>
      </c>
      <c r="F339" s="33"/>
      <c r="G339" s="34" t="str">
        <f>IFERROR(IF(F339&gt;=0,D339*E339*(1+F339/100),ABS(D339*E339/F339)),"")</f>
        <v/>
      </c>
      <c r="H339" s="43" t="str">
        <f>IFERROR(G339*E328,"")</f>
        <v/>
      </c>
    </row>
    <row r="340" spans="1:11">
      <c r="A340" s="21"/>
      <c r="B340" s="22" t="s">
        <v>2533</v>
      </c>
      <c r="C340" s="23"/>
      <c r="D340" s="24"/>
      <c r="E340" s="25"/>
      <c r="F340" s="26"/>
      <c r="G340" s="27">
        <f>SUM(G341:G342)</f>
        <v>0</v>
      </c>
      <c r="H340" s="27">
        <f>IFERROR(G340*E328,"")</f>
        <v>0</v>
      </c>
    </row>
    <row r="341" spans="1:11">
      <c r="A341" s="28"/>
      <c r="B341" s="29"/>
      <c r="C341" s="30" t="str">
        <f>IFERROR(_xlfn.XLOOKUP(B341,Transporte[DESCRIPCION],Transporte[UND],,0),"")</f>
        <v/>
      </c>
      <c r="D341" s="31"/>
      <c r="E341" s="32" t="str">
        <f>IFERROR(_xlfn.XLOOKUP($B341,Transporte[DESCRIPCION],Transporte[VALOR],,0),"")</f>
        <v/>
      </c>
      <c r="F341" s="33"/>
      <c r="G341" s="34" t="str">
        <f>IFERROR(IF(F341&gt;=0,D341*E341*(1+F341/100),ABS(D341*E341/F341)),"")</f>
        <v/>
      </c>
      <c r="H341" s="43" t="str">
        <f>IFERROR(G341*E328,"")</f>
        <v/>
      </c>
    </row>
    <row r="342" spans="1:11">
      <c r="A342" s="28"/>
      <c r="B342" s="29"/>
      <c r="C342" s="30" t="str">
        <f>IFERROR(_xlfn.XLOOKUP(B342,Transporte[DESCRIPCION],Transporte[UND],,0),"")</f>
        <v/>
      </c>
      <c r="D342" s="31"/>
      <c r="E342" s="32" t="str">
        <f>IFERROR(_xlfn.XLOOKUP($B342,Transporte[DESCRIPCION],Transporte[VALOR],,0),"")</f>
        <v/>
      </c>
      <c r="F342" s="33"/>
      <c r="G342" s="34" t="str">
        <f>IFERROR(IF(F342&gt;=0,D342*E342*(1+F342/100),ABS(D342*E342/F342)),"")</f>
        <v/>
      </c>
      <c r="H342" s="43" t="str">
        <f>IFERROR(G342*E328,"")</f>
        <v/>
      </c>
    </row>
    <row r="343" spans="1:11">
      <c r="A343" s="21"/>
      <c r="B343" s="22" t="s">
        <v>3732</v>
      </c>
      <c r="C343" s="23"/>
      <c r="D343" s="24"/>
      <c r="E343" s="25"/>
      <c r="F343" s="26"/>
      <c r="G343" s="27">
        <f>SUM(G344:G346)</f>
        <v>42209.869333125011</v>
      </c>
      <c r="H343" s="27">
        <f>IFERROR(G343*E328,"")</f>
        <v>0</v>
      </c>
    </row>
    <row r="344" spans="1:11">
      <c r="A344" s="28"/>
      <c r="B344" s="29" t="s">
        <v>3715</v>
      </c>
      <c r="C344" s="30" t="str">
        <f>IFERROR(_xlfn.XLOOKUP(B344,MObra[DESCRIPCION],MObra[UN],,0),"")</f>
        <v>día</v>
      </c>
      <c r="D344" s="31">
        <v>1</v>
      </c>
      <c r="E344" s="32">
        <f>IFERROR(_xlfn.XLOOKUP($B344,MObra[DESCRIPCION],MObra[VALOR UNIT],,0),"")</f>
        <v>337678.95466500008</v>
      </c>
      <c r="F344" s="33">
        <v>-8</v>
      </c>
      <c r="G344" s="34">
        <f>IFERROR(IF(F344&gt;=0,D344*E344*(1+F344/100),ABS(D344*E344/F344)),"")</f>
        <v>42209.869333125011</v>
      </c>
      <c r="H344" s="43">
        <f>IFERROR(G344*E328,"")</f>
        <v>0</v>
      </c>
    </row>
    <row r="345" spans="1:11">
      <c r="A345" s="28"/>
      <c r="B345" s="29"/>
      <c r="C345" s="30" t="str">
        <f>IFERROR(_xlfn.XLOOKUP(B345,MObra[DESCRIPCION],MObra[UN],,0),"")</f>
        <v/>
      </c>
      <c r="D345" s="31"/>
      <c r="E345" s="32" t="str">
        <f>IFERROR(_xlfn.XLOOKUP($B345,MObra[DESCRIPCION],MObra[VALOR UNIT],,0),"")</f>
        <v/>
      </c>
      <c r="F345" s="33"/>
      <c r="G345" s="34" t="str">
        <f>IFERROR(IF(F345&gt;=0,D345*E345*(1+F345/100),ABS(D345*E345/F345)),"")</f>
        <v/>
      </c>
      <c r="H345" s="43" t="str">
        <f>IFERROR(G345*E328,"")</f>
        <v/>
      </c>
    </row>
    <row r="346" spans="1:11">
      <c r="A346" s="35"/>
      <c r="B346" s="36"/>
      <c r="C346" s="37" t="str">
        <f>IFERROR(_xlfn.XLOOKUP(B346,MObra[DESCRIPCION],MObra[UN],,0),"")</f>
        <v/>
      </c>
      <c r="D346" s="38"/>
      <c r="E346" s="39" t="str">
        <f>IFERROR(_xlfn.XLOOKUP($B346,MObra[DESCRIPCION],MObra[VALOR UNIT],,0),"")</f>
        <v/>
      </c>
      <c r="F346" s="40"/>
      <c r="G346" s="41" t="str">
        <f>IFERROR(IF(F346&gt;=0,D346*E346*(1+F346/100),ABS(D346*E346/F346)),"")</f>
        <v/>
      </c>
      <c r="H346" s="42" t="str">
        <f>IFERROR(G346*E328,"")</f>
        <v/>
      </c>
    </row>
    <row r="348" spans="1:11" ht="51">
      <c r="A348" s="6" t="s">
        <v>2294</v>
      </c>
      <c r="B348" s="7" t="str">
        <f>VLOOKUP($A348,Presupuesto!$A:$D,2,FALSE())</f>
        <v>Luminaria alumbrado público, dimerizable 100-277 Vac, 200W, 31800 Lm, VU&gt;=100000 h L70 B10, CRI &gt;=70, IP 66, IK 08, 4000K, eficacia &gt;=135 Lm/W, THDi &lt;=20%, FP&gt;=0.9. base fotocelda 7 pines, difusor en vidrio alta transmitancia. Apta para instalación sistema integral de tele gestión</v>
      </c>
      <c r="C348" s="8" t="str">
        <f>VLOOKUP($A348,Presupuesto!$A:$D,3,FALSE())</f>
        <v>Un</v>
      </c>
      <c r="D348" s="9"/>
      <c r="E348" s="10">
        <f>VLOOKUP($A348,Presupuesto!$A:$D,4,FALSE())</f>
        <v>0</v>
      </c>
      <c r="F348" s="11" t="s">
        <v>2589</v>
      </c>
      <c r="G348" s="12">
        <f>SUM(G350:G366)/2</f>
        <v>2922901.6627997812</v>
      </c>
      <c r="H348" s="13">
        <f>ROUND(SUM(H350:H366),0)/2</f>
        <v>0</v>
      </c>
      <c r="I348" s="10">
        <f>VLOOKUP(A348,Presupuesto!$A:$F,6,0)</f>
        <v>0</v>
      </c>
      <c r="J348" s="10">
        <f>+H348-I348</f>
        <v>0</v>
      </c>
      <c r="K348" s="46">
        <f>+H348-G348*E348</f>
        <v>0</v>
      </c>
    </row>
    <row r="349" spans="1:11">
      <c r="A349" s="14"/>
      <c r="B349" s="15" t="s">
        <v>2586</v>
      </c>
      <c r="C349" s="15" t="s">
        <v>5</v>
      </c>
      <c r="D349" s="16" t="s">
        <v>6</v>
      </c>
      <c r="E349" s="17" t="s">
        <v>7</v>
      </c>
      <c r="F349" s="18" t="s">
        <v>3728</v>
      </c>
      <c r="G349" s="19" t="s">
        <v>3729</v>
      </c>
      <c r="H349" s="20" t="s">
        <v>3797</v>
      </c>
    </row>
    <row r="350" spans="1:11">
      <c r="A350" s="21"/>
      <c r="B350" s="22" t="s">
        <v>3730</v>
      </c>
      <c r="C350" s="23"/>
      <c r="D350" s="24"/>
      <c r="E350" s="25"/>
      <c r="F350" s="26"/>
      <c r="G350" s="27">
        <f>SUM(G351:G355)</f>
        <v>2791498.5</v>
      </c>
      <c r="H350" s="27">
        <f>IFERROR(G350*E348,"")</f>
        <v>0</v>
      </c>
    </row>
    <row r="351" spans="1:11" ht="38.25">
      <c r="A351" s="28"/>
      <c r="B351" s="29" t="s">
        <v>3095</v>
      </c>
      <c r="C351" s="30" t="str">
        <f>IFERROR(_xlfn.XLOOKUP(B351,Insumo[DESCRIPCION],Insumo[UND],,0),"")</f>
        <v>Un</v>
      </c>
      <c r="D351" s="31">
        <v>1</v>
      </c>
      <c r="E351" s="32">
        <f>IFERROR(_xlfn.XLOOKUP($B351,Insumo[DESCRIPCION],Insumo[VALOR],,0),"")</f>
        <v>2574600</v>
      </c>
      <c r="F351" s="33"/>
      <c r="G351" s="34">
        <f>IFERROR(IF(F351&gt;=0,D351*E351*(1+F351/100),ABS(D351*E351/F351)),"")</f>
        <v>2574600</v>
      </c>
      <c r="H351" s="43">
        <f>IFERROR(G351*E348,"")</f>
        <v>0</v>
      </c>
    </row>
    <row r="352" spans="1:11">
      <c r="A352" s="28"/>
      <c r="B352" s="29" t="s">
        <v>2800</v>
      </c>
      <c r="C352" s="30" t="str">
        <f>IFERROR(_xlfn.XLOOKUP(B352,Insumo[DESCRIPCION],Insumo[UND],,0),"")</f>
        <v>M</v>
      </c>
      <c r="D352" s="31">
        <v>14</v>
      </c>
      <c r="E352" s="32">
        <f>IFERROR(_xlfn.XLOOKUP($B352,Insumo[DESCRIPCION],Insumo[VALOR],,0),"")</f>
        <v>7387.8</v>
      </c>
      <c r="F352" s="33"/>
      <c r="G352" s="34">
        <f>IFERROR(IF(F352&gt;=0,D352*E352*(1+F352/100),ABS(D352*E352/F352)),"")</f>
        <v>103429.2</v>
      </c>
      <c r="H352" s="43">
        <f>IFERROR(G352*E348,"")</f>
        <v>0</v>
      </c>
    </row>
    <row r="353" spans="1:11">
      <c r="A353" s="28"/>
      <c r="B353" s="29" t="s">
        <v>2890</v>
      </c>
      <c r="C353" s="30" t="str">
        <f>IFERROR(_xlfn.XLOOKUP(B353,Insumo[DESCRIPCION],Insumo[UND],,0),"")</f>
        <v>Un</v>
      </c>
      <c r="D353" s="31">
        <v>3</v>
      </c>
      <c r="E353" s="32">
        <f>IFERROR(_xlfn.XLOOKUP($B353,Insumo[DESCRIPCION],Insumo[VALOR],,0),"")</f>
        <v>37823.1</v>
      </c>
      <c r="F353" s="33"/>
      <c r="G353" s="34">
        <f>IFERROR(IF(F353&gt;=0,D353*E353*(1+F353/100),ABS(D353*E353/F353)),"")</f>
        <v>113469.29999999999</v>
      </c>
      <c r="H353" s="43">
        <f>IFERROR(G353*E348,"")</f>
        <v>0</v>
      </c>
    </row>
    <row r="354" spans="1:11">
      <c r="A354" s="28"/>
      <c r="B354" s="29"/>
      <c r="C354" s="30" t="str">
        <f>IFERROR(_xlfn.XLOOKUP(B354,Insumo[DESCRIPCION],Insumo[UND],,0),"")</f>
        <v/>
      </c>
      <c r="D354" s="31"/>
      <c r="E354" s="32" t="str">
        <f>IFERROR(_xlfn.XLOOKUP($B354,Insumo[DESCRIPCION],Insumo[VALOR],,0),"")</f>
        <v/>
      </c>
      <c r="F354" s="33"/>
      <c r="G354" s="34" t="str">
        <f>IFERROR(IF(F354&gt;=0,D354*E354*(1+F354/100),ABS(D354*E354/F354)),"")</f>
        <v/>
      </c>
      <c r="H354" s="43" t="str">
        <f>IFERROR(G354*E348,"")</f>
        <v/>
      </c>
    </row>
    <row r="355" spans="1:11">
      <c r="A355" s="28"/>
      <c r="B355" s="29"/>
      <c r="C355" s="30" t="str">
        <f>IFERROR(_xlfn.XLOOKUP(B355,Insumo[DESCRIPCION],Insumo[UND],,0),"")</f>
        <v/>
      </c>
      <c r="D355" s="31"/>
      <c r="E355" s="32" t="str">
        <f>IFERROR(_xlfn.XLOOKUP($B355,Insumo[DESCRIPCION],Insumo[VALOR],,0),"")</f>
        <v/>
      </c>
      <c r="F355" s="33"/>
      <c r="G355" s="34" t="str">
        <f>IFERROR(IF(F355&gt;=0,D355*E355*(1+F355/100),ABS(D355*E355/F355)),"")</f>
        <v/>
      </c>
      <c r="H355" s="43" t="str">
        <f>IFERROR(G355*E348,"")</f>
        <v/>
      </c>
    </row>
    <row r="356" spans="1:11">
      <c r="A356" s="21"/>
      <c r="B356" s="22" t="s">
        <v>3731</v>
      </c>
      <c r="C356" s="23"/>
      <c r="D356" s="24"/>
      <c r="E356" s="25"/>
      <c r="F356" s="26"/>
      <c r="G356" s="27">
        <f>SUM(G357:G359)</f>
        <v>89193.293466656251</v>
      </c>
      <c r="H356" s="27">
        <f>IFERROR(G356*E348,"")</f>
        <v>0</v>
      </c>
    </row>
    <row r="357" spans="1:11">
      <c r="A357" s="28"/>
      <c r="B357" s="29" t="s">
        <v>3622</v>
      </c>
      <c r="C357" s="30" t="str">
        <f>IFERROR(_xlfn.XLOOKUP(B357,Equipo[DESCRIPCION],Equipo[UND],,0),"")</f>
        <v>Hr</v>
      </c>
      <c r="D357" s="31">
        <v>1</v>
      </c>
      <c r="E357" s="32">
        <f>IF(C357="%MO",G363,IFERROR(_xlfn.XLOOKUP($B357,Equipo[DESCRIPCION],Equipo[VALOR],,0),""))</f>
        <v>87082.8</v>
      </c>
      <c r="F357" s="33">
        <v>-1</v>
      </c>
      <c r="G357" s="34">
        <f>IFERROR(IF(F357&gt;=0,D357*E357*(1+F357/100),ABS(D357*E357/F357)),"")</f>
        <v>87082.8</v>
      </c>
      <c r="H357" s="43">
        <f>IFERROR(G357*E348,"")</f>
        <v>0</v>
      </c>
    </row>
    <row r="358" spans="1:11">
      <c r="A358" s="28"/>
      <c r="B358" s="29" t="s">
        <v>3626</v>
      </c>
      <c r="C358" s="30" t="str">
        <f>IFERROR(_xlfn.XLOOKUP(B358,Equipo[DESCRIPCION],Equipo[UND],,0),"")</f>
        <v>%MO</v>
      </c>
      <c r="D358" s="31">
        <v>0.05</v>
      </c>
      <c r="E358" s="32">
        <f>IF(C358="%MO",G363,IFERROR(_xlfn.XLOOKUP($B358,Equipo[DESCRIPCION],Equipo[VALOR],,0),""))</f>
        <v>42209.869333125011</v>
      </c>
      <c r="F358" s="33"/>
      <c r="G358" s="34">
        <f>IFERROR(IF(F358&gt;=0,D358*E358*(1+F358/100),ABS(D358*E358/F358)),"")</f>
        <v>2110.4934666562508</v>
      </c>
      <c r="H358" s="43">
        <f>IFERROR(G358*E348,"")</f>
        <v>0</v>
      </c>
    </row>
    <row r="359" spans="1:11">
      <c r="A359" s="28"/>
      <c r="B359" s="29"/>
      <c r="C359" s="30" t="str">
        <f>IFERROR(_xlfn.XLOOKUP(B359,Equipo[DESCRIPCION],Equipo[UND],,0),"")</f>
        <v/>
      </c>
      <c r="D359" s="31"/>
      <c r="E359" s="32" t="str">
        <f>IF(C359="%MO",G363,IFERROR(_xlfn.XLOOKUP($B359,Equipo[DESCRIPCION],Equipo[VALOR],,0),""))</f>
        <v/>
      </c>
      <c r="F359" s="33"/>
      <c r="G359" s="34" t="str">
        <f>IFERROR(IF(F359&gt;=0,D359*E359*(1+F359/100),ABS(D359*E359/F359)),"")</f>
        <v/>
      </c>
      <c r="H359" s="43" t="str">
        <f>IFERROR(G359*E348,"")</f>
        <v/>
      </c>
    </row>
    <row r="360" spans="1:11">
      <c r="A360" s="21"/>
      <c r="B360" s="22" t="s">
        <v>2533</v>
      </c>
      <c r="C360" s="23"/>
      <c r="D360" s="24"/>
      <c r="E360" s="25"/>
      <c r="F360" s="26"/>
      <c r="G360" s="27">
        <f>SUM(G361:G362)</f>
        <v>0</v>
      </c>
      <c r="H360" s="27">
        <f>IFERROR(G360*E348,"")</f>
        <v>0</v>
      </c>
    </row>
    <row r="361" spans="1:11">
      <c r="A361" s="28"/>
      <c r="B361" s="29"/>
      <c r="C361" s="30" t="str">
        <f>IFERROR(_xlfn.XLOOKUP(B361,Transporte[DESCRIPCION],Transporte[UND],,0),"")</f>
        <v/>
      </c>
      <c r="D361" s="31"/>
      <c r="E361" s="32" t="str">
        <f>IFERROR(_xlfn.XLOOKUP($B361,Transporte[DESCRIPCION],Transporte[VALOR],,0),"")</f>
        <v/>
      </c>
      <c r="F361" s="33"/>
      <c r="G361" s="34" t="str">
        <f>IFERROR(IF(F361&gt;=0,D361*E361*(1+F361/100),ABS(D361*E361/F361)),"")</f>
        <v/>
      </c>
      <c r="H361" s="43" t="str">
        <f>IFERROR(G361*E348,"")</f>
        <v/>
      </c>
    </row>
    <row r="362" spans="1:11">
      <c r="A362" s="28"/>
      <c r="B362" s="29"/>
      <c r="C362" s="30" t="str">
        <f>IFERROR(_xlfn.XLOOKUP(B362,Transporte[DESCRIPCION],Transporte[UND],,0),"")</f>
        <v/>
      </c>
      <c r="D362" s="31"/>
      <c r="E362" s="32" t="str">
        <f>IFERROR(_xlfn.XLOOKUP($B362,Transporte[DESCRIPCION],Transporte[VALOR],,0),"")</f>
        <v/>
      </c>
      <c r="F362" s="33"/>
      <c r="G362" s="34" t="str">
        <f>IFERROR(IF(F362&gt;=0,D362*E362*(1+F362/100),ABS(D362*E362/F362)),"")</f>
        <v/>
      </c>
      <c r="H362" s="43" t="str">
        <f>IFERROR(G362*E348,"")</f>
        <v/>
      </c>
    </row>
    <row r="363" spans="1:11">
      <c r="A363" s="21"/>
      <c r="B363" s="22" t="s">
        <v>3732</v>
      </c>
      <c r="C363" s="23"/>
      <c r="D363" s="24"/>
      <c r="E363" s="25"/>
      <c r="F363" s="26"/>
      <c r="G363" s="27">
        <f>SUM(G364:G366)</f>
        <v>42209.869333125011</v>
      </c>
      <c r="H363" s="27">
        <f>IFERROR(G363*E348,"")</f>
        <v>0</v>
      </c>
    </row>
    <row r="364" spans="1:11">
      <c r="A364" s="28"/>
      <c r="B364" s="29" t="s">
        <v>3715</v>
      </c>
      <c r="C364" s="30" t="str">
        <f>IFERROR(_xlfn.XLOOKUP(B364,MObra[DESCRIPCION],MObra[UN],,0),"")</f>
        <v>día</v>
      </c>
      <c r="D364" s="31">
        <v>1</v>
      </c>
      <c r="E364" s="32">
        <f>IFERROR(_xlfn.XLOOKUP($B364,MObra[DESCRIPCION],MObra[VALOR UNIT],,0),"")</f>
        <v>337678.95466500008</v>
      </c>
      <c r="F364" s="33">
        <v>-8</v>
      </c>
      <c r="G364" s="34">
        <f>IFERROR(IF(F364&gt;=0,D364*E364*(1+F364/100),ABS(D364*E364/F364)),"")</f>
        <v>42209.869333125011</v>
      </c>
      <c r="H364" s="43">
        <f>IFERROR(G364*E348,"")</f>
        <v>0</v>
      </c>
    </row>
    <row r="365" spans="1:11">
      <c r="A365" s="28"/>
      <c r="B365" s="29"/>
      <c r="C365" s="30" t="str">
        <f>IFERROR(_xlfn.XLOOKUP(B365,MObra[DESCRIPCION],MObra[UN],,0),"")</f>
        <v/>
      </c>
      <c r="D365" s="31"/>
      <c r="E365" s="32" t="str">
        <f>IFERROR(_xlfn.XLOOKUP($B365,MObra[DESCRIPCION],MObra[VALOR UNIT],,0),"")</f>
        <v/>
      </c>
      <c r="F365" s="33"/>
      <c r="G365" s="34" t="str">
        <f>IFERROR(IF(F365&gt;=0,D365*E365*(1+F365/100),ABS(D365*E365/F365)),"")</f>
        <v/>
      </c>
      <c r="H365" s="43" t="str">
        <f>IFERROR(G365*E348,"")</f>
        <v/>
      </c>
    </row>
    <row r="366" spans="1:11">
      <c r="A366" s="35"/>
      <c r="B366" s="36"/>
      <c r="C366" s="37" t="str">
        <f>IFERROR(_xlfn.XLOOKUP(B366,MObra[DESCRIPCION],MObra[UN],,0),"")</f>
        <v/>
      </c>
      <c r="D366" s="38"/>
      <c r="E366" s="39" t="str">
        <f>IFERROR(_xlfn.XLOOKUP($B366,MObra[DESCRIPCION],MObra[VALOR UNIT],,0),"")</f>
        <v/>
      </c>
      <c r="F366" s="40"/>
      <c r="G366" s="41" t="str">
        <f>IFERROR(IF(F366&gt;=0,D366*E366*(1+F366/100),ABS(D366*E366/F366)),"")</f>
        <v/>
      </c>
      <c r="H366" s="42" t="str">
        <f>IFERROR(G366*E348,"")</f>
        <v/>
      </c>
    </row>
    <row r="367" spans="1:11" ht="12.75" customHeight="1" thickTop="1" thickBot="1"/>
    <row r="368" spans="1:11" ht="39" thickTop="1" thickBot="1">
      <c r="A368" s="6" t="s">
        <v>2296</v>
      </c>
      <c r="B368" s="7" t="str">
        <f>VLOOKUP($A368,Presupuesto!$A:$D,2,FALSE())</f>
        <v>Luminaria decorativa LED tipo bolardo 120 Vac, 700 lm, 10W, eficacia 70 Lm/W, 3000K, IRC &gt;80, IP 65, IK 09_Alto 80 cm ancho 12 cm largo 8 cm, difusor transparente</v>
      </c>
      <c r="C368" s="8" t="str">
        <f>VLOOKUP($A368,Presupuesto!$A:$D,3,FALSE())</f>
        <v>Un</v>
      </c>
      <c r="D368" s="9"/>
      <c r="E368" s="10">
        <f>VLOOKUP($A368,Presupuesto!$A:$D,4,FALSE())</f>
        <v>0</v>
      </c>
      <c r="F368" s="11" t="s">
        <v>2589</v>
      </c>
      <c r="G368" s="12">
        <f>SUM(G370:G386)/2</f>
        <v>514879.96279978135</v>
      </c>
      <c r="H368" s="13">
        <f>ROUND(SUM(H370:H386),0)/2</f>
        <v>0</v>
      </c>
      <c r="I368" s="10">
        <f>VLOOKUP(A368,Presupuesto!$A:$F,6,0)</f>
        <v>0</v>
      </c>
      <c r="J368" s="10">
        <f>+H368-I368</f>
        <v>0</v>
      </c>
      <c r="K368" s="46">
        <f>+H368-G368*E368</f>
        <v>0</v>
      </c>
    </row>
    <row r="369" spans="1:8">
      <c r="A369" s="14"/>
      <c r="B369" s="15" t="s">
        <v>2586</v>
      </c>
      <c r="C369" s="15" t="s">
        <v>5</v>
      </c>
      <c r="D369" s="16" t="s">
        <v>6</v>
      </c>
      <c r="E369" s="17" t="s">
        <v>7</v>
      </c>
      <c r="F369" s="18" t="s">
        <v>3728</v>
      </c>
      <c r="G369" s="19" t="s">
        <v>3729</v>
      </c>
      <c r="H369" s="20" t="s">
        <v>3797</v>
      </c>
    </row>
    <row r="370" spans="1:8">
      <c r="A370" s="21"/>
      <c r="B370" s="22" t="s">
        <v>3730</v>
      </c>
      <c r="C370" s="23"/>
      <c r="D370" s="24"/>
      <c r="E370" s="25"/>
      <c r="F370" s="26"/>
      <c r="G370" s="27">
        <f>SUM(G371:G375)</f>
        <v>470559.6</v>
      </c>
      <c r="H370" s="27">
        <f>IFERROR(G370*E368,"")</f>
        <v>0</v>
      </c>
    </row>
    <row r="371" spans="1:8" ht="38.25">
      <c r="A371" s="28"/>
      <c r="B371" s="29" t="s">
        <v>3061</v>
      </c>
      <c r="C371" s="30" t="str">
        <f>IFERROR(_xlfn.XLOOKUP(B371,Insumo[DESCRIPCION],Insumo[UND],,0),"")</f>
        <v>Un</v>
      </c>
      <c r="D371" s="31">
        <v>1</v>
      </c>
      <c r="E371" s="32">
        <f>IFERROR(_xlfn.XLOOKUP($B371,Insumo[DESCRIPCION],Insumo[VALOR],,0),"")</f>
        <v>456750</v>
      </c>
      <c r="F371" s="33"/>
      <c r="G371" s="34">
        <f>IFERROR(IF(F371&gt;=0,D371*E371*(1+F371/100),ABS(D371*E371/F371)),"")</f>
        <v>456750</v>
      </c>
      <c r="H371" s="43">
        <f>IFERROR(G371*E368,"")</f>
        <v>0</v>
      </c>
    </row>
    <row r="372" spans="1:8">
      <c r="A372" s="28"/>
      <c r="B372" s="29" t="s">
        <v>2800</v>
      </c>
      <c r="C372" s="30" t="str">
        <f>IFERROR(_xlfn.XLOOKUP(B372,Insumo[DESCRIPCION],Insumo[UND],,0),"")</f>
        <v>M</v>
      </c>
      <c r="D372" s="31">
        <v>1</v>
      </c>
      <c r="E372" s="32">
        <f>IFERROR(_xlfn.XLOOKUP($B372,Insumo[DESCRIPCION],Insumo[VALOR],,0),"")</f>
        <v>7387.8</v>
      </c>
      <c r="F372" s="33"/>
      <c r="G372" s="34">
        <f>IFERROR(IF(F372&gt;=0,D372*E372*(1+F372/100),ABS(D372*E372/F372)),"")</f>
        <v>7387.8</v>
      </c>
      <c r="H372" s="43">
        <f>IFERROR(G372*E368,"")</f>
        <v>0</v>
      </c>
    </row>
    <row r="373" spans="1:8">
      <c r="A373" s="28"/>
      <c r="B373" s="29" t="s">
        <v>2855</v>
      </c>
      <c r="C373" s="30" t="str">
        <f>IFERROR(_xlfn.XLOOKUP(B373,Insumo[DESCRIPCION],Insumo[UND],,0),"")</f>
        <v>Un</v>
      </c>
      <c r="D373" s="31">
        <v>1</v>
      </c>
      <c r="E373" s="32">
        <f>IFERROR(_xlfn.XLOOKUP($B373,Insumo[DESCRIPCION],Insumo[VALOR],,0),"")</f>
        <v>6421.8</v>
      </c>
      <c r="F373" s="33"/>
      <c r="G373" s="34">
        <f>IFERROR(IF(F373&gt;=0,D373*E373*(1+F373/100),ABS(D373*E373/F373)),"")</f>
        <v>6421.8</v>
      </c>
      <c r="H373" s="43">
        <f>IFERROR(G373*E368,"")</f>
        <v>0</v>
      </c>
    </row>
    <row r="374" spans="1:8">
      <c r="A374" s="28"/>
      <c r="B374" s="29"/>
      <c r="C374" s="30" t="str">
        <f>IFERROR(_xlfn.XLOOKUP(B374,Insumo[DESCRIPCION],Insumo[UND],,0),"")</f>
        <v/>
      </c>
      <c r="D374" s="31"/>
      <c r="E374" s="32" t="str">
        <f>IFERROR(_xlfn.XLOOKUP($B374,Insumo[DESCRIPCION],Insumo[VALOR],,0),"")</f>
        <v/>
      </c>
      <c r="F374" s="33"/>
      <c r="G374" s="34" t="str">
        <f>IFERROR(IF(F374&gt;=0,D374*E374*(1+F374/100),ABS(D374*E374/F374)),"")</f>
        <v/>
      </c>
      <c r="H374" s="43" t="str">
        <f>IFERROR(G374*E368,"")</f>
        <v/>
      </c>
    </row>
    <row r="375" spans="1:8">
      <c r="A375" s="28"/>
      <c r="B375" s="29"/>
      <c r="C375" s="30" t="str">
        <f>IFERROR(_xlfn.XLOOKUP(B375,Insumo[DESCRIPCION],Insumo[UND],,0),"")</f>
        <v/>
      </c>
      <c r="D375" s="31"/>
      <c r="E375" s="32" t="str">
        <f>IFERROR(_xlfn.XLOOKUP($B375,Insumo[DESCRIPCION],Insumo[VALOR],,0),"")</f>
        <v/>
      </c>
      <c r="F375" s="33"/>
      <c r="G375" s="34" t="str">
        <f>IFERROR(IF(F375&gt;=0,D375*E375*(1+F375/100),ABS(D375*E375/F375)),"")</f>
        <v/>
      </c>
      <c r="H375" s="43" t="str">
        <f>IFERROR(G375*E368,"")</f>
        <v/>
      </c>
    </row>
    <row r="376" spans="1:8">
      <c r="A376" s="21"/>
      <c r="B376" s="22" t="s">
        <v>3731</v>
      </c>
      <c r="C376" s="23"/>
      <c r="D376" s="24"/>
      <c r="E376" s="25"/>
      <c r="F376" s="26"/>
      <c r="G376" s="27">
        <f>SUM(G377:G379)</f>
        <v>2110.4934666562508</v>
      </c>
      <c r="H376" s="27">
        <f>IFERROR(G376*E368,"")</f>
        <v>0</v>
      </c>
    </row>
    <row r="377" spans="1:8">
      <c r="A377" s="28"/>
      <c r="B377" s="29" t="s">
        <v>3626</v>
      </c>
      <c r="C377" s="30" t="str">
        <f>IFERROR(_xlfn.XLOOKUP(B377,Equipo[DESCRIPCION],Equipo[UND],,0),"")</f>
        <v>%MO</v>
      </c>
      <c r="D377" s="31">
        <v>0.05</v>
      </c>
      <c r="E377" s="32">
        <f>IF(C377="%MO",G383,IFERROR(_xlfn.XLOOKUP($B377,Equipo[DESCRIPCION],Equipo[VALOR],,0),""))</f>
        <v>42209.869333125011</v>
      </c>
      <c r="F377" s="33"/>
      <c r="G377" s="34">
        <f>IFERROR(IF(F377&gt;=0,D377*E377*(1+F377/100),ABS(D377*E377/F377)),"")</f>
        <v>2110.4934666562508</v>
      </c>
      <c r="H377" s="43">
        <f>IFERROR(G377*E368,"")</f>
        <v>0</v>
      </c>
    </row>
    <row r="378" spans="1:8">
      <c r="A378" s="28"/>
      <c r="B378" s="29"/>
      <c r="C378" s="30" t="str">
        <f>IFERROR(_xlfn.XLOOKUP(B378,Equipo[DESCRIPCION],Equipo[UND],,0),"")</f>
        <v/>
      </c>
      <c r="D378" s="31"/>
      <c r="E378" s="32" t="str">
        <f>IF(C378="%MO",G383,IFERROR(_xlfn.XLOOKUP($B378,Equipo[DESCRIPCION],Equipo[VALOR],,0),""))</f>
        <v/>
      </c>
      <c r="F378" s="33"/>
      <c r="G378" s="34" t="str">
        <f>IFERROR(IF(F378&gt;=0,D378*E378*(1+F378/100),ABS(D378*E378/F378)),"")</f>
        <v/>
      </c>
      <c r="H378" s="43" t="str">
        <f>IFERROR(G378*E368,"")</f>
        <v/>
      </c>
    </row>
    <row r="379" spans="1:8">
      <c r="A379" s="28"/>
      <c r="B379" s="29"/>
      <c r="C379" s="30" t="str">
        <f>IFERROR(_xlfn.XLOOKUP(B379,Equipo[DESCRIPCION],Equipo[UND],,0),"")</f>
        <v/>
      </c>
      <c r="D379" s="31"/>
      <c r="E379" s="32" t="str">
        <f>IF(C379="%MO",G383,IFERROR(_xlfn.XLOOKUP($B379,Equipo[DESCRIPCION],Equipo[VALOR],,0),""))</f>
        <v/>
      </c>
      <c r="F379" s="33"/>
      <c r="G379" s="34" t="str">
        <f>IFERROR(IF(F379&gt;=0,D379*E379*(1+F379/100),ABS(D379*E379/F379)),"")</f>
        <v/>
      </c>
      <c r="H379" s="43" t="str">
        <f>IFERROR(G379*E368,"")</f>
        <v/>
      </c>
    </row>
    <row r="380" spans="1:8">
      <c r="A380" s="21"/>
      <c r="B380" s="22" t="s">
        <v>2533</v>
      </c>
      <c r="C380" s="23"/>
      <c r="D380" s="24"/>
      <c r="E380" s="25"/>
      <c r="F380" s="26"/>
      <c r="G380" s="27">
        <f>SUM(G381:G382)</f>
        <v>0</v>
      </c>
      <c r="H380" s="27">
        <f>IFERROR(G380*E368,"")</f>
        <v>0</v>
      </c>
    </row>
    <row r="381" spans="1:8">
      <c r="A381" s="28"/>
      <c r="B381" s="29"/>
      <c r="C381" s="30" t="str">
        <f>IFERROR(_xlfn.XLOOKUP(B381,Transporte[DESCRIPCION],Transporte[UND],,0),"")</f>
        <v/>
      </c>
      <c r="D381" s="31"/>
      <c r="E381" s="32" t="str">
        <f>IFERROR(_xlfn.XLOOKUP($B381,Transporte[DESCRIPCION],Transporte[VALOR],,0),"")</f>
        <v/>
      </c>
      <c r="F381" s="33"/>
      <c r="G381" s="34" t="str">
        <f>IFERROR(IF(F381&gt;=0,D381*E381*(1+F381/100),ABS(D381*E381/F381)),"")</f>
        <v/>
      </c>
      <c r="H381" s="43" t="str">
        <f>IFERROR(G381*E368,"")</f>
        <v/>
      </c>
    </row>
    <row r="382" spans="1:8">
      <c r="A382" s="28"/>
      <c r="B382" s="29"/>
      <c r="C382" s="30" t="str">
        <f>IFERROR(_xlfn.XLOOKUP(B382,Transporte[DESCRIPCION],Transporte[UND],,0),"")</f>
        <v/>
      </c>
      <c r="D382" s="31"/>
      <c r="E382" s="32" t="str">
        <f>IFERROR(_xlfn.XLOOKUP($B382,Transporte[DESCRIPCION],Transporte[VALOR],,0),"")</f>
        <v/>
      </c>
      <c r="F382" s="33"/>
      <c r="G382" s="34" t="str">
        <f>IFERROR(IF(F382&gt;=0,D382*E382*(1+F382/100),ABS(D382*E382/F382)),"")</f>
        <v/>
      </c>
      <c r="H382" s="43" t="str">
        <f>IFERROR(G382*E368,"")</f>
        <v/>
      </c>
    </row>
    <row r="383" spans="1:8">
      <c r="A383" s="21"/>
      <c r="B383" s="22" t="s">
        <v>3732</v>
      </c>
      <c r="C383" s="23"/>
      <c r="D383" s="24"/>
      <c r="E383" s="25"/>
      <c r="F383" s="26"/>
      <c r="G383" s="27">
        <f>SUM(G384:G386)</f>
        <v>42209.869333125011</v>
      </c>
      <c r="H383" s="27">
        <f>IFERROR(G383*E368,"")</f>
        <v>0</v>
      </c>
    </row>
    <row r="384" spans="1:8">
      <c r="A384" s="28"/>
      <c r="B384" s="29" t="s">
        <v>3715</v>
      </c>
      <c r="C384" s="30" t="str">
        <f>IFERROR(_xlfn.XLOOKUP(B384,MObra[DESCRIPCION],MObra[UN],,0),"")</f>
        <v>día</v>
      </c>
      <c r="D384" s="31">
        <v>1</v>
      </c>
      <c r="E384" s="32">
        <f>IFERROR(_xlfn.XLOOKUP($B384,MObra[DESCRIPCION],MObra[VALOR UNIT],,0),"")</f>
        <v>337678.95466500008</v>
      </c>
      <c r="F384" s="33">
        <v>-8</v>
      </c>
      <c r="G384" s="34">
        <f>IFERROR(IF(F384&gt;=0,D384*E384*(1+F384/100),ABS(D384*E384/F384)),"")</f>
        <v>42209.869333125011</v>
      </c>
      <c r="H384" s="43">
        <f>IFERROR(G384*E368,"")</f>
        <v>0</v>
      </c>
    </row>
    <row r="385" spans="1:11">
      <c r="A385" s="28"/>
      <c r="B385" s="29"/>
      <c r="C385" s="30" t="str">
        <f>IFERROR(_xlfn.XLOOKUP(B385,MObra[DESCRIPCION],MObra[UN],,0),"")</f>
        <v/>
      </c>
      <c r="D385" s="31"/>
      <c r="E385" s="32" t="str">
        <f>IFERROR(_xlfn.XLOOKUP($B385,MObra[DESCRIPCION],MObra[VALOR UNIT],,0),"")</f>
        <v/>
      </c>
      <c r="F385" s="33"/>
      <c r="G385" s="34" t="str">
        <f>IFERROR(IF(F385&gt;=0,D385*E385*(1+F385/100),ABS(D385*E385/F385)),"")</f>
        <v/>
      </c>
      <c r="H385" s="43" t="str">
        <f>IFERROR(G385*E368,"")</f>
        <v/>
      </c>
    </row>
    <row r="386" spans="1:11">
      <c r="A386" s="35"/>
      <c r="B386" s="36"/>
      <c r="C386" s="37" t="str">
        <f>IFERROR(_xlfn.XLOOKUP(B386,MObra[DESCRIPCION],MObra[UN],,0),"")</f>
        <v/>
      </c>
      <c r="D386" s="38"/>
      <c r="E386" s="39" t="str">
        <f>IFERROR(_xlfn.XLOOKUP($B386,MObra[DESCRIPCION],MObra[VALOR UNIT],,0),"")</f>
        <v/>
      </c>
      <c r="F386" s="40"/>
      <c r="G386" s="41" t="str">
        <f>IFERROR(IF(F386&gt;=0,D386*E386*(1+F386/100),ABS(D386*E386/F386)),"")</f>
        <v/>
      </c>
      <c r="H386" s="42" t="str">
        <f>IFERROR(G386*E368,"")</f>
        <v/>
      </c>
    </row>
    <row r="388" spans="1:11" ht="38.25">
      <c r="A388" s="6" t="s">
        <v>2298</v>
      </c>
      <c r="B388" s="7" t="str">
        <f>VLOOKUP($A388,Presupuesto!$A:$D,2,FALSE())</f>
        <v>Luminaria decorativa LED tipo bolardo para sendero en acero inoxidable 120V, 700 Lm, 10W, eficacia 70 Lm/W, 3000K, IRC &gt;80, IP 65, IK 09_Alto 45cm diámetro 12 cm, difusor transparente</v>
      </c>
      <c r="C388" s="8" t="str">
        <f>VLOOKUP($A388,Presupuesto!$A:$D,3,FALSE())</f>
        <v>Un</v>
      </c>
      <c r="D388" s="9"/>
      <c r="E388" s="10">
        <f>VLOOKUP($A388,Presupuesto!$A:$D,4,FALSE())</f>
        <v>0</v>
      </c>
      <c r="F388" s="11" t="s">
        <v>2589</v>
      </c>
      <c r="G388" s="12">
        <f>SUM(G390:G406)/2</f>
        <v>336379.96279978135</v>
      </c>
      <c r="H388" s="13">
        <f>ROUND(SUM(H390:H406),0)/2</f>
        <v>0</v>
      </c>
      <c r="I388" s="10">
        <f>VLOOKUP(A388,Presupuesto!$A:$F,6,0)</f>
        <v>0</v>
      </c>
      <c r="J388" s="10">
        <f>+H388-I388</f>
        <v>0</v>
      </c>
      <c r="K388" s="46">
        <f>+H388-G388*E388</f>
        <v>0</v>
      </c>
    </row>
    <row r="389" spans="1:11">
      <c r="A389" s="14"/>
      <c r="B389" s="15" t="s">
        <v>2586</v>
      </c>
      <c r="C389" s="15" t="s">
        <v>5</v>
      </c>
      <c r="D389" s="16" t="s">
        <v>6</v>
      </c>
      <c r="E389" s="17" t="s">
        <v>7</v>
      </c>
      <c r="F389" s="18" t="s">
        <v>3728</v>
      </c>
      <c r="G389" s="19" t="s">
        <v>3729</v>
      </c>
      <c r="H389" s="20" t="s">
        <v>3797</v>
      </c>
    </row>
    <row r="390" spans="1:11">
      <c r="A390" s="21"/>
      <c r="B390" s="22" t="s">
        <v>3730</v>
      </c>
      <c r="C390" s="23"/>
      <c r="D390" s="24"/>
      <c r="E390" s="25"/>
      <c r="F390" s="26"/>
      <c r="G390" s="27">
        <f>SUM(G391:G395)</f>
        <v>292059.59999999998</v>
      </c>
      <c r="H390" s="27">
        <f>IFERROR(G390*E388,"")</f>
        <v>0</v>
      </c>
    </row>
    <row r="391" spans="1:11" ht="38.25">
      <c r="A391" s="28"/>
      <c r="B391" s="29" t="s">
        <v>3062</v>
      </c>
      <c r="C391" s="30" t="str">
        <f>IFERROR(_xlfn.XLOOKUP(B391,Insumo[DESCRIPCION],Insumo[UND],,0),"")</f>
        <v>Un</v>
      </c>
      <c r="D391" s="31">
        <v>1</v>
      </c>
      <c r="E391" s="32">
        <f>IFERROR(_xlfn.XLOOKUP($B391,Insumo[DESCRIPCION],Insumo[VALOR],,0),"")</f>
        <v>278250</v>
      </c>
      <c r="F391" s="33"/>
      <c r="G391" s="34">
        <f>IFERROR(IF(F391&gt;=0,D391*E391*(1+F391/100),ABS(D391*E391/F391)),"")</f>
        <v>278250</v>
      </c>
      <c r="H391" s="43">
        <f>IFERROR(G391*E388,"")</f>
        <v>0</v>
      </c>
    </row>
    <row r="392" spans="1:11">
      <c r="A392" s="28"/>
      <c r="B392" s="29" t="s">
        <v>2800</v>
      </c>
      <c r="C392" s="30" t="str">
        <f>IFERROR(_xlfn.XLOOKUP(B392,Insumo[DESCRIPCION],Insumo[UND],,0),"")</f>
        <v>M</v>
      </c>
      <c r="D392" s="31">
        <v>1</v>
      </c>
      <c r="E392" s="32">
        <f>IFERROR(_xlfn.XLOOKUP($B392,Insumo[DESCRIPCION],Insumo[VALOR],,0),"")</f>
        <v>7387.8</v>
      </c>
      <c r="F392" s="33"/>
      <c r="G392" s="34">
        <f>IFERROR(IF(F392&gt;=0,D392*E392*(1+F392/100),ABS(D392*E392/F392)),"")</f>
        <v>7387.8</v>
      </c>
      <c r="H392" s="43">
        <f>IFERROR(G392*E388,"")</f>
        <v>0</v>
      </c>
    </row>
    <row r="393" spans="1:11">
      <c r="A393" s="28"/>
      <c r="B393" s="29" t="s">
        <v>2855</v>
      </c>
      <c r="C393" s="30" t="str">
        <f>IFERROR(_xlfn.XLOOKUP(B393,Insumo[DESCRIPCION],Insumo[UND],,0),"")</f>
        <v>Un</v>
      </c>
      <c r="D393" s="31">
        <v>1</v>
      </c>
      <c r="E393" s="32">
        <f>IFERROR(_xlfn.XLOOKUP($B393,Insumo[DESCRIPCION],Insumo[VALOR],,0),"")</f>
        <v>6421.8</v>
      </c>
      <c r="F393" s="33"/>
      <c r="G393" s="34">
        <f>IFERROR(IF(F393&gt;=0,D393*E393*(1+F393/100),ABS(D393*E393/F393)),"")</f>
        <v>6421.8</v>
      </c>
      <c r="H393" s="43">
        <f>IFERROR(G393*E388,"")</f>
        <v>0</v>
      </c>
    </row>
    <row r="394" spans="1:11">
      <c r="A394" s="28"/>
      <c r="B394" s="29"/>
      <c r="C394" s="30" t="str">
        <f>IFERROR(_xlfn.XLOOKUP(B394,Insumo[DESCRIPCION],Insumo[UND],,0),"")</f>
        <v/>
      </c>
      <c r="D394" s="31"/>
      <c r="E394" s="32" t="str">
        <f>IFERROR(_xlfn.XLOOKUP($B394,Insumo[DESCRIPCION],Insumo[VALOR],,0),"")</f>
        <v/>
      </c>
      <c r="F394" s="33"/>
      <c r="G394" s="34" t="str">
        <f>IFERROR(IF(F394&gt;=0,D394*E394*(1+F394/100),ABS(D394*E394/F394)),"")</f>
        <v/>
      </c>
      <c r="H394" s="43" t="str">
        <f>IFERROR(G394*E388,"")</f>
        <v/>
      </c>
    </row>
    <row r="395" spans="1:11">
      <c r="A395" s="28"/>
      <c r="B395" s="29"/>
      <c r="C395" s="30" t="str">
        <f>IFERROR(_xlfn.XLOOKUP(B395,Insumo[DESCRIPCION],Insumo[UND],,0),"")</f>
        <v/>
      </c>
      <c r="D395" s="31"/>
      <c r="E395" s="32" t="str">
        <f>IFERROR(_xlfn.XLOOKUP($B395,Insumo[DESCRIPCION],Insumo[VALOR],,0),"")</f>
        <v/>
      </c>
      <c r="F395" s="33"/>
      <c r="G395" s="34" t="str">
        <f>IFERROR(IF(F395&gt;=0,D395*E395*(1+F395/100),ABS(D395*E395/F395)),"")</f>
        <v/>
      </c>
      <c r="H395" s="43" t="str">
        <f>IFERROR(G395*E388,"")</f>
        <v/>
      </c>
    </row>
    <row r="396" spans="1:11">
      <c r="A396" s="21"/>
      <c r="B396" s="22" t="s">
        <v>3731</v>
      </c>
      <c r="C396" s="23"/>
      <c r="D396" s="24"/>
      <c r="E396" s="25"/>
      <c r="F396" s="26"/>
      <c r="G396" s="27">
        <f>SUM(G397:G399)</f>
        <v>2110.4934666562508</v>
      </c>
      <c r="H396" s="27">
        <f>IFERROR(G396*E388,"")</f>
        <v>0</v>
      </c>
    </row>
    <row r="397" spans="1:11">
      <c r="A397" s="28"/>
      <c r="B397" s="29" t="s">
        <v>3626</v>
      </c>
      <c r="C397" s="30" t="str">
        <f>IFERROR(_xlfn.XLOOKUP(B397,Equipo[DESCRIPCION],Equipo[UND],,0),"")</f>
        <v>%MO</v>
      </c>
      <c r="D397" s="31">
        <v>0.05</v>
      </c>
      <c r="E397" s="32">
        <f>IF(C397="%MO",G403,IFERROR(_xlfn.XLOOKUP($B397,Equipo[DESCRIPCION],Equipo[VALOR],,0),""))</f>
        <v>42209.869333125011</v>
      </c>
      <c r="F397" s="33"/>
      <c r="G397" s="34">
        <f>IFERROR(IF(F397&gt;=0,D397*E397*(1+F397/100),ABS(D397*E397/F397)),"")</f>
        <v>2110.4934666562508</v>
      </c>
      <c r="H397" s="43">
        <f>IFERROR(G397*E388,"")</f>
        <v>0</v>
      </c>
    </row>
    <row r="398" spans="1:11">
      <c r="A398" s="28"/>
      <c r="B398" s="29"/>
      <c r="C398" s="30" t="str">
        <f>IFERROR(_xlfn.XLOOKUP(B398,Equipo[DESCRIPCION],Equipo[UND],,0),"")</f>
        <v/>
      </c>
      <c r="D398" s="31"/>
      <c r="E398" s="32" t="str">
        <f>IF(C398="%MO",G403,IFERROR(_xlfn.XLOOKUP($B398,Equipo[DESCRIPCION],Equipo[VALOR],,0),""))</f>
        <v/>
      </c>
      <c r="F398" s="33"/>
      <c r="G398" s="34" t="str">
        <f>IFERROR(IF(F398&gt;=0,D398*E398*(1+F398/100),ABS(D398*E398/F398)),"")</f>
        <v/>
      </c>
      <c r="H398" s="43" t="str">
        <f>IFERROR(G398*E388,"")</f>
        <v/>
      </c>
    </row>
    <row r="399" spans="1:11">
      <c r="A399" s="28"/>
      <c r="B399" s="29"/>
      <c r="C399" s="30" t="str">
        <f>IFERROR(_xlfn.XLOOKUP(B399,Equipo[DESCRIPCION],Equipo[UND],,0),"")</f>
        <v/>
      </c>
      <c r="D399" s="31"/>
      <c r="E399" s="32" t="str">
        <f>IF(C399="%MO",G403,IFERROR(_xlfn.XLOOKUP($B399,Equipo[DESCRIPCION],Equipo[VALOR],,0),""))</f>
        <v/>
      </c>
      <c r="F399" s="33"/>
      <c r="G399" s="34" t="str">
        <f>IFERROR(IF(F399&gt;=0,D399*E399*(1+F399/100),ABS(D399*E399/F399)),"")</f>
        <v/>
      </c>
      <c r="H399" s="43" t="str">
        <f>IFERROR(G399*E388,"")</f>
        <v/>
      </c>
    </row>
    <row r="400" spans="1:11">
      <c r="A400" s="21"/>
      <c r="B400" s="22" t="s">
        <v>2533</v>
      </c>
      <c r="C400" s="23"/>
      <c r="D400" s="24"/>
      <c r="E400" s="25"/>
      <c r="F400" s="26"/>
      <c r="G400" s="27">
        <f>SUM(G401:G402)</f>
        <v>0</v>
      </c>
      <c r="H400" s="27">
        <f>IFERROR(G400*E388,"")</f>
        <v>0</v>
      </c>
    </row>
    <row r="401" spans="1:11">
      <c r="A401" s="28"/>
      <c r="B401" s="29"/>
      <c r="C401" s="30" t="str">
        <f>IFERROR(_xlfn.XLOOKUP(B401,Transporte[DESCRIPCION],Transporte[UND],,0),"")</f>
        <v/>
      </c>
      <c r="D401" s="31"/>
      <c r="E401" s="32" t="str">
        <f>IFERROR(_xlfn.XLOOKUP($B401,Transporte[DESCRIPCION],Transporte[VALOR],,0),"")</f>
        <v/>
      </c>
      <c r="F401" s="33"/>
      <c r="G401" s="34" t="str">
        <f>IFERROR(IF(F401&gt;=0,D401*E401*(1+F401/100),ABS(D401*E401/F401)),"")</f>
        <v/>
      </c>
      <c r="H401" s="43" t="str">
        <f>IFERROR(G401*E388,"")</f>
        <v/>
      </c>
    </row>
    <row r="402" spans="1:11">
      <c r="A402" s="28"/>
      <c r="B402" s="29"/>
      <c r="C402" s="30" t="str">
        <f>IFERROR(_xlfn.XLOOKUP(B402,Transporte[DESCRIPCION],Transporte[UND],,0),"")</f>
        <v/>
      </c>
      <c r="D402" s="31"/>
      <c r="E402" s="32" t="str">
        <f>IFERROR(_xlfn.XLOOKUP($B402,Transporte[DESCRIPCION],Transporte[VALOR],,0),"")</f>
        <v/>
      </c>
      <c r="F402" s="33"/>
      <c r="G402" s="34" t="str">
        <f>IFERROR(IF(F402&gt;=0,D402*E402*(1+F402/100),ABS(D402*E402/F402)),"")</f>
        <v/>
      </c>
      <c r="H402" s="43" t="str">
        <f>IFERROR(G402*E388,"")</f>
        <v/>
      </c>
    </row>
    <row r="403" spans="1:11">
      <c r="A403" s="21"/>
      <c r="B403" s="22" t="s">
        <v>3732</v>
      </c>
      <c r="C403" s="23"/>
      <c r="D403" s="24"/>
      <c r="E403" s="25"/>
      <c r="F403" s="26"/>
      <c r="G403" s="27">
        <f>SUM(G404:G406)</f>
        <v>42209.869333125011</v>
      </c>
      <c r="H403" s="27">
        <f>IFERROR(G403*E388,"")</f>
        <v>0</v>
      </c>
    </row>
    <row r="404" spans="1:11">
      <c r="A404" s="28"/>
      <c r="B404" s="29" t="s">
        <v>3715</v>
      </c>
      <c r="C404" s="30" t="str">
        <f>IFERROR(_xlfn.XLOOKUP(B404,MObra[DESCRIPCION],MObra[UN],,0),"")</f>
        <v>día</v>
      </c>
      <c r="D404" s="31">
        <v>1</v>
      </c>
      <c r="E404" s="32">
        <f>IFERROR(_xlfn.XLOOKUP($B404,MObra[DESCRIPCION],MObra[VALOR UNIT],,0),"")</f>
        <v>337678.95466500008</v>
      </c>
      <c r="F404" s="33">
        <v>-8</v>
      </c>
      <c r="G404" s="34">
        <f>IFERROR(IF(F404&gt;=0,D404*E404*(1+F404/100),ABS(D404*E404/F404)),"")</f>
        <v>42209.869333125011</v>
      </c>
      <c r="H404" s="43">
        <f>IFERROR(G404*E388,"")</f>
        <v>0</v>
      </c>
    </row>
    <row r="405" spans="1:11">
      <c r="A405" s="28"/>
      <c r="B405" s="29"/>
      <c r="C405" s="30" t="str">
        <f>IFERROR(_xlfn.XLOOKUP(B405,MObra[DESCRIPCION],MObra[UN],,0),"")</f>
        <v/>
      </c>
      <c r="D405" s="31"/>
      <c r="E405" s="32" t="str">
        <f>IFERROR(_xlfn.XLOOKUP($B405,MObra[DESCRIPCION],MObra[VALOR UNIT],,0),"")</f>
        <v/>
      </c>
      <c r="F405" s="33"/>
      <c r="G405" s="34" t="str">
        <f>IFERROR(IF(F405&gt;=0,D405*E405*(1+F405/100),ABS(D405*E405/F405)),"")</f>
        <v/>
      </c>
      <c r="H405" s="43" t="str">
        <f>IFERROR(G405*E388,"")</f>
        <v/>
      </c>
    </row>
    <row r="406" spans="1:11">
      <c r="A406" s="35"/>
      <c r="B406" s="36"/>
      <c r="C406" s="37" t="str">
        <f>IFERROR(_xlfn.XLOOKUP(B406,MObra[DESCRIPCION],MObra[UN],,0),"")</f>
        <v/>
      </c>
      <c r="D406" s="38"/>
      <c r="E406" s="39" t="str">
        <f>IFERROR(_xlfn.XLOOKUP($B406,MObra[DESCRIPCION],MObra[VALOR UNIT],,0),"")</f>
        <v/>
      </c>
      <c r="F406" s="40"/>
      <c r="G406" s="41" t="str">
        <f>IFERROR(IF(F406&gt;=0,D406*E406*(1+F406/100),ABS(D406*E406/F406)),"")</f>
        <v/>
      </c>
      <c r="H406" s="42" t="str">
        <f>IFERROR(G406*E388,"")</f>
        <v/>
      </c>
    </row>
    <row r="407" spans="1:11" ht="12.75" customHeight="1" thickTop="1" thickBot="1"/>
    <row r="408" spans="1:11" ht="26.25" thickTop="1" thickBot="1">
      <c r="A408" s="6" t="s">
        <v>2300</v>
      </c>
      <c r="B408" s="7" t="str">
        <f>VLOOKUP($A408,Presupuesto!$A:$D,2,FALSE())</f>
        <v>Luminaria Downligth tipo spot redondo LED 100-240 Vac, 7 w, 580 lm, eficacia&gt;= 65lm/w, VU 20000h@l70</v>
      </c>
      <c r="C408" s="8" t="str">
        <f>VLOOKUP($A408,Presupuesto!$A:$D,3,FALSE())</f>
        <v>Un</v>
      </c>
      <c r="D408" s="9"/>
      <c r="E408" s="10">
        <f>VLOOKUP($A408,Presupuesto!$A:$D,4,FALSE())</f>
        <v>0</v>
      </c>
      <c r="F408" s="11" t="s">
        <v>2589</v>
      </c>
      <c r="G408" s="12">
        <f>SUM(G410:G426)/2</f>
        <v>165460.96279978126</v>
      </c>
      <c r="H408" s="13">
        <f>ROUND(SUM(H410:H426),0)/2</f>
        <v>0</v>
      </c>
      <c r="I408" s="10">
        <f>VLOOKUP(A408,Presupuesto!$A:$F,6,0)</f>
        <v>0</v>
      </c>
      <c r="J408" s="10">
        <f>+H408-I408</f>
        <v>0</v>
      </c>
      <c r="K408" s="46">
        <f>+H408-G408*E408</f>
        <v>0</v>
      </c>
    </row>
    <row r="409" spans="1:11">
      <c r="A409" s="14"/>
      <c r="B409" s="15" t="s">
        <v>2586</v>
      </c>
      <c r="C409" s="15" t="s">
        <v>5</v>
      </c>
      <c r="D409" s="16" t="s">
        <v>6</v>
      </c>
      <c r="E409" s="17" t="s">
        <v>7</v>
      </c>
      <c r="F409" s="18" t="s">
        <v>3728</v>
      </c>
      <c r="G409" s="19" t="s">
        <v>3729</v>
      </c>
      <c r="H409" s="20" t="s">
        <v>3797</v>
      </c>
    </row>
    <row r="410" spans="1:11">
      <c r="A410" s="21"/>
      <c r="B410" s="22" t="s">
        <v>3730</v>
      </c>
      <c r="C410" s="23"/>
      <c r="D410" s="24"/>
      <c r="E410" s="25"/>
      <c r="F410" s="26"/>
      <c r="G410" s="27">
        <f>SUM(G411:G415)</f>
        <v>121140.6</v>
      </c>
      <c r="H410" s="27">
        <f>IFERROR(G410*E408,"")</f>
        <v>0</v>
      </c>
    </row>
    <row r="411" spans="1:11">
      <c r="A411" s="28"/>
      <c r="B411" s="29" t="s">
        <v>3114</v>
      </c>
      <c r="C411" s="30" t="str">
        <f>IFERROR(_xlfn.XLOOKUP(B411,Insumo[DESCRIPCION],Insumo[UND],,0),"")</f>
        <v>Un</v>
      </c>
      <c r="D411" s="31">
        <v>1</v>
      </c>
      <c r="E411" s="32">
        <f>IFERROR(_xlfn.XLOOKUP($B411,Insumo[DESCRIPCION],Insumo[VALOR],,0),"")</f>
        <v>107331</v>
      </c>
      <c r="F411" s="33"/>
      <c r="G411" s="34">
        <f>IFERROR(IF(F411&gt;=0,D411*E411*(1+F411/100),ABS(D411*E411/F411)),"")</f>
        <v>107331</v>
      </c>
      <c r="H411" s="43">
        <f>IFERROR(G411*E408,"")</f>
        <v>0</v>
      </c>
    </row>
    <row r="412" spans="1:11">
      <c r="A412" s="28"/>
      <c r="B412" s="29" t="s">
        <v>2800</v>
      </c>
      <c r="C412" s="30" t="str">
        <f>IFERROR(_xlfn.XLOOKUP(B412,Insumo[DESCRIPCION],Insumo[UND],,0),"")</f>
        <v>M</v>
      </c>
      <c r="D412" s="31">
        <v>1</v>
      </c>
      <c r="E412" s="32">
        <f>IFERROR(_xlfn.XLOOKUP($B412,Insumo[DESCRIPCION],Insumo[VALOR],,0),"")</f>
        <v>7387.8</v>
      </c>
      <c r="F412" s="33"/>
      <c r="G412" s="34">
        <f>IFERROR(IF(F412&gt;=0,D412*E412*(1+F412/100),ABS(D412*E412/F412)),"")</f>
        <v>7387.8</v>
      </c>
      <c r="H412" s="43">
        <f>IFERROR(G412*E408,"")</f>
        <v>0</v>
      </c>
    </row>
    <row r="413" spans="1:11">
      <c r="A413" s="28"/>
      <c r="B413" s="29" t="s">
        <v>2855</v>
      </c>
      <c r="C413" s="30" t="str">
        <f>IFERROR(_xlfn.XLOOKUP(B413,Insumo[DESCRIPCION],Insumo[UND],,0),"")</f>
        <v>Un</v>
      </c>
      <c r="D413" s="31">
        <v>1</v>
      </c>
      <c r="E413" s="32">
        <f>IFERROR(_xlfn.XLOOKUP($B413,Insumo[DESCRIPCION],Insumo[VALOR],,0),"")</f>
        <v>6421.8</v>
      </c>
      <c r="F413" s="33"/>
      <c r="G413" s="34">
        <f>IFERROR(IF(F413&gt;=0,D413*E413*(1+F413/100),ABS(D413*E413/F413)),"")</f>
        <v>6421.8</v>
      </c>
      <c r="H413" s="43">
        <f>IFERROR(G413*E408,"")</f>
        <v>0</v>
      </c>
    </row>
    <row r="414" spans="1:11">
      <c r="A414" s="28"/>
      <c r="B414" s="29"/>
      <c r="C414" s="30" t="str">
        <f>IFERROR(_xlfn.XLOOKUP(B414,Insumo[DESCRIPCION],Insumo[UND],,0),"")</f>
        <v/>
      </c>
      <c r="D414" s="31"/>
      <c r="E414" s="32" t="str">
        <f>IFERROR(_xlfn.XLOOKUP($B414,Insumo[DESCRIPCION],Insumo[VALOR],,0),"")</f>
        <v/>
      </c>
      <c r="F414" s="33"/>
      <c r="G414" s="34" t="str">
        <f>IFERROR(IF(F414&gt;=0,D414*E414*(1+F414/100),ABS(D414*E414/F414)),"")</f>
        <v/>
      </c>
      <c r="H414" s="43" t="str">
        <f>IFERROR(G414*E408,"")</f>
        <v/>
      </c>
    </row>
    <row r="415" spans="1:11">
      <c r="A415" s="28"/>
      <c r="B415" s="29"/>
      <c r="C415" s="30" t="str">
        <f>IFERROR(_xlfn.XLOOKUP(B415,Insumo[DESCRIPCION],Insumo[UND],,0),"")</f>
        <v/>
      </c>
      <c r="D415" s="31"/>
      <c r="E415" s="32" t="str">
        <f>IFERROR(_xlfn.XLOOKUP($B415,Insumo[DESCRIPCION],Insumo[VALOR],,0),"")</f>
        <v/>
      </c>
      <c r="F415" s="33"/>
      <c r="G415" s="34" t="str">
        <f>IFERROR(IF(F415&gt;=0,D415*E415*(1+F415/100),ABS(D415*E415/F415)),"")</f>
        <v/>
      </c>
      <c r="H415" s="43" t="str">
        <f>IFERROR(G415*E408,"")</f>
        <v/>
      </c>
    </row>
    <row r="416" spans="1:11">
      <c r="A416" s="21"/>
      <c r="B416" s="22" t="s">
        <v>3731</v>
      </c>
      <c r="C416" s="23"/>
      <c r="D416" s="24"/>
      <c r="E416" s="25"/>
      <c r="F416" s="26"/>
      <c r="G416" s="27">
        <f>SUM(G417:G419)</f>
        <v>2110.4934666562508</v>
      </c>
      <c r="H416" s="27">
        <f>IFERROR(G416*E408,"")</f>
        <v>0</v>
      </c>
    </row>
    <row r="417" spans="1:11">
      <c r="A417" s="28"/>
      <c r="B417" s="29" t="s">
        <v>3626</v>
      </c>
      <c r="C417" s="30" t="str">
        <f>IFERROR(_xlfn.XLOOKUP(B417,Equipo[DESCRIPCION],Equipo[UND],,0),"")</f>
        <v>%MO</v>
      </c>
      <c r="D417" s="31">
        <v>0.05</v>
      </c>
      <c r="E417" s="32">
        <f>IF(C417="%MO",G423,IFERROR(_xlfn.XLOOKUP($B417,Equipo[DESCRIPCION],Equipo[VALOR],,0),""))</f>
        <v>42209.869333125011</v>
      </c>
      <c r="F417" s="33"/>
      <c r="G417" s="34">
        <f>IFERROR(IF(F417&gt;=0,D417*E417*(1+F417/100),ABS(D417*E417/F417)),"")</f>
        <v>2110.4934666562508</v>
      </c>
      <c r="H417" s="43">
        <f>IFERROR(G417*E408,"")</f>
        <v>0</v>
      </c>
    </row>
    <row r="418" spans="1:11">
      <c r="A418" s="28"/>
      <c r="B418" s="29"/>
      <c r="C418" s="30" t="str">
        <f>IFERROR(_xlfn.XLOOKUP(B418,Equipo[DESCRIPCION],Equipo[UND],,0),"")</f>
        <v/>
      </c>
      <c r="D418" s="31"/>
      <c r="E418" s="32" t="str">
        <f>IF(C418="%MO",G423,IFERROR(_xlfn.XLOOKUP($B418,Equipo[DESCRIPCION],Equipo[VALOR],,0),""))</f>
        <v/>
      </c>
      <c r="F418" s="33"/>
      <c r="G418" s="34" t="str">
        <f>IFERROR(IF(F418&gt;=0,D418*E418*(1+F418/100),ABS(D418*E418/F418)),"")</f>
        <v/>
      </c>
      <c r="H418" s="43" t="str">
        <f>IFERROR(G418*E408,"")</f>
        <v/>
      </c>
    </row>
    <row r="419" spans="1:11">
      <c r="A419" s="28"/>
      <c r="B419" s="29"/>
      <c r="C419" s="30" t="str">
        <f>IFERROR(_xlfn.XLOOKUP(B419,Equipo[DESCRIPCION],Equipo[UND],,0),"")</f>
        <v/>
      </c>
      <c r="D419" s="31"/>
      <c r="E419" s="32" t="str">
        <f>IF(C419="%MO",G423,IFERROR(_xlfn.XLOOKUP($B419,Equipo[DESCRIPCION],Equipo[VALOR],,0),""))</f>
        <v/>
      </c>
      <c r="F419" s="33"/>
      <c r="G419" s="34" t="str">
        <f>IFERROR(IF(F419&gt;=0,D419*E419*(1+F419/100),ABS(D419*E419/F419)),"")</f>
        <v/>
      </c>
      <c r="H419" s="43" t="str">
        <f>IFERROR(G419*E408,"")</f>
        <v/>
      </c>
    </row>
    <row r="420" spans="1:11">
      <c r="A420" s="21"/>
      <c r="B420" s="22" t="s">
        <v>2533</v>
      </c>
      <c r="C420" s="23"/>
      <c r="D420" s="24"/>
      <c r="E420" s="25"/>
      <c r="F420" s="26"/>
      <c r="G420" s="27">
        <f>SUM(G421:G422)</f>
        <v>0</v>
      </c>
      <c r="H420" s="27">
        <f>IFERROR(G420*E408,"")</f>
        <v>0</v>
      </c>
    </row>
    <row r="421" spans="1:11">
      <c r="A421" s="28"/>
      <c r="B421" s="29"/>
      <c r="C421" s="30" t="str">
        <f>IFERROR(_xlfn.XLOOKUP(B421,Transporte[DESCRIPCION],Transporte[UND],,0),"")</f>
        <v/>
      </c>
      <c r="D421" s="31"/>
      <c r="E421" s="32" t="str">
        <f>IFERROR(_xlfn.XLOOKUP($B421,Transporte[DESCRIPCION],Transporte[VALOR],,0),"")</f>
        <v/>
      </c>
      <c r="F421" s="33"/>
      <c r="G421" s="34" t="str">
        <f>IFERROR(IF(F421&gt;=0,D421*E421*(1+F421/100),ABS(D421*E421/F421)),"")</f>
        <v/>
      </c>
      <c r="H421" s="43" t="str">
        <f>IFERROR(G421*E408,"")</f>
        <v/>
      </c>
    </row>
    <row r="422" spans="1:11">
      <c r="A422" s="28"/>
      <c r="B422" s="29"/>
      <c r="C422" s="30" t="str">
        <f>IFERROR(_xlfn.XLOOKUP(B422,Transporte[DESCRIPCION],Transporte[UND],,0),"")</f>
        <v/>
      </c>
      <c r="D422" s="31"/>
      <c r="E422" s="32" t="str">
        <f>IFERROR(_xlfn.XLOOKUP($B422,Transporte[DESCRIPCION],Transporte[VALOR],,0),"")</f>
        <v/>
      </c>
      <c r="F422" s="33"/>
      <c r="G422" s="34" t="str">
        <f>IFERROR(IF(F422&gt;=0,D422*E422*(1+F422/100),ABS(D422*E422/F422)),"")</f>
        <v/>
      </c>
      <c r="H422" s="43" t="str">
        <f>IFERROR(G422*E408,"")</f>
        <v/>
      </c>
    </row>
    <row r="423" spans="1:11">
      <c r="A423" s="21"/>
      <c r="B423" s="22" t="s">
        <v>3732</v>
      </c>
      <c r="C423" s="23"/>
      <c r="D423" s="24"/>
      <c r="E423" s="25"/>
      <c r="F423" s="26"/>
      <c r="G423" s="27">
        <f>SUM(G424:G426)</f>
        <v>42209.869333125011</v>
      </c>
      <c r="H423" s="27">
        <f>IFERROR(G423*E408,"")</f>
        <v>0</v>
      </c>
    </row>
    <row r="424" spans="1:11">
      <c r="A424" s="28"/>
      <c r="B424" s="29" t="s">
        <v>3715</v>
      </c>
      <c r="C424" s="30" t="str">
        <f>IFERROR(_xlfn.XLOOKUP(B424,MObra[DESCRIPCION],MObra[UN],,0),"")</f>
        <v>día</v>
      </c>
      <c r="D424" s="31">
        <v>1</v>
      </c>
      <c r="E424" s="32">
        <f>IFERROR(_xlfn.XLOOKUP($B424,MObra[DESCRIPCION],MObra[VALOR UNIT],,0),"")</f>
        <v>337678.95466500008</v>
      </c>
      <c r="F424" s="33">
        <v>-8</v>
      </c>
      <c r="G424" s="34">
        <f>IFERROR(IF(F424&gt;=0,D424*E424*(1+F424/100),ABS(D424*E424/F424)),"")</f>
        <v>42209.869333125011</v>
      </c>
      <c r="H424" s="43">
        <f>IFERROR(G424*E408,"")</f>
        <v>0</v>
      </c>
    </row>
    <row r="425" spans="1:11">
      <c r="A425" s="28"/>
      <c r="B425" s="29"/>
      <c r="C425" s="30" t="str">
        <f>IFERROR(_xlfn.XLOOKUP(B425,MObra[DESCRIPCION],MObra[UN],,0),"")</f>
        <v/>
      </c>
      <c r="D425" s="31"/>
      <c r="E425" s="32" t="str">
        <f>IFERROR(_xlfn.XLOOKUP($B425,MObra[DESCRIPCION],MObra[VALOR UNIT],,0),"")</f>
        <v/>
      </c>
      <c r="F425" s="33"/>
      <c r="G425" s="34" t="str">
        <f>IFERROR(IF(F425&gt;=0,D425*E425*(1+F425/100),ABS(D425*E425/F425)),"")</f>
        <v/>
      </c>
      <c r="H425" s="43" t="str">
        <f>IFERROR(G425*E408,"")</f>
        <v/>
      </c>
    </row>
    <row r="426" spans="1:11">
      <c r="A426" s="35"/>
      <c r="B426" s="36"/>
      <c r="C426" s="37" t="str">
        <f>IFERROR(_xlfn.XLOOKUP(B426,MObra[DESCRIPCION],MObra[UN],,0),"")</f>
        <v/>
      </c>
      <c r="D426" s="38"/>
      <c r="E426" s="39" t="str">
        <f>IFERROR(_xlfn.XLOOKUP($B426,MObra[DESCRIPCION],MObra[VALOR UNIT],,0),"")</f>
        <v/>
      </c>
      <c r="F426" s="40"/>
      <c r="G426" s="41" t="str">
        <f>IFERROR(IF(F426&gt;=0,D426*E426*(1+F426/100),ABS(D426*E426/F426)),"")</f>
        <v/>
      </c>
      <c r="H426" s="42" t="str">
        <f>IFERROR(G426*E408,"")</f>
        <v/>
      </c>
    </row>
    <row r="427" spans="1:11" ht="12.75" customHeight="1" thickTop="1" thickBot="1"/>
    <row r="428" spans="1:11" ht="26.25" thickTop="1" thickBot="1">
      <c r="A428" s="6" t="s">
        <v>2302</v>
      </c>
      <c r="B428" s="7" t="str">
        <f>VLOOKUP($A428,Presupuesto!$A:$D,2,FALSE())</f>
        <v>Luminaria exterior LED tipo tortuga 12w, 6500k, 1200 lm, ip65, 120-277v, eficacia &gt;=50 lm/w, clase 1, IRC &gt;=80, ik 10, VU&gt;= 50000@l70</v>
      </c>
      <c r="C428" s="8" t="str">
        <f>VLOOKUP($A428,Presupuesto!$A:$D,3,FALSE())</f>
        <v>Un</v>
      </c>
      <c r="D428" s="9"/>
      <c r="E428" s="10">
        <f>VLOOKUP($A428,Presupuesto!$A:$D,4,FALSE())</f>
        <v>0</v>
      </c>
      <c r="F428" s="11" t="s">
        <v>2589</v>
      </c>
      <c r="G428" s="12">
        <f>SUM(G430:G446)/2</f>
        <v>104495.89023982501</v>
      </c>
      <c r="H428" s="13">
        <f>ROUND(SUM(H430:H446),0)/2</f>
        <v>0</v>
      </c>
      <c r="I428" s="10">
        <f>VLOOKUP(A428,Presupuesto!$A:$F,6,0)</f>
        <v>0</v>
      </c>
      <c r="J428" s="10">
        <f>+H428-I428</f>
        <v>0</v>
      </c>
      <c r="K428" s="46">
        <f>+H428-G428*E428</f>
        <v>0</v>
      </c>
    </row>
    <row r="429" spans="1:11">
      <c r="A429" s="14"/>
      <c r="B429" s="15" t="s">
        <v>2586</v>
      </c>
      <c r="C429" s="15" t="s">
        <v>5</v>
      </c>
      <c r="D429" s="16" t="s">
        <v>6</v>
      </c>
      <c r="E429" s="17" t="s">
        <v>7</v>
      </c>
      <c r="F429" s="18" t="s">
        <v>3728</v>
      </c>
      <c r="G429" s="19" t="s">
        <v>3729</v>
      </c>
      <c r="H429" s="20" t="s">
        <v>3797</v>
      </c>
    </row>
    <row r="430" spans="1:11">
      <c r="A430" s="21"/>
      <c r="B430" s="22" t="s">
        <v>3730</v>
      </c>
      <c r="C430" s="23"/>
      <c r="D430" s="24"/>
      <c r="E430" s="25"/>
      <c r="F430" s="26"/>
      <c r="G430" s="27">
        <f>SUM(G431:G435)</f>
        <v>69039.600000000006</v>
      </c>
      <c r="H430" s="27">
        <f>IFERROR(G430*E428,"")</f>
        <v>0</v>
      </c>
    </row>
    <row r="431" spans="1:11" ht="25.5">
      <c r="A431" s="28"/>
      <c r="B431" s="29" t="s">
        <v>3063</v>
      </c>
      <c r="C431" s="30" t="str">
        <f>IFERROR(_xlfn.XLOOKUP(B431,Insumo[DESCRIPCION],Insumo[UND],,0),"")</f>
        <v>Un</v>
      </c>
      <c r="D431" s="31">
        <v>1</v>
      </c>
      <c r="E431" s="32">
        <f>IFERROR(_xlfn.XLOOKUP($B431,Insumo[DESCRIPCION],Insumo[VALOR],,0),"")</f>
        <v>55230</v>
      </c>
      <c r="F431" s="33"/>
      <c r="G431" s="34">
        <f>IFERROR(IF(F431&gt;=0,D431*E431*(1+F431/100),ABS(D431*E431/F431)),"")</f>
        <v>55230</v>
      </c>
      <c r="H431" s="43">
        <f>IFERROR(G431*E428,"")</f>
        <v>0</v>
      </c>
    </row>
    <row r="432" spans="1:11">
      <c r="A432" s="28"/>
      <c r="B432" s="29" t="s">
        <v>2800</v>
      </c>
      <c r="C432" s="30" t="str">
        <f>IFERROR(_xlfn.XLOOKUP(B432,Insumo[DESCRIPCION],Insumo[UND],,0),"")</f>
        <v>M</v>
      </c>
      <c r="D432" s="31">
        <v>1</v>
      </c>
      <c r="E432" s="32">
        <f>IFERROR(_xlfn.XLOOKUP($B432,Insumo[DESCRIPCION],Insumo[VALOR],,0),"")</f>
        <v>7387.8</v>
      </c>
      <c r="F432" s="33"/>
      <c r="G432" s="34">
        <f>IFERROR(IF(F432&gt;=0,D432*E432*(1+F432/100),ABS(D432*E432/F432)),"")</f>
        <v>7387.8</v>
      </c>
      <c r="H432" s="43">
        <f>IFERROR(G432*E428,"")</f>
        <v>0</v>
      </c>
    </row>
    <row r="433" spans="1:11">
      <c r="A433" s="28"/>
      <c r="B433" s="29" t="s">
        <v>2855</v>
      </c>
      <c r="C433" s="30" t="str">
        <f>IFERROR(_xlfn.XLOOKUP(B433,Insumo[DESCRIPCION],Insumo[UND],,0),"")</f>
        <v>Un</v>
      </c>
      <c r="D433" s="31">
        <v>1</v>
      </c>
      <c r="E433" s="32">
        <f>IFERROR(_xlfn.XLOOKUP($B433,Insumo[DESCRIPCION],Insumo[VALOR],,0),"")</f>
        <v>6421.8</v>
      </c>
      <c r="F433" s="33"/>
      <c r="G433" s="34">
        <f>IFERROR(IF(F433&gt;=0,D433*E433*(1+F433/100),ABS(D433*E433/F433)),"")</f>
        <v>6421.8</v>
      </c>
      <c r="H433" s="43">
        <f>IFERROR(G433*E428,"")</f>
        <v>0</v>
      </c>
    </row>
    <row r="434" spans="1:11">
      <c r="A434" s="28"/>
      <c r="B434" s="29"/>
      <c r="C434" s="30" t="str">
        <f>IFERROR(_xlfn.XLOOKUP(B434,Insumo[DESCRIPCION],Insumo[UND],,0),"")</f>
        <v/>
      </c>
      <c r="D434" s="31"/>
      <c r="E434" s="32" t="str">
        <f>IFERROR(_xlfn.XLOOKUP($B434,Insumo[DESCRIPCION],Insumo[VALOR],,0),"")</f>
        <v/>
      </c>
      <c r="F434" s="33"/>
      <c r="G434" s="34" t="str">
        <f>IFERROR(IF(F434&gt;=0,D434*E434*(1+F434/100),ABS(D434*E434/F434)),"")</f>
        <v/>
      </c>
      <c r="H434" s="43" t="str">
        <f>IFERROR(G434*E428,"")</f>
        <v/>
      </c>
    </row>
    <row r="435" spans="1:11">
      <c r="A435" s="28"/>
      <c r="B435" s="29"/>
      <c r="C435" s="30" t="str">
        <f>IFERROR(_xlfn.XLOOKUP(B435,Insumo[DESCRIPCION],Insumo[UND],,0),"")</f>
        <v/>
      </c>
      <c r="D435" s="31"/>
      <c r="E435" s="32" t="str">
        <f>IFERROR(_xlfn.XLOOKUP($B435,Insumo[DESCRIPCION],Insumo[VALOR],,0),"")</f>
        <v/>
      </c>
      <c r="F435" s="33"/>
      <c r="G435" s="34" t="str">
        <f>IFERROR(IF(F435&gt;=0,D435*E435*(1+F435/100),ABS(D435*E435/F435)),"")</f>
        <v/>
      </c>
      <c r="H435" s="43" t="str">
        <f>IFERROR(G435*E428,"")</f>
        <v/>
      </c>
    </row>
    <row r="436" spans="1:11">
      <c r="A436" s="21"/>
      <c r="B436" s="22" t="s">
        <v>3731</v>
      </c>
      <c r="C436" s="23"/>
      <c r="D436" s="24"/>
      <c r="E436" s="25"/>
      <c r="F436" s="26"/>
      <c r="G436" s="27">
        <f>SUM(G437:G439)</f>
        <v>1688.3947733250004</v>
      </c>
      <c r="H436" s="27">
        <f>IFERROR(G436*E428,"")</f>
        <v>0</v>
      </c>
    </row>
    <row r="437" spans="1:11">
      <c r="A437" s="28"/>
      <c r="B437" s="29" t="s">
        <v>3626</v>
      </c>
      <c r="C437" s="30" t="str">
        <f>IFERROR(_xlfn.XLOOKUP(B437,Equipo[DESCRIPCION],Equipo[UND],,0),"")</f>
        <v>%MO</v>
      </c>
      <c r="D437" s="31">
        <v>0.05</v>
      </c>
      <c r="E437" s="32">
        <f>IF(C437="%MO",G443,IFERROR(_xlfn.XLOOKUP($B437,Equipo[DESCRIPCION],Equipo[VALOR],,0),""))</f>
        <v>33767.895466500006</v>
      </c>
      <c r="F437" s="33"/>
      <c r="G437" s="34">
        <f>IFERROR(IF(F437&gt;=0,D437*E437*(1+F437/100),ABS(D437*E437/F437)),"")</f>
        <v>1688.3947733250004</v>
      </c>
      <c r="H437" s="43">
        <f>IFERROR(G437*E428,"")</f>
        <v>0</v>
      </c>
    </row>
    <row r="438" spans="1:11">
      <c r="A438" s="28"/>
      <c r="B438" s="29"/>
      <c r="C438" s="30" t="str">
        <f>IFERROR(_xlfn.XLOOKUP(B438,Equipo[DESCRIPCION],Equipo[UND],,0),"")</f>
        <v/>
      </c>
      <c r="D438" s="31"/>
      <c r="E438" s="32" t="str">
        <f>IF(C438="%MO",G443,IFERROR(_xlfn.XLOOKUP($B438,Equipo[DESCRIPCION],Equipo[VALOR],,0),""))</f>
        <v/>
      </c>
      <c r="F438" s="33"/>
      <c r="G438" s="34" t="str">
        <f>IFERROR(IF(F438&gt;=0,D438*E438*(1+F438/100),ABS(D438*E438/F438)),"")</f>
        <v/>
      </c>
      <c r="H438" s="43" t="str">
        <f>IFERROR(G438*E428,"")</f>
        <v/>
      </c>
    </row>
    <row r="439" spans="1:11">
      <c r="A439" s="28"/>
      <c r="B439" s="29"/>
      <c r="C439" s="30" t="str">
        <f>IFERROR(_xlfn.XLOOKUP(B439,Equipo[DESCRIPCION],Equipo[UND],,0),"")</f>
        <v/>
      </c>
      <c r="D439" s="31"/>
      <c r="E439" s="32" t="str">
        <f>IF(C439="%MO",G443,IFERROR(_xlfn.XLOOKUP($B439,Equipo[DESCRIPCION],Equipo[VALOR],,0),""))</f>
        <v/>
      </c>
      <c r="F439" s="33"/>
      <c r="G439" s="34" t="str">
        <f>IFERROR(IF(F439&gt;=0,D439*E439*(1+F439/100),ABS(D439*E439/F439)),"")</f>
        <v/>
      </c>
      <c r="H439" s="43" t="str">
        <f>IFERROR(G439*E428,"")</f>
        <v/>
      </c>
    </row>
    <row r="440" spans="1:11">
      <c r="A440" s="21"/>
      <c r="B440" s="22" t="s">
        <v>2533</v>
      </c>
      <c r="C440" s="23"/>
      <c r="D440" s="24"/>
      <c r="E440" s="25"/>
      <c r="F440" s="26"/>
      <c r="G440" s="27">
        <f>SUM(G441:G442)</f>
        <v>0</v>
      </c>
      <c r="H440" s="27">
        <f>IFERROR(G440*E428,"")</f>
        <v>0</v>
      </c>
    </row>
    <row r="441" spans="1:11">
      <c r="A441" s="28"/>
      <c r="B441" s="29"/>
      <c r="C441" s="30" t="str">
        <f>IFERROR(_xlfn.XLOOKUP(B441,Transporte[DESCRIPCION],Transporte[UND],,0),"")</f>
        <v/>
      </c>
      <c r="D441" s="31"/>
      <c r="E441" s="32" t="str">
        <f>IFERROR(_xlfn.XLOOKUP($B441,Transporte[DESCRIPCION],Transporte[VALOR],,0),"")</f>
        <v/>
      </c>
      <c r="F441" s="33"/>
      <c r="G441" s="34" t="str">
        <f>IFERROR(IF(F441&gt;=0,D441*E441*(1+F441/100),ABS(D441*E441/F441)),"")</f>
        <v/>
      </c>
      <c r="H441" s="43" t="str">
        <f>IFERROR(G441*E428,"")</f>
        <v/>
      </c>
    </row>
    <row r="442" spans="1:11">
      <c r="A442" s="28"/>
      <c r="B442" s="29"/>
      <c r="C442" s="30" t="str">
        <f>IFERROR(_xlfn.XLOOKUP(B442,Transporte[DESCRIPCION],Transporte[UND],,0),"")</f>
        <v/>
      </c>
      <c r="D442" s="31"/>
      <c r="E442" s="32" t="str">
        <f>IFERROR(_xlfn.XLOOKUP($B442,Transporte[DESCRIPCION],Transporte[VALOR],,0),"")</f>
        <v/>
      </c>
      <c r="F442" s="33"/>
      <c r="G442" s="34" t="str">
        <f>IFERROR(IF(F442&gt;=0,D442*E442*(1+F442/100),ABS(D442*E442/F442)),"")</f>
        <v/>
      </c>
      <c r="H442" s="43" t="str">
        <f>IFERROR(G442*E428,"")</f>
        <v/>
      </c>
    </row>
    <row r="443" spans="1:11">
      <c r="A443" s="21"/>
      <c r="B443" s="22" t="s">
        <v>3732</v>
      </c>
      <c r="C443" s="23"/>
      <c r="D443" s="24"/>
      <c r="E443" s="25"/>
      <c r="F443" s="26"/>
      <c r="G443" s="27">
        <f>SUM(G444:G446)</f>
        <v>33767.895466500006</v>
      </c>
      <c r="H443" s="27">
        <f>IFERROR(G443*E428,"")</f>
        <v>0</v>
      </c>
    </row>
    <row r="444" spans="1:11">
      <c r="A444" s="28"/>
      <c r="B444" s="29" t="s">
        <v>3715</v>
      </c>
      <c r="C444" s="30" t="str">
        <f>IFERROR(_xlfn.XLOOKUP(B444,MObra[DESCRIPCION],MObra[UN],,0),"")</f>
        <v>día</v>
      </c>
      <c r="D444" s="31">
        <v>1</v>
      </c>
      <c r="E444" s="32">
        <f>IFERROR(_xlfn.XLOOKUP($B444,MObra[DESCRIPCION],MObra[VALOR UNIT],,0),"")</f>
        <v>337678.95466500008</v>
      </c>
      <c r="F444" s="33">
        <v>-10</v>
      </c>
      <c r="G444" s="34">
        <f>IFERROR(IF(F444&gt;=0,D444*E444*(1+F444/100),ABS(D444*E444/F444)),"")</f>
        <v>33767.895466500006</v>
      </c>
      <c r="H444" s="43">
        <f>IFERROR(G444*E428,"")</f>
        <v>0</v>
      </c>
    </row>
    <row r="445" spans="1:11">
      <c r="A445" s="28"/>
      <c r="B445" s="29"/>
      <c r="C445" s="30" t="str">
        <f>IFERROR(_xlfn.XLOOKUP(B445,MObra[DESCRIPCION],MObra[UN],,0),"")</f>
        <v/>
      </c>
      <c r="D445" s="31"/>
      <c r="E445" s="32" t="str">
        <f>IFERROR(_xlfn.XLOOKUP($B445,MObra[DESCRIPCION],MObra[VALOR UNIT],,0),"")</f>
        <v/>
      </c>
      <c r="F445" s="33"/>
      <c r="G445" s="34" t="str">
        <f>IFERROR(IF(F445&gt;=0,D445*E445*(1+F445/100),ABS(D445*E445/F445)),"")</f>
        <v/>
      </c>
      <c r="H445" s="43" t="str">
        <f>IFERROR(G445*E428,"")</f>
        <v/>
      </c>
    </row>
    <row r="446" spans="1:11">
      <c r="A446" s="35"/>
      <c r="B446" s="36"/>
      <c r="C446" s="37" t="str">
        <f>IFERROR(_xlfn.XLOOKUP(B446,MObra[DESCRIPCION],MObra[UN],,0),"")</f>
        <v/>
      </c>
      <c r="D446" s="38"/>
      <c r="E446" s="39" t="str">
        <f>IFERROR(_xlfn.XLOOKUP($B446,MObra[DESCRIPCION],MObra[VALOR UNIT],,0),"")</f>
        <v/>
      </c>
      <c r="F446" s="40"/>
      <c r="G446" s="41" t="str">
        <f>IFERROR(IF(F446&gt;=0,D446*E446*(1+F446/100),ABS(D446*E446/F446)),"")</f>
        <v/>
      </c>
      <c r="H446" s="42" t="str">
        <f>IFERROR(G446*E428,"")</f>
        <v/>
      </c>
    </row>
    <row r="447" spans="1:11" ht="12.75" customHeight="1" thickTop="1" thickBot="1"/>
    <row r="448" spans="1:11" ht="26.25" thickTop="1" thickBot="1">
      <c r="A448" s="6" t="s">
        <v>2304</v>
      </c>
      <c r="B448" s="7" t="str">
        <f>VLOOKUP($A448,Presupuesto!$A:$D,2,FALSE())</f>
        <v>Luminaria LED cuadrada para área clasificada 120-277 Vac, 100w, 13000 lm 5000k, eficacia&gt;= 100lm/w, VU&gt;= 50000h@l70</v>
      </c>
      <c r="C448" s="8" t="str">
        <f>VLOOKUP($A448,Presupuesto!$A:$D,3,FALSE())</f>
        <v>Un</v>
      </c>
      <c r="D448" s="9"/>
      <c r="E448" s="10">
        <f>VLOOKUP($A448,Presupuesto!$A:$D,4,FALSE())</f>
        <v>0</v>
      </c>
      <c r="F448" s="11" t="s">
        <v>2589</v>
      </c>
      <c r="G448" s="12">
        <f>SUM(G450:G466)/2</f>
        <v>5457229.9627997829</v>
      </c>
      <c r="H448" s="13">
        <f>ROUND(SUM(H450:H466),0)/2</f>
        <v>0</v>
      </c>
      <c r="I448" s="10">
        <f>VLOOKUP(A448,Presupuesto!$A:$F,6,0)</f>
        <v>0</v>
      </c>
      <c r="J448" s="10">
        <f>+H448-I448</f>
        <v>0</v>
      </c>
      <c r="K448" s="46">
        <f>+H448-G448*E448</f>
        <v>0</v>
      </c>
    </row>
    <row r="449" spans="1:8">
      <c r="A449" s="14"/>
      <c r="B449" s="15" t="s">
        <v>2586</v>
      </c>
      <c r="C449" s="15" t="s">
        <v>5</v>
      </c>
      <c r="D449" s="16" t="s">
        <v>6</v>
      </c>
      <c r="E449" s="17" t="s">
        <v>7</v>
      </c>
      <c r="F449" s="18" t="s">
        <v>3728</v>
      </c>
      <c r="G449" s="19" t="s">
        <v>3729</v>
      </c>
      <c r="H449" s="20" t="s">
        <v>3797</v>
      </c>
    </row>
    <row r="450" spans="1:8">
      <c r="A450" s="21"/>
      <c r="B450" s="22" t="s">
        <v>3730</v>
      </c>
      <c r="C450" s="23"/>
      <c r="D450" s="24"/>
      <c r="E450" s="25"/>
      <c r="F450" s="26"/>
      <c r="G450" s="27">
        <f>SUM(G451:G455)</f>
        <v>5412909.5999999996</v>
      </c>
      <c r="H450" s="27">
        <f>IFERROR(G450*E448,"")</f>
        <v>0</v>
      </c>
    </row>
    <row r="451" spans="1:8" ht="25.5">
      <c r="A451" s="28"/>
      <c r="B451" s="29" t="s">
        <v>3068</v>
      </c>
      <c r="C451" s="30" t="str">
        <f>IFERROR(_xlfn.XLOOKUP(B451,Insumo[DESCRIPCION],Insumo[UND],,0),"")</f>
        <v>Un</v>
      </c>
      <c r="D451" s="31">
        <v>1</v>
      </c>
      <c r="E451" s="32">
        <f>IFERROR(_xlfn.XLOOKUP($B451,Insumo[DESCRIPCION],Insumo[VALOR],,0),"")</f>
        <v>5399100</v>
      </c>
      <c r="F451" s="33"/>
      <c r="G451" s="34">
        <f>IFERROR(IF(F451&gt;=0,D451*E451*(1+F451/100),ABS(D451*E451/F451)),"")</f>
        <v>5399100</v>
      </c>
      <c r="H451" s="43">
        <f>IFERROR(G451*E448,"")</f>
        <v>0</v>
      </c>
    </row>
    <row r="452" spans="1:8">
      <c r="A452" s="28"/>
      <c r="B452" s="29" t="s">
        <v>2800</v>
      </c>
      <c r="C452" s="30" t="str">
        <f>IFERROR(_xlfn.XLOOKUP(B452,Insumo[DESCRIPCION],Insumo[UND],,0),"")</f>
        <v>M</v>
      </c>
      <c r="D452" s="31">
        <v>1</v>
      </c>
      <c r="E452" s="32">
        <f>IFERROR(_xlfn.XLOOKUP($B452,Insumo[DESCRIPCION],Insumo[VALOR],,0),"")</f>
        <v>7387.8</v>
      </c>
      <c r="F452" s="33"/>
      <c r="G452" s="34">
        <f>IFERROR(IF(F452&gt;=0,D452*E452*(1+F452/100),ABS(D452*E452/F452)),"")</f>
        <v>7387.8</v>
      </c>
      <c r="H452" s="43">
        <f>IFERROR(G452*E448,"")</f>
        <v>0</v>
      </c>
    </row>
    <row r="453" spans="1:8">
      <c r="A453" s="28"/>
      <c r="B453" s="29" t="s">
        <v>2855</v>
      </c>
      <c r="C453" s="30" t="str">
        <f>IFERROR(_xlfn.XLOOKUP(B453,Insumo[DESCRIPCION],Insumo[UND],,0),"")</f>
        <v>Un</v>
      </c>
      <c r="D453" s="31">
        <v>1</v>
      </c>
      <c r="E453" s="32">
        <f>IFERROR(_xlfn.XLOOKUP($B453,Insumo[DESCRIPCION],Insumo[VALOR],,0),"")</f>
        <v>6421.8</v>
      </c>
      <c r="F453" s="33"/>
      <c r="G453" s="34">
        <f>IFERROR(IF(F453&gt;=0,D453*E453*(1+F453/100),ABS(D453*E453/F453)),"")</f>
        <v>6421.8</v>
      </c>
      <c r="H453" s="43">
        <f>IFERROR(G453*E448,"")</f>
        <v>0</v>
      </c>
    </row>
    <row r="454" spans="1:8">
      <c r="A454" s="28"/>
      <c r="B454" s="29"/>
      <c r="C454" s="30" t="str">
        <f>IFERROR(_xlfn.XLOOKUP(B454,Insumo[DESCRIPCION],Insumo[UND],,0),"")</f>
        <v/>
      </c>
      <c r="D454" s="31"/>
      <c r="E454" s="32" t="str">
        <f>IFERROR(_xlfn.XLOOKUP($B454,Insumo[DESCRIPCION],Insumo[VALOR],,0),"")</f>
        <v/>
      </c>
      <c r="F454" s="33"/>
      <c r="G454" s="34" t="str">
        <f>IFERROR(IF(F454&gt;=0,D454*E454*(1+F454/100),ABS(D454*E454/F454)),"")</f>
        <v/>
      </c>
      <c r="H454" s="43" t="str">
        <f>IFERROR(G454*E448,"")</f>
        <v/>
      </c>
    </row>
    <row r="455" spans="1:8">
      <c r="A455" s="28"/>
      <c r="B455" s="29"/>
      <c r="C455" s="30" t="str">
        <f>IFERROR(_xlfn.XLOOKUP(B455,Insumo[DESCRIPCION],Insumo[UND],,0),"")</f>
        <v/>
      </c>
      <c r="D455" s="31"/>
      <c r="E455" s="32" t="str">
        <f>IFERROR(_xlfn.XLOOKUP($B455,Insumo[DESCRIPCION],Insumo[VALOR],,0),"")</f>
        <v/>
      </c>
      <c r="F455" s="33"/>
      <c r="G455" s="34" t="str">
        <f>IFERROR(IF(F455&gt;=0,D455*E455*(1+F455/100),ABS(D455*E455/F455)),"")</f>
        <v/>
      </c>
      <c r="H455" s="43" t="str">
        <f>IFERROR(G455*E448,"")</f>
        <v/>
      </c>
    </row>
    <row r="456" spans="1:8">
      <c r="A456" s="21"/>
      <c r="B456" s="22" t="s">
        <v>3731</v>
      </c>
      <c r="C456" s="23"/>
      <c r="D456" s="24"/>
      <c r="E456" s="25"/>
      <c r="F456" s="26"/>
      <c r="G456" s="27">
        <f>SUM(G457:G459)</f>
        <v>2110.4934666562508</v>
      </c>
      <c r="H456" s="27">
        <f>IFERROR(G456*E448,"")</f>
        <v>0</v>
      </c>
    </row>
    <row r="457" spans="1:8">
      <c r="A457" s="28"/>
      <c r="B457" s="29" t="s">
        <v>3626</v>
      </c>
      <c r="C457" s="30" t="str">
        <f>IFERROR(_xlfn.XLOOKUP(B457,Equipo[DESCRIPCION],Equipo[UND],,0),"")</f>
        <v>%MO</v>
      </c>
      <c r="D457" s="31">
        <v>0.05</v>
      </c>
      <c r="E457" s="32">
        <f>IF(C457="%MO",G463,IFERROR(_xlfn.XLOOKUP($B457,Equipo[DESCRIPCION],Equipo[VALOR],,0),""))</f>
        <v>42209.869333125011</v>
      </c>
      <c r="F457" s="33"/>
      <c r="G457" s="34">
        <f>IFERROR(IF(F457&gt;=0,D457*E457*(1+F457/100),ABS(D457*E457/F457)),"")</f>
        <v>2110.4934666562508</v>
      </c>
      <c r="H457" s="43">
        <f>IFERROR(G457*E448,"")</f>
        <v>0</v>
      </c>
    </row>
    <row r="458" spans="1:8">
      <c r="A458" s="28"/>
      <c r="B458" s="29"/>
      <c r="C458" s="30" t="str">
        <f>IFERROR(_xlfn.XLOOKUP(B458,Equipo[DESCRIPCION],Equipo[UND],,0),"")</f>
        <v/>
      </c>
      <c r="D458" s="31"/>
      <c r="E458" s="32" t="str">
        <f>IF(C458="%MO",G463,IFERROR(_xlfn.XLOOKUP($B458,Equipo[DESCRIPCION],Equipo[VALOR],,0),""))</f>
        <v/>
      </c>
      <c r="F458" s="33"/>
      <c r="G458" s="34" t="str">
        <f>IFERROR(IF(F458&gt;=0,D458*E458*(1+F458/100),ABS(D458*E458/F458)),"")</f>
        <v/>
      </c>
      <c r="H458" s="43" t="str">
        <f>IFERROR(G458*E448,"")</f>
        <v/>
      </c>
    </row>
    <row r="459" spans="1:8">
      <c r="A459" s="28"/>
      <c r="B459" s="29"/>
      <c r="C459" s="30" t="str">
        <f>IFERROR(_xlfn.XLOOKUP(B459,Equipo[DESCRIPCION],Equipo[UND],,0),"")</f>
        <v/>
      </c>
      <c r="D459" s="31"/>
      <c r="E459" s="32" t="str">
        <f>IF(C459="%MO",G463,IFERROR(_xlfn.XLOOKUP($B459,Equipo[DESCRIPCION],Equipo[VALOR],,0),""))</f>
        <v/>
      </c>
      <c r="F459" s="33"/>
      <c r="G459" s="34" t="str">
        <f>IFERROR(IF(F459&gt;=0,D459*E459*(1+F459/100),ABS(D459*E459/F459)),"")</f>
        <v/>
      </c>
      <c r="H459" s="43" t="str">
        <f>IFERROR(G459*E448,"")</f>
        <v/>
      </c>
    </row>
    <row r="460" spans="1:8">
      <c r="A460" s="21"/>
      <c r="B460" s="22" t="s">
        <v>2533</v>
      </c>
      <c r="C460" s="23"/>
      <c r="D460" s="24"/>
      <c r="E460" s="25"/>
      <c r="F460" s="26"/>
      <c r="G460" s="27">
        <f>SUM(G461:G462)</f>
        <v>0</v>
      </c>
      <c r="H460" s="27">
        <f>IFERROR(G460*E448,"")</f>
        <v>0</v>
      </c>
    </row>
    <row r="461" spans="1:8">
      <c r="A461" s="28"/>
      <c r="B461" s="29"/>
      <c r="C461" s="30" t="str">
        <f>IFERROR(_xlfn.XLOOKUP(B461,Transporte[DESCRIPCION],Transporte[UND],,0),"")</f>
        <v/>
      </c>
      <c r="D461" s="31"/>
      <c r="E461" s="32" t="str">
        <f>IFERROR(_xlfn.XLOOKUP($B461,Transporte[DESCRIPCION],Transporte[VALOR],,0),"")</f>
        <v/>
      </c>
      <c r="F461" s="33"/>
      <c r="G461" s="34" t="str">
        <f>IFERROR(IF(F461&gt;=0,D461*E461*(1+F461/100),ABS(D461*E461/F461)),"")</f>
        <v/>
      </c>
      <c r="H461" s="43" t="str">
        <f>IFERROR(G461*E448,"")</f>
        <v/>
      </c>
    </row>
    <row r="462" spans="1:8">
      <c r="A462" s="28"/>
      <c r="B462" s="29"/>
      <c r="C462" s="30" t="str">
        <f>IFERROR(_xlfn.XLOOKUP(B462,Transporte[DESCRIPCION],Transporte[UND],,0),"")</f>
        <v/>
      </c>
      <c r="D462" s="31"/>
      <c r="E462" s="32" t="str">
        <f>IFERROR(_xlfn.XLOOKUP($B462,Transporte[DESCRIPCION],Transporte[VALOR],,0),"")</f>
        <v/>
      </c>
      <c r="F462" s="33"/>
      <c r="G462" s="34" t="str">
        <f>IFERROR(IF(F462&gt;=0,D462*E462*(1+F462/100),ABS(D462*E462/F462)),"")</f>
        <v/>
      </c>
      <c r="H462" s="43" t="str">
        <f>IFERROR(G462*E448,"")</f>
        <v/>
      </c>
    </row>
    <row r="463" spans="1:8">
      <c r="A463" s="21"/>
      <c r="B463" s="22" t="s">
        <v>3732</v>
      </c>
      <c r="C463" s="23"/>
      <c r="D463" s="24"/>
      <c r="E463" s="25"/>
      <c r="F463" s="26"/>
      <c r="G463" s="27">
        <f>SUM(G464:G466)</f>
        <v>42209.869333125011</v>
      </c>
      <c r="H463" s="27">
        <f>IFERROR(G463*E448,"")</f>
        <v>0</v>
      </c>
    </row>
    <row r="464" spans="1:8">
      <c r="A464" s="28"/>
      <c r="B464" s="29" t="s">
        <v>3715</v>
      </c>
      <c r="C464" s="30" t="str">
        <f>IFERROR(_xlfn.XLOOKUP(B464,MObra[DESCRIPCION],MObra[UN],,0),"")</f>
        <v>día</v>
      </c>
      <c r="D464" s="31">
        <v>1</v>
      </c>
      <c r="E464" s="32">
        <f>IFERROR(_xlfn.XLOOKUP($B464,MObra[DESCRIPCION],MObra[VALOR UNIT],,0),"")</f>
        <v>337678.95466500008</v>
      </c>
      <c r="F464" s="33">
        <v>-8</v>
      </c>
      <c r="G464" s="34">
        <f>IFERROR(IF(F464&gt;=0,D464*E464*(1+F464/100),ABS(D464*E464/F464)),"")</f>
        <v>42209.869333125011</v>
      </c>
      <c r="H464" s="43">
        <f>IFERROR(G464*E448,"")</f>
        <v>0</v>
      </c>
    </row>
    <row r="465" spans="1:11">
      <c r="A465" s="28"/>
      <c r="B465" s="29"/>
      <c r="C465" s="30" t="str">
        <f>IFERROR(_xlfn.XLOOKUP(B465,MObra[DESCRIPCION],MObra[UN],,0),"")</f>
        <v/>
      </c>
      <c r="D465" s="31"/>
      <c r="E465" s="32" t="str">
        <f>IFERROR(_xlfn.XLOOKUP($B465,MObra[DESCRIPCION],MObra[VALOR UNIT],,0),"")</f>
        <v/>
      </c>
      <c r="F465" s="33"/>
      <c r="G465" s="34" t="str">
        <f>IFERROR(IF(F465&gt;=0,D465*E465*(1+F465/100),ABS(D465*E465/F465)),"")</f>
        <v/>
      </c>
      <c r="H465" s="43" t="str">
        <f>IFERROR(G465*E448,"")</f>
        <v/>
      </c>
    </row>
    <row r="466" spans="1:11">
      <c r="A466" s="35"/>
      <c r="B466" s="36"/>
      <c r="C466" s="37" t="str">
        <f>IFERROR(_xlfn.XLOOKUP(B466,MObra[DESCRIPCION],MObra[UN],,0),"")</f>
        <v/>
      </c>
      <c r="D466" s="38"/>
      <c r="E466" s="39" t="str">
        <f>IFERROR(_xlfn.XLOOKUP($B466,MObra[DESCRIPCION],MObra[VALOR UNIT],,0),"")</f>
        <v/>
      </c>
      <c r="F466" s="40"/>
      <c r="G466" s="41" t="str">
        <f>IFERROR(IF(F466&gt;=0,D466*E466*(1+F466/100),ABS(D466*E466/F466)),"")</f>
        <v/>
      </c>
      <c r="H466" s="42" t="str">
        <f>IFERROR(G466*E448,"")</f>
        <v/>
      </c>
    </row>
    <row r="468" spans="1:11" ht="25.5">
      <c r="A468" s="6" t="s">
        <v>2306</v>
      </c>
      <c r="B468" s="7" t="str">
        <f>VLOOKUP($A468,Presupuesto!$A:$D,2,FALSE())</f>
        <v>Luminaria LED cuadrada para área clasificada 120-277 Vac, 150w, 19500 lm 5000k, eficacia&gt;= 100lm/w, VU&gt;= 50000h@l70</v>
      </c>
      <c r="C468" s="8" t="str">
        <f>VLOOKUP($A468,Presupuesto!$A:$D,3,FALSE())</f>
        <v>Un</v>
      </c>
      <c r="D468" s="9"/>
      <c r="E468" s="10">
        <f>VLOOKUP($A468,Presupuesto!$A:$D,4,FALSE())</f>
        <v>0</v>
      </c>
      <c r="F468" s="11" t="s">
        <v>2589</v>
      </c>
      <c r="G468" s="12">
        <f>SUM(G470:G486)/2</f>
        <v>6073579.9627997829</v>
      </c>
      <c r="H468" s="13">
        <f>ROUND(SUM(H470:H486),0)/2</f>
        <v>0</v>
      </c>
      <c r="I468" s="10">
        <f>VLOOKUP(A468,Presupuesto!$A:$F,6,0)</f>
        <v>0</v>
      </c>
      <c r="J468" s="10">
        <f>+H468-I468</f>
        <v>0</v>
      </c>
      <c r="K468" s="46">
        <f>+H468-G468*E468</f>
        <v>0</v>
      </c>
    </row>
    <row r="469" spans="1:11">
      <c r="A469" s="14"/>
      <c r="B469" s="15" t="s">
        <v>2586</v>
      </c>
      <c r="C469" s="15" t="s">
        <v>5</v>
      </c>
      <c r="D469" s="16" t="s">
        <v>6</v>
      </c>
      <c r="E469" s="17" t="s">
        <v>7</v>
      </c>
      <c r="F469" s="18" t="s">
        <v>3728</v>
      </c>
      <c r="G469" s="19" t="s">
        <v>3729</v>
      </c>
      <c r="H469" s="20" t="s">
        <v>3797</v>
      </c>
    </row>
    <row r="470" spans="1:11">
      <c r="A470" s="21"/>
      <c r="B470" s="22" t="s">
        <v>3730</v>
      </c>
      <c r="C470" s="23"/>
      <c r="D470" s="24"/>
      <c r="E470" s="25"/>
      <c r="F470" s="26"/>
      <c r="G470" s="27">
        <f>SUM(G471:G475)</f>
        <v>6029259.5999999996</v>
      </c>
      <c r="H470" s="27">
        <f>IFERROR(G470*E468,"")</f>
        <v>0</v>
      </c>
    </row>
    <row r="471" spans="1:11" ht="25.5">
      <c r="A471" s="28"/>
      <c r="B471" s="29" t="s">
        <v>3069</v>
      </c>
      <c r="C471" s="30" t="str">
        <f>IFERROR(_xlfn.XLOOKUP(B471,Insumo[DESCRIPCION],Insumo[UND],,0),"")</f>
        <v>Un</v>
      </c>
      <c r="D471" s="31">
        <v>1</v>
      </c>
      <c r="E471" s="32">
        <f>IFERROR(_xlfn.XLOOKUP($B471,Insumo[DESCRIPCION],Insumo[VALOR],,0),"")</f>
        <v>6015450</v>
      </c>
      <c r="F471" s="33"/>
      <c r="G471" s="34">
        <f>IFERROR(IF(F471&gt;=0,D471*E471*(1+F471/100),ABS(D471*E471/F471)),"")</f>
        <v>6015450</v>
      </c>
      <c r="H471" s="43">
        <f>IFERROR(G471*E468,"")</f>
        <v>0</v>
      </c>
    </row>
    <row r="472" spans="1:11">
      <c r="A472" s="28"/>
      <c r="B472" s="29" t="s">
        <v>2800</v>
      </c>
      <c r="C472" s="30" t="str">
        <f>IFERROR(_xlfn.XLOOKUP(B472,Insumo[DESCRIPCION],Insumo[UND],,0),"")</f>
        <v>M</v>
      </c>
      <c r="D472" s="31">
        <v>1</v>
      </c>
      <c r="E472" s="32">
        <f>IFERROR(_xlfn.XLOOKUP($B472,Insumo[DESCRIPCION],Insumo[VALOR],,0),"")</f>
        <v>7387.8</v>
      </c>
      <c r="F472" s="33"/>
      <c r="G472" s="34">
        <f>IFERROR(IF(F472&gt;=0,D472*E472*(1+F472/100),ABS(D472*E472/F472)),"")</f>
        <v>7387.8</v>
      </c>
      <c r="H472" s="43">
        <f>IFERROR(G472*E468,"")</f>
        <v>0</v>
      </c>
    </row>
    <row r="473" spans="1:11">
      <c r="A473" s="28"/>
      <c r="B473" s="29" t="s">
        <v>2855</v>
      </c>
      <c r="C473" s="30" t="str">
        <f>IFERROR(_xlfn.XLOOKUP(B473,Insumo[DESCRIPCION],Insumo[UND],,0),"")</f>
        <v>Un</v>
      </c>
      <c r="D473" s="31">
        <v>1</v>
      </c>
      <c r="E473" s="32">
        <f>IFERROR(_xlfn.XLOOKUP($B473,Insumo[DESCRIPCION],Insumo[VALOR],,0),"")</f>
        <v>6421.8</v>
      </c>
      <c r="F473" s="33"/>
      <c r="G473" s="34">
        <f>IFERROR(IF(F473&gt;=0,D473*E473*(1+F473/100),ABS(D473*E473/F473)),"")</f>
        <v>6421.8</v>
      </c>
      <c r="H473" s="43">
        <f>IFERROR(G473*E468,"")</f>
        <v>0</v>
      </c>
    </row>
    <row r="474" spans="1:11">
      <c r="A474" s="28"/>
      <c r="B474" s="29"/>
      <c r="C474" s="30" t="str">
        <f>IFERROR(_xlfn.XLOOKUP(B474,Insumo[DESCRIPCION],Insumo[UND],,0),"")</f>
        <v/>
      </c>
      <c r="D474" s="31"/>
      <c r="E474" s="32" t="str">
        <f>IFERROR(_xlfn.XLOOKUP($B474,Insumo[DESCRIPCION],Insumo[VALOR],,0),"")</f>
        <v/>
      </c>
      <c r="F474" s="33"/>
      <c r="G474" s="34" t="str">
        <f>IFERROR(IF(F474&gt;=0,D474*E474*(1+F474/100),ABS(D474*E474/F474)),"")</f>
        <v/>
      </c>
      <c r="H474" s="43" t="str">
        <f>IFERROR(G474*E468,"")</f>
        <v/>
      </c>
    </row>
    <row r="475" spans="1:11">
      <c r="A475" s="28"/>
      <c r="B475" s="29"/>
      <c r="C475" s="30" t="str">
        <f>IFERROR(_xlfn.XLOOKUP(B475,Insumo[DESCRIPCION],Insumo[UND],,0),"")</f>
        <v/>
      </c>
      <c r="D475" s="31"/>
      <c r="E475" s="32" t="str">
        <f>IFERROR(_xlfn.XLOOKUP($B475,Insumo[DESCRIPCION],Insumo[VALOR],,0),"")</f>
        <v/>
      </c>
      <c r="F475" s="33"/>
      <c r="G475" s="34" t="str">
        <f>IFERROR(IF(F475&gt;=0,D475*E475*(1+F475/100),ABS(D475*E475/F475)),"")</f>
        <v/>
      </c>
      <c r="H475" s="43" t="str">
        <f>IFERROR(G475*E468,"")</f>
        <v/>
      </c>
    </row>
    <row r="476" spans="1:11">
      <c r="A476" s="21"/>
      <c r="B476" s="22" t="s">
        <v>3731</v>
      </c>
      <c r="C476" s="23"/>
      <c r="D476" s="24"/>
      <c r="E476" s="25"/>
      <c r="F476" s="26"/>
      <c r="G476" s="27">
        <f>SUM(G477:G479)</f>
        <v>2110.4934666562508</v>
      </c>
      <c r="H476" s="27">
        <f>IFERROR(G476*E468,"")</f>
        <v>0</v>
      </c>
    </row>
    <row r="477" spans="1:11">
      <c r="A477" s="28"/>
      <c r="B477" s="29" t="s">
        <v>3626</v>
      </c>
      <c r="C477" s="30" t="str">
        <f>IFERROR(_xlfn.XLOOKUP(B477,Equipo[DESCRIPCION],Equipo[UND],,0),"")</f>
        <v>%MO</v>
      </c>
      <c r="D477" s="31">
        <v>0.05</v>
      </c>
      <c r="E477" s="32">
        <f>IF(C477="%MO",G483,IFERROR(_xlfn.XLOOKUP($B477,Equipo[DESCRIPCION],Equipo[VALOR],,0),""))</f>
        <v>42209.869333125011</v>
      </c>
      <c r="F477" s="33"/>
      <c r="G477" s="34">
        <f>IFERROR(IF(F477&gt;=0,D477*E477*(1+F477/100),ABS(D477*E477/F477)),"")</f>
        <v>2110.4934666562508</v>
      </c>
      <c r="H477" s="43">
        <f>IFERROR(G477*E468,"")</f>
        <v>0</v>
      </c>
    </row>
    <row r="478" spans="1:11">
      <c r="A478" s="28"/>
      <c r="B478" s="29"/>
      <c r="C478" s="30" t="str">
        <f>IFERROR(_xlfn.XLOOKUP(B478,Equipo[DESCRIPCION],Equipo[UND],,0),"")</f>
        <v/>
      </c>
      <c r="D478" s="31"/>
      <c r="E478" s="32" t="str">
        <f>IF(C478="%MO",G483,IFERROR(_xlfn.XLOOKUP($B478,Equipo[DESCRIPCION],Equipo[VALOR],,0),""))</f>
        <v/>
      </c>
      <c r="F478" s="33"/>
      <c r="G478" s="34" t="str">
        <f>IFERROR(IF(F478&gt;=0,D478*E478*(1+F478/100),ABS(D478*E478/F478)),"")</f>
        <v/>
      </c>
      <c r="H478" s="43" t="str">
        <f>IFERROR(G478*E468,"")</f>
        <v/>
      </c>
    </row>
    <row r="479" spans="1:11">
      <c r="A479" s="28"/>
      <c r="B479" s="29"/>
      <c r="C479" s="30" t="str">
        <f>IFERROR(_xlfn.XLOOKUP(B479,Equipo[DESCRIPCION],Equipo[UND],,0),"")</f>
        <v/>
      </c>
      <c r="D479" s="31"/>
      <c r="E479" s="32" t="str">
        <f>IF(C479="%MO",G483,IFERROR(_xlfn.XLOOKUP($B479,Equipo[DESCRIPCION],Equipo[VALOR],,0),""))</f>
        <v/>
      </c>
      <c r="F479" s="33"/>
      <c r="G479" s="34" t="str">
        <f>IFERROR(IF(F479&gt;=0,D479*E479*(1+F479/100),ABS(D479*E479/F479)),"")</f>
        <v/>
      </c>
      <c r="H479" s="43" t="str">
        <f>IFERROR(G479*E468,"")</f>
        <v/>
      </c>
    </row>
    <row r="480" spans="1:11">
      <c r="A480" s="21"/>
      <c r="B480" s="22" t="s">
        <v>2533</v>
      </c>
      <c r="C480" s="23"/>
      <c r="D480" s="24"/>
      <c r="E480" s="25"/>
      <c r="F480" s="26"/>
      <c r="G480" s="27">
        <f>SUM(G481:G482)</f>
        <v>0</v>
      </c>
      <c r="H480" s="27">
        <f>IFERROR(G480*E468,"")</f>
        <v>0</v>
      </c>
    </row>
    <row r="481" spans="1:11">
      <c r="A481" s="28"/>
      <c r="B481" s="29"/>
      <c r="C481" s="30" t="str">
        <f>IFERROR(_xlfn.XLOOKUP(B481,Transporte[DESCRIPCION],Transporte[UND],,0),"")</f>
        <v/>
      </c>
      <c r="D481" s="31"/>
      <c r="E481" s="32" t="str">
        <f>IFERROR(_xlfn.XLOOKUP($B481,Transporte[DESCRIPCION],Transporte[VALOR],,0),"")</f>
        <v/>
      </c>
      <c r="F481" s="33"/>
      <c r="G481" s="34" t="str">
        <f>IFERROR(IF(F481&gt;=0,D481*E481*(1+F481/100),ABS(D481*E481/F481)),"")</f>
        <v/>
      </c>
      <c r="H481" s="43" t="str">
        <f>IFERROR(G481*E468,"")</f>
        <v/>
      </c>
    </row>
    <row r="482" spans="1:11">
      <c r="A482" s="28"/>
      <c r="B482" s="29"/>
      <c r="C482" s="30" t="str">
        <f>IFERROR(_xlfn.XLOOKUP(B482,Transporte[DESCRIPCION],Transporte[UND],,0),"")</f>
        <v/>
      </c>
      <c r="D482" s="31"/>
      <c r="E482" s="32" t="str">
        <f>IFERROR(_xlfn.XLOOKUP($B482,Transporte[DESCRIPCION],Transporte[VALOR],,0),"")</f>
        <v/>
      </c>
      <c r="F482" s="33"/>
      <c r="G482" s="34" t="str">
        <f>IFERROR(IF(F482&gt;=0,D482*E482*(1+F482/100),ABS(D482*E482/F482)),"")</f>
        <v/>
      </c>
      <c r="H482" s="43" t="str">
        <f>IFERROR(G482*E468,"")</f>
        <v/>
      </c>
    </row>
    <row r="483" spans="1:11">
      <c r="A483" s="21"/>
      <c r="B483" s="22" t="s">
        <v>3732</v>
      </c>
      <c r="C483" s="23"/>
      <c r="D483" s="24"/>
      <c r="E483" s="25"/>
      <c r="F483" s="26"/>
      <c r="G483" s="27">
        <f>SUM(G484:G486)</f>
        <v>42209.869333125011</v>
      </c>
      <c r="H483" s="27">
        <f>IFERROR(G483*E468,"")</f>
        <v>0</v>
      </c>
    </row>
    <row r="484" spans="1:11">
      <c r="A484" s="28"/>
      <c r="B484" s="29" t="s">
        <v>3715</v>
      </c>
      <c r="C484" s="30" t="str">
        <f>IFERROR(_xlfn.XLOOKUP(B484,MObra[DESCRIPCION],MObra[UN],,0),"")</f>
        <v>día</v>
      </c>
      <c r="D484" s="31">
        <v>1</v>
      </c>
      <c r="E484" s="32">
        <f>IFERROR(_xlfn.XLOOKUP($B484,MObra[DESCRIPCION],MObra[VALOR UNIT],,0),"")</f>
        <v>337678.95466500008</v>
      </c>
      <c r="F484" s="33">
        <v>-8</v>
      </c>
      <c r="G484" s="34">
        <f>IFERROR(IF(F484&gt;=0,D484*E484*(1+F484/100),ABS(D484*E484/F484)),"")</f>
        <v>42209.869333125011</v>
      </c>
      <c r="H484" s="43">
        <f>IFERROR(G484*E468,"")</f>
        <v>0</v>
      </c>
    </row>
    <row r="485" spans="1:11">
      <c r="A485" s="28"/>
      <c r="B485" s="29"/>
      <c r="C485" s="30" t="str">
        <f>IFERROR(_xlfn.XLOOKUP(B485,MObra[DESCRIPCION],MObra[UN],,0),"")</f>
        <v/>
      </c>
      <c r="D485" s="31"/>
      <c r="E485" s="32" t="str">
        <f>IFERROR(_xlfn.XLOOKUP($B485,MObra[DESCRIPCION],MObra[VALOR UNIT],,0),"")</f>
        <v/>
      </c>
      <c r="F485" s="33"/>
      <c r="G485" s="34" t="str">
        <f>IFERROR(IF(F485&gt;=0,D485*E485*(1+F485/100),ABS(D485*E485/F485)),"")</f>
        <v/>
      </c>
      <c r="H485" s="43" t="str">
        <f>IFERROR(G485*E468,"")</f>
        <v/>
      </c>
    </row>
    <row r="486" spans="1:11">
      <c r="A486" s="35"/>
      <c r="B486" s="36"/>
      <c r="C486" s="37" t="str">
        <f>IFERROR(_xlfn.XLOOKUP(B486,MObra[DESCRIPCION],MObra[UN],,0),"")</f>
        <v/>
      </c>
      <c r="D486" s="38"/>
      <c r="E486" s="39" t="str">
        <f>IFERROR(_xlfn.XLOOKUP($B486,MObra[DESCRIPCION],MObra[VALOR UNIT],,0),"")</f>
        <v/>
      </c>
      <c r="F486" s="40"/>
      <c r="G486" s="41" t="str">
        <f>IFERROR(IF(F486&gt;=0,D486*E486*(1+F486/100),ABS(D486*E486/F486)),"")</f>
        <v/>
      </c>
      <c r="H486" s="42" t="str">
        <f>IFERROR(G486*E468,"")</f>
        <v/>
      </c>
    </row>
    <row r="487" spans="1:11" ht="12.75" customHeight="1" thickTop="1" thickBot="1"/>
    <row r="488" spans="1:11" ht="26.25" thickTop="1" thickBot="1">
      <c r="A488" s="6" t="s">
        <v>2308</v>
      </c>
      <c r="B488" s="7" t="str">
        <f>VLOOKUP($A488,Presupuesto!$A:$D,2,FALSE())</f>
        <v>Luminaria LED hermética sobreponer/suspender 120-277 Vac, 18w, 6500k, 2200lm, VU&gt;= 30000h@l70, fp&gt;= 0.9</v>
      </c>
      <c r="C488" s="8" t="str">
        <f>VLOOKUP($A488,Presupuesto!$A:$D,3,FALSE())</f>
        <v>Un</v>
      </c>
      <c r="D488" s="9"/>
      <c r="E488" s="10">
        <f>VLOOKUP($A488,Presupuesto!$A:$D,4,FALSE())</f>
        <v>0</v>
      </c>
      <c r="F488" s="11" t="s">
        <v>2589</v>
      </c>
      <c r="G488" s="12">
        <f>SUM(G490:G506)/2</f>
        <v>187279.96279978123</v>
      </c>
      <c r="H488" s="13">
        <f>ROUND(SUM(H490:H506),0)/2</f>
        <v>0</v>
      </c>
      <c r="I488" s="10">
        <f>VLOOKUP(A488,Presupuesto!$A:$F,6,0)</f>
        <v>0</v>
      </c>
      <c r="J488" s="10">
        <f>+H488-I488</f>
        <v>0</v>
      </c>
      <c r="K488" s="46">
        <f>+H488-G488*E488</f>
        <v>0</v>
      </c>
    </row>
    <row r="489" spans="1:11">
      <c r="A489" s="14"/>
      <c r="B489" s="15" t="s">
        <v>2586</v>
      </c>
      <c r="C489" s="15" t="s">
        <v>5</v>
      </c>
      <c r="D489" s="16" t="s">
        <v>6</v>
      </c>
      <c r="E489" s="17" t="s">
        <v>7</v>
      </c>
      <c r="F489" s="18" t="s">
        <v>3728</v>
      </c>
      <c r="G489" s="19" t="s">
        <v>3729</v>
      </c>
      <c r="H489" s="20" t="s">
        <v>3797</v>
      </c>
    </row>
    <row r="490" spans="1:11">
      <c r="A490" s="21"/>
      <c r="B490" s="22" t="s">
        <v>3730</v>
      </c>
      <c r="C490" s="23"/>
      <c r="D490" s="24"/>
      <c r="E490" s="25"/>
      <c r="F490" s="26"/>
      <c r="G490" s="27">
        <f>SUM(G491:G495)</f>
        <v>142959.59999999998</v>
      </c>
      <c r="H490" s="27">
        <f>IFERROR(G490*E488,"")</f>
        <v>0</v>
      </c>
    </row>
    <row r="491" spans="1:11" ht="25.5">
      <c r="A491" s="28"/>
      <c r="B491" s="29" t="s">
        <v>3074</v>
      </c>
      <c r="C491" s="30" t="str">
        <f>IFERROR(_xlfn.XLOOKUP(B491,Insumo[DESCRIPCION],Insumo[UND],,0),"")</f>
        <v>Un</v>
      </c>
      <c r="D491" s="31">
        <v>1</v>
      </c>
      <c r="E491" s="32">
        <f>IFERROR(_xlfn.XLOOKUP($B491,Insumo[DESCRIPCION],Insumo[VALOR],,0),"")</f>
        <v>129150</v>
      </c>
      <c r="F491" s="33"/>
      <c r="G491" s="34">
        <f>IFERROR(IF(F491&gt;=0,D491*E491*(1+F491/100),ABS(D491*E491/F491)),"")</f>
        <v>129150</v>
      </c>
      <c r="H491" s="43">
        <f>IFERROR(G491*E488,"")</f>
        <v>0</v>
      </c>
    </row>
    <row r="492" spans="1:11">
      <c r="A492" s="28"/>
      <c r="B492" s="29" t="s">
        <v>2800</v>
      </c>
      <c r="C492" s="30" t="str">
        <f>IFERROR(_xlfn.XLOOKUP(B492,Insumo[DESCRIPCION],Insumo[UND],,0),"")</f>
        <v>M</v>
      </c>
      <c r="D492" s="31">
        <v>1</v>
      </c>
      <c r="E492" s="32">
        <f>IFERROR(_xlfn.XLOOKUP($B492,Insumo[DESCRIPCION],Insumo[VALOR],,0),"")</f>
        <v>7387.8</v>
      </c>
      <c r="F492" s="33"/>
      <c r="G492" s="34">
        <f>IFERROR(IF(F492&gt;=0,D492*E492*(1+F492/100),ABS(D492*E492/F492)),"")</f>
        <v>7387.8</v>
      </c>
      <c r="H492" s="43">
        <f>IFERROR(G492*E488,"")</f>
        <v>0</v>
      </c>
    </row>
    <row r="493" spans="1:11">
      <c r="A493" s="28"/>
      <c r="B493" s="29" t="s">
        <v>2855</v>
      </c>
      <c r="C493" s="30" t="str">
        <f>IFERROR(_xlfn.XLOOKUP(B493,Insumo[DESCRIPCION],Insumo[UND],,0),"")</f>
        <v>Un</v>
      </c>
      <c r="D493" s="31">
        <v>1</v>
      </c>
      <c r="E493" s="32">
        <f>IFERROR(_xlfn.XLOOKUP($B493,Insumo[DESCRIPCION],Insumo[VALOR],,0),"")</f>
        <v>6421.8</v>
      </c>
      <c r="F493" s="33"/>
      <c r="G493" s="34">
        <f>IFERROR(IF(F493&gt;=0,D493*E493*(1+F493/100),ABS(D493*E493/F493)),"")</f>
        <v>6421.8</v>
      </c>
      <c r="H493" s="43">
        <f>IFERROR(G493*E488,"")</f>
        <v>0</v>
      </c>
    </row>
    <row r="494" spans="1:11">
      <c r="A494" s="28"/>
      <c r="B494" s="29"/>
      <c r="C494" s="30" t="str">
        <f>IFERROR(_xlfn.XLOOKUP(B494,Insumo[DESCRIPCION],Insumo[UND],,0),"")</f>
        <v/>
      </c>
      <c r="D494" s="31"/>
      <c r="E494" s="32" t="str">
        <f>IFERROR(_xlfn.XLOOKUP($B494,Insumo[DESCRIPCION],Insumo[VALOR],,0),"")</f>
        <v/>
      </c>
      <c r="F494" s="33"/>
      <c r="G494" s="34" t="str">
        <f>IFERROR(IF(F494&gt;=0,D494*E494*(1+F494/100),ABS(D494*E494/F494)),"")</f>
        <v/>
      </c>
      <c r="H494" s="43" t="str">
        <f>IFERROR(G494*E488,"")</f>
        <v/>
      </c>
    </row>
    <row r="495" spans="1:11">
      <c r="A495" s="28"/>
      <c r="B495" s="29"/>
      <c r="C495" s="30" t="str">
        <f>IFERROR(_xlfn.XLOOKUP(B495,Insumo[DESCRIPCION],Insumo[UND],,0),"")</f>
        <v/>
      </c>
      <c r="D495" s="31"/>
      <c r="E495" s="32" t="str">
        <f>IFERROR(_xlfn.XLOOKUP($B495,Insumo[DESCRIPCION],Insumo[VALOR],,0),"")</f>
        <v/>
      </c>
      <c r="F495" s="33"/>
      <c r="G495" s="34" t="str">
        <f>IFERROR(IF(F495&gt;=0,D495*E495*(1+F495/100),ABS(D495*E495/F495)),"")</f>
        <v/>
      </c>
      <c r="H495" s="43" t="str">
        <f>IFERROR(G495*E488,"")</f>
        <v/>
      </c>
    </row>
    <row r="496" spans="1:11">
      <c r="A496" s="21"/>
      <c r="B496" s="22" t="s">
        <v>3731</v>
      </c>
      <c r="C496" s="23"/>
      <c r="D496" s="24"/>
      <c r="E496" s="25"/>
      <c r="F496" s="26"/>
      <c r="G496" s="27">
        <f>SUM(G497:G499)</f>
        <v>2110.4934666562508</v>
      </c>
      <c r="H496" s="27">
        <f>IFERROR(G496*E488,"")</f>
        <v>0</v>
      </c>
    </row>
    <row r="497" spans="1:11">
      <c r="A497" s="28"/>
      <c r="B497" s="29" t="s">
        <v>3626</v>
      </c>
      <c r="C497" s="30" t="str">
        <f>IFERROR(_xlfn.XLOOKUP(B497,Equipo[DESCRIPCION],Equipo[UND],,0),"")</f>
        <v>%MO</v>
      </c>
      <c r="D497" s="31">
        <v>0.05</v>
      </c>
      <c r="E497" s="32">
        <f>IF(C497="%MO",G503,IFERROR(_xlfn.XLOOKUP($B497,Equipo[DESCRIPCION],Equipo[VALOR],,0),""))</f>
        <v>42209.869333125011</v>
      </c>
      <c r="F497" s="33"/>
      <c r="G497" s="34">
        <f>IFERROR(IF(F497&gt;=0,D497*E497*(1+F497/100),ABS(D497*E497/F497)),"")</f>
        <v>2110.4934666562508</v>
      </c>
      <c r="H497" s="43">
        <f>IFERROR(G497*E488,"")</f>
        <v>0</v>
      </c>
    </row>
    <row r="498" spans="1:11">
      <c r="A498" s="28"/>
      <c r="B498" s="29"/>
      <c r="C498" s="30" t="str">
        <f>IFERROR(_xlfn.XLOOKUP(B498,Equipo[DESCRIPCION],Equipo[UND],,0),"")</f>
        <v/>
      </c>
      <c r="D498" s="31"/>
      <c r="E498" s="32" t="str">
        <f>IF(C498="%MO",G503,IFERROR(_xlfn.XLOOKUP($B498,Equipo[DESCRIPCION],Equipo[VALOR],,0),""))</f>
        <v/>
      </c>
      <c r="F498" s="33"/>
      <c r="G498" s="34" t="str">
        <f>IFERROR(IF(F498&gt;=0,D498*E498*(1+F498/100),ABS(D498*E498/F498)),"")</f>
        <v/>
      </c>
      <c r="H498" s="43" t="str">
        <f>IFERROR(G498*E488,"")</f>
        <v/>
      </c>
    </row>
    <row r="499" spans="1:11">
      <c r="A499" s="28"/>
      <c r="B499" s="29"/>
      <c r="C499" s="30" t="str">
        <f>IFERROR(_xlfn.XLOOKUP(B499,Equipo[DESCRIPCION],Equipo[UND],,0),"")</f>
        <v/>
      </c>
      <c r="D499" s="31"/>
      <c r="E499" s="32" t="str">
        <f>IF(C499="%MO",G503,IFERROR(_xlfn.XLOOKUP($B499,Equipo[DESCRIPCION],Equipo[VALOR],,0),""))</f>
        <v/>
      </c>
      <c r="F499" s="33"/>
      <c r="G499" s="34" t="str">
        <f>IFERROR(IF(F499&gt;=0,D499*E499*(1+F499/100),ABS(D499*E499/F499)),"")</f>
        <v/>
      </c>
      <c r="H499" s="43" t="str">
        <f>IFERROR(G499*E488,"")</f>
        <v/>
      </c>
    </row>
    <row r="500" spans="1:11">
      <c r="A500" s="21"/>
      <c r="B500" s="22" t="s">
        <v>2533</v>
      </c>
      <c r="C500" s="23"/>
      <c r="D500" s="24"/>
      <c r="E500" s="25"/>
      <c r="F500" s="26"/>
      <c r="G500" s="27">
        <f>SUM(G501:G502)</f>
        <v>0</v>
      </c>
      <c r="H500" s="27">
        <f>IFERROR(G500*E488,"")</f>
        <v>0</v>
      </c>
    </row>
    <row r="501" spans="1:11">
      <c r="A501" s="28"/>
      <c r="B501" s="29"/>
      <c r="C501" s="30" t="str">
        <f>IFERROR(_xlfn.XLOOKUP(B501,Transporte[DESCRIPCION],Transporte[UND],,0),"")</f>
        <v/>
      </c>
      <c r="D501" s="31"/>
      <c r="E501" s="32" t="str">
        <f>IFERROR(_xlfn.XLOOKUP($B501,Transporte[DESCRIPCION],Transporte[VALOR],,0),"")</f>
        <v/>
      </c>
      <c r="F501" s="33"/>
      <c r="G501" s="34" t="str">
        <f>IFERROR(IF(F501&gt;=0,D501*E501*(1+F501/100),ABS(D501*E501/F501)),"")</f>
        <v/>
      </c>
      <c r="H501" s="43" t="str">
        <f>IFERROR(G501*E488,"")</f>
        <v/>
      </c>
    </row>
    <row r="502" spans="1:11">
      <c r="A502" s="28"/>
      <c r="B502" s="29"/>
      <c r="C502" s="30" t="str">
        <f>IFERROR(_xlfn.XLOOKUP(B502,Transporte[DESCRIPCION],Transporte[UND],,0),"")</f>
        <v/>
      </c>
      <c r="D502" s="31"/>
      <c r="E502" s="32" t="str">
        <f>IFERROR(_xlfn.XLOOKUP($B502,Transporte[DESCRIPCION],Transporte[VALOR],,0),"")</f>
        <v/>
      </c>
      <c r="F502" s="33"/>
      <c r="G502" s="34" t="str">
        <f>IFERROR(IF(F502&gt;=0,D502*E502*(1+F502/100),ABS(D502*E502/F502)),"")</f>
        <v/>
      </c>
      <c r="H502" s="43" t="str">
        <f>IFERROR(G502*E488,"")</f>
        <v/>
      </c>
    </row>
    <row r="503" spans="1:11">
      <c r="A503" s="21"/>
      <c r="B503" s="22" t="s">
        <v>3732</v>
      </c>
      <c r="C503" s="23"/>
      <c r="D503" s="24"/>
      <c r="E503" s="25"/>
      <c r="F503" s="26"/>
      <c r="G503" s="27">
        <f>SUM(G504:G506)</f>
        <v>42209.869333125011</v>
      </c>
      <c r="H503" s="27">
        <f>IFERROR(G503*E488,"")</f>
        <v>0</v>
      </c>
    </row>
    <row r="504" spans="1:11">
      <c r="A504" s="28"/>
      <c r="B504" s="29" t="s">
        <v>3715</v>
      </c>
      <c r="C504" s="30" t="str">
        <f>IFERROR(_xlfn.XLOOKUP(B504,MObra[DESCRIPCION],MObra[UN],,0),"")</f>
        <v>día</v>
      </c>
      <c r="D504" s="31">
        <v>1</v>
      </c>
      <c r="E504" s="32">
        <f>IFERROR(_xlfn.XLOOKUP($B504,MObra[DESCRIPCION],MObra[VALOR UNIT],,0),"")</f>
        <v>337678.95466500008</v>
      </c>
      <c r="F504" s="33">
        <v>-8</v>
      </c>
      <c r="G504" s="34">
        <f>IFERROR(IF(F504&gt;=0,D504*E504*(1+F504/100),ABS(D504*E504/F504)),"")</f>
        <v>42209.869333125011</v>
      </c>
      <c r="H504" s="43">
        <f>IFERROR(G504*E488,"")</f>
        <v>0</v>
      </c>
    </row>
    <row r="505" spans="1:11">
      <c r="A505" s="28"/>
      <c r="B505" s="29"/>
      <c r="C505" s="30" t="str">
        <f>IFERROR(_xlfn.XLOOKUP(B505,MObra[DESCRIPCION],MObra[UN],,0),"")</f>
        <v/>
      </c>
      <c r="D505" s="31"/>
      <c r="E505" s="32" t="str">
        <f>IFERROR(_xlfn.XLOOKUP($B505,MObra[DESCRIPCION],MObra[VALOR UNIT],,0),"")</f>
        <v/>
      </c>
      <c r="F505" s="33"/>
      <c r="G505" s="34" t="str">
        <f>IFERROR(IF(F505&gt;=0,D505*E505*(1+F505/100),ABS(D505*E505/F505)),"")</f>
        <v/>
      </c>
      <c r="H505" s="43" t="str">
        <f>IFERROR(G505*E488,"")</f>
        <v/>
      </c>
    </row>
    <row r="506" spans="1:11">
      <c r="A506" s="35"/>
      <c r="B506" s="36"/>
      <c r="C506" s="37" t="str">
        <f>IFERROR(_xlfn.XLOOKUP(B506,MObra[DESCRIPCION],MObra[UN],,0),"")</f>
        <v/>
      </c>
      <c r="D506" s="38"/>
      <c r="E506" s="39" t="str">
        <f>IFERROR(_xlfn.XLOOKUP($B506,MObra[DESCRIPCION],MObra[VALOR UNIT],,0),"")</f>
        <v/>
      </c>
      <c r="F506" s="40"/>
      <c r="G506" s="41" t="str">
        <f>IFERROR(IF(F506&gt;=0,D506*E506*(1+F506/100),ABS(D506*E506/F506)),"")</f>
        <v/>
      </c>
      <c r="H506" s="42" t="str">
        <f>IFERROR(G506*E488,"")</f>
        <v/>
      </c>
    </row>
    <row r="508" spans="1:11" ht="25.5">
      <c r="A508" s="6" t="s">
        <v>2310</v>
      </c>
      <c r="B508" s="7" t="str">
        <f>VLOOKUP($A508,Presupuesto!$A:$D,2,FALSE())</f>
        <v>Luminaria LED hermética sobreponer/suspender 120-277 Vac, 36w, 6500k, 4500lm, VU&gt;= 30000h@l70, fp&gt;= 0.9</v>
      </c>
      <c r="C508" s="8" t="str">
        <f>VLOOKUP($A508,Presupuesto!$A:$D,3,FALSE())</f>
        <v>Un</v>
      </c>
      <c r="D508" s="9"/>
      <c r="E508" s="10">
        <f>VLOOKUP($A508,Presupuesto!$A:$D,4,FALSE())</f>
        <v>0</v>
      </c>
      <c r="F508" s="11" t="s">
        <v>2589</v>
      </c>
      <c r="G508" s="12">
        <f>SUM(G510:G526)/2</f>
        <v>207229.96279978123</v>
      </c>
      <c r="H508" s="13">
        <f>ROUND(SUM(H510:H526),0)/2</f>
        <v>0</v>
      </c>
      <c r="I508" s="10">
        <f>VLOOKUP(A508,Presupuesto!$A:$F,6,0)</f>
        <v>0</v>
      </c>
      <c r="J508" s="10">
        <f>+H508-I508</f>
        <v>0</v>
      </c>
      <c r="K508" s="46">
        <f>+H508-G508*E508</f>
        <v>0</v>
      </c>
    </row>
    <row r="509" spans="1:11">
      <c r="A509" s="14"/>
      <c r="B509" s="15" t="s">
        <v>2586</v>
      </c>
      <c r="C509" s="15" t="s">
        <v>5</v>
      </c>
      <c r="D509" s="16" t="s">
        <v>6</v>
      </c>
      <c r="E509" s="17" t="s">
        <v>7</v>
      </c>
      <c r="F509" s="18" t="s">
        <v>3728</v>
      </c>
      <c r="G509" s="19" t="s">
        <v>3729</v>
      </c>
      <c r="H509" s="20" t="s">
        <v>3797</v>
      </c>
    </row>
    <row r="510" spans="1:11">
      <c r="A510" s="21"/>
      <c r="B510" s="22" t="s">
        <v>3730</v>
      </c>
      <c r="C510" s="23"/>
      <c r="D510" s="24"/>
      <c r="E510" s="25"/>
      <c r="F510" s="26"/>
      <c r="G510" s="27">
        <f>SUM(G511:G515)</f>
        <v>162909.59999999998</v>
      </c>
      <c r="H510" s="27">
        <f>IFERROR(G510*E508,"")</f>
        <v>0</v>
      </c>
    </row>
    <row r="511" spans="1:11" ht="25.5">
      <c r="A511" s="28"/>
      <c r="B511" s="29" t="s">
        <v>3075</v>
      </c>
      <c r="C511" s="30" t="str">
        <f>IFERROR(_xlfn.XLOOKUP(B511,Insumo[DESCRIPCION],Insumo[UND],,0),"")</f>
        <v>Un</v>
      </c>
      <c r="D511" s="31">
        <v>1</v>
      </c>
      <c r="E511" s="32">
        <f>IFERROR(_xlfn.XLOOKUP($B511,Insumo[DESCRIPCION],Insumo[VALOR],,0),"")</f>
        <v>149100</v>
      </c>
      <c r="F511" s="33"/>
      <c r="G511" s="34">
        <f>IFERROR(IF(F511&gt;=0,D511*E511*(1+F511/100),ABS(D511*E511/F511)),"")</f>
        <v>149100</v>
      </c>
      <c r="H511" s="43">
        <f>IFERROR(G511*E508,"")</f>
        <v>0</v>
      </c>
    </row>
    <row r="512" spans="1:11">
      <c r="A512" s="28"/>
      <c r="B512" s="29" t="s">
        <v>2800</v>
      </c>
      <c r="C512" s="30" t="str">
        <f>IFERROR(_xlfn.XLOOKUP(B512,Insumo[DESCRIPCION],Insumo[UND],,0),"")</f>
        <v>M</v>
      </c>
      <c r="D512" s="31">
        <v>1</v>
      </c>
      <c r="E512" s="32">
        <f>IFERROR(_xlfn.XLOOKUP($B512,Insumo[DESCRIPCION],Insumo[VALOR],,0),"")</f>
        <v>7387.8</v>
      </c>
      <c r="F512" s="33"/>
      <c r="G512" s="34">
        <f>IFERROR(IF(F512&gt;=0,D512*E512*(1+F512/100),ABS(D512*E512/F512)),"")</f>
        <v>7387.8</v>
      </c>
      <c r="H512" s="43">
        <f>IFERROR(G512*E508,"")</f>
        <v>0</v>
      </c>
    </row>
    <row r="513" spans="1:11">
      <c r="A513" s="28"/>
      <c r="B513" s="29" t="s">
        <v>2855</v>
      </c>
      <c r="C513" s="30" t="str">
        <f>IFERROR(_xlfn.XLOOKUP(B513,Insumo[DESCRIPCION],Insumo[UND],,0),"")</f>
        <v>Un</v>
      </c>
      <c r="D513" s="31">
        <v>1</v>
      </c>
      <c r="E513" s="32">
        <f>IFERROR(_xlfn.XLOOKUP($B513,Insumo[DESCRIPCION],Insumo[VALOR],,0),"")</f>
        <v>6421.8</v>
      </c>
      <c r="F513" s="33"/>
      <c r="G513" s="34">
        <f>IFERROR(IF(F513&gt;=0,D513*E513*(1+F513/100),ABS(D513*E513/F513)),"")</f>
        <v>6421.8</v>
      </c>
      <c r="H513" s="43">
        <f>IFERROR(G513*E508,"")</f>
        <v>0</v>
      </c>
    </row>
    <row r="514" spans="1:11">
      <c r="A514" s="28"/>
      <c r="B514" s="29"/>
      <c r="C514" s="30" t="str">
        <f>IFERROR(_xlfn.XLOOKUP(B514,Insumo[DESCRIPCION],Insumo[UND],,0),"")</f>
        <v/>
      </c>
      <c r="D514" s="31"/>
      <c r="E514" s="32" t="str">
        <f>IFERROR(_xlfn.XLOOKUP($B514,Insumo[DESCRIPCION],Insumo[VALOR],,0),"")</f>
        <v/>
      </c>
      <c r="F514" s="33"/>
      <c r="G514" s="34" t="str">
        <f>IFERROR(IF(F514&gt;=0,D514*E514*(1+F514/100),ABS(D514*E514/F514)),"")</f>
        <v/>
      </c>
      <c r="H514" s="43" t="str">
        <f>IFERROR(G514*E508,"")</f>
        <v/>
      </c>
    </row>
    <row r="515" spans="1:11">
      <c r="A515" s="28"/>
      <c r="B515" s="29"/>
      <c r="C515" s="30" t="str">
        <f>IFERROR(_xlfn.XLOOKUP(B515,Insumo[DESCRIPCION],Insumo[UND],,0),"")</f>
        <v/>
      </c>
      <c r="D515" s="31"/>
      <c r="E515" s="32" t="str">
        <f>IFERROR(_xlfn.XLOOKUP($B515,Insumo[DESCRIPCION],Insumo[VALOR],,0),"")</f>
        <v/>
      </c>
      <c r="F515" s="33"/>
      <c r="G515" s="34" t="str">
        <f>IFERROR(IF(F515&gt;=0,D515*E515*(1+F515/100),ABS(D515*E515/F515)),"")</f>
        <v/>
      </c>
      <c r="H515" s="43" t="str">
        <f>IFERROR(G515*E508,"")</f>
        <v/>
      </c>
    </row>
    <row r="516" spans="1:11">
      <c r="A516" s="21"/>
      <c r="B516" s="22" t="s">
        <v>3731</v>
      </c>
      <c r="C516" s="23"/>
      <c r="D516" s="24"/>
      <c r="E516" s="25"/>
      <c r="F516" s="26"/>
      <c r="G516" s="27">
        <f>SUM(G517:G519)</f>
        <v>2110.4934666562508</v>
      </c>
      <c r="H516" s="27">
        <f>IFERROR(G516*E508,"")</f>
        <v>0</v>
      </c>
    </row>
    <row r="517" spans="1:11">
      <c r="A517" s="28"/>
      <c r="B517" s="29" t="s">
        <v>3626</v>
      </c>
      <c r="C517" s="30" t="str">
        <f>IFERROR(_xlfn.XLOOKUP(B517,Equipo[DESCRIPCION],Equipo[UND],,0),"")</f>
        <v>%MO</v>
      </c>
      <c r="D517" s="31">
        <v>0.05</v>
      </c>
      <c r="E517" s="32">
        <f>IF(C517="%MO",G523,IFERROR(_xlfn.XLOOKUP($B517,Equipo[DESCRIPCION],Equipo[VALOR],,0),""))</f>
        <v>42209.869333125011</v>
      </c>
      <c r="F517" s="33"/>
      <c r="G517" s="34">
        <f>IFERROR(IF(F517&gt;=0,D517*E517*(1+F517/100),ABS(D517*E517/F517)),"")</f>
        <v>2110.4934666562508</v>
      </c>
      <c r="H517" s="43">
        <f>IFERROR(G517*E508,"")</f>
        <v>0</v>
      </c>
    </row>
    <row r="518" spans="1:11">
      <c r="A518" s="28"/>
      <c r="B518" s="29"/>
      <c r="C518" s="30" t="str">
        <f>IFERROR(_xlfn.XLOOKUP(B518,Equipo[DESCRIPCION],Equipo[UND],,0),"")</f>
        <v/>
      </c>
      <c r="D518" s="31"/>
      <c r="E518" s="32" t="str">
        <f>IF(C518="%MO",G523,IFERROR(_xlfn.XLOOKUP($B518,Equipo[DESCRIPCION],Equipo[VALOR],,0),""))</f>
        <v/>
      </c>
      <c r="F518" s="33"/>
      <c r="G518" s="34" t="str">
        <f>IFERROR(IF(F518&gt;=0,D518*E518*(1+F518/100),ABS(D518*E518/F518)),"")</f>
        <v/>
      </c>
      <c r="H518" s="43" t="str">
        <f>IFERROR(G518*E508,"")</f>
        <v/>
      </c>
    </row>
    <row r="519" spans="1:11">
      <c r="A519" s="28"/>
      <c r="B519" s="29"/>
      <c r="C519" s="30" t="str">
        <f>IFERROR(_xlfn.XLOOKUP(B519,Equipo[DESCRIPCION],Equipo[UND],,0),"")</f>
        <v/>
      </c>
      <c r="D519" s="31"/>
      <c r="E519" s="32" t="str">
        <f>IF(C519="%MO",G523,IFERROR(_xlfn.XLOOKUP($B519,Equipo[DESCRIPCION],Equipo[VALOR],,0),""))</f>
        <v/>
      </c>
      <c r="F519" s="33"/>
      <c r="G519" s="34" t="str">
        <f>IFERROR(IF(F519&gt;=0,D519*E519*(1+F519/100),ABS(D519*E519/F519)),"")</f>
        <v/>
      </c>
      <c r="H519" s="43" t="str">
        <f>IFERROR(G519*E508,"")</f>
        <v/>
      </c>
    </row>
    <row r="520" spans="1:11">
      <c r="A520" s="21"/>
      <c r="B520" s="22" t="s">
        <v>2533</v>
      </c>
      <c r="C520" s="23"/>
      <c r="D520" s="24"/>
      <c r="E520" s="25"/>
      <c r="F520" s="26"/>
      <c r="G520" s="27">
        <f>SUM(G521:G522)</f>
        <v>0</v>
      </c>
      <c r="H520" s="27">
        <f>IFERROR(G520*E508,"")</f>
        <v>0</v>
      </c>
    </row>
    <row r="521" spans="1:11">
      <c r="A521" s="28"/>
      <c r="B521" s="29"/>
      <c r="C521" s="30" t="str">
        <f>IFERROR(_xlfn.XLOOKUP(B521,Transporte[DESCRIPCION],Transporte[UND],,0),"")</f>
        <v/>
      </c>
      <c r="D521" s="31"/>
      <c r="E521" s="32" t="str">
        <f>IFERROR(_xlfn.XLOOKUP($B521,Transporte[DESCRIPCION],Transporte[VALOR],,0),"")</f>
        <v/>
      </c>
      <c r="F521" s="33"/>
      <c r="G521" s="34" t="str">
        <f>IFERROR(IF(F521&gt;=0,D521*E521*(1+F521/100),ABS(D521*E521/F521)),"")</f>
        <v/>
      </c>
      <c r="H521" s="43" t="str">
        <f>IFERROR(G521*E508,"")</f>
        <v/>
      </c>
    </row>
    <row r="522" spans="1:11">
      <c r="A522" s="28"/>
      <c r="B522" s="29"/>
      <c r="C522" s="30" t="str">
        <f>IFERROR(_xlfn.XLOOKUP(B522,Transporte[DESCRIPCION],Transporte[UND],,0),"")</f>
        <v/>
      </c>
      <c r="D522" s="31"/>
      <c r="E522" s="32" t="str">
        <f>IFERROR(_xlfn.XLOOKUP($B522,Transporte[DESCRIPCION],Transporte[VALOR],,0),"")</f>
        <v/>
      </c>
      <c r="F522" s="33"/>
      <c r="G522" s="34" t="str">
        <f>IFERROR(IF(F522&gt;=0,D522*E522*(1+F522/100),ABS(D522*E522/F522)),"")</f>
        <v/>
      </c>
      <c r="H522" s="43" t="str">
        <f>IFERROR(G522*E508,"")</f>
        <v/>
      </c>
    </row>
    <row r="523" spans="1:11">
      <c r="A523" s="21"/>
      <c r="B523" s="22" t="s">
        <v>3732</v>
      </c>
      <c r="C523" s="23"/>
      <c r="D523" s="24"/>
      <c r="E523" s="25"/>
      <c r="F523" s="26"/>
      <c r="G523" s="27">
        <f>SUM(G524:G526)</f>
        <v>42209.869333125011</v>
      </c>
      <c r="H523" s="27">
        <f>IFERROR(G523*E508,"")</f>
        <v>0</v>
      </c>
    </row>
    <row r="524" spans="1:11">
      <c r="A524" s="28"/>
      <c r="B524" s="29" t="s">
        <v>3715</v>
      </c>
      <c r="C524" s="30" t="str">
        <f>IFERROR(_xlfn.XLOOKUP(B524,MObra[DESCRIPCION],MObra[UN],,0),"")</f>
        <v>día</v>
      </c>
      <c r="D524" s="31">
        <v>1</v>
      </c>
      <c r="E524" s="32">
        <f>IFERROR(_xlfn.XLOOKUP($B524,MObra[DESCRIPCION],MObra[VALOR UNIT],,0),"")</f>
        <v>337678.95466500008</v>
      </c>
      <c r="F524" s="33">
        <v>-8</v>
      </c>
      <c r="G524" s="34">
        <f>IFERROR(IF(F524&gt;=0,D524*E524*(1+F524/100),ABS(D524*E524/F524)),"")</f>
        <v>42209.869333125011</v>
      </c>
      <c r="H524" s="43">
        <f>IFERROR(G524*E508,"")</f>
        <v>0</v>
      </c>
    </row>
    <row r="525" spans="1:11">
      <c r="A525" s="28"/>
      <c r="B525" s="29"/>
      <c r="C525" s="30" t="str">
        <f>IFERROR(_xlfn.XLOOKUP(B525,MObra[DESCRIPCION],MObra[UN],,0),"")</f>
        <v/>
      </c>
      <c r="D525" s="31"/>
      <c r="E525" s="32" t="str">
        <f>IFERROR(_xlfn.XLOOKUP($B525,MObra[DESCRIPCION],MObra[VALOR UNIT],,0),"")</f>
        <v/>
      </c>
      <c r="F525" s="33"/>
      <c r="G525" s="34" t="str">
        <f>IFERROR(IF(F525&gt;=0,D525*E525*(1+F525/100),ABS(D525*E525/F525)),"")</f>
        <v/>
      </c>
      <c r="H525" s="43" t="str">
        <f>IFERROR(G525*E508,"")</f>
        <v/>
      </c>
    </row>
    <row r="526" spans="1:11">
      <c r="A526" s="35"/>
      <c r="B526" s="36"/>
      <c r="C526" s="37" t="str">
        <f>IFERROR(_xlfn.XLOOKUP(B526,MObra[DESCRIPCION],MObra[UN],,0),"")</f>
        <v/>
      </c>
      <c r="D526" s="38"/>
      <c r="E526" s="39" t="str">
        <f>IFERROR(_xlfn.XLOOKUP($B526,MObra[DESCRIPCION],MObra[VALOR UNIT],,0),"")</f>
        <v/>
      </c>
      <c r="F526" s="40"/>
      <c r="G526" s="41" t="str">
        <f>IFERROR(IF(F526&gt;=0,D526*E526*(1+F526/100),ABS(D526*E526/F526)),"")</f>
        <v/>
      </c>
      <c r="H526" s="42" t="str">
        <f>IFERROR(G526*E508,"")</f>
        <v/>
      </c>
    </row>
    <row r="528" spans="1:11" ht="25.5">
      <c r="A528" s="6" t="s">
        <v>2312</v>
      </c>
      <c r="B528" s="7" t="str">
        <f>VLOOKUP($A528,Presupuesto!$A:$D,2,FALSE())</f>
        <v>Luminaria LED hermética sobreponer/suspender 120-277 Vac, 50w, 6500k, 5300lm, VU&gt;= 30000h@l70, fp&gt;= 0.9</v>
      </c>
      <c r="C528" s="8" t="str">
        <f>VLOOKUP($A528,Presupuesto!$A:$D,3,FALSE())</f>
        <v>Un</v>
      </c>
      <c r="D528" s="9"/>
      <c r="E528" s="10">
        <f>VLOOKUP($A528,Presupuesto!$A:$D,4,FALSE())</f>
        <v>0</v>
      </c>
      <c r="F528" s="11" t="s">
        <v>2589</v>
      </c>
      <c r="G528" s="12">
        <f>SUM(G530:G546)/2</f>
        <v>263929.96279978123</v>
      </c>
      <c r="H528" s="13">
        <f>ROUND(SUM(H530:H546),0)/2</f>
        <v>0</v>
      </c>
      <c r="I528" s="10">
        <f>VLOOKUP(A528,Presupuesto!$A:$F,6,0)</f>
        <v>0</v>
      </c>
      <c r="J528" s="10">
        <f>+H528-I528</f>
        <v>0</v>
      </c>
      <c r="K528" s="46">
        <f>+H528-G528*E528</f>
        <v>0</v>
      </c>
    </row>
    <row r="529" spans="1:8">
      <c r="A529" s="14"/>
      <c r="B529" s="15" t="s">
        <v>2586</v>
      </c>
      <c r="C529" s="15" t="s">
        <v>5</v>
      </c>
      <c r="D529" s="16" t="s">
        <v>6</v>
      </c>
      <c r="E529" s="17" t="s">
        <v>7</v>
      </c>
      <c r="F529" s="18" t="s">
        <v>3728</v>
      </c>
      <c r="G529" s="19" t="s">
        <v>3729</v>
      </c>
      <c r="H529" s="20" t="s">
        <v>3797</v>
      </c>
    </row>
    <row r="530" spans="1:8">
      <c r="A530" s="21"/>
      <c r="B530" s="22" t="s">
        <v>3730</v>
      </c>
      <c r="C530" s="23"/>
      <c r="D530" s="24"/>
      <c r="E530" s="25"/>
      <c r="F530" s="26"/>
      <c r="G530" s="27">
        <f>SUM(G531:G535)</f>
        <v>219609.59999999998</v>
      </c>
      <c r="H530" s="27">
        <f>IFERROR(G530*E528,"")</f>
        <v>0</v>
      </c>
    </row>
    <row r="531" spans="1:8" ht="25.5">
      <c r="A531" s="28"/>
      <c r="B531" s="29" t="s">
        <v>3076</v>
      </c>
      <c r="C531" s="30" t="str">
        <f>IFERROR(_xlfn.XLOOKUP(B531,Insumo[DESCRIPCION],Insumo[UND],,0),"")</f>
        <v>Un</v>
      </c>
      <c r="D531" s="31">
        <v>1</v>
      </c>
      <c r="E531" s="32">
        <f>IFERROR(_xlfn.XLOOKUP($B531,Insumo[DESCRIPCION],Insumo[VALOR],,0),"")</f>
        <v>205800</v>
      </c>
      <c r="F531" s="33"/>
      <c r="G531" s="34">
        <f>IFERROR(IF(F531&gt;=0,D531*E531*(1+F531/100),ABS(D531*E531/F531)),"")</f>
        <v>205800</v>
      </c>
      <c r="H531" s="43">
        <f>IFERROR(G531*E528,"")</f>
        <v>0</v>
      </c>
    </row>
    <row r="532" spans="1:8">
      <c r="A532" s="28"/>
      <c r="B532" s="29" t="s">
        <v>2800</v>
      </c>
      <c r="C532" s="30" t="str">
        <f>IFERROR(_xlfn.XLOOKUP(B532,Insumo[DESCRIPCION],Insumo[UND],,0),"")</f>
        <v>M</v>
      </c>
      <c r="D532" s="31">
        <v>1</v>
      </c>
      <c r="E532" s="32">
        <f>IFERROR(_xlfn.XLOOKUP($B532,Insumo[DESCRIPCION],Insumo[VALOR],,0),"")</f>
        <v>7387.8</v>
      </c>
      <c r="F532" s="33"/>
      <c r="G532" s="34">
        <f>IFERROR(IF(F532&gt;=0,D532*E532*(1+F532/100),ABS(D532*E532/F532)),"")</f>
        <v>7387.8</v>
      </c>
      <c r="H532" s="43">
        <f>IFERROR(G532*E528,"")</f>
        <v>0</v>
      </c>
    </row>
    <row r="533" spans="1:8">
      <c r="A533" s="28"/>
      <c r="B533" s="29" t="s">
        <v>2855</v>
      </c>
      <c r="C533" s="30" t="str">
        <f>IFERROR(_xlfn.XLOOKUP(B533,Insumo[DESCRIPCION],Insumo[UND],,0),"")</f>
        <v>Un</v>
      </c>
      <c r="D533" s="31">
        <v>1</v>
      </c>
      <c r="E533" s="32">
        <f>IFERROR(_xlfn.XLOOKUP($B533,Insumo[DESCRIPCION],Insumo[VALOR],,0),"")</f>
        <v>6421.8</v>
      </c>
      <c r="F533" s="33"/>
      <c r="G533" s="34">
        <f>IFERROR(IF(F533&gt;=0,D533*E533*(1+F533/100),ABS(D533*E533/F533)),"")</f>
        <v>6421.8</v>
      </c>
      <c r="H533" s="43">
        <f>IFERROR(G533*E528,"")</f>
        <v>0</v>
      </c>
    </row>
    <row r="534" spans="1:8">
      <c r="A534" s="28"/>
      <c r="B534" s="29"/>
      <c r="C534" s="30" t="str">
        <f>IFERROR(_xlfn.XLOOKUP(B534,Insumo[DESCRIPCION],Insumo[UND],,0),"")</f>
        <v/>
      </c>
      <c r="D534" s="31"/>
      <c r="E534" s="32" t="str">
        <f>IFERROR(_xlfn.XLOOKUP($B534,Insumo[DESCRIPCION],Insumo[VALOR],,0),"")</f>
        <v/>
      </c>
      <c r="F534" s="33"/>
      <c r="G534" s="34" t="str">
        <f>IFERROR(IF(F534&gt;=0,D534*E534*(1+F534/100),ABS(D534*E534/F534)),"")</f>
        <v/>
      </c>
      <c r="H534" s="43" t="str">
        <f>IFERROR(G534*E528,"")</f>
        <v/>
      </c>
    </row>
    <row r="535" spans="1:8">
      <c r="A535" s="28"/>
      <c r="B535" s="29"/>
      <c r="C535" s="30" t="str">
        <f>IFERROR(_xlfn.XLOOKUP(B535,Insumo[DESCRIPCION],Insumo[UND],,0),"")</f>
        <v/>
      </c>
      <c r="D535" s="31"/>
      <c r="E535" s="32" t="str">
        <f>IFERROR(_xlfn.XLOOKUP($B535,Insumo[DESCRIPCION],Insumo[VALOR],,0),"")</f>
        <v/>
      </c>
      <c r="F535" s="33"/>
      <c r="G535" s="34" t="str">
        <f>IFERROR(IF(F535&gt;=0,D535*E535*(1+F535/100),ABS(D535*E535/F535)),"")</f>
        <v/>
      </c>
      <c r="H535" s="43" t="str">
        <f>IFERROR(G535*E528,"")</f>
        <v/>
      </c>
    </row>
    <row r="536" spans="1:8">
      <c r="A536" s="21"/>
      <c r="B536" s="22" t="s">
        <v>3731</v>
      </c>
      <c r="C536" s="23"/>
      <c r="D536" s="24"/>
      <c r="E536" s="25"/>
      <c r="F536" s="26"/>
      <c r="G536" s="27">
        <f>SUM(G537:G539)</f>
        <v>2110.4934666562508</v>
      </c>
      <c r="H536" s="27">
        <f>IFERROR(G536*E528,"")</f>
        <v>0</v>
      </c>
    </row>
    <row r="537" spans="1:8">
      <c r="A537" s="28"/>
      <c r="B537" s="29" t="s">
        <v>3626</v>
      </c>
      <c r="C537" s="30" t="str">
        <f>IFERROR(_xlfn.XLOOKUP(B537,Equipo[DESCRIPCION],Equipo[UND],,0),"")</f>
        <v>%MO</v>
      </c>
      <c r="D537" s="31">
        <v>0.05</v>
      </c>
      <c r="E537" s="32">
        <f>IF(C537="%MO",G543,IFERROR(_xlfn.XLOOKUP($B537,Equipo[DESCRIPCION],Equipo[VALOR],,0),""))</f>
        <v>42209.869333125011</v>
      </c>
      <c r="F537" s="33"/>
      <c r="G537" s="34">
        <f>IFERROR(IF(F537&gt;=0,D537*E537*(1+F537/100),ABS(D537*E537/F537)),"")</f>
        <v>2110.4934666562508</v>
      </c>
      <c r="H537" s="43">
        <f>IFERROR(G537*E528,"")</f>
        <v>0</v>
      </c>
    </row>
    <row r="538" spans="1:8">
      <c r="A538" s="28"/>
      <c r="B538" s="29"/>
      <c r="C538" s="30" t="str">
        <f>IFERROR(_xlfn.XLOOKUP(B538,Equipo[DESCRIPCION],Equipo[UND],,0),"")</f>
        <v/>
      </c>
      <c r="D538" s="31"/>
      <c r="E538" s="32" t="str">
        <f>IF(C538="%MO",G543,IFERROR(_xlfn.XLOOKUP($B538,Equipo[DESCRIPCION],Equipo[VALOR],,0),""))</f>
        <v/>
      </c>
      <c r="F538" s="33"/>
      <c r="G538" s="34" t="str">
        <f>IFERROR(IF(F538&gt;=0,D538*E538*(1+F538/100),ABS(D538*E538/F538)),"")</f>
        <v/>
      </c>
      <c r="H538" s="43" t="str">
        <f>IFERROR(G538*E528,"")</f>
        <v/>
      </c>
    </row>
    <row r="539" spans="1:8">
      <c r="A539" s="28"/>
      <c r="B539" s="29"/>
      <c r="C539" s="30" t="str">
        <f>IFERROR(_xlfn.XLOOKUP(B539,Equipo[DESCRIPCION],Equipo[UND],,0),"")</f>
        <v/>
      </c>
      <c r="D539" s="31"/>
      <c r="E539" s="32" t="str">
        <f>IF(C539="%MO",G543,IFERROR(_xlfn.XLOOKUP($B539,Equipo[DESCRIPCION],Equipo[VALOR],,0),""))</f>
        <v/>
      </c>
      <c r="F539" s="33"/>
      <c r="G539" s="34" t="str">
        <f>IFERROR(IF(F539&gt;=0,D539*E539*(1+F539/100),ABS(D539*E539/F539)),"")</f>
        <v/>
      </c>
      <c r="H539" s="43" t="str">
        <f>IFERROR(G539*E528,"")</f>
        <v/>
      </c>
    </row>
    <row r="540" spans="1:8">
      <c r="A540" s="21"/>
      <c r="B540" s="22" t="s">
        <v>2533</v>
      </c>
      <c r="C540" s="23"/>
      <c r="D540" s="24"/>
      <c r="E540" s="25"/>
      <c r="F540" s="26"/>
      <c r="G540" s="27">
        <f>SUM(G541:G542)</f>
        <v>0</v>
      </c>
      <c r="H540" s="27">
        <f>IFERROR(G540*E528,"")</f>
        <v>0</v>
      </c>
    </row>
    <row r="541" spans="1:8">
      <c r="A541" s="28"/>
      <c r="B541" s="29"/>
      <c r="C541" s="30" t="str">
        <f>IFERROR(_xlfn.XLOOKUP(B541,Transporte[DESCRIPCION],Transporte[UND],,0),"")</f>
        <v/>
      </c>
      <c r="D541" s="31"/>
      <c r="E541" s="32" t="str">
        <f>IFERROR(_xlfn.XLOOKUP($B541,Transporte[DESCRIPCION],Transporte[VALOR],,0),"")</f>
        <v/>
      </c>
      <c r="F541" s="33"/>
      <c r="G541" s="34" t="str">
        <f>IFERROR(IF(F541&gt;=0,D541*E541*(1+F541/100),ABS(D541*E541/F541)),"")</f>
        <v/>
      </c>
      <c r="H541" s="43" t="str">
        <f>IFERROR(G541*E528,"")</f>
        <v/>
      </c>
    </row>
    <row r="542" spans="1:8">
      <c r="A542" s="28"/>
      <c r="B542" s="29"/>
      <c r="C542" s="30" t="str">
        <f>IFERROR(_xlfn.XLOOKUP(B542,Transporte[DESCRIPCION],Transporte[UND],,0),"")</f>
        <v/>
      </c>
      <c r="D542" s="31"/>
      <c r="E542" s="32" t="str">
        <f>IFERROR(_xlfn.XLOOKUP($B542,Transporte[DESCRIPCION],Transporte[VALOR],,0),"")</f>
        <v/>
      </c>
      <c r="F542" s="33"/>
      <c r="G542" s="34" t="str">
        <f>IFERROR(IF(F542&gt;=0,D542*E542*(1+F542/100),ABS(D542*E542/F542)),"")</f>
        <v/>
      </c>
      <c r="H542" s="43" t="str">
        <f>IFERROR(G542*E528,"")</f>
        <v/>
      </c>
    </row>
    <row r="543" spans="1:8">
      <c r="A543" s="21"/>
      <c r="B543" s="22" t="s">
        <v>3732</v>
      </c>
      <c r="C543" s="23"/>
      <c r="D543" s="24"/>
      <c r="E543" s="25"/>
      <c r="F543" s="26"/>
      <c r="G543" s="27">
        <f>SUM(G544:G546)</f>
        <v>42209.869333125011</v>
      </c>
      <c r="H543" s="27">
        <f>IFERROR(G543*E528,"")</f>
        <v>0</v>
      </c>
    </row>
    <row r="544" spans="1:8">
      <c r="A544" s="28"/>
      <c r="B544" s="29" t="s">
        <v>3715</v>
      </c>
      <c r="C544" s="30" t="str">
        <f>IFERROR(_xlfn.XLOOKUP(B544,MObra[DESCRIPCION],MObra[UN],,0),"")</f>
        <v>día</v>
      </c>
      <c r="D544" s="31">
        <v>1</v>
      </c>
      <c r="E544" s="32">
        <f>IFERROR(_xlfn.XLOOKUP($B544,MObra[DESCRIPCION],MObra[VALOR UNIT],,0),"")</f>
        <v>337678.95466500008</v>
      </c>
      <c r="F544" s="33">
        <v>-8</v>
      </c>
      <c r="G544" s="34">
        <f>IFERROR(IF(F544&gt;=0,D544*E544*(1+F544/100),ABS(D544*E544/F544)),"")</f>
        <v>42209.869333125011</v>
      </c>
      <c r="H544" s="43">
        <f>IFERROR(G544*E528,"")</f>
        <v>0</v>
      </c>
    </row>
    <row r="545" spans="1:11">
      <c r="A545" s="28"/>
      <c r="B545" s="29"/>
      <c r="C545" s="30" t="str">
        <f>IFERROR(_xlfn.XLOOKUP(B545,MObra[DESCRIPCION],MObra[UN],,0),"")</f>
        <v/>
      </c>
      <c r="D545" s="31"/>
      <c r="E545" s="32" t="str">
        <f>IFERROR(_xlfn.XLOOKUP($B545,MObra[DESCRIPCION],MObra[VALOR UNIT],,0),"")</f>
        <v/>
      </c>
      <c r="F545" s="33"/>
      <c r="G545" s="34" t="str">
        <f>IFERROR(IF(F545&gt;=0,D545*E545*(1+F545/100),ABS(D545*E545/F545)),"")</f>
        <v/>
      </c>
      <c r="H545" s="43" t="str">
        <f>IFERROR(G545*E528,"")</f>
        <v/>
      </c>
    </row>
    <row r="546" spans="1:11">
      <c r="A546" s="35"/>
      <c r="B546" s="36"/>
      <c r="C546" s="37" t="str">
        <f>IFERROR(_xlfn.XLOOKUP(B546,MObra[DESCRIPCION],MObra[UN],,0),"")</f>
        <v/>
      </c>
      <c r="D546" s="38"/>
      <c r="E546" s="39" t="str">
        <f>IFERROR(_xlfn.XLOOKUP($B546,MObra[DESCRIPCION],MObra[VALOR UNIT],,0),"")</f>
        <v/>
      </c>
      <c r="F546" s="40"/>
      <c r="G546" s="41" t="str">
        <f>IFERROR(IF(F546&gt;=0,D546*E546*(1+F546/100),ABS(D546*E546/F546)),"")</f>
        <v/>
      </c>
      <c r="H546" s="42" t="str">
        <f>IFERROR(G546*E528,"")</f>
        <v/>
      </c>
    </row>
    <row r="547" spans="1:11" ht="12.75" customHeight="1" thickTop="1" thickBot="1"/>
    <row r="548" spans="1:11" ht="26.25" thickTop="1" thickBot="1">
      <c r="A548" s="6" t="s">
        <v>2314</v>
      </c>
      <c r="B548" s="7" t="str">
        <f>VLOOKUP($A548,Presupuesto!$A:$D,2,FALSE())</f>
        <v>Luminaria LED High Bay suspender cuadrada 120-277 Vac, 110w, 15200 lm 5000 k</v>
      </c>
      <c r="C548" s="8" t="str">
        <f>VLOOKUP($A548,Presupuesto!$A:$D,3,FALSE())</f>
        <v>Un</v>
      </c>
      <c r="D548" s="9"/>
      <c r="E548" s="10">
        <f>VLOOKUP($A548,Presupuesto!$A:$D,4,FALSE())</f>
        <v>0</v>
      </c>
      <c r="F548" s="11" t="s">
        <v>2589</v>
      </c>
      <c r="G548" s="12">
        <f>SUM(G550:G566)/2</f>
        <v>539126.54973309382</v>
      </c>
      <c r="H548" s="13">
        <f>ROUND(SUM(H550:H566),0)/2</f>
        <v>0</v>
      </c>
      <c r="I548" s="10">
        <f>VLOOKUP(A548,Presupuesto!$A:$F,6,0)</f>
        <v>0</v>
      </c>
      <c r="J548" s="10">
        <f>+H548-I548</f>
        <v>0</v>
      </c>
      <c r="K548" s="46">
        <f>+H548-G548*E548</f>
        <v>0</v>
      </c>
    </row>
    <row r="549" spans="1:11">
      <c r="A549" s="14"/>
      <c r="B549" s="15" t="s">
        <v>2586</v>
      </c>
      <c r="C549" s="15" t="s">
        <v>5</v>
      </c>
      <c r="D549" s="16" t="s">
        <v>6</v>
      </c>
      <c r="E549" s="17" t="s">
        <v>7</v>
      </c>
      <c r="F549" s="18" t="s">
        <v>3728</v>
      </c>
      <c r="G549" s="19" t="s">
        <v>3729</v>
      </c>
      <c r="H549" s="20" t="s">
        <v>3797</v>
      </c>
    </row>
    <row r="550" spans="1:11">
      <c r="A550" s="21"/>
      <c r="B550" s="22" t="s">
        <v>3730</v>
      </c>
      <c r="C550" s="23"/>
      <c r="D550" s="24"/>
      <c r="E550" s="25"/>
      <c r="F550" s="26"/>
      <c r="G550" s="27">
        <f>SUM(G551:G555)</f>
        <v>490585.19999999995</v>
      </c>
      <c r="H550" s="27">
        <f>IFERROR(G550*E548,"")</f>
        <v>0</v>
      </c>
    </row>
    <row r="551" spans="1:11">
      <c r="A551" s="28"/>
      <c r="B551" s="29" t="s">
        <v>3077</v>
      </c>
      <c r="C551" s="30" t="str">
        <f>IFERROR(_xlfn.XLOOKUP(B551,Insumo[DESCRIPCION],Insumo[UND],,0),"")</f>
        <v>Un</v>
      </c>
      <c r="D551" s="31">
        <v>1</v>
      </c>
      <c r="E551" s="32">
        <f>IFERROR(_xlfn.XLOOKUP($B551,Insumo[DESCRIPCION],Insumo[VALOR],,0),"")</f>
        <v>456750</v>
      </c>
      <c r="F551" s="33"/>
      <c r="G551" s="34">
        <f>IFERROR(IF(F551&gt;=0,D551*E551*(1+F551/100),ABS(D551*E551/F551)),"")</f>
        <v>456750</v>
      </c>
      <c r="H551" s="43">
        <f>IFERROR(G551*E548,"")</f>
        <v>0</v>
      </c>
    </row>
    <row r="552" spans="1:11">
      <c r="A552" s="28"/>
      <c r="B552" s="29" t="s">
        <v>2800</v>
      </c>
      <c r="C552" s="30" t="str">
        <f>IFERROR(_xlfn.XLOOKUP(B552,Insumo[DESCRIPCION],Insumo[UND],,0),"")</f>
        <v>M</v>
      </c>
      <c r="D552" s="31">
        <v>1</v>
      </c>
      <c r="E552" s="32">
        <f>IFERROR(_xlfn.XLOOKUP($B552,Insumo[DESCRIPCION],Insumo[VALOR],,0),"")</f>
        <v>7387.8</v>
      </c>
      <c r="F552" s="33"/>
      <c r="G552" s="34">
        <f>IFERROR(IF(F552&gt;=0,D552*E552*(1+F552/100),ABS(D552*E552/F552)),"")</f>
        <v>7387.8</v>
      </c>
      <c r="H552" s="43">
        <f>IFERROR(G552*E548,"")</f>
        <v>0</v>
      </c>
    </row>
    <row r="553" spans="1:11">
      <c r="A553" s="28"/>
      <c r="B553" s="29" t="s">
        <v>2855</v>
      </c>
      <c r="C553" s="30" t="str">
        <f>IFERROR(_xlfn.XLOOKUP(B553,Insumo[DESCRIPCION],Insumo[UND],,0),"")</f>
        <v>Un</v>
      </c>
      <c r="D553" s="31">
        <v>1</v>
      </c>
      <c r="E553" s="32">
        <f>IFERROR(_xlfn.XLOOKUP($B553,Insumo[DESCRIPCION],Insumo[VALOR],,0),"")</f>
        <v>6421.8</v>
      </c>
      <c r="F553" s="33"/>
      <c r="G553" s="34">
        <f>IFERROR(IF(F553&gt;=0,D553*E553*(1+F553/100),ABS(D553*E553/F553)),"")</f>
        <v>6421.8</v>
      </c>
      <c r="H553" s="43">
        <f>IFERROR(G553*E548,"")</f>
        <v>0</v>
      </c>
    </row>
    <row r="554" spans="1:11">
      <c r="A554" s="28"/>
      <c r="B554" s="29" t="s">
        <v>2995</v>
      </c>
      <c r="C554" s="30" t="str">
        <f>IFERROR(_xlfn.XLOOKUP(B554,Insumo[DESCRIPCION],Insumo[UND],,0),"")</f>
        <v>Un</v>
      </c>
      <c r="D554" s="31">
        <v>1</v>
      </c>
      <c r="E554" s="32">
        <f>IFERROR(_xlfn.XLOOKUP($B554,Insumo[DESCRIPCION],Insumo[VALOR],,0),"")</f>
        <v>10479</v>
      </c>
      <c r="F554" s="33"/>
      <c r="G554" s="34">
        <f>IFERROR(IF(F554&gt;=0,D554*E554*(1+F554/100),ABS(D554*E554/F554)),"")</f>
        <v>10479</v>
      </c>
      <c r="H554" s="43">
        <f>IFERROR(G554*E548,"")</f>
        <v>0</v>
      </c>
    </row>
    <row r="555" spans="1:11">
      <c r="A555" s="28"/>
      <c r="B555" s="29" t="s">
        <v>3200</v>
      </c>
      <c r="C555" s="30" t="str">
        <f>IFERROR(_xlfn.XLOOKUP(B555,Insumo[DESCRIPCION],Insumo[UND],,0),"")</f>
        <v>Un</v>
      </c>
      <c r="D555" s="31">
        <v>4</v>
      </c>
      <c r="E555" s="32">
        <f>IFERROR(_xlfn.XLOOKUP($B555,Insumo[DESCRIPCION],Insumo[VALOR],,0),"")</f>
        <v>2386.65</v>
      </c>
      <c r="F555" s="33"/>
      <c r="G555" s="34">
        <f>IFERROR(IF(F555&gt;=0,D555*E555*(1+F555/100),ABS(D555*E555/F555)),"")</f>
        <v>9546.6</v>
      </c>
      <c r="H555" s="43">
        <f>IFERROR(G555*E548,"")</f>
        <v>0</v>
      </c>
    </row>
    <row r="556" spans="1:11">
      <c r="A556" s="21"/>
      <c r="B556" s="22" t="s">
        <v>3731</v>
      </c>
      <c r="C556" s="23"/>
      <c r="D556" s="24"/>
      <c r="E556" s="25"/>
      <c r="F556" s="26"/>
      <c r="G556" s="27">
        <f>SUM(G557:G559)</f>
        <v>6331.480399968752</v>
      </c>
      <c r="H556" s="27">
        <f>IFERROR(G556*E548,"")</f>
        <v>0</v>
      </c>
    </row>
    <row r="557" spans="1:11">
      <c r="A557" s="28"/>
      <c r="B557" s="29" t="s">
        <v>3573</v>
      </c>
      <c r="C557" s="30" t="str">
        <f>IFERROR(_xlfn.XLOOKUP(B557,Equipo[DESCRIPCION],Equipo[UND],,0),"")</f>
        <v>%MO</v>
      </c>
      <c r="D557" s="31">
        <v>0.1</v>
      </c>
      <c r="E557" s="32">
        <f>IF(C557="%MO",G563,IFERROR(_xlfn.XLOOKUP($B557,Equipo[DESCRIPCION],Equipo[VALOR],,0),""))</f>
        <v>42209.869333125011</v>
      </c>
      <c r="F557" s="33"/>
      <c r="G557" s="34">
        <f>IFERROR(IF(F557&gt;=0,D557*E557*(1+F557/100),ABS(D557*E557/F557)),"")</f>
        <v>4220.9869333125016</v>
      </c>
      <c r="H557" s="43">
        <f>IFERROR(G557*E548,"")</f>
        <v>0</v>
      </c>
    </row>
    <row r="558" spans="1:11">
      <c r="A558" s="28"/>
      <c r="B558" s="29" t="s">
        <v>3626</v>
      </c>
      <c r="C558" s="30" t="str">
        <f>IFERROR(_xlfn.XLOOKUP(B558,Equipo[DESCRIPCION],Equipo[UND],,0),"")</f>
        <v>%MO</v>
      </c>
      <c r="D558" s="31">
        <v>0.05</v>
      </c>
      <c r="E558" s="32">
        <f>IF(C558="%MO",G563,IFERROR(_xlfn.XLOOKUP($B558,Equipo[DESCRIPCION],Equipo[VALOR],,0),""))</f>
        <v>42209.869333125011</v>
      </c>
      <c r="F558" s="33"/>
      <c r="G558" s="34">
        <f>IFERROR(IF(F558&gt;=0,D558*E558*(1+F558/100),ABS(D558*E558/F558)),"")</f>
        <v>2110.4934666562508</v>
      </c>
      <c r="H558" s="43">
        <f>IFERROR(G558*E548,"")</f>
        <v>0</v>
      </c>
    </row>
    <row r="559" spans="1:11">
      <c r="A559" s="28"/>
      <c r="B559" s="29"/>
      <c r="C559" s="30" t="str">
        <f>IFERROR(_xlfn.XLOOKUP(B559,Equipo[DESCRIPCION],Equipo[UND],,0),"")</f>
        <v/>
      </c>
      <c r="D559" s="31"/>
      <c r="E559" s="32" t="str">
        <f>IF(C559="%MO",G563,IFERROR(_xlfn.XLOOKUP($B559,Equipo[DESCRIPCION],Equipo[VALOR],,0),""))</f>
        <v/>
      </c>
      <c r="F559" s="33"/>
      <c r="G559" s="34" t="str">
        <f>IFERROR(IF(F559&gt;=0,D559*E559*(1+F559/100),ABS(D559*E559/F559)),"")</f>
        <v/>
      </c>
      <c r="H559" s="43" t="str">
        <f>IFERROR(G559*E548,"")</f>
        <v/>
      </c>
    </row>
    <row r="560" spans="1:11">
      <c r="A560" s="21"/>
      <c r="B560" s="22" t="s">
        <v>2533</v>
      </c>
      <c r="C560" s="23"/>
      <c r="D560" s="24"/>
      <c r="E560" s="25"/>
      <c r="F560" s="26"/>
      <c r="G560" s="27">
        <f>SUM(G561:G562)</f>
        <v>0</v>
      </c>
      <c r="H560" s="27">
        <f>IFERROR(G560*E548,"")</f>
        <v>0</v>
      </c>
    </row>
    <row r="561" spans="1:11">
      <c r="A561" s="28"/>
      <c r="B561" s="29"/>
      <c r="C561" s="30" t="str">
        <f>IFERROR(_xlfn.XLOOKUP(B561,Transporte[DESCRIPCION],Transporte[UND],,0),"")</f>
        <v/>
      </c>
      <c r="D561" s="31"/>
      <c r="E561" s="32" t="str">
        <f>IFERROR(_xlfn.XLOOKUP($B561,Transporte[DESCRIPCION],Transporte[VALOR],,0),"")</f>
        <v/>
      </c>
      <c r="F561" s="33"/>
      <c r="G561" s="34" t="str">
        <f>IFERROR(IF(F561&gt;=0,D561*E561*(1+F561/100),ABS(D561*E561/F561)),"")</f>
        <v/>
      </c>
      <c r="H561" s="43" t="str">
        <f>IFERROR(G561*E548,"")</f>
        <v/>
      </c>
    </row>
    <row r="562" spans="1:11">
      <c r="A562" s="28"/>
      <c r="B562" s="29"/>
      <c r="C562" s="30" t="str">
        <f>IFERROR(_xlfn.XLOOKUP(B562,Transporte[DESCRIPCION],Transporte[UND],,0),"")</f>
        <v/>
      </c>
      <c r="D562" s="31"/>
      <c r="E562" s="32" t="str">
        <f>IFERROR(_xlfn.XLOOKUP($B562,Transporte[DESCRIPCION],Transporte[VALOR],,0),"")</f>
        <v/>
      </c>
      <c r="F562" s="33"/>
      <c r="G562" s="34" t="str">
        <f>IFERROR(IF(F562&gt;=0,D562*E562*(1+F562/100),ABS(D562*E562/F562)),"")</f>
        <v/>
      </c>
      <c r="H562" s="43" t="str">
        <f>IFERROR(G562*E548,"")</f>
        <v/>
      </c>
    </row>
    <row r="563" spans="1:11">
      <c r="A563" s="21"/>
      <c r="B563" s="22" t="s">
        <v>3732</v>
      </c>
      <c r="C563" s="23"/>
      <c r="D563" s="24"/>
      <c r="E563" s="25"/>
      <c r="F563" s="26"/>
      <c r="G563" s="27">
        <f>SUM(G564:G566)</f>
        <v>42209.869333125011</v>
      </c>
      <c r="H563" s="27">
        <f>IFERROR(G563*E548,"")</f>
        <v>0</v>
      </c>
    </row>
    <row r="564" spans="1:11">
      <c r="A564" s="28"/>
      <c r="B564" s="29" t="s">
        <v>3715</v>
      </c>
      <c r="C564" s="30" t="str">
        <f>IFERROR(_xlfn.XLOOKUP(B564,MObra[DESCRIPCION],MObra[UN],,0),"")</f>
        <v>día</v>
      </c>
      <c r="D564" s="31">
        <v>1</v>
      </c>
      <c r="E564" s="32">
        <f>IFERROR(_xlfn.XLOOKUP($B564,MObra[DESCRIPCION],MObra[VALOR UNIT],,0),"")</f>
        <v>337678.95466500008</v>
      </c>
      <c r="F564" s="33">
        <v>-8</v>
      </c>
      <c r="G564" s="34">
        <f>IFERROR(IF(F564&gt;=0,D564*E564*(1+F564/100),ABS(D564*E564/F564)),"")</f>
        <v>42209.869333125011</v>
      </c>
      <c r="H564" s="43">
        <f>IFERROR(G564*E548,"")</f>
        <v>0</v>
      </c>
    </row>
    <row r="565" spans="1:11">
      <c r="A565" s="28"/>
      <c r="B565" s="29"/>
      <c r="C565" s="30" t="str">
        <f>IFERROR(_xlfn.XLOOKUP(B565,MObra[DESCRIPCION],MObra[UN],,0),"")</f>
        <v/>
      </c>
      <c r="D565" s="31"/>
      <c r="E565" s="32" t="str">
        <f>IFERROR(_xlfn.XLOOKUP($B565,MObra[DESCRIPCION],MObra[VALOR UNIT],,0),"")</f>
        <v/>
      </c>
      <c r="F565" s="33"/>
      <c r="G565" s="34" t="str">
        <f>IFERROR(IF(F565&gt;=0,D565*E565*(1+F565/100),ABS(D565*E565/F565)),"")</f>
        <v/>
      </c>
      <c r="H565" s="43" t="str">
        <f>IFERROR(G565*E548,"")</f>
        <v/>
      </c>
    </row>
    <row r="566" spans="1:11">
      <c r="A566" s="35"/>
      <c r="B566" s="36"/>
      <c r="C566" s="37" t="str">
        <f>IFERROR(_xlfn.XLOOKUP(B566,MObra[DESCRIPCION],MObra[UN],,0),"")</f>
        <v/>
      </c>
      <c r="D566" s="38"/>
      <c r="E566" s="39" t="str">
        <f>IFERROR(_xlfn.XLOOKUP($B566,MObra[DESCRIPCION],MObra[VALOR UNIT],,0),"")</f>
        <v/>
      </c>
      <c r="F566" s="40"/>
      <c r="G566" s="41" t="str">
        <f>IFERROR(IF(F566&gt;=0,D566*E566*(1+F566/100),ABS(D566*E566/F566)),"")</f>
        <v/>
      </c>
      <c r="H566" s="42" t="str">
        <f>IFERROR(G566*E548,"")</f>
        <v/>
      </c>
    </row>
    <row r="568" spans="1:11" ht="25.5">
      <c r="A568" s="6" t="s">
        <v>2316</v>
      </c>
      <c r="B568" s="7" t="str">
        <f>VLOOKUP($A568,Presupuesto!$A:$D,2,FALSE())</f>
        <v>Luminaria LED High Bay suspender cuadrada 120-277 Vac, 165w, 22400 lm 5000 k</v>
      </c>
      <c r="C568" s="8" t="str">
        <f>VLOOKUP($A568,Presupuesto!$A:$D,3,FALSE())</f>
        <v>Un</v>
      </c>
      <c r="D568" s="9"/>
      <c r="E568" s="10">
        <f>VLOOKUP($A568,Presupuesto!$A:$D,4,FALSE())</f>
        <v>0</v>
      </c>
      <c r="F568" s="11" t="s">
        <v>2589</v>
      </c>
      <c r="G568" s="12">
        <f>SUM(G570:G586)/2</f>
        <v>629426.54973309394</v>
      </c>
      <c r="H568" s="13">
        <f>ROUND(SUM(H570:H586),0)/2</f>
        <v>0</v>
      </c>
      <c r="I568" s="10">
        <f>VLOOKUP(A568,Presupuesto!$A:$F,6,0)</f>
        <v>0</v>
      </c>
      <c r="J568" s="10">
        <f>+H568-I568</f>
        <v>0</v>
      </c>
      <c r="K568" s="46">
        <f>+H568-G568*E568</f>
        <v>0</v>
      </c>
    </row>
    <row r="569" spans="1:11">
      <c r="A569" s="14"/>
      <c r="B569" s="15" t="s">
        <v>2586</v>
      </c>
      <c r="C569" s="15" t="s">
        <v>5</v>
      </c>
      <c r="D569" s="16" t="s">
        <v>6</v>
      </c>
      <c r="E569" s="17" t="s">
        <v>7</v>
      </c>
      <c r="F569" s="18" t="s">
        <v>3728</v>
      </c>
      <c r="G569" s="19" t="s">
        <v>3729</v>
      </c>
      <c r="H569" s="20" t="s">
        <v>3797</v>
      </c>
    </row>
    <row r="570" spans="1:11">
      <c r="A570" s="21"/>
      <c r="B570" s="22" t="s">
        <v>3730</v>
      </c>
      <c r="C570" s="23"/>
      <c r="D570" s="24"/>
      <c r="E570" s="25"/>
      <c r="F570" s="26"/>
      <c r="G570" s="27">
        <f>SUM(G571:G575)</f>
        <v>580885.20000000007</v>
      </c>
      <c r="H570" s="27">
        <f>IFERROR(G570*E568,"")</f>
        <v>0</v>
      </c>
    </row>
    <row r="571" spans="1:11">
      <c r="A571" s="28"/>
      <c r="B571" s="29" t="s">
        <v>3078</v>
      </c>
      <c r="C571" s="30" t="str">
        <f>IFERROR(_xlfn.XLOOKUP(B571,Insumo[DESCRIPCION],Insumo[UND],,0),"")</f>
        <v>Un</v>
      </c>
      <c r="D571" s="31">
        <v>1</v>
      </c>
      <c r="E571" s="32">
        <f>IFERROR(_xlfn.XLOOKUP($B571,Insumo[DESCRIPCION],Insumo[VALOR],,0),"")</f>
        <v>547050</v>
      </c>
      <c r="F571" s="33"/>
      <c r="G571" s="34">
        <f>IFERROR(IF(F571&gt;=0,D571*E571*(1+F571/100),ABS(D571*E571/F571)),"")</f>
        <v>547050</v>
      </c>
      <c r="H571" s="43">
        <f>IFERROR(G571*E568,"")</f>
        <v>0</v>
      </c>
    </row>
    <row r="572" spans="1:11">
      <c r="A572" s="28"/>
      <c r="B572" s="29" t="s">
        <v>2800</v>
      </c>
      <c r="C572" s="30" t="str">
        <f>IFERROR(_xlfn.XLOOKUP(B572,Insumo[DESCRIPCION],Insumo[UND],,0),"")</f>
        <v>M</v>
      </c>
      <c r="D572" s="31">
        <v>1</v>
      </c>
      <c r="E572" s="32">
        <f>IFERROR(_xlfn.XLOOKUP($B572,Insumo[DESCRIPCION],Insumo[VALOR],,0),"")</f>
        <v>7387.8</v>
      </c>
      <c r="F572" s="33"/>
      <c r="G572" s="34">
        <f>IFERROR(IF(F572&gt;=0,D572*E572*(1+F572/100),ABS(D572*E572/F572)),"")</f>
        <v>7387.8</v>
      </c>
      <c r="H572" s="43">
        <f>IFERROR(G572*E568,"")</f>
        <v>0</v>
      </c>
    </row>
    <row r="573" spans="1:11">
      <c r="A573" s="28"/>
      <c r="B573" s="29" t="s">
        <v>2855</v>
      </c>
      <c r="C573" s="30" t="str">
        <f>IFERROR(_xlfn.XLOOKUP(B573,Insumo[DESCRIPCION],Insumo[UND],,0),"")</f>
        <v>Un</v>
      </c>
      <c r="D573" s="31">
        <v>1</v>
      </c>
      <c r="E573" s="32">
        <f>IFERROR(_xlfn.XLOOKUP($B573,Insumo[DESCRIPCION],Insumo[VALOR],,0),"")</f>
        <v>6421.8</v>
      </c>
      <c r="F573" s="33"/>
      <c r="G573" s="34">
        <f>IFERROR(IF(F573&gt;=0,D573*E573*(1+F573/100),ABS(D573*E573/F573)),"")</f>
        <v>6421.8</v>
      </c>
      <c r="H573" s="43">
        <f>IFERROR(G573*E568,"")</f>
        <v>0</v>
      </c>
    </row>
    <row r="574" spans="1:11">
      <c r="A574" s="28"/>
      <c r="B574" s="29" t="s">
        <v>2995</v>
      </c>
      <c r="C574" s="30" t="str">
        <f>IFERROR(_xlfn.XLOOKUP(B574,Insumo[DESCRIPCION],Insumo[UND],,0),"")</f>
        <v>Un</v>
      </c>
      <c r="D574" s="31">
        <v>1</v>
      </c>
      <c r="E574" s="32">
        <f>IFERROR(_xlfn.XLOOKUP($B574,Insumo[DESCRIPCION],Insumo[VALOR],,0),"")</f>
        <v>10479</v>
      </c>
      <c r="F574" s="33"/>
      <c r="G574" s="34">
        <f>IFERROR(IF(F574&gt;=0,D574*E574*(1+F574/100),ABS(D574*E574/F574)),"")</f>
        <v>10479</v>
      </c>
      <c r="H574" s="43">
        <f>IFERROR(G574*E568,"")</f>
        <v>0</v>
      </c>
    </row>
    <row r="575" spans="1:11">
      <c r="A575" s="28"/>
      <c r="B575" s="29" t="s">
        <v>3200</v>
      </c>
      <c r="C575" s="30" t="str">
        <f>IFERROR(_xlfn.XLOOKUP(B575,Insumo[DESCRIPCION],Insumo[UND],,0),"")</f>
        <v>Un</v>
      </c>
      <c r="D575" s="31">
        <v>4</v>
      </c>
      <c r="E575" s="32">
        <f>IFERROR(_xlfn.XLOOKUP($B575,Insumo[DESCRIPCION],Insumo[VALOR],,0),"")</f>
        <v>2386.65</v>
      </c>
      <c r="F575" s="33"/>
      <c r="G575" s="34">
        <f>IFERROR(IF(F575&gt;=0,D575*E575*(1+F575/100),ABS(D575*E575/F575)),"")</f>
        <v>9546.6</v>
      </c>
      <c r="H575" s="43">
        <f>IFERROR(G575*E568,"")</f>
        <v>0</v>
      </c>
    </row>
    <row r="576" spans="1:11">
      <c r="A576" s="21"/>
      <c r="B576" s="22" t="s">
        <v>3731</v>
      </c>
      <c r="C576" s="23"/>
      <c r="D576" s="24"/>
      <c r="E576" s="25"/>
      <c r="F576" s="26"/>
      <c r="G576" s="27">
        <f>SUM(G577:G579)</f>
        <v>6331.480399968752</v>
      </c>
      <c r="H576" s="27">
        <f>IFERROR(G576*E568,"")</f>
        <v>0</v>
      </c>
    </row>
    <row r="577" spans="1:11">
      <c r="A577" s="28"/>
      <c r="B577" s="29" t="s">
        <v>3573</v>
      </c>
      <c r="C577" s="30" t="str">
        <f>IFERROR(_xlfn.XLOOKUP(B577,Equipo[DESCRIPCION],Equipo[UND],,0),"")</f>
        <v>%MO</v>
      </c>
      <c r="D577" s="31">
        <v>0.1</v>
      </c>
      <c r="E577" s="32">
        <f>IF(C577="%MO",G583,IFERROR(_xlfn.XLOOKUP($B577,Equipo[DESCRIPCION],Equipo[VALOR],,0),""))</f>
        <v>42209.869333125011</v>
      </c>
      <c r="F577" s="33"/>
      <c r="G577" s="34">
        <f>IFERROR(IF(F577&gt;=0,D577*E577*(1+F577/100),ABS(D577*E577/F577)),"")</f>
        <v>4220.9869333125016</v>
      </c>
      <c r="H577" s="43">
        <f>IFERROR(G577*E568,"")</f>
        <v>0</v>
      </c>
    </row>
    <row r="578" spans="1:11">
      <c r="A578" s="28"/>
      <c r="B578" s="29" t="s">
        <v>3626</v>
      </c>
      <c r="C578" s="30" t="str">
        <f>IFERROR(_xlfn.XLOOKUP(B578,Equipo[DESCRIPCION],Equipo[UND],,0),"")</f>
        <v>%MO</v>
      </c>
      <c r="D578" s="31">
        <v>0.05</v>
      </c>
      <c r="E578" s="32">
        <f>IF(C578="%MO",G583,IFERROR(_xlfn.XLOOKUP($B578,Equipo[DESCRIPCION],Equipo[VALOR],,0),""))</f>
        <v>42209.869333125011</v>
      </c>
      <c r="F578" s="33"/>
      <c r="G578" s="34">
        <f>IFERROR(IF(F578&gt;=0,D578*E578*(1+F578/100),ABS(D578*E578/F578)),"")</f>
        <v>2110.4934666562508</v>
      </c>
      <c r="H578" s="43">
        <f>IFERROR(G578*E568,"")</f>
        <v>0</v>
      </c>
    </row>
    <row r="579" spans="1:11">
      <c r="A579" s="28"/>
      <c r="B579" s="29"/>
      <c r="C579" s="30" t="str">
        <f>IFERROR(_xlfn.XLOOKUP(B579,Equipo[DESCRIPCION],Equipo[UND],,0),"")</f>
        <v/>
      </c>
      <c r="D579" s="31"/>
      <c r="E579" s="32" t="str">
        <f>IF(C579="%MO",G583,IFERROR(_xlfn.XLOOKUP($B579,Equipo[DESCRIPCION],Equipo[VALOR],,0),""))</f>
        <v/>
      </c>
      <c r="F579" s="33"/>
      <c r="G579" s="34" t="str">
        <f>IFERROR(IF(F579&gt;=0,D579*E579*(1+F579/100),ABS(D579*E579/F579)),"")</f>
        <v/>
      </c>
      <c r="H579" s="43" t="str">
        <f>IFERROR(G579*E568,"")</f>
        <v/>
      </c>
    </row>
    <row r="580" spans="1:11">
      <c r="A580" s="21"/>
      <c r="B580" s="22" t="s">
        <v>2533</v>
      </c>
      <c r="C580" s="23"/>
      <c r="D580" s="24"/>
      <c r="E580" s="25"/>
      <c r="F580" s="26"/>
      <c r="G580" s="27">
        <f>SUM(G581:G582)</f>
        <v>0</v>
      </c>
      <c r="H580" s="27">
        <f>IFERROR(G580*E568,"")</f>
        <v>0</v>
      </c>
    </row>
    <row r="581" spans="1:11">
      <c r="A581" s="28"/>
      <c r="B581" s="29"/>
      <c r="C581" s="30" t="str">
        <f>IFERROR(_xlfn.XLOOKUP(B581,Transporte[DESCRIPCION],Transporte[UND],,0),"")</f>
        <v/>
      </c>
      <c r="D581" s="31"/>
      <c r="E581" s="32" t="str">
        <f>IFERROR(_xlfn.XLOOKUP($B581,Transporte[DESCRIPCION],Transporte[VALOR],,0),"")</f>
        <v/>
      </c>
      <c r="F581" s="33"/>
      <c r="G581" s="34" t="str">
        <f>IFERROR(IF(F581&gt;=0,D581*E581*(1+F581/100),ABS(D581*E581/F581)),"")</f>
        <v/>
      </c>
      <c r="H581" s="43" t="str">
        <f>IFERROR(G581*E568,"")</f>
        <v/>
      </c>
    </row>
    <row r="582" spans="1:11">
      <c r="A582" s="28"/>
      <c r="B582" s="29"/>
      <c r="C582" s="30" t="str">
        <f>IFERROR(_xlfn.XLOOKUP(B582,Transporte[DESCRIPCION],Transporte[UND],,0),"")</f>
        <v/>
      </c>
      <c r="D582" s="31"/>
      <c r="E582" s="32" t="str">
        <f>IFERROR(_xlfn.XLOOKUP($B582,Transporte[DESCRIPCION],Transporte[VALOR],,0),"")</f>
        <v/>
      </c>
      <c r="F582" s="33"/>
      <c r="G582" s="34" t="str">
        <f>IFERROR(IF(F582&gt;=0,D582*E582*(1+F582/100),ABS(D582*E582/F582)),"")</f>
        <v/>
      </c>
      <c r="H582" s="43" t="str">
        <f>IFERROR(G582*E568,"")</f>
        <v/>
      </c>
    </row>
    <row r="583" spans="1:11">
      <c r="A583" s="21"/>
      <c r="B583" s="22" t="s">
        <v>3732</v>
      </c>
      <c r="C583" s="23"/>
      <c r="D583" s="24"/>
      <c r="E583" s="25"/>
      <c r="F583" s="26"/>
      <c r="G583" s="27">
        <f>SUM(G584:G586)</f>
        <v>42209.869333125011</v>
      </c>
      <c r="H583" s="27">
        <f>IFERROR(G583*E568,"")</f>
        <v>0</v>
      </c>
    </row>
    <row r="584" spans="1:11">
      <c r="A584" s="28"/>
      <c r="B584" s="29" t="s">
        <v>3715</v>
      </c>
      <c r="C584" s="30" t="str">
        <f>IFERROR(_xlfn.XLOOKUP(B584,MObra[DESCRIPCION],MObra[UN],,0),"")</f>
        <v>día</v>
      </c>
      <c r="D584" s="31">
        <v>1</v>
      </c>
      <c r="E584" s="32">
        <f>IFERROR(_xlfn.XLOOKUP($B584,MObra[DESCRIPCION],MObra[VALOR UNIT],,0),"")</f>
        <v>337678.95466500008</v>
      </c>
      <c r="F584" s="33">
        <v>-8</v>
      </c>
      <c r="G584" s="34">
        <f>IFERROR(IF(F584&gt;=0,D584*E584*(1+F584/100),ABS(D584*E584/F584)),"")</f>
        <v>42209.869333125011</v>
      </c>
      <c r="H584" s="43">
        <f>IFERROR(G584*E568,"")</f>
        <v>0</v>
      </c>
    </row>
    <row r="585" spans="1:11">
      <c r="A585" s="28"/>
      <c r="B585" s="29"/>
      <c r="C585" s="30" t="str">
        <f>IFERROR(_xlfn.XLOOKUP(B585,MObra[DESCRIPCION],MObra[UN],,0),"")</f>
        <v/>
      </c>
      <c r="D585" s="31"/>
      <c r="E585" s="32" t="str">
        <f>IFERROR(_xlfn.XLOOKUP($B585,MObra[DESCRIPCION],MObra[VALOR UNIT],,0),"")</f>
        <v/>
      </c>
      <c r="F585" s="33"/>
      <c r="G585" s="34" t="str">
        <f>IFERROR(IF(F585&gt;=0,D585*E585*(1+F585/100),ABS(D585*E585/F585)),"")</f>
        <v/>
      </c>
      <c r="H585" s="43" t="str">
        <f>IFERROR(G585*E568,"")</f>
        <v/>
      </c>
    </row>
    <row r="586" spans="1:11">
      <c r="A586" s="35"/>
      <c r="B586" s="36"/>
      <c r="C586" s="37" t="str">
        <f>IFERROR(_xlfn.XLOOKUP(B586,MObra[DESCRIPCION],MObra[UN],,0),"")</f>
        <v/>
      </c>
      <c r="D586" s="38"/>
      <c r="E586" s="39" t="str">
        <f>IFERROR(_xlfn.XLOOKUP($B586,MObra[DESCRIPCION],MObra[VALOR UNIT],,0),"")</f>
        <v/>
      </c>
      <c r="F586" s="40"/>
      <c r="G586" s="41" t="str">
        <f>IFERROR(IF(F586&gt;=0,D586*E586*(1+F586/100),ABS(D586*E586/F586)),"")</f>
        <v/>
      </c>
      <c r="H586" s="42" t="str">
        <f>IFERROR(G586*E568,"")</f>
        <v/>
      </c>
    </row>
    <row r="587" spans="1:11" ht="12.75" customHeight="1" thickTop="1" thickBot="1"/>
    <row r="588" spans="1:11" ht="26.25" thickTop="1" thickBot="1">
      <c r="A588" s="6" t="s">
        <v>2318</v>
      </c>
      <c r="B588" s="7" t="str">
        <f>VLOOKUP($A588,Presupuesto!$A:$D,2,FALSE())</f>
        <v>Luminaria LED High Bay suspender redonda 120-277 Vac, 100w, 15800 lm 5700 k, eficacia&gt;= 100lm/w, VU&gt;= 50000h@l70, fp&gt;= 0.9</v>
      </c>
      <c r="C588" s="8" t="str">
        <f>VLOOKUP($A588,Presupuesto!$A:$D,3,FALSE())</f>
        <v>Un</v>
      </c>
      <c r="D588" s="9"/>
      <c r="E588" s="10">
        <f>VLOOKUP($A588,Presupuesto!$A:$D,4,FALSE())</f>
        <v>0</v>
      </c>
      <c r="F588" s="11" t="s">
        <v>2589</v>
      </c>
      <c r="G588" s="12">
        <f>SUM(G590:G606)/2</f>
        <v>502376.54973309382</v>
      </c>
      <c r="H588" s="13">
        <f>ROUND(SUM(H590:H606),0)/2</f>
        <v>0</v>
      </c>
      <c r="I588" s="10">
        <f>VLOOKUP(A588,Presupuesto!$A:$F,6,0)</f>
        <v>0</v>
      </c>
      <c r="J588" s="10">
        <f>+H588-I588</f>
        <v>0</v>
      </c>
      <c r="K588" s="46">
        <f>+H588-G588*E588</f>
        <v>0</v>
      </c>
    </row>
    <row r="589" spans="1:11">
      <c r="A589" s="14"/>
      <c r="B589" s="15" t="s">
        <v>2586</v>
      </c>
      <c r="C589" s="15" t="s">
        <v>5</v>
      </c>
      <c r="D589" s="16" t="s">
        <v>6</v>
      </c>
      <c r="E589" s="17" t="s">
        <v>7</v>
      </c>
      <c r="F589" s="18" t="s">
        <v>3728</v>
      </c>
      <c r="G589" s="19" t="s">
        <v>3729</v>
      </c>
      <c r="H589" s="20" t="s">
        <v>3797</v>
      </c>
    </row>
    <row r="590" spans="1:11">
      <c r="A590" s="21"/>
      <c r="B590" s="22" t="s">
        <v>3730</v>
      </c>
      <c r="C590" s="23"/>
      <c r="D590" s="24"/>
      <c r="E590" s="25"/>
      <c r="F590" s="26"/>
      <c r="G590" s="27">
        <f>SUM(G591:G595)</f>
        <v>453835.19999999995</v>
      </c>
      <c r="H590" s="27">
        <f>IFERROR(G590*E588,"")</f>
        <v>0</v>
      </c>
    </row>
    <row r="591" spans="1:11">
      <c r="A591" s="28"/>
      <c r="B591" s="29" t="s">
        <v>3079</v>
      </c>
      <c r="C591" s="30" t="str">
        <f>IFERROR(_xlfn.XLOOKUP(B591,Insumo[DESCRIPCION],Insumo[UND],,0),"")</f>
        <v>Un</v>
      </c>
      <c r="D591" s="31">
        <v>1</v>
      </c>
      <c r="E591" s="32">
        <f>IFERROR(_xlfn.XLOOKUP($B591,Insumo[DESCRIPCION],Insumo[VALOR],,0),"")</f>
        <v>420000</v>
      </c>
      <c r="F591" s="33"/>
      <c r="G591" s="34">
        <f>IFERROR(IF(F591&gt;=0,D591*E591*(1+F591/100),ABS(D591*E591/F591)),"")</f>
        <v>420000</v>
      </c>
      <c r="H591" s="43">
        <f>IFERROR(G591*E588,"")</f>
        <v>0</v>
      </c>
    </row>
    <row r="592" spans="1:11">
      <c r="A592" s="28"/>
      <c r="B592" s="29" t="s">
        <v>2800</v>
      </c>
      <c r="C592" s="30" t="str">
        <f>IFERROR(_xlfn.XLOOKUP(B592,Insumo[DESCRIPCION],Insumo[UND],,0),"")</f>
        <v>M</v>
      </c>
      <c r="D592" s="31">
        <v>1</v>
      </c>
      <c r="E592" s="32">
        <f>IFERROR(_xlfn.XLOOKUP($B592,Insumo[DESCRIPCION],Insumo[VALOR],,0),"")</f>
        <v>7387.8</v>
      </c>
      <c r="F592" s="33"/>
      <c r="G592" s="34">
        <f>IFERROR(IF(F592&gt;=0,D592*E592*(1+F592/100),ABS(D592*E592/F592)),"")</f>
        <v>7387.8</v>
      </c>
      <c r="H592" s="43">
        <f>IFERROR(G592*E588,"")</f>
        <v>0</v>
      </c>
    </row>
    <row r="593" spans="1:11">
      <c r="A593" s="28"/>
      <c r="B593" s="29" t="s">
        <v>2855</v>
      </c>
      <c r="C593" s="30" t="str">
        <f>IFERROR(_xlfn.XLOOKUP(B593,Insumo[DESCRIPCION],Insumo[UND],,0),"")</f>
        <v>Un</v>
      </c>
      <c r="D593" s="31">
        <v>1</v>
      </c>
      <c r="E593" s="32">
        <f>IFERROR(_xlfn.XLOOKUP($B593,Insumo[DESCRIPCION],Insumo[VALOR],,0),"")</f>
        <v>6421.8</v>
      </c>
      <c r="F593" s="33"/>
      <c r="G593" s="34">
        <f>IFERROR(IF(F593&gt;=0,D593*E593*(1+F593/100),ABS(D593*E593/F593)),"")</f>
        <v>6421.8</v>
      </c>
      <c r="H593" s="43">
        <f>IFERROR(G593*E588,"")</f>
        <v>0</v>
      </c>
    </row>
    <row r="594" spans="1:11">
      <c r="A594" s="28"/>
      <c r="B594" s="29" t="s">
        <v>2995</v>
      </c>
      <c r="C594" s="30" t="str">
        <f>IFERROR(_xlfn.XLOOKUP(B594,Insumo[DESCRIPCION],Insumo[UND],,0),"")</f>
        <v>Un</v>
      </c>
      <c r="D594" s="31">
        <v>1</v>
      </c>
      <c r="E594" s="32">
        <f>IFERROR(_xlfn.XLOOKUP($B594,Insumo[DESCRIPCION],Insumo[VALOR],,0),"")</f>
        <v>10479</v>
      </c>
      <c r="F594" s="33"/>
      <c r="G594" s="34">
        <f>IFERROR(IF(F594&gt;=0,D594*E594*(1+F594/100),ABS(D594*E594/F594)),"")</f>
        <v>10479</v>
      </c>
      <c r="H594" s="43">
        <f>IFERROR(G594*E588,"")</f>
        <v>0</v>
      </c>
    </row>
    <row r="595" spans="1:11">
      <c r="A595" s="28"/>
      <c r="B595" s="29" t="s">
        <v>3200</v>
      </c>
      <c r="C595" s="30" t="str">
        <f>IFERROR(_xlfn.XLOOKUP(B595,Insumo[DESCRIPCION],Insumo[UND],,0),"")</f>
        <v>Un</v>
      </c>
      <c r="D595" s="31">
        <v>4</v>
      </c>
      <c r="E595" s="32">
        <f>IFERROR(_xlfn.XLOOKUP($B595,Insumo[DESCRIPCION],Insumo[VALOR],,0),"")</f>
        <v>2386.65</v>
      </c>
      <c r="F595" s="33"/>
      <c r="G595" s="34">
        <f>IFERROR(IF(F595&gt;=0,D595*E595*(1+F595/100),ABS(D595*E595/F595)),"")</f>
        <v>9546.6</v>
      </c>
      <c r="H595" s="43">
        <f>IFERROR(G595*E588,"")</f>
        <v>0</v>
      </c>
    </row>
    <row r="596" spans="1:11">
      <c r="A596" s="21"/>
      <c r="B596" s="22" t="s">
        <v>3731</v>
      </c>
      <c r="C596" s="23"/>
      <c r="D596" s="24"/>
      <c r="E596" s="25"/>
      <c r="F596" s="26"/>
      <c r="G596" s="27">
        <f>SUM(G597:G599)</f>
        <v>6331.480399968752</v>
      </c>
      <c r="H596" s="27">
        <f>IFERROR(G596*E588,"")</f>
        <v>0</v>
      </c>
    </row>
    <row r="597" spans="1:11">
      <c r="A597" s="28"/>
      <c r="B597" s="29" t="s">
        <v>3573</v>
      </c>
      <c r="C597" s="30" t="str">
        <f>IFERROR(_xlfn.XLOOKUP(B597,Equipo[DESCRIPCION],Equipo[UND],,0),"")</f>
        <v>%MO</v>
      </c>
      <c r="D597" s="31">
        <v>0.1</v>
      </c>
      <c r="E597" s="32">
        <f>IF(C597="%MO",G603,IFERROR(_xlfn.XLOOKUP($B597,Equipo[DESCRIPCION],Equipo[VALOR],,0),""))</f>
        <v>42209.869333125011</v>
      </c>
      <c r="F597" s="33"/>
      <c r="G597" s="34">
        <f>IFERROR(IF(F597&gt;=0,D597*E597*(1+F597/100),ABS(D597*E597/F597)),"")</f>
        <v>4220.9869333125016</v>
      </c>
      <c r="H597" s="43">
        <f>IFERROR(G597*E588,"")</f>
        <v>0</v>
      </c>
    </row>
    <row r="598" spans="1:11">
      <c r="A598" s="28"/>
      <c r="B598" s="29" t="s">
        <v>3626</v>
      </c>
      <c r="C598" s="30" t="str">
        <f>IFERROR(_xlfn.XLOOKUP(B598,Equipo[DESCRIPCION],Equipo[UND],,0),"")</f>
        <v>%MO</v>
      </c>
      <c r="D598" s="31">
        <v>0.05</v>
      </c>
      <c r="E598" s="32">
        <f>IF(C598="%MO",G603,IFERROR(_xlfn.XLOOKUP($B598,Equipo[DESCRIPCION],Equipo[VALOR],,0),""))</f>
        <v>42209.869333125011</v>
      </c>
      <c r="F598" s="33"/>
      <c r="G598" s="34">
        <f>IFERROR(IF(F598&gt;=0,D598*E598*(1+F598/100),ABS(D598*E598/F598)),"")</f>
        <v>2110.4934666562508</v>
      </c>
      <c r="H598" s="43">
        <f>IFERROR(G598*E588,"")</f>
        <v>0</v>
      </c>
    </row>
    <row r="599" spans="1:11">
      <c r="A599" s="28"/>
      <c r="B599" s="29"/>
      <c r="C599" s="30" t="str">
        <f>IFERROR(_xlfn.XLOOKUP(B599,Equipo[DESCRIPCION],Equipo[UND],,0),"")</f>
        <v/>
      </c>
      <c r="D599" s="31"/>
      <c r="E599" s="32" t="str">
        <f>IF(C599="%MO",G603,IFERROR(_xlfn.XLOOKUP($B599,Equipo[DESCRIPCION],Equipo[VALOR],,0),""))</f>
        <v/>
      </c>
      <c r="F599" s="33"/>
      <c r="G599" s="34" t="str">
        <f>IFERROR(IF(F599&gt;=0,D599*E599*(1+F599/100),ABS(D599*E599/F599)),"")</f>
        <v/>
      </c>
      <c r="H599" s="43" t="str">
        <f>IFERROR(G599*E588,"")</f>
        <v/>
      </c>
    </row>
    <row r="600" spans="1:11">
      <c r="A600" s="21"/>
      <c r="B600" s="22" t="s">
        <v>2533</v>
      </c>
      <c r="C600" s="23"/>
      <c r="D600" s="24"/>
      <c r="E600" s="25"/>
      <c r="F600" s="26"/>
      <c r="G600" s="27">
        <f>SUM(G601:G602)</f>
        <v>0</v>
      </c>
      <c r="H600" s="27">
        <f>IFERROR(G600*E588,"")</f>
        <v>0</v>
      </c>
    </row>
    <row r="601" spans="1:11">
      <c r="A601" s="28"/>
      <c r="B601" s="29"/>
      <c r="C601" s="30" t="str">
        <f>IFERROR(_xlfn.XLOOKUP(B601,Transporte[DESCRIPCION],Transporte[UND],,0),"")</f>
        <v/>
      </c>
      <c r="D601" s="31"/>
      <c r="E601" s="32" t="str">
        <f>IFERROR(_xlfn.XLOOKUP($B601,Transporte[DESCRIPCION],Transporte[VALOR],,0),"")</f>
        <v/>
      </c>
      <c r="F601" s="33"/>
      <c r="G601" s="34" t="str">
        <f>IFERROR(IF(F601&gt;=0,D601*E601*(1+F601/100),ABS(D601*E601/F601)),"")</f>
        <v/>
      </c>
      <c r="H601" s="43" t="str">
        <f>IFERROR(G601*E588,"")</f>
        <v/>
      </c>
    </row>
    <row r="602" spans="1:11">
      <c r="A602" s="28"/>
      <c r="B602" s="29"/>
      <c r="C602" s="30" t="str">
        <f>IFERROR(_xlfn.XLOOKUP(B602,Transporte[DESCRIPCION],Transporte[UND],,0),"")</f>
        <v/>
      </c>
      <c r="D602" s="31"/>
      <c r="E602" s="32" t="str">
        <f>IFERROR(_xlfn.XLOOKUP($B602,Transporte[DESCRIPCION],Transporte[VALOR],,0),"")</f>
        <v/>
      </c>
      <c r="F602" s="33"/>
      <c r="G602" s="34" t="str">
        <f>IFERROR(IF(F602&gt;=0,D602*E602*(1+F602/100),ABS(D602*E602/F602)),"")</f>
        <v/>
      </c>
      <c r="H602" s="43" t="str">
        <f>IFERROR(G602*E588,"")</f>
        <v/>
      </c>
    </row>
    <row r="603" spans="1:11">
      <c r="A603" s="21"/>
      <c r="B603" s="22" t="s">
        <v>3732</v>
      </c>
      <c r="C603" s="23"/>
      <c r="D603" s="24"/>
      <c r="E603" s="25"/>
      <c r="F603" s="26"/>
      <c r="G603" s="27">
        <f>SUM(G604:G606)</f>
        <v>42209.869333125011</v>
      </c>
      <c r="H603" s="27">
        <f>IFERROR(G603*E588,"")</f>
        <v>0</v>
      </c>
    </row>
    <row r="604" spans="1:11">
      <c r="A604" s="28"/>
      <c r="B604" s="29" t="s">
        <v>3715</v>
      </c>
      <c r="C604" s="30" t="str">
        <f>IFERROR(_xlfn.XLOOKUP(B604,MObra[DESCRIPCION],MObra[UN],,0),"")</f>
        <v>día</v>
      </c>
      <c r="D604" s="31">
        <v>1</v>
      </c>
      <c r="E604" s="32">
        <f>IFERROR(_xlfn.XLOOKUP($B604,MObra[DESCRIPCION],MObra[VALOR UNIT],,0),"")</f>
        <v>337678.95466500008</v>
      </c>
      <c r="F604" s="33">
        <v>-8</v>
      </c>
      <c r="G604" s="34">
        <f>IFERROR(IF(F604&gt;=0,D604*E604*(1+F604/100),ABS(D604*E604/F604)),"")</f>
        <v>42209.869333125011</v>
      </c>
      <c r="H604" s="43">
        <f>IFERROR(G604*E588,"")</f>
        <v>0</v>
      </c>
    </row>
    <row r="605" spans="1:11">
      <c r="A605" s="28"/>
      <c r="B605" s="29"/>
      <c r="C605" s="30" t="str">
        <f>IFERROR(_xlfn.XLOOKUP(B605,MObra[DESCRIPCION],MObra[UN],,0),"")</f>
        <v/>
      </c>
      <c r="D605" s="31"/>
      <c r="E605" s="32" t="str">
        <f>IFERROR(_xlfn.XLOOKUP($B605,MObra[DESCRIPCION],MObra[VALOR UNIT],,0),"")</f>
        <v/>
      </c>
      <c r="F605" s="33"/>
      <c r="G605" s="34" t="str">
        <f>IFERROR(IF(F605&gt;=0,D605*E605*(1+F605/100),ABS(D605*E605/F605)),"")</f>
        <v/>
      </c>
      <c r="H605" s="43" t="str">
        <f>IFERROR(G605*E588,"")</f>
        <v/>
      </c>
    </row>
    <row r="606" spans="1:11">
      <c r="A606" s="35"/>
      <c r="B606" s="36"/>
      <c r="C606" s="37" t="str">
        <f>IFERROR(_xlfn.XLOOKUP(B606,MObra[DESCRIPCION],MObra[UN],,0),"")</f>
        <v/>
      </c>
      <c r="D606" s="38"/>
      <c r="E606" s="39" t="str">
        <f>IFERROR(_xlfn.XLOOKUP($B606,MObra[DESCRIPCION],MObra[VALOR UNIT],,0),"")</f>
        <v/>
      </c>
      <c r="F606" s="40"/>
      <c r="G606" s="41" t="str">
        <f>IFERROR(IF(F606&gt;=0,D606*E606*(1+F606/100),ABS(D606*E606/F606)),"")</f>
        <v/>
      </c>
      <c r="H606" s="42" t="str">
        <f>IFERROR(G606*E588,"")</f>
        <v/>
      </c>
    </row>
    <row r="608" spans="1:11" ht="26.25" thickTop="1" thickBot="1">
      <c r="A608" s="6" t="s">
        <v>2320</v>
      </c>
      <c r="B608" s="7" t="str">
        <f>VLOOKUP($A608,Presupuesto!$A:$D,2,FALSE())</f>
        <v>Luminaria LED High Bay suspender redonda 120-277 Vac, 150w, 24100 lm 5700 k, eficacia&gt;= 100lm/w, VU&gt;= 50000h@l70, fp&gt;= 0.9</v>
      </c>
      <c r="C608" s="8" t="str">
        <f>VLOOKUP($A608,Presupuesto!$A:$D,3,FALSE())</f>
        <v>Un</v>
      </c>
      <c r="D608" s="9"/>
      <c r="E608" s="10">
        <f>VLOOKUP($A608,Presupuesto!$A:$D,4,FALSE())</f>
        <v>0</v>
      </c>
      <c r="F608" s="11" t="s">
        <v>2589</v>
      </c>
      <c r="G608" s="12">
        <f>SUM(G610:G626)/2</f>
        <v>547106.54973309382</v>
      </c>
      <c r="H608" s="13">
        <f>ROUND(SUM(H610:H626),0)/2</f>
        <v>0</v>
      </c>
      <c r="I608" s="10">
        <f>VLOOKUP(A608,Presupuesto!$A:$F,6,0)</f>
        <v>0</v>
      </c>
      <c r="J608" s="10">
        <f>+H608-I608</f>
        <v>0</v>
      </c>
      <c r="K608" s="46">
        <f>+H608-G608*E608</f>
        <v>0</v>
      </c>
    </row>
    <row r="609" spans="1:8" ht="13.15" thickTop="1">
      <c r="A609" s="14"/>
      <c r="B609" s="15" t="s">
        <v>2586</v>
      </c>
      <c r="C609" s="15" t="s">
        <v>5</v>
      </c>
      <c r="D609" s="16" t="s">
        <v>6</v>
      </c>
      <c r="E609" s="17" t="s">
        <v>7</v>
      </c>
      <c r="F609" s="18" t="s">
        <v>3728</v>
      </c>
      <c r="G609" s="19" t="s">
        <v>3729</v>
      </c>
      <c r="H609" s="20" t="s">
        <v>3797</v>
      </c>
    </row>
    <row r="610" spans="1:8">
      <c r="A610" s="21"/>
      <c r="B610" s="22" t="s">
        <v>3730</v>
      </c>
      <c r="C610" s="23"/>
      <c r="D610" s="24"/>
      <c r="E610" s="25"/>
      <c r="F610" s="26"/>
      <c r="G610" s="27">
        <f>SUM(G611:G615)</f>
        <v>498565.19999999995</v>
      </c>
      <c r="H610" s="27">
        <f>IFERROR(G610*E608,"")</f>
        <v>0</v>
      </c>
    </row>
    <row r="611" spans="1:8">
      <c r="A611" s="28"/>
      <c r="B611" s="29" t="s">
        <v>3080</v>
      </c>
      <c r="C611" s="30" t="str">
        <f>IFERROR(_xlfn.XLOOKUP(B611,Insumo[DESCRIPCION],Insumo[UND],,0),"")</f>
        <v>Un</v>
      </c>
      <c r="D611" s="31">
        <v>1</v>
      </c>
      <c r="E611" s="32">
        <f>IFERROR(_xlfn.XLOOKUP($B611,Insumo[DESCRIPCION],Insumo[VALOR],,0),"")</f>
        <v>464730</v>
      </c>
      <c r="F611" s="33"/>
      <c r="G611" s="34">
        <f>IFERROR(IF(F611&gt;=0,D611*E611*(1+F611/100),ABS(D611*E611/F611)),"")</f>
        <v>464730</v>
      </c>
      <c r="H611" s="43">
        <f>IFERROR(G611*E608,"")</f>
        <v>0</v>
      </c>
    </row>
    <row r="612" spans="1:8">
      <c r="A612" s="28"/>
      <c r="B612" s="29" t="s">
        <v>2800</v>
      </c>
      <c r="C612" s="30" t="str">
        <f>IFERROR(_xlfn.XLOOKUP(B612,Insumo[DESCRIPCION],Insumo[UND],,0),"")</f>
        <v>M</v>
      </c>
      <c r="D612" s="31">
        <v>1</v>
      </c>
      <c r="E612" s="32">
        <f>IFERROR(_xlfn.XLOOKUP($B612,Insumo[DESCRIPCION],Insumo[VALOR],,0),"")</f>
        <v>7387.8</v>
      </c>
      <c r="F612" s="33"/>
      <c r="G612" s="34">
        <f>IFERROR(IF(F612&gt;=0,D612*E612*(1+F612/100),ABS(D612*E612/F612)),"")</f>
        <v>7387.8</v>
      </c>
      <c r="H612" s="43">
        <f>IFERROR(G612*E608,"")</f>
        <v>0</v>
      </c>
    </row>
    <row r="613" spans="1:8">
      <c r="A613" s="28"/>
      <c r="B613" s="29" t="s">
        <v>2855</v>
      </c>
      <c r="C613" s="30" t="str">
        <f>IFERROR(_xlfn.XLOOKUP(B613,Insumo[DESCRIPCION],Insumo[UND],,0),"")</f>
        <v>Un</v>
      </c>
      <c r="D613" s="31">
        <v>1</v>
      </c>
      <c r="E613" s="32">
        <f>IFERROR(_xlfn.XLOOKUP($B613,Insumo[DESCRIPCION],Insumo[VALOR],,0),"")</f>
        <v>6421.8</v>
      </c>
      <c r="F613" s="33"/>
      <c r="G613" s="34">
        <f>IFERROR(IF(F613&gt;=0,D613*E613*(1+F613/100),ABS(D613*E613/F613)),"")</f>
        <v>6421.8</v>
      </c>
      <c r="H613" s="43">
        <f>IFERROR(G613*E608,"")</f>
        <v>0</v>
      </c>
    </row>
    <row r="614" spans="1:8">
      <c r="A614" s="28"/>
      <c r="B614" s="29" t="s">
        <v>2995</v>
      </c>
      <c r="C614" s="30" t="str">
        <f>IFERROR(_xlfn.XLOOKUP(B614,Insumo[DESCRIPCION],Insumo[UND],,0),"")</f>
        <v>Un</v>
      </c>
      <c r="D614" s="31">
        <v>1</v>
      </c>
      <c r="E614" s="32">
        <f>IFERROR(_xlfn.XLOOKUP($B614,Insumo[DESCRIPCION],Insumo[VALOR],,0),"")</f>
        <v>10479</v>
      </c>
      <c r="F614" s="33"/>
      <c r="G614" s="34">
        <f>IFERROR(IF(F614&gt;=0,D614*E614*(1+F614/100),ABS(D614*E614/F614)),"")</f>
        <v>10479</v>
      </c>
      <c r="H614" s="43">
        <f>IFERROR(G614*E608,"")</f>
        <v>0</v>
      </c>
    </row>
    <row r="615" spans="1:8">
      <c r="A615" s="28"/>
      <c r="B615" s="29" t="s">
        <v>3200</v>
      </c>
      <c r="C615" s="30" t="str">
        <f>IFERROR(_xlfn.XLOOKUP(B615,Insumo[DESCRIPCION],Insumo[UND],,0),"")</f>
        <v>Un</v>
      </c>
      <c r="D615" s="31">
        <v>4</v>
      </c>
      <c r="E615" s="32">
        <f>IFERROR(_xlfn.XLOOKUP($B615,Insumo[DESCRIPCION],Insumo[VALOR],,0),"")</f>
        <v>2386.65</v>
      </c>
      <c r="F615" s="33"/>
      <c r="G615" s="34">
        <f>IFERROR(IF(F615&gt;=0,D615*E615*(1+F615/100),ABS(D615*E615/F615)),"")</f>
        <v>9546.6</v>
      </c>
      <c r="H615" s="43">
        <f>IFERROR(G615*E608,"")</f>
        <v>0</v>
      </c>
    </row>
    <row r="616" spans="1:8">
      <c r="A616" s="21"/>
      <c r="B616" s="22" t="s">
        <v>3731</v>
      </c>
      <c r="C616" s="23"/>
      <c r="D616" s="24"/>
      <c r="E616" s="25"/>
      <c r="F616" s="26"/>
      <c r="G616" s="27">
        <f>SUM(G617:G619)</f>
        <v>6331.480399968752</v>
      </c>
      <c r="H616" s="27">
        <f>IFERROR(G616*E608,"")</f>
        <v>0</v>
      </c>
    </row>
    <row r="617" spans="1:8">
      <c r="A617" s="28"/>
      <c r="B617" s="29" t="s">
        <v>3573</v>
      </c>
      <c r="C617" s="30" t="str">
        <f>IFERROR(_xlfn.XLOOKUP(B617,Equipo[DESCRIPCION],Equipo[UND],,0),"")</f>
        <v>%MO</v>
      </c>
      <c r="D617" s="31">
        <v>0.1</v>
      </c>
      <c r="E617" s="32">
        <f>IF(C617="%MO",G623,IFERROR(_xlfn.XLOOKUP($B617,Equipo[DESCRIPCION],Equipo[VALOR],,0),""))</f>
        <v>42209.869333125011</v>
      </c>
      <c r="F617" s="33"/>
      <c r="G617" s="34">
        <f>IFERROR(IF(F617&gt;=0,D617*E617*(1+F617/100),ABS(D617*E617/F617)),"")</f>
        <v>4220.9869333125016</v>
      </c>
      <c r="H617" s="43">
        <f>IFERROR(G617*E608,"")</f>
        <v>0</v>
      </c>
    </row>
    <row r="618" spans="1:8">
      <c r="A618" s="28"/>
      <c r="B618" s="29" t="s">
        <v>3626</v>
      </c>
      <c r="C618" s="30" t="str">
        <f>IFERROR(_xlfn.XLOOKUP(B618,Equipo[DESCRIPCION],Equipo[UND],,0),"")</f>
        <v>%MO</v>
      </c>
      <c r="D618" s="31">
        <v>0.05</v>
      </c>
      <c r="E618" s="32">
        <f>IF(C618="%MO",G623,IFERROR(_xlfn.XLOOKUP($B618,Equipo[DESCRIPCION],Equipo[VALOR],,0),""))</f>
        <v>42209.869333125011</v>
      </c>
      <c r="F618" s="33"/>
      <c r="G618" s="34">
        <f>IFERROR(IF(F618&gt;=0,D618*E618*(1+F618/100),ABS(D618*E618/F618)),"")</f>
        <v>2110.4934666562508</v>
      </c>
      <c r="H618" s="43">
        <f>IFERROR(G618*E608,"")</f>
        <v>0</v>
      </c>
    </row>
    <row r="619" spans="1:8">
      <c r="A619" s="28"/>
      <c r="B619" s="29"/>
      <c r="C619" s="30" t="str">
        <f>IFERROR(_xlfn.XLOOKUP(B619,Equipo[DESCRIPCION],Equipo[UND],,0),"")</f>
        <v/>
      </c>
      <c r="D619" s="31"/>
      <c r="E619" s="32" t="str">
        <f>IF(C619="%MO",G623,IFERROR(_xlfn.XLOOKUP($B619,Equipo[DESCRIPCION],Equipo[VALOR],,0),""))</f>
        <v/>
      </c>
      <c r="F619" s="33"/>
      <c r="G619" s="34" t="str">
        <f>IFERROR(IF(F619&gt;=0,D619*E619*(1+F619/100),ABS(D619*E619/F619)),"")</f>
        <v/>
      </c>
      <c r="H619" s="43" t="str">
        <f>IFERROR(G619*E608,"")</f>
        <v/>
      </c>
    </row>
    <row r="620" spans="1:8">
      <c r="A620" s="21"/>
      <c r="B620" s="22" t="s">
        <v>2533</v>
      </c>
      <c r="C620" s="23"/>
      <c r="D620" s="24"/>
      <c r="E620" s="25"/>
      <c r="F620" s="26"/>
      <c r="G620" s="27">
        <f>SUM(G621:G622)</f>
        <v>0</v>
      </c>
      <c r="H620" s="27">
        <f>IFERROR(G620*E608,"")</f>
        <v>0</v>
      </c>
    </row>
    <row r="621" spans="1:8">
      <c r="A621" s="28"/>
      <c r="B621" s="29"/>
      <c r="C621" s="30" t="str">
        <f>IFERROR(_xlfn.XLOOKUP(B621,Transporte[DESCRIPCION],Transporte[UND],,0),"")</f>
        <v/>
      </c>
      <c r="D621" s="31"/>
      <c r="E621" s="32" t="str">
        <f>IFERROR(_xlfn.XLOOKUP($B621,Transporte[DESCRIPCION],Transporte[VALOR],,0),"")</f>
        <v/>
      </c>
      <c r="F621" s="33"/>
      <c r="G621" s="34" t="str">
        <f>IFERROR(IF(F621&gt;=0,D621*E621*(1+F621/100),ABS(D621*E621/F621)),"")</f>
        <v/>
      </c>
      <c r="H621" s="43" t="str">
        <f>IFERROR(G621*E608,"")</f>
        <v/>
      </c>
    </row>
    <row r="622" spans="1:8">
      <c r="A622" s="28"/>
      <c r="B622" s="29"/>
      <c r="C622" s="30" t="str">
        <f>IFERROR(_xlfn.XLOOKUP(B622,Transporte[DESCRIPCION],Transporte[UND],,0),"")</f>
        <v/>
      </c>
      <c r="D622" s="31"/>
      <c r="E622" s="32" t="str">
        <f>IFERROR(_xlfn.XLOOKUP($B622,Transporte[DESCRIPCION],Transporte[VALOR],,0),"")</f>
        <v/>
      </c>
      <c r="F622" s="33"/>
      <c r="G622" s="34" t="str">
        <f>IFERROR(IF(F622&gt;=0,D622*E622*(1+F622/100),ABS(D622*E622/F622)),"")</f>
        <v/>
      </c>
      <c r="H622" s="43" t="str">
        <f>IFERROR(G622*E608,"")</f>
        <v/>
      </c>
    </row>
    <row r="623" spans="1:8">
      <c r="A623" s="21"/>
      <c r="B623" s="22" t="s">
        <v>3732</v>
      </c>
      <c r="C623" s="23"/>
      <c r="D623" s="24"/>
      <c r="E623" s="25"/>
      <c r="F623" s="26"/>
      <c r="G623" s="27">
        <f>SUM(G624:G626)</f>
        <v>42209.869333125011</v>
      </c>
      <c r="H623" s="27">
        <f>IFERROR(G623*E608,"")</f>
        <v>0</v>
      </c>
    </row>
    <row r="624" spans="1:8">
      <c r="A624" s="28"/>
      <c r="B624" s="29" t="s">
        <v>3715</v>
      </c>
      <c r="C624" s="30" t="str">
        <f>IFERROR(_xlfn.XLOOKUP(B624,MObra[DESCRIPCION],MObra[UN],,0),"")</f>
        <v>día</v>
      </c>
      <c r="D624" s="31">
        <v>1</v>
      </c>
      <c r="E624" s="32">
        <f>IFERROR(_xlfn.XLOOKUP($B624,MObra[DESCRIPCION],MObra[VALOR UNIT],,0),"")</f>
        <v>337678.95466500008</v>
      </c>
      <c r="F624" s="33">
        <v>-8</v>
      </c>
      <c r="G624" s="34">
        <f>IFERROR(IF(F624&gt;=0,D624*E624*(1+F624/100),ABS(D624*E624/F624)),"")</f>
        <v>42209.869333125011</v>
      </c>
      <c r="H624" s="43">
        <f>IFERROR(G624*E608,"")</f>
        <v>0</v>
      </c>
    </row>
    <row r="625" spans="1:11">
      <c r="A625" s="28"/>
      <c r="B625" s="29"/>
      <c r="C625" s="30" t="str">
        <f>IFERROR(_xlfn.XLOOKUP(B625,MObra[DESCRIPCION],MObra[UN],,0),"")</f>
        <v/>
      </c>
      <c r="D625" s="31"/>
      <c r="E625" s="32" t="str">
        <f>IFERROR(_xlfn.XLOOKUP($B625,MObra[DESCRIPCION],MObra[VALOR UNIT],,0),"")</f>
        <v/>
      </c>
      <c r="F625" s="33"/>
      <c r="G625" s="34" t="str">
        <f>IFERROR(IF(F625&gt;=0,D625*E625*(1+F625/100),ABS(D625*E625/F625)),"")</f>
        <v/>
      </c>
      <c r="H625" s="43" t="str">
        <f>IFERROR(G625*E608,"")</f>
        <v/>
      </c>
    </row>
    <row r="626" spans="1:11" ht="13.15" thickBot="1">
      <c r="A626" s="35"/>
      <c r="B626" s="36"/>
      <c r="C626" s="37" t="str">
        <f>IFERROR(_xlfn.XLOOKUP(B626,MObra[DESCRIPCION],MObra[UN],,0),"")</f>
        <v/>
      </c>
      <c r="D626" s="38"/>
      <c r="E626" s="39" t="str">
        <f>IFERROR(_xlfn.XLOOKUP($B626,MObra[DESCRIPCION],MObra[VALOR UNIT],,0),"")</f>
        <v/>
      </c>
      <c r="F626" s="40"/>
      <c r="G626" s="41" t="str">
        <f>IFERROR(IF(F626&gt;=0,D626*E626*(1+F626/100),ABS(D626*E626/F626)),"")</f>
        <v/>
      </c>
      <c r="H626" s="42" t="str">
        <f>IFERROR(G626*E608,"")</f>
        <v/>
      </c>
    </row>
    <row r="627" spans="1:11" ht="12.75" customHeight="1" thickTop="1" thickBot="1"/>
    <row r="628" spans="1:11" ht="26.25" thickTop="1" thickBot="1">
      <c r="A628" s="6" t="s">
        <v>2322</v>
      </c>
      <c r="B628" s="7" t="str">
        <f>VLOOKUP($A628,Presupuesto!$A:$D,2,FALSE())</f>
        <v>Luminaria LED High Bay suspender redonda 120-277 Vac, 200w, 29600 lm 5700 k, eficacia&gt;= 100lm/w, VU&gt;= 50000h@l70, fp&gt;= 0.9</v>
      </c>
      <c r="C628" s="8" t="str">
        <f>VLOOKUP($A628,Presupuesto!$A:$D,3,FALSE())</f>
        <v>Un</v>
      </c>
      <c r="D628" s="9"/>
      <c r="E628" s="10">
        <f>VLOOKUP($A628,Presupuesto!$A:$D,4,FALSE())</f>
        <v>0</v>
      </c>
      <c r="F628" s="11" t="s">
        <v>2589</v>
      </c>
      <c r="G628" s="12">
        <f>SUM(G630:G646)/2</f>
        <v>609476.54973309394</v>
      </c>
      <c r="H628" s="13">
        <f>ROUND(SUM(H630:H646),0)/2</f>
        <v>0</v>
      </c>
      <c r="I628" s="10">
        <f>VLOOKUP(A628,Presupuesto!$A:$F,6,0)</f>
        <v>0</v>
      </c>
      <c r="J628" s="10">
        <f>+H628-I628</f>
        <v>0</v>
      </c>
      <c r="K628" s="46">
        <f>+H628-G628*E628</f>
        <v>0</v>
      </c>
    </row>
    <row r="629" spans="1:11">
      <c r="A629" s="14"/>
      <c r="B629" s="15" t="s">
        <v>2586</v>
      </c>
      <c r="C629" s="15" t="s">
        <v>5</v>
      </c>
      <c r="D629" s="16" t="s">
        <v>6</v>
      </c>
      <c r="E629" s="17" t="s">
        <v>7</v>
      </c>
      <c r="F629" s="18" t="s">
        <v>3728</v>
      </c>
      <c r="G629" s="19" t="s">
        <v>3729</v>
      </c>
      <c r="H629" s="20" t="s">
        <v>3797</v>
      </c>
    </row>
    <row r="630" spans="1:11">
      <c r="A630" s="21"/>
      <c r="B630" s="22" t="s">
        <v>3730</v>
      </c>
      <c r="C630" s="23"/>
      <c r="D630" s="24"/>
      <c r="E630" s="25"/>
      <c r="F630" s="26"/>
      <c r="G630" s="27">
        <f>SUM(G631:G635)</f>
        <v>560935.20000000007</v>
      </c>
      <c r="H630" s="27">
        <f>IFERROR(G630*E628,"")</f>
        <v>0</v>
      </c>
    </row>
    <row r="631" spans="1:11">
      <c r="A631" s="28"/>
      <c r="B631" s="29" t="s">
        <v>3081</v>
      </c>
      <c r="C631" s="30" t="str">
        <f>IFERROR(_xlfn.XLOOKUP(B631,Insumo[DESCRIPCION],Insumo[UND],,0),"")</f>
        <v>Un</v>
      </c>
      <c r="D631" s="31">
        <v>1</v>
      </c>
      <c r="E631" s="32">
        <f>IFERROR(_xlfn.XLOOKUP($B631,Insumo[DESCRIPCION],Insumo[VALOR],,0),"")</f>
        <v>527100</v>
      </c>
      <c r="F631" s="33"/>
      <c r="G631" s="34">
        <f>IFERROR(IF(F631&gt;=0,D631*E631*(1+F631/100),ABS(D631*E631/F631)),"")</f>
        <v>527100</v>
      </c>
      <c r="H631" s="43">
        <f>IFERROR(G631*E628,"")</f>
        <v>0</v>
      </c>
    </row>
    <row r="632" spans="1:11">
      <c r="A632" s="28"/>
      <c r="B632" s="29" t="s">
        <v>2800</v>
      </c>
      <c r="C632" s="30" t="str">
        <f>IFERROR(_xlfn.XLOOKUP(B632,Insumo[DESCRIPCION],Insumo[UND],,0),"")</f>
        <v>M</v>
      </c>
      <c r="D632" s="31">
        <v>1</v>
      </c>
      <c r="E632" s="32">
        <f>IFERROR(_xlfn.XLOOKUP($B632,Insumo[DESCRIPCION],Insumo[VALOR],,0),"")</f>
        <v>7387.8</v>
      </c>
      <c r="F632" s="33"/>
      <c r="G632" s="34">
        <f>IFERROR(IF(F632&gt;=0,D632*E632*(1+F632/100),ABS(D632*E632/F632)),"")</f>
        <v>7387.8</v>
      </c>
      <c r="H632" s="43">
        <f>IFERROR(G632*E628,"")</f>
        <v>0</v>
      </c>
    </row>
    <row r="633" spans="1:11">
      <c r="A633" s="28"/>
      <c r="B633" s="29" t="s">
        <v>2855</v>
      </c>
      <c r="C633" s="30" t="str">
        <f>IFERROR(_xlfn.XLOOKUP(B633,Insumo[DESCRIPCION],Insumo[UND],,0),"")</f>
        <v>Un</v>
      </c>
      <c r="D633" s="31">
        <v>1</v>
      </c>
      <c r="E633" s="32">
        <f>IFERROR(_xlfn.XLOOKUP($B633,Insumo[DESCRIPCION],Insumo[VALOR],,0),"")</f>
        <v>6421.8</v>
      </c>
      <c r="F633" s="33"/>
      <c r="G633" s="34">
        <f>IFERROR(IF(F633&gt;=0,D633*E633*(1+F633/100),ABS(D633*E633/F633)),"")</f>
        <v>6421.8</v>
      </c>
      <c r="H633" s="43">
        <f>IFERROR(G633*E628,"")</f>
        <v>0</v>
      </c>
    </row>
    <row r="634" spans="1:11">
      <c r="A634" s="28"/>
      <c r="B634" s="29" t="s">
        <v>2995</v>
      </c>
      <c r="C634" s="30" t="str">
        <f>IFERROR(_xlfn.XLOOKUP(B634,Insumo[DESCRIPCION],Insumo[UND],,0),"")</f>
        <v>Un</v>
      </c>
      <c r="D634" s="31">
        <v>1</v>
      </c>
      <c r="E634" s="32">
        <f>IFERROR(_xlfn.XLOOKUP($B634,Insumo[DESCRIPCION],Insumo[VALOR],,0),"")</f>
        <v>10479</v>
      </c>
      <c r="F634" s="33"/>
      <c r="G634" s="34">
        <f>IFERROR(IF(F634&gt;=0,D634*E634*(1+F634/100),ABS(D634*E634/F634)),"")</f>
        <v>10479</v>
      </c>
      <c r="H634" s="43">
        <f>IFERROR(G634*E628,"")</f>
        <v>0</v>
      </c>
    </row>
    <row r="635" spans="1:11">
      <c r="A635" s="28"/>
      <c r="B635" s="29" t="s">
        <v>3200</v>
      </c>
      <c r="C635" s="30" t="str">
        <f>IFERROR(_xlfn.XLOOKUP(B635,Insumo[DESCRIPCION],Insumo[UND],,0),"")</f>
        <v>Un</v>
      </c>
      <c r="D635" s="31">
        <v>4</v>
      </c>
      <c r="E635" s="32">
        <f>IFERROR(_xlfn.XLOOKUP($B635,Insumo[DESCRIPCION],Insumo[VALOR],,0),"")</f>
        <v>2386.65</v>
      </c>
      <c r="F635" s="33"/>
      <c r="G635" s="34">
        <f>IFERROR(IF(F635&gt;=0,D635*E635*(1+F635/100),ABS(D635*E635/F635)),"")</f>
        <v>9546.6</v>
      </c>
      <c r="H635" s="43">
        <f>IFERROR(G635*E628,"")</f>
        <v>0</v>
      </c>
    </row>
    <row r="636" spans="1:11">
      <c r="A636" s="21"/>
      <c r="B636" s="22" t="s">
        <v>3731</v>
      </c>
      <c r="C636" s="23"/>
      <c r="D636" s="24"/>
      <c r="E636" s="25"/>
      <c r="F636" s="26"/>
      <c r="G636" s="27">
        <f>SUM(G637:G639)</f>
        <v>6331.480399968752</v>
      </c>
      <c r="H636" s="27">
        <f>IFERROR(G636*E628,"")</f>
        <v>0</v>
      </c>
    </row>
    <row r="637" spans="1:11">
      <c r="A637" s="28"/>
      <c r="B637" s="29" t="s">
        <v>3573</v>
      </c>
      <c r="C637" s="30" t="str">
        <f>IFERROR(_xlfn.XLOOKUP(B637,Equipo[DESCRIPCION],Equipo[UND],,0),"")</f>
        <v>%MO</v>
      </c>
      <c r="D637" s="31">
        <v>0.1</v>
      </c>
      <c r="E637" s="32">
        <f>IF(C637="%MO",G643,IFERROR(_xlfn.XLOOKUP($B637,Equipo[DESCRIPCION],Equipo[VALOR],,0),""))</f>
        <v>42209.869333125011</v>
      </c>
      <c r="F637" s="33"/>
      <c r="G637" s="34">
        <f>IFERROR(IF(F637&gt;=0,D637*E637*(1+F637/100),ABS(D637*E637/F637)),"")</f>
        <v>4220.9869333125016</v>
      </c>
      <c r="H637" s="43">
        <f>IFERROR(G637*E628,"")</f>
        <v>0</v>
      </c>
    </row>
    <row r="638" spans="1:11">
      <c r="A638" s="28"/>
      <c r="B638" s="29" t="s">
        <v>3626</v>
      </c>
      <c r="C638" s="30" t="str">
        <f>IFERROR(_xlfn.XLOOKUP(B638,Equipo[DESCRIPCION],Equipo[UND],,0),"")</f>
        <v>%MO</v>
      </c>
      <c r="D638" s="31">
        <v>0.05</v>
      </c>
      <c r="E638" s="32">
        <f>IF(C638="%MO",G643,IFERROR(_xlfn.XLOOKUP($B638,Equipo[DESCRIPCION],Equipo[VALOR],,0),""))</f>
        <v>42209.869333125011</v>
      </c>
      <c r="F638" s="33"/>
      <c r="G638" s="34">
        <f>IFERROR(IF(F638&gt;=0,D638*E638*(1+F638/100),ABS(D638*E638/F638)),"")</f>
        <v>2110.4934666562508</v>
      </c>
      <c r="H638" s="43">
        <f>IFERROR(G638*E628,"")</f>
        <v>0</v>
      </c>
    </row>
    <row r="639" spans="1:11">
      <c r="A639" s="28"/>
      <c r="B639" s="29"/>
      <c r="C639" s="30" t="str">
        <f>IFERROR(_xlfn.XLOOKUP(B639,Equipo[DESCRIPCION],Equipo[UND],,0),"")</f>
        <v/>
      </c>
      <c r="D639" s="31"/>
      <c r="E639" s="32" t="str">
        <f>IF(C639="%MO",G643,IFERROR(_xlfn.XLOOKUP($B639,Equipo[DESCRIPCION],Equipo[VALOR],,0),""))</f>
        <v/>
      </c>
      <c r="F639" s="33"/>
      <c r="G639" s="34" t="str">
        <f>IFERROR(IF(F639&gt;=0,D639*E639*(1+F639/100),ABS(D639*E639/F639)),"")</f>
        <v/>
      </c>
      <c r="H639" s="43" t="str">
        <f>IFERROR(G639*E628,"")</f>
        <v/>
      </c>
    </row>
    <row r="640" spans="1:11">
      <c r="A640" s="21"/>
      <c r="B640" s="22" t="s">
        <v>2533</v>
      </c>
      <c r="C640" s="23"/>
      <c r="D640" s="24"/>
      <c r="E640" s="25"/>
      <c r="F640" s="26"/>
      <c r="G640" s="27">
        <f>SUM(G641:G642)</f>
        <v>0</v>
      </c>
      <c r="H640" s="27">
        <f>IFERROR(G640*E628,"")</f>
        <v>0</v>
      </c>
    </row>
    <row r="641" spans="1:11">
      <c r="A641" s="28"/>
      <c r="B641" s="29"/>
      <c r="C641" s="30" t="str">
        <f>IFERROR(_xlfn.XLOOKUP(B641,Transporte[DESCRIPCION],Transporte[UND],,0),"")</f>
        <v/>
      </c>
      <c r="D641" s="31"/>
      <c r="E641" s="32" t="str">
        <f>IFERROR(_xlfn.XLOOKUP($B641,Transporte[DESCRIPCION],Transporte[VALOR],,0),"")</f>
        <v/>
      </c>
      <c r="F641" s="33"/>
      <c r="G641" s="34" t="str">
        <f>IFERROR(IF(F641&gt;=0,D641*E641*(1+F641/100),ABS(D641*E641/F641)),"")</f>
        <v/>
      </c>
      <c r="H641" s="43" t="str">
        <f>IFERROR(G641*E628,"")</f>
        <v/>
      </c>
    </row>
    <row r="642" spans="1:11">
      <c r="A642" s="28"/>
      <c r="B642" s="29"/>
      <c r="C642" s="30" t="str">
        <f>IFERROR(_xlfn.XLOOKUP(B642,Transporte[DESCRIPCION],Transporte[UND],,0),"")</f>
        <v/>
      </c>
      <c r="D642" s="31"/>
      <c r="E642" s="32" t="str">
        <f>IFERROR(_xlfn.XLOOKUP($B642,Transporte[DESCRIPCION],Transporte[VALOR],,0),"")</f>
        <v/>
      </c>
      <c r="F642" s="33"/>
      <c r="G642" s="34" t="str">
        <f>IFERROR(IF(F642&gt;=0,D642*E642*(1+F642/100),ABS(D642*E642/F642)),"")</f>
        <v/>
      </c>
      <c r="H642" s="43" t="str">
        <f>IFERROR(G642*E628,"")</f>
        <v/>
      </c>
    </row>
    <row r="643" spans="1:11">
      <c r="A643" s="21"/>
      <c r="B643" s="22" t="s">
        <v>3732</v>
      </c>
      <c r="C643" s="23"/>
      <c r="D643" s="24"/>
      <c r="E643" s="25"/>
      <c r="F643" s="26"/>
      <c r="G643" s="27">
        <f>SUM(G644:G646)</f>
        <v>42209.869333125011</v>
      </c>
      <c r="H643" s="27">
        <f>IFERROR(G643*E628,"")</f>
        <v>0</v>
      </c>
    </row>
    <row r="644" spans="1:11">
      <c r="A644" s="28"/>
      <c r="B644" s="29" t="s">
        <v>3715</v>
      </c>
      <c r="C644" s="30" t="str">
        <f>IFERROR(_xlfn.XLOOKUP(B644,MObra[DESCRIPCION],MObra[UN],,0),"")</f>
        <v>día</v>
      </c>
      <c r="D644" s="31">
        <v>1</v>
      </c>
      <c r="E644" s="32">
        <f>IFERROR(_xlfn.XLOOKUP($B644,MObra[DESCRIPCION],MObra[VALOR UNIT],,0),"")</f>
        <v>337678.95466500008</v>
      </c>
      <c r="F644" s="33">
        <v>-8</v>
      </c>
      <c r="G644" s="34">
        <f>IFERROR(IF(F644&gt;=0,D644*E644*(1+F644/100),ABS(D644*E644/F644)),"")</f>
        <v>42209.869333125011</v>
      </c>
      <c r="H644" s="43">
        <f>IFERROR(G644*E628,"")</f>
        <v>0</v>
      </c>
    </row>
    <row r="645" spans="1:11">
      <c r="A645" s="28"/>
      <c r="B645" s="29"/>
      <c r="C645" s="30" t="str">
        <f>IFERROR(_xlfn.XLOOKUP(B645,MObra[DESCRIPCION],MObra[UN],,0),"")</f>
        <v/>
      </c>
      <c r="D645" s="31"/>
      <c r="E645" s="32" t="str">
        <f>IFERROR(_xlfn.XLOOKUP($B645,MObra[DESCRIPCION],MObra[VALOR UNIT],,0),"")</f>
        <v/>
      </c>
      <c r="F645" s="33"/>
      <c r="G645" s="34" t="str">
        <f>IFERROR(IF(F645&gt;=0,D645*E645*(1+F645/100),ABS(D645*E645/F645)),"")</f>
        <v/>
      </c>
      <c r="H645" s="43" t="str">
        <f>IFERROR(G645*E628,"")</f>
        <v/>
      </c>
    </row>
    <row r="646" spans="1:11">
      <c r="A646" s="35"/>
      <c r="B646" s="36"/>
      <c r="C646" s="37" t="str">
        <f>IFERROR(_xlfn.XLOOKUP(B646,MObra[DESCRIPCION],MObra[UN],,0),"")</f>
        <v/>
      </c>
      <c r="D646" s="38"/>
      <c r="E646" s="39" t="str">
        <f>IFERROR(_xlfn.XLOOKUP($B646,MObra[DESCRIPCION],MObra[VALOR UNIT],,0),"")</f>
        <v/>
      </c>
      <c r="F646" s="40"/>
      <c r="G646" s="41" t="str">
        <f>IFERROR(IF(F646&gt;=0,D646*E646*(1+F646/100),ABS(D646*E646/F646)),"")</f>
        <v/>
      </c>
      <c r="H646" s="42" t="str">
        <f>IFERROR(G646*E628,"")</f>
        <v/>
      </c>
    </row>
    <row r="648" spans="1:11" ht="25.5">
      <c r="A648" s="6" t="s">
        <v>2324</v>
      </c>
      <c r="B648" s="7" t="str">
        <f>VLOOKUP($A648,Presupuesto!$A:$D,2,FALSE())</f>
        <v>Luminaria LED High Bay suspender redonda 120-277 Vac, 240w, 36000 lm 5700 k, eficacia&gt;= 100lm/w, VU&gt;= 50000h@l70, fp&gt;= 0.9</v>
      </c>
      <c r="C648" s="8" t="str">
        <f>VLOOKUP($A648,Presupuesto!$A:$D,3,FALSE())</f>
        <v>Un</v>
      </c>
      <c r="D648" s="9"/>
      <c r="E648" s="10">
        <f>VLOOKUP($A648,Presupuesto!$A:$D,4,FALSE())</f>
        <v>0</v>
      </c>
      <c r="F648" s="11" t="s">
        <v>2589</v>
      </c>
      <c r="G648" s="12">
        <f>SUM(G650:G666)/2</f>
        <v>734426.54973309394</v>
      </c>
      <c r="H648" s="13">
        <f>ROUND(SUM(H650:H666),0)/2</f>
        <v>0</v>
      </c>
      <c r="I648" s="10">
        <f>VLOOKUP(A648,Presupuesto!$A:$F,6,0)</f>
        <v>0</v>
      </c>
      <c r="J648" s="10">
        <f>+H648-I648</f>
        <v>0</v>
      </c>
      <c r="K648" s="46">
        <f>+H648-G648*E648</f>
        <v>0</v>
      </c>
    </row>
    <row r="649" spans="1:11">
      <c r="A649" s="14"/>
      <c r="B649" s="15" t="s">
        <v>2586</v>
      </c>
      <c r="C649" s="15" t="s">
        <v>5</v>
      </c>
      <c r="D649" s="16" t="s">
        <v>6</v>
      </c>
      <c r="E649" s="17" t="s">
        <v>7</v>
      </c>
      <c r="F649" s="18" t="s">
        <v>3728</v>
      </c>
      <c r="G649" s="19" t="s">
        <v>3729</v>
      </c>
      <c r="H649" s="20" t="s">
        <v>3797</v>
      </c>
    </row>
    <row r="650" spans="1:11">
      <c r="A650" s="21"/>
      <c r="B650" s="22" t="s">
        <v>3730</v>
      </c>
      <c r="C650" s="23"/>
      <c r="D650" s="24"/>
      <c r="E650" s="25"/>
      <c r="F650" s="26"/>
      <c r="G650" s="27">
        <f>SUM(G651:G655)</f>
        <v>685885.20000000007</v>
      </c>
      <c r="H650" s="27">
        <f>IFERROR(G650*E648,"")</f>
        <v>0</v>
      </c>
    </row>
    <row r="651" spans="1:11">
      <c r="A651" s="28"/>
      <c r="B651" s="29" t="s">
        <v>3082</v>
      </c>
      <c r="C651" s="30" t="str">
        <f>IFERROR(_xlfn.XLOOKUP(B651,Insumo[DESCRIPCION],Insumo[UND],,0),"")</f>
        <v>Un</v>
      </c>
      <c r="D651" s="31">
        <v>1</v>
      </c>
      <c r="E651" s="32">
        <f>IFERROR(_xlfn.XLOOKUP($B651,Insumo[DESCRIPCION],Insumo[VALOR],,0),"")</f>
        <v>652050</v>
      </c>
      <c r="F651" s="33"/>
      <c r="G651" s="34">
        <f>IFERROR(IF(F651&gt;=0,D651*E651*(1+F651/100),ABS(D651*E651/F651)),"")</f>
        <v>652050</v>
      </c>
      <c r="H651" s="43">
        <f>IFERROR(G651*E648,"")</f>
        <v>0</v>
      </c>
    </row>
    <row r="652" spans="1:11">
      <c r="A652" s="28"/>
      <c r="B652" s="29" t="s">
        <v>2800</v>
      </c>
      <c r="C652" s="30" t="str">
        <f>IFERROR(_xlfn.XLOOKUP(B652,Insumo[DESCRIPCION],Insumo[UND],,0),"")</f>
        <v>M</v>
      </c>
      <c r="D652" s="31">
        <v>1</v>
      </c>
      <c r="E652" s="32">
        <f>IFERROR(_xlfn.XLOOKUP($B652,Insumo[DESCRIPCION],Insumo[VALOR],,0),"")</f>
        <v>7387.8</v>
      </c>
      <c r="F652" s="33"/>
      <c r="G652" s="34">
        <f>IFERROR(IF(F652&gt;=0,D652*E652*(1+F652/100),ABS(D652*E652/F652)),"")</f>
        <v>7387.8</v>
      </c>
      <c r="H652" s="43">
        <f>IFERROR(G652*E648,"")</f>
        <v>0</v>
      </c>
    </row>
    <row r="653" spans="1:11">
      <c r="A653" s="28"/>
      <c r="B653" s="29" t="s">
        <v>2855</v>
      </c>
      <c r="C653" s="30" t="str">
        <f>IFERROR(_xlfn.XLOOKUP(B653,Insumo[DESCRIPCION],Insumo[UND],,0),"")</f>
        <v>Un</v>
      </c>
      <c r="D653" s="31">
        <v>1</v>
      </c>
      <c r="E653" s="32">
        <f>IFERROR(_xlfn.XLOOKUP($B653,Insumo[DESCRIPCION],Insumo[VALOR],,0),"")</f>
        <v>6421.8</v>
      </c>
      <c r="F653" s="33"/>
      <c r="G653" s="34">
        <f>IFERROR(IF(F653&gt;=0,D653*E653*(1+F653/100),ABS(D653*E653/F653)),"")</f>
        <v>6421.8</v>
      </c>
      <c r="H653" s="43">
        <f>IFERROR(G653*E648,"")</f>
        <v>0</v>
      </c>
    </row>
    <row r="654" spans="1:11">
      <c r="A654" s="28"/>
      <c r="B654" s="29" t="s">
        <v>2995</v>
      </c>
      <c r="C654" s="30" t="str">
        <f>IFERROR(_xlfn.XLOOKUP(B654,Insumo[DESCRIPCION],Insumo[UND],,0),"")</f>
        <v>Un</v>
      </c>
      <c r="D654" s="31">
        <v>1</v>
      </c>
      <c r="E654" s="32">
        <f>IFERROR(_xlfn.XLOOKUP($B654,Insumo[DESCRIPCION],Insumo[VALOR],,0),"")</f>
        <v>10479</v>
      </c>
      <c r="F654" s="33"/>
      <c r="G654" s="34">
        <f>IFERROR(IF(F654&gt;=0,D654*E654*(1+F654/100),ABS(D654*E654/F654)),"")</f>
        <v>10479</v>
      </c>
      <c r="H654" s="43">
        <f>IFERROR(G654*E648,"")</f>
        <v>0</v>
      </c>
    </row>
    <row r="655" spans="1:11">
      <c r="A655" s="28"/>
      <c r="B655" s="29" t="s">
        <v>3200</v>
      </c>
      <c r="C655" s="30" t="str">
        <f>IFERROR(_xlfn.XLOOKUP(B655,Insumo[DESCRIPCION],Insumo[UND],,0),"")</f>
        <v>Un</v>
      </c>
      <c r="D655" s="31">
        <v>4</v>
      </c>
      <c r="E655" s="32">
        <f>IFERROR(_xlfn.XLOOKUP($B655,Insumo[DESCRIPCION],Insumo[VALOR],,0),"")</f>
        <v>2386.65</v>
      </c>
      <c r="F655" s="33"/>
      <c r="G655" s="34">
        <f>IFERROR(IF(F655&gt;=0,D655*E655*(1+F655/100),ABS(D655*E655/F655)),"")</f>
        <v>9546.6</v>
      </c>
      <c r="H655" s="43">
        <f>IFERROR(G655*E648,"")</f>
        <v>0</v>
      </c>
    </row>
    <row r="656" spans="1:11">
      <c r="A656" s="21"/>
      <c r="B656" s="22" t="s">
        <v>3731</v>
      </c>
      <c r="C656" s="23"/>
      <c r="D656" s="24"/>
      <c r="E656" s="25"/>
      <c r="F656" s="26"/>
      <c r="G656" s="27">
        <f>SUM(G657:G659)</f>
        <v>6331.480399968752</v>
      </c>
      <c r="H656" s="27">
        <f>IFERROR(G656*E648,"")</f>
        <v>0</v>
      </c>
    </row>
    <row r="657" spans="1:11">
      <c r="A657" s="28"/>
      <c r="B657" s="29" t="s">
        <v>3573</v>
      </c>
      <c r="C657" s="30" t="str">
        <f>IFERROR(_xlfn.XLOOKUP(B657,Equipo[DESCRIPCION],Equipo[UND],,0),"")</f>
        <v>%MO</v>
      </c>
      <c r="D657" s="31">
        <v>0.1</v>
      </c>
      <c r="E657" s="32">
        <f>IF(C657="%MO",G663,IFERROR(_xlfn.XLOOKUP($B657,Equipo[DESCRIPCION],Equipo[VALOR],,0),""))</f>
        <v>42209.869333125011</v>
      </c>
      <c r="F657" s="33"/>
      <c r="G657" s="34">
        <f>IFERROR(IF(F657&gt;=0,D657*E657*(1+F657/100),ABS(D657*E657/F657)),"")</f>
        <v>4220.9869333125016</v>
      </c>
      <c r="H657" s="43">
        <f>IFERROR(G657*E648,"")</f>
        <v>0</v>
      </c>
    </row>
    <row r="658" spans="1:11">
      <c r="A658" s="28"/>
      <c r="B658" s="29" t="s">
        <v>3626</v>
      </c>
      <c r="C658" s="30" t="str">
        <f>IFERROR(_xlfn.XLOOKUP(B658,Equipo[DESCRIPCION],Equipo[UND],,0),"")</f>
        <v>%MO</v>
      </c>
      <c r="D658" s="31">
        <v>0.05</v>
      </c>
      <c r="E658" s="32">
        <f>IF(C658="%MO",G663,IFERROR(_xlfn.XLOOKUP($B658,Equipo[DESCRIPCION],Equipo[VALOR],,0),""))</f>
        <v>42209.869333125011</v>
      </c>
      <c r="F658" s="33"/>
      <c r="G658" s="34">
        <f>IFERROR(IF(F658&gt;=0,D658*E658*(1+F658/100),ABS(D658*E658/F658)),"")</f>
        <v>2110.4934666562508</v>
      </c>
      <c r="H658" s="43">
        <f>IFERROR(G658*E648,"")</f>
        <v>0</v>
      </c>
    </row>
    <row r="659" spans="1:11">
      <c r="A659" s="28"/>
      <c r="B659" s="29"/>
      <c r="C659" s="30" t="str">
        <f>IFERROR(_xlfn.XLOOKUP(B659,Equipo[DESCRIPCION],Equipo[UND],,0),"")</f>
        <v/>
      </c>
      <c r="D659" s="31"/>
      <c r="E659" s="32" t="str">
        <f>IF(C659="%MO",G663,IFERROR(_xlfn.XLOOKUP($B659,Equipo[DESCRIPCION],Equipo[VALOR],,0),""))</f>
        <v/>
      </c>
      <c r="F659" s="33"/>
      <c r="G659" s="34" t="str">
        <f>IFERROR(IF(F659&gt;=0,D659*E659*(1+F659/100),ABS(D659*E659/F659)),"")</f>
        <v/>
      </c>
      <c r="H659" s="43" t="str">
        <f>IFERROR(G659*E648,"")</f>
        <v/>
      </c>
    </row>
    <row r="660" spans="1:11">
      <c r="A660" s="21"/>
      <c r="B660" s="22" t="s">
        <v>2533</v>
      </c>
      <c r="C660" s="23"/>
      <c r="D660" s="24"/>
      <c r="E660" s="25"/>
      <c r="F660" s="26"/>
      <c r="G660" s="27">
        <f>SUM(G661:G662)</f>
        <v>0</v>
      </c>
      <c r="H660" s="27">
        <f>IFERROR(G660*E648,"")</f>
        <v>0</v>
      </c>
    </row>
    <row r="661" spans="1:11">
      <c r="A661" s="28"/>
      <c r="B661" s="29"/>
      <c r="C661" s="30" t="str">
        <f>IFERROR(_xlfn.XLOOKUP(B661,Transporte[DESCRIPCION],Transporte[UND],,0),"")</f>
        <v/>
      </c>
      <c r="D661" s="31"/>
      <c r="E661" s="32" t="str">
        <f>IFERROR(_xlfn.XLOOKUP($B661,Transporte[DESCRIPCION],Transporte[VALOR],,0),"")</f>
        <v/>
      </c>
      <c r="F661" s="33"/>
      <c r="G661" s="34" t="str">
        <f>IFERROR(IF(F661&gt;=0,D661*E661*(1+F661/100),ABS(D661*E661/F661)),"")</f>
        <v/>
      </c>
      <c r="H661" s="43" t="str">
        <f>IFERROR(G661*E648,"")</f>
        <v/>
      </c>
    </row>
    <row r="662" spans="1:11">
      <c r="A662" s="28"/>
      <c r="B662" s="29"/>
      <c r="C662" s="30" t="str">
        <f>IFERROR(_xlfn.XLOOKUP(B662,Transporte[DESCRIPCION],Transporte[UND],,0),"")</f>
        <v/>
      </c>
      <c r="D662" s="31"/>
      <c r="E662" s="32" t="str">
        <f>IFERROR(_xlfn.XLOOKUP($B662,Transporte[DESCRIPCION],Transporte[VALOR],,0),"")</f>
        <v/>
      </c>
      <c r="F662" s="33"/>
      <c r="G662" s="34" t="str">
        <f>IFERROR(IF(F662&gt;=0,D662*E662*(1+F662/100),ABS(D662*E662/F662)),"")</f>
        <v/>
      </c>
      <c r="H662" s="43" t="str">
        <f>IFERROR(G662*E648,"")</f>
        <v/>
      </c>
    </row>
    <row r="663" spans="1:11">
      <c r="A663" s="21"/>
      <c r="B663" s="22" t="s">
        <v>3732</v>
      </c>
      <c r="C663" s="23"/>
      <c r="D663" s="24"/>
      <c r="E663" s="25"/>
      <c r="F663" s="26"/>
      <c r="G663" s="27">
        <f>SUM(G664:G666)</f>
        <v>42209.869333125011</v>
      </c>
      <c r="H663" s="27">
        <f>IFERROR(G663*E648,"")</f>
        <v>0</v>
      </c>
    </row>
    <row r="664" spans="1:11">
      <c r="A664" s="28"/>
      <c r="B664" s="29" t="s">
        <v>3715</v>
      </c>
      <c r="C664" s="30" t="str">
        <f>IFERROR(_xlfn.XLOOKUP(B664,MObra[DESCRIPCION],MObra[UN],,0),"")</f>
        <v>día</v>
      </c>
      <c r="D664" s="31">
        <v>1</v>
      </c>
      <c r="E664" s="32">
        <f>IFERROR(_xlfn.XLOOKUP($B664,MObra[DESCRIPCION],MObra[VALOR UNIT],,0),"")</f>
        <v>337678.95466500008</v>
      </c>
      <c r="F664" s="33">
        <v>-8</v>
      </c>
      <c r="G664" s="34">
        <f>IFERROR(IF(F664&gt;=0,D664*E664*(1+F664/100),ABS(D664*E664/F664)),"")</f>
        <v>42209.869333125011</v>
      </c>
      <c r="H664" s="43">
        <f>IFERROR(G664*E648,"")</f>
        <v>0</v>
      </c>
    </row>
    <row r="665" spans="1:11">
      <c r="A665" s="28"/>
      <c r="B665" s="29"/>
      <c r="C665" s="30" t="str">
        <f>IFERROR(_xlfn.XLOOKUP(B665,MObra[DESCRIPCION],MObra[UN],,0),"")</f>
        <v/>
      </c>
      <c r="D665" s="31"/>
      <c r="E665" s="32" t="str">
        <f>IFERROR(_xlfn.XLOOKUP($B665,MObra[DESCRIPCION],MObra[VALOR UNIT],,0),"")</f>
        <v/>
      </c>
      <c r="F665" s="33"/>
      <c r="G665" s="34" t="str">
        <f>IFERROR(IF(F665&gt;=0,D665*E665*(1+F665/100),ABS(D665*E665/F665)),"")</f>
        <v/>
      </c>
      <c r="H665" s="43" t="str">
        <f>IFERROR(G665*E648,"")</f>
        <v/>
      </c>
    </row>
    <row r="666" spans="1:11">
      <c r="A666" s="35"/>
      <c r="B666" s="36"/>
      <c r="C666" s="37" t="str">
        <f>IFERROR(_xlfn.XLOOKUP(B666,MObra[DESCRIPCION],MObra[UN],,0),"")</f>
        <v/>
      </c>
      <c r="D666" s="38"/>
      <c r="E666" s="39" t="str">
        <f>IFERROR(_xlfn.XLOOKUP($B666,MObra[DESCRIPCION],MObra[VALOR UNIT],,0),"")</f>
        <v/>
      </c>
      <c r="F666" s="40"/>
      <c r="G666" s="41" t="str">
        <f>IFERROR(IF(F666&gt;=0,D666*E666*(1+F666/100),ABS(D666*E666/F666)),"")</f>
        <v/>
      </c>
      <c r="H666" s="42" t="str">
        <f>IFERROR(G666*E648,"")</f>
        <v/>
      </c>
    </row>
    <row r="667" spans="1:11" ht="12.75" customHeight="1" thickTop="1" thickBot="1"/>
    <row r="668" spans="1:11" ht="26.25" thickTop="1" thickBot="1">
      <c r="A668" s="6" t="s">
        <v>2326</v>
      </c>
      <c r="B668" s="7" t="str">
        <f>VLOOKUP($A668,Presupuesto!$A:$D,2,FALSE())</f>
        <v>Luminaria LED lineal incrustar/suspender 20w, 1600 lm 4000k, eficacia&gt;=75 lm/w, VU &gt;=50000h@l70</v>
      </c>
      <c r="C668" s="8" t="str">
        <f>VLOOKUP($A668,Presupuesto!$A:$D,3,FALSE())</f>
        <v>Un</v>
      </c>
      <c r="D668" s="9"/>
      <c r="E668" s="10">
        <f>VLOOKUP($A668,Presupuesto!$A:$D,4,FALSE())</f>
        <v>0</v>
      </c>
      <c r="F668" s="11" t="s">
        <v>2589</v>
      </c>
      <c r="G668" s="12">
        <f>SUM(G670:G686)/2</f>
        <v>4705429.9627997829</v>
      </c>
      <c r="H668" s="13">
        <f>ROUND(SUM(H670:H686),0)/2</f>
        <v>0</v>
      </c>
      <c r="I668" s="10">
        <f>VLOOKUP(A668,Presupuesto!$A:$F,6,0)</f>
        <v>0</v>
      </c>
      <c r="J668" s="10">
        <f>+H668-I668</f>
        <v>0</v>
      </c>
      <c r="K668" s="46">
        <f>+H668-G668*E668</f>
        <v>0</v>
      </c>
    </row>
    <row r="669" spans="1:11">
      <c r="A669" s="14"/>
      <c r="B669" s="15" t="s">
        <v>2586</v>
      </c>
      <c r="C669" s="15" t="s">
        <v>5</v>
      </c>
      <c r="D669" s="16" t="s">
        <v>6</v>
      </c>
      <c r="E669" s="17" t="s">
        <v>7</v>
      </c>
      <c r="F669" s="18" t="s">
        <v>3728</v>
      </c>
      <c r="G669" s="19" t="s">
        <v>3729</v>
      </c>
      <c r="H669" s="20" t="s">
        <v>3797</v>
      </c>
    </row>
    <row r="670" spans="1:11">
      <c r="A670" s="21"/>
      <c r="B670" s="22" t="s">
        <v>3730</v>
      </c>
      <c r="C670" s="23"/>
      <c r="D670" s="24"/>
      <c r="E670" s="25"/>
      <c r="F670" s="26"/>
      <c r="G670" s="27">
        <f>SUM(G671:G675)</f>
        <v>4661109.5999999996</v>
      </c>
      <c r="H670" s="27">
        <f>IFERROR(G670*E668,"")</f>
        <v>0</v>
      </c>
    </row>
    <row r="671" spans="1:11" ht="25.5">
      <c r="A671" s="28"/>
      <c r="B671" s="29" t="s">
        <v>3070</v>
      </c>
      <c r="C671" s="30" t="str">
        <f>IFERROR(_xlfn.XLOOKUP(B671,Insumo[DESCRIPCION],Insumo[UND],,0),"")</f>
        <v>Un</v>
      </c>
      <c r="D671" s="31">
        <v>1</v>
      </c>
      <c r="E671" s="32">
        <f>IFERROR(_xlfn.XLOOKUP($B671,Insumo[DESCRIPCION],Insumo[VALOR],,0),"")</f>
        <v>4647300</v>
      </c>
      <c r="F671" s="33"/>
      <c r="G671" s="34">
        <f>IFERROR(IF(F671&gt;=0,D671*E671*(1+F671/100),ABS(D671*E671/F671)),"")</f>
        <v>4647300</v>
      </c>
      <c r="H671" s="43">
        <f>IFERROR(G671*E668,"")</f>
        <v>0</v>
      </c>
    </row>
    <row r="672" spans="1:11">
      <c r="A672" s="28"/>
      <c r="B672" s="29" t="s">
        <v>2800</v>
      </c>
      <c r="C672" s="30" t="str">
        <f>IFERROR(_xlfn.XLOOKUP(B672,Insumo[DESCRIPCION],Insumo[UND],,0),"")</f>
        <v>M</v>
      </c>
      <c r="D672" s="31">
        <v>1</v>
      </c>
      <c r="E672" s="32">
        <f>IFERROR(_xlfn.XLOOKUP($B672,Insumo[DESCRIPCION],Insumo[VALOR],,0),"")</f>
        <v>7387.8</v>
      </c>
      <c r="F672" s="33"/>
      <c r="G672" s="34">
        <f>IFERROR(IF(F672&gt;=0,D672*E672*(1+F672/100),ABS(D672*E672/F672)),"")</f>
        <v>7387.8</v>
      </c>
      <c r="H672" s="43">
        <f>IFERROR(G672*E668,"")</f>
        <v>0</v>
      </c>
    </row>
    <row r="673" spans="1:11">
      <c r="A673" s="28"/>
      <c r="B673" s="29" t="s">
        <v>2855</v>
      </c>
      <c r="C673" s="30" t="str">
        <f>IFERROR(_xlfn.XLOOKUP(B673,Insumo[DESCRIPCION],Insumo[UND],,0),"")</f>
        <v>Un</v>
      </c>
      <c r="D673" s="31">
        <v>1</v>
      </c>
      <c r="E673" s="32">
        <f>IFERROR(_xlfn.XLOOKUP($B673,Insumo[DESCRIPCION],Insumo[VALOR],,0),"")</f>
        <v>6421.8</v>
      </c>
      <c r="F673" s="33"/>
      <c r="G673" s="34">
        <f>IFERROR(IF(F673&gt;=0,D673*E673*(1+F673/100),ABS(D673*E673/F673)),"")</f>
        <v>6421.8</v>
      </c>
      <c r="H673" s="43">
        <f>IFERROR(G673*E668,"")</f>
        <v>0</v>
      </c>
    </row>
    <row r="674" spans="1:11">
      <c r="A674" s="28"/>
      <c r="B674" s="29"/>
      <c r="C674" s="30" t="str">
        <f>IFERROR(_xlfn.XLOOKUP(B674,Insumo[DESCRIPCION],Insumo[UND],,0),"")</f>
        <v/>
      </c>
      <c r="D674" s="31"/>
      <c r="E674" s="32" t="str">
        <f>IFERROR(_xlfn.XLOOKUP($B674,Insumo[DESCRIPCION],Insumo[VALOR],,0),"")</f>
        <v/>
      </c>
      <c r="F674" s="33"/>
      <c r="G674" s="34" t="str">
        <f>IFERROR(IF(F674&gt;=0,D674*E674*(1+F674/100),ABS(D674*E674/F674)),"")</f>
        <v/>
      </c>
      <c r="H674" s="43" t="str">
        <f>IFERROR(G674*E668,"")</f>
        <v/>
      </c>
    </row>
    <row r="675" spans="1:11">
      <c r="A675" s="28"/>
      <c r="B675" s="29"/>
      <c r="C675" s="30" t="str">
        <f>IFERROR(_xlfn.XLOOKUP(B675,Insumo[DESCRIPCION],Insumo[UND],,0),"")</f>
        <v/>
      </c>
      <c r="D675" s="31"/>
      <c r="E675" s="32" t="str">
        <f>IFERROR(_xlfn.XLOOKUP($B675,Insumo[DESCRIPCION],Insumo[VALOR],,0),"")</f>
        <v/>
      </c>
      <c r="F675" s="33"/>
      <c r="G675" s="34" t="str">
        <f>IFERROR(IF(F675&gt;=0,D675*E675*(1+F675/100),ABS(D675*E675/F675)),"")</f>
        <v/>
      </c>
      <c r="H675" s="43" t="str">
        <f>IFERROR(G675*E668,"")</f>
        <v/>
      </c>
    </row>
    <row r="676" spans="1:11">
      <c r="A676" s="21"/>
      <c r="B676" s="22" t="s">
        <v>3731</v>
      </c>
      <c r="C676" s="23"/>
      <c r="D676" s="24"/>
      <c r="E676" s="25"/>
      <c r="F676" s="26"/>
      <c r="G676" s="27">
        <f>SUM(G677:G679)</f>
        <v>2110.4934666562508</v>
      </c>
      <c r="H676" s="27">
        <f>IFERROR(G676*E668,"")</f>
        <v>0</v>
      </c>
    </row>
    <row r="677" spans="1:11">
      <c r="A677" s="28"/>
      <c r="B677" s="29" t="s">
        <v>3626</v>
      </c>
      <c r="C677" s="30" t="str">
        <f>IFERROR(_xlfn.XLOOKUP(B677,Equipo[DESCRIPCION],Equipo[UND],,0),"")</f>
        <v>%MO</v>
      </c>
      <c r="D677" s="31">
        <v>0.05</v>
      </c>
      <c r="E677" s="32">
        <f>IF(C677="%MO",G683,IFERROR(_xlfn.XLOOKUP($B677,Equipo[DESCRIPCION],Equipo[VALOR],,0),""))</f>
        <v>42209.869333125011</v>
      </c>
      <c r="F677" s="33"/>
      <c r="G677" s="34">
        <f>IFERROR(IF(F677&gt;=0,D677*E677*(1+F677/100),ABS(D677*E677/F677)),"")</f>
        <v>2110.4934666562508</v>
      </c>
      <c r="H677" s="43">
        <f>IFERROR(G677*E668,"")</f>
        <v>0</v>
      </c>
    </row>
    <row r="678" spans="1:11">
      <c r="A678" s="28"/>
      <c r="B678" s="29"/>
      <c r="C678" s="30" t="str">
        <f>IFERROR(_xlfn.XLOOKUP(B678,Equipo[DESCRIPCION],Equipo[UND],,0),"")</f>
        <v/>
      </c>
      <c r="D678" s="31"/>
      <c r="E678" s="32" t="str">
        <f>IF(C678="%MO",G683,IFERROR(_xlfn.XLOOKUP($B678,Equipo[DESCRIPCION],Equipo[VALOR],,0),""))</f>
        <v/>
      </c>
      <c r="F678" s="33"/>
      <c r="G678" s="34" t="str">
        <f>IFERROR(IF(F678&gt;=0,D678*E678*(1+F678/100),ABS(D678*E678/F678)),"")</f>
        <v/>
      </c>
      <c r="H678" s="43" t="str">
        <f>IFERROR(G678*E668,"")</f>
        <v/>
      </c>
    </row>
    <row r="679" spans="1:11">
      <c r="A679" s="28"/>
      <c r="B679" s="29"/>
      <c r="C679" s="30" t="str">
        <f>IFERROR(_xlfn.XLOOKUP(B679,Equipo[DESCRIPCION],Equipo[UND],,0),"")</f>
        <v/>
      </c>
      <c r="D679" s="31"/>
      <c r="E679" s="32" t="str">
        <f>IF(C679="%MO",G683,IFERROR(_xlfn.XLOOKUP($B679,Equipo[DESCRIPCION],Equipo[VALOR],,0),""))</f>
        <v/>
      </c>
      <c r="F679" s="33"/>
      <c r="G679" s="34" t="str">
        <f>IFERROR(IF(F679&gt;=0,D679*E679*(1+F679/100),ABS(D679*E679/F679)),"")</f>
        <v/>
      </c>
      <c r="H679" s="43" t="str">
        <f>IFERROR(G679*E668,"")</f>
        <v/>
      </c>
    </row>
    <row r="680" spans="1:11">
      <c r="A680" s="21"/>
      <c r="B680" s="22" t="s">
        <v>2533</v>
      </c>
      <c r="C680" s="23"/>
      <c r="D680" s="24"/>
      <c r="E680" s="25"/>
      <c r="F680" s="26"/>
      <c r="G680" s="27">
        <f>SUM(G681:G682)</f>
        <v>0</v>
      </c>
      <c r="H680" s="27">
        <f>IFERROR(G680*E668,"")</f>
        <v>0</v>
      </c>
    </row>
    <row r="681" spans="1:11">
      <c r="A681" s="28"/>
      <c r="B681" s="29"/>
      <c r="C681" s="30" t="str">
        <f>IFERROR(_xlfn.XLOOKUP(B681,Transporte[DESCRIPCION],Transporte[UND],,0),"")</f>
        <v/>
      </c>
      <c r="D681" s="31"/>
      <c r="E681" s="32" t="str">
        <f>IFERROR(_xlfn.XLOOKUP($B681,Transporte[DESCRIPCION],Transporte[VALOR],,0),"")</f>
        <v/>
      </c>
      <c r="F681" s="33"/>
      <c r="G681" s="34" t="str">
        <f>IFERROR(IF(F681&gt;=0,D681*E681*(1+F681/100),ABS(D681*E681/F681)),"")</f>
        <v/>
      </c>
      <c r="H681" s="43" t="str">
        <f>IFERROR(G681*E668,"")</f>
        <v/>
      </c>
    </row>
    <row r="682" spans="1:11">
      <c r="A682" s="28"/>
      <c r="B682" s="29"/>
      <c r="C682" s="30" t="str">
        <f>IFERROR(_xlfn.XLOOKUP(B682,Transporte[DESCRIPCION],Transporte[UND],,0),"")</f>
        <v/>
      </c>
      <c r="D682" s="31"/>
      <c r="E682" s="32" t="str">
        <f>IFERROR(_xlfn.XLOOKUP($B682,Transporte[DESCRIPCION],Transporte[VALOR],,0),"")</f>
        <v/>
      </c>
      <c r="F682" s="33"/>
      <c r="G682" s="34" t="str">
        <f>IFERROR(IF(F682&gt;=0,D682*E682*(1+F682/100),ABS(D682*E682/F682)),"")</f>
        <v/>
      </c>
      <c r="H682" s="43" t="str">
        <f>IFERROR(G682*E668,"")</f>
        <v/>
      </c>
    </row>
    <row r="683" spans="1:11">
      <c r="A683" s="21"/>
      <c r="B683" s="22" t="s">
        <v>3732</v>
      </c>
      <c r="C683" s="23"/>
      <c r="D683" s="24"/>
      <c r="E683" s="25"/>
      <c r="F683" s="26"/>
      <c r="G683" s="27">
        <f>SUM(G684:G686)</f>
        <v>42209.869333125011</v>
      </c>
      <c r="H683" s="27">
        <f>IFERROR(G683*E668,"")</f>
        <v>0</v>
      </c>
    </row>
    <row r="684" spans="1:11">
      <c r="A684" s="28"/>
      <c r="B684" s="29" t="s">
        <v>3715</v>
      </c>
      <c r="C684" s="30" t="str">
        <f>IFERROR(_xlfn.XLOOKUP(B684,MObra[DESCRIPCION],MObra[UN],,0),"")</f>
        <v>día</v>
      </c>
      <c r="D684" s="31">
        <v>1</v>
      </c>
      <c r="E684" s="32">
        <f>IFERROR(_xlfn.XLOOKUP($B684,MObra[DESCRIPCION],MObra[VALOR UNIT],,0),"")</f>
        <v>337678.95466500008</v>
      </c>
      <c r="F684" s="33">
        <v>-8</v>
      </c>
      <c r="G684" s="34">
        <f>IFERROR(IF(F684&gt;=0,D684*E684*(1+F684/100),ABS(D684*E684/F684)),"")</f>
        <v>42209.869333125011</v>
      </c>
      <c r="H684" s="43">
        <f>IFERROR(G684*E668,"")</f>
        <v>0</v>
      </c>
    </row>
    <row r="685" spans="1:11">
      <c r="A685" s="28"/>
      <c r="B685" s="29"/>
      <c r="C685" s="30" t="str">
        <f>IFERROR(_xlfn.XLOOKUP(B685,MObra[DESCRIPCION],MObra[UN],,0),"")</f>
        <v/>
      </c>
      <c r="D685" s="31"/>
      <c r="E685" s="32" t="str">
        <f>IFERROR(_xlfn.XLOOKUP($B685,MObra[DESCRIPCION],MObra[VALOR UNIT],,0),"")</f>
        <v/>
      </c>
      <c r="F685" s="33"/>
      <c r="G685" s="34" t="str">
        <f>IFERROR(IF(F685&gt;=0,D685*E685*(1+F685/100),ABS(D685*E685/F685)),"")</f>
        <v/>
      </c>
      <c r="H685" s="43" t="str">
        <f>IFERROR(G685*E668,"")</f>
        <v/>
      </c>
    </row>
    <row r="686" spans="1:11">
      <c r="A686" s="35"/>
      <c r="B686" s="36"/>
      <c r="C686" s="37" t="str">
        <f>IFERROR(_xlfn.XLOOKUP(B686,MObra[DESCRIPCION],MObra[UN],,0),"")</f>
        <v/>
      </c>
      <c r="D686" s="38"/>
      <c r="E686" s="39" t="str">
        <f>IFERROR(_xlfn.XLOOKUP($B686,MObra[DESCRIPCION],MObra[VALOR UNIT],,0),"")</f>
        <v/>
      </c>
      <c r="F686" s="40"/>
      <c r="G686" s="41" t="str">
        <f>IFERROR(IF(F686&gt;=0,D686*E686*(1+F686/100),ABS(D686*E686/F686)),"")</f>
        <v/>
      </c>
      <c r="H686" s="42" t="str">
        <f>IFERROR(G686*E668,"")</f>
        <v/>
      </c>
    </row>
    <row r="688" spans="1:11" ht="25.5">
      <c r="A688" s="6" t="s">
        <v>2328</v>
      </c>
      <c r="B688" s="7" t="str">
        <f>VLOOKUP($A688,Presupuesto!$A:$D,2,FALSE())</f>
        <v>Luminaria LED lineal incrustar/suspender 40w, 3200 lm 4000k, eficacia&gt;=75 lm/w, VU &gt;=50000h@l70</v>
      </c>
      <c r="C688" s="8" t="str">
        <f>VLOOKUP($A688,Presupuesto!$A:$D,3,FALSE())</f>
        <v>Un</v>
      </c>
      <c r="D688" s="9"/>
      <c r="E688" s="10">
        <f>VLOOKUP($A688,Presupuesto!$A:$D,4,FALSE())</f>
        <v>0</v>
      </c>
      <c r="F688" s="11" t="s">
        <v>2589</v>
      </c>
      <c r="G688" s="12">
        <f>SUM(G690:G706)/2</f>
        <v>366829.96279978135</v>
      </c>
      <c r="H688" s="13">
        <f>ROUND(SUM(H690:H706),0)/2</f>
        <v>0</v>
      </c>
      <c r="I688" s="10">
        <f>VLOOKUP(A688,Presupuesto!$A:$F,6,0)</f>
        <v>0</v>
      </c>
      <c r="J688" s="10">
        <f>+H688-I688</f>
        <v>0</v>
      </c>
      <c r="K688" s="46">
        <f>+H688-G688*E688</f>
        <v>0</v>
      </c>
    </row>
    <row r="689" spans="1:8">
      <c r="A689" s="14"/>
      <c r="B689" s="15" t="s">
        <v>2586</v>
      </c>
      <c r="C689" s="15" t="s">
        <v>5</v>
      </c>
      <c r="D689" s="16" t="s">
        <v>6</v>
      </c>
      <c r="E689" s="17" t="s">
        <v>7</v>
      </c>
      <c r="F689" s="18" t="s">
        <v>3728</v>
      </c>
      <c r="G689" s="19" t="s">
        <v>3729</v>
      </c>
      <c r="H689" s="20" t="s">
        <v>3797</v>
      </c>
    </row>
    <row r="690" spans="1:8">
      <c r="A690" s="21"/>
      <c r="B690" s="22" t="s">
        <v>3730</v>
      </c>
      <c r="C690" s="23"/>
      <c r="D690" s="24"/>
      <c r="E690" s="25"/>
      <c r="F690" s="26"/>
      <c r="G690" s="27">
        <f>SUM(G691:G695)</f>
        <v>322509.59999999998</v>
      </c>
      <c r="H690" s="27">
        <f>IFERROR(G690*E688,"")</f>
        <v>0</v>
      </c>
    </row>
    <row r="691" spans="1:8" ht="25.5">
      <c r="A691" s="28"/>
      <c r="B691" s="29" t="s">
        <v>3071</v>
      </c>
      <c r="C691" s="30" t="str">
        <f>IFERROR(_xlfn.XLOOKUP(B691,Insumo[DESCRIPCION],Insumo[UND],,0),"")</f>
        <v>Un</v>
      </c>
      <c r="D691" s="31">
        <v>1</v>
      </c>
      <c r="E691" s="32">
        <f>IFERROR(_xlfn.XLOOKUP($B691,Insumo[DESCRIPCION],Insumo[VALOR],,0),"")</f>
        <v>308700</v>
      </c>
      <c r="F691" s="33"/>
      <c r="G691" s="34">
        <f>IFERROR(IF(F691&gt;=0,D691*E691*(1+F691/100),ABS(D691*E691/F691)),"")</f>
        <v>308700</v>
      </c>
      <c r="H691" s="43">
        <f>IFERROR(G691*E688,"")</f>
        <v>0</v>
      </c>
    </row>
    <row r="692" spans="1:8">
      <c r="A692" s="28"/>
      <c r="B692" s="29" t="s">
        <v>2800</v>
      </c>
      <c r="C692" s="30" t="str">
        <f>IFERROR(_xlfn.XLOOKUP(B692,Insumo[DESCRIPCION],Insumo[UND],,0),"")</f>
        <v>M</v>
      </c>
      <c r="D692" s="31">
        <v>1</v>
      </c>
      <c r="E692" s="32">
        <f>IFERROR(_xlfn.XLOOKUP($B692,Insumo[DESCRIPCION],Insumo[VALOR],,0),"")</f>
        <v>7387.8</v>
      </c>
      <c r="F692" s="33"/>
      <c r="G692" s="34">
        <f>IFERROR(IF(F692&gt;=0,D692*E692*(1+F692/100),ABS(D692*E692/F692)),"")</f>
        <v>7387.8</v>
      </c>
      <c r="H692" s="43">
        <f>IFERROR(G692*E688,"")</f>
        <v>0</v>
      </c>
    </row>
    <row r="693" spans="1:8">
      <c r="A693" s="28"/>
      <c r="B693" s="29" t="s">
        <v>2855</v>
      </c>
      <c r="C693" s="30" t="str">
        <f>IFERROR(_xlfn.XLOOKUP(B693,Insumo[DESCRIPCION],Insumo[UND],,0),"")</f>
        <v>Un</v>
      </c>
      <c r="D693" s="31">
        <v>1</v>
      </c>
      <c r="E693" s="32">
        <f>IFERROR(_xlfn.XLOOKUP($B693,Insumo[DESCRIPCION],Insumo[VALOR],,0),"")</f>
        <v>6421.8</v>
      </c>
      <c r="F693" s="33"/>
      <c r="G693" s="34">
        <f>IFERROR(IF(F693&gt;=0,D693*E693*(1+F693/100),ABS(D693*E693/F693)),"")</f>
        <v>6421.8</v>
      </c>
      <c r="H693" s="43">
        <f>IFERROR(G693*E688,"")</f>
        <v>0</v>
      </c>
    </row>
    <row r="694" spans="1:8">
      <c r="A694" s="28"/>
      <c r="B694" s="29"/>
      <c r="C694" s="30" t="str">
        <f>IFERROR(_xlfn.XLOOKUP(B694,Insumo[DESCRIPCION],Insumo[UND],,0),"")</f>
        <v/>
      </c>
      <c r="D694" s="31"/>
      <c r="E694" s="32" t="str">
        <f>IFERROR(_xlfn.XLOOKUP($B694,Insumo[DESCRIPCION],Insumo[VALOR],,0),"")</f>
        <v/>
      </c>
      <c r="F694" s="33"/>
      <c r="G694" s="34" t="str">
        <f>IFERROR(IF(F694&gt;=0,D694*E694*(1+F694/100),ABS(D694*E694/F694)),"")</f>
        <v/>
      </c>
      <c r="H694" s="43" t="str">
        <f>IFERROR(G694*E688,"")</f>
        <v/>
      </c>
    </row>
    <row r="695" spans="1:8">
      <c r="A695" s="28"/>
      <c r="B695" s="29"/>
      <c r="C695" s="30" t="str">
        <f>IFERROR(_xlfn.XLOOKUP(B695,Insumo[DESCRIPCION],Insumo[UND],,0),"")</f>
        <v/>
      </c>
      <c r="D695" s="31"/>
      <c r="E695" s="32" t="str">
        <f>IFERROR(_xlfn.XLOOKUP($B695,Insumo[DESCRIPCION],Insumo[VALOR],,0),"")</f>
        <v/>
      </c>
      <c r="F695" s="33"/>
      <c r="G695" s="34" t="str">
        <f>IFERROR(IF(F695&gt;=0,D695*E695*(1+F695/100),ABS(D695*E695/F695)),"")</f>
        <v/>
      </c>
      <c r="H695" s="43" t="str">
        <f>IFERROR(G695*E688,"")</f>
        <v/>
      </c>
    </row>
    <row r="696" spans="1:8">
      <c r="A696" s="21"/>
      <c r="B696" s="22" t="s">
        <v>3731</v>
      </c>
      <c r="C696" s="23"/>
      <c r="D696" s="24"/>
      <c r="E696" s="25"/>
      <c r="F696" s="26"/>
      <c r="G696" s="27">
        <f>SUM(G697:G699)</f>
        <v>2110.4934666562508</v>
      </c>
      <c r="H696" s="27">
        <f>IFERROR(G696*E688,"")</f>
        <v>0</v>
      </c>
    </row>
    <row r="697" spans="1:8">
      <c r="A697" s="28"/>
      <c r="B697" s="29" t="s">
        <v>3626</v>
      </c>
      <c r="C697" s="30" t="str">
        <f>IFERROR(_xlfn.XLOOKUP(B697,Equipo[DESCRIPCION],Equipo[UND],,0),"")</f>
        <v>%MO</v>
      </c>
      <c r="D697" s="31">
        <v>0.05</v>
      </c>
      <c r="E697" s="32">
        <f>IF(C697="%MO",G703,IFERROR(_xlfn.XLOOKUP($B697,Equipo[DESCRIPCION],Equipo[VALOR],,0),""))</f>
        <v>42209.869333125011</v>
      </c>
      <c r="F697" s="33"/>
      <c r="G697" s="34">
        <f>IFERROR(IF(F697&gt;=0,D697*E697*(1+F697/100),ABS(D697*E697/F697)),"")</f>
        <v>2110.4934666562508</v>
      </c>
      <c r="H697" s="43">
        <f>IFERROR(G697*E688,"")</f>
        <v>0</v>
      </c>
    </row>
    <row r="698" spans="1:8">
      <c r="A698" s="28"/>
      <c r="B698" s="29"/>
      <c r="C698" s="30" t="str">
        <f>IFERROR(_xlfn.XLOOKUP(B698,Equipo[DESCRIPCION],Equipo[UND],,0),"")</f>
        <v/>
      </c>
      <c r="D698" s="31"/>
      <c r="E698" s="32" t="str">
        <f>IF(C698="%MO",G703,IFERROR(_xlfn.XLOOKUP($B698,Equipo[DESCRIPCION],Equipo[VALOR],,0),""))</f>
        <v/>
      </c>
      <c r="F698" s="33"/>
      <c r="G698" s="34" t="str">
        <f>IFERROR(IF(F698&gt;=0,D698*E698*(1+F698/100),ABS(D698*E698/F698)),"")</f>
        <v/>
      </c>
      <c r="H698" s="43" t="str">
        <f>IFERROR(G698*E688,"")</f>
        <v/>
      </c>
    </row>
    <row r="699" spans="1:8">
      <c r="A699" s="28"/>
      <c r="B699" s="29"/>
      <c r="C699" s="30" t="str">
        <f>IFERROR(_xlfn.XLOOKUP(B699,Equipo[DESCRIPCION],Equipo[UND],,0),"")</f>
        <v/>
      </c>
      <c r="D699" s="31"/>
      <c r="E699" s="32" t="str">
        <f>IF(C699="%MO",G703,IFERROR(_xlfn.XLOOKUP($B699,Equipo[DESCRIPCION],Equipo[VALOR],,0),""))</f>
        <v/>
      </c>
      <c r="F699" s="33"/>
      <c r="G699" s="34" t="str">
        <f>IFERROR(IF(F699&gt;=0,D699*E699*(1+F699/100),ABS(D699*E699/F699)),"")</f>
        <v/>
      </c>
      <c r="H699" s="43" t="str">
        <f>IFERROR(G699*E688,"")</f>
        <v/>
      </c>
    </row>
    <row r="700" spans="1:8">
      <c r="A700" s="21"/>
      <c r="B700" s="22" t="s">
        <v>2533</v>
      </c>
      <c r="C700" s="23"/>
      <c r="D700" s="24"/>
      <c r="E700" s="25"/>
      <c r="F700" s="26"/>
      <c r="G700" s="27">
        <f>SUM(G701:G702)</f>
        <v>0</v>
      </c>
      <c r="H700" s="27">
        <f>IFERROR(G700*E688,"")</f>
        <v>0</v>
      </c>
    </row>
    <row r="701" spans="1:8">
      <c r="A701" s="28"/>
      <c r="B701" s="29"/>
      <c r="C701" s="30" t="str">
        <f>IFERROR(_xlfn.XLOOKUP(B701,Transporte[DESCRIPCION],Transporte[UND],,0),"")</f>
        <v/>
      </c>
      <c r="D701" s="31"/>
      <c r="E701" s="32" t="str">
        <f>IFERROR(_xlfn.XLOOKUP($B701,Transporte[DESCRIPCION],Transporte[VALOR],,0),"")</f>
        <v/>
      </c>
      <c r="F701" s="33"/>
      <c r="G701" s="34" t="str">
        <f>IFERROR(IF(F701&gt;=0,D701*E701*(1+F701/100),ABS(D701*E701/F701)),"")</f>
        <v/>
      </c>
      <c r="H701" s="43" t="str">
        <f>IFERROR(G701*E688,"")</f>
        <v/>
      </c>
    </row>
    <row r="702" spans="1:8">
      <c r="A702" s="28"/>
      <c r="B702" s="29"/>
      <c r="C702" s="30" t="str">
        <f>IFERROR(_xlfn.XLOOKUP(B702,Transporte[DESCRIPCION],Transporte[UND],,0),"")</f>
        <v/>
      </c>
      <c r="D702" s="31"/>
      <c r="E702" s="32" t="str">
        <f>IFERROR(_xlfn.XLOOKUP($B702,Transporte[DESCRIPCION],Transporte[VALOR],,0),"")</f>
        <v/>
      </c>
      <c r="F702" s="33"/>
      <c r="G702" s="34" t="str">
        <f>IFERROR(IF(F702&gt;=0,D702*E702*(1+F702/100),ABS(D702*E702/F702)),"")</f>
        <v/>
      </c>
      <c r="H702" s="43" t="str">
        <f>IFERROR(G702*E688,"")</f>
        <v/>
      </c>
    </row>
    <row r="703" spans="1:8">
      <c r="A703" s="21"/>
      <c r="B703" s="22" t="s">
        <v>3732</v>
      </c>
      <c r="C703" s="23"/>
      <c r="D703" s="24"/>
      <c r="E703" s="25"/>
      <c r="F703" s="26"/>
      <c r="G703" s="27">
        <f>SUM(G704:G706)</f>
        <v>42209.869333125011</v>
      </c>
      <c r="H703" s="27">
        <f>IFERROR(G703*E688,"")</f>
        <v>0</v>
      </c>
    </row>
    <row r="704" spans="1:8">
      <c r="A704" s="28"/>
      <c r="B704" s="29" t="s">
        <v>3715</v>
      </c>
      <c r="C704" s="30" t="str">
        <f>IFERROR(_xlfn.XLOOKUP(B704,MObra[DESCRIPCION],MObra[UN],,0),"")</f>
        <v>día</v>
      </c>
      <c r="D704" s="31">
        <v>1</v>
      </c>
      <c r="E704" s="32">
        <f>IFERROR(_xlfn.XLOOKUP($B704,MObra[DESCRIPCION],MObra[VALOR UNIT],,0),"")</f>
        <v>337678.95466500008</v>
      </c>
      <c r="F704" s="33">
        <v>-8</v>
      </c>
      <c r="G704" s="34">
        <f>IFERROR(IF(F704&gt;=0,D704*E704*(1+F704/100),ABS(D704*E704/F704)),"")</f>
        <v>42209.869333125011</v>
      </c>
      <c r="H704" s="43">
        <f>IFERROR(G704*E688,"")</f>
        <v>0</v>
      </c>
    </row>
    <row r="705" spans="1:11">
      <c r="A705" s="28"/>
      <c r="B705" s="29"/>
      <c r="C705" s="30" t="str">
        <f>IFERROR(_xlfn.XLOOKUP(B705,MObra[DESCRIPCION],MObra[UN],,0),"")</f>
        <v/>
      </c>
      <c r="D705" s="31"/>
      <c r="E705" s="32" t="str">
        <f>IFERROR(_xlfn.XLOOKUP($B705,MObra[DESCRIPCION],MObra[VALOR UNIT],,0),"")</f>
        <v/>
      </c>
      <c r="F705" s="33"/>
      <c r="G705" s="34" t="str">
        <f>IFERROR(IF(F705&gt;=0,D705*E705*(1+F705/100),ABS(D705*E705/F705)),"")</f>
        <v/>
      </c>
      <c r="H705" s="43" t="str">
        <f>IFERROR(G705*E688,"")</f>
        <v/>
      </c>
    </row>
    <row r="706" spans="1:11">
      <c r="A706" s="35"/>
      <c r="B706" s="36"/>
      <c r="C706" s="37" t="str">
        <f>IFERROR(_xlfn.XLOOKUP(B706,MObra[DESCRIPCION],MObra[UN],,0),"")</f>
        <v/>
      </c>
      <c r="D706" s="38"/>
      <c r="E706" s="39" t="str">
        <f>IFERROR(_xlfn.XLOOKUP($B706,MObra[DESCRIPCION],MObra[VALOR UNIT],,0),"")</f>
        <v/>
      </c>
      <c r="F706" s="40"/>
      <c r="G706" s="41" t="str">
        <f>IFERROR(IF(F706&gt;=0,D706*E706*(1+F706/100),ABS(D706*E706/F706)),"")</f>
        <v/>
      </c>
      <c r="H706" s="42" t="str">
        <f>IFERROR(G706*E688,"")</f>
        <v/>
      </c>
    </row>
    <row r="708" spans="1:11" ht="25.5">
      <c r="A708" s="6" t="s">
        <v>2330</v>
      </c>
      <c r="B708" s="7" t="str">
        <f>VLOOKUP($A708,Presupuesto!$A:$D,2,FALSE())</f>
        <v>Luminaria LED lineal incrustar/suspender 60w, 4800 lm 4000k, eficacia&gt;=75 lm/w, VU &gt;=50000h@l70</v>
      </c>
      <c r="C708" s="8" t="str">
        <f>VLOOKUP($A708,Presupuesto!$A:$D,3,FALSE())</f>
        <v>Un</v>
      </c>
      <c r="D708" s="9"/>
      <c r="E708" s="10">
        <f>VLOOKUP($A708,Presupuesto!$A:$D,4,FALSE())</f>
        <v>0</v>
      </c>
      <c r="F708" s="11" t="s">
        <v>2589</v>
      </c>
      <c r="G708" s="12">
        <f>SUM(G710:G726)/2</f>
        <v>509629.96279978135</v>
      </c>
      <c r="H708" s="13">
        <f>ROUND(SUM(H710:H726),0)/2</f>
        <v>0</v>
      </c>
      <c r="I708" s="10">
        <f>VLOOKUP(A708,Presupuesto!$A:$F,6,0)</f>
        <v>0</v>
      </c>
      <c r="J708" s="10">
        <f>+H708-I708</f>
        <v>0</v>
      </c>
      <c r="K708" s="46">
        <f>+H708-G708*E708</f>
        <v>0</v>
      </c>
    </row>
    <row r="709" spans="1:11">
      <c r="A709" s="14"/>
      <c r="B709" s="15" t="s">
        <v>2586</v>
      </c>
      <c r="C709" s="15" t="s">
        <v>5</v>
      </c>
      <c r="D709" s="16" t="s">
        <v>6</v>
      </c>
      <c r="E709" s="17" t="s">
        <v>7</v>
      </c>
      <c r="F709" s="18" t="s">
        <v>3728</v>
      </c>
      <c r="G709" s="19" t="s">
        <v>3729</v>
      </c>
      <c r="H709" s="20" t="s">
        <v>3797</v>
      </c>
    </row>
    <row r="710" spans="1:11">
      <c r="A710" s="21"/>
      <c r="B710" s="22" t="s">
        <v>3730</v>
      </c>
      <c r="C710" s="23"/>
      <c r="D710" s="24"/>
      <c r="E710" s="25"/>
      <c r="F710" s="26"/>
      <c r="G710" s="27">
        <f>SUM(G711:G715)</f>
        <v>465309.6</v>
      </c>
      <c r="H710" s="27">
        <f>IFERROR(G710*E708,"")</f>
        <v>0</v>
      </c>
    </row>
    <row r="711" spans="1:11" ht="25.5">
      <c r="A711" s="28"/>
      <c r="B711" s="29" t="s">
        <v>3072</v>
      </c>
      <c r="C711" s="30" t="str">
        <f>IFERROR(_xlfn.XLOOKUP(B711,Insumo[DESCRIPCION],Insumo[UND],,0),"")</f>
        <v>Un</v>
      </c>
      <c r="D711" s="31">
        <v>1</v>
      </c>
      <c r="E711" s="32">
        <f>IFERROR(_xlfn.XLOOKUP($B711,Insumo[DESCRIPCION],Insumo[VALOR],,0),"")</f>
        <v>451500</v>
      </c>
      <c r="F711" s="33"/>
      <c r="G711" s="34">
        <f>IFERROR(IF(F711&gt;=0,D711*E711*(1+F711/100),ABS(D711*E711/F711)),"")</f>
        <v>451500</v>
      </c>
      <c r="H711" s="43">
        <f>IFERROR(G711*E708,"")</f>
        <v>0</v>
      </c>
    </row>
    <row r="712" spans="1:11">
      <c r="A712" s="28"/>
      <c r="B712" s="29" t="s">
        <v>2800</v>
      </c>
      <c r="C712" s="30" t="str">
        <f>IFERROR(_xlfn.XLOOKUP(B712,Insumo[DESCRIPCION],Insumo[UND],,0),"")</f>
        <v>M</v>
      </c>
      <c r="D712" s="31">
        <v>1</v>
      </c>
      <c r="E712" s="32">
        <f>IFERROR(_xlfn.XLOOKUP($B712,Insumo[DESCRIPCION],Insumo[VALOR],,0),"")</f>
        <v>7387.8</v>
      </c>
      <c r="F712" s="33"/>
      <c r="G712" s="34">
        <f>IFERROR(IF(F712&gt;=0,D712*E712*(1+F712/100),ABS(D712*E712/F712)),"")</f>
        <v>7387.8</v>
      </c>
      <c r="H712" s="43">
        <f>IFERROR(G712*E708,"")</f>
        <v>0</v>
      </c>
    </row>
    <row r="713" spans="1:11">
      <c r="A713" s="28"/>
      <c r="B713" s="29" t="s">
        <v>2855</v>
      </c>
      <c r="C713" s="30" t="str">
        <f>IFERROR(_xlfn.XLOOKUP(B713,Insumo[DESCRIPCION],Insumo[UND],,0),"")</f>
        <v>Un</v>
      </c>
      <c r="D713" s="31">
        <v>1</v>
      </c>
      <c r="E713" s="32">
        <f>IFERROR(_xlfn.XLOOKUP($B713,Insumo[DESCRIPCION],Insumo[VALOR],,0),"")</f>
        <v>6421.8</v>
      </c>
      <c r="F713" s="33"/>
      <c r="G713" s="34">
        <f>IFERROR(IF(F713&gt;=0,D713*E713*(1+F713/100),ABS(D713*E713/F713)),"")</f>
        <v>6421.8</v>
      </c>
      <c r="H713" s="43">
        <f>IFERROR(G713*E708,"")</f>
        <v>0</v>
      </c>
    </row>
    <row r="714" spans="1:11">
      <c r="A714" s="28"/>
      <c r="B714" s="29"/>
      <c r="C714" s="30" t="str">
        <f>IFERROR(_xlfn.XLOOKUP(B714,Insumo[DESCRIPCION],Insumo[UND],,0),"")</f>
        <v/>
      </c>
      <c r="D714" s="31"/>
      <c r="E714" s="32" t="str">
        <f>IFERROR(_xlfn.XLOOKUP($B714,Insumo[DESCRIPCION],Insumo[VALOR],,0),"")</f>
        <v/>
      </c>
      <c r="F714" s="33"/>
      <c r="G714" s="34" t="str">
        <f>IFERROR(IF(F714&gt;=0,D714*E714*(1+F714/100),ABS(D714*E714/F714)),"")</f>
        <v/>
      </c>
      <c r="H714" s="43" t="str">
        <f>IFERROR(G714*E708,"")</f>
        <v/>
      </c>
    </row>
    <row r="715" spans="1:11">
      <c r="A715" s="28"/>
      <c r="B715" s="29"/>
      <c r="C715" s="30" t="str">
        <f>IFERROR(_xlfn.XLOOKUP(B715,Insumo[DESCRIPCION],Insumo[UND],,0),"")</f>
        <v/>
      </c>
      <c r="D715" s="31"/>
      <c r="E715" s="32" t="str">
        <f>IFERROR(_xlfn.XLOOKUP($B715,Insumo[DESCRIPCION],Insumo[VALOR],,0),"")</f>
        <v/>
      </c>
      <c r="F715" s="33"/>
      <c r="G715" s="34" t="str">
        <f>IFERROR(IF(F715&gt;=0,D715*E715*(1+F715/100),ABS(D715*E715/F715)),"")</f>
        <v/>
      </c>
      <c r="H715" s="43" t="str">
        <f>IFERROR(G715*E708,"")</f>
        <v/>
      </c>
    </row>
    <row r="716" spans="1:11">
      <c r="A716" s="21"/>
      <c r="B716" s="22" t="s">
        <v>3731</v>
      </c>
      <c r="C716" s="23"/>
      <c r="D716" s="24"/>
      <c r="E716" s="25"/>
      <c r="F716" s="26"/>
      <c r="G716" s="27">
        <f>SUM(G717:G719)</f>
        <v>2110.4934666562508</v>
      </c>
      <c r="H716" s="27">
        <f>IFERROR(G716*E708,"")</f>
        <v>0</v>
      </c>
    </row>
    <row r="717" spans="1:11">
      <c r="A717" s="28"/>
      <c r="B717" s="29" t="s">
        <v>3626</v>
      </c>
      <c r="C717" s="30" t="str">
        <f>IFERROR(_xlfn.XLOOKUP(B717,Equipo[DESCRIPCION],Equipo[UND],,0),"")</f>
        <v>%MO</v>
      </c>
      <c r="D717" s="31">
        <v>0.05</v>
      </c>
      <c r="E717" s="32">
        <f>IF(C717="%MO",G723,IFERROR(_xlfn.XLOOKUP($B717,Equipo[DESCRIPCION],Equipo[VALOR],,0),""))</f>
        <v>42209.869333125011</v>
      </c>
      <c r="F717" s="33"/>
      <c r="G717" s="34">
        <f>IFERROR(IF(F717&gt;=0,D717*E717*(1+F717/100),ABS(D717*E717/F717)),"")</f>
        <v>2110.4934666562508</v>
      </c>
      <c r="H717" s="43">
        <f>IFERROR(G717*E708,"")</f>
        <v>0</v>
      </c>
    </row>
    <row r="718" spans="1:11">
      <c r="A718" s="28"/>
      <c r="B718" s="29"/>
      <c r="C718" s="30" t="str">
        <f>IFERROR(_xlfn.XLOOKUP(B718,Equipo[DESCRIPCION],Equipo[UND],,0),"")</f>
        <v/>
      </c>
      <c r="D718" s="31"/>
      <c r="E718" s="32" t="str">
        <f>IF(C718="%MO",G723,IFERROR(_xlfn.XLOOKUP($B718,Equipo[DESCRIPCION],Equipo[VALOR],,0),""))</f>
        <v/>
      </c>
      <c r="F718" s="33"/>
      <c r="G718" s="34" t="str">
        <f>IFERROR(IF(F718&gt;=0,D718*E718*(1+F718/100),ABS(D718*E718/F718)),"")</f>
        <v/>
      </c>
      <c r="H718" s="43" t="str">
        <f>IFERROR(G718*E708,"")</f>
        <v/>
      </c>
    </row>
    <row r="719" spans="1:11">
      <c r="A719" s="28"/>
      <c r="B719" s="29"/>
      <c r="C719" s="30" t="str">
        <f>IFERROR(_xlfn.XLOOKUP(B719,Equipo[DESCRIPCION],Equipo[UND],,0),"")</f>
        <v/>
      </c>
      <c r="D719" s="31"/>
      <c r="E719" s="32" t="str">
        <f>IF(C719="%MO",G723,IFERROR(_xlfn.XLOOKUP($B719,Equipo[DESCRIPCION],Equipo[VALOR],,0),""))</f>
        <v/>
      </c>
      <c r="F719" s="33"/>
      <c r="G719" s="34" t="str">
        <f>IFERROR(IF(F719&gt;=0,D719*E719*(1+F719/100),ABS(D719*E719/F719)),"")</f>
        <v/>
      </c>
      <c r="H719" s="43" t="str">
        <f>IFERROR(G719*E708,"")</f>
        <v/>
      </c>
    </row>
    <row r="720" spans="1:11">
      <c r="A720" s="21"/>
      <c r="B720" s="22" t="s">
        <v>2533</v>
      </c>
      <c r="C720" s="23"/>
      <c r="D720" s="24"/>
      <c r="E720" s="25"/>
      <c r="F720" s="26"/>
      <c r="G720" s="27">
        <f>SUM(G721:G722)</f>
        <v>0</v>
      </c>
      <c r="H720" s="27">
        <f>IFERROR(G720*E708,"")</f>
        <v>0</v>
      </c>
    </row>
    <row r="721" spans="1:11">
      <c r="A721" s="28"/>
      <c r="B721" s="29"/>
      <c r="C721" s="30" t="str">
        <f>IFERROR(_xlfn.XLOOKUP(B721,Transporte[DESCRIPCION],Transporte[UND],,0),"")</f>
        <v/>
      </c>
      <c r="D721" s="31"/>
      <c r="E721" s="32" t="str">
        <f>IFERROR(_xlfn.XLOOKUP($B721,Transporte[DESCRIPCION],Transporte[VALOR],,0),"")</f>
        <v/>
      </c>
      <c r="F721" s="33"/>
      <c r="G721" s="34" t="str">
        <f>IFERROR(IF(F721&gt;=0,D721*E721*(1+F721/100),ABS(D721*E721/F721)),"")</f>
        <v/>
      </c>
      <c r="H721" s="43" t="str">
        <f>IFERROR(G721*E708,"")</f>
        <v/>
      </c>
    </row>
    <row r="722" spans="1:11">
      <c r="A722" s="28"/>
      <c r="B722" s="29"/>
      <c r="C722" s="30" t="str">
        <f>IFERROR(_xlfn.XLOOKUP(B722,Transporte[DESCRIPCION],Transporte[UND],,0),"")</f>
        <v/>
      </c>
      <c r="D722" s="31"/>
      <c r="E722" s="32" t="str">
        <f>IFERROR(_xlfn.XLOOKUP($B722,Transporte[DESCRIPCION],Transporte[VALOR],,0),"")</f>
        <v/>
      </c>
      <c r="F722" s="33"/>
      <c r="G722" s="34" t="str">
        <f>IFERROR(IF(F722&gt;=0,D722*E722*(1+F722/100),ABS(D722*E722/F722)),"")</f>
        <v/>
      </c>
      <c r="H722" s="43" t="str">
        <f>IFERROR(G722*E708,"")</f>
        <v/>
      </c>
    </row>
    <row r="723" spans="1:11">
      <c r="A723" s="21"/>
      <c r="B723" s="22" t="s">
        <v>3732</v>
      </c>
      <c r="C723" s="23"/>
      <c r="D723" s="24"/>
      <c r="E723" s="25"/>
      <c r="F723" s="26"/>
      <c r="G723" s="27">
        <f>SUM(G724:G726)</f>
        <v>42209.869333125011</v>
      </c>
      <c r="H723" s="27">
        <f>IFERROR(G723*E708,"")</f>
        <v>0</v>
      </c>
    </row>
    <row r="724" spans="1:11">
      <c r="A724" s="28"/>
      <c r="B724" s="29" t="s">
        <v>3715</v>
      </c>
      <c r="C724" s="30" t="str">
        <f>IFERROR(_xlfn.XLOOKUP(B724,MObra[DESCRIPCION],MObra[UN],,0),"")</f>
        <v>día</v>
      </c>
      <c r="D724" s="31">
        <v>1</v>
      </c>
      <c r="E724" s="32">
        <f>IFERROR(_xlfn.XLOOKUP($B724,MObra[DESCRIPCION],MObra[VALOR UNIT],,0),"")</f>
        <v>337678.95466500008</v>
      </c>
      <c r="F724" s="33">
        <v>-8</v>
      </c>
      <c r="G724" s="34">
        <f>IFERROR(IF(F724&gt;=0,D724*E724*(1+F724/100),ABS(D724*E724/F724)),"")</f>
        <v>42209.869333125011</v>
      </c>
      <c r="H724" s="43">
        <f>IFERROR(G724*E708,"")</f>
        <v>0</v>
      </c>
    </row>
    <row r="725" spans="1:11">
      <c r="A725" s="28"/>
      <c r="B725" s="29"/>
      <c r="C725" s="30" t="str">
        <f>IFERROR(_xlfn.XLOOKUP(B725,MObra[DESCRIPCION],MObra[UN],,0),"")</f>
        <v/>
      </c>
      <c r="D725" s="31"/>
      <c r="E725" s="32" t="str">
        <f>IFERROR(_xlfn.XLOOKUP($B725,MObra[DESCRIPCION],MObra[VALOR UNIT],,0),"")</f>
        <v/>
      </c>
      <c r="F725" s="33"/>
      <c r="G725" s="34" t="str">
        <f>IFERROR(IF(F725&gt;=0,D725*E725*(1+F725/100),ABS(D725*E725/F725)),"")</f>
        <v/>
      </c>
      <c r="H725" s="43" t="str">
        <f>IFERROR(G725*E708,"")</f>
        <v/>
      </c>
    </row>
    <row r="726" spans="1:11">
      <c r="A726" s="35"/>
      <c r="B726" s="36"/>
      <c r="C726" s="37" t="str">
        <f>IFERROR(_xlfn.XLOOKUP(B726,MObra[DESCRIPCION],MObra[UN],,0),"")</f>
        <v/>
      </c>
      <c r="D726" s="38"/>
      <c r="E726" s="39" t="str">
        <f>IFERROR(_xlfn.XLOOKUP($B726,MObra[DESCRIPCION],MObra[VALOR UNIT],,0),"")</f>
        <v/>
      </c>
      <c r="F726" s="40"/>
      <c r="G726" s="41" t="str">
        <f>IFERROR(IF(F726&gt;=0,D726*E726*(1+F726/100),ABS(D726*E726/F726)),"")</f>
        <v/>
      </c>
      <c r="H726" s="42" t="str">
        <f>IFERROR(G726*E708,"")</f>
        <v/>
      </c>
    </row>
    <row r="728" spans="1:11" ht="25.5">
      <c r="A728" s="6" t="s">
        <v>2332</v>
      </c>
      <c r="B728" s="7" t="str">
        <f>VLOOKUP($A728,Presupuesto!$A:$D,2,FALSE())</f>
        <v>Luminaria LED lineal incrustar/suspender 80w, 6400 lm 4000k, eficacia&gt;=75 lm/w, VU &gt;=50000h@l70</v>
      </c>
      <c r="C728" s="8" t="str">
        <f>VLOOKUP($A728,Presupuesto!$A:$D,3,FALSE())</f>
        <v>Un</v>
      </c>
      <c r="D728" s="9"/>
      <c r="E728" s="10">
        <f>VLOOKUP($A728,Presupuesto!$A:$D,4,FALSE())</f>
        <v>0</v>
      </c>
      <c r="F728" s="11" t="s">
        <v>2589</v>
      </c>
      <c r="G728" s="12">
        <f>SUM(G730:G746)/2</f>
        <v>589009.96279978123</v>
      </c>
      <c r="H728" s="13">
        <f>ROUND(SUM(H730:H746),0)/2</f>
        <v>0</v>
      </c>
      <c r="I728" s="10">
        <f>VLOOKUP(A728,Presupuesto!$A:$F,6,0)</f>
        <v>0</v>
      </c>
      <c r="J728" s="10">
        <f>+H728-I728</f>
        <v>0</v>
      </c>
      <c r="K728" s="46">
        <f>+H728-G728*E728</f>
        <v>0</v>
      </c>
    </row>
    <row r="729" spans="1:11">
      <c r="A729" s="14"/>
      <c r="B729" s="15" t="s">
        <v>2586</v>
      </c>
      <c r="C729" s="15" t="s">
        <v>5</v>
      </c>
      <c r="D729" s="16" t="s">
        <v>6</v>
      </c>
      <c r="E729" s="17" t="s">
        <v>7</v>
      </c>
      <c r="F729" s="18" t="s">
        <v>3728</v>
      </c>
      <c r="G729" s="19" t="s">
        <v>3729</v>
      </c>
      <c r="H729" s="20" t="s">
        <v>3797</v>
      </c>
    </row>
    <row r="730" spans="1:11">
      <c r="A730" s="21"/>
      <c r="B730" s="22" t="s">
        <v>3730</v>
      </c>
      <c r="C730" s="23"/>
      <c r="D730" s="24"/>
      <c r="E730" s="25"/>
      <c r="F730" s="26"/>
      <c r="G730" s="27">
        <f>SUM(G731:G735)</f>
        <v>544689.60000000009</v>
      </c>
      <c r="H730" s="27">
        <f>IFERROR(G730*E728,"")</f>
        <v>0</v>
      </c>
    </row>
    <row r="731" spans="1:11" ht="25.5">
      <c r="A731" s="28"/>
      <c r="B731" s="29" t="s">
        <v>3073</v>
      </c>
      <c r="C731" s="30" t="str">
        <f>IFERROR(_xlfn.XLOOKUP(B731,Insumo[DESCRIPCION],Insumo[UND],,0),"")</f>
        <v>Un</v>
      </c>
      <c r="D731" s="31">
        <v>1</v>
      </c>
      <c r="E731" s="32">
        <f>IFERROR(_xlfn.XLOOKUP($B731,Insumo[DESCRIPCION],Insumo[VALOR],,0),"")</f>
        <v>530880</v>
      </c>
      <c r="F731" s="33"/>
      <c r="G731" s="34">
        <f>IFERROR(IF(F731&gt;=0,D731*E731*(1+F731/100),ABS(D731*E731/F731)),"")</f>
        <v>530880</v>
      </c>
      <c r="H731" s="43">
        <f>IFERROR(G731*E728,"")</f>
        <v>0</v>
      </c>
    </row>
    <row r="732" spans="1:11">
      <c r="A732" s="28"/>
      <c r="B732" s="29" t="s">
        <v>2800</v>
      </c>
      <c r="C732" s="30" t="str">
        <f>IFERROR(_xlfn.XLOOKUP(B732,Insumo[DESCRIPCION],Insumo[UND],,0),"")</f>
        <v>M</v>
      </c>
      <c r="D732" s="31">
        <v>1</v>
      </c>
      <c r="E732" s="32">
        <f>IFERROR(_xlfn.XLOOKUP($B732,Insumo[DESCRIPCION],Insumo[VALOR],,0),"")</f>
        <v>7387.8</v>
      </c>
      <c r="F732" s="33"/>
      <c r="G732" s="34">
        <f>IFERROR(IF(F732&gt;=0,D732*E732*(1+F732/100),ABS(D732*E732/F732)),"")</f>
        <v>7387.8</v>
      </c>
      <c r="H732" s="43">
        <f>IFERROR(G732*E728,"")</f>
        <v>0</v>
      </c>
    </row>
    <row r="733" spans="1:11">
      <c r="A733" s="28"/>
      <c r="B733" s="29" t="s">
        <v>2855</v>
      </c>
      <c r="C733" s="30" t="str">
        <f>IFERROR(_xlfn.XLOOKUP(B733,Insumo[DESCRIPCION],Insumo[UND],,0),"")</f>
        <v>Un</v>
      </c>
      <c r="D733" s="31">
        <v>1</v>
      </c>
      <c r="E733" s="32">
        <f>IFERROR(_xlfn.XLOOKUP($B733,Insumo[DESCRIPCION],Insumo[VALOR],,0),"")</f>
        <v>6421.8</v>
      </c>
      <c r="F733" s="33"/>
      <c r="G733" s="34">
        <f>IFERROR(IF(F733&gt;=0,D733*E733*(1+F733/100),ABS(D733*E733/F733)),"")</f>
        <v>6421.8</v>
      </c>
      <c r="H733" s="43">
        <f>IFERROR(G733*E728,"")</f>
        <v>0</v>
      </c>
    </row>
    <row r="734" spans="1:11">
      <c r="A734" s="28"/>
      <c r="B734" s="29"/>
      <c r="C734" s="30" t="str">
        <f>IFERROR(_xlfn.XLOOKUP(B734,Insumo[DESCRIPCION],Insumo[UND],,0),"")</f>
        <v/>
      </c>
      <c r="D734" s="31"/>
      <c r="E734" s="32" t="str">
        <f>IFERROR(_xlfn.XLOOKUP($B734,Insumo[DESCRIPCION],Insumo[VALOR],,0),"")</f>
        <v/>
      </c>
      <c r="F734" s="33"/>
      <c r="G734" s="34" t="str">
        <f>IFERROR(IF(F734&gt;=0,D734*E734*(1+F734/100),ABS(D734*E734/F734)),"")</f>
        <v/>
      </c>
      <c r="H734" s="43" t="str">
        <f>IFERROR(G734*E728,"")</f>
        <v/>
      </c>
    </row>
    <row r="735" spans="1:11">
      <c r="A735" s="28"/>
      <c r="B735" s="29"/>
      <c r="C735" s="30" t="str">
        <f>IFERROR(_xlfn.XLOOKUP(B735,Insumo[DESCRIPCION],Insumo[UND],,0),"")</f>
        <v/>
      </c>
      <c r="D735" s="31"/>
      <c r="E735" s="32" t="str">
        <f>IFERROR(_xlfn.XLOOKUP($B735,Insumo[DESCRIPCION],Insumo[VALOR],,0),"")</f>
        <v/>
      </c>
      <c r="F735" s="33"/>
      <c r="G735" s="34" t="str">
        <f>IFERROR(IF(F735&gt;=0,D735*E735*(1+F735/100),ABS(D735*E735/F735)),"")</f>
        <v/>
      </c>
      <c r="H735" s="43" t="str">
        <f>IFERROR(G735*E728,"")</f>
        <v/>
      </c>
    </row>
    <row r="736" spans="1:11">
      <c r="A736" s="21"/>
      <c r="B736" s="22" t="s">
        <v>3731</v>
      </c>
      <c r="C736" s="23"/>
      <c r="D736" s="24"/>
      <c r="E736" s="25"/>
      <c r="F736" s="26"/>
      <c r="G736" s="27">
        <f>SUM(G737:G739)</f>
        <v>2110.4934666562508</v>
      </c>
      <c r="H736" s="27">
        <f>IFERROR(G736*E728,"")</f>
        <v>0</v>
      </c>
    </row>
    <row r="737" spans="1:11">
      <c r="A737" s="28"/>
      <c r="B737" s="29" t="s">
        <v>3626</v>
      </c>
      <c r="C737" s="30" t="str">
        <f>IFERROR(_xlfn.XLOOKUP(B737,Equipo[DESCRIPCION],Equipo[UND],,0),"")</f>
        <v>%MO</v>
      </c>
      <c r="D737" s="31">
        <v>0.05</v>
      </c>
      <c r="E737" s="32">
        <f>IF(C737="%MO",G743,IFERROR(_xlfn.XLOOKUP($B737,Equipo[DESCRIPCION],Equipo[VALOR],,0),""))</f>
        <v>42209.869333125011</v>
      </c>
      <c r="F737" s="33"/>
      <c r="G737" s="34">
        <f>IFERROR(IF(F737&gt;=0,D737*E737*(1+F737/100),ABS(D737*E737/F737)),"")</f>
        <v>2110.4934666562508</v>
      </c>
      <c r="H737" s="43">
        <f>IFERROR(G737*E728,"")</f>
        <v>0</v>
      </c>
    </row>
    <row r="738" spans="1:11">
      <c r="A738" s="28"/>
      <c r="B738" s="29"/>
      <c r="C738" s="30" t="str">
        <f>IFERROR(_xlfn.XLOOKUP(B738,Equipo[DESCRIPCION],Equipo[UND],,0),"")</f>
        <v/>
      </c>
      <c r="D738" s="31"/>
      <c r="E738" s="32" t="str">
        <f>IF(C738="%MO",G743,IFERROR(_xlfn.XLOOKUP($B738,Equipo[DESCRIPCION],Equipo[VALOR],,0),""))</f>
        <v/>
      </c>
      <c r="F738" s="33"/>
      <c r="G738" s="34" t="str">
        <f>IFERROR(IF(F738&gt;=0,D738*E738*(1+F738/100),ABS(D738*E738/F738)),"")</f>
        <v/>
      </c>
      <c r="H738" s="43" t="str">
        <f>IFERROR(G738*E728,"")</f>
        <v/>
      </c>
    </row>
    <row r="739" spans="1:11">
      <c r="A739" s="28"/>
      <c r="B739" s="29"/>
      <c r="C739" s="30" t="str">
        <f>IFERROR(_xlfn.XLOOKUP(B739,Equipo[DESCRIPCION],Equipo[UND],,0),"")</f>
        <v/>
      </c>
      <c r="D739" s="31"/>
      <c r="E739" s="32" t="str">
        <f>IF(C739="%MO",G743,IFERROR(_xlfn.XLOOKUP($B739,Equipo[DESCRIPCION],Equipo[VALOR],,0),""))</f>
        <v/>
      </c>
      <c r="F739" s="33"/>
      <c r="G739" s="34" t="str">
        <f>IFERROR(IF(F739&gt;=0,D739*E739*(1+F739/100),ABS(D739*E739/F739)),"")</f>
        <v/>
      </c>
      <c r="H739" s="43" t="str">
        <f>IFERROR(G739*E728,"")</f>
        <v/>
      </c>
    </row>
    <row r="740" spans="1:11">
      <c r="A740" s="21"/>
      <c r="B740" s="22" t="s">
        <v>2533</v>
      </c>
      <c r="C740" s="23"/>
      <c r="D740" s="24"/>
      <c r="E740" s="25"/>
      <c r="F740" s="26"/>
      <c r="G740" s="27">
        <f>SUM(G741:G742)</f>
        <v>0</v>
      </c>
      <c r="H740" s="27">
        <f>IFERROR(G740*E728,"")</f>
        <v>0</v>
      </c>
    </row>
    <row r="741" spans="1:11">
      <c r="A741" s="28"/>
      <c r="B741" s="29"/>
      <c r="C741" s="30" t="str">
        <f>IFERROR(_xlfn.XLOOKUP(B741,Transporte[DESCRIPCION],Transporte[UND],,0),"")</f>
        <v/>
      </c>
      <c r="D741" s="31"/>
      <c r="E741" s="32" t="str">
        <f>IFERROR(_xlfn.XLOOKUP($B741,Transporte[DESCRIPCION],Transporte[VALOR],,0),"")</f>
        <v/>
      </c>
      <c r="F741" s="33"/>
      <c r="G741" s="34" t="str">
        <f>IFERROR(IF(F741&gt;=0,D741*E741*(1+F741/100),ABS(D741*E741/F741)),"")</f>
        <v/>
      </c>
      <c r="H741" s="43" t="str">
        <f>IFERROR(G741*E728,"")</f>
        <v/>
      </c>
    </row>
    <row r="742" spans="1:11">
      <c r="A742" s="28"/>
      <c r="B742" s="29"/>
      <c r="C742" s="30" t="str">
        <f>IFERROR(_xlfn.XLOOKUP(B742,Transporte[DESCRIPCION],Transporte[UND],,0),"")</f>
        <v/>
      </c>
      <c r="D742" s="31"/>
      <c r="E742" s="32" t="str">
        <f>IFERROR(_xlfn.XLOOKUP($B742,Transporte[DESCRIPCION],Transporte[VALOR],,0),"")</f>
        <v/>
      </c>
      <c r="F742" s="33"/>
      <c r="G742" s="34" t="str">
        <f>IFERROR(IF(F742&gt;=0,D742*E742*(1+F742/100),ABS(D742*E742/F742)),"")</f>
        <v/>
      </c>
      <c r="H742" s="43" t="str">
        <f>IFERROR(G742*E728,"")</f>
        <v/>
      </c>
    </row>
    <row r="743" spans="1:11">
      <c r="A743" s="21"/>
      <c r="B743" s="22" t="s">
        <v>3732</v>
      </c>
      <c r="C743" s="23"/>
      <c r="D743" s="24"/>
      <c r="E743" s="25"/>
      <c r="F743" s="26"/>
      <c r="G743" s="27">
        <f>SUM(G744:G746)</f>
        <v>42209.869333125011</v>
      </c>
      <c r="H743" s="27">
        <f>IFERROR(G743*E728,"")</f>
        <v>0</v>
      </c>
    </row>
    <row r="744" spans="1:11">
      <c r="A744" s="28"/>
      <c r="B744" s="29" t="s">
        <v>3715</v>
      </c>
      <c r="C744" s="30" t="str">
        <f>IFERROR(_xlfn.XLOOKUP(B744,MObra[DESCRIPCION],MObra[UN],,0),"")</f>
        <v>día</v>
      </c>
      <c r="D744" s="31">
        <v>1</v>
      </c>
      <c r="E744" s="32">
        <f>IFERROR(_xlfn.XLOOKUP($B744,MObra[DESCRIPCION],MObra[VALOR UNIT],,0),"")</f>
        <v>337678.95466500008</v>
      </c>
      <c r="F744" s="33">
        <v>-8</v>
      </c>
      <c r="G744" s="34">
        <f>IFERROR(IF(F744&gt;=0,D744*E744*(1+F744/100),ABS(D744*E744/F744)),"")</f>
        <v>42209.869333125011</v>
      </c>
      <c r="H744" s="43">
        <f>IFERROR(G744*E728,"")</f>
        <v>0</v>
      </c>
    </row>
    <row r="745" spans="1:11">
      <c r="A745" s="28"/>
      <c r="B745" s="29"/>
      <c r="C745" s="30" t="str">
        <f>IFERROR(_xlfn.XLOOKUP(B745,MObra[DESCRIPCION],MObra[UN],,0),"")</f>
        <v/>
      </c>
      <c r="D745" s="31"/>
      <c r="E745" s="32" t="str">
        <f>IFERROR(_xlfn.XLOOKUP($B745,MObra[DESCRIPCION],MObra[VALOR UNIT],,0),"")</f>
        <v/>
      </c>
      <c r="F745" s="33"/>
      <c r="G745" s="34" t="str">
        <f>IFERROR(IF(F745&gt;=0,D745*E745*(1+F745/100),ABS(D745*E745/F745)),"")</f>
        <v/>
      </c>
      <c r="H745" s="43" t="str">
        <f>IFERROR(G745*E728,"")</f>
        <v/>
      </c>
    </row>
    <row r="746" spans="1:11">
      <c r="A746" s="35"/>
      <c r="B746" s="36"/>
      <c r="C746" s="37" t="str">
        <f>IFERROR(_xlfn.XLOOKUP(B746,MObra[DESCRIPCION],MObra[UN],,0),"")</f>
        <v/>
      </c>
      <c r="D746" s="38"/>
      <c r="E746" s="39" t="str">
        <f>IFERROR(_xlfn.XLOOKUP($B746,MObra[DESCRIPCION],MObra[VALOR UNIT],,0),"")</f>
        <v/>
      </c>
      <c r="F746" s="40"/>
      <c r="G746" s="41" t="str">
        <f>IFERROR(IF(F746&gt;=0,D746*E746*(1+F746/100),ABS(D746*E746/F746)),"")</f>
        <v/>
      </c>
      <c r="H746" s="42" t="str">
        <f>IFERROR(G746*E728,"")</f>
        <v/>
      </c>
    </row>
    <row r="747" spans="1:11" ht="12.75" customHeight="1" thickTop="1" thickBot="1"/>
    <row r="748" spans="1:11" ht="26.25" thickTop="1" thickBot="1">
      <c r="A748" s="6" t="s">
        <v>2334</v>
      </c>
      <c r="B748" s="7" t="str">
        <f>VLOOKUP($A748,Presupuesto!$A:$D,2,FALSE())</f>
        <v>Luminaria LED lineal para área clasificada 120-277 Vac, 40w, 5480 lm 5000k, eficacia&gt;= 100lm/w, VU&gt;= 50000h@l70</v>
      </c>
      <c r="C748" s="8" t="str">
        <f>VLOOKUP($A748,Presupuesto!$A:$D,3,FALSE())</f>
        <v>Un</v>
      </c>
      <c r="D748" s="9"/>
      <c r="E748" s="10">
        <f>VLOOKUP($A748,Presupuesto!$A:$D,4,FALSE())</f>
        <v>0</v>
      </c>
      <c r="F748" s="11" t="s">
        <v>2589</v>
      </c>
      <c r="G748" s="12">
        <f>SUM(G750:G766)/2</f>
        <v>61102.266049781261</v>
      </c>
      <c r="H748" s="13">
        <f>ROUND(SUM(H750:H766),0)/2</f>
        <v>0</v>
      </c>
      <c r="I748" s="10">
        <f>VLOOKUP(A748,Presupuesto!$A:$F,6,0)</f>
        <v>0</v>
      </c>
      <c r="J748" s="10">
        <f>+H748-I748</f>
        <v>0</v>
      </c>
      <c r="K748" s="46">
        <f>+H748-G748*E748</f>
        <v>0</v>
      </c>
    </row>
    <row r="749" spans="1:11">
      <c r="A749" s="14"/>
      <c r="B749" s="15" t="s">
        <v>2586</v>
      </c>
      <c r="C749" s="15" t="s">
        <v>5</v>
      </c>
      <c r="D749" s="16" t="s">
        <v>6</v>
      </c>
      <c r="E749" s="17" t="s">
        <v>7</v>
      </c>
      <c r="F749" s="18" t="s">
        <v>3728</v>
      </c>
      <c r="G749" s="19" t="s">
        <v>3729</v>
      </c>
      <c r="H749" s="20" t="s">
        <v>3797</v>
      </c>
    </row>
    <row r="750" spans="1:11">
      <c r="A750" s="21"/>
      <c r="B750" s="22" t="s">
        <v>3730</v>
      </c>
      <c r="C750" s="23"/>
      <c r="D750" s="24"/>
      <c r="E750" s="25"/>
      <c r="F750" s="26"/>
      <c r="G750" s="27">
        <f>SUM(G751:G755)</f>
        <v>16781.903249999999</v>
      </c>
      <c r="H750" s="27">
        <f>IFERROR(G750*E748,"")</f>
        <v>0</v>
      </c>
    </row>
    <row r="751" spans="1:11">
      <c r="A751" s="28"/>
      <c r="B751" s="29" t="s">
        <v>3064</v>
      </c>
      <c r="C751" s="30" t="str">
        <f>IFERROR(_xlfn.XLOOKUP(B751,Insumo[DESCRIPCION],Insumo[UND],,0),"")</f>
        <v>Un</v>
      </c>
      <c r="D751" s="31">
        <v>1</v>
      </c>
      <c r="E751" s="32">
        <f>IFERROR(_xlfn.XLOOKUP($B751,Insumo[DESCRIPCION],Insumo[VALOR],,0),"")</f>
        <v>2972.3032499999999</v>
      </c>
      <c r="F751" s="33"/>
      <c r="G751" s="34">
        <f>IFERROR(IF(F751&gt;=0,D751*E751*(1+F751/100),ABS(D751*E751/F751)),"")</f>
        <v>2972.3032499999999</v>
      </c>
      <c r="H751" s="43">
        <f>IFERROR(G751*E748,"")</f>
        <v>0</v>
      </c>
    </row>
    <row r="752" spans="1:11">
      <c r="A752" s="28"/>
      <c r="B752" s="29" t="s">
        <v>2800</v>
      </c>
      <c r="C752" s="30" t="str">
        <f>IFERROR(_xlfn.XLOOKUP(B752,Insumo[DESCRIPCION],Insumo[UND],,0),"")</f>
        <v>M</v>
      </c>
      <c r="D752" s="31">
        <v>1</v>
      </c>
      <c r="E752" s="32">
        <f>IFERROR(_xlfn.XLOOKUP($B752,Insumo[DESCRIPCION],Insumo[VALOR],,0),"")</f>
        <v>7387.8</v>
      </c>
      <c r="F752" s="33"/>
      <c r="G752" s="34">
        <f>IFERROR(IF(F752&gt;=0,D752*E752*(1+F752/100),ABS(D752*E752/F752)),"")</f>
        <v>7387.8</v>
      </c>
      <c r="H752" s="43">
        <f>IFERROR(G752*E748,"")</f>
        <v>0</v>
      </c>
    </row>
    <row r="753" spans="1:11">
      <c r="A753" s="28"/>
      <c r="B753" s="29" t="s">
        <v>2855</v>
      </c>
      <c r="C753" s="30" t="str">
        <f>IFERROR(_xlfn.XLOOKUP(B753,Insumo[DESCRIPCION],Insumo[UND],,0),"")</f>
        <v>Un</v>
      </c>
      <c r="D753" s="31">
        <v>1</v>
      </c>
      <c r="E753" s="32">
        <f>IFERROR(_xlfn.XLOOKUP($B753,Insumo[DESCRIPCION],Insumo[VALOR],,0),"")</f>
        <v>6421.8</v>
      </c>
      <c r="F753" s="33"/>
      <c r="G753" s="34">
        <f>IFERROR(IF(F753&gt;=0,D753*E753*(1+F753/100),ABS(D753*E753/F753)),"")</f>
        <v>6421.8</v>
      </c>
      <c r="H753" s="43">
        <f>IFERROR(G753*E748,"")</f>
        <v>0</v>
      </c>
    </row>
    <row r="754" spans="1:11">
      <c r="A754" s="28"/>
      <c r="B754" s="29"/>
      <c r="C754" s="30" t="str">
        <f>IFERROR(_xlfn.XLOOKUP(B754,Insumo[DESCRIPCION],Insumo[UND],,0),"")</f>
        <v/>
      </c>
      <c r="D754" s="31"/>
      <c r="E754" s="32" t="str">
        <f>IFERROR(_xlfn.XLOOKUP($B754,Insumo[DESCRIPCION],Insumo[VALOR],,0),"")</f>
        <v/>
      </c>
      <c r="F754" s="33"/>
      <c r="G754" s="34" t="str">
        <f>IFERROR(IF(F754&gt;=0,D754*E754*(1+F754/100),ABS(D754*E754/F754)),"")</f>
        <v/>
      </c>
      <c r="H754" s="43" t="str">
        <f>IFERROR(G754*E748,"")</f>
        <v/>
      </c>
    </row>
    <row r="755" spans="1:11">
      <c r="A755" s="28"/>
      <c r="B755" s="29"/>
      <c r="C755" s="30" t="str">
        <f>IFERROR(_xlfn.XLOOKUP(B755,Insumo[DESCRIPCION],Insumo[UND],,0),"")</f>
        <v/>
      </c>
      <c r="D755" s="31"/>
      <c r="E755" s="32" t="str">
        <f>IFERROR(_xlfn.XLOOKUP($B755,Insumo[DESCRIPCION],Insumo[VALOR],,0),"")</f>
        <v/>
      </c>
      <c r="F755" s="33"/>
      <c r="G755" s="34" t="str">
        <f>IFERROR(IF(F755&gt;=0,D755*E755*(1+F755/100),ABS(D755*E755/F755)),"")</f>
        <v/>
      </c>
      <c r="H755" s="43" t="str">
        <f>IFERROR(G755*E748,"")</f>
        <v/>
      </c>
    </row>
    <row r="756" spans="1:11">
      <c r="A756" s="21"/>
      <c r="B756" s="22" t="s">
        <v>3731</v>
      </c>
      <c r="C756" s="23"/>
      <c r="D756" s="24"/>
      <c r="E756" s="25"/>
      <c r="F756" s="26"/>
      <c r="G756" s="27">
        <f>SUM(G757:G759)</f>
        <v>2110.4934666562508</v>
      </c>
      <c r="H756" s="27">
        <f>IFERROR(G756*E748,"")</f>
        <v>0</v>
      </c>
    </row>
    <row r="757" spans="1:11">
      <c r="A757" s="28"/>
      <c r="B757" s="29" t="s">
        <v>3626</v>
      </c>
      <c r="C757" s="30" t="str">
        <f>IFERROR(_xlfn.XLOOKUP(B757,Equipo[DESCRIPCION],Equipo[UND],,0),"")</f>
        <v>%MO</v>
      </c>
      <c r="D757" s="31">
        <v>0.05</v>
      </c>
      <c r="E757" s="32">
        <f>IF(C757="%MO",G763,IFERROR(_xlfn.XLOOKUP($B757,Equipo[DESCRIPCION],Equipo[VALOR],,0),""))</f>
        <v>42209.869333125011</v>
      </c>
      <c r="F757" s="33"/>
      <c r="G757" s="34">
        <f>IFERROR(IF(F757&gt;=0,D757*E757*(1+F757/100),ABS(D757*E757/F757)),"")</f>
        <v>2110.4934666562508</v>
      </c>
      <c r="H757" s="43">
        <f>IFERROR(G757*E748,"")</f>
        <v>0</v>
      </c>
    </row>
    <row r="758" spans="1:11">
      <c r="A758" s="28"/>
      <c r="B758" s="29"/>
      <c r="C758" s="30" t="str">
        <f>IFERROR(_xlfn.XLOOKUP(B758,Equipo[DESCRIPCION],Equipo[UND],,0),"")</f>
        <v/>
      </c>
      <c r="D758" s="31"/>
      <c r="E758" s="32" t="str">
        <f>IF(C758="%MO",G763,IFERROR(_xlfn.XLOOKUP($B758,Equipo[DESCRIPCION],Equipo[VALOR],,0),""))</f>
        <v/>
      </c>
      <c r="F758" s="33"/>
      <c r="G758" s="34" t="str">
        <f>IFERROR(IF(F758&gt;=0,D758*E758*(1+F758/100),ABS(D758*E758/F758)),"")</f>
        <v/>
      </c>
      <c r="H758" s="43" t="str">
        <f>IFERROR(G758*E748,"")</f>
        <v/>
      </c>
    </row>
    <row r="759" spans="1:11">
      <c r="A759" s="28"/>
      <c r="B759" s="29"/>
      <c r="C759" s="30" t="str">
        <f>IFERROR(_xlfn.XLOOKUP(B759,Equipo[DESCRIPCION],Equipo[UND],,0),"")</f>
        <v/>
      </c>
      <c r="D759" s="31"/>
      <c r="E759" s="32" t="str">
        <f>IF(C759="%MO",G763,IFERROR(_xlfn.XLOOKUP($B759,Equipo[DESCRIPCION],Equipo[VALOR],,0),""))</f>
        <v/>
      </c>
      <c r="F759" s="33"/>
      <c r="G759" s="34" t="str">
        <f>IFERROR(IF(F759&gt;=0,D759*E759*(1+F759/100),ABS(D759*E759/F759)),"")</f>
        <v/>
      </c>
      <c r="H759" s="43" t="str">
        <f>IFERROR(G759*E748,"")</f>
        <v/>
      </c>
    </row>
    <row r="760" spans="1:11">
      <c r="A760" s="21"/>
      <c r="B760" s="22" t="s">
        <v>2533</v>
      </c>
      <c r="C760" s="23"/>
      <c r="D760" s="24"/>
      <c r="E760" s="25"/>
      <c r="F760" s="26"/>
      <c r="G760" s="27">
        <f>SUM(G761:G762)</f>
        <v>0</v>
      </c>
      <c r="H760" s="27">
        <f>IFERROR(G760*E748,"")</f>
        <v>0</v>
      </c>
    </row>
    <row r="761" spans="1:11">
      <c r="A761" s="28"/>
      <c r="B761" s="29"/>
      <c r="C761" s="30" t="str">
        <f>IFERROR(_xlfn.XLOOKUP(B761,Transporte[DESCRIPCION],Transporte[UND],,0),"")</f>
        <v/>
      </c>
      <c r="D761" s="31"/>
      <c r="E761" s="32" t="str">
        <f>IFERROR(_xlfn.XLOOKUP($B761,Transporte[DESCRIPCION],Transporte[VALOR],,0),"")</f>
        <v/>
      </c>
      <c r="F761" s="33"/>
      <c r="G761" s="34" t="str">
        <f>IFERROR(IF(F761&gt;=0,D761*E761*(1+F761/100),ABS(D761*E761/F761)),"")</f>
        <v/>
      </c>
      <c r="H761" s="43" t="str">
        <f>IFERROR(G761*E748,"")</f>
        <v/>
      </c>
    </row>
    <row r="762" spans="1:11">
      <c r="A762" s="28"/>
      <c r="B762" s="29"/>
      <c r="C762" s="30" t="str">
        <f>IFERROR(_xlfn.XLOOKUP(B762,Transporte[DESCRIPCION],Transporte[UND],,0),"")</f>
        <v/>
      </c>
      <c r="D762" s="31"/>
      <c r="E762" s="32" t="str">
        <f>IFERROR(_xlfn.XLOOKUP($B762,Transporte[DESCRIPCION],Transporte[VALOR],,0),"")</f>
        <v/>
      </c>
      <c r="F762" s="33"/>
      <c r="G762" s="34" t="str">
        <f>IFERROR(IF(F762&gt;=0,D762*E762*(1+F762/100),ABS(D762*E762/F762)),"")</f>
        <v/>
      </c>
      <c r="H762" s="43" t="str">
        <f>IFERROR(G762*E748,"")</f>
        <v/>
      </c>
    </row>
    <row r="763" spans="1:11">
      <c r="A763" s="21"/>
      <c r="B763" s="22" t="s">
        <v>3732</v>
      </c>
      <c r="C763" s="23"/>
      <c r="D763" s="24"/>
      <c r="E763" s="25"/>
      <c r="F763" s="26"/>
      <c r="G763" s="27">
        <f>SUM(G764:G766)</f>
        <v>42209.869333125011</v>
      </c>
      <c r="H763" s="27">
        <f>IFERROR(G763*E748,"")</f>
        <v>0</v>
      </c>
    </row>
    <row r="764" spans="1:11">
      <c r="A764" s="28"/>
      <c r="B764" s="29" t="s">
        <v>3715</v>
      </c>
      <c r="C764" s="30" t="str">
        <f>IFERROR(_xlfn.XLOOKUP(B764,MObra[DESCRIPCION],MObra[UN],,0),"")</f>
        <v>día</v>
      </c>
      <c r="D764" s="31">
        <v>1</v>
      </c>
      <c r="E764" s="32">
        <f>IFERROR(_xlfn.XLOOKUP($B764,MObra[DESCRIPCION],MObra[VALOR UNIT],,0),"")</f>
        <v>337678.95466500008</v>
      </c>
      <c r="F764" s="33">
        <v>-8</v>
      </c>
      <c r="G764" s="34">
        <f>IFERROR(IF(F764&gt;=0,D764*E764*(1+F764/100),ABS(D764*E764/F764)),"")</f>
        <v>42209.869333125011</v>
      </c>
      <c r="H764" s="43">
        <f>IFERROR(G764*E748,"")</f>
        <v>0</v>
      </c>
    </row>
    <row r="765" spans="1:11">
      <c r="A765" s="28"/>
      <c r="B765" s="29"/>
      <c r="C765" s="30" t="str">
        <f>IFERROR(_xlfn.XLOOKUP(B765,MObra[DESCRIPCION],MObra[UN],,0),"")</f>
        <v/>
      </c>
      <c r="D765" s="31"/>
      <c r="E765" s="32" t="str">
        <f>IFERROR(_xlfn.XLOOKUP($B765,MObra[DESCRIPCION],MObra[VALOR UNIT],,0),"")</f>
        <v/>
      </c>
      <c r="F765" s="33"/>
      <c r="G765" s="34" t="str">
        <f>IFERROR(IF(F765&gt;=0,D765*E765*(1+F765/100),ABS(D765*E765/F765)),"")</f>
        <v/>
      </c>
      <c r="H765" s="43" t="str">
        <f>IFERROR(G765*E748,"")</f>
        <v/>
      </c>
    </row>
    <row r="766" spans="1:11">
      <c r="A766" s="35"/>
      <c r="B766" s="36"/>
      <c r="C766" s="37" t="str">
        <f>IFERROR(_xlfn.XLOOKUP(B766,MObra[DESCRIPCION],MObra[UN],,0),"")</f>
        <v/>
      </c>
      <c r="D766" s="38"/>
      <c r="E766" s="39" t="str">
        <f>IFERROR(_xlfn.XLOOKUP($B766,MObra[DESCRIPCION],MObra[VALOR UNIT],,0),"")</f>
        <v/>
      </c>
      <c r="F766" s="40"/>
      <c r="G766" s="41" t="str">
        <f>IFERROR(IF(F766&gt;=0,D766*E766*(1+F766/100),ABS(D766*E766/F766)),"")</f>
        <v/>
      </c>
      <c r="H766" s="42" t="str">
        <f>IFERROR(G766*E748,"")</f>
        <v/>
      </c>
    </row>
    <row r="768" spans="1:11" ht="25.5">
      <c r="A768" s="6" t="s">
        <v>2336</v>
      </c>
      <c r="B768" s="7" t="str">
        <f>VLOOKUP($A768,Presupuesto!$A:$D,2,FALSE())</f>
        <v>Luminaria LED lineal para área clasificada 120-277 Vac, 80w, 10960 lm 5000k, eficacia&gt;= 100lm/w, VU&gt;= 50000h@l70</v>
      </c>
      <c r="C768" s="8" t="str">
        <f>VLOOKUP($A768,Presupuesto!$A:$D,3,FALSE())</f>
        <v>Un</v>
      </c>
      <c r="D768" s="9"/>
      <c r="E768" s="10">
        <f>VLOOKUP($A768,Presupuesto!$A:$D,4,FALSE())</f>
        <v>0</v>
      </c>
      <c r="F768" s="11" t="s">
        <v>2589</v>
      </c>
      <c r="G768" s="12">
        <f>SUM(G770:G786)/2</f>
        <v>3030679.962799781</v>
      </c>
      <c r="H768" s="13">
        <f>ROUND(SUM(H770:H786),0)/2</f>
        <v>0</v>
      </c>
      <c r="I768" s="10">
        <f>VLOOKUP(A768,Presupuesto!$A:$F,6,0)</f>
        <v>0</v>
      </c>
      <c r="J768" s="10">
        <f>+H768-I768</f>
        <v>0</v>
      </c>
      <c r="K768" s="46">
        <f>+H768-G768*E768</f>
        <v>0</v>
      </c>
    </row>
    <row r="769" spans="1:8">
      <c r="A769" s="14"/>
      <c r="B769" s="15" t="s">
        <v>2586</v>
      </c>
      <c r="C769" s="15" t="s">
        <v>5</v>
      </c>
      <c r="D769" s="16" t="s">
        <v>6</v>
      </c>
      <c r="E769" s="17" t="s">
        <v>7</v>
      </c>
      <c r="F769" s="18" t="s">
        <v>3728</v>
      </c>
      <c r="G769" s="19" t="s">
        <v>3729</v>
      </c>
      <c r="H769" s="20" t="s">
        <v>3797</v>
      </c>
    </row>
    <row r="770" spans="1:8">
      <c r="A770" s="21"/>
      <c r="B770" s="22" t="s">
        <v>3730</v>
      </c>
      <c r="C770" s="23"/>
      <c r="D770" s="24"/>
      <c r="E770" s="25"/>
      <c r="F770" s="26"/>
      <c r="G770" s="27">
        <f>SUM(G771:G775)</f>
        <v>2986359.5999999996</v>
      </c>
      <c r="H770" s="27">
        <f>IFERROR(G770*E768,"")</f>
        <v>0</v>
      </c>
    </row>
    <row r="771" spans="1:8">
      <c r="A771" s="28"/>
      <c r="B771" s="29" t="s">
        <v>3065</v>
      </c>
      <c r="C771" s="30" t="str">
        <f>IFERROR(_xlfn.XLOOKUP(B771,Insumo[DESCRIPCION],Insumo[UND],,0),"")</f>
        <v>Un</v>
      </c>
      <c r="D771" s="31">
        <v>1</v>
      </c>
      <c r="E771" s="32">
        <f>IFERROR(_xlfn.XLOOKUP($B771,Insumo[DESCRIPCION],Insumo[VALOR],,0),"")</f>
        <v>2972550</v>
      </c>
      <c r="F771" s="33"/>
      <c r="G771" s="34">
        <f>IFERROR(IF(F771&gt;=0,D771*E771*(1+F771/100),ABS(D771*E771/F771)),"")</f>
        <v>2972550</v>
      </c>
      <c r="H771" s="43">
        <f>IFERROR(G771*E768,"")</f>
        <v>0</v>
      </c>
    </row>
    <row r="772" spans="1:8">
      <c r="A772" s="28"/>
      <c r="B772" s="29" t="s">
        <v>2800</v>
      </c>
      <c r="C772" s="30" t="str">
        <f>IFERROR(_xlfn.XLOOKUP(B772,Insumo[DESCRIPCION],Insumo[UND],,0),"")</f>
        <v>M</v>
      </c>
      <c r="D772" s="31">
        <v>1</v>
      </c>
      <c r="E772" s="32">
        <f>IFERROR(_xlfn.XLOOKUP($B772,Insumo[DESCRIPCION],Insumo[VALOR],,0),"")</f>
        <v>7387.8</v>
      </c>
      <c r="F772" s="33"/>
      <c r="G772" s="34">
        <f>IFERROR(IF(F772&gt;=0,D772*E772*(1+F772/100),ABS(D772*E772/F772)),"")</f>
        <v>7387.8</v>
      </c>
      <c r="H772" s="43">
        <f>IFERROR(G772*E768,"")</f>
        <v>0</v>
      </c>
    </row>
    <row r="773" spans="1:8">
      <c r="A773" s="28"/>
      <c r="B773" s="29" t="s">
        <v>2855</v>
      </c>
      <c r="C773" s="30" t="str">
        <f>IFERROR(_xlfn.XLOOKUP(B773,Insumo[DESCRIPCION],Insumo[UND],,0),"")</f>
        <v>Un</v>
      </c>
      <c r="D773" s="31">
        <v>1</v>
      </c>
      <c r="E773" s="32">
        <f>IFERROR(_xlfn.XLOOKUP($B773,Insumo[DESCRIPCION],Insumo[VALOR],,0),"")</f>
        <v>6421.8</v>
      </c>
      <c r="F773" s="33"/>
      <c r="G773" s="34">
        <f>IFERROR(IF(F773&gt;=0,D773*E773*(1+F773/100),ABS(D773*E773/F773)),"")</f>
        <v>6421.8</v>
      </c>
      <c r="H773" s="43">
        <f>IFERROR(G773*E768,"")</f>
        <v>0</v>
      </c>
    </row>
    <row r="774" spans="1:8">
      <c r="A774" s="28"/>
      <c r="B774" s="29"/>
      <c r="C774" s="30" t="str">
        <f>IFERROR(_xlfn.XLOOKUP(B774,Insumo[DESCRIPCION],Insumo[UND],,0),"")</f>
        <v/>
      </c>
      <c r="D774" s="31"/>
      <c r="E774" s="32" t="str">
        <f>IFERROR(_xlfn.XLOOKUP($B774,Insumo[DESCRIPCION],Insumo[VALOR],,0),"")</f>
        <v/>
      </c>
      <c r="F774" s="33"/>
      <c r="G774" s="34" t="str">
        <f>IFERROR(IF(F774&gt;=0,D774*E774*(1+F774/100),ABS(D774*E774/F774)),"")</f>
        <v/>
      </c>
      <c r="H774" s="43" t="str">
        <f>IFERROR(G774*E768,"")</f>
        <v/>
      </c>
    </row>
    <row r="775" spans="1:8">
      <c r="A775" s="28"/>
      <c r="B775" s="29"/>
      <c r="C775" s="30" t="str">
        <f>IFERROR(_xlfn.XLOOKUP(B775,Insumo[DESCRIPCION],Insumo[UND],,0),"")</f>
        <v/>
      </c>
      <c r="D775" s="31"/>
      <c r="E775" s="32" t="str">
        <f>IFERROR(_xlfn.XLOOKUP($B775,Insumo[DESCRIPCION],Insumo[VALOR],,0),"")</f>
        <v/>
      </c>
      <c r="F775" s="33"/>
      <c r="G775" s="34" t="str">
        <f>IFERROR(IF(F775&gt;=0,D775*E775*(1+F775/100),ABS(D775*E775/F775)),"")</f>
        <v/>
      </c>
      <c r="H775" s="43" t="str">
        <f>IFERROR(G775*E768,"")</f>
        <v/>
      </c>
    </row>
    <row r="776" spans="1:8">
      <c r="A776" s="21"/>
      <c r="B776" s="22" t="s">
        <v>3731</v>
      </c>
      <c r="C776" s="23"/>
      <c r="D776" s="24"/>
      <c r="E776" s="25"/>
      <c r="F776" s="26"/>
      <c r="G776" s="27">
        <f>SUM(G777:G779)</f>
        <v>2110.4934666562508</v>
      </c>
      <c r="H776" s="27">
        <f>IFERROR(G776*E768,"")</f>
        <v>0</v>
      </c>
    </row>
    <row r="777" spans="1:8">
      <c r="A777" s="28"/>
      <c r="B777" s="29" t="s">
        <v>3626</v>
      </c>
      <c r="C777" s="30" t="str">
        <f>IFERROR(_xlfn.XLOOKUP(B777,Equipo[DESCRIPCION],Equipo[UND],,0),"")</f>
        <v>%MO</v>
      </c>
      <c r="D777" s="31">
        <v>0.05</v>
      </c>
      <c r="E777" s="32">
        <f>IF(C777="%MO",G783,IFERROR(_xlfn.XLOOKUP($B777,Equipo[DESCRIPCION],Equipo[VALOR],,0),""))</f>
        <v>42209.869333125011</v>
      </c>
      <c r="F777" s="33"/>
      <c r="G777" s="34">
        <f>IFERROR(IF(F777&gt;=0,D777*E777*(1+F777/100),ABS(D777*E777/F777)),"")</f>
        <v>2110.4934666562508</v>
      </c>
      <c r="H777" s="43">
        <f>IFERROR(G777*E768,"")</f>
        <v>0</v>
      </c>
    </row>
    <row r="778" spans="1:8">
      <c r="A778" s="28"/>
      <c r="B778" s="29"/>
      <c r="C778" s="30" t="str">
        <f>IFERROR(_xlfn.XLOOKUP(B778,Equipo[DESCRIPCION],Equipo[UND],,0),"")</f>
        <v/>
      </c>
      <c r="D778" s="31"/>
      <c r="E778" s="32" t="str">
        <f>IF(C778="%MO",G783,IFERROR(_xlfn.XLOOKUP($B778,Equipo[DESCRIPCION],Equipo[VALOR],,0),""))</f>
        <v/>
      </c>
      <c r="F778" s="33"/>
      <c r="G778" s="34" t="str">
        <f>IFERROR(IF(F778&gt;=0,D778*E778*(1+F778/100),ABS(D778*E778/F778)),"")</f>
        <v/>
      </c>
      <c r="H778" s="43" t="str">
        <f>IFERROR(G778*E768,"")</f>
        <v/>
      </c>
    </row>
    <row r="779" spans="1:8">
      <c r="A779" s="28"/>
      <c r="B779" s="29"/>
      <c r="C779" s="30" t="str">
        <f>IFERROR(_xlfn.XLOOKUP(B779,Equipo[DESCRIPCION],Equipo[UND],,0),"")</f>
        <v/>
      </c>
      <c r="D779" s="31"/>
      <c r="E779" s="32" t="str">
        <f>IF(C779="%MO",G783,IFERROR(_xlfn.XLOOKUP($B779,Equipo[DESCRIPCION],Equipo[VALOR],,0),""))</f>
        <v/>
      </c>
      <c r="F779" s="33"/>
      <c r="G779" s="34" t="str">
        <f>IFERROR(IF(F779&gt;=0,D779*E779*(1+F779/100),ABS(D779*E779/F779)),"")</f>
        <v/>
      </c>
      <c r="H779" s="43" t="str">
        <f>IFERROR(G779*E768,"")</f>
        <v/>
      </c>
    </row>
    <row r="780" spans="1:8">
      <c r="A780" s="21"/>
      <c r="B780" s="22" t="s">
        <v>2533</v>
      </c>
      <c r="C780" s="23"/>
      <c r="D780" s="24"/>
      <c r="E780" s="25"/>
      <c r="F780" s="26"/>
      <c r="G780" s="27">
        <f>SUM(G781:G782)</f>
        <v>0</v>
      </c>
      <c r="H780" s="27">
        <f>IFERROR(G780*E768,"")</f>
        <v>0</v>
      </c>
    </row>
    <row r="781" spans="1:8">
      <c r="A781" s="28"/>
      <c r="B781" s="29"/>
      <c r="C781" s="30" t="str">
        <f>IFERROR(_xlfn.XLOOKUP(B781,Transporte[DESCRIPCION],Transporte[UND],,0),"")</f>
        <v/>
      </c>
      <c r="D781" s="31"/>
      <c r="E781" s="32" t="str">
        <f>IFERROR(_xlfn.XLOOKUP($B781,Transporte[DESCRIPCION],Transporte[VALOR],,0),"")</f>
        <v/>
      </c>
      <c r="F781" s="33"/>
      <c r="G781" s="34" t="str">
        <f>IFERROR(IF(F781&gt;=0,D781*E781*(1+F781/100),ABS(D781*E781/F781)),"")</f>
        <v/>
      </c>
      <c r="H781" s="43" t="str">
        <f>IFERROR(G781*E768,"")</f>
        <v/>
      </c>
    </row>
    <row r="782" spans="1:8">
      <c r="A782" s="28"/>
      <c r="B782" s="29"/>
      <c r="C782" s="30" t="str">
        <f>IFERROR(_xlfn.XLOOKUP(B782,Transporte[DESCRIPCION],Transporte[UND],,0),"")</f>
        <v/>
      </c>
      <c r="D782" s="31"/>
      <c r="E782" s="32" t="str">
        <f>IFERROR(_xlfn.XLOOKUP($B782,Transporte[DESCRIPCION],Transporte[VALOR],,0),"")</f>
        <v/>
      </c>
      <c r="F782" s="33"/>
      <c r="G782" s="34" t="str">
        <f>IFERROR(IF(F782&gt;=0,D782*E782*(1+F782/100),ABS(D782*E782/F782)),"")</f>
        <v/>
      </c>
      <c r="H782" s="43" t="str">
        <f>IFERROR(G782*E768,"")</f>
        <v/>
      </c>
    </row>
    <row r="783" spans="1:8">
      <c r="A783" s="21"/>
      <c r="B783" s="22" t="s">
        <v>3732</v>
      </c>
      <c r="C783" s="23"/>
      <c r="D783" s="24"/>
      <c r="E783" s="25"/>
      <c r="F783" s="26"/>
      <c r="G783" s="27">
        <f>SUM(G784:G786)</f>
        <v>42209.869333125011</v>
      </c>
      <c r="H783" s="27">
        <f>IFERROR(G783*E768,"")</f>
        <v>0</v>
      </c>
    </row>
    <row r="784" spans="1:8">
      <c r="A784" s="28"/>
      <c r="B784" s="29" t="s">
        <v>3715</v>
      </c>
      <c r="C784" s="30" t="str">
        <f>IFERROR(_xlfn.XLOOKUP(B784,MObra[DESCRIPCION],MObra[UN],,0),"")</f>
        <v>día</v>
      </c>
      <c r="D784" s="31">
        <v>1</v>
      </c>
      <c r="E784" s="32">
        <f>IFERROR(_xlfn.XLOOKUP($B784,MObra[DESCRIPCION],MObra[VALOR UNIT],,0),"")</f>
        <v>337678.95466500008</v>
      </c>
      <c r="F784" s="33">
        <v>-8</v>
      </c>
      <c r="G784" s="34">
        <f>IFERROR(IF(F784&gt;=0,D784*E784*(1+F784/100),ABS(D784*E784/F784)),"")</f>
        <v>42209.869333125011</v>
      </c>
      <c r="H784" s="43">
        <f>IFERROR(G784*E768,"")</f>
        <v>0</v>
      </c>
    </row>
    <row r="785" spans="1:11">
      <c r="A785" s="28"/>
      <c r="B785" s="29"/>
      <c r="C785" s="30" t="str">
        <f>IFERROR(_xlfn.XLOOKUP(B785,MObra[DESCRIPCION],MObra[UN],,0),"")</f>
        <v/>
      </c>
      <c r="D785" s="31"/>
      <c r="E785" s="32" t="str">
        <f>IFERROR(_xlfn.XLOOKUP($B785,MObra[DESCRIPCION],MObra[VALOR UNIT],,0),"")</f>
        <v/>
      </c>
      <c r="F785" s="33"/>
      <c r="G785" s="34" t="str">
        <f>IFERROR(IF(F785&gt;=0,D785*E785*(1+F785/100),ABS(D785*E785/F785)),"")</f>
        <v/>
      </c>
      <c r="H785" s="43" t="str">
        <f>IFERROR(G785*E768,"")</f>
        <v/>
      </c>
    </row>
    <row r="786" spans="1:11">
      <c r="A786" s="35"/>
      <c r="B786" s="36"/>
      <c r="C786" s="37" t="str">
        <f>IFERROR(_xlfn.XLOOKUP(B786,MObra[DESCRIPCION],MObra[UN],,0),"")</f>
        <v/>
      </c>
      <c r="D786" s="38"/>
      <c r="E786" s="39" t="str">
        <f>IFERROR(_xlfn.XLOOKUP($B786,MObra[DESCRIPCION],MObra[VALOR UNIT],,0),"")</f>
        <v/>
      </c>
      <c r="F786" s="40"/>
      <c r="G786" s="41" t="str">
        <f>IFERROR(IF(F786&gt;=0,D786*E786*(1+F786/100),ABS(D786*E786/F786)),"")</f>
        <v/>
      </c>
      <c r="H786" s="42" t="str">
        <f>IFERROR(G786*E768,"")</f>
        <v/>
      </c>
    </row>
    <row r="788" spans="1:11" ht="25.5">
      <c r="A788" s="6" t="s">
        <v>2338</v>
      </c>
      <c r="B788" s="7" t="str">
        <f>VLOOKUP($A788,Presupuesto!$A:$D,2,FALSE())</f>
        <v>Luminaria LED redonda para área clasificada 120-277 Vac, 80w, 13600 lm 5000k, eficacia&gt;= 100lm/w, VU&gt;= 50000h@l70</v>
      </c>
      <c r="C788" s="8" t="str">
        <f>VLOOKUP($A788,Presupuesto!$A:$D,3,FALSE())</f>
        <v>Un</v>
      </c>
      <c r="D788" s="9"/>
      <c r="E788" s="10">
        <f>VLOOKUP($A788,Presupuesto!$A:$D,4,FALSE())</f>
        <v>0</v>
      </c>
      <c r="F788" s="11" t="s">
        <v>2589</v>
      </c>
      <c r="G788" s="12">
        <f>SUM(G790:G806)/2</f>
        <v>3885379.962799781</v>
      </c>
      <c r="H788" s="13">
        <f>ROUND(SUM(H790:H806),0)/2</f>
        <v>0</v>
      </c>
      <c r="I788" s="10">
        <f>VLOOKUP(A788,Presupuesto!$A:$F,6,0)</f>
        <v>0</v>
      </c>
      <c r="J788" s="10">
        <f>+H788-I788</f>
        <v>0</v>
      </c>
      <c r="K788" s="46">
        <f>+H788-G788*E788</f>
        <v>0</v>
      </c>
    </row>
    <row r="789" spans="1:11">
      <c r="A789" s="14"/>
      <c r="B789" s="15" t="s">
        <v>2586</v>
      </c>
      <c r="C789" s="15" t="s">
        <v>5</v>
      </c>
      <c r="D789" s="16" t="s">
        <v>6</v>
      </c>
      <c r="E789" s="17" t="s">
        <v>7</v>
      </c>
      <c r="F789" s="18" t="s">
        <v>3728</v>
      </c>
      <c r="G789" s="19" t="s">
        <v>3729</v>
      </c>
      <c r="H789" s="20" t="s">
        <v>3797</v>
      </c>
    </row>
    <row r="790" spans="1:11">
      <c r="A790" s="21"/>
      <c r="B790" s="22" t="s">
        <v>3730</v>
      </c>
      <c r="C790" s="23"/>
      <c r="D790" s="24"/>
      <c r="E790" s="25"/>
      <c r="F790" s="26"/>
      <c r="G790" s="27">
        <f>SUM(G791:G795)</f>
        <v>3841059.5999999996</v>
      </c>
      <c r="H790" s="27">
        <f>IFERROR(G790*E788,"")</f>
        <v>0</v>
      </c>
    </row>
    <row r="791" spans="1:11" ht="25.5">
      <c r="A791" s="28"/>
      <c r="B791" s="29" t="s">
        <v>3066</v>
      </c>
      <c r="C791" s="30" t="str">
        <f>IFERROR(_xlfn.XLOOKUP(B791,Insumo[DESCRIPCION],Insumo[UND],,0),"")</f>
        <v>Un</v>
      </c>
      <c r="D791" s="31">
        <v>1</v>
      </c>
      <c r="E791" s="32">
        <f>IFERROR(_xlfn.XLOOKUP($B791,Insumo[DESCRIPCION],Insumo[VALOR],,0),"")</f>
        <v>3827250</v>
      </c>
      <c r="F791" s="33"/>
      <c r="G791" s="34">
        <f>IFERROR(IF(F791&gt;=0,D791*E791*(1+F791/100),ABS(D791*E791/F791)),"")</f>
        <v>3827250</v>
      </c>
      <c r="H791" s="43">
        <f>IFERROR(G791*E788,"")</f>
        <v>0</v>
      </c>
    </row>
    <row r="792" spans="1:11">
      <c r="A792" s="28"/>
      <c r="B792" s="29" t="s">
        <v>2800</v>
      </c>
      <c r="C792" s="30" t="str">
        <f>IFERROR(_xlfn.XLOOKUP(B792,Insumo[DESCRIPCION],Insumo[UND],,0),"")</f>
        <v>M</v>
      </c>
      <c r="D792" s="31">
        <v>1</v>
      </c>
      <c r="E792" s="32">
        <f>IFERROR(_xlfn.XLOOKUP($B792,Insumo[DESCRIPCION],Insumo[VALOR],,0),"")</f>
        <v>7387.8</v>
      </c>
      <c r="F792" s="33"/>
      <c r="G792" s="34">
        <f>IFERROR(IF(F792&gt;=0,D792*E792*(1+F792/100),ABS(D792*E792/F792)),"")</f>
        <v>7387.8</v>
      </c>
      <c r="H792" s="43">
        <f>IFERROR(G792*E788,"")</f>
        <v>0</v>
      </c>
    </row>
    <row r="793" spans="1:11">
      <c r="A793" s="28"/>
      <c r="B793" s="29" t="s">
        <v>2855</v>
      </c>
      <c r="C793" s="30" t="str">
        <f>IFERROR(_xlfn.XLOOKUP(B793,Insumo[DESCRIPCION],Insumo[UND],,0),"")</f>
        <v>Un</v>
      </c>
      <c r="D793" s="31">
        <v>1</v>
      </c>
      <c r="E793" s="32">
        <f>IFERROR(_xlfn.XLOOKUP($B793,Insumo[DESCRIPCION],Insumo[VALOR],,0),"")</f>
        <v>6421.8</v>
      </c>
      <c r="F793" s="33"/>
      <c r="G793" s="34">
        <f>IFERROR(IF(F793&gt;=0,D793*E793*(1+F793/100),ABS(D793*E793/F793)),"")</f>
        <v>6421.8</v>
      </c>
      <c r="H793" s="43">
        <f>IFERROR(G793*E788,"")</f>
        <v>0</v>
      </c>
    </row>
    <row r="794" spans="1:11">
      <c r="A794" s="28"/>
      <c r="B794" s="29"/>
      <c r="C794" s="30" t="str">
        <f>IFERROR(_xlfn.XLOOKUP(B794,Insumo[DESCRIPCION],Insumo[UND],,0),"")</f>
        <v/>
      </c>
      <c r="D794" s="31"/>
      <c r="E794" s="32" t="str">
        <f>IFERROR(_xlfn.XLOOKUP($B794,Insumo[DESCRIPCION],Insumo[VALOR],,0),"")</f>
        <v/>
      </c>
      <c r="F794" s="33"/>
      <c r="G794" s="34" t="str">
        <f>IFERROR(IF(F794&gt;=0,D794*E794*(1+F794/100),ABS(D794*E794/F794)),"")</f>
        <v/>
      </c>
      <c r="H794" s="43" t="str">
        <f>IFERROR(G794*E788,"")</f>
        <v/>
      </c>
    </row>
    <row r="795" spans="1:11">
      <c r="A795" s="28"/>
      <c r="B795" s="29"/>
      <c r="C795" s="30" t="str">
        <f>IFERROR(_xlfn.XLOOKUP(B795,Insumo[DESCRIPCION],Insumo[UND],,0),"")</f>
        <v/>
      </c>
      <c r="D795" s="31"/>
      <c r="E795" s="32" t="str">
        <f>IFERROR(_xlfn.XLOOKUP($B795,Insumo[DESCRIPCION],Insumo[VALOR],,0),"")</f>
        <v/>
      </c>
      <c r="F795" s="33"/>
      <c r="G795" s="34" t="str">
        <f>IFERROR(IF(F795&gt;=0,D795*E795*(1+F795/100),ABS(D795*E795/F795)),"")</f>
        <v/>
      </c>
      <c r="H795" s="43" t="str">
        <f>IFERROR(G795*E788,"")</f>
        <v/>
      </c>
    </row>
    <row r="796" spans="1:11">
      <c r="A796" s="21"/>
      <c r="B796" s="22" t="s">
        <v>3731</v>
      </c>
      <c r="C796" s="23"/>
      <c r="D796" s="24"/>
      <c r="E796" s="25"/>
      <c r="F796" s="26"/>
      <c r="G796" s="27">
        <f>SUM(G797:G799)</f>
        <v>2110.4934666562508</v>
      </c>
      <c r="H796" s="27">
        <f>IFERROR(G796*E788,"")</f>
        <v>0</v>
      </c>
    </row>
    <row r="797" spans="1:11">
      <c r="A797" s="28"/>
      <c r="B797" s="29" t="s">
        <v>3626</v>
      </c>
      <c r="C797" s="30" t="str">
        <f>IFERROR(_xlfn.XLOOKUP(B797,Equipo[DESCRIPCION],Equipo[UND],,0),"")</f>
        <v>%MO</v>
      </c>
      <c r="D797" s="31">
        <v>0.05</v>
      </c>
      <c r="E797" s="32">
        <f>IF(C797="%MO",G803,IFERROR(_xlfn.XLOOKUP($B797,Equipo[DESCRIPCION],Equipo[VALOR],,0),""))</f>
        <v>42209.869333125011</v>
      </c>
      <c r="F797" s="33"/>
      <c r="G797" s="34">
        <f>IFERROR(IF(F797&gt;=0,D797*E797*(1+F797/100),ABS(D797*E797/F797)),"")</f>
        <v>2110.4934666562508</v>
      </c>
      <c r="H797" s="43">
        <f>IFERROR(G797*E788,"")</f>
        <v>0</v>
      </c>
    </row>
    <row r="798" spans="1:11">
      <c r="A798" s="28"/>
      <c r="B798" s="29"/>
      <c r="C798" s="30" t="str">
        <f>IFERROR(_xlfn.XLOOKUP(B798,Equipo[DESCRIPCION],Equipo[UND],,0),"")</f>
        <v/>
      </c>
      <c r="D798" s="31"/>
      <c r="E798" s="32" t="str">
        <f>IF(C798="%MO",G803,IFERROR(_xlfn.XLOOKUP($B798,Equipo[DESCRIPCION],Equipo[VALOR],,0),""))</f>
        <v/>
      </c>
      <c r="F798" s="33"/>
      <c r="G798" s="34" t="str">
        <f>IFERROR(IF(F798&gt;=0,D798*E798*(1+F798/100),ABS(D798*E798/F798)),"")</f>
        <v/>
      </c>
      <c r="H798" s="43" t="str">
        <f>IFERROR(G798*E788,"")</f>
        <v/>
      </c>
    </row>
    <row r="799" spans="1:11">
      <c r="A799" s="28"/>
      <c r="B799" s="29"/>
      <c r="C799" s="30" t="str">
        <f>IFERROR(_xlfn.XLOOKUP(B799,Equipo[DESCRIPCION],Equipo[UND],,0),"")</f>
        <v/>
      </c>
      <c r="D799" s="31"/>
      <c r="E799" s="32" t="str">
        <f>IF(C799="%MO",G803,IFERROR(_xlfn.XLOOKUP($B799,Equipo[DESCRIPCION],Equipo[VALOR],,0),""))</f>
        <v/>
      </c>
      <c r="F799" s="33"/>
      <c r="G799" s="34" t="str">
        <f>IFERROR(IF(F799&gt;=0,D799*E799*(1+F799/100),ABS(D799*E799/F799)),"")</f>
        <v/>
      </c>
      <c r="H799" s="43" t="str">
        <f>IFERROR(G799*E788,"")</f>
        <v/>
      </c>
    </row>
    <row r="800" spans="1:11">
      <c r="A800" s="21"/>
      <c r="B800" s="22" t="s">
        <v>2533</v>
      </c>
      <c r="C800" s="23"/>
      <c r="D800" s="24"/>
      <c r="E800" s="25"/>
      <c r="F800" s="26"/>
      <c r="G800" s="27">
        <f>SUM(G801:G802)</f>
        <v>0</v>
      </c>
      <c r="H800" s="27">
        <f>IFERROR(G800*E788,"")</f>
        <v>0</v>
      </c>
    </row>
    <row r="801" spans="1:11">
      <c r="A801" s="28"/>
      <c r="B801" s="29"/>
      <c r="C801" s="30" t="str">
        <f>IFERROR(_xlfn.XLOOKUP(B801,Transporte[DESCRIPCION],Transporte[UND],,0),"")</f>
        <v/>
      </c>
      <c r="D801" s="31"/>
      <c r="E801" s="32" t="str">
        <f>IFERROR(_xlfn.XLOOKUP($B801,Transporte[DESCRIPCION],Transporte[VALOR],,0),"")</f>
        <v/>
      </c>
      <c r="F801" s="33"/>
      <c r="G801" s="34" t="str">
        <f>IFERROR(IF(F801&gt;=0,D801*E801*(1+F801/100),ABS(D801*E801/F801)),"")</f>
        <v/>
      </c>
      <c r="H801" s="43" t="str">
        <f>IFERROR(G801*E788,"")</f>
        <v/>
      </c>
    </row>
    <row r="802" spans="1:11">
      <c r="A802" s="28"/>
      <c r="B802" s="29"/>
      <c r="C802" s="30" t="str">
        <f>IFERROR(_xlfn.XLOOKUP(B802,Transporte[DESCRIPCION],Transporte[UND],,0),"")</f>
        <v/>
      </c>
      <c r="D802" s="31"/>
      <c r="E802" s="32" t="str">
        <f>IFERROR(_xlfn.XLOOKUP($B802,Transporte[DESCRIPCION],Transporte[VALOR],,0),"")</f>
        <v/>
      </c>
      <c r="F802" s="33"/>
      <c r="G802" s="34" t="str">
        <f>IFERROR(IF(F802&gt;=0,D802*E802*(1+F802/100),ABS(D802*E802/F802)),"")</f>
        <v/>
      </c>
      <c r="H802" s="43" t="str">
        <f>IFERROR(G802*E788,"")</f>
        <v/>
      </c>
    </row>
    <row r="803" spans="1:11">
      <c r="A803" s="21"/>
      <c r="B803" s="22" t="s">
        <v>3732</v>
      </c>
      <c r="C803" s="23"/>
      <c r="D803" s="24"/>
      <c r="E803" s="25"/>
      <c r="F803" s="26"/>
      <c r="G803" s="27">
        <f>SUM(G804:G806)</f>
        <v>42209.869333125011</v>
      </c>
      <c r="H803" s="27">
        <f>IFERROR(G803*E788,"")</f>
        <v>0</v>
      </c>
    </row>
    <row r="804" spans="1:11">
      <c r="A804" s="28"/>
      <c r="B804" s="29" t="s">
        <v>3715</v>
      </c>
      <c r="C804" s="30" t="str">
        <f>IFERROR(_xlfn.XLOOKUP(B804,MObra[DESCRIPCION],MObra[UN],,0),"")</f>
        <v>día</v>
      </c>
      <c r="D804" s="31">
        <v>1</v>
      </c>
      <c r="E804" s="32">
        <f>IFERROR(_xlfn.XLOOKUP($B804,MObra[DESCRIPCION],MObra[VALOR UNIT],,0),"")</f>
        <v>337678.95466500008</v>
      </c>
      <c r="F804" s="33">
        <v>-8</v>
      </c>
      <c r="G804" s="34">
        <f>IFERROR(IF(F804&gt;=0,D804*E804*(1+F804/100),ABS(D804*E804/F804)),"")</f>
        <v>42209.869333125011</v>
      </c>
      <c r="H804" s="43">
        <f>IFERROR(G804*E788,"")</f>
        <v>0</v>
      </c>
    </row>
    <row r="805" spans="1:11">
      <c r="A805" s="28"/>
      <c r="B805" s="29"/>
      <c r="C805" s="30" t="str">
        <f>IFERROR(_xlfn.XLOOKUP(B805,MObra[DESCRIPCION],MObra[UN],,0),"")</f>
        <v/>
      </c>
      <c r="D805" s="31"/>
      <c r="E805" s="32" t="str">
        <f>IFERROR(_xlfn.XLOOKUP($B805,MObra[DESCRIPCION],MObra[VALOR UNIT],,0),"")</f>
        <v/>
      </c>
      <c r="F805" s="33"/>
      <c r="G805" s="34" t="str">
        <f>IFERROR(IF(F805&gt;=0,D805*E805*(1+F805/100),ABS(D805*E805/F805)),"")</f>
        <v/>
      </c>
      <c r="H805" s="43" t="str">
        <f>IFERROR(G805*E788,"")</f>
        <v/>
      </c>
    </row>
    <row r="806" spans="1:11">
      <c r="A806" s="35"/>
      <c r="B806" s="36"/>
      <c r="C806" s="37" t="str">
        <f>IFERROR(_xlfn.XLOOKUP(B806,MObra[DESCRIPCION],MObra[UN],,0),"")</f>
        <v/>
      </c>
      <c r="D806" s="38"/>
      <c r="E806" s="39" t="str">
        <f>IFERROR(_xlfn.XLOOKUP($B806,MObra[DESCRIPCION],MObra[VALOR UNIT],,0),"")</f>
        <v/>
      </c>
      <c r="F806" s="40"/>
      <c r="G806" s="41" t="str">
        <f>IFERROR(IF(F806&gt;=0,D806*E806*(1+F806/100),ABS(D806*E806/F806)),"")</f>
        <v/>
      </c>
      <c r="H806" s="42" t="str">
        <f>IFERROR(G806*E788,"")</f>
        <v/>
      </c>
    </row>
    <row r="808" spans="1:11" ht="25.5">
      <c r="A808" s="6" t="s">
        <v>2340</v>
      </c>
      <c r="B808" s="7" t="str">
        <f>VLOOKUP($A808,Presupuesto!$A:$D,2,FALSE())</f>
        <v>Luminaria LED redonda para área clasificada 120-277 Vac, 150w, 22500 lm 5000k, eficacia&gt;= 100lm/w, VU&gt;= 50000h@l70</v>
      </c>
      <c r="C808" s="8" t="str">
        <f>VLOOKUP($A808,Presupuesto!$A:$D,3,FALSE())</f>
        <v>Un</v>
      </c>
      <c r="D808" s="9"/>
      <c r="E808" s="10">
        <f>VLOOKUP($A808,Presupuesto!$A:$D,4,FALSE())</f>
        <v>0</v>
      </c>
      <c r="F808" s="11" t="s">
        <v>2589</v>
      </c>
      <c r="G808" s="12">
        <f>SUM(G810:G826)/2</f>
        <v>5731279.9627997829</v>
      </c>
      <c r="H808" s="13">
        <f>ROUND(SUM(H810:H826),0)/2</f>
        <v>0</v>
      </c>
      <c r="I808" s="10">
        <f>VLOOKUP(A808,Presupuesto!$A:$F,6,0)</f>
        <v>0</v>
      </c>
      <c r="J808" s="10">
        <f>+H808-I808</f>
        <v>0</v>
      </c>
      <c r="K808" s="46">
        <f>+H808-G808*E808</f>
        <v>0</v>
      </c>
    </row>
    <row r="809" spans="1:11">
      <c r="A809" s="14"/>
      <c r="B809" s="15" t="s">
        <v>2586</v>
      </c>
      <c r="C809" s="15" t="s">
        <v>5</v>
      </c>
      <c r="D809" s="16" t="s">
        <v>6</v>
      </c>
      <c r="E809" s="17" t="s">
        <v>7</v>
      </c>
      <c r="F809" s="18" t="s">
        <v>3728</v>
      </c>
      <c r="G809" s="19" t="s">
        <v>3729</v>
      </c>
      <c r="H809" s="20" t="s">
        <v>3797</v>
      </c>
    </row>
    <row r="810" spans="1:11">
      <c r="A810" s="21"/>
      <c r="B810" s="22" t="s">
        <v>3730</v>
      </c>
      <c r="C810" s="23"/>
      <c r="D810" s="24"/>
      <c r="E810" s="25"/>
      <c r="F810" s="26"/>
      <c r="G810" s="27">
        <f>SUM(G811:G815)</f>
        <v>5686959.5999999996</v>
      </c>
      <c r="H810" s="27">
        <f>IFERROR(G810*E808,"")</f>
        <v>0</v>
      </c>
    </row>
    <row r="811" spans="1:11" ht="25.5">
      <c r="A811" s="28"/>
      <c r="B811" s="29" t="s">
        <v>3067</v>
      </c>
      <c r="C811" s="30" t="str">
        <f>IFERROR(_xlfn.XLOOKUP(B811,Insumo[DESCRIPCION],Insumo[UND],,0),"")</f>
        <v>Un</v>
      </c>
      <c r="D811" s="31">
        <v>1</v>
      </c>
      <c r="E811" s="32">
        <f>IFERROR(_xlfn.XLOOKUP($B811,Insumo[DESCRIPCION],Insumo[VALOR],,0),"")</f>
        <v>5673150</v>
      </c>
      <c r="F811" s="33"/>
      <c r="G811" s="34">
        <f>IFERROR(IF(F811&gt;=0,D811*E811*(1+F811/100),ABS(D811*E811/F811)),"")</f>
        <v>5673150</v>
      </c>
      <c r="H811" s="43">
        <f>IFERROR(G811*E808,"")</f>
        <v>0</v>
      </c>
    </row>
    <row r="812" spans="1:11">
      <c r="A812" s="28"/>
      <c r="B812" s="29" t="s">
        <v>2800</v>
      </c>
      <c r="C812" s="30" t="str">
        <f>IFERROR(_xlfn.XLOOKUP(B812,Insumo[DESCRIPCION],Insumo[UND],,0),"")</f>
        <v>M</v>
      </c>
      <c r="D812" s="31">
        <v>1</v>
      </c>
      <c r="E812" s="32">
        <f>IFERROR(_xlfn.XLOOKUP($B812,Insumo[DESCRIPCION],Insumo[VALOR],,0),"")</f>
        <v>7387.8</v>
      </c>
      <c r="F812" s="33"/>
      <c r="G812" s="34">
        <f>IFERROR(IF(F812&gt;=0,D812*E812*(1+F812/100),ABS(D812*E812/F812)),"")</f>
        <v>7387.8</v>
      </c>
      <c r="H812" s="43">
        <f>IFERROR(G812*E808,"")</f>
        <v>0</v>
      </c>
    </row>
    <row r="813" spans="1:11">
      <c r="A813" s="28"/>
      <c r="B813" s="29" t="s">
        <v>2855</v>
      </c>
      <c r="C813" s="30" t="str">
        <f>IFERROR(_xlfn.XLOOKUP(B813,Insumo[DESCRIPCION],Insumo[UND],,0),"")</f>
        <v>Un</v>
      </c>
      <c r="D813" s="31">
        <v>1</v>
      </c>
      <c r="E813" s="32">
        <f>IFERROR(_xlfn.XLOOKUP($B813,Insumo[DESCRIPCION],Insumo[VALOR],,0),"")</f>
        <v>6421.8</v>
      </c>
      <c r="F813" s="33"/>
      <c r="G813" s="34">
        <f>IFERROR(IF(F813&gt;=0,D813*E813*(1+F813/100),ABS(D813*E813/F813)),"")</f>
        <v>6421.8</v>
      </c>
      <c r="H813" s="43">
        <f>IFERROR(G813*E808,"")</f>
        <v>0</v>
      </c>
    </row>
    <row r="814" spans="1:11">
      <c r="A814" s="28"/>
      <c r="B814" s="29"/>
      <c r="C814" s="30" t="str">
        <f>IFERROR(_xlfn.XLOOKUP(B814,Insumo[DESCRIPCION],Insumo[UND],,0),"")</f>
        <v/>
      </c>
      <c r="D814" s="31"/>
      <c r="E814" s="32" t="str">
        <f>IFERROR(_xlfn.XLOOKUP($B814,Insumo[DESCRIPCION],Insumo[VALOR],,0),"")</f>
        <v/>
      </c>
      <c r="F814" s="33"/>
      <c r="G814" s="34" t="str">
        <f>IFERROR(IF(F814&gt;=0,D814*E814*(1+F814/100),ABS(D814*E814/F814)),"")</f>
        <v/>
      </c>
      <c r="H814" s="43" t="str">
        <f>IFERROR(G814*E808,"")</f>
        <v/>
      </c>
    </row>
    <row r="815" spans="1:11">
      <c r="A815" s="28"/>
      <c r="B815" s="29"/>
      <c r="C815" s="30" t="str">
        <f>IFERROR(_xlfn.XLOOKUP(B815,Insumo[DESCRIPCION],Insumo[UND],,0),"")</f>
        <v/>
      </c>
      <c r="D815" s="31"/>
      <c r="E815" s="32" t="str">
        <f>IFERROR(_xlfn.XLOOKUP($B815,Insumo[DESCRIPCION],Insumo[VALOR],,0),"")</f>
        <v/>
      </c>
      <c r="F815" s="33"/>
      <c r="G815" s="34" t="str">
        <f>IFERROR(IF(F815&gt;=0,D815*E815*(1+F815/100),ABS(D815*E815/F815)),"")</f>
        <v/>
      </c>
      <c r="H815" s="43" t="str">
        <f>IFERROR(G815*E808,"")</f>
        <v/>
      </c>
    </row>
    <row r="816" spans="1:11">
      <c r="A816" s="21"/>
      <c r="B816" s="22" t="s">
        <v>3731</v>
      </c>
      <c r="C816" s="23"/>
      <c r="D816" s="24"/>
      <c r="E816" s="25"/>
      <c r="F816" s="26"/>
      <c r="G816" s="27">
        <f>SUM(G817:G819)</f>
        <v>2110.4934666562508</v>
      </c>
      <c r="H816" s="27">
        <f>IFERROR(G816*E808,"")</f>
        <v>0</v>
      </c>
    </row>
    <row r="817" spans="1:11">
      <c r="A817" s="28"/>
      <c r="B817" s="29" t="s">
        <v>3626</v>
      </c>
      <c r="C817" s="30" t="str">
        <f>IFERROR(_xlfn.XLOOKUP(B817,Equipo[DESCRIPCION],Equipo[UND],,0),"")</f>
        <v>%MO</v>
      </c>
      <c r="D817" s="31">
        <v>0.05</v>
      </c>
      <c r="E817" s="32">
        <f>IF(C817="%MO",G823,IFERROR(_xlfn.XLOOKUP($B817,Equipo[DESCRIPCION],Equipo[VALOR],,0),""))</f>
        <v>42209.869333125011</v>
      </c>
      <c r="F817" s="33"/>
      <c r="G817" s="34">
        <f>IFERROR(IF(F817&gt;=0,D817*E817*(1+F817/100),ABS(D817*E817/F817)),"")</f>
        <v>2110.4934666562508</v>
      </c>
      <c r="H817" s="43">
        <f>IFERROR(G817*E808,"")</f>
        <v>0</v>
      </c>
    </row>
    <row r="818" spans="1:11">
      <c r="A818" s="28"/>
      <c r="B818" s="29"/>
      <c r="C818" s="30" t="str">
        <f>IFERROR(_xlfn.XLOOKUP(B818,Equipo[DESCRIPCION],Equipo[UND],,0),"")</f>
        <v/>
      </c>
      <c r="D818" s="31"/>
      <c r="E818" s="32" t="str">
        <f>IF(C818="%MO",G823,IFERROR(_xlfn.XLOOKUP($B818,Equipo[DESCRIPCION],Equipo[VALOR],,0),""))</f>
        <v/>
      </c>
      <c r="F818" s="33"/>
      <c r="G818" s="34" t="str">
        <f>IFERROR(IF(F818&gt;=0,D818*E818*(1+F818/100),ABS(D818*E818/F818)),"")</f>
        <v/>
      </c>
      <c r="H818" s="43" t="str">
        <f>IFERROR(G818*E808,"")</f>
        <v/>
      </c>
    </row>
    <row r="819" spans="1:11">
      <c r="A819" s="28"/>
      <c r="B819" s="29"/>
      <c r="C819" s="30" t="str">
        <f>IFERROR(_xlfn.XLOOKUP(B819,Equipo[DESCRIPCION],Equipo[UND],,0),"")</f>
        <v/>
      </c>
      <c r="D819" s="31"/>
      <c r="E819" s="32" t="str">
        <f>IF(C819="%MO",G823,IFERROR(_xlfn.XLOOKUP($B819,Equipo[DESCRIPCION],Equipo[VALOR],,0),""))</f>
        <v/>
      </c>
      <c r="F819" s="33"/>
      <c r="G819" s="34" t="str">
        <f>IFERROR(IF(F819&gt;=0,D819*E819*(1+F819/100),ABS(D819*E819/F819)),"")</f>
        <v/>
      </c>
      <c r="H819" s="43" t="str">
        <f>IFERROR(G819*E808,"")</f>
        <v/>
      </c>
    </row>
    <row r="820" spans="1:11">
      <c r="A820" s="21"/>
      <c r="B820" s="22" t="s">
        <v>2533</v>
      </c>
      <c r="C820" s="23"/>
      <c r="D820" s="24"/>
      <c r="E820" s="25"/>
      <c r="F820" s="26"/>
      <c r="G820" s="27">
        <f>SUM(G821:G822)</f>
        <v>0</v>
      </c>
      <c r="H820" s="27">
        <f>IFERROR(G820*E808,"")</f>
        <v>0</v>
      </c>
    </row>
    <row r="821" spans="1:11">
      <c r="A821" s="28"/>
      <c r="B821" s="29"/>
      <c r="C821" s="30" t="str">
        <f>IFERROR(_xlfn.XLOOKUP(B821,Transporte[DESCRIPCION],Transporte[UND],,0),"")</f>
        <v/>
      </c>
      <c r="D821" s="31"/>
      <c r="E821" s="32" t="str">
        <f>IFERROR(_xlfn.XLOOKUP($B821,Transporte[DESCRIPCION],Transporte[VALOR],,0),"")</f>
        <v/>
      </c>
      <c r="F821" s="33"/>
      <c r="G821" s="34" t="str">
        <f>IFERROR(IF(F821&gt;=0,D821*E821*(1+F821/100),ABS(D821*E821/F821)),"")</f>
        <v/>
      </c>
      <c r="H821" s="43" t="str">
        <f>IFERROR(G821*E808,"")</f>
        <v/>
      </c>
    </row>
    <row r="822" spans="1:11">
      <c r="A822" s="28"/>
      <c r="B822" s="29"/>
      <c r="C822" s="30" t="str">
        <f>IFERROR(_xlfn.XLOOKUP(B822,Transporte[DESCRIPCION],Transporte[UND],,0),"")</f>
        <v/>
      </c>
      <c r="D822" s="31"/>
      <c r="E822" s="32" t="str">
        <f>IFERROR(_xlfn.XLOOKUP($B822,Transporte[DESCRIPCION],Transporte[VALOR],,0),"")</f>
        <v/>
      </c>
      <c r="F822" s="33"/>
      <c r="G822" s="34" t="str">
        <f>IFERROR(IF(F822&gt;=0,D822*E822*(1+F822/100),ABS(D822*E822/F822)),"")</f>
        <v/>
      </c>
      <c r="H822" s="43" t="str">
        <f>IFERROR(G822*E808,"")</f>
        <v/>
      </c>
    </row>
    <row r="823" spans="1:11">
      <c r="A823" s="21"/>
      <c r="B823" s="22" t="s">
        <v>3732</v>
      </c>
      <c r="C823" s="23"/>
      <c r="D823" s="24"/>
      <c r="E823" s="25"/>
      <c r="F823" s="26"/>
      <c r="G823" s="27">
        <f>SUM(G824:G826)</f>
        <v>42209.869333125011</v>
      </c>
      <c r="H823" s="27">
        <f>IFERROR(G823*E808,"")</f>
        <v>0</v>
      </c>
    </row>
    <row r="824" spans="1:11">
      <c r="A824" s="28"/>
      <c r="B824" s="29" t="s">
        <v>3715</v>
      </c>
      <c r="C824" s="30" t="str">
        <f>IFERROR(_xlfn.XLOOKUP(B824,MObra[DESCRIPCION],MObra[UN],,0),"")</f>
        <v>día</v>
      </c>
      <c r="D824" s="31">
        <v>1</v>
      </c>
      <c r="E824" s="32">
        <f>IFERROR(_xlfn.XLOOKUP($B824,MObra[DESCRIPCION],MObra[VALOR UNIT],,0),"")</f>
        <v>337678.95466500008</v>
      </c>
      <c r="F824" s="33">
        <v>-8</v>
      </c>
      <c r="G824" s="34">
        <f>IFERROR(IF(F824&gt;=0,D824*E824*(1+F824/100),ABS(D824*E824/F824)),"")</f>
        <v>42209.869333125011</v>
      </c>
      <c r="H824" s="43">
        <f>IFERROR(G824*E808,"")</f>
        <v>0</v>
      </c>
    </row>
    <row r="825" spans="1:11">
      <c r="A825" s="28"/>
      <c r="B825" s="29"/>
      <c r="C825" s="30" t="str">
        <f>IFERROR(_xlfn.XLOOKUP(B825,MObra[DESCRIPCION],MObra[UN],,0),"")</f>
        <v/>
      </c>
      <c r="D825" s="31"/>
      <c r="E825" s="32" t="str">
        <f>IFERROR(_xlfn.XLOOKUP($B825,MObra[DESCRIPCION],MObra[VALOR UNIT],,0),"")</f>
        <v/>
      </c>
      <c r="F825" s="33"/>
      <c r="G825" s="34" t="str">
        <f>IFERROR(IF(F825&gt;=0,D825*E825*(1+F825/100),ABS(D825*E825/F825)),"")</f>
        <v/>
      </c>
      <c r="H825" s="43" t="str">
        <f>IFERROR(G825*E808,"")</f>
        <v/>
      </c>
    </row>
    <row r="826" spans="1:11">
      <c r="A826" s="35"/>
      <c r="B826" s="36"/>
      <c r="C826" s="37" t="str">
        <f>IFERROR(_xlfn.XLOOKUP(B826,MObra[DESCRIPCION],MObra[UN],,0),"")</f>
        <v/>
      </c>
      <c r="D826" s="38"/>
      <c r="E826" s="39" t="str">
        <f>IFERROR(_xlfn.XLOOKUP($B826,MObra[DESCRIPCION],MObra[VALOR UNIT],,0),"")</f>
        <v/>
      </c>
      <c r="F826" s="40"/>
      <c r="G826" s="41" t="str">
        <f>IFERROR(IF(F826&gt;=0,D826*E826*(1+F826/100),ABS(D826*E826/F826)),"")</f>
        <v/>
      </c>
      <c r="H826" s="42" t="str">
        <f>IFERROR(G826*E808,"")</f>
        <v/>
      </c>
    </row>
    <row r="827" spans="1:11" ht="12.75" customHeight="1" thickTop="1" thickBot="1"/>
    <row r="828" spans="1:11" ht="26.25" thickTop="1" thickBot="1">
      <c r="A828" s="6" t="s">
        <v>2342</v>
      </c>
      <c r="B828" s="7" t="str">
        <f>VLOOKUP($A828,Presupuesto!$A:$D,2,FALSE())</f>
        <v>Luminaria LED tipo proyector 100-277 Vac, 100 W, 14300 Lm, IP 65, IK 08, IRC&gt;70, VU &gt;=50.000 h L70 B50. eficacia &gt;=100 Lm/W, 6500 K</v>
      </c>
      <c r="C828" s="8" t="str">
        <f>VLOOKUP($A828,Presupuesto!$A:$D,3,FALSE())</f>
        <v>Un</v>
      </c>
      <c r="D828" s="9"/>
      <c r="E828" s="10">
        <f>VLOOKUP($A828,Presupuesto!$A:$D,4,FALSE())</f>
        <v>0</v>
      </c>
      <c r="F828" s="11" t="s">
        <v>2589</v>
      </c>
      <c r="G828" s="12">
        <f>SUM(G830:G846)/2</f>
        <v>958509.14973309368</v>
      </c>
      <c r="H828" s="13">
        <f>ROUND(SUM(H830:H846),0)/2</f>
        <v>0</v>
      </c>
      <c r="I828" s="10">
        <f>VLOOKUP(A828,Presupuesto!$A:$F,6,0)</f>
        <v>0</v>
      </c>
      <c r="J828" s="10">
        <f>+H828-I828</f>
        <v>0</v>
      </c>
      <c r="K828" s="46">
        <f>+H828-G828*E828</f>
        <v>0</v>
      </c>
    </row>
    <row r="829" spans="1:11">
      <c r="A829" s="14"/>
      <c r="B829" s="15" t="s">
        <v>2586</v>
      </c>
      <c r="C829" s="15" t="s">
        <v>5</v>
      </c>
      <c r="D829" s="16" t="s">
        <v>6</v>
      </c>
      <c r="E829" s="17" t="s">
        <v>7</v>
      </c>
      <c r="F829" s="18" t="s">
        <v>3728</v>
      </c>
      <c r="G829" s="19" t="s">
        <v>3729</v>
      </c>
      <c r="H829" s="20" t="s">
        <v>3797</v>
      </c>
    </row>
    <row r="830" spans="1:11">
      <c r="A830" s="21"/>
      <c r="B830" s="22" t="s">
        <v>3730</v>
      </c>
      <c r="C830" s="23"/>
      <c r="D830" s="24"/>
      <c r="E830" s="25"/>
      <c r="F830" s="26"/>
      <c r="G830" s="27">
        <f>SUM(G831:G835)</f>
        <v>909967.8</v>
      </c>
      <c r="H830" s="27">
        <f>IFERROR(G830*E828,"")</f>
        <v>0</v>
      </c>
    </row>
    <row r="831" spans="1:11" ht="25.5">
      <c r="A831" s="28"/>
      <c r="B831" s="29" t="s">
        <v>3088</v>
      </c>
      <c r="C831" s="30" t="str">
        <f>IFERROR(_xlfn.XLOOKUP(B831,Insumo[DESCRIPCION],Insumo[UND],,0),"")</f>
        <v>Un</v>
      </c>
      <c r="D831" s="31">
        <v>1</v>
      </c>
      <c r="E831" s="32">
        <f>IFERROR(_xlfn.XLOOKUP($B831,Insumo[DESCRIPCION],Insumo[VALOR],,0),"")</f>
        <v>831600</v>
      </c>
      <c r="F831" s="33"/>
      <c r="G831" s="34">
        <f>IFERROR(IF(F831&gt;=0,D831*E831*(1+F831/100),ABS(D831*E831/F831)),"")</f>
        <v>831600</v>
      </c>
      <c r="H831" s="43">
        <f>IFERROR(G831*E828,"")</f>
        <v>0</v>
      </c>
    </row>
    <row r="832" spans="1:11">
      <c r="A832" s="28"/>
      <c r="B832" s="29" t="s">
        <v>2800</v>
      </c>
      <c r="C832" s="30" t="str">
        <f>IFERROR(_xlfn.XLOOKUP(B832,Insumo[DESCRIPCION],Insumo[UND],,0),"")</f>
        <v>M</v>
      </c>
      <c r="D832" s="31">
        <v>8</v>
      </c>
      <c r="E832" s="32">
        <f>IFERROR(_xlfn.XLOOKUP($B832,Insumo[DESCRIPCION],Insumo[VALOR],,0),"")</f>
        <v>7387.8</v>
      </c>
      <c r="F832" s="33"/>
      <c r="G832" s="34">
        <f>IFERROR(IF(F832&gt;=0,D832*E832*(1+F832/100),ABS(D832*E832/F832)),"")</f>
        <v>59102.400000000001</v>
      </c>
      <c r="H832" s="43">
        <f>IFERROR(G832*E828,"")</f>
        <v>0</v>
      </c>
    </row>
    <row r="833" spans="1:11">
      <c r="A833" s="28"/>
      <c r="B833" s="29" t="s">
        <v>2855</v>
      </c>
      <c r="C833" s="30" t="str">
        <f>IFERROR(_xlfn.XLOOKUP(B833,Insumo[DESCRIPCION],Insumo[UND],,0),"")</f>
        <v>Un</v>
      </c>
      <c r="D833" s="31">
        <v>3</v>
      </c>
      <c r="E833" s="32">
        <f>IFERROR(_xlfn.XLOOKUP($B833,Insumo[DESCRIPCION],Insumo[VALOR],,0),"")</f>
        <v>6421.8</v>
      </c>
      <c r="F833" s="33"/>
      <c r="G833" s="34">
        <f>IFERROR(IF(F833&gt;=0,D833*E833*(1+F833/100),ABS(D833*E833/F833)),"")</f>
        <v>19265.400000000001</v>
      </c>
      <c r="H833" s="43">
        <f>IFERROR(G833*E828,"")</f>
        <v>0</v>
      </c>
    </row>
    <row r="834" spans="1:11">
      <c r="A834" s="28"/>
      <c r="B834" s="29"/>
      <c r="C834" s="30" t="str">
        <f>IFERROR(_xlfn.XLOOKUP(B834,Insumo[DESCRIPCION],Insumo[UND],,0),"")</f>
        <v/>
      </c>
      <c r="D834" s="31"/>
      <c r="E834" s="32" t="str">
        <f>IFERROR(_xlfn.XLOOKUP($B834,Insumo[DESCRIPCION],Insumo[VALOR],,0),"")</f>
        <v/>
      </c>
      <c r="F834" s="33"/>
      <c r="G834" s="34" t="str">
        <f>IFERROR(IF(F834&gt;=0,D834*E834*(1+F834/100),ABS(D834*E834/F834)),"")</f>
        <v/>
      </c>
      <c r="H834" s="43" t="str">
        <f>IFERROR(G834*E828,"")</f>
        <v/>
      </c>
    </row>
    <row r="835" spans="1:11">
      <c r="A835" s="28"/>
      <c r="B835" s="29"/>
      <c r="C835" s="30" t="str">
        <f>IFERROR(_xlfn.XLOOKUP(B835,Insumo[DESCRIPCION],Insumo[UND],,0),"")</f>
        <v/>
      </c>
      <c r="D835" s="31"/>
      <c r="E835" s="32" t="str">
        <f>IFERROR(_xlfn.XLOOKUP($B835,Insumo[DESCRIPCION],Insumo[VALOR],,0),"")</f>
        <v/>
      </c>
      <c r="F835" s="33"/>
      <c r="G835" s="34" t="str">
        <f>IFERROR(IF(F835&gt;=0,D835*E835*(1+F835/100),ABS(D835*E835/F835)),"")</f>
        <v/>
      </c>
      <c r="H835" s="43" t="str">
        <f>IFERROR(G835*E828,"")</f>
        <v/>
      </c>
    </row>
    <row r="836" spans="1:11">
      <c r="A836" s="21"/>
      <c r="B836" s="22" t="s">
        <v>3731</v>
      </c>
      <c r="C836" s="23"/>
      <c r="D836" s="24"/>
      <c r="E836" s="25"/>
      <c r="F836" s="26"/>
      <c r="G836" s="27">
        <f>SUM(G837:G839)</f>
        <v>6331.480399968752</v>
      </c>
      <c r="H836" s="27">
        <f>IFERROR(G836*E828,"")</f>
        <v>0</v>
      </c>
    </row>
    <row r="837" spans="1:11">
      <c r="A837" s="28"/>
      <c r="B837" s="29" t="s">
        <v>3573</v>
      </c>
      <c r="C837" s="30" t="str">
        <f>IFERROR(_xlfn.XLOOKUP(B837,Equipo[DESCRIPCION],Equipo[UND],,0),"")</f>
        <v>%MO</v>
      </c>
      <c r="D837" s="31">
        <v>0.1</v>
      </c>
      <c r="E837" s="32">
        <f>IF(C837="%MO",G843,IFERROR(_xlfn.XLOOKUP($B837,Equipo[DESCRIPCION],Equipo[VALOR],,0),""))</f>
        <v>42209.869333125011</v>
      </c>
      <c r="F837" s="33"/>
      <c r="G837" s="34">
        <f>IFERROR(IF(F837&gt;=0,D837*E837*(1+F837/100),ABS(D837*E837/F837)),"")</f>
        <v>4220.9869333125016</v>
      </c>
      <c r="H837" s="43">
        <f>IFERROR(G837*E828,"")</f>
        <v>0</v>
      </c>
    </row>
    <row r="838" spans="1:11">
      <c r="A838" s="28"/>
      <c r="B838" s="29" t="s">
        <v>3626</v>
      </c>
      <c r="C838" s="30" t="str">
        <f>IFERROR(_xlfn.XLOOKUP(B838,Equipo[DESCRIPCION],Equipo[UND],,0),"")</f>
        <v>%MO</v>
      </c>
      <c r="D838" s="31">
        <v>0.05</v>
      </c>
      <c r="E838" s="32">
        <f>IF(C838="%MO",G843,IFERROR(_xlfn.XLOOKUP($B838,Equipo[DESCRIPCION],Equipo[VALOR],,0),""))</f>
        <v>42209.869333125011</v>
      </c>
      <c r="F838" s="33"/>
      <c r="G838" s="34">
        <f>IFERROR(IF(F838&gt;=0,D838*E838*(1+F838/100),ABS(D838*E838/F838)),"")</f>
        <v>2110.4934666562508</v>
      </c>
      <c r="H838" s="43">
        <f>IFERROR(G838*E828,"")</f>
        <v>0</v>
      </c>
    </row>
    <row r="839" spans="1:11">
      <c r="A839" s="28"/>
      <c r="B839" s="29"/>
      <c r="C839" s="30" t="str">
        <f>IFERROR(_xlfn.XLOOKUP(B839,Equipo[DESCRIPCION],Equipo[UND],,0),"")</f>
        <v/>
      </c>
      <c r="D839" s="31"/>
      <c r="E839" s="32" t="str">
        <f>IF(C839="%MO",G843,IFERROR(_xlfn.XLOOKUP($B839,Equipo[DESCRIPCION],Equipo[VALOR],,0),""))</f>
        <v/>
      </c>
      <c r="F839" s="33"/>
      <c r="G839" s="34" t="str">
        <f>IFERROR(IF(F839&gt;=0,D839*E839*(1+F839/100),ABS(D839*E839/F839)),"")</f>
        <v/>
      </c>
      <c r="H839" s="43" t="str">
        <f>IFERROR(G839*E828,"")</f>
        <v/>
      </c>
    </row>
    <row r="840" spans="1:11">
      <c r="A840" s="21"/>
      <c r="B840" s="22" t="s">
        <v>2533</v>
      </c>
      <c r="C840" s="23"/>
      <c r="D840" s="24"/>
      <c r="E840" s="25"/>
      <c r="F840" s="26"/>
      <c r="G840" s="27">
        <f>SUM(G841:G842)</f>
        <v>0</v>
      </c>
      <c r="H840" s="27">
        <f>IFERROR(G840*E828,"")</f>
        <v>0</v>
      </c>
    </row>
    <row r="841" spans="1:11">
      <c r="A841" s="28"/>
      <c r="B841" s="29"/>
      <c r="C841" s="30" t="str">
        <f>IFERROR(_xlfn.XLOOKUP(B841,Transporte[DESCRIPCION],Transporte[UND],,0),"")</f>
        <v/>
      </c>
      <c r="D841" s="31"/>
      <c r="E841" s="32" t="str">
        <f>IFERROR(_xlfn.XLOOKUP($B841,Transporte[DESCRIPCION],Transporte[VALOR],,0),"")</f>
        <v/>
      </c>
      <c r="F841" s="33"/>
      <c r="G841" s="34" t="str">
        <f>IFERROR(IF(F841&gt;=0,D841*E841*(1+F841/100),ABS(D841*E841/F841)),"")</f>
        <v/>
      </c>
      <c r="H841" s="43" t="str">
        <f>IFERROR(G841*E828,"")</f>
        <v/>
      </c>
    </row>
    <row r="842" spans="1:11">
      <c r="A842" s="28"/>
      <c r="B842" s="29"/>
      <c r="C842" s="30" t="str">
        <f>IFERROR(_xlfn.XLOOKUP(B842,Transporte[DESCRIPCION],Transporte[UND],,0),"")</f>
        <v/>
      </c>
      <c r="D842" s="31"/>
      <c r="E842" s="32" t="str">
        <f>IFERROR(_xlfn.XLOOKUP($B842,Transporte[DESCRIPCION],Transporte[VALOR],,0),"")</f>
        <v/>
      </c>
      <c r="F842" s="33"/>
      <c r="G842" s="34" t="str">
        <f>IFERROR(IF(F842&gt;=0,D842*E842*(1+F842/100),ABS(D842*E842/F842)),"")</f>
        <v/>
      </c>
      <c r="H842" s="43" t="str">
        <f>IFERROR(G842*E828,"")</f>
        <v/>
      </c>
    </row>
    <row r="843" spans="1:11">
      <c r="A843" s="21"/>
      <c r="B843" s="22" t="s">
        <v>3732</v>
      </c>
      <c r="C843" s="23"/>
      <c r="D843" s="24"/>
      <c r="E843" s="25"/>
      <c r="F843" s="26"/>
      <c r="G843" s="27">
        <f>SUM(G844:G846)</f>
        <v>42209.869333125011</v>
      </c>
      <c r="H843" s="27">
        <f>IFERROR(G843*E828,"")</f>
        <v>0</v>
      </c>
    </row>
    <row r="844" spans="1:11">
      <c r="A844" s="28"/>
      <c r="B844" s="29" t="s">
        <v>3715</v>
      </c>
      <c r="C844" s="30" t="str">
        <f>IFERROR(_xlfn.XLOOKUP(B844,MObra[DESCRIPCION],MObra[UN],,0),"")</f>
        <v>día</v>
      </c>
      <c r="D844" s="31">
        <v>1</v>
      </c>
      <c r="E844" s="32">
        <f>IFERROR(_xlfn.XLOOKUP($B844,MObra[DESCRIPCION],MObra[VALOR UNIT],,0),"")</f>
        <v>337678.95466500008</v>
      </c>
      <c r="F844" s="33">
        <v>-8</v>
      </c>
      <c r="G844" s="34">
        <f>IFERROR(IF(F844&gt;=0,D844*E844*(1+F844/100),ABS(D844*E844/F844)),"")</f>
        <v>42209.869333125011</v>
      </c>
      <c r="H844" s="43">
        <f>IFERROR(G844*E828,"")</f>
        <v>0</v>
      </c>
    </row>
    <row r="845" spans="1:11">
      <c r="A845" s="28"/>
      <c r="B845" s="29"/>
      <c r="C845" s="30" t="str">
        <f>IFERROR(_xlfn.XLOOKUP(B845,MObra[DESCRIPCION],MObra[UN],,0),"")</f>
        <v/>
      </c>
      <c r="D845" s="31"/>
      <c r="E845" s="32" t="str">
        <f>IFERROR(_xlfn.XLOOKUP($B845,MObra[DESCRIPCION],MObra[VALOR UNIT],,0),"")</f>
        <v/>
      </c>
      <c r="F845" s="33"/>
      <c r="G845" s="34" t="str">
        <f>IFERROR(IF(F845&gt;=0,D845*E845*(1+F845/100),ABS(D845*E845/F845)),"")</f>
        <v/>
      </c>
      <c r="H845" s="43" t="str">
        <f>IFERROR(G845*E828,"")</f>
        <v/>
      </c>
    </row>
    <row r="846" spans="1:11">
      <c r="A846" s="35"/>
      <c r="B846" s="36"/>
      <c r="C846" s="37" t="str">
        <f>IFERROR(_xlfn.XLOOKUP(B846,MObra[DESCRIPCION],MObra[UN],,0),"")</f>
        <v/>
      </c>
      <c r="D846" s="38"/>
      <c r="E846" s="39" t="str">
        <f>IFERROR(_xlfn.XLOOKUP($B846,MObra[DESCRIPCION],MObra[VALOR UNIT],,0),"")</f>
        <v/>
      </c>
      <c r="F846" s="40"/>
      <c r="G846" s="41" t="str">
        <f>IFERROR(IF(F846&gt;=0,D846*E846*(1+F846/100),ABS(D846*E846/F846)),"")</f>
        <v/>
      </c>
      <c r="H846" s="42" t="str">
        <f>IFERROR(G846*E828,"")</f>
        <v/>
      </c>
    </row>
    <row r="848" spans="1:11" ht="25.5">
      <c r="A848" s="6" t="s">
        <v>2344</v>
      </c>
      <c r="B848" s="7" t="str">
        <f>VLOOKUP($A848,Presupuesto!$A:$D,2,FALSE())</f>
        <v>Luminaria LED tipo proyector 100-277 Vac, 150 W, 22200 Lm, IP 65, IK 08, IRC&gt;70, VU &gt;=50.000 h L70 B50. eficacia &gt;=100 Lm/W, 6500 K</v>
      </c>
      <c r="C848" s="8" t="str">
        <f>VLOOKUP($A848,Presupuesto!$A:$D,3,FALSE())</f>
        <v>Un</v>
      </c>
      <c r="D848" s="9"/>
      <c r="E848" s="10">
        <f>VLOOKUP($A848,Presupuesto!$A:$D,4,FALSE())</f>
        <v>0</v>
      </c>
      <c r="F848" s="11" t="s">
        <v>2589</v>
      </c>
      <c r="G848" s="12">
        <f>SUM(G850:G866)/2</f>
        <v>1054059.1497330938</v>
      </c>
      <c r="H848" s="13">
        <f>ROUND(SUM(H850:H866),0)/2</f>
        <v>0</v>
      </c>
      <c r="I848" s="10">
        <f>VLOOKUP(A848,Presupuesto!$A:$F,6,0)</f>
        <v>0</v>
      </c>
      <c r="J848" s="10">
        <f>+H848-I848</f>
        <v>0</v>
      </c>
      <c r="K848" s="46">
        <f>+H848-G848*E848</f>
        <v>0</v>
      </c>
    </row>
    <row r="849" spans="1:8">
      <c r="A849" s="14"/>
      <c r="B849" s="15" t="s">
        <v>2586</v>
      </c>
      <c r="C849" s="15" t="s">
        <v>5</v>
      </c>
      <c r="D849" s="16" t="s">
        <v>6</v>
      </c>
      <c r="E849" s="17" t="s">
        <v>7</v>
      </c>
      <c r="F849" s="18" t="s">
        <v>3728</v>
      </c>
      <c r="G849" s="19" t="s">
        <v>3729</v>
      </c>
      <c r="H849" s="20" t="s">
        <v>3797</v>
      </c>
    </row>
    <row r="850" spans="1:8">
      <c r="A850" s="21"/>
      <c r="B850" s="22" t="s">
        <v>3730</v>
      </c>
      <c r="C850" s="23"/>
      <c r="D850" s="24"/>
      <c r="E850" s="25"/>
      <c r="F850" s="26"/>
      <c r="G850" s="27">
        <f>SUM(G851:G855)</f>
        <v>1005517.8</v>
      </c>
      <c r="H850" s="27">
        <f>IFERROR(G850*E848,"")</f>
        <v>0</v>
      </c>
    </row>
    <row r="851" spans="1:8" ht="25.5">
      <c r="A851" s="28"/>
      <c r="B851" s="29" t="s">
        <v>3089</v>
      </c>
      <c r="C851" s="30" t="str">
        <f>IFERROR(_xlfn.XLOOKUP(B851,Insumo[DESCRIPCION],Insumo[UND],,0),"")</f>
        <v>Un</v>
      </c>
      <c r="D851" s="31">
        <v>1</v>
      </c>
      <c r="E851" s="32">
        <f>IFERROR(_xlfn.XLOOKUP($B851,Insumo[DESCRIPCION],Insumo[VALOR],,0),"")</f>
        <v>927150</v>
      </c>
      <c r="F851" s="33"/>
      <c r="G851" s="34">
        <f>IFERROR(IF(F851&gt;=0,D851*E851*(1+F851/100),ABS(D851*E851/F851)),"")</f>
        <v>927150</v>
      </c>
      <c r="H851" s="43">
        <f>IFERROR(G851*E848,"")</f>
        <v>0</v>
      </c>
    </row>
    <row r="852" spans="1:8">
      <c r="A852" s="28"/>
      <c r="B852" s="29" t="s">
        <v>2800</v>
      </c>
      <c r="C852" s="30" t="str">
        <f>IFERROR(_xlfn.XLOOKUP(B852,Insumo[DESCRIPCION],Insumo[UND],,0),"")</f>
        <v>M</v>
      </c>
      <c r="D852" s="31">
        <v>8</v>
      </c>
      <c r="E852" s="32">
        <f>IFERROR(_xlfn.XLOOKUP($B852,Insumo[DESCRIPCION],Insumo[VALOR],,0),"")</f>
        <v>7387.8</v>
      </c>
      <c r="F852" s="33"/>
      <c r="G852" s="34">
        <f>IFERROR(IF(F852&gt;=0,D852*E852*(1+F852/100),ABS(D852*E852/F852)),"")</f>
        <v>59102.400000000001</v>
      </c>
      <c r="H852" s="43">
        <f>IFERROR(G852*E848,"")</f>
        <v>0</v>
      </c>
    </row>
    <row r="853" spans="1:8">
      <c r="A853" s="28"/>
      <c r="B853" s="29" t="s">
        <v>2855</v>
      </c>
      <c r="C853" s="30" t="str">
        <f>IFERROR(_xlfn.XLOOKUP(B853,Insumo[DESCRIPCION],Insumo[UND],,0),"")</f>
        <v>Un</v>
      </c>
      <c r="D853" s="31">
        <v>3</v>
      </c>
      <c r="E853" s="32">
        <f>IFERROR(_xlfn.XLOOKUP($B853,Insumo[DESCRIPCION],Insumo[VALOR],,0),"")</f>
        <v>6421.8</v>
      </c>
      <c r="F853" s="33"/>
      <c r="G853" s="34">
        <f>IFERROR(IF(F853&gt;=0,D853*E853*(1+F853/100),ABS(D853*E853/F853)),"")</f>
        <v>19265.400000000001</v>
      </c>
      <c r="H853" s="43">
        <f>IFERROR(G853*E848,"")</f>
        <v>0</v>
      </c>
    </row>
    <row r="854" spans="1:8">
      <c r="A854" s="28"/>
      <c r="B854" s="29"/>
      <c r="C854" s="30" t="str">
        <f>IFERROR(_xlfn.XLOOKUP(B854,Insumo[DESCRIPCION],Insumo[UND],,0),"")</f>
        <v/>
      </c>
      <c r="D854" s="31"/>
      <c r="E854" s="32" t="str">
        <f>IFERROR(_xlfn.XLOOKUP($B854,Insumo[DESCRIPCION],Insumo[VALOR],,0),"")</f>
        <v/>
      </c>
      <c r="F854" s="33"/>
      <c r="G854" s="34" t="str">
        <f>IFERROR(IF(F854&gt;=0,D854*E854*(1+F854/100),ABS(D854*E854/F854)),"")</f>
        <v/>
      </c>
      <c r="H854" s="43" t="str">
        <f>IFERROR(G854*E848,"")</f>
        <v/>
      </c>
    </row>
    <row r="855" spans="1:8">
      <c r="A855" s="28"/>
      <c r="B855" s="29"/>
      <c r="C855" s="30" t="str">
        <f>IFERROR(_xlfn.XLOOKUP(B855,Insumo[DESCRIPCION],Insumo[UND],,0),"")</f>
        <v/>
      </c>
      <c r="D855" s="31"/>
      <c r="E855" s="32" t="str">
        <f>IFERROR(_xlfn.XLOOKUP($B855,Insumo[DESCRIPCION],Insumo[VALOR],,0),"")</f>
        <v/>
      </c>
      <c r="F855" s="33"/>
      <c r="G855" s="34" t="str">
        <f>IFERROR(IF(F855&gt;=0,D855*E855*(1+F855/100),ABS(D855*E855/F855)),"")</f>
        <v/>
      </c>
      <c r="H855" s="43" t="str">
        <f>IFERROR(G855*E848,"")</f>
        <v/>
      </c>
    </row>
    <row r="856" spans="1:8">
      <c r="A856" s="21"/>
      <c r="B856" s="22" t="s">
        <v>3731</v>
      </c>
      <c r="C856" s="23"/>
      <c r="D856" s="24"/>
      <c r="E856" s="25"/>
      <c r="F856" s="26"/>
      <c r="G856" s="27">
        <f>SUM(G857:G859)</f>
        <v>6331.480399968752</v>
      </c>
      <c r="H856" s="27">
        <f>IFERROR(G856*E848,"")</f>
        <v>0</v>
      </c>
    </row>
    <row r="857" spans="1:8">
      <c r="A857" s="28"/>
      <c r="B857" s="29" t="s">
        <v>3573</v>
      </c>
      <c r="C857" s="30" t="str">
        <f>IFERROR(_xlfn.XLOOKUP(B857,Equipo[DESCRIPCION],Equipo[UND],,0),"")</f>
        <v>%MO</v>
      </c>
      <c r="D857" s="31">
        <v>0.1</v>
      </c>
      <c r="E857" s="32">
        <f>IF(C857="%MO",G863,IFERROR(_xlfn.XLOOKUP($B857,Equipo[DESCRIPCION],Equipo[VALOR],,0),""))</f>
        <v>42209.869333125011</v>
      </c>
      <c r="F857" s="33"/>
      <c r="G857" s="34">
        <f>IFERROR(IF(F857&gt;=0,D857*E857*(1+F857/100),ABS(D857*E857/F857)),"")</f>
        <v>4220.9869333125016</v>
      </c>
      <c r="H857" s="43">
        <f>IFERROR(G857*E848,"")</f>
        <v>0</v>
      </c>
    </row>
    <row r="858" spans="1:8">
      <c r="A858" s="28"/>
      <c r="B858" s="29" t="s">
        <v>3626</v>
      </c>
      <c r="C858" s="30" t="str">
        <f>IFERROR(_xlfn.XLOOKUP(B858,Equipo[DESCRIPCION],Equipo[UND],,0),"")</f>
        <v>%MO</v>
      </c>
      <c r="D858" s="31">
        <v>0.05</v>
      </c>
      <c r="E858" s="32">
        <f>IF(C858="%MO",G863,IFERROR(_xlfn.XLOOKUP($B858,Equipo[DESCRIPCION],Equipo[VALOR],,0),""))</f>
        <v>42209.869333125011</v>
      </c>
      <c r="F858" s="33"/>
      <c r="G858" s="34">
        <f>IFERROR(IF(F858&gt;=0,D858*E858*(1+F858/100),ABS(D858*E858/F858)),"")</f>
        <v>2110.4934666562508</v>
      </c>
      <c r="H858" s="43">
        <f>IFERROR(G858*E848,"")</f>
        <v>0</v>
      </c>
    </row>
    <row r="859" spans="1:8">
      <c r="A859" s="28"/>
      <c r="B859" s="29"/>
      <c r="C859" s="30" t="str">
        <f>IFERROR(_xlfn.XLOOKUP(B859,Equipo[DESCRIPCION],Equipo[UND],,0),"")</f>
        <v/>
      </c>
      <c r="D859" s="31"/>
      <c r="E859" s="32" t="str">
        <f>IF(C859="%MO",G863,IFERROR(_xlfn.XLOOKUP($B859,Equipo[DESCRIPCION],Equipo[VALOR],,0),""))</f>
        <v/>
      </c>
      <c r="F859" s="33"/>
      <c r="G859" s="34" t="str">
        <f>IFERROR(IF(F859&gt;=0,D859*E859*(1+F859/100),ABS(D859*E859/F859)),"")</f>
        <v/>
      </c>
      <c r="H859" s="43" t="str">
        <f>IFERROR(G859*E848,"")</f>
        <v/>
      </c>
    </row>
    <row r="860" spans="1:8">
      <c r="A860" s="21"/>
      <c r="B860" s="22" t="s">
        <v>2533</v>
      </c>
      <c r="C860" s="23"/>
      <c r="D860" s="24"/>
      <c r="E860" s="25"/>
      <c r="F860" s="26"/>
      <c r="G860" s="27">
        <f>SUM(G861:G862)</f>
        <v>0</v>
      </c>
      <c r="H860" s="27">
        <f>IFERROR(G860*E848,"")</f>
        <v>0</v>
      </c>
    </row>
    <row r="861" spans="1:8">
      <c r="A861" s="28"/>
      <c r="B861" s="29"/>
      <c r="C861" s="30" t="str">
        <f>IFERROR(_xlfn.XLOOKUP(B861,Transporte[DESCRIPCION],Transporte[UND],,0),"")</f>
        <v/>
      </c>
      <c r="D861" s="31"/>
      <c r="E861" s="32" t="str">
        <f>IFERROR(_xlfn.XLOOKUP($B861,Transporte[DESCRIPCION],Transporte[VALOR],,0),"")</f>
        <v/>
      </c>
      <c r="F861" s="33"/>
      <c r="G861" s="34" t="str">
        <f>IFERROR(IF(F861&gt;=0,D861*E861*(1+F861/100),ABS(D861*E861/F861)),"")</f>
        <v/>
      </c>
      <c r="H861" s="43" t="str">
        <f>IFERROR(G861*E848,"")</f>
        <v/>
      </c>
    </row>
    <row r="862" spans="1:8">
      <c r="A862" s="28"/>
      <c r="B862" s="29"/>
      <c r="C862" s="30" t="str">
        <f>IFERROR(_xlfn.XLOOKUP(B862,Transporte[DESCRIPCION],Transporte[UND],,0),"")</f>
        <v/>
      </c>
      <c r="D862" s="31"/>
      <c r="E862" s="32" t="str">
        <f>IFERROR(_xlfn.XLOOKUP($B862,Transporte[DESCRIPCION],Transporte[VALOR],,0),"")</f>
        <v/>
      </c>
      <c r="F862" s="33"/>
      <c r="G862" s="34" t="str">
        <f>IFERROR(IF(F862&gt;=0,D862*E862*(1+F862/100),ABS(D862*E862/F862)),"")</f>
        <v/>
      </c>
      <c r="H862" s="43" t="str">
        <f>IFERROR(G862*E848,"")</f>
        <v/>
      </c>
    </row>
    <row r="863" spans="1:8">
      <c r="A863" s="21"/>
      <c r="B863" s="22" t="s">
        <v>3732</v>
      </c>
      <c r="C863" s="23"/>
      <c r="D863" s="24"/>
      <c r="E863" s="25"/>
      <c r="F863" s="26"/>
      <c r="G863" s="27">
        <f>SUM(G864:G866)</f>
        <v>42209.869333125011</v>
      </c>
      <c r="H863" s="27">
        <f>IFERROR(G863*E848,"")</f>
        <v>0</v>
      </c>
    </row>
    <row r="864" spans="1:8">
      <c r="A864" s="28"/>
      <c r="B864" s="29" t="s">
        <v>3715</v>
      </c>
      <c r="C864" s="30" t="str">
        <f>IFERROR(_xlfn.XLOOKUP(B864,MObra[DESCRIPCION],MObra[UN],,0),"")</f>
        <v>día</v>
      </c>
      <c r="D864" s="31">
        <v>1</v>
      </c>
      <c r="E864" s="32">
        <f>IFERROR(_xlfn.XLOOKUP($B864,MObra[DESCRIPCION],MObra[VALOR UNIT],,0),"")</f>
        <v>337678.95466500008</v>
      </c>
      <c r="F864" s="33">
        <v>-8</v>
      </c>
      <c r="G864" s="34">
        <f>IFERROR(IF(F864&gt;=0,D864*E864*(1+F864/100),ABS(D864*E864/F864)),"")</f>
        <v>42209.869333125011</v>
      </c>
      <c r="H864" s="43">
        <f>IFERROR(G864*E848,"")</f>
        <v>0</v>
      </c>
    </row>
    <row r="865" spans="1:11">
      <c r="A865" s="28"/>
      <c r="B865" s="29"/>
      <c r="C865" s="30" t="str">
        <f>IFERROR(_xlfn.XLOOKUP(B865,MObra[DESCRIPCION],MObra[UN],,0),"")</f>
        <v/>
      </c>
      <c r="D865" s="31"/>
      <c r="E865" s="32" t="str">
        <f>IFERROR(_xlfn.XLOOKUP($B865,MObra[DESCRIPCION],MObra[VALOR UNIT],,0),"")</f>
        <v/>
      </c>
      <c r="F865" s="33"/>
      <c r="G865" s="34" t="str">
        <f>IFERROR(IF(F865&gt;=0,D865*E865*(1+F865/100),ABS(D865*E865/F865)),"")</f>
        <v/>
      </c>
      <c r="H865" s="43" t="str">
        <f>IFERROR(G865*E848,"")</f>
        <v/>
      </c>
    </row>
    <row r="866" spans="1:11">
      <c r="A866" s="35"/>
      <c r="B866" s="36"/>
      <c r="C866" s="37" t="str">
        <f>IFERROR(_xlfn.XLOOKUP(B866,MObra[DESCRIPCION],MObra[UN],,0),"")</f>
        <v/>
      </c>
      <c r="D866" s="38"/>
      <c r="E866" s="39" t="str">
        <f>IFERROR(_xlfn.XLOOKUP($B866,MObra[DESCRIPCION],MObra[VALOR UNIT],,0),"")</f>
        <v/>
      </c>
      <c r="F866" s="40"/>
      <c r="G866" s="41" t="str">
        <f>IFERROR(IF(F866&gt;=0,D866*E866*(1+F866/100),ABS(D866*E866/F866)),"")</f>
        <v/>
      </c>
      <c r="H866" s="42" t="str">
        <f>IFERROR(G866*E848,"")</f>
        <v/>
      </c>
    </row>
    <row r="868" spans="1:11" ht="25.5">
      <c r="A868" s="6" t="s">
        <v>2346</v>
      </c>
      <c r="B868" s="7" t="str">
        <f>VLOOKUP($A868,Presupuesto!$A:$D,2,FALSE())</f>
        <v>Luminaria LED tipo proyector 100-277 Vac, 200 W, 28800 Lm, IP 65, IK 08, IRC&gt;70, VU &gt;=50.000 h L70 B50. eficacia &gt;=100 Lm/W, 6500 K</v>
      </c>
      <c r="C868" s="8" t="str">
        <f>VLOOKUP($A868,Presupuesto!$A:$D,3,FALSE())</f>
        <v>Un</v>
      </c>
      <c r="D868" s="9"/>
      <c r="E868" s="10">
        <f>VLOOKUP($A868,Presupuesto!$A:$D,4,FALSE())</f>
        <v>0</v>
      </c>
      <c r="F868" s="11" t="s">
        <v>2589</v>
      </c>
      <c r="G868" s="12">
        <f>SUM(G870:G886)/2</f>
        <v>1135959.1497330936</v>
      </c>
      <c r="H868" s="13">
        <f>ROUND(SUM(H870:H886),0)/2</f>
        <v>0</v>
      </c>
      <c r="I868" s="10">
        <f>VLOOKUP(A868,Presupuesto!$A:$F,6,0)</f>
        <v>0</v>
      </c>
      <c r="J868" s="10">
        <f>+H868-I868</f>
        <v>0</v>
      </c>
      <c r="K868" s="46">
        <f>+H868-G868*E868</f>
        <v>0</v>
      </c>
    </row>
    <row r="869" spans="1:11">
      <c r="A869" s="14"/>
      <c r="B869" s="15" t="s">
        <v>2586</v>
      </c>
      <c r="C869" s="15" t="s">
        <v>5</v>
      </c>
      <c r="D869" s="16" t="s">
        <v>6</v>
      </c>
      <c r="E869" s="17" t="s">
        <v>7</v>
      </c>
      <c r="F869" s="18" t="s">
        <v>3728</v>
      </c>
      <c r="G869" s="19" t="s">
        <v>3729</v>
      </c>
      <c r="H869" s="20" t="s">
        <v>3797</v>
      </c>
    </row>
    <row r="870" spans="1:11">
      <c r="A870" s="21"/>
      <c r="B870" s="22" t="s">
        <v>3730</v>
      </c>
      <c r="C870" s="23"/>
      <c r="D870" s="24"/>
      <c r="E870" s="25"/>
      <c r="F870" s="26"/>
      <c r="G870" s="27">
        <f>SUM(G871:G875)</f>
        <v>1087417.7999999998</v>
      </c>
      <c r="H870" s="27">
        <f>IFERROR(G870*E868,"")</f>
        <v>0</v>
      </c>
    </row>
    <row r="871" spans="1:11" ht="25.5">
      <c r="A871" s="28"/>
      <c r="B871" s="29" t="s">
        <v>3090</v>
      </c>
      <c r="C871" s="30" t="str">
        <f>IFERROR(_xlfn.XLOOKUP(B871,Insumo[DESCRIPCION],Insumo[UND],,0),"")</f>
        <v>Un</v>
      </c>
      <c r="D871" s="31">
        <v>1</v>
      </c>
      <c r="E871" s="32">
        <f>IFERROR(_xlfn.XLOOKUP($B871,Insumo[DESCRIPCION],Insumo[VALOR],,0),"")</f>
        <v>1009050</v>
      </c>
      <c r="F871" s="33"/>
      <c r="G871" s="34">
        <f>IFERROR(IF(F871&gt;=0,D871*E871*(1+F871/100),ABS(D871*E871/F871)),"")</f>
        <v>1009050</v>
      </c>
      <c r="H871" s="43">
        <f>IFERROR(G871*E868,"")</f>
        <v>0</v>
      </c>
    </row>
    <row r="872" spans="1:11">
      <c r="A872" s="28"/>
      <c r="B872" s="29" t="s">
        <v>2800</v>
      </c>
      <c r="C872" s="30" t="str">
        <f>IFERROR(_xlfn.XLOOKUP(B872,Insumo[DESCRIPCION],Insumo[UND],,0),"")</f>
        <v>M</v>
      </c>
      <c r="D872" s="31">
        <v>8</v>
      </c>
      <c r="E872" s="32">
        <f>IFERROR(_xlfn.XLOOKUP($B872,Insumo[DESCRIPCION],Insumo[VALOR],,0),"")</f>
        <v>7387.8</v>
      </c>
      <c r="F872" s="33"/>
      <c r="G872" s="34">
        <f>IFERROR(IF(F872&gt;=0,D872*E872*(1+F872/100),ABS(D872*E872/F872)),"")</f>
        <v>59102.400000000001</v>
      </c>
      <c r="H872" s="43">
        <f>IFERROR(G872*E868,"")</f>
        <v>0</v>
      </c>
    </row>
    <row r="873" spans="1:11">
      <c r="A873" s="28"/>
      <c r="B873" s="29" t="s">
        <v>2855</v>
      </c>
      <c r="C873" s="30" t="str">
        <f>IFERROR(_xlfn.XLOOKUP(B873,Insumo[DESCRIPCION],Insumo[UND],,0),"")</f>
        <v>Un</v>
      </c>
      <c r="D873" s="31">
        <v>3</v>
      </c>
      <c r="E873" s="32">
        <f>IFERROR(_xlfn.XLOOKUP($B873,Insumo[DESCRIPCION],Insumo[VALOR],,0),"")</f>
        <v>6421.8</v>
      </c>
      <c r="F873" s="33"/>
      <c r="G873" s="34">
        <f>IFERROR(IF(F873&gt;=0,D873*E873*(1+F873/100),ABS(D873*E873/F873)),"")</f>
        <v>19265.400000000001</v>
      </c>
      <c r="H873" s="43">
        <f>IFERROR(G873*E868,"")</f>
        <v>0</v>
      </c>
    </row>
    <row r="874" spans="1:11">
      <c r="A874" s="28"/>
      <c r="B874" s="29"/>
      <c r="C874" s="30" t="str">
        <f>IFERROR(_xlfn.XLOOKUP(B874,Insumo[DESCRIPCION],Insumo[UND],,0),"")</f>
        <v/>
      </c>
      <c r="D874" s="31"/>
      <c r="E874" s="32" t="str">
        <f>IFERROR(_xlfn.XLOOKUP($B874,Insumo[DESCRIPCION],Insumo[VALOR],,0),"")</f>
        <v/>
      </c>
      <c r="F874" s="33"/>
      <c r="G874" s="34" t="str">
        <f>IFERROR(IF(F874&gt;=0,D874*E874*(1+F874/100),ABS(D874*E874/F874)),"")</f>
        <v/>
      </c>
      <c r="H874" s="43" t="str">
        <f>IFERROR(G874*E868,"")</f>
        <v/>
      </c>
    </row>
    <row r="875" spans="1:11">
      <c r="A875" s="28"/>
      <c r="B875" s="29"/>
      <c r="C875" s="30" t="str">
        <f>IFERROR(_xlfn.XLOOKUP(B875,Insumo[DESCRIPCION],Insumo[UND],,0),"")</f>
        <v/>
      </c>
      <c r="D875" s="31"/>
      <c r="E875" s="32" t="str">
        <f>IFERROR(_xlfn.XLOOKUP($B875,Insumo[DESCRIPCION],Insumo[VALOR],,0),"")</f>
        <v/>
      </c>
      <c r="F875" s="33"/>
      <c r="G875" s="34" t="str">
        <f>IFERROR(IF(F875&gt;=0,D875*E875*(1+F875/100),ABS(D875*E875/F875)),"")</f>
        <v/>
      </c>
      <c r="H875" s="43" t="str">
        <f>IFERROR(G875*E868,"")</f>
        <v/>
      </c>
    </row>
    <row r="876" spans="1:11">
      <c r="A876" s="21"/>
      <c r="B876" s="22" t="s">
        <v>3731</v>
      </c>
      <c r="C876" s="23"/>
      <c r="D876" s="24"/>
      <c r="E876" s="25"/>
      <c r="F876" s="26"/>
      <c r="G876" s="27">
        <f>SUM(G877:G879)</f>
        <v>6331.480399968752</v>
      </c>
      <c r="H876" s="27">
        <f>IFERROR(G876*E868,"")</f>
        <v>0</v>
      </c>
    </row>
    <row r="877" spans="1:11">
      <c r="A877" s="28"/>
      <c r="B877" s="29" t="s">
        <v>3573</v>
      </c>
      <c r="C877" s="30" t="str">
        <f>IFERROR(_xlfn.XLOOKUP(B877,Equipo[DESCRIPCION],Equipo[UND],,0),"")</f>
        <v>%MO</v>
      </c>
      <c r="D877" s="31">
        <v>0.1</v>
      </c>
      <c r="E877" s="32">
        <f>IF(C877="%MO",G883,IFERROR(_xlfn.XLOOKUP($B877,Equipo[DESCRIPCION],Equipo[VALOR],,0),""))</f>
        <v>42209.869333125011</v>
      </c>
      <c r="F877" s="33"/>
      <c r="G877" s="34">
        <f>IFERROR(IF(F877&gt;=0,D877*E877*(1+F877/100),ABS(D877*E877/F877)),"")</f>
        <v>4220.9869333125016</v>
      </c>
      <c r="H877" s="43">
        <f>IFERROR(G877*E868,"")</f>
        <v>0</v>
      </c>
    </row>
    <row r="878" spans="1:11">
      <c r="A878" s="28"/>
      <c r="B878" s="29" t="s">
        <v>3626</v>
      </c>
      <c r="C878" s="30" t="str">
        <f>IFERROR(_xlfn.XLOOKUP(B878,Equipo[DESCRIPCION],Equipo[UND],,0),"")</f>
        <v>%MO</v>
      </c>
      <c r="D878" s="31">
        <v>0.05</v>
      </c>
      <c r="E878" s="32">
        <f>IF(C878="%MO",G883,IFERROR(_xlfn.XLOOKUP($B878,Equipo[DESCRIPCION],Equipo[VALOR],,0),""))</f>
        <v>42209.869333125011</v>
      </c>
      <c r="F878" s="33"/>
      <c r="G878" s="34">
        <f>IFERROR(IF(F878&gt;=0,D878*E878*(1+F878/100),ABS(D878*E878/F878)),"")</f>
        <v>2110.4934666562508</v>
      </c>
      <c r="H878" s="43">
        <f>IFERROR(G878*E868,"")</f>
        <v>0</v>
      </c>
    </row>
    <row r="879" spans="1:11">
      <c r="A879" s="28"/>
      <c r="B879" s="29"/>
      <c r="C879" s="30" t="str">
        <f>IFERROR(_xlfn.XLOOKUP(B879,Equipo[DESCRIPCION],Equipo[UND],,0),"")</f>
        <v/>
      </c>
      <c r="D879" s="31"/>
      <c r="E879" s="32" t="str">
        <f>IF(C879="%MO",G883,IFERROR(_xlfn.XLOOKUP($B879,Equipo[DESCRIPCION],Equipo[VALOR],,0),""))</f>
        <v/>
      </c>
      <c r="F879" s="33"/>
      <c r="G879" s="34" t="str">
        <f>IFERROR(IF(F879&gt;=0,D879*E879*(1+F879/100),ABS(D879*E879/F879)),"")</f>
        <v/>
      </c>
      <c r="H879" s="43" t="str">
        <f>IFERROR(G879*E868,"")</f>
        <v/>
      </c>
    </row>
    <row r="880" spans="1:11">
      <c r="A880" s="21"/>
      <c r="B880" s="22" t="s">
        <v>2533</v>
      </c>
      <c r="C880" s="23"/>
      <c r="D880" s="24"/>
      <c r="E880" s="25"/>
      <c r="F880" s="26"/>
      <c r="G880" s="27">
        <f>SUM(G881:G882)</f>
        <v>0</v>
      </c>
      <c r="H880" s="27">
        <f>IFERROR(G880*E868,"")</f>
        <v>0</v>
      </c>
    </row>
    <row r="881" spans="1:11">
      <c r="A881" s="28"/>
      <c r="B881" s="29"/>
      <c r="C881" s="30" t="str">
        <f>IFERROR(_xlfn.XLOOKUP(B881,Transporte[DESCRIPCION],Transporte[UND],,0),"")</f>
        <v/>
      </c>
      <c r="D881" s="31"/>
      <c r="E881" s="32" t="str">
        <f>IFERROR(_xlfn.XLOOKUP($B881,Transporte[DESCRIPCION],Transporte[VALOR],,0),"")</f>
        <v/>
      </c>
      <c r="F881" s="33"/>
      <c r="G881" s="34" t="str">
        <f>IFERROR(IF(F881&gt;=0,D881*E881*(1+F881/100),ABS(D881*E881/F881)),"")</f>
        <v/>
      </c>
      <c r="H881" s="43" t="str">
        <f>IFERROR(G881*E868,"")</f>
        <v/>
      </c>
    </row>
    <row r="882" spans="1:11">
      <c r="A882" s="28"/>
      <c r="B882" s="29"/>
      <c r="C882" s="30" t="str">
        <f>IFERROR(_xlfn.XLOOKUP(B882,Transporte[DESCRIPCION],Transporte[UND],,0),"")</f>
        <v/>
      </c>
      <c r="D882" s="31"/>
      <c r="E882" s="32" t="str">
        <f>IFERROR(_xlfn.XLOOKUP($B882,Transporte[DESCRIPCION],Transporte[VALOR],,0),"")</f>
        <v/>
      </c>
      <c r="F882" s="33"/>
      <c r="G882" s="34" t="str">
        <f>IFERROR(IF(F882&gt;=0,D882*E882*(1+F882/100),ABS(D882*E882/F882)),"")</f>
        <v/>
      </c>
      <c r="H882" s="43" t="str">
        <f>IFERROR(G882*E868,"")</f>
        <v/>
      </c>
    </row>
    <row r="883" spans="1:11">
      <c r="A883" s="21"/>
      <c r="B883" s="22" t="s">
        <v>3732</v>
      </c>
      <c r="C883" s="23"/>
      <c r="D883" s="24"/>
      <c r="E883" s="25"/>
      <c r="F883" s="26"/>
      <c r="G883" s="27">
        <f>SUM(G884:G886)</f>
        <v>42209.869333125011</v>
      </c>
      <c r="H883" s="27">
        <f>IFERROR(G883*E868,"")</f>
        <v>0</v>
      </c>
    </row>
    <row r="884" spans="1:11">
      <c r="A884" s="28"/>
      <c r="B884" s="29" t="s">
        <v>3715</v>
      </c>
      <c r="C884" s="30" t="str">
        <f>IFERROR(_xlfn.XLOOKUP(B884,MObra[DESCRIPCION],MObra[UN],,0),"")</f>
        <v>día</v>
      </c>
      <c r="D884" s="31">
        <v>1</v>
      </c>
      <c r="E884" s="32">
        <f>IFERROR(_xlfn.XLOOKUP($B884,MObra[DESCRIPCION],MObra[VALOR UNIT],,0),"")</f>
        <v>337678.95466500008</v>
      </c>
      <c r="F884" s="33">
        <v>-8</v>
      </c>
      <c r="G884" s="34">
        <f>IFERROR(IF(F884&gt;=0,D884*E884*(1+F884/100),ABS(D884*E884/F884)),"")</f>
        <v>42209.869333125011</v>
      </c>
      <c r="H884" s="43">
        <f>IFERROR(G884*E868,"")</f>
        <v>0</v>
      </c>
    </row>
    <row r="885" spans="1:11">
      <c r="A885" s="28"/>
      <c r="B885" s="29"/>
      <c r="C885" s="30" t="str">
        <f>IFERROR(_xlfn.XLOOKUP(B885,MObra[DESCRIPCION],MObra[UN],,0),"")</f>
        <v/>
      </c>
      <c r="D885" s="31"/>
      <c r="E885" s="32" t="str">
        <f>IFERROR(_xlfn.XLOOKUP($B885,MObra[DESCRIPCION],MObra[VALOR UNIT],,0),"")</f>
        <v/>
      </c>
      <c r="F885" s="33"/>
      <c r="G885" s="34" t="str">
        <f>IFERROR(IF(F885&gt;=0,D885*E885*(1+F885/100),ABS(D885*E885/F885)),"")</f>
        <v/>
      </c>
      <c r="H885" s="43" t="str">
        <f>IFERROR(G885*E868,"")</f>
        <v/>
      </c>
    </row>
    <row r="886" spans="1:11">
      <c r="A886" s="35"/>
      <c r="B886" s="36"/>
      <c r="C886" s="37" t="str">
        <f>IFERROR(_xlfn.XLOOKUP(B886,MObra[DESCRIPCION],MObra[UN],,0),"")</f>
        <v/>
      </c>
      <c r="D886" s="38"/>
      <c r="E886" s="39" t="str">
        <f>IFERROR(_xlfn.XLOOKUP($B886,MObra[DESCRIPCION],MObra[VALOR UNIT],,0),"")</f>
        <v/>
      </c>
      <c r="F886" s="40"/>
      <c r="G886" s="41" t="str">
        <f>IFERROR(IF(F886&gt;=0,D886*E886*(1+F886/100),ABS(D886*E886/F886)),"")</f>
        <v/>
      </c>
      <c r="H886" s="42" t="str">
        <f>IFERROR(G886*E868,"")</f>
        <v/>
      </c>
    </row>
    <row r="887" spans="1:11" ht="12.75" customHeight="1" thickTop="1" thickBot="1"/>
    <row r="888" spans="1:11" ht="26.25" thickTop="1" thickBot="1">
      <c r="A888" s="6" t="s">
        <v>2348</v>
      </c>
      <c r="B888" s="7" t="str">
        <f>VLOOKUP($A888,Presupuesto!$A:$D,2,FALSE())</f>
        <v>Luminaria LED tipo reflector 100-277 Vac, 100 W, 12000 Lm, IP 65, IK 08, IRC&gt;70, VU &gt;=50.000 h L70 B50. eficacia &gt;=100 Lm/W, 6500 K</v>
      </c>
      <c r="C888" s="8" t="str">
        <f>VLOOKUP($A888,Presupuesto!$A:$D,3,FALSE())</f>
        <v>Un</v>
      </c>
      <c r="D888" s="9"/>
      <c r="E888" s="10">
        <f>VLOOKUP($A888,Presupuesto!$A:$D,4,FALSE())</f>
        <v>0</v>
      </c>
      <c r="F888" s="11" t="s">
        <v>2589</v>
      </c>
      <c r="G888" s="12">
        <f>SUM(G890:G906)/2</f>
        <v>465550.94973309385</v>
      </c>
      <c r="H888" s="13">
        <f>ROUND(SUM(H890:H906),0)/2</f>
        <v>0</v>
      </c>
      <c r="I888" s="10">
        <f>VLOOKUP(A888,Presupuesto!$A:$F,6,0)</f>
        <v>0</v>
      </c>
      <c r="J888" s="10">
        <f>+H888-I888</f>
        <v>0</v>
      </c>
      <c r="K888" s="46">
        <f>+H888-G888*E888</f>
        <v>0</v>
      </c>
    </row>
    <row r="889" spans="1:11">
      <c r="A889" s="14"/>
      <c r="B889" s="15" t="s">
        <v>2586</v>
      </c>
      <c r="C889" s="15" t="s">
        <v>5</v>
      </c>
      <c r="D889" s="16" t="s">
        <v>6</v>
      </c>
      <c r="E889" s="17" t="s">
        <v>7</v>
      </c>
      <c r="F889" s="18" t="s">
        <v>3728</v>
      </c>
      <c r="G889" s="19" t="s">
        <v>3729</v>
      </c>
      <c r="H889" s="20" t="s">
        <v>3797</v>
      </c>
    </row>
    <row r="890" spans="1:11">
      <c r="A890" s="21"/>
      <c r="B890" s="22" t="s">
        <v>3730</v>
      </c>
      <c r="C890" s="23"/>
      <c r="D890" s="24"/>
      <c r="E890" s="25"/>
      <c r="F890" s="26"/>
      <c r="G890" s="27">
        <f>SUM(G891:G895)</f>
        <v>417009.6</v>
      </c>
      <c r="H890" s="27">
        <f>IFERROR(G890*E888,"")</f>
        <v>0</v>
      </c>
    </row>
    <row r="891" spans="1:11" ht="25.5">
      <c r="A891" s="28"/>
      <c r="B891" s="29" t="s">
        <v>3096</v>
      </c>
      <c r="C891" s="30" t="str">
        <f>IFERROR(_xlfn.XLOOKUP(B891,Insumo[DESCRIPCION],Insumo[UND],,0),"")</f>
        <v>Un</v>
      </c>
      <c r="D891" s="31">
        <v>1</v>
      </c>
      <c r="E891" s="32">
        <f>IFERROR(_xlfn.XLOOKUP($B891,Insumo[DESCRIPCION],Insumo[VALOR],,0),"")</f>
        <v>403200</v>
      </c>
      <c r="F891" s="33"/>
      <c r="G891" s="34">
        <f>IFERROR(IF(F891&gt;=0,D891*E891*(1+F891/100),ABS(D891*E891/F891)),"")</f>
        <v>403200</v>
      </c>
      <c r="H891" s="43">
        <f>IFERROR(G891*E888,"")</f>
        <v>0</v>
      </c>
    </row>
    <row r="892" spans="1:11">
      <c r="A892" s="28"/>
      <c r="B892" s="29" t="s">
        <v>2800</v>
      </c>
      <c r="C892" s="30" t="str">
        <f>IFERROR(_xlfn.XLOOKUP(B892,Insumo[DESCRIPCION],Insumo[UND],,0),"")</f>
        <v>M</v>
      </c>
      <c r="D892" s="31">
        <v>1</v>
      </c>
      <c r="E892" s="32">
        <f>IFERROR(_xlfn.XLOOKUP($B892,Insumo[DESCRIPCION],Insumo[VALOR],,0),"")</f>
        <v>7387.8</v>
      </c>
      <c r="F892" s="33"/>
      <c r="G892" s="34">
        <f>IFERROR(IF(F892&gt;=0,D892*E892*(1+F892/100),ABS(D892*E892/F892)),"")</f>
        <v>7387.8</v>
      </c>
      <c r="H892" s="43">
        <f>IFERROR(G892*E888,"")</f>
        <v>0</v>
      </c>
    </row>
    <row r="893" spans="1:11">
      <c r="A893" s="28"/>
      <c r="B893" s="29" t="s">
        <v>2855</v>
      </c>
      <c r="C893" s="30" t="str">
        <f>IFERROR(_xlfn.XLOOKUP(B893,Insumo[DESCRIPCION],Insumo[UND],,0),"")</f>
        <v>Un</v>
      </c>
      <c r="D893" s="31">
        <v>1</v>
      </c>
      <c r="E893" s="32">
        <f>IFERROR(_xlfn.XLOOKUP($B893,Insumo[DESCRIPCION],Insumo[VALOR],,0),"")</f>
        <v>6421.8</v>
      </c>
      <c r="F893" s="33"/>
      <c r="G893" s="34">
        <f>IFERROR(IF(F893&gt;=0,D893*E893*(1+F893/100),ABS(D893*E893/F893)),"")</f>
        <v>6421.8</v>
      </c>
      <c r="H893" s="43">
        <f>IFERROR(G893*E888,"")</f>
        <v>0</v>
      </c>
    </row>
    <row r="894" spans="1:11">
      <c r="A894" s="28"/>
      <c r="B894" s="29"/>
      <c r="C894" s="30" t="str">
        <f>IFERROR(_xlfn.XLOOKUP(B894,Insumo[DESCRIPCION],Insumo[UND],,0),"")</f>
        <v/>
      </c>
      <c r="D894" s="31"/>
      <c r="E894" s="32" t="str">
        <f>IFERROR(_xlfn.XLOOKUP($B894,Insumo[DESCRIPCION],Insumo[VALOR],,0),"")</f>
        <v/>
      </c>
      <c r="F894" s="33"/>
      <c r="G894" s="34" t="str">
        <f>IFERROR(IF(F894&gt;=0,D894*E894*(1+F894/100),ABS(D894*E894/F894)),"")</f>
        <v/>
      </c>
      <c r="H894" s="43" t="str">
        <f>IFERROR(G894*E888,"")</f>
        <v/>
      </c>
    </row>
    <row r="895" spans="1:11">
      <c r="A895" s="28"/>
      <c r="B895" s="29"/>
      <c r="C895" s="30" t="str">
        <f>IFERROR(_xlfn.XLOOKUP(B895,Insumo[DESCRIPCION],Insumo[UND],,0),"")</f>
        <v/>
      </c>
      <c r="D895" s="31"/>
      <c r="E895" s="32" t="str">
        <f>IFERROR(_xlfn.XLOOKUP($B895,Insumo[DESCRIPCION],Insumo[VALOR],,0),"")</f>
        <v/>
      </c>
      <c r="F895" s="33"/>
      <c r="G895" s="34" t="str">
        <f>IFERROR(IF(F895&gt;=0,D895*E895*(1+F895/100),ABS(D895*E895/F895)),"")</f>
        <v/>
      </c>
      <c r="H895" s="43" t="str">
        <f>IFERROR(G895*E888,"")</f>
        <v/>
      </c>
    </row>
    <row r="896" spans="1:11">
      <c r="A896" s="21"/>
      <c r="B896" s="22" t="s">
        <v>3731</v>
      </c>
      <c r="C896" s="23"/>
      <c r="D896" s="24"/>
      <c r="E896" s="25"/>
      <c r="F896" s="26"/>
      <c r="G896" s="27">
        <f>SUM(G897:G899)</f>
        <v>6331.480399968752</v>
      </c>
      <c r="H896" s="27">
        <f>IFERROR(G896*E888,"")</f>
        <v>0</v>
      </c>
    </row>
    <row r="897" spans="1:11">
      <c r="A897" s="28"/>
      <c r="B897" s="29" t="s">
        <v>3573</v>
      </c>
      <c r="C897" s="30" t="str">
        <f>IFERROR(_xlfn.XLOOKUP(B897,Equipo[DESCRIPCION],Equipo[UND],,0),"")</f>
        <v>%MO</v>
      </c>
      <c r="D897" s="31">
        <v>0.1</v>
      </c>
      <c r="E897" s="32">
        <f>IF(C897="%MO",G903,IFERROR(_xlfn.XLOOKUP($B897,Equipo[DESCRIPCION],Equipo[VALOR],,0),""))</f>
        <v>42209.869333125011</v>
      </c>
      <c r="F897" s="33"/>
      <c r="G897" s="34">
        <f>IFERROR(IF(F897&gt;=0,D897*E897*(1+F897/100),ABS(D897*E897/F897)),"")</f>
        <v>4220.9869333125016</v>
      </c>
      <c r="H897" s="43">
        <f>IFERROR(G897*E888,"")</f>
        <v>0</v>
      </c>
    </row>
    <row r="898" spans="1:11">
      <c r="A898" s="28"/>
      <c r="B898" s="29" t="s">
        <v>3626</v>
      </c>
      <c r="C898" s="30" t="str">
        <f>IFERROR(_xlfn.XLOOKUP(B898,Equipo[DESCRIPCION],Equipo[UND],,0),"")</f>
        <v>%MO</v>
      </c>
      <c r="D898" s="31">
        <v>0.05</v>
      </c>
      <c r="E898" s="32">
        <f>IF(C898="%MO",G903,IFERROR(_xlfn.XLOOKUP($B898,Equipo[DESCRIPCION],Equipo[VALOR],,0),""))</f>
        <v>42209.869333125011</v>
      </c>
      <c r="F898" s="33"/>
      <c r="G898" s="34">
        <f>IFERROR(IF(F898&gt;=0,D898*E898*(1+F898/100),ABS(D898*E898/F898)),"")</f>
        <v>2110.4934666562508</v>
      </c>
      <c r="H898" s="43">
        <f>IFERROR(G898*E888,"")</f>
        <v>0</v>
      </c>
    </row>
    <row r="899" spans="1:11">
      <c r="A899" s="28"/>
      <c r="B899" s="29"/>
      <c r="C899" s="30" t="str">
        <f>IFERROR(_xlfn.XLOOKUP(B899,Equipo[DESCRIPCION],Equipo[UND],,0),"")</f>
        <v/>
      </c>
      <c r="D899" s="31"/>
      <c r="E899" s="32" t="str">
        <f>IF(C899="%MO",G903,IFERROR(_xlfn.XLOOKUP($B899,Equipo[DESCRIPCION],Equipo[VALOR],,0),""))</f>
        <v/>
      </c>
      <c r="F899" s="33"/>
      <c r="G899" s="34" t="str">
        <f>IFERROR(IF(F899&gt;=0,D899*E899*(1+F899/100),ABS(D899*E899/F899)),"")</f>
        <v/>
      </c>
      <c r="H899" s="43" t="str">
        <f>IFERROR(G899*E888,"")</f>
        <v/>
      </c>
    </row>
    <row r="900" spans="1:11">
      <c r="A900" s="21"/>
      <c r="B900" s="22" t="s">
        <v>2533</v>
      </c>
      <c r="C900" s="23"/>
      <c r="D900" s="24"/>
      <c r="E900" s="25"/>
      <c r="F900" s="26"/>
      <c r="G900" s="27">
        <f>SUM(G901:G902)</f>
        <v>0</v>
      </c>
      <c r="H900" s="27">
        <f>IFERROR(G900*E888,"")</f>
        <v>0</v>
      </c>
    </row>
    <row r="901" spans="1:11">
      <c r="A901" s="28"/>
      <c r="B901" s="29"/>
      <c r="C901" s="30" t="str">
        <f>IFERROR(_xlfn.XLOOKUP(B901,Transporte[DESCRIPCION],Transporte[UND],,0),"")</f>
        <v/>
      </c>
      <c r="D901" s="31"/>
      <c r="E901" s="32" t="str">
        <f>IFERROR(_xlfn.XLOOKUP($B901,Transporte[DESCRIPCION],Transporte[VALOR],,0),"")</f>
        <v/>
      </c>
      <c r="F901" s="33"/>
      <c r="G901" s="34" t="str">
        <f>IFERROR(IF(F901&gt;=0,D901*E901*(1+F901/100),ABS(D901*E901/F901)),"")</f>
        <v/>
      </c>
      <c r="H901" s="43" t="str">
        <f>IFERROR(G901*E888,"")</f>
        <v/>
      </c>
    </row>
    <row r="902" spans="1:11">
      <c r="A902" s="28"/>
      <c r="B902" s="29"/>
      <c r="C902" s="30" t="str">
        <f>IFERROR(_xlfn.XLOOKUP(B902,Transporte[DESCRIPCION],Transporte[UND],,0),"")</f>
        <v/>
      </c>
      <c r="D902" s="31"/>
      <c r="E902" s="32" t="str">
        <f>IFERROR(_xlfn.XLOOKUP($B902,Transporte[DESCRIPCION],Transporte[VALOR],,0),"")</f>
        <v/>
      </c>
      <c r="F902" s="33"/>
      <c r="G902" s="34" t="str">
        <f>IFERROR(IF(F902&gt;=0,D902*E902*(1+F902/100),ABS(D902*E902/F902)),"")</f>
        <v/>
      </c>
      <c r="H902" s="43" t="str">
        <f>IFERROR(G902*E888,"")</f>
        <v/>
      </c>
    </row>
    <row r="903" spans="1:11">
      <c r="A903" s="21"/>
      <c r="B903" s="22" t="s">
        <v>3732</v>
      </c>
      <c r="C903" s="23"/>
      <c r="D903" s="24"/>
      <c r="E903" s="25"/>
      <c r="F903" s="26"/>
      <c r="G903" s="27">
        <f>SUM(G904:G906)</f>
        <v>42209.869333125011</v>
      </c>
      <c r="H903" s="27">
        <f>IFERROR(G903*E888,"")</f>
        <v>0</v>
      </c>
    </row>
    <row r="904" spans="1:11">
      <c r="A904" s="28"/>
      <c r="B904" s="29" t="s">
        <v>3715</v>
      </c>
      <c r="C904" s="30" t="str">
        <f>IFERROR(_xlfn.XLOOKUP(B904,MObra[DESCRIPCION],MObra[UN],,0),"")</f>
        <v>día</v>
      </c>
      <c r="D904" s="31">
        <v>1</v>
      </c>
      <c r="E904" s="32">
        <f>IFERROR(_xlfn.XLOOKUP($B904,MObra[DESCRIPCION],MObra[VALOR UNIT],,0),"")</f>
        <v>337678.95466500008</v>
      </c>
      <c r="F904" s="33">
        <v>-8</v>
      </c>
      <c r="G904" s="34">
        <f>IFERROR(IF(F904&gt;=0,D904*E904*(1+F904/100),ABS(D904*E904/F904)),"")</f>
        <v>42209.869333125011</v>
      </c>
      <c r="H904" s="43">
        <f>IFERROR(G904*E888,"")</f>
        <v>0</v>
      </c>
    </row>
    <row r="905" spans="1:11">
      <c r="A905" s="28"/>
      <c r="B905" s="29"/>
      <c r="C905" s="30" t="str">
        <f>IFERROR(_xlfn.XLOOKUP(B905,MObra[DESCRIPCION],MObra[UN],,0),"")</f>
        <v/>
      </c>
      <c r="D905" s="31"/>
      <c r="E905" s="32" t="str">
        <f>IFERROR(_xlfn.XLOOKUP($B905,MObra[DESCRIPCION],MObra[VALOR UNIT],,0),"")</f>
        <v/>
      </c>
      <c r="F905" s="33"/>
      <c r="G905" s="34" t="str">
        <f>IFERROR(IF(F905&gt;=0,D905*E905*(1+F905/100),ABS(D905*E905/F905)),"")</f>
        <v/>
      </c>
      <c r="H905" s="43" t="str">
        <f>IFERROR(G905*E888,"")</f>
        <v/>
      </c>
    </row>
    <row r="906" spans="1:11">
      <c r="A906" s="35"/>
      <c r="B906" s="36"/>
      <c r="C906" s="37" t="str">
        <f>IFERROR(_xlfn.XLOOKUP(B906,MObra[DESCRIPCION],MObra[UN],,0),"")</f>
        <v/>
      </c>
      <c r="D906" s="38"/>
      <c r="E906" s="39" t="str">
        <f>IFERROR(_xlfn.XLOOKUP($B906,MObra[DESCRIPCION],MObra[VALOR UNIT],,0),"")</f>
        <v/>
      </c>
      <c r="F906" s="40"/>
      <c r="G906" s="41" t="str">
        <f>IFERROR(IF(F906&gt;=0,D906*E906*(1+F906/100),ABS(D906*E906/F906)),"")</f>
        <v/>
      </c>
      <c r="H906" s="42" t="str">
        <f>IFERROR(G906*E888,"")</f>
        <v/>
      </c>
    </row>
    <row r="908" spans="1:11" ht="25.5">
      <c r="A908" s="6" t="s">
        <v>2350</v>
      </c>
      <c r="B908" s="7" t="str">
        <f>VLOOKUP($A908,Presupuesto!$A:$D,2,FALSE())</f>
        <v>Luminaria LED tipo reflector 100-277 Vac, 150 W, 18000 Lm, IP 65, IK 08, IRC&gt;70, VU &gt;=50.000 h L70 B50. eficacia &gt;=100 Lm/W, 6500 K</v>
      </c>
      <c r="C908" s="8" t="str">
        <f>VLOOKUP($A908,Presupuesto!$A:$D,3,FALSE())</f>
        <v>Un</v>
      </c>
      <c r="D908" s="9"/>
      <c r="E908" s="10">
        <f>VLOOKUP($A908,Presupuesto!$A:$D,4,FALSE())</f>
        <v>0</v>
      </c>
      <c r="F908" s="11" t="s">
        <v>2589</v>
      </c>
      <c r="G908" s="12">
        <f>SUM(G910:G926)/2</f>
        <v>519100.94973309385</v>
      </c>
      <c r="H908" s="13">
        <f>ROUND(SUM(H910:H926),0)/2</f>
        <v>0</v>
      </c>
      <c r="I908" s="10">
        <f>VLOOKUP(A908,Presupuesto!$A:$F,6,0)</f>
        <v>0</v>
      </c>
      <c r="J908" s="10">
        <f>+H908-I908</f>
        <v>0</v>
      </c>
      <c r="K908" s="46">
        <f>+H908-G908*E908</f>
        <v>0</v>
      </c>
    </row>
    <row r="909" spans="1:11">
      <c r="A909" s="14"/>
      <c r="B909" s="15" t="s">
        <v>2586</v>
      </c>
      <c r="C909" s="15" t="s">
        <v>5</v>
      </c>
      <c r="D909" s="16" t="s">
        <v>6</v>
      </c>
      <c r="E909" s="17" t="s">
        <v>7</v>
      </c>
      <c r="F909" s="18" t="s">
        <v>3728</v>
      </c>
      <c r="G909" s="19" t="s">
        <v>3729</v>
      </c>
      <c r="H909" s="20" t="s">
        <v>3797</v>
      </c>
    </row>
    <row r="910" spans="1:11">
      <c r="A910" s="21"/>
      <c r="B910" s="22" t="s">
        <v>3730</v>
      </c>
      <c r="C910" s="23"/>
      <c r="D910" s="24"/>
      <c r="E910" s="25"/>
      <c r="F910" s="26"/>
      <c r="G910" s="27">
        <f>SUM(G911:G915)</f>
        <v>470559.6</v>
      </c>
      <c r="H910" s="27">
        <f>IFERROR(G910*E908,"")</f>
        <v>0</v>
      </c>
    </row>
    <row r="911" spans="1:11" ht="25.5">
      <c r="A911" s="28"/>
      <c r="B911" s="29" t="s">
        <v>3097</v>
      </c>
      <c r="C911" s="30" t="str">
        <f>IFERROR(_xlfn.XLOOKUP(B911,Insumo[DESCRIPCION],Insumo[UND],,0),"")</f>
        <v>Un</v>
      </c>
      <c r="D911" s="31">
        <v>1</v>
      </c>
      <c r="E911" s="32">
        <f>IFERROR(_xlfn.XLOOKUP($B911,Insumo[DESCRIPCION],Insumo[VALOR],,0),"")</f>
        <v>456750</v>
      </c>
      <c r="F911" s="33"/>
      <c r="G911" s="34">
        <f>IFERROR(IF(F911&gt;=0,D911*E911*(1+F911/100),ABS(D911*E911/F911)),"")</f>
        <v>456750</v>
      </c>
      <c r="H911" s="43">
        <f>IFERROR(G911*E908,"")</f>
        <v>0</v>
      </c>
    </row>
    <row r="912" spans="1:11">
      <c r="A912" s="28"/>
      <c r="B912" s="29" t="s">
        <v>2800</v>
      </c>
      <c r="C912" s="30" t="str">
        <f>IFERROR(_xlfn.XLOOKUP(B912,Insumo[DESCRIPCION],Insumo[UND],,0),"")</f>
        <v>M</v>
      </c>
      <c r="D912" s="31">
        <v>1</v>
      </c>
      <c r="E912" s="32">
        <f>IFERROR(_xlfn.XLOOKUP($B912,Insumo[DESCRIPCION],Insumo[VALOR],,0),"")</f>
        <v>7387.8</v>
      </c>
      <c r="F912" s="33"/>
      <c r="G912" s="34">
        <f>IFERROR(IF(F912&gt;=0,D912*E912*(1+F912/100),ABS(D912*E912/F912)),"")</f>
        <v>7387.8</v>
      </c>
      <c r="H912" s="43">
        <f>IFERROR(G912*E908,"")</f>
        <v>0</v>
      </c>
    </row>
    <row r="913" spans="1:11">
      <c r="A913" s="28"/>
      <c r="B913" s="29" t="s">
        <v>2855</v>
      </c>
      <c r="C913" s="30" t="str">
        <f>IFERROR(_xlfn.XLOOKUP(B913,Insumo[DESCRIPCION],Insumo[UND],,0),"")</f>
        <v>Un</v>
      </c>
      <c r="D913" s="31">
        <v>1</v>
      </c>
      <c r="E913" s="32">
        <f>IFERROR(_xlfn.XLOOKUP($B913,Insumo[DESCRIPCION],Insumo[VALOR],,0),"")</f>
        <v>6421.8</v>
      </c>
      <c r="F913" s="33"/>
      <c r="G913" s="34">
        <f>IFERROR(IF(F913&gt;=0,D913*E913*(1+F913/100),ABS(D913*E913/F913)),"")</f>
        <v>6421.8</v>
      </c>
      <c r="H913" s="43">
        <f>IFERROR(G913*E908,"")</f>
        <v>0</v>
      </c>
    </row>
    <row r="914" spans="1:11">
      <c r="A914" s="28"/>
      <c r="B914" s="29"/>
      <c r="C914" s="30" t="str">
        <f>IFERROR(_xlfn.XLOOKUP(B914,Insumo[DESCRIPCION],Insumo[UND],,0),"")</f>
        <v/>
      </c>
      <c r="D914" s="31"/>
      <c r="E914" s="32" t="str">
        <f>IFERROR(_xlfn.XLOOKUP($B914,Insumo[DESCRIPCION],Insumo[VALOR],,0),"")</f>
        <v/>
      </c>
      <c r="F914" s="33"/>
      <c r="G914" s="34" t="str">
        <f>IFERROR(IF(F914&gt;=0,D914*E914*(1+F914/100),ABS(D914*E914/F914)),"")</f>
        <v/>
      </c>
      <c r="H914" s="43" t="str">
        <f>IFERROR(G914*E908,"")</f>
        <v/>
      </c>
    </row>
    <row r="915" spans="1:11">
      <c r="A915" s="28"/>
      <c r="B915" s="29"/>
      <c r="C915" s="30" t="str">
        <f>IFERROR(_xlfn.XLOOKUP(B915,Insumo[DESCRIPCION],Insumo[UND],,0),"")</f>
        <v/>
      </c>
      <c r="D915" s="31"/>
      <c r="E915" s="32" t="str">
        <f>IFERROR(_xlfn.XLOOKUP($B915,Insumo[DESCRIPCION],Insumo[VALOR],,0),"")</f>
        <v/>
      </c>
      <c r="F915" s="33"/>
      <c r="G915" s="34" t="str">
        <f>IFERROR(IF(F915&gt;=0,D915*E915*(1+F915/100),ABS(D915*E915/F915)),"")</f>
        <v/>
      </c>
      <c r="H915" s="43" t="str">
        <f>IFERROR(G915*E908,"")</f>
        <v/>
      </c>
    </row>
    <row r="916" spans="1:11">
      <c r="A916" s="21"/>
      <c r="B916" s="22" t="s">
        <v>3731</v>
      </c>
      <c r="C916" s="23"/>
      <c r="D916" s="24"/>
      <c r="E916" s="25"/>
      <c r="F916" s="26"/>
      <c r="G916" s="27">
        <f>SUM(G917:G919)</f>
        <v>6331.480399968752</v>
      </c>
      <c r="H916" s="27">
        <f>IFERROR(G916*E908,"")</f>
        <v>0</v>
      </c>
    </row>
    <row r="917" spans="1:11">
      <c r="A917" s="28"/>
      <c r="B917" s="29" t="s">
        <v>3573</v>
      </c>
      <c r="C917" s="30" t="str">
        <f>IFERROR(_xlfn.XLOOKUP(B917,Equipo[DESCRIPCION],Equipo[UND],,0),"")</f>
        <v>%MO</v>
      </c>
      <c r="D917" s="31">
        <v>0.1</v>
      </c>
      <c r="E917" s="32">
        <f>IF(C917="%MO",G923,IFERROR(_xlfn.XLOOKUP($B917,Equipo[DESCRIPCION],Equipo[VALOR],,0),""))</f>
        <v>42209.869333125011</v>
      </c>
      <c r="F917" s="33"/>
      <c r="G917" s="34">
        <f>IFERROR(IF(F917&gt;=0,D917*E917*(1+F917/100),ABS(D917*E917/F917)),"")</f>
        <v>4220.9869333125016</v>
      </c>
      <c r="H917" s="43">
        <f>IFERROR(G917*E908,"")</f>
        <v>0</v>
      </c>
    </row>
    <row r="918" spans="1:11">
      <c r="A918" s="28"/>
      <c r="B918" s="29" t="s">
        <v>3626</v>
      </c>
      <c r="C918" s="30" t="str">
        <f>IFERROR(_xlfn.XLOOKUP(B918,Equipo[DESCRIPCION],Equipo[UND],,0),"")</f>
        <v>%MO</v>
      </c>
      <c r="D918" s="31">
        <v>0.05</v>
      </c>
      <c r="E918" s="32">
        <f>IF(C918="%MO",G923,IFERROR(_xlfn.XLOOKUP($B918,Equipo[DESCRIPCION],Equipo[VALOR],,0),""))</f>
        <v>42209.869333125011</v>
      </c>
      <c r="F918" s="33"/>
      <c r="G918" s="34">
        <f>IFERROR(IF(F918&gt;=0,D918*E918*(1+F918/100),ABS(D918*E918/F918)),"")</f>
        <v>2110.4934666562508</v>
      </c>
      <c r="H918" s="43">
        <f>IFERROR(G918*E908,"")</f>
        <v>0</v>
      </c>
    </row>
    <row r="919" spans="1:11">
      <c r="A919" s="28"/>
      <c r="B919" s="29"/>
      <c r="C919" s="30" t="str">
        <f>IFERROR(_xlfn.XLOOKUP(B919,Equipo[DESCRIPCION],Equipo[UND],,0),"")</f>
        <v/>
      </c>
      <c r="D919" s="31"/>
      <c r="E919" s="32" t="str">
        <f>IF(C919="%MO",G923,IFERROR(_xlfn.XLOOKUP($B919,Equipo[DESCRIPCION],Equipo[VALOR],,0),""))</f>
        <v/>
      </c>
      <c r="F919" s="33"/>
      <c r="G919" s="34" t="str">
        <f>IFERROR(IF(F919&gt;=0,D919*E919*(1+F919/100),ABS(D919*E919/F919)),"")</f>
        <v/>
      </c>
      <c r="H919" s="43" t="str">
        <f>IFERROR(G919*E908,"")</f>
        <v/>
      </c>
    </row>
    <row r="920" spans="1:11">
      <c r="A920" s="21"/>
      <c r="B920" s="22" t="s">
        <v>2533</v>
      </c>
      <c r="C920" s="23"/>
      <c r="D920" s="24"/>
      <c r="E920" s="25"/>
      <c r="F920" s="26"/>
      <c r="G920" s="27">
        <f>SUM(G921:G922)</f>
        <v>0</v>
      </c>
      <c r="H920" s="27">
        <f>IFERROR(G920*E908,"")</f>
        <v>0</v>
      </c>
    </row>
    <row r="921" spans="1:11">
      <c r="A921" s="28"/>
      <c r="B921" s="29"/>
      <c r="C921" s="30" t="str">
        <f>IFERROR(_xlfn.XLOOKUP(B921,Transporte[DESCRIPCION],Transporte[UND],,0),"")</f>
        <v/>
      </c>
      <c r="D921" s="31"/>
      <c r="E921" s="32" t="str">
        <f>IFERROR(_xlfn.XLOOKUP($B921,Transporte[DESCRIPCION],Transporte[VALOR],,0),"")</f>
        <v/>
      </c>
      <c r="F921" s="33"/>
      <c r="G921" s="34" t="str">
        <f>IFERROR(IF(F921&gt;=0,D921*E921*(1+F921/100),ABS(D921*E921/F921)),"")</f>
        <v/>
      </c>
      <c r="H921" s="43" t="str">
        <f>IFERROR(G921*E908,"")</f>
        <v/>
      </c>
    </row>
    <row r="922" spans="1:11">
      <c r="A922" s="28"/>
      <c r="B922" s="29"/>
      <c r="C922" s="30" t="str">
        <f>IFERROR(_xlfn.XLOOKUP(B922,Transporte[DESCRIPCION],Transporte[UND],,0),"")</f>
        <v/>
      </c>
      <c r="D922" s="31"/>
      <c r="E922" s="32" t="str">
        <f>IFERROR(_xlfn.XLOOKUP($B922,Transporte[DESCRIPCION],Transporte[VALOR],,0),"")</f>
        <v/>
      </c>
      <c r="F922" s="33"/>
      <c r="G922" s="34" t="str">
        <f>IFERROR(IF(F922&gt;=0,D922*E922*(1+F922/100),ABS(D922*E922/F922)),"")</f>
        <v/>
      </c>
      <c r="H922" s="43" t="str">
        <f>IFERROR(G922*E908,"")</f>
        <v/>
      </c>
    </row>
    <row r="923" spans="1:11">
      <c r="A923" s="21"/>
      <c r="B923" s="22" t="s">
        <v>3732</v>
      </c>
      <c r="C923" s="23"/>
      <c r="D923" s="24"/>
      <c r="E923" s="25"/>
      <c r="F923" s="26"/>
      <c r="G923" s="27">
        <f>SUM(G924:G926)</f>
        <v>42209.869333125011</v>
      </c>
      <c r="H923" s="27">
        <f>IFERROR(G923*E908,"")</f>
        <v>0</v>
      </c>
    </row>
    <row r="924" spans="1:11">
      <c r="A924" s="28"/>
      <c r="B924" s="29" t="s">
        <v>3715</v>
      </c>
      <c r="C924" s="30" t="str">
        <f>IFERROR(_xlfn.XLOOKUP(B924,MObra[DESCRIPCION],MObra[UN],,0),"")</f>
        <v>día</v>
      </c>
      <c r="D924" s="31">
        <v>1</v>
      </c>
      <c r="E924" s="32">
        <f>IFERROR(_xlfn.XLOOKUP($B924,MObra[DESCRIPCION],MObra[VALOR UNIT],,0),"")</f>
        <v>337678.95466500008</v>
      </c>
      <c r="F924" s="33">
        <v>-8</v>
      </c>
      <c r="G924" s="34">
        <f>IFERROR(IF(F924&gt;=0,D924*E924*(1+F924/100),ABS(D924*E924/F924)),"")</f>
        <v>42209.869333125011</v>
      </c>
      <c r="H924" s="43">
        <f>IFERROR(G924*E908,"")</f>
        <v>0</v>
      </c>
    </row>
    <row r="925" spans="1:11">
      <c r="A925" s="28"/>
      <c r="B925" s="29"/>
      <c r="C925" s="30" t="str">
        <f>IFERROR(_xlfn.XLOOKUP(B925,MObra[DESCRIPCION],MObra[UN],,0),"")</f>
        <v/>
      </c>
      <c r="D925" s="31"/>
      <c r="E925" s="32" t="str">
        <f>IFERROR(_xlfn.XLOOKUP($B925,MObra[DESCRIPCION],MObra[VALOR UNIT],,0),"")</f>
        <v/>
      </c>
      <c r="F925" s="33"/>
      <c r="G925" s="34" t="str">
        <f>IFERROR(IF(F925&gt;=0,D925*E925*(1+F925/100),ABS(D925*E925/F925)),"")</f>
        <v/>
      </c>
      <c r="H925" s="43" t="str">
        <f>IFERROR(G925*E908,"")</f>
        <v/>
      </c>
    </row>
    <row r="926" spans="1:11">
      <c r="A926" s="35"/>
      <c r="B926" s="36"/>
      <c r="C926" s="37" t="str">
        <f>IFERROR(_xlfn.XLOOKUP(B926,MObra[DESCRIPCION],MObra[UN],,0),"")</f>
        <v/>
      </c>
      <c r="D926" s="38"/>
      <c r="E926" s="39" t="str">
        <f>IFERROR(_xlfn.XLOOKUP($B926,MObra[DESCRIPCION],MObra[VALOR UNIT],,0),"")</f>
        <v/>
      </c>
      <c r="F926" s="40"/>
      <c r="G926" s="41" t="str">
        <f>IFERROR(IF(F926&gt;=0,D926*E926*(1+F926/100),ABS(D926*E926/F926)),"")</f>
        <v/>
      </c>
      <c r="H926" s="42" t="str">
        <f>IFERROR(G926*E908,"")</f>
        <v/>
      </c>
    </row>
    <row r="928" spans="1:11" ht="25.5">
      <c r="A928" s="6" t="s">
        <v>2352</v>
      </c>
      <c r="B928" s="7" t="str">
        <f>VLOOKUP($A928,Presupuesto!$A:$D,2,FALSE())</f>
        <v>Luminaria LED tipo reflector 100-277 Vac, 200 W, 24000 Lm, IP 65, IK 08, IRC&gt;70, VU &gt;=50.000 h L70 B50. eficacia &gt;=100 Lm/W, 6500 K</v>
      </c>
      <c r="C928" s="8" t="str">
        <f>VLOOKUP($A928,Presupuesto!$A:$D,3,FALSE())</f>
        <v>Un</v>
      </c>
      <c r="D928" s="9"/>
      <c r="E928" s="10">
        <f>VLOOKUP($A928,Presupuesto!$A:$D,4,FALSE())</f>
        <v>0</v>
      </c>
      <c r="F928" s="11" t="s">
        <v>2589</v>
      </c>
      <c r="G928" s="12">
        <f>SUM(G930:G946)/2</f>
        <v>608350.94973309385</v>
      </c>
      <c r="H928" s="13">
        <f>ROUND(SUM(H930:H946),0)/2</f>
        <v>0</v>
      </c>
      <c r="I928" s="10">
        <f>VLOOKUP(A928,Presupuesto!$A:$F,6,0)</f>
        <v>0</v>
      </c>
      <c r="J928" s="10">
        <f>+H928-I928</f>
        <v>0</v>
      </c>
      <c r="K928" s="46">
        <f>+H928-G928*E928</f>
        <v>0</v>
      </c>
    </row>
    <row r="929" spans="1:8">
      <c r="A929" s="14"/>
      <c r="B929" s="15" t="s">
        <v>2586</v>
      </c>
      <c r="C929" s="15" t="s">
        <v>5</v>
      </c>
      <c r="D929" s="16" t="s">
        <v>6</v>
      </c>
      <c r="E929" s="17" t="s">
        <v>7</v>
      </c>
      <c r="F929" s="18" t="s">
        <v>3728</v>
      </c>
      <c r="G929" s="19" t="s">
        <v>3729</v>
      </c>
      <c r="H929" s="20" t="s">
        <v>3797</v>
      </c>
    </row>
    <row r="930" spans="1:8">
      <c r="A930" s="21"/>
      <c r="B930" s="22" t="s">
        <v>3730</v>
      </c>
      <c r="C930" s="23"/>
      <c r="D930" s="24"/>
      <c r="E930" s="25"/>
      <c r="F930" s="26"/>
      <c r="G930" s="27">
        <f>SUM(G931:G935)</f>
        <v>559809.60000000009</v>
      </c>
      <c r="H930" s="27">
        <f>IFERROR(G930*E928,"")</f>
        <v>0</v>
      </c>
    </row>
    <row r="931" spans="1:8" ht="25.5">
      <c r="A931" s="28"/>
      <c r="B931" s="29" t="s">
        <v>3098</v>
      </c>
      <c r="C931" s="30" t="str">
        <f>IFERROR(_xlfn.XLOOKUP(B931,Insumo[DESCRIPCION],Insumo[UND],,0),"")</f>
        <v>Un</v>
      </c>
      <c r="D931" s="31">
        <v>1</v>
      </c>
      <c r="E931" s="32">
        <f>IFERROR(_xlfn.XLOOKUP($B931,Insumo[DESCRIPCION],Insumo[VALOR],,0),"")</f>
        <v>546000</v>
      </c>
      <c r="F931" s="33"/>
      <c r="G931" s="34">
        <f>IFERROR(IF(F931&gt;=0,D931*E931*(1+F931/100),ABS(D931*E931/F931)),"")</f>
        <v>546000</v>
      </c>
      <c r="H931" s="43">
        <f>IFERROR(G931*E928,"")</f>
        <v>0</v>
      </c>
    </row>
    <row r="932" spans="1:8">
      <c r="A932" s="28"/>
      <c r="B932" s="29" t="s">
        <v>2800</v>
      </c>
      <c r="C932" s="30" t="str">
        <f>IFERROR(_xlfn.XLOOKUP(B932,Insumo[DESCRIPCION],Insumo[UND],,0),"")</f>
        <v>M</v>
      </c>
      <c r="D932" s="31">
        <v>1</v>
      </c>
      <c r="E932" s="32">
        <f>IFERROR(_xlfn.XLOOKUP($B932,Insumo[DESCRIPCION],Insumo[VALOR],,0),"")</f>
        <v>7387.8</v>
      </c>
      <c r="F932" s="33"/>
      <c r="G932" s="34">
        <f>IFERROR(IF(F932&gt;=0,D932*E932*(1+F932/100),ABS(D932*E932/F932)),"")</f>
        <v>7387.8</v>
      </c>
      <c r="H932" s="43">
        <f>IFERROR(G932*E928,"")</f>
        <v>0</v>
      </c>
    </row>
    <row r="933" spans="1:8">
      <c r="A933" s="28"/>
      <c r="B933" s="29" t="s">
        <v>2855</v>
      </c>
      <c r="C933" s="30" t="str">
        <f>IFERROR(_xlfn.XLOOKUP(B933,Insumo[DESCRIPCION],Insumo[UND],,0),"")</f>
        <v>Un</v>
      </c>
      <c r="D933" s="31">
        <v>1</v>
      </c>
      <c r="E933" s="32">
        <f>IFERROR(_xlfn.XLOOKUP($B933,Insumo[DESCRIPCION],Insumo[VALOR],,0),"")</f>
        <v>6421.8</v>
      </c>
      <c r="F933" s="33"/>
      <c r="G933" s="34">
        <f>IFERROR(IF(F933&gt;=0,D933*E933*(1+F933/100),ABS(D933*E933/F933)),"")</f>
        <v>6421.8</v>
      </c>
      <c r="H933" s="43">
        <f>IFERROR(G933*E928,"")</f>
        <v>0</v>
      </c>
    </row>
    <row r="934" spans="1:8">
      <c r="A934" s="28"/>
      <c r="B934" s="29"/>
      <c r="C934" s="30" t="str">
        <f>IFERROR(_xlfn.XLOOKUP(B934,Insumo[DESCRIPCION],Insumo[UND],,0),"")</f>
        <v/>
      </c>
      <c r="D934" s="31"/>
      <c r="E934" s="32" t="str">
        <f>IFERROR(_xlfn.XLOOKUP($B934,Insumo[DESCRIPCION],Insumo[VALOR],,0),"")</f>
        <v/>
      </c>
      <c r="F934" s="33"/>
      <c r="G934" s="34" t="str">
        <f>IFERROR(IF(F934&gt;=0,D934*E934*(1+F934/100),ABS(D934*E934/F934)),"")</f>
        <v/>
      </c>
      <c r="H934" s="43" t="str">
        <f>IFERROR(G934*E928,"")</f>
        <v/>
      </c>
    </row>
    <row r="935" spans="1:8">
      <c r="A935" s="28"/>
      <c r="B935" s="29"/>
      <c r="C935" s="30" t="str">
        <f>IFERROR(_xlfn.XLOOKUP(B935,Insumo[DESCRIPCION],Insumo[UND],,0),"")</f>
        <v/>
      </c>
      <c r="D935" s="31"/>
      <c r="E935" s="32" t="str">
        <f>IFERROR(_xlfn.XLOOKUP($B935,Insumo[DESCRIPCION],Insumo[VALOR],,0),"")</f>
        <v/>
      </c>
      <c r="F935" s="33"/>
      <c r="G935" s="34" t="str">
        <f>IFERROR(IF(F935&gt;=0,D935*E935*(1+F935/100),ABS(D935*E935/F935)),"")</f>
        <v/>
      </c>
      <c r="H935" s="43" t="str">
        <f>IFERROR(G935*E928,"")</f>
        <v/>
      </c>
    </row>
    <row r="936" spans="1:8">
      <c r="A936" s="21"/>
      <c r="B936" s="22" t="s">
        <v>3731</v>
      </c>
      <c r="C936" s="23"/>
      <c r="D936" s="24"/>
      <c r="E936" s="25"/>
      <c r="F936" s="26"/>
      <c r="G936" s="27">
        <f>SUM(G937:G939)</f>
        <v>6331.480399968752</v>
      </c>
      <c r="H936" s="27">
        <f>IFERROR(G936*E928,"")</f>
        <v>0</v>
      </c>
    </row>
    <row r="937" spans="1:8">
      <c r="A937" s="28"/>
      <c r="B937" s="29" t="s">
        <v>3573</v>
      </c>
      <c r="C937" s="30" t="str">
        <f>IFERROR(_xlfn.XLOOKUP(B937,Equipo[DESCRIPCION],Equipo[UND],,0),"")</f>
        <v>%MO</v>
      </c>
      <c r="D937" s="31">
        <v>0.1</v>
      </c>
      <c r="E937" s="32">
        <f>IF(C937="%MO",G943,IFERROR(_xlfn.XLOOKUP($B937,Equipo[DESCRIPCION],Equipo[VALOR],,0),""))</f>
        <v>42209.869333125011</v>
      </c>
      <c r="F937" s="33"/>
      <c r="G937" s="34">
        <f>IFERROR(IF(F937&gt;=0,D937*E937*(1+F937/100),ABS(D937*E937/F937)),"")</f>
        <v>4220.9869333125016</v>
      </c>
      <c r="H937" s="43">
        <f>IFERROR(G937*E928,"")</f>
        <v>0</v>
      </c>
    </row>
    <row r="938" spans="1:8">
      <c r="A938" s="28"/>
      <c r="B938" s="29" t="s">
        <v>3626</v>
      </c>
      <c r="C938" s="30" t="str">
        <f>IFERROR(_xlfn.XLOOKUP(B938,Equipo[DESCRIPCION],Equipo[UND],,0),"")</f>
        <v>%MO</v>
      </c>
      <c r="D938" s="31">
        <v>0.05</v>
      </c>
      <c r="E938" s="32">
        <f>IF(C938="%MO",G943,IFERROR(_xlfn.XLOOKUP($B938,Equipo[DESCRIPCION],Equipo[VALOR],,0),""))</f>
        <v>42209.869333125011</v>
      </c>
      <c r="F938" s="33"/>
      <c r="G938" s="34">
        <f>IFERROR(IF(F938&gt;=0,D938*E938*(1+F938/100),ABS(D938*E938/F938)),"")</f>
        <v>2110.4934666562508</v>
      </c>
      <c r="H938" s="43">
        <f>IFERROR(G938*E928,"")</f>
        <v>0</v>
      </c>
    </row>
    <row r="939" spans="1:8">
      <c r="A939" s="28"/>
      <c r="B939" s="29"/>
      <c r="C939" s="30" t="str">
        <f>IFERROR(_xlfn.XLOOKUP(B939,Equipo[DESCRIPCION],Equipo[UND],,0),"")</f>
        <v/>
      </c>
      <c r="D939" s="31"/>
      <c r="E939" s="32" t="str">
        <f>IF(C939="%MO",G943,IFERROR(_xlfn.XLOOKUP($B939,Equipo[DESCRIPCION],Equipo[VALOR],,0),""))</f>
        <v/>
      </c>
      <c r="F939" s="33"/>
      <c r="G939" s="34" t="str">
        <f>IFERROR(IF(F939&gt;=0,D939*E939*(1+F939/100),ABS(D939*E939/F939)),"")</f>
        <v/>
      </c>
      <c r="H939" s="43" t="str">
        <f>IFERROR(G939*E928,"")</f>
        <v/>
      </c>
    </row>
    <row r="940" spans="1:8">
      <c r="A940" s="21"/>
      <c r="B940" s="22" t="s">
        <v>2533</v>
      </c>
      <c r="C940" s="23"/>
      <c r="D940" s="24"/>
      <c r="E940" s="25"/>
      <c r="F940" s="26"/>
      <c r="G940" s="27">
        <f>SUM(G941:G942)</f>
        <v>0</v>
      </c>
      <c r="H940" s="27">
        <f>IFERROR(G940*E928,"")</f>
        <v>0</v>
      </c>
    </row>
    <row r="941" spans="1:8">
      <c r="A941" s="28"/>
      <c r="B941" s="29"/>
      <c r="C941" s="30" t="str">
        <f>IFERROR(_xlfn.XLOOKUP(B941,Transporte[DESCRIPCION],Transporte[UND],,0),"")</f>
        <v/>
      </c>
      <c r="D941" s="31"/>
      <c r="E941" s="32" t="str">
        <f>IFERROR(_xlfn.XLOOKUP($B941,Transporte[DESCRIPCION],Transporte[VALOR],,0),"")</f>
        <v/>
      </c>
      <c r="F941" s="33"/>
      <c r="G941" s="34" t="str">
        <f>IFERROR(IF(F941&gt;=0,D941*E941*(1+F941/100),ABS(D941*E941/F941)),"")</f>
        <v/>
      </c>
      <c r="H941" s="43" t="str">
        <f>IFERROR(G941*E928,"")</f>
        <v/>
      </c>
    </row>
    <row r="942" spans="1:8">
      <c r="A942" s="28"/>
      <c r="B942" s="29"/>
      <c r="C942" s="30" t="str">
        <f>IFERROR(_xlfn.XLOOKUP(B942,Transporte[DESCRIPCION],Transporte[UND],,0),"")</f>
        <v/>
      </c>
      <c r="D942" s="31"/>
      <c r="E942" s="32" t="str">
        <f>IFERROR(_xlfn.XLOOKUP($B942,Transporte[DESCRIPCION],Transporte[VALOR],,0),"")</f>
        <v/>
      </c>
      <c r="F942" s="33"/>
      <c r="G942" s="34" t="str">
        <f>IFERROR(IF(F942&gt;=0,D942*E942*(1+F942/100),ABS(D942*E942/F942)),"")</f>
        <v/>
      </c>
      <c r="H942" s="43" t="str">
        <f>IFERROR(G942*E928,"")</f>
        <v/>
      </c>
    </row>
    <row r="943" spans="1:8">
      <c r="A943" s="21"/>
      <c r="B943" s="22" t="s">
        <v>3732</v>
      </c>
      <c r="C943" s="23"/>
      <c r="D943" s="24"/>
      <c r="E943" s="25"/>
      <c r="F943" s="26"/>
      <c r="G943" s="27">
        <f>SUM(G944:G946)</f>
        <v>42209.869333125011</v>
      </c>
      <c r="H943" s="27">
        <f>IFERROR(G943*E928,"")</f>
        <v>0</v>
      </c>
    </row>
    <row r="944" spans="1:8">
      <c r="A944" s="28"/>
      <c r="B944" s="29" t="s">
        <v>3715</v>
      </c>
      <c r="C944" s="30" t="str">
        <f>IFERROR(_xlfn.XLOOKUP(B944,MObra[DESCRIPCION],MObra[UN],,0),"")</f>
        <v>día</v>
      </c>
      <c r="D944" s="31">
        <v>1</v>
      </c>
      <c r="E944" s="32">
        <f>IFERROR(_xlfn.XLOOKUP($B944,MObra[DESCRIPCION],MObra[VALOR UNIT],,0),"")</f>
        <v>337678.95466500008</v>
      </c>
      <c r="F944" s="33">
        <v>-8</v>
      </c>
      <c r="G944" s="34">
        <f>IFERROR(IF(F944&gt;=0,D944*E944*(1+F944/100),ABS(D944*E944/F944)),"")</f>
        <v>42209.869333125011</v>
      </c>
      <c r="H944" s="43">
        <f>IFERROR(G944*E928,"")</f>
        <v>0</v>
      </c>
    </row>
    <row r="945" spans="1:11">
      <c r="A945" s="28"/>
      <c r="B945" s="29"/>
      <c r="C945" s="30" t="str">
        <f>IFERROR(_xlfn.XLOOKUP(B945,MObra[DESCRIPCION],MObra[UN],,0),"")</f>
        <v/>
      </c>
      <c r="D945" s="31"/>
      <c r="E945" s="32" t="str">
        <f>IFERROR(_xlfn.XLOOKUP($B945,MObra[DESCRIPCION],MObra[VALOR UNIT],,0),"")</f>
        <v/>
      </c>
      <c r="F945" s="33"/>
      <c r="G945" s="34" t="str">
        <f>IFERROR(IF(F945&gt;=0,D945*E945*(1+F945/100),ABS(D945*E945/F945)),"")</f>
        <v/>
      </c>
      <c r="H945" s="43" t="str">
        <f>IFERROR(G945*E928,"")</f>
        <v/>
      </c>
    </row>
    <row r="946" spans="1:11">
      <c r="A946" s="35"/>
      <c r="B946" s="36"/>
      <c r="C946" s="37" t="str">
        <f>IFERROR(_xlfn.XLOOKUP(B946,MObra[DESCRIPCION],MObra[UN],,0),"")</f>
        <v/>
      </c>
      <c r="D946" s="38"/>
      <c r="E946" s="39" t="str">
        <f>IFERROR(_xlfn.XLOOKUP($B946,MObra[DESCRIPCION],MObra[VALOR UNIT],,0),"")</f>
        <v/>
      </c>
      <c r="F946" s="40"/>
      <c r="G946" s="41" t="str">
        <f>IFERROR(IF(F946&gt;=0,D946*E946*(1+F946/100),ABS(D946*E946/F946)),"")</f>
        <v/>
      </c>
      <c r="H946" s="42" t="str">
        <f>IFERROR(G946*E928,"")</f>
        <v/>
      </c>
    </row>
    <row r="947" spans="1:11" ht="12.75" customHeight="1" thickTop="1" thickBot="1"/>
    <row r="948" spans="1:11" ht="26.25" thickTop="1" thickBot="1">
      <c r="A948" s="6" t="s">
        <v>2354</v>
      </c>
      <c r="B948" s="7" t="str">
        <f>VLOOKUP($A948,Presupuesto!$A:$D,2,FALSE())</f>
        <v>Luminaria LED tipo reflector 100-277 Vac, 300 W, 36000 Lm, IP 65, IK 08, IRC&gt;70, VU &gt;=50.000 h L70 B50. eficacia &gt;=100 Lm/W, 6500 K</v>
      </c>
      <c r="C948" s="8" t="str">
        <f>VLOOKUP($A948,Presupuesto!$A:$D,3,FALSE())</f>
        <v>Un</v>
      </c>
      <c r="D948" s="9"/>
      <c r="E948" s="10">
        <f>VLOOKUP($A948,Presupuesto!$A:$D,4,FALSE())</f>
        <v>0</v>
      </c>
      <c r="F948" s="11" t="s">
        <v>2589</v>
      </c>
      <c r="G948" s="12">
        <f>SUM(G950:G966)/2</f>
        <v>733300.94973309385</v>
      </c>
      <c r="H948" s="13">
        <f>ROUND(SUM(H950:H966),0)/2</f>
        <v>0</v>
      </c>
      <c r="I948" s="10">
        <f>VLOOKUP(A948,Presupuesto!$A:$F,6,0)</f>
        <v>0</v>
      </c>
      <c r="J948" s="10">
        <f>+H948-I948</f>
        <v>0</v>
      </c>
      <c r="K948" s="46">
        <f>+H948-G948*E948</f>
        <v>0</v>
      </c>
    </row>
    <row r="949" spans="1:11">
      <c r="A949" s="14"/>
      <c r="B949" s="15" t="s">
        <v>2586</v>
      </c>
      <c r="C949" s="15" t="s">
        <v>5</v>
      </c>
      <c r="D949" s="16" t="s">
        <v>6</v>
      </c>
      <c r="E949" s="17" t="s">
        <v>7</v>
      </c>
      <c r="F949" s="18" t="s">
        <v>3728</v>
      </c>
      <c r="G949" s="19" t="s">
        <v>3729</v>
      </c>
      <c r="H949" s="20" t="s">
        <v>3797</v>
      </c>
    </row>
    <row r="950" spans="1:11">
      <c r="A950" s="21"/>
      <c r="B950" s="22" t="s">
        <v>3730</v>
      </c>
      <c r="C950" s="23"/>
      <c r="D950" s="24"/>
      <c r="E950" s="25"/>
      <c r="F950" s="26"/>
      <c r="G950" s="27">
        <f>SUM(G951:G955)</f>
        <v>684759.60000000009</v>
      </c>
      <c r="H950" s="27">
        <f>IFERROR(G950*E948,"")</f>
        <v>0</v>
      </c>
    </row>
    <row r="951" spans="1:11" ht="25.5">
      <c r="A951" s="28"/>
      <c r="B951" s="29" t="s">
        <v>3099</v>
      </c>
      <c r="C951" s="30" t="str">
        <f>IFERROR(_xlfn.XLOOKUP(B951,Insumo[DESCRIPCION],Insumo[UND],,0),"")</f>
        <v>Un</v>
      </c>
      <c r="D951" s="31">
        <v>1</v>
      </c>
      <c r="E951" s="32">
        <f>IFERROR(_xlfn.XLOOKUP($B951,Insumo[DESCRIPCION],Insumo[VALOR],,0),"")</f>
        <v>670950</v>
      </c>
      <c r="F951" s="33"/>
      <c r="G951" s="34">
        <f>IFERROR(IF(F951&gt;=0,D951*E951*(1+F951/100),ABS(D951*E951/F951)),"")</f>
        <v>670950</v>
      </c>
      <c r="H951" s="43">
        <f>IFERROR(G951*E948,"")</f>
        <v>0</v>
      </c>
    </row>
    <row r="952" spans="1:11">
      <c r="A952" s="28"/>
      <c r="B952" s="29" t="s">
        <v>2800</v>
      </c>
      <c r="C952" s="30" t="str">
        <f>IFERROR(_xlfn.XLOOKUP(B952,Insumo[DESCRIPCION],Insumo[UND],,0),"")</f>
        <v>M</v>
      </c>
      <c r="D952" s="31">
        <v>1</v>
      </c>
      <c r="E952" s="32">
        <f>IFERROR(_xlfn.XLOOKUP($B952,Insumo[DESCRIPCION],Insumo[VALOR],,0),"")</f>
        <v>7387.8</v>
      </c>
      <c r="F952" s="33"/>
      <c r="G952" s="34">
        <f>IFERROR(IF(F952&gt;=0,D952*E952*(1+F952/100),ABS(D952*E952/F952)),"")</f>
        <v>7387.8</v>
      </c>
      <c r="H952" s="43">
        <f>IFERROR(G952*E948,"")</f>
        <v>0</v>
      </c>
    </row>
    <row r="953" spans="1:11">
      <c r="A953" s="28"/>
      <c r="B953" s="29" t="s">
        <v>2855</v>
      </c>
      <c r="C953" s="30" t="str">
        <f>IFERROR(_xlfn.XLOOKUP(B953,Insumo[DESCRIPCION],Insumo[UND],,0),"")</f>
        <v>Un</v>
      </c>
      <c r="D953" s="31">
        <v>1</v>
      </c>
      <c r="E953" s="32">
        <f>IFERROR(_xlfn.XLOOKUP($B953,Insumo[DESCRIPCION],Insumo[VALOR],,0),"")</f>
        <v>6421.8</v>
      </c>
      <c r="F953" s="33"/>
      <c r="G953" s="34">
        <f>IFERROR(IF(F953&gt;=0,D953*E953*(1+F953/100),ABS(D953*E953/F953)),"")</f>
        <v>6421.8</v>
      </c>
      <c r="H953" s="43">
        <f>IFERROR(G953*E948,"")</f>
        <v>0</v>
      </c>
    </row>
    <row r="954" spans="1:11">
      <c r="A954" s="28"/>
      <c r="B954" s="29"/>
      <c r="C954" s="30" t="str">
        <f>IFERROR(_xlfn.XLOOKUP(B954,Insumo[DESCRIPCION],Insumo[UND],,0),"")</f>
        <v/>
      </c>
      <c r="D954" s="31"/>
      <c r="E954" s="32" t="str">
        <f>IFERROR(_xlfn.XLOOKUP($B954,Insumo[DESCRIPCION],Insumo[VALOR],,0),"")</f>
        <v/>
      </c>
      <c r="F954" s="33"/>
      <c r="G954" s="34" t="str">
        <f>IFERROR(IF(F954&gt;=0,D954*E954*(1+F954/100),ABS(D954*E954/F954)),"")</f>
        <v/>
      </c>
      <c r="H954" s="43" t="str">
        <f>IFERROR(G954*E948,"")</f>
        <v/>
      </c>
    </row>
    <row r="955" spans="1:11">
      <c r="A955" s="28"/>
      <c r="B955" s="29"/>
      <c r="C955" s="30" t="str">
        <f>IFERROR(_xlfn.XLOOKUP(B955,Insumo[DESCRIPCION],Insumo[UND],,0),"")</f>
        <v/>
      </c>
      <c r="D955" s="31"/>
      <c r="E955" s="32" t="str">
        <f>IFERROR(_xlfn.XLOOKUP($B955,Insumo[DESCRIPCION],Insumo[VALOR],,0),"")</f>
        <v/>
      </c>
      <c r="F955" s="33"/>
      <c r="G955" s="34" t="str">
        <f>IFERROR(IF(F955&gt;=0,D955*E955*(1+F955/100),ABS(D955*E955/F955)),"")</f>
        <v/>
      </c>
      <c r="H955" s="43" t="str">
        <f>IFERROR(G955*E948,"")</f>
        <v/>
      </c>
    </row>
    <row r="956" spans="1:11">
      <c r="A956" s="21"/>
      <c r="B956" s="22" t="s">
        <v>3731</v>
      </c>
      <c r="C956" s="23"/>
      <c r="D956" s="24"/>
      <c r="E956" s="25"/>
      <c r="F956" s="26"/>
      <c r="G956" s="27">
        <f>SUM(G957:G959)</f>
        <v>6331.480399968752</v>
      </c>
      <c r="H956" s="27">
        <f>IFERROR(G956*E948,"")</f>
        <v>0</v>
      </c>
    </row>
    <row r="957" spans="1:11">
      <c r="A957" s="28"/>
      <c r="B957" s="29" t="s">
        <v>3573</v>
      </c>
      <c r="C957" s="30" t="str">
        <f>IFERROR(_xlfn.XLOOKUP(B957,Equipo[DESCRIPCION],Equipo[UND],,0),"")</f>
        <v>%MO</v>
      </c>
      <c r="D957" s="31">
        <v>0.1</v>
      </c>
      <c r="E957" s="32">
        <f>IF(C957="%MO",G963,IFERROR(_xlfn.XLOOKUP($B957,Equipo[DESCRIPCION],Equipo[VALOR],,0),""))</f>
        <v>42209.869333125011</v>
      </c>
      <c r="F957" s="33"/>
      <c r="G957" s="34">
        <f>IFERROR(IF(F957&gt;=0,D957*E957*(1+F957/100),ABS(D957*E957/F957)),"")</f>
        <v>4220.9869333125016</v>
      </c>
      <c r="H957" s="43">
        <f>IFERROR(G957*E948,"")</f>
        <v>0</v>
      </c>
    </row>
    <row r="958" spans="1:11">
      <c r="A958" s="28"/>
      <c r="B958" s="29" t="s">
        <v>3626</v>
      </c>
      <c r="C958" s="30" t="str">
        <f>IFERROR(_xlfn.XLOOKUP(B958,Equipo[DESCRIPCION],Equipo[UND],,0),"")</f>
        <v>%MO</v>
      </c>
      <c r="D958" s="31">
        <v>0.05</v>
      </c>
      <c r="E958" s="32">
        <f>IF(C958="%MO",G963,IFERROR(_xlfn.XLOOKUP($B958,Equipo[DESCRIPCION],Equipo[VALOR],,0),""))</f>
        <v>42209.869333125011</v>
      </c>
      <c r="F958" s="33"/>
      <c r="G958" s="34">
        <f>IFERROR(IF(F958&gt;=0,D958*E958*(1+F958/100),ABS(D958*E958/F958)),"")</f>
        <v>2110.4934666562508</v>
      </c>
      <c r="H958" s="43">
        <f>IFERROR(G958*E948,"")</f>
        <v>0</v>
      </c>
    </row>
    <row r="959" spans="1:11">
      <c r="A959" s="28"/>
      <c r="B959" s="29"/>
      <c r="C959" s="30" t="str">
        <f>IFERROR(_xlfn.XLOOKUP(B959,Equipo[DESCRIPCION],Equipo[UND],,0),"")</f>
        <v/>
      </c>
      <c r="D959" s="31"/>
      <c r="E959" s="32" t="str">
        <f>IF(C959="%MO",G963,IFERROR(_xlfn.XLOOKUP($B959,Equipo[DESCRIPCION],Equipo[VALOR],,0),""))</f>
        <v/>
      </c>
      <c r="F959" s="33"/>
      <c r="G959" s="34" t="str">
        <f>IFERROR(IF(F959&gt;=0,D959*E959*(1+F959/100),ABS(D959*E959/F959)),"")</f>
        <v/>
      </c>
      <c r="H959" s="43" t="str">
        <f>IFERROR(G959*E948,"")</f>
        <v/>
      </c>
    </row>
    <row r="960" spans="1:11">
      <c r="A960" s="21"/>
      <c r="B960" s="22" t="s">
        <v>2533</v>
      </c>
      <c r="C960" s="23"/>
      <c r="D960" s="24"/>
      <c r="E960" s="25"/>
      <c r="F960" s="26"/>
      <c r="G960" s="27">
        <f>SUM(G961:G962)</f>
        <v>0</v>
      </c>
      <c r="H960" s="27">
        <f>IFERROR(G960*E948,"")</f>
        <v>0</v>
      </c>
    </row>
    <row r="961" spans="1:11">
      <c r="A961" s="28"/>
      <c r="B961" s="29"/>
      <c r="C961" s="30" t="str">
        <f>IFERROR(_xlfn.XLOOKUP(B961,Transporte[DESCRIPCION],Transporte[UND],,0),"")</f>
        <v/>
      </c>
      <c r="D961" s="31"/>
      <c r="E961" s="32" t="str">
        <f>IFERROR(_xlfn.XLOOKUP($B961,Transporte[DESCRIPCION],Transporte[VALOR],,0),"")</f>
        <v/>
      </c>
      <c r="F961" s="33"/>
      <c r="G961" s="34" t="str">
        <f>IFERROR(IF(F961&gt;=0,D961*E961*(1+F961/100),ABS(D961*E961/F961)),"")</f>
        <v/>
      </c>
      <c r="H961" s="43" t="str">
        <f>IFERROR(G961*E948,"")</f>
        <v/>
      </c>
    </row>
    <row r="962" spans="1:11">
      <c r="A962" s="28"/>
      <c r="B962" s="29"/>
      <c r="C962" s="30" t="str">
        <f>IFERROR(_xlfn.XLOOKUP(B962,Transporte[DESCRIPCION],Transporte[UND],,0),"")</f>
        <v/>
      </c>
      <c r="D962" s="31"/>
      <c r="E962" s="32" t="str">
        <f>IFERROR(_xlfn.XLOOKUP($B962,Transporte[DESCRIPCION],Transporte[VALOR],,0),"")</f>
        <v/>
      </c>
      <c r="F962" s="33"/>
      <c r="G962" s="34" t="str">
        <f>IFERROR(IF(F962&gt;=0,D962*E962*(1+F962/100),ABS(D962*E962/F962)),"")</f>
        <v/>
      </c>
      <c r="H962" s="43" t="str">
        <f>IFERROR(G962*E948,"")</f>
        <v/>
      </c>
    </row>
    <row r="963" spans="1:11">
      <c r="A963" s="21"/>
      <c r="B963" s="22" t="s">
        <v>3732</v>
      </c>
      <c r="C963" s="23"/>
      <c r="D963" s="24"/>
      <c r="E963" s="25"/>
      <c r="F963" s="26"/>
      <c r="G963" s="27">
        <f>SUM(G964:G966)</f>
        <v>42209.869333125011</v>
      </c>
      <c r="H963" s="27">
        <f>IFERROR(G963*E948,"")</f>
        <v>0</v>
      </c>
    </row>
    <row r="964" spans="1:11">
      <c r="A964" s="28"/>
      <c r="B964" s="29" t="s">
        <v>3715</v>
      </c>
      <c r="C964" s="30" t="str">
        <f>IFERROR(_xlfn.XLOOKUP(B964,MObra[DESCRIPCION],MObra[UN],,0),"")</f>
        <v>día</v>
      </c>
      <c r="D964" s="31">
        <v>1</v>
      </c>
      <c r="E964" s="32">
        <f>IFERROR(_xlfn.XLOOKUP($B964,MObra[DESCRIPCION],MObra[VALOR UNIT],,0),"")</f>
        <v>337678.95466500008</v>
      </c>
      <c r="F964" s="33">
        <v>-8</v>
      </c>
      <c r="G964" s="34">
        <f>IFERROR(IF(F964&gt;=0,D964*E964*(1+F964/100),ABS(D964*E964/F964)),"")</f>
        <v>42209.869333125011</v>
      </c>
      <c r="H964" s="43">
        <f>IFERROR(G964*E948,"")</f>
        <v>0</v>
      </c>
    </row>
    <row r="965" spans="1:11">
      <c r="A965" s="28"/>
      <c r="B965" s="29"/>
      <c r="C965" s="30" t="str">
        <f>IFERROR(_xlfn.XLOOKUP(B965,MObra[DESCRIPCION],MObra[UN],,0),"")</f>
        <v/>
      </c>
      <c r="D965" s="31"/>
      <c r="E965" s="32" t="str">
        <f>IFERROR(_xlfn.XLOOKUP($B965,MObra[DESCRIPCION],MObra[VALOR UNIT],,0),"")</f>
        <v/>
      </c>
      <c r="F965" s="33"/>
      <c r="G965" s="34" t="str">
        <f>IFERROR(IF(F965&gt;=0,D965*E965*(1+F965/100),ABS(D965*E965/F965)),"")</f>
        <v/>
      </c>
      <c r="H965" s="43" t="str">
        <f>IFERROR(G965*E948,"")</f>
        <v/>
      </c>
    </row>
    <row r="966" spans="1:11">
      <c r="A966" s="35"/>
      <c r="B966" s="36"/>
      <c r="C966" s="37" t="str">
        <f>IFERROR(_xlfn.XLOOKUP(B966,MObra[DESCRIPCION],MObra[UN],,0),"")</f>
        <v/>
      </c>
      <c r="D966" s="38"/>
      <c r="E966" s="39" t="str">
        <f>IFERROR(_xlfn.XLOOKUP($B966,MObra[DESCRIPCION],MObra[VALOR UNIT],,0),"")</f>
        <v/>
      </c>
      <c r="F966" s="40"/>
      <c r="G966" s="41" t="str">
        <f>IFERROR(IF(F966&gt;=0,D966*E966*(1+F966/100),ABS(D966*E966/F966)),"")</f>
        <v/>
      </c>
      <c r="H966" s="42" t="str">
        <f>IFERROR(G966*E948,"")</f>
        <v/>
      </c>
    </row>
    <row r="968" spans="1:11" ht="25.5">
      <c r="A968" s="6" t="s">
        <v>2356</v>
      </c>
      <c r="B968" s="7" t="str">
        <f>VLOOKUP($A968,Presupuesto!$A:$D,2,FALSE())</f>
        <v>Luminaria LED tipo reflector 100-277 Vac, 400 W, 48000 Lm, IP 65, IK 08, IRC&gt;70, VU &gt;=50.000 h L70 B50. eficacia &gt;=100 Lm/W, 6500 K</v>
      </c>
      <c r="C968" s="8" t="str">
        <f>VLOOKUP($A968,Presupuesto!$A:$D,3,FALSE())</f>
        <v>Un</v>
      </c>
      <c r="D968" s="9"/>
      <c r="E968" s="10">
        <f>VLOOKUP($A968,Presupuesto!$A:$D,4,FALSE())</f>
        <v>0</v>
      </c>
      <c r="F968" s="11" t="s">
        <v>2589</v>
      </c>
      <c r="G968" s="12">
        <f>SUM(G970:G986)/2</f>
        <v>964300.94973309385</v>
      </c>
      <c r="H968" s="13">
        <f>ROUND(SUM(H970:H986),0)/2</f>
        <v>0</v>
      </c>
      <c r="I968" s="10">
        <f>VLOOKUP(A968,Presupuesto!$A:$F,6,0)</f>
        <v>0</v>
      </c>
      <c r="J968" s="10">
        <f>+H968-I968</f>
        <v>0</v>
      </c>
      <c r="K968" s="46">
        <f>+H968-G968*E968</f>
        <v>0</v>
      </c>
    </row>
    <row r="969" spans="1:11">
      <c r="A969" s="14"/>
      <c r="B969" s="15" t="s">
        <v>2586</v>
      </c>
      <c r="C969" s="15" t="s">
        <v>5</v>
      </c>
      <c r="D969" s="16" t="s">
        <v>6</v>
      </c>
      <c r="E969" s="17" t="s">
        <v>7</v>
      </c>
      <c r="F969" s="18" t="s">
        <v>3728</v>
      </c>
      <c r="G969" s="19" t="s">
        <v>3729</v>
      </c>
      <c r="H969" s="20" t="s">
        <v>3797</v>
      </c>
    </row>
    <row r="970" spans="1:11">
      <c r="A970" s="21"/>
      <c r="B970" s="22" t="s">
        <v>3730</v>
      </c>
      <c r="C970" s="23"/>
      <c r="D970" s="24"/>
      <c r="E970" s="25"/>
      <c r="F970" s="26"/>
      <c r="G970" s="27">
        <f>SUM(G971:G975)</f>
        <v>915759.60000000009</v>
      </c>
      <c r="H970" s="27">
        <f>IFERROR(G970*E968,"")</f>
        <v>0</v>
      </c>
    </row>
    <row r="971" spans="1:11" ht="25.5">
      <c r="A971" s="28"/>
      <c r="B971" s="29" t="s">
        <v>3100</v>
      </c>
      <c r="C971" s="30" t="str">
        <f>IFERROR(_xlfn.XLOOKUP(B971,Insumo[DESCRIPCION],Insumo[UND],,0),"")</f>
        <v>Un</v>
      </c>
      <c r="D971" s="31">
        <v>1</v>
      </c>
      <c r="E971" s="32">
        <f>IFERROR(_xlfn.XLOOKUP($B971,Insumo[DESCRIPCION],Insumo[VALOR],,0),"")</f>
        <v>901950</v>
      </c>
      <c r="F971" s="33"/>
      <c r="G971" s="34">
        <f>IFERROR(IF(F971&gt;=0,D971*E971*(1+F971/100),ABS(D971*E971/F971)),"")</f>
        <v>901950</v>
      </c>
      <c r="H971" s="43">
        <f>IFERROR(G971*E968,"")</f>
        <v>0</v>
      </c>
    </row>
    <row r="972" spans="1:11">
      <c r="A972" s="28"/>
      <c r="B972" s="29" t="s">
        <v>2800</v>
      </c>
      <c r="C972" s="30" t="str">
        <f>IFERROR(_xlfn.XLOOKUP(B972,Insumo[DESCRIPCION],Insumo[UND],,0),"")</f>
        <v>M</v>
      </c>
      <c r="D972" s="31">
        <v>1</v>
      </c>
      <c r="E972" s="32">
        <f>IFERROR(_xlfn.XLOOKUP($B972,Insumo[DESCRIPCION],Insumo[VALOR],,0),"")</f>
        <v>7387.8</v>
      </c>
      <c r="F972" s="33"/>
      <c r="G972" s="34">
        <f>IFERROR(IF(F972&gt;=0,D972*E972*(1+F972/100),ABS(D972*E972/F972)),"")</f>
        <v>7387.8</v>
      </c>
      <c r="H972" s="43">
        <f>IFERROR(G972*E968,"")</f>
        <v>0</v>
      </c>
    </row>
    <row r="973" spans="1:11">
      <c r="A973" s="28"/>
      <c r="B973" s="29" t="s">
        <v>2855</v>
      </c>
      <c r="C973" s="30" t="str">
        <f>IFERROR(_xlfn.XLOOKUP(B973,Insumo[DESCRIPCION],Insumo[UND],,0),"")</f>
        <v>Un</v>
      </c>
      <c r="D973" s="31">
        <v>1</v>
      </c>
      <c r="E973" s="32">
        <f>IFERROR(_xlfn.XLOOKUP($B973,Insumo[DESCRIPCION],Insumo[VALOR],,0),"")</f>
        <v>6421.8</v>
      </c>
      <c r="F973" s="33"/>
      <c r="G973" s="34">
        <f>IFERROR(IF(F973&gt;=0,D973*E973*(1+F973/100),ABS(D973*E973/F973)),"")</f>
        <v>6421.8</v>
      </c>
      <c r="H973" s="43">
        <f>IFERROR(G973*E968,"")</f>
        <v>0</v>
      </c>
    </row>
    <row r="974" spans="1:11">
      <c r="A974" s="28"/>
      <c r="B974" s="29"/>
      <c r="C974" s="30" t="str">
        <f>IFERROR(_xlfn.XLOOKUP(B974,Insumo[DESCRIPCION],Insumo[UND],,0),"")</f>
        <v/>
      </c>
      <c r="D974" s="31"/>
      <c r="E974" s="32" t="str">
        <f>IFERROR(_xlfn.XLOOKUP($B974,Insumo[DESCRIPCION],Insumo[VALOR],,0),"")</f>
        <v/>
      </c>
      <c r="F974" s="33"/>
      <c r="G974" s="34" t="str">
        <f>IFERROR(IF(F974&gt;=0,D974*E974*(1+F974/100),ABS(D974*E974/F974)),"")</f>
        <v/>
      </c>
      <c r="H974" s="43" t="str">
        <f>IFERROR(G974*E968,"")</f>
        <v/>
      </c>
    </row>
    <row r="975" spans="1:11">
      <c r="A975" s="28"/>
      <c r="B975" s="29"/>
      <c r="C975" s="30" t="str">
        <f>IFERROR(_xlfn.XLOOKUP(B975,Insumo[DESCRIPCION],Insumo[UND],,0),"")</f>
        <v/>
      </c>
      <c r="D975" s="31"/>
      <c r="E975" s="32" t="str">
        <f>IFERROR(_xlfn.XLOOKUP($B975,Insumo[DESCRIPCION],Insumo[VALOR],,0),"")</f>
        <v/>
      </c>
      <c r="F975" s="33"/>
      <c r="G975" s="34" t="str">
        <f>IFERROR(IF(F975&gt;=0,D975*E975*(1+F975/100),ABS(D975*E975/F975)),"")</f>
        <v/>
      </c>
      <c r="H975" s="43" t="str">
        <f>IFERROR(G975*E968,"")</f>
        <v/>
      </c>
    </row>
    <row r="976" spans="1:11">
      <c r="A976" s="21"/>
      <c r="B976" s="22" t="s">
        <v>3731</v>
      </c>
      <c r="C976" s="23"/>
      <c r="D976" s="24"/>
      <c r="E976" s="25"/>
      <c r="F976" s="26"/>
      <c r="G976" s="27">
        <f>SUM(G977:G979)</f>
        <v>6331.480399968752</v>
      </c>
      <c r="H976" s="27">
        <f>IFERROR(G976*E968,"")</f>
        <v>0</v>
      </c>
    </row>
    <row r="977" spans="1:11">
      <c r="A977" s="28"/>
      <c r="B977" s="29" t="s">
        <v>3573</v>
      </c>
      <c r="C977" s="30" t="str">
        <f>IFERROR(_xlfn.XLOOKUP(B977,Equipo[DESCRIPCION],Equipo[UND],,0),"")</f>
        <v>%MO</v>
      </c>
      <c r="D977" s="31">
        <v>0.1</v>
      </c>
      <c r="E977" s="32">
        <f>IF(C977="%MO",G983,IFERROR(_xlfn.XLOOKUP($B977,Equipo[DESCRIPCION],Equipo[VALOR],,0),""))</f>
        <v>42209.869333125011</v>
      </c>
      <c r="F977" s="33"/>
      <c r="G977" s="34">
        <f>IFERROR(IF(F977&gt;=0,D977*E977*(1+F977/100),ABS(D977*E977/F977)),"")</f>
        <v>4220.9869333125016</v>
      </c>
      <c r="H977" s="43">
        <f>IFERROR(G977*E968,"")</f>
        <v>0</v>
      </c>
    </row>
    <row r="978" spans="1:11">
      <c r="A978" s="28"/>
      <c r="B978" s="29" t="s">
        <v>3626</v>
      </c>
      <c r="C978" s="30" t="str">
        <f>IFERROR(_xlfn.XLOOKUP(B978,Equipo[DESCRIPCION],Equipo[UND],,0),"")</f>
        <v>%MO</v>
      </c>
      <c r="D978" s="31">
        <v>0.05</v>
      </c>
      <c r="E978" s="32">
        <f>IF(C978="%MO",G983,IFERROR(_xlfn.XLOOKUP($B978,Equipo[DESCRIPCION],Equipo[VALOR],,0),""))</f>
        <v>42209.869333125011</v>
      </c>
      <c r="F978" s="33"/>
      <c r="G978" s="34">
        <f>IFERROR(IF(F978&gt;=0,D978*E978*(1+F978/100),ABS(D978*E978/F978)),"")</f>
        <v>2110.4934666562508</v>
      </c>
      <c r="H978" s="43">
        <f>IFERROR(G978*E968,"")</f>
        <v>0</v>
      </c>
    </row>
    <row r="979" spans="1:11">
      <c r="A979" s="28"/>
      <c r="B979" s="29"/>
      <c r="C979" s="30" t="str">
        <f>IFERROR(_xlfn.XLOOKUP(B979,Equipo[DESCRIPCION],Equipo[UND],,0),"")</f>
        <v/>
      </c>
      <c r="D979" s="31"/>
      <c r="E979" s="32" t="str">
        <f>IF(C979="%MO",G983,IFERROR(_xlfn.XLOOKUP($B979,Equipo[DESCRIPCION],Equipo[VALOR],,0),""))</f>
        <v/>
      </c>
      <c r="F979" s="33"/>
      <c r="G979" s="34" t="str">
        <f>IFERROR(IF(F979&gt;=0,D979*E979*(1+F979/100),ABS(D979*E979/F979)),"")</f>
        <v/>
      </c>
      <c r="H979" s="43" t="str">
        <f>IFERROR(G979*E968,"")</f>
        <v/>
      </c>
    </row>
    <row r="980" spans="1:11">
      <c r="A980" s="21"/>
      <c r="B980" s="22" t="s">
        <v>2533</v>
      </c>
      <c r="C980" s="23"/>
      <c r="D980" s="24"/>
      <c r="E980" s="25"/>
      <c r="F980" s="26"/>
      <c r="G980" s="27">
        <f>SUM(G981:G982)</f>
        <v>0</v>
      </c>
      <c r="H980" s="27">
        <f>IFERROR(G980*E968,"")</f>
        <v>0</v>
      </c>
    </row>
    <row r="981" spans="1:11">
      <c r="A981" s="28"/>
      <c r="B981" s="29"/>
      <c r="C981" s="30" t="str">
        <f>IFERROR(_xlfn.XLOOKUP(B981,Transporte[DESCRIPCION],Transporte[UND],,0),"")</f>
        <v/>
      </c>
      <c r="D981" s="31"/>
      <c r="E981" s="32" t="str">
        <f>IFERROR(_xlfn.XLOOKUP($B981,Transporte[DESCRIPCION],Transporte[VALOR],,0),"")</f>
        <v/>
      </c>
      <c r="F981" s="33"/>
      <c r="G981" s="34" t="str">
        <f>IFERROR(IF(F981&gt;=0,D981*E981*(1+F981/100),ABS(D981*E981/F981)),"")</f>
        <v/>
      </c>
      <c r="H981" s="43" t="str">
        <f>IFERROR(G981*E968,"")</f>
        <v/>
      </c>
    </row>
    <row r="982" spans="1:11">
      <c r="A982" s="28"/>
      <c r="B982" s="29"/>
      <c r="C982" s="30" t="str">
        <f>IFERROR(_xlfn.XLOOKUP(B982,Transporte[DESCRIPCION],Transporte[UND],,0),"")</f>
        <v/>
      </c>
      <c r="D982" s="31"/>
      <c r="E982" s="32" t="str">
        <f>IFERROR(_xlfn.XLOOKUP($B982,Transporte[DESCRIPCION],Transporte[VALOR],,0),"")</f>
        <v/>
      </c>
      <c r="F982" s="33"/>
      <c r="G982" s="34" t="str">
        <f>IFERROR(IF(F982&gt;=0,D982*E982*(1+F982/100),ABS(D982*E982/F982)),"")</f>
        <v/>
      </c>
      <c r="H982" s="43" t="str">
        <f>IFERROR(G982*E968,"")</f>
        <v/>
      </c>
    </row>
    <row r="983" spans="1:11">
      <c r="A983" s="21"/>
      <c r="B983" s="22" t="s">
        <v>3732</v>
      </c>
      <c r="C983" s="23"/>
      <c r="D983" s="24"/>
      <c r="E983" s="25"/>
      <c r="F983" s="26"/>
      <c r="G983" s="27">
        <f>SUM(G984:G986)</f>
        <v>42209.869333125011</v>
      </c>
      <c r="H983" s="27">
        <f>IFERROR(G983*E968,"")</f>
        <v>0</v>
      </c>
    </row>
    <row r="984" spans="1:11">
      <c r="A984" s="28"/>
      <c r="B984" s="29" t="s">
        <v>3715</v>
      </c>
      <c r="C984" s="30" t="str">
        <f>IFERROR(_xlfn.XLOOKUP(B984,MObra[DESCRIPCION],MObra[UN],,0),"")</f>
        <v>día</v>
      </c>
      <c r="D984" s="31">
        <v>1</v>
      </c>
      <c r="E984" s="32">
        <f>IFERROR(_xlfn.XLOOKUP($B984,MObra[DESCRIPCION],MObra[VALOR UNIT],,0),"")</f>
        <v>337678.95466500008</v>
      </c>
      <c r="F984" s="33">
        <v>-8</v>
      </c>
      <c r="G984" s="34">
        <f>IFERROR(IF(F984&gt;=0,D984*E984*(1+F984/100),ABS(D984*E984/F984)),"")</f>
        <v>42209.869333125011</v>
      </c>
      <c r="H984" s="43">
        <f>IFERROR(G984*E968,"")</f>
        <v>0</v>
      </c>
    </row>
    <row r="985" spans="1:11">
      <c r="A985" s="28"/>
      <c r="B985" s="29"/>
      <c r="C985" s="30" t="str">
        <f>IFERROR(_xlfn.XLOOKUP(B985,MObra[DESCRIPCION],MObra[UN],,0),"")</f>
        <v/>
      </c>
      <c r="D985" s="31"/>
      <c r="E985" s="32" t="str">
        <f>IFERROR(_xlfn.XLOOKUP($B985,MObra[DESCRIPCION],MObra[VALOR UNIT],,0),"")</f>
        <v/>
      </c>
      <c r="F985" s="33"/>
      <c r="G985" s="34" t="str">
        <f>IFERROR(IF(F985&gt;=0,D985*E985*(1+F985/100),ABS(D985*E985/F985)),"")</f>
        <v/>
      </c>
      <c r="H985" s="43" t="str">
        <f>IFERROR(G985*E968,"")</f>
        <v/>
      </c>
    </row>
    <row r="986" spans="1:11">
      <c r="A986" s="35"/>
      <c r="B986" s="36"/>
      <c r="C986" s="37" t="str">
        <f>IFERROR(_xlfn.XLOOKUP(B986,MObra[DESCRIPCION],MObra[UN],,0),"")</f>
        <v/>
      </c>
      <c r="D986" s="38"/>
      <c r="E986" s="39" t="str">
        <f>IFERROR(_xlfn.XLOOKUP($B986,MObra[DESCRIPCION],MObra[VALOR UNIT],,0),"")</f>
        <v/>
      </c>
      <c r="F986" s="40"/>
      <c r="G986" s="41" t="str">
        <f>IFERROR(IF(F986&gt;=0,D986*E986*(1+F986/100),ABS(D986*E986/F986)),"")</f>
        <v/>
      </c>
      <c r="H986" s="42" t="str">
        <f>IFERROR(G986*E968,"")</f>
        <v/>
      </c>
    </row>
    <row r="987" spans="1:11" ht="12.75" customHeight="1" thickTop="1" thickBot="1"/>
    <row r="988" spans="1:11" ht="26.25" thickTop="1" thickBot="1">
      <c r="A988" s="6" t="s">
        <v>2358</v>
      </c>
      <c r="B988" s="7" t="str">
        <f>VLOOKUP($A988,Presupuesto!$A:$D,2,FALSE())</f>
        <v>Luminaria LED Uplight empotrado en piso 3w, 180 lm 3000k blanco cálido para iluminación exterior, diámetro 20 cm, VU&gt;=30000h@l70, ip67, ik 10</v>
      </c>
      <c r="C988" s="8" t="str">
        <f>VLOOKUP($A988,Presupuesto!$A:$D,3,FALSE())</f>
        <v>Un</v>
      </c>
      <c r="D988" s="9"/>
      <c r="E988" s="10">
        <f>VLOOKUP($A988,Presupuesto!$A:$D,4,FALSE())</f>
        <v>0</v>
      </c>
      <c r="F988" s="11" t="s">
        <v>2589</v>
      </c>
      <c r="G988" s="12">
        <f>SUM(G990:G1006)/2</f>
        <v>192319.96279978123</v>
      </c>
      <c r="H988" s="13">
        <f>ROUND(SUM(H990:H1006),0)/2</f>
        <v>0</v>
      </c>
      <c r="I988" s="10">
        <f>VLOOKUP(A988,Presupuesto!$A:$F,6,0)</f>
        <v>0</v>
      </c>
      <c r="J988" s="10">
        <f>+H988-I988</f>
        <v>0</v>
      </c>
      <c r="K988" s="46">
        <f>+H988-G988*E988</f>
        <v>0</v>
      </c>
    </row>
    <row r="989" spans="1:11">
      <c r="A989" s="14"/>
      <c r="B989" s="15" t="s">
        <v>2586</v>
      </c>
      <c r="C989" s="15" t="s">
        <v>5</v>
      </c>
      <c r="D989" s="16" t="s">
        <v>6</v>
      </c>
      <c r="E989" s="17" t="s">
        <v>7</v>
      </c>
      <c r="F989" s="18" t="s">
        <v>3728</v>
      </c>
      <c r="G989" s="19" t="s">
        <v>3729</v>
      </c>
      <c r="H989" s="20" t="s">
        <v>3797</v>
      </c>
    </row>
    <row r="990" spans="1:11">
      <c r="A990" s="21"/>
      <c r="B990" s="22" t="s">
        <v>3730</v>
      </c>
      <c r="C990" s="23"/>
      <c r="D990" s="24"/>
      <c r="E990" s="25"/>
      <c r="F990" s="26"/>
      <c r="G990" s="27">
        <f>SUM(G991:G995)</f>
        <v>147999.59999999998</v>
      </c>
      <c r="H990" s="27">
        <f>IFERROR(G990*E988,"")</f>
        <v>0</v>
      </c>
    </row>
    <row r="991" spans="1:11" ht="25.5">
      <c r="A991" s="28"/>
      <c r="B991" s="29" t="s">
        <v>3101</v>
      </c>
      <c r="C991" s="30" t="str">
        <f>IFERROR(_xlfn.XLOOKUP(B991,Insumo[DESCRIPCION],Insumo[UND],,0),"")</f>
        <v>Un</v>
      </c>
      <c r="D991" s="31">
        <v>1</v>
      </c>
      <c r="E991" s="32">
        <f>IFERROR(_xlfn.XLOOKUP($B991,Insumo[DESCRIPCION],Insumo[VALOR],,0),"")</f>
        <v>134190</v>
      </c>
      <c r="F991" s="33"/>
      <c r="G991" s="34">
        <f>IFERROR(IF(F991&gt;=0,D991*E991*(1+F991/100),ABS(D991*E991/F991)),"")</f>
        <v>134190</v>
      </c>
      <c r="H991" s="43">
        <f>IFERROR(G991*E988,"")</f>
        <v>0</v>
      </c>
    </row>
    <row r="992" spans="1:11">
      <c r="A992" s="28"/>
      <c r="B992" s="29" t="s">
        <v>2800</v>
      </c>
      <c r="C992" s="30" t="str">
        <f>IFERROR(_xlfn.XLOOKUP(B992,Insumo[DESCRIPCION],Insumo[UND],,0),"")</f>
        <v>M</v>
      </c>
      <c r="D992" s="31">
        <v>1</v>
      </c>
      <c r="E992" s="32">
        <f>IFERROR(_xlfn.XLOOKUP($B992,Insumo[DESCRIPCION],Insumo[VALOR],,0),"")</f>
        <v>7387.8</v>
      </c>
      <c r="F992" s="33"/>
      <c r="G992" s="34">
        <f>IFERROR(IF(F992&gt;=0,D992*E992*(1+F992/100),ABS(D992*E992/F992)),"")</f>
        <v>7387.8</v>
      </c>
      <c r="H992" s="43">
        <f>IFERROR(G992*E988,"")</f>
        <v>0</v>
      </c>
    </row>
    <row r="993" spans="1:11">
      <c r="A993" s="28"/>
      <c r="B993" s="29" t="s">
        <v>2855</v>
      </c>
      <c r="C993" s="30" t="str">
        <f>IFERROR(_xlfn.XLOOKUP(B993,Insumo[DESCRIPCION],Insumo[UND],,0),"")</f>
        <v>Un</v>
      </c>
      <c r="D993" s="31">
        <v>1</v>
      </c>
      <c r="E993" s="32">
        <f>IFERROR(_xlfn.XLOOKUP($B993,Insumo[DESCRIPCION],Insumo[VALOR],,0),"")</f>
        <v>6421.8</v>
      </c>
      <c r="F993" s="33"/>
      <c r="G993" s="34">
        <f>IFERROR(IF(F993&gt;=0,D993*E993*(1+F993/100),ABS(D993*E993/F993)),"")</f>
        <v>6421.8</v>
      </c>
      <c r="H993" s="43">
        <f>IFERROR(G993*E988,"")</f>
        <v>0</v>
      </c>
    </row>
    <row r="994" spans="1:11">
      <c r="A994" s="28"/>
      <c r="B994" s="29"/>
      <c r="C994" s="30" t="str">
        <f>IFERROR(_xlfn.XLOOKUP(B994,Insumo[DESCRIPCION],Insumo[UND],,0),"")</f>
        <v/>
      </c>
      <c r="D994" s="31"/>
      <c r="E994" s="32" t="str">
        <f>IFERROR(_xlfn.XLOOKUP($B994,Insumo[DESCRIPCION],Insumo[VALOR],,0),"")</f>
        <v/>
      </c>
      <c r="F994" s="33"/>
      <c r="G994" s="34" t="str">
        <f>IFERROR(IF(F994&gt;=0,D994*E994*(1+F994/100),ABS(D994*E994/F994)),"")</f>
        <v/>
      </c>
      <c r="H994" s="43" t="str">
        <f>IFERROR(G994*E988,"")</f>
        <v/>
      </c>
    </row>
    <row r="995" spans="1:11">
      <c r="A995" s="28"/>
      <c r="B995" s="29"/>
      <c r="C995" s="30" t="str">
        <f>IFERROR(_xlfn.XLOOKUP(B995,Insumo[DESCRIPCION],Insumo[UND],,0),"")</f>
        <v/>
      </c>
      <c r="D995" s="31"/>
      <c r="E995" s="32" t="str">
        <f>IFERROR(_xlfn.XLOOKUP($B995,Insumo[DESCRIPCION],Insumo[VALOR],,0),"")</f>
        <v/>
      </c>
      <c r="F995" s="33"/>
      <c r="G995" s="34" t="str">
        <f>IFERROR(IF(F995&gt;=0,D995*E995*(1+F995/100),ABS(D995*E995/F995)),"")</f>
        <v/>
      </c>
      <c r="H995" s="43" t="str">
        <f>IFERROR(G995*E988,"")</f>
        <v/>
      </c>
    </row>
    <row r="996" spans="1:11">
      <c r="A996" s="21"/>
      <c r="B996" s="22" t="s">
        <v>3731</v>
      </c>
      <c r="C996" s="23"/>
      <c r="D996" s="24"/>
      <c r="E996" s="25"/>
      <c r="F996" s="26"/>
      <c r="G996" s="27">
        <f>SUM(G997:G999)</f>
        <v>2110.4934666562508</v>
      </c>
      <c r="H996" s="27">
        <f>IFERROR(G996*E988,"")</f>
        <v>0</v>
      </c>
    </row>
    <row r="997" spans="1:11">
      <c r="A997" s="28"/>
      <c r="B997" s="29" t="s">
        <v>3626</v>
      </c>
      <c r="C997" s="30" t="str">
        <f>IFERROR(_xlfn.XLOOKUP(B997,Equipo[DESCRIPCION],Equipo[UND],,0),"")</f>
        <v>%MO</v>
      </c>
      <c r="D997" s="31">
        <v>0.05</v>
      </c>
      <c r="E997" s="32">
        <f>IF(C997="%MO",G1003,IFERROR(_xlfn.XLOOKUP($B997,Equipo[DESCRIPCION],Equipo[VALOR],,0),""))</f>
        <v>42209.869333125011</v>
      </c>
      <c r="F997" s="33"/>
      <c r="G997" s="34">
        <f>IFERROR(IF(F997&gt;=0,D997*E997*(1+F997/100),ABS(D997*E997/F997)),"")</f>
        <v>2110.4934666562508</v>
      </c>
      <c r="H997" s="43">
        <f>IFERROR(G997*E988,"")</f>
        <v>0</v>
      </c>
    </row>
    <row r="998" spans="1:11">
      <c r="A998" s="28"/>
      <c r="B998" s="29"/>
      <c r="C998" s="30" t="str">
        <f>IFERROR(_xlfn.XLOOKUP(B998,Equipo[DESCRIPCION],Equipo[UND],,0),"")</f>
        <v/>
      </c>
      <c r="D998" s="31"/>
      <c r="E998" s="32" t="str">
        <f>IF(C998="%MO",G1003,IFERROR(_xlfn.XLOOKUP($B998,Equipo[DESCRIPCION],Equipo[VALOR],,0),""))</f>
        <v/>
      </c>
      <c r="F998" s="33"/>
      <c r="G998" s="34" t="str">
        <f>IFERROR(IF(F998&gt;=0,D998*E998*(1+F998/100),ABS(D998*E998/F998)),"")</f>
        <v/>
      </c>
      <c r="H998" s="43" t="str">
        <f>IFERROR(G998*E988,"")</f>
        <v/>
      </c>
    </row>
    <row r="999" spans="1:11">
      <c r="A999" s="28"/>
      <c r="B999" s="29"/>
      <c r="C999" s="30" t="str">
        <f>IFERROR(_xlfn.XLOOKUP(B999,Equipo[DESCRIPCION],Equipo[UND],,0),"")</f>
        <v/>
      </c>
      <c r="D999" s="31"/>
      <c r="E999" s="32" t="str">
        <f>IF(C999="%MO",G1003,IFERROR(_xlfn.XLOOKUP($B999,Equipo[DESCRIPCION],Equipo[VALOR],,0),""))</f>
        <v/>
      </c>
      <c r="F999" s="33"/>
      <c r="G999" s="34" t="str">
        <f>IFERROR(IF(F999&gt;=0,D999*E999*(1+F999/100),ABS(D999*E999/F999)),"")</f>
        <v/>
      </c>
      <c r="H999" s="43" t="str">
        <f>IFERROR(G999*E988,"")</f>
        <v/>
      </c>
    </row>
    <row r="1000" spans="1:11">
      <c r="A1000" s="21"/>
      <c r="B1000" s="22" t="s">
        <v>2533</v>
      </c>
      <c r="C1000" s="23"/>
      <c r="D1000" s="24"/>
      <c r="E1000" s="25"/>
      <c r="F1000" s="26"/>
      <c r="G1000" s="27">
        <f>SUM(G1001:G1002)</f>
        <v>0</v>
      </c>
      <c r="H1000" s="27">
        <f>IFERROR(G1000*E988,"")</f>
        <v>0</v>
      </c>
    </row>
    <row r="1001" spans="1:11">
      <c r="A1001" s="28"/>
      <c r="B1001" s="29"/>
      <c r="C1001" s="30" t="str">
        <f>IFERROR(_xlfn.XLOOKUP(B1001,Transporte[DESCRIPCION],Transporte[UND],,0),"")</f>
        <v/>
      </c>
      <c r="D1001" s="31"/>
      <c r="E1001" s="32" t="str">
        <f>IFERROR(_xlfn.XLOOKUP($B1001,Transporte[DESCRIPCION],Transporte[VALOR],,0),"")</f>
        <v/>
      </c>
      <c r="F1001" s="33"/>
      <c r="G1001" s="34" t="str">
        <f>IFERROR(IF(F1001&gt;=0,D1001*E1001*(1+F1001/100),ABS(D1001*E1001/F1001)),"")</f>
        <v/>
      </c>
      <c r="H1001" s="43" t="str">
        <f>IFERROR(G1001*E988,"")</f>
        <v/>
      </c>
    </row>
    <row r="1002" spans="1:11">
      <c r="A1002" s="28"/>
      <c r="B1002" s="29"/>
      <c r="C1002" s="30" t="str">
        <f>IFERROR(_xlfn.XLOOKUP(B1002,Transporte[DESCRIPCION],Transporte[UND],,0),"")</f>
        <v/>
      </c>
      <c r="D1002" s="31"/>
      <c r="E1002" s="32" t="str">
        <f>IFERROR(_xlfn.XLOOKUP($B1002,Transporte[DESCRIPCION],Transporte[VALOR],,0),"")</f>
        <v/>
      </c>
      <c r="F1002" s="33"/>
      <c r="G1002" s="34" t="str">
        <f>IFERROR(IF(F1002&gt;=0,D1002*E1002*(1+F1002/100),ABS(D1002*E1002/F1002)),"")</f>
        <v/>
      </c>
      <c r="H1002" s="43" t="str">
        <f>IFERROR(G1002*E988,"")</f>
        <v/>
      </c>
    </row>
    <row r="1003" spans="1:11">
      <c r="A1003" s="21"/>
      <c r="B1003" s="22" t="s">
        <v>3732</v>
      </c>
      <c r="C1003" s="23"/>
      <c r="D1003" s="24"/>
      <c r="E1003" s="25"/>
      <c r="F1003" s="26"/>
      <c r="G1003" s="27">
        <f>SUM(G1004:G1006)</f>
        <v>42209.869333125011</v>
      </c>
      <c r="H1003" s="27">
        <f>IFERROR(G1003*E988,"")</f>
        <v>0</v>
      </c>
    </row>
    <row r="1004" spans="1:11">
      <c r="A1004" s="28"/>
      <c r="B1004" s="29" t="s">
        <v>3715</v>
      </c>
      <c r="C1004" s="30" t="str">
        <f>IFERROR(_xlfn.XLOOKUP(B1004,MObra[DESCRIPCION],MObra[UN],,0),"")</f>
        <v>día</v>
      </c>
      <c r="D1004" s="31">
        <v>1</v>
      </c>
      <c r="E1004" s="32">
        <f>IFERROR(_xlfn.XLOOKUP($B1004,MObra[DESCRIPCION],MObra[VALOR UNIT],,0),"")</f>
        <v>337678.95466500008</v>
      </c>
      <c r="F1004" s="33">
        <v>-8</v>
      </c>
      <c r="G1004" s="34">
        <f>IFERROR(IF(F1004&gt;=0,D1004*E1004*(1+F1004/100),ABS(D1004*E1004/F1004)),"")</f>
        <v>42209.869333125011</v>
      </c>
      <c r="H1004" s="43">
        <f>IFERROR(G1004*E988,"")</f>
        <v>0</v>
      </c>
    </row>
    <row r="1005" spans="1:11">
      <c r="A1005" s="28"/>
      <c r="B1005" s="29"/>
      <c r="C1005" s="30" t="str">
        <f>IFERROR(_xlfn.XLOOKUP(B1005,MObra[DESCRIPCION],MObra[UN],,0),"")</f>
        <v/>
      </c>
      <c r="D1005" s="31"/>
      <c r="E1005" s="32" t="str">
        <f>IFERROR(_xlfn.XLOOKUP($B1005,MObra[DESCRIPCION],MObra[VALOR UNIT],,0),"")</f>
        <v/>
      </c>
      <c r="F1005" s="33"/>
      <c r="G1005" s="34" t="str">
        <f>IFERROR(IF(F1005&gt;=0,D1005*E1005*(1+F1005/100),ABS(D1005*E1005/F1005)),"")</f>
        <v/>
      </c>
      <c r="H1005" s="43" t="str">
        <f>IFERROR(G1005*E988,"")</f>
        <v/>
      </c>
    </row>
    <row r="1006" spans="1:11">
      <c r="A1006" s="35"/>
      <c r="B1006" s="36"/>
      <c r="C1006" s="37" t="str">
        <f>IFERROR(_xlfn.XLOOKUP(B1006,MObra[DESCRIPCION],MObra[UN],,0),"")</f>
        <v/>
      </c>
      <c r="D1006" s="38"/>
      <c r="E1006" s="39" t="str">
        <f>IFERROR(_xlfn.XLOOKUP($B1006,MObra[DESCRIPCION],MObra[VALOR UNIT],,0),"")</f>
        <v/>
      </c>
      <c r="F1006" s="40"/>
      <c r="G1006" s="41" t="str">
        <f>IFERROR(IF(F1006&gt;=0,D1006*E1006*(1+F1006/100),ABS(D1006*E1006/F1006)),"")</f>
        <v/>
      </c>
      <c r="H1006" s="42" t="str">
        <f>IFERROR(G1006*E988,"")</f>
        <v/>
      </c>
    </row>
    <row r="1008" spans="1:11" ht="25.5">
      <c r="A1008" s="6" t="s">
        <v>2360</v>
      </c>
      <c r="B1008" s="7" t="str">
        <f>VLOOKUP($A1008,Presupuesto!$A:$D,2,FALSE())</f>
        <v>Luminaria LED Uplight empotrado en piso 9w, 720 lm 3000k blanco cálido para iluminación exterior, diámetro 20 cm, VU&gt;=30000h@l70, ip67, ik 10</v>
      </c>
      <c r="C1008" s="8" t="str">
        <f>VLOOKUP($A1008,Presupuesto!$A:$D,3,FALSE())</f>
        <v>Un</v>
      </c>
      <c r="D1008" s="9"/>
      <c r="E1008" s="10">
        <f>VLOOKUP($A1008,Presupuesto!$A:$D,4,FALSE())</f>
        <v>0</v>
      </c>
      <c r="F1008" s="11" t="s">
        <v>2589</v>
      </c>
      <c r="G1008" s="12">
        <f>SUM(G1010:G1026)/2</f>
        <v>314004.46279978135</v>
      </c>
      <c r="H1008" s="13">
        <f>ROUND(SUM(H1010:H1026),0)/2</f>
        <v>0</v>
      </c>
      <c r="I1008" s="10">
        <f>VLOOKUP(A1008,Presupuesto!$A:$F,6,0)</f>
        <v>0</v>
      </c>
      <c r="J1008" s="10">
        <f>+H1008-I1008</f>
        <v>0</v>
      </c>
      <c r="K1008" s="46">
        <f>+H1008-G1008*E1008</f>
        <v>0</v>
      </c>
    </row>
    <row r="1009" spans="1:8">
      <c r="A1009" s="14"/>
      <c r="B1009" s="15" t="s">
        <v>2586</v>
      </c>
      <c r="C1009" s="15" t="s">
        <v>5</v>
      </c>
      <c r="D1009" s="16" t="s">
        <v>6</v>
      </c>
      <c r="E1009" s="17" t="s">
        <v>7</v>
      </c>
      <c r="F1009" s="18" t="s">
        <v>3728</v>
      </c>
      <c r="G1009" s="19" t="s">
        <v>3729</v>
      </c>
      <c r="H1009" s="20" t="s">
        <v>3797</v>
      </c>
    </row>
    <row r="1010" spans="1:8">
      <c r="A1010" s="21"/>
      <c r="B1010" s="22" t="s">
        <v>3730</v>
      </c>
      <c r="C1010" s="23"/>
      <c r="D1010" s="24"/>
      <c r="E1010" s="25"/>
      <c r="F1010" s="26"/>
      <c r="G1010" s="27">
        <f>SUM(G1011:G1015)</f>
        <v>269684.09999999998</v>
      </c>
      <c r="H1010" s="27">
        <f>IFERROR(G1010*E1008,"")</f>
        <v>0</v>
      </c>
    </row>
    <row r="1011" spans="1:8" ht="25.5">
      <c r="A1011" s="28"/>
      <c r="B1011" s="29" t="s">
        <v>3102</v>
      </c>
      <c r="C1011" s="30" t="str">
        <f>IFERROR(_xlfn.XLOOKUP(B1011,Insumo[DESCRIPCION],Insumo[UND],,0),"")</f>
        <v>Un</v>
      </c>
      <c r="D1011" s="31">
        <v>1</v>
      </c>
      <c r="E1011" s="32">
        <f>IFERROR(_xlfn.XLOOKUP($B1011,Insumo[DESCRIPCION],Insumo[VALOR],,0),"")</f>
        <v>255874.5</v>
      </c>
      <c r="F1011" s="33"/>
      <c r="G1011" s="34">
        <f>IFERROR(IF(F1011&gt;=0,D1011*E1011*(1+F1011/100),ABS(D1011*E1011/F1011)),"")</f>
        <v>255874.5</v>
      </c>
      <c r="H1011" s="43">
        <f>IFERROR(G1011*E1008,"")</f>
        <v>0</v>
      </c>
    </row>
    <row r="1012" spans="1:8">
      <c r="A1012" s="28"/>
      <c r="B1012" s="29" t="s">
        <v>2800</v>
      </c>
      <c r="C1012" s="30" t="str">
        <f>IFERROR(_xlfn.XLOOKUP(B1012,Insumo[DESCRIPCION],Insumo[UND],,0),"")</f>
        <v>M</v>
      </c>
      <c r="D1012" s="31">
        <v>1</v>
      </c>
      <c r="E1012" s="32">
        <f>IFERROR(_xlfn.XLOOKUP($B1012,Insumo[DESCRIPCION],Insumo[VALOR],,0),"")</f>
        <v>7387.8</v>
      </c>
      <c r="F1012" s="33"/>
      <c r="G1012" s="34">
        <f>IFERROR(IF(F1012&gt;=0,D1012*E1012*(1+F1012/100),ABS(D1012*E1012/F1012)),"")</f>
        <v>7387.8</v>
      </c>
      <c r="H1012" s="43">
        <f>IFERROR(G1012*E1008,"")</f>
        <v>0</v>
      </c>
    </row>
    <row r="1013" spans="1:8">
      <c r="A1013" s="28"/>
      <c r="B1013" s="29" t="s">
        <v>2855</v>
      </c>
      <c r="C1013" s="30" t="str">
        <f>IFERROR(_xlfn.XLOOKUP(B1013,Insumo[DESCRIPCION],Insumo[UND],,0),"")</f>
        <v>Un</v>
      </c>
      <c r="D1013" s="31">
        <v>1</v>
      </c>
      <c r="E1013" s="32">
        <f>IFERROR(_xlfn.XLOOKUP($B1013,Insumo[DESCRIPCION],Insumo[VALOR],,0),"")</f>
        <v>6421.8</v>
      </c>
      <c r="F1013" s="33"/>
      <c r="G1013" s="34">
        <f>IFERROR(IF(F1013&gt;=0,D1013*E1013*(1+F1013/100),ABS(D1013*E1013/F1013)),"")</f>
        <v>6421.8</v>
      </c>
      <c r="H1013" s="43">
        <f>IFERROR(G1013*E1008,"")</f>
        <v>0</v>
      </c>
    </row>
    <row r="1014" spans="1:8">
      <c r="A1014" s="28"/>
      <c r="B1014" s="29"/>
      <c r="C1014" s="30" t="str">
        <f>IFERROR(_xlfn.XLOOKUP(B1014,Insumo[DESCRIPCION],Insumo[UND],,0),"")</f>
        <v/>
      </c>
      <c r="D1014" s="31"/>
      <c r="E1014" s="32" t="str">
        <f>IFERROR(_xlfn.XLOOKUP($B1014,Insumo[DESCRIPCION],Insumo[VALOR],,0),"")</f>
        <v/>
      </c>
      <c r="F1014" s="33"/>
      <c r="G1014" s="34" t="str">
        <f>IFERROR(IF(F1014&gt;=0,D1014*E1014*(1+F1014/100),ABS(D1014*E1014/F1014)),"")</f>
        <v/>
      </c>
      <c r="H1014" s="43" t="str">
        <f>IFERROR(G1014*E1008,"")</f>
        <v/>
      </c>
    </row>
    <row r="1015" spans="1:8">
      <c r="A1015" s="28"/>
      <c r="B1015" s="29"/>
      <c r="C1015" s="30" t="str">
        <f>IFERROR(_xlfn.XLOOKUP(B1015,Insumo[DESCRIPCION],Insumo[UND],,0),"")</f>
        <v/>
      </c>
      <c r="D1015" s="31"/>
      <c r="E1015" s="32" t="str">
        <f>IFERROR(_xlfn.XLOOKUP($B1015,Insumo[DESCRIPCION],Insumo[VALOR],,0),"")</f>
        <v/>
      </c>
      <c r="F1015" s="33"/>
      <c r="G1015" s="34" t="str">
        <f>IFERROR(IF(F1015&gt;=0,D1015*E1015*(1+F1015/100),ABS(D1015*E1015/F1015)),"")</f>
        <v/>
      </c>
      <c r="H1015" s="43" t="str">
        <f>IFERROR(G1015*E1008,"")</f>
        <v/>
      </c>
    </row>
    <row r="1016" spans="1:8">
      <c r="A1016" s="21"/>
      <c r="B1016" s="22" t="s">
        <v>3731</v>
      </c>
      <c r="C1016" s="23"/>
      <c r="D1016" s="24"/>
      <c r="E1016" s="25"/>
      <c r="F1016" s="26"/>
      <c r="G1016" s="27">
        <f>SUM(G1017:G1019)</f>
        <v>2110.4934666562508</v>
      </c>
      <c r="H1016" s="27">
        <f>IFERROR(G1016*E1008,"")</f>
        <v>0</v>
      </c>
    </row>
    <row r="1017" spans="1:8">
      <c r="A1017" s="28"/>
      <c r="B1017" s="29" t="s">
        <v>3626</v>
      </c>
      <c r="C1017" s="30" t="str">
        <f>IFERROR(_xlfn.XLOOKUP(B1017,Equipo[DESCRIPCION],Equipo[UND],,0),"")</f>
        <v>%MO</v>
      </c>
      <c r="D1017" s="31">
        <v>0.05</v>
      </c>
      <c r="E1017" s="32">
        <f>IF(C1017="%MO",G1023,IFERROR(_xlfn.XLOOKUP($B1017,Equipo[DESCRIPCION],Equipo[VALOR],,0),""))</f>
        <v>42209.869333125011</v>
      </c>
      <c r="F1017" s="33"/>
      <c r="G1017" s="34">
        <f>IFERROR(IF(F1017&gt;=0,D1017*E1017*(1+F1017/100),ABS(D1017*E1017/F1017)),"")</f>
        <v>2110.4934666562508</v>
      </c>
      <c r="H1017" s="43">
        <f>IFERROR(G1017*E1008,"")</f>
        <v>0</v>
      </c>
    </row>
    <row r="1018" spans="1:8">
      <c r="A1018" s="28"/>
      <c r="B1018" s="29"/>
      <c r="C1018" s="30" t="str">
        <f>IFERROR(_xlfn.XLOOKUP(B1018,Equipo[DESCRIPCION],Equipo[UND],,0),"")</f>
        <v/>
      </c>
      <c r="D1018" s="31"/>
      <c r="E1018" s="32" t="str">
        <f>IF(C1018="%MO",G1023,IFERROR(_xlfn.XLOOKUP($B1018,Equipo[DESCRIPCION],Equipo[VALOR],,0),""))</f>
        <v/>
      </c>
      <c r="F1018" s="33"/>
      <c r="G1018" s="34" t="str">
        <f>IFERROR(IF(F1018&gt;=0,D1018*E1018*(1+F1018/100),ABS(D1018*E1018/F1018)),"")</f>
        <v/>
      </c>
      <c r="H1018" s="43" t="str">
        <f>IFERROR(G1018*E1008,"")</f>
        <v/>
      </c>
    </row>
    <row r="1019" spans="1:8">
      <c r="A1019" s="28"/>
      <c r="B1019" s="29"/>
      <c r="C1019" s="30" t="str">
        <f>IFERROR(_xlfn.XLOOKUP(B1019,Equipo[DESCRIPCION],Equipo[UND],,0),"")</f>
        <v/>
      </c>
      <c r="D1019" s="31"/>
      <c r="E1019" s="32" t="str">
        <f>IF(C1019="%MO",G1023,IFERROR(_xlfn.XLOOKUP($B1019,Equipo[DESCRIPCION],Equipo[VALOR],,0),""))</f>
        <v/>
      </c>
      <c r="F1019" s="33"/>
      <c r="G1019" s="34" t="str">
        <f>IFERROR(IF(F1019&gt;=0,D1019*E1019*(1+F1019/100),ABS(D1019*E1019/F1019)),"")</f>
        <v/>
      </c>
      <c r="H1019" s="43" t="str">
        <f>IFERROR(G1019*E1008,"")</f>
        <v/>
      </c>
    </row>
    <row r="1020" spans="1:8">
      <c r="A1020" s="21"/>
      <c r="B1020" s="22" t="s">
        <v>2533</v>
      </c>
      <c r="C1020" s="23"/>
      <c r="D1020" s="24"/>
      <c r="E1020" s="25"/>
      <c r="F1020" s="26"/>
      <c r="G1020" s="27">
        <f>SUM(G1021:G1022)</f>
        <v>0</v>
      </c>
      <c r="H1020" s="27">
        <f>IFERROR(G1020*E1008,"")</f>
        <v>0</v>
      </c>
    </row>
    <row r="1021" spans="1:8">
      <c r="A1021" s="28"/>
      <c r="B1021" s="29"/>
      <c r="C1021" s="30" t="str">
        <f>IFERROR(_xlfn.XLOOKUP(B1021,Transporte[DESCRIPCION],Transporte[UND],,0),"")</f>
        <v/>
      </c>
      <c r="D1021" s="31"/>
      <c r="E1021" s="32" t="str">
        <f>IFERROR(_xlfn.XLOOKUP($B1021,Transporte[DESCRIPCION],Transporte[VALOR],,0),"")</f>
        <v/>
      </c>
      <c r="F1021" s="33"/>
      <c r="G1021" s="34" t="str">
        <f>IFERROR(IF(F1021&gt;=0,D1021*E1021*(1+F1021/100),ABS(D1021*E1021/F1021)),"")</f>
        <v/>
      </c>
      <c r="H1021" s="43" t="str">
        <f>IFERROR(G1021*E1008,"")</f>
        <v/>
      </c>
    </row>
    <row r="1022" spans="1:8">
      <c r="A1022" s="28"/>
      <c r="B1022" s="29"/>
      <c r="C1022" s="30" t="str">
        <f>IFERROR(_xlfn.XLOOKUP(B1022,Transporte[DESCRIPCION],Transporte[UND],,0),"")</f>
        <v/>
      </c>
      <c r="D1022" s="31"/>
      <c r="E1022" s="32" t="str">
        <f>IFERROR(_xlfn.XLOOKUP($B1022,Transporte[DESCRIPCION],Transporte[VALOR],,0),"")</f>
        <v/>
      </c>
      <c r="F1022" s="33"/>
      <c r="G1022" s="34" t="str">
        <f>IFERROR(IF(F1022&gt;=0,D1022*E1022*(1+F1022/100),ABS(D1022*E1022/F1022)),"")</f>
        <v/>
      </c>
      <c r="H1022" s="43" t="str">
        <f>IFERROR(G1022*E1008,"")</f>
        <v/>
      </c>
    </row>
    <row r="1023" spans="1:8">
      <c r="A1023" s="21"/>
      <c r="B1023" s="22" t="s">
        <v>3732</v>
      </c>
      <c r="C1023" s="23"/>
      <c r="D1023" s="24"/>
      <c r="E1023" s="25"/>
      <c r="F1023" s="26"/>
      <c r="G1023" s="27">
        <f>SUM(G1024:G1026)</f>
        <v>42209.869333125011</v>
      </c>
      <c r="H1023" s="27">
        <f>IFERROR(G1023*E1008,"")</f>
        <v>0</v>
      </c>
    </row>
    <row r="1024" spans="1:8">
      <c r="A1024" s="28"/>
      <c r="B1024" s="29" t="s">
        <v>3715</v>
      </c>
      <c r="C1024" s="30" t="str">
        <f>IFERROR(_xlfn.XLOOKUP(B1024,MObra[DESCRIPCION],MObra[UN],,0),"")</f>
        <v>día</v>
      </c>
      <c r="D1024" s="31">
        <v>1</v>
      </c>
      <c r="E1024" s="32">
        <f>IFERROR(_xlfn.XLOOKUP($B1024,MObra[DESCRIPCION],MObra[VALOR UNIT],,0),"")</f>
        <v>337678.95466500008</v>
      </c>
      <c r="F1024" s="33">
        <v>-8</v>
      </c>
      <c r="G1024" s="34">
        <f>IFERROR(IF(F1024&gt;=0,D1024*E1024*(1+F1024/100),ABS(D1024*E1024/F1024)),"")</f>
        <v>42209.869333125011</v>
      </c>
      <c r="H1024" s="43">
        <f>IFERROR(G1024*E1008,"")</f>
        <v>0</v>
      </c>
    </row>
    <row r="1025" spans="1:11">
      <c r="A1025" s="28"/>
      <c r="B1025" s="29"/>
      <c r="C1025" s="30" t="str">
        <f>IFERROR(_xlfn.XLOOKUP(B1025,MObra[DESCRIPCION],MObra[UN],,0),"")</f>
        <v/>
      </c>
      <c r="D1025" s="31"/>
      <c r="E1025" s="32" t="str">
        <f>IFERROR(_xlfn.XLOOKUP($B1025,MObra[DESCRIPCION],MObra[VALOR UNIT],,0),"")</f>
        <v/>
      </c>
      <c r="F1025" s="33"/>
      <c r="G1025" s="34" t="str">
        <f>IFERROR(IF(F1025&gt;=0,D1025*E1025*(1+F1025/100),ABS(D1025*E1025/F1025)),"")</f>
        <v/>
      </c>
      <c r="H1025" s="43" t="str">
        <f>IFERROR(G1025*E1008,"")</f>
        <v/>
      </c>
    </row>
    <row r="1026" spans="1:11">
      <c r="A1026" s="35"/>
      <c r="B1026" s="36"/>
      <c r="C1026" s="37" t="str">
        <f>IFERROR(_xlfn.XLOOKUP(B1026,MObra[DESCRIPCION],MObra[UN],,0),"")</f>
        <v/>
      </c>
      <c r="D1026" s="38"/>
      <c r="E1026" s="39" t="str">
        <f>IFERROR(_xlfn.XLOOKUP($B1026,MObra[DESCRIPCION],MObra[VALOR UNIT],,0),"")</f>
        <v/>
      </c>
      <c r="F1026" s="40"/>
      <c r="G1026" s="41" t="str">
        <f>IFERROR(IF(F1026&gt;=0,D1026*E1026*(1+F1026/100),ABS(D1026*E1026/F1026)),"")</f>
        <v/>
      </c>
      <c r="H1026" s="42" t="str">
        <f>IFERROR(G1026*E1008,"")</f>
        <v/>
      </c>
    </row>
    <row r="1028" spans="1:11" ht="25.5">
      <c r="A1028" s="6" t="s">
        <v>2362</v>
      </c>
      <c r="B1028" s="7" t="str">
        <f>VLOOKUP($A1028,Presupuesto!$A:$D,2,FALSE())</f>
        <v>Luminaria LED Uplight empotrado en piso 18w, 1440 lm 3000k blanco cálido para iluminación exterior, diámetro 20 cm, VU&gt;=30000h@l70, ip67, ik 10</v>
      </c>
      <c r="C1028" s="8" t="str">
        <f>VLOOKUP($A1028,Presupuesto!$A:$D,3,FALSE())</f>
        <v>Un</v>
      </c>
      <c r="D1028" s="9"/>
      <c r="E1028" s="10">
        <f>VLOOKUP($A1028,Presupuesto!$A:$D,4,FALSE())</f>
        <v>0</v>
      </c>
      <c r="F1028" s="11" t="s">
        <v>2589</v>
      </c>
      <c r="G1028" s="12">
        <f>SUM(G1030:G1046)/2</f>
        <v>424718.56279978133</v>
      </c>
      <c r="H1028" s="13">
        <f>ROUND(SUM(H1030:H1046),0)/2</f>
        <v>0</v>
      </c>
      <c r="I1028" s="10">
        <f>VLOOKUP(A1028,Presupuesto!$A:$F,6,0)</f>
        <v>0</v>
      </c>
      <c r="J1028" s="10">
        <f>+H1028-I1028</f>
        <v>0</v>
      </c>
      <c r="K1028" s="46">
        <f>+H1028-G1028*E1028</f>
        <v>0</v>
      </c>
    </row>
    <row r="1029" spans="1:11">
      <c r="A1029" s="14"/>
      <c r="B1029" s="15" t="s">
        <v>2586</v>
      </c>
      <c r="C1029" s="15" t="s">
        <v>5</v>
      </c>
      <c r="D1029" s="16" t="s">
        <v>6</v>
      </c>
      <c r="E1029" s="17" t="s">
        <v>7</v>
      </c>
      <c r="F1029" s="18" t="s">
        <v>3728</v>
      </c>
      <c r="G1029" s="19" t="s">
        <v>3729</v>
      </c>
      <c r="H1029" s="20" t="s">
        <v>3797</v>
      </c>
    </row>
    <row r="1030" spans="1:11">
      <c r="A1030" s="21"/>
      <c r="B1030" s="22" t="s">
        <v>3730</v>
      </c>
      <c r="C1030" s="23"/>
      <c r="D1030" s="24"/>
      <c r="E1030" s="25"/>
      <c r="F1030" s="26"/>
      <c r="G1030" s="27">
        <f>SUM(G1031:G1035)</f>
        <v>380398.2</v>
      </c>
      <c r="H1030" s="27">
        <f>IFERROR(G1030*E1028,"")</f>
        <v>0</v>
      </c>
    </row>
    <row r="1031" spans="1:11" ht="25.5">
      <c r="A1031" s="28"/>
      <c r="B1031" s="29" t="s">
        <v>3103</v>
      </c>
      <c r="C1031" s="30" t="str">
        <f>IFERROR(_xlfn.XLOOKUP(B1031,Insumo[DESCRIPCION],Insumo[UND],,0),"")</f>
        <v>Un</v>
      </c>
      <c r="D1031" s="31">
        <v>1</v>
      </c>
      <c r="E1031" s="32">
        <f>IFERROR(_xlfn.XLOOKUP($B1031,Insumo[DESCRIPCION],Insumo[VALOR],,0),"")</f>
        <v>366588.60000000003</v>
      </c>
      <c r="F1031" s="33"/>
      <c r="G1031" s="34">
        <f>IFERROR(IF(F1031&gt;=0,D1031*E1031*(1+F1031/100),ABS(D1031*E1031/F1031)),"")</f>
        <v>366588.60000000003</v>
      </c>
      <c r="H1031" s="43">
        <f>IFERROR(G1031*E1028,"")</f>
        <v>0</v>
      </c>
    </row>
    <row r="1032" spans="1:11">
      <c r="A1032" s="28"/>
      <c r="B1032" s="29" t="s">
        <v>2800</v>
      </c>
      <c r="C1032" s="30" t="str">
        <f>IFERROR(_xlfn.XLOOKUP(B1032,Insumo[DESCRIPCION],Insumo[UND],,0),"")</f>
        <v>M</v>
      </c>
      <c r="D1032" s="31">
        <v>1</v>
      </c>
      <c r="E1032" s="32">
        <f>IFERROR(_xlfn.XLOOKUP($B1032,Insumo[DESCRIPCION],Insumo[VALOR],,0),"")</f>
        <v>7387.8</v>
      </c>
      <c r="F1032" s="33"/>
      <c r="G1032" s="34">
        <f>IFERROR(IF(F1032&gt;=0,D1032*E1032*(1+F1032/100),ABS(D1032*E1032/F1032)),"")</f>
        <v>7387.8</v>
      </c>
      <c r="H1032" s="43">
        <f>IFERROR(G1032*E1028,"")</f>
        <v>0</v>
      </c>
    </row>
    <row r="1033" spans="1:11">
      <c r="A1033" s="28"/>
      <c r="B1033" s="29" t="s">
        <v>2855</v>
      </c>
      <c r="C1033" s="30" t="str">
        <f>IFERROR(_xlfn.XLOOKUP(B1033,Insumo[DESCRIPCION],Insumo[UND],,0),"")</f>
        <v>Un</v>
      </c>
      <c r="D1033" s="31">
        <v>1</v>
      </c>
      <c r="E1033" s="32">
        <f>IFERROR(_xlfn.XLOOKUP($B1033,Insumo[DESCRIPCION],Insumo[VALOR],,0),"")</f>
        <v>6421.8</v>
      </c>
      <c r="F1033" s="33"/>
      <c r="G1033" s="34">
        <f>IFERROR(IF(F1033&gt;=0,D1033*E1033*(1+F1033/100),ABS(D1033*E1033/F1033)),"")</f>
        <v>6421.8</v>
      </c>
      <c r="H1033" s="43">
        <f>IFERROR(G1033*E1028,"")</f>
        <v>0</v>
      </c>
    </row>
    <row r="1034" spans="1:11">
      <c r="A1034" s="28"/>
      <c r="B1034" s="29"/>
      <c r="C1034" s="30" t="str">
        <f>IFERROR(_xlfn.XLOOKUP(B1034,Insumo[DESCRIPCION],Insumo[UND],,0),"")</f>
        <v/>
      </c>
      <c r="D1034" s="31"/>
      <c r="E1034" s="32" t="str">
        <f>IFERROR(_xlfn.XLOOKUP($B1034,Insumo[DESCRIPCION],Insumo[VALOR],,0),"")</f>
        <v/>
      </c>
      <c r="F1034" s="33"/>
      <c r="G1034" s="34" t="str">
        <f>IFERROR(IF(F1034&gt;=0,D1034*E1034*(1+F1034/100),ABS(D1034*E1034/F1034)),"")</f>
        <v/>
      </c>
      <c r="H1034" s="43" t="str">
        <f>IFERROR(G1034*E1028,"")</f>
        <v/>
      </c>
    </row>
    <row r="1035" spans="1:11">
      <c r="A1035" s="28"/>
      <c r="B1035" s="29"/>
      <c r="C1035" s="30" t="str">
        <f>IFERROR(_xlfn.XLOOKUP(B1035,Insumo[DESCRIPCION],Insumo[UND],,0),"")</f>
        <v/>
      </c>
      <c r="D1035" s="31"/>
      <c r="E1035" s="32" t="str">
        <f>IFERROR(_xlfn.XLOOKUP($B1035,Insumo[DESCRIPCION],Insumo[VALOR],,0),"")</f>
        <v/>
      </c>
      <c r="F1035" s="33"/>
      <c r="G1035" s="34" t="str">
        <f>IFERROR(IF(F1035&gt;=0,D1035*E1035*(1+F1035/100),ABS(D1035*E1035/F1035)),"")</f>
        <v/>
      </c>
      <c r="H1035" s="43" t="str">
        <f>IFERROR(G1035*E1028,"")</f>
        <v/>
      </c>
    </row>
    <row r="1036" spans="1:11">
      <c r="A1036" s="21"/>
      <c r="B1036" s="22" t="s">
        <v>3731</v>
      </c>
      <c r="C1036" s="23"/>
      <c r="D1036" s="24"/>
      <c r="E1036" s="25"/>
      <c r="F1036" s="26"/>
      <c r="G1036" s="27">
        <f>SUM(G1037:G1039)</f>
        <v>2110.4934666562508</v>
      </c>
      <c r="H1036" s="27">
        <f>IFERROR(G1036*E1028,"")</f>
        <v>0</v>
      </c>
    </row>
    <row r="1037" spans="1:11">
      <c r="A1037" s="28"/>
      <c r="B1037" s="29" t="s">
        <v>3626</v>
      </c>
      <c r="C1037" s="30" t="str">
        <f>IFERROR(_xlfn.XLOOKUP(B1037,Equipo[DESCRIPCION],Equipo[UND],,0),"")</f>
        <v>%MO</v>
      </c>
      <c r="D1037" s="31">
        <v>0.05</v>
      </c>
      <c r="E1037" s="32">
        <f>IF(C1037="%MO",G1043,IFERROR(_xlfn.XLOOKUP($B1037,Equipo[DESCRIPCION],Equipo[VALOR],,0),""))</f>
        <v>42209.869333125011</v>
      </c>
      <c r="F1037" s="33"/>
      <c r="G1037" s="34">
        <f>IFERROR(IF(F1037&gt;=0,D1037*E1037*(1+F1037/100),ABS(D1037*E1037/F1037)),"")</f>
        <v>2110.4934666562508</v>
      </c>
      <c r="H1037" s="43">
        <f>IFERROR(G1037*E1028,"")</f>
        <v>0</v>
      </c>
    </row>
    <row r="1038" spans="1:11">
      <c r="A1038" s="28"/>
      <c r="B1038" s="29"/>
      <c r="C1038" s="30" t="str">
        <f>IFERROR(_xlfn.XLOOKUP(B1038,Equipo[DESCRIPCION],Equipo[UND],,0),"")</f>
        <v/>
      </c>
      <c r="D1038" s="31"/>
      <c r="E1038" s="32" t="str">
        <f>IF(C1038="%MO",G1043,IFERROR(_xlfn.XLOOKUP($B1038,Equipo[DESCRIPCION],Equipo[VALOR],,0),""))</f>
        <v/>
      </c>
      <c r="F1038" s="33"/>
      <c r="G1038" s="34" t="str">
        <f>IFERROR(IF(F1038&gt;=0,D1038*E1038*(1+F1038/100),ABS(D1038*E1038/F1038)),"")</f>
        <v/>
      </c>
      <c r="H1038" s="43" t="str">
        <f>IFERROR(G1038*E1028,"")</f>
        <v/>
      </c>
    </row>
    <row r="1039" spans="1:11">
      <c r="A1039" s="28"/>
      <c r="B1039" s="29"/>
      <c r="C1039" s="30" t="str">
        <f>IFERROR(_xlfn.XLOOKUP(B1039,Equipo[DESCRIPCION],Equipo[UND],,0),"")</f>
        <v/>
      </c>
      <c r="D1039" s="31"/>
      <c r="E1039" s="32" t="str">
        <f>IF(C1039="%MO",G1043,IFERROR(_xlfn.XLOOKUP($B1039,Equipo[DESCRIPCION],Equipo[VALOR],,0),""))</f>
        <v/>
      </c>
      <c r="F1039" s="33"/>
      <c r="G1039" s="34" t="str">
        <f>IFERROR(IF(F1039&gt;=0,D1039*E1039*(1+F1039/100),ABS(D1039*E1039/F1039)),"")</f>
        <v/>
      </c>
      <c r="H1039" s="43" t="str">
        <f>IFERROR(G1039*E1028,"")</f>
        <v/>
      </c>
    </row>
    <row r="1040" spans="1:11">
      <c r="A1040" s="21"/>
      <c r="B1040" s="22" t="s">
        <v>2533</v>
      </c>
      <c r="C1040" s="23"/>
      <c r="D1040" s="24"/>
      <c r="E1040" s="25"/>
      <c r="F1040" s="26"/>
      <c r="G1040" s="27">
        <f>SUM(G1041:G1042)</f>
        <v>0</v>
      </c>
      <c r="H1040" s="27">
        <f>IFERROR(G1040*E1028,"")</f>
        <v>0</v>
      </c>
    </row>
    <row r="1041" spans="1:11">
      <c r="A1041" s="28"/>
      <c r="B1041" s="29"/>
      <c r="C1041" s="30" t="str">
        <f>IFERROR(_xlfn.XLOOKUP(B1041,Transporte[DESCRIPCION],Transporte[UND],,0),"")</f>
        <v/>
      </c>
      <c r="D1041" s="31"/>
      <c r="E1041" s="32" t="str">
        <f>IFERROR(_xlfn.XLOOKUP($B1041,Transporte[DESCRIPCION],Transporte[VALOR],,0),"")</f>
        <v/>
      </c>
      <c r="F1041" s="33"/>
      <c r="G1041" s="34" t="str">
        <f>IFERROR(IF(F1041&gt;=0,D1041*E1041*(1+F1041/100),ABS(D1041*E1041/F1041)),"")</f>
        <v/>
      </c>
      <c r="H1041" s="43" t="str">
        <f>IFERROR(G1041*E1028,"")</f>
        <v/>
      </c>
    </row>
    <row r="1042" spans="1:11">
      <c r="A1042" s="28"/>
      <c r="B1042" s="29"/>
      <c r="C1042" s="30" t="str">
        <f>IFERROR(_xlfn.XLOOKUP(B1042,Transporte[DESCRIPCION],Transporte[UND],,0),"")</f>
        <v/>
      </c>
      <c r="D1042" s="31"/>
      <c r="E1042" s="32" t="str">
        <f>IFERROR(_xlfn.XLOOKUP($B1042,Transporte[DESCRIPCION],Transporte[VALOR],,0),"")</f>
        <v/>
      </c>
      <c r="F1042" s="33"/>
      <c r="G1042" s="34" t="str">
        <f>IFERROR(IF(F1042&gt;=0,D1042*E1042*(1+F1042/100),ABS(D1042*E1042/F1042)),"")</f>
        <v/>
      </c>
      <c r="H1042" s="43" t="str">
        <f>IFERROR(G1042*E1028,"")</f>
        <v/>
      </c>
    </row>
    <row r="1043" spans="1:11">
      <c r="A1043" s="21"/>
      <c r="B1043" s="22" t="s">
        <v>3732</v>
      </c>
      <c r="C1043" s="23"/>
      <c r="D1043" s="24"/>
      <c r="E1043" s="25"/>
      <c r="F1043" s="26"/>
      <c r="G1043" s="27">
        <f>SUM(G1044:G1046)</f>
        <v>42209.869333125011</v>
      </c>
      <c r="H1043" s="27">
        <f>IFERROR(G1043*E1028,"")</f>
        <v>0</v>
      </c>
    </row>
    <row r="1044" spans="1:11">
      <c r="A1044" s="28"/>
      <c r="B1044" s="29" t="s">
        <v>3715</v>
      </c>
      <c r="C1044" s="30" t="str">
        <f>IFERROR(_xlfn.XLOOKUP(B1044,MObra[DESCRIPCION],MObra[UN],,0),"")</f>
        <v>día</v>
      </c>
      <c r="D1044" s="31">
        <v>1</v>
      </c>
      <c r="E1044" s="32">
        <f>IFERROR(_xlfn.XLOOKUP($B1044,MObra[DESCRIPCION],MObra[VALOR UNIT],,0),"")</f>
        <v>337678.95466500008</v>
      </c>
      <c r="F1044" s="33">
        <v>-8</v>
      </c>
      <c r="G1044" s="34">
        <f>IFERROR(IF(F1044&gt;=0,D1044*E1044*(1+F1044/100),ABS(D1044*E1044/F1044)),"")</f>
        <v>42209.869333125011</v>
      </c>
      <c r="H1044" s="43">
        <f>IFERROR(G1044*E1028,"")</f>
        <v>0</v>
      </c>
    </row>
    <row r="1045" spans="1:11">
      <c r="A1045" s="28"/>
      <c r="B1045" s="29"/>
      <c r="C1045" s="30" t="str">
        <f>IFERROR(_xlfn.XLOOKUP(B1045,MObra[DESCRIPCION],MObra[UN],,0),"")</f>
        <v/>
      </c>
      <c r="D1045" s="31"/>
      <c r="E1045" s="32" t="str">
        <f>IFERROR(_xlfn.XLOOKUP($B1045,MObra[DESCRIPCION],MObra[VALOR UNIT],,0),"")</f>
        <v/>
      </c>
      <c r="F1045" s="33"/>
      <c r="G1045" s="34" t="str">
        <f>IFERROR(IF(F1045&gt;=0,D1045*E1045*(1+F1045/100),ABS(D1045*E1045/F1045)),"")</f>
        <v/>
      </c>
      <c r="H1045" s="43" t="str">
        <f>IFERROR(G1045*E1028,"")</f>
        <v/>
      </c>
    </row>
    <row r="1046" spans="1:11">
      <c r="A1046" s="35"/>
      <c r="B1046" s="36"/>
      <c r="C1046" s="37" t="str">
        <f>IFERROR(_xlfn.XLOOKUP(B1046,MObra[DESCRIPCION],MObra[UN],,0),"")</f>
        <v/>
      </c>
      <c r="D1046" s="38"/>
      <c r="E1046" s="39" t="str">
        <f>IFERROR(_xlfn.XLOOKUP($B1046,MObra[DESCRIPCION],MObra[VALOR UNIT],,0),"")</f>
        <v/>
      </c>
      <c r="F1046" s="40"/>
      <c r="G1046" s="41" t="str">
        <f>IFERROR(IF(F1046&gt;=0,D1046*E1046*(1+F1046/100),ABS(D1046*E1046/F1046)),"")</f>
        <v/>
      </c>
      <c r="H1046" s="42" t="str">
        <f>IFERROR(G1046*E1028,"")</f>
        <v/>
      </c>
    </row>
    <row r="1047" spans="1:11" ht="12.75" customHeight="1" thickTop="1" thickBot="1"/>
    <row r="1048" spans="1:11" ht="26.25" thickTop="1" thickBot="1">
      <c r="A1048" s="6" t="s">
        <v>2364</v>
      </c>
      <c r="B1048" s="7" t="str">
        <f>VLOOKUP($A1048,Presupuesto!$A:$D,2,FALSE())</f>
        <v>Luminaria perimetral LED tipo aplique en fachada 9w, 4000k, 615lm, ip65, 120-277v, eficacia &gt;= 100 lm/w, clase 1, IRC &gt;=80, ik09, VU&gt;= 50000@l70</v>
      </c>
      <c r="C1048" s="8" t="str">
        <f>VLOOKUP($A1048,Presupuesto!$A:$D,3,FALSE())</f>
        <v>Un</v>
      </c>
      <c r="D1048" s="9"/>
      <c r="E1048" s="10">
        <f>VLOOKUP($A1048,Presupuesto!$A:$D,4,FALSE())</f>
        <v>0</v>
      </c>
      <c r="F1048" s="11" t="s">
        <v>2589</v>
      </c>
      <c r="G1048" s="12">
        <f>SUM(G1050:G1066)/2</f>
        <v>248555.89023982501</v>
      </c>
      <c r="H1048" s="13">
        <f>ROUND(SUM(H1050:H1066),0)/2</f>
        <v>0</v>
      </c>
      <c r="I1048" s="10">
        <f>VLOOKUP(A1048,Presupuesto!$A:$F,6,0)</f>
        <v>0</v>
      </c>
      <c r="J1048" s="10">
        <f>+H1048-I1048</f>
        <v>0</v>
      </c>
      <c r="K1048" s="46">
        <f>+H1048-G1048*E1048</f>
        <v>0</v>
      </c>
    </row>
    <row r="1049" spans="1:11">
      <c r="A1049" s="14"/>
      <c r="B1049" s="15" t="s">
        <v>2586</v>
      </c>
      <c r="C1049" s="15" t="s">
        <v>5</v>
      </c>
      <c r="D1049" s="16" t="s">
        <v>6</v>
      </c>
      <c r="E1049" s="17" t="s">
        <v>7</v>
      </c>
      <c r="F1049" s="18" t="s">
        <v>3728</v>
      </c>
      <c r="G1049" s="19" t="s">
        <v>3729</v>
      </c>
      <c r="H1049" s="20" t="s">
        <v>3797</v>
      </c>
    </row>
    <row r="1050" spans="1:11">
      <c r="A1050" s="21"/>
      <c r="B1050" s="22" t="s">
        <v>3730</v>
      </c>
      <c r="C1050" s="23"/>
      <c r="D1050" s="24"/>
      <c r="E1050" s="25"/>
      <c r="F1050" s="26"/>
      <c r="G1050" s="27">
        <f>SUM(G1051:G1055)</f>
        <v>213099.59999999998</v>
      </c>
      <c r="H1050" s="27">
        <f>IFERROR(G1050*E1048,"")</f>
        <v>0</v>
      </c>
    </row>
    <row r="1051" spans="1:11" ht="25.5">
      <c r="A1051" s="28"/>
      <c r="B1051" s="29" t="s">
        <v>3105</v>
      </c>
      <c r="C1051" s="30" t="str">
        <f>IFERROR(_xlfn.XLOOKUP(B1051,Insumo[DESCRIPCION],Insumo[UND],,0),"")</f>
        <v>Un</v>
      </c>
      <c r="D1051" s="31">
        <v>1</v>
      </c>
      <c r="E1051" s="32">
        <f>IFERROR(_xlfn.XLOOKUP($B1051,Insumo[DESCRIPCION],Insumo[VALOR],,0),"")</f>
        <v>199290</v>
      </c>
      <c r="F1051" s="33"/>
      <c r="G1051" s="34">
        <f>IFERROR(IF(F1051&gt;=0,D1051*E1051*(1+F1051/100),ABS(D1051*E1051/F1051)),"")</f>
        <v>199290</v>
      </c>
      <c r="H1051" s="43">
        <f>IFERROR(G1051*E1048,"")</f>
        <v>0</v>
      </c>
    </row>
    <row r="1052" spans="1:11">
      <c r="A1052" s="28"/>
      <c r="B1052" s="29" t="s">
        <v>2800</v>
      </c>
      <c r="C1052" s="30" t="str">
        <f>IFERROR(_xlfn.XLOOKUP(B1052,Insumo[DESCRIPCION],Insumo[UND],,0),"")</f>
        <v>M</v>
      </c>
      <c r="D1052" s="31">
        <v>1</v>
      </c>
      <c r="E1052" s="32">
        <f>IFERROR(_xlfn.XLOOKUP($B1052,Insumo[DESCRIPCION],Insumo[VALOR],,0),"")</f>
        <v>7387.8</v>
      </c>
      <c r="F1052" s="33"/>
      <c r="G1052" s="34">
        <f>IFERROR(IF(F1052&gt;=0,D1052*E1052*(1+F1052/100),ABS(D1052*E1052/F1052)),"")</f>
        <v>7387.8</v>
      </c>
      <c r="H1052" s="43">
        <f>IFERROR(G1052*E1048,"")</f>
        <v>0</v>
      </c>
    </row>
    <row r="1053" spans="1:11">
      <c r="A1053" s="28"/>
      <c r="B1053" s="29" t="s">
        <v>2855</v>
      </c>
      <c r="C1053" s="30" t="str">
        <f>IFERROR(_xlfn.XLOOKUP(B1053,Insumo[DESCRIPCION],Insumo[UND],,0),"")</f>
        <v>Un</v>
      </c>
      <c r="D1053" s="31">
        <v>1</v>
      </c>
      <c r="E1053" s="32">
        <f>IFERROR(_xlfn.XLOOKUP($B1053,Insumo[DESCRIPCION],Insumo[VALOR],,0),"")</f>
        <v>6421.8</v>
      </c>
      <c r="F1053" s="33"/>
      <c r="G1053" s="34">
        <f>IFERROR(IF(F1053&gt;=0,D1053*E1053*(1+F1053/100),ABS(D1053*E1053/F1053)),"")</f>
        <v>6421.8</v>
      </c>
      <c r="H1053" s="43">
        <f>IFERROR(G1053*E1048,"")</f>
        <v>0</v>
      </c>
    </row>
    <row r="1054" spans="1:11">
      <c r="A1054" s="28"/>
      <c r="B1054" s="29"/>
      <c r="C1054" s="30" t="str">
        <f>IFERROR(_xlfn.XLOOKUP(B1054,Insumo[DESCRIPCION],Insumo[UND],,0),"")</f>
        <v/>
      </c>
      <c r="D1054" s="31"/>
      <c r="E1054" s="32" t="str">
        <f>IFERROR(_xlfn.XLOOKUP($B1054,Insumo[DESCRIPCION],Insumo[VALOR],,0),"")</f>
        <v/>
      </c>
      <c r="F1054" s="33"/>
      <c r="G1054" s="34" t="str">
        <f>IFERROR(IF(F1054&gt;=0,D1054*E1054*(1+F1054/100),ABS(D1054*E1054/F1054)),"")</f>
        <v/>
      </c>
      <c r="H1054" s="43" t="str">
        <f>IFERROR(G1054*E1048,"")</f>
        <v/>
      </c>
    </row>
    <row r="1055" spans="1:11">
      <c r="A1055" s="28"/>
      <c r="B1055" s="29"/>
      <c r="C1055" s="30" t="str">
        <f>IFERROR(_xlfn.XLOOKUP(B1055,Insumo[DESCRIPCION],Insumo[UND],,0),"")</f>
        <v/>
      </c>
      <c r="D1055" s="31"/>
      <c r="E1055" s="32" t="str">
        <f>IFERROR(_xlfn.XLOOKUP($B1055,Insumo[DESCRIPCION],Insumo[VALOR],,0),"")</f>
        <v/>
      </c>
      <c r="F1055" s="33"/>
      <c r="G1055" s="34" t="str">
        <f>IFERROR(IF(F1055&gt;=0,D1055*E1055*(1+F1055/100),ABS(D1055*E1055/F1055)),"")</f>
        <v/>
      </c>
      <c r="H1055" s="43" t="str">
        <f>IFERROR(G1055*E1048,"")</f>
        <v/>
      </c>
    </row>
    <row r="1056" spans="1:11">
      <c r="A1056" s="21"/>
      <c r="B1056" s="22" t="s">
        <v>3731</v>
      </c>
      <c r="C1056" s="23"/>
      <c r="D1056" s="24"/>
      <c r="E1056" s="25"/>
      <c r="F1056" s="26"/>
      <c r="G1056" s="27">
        <f>SUM(G1057:G1059)</f>
        <v>1688.3947733250004</v>
      </c>
      <c r="H1056" s="27">
        <f>IFERROR(G1056*E1048,"")</f>
        <v>0</v>
      </c>
    </row>
    <row r="1057" spans="1:11">
      <c r="A1057" s="28"/>
      <c r="B1057" s="29" t="s">
        <v>3626</v>
      </c>
      <c r="C1057" s="30" t="str">
        <f>IFERROR(_xlfn.XLOOKUP(B1057,Equipo[DESCRIPCION],Equipo[UND],,0),"")</f>
        <v>%MO</v>
      </c>
      <c r="D1057" s="31">
        <v>0.05</v>
      </c>
      <c r="E1057" s="32">
        <f>IF(C1057="%MO",G1063,IFERROR(_xlfn.XLOOKUP($B1057,Equipo[DESCRIPCION],Equipo[VALOR],,0),""))</f>
        <v>33767.895466500006</v>
      </c>
      <c r="F1057" s="33"/>
      <c r="G1057" s="34">
        <f>IFERROR(IF(F1057&gt;=0,D1057*E1057*(1+F1057/100),ABS(D1057*E1057/F1057)),"")</f>
        <v>1688.3947733250004</v>
      </c>
      <c r="H1057" s="43">
        <f>IFERROR(G1057*E1048,"")</f>
        <v>0</v>
      </c>
    </row>
    <row r="1058" spans="1:11">
      <c r="A1058" s="28"/>
      <c r="B1058" s="29"/>
      <c r="C1058" s="30" t="str">
        <f>IFERROR(_xlfn.XLOOKUP(B1058,Equipo[DESCRIPCION],Equipo[UND],,0),"")</f>
        <v/>
      </c>
      <c r="D1058" s="31"/>
      <c r="E1058" s="32" t="str">
        <f>IF(C1058="%MO",G1063,IFERROR(_xlfn.XLOOKUP($B1058,Equipo[DESCRIPCION],Equipo[VALOR],,0),""))</f>
        <v/>
      </c>
      <c r="F1058" s="33"/>
      <c r="G1058" s="34" t="str">
        <f>IFERROR(IF(F1058&gt;=0,D1058*E1058*(1+F1058/100),ABS(D1058*E1058/F1058)),"")</f>
        <v/>
      </c>
      <c r="H1058" s="43" t="str">
        <f>IFERROR(G1058*E1048,"")</f>
        <v/>
      </c>
    </row>
    <row r="1059" spans="1:11">
      <c r="A1059" s="28"/>
      <c r="B1059" s="29"/>
      <c r="C1059" s="30" t="str">
        <f>IFERROR(_xlfn.XLOOKUP(B1059,Equipo[DESCRIPCION],Equipo[UND],,0),"")</f>
        <v/>
      </c>
      <c r="D1059" s="31"/>
      <c r="E1059" s="32" t="str">
        <f>IF(C1059="%MO",G1063,IFERROR(_xlfn.XLOOKUP($B1059,Equipo[DESCRIPCION],Equipo[VALOR],,0),""))</f>
        <v/>
      </c>
      <c r="F1059" s="33"/>
      <c r="G1059" s="34" t="str">
        <f>IFERROR(IF(F1059&gt;=0,D1059*E1059*(1+F1059/100),ABS(D1059*E1059/F1059)),"")</f>
        <v/>
      </c>
      <c r="H1059" s="43" t="str">
        <f>IFERROR(G1059*E1048,"")</f>
        <v/>
      </c>
    </row>
    <row r="1060" spans="1:11">
      <c r="A1060" s="21"/>
      <c r="B1060" s="22" t="s">
        <v>2533</v>
      </c>
      <c r="C1060" s="23"/>
      <c r="D1060" s="24"/>
      <c r="E1060" s="25"/>
      <c r="F1060" s="26"/>
      <c r="G1060" s="27">
        <f>SUM(G1061:G1062)</f>
        <v>0</v>
      </c>
      <c r="H1060" s="27">
        <f>IFERROR(G1060*E1048,"")</f>
        <v>0</v>
      </c>
    </row>
    <row r="1061" spans="1:11">
      <c r="A1061" s="28"/>
      <c r="B1061" s="29"/>
      <c r="C1061" s="30" t="str">
        <f>IFERROR(_xlfn.XLOOKUP(B1061,Transporte[DESCRIPCION],Transporte[UND],,0),"")</f>
        <v/>
      </c>
      <c r="D1061" s="31"/>
      <c r="E1061" s="32" t="str">
        <f>IFERROR(_xlfn.XLOOKUP($B1061,Transporte[DESCRIPCION],Transporte[VALOR],,0),"")</f>
        <v/>
      </c>
      <c r="F1061" s="33"/>
      <c r="G1061" s="34" t="str">
        <f>IFERROR(IF(F1061&gt;=0,D1061*E1061*(1+F1061/100),ABS(D1061*E1061/F1061)),"")</f>
        <v/>
      </c>
      <c r="H1061" s="43" t="str">
        <f>IFERROR(G1061*E1048,"")</f>
        <v/>
      </c>
    </row>
    <row r="1062" spans="1:11">
      <c r="A1062" s="28"/>
      <c r="B1062" s="29"/>
      <c r="C1062" s="30" t="str">
        <f>IFERROR(_xlfn.XLOOKUP(B1062,Transporte[DESCRIPCION],Transporte[UND],,0),"")</f>
        <v/>
      </c>
      <c r="D1062" s="31"/>
      <c r="E1062" s="32" t="str">
        <f>IFERROR(_xlfn.XLOOKUP($B1062,Transporte[DESCRIPCION],Transporte[VALOR],,0),"")</f>
        <v/>
      </c>
      <c r="F1062" s="33"/>
      <c r="G1062" s="34" t="str">
        <f>IFERROR(IF(F1062&gt;=0,D1062*E1062*(1+F1062/100),ABS(D1062*E1062/F1062)),"")</f>
        <v/>
      </c>
      <c r="H1062" s="43" t="str">
        <f>IFERROR(G1062*E1048,"")</f>
        <v/>
      </c>
    </row>
    <row r="1063" spans="1:11">
      <c r="A1063" s="21"/>
      <c r="B1063" s="22" t="s">
        <v>3732</v>
      </c>
      <c r="C1063" s="23"/>
      <c r="D1063" s="24"/>
      <c r="E1063" s="25"/>
      <c r="F1063" s="26"/>
      <c r="G1063" s="27">
        <f>SUM(G1064:G1066)</f>
        <v>33767.895466500006</v>
      </c>
      <c r="H1063" s="27">
        <f>IFERROR(G1063*E1048,"")</f>
        <v>0</v>
      </c>
    </row>
    <row r="1064" spans="1:11">
      <c r="A1064" s="28"/>
      <c r="B1064" s="29" t="s">
        <v>3715</v>
      </c>
      <c r="C1064" s="30" t="str">
        <f>IFERROR(_xlfn.XLOOKUP(B1064,MObra[DESCRIPCION],MObra[UN],,0),"")</f>
        <v>día</v>
      </c>
      <c r="D1064" s="31">
        <v>1</v>
      </c>
      <c r="E1064" s="32">
        <f>IFERROR(_xlfn.XLOOKUP($B1064,MObra[DESCRIPCION],MObra[VALOR UNIT],,0),"")</f>
        <v>337678.95466500008</v>
      </c>
      <c r="F1064" s="33">
        <v>-10</v>
      </c>
      <c r="G1064" s="34">
        <f>IFERROR(IF(F1064&gt;=0,D1064*E1064*(1+F1064/100),ABS(D1064*E1064/F1064)),"")</f>
        <v>33767.895466500006</v>
      </c>
      <c r="H1064" s="43">
        <f>IFERROR(G1064*E1048,"")</f>
        <v>0</v>
      </c>
    </row>
    <row r="1065" spans="1:11">
      <c r="A1065" s="28"/>
      <c r="B1065" s="29"/>
      <c r="C1065" s="30" t="str">
        <f>IFERROR(_xlfn.XLOOKUP(B1065,MObra[DESCRIPCION],MObra[UN],,0),"")</f>
        <v/>
      </c>
      <c r="D1065" s="31"/>
      <c r="E1065" s="32" t="str">
        <f>IFERROR(_xlfn.XLOOKUP($B1065,MObra[DESCRIPCION],MObra[VALOR UNIT],,0),"")</f>
        <v/>
      </c>
      <c r="F1065" s="33"/>
      <c r="G1065" s="34" t="str">
        <f>IFERROR(IF(F1065&gt;=0,D1065*E1065*(1+F1065/100),ABS(D1065*E1065/F1065)),"")</f>
        <v/>
      </c>
      <c r="H1065" s="43" t="str">
        <f>IFERROR(G1065*E1048,"")</f>
        <v/>
      </c>
    </row>
    <row r="1066" spans="1:11">
      <c r="A1066" s="35"/>
      <c r="B1066" s="36"/>
      <c r="C1066" s="37" t="str">
        <f>IFERROR(_xlfn.XLOOKUP(B1066,MObra[DESCRIPCION],MObra[UN],,0),"")</f>
        <v/>
      </c>
      <c r="D1066" s="38"/>
      <c r="E1066" s="39" t="str">
        <f>IFERROR(_xlfn.XLOOKUP($B1066,MObra[DESCRIPCION],MObra[VALOR UNIT],,0),"")</f>
        <v/>
      </c>
      <c r="F1066" s="40"/>
      <c r="G1066" s="41" t="str">
        <f>IFERROR(IF(F1066&gt;=0,D1066*E1066*(1+F1066/100),ABS(D1066*E1066/F1066)),"")</f>
        <v/>
      </c>
      <c r="H1066" s="42" t="str">
        <f>IFERROR(G1066*E1048,"")</f>
        <v/>
      </c>
    </row>
    <row r="1068" spans="1:11" ht="25.5">
      <c r="A1068" s="6" t="s">
        <v>2366</v>
      </c>
      <c r="B1068" s="7" t="str">
        <f>VLOOKUP($A1068,Presupuesto!$A:$D,2,FALSE())</f>
        <v>Luminaria perimetral LED tipo aplique en fachada 30w, 4000k, 4050lm, ip65, 120-277v, eficacia &gt;= 100 lm/w, clase 1, IRC &gt;=80, ik09, VU&gt;= 50000@l70</v>
      </c>
      <c r="C1068" s="8" t="str">
        <f>VLOOKUP($A1068,Presupuesto!$A:$D,3,FALSE())</f>
        <v>Un</v>
      </c>
      <c r="D1068" s="9"/>
      <c r="E1068" s="10">
        <f>VLOOKUP($A1068,Presupuesto!$A:$D,4,FALSE())</f>
        <v>0</v>
      </c>
      <c r="F1068" s="11" t="s">
        <v>2589</v>
      </c>
      <c r="G1068" s="12">
        <f>SUM(G1070:G1086)/2</f>
        <v>461104.76523982495</v>
      </c>
      <c r="H1068" s="13">
        <f>ROUND(SUM(H1070:H1086),0)/2</f>
        <v>0</v>
      </c>
      <c r="I1068" s="10">
        <f>VLOOKUP(A1068,Presupuesto!$A:$F,6,0)</f>
        <v>0</v>
      </c>
      <c r="J1068" s="10">
        <f>+H1068-I1068</f>
        <v>0</v>
      </c>
      <c r="K1068" s="46">
        <f>+H1068-G1068*E1068</f>
        <v>0</v>
      </c>
    </row>
    <row r="1069" spans="1:11">
      <c r="A1069" s="14"/>
      <c r="B1069" s="15" t="s">
        <v>2586</v>
      </c>
      <c r="C1069" s="15" t="s">
        <v>5</v>
      </c>
      <c r="D1069" s="16" t="s">
        <v>6</v>
      </c>
      <c r="E1069" s="17" t="s">
        <v>7</v>
      </c>
      <c r="F1069" s="18" t="s">
        <v>3728</v>
      </c>
      <c r="G1069" s="19" t="s">
        <v>3729</v>
      </c>
      <c r="H1069" s="20" t="s">
        <v>3797</v>
      </c>
    </row>
    <row r="1070" spans="1:11">
      <c r="A1070" s="21"/>
      <c r="B1070" s="22" t="s">
        <v>3730</v>
      </c>
      <c r="C1070" s="23"/>
      <c r="D1070" s="24"/>
      <c r="E1070" s="25"/>
      <c r="F1070" s="26"/>
      <c r="G1070" s="27">
        <f>SUM(G1071:G1075)</f>
        <v>425648.47499999998</v>
      </c>
      <c r="H1070" s="27">
        <f>IFERROR(G1070*E1068,"")</f>
        <v>0</v>
      </c>
    </row>
    <row r="1071" spans="1:11" ht="25.5">
      <c r="A1071" s="28"/>
      <c r="B1071" s="29" t="s">
        <v>3106</v>
      </c>
      <c r="C1071" s="30" t="str">
        <f>IFERROR(_xlfn.XLOOKUP(B1071,Insumo[DESCRIPCION],Insumo[UND],,0),"")</f>
        <v>Un</v>
      </c>
      <c r="D1071" s="31">
        <v>1</v>
      </c>
      <c r="E1071" s="32">
        <f>IFERROR(_xlfn.XLOOKUP($B1071,Insumo[DESCRIPCION],Insumo[VALOR],,0),"")</f>
        <v>411838.875</v>
      </c>
      <c r="F1071" s="33"/>
      <c r="G1071" s="34">
        <f>IFERROR(IF(F1071&gt;=0,D1071*E1071*(1+F1071/100),ABS(D1071*E1071/F1071)),"")</f>
        <v>411838.875</v>
      </c>
      <c r="H1071" s="43">
        <f>IFERROR(G1071*E1068,"")</f>
        <v>0</v>
      </c>
    </row>
    <row r="1072" spans="1:11">
      <c r="A1072" s="28"/>
      <c r="B1072" s="29" t="s">
        <v>2800</v>
      </c>
      <c r="C1072" s="30" t="str">
        <f>IFERROR(_xlfn.XLOOKUP(B1072,Insumo[DESCRIPCION],Insumo[UND],,0),"")</f>
        <v>M</v>
      </c>
      <c r="D1072" s="31">
        <v>1</v>
      </c>
      <c r="E1072" s="32">
        <f>IFERROR(_xlfn.XLOOKUP($B1072,Insumo[DESCRIPCION],Insumo[VALOR],,0),"")</f>
        <v>7387.8</v>
      </c>
      <c r="F1072" s="33"/>
      <c r="G1072" s="34">
        <f>IFERROR(IF(F1072&gt;=0,D1072*E1072*(1+F1072/100),ABS(D1072*E1072/F1072)),"")</f>
        <v>7387.8</v>
      </c>
      <c r="H1072" s="43">
        <f>IFERROR(G1072*E1068,"")</f>
        <v>0</v>
      </c>
    </row>
    <row r="1073" spans="1:11">
      <c r="A1073" s="28"/>
      <c r="B1073" s="29" t="s">
        <v>2855</v>
      </c>
      <c r="C1073" s="30" t="str">
        <f>IFERROR(_xlfn.XLOOKUP(B1073,Insumo[DESCRIPCION],Insumo[UND],,0),"")</f>
        <v>Un</v>
      </c>
      <c r="D1073" s="31">
        <v>1</v>
      </c>
      <c r="E1073" s="32">
        <f>IFERROR(_xlfn.XLOOKUP($B1073,Insumo[DESCRIPCION],Insumo[VALOR],,0),"")</f>
        <v>6421.8</v>
      </c>
      <c r="F1073" s="33"/>
      <c r="G1073" s="34">
        <f>IFERROR(IF(F1073&gt;=0,D1073*E1073*(1+F1073/100),ABS(D1073*E1073/F1073)),"")</f>
        <v>6421.8</v>
      </c>
      <c r="H1073" s="43">
        <f>IFERROR(G1073*E1068,"")</f>
        <v>0</v>
      </c>
    </row>
    <row r="1074" spans="1:11">
      <c r="A1074" s="28"/>
      <c r="B1074" s="29"/>
      <c r="C1074" s="30" t="str">
        <f>IFERROR(_xlfn.XLOOKUP(B1074,Insumo[DESCRIPCION],Insumo[UND],,0),"")</f>
        <v/>
      </c>
      <c r="D1074" s="31"/>
      <c r="E1074" s="32" t="str">
        <f>IFERROR(_xlfn.XLOOKUP($B1074,Insumo[DESCRIPCION],Insumo[VALOR],,0),"")</f>
        <v/>
      </c>
      <c r="F1074" s="33"/>
      <c r="G1074" s="34" t="str">
        <f>IFERROR(IF(F1074&gt;=0,D1074*E1074*(1+F1074/100),ABS(D1074*E1074/F1074)),"")</f>
        <v/>
      </c>
      <c r="H1074" s="43" t="str">
        <f>IFERROR(G1074*E1068,"")</f>
        <v/>
      </c>
    </row>
    <row r="1075" spans="1:11">
      <c r="A1075" s="28"/>
      <c r="B1075" s="29"/>
      <c r="C1075" s="30" t="str">
        <f>IFERROR(_xlfn.XLOOKUP(B1075,Insumo[DESCRIPCION],Insumo[UND],,0),"")</f>
        <v/>
      </c>
      <c r="D1075" s="31"/>
      <c r="E1075" s="32" t="str">
        <f>IFERROR(_xlfn.XLOOKUP($B1075,Insumo[DESCRIPCION],Insumo[VALOR],,0),"")</f>
        <v/>
      </c>
      <c r="F1075" s="33"/>
      <c r="G1075" s="34" t="str">
        <f>IFERROR(IF(F1075&gt;=0,D1075*E1075*(1+F1075/100),ABS(D1075*E1075/F1075)),"")</f>
        <v/>
      </c>
      <c r="H1075" s="43" t="str">
        <f>IFERROR(G1075*E1068,"")</f>
        <v/>
      </c>
    </row>
    <row r="1076" spans="1:11">
      <c r="A1076" s="21"/>
      <c r="B1076" s="22" t="s">
        <v>3731</v>
      </c>
      <c r="C1076" s="23"/>
      <c r="D1076" s="24"/>
      <c r="E1076" s="25"/>
      <c r="F1076" s="26"/>
      <c r="G1076" s="27">
        <f>SUM(G1077:G1079)</f>
        <v>1688.3947733250004</v>
      </c>
      <c r="H1076" s="27">
        <f>IFERROR(G1076*E1068,"")</f>
        <v>0</v>
      </c>
    </row>
    <row r="1077" spans="1:11">
      <c r="A1077" s="28"/>
      <c r="B1077" s="29" t="s">
        <v>3626</v>
      </c>
      <c r="C1077" s="30" t="str">
        <f>IFERROR(_xlfn.XLOOKUP(B1077,Equipo[DESCRIPCION],Equipo[UND],,0),"")</f>
        <v>%MO</v>
      </c>
      <c r="D1077" s="31">
        <v>0.05</v>
      </c>
      <c r="E1077" s="32">
        <f>IF(C1077="%MO",G1083,IFERROR(_xlfn.XLOOKUP($B1077,Equipo[DESCRIPCION],Equipo[VALOR],,0),""))</f>
        <v>33767.895466500006</v>
      </c>
      <c r="F1077" s="33"/>
      <c r="G1077" s="34">
        <f>IFERROR(IF(F1077&gt;=0,D1077*E1077*(1+F1077/100),ABS(D1077*E1077/F1077)),"")</f>
        <v>1688.3947733250004</v>
      </c>
      <c r="H1077" s="43">
        <f>IFERROR(G1077*E1068,"")</f>
        <v>0</v>
      </c>
    </row>
    <row r="1078" spans="1:11">
      <c r="A1078" s="28"/>
      <c r="B1078" s="29"/>
      <c r="C1078" s="30" t="str">
        <f>IFERROR(_xlfn.XLOOKUP(B1078,Equipo[DESCRIPCION],Equipo[UND],,0),"")</f>
        <v/>
      </c>
      <c r="D1078" s="31"/>
      <c r="E1078" s="32" t="str">
        <f>IF(C1078="%MO",G1083,IFERROR(_xlfn.XLOOKUP($B1078,Equipo[DESCRIPCION],Equipo[VALOR],,0),""))</f>
        <v/>
      </c>
      <c r="F1078" s="33"/>
      <c r="G1078" s="34" t="str">
        <f>IFERROR(IF(F1078&gt;=0,D1078*E1078*(1+F1078/100),ABS(D1078*E1078/F1078)),"")</f>
        <v/>
      </c>
      <c r="H1078" s="43" t="str">
        <f>IFERROR(G1078*E1068,"")</f>
        <v/>
      </c>
    </row>
    <row r="1079" spans="1:11">
      <c r="A1079" s="28"/>
      <c r="B1079" s="29"/>
      <c r="C1079" s="30" t="str">
        <f>IFERROR(_xlfn.XLOOKUP(B1079,Equipo[DESCRIPCION],Equipo[UND],,0),"")</f>
        <v/>
      </c>
      <c r="D1079" s="31"/>
      <c r="E1079" s="32" t="str">
        <f>IF(C1079="%MO",G1083,IFERROR(_xlfn.XLOOKUP($B1079,Equipo[DESCRIPCION],Equipo[VALOR],,0),""))</f>
        <v/>
      </c>
      <c r="F1079" s="33"/>
      <c r="G1079" s="34" t="str">
        <f>IFERROR(IF(F1079&gt;=0,D1079*E1079*(1+F1079/100),ABS(D1079*E1079/F1079)),"")</f>
        <v/>
      </c>
      <c r="H1079" s="43" t="str">
        <f>IFERROR(G1079*E1068,"")</f>
        <v/>
      </c>
    </row>
    <row r="1080" spans="1:11">
      <c r="A1080" s="21"/>
      <c r="B1080" s="22" t="s">
        <v>2533</v>
      </c>
      <c r="C1080" s="23"/>
      <c r="D1080" s="24"/>
      <c r="E1080" s="25"/>
      <c r="F1080" s="26"/>
      <c r="G1080" s="27">
        <f>SUM(G1081:G1082)</f>
        <v>0</v>
      </c>
      <c r="H1080" s="27">
        <f>IFERROR(G1080*E1068,"")</f>
        <v>0</v>
      </c>
    </row>
    <row r="1081" spans="1:11">
      <c r="A1081" s="28"/>
      <c r="B1081" s="29"/>
      <c r="C1081" s="30" t="str">
        <f>IFERROR(_xlfn.XLOOKUP(B1081,Transporte[DESCRIPCION],Transporte[UND],,0),"")</f>
        <v/>
      </c>
      <c r="D1081" s="31"/>
      <c r="E1081" s="32" t="str">
        <f>IFERROR(_xlfn.XLOOKUP($B1081,Transporte[DESCRIPCION],Transporte[VALOR],,0),"")</f>
        <v/>
      </c>
      <c r="F1081" s="33"/>
      <c r="G1081" s="34" t="str">
        <f>IFERROR(IF(F1081&gt;=0,D1081*E1081*(1+F1081/100),ABS(D1081*E1081/F1081)),"")</f>
        <v/>
      </c>
      <c r="H1081" s="43" t="str">
        <f>IFERROR(G1081*E1068,"")</f>
        <v/>
      </c>
    </row>
    <row r="1082" spans="1:11">
      <c r="A1082" s="28"/>
      <c r="B1082" s="29"/>
      <c r="C1082" s="30" t="str">
        <f>IFERROR(_xlfn.XLOOKUP(B1082,Transporte[DESCRIPCION],Transporte[UND],,0),"")</f>
        <v/>
      </c>
      <c r="D1082" s="31"/>
      <c r="E1082" s="32" t="str">
        <f>IFERROR(_xlfn.XLOOKUP($B1082,Transporte[DESCRIPCION],Transporte[VALOR],,0),"")</f>
        <v/>
      </c>
      <c r="F1082" s="33"/>
      <c r="G1082" s="34" t="str">
        <f>IFERROR(IF(F1082&gt;=0,D1082*E1082*(1+F1082/100),ABS(D1082*E1082/F1082)),"")</f>
        <v/>
      </c>
      <c r="H1082" s="43" t="str">
        <f>IFERROR(G1082*E1068,"")</f>
        <v/>
      </c>
    </row>
    <row r="1083" spans="1:11">
      <c r="A1083" s="21"/>
      <c r="B1083" s="22" t="s">
        <v>3732</v>
      </c>
      <c r="C1083" s="23"/>
      <c r="D1083" s="24"/>
      <c r="E1083" s="25"/>
      <c r="F1083" s="26"/>
      <c r="G1083" s="27">
        <f>SUM(G1084:G1086)</f>
        <v>33767.895466500006</v>
      </c>
      <c r="H1083" s="27">
        <f>IFERROR(G1083*E1068,"")</f>
        <v>0</v>
      </c>
    </row>
    <row r="1084" spans="1:11">
      <c r="A1084" s="28"/>
      <c r="B1084" s="29" t="s">
        <v>3715</v>
      </c>
      <c r="C1084" s="30" t="str">
        <f>IFERROR(_xlfn.XLOOKUP(B1084,MObra[DESCRIPCION],MObra[UN],,0),"")</f>
        <v>día</v>
      </c>
      <c r="D1084" s="31">
        <v>1</v>
      </c>
      <c r="E1084" s="32">
        <f>IFERROR(_xlfn.XLOOKUP($B1084,MObra[DESCRIPCION],MObra[VALOR UNIT],,0),"")</f>
        <v>337678.95466500008</v>
      </c>
      <c r="F1084" s="33">
        <v>-10</v>
      </c>
      <c r="G1084" s="34">
        <f>IFERROR(IF(F1084&gt;=0,D1084*E1084*(1+F1084/100),ABS(D1084*E1084/F1084)),"")</f>
        <v>33767.895466500006</v>
      </c>
      <c r="H1084" s="43">
        <f>IFERROR(G1084*E1068,"")</f>
        <v>0</v>
      </c>
    </row>
    <row r="1085" spans="1:11">
      <c r="A1085" s="28"/>
      <c r="B1085" s="29"/>
      <c r="C1085" s="30" t="str">
        <f>IFERROR(_xlfn.XLOOKUP(B1085,MObra[DESCRIPCION],MObra[UN],,0),"")</f>
        <v/>
      </c>
      <c r="D1085" s="31"/>
      <c r="E1085" s="32" t="str">
        <f>IFERROR(_xlfn.XLOOKUP($B1085,MObra[DESCRIPCION],MObra[VALOR UNIT],,0),"")</f>
        <v/>
      </c>
      <c r="F1085" s="33"/>
      <c r="G1085" s="34" t="str">
        <f>IFERROR(IF(F1085&gt;=0,D1085*E1085*(1+F1085/100),ABS(D1085*E1085/F1085)),"")</f>
        <v/>
      </c>
      <c r="H1085" s="43" t="str">
        <f>IFERROR(G1085*E1068,"")</f>
        <v/>
      </c>
    </row>
    <row r="1086" spans="1:11">
      <c r="A1086" s="35"/>
      <c r="B1086" s="36"/>
      <c r="C1086" s="37" t="str">
        <f>IFERROR(_xlfn.XLOOKUP(B1086,MObra[DESCRIPCION],MObra[UN],,0),"")</f>
        <v/>
      </c>
      <c r="D1086" s="38"/>
      <c r="E1086" s="39" t="str">
        <f>IFERROR(_xlfn.XLOOKUP($B1086,MObra[DESCRIPCION],MObra[VALOR UNIT],,0),"")</f>
        <v/>
      </c>
      <c r="F1086" s="40"/>
      <c r="G1086" s="41" t="str">
        <f>IFERROR(IF(F1086&gt;=0,D1086*E1086*(1+F1086/100),ABS(D1086*E1086/F1086)),"")</f>
        <v/>
      </c>
      <c r="H1086" s="42" t="str">
        <f>IFERROR(G1086*E1068,"")</f>
        <v/>
      </c>
    </row>
    <row r="1088" spans="1:11" ht="25.5">
      <c r="A1088" s="6" t="s">
        <v>2368</v>
      </c>
      <c r="B1088" s="7" t="str">
        <f>VLOOKUP($A1088,Presupuesto!$A:$D,2,FALSE())</f>
        <v>Luminaria perimetral LED tipo aplique en fachada 50w, 4000k, 6750lm, ip65, 120-277v, eficacia &gt;= 100 lm/w, clase 1, IRC &gt;=80, ik09, VU&gt;= 50000@l70</v>
      </c>
      <c r="C1088" s="8" t="str">
        <f>VLOOKUP($A1088,Presupuesto!$A:$D,3,FALSE())</f>
        <v>Un</v>
      </c>
      <c r="D1088" s="9"/>
      <c r="E1088" s="10">
        <f>VLOOKUP($A1088,Presupuesto!$A:$D,4,FALSE())</f>
        <v>0</v>
      </c>
      <c r="F1088" s="11" t="s">
        <v>2589</v>
      </c>
      <c r="G1088" s="12">
        <f>SUM(G1090:G1106)/2</f>
        <v>535415.89023982501</v>
      </c>
      <c r="H1088" s="13">
        <f>ROUND(SUM(H1090:H1106),0)/2</f>
        <v>0</v>
      </c>
      <c r="I1088" s="10">
        <f>VLOOKUP(A1088,Presupuesto!$A:$F,6,0)</f>
        <v>0</v>
      </c>
      <c r="J1088" s="10">
        <f>+H1088-I1088</f>
        <v>0</v>
      </c>
      <c r="K1088" s="46">
        <f>+H1088-G1088*E1088</f>
        <v>0</v>
      </c>
    </row>
    <row r="1089" spans="1:8">
      <c r="A1089" s="14"/>
      <c r="B1089" s="15" t="s">
        <v>2586</v>
      </c>
      <c r="C1089" s="15" t="s">
        <v>5</v>
      </c>
      <c r="D1089" s="16" t="s">
        <v>6</v>
      </c>
      <c r="E1089" s="17" t="s">
        <v>7</v>
      </c>
      <c r="F1089" s="18" t="s">
        <v>3728</v>
      </c>
      <c r="G1089" s="19" t="s">
        <v>3729</v>
      </c>
      <c r="H1089" s="20" t="s">
        <v>3797</v>
      </c>
    </row>
    <row r="1090" spans="1:8">
      <c r="A1090" s="21"/>
      <c r="B1090" s="22" t="s">
        <v>3730</v>
      </c>
      <c r="C1090" s="23"/>
      <c r="D1090" s="24"/>
      <c r="E1090" s="25"/>
      <c r="F1090" s="26"/>
      <c r="G1090" s="27">
        <f>SUM(G1091:G1095)</f>
        <v>499959.6</v>
      </c>
      <c r="H1090" s="27">
        <f>IFERROR(G1090*E1088,"")</f>
        <v>0</v>
      </c>
    </row>
    <row r="1091" spans="1:8" ht="25.5">
      <c r="A1091" s="28"/>
      <c r="B1091" s="29" t="s">
        <v>3107</v>
      </c>
      <c r="C1091" s="30" t="str">
        <f>IFERROR(_xlfn.XLOOKUP(B1091,Insumo[DESCRIPCION],Insumo[UND],,0),"")</f>
        <v>Un</v>
      </c>
      <c r="D1091" s="31">
        <v>1</v>
      </c>
      <c r="E1091" s="32">
        <f>IFERROR(_xlfn.XLOOKUP($B1091,Insumo[DESCRIPCION],Insumo[VALOR],,0),"")</f>
        <v>486150</v>
      </c>
      <c r="F1091" s="33"/>
      <c r="G1091" s="34">
        <f>IFERROR(IF(F1091&gt;=0,D1091*E1091*(1+F1091/100),ABS(D1091*E1091/F1091)),"")</f>
        <v>486150</v>
      </c>
      <c r="H1091" s="43">
        <f>IFERROR(G1091*E1088,"")</f>
        <v>0</v>
      </c>
    </row>
    <row r="1092" spans="1:8">
      <c r="A1092" s="28"/>
      <c r="B1092" s="29" t="s">
        <v>2800</v>
      </c>
      <c r="C1092" s="30" t="str">
        <f>IFERROR(_xlfn.XLOOKUP(B1092,Insumo[DESCRIPCION],Insumo[UND],,0),"")</f>
        <v>M</v>
      </c>
      <c r="D1092" s="31">
        <v>1</v>
      </c>
      <c r="E1092" s="32">
        <f>IFERROR(_xlfn.XLOOKUP($B1092,Insumo[DESCRIPCION],Insumo[VALOR],,0),"")</f>
        <v>7387.8</v>
      </c>
      <c r="F1092" s="33"/>
      <c r="G1092" s="34">
        <f>IFERROR(IF(F1092&gt;=0,D1092*E1092*(1+F1092/100),ABS(D1092*E1092/F1092)),"")</f>
        <v>7387.8</v>
      </c>
      <c r="H1092" s="43">
        <f>IFERROR(G1092*E1088,"")</f>
        <v>0</v>
      </c>
    </row>
    <row r="1093" spans="1:8">
      <c r="A1093" s="28"/>
      <c r="B1093" s="29" t="s">
        <v>2855</v>
      </c>
      <c r="C1093" s="30" t="str">
        <f>IFERROR(_xlfn.XLOOKUP(B1093,Insumo[DESCRIPCION],Insumo[UND],,0),"")</f>
        <v>Un</v>
      </c>
      <c r="D1093" s="31">
        <v>1</v>
      </c>
      <c r="E1093" s="32">
        <f>IFERROR(_xlfn.XLOOKUP($B1093,Insumo[DESCRIPCION],Insumo[VALOR],,0),"")</f>
        <v>6421.8</v>
      </c>
      <c r="F1093" s="33"/>
      <c r="G1093" s="34">
        <f>IFERROR(IF(F1093&gt;=0,D1093*E1093*(1+F1093/100),ABS(D1093*E1093/F1093)),"")</f>
        <v>6421.8</v>
      </c>
      <c r="H1093" s="43">
        <f>IFERROR(G1093*E1088,"")</f>
        <v>0</v>
      </c>
    </row>
    <row r="1094" spans="1:8">
      <c r="A1094" s="28"/>
      <c r="B1094" s="29"/>
      <c r="C1094" s="30" t="str">
        <f>IFERROR(_xlfn.XLOOKUP(B1094,Insumo[DESCRIPCION],Insumo[UND],,0),"")</f>
        <v/>
      </c>
      <c r="D1094" s="31"/>
      <c r="E1094" s="32" t="str">
        <f>IFERROR(_xlfn.XLOOKUP($B1094,Insumo[DESCRIPCION],Insumo[VALOR],,0),"")</f>
        <v/>
      </c>
      <c r="F1094" s="33"/>
      <c r="G1094" s="34" t="str">
        <f>IFERROR(IF(F1094&gt;=0,D1094*E1094*(1+F1094/100),ABS(D1094*E1094/F1094)),"")</f>
        <v/>
      </c>
      <c r="H1094" s="43" t="str">
        <f>IFERROR(G1094*E1088,"")</f>
        <v/>
      </c>
    </row>
    <row r="1095" spans="1:8">
      <c r="A1095" s="28"/>
      <c r="B1095" s="29"/>
      <c r="C1095" s="30" t="str">
        <f>IFERROR(_xlfn.XLOOKUP(B1095,Insumo[DESCRIPCION],Insumo[UND],,0),"")</f>
        <v/>
      </c>
      <c r="D1095" s="31"/>
      <c r="E1095" s="32" t="str">
        <f>IFERROR(_xlfn.XLOOKUP($B1095,Insumo[DESCRIPCION],Insumo[VALOR],,0),"")</f>
        <v/>
      </c>
      <c r="F1095" s="33"/>
      <c r="G1095" s="34" t="str">
        <f>IFERROR(IF(F1095&gt;=0,D1095*E1095*(1+F1095/100),ABS(D1095*E1095/F1095)),"")</f>
        <v/>
      </c>
      <c r="H1095" s="43" t="str">
        <f>IFERROR(G1095*E1088,"")</f>
        <v/>
      </c>
    </row>
    <row r="1096" spans="1:8">
      <c r="A1096" s="21"/>
      <c r="B1096" s="22" t="s">
        <v>3731</v>
      </c>
      <c r="C1096" s="23"/>
      <c r="D1096" s="24"/>
      <c r="E1096" s="25"/>
      <c r="F1096" s="26"/>
      <c r="G1096" s="27">
        <f>SUM(G1097:G1099)</f>
        <v>1688.3947733250004</v>
      </c>
      <c r="H1096" s="27">
        <f>IFERROR(G1096*E1088,"")</f>
        <v>0</v>
      </c>
    </row>
    <row r="1097" spans="1:8">
      <c r="A1097" s="28"/>
      <c r="B1097" s="29" t="s">
        <v>3626</v>
      </c>
      <c r="C1097" s="30" t="str">
        <f>IFERROR(_xlfn.XLOOKUP(B1097,Equipo[DESCRIPCION],Equipo[UND],,0),"")</f>
        <v>%MO</v>
      </c>
      <c r="D1097" s="31">
        <v>0.05</v>
      </c>
      <c r="E1097" s="32">
        <f>IF(C1097="%MO",G1103,IFERROR(_xlfn.XLOOKUP($B1097,Equipo[DESCRIPCION],Equipo[VALOR],,0),""))</f>
        <v>33767.895466500006</v>
      </c>
      <c r="F1097" s="33"/>
      <c r="G1097" s="34">
        <f>IFERROR(IF(F1097&gt;=0,D1097*E1097*(1+F1097/100),ABS(D1097*E1097/F1097)),"")</f>
        <v>1688.3947733250004</v>
      </c>
      <c r="H1097" s="43">
        <f>IFERROR(G1097*E1088,"")</f>
        <v>0</v>
      </c>
    </row>
    <row r="1098" spans="1:8">
      <c r="A1098" s="28"/>
      <c r="B1098" s="29"/>
      <c r="C1098" s="30" t="str">
        <f>IFERROR(_xlfn.XLOOKUP(B1098,Equipo[DESCRIPCION],Equipo[UND],,0),"")</f>
        <v/>
      </c>
      <c r="D1098" s="31"/>
      <c r="E1098" s="32" t="str">
        <f>IF(C1098="%MO",G1103,IFERROR(_xlfn.XLOOKUP($B1098,Equipo[DESCRIPCION],Equipo[VALOR],,0),""))</f>
        <v/>
      </c>
      <c r="F1098" s="33"/>
      <c r="G1098" s="34" t="str">
        <f>IFERROR(IF(F1098&gt;=0,D1098*E1098*(1+F1098/100),ABS(D1098*E1098/F1098)),"")</f>
        <v/>
      </c>
      <c r="H1098" s="43" t="str">
        <f>IFERROR(G1098*E1088,"")</f>
        <v/>
      </c>
    </row>
    <row r="1099" spans="1:8">
      <c r="A1099" s="28"/>
      <c r="B1099" s="29"/>
      <c r="C1099" s="30" t="str">
        <f>IFERROR(_xlfn.XLOOKUP(B1099,Equipo[DESCRIPCION],Equipo[UND],,0),"")</f>
        <v/>
      </c>
      <c r="D1099" s="31"/>
      <c r="E1099" s="32" t="str">
        <f>IF(C1099="%MO",G1103,IFERROR(_xlfn.XLOOKUP($B1099,Equipo[DESCRIPCION],Equipo[VALOR],,0),""))</f>
        <v/>
      </c>
      <c r="F1099" s="33"/>
      <c r="G1099" s="34" t="str">
        <f>IFERROR(IF(F1099&gt;=0,D1099*E1099*(1+F1099/100),ABS(D1099*E1099/F1099)),"")</f>
        <v/>
      </c>
      <c r="H1099" s="43" t="str">
        <f>IFERROR(G1099*E1088,"")</f>
        <v/>
      </c>
    </row>
    <row r="1100" spans="1:8">
      <c r="A1100" s="21"/>
      <c r="B1100" s="22" t="s">
        <v>2533</v>
      </c>
      <c r="C1100" s="23"/>
      <c r="D1100" s="24"/>
      <c r="E1100" s="25"/>
      <c r="F1100" s="26"/>
      <c r="G1100" s="27">
        <f>SUM(G1101:G1102)</f>
        <v>0</v>
      </c>
      <c r="H1100" s="27">
        <f>IFERROR(G1100*E1088,"")</f>
        <v>0</v>
      </c>
    </row>
    <row r="1101" spans="1:8">
      <c r="A1101" s="28"/>
      <c r="B1101" s="29"/>
      <c r="C1101" s="30" t="str">
        <f>IFERROR(_xlfn.XLOOKUP(B1101,Transporte[DESCRIPCION],Transporte[UND],,0),"")</f>
        <v/>
      </c>
      <c r="D1101" s="31"/>
      <c r="E1101" s="32" t="str">
        <f>IFERROR(_xlfn.XLOOKUP($B1101,Transporte[DESCRIPCION],Transporte[VALOR],,0),"")</f>
        <v/>
      </c>
      <c r="F1101" s="33"/>
      <c r="G1101" s="34" t="str">
        <f>IFERROR(IF(F1101&gt;=0,D1101*E1101*(1+F1101/100),ABS(D1101*E1101/F1101)),"")</f>
        <v/>
      </c>
      <c r="H1101" s="43" t="str">
        <f>IFERROR(G1101*E1088,"")</f>
        <v/>
      </c>
    </row>
    <row r="1102" spans="1:8">
      <c r="A1102" s="28"/>
      <c r="B1102" s="29"/>
      <c r="C1102" s="30" t="str">
        <f>IFERROR(_xlfn.XLOOKUP(B1102,Transporte[DESCRIPCION],Transporte[UND],,0),"")</f>
        <v/>
      </c>
      <c r="D1102" s="31"/>
      <c r="E1102" s="32" t="str">
        <f>IFERROR(_xlfn.XLOOKUP($B1102,Transporte[DESCRIPCION],Transporte[VALOR],,0),"")</f>
        <v/>
      </c>
      <c r="F1102" s="33"/>
      <c r="G1102" s="34" t="str">
        <f>IFERROR(IF(F1102&gt;=0,D1102*E1102*(1+F1102/100),ABS(D1102*E1102/F1102)),"")</f>
        <v/>
      </c>
      <c r="H1102" s="43" t="str">
        <f>IFERROR(G1102*E1088,"")</f>
        <v/>
      </c>
    </row>
    <row r="1103" spans="1:8">
      <c r="A1103" s="21"/>
      <c r="B1103" s="22" t="s">
        <v>3732</v>
      </c>
      <c r="C1103" s="23"/>
      <c r="D1103" s="24"/>
      <c r="E1103" s="25"/>
      <c r="F1103" s="26"/>
      <c r="G1103" s="27">
        <f>SUM(G1104:G1106)</f>
        <v>33767.895466500006</v>
      </c>
      <c r="H1103" s="27">
        <f>IFERROR(G1103*E1088,"")</f>
        <v>0</v>
      </c>
    </row>
    <row r="1104" spans="1:8">
      <c r="A1104" s="28"/>
      <c r="B1104" s="29" t="s">
        <v>3715</v>
      </c>
      <c r="C1104" s="30" t="str">
        <f>IFERROR(_xlfn.XLOOKUP(B1104,MObra[DESCRIPCION],MObra[UN],,0),"")</f>
        <v>día</v>
      </c>
      <c r="D1104" s="31">
        <v>1</v>
      </c>
      <c r="E1104" s="32">
        <f>IFERROR(_xlfn.XLOOKUP($B1104,MObra[DESCRIPCION],MObra[VALOR UNIT],,0),"")</f>
        <v>337678.95466500008</v>
      </c>
      <c r="F1104" s="33">
        <v>-10</v>
      </c>
      <c r="G1104" s="34">
        <f>IFERROR(IF(F1104&gt;=0,D1104*E1104*(1+F1104/100),ABS(D1104*E1104/F1104)),"")</f>
        <v>33767.895466500006</v>
      </c>
      <c r="H1104" s="43">
        <f>IFERROR(G1104*E1088,"")</f>
        <v>0</v>
      </c>
    </row>
    <row r="1105" spans="1:11">
      <c r="A1105" s="28"/>
      <c r="B1105" s="29"/>
      <c r="C1105" s="30" t="str">
        <f>IFERROR(_xlfn.XLOOKUP(B1105,MObra[DESCRIPCION],MObra[UN],,0),"")</f>
        <v/>
      </c>
      <c r="D1105" s="31"/>
      <c r="E1105" s="32" t="str">
        <f>IFERROR(_xlfn.XLOOKUP($B1105,MObra[DESCRIPCION],MObra[VALOR UNIT],,0),"")</f>
        <v/>
      </c>
      <c r="F1105" s="33"/>
      <c r="G1105" s="34" t="str">
        <f>IFERROR(IF(F1105&gt;=0,D1105*E1105*(1+F1105/100),ABS(D1105*E1105/F1105)),"")</f>
        <v/>
      </c>
      <c r="H1105" s="43" t="str">
        <f>IFERROR(G1105*E1088,"")</f>
        <v/>
      </c>
    </row>
    <row r="1106" spans="1:11">
      <c r="A1106" s="35"/>
      <c r="B1106" s="36"/>
      <c r="C1106" s="37" t="str">
        <f>IFERROR(_xlfn.XLOOKUP(B1106,MObra[DESCRIPCION],MObra[UN],,0),"")</f>
        <v/>
      </c>
      <c r="D1106" s="38"/>
      <c r="E1106" s="39" t="str">
        <f>IFERROR(_xlfn.XLOOKUP($B1106,MObra[DESCRIPCION],MObra[VALOR UNIT],,0),"")</f>
        <v/>
      </c>
      <c r="F1106" s="40"/>
      <c r="G1106" s="41" t="str">
        <f>IFERROR(IF(F1106&gt;=0,D1106*E1106*(1+F1106/100),ABS(D1106*E1106/F1106)),"")</f>
        <v/>
      </c>
      <c r="H1106" s="42" t="str">
        <f>IFERROR(G1106*E1088,"")</f>
        <v/>
      </c>
    </row>
    <row r="1107" spans="1:11" ht="12.75" customHeight="1" thickTop="1" thickBot="1"/>
    <row r="1108" spans="1:11" ht="39" thickTop="1" thickBot="1">
      <c r="A1108" s="6" t="s">
        <v>2370</v>
      </c>
      <c r="B1108" s="7" t="str">
        <f>VLOOKUP($A1108,Presupuesto!$A:$D,2,FALSE())</f>
        <v>Luminaria perimetral tipo aplique en LED luz directa 100-240 Vac, 7W, 615 lm, 50.000 horas, incluye extensión eléctrica encauchetada de 3X14 AWG, conectores certificados y clavija</v>
      </c>
      <c r="C1108" s="8" t="str">
        <f>VLOOKUP($A1108,Presupuesto!$A:$D,3,FALSE())</f>
        <v>Un</v>
      </c>
      <c r="D1108" s="9"/>
      <c r="E1108" s="10">
        <f>VLOOKUP($A1108,Presupuesto!$A:$D,4,FALSE())</f>
        <v>0</v>
      </c>
      <c r="F1108" s="11" t="s">
        <v>2589</v>
      </c>
      <c r="G1108" s="12">
        <f>SUM(G1110:G1126)/2</f>
        <v>194113.62826639286</v>
      </c>
      <c r="H1108" s="13">
        <f>ROUND(SUM(H1110:H1126),0)/2</f>
        <v>0</v>
      </c>
      <c r="I1108" s="10">
        <f>VLOOKUP(A1108,Presupuesto!$A:$F,6,0)</f>
        <v>0</v>
      </c>
      <c r="J1108" s="10">
        <f>+H1108-I1108</f>
        <v>0</v>
      </c>
      <c r="K1108" s="46">
        <f>+H1108-G1108*E1108</f>
        <v>0</v>
      </c>
    </row>
    <row r="1109" spans="1:11">
      <c r="A1109" s="14"/>
      <c r="B1109" s="15" t="s">
        <v>2586</v>
      </c>
      <c r="C1109" s="15" t="s">
        <v>5</v>
      </c>
      <c r="D1109" s="16" t="s">
        <v>6</v>
      </c>
      <c r="E1109" s="17" t="s">
        <v>7</v>
      </c>
      <c r="F1109" s="18" t="s">
        <v>3728</v>
      </c>
      <c r="G1109" s="19" t="s">
        <v>3729</v>
      </c>
      <c r="H1109" s="20" t="s">
        <v>3797</v>
      </c>
    </row>
    <row r="1110" spans="1:11">
      <c r="A1110" s="21"/>
      <c r="B1110" s="22" t="s">
        <v>3730</v>
      </c>
      <c r="C1110" s="23"/>
      <c r="D1110" s="24"/>
      <c r="E1110" s="25"/>
      <c r="F1110" s="26"/>
      <c r="G1110" s="27">
        <f>SUM(G1111:G1115)</f>
        <v>138637.79999999999</v>
      </c>
      <c r="H1110" s="27">
        <f>IFERROR(G1110*E1108,"")</f>
        <v>0</v>
      </c>
    </row>
    <row r="1111" spans="1:11">
      <c r="A1111" s="28"/>
      <c r="B1111" s="29" t="s">
        <v>3104</v>
      </c>
      <c r="C1111" s="30" t="str">
        <f>IFERROR(_xlfn.XLOOKUP(B1111,Insumo[DESCRIPCION],Insumo[UND],,0),"")</f>
        <v>Un</v>
      </c>
      <c r="D1111" s="31">
        <v>1</v>
      </c>
      <c r="E1111" s="32">
        <f>IFERROR(_xlfn.XLOOKUP($B1111,Insumo[DESCRIPCION],Insumo[VALOR],,0),"")</f>
        <v>131250</v>
      </c>
      <c r="F1111" s="33"/>
      <c r="G1111" s="34">
        <f>IFERROR(IF(F1111&gt;=0,D1111*E1111*(1+F1111/100),ABS(D1111*E1111/F1111)),"")</f>
        <v>131250</v>
      </c>
      <c r="H1111" s="43">
        <f>IFERROR(G1111*E1108,"")</f>
        <v>0</v>
      </c>
    </row>
    <row r="1112" spans="1:11">
      <c r="A1112" s="28"/>
      <c r="B1112" s="29" t="s">
        <v>2800</v>
      </c>
      <c r="C1112" s="30" t="str">
        <f>IFERROR(_xlfn.XLOOKUP(B1112,Insumo[DESCRIPCION],Insumo[UND],,0),"")</f>
        <v>M</v>
      </c>
      <c r="D1112" s="31">
        <v>1</v>
      </c>
      <c r="E1112" s="32">
        <f>IFERROR(_xlfn.XLOOKUP($B1112,Insumo[DESCRIPCION],Insumo[VALOR],,0),"")</f>
        <v>7387.8</v>
      </c>
      <c r="F1112" s="33"/>
      <c r="G1112" s="34">
        <f>IFERROR(IF(F1112&gt;=0,D1112*E1112*(1+F1112/100),ABS(D1112*E1112/F1112)),"")</f>
        <v>7387.8</v>
      </c>
      <c r="H1112" s="43">
        <f>IFERROR(G1112*E1108,"")</f>
        <v>0</v>
      </c>
    </row>
    <row r="1113" spans="1:11">
      <c r="A1113" s="28"/>
      <c r="B1113" s="29"/>
      <c r="C1113" s="30" t="str">
        <f>IFERROR(_xlfn.XLOOKUP(B1113,Insumo[DESCRIPCION],Insumo[UND],,0),"")</f>
        <v/>
      </c>
      <c r="D1113" s="31"/>
      <c r="E1113" s="32" t="str">
        <f>IFERROR(_xlfn.XLOOKUP($B1113,Insumo[DESCRIPCION],Insumo[VALOR],,0),"")</f>
        <v/>
      </c>
      <c r="F1113" s="33"/>
      <c r="G1113" s="34" t="str">
        <f>IFERROR(IF(F1113&gt;=0,D1113*E1113*(1+F1113/100),ABS(D1113*E1113/F1113)),"")</f>
        <v/>
      </c>
      <c r="H1113" s="43" t="str">
        <f>IFERROR(G1113*E1108,"")</f>
        <v/>
      </c>
    </row>
    <row r="1114" spans="1:11">
      <c r="A1114" s="28"/>
      <c r="B1114" s="29"/>
      <c r="C1114" s="30" t="str">
        <f>IFERROR(_xlfn.XLOOKUP(B1114,Insumo[DESCRIPCION],Insumo[UND],,0),"")</f>
        <v/>
      </c>
      <c r="D1114" s="31"/>
      <c r="E1114" s="32" t="str">
        <f>IFERROR(_xlfn.XLOOKUP($B1114,Insumo[DESCRIPCION],Insumo[VALOR],,0),"")</f>
        <v/>
      </c>
      <c r="F1114" s="33"/>
      <c r="G1114" s="34" t="str">
        <f>IFERROR(IF(F1114&gt;=0,D1114*E1114*(1+F1114/100),ABS(D1114*E1114/F1114)),"")</f>
        <v/>
      </c>
      <c r="H1114" s="43" t="str">
        <f>IFERROR(G1114*E1108,"")</f>
        <v/>
      </c>
    </row>
    <row r="1115" spans="1:11">
      <c r="A1115" s="28"/>
      <c r="B1115" s="29"/>
      <c r="C1115" s="30" t="str">
        <f>IFERROR(_xlfn.XLOOKUP(B1115,Insumo[DESCRIPCION],Insumo[UND],,0),"")</f>
        <v/>
      </c>
      <c r="D1115" s="31"/>
      <c r="E1115" s="32" t="str">
        <f>IFERROR(_xlfn.XLOOKUP($B1115,Insumo[DESCRIPCION],Insumo[VALOR],,0),"")</f>
        <v/>
      </c>
      <c r="F1115" s="33"/>
      <c r="G1115" s="34" t="str">
        <f>IFERROR(IF(F1115&gt;=0,D1115*E1115*(1+F1115/100),ABS(D1115*E1115/F1115)),"")</f>
        <v/>
      </c>
      <c r="H1115" s="43" t="str">
        <f>IFERROR(G1115*E1108,"")</f>
        <v/>
      </c>
    </row>
    <row r="1116" spans="1:11">
      <c r="A1116" s="21"/>
      <c r="B1116" s="22" t="s">
        <v>3731</v>
      </c>
      <c r="C1116" s="23"/>
      <c r="D1116" s="24"/>
      <c r="E1116" s="25"/>
      <c r="F1116" s="26"/>
      <c r="G1116" s="27">
        <f>SUM(G1117:G1119)</f>
        <v>7235.9775999642879</v>
      </c>
      <c r="H1116" s="27">
        <f>IFERROR(G1116*E1108,"")</f>
        <v>0</v>
      </c>
    </row>
    <row r="1117" spans="1:11">
      <c r="A1117" s="28"/>
      <c r="B1117" s="29" t="s">
        <v>3573</v>
      </c>
      <c r="C1117" s="30" t="str">
        <f>IFERROR(_xlfn.XLOOKUP(B1117,Equipo[DESCRIPCION],Equipo[UND],,0),"")</f>
        <v>%MO</v>
      </c>
      <c r="D1117" s="31">
        <v>0.1</v>
      </c>
      <c r="E1117" s="32">
        <f>IF(C1117="%MO",G1123,IFERROR(_xlfn.XLOOKUP($B1117,Equipo[DESCRIPCION],Equipo[VALOR],,0),""))</f>
        <v>48239.850666428581</v>
      </c>
      <c r="F1117" s="33"/>
      <c r="G1117" s="34">
        <f>IFERROR(IF(F1117&gt;=0,D1117*E1117*(1+F1117/100),ABS(D1117*E1117/F1117)),"")</f>
        <v>4823.9850666428583</v>
      </c>
      <c r="H1117" s="43">
        <f>IFERROR(G1117*E1108,"")</f>
        <v>0</v>
      </c>
    </row>
    <row r="1118" spans="1:11">
      <c r="A1118" s="28"/>
      <c r="B1118" s="29" t="s">
        <v>3626</v>
      </c>
      <c r="C1118" s="30" t="str">
        <f>IFERROR(_xlfn.XLOOKUP(B1118,Equipo[DESCRIPCION],Equipo[UND],,0),"")</f>
        <v>%MO</v>
      </c>
      <c r="D1118" s="31">
        <v>0.05</v>
      </c>
      <c r="E1118" s="32">
        <f>IF(C1118="%MO",G1123,IFERROR(_xlfn.XLOOKUP($B1118,Equipo[DESCRIPCION],Equipo[VALOR],,0),""))</f>
        <v>48239.850666428581</v>
      </c>
      <c r="F1118" s="33"/>
      <c r="G1118" s="34">
        <f>IFERROR(IF(F1118&gt;=0,D1118*E1118*(1+F1118/100),ABS(D1118*E1118/F1118)),"")</f>
        <v>2411.9925333214292</v>
      </c>
      <c r="H1118" s="43">
        <f>IFERROR(G1118*E1108,"")</f>
        <v>0</v>
      </c>
    </row>
    <row r="1119" spans="1:11">
      <c r="A1119" s="28"/>
      <c r="B1119" s="29"/>
      <c r="C1119" s="30" t="str">
        <f>IFERROR(_xlfn.XLOOKUP(B1119,Equipo[DESCRIPCION],Equipo[UND],,0),"")</f>
        <v/>
      </c>
      <c r="D1119" s="31"/>
      <c r="E1119" s="32" t="str">
        <f>IF(C1119="%MO",G1123,IFERROR(_xlfn.XLOOKUP($B1119,Equipo[DESCRIPCION],Equipo[VALOR],,0),""))</f>
        <v/>
      </c>
      <c r="F1119" s="33"/>
      <c r="G1119" s="34" t="str">
        <f>IFERROR(IF(F1119&gt;=0,D1119*E1119*(1+F1119/100),ABS(D1119*E1119/F1119)),"")</f>
        <v/>
      </c>
      <c r="H1119" s="43" t="str">
        <f>IFERROR(G1119*E1108,"")</f>
        <v/>
      </c>
    </row>
    <row r="1120" spans="1:11">
      <c r="A1120" s="21"/>
      <c r="B1120" s="22" t="s">
        <v>2533</v>
      </c>
      <c r="C1120" s="23"/>
      <c r="D1120" s="24"/>
      <c r="E1120" s="25"/>
      <c r="F1120" s="26"/>
      <c r="G1120" s="27">
        <f>SUM(G1121:G1122)</f>
        <v>0</v>
      </c>
      <c r="H1120" s="27">
        <f>IFERROR(G1120*E1108,"")</f>
        <v>0</v>
      </c>
    </row>
    <row r="1121" spans="1:11">
      <c r="A1121" s="28"/>
      <c r="B1121" s="29"/>
      <c r="C1121" s="30" t="str">
        <f>IFERROR(_xlfn.XLOOKUP(B1121,Transporte[DESCRIPCION],Transporte[UND],,0),"")</f>
        <v/>
      </c>
      <c r="D1121" s="31"/>
      <c r="E1121" s="32" t="str">
        <f>IFERROR(_xlfn.XLOOKUP($B1121,Transporte[DESCRIPCION],Transporte[VALOR],,0),"")</f>
        <v/>
      </c>
      <c r="F1121" s="33"/>
      <c r="G1121" s="34" t="str">
        <f>IFERROR(IF(F1121&gt;=0,D1121*E1121*(1+F1121/100),ABS(D1121*E1121/F1121)),"")</f>
        <v/>
      </c>
      <c r="H1121" s="43" t="str">
        <f>IFERROR(G1121*E1108,"")</f>
        <v/>
      </c>
    </row>
    <row r="1122" spans="1:11">
      <c r="A1122" s="28"/>
      <c r="B1122" s="29"/>
      <c r="C1122" s="30" t="str">
        <f>IFERROR(_xlfn.XLOOKUP(B1122,Transporte[DESCRIPCION],Transporte[UND],,0),"")</f>
        <v/>
      </c>
      <c r="D1122" s="31"/>
      <c r="E1122" s="32" t="str">
        <f>IFERROR(_xlfn.XLOOKUP($B1122,Transporte[DESCRIPCION],Transporte[VALOR],,0),"")</f>
        <v/>
      </c>
      <c r="F1122" s="33"/>
      <c r="G1122" s="34" t="str">
        <f>IFERROR(IF(F1122&gt;=0,D1122*E1122*(1+F1122/100),ABS(D1122*E1122/F1122)),"")</f>
        <v/>
      </c>
      <c r="H1122" s="43" t="str">
        <f>IFERROR(G1122*E1108,"")</f>
        <v/>
      </c>
    </row>
    <row r="1123" spans="1:11">
      <c r="A1123" s="21"/>
      <c r="B1123" s="22" t="s">
        <v>3732</v>
      </c>
      <c r="C1123" s="23"/>
      <c r="D1123" s="24"/>
      <c r="E1123" s="25"/>
      <c r="F1123" s="26"/>
      <c r="G1123" s="27">
        <f>SUM(G1124:G1126)</f>
        <v>48239.850666428581</v>
      </c>
      <c r="H1123" s="27">
        <f>IFERROR(G1123*E1108,"")</f>
        <v>0</v>
      </c>
    </row>
    <row r="1124" spans="1:11">
      <c r="A1124" s="28"/>
      <c r="B1124" s="29" t="s">
        <v>3715</v>
      </c>
      <c r="C1124" s="30" t="str">
        <f>IFERROR(_xlfn.XLOOKUP(B1124,MObra[DESCRIPCION],MObra[UN],,0),"")</f>
        <v>día</v>
      </c>
      <c r="D1124" s="31">
        <v>1</v>
      </c>
      <c r="E1124" s="32">
        <f>IFERROR(_xlfn.XLOOKUP($B1124,MObra[DESCRIPCION],MObra[VALOR UNIT],,0),"")</f>
        <v>337678.95466500008</v>
      </c>
      <c r="F1124" s="33">
        <v>-7</v>
      </c>
      <c r="G1124" s="34">
        <f>IFERROR(IF(F1124&gt;=0,D1124*E1124*(1+F1124/100),ABS(D1124*E1124/F1124)),"")</f>
        <v>48239.850666428581</v>
      </c>
      <c r="H1124" s="43">
        <f>IFERROR(G1124*E1108,"")</f>
        <v>0</v>
      </c>
    </row>
    <row r="1125" spans="1:11">
      <c r="A1125" s="28"/>
      <c r="B1125" s="29"/>
      <c r="C1125" s="30" t="str">
        <f>IFERROR(_xlfn.XLOOKUP(B1125,MObra[DESCRIPCION],MObra[UN],,0),"")</f>
        <v/>
      </c>
      <c r="D1125" s="31"/>
      <c r="E1125" s="32" t="str">
        <f>IFERROR(_xlfn.XLOOKUP($B1125,MObra[DESCRIPCION],MObra[VALOR UNIT],,0),"")</f>
        <v/>
      </c>
      <c r="F1125" s="33"/>
      <c r="G1125" s="34" t="str">
        <f>IFERROR(IF(F1125&gt;=0,D1125*E1125*(1+F1125/100),ABS(D1125*E1125/F1125)),"")</f>
        <v/>
      </c>
      <c r="H1125" s="43" t="str">
        <f>IFERROR(G1125*E1108,"")</f>
        <v/>
      </c>
    </row>
    <row r="1126" spans="1:11">
      <c r="A1126" s="35"/>
      <c r="B1126" s="36"/>
      <c r="C1126" s="37" t="str">
        <f>IFERROR(_xlfn.XLOOKUP(B1126,MObra[DESCRIPCION],MObra[UN],,0),"")</f>
        <v/>
      </c>
      <c r="D1126" s="38"/>
      <c r="E1126" s="39" t="str">
        <f>IFERROR(_xlfn.XLOOKUP($B1126,MObra[DESCRIPCION],MObra[VALOR UNIT],,0),"")</f>
        <v/>
      </c>
      <c r="F1126" s="40"/>
      <c r="G1126" s="41" t="str">
        <f>IFERROR(IF(F1126&gt;=0,D1126*E1126*(1+F1126/100),ABS(D1126*E1126/F1126)),"")</f>
        <v/>
      </c>
      <c r="H1126" s="42" t="str">
        <f>IFERROR(G1126*E1108,"")</f>
        <v/>
      </c>
    </row>
    <row r="1127" spans="1:11" ht="12.75" customHeight="1" thickTop="1" thickBot="1"/>
    <row r="1128" spans="1:11" ht="26.25" thickTop="1" thickBot="1">
      <c r="A1128" s="6" t="s">
        <v>2372</v>
      </c>
      <c r="B1128" s="7" t="str">
        <f>VLOOKUP($A1128,Presupuesto!$A:$D,2,FALSE())</f>
        <v>Luminaria tipo cinta en LED luz directa incrustar/suspender 100-240 Vac, 19w, 615lm, eficacia&gt;= 70lm/w, VU&gt;= 20000h@l70b50</v>
      </c>
      <c r="C1128" s="8" t="str">
        <f>VLOOKUP($A1128,Presupuesto!$A:$D,3,FALSE())</f>
        <v>Un</v>
      </c>
      <c r="D1128" s="9"/>
      <c r="E1128" s="10">
        <f>VLOOKUP($A1128,Presupuesto!$A:$D,4,FALSE())</f>
        <v>0</v>
      </c>
      <c r="F1128" s="11" t="s">
        <v>2589</v>
      </c>
      <c r="G1128" s="12">
        <f>SUM(G1130:G1146)/2</f>
        <v>170479.96279978126</v>
      </c>
      <c r="H1128" s="13">
        <f>ROUND(SUM(H1130:H1146),0)/2</f>
        <v>0</v>
      </c>
      <c r="I1128" s="10">
        <f>VLOOKUP(A1128,Presupuesto!$A:$F,6,0)</f>
        <v>0</v>
      </c>
      <c r="J1128" s="10">
        <f>+H1128-I1128</f>
        <v>0</v>
      </c>
      <c r="K1128" s="46">
        <f>+H1128-G1128*E1128</f>
        <v>0</v>
      </c>
    </row>
    <row r="1129" spans="1:11">
      <c r="A1129" s="14"/>
      <c r="B1129" s="15" t="s">
        <v>2586</v>
      </c>
      <c r="C1129" s="15" t="s">
        <v>5</v>
      </c>
      <c r="D1129" s="16" t="s">
        <v>6</v>
      </c>
      <c r="E1129" s="17" t="s">
        <v>7</v>
      </c>
      <c r="F1129" s="18" t="s">
        <v>3728</v>
      </c>
      <c r="G1129" s="19" t="s">
        <v>3729</v>
      </c>
      <c r="H1129" s="20" t="s">
        <v>3797</v>
      </c>
    </row>
    <row r="1130" spans="1:11">
      <c r="A1130" s="21"/>
      <c r="B1130" s="22" t="s">
        <v>3730</v>
      </c>
      <c r="C1130" s="23"/>
      <c r="D1130" s="24"/>
      <c r="E1130" s="25"/>
      <c r="F1130" s="26"/>
      <c r="G1130" s="27">
        <f>SUM(G1131:G1135)</f>
        <v>126159.6</v>
      </c>
      <c r="H1130" s="27">
        <f>IFERROR(G1130*E1128,"")</f>
        <v>0</v>
      </c>
    </row>
    <row r="1131" spans="1:11" ht="25.5">
      <c r="A1131" s="28"/>
      <c r="B1131" s="29" t="s">
        <v>3112</v>
      </c>
      <c r="C1131" s="30" t="str">
        <f>IFERROR(_xlfn.XLOOKUP(B1131,Insumo[DESCRIPCION],Insumo[UND],,0),"")</f>
        <v>Un</v>
      </c>
      <c r="D1131" s="31">
        <v>1</v>
      </c>
      <c r="E1131" s="32">
        <f>IFERROR(_xlfn.XLOOKUP($B1131,Insumo[DESCRIPCION],Insumo[VALOR],,0),"")</f>
        <v>112350</v>
      </c>
      <c r="F1131" s="33"/>
      <c r="G1131" s="34">
        <f>IFERROR(IF(F1131&gt;=0,D1131*E1131*(1+F1131/100),ABS(D1131*E1131/F1131)),"")</f>
        <v>112350</v>
      </c>
      <c r="H1131" s="43">
        <f>IFERROR(G1131*E1128,"")</f>
        <v>0</v>
      </c>
    </row>
    <row r="1132" spans="1:11">
      <c r="A1132" s="28"/>
      <c r="B1132" s="29" t="s">
        <v>2800</v>
      </c>
      <c r="C1132" s="30" t="str">
        <f>IFERROR(_xlfn.XLOOKUP(B1132,Insumo[DESCRIPCION],Insumo[UND],,0),"")</f>
        <v>M</v>
      </c>
      <c r="D1132" s="31">
        <v>1</v>
      </c>
      <c r="E1132" s="32">
        <f>IFERROR(_xlfn.XLOOKUP($B1132,Insumo[DESCRIPCION],Insumo[VALOR],,0),"")</f>
        <v>7387.8</v>
      </c>
      <c r="F1132" s="33"/>
      <c r="G1132" s="34">
        <f>IFERROR(IF(F1132&gt;=0,D1132*E1132*(1+F1132/100),ABS(D1132*E1132/F1132)),"")</f>
        <v>7387.8</v>
      </c>
      <c r="H1132" s="43">
        <f>IFERROR(G1132*E1128,"")</f>
        <v>0</v>
      </c>
    </row>
    <row r="1133" spans="1:11">
      <c r="A1133" s="28"/>
      <c r="B1133" s="29" t="s">
        <v>2855</v>
      </c>
      <c r="C1133" s="30" t="str">
        <f>IFERROR(_xlfn.XLOOKUP(B1133,Insumo[DESCRIPCION],Insumo[UND],,0),"")</f>
        <v>Un</v>
      </c>
      <c r="D1133" s="31">
        <v>1</v>
      </c>
      <c r="E1133" s="32">
        <f>IFERROR(_xlfn.XLOOKUP($B1133,Insumo[DESCRIPCION],Insumo[VALOR],,0),"")</f>
        <v>6421.8</v>
      </c>
      <c r="F1133" s="33"/>
      <c r="G1133" s="34">
        <f>IFERROR(IF(F1133&gt;=0,D1133*E1133*(1+F1133/100),ABS(D1133*E1133/F1133)),"")</f>
        <v>6421.8</v>
      </c>
      <c r="H1133" s="43">
        <f>IFERROR(G1133*E1128,"")</f>
        <v>0</v>
      </c>
    </row>
    <row r="1134" spans="1:11">
      <c r="A1134" s="28"/>
      <c r="B1134" s="29"/>
      <c r="C1134" s="30" t="str">
        <f>IFERROR(_xlfn.XLOOKUP(B1134,Insumo[DESCRIPCION],Insumo[UND],,0),"")</f>
        <v/>
      </c>
      <c r="D1134" s="31"/>
      <c r="E1134" s="32" t="str">
        <f>IFERROR(_xlfn.XLOOKUP($B1134,Insumo[DESCRIPCION],Insumo[VALOR],,0),"")</f>
        <v/>
      </c>
      <c r="F1134" s="33"/>
      <c r="G1134" s="34" t="str">
        <f>IFERROR(IF(F1134&gt;=0,D1134*E1134*(1+F1134/100),ABS(D1134*E1134/F1134)),"")</f>
        <v/>
      </c>
      <c r="H1134" s="43" t="str">
        <f>IFERROR(G1134*E1128,"")</f>
        <v/>
      </c>
    </row>
    <row r="1135" spans="1:11">
      <c r="A1135" s="28"/>
      <c r="B1135" s="29"/>
      <c r="C1135" s="30" t="str">
        <f>IFERROR(_xlfn.XLOOKUP(B1135,Insumo[DESCRIPCION],Insumo[UND],,0),"")</f>
        <v/>
      </c>
      <c r="D1135" s="31"/>
      <c r="E1135" s="32" t="str">
        <f>IFERROR(_xlfn.XLOOKUP($B1135,Insumo[DESCRIPCION],Insumo[VALOR],,0),"")</f>
        <v/>
      </c>
      <c r="F1135" s="33"/>
      <c r="G1135" s="34" t="str">
        <f>IFERROR(IF(F1135&gt;=0,D1135*E1135*(1+F1135/100),ABS(D1135*E1135/F1135)),"")</f>
        <v/>
      </c>
      <c r="H1135" s="43" t="str">
        <f>IFERROR(G1135*E1128,"")</f>
        <v/>
      </c>
    </row>
    <row r="1136" spans="1:11">
      <c r="A1136" s="21"/>
      <c r="B1136" s="22" t="s">
        <v>3731</v>
      </c>
      <c r="C1136" s="23"/>
      <c r="D1136" s="24"/>
      <c r="E1136" s="25"/>
      <c r="F1136" s="26"/>
      <c r="G1136" s="27">
        <f>SUM(G1137:G1139)</f>
        <v>2110.4934666562508</v>
      </c>
      <c r="H1136" s="27">
        <f>IFERROR(G1136*E1128,"")</f>
        <v>0</v>
      </c>
    </row>
    <row r="1137" spans="1:11">
      <c r="A1137" s="28"/>
      <c r="B1137" s="29" t="s">
        <v>3626</v>
      </c>
      <c r="C1137" s="30" t="str">
        <f>IFERROR(_xlfn.XLOOKUP(B1137,Equipo[DESCRIPCION],Equipo[UND],,0),"")</f>
        <v>%MO</v>
      </c>
      <c r="D1137" s="31">
        <v>0.05</v>
      </c>
      <c r="E1137" s="32">
        <f>IF(C1137="%MO",G1143,IFERROR(_xlfn.XLOOKUP($B1137,Equipo[DESCRIPCION],Equipo[VALOR],,0),""))</f>
        <v>42209.869333125011</v>
      </c>
      <c r="F1137" s="33"/>
      <c r="G1137" s="34">
        <f>IFERROR(IF(F1137&gt;=0,D1137*E1137*(1+F1137/100),ABS(D1137*E1137/F1137)),"")</f>
        <v>2110.4934666562508</v>
      </c>
      <c r="H1137" s="43">
        <f>IFERROR(G1137*E1128,"")</f>
        <v>0</v>
      </c>
    </row>
    <row r="1138" spans="1:11">
      <c r="A1138" s="28"/>
      <c r="B1138" s="29"/>
      <c r="C1138" s="30" t="str">
        <f>IFERROR(_xlfn.XLOOKUP(B1138,Equipo[DESCRIPCION],Equipo[UND],,0),"")</f>
        <v/>
      </c>
      <c r="D1138" s="31"/>
      <c r="E1138" s="32" t="str">
        <f>IF(C1138="%MO",G1143,IFERROR(_xlfn.XLOOKUP($B1138,Equipo[DESCRIPCION],Equipo[VALOR],,0),""))</f>
        <v/>
      </c>
      <c r="F1138" s="33"/>
      <c r="G1138" s="34" t="str">
        <f>IFERROR(IF(F1138&gt;=0,D1138*E1138*(1+F1138/100),ABS(D1138*E1138/F1138)),"")</f>
        <v/>
      </c>
      <c r="H1138" s="43" t="str">
        <f>IFERROR(G1138*E1128,"")</f>
        <v/>
      </c>
    </row>
    <row r="1139" spans="1:11">
      <c r="A1139" s="28"/>
      <c r="B1139" s="29"/>
      <c r="C1139" s="30" t="str">
        <f>IFERROR(_xlfn.XLOOKUP(B1139,Equipo[DESCRIPCION],Equipo[UND],,0),"")</f>
        <v/>
      </c>
      <c r="D1139" s="31"/>
      <c r="E1139" s="32" t="str">
        <f>IF(C1139="%MO",G1143,IFERROR(_xlfn.XLOOKUP($B1139,Equipo[DESCRIPCION],Equipo[VALOR],,0),""))</f>
        <v/>
      </c>
      <c r="F1139" s="33"/>
      <c r="G1139" s="34" t="str">
        <f>IFERROR(IF(F1139&gt;=0,D1139*E1139*(1+F1139/100),ABS(D1139*E1139/F1139)),"")</f>
        <v/>
      </c>
      <c r="H1139" s="43" t="str">
        <f>IFERROR(G1139*E1128,"")</f>
        <v/>
      </c>
    </row>
    <row r="1140" spans="1:11">
      <c r="A1140" s="21"/>
      <c r="B1140" s="22" t="s">
        <v>2533</v>
      </c>
      <c r="C1140" s="23"/>
      <c r="D1140" s="24"/>
      <c r="E1140" s="25"/>
      <c r="F1140" s="26"/>
      <c r="G1140" s="27">
        <f>SUM(G1141:G1142)</f>
        <v>0</v>
      </c>
      <c r="H1140" s="27">
        <f>IFERROR(G1140*E1128,"")</f>
        <v>0</v>
      </c>
    </row>
    <row r="1141" spans="1:11">
      <c r="A1141" s="28"/>
      <c r="B1141" s="29"/>
      <c r="C1141" s="30" t="str">
        <f>IFERROR(_xlfn.XLOOKUP(B1141,Transporte[DESCRIPCION],Transporte[UND],,0),"")</f>
        <v/>
      </c>
      <c r="D1141" s="31"/>
      <c r="E1141" s="32" t="str">
        <f>IFERROR(_xlfn.XLOOKUP($B1141,Transporte[DESCRIPCION],Transporte[VALOR],,0),"")</f>
        <v/>
      </c>
      <c r="F1141" s="33"/>
      <c r="G1141" s="34" t="str">
        <f>IFERROR(IF(F1141&gt;=0,D1141*E1141*(1+F1141/100),ABS(D1141*E1141/F1141)),"")</f>
        <v/>
      </c>
      <c r="H1141" s="43" t="str">
        <f>IFERROR(G1141*E1128,"")</f>
        <v/>
      </c>
    </row>
    <row r="1142" spans="1:11">
      <c r="A1142" s="28"/>
      <c r="B1142" s="29"/>
      <c r="C1142" s="30" t="str">
        <f>IFERROR(_xlfn.XLOOKUP(B1142,Transporte[DESCRIPCION],Transporte[UND],,0),"")</f>
        <v/>
      </c>
      <c r="D1142" s="31"/>
      <c r="E1142" s="32" t="str">
        <f>IFERROR(_xlfn.XLOOKUP($B1142,Transporte[DESCRIPCION],Transporte[VALOR],,0),"")</f>
        <v/>
      </c>
      <c r="F1142" s="33"/>
      <c r="G1142" s="34" t="str">
        <f>IFERROR(IF(F1142&gt;=0,D1142*E1142*(1+F1142/100),ABS(D1142*E1142/F1142)),"")</f>
        <v/>
      </c>
      <c r="H1142" s="43" t="str">
        <f>IFERROR(G1142*E1128,"")</f>
        <v/>
      </c>
    </row>
    <row r="1143" spans="1:11">
      <c r="A1143" s="21"/>
      <c r="B1143" s="22" t="s">
        <v>3732</v>
      </c>
      <c r="C1143" s="23"/>
      <c r="D1143" s="24"/>
      <c r="E1143" s="25"/>
      <c r="F1143" s="26"/>
      <c r="G1143" s="27">
        <f>SUM(G1144:G1146)</f>
        <v>42209.869333125011</v>
      </c>
      <c r="H1143" s="27">
        <f>IFERROR(G1143*E1128,"")</f>
        <v>0</v>
      </c>
    </row>
    <row r="1144" spans="1:11">
      <c r="A1144" s="28"/>
      <c r="B1144" s="29" t="s">
        <v>3715</v>
      </c>
      <c r="C1144" s="30" t="str">
        <f>IFERROR(_xlfn.XLOOKUP(B1144,MObra[DESCRIPCION],MObra[UN],,0),"")</f>
        <v>día</v>
      </c>
      <c r="D1144" s="31">
        <v>1</v>
      </c>
      <c r="E1144" s="32">
        <f>IFERROR(_xlfn.XLOOKUP($B1144,MObra[DESCRIPCION],MObra[VALOR UNIT],,0),"")</f>
        <v>337678.95466500008</v>
      </c>
      <c r="F1144" s="33">
        <v>-8</v>
      </c>
      <c r="G1144" s="34">
        <f>IFERROR(IF(F1144&gt;=0,D1144*E1144*(1+F1144/100),ABS(D1144*E1144/F1144)),"")</f>
        <v>42209.869333125011</v>
      </c>
      <c r="H1144" s="43">
        <f>IFERROR(G1144*E1128,"")</f>
        <v>0</v>
      </c>
    </row>
    <row r="1145" spans="1:11">
      <c r="A1145" s="28"/>
      <c r="B1145" s="29"/>
      <c r="C1145" s="30" t="str">
        <f>IFERROR(_xlfn.XLOOKUP(B1145,MObra[DESCRIPCION],MObra[UN],,0),"")</f>
        <v/>
      </c>
      <c r="D1145" s="31"/>
      <c r="E1145" s="32" t="str">
        <f>IFERROR(_xlfn.XLOOKUP($B1145,MObra[DESCRIPCION],MObra[VALOR UNIT],,0),"")</f>
        <v/>
      </c>
      <c r="F1145" s="33"/>
      <c r="G1145" s="34" t="str">
        <f>IFERROR(IF(F1145&gt;=0,D1145*E1145*(1+F1145/100),ABS(D1145*E1145/F1145)),"")</f>
        <v/>
      </c>
      <c r="H1145" s="43" t="str">
        <f>IFERROR(G1145*E1128,"")</f>
        <v/>
      </c>
    </row>
    <row r="1146" spans="1:11">
      <c r="A1146" s="35"/>
      <c r="B1146" s="36"/>
      <c r="C1146" s="37" t="str">
        <f>IFERROR(_xlfn.XLOOKUP(B1146,MObra[DESCRIPCION],MObra[UN],,0),"")</f>
        <v/>
      </c>
      <c r="D1146" s="38"/>
      <c r="E1146" s="39" t="str">
        <f>IFERROR(_xlfn.XLOOKUP($B1146,MObra[DESCRIPCION],MObra[VALOR UNIT],,0),"")</f>
        <v/>
      </c>
      <c r="F1146" s="40"/>
      <c r="G1146" s="41" t="str">
        <f>IFERROR(IF(F1146&gt;=0,D1146*E1146*(1+F1146/100),ABS(D1146*E1146/F1146)),"")</f>
        <v/>
      </c>
      <c r="H1146" s="42" t="str">
        <f>IFERROR(G1146*E1128,"")</f>
        <v/>
      </c>
    </row>
    <row r="1147" spans="1:11" ht="12.75" customHeight="1" thickTop="1" thickBot="1"/>
    <row r="1148" spans="1:11" ht="26.25" thickTop="1" thickBot="1">
      <c r="A1148" s="6" t="s">
        <v>2374</v>
      </c>
      <c r="B1148" s="7" t="str">
        <f>VLOOKUP($A1148,Presupuesto!$A:$D,2,FALSE())</f>
        <v>LED luminaria tipo campana Inv. parque 40W, 4000K, 5400lm, IP65, 120-277V, 135 Lm/W, Clase 1, IRC &gt;=80</v>
      </c>
      <c r="C1148" s="8" t="str">
        <f>VLOOKUP($A1148,Presupuesto!$A:$D,3,FALSE())</f>
        <v>Un</v>
      </c>
      <c r="D1148" s="9"/>
      <c r="E1148" s="10">
        <f>VLOOKUP($A1148,Presupuesto!$A:$D,4,FALSE())</f>
        <v>0</v>
      </c>
      <c r="F1148" s="11" t="s">
        <v>2589</v>
      </c>
      <c r="G1148" s="12">
        <f>SUM(G1150:G1166)/2</f>
        <v>1680379.9627997812</v>
      </c>
      <c r="H1148" s="13">
        <f>ROUND(SUM(H1150:H1166),0)/2</f>
        <v>0</v>
      </c>
      <c r="I1148" s="10">
        <f>VLOOKUP(A1148,Presupuesto!$A:$F,6,0)</f>
        <v>0</v>
      </c>
      <c r="J1148" s="10">
        <f>+H1148-I1148</f>
        <v>0</v>
      </c>
      <c r="K1148" s="46">
        <f>+H1148-G1148*E1148</f>
        <v>0</v>
      </c>
    </row>
    <row r="1149" spans="1:11">
      <c r="A1149" s="14"/>
      <c r="B1149" s="15" t="s">
        <v>2586</v>
      </c>
      <c r="C1149" s="15" t="s">
        <v>5</v>
      </c>
      <c r="D1149" s="16" t="s">
        <v>6</v>
      </c>
      <c r="E1149" s="17" t="s">
        <v>7</v>
      </c>
      <c r="F1149" s="18" t="s">
        <v>3728</v>
      </c>
      <c r="G1149" s="19" t="s">
        <v>3729</v>
      </c>
      <c r="H1149" s="20" t="s">
        <v>3797</v>
      </c>
    </row>
    <row r="1150" spans="1:11">
      <c r="A1150" s="21"/>
      <c r="B1150" s="22" t="s">
        <v>3730</v>
      </c>
      <c r="C1150" s="23"/>
      <c r="D1150" s="24"/>
      <c r="E1150" s="25"/>
      <c r="F1150" s="26"/>
      <c r="G1150" s="27">
        <f>SUM(G1151:G1155)</f>
        <v>1636059.6</v>
      </c>
      <c r="H1150" s="27">
        <f>IFERROR(G1150*E1148,"")</f>
        <v>0</v>
      </c>
    </row>
    <row r="1151" spans="1:11" ht="25.5">
      <c r="A1151" s="28"/>
      <c r="B1151" s="29" t="s">
        <v>3086</v>
      </c>
      <c r="C1151" s="30" t="str">
        <f>IFERROR(_xlfn.XLOOKUP(B1151,Insumo[DESCRIPCION],Insumo[UND],,0),"")</f>
        <v>Un</v>
      </c>
      <c r="D1151" s="31">
        <v>1</v>
      </c>
      <c r="E1151" s="32">
        <f>IFERROR(_xlfn.XLOOKUP($B1151,Insumo[DESCRIPCION],Insumo[VALOR],,0),"")</f>
        <v>1622250</v>
      </c>
      <c r="F1151" s="33"/>
      <c r="G1151" s="34">
        <f>IFERROR(IF(F1151&gt;=0,D1151*E1151*(1+F1151/100),ABS(D1151*E1151/F1151)),"")</f>
        <v>1622250</v>
      </c>
      <c r="H1151" s="43">
        <f>IFERROR(G1151*E1148,"")</f>
        <v>0</v>
      </c>
    </row>
    <row r="1152" spans="1:11">
      <c r="A1152" s="28"/>
      <c r="B1152" s="29" t="s">
        <v>2800</v>
      </c>
      <c r="C1152" s="30" t="str">
        <f>IFERROR(_xlfn.XLOOKUP(B1152,Insumo[DESCRIPCION],Insumo[UND],,0),"")</f>
        <v>M</v>
      </c>
      <c r="D1152" s="31">
        <v>1</v>
      </c>
      <c r="E1152" s="32">
        <f>IFERROR(_xlfn.XLOOKUP($B1152,Insumo[DESCRIPCION],Insumo[VALOR],,0),"")</f>
        <v>7387.8</v>
      </c>
      <c r="F1152" s="33"/>
      <c r="G1152" s="34">
        <f>IFERROR(IF(F1152&gt;=0,D1152*E1152*(1+F1152/100),ABS(D1152*E1152/F1152)),"")</f>
        <v>7387.8</v>
      </c>
      <c r="H1152" s="43">
        <f>IFERROR(G1152*E1148,"")</f>
        <v>0</v>
      </c>
    </row>
    <row r="1153" spans="1:11">
      <c r="A1153" s="28"/>
      <c r="B1153" s="29" t="s">
        <v>2855</v>
      </c>
      <c r="C1153" s="30" t="str">
        <f>IFERROR(_xlfn.XLOOKUP(B1153,Insumo[DESCRIPCION],Insumo[UND],,0),"")</f>
        <v>Un</v>
      </c>
      <c r="D1153" s="31">
        <v>1</v>
      </c>
      <c r="E1153" s="32">
        <f>IFERROR(_xlfn.XLOOKUP($B1153,Insumo[DESCRIPCION],Insumo[VALOR],,0),"")</f>
        <v>6421.8</v>
      </c>
      <c r="F1153" s="33"/>
      <c r="G1153" s="34">
        <f>IFERROR(IF(F1153&gt;=0,D1153*E1153*(1+F1153/100),ABS(D1153*E1153/F1153)),"")</f>
        <v>6421.8</v>
      </c>
      <c r="H1153" s="43">
        <f>IFERROR(G1153*E1148,"")</f>
        <v>0</v>
      </c>
    </row>
    <row r="1154" spans="1:11">
      <c r="A1154" s="28"/>
      <c r="B1154" s="29"/>
      <c r="C1154" s="30" t="str">
        <f>IFERROR(_xlfn.XLOOKUP(B1154,Insumo[DESCRIPCION],Insumo[UND],,0),"")</f>
        <v/>
      </c>
      <c r="D1154" s="31"/>
      <c r="E1154" s="32" t="str">
        <f>IFERROR(_xlfn.XLOOKUP($B1154,Insumo[DESCRIPCION],Insumo[VALOR],,0),"")</f>
        <v/>
      </c>
      <c r="F1154" s="33"/>
      <c r="G1154" s="34" t="str">
        <f>IFERROR(IF(F1154&gt;=0,D1154*E1154*(1+F1154/100),ABS(D1154*E1154/F1154)),"")</f>
        <v/>
      </c>
      <c r="H1154" s="43" t="str">
        <f>IFERROR(G1154*E1148,"")</f>
        <v/>
      </c>
    </row>
    <row r="1155" spans="1:11">
      <c r="A1155" s="28"/>
      <c r="B1155" s="29"/>
      <c r="C1155" s="30" t="str">
        <f>IFERROR(_xlfn.XLOOKUP(B1155,Insumo[DESCRIPCION],Insumo[UND],,0),"")</f>
        <v/>
      </c>
      <c r="D1155" s="31"/>
      <c r="E1155" s="32" t="str">
        <f>IFERROR(_xlfn.XLOOKUP($B1155,Insumo[DESCRIPCION],Insumo[VALOR],,0),"")</f>
        <v/>
      </c>
      <c r="F1155" s="33"/>
      <c r="G1155" s="34" t="str">
        <f>IFERROR(IF(F1155&gt;=0,D1155*E1155*(1+F1155/100),ABS(D1155*E1155/F1155)),"")</f>
        <v/>
      </c>
      <c r="H1155" s="43" t="str">
        <f>IFERROR(G1155*E1148,"")</f>
        <v/>
      </c>
    </row>
    <row r="1156" spans="1:11">
      <c r="A1156" s="21"/>
      <c r="B1156" s="22" t="s">
        <v>3731</v>
      </c>
      <c r="C1156" s="23"/>
      <c r="D1156" s="24"/>
      <c r="E1156" s="25"/>
      <c r="F1156" s="26"/>
      <c r="G1156" s="27">
        <f>SUM(G1157:G1159)</f>
        <v>2110.4934666562508</v>
      </c>
      <c r="H1156" s="27">
        <f>IFERROR(G1156*E1148,"")</f>
        <v>0</v>
      </c>
    </row>
    <row r="1157" spans="1:11">
      <c r="A1157" s="28"/>
      <c r="B1157" s="29" t="s">
        <v>3626</v>
      </c>
      <c r="C1157" s="30" t="str">
        <f>IFERROR(_xlfn.XLOOKUP(B1157,Equipo[DESCRIPCION],Equipo[UND],,0),"")</f>
        <v>%MO</v>
      </c>
      <c r="D1157" s="31">
        <v>0.05</v>
      </c>
      <c r="E1157" s="32">
        <f>IF(C1157="%MO",G1163,IFERROR(_xlfn.XLOOKUP($B1157,Equipo[DESCRIPCION],Equipo[VALOR],,0),""))</f>
        <v>42209.869333125011</v>
      </c>
      <c r="F1157" s="33"/>
      <c r="G1157" s="34">
        <f>IFERROR(IF(F1157&gt;=0,D1157*E1157*(1+F1157/100),ABS(D1157*E1157/F1157)),"")</f>
        <v>2110.4934666562508</v>
      </c>
      <c r="H1157" s="43">
        <f>IFERROR(G1157*E1148,"")</f>
        <v>0</v>
      </c>
    </row>
    <row r="1158" spans="1:11">
      <c r="A1158" s="28"/>
      <c r="B1158" s="29"/>
      <c r="C1158" s="30" t="str">
        <f>IFERROR(_xlfn.XLOOKUP(B1158,Equipo[DESCRIPCION],Equipo[UND],,0),"")</f>
        <v/>
      </c>
      <c r="D1158" s="31"/>
      <c r="E1158" s="32" t="str">
        <f>IF(C1158="%MO",G1163,IFERROR(_xlfn.XLOOKUP($B1158,Equipo[DESCRIPCION],Equipo[VALOR],,0),""))</f>
        <v/>
      </c>
      <c r="F1158" s="33"/>
      <c r="G1158" s="34" t="str">
        <f>IFERROR(IF(F1158&gt;=0,D1158*E1158*(1+F1158/100),ABS(D1158*E1158/F1158)),"")</f>
        <v/>
      </c>
      <c r="H1158" s="43" t="str">
        <f>IFERROR(G1158*E1148,"")</f>
        <v/>
      </c>
    </row>
    <row r="1159" spans="1:11">
      <c r="A1159" s="28"/>
      <c r="B1159" s="29"/>
      <c r="C1159" s="30" t="str">
        <f>IFERROR(_xlfn.XLOOKUP(B1159,Equipo[DESCRIPCION],Equipo[UND],,0),"")</f>
        <v/>
      </c>
      <c r="D1159" s="31"/>
      <c r="E1159" s="32" t="str">
        <f>IF(C1159="%MO",G1163,IFERROR(_xlfn.XLOOKUP($B1159,Equipo[DESCRIPCION],Equipo[VALOR],,0),""))</f>
        <v/>
      </c>
      <c r="F1159" s="33"/>
      <c r="G1159" s="34" t="str">
        <f>IFERROR(IF(F1159&gt;=0,D1159*E1159*(1+F1159/100),ABS(D1159*E1159/F1159)),"")</f>
        <v/>
      </c>
      <c r="H1159" s="43" t="str">
        <f>IFERROR(G1159*E1148,"")</f>
        <v/>
      </c>
    </row>
    <row r="1160" spans="1:11">
      <c r="A1160" s="21"/>
      <c r="B1160" s="22" t="s">
        <v>2533</v>
      </c>
      <c r="C1160" s="23"/>
      <c r="D1160" s="24"/>
      <c r="E1160" s="25"/>
      <c r="F1160" s="26"/>
      <c r="G1160" s="27">
        <f>SUM(G1161:G1162)</f>
        <v>0</v>
      </c>
      <c r="H1160" s="27">
        <f>IFERROR(G1160*E1148,"")</f>
        <v>0</v>
      </c>
    </row>
    <row r="1161" spans="1:11">
      <c r="A1161" s="28"/>
      <c r="B1161" s="29"/>
      <c r="C1161" s="30" t="str">
        <f>IFERROR(_xlfn.XLOOKUP(B1161,Transporte[DESCRIPCION],Transporte[UND],,0),"")</f>
        <v/>
      </c>
      <c r="D1161" s="31"/>
      <c r="E1161" s="32" t="str">
        <f>IFERROR(_xlfn.XLOOKUP($B1161,Transporte[DESCRIPCION],Transporte[VALOR],,0),"")</f>
        <v/>
      </c>
      <c r="F1161" s="33"/>
      <c r="G1161" s="34" t="str">
        <f>IFERROR(IF(F1161&gt;=0,D1161*E1161*(1+F1161/100),ABS(D1161*E1161/F1161)),"")</f>
        <v/>
      </c>
      <c r="H1161" s="43" t="str">
        <f>IFERROR(G1161*E1148,"")</f>
        <v/>
      </c>
    </row>
    <row r="1162" spans="1:11">
      <c r="A1162" s="28"/>
      <c r="B1162" s="29"/>
      <c r="C1162" s="30" t="str">
        <f>IFERROR(_xlfn.XLOOKUP(B1162,Transporte[DESCRIPCION],Transporte[UND],,0),"")</f>
        <v/>
      </c>
      <c r="D1162" s="31"/>
      <c r="E1162" s="32" t="str">
        <f>IFERROR(_xlfn.XLOOKUP($B1162,Transporte[DESCRIPCION],Transporte[VALOR],,0),"")</f>
        <v/>
      </c>
      <c r="F1162" s="33"/>
      <c r="G1162" s="34" t="str">
        <f>IFERROR(IF(F1162&gt;=0,D1162*E1162*(1+F1162/100),ABS(D1162*E1162/F1162)),"")</f>
        <v/>
      </c>
      <c r="H1162" s="43" t="str">
        <f>IFERROR(G1162*E1148,"")</f>
        <v/>
      </c>
    </row>
    <row r="1163" spans="1:11">
      <c r="A1163" s="21"/>
      <c r="B1163" s="22" t="s">
        <v>3732</v>
      </c>
      <c r="C1163" s="23"/>
      <c r="D1163" s="24"/>
      <c r="E1163" s="25"/>
      <c r="F1163" s="26"/>
      <c r="G1163" s="27">
        <f>SUM(G1164:G1166)</f>
        <v>42209.869333125011</v>
      </c>
      <c r="H1163" s="27">
        <f>IFERROR(G1163*E1148,"")</f>
        <v>0</v>
      </c>
    </row>
    <row r="1164" spans="1:11">
      <c r="A1164" s="28"/>
      <c r="B1164" s="29" t="s">
        <v>3715</v>
      </c>
      <c r="C1164" s="30" t="str">
        <f>IFERROR(_xlfn.XLOOKUP(B1164,MObra[DESCRIPCION],MObra[UN],,0),"")</f>
        <v>día</v>
      </c>
      <c r="D1164" s="31">
        <v>1</v>
      </c>
      <c r="E1164" s="32">
        <f>IFERROR(_xlfn.XLOOKUP($B1164,MObra[DESCRIPCION],MObra[VALOR UNIT],,0),"")</f>
        <v>337678.95466500008</v>
      </c>
      <c r="F1164" s="33">
        <v>-8</v>
      </c>
      <c r="G1164" s="34">
        <f>IFERROR(IF(F1164&gt;=0,D1164*E1164*(1+F1164/100),ABS(D1164*E1164/F1164)),"")</f>
        <v>42209.869333125011</v>
      </c>
      <c r="H1164" s="43">
        <f>IFERROR(G1164*E1148,"")</f>
        <v>0</v>
      </c>
    </row>
    <row r="1165" spans="1:11">
      <c r="A1165" s="28"/>
      <c r="B1165" s="29"/>
      <c r="C1165" s="30" t="str">
        <f>IFERROR(_xlfn.XLOOKUP(B1165,MObra[DESCRIPCION],MObra[UN],,0),"")</f>
        <v/>
      </c>
      <c r="D1165" s="31"/>
      <c r="E1165" s="32" t="str">
        <f>IFERROR(_xlfn.XLOOKUP($B1165,MObra[DESCRIPCION],MObra[VALOR UNIT],,0),"")</f>
        <v/>
      </c>
      <c r="F1165" s="33"/>
      <c r="G1165" s="34" t="str">
        <f>IFERROR(IF(F1165&gt;=0,D1165*E1165*(1+F1165/100),ABS(D1165*E1165/F1165)),"")</f>
        <v/>
      </c>
      <c r="H1165" s="43" t="str">
        <f>IFERROR(G1165*E1148,"")</f>
        <v/>
      </c>
    </row>
    <row r="1166" spans="1:11">
      <c r="A1166" s="35"/>
      <c r="B1166" s="36"/>
      <c r="C1166" s="37" t="str">
        <f>IFERROR(_xlfn.XLOOKUP(B1166,MObra[DESCRIPCION],MObra[UN],,0),"")</f>
        <v/>
      </c>
      <c r="D1166" s="38"/>
      <c r="E1166" s="39" t="str">
        <f>IFERROR(_xlfn.XLOOKUP($B1166,MObra[DESCRIPCION],MObra[VALOR UNIT],,0),"")</f>
        <v/>
      </c>
      <c r="F1166" s="40"/>
      <c r="G1166" s="41" t="str">
        <f>IFERROR(IF(F1166&gt;=0,D1166*E1166*(1+F1166/100),ABS(D1166*E1166/F1166)),"")</f>
        <v/>
      </c>
      <c r="H1166" s="42" t="str">
        <f>IFERROR(G1166*E1148,"")</f>
        <v/>
      </c>
    </row>
    <row r="1168" spans="1:11" ht="25.5">
      <c r="A1168" s="6" t="s">
        <v>2376</v>
      </c>
      <c r="B1168" s="7" t="str">
        <f>VLOOKUP($A1168,Presupuesto!$A:$D,2,FALSE())</f>
        <v>LED luminaria tipo campana Inv. parque 120-277 Vac, 60W, 4000K, 8100lm, IP65, 120-277V, 135 Lm/W, Clase 1, IRC &gt;=80</v>
      </c>
      <c r="C1168" s="8" t="str">
        <f>VLOOKUP($A1168,Presupuesto!$A:$D,3,FALSE())</f>
        <v>Un</v>
      </c>
      <c r="D1168" s="9"/>
      <c r="E1168" s="10">
        <f>VLOOKUP($A1168,Presupuesto!$A:$D,4,FALSE())</f>
        <v>0</v>
      </c>
      <c r="F1168" s="11" t="s">
        <v>2589</v>
      </c>
      <c r="G1168" s="12">
        <f>SUM(G1170:G1186)/2</f>
        <v>1764379.9627997812</v>
      </c>
      <c r="H1168" s="13">
        <f>ROUND(SUM(H1170:H1186),0)/2</f>
        <v>0</v>
      </c>
      <c r="I1168" s="10">
        <f>VLOOKUP(A1168,Presupuesto!$A:$F,6,0)</f>
        <v>0</v>
      </c>
      <c r="J1168" s="10">
        <f>+H1168-I1168</f>
        <v>0</v>
      </c>
      <c r="K1168" s="46">
        <f>+H1168-G1168*E1168</f>
        <v>0</v>
      </c>
    </row>
    <row r="1169" spans="1:8">
      <c r="A1169" s="14"/>
      <c r="B1169" s="15" t="s">
        <v>2586</v>
      </c>
      <c r="C1169" s="15" t="s">
        <v>5</v>
      </c>
      <c r="D1169" s="16" t="s">
        <v>6</v>
      </c>
      <c r="E1169" s="17" t="s">
        <v>7</v>
      </c>
      <c r="F1169" s="18" t="s">
        <v>3728</v>
      </c>
      <c r="G1169" s="19" t="s">
        <v>3729</v>
      </c>
      <c r="H1169" s="20" t="s">
        <v>3797</v>
      </c>
    </row>
    <row r="1170" spans="1:8">
      <c r="A1170" s="21"/>
      <c r="B1170" s="22" t="s">
        <v>3730</v>
      </c>
      <c r="C1170" s="23"/>
      <c r="D1170" s="24"/>
      <c r="E1170" s="25"/>
      <c r="F1170" s="26"/>
      <c r="G1170" s="27">
        <f>SUM(G1171:G1175)</f>
        <v>1720059.6</v>
      </c>
      <c r="H1170" s="27">
        <f>IFERROR(G1170*E1168,"")</f>
        <v>0</v>
      </c>
    </row>
    <row r="1171" spans="1:8" ht="25.5">
      <c r="A1171" s="28"/>
      <c r="B1171" s="29" t="s">
        <v>3087</v>
      </c>
      <c r="C1171" s="30" t="str">
        <f>IFERROR(_xlfn.XLOOKUP(B1171,Insumo[DESCRIPCION],Insumo[UND],,0),"")</f>
        <v>Un</v>
      </c>
      <c r="D1171" s="31">
        <v>1</v>
      </c>
      <c r="E1171" s="32">
        <f>IFERROR(_xlfn.XLOOKUP($B1171,Insumo[DESCRIPCION],Insumo[VALOR],,0),"")</f>
        <v>1706250</v>
      </c>
      <c r="F1171" s="33"/>
      <c r="G1171" s="34">
        <f>IFERROR(IF(F1171&gt;=0,D1171*E1171*(1+F1171/100),ABS(D1171*E1171/F1171)),"")</f>
        <v>1706250</v>
      </c>
      <c r="H1171" s="43">
        <f>IFERROR(G1171*E1168,"")</f>
        <v>0</v>
      </c>
    </row>
    <row r="1172" spans="1:8">
      <c r="A1172" s="28"/>
      <c r="B1172" s="29" t="s">
        <v>2800</v>
      </c>
      <c r="C1172" s="30" t="str">
        <f>IFERROR(_xlfn.XLOOKUP(B1172,Insumo[DESCRIPCION],Insumo[UND],,0),"")</f>
        <v>M</v>
      </c>
      <c r="D1172" s="31">
        <v>1</v>
      </c>
      <c r="E1172" s="32">
        <f>IFERROR(_xlfn.XLOOKUP($B1172,Insumo[DESCRIPCION],Insumo[VALOR],,0),"")</f>
        <v>7387.8</v>
      </c>
      <c r="F1172" s="33"/>
      <c r="G1172" s="34">
        <f>IFERROR(IF(F1172&gt;=0,D1172*E1172*(1+F1172/100),ABS(D1172*E1172/F1172)),"")</f>
        <v>7387.8</v>
      </c>
      <c r="H1172" s="43">
        <f>IFERROR(G1172*E1168,"")</f>
        <v>0</v>
      </c>
    </row>
    <row r="1173" spans="1:8">
      <c r="A1173" s="28"/>
      <c r="B1173" s="29" t="s">
        <v>2855</v>
      </c>
      <c r="C1173" s="30" t="str">
        <f>IFERROR(_xlfn.XLOOKUP(B1173,Insumo[DESCRIPCION],Insumo[UND],,0),"")</f>
        <v>Un</v>
      </c>
      <c r="D1173" s="31">
        <v>1</v>
      </c>
      <c r="E1173" s="32">
        <f>IFERROR(_xlfn.XLOOKUP($B1173,Insumo[DESCRIPCION],Insumo[VALOR],,0),"")</f>
        <v>6421.8</v>
      </c>
      <c r="F1173" s="33"/>
      <c r="G1173" s="34">
        <f>IFERROR(IF(F1173&gt;=0,D1173*E1173*(1+F1173/100),ABS(D1173*E1173/F1173)),"")</f>
        <v>6421.8</v>
      </c>
      <c r="H1173" s="43">
        <f>IFERROR(G1173*E1168,"")</f>
        <v>0</v>
      </c>
    </row>
    <row r="1174" spans="1:8">
      <c r="A1174" s="28"/>
      <c r="B1174" s="29"/>
      <c r="C1174" s="30" t="str">
        <f>IFERROR(_xlfn.XLOOKUP(B1174,Insumo[DESCRIPCION],Insumo[UND],,0),"")</f>
        <v/>
      </c>
      <c r="D1174" s="31"/>
      <c r="E1174" s="32" t="str">
        <f>IFERROR(_xlfn.XLOOKUP($B1174,Insumo[DESCRIPCION],Insumo[VALOR],,0),"")</f>
        <v/>
      </c>
      <c r="F1174" s="33"/>
      <c r="G1174" s="34" t="str">
        <f>IFERROR(IF(F1174&gt;=0,D1174*E1174*(1+F1174/100),ABS(D1174*E1174/F1174)),"")</f>
        <v/>
      </c>
      <c r="H1174" s="43" t="str">
        <f>IFERROR(G1174*E1168,"")</f>
        <v/>
      </c>
    </row>
    <row r="1175" spans="1:8">
      <c r="A1175" s="28"/>
      <c r="B1175" s="29"/>
      <c r="C1175" s="30" t="str">
        <f>IFERROR(_xlfn.XLOOKUP(B1175,Insumo[DESCRIPCION],Insumo[UND],,0),"")</f>
        <v/>
      </c>
      <c r="D1175" s="31"/>
      <c r="E1175" s="32" t="str">
        <f>IFERROR(_xlfn.XLOOKUP($B1175,Insumo[DESCRIPCION],Insumo[VALOR],,0),"")</f>
        <v/>
      </c>
      <c r="F1175" s="33"/>
      <c r="G1175" s="34" t="str">
        <f>IFERROR(IF(F1175&gt;=0,D1175*E1175*(1+F1175/100),ABS(D1175*E1175/F1175)),"")</f>
        <v/>
      </c>
      <c r="H1175" s="43" t="str">
        <f>IFERROR(G1175*E1168,"")</f>
        <v/>
      </c>
    </row>
    <row r="1176" spans="1:8">
      <c r="A1176" s="21"/>
      <c r="B1176" s="22" t="s">
        <v>3731</v>
      </c>
      <c r="C1176" s="23"/>
      <c r="D1176" s="24"/>
      <c r="E1176" s="25"/>
      <c r="F1176" s="26"/>
      <c r="G1176" s="27">
        <f>SUM(G1177:G1179)</f>
        <v>2110.4934666562508</v>
      </c>
      <c r="H1176" s="27">
        <f>IFERROR(G1176*E1168,"")</f>
        <v>0</v>
      </c>
    </row>
    <row r="1177" spans="1:8">
      <c r="A1177" s="28"/>
      <c r="B1177" s="29" t="s">
        <v>3626</v>
      </c>
      <c r="C1177" s="30" t="str">
        <f>IFERROR(_xlfn.XLOOKUP(B1177,Equipo[DESCRIPCION],Equipo[UND],,0),"")</f>
        <v>%MO</v>
      </c>
      <c r="D1177" s="31">
        <v>0.05</v>
      </c>
      <c r="E1177" s="32">
        <f>IF(C1177="%MO",G1183,IFERROR(_xlfn.XLOOKUP($B1177,Equipo[DESCRIPCION],Equipo[VALOR],,0),""))</f>
        <v>42209.869333125011</v>
      </c>
      <c r="F1177" s="33"/>
      <c r="G1177" s="34">
        <f>IFERROR(IF(F1177&gt;=0,D1177*E1177*(1+F1177/100),ABS(D1177*E1177/F1177)),"")</f>
        <v>2110.4934666562508</v>
      </c>
      <c r="H1177" s="43">
        <f>IFERROR(G1177*E1168,"")</f>
        <v>0</v>
      </c>
    </row>
    <row r="1178" spans="1:8">
      <c r="A1178" s="28"/>
      <c r="B1178" s="29"/>
      <c r="C1178" s="30" t="str">
        <f>IFERROR(_xlfn.XLOOKUP(B1178,Equipo[DESCRIPCION],Equipo[UND],,0),"")</f>
        <v/>
      </c>
      <c r="D1178" s="31"/>
      <c r="E1178" s="32" t="str">
        <f>IF(C1178="%MO",G1183,IFERROR(_xlfn.XLOOKUP($B1178,Equipo[DESCRIPCION],Equipo[VALOR],,0),""))</f>
        <v/>
      </c>
      <c r="F1178" s="33"/>
      <c r="G1178" s="34" t="str">
        <f>IFERROR(IF(F1178&gt;=0,D1178*E1178*(1+F1178/100),ABS(D1178*E1178/F1178)),"")</f>
        <v/>
      </c>
      <c r="H1178" s="43" t="str">
        <f>IFERROR(G1178*E1168,"")</f>
        <v/>
      </c>
    </row>
    <row r="1179" spans="1:8">
      <c r="A1179" s="28"/>
      <c r="B1179" s="29"/>
      <c r="C1179" s="30" t="str">
        <f>IFERROR(_xlfn.XLOOKUP(B1179,Equipo[DESCRIPCION],Equipo[UND],,0),"")</f>
        <v/>
      </c>
      <c r="D1179" s="31"/>
      <c r="E1179" s="32" t="str">
        <f>IF(C1179="%MO",G1183,IFERROR(_xlfn.XLOOKUP($B1179,Equipo[DESCRIPCION],Equipo[VALOR],,0),""))</f>
        <v/>
      </c>
      <c r="F1179" s="33"/>
      <c r="G1179" s="34" t="str">
        <f>IFERROR(IF(F1179&gt;=0,D1179*E1179*(1+F1179/100),ABS(D1179*E1179/F1179)),"")</f>
        <v/>
      </c>
      <c r="H1179" s="43" t="str">
        <f>IFERROR(G1179*E1168,"")</f>
        <v/>
      </c>
    </row>
    <row r="1180" spans="1:8">
      <c r="A1180" s="21"/>
      <c r="B1180" s="22" t="s">
        <v>2533</v>
      </c>
      <c r="C1180" s="23"/>
      <c r="D1180" s="24"/>
      <c r="E1180" s="25"/>
      <c r="F1180" s="26"/>
      <c r="G1180" s="27">
        <f>SUM(G1181:G1182)</f>
        <v>0</v>
      </c>
      <c r="H1180" s="27">
        <f>IFERROR(G1180*E1168,"")</f>
        <v>0</v>
      </c>
    </row>
    <row r="1181" spans="1:8">
      <c r="A1181" s="28"/>
      <c r="B1181" s="29"/>
      <c r="C1181" s="30" t="str">
        <f>IFERROR(_xlfn.XLOOKUP(B1181,Transporte[DESCRIPCION],Transporte[UND],,0),"")</f>
        <v/>
      </c>
      <c r="D1181" s="31"/>
      <c r="E1181" s="32" t="str">
        <f>IFERROR(_xlfn.XLOOKUP($B1181,Transporte[DESCRIPCION],Transporte[VALOR],,0),"")</f>
        <v/>
      </c>
      <c r="F1181" s="33"/>
      <c r="G1181" s="34" t="str">
        <f>IFERROR(IF(F1181&gt;=0,D1181*E1181*(1+F1181/100),ABS(D1181*E1181/F1181)),"")</f>
        <v/>
      </c>
      <c r="H1181" s="43" t="str">
        <f>IFERROR(G1181*E1168,"")</f>
        <v/>
      </c>
    </row>
    <row r="1182" spans="1:8">
      <c r="A1182" s="28"/>
      <c r="B1182" s="29"/>
      <c r="C1182" s="30" t="str">
        <f>IFERROR(_xlfn.XLOOKUP(B1182,Transporte[DESCRIPCION],Transporte[UND],,0),"")</f>
        <v/>
      </c>
      <c r="D1182" s="31"/>
      <c r="E1182" s="32" t="str">
        <f>IFERROR(_xlfn.XLOOKUP($B1182,Transporte[DESCRIPCION],Transporte[VALOR],,0),"")</f>
        <v/>
      </c>
      <c r="F1182" s="33"/>
      <c r="G1182" s="34" t="str">
        <f>IFERROR(IF(F1182&gt;=0,D1182*E1182*(1+F1182/100),ABS(D1182*E1182/F1182)),"")</f>
        <v/>
      </c>
      <c r="H1182" s="43" t="str">
        <f>IFERROR(G1182*E1168,"")</f>
        <v/>
      </c>
    </row>
    <row r="1183" spans="1:8">
      <c r="A1183" s="21"/>
      <c r="B1183" s="22" t="s">
        <v>3732</v>
      </c>
      <c r="C1183" s="23"/>
      <c r="D1183" s="24"/>
      <c r="E1183" s="25"/>
      <c r="F1183" s="26"/>
      <c r="G1183" s="27">
        <f>SUM(G1184:G1186)</f>
        <v>42209.869333125011</v>
      </c>
      <c r="H1183" s="27">
        <f>IFERROR(G1183*E1168,"")</f>
        <v>0</v>
      </c>
    </row>
    <row r="1184" spans="1:8">
      <c r="A1184" s="28"/>
      <c r="B1184" s="29" t="s">
        <v>3715</v>
      </c>
      <c r="C1184" s="30" t="str">
        <f>IFERROR(_xlfn.XLOOKUP(B1184,MObra[DESCRIPCION],MObra[UN],,0),"")</f>
        <v>día</v>
      </c>
      <c r="D1184" s="31">
        <v>1</v>
      </c>
      <c r="E1184" s="32">
        <f>IFERROR(_xlfn.XLOOKUP($B1184,MObra[DESCRIPCION],MObra[VALOR UNIT],,0),"")</f>
        <v>337678.95466500008</v>
      </c>
      <c r="F1184" s="33">
        <v>-8</v>
      </c>
      <c r="G1184" s="34">
        <f>IFERROR(IF(F1184&gt;=0,D1184*E1184*(1+F1184/100),ABS(D1184*E1184/F1184)),"")</f>
        <v>42209.869333125011</v>
      </c>
      <c r="H1184" s="43">
        <f>IFERROR(G1184*E1168,"")</f>
        <v>0</v>
      </c>
    </row>
    <row r="1185" spans="1:11">
      <c r="A1185" s="28"/>
      <c r="B1185" s="29"/>
      <c r="C1185" s="30" t="str">
        <f>IFERROR(_xlfn.XLOOKUP(B1185,MObra[DESCRIPCION],MObra[UN],,0),"")</f>
        <v/>
      </c>
      <c r="D1185" s="31"/>
      <c r="E1185" s="32" t="str">
        <f>IFERROR(_xlfn.XLOOKUP($B1185,MObra[DESCRIPCION],MObra[VALOR UNIT],,0),"")</f>
        <v/>
      </c>
      <c r="F1185" s="33"/>
      <c r="G1185" s="34" t="str">
        <f>IFERROR(IF(F1185&gt;=0,D1185*E1185*(1+F1185/100),ABS(D1185*E1185/F1185)),"")</f>
        <v/>
      </c>
      <c r="H1185" s="43" t="str">
        <f>IFERROR(G1185*E1168,"")</f>
        <v/>
      </c>
    </row>
    <row r="1186" spans="1:11">
      <c r="A1186" s="35"/>
      <c r="B1186" s="36"/>
      <c r="C1186" s="37" t="str">
        <f>IFERROR(_xlfn.XLOOKUP(B1186,MObra[DESCRIPCION],MObra[UN],,0),"")</f>
        <v/>
      </c>
      <c r="D1186" s="38"/>
      <c r="E1186" s="39" t="str">
        <f>IFERROR(_xlfn.XLOOKUP($B1186,MObra[DESCRIPCION],MObra[VALOR UNIT],,0),"")</f>
        <v/>
      </c>
      <c r="F1186" s="40"/>
      <c r="G1186" s="41" t="str">
        <f>IFERROR(IF(F1186&gt;=0,D1186*E1186*(1+F1186/100),ABS(D1186*E1186/F1186)),"")</f>
        <v/>
      </c>
      <c r="H1186" s="42" t="str">
        <f>IFERROR(G1186*E1168,"")</f>
        <v/>
      </c>
    </row>
    <row r="1188" spans="1:11" ht="25.5">
      <c r="A1188" s="6" t="s">
        <v>2378</v>
      </c>
      <c r="B1188" s="7" t="str">
        <f>VLOOKUP($A1188,Presupuesto!$A:$D,2,FALSE())</f>
        <v>Luminaria tipo LED decorativa exterior 120-277 Vac, 6W, 3000K, 600lm, IP65, Clase 1, IRC &gt;=80, eficacia &gt;= 50 lm/W, VU&gt;= 50000h@L70</v>
      </c>
      <c r="C1188" s="8" t="str">
        <f>VLOOKUP($A1188,Presupuesto!$A:$D,3,FALSE())</f>
        <v>Un</v>
      </c>
      <c r="D1188" s="9"/>
      <c r="E1188" s="10">
        <f>VLOOKUP($A1188,Presupuesto!$A:$D,4,FALSE())</f>
        <v>0</v>
      </c>
      <c r="F1188" s="11" t="s">
        <v>2589</v>
      </c>
      <c r="G1188" s="12">
        <f>SUM(G1190:G1206)/2</f>
        <v>186229.96279978123</v>
      </c>
      <c r="H1188" s="13">
        <f>ROUND(SUM(H1190:H1206),0)/2</f>
        <v>0</v>
      </c>
      <c r="I1188" s="10">
        <f>VLOOKUP(A1188,Presupuesto!$A:$F,6,0)</f>
        <v>0</v>
      </c>
      <c r="J1188" s="10">
        <f>+H1188-I1188</f>
        <v>0</v>
      </c>
      <c r="K1188" s="46">
        <f>+H1188-G1188*E1188</f>
        <v>0</v>
      </c>
    </row>
    <row r="1189" spans="1:11">
      <c r="A1189" s="14"/>
      <c r="B1189" s="15" t="s">
        <v>2586</v>
      </c>
      <c r="C1189" s="15" t="s">
        <v>5</v>
      </c>
      <c r="D1189" s="16" t="s">
        <v>6</v>
      </c>
      <c r="E1189" s="17" t="s">
        <v>7</v>
      </c>
      <c r="F1189" s="18" t="s">
        <v>3728</v>
      </c>
      <c r="G1189" s="19" t="s">
        <v>3729</v>
      </c>
      <c r="H1189" s="20" t="s">
        <v>3797</v>
      </c>
    </row>
    <row r="1190" spans="1:11">
      <c r="A1190" s="21"/>
      <c r="B1190" s="22" t="s">
        <v>3730</v>
      </c>
      <c r="C1190" s="23"/>
      <c r="D1190" s="24"/>
      <c r="E1190" s="25"/>
      <c r="F1190" s="26"/>
      <c r="G1190" s="27">
        <f>SUM(G1191:G1195)</f>
        <v>141909.59999999998</v>
      </c>
      <c r="H1190" s="27">
        <f>IFERROR(G1190*E1188,"")</f>
        <v>0</v>
      </c>
    </row>
    <row r="1191" spans="1:11" ht="25.5">
      <c r="A1191" s="28"/>
      <c r="B1191" s="29" t="s">
        <v>3083</v>
      </c>
      <c r="C1191" s="30" t="str">
        <f>IFERROR(_xlfn.XLOOKUP(B1191,Insumo[DESCRIPCION],Insumo[UND],,0),"")</f>
        <v>Un</v>
      </c>
      <c r="D1191" s="31">
        <v>1</v>
      </c>
      <c r="E1191" s="32">
        <f>IFERROR(_xlfn.XLOOKUP($B1191,Insumo[DESCRIPCION],Insumo[VALOR],,0),"")</f>
        <v>128100</v>
      </c>
      <c r="F1191" s="33"/>
      <c r="G1191" s="34">
        <f>IFERROR(IF(F1191&gt;=0,D1191*E1191*(1+F1191/100),ABS(D1191*E1191/F1191)),"")</f>
        <v>128100</v>
      </c>
      <c r="H1191" s="43">
        <f>IFERROR(G1191*E1188,"")</f>
        <v>0</v>
      </c>
    </row>
    <row r="1192" spans="1:11">
      <c r="A1192" s="28"/>
      <c r="B1192" s="29" t="s">
        <v>2800</v>
      </c>
      <c r="C1192" s="30" t="str">
        <f>IFERROR(_xlfn.XLOOKUP(B1192,Insumo[DESCRIPCION],Insumo[UND],,0),"")</f>
        <v>M</v>
      </c>
      <c r="D1192" s="31">
        <v>1</v>
      </c>
      <c r="E1192" s="32">
        <f>IFERROR(_xlfn.XLOOKUP($B1192,Insumo[DESCRIPCION],Insumo[VALOR],,0),"")</f>
        <v>7387.8</v>
      </c>
      <c r="F1192" s="33"/>
      <c r="G1192" s="34">
        <f>IFERROR(IF(F1192&gt;=0,D1192*E1192*(1+F1192/100),ABS(D1192*E1192/F1192)),"")</f>
        <v>7387.8</v>
      </c>
      <c r="H1192" s="43">
        <f>IFERROR(G1192*E1188,"")</f>
        <v>0</v>
      </c>
    </row>
    <row r="1193" spans="1:11">
      <c r="A1193" s="28"/>
      <c r="B1193" s="29" t="s">
        <v>2855</v>
      </c>
      <c r="C1193" s="30" t="str">
        <f>IFERROR(_xlfn.XLOOKUP(B1193,Insumo[DESCRIPCION],Insumo[UND],,0),"")</f>
        <v>Un</v>
      </c>
      <c r="D1193" s="31">
        <v>1</v>
      </c>
      <c r="E1193" s="32">
        <f>IFERROR(_xlfn.XLOOKUP($B1193,Insumo[DESCRIPCION],Insumo[VALOR],,0),"")</f>
        <v>6421.8</v>
      </c>
      <c r="F1193" s="33"/>
      <c r="G1193" s="34">
        <f>IFERROR(IF(F1193&gt;=0,D1193*E1193*(1+F1193/100),ABS(D1193*E1193/F1193)),"")</f>
        <v>6421.8</v>
      </c>
      <c r="H1193" s="43">
        <f>IFERROR(G1193*E1188,"")</f>
        <v>0</v>
      </c>
    </row>
    <row r="1194" spans="1:11">
      <c r="A1194" s="28"/>
      <c r="B1194" s="29"/>
      <c r="C1194" s="30" t="str">
        <f>IFERROR(_xlfn.XLOOKUP(B1194,Insumo[DESCRIPCION],Insumo[UND],,0),"")</f>
        <v/>
      </c>
      <c r="D1194" s="31"/>
      <c r="E1194" s="32" t="str">
        <f>IFERROR(_xlfn.XLOOKUP($B1194,Insumo[DESCRIPCION],Insumo[VALOR],,0),"")</f>
        <v/>
      </c>
      <c r="F1194" s="33"/>
      <c r="G1194" s="34" t="str">
        <f>IFERROR(IF(F1194&gt;=0,D1194*E1194*(1+F1194/100),ABS(D1194*E1194/F1194)),"")</f>
        <v/>
      </c>
      <c r="H1194" s="43" t="str">
        <f>IFERROR(G1194*E1188,"")</f>
        <v/>
      </c>
    </row>
    <row r="1195" spans="1:11">
      <c r="A1195" s="28"/>
      <c r="B1195" s="29"/>
      <c r="C1195" s="30" t="str">
        <f>IFERROR(_xlfn.XLOOKUP(B1195,Insumo[DESCRIPCION],Insumo[UND],,0),"")</f>
        <v/>
      </c>
      <c r="D1195" s="31"/>
      <c r="E1195" s="32" t="str">
        <f>IFERROR(_xlfn.XLOOKUP($B1195,Insumo[DESCRIPCION],Insumo[VALOR],,0),"")</f>
        <v/>
      </c>
      <c r="F1195" s="33"/>
      <c r="G1195" s="34" t="str">
        <f>IFERROR(IF(F1195&gt;=0,D1195*E1195*(1+F1195/100),ABS(D1195*E1195/F1195)),"")</f>
        <v/>
      </c>
      <c r="H1195" s="43" t="str">
        <f>IFERROR(G1195*E1188,"")</f>
        <v/>
      </c>
    </row>
    <row r="1196" spans="1:11">
      <c r="A1196" s="21"/>
      <c r="B1196" s="22" t="s">
        <v>3731</v>
      </c>
      <c r="C1196" s="23"/>
      <c r="D1196" s="24"/>
      <c r="E1196" s="25"/>
      <c r="F1196" s="26"/>
      <c r="G1196" s="27">
        <f>SUM(G1197:G1199)</f>
        <v>2110.4934666562508</v>
      </c>
      <c r="H1196" s="27">
        <f>IFERROR(G1196*E1188,"")</f>
        <v>0</v>
      </c>
    </row>
    <row r="1197" spans="1:11">
      <c r="A1197" s="28"/>
      <c r="B1197" s="29" t="s">
        <v>3626</v>
      </c>
      <c r="C1197" s="30" t="str">
        <f>IFERROR(_xlfn.XLOOKUP(B1197,Equipo[DESCRIPCION],Equipo[UND],,0),"")</f>
        <v>%MO</v>
      </c>
      <c r="D1197" s="31">
        <v>0.05</v>
      </c>
      <c r="E1197" s="32">
        <f>IF(C1197="%MO",G1203,IFERROR(_xlfn.XLOOKUP($B1197,Equipo[DESCRIPCION],Equipo[VALOR],,0),""))</f>
        <v>42209.869333125011</v>
      </c>
      <c r="F1197" s="33"/>
      <c r="G1197" s="34">
        <f>IFERROR(IF(F1197&gt;=0,D1197*E1197*(1+F1197/100),ABS(D1197*E1197/F1197)),"")</f>
        <v>2110.4934666562508</v>
      </c>
      <c r="H1197" s="43">
        <f>IFERROR(G1197*E1188,"")</f>
        <v>0</v>
      </c>
    </row>
    <row r="1198" spans="1:11">
      <c r="A1198" s="28"/>
      <c r="B1198" s="29"/>
      <c r="C1198" s="30" t="str">
        <f>IFERROR(_xlfn.XLOOKUP(B1198,Equipo[DESCRIPCION],Equipo[UND],,0),"")</f>
        <v/>
      </c>
      <c r="D1198" s="31"/>
      <c r="E1198" s="32" t="str">
        <f>IF(C1198="%MO",G1203,IFERROR(_xlfn.XLOOKUP($B1198,Equipo[DESCRIPCION],Equipo[VALOR],,0),""))</f>
        <v/>
      </c>
      <c r="F1198" s="33"/>
      <c r="G1198" s="34" t="str">
        <f>IFERROR(IF(F1198&gt;=0,D1198*E1198*(1+F1198/100),ABS(D1198*E1198/F1198)),"")</f>
        <v/>
      </c>
      <c r="H1198" s="43" t="str">
        <f>IFERROR(G1198*E1188,"")</f>
        <v/>
      </c>
    </row>
    <row r="1199" spans="1:11">
      <c r="A1199" s="28"/>
      <c r="B1199" s="29"/>
      <c r="C1199" s="30" t="str">
        <f>IFERROR(_xlfn.XLOOKUP(B1199,Equipo[DESCRIPCION],Equipo[UND],,0),"")</f>
        <v/>
      </c>
      <c r="D1199" s="31"/>
      <c r="E1199" s="32" t="str">
        <f>IF(C1199="%MO",G1203,IFERROR(_xlfn.XLOOKUP($B1199,Equipo[DESCRIPCION],Equipo[VALOR],,0),""))</f>
        <v/>
      </c>
      <c r="F1199" s="33"/>
      <c r="G1199" s="34" t="str">
        <f>IFERROR(IF(F1199&gt;=0,D1199*E1199*(1+F1199/100),ABS(D1199*E1199/F1199)),"")</f>
        <v/>
      </c>
      <c r="H1199" s="43" t="str">
        <f>IFERROR(G1199*E1188,"")</f>
        <v/>
      </c>
    </row>
    <row r="1200" spans="1:11">
      <c r="A1200" s="21"/>
      <c r="B1200" s="22" t="s">
        <v>2533</v>
      </c>
      <c r="C1200" s="23"/>
      <c r="D1200" s="24"/>
      <c r="E1200" s="25"/>
      <c r="F1200" s="26"/>
      <c r="G1200" s="27">
        <f>SUM(G1201:G1202)</f>
        <v>0</v>
      </c>
      <c r="H1200" s="27">
        <f>IFERROR(G1200*E1188,"")</f>
        <v>0</v>
      </c>
    </row>
    <row r="1201" spans="1:11">
      <c r="A1201" s="28"/>
      <c r="B1201" s="29"/>
      <c r="C1201" s="30" t="str">
        <f>IFERROR(_xlfn.XLOOKUP(B1201,Transporte[DESCRIPCION],Transporte[UND],,0),"")</f>
        <v/>
      </c>
      <c r="D1201" s="31"/>
      <c r="E1201" s="32" t="str">
        <f>IFERROR(_xlfn.XLOOKUP($B1201,Transporte[DESCRIPCION],Transporte[VALOR],,0),"")</f>
        <v/>
      </c>
      <c r="F1201" s="33"/>
      <c r="G1201" s="34" t="str">
        <f>IFERROR(IF(F1201&gt;=0,D1201*E1201*(1+F1201/100),ABS(D1201*E1201/F1201)),"")</f>
        <v/>
      </c>
      <c r="H1201" s="43" t="str">
        <f>IFERROR(G1201*E1188,"")</f>
        <v/>
      </c>
    </row>
    <row r="1202" spans="1:11">
      <c r="A1202" s="28"/>
      <c r="B1202" s="29"/>
      <c r="C1202" s="30" t="str">
        <f>IFERROR(_xlfn.XLOOKUP(B1202,Transporte[DESCRIPCION],Transporte[UND],,0),"")</f>
        <v/>
      </c>
      <c r="D1202" s="31"/>
      <c r="E1202" s="32" t="str">
        <f>IFERROR(_xlfn.XLOOKUP($B1202,Transporte[DESCRIPCION],Transporte[VALOR],,0),"")</f>
        <v/>
      </c>
      <c r="F1202" s="33"/>
      <c r="G1202" s="34" t="str">
        <f>IFERROR(IF(F1202&gt;=0,D1202*E1202*(1+F1202/100),ABS(D1202*E1202/F1202)),"")</f>
        <v/>
      </c>
      <c r="H1202" s="43" t="str">
        <f>IFERROR(G1202*E1188,"")</f>
        <v/>
      </c>
    </row>
    <row r="1203" spans="1:11">
      <c r="A1203" s="21"/>
      <c r="B1203" s="22" t="s">
        <v>3732</v>
      </c>
      <c r="C1203" s="23"/>
      <c r="D1203" s="24"/>
      <c r="E1203" s="25"/>
      <c r="F1203" s="26"/>
      <c r="G1203" s="27">
        <f>SUM(G1204:G1206)</f>
        <v>42209.869333125011</v>
      </c>
      <c r="H1203" s="27">
        <f>IFERROR(G1203*E1188,"")</f>
        <v>0</v>
      </c>
    </row>
    <row r="1204" spans="1:11">
      <c r="A1204" s="28"/>
      <c r="B1204" s="29" t="s">
        <v>3715</v>
      </c>
      <c r="C1204" s="30" t="str">
        <f>IFERROR(_xlfn.XLOOKUP(B1204,MObra[DESCRIPCION],MObra[UN],,0),"")</f>
        <v>día</v>
      </c>
      <c r="D1204" s="31">
        <v>1</v>
      </c>
      <c r="E1204" s="32">
        <f>IFERROR(_xlfn.XLOOKUP($B1204,MObra[DESCRIPCION],MObra[VALOR UNIT],,0),"")</f>
        <v>337678.95466500008</v>
      </c>
      <c r="F1204" s="33">
        <v>-8</v>
      </c>
      <c r="G1204" s="34">
        <f>IFERROR(IF(F1204&gt;=0,D1204*E1204*(1+F1204/100),ABS(D1204*E1204/F1204)),"")</f>
        <v>42209.869333125011</v>
      </c>
      <c r="H1204" s="43">
        <f>IFERROR(G1204*E1188,"")</f>
        <v>0</v>
      </c>
    </row>
    <row r="1205" spans="1:11">
      <c r="A1205" s="28"/>
      <c r="B1205" s="29"/>
      <c r="C1205" s="30" t="str">
        <f>IFERROR(_xlfn.XLOOKUP(B1205,MObra[DESCRIPCION],MObra[UN],,0),"")</f>
        <v/>
      </c>
      <c r="D1205" s="31"/>
      <c r="E1205" s="32" t="str">
        <f>IFERROR(_xlfn.XLOOKUP($B1205,MObra[DESCRIPCION],MObra[VALOR UNIT],,0),"")</f>
        <v/>
      </c>
      <c r="F1205" s="33"/>
      <c r="G1205" s="34" t="str">
        <f>IFERROR(IF(F1205&gt;=0,D1205*E1205*(1+F1205/100),ABS(D1205*E1205/F1205)),"")</f>
        <v/>
      </c>
      <c r="H1205" s="43" t="str">
        <f>IFERROR(G1205*E1188,"")</f>
        <v/>
      </c>
    </row>
    <row r="1206" spans="1:11">
      <c r="A1206" s="35"/>
      <c r="B1206" s="36"/>
      <c r="C1206" s="37" t="str">
        <f>IFERROR(_xlfn.XLOOKUP(B1206,MObra[DESCRIPCION],MObra[UN],,0),"")</f>
        <v/>
      </c>
      <c r="D1206" s="38"/>
      <c r="E1206" s="39" t="str">
        <f>IFERROR(_xlfn.XLOOKUP($B1206,MObra[DESCRIPCION],MObra[VALOR UNIT],,0),"")</f>
        <v/>
      </c>
      <c r="F1206" s="40"/>
      <c r="G1206" s="41" t="str">
        <f>IFERROR(IF(F1206&gt;=0,D1206*E1206*(1+F1206/100),ABS(D1206*E1206/F1206)),"")</f>
        <v/>
      </c>
      <c r="H1206" s="42" t="str">
        <f>IFERROR(G1206*E1188,"")</f>
        <v/>
      </c>
    </row>
    <row r="1208" spans="1:11" ht="25.5">
      <c r="A1208" s="6" t="s">
        <v>2380</v>
      </c>
      <c r="B1208" s="7" t="str">
        <f>VLOOKUP($A1208,Presupuesto!$A:$D,2,FALSE())</f>
        <v>Luminaria tipo LED decorativa exterior 120-277 Vac, 9W, 3000K, 800lm, IIP65, Clase 1, IRC &gt;=80, eficacia &gt;= 50 lm/W, VU&gt;= 50000h@L70</v>
      </c>
      <c r="C1208" s="8" t="str">
        <f>VLOOKUP($A1208,Presupuesto!$A:$D,3,FALSE())</f>
        <v>Un</v>
      </c>
      <c r="D1208" s="9"/>
      <c r="E1208" s="10">
        <f>VLOOKUP($A1208,Presupuesto!$A:$D,4,FALSE())</f>
        <v>0</v>
      </c>
      <c r="F1208" s="11" t="s">
        <v>2589</v>
      </c>
      <c r="G1208" s="12">
        <f>SUM(G1210:G1226)/2</f>
        <v>222979.96279978123</v>
      </c>
      <c r="H1208" s="13">
        <f>ROUND(SUM(H1210:H1226),0)/2</f>
        <v>0</v>
      </c>
      <c r="I1208" s="10">
        <f>VLOOKUP(A1208,Presupuesto!$A:$F,6,0)</f>
        <v>0</v>
      </c>
      <c r="J1208" s="10">
        <f>+H1208-I1208</f>
        <v>0</v>
      </c>
      <c r="K1208" s="46">
        <f>+H1208-G1208*E1208</f>
        <v>0</v>
      </c>
    </row>
    <row r="1209" spans="1:11">
      <c r="A1209" s="14"/>
      <c r="B1209" s="15" t="s">
        <v>2586</v>
      </c>
      <c r="C1209" s="15" t="s">
        <v>5</v>
      </c>
      <c r="D1209" s="16" t="s">
        <v>6</v>
      </c>
      <c r="E1209" s="17" t="s">
        <v>7</v>
      </c>
      <c r="F1209" s="18" t="s">
        <v>3728</v>
      </c>
      <c r="G1209" s="19" t="s">
        <v>3729</v>
      </c>
      <c r="H1209" s="20" t="s">
        <v>3797</v>
      </c>
    </row>
    <row r="1210" spans="1:11">
      <c r="A1210" s="21"/>
      <c r="B1210" s="22" t="s">
        <v>3730</v>
      </c>
      <c r="C1210" s="23"/>
      <c r="D1210" s="24"/>
      <c r="E1210" s="25"/>
      <c r="F1210" s="26"/>
      <c r="G1210" s="27">
        <f>SUM(G1211:G1215)</f>
        <v>178659.59999999998</v>
      </c>
      <c r="H1210" s="27">
        <f>IFERROR(G1210*E1208,"")</f>
        <v>0</v>
      </c>
    </row>
    <row r="1211" spans="1:11" ht="25.5">
      <c r="A1211" s="28"/>
      <c r="B1211" s="29" t="s">
        <v>3084</v>
      </c>
      <c r="C1211" s="30" t="str">
        <f>IFERROR(_xlfn.XLOOKUP(B1211,Insumo[DESCRIPCION],Insumo[UND],,0),"")</f>
        <v>Un</v>
      </c>
      <c r="D1211" s="31">
        <v>1</v>
      </c>
      <c r="E1211" s="32">
        <f>IFERROR(_xlfn.XLOOKUP($B1211,Insumo[DESCRIPCION],Insumo[VALOR],,0),"")</f>
        <v>164850</v>
      </c>
      <c r="F1211" s="33"/>
      <c r="G1211" s="34">
        <f>IFERROR(IF(F1211&gt;=0,D1211*E1211*(1+F1211/100),ABS(D1211*E1211/F1211)),"")</f>
        <v>164850</v>
      </c>
      <c r="H1211" s="43">
        <f>IFERROR(G1211*E1208,"")</f>
        <v>0</v>
      </c>
    </row>
    <row r="1212" spans="1:11">
      <c r="A1212" s="28"/>
      <c r="B1212" s="29" t="s">
        <v>2800</v>
      </c>
      <c r="C1212" s="30" t="str">
        <f>IFERROR(_xlfn.XLOOKUP(B1212,Insumo[DESCRIPCION],Insumo[UND],,0),"")</f>
        <v>M</v>
      </c>
      <c r="D1212" s="31">
        <v>1</v>
      </c>
      <c r="E1212" s="32">
        <f>IFERROR(_xlfn.XLOOKUP($B1212,Insumo[DESCRIPCION],Insumo[VALOR],,0),"")</f>
        <v>7387.8</v>
      </c>
      <c r="F1212" s="33"/>
      <c r="G1212" s="34">
        <f>IFERROR(IF(F1212&gt;=0,D1212*E1212*(1+F1212/100),ABS(D1212*E1212/F1212)),"")</f>
        <v>7387.8</v>
      </c>
      <c r="H1212" s="43">
        <f>IFERROR(G1212*E1208,"")</f>
        <v>0</v>
      </c>
    </row>
    <row r="1213" spans="1:11">
      <c r="A1213" s="28"/>
      <c r="B1213" s="29" t="s">
        <v>2855</v>
      </c>
      <c r="C1213" s="30" t="str">
        <f>IFERROR(_xlfn.XLOOKUP(B1213,Insumo[DESCRIPCION],Insumo[UND],,0),"")</f>
        <v>Un</v>
      </c>
      <c r="D1213" s="31">
        <v>1</v>
      </c>
      <c r="E1213" s="32">
        <f>IFERROR(_xlfn.XLOOKUP($B1213,Insumo[DESCRIPCION],Insumo[VALOR],,0),"")</f>
        <v>6421.8</v>
      </c>
      <c r="F1213" s="33"/>
      <c r="G1213" s="34">
        <f>IFERROR(IF(F1213&gt;=0,D1213*E1213*(1+F1213/100),ABS(D1213*E1213/F1213)),"")</f>
        <v>6421.8</v>
      </c>
      <c r="H1213" s="43">
        <f>IFERROR(G1213*E1208,"")</f>
        <v>0</v>
      </c>
    </row>
    <row r="1214" spans="1:11">
      <c r="A1214" s="28"/>
      <c r="B1214" s="29"/>
      <c r="C1214" s="30" t="str">
        <f>IFERROR(_xlfn.XLOOKUP(B1214,Insumo[DESCRIPCION],Insumo[UND],,0),"")</f>
        <v/>
      </c>
      <c r="D1214" s="31"/>
      <c r="E1214" s="32" t="str">
        <f>IFERROR(_xlfn.XLOOKUP($B1214,Insumo[DESCRIPCION],Insumo[VALOR],,0),"")</f>
        <v/>
      </c>
      <c r="F1214" s="33"/>
      <c r="G1214" s="34" t="str">
        <f>IFERROR(IF(F1214&gt;=0,D1214*E1214*(1+F1214/100),ABS(D1214*E1214/F1214)),"")</f>
        <v/>
      </c>
      <c r="H1214" s="43" t="str">
        <f>IFERROR(G1214*E1208,"")</f>
        <v/>
      </c>
    </row>
    <row r="1215" spans="1:11">
      <c r="A1215" s="28"/>
      <c r="B1215" s="29"/>
      <c r="C1215" s="30" t="str">
        <f>IFERROR(_xlfn.XLOOKUP(B1215,Insumo[DESCRIPCION],Insumo[UND],,0),"")</f>
        <v/>
      </c>
      <c r="D1215" s="31"/>
      <c r="E1215" s="32" t="str">
        <f>IFERROR(_xlfn.XLOOKUP($B1215,Insumo[DESCRIPCION],Insumo[VALOR],,0),"")</f>
        <v/>
      </c>
      <c r="F1215" s="33"/>
      <c r="G1215" s="34" t="str">
        <f>IFERROR(IF(F1215&gt;=0,D1215*E1215*(1+F1215/100),ABS(D1215*E1215/F1215)),"")</f>
        <v/>
      </c>
      <c r="H1215" s="43" t="str">
        <f>IFERROR(G1215*E1208,"")</f>
        <v/>
      </c>
    </row>
    <row r="1216" spans="1:11">
      <c r="A1216" s="21"/>
      <c r="B1216" s="22" t="s">
        <v>3731</v>
      </c>
      <c r="C1216" s="23"/>
      <c r="D1216" s="24"/>
      <c r="E1216" s="25"/>
      <c r="F1216" s="26"/>
      <c r="G1216" s="27">
        <f>SUM(G1217:G1219)</f>
        <v>2110.4934666562508</v>
      </c>
      <c r="H1216" s="27">
        <f>IFERROR(G1216*E1208,"")</f>
        <v>0</v>
      </c>
    </row>
    <row r="1217" spans="1:11">
      <c r="A1217" s="28"/>
      <c r="B1217" s="29" t="s">
        <v>3626</v>
      </c>
      <c r="C1217" s="30" t="str">
        <f>IFERROR(_xlfn.XLOOKUP(B1217,Equipo[DESCRIPCION],Equipo[UND],,0),"")</f>
        <v>%MO</v>
      </c>
      <c r="D1217" s="31">
        <v>0.05</v>
      </c>
      <c r="E1217" s="32">
        <f>IF(C1217="%MO",G1223,IFERROR(_xlfn.XLOOKUP($B1217,Equipo[DESCRIPCION],Equipo[VALOR],,0),""))</f>
        <v>42209.869333125011</v>
      </c>
      <c r="F1217" s="33"/>
      <c r="G1217" s="34">
        <f>IFERROR(IF(F1217&gt;=0,D1217*E1217*(1+F1217/100),ABS(D1217*E1217/F1217)),"")</f>
        <v>2110.4934666562508</v>
      </c>
      <c r="H1217" s="43">
        <f>IFERROR(G1217*E1208,"")</f>
        <v>0</v>
      </c>
    </row>
    <row r="1218" spans="1:11">
      <c r="A1218" s="28"/>
      <c r="B1218" s="29"/>
      <c r="C1218" s="30" t="str">
        <f>IFERROR(_xlfn.XLOOKUP(B1218,Equipo[DESCRIPCION],Equipo[UND],,0),"")</f>
        <v/>
      </c>
      <c r="D1218" s="31"/>
      <c r="E1218" s="32" t="str">
        <f>IF(C1218="%MO",G1223,IFERROR(_xlfn.XLOOKUP($B1218,Equipo[DESCRIPCION],Equipo[VALOR],,0),""))</f>
        <v/>
      </c>
      <c r="F1218" s="33"/>
      <c r="G1218" s="34" t="str">
        <f>IFERROR(IF(F1218&gt;=0,D1218*E1218*(1+F1218/100),ABS(D1218*E1218/F1218)),"")</f>
        <v/>
      </c>
      <c r="H1218" s="43" t="str">
        <f>IFERROR(G1218*E1208,"")</f>
        <v/>
      </c>
    </row>
    <row r="1219" spans="1:11">
      <c r="A1219" s="28"/>
      <c r="B1219" s="29"/>
      <c r="C1219" s="30" t="str">
        <f>IFERROR(_xlfn.XLOOKUP(B1219,Equipo[DESCRIPCION],Equipo[UND],,0),"")</f>
        <v/>
      </c>
      <c r="D1219" s="31"/>
      <c r="E1219" s="32" t="str">
        <f>IF(C1219="%MO",G1223,IFERROR(_xlfn.XLOOKUP($B1219,Equipo[DESCRIPCION],Equipo[VALOR],,0),""))</f>
        <v/>
      </c>
      <c r="F1219" s="33"/>
      <c r="G1219" s="34" t="str">
        <f>IFERROR(IF(F1219&gt;=0,D1219*E1219*(1+F1219/100),ABS(D1219*E1219/F1219)),"")</f>
        <v/>
      </c>
      <c r="H1219" s="43" t="str">
        <f>IFERROR(G1219*E1208,"")</f>
        <v/>
      </c>
    </row>
    <row r="1220" spans="1:11">
      <c r="A1220" s="21"/>
      <c r="B1220" s="22" t="s">
        <v>2533</v>
      </c>
      <c r="C1220" s="23"/>
      <c r="D1220" s="24"/>
      <c r="E1220" s="25"/>
      <c r="F1220" s="26"/>
      <c r="G1220" s="27">
        <f>SUM(G1221:G1222)</f>
        <v>0</v>
      </c>
      <c r="H1220" s="27">
        <f>IFERROR(G1220*E1208,"")</f>
        <v>0</v>
      </c>
    </row>
    <row r="1221" spans="1:11">
      <c r="A1221" s="28"/>
      <c r="B1221" s="29"/>
      <c r="C1221" s="30" t="str">
        <f>IFERROR(_xlfn.XLOOKUP(B1221,Transporte[DESCRIPCION],Transporte[UND],,0),"")</f>
        <v/>
      </c>
      <c r="D1221" s="31"/>
      <c r="E1221" s="32" t="str">
        <f>IFERROR(_xlfn.XLOOKUP($B1221,Transporte[DESCRIPCION],Transporte[VALOR],,0),"")</f>
        <v/>
      </c>
      <c r="F1221" s="33"/>
      <c r="G1221" s="34" t="str">
        <f>IFERROR(IF(F1221&gt;=0,D1221*E1221*(1+F1221/100),ABS(D1221*E1221/F1221)),"")</f>
        <v/>
      </c>
      <c r="H1221" s="43" t="str">
        <f>IFERROR(G1221*E1208,"")</f>
        <v/>
      </c>
    </row>
    <row r="1222" spans="1:11">
      <c r="A1222" s="28"/>
      <c r="B1222" s="29"/>
      <c r="C1222" s="30" t="str">
        <f>IFERROR(_xlfn.XLOOKUP(B1222,Transporte[DESCRIPCION],Transporte[UND],,0),"")</f>
        <v/>
      </c>
      <c r="D1222" s="31"/>
      <c r="E1222" s="32" t="str">
        <f>IFERROR(_xlfn.XLOOKUP($B1222,Transporte[DESCRIPCION],Transporte[VALOR],,0),"")</f>
        <v/>
      </c>
      <c r="F1222" s="33"/>
      <c r="G1222" s="34" t="str">
        <f>IFERROR(IF(F1222&gt;=0,D1222*E1222*(1+F1222/100),ABS(D1222*E1222/F1222)),"")</f>
        <v/>
      </c>
      <c r="H1222" s="43" t="str">
        <f>IFERROR(G1222*E1208,"")</f>
        <v/>
      </c>
    </row>
    <row r="1223" spans="1:11">
      <c r="A1223" s="21"/>
      <c r="B1223" s="22" t="s">
        <v>3732</v>
      </c>
      <c r="C1223" s="23"/>
      <c r="D1223" s="24"/>
      <c r="E1223" s="25"/>
      <c r="F1223" s="26"/>
      <c r="G1223" s="27">
        <f>SUM(G1224:G1226)</f>
        <v>42209.869333125011</v>
      </c>
      <c r="H1223" s="27">
        <f>IFERROR(G1223*E1208,"")</f>
        <v>0</v>
      </c>
    </row>
    <row r="1224" spans="1:11">
      <c r="A1224" s="28"/>
      <c r="B1224" s="29" t="s">
        <v>3715</v>
      </c>
      <c r="C1224" s="30" t="str">
        <f>IFERROR(_xlfn.XLOOKUP(B1224,MObra[DESCRIPCION],MObra[UN],,0),"")</f>
        <v>día</v>
      </c>
      <c r="D1224" s="31">
        <v>1</v>
      </c>
      <c r="E1224" s="32">
        <f>IFERROR(_xlfn.XLOOKUP($B1224,MObra[DESCRIPCION],MObra[VALOR UNIT],,0),"")</f>
        <v>337678.95466500008</v>
      </c>
      <c r="F1224" s="33">
        <v>-8</v>
      </c>
      <c r="G1224" s="34">
        <f>IFERROR(IF(F1224&gt;=0,D1224*E1224*(1+F1224/100),ABS(D1224*E1224/F1224)),"")</f>
        <v>42209.869333125011</v>
      </c>
      <c r="H1224" s="43">
        <f>IFERROR(G1224*E1208,"")</f>
        <v>0</v>
      </c>
    </row>
    <row r="1225" spans="1:11">
      <c r="A1225" s="28"/>
      <c r="B1225" s="29"/>
      <c r="C1225" s="30" t="str">
        <f>IFERROR(_xlfn.XLOOKUP(B1225,MObra[DESCRIPCION],MObra[UN],,0),"")</f>
        <v/>
      </c>
      <c r="D1225" s="31"/>
      <c r="E1225" s="32" t="str">
        <f>IFERROR(_xlfn.XLOOKUP($B1225,MObra[DESCRIPCION],MObra[VALOR UNIT],,0),"")</f>
        <v/>
      </c>
      <c r="F1225" s="33"/>
      <c r="G1225" s="34" t="str">
        <f>IFERROR(IF(F1225&gt;=0,D1225*E1225*(1+F1225/100),ABS(D1225*E1225/F1225)),"")</f>
        <v/>
      </c>
      <c r="H1225" s="43" t="str">
        <f>IFERROR(G1225*E1208,"")</f>
        <v/>
      </c>
    </row>
    <row r="1226" spans="1:11">
      <c r="A1226" s="35"/>
      <c r="B1226" s="36"/>
      <c r="C1226" s="37" t="str">
        <f>IFERROR(_xlfn.XLOOKUP(B1226,MObra[DESCRIPCION],MObra[UN],,0),"")</f>
        <v/>
      </c>
      <c r="D1226" s="38"/>
      <c r="E1226" s="39" t="str">
        <f>IFERROR(_xlfn.XLOOKUP($B1226,MObra[DESCRIPCION],MObra[VALOR UNIT],,0),"")</f>
        <v/>
      </c>
      <c r="F1226" s="40"/>
      <c r="G1226" s="41" t="str">
        <f>IFERROR(IF(F1226&gt;=0,D1226*E1226*(1+F1226/100),ABS(D1226*E1226/F1226)),"")</f>
        <v/>
      </c>
      <c r="H1226" s="42" t="str">
        <f>IFERROR(G1226*E1208,"")</f>
        <v/>
      </c>
    </row>
    <row r="1228" spans="1:11" ht="25.5">
      <c r="A1228" s="6" t="s">
        <v>2382</v>
      </c>
      <c r="B1228" s="7" t="str">
        <f>VLOOKUP($A1228,Presupuesto!$A:$D,2,FALSE())</f>
        <v>Luminaria tipo LED decorativa exterior 120-277 Vac, 15W, 3000K, 1200lm, IP65, Clase 1, IRC &gt;=80, eficacia &gt;= 50 lm/W, VU&gt;= 50000h@L70</v>
      </c>
      <c r="C1228" s="8" t="str">
        <f>VLOOKUP($A1228,Presupuesto!$A:$D,3,FALSE())</f>
        <v>Un</v>
      </c>
      <c r="D1228" s="9"/>
      <c r="E1228" s="10">
        <f>VLOOKUP($A1228,Presupuesto!$A:$D,4,FALSE())</f>
        <v>0</v>
      </c>
      <c r="F1228" s="11" t="s">
        <v>2589</v>
      </c>
      <c r="G1228" s="12">
        <f>SUM(G1230:G1246)/2</f>
        <v>272329.96279978123</v>
      </c>
      <c r="H1228" s="13">
        <f>ROUND(SUM(H1230:H1246),0)/2</f>
        <v>0</v>
      </c>
      <c r="I1228" s="10">
        <f>VLOOKUP(A1228,Presupuesto!$A:$F,6,0)</f>
        <v>0</v>
      </c>
      <c r="J1228" s="10">
        <f>+H1228-I1228</f>
        <v>0</v>
      </c>
      <c r="K1228" s="46">
        <f>+H1228-G1228*E1228</f>
        <v>0</v>
      </c>
    </row>
    <row r="1229" spans="1:11">
      <c r="A1229" s="14"/>
      <c r="B1229" s="15" t="s">
        <v>2586</v>
      </c>
      <c r="C1229" s="15" t="s">
        <v>5</v>
      </c>
      <c r="D1229" s="16" t="s">
        <v>6</v>
      </c>
      <c r="E1229" s="17" t="s">
        <v>7</v>
      </c>
      <c r="F1229" s="18" t="s">
        <v>3728</v>
      </c>
      <c r="G1229" s="19" t="s">
        <v>3729</v>
      </c>
      <c r="H1229" s="20" t="s">
        <v>3797</v>
      </c>
    </row>
    <row r="1230" spans="1:11">
      <c r="A1230" s="21"/>
      <c r="B1230" s="22" t="s">
        <v>3730</v>
      </c>
      <c r="C1230" s="23"/>
      <c r="D1230" s="24"/>
      <c r="E1230" s="25"/>
      <c r="F1230" s="26"/>
      <c r="G1230" s="27">
        <f>SUM(G1231:G1235)</f>
        <v>228009.59999999998</v>
      </c>
      <c r="H1230" s="27">
        <f>IFERROR(G1230*E1228,"")</f>
        <v>0</v>
      </c>
    </row>
    <row r="1231" spans="1:11" ht="25.5">
      <c r="A1231" s="28"/>
      <c r="B1231" s="29" t="s">
        <v>3085</v>
      </c>
      <c r="C1231" s="30" t="str">
        <f>IFERROR(_xlfn.XLOOKUP(B1231,Insumo[DESCRIPCION],Insumo[UND],,0),"")</f>
        <v>Un</v>
      </c>
      <c r="D1231" s="31">
        <v>1</v>
      </c>
      <c r="E1231" s="32">
        <f>IFERROR(_xlfn.XLOOKUP($B1231,Insumo[DESCRIPCION],Insumo[VALOR],,0),"")</f>
        <v>214200</v>
      </c>
      <c r="F1231" s="33"/>
      <c r="G1231" s="34">
        <f>IFERROR(IF(F1231&gt;=0,D1231*E1231*(1+F1231/100),ABS(D1231*E1231/F1231)),"")</f>
        <v>214200</v>
      </c>
      <c r="H1231" s="43">
        <f>IFERROR(G1231*E1228,"")</f>
        <v>0</v>
      </c>
    </row>
    <row r="1232" spans="1:11">
      <c r="A1232" s="28"/>
      <c r="B1232" s="29" t="s">
        <v>2800</v>
      </c>
      <c r="C1232" s="30" t="str">
        <f>IFERROR(_xlfn.XLOOKUP(B1232,Insumo[DESCRIPCION],Insumo[UND],,0),"")</f>
        <v>M</v>
      </c>
      <c r="D1232" s="31">
        <v>1</v>
      </c>
      <c r="E1232" s="32">
        <f>IFERROR(_xlfn.XLOOKUP($B1232,Insumo[DESCRIPCION],Insumo[VALOR],,0),"")</f>
        <v>7387.8</v>
      </c>
      <c r="F1232" s="33"/>
      <c r="G1232" s="34">
        <f>IFERROR(IF(F1232&gt;=0,D1232*E1232*(1+F1232/100),ABS(D1232*E1232/F1232)),"")</f>
        <v>7387.8</v>
      </c>
      <c r="H1232" s="43">
        <f>IFERROR(G1232*E1228,"")</f>
        <v>0</v>
      </c>
    </row>
    <row r="1233" spans="1:11">
      <c r="A1233" s="28"/>
      <c r="B1233" s="29" t="s">
        <v>2855</v>
      </c>
      <c r="C1233" s="30" t="str">
        <f>IFERROR(_xlfn.XLOOKUP(B1233,Insumo[DESCRIPCION],Insumo[UND],,0),"")</f>
        <v>Un</v>
      </c>
      <c r="D1233" s="31">
        <v>1</v>
      </c>
      <c r="E1233" s="32">
        <f>IFERROR(_xlfn.XLOOKUP($B1233,Insumo[DESCRIPCION],Insumo[VALOR],,0),"")</f>
        <v>6421.8</v>
      </c>
      <c r="F1233" s="33"/>
      <c r="G1233" s="34">
        <f>IFERROR(IF(F1233&gt;=0,D1233*E1233*(1+F1233/100),ABS(D1233*E1233/F1233)),"")</f>
        <v>6421.8</v>
      </c>
      <c r="H1233" s="43">
        <f>IFERROR(G1233*E1228,"")</f>
        <v>0</v>
      </c>
    </row>
    <row r="1234" spans="1:11">
      <c r="A1234" s="28"/>
      <c r="B1234" s="29"/>
      <c r="C1234" s="30" t="str">
        <f>IFERROR(_xlfn.XLOOKUP(B1234,Insumo[DESCRIPCION],Insumo[UND],,0),"")</f>
        <v/>
      </c>
      <c r="D1234" s="31"/>
      <c r="E1234" s="32" t="str">
        <f>IFERROR(_xlfn.XLOOKUP($B1234,Insumo[DESCRIPCION],Insumo[VALOR],,0),"")</f>
        <v/>
      </c>
      <c r="F1234" s="33"/>
      <c r="G1234" s="34" t="str">
        <f>IFERROR(IF(F1234&gt;=0,D1234*E1234*(1+F1234/100),ABS(D1234*E1234/F1234)),"")</f>
        <v/>
      </c>
      <c r="H1234" s="43" t="str">
        <f>IFERROR(G1234*E1228,"")</f>
        <v/>
      </c>
    </row>
    <row r="1235" spans="1:11">
      <c r="A1235" s="28"/>
      <c r="B1235" s="29"/>
      <c r="C1235" s="30" t="str">
        <f>IFERROR(_xlfn.XLOOKUP(B1235,Insumo[DESCRIPCION],Insumo[UND],,0),"")</f>
        <v/>
      </c>
      <c r="D1235" s="31"/>
      <c r="E1235" s="32" t="str">
        <f>IFERROR(_xlfn.XLOOKUP($B1235,Insumo[DESCRIPCION],Insumo[VALOR],,0),"")</f>
        <v/>
      </c>
      <c r="F1235" s="33"/>
      <c r="G1235" s="34" t="str">
        <f>IFERROR(IF(F1235&gt;=0,D1235*E1235*(1+F1235/100),ABS(D1235*E1235/F1235)),"")</f>
        <v/>
      </c>
      <c r="H1235" s="43" t="str">
        <f>IFERROR(G1235*E1228,"")</f>
        <v/>
      </c>
    </row>
    <row r="1236" spans="1:11">
      <c r="A1236" s="21"/>
      <c r="B1236" s="22" t="s">
        <v>3731</v>
      </c>
      <c r="C1236" s="23"/>
      <c r="D1236" s="24"/>
      <c r="E1236" s="25"/>
      <c r="F1236" s="26"/>
      <c r="G1236" s="27">
        <f>SUM(G1237:G1239)</f>
        <v>2110.4934666562508</v>
      </c>
      <c r="H1236" s="27">
        <f>IFERROR(G1236*E1228,"")</f>
        <v>0</v>
      </c>
    </row>
    <row r="1237" spans="1:11">
      <c r="A1237" s="28"/>
      <c r="B1237" s="29" t="s">
        <v>3626</v>
      </c>
      <c r="C1237" s="30" t="str">
        <f>IFERROR(_xlfn.XLOOKUP(B1237,Equipo[DESCRIPCION],Equipo[UND],,0),"")</f>
        <v>%MO</v>
      </c>
      <c r="D1237" s="31">
        <v>0.05</v>
      </c>
      <c r="E1237" s="32">
        <f>IF(C1237="%MO",G1243,IFERROR(_xlfn.XLOOKUP($B1237,Equipo[DESCRIPCION],Equipo[VALOR],,0),""))</f>
        <v>42209.869333125011</v>
      </c>
      <c r="F1237" s="33"/>
      <c r="G1237" s="34">
        <f>IFERROR(IF(F1237&gt;=0,D1237*E1237*(1+F1237/100),ABS(D1237*E1237/F1237)),"")</f>
        <v>2110.4934666562508</v>
      </c>
      <c r="H1237" s="43">
        <f>IFERROR(G1237*E1228,"")</f>
        <v>0</v>
      </c>
    </row>
    <row r="1238" spans="1:11">
      <c r="A1238" s="28"/>
      <c r="B1238" s="29"/>
      <c r="C1238" s="30" t="str">
        <f>IFERROR(_xlfn.XLOOKUP(B1238,Equipo[DESCRIPCION],Equipo[UND],,0),"")</f>
        <v/>
      </c>
      <c r="D1238" s="31"/>
      <c r="E1238" s="32" t="str">
        <f>IF(C1238="%MO",G1243,IFERROR(_xlfn.XLOOKUP($B1238,Equipo[DESCRIPCION],Equipo[VALOR],,0),""))</f>
        <v/>
      </c>
      <c r="F1238" s="33"/>
      <c r="G1238" s="34" t="str">
        <f>IFERROR(IF(F1238&gt;=0,D1238*E1238*(1+F1238/100),ABS(D1238*E1238/F1238)),"")</f>
        <v/>
      </c>
      <c r="H1238" s="43" t="str">
        <f>IFERROR(G1238*E1228,"")</f>
        <v/>
      </c>
    </row>
    <row r="1239" spans="1:11">
      <c r="A1239" s="28"/>
      <c r="B1239" s="29"/>
      <c r="C1239" s="30" t="str">
        <f>IFERROR(_xlfn.XLOOKUP(B1239,Equipo[DESCRIPCION],Equipo[UND],,0),"")</f>
        <v/>
      </c>
      <c r="D1239" s="31"/>
      <c r="E1239" s="32" t="str">
        <f>IF(C1239="%MO",G1243,IFERROR(_xlfn.XLOOKUP($B1239,Equipo[DESCRIPCION],Equipo[VALOR],,0),""))</f>
        <v/>
      </c>
      <c r="F1239" s="33"/>
      <c r="G1239" s="34" t="str">
        <f>IFERROR(IF(F1239&gt;=0,D1239*E1239*(1+F1239/100),ABS(D1239*E1239/F1239)),"")</f>
        <v/>
      </c>
      <c r="H1239" s="43" t="str">
        <f>IFERROR(G1239*E1228,"")</f>
        <v/>
      </c>
    </row>
    <row r="1240" spans="1:11">
      <c r="A1240" s="21"/>
      <c r="B1240" s="22" t="s">
        <v>2533</v>
      </c>
      <c r="C1240" s="23"/>
      <c r="D1240" s="24"/>
      <c r="E1240" s="25"/>
      <c r="F1240" s="26"/>
      <c r="G1240" s="27">
        <f>SUM(G1241:G1242)</f>
        <v>0</v>
      </c>
      <c r="H1240" s="27">
        <f>IFERROR(G1240*E1228,"")</f>
        <v>0</v>
      </c>
    </row>
    <row r="1241" spans="1:11">
      <c r="A1241" s="28"/>
      <c r="B1241" s="29"/>
      <c r="C1241" s="30" t="str">
        <f>IFERROR(_xlfn.XLOOKUP(B1241,Transporte[DESCRIPCION],Transporte[UND],,0),"")</f>
        <v/>
      </c>
      <c r="D1241" s="31"/>
      <c r="E1241" s="32" t="str">
        <f>IFERROR(_xlfn.XLOOKUP($B1241,Transporte[DESCRIPCION],Transporte[VALOR],,0),"")</f>
        <v/>
      </c>
      <c r="F1241" s="33"/>
      <c r="G1241" s="34" t="str">
        <f>IFERROR(IF(F1241&gt;=0,D1241*E1241*(1+F1241/100),ABS(D1241*E1241/F1241)),"")</f>
        <v/>
      </c>
      <c r="H1241" s="43" t="str">
        <f>IFERROR(G1241*E1228,"")</f>
        <v/>
      </c>
    </row>
    <row r="1242" spans="1:11">
      <c r="A1242" s="28"/>
      <c r="B1242" s="29"/>
      <c r="C1242" s="30" t="str">
        <f>IFERROR(_xlfn.XLOOKUP(B1242,Transporte[DESCRIPCION],Transporte[UND],,0),"")</f>
        <v/>
      </c>
      <c r="D1242" s="31"/>
      <c r="E1242" s="32" t="str">
        <f>IFERROR(_xlfn.XLOOKUP($B1242,Transporte[DESCRIPCION],Transporte[VALOR],,0),"")</f>
        <v/>
      </c>
      <c r="F1242" s="33"/>
      <c r="G1242" s="34" t="str">
        <f>IFERROR(IF(F1242&gt;=0,D1242*E1242*(1+F1242/100),ABS(D1242*E1242/F1242)),"")</f>
        <v/>
      </c>
      <c r="H1242" s="43" t="str">
        <f>IFERROR(G1242*E1228,"")</f>
        <v/>
      </c>
    </row>
    <row r="1243" spans="1:11">
      <c r="A1243" s="21"/>
      <c r="B1243" s="22" t="s">
        <v>3732</v>
      </c>
      <c r="C1243" s="23"/>
      <c r="D1243" s="24"/>
      <c r="E1243" s="25"/>
      <c r="F1243" s="26"/>
      <c r="G1243" s="27">
        <f>SUM(G1244:G1246)</f>
        <v>42209.869333125011</v>
      </c>
      <c r="H1243" s="27">
        <f>IFERROR(G1243*E1228,"")</f>
        <v>0</v>
      </c>
    </row>
    <row r="1244" spans="1:11">
      <c r="A1244" s="28"/>
      <c r="B1244" s="29" t="s">
        <v>3715</v>
      </c>
      <c r="C1244" s="30" t="str">
        <f>IFERROR(_xlfn.XLOOKUP(B1244,MObra[DESCRIPCION],MObra[UN],,0),"")</f>
        <v>día</v>
      </c>
      <c r="D1244" s="31">
        <v>1</v>
      </c>
      <c r="E1244" s="32">
        <f>IFERROR(_xlfn.XLOOKUP($B1244,MObra[DESCRIPCION],MObra[VALOR UNIT],,0),"")</f>
        <v>337678.95466500008</v>
      </c>
      <c r="F1244" s="33">
        <v>-8</v>
      </c>
      <c r="G1244" s="34">
        <f>IFERROR(IF(F1244&gt;=0,D1244*E1244*(1+F1244/100),ABS(D1244*E1244/F1244)),"")</f>
        <v>42209.869333125011</v>
      </c>
      <c r="H1244" s="43">
        <f>IFERROR(G1244*E1228,"")</f>
        <v>0</v>
      </c>
    </row>
    <row r="1245" spans="1:11">
      <c r="A1245" s="28"/>
      <c r="B1245" s="29"/>
      <c r="C1245" s="30" t="str">
        <f>IFERROR(_xlfn.XLOOKUP(B1245,MObra[DESCRIPCION],MObra[UN],,0),"")</f>
        <v/>
      </c>
      <c r="D1245" s="31"/>
      <c r="E1245" s="32" t="str">
        <f>IFERROR(_xlfn.XLOOKUP($B1245,MObra[DESCRIPCION],MObra[VALOR UNIT],,0),"")</f>
        <v/>
      </c>
      <c r="F1245" s="33"/>
      <c r="G1245" s="34" t="str">
        <f>IFERROR(IF(F1245&gt;=0,D1245*E1245*(1+F1245/100),ABS(D1245*E1245/F1245)),"")</f>
        <v/>
      </c>
      <c r="H1245" s="43" t="str">
        <f>IFERROR(G1245*E1228,"")</f>
        <v/>
      </c>
    </row>
    <row r="1246" spans="1:11">
      <c r="A1246" s="35"/>
      <c r="B1246" s="36"/>
      <c r="C1246" s="37" t="str">
        <f>IFERROR(_xlfn.XLOOKUP(B1246,MObra[DESCRIPCION],MObra[UN],,0),"")</f>
        <v/>
      </c>
      <c r="D1246" s="38"/>
      <c r="E1246" s="39" t="str">
        <f>IFERROR(_xlfn.XLOOKUP($B1246,MObra[DESCRIPCION],MObra[VALOR UNIT],,0),"")</f>
        <v/>
      </c>
      <c r="F1246" s="40"/>
      <c r="G1246" s="41" t="str">
        <f>IFERROR(IF(F1246&gt;=0,D1246*E1246*(1+F1246/100),ABS(D1246*E1246/F1246)),"")</f>
        <v/>
      </c>
      <c r="H1246" s="42" t="str">
        <f>IFERROR(G1246*E1228,"")</f>
        <v/>
      </c>
    </row>
    <row r="1247" spans="1:11" ht="12.75" customHeight="1" thickTop="1" thickBot="1"/>
    <row r="1248" spans="1:11" ht="39" thickTop="1" thickBot="1">
      <c r="A1248" s="6" t="s">
        <v>2384</v>
      </c>
      <c r="B1248" s="7" t="str">
        <f>VLOOKUP($A1248,Presupuesto!$A:$D,2,FALSE())</f>
        <v>Panel LED incrustar para área limpia incrustar/suspender Class 1,41 W, eficacia &gt;= 80 lm/W, VU&gt;= 50000 h @L70, medidas= 1200x300 mm, 4000 lm, 4000 K, CRI&gt;=90, UGR19, IP 65, IK 07, cierre óptico en vidrio</v>
      </c>
      <c r="C1248" s="8" t="str">
        <f>VLOOKUP($A1248,Presupuesto!$A:$D,3,FALSE())</f>
        <v>Un</v>
      </c>
      <c r="D1248" s="9"/>
      <c r="E1248" s="10">
        <f>VLOOKUP($A1248,Presupuesto!$A:$D,4,FALSE())</f>
        <v>0</v>
      </c>
      <c r="F1248" s="11" t="s">
        <v>2589</v>
      </c>
      <c r="G1248" s="12">
        <f>SUM(G1250:G1266)/2</f>
        <v>2070979.9627997812</v>
      </c>
      <c r="H1248" s="13">
        <f>ROUND(SUM(H1250:H1266),0)/2</f>
        <v>0</v>
      </c>
      <c r="I1248" s="10">
        <f>VLOOKUP(A1248,Presupuesto!$A:$F,6,0)</f>
        <v>0</v>
      </c>
      <c r="J1248" s="10">
        <f>+H1248-I1248</f>
        <v>0</v>
      </c>
      <c r="K1248" s="46">
        <f>+H1248-G1248*E1248</f>
        <v>0</v>
      </c>
    </row>
    <row r="1249" spans="1:8">
      <c r="A1249" s="14"/>
      <c r="B1249" s="15" t="s">
        <v>2586</v>
      </c>
      <c r="C1249" s="15" t="s">
        <v>5</v>
      </c>
      <c r="D1249" s="16" t="s">
        <v>6</v>
      </c>
      <c r="E1249" s="17" t="s">
        <v>7</v>
      </c>
      <c r="F1249" s="18" t="s">
        <v>3728</v>
      </c>
      <c r="G1249" s="19" t="s">
        <v>3729</v>
      </c>
      <c r="H1249" s="20" t="s">
        <v>3797</v>
      </c>
    </row>
    <row r="1250" spans="1:8">
      <c r="A1250" s="21"/>
      <c r="B1250" s="22" t="s">
        <v>3730</v>
      </c>
      <c r="C1250" s="23"/>
      <c r="D1250" s="24"/>
      <c r="E1250" s="25"/>
      <c r="F1250" s="26"/>
      <c r="G1250" s="27">
        <f>SUM(G1251:G1255)</f>
        <v>2026659.6</v>
      </c>
      <c r="H1250" s="27">
        <f>IFERROR(G1250*E1248,"")</f>
        <v>0</v>
      </c>
    </row>
    <row r="1251" spans="1:8" ht="38.25">
      <c r="A1251" s="28"/>
      <c r="B1251" s="29" t="s">
        <v>3185</v>
      </c>
      <c r="C1251" s="30" t="str">
        <f>IFERROR(_xlfn.XLOOKUP(B1251,Insumo[DESCRIPCION],Insumo[UND],,0),"")</f>
        <v>Un</v>
      </c>
      <c r="D1251" s="31">
        <v>1</v>
      </c>
      <c r="E1251" s="32">
        <f>IFERROR(_xlfn.XLOOKUP($B1251,Insumo[DESCRIPCION],Insumo[VALOR],,0),"")</f>
        <v>2012850</v>
      </c>
      <c r="F1251" s="33"/>
      <c r="G1251" s="34">
        <f>IFERROR(IF(F1251&gt;=0,D1251*E1251*(1+F1251/100),ABS(D1251*E1251/F1251)),"")</f>
        <v>2012850</v>
      </c>
      <c r="H1251" s="43">
        <f>IFERROR(G1251*E1248,"")</f>
        <v>0</v>
      </c>
    </row>
    <row r="1252" spans="1:8">
      <c r="A1252" s="28"/>
      <c r="B1252" s="29" t="s">
        <v>2800</v>
      </c>
      <c r="C1252" s="30" t="str">
        <f>IFERROR(_xlfn.XLOOKUP(B1252,Insumo[DESCRIPCION],Insumo[UND],,0),"")</f>
        <v>M</v>
      </c>
      <c r="D1252" s="31">
        <v>1</v>
      </c>
      <c r="E1252" s="32">
        <f>IFERROR(_xlfn.XLOOKUP($B1252,Insumo[DESCRIPCION],Insumo[VALOR],,0),"")</f>
        <v>7387.8</v>
      </c>
      <c r="F1252" s="33"/>
      <c r="G1252" s="34">
        <f>IFERROR(IF(F1252&gt;=0,D1252*E1252*(1+F1252/100),ABS(D1252*E1252/F1252)),"")</f>
        <v>7387.8</v>
      </c>
      <c r="H1252" s="43">
        <f>IFERROR(G1252*E1248,"")</f>
        <v>0</v>
      </c>
    </row>
    <row r="1253" spans="1:8">
      <c r="A1253" s="28"/>
      <c r="B1253" s="29" t="s">
        <v>2855</v>
      </c>
      <c r="C1253" s="30" t="str">
        <f>IFERROR(_xlfn.XLOOKUP(B1253,Insumo[DESCRIPCION],Insumo[UND],,0),"")</f>
        <v>Un</v>
      </c>
      <c r="D1253" s="31">
        <v>1</v>
      </c>
      <c r="E1253" s="32">
        <f>IFERROR(_xlfn.XLOOKUP($B1253,Insumo[DESCRIPCION],Insumo[VALOR],,0),"")</f>
        <v>6421.8</v>
      </c>
      <c r="F1253" s="33"/>
      <c r="G1253" s="34">
        <f>IFERROR(IF(F1253&gt;=0,D1253*E1253*(1+F1253/100),ABS(D1253*E1253/F1253)),"")</f>
        <v>6421.8</v>
      </c>
      <c r="H1253" s="43">
        <f>IFERROR(G1253*E1248,"")</f>
        <v>0</v>
      </c>
    </row>
    <row r="1254" spans="1:8">
      <c r="A1254" s="28"/>
      <c r="B1254" s="29"/>
      <c r="C1254" s="30" t="str">
        <f>IFERROR(_xlfn.XLOOKUP(B1254,Insumo[DESCRIPCION],Insumo[UND],,0),"")</f>
        <v/>
      </c>
      <c r="D1254" s="31"/>
      <c r="E1254" s="32" t="str">
        <f>IFERROR(_xlfn.XLOOKUP($B1254,Insumo[DESCRIPCION],Insumo[VALOR],,0),"")</f>
        <v/>
      </c>
      <c r="F1254" s="33"/>
      <c r="G1254" s="34" t="str">
        <f>IFERROR(IF(F1254&gt;=0,D1254*E1254*(1+F1254/100),ABS(D1254*E1254/F1254)),"")</f>
        <v/>
      </c>
      <c r="H1254" s="43" t="str">
        <f>IFERROR(G1254*E1248,"")</f>
        <v/>
      </c>
    </row>
    <row r="1255" spans="1:8">
      <c r="A1255" s="28"/>
      <c r="B1255" s="29"/>
      <c r="C1255" s="30" t="str">
        <f>IFERROR(_xlfn.XLOOKUP(B1255,Insumo[DESCRIPCION],Insumo[UND],,0),"")</f>
        <v/>
      </c>
      <c r="D1255" s="31"/>
      <c r="E1255" s="32" t="str">
        <f>IFERROR(_xlfn.XLOOKUP($B1255,Insumo[DESCRIPCION],Insumo[VALOR],,0),"")</f>
        <v/>
      </c>
      <c r="F1255" s="33"/>
      <c r="G1255" s="34" t="str">
        <f>IFERROR(IF(F1255&gt;=0,D1255*E1255*(1+F1255/100),ABS(D1255*E1255/F1255)),"")</f>
        <v/>
      </c>
      <c r="H1255" s="43" t="str">
        <f>IFERROR(G1255*E1248,"")</f>
        <v/>
      </c>
    </row>
    <row r="1256" spans="1:8">
      <c r="A1256" s="21"/>
      <c r="B1256" s="22" t="s">
        <v>3731</v>
      </c>
      <c r="C1256" s="23"/>
      <c r="D1256" s="24"/>
      <c r="E1256" s="25"/>
      <c r="F1256" s="26"/>
      <c r="G1256" s="27">
        <f>SUM(G1257:G1259)</f>
        <v>2110.4934666562508</v>
      </c>
      <c r="H1256" s="27">
        <f>IFERROR(G1256*E1248,"")</f>
        <v>0</v>
      </c>
    </row>
    <row r="1257" spans="1:8">
      <c r="A1257" s="28"/>
      <c r="B1257" s="29" t="s">
        <v>3626</v>
      </c>
      <c r="C1257" s="30" t="str">
        <f>IFERROR(_xlfn.XLOOKUP(B1257,Equipo[DESCRIPCION],Equipo[UND],,0),"")</f>
        <v>%MO</v>
      </c>
      <c r="D1257" s="31">
        <v>0.05</v>
      </c>
      <c r="E1257" s="32">
        <f>IF(C1257="%MO",G1263,IFERROR(_xlfn.XLOOKUP($B1257,Equipo[DESCRIPCION],Equipo[VALOR],,0),""))</f>
        <v>42209.869333125011</v>
      </c>
      <c r="F1257" s="33"/>
      <c r="G1257" s="34">
        <f>IFERROR(IF(F1257&gt;=0,D1257*E1257*(1+F1257/100),ABS(D1257*E1257/F1257)),"")</f>
        <v>2110.4934666562508</v>
      </c>
      <c r="H1257" s="43">
        <f>IFERROR(G1257*E1248,"")</f>
        <v>0</v>
      </c>
    </row>
    <row r="1258" spans="1:8">
      <c r="A1258" s="28"/>
      <c r="B1258" s="29"/>
      <c r="C1258" s="30" t="str">
        <f>IFERROR(_xlfn.XLOOKUP(B1258,Equipo[DESCRIPCION],Equipo[UND],,0),"")</f>
        <v/>
      </c>
      <c r="D1258" s="31"/>
      <c r="E1258" s="32" t="str">
        <f>IF(C1258="%MO",G1263,IFERROR(_xlfn.XLOOKUP($B1258,Equipo[DESCRIPCION],Equipo[VALOR],,0),""))</f>
        <v/>
      </c>
      <c r="F1258" s="33"/>
      <c r="G1258" s="34" t="str">
        <f>IFERROR(IF(F1258&gt;=0,D1258*E1258*(1+F1258/100),ABS(D1258*E1258/F1258)),"")</f>
        <v/>
      </c>
      <c r="H1258" s="43" t="str">
        <f>IFERROR(G1258*E1248,"")</f>
        <v/>
      </c>
    </row>
    <row r="1259" spans="1:8">
      <c r="A1259" s="28"/>
      <c r="B1259" s="29"/>
      <c r="C1259" s="30" t="str">
        <f>IFERROR(_xlfn.XLOOKUP(B1259,Equipo[DESCRIPCION],Equipo[UND],,0),"")</f>
        <v/>
      </c>
      <c r="D1259" s="31"/>
      <c r="E1259" s="32" t="str">
        <f>IF(C1259="%MO",G1263,IFERROR(_xlfn.XLOOKUP($B1259,Equipo[DESCRIPCION],Equipo[VALOR],,0),""))</f>
        <v/>
      </c>
      <c r="F1259" s="33"/>
      <c r="G1259" s="34" t="str">
        <f>IFERROR(IF(F1259&gt;=0,D1259*E1259*(1+F1259/100),ABS(D1259*E1259/F1259)),"")</f>
        <v/>
      </c>
      <c r="H1259" s="43" t="str">
        <f>IFERROR(G1259*E1248,"")</f>
        <v/>
      </c>
    </row>
    <row r="1260" spans="1:8">
      <c r="A1260" s="21"/>
      <c r="B1260" s="22" t="s">
        <v>2533</v>
      </c>
      <c r="C1260" s="23"/>
      <c r="D1260" s="24"/>
      <c r="E1260" s="25"/>
      <c r="F1260" s="26"/>
      <c r="G1260" s="27">
        <f>SUM(G1261:G1262)</f>
        <v>0</v>
      </c>
      <c r="H1260" s="27">
        <f>IFERROR(G1260*E1248,"")</f>
        <v>0</v>
      </c>
    </row>
    <row r="1261" spans="1:8">
      <c r="A1261" s="28"/>
      <c r="B1261" s="29"/>
      <c r="C1261" s="30" t="str">
        <f>IFERROR(_xlfn.XLOOKUP(B1261,Transporte[DESCRIPCION],Transporte[UND],,0),"")</f>
        <v/>
      </c>
      <c r="D1261" s="31"/>
      <c r="E1261" s="32" t="str">
        <f>IFERROR(_xlfn.XLOOKUP($B1261,Transporte[DESCRIPCION],Transporte[VALOR],,0),"")</f>
        <v/>
      </c>
      <c r="F1261" s="33"/>
      <c r="G1261" s="34" t="str">
        <f>IFERROR(IF(F1261&gt;=0,D1261*E1261*(1+F1261/100),ABS(D1261*E1261/F1261)),"")</f>
        <v/>
      </c>
      <c r="H1261" s="43" t="str">
        <f>IFERROR(G1261*E1248,"")</f>
        <v/>
      </c>
    </row>
    <row r="1262" spans="1:8">
      <c r="A1262" s="28"/>
      <c r="B1262" s="29"/>
      <c r="C1262" s="30" t="str">
        <f>IFERROR(_xlfn.XLOOKUP(B1262,Transporte[DESCRIPCION],Transporte[UND],,0),"")</f>
        <v/>
      </c>
      <c r="D1262" s="31"/>
      <c r="E1262" s="32" t="str">
        <f>IFERROR(_xlfn.XLOOKUP($B1262,Transporte[DESCRIPCION],Transporte[VALOR],,0),"")</f>
        <v/>
      </c>
      <c r="F1262" s="33"/>
      <c r="G1262" s="34" t="str">
        <f>IFERROR(IF(F1262&gt;=0,D1262*E1262*(1+F1262/100),ABS(D1262*E1262/F1262)),"")</f>
        <v/>
      </c>
      <c r="H1262" s="43" t="str">
        <f>IFERROR(G1262*E1248,"")</f>
        <v/>
      </c>
    </row>
    <row r="1263" spans="1:8">
      <c r="A1263" s="21"/>
      <c r="B1263" s="22" t="s">
        <v>3732</v>
      </c>
      <c r="C1263" s="23"/>
      <c r="D1263" s="24"/>
      <c r="E1263" s="25"/>
      <c r="F1263" s="26"/>
      <c r="G1263" s="27">
        <f>SUM(G1264:G1266)</f>
        <v>42209.869333125011</v>
      </c>
      <c r="H1263" s="27">
        <f>IFERROR(G1263*E1248,"")</f>
        <v>0</v>
      </c>
    </row>
    <row r="1264" spans="1:8">
      <c r="A1264" s="28"/>
      <c r="B1264" s="29" t="s">
        <v>3715</v>
      </c>
      <c r="C1264" s="30" t="str">
        <f>IFERROR(_xlfn.XLOOKUP(B1264,MObra[DESCRIPCION],MObra[UN],,0),"")</f>
        <v>día</v>
      </c>
      <c r="D1264" s="31">
        <v>1</v>
      </c>
      <c r="E1264" s="32">
        <f>IFERROR(_xlfn.XLOOKUP($B1264,MObra[DESCRIPCION],MObra[VALOR UNIT],,0),"")</f>
        <v>337678.95466500008</v>
      </c>
      <c r="F1264" s="33">
        <v>-8</v>
      </c>
      <c r="G1264" s="34">
        <f>IFERROR(IF(F1264&gt;=0,D1264*E1264*(1+F1264/100),ABS(D1264*E1264/F1264)),"")</f>
        <v>42209.869333125011</v>
      </c>
      <c r="H1264" s="43">
        <f>IFERROR(G1264*E1248,"")</f>
        <v>0</v>
      </c>
    </row>
    <row r="1265" spans="1:11">
      <c r="A1265" s="28"/>
      <c r="B1265" s="29"/>
      <c r="C1265" s="30" t="str">
        <f>IFERROR(_xlfn.XLOOKUP(B1265,MObra[DESCRIPCION],MObra[UN],,0),"")</f>
        <v/>
      </c>
      <c r="D1265" s="31"/>
      <c r="E1265" s="32" t="str">
        <f>IFERROR(_xlfn.XLOOKUP($B1265,MObra[DESCRIPCION],MObra[VALOR UNIT],,0),"")</f>
        <v/>
      </c>
      <c r="F1265" s="33"/>
      <c r="G1265" s="34" t="str">
        <f>IFERROR(IF(F1265&gt;=0,D1265*E1265*(1+F1265/100),ABS(D1265*E1265/F1265)),"")</f>
        <v/>
      </c>
      <c r="H1265" s="43" t="str">
        <f>IFERROR(G1265*E1248,"")</f>
        <v/>
      </c>
    </row>
    <row r="1266" spans="1:11">
      <c r="A1266" s="35"/>
      <c r="B1266" s="36"/>
      <c r="C1266" s="37" t="str">
        <f>IFERROR(_xlfn.XLOOKUP(B1266,MObra[DESCRIPCION],MObra[UN],,0),"")</f>
        <v/>
      </c>
      <c r="D1266" s="38"/>
      <c r="E1266" s="39" t="str">
        <f>IFERROR(_xlfn.XLOOKUP($B1266,MObra[DESCRIPCION],MObra[VALOR UNIT],,0),"")</f>
        <v/>
      </c>
      <c r="F1266" s="40"/>
      <c r="G1266" s="41" t="str">
        <f>IFERROR(IF(F1266&gt;=0,D1266*E1266*(1+F1266/100),ABS(D1266*E1266/F1266)),"")</f>
        <v/>
      </c>
      <c r="H1266" s="42" t="str">
        <f>IFERROR(G1266*E1248,"")</f>
        <v/>
      </c>
    </row>
    <row r="1268" spans="1:11" ht="38.25">
      <c r="A1268" s="6" t="s">
        <v>2386</v>
      </c>
      <c r="B1268" s="7" t="str">
        <f>VLOOKUP($A1268,Presupuesto!$A:$D,2,FALSE())</f>
        <v>Panel LED incrustar para área limpia incrustar/suspender Class 1,41 W, eficacia &gt;= 80 lm/W, VU&gt;= 50000 h @L70, medidas= 600x600 mm, 4000 lm, 4000 K, CRI&gt;=90, UGR19, IP 65, IK 07, cierre óptico en vidrio</v>
      </c>
      <c r="C1268" s="8" t="str">
        <f>VLOOKUP($A1268,Presupuesto!$A:$D,3,FALSE())</f>
        <v>Un</v>
      </c>
      <c r="D1268" s="9"/>
      <c r="E1268" s="10">
        <f>VLOOKUP($A1268,Presupuesto!$A:$D,4,FALSE())</f>
        <v>0</v>
      </c>
      <c r="F1268" s="11" t="s">
        <v>2589</v>
      </c>
      <c r="G1268" s="12">
        <f>SUM(G1270:G1286)/2</f>
        <v>2172829.962799781</v>
      </c>
      <c r="H1268" s="13">
        <f>ROUND(SUM(H1270:H1286),0)/2</f>
        <v>0</v>
      </c>
      <c r="I1268" s="10">
        <f>VLOOKUP(A1268,Presupuesto!$A:$F,6,0)</f>
        <v>0</v>
      </c>
      <c r="J1268" s="10">
        <f>+H1268-I1268</f>
        <v>0</v>
      </c>
      <c r="K1268" s="46">
        <f>+H1268-G1268*E1268</f>
        <v>0</v>
      </c>
    </row>
    <row r="1269" spans="1:11">
      <c r="A1269" s="14"/>
      <c r="B1269" s="15" t="s">
        <v>2586</v>
      </c>
      <c r="C1269" s="15" t="s">
        <v>5</v>
      </c>
      <c r="D1269" s="16" t="s">
        <v>6</v>
      </c>
      <c r="E1269" s="17" t="s">
        <v>7</v>
      </c>
      <c r="F1269" s="18" t="s">
        <v>3728</v>
      </c>
      <c r="G1269" s="19" t="s">
        <v>3729</v>
      </c>
      <c r="H1269" s="20" t="s">
        <v>3797</v>
      </c>
    </row>
    <row r="1270" spans="1:11">
      <c r="A1270" s="21"/>
      <c r="B1270" s="22" t="s">
        <v>3730</v>
      </c>
      <c r="C1270" s="23"/>
      <c r="D1270" s="24"/>
      <c r="E1270" s="25"/>
      <c r="F1270" s="26"/>
      <c r="G1270" s="27">
        <f>SUM(G1271:G1275)</f>
        <v>2128509.5999999996</v>
      </c>
      <c r="H1270" s="27">
        <f>IFERROR(G1270*E1268,"")</f>
        <v>0</v>
      </c>
    </row>
    <row r="1271" spans="1:11" ht="38.25">
      <c r="A1271" s="28"/>
      <c r="B1271" s="29" t="s">
        <v>3186</v>
      </c>
      <c r="C1271" s="30" t="str">
        <f>IFERROR(_xlfn.XLOOKUP(B1271,Insumo[DESCRIPCION],Insumo[UND],,0),"")</f>
        <v>Un</v>
      </c>
      <c r="D1271" s="31">
        <v>1</v>
      </c>
      <c r="E1271" s="32">
        <f>IFERROR(_xlfn.XLOOKUP($B1271,Insumo[DESCRIPCION],Insumo[VALOR],,0),"")</f>
        <v>2114700</v>
      </c>
      <c r="F1271" s="33"/>
      <c r="G1271" s="34">
        <f>IFERROR(IF(F1271&gt;=0,D1271*E1271*(1+F1271/100),ABS(D1271*E1271/F1271)),"")</f>
        <v>2114700</v>
      </c>
      <c r="H1271" s="43">
        <f>IFERROR(G1271*E1268,"")</f>
        <v>0</v>
      </c>
    </row>
    <row r="1272" spans="1:11">
      <c r="A1272" s="28"/>
      <c r="B1272" s="29" t="s">
        <v>2800</v>
      </c>
      <c r="C1272" s="30" t="str">
        <f>IFERROR(_xlfn.XLOOKUP(B1272,Insumo[DESCRIPCION],Insumo[UND],,0),"")</f>
        <v>M</v>
      </c>
      <c r="D1272" s="31">
        <v>1</v>
      </c>
      <c r="E1272" s="32">
        <f>IFERROR(_xlfn.XLOOKUP($B1272,Insumo[DESCRIPCION],Insumo[VALOR],,0),"")</f>
        <v>7387.8</v>
      </c>
      <c r="F1272" s="33"/>
      <c r="G1272" s="34">
        <f>IFERROR(IF(F1272&gt;=0,D1272*E1272*(1+F1272/100),ABS(D1272*E1272/F1272)),"")</f>
        <v>7387.8</v>
      </c>
      <c r="H1272" s="43">
        <f>IFERROR(G1272*E1268,"")</f>
        <v>0</v>
      </c>
    </row>
    <row r="1273" spans="1:11">
      <c r="A1273" s="28"/>
      <c r="B1273" s="29" t="s">
        <v>2855</v>
      </c>
      <c r="C1273" s="30" t="str">
        <f>IFERROR(_xlfn.XLOOKUP(B1273,Insumo[DESCRIPCION],Insumo[UND],,0),"")</f>
        <v>Un</v>
      </c>
      <c r="D1273" s="31">
        <v>1</v>
      </c>
      <c r="E1273" s="32">
        <f>IFERROR(_xlfn.XLOOKUP($B1273,Insumo[DESCRIPCION],Insumo[VALOR],,0),"")</f>
        <v>6421.8</v>
      </c>
      <c r="F1273" s="33"/>
      <c r="G1273" s="34">
        <f>IFERROR(IF(F1273&gt;=0,D1273*E1273*(1+F1273/100),ABS(D1273*E1273/F1273)),"")</f>
        <v>6421.8</v>
      </c>
      <c r="H1273" s="43">
        <f>IFERROR(G1273*E1268,"")</f>
        <v>0</v>
      </c>
    </row>
    <row r="1274" spans="1:11">
      <c r="A1274" s="28"/>
      <c r="B1274" s="29"/>
      <c r="C1274" s="30" t="str">
        <f>IFERROR(_xlfn.XLOOKUP(B1274,Insumo[DESCRIPCION],Insumo[UND],,0),"")</f>
        <v/>
      </c>
      <c r="D1274" s="31"/>
      <c r="E1274" s="32" t="str">
        <f>IFERROR(_xlfn.XLOOKUP($B1274,Insumo[DESCRIPCION],Insumo[VALOR],,0),"")</f>
        <v/>
      </c>
      <c r="F1274" s="33"/>
      <c r="G1274" s="34" t="str">
        <f>IFERROR(IF(F1274&gt;=0,D1274*E1274*(1+F1274/100),ABS(D1274*E1274/F1274)),"")</f>
        <v/>
      </c>
      <c r="H1274" s="43" t="str">
        <f>IFERROR(G1274*E1268,"")</f>
        <v/>
      </c>
    </row>
    <row r="1275" spans="1:11">
      <c r="A1275" s="28"/>
      <c r="B1275" s="29"/>
      <c r="C1275" s="30" t="str">
        <f>IFERROR(_xlfn.XLOOKUP(B1275,Insumo[DESCRIPCION],Insumo[UND],,0),"")</f>
        <v/>
      </c>
      <c r="D1275" s="31"/>
      <c r="E1275" s="32" t="str">
        <f>IFERROR(_xlfn.XLOOKUP($B1275,Insumo[DESCRIPCION],Insumo[VALOR],,0),"")</f>
        <v/>
      </c>
      <c r="F1275" s="33"/>
      <c r="G1275" s="34" t="str">
        <f>IFERROR(IF(F1275&gt;=0,D1275*E1275*(1+F1275/100),ABS(D1275*E1275/F1275)),"")</f>
        <v/>
      </c>
      <c r="H1275" s="43" t="str">
        <f>IFERROR(G1275*E1268,"")</f>
        <v/>
      </c>
    </row>
    <row r="1276" spans="1:11">
      <c r="A1276" s="21"/>
      <c r="B1276" s="22" t="s">
        <v>3731</v>
      </c>
      <c r="C1276" s="23"/>
      <c r="D1276" s="24"/>
      <c r="E1276" s="25"/>
      <c r="F1276" s="26"/>
      <c r="G1276" s="27">
        <f>SUM(G1277:G1279)</f>
        <v>2110.4934666562508</v>
      </c>
      <c r="H1276" s="27">
        <f>IFERROR(G1276*E1268,"")</f>
        <v>0</v>
      </c>
    </row>
    <row r="1277" spans="1:11">
      <c r="A1277" s="28"/>
      <c r="B1277" s="29" t="s">
        <v>3626</v>
      </c>
      <c r="C1277" s="30" t="str">
        <f>IFERROR(_xlfn.XLOOKUP(B1277,Equipo[DESCRIPCION],Equipo[UND],,0),"")</f>
        <v>%MO</v>
      </c>
      <c r="D1277" s="31">
        <v>0.05</v>
      </c>
      <c r="E1277" s="32">
        <f>IF(C1277="%MO",G1283,IFERROR(_xlfn.XLOOKUP($B1277,Equipo[DESCRIPCION],Equipo[VALOR],,0),""))</f>
        <v>42209.869333125011</v>
      </c>
      <c r="F1277" s="33"/>
      <c r="G1277" s="34">
        <f>IFERROR(IF(F1277&gt;=0,D1277*E1277*(1+F1277/100),ABS(D1277*E1277/F1277)),"")</f>
        <v>2110.4934666562508</v>
      </c>
      <c r="H1277" s="43">
        <f>IFERROR(G1277*E1268,"")</f>
        <v>0</v>
      </c>
    </row>
    <row r="1278" spans="1:11">
      <c r="A1278" s="28"/>
      <c r="B1278" s="29"/>
      <c r="C1278" s="30" t="str">
        <f>IFERROR(_xlfn.XLOOKUP(B1278,Equipo[DESCRIPCION],Equipo[UND],,0),"")</f>
        <v/>
      </c>
      <c r="D1278" s="31"/>
      <c r="E1278" s="32" t="str">
        <f>IF(C1278="%MO",G1283,IFERROR(_xlfn.XLOOKUP($B1278,Equipo[DESCRIPCION],Equipo[VALOR],,0),""))</f>
        <v/>
      </c>
      <c r="F1278" s="33"/>
      <c r="G1278" s="34" t="str">
        <f>IFERROR(IF(F1278&gt;=0,D1278*E1278*(1+F1278/100),ABS(D1278*E1278/F1278)),"")</f>
        <v/>
      </c>
      <c r="H1278" s="43" t="str">
        <f>IFERROR(G1278*E1268,"")</f>
        <v/>
      </c>
    </row>
    <row r="1279" spans="1:11">
      <c r="A1279" s="28"/>
      <c r="B1279" s="29"/>
      <c r="C1279" s="30" t="str">
        <f>IFERROR(_xlfn.XLOOKUP(B1279,Equipo[DESCRIPCION],Equipo[UND],,0),"")</f>
        <v/>
      </c>
      <c r="D1279" s="31"/>
      <c r="E1279" s="32" t="str">
        <f>IF(C1279="%MO",G1283,IFERROR(_xlfn.XLOOKUP($B1279,Equipo[DESCRIPCION],Equipo[VALOR],,0),""))</f>
        <v/>
      </c>
      <c r="F1279" s="33"/>
      <c r="G1279" s="34" t="str">
        <f>IFERROR(IF(F1279&gt;=0,D1279*E1279*(1+F1279/100),ABS(D1279*E1279/F1279)),"")</f>
        <v/>
      </c>
      <c r="H1279" s="43" t="str">
        <f>IFERROR(G1279*E1268,"")</f>
        <v/>
      </c>
    </row>
    <row r="1280" spans="1:11">
      <c r="A1280" s="21"/>
      <c r="B1280" s="22" t="s">
        <v>2533</v>
      </c>
      <c r="C1280" s="23"/>
      <c r="D1280" s="24"/>
      <c r="E1280" s="25"/>
      <c r="F1280" s="26"/>
      <c r="G1280" s="27">
        <f>SUM(G1281:G1282)</f>
        <v>0</v>
      </c>
      <c r="H1280" s="27">
        <f>IFERROR(G1280*E1268,"")</f>
        <v>0</v>
      </c>
    </row>
    <row r="1281" spans="1:11">
      <c r="A1281" s="28"/>
      <c r="B1281" s="29"/>
      <c r="C1281" s="30" t="str">
        <f>IFERROR(_xlfn.XLOOKUP(B1281,Transporte[DESCRIPCION],Transporte[UND],,0),"")</f>
        <v/>
      </c>
      <c r="D1281" s="31"/>
      <c r="E1281" s="32" t="str">
        <f>IFERROR(_xlfn.XLOOKUP($B1281,Transporte[DESCRIPCION],Transporte[VALOR],,0),"")</f>
        <v/>
      </c>
      <c r="F1281" s="33"/>
      <c r="G1281" s="34" t="str">
        <f>IFERROR(IF(F1281&gt;=0,D1281*E1281*(1+F1281/100),ABS(D1281*E1281/F1281)),"")</f>
        <v/>
      </c>
      <c r="H1281" s="43" t="str">
        <f>IFERROR(G1281*E1268,"")</f>
        <v/>
      </c>
    </row>
    <row r="1282" spans="1:11">
      <c r="A1282" s="28"/>
      <c r="B1282" s="29"/>
      <c r="C1282" s="30" t="str">
        <f>IFERROR(_xlfn.XLOOKUP(B1282,Transporte[DESCRIPCION],Transporte[UND],,0),"")</f>
        <v/>
      </c>
      <c r="D1282" s="31"/>
      <c r="E1282" s="32" t="str">
        <f>IFERROR(_xlfn.XLOOKUP($B1282,Transporte[DESCRIPCION],Transporte[VALOR],,0),"")</f>
        <v/>
      </c>
      <c r="F1282" s="33"/>
      <c r="G1282" s="34" t="str">
        <f>IFERROR(IF(F1282&gt;=0,D1282*E1282*(1+F1282/100),ABS(D1282*E1282/F1282)),"")</f>
        <v/>
      </c>
      <c r="H1282" s="43" t="str">
        <f>IFERROR(G1282*E1268,"")</f>
        <v/>
      </c>
    </row>
    <row r="1283" spans="1:11">
      <c r="A1283" s="21"/>
      <c r="B1283" s="22" t="s">
        <v>3732</v>
      </c>
      <c r="C1283" s="23"/>
      <c r="D1283" s="24"/>
      <c r="E1283" s="25"/>
      <c r="F1283" s="26"/>
      <c r="G1283" s="27">
        <f>SUM(G1284:G1286)</f>
        <v>42209.869333125011</v>
      </c>
      <c r="H1283" s="27">
        <f>IFERROR(G1283*E1268,"")</f>
        <v>0</v>
      </c>
    </row>
    <row r="1284" spans="1:11">
      <c r="A1284" s="28"/>
      <c r="B1284" s="29" t="s">
        <v>3715</v>
      </c>
      <c r="C1284" s="30" t="str">
        <f>IFERROR(_xlfn.XLOOKUP(B1284,MObra[DESCRIPCION],MObra[UN],,0),"")</f>
        <v>día</v>
      </c>
      <c r="D1284" s="31">
        <v>1</v>
      </c>
      <c r="E1284" s="32">
        <f>IFERROR(_xlfn.XLOOKUP($B1284,MObra[DESCRIPCION],MObra[VALOR UNIT],,0),"")</f>
        <v>337678.95466500008</v>
      </c>
      <c r="F1284" s="33">
        <v>-8</v>
      </c>
      <c r="G1284" s="34">
        <f>IFERROR(IF(F1284&gt;=0,D1284*E1284*(1+F1284/100),ABS(D1284*E1284/F1284)),"")</f>
        <v>42209.869333125011</v>
      </c>
      <c r="H1284" s="43">
        <f>IFERROR(G1284*E1268,"")</f>
        <v>0</v>
      </c>
    </row>
    <row r="1285" spans="1:11">
      <c r="A1285" s="28"/>
      <c r="B1285" s="29"/>
      <c r="C1285" s="30" t="str">
        <f>IFERROR(_xlfn.XLOOKUP(B1285,MObra[DESCRIPCION],MObra[UN],,0),"")</f>
        <v/>
      </c>
      <c r="D1285" s="31"/>
      <c r="E1285" s="32" t="str">
        <f>IFERROR(_xlfn.XLOOKUP($B1285,MObra[DESCRIPCION],MObra[VALOR UNIT],,0),"")</f>
        <v/>
      </c>
      <c r="F1285" s="33"/>
      <c r="G1285" s="34" t="str">
        <f>IFERROR(IF(F1285&gt;=0,D1285*E1285*(1+F1285/100),ABS(D1285*E1285/F1285)),"")</f>
        <v/>
      </c>
      <c r="H1285" s="43" t="str">
        <f>IFERROR(G1285*E1268,"")</f>
        <v/>
      </c>
    </row>
    <row r="1286" spans="1:11">
      <c r="A1286" s="35"/>
      <c r="B1286" s="36"/>
      <c r="C1286" s="37" t="str">
        <f>IFERROR(_xlfn.XLOOKUP(B1286,MObra[DESCRIPCION],MObra[UN],,0),"")</f>
        <v/>
      </c>
      <c r="D1286" s="38"/>
      <c r="E1286" s="39" t="str">
        <f>IFERROR(_xlfn.XLOOKUP($B1286,MObra[DESCRIPCION],MObra[VALOR UNIT],,0),"")</f>
        <v/>
      </c>
      <c r="F1286" s="40"/>
      <c r="G1286" s="41" t="str">
        <f>IFERROR(IF(F1286&gt;=0,D1286*E1286*(1+F1286/100),ABS(D1286*E1286/F1286)),"")</f>
        <v/>
      </c>
      <c r="H1286" s="42" t="str">
        <f>IFERROR(G1286*E1268,"")</f>
        <v/>
      </c>
    </row>
    <row r="1287" spans="1:11" ht="12.75" customHeight="1" thickTop="1" thickBot="1"/>
    <row r="1288" spans="1:11" ht="26.25" thickTop="1" thickBot="1">
      <c r="A1288" s="6" t="s">
        <v>2388</v>
      </c>
      <c r="B1288" s="7" t="str">
        <f>VLOOKUP($A1288,Presupuesto!$A:$D,2,FALSE())</f>
        <v>Panel LED incrustar/sobreponer 3200lm 40 w medida = 60x60cm 120-277v, CRI &gt;=80, fp&gt;0.9, eficacia&gt;= 80 lm/w, VU&gt;= 30000h@l70</v>
      </c>
      <c r="C1288" s="8" t="str">
        <f>VLOOKUP($A1288,Presupuesto!$A:$D,3,FALSE())</f>
        <v>Un</v>
      </c>
      <c r="D1288" s="9"/>
      <c r="E1288" s="10">
        <f>VLOOKUP($A1288,Presupuesto!$A:$D,4,FALSE())</f>
        <v>0</v>
      </c>
      <c r="F1288" s="11" t="s">
        <v>2589</v>
      </c>
      <c r="G1288" s="12">
        <f>SUM(G1290:G1306)/2</f>
        <v>293224.96279978123</v>
      </c>
      <c r="H1288" s="13">
        <f>ROUND(SUM(H1290:H1306),0)/2</f>
        <v>0</v>
      </c>
      <c r="I1288" s="10">
        <f>VLOOKUP(A1288,Presupuesto!$A:$F,6,0)</f>
        <v>0</v>
      </c>
      <c r="J1288" s="10">
        <f>+H1288-I1288</f>
        <v>0</v>
      </c>
      <c r="K1288" s="46">
        <f>+H1288-G1288*E1288</f>
        <v>0</v>
      </c>
    </row>
    <row r="1289" spans="1:11">
      <c r="A1289" s="14"/>
      <c r="B1289" s="15" t="s">
        <v>2586</v>
      </c>
      <c r="C1289" s="15" t="s">
        <v>5</v>
      </c>
      <c r="D1289" s="16" t="s">
        <v>6</v>
      </c>
      <c r="E1289" s="17" t="s">
        <v>7</v>
      </c>
      <c r="F1289" s="18" t="s">
        <v>3728</v>
      </c>
      <c r="G1289" s="19" t="s">
        <v>3729</v>
      </c>
      <c r="H1289" s="20" t="s">
        <v>3797</v>
      </c>
    </row>
    <row r="1290" spans="1:11">
      <c r="A1290" s="21"/>
      <c r="B1290" s="22" t="s">
        <v>3730</v>
      </c>
      <c r="C1290" s="23"/>
      <c r="D1290" s="24"/>
      <c r="E1290" s="25"/>
      <c r="F1290" s="26"/>
      <c r="G1290" s="27">
        <f>SUM(G1291:G1295)</f>
        <v>248904.59999999998</v>
      </c>
      <c r="H1290" s="27">
        <f>IFERROR(G1290*E1288,"")</f>
        <v>0</v>
      </c>
    </row>
    <row r="1291" spans="1:11">
      <c r="A1291" s="28"/>
      <c r="B1291" s="29" t="s">
        <v>3183</v>
      </c>
      <c r="C1291" s="30" t="str">
        <f>IFERROR(_xlfn.XLOOKUP(B1291,Insumo[DESCRIPCION],Insumo[UND],,0),"")</f>
        <v>Un</v>
      </c>
      <c r="D1291" s="31">
        <v>1</v>
      </c>
      <c r="E1291" s="32">
        <f>IFERROR(_xlfn.XLOOKUP($B1291,Insumo[DESCRIPCION],Insumo[VALOR],,0),"")</f>
        <v>235095</v>
      </c>
      <c r="F1291" s="33"/>
      <c r="G1291" s="34">
        <f>IFERROR(IF(F1291&gt;=0,D1291*E1291*(1+F1291/100),ABS(D1291*E1291/F1291)),"")</f>
        <v>235095</v>
      </c>
      <c r="H1291" s="43">
        <f>IFERROR(G1291*E1288,"")</f>
        <v>0</v>
      </c>
    </row>
    <row r="1292" spans="1:11">
      <c r="A1292" s="28"/>
      <c r="B1292" s="29" t="s">
        <v>2800</v>
      </c>
      <c r="C1292" s="30" t="str">
        <f>IFERROR(_xlfn.XLOOKUP(B1292,Insumo[DESCRIPCION],Insumo[UND],,0),"")</f>
        <v>M</v>
      </c>
      <c r="D1292" s="31">
        <v>1</v>
      </c>
      <c r="E1292" s="32">
        <f>IFERROR(_xlfn.XLOOKUP($B1292,Insumo[DESCRIPCION],Insumo[VALOR],,0),"")</f>
        <v>7387.8</v>
      </c>
      <c r="F1292" s="33"/>
      <c r="G1292" s="34">
        <f>IFERROR(IF(F1292&gt;=0,D1292*E1292*(1+F1292/100),ABS(D1292*E1292/F1292)),"")</f>
        <v>7387.8</v>
      </c>
      <c r="H1292" s="43">
        <f>IFERROR(G1292*E1288,"")</f>
        <v>0</v>
      </c>
    </row>
    <row r="1293" spans="1:11">
      <c r="A1293" s="28"/>
      <c r="B1293" s="29" t="s">
        <v>2855</v>
      </c>
      <c r="C1293" s="30" t="str">
        <f>IFERROR(_xlfn.XLOOKUP(B1293,Insumo[DESCRIPCION],Insumo[UND],,0),"")</f>
        <v>Un</v>
      </c>
      <c r="D1293" s="31">
        <v>1</v>
      </c>
      <c r="E1293" s="32">
        <f>IFERROR(_xlfn.XLOOKUP($B1293,Insumo[DESCRIPCION],Insumo[VALOR],,0),"")</f>
        <v>6421.8</v>
      </c>
      <c r="F1293" s="33"/>
      <c r="G1293" s="34">
        <f>IFERROR(IF(F1293&gt;=0,D1293*E1293*(1+F1293/100),ABS(D1293*E1293/F1293)),"")</f>
        <v>6421.8</v>
      </c>
      <c r="H1293" s="43">
        <f>IFERROR(G1293*E1288,"")</f>
        <v>0</v>
      </c>
    </row>
    <row r="1294" spans="1:11">
      <c r="A1294" s="28"/>
      <c r="B1294" s="29"/>
      <c r="C1294" s="30" t="str">
        <f>IFERROR(_xlfn.XLOOKUP(B1294,Insumo[DESCRIPCION],Insumo[UND],,0),"")</f>
        <v/>
      </c>
      <c r="D1294" s="31"/>
      <c r="E1294" s="32" t="str">
        <f>IFERROR(_xlfn.XLOOKUP($B1294,Insumo[DESCRIPCION],Insumo[VALOR],,0),"")</f>
        <v/>
      </c>
      <c r="F1294" s="33"/>
      <c r="G1294" s="34" t="str">
        <f>IFERROR(IF(F1294&gt;=0,D1294*E1294*(1+F1294/100),ABS(D1294*E1294/F1294)),"")</f>
        <v/>
      </c>
      <c r="H1294" s="43" t="str">
        <f>IFERROR(G1294*E1288,"")</f>
        <v/>
      </c>
    </row>
    <row r="1295" spans="1:11">
      <c r="A1295" s="28"/>
      <c r="B1295" s="29"/>
      <c r="C1295" s="30" t="str">
        <f>IFERROR(_xlfn.XLOOKUP(B1295,Insumo[DESCRIPCION],Insumo[UND],,0),"")</f>
        <v/>
      </c>
      <c r="D1295" s="31"/>
      <c r="E1295" s="32" t="str">
        <f>IFERROR(_xlfn.XLOOKUP($B1295,Insumo[DESCRIPCION],Insumo[VALOR],,0),"")</f>
        <v/>
      </c>
      <c r="F1295" s="33"/>
      <c r="G1295" s="34" t="str">
        <f>IFERROR(IF(F1295&gt;=0,D1295*E1295*(1+F1295/100),ABS(D1295*E1295/F1295)),"")</f>
        <v/>
      </c>
      <c r="H1295" s="43" t="str">
        <f>IFERROR(G1295*E1288,"")</f>
        <v/>
      </c>
    </row>
    <row r="1296" spans="1:11">
      <c r="A1296" s="21"/>
      <c r="B1296" s="22" t="s">
        <v>3731</v>
      </c>
      <c r="C1296" s="23"/>
      <c r="D1296" s="24"/>
      <c r="E1296" s="25"/>
      <c r="F1296" s="26"/>
      <c r="G1296" s="27">
        <f>SUM(G1297:G1299)</f>
        <v>2110.4934666562508</v>
      </c>
      <c r="H1296" s="27">
        <f>IFERROR(G1296*E1288,"")</f>
        <v>0</v>
      </c>
    </row>
    <row r="1297" spans="1:11">
      <c r="A1297" s="28"/>
      <c r="B1297" s="29" t="s">
        <v>3626</v>
      </c>
      <c r="C1297" s="30" t="str">
        <f>IFERROR(_xlfn.XLOOKUP(B1297,Equipo[DESCRIPCION],Equipo[UND],,0),"")</f>
        <v>%MO</v>
      </c>
      <c r="D1297" s="31">
        <v>0.05</v>
      </c>
      <c r="E1297" s="32">
        <f>IF(C1297="%MO",G1303,IFERROR(_xlfn.XLOOKUP($B1297,Equipo[DESCRIPCION],Equipo[VALOR],,0),""))</f>
        <v>42209.869333125011</v>
      </c>
      <c r="F1297" s="33"/>
      <c r="G1297" s="34">
        <f>IFERROR(IF(F1297&gt;=0,D1297*E1297*(1+F1297/100),ABS(D1297*E1297/F1297)),"")</f>
        <v>2110.4934666562508</v>
      </c>
      <c r="H1297" s="43">
        <f>IFERROR(G1297*E1288,"")</f>
        <v>0</v>
      </c>
    </row>
    <row r="1298" spans="1:11">
      <c r="A1298" s="28"/>
      <c r="B1298" s="29"/>
      <c r="C1298" s="30" t="str">
        <f>IFERROR(_xlfn.XLOOKUP(B1298,Equipo[DESCRIPCION],Equipo[UND],,0),"")</f>
        <v/>
      </c>
      <c r="D1298" s="31"/>
      <c r="E1298" s="32" t="str">
        <f>IF(C1298="%MO",G1303,IFERROR(_xlfn.XLOOKUP($B1298,Equipo[DESCRIPCION],Equipo[VALOR],,0),""))</f>
        <v/>
      </c>
      <c r="F1298" s="33"/>
      <c r="G1298" s="34" t="str">
        <f>IFERROR(IF(F1298&gt;=0,D1298*E1298*(1+F1298/100),ABS(D1298*E1298/F1298)),"")</f>
        <v/>
      </c>
      <c r="H1298" s="43" t="str">
        <f>IFERROR(G1298*E1288,"")</f>
        <v/>
      </c>
    </row>
    <row r="1299" spans="1:11">
      <c r="A1299" s="28"/>
      <c r="B1299" s="29"/>
      <c r="C1299" s="30" t="str">
        <f>IFERROR(_xlfn.XLOOKUP(B1299,Equipo[DESCRIPCION],Equipo[UND],,0),"")</f>
        <v/>
      </c>
      <c r="D1299" s="31"/>
      <c r="E1299" s="32" t="str">
        <f>IF(C1299="%MO",G1303,IFERROR(_xlfn.XLOOKUP($B1299,Equipo[DESCRIPCION],Equipo[VALOR],,0),""))</f>
        <v/>
      </c>
      <c r="F1299" s="33"/>
      <c r="G1299" s="34" t="str">
        <f>IFERROR(IF(F1299&gt;=0,D1299*E1299*(1+F1299/100),ABS(D1299*E1299/F1299)),"")</f>
        <v/>
      </c>
      <c r="H1299" s="43" t="str">
        <f>IFERROR(G1299*E1288,"")</f>
        <v/>
      </c>
    </row>
    <row r="1300" spans="1:11">
      <c r="A1300" s="21"/>
      <c r="B1300" s="22" t="s">
        <v>2533</v>
      </c>
      <c r="C1300" s="23"/>
      <c r="D1300" s="24"/>
      <c r="E1300" s="25"/>
      <c r="F1300" s="26"/>
      <c r="G1300" s="27">
        <f>SUM(G1301:G1302)</f>
        <v>0</v>
      </c>
      <c r="H1300" s="27">
        <f>IFERROR(G1300*E1288,"")</f>
        <v>0</v>
      </c>
    </row>
    <row r="1301" spans="1:11">
      <c r="A1301" s="28"/>
      <c r="B1301" s="29"/>
      <c r="C1301" s="30" t="str">
        <f>IFERROR(_xlfn.XLOOKUP(B1301,Transporte[DESCRIPCION],Transporte[UND],,0),"")</f>
        <v/>
      </c>
      <c r="D1301" s="31"/>
      <c r="E1301" s="32" t="str">
        <f>IFERROR(_xlfn.XLOOKUP($B1301,Transporte[DESCRIPCION],Transporte[VALOR],,0),"")</f>
        <v/>
      </c>
      <c r="F1301" s="33"/>
      <c r="G1301" s="34" t="str">
        <f>IFERROR(IF(F1301&gt;=0,D1301*E1301*(1+F1301/100),ABS(D1301*E1301/F1301)),"")</f>
        <v/>
      </c>
      <c r="H1301" s="43" t="str">
        <f>IFERROR(G1301*E1288,"")</f>
        <v/>
      </c>
    </row>
    <row r="1302" spans="1:11">
      <c r="A1302" s="28"/>
      <c r="B1302" s="29"/>
      <c r="C1302" s="30" t="str">
        <f>IFERROR(_xlfn.XLOOKUP(B1302,Transporte[DESCRIPCION],Transporte[UND],,0),"")</f>
        <v/>
      </c>
      <c r="D1302" s="31"/>
      <c r="E1302" s="32" t="str">
        <f>IFERROR(_xlfn.XLOOKUP($B1302,Transporte[DESCRIPCION],Transporte[VALOR],,0),"")</f>
        <v/>
      </c>
      <c r="F1302" s="33"/>
      <c r="G1302" s="34" t="str">
        <f>IFERROR(IF(F1302&gt;=0,D1302*E1302*(1+F1302/100),ABS(D1302*E1302/F1302)),"")</f>
        <v/>
      </c>
      <c r="H1302" s="43" t="str">
        <f>IFERROR(G1302*E1288,"")</f>
        <v/>
      </c>
    </row>
    <row r="1303" spans="1:11">
      <c r="A1303" s="21"/>
      <c r="B1303" s="22" t="s">
        <v>3732</v>
      </c>
      <c r="C1303" s="23"/>
      <c r="D1303" s="24"/>
      <c r="E1303" s="25"/>
      <c r="F1303" s="26"/>
      <c r="G1303" s="27">
        <f>SUM(G1304:G1306)</f>
        <v>42209.869333125011</v>
      </c>
      <c r="H1303" s="27">
        <f>IFERROR(G1303*E1288,"")</f>
        <v>0</v>
      </c>
    </row>
    <row r="1304" spans="1:11">
      <c r="A1304" s="28"/>
      <c r="B1304" s="29" t="s">
        <v>3715</v>
      </c>
      <c r="C1304" s="30" t="str">
        <f>IFERROR(_xlfn.XLOOKUP(B1304,MObra[DESCRIPCION],MObra[UN],,0),"")</f>
        <v>día</v>
      </c>
      <c r="D1304" s="31">
        <v>1</v>
      </c>
      <c r="E1304" s="32">
        <f>IFERROR(_xlfn.XLOOKUP($B1304,MObra[DESCRIPCION],MObra[VALOR UNIT],,0),"")</f>
        <v>337678.95466500008</v>
      </c>
      <c r="F1304" s="33">
        <v>-8</v>
      </c>
      <c r="G1304" s="34">
        <f>IFERROR(IF(F1304&gt;=0,D1304*E1304*(1+F1304/100),ABS(D1304*E1304/F1304)),"")</f>
        <v>42209.869333125011</v>
      </c>
      <c r="H1304" s="43">
        <f>IFERROR(G1304*E1288,"")</f>
        <v>0</v>
      </c>
    </row>
    <row r="1305" spans="1:11">
      <c r="A1305" s="28"/>
      <c r="B1305" s="29"/>
      <c r="C1305" s="30" t="str">
        <f>IFERROR(_xlfn.XLOOKUP(B1305,MObra[DESCRIPCION],MObra[UN],,0),"")</f>
        <v/>
      </c>
      <c r="D1305" s="31"/>
      <c r="E1305" s="32" t="str">
        <f>IFERROR(_xlfn.XLOOKUP($B1305,MObra[DESCRIPCION],MObra[VALOR UNIT],,0),"")</f>
        <v/>
      </c>
      <c r="F1305" s="33"/>
      <c r="G1305" s="34" t="str">
        <f>IFERROR(IF(F1305&gt;=0,D1305*E1305*(1+F1305/100),ABS(D1305*E1305/F1305)),"")</f>
        <v/>
      </c>
      <c r="H1305" s="43" t="str">
        <f>IFERROR(G1305*E1288,"")</f>
        <v/>
      </c>
    </row>
    <row r="1306" spans="1:11">
      <c r="A1306" s="35"/>
      <c r="B1306" s="36"/>
      <c r="C1306" s="37" t="str">
        <f>IFERROR(_xlfn.XLOOKUP(B1306,MObra[DESCRIPCION],MObra[UN],,0),"")</f>
        <v/>
      </c>
      <c r="D1306" s="38"/>
      <c r="E1306" s="39" t="str">
        <f>IFERROR(_xlfn.XLOOKUP($B1306,MObra[DESCRIPCION],MObra[VALOR UNIT],,0),"")</f>
        <v/>
      </c>
      <c r="F1306" s="40"/>
      <c r="G1306" s="41" t="str">
        <f>IFERROR(IF(F1306&gt;=0,D1306*E1306*(1+F1306/100),ABS(D1306*E1306/F1306)),"")</f>
        <v/>
      </c>
      <c r="H1306" s="42" t="str">
        <f>IFERROR(G1306*E1288,"")</f>
        <v/>
      </c>
    </row>
    <row r="1308" spans="1:11" ht="25.5">
      <c r="A1308" s="6" t="s">
        <v>2390</v>
      </c>
      <c r="B1308" s="7" t="str">
        <f>VLOOKUP($A1308,Presupuesto!$A:$D,2,FALSE())</f>
        <v>Panel LED incrustar/sobreponer 3200lm 40 w medida = 30x120cm 120-277v, CRI &gt;=80, fp&gt;0.9, eficacia&gt;= 80 lm/w, VU&gt;= 30000h@l70</v>
      </c>
      <c r="C1308" s="8" t="str">
        <f>VLOOKUP($A1308,Presupuesto!$A:$D,3,FALSE())</f>
        <v>Un</v>
      </c>
      <c r="D1308" s="9"/>
      <c r="E1308" s="10">
        <f>VLOOKUP($A1308,Presupuesto!$A:$D,4,FALSE())</f>
        <v>0</v>
      </c>
      <c r="F1308" s="11" t="s">
        <v>2589</v>
      </c>
      <c r="G1308" s="12">
        <f>SUM(G1310:G1326)/2</f>
        <v>304564.96279978123</v>
      </c>
      <c r="H1308" s="13">
        <f>ROUND(SUM(H1310:H1326),0)/2</f>
        <v>0</v>
      </c>
      <c r="I1308" s="10">
        <f>VLOOKUP(A1308,Presupuesto!$A:$F,6,0)</f>
        <v>0</v>
      </c>
      <c r="J1308" s="10">
        <f>+H1308-I1308</f>
        <v>0</v>
      </c>
      <c r="K1308" s="46">
        <f>+H1308-G1308*E1308</f>
        <v>0</v>
      </c>
    </row>
    <row r="1309" spans="1:11">
      <c r="A1309" s="14"/>
      <c r="B1309" s="15" t="s">
        <v>2586</v>
      </c>
      <c r="C1309" s="15" t="s">
        <v>5</v>
      </c>
      <c r="D1309" s="16" t="s">
        <v>6</v>
      </c>
      <c r="E1309" s="17" t="s">
        <v>7</v>
      </c>
      <c r="F1309" s="18" t="s">
        <v>3728</v>
      </c>
      <c r="G1309" s="19" t="s">
        <v>3729</v>
      </c>
      <c r="H1309" s="20" t="s">
        <v>3797</v>
      </c>
    </row>
    <row r="1310" spans="1:11">
      <c r="A1310" s="21"/>
      <c r="B1310" s="22" t="s">
        <v>3730</v>
      </c>
      <c r="C1310" s="23"/>
      <c r="D1310" s="24"/>
      <c r="E1310" s="25"/>
      <c r="F1310" s="26"/>
      <c r="G1310" s="27">
        <f>SUM(G1311:G1315)</f>
        <v>260244.59999999998</v>
      </c>
      <c r="H1310" s="27">
        <f>IFERROR(G1310*E1308,"")</f>
        <v>0</v>
      </c>
    </row>
    <row r="1311" spans="1:11">
      <c r="A1311" s="28"/>
      <c r="B1311" s="29" t="s">
        <v>3184</v>
      </c>
      <c r="C1311" s="30" t="str">
        <f>IFERROR(_xlfn.XLOOKUP(B1311,Insumo[DESCRIPCION],Insumo[UND],,0),"")</f>
        <v>Un</v>
      </c>
      <c r="D1311" s="31">
        <v>1</v>
      </c>
      <c r="E1311" s="32">
        <f>IFERROR(_xlfn.XLOOKUP($B1311,Insumo[DESCRIPCION],Insumo[VALOR],,0),"")</f>
        <v>246435</v>
      </c>
      <c r="F1311" s="33"/>
      <c r="G1311" s="34">
        <f>IFERROR(IF(F1311&gt;=0,D1311*E1311*(1+F1311/100),ABS(D1311*E1311/F1311)),"")</f>
        <v>246435</v>
      </c>
      <c r="H1311" s="43">
        <f>IFERROR(G1311*E1308,"")</f>
        <v>0</v>
      </c>
    </row>
    <row r="1312" spans="1:11">
      <c r="A1312" s="28"/>
      <c r="B1312" s="29" t="s">
        <v>2800</v>
      </c>
      <c r="C1312" s="30" t="str">
        <f>IFERROR(_xlfn.XLOOKUP(B1312,Insumo[DESCRIPCION],Insumo[UND],,0),"")</f>
        <v>M</v>
      </c>
      <c r="D1312" s="31">
        <v>1</v>
      </c>
      <c r="E1312" s="32">
        <f>IFERROR(_xlfn.XLOOKUP($B1312,Insumo[DESCRIPCION],Insumo[VALOR],,0),"")</f>
        <v>7387.8</v>
      </c>
      <c r="F1312" s="33"/>
      <c r="G1312" s="34">
        <f>IFERROR(IF(F1312&gt;=0,D1312*E1312*(1+F1312/100),ABS(D1312*E1312/F1312)),"")</f>
        <v>7387.8</v>
      </c>
      <c r="H1312" s="43">
        <f>IFERROR(G1312*E1308,"")</f>
        <v>0</v>
      </c>
    </row>
    <row r="1313" spans="1:11">
      <c r="A1313" s="28"/>
      <c r="B1313" s="29" t="s">
        <v>2855</v>
      </c>
      <c r="C1313" s="30" t="str">
        <f>IFERROR(_xlfn.XLOOKUP(B1313,Insumo[DESCRIPCION],Insumo[UND],,0),"")</f>
        <v>Un</v>
      </c>
      <c r="D1313" s="31">
        <v>1</v>
      </c>
      <c r="E1313" s="32">
        <f>IFERROR(_xlfn.XLOOKUP($B1313,Insumo[DESCRIPCION],Insumo[VALOR],,0),"")</f>
        <v>6421.8</v>
      </c>
      <c r="F1313" s="33"/>
      <c r="G1313" s="34">
        <f>IFERROR(IF(F1313&gt;=0,D1313*E1313*(1+F1313/100),ABS(D1313*E1313/F1313)),"")</f>
        <v>6421.8</v>
      </c>
      <c r="H1313" s="43">
        <f>IFERROR(G1313*E1308,"")</f>
        <v>0</v>
      </c>
    </row>
    <row r="1314" spans="1:11">
      <c r="A1314" s="28"/>
      <c r="B1314" s="29"/>
      <c r="C1314" s="30" t="str">
        <f>IFERROR(_xlfn.XLOOKUP(B1314,Insumo[DESCRIPCION],Insumo[UND],,0),"")</f>
        <v/>
      </c>
      <c r="D1314" s="31"/>
      <c r="E1314" s="32" t="str">
        <f>IFERROR(_xlfn.XLOOKUP($B1314,Insumo[DESCRIPCION],Insumo[VALOR],,0),"")</f>
        <v/>
      </c>
      <c r="F1314" s="33"/>
      <c r="G1314" s="34" t="str">
        <f>IFERROR(IF(F1314&gt;=0,D1314*E1314*(1+F1314/100),ABS(D1314*E1314/F1314)),"")</f>
        <v/>
      </c>
      <c r="H1314" s="43" t="str">
        <f>IFERROR(G1314*E1308,"")</f>
        <v/>
      </c>
    </row>
    <row r="1315" spans="1:11">
      <c r="A1315" s="28"/>
      <c r="B1315" s="29"/>
      <c r="C1315" s="30" t="str">
        <f>IFERROR(_xlfn.XLOOKUP(B1315,Insumo[DESCRIPCION],Insumo[UND],,0),"")</f>
        <v/>
      </c>
      <c r="D1315" s="31"/>
      <c r="E1315" s="32" t="str">
        <f>IFERROR(_xlfn.XLOOKUP($B1315,Insumo[DESCRIPCION],Insumo[VALOR],,0),"")</f>
        <v/>
      </c>
      <c r="F1315" s="33"/>
      <c r="G1315" s="34" t="str">
        <f>IFERROR(IF(F1315&gt;=0,D1315*E1315*(1+F1315/100),ABS(D1315*E1315/F1315)),"")</f>
        <v/>
      </c>
      <c r="H1315" s="43" t="str">
        <f>IFERROR(G1315*E1308,"")</f>
        <v/>
      </c>
    </row>
    <row r="1316" spans="1:11">
      <c r="A1316" s="21"/>
      <c r="B1316" s="22" t="s">
        <v>3731</v>
      </c>
      <c r="C1316" s="23"/>
      <c r="D1316" s="24"/>
      <c r="E1316" s="25"/>
      <c r="F1316" s="26"/>
      <c r="G1316" s="27">
        <f>SUM(G1317:G1319)</f>
        <v>2110.4934666562508</v>
      </c>
      <c r="H1316" s="27">
        <f>IFERROR(G1316*E1308,"")</f>
        <v>0</v>
      </c>
    </row>
    <row r="1317" spans="1:11">
      <c r="A1317" s="28"/>
      <c r="B1317" s="29" t="s">
        <v>3626</v>
      </c>
      <c r="C1317" s="30" t="str">
        <f>IFERROR(_xlfn.XLOOKUP(B1317,Equipo[DESCRIPCION],Equipo[UND],,0),"")</f>
        <v>%MO</v>
      </c>
      <c r="D1317" s="31">
        <v>0.05</v>
      </c>
      <c r="E1317" s="32">
        <f>IF(C1317="%MO",G1323,IFERROR(_xlfn.XLOOKUP($B1317,Equipo[DESCRIPCION],Equipo[VALOR],,0),""))</f>
        <v>42209.869333125011</v>
      </c>
      <c r="F1317" s="33"/>
      <c r="G1317" s="34">
        <f>IFERROR(IF(F1317&gt;=0,D1317*E1317*(1+F1317/100),ABS(D1317*E1317/F1317)),"")</f>
        <v>2110.4934666562508</v>
      </c>
      <c r="H1317" s="43">
        <f>IFERROR(G1317*E1308,"")</f>
        <v>0</v>
      </c>
    </row>
    <row r="1318" spans="1:11">
      <c r="A1318" s="28"/>
      <c r="B1318" s="29"/>
      <c r="C1318" s="30" t="str">
        <f>IFERROR(_xlfn.XLOOKUP(B1318,Equipo[DESCRIPCION],Equipo[UND],,0),"")</f>
        <v/>
      </c>
      <c r="D1318" s="31"/>
      <c r="E1318" s="32" t="str">
        <f>IF(C1318="%MO",G1323,IFERROR(_xlfn.XLOOKUP($B1318,Equipo[DESCRIPCION],Equipo[VALOR],,0),""))</f>
        <v/>
      </c>
      <c r="F1318" s="33"/>
      <c r="G1318" s="34" t="str">
        <f>IFERROR(IF(F1318&gt;=0,D1318*E1318*(1+F1318/100),ABS(D1318*E1318/F1318)),"")</f>
        <v/>
      </c>
      <c r="H1318" s="43" t="str">
        <f>IFERROR(G1318*E1308,"")</f>
        <v/>
      </c>
    </row>
    <row r="1319" spans="1:11">
      <c r="A1319" s="28"/>
      <c r="B1319" s="29"/>
      <c r="C1319" s="30" t="str">
        <f>IFERROR(_xlfn.XLOOKUP(B1319,Equipo[DESCRIPCION],Equipo[UND],,0),"")</f>
        <v/>
      </c>
      <c r="D1319" s="31"/>
      <c r="E1319" s="32" t="str">
        <f>IF(C1319="%MO",G1323,IFERROR(_xlfn.XLOOKUP($B1319,Equipo[DESCRIPCION],Equipo[VALOR],,0),""))</f>
        <v/>
      </c>
      <c r="F1319" s="33"/>
      <c r="G1319" s="34" t="str">
        <f>IFERROR(IF(F1319&gt;=0,D1319*E1319*(1+F1319/100),ABS(D1319*E1319/F1319)),"")</f>
        <v/>
      </c>
      <c r="H1319" s="43" t="str">
        <f>IFERROR(G1319*E1308,"")</f>
        <v/>
      </c>
    </row>
    <row r="1320" spans="1:11">
      <c r="A1320" s="21"/>
      <c r="B1320" s="22" t="s">
        <v>2533</v>
      </c>
      <c r="C1320" s="23"/>
      <c r="D1320" s="24"/>
      <c r="E1320" s="25"/>
      <c r="F1320" s="26"/>
      <c r="G1320" s="27">
        <f>SUM(G1321:G1322)</f>
        <v>0</v>
      </c>
      <c r="H1320" s="27">
        <f>IFERROR(G1320*E1308,"")</f>
        <v>0</v>
      </c>
    </row>
    <row r="1321" spans="1:11">
      <c r="A1321" s="28"/>
      <c r="B1321" s="29"/>
      <c r="C1321" s="30" t="str">
        <f>IFERROR(_xlfn.XLOOKUP(B1321,Transporte[DESCRIPCION],Transporte[UND],,0),"")</f>
        <v/>
      </c>
      <c r="D1321" s="31"/>
      <c r="E1321" s="32" t="str">
        <f>IFERROR(_xlfn.XLOOKUP($B1321,Transporte[DESCRIPCION],Transporte[VALOR],,0),"")</f>
        <v/>
      </c>
      <c r="F1321" s="33"/>
      <c r="G1321" s="34" t="str">
        <f>IFERROR(IF(F1321&gt;=0,D1321*E1321*(1+F1321/100),ABS(D1321*E1321/F1321)),"")</f>
        <v/>
      </c>
      <c r="H1321" s="43" t="str">
        <f>IFERROR(G1321*E1308,"")</f>
        <v/>
      </c>
    </row>
    <row r="1322" spans="1:11">
      <c r="A1322" s="28"/>
      <c r="B1322" s="29"/>
      <c r="C1322" s="30" t="str">
        <f>IFERROR(_xlfn.XLOOKUP(B1322,Transporte[DESCRIPCION],Transporte[UND],,0),"")</f>
        <v/>
      </c>
      <c r="D1322" s="31"/>
      <c r="E1322" s="32" t="str">
        <f>IFERROR(_xlfn.XLOOKUP($B1322,Transporte[DESCRIPCION],Transporte[VALOR],,0),"")</f>
        <v/>
      </c>
      <c r="F1322" s="33"/>
      <c r="G1322" s="34" t="str">
        <f>IFERROR(IF(F1322&gt;=0,D1322*E1322*(1+F1322/100),ABS(D1322*E1322/F1322)),"")</f>
        <v/>
      </c>
      <c r="H1322" s="43" t="str">
        <f>IFERROR(G1322*E1308,"")</f>
        <v/>
      </c>
    </row>
    <row r="1323" spans="1:11">
      <c r="A1323" s="21"/>
      <c r="B1323" s="22" t="s">
        <v>3732</v>
      </c>
      <c r="C1323" s="23"/>
      <c r="D1323" s="24"/>
      <c r="E1323" s="25"/>
      <c r="F1323" s="26"/>
      <c r="G1323" s="27">
        <f>SUM(G1324:G1326)</f>
        <v>42209.869333125011</v>
      </c>
      <c r="H1323" s="27">
        <f>IFERROR(G1323*E1308,"")</f>
        <v>0</v>
      </c>
    </row>
    <row r="1324" spans="1:11">
      <c r="A1324" s="28"/>
      <c r="B1324" s="29" t="s">
        <v>3715</v>
      </c>
      <c r="C1324" s="30" t="str">
        <f>IFERROR(_xlfn.XLOOKUP(B1324,MObra[DESCRIPCION],MObra[UN],,0),"")</f>
        <v>día</v>
      </c>
      <c r="D1324" s="31">
        <v>1</v>
      </c>
      <c r="E1324" s="32">
        <f>IFERROR(_xlfn.XLOOKUP($B1324,MObra[DESCRIPCION],MObra[VALOR UNIT],,0),"")</f>
        <v>337678.95466500008</v>
      </c>
      <c r="F1324" s="33">
        <v>-8</v>
      </c>
      <c r="G1324" s="34">
        <f>IFERROR(IF(F1324&gt;=0,D1324*E1324*(1+F1324/100),ABS(D1324*E1324/F1324)),"")</f>
        <v>42209.869333125011</v>
      </c>
      <c r="H1324" s="43">
        <f>IFERROR(G1324*E1308,"")</f>
        <v>0</v>
      </c>
    </row>
    <row r="1325" spans="1:11">
      <c r="A1325" s="28"/>
      <c r="B1325" s="29"/>
      <c r="C1325" s="30" t="str">
        <f>IFERROR(_xlfn.XLOOKUP(B1325,MObra[DESCRIPCION],MObra[UN],,0),"")</f>
        <v/>
      </c>
      <c r="D1325" s="31"/>
      <c r="E1325" s="32" t="str">
        <f>IFERROR(_xlfn.XLOOKUP($B1325,MObra[DESCRIPCION],MObra[VALOR UNIT],,0),"")</f>
        <v/>
      </c>
      <c r="F1325" s="33"/>
      <c r="G1325" s="34" t="str">
        <f>IFERROR(IF(F1325&gt;=0,D1325*E1325*(1+F1325/100),ABS(D1325*E1325/F1325)),"")</f>
        <v/>
      </c>
      <c r="H1325" s="43" t="str">
        <f>IFERROR(G1325*E1308,"")</f>
        <v/>
      </c>
    </row>
    <row r="1326" spans="1:11">
      <c r="A1326" s="35"/>
      <c r="B1326" s="36"/>
      <c r="C1326" s="37" t="str">
        <f>IFERROR(_xlfn.XLOOKUP(B1326,MObra[DESCRIPCION],MObra[UN],,0),"")</f>
        <v/>
      </c>
      <c r="D1326" s="38"/>
      <c r="E1326" s="39" t="str">
        <f>IFERROR(_xlfn.XLOOKUP($B1326,MObra[DESCRIPCION],MObra[VALOR UNIT],,0),"")</f>
        <v/>
      </c>
      <c r="F1326" s="40"/>
      <c r="G1326" s="41" t="str">
        <f>IFERROR(IF(F1326&gt;=0,D1326*E1326*(1+F1326/100),ABS(D1326*E1326/F1326)),"")</f>
        <v/>
      </c>
      <c r="H1326" s="42" t="str">
        <f>IFERROR(G1326*E1308,"")</f>
        <v/>
      </c>
    </row>
    <row r="1327" spans="1:11" ht="12.75" customHeight="1" thickTop="1" thickBot="1"/>
    <row r="1328" spans="1:11" ht="13.5" thickTop="1" thickBot="1">
      <c r="A1328" s="6" t="s">
        <v>2392</v>
      </c>
      <c r="B1328" s="7" t="str">
        <f>VLOOKUP($A1328,Presupuesto!$A:$D,2,FALSE())</f>
        <v xml:space="preserve">Planta de emergencia 100KW </v>
      </c>
      <c r="C1328" s="8" t="str">
        <f>VLOOKUP($A1328,Presupuesto!$A:$D,3,FALSE())</f>
        <v>Un</v>
      </c>
      <c r="D1328" s="9"/>
      <c r="E1328" s="10">
        <f>VLOOKUP($A1328,Presupuesto!$A:$D,4,FALSE())</f>
        <v>0</v>
      </c>
      <c r="F1328" s="11" t="s">
        <v>2589</v>
      </c>
      <c r="G1328" s="12">
        <f>SUM(G1330:G1346)/2</f>
        <v>70491825.160959303</v>
      </c>
      <c r="H1328" s="13">
        <f>ROUND(SUM(H1330:H1346),0)/2</f>
        <v>0</v>
      </c>
      <c r="I1328" s="10">
        <f>VLOOKUP(A1328,Presupuesto!$A:$F,6,0)</f>
        <v>0</v>
      </c>
      <c r="J1328" s="10">
        <f>+H1328-I1328</f>
        <v>0</v>
      </c>
      <c r="K1328" s="46">
        <f>+H1328-G1328*E1328</f>
        <v>0</v>
      </c>
    </row>
    <row r="1329" spans="1:8">
      <c r="A1329" s="14"/>
      <c r="B1329" s="15" t="s">
        <v>2586</v>
      </c>
      <c r="C1329" s="15" t="s">
        <v>5</v>
      </c>
      <c r="D1329" s="16" t="s">
        <v>6</v>
      </c>
      <c r="E1329" s="17" t="s">
        <v>7</v>
      </c>
      <c r="F1329" s="18" t="s">
        <v>3728</v>
      </c>
      <c r="G1329" s="19" t="s">
        <v>3729</v>
      </c>
      <c r="H1329" s="20" t="s">
        <v>3797</v>
      </c>
    </row>
    <row r="1330" spans="1:8">
      <c r="A1330" s="21"/>
      <c r="B1330" s="22" t="s">
        <v>3730</v>
      </c>
      <c r="C1330" s="23"/>
      <c r="D1330" s="24"/>
      <c r="E1330" s="25"/>
      <c r="F1330" s="26"/>
      <c r="G1330" s="27">
        <f>SUM(G1331:G1335)</f>
        <v>70350000</v>
      </c>
      <c r="H1330" s="27">
        <f>IFERROR(G1330*E1328,"")</f>
        <v>0</v>
      </c>
    </row>
    <row r="1331" spans="1:8">
      <c r="A1331" s="28"/>
      <c r="B1331" s="29" t="s">
        <v>3218</v>
      </c>
      <c r="C1331" s="30" t="str">
        <f>IFERROR(_xlfn.XLOOKUP(B1331,Insumo[DESCRIPCION],Insumo[UND],,0),"")</f>
        <v>Un</v>
      </c>
      <c r="D1331" s="31">
        <v>1</v>
      </c>
      <c r="E1331" s="32">
        <f>IFERROR(_xlfn.XLOOKUP($B1331,Insumo[DESCRIPCION],Insumo[VALOR],,0),"")</f>
        <v>70350000</v>
      </c>
      <c r="F1331" s="33"/>
      <c r="G1331" s="34">
        <f>IFERROR(IF(F1331&gt;=0,D1331*E1331*(1+F1331/100),ABS(D1331*E1331/F1331)),"")</f>
        <v>70350000</v>
      </c>
      <c r="H1331" s="43">
        <f>IFERROR(G1331*E1328,"")</f>
        <v>0</v>
      </c>
    </row>
    <row r="1332" spans="1:8">
      <c r="A1332" s="28"/>
      <c r="B1332" s="29"/>
      <c r="C1332" s="30" t="str">
        <f>IFERROR(_xlfn.XLOOKUP(B1332,Insumo[DESCRIPCION],Insumo[UND],,0),"")</f>
        <v/>
      </c>
      <c r="D1332" s="31"/>
      <c r="E1332" s="32" t="str">
        <f>IFERROR(_xlfn.XLOOKUP($B1332,Insumo[DESCRIPCION],Insumo[VALOR],,0),"")</f>
        <v/>
      </c>
      <c r="F1332" s="33"/>
      <c r="G1332" s="34" t="str">
        <f>IFERROR(IF(F1332&gt;=0,D1332*E1332*(1+F1332/100),ABS(D1332*E1332/F1332)),"")</f>
        <v/>
      </c>
      <c r="H1332" s="43" t="str">
        <f>IFERROR(G1332*E1328,"")</f>
        <v/>
      </c>
    </row>
    <row r="1333" spans="1:8">
      <c r="A1333" s="28"/>
      <c r="B1333" s="29"/>
      <c r="C1333" s="30" t="str">
        <f>IFERROR(_xlfn.XLOOKUP(B1333,Insumo[DESCRIPCION],Insumo[UND],,0),"")</f>
        <v/>
      </c>
      <c r="D1333" s="31"/>
      <c r="E1333" s="32" t="str">
        <f>IFERROR(_xlfn.XLOOKUP($B1333,Insumo[DESCRIPCION],Insumo[VALOR],,0),"")</f>
        <v/>
      </c>
      <c r="F1333" s="33"/>
      <c r="G1333" s="34" t="str">
        <f>IFERROR(IF(F1333&gt;=0,D1333*E1333*(1+F1333/100),ABS(D1333*E1333/F1333)),"")</f>
        <v/>
      </c>
      <c r="H1333" s="43" t="str">
        <f>IFERROR(G1333*E1328,"")</f>
        <v/>
      </c>
    </row>
    <row r="1334" spans="1:8">
      <c r="A1334" s="28"/>
      <c r="B1334" s="29"/>
      <c r="C1334" s="30" t="str">
        <f>IFERROR(_xlfn.XLOOKUP(B1334,Insumo[DESCRIPCION],Insumo[UND],,0),"")</f>
        <v/>
      </c>
      <c r="D1334" s="31"/>
      <c r="E1334" s="32" t="str">
        <f>IFERROR(_xlfn.XLOOKUP($B1334,Insumo[DESCRIPCION],Insumo[VALOR],,0),"")</f>
        <v/>
      </c>
      <c r="F1334" s="33"/>
      <c r="G1334" s="34" t="str">
        <f>IFERROR(IF(F1334&gt;=0,D1334*E1334*(1+F1334/100),ABS(D1334*E1334/F1334)),"")</f>
        <v/>
      </c>
      <c r="H1334" s="43" t="str">
        <f>IFERROR(G1334*E1328,"")</f>
        <v/>
      </c>
    </row>
    <row r="1335" spans="1:8">
      <c r="A1335" s="28"/>
      <c r="B1335" s="29"/>
      <c r="C1335" s="30" t="str">
        <f>IFERROR(_xlfn.XLOOKUP(B1335,Insumo[DESCRIPCION],Insumo[UND],,0),"")</f>
        <v/>
      </c>
      <c r="D1335" s="31"/>
      <c r="E1335" s="32" t="str">
        <f>IFERROR(_xlfn.XLOOKUP($B1335,Insumo[DESCRIPCION],Insumo[VALOR],,0),"")</f>
        <v/>
      </c>
      <c r="F1335" s="33"/>
      <c r="G1335" s="34" t="str">
        <f>IFERROR(IF(F1335&gt;=0,D1335*E1335*(1+F1335/100),ABS(D1335*E1335/F1335)),"")</f>
        <v/>
      </c>
      <c r="H1335" s="43" t="str">
        <f>IFERROR(G1335*E1328,"")</f>
        <v/>
      </c>
    </row>
    <row r="1336" spans="1:8">
      <c r="A1336" s="21"/>
      <c r="B1336" s="22" t="s">
        <v>3731</v>
      </c>
      <c r="C1336" s="23"/>
      <c r="D1336" s="24"/>
      <c r="E1336" s="25"/>
      <c r="F1336" s="26"/>
      <c r="G1336" s="27">
        <f>SUM(G1337:G1339)</f>
        <v>6753.5790933000017</v>
      </c>
      <c r="H1336" s="27">
        <f>IFERROR(G1336*E1328,"")</f>
        <v>0</v>
      </c>
    </row>
    <row r="1337" spans="1:8">
      <c r="A1337" s="28"/>
      <c r="B1337" s="29" t="s">
        <v>3626</v>
      </c>
      <c r="C1337" s="30" t="str">
        <f>IFERROR(_xlfn.XLOOKUP(B1337,Equipo[DESCRIPCION],Equipo[UND],,0),"")</f>
        <v>%MO</v>
      </c>
      <c r="D1337" s="31">
        <v>0.05</v>
      </c>
      <c r="E1337" s="32">
        <f>IF(C1337="%MO",G1343,IFERROR(_xlfn.XLOOKUP($B1337,Equipo[DESCRIPCION],Equipo[VALOR],,0),""))</f>
        <v>135071.58186600002</v>
      </c>
      <c r="F1337" s="33"/>
      <c r="G1337" s="34">
        <f>IFERROR(IF(F1337&gt;=0,D1337*E1337*(1+F1337/100),ABS(D1337*E1337/F1337)),"")</f>
        <v>6753.5790933000017</v>
      </c>
      <c r="H1337" s="43">
        <f>IFERROR(G1337*E1328,"")</f>
        <v>0</v>
      </c>
    </row>
    <row r="1338" spans="1:8">
      <c r="A1338" s="28"/>
      <c r="B1338" s="29"/>
      <c r="C1338" s="30" t="str">
        <f>IFERROR(_xlfn.XLOOKUP(B1338,Equipo[DESCRIPCION],Equipo[UND],,0),"")</f>
        <v/>
      </c>
      <c r="D1338" s="31"/>
      <c r="E1338" s="32" t="str">
        <f>IF(C1338="%MO",G1343,IFERROR(_xlfn.XLOOKUP($B1338,Equipo[DESCRIPCION],Equipo[VALOR],,0),""))</f>
        <v/>
      </c>
      <c r="F1338" s="33"/>
      <c r="G1338" s="34" t="str">
        <f>IFERROR(IF(F1338&gt;=0,D1338*E1338*(1+F1338/100),ABS(D1338*E1338/F1338)),"")</f>
        <v/>
      </c>
      <c r="H1338" s="43" t="str">
        <f>IFERROR(G1338*E1328,"")</f>
        <v/>
      </c>
    </row>
    <row r="1339" spans="1:8">
      <c r="A1339" s="28"/>
      <c r="B1339" s="29"/>
      <c r="C1339" s="30" t="str">
        <f>IFERROR(_xlfn.XLOOKUP(B1339,Equipo[DESCRIPCION],Equipo[UND],,0),"")</f>
        <v/>
      </c>
      <c r="D1339" s="31"/>
      <c r="E1339" s="32" t="str">
        <f>IF(C1339="%MO",G1343,IFERROR(_xlfn.XLOOKUP($B1339,Equipo[DESCRIPCION],Equipo[VALOR],,0),""))</f>
        <v/>
      </c>
      <c r="F1339" s="33"/>
      <c r="G1339" s="34" t="str">
        <f>IFERROR(IF(F1339&gt;=0,D1339*E1339*(1+F1339/100),ABS(D1339*E1339/F1339)),"")</f>
        <v/>
      </c>
      <c r="H1339" s="43" t="str">
        <f>IFERROR(G1339*E1328,"")</f>
        <v/>
      </c>
    </row>
    <row r="1340" spans="1:8">
      <c r="A1340" s="21"/>
      <c r="B1340" s="22" t="s">
        <v>2533</v>
      </c>
      <c r="C1340" s="23"/>
      <c r="D1340" s="24"/>
      <c r="E1340" s="25"/>
      <c r="F1340" s="26"/>
      <c r="G1340" s="27">
        <f>SUM(G1341:G1342)</f>
        <v>0</v>
      </c>
      <c r="H1340" s="27">
        <f>IFERROR(G1340*E1328,"")</f>
        <v>0</v>
      </c>
    </row>
    <row r="1341" spans="1:8">
      <c r="A1341" s="28"/>
      <c r="B1341" s="29"/>
      <c r="C1341" s="30" t="str">
        <f>IFERROR(_xlfn.XLOOKUP(B1341,Transporte[DESCRIPCION],Transporte[UND],,0),"")</f>
        <v/>
      </c>
      <c r="D1341" s="31"/>
      <c r="E1341" s="32" t="str">
        <f>IFERROR(_xlfn.XLOOKUP($B1341,Transporte[DESCRIPCION],Transporte[VALOR],,0),"")</f>
        <v/>
      </c>
      <c r="F1341" s="33"/>
      <c r="G1341" s="34" t="str">
        <f>IFERROR(IF(F1341&gt;=0,D1341*E1341*(1+F1341/100),ABS(D1341*E1341/F1341)),"")</f>
        <v/>
      </c>
      <c r="H1341" s="43" t="str">
        <f>IFERROR(G1341*E1328,"")</f>
        <v/>
      </c>
    </row>
    <row r="1342" spans="1:8">
      <c r="A1342" s="28"/>
      <c r="B1342" s="29"/>
      <c r="C1342" s="30" t="str">
        <f>IFERROR(_xlfn.XLOOKUP(B1342,Transporte[DESCRIPCION],Transporte[UND],,0),"")</f>
        <v/>
      </c>
      <c r="D1342" s="31"/>
      <c r="E1342" s="32" t="str">
        <f>IFERROR(_xlfn.XLOOKUP($B1342,Transporte[DESCRIPCION],Transporte[VALOR],,0),"")</f>
        <v/>
      </c>
      <c r="F1342" s="33"/>
      <c r="G1342" s="34" t="str">
        <f>IFERROR(IF(F1342&gt;=0,D1342*E1342*(1+F1342/100),ABS(D1342*E1342/F1342)),"")</f>
        <v/>
      </c>
      <c r="H1342" s="43" t="str">
        <f>IFERROR(G1342*E1328,"")</f>
        <v/>
      </c>
    </row>
    <row r="1343" spans="1:8">
      <c r="A1343" s="21"/>
      <c r="B1343" s="22" t="s">
        <v>3732</v>
      </c>
      <c r="C1343" s="23"/>
      <c r="D1343" s="24"/>
      <c r="E1343" s="25"/>
      <c r="F1343" s="26"/>
      <c r="G1343" s="27">
        <f>SUM(G1344:G1346)</f>
        <v>135071.58186600002</v>
      </c>
      <c r="H1343" s="27">
        <f>IFERROR(G1343*E1328,"")</f>
        <v>0</v>
      </c>
    </row>
    <row r="1344" spans="1:8">
      <c r="A1344" s="28"/>
      <c r="B1344" s="29" t="s">
        <v>3715</v>
      </c>
      <c r="C1344" s="30" t="str">
        <f>IFERROR(_xlfn.XLOOKUP(B1344,MObra[DESCRIPCION],MObra[UN],,0),"")</f>
        <v>día</v>
      </c>
      <c r="D1344" s="31">
        <v>1</v>
      </c>
      <c r="E1344" s="32">
        <f>IFERROR(_xlfn.XLOOKUP($B1344,MObra[DESCRIPCION],MObra[VALOR UNIT],,0),"")</f>
        <v>337678.95466500008</v>
      </c>
      <c r="F1344" s="33">
        <v>-2.5</v>
      </c>
      <c r="G1344" s="34">
        <f>IFERROR(IF(F1344&gt;=0,D1344*E1344*(1+F1344/100),ABS(D1344*E1344/F1344)),"")</f>
        <v>135071.58186600002</v>
      </c>
      <c r="H1344" s="43">
        <f>IFERROR(G1344*E1328,"")</f>
        <v>0</v>
      </c>
    </row>
    <row r="1345" spans="1:11">
      <c r="A1345" s="28"/>
      <c r="B1345" s="29"/>
      <c r="C1345" s="30" t="str">
        <f>IFERROR(_xlfn.XLOOKUP(B1345,MObra[DESCRIPCION],MObra[UN],,0),"")</f>
        <v/>
      </c>
      <c r="D1345" s="31"/>
      <c r="E1345" s="32" t="str">
        <f>IFERROR(_xlfn.XLOOKUP($B1345,MObra[DESCRIPCION],MObra[VALOR UNIT],,0),"")</f>
        <v/>
      </c>
      <c r="F1345" s="33"/>
      <c r="G1345" s="34" t="str">
        <f>IFERROR(IF(F1345&gt;=0,D1345*E1345*(1+F1345/100),ABS(D1345*E1345/F1345)),"")</f>
        <v/>
      </c>
      <c r="H1345" s="43" t="str">
        <f>IFERROR(G1345*E1328,"")</f>
        <v/>
      </c>
    </row>
    <row r="1346" spans="1:11">
      <c r="A1346" s="35"/>
      <c r="B1346" s="36"/>
      <c r="C1346" s="37" t="str">
        <f>IFERROR(_xlfn.XLOOKUP(B1346,MObra[DESCRIPCION],MObra[UN],,0),"")</f>
        <v/>
      </c>
      <c r="D1346" s="38"/>
      <c r="E1346" s="39" t="str">
        <f>IFERROR(_xlfn.XLOOKUP($B1346,MObra[DESCRIPCION],MObra[VALOR UNIT],,0),"")</f>
        <v/>
      </c>
      <c r="F1346" s="40"/>
      <c r="G1346" s="41" t="str">
        <f>IFERROR(IF(F1346&gt;=0,D1346*E1346*(1+F1346/100),ABS(D1346*E1346/F1346)),"")</f>
        <v/>
      </c>
      <c r="H1346" s="42" t="str">
        <f>IFERROR(G1346*E1328,"")</f>
        <v/>
      </c>
    </row>
    <row r="1347" spans="1:11" ht="12.75" customHeight="1" thickTop="1" thickBot="1"/>
    <row r="1348" spans="1:11" ht="13.5" thickTop="1" thickBot="1">
      <c r="A1348" s="6" t="s">
        <v>2394</v>
      </c>
      <c r="B1348" s="7" t="str">
        <f>VLOOKUP($A1348,Presupuesto!$A:$D,2,FALSE())</f>
        <v>Poste ferro concreto 8m X 510 Kgf</v>
      </c>
      <c r="C1348" s="8" t="str">
        <f>VLOOKUP($A1348,Presupuesto!$A:$D,3,FALSE())</f>
        <v>Un</v>
      </c>
      <c r="D1348" s="9"/>
      <c r="E1348" s="10">
        <f>VLOOKUP($A1348,Presupuesto!$A:$D,4,FALSE())</f>
        <v>0</v>
      </c>
      <c r="F1348" s="11" t="s">
        <v>2589</v>
      </c>
      <c r="G1348" s="12">
        <f>SUM(G1350:G1366)/2</f>
        <v>1202476.617066375</v>
      </c>
      <c r="H1348" s="13">
        <f>ROUND(SUM(H1350:H1366),0)/2</f>
        <v>0</v>
      </c>
      <c r="I1348" s="10">
        <f>VLOOKUP(A1348,Presupuesto!$A:$F,6,0)</f>
        <v>0</v>
      </c>
      <c r="J1348" s="10">
        <f>+H1348-I1348</f>
        <v>0</v>
      </c>
      <c r="K1348" s="46">
        <f>+H1348-G1348*E1348</f>
        <v>0</v>
      </c>
    </row>
    <row r="1349" spans="1:11">
      <c r="A1349" s="14"/>
      <c r="B1349" s="15" t="s">
        <v>2586</v>
      </c>
      <c r="C1349" s="15" t="s">
        <v>5</v>
      </c>
      <c r="D1349" s="16" t="s">
        <v>6</v>
      </c>
      <c r="E1349" s="17" t="s">
        <v>7</v>
      </c>
      <c r="F1349" s="18" t="s">
        <v>3728</v>
      </c>
      <c r="G1349" s="19" t="s">
        <v>3729</v>
      </c>
      <c r="H1349" s="20" t="s">
        <v>3797</v>
      </c>
    </row>
    <row r="1350" spans="1:11">
      <c r="A1350" s="21"/>
      <c r="B1350" s="22" t="s">
        <v>3730</v>
      </c>
      <c r="C1350" s="23"/>
      <c r="D1350" s="24"/>
      <c r="E1350" s="25"/>
      <c r="F1350" s="26"/>
      <c r="G1350" s="27">
        <f>SUM(G1351:G1355)</f>
        <v>1056300</v>
      </c>
      <c r="H1350" s="27">
        <f>IFERROR(G1350*E1348,"")</f>
        <v>0</v>
      </c>
    </row>
    <row r="1351" spans="1:11">
      <c r="A1351" s="28"/>
      <c r="B1351" s="29" t="s">
        <v>3231</v>
      </c>
      <c r="C1351" s="30" t="str">
        <f>IFERROR(_xlfn.XLOOKUP(B1351,Insumo[DESCRIPCION],Insumo[UND],,0),"")</f>
        <v>Un</v>
      </c>
      <c r="D1351" s="31">
        <v>1</v>
      </c>
      <c r="E1351" s="32">
        <f>IFERROR(_xlfn.XLOOKUP($B1351,Insumo[DESCRIPCION],Insumo[VALOR],,0),"")</f>
        <v>1056300</v>
      </c>
      <c r="F1351" s="33"/>
      <c r="G1351" s="34">
        <f>IFERROR(IF(F1351&gt;=0,D1351*E1351*(1+F1351/100),ABS(D1351*E1351/F1351)),"")</f>
        <v>1056300</v>
      </c>
      <c r="H1351" s="43">
        <f>IFERROR(G1351*E1348,"")</f>
        <v>0</v>
      </c>
    </row>
    <row r="1352" spans="1:11">
      <c r="A1352" s="28"/>
      <c r="B1352" s="29"/>
      <c r="C1352" s="30" t="str">
        <f>IFERROR(_xlfn.XLOOKUP(B1352,Insumo[DESCRIPCION],Insumo[UND],,0),"")</f>
        <v/>
      </c>
      <c r="D1352" s="31"/>
      <c r="E1352" s="32" t="str">
        <f>IFERROR(_xlfn.XLOOKUP($B1352,Insumo[DESCRIPCION],Insumo[VALOR],,0),"")</f>
        <v/>
      </c>
      <c r="F1352" s="33"/>
      <c r="G1352" s="34" t="str">
        <f>IFERROR(IF(F1352&gt;=0,D1352*E1352*(1+F1352/100),ABS(D1352*E1352/F1352)),"")</f>
        <v/>
      </c>
      <c r="H1352" s="43" t="str">
        <f>IFERROR(G1352*E1348,"")</f>
        <v/>
      </c>
    </row>
    <row r="1353" spans="1:11">
      <c r="A1353" s="28"/>
      <c r="B1353" s="29"/>
      <c r="C1353" s="30" t="str">
        <f>IFERROR(_xlfn.XLOOKUP(B1353,Insumo[DESCRIPCION],Insumo[UND],,0),"")</f>
        <v/>
      </c>
      <c r="D1353" s="31"/>
      <c r="E1353" s="32" t="str">
        <f>IFERROR(_xlfn.XLOOKUP($B1353,Insumo[DESCRIPCION],Insumo[VALOR],,0),"")</f>
        <v/>
      </c>
      <c r="F1353" s="33"/>
      <c r="G1353" s="34" t="str">
        <f>IFERROR(IF(F1353&gt;=0,D1353*E1353*(1+F1353/100),ABS(D1353*E1353/F1353)),"")</f>
        <v/>
      </c>
      <c r="H1353" s="43" t="str">
        <f>IFERROR(G1353*E1348,"")</f>
        <v/>
      </c>
    </row>
    <row r="1354" spans="1:11">
      <c r="A1354" s="28"/>
      <c r="B1354" s="29"/>
      <c r="C1354" s="30" t="str">
        <f>IFERROR(_xlfn.XLOOKUP(B1354,Insumo[DESCRIPCION],Insumo[UND],,0),"")</f>
        <v/>
      </c>
      <c r="D1354" s="31"/>
      <c r="E1354" s="32" t="str">
        <f>IFERROR(_xlfn.XLOOKUP($B1354,Insumo[DESCRIPCION],Insumo[VALOR],,0),"")</f>
        <v/>
      </c>
      <c r="F1354" s="33"/>
      <c r="G1354" s="34" t="str">
        <f>IFERROR(IF(F1354&gt;=0,D1354*E1354*(1+F1354/100),ABS(D1354*E1354/F1354)),"")</f>
        <v/>
      </c>
      <c r="H1354" s="43" t="str">
        <f>IFERROR(G1354*E1348,"")</f>
        <v/>
      </c>
    </row>
    <row r="1355" spans="1:11">
      <c r="A1355" s="28"/>
      <c r="B1355" s="29"/>
      <c r="C1355" s="30" t="str">
        <f>IFERROR(_xlfn.XLOOKUP(B1355,Insumo[DESCRIPCION],Insumo[UND],,0),"")</f>
        <v/>
      </c>
      <c r="D1355" s="31"/>
      <c r="E1355" s="32" t="str">
        <f>IFERROR(_xlfn.XLOOKUP($B1355,Insumo[DESCRIPCION],Insumo[VALOR],,0),"")</f>
        <v/>
      </c>
      <c r="F1355" s="33"/>
      <c r="G1355" s="34" t="str">
        <f>IFERROR(IF(F1355&gt;=0,D1355*E1355*(1+F1355/100),ABS(D1355*E1355/F1355)),"")</f>
        <v/>
      </c>
      <c r="H1355" s="43" t="str">
        <f>IFERROR(G1355*E1348,"")</f>
        <v/>
      </c>
    </row>
    <row r="1356" spans="1:11">
      <c r="A1356" s="21"/>
      <c r="B1356" s="22" t="s">
        <v>3731</v>
      </c>
      <c r="C1356" s="23"/>
      <c r="D1356" s="24"/>
      <c r="E1356" s="25"/>
      <c r="F1356" s="26"/>
      <c r="G1356" s="27">
        <f>SUM(G1357:G1359)</f>
        <v>89896.791288875</v>
      </c>
      <c r="H1356" s="27">
        <f>IFERROR(G1356*E1348,"")</f>
        <v>0</v>
      </c>
    </row>
    <row r="1357" spans="1:11">
      <c r="A1357" s="28"/>
      <c r="B1357" s="29" t="s">
        <v>3622</v>
      </c>
      <c r="C1357" s="30" t="str">
        <f>IFERROR(_xlfn.XLOOKUP(B1357,Equipo[DESCRIPCION],Equipo[UND],,0),"")</f>
        <v>Hr</v>
      </c>
      <c r="D1357" s="31">
        <v>1</v>
      </c>
      <c r="E1357" s="32">
        <f>IF(C1357="%MO",G1363,IFERROR(_xlfn.XLOOKUP($B1357,Equipo[DESCRIPCION],Equipo[VALOR],,0),""))</f>
        <v>87082.8</v>
      </c>
      <c r="F1357" s="33">
        <v>-1</v>
      </c>
      <c r="G1357" s="34">
        <f>IFERROR(IF(F1357&gt;=0,D1357*E1357*(1+F1357/100),ABS(D1357*E1357/F1357)),"")</f>
        <v>87082.8</v>
      </c>
      <c r="H1357" s="43">
        <f>IFERROR(G1357*E1348,"")</f>
        <v>0</v>
      </c>
    </row>
    <row r="1358" spans="1:11">
      <c r="A1358" s="28"/>
      <c r="B1358" s="29" t="s">
        <v>3626</v>
      </c>
      <c r="C1358" s="30" t="str">
        <f>IFERROR(_xlfn.XLOOKUP(B1358,Equipo[DESCRIPCION],Equipo[UND],,0),"")</f>
        <v>%MO</v>
      </c>
      <c r="D1358" s="31">
        <v>0.05</v>
      </c>
      <c r="E1358" s="32">
        <f>IF(C1358="%MO",G1363,IFERROR(_xlfn.XLOOKUP($B1358,Equipo[DESCRIPCION],Equipo[VALOR],,0),""))</f>
        <v>56279.825777500017</v>
      </c>
      <c r="F1358" s="33"/>
      <c r="G1358" s="34">
        <f>IFERROR(IF(F1358&gt;=0,D1358*E1358*(1+F1358/100),ABS(D1358*E1358/F1358)),"")</f>
        <v>2813.9912888750009</v>
      </c>
      <c r="H1358" s="43">
        <f>IFERROR(G1358*E1348,"")</f>
        <v>0</v>
      </c>
    </row>
    <row r="1359" spans="1:11">
      <c r="A1359" s="28"/>
      <c r="B1359" s="29"/>
      <c r="C1359" s="30" t="str">
        <f>IFERROR(_xlfn.XLOOKUP(B1359,Equipo[DESCRIPCION],Equipo[UND],,0),"")</f>
        <v/>
      </c>
      <c r="D1359" s="31"/>
      <c r="E1359" s="32" t="str">
        <f>IF(C1359="%MO",G1363,IFERROR(_xlfn.XLOOKUP($B1359,Equipo[DESCRIPCION],Equipo[VALOR],,0),""))</f>
        <v/>
      </c>
      <c r="F1359" s="33"/>
      <c r="G1359" s="34" t="str">
        <f>IFERROR(IF(F1359&gt;=0,D1359*E1359*(1+F1359/100),ABS(D1359*E1359/F1359)),"")</f>
        <v/>
      </c>
      <c r="H1359" s="43" t="str">
        <f>IFERROR(G1359*E1348,"")</f>
        <v/>
      </c>
    </row>
    <row r="1360" spans="1:11">
      <c r="A1360" s="21"/>
      <c r="B1360" s="22" t="s">
        <v>2533</v>
      </c>
      <c r="C1360" s="23"/>
      <c r="D1360" s="24"/>
      <c r="E1360" s="25"/>
      <c r="F1360" s="26"/>
      <c r="G1360" s="27">
        <f>SUM(G1361:G1362)</f>
        <v>0</v>
      </c>
      <c r="H1360" s="27">
        <f>IFERROR(G1360*E1348,"")</f>
        <v>0</v>
      </c>
    </row>
    <row r="1361" spans="1:11">
      <c r="A1361" s="28"/>
      <c r="B1361" s="29"/>
      <c r="C1361" s="30" t="str">
        <f>IFERROR(_xlfn.XLOOKUP(B1361,Transporte[DESCRIPCION],Transporte[UND],,0),"")</f>
        <v/>
      </c>
      <c r="D1361" s="31"/>
      <c r="E1361" s="32" t="str">
        <f>IFERROR(_xlfn.XLOOKUP($B1361,Transporte[DESCRIPCION],Transporte[VALOR],,0),"")</f>
        <v/>
      </c>
      <c r="F1361" s="33"/>
      <c r="G1361" s="34" t="str">
        <f>IFERROR(IF(F1361&gt;=0,D1361*E1361*(1+F1361/100),ABS(D1361*E1361/F1361)),"")</f>
        <v/>
      </c>
      <c r="H1361" s="43" t="str">
        <f>IFERROR(G1361*E1348,"")</f>
        <v/>
      </c>
    </row>
    <row r="1362" spans="1:11">
      <c r="A1362" s="28"/>
      <c r="B1362" s="29"/>
      <c r="C1362" s="30" t="str">
        <f>IFERROR(_xlfn.XLOOKUP(B1362,Transporte[DESCRIPCION],Transporte[UND],,0),"")</f>
        <v/>
      </c>
      <c r="D1362" s="31"/>
      <c r="E1362" s="32" t="str">
        <f>IFERROR(_xlfn.XLOOKUP($B1362,Transporte[DESCRIPCION],Transporte[VALOR],,0),"")</f>
        <v/>
      </c>
      <c r="F1362" s="33"/>
      <c r="G1362" s="34" t="str">
        <f>IFERROR(IF(F1362&gt;=0,D1362*E1362*(1+F1362/100),ABS(D1362*E1362/F1362)),"")</f>
        <v/>
      </c>
      <c r="H1362" s="43" t="str">
        <f>IFERROR(G1362*E1348,"")</f>
        <v/>
      </c>
    </row>
    <row r="1363" spans="1:11">
      <c r="A1363" s="21"/>
      <c r="B1363" s="22" t="s">
        <v>3732</v>
      </c>
      <c r="C1363" s="23"/>
      <c r="D1363" s="24"/>
      <c r="E1363" s="25"/>
      <c r="F1363" s="26"/>
      <c r="G1363" s="27">
        <f>SUM(G1364:G1366)</f>
        <v>56279.825777500017</v>
      </c>
      <c r="H1363" s="27">
        <f>IFERROR(G1363*E1348,"")</f>
        <v>0</v>
      </c>
    </row>
    <row r="1364" spans="1:11">
      <c r="A1364" s="28"/>
      <c r="B1364" s="29" t="s">
        <v>3715</v>
      </c>
      <c r="C1364" s="30" t="str">
        <f>IFERROR(_xlfn.XLOOKUP(B1364,MObra[DESCRIPCION],MObra[UN],,0),"")</f>
        <v>día</v>
      </c>
      <c r="D1364" s="31">
        <v>1</v>
      </c>
      <c r="E1364" s="32">
        <f>IFERROR(_xlfn.XLOOKUP($B1364,MObra[DESCRIPCION],MObra[VALOR UNIT],,0),"")</f>
        <v>337678.95466500008</v>
      </c>
      <c r="F1364" s="33">
        <v>-6</v>
      </c>
      <c r="G1364" s="34">
        <f>IFERROR(IF(F1364&gt;=0,D1364*E1364*(1+F1364/100),ABS(D1364*E1364/F1364)),"")</f>
        <v>56279.825777500017</v>
      </c>
      <c r="H1364" s="43">
        <f>IFERROR(G1364*E1348,"")</f>
        <v>0</v>
      </c>
    </row>
    <row r="1365" spans="1:11">
      <c r="A1365" s="28"/>
      <c r="B1365" s="29"/>
      <c r="C1365" s="30" t="str">
        <f>IFERROR(_xlfn.XLOOKUP(B1365,MObra[DESCRIPCION],MObra[UN],,0),"")</f>
        <v/>
      </c>
      <c r="D1365" s="31"/>
      <c r="E1365" s="32" t="str">
        <f>IFERROR(_xlfn.XLOOKUP($B1365,MObra[DESCRIPCION],MObra[VALOR UNIT],,0),"")</f>
        <v/>
      </c>
      <c r="F1365" s="33"/>
      <c r="G1365" s="34" t="str">
        <f>IFERROR(IF(F1365&gt;=0,D1365*E1365*(1+F1365/100),ABS(D1365*E1365/F1365)),"")</f>
        <v/>
      </c>
      <c r="H1365" s="43" t="str">
        <f>IFERROR(G1365*E1348,"")</f>
        <v/>
      </c>
    </row>
    <row r="1366" spans="1:11">
      <c r="A1366" s="35"/>
      <c r="B1366" s="36"/>
      <c r="C1366" s="37" t="str">
        <f>IFERROR(_xlfn.XLOOKUP(B1366,MObra[DESCRIPCION],MObra[UN],,0),"")</f>
        <v/>
      </c>
      <c r="D1366" s="38"/>
      <c r="E1366" s="39" t="str">
        <f>IFERROR(_xlfn.XLOOKUP($B1366,MObra[DESCRIPCION],MObra[VALOR UNIT],,0),"")</f>
        <v/>
      </c>
      <c r="F1366" s="40"/>
      <c r="G1366" s="41" t="str">
        <f>IFERROR(IF(F1366&gt;=0,D1366*E1366*(1+F1366/100),ABS(D1366*E1366/F1366)),"")</f>
        <v/>
      </c>
      <c r="H1366" s="42" t="str">
        <f>IFERROR(G1366*E1348,"")</f>
        <v/>
      </c>
    </row>
    <row r="1368" spans="1:11">
      <c r="A1368" s="6" t="s">
        <v>2396</v>
      </c>
      <c r="B1368" s="7" t="str">
        <f>VLOOKUP($A1368,Presupuesto!$A:$D,2,FALSE())</f>
        <v>Poste ferro concreto 10m X 510 Kgf</v>
      </c>
      <c r="C1368" s="8" t="str">
        <f>VLOOKUP($A1368,Presupuesto!$A:$D,3,FALSE())</f>
        <v>Un</v>
      </c>
      <c r="D1368" s="9"/>
      <c r="E1368" s="10">
        <f>VLOOKUP($A1368,Presupuesto!$A:$D,4,FALSE())</f>
        <v>0</v>
      </c>
      <c r="F1368" s="11" t="s">
        <v>2589</v>
      </c>
      <c r="G1368" s="12">
        <f>SUM(G1370:G1386)/2</f>
        <v>1478626.617066375</v>
      </c>
      <c r="H1368" s="13">
        <f>ROUND(SUM(H1370:H1386),0)/2</f>
        <v>0</v>
      </c>
      <c r="I1368" s="10">
        <f>VLOOKUP(A1368,Presupuesto!$A:$F,6,0)</f>
        <v>0</v>
      </c>
      <c r="J1368" s="10">
        <f>+H1368-I1368</f>
        <v>0</v>
      </c>
      <c r="K1368" s="46">
        <f>+H1368-G1368*E1368</f>
        <v>0</v>
      </c>
    </row>
    <row r="1369" spans="1:11">
      <c r="A1369" s="14"/>
      <c r="B1369" s="15" t="s">
        <v>2586</v>
      </c>
      <c r="C1369" s="15" t="s">
        <v>5</v>
      </c>
      <c r="D1369" s="16" t="s">
        <v>6</v>
      </c>
      <c r="E1369" s="17" t="s">
        <v>7</v>
      </c>
      <c r="F1369" s="18" t="s">
        <v>3728</v>
      </c>
      <c r="G1369" s="19" t="s">
        <v>3729</v>
      </c>
      <c r="H1369" s="20" t="s">
        <v>3797</v>
      </c>
    </row>
    <row r="1370" spans="1:11">
      <c r="A1370" s="21"/>
      <c r="B1370" s="22" t="s">
        <v>3730</v>
      </c>
      <c r="C1370" s="23"/>
      <c r="D1370" s="24"/>
      <c r="E1370" s="25"/>
      <c r="F1370" s="26"/>
      <c r="G1370" s="27">
        <f>SUM(G1371:G1375)</f>
        <v>1332450</v>
      </c>
      <c r="H1370" s="27">
        <f>IFERROR(G1370*E1368,"")</f>
        <v>0</v>
      </c>
    </row>
    <row r="1371" spans="1:11">
      <c r="A1371" s="28"/>
      <c r="B1371" s="29" t="s">
        <v>3232</v>
      </c>
      <c r="C1371" s="30" t="str">
        <f>IFERROR(_xlfn.XLOOKUP(B1371,Insumo[DESCRIPCION],Insumo[UND],,0),"")</f>
        <v>Un</v>
      </c>
      <c r="D1371" s="31">
        <v>1</v>
      </c>
      <c r="E1371" s="32">
        <f>IFERROR(_xlfn.XLOOKUP($B1371,Insumo[DESCRIPCION],Insumo[VALOR],,0),"")</f>
        <v>1332450</v>
      </c>
      <c r="F1371" s="33"/>
      <c r="G1371" s="34">
        <f>IFERROR(IF(F1371&gt;=0,D1371*E1371*(1+F1371/100),ABS(D1371*E1371/F1371)),"")</f>
        <v>1332450</v>
      </c>
      <c r="H1371" s="43">
        <f>IFERROR(G1371*E1368,"")</f>
        <v>0</v>
      </c>
    </row>
    <row r="1372" spans="1:11">
      <c r="A1372" s="28"/>
      <c r="B1372" s="29"/>
      <c r="C1372" s="30" t="str">
        <f>IFERROR(_xlfn.XLOOKUP(B1372,Insumo[DESCRIPCION],Insumo[UND],,0),"")</f>
        <v/>
      </c>
      <c r="D1372" s="31"/>
      <c r="E1372" s="32" t="str">
        <f>IFERROR(_xlfn.XLOOKUP($B1372,Insumo[DESCRIPCION],Insumo[VALOR],,0),"")</f>
        <v/>
      </c>
      <c r="F1372" s="33"/>
      <c r="G1372" s="34" t="str">
        <f>IFERROR(IF(F1372&gt;=0,D1372*E1372*(1+F1372/100),ABS(D1372*E1372/F1372)),"")</f>
        <v/>
      </c>
      <c r="H1372" s="43" t="str">
        <f>IFERROR(G1372*E1368,"")</f>
        <v/>
      </c>
    </row>
    <row r="1373" spans="1:11">
      <c r="A1373" s="28"/>
      <c r="B1373" s="29"/>
      <c r="C1373" s="30" t="str">
        <f>IFERROR(_xlfn.XLOOKUP(B1373,Insumo[DESCRIPCION],Insumo[UND],,0),"")</f>
        <v/>
      </c>
      <c r="D1373" s="31"/>
      <c r="E1373" s="32" t="str">
        <f>IFERROR(_xlfn.XLOOKUP($B1373,Insumo[DESCRIPCION],Insumo[VALOR],,0),"")</f>
        <v/>
      </c>
      <c r="F1373" s="33"/>
      <c r="G1373" s="34" t="str">
        <f>IFERROR(IF(F1373&gt;=0,D1373*E1373*(1+F1373/100),ABS(D1373*E1373/F1373)),"")</f>
        <v/>
      </c>
      <c r="H1373" s="43" t="str">
        <f>IFERROR(G1373*E1368,"")</f>
        <v/>
      </c>
    </row>
    <row r="1374" spans="1:11">
      <c r="A1374" s="28"/>
      <c r="B1374" s="29"/>
      <c r="C1374" s="30" t="str">
        <f>IFERROR(_xlfn.XLOOKUP(B1374,Insumo[DESCRIPCION],Insumo[UND],,0),"")</f>
        <v/>
      </c>
      <c r="D1374" s="31"/>
      <c r="E1374" s="32" t="str">
        <f>IFERROR(_xlfn.XLOOKUP($B1374,Insumo[DESCRIPCION],Insumo[VALOR],,0),"")</f>
        <v/>
      </c>
      <c r="F1374" s="33"/>
      <c r="G1374" s="34" t="str">
        <f>IFERROR(IF(F1374&gt;=0,D1374*E1374*(1+F1374/100),ABS(D1374*E1374/F1374)),"")</f>
        <v/>
      </c>
      <c r="H1374" s="43" t="str">
        <f>IFERROR(G1374*E1368,"")</f>
        <v/>
      </c>
    </row>
    <row r="1375" spans="1:11">
      <c r="A1375" s="28"/>
      <c r="B1375" s="29"/>
      <c r="C1375" s="30" t="str">
        <f>IFERROR(_xlfn.XLOOKUP(B1375,Insumo[DESCRIPCION],Insumo[UND],,0),"")</f>
        <v/>
      </c>
      <c r="D1375" s="31"/>
      <c r="E1375" s="32" t="str">
        <f>IFERROR(_xlfn.XLOOKUP($B1375,Insumo[DESCRIPCION],Insumo[VALOR],,0),"")</f>
        <v/>
      </c>
      <c r="F1375" s="33"/>
      <c r="G1375" s="34" t="str">
        <f>IFERROR(IF(F1375&gt;=0,D1375*E1375*(1+F1375/100),ABS(D1375*E1375/F1375)),"")</f>
        <v/>
      </c>
      <c r="H1375" s="43" t="str">
        <f>IFERROR(G1375*E1368,"")</f>
        <v/>
      </c>
    </row>
    <row r="1376" spans="1:11">
      <c r="A1376" s="21"/>
      <c r="B1376" s="22" t="s">
        <v>3731</v>
      </c>
      <c r="C1376" s="23"/>
      <c r="D1376" s="24"/>
      <c r="E1376" s="25"/>
      <c r="F1376" s="26"/>
      <c r="G1376" s="27">
        <f>SUM(G1377:G1379)</f>
        <v>89896.791288875</v>
      </c>
      <c r="H1376" s="27">
        <f>IFERROR(G1376*E1368,"")</f>
        <v>0</v>
      </c>
    </row>
    <row r="1377" spans="1:11">
      <c r="A1377" s="28"/>
      <c r="B1377" s="29" t="s">
        <v>3622</v>
      </c>
      <c r="C1377" s="30" t="str">
        <f>IFERROR(_xlfn.XLOOKUP(B1377,Equipo[DESCRIPCION],Equipo[UND],,0),"")</f>
        <v>Hr</v>
      </c>
      <c r="D1377" s="31">
        <v>1</v>
      </c>
      <c r="E1377" s="32">
        <f>IF(C1377="%MO",G1383,IFERROR(_xlfn.XLOOKUP($B1377,Equipo[DESCRIPCION],Equipo[VALOR],,0),""))</f>
        <v>87082.8</v>
      </c>
      <c r="F1377" s="33">
        <v>-1</v>
      </c>
      <c r="G1377" s="34">
        <f>IFERROR(IF(F1377&gt;=0,D1377*E1377*(1+F1377/100),ABS(D1377*E1377/F1377)),"")</f>
        <v>87082.8</v>
      </c>
      <c r="H1377" s="43">
        <f>IFERROR(G1377*E1368,"")</f>
        <v>0</v>
      </c>
    </row>
    <row r="1378" spans="1:11">
      <c r="A1378" s="28"/>
      <c r="B1378" s="29" t="s">
        <v>3626</v>
      </c>
      <c r="C1378" s="30" t="str">
        <f>IFERROR(_xlfn.XLOOKUP(B1378,Equipo[DESCRIPCION],Equipo[UND],,0),"")</f>
        <v>%MO</v>
      </c>
      <c r="D1378" s="31">
        <v>0.05</v>
      </c>
      <c r="E1378" s="32">
        <f>IF(C1378="%MO",G1383,IFERROR(_xlfn.XLOOKUP($B1378,Equipo[DESCRIPCION],Equipo[VALOR],,0),""))</f>
        <v>56279.825777500017</v>
      </c>
      <c r="F1378" s="33"/>
      <c r="G1378" s="34">
        <f>IFERROR(IF(F1378&gt;=0,D1378*E1378*(1+F1378/100),ABS(D1378*E1378/F1378)),"")</f>
        <v>2813.9912888750009</v>
      </c>
      <c r="H1378" s="43">
        <f>IFERROR(G1378*E1368,"")</f>
        <v>0</v>
      </c>
    </row>
    <row r="1379" spans="1:11">
      <c r="A1379" s="28"/>
      <c r="B1379" s="29"/>
      <c r="C1379" s="30" t="str">
        <f>IFERROR(_xlfn.XLOOKUP(B1379,Equipo[DESCRIPCION],Equipo[UND],,0),"")</f>
        <v/>
      </c>
      <c r="D1379" s="31"/>
      <c r="E1379" s="32" t="str">
        <f>IF(C1379="%MO",G1383,IFERROR(_xlfn.XLOOKUP($B1379,Equipo[DESCRIPCION],Equipo[VALOR],,0),""))</f>
        <v/>
      </c>
      <c r="F1379" s="33"/>
      <c r="G1379" s="34" t="str">
        <f>IFERROR(IF(F1379&gt;=0,D1379*E1379*(1+F1379/100),ABS(D1379*E1379/F1379)),"")</f>
        <v/>
      </c>
      <c r="H1379" s="43" t="str">
        <f>IFERROR(G1379*E1368,"")</f>
        <v/>
      </c>
    </row>
    <row r="1380" spans="1:11">
      <c r="A1380" s="21"/>
      <c r="B1380" s="22" t="s">
        <v>2533</v>
      </c>
      <c r="C1380" s="23"/>
      <c r="D1380" s="24"/>
      <c r="E1380" s="25"/>
      <c r="F1380" s="26"/>
      <c r="G1380" s="27">
        <f>SUM(G1381:G1382)</f>
        <v>0</v>
      </c>
      <c r="H1380" s="27">
        <f>IFERROR(G1380*E1368,"")</f>
        <v>0</v>
      </c>
    </row>
    <row r="1381" spans="1:11">
      <c r="A1381" s="28"/>
      <c r="B1381" s="29"/>
      <c r="C1381" s="30" t="str">
        <f>IFERROR(_xlfn.XLOOKUP(B1381,Transporte[DESCRIPCION],Transporte[UND],,0),"")</f>
        <v/>
      </c>
      <c r="D1381" s="31"/>
      <c r="E1381" s="32" t="str">
        <f>IFERROR(_xlfn.XLOOKUP($B1381,Transporte[DESCRIPCION],Transporte[VALOR],,0),"")</f>
        <v/>
      </c>
      <c r="F1381" s="33"/>
      <c r="G1381" s="34" t="str">
        <f>IFERROR(IF(F1381&gt;=0,D1381*E1381*(1+F1381/100),ABS(D1381*E1381/F1381)),"")</f>
        <v/>
      </c>
      <c r="H1381" s="43" t="str">
        <f>IFERROR(G1381*E1368,"")</f>
        <v/>
      </c>
    </row>
    <row r="1382" spans="1:11">
      <c r="A1382" s="28"/>
      <c r="B1382" s="29"/>
      <c r="C1382" s="30" t="str">
        <f>IFERROR(_xlfn.XLOOKUP(B1382,Transporte[DESCRIPCION],Transporte[UND],,0),"")</f>
        <v/>
      </c>
      <c r="D1382" s="31"/>
      <c r="E1382" s="32" t="str">
        <f>IFERROR(_xlfn.XLOOKUP($B1382,Transporte[DESCRIPCION],Transporte[VALOR],,0),"")</f>
        <v/>
      </c>
      <c r="F1382" s="33"/>
      <c r="G1382" s="34" t="str">
        <f>IFERROR(IF(F1382&gt;=0,D1382*E1382*(1+F1382/100),ABS(D1382*E1382/F1382)),"")</f>
        <v/>
      </c>
      <c r="H1382" s="43" t="str">
        <f>IFERROR(G1382*E1368,"")</f>
        <v/>
      </c>
    </row>
    <row r="1383" spans="1:11">
      <c r="A1383" s="21"/>
      <c r="B1383" s="22" t="s">
        <v>3732</v>
      </c>
      <c r="C1383" s="23"/>
      <c r="D1383" s="24"/>
      <c r="E1383" s="25"/>
      <c r="F1383" s="26"/>
      <c r="G1383" s="27">
        <f>SUM(G1384:G1386)</f>
        <v>56279.825777500017</v>
      </c>
      <c r="H1383" s="27">
        <f>IFERROR(G1383*E1368,"")</f>
        <v>0</v>
      </c>
    </row>
    <row r="1384" spans="1:11">
      <c r="A1384" s="28"/>
      <c r="B1384" s="29" t="s">
        <v>3715</v>
      </c>
      <c r="C1384" s="30" t="str">
        <f>IFERROR(_xlfn.XLOOKUP(B1384,MObra[DESCRIPCION],MObra[UN],,0),"")</f>
        <v>día</v>
      </c>
      <c r="D1384" s="31">
        <v>1</v>
      </c>
      <c r="E1384" s="32">
        <f>IFERROR(_xlfn.XLOOKUP($B1384,MObra[DESCRIPCION],MObra[VALOR UNIT],,0),"")</f>
        <v>337678.95466500008</v>
      </c>
      <c r="F1384" s="33">
        <v>-6</v>
      </c>
      <c r="G1384" s="34">
        <f>IFERROR(IF(F1384&gt;=0,D1384*E1384*(1+F1384/100),ABS(D1384*E1384/F1384)),"")</f>
        <v>56279.825777500017</v>
      </c>
      <c r="H1384" s="43">
        <f>IFERROR(G1384*E1368,"")</f>
        <v>0</v>
      </c>
    </row>
    <row r="1385" spans="1:11">
      <c r="A1385" s="28"/>
      <c r="B1385" s="29"/>
      <c r="C1385" s="30" t="str">
        <f>IFERROR(_xlfn.XLOOKUP(B1385,MObra[DESCRIPCION],MObra[UN],,0),"")</f>
        <v/>
      </c>
      <c r="D1385" s="31"/>
      <c r="E1385" s="32" t="str">
        <f>IFERROR(_xlfn.XLOOKUP($B1385,MObra[DESCRIPCION],MObra[VALOR UNIT],,0),"")</f>
        <v/>
      </c>
      <c r="F1385" s="33"/>
      <c r="G1385" s="34" t="str">
        <f>IFERROR(IF(F1385&gt;=0,D1385*E1385*(1+F1385/100),ABS(D1385*E1385/F1385)),"")</f>
        <v/>
      </c>
      <c r="H1385" s="43" t="str">
        <f>IFERROR(G1385*E1368,"")</f>
        <v/>
      </c>
    </row>
    <row r="1386" spans="1:11">
      <c r="A1386" s="35"/>
      <c r="B1386" s="36"/>
      <c r="C1386" s="37" t="str">
        <f>IFERROR(_xlfn.XLOOKUP(B1386,MObra[DESCRIPCION],MObra[UN],,0),"")</f>
        <v/>
      </c>
      <c r="D1386" s="38"/>
      <c r="E1386" s="39" t="str">
        <f>IFERROR(_xlfn.XLOOKUP($B1386,MObra[DESCRIPCION],MObra[VALOR UNIT],,0),"")</f>
        <v/>
      </c>
      <c r="F1386" s="40"/>
      <c r="G1386" s="41" t="str">
        <f>IFERROR(IF(F1386&gt;=0,D1386*E1386*(1+F1386/100),ABS(D1386*E1386/F1386)),"")</f>
        <v/>
      </c>
      <c r="H1386" s="42" t="str">
        <f>IFERROR(G1386*E1368,"")</f>
        <v/>
      </c>
    </row>
    <row r="1388" spans="1:11">
      <c r="A1388" s="6" t="s">
        <v>2398</v>
      </c>
      <c r="B1388" s="7" t="str">
        <f>VLOOKUP($A1388,Presupuesto!$A:$D,2,FALSE())</f>
        <v>Poste ferro concreto 12m X 750 Kgf</v>
      </c>
      <c r="C1388" s="8" t="str">
        <f>VLOOKUP($A1388,Presupuesto!$A:$D,3,FALSE())</f>
        <v>Un</v>
      </c>
      <c r="D1388" s="9"/>
      <c r="E1388" s="10">
        <f>VLOOKUP($A1388,Presupuesto!$A:$D,4,FALSE())</f>
        <v>0</v>
      </c>
      <c r="F1388" s="11" t="s">
        <v>2589</v>
      </c>
      <c r="G1388" s="12">
        <f>SUM(G1390:G1406)/2</f>
        <v>1923826.617066375</v>
      </c>
      <c r="H1388" s="13">
        <f>ROUND(SUM(H1390:H1406),0)/2</f>
        <v>0</v>
      </c>
      <c r="I1388" s="10">
        <f>VLOOKUP(A1388,Presupuesto!$A:$F,6,0)</f>
        <v>0</v>
      </c>
      <c r="J1388" s="10">
        <f>+H1388-I1388</f>
        <v>0</v>
      </c>
      <c r="K1388" s="46">
        <f>+H1388-G1388*E1388</f>
        <v>0</v>
      </c>
    </row>
    <row r="1389" spans="1:11">
      <c r="A1389" s="14"/>
      <c r="B1389" s="15" t="s">
        <v>2586</v>
      </c>
      <c r="C1389" s="15" t="s">
        <v>5</v>
      </c>
      <c r="D1389" s="16" t="s">
        <v>6</v>
      </c>
      <c r="E1389" s="17" t="s">
        <v>7</v>
      </c>
      <c r="F1389" s="18" t="s">
        <v>3728</v>
      </c>
      <c r="G1389" s="19" t="s">
        <v>3729</v>
      </c>
      <c r="H1389" s="20" t="s">
        <v>3797</v>
      </c>
    </row>
    <row r="1390" spans="1:11">
      <c r="A1390" s="21"/>
      <c r="B1390" s="22" t="s">
        <v>3730</v>
      </c>
      <c r="C1390" s="23"/>
      <c r="D1390" s="24"/>
      <c r="E1390" s="25"/>
      <c r="F1390" s="26"/>
      <c r="G1390" s="27">
        <f>SUM(G1391:G1395)</f>
        <v>1777650</v>
      </c>
      <c r="H1390" s="27">
        <f>IFERROR(G1390*E1388,"")</f>
        <v>0</v>
      </c>
    </row>
    <row r="1391" spans="1:11">
      <c r="A1391" s="28"/>
      <c r="B1391" s="29" t="s">
        <v>3233</v>
      </c>
      <c r="C1391" s="30" t="str">
        <f>IFERROR(_xlfn.XLOOKUP(B1391,Insumo[DESCRIPCION],Insumo[UND],,0),"")</f>
        <v>Un</v>
      </c>
      <c r="D1391" s="31">
        <v>1</v>
      </c>
      <c r="E1391" s="32">
        <f>IFERROR(_xlfn.XLOOKUP($B1391,Insumo[DESCRIPCION],Insumo[VALOR],,0),"")</f>
        <v>1777650</v>
      </c>
      <c r="F1391" s="33"/>
      <c r="G1391" s="34">
        <f>IFERROR(IF(F1391&gt;=0,D1391*E1391*(1+F1391/100),ABS(D1391*E1391/F1391)),"")</f>
        <v>1777650</v>
      </c>
      <c r="H1391" s="43">
        <f>IFERROR(G1391*E1388,"")</f>
        <v>0</v>
      </c>
    </row>
    <row r="1392" spans="1:11">
      <c r="A1392" s="28"/>
      <c r="B1392" s="29"/>
      <c r="C1392" s="30" t="str">
        <f>IFERROR(_xlfn.XLOOKUP(B1392,Insumo[DESCRIPCION],Insumo[UND],,0),"")</f>
        <v/>
      </c>
      <c r="D1392" s="31"/>
      <c r="E1392" s="32" t="str">
        <f>IFERROR(_xlfn.XLOOKUP($B1392,Insumo[DESCRIPCION],Insumo[VALOR],,0),"")</f>
        <v/>
      </c>
      <c r="F1392" s="33"/>
      <c r="G1392" s="34" t="str">
        <f>IFERROR(IF(F1392&gt;=0,D1392*E1392*(1+F1392/100),ABS(D1392*E1392/F1392)),"")</f>
        <v/>
      </c>
      <c r="H1392" s="43" t="str">
        <f>IFERROR(G1392*E1388,"")</f>
        <v/>
      </c>
    </row>
    <row r="1393" spans="1:11">
      <c r="A1393" s="28"/>
      <c r="B1393" s="29"/>
      <c r="C1393" s="30" t="str">
        <f>IFERROR(_xlfn.XLOOKUP(B1393,Insumo[DESCRIPCION],Insumo[UND],,0),"")</f>
        <v/>
      </c>
      <c r="D1393" s="31"/>
      <c r="E1393" s="32" t="str">
        <f>IFERROR(_xlfn.XLOOKUP($B1393,Insumo[DESCRIPCION],Insumo[VALOR],,0),"")</f>
        <v/>
      </c>
      <c r="F1393" s="33"/>
      <c r="G1393" s="34" t="str">
        <f>IFERROR(IF(F1393&gt;=0,D1393*E1393*(1+F1393/100),ABS(D1393*E1393/F1393)),"")</f>
        <v/>
      </c>
      <c r="H1393" s="43" t="str">
        <f>IFERROR(G1393*E1388,"")</f>
        <v/>
      </c>
    </row>
    <row r="1394" spans="1:11">
      <c r="A1394" s="28"/>
      <c r="B1394" s="29"/>
      <c r="C1394" s="30" t="str">
        <f>IFERROR(_xlfn.XLOOKUP(B1394,Insumo[DESCRIPCION],Insumo[UND],,0),"")</f>
        <v/>
      </c>
      <c r="D1394" s="31"/>
      <c r="E1394" s="32" t="str">
        <f>IFERROR(_xlfn.XLOOKUP($B1394,Insumo[DESCRIPCION],Insumo[VALOR],,0),"")</f>
        <v/>
      </c>
      <c r="F1394" s="33"/>
      <c r="G1394" s="34" t="str">
        <f>IFERROR(IF(F1394&gt;=0,D1394*E1394*(1+F1394/100),ABS(D1394*E1394/F1394)),"")</f>
        <v/>
      </c>
      <c r="H1394" s="43" t="str">
        <f>IFERROR(G1394*E1388,"")</f>
        <v/>
      </c>
    </row>
    <row r="1395" spans="1:11">
      <c r="A1395" s="28"/>
      <c r="B1395" s="29"/>
      <c r="C1395" s="30" t="str">
        <f>IFERROR(_xlfn.XLOOKUP(B1395,Insumo[DESCRIPCION],Insumo[UND],,0),"")</f>
        <v/>
      </c>
      <c r="D1395" s="31"/>
      <c r="E1395" s="32" t="str">
        <f>IFERROR(_xlfn.XLOOKUP($B1395,Insumo[DESCRIPCION],Insumo[VALOR],,0),"")</f>
        <v/>
      </c>
      <c r="F1395" s="33"/>
      <c r="G1395" s="34" t="str">
        <f>IFERROR(IF(F1395&gt;=0,D1395*E1395*(1+F1395/100),ABS(D1395*E1395/F1395)),"")</f>
        <v/>
      </c>
      <c r="H1395" s="43" t="str">
        <f>IFERROR(G1395*E1388,"")</f>
        <v/>
      </c>
    </row>
    <row r="1396" spans="1:11">
      <c r="A1396" s="21"/>
      <c r="B1396" s="22" t="s">
        <v>3731</v>
      </c>
      <c r="C1396" s="23"/>
      <c r="D1396" s="24"/>
      <c r="E1396" s="25"/>
      <c r="F1396" s="26"/>
      <c r="G1396" s="27">
        <f>SUM(G1397:G1399)</f>
        <v>89896.791288875</v>
      </c>
      <c r="H1396" s="27">
        <f>IFERROR(G1396*E1388,"")</f>
        <v>0</v>
      </c>
    </row>
    <row r="1397" spans="1:11">
      <c r="A1397" s="28"/>
      <c r="B1397" s="29" t="s">
        <v>3622</v>
      </c>
      <c r="C1397" s="30" t="str">
        <f>IFERROR(_xlfn.XLOOKUP(B1397,Equipo[DESCRIPCION],Equipo[UND],,0),"")</f>
        <v>Hr</v>
      </c>
      <c r="D1397" s="31">
        <v>1</v>
      </c>
      <c r="E1397" s="32">
        <f>IF(C1397="%MO",G1403,IFERROR(_xlfn.XLOOKUP($B1397,Equipo[DESCRIPCION],Equipo[VALOR],,0),""))</f>
        <v>87082.8</v>
      </c>
      <c r="F1397" s="33">
        <v>-1</v>
      </c>
      <c r="G1397" s="34">
        <f>IFERROR(IF(F1397&gt;=0,D1397*E1397*(1+F1397/100),ABS(D1397*E1397/F1397)),"")</f>
        <v>87082.8</v>
      </c>
      <c r="H1397" s="43">
        <f>IFERROR(G1397*E1388,"")</f>
        <v>0</v>
      </c>
    </row>
    <row r="1398" spans="1:11">
      <c r="A1398" s="28"/>
      <c r="B1398" s="29" t="s">
        <v>3626</v>
      </c>
      <c r="C1398" s="30" t="str">
        <f>IFERROR(_xlfn.XLOOKUP(B1398,Equipo[DESCRIPCION],Equipo[UND],,0),"")</f>
        <v>%MO</v>
      </c>
      <c r="D1398" s="31">
        <v>0.05</v>
      </c>
      <c r="E1398" s="32">
        <f>IF(C1398="%MO",G1403,IFERROR(_xlfn.XLOOKUP($B1398,Equipo[DESCRIPCION],Equipo[VALOR],,0),""))</f>
        <v>56279.825777500017</v>
      </c>
      <c r="F1398" s="33"/>
      <c r="G1398" s="34">
        <f>IFERROR(IF(F1398&gt;=0,D1398*E1398*(1+F1398/100),ABS(D1398*E1398/F1398)),"")</f>
        <v>2813.9912888750009</v>
      </c>
      <c r="H1398" s="43">
        <f>IFERROR(G1398*E1388,"")</f>
        <v>0</v>
      </c>
    </row>
    <row r="1399" spans="1:11">
      <c r="A1399" s="28"/>
      <c r="B1399" s="29"/>
      <c r="C1399" s="30" t="str">
        <f>IFERROR(_xlfn.XLOOKUP(B1399,Equipo[DESCRIPCION],Equipo[UND],,0),"")</f>
        <v/>
      </c>
      <c r="D1399" s="31"/>
      <c r="E1399" s="32" t="str">
        <f>IF(C1399="%MO",G1403,IFERROR(_xlfn.XLOOKUP($B1399,Equipo[DESCRIPCION],Equipo[VALOR],,0),""))</f>
        <v/>
      </c>
      <c r="F1399" s="33"/>
      <c r="G1399" s="34" t="str">
        <f>IFERROR(IF(F1399&gt;=0,D1399*E1399*(1+F1399/100),ABS(D1399*E1399/F1399)),"")</f>
        <v/>
      </c>
      <c r="H1399" s="43" t="str">
        <f>IFERROR(G1399*E1388,"")</f>
        <v/>
      </c>
    </row>
    <row r="1400" spans="1:11">
      <c r="A1400" s="21"/>
      <c r="B1400" s="22" t="s">
        <v>2533</v>
      </c>
      <c r="C1400" s="23"/>
      <c r="D1400" s="24"/>
      <c r="E1400" s="25"/>
      <c r="F1400" s="26"/>
      <c r="G1400" s="27">
        <f>SUM(G1401:G1402)</f>
        <v>0</v>
      </c>
      <c r="H1400" s="27">
        <f>IFERROR(G1400*E1388,"")</f>
        <v>0</v>
      </c>
    </row>
    <row r="1401" spans="1:11">
      <c r="A1401" s="28"/>
      <c r="B1401" s="29"/>
      <c r="C1401" s="30" t="str">
        <f>IFERROR(_xlfn.XLOOKUP(B1401,Transporte[DESCRIPCION],Transporte[UND],,0),"")</f>
        <v/>
      </c>
      <c r="D1401" s="31"/>
      <c r="E1401" s="32" t="str">
        <f>IFERROR(_xlfn.XLOOKUP($B1401,Transporte[DESCRIPCION],Transporte[VALOR],,0),"")</f>
        <v/>
      </c>
      <c r="F1401" s="33"/>
      <c r="G1401" s="34" t="str">
        <f>IFERROR(IF(F1401&gt;=0,D1401*E1401*(1+F1401/100),ABS(D1401*E1401/F1401)),"")</f>
        <v/>
      </c>
      <c r="H1401" s="43" t="str">
        <f>IFERROR(G1401*E1388,"")</f>
        <v/>
      </c>
    </row>
    <row r="1402" spans="1:11">
      <c r="A1402" s="28"/>
      <c r="B1402" s="29"/>
      <c r="C1402" s="30" t="str">
        <f>IFERROR(_xlfn.XLOOKUP(B1402,Transporte[DESCRIPCION],Transporte[UND],,0),"")</f>
        <v/>
      </c>
      <c r="D1402" s="31"/>
      <c r="E1402" s="32" t="str">
        <f>IFERROR(_xlfn.XLOOKUP($B1402,Transporte[DESCRIPCION],Transporte[VALOR],,0),"")</f>
        <v/>
      </c>
      <c r="F1402" s="33"/>
      <c r="G1402" s="34" t="str">
        <f>IFERROR(IF(F1402&gt;=0,D1402*E1402*(1+F1402/100),ABS(D1402*E1402/F1402)),"")</f>
        <v/>
      </c>
      <c r="H1402" s="43" t="str">
        <f>IFERROR(G1402*E1388,"")</f>
        <v/>
      </c>
    </row>
    <row r="1403" spans="1:11">
      <c r="A1403" s="21"/>
      <c r="B1403" s="22" t="s">
        <v>3732</v>
      </c>
      <c r="C1403" s="23"/>
      <c r="D1403" s="24"/>
      <c r="E1403" s="25"/>
      <c r="F1403" s="26"/>
      <c r="G1403" s="27">
        <f>SUM(G1404:G1406)</f>
        <v>56279.825777500017</v>
      </c>
      <c r="H1403" s="27">
        <f>IFERROR(G1403*E1388,"")</f>
        <v>0</v>
      </c>
    </row>
    <row r="1404" spans="1:11">
      <c r="A1404" s="28"/>
      <c r="B1404" s="29" t="s">
        <v>3715</v>
      </c>
      <c r="C1404" s="30" t="str">
        <f>IFERROR(_xlfn.XLOOKUP(B1404,MObra[DESCRIPCION],MObra[UN],,0),"")</f>
        <v>día</v>
      </c>
      <c r="D1404" s="31">
        <v>1</v>
      </c>
      <c r="E1404" s="32">
        <f>IFERROR(_xlfn.XLOOKUP($B1404,MObra[DESCRIPCION],MObra[VALOR UNIT],,0),"")</f>
        <v>337678.95466500008</v>
      </c>
      <c r="F1404" s="33">
        <v>-6</v>
      </c>
      <c r="G1404" s="34">
        <f>IFERROR(IF(F1404&gt;=0,D1404*E1404*(1+F1404/100),ABS(D1404*E1404/F1404)),"")</f>
        <v>56279.825777500017</v>
      </c>
      <c r="H1404" s="43">
        <f>IFERROR(G1404*E1388,"")</f>
        <v>0</v>
      </c>
    </row>
    <row r="1405" spans="1:11">
      <c r="A1405" s="28"/>
      <c r="B1405" s="29"/>
      <c r="C1405" s="30" t="str">
        <f>IFERROR(_xlfn.XLOOKUP(B1405,MObra[DESCRIPCION],MObra[UN],,0),"")</f>
        <v/>
      </c>
      <c r="D1405" s="31"/>
      <c r="E1405" s="32" t="str">
        <f>IFERROR(_xlfn.XLOOKUP($B1405,MObra[DESCRIPCION],MObra[VALOR UNIT],,0),"")</f>
        <v/>
      </c>
      <c r="F1405" s="33"/>
      <c r="G1405" s="34" t="str">
        <f>IFERROR(IF(F1405&gt;=0,D1405*E1405*(1+F1405/100),ABS(D1405*E1405/F1405)),"")</f>
        <v/>
      </c>
      <c r="H1405" s="43" t="str">
        <f>IFERROR(G1405*E1388,"")</f>
        <v/>
      </c>
    </row>
    <row r="1406" spans="1:11">
      <c r="A1406" s="35"/>
      <c r="B1406" s="36"/>
      <c r="C1406" s="37" t="str">
        <f>IFERROR(_xlfn.XLOOKUP(B1406,MObra[DESCRIPCION],MObra[UN],,0),"")</f>
        <v/>
      </c>
      <c r="D1406" s="38"/>
      <c r="E1406" s="39" t="str">
        <f>IFERROR(_xlfn.XLOOKUP($B1406,MObra[DESCRIPCION],MObra[VALOR UNIT],,0),"")</f>
        <v/>
      </c>
      <c r="F1406" s="40"/>
      <c r="G1406" s="41" t="str">
        <f>IFERROR(IF(F1406&gt;=0,D1406*E1406*(1+F1406/100),ABS(D1406*E1406/F1406)),"")</f>
        <v/>
      </c>
      <c r="H1406" s="42" t="str">
        <f>IFERROR(G1406*E1388,"")</f>
        <v/>
      </c>
    </row>
    <row r="1407" spans="1:11" ht="12.75" customHeight="1" thickTop="1" thickBot="1"/>
    <row r="1408" spans="1:11" ht="26.25" thickTop="1" thickBot="1">
      <c r="A1408" s="6" t="s">
        <v>2400</v>
      </c>
      <c r="B1408" s="7" t="str">
        <f>VLOOKUP($A1408,Presupuesto!$A:$D,2,FALSE())</f>
        <v>Poste metálico 12 m faceteado, seccionado (1er segmento de 1.5 m) + 1 Brazo de 1 m x 2"+1 Brazo de 1 m x 2", 750 Kgf</v>
      </c>
      <c r="C1408" s="8" t="str">
        <f>VLOOKUP($A1408,Presupuesto!$A:$D,3,FALSE())</f>
        <v>Un</v>
      </c>
      <c r="D1408" s="9"/>
      <c r="E1408" s="10">
        <f>VLOOKUP($A1408,Presupuesto!$A:$D,4,FALSE())</f>
        <v>0</v>
      </c>
      <c r="F1408" s="11" t="s">
        <v>2589</v>
      </c>
      <c r="G1408" s="12">
        <f>SUM(G1410:G1426)/2</f>
        <v>4777275.1170663759</v>
      </c>
      <c r="H1408" s="13">
        <f>ROUND(SUM(H1410:H1426),0)/2</f>
        <v>0</v>
      </c>
      <c r="I1408" s="10">
        <f>VLOOKUP(A1408,Presupuesto!$A:$F,6,0)</f>
        <v>0</v>
      </c>
      <c r="J1408" s="10">
        <f>+H1408-I1408</f>
        <v>0</v>
      </c>
      <c r="K1408" s="46">
        <f>+H1408-G1408*E1408</f>
        <v>0</v>
      </c>
    </row>
    <row r="1409" spans="1:8">
      <c r="A1409" s="14"/>
      <c r="B1409" s="15" t="s">
        <v>2586</v>
      </c>
      <c r="C1409" s="15" t="s">
        <v>5</v>
      </c>
      <c r="D1409" s="16" t="s">
        <v>6</v>
      </c>
      <c r="E1409" s="17" t="s">
        <v>7</v>
      </c>
      <c r="F1409" s="18" t="s">
        <v>3728</v>
      </c>
      <c r="G1409" s="19" t="s">
        <v>3729</v>
      </c>
      <c r="H1409" s="20" t="s">
        <v>3797</v>
      </c>
    </row>
    <row r="1410" spans="1:8">
      <c r="A1410" s="21"/>
      <c r="B1410" s="22" t="s">
        <v>3730</v>
      </c>
      <c r="C1410" s="23"/>
      <c r="D1410" s="24"/>
      <c r="E1410" s="25"/>
      <c r="F1410" s="26"/>
      <c r="G1410" s="27">
        <f>SUM(G1411:G1415)</f>
        <v>4631098.5</v>
      </c>
      <c r="H1410" s="27">
        <f>IFERROR(G1410*E1408,"")</f>
        <v>0</v>
      </c>
    </row>
    <row r="1411" spans="1:8" ht="25.5">
      <c r="A1411" s="28"/>
      <c r="B1411" s="29" t="s">
        <v>3235</v>
      </c>
      <c r="C1411" s="30" t="str">
        <f>IFERROR(_xlfn.XLOOKUP(B1411,Insumo[DESCRIPCION],Insumo[UND],,0),"")</f>
        <v>Un</v>
      </c>
      <c r="D1411" s="31">
        <v>1</v>
      </c>
      <c r="E1411" s="32">
        <f>IFERROR(_xlfn.XLOOKUP($B1411,Insumo[DESCRIPCION],Insumo[VALOR],,0),"")</f>
        <v>4414200</v>
      </c>
      <c r="F1411" s="33"/>
      <c r="G1411" s="34">
        <f>IFERROR(IF(F1411&gt;=0,D1411*E1411*(1+F1411/100),ABS(D1411*E1411/F1411)),"")</f>
        <v>4414200</v>
      </c>
      <c r="H1411" s="43">
        <f>IFERROR(G1411*E1408,"")</f>
        <v>0</v>
      </c>
    </row>
    <row r="1412" spans="1:8">
      <c r="A1412" s="28"/>
      <c r="B1412" s="29" t="s">
        <v>2800</v>
      </c>
      <c r="C1412" s="30" t="str">
        <f>IFERROR(_xlfn.XLOOKUP(B1412,Insumo[DESCRIPCION],Insumo[UND],,0),"")</f>
        <v>M</v>
      </c>
      <c r="D1412" s="31">
        <v>14</v>
      </c>
      <c r="E1412" s="32">
        <f>IFERROR(_xlfn.XLOOKUP($B1412,Insumo[DESCRIPCION],Insumo[VALOR],,0),"")</f>
        <v>7387.8</v>
      </c>
      <c r="F1412" s="33"/>
      <c r="G1412" s="34">
        <f>IFERROR(IF(F1412&gt;=0,D1412*E1412*(1+F1412/100),ABS(D1412*E1412/F1412)),"")</f>
        <v>103429.2</v>
      </c>
      <c r="H1412" s="43">
        <f>IFERROR(G1412*E1408,"")</f>
        <v>0</v>
      </c>
    </row>
    <row r="1413" spans="1:8">
      <c r="A1413" s="28"/>
      <c r="B1413" s="29" t="s">
        <v>2890</v>
      </c>
      <c r="C1413" s="30" t="str">
        <f>IFERROR(_xlfn.XLOOKUP(B1413,Insumo[DESCRIPCION],Insumo[UND],,0),"")</f>
        <v>Un</v>
      </c>
      <c r="D1413" s="31">
        <v>3</v>
      </c>
      <c r="E1413" s="32">
        <f>IFERROR(_xlfn.XLOOKUP($B1413,Insumo[DESCRIPCION],Insumo[VALOR],,0),"")</f>
        <v>37823.1</v>
      </c>
      <c r="F1413" s="33"/>
      <c r="G1413" s="34">
        <f>IFERROR(IF(F1413&gt;=0,D1413*E1413*(1+F1413/100),ABS(D1413*E1413/F1413)),"")</f>
        <v>113469.29999999999</v>
      </c>
      <c r="H1413" s="43">
        <f>IFERROR(G1413*E1408,"")</f>
        <v>0</v>
      </c>
    </row>
    <row r="1414" spans="1:8">
      <c r="A1414" s="28"/>
      <c r="B1414" s="29"/>
      <c r="C1414" s="30" t="str">
        <f>IFERROR(_xlfn.XLOOKUP(B1414,Insumo[DESCRIPCION],Insumo[UND],,0),"")</f>
        <v/>
      </c>
      <c r="D1414" s="31"/>
      <c r="E1414" s="32" t="str">
        <f>IFERROR(_xlfn.XLOOKUP($B1414,Insumo[DESCRIPCION],Insumo[VALOR],,0),"")</f>
        <v/>
      </c>
      <c r="F1414" s="33"/>
      <c r="G1414" s="34" t="str">
        <f>IFERROR(IF(F1414&gt;=0,D1414*E1414*(1+F1414/100),ABS(D1414*E1414/F1414)),"")</f>
        <v/>
      </c>
      <c r="H1414" s="43" t="str">
        <f>IFERROR(G1414*E1408,"")</f>
        <v/>
      </c>
    </row>
    <row r="1415" spans="1:8">
      <c r="A1415" s="28"/>
      <c r="B1415" s="29"/>
      <c r="C1415" s="30" t="str">
        <f>IFERROR(_xlfn.XLOOKUP(B1415,Insumo[DESCRIPCION],Insumo[UND],,0),"")</f>
        <v/>
      </c>
      <c r="D1415" s="31"/>
      <c r="E1415" s="32" t="str">
        <f>IFERROR(_xlfn.XLOOKUP($B1415,Insumo[DESCRIPCION],Insumo[VALOR],,0),"")</f>
        <v/>
      </c>
      <c r="F1415" s="33"/>
      <c r="G1415" s="34" t="str">
        <f>IFERROR(IF(F1415&gt;=0,D1415*E1415*(1+F1415/100),ABS(D1415*E1415/F1415)),"")</f>
        <v/>
      </c>
      <c r="H1415" s="43" t="str">
        <f>IFERROR(G1415*E1408,"")</f>
        <v/>
      </c>
    </row>
    <row r="1416" spans="1:8">
      <c r="A1416" s="21"/>
      <c r="B1416" s="22" t="s">
        <v>3731</v>
      </c>
      <c r="C1416" s="23"/>
      <c r="D1416" s="24"/>
      <c r="E1416" s="25"/>
      <c r="F1416" s="26"/>
      <c r="G1416" s="27">
        <f>SUM(G1417:G1419)</f>
        <v>89896.791288875</v>
      </c>
      <c r="H1416" s="27">
        <f>IFERROR(G1416*E1408,"")</f>
        <v>0</v>
      </c>
    </row>
    <row r="1417" spans="1:8">
      <c r="A1417" s="28"/>
      <c r="B1417" s="29" t="s">
        <v>3622</v>
      </c>
      <c r="C1417" s="30" t="str">
        <f>IFERROR(_xlfn.XLOOKUP(B1417,Equipo[DESCRIPCION],Equipo[UND],,0),"")</f>
        <v>Hr</v>
      </c>
      <c r="D1417" s="31">
        <v>1</v>
      </c>
      <c r="E1417" s="32">
        <f>IF(C1417="%MO",G1423,IFERROR(_xlfn.XLOOKUP($B1417,Equipo[DESCRIPCION],Equipo[VALOR],,0),""))</f>
        <v>87082.8</v>
      </c>
      <c r="F1417" s="33">
        <v>-1</v>
      </c>
      <c r="G1417" s="34">
        <f>IFERROR(IF(F1417&gt;=0,D1417*E1417*(1+F1417/100),ABS(D1417*E1417/F1417)),"")</f>
        <v>87082.8</v>
      </c>
      <c r="H1417" s="43">
        <f>IFERROR(G1417*E1408,"")</f>
        <v>0</v>
      </c>
    </row>
    <row r="1418" spans="1:8">
      <c r="A1418" s="28"/>
      <c r="B1418" s="29" t="s">
        <v>3626</v>
      </c>
      <c r="C1418" s="30" t="str">
        <f>IFERROR(_xlfn.XLOOKUP(B1418,Equipo[DESCRIPCION],Equipo[UND],,0),"")</f>
        <v>%MO</v>
      </c>
      <c r="D1418" s="31">
        <v>0.05</v>
      </c>
      <c r="E1418" s="32">
        <f>IF(C1418="%MO",G1423,IFERROR(_xlfn.XLOOKUP($B1418,Equipo[DESCRIPCION],Equipo[VALOR],,0),""))</f>
        <v>56279.825777500017</v>
      </c>
      <c r="F1418" s="33"/>
      <c r="G1418" s="34">
        <f>IFERROR(IF(F1418&gt;=0,D1418*E1418*(1+F1418/100),ABS(D1418*E1418/F1418)),"")</f>
        <v>2813.9912888750009</v>
      </c>
      <c r="H1418" s="43">
        <f>IFERROR(G1418*E1408,"")</f>
        <v>0</v>
      </c>
    </row>
    <row r="1419" spans="1:8">
      <c r="A1419" s="28"/>
      <c r="B1419" s="29"/>
      <c r="C1419" s="30" t="str">
        <f>IFERROR(_xlfn.XLOOKUP(B1419,Equipo[DESCRIPCION],Equipo[UND],,0),"")</f>
        <v/>
      </c>
      <c r="D1419" s="31"/>
      <c r="E1419" s="32" t="str">
        <f>IF(C1419="%MO",G1423,IFERROR(_xlfn.XLOOKUP($B1419,Equipo[DESCRIPCION],Equipo[VALOR],,0),""))</f>
        <v/>
      </c>
      <c r="F1419" s="33"/>
      <c r="G1419" s="34" t="str">
        <f>IFERROR(IF(F1419&gt;=0,D1419*E1419*(1+F1419/100),ABS(D1419*E1419/F1419)),"")</f>
        <v/>
      </c>
      <c r="H1419" s="43" t="str">
        <f>IFERROR(G1419*E1408,"")</f>
        <v/>
      </c>
    </row>
    <row r="1420" spans="1:8">
      <c r="A1420" s="21"/>
      <c r="B1420" s="22" t="s">
        <v>2533</v>
      </c>
      <c r="C1420" s="23"/>
      <c r="D1420" s="24"/>
      <c r="E1420" s="25"/>
      <c r="F1420" s="26"/>
      <c r="G1420" s="27">
        <f>SUM(G1421:G1422)</f>
        <v>0</v>
      </c>
      <c r="H1420" s="27">
        <f>IFERROR(G1420*E1408,"")</f>
        <v>0</v>
      </c>
    </row>
    <row r="1421" spans="1:8">
      <c r="A1421" s="28"/>
      <c r="B1421" s="29"/>
      <c r="C1421" s="30" t="str">
        <f>IFERROR(_xlfn.XLOOKUP(B1421,Transporte[DESCRIPCION],Transporte[UND],,0),"")</f>
        <v/>
      </c>
      <c r="D1421" s="31"/>
      <c r="E1421" s="32" t="str">
        <f>IFERROR(_xlfn.XLOOKUP($B1421,Transporte[DESCRIPCION],Transporte[VALOR],,0),"")</f>
        <v/>
      </c>
      <c r="F1421" s="33"/>
      <c r="G1421" s="34" t="str">
        <f>IFERROR(IF(F1421&gt;=0,D1421*E1421*(1+F1421/100),ABS(D1421*E1421/F1421)),"")</f>
        <v/>
      </c>
      <c r="H1421" s="43" t="str">
        <f>IFERROR(G1421*E1408,"")</f>
        <v/>
      </c>
    </row>
    <row r="1422" spans="1:8">
      <c r="A1422" s="28"/>
      <c r="B1422" s="29"/>
      <c r="C1422" s="30" t="str">
        <f>IFERROR(_xlfn.XLOOKUP(B1422,Transporte[DESCRIPCION],Transporte[UND],,0),"")</f>
        <v/>
      </c>
      <c r="D1422" s="31"/>
      <c r="E1422" s="32" t="str">
        <f>IFERROR(_xlfn.XLOOKUP($B1422,Transporte[DESCRIPCION],Transporte[VALOR],,0),"")</f>
        <v/>
      </c>
      <c r="F1422" s="33"/>
      <c r="G1422" s="34" t="str">
        <f>IFERROR(IF(F1422&gt;=0,D1422*E1422*(1+F1422/100),ABS(D1422*E1422/F1422)),"")</f>
        <v/>
      </c>
      <c r="H1422" s="43" t="str">
        <f>IFERROR(G1422*E1408,"")</f>
        <v/>
      </c>
    </row>
    <row r="1423" spans="1:8">
      <c r="A1423" s="21"/>
      <c r="B1423" s="22" t="s">
        <v>3732</v>
      </c>
      <c r="C1423" s="23"/>
      <c r="D1423" s="24"/>
      <c r="E1423" s="25"/>
      <c r="F1423" s="26"/>
      <c r="G1423" s="27">
        <f>SUM(G1424:G1426)</f>
        <v>56279.825777500017</v>
      </c>
      <c r="H1423" s="27">
        <f>IFERROR(G1423*E1408,"")</f>
        <v>0</v>
      </c>
    </row>
    <row r="1424" spans="1:8">
      <c r="A1424" s="28"/>
      <c r="B1424" s="29" t="s">
        <v>3715</v>
      </c>
      <c r="C1424" s="30" t="str">
        <f>IFERROR(_xlfn.XLOOKUP(B1424,MObra[DESCRIPCION],MObra[UN],,0),"")</f>
        <v>día</v>
      </c>
      <c r="D1424" s="31">
        <v>1</v>
      </c>
      <c r="E1424" s="32">
        <f>IFERROR(_xlfn.XLOOKUP($B1424,MObra[DESCRIPCION],MObra[VALOR UNIT],,0),"")</f>
        <v>337678.95466500008</v>
      </c>
      <c r="F1424" s="33">
        <v>-6</v>
      </c>
      <c r="G1424" s="34">
        <f>IFERROR(IF(F1424&gt;=0,D1424*E1424*(1+F1424/100),ABS(D1424*E1424/F1424)),"")</f>
        <v>56279.825777500017</v>
      </c>
      <c r="H1424" s="43">
        <f>IFERROR(G1424*E1408,"")</f>
        <v>0</v>
      </c>
    </row>
    <row r="1425" spans="1:11">
      <c r="A1425" s="28"/>
      <c r="B1425" s="29"/>
      <c r="C1425" s="30" t="str">
        <f>IFERROR(_xlfn.XLOOKUP(B1425,MObra[DESCRIPCION],MObra[UN],,0),"")</f>
        <v/>
      </c>
      <c r="D1425" s="31"/>
      <c r="E1425" s="32" t="str">
        <f>IFERROR(_xlfn.XLOOKUP($B1425,MObra[DESCRIPCION],MObra[VALOR UNIT],,0),"")</f>
        <v/>
      </c>
      <c r="F1425" s="33"/>
      <c r="G1425" s="34" t="str">
        <f>IFERROR(IF(F1425&gt;=0,D1425*E1425*(1+F1425/100),ABS(D1425*E1425/F1425)),"")</f>
        <v/>
      </c>
      <c r="H1425" s="43" t="str">
        <f>IFERROR(G1425*E1408,"")</f>
        <v/>
      </c>
    </row>
    <row r="1426" spans="1:11">
      <c r="A1426" s="35"/>
      <c r="B1426" s="36"/>
      <c r="C1426" s="37" t="str">
        <f>IFERROR(_xlfn.XLOOKUP(B1426,MObra[DESCRIPCION],MObra[UN],,0),"")</f>
        <v/>
      </c>
      <c r="D1426" s="38"/>
      <c r="E1426" s="39" t="str">
        <f>IFERROR(_xlfn.XLOOKUP($B1426,MObra[DESCRIPCION],MObra[VALOR UNIT],,0),"")</f>
        <v/>
      </c>
      <c r="F1426" s="40"/>
      <c r="G1426" s="41" t="str">
        <f>IFERROR(IF(F1426&gt;=0,D1426*E1426*(1+F1426/100),ABS(D1426*E1426/F1426)),"")</f>
        <v/>
      </c>
      <c r="H1426" s="42" t="str">
        <f>IFERROR(G1426*E1408,"")</f>
        <v/>
      </c>
    </row>
    <row r="1427" spans="1:11" ht="12.75" customHeight="1" thickTop="1" thickBot="1"/>
    <row r="1428" spans="1:11" ht="26.25" thickTop="1" thickBot="1">
      <c r="A1428" s="6" t="s">
        <v>2402</v>
      </c>
      <c r="B1428" s="7" t="str">
        <f>VLOOKUP($A1428,Presupuesto!$A:$D,2,FALSE())</f>
        <v>Poste metálico 12 m faceteado, seccionado (1er segmento de 1.5 m) + 1 Brazo de 2 m x 2", 750 Kgf</v>
      </c>
      <c r="C1428" s="8" t="str">
        <f>VLOOKUP($A1428,Presupuesto!$A:$D,3,FALSE())</f>
        <v>Un</v>
      </c>
      <c r="D1428" s="9"/>
      <c r="E1428" s="10">
        <f>VLOOKUP($A1428,Presupuesto!$A:$D,4,FALSE())</f>
        <v>0</v>
      </c>
      <c r="F1428" s="11" t="s">
        <v>2589</v>
      </c>
      <c r="G1428" s="12">
        <f>SUM(G1430:G1446)/2</f>
        <v>4426575.1170663759</v>
      </c>
      <c r="H1428" s="13">
        <f>ROUND(SUM(H1430:H1446),0)/2</f>
        <v>0</v>
      </c>
      <c r="I1428" s="10">
        <f>VLOOKUP(A1428,Presupuesto!$A:$F,6,0)</f>
        <v>0</v>
      </c>
      <c r="J1428" s="10">
        <f>+H1428-I1428</f>
        <v>0</v>
      </c>
      <c r="K1428" s="46">
        <f>+H1428-G1428*E1428</f>
        <v>0</v>
      </c>
    </row>
    <row r="1429" spans="1:11">
      <c r="A1429" s="14"/>
      <c r="B1429" s="15" t="s">
        <v>2586</v>
      </c>
      <c r="C1429" s="15" t="s">
        <v>5</v>
      </c>
      <c r="D1429" s="16" t="s">
        <v>6</v>
      </c>
      <c r="E1429" s="17" t="s">
        <v>7</v>
      </c>
      <c r="F1429" s="18" t="s">
        <v>3728</v>
      </c>
      <c r="G1429" s="19" t="s">
        <v>3729</v>
      </c>
      <c r="H1429" s="20" t="s">
        <v>3797</v>
      </c>
    </row>
    <row r="1430" spans="1:11">
      <c r="A1430" s="21"/>
      <c r="B1430" s="22" t="s">
        <v>3730</v>
      </c>
      <c r="C1430" s="23"/>
      <c r="D1430" s="24"/>
      <c r="E1430" s="25"/>
      <c r="F1430" s="26"/>
      <c r="G1430" s="27">
        <f>SUM(G1431:G1435)</f>
        <v>4280398.5</v>
      </c>
      <c r="H1430" s="27">
        <f>IFERROR(G1430*E1428,"")</f>
        <v>0</v>
      </c>
    </row>
    <row r="1431" spans="1:11" ht="25.5">
      <c r="A1431" s="28"/>
      <c r="B1431" s="29" t="s">
        <v>3234</v>
      </c>
      <c r="C1431" s="30" t="str">
        <f>IFERROR(_xlfn.XLOOKUP(B1431,Insumo[DESCRIPCION],Insumo[UND],,0),"")</f>
        <v>Un</v>
      </c>
      <c r="D1431" s="31">
        <v>1</v>
      </c>
      <c r="E1431" s="32">
        <f>IFERROR(_xlfn.XLOOKUP($B1431,Insumo[DESCRIPCION],Insumo[VALOR],,0),"")</f>
        <v>4063500</v>
      </c>
      <c r="F1431" s="33"/>
      <c r="G1431" s="34">
        <f>IFERROR(IF(F1431&gt;=0,D1431*E1431*(1+F1431/100),ABS(D1431*E1431/F1431)),"")</f>
        <v>4063500</v>
      </c>
      <c r="H1431" s="43">
        <f>IFERROR(G1431*E1428,"")</f>
        <v>0</v>
      </c>
    </row>
    <row r="1432" spans="1:11">
      <c r="A1432" s="28"/>
      <c r="B1432" s="29" t="s">
        <v>2800</v>
      </c>
      <c r="C1432" s="30" t="str">
        <f>IFERROR(_xlfn.XLOOKUP(B1432,Insumo[DESCRIPCION],Insumo[UND],,0),"")</f>
        <v>M</v>
      </c>
      <c r="D1432" s="31">
        <v>14</v>
      </c>
      <c r="E1432" s="32">
        <f>IFERROR(_xlfn.XLOOKUP($B1432,Insumo[DESCRIPCION],Insumo[VALOR],,0),"")</f>
        <v>7387.8</v>
      </c>
      <c r="F1432" s="33"/>
      <c r="G1432" s="34">
        <f>IFERROR(IF(F1432&gt;=0,D1432*E1432*(1+F1432/100),ABS(D1432*E1432/F1432)),"")</f>
        <v>103429.2</v>
      </c>
      <c r="H1432" s="43">
        <f>IFERROR(G1432*E1428,"")</f>
        <v>0</v>
      </c>
    </row>
    <row r="1433" spans="1:11">
      <c r="A1433" s="28"/>
      <c r="B1433" s="29" t="s">
        <v>2890</v>
      </c>
      <c r="C1433" s="30" t="str">
        <f>IFERROR(_xlfn.XLOOKUP(B1433,Insumo[DESCRIPCION],Insumo[UND],,0),"")</f>
        <v>Un</v>
      </c>
      <c r="D1433" s="31">
        <v>3</v>
      </c>
      <c r="E1433" s="32">
        <f>IFERROR(_xlfn.XLOOKUP($B1433,Insumo[DESCRIPCION],Insumo[VALOR],,0),"")</f>
        <v>37823.1</v>
      </c>
      <c r="F1433" s="33"/>
      <c r="G1433" s="34">
        <f>IFERROR(IF(F1433&gt;=0,D1433*E1433*(1+F1433/100),ABS(D1433*E1433/F1433)),"")</f>
        <v>113469.29999999999</v>
      </c>
      <c r="H1433" s="43">
        <f>IFERROR(G1433*E1428,"")</f>
        <v>0</v>
      </c>
    </row>
    <row r="1434" spans="1:11">
      <c r="A1434" s="28"/>
      <c r="B1434" s="29"/>
      <c r="C1434" s="30" t="str">
        <f>IFERROR(_xlfn.XLOOKUP(B1434,Insumo[DESCRIPCION],Insumo[UND],,0),"")</f>
        <v/>
      </c>
      <c r="D1434" s="31"/>
      <c r="E1434" s="32" t="str">
        <f>IFERROR(_xlfn.XLOOKUP($B1434,Insumo[DESCRIPCION],Insumo[VALOR],,0),"")</f>
        <v/>
      </c>
      <c r="F1434" s="33"/>
      <c r="G1434" s="34" t="str">
        <f>IFERROR(IF(F1434&gt;=0,D1434*E1434*(1+F1434/100),ABS(D1434*E1434/F1434)),"")</f>
        <v/>
      </c>
      <c r="H1434" s="43" t="str">
        <f>IFERROR(G1434*E1428,"")</f>
        <v/>
      </c>
    </row>
    <row r="1435" spans="1:11">
      <c r="A1435" s="28"/>
      <c r="B1435" s="29"/>
      <c r="C1435" s="30" t="str">
        <f>IFERROR(_xlfn.XLOOKUP(B1435,Insumo[DESCRIPCION],Insumo[UND],,0),"")</f>
        <v/>
      </c>
      <c r="D1435" s="31"/>
      <c r="E1435" s="32" t="str">
        <f>IFERROR(_xlfn.XLOOKUP($B1435,Insumo[DESCRIPCION],Insumo[VALOR],,0),"")</f>
        <v/>
      </c>
      <c r="F1435" s="33"/>
      <c r="G1435" s="34" t="str">
        <f>IFERROR(IF(F1435&gt;=0,D1435*E1435*(1+F1435/100),ABS(D1435*E1435/F1435)),"")</f>
        <v/>
      </c>
      <c r="H1435" s="43" t="str">
        <f>IFERROR(G1435*E1428,"")</f>
        <v/>
      </c>
    </row>
    <row r="1436" spans="1:11">
      <c r="A1436" s="21"/>
      <c r="B1436" s="22" t="s">
        <v>3731</v>
      </c>
      <c r="C1436" s="23"/>
      <c r="D1436" s="24"/>
      <c r="E1436" s="25"/>
      <c r="F1436" s="26"/>
      <c r="G1436" s="27">
        <f>SUM(G1437:G1439)</f>
        <v>89896.791288875</v>
      </c>
      <c r="H1436" s="27">
        <f>IFERROR(G1436*E1428,"")</f>
        <v>0</v>
      </c>
    </row>
    <row r="1437" spans="1:11">
      <c r="A1437" s="28"/>
      <c r="B1437" s="29" t="s">
        <v>3622</v>
      </c>
      <c r="C1437" s="30" t="str">
        <f>IFERROR(_xlfn.XLOOKUP(B1437,Equipo[DESCRIPCION],Equipo[UND],,0),"")</f>
        <v>Hr</v>
      </c>
      <c r="D1437" s="31">
        <v>1</v>
      </c>
      <c r="E1437" s="32">
        <f>IF(C1437="%MO",G1443,IFERROR(_xlfn.XLOOKUP($B1437,Equipo[DESCRIPCION],Equipo[VALOR],,0),""))</f>
        <v>87082.8</v>
      </c>
      <c r="F1437" s="33">
        <v>-1</v>
      </c>
      <c r="G1437" s="34">
        <f>IFERROR(IF(F1437&gt;=0,D1437*E1437*(1+F1437/100),ABS(D1437*E1437/F1437)),"")</f>
        <v>87082.8</v>
      </c>
      <c r="H1437" s="43">
        <f>IFERROR(G1437*E1428,"")</f>
        <v>0</v>
      </c>
    </row>
    <row r="1438" spans="1:11">
      <c r="A1438" s="28"/>
      <c r="B1438" s="29" t="s">
        <v>3626</v>
      </c>
      <c r="C1438" s="30" t="str">
        <f>IFERROR(_xlfn.XLOOKUP(B1438,Equipo[DESCRIPCION],Equipo[UND],,0),"")</f>
        <v>%MO</v>
      </c>
      <c r="D1438" s="31">
        <v>0.05</v>
      </c>
      <c r="E1438" s="32">
        <f>IF(C1438="%MO",G1443,IFERROR(_xlfn.XLOOKUP($B1438,Equipo[DESCRIPCION],Equipo[VALOR],,0),""))</f>
        <v>56279.825777500017</v>
      </c>
      <c r="F1438" s="33"/>
      <c r="G1438" s="34">
        <f>IFERROR(IF(F1438&gt;=0,D1438*E1438*(1+F1438/100),ABS(D1438*E1438/F1438)),"")</f>
        <v>2813.9912888750009</v>
      </c>
      <c r="H1438" s="43">
        <f>IFERROR(G1438*E1428,"")</f>
        <v>0</v>
      </c>
    </row>
    <row r="1439" spans="1:11">
      <c r="A1439" s="28"/>
      <c r="B1439" s="29"/>
      <c r="C1439" s="30" t="str">
        <f>IFERROR(_xlfn.XLOOKUP(B1439,Equipo[DESCRIPCION],Equipo[UND],,0),"")</f>
        <v/>
      </c>
      <c r="D1439" s="31"/>
      <c r="E1439" s="32" t="str">
        <f>IF(C1439="%MO",G1443,IFERROR(_xlfn.XLOOKUP($B1439,Equipo[DESCRIPCION],Equipo[VALOR],,0),""))</f>
        <v/>
      </c>
      <c r="F1439" s="33"/>
      <c r="G1439" s="34" t="str">
        <f>IFERROR(IF(F1439&gt;=0,D1439*E1439*(1+F1439/100),ABS(D1439*E1439/F1439)),"")</f>
        <v/>
      </c>
      <c r="H1439" s="43" t="str">
        <f>IFERROR(G1439*E1428,"")</f>
        <v/>
      </c>
    </row>
    <row r="1440" spans="1:11">
      <c r="A1440" s="21"/>
      <c r="B1440" s="22" t="s">
        <v>2533</v>
      </c>
      <c r="C1440" s="23"/>
      <c r="D1440" s="24"/>
      <c r="E1440" s="25"/>
      <c r="F1440" s="26"/>
      <c r="G1440" s="27">
        <f>SUM(G1441:G1442)</f>
        <v>0</v>
      </c>
      <c r="H1440" s="27">
        <f>IFERROR(G1440*E1428,"")</f>
        <v>0</v>
      </c>
    </row>
    <row r="1441" spans="1:11">
      <c r="A1441" s="28"/>
      <c r="B1441" s="29"/>
      <c r="C1441" s="30" t="str">
        <f>IFERROR(_xlfn.XLOOKUP(B1441,Transporte[DESCRIPCION],Transporte[UND],,0),"")</f>
        <v/>
      </c>
      <c r="D1441" s="31"/>
      <c r="E1441" s="32" t="str">
        <f>IFERROR(_xlfn.XLOOKUP($B1441,Transporte[DESCRIPCION],Transporte[VALOR],,0),"")</f>
        <v/>
      </c>
      <c r="F1441" s="33"/>
      <c r="G1441" s="34" t="str">
        <f>IFERROR(IF(F1441&gt;=0,D1441*E1441*(1+F1441/100),ABS(D1441*E1441/F1441)),"")</f>
        <v/>
      </c>
      <c r="H1441" s="43" t="str">
        <f>IFERROR(G1441*E1428,"")</f>
        <v/>
      </c>
    </row>
    <row r="1442" spans="1:11">
      <c r="A1442" s="28"/>
      <c r="B1442" s="29"/>
      <c r="C1442" s="30" t="str">
        <f>IFERROR(_xlfn.XLOOKUP(B1442,Transporte[DESCRIPCION],Transporte[UND],,0),"")</f>
        <v/>
      </c>
      <c r="D1442" s="31"/>
      <c r="E1442" s="32" t="str">
        <f>IFERROR(_xlfn.XLOOKUP($B1442,Transporte[DESCRIPCION],Transporte[VALOR],,0),"")</f>
        <v/>
      </c>
      <c r="F1442" s="33"/>
      <c r="G1442" s="34" t="str">
        <f>IFERROR(IF(F1442&gt;=0,D1442*E1442*(1+F1442/100),ABS(D1442*E1442/F1442)),"")</f>
        <v/>
      </c>
      <c r="H1442" s="43" t="str">
        <f>IFERROR(G1442*E1428,"")</f>
        <v/>
      </c>
    </row>
    <row r="1443" spans="1:11">
      <c r="A1443" s="21"/>
      <c r="B1443" s="22" t="s">
        <v>3732</v>
      </c>
      <c r="C1443" s="23"/>
      <c r="D1443" s="24"/>
      <c r="E1443" s="25"/>
      <c r="F1443" s="26"/>
      <c r="G1443" s="27">
        <f>SUM(G1444:G1446)</f>
        <v>56279.825777500017</v>
      </c>
      <c r="H1443" s="27">
        <f>IFERROR(G1443*E1428,"")</f>
        <v>0</v>
      </c>
    </row>
    <row r="1444" spans="1:11">
      <c r="A1444" s="28"/>
      <c r="B1444" s="29" t="s">
        <v>3715</v>
      </c>
      <c r="C1444" s="30" t="str">
        <f>IFERROR(_xlfn.XLOOKUP(B1444,MObra[DESCRIPCION],MObra[UN],,0),"")</f>
        <v>día</v>
      </c>
      <c r="D1444" s="31">
        <v>1</v>
      </c>
      <c r="E1444" s="32">
        <f>IFERROR(_xlfn.XLOOKUP($B1444,MObra[DESCRIPCION],MObra[VALOR UNIT],,0),"")</f>
        <v>337678.95466500008</v>
      </c>
      <c r="F1444" s="33">
        <v>-6</v>
      </c>
      <c r="G1444" s="34">
        <f>IFERROR(IF(F1444&gt;=0,D1444*E1444*(1+F1444/100),ABS(D1444*E1444/F1444)),"")</f>
        <v>56279.825777500017</v>
      </c>
      <c r="H1444" s="43">
        <f>IFERROR(G1444*E1428,"")</f>
        <v>0</v>
      </c>
    </row>
    <row r="1445" spans="1:11">
      <c r="A1445" s="28"/>
      <c r="B1445" s="29"/>
      <c r="C1445" s="30" t="str">
        <f>IFERROR(_xlfn.XLOOKUP(B1445,MObra[DESCRIPCION],MObra[UN],,0),"")</f>
        <v/>
      </c>
      <c r="D1445" s="31"/>
      <c r="E1445" s="32" t="str">
        <f>IFERROR(_xlfn.XLOOKUP($B1445,MObra[DESCRIPCION],MObra[VALOR UNIT],,0),"")</f>
        <v/>
      </c>
      <c r="F1445" s="33"/>
      <c r="G1445" s="34" t="str">
        <f>IFERROR(IF(F1445&gt;=0,D1445*E1445*(1+F1445/100),ABS(D1445*E1445/F1445)),"")</f>
        <v/>
      </c>
      <c r="H1445" s="43" t="str">
        <f>IFERROR(G1445*E1428,"")</f>
        <v/>
      </c>
    </row>
    <row r="1446" spans="1:11">
      <c r="A1446" s="35"/>
      <c r="B1446" s="36"/>
      <c r="C1446" s="37" t="str">
        <f>IFERROR(_xlfn.XLOOKUP(B1446,MObra[DESCRIPCION],MObra[UN],,0),"")</f>
        <v/>
      </c>
      <c r="D1446" s="38"/>
      <c r="E1446" s="39" t="str">
        <f>IFERROR(_xlfn.XLOOKUP($B1446,MObra[DESCRIPCION],MObra[VALOR UNIT],,0),"")</f>
        <v/>
      </c>
      <c r="F1446" s="40"/>
      <c r="G1446" s="41" t="str">
        <f>IFERROR(IF(F1446&gt;=0,D1446*E1446*(1+F1446/100),ABS(D1446*E1446/F1446)),"")</f>
        <v/>
      </c>
      <c r="H1446" s="42" t="str">
        <f>IFERROR(G1446*E1428,"")</f>
        <v/>
      </c>
    </row>
    <row r="1447" spans="1:11" ht="12.75" customHeight="1" thickTop="1" thickBot="1"/>
    <row r="1448" spans="1:11" ht="26.25" thickTop="1" thickBot="1">
      <c r="A1448" s="6" t="s">
        <v>2404</v>
      </c>
      <c r="B1448" s="7" t="str">
        <f>VLOOKUP($A1448,Presupuesto!$A:$D,2,FALSE())</f>
        <v>Puesta a tierra de postes y mástiles metálicos. cable de cobre no. 6 a llena de tierra de la red de ap</v>
      </c>
      <c r="C1448" s="8" t="str">
        <f>VLOOKUP($A1448,Presupuesto!$A:$D,3,FALSE())</f>
        <v>Un</v>
      </c>
      <c r="D1448" s="9"/>
      <c r="E1448" s="10">
        <f>VLOOKUP($A1448,Presupuesto!$A:$D,4,FALSE())</f>
        <v>0</v>
      </c>
      <c r="F1448" s="11" t="s">
        <v>2589</v>
      </c>
      <c r="G1448" s="12">
        <f>SUM(G1450:G1466)/2</f>
        <v>814644.41009747505</v>
      </c>
      <c r="H1448" s="13">
        <f>ROUND(SUM(H1450:H1466),0)/2</f>
        <v>0</v>
      </c>
      <c r="I1448" s="10">
        <f>VLOOKUP(A1448,Presupuesto!$A:$F,6,0)</f>
        <v>0</v>
      </c>
      <c r="J1448" s="10">
        <f>+H1448-I1448</f>
        <v>0</v>
      </c>
      <c r="K1448" s="46">
        <f>+H1448-G1448*E1448</f>
        <v>0</v>
      </c>
    </row>
    <row r="1449" spans="1:11">
      <c r="A1449" s="14"/>
      <c r="B1449" s="15" t="s">
        <v>2586</v>
      </c>
      <c r="C1449" s="15" t="s">
        <v>5</v>
      </c>
      <c r="D1449" s="16" t="s">
        <v>6</v>
      </c>
      <c r="E1449" s="17" t="s">
        <v>7</v>
      </c>
      <c r="F1449" s="18" t="s">
        <v>3728</v>
      </c>
      <c r="G1449" s="19" t="s">
        <v>3729</v>
      </c>
      <c r="H1449" s="20" t="s">
        <v>3797</v>
      </c>
    </row>
    <row r="1450" spans="1:11">
      <c r="A1450" s="21"/>
      <c r="B1450" s="22" t="s">
        <v>3730</v>
      </c>
      <c r="C1450" s="23"/>
      <c r="D1450" s="24"/>
      <c r="E1450" s="25"/>
      <c r="F1450" s="26"/>
      <c r="G1450" s="27">
        <f>SUM(G1451:G1455)</f>
        <v>753299.4</v>
      </c>
      <c r="H1450" s="27">
        <f>IFERROR(G1450*E1448,"")</f>
        <v>0</v>
      </c>
    </row>
    <row r="1451" spans="1:11">
      <c r="A1451" s="28"/>
      <c r="B1451" s="29" t="s">
        <v>3543</v>
      </c>
      <c r="C1451" s="30" t="str">
        <f>IFERROR(_xlfn.XLOOKUP(B1451,Insumo[DESCRIPCION],Insumo[UND],,0),"")</f>
        <v>Un</v>
      </c>
      <c r="D1451" s="31">
        <v>1</v>
      </c>
      <c r="E1451" s="32">
        <f>IFERROR(_xlfn.XLOOKUP($B1451,Insumo[DESCRIPCION],Insumo[VALOR],,0),"")</f>
        <v>476662.2</v>
      </c>
      <c r="F1451" s="33"/>
      <c r="G1451" s="34">
        <f>IFERROR(IF(F1451&gt;=0,D1451*E1451*(1+F1451/100),ABS(D1451*E1451/F1451)),"")</f>
        <v>476662.2</v>
      </c>
      <c r="H1451" s="43">
        <f>IFERROR(G1451*E1448,"")</f>
        <v>0</v>
      </c>
    </row>
    <row r="1452" spans="1:11">
      <c r="A1452" s="28"/>
      <c r="B1452" s="29" t="s">
        <v>3392</v>
      </c>
      <c r="C1452" s="30" t="str">
        <f>IFERROR(_xlfn.XLOOKUP(B1452,Insumo[DESCRIPCION],Insumo[UND],,0),"")</f>
        <v>Un</v>
      </c>
      <c r="D1452" s="31">
        <v>1</v>
      </c>
      <c r="E1452" s="32">
        <f>IFERROR(_xlfn.XLOOKUP($B1452,Insumo[DESCRIPCION],Insumo[VALOR],,0),"")</f>
        <v>185497.2</v>
      </c>
      <c r="F1452" s="33"/>
      <c r="G1452" s="34">
        <f>IFERROR(IF(F1452&gt;=0,D1452*E1452*(1+F1452/100),ABS(D1452*E1452/F1452)),"")</f>
        <v>185497.2</v>
      </c>
      <c r="H1452" s="43">
        <f>IFERROR(G1452*E1448,"")</f>
        <v>0</v>
      </c>
    </row>
    <row r="1453" spans="1:11">
      <c r="A1453" s="28"/>
      <c r="B1453" s="29" t="s">
        <v>2891</v>
      </c>
      <c r="C1453" s="30" t="str">
        <f>IFERROR(_xlfn.XLOOKUP(B1453,Insumo[DESCRIPCION],Insumo[UND],,0),"")</f>
        <v>Un</v>
      </c>
      <c r="D1453" s="31">
        <v>1</v>
      </c>
      <c r="E1453" s="32">
        <f>IFERROR(_xlfn.XLOOKUP($B1453,Insumo[DESCRIPCION],Insumo[VALOR],,0),"")</f>
        <v>48079.5</v>
      </c>
      <c r="F1453" s="33"/>
      <c r="G1453" s="34">
        <f>IFERROR(IF(F1453&gt;=0,D1453*E1453*(1+F1453/100),ABS(D1453*E1453/F1453)),"")</f>
        <v>48079.5</v>
      </c>
      <c r="H1453" s="43">
        <f>IFERROR(G1453*E1448,"")</f>
        <v>0</v>
      </c>
    </row>
    <row r="1454" spans="1:11">
      <c r="A1454" s="28"/>
      <c r="B1454" s="29" t="s">
        <v>2787</v>
      </c>
      <c r="C1454" s="30" t="str">
        <f>IFERROR(_xlfn.XLOOKUP(B1454,Insumo[DESCRIPCION],Insumo[UND],,0),"")</f>
        <v>M</v>
      </c>
      <c r="D1454" s="31">
        <v>3</v>
      </c>
      <c r="E1454" s="32">
        <f>IFERROR(_xlfn.XLOOKUP($B1454,Insumo[DESCRIPCION],Insumo[VALOR],,0),"")</f>
        <v>14353.5</v>
      </c>
      <c r="F1454" s="33"/>
      <c r="G1454" s="34">
        <f>IFERROR(IF(F1454&gt;=0,D1454*E1454*(1+F1454/100),ABS(D1454*E1454/F1454)),"")</f>
        <v>43060.5</v>
      </c>
      <c r="H1454" s="43">
        <f>IFERROR(G1454*E1448,"")</f>
        <v>0</v>
      </c>
    </row>
    <row r="1455" spans="1:11">
      <c r="A1455" s="28"/>
      <c r="B1455" s="29"/>
      <c r="C1455" s="30" t="str">
        <f>IFERROR(_xlfn.XLOOKUP(B1455,Insumo[DESCRIPCION],Insumo[UND],,0),"")</f>
        <v/>
      </c>
      <c r="D1455" s="31"/>
      <c r="E1455" s="32" t="str">
        <f>IFERROR(_xlfn.XLOOKUP($B1455,Insumo[DESCRIPCION],Insumo[VALOR],,0),"")</f>
        <v/>
      </c>
      <c r="F1455" s="33"/>
      <c r="G1455" s="34" t="str">
        <f>IFERROR(IF(F1455&gt;=0,D1455*E1455*(1+F1455/100),ABS(D1455*E1455/F1455)),"")</f>
        <v/>
      </c>
      <c r="H1455" s="43" t="str">
        <f>IFERROR(G1455*E1448,"")</f>
        <v/>
      </c>
    </row>
    <row r="1456" spans="1:11">
      <c r="A1456" s="21"/>
      <c r="B1456" s="22" t="s">
        <v>3731</v>
      </c>
      <c r="C1456" s="23"/>
      <c r="D1456" s="24"/>
      <c r="E1456" s="25"/>
      <c r="F1456" s="26"/>
      <c r="G1456" s="27">
        <f>SUM(G1457:G1459)</f>
        <v>5065.1843199750019</v>
      </c>
      <c r="H1456" s="27">
        <f>IFERROR(G1456*E1448,"")</f>
        <v>0</v>
      </c>
    </row>
    <row r="1457" spans="1:11">
      <c r="A1457" s="28"/>
      <c r="B1457" s="29" t="s">
        <v>3570</v>
      </c>
      <c r="C1457" s="30" t="str">
        <f>IFERROR(_xlfn.XLOOKUP(B1457,Equipo[DESCRIPCION],Equipo[UND],,0),"")</f>
        <v>%MO</v>
      </c>
      <c r="D1457" s="31">
        <v>0.04</v>
      </c>
      <c r="E1457" s="32">
        <f>IF(C1457="%MO",G1463,IFERROR(_xlfn.XLOOKUP($B1457,Equipo[DESCRIPCION],Equipo[VALOR],,0),""))</f>
        <v>56279.825777500017</v>
      </c>
      <c r="F1457" s="33">
        <v>-1</v>
      </c>
      <c r="G1457" s="34">
        <f>IFERROR(IF(F1457&gt;=0,D1457*E1457*(1+F1457/100),ABS(D1457*E1457/F1457)),"")</f>
        <v>2251.1930311000006</v>
      </c>
      <c r="H1457" s="43">
        <f>IFERROR(G1457*E1448,"")</f>
        <v>0</v>
      </c>
    </row>
    <row r="1458" spans="1:11">
      <c r="A1458" s="28"/>
      <c r="B1458" s="29" t="s">
        <v>3626</v>
      </c>
      <c r="C1458" s="30" t="str">
        <f>IFERROR(_xlfn.XLOOKUP(B1458,Equipo[DESCRIPCION],Equipo[UND],,0),"")</f>
        <v>%MO</v>
      </c>
      <c r="D1458" s="31">
        <v>0.05</v>
      </c>
      <c r="E1458" s="32">
        <f>IF(C1458="%MO",G1463,IFERROR(_xlfn.XLOOKUP($B1458,Equipo[DESCRIPCION],Equipo[VALOR],,0),""))</f>
        <v>56279.825777500017</v>
      </c>
      <c r="F1458" s="33"/>
      <c r="G1458" s="34">
        <f>IFERROR(IF(F1458&gt;=0,D1458*E1458*(1+F1458/100),ABS(D1458*E1458/F1458)),"")</f>
        <v>2813.9912888750009</v>
      </c>
      <c r="H1458" s="43">
        <f>IFERROR(G1458*E1448,"")</f>
        <v>0</v>
      </c>
    </row>
    <row r="1459" spans="1:11">
      <c r="A1459" s="28"/>
      <c r="B1459" s="29"/>
      <c r="C1459" s="30" t="str">
        <f>IFERROR(_xlfn.XLOOKUP(B1459,Equipo[DESCRIPCION],Equipo[UND],,0),"")</f>
        <v/>
      </c>
      <c r="D1459" s="31"/>
      <c r="E1459" s="32" t="str">
        <f>IF(C1459="%MO",G1463,IFERROR(_xlfn.XLOOKUP($B1459,Equipo[DESCRIPCION],Equipo[VALOR],,0),""))</f>
        <v/>
      </c>
      <c r="F1459" s="33"/>
      <c r="G1459" s="34" t="str">
        <f>IFERROR(IF(F1459&gt;=0,D1459*E1459*(1+F1459/100),ABS(D1459*E1459/F1459)),"")</f>
        <v/>
      </c>
      <c r="H1459" s="43" t="str">
        <f>IFERROR(G1459*E1448,"")</f>
        <v/>
      </c>
    </row>
    <row r="1460" spans="1:11">
      <c r="A1460" s="21"/>
      <c r="B1460" s="22" t="s">
        <v>2533</v>
      </c>
      <c r="C1460" s="23"/>
      <c r="D1460" s="24"/>
      <c r="E1460" s="25"/>
      <c r="F1460" s="26"/>
      <c r="G1460" s="27">
        <f>SUM(G1461:G1462)</f>
        <v>0</v>
      </c>
      <c r="H1460" s="27">
        <f>IFERROR(G1460*E1448,"")</f>
        <v>0</v>
      </c>
    </row>
    <row r="1461" spans="1:11">
      <c r="A1461" s="28"/>
      <c r="B1461" s="29"/>
      <c r="C1461" s="30" t="str">
        <f>IFERROR(_xlfn.XLOOKUP(B1461,Transporte[DESCRIPCION],Transporte[UND],,0),"")</f>
        <v/>
      </c>
      <c r="D1461" s="31"/>
      <c r="E1461" s="32" t="str">
        <f>IFERROR(_xlfn.XLOOKUP($B1461,Transporte[DESCRIPCION],Transporte[VALOR],,0),"")</f>
        <v/>
      </c>
      <c r="F1461" s="33"/>
      <c r="G1461" s="34" t="str">
        <f>IFERROR(IF(F1461&gt;=0,D1461*E1461*(1+F1461/100),ABS(D1461*E1461/F1461)),"")</f>
        <v/>
      </c>
      <c r="H1461" s="43" t="str">
        <f>IFERROR(G1461*E1448,"")</f>
        <v/>
      </c>
    </row>
    <row r="1462" spans="1:11">
      <c r="A1462" s="28"/>
      <c r="B1462" s="29"/>
      <c r="C1462" s="30" t="str">
        <f>IFERROR(_xlfn.XLOOKUP(B1462,Transporte[DESCRIPCION],Transporte[UND],,0),"")</f>
        <v/>
      </c>
      <c r="D1462" s="31"/>
      <c r="E1462" s="32" t="str">
        <f>IFERROR(_xlfn.XLOOKUP($B1462,Transporte[DESCRIPCION],Transporte[VALOR],,0),"")</f>
        <v/>
      </c>
      <c r="F1462" s="33"/>
      <c r="G1462" s="34" t="str">
        <f>IFERROR(IF(F1462&gt;=0,D1462*E1462*(1+F1462/100),ABS(D1462*E1462/F1462)),"")</f>
        <v/>
      </c>
      <c r="H1462" s="43" t="str">
        <f>IFERROR(G1462*E1448,"")</f>
        <v/>
      </c>
    </row>
    <row r="1463" spans="1:11">
      <c r="A1463" s="21"/>
      <c r="B1463" s="22" t="s">
        <v>3732</v>
      </c>
      <c r="C1463" s="23"/>
      <c r="D1463" s="24"/>
      <c r="E1463" s="25"/>
      <c r="F1463" s="26"/>
      <c r="G1463" s="27">
        <f>SUM(G1464:G1466)</f>
        <v>56279.825777500017</v>
      </c>
      <c r="H1463" s="27">
        <f>IFERROR(G1463*E1448,"")</f>
        <v>0</v>
      </c>
    </row>
    <row r="1464" spans="1:11">
      <c r="A1464" s="28"/>
      <c r="B1464" s="29" t="s">
        <v>3715</v>
      </c>
      <c r="C1464" s="30" t="str">
        <f>IFERROR(_xlfn.XLOOKUP(B1464,MObra[DESCRIPCION],MObra[UN],,0),"")</f>
        <v>día</v>
      </c>
      <c r="D1464" s="31">
        <v>1</v>
      </c>
      <c r="E1464" s="32">
        <f>IFERROR(_xlfn.XLOOKUP($B1464,MObra[DESCRIPCION],MObra[VALOR UNIT],,0),"")</f>
        <v>337678.95466500008</v>
      </c>
      <c r="F1464" s="33">
        <v>-6</v>
      </c>
      <c r="G1464" s="34">
        <f>IFERROR(IF(F1464&gt;=0,D1464*E1464*(1+F1464/100),ABS(D1464*E1464/F1464)),"")</f>
        <v>56279.825777500017</v>
      </c>
      <c r="H1464" s="43">
        <f>IFERROR(G1464*E1448,"")</f>
        <v>0</v>
      </c>
    </row>
    <row r="1465" spans="1:11">
      <c r="A1465" s="28"/>
      <c r="B1465" s="29"/>
      <c r="C1465" s="30" t="str">
        <f>IFERROR(_xlfn.XLOOKUP(B1465,MObra[DESCRIPCION],MObra[UN],,0),"")</f>
        <v/>
      </c>
      <c r="D1465" s="31"/>
      <c r="E1465" s="32" t="str">
        <f>IFERROR(_xlfn.XLOOKUP($B1465,MObra[DESCRIPCION],MObra[VALOR UNIT],,0),"")</f>
        <v/>
      </c>
      <c r="F1465" s="33"/>
      <c r="G1465" s="34" t="str">
        <f>IFERROR(IF(F1465&gt;=0,D1465*E1465*(1+F1465/100),ABS(D1465*E1465/F1465)),"")</f>
        <v/>
      </c>
      <c r="H1465" s="43" t="str">
        <f>IFERROR(G1465*E1448,"")</f>
        <v/>
      </c>
    </row>
    <row r="1466" spans="1:11">
      <c r="A1466" s="35"/>
      <c r="B1466" s="36"/>
      <c r="C1466" s="37" t="str">
        <f>IFERROR(_xlfn.XLOOKUP(B1466,MObra[DESCRIPCION],MObra[UN],,0),"")</f>
        <v/>
      </c>
      <c r="D1466" s="38"/>
      <c r="E1466" s="39" t="str">
        <f>IFERROR(_xlfn.XLOOKUP($B1466,MObra[DESCRIPCION],MObra[VALOR UNIT],,0),"")</f>
        <v/>
      </c>
      <c r="F1466" s="40"/>
      <c r="G1466" s="41" t="str">
        <f>IFERROR(IF(F1466&gt;=0,D1466*E1466*(1+F1466/100),ABS(D1466*E1466/F1466)),"")</f>
        <v/>
      </c>
      <c r="H1466" s="42" t="str">
        <f>IFERROR(G1466*E1448,"")</f>
        <v/>
      </c>
    </row>
    <row r="1467" spans="1:11" ht="12.75" customHeight="1" thickTop="1" thickBot="1"/>
    <row r="1468" spans="1:11" ht="13.5" thickTop="1" thickBot="1">
      <c r="A1468" s="6" t="s">
        <v>2406</v>
      </c>
      <c r="B1468" s="7" t="str">
        <f>VLOOKUP($A1468,Presupuesto!$A:$D,2,FALSE())</f>
        <v>Transformador monofasico aceite 15 KVA 13,2KV 120/240</v>
      </c>
      <c r="C1468" s="8" t="str">
        <f>VLOOKUP($A1468,Presupuesto!$A:$D,3,FALSE())</f>
        <v>Un</v>
      </c>
      <c r="D1468" s="9"/>
      <c r="E1468" s="10">
        <f>VLOOKUP($A1468,Presupuesto!$A:$D,4,FALSE())</f>
        <v>0</v>
      </c>
      <c r="F1468" s="11" t="s">
        <v>2589</v>
      </c>
      <c r="G1468" s="12">
        <f>SUM(G1470:G1486)/2</f>
        <v>5468615.7339831674</v>
      </c>
      <c r="H1468" s="13">
        <f>ROUND(SUM(H1470:H1486),0)/2</f>
        <v>0</v>
      </c>
      <c r="I1468" s="10">
        <f>VLOOKUP(A1468,Presupuesto!$A:$F,6,0)</f>
        <v>0</v>
      </c>
      <c r="J1468" s="10">
        <f>+H1468-I1468</f>
        <v>0</v>
      </c>
      <c r="K1468" s="46">
        <f>+H1468-G1468*E1468</f>
        <v>0</v>
      </c>
    </row>
    <row r="1469" spans="1:11">
      <c r="A1469" s="14"/>
      <c r="B1469" s="15" t="s">
        <v>2586</v>
      </c>
      <c r="C1469" s="15" t="s">
        <v>5</v>
      </c>
      <c r="D1469" s="16" t="s">
        <v>6</v>
      </c>
      <c r="E1469" s="17" t="s">
        <v>7</v>
      </c>
      <c r="F1469" s="18" t="s">
        <v>3728</v>
      </c>
      <c r="G1469" s="19" t="s">
        <v>3729</v>
      </c>
      <c r="H1469" s="20" t="s">
        <v>3797</v>
      </c>
    </row>
    <row r="1470" spans="1:11">
      <c r="A1470" s="21"/>
      <c r="B1470" s="22" t="s">
        <v>3730</v>
      </c>
      <c r="C1470" s="23"/>
      <c r="D1470" s="24"/>
      <c r="E1470" s="25"/>
      <c r="F1470" s="26"/>
      <c r="G1470" s="27">
        <f>SUM(G1471:G1475)</f>
        <v>4971750</v>
      </c>
      <c r="H1470" s="27">
        <f>IFERROR(G1470*E1468,"")</f>
        <v>0</v>
      </c>
    </row>
    <row r="1471" spans="1:11">
      <c r="A1471" s="28"/>
      <c r="B1471" s="29" t="s">
        <v>3411</v>
      </c>
      <c r="C1471" s="30" t="str">
        <f>IFERROR(_xlfn.XLOOKUP(B1471,Insumo[DESCRIPCION],Insumo[UND],,0),"")</f>
        <v>Un</v>
      </c>
      <c r="D1471" s="31">
        <v>1</v>
      </c>
      <c r="E1471" s="32">
        <f>IFERROR(_xlfn.XLOOKUP($B1471,Insumo[DESCRIPCION],Insumo[VALOR],,0),"")</f>
        <v>4971750</v>
      </c>
      <c r="F1471" s="33"/>
      <c r="G1471" s="34">
        <f>IFERROR(IF(F1471&gt;=0,D1471*E1471*(1+F1471/100),ABS(D1471*E1471/F1471)),"")</f>
        <v>4971750</v>
      </c>
      <c r="H1471" s="43">
        <f>IFERROR(G1471*E1468,"")</f>
        <v>0</v>
      </c>
    </row>
    <row r="1472" spans="1:11">
      <c r="A1472" s="28"/>
      <c r="B1472" s="29"/>
      <c r="C1472" s="30" t="str">
        <f>IFERROR(_xlfn.XLOOKUP(B1472,Insumo[DESCRIPCION],Insumo[UND],,0),"")</f>
        <v/>
      </c>
      <c r="D1472" s="31"/>
      <c r="E1472" s="32" t="str">
        <f>IFERROR(_xlfn.XLOOKUP($B1472,Insumo[DESCRIPCION],Insumo[VALOR],,0),"")</f>
        <v/>
      </c>
      <c r="F1472" s="33"/>
      <c r="G1472" s="34" t="str">
        <f>IFERROR(IF(F1472&gt;=0,D1472*E1472*(1+F1472/100),ABS(D1472*E1472/F1472)),"")</f>
        <v/>
      </c>
      <c r="H1472" s="43" t="str">
        <f>IFERROR(G1472*E1468,"")</f>
        <v/>
      </c>
    </row>
    <row r="1473" spans="1:11">
      <c r="A1473" s="28"/>
      <c r="B1473" s="29"/>
      <c r="C1473" s="30" t="str">
        <f>IFERROR(_xlfn.XLOOKUP(B1473,Insumo[DESCRIPCION],Insumo[UND],,0),"")</f>
        <v/>
      </c>
      <c r="D1473" s="31"/>
      <c r="E1473" s="32" t="str">
        <f>IFERROR(_xlfn.XLOOKUP($B1473,Insumo[DESCRIPCION],Insumo[VALOR],,0),"")</f>
        <v/>
      </c>
      <c r="F1473" s="33"/>
      <c r="G1473" s="34" t="str">
        <f>IFERROR(IF(F1473&gt;=0,D1473*E1473*(1+F1473/100),ABS(D1473*E1473/F1473)),"")</f>
        <v/>
      </c>
      <c r="H1473" s="43" t="str">
        <f>IFERROR(G1473*E1468,"")</f>
        <v/>
      </c>
    </row>
    <row r="1474" spans="1:11">
      <c r="A1474" s="28"/>
      <c r="B1474" s="29"/>
      <c r="C1474" s="30" t="str">
        <f>IFERROR(_xlfn.XLOOKUP(B1474,Insumo[DESCRIPCION],Insumo[UND],,0),"")</f>
        <v/>
      </c>
      <c r="D1474" s="31"/>
      <c r="E1474" s="32" t="str">
        <f>IFERROR(_xlfn.XLOOKUP($B1474,Insumo[DESCRIPCION],Insumo[VALOR],,0),"")</f>
        <v/>
      </c>
      <c r="F1474" s="33"/>
      <c r="G1474" s="34" t="str">
        <f>IFERROR(IF(F1474&gt;=0,D1474*E1474*(1+F1474/100),ABS(D1474*E1474/F1474)),"")</f>
        <v/>
      </c>
      <c r="H1474" s="43" t="str">
        <f>IFERROR(G1474*E1468,"")</f>
        <v/>
      </c>
    </row>
    <row r="1475" spans="1:11">
      <c r="A1475" s="28"/>
      <c r="B1475" s="29"/>
      <c r="C1475" s="30" t="str">
        <f>IFERROR(_xlfn.XLOOKUP(B1475,Insumo[DESCRIPCION],Insumo[UND],,0),"")</f>
        <v/>
      </c>
      <c r="D1475" s="31"/>
      <c r="E1475" s="32" t="str">
        <f>IFERROR(_xlfn.XLOOKUP($B1475,Insumo[DESCRIPCION],Insumo[VALOR],,0),"")</f>
        <v/>
      </c>
      <c r="F1475" s="33"/>
      <c r="G1475" s="34" t="str">
        <f>IFERROR(IF(F1475&gt;=0,D1475*E1475*(1+F1475/100),ABS(D1475*E1475/F1475)),"")</f>
        <v/>
      </c>
      <c r="H1475" s="43" t="str">
        <f>IFERROR(G1475*E1468,"")</f>
        <v/>
      </c>
    </row>
    <row r="1476" spans="1:11">
      <c r="A1476" s="21"/>
      <c r="B1476" s="22" t="s">
        <v>3731</v>
      </c>
      <c r="C1476" s="23"/>
      <c r="D1476" s="24"/>
      <c r="E1476" s="25"/>
      <c r="F1476" s="26"/>
      <c r="G1476" s="27">
        <f>SUM(G1477:G1479)</f>
        <v>33767.895466500006</v>
      </c>
      <c r="H1476" s="27">
        <f>IFERROR(G1476*E1468,"")</f>
        <v>0</v>
      </c>
    </row>
    <row r="1477" spans="1:11">
      <c r="A1477" s="28"/>
      <c r="B1477" s="29" t="s">
        <v>3570</v>
      </c>
      <c r="C1477" s="30" t="str">
        <f>IFERROR(_xlfn.XLOOKUP(B1477,Equipo[DESCRIPCION],Equipo[UND],,0),"")</f>
        <v>%MO</v>
      </c>
      <c r="D1477" s="31">
        <v>0.04</v>
      </c>
      <c r="E1477" s="32">
        <f>IF(C1477="%MO",G1483,IFERROR(_xlfn.XLOOKUP($B1477,Equipo[DESCRIPCION],Equipo[VALOR],,0),""))</f>
        <v>375198.83851666673</v>
      </c>
      <c r="F1477" s="33"/>
      <c r="G1477" s="34">
        <f>IFERROR(IF(F1477&gt;=0,D1477*E1477*(1+F1477/100),ABS(D1477*E1477/F1477)),"")</f>
        <v>15007.953540666669</v>
      </c>
      <c r="H1477" s="43">
        <f>IFERROR(G1477*E1468,"")</f>
        <v>0</v>
      </c>
    </row>
    <row r="1478" spans="1:11">
      <c r="A1478" s="28"/>
      <c r="B1478" s="29" t="s">
        <v>3626</v>
      </c>
      <c r="C1478" s="30" t="str">
        <f>IFERROR(_xlfn.XLOOKUP(B1478,Equipo[DESCRIPCION],Equipo[UND],,0),"")</f>
        <v>%MO</v>
      </c>
      <c r="D1478" s="31">
        <v>0.05</v>
      </c>
      <c r="E1478" s="32">
        <f>IF(C1478="%MO",G1483,IFERROR(_xlfn.XLOOKUP($B1478,Equipo[DESCRIPCION],Equipo[VALOR],,0),""))</f>
        <v>375198.83851666673</v>
      </c>
      <c r="F1478" s="33"/>
      <c r="G1478" s="34">
        <f>IFERROR(IF(F1478&gt;=0,D1478*E1478*(1+F1478/100),ABS(D1478*E1478/F1478)),"")</f>
        <v>18759.941925833336</v>
      </c>
      <c r="H1478" s="43">
        <f>IFERROR(G1478*E1468,"")</f>
        <v>0</v>
      </c>
    </row>
    <row r="1479" spans="1:11">
      <c r="A1479" s="28"/>
      <c r="B1479" s="29"/>
      <c r="C1479" s="30" t="str">
        <f>IFERROR(_xlfn.XLOOKUP(B1479,Equipo[DESCRIPCION],Equipo[UND],,0),"")</f>
        <v/>
      </c>
      <c r="D1479" s="31"/>
      <c r="E1479" s="32" t="str">
        <f>IF(C1479="%MO",G1483,IFERROR(_xlfn.XLOOKUP($B1479,Equipo[DESCRIPCION],Equipo[VALOR],,0),""))</f>
        <v/>
      </c>
      <c r="F1479" s="33"/>
      <c r="G1479" s="34" t="str">
        <f>IFERROR(IF(F1479&gt;=0,D1479*E1479*(1+F1479/100),ABS(D1479*E1479/F1479)),"")</f>
        <v/>
      </c>
      <c r="H1479" s="43" t="str">
        <f>IFERROR(G1479*E1468,"")</f>
        <v/>
      </c>
    </row>
    <row r="1480" spans="1:11">
      <c r="A1480" s="21"/>
      <c r="B1480" s="22" t="s">
        <v>2533</v>
      </c>
      <c r="C1480" s="23"/>
      <c r="D1480" s="24"/>
      <c r="E1480" s="25"/>
      <c r="F1480" s="26"/>
      <c r="G1480" s="27">
        <f>SUM(G1481:G1482)</f>
        <v>87899</v>
      </c>
      <c r="H1480" s="27">
        <f>IFERROR(G1480*E1468,"")</f>
        <v>0</v>
      </c>
    </row>
    <row r="1481" spans="1:11">
      <c r="A1481" s="28"/>
      <c r="B1481" s="29" t="s">
        <v>3662</v>
      </c>
      <c r="C1481" s="30" t="str">
        <f>IFERROR(_xlfn.XLOOKUP(B1481,Transporte[DESCRIPCION],Transporte[UND],,0),"")</f>
        <v>Hr</v>
      </c>
      <c r="D1481" s="31">
        <v>1</v>
      </c>
      <c r="E1481" s="32">
        <f>IFERROR(_xlfn.XLOOKUP($B1481,Transporte[DESCRIPCION],Transporte[VALOR],,0),"")</f>
        <v>79109.100000000006</v>
      </c>
      <c r="F1481" s="33">
        <v>-0.9</v>
      </c>
      <c r="G1481" s="34">
        <f>IFERROR(IF(F1481&gt;=0,D1481*E1481*(1+F1481/100),ABS(D1481*E1481/F1481)),"")</f>
        <v>87899</v>
      </c>
      <c r="H1481" s="43">
        <f>IFERROR(G1481*E1468,"")</f>
        <v>0</v>
      </c>
    </row>
    <row r="1482" spans="1:11">
      <c r="A1482" s="28"/>
      <c r="B1482" s="29"/>
      <c r="C1482" s="30" t="str">
        <f>IFERROR(_xlfn.XLOOKUP(B1482,Transporte[DESCRIPCION],Transporte[UND],,0),"")</f>
        <v/>
      </c>
      <c r="D1482" s="31"/>
      <c r="E1482" s="32" t="str">
        <f>IFERROR(_xlfn.XLOOKUP($B1482,Transporte[DESCRIPCION],Transporte[VALOR],,0),"")</f>
        <v/>
      </c>
      <c r="F1482" s="33"/>
      <c r="G1482" s="34" t="str">
        <f>IFERROR(IF(F1482&gt;=0,D1482*E1482*(1+F1482/100),ABS(D1482*E1482/F1482)),"")</f>
        <v/>
      </c>
      <c r="H1482" s="43" t="str">
        <f>IFERROR(G1482*E1468,"")</f>
        <v/>
      </c>
    </row>
    <row r="1483" spans="1:11">
      <c r="A1483" s="21"/>
      <c r="B1483" s="22" t="s">
        <v>3732</v>
      </c>
      <c r="C1483" s="23"/>
      <c r="D1483" s="24"/>
      <c r="E1483" s="25"/>
      <c r="F1483" s="26"/>
      <c r="G1483" s="27">
        <f>SUM(G1484:G1486)</f>
        <v>375198.83851666673</v>
      </c>
      <c r="H1483" s="27">
        <f>IFERROR(G1483*E1468,"")</f>
        <v>0</v>
      </c>
    </row>
    <row r="1484" spans="1:11">
      <c r="A1484" s="28"/>
      <c r="B1484" s="29" t="s">
        <v>3715</v>
      </c>
      <c r="C1484" s="30" t="str">
        <f>IFERROR(_xlfn.XLOOKUP(B1484,MObra[DESCRIPCION],MObra[UN],,0),"")</f>
        <v>día</v>
      </c>
      <c r="D1484" s="31">
        <v>1</v>
      </c>
      <c r="E1484" s="32">
        <f>IFERROR(_xlfn.XLOOKUP($B1484,MObra[DESCRIPCION],MObra[VALOR UNIT],,0),"")</f>
        <v>337678.95466500008</v>
      </c>
      <c r="F1484" s="33">
        <v>-0.9</v>
      </c>
      <c r="G1484" s="34">
        <f>IFERROR(IF(F1484&gt;=0,D1484*E1484*(1+F1484/100),ABS(D1484*E1484/F1484)),"")</f>
        <v>375198.83851666673</v>
      </c>
      <c r="H1484" s="43">
        <f>IFERROR(G1484*E1468,"")</f>
        <v>0</v>
      </c>
    </row>
    <row r="1485" spans="1:11">
      <c r="A1485" s="28"/>
      <c r="B1485" s="29"/>
      <c r="C1485" s="30" t="str">
        <f>IFERROR(_xlfn.XLOOKUP(B1485,MObra[DESCRIPCION],MObra[UN],,0),"")</f>
        <v/>
      </c>
      <c r="D1485" s="31"/>
      <c r="E1485" s="32" t="str">
        <f>IFERROR(_xlfn.XLOOKUP($B1485,MObra[DESCRIPCION],MObra[VALOR UNIT],,0),"")</f>
        <v/>
      </c>
      <c r="F1485" s="33"/>
      <c r="G1485" s="34" t="str">
        <f>IFERROR(IF(F1485&gt;=0,D1485*E1485*(1+F1485/100),ABS(D1485*E1485/F1485)),"")</f>
        <v/>
      </c>
      <c r="H1485" s="43" t="str">
        <f>IFERROR(G1485*E1468,"")</f>
        <v/>
      </c>
    </row>
    <row r="1486" spans="1:11">
      <c r="A1486" s="35"/>
      <c r="B1486" s="36"/>
      <c r="C1486" s="37" t="str">
        <f>IFERROR(_xlfn.XLOOKUP(B1486,MObra[DESCRIPCION],MObra[UN],,0),"")</f>
        <v/>
      </c>
      <c r="D1486" s="38"/>
      <c r="E1486" s="39" t="str">
        <f>IFERROR(_xlfn.XLOOKUP($B1486,MObra[DESCRIPCION],MObra[VALOR UNIT],,0),"")</f>
        <v/>
      </c>
      <c r="F1486" s="40"/>
      <c r="G1486" s="41" t="str">
        <f>IFERROR(IF(F1486&gt;=0,D1486*E1486*(1+F1486/100),ABS(D1486*E1486/F1486)),"")</f>
        <v/>
      </c>
      <c r="H1486" s="42" t="str">
        <f>IFERROR(G1486*E1468,"")</f>
        <v/>
      </c>
    </row>
    <row r="1488" spans="1:11">
      <c r="A1488" s="6" t="s">
        <v>2408</v>
      </c>
      <c r="B1488" s="7" t="str">
        <f>VLOOKUP($A1488,Presupuesto!$A:$D,2,FALSE())</f>
        <v>Transformador monofasico aceite 25 KVA13,2KV 120/240</v>
      </c>
      <c r="C1488" s="8" t="str">
        <f>VLOOKUP($A1488,Presupuesto!$A:$D,3,FALSE())</f>
        <v>Un</v>
      </c>
      <c r="D1488" s="9"/>
      <c r="E1488" s="10">
        <f>VLOOKUP($A1488,Presupuesto!$A:$D,4,FALSE())</f>
        <v>0</v>
      </c>
      <c r="F1488" s="11" t="s">
        <v>2589</v>
      </c>
      <c r="G1488" s="12">
        <f>SUM(G1490:G1506)/2</f>
        <v>8328973.9507310633</v>
      </c>
      <c r="H1488" s="13">
        <f>ROUND(SUM(H1490:H1506),0)/2</f>
        <v>0</v>
      </c>
      <c r="I1488" s="10">
        <f>VLOOKUP(A1488,Presupuesto!$A:$F,6,0)</f>
        <v>0</v>
      </c>
      <c r="J1488" s="10">
        <f>+H1488-I1488</f>
        <v>0</v>
      </c>
      <c r="K1488" s="46">
        <f>+H1488-G1488*E1488</f>
        <v>0</v>
      </c>
    </row>
    <row r="1489" spans="1:8">
      <c r="A1489" s="14"/>
      <c r="B1489" s="15" t="s">
        <v>2586</v>
      </c>
      <c r="C1489" s="15" t="s">
        <v>5</v>
      </c>
      <c r="D1489" s="16" t="s">
        <v>6</v>
      </c>
      <c r="E1489" s="17" t="s">
        <v>7</v>
      </c>
      <c r="F1489" s="18" t="s">
        <v>3728</v>
      </c>
      <c r="G1489" s="19" t="s">
        <v>3729</v>
      </c>
      <c r="H1489" s="20" t="s">
        <v>3797</v>
      </c>
    </row>
    <row r="1490" spans="1:8">
      <c r="A1490" s="21"/>
      <c r="B1490" s="22" t="s">
        <v>3730</v>
      </c>
      <c r="C1490" s="23"/>
      <c r="D1490" s="24"/>
      <c r="E1490" s="25"/>
      <c r="F1490" s="26"/>
      <c r="G1490" s="27">
        <f>SUM(G1491:G1495)</f>
        <v>7770000</v>
      </c>
      <c r="H1490" s="27">
        <f>IFERROR(G1490*E1488,"")</f>
        <v>0</v>
      </c>
    </row>
    <row r="1491" spans="1:8">
      <c r="A1491" s="28"/>
      <c r="B1491" s="29" t="s">
        <v>3412</v>
      </c>
      <c r="C1491" s="30" t="str">
        <f>IFERROR(_xlfn.XLOOKUP(B1491,Insumo[DESCRIPCION],Insumo[UND],,0),"")</f>
        <v>Un</v>
      </c>
      <c r="D1491" s="31">
        <v>1</v>
      </c>
      <c r="E1491" s="32">
        <f>IFERROR(_xlfn.XLOOKUP($B1491,Insumo[DESCRIPCION],Insumo[VALOR],,0),"")</f>
        <v>7770000</v>
      </c>
      <c r="F1491" s="33"/>
      <c r="G1491" s="34">
        <f>IFERROR(IF(F1491&gt;=0,D1491*E1491*(1+F1491/100),ABS(D1491*E1491/F1491)),"")</f>
        <v>7770000</v>
      </c>
      <c r="H1491" s="43">
        <f>IFERROR(G1491*E1488,"")</f>
        <v>0</v>
      </c>
    </row>
    <row r="1492" spans="1:8">
      <c r="A1492" s="28"/>
      <c r="B1492" s="29"/>
      <c r="C1492" s="30" t="str">
        <f>IFERROR(_xlfn.XLOOKUP(B1492,Insumo[DESCRIPCION],Insumo[UND],,0),"")</f>
        <v/>
      </c>
      <c r="D1492" s="31"/>
      <c r="E1492" s="32" t="str">
        <f>IFERROR(_xlfn.XLOOKUP($B1492,Insumo[DESCRIPCION],Insumo[VALOR],,0),"")</f>
        <v/>
      </c>
      <c r="F1492" s="33"/>
      <c r="G1492" s="34" t="str">
        <f>IFERROR(IF(F1492&gt;=0,D1492*E1492*(1+F1492/100),ABS(D1492*E1492/F1492)),"")</f>
        <v/>
      </c>
      <c r="H1492" s="43" t="str">
        <f>IFERROR(G1492*E1488,"")</f>
        <v/>
      </c>
    </row>
    <row r="1493" spans="1:8">
      <c r="A1493" s="28"/>
      <c r="B1493" s="29"/>
      <c r="C1493" s="30" t="str">
        <f>IFERROR(_xlfn.XLOOKUP(B1493,Insumo[DESCRIPCION],Insumo[UND],,0),"")</f>
        <v/>
      </c>
      <c r="D1493" s="31"/>
      <c r="E1493" s="32" t="str">
        <f>IFERROR(_xlfn.XLOOKUP($B1493,Insumo[DESCRIPCION],Insumo[VALOR],,0),"")</f>
        <v/>
      </c>
      <c r="F1493" s="33"/>
      <c r="G1493" s="34" t="str">
        <f>IFERROR(IF(F1493&gt;=0,D1493*E1493*(1+F1493/100),ABS(D1493*E1493/F1493)),"")</f>
        <v/>
      </c>
      <c r="H1493" s="43" t="str">
        <f>IFERROR(G1493*E1488,"")</f>
        <v/>
      </c>
    </row>
    <row r="1494" spans="1:8">
      <c r="A1494" s="28"/>
      <c r="B1494" s="29"/>
      <c r="C1494" s="30" t="str">
        <f>IFERROR(_xlfn.XLOOKUP(B1494,Insumo[DESCRIPCION],Insumo[UND],,0),"")</f>
        <v/>
      </c>
      <c r="D1494" s="31"/>
      <c r="E1494" s="32" t="str">
        <f>IFERROR(_xlfn.XLOOKUP($B1494,Insumo[DESCRIPCION],Insumo[VALOR],,0),"")</f>
        <v/>
      </c>
      <c r="F1494" s="33"/>
      <c r="G1494" s="34" t="str">
        <f>IFERROR(IF(F1494&gt;=0,D1494*E1494*(1+F1494/100),ABS(D1494*E1494/F1494)),"")</f>
        <v/>
      </c>
      <c r="H1494" s="43" t="str">
        <f>IFERROR(G1494*E1488,"")</f>
        <v/>
      </c>
    </row>
    <row r="1495" spans="1:8">
      <c r="A1495" s="28"/>
      <c r="B1495" s="29"/>
      <c r="C1495" s="30" t="str">
        <f>IFERROR(_xlfn.XLOOKUP(B1495,Insumo[DESCRIPCION],Insumo[UND],,0),"")</f>
        <v/>
      </c>
      <c r="D1495" s="31"/>
      <c r="E1495" s="32" t="str">
        <f>IFERROR(_xlfn.XLOOKUP($B1495,Insumo[DESCRIPCION],Insumo[VALOR],,0),"")</f>
        <v/>
      </c>
      <c r="F1495" s="33"/>
      <c r="G1495" s="34" t="str">
        <f>IFERROR(IF(F1495&gt;=0,D1495*E1495*(1+F1495/100),ABS(D1495*E1495/F1495)),"")</f>
        <v/>
      </c>
      <c r="H1495" s="43" t="str">
        <f>IFERROR(G1495*E1488,"")</f>
        <v/>
      </c>
    </row>
    <row r="1496" spans="1:8">
      <c r="A1496" s="21"/>
      <c r="B1496" s="22" t="s">
        <v>3731</v>
      </c>
      <c r="C1496" s="23"/>
      <c r="D1496" s="24"/>
      <c r="E1496" s="25"/>
      <c r="F1496" s="26"/>
      <c r="G1496" s="27">
        <f>SUM(G1497:G1499)</f>
        <v>37988.882399812508</v>
      </c>
      <c r="H1496" s="27">
        <f>IFERROR(G1496*E1488,"")</f>
        <v>0</v>
      </c>
    </row>
    <row r="1497" spans="1:8">
      <c r="A1497" s="28"/>
      <c r="B1497" s="29" t="s">
        <v>3570</v>
      </c>
      <c r="C1497" s="30" t="str">
        <f>IFERROR(_xlfn.XLOOKUP(B1497,Equipo[DESCRIPCION],Equipo[UND],,0),"")</f>
        <v>%MO</v>
      </c>
      <c r="D1497" s="31">
        <v>0.04</v>
      </c>
      <c r="E1497" s="32">
        <f>IF(C1497="%MO",G1503,IFERROR(_xlfn.XLOOKUP($B1497,Equipo[DESCRIPCION],Equipo[VALOR],,0),""))</f>
        <v>422098.69333125011</v>
      </c>
      <c r="F1497" s="33"/>
      <c r="G1497" s="34">
        <f>IFERROR(IF(F1497&gt;=0,D1497*E1497*(1+F1497/100),ABS(D1497*E1497/F1497)),"")</f>
        <v>16883.947733250003</v>
      </c>
      <c r="H1497" s="43">
        <f>IFERROR(G1497*E1488,"")</f>
        <v>0</v>
      </c>
    </row>
    <row r="1498" spans="1:8">
      <c r="A1498" s="28"/>
      <c r="B1498" s="29" t="s">
        <v>3626</v>
      </c>
      <c r="C1498" s="30" t="str">
        <f>IFERROR(_xlfn.XLOOKUP(B1498,Equipo[DESCRIPCION],Equipo[UND],,0),"")</f>
        <v>%MO</v>
      </c>
      <c r="D1498" s="31">
        <v>0.05</v>
      </c>
      <c r="E1498" s="32">
        <f>IF(C1498="%MO",G1503,IFERROR(_xlfn.XLOOKUP($B1498,Equipo[DESCRIPCION],Equipo[VALOR],,0),""))</f>
        <v>422098.69333125011</v>
      </c>
      <c r="F1498" s="33"/>
      <c r="G1498" s="34">
        <f>IFERROR(IF(F1498&gt;=0,D1498*E1498*(1+F1498/100),ABS(D1498*E1498/F1498)),"")</f>
        <v>21104.934666562505</v>
      </c>
      <c r="H1498" s="43">
        <f>IFERROR(G1498*E1488,"")</f>
        <v>0</v>
      </c>
    </row>
    <row r="1499" spans="1:8">
      <c r="A1499" s="28"/>
      <c r="B1499" s="29"/>
      <c r="C1499" s="30" t="str">
        <f>IFERROR(_xlfn.XLOOKUP(B1499,Equipo[DESCRIPCION],Equipo[UND],,0),"")</f>
        <v/>
      </c>
      <c r="D1499" s="31"/>
      <c r="E1499" s="32" t="str">
        <f>IF(C1499="%MO",G1503,IFERROR(_xlfn.XLOOKUP($B1499,Equipo[DESCRIPCION],Equipo[VALOR],,0),""))</f>
        <v/>
      </c>
      <c r="F1499" s="33"/>
      <c r="G1499" s="34" t="str">
        <f>IFERROR(IF(F1499&gt;=0,D1499*E1499*(1+F1499/100),ABS(D1499*E1499/F1499)),"")</f>
        <v/>
      </c>
      <c r="H1499" s="43" t="str">
        <f>IFERROR(G1499*E1488,"")</f>
        <v/>
      </c>
    </row>
    <row r="1500" spans="1:8">
      <c r="A1500" s="21"/>
      <c r="B1500" s="22" t="s">
        <v>2533</v>
      </c>
      <c r="C1500" s="23"/>
      <c r="D1500" s="24"/>
      <c r="E1500" s="25"/>
      <c r="F1500" s="26"/>
      <c r="G1500" s="27">
        <f>SUM(G1501:G1502)</f>
        <v>98886.375</v>
      </c>
      <c r="H1500" s="27">
        <f>IFERROR(G1500*E1488,"")</f>
        <v>0</v>
      </c>
    </row>
    <row r="1501" spans="1:8">
      <c r="A1501" s="28"/>
      <c r="B1501" s="29" t="s">
        <v>3662</v>
      </c>
      <c r="C1501" s="30" t="str">
        <f>IFERROR(_xlfn.XLOOKUP(B1501,Transporte[DESCRIPCION],Transporte[UND],,0),"")</f>
        <v>Hr</v>
      </c>
      <c r="D1501" s="31">
        <v>1</v>
      </c>
      <c r="E1501" s="32">
        <f>IFERROR(_xlfn.XLOOKUP($B1501,Transporte[DESCRIPCION],Transporte[VALOR],,0),"")</f>
        <v>79109.100000000006</v>
      </c>
      <c r="F1501" s="33">
        <v>-0.8</v>
      </c>
      <c r="G1501" s="34">
        <f>IFERROR(IF(F1501&gt;=0,D1501*E1501*(1+F1501/100),ABS(D1501*E1501/F1501)),"")</f>
        <v>98886.375</v>
      </c>
      <c r="H1501" s="43">
        <f>IFERROR(G1501*E1488,"")</f>
        <v>0</v>
      </c>
    </row>
    <row r="1502" spans="1:8">
      <c r="A1502" s="28"/>
      <c r="B1502" s="29"/>
      <c r="C1502" s="30" t="str">
        <f>IFERROR(_xlfn.XLOOKUP(B1502,Transporte[DESCRIPCION],Transporte[UND],,0),"")</f>
        <v/>
      </c>
      <c r="D1502" s="31"/>
      <c r="E1502" s="32" t="str">
        <f>IFERROR(_xlfn.XLOOKUP($B1502,Transporte[DESCRIPCION],Transporte[VALOR],,0),"")</f>
        <v/>
      </c>
      <c r="F1502" s="33"/>
      <c r="G1502" s="34" t="str">
        <f>IFERROR(IF(F1502&gt;=0,D1502*E1502*(1+F1502/100),ABS(D1502*E1502/F1502)),"")</f>
        <v/>
      </c>
      <c r="H1502" s="43" t="str">
        <f>IFERROR(G1502*E1488,"")</f>
        <v/>
      </c>
    </row>
    <row r="1503" spans="1:8">
      <c r="A1503" s="21"/>
      <c r="B1503" s="22" t="s">
        <v>3732</v>
      </c>
      <c r="C1503" s="23"/>
      <c r="D1503" s="24"/>
      <c r="E1503" s="25"/>
      <c r="F1503" s="26"/>
      <c r="G1503" s="27">
        <f>SUM(G1504:G1506)</f>
        <v>422098.69333125011</v>
      </c>
      <c r="H1503" s="27">
        <f>IFERROR(G1503*E1488,"")</f>
        <v>0</v>
      </c>
    </row>
    <row r="1504" spans="1:8">
      <c r="A1504" s="28"/>
      <c r="B1504" s="29" t="s">
        <v>3715</v>
      </c>
      <c r="C1504" s="30" t="str">
        <f>IFERROR(_xlfn.XLOOKUP(B1504,MObra[DESCRIPCION],MObra[UN],,0),"")</f>
        <v>día</v>
      </c>
      <c r="D1504" s="31">
        <v>1</v>
      </c>
      <c r="E1504" s="32">
        <f>IFERROR(_xlfn.XLOOKUP($B1504,MObra[DESCRIPCION],MObra[VALOR UNIT],,0),"")</f>
        <v>337678.95466500008</v>
      </c>
      <c r="F1504" s="33">
        <v>-0.8</v>
      </c>
      <c r="G1504" s="34">
        <f>IFERROR(IF(F1504&gt;=0,D1504*E1504*(1+F1504/100),ABS(D1504*E1504/F1504)),"")</f>
        <v>422098.69333125011</v>
      </c>
      <c r="H1504" s="43">
        <f>IFERROR(G1504*E1488,"")</f>
        <v>0</v>
      </c>
    </row>
    <row r="1505" spans="1:11">
      <c r="A1505" s="28"/>
      <c r="B1505" s="29"/>
      <c r="C1505" s="30" t="str">
        <f>IFERROR(_xlfn.XLOOKUP(B1505,MObra[DESCRIPCION],MObra[UN],,0),"")</f>
        <v/>
      </c>
      <c r="D1505" s="31"/>
      <c r="E1505" s="32" t="str">
        <f>IFERROR(_xlfn.XLOOKUP($B1505,MObra[DESCRIPCION],MObra[VALOR UNIT],,0),"")</f>
        <v/>
      </c>
      <c r="F1505" s="33"/>
      <c r="G1505" s="34" t="str">
        <f>IFERROR(IF(F1505&gt;=0,D1505*E1505*(1+F1505/100),ABS(D1505*E1505/F1505)),"")</f>
        <v/>
      </c>
      <c r="H1505" s="43" t="str">
        <f>IFERROR(G1505*E1488,"")</f>
        <v/>
      </c>
    </row>
    <row r="1506" spans="1:11">
      <c r="A1506" s="35"/>
      <c r="B1506" s="36"/>
      <c r="C1506" s="37" t="str">
        <f>IFERROR(_xlfn.XLOOKUP(B1506,MObra[DESCRIPCION],MObra[UN],,0),"")</f>
        <v/>
      </c>
      <c r="D1506" s="38"/>
      <c r="E1506" s="39" t="str">
        <f>IFERROR(_xlfn.XLOOKUP($B1506,MObra[DESCRIPCION],MObra[VALOR UNIT],,0),"")</f>
        <v/>
      </c>
      <c r="F1506" s="40"/>
      <c r="G1506" s="41" t="str">
        <f>IFERROR(IF(F1506&gt;=0,D1506*E1506*(1+F1506/100),ABS(D1506*E1506/F1506)),"")</f>
        <v/>
      </c>
      <c r="H1506" s="42" t="str">
        <f>IFERROR(G1506*E1488,"")</f>
        <v/>
      </c>
    </row>
    <row r="1508" spans="1:11">
      <c r="A1508" s="6" t="s">
        <v>2410</v>
      </c>
      <c r="B1508" s="7" t="str">
        <f>VLOOKUP($A1508,Presupuesto!$A:$D,2,FALSE())</f>
        <v>Transformador monofasico aceite 37,5 KVA 13,2KV 120/240</v>
      </c>
      <c r="C1508" s="8" t="str">
        <f>VLOOKUP($A1508,Presupuesto!$A:$D,3,FALSE())</f>
        <v>Un</v>
      </c>
      <c r="D1508" s="9"/>
      <c r="E1508" s="10">
        <f>VLOOKUP($A1508,Presupuesto!$A:$D,4,FALSE())</f>
        <v>0</v>
      </c>
      <c r="F1508" s="11" t="s">
        <v>2589</v>
      </c>
      <c r="G1508" s="12">
        <f>SUM(G1510:G1526)/2</f>
        <v>12503827.372264072</v>
      </c>
      <c r="H1508" s="13">
        <f>ROUND(SUM(H1510:H1526),0)/2</f>
        <v>0</v>
      </c>
      <c r="I1508" s="10">
        <f>VLOOKUP(A1508,Presupuesto!$A:$F,6,0)</f>
        <v>0</v>
      </c>
      <c r="J1508" s="10">
        <f>+H1508-I1508</f>
        <v>0</v>
      </c>
      <c r="K1508" s="46">
        <f>+H1508-G1508*E1508</f>
        <v>0</v>
      </c>
    </row>
    <row r="1509" spans="1:11">
      <c r="A1509" s="14"/>
      <c r="B1509" s="15" t="s">
        <v>2586</v>
      </c>
      <c r="C1509" s="15" t="s">
        <v>5</v>
      </c>
      <c r="D1509" s="16" t="s">
        <v>6</v>
      </c>
      <c r="E1509" s="17" t="s">
        <v>7</v>
      </c>
      <c r="F1509" s="18" t="s">
        <v>3728</v>
      </c>
      <c r="G1509" s="19" t="s">
        <v>3729</v>
      </c>
      <c r="H1509" s="20" t="s">
        <v>3797</v>
      </c>
    </row>
    <row r="1510" spans="1:11">
      <c r="A1510" s="21"/>
      <c r="B1510" s="22" t="s">
        <v>3730</v>
      </c>
      <c r="C1510" s="23"/>
      <c r="D1510" s="24"/>
      <c r="E1510" s="25"/>
      <c r="F1510" s="26"/>
      <c r="G1510" s="27">
        <f>SUM(G1511:G1515)</f>
        <v>11865000</v>
      </c>
      <c r="H1510" s="27">
        <f>IFERROR(G1510*E1508,"")</f>
        <v>0</v>
      </c>
    </row>
    <row r="1511" spans="1:11">
      <c r="A1511" s="28"/>
      <c r="B1511" s="29" t="s">
        <v>3413</v>
      </c>
      <c r="C1511" s="30" t="str">
        <f>IFERROR(_xlfn.XLOOKUP(B1511,Insumo[DESCRIPCION],Insumo[UND],,0),"")</f>
        <v>Un</v>
      </c>
      <c r="D1511" s="31">
        <v>1</v>
      </c>
      <c r="E1511" s="32">
        <f>IFERROR(_xlfn.XLOOKUP($B1511,Insumo[DESCRIPCION],Insumo[VALOR],,0),"")</f>
        <v>11865000</v>
      </c>
      <c r="F1511" s="33"/>
      <c r="G1511" s="34">
        <f>IFERROR(IF(F1511&gt;=0,D1511*E1511*(1+F1511/100),ABS(D1511*E1511/F1511)),"")</f>
        <v>11865000</v>
      </c>
      <c r="H1511" s="43">
        <f>IFERROR(G1511*E1508,"")</f>
        <v>0</v>
      </c>
    </row>
    <row r="1512" spans="1:11">
      <c r="A1512" s="28"/>
      <c r="B1512" s="29"/>
      <c r="C1512" s="30" t="str">
        <f>IFERROR(_xlfn.XLOOKUP(B1512,Insumo[DESCRIPCION],Insumo[UND],,0),"")</f>
        <v/>
      </c>
      <c r="D1512" s="31"/>
      <c r="E1512" s="32" t="str">
        <f>IFERROR(_xlfn.XLOOKUP($B1512,Insumo[DESCRIPCION],Insumo[VALOR],,0),"")</f>
        <v/>
      </c>
      <c r="F1512" s="33"/>
      <c r="G1512" s="34" t="str">
        <f>IFERROR(IF(F1512&gt;=0,D1512*E1512*(1+F1512/100),ABS(D1512*E1512/F1512)),"")</f>
        <v/>
      </c>
      <c r="H1512" s="43" t="str">
        <f>IFERROR(G1512*E1508,"")</f>
        <v/>
      </c>
    </row>
    <row r="1513" spans="1:11">
      <c r="A1513" s="28"/>
      <c r="B1513" s="29"/>
      <c r="C1513" s="30" t="str">
        <f>IFERROR(_xlfn.XLOOKUP(B1513,Insumo[DESCRIPCION],Insumo[UND],,0),"")</f>
        <v/>
      </c>
      <c r="D1513" s="31"/>
      <c r="E1513" s="32" t="str">
        <f>IFERROR(_xlfn.XLOOKUP($B1513,Insumo[DESCRIPCION],Insumo[VALOR],,0),"")</f>
        <v/>
      </c>
      <c r="F1513" s="33"/>
      <c r="G1513" s="34" t="str">
        <f>IFERROR(IF(F1513&gt;=0,D1513*E1513*(1+F1513/100),ABS(D1513*E1513/F1513)),"")</f>
        <v/>
      </c>
      <c r="H1513" s="43" t="str">
        <f>IFERROR(G1513*E1508,"")</f>
        <v/>
      </c>
    </row>
    <row r="1514" spans="1:11">
      <c r="A1514" s="28"/>
      <c r="B1514" s="29"/>
      <c r="C1514" s="30" t="str">
        <f>IFERROR(_xlfn.XLOOKUP(B1514,Insumo[DESCRIPCION],Insumo[UND],,0),"")</f>
        <v/>
      </c>
      <c r="D1514" s="31"/>
      <c r="E1514" s="32" t="str">
        <f>IFERROR(_xlfn.XLOOKUP($B1514,Insumo[DESCRIPCION],Insumo[VALOR],,0),"")</f>
        <v/>
      </c>
      <c r="F1514" s="33"/>
      <c r="G1514" s="34" t="str">
        <f>IFERROR(IF(F1514&gt;=0,D1514*E1514*(1+F1514/100),ABS(D1514*E1514/F1514)),"")</f>
        <v/>
      </c>
      <c r="H1514" s="43" t="str">
        <f>IFERROR(G1514*E1508,"")</f>
        <v/>
      </c>
    </row>
    <row r="1515" spans="1:11">
      <c r="A1515" s="28"/>
      <c r="B1515" s="29"/>
      <c r="C1515" s="30" t="str">
        <f>IFERROR(_xlfn.XLOOKUP(B1515,Insumo[DESCRIPCION],Insumo[UND],,0),"")</f>
        <v/>
      </c>
      <c r="D1515" s="31"/>
      <c r="E1515" s="32" t="str">
        <f>IFERROR(_xlfn.XLOOKUP($B1515,Insumo[DESCRIPCION],Insumo[VALOR],,0),"")</f>
        <v/>
      </c>
      <c r="F1515" s="33"/>
      <c r="G1515" s="34" t="str">
        <f>IFERROR(IF(F1515&gt;=0,D1515*E1515*(1+F1515/100),ABS(D1515*E1515/F1515)),"")</f>
        <v/>
      </c>
      <c r="H1515" s="43" t="str">
        <f>IFERROR(G1515*E1508,"")</f>
        <v/>
      </c>
    </row>
    <row r="1516" spans="1:11">
      <c r="A1516" s="21"/>
      <c r="B1516" s="22" t="s">
        <v>3731</v>
      </c>
      <c r="C1516" s="23"/>
      <c r="D1516" s="24"/>
      <c r="E1516" s="25"/>
      <c r="F1516" s="26"/>
      <c r="G1516" s="27">
        <f>SUM(G1517:G1519)</f>
        <v>43415.865599785728</v>
      </c>
      <c r="H1516" s="27">
        <f>IFERROR(G1516*E1508,"")</f>
        <v>0</v>
      </c>
    </row>
    <row r="1517" spans="1:11">
      <c r="A1517" s="28"/>
      <c r="B1517" s="29" t="s">
        <v>3570</v>
      </c>
      <c r="C1517" s="30" t="str">
        <f>IFERROR(_xlfn.XLOOKUP(B1517,Equipo[DESCRIPCION],Equipo[UND],,0),"")</f>
        <v>%MO</v>
      </c>
      <c r="D1517" s="31">
        <v>0.04</v>
      </c>
      <c r="E1517" s="32">
        <f>IF(C1517="%MO",G1523,IFERROR(_xlfn.XLOOKUP($B1517,Equipo[DESCRIPCION],Equipo[VALOR],,0),""))</f>
        <v>482398.50666428584</v>
      </c>
      <c r="F1517" s="33"/>
      <c r="G1517" s="34">
        <f>IFERROR(IF(F1517&gt;=0,D1517*E1517*(1+F1517/100),ABS(D1517*E1517/F1517)),"")</f>
        <v>19295.940266571433</v>
      </c>
      <c r="H1517" s="43">
        <f>IFERROR(G1517*E1508,"")</f>
        <v>0</v>
      </c>
    </row>
    <row r="1518" spans="1:11">
      <c r="A1518" s="28"/>
      <c r="B1518" s="29" t="s">
        <v>3626</v>
      </c>
      <c r="C1518" s="30" t="str">
        <f>IFERROR(_xlfn.XLOOKUP(B1518,Equipo[DESCRIPCION],Equipo[UND],,0),"")</f>
        <v>%MO</v>
      </c>
      <c r="D1518" s="31">
        <v>0.05</v>
      </c>
      <c r="E1518" s="32">
        <f>IF(C1518="%MO",G1523,IFERROR(_xlfn.XLOOKUP($B1518,Equipo[DESCRIPCION],Equipo[VALOR],,0),""))</f>
        <v>482398.50666428584</v>
      </c>
      <c r="F1518" s="33"/>
      <c r="G1518" s="34">
        <f>IFERROR(IF(F1518&gt;=0,D1518*E1518*(1+F1518/100),ABS(D1518*E1518/F1518)),"")</f>
        <v>24119.925333214294</v>
      </c>
      <c r="H1518" s="43">
        <f>IFERROR(G1518*E1508,"")</f>
        <v>0</v>
      </c>
    </row>
    <row r="1519" spans="1:11">
      <c r="A1519" s="28"/>
      <c r="B1519" s="29"/>
      <c r="C1519" s="30" t="str">
        <f>IFERROR(_xlfn.XLOOKUP(B1519,Equipo[DESCRIPCION],Equipo[UND],,0),"")</f>
        <v/>
      </c>
      <c r="D1519" s="31"/>
      <c r="E1519" s="32" t="str">
        <f>IF(C1519="%MO",G1523,IFERROR(_xlfn.XLOOKUP($B1519,Equipo[DESCRIPCION],Equipo[VALOR],,0),""))</f>
        <v/>
      </c>
      <c r="F1519" s="33"/>
      <c r="G1519" s="34" t="str">
        <f>IFERROR(IF(F1519&gt;=0,D1519*E1519*(1+F1519/100),ABS(D1519*E1519/F1519)),"")</f>
        <v/>
      </c>
      <c r="H1519" s="43" t="str">
        <f>IFERROR(G1519*E1508,"")</f>
        <v/>
      </c>
    </row>
    <row r="1520" spans="1:11">
      <c r="A1520" s="21"/>
      <c r="B1520" s="22" t="s">
        <v>2533</v>
      </c>
      <c r="C1520" s="23"/>
      <c r="D1520" s="24"/>
      <c r="E1520" s="25"/>
      <c r="F1520" s="26"/>
      <c r="G1520" s="27">
        <f>SUM(G1521:G1522)</f>
        <v>113013.00000000001</v>
      </c>
      <c r="H1520" s="27">
        <f>IFERROR(G1520*E1508,"")</f>
        <v>0</v>
      </c>
    </row>
    <row r="1521" spans="1:11">
      <c r="A1521" s="28"/>
      <c r="B1521" s="29" t="s">
        <v>3662</v>
      </c>
      <c r="C1521" s="30" t="str">
        <f>IFERROR(_xlfn.XLOOKUP(B1521,Transporte[DESCRIPCION],Transporte[UND],,0),"")</f>
        <v>Hr</v>
      </c>
      <c r="D1521" s="31">
        <v>1</v>
      </c>
      <c r="E1521" s="32">
        <f>IFERROR(_xlfn.XLOOKUP($B1521,Transporte[DESCRIPCION],Transporte[VALOR],,0),"")</f>
        <v>79109.100000000006</v>
      </c>
      <c r="F1521" s="33">
        <v>-0.7</v>
      </c>
      <c r="G1521" s="34">
        <f>IFERROR(IF(F1521&gt;=0,D1521*E1521*(1+F1521/100),ABS(D1521*E1521/F1521)),"")</f>
        <v>113013.00000000001</v>
      </c>
      <c r="H1521" s="43">
        <f>IFERROR(G1521*E1508,"")</f>
        <v>0</v>
      </c>
    </row>
    <row r="1522" spans="1:11">
      <c r="A1522" s="28"/>
      <c r="B1522" s="29"/>
      <c r="C1522" s="30" t="str">
        <f>IFERROR(_xlfn.XLOOKUP(B1522,Transporte[DESCRIPCION],Transporte[UND],,0),"")</f>
        <v/>
      </c>
      <c r="D1522" s="31"/>
      <c r="E1522" s="32" t="str">
        <f>IFERROR(_xlfn.XLOOKUP($B1522,Transporte[DESCRIPCION],Transporte[VALOR],,0),"")</f>
        <v/>
      </c>
      <c r="F1522" s="33"/>
      <c r="G1522" s="34" t="str">
        <f>IFERROR(IF(F1522&gt;=0,D1522*E1522*(1+F1522/100),ABS(D1522*E1522/F1522)),"")</f>
        <v/>
      </c>
      <c r="H1522" s="43" t="str">
        <f>IFERROR(G1522*E1508,"")</f>
        <v/>
      </c>
    </row>
    <row r="1523" spans="1:11">
      <c r="A1523" s="21"/>
      <c r="B1523" s="22" t="s">
        <v>3732</v>
      </c>
      <c r="C1523" s="23"/>
      <c r="D1523" s="24"/>
      <c r="E1523" s="25"/>
      <c r="F1523" s="26"/>
      <c r="G1523" s="27">
        <f>SUM(G1524:G1526)</f>
        <v>482398.50666428584</v>
      </c>
      <c r="H1523" s="27">
        <f>IFERROR(G1523*E1508,"")</f>
        <v>0</v>
      </c>
    </row>
    <row r="1524" spans="1:11">
      <c r="A1524" s="28"/>
      <c r="B1524" s="29" t="s">
        <v>3715</v>
      </c>
      <c r="C1524" s="30" t="str">
        <f>IFERROR(_xlfn.XLOOKUP(B1524,MObra[DESCRIPCION],MObra[UN],,0),"")</f>
        <v>día</v>
      </c>
      <c r="D1524" s="31">
        <v>1</v>
      </c>
      <c r="E1524" s="32">
        <f>IFERROR(_xlfn.XLOOKUP($B1524,MObra[DESCRIPCION],MObra[VALOR UNIT],,0),"")</f>
        <v>337678.95466500008</v>
      </c>
      <c r="F1524" s="33">
        <v>-0.7</v>
      </c>
      <c r="G1524" s="34">
        <f>IFERROR(IF(F1524&gt;=0,D1524*E1524*(1+F1524/100),ABS(D1524*E1524/F1524)),"")</f>
        <v>482398.50666428584</v>
      </c>
      <c r="H1524" s="43">
        <f>IFERROR(G1524*E1508,"")</f>
        <v>0</v>
      </c>
    </row>
    <row r="1525" spans="1:11">
      <c r="A1525" s="28"/>
      <c r="B1525" s="29"/>
      <c r="C1525" s="30" t="str">
        <f>IFERROR(_xlfn.XLOOKUP(B1525,MObra[DESCRIPCION],MObra[UN],,0),"")</f>
        <v/>
      </c>
      <c r="D1525" s="31"/>
      <c r="E1525" s="32" t="str">
        <f>IFERROR(_xlfn.XLOOKUP($B1525,MObra[DESCRIPCION],MObra[VALOR UNIT],,0),"")</f>
        <v/>
      </c>
      <c r="F1525" s="33"/>
      <c r="G1525" s="34" t="str">
        <f>IFERROR(IF(F1525&gt;=0,D1525*E1525*(1+F1525/100),ABS(D1525*E1525/F1525)),"")</f>
        <v/>
      </c>
      <c r="H1525" s="43" t="str">
        <f>IFERROR(G1525*E1508,"")</f>
        <v/>
      </c>
    </row>
    <row r="1526" spans="1:11">
      <c r="A1526" s="35"/>
      <c r="B1526" s="36"/>
      <c r="C1526" s="37" t="str">
        <f>IFERROR(_xlfn.XLOOKUP(B1526,MObra[DESCRIPCION],MObra[UN],,0),"")</f>
        <v/>
      </c>
      <c r="D1526" s="38"/>
      <c r="E1526" s="39" t="str">
        <f>IFERROR(_xlfn.XLOOKUP($B1526,MObra[DESCRIPCION],MObra[VALOR UNIT],,0),"")</f>
        <v/>
      </c>
      <c r="F1526" s="40"/>
      <c r="G1526" s="41" t="str">
        <f>IFERROR(IF(F1526&gt;=0,D1526*E1526*(1+F1526/100),ABS(D1526*E1526/F1526)),"")</f>
        <v/>
      </c>
      <c r="H1526" s="42" t="str">
        <f>IFERROR(G1526*E1508,"")</f>
        <v/>
      </c>
    </row>
    <row r="1527" spans="1:11" ht="12.75" customHeight="1" thickTop="1" thickBot="1"/>
    <row r="1528" spans="1:11" ht="13.5" thickTop="1" thickBot="1">
      <c r="A1528" s="6" t="s">
        <v>2412</v>
      </c>
      <c r="B1528" s="7" t="str">
        <f>VLOOKUP($A1528,Presupuesto!$A:$D,2,FALSE())</f>
        <v>Transformador monofasico aceite 75 KVA13,2KV 120/240</v>
      </c>
      <c r="C1528" s="8" t="str">
        <f>VLOOKUP($A1528,Presupuesto!$A:$D,3,FALSE())</f>
        <v>Un</v>
      </c>
      <c r="D1528" s="9"/>
      <c r="E1528" s="10">
        <f>VLOOKUP($A1528,Presupuesto!$A:$D,4,FALSE())</f>
        <v>0</v>
      </c>
      <c r="F1528" s="11" t="s">
        <v>2589</v>
      </c>
      <c r="G1528" s="12">
        <f>SUM(G1530:G1546)/2</f>
        <v>19330298.600974753</v>
      </c>
      <c r="H1528" s="13">
        <f>ROUND(SUM(H1530:H1546),0)/2</f>
        <v>0</v>
      </c>
      <c r="I1528" s="10">
        <f>VLOOKUP(A1528,Presupuesto!$A:$F,6,0)</f>
        <v>0</v>
      </c>
      <c r="J1528" s="10">
        <f>+H1528-I1528</f>
        <v>0</v>
      </c>
      <c r="K1528" s="46">
        <f>+H1528-G1528*E1528</f>
        <v>0</v>
      </c>
    </row>
    <row r="1529" spans="1:11">
      <c r="A1529" s="14"/>
      <c r="B1529" s="15" t="s">
        <v>2586</v>
      </c>
      <c r="C1529" s="15" t="s">
        <v>5</v>
      </c>
      <c r="D1529" s="16" t="s">
        <v>6</v>
      </c>
      <c r="E1529" s="17" t="s">
        <v>7</v>
      </c>
      <c r="F1529" s="18" t="s">
        <v>3728</v>
      </c>
      <c r="G1529" s="19" t="s">
        <v>3729</v>
      </c>
      <c r="H1529" s="20" t="s">
        <v>3797</v>
      </c>
    </row>
    <row r="1530" spans="1:11">
      <c r="A1530" s="21"/>
      <c r="B1530" s="22" t="s">
        <v>3730</v>
      </c>
      <c r="C1530" s="23"/>
      <c r="D1530" s="24"/>
      <c r="E1530" s="25"/>
      <c r="F1530" s="26"/>
      <c r="G1530" s="27">
        <f>SUM(G1531:G1535)</f>
        <v>18585000</v>
      </c>
      <c r="H1530" s="27">
        <f>IFERROR(G1530*E1528,"")</f>
        <v>0</v>
      </c>
    </row>
    <row r="1531" spans="1:11">
      <c r="A1531" s="28"/>
      <c r="B1531" s="29" t="s">
        <v>3414</v>
      </c>
      <c r="C1531" s="30" t="str">
        <f>IFERROR(_xlfn.XLOOKUP(B1531,Insumo[DESCRIPCION],Insumo[UND],,0),"")</f>
        <v>Un</v>
      </c>
      <c r="D1531" s="31">
        <v>1</v>
      </c>
      <c r="E1531" s="32">
        <f>IFERROR(_xlfn.XLOOKUP($B1531,Insumo[DESCRIPCION],Insumo[VALOR],,0),"")</f>
        <v>18585000</v>
      </c>
      <c r="F1531" s="33"/>
      <c r="G1531" s="34">
        <f>IFERROR(IF(F1531&gt;=0,D1531*E1531*(1+F1531/100),ABS(D1531*E1531/F1531)),"")</f>
        <v>18585000</v>
      </c>
      <c r="H1531" s="43">
        <f>IFERROR(G1531*E1528,"")</f>
        <v>0</v>
      </c>
    </row>
    <row r="1532" spans="1:11">
      <c r="A1532" s="28"/>
      <c r="B1532" s="29"/>
      <c r="C1532" s="30" t="str">
        <f>IFERROR(_xlfn.XLOOKUP(B1532,Insumo[DESCRIPCION],Insumo[UND],,0),"")</f>
        <v/>
      </c>
      <c r="D1532" s="31"/>
      <c r="E1532" s="32" t="str">
        <f>IFERROR(_xlfn.XLOOKUP($B1532,Insumo[DESCRIPCION],Insumo[VALOR],,0),"")</f>
        <v/>
      </c>
      <c r="F1532" s="33"/>
      <c r="G1532" s="34" t="str">
        <f>IFERROR(IF(F1532&gt;=0,D1532*E1532*(1+F1532/100),ABS(D1532*E1532/F1532)),"")</f>
        <v/>
      </c>
      <c r="H1532" s="43" t="str">
        <f>IFERROR(G1532*E1528,"")</f>
        <v/>
      </c>
    </row>
    <row r="1533" spans="1:11">
      <c r="A1533" s="28"/>
      <c r="B1533" s="29"/>
      <c r="C1533" s="30" t="str">
        <f>IFERROR(_xlfn.XLOOKUP(B1533,Insumo[DESCRIPCION],Insumo[UND],,0),"")</f>
        <v/>
      </c>
      <c r="D1533" s="31"/>
      <c r="E1533" s="32" t="str">
        <f>IFERROR(_xlfn.XLOOKUP($B1533,Insumo[DESCRIPCION],Insumo[VALOR],,0),"")</f>
        <v/>
      </c>
      <c r="F1533" s="33"/>
      <c r="G1533" s="34" t="str">
        <f>IFERROR(IF(F1533&gt;=0,D1533*E1533*(1+F1533/100),ABS(D1533*E1533/F1533)),"")</f>
        <v/>
      </c>
      <c r="H1533" s="43" t="str">
        <f>IFERROR(G1533*E1528,"")</f>
        <v/>
      </c>
    </row>
    <row r="1534" spans="1:11">
      <c r="A1534" s="28"/>
      <c r="B1534" s="29"/>
      <c r="C1534" s="30" t="str">
        <f>IFERROR(_xlfn.XLOOKUP(B1534,Insumo[DESCRIPCION],Insumo[UND],,0),"")</f>
        <v/>
      </c>
      <c r="D1534" s="31"/>
      <c r="E1534" s="32" t="str">
        <f>IFERROR(_xlfn.XLOOKUP($B1534,Insumo[DESCRIPCION],Insumo[VALOR],,0),"")</f>
        <v/>
      </c>
      <c r="F1534" s="33"/>
      <c r="G1534" s="34" t="str">
        <f>IFERROR(IF(F1534&gt;=0,D1534*E1534*(1+F1534/100),ABS(D1534*E1534/F1534)),"")</f>
        <v/>
      </c>
      <c r="H1534" s="43" t="str">
        <f>IFERROR(G1534*E1528,"")</f>
        <v/>
      </c>
    </row>
    <row r="1535" spans="1:11">
      <c r="A1535" s="28"/>
      <c r="B1535" s="29"/>
      <c r="C1535" s="30" t="str">
        <f>IFERROR(_xlfn.XLOOKUP(B1535,Insumo[DESCRIPCION],Insumo[UND],,0),"")</f>
        <v/>
      </c>
      <c r="D1535" s="31"/>
      <c r="E1535" s="32" t="str">
        <f>IFERROR(_xlfn.XLOOKUP($B1535,Insumo[DESCRIPCION],Insumo[VALOR],,0),"")</f>
        <v/>
      </c>
      <c r="F1535" s="33"/>
      <c r="G1535" s="34" t="str">
        <f>IFERROR(IF(F1535&gt;=0,D1535*E1535*(1+F1535/100),ABS(D1535*E1535/F1535)),"")</f>
        <v/>
      </c>
      <c r="H1535" s="43" t="str">
        <f>IFERROR(G1535*E1528,"")</f>
        <v/>
      </c>
    </row>
    <row r="1536" spans="1:11">
      <c r="A1536" s="21"/>
      <c r="B1536" s="22" t="s">
        <v>3731</v>
      </c>
      <c r="C1536" s="23"/>
      <c r="D1536" s="24"/>
      <c r="E1536" s="25"/>
      <c r="F1536" s="26"/>
      <c r="G1536" s="27">
        <f>SUM(G1537:G1539)</f>
        <v>50651.843199750016</v>
      </c>
      <c r="H1536" s="27">
        <f>IFERROR(G1536*E1528,"")</f>
        <v>0</v>
      </c>
    </row>
    <row r="1537" spans="1:11">
      <c r="A1537" s="28"/>
      <c r="B1537" s="29" t="s">
        <v>3570</v>
      </c>
      <c r="C1537" s="30" t="str">
        <f>IFERROR(_xlfn.XLOOKUP(B1537,Equipo[DESCRIPCION],Equipo[UND],,0),"")</f>
        <v>%MO</v>
      </c>
      <c r="D1537" s="31">
        <v>0.04</v>
      </c>
      <c r="E1537" s="32">
        <f>IF(C1537="%MO",G1543,IFERROR(_xlfn.XLOOKUP($B1537,Equipo[DESCRIPCION],Equipo[VALOR],,0),""))</f>
        <v>562798.25777500018</v>
      </c>
      <c r="F1537" s="33"/>
      <c r="G1537" s="34">
        <f>IFERROR(IF(F1537&gt;=0,D1537*E1537*(1+F1537/100),ABS(D1537*E1537/F1537)),"")</f>
        <v>22511.930311000007</v>
      </c>
      <c r="H1537" s="43">
        <f>IFERROR(G1537*E1528,"")</f>
        <v>0</v>
      </c>
    </row>
    <row r="1538" spans="1:11">
      <c r="A1538" s="28"/>
      <c r="B1538" s="29" t="s">
        <v>3626</v>
      </c>
      <c r="C1538" s="30" t="str">
        <f>IFERROR(_xlfn.XLOOKUP(B1538,Equipo[DESCRIPCION],Equipo[UND],,0),"")</f>
        <v>%MO</v>
      </c>
      <c r="D1538" s="31">
        <v>0.05</v>
      </c>
      <c r="E1538" s="32">
        <f>IF(C1538="%MO",G1543,IFERROR(_xlfn.XLOOKUP($B1538,Equipo[DESCRIPCION],Equipo[VALOR],,0),""))</f>
        <v>562798.25777500018</v>
      </c>
      <c r="F1538" s="33"/>
      <c r="G1538" s="34">
        <f>IFERROR(IF(F1538&gt;=0,D1538*E1538*(1+F1538/100),ABS(D1538*E1538/F1538)),"")</f>
        <v>28139.912888750012</v>
      </c>
      <c r="H1538" s="43">
        <f>IFERROR(G1538*E1528,"")</f>
        <v>0</v>
      </c>
    </row>
    <row r="1539" spans="1:11">
      <c r="A1539" s="28"/>
      <c r="B1539" s="29"/>
      <c r="C1539" s="30" t="str">
        <f>IFERROR(_xlfn.XLOOKUP(B1539,Equipo[DESCRIPCION],Equipo[UND],,0),"")</f>
        <v/>
      </c>
      <c r="D1539" s="31"/>
      <c r="E1539" s="32" t="str">
        <f>IF(C1539="%MO",G1543,IFERROR(_xlfn.XLOOKUP($B1539,Equipo[DESCRIPCION],Equipo[VALOR],,0),""))</f>
        <v/>
      </c>
      <c r="F1539" s="33"/>
      <c r="G1539" s="34" t="str">
        <f>IFERROR(IF(F1539&gt;=0,D1539*E1539*(1+F1539/100),ABS(D1539*E1539/F1539)),"")</f>
        <v/>
      </c>
      <c r="H1539" s="43" t="str">
        <f>IFERROR(G1539*E1528,"")</f>
        <v/>
      </c>
    </row>
    <row r="1540" spans="1:11">
      <c r="A1540" s="21"/>
      <c r="B1540" s="22" t="s">
        <v>2533</v>
      </c>
      <c r="C1540" s="23"/>
      <c r="D1540" s="24"/>
      <c r="E1540" s="25"/>
      <c r="F1540" s="26"/>
      <c r="G1540" s="27">
        <f>SUM(G1541:G1542)</f>
        <v>131848.50000000003</v>
      </c>
      <c r="H1540" s="27">
        <f>IFERROR(G1540*E1528,"")</f>
        <v>0</v>
      </c>
    </row>
    <row r="1541" spans="1:11">
      <c r="A1541" s="28"/>
      <c r="B1541" s="29" t="s">
        <v>3662</v>
      </c>
      <c r="C1541" s="30" t="str">
        <f>IFERROR(_xlfn.XLOOKUP(B1541,Transporte[DESCRIPCION],Transporte[UND],,0),"")</f>
        <v>Hr</v>
      </c>
      <c r="D1541" s="31">
        <v>1</v>
      </c>
      <c r="E1541" s="32">
        <f>IFERROR(_xlfn.XLOOKUP($B1541,Transporte[DESCRIPCION],Transporte[VALOR],,0),"")</f>
        <v>79109.100000000006</v>
      </c>
      <c r="F1541" s="33">
        <v>-0.6</v>
      </c>
      <c r="G1541" s="34">
        <f>IFERROR(IF(F1541&gt;=0,D1541*E1541*(1+F1541/100),ABS(D1541*E1541/F1541)),"")</f>
        <v>131848.50000000003</v>
      </c>
      <c r="H1541" s="43">
        <f>IFERROR(G1541*E1528,"")</f>
        <v>0</v>
      </c>
    </row>
    <row r="1542" spans="1:11">
      <c r="A1542" s="28"/>
      <c r="B1542" s="29"/>
      <c r="C1542" s="30" t="str">
        <f>IFERROR(_xlfn.XLOOKUP(B1542,Transporte[DESCRIPCION],Transporte[UND],,0),"")</f>
        <v/>
      </c>
      <c r="D1542" s="31"/>
      <c r="E1542" s="32" t="str">
        <f>IFERROR(_xlfn.XLOOKUP($B1542,Transporte[DESCRIPCION],Transporte[VALOR],,0),"")</f>
        <v/>
      </c>
      <c r="F1542" s="33"/>
      <c r="G1542" s="34" t="str">
        <f>IFERROR(IF(F1542&gt;=0,D1542*E1542*(1+F1542/100),ABS(D1542*E1542/F1542)),"")</f>
        <v/>
      </c>
      <c r="H1542" s="43" t="str">
        <f>IFERROR(G1542*E1528,"")</f>
        <v/>
      </c>
    </row>
    <row r="1543" spans="1:11">
      <c r="A1543" s="21"/>
      <c r="B1543" s="22" t="s">
        <v>3732</v>
      </c>
      <c r="C1543" s="23"/>
      <c r="D1543" s="24"/>
      <c r="E1543" s="25"/>
      <c r="F1543" s="26"/>
      <c r="G1543" s="27">
        <f>SUM(G1544:G1546)</f>
        <v>562798.25777500018</v>
      </c>
      <c r="H1543" s="27">
        <f>IFERROR(G1543*E1528,"")</f>
        <v>0</v>
      </c>
    </row>
    <row r="1544" spans="1:11">
      <c r="A1544" s="28"/>
      <c r="B1544" s="29" t="s">
        <v>3715</v>
      </c>
      <c r="C1544" s="30" t="str">
        <f>IFERROR(_xlfn.XLOOKUP(B1544,MObra[DESCRIPCION],MObra[UN],,0),"")</f>
        <v>día</v>
      </c>
      <c r="D1544" s="31">
        <v>1</v>
      </c>
      <c r="E1544" s="32">
        <f>IFERROR(_xlfn.XLOOKUP($B1544,MObra[DESCRIPCION],MObra[VALOR UNIT],,0),"")</f>
        <v>337678.95466500008</v>
      </c>
      <c r="F1544" s="33">
        <v>-0.6</v>
      </c>
      <c r="G1544" s="34">
        <f>IFERROR(IF(F1544&gt;=0,D1544*E1544*(1+F1544/100),ABS(D1544*E1544/F1544)),"")</f>
        <v>562798.25777500018</v>
      </c>
      <c r="H1544" s="43">
        <f>IFERROR(G1544*E1528,"")</f>
        <v>0</v>
      </c>
    </row>
    <row r="1545" spans="1:11">
      <c r="A1545" s="28"/>
      <c r="B1545" s="29"/>
      <c r="C1545" s="30" t="str">
        <f>IFERROR(_xlfn.XLOOKUP(B1545,MObra[DESCRIPCION],MObra[UN],,0),"")</f>
        <v/>
      </c>
      <c r="D1545" s="31"/>
      <c r="E1545" s="32" t="str">
        <f>IFERROR(_xlfn.XLOOKUP($B1545,MObra[DESCRIPCION],MObra[VALOR UNIT],,0),"")</f>
        <v/>
      </c>
      <c r="F1545" s="33"/>
      <c r="G1545" s="34" t="str">
        <f>IFERROR(IF(F1545&gt;=0,D1545*E1545*(1+F1545/100),ABS(D1545*E1545/F1545)),"")</f>
        <v/>
      </c>
      <c r="H1545" s="43" t="str">
        <f>IFERROR(G1545*E1528,"")</f>
        <v/>
      </c>
    </row>
    <row r="1546" spans="1:11">
      <c r="A1546" s="35"/>
      <c r="B1546" s="36"/>
      <c r="C1546" s="37" t="str">
        <f>IFERROR(_xlfn.XLOOKUP(B1546,MObra[DESCRIPCION],MObra[UN],,0),"")</f>
        <v/>
      </c>
      <c r="D1546" s="38"/>
      <c r="E1546" s="39" t="str">
        <f>IFERROR(_xlfn.XLOOKUP($B1546,MObra[DESCRIPCION],MObra[VALOR UNIT],,0),"")</f>
        <v/>
      </c>
      <c r="F1546" s="40"/>
      <c r="G1546" s="41" t="str">
        <f>IFERROR(IF(F1546&gt;=0,D1546*E1546*(1+F1546/100),ABS(D1546*E1546/F1546)),"")</f>
        <v/>
      </c>
      <c r="H1546" s="42" t="str">
        <f>IFERROR(G1546*E1528,"")</f>
        <v/>
      </c>
    </row>
    <row r="1548" spans="1:11">
      <c r="A1548" s="6" t="s">
        <v>2414</v>
      </c>
      <c r="B1548" s="7" t="str">
        <f>VLOOKUP($A1548,Presupuesto!$A:$D,2,FALSE())</f>
        <v>Transformador trifásico en aceite 30 KVA 13,2KV 220/127V</v>
      </c>
      <c r="C1548" s="8" t="str">
        <f>VLOOKUP($A1548,Presupuesto!$A:$D,3,FALSE())</f>
        <v>Un</v>
      </c>
      <c r="D1548" s="9"/>
      <c r="E1548" s="10">
        <f>VLOOKUP($A1548,Presupuesto!$A:$D,4,FALSE())</f>
        <v>0</v>
      </c>
      <c r="F1548" s="11" t="s">
        <v>2589</v>
      </c>
      <c r="G1548" s="12">
        <f>SUM(G1550:G1566)/2</f>
        <v>11860123.950731061</v>
      </c>
      <c r="H1548" s="13">
        <f>ROUND(SUM(H1550:H1566),0)/2</f>
        <v>0</v>
      </c>
      <c r="I1548" s="10">
        <f>VLOOKUP(A1548,Presupuesto!$A:$F,6,0)</f>
        <v>0</v>
      </c>
      <c r="J1548" s="10">
        <f>+H1548-I1548</f>
        <v>0</v>
      </c>
      <c r="K1548" s="46">
        <f>+H1548-G1548*E1548</f>
        <v>0</v>
      </c>
    </row>
    <row r="1549" spans="1:11">
      <c r="A1549" s="14"/>
      <c r="B1549" s="15" t="s">
        <v>2586</v>
      </c>
      <c r="C1549" s="15" t="s">
        <v>5</v>
      </c>
      <c r="D1549" s="16" t="s">
        <v>6</v>
      </c>
      <c r="E1549" s="17" t="s">
        <v>7</v>
      </c>
      <c r="F1549" s="18" t="s">
        <v>3728</v>
      </c>
      <c r="G1549" s="19" t="s">
        <v>3729</v>
      </c>
      <c r="H1549" s="20" t="s">
        <v>3797</v>
      </c>
    </row>
    <row r="1550" spans="1:11">
      <c r="A1550" s="21"/>
      <c r="B1550" s="22" t="s">
        <v>3730</v>
      </c>
      <c r="C1550" s="23"/>
      <c r="D1550" s="24"/>
      <c r="E1550" s="25"/>
      <c r="F1550" s="26"/>
      <c r="G1550" s="27">
        <f>SUM(G1551:G1555)</f>
        <v>11301150</v>
      </c>
      <c r="H1550" s="27">
        <f>IFERROR(G1550*E1548,"")</f>
        <v>0</v>
      </c>
    </row>
    <row r="1551" spans="1:11">
      <c r="A1551" s="28"/>
      <c r="B1551" s="29" t="s">
        <v>3415</v>
      </c>
      <c r="C1551" s="30" t="str">
        <f>IFERROR(_xlfn.XLOOKUP(B1551,Insumo[DESCRIPCION],Insumo[UND],,0),"")</f>
        <v>Un</v>
      </c>
      <c r="D1551" s="31">
        <v>1</v>
      </c>
      <c r="E1551" s="32">
        <f>IFERROR(_xlfn.XLOOKUP($B1551,Insumo[DESCRIPCION],Insumo[VALOR],,0),"")</f>
        <v>11301150</v>
      </c>
      <c r="F1551" s="33"/>
      <c r="G1551" s="34">
        <f>IFERROR(IF(F1551&gt;=0,D1551*E1551*(1+F1551/100),ABS(D1551*E1551/F1551)),"")</f>
        <v>11301150</v>
      </c>
      <c r="H1551" s="43">
        <f>IFERROR(G1551*E1548,"")</f>
        <v>0</v>
      </c>
    </row>
    <row r="1552" spans="1:11">
      <c r="A1552" s="28"/>
      <c r="B1552" s="29"/>
      <c r="C1552" s="30" t="str">
        <f>IFERROR(_xlfn.XLOOKUP(B1552,Insumo[DESCRIPCION],Insumo[UND],,0),"")</f>
        <v/>
      </c>
      <c r="D1552" s="31"/>
      <c r="E1552" s="32" t="str">
        <f>IFERROR(_xlfn.XLOOKUP($B1552,Insumo[DESCRIPCION],Insumo[VALOR],,0),"")</f>
        <v/>
      </c>
      <c r="F1552" s="33"/>
      <c r="G1552" s="34" t="str">
        <f>IFERROR(IF(F1552&gt;=0,D1552*E1552*(1+F1552/100),ABS(D1552*E1552/F1552)),"")</f>
        <v/>
      </c>
      <c r="H1552" s="43" t="str">
        <f>IFERROR(G1552*E1548,"")</f>
        <v/>
      </c>
    </row>
    <row r="1553" spans="1:11">
      <c r="A1553" s="28"/>
      <c r="B1553" s="29"/>
      <c r="C1553" s="30" t="str">
        <f>IFERROR(_xlfn.XLOOKUP(B1553,Insumo[DESCRIPCION],Insumo[UND],,0),"")</f>
        <v/>
      </c>
      <c r="D1553" s="31"/>
      <c r="E1553" s="32" t="str">
        <f>IFERROR(_xlfn.XLOOKUP($B1553,Insumo[DESCRIPCION],Insumo[VALOR],,0),"")</f>
        <v/>
      </c>
      <c r="F1553" s="33"/>
      <c r="G1553" s="34" t="str">
        <f>IFERROR(IF(F1553&gt;=0,D1553*E1553*(1+F1553/100),ABS(D1553*E1553/F1553)),"")</f>
        <v/>
      </c>
      <c r="H1553" s="43" t="str">
        <f>IFERROR(G1553*E1548,"")</f>
        <v/>
      </c>
    </row>
    <row r="1554" spans="1:11">
      <c r="A1554" s="28"/>
      <c r="B1554" s="29"/>
      <c r="C1554" s="30" t="str">
        <f>IFERROR(_xlfn.XLOOKUP(B1554,Insumo[DESCRIPCION],Insumo[UND],,0),"")</f>
        <v/>
      </c>
      <c r="D1554" s="31"/>
      <c r="E1554" s="32" t="str">
        <f>IFERROR(_xlfn.XLOOKUP($B1554,Insumo[DESCRIPCION],Insumo[VALOR],,0),"")</f>
        <v/>
      </c>
      <c r="F1554" s="33"/>
      <c r="G1554" s="34" t="str">
        <f>IFERROR(IF(F1554&gt;=0,D1554*E1554*(1+F1554/100),ABS(D1554*E1554/F1554)),"")</f>
        <v/>
      </c>
      <c r="H1554" s="43" t="str">
        <f>IFERROR(G1554*E1548,"")</f>
        <v/>
      </c>
    </row>
    <row r="1555" spans="1:11">
      <c r="A1555" s="28"/>
      <c r="B1555" s="29"/>
      <c r="C1555" s="30" t="str">
        <f>IFERROR(_xlfn.XLOOKUP(B1555,Insumo[DESCRIPCION],Insumo[UND],,0),"")</f>
        <v/>
      </c>
      <c r="D1555" s="31"/>
      <c r="E1555" s="32" t="str">
        <f>IFERROR(_xlfn.XLOOKUP($B1555,Insumo[DESCRIPCION],Insumo[VALOR],,0),"")</f>
        <v/>
      </c>
      <c r="F1555" s="33"/>
      <c r="G1555" s="34" t="str">
        <f>IFERROR(IF(F1555&gt;=0,D1555*E1555*(1+F1555/100),ABS(D1555*E1555/F1555)),"")</f>
        <v/>
      </c>
      <c r="H1555" s="43" t="str">
        <f>IFERROR(G1555*E1548,"")</f>
        <v/>
      </c>
    </row>
    <row r="1556" spans="1:11">
      <c r="A1556" s="21"/>
      <c r="B1556" s="22" t="s">
        <v>3731</v>
      </c>
      <c r="C1556" s="23"/>
      <c r="D1556" s="24"/>
      <c r="E1556" s="25"/>
      <c r="F1556" s="26"/>
      <c r="G1556" s="27">
        <f>SUM(G1557:G1559)</f>
        <v>37988.882399812508</v>
      </c>
      <c r="H1556" s="27">
        <f>IFERROR(G1556*E1548,"")</f>
        <v>0</v>
      </c>
    </row>
    <row r="1557" spans="1:11">
      <c r="A1557" s="28"/>
      <c r="B1557" s="29" t="s">
        <v>3570</v>
      </c>
      <c r="C1557" s="30" t="str">
        <f>IFERROR(_xlfn.XLOOKUP(B1557,Equipo[DESCRIPCION],Equipo[UND],,0),"")</f>
        <v>%MO</v>
      </c>
      <c r="D1557" s="31">
        <v>0.04</v>
      </c>
      <c r="E1557" s="32">
        <f>IF(C1557="%MO",G1563,IFERROR(_xlfn.XLOOKUP($B1557,Equipo[DESCRIPCION],Equipo[VALOR],,0),""))</f>
        <v>422098.69333125011</v>
      </c>
      <c r="F1557" s="33"/>
      <c r="G1557" s="34">
        <f>IFERROR(IF(F1557&gt;=0,D1557*E1557*(1+F1557/100),ABS(D1557*E1557/F1557)),"")</f>
        <v>16883.947733250003</v>
      </c>
      <c r="H1557" s="43">
        <f>IFERROR(G1557*E1548,"")</f>
        <v>0</v>
      </c>
    </row>
    <row r="1558" spans="1:11">
      <c r="A1558" s="28"/>
      <c r="B1558" s="29" t="s">
        <v>3626</v>
      </c>
      <c r="C1558" s="30" t="str">
        <f>IFERROR(_xlfn.XLOOKUP(B1558,Equipo[DESCRIPCION],Equipo[UND],,0),"")</f>
        <v>%MO</v>
      </c>
      <c r="D1558" s="31">
        <v>0.05</v>
      </c>
      <c r="E1558" s="32">
        <f>IF(C1558="%MO",G1563,IFERROR(_xlfn.XLOOKUP($B1558,Equipo[DESCRIPCION],Equipo[VALOR],,0),""))</f>
        <v>422098.69333125011</v>
      </c>
      <c r="F1558" s="33"/>
      <c r="G1558" s="34">
        <f>IFERROR(IF(F1558&gt;=0,D1558*E1558*(1+F1558/100),ABS(D1558*E1558/F1558)),"")</f>
        <v>21104.934666562505</v>
      </c>
      <c r="H1558" s="43">
        <f>IFERROR(G1558*E1548,"")</f>
        <v>0</v>
      </c>
    </row>
    <row r="1559" spans="1:11">
      <c r="A1559" s="28"/>
      <c r="B1559" s="29"/>
      <c r="C1559" s="30" t="str">
        <f>IFERROR(_xlfn.XLOOKUP(B1559,Equipo[DESCRIPCION],Equipo[UND],,0),"")</f>
        <v/>
      </c>
      <c r="D1559" s="31"/>
      <c r="E1559" s="32" t="str">
        <f>IF(C1559="%MO",G1563,IFERROR(_xlfn.XLOOKUP($B1559,Equipo[DESCRIPCION],Equipo[VALOR],,0),""))</f>
        <v/>
      </c>
      <c r="F1559" s="33"/>
      <c r="G1559" s="34" t="str">
        <f>IFERROR(IF(F1559&gt;=0,D1559*E1559*(1+F1559/100),ABS(D1559*E1559/F1559)),"")</f>
        <v/>
      </c>
      <c r="H1559" s="43" t="str">
        <f>IFERROR(G1559*E1548,"")</f>
        <v/>
      </c>
    </row>
    <row r="1560" spans="1:11">
      <c r="A1560" s="21"/>
      <c r="B1560" s="22" t="s">
        <v>2533</v>
      </c>
      <c r="C1560" s="23"/>
      <c r="D1560" s="24"/>
      <c r="E1560" s="25"/>
      <c r="F1560" s="26"/>
      <c r="G1560" s="27">
        <f>SUM(G1561:G1562)</f>
        <v>98886.375</v>
      </c>
      <c r="H1560" s="27">
        <f>IFERROR(G1560*E1548,"")</f>
        <v>0</v>
      </c>
    </row>
    <row r="1561" spans="1:11">
      <c r="A1561" s="28"/>
      <c r="B1561" s="29" t="s">
        <v>3662</v>
      </c>
      <c r="C1561" s="30" t="str">
        <f>IFERROR(_xlfn.XLOOKUP(B1561,Transporte[DESCRIPCION],Transporte[UND],,0),"")</f>
        <v>Hr</v>
      </c>
      <c r="D1561" s="31">
        <v>1</v>
      </c>
      <c r="E1561" s="32">
        <f>IFERROR(_xlfn.XLOOKUP($B1561,Transporte[DESCRIPCION],Transporte[VALOR],,0),"")</f>
        <v>79109.100000000006</v>
      </c>
      <c r="F1561" s="33">
        <v>-0.8</v>
      </c>
      <c r="G1561" s="34">
        <f>IFERROR(IF(F1561&gt;=0,D1561*E1561*(1+F1561/100),ABS(D1561*E1561/F1561)),"")</f>
        <v>98886.375</v>
      </c>
      <c r="H1561" s="43">
        <f>IFERROR(G1561*E1548,"")</f>
        <v>0</v>
      </c>
    </row>
    <row r="1562" spans="1:11">
      <c r="A1562" s="28"/>
      <c r="B1562" s="29"/>
      <c r="C1562" s="30" t="str">
        <f>IFERROR(_xlfn.XLOOKUP(B1562,Transporte[DESCRIPCION],Transporte[UND],,0),"")</f>
        <v/>
      </c>
      <c r="D1562" s="31"/>
      <c r="E1562" s="32" t="str">
        <f>IFERROR(_xlfn.XLOOKUP($B1562,Transporte[DESCRIPCION],Transporte[VALOR],,0),"")</f>
        <v/>
      </c>
      <c r="F1562" s="33"/>
      <c r="G1562" s="34" t="str">
        <f>IFERROR(IF(F1562&gt;=0,D1562*E1562*(1+F1562/100),ABS(D1562*E1562/F1562)),"")</f>
        <v/>
      </c>
      <c r="H1562" s="43" t="str">
        <f>IFERROR(G1562*E1548,"")</f>
        <v/>
      </c>
    </row>
    <row r="1563" spans="1:11">
      <c r="A1563" s="21"/>
      <c r="B1563" s="22" t="s">
        <v>3732</v>
      </c>
      <c r="C1563" s="23"/>
      <c r="D1563" s="24"/>
      <c r="E1563" s="25"/>
      <c r="F1563" s="26"/>
      <c r="G1563" s="27">
        <f>SUM(G1564:G1566)</f>
        <v>422098.69333125011</v>
      </c>
      <c r="H1563" s="27">
        <f>IFERROR(G1563*E1548,"")</f>
        <v>0</v>
      </c>
    </row>
    <row r="1564" spans="1:11">
      <c r="A1564" s="28"/>
      <c r="B1564" s="29" t="s">
        <v>3715</v>
      </c>
      <c r="C1564" s="30" t="str">
        <f>IFERROR(_xlfn.XLOOKUP(B1564,MObra[DESCRIPCION],MObra[UN],,0),"")</f>
        <v>día</v>
      </c>
      <c r="D1564" s="31">
        <v>1</v>
      </c>
      <c r="E1564" s="32">
        <f>IFERROR(_xlfn.XLOOKUP($B1564,MObra[DESCRIPCION],MObra[VALOR UNIT],,0),"")</f>
        <v>337678.95466500008</v>
      </c>
      <c r="F1564" s="33">
        <v>-0.8</v>
      </c>
      <c r="G1564" s="34">
        <f>IFERROR(IF(F1564&gt;=0,D1564*E1564*(1+F1564/100),ABS(D1564*E1564/F1564)),"")</f>
        <v>422098.69333125011</v>
      </c>
      <c r="H1564" s="43">
        <f>IFERROR(G1564*E1548,"")</f>
        <v>0</v>
      </c>
    </row>
    <row r="1565" spans="1:11">
      <c r="A1565" s="28"/>
      <c r="B1565" s="29"/>
      <c r="C1565" s="30" t="str">
        <f>IFERROR(_xlfn.XLOOKUP(B1565,MObra[DESCRIPCION],MObra[UN],,0),"")</f>
        <v/>
      </c>
      <c r="D1565" s="31"/>
      <c r="E1565" s="32" t="str">
        <f>IFERROR(_xlfn.XLOOKUP($B1565,MObra[DESCRIPCION],MObra[VALOR UNIT],,0),"")</f>
        <v/>
      </c>
      <c r="F1565" s="33"/>
      <c r="G1565" s="34" t="str">
        <f>IFERROR(IF(F1565&gt;=0,D1565*E1565*(1+F1565/100),ABS(D1565*E1565/F1565)),"")</f>
        <v/>
      </c>
      <c r="H1565" s="43" t="str">
        <f>IFERROR(G1565*E1548,"")</f>
        <v/>
      </c>
    </row>
    <row r="1566" spans="1:11">
      <c r="A1566" s="35"/>
      <c r="B1566" s="36"/>
      <c r="C1566" s="37" t="str">
        <f>IFERROR(_xlfn.XLOOKUP(B1566,MObra[DESCRIPCION],MObra[UN],,0),"")</f>
        <v/>
      </c>
      <c r="D1566" s="38"/>
      <c r="E1566" s="39" t="str">
        <f>IFERROR(_xlfn.XLOOKUP($B1566,MObra[DESCRIPCION],MObra[VALOR UNIT],,0),"")</f>
        <v/>
      </c>
      <c r="F1566" s="40"/>
      <c r="G1566" s="41" t="str">
        <f>IFERROR(IF(F1566&gt;=0,D1566*E1566*(1+F1566/100),ABS(D1566*E1566/F1566)),"")</f>
        <v/>
      </c>
      <c r="H1566" s="42" t="str">
        <f>IFERROR(G1566*E1548,"")</f>
        <v/>
      </c>
    </row>
    <row r="1568" spans="1:11">
      <c r="A1568" s="6" t="s">
        <v>2416</v>
      </c>
      <c r="B1568" s="7" t="str">
        <f>VLOOKUP($A1568,Presupuesto!$A:$D,2,FALSE())</f>
        <v>Transformador trifásico en aceite 45 KVA 13,2KV 208/120V Plena</v>
      </c>
      <c r="C1568" s="8" t="str">
        <f>VLOOKUP($A1568,Presupuesto!$A:$D,3,FALSE())</f>
        <v>Un</v>
      </c>
      <c r="D1568" s="9"/>
      <c r="E1568" s="10">
        <f>VLOOKUP($A1568,Presupuesto!$A:$D,4,FALSE())</f>
        <v>0</v>
      </c>
      <c r="F1568" s="11" t="s">
        <v>2589</v>
      </c>
      <c r="G1568" s="12">
        <f>SUM(G1570:G1586)/2</f>
        <v>12384127.372264072</v>
      </c>
      <c r="H1568" s="13">
        <f>ROUND(SUM(H1570:H1586),0)/2</f>
        <v>0</v>
      </c>
      <c r="I1568" s="10">
        <f>VLOOKUP(A1568,Presupuesto!$A:$F,6,0)</f>
        <v>0</v>
      </c>
      <c r="J1568" s="10">
        <f>+H1568-I1568</f>
        <v>0</v>
      </c>
      <c r="K1568" s="46">
        <f>+H1568-G1568*E1568</f>
        <v>0</v>
      </c>
    </row>
    <row r="1569" spans="1:8">
      <c r="A1569" s="14"/>
      <c r="B1569" s="15" t="s">
        <v>2586</v>
      </c>
      <c r="C1569" s="15" t="s">
        <v>5</v>
      </c>
      <c r="D1569" s="16" t="s">
        <v>6</v>
      </c>
      <c r="E1569" s="17" t="s">
        <v>7</v>
      </c>
      <c r="F1569" s="18" t="s">
        <v>3728</v>
      </c>
      <c r="G1569" s="19" t="s">
        <v>3729</v>
      </c>
      <c r="H1569" s="20" t="s">
        <v>3797</v>
      </c>
    </row>
    <row r="1570" spans="1:8">
      <c r="A1570" s="21"/>
      <c r="B1570" s="22" t="s">
        <v>3730</v>
      </c>
      <c r="C1570" s="23"/>
      <c r="D1570" s="24"/>
      <c r="E1570" s="25"/>
      <c r="F1570" s="26"/>
      <c r="G1570" s="27">
        <f>SUM(G1571:G1575)</f>
        <v>11745300</v>
      </c>
      <c r="H1570" s="27">
        <f>IFERROR(G1570*E1568,"")</f>
        <v>0</v>
      </c>
    </row>
    <row r="1571" spans="1:8">
      <c r="A1571" s="28"/>
      <c r="B1571" s="29" t="s">
        <v>3416</v>
      </c>
      <c r="C1571" s="30" t="str">
        <f>IFERROR(_xlfn.XLOOKUP(B1571,Insumo[DESCRIPCION],Insumo[UND],,0),"")</f>
        <v>Un</v>
      </c>
      <c r="D1571" s="31">
        <v>1</v>
      </c>
      <c r="E1571" s="32">
        <f>IFERROR(_xlfn.XLOOKUP($B1571,Insumo[DESCRIPCION],Insumo[VALOR],,0),"")</f>
        <v>11745300</v>
      </c>
      <c r="F1571" s="33"/>
      <c r="G1571" s="34">
        <f>IFERROR(IF(F1571&gt;=0,D1571*E1571*(1+F1571/100),ABS(D1571*E1571/F1571)),"")</f>
        <v>11745300</v>
      </c>
      <c r="H1571" s="43">
        <f>IFERROR(G1571*E1568,"")</f>
        <v>0</v>
      </c>
    </row>
    <row r="1572" spans="1:8">
      <c r="A1572" s="28"/>
      <c r="B1572" s="29"/>
      <c r="C1572" s="30" t="str">
        <f>IFERROR(_xlfn.XLOOKUP(B1572,Insumo[DESCRIPCION],Insumo[UND],,0),"")</f>
        <v/>
      </c>
      <c r="D1572" s="31"/>
      <c r="E1572" s="32" t="str">
        <f>IFERROR(_xlfn.XLOOKUP($B1572,Insumo[DESCRIPCION],Insumo[VALOR],,0),"")</f>
        <v/>
      </c>
      <c r="F1572" s="33"/>
      <c r="G1572" s="34" t="str">
        <f>IFERROR(IF(F1572&gt;=0,D1572*E1572*(1+F1572/100),ABS(D1572*E1572/F1572)),"")</f>
        <v/>
      </c>
      <c r="H1572" s="43" t="str">
        <f>IFERROR(G1572*E1568,"")</f>
        <v/>
      </c>
    </row>
    <row r="1573" spans="1:8">
      <c r="A1573" s="28"/>
      <c r="B1573" s="29"/>
      <c r="C1573" s="30" t="str">
        <f>IFERROR(_xlfn.XLOOKUP(B1573,Insumo[DESCRIPCION],Insumo[UND],,0),"")</f>
        <v/>
      </c>
      <c r="D1573" s="31"/>
      <c r="E1573" s="32" t="str">
        <f>IFERROR(_xlfn.XLOOKUP($B1573,Insumo[DESCRIPCION],Insumo[VALOR],,0),"")</f>
        <v/>
      </c>
      <c r="F1573" s="33"/>
      <c r="G1573" s="34" t="str">
        <f>IFERROR(IF(F1573&gt;=0,D1573*E1573*(1+F1573/100),ABS(D1573*E1573/F1573)),"")</f>
        <v/>
      </c>
      <c r="H1573" s="43" t="str">
        <f>IFERROR(G1573*E1568,"")</f>
        <v/>
      </c>
    </row>
    <row r="1574" spans="1:8">
      <c r="A1574" s="28"/>
      <c r="B1574" s="29"/>
      <c r="C1574" s="30" t="str">
        <f>IFERROR(_xlfn.XLOOKUP(B1574,Insumo[DESCRIPCION],Insumo[UND],,0),"")</f>
        <v/>
      </c>
      <c r="D1574" s="31"/>
      <c r="E1574" s="32" t="str">
        <f>IFERROR(_xlfn.XLOOKUP($B1574,Insumo[DESCRIPCION],Insumo[VALOR],,0),"")</f>
        <v/>
      </c>
      <c r="F1574" s="33"/>
      <c r="G1574" s="34" t="str">
        <f>IFERROR(IF(F1574&gt;=0,D1574*E1574*(1+F1574/100),ABS(D1574*E1574/F1574)),"")</f>
        <v/>
      </c>
      <c r="H1574" s="43" t="str">
        <f>IFERROR(G1574*E1568,"")</f>
        <v/>
      </c>
    </row>
    <row r="1575" spans="1:8">
      <c r="A1575" s="28"/>
      <c r="B1575" s="29"/>
      <c r="C1575" s="30" t="str">
        <f>IFERROR(_xlfn.XLOOKUP(B1575,Insumo[DESCRIPCION],Insumo[UND],,0),"")</f>
        <v/>
      </c>
      <c r="D1575" s="31"/>
      <c r="E1575" s="32" t="str">
        <f>IFERROR(_xlfn.XLOOKUP($B1575,Insumo[DESCRIPCION],Insumo[VALOR],,0),"")</f>
        <v/>
      </c>
      <c r="F1575" s="33"/>
      <c r="G1575" s="34" t="str">
        <f>IFERROR(IF(F1575&gt;=0,D1575*E1575*(1+F1575/100),ABS(D1575*E1575/F1575)),"")</f>
        <v/>
      </c>
      <c r="H1575" s="43" t="str">
        <f>IFERROR(G1575*E1568,"")</f>
        <v/>
      </c>
    </row>
    <row r="1576" spans="1:8">
      <c r="A1576" s="21"/>
      <c r="B1576" s="22" t="s">
        <v>3731</v>
      </c>
      <c r="C1576" s="23"/>
      <c r="D1576" s="24"/>
      <c r="E1576" s="25"/>
      <c r="F1576" s="26"/>
      <c r="G1576" s="27">
        <f>SUM(G1577:G1579)</f>
        <v>43415.865599785728</v>
      </c>
      <c r="H1576" s="27">
        <f>IFERROR(G1576*E1568,"")</f>
        <v>0</v>
      </c>
    </row>
    <row r="1577" spans="1:8">
      <c r="A1577" s="28"/>
      <c r="B1577" s="29" t="s">
        <v>3570</v>
      </c>
      <c r="C1577" s="30" t="str">
        <f>IFERROR(_xlfn.XLOOKUP(B1577,Equipo[DESCRIPCION],Equipo[UND],,0),"")</f>
        <v>%MO</v>
      </c>
      <c r="D1577" s="31">
        <v>0.04</v>
      </c>
      <c r="E1577" s="32">
        <f>IF(C1577="%MO",G1583,IFERROR(_xlfn.XLOOKUP($B1577,Equipo[DESCRIPCION],Equipo[VALOR],,0),""))</f>
        <v>482398.50666428584</v>
      </c>
      <c r="F1577" s="33"/>
      <c r="G1577" s="34">
        <f>IFERROR(IF(F1577&gt;=0,D1577*E1577*(1+F1577/100),ABS(D1577*E1577/F1577)),"")</f>
        <v>19295.940266571433</v>
      </c>
      <c r="H1577" s="43">
        <f>IFERROR(G1577*E1568,"")</f>
        <v>0</v>
      </c>
    </row>
    <row r="1578" spans="1:8">
      <c r="A1578" s="28"/>
      <c r="B1578" s="29" t="s">
        <v>3626</v>
      </c>
      <c r="C1578" s="30" t="str">
        <f>IFERROR(_xlfn.XLOOKUP(B1578,Equipo[DESCRIPCION],Equipo[UND],,0),"")</f>
        <v>%MO</v>
      </c>
      <c r="D1578" s="31">
        <v>0.05</v>
      </c>
      <c r="E1578" s="32">
        <f>IF(C1578="%MO",G1583,IFERROR(_xlfn.XLOOKUP($B1578,Equipo[DESCRIPCION],Equipo[VALOR],,0),""))</f>
        <v>482398.50666428584</v>
      </c>
      <c r="F1578" s="33"/>
      <c r="G1578" s="34">
        <f>IFERROR(IF(F1578&gt;=0,D1578*E1578*(1+F1578/100),ABS(D1578*E1578/F1578)),"")</f>
        <v>24119.925333214294</v>
      </c>
      <c r="H1578" s="43">
        <f>IFERROR(G1578*E1568,"")</f>
        <v>0</v>
      </c>
    </row>
    <row r="1579" spans="1:8">
      <c r="A1579" s="28"/>
      <c r="B1579" s="29"/>
      <c r="C1579" s="30" t="str">
        <f>IFERROR(_xlfn.XLOOKUP(B1579,Equipo[DESCRIPCION],Equipo[UND],,0),"")</f>
        <v/>
      </c>
      <c r="D1579" s="31"/>
      <c r="E1579" s="32" t="str">
        <f>IF(C1579="%MO",G1583,IFERROR(_xlfn.XLOOKUP($B1579,Equipo[DESCRIPCION],Equipo[VALOR],,0),""))</f>
        <v/>
      </c>
      <c r="F1579" s="33"/>
      <c r="G1579" s="34" t="str">
        <f>IFERROR(IF(F1579&gt;=0,D1579*E1579*(1+F1579/100),ABS(D1579*E1579/F1579)),"")</f>
        <v/>
      </c>
      <c r="H1579" s="43" t="str">
        <f>IFERROR(G1579*E1568,"")</f>
        <v/>
      </c>
    </row>
    <row r="1580" spans="1:8">
      <c r="A1580" s="21"/>
      <c r="B1580" s="22" t="s">
        <v>2533</v>
      </c>
      <c r="C1580" s="23"/>
      <c r="D1580" s="24"/>
      <c r="E1580" s="25"/>
      <c r="F1580" s="26"/>
      <c r="G1580" s="27">
        <f>SUM(G1581:G1582)</f>
        <v>113013.00000000001</v>
      </c>
      <c r="H1580" s="27">
        <f>IFERROR(G1580*E1568,"")</f>
        <v>0</v>
      </c>
    </row>
    <row r="1581" spans="1:8">
      <c r="A1581" s="28"/>
      <c r="B1581" s="29" t="s">
        <v>3662</v>
      </c>
      <c r="C1581" s="30" t="str">
        <f>IFERROR(_xlfn.XLOOKUP(B1581,Transporte[DESCRIPCION],Transporte[UND],,0),"")</f>
        <v>Hr</v>
      </c>
      <c r="D1581" s="31">
        <v>1</v>
      </c>
      <c r="E1581" s="32">
        <f>IFERROR(_xlfn.XLOOKUP($B1581,Transporte[DESCRIPCION],Transporte[VALOR],,0),"")</f>
        <v>79109.100000000006</v>
      </c>
      <c r="F1581" s="33">
        <v>-0.7</v>
      </c>
      <c r="G1581" s="34">
        <f>IFERROR(IF(F1581&gt;=0,D1581*E1581*(1+F1581/100),ABS(D1581*E1581/F1581)),"")</f>
        <v>113013.00000000001</v>
      </c>
      <c r="H1581" s="43">
        <f>IFERROR(G1581*E1568,"")</f>
        <v>0</v>
      </c>
    </row>
    <row r="1582" spans="1:8">
      <c r="A1582" s="28"/>
      <c r="B1582" s="29"/>
      <c r="C1582" s="30" t="str">
        <f>IFERROR(_xlfn.XLOOKUP(B1582,Transporte[DESCRIPCION],Transporte[UND],,0),"")</f>
        <v/>
      </c>
      <c r="D1582" s="31"/>
      <c r="E1582" s="32" t="str">
        <f>IFERROR(_xlfn.XLOOKUP($B1582,Transporte[DESCRIPCION],Transporte[VALOR],,0),"")</f>
        <v/>
      </c>
      <c r="F1582" s="33"/>
      <c r="G1582" s="34" t="str">
        <f>IFERROR(IF(F1582&gt;=0,D1582*E1582*(1+F1582/100),ABS(D1582*E1582/F1582)),"")</f>
        <v/>
      </c>
      <c r="H1582" s="43" t="str">
        <f>IFERROR(G1582*E1568,"")</f>
        <v/>
      </c>
    </row>
    <row r="1583" spans="1:8">
      <c r="A1583" s="21"/>
      <c r="B1583" s="22" t="s">
        <v>3732</v>
      </c>
      <c r="C1583" s="23"/>
      <c r="D1583" s="24"/>
      <c r="E1583" s="25"/>
      <c r="F1583" s="26"/>
      <c r="G1583" s="27">
        <f>SUM(G1584:G1586)</f>
        <v>482398.50666428584</v>
      </c>
      <c r="H1583" s="27">
        <f>IFERROR(G1583*E1568,"")</f>
        <v>0</v>
      </c>
    </row>
    <row r="1584" spans="1:8">
      <c r="A1584" s="28"/>
      <c r="B1584" s="29" t="s">
        <v>3715</v>
      </c>
      <c r="C1584" s="30" t="str">
        <f>IFERROR(_xlfn.XLOOKUP(B1584,MObra[DESCRIPCION],MObra[UN],,0),"")</f>
        <v>día</v>
      </c>
      <c r="D1584" s="31">
        <v>1</v>
      </c>
      <c r="E1584" s="32">
        <f>IFERROR(_xlfn.XLOOKUP($B1584,MObra[DESCRIPCION],MObra[VALOR UNIT],,0),"")</f>
        <v>337678.95466500008</v>
      </c>
      <c r="F1584" s="33">
        <v>-0.7</v>
      </c>
      <c r="G1584" s="34">
        <f>IFERROR(IF(F1584&gt;=0,D1584*E1584*(1+F1584/100),ABS(D1584*E1584/F1584)),"")</f>
        <v>482398.50666428584</v>
      </c>
      <c r="H1584" s="43">
        <f>IFERROR(G1584*E1568,"")</f>
        <v>0</v>
      </c>
    </row>
    <row r="1585" spans="1:11">
      <c r="A1585" s="28"/>
      <c r="B1585" s="29"/>
      <c r="C1585" s="30" t="str">
        <f>IFERROR(_xlfn.XLOOKUP(B1585,MObra[DESCRIPCION],MObra[UN],,0),"")</f>
        <v/>
      </c>
      <c r="D1585" s="31"/>
      <c r="E1585" s="32" t="str">
        <f>IFERROR(_xlfn.XLOOKUP($B1585,MObra[DESCRIPCION],MObra[VALOR UNIT],,0),"")</f>
        <v/>
      </c>
      <c r="F1585" s="33"/>
      <c r="G1585" s="34" t="str">
        <f>IFERROR(IF(F1585&gt;=0,D1585*E1585*(1+F1585/100),ABS(D1585*E1585/F1585)),"")</f>
        <v/>
      </c>
      <c r="H1585" s="43" t="str">
        <f>IFERROR(G1585*E1568,"")</f>
        <v/>
      </c>
    </row>
    <row r="1586" spans="1:11">
      <c r="A1586" s="35"/>
      <c r="B1586" s="36"/>
      <c r="C1586" s="37" t="str">
        <f>IFERROR(_xlfn.XLOOKUP(B1586,MObra[DESCRIPCION],MObra[UN],,0),"")</f>
        <v/>
      </c>
      <c r="D1586" s="38"/>
      <c r="E1586" s="39" t="str">
        <f>IFERROR(_xlfn.XLOOKUP($B1586,MObra[DESCRIPCION],MObra[VALOR UNIT],,0),"")</f>
        <v/>
      </c>
      <c r="F1586" s="40"/>
      <c r="G1586" s="41" t="str">
        <f>IFERROR(IF(F1586&gt;=0,D1586*E1586*(1+F1586/100),ABS(D1586*E1586/F1586)),"")</f>
        <v/>
      </c>
      <c r="H1586" s="42" t="str">
        <f>IFERROR(G1586*E1568,"")</f>
        <v/>
      </c>
    </row>
    <row r="1587" spans="1:11" ht="12.75" customHeight="1" thickTop="1" thickBot="1"/>
    <row r="1588" spans="1:11" ht="13.5" thickTop="1" thickBot="1">
      <c r="A1588" s="6" t="s">
        <v>2418</v>
      </c>
      <c r="B1588" s="7" t="str">
        <f>VLOOKUP($A1588,Presupuesto!$A:$D,2,FALSE())</f>
        <v>Transformador trifásico en aceite 45 KVA 13,2KV 220/127V</v>
      </c>
      <c r="C1588" s="8" t="str">
        <f>VLOOKUP($A1588,Presupuesto!$A:$D,3,FALSE())</f>
        <v>Un</v>
      </c>
      <c r="D1588" s="9"/>
      <c r="E1588" s="10">
        <f>VLOOKUP($A1588,Presupuesto!$A:$D,4,FALSE())</f>
        <v>0</v>
      </c>
      <c r="F1588" s="11" t="s">
        <v>2589</v>
      </c>
      <c r="G1588" s="12">
        <f>SUM(G1590:G1606)/2</f>
        <v>12173077.372264072</v>
      </c>
      <c r="H1588" s="13">
        <f>ROUND(SUM(H1590:H1606),0)/2</f>
        <v>0</v>
      </c>
      <c r="I1588" s="10">
        <f>VLOOKUP(A1588,Presupuesto!$A:$F,6,0)</f>
        <v>0</v>
      </c>
      <c r="J1588" s="10">
        <f>+H1588-I1588</f>
        <v>0</v>
      </c>
      <c r="K1588" s="46">
        <f>+H1588-G1588*E1588</f>
        <v>0</v>
      </c>
    </row>
    <row r="1589" spans="1:11" ht="13.15" thickTop="1">
      <c r="A1589" s="14"/>
      <c r="B1589" s="15" t="s">
        <v>2586</v>
      </c>
      <c r="C1589" s="15" t="s">
        <v>5</v>
      </c>
      <c r="D1589" s="16" t="s">
        <v>6</v>
      </c>
      <c r="E1589" s="17" t="s">
        <v>7</v>
      </c>
      <c r="F1589" s="18" t="s">
        <v>3728</v>
      </c>
      <c r="G1589" s="19" t="s">
        <v>3729</v>
      </c>
      <c r="H1589" s="20" t="s">
        <v>3797</v>
      </c>
    </row>
    <row r="1590" spans="1:11">
      <c r="A1590" s="21"/>
      <c r="B1590" s="22" t="s">
        <v>3730</v>
      </c>
      <c r="C1590" s="23"/>
      <c r="D1590" s="24"/>
      <c r="E1590" s="25"/>
      <c r="F1590" s="26"/>
      <c r="G1590" s="27">
        <f>SUM(G1591:G1595)</f>
        <v>11534250</v>
      </c>
      <c r="H1590" s="27">
        <f>IFERROR(G1590*E1588,"")</f>
        <v>0</v>
      </c>
    </row>
    <row r="1591" spans="1:11">
      <c r="A1591" s="28"/>
      <c r="B1591" s="29" t="s">
        <v>3417</v>
      </c>
      <c r="C1591" s="30" t="str">
        <f>IFERROR(_xlfn.XLOOKUP(B1591,Insumo[DESCRIPCION],Insumo[UND],,0),"")</f>
        <v>Un</v>
      </c>
      <c r="D1591" s="31">
        <v>1</v>
      </c>
      <c r="E1591" s="32">
        <f>IFERROR(_xlfn.XLOOKUP($B1591,Insumo[DESCRIPCION],Insumo[VALOR],,0),"")</f>
        <v>11534250</v>
      </c>
      <c r="F1591" s="33"/>
      <c r="G1591" s="34">
        <f>IFERROR(IF(F1591&gt;=0,D1591*E1591*(1+F1591/100),ABS(D1591*E1591/F1591)),"")</f>
        <v>11534250</v>
      </c>
      <c r="H1591" s="43">
        <f>IFERROR(G1591*E1588,"")</f>
        <v>0</v>
      </c>
    </row>
    <row r="1592" spans="1:11">
      <c r="A1592" s="28"/>
      <c r="B1592" s="29"/>
      <c r="C1592" s="30" t="str">
        <f>IFERROR(_xlfn.XLOOKUP(B1592,Insumo[DESCRIPCION],Insumo[UND],,0),"")</f>
        <v/>
      </c>
      <c r="D1592" s="31"/>
      <c r="E1592" s="32" t="str">
        <f>IFERROR(_xlfn.XLOOKUP($B1592,Insumo[DESCRIPCION],Insumo[VALOR],,0),"")</f>
        <v/>
      </c>
      <c r="F1592" s="33"/>
      <c r="G1592" s="34" t="str">
        <f>IFERROR(IF(F1592&gt;=0,D1592*E1592*(1+F1592/100),ABS(D1592*E1592/F1592)),"")</f>
        <v/>
      </c>
      <c r="H1592" s="43" t="str">
        <f>IFERROR(G1592*E1588,"")</f>
        <v/>
      </c>
    </row>
    <row r="1593" spans="1:11">
      <c r="A1593" s="28"/>
      <c r="B1593" s="29"/>
      <c r="C1593" s="30" t="str">
        <f>IFERROR(_xlfn.XLOOKUP(B1593,Insumo[DESCRIPCION],Insumo[UND],,0),"")</f>
        <v/>
      </c>
      <c r="D1593" s="31"/>
      <c r="E1593" s="32" t="str">
        <f>IFERROR(_xlfn.XLOOKUP($B1593,Insumo[DESCRIPCION],Insumo[VALOR],,0),"")</f>
        <v/>
      </c>
      <c r="F1593" s="33"/>
      <c r="G1593" s="34" t="str">
        <f>IFERROR(IF(F1593&gt;=0,D1593*E1593*(1+F1593/100),ABS(D1593*E1593/F1593)),"")</f>
        <v/>
      </c>
      <c r="H1593" s="43" t="str">
        <f>IFERROR(G1593*E1588,"")</f>
        <v/>
      </c>
    </row>
    <row r="1594" spans="1:11">
      <c r="A1594" s="28"/>
      <c r="B1594" s="29"/>
      <c r="C1594" s="30" t="str">
        <f>IFERROR(_xlfn.XLOOKUP(B1594,Insumo[DESCRIPCION],Insumo[UND],,0),"")</f>
        <v/>
      </c>
      <c r="D1594" s="31"/>
      <c r="E1594" s="32" t="str">
        <f>IFERROR(_xlfn.XLOOKUP($B1594,Insumo[DESCRIPCION],Insumo[VALOR],,0),"")</f>
        <v/>
      </c>
      <c r="F1594" s="33"/>
      <c r="G1594" s="34" t="str">
        <f>IFERROR(IF(F1594&gt;=0,D1594*E1594*(1+F1594/100),ABS(D1594*E1594/F1594)),"")</f>
        <v/>
      </c>
      <c r="H1594" s="43" t="str">
        <f>IFERROR(G1594*E1588,"")</f>
        <v/>
      </c>
    </row>
    <row r="1595" spans="1:11">
      <c r="A1595" s="28"/>
      <c r="B1595" s="29"/>
      <c r="C1595" s="30" t="str">
        <f>IFERROR(_xlfn.XLOOKUP(B1595,Insumo[DESCRIPCION],Insumo[UND],,0),"")</f>
        <v/>
      </c>
      <c r="D1595" s="31"/>
      <c r="E1595" s="32" t="str">
        <f>IFERROR(_xlfn.XLOOKUP($B1595,Insumo[DESCRIPCION],Insumo[VALOR],,0),"")</f>
        <v/>
      </c>
      <c r="F1595" s="33"/>
      <c r="G1595" s="34" t="str">
        <f>IFERROR(IF(F1595&gt;=0,D1595*E1595*(1+F1595/100),ABS(D1595*E1595/F1595)),"")</f>
        <v/>
      </c>
      <c r="H1595" s="43" t="str">
        <f>IFERROR(G1595*E1588,"")</f>
        <v/>
      </c>
    </row>
    <row r="1596" spans="1:11">
      <c r="A1596" s="21"/>
      <c r="B1596" s="22" t="s">
        <v>3731</v>
      </c>
      <c r="C1596" s="23"/>
      <c r="D1596" s="24"/>
      <c r="E1596" s="25"/>
      <c r="F1596" s="26"/>
      <c r="G1596" s="27">
        <f>SUM(G1597:G1599)</f>
        <v>43415.865599785728</v>
      </c>
      <c r="H1596" s="27">
        <f>IFERROR(G1596*E1588,"")</f>
        <v>0</v>
      </c>
    </row>
    <row r="1597" spans="1:11">
      <c r="A1597" s="28"/>
      <c r="B1597" s="29" t="s">
        <v>3570</v>
      </c>
      <c r="C1597" s="30" t="str">
        <f>IFERROR(_xlfn.XLOOKUP(B1597,Equipo[DESCRIPCION],Equipo[UND],,0),"")</f>
        <v>%MO</v>
      </c>
      <c r="D1597" s="31">
        <v>0.04</v>
      </c>
      <c r="E1597" s="32">
        <f>IF(C1597="%MO",G1603,IFERROR(_xlfn.XLOOKUP($B1597,Equipo[DESCRIPCION],Equipo[VALOR],,0),""))</f>
        <v>482398.50666428584</v>
      </c>
      <c r="F1597" s="33"/>
      <c r="G1597" s="34">
        <f>IFERROR(IF(F1597&gt;=0,D1597*E1597*(1+F1597/100),ABS(D1597*E1597/F1597)),"")</f>
        <v>19295.940266571433</v>
      </c>
      <c r="H1597" s="43">
        <f>IFERROR(G1597*E1588,"")</f>
        <v>0</v>
      </c>
    </row>
    <row r="1598" spans="1:11">
      <c r="A1598" s="28"/>
      <c r="B1598" s="29" t="s">
        <v>3626</v>
      </c>
      <c r="C1598" s="30" t="str">
        <f>IFERROR(_xlfn.XLOOKUP(B1598,Equipo[DESCRIPCION],Equipo[UND],,0),"")</f>
        <v>%MO</v>
      </c>
      <c r="D1598" s="31">
        <v>0.05</v>
      </c>
      <c r="E1598" s="32">
        <f>IF(C1598="%MO",G1603,IFERROR(_xlfn.XLOOKUP($B1598,Equipo[DESCRIPCION],Equipo[VALOR],,0),""))</f>
        <v>482398.50666428584</v>
      </c>
      <c r="F1598" s="33"/>
      <c r="G1598" s="34">
        <f>IFERROR(IF(F1598&gt;=0,D1598*E1598*(1+F1598/100),ABS(D1598*E1598/F1598)),"")</f>
        <v>24119.925333214294</v>
      </c>
      <c r="H1598" s="43">
        <f>IFERROR(G1598*E1588,"")</f>
        <v>0</v>
      </c>
    </row>
    <row r="1599" spans="1:11">
      <c r="A1599" s="28"/>
      <c r="B1599" s="29"/>
      <c r="C1599" s="30" t="str">
        <f>IFERROR(_xlfn.XLOOKUP(B1599,Equipo[DESCRIPCION],Equipo[UND],,0),"")</f>
        <v/>
      </c>
      <c r="D1599" s="31"/>
      <c r="E1599" s="32" t="str">
        <f>IF(C1599="%MO",G1603,IFERROR(_xlfn.XLOOKUP($B1599,Equipo[DESCRIPCION],Equipo[VALOR],,0),""))</f>
        <v/>
      </c>
      <c r="F1599" s="33"/>
      <c r="G1599" s="34" t="str">
        <f>IFERROR(IF(F1599&gt;=0,D1599*E1599*(1+F1599/100),ABS(D1599*E1599/F1599)),"")</f>
        <v/>
      </c>
      <c r="H1599" s="43" t="str">
        <f>IFERROR(G1599*E1588,"")</f>
        <v/>
      </c>
    </row>
    <row r="1600" spans="1:11">
      <c r="A1600" s="21"/>
      <c r="B1600" s="22" t="s">
        <v>2533</v>
      </c>
      <c r="C1600" s="23"/>
      <c r="D1600" s="24"/>
      <c r="E1600" s="25"/>
      <c r="F1600" s="26"/>
      <c r="G1600" s="27">
        <f>SUM(G1601:G1602)</f>
        <v>113013.00000000001</v>
      </c>
      <c r="H1600" s="27">
        <f>IFERROR(G1600*E1588,"")</f>
        <v>0</v>
      </c>
    </row>
    <row r="1601" spans="1:11">
      <c r="A1601" s="28"/>
      <c r="B1601" s="29" t="s">
        <v>3662</v>
      </c>
      <c r="C1601" s="30" t="str">
        <f>IFERROR(_xlfn.XLOOKUP(B1601,Transporte[DESCRIPCION],Transporte[UND],,0),"")</f>
        <v>Hr</v>
      </c>
      <c r="D1601" s="31">
        <v>1</v>
      </c>
      <c r="E1601" s="32">
        <f>IFERROR(_xlfn.XLOOKUP($B1601,Transporte[DESCRIPCION],Transporte[VALOR],,0),"")</f>
        <v>79109.100000000006</v>
      </c>
      <c r="F1601" s="33">
        <v>-0.7</v>
      </c>
      <c r="G1601" s="34">
        <f>IFERROR(IF(F1601&gt;=0,D1601*E1601*(1+F1601/100),ABS(D1601*E1601/F1601)),"")</f>
        <v>113013.00000000001</v>
      </c>
      <c r="H1601" s="43">
        <f>IFERROR(G1601*E1588,"")</f>
        <v>0</v>
      </c>
    </row>
    <row r="1602" spans="1:11">
      <c r="A1602" s="28"/>
      <c r="B1602" s="29"/>
      <c r="C1602" s="30" t="str">
        <f>IFERROR(_xlfn.XLOOKUP(B1602,Transporte[DESCRIPCION],Transporte[UND],,0),"")</f>
        <v/>
      </c>
      <c r="D1602" s="31"/>
      <c r="E1602" s="32" t="str">
        <f>IFERROR(_xlfn.XLOOKUP($B1602,Transporte[DESCRIPCION],Transporte[VALOR],,0),"")</f>
        <v/>
      </c>
      <c r="F1602" s="33"/>
      <c r="G1602" s="34" t="str">
        <f>IFERROR(IF(F1602&gt;=0,D1602*E1602*(1+F1602/100),ABS(D1602*E1602/F1602)),"")</f>
        <v/>
      </c>
      <c r="H1602" s="43" t="str">
        <f>IFERROR(G1602*E1588,"")</f>
        <v/>
      </c>
    </row>
    <row r="1603" spans="1:11">
      <c r="A1603" s="21"/>
      <c r="B1603" s="22" t="s">
        <v>3732</v>
      </c>
      <c r="C1603" s="23"/>
      <c r="D1603" s="24"/>
      <c r="E1603" s="25"/>
      <c r="F1603" s="26"/>
      <c r="G1603" s="27">
        <f>SUM(G1604:G1606)</f>
        <v>482398.50666428584</v>
      </c>
      <c r="H1603" s="27">
        <f>IFERROR(G1603*E1588,"")</f>
        <v>0</v>
      </c>
    </row>
    <row r="1604" spans="1:11">
      <c r="A1604" s="28"/>
      <c r="B1604" s="29" t="s">
        <v>3715</v>
      </c>
      <c r="C1604" s="30" t="str">
        <f>IFERROR(_xlfn.XLOOKUP(B1604,MObra[DESCRIPCION],MObra[UN],,0),"")</f>
        <v>día</v>
      </c>
      <c r="D1604" s="31">
        <v>1</v>
      </c>
      <c r="E1604" s="32">
        <f>IFERROR(_xlfn.XLOOKUP($B1604,MObra[DESCRIPCION],MObra[VALOR UNIT],,0),"")</f>
        <v>337678.95466500008</v>
      </c>
      <c r="F1604" s="33">
        <v>-0.7</v>
      </c>
      <c r="G1604" s="34">
        <f>IFERROR(IF(F1604&gt;=0,D1604*E1604*(1+F1604/100),ABS(D1604*E1604/F1604)),"")</f>
        <v>482398.50666428584</v>
      </c>
      <c r="H1604" s="43">
        <f>IFERROR(G1604*E1588,"")</f>
        <v>0</v>
      </c>
    </row>
    <row r="1605" spans="1:11">
      <c r="A1605" s="28"/>
      <c r="B1605" s="29"/>
      <c r="C1605" s="30" t="str">
        <f>IFERROR(_xlfn.XLOOKUP(B1605,MObra[DESCRIPCION],MObra[UN],,0),"")</f>
        <v/>
      </c>
      <c r="D1605" s="31"/>
      <c r="E1605" s="32" t="str">
        <f>IFERROR(_xlfn.XLOOKUP($B1605,MObra[DESCRIPCION],MObra[VALOR UNIT],,0),"")</f>
        <v/>
      </c>
      <c r="F1605" s="33"/>
      <c r="G1605" s="34" t="str">
        <f>IFERROR(IF(F1605&gt;=0,D1605*E1605*(1+F1605/100),ABS(D1605*E1605/F1605)),"")</f>
        <v/>
      </c>
      <c r="H1605" s="43" t="str">
        <f>IFERROR(G1605*E1588,"")</f>
        <v/>
      </c>
    </row>
    <row r="1606" spans="1:11" ht="13.15" thickBot="1">
      <c r="A1606" s="35"/>
      <c r="B1606" s="36"/>
      <c r="C1606" s="37" t="str">
        <f>IFERROR(_xlfn.XLOOKUP(B1606,MObra[DESCRIPCION],MObra[UN],,0),"")</f>
        <v/>
      </c>
      <c r="D1606" s="38"/>
      <c r="E1606" s="39" t="str">
        <f>IFERROR(_xlfn.XLOOKUP($B1606,MObra[DESCRIPCION],MObra[VALOR UNIT],,0),"")</f>
        <v/>
      </c>
      <c r="F1606" s="40"/>
      <c r="G1606" s="41" t="str">
        <f>IFERROR(IF(F1606&gt;=0,D1606*E1606*(1+F1606/100),ABS(D1606*E1606/F1606)),"")</f>
        <v/>
      </c>
      <c r="H1606" s="42" t="str">
        <f>IFERROR(G1606*E1588,"")</f>
        <v/>
      </c>
    </row>
    <row r="1607" spans="1:11" ht="12.75" customHeight="1" thickTop="1" thickBot="1"/>
    <row r="1608" spans="1:11" ht="13.5" thickTop="1" thickBot="1">
      <c r="A1608" s="6" t="s">
        <v>2420</v>
      </c>
      <c r="B1608" s="7" t="str">
        <f>VLOOKUP($A1608,Presupuesto!$A:$D,2,FALSE())</f>
        <v>Transformador trifásico en aceite 75 KVA 13,2KV 208/120V plena</v>
      </c>
      <c r="C1608" s="8" t="str">
        <f>VLOOKUP($A1608,Presupuesto!$A:$D,3,FALSE())</f>
        <v>Un</v>
      </c>
      <c r="D1608" s="9"/>
      <c r="E1608" s="10">
        <f>VLOOKUP($A1608,Presupuesto!$A:$D,4,FALSE())</f>
        <v>0</v>
      </c>
      <c r="F1608" s="11" t="s">
        <v>2589</v>
      </c>
      <c r="G1608" s="12">
        <f>SUM(G1610:G1626)/2</f>
        <v>16476358.321169697</v>
      </c>
      <c r="H1608" s="13">
        <f>ROUND(SUM(H1610:H1626),0)/2</f>
        <v>0</v>
      </c>
      <c r="I1608" s="10">
        <f>VLOOKUP(A1608,Presupuesto!$A:$F,6,0)</f>
        <v>0</v>
      </c>
      <c r="J1608" s="10">
        <f>+H1608-I1608</f>
        <v>0</v>
      </c>
      <c r="K1608" s="46">
        <f>+H1608-G1608*E1608</f>
        <v>0</v>
      </c>
    </row>
    <row r="1609" spans="1:11" ht="13.15" thickTop="1">
      <c r="A1609" s="14"/>
      <c r="B1609" s="15" t="s">
        <v>2586</v>
      </c>
      <c r="C1609" s="15" t="s">
        <v>5</v>
      </c>
      <c r="D1609" s="16" t="s">
        <v>6</v>
      </c>
      <c r="E1609" s="17" t="s">
        <v>7</v>
      </c>
      <c r="F1609" s="18" t="s">
        <v>3728</v>
      </c>
      <c r="G1609" s="19" t="s">
        <v>3729</v>
      </c>
      <c r="H1609" s="20" t="s">
        <v>3797</v>
      </c>
    </row>
    <row r="1610" spans="1:11">
      <c r="A1610" s="21"/>
      <c r="B1610" s="22" t="s">
        <v>3730</v>
      </c>
      <c r="C1610" s="23"/>
      <c r="D1610" s="24"/>
      <c r="E1610" s="25"/>
      <c r="F1610" s="26"/>
      <c r="G1610" s="27">
        <f>SUM(G1611:G1615)</f>
        <v>15582000</v>
      </c>
      <c r="H1610" s="27">
        <f>IFERROR(G1610*E1608,"")</f>
        <v>0</v>
      </c>
    </row>
    <row r="1611" spans="1:11">
      <c r="A1611" s="28"/>
      <c r="B1611" s="29" t="s">
        <v>3418</v>
      </c>
      <c r="C1611" s="30" t="str">
        <f>IFERROR(_xlfn.XLOOKUP(B1611,Insumo[DESCRIPCION],Insumo[UND],,0),"")</f>
        <v>Un</v>
      </c>
      <c r="D1611" s="31">
        <v>1</v>
      </c>
      <c r="E1611" s="32">
        <f>IFERROR(_xlfn.XLOOKUP($B1611,Insumo[DESCRIPCION],Insumo[VALOR],,0),"")</f>
        <v>15582000</v>
      </c>
      <c r="F1611" s="33"/>
      <c r="G1611" s="34">
        <f>IFERROR(IF(F1611&gt;=0,D1611*E1611*(1+F1611/100),ABS(D1611*E1611/F1611)),"")</f>
        <v>15582000</v>
      </c>
      <c r="H1611" s="43">
        <f>IFERROR(G1611*E1608,"")</f>
        <v>0</v>
      </c>
    </row>
    <row r="1612" spans="1:11">
      <c r="A1612" s="28"/>
      <c r="B1612" s="29"/>
      <c r="C1612" s="30" t="str">
        <f>IFERROR(_xlfn.XLOOKUP(B1612,Insumo[DESCRIPCION],Insumo[UND],,0),"")</f>
        <v/>
      </c>
      <c r="D1612" s="31"/>
      <c r="E1612" s="32" t="str">
        <f>IFERROR(_xlfn.XLOOKUP($B1612,Insumo[DESCRIPCION],Insumo[VALOR],,0),"")</f>
        <v/>
      </c>
      <c r="F1612" s="33"/>
      <c r="G1612" s="34" t="str">
        <f>IFERROR(IF(F1612&gt;=0,D1612*E1612*(1+F1612/100),ABS(D1612*E1612/F1612)),"")</f>
        <v/>
      </c>
      <c r="H1612" s="43" t="str">
        <f>IFERROR(G1612*E1608,"")</f>
        <v/>
      </c>
    </row>
    <row r="1613" spans="1:11">
      <c r="A1613" s="28"/>
      <c r="B1613" s="29"/>
      <c r="C1613" s="30" t="str">
        <f>IFERROR(_xlfn.XLOOKUP(B1613,Insumo[DESCRIPCION],Insumo[UND],,0),"")</f>
        <v/>
      </c>
      <c r="D1613" s="31"/>
      <c r="E1613" s="32" t="str">
        <f>IFERROR(_xlfn.XLOOKUP($B1613,Insumo[DESCRIPCION],Insumo[VALOR],,0),"")</f>
        <v/>
      </c>
      <c r="F1613" s="33"/>
      <c r="G1613" s="34" t="str">
        <f>IFERROR(IF(F1613&gt;=0,D1613*E1613*(1+F1613/100),ABS(D1613*E1613/F1613)),"")</f>
        <v/>
      </c>
      <c r="H1613" s="43" t="str">
        <f>IFERROR(G1613*E1608,"")</f>
        <v/>
      </c>
    </row>
    <row r="1614" spans="1:11">
      <c r="A1614" s="28"/>
      <c r="B1614" s="29"/>
      <c r="C1614" s="30" t="str">
        <f>IFERROR(_xlfn.XLOOKUP(B1614,Insumo[DESCRIPCION],Insumo[UND],,0),"")</f>
        <v/>
      </c>
      <c r="D1614" s="31"/>
      <c r="E1614" s="32" t="str">
        <f>IFERROR(_xlfn.XLOOKUP($B1614,Insumo[DESCRIPCION],Insumo[VALOR],,0),"")</f>
        <v/>
      </c>
      <c r="F1614" s="33"/>
      <c r="G1614" s="34" t="str">
        <f>IFERROR(IF(F1614&gt;=0,D1614*E1614*(1+F1614/100),ABS(D1614*E1614/F1614)),"")</f>
        <v/>
      </c>
      <c r="H1614" s="43" t="str">
        <f>IFERROR(G1614*E1608,"")</f>
        <v/>
      </c>
    </row>
    <row r="1615" spans="1:11">
      <c r="A1615" s="28"/>
      <c r="B1615" s="29"/>
      <c r="C1615" s="30" t="str">
        <f>IFERROR(_xlfn.XLOOKUP(B1615,Insumo[DESCRIPCION],Insumo[UND],,0),"")</f>
        <v/>
      </c>
      <c r="D1615" s="31"/>
      <c r="E1615" s="32" t="str">
        <f>IFERROR(_xlfn.XLOOKUP($B1615,Insumo[DESCRIPCION],Insumo[VALOR],,0),"")</f>
        <v/>
      </c>
      <c r="F1615" s="33"/>
      <c r="G1615" s="34" t="str">
        <f>IFERROR(IF(F1615&gt;=0,D1615*E1615*(1+F1615/100),ABS(D1615*E1615/F1615)),"")</f>
        <v/>
      </c>
      <c r="H1615" s="43" t="str">
        <f>IFERROR(G1615*E1608,"")</f>
        <v/>
      </c>
    </row>
    <row r="1616" spans="1:11">
      <c r="A1616" s="21"/>
      <c r="B1616" s="22" t="s">
        <v>3731</v>
      </c>
      <c r="C1616" s="23"/>
      <c r="D1616" s="24"/>
      <c r="E1616" s="25"/>
      <c r="F1616" s="26"/>
      <c r="G1616" s="27">
        <f>SUM(G1617:G1619)</f>
        <v>60782.211839700016</v>
      </c>
      <c r="H1616" s="27">
        <f>IFERROR(G1616*E1608,"")</f>
        <v>0</v>
      </c>
    </row>
    <row r="1617" spans="1:11">
      <c r="A1617" s="28"/>
      <c r="B1617" s="29" t="s">
        <v>3570</v>
      </c>
      <c r="C1617" s="30" t="str">
        <f>IFERROR(_xlfn.XLOOKUP(B1617,Equipo[DESCRIPCION],Equipo[UND],,0),"")</f>
        <v>%MO</v>
      </c>
      <c r="D1617" s="31">
        <v>0.04</v>
      </c>
      <c r="E1617" s="32">
        <f>IF(C1617="%MO",G1623,IFERROR(_xlfn.XLOOKUP($B1617,Equipo[DESCRIPCION],Equipo[VALOR],,0),""))</f>
        <v>675357.90933000017</v>
      </c>
      <c r="F1617" s="33"/>
      <c r="G1617" s="34">
        <f>IFERROR(IF(F1617&gt;=0,D1617*E1617*(1+F1617/100),ABS(D1617*E1617/F1617)),"")</f>
        <v>27014.316373200007</v>
      </c>
      <c r="H1617" s="43">
        <f>IFERROR(G1617*E1608,"")</f>
        <v>0</v>
      </c>
    </row>
    <row r="1618" spans="1:11">
      <c r="A1618" s="28"/>
      <c r="B1618" s="29" t="s">
        <v>3626</v>
      </c>
      <c r="C1618" s="30" t="str">
        <f>IFERROR(_xlfn.XLOOKUP(B1618,Equipo[DESCRIPCION],Equipo[UND],,0),"")</f>
        <v>%MO</v>
      </c>
      <c r="D1618" s="31">
        <v>0.05</v>
      </c>
      <c r="E1618" s="32">
        <f>IF(C1618="%MO",G1623,IFERROR(_xlfn.XLOOKUP($B1618,Equipo[DESCRIPCION],Equipo[VALOR],,0),""))</f>
        <v>675357.90933000017</v>
      </c>
      <c r="F1618" s="33"/>
      <c r="G1618" s="34">
        <f>IFERROR(IF(F1618&gt;=0,D1618*E1618*(1+F1618/100),ABS(D1618*E1618/F1618)),"")</f>
        <v>33767.895466500013</v>
      </c>
      <c r="H1618" s="43">
        <f>IFERROR(G1618*E1608,"")</f>
        <v>0</v>
      </c>
    </row>
    <row r="1619" spans="1:11">
      <c r="A1619" s="28"/>
      <c r="B1619" s="29"/>
      <c r="C1619" s="30" t="str">
        <f>IFERROR(_xlfn.XLOOKUP(B1619,Equipo[DESCRIPCION],Equipo[UND],,0),"")</f>
        <v/>
      </c>
      <c r="D1619" s="31"/>
      <c r="E1619" s="32" t="str">
        <f>IF(C1619="%MO",G1623,IFERROR(_xlfn.XLOOKUP($B1619,Equipo[DESCRIPCION],Equipo[VALOR],,0),""))</f>
        <v/>
      </c>
      <c r="F1619" s="33"/>
      <c r="G1619" s="34" t="str">
        <f>IFERROR(IF(F1619&gt;=0,D1619*E1619*(1+F1619/100),ABS(D1619*E1619/F1619)),"")</f>
        <v/>
      </c>
      <c r="H1619" s="43" t="str">
        <f>IFERROR(G1619*E1608,"")</f>
        <v/>
      </c>
    </row>
    <row r="1620" spans="1:11">
      <c r="A1620" s="21"/>
      <c r="B1620" s="22" t="s">
        <v>2533</v>
      </c>
      <c r="C1620" s="23"/>
      <c r="D1620" s="24"/>
      <c r="E1620" s="25"/>
      <c r="F1620" s="26"/>
      <c r="G1620" s="27">
        <f>SUM(G1621:G1622)</f>
        <v>158218.20000000001</v>
      </c>
      <c r="H1620" s="27">
        <f>IFERROR(G1620*E1608,"")</f>
        <v>0</v>
      </c>
    </row>
    <row r="1621" spans="1:11">
      <c r="A1621" s="28"/>
      <c r="B1621" s="29" t="s">
        <v>3662</v>
      </c>
      <c r="C1621" s="30" t="str">
        <f>IFERROR(_xlfn.XLOOKUP(B1621,Transporte[DESCRIPCION],Transporte[UND],,0),"")</f>
        <v>Hr</v>
      </c>
      <c r="D1621" s="31">
        <v>1</v>
      </c>
      <c r="E1621" s="32">
        <f>IFERROR(_xlfn.XLOOKUP($B1621,Transporte[DESCRIPCION],Transporte[VALOR],,0),"")</f>
        <v>79109.100000000006</v>
      </c>
      <c r="F1621" s="33">
        <v>-0.5</v>
      </c>
      <c r="G1621" s="34">
        <f>IFERROR(IF(F1621&gt;=0,D1621*E1621*(1+F1621/100),ABS(D1621*E1621/F1621)),"")</f>
        <v>158218.20000000001</v>
      </c>
      <c r="H1621" s="43">
        <f>IFERROR(G1621*E1608,"")</f>
        <v>0</v>
      </c>
    </row>
    <row r="1622" spans="1:11">
      <c r="A1622" s="28"/>
      <c r="B1622" s="29"/>
      <c r="C1622" s="30" t="str">
        <f>IFERROR(_xlfn.XLOOKUP(B1622,Transporte[DESCRIPCION],Transporte[UND],,0),"")</f>
        <v/>
      </c>
      <c r="D1622" s="31"/>
      <c r="E1622" s="32" t="str">
        <f>IFERROR(_xlfn.XLOOKUP($B1622,Transporte[DESCRIPCION],Transporte[VALOR],,0),"")</f>
        <v/>
      </c>
      <c r="F1622" s="33"/>
      <c r="G1622" s="34" t="str">
        <f>IFERROR(IF(F1622&gt;=0,D1622*E1622*(1+F1622/100),ABS(D1622*E1622/F1622)),"")</f>
        <v/>
      </c>
      <c r="H1622" s="43" t="str">
        <f>IFERROR(G1622*E1608,"")</f>
        <v/>
      </c>
    </row>
    <row r="1623" spans="1:11">
      <c r="A1623" s="21"/>
      <c r="B1623" s="22" t="s">
        <v>3732</v>
      </c>
      <c r="C1623" s="23"/>
      <c r="D1623" s="24"/>
      <c r="E1623" s="25"/>
      <c r="F1623" s="26"/>
      <c r="G1623" s="27">
        <f>SUM(G1624:G1626)</f>
        <v>675357.90933000017</v>
      </c>
      <c r="H1623" s="27">
        <f>IFERROR(G1623*E1608,"")</f>
        <v>0</v>
      </c>
    </row>
    <row r="1624" spans="1:11">
      <c r="A1624" s="28"/>
      <c r="B1624" s="29" t="s">
        <v>3715</v>
      </c>
      <c r="C1624" s="30" t="str">
        <f>IFERROR(_xlfn.XLOOKUP(B1624,MObra[DESCRIPCION],MObra[UN],,0),"")</f>
        <v>día</v>
      </c>
      <c r="D1624" s="31">
        <v>1</v>
      </c>
      <c r="E1624" s="32">
        <f>IFERROR(_xlfn.XLOOKUP($B1624,MObra[DESCRIPCION],MObra[VALOR UNIT],,0),"")</f>
        <v>337678.95466500008</v>
      </c>
      <c r="F1624" s="33">
        <v>-0.5</v>
      </c>
      <c r="G1624" s="34">
        <f>IFERROR(IF(F1624&gt;=0,D1624*E1624*(1+F1624/100),ABS(D1624*E1624/F1624)),"")</f>
        <v>675357.90933000017</v>
      </c>
      <c r="H1624" s="43">
        <f>IFERROR(G1624*E1608,"")</f>
        <v>0</v>
      </c>
    </row>
    <row r="1625" spans="1:11">
      <c r="A1625" s="28"/>
      <c r="B1625" s="29"/>
      <c r="C1625" s="30" t="str">
        <f>IFERROR(_xlfn.XLOOKUP(B1625,MObra[DESCRIPCION],MObra[UN],,0),"")</f>
        <v/>
      </c>
      <c r="D1625" s="31"/>
      <c r="E1625" s="32" t="str">
        <f>IFERROR(_xlfn.XLOOKUP($B1625,MObra[DESCRIPCION],MObra[VALOR UNIT],,0),"")</f>
        <v/>
      </c>
      <c r="F1625" s="33"/>
      <c r="G1625" s="34" t="str">
        <f>IFERROR(IF(F1625&gt;=0,D1625*E1625*(1+F1625/100),ABS(D1625*E1625/F1625)),"")</f>
        <v/>
      </c>
      <c r="H1625" s="43" t="str">
        <f>IFERROR(G1625*E1608,"")</f>
        <v/>
      </c>
    </row>
    <row r="1626" spans="1:11" ht="13.15" thickBot="1">
      <c r="A1626" s="35"/>
      <c r="B1626" s="36"/>
      <c r="C1626" s="37" t="str">
        <f>IFERROR(_xlfn.XLOOKUP(B1626,MObra[DESCRIPCION],MObra[UN],,0),"")</f>
        <v/>
      </c>
      <c r="D1626" s="38"/>
      <c r="E1626" s="39" t="str">
        <f>IFERROR(_xlfn.XLOOKUP($B1626,MObra[DESCRIPCION],MObra[VALOR UNIT],,0),"")</f>
        <v/>
      </c>
      <c r="F1626" s="40"/>
      <c r="G1626" s="41" t="str">
        <f>IFERROR(IF(F1626&gt;=0,D1626*E1626*(1+F1626/100),ABS(D1626*E1626/F1626)),"")</f>
        <v/>
      </c>
      <c r="H1626" s="42" t="str">
        <f>IFERROR(G1626*E1608,"")</f>
        <v/>
      </c>
    </row>
    <row r="1627" spans="1:11" ht="12.75" customHeight="1" thickTop="1" thickBot="1"/>
    <row r="1628" spans="1:11" ht="13.5" thickTop="1" thickBot="1">
      <c r="A1628" s="6" t="s">
        <v>2422</v>
      </c>
      <c r="B1628" s="7" t="str">
        <f>VLOOKUP($A1628,Presupuesto!$A:$D,2,FALSE())</f>
        <v>Transformador trifásico en aceite 75 KVA 13,2KV 220/127V plena</v>
      </c>
      <c r="C1628" s="8" t="str">
        <f>VLOOKUP($A1628,Presupuesto!$A:$D,3,FALSE())</f>
        <v>Un</v>
      </c>
      <c r="D1628" s="9"/>
      <c r="E1628" s="10">
        <f>VLOOKUP($A1628,Presupuesto!$A:$D,4,FALSE())</f>
        <v>0</v>
      </c>
      <c r="F1628" s="11" t="s">
        <v>2589</v>
      </c>
      <c r="G1628" s="12">
        <f>SUM(G1630:G1646)/2</f>
        <v>15741358.321169697</v>
      </c>
      <c r="H1628" s="13">
        <f>ROUND(SUM(H1630:H1646),0)/2</f>
        <v>0</v>
      </c>
      <c r="I1628" s="10">
        <f>VLOOKUP(A1628,Presupuesto!$A:$F,6,0)</f>
        <v>0</v>
      </c>
      <c r="J1628" s="10">
        <f>+H1628-I1628</f>
        <v>0</v>
      </c>
      <c r="K1628" s="46">
        <f>+H1628-G1628*E1628</f>
        <v>0</v>
      </c>
    </row>
    <row r="1629" spans="1:11" ht="13.15" thickTop="1">
      <c r="A1629" s="14"/>
      <c r="B1629" s="15" t="s">
        <v>2586</v>
      </c>
      <c r="C1629" s="15" t="s">
        <v>5</v>
      </c>
      <c r="D1629" s="16" t="s">
        <v>6</v>
      </c>
      <c r="E1629" s="17" t="s">
        <v>7</v>
      </c>
      <c r="F1629" s="18" t="s">
        <v>3728</v>
      </c>
      <c r="G1629" s="19" t="s">
        <v>3729</v>
      </c>
      <c r="H1629" s="20" t="s">
        <v>3797</v>
      </c>
    </row>
    <row r="1630" spans="1:11">
      <c r="A1630" s="21"/>
      <c r="B1630" s="22" t="s">
        <v>3730</v>
      </c>
      <c r="C1630" s="23"/>
      <c r="D1630" s="24"/>
      <c r="E1630" s="25"/>
      <c r="F1630" s="26"/>
      <c r="G1630" s="27">
        <f>SUM(G1631:G1635)</f>
        <v>14847000</v>
      </c>
      <c r="H1630" s="27">
        <f>IFERROR(G1630*E1628,"")</f>
        <v>0</v>
      </c>
    </row>
    <row r="1631" spans="1:11">
      <c r="A1631" s="28"/>
      <c r="B1631" s="29" t="s">
        <v>3419</v>
      </c>
      <c r="C1631" s="30" t="str">
        <f>IFERROR(_xlfn.XLOOKUP(B1631,Insumo[DESCRIPCION],Insumo[UND],,0),"")</f>
        <v>Un</v>
      </c>
      <c r="D1631" s="31">
        <v>1</v>
      </c>
      <c r="E1631" s="32">
        <f>IFERROR(_xlfn.XLOOKUP($B1631,Insumo[DESCRIPCION],Insumo[VALOR],,0),"")</f>
        <v>14847000</v>
      </c>
      <c r="F1631" s="33"/>
      <c r="G1631" s="34">
        <f>IFERROR(IF(F1631&gt;=0,D1631*E1631*(1+F1631/100),ABS(D1631*E1631/F1631)),"")</f>
        <v>14847000</v>
      </c>
      <c r="H1631" s="43">
        <f>IFERROR(G1631*E1628,"")</f>
        <v>0</v>
      </c>
    </row>
    <row r="1632" spans="1:11">
      <c r="A1632" s="28"/>
      <c r="B1632" s="29"/>
      <c r="C1632" s="30" t="str">
        <f>IFERROR(_xlfn.XLOOKUP(B1632,Insumo[DESCRIPCION],Insumo[UND],,0),"")</f>
        <v/>
      </c>
      <c r="D1632" s="31"/>
      <c r="E1632" s="32" t="str">
        <f>IFERROR(_xlfn.XLOOKUP($B1632,Insumo[DESCRIPCION],Insumo[VALOR],,0),"")</f>
        <v/>
      </c>
      <c r="F1632" s="33"/>
      <c r="G1632" s="34" t="str">
        <f>IFERROR(IF(F1632&gt;=0,D1632*E1632*(1+F1632/100),ABS(D1632*E1632/F1632)),"")</f>
        <v/>
      </c>
      <c r="H1632" s="43" t="str">
        <f>IFERROR(G1632*E1628,"")</f>
        <v/>
      </c>
    </row>
    <row r="1633" spans="1:11">
      <c r="A1633" s="28"/>
      <c r="B1633" s="29"/>
      <c r="C1633" s="30" t="str">
        <f>IFERROR(_xlfn.XLOOKUP(B1633,Insumo[DESCRIPCION],Insumo[UND],,0),"")</f>
        <v/>
      </c>
      <c r="D1633" s="31"/>
      <c r="E1633" s="32" t="str">
        <f>IFERROR(_xlfn.XLOOKUP($B1633,Insumo[DESCRIPCION],Insumo[VALOR],,0),"")</f>
        <v/>
      </c>
      <c r="F1633" s="33"/>
      <c r="G1633" s="34" t="str">
        <f>IFERROR(IF(F1633&gt;=0,D1633*E1633*(1+F1633/100),ABS(D1633*E1633/F1633)),"")</f>
        <v/>
      </c>
      <c r="H1633" s="43" t="str">
        <f>IFERROR(G1633*E1628,"")</f>
        <v/>
      </c>
    </row>
    <row r="1634" spans="1:11">
      <c r="A1634" s="28"/>
      <c r="B1634" s="29"/>
      <c r="C1634" s="30" t="str">
        <f>IFERROR(_xlfn.XLOOKUP(B1634,Insumo[DESCRIPCION],Insumo[UND],,0),"")</f>
        <v/>
      </c>
      <c r="D1634" s="31"/>
      <c r="E1634" s="32" t="str">
        <f>IFERROR(_xlfn.XLOOKUP($B1634,Insumo[DESCRIPCION],Insumo[VALOR],,0),"")</f>
        <v/>
      </c>
      <c r="F1634" s="33"/>
      <c r="G1634" s="34" t="str">
        <f>IFERROR(IF(F1634&gt;=0,D1634*E1634*(1+F1634/100),ABS(D1634*E1634/F1634)),"")</f>
        <v/>
      </c>
      <c r="H1634" s="43" t="str">
        <f>IFERROR(G1634*E1628,"")</f>
        <v/>
      </c>
    </row>
    <row r="1635" spans="1:11">
      <c r="A1635" s="28"/>
      <c r="B1635" s="29"/>
      <c r="C1635" s="30" t="str">
        <f>IFERROR(_xlfn.XLOOKUP(B1635,Insumo[DESCRIPCION],Insumo[UND],,0),"")</f>
        <v/>
      </c>
      <c r="D1635" s="31"/>
      <c r="E1635" s="32" t="str">
        <f>IFERROR(_xlfn.XLOOKUP($B1635,Insumo[DESCRIPCION],Insumo[VALOR],,0),"")</f>
        <v/>
      </c>
      <c r="F1635" s="33"/>
      <c r="G1635" s="34" t="str">
        <f>IFERROR(IF(F1635&gt;=0,D1635*E1635*(1+F1635/100),ABS(D1635*E1635/F1635)),"")</f>
        <v/>
      </c>
      <c r="H1635" s="43" t="str">
        <f>IFERROR(G1635*E1628,"")</f>
        <v/>
      </c>
    </row>
    <row r="1636" spans="1:11">
      <c r="A1636" s="21"/>
      <c r="B1636" s="22" t="s">
        <v>3731</v>
      </c>
      <c r="C1636" s="23"/>
      <c r="D1636" s="24"/>
      <c r="E1636" s="25"/>
      <c r="F1636" s="26"/>
      <c r="G1636" s="27">
        <f>SUM(G1637:G1639)</f>
        <v>60782.211839700016</v>
      </c>
      <c r="H1636" s="27">
        <f>IFERROR(G1636*E1628,"")</f>
        <v>0</v>
      </c>
    </row>
    <row r="1637" spans="1:11">
      <c r="A1637" s="28"/>
      <c r="B1637" s="29" t="s">
        <v>3570</v>
      </c>
      <c r="C1637" s="30" t="str">
        <f>IFERROR(_xlfn.XLOOKUP(B1637,Equipo[DESCRIPCION],Equipo[UND],,0),"")</f>
        <v>%MO</v>
      </c>
      <c r="D1637" s="31">
        <v>0.04</v>
      </c>
      <c r="E1637" s="32">
        <f>IF(C1637="%MO",G1643,IFERROR(_xlfn.XLOOKUP($B1637,Equipo[DESCRIPCION],Equipo[VALOR],,0),""))</f>
        <v>675357.90933000017</v>
      </c>
      <c r="F1637" s="33"/>
      <c r="G1637" s="34">
        <f>IFERROR(IF(F1637&gt;=0,D1637*E1637*(1+F1637/100),ABS(D1637*E1637/F1637)),"")</f>
        <v>27014.316373200007</v>
      </c>
      <c r="H1637" s="43">
        <f>IFERROR(G1637*E1628,"")</f>
        <v>0</v>
      </c>
    </row>
    <row r="1638" spans="1:11">
      <c r="A1638" s="28"/>
      <c r="B1638" s="29" t="s">
        <v>3626</v>
      </c>
      <c r="C1638" s="30" t="str">
        <f>IFERROR(_xlfn.XLOOKUP(B1638,Equipo[DESCRIPCION],Equipo[UND],,0),"")</f>
        <v>%MO</v>
      </c>
      <c r="D1638" s="31">
        <v>0.05</v>
      </c>
      <c r="E1638" s="32">
        <f>IF(C1638="%MO",G1643,IFERROR(_xlfn.XLOOKUP($B1638,Equipo[DESCRIPCION],Equipo[VALOR],,0),""))</f>
        <v>675357.90933000017</v>
      </c>
      <c r="F1638" s="33"/>
      <c r="G1638" s="34">
        <f>IFERROR(IF(F1638&gt;=0,D1638*E1638*(1+F1638/100),ABS(D1638*E1638/F1638)),"")</f>
        <v>33767.895466500013</v>
      </c>
      <c r="H1638" s="43">
        <f>IFERROR(G1638*E1628,"")</f>
        <v>0</v>
      </c>
    </row>
    <row r="1639" spans="1:11">
      <c r="A1639" s="28"/>
      <c r="B1639" s="29"/>
      <c r="C1639" s="30" t="str">
        <f>IFERROR(_xlfn.XLOOKUP(B1639,Equipo[DESCRIPCION],Equipo[UND],,0),"")</f>
        <v/>
      </c>
      <c r="D1639" s="31"/>
      <c r="E1639" s="32" t="str">
        <f>IF(C1639="%MO",G1643,IFERROR(_xlfn.XLOOKUP($B1639,Equipo[DESCRIPCION],Equipo[VALOR],,0),""))</f>
        <v/>
      </c>
      <c r="F1639" s="33"/>
      <c r="G1639" s="34" t="str">
        <f>IFERROR(IF(F1639&gt;=0,D1639*E1639*(1+F1639/100),ABS(D1639*E1639/F1639)),"")</f>
        <v/>
      </c>
      <c r="H1639" s="43" t="str">
        <f>IFERROR(G1639*E1628,"")</f>
        <v/>
      </c>
    </row>
    <row r="1640" spans="1:11">
      <c r="A1640" s="21"/>
      <c r="B1640" s="22" t="s">
        <v>2533</v>
      </c>
      <c r="C1640" s="23"/>
      <c r="D1640" s="24"/>
      <c r="E1640" s="25"/>
      <c r="F1640" s="26"/>
      <c r="G1640" s="27">
        <f>SUM(G1641:G1642)</f>
        <v>158218.20000000001</v>
      </c>
      <c r="H1640" s="27">
        <f>IFERROR(G1640*E1628,"")</f>
        <v>0</v>
      </c>
    </row>
    <row r="1641" spans="1:11">
      <c r="A1641" s="28"/>
      <c r="B1641" s="29" t="s">
        <v>3662</v>
      </c>
      <c r="C1641" s="30" t="str">
        <f>IFERROR(_xlfn.XLOOKUP(B1641,Transporte[DESCRIPCION],Transporte[UND],,0),"")</f>
        <v>Hr</v>
      </c>
      <c r="D1641" s="31">
        <v>1</v>
      </c>
      <c r="E1641" s="32">
        <f>IFERROR(_xlfn.XLOOKUP($B1641,Transporte[DESCRIPCION],Transporte[VALOR],,0),"")</f>
        <v>79109.100000000006</v>
      </c>
      <c r="F1641" s="33">
        <v>-0.5</v>
      </c>
      <c r="G1641" s="34">
        <f>IFERROR(IF(F1641&gt;=0,D1641*E1641*(1+F1641/100),ABS(D1641*E1641/F1641)),"")</f>
        <v>158218.20000000001</v>
      </c>
      <c r="H1641" s="43">
        <f>IFERROR(G1641*E1628,"")</f>
        <v>0</v>
      </c>
    </row>
    <row r="1642" spans="1:11">
      <c r="A1642" s="28"/>
      <c r="B1642" s="29"/>
      <c r="C1642" s="30" t="str">
        <f>IFERROR(_xlfn.XLOOKUP(B1642,Transporte[DESCRIPCION],Transporte[UND],,0),"")</f>
        <v/>
      </c>
      <c r="D1642" s="31"/>
      <c r="E1642" s="32" t="str">
        <f>IFERROR(_xlfn.XLOOKUP($B1642,Transporte[DESCRIPCION],Transporte[VALOR],,0),"")</f>
        <v/>
      </c>
      <c r="F1642" s="33"/>
      <c r="G1642" s="34" t="str">
        <f>IFERROR(IF(F1642&gt;=0,D1642*E1642*(1+F1642/100),ABS(D1642*E1642/F1642)),"")</f>
        <v/>
      </c>
      <c r="H1642" s="43" t="str">
        <f>IFERROR(G1642*E1628,"")</f>
        <v/>
      </c>
    </row>
    <row r="1643" spans="1:11">
      <c r="A1643" s="21"/>
      <c r="B1643" s="22" t="s">
        <v>3732</v>
      </c>
      <c r="C1643" s="23"/>
      <c r="D1643" s="24"/>
      <c r="E1643" s="25"/>
      <c r="F1643" s="26"/>
      <c r="G1643" s="27">
        <f>SUM(G1644:G1646)</f>
        <v>675357.90933000017</v>
      </c>
      <c r="H1643" s="27">
        <f>IFERROR(G1643*E1628,"")</f>
        <v>0</v>
      </c>
    </row>
    <row r="1644" spans="1:11">
      <c r="A1644" s="28"/>
      <c r="B1644" s="29" t="s">
        <v>3715</v>
      </c>
      <c r="C1644" s="30" t="str">
        <f>IFERROR(_xlfn.XLOOKUP(B1644,MObra[DESCRIPCION],MObra[UN],,0),"")</f>
        <v>día</v>
      </c>
      <c r="D1644" s="31">
        <v>1</v>
      </c>
      <c r="E1644" s="32">
        <f>IFERROR(_xlfn.XLOOKUP($B1644,MObra[DESCRIPCION],MObra[VALOR UNIT],,0),"")</f>
        <v>337678.95466500008</v>
      </c>
      <c r="F1644" s="33">
        <v>-0.5</v>
      </c>
      <c r="G1644" s="34">
        <f>IFERROR(IF(F1644&gt;=0,D1644*E1644*(1+F1644/100),ABS(D1644*E1644/F1644)),"")</f>
        <v>675357.90933000017</v>
      </c>
      <c r="H1644" s="43">
        <f>IFERROR(G1644*E1628,"")</f>
        <v>0</v>
      </c>
    </row>
    <row r="1645" spans="1:11">
      <c r="A1645" s="28"/>
      <c r="B1645" s="29"/>
      <c r="C1645" s="30" t="str">
        <f>IFERROR(_xlfn.XLOOKUP(B1645,MObra[DESCRIPCION],MObra[UN],,0),"")</f>
        <v/>
      </c>
      <c r="D1645" s="31"/>
      <c r="E1645" s="32" t="str">
        <f>IFERROR(_xlfn.XLOOKUP($B1645,MObra[DESCRIPCION],MObra[VALOR UNIT],,0),"")</f>
        <v/>
      </c>
      <c r="F1645" s="33"/>
      <c r="G1645" s="34" t="str">
        <f>IFERROR(IF(F1645&gt;=0,D1645*E1645*(1+F1645/100),ABS(D1645*E1645/F1645)),"")</f>
        <v/>
      </c>
      <c r="H1645" s="43" t="str">
        <f>IFERROR(G1645*E1628,"")</f>
        <v/>
      </c>
    </row>
    <row r="1646" spans="1:11" ht="13.15" thickBot="1">
      <c r="A1646" s="35"/>
      <c r="B1646" s="36"/>
      <c r="C1646" s="37" t="str">
        <f>IFERROR(_xlfn.XLOOKUP(B1646,MObra[DESCRIPCION],MObra[UN],,0),"")</f>
        <v/>
      </c>
      <c r="D1646" s="38"/>
      <c r="E1646" s="39" t="str">
        <f>IFERROR(_xlfn.XLOOKUP($B1646,MObra[DESCRIPCION],MObra[VALOR UNIT],,0),"")</f>
        <v/>
      </c>
      <c r="F1646" s="40"/>
      <c r="G1646" s="41" t="str">
        <f>IFERROR(IF(F1646&gt;=0,D1646*E1646*(1+F1646/100),ABS(D1646*E1646/F1646)),"")</f>
        <v/>
      </c>
      <c r="H1646" s="42" t="str">
        <f>IFERROR(G1646*E1628,"")</f>
        <v/>
      </c>
    </row>
    <row r="1647" spans="1:11" ht="12.75" customHeight="1" thickTop="1" thickBot="1"/>
    <row r="1648" spans="1:11" ht="13.5" thickTop="1" thickBot="1">
      <c r="A1648" s="6" t="s">
        <v>2424</v>
      </c>
      <c r="B1648" s="7" t="str">
        <f>VLOOKUP($A1648,Presupuesto!$A:$D,2,FALSE())</f>
        <v xml:space="preserve">Transformador trifásico en aceite 112,5 KVA 13,2 KV 220/127V </v>
      </c>
      <c r="C1648" s="8" t="str">
        <f>VLOOKUP($A1648,Presupuesto!$A:$D,3,FALSE())</f>
        <v>Un</v>
      </c>
      <c r="D1648" s="9"/>
      <c r="E1648" s="10">
        <f>VLOOKUP($A1648,Presupuesto!$A:$D,4,FALSE())</f>
        <v>0</v>
      </c>
      <c r="F1648" s="11" t="s">
        <v>2589</v>
      </c>
      <c r="G1648" s="12">
        <f>SUM(G1650:G1666)/2</f>
        <v>19353297.901462123</v>
      </c>
      <c r="H1648" s="13">
        <f>ROUND(SUM(H1650:H1666),0)/2</f>
        <v>0</v>
      </c>
      <c r="I1648" s="10">
        <f>VLOOKUP(A1648,Presupuesto!$A:$F,6,0)</f>
        <v>0</v>
      </c>
      <c r="J1648" s="10">
        <f>+H1648-I1648</f>
        <v>0</v>
      </c>
      <c r="K1648" s="46">
        <f>+H1648-G1648*E1648</f>
        <v>0</v>
      </c>
    </row>
    <row r="1649" spans="1:8" ht="13.15" thickTop="1">
      <c r="A1649" s="14"/>
      <c r="B1649" s="15" t="s">
        <v>2586</v>
      </c>
      <c r="C1649" s="15" t="s">
        <v>5</v>
      </c>
      <c r="D1649" s="16" t="s">
        <v>6</v>
      </c>
      <c r="E1649" s="17" t="s">
        <v>7</v>
      </c>
      <c r="F1649" s="18" t="s">
        <v>3728</v>
      </c>
      <c r="G1649" s="19" t="s">
        <v>3729</v>
      </c>
      <c r="H1649" s="20" t="s">
        <v>3797</v>
      </c>
    </row>
    <row r="1650" spans="1:8">
      <c r="A1650" s="21"/>
      <c r="B1650" s="22" t="s">
        <v>3730</v>
      </c>
      <c r="C1650" s="23"/>
      <c r="D1650" s="24"/>
      <c r="E1650" s="25"/>
      <c r="F1650" s="26"/>
      <c r="G1650" s="27">
        <f>SUM(G1651:G1655)</f>
        <v>18235350</v>
      </c>
      <c r="H1650" s="27">
        <f>IFERROR(G1650*E1648,"")</f>
        <v>0</v>
      </c>
    </row>
    <row r="1651" spans="1:8">
      <c r="A1651" s="28"/>
      <c r="B1651" s="29" t="s">
        <v>3420</v>
      </c>
      <c r="C1651" s="30" t="str">
        <f>IFERROR(_xlfn.XLOOKUP(B1651,Insumo[DESCRIPCION],Insumo[UND],,0),"")</f>
        <v>Un</v>
      </c>
      <c r="D1651" s="31">
        <v>1</v>
      </c>
      <c r="E1651" s="32">
        <f>IFERROR(_xlfn.XLOOKUP($B1651,Insumo[DESCRIPCION],Insumo[VALOR],,0),"")</f>
        <v>18235350</v>
      </c>
      <c r="F1651" s="33"/>
      <c r="G1651" s="34">
        <f>IFERROR(IF(F1651&gt;=0,D1651*E1651*(1+F1651/100),ABS(D1651*E1651/F1651)),"")</f>
        <v>18235350</v>
      </c>
      <c r="H1651" s="43">
        <f>IFERROR(G1651*E1648,"")</f>
        <v>0</v>
      </c>
    </row>
    <row r="1652" spans="1:8">
      <c r="A1652" s="28"/>
      <c r="B1652" s="29"/>
      <c r="C1652" s="30" t="str">
        <f>IFERROR(_xlfn.XLOOKUP(B1652,Insumo[DESCRIPCION],Insumo[UND],,0),"")</f>
        <v/>
      </c>
      <c r="D1652" s="31"/>
      <c r="E1652" s="32" t="str">
        <f>IFERROR(_xlfn.XLOOKUP($B1652,Insumo[DESCRIPCION],Insumo[VALOR],,0),"")</f>
        <v/>
      </c>
      <c r="F1652" s="33"/>
      <c r="G1652" s="34" t="str">
        <f>IFERROR(IF(F1652&gt;=0,D1652*E1652*(1+F1652/100),ABS(D1652*E1652/F1652)),"")</f>
        <v/>
      </c>
      <c r="H1652" s="43" t="str">
        <f>IFERROR(G1652*E1648,"")</f>
        <v/>
      </c>
    </row>
    <row r="1653" spans="1:8">
      <c r="A1653" s="28"/>
      <c r="B1653" s="29"/>
      <c r="C1653" s="30" t="str">
        <f>IFERROR(_xlfn.XLOOKUP(B1653,Insumo[DESCRIPCION],Insumo[UND],,0),"")</f>
        <v/>
      </c>
      <c r="D1653" s="31"/>
      <c r="E1653" s="32" t="str">
        <f>IFERROR(_xlfn.XLOOKUP($B1653,Insumo[DESCRIPCION],Insumo[VALOR],,0),"")</f>
        <v/>
      </c>
      <c r="F1653" s="33"/>
      <c r="G1653" s="34" t="str">
        <f>IFERROR(IF(F1653&gt;=0,D1653*E1653*(1+F1653/100),ABS(D1653*E1653/F1653)),"")</f>
        <v/>
      </c>
      <c r="H1653" s="43" t="str">
        <f>IFERROR(G1653*E1648,"")</f>
        <v/>
      </c>
    </row>
    <row r="1654" spans="1:8">
      <c r="A1654" s="28"/>
      <c r="B1654" s="29"/>
      <c r="C1654" s="30" t="str">
        <f>IFERROR(_xlfn.XLOOKUP(B1654,Insumo[DESCRIPCION],Insumo[UND],,0),"")</f>
        <v/>
      </c>
      <c r="D1654" s="31"/>
      <c r="E1654" s="32" t="str">
        <f>IFERROR(_xlfn.XLOOKUP($B1654,Insumo[DESCRIPCION],Insumo[VALOR],,0),"")</f>
        <v/>
      </c>
      <c r="F1654" s="33"/>
      <c r="G1654" s="34" t="str">
        <f>IFERROR(IF(F1654&gt;=0,D1654*E1654*(1+F1654/100),ABS(D1654*E1654/F1654)),"")</f>
        <v/>
      </c>
      <c r="H1654" s="43" t="str">
        <f>IFERROR(G1654*E1648,"")</f>
        <v/>
      </c>
    </row>
    <row r="1655" spans="1:8">
      <c r="A1655" s="28"/>
      <c r="B1655" s="29"/>
      <c r="C1655" s="30" t="str">
        <f>IFERROR(_xlfn.XLOOKUP(B1655,Insumo[DESCRIPCION],Insumo[UND],,0),"")</f>
        <v/>
      </c>
      <c r="D1655" s="31"/>
      <c r="E1655" s="32" t="str">
        <f>IFERROR(_xlfn.XLOOKUP($B1655,Insumo[DESCRIPCION],Insumo[VALOR],,0),"")</f>
        <v/>
      </c>
      <c r="F1655" s="33"/>
      <c r="G1655" s="34" t="str">
        <f>IFERROR(IF(F1655&gt;=0,D1655*E1655*(1+F1655/100),ABS(D1655*E1655/F1655)),"")</f>
        <v/>
      </c>
      <c r="H1655" s="43" t="str">
        <f>IFERROR(G1655*E1648,"")</f>
        <v/>
      </c>
    </row>
    <row r="1656" spans="1:8">
      <c r="A1656" s="21"/>
      <c r="B1656" s="22" t="s">
        <v>3731</v>
      </c>
      <c r="C1656" s="23"/>
      <c r="D1656" s="24"/>
      <c r="E1656" s="25"/>
      <c r="F1656" s="26"/>
      <c r="G1656" s="27">
        <f>SUM(G1657:G1659)</f>
        <v>75977.764799625016</v>
      </c>
      <c r="H1656" s="27">
        <f>IFERROR(G1656*E1648,"")</f>
        <v>0</v>
      </c>
    </row>
    <row r="1657" spans="1:8">
      <c r="A1657" s="28"/>
      <c r="B1657" s="29" t="s">
        <v>3570</v>
      </c>
      <c r="C1657" s="30" t="str">
        <f>IFERROR(_xlfn.XLOOKUP(B1657,Equipo[DESCRIPCION],Equipo[UND],,0),"")</f>
        <v>%MO</v>
      </c>
      <c r="D1657" s="31">
        <v>0.04</v>
      </c>
      <c r="E1657" s="32">
        <f>IF(C1657="%MO",G1663,IFERROR(_xlfn.XLOOKUP($B1657,Equipo[DESCRIPCION],Equipo[VALOR],,0),""))</f>
        <v>844197.38666250021</v>
      </c>
      <c r="F1657" s="33"/>
      <c r="G1657" s="34">
        <f>IFERROR(IF(F1657&gt;=0,D1657*E1657*(1+F1657/100),ABS(D1657*E1657/F1657)),"")</f>
        <v>33767.895466500006</v>
      </c>
      <c r="H1657" s="43">
        <f>IFERROR(G1657*E1648,"")</f>
        <v>0</v>
      </c>
    </row>
    <row r="1658" spans="1:8">
      <c r="A1658" s="28"/>
      <c r="B1658" s="29" t="s">
        <v>3626</v>
      </c>
      <c r="C1658" s="30" t="str">
        <f>IFERROR(_xlfn.XLOOKUP(B1658,Equipo[DESCRIPCION],Equipo[UND],,0),"")</f>
        <v>%MO</v>
      </c>
      <c r="D1658" s="31">
        <v>0.05</v>
      </c>
      <c r="E1658" s="32">
        <f>IF(C1658="%MO",G1663,IFERROR(_xlfn.XLOOKUP($B1658,Equipo[DESCRIPCION],Equipo[VALOR],,0),""))</f>
        <v>844197.38666250021</v>
      </c>
      <c r="F1658" s="33"/>
      <c r="G1658" s="34">
        <f>IFERROR(IF(F1658&gt;=0,D1658*E1658*(1+F1658/100),ABS(D1658*E1658/F1658)),"")</f>
        <v>42209.869333125011</v>
      </c>
      <c r="H1658" s="43">
        <f>IFERROR(G1658*E1648,"")</f>
        <v>0</v>
      </c>
    </row>
    <row r="1659" spans="1:8">
      <c r="A1659" s="28"/>
      <c r="B1659" s="29"/>
      <c r="C1659" s="30" t="str">
        <f>IFERROR(_xlfn.XLOOKUP(B1659,Equipo[DESCRIPCION],Equipo[UND],,0),"")</f>
        <v/>
      </c>
      <c r="D1659" s="31"/>
      <c r="E1659" s="32" t="str">
        <f>IF(C1659="%MO",G1663,IFERROR(_xlfn.XLOOKUP($B1659,Equipo[DESCRIPCION],Equipo[VALOR],,0),""))</f>
        <v/>
      </c>
      <c r="F1659" s="33"/>
      <c r="G1659" s="34" t="str">
        <f>IFERROR(IF(F1659&gt;=0,D1659*E1659*(1+F1659/100),ABS(D1659*E1659/F1659)),"")</f>
        <v/>
      </c>
      <c r="H1659" s="43" t="str">
        <f>IFERROR(G1659*E1648,"")</f>
        <v/>
      </c>
    </row>
    <row r="1660" spans="1:8">
      <c r="A1660" s="21"/>
      <c r="B1660" s="22" t="s">
        <v>2533</v>
      </c>
      <c r="C1660" s="23"/>
      <c r="D1660" s="24"/>
      <c r="E1660" s="25"/>
      <c r="F1660" s="26"/>
      <c r="G1660" s="27">
        <f>SUM(G1661:G1662)</f>
        <v>197772.75</v>
      </c>
      <c r="H1660" s="27">
        <f>IFERROR(G1660*E1648,"")</f>
        <v>0</v>
      </c>
    </row>
    <row r="1661" spans="1:8">
      <c r="A1661" s="28"/>
      <c r="B1661" s="29" t="s">
        <v>3662</v>
      </c>
      <c r="C1661" s="30" t="str">
        <f>IFERROR(_xlfn.XLOOKUP(B1661,Transporte[DESCRIPCION],Transporte[UND],,0),"")</f>
        <v>Hr</v>
      </c>
      <c r="D1661" s="31">
        <v>1</v>
      </c>
      <c r="E1661" s="32">
        <f>IFERROR(_xlfn.XLOOKUP($B1661,Transporte[DESCRIPCION],Transporte[VALOR],,0),"")</f>
        <v>79109.100000000006</v>
      </c>
      <c r="F1661" s="33">
        <v>-0.4</v>
      </c>
      <c r="G1661" s="34">
        <f>IFERROR(IF(F1661&gt;=0,D1661*E1661*(1+F1661/100),ABS(D1661*E1661/F1661)),"")</f>
        <v>197772.75</v>
      </c>
      <c r="H1661" s="43">
        <f>IFERROR(G1661*E1648,"")</f>
        <v>0</v>
      </c>
    </row>
    <row r="1662" spans="1:8">
      <c r="A1662" s="28"/>
      <c r="B1662" s="29"/>
      <c r="C1662" s="30" t="str">
        <f>IFERROR(_xlfn.XLOOKUP(B1662,Transporte[DESCRIPCION],Transporte[UND],,0),"")</f>
        <v/>
      </c>
      <c r="D1662" s="31"/>
      <c r="E1662" s="32" t="str">
        <f>IFERROR(_xlfn.XLOOKUP($B1662,Transporte[DESCRIPCION],Transporte[VALOR],,0),"")</f>
        <v/>
      </c>
      <c r="F1662" s="33"/>
      <c r="G1662" s="34" t="str">
        <f>IFERROR(IF(F1662&gt;=0,D1662*E1662*(1+F1662/100),ABS(D1662*E1662/F1662)),"")</f>
        <v/>
      </c>
      <c r="H1662" s="43" t="str">
        <f>IFERROR(G1662*E1648,"")</f>
        <v/>
      </c>
    </row>
    <row r="1663" spans="1:8">
      <c r="A1663" s="21"/>
      <c r="B1663" s="22" t="s">
        <v>3732</v>
      </c>
      <c r="C1663" s="23"/>
      <c r="D1663" s="24"/>
      <c r="E1663" s="25"/>
      <c r="F1663" s="26"/>
      <c r="G1663" s="27">
        <f>SUM(G1664:G1666)</f>
        <v>844197.38666250021</v>
      </c>
      <c r="H1663" s="27">
        <f>IFERROR(G1663*E1648,"")</f>
        <v>0</v>
      </c>
    </row>
    <row r="1664" spans="1:8">
      <c r="A1664" s="28"/>
      <c r="B1664" s="29" t="s">
        <v>3715</v>
      </c>
      <c r="C1664" s="30" t="str">
        <f>IFERROR(_xlfn.XLOOKUP(B1664,MObra[DESCRIPCION],MObra[UN],,0),"")</f>
        <v>día</v>
      </c>
      <c r="D1664" s="31">
        <v>1</v>
      </c>
      <c r="E1664" s="32">
        <f>IFERROR(_xlfn.XLOOKUP($B1664,MObra[DESCRIPCION],MObra[VALOR UNIT],,0),"")</f>
        <v>337678.95466500008</v>
      </c>
      <c r="F1664" s="33">
        <v>-0.4</v>
      </c>
      <c r="G1664" s="34">
        <f>IFERROR(IF(F1664&gt;=0,D1664*E1664*(1+F1664/100),ABS(D1664*E1664/F1664)),"")</f>
        <v>844197.38666250021</v>
      </c>
      <c r="H1664" s="43">
        <f>IFERROR(G1664*E1648,"")</f>
        <v>0</v>
      </c>
    </row>
    <row r="1665" spans="1:8">
      <c r="A1665" s="28"/>
      <c r="B1665" s="29"/>
      <c r="C1665" s="30" t="str">
        <f>IFERROR(_xlfn.XLOOKUP(B1665,MObra[DESCRIPCION],MObra[UN],,0),"")</f>
        <v/>
      </c>
      <c r="D1665" s="31"/>
      <c r="E1665" s="32" t="str">
        <f>IFERROR(_xlfn.XLOOKUP($B1665,MObra[DESCRIPCION],MObra[VALOR UNIT],,0),"")</f>
        <v/>
      </c>
      <c r="F1665" s="33"/>
      <c r="G1665" s="34" t="str">
        <f>IFERROR(IF(F1665&gt;=0,D1665*E1665*(1+F1665/100),ABS(D1665*E1665/F1665)),"")</f>
        <v/>
      </c>
      <c r="H1665" s="43" t="str">
        <f>IFERROR(G1665*E1648,"")</f>
        <v/>
      </c>
    </row>
    <row r="1666" spans="1:8" ht="13.15" thickBot="1">
      <c r="A1666" s="35"/>
      <c r="B1666" s="36"/>
      <c r="C1666" s="37" t="str">
        <f>IFERROR(_xlfn.XLOOKUP(B1666,MObra[DESCRIPCION],MObra[UN],,0),"")</f>
        <v/>
      </c>
      <c r="D1666" s="38"/>
      <c r="E1666" s="39" t="str">
        <f>IFERROR(_xlfn.XLOOKUP($B1666,MObra[DESCRIPCION],MObra[VALOR UNIT],,0),"")</f>
        <v/>
      </c>
      <c r="F1666" s="40"/>
      <c r="G1666" s="41" t="str">
        <f>IFERROR(IF(F1666&gt;=0,D1666*E1666*(1+F1666/100),ABS(D1666*E1666/F1666)),"")</f>
        <v/>
      </c>
      <c r="H1666" s="42" t="str">
        <f>IFERROR(G1666*E1648,"")</f>
        <v/>
      </c>
    </row>
    <row r="1667" spans="1:8" ht="12.75" customHeight="1" thickTop="1"/>
  </sheetData>
  <mergeCells count="3">
    <mergeCell ref="B1:G1"/>
    <mergeCell ref="B2:G2"/>
    <mergeCell ref="B3:G3"/>
  </mergeCells>
  <dataValidations count="1">
    <dataValidation type="list" allowBlank="1" showInputMessage="1" showErrorMessage="1" sqref="B1551:B1555 B1451:B1455 B173 B271:B275 B291:B295 B311:B315 B331:B335 B351:B355 B210:B215 B231:B235 B251:B255 B189:B194 B1447 B1491:B1495 B127:B131 B1471:B1475 B1511:B1515 B1531:B1535 B167:B169 B147:B151 B7:B11 B27:B31 B1631:B1635 B67:B71 B47:B51 B87:B91 B107:B111 B1571:B1575 B1591:B1595 B1611:B1615 B367:B375 B387:B395 B407:B415 B427:B435 B447:B455 B467:B475 B487:B495 B507:B515 B527:B535 B547:B555 B567:B575 B587:B595 B607:B615 B627:B635 B647:B655 B667:B675 B687:B695 B707:B715 B727:B735 B747:B755 B767:B775 B787:B795 B807:B815 B827:B835 B847:B855 B867:B875 B887:B895 B907:B915 B927:B935 B947:B955 B967:B975 B987:B995 B1007:B1015 B1027:B1035 B1047:B1055 B1067:B1075 B1087:B1095 B1107:B1115 B1127:B1135 B1147:B1155 B1167:B1175 B1187:B1195 B1207:B1215 B1227:B1235 B1247:B1255 B1267:B1275 B1287:B1295 B1307:B1315 B1327:B1335 B1347:B1355 B1367:B1375 B1387:B1395 B1407:B1415 B1427:B1435 B1651:B1655" xr:uid="{00000000-0002-0000-1F00-000000000000}">
      <formula1>Desinsum</formula1>
      <formula2>0</formula2>
    </dataValidation>
  </dataValidations>
  <printOptions horizontalCentered="1"/>
  <pageMargins left="0.59055118110236227" right="0.59055118110236227" top="0.59055118110236227" bottom="0.59055118110236227" header="0.51181102362204722" footer="0.51181102362204722"/>
  <pageSetup scale="65" orientation="portrait" horizontalDpi="300" verticalDpi="300" r:id="rId1"/>
  <rowBreaks count="25" manualBreakCount="25">
    <brk id="82" max="6" man="1"/>
    <brk id="162" max="6" man="1"/>
    <brk id="226" max="6" man="1"/>
    <brk id="286" max="6" man="1"/>
    <brk id="346" max="6" man="1"/>
    <brk id="406" max="6" man="1"/>
    <brk id="466" max="6" man="1"/>
    <brk id="526" max="6" man="1"/>
    <brk id="586" max="6" man="1"/>
    <brk id="646" max="6" man="1"/>
    <brk id="706" max="6" man="1"/>
    <brk id="766" max="6" man="1"/>
    <brk id="826" max="6" man="1"/>
    <brk id="886" max="6" man="1"/>
    <brk id="946" max="6" man="1"/>
    <brk id="1006" max="6" man="1"/>
    <brk id="1066" max="6" man="1"/>
    <brk id="1127" max="6" man="1"/>
    <brk id="1186" max="6" man="1"/>
    <brk id="1246" max="6" man="1"/>
    <brk id="1306" max="6" man="1"/>
    <brk id="1386" max="6" man="1"/>
    <brk id="1446" max="6" man="1"/>
    <brk id="1526" max="6" man="1"/>
    <brk id="1606" max="6" man="1"/>
  </rowBreaks>
  <colBreaks count="1" manualBreakCount="1">
    <brk id="7" max="1048575" man="1"/>
  </colBreaks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1F00-000001000000}">
          <x14:formula1>
            <xm:f>'Mano de obra'!$B$31:$B$58</xm:f>
          </x14:formula1>
          <x14:formula2>
            <xm:f>0</xm:f>
          </x14:formula2>
          <xm:sqref>B182:B184 B1444:B1446 B404:B406 B1544:B1546 B984:B986 B1004:B1006 B1024:B1026 B1284:B1286 B1304:B1306 B664:B666 B684:B686 B704:B706 B724:B726 B1124:B1126 B584:B586 B604:B606 B624:B626 B644:B646 B544:B546 B564:B566 B484:B486 B504:B506 B524:B526 B424:B426 B1044:B1046 B1064:B1066 B1084:B1086 B744:B746 B764:B766 B784:B786 B804:B806 B444:B446 B464:B466 B1244:B1246 B1264:B1266 B1324:B1326 B384:B386 B1144:B1146 B1164:B1166 B1184:B1186 B1204:B1206 B1224:B1226 B884:B886 B904:B906 B924:B926 B944:B946 B964:B966 B824:B826 B844:B846 B864:B866 B284:B286 B304:B306 B324:B326 B344:B346 B364:B366 B1424:B1426 B1404:B1406 B1344:B1346 B1364:B1366 B224:B226 B203:B205 B244:B246 B264:B266 B1104:B1106 B120:B122 B1384:B1386 B1484:B1486 B1644:B1646 B140:B142 B1464:B1466 B1504:B1506 B1524:B1526 B160:B162 B20:B22 B1624:B1626 B40:B42 B60:B62 B80:B82 B100:B102 B1564:B1566 B1584:B1586 B1604:B1606 B1664:B1666</xm:sqref>
        </x14:dataValidation>
        <x14:dataValidation type="list" allowBlank="1" showInputMessage="1" showErrorMessage="1" xr:uid="{00000000-0002-0000-1F00-000002000000}">
          <x14:formula1>
            <xm:f>Transporte!$A$4:$A$9</xm:f>
          </x14:formula1>
          <x14:formula2>
            <xm:f>0</xm:f>
          </x14:formula2>
          <xm:sqref>B179:B180 B1441:B1442 B401:B402 B1541:B1542 B981:B982 B1001:B1002 B1021:B1022 B1281:B1282 B1301:B1302 B661:B662 B681:B682 B701:B702 B721:B722 B1121:B1122 B581:B582 B601:B602 B621:B622 B641:B642 B541:B542 B561:B562 B481:B482 B501:B502 B521:B522 B421:B422 B1041:B1042 B1061:B1062 B1081:B1082 B741:B742 B761:B762 B781:B782 B801:B802 B441:B442 B461:B462 B1241:B1242 B1261:B1262 B117:B118 B381:B382 B1141:B1142 B1161:B1162 B1181:B1182 B1201:B1202 B1221:B1222 B881:B882 B901:B902 B921:B922 B941:B942 B961:B962 B821:B822 B841:B842 B861:B862 B281:B282 B301:B302 B321:B322 B341:B342 B361:B362 B1421:B1422 B1401:B1402 B1341:B1342 B1361:B1362 B221:B222 B200:B201 B241:B242 B261:B262 B1101:B1102 B1321:B1322 B1381:B1382 B1481:B1482 B1641:B1642 B137:B138 B1461:B1462 B1501:B1502 B1521:B1522 B157:B158 B17:B18 B1621:B1622 B37:B38 B57:B58 B77:B78 B97:B98 B1561:B1562 B1581:B1582 B1601:B1602 B1661:B1662</xm:sqref>
        </x14:dataValidation>
        <x14:dataValidation type="list" allowBlank="1" showInputMessage="1" showErrorMessage="1" xr:uid="{00000000-0002-0000-1F00-000003000000}">
          <x14:formula1>
            <xm:f>Equipo!$A$4:$A$90</xm:f>
          </x14:formula1>
          <x14:formula2>
            <xm:f>0</xm:f>
          </x14:formula2>
          <xm:sqref>B175:B177 B1537:B1539 B1517:B1519 B1497:B1499 B1457:B1459 B133:B135 B1637:B1639 B1477:B1479 B1377:B1379 B1317:B1319 B1097:B1099 B257:B259 B237:B239 B196:B198 B217:B219 B1357:B1359 B1337:B1339 B1397:B1399 B1417:B1419 B357:B359 B337:B339 B317:B319 B297:B299 B277:B279 B857:B859 B837:B839 B817:B819 B957:B959 B937:B939 B917:B919 B897:B899 B877:B879 B1217:B1219 B1197:B1199 B1177:B1179 B1157:B1159 B1137:B1139 B377:B379 B113:B115 B1257:B1259 B1237:B1239 B457:B459 B437:B439 B797:B799 B777:B779 B757:B759 B737:B739 B1077:B1079 B1057:B1059 B1037:B1039 B417:B419 B517:B519 B497:B499 B477:B479 B557:B559 B537:B539 B637:B639 B597:B599 B617:B619 B577:B579 B1117:B1119 B717:B719 B697:B699 B677:B679 B657:B659 B1297:B1299 B1277:B1279 B1017:B1019 B997:B999 B977:B979 B1437:B1439 B397:B399 B153:B155 B1617:B1619 B13:B15 B33:B35 B53:B55 B73:B75 B93:B95 B1557:B1559 B1577:B1579 B1597:B1599 B1657:B1659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tabColor rgb="FF92D050"/>
  </sheetPr>
  <dimension ref="A1:K1271"/>
  <sheetViews>
    <sheetView view="pageBreakPreview" topLeftCell="A1239" zoomScale="90" zoomScaleNormal="100" zoomScaleSheetLayoutView="90" zoomScalePageLayoutView="90" workbookViewId="0">
      <selection activeCell="F888" sqref="F888"/>
    </sheetView>
  </sheetViews>
  <sheetFormatPr baseColWidth="10" defaultColWidth="10.73046875" defaultRowHeight="12.75" customHeight="1"/>
  <cols>
    <col min="1" max="1" width="8.73046875" style="48" customWidth="1"/>
    <col min="2" max="2" width="65.73046875" style="3" customWidth="1"/>
    <col min="3" max="3" width="10.73046875" style="3" customWidth="1"/>
    <col min="4" max="4" width="11.73046875" style="3" customWidth="1"/>
    <col min="5" max="5" width="13.73046875" style="49" customWidth="1"/>
    <col min="6" max="6" width="12.73046875" style="3" customWidth="1"/>
    <col min="7" max="10" width="14.73046875" style="3" customWidth="1"/>
    <col min="11" max="11" width="10.73046875" style="3" customWidth="1"/>
    <col min="12" max="16384" width="10.73046875" style="3"/>
  </cols>
  <sheetData>
    <row r="1" spans="1:11">
      <c r="A1" s="1"/>
      <c r="B1" s="316" t="str">
        <f>Presupuesto!A1</f>
        <v>ALCALDIA DE PEREIRA</v>
      </c>
      <c r="C1" s="316"/>
      <c r="D1" s="316"/>
      <c r="E1" s="316"/>
      <c r="F1" s="316"/>
      <c r="G1" s="316"/>
      <c r="H1" s="2"/>
    </row>
    <row r="2" spans="1:11">
      <c r="A2" s="1"/>
      <c r="B2" s="316" t="str">
        <f>Presupuesto!A2</f>
        <v>VERSION O BASE DE DATOS ALCALDIA DE PEREIRA 2026</v>
      </c>
      <c r="C2" s="316"/>
      <c r="D2" s="316"/>
      <c r="E2" s="316"/>
      <c r="F2" s="316"/>
      <c r="G2" s="316"/>
      <c r="H2" s="2"/>
    </row>
    <row r="3" spans="1:11" ht="14.85" customHeight="1">
      <c r="A3" s="4"/>
      <c r="B3" s="323" t="s">
        <v>3796</v>
      </c>
      <c r="C3" s="323"/>
      <c r="D3" s="323"/>
      <c r="E3" s="323"/>
      <c r="F3" s="323"/>
      <c r="G3" s="323"/>
      <c r="H3" s="5"/>
    </row>
    <row r="4" spans="1:11">
      <c r="A4" s="6" t="s">
        <v>2428</v>
      </c>
      <c r="B4" s="7" t="str">
        <f>VLOOKUP($A4,Presupuesto!$A:$D,2,FALSE())</f>
        <v>Pintura tráfico cruces y marcas viales (sobre concreto asfaltico)</v>
      </c>
      <c r="C4" s="8" t="str">
        <f>VLOOKUP($A4,Presupuesto!$A:$D,3,FALSE())</f>
        <v>M2</v>
      </c>
      <c r="D4" s="9"/>
      <c r="E4" s="10">
        <f>VLOOKUP($A4,Presupuesto!$A:$D,4,FALSE())</f>
        <v>0</v>
      </c>
      <c r="F4" s="11" t="s">
        <v>2589</v>
      </c>
      <c r="G4" s="12">
        <f>SUM(G6:G22)/2</f>
        <v>29696.185583400005</v>
      </c>
      <c r="H4" s="13">
        <f>ROUND(SUM(H6:H22),0)/2</f>
        <v>0</v>
      </c>
      <c r="I4" s="10">
        <f>VLOOKUP(A4,Presupuesto!$A:$F,6,0)</f>
        <v>0</v>
      </c>
      <c r="J4" s="10">
        <f>+H4-I4</f>
        <v>0</v>
      </c>
      <c r="K4" s="46">
        <f>+H4-G4*E4</f>
        <v>0</v>
      </c>
    </row>
    <row r="5" spans="1:11">
      <c r="A5" s="14"/>
      <c r="B5" s="15" t="s">
        <v>2586</v>
      </c>
      <c r="C5" s="15" t="s">
        <v>5</v>
      </c>
      <c r="D5" s="16" t="s">
        <v>6</v>
      </c>
      <c r="E5" s="17" t="s">
        <v>7</v>
      </c>
      <c r="F5" s="18" t="s">
        <v>3728</v>
      </c>
      <c r="G5" s="19" t="s">
        <v>3729</v>
      </c>
      <c r="H5" s="20" t="s">
        <v>3797</v>
      </c>
    </row>
    <row r="6" spans="1:11">
      <c r="A6" s="21"/>
      <c r="B6" s="22" t="s">
        <v>3730</v>
      </c>
      <c r="C6" s="23"/>
      <c r="D6" s="24"/>
      <c r="E6" s="25"/>
      <c r="F6" s="26"/>
      <c r="G6" s="27">
        <f>SUM(G7:G11)</f>
        <v>19915.140000000003</v>
      </c>
      <c r="H6" s="27">
        <f>IFERROR(G6*E4,"")</f>
        <v>0</v>
      </c>
    </row>
    <row r="7" spans="1:11">
      <c r="A7" s="28"/>
      <c r="B7" s="29" t="s">
        <v>2926</v>
      </c>
      <c r="C7" s="30" t="str">
        <f>IFERROR(_xlfn.XLOOKUP(B7,Insumo[DESCRIPCION],Insumo[UND],,0),"")</f>
        <v>Lt</v>
      </c>
      <c r="D7" s="31">
        <v>0.2</v>
      </c>
      <c r="E7" s="32">
        <f>IFERROR(_xlfn.XLOOKUP($B7,Insumo[DESCRIPCION],Insumo[VALOR],,0),"")</f>
        <v>18834.900000000001</v>
      </c>
      <c r="F7" s="33"/>
      <c r="G7" s="34">
        <f>IFERROR(IF(F7&gt;=0,D7*E7*(1+F7/100),ABS(D7*E7/F7)),"")</f>
        <v>3766.9800000000005</v>
      </c>
      <c r="H7" s="43">
        <f>IFERROR(G7*E4,"")</f>
        <v>0</v>
      </c>
    </row>
    <row r="8" spans="1:11">
      <c r="A8" s="28"/>
      <c r="B8" s="29" t="s">
        <v>3208</v>
      </c>
      <c r="C8" s="30" t="str">
        <f>IFERROR(_xlfn.XLOOKUP(B8,Insumo[DESCRIPCION],Insumo[UND],,0),"")</f>
        <v>galón</v>
      </c>
      <c r="D8" s="31">
        <v>0.1</v>
      </c>
      <c r="E8" s="32">
        <f>IFERROR(_xlfn.XLOOKUP($B8,Insumo[DESCRIPCION],Insumo[VALOR],,0),"")</f>
        <v>142720.20000000001</v>
      </c>
      <c r="F8" s="33"/>
      <c r="G8" s="34">
        <f>IFERROR(IF(F8&gt;=0,D8*E8*(1+F8/100),ABS(D8*E8/F8)),"")</f>
        <v>14272.020000000002</v>
      </c>
      <c r="H8" s="43">
        <f>IFERROR(G8*E4,"")</f>
        <v>0</v>
      </c>
    </row>
    <row r="9" spans="1:11">
      <c r="A9" s="28"/>
      <c r="B9" s="29" t="s">
        <v>3173</v>
      </c>
      <c r="C9" s="30" t="str">
        <f>IFERROR(_xlfn.XLOOKUP(B9,Insumo[DESCRIPCION],Insumo[UND],,0),"")</f>
        <v>Kg</v>
      </c>
      <c r="D9" s="31">
        <v>0.3</v>
      </c>
      <c r="E9" s="32">
        <f>IFERROR(_xlfn.XLOOKUP($B9,Insumo[DESCRIPCION],Insumo[VALOR],,0),"")</f>
        <v>6253.8</v>
      </c>
      <c r="F9" s="33"/>
      <c r="G9" s="34">
        <f>IFERROR(IF(F9&gt;=0,D9*E9*(1+F9/100),ABS(D9*E9/F9)),"")</f>
        <v>1876.1399999999999</v>
      </c>
      <c r="H9" s="43">
        <f>IFERROR(G9*E4,"")</f>
        <v>0</v>
      </c>
    </row>
    <row r="10" spans="1:11">
      <c r="A10" s="28"/>
      <c r="B10" s="29"/>
      <c r="C10" s="30" t="str">
        <f>IFERROR(_xlfn.XLOOKUP(B10,Insumo[DESCRIPCION],Insumo[UND],,0),"")</f>
        <v/>
      </c>
      <c r="D10" s="31"/>
      <c r="E10" s="32" t="str">
        <f>IFERROR(_xlfn.XLOOKUP($B10,Insumo[DESCRIPCION],Insumo[VALOR],,0),"")</f>
        <v/>
      </c>
      <c r="F10" s="33"/>
      <c r="G10" s="34" t="str">
        <f>IFERROR(IF(F10&gt;=0,D10*E10*(1+F10/100),ABS(D10*E10/F10)),"")</f>
        <v/>
      </c>
      <c r="H10" s="43" t="str">
        <f>IFERROR(G10*E4,"")</f>
        <v/>
      </c>
    </row>
    <row r="11" spans="1:11">
      <c r="A11" s="28"/>
      <c r="B11" s="29"/>
      <c r="C11" s="30" t="str">
        <f>IFERROR(_xlfn.XLOOKUP(B11,Insumo[DESCRIPCION],Insumo[UND],,0),"")</f>
        <v/>
      </c>
      <c r="D11" s="31"/>
      <c r="E11" s="32" t="str">
        <f>IFERROR(_xlfn.XLOOKUP($B11,Insumo[DESCRIPCION],Insumo[VALOR],,0),"")</f>
        <v/>
      </c>
      <c r="F11" s="33"/>
      <c r="G11" s="34" t="str">
        <f>IFERROR(IF(F11&gt;=0,D11*E11*(1+F11/100),ABS(D11*E11/F11)),"")</f>
        <v/>
      </c>
      <c r="H11" s="43" t="str">
        <f>IFERROR(G11*E4,"")</f>
        <v/>
      </c>
    </row>
    <row r="12" spans="1:11">
      <c r="A12" s="21"/>
      <c r="B12" s="22" t="s">
        <v>3731</v>
      </c>
      <c r="C12" s="23"/>
      <c r="D12" s="24"/>
      <c r="E12" s="25"/>
      <c r="F12" s="26"/>
      <c r="G12" s="27">
        <f>SUM(G13:G15)</f>
        <v>465.76407540000014</v>
      </c>
      <c r="H12" s="44">
        <f>G12*E4</f>
        <v>0</v>
      </c>
    </row>
    <row r="13" spans="1:11">
      <c r="A13" s="28"/>
      <c r="B13" s="29" t="s">
        <v>3626</v>
      </c>
      <c r="C13" s="30" t="str">
        <f>IFERROR(_xlfn.XLOOKUP(B13,Equipo[DESCRIPCION],Equipo[UND],,0),"")</f>
        <v>%MO</v>
      </c>
      <c r="D13" s="31">
        <v>0.05</v>
      </c>
      <c r="E13" s="32">
        <f>IF(C13="%MO",G19,IFERROR(_xlfn.XLOOKUP($B13,Equipo[DESCRIPCION],Equipo[VALOR],,0),""))</f>
        <v>9315.2815080000018</v>
      </c>
      <c r="F13" s="33"/>
      <c r="G13" s="34">
        <f>IFERROR(IF(F13&gt;=0,D13*E13*(1+F13/100),ABS(D13*E13/F13)),"")</f>
        <v>465.76407540000014</v>
      </c>
      <c r="H13" s="43">
        <f>IFERROR(G13*E4,"")</f>
        <v>0</v>
      </c>
    </row>
    <row r="14" spans="1:11">
      <c r="A14" s="28"/>
      <c r="B14" s="29"/>
      <c r="C14" s="30" t="str">
        <f>IFERROR(_xlfn.XLOOKUP(B14,Equipo[DESCRIPCION],Equipo[UND],,0),"")</f>
        <v/>
      </c>
      <c r="D14" s="31"/>
      <c r="E14" s="32" t="str">
        <f>IF(C14="%MO",G19,IFERROR(_xlfn.XLOOKUP($B14,Equipo[DESCRIPCION],Equipo[VALOR],,0),""))</f>
        <v/>
      </c>
      <c r="F14" s="33"/>
      <c r="G14" s="34" t="str">
        <f>IFERROR(IF(F14&gt;=0,D14*E14*(1+F14/100),ABS(D14*E14/F14)),"")</f>
        <v/>
      </c>
      <c r="H14" s="43" t="str">
        <f>IFERROR(G14*E4,"")</f>
        <v/>
      </c>
    </row>
    <row r="15" spans="1:11">
      <c r="A15" s="28"/>
      <c r="B15" s="29"/>
      <c r="C15" s="30" t="str">
        <f>IFERROR(_xlfn.XLOOKUP(B15,Equipo[DESCRIPCION],Equipo[UND],,0),"")</f>
        <v/>
      </c>
      <c r="D15" s="31"/>
      <c r="E15" s="32" t="str">
        <f>IF(C15="%MO",G19,IFERROR(_xlfn.XLOOKUP($B15,Equipo[DESCRIPCION],Equipo[VALOR],,0),""))</f>
        <v/>
      </c>
      <c r="F15" s="33"/>
      <c r="G15" s="34" t="str">
        <f>IFERROR(IF(F15&gt;=0,D15*E15*(1+F15/100),ABS(D15*E15/F15)),"")</f>
        <v/>
      </c>
      <c r="H15" s="43" t="str">
        <f>IFERROR(G15*E4,"")</f>
        <v/>
      </c>
    </row>
    <row r="16" spans="1:11">
      <c r="A16" s="21"/>
      <c r="B16" s="22" t="s">
        <v>2533</v>
      </c>
      <c r="C16" s="23"/>
      <c r="D16" s="24"/>
      <c r="E16" s="25"/>
      <c r="F16" s="26"/>
      <c r="G16" s="27">
        <f>SUM(G17:G18)</f>
        <v>0</v>
      </c>
      <c r="H16" s="44">
        <f>G16*E4</f>
        <v>0</v>
      </c>
    </row>
    <row r="17" spans="1:11">
      <c r="A17" s="28"/>
      <c r="B17" s="29"/>
      <c r="C17" s="30" t="str">
        <f>IFERROR(_xlfn.XLOOKUP(B17,Transporte[DESCRIPCION],Transporte[UND],,0),"")</f>
        <v/>
      </c>
      <c r="D17" s="31"/>
      <c r="E17" s="32" t="str">
        <f>IFERROR(_xlfn.XLOOKUP($B17,Transporte[DESCRIPCION],Transporte[VALOR],,0),"")</f>
        <v/>
      </c>
      <c r="F17" s="33"/>
      <c r="G17" s="34" t="str">
        <f>IFERROR(IF(F17&gt;=0,D17*E17*(1+F17/100),ABS(D17*E17/F17)),"")</f>
        <v/>
      </c>
      <c r="H17" s="43" t="str">
        <f>IFERROR(G17*E4,"")</f>
        <v/>
      </c>
    </row>
    <row r="18" spans="1:11">
      <c r="A18" s="28"/>
      <c r="B18" s="29"/>
      <c r="C18" s="30" t="str">
        <f>IFERROR(_xlfn.XLOOKUP(B18,Transporte[DESCRIPCION],Transporte[UND],,0),"")</f>
        <v/>
      </c>
      <c r="D18" s="31"/>
      <c r="E18" s="32" t="str">
        <f>IFERROR(_xlfn.XLOOKUP($B18,Transporte[DESCRIPCION],Transporte[VALOR],,0),"")</f>
        <v/>
      </c>
      <c r="F18" s="33"/>
      <c r="G18" s="34" t="str">
        <f>IFERROR(IF(F18&gt;=0,D18*E18*(1+F18/100),ABS(D18*E18/F18)),"")</f>
        <v/>
      </c>
      <c r="H18" s="43" t="str">
        <f>IFERROR(G18*E4,"")</f>
        <v/>
      </c>
    </row>
    <row r="19" spans="1:11">
      <c r="A19" s="21"/>
      <c r="B19" s="22" t="s">
        <v>3732</v>
      </c>
      <c r="C19" s="23"/>
      <c r="D19" s="24"/>
      <c r="E19" s="25"/>
      <c r="F19" s="26"/>
      <c r="G19" s="27">
        <f>SUM(G20:G22)</f>
        <v>9315.2815080000018</v>
      </c>
      <c r="H19" s="44">
        <f>G19*E4</f>
        <v>0</v>
      </c>
    </row>
    <row r="20" spans="1:11">
      <c r="A20" s="28"/>
      <c r="B20" s="29" t="s">
        <v>3716</v>
      </c>
      <c r="C20" s="30" t="str">
        <f>IFERROR(_xlfn.XLOOKUP(B20,MObra[DESCRIPCION],MObra[UN],,0),"")</f>
        <v>día</v>
      </c>
      <c r="D20" s="31">
        <v>1</v>
      </c>
      <c r="E20" s="32">
        <f>IFERROR(_xlfn.XLOOKUP($B20,MObra[DESCRIPCION],MObra[VALOR UNIT],,0),"")</f>
        <v>465764.07540000009</v>
      </c>
      <c r="F20" s="33">
        <v>-50</v>
      </c>
      <c r="G20" s="34">
        <f>IFERROR(IF(F20&gt;=0,D20*E20*(1+F20/100),ABS(D20*E20/F20)),"")</f>
        <v>9315.2815080000018</v>
      </c>
      <c r="H20" s="43">
        <f>IFERROR(G20*E4,"")</f>
        <v>0</v>
      </c>
    </row>
    <row r="21" spans="1:11">
      <c r="A21" s="28"/>
      <c r="B21" s="29"/>
      <c r="C21" s="30" t="str">
        <f>IFERROR(_xlfn.XLOOKUP(B21,MObra[DESCRIPCION],MObra[UN],,0),"")</f>
        <v/>
      </c>
      <c r="D21" s="31"/>
      <c r="E21" s="32" t="str">
        <f>IFERROR(_xlfn.XLOOKUP($B21,MObra[DESCRIPCION],MObra[VALOR UNIT],,0),"")</f>
        <v/>
      </c>
      <c r="F21" s="33"/>
      <c r="G21" s="34" t="str">
        <f>IFERROR(IF(F21&gt;=0,D21*E21*(1+F21/100),ABS(D21*E21/F21)),"")</f>
        <v/>
      </c>
      <c r="H21" s="43" t="str">
        <f>IFERROR(G21*E4,"")</f>
        <v/>
      </c>
    </row>
    <row r="22" spans="1:11">
      <c r="A22" s="35"/>
      <c r="B22" s="36"/>
      <c r="C22" s="37" t="str">
        <f>IFERROR(_xlfn.XLOOKUP(B22,MObra[DESCRIPCION],MObra[UN],,0),"")</f>
        <v/>
      </c>
      <c r="D22" s="38"/>
      <c r="E22" s="39" t="str">
        <f>IFERROR(_xlfn.XLOOKUP($B22,MObra[DESCRIPCION],MObra[VALOR UNIT],,0),"")</f>
        <v/>
      </c>
      <c r="F22" s="40"/>
      <c r="G22" s="41" t="str">
        <f>IFERROR(IF(F22&gt;=0,D22*E22*(1+F22/100),ABS(D22*E22/F22)),"")</f>
        <v/>
      </c>
      <c r="H22" s="42" t="str">
        <f>IFERROR(G22*E4,"")</f>
        <v/>
      </c>
    </row>
    <row r="24" spans="1:11">
      <c r="A24" s="6" t="s">
        <v>2430</v>
      </c>
      <c r="B24" s="7" t="str">
        <f>VLOOKUP($A24,Presupuesto!$A:$D,2,FALSE())</f>
        <v>Pintura tráfico cruces y marcas viales (sobre concreto hidráulico)</v>
      </c>
      <c r="C24" s="8" t="str">
        <f>VLOOKUP($A24,Presupuesto!$A:$D,3,FALSE())</f>
        <v>M2</v>
      </c>
      <c r="D24" s="9"/>
      <c r="E24" s="10">
        <f>VLOOKUP($A24,Presupuesto!$A:$D,4,FALSE())</f>
        <v>0</v>
      </c>
      <c r="F24" s="11" t="s">
        <v>2589</v>
      </c>
      <c r="G24" s="12">
        <f>SUM(G26:G42)/2</f>
        <v>88606.773958500009</v>
      </c>
      <c r="H24" s="13">
        <f>ROUND(SUM(H26:H42),0)/2</f>
        <v>0</v>
      </c>
      <c r="I24" s="10">
        <f>VLOOKUP(A24,Presupuesto!$A:$F,6,0)</f>
        <v>0</v>
      </c>
      <c r="J24" s="10">
        <f>+H24-I24</f>
        <v>0</v>
      </c>
      <c r="K24" s="46">
        <f>+H24-G24*E24</f>
        <v>0</v>
      </c>
    </row>
    <row r="25" spans="1:11">
      <c r="A25" s="14"/>
      <c r="B25" s="15" t="s">
        <v>2586</v>
      </c>
      <c r="C25" s="15" t="s">
        <v>5</v>
      </c>
      <c r="D25" s="16" t="s">
        <v>6</v>
      </c>
      <c r="E25" s="17" t="s">
        <v>7</v>
      </c>
      <c r="F25" s="18" t="s">
        <v>3728</v>
      </c>
      <c r="G25" s="19" t="s">
        <v>3729</v>
      </c>
      <c r="H25" s="20" t="s">
        <v>3797</v>
      </c>
    </row>
    <row r="26" spans="1:11">
      <c r="A26" s="21"/>
      <c r="B26" s="22" t="s">
        <v>3730</v>
      </c>
      <c r="C26" s="23"/>
      <c r="D26" s="24"/>
      <c r="E26" s="25"/>
      <c r="F26" s="26"/>
      <c r="G26" s="27">
        <f>SUM(G27:G31)</f>
        <v>64154.160000000011</v>
      </c>
      <c r="H26" s="27">
        <f>IFERROR(G26*E24,"")</f>
        <v>0</v>
      </c>
    </row>
    <row r="27" spans="1:11">
      <c r="A27" s="28"/>
      <c r="B27" s="29" t="s">
        <v>2926</v>
      </c>
      <c r="C27" s="30" t="str">
        <f>IFERROR(_xlfn.XLOOKUP(B27,Insumo[DESCRIPCION],Insumo[UND],,0),"")</f>
        <v>Lt</v>
      </c>
      <c r="D27" s="31">
        <v>0.4</v>
      </c>
      <c r="E27" s="32">
        <f>IFERROR(_xlfn.XLOOKUP($B27,Insumo[DESCRIPCION],Insumo[VALOR],,0),"")</f>
        <v>18834.900000000001</v>
      </c>
      <c r="F27" s="33"/>
      <c r="G27" s="34">
        <f>IFERROR(IF(F27&gt;=0,D27*E27*(1+F27/100),ABS(D27*E27/F27)),"")</f>
        <v>7533.9600000000009</v>
      </c>
      <c r="H27" s="43">
        <f>IFERROR(G27*E24,"")</f>
        <v>0</v>
      </c>
    </row>
    <row r="28" spans="1:11">
      <c r="A28" s="28"/>
      <c r="B28" s="29" t="s">
        <v>3208</v>
      </c>
      <c r="C28" s="30" t="str">
        <f>IFERROR(_xlfn.XLOOKUP(B28,Insumo[DESCRIPCION],Insumo[UND],,0),"")</f>
        <v>galón</v>
      </c>
      <c r="D28" s="31">
        <v>0.2</v>
      </c>
      <c r="E28" s="32">
        <f>IFERROR(_xlfn.XLOOKUP($B28,Insumo[DESCRIPCION],Insumo[VALOR],,0),"")</f>
        <v>142720.20000000001</v>
      </c>
      <c r="F28" s="33"/>
      <c r="G28" s="34">
        <f>IFERROR(IF(F28&gt;=0,D28*E28*(1+F28/100),ABS(D28*E28/F28)),"")</f>
        <v>28544.040000000005</v>
      </c>
      <c r="H28" s="43">
        <f>IFERROR(G28*E24,"")</f>
        <v>0</v>
      </c>
    </row>
    <row r="29" spans="1:11">
      <c r="A29" s="28"/>
      <c r="B29" s="29" t="s">
        <v>3173</v>
      </c>
      <c r="C29" s="30" t="str">
        <f>IFERROR(_xlfn.XLOOKUP(B29,Insumo[DESCRIPCION],Insumo[UND],,0),"")</f>
        <v>Kg</v>
      </c>
      <c r="D29" s="31">
        <v>0.6</v>
      </c>
      <c r="E29" s="32">
        <f>IFERROR(_xlfn.XLOOKUP($B29,Insumo[DESCRIPCION],Insumo[VALOR],,0),"")</f>
        <v>6253.8</v>
      </c>
      <c r="F29" s="33"/>
      <c r="G29" s="34">
        <f>IFERROR(IF(F29&gt;=0,D29*E29*(1+F29/100),ABS(D29*E29/F29)),"")</f>
        <v>3752.2799999999997</v>
      </c>
      <c r="H29" s="43">
        <f>IFERROR(G29*E24,"")</f>
        <v>0</v>
      </c>
    </row>
    <row r="30" spans="1:11">
      <c r="A30" s="28"/>
      <c r="B30" s="29" t="s">
        <v>3005</v>
      </c>
      <c r="C30" s="30" t="str">
        <f>IFERROR(_xlfn.XLOOKUP(B30,Insumo[DESCRIPCION],Insumo[UND],,0),"")</f>
        <v>galón</v>
      </c>
      <c r="D30" s="31">
        <v>0.2</v>
      </c>
      <c r="E30" s="32">
        <f>IFERROR(_xlfn.XLOOKUP($B30,Insumo[DESCRIPCION],Insumo[VALOR],,0),"")</f>
        <v>121619.40000000001</v>
      </c>
      <c r="F30" s="33"/>
      <c r="G30" s="34">
        <f>IFERROR(IF(F30&gt;=0,D30*E30*(1+F30/100),ABS(D30*E30/F30)),"")</f>
        <v>24323.880000000005</v>
      </c>
      <c r="H30" s="43">
        <f>IFERROR(G30*E24,"")</f>
        <v>0</v>
      </c>
    </row>
    <row r="31" spans="1:11">
      <c r="A31" s="28"/>
      <c r="B31" s="29"/>
      <c r="C31" s="30" t="str">
        <f>IFERROR(_xlfn.XLOOKUP(B31,Insumo[DESCRIPCION],Insumo[UND],,0),"")</f>
        <v/>
      </c>
      <c r="D31" s="31"/>
      <c r="E31" s="32" t="str">
        <f>IFERROR(_xlfn.XLOOKUP($B31,Insumo[DESCRIPCION],Insumo[VALOR],,0),"")</f>
        <v/>
      </c>
      <c r="F31" s="33"/>
      <c r="G31" s="34" t="str">
        <f>IFERROR(IF(F31&gt;=0,D31*E31*(1+F31/100),ABS(D31*E31/F31)),"")</f>
        <v/>
      </c>
      <c r="H31" s="43" t="str">
        <f>IFERROR(G31*E24,"")</f>
        <v/>
      </c>
    </row>
    <row r="32" spans="1:11">
      <c r="A32" s="21"/>
      <c r="B32" s="22" t="s">
        <v>3731</v>
      </c>
      <c r="C32" s="23"/>
      <c r="D32" s="24"/>
      <c r="E32" s="25"/>
      <c r="F32" s="26"/>
      <c r="G32" s="27">
        <f>SUM(G33:G35)</f>
        <v>1164.4101885000002</v>
      </c>
      <c r="H32" s="44">
        <f>G32*E24</f>
        <v>0</v>
      </c>
    </row>
    <row r="33" spans="1:11">
      <c r="A33" s="28"/>
      <c r="B33" s="29" t="s">
        <v>3626</v>
      </c>
      <c r="C33" s="30" t="str">
        <f>IFERROR(_xlfn.XLOOKUP(B33,Equipo[DESCRIPCION],Equipo[UND],,0),"")</f>
        <v>%MO</v>
      </c>
      <c r="D33" s="31">
        <v>0.05</v>
      </c>
      <c r="E33" s="32">
        <f>IF(C33="%MO",G39,IFERROR(_xlfn.XLOOKUP($B33,Equipo[DESCRIPCION],Equipo[VALOR],,0),""))</f>
        <v>23288.203770000004</v>
      </c>
      <c r="F33" s="33"/>
      <c r="G33" s="34">
        <f>IFERROR(IF(F33&gt;=0,D33*E33*(1+F33/100),ABS(D33*E33/F33)),"")</f>
        <v>1164.4101885000002</v>
      </c>
      <c r="H33" s="43">
        <f>IFERROR(G33*E24,"")</f>
        <v>0</v>
      </c>
    </row>
    <row r="34" spans="1:11">
      <c r="A34" s="28"/>
      <c r="B34" s="29"/>
      <c r="C34" s="30" t="str">
        <f>IFERROR(_xlfn.XLOOKUP(B34,Equipo[DESCRIPCION],Equipo[UND],,0),"")</f>
        <v/>
      </c>
      <c r="D34" s="31"/>
      <c r="E34" s="32" t="str">
        <f>IF(C34="%MO",G39,IFERROR(_xlfn.XLOOKUP($B34,Equipo[DESCRIPCION],Equipo[VALOR],,0),""))</f>
        <v/>
      </c>
      <c r="F34" s="33"/>
      <c r="G34" s="34" t="str">
        <f>IFERROR(IF(F34&gt;=0,D34*E34*(1+F34/100),ABS(D34*E34/F34)),"")</f>
        <v/>
      </c>
      <c r="H34" s="43" t="str">
        <f>IFERROR(G34*E24,"")</f>
        <v/>
      </c>
    </row>
    <row r="35" spans="1:11">
      <c r="A35" s="28"/>
      <c r="B35" s="29"/>
      <c r="C35" s="30" t="str">
        <f>IFERROR(_xlfn.XLOOKUP(B35,Equipo[DESCRIPCION],Equipo[UND],,0),"")</f>
        <v/>
      </c>
      <c r="D35" s="31"/>
      <c r="E35" s="32" t="str">
        <f>IF(C35="%MO",G39,IFERROR(_xlfn.XLOOKUP($B35,Equipo[DESCRIPCION],Equipo[VALOR],,0),""))</f>
        <v/>
      </c>
      <c r="F35" s="33"/>
      <c r="G35" s="34" t="str">
        <f>IFERROR(IF(F35&gt;=0,D35*E35*(1+F35/100),ABS(D35*E35/F35)),"")</f>
        <v/>
      </c>
      <c r="H35" s="43" t="str">
        <f>IFERROR(G35*E24,"")</f>
        <v/>
      </c>
    </row>
    <row r="36" spans="1:11">
      <c r="A36" s="21"/>
      <c r="B36" s="22" t="s">
        <v>2533</v>
      </c>
      <c r="C36" s="23"/>
      <c r="D36" s="24"/>
      <c r="E36" s="25"/>
      <c r="F36" s="26"/>
      <c r="G36" s="27">
        <f>SUM(G37:G38)</f>
        <v>0</v>
      </c>
      <c r="H36" s="44">
        <f>G36*E24</f>
        <v>0</v>
      </c>
    </row>
    <row r="37" spans="1:11">
      <c r="A37" s="28"/>
      <c r="B37" s="29"/>
      <c r="C37" s="30" t="str">
        <f>IFERROR(_xlfn.XLOOKUP(B37,Transporte[DESCRIPCION],Transporte[UND],,0),"")</f>
        <v/>
      </c>
      <c r="D37" s="31"/>
      <c r="E37" s="32" t="str">
        <f>IFERROR(_xlfn.XLOOKUP($B37,Transporte[DESCRIPCION],Transporte[VALOR],,0),"")</f>
        <v/>
      </c>
      <c r="F37" s="33"/>
      <c r="G37" s="34" t="str">
        <f>IFERROR(IF(F37&gt;=0,D37*E37*(1+F37/100),ABS(D37*E37/F37)),"")</f>
        <v/>
      </c>
      <c r="H37" s="43" t="str">
        <f>IFERROR(G37*E24,"")</f>
        <v/>
      </c>
    </row>
    <row r="38" spans="1:11">
      <c r="A38" s="28"/>
      <c r="B38" s="29"/>
      <c r="C38" s="30" t="str">
        <f>IFERROR(_xlfn.XLOOKUP(B38,Transporte[DESCRIPCION],Transporte[UND],,0),"")</f>
        <v/>
      </c>
      <c r="D38" s="31"/>
      <c r="E38" s="32" t="str">
        <f>IFERROR(_xlfn.XLOOKUP($B38,Transporte[DESCRIPCION],Transporte[VALOR],,0),"")</f>
        <v/>
      </c>
      <c r="F38" s="33"/>
      <c r="G38" s="34" t="str">
        <f>IFERROR(IF(F38&gt;=0,D38*E38*(1+F38/100),ABS(D38*E38/F38)),"")</f>
        <v/>
      </c>
      <c r="H38" s="43" t="str">
        <f>IFERROR(G38*E24,"")</f>
        <v/>
      </c>
    </row>
    <row r="39" spans="1:11">
      <c r="A39" s="21"/>
      <c r="B39" s="22" t="s">
        <v>3732</v>
      </c>
      <c r="C39" s="23"/>
      <c r="D39" s="24"/>
      <c r="E39" s="25"/>
      <c r="F39" s="26"/>
      <c r="G39" s="27">
        <f>SUM(G40:G42)</f>
        <v>23288.203770000004</v>
      </c>
      <c r="H39" s="44">
        <f>G39*E24</f>
        <v>0</v>
      </c>
    </row>
    <row r="40" spans="1:11">
      <c r="A40" s="28"/>
      <c r="B40" s="29" t="s">
        <v>3716</v>
      </c>
      <c r="C40" s="30" t="str">
        <f>IFERROR(_xlfn.XLOOKUP(B40,MObra[DESCRIPCION],MObra[UN],,0),"")</f>
        <v>día</v>
      </c>
      <c r="D40" s="31">
        <v>1</v>
      </c>
      <c r="E40" s="32">
        <f>IFERROR(_xlfn.XLOOKUP($B40,MObra[DESCRIPCION],MObra[VALOR UNIT],,0),"")</f>
        <v>465764.07540000009</v>
      </c>
      <c r="F40" s="33">
        <v>-20</v>
      </c>
      <c r="G40" s="34">
        <f>IFERROR(IF(F40&gt;=0,D40*E40*(1+F40/100),ABS(D40*E40/F40)),"")</f>
        <v>23288.203770000004</v>
      </c>
      <c r="H40" s="43">
        <f>IFERROR(G40*E24,"")</f>
        <v>0</v>
      </c>
    </row>
    <row r="41" spans="1:11">
      <c r="A41" s="28"/>
      <c r="B41" s="29"/>
      <c r="C41" s="30" t="str">
        <f>IFERROR(_xlfn.XLOOKUP(B41,MObra[DESCRIPCION],MObra[UN],,0),"")</f>
        <v/>
      </c>
      <c r="D41" s="31"/>
      <c r="E41" s="32" t="str">
        <f>IFERROR(_xlfn.XLOOKUP($B41,MObra[DESCRIPCION],MObra[VALOR UNIT],,0),"")</f>
        <v/>
      </c>
      <c r="F41" s="33"/>
      <c r="G41" s="34" t="str">
        <f>IFERROR(IF(F41&gt;=0,D41*E41*(1+F41/100),ABS(D41*E41/F41)),"")</f>
        <v/>
      </c>
      <c r="H41" s="43" t="str">
        <f>IFERROR(G41*E24,"")</f>
        <v/>
      </c>
    </row>
    <row r="42" spans="1:11">
      <c r="A42" s="35"/>
      <c r="B42" s="36"/>
      <c r="C42" s="37" t="str">
        <f>IFERROR(_xlfn.XLOOKUP(B42,MObra[DESCRIPCION],MObra[UN],,0),"")</f>
        <v/>
      </c>
      <c r="D42" s="38"/>
      <c r="E42" s="39" t="str">
        <f>IFERROR(_xlfn.XLOOKUP($B42,MObra[DESCRIPCION],MObra[VALOR UNIT],,0),"")</f>
        <v/>
      </c>
      <c r="F42" s="40"/>
      <c r="G42" s="41" t="str">
        <f>IFERROR(IF(F42&gt;=0,D42*E42*(1+F42/100),ABS(D42*E42/F42)),"")</f>
        <v/>
      </c>
      <c r="H42" s="42" t="str">
        <f>IFERROR(G42*E24,"")</f>
        <v/>
      </c>
    </row>
    <row r="44" spans="1:11">
      <c r="A44" s="6" t="s">
        <v>2432</v>
      </c>
      <c r="B44" s="7" t="str">
        <f>VLOOKUP($A44,Presupuesto!$A:$D,2,FALSE())</f>
        <v>Pintura tráfico flechas dirección</v>
      </c>
      <c r="C44" s="8" t="str">
        <f>VLOOKUP($A44,Presupuesto!$A:$D,3,FALSE())</f>
        <v>M2</v>
      </c>
      <c r="D44" s="9"/>
      <c r="E44" s="10">
        <f>VLOOKUP($A44,Presupuesto!$A:$D,4,FALSE())</f>
        <v>0</v>
      </c>
      <c r="F44" s="11" t="s">
        <v>2589</v>
      </c>
      <c r="G44" s="12">
        <f>SUM(G46:G62)/2</f>
        <v>46502.682639000013</v>
      </c>
      <c r="H44" s="13">
        <f>ROUND(SUM(H46:H62),0)/2</f>
        <v>0</v>
      </c>
      <c r="I44" s="10">
        <f>VLOOKUP(A44,Presupuesto!$A:$F,6,0)</f>
        <v>0</v>
      </c>
      <c r="J44" s="10">
        <f>+H44-I44</f>
        <v>0</v>
      </c>
      <c r="K44" s="46">
        <f>+H44-G44*E44</f>
        <v>0</v>
      </c>
    </row>
    <row r="45" spans="1:11">
      <c r="A45" s="14"/>
      <c r="B45" s="15" t="s">
        <v>2586</v>
      </c>
      <c r="C45" s="15" t="s">
        <v>5</v>
      </c>
      <c r="D45" s="16" t="s">
        <v>6</v>
      </c>
      <c r="E45" s="17" t="s">
        <v>7</v>
      </c>
      <c r="F45" s="18" t="s">
        <v>3728</v>
      </c>
      <c r="G45" s="19" t="s">
        <v>3729</v>
      </c>
      <c r="H45" s="20" t="s">
        <v>3797</v>
      </c>
    </row>
    <row r="46" spans="1:11">
      <c r="A46" s="21"/>
      <c r="B46" s="22" t="s">
        <v>3730</v>
      </c>
      <c r="C46" s="23"/>
      <c r="D46" s="24"/>
      <c r="E46" s="25"/>
      <c r="F46" s="26"/>
      <c r="G46" s="27">
        <f>SUM(G47:G51)</f>
        <v>30200.940000000006</v>
      </c>
      <c r="H46" s="27">
        <f>IFERROR(G46*E44,"")</f>
        <v>0</v>
      </c>
    </row>
    <row r="47" spans="1:11">
      <c r="A47" s="28"/>
      <c r="B47" s="29" t="s">
        <v>2926</v>
      </c>
      <c r="C47" s="30" t="str">
        <f>IFERROR(_xlfn.XLOOKUP(B47,Insumo[DESCRIPCION],Insumo[UND],,0),"")</f>
        <v>Lt</v>
      </c>
      <c r="D47" s="31">
        <v>0.2</v>
      </c>
      <c r="E47" s="32">
        <f>IFERROR(_xlfn.XLOOKUP($B47,Insumo[DESCRIPCION],Insumo[VALOR],,0),"")</f>
        <v>18834.900000000001</v>
      </c>
      <c r="F47" s="33"/>
      <c r="G47" s="34">
        <f>IFERROR(IF(F47&gt;=0,D47*E47*(1+F47/100),ABS(D47*E47/F47)),"")</f>
        <v>3766.9800000000005</v>
      </c>
      <c r="H47" s="43">
        <f>IFERROR(G47*E44,"")</f>
        <v>0</v>
      </c>
    </row>
    <row r="48" spans="1:11">
      <c r="A48" s="28"/>
      <c r="B48" s="29" t="s">
        <v>3208</v>
      </c>
      <c r="C48" s="30" t="str">
        <f>IFERROR(_xlfn.XLOOKUP(B48,Insumo[DESCRIPCION],Insumo[UND],,0),"")</f>
        <v>galón</v>
      </c>
      <c r="D48" s="31">
        <v>0.1</v>
      </c>
      <c r="E48" s="32">
        <f>IFERROR(_xlfn.XLOOKUP($B48,Insumo[DESCRIPCION],Insumo[VALOR],,0),"")</f>
        <v>142720.20000000001</v>
      </c>
      <c r="F48" s="33"/>
      <c r="G48" s="34">
        <f>IFERROR(IF(F48&gt;=0,D48*E48*(1+F48/100),ABS(D48*E48/F48)),"")</f>
        <v>14272.020000000002</v>
      </c>
      <c r="H48" s="43">
        <f>IFERROR(G48*E44,"")</f>
        <v>0</v>
      </c>
    </row>
    <row r="49" spans="1:11">
      <c r="A49" s="28"/>
      <c r="B49" s="29" t="s">
        <v>3005</v>
      </c>
      <c r="C49" s="30" t="str">
        <f>IFERROR(_xlfn.XLOOKUP(B49,Insumo[DESCRIPCION],Insumo[UND],,0),"")</f>
        <v>galón</v>
      </c>
      <c r="D49" s="31">
        <v>0.1</v>
      </c>
      <c r="E49" s="32">
        <f>IFERROR(_xlfn.XLOOKUP($B49,Insumo[DESCRIPCION],Insumo[VALOR],,0),"")</f>
        <v>121619.40000000001</v>
      </c>
      <c r="F49" s="33"/>
      <c r="G49" s="34">
        <f>IFERROR(IF(F49&gt;=0,D49*E49*(1+F49/100),ABS(D49*E49/F49)),"")</f>
        <v>12161.940000000002</v>
      </c>
      <c r="H49" s="43">
        <f>IFERROR(G49*E44,"")</f>
        <v>0</v>
      </c>
    </row>
    <row r="50" spans="1:11">
      <c r="A50" s="28"/>
      <c r="B50" s="29"/>
      <c r="C50" s="30" t="str">
        <f>IFERROR(_xlfn.XLOOKUP(B50,Insumo[DESCRIPCION],Insumo[UND],,0),"")</f>
        <v/>
      </c>
      <c r="D50" s="31"/>
      <c r="E50" s="32" t="str">
        <f>IFERROR(_xlfn.XLOOKUP($B50,Insumo[DESCRIPCION],Insumo[VALOR],,0),"")</f>
        <v/>
      </c>
      <c r="F50" s="33"/>
      <c r="G50" s="34" t="str">
        <f>IFERROR(IF(F50&gt;=0,D50*E50*(1+F50/100),ABS(D50*E50/F50)),"")</f>
        <v/>
      </c>
      <c r="H50" s="43" t="str">
        <f>IFERROR(G50*E44,"")</f>
        <v/>
      </c>
    </row>
    <row r="51" spans="1:11">
      <c r="A51" s="28"/>
      <c r="B51" s="29"/>
      <c r="C51" s="30" t="str">
        <f>IFERROR(_xlfn.XLOOKUP(B51,Insumo[DESCRIPCION],Insumo[UND],,0),"")</f>
        <v/>
      </c>
      <c r="D51" s="31"/>
      <c r="E51" s="32" t="str">
        <f>IFERROR(_xlfn.XLOOKUP($B51,Insumo[DESCRIPCION],Insumo[VALOR],,0),"")</f>
        <v/>
      </c>
      <c r="F51" s="33"/>
      <c r="G51" s="34" t="str">
        <f>IFERROR(IF(F51&gt;=0,D51*E51*(1+F51/100),ABS(D51*E51/F51)),"")</f>
        <v/>
      </c>
      <c r="H51" s="43" t="str">
        <f>IFERROR(G51*E44,"")</f>
        <v/>
      </c>
    </row>
    <row r="52" spans="1:11">
      <c r="A52" s="21"/>
      <c r="B52" s="22" t="s">
        <v>3731</v>
      </c>
      <c r="C52" s="23"/>
      <c r="D52" s="24"/>
      <c r="E52" s="25"/>
      <c r="F52" s="26"/>
      <c r="G52" s="27">
        <f>SUM(G53:G55)</f>
        <v>776.27345900000023</v>
      </c>
      <c r="H52" s="44">
        <f>G52*E44</f>
        <v>0</v>
      </c>
    </row>
    <row r="53" spans="1:11">
      <c r="A53" s="28"/>
      <c r="B53" s="29" t="s">
        <v>3626</v>
      </c>
      <c r="C53" s="30" t="str">
        <f>IFERROR(_xlfn.XLOOKUP(B53,Equipo[DESCRIPCION],Equipo[UND],,0),"")</f>
        <v>%MO</v>
      </c>
      <c r="D53" s="31">
        <v>0.05</v>
      </c>
      <c r="E53" s="32">
        <f>IF(C53="%MO",G59,IFERROR(_xlfn.XLOOKUP($B53,Equipo[DESCRIPCION],Equipo[VALOR],,0),""))</f>
        <v>15525.469180000004</v>
      </c>
      <c r="F53" s="33"/>
      <c r="G53" s="34">
        <f>IFERROR(IF(F53&gt;=0,D53*E53*(1+F53/100),ABS(D53*E53/F53)),"")</f>
        <v>776.27345900000023</v>
      </c>
      <c r="H53" s="43">
        <f>IFERROR(G53*E44,"")</f>
        <v>0</v>
      </c>
    </row>
    <row r="54" spans="1:11">
      <c r="A54" s="28"/>
      <c r="B54" s="29"/>
      <c r="C54" s="30" t="str">
        <f>IFERROR(_xlfn.XLOOKUP(B54,Equipo[DESCRIPCION],Equipo[UND],,0),"")</f>
        <v/>
      </c>
      <c r="D54" s="31"/>
      <c r="E54" s="32" t="str">
        <f>IF(C54="%MO",G59,IFERROR(_xlfn.XLOOKUP($B54,Equipo[DESCRIPCION],Equipo[VALOR],,0),""))</f>
        <v/>
      </c>
      <c r="F54" s="33"/>
      <c r="G54" s="34" t="str">
        <f>IFERROR(IF(F54&gt;=0,D54*E54*(1+F54/100),ABS(D54*E54/F54)),"")</f>
        <v/>
      </c>
      <c r="H54" s="43" t="str">
        <f>IFERROR(G54*E44,"")</f>
        <v/>
      </c>
    </row>
    <row r="55" spans="1:11">
      <c r="A55" s="28"/>
      <c r="B55" s="29"/>
      <c r="C55" s="30" t="str">
        <f>IFERROR(_xlfn.XLOOKUP(B55,Equipo[DESCRIPCION],Equipo[UND],,0),"")</f>
        <v/>
      </c>
      <c r="D55" s="31"/>
      <c r="E55" s="32" t="str">
        <f>IF(C55="%MO",G59,IFERROR(_xlfn.XLOOKUP($B55,Equipo[DESCRIPCION],Equipo[VALOR],,0),""))</f>
        <v/>
      </c>
      <c r="F55" s="33"/>
      <c r="G55" s="34" t="str">
        <f>IFERROR(IF(F55&gt;=0,D55*E55*(1+F55/100),ABS(D55*E55/F55)),"")</f>
        <v/>
      </c>
      <c r="H55" s="43" t="str">
        <f>IFERROR(G55*E44,"")</f>
        <v/>
      </c>
    </row>
    <row r="56" spans="1:11">
      <c r="A56" s="21"/>
      <c r="B56" s="22" t="s">
        <v>2533</v>
      </c>
      <c r="C56" s="23"/>
      <c r="D56" s="24"/>
      <c r="E56" s="25"/>
      <c r="F56" s="26"/>
      <c r="G56" s="27">
        <f>SUM(G57:G58)</f>
        <v>0</v>
      </c>
      <c r="H56" s="44">
        <f>G56*E44</f>
        <v>0</v>
      </c>
    </row>
    <row r="57" spans="1:11">
      <c r="A57" s="28"/>
      <c r="B57" s="29"/>
      <c r="C57" s="30" t="str">
        <f>IFERROR(_xlfn.XLOOKUP(B57,Transporte[DESCRIPCION],Transporte[UND],,0),"")</f>
        <v/>
      </c>
      <c r="D57" s="31"/>
      <c r="E57" s="32" t="str">
        <f>IFERROR(_xlfn.XLOOKUP($B57,Transporte[DESCRIPCION],Transporte[VALOR],,0),"")</f>
        <v/>
      </c>
      <c r="F57" s="33"/>
      <c r="G57" s="34" t="str">
        <f>IFERROR(IF(F57&gt;=0,D57*E57*(1+F57/100),ABS(D57*E57/F57)),"")</f>
        <v/>
      </c>
      <c r="H57" s="43" t="str">
        <f>IFERROR(G57*E44,"")</f>
        <v/>
      </c>
    </row>
    <row r="58" spans="1:11">
      <c r="A58" s="28"/>
      <c r="B58" s="29"/>
      <c r="C58" s="30" t="str">
        <f>IFERROR(_xlfn.XLOOKUP(B58,Transporte[DESCRIPCION],Transporte[UND],,0),"")</f>
        <v/>
      </c>
      <c r="D58" s="31"/>
      <c r="E58" s="32" t="str">
        <f>IFERROR(_xlfn.XLOOKUP($B58,Transporte[DESCRIPCION],Transporte[VALOR],,0),"")</f>
        <v/>
      </c>
      <c r="F58" s="33"/>
      <c r="G58" s="34" t="str">
        <f>IFERROR(IF(F58&gt;=0,D58*E58*(1+F58/100),ABS(D58*E58/F58)),"")</f>
        <v/>
      </c>
      <c r="H58" s="43" t="str">
        <f>IFERROR(G58*E44,"")</f>
        <v/>
      </c>
    </row>
    <row r="59" spans="1:11">
      <c r="A59" s="21"/>
      <c r="B59" s="22" t="s">
        <v>3732</v>
      </c>
      <c r="C59" s="23"/>
      <c r="D59" s="24"/>
      <c r="E59" s="25"/>
      <c r="F59" s="26"/>
      <c r="G59" s="27">
        <f>SUM(G60:G62)</f>
        <v>15525.469180000004</v>
      </c>
      <c r="H59" s="44">
        <f>G59*E44</f>
        <v>0</v>
      </c>
    </row>
    <row r="60" spans="1:11">
      <c r="A60" s="28"/>
      <c r="B60" s="29" t="s">
        <v>3716</v>
      </c>
      <c r="C60" s="30" t="str">
        <f>IFERROR(_xlfn.XLOOKUP(B60,MObra[DESCRIPCION],MObra[UN],,0),"")</f>
        <v>día</v>
      </c>
      <c r="D60" s="31">
        <v>1</v>
      </c>
      <c r="E60" s="32">
        <f>IFERROR(_xlfn.XLOOKUP($B60,MObra[DESCRIPCION],MObra[VALOR UNIT],,0),"")</f>
        <v>465764.07540000009</v>
      </c>
      <c r="F60" s="33">
        <v>-30</v>
      </c>
      <c r="G60" s="34">
        <f>IFERROR(IF(F60&gt;=0,D60*E60*(1+F60/100),ABS(D60*E60/F60)),"")</f>
        <v>15525.469180000004</v>
      </c>
      <c r="H60" s="43">
        <f>IFERROR(G60*E44,"")</f>
        <v>0</v>
      </c>
    </row>
    <row r="61" spans="1:11">
      <c r="A61" s="28"/>
      <c r="B61" s="29"/>
      <c r="C61" s="30" t="str">
        <f>IFERROR(_xlfn.XLOOKUP(B61,MObra[DESCRIPCION],MObra[UN],,0),"")</f>
        <v/>
      </c>
      <c r="D61" s="31"/>
      <c r="E61" s="32" t="str">
        <f>IFERROR(_xlfn.XLOOKUP($B61,MObra[DESCRIPCION],MObra[VALOR UNIT],,0),"")</f>
        <v/>
      </c>
      <c r="F61" s="33"/>
      <c r="G61" s="34" t="str">
        <f>IFERROR(IF(F61&gt;=0,D61*E61*(1+F61/100),ABS(D61*E61/F61)),"")</f>
        <v/>
      </c>
      <c r="H61" s="43" t="str">
        <f>IFERROR(G61*E44,"")</f>
        <v/>
      </c>
    </row>
    <row r="62" spans="1:11">
      <c r="A62" s="35"/>
      <c r="B62" s="36"/>
      <c r="C62" s="37" t="str">
        <f>IFERROR(_xlfn.XLOOKUP(B62,MObra[DESCRIPCION],MObra[UN],,0),"")</f>
        <v/>
      </c>
      <c r="D62" s="38"/>
      <c r="E62" s="39" t="str">
        <f>IFERROR(_xlfn.XLOOKUP($B62,MObra[DESCRIPCION],MObra[VALOR UNIT],,0),"")</f>
        <v/>
      </c>
      <c r="F62" s="40"/>
      <c r="G62" s="41" t="str">
        <f>IFERROR(IF(F62&gt;=0,D62*E62*(1+F62/100),ABS(D62*E62/F62)),"")</f>
        <v/>
      </c>
      <c r="H62" s="42" t="str">
        <f>IFERROR(G62*E44,"")</f>
        <v/>
      </c>
    </row>
    <row r="64" spans="1:11">
      <c r="A64" s="6" t="s">
        <v>2434</v>
      </c>
      <c r="B64" s="7" t="str">
        <f>VLOOKUP($A64,Presupuesto!$A:$D,2,FALSE())</f>
        <v>Pintura tráfico línea carril/borde vía (sobre concreto asfaltico)</v>
      </c>
      <c r="C64" s="8" t="str">
        <f>VLOOKUP($A64,Presupuesto!$A:$D,3,FALSE())</f>
        <v>M</v>
      </c>
      <c r="D64" s="9"/>
      <c r="E64" s="10">
        <f>VLOOKUP($A64,Presupuesto!$A:$D,4,FALSE())</f>
        <v>0</v>
      </c>
      <c r="F64" s="11" t="s">
        <v>2589</v>
      </c>
      <c r="G64" s="12">
        <f>SUM(G66:G82)/2</f>
        <v>8496.9646597500014</v>
      </c>
      <c r="H64" s="13">
        <f>ROUND(SUM(H66:H82),0)/2</f>
        <v>0</v>
      </c>
      <c r="I64" s="10">
        <f>VLOOKUP(A64,Presupuesto!$A:$F,6,0)</f>
        <v>0</v>
      </c>
      <c r="J64" s="10">
        <f>+H64-I64</f>
        <v>0</v>
      </c>
      <c r="K64" s="46">
        <f>+H64-G64*E64</f>
        <v>0</v>
      </c>
    </row>
    <row r="65" spans="1:8">
      <c r="A65" s="14"/>
      <c r="B65" s="15" t="s">
        <v>2586</v>
      </c>
      <c r="C65" s="15" t="s">
        <v>5</v>
      </c>
      <c r="D65" s="16" t="s">
        <v>6</v>
      </c>
      <c r="E65" s="17" t="s">
        <v>7</v>
      </c>
      <c r="F65" s="18" t="s">
        <v>3728</v>
      </c>
      <c r="G65" s="19" t="s">
        <v>3729</v>
      </c>
      <c r="H65" s="20" t="s">
        <v>3797</v>
      </c>
    </row>
    <row r="66" spans="1:8">
      <c r="A66" s="21"/>
      <c r="B66" s="22" t="s">
        <v>3730</v>
      </c>
      <c r="C66" s="23"/>
      <c r="D66" s="24"/>
      <c r="E66" s="25"/>
      <c r="F66" s="26"/>
      <c r="G66" s="27">
        <f>SUM(G67:G71)</f>
        <v>4421.5290000000005</v>
      </c>
      <c r="H66" s="27">
        <f>IFERROR(G66*E64,"")</f>
        <v>0</v>
      </c>
    </row>
    <row r="67" spans="1:8">
      <c r="A67" s="28"/>
      <c r="B67" s="29" t="s">
        <v>2926</v>
      </c>
      <c r="C67" s="30" t="str">
        <f>IFERROR(_xlfn.XLOOKUP(B67,Insumo[DESCRIPCION],Insumo[UND],,0),"")</f>
        <v>Lt</v>
      </c>
      <c r="D67" s="31">
        <v>0.05</v>
      </c>
      <c r="E67" s="32">
        <f>IFERROR(_xlfn.XLOOKUP($B67,Insumo[DESCRIPCION],Insumo[VALOR],,0),"")</f>
        <v>18834.900000000001</v>
      </c>
      <c r="F67" s="33"/>
      <c r="G67" s="34">
        <f>IFERROR(IF(F67&gt;=0,D67*E67*(1+F67/100),ABS(D67*E67/F67)),"")</f>
        <v>941.74500000000012</v>
      </c>
      <c r="H67" s="43">
        <f>IFERROR(G67*E64,"")</f>
        <v>0</v>
      </c>
    </row>
    <row r="68" spans="1:8">
      <c r="A68" s="28"/>
      <c r="B68" s="29" t="s">
        <v>3208</v>
      </c>
      <c r="C68" s="30" t="str">
        <f>IFERROR(_xlfn.XLOOKUP(B68,Insumo[DESCRIPCION],Insumo[UND],,0),"")</f>
        <v>galón</v>
      </c>
      <c r="D68" s="31">
        <v>0.02</v>
      </c>
      <c r="E68" s="32">
        <f>IFERROR(_xlfn.XLOOKUP($B68,Insumo[DESCRIPCION],Insumo[VALOR],,0),"")</f>
        <v>142720.20000000001</v>
      </c>
      <c r="F68" s="33"/>
      <c r="G68" s="34">
        <f>IFERROR(IF(F68&gt;=0,D68*E68*(1+F68/100),ABS(D68*E68/F68)),"")</f>
        <v>2854.4040000000005</v>
      </c>
      <c r="H68" s="43">
        <f>IFERROR(G68*E64,"")</f>
        <v>0</v>
      </c>
    </row>
    <row r="69" spans="1:8">
      <c r="A69" s="28"/>
      <c r="B69" s="29" t="s">
        <v>3173</v>
      </c>
      <c r="C69" s="30" t="str">
        <f>IFERROR(_xlfn.XLOOKUP(B69,Insumo[DESCRIPCION],Insumo[UND],,0),"")</f>
        <v>Kg</v>
      </c>
      <c r="D69" s="31">
        <v>0.1</v>
      </c>
      <c r="E69" s="32">
        <f>IFERROR(_xlfn.XLOOKUP($B69,Insumo[DESCRIPCION],Insumo[VALOR],,0),"")</f>
        <v>6253.8</v>
      </c>
      <c r="F69" s="33"/>
      <c r="G69" s="34">
        <f>IFERROR(IF(F69&gt;=0,D69*E69*(1+F69/100),ABS(D69*E69/F69)),"")</f>
        <v>625.38000000000011</v>
      </c>
      <c r="H69" s="43">
        <f>IFERROR(G69*E64,"")</f>
        <v>0</v>
      </c>
    </row>
    <row r="70" spans="1:8">
      <c r="A70" s="28"/>
      <c r="B70" s="29"/>
      <c r="C70" s="30" t="str">
        <f>IFERROR(_xlfn.XLOOKUP(B70,Insumo[DESCRIPCION],Insumo[UND],,0),"")</f>
        <v/>
      </c>
      <c r="D70" s="31"/>
      <c r="E70" s="32" t="str">
        <f>IFERROR(_xlfn.XLOOKUP($B70,Insumo[DESCRIPCION],Insumo[VALOR],,0),"")</f>
        <v/>
      </c>
      <c r="F70" s="33"/>
      <c r="G70" s="34" t="str">
        <f>IFERROR(IF(F70&gt;=0,D70*E70*(1+F70/100),ABS(D70*E70/F70)),"")</f>
        <v/>
      </c>
      <c r="H70" s="43" t="str">
        <f>IFERROR(G70*E64,"")</f>
        <v/>
      </c>
    </row>
    <row r="71" spans="1:8">
      <c r="A71" s="28"/>
      <c r="B71" s="29"/>
      <c r="C71" s="30" t="str">
        <f>IFERROR(_xlfn.XLOOKUP(B71,Insumo[DESCRIPCION],Insumo[UND],,0),"")</f>
        <v/>
      </c>
      <c r="D71" s="31"/>
      <c r="E71" s="32" t="str">
        <f>IFERROR(_xlfn.XLOOKUP($B71,Insumo[DESCRIPCION],Insumo[VALOR],,0),"")</f>
        <v/>
      </c>
      <c r="F71" s="33"/>
      <c r="G71" s="34" t="str">
        <f>IFERROR(IF(F71&gt;=0,D71*E71*(1+F71/100),ABS(D71*E71/F71)),"")</f>
        <v/>
      </c>
      <c r="H71" s="43" t="str">
        <f>IFERROR(G71*E64,"")</f>
        <v/>
      </c>
    </row>
    <row r="72" spans="1:8">
      <c r="A72" s="21"/>
      <c r="B72" s="22" t="s">
        <v>3731</v>
      </c>
      <c r="C72" s="23"/>
      <c r="D72" s="24"/>
      <c r="E72" s="25"/>
      <c r="F72" s="26"/>
      <c r="G72" s="27">
        <f>SUM(G73:G75)</f>
        <v>194.06836475000006</v>
      </c>
      <c r="H72" s="44">
        <f>G72*E64</f>
        <v>0</v>
      </c>
    </row>
    <row r="73" spans="1:8">
      <c r="A73" s="28"/>
      <c r="B73" s="29" t="s">
        <v>3626</v>
      </c>
      <c r="C73" s="30" t="str">
        <f>IFERROR(_xlfn.XLOOKUP(B73,Equipo[DESCRIPCION],Equipo[UND],,0),"")</f>
        <v>%MO</v>
      </c>
      <c r="D73" s="31">
        <v>0.05</v>
      </c>
      <c r="E73" s="32">
        <f>IF(C73="%MO",G79,IFERROR(_xlfn.XLOOKUP($B73,Equipo[DESCRIPCION],Equipo[VALOR],,0),""))</f>
        <v>3881.3672950000009</v>
      </c>
      <c r="F73" s="33"/>
      <c r="G73" s="34">
        <f>IFERROR(IF(F73&gt;=0,D73*E73*(1+F73/100),ABS(D73*E73/F73)),"")</f>
        <v>194.06836475000006</v>
      </c>
      <c r="H73" s="43">
        <f>IFERROR(G73*E64,"")</f>
        <v>0</v>
      </c>
    </row>
    <row r="74" spans="1:8">
      <c r="A74" s="28"/>
      <c r="B74" s="29"/>
      <c r="C74" s="30" t="str">
        <f>IFERROR(_xlfn.XLOOKUP(B74,Equipo[DESCRIPCION],Equipo[UND],,0),"")</f>
        <v/>
      </c>
      <c r="D74" s="31"/>
      <c r="E74" s="32" t="str">
        <f>IF(C74="%MO",G79,IFERROR(_xlfn.XLOOKUP($B74,Equipo[DESCRIPCION],Equipo[VALOR],,0),""))</f>
        <v/>
      </c>
      <c r="F74" s="33"/>
      <c r="G74" s="34" t="str">
        <f>IFERROR(IF(F74&gt;=0,D74*E74*(1+F74/100),ABS(D74*E74/F74)),"")</f>
        <v/>
      </c>
      <c r="H74" s="43" t="str">
        <f>IFERROR(G74*E64,"")</f>
        <v/>
      </c>
    </row>
    <row r="75" spans="1:8">
      <c r="A75" s="28"/>
      <c r="B75" s="29"/>
      <c r="C75" s="30" t="str">
        <f>IFERROR(_xlfn.XLOOKUP(B75,Equipo[DESCRIPCION],Equipo[UND],,0),"")</f>
        <v/>
      </c>
      <c r="D75" s="31"/>
      <c r="E75" s="32" t="str">
        <f>IF(C75="%MO",G79,IFERROR(_xlfn.XLOOKUP($B75,Equipo[DESCRIPCION],Equipo[VALOR],,0),""))</f>
        <v/>
      </c>
      <c r="F75" s="33"/>
      <c r="G75" s="34" t="str">
        <f>IFERROR(IF(F75&gt;=0,D75*E75*(1+F75/100),ABS(D75*E75/F75)),"")</f>
        <v/>
      </c>
      <c r="H75" s="43" t="str">
        <f>IFERROR(G75*E64,"")</f>
        <v/>
      </c>
    </row>
    <row r="76" spans="1:8">
      <c r="A76" s="21"/>
      <c r="B76" s="22" t="s">
        <v>2533</v>
      </c>
      <c r="C76" s="23"/>
      <c r="D76" s="24"/>
      <c r="E76" s="25"/>
      <c r="F76" s="26"/>
      <c r="G76" s="27">
        <f>SUM(G77:G78)</f>
        <v>0</v>
      </c>
      <c r="H76" s="44">
        <f>G76*E64</f>
        <v>0</v>
      </c>
    </row>
    <row r="77" spans="1:8">
      <c r="A77" s="28"/>
      <c r="B77" s="29"/>
      <c r="C77" s="30" t="str">
        <f>IFERROR(_xlfn.XLOOKUP(B77,Transporte[DESCRIPCION],Transporte[UND],,0),"")</f>
        <v/>
      </c>
      <c r="D77" s="31"/>
      <c r="E77" s="32" t="str">
        <f>IFERROR(_xlfn.XLOOKUP($B77,Transporte[DESCRIPCION],Transporte[VALOR],,0),"")</f>
        <v/>
      </c>
      <c r="F77" s="33"/>
      <c r="G77" s="34" t="str">
        <f>IFERROR(IF(F77&gt;=0,D77*E77*(1+F77/100),ABS(D77*E77/F77)),"")</f>
        <v/>
      </c>
      <c r="H77" s="43" t="str">
        <f>IFERROR(G77*E64,"")</f>
        <v/>
      </c>
    </row>
    <row r="78" spans="1:8">
      <c r="A78" s="28"/>
      <c r="B78" s="29"/>
      <c r="C78" s="30" t="str">
        <f>IFERROR(_xlfn.XLOOKUP(B78,Transporte[DESCRIPCION],Transporte[UND],,0),"")</f>
        <v/>
      </c>
      <c r="D78" s="31"/>
      <c r="E78" s="32" t="str">
        <f>IFERROR(_xlfn.XLOOKUP($B78,Transporte[DESCRIPCION],Transporte[VALOR],,0),"")</f>
        <v/>
      </c>
      <c r="F78" s="33"/>
      <c r="G78" s="34" t="str">
        <f>IFERROR(IF(F78&gt;=0,D78*E78*(1+F78/100),ABS(D78*E78/F78)),"")</f>
        <v/>
      </c>
      <c r="H78" s="43" t="str">
        <f>IFERROR(G78*E64,"")</f>
        <v/>
      </c>
    </row>
    <row r="79" spans="1:8">
      <c r="A79" s="21"/>
      <c r="B79" s="22" t="s">
        <v>3732</v>
      </c>
      <c r="C79" s="23"/>
      <c r="D79" s="24"/>
      <c r="E79" s="25"/>
      <c r="F79" s="26"/>
      <c r="G79" s="27">
        <f>SUM(G80:G82)</f>
        <v>3881.3672950000009</v>
      </c>
      <c r="H79" s="44">
        <f>G79*E64</f>
        <v>0</v>
      </c>
    </row>
    <row r="80" spans="1:8">
      <c r="A80" s="28"/>
      <c r="B80" s="29" t="s">
        <v>3716</v>
      </c>
      <c r="C80" s="30" t="str">
        <f>IFERROR(_xlfn.XLOOKUP(B80,MObra[DESCRIPCION],MObra[UN],,0),"")</f>
        <v>día</v>
      </c>
      <c r="D80" s="31">
        <v>1</v>
      </c>
      <c r="E80" s="32">
        <f>IFERROR(_xlfn.XLOOKUP($B80,MObra[DESCRIPCION],MObra[VALOR UNIT],,0),"")</f>
        <v>465764.07540000009</v>
      </c>
      <c r="F80" s="33">
        <v>-120</v>
      </c>
      <c r="G80" s="34">
        <f>IFERROR(IF(F80&gt;=0,D80*E80*(1+F80/100),ABS(D80*E80/F80)),"")</f>
        <v>3881.3672950000009</v>
      </c>
      <c r="H80" s="43">
        <f>IFERROR(G80*E64,"")</f>
        <v>0</v>
      </c>
    </row>
    <row r="81" spans="1:11">
      <c r="A81" s="28"/>
      <c r="B81" s="29"/>
      <c r="C81" s="30" t="str">
        <f>IFERROR(_xlfn.XLOOKUP(B81,MObra[DESCRIPCION],MObra[UN],,0),"")</f>
        <v/>
      </c>
      <c r="D81" s="31"/>
      <c r="E81" s="32" t="str">
        <f>IFERROR(_xlfn.XLOOKUP($B81,MObra[DESCRIPCION],MObra[VALOR UNIT],,0),"")</f>
        <v/>
      </c>
      <c r="F81" s="33"/>
      <c r="G81" s="34" t="str">
        <f>IFERROR(IF(F81&gt;=0,D81*E81*(1+F81/100),ABS(D81*E81/F81)),"")</f>
        <v/>
      </c>
      <c r="H81" s="43" t="str">
        <f>IFERROR(G81*E64,"")</f>
        <v/>
      </c>
    </row>
    <row r="82" spans="1:11">
      <c r="A82" s="35"/>
      <c r="B82" s="36"/>
      <c r="C82" s="37" t="str">
        <f>IFERROR(_xlfn.XLOOKUP(B82,MObra[DESCRIPCION],MObra[UN],,0),"")</f>
        <v/>
      </c>
      <c r="D82" s="38"/>
      <c r="E82" s="39" t="str">
        <f>IFERROR(_xlfn.XLOOKUP($B82,MObra[DESCRIPCION],MObra[VALOR UNIT],,0),"")</f>
        <v/>
      </c>
      <c r="F82" s="40"/>
      <c r="G82" s="41" t="str">
        <f>IFERROR(IF(F82&gt;=0,D82*E82*(1+F82/100),ABS(D82*E82/F82)),"")</f>
        <v/>
      </c>
      <c r="H82" s="42" t="str">
        <f>IFERROR(G82*E64,"")</f>
        <v/>
      </c>
    </row>
    <row r="84" spans="1:11">
      <c r="A84" s="6" t="s">
        <v>2436</v>
      </c>
      <c r="B84" s="7" t="str">
        <f>VLOOKUP($A84,Presupuesto!$A:$D,2,FALSE())</f>
        <v>Pintura tráfico línea carril/borde vía (sobre concreto hidráulico)</v>
      </c>
      <c r="C84" s="8" t="str">
        <f>VLOOKUP($A84,Presupuesto!$A:$D,3,FALSE())</f>
        <v>M</v>
      </c>
      <c r="D84" s="9"/>
      <c r="E84" s="10">
        <f>VLOOKUP($A84,Presupuesto!$A:$D,4,FALSE())</f>
        <v>0</v>
      </c>
      <c r="F84" s="11" t="s">
        <v>2589</v>
      </c>
      <c r="G84" s="12">
        <f>SUM(G86:G102)/2</f>
        <v>11744.439791700002</v>
      </c>
      <c r="H84" s="13">
        <f>ROUND(SUM(H86:H102),0)/2</f>
        <v>0</v>
      </c>
      <c r="I84" s="10">
        <f>VLOOKUP(A84,Presupuesto!$A:$F,6,0)</f>
        <v>0</v>
      </c>
      <c r="J84" s="10">
        <f>+H84-I84</f>
        <v>0</v>
      </c>
      <c r="K84" s="46">
        <f>+H84-G84*E84</f>
        <v>0</v>
      </c>
    </row>
    <row r="85" spans="1:11">
      <c r="A85" s="14"/>
      <c r="B85" s="15" t="s">
        <v>2586</v>
      </c>
      <c r="C85" s="15" t="s">
        <v>5</v>
      </c>
      <c r="D85" s="16" t="s">
        <v>6</v>
      </c>
      <c r="E85" s="17" t="s">
        <v>7</v>
      </c>
      <c r="F85" s="18" t="s">
        <v>3728</v>
      </c>
      <c r="G85" s="19" t="s">
        <v>3729</v>
      </c>
      <c r="H85" s="20" t="s">
        <v>3797</v>
      </c>
    </row>
    <row r="86" spans="1:11">
      <c r="A86" s="21"/>
      <c r="B86" s="22" t="s">
        <v>3730</v>
      </c>
      <c r="C86" s="23"/>
      <c r="D86" s="24"/>
      <c r="E86" s="25"/>
      <c r="F86" s="26"/>
      <c r="G86" s="27">
        <f>SUM(G87:G91)</f>
        <v>6853.9170000000013</v>
      </c>
      <c r="H86" s="27">
        <f>IFERROR(G86*E84,"")</f>
        <v>0</v>
      </c>
    </row>
    <row r="87" spans="1:11">
      <c r="A87" s="28"/>
      <c r="B87" s="29" t="s">
        <v>2926</v>
      </c>
      <c r="C87" s="30" t="str">
        <f>IFERROR(_xlfn.XLOOKUP(B87,Insumo[DESCRIPCION],Insumo[UND],,0),"")</f>
        <v>Lt</v>
      </c>
      <c r="D87" s="31">
        <v>0.05</v>
      </c>
      <c r="E87" s="32">
        <f>IFERROR(_xlfn.XLOOKUP($B87,Insumo[DESCRIPCION],Insumo[VALOR],,0),"")</f>
        <v>18834.900000000001</v>
      </c>
      <c r="F87" s="33"/>
      <c r="G87" s="34">
        <f>IFERROR(IF(F87&gt;=0,D87*E87*(1+F87/100),ABS(D87*E87/F87)),"")</f>
        <v>941.74500000000012</v>
      </c>
      <c r="H87" s="43">
        <f>IFERROR(G87*E84,"")</f>
        <v>0</v>
      </c>
    </row>
    <row r="88" spans="1:11">
      <c r="A88" s="28"/>
      <c r="B88" s="29" t="s">
        <v>3208</v>
      </c>
      <c r="C88" s="30" t="str">
        <f>IFERROR(_xlfn.XLOOKUP(B88,Insumo[DESCRIPCION],Insumo[UND],,0),"")</f>
        <v>galón</v>
      </c>
      <c r="D88" s="31">
        <v>0.02</v>
      </c>
      <c r="E88" s="32">
        <f>IFERROR(_xlfn.XLOOKUP($B88,Insumo[DESCRIPCION],Insumo[VALOR],,0),"")</f>
        <v>142720.20000000001</v>
      </c>
      <c r="F88" s="33"/>
      <c r="G88" s="34">
        <f>IFERROR(IF(F88&gt;=0,D88*E88*(1+F88/100),ABS(D88*E88/F88)),"")</f>
        <v>2854.4040000000005</v>
      </c>
      <c r="H88" s="43">
        <f>IFERROR(G88*E84,"")</f>
        <v>0</v>
      </c>
    </row>
    <row r="89" spans="1:11">
      <c r="A89" s="28"/>
      <c r="B89" s="29" t="s">
        <v>3173</v>
      </c>
      <c r="C89" s="30" t="str">
        <f>IFERROR(_xlfn.XLOOKUP(B89,Insumo[DESCRIPCION],Insumo[UND],,0),"")</f>
        <v>Kg</v>
      </c>
      <c r="D89" s="31">
        <v>0.1</v>
      </c>
      <c r="E89" s="32">
        <f>IFERROR(_xlfn.XLOOKUP($B89,Insumo[DESCRIPCION],Insumo[VALOR],,0),"")</f>
        <v>6253.8</v>
      </c>
      <c r="F89" s="33"/>
      <c r="G89" s="34">
        <f>IFERROR(IF(F89&gt;=0,D89*E89*(1+F89/100),ABS(D89*E89/F89)),"")</f>
        <v>625.38000000000011</v>
      </c>
      <c r="H89" s="43">
        <f>IFERROR(G89*E84,"")</f>
        <v>0</v>
      </c>
    </row>
    <row r="90" spans="1:11">
      <c r="A90" s="28"/>
      <c r="B90" s="29" t="s">
        <v>3005</v>
      </c>
      <c r="C90" s="30" t="str">
        <f>IFERROR(_xlfn.XLOOKUP(B90,Insumo[DESCRIPCION],Insumo[UND],,0),"")</f>
        <v>galón</v>
      </c>
      <c r="D90" s="31">
        <v>0.02</v>
      </c>
      <c r="E90" s="32">
        <f>IFERROR(_xlfn.XLOOKUP($B90,Insumo[DESCRIPCION],Insumo[VALOR],,0),"")</f>
        <v>121619.40000000001</v>
      </c>
      <c r="F90" s="33"/>
      <c r="G90" s="34">
        <f>IFERROR(IF(F90&gt;=0,D90*E90*(1+F90/100),ABS(D90*E90/F90)),"")</f>
        <v>2432.3880000000004</v>
      </c>
      <c r="H90" s="43">
        <f>IFERROR(G90*E84,"")</f>
        <v>0</v>
      </c>
    </row>
    <row r="91" spans="1:11">
      <c r="A91" s="28"/>
      <c r="B91" s="29"/>
      <c r="C91" s="30" t="str">
        <f>IFERROR(_xlfn.XLOOKUP(B91,Insumo[DESCRIPCION],Insumo[UND],,0),"")</f>
        <v/>
      </c>
      <c r="D91" s="31"/>
      <c r="E91" s="32" t="str">
        <f>IFERROR(_xlfn.XLOOKUP($B91,Insumo[DESCRIPCION],Insumo[VALOR],,0),"")</f>
        <v/>
      </c>
      <c r="F91" s="33"/>
      <c r="G91" s="34" t="str">
        <f>IFERROR(IF(F91&gt;=0,D91*E91*(1+F91/100),ABS(D91*E91/F91)),"")</f>
        <v/>
      </c>
      <c r="H91" s="43" t="str">
        <f>IFERROR(G91*E84,"")</f>
        <v/>
      </c>
    </row>
    <row r="92" spans="1:11">
      <c r="A92" s="21"/>
      <c r="B92" s="22" t="s">
        <v>3731</v>
      </c>
      <c r="C92" s="23"/>
      <c r="D92" s="24"/>
      <c r="E92" s="25"/>
      <c r="F92" s="26"/>
      <c r="G92" s="27">
        <f>SUM(G93:G95)</f>
        <v>232.88203770000007</v>
      </c>
      <c r="H92" s="44">
        <f>G92*E84</f>
        <v>0</v>
      </c>
    </row>
    <row r="93" spans="1:11">
      <c r="A93" s="28"/>
      <c r="B93" s="29" t="s">
        <v>3626</v>
      </c>
      <c r="C93" s="30" t="str">
        <f>IFERROR(_xlfn.XLOOKUP(B93,Equipo[DESCRIPCION],Equipo[UND],,0),"")</f>
        <v>%MO</v>
      </c>
      <c r="D93" s="31">
        <v>0.05</v>
      </c>
      <c r="E93" s="32">
        <f>IF(C93="%MO",G99,IFERROR(_xlfn.XLOOKUP($B93,Equipo[DESCRIPCION],Equipo[VALOR],,0),""))</f>
        <v>4657.6407540000009</v>
      </c>
      <c r="F93" s="33"/>
      <c r="G93" s="34">
        <f>IFERROR(IF(F93&gt;=0,D93*E93*(1+F93/100),ABS(D93*E93/F93)),"")</f>
        <v>232.88203770000007</v>
      </c>
      <c r="H93" s="43">
        <f>IFERROR(G93*E84,"")</f>
        <v>0</v>
      </c>
    </row>
    <row r="94" spans="1:11">
      <c r="A94" s="28"/>
      <c r="B94" s="29"/>
      <c r="C94" s="30" t="str">
        <f>IFERROR(_xlfn.XLOOKUP(B94,Equipo[DESCRIPCION],Equipo[UND],,0),"")</f>
        <v/>
      </c>
      <c r="D94" s="31"/>
      <c r="E94" s="32" t="str">
        <f>IF(C94="%MO",G99,IFERROR(_xlfn.XLOOKUP($B94,Equipo[DESCRIPCION],Equipo[VALOR],,0),""))</f>
        <v/>
      </c>
      <c r="F94" s="33"/>
      <c r="G94" s="34" t="str">
        <f>IFERROR(IF(F94&gt;=0,D94*E94*(1+F94/100),ABS(D94*E94/F94)),"")</f>
        <v/>
      </c>
      <c r="H94" s="43" t="str">
        <f>IFERROR(G94*E84,"")</f>
        <v/>
      </c>
    </row>
    <row r="95" spans="1:11">
      <c r="A95" s="28"/>
      <c r="B95" s="29"/>
      <c r="C95" s="30" t="str">
        <f>IFERROR(_xlfn.XLOOKUP(B95,Equipo[DESCRIPCION],Equipo[UND],,0),"")</f>
        <v/>
      </c>
      <c r="D95" s="31"/>
      <c r="E95" s="32" t="str">
        <f>IF(C95="%MO",G99,IFERROR(_xlfn.XLOOKUP($B95,Equipo[DESCRIPCION],Equipo[VALOR],,0),""))</f>
        <v/>
      </c>
      <c r="F95" s="33"/>
      <c r="G95" s="34" t="str">
        <f>IFERROR(IF(F95&gt;=0,D95*E95*(1+F95/100),ABS(D95*E95/F95)),"")</f>
        <v/>
      </c>
      <c r="H95" s="43" t="str">
        <f>IFERROR(G95*E84,"")</f>
        <v/>
      </c>
    </row>
    <row r="96" spans="1:11">
      <c r="A96" s="21"/>
      <c r="B96" s="22" t="s">
        <v>2533</v>
      </c>
      <c r="C96" s="23"/>
      <c r="D96" s="24"/>
      <c r="E96" s="25"/>
      <c r="F96" s="26"/>
      <c r="G96" s="27">
        <f>SUM(G97:G98)</f>
        <v>0</v>
      </c>
      <c r="H96" s="44">
        <f>G96*E84</f>
        <v>0</v>
      </c>
    </row>
    <row r="97" spans="1:11">
      <c r="A97" s="28"/>
      <c r="B97" s="29"/>
      <c r="C97" s="30" t="str">
        <f>IFERROR(_xlfn.XLOOKUP(B97,Transporte[DESCRIPCION],Transporte[UND],,0),"")</f>
        <v/>
      </c>
      <c r="D97" s="31"/>
      <c r="E97" s="32" t="str">
        <f>IFERROR(_xlfn.XLOOKUP($B97,Transporte[DESCRIPCION],Transporte[VALOR],,0),"")</f>
        <v/>
      </c>
      <c r="F97" s="33"/>
      <c r="G97" s="34" t="str">
        <f>IFERROR(IF(F97&gt;=0,D97*E97*(1+F97/100),ABS(D97*E97/F97)),"")</f>
        <v/>
      </c>
      <c r="H97" s="43" t="str">
        <f>IFERROR(G97*E84,"")</f>
        <v/>
      </c>
    </row>
    <row r="98" spans="1:11">
      <c r="A98" s="28"/>
      <c r="B98" s="29"/>
      <c r="C98" s="30" t="str">
        <f>IFERROR(_xlfn.XLOOKUP(B98,Transporte[DESCRIPCION],Transporte[UND],,0),"")</f>
        <v/>
      </c>
      <c r="D98" s="31"/>
      <c r="E98" s="32" t="str">
        <f>IFERROR(_xlfn.XLOOKUP($B98,Transporte[DESCRIPCION],Transporte[VALOR],,0),"")</f>
        <v/>
      </c>
      <c r="F98" s="33"/>
      <c r="G98" s="34" t="str">
        <f>IFERROR(IF(F98&gt;=0,D98*E98*(1+F98/100),ABS(D98*E98/F98)),"")</f>
        <v/>
      </c>
      <c r="H98" s="43" t="str">
        <f>IFERROR(G98*E84,"")</f>
        <v/>
      </c>
    </row>
    <row r="99" spans="1:11">
      <c r="A99" s="21"/>
      <c r="B99" s="22" t="s">
        <v>3732</v>
      </c>
      <c r="C99" s="23"/>
      <c r="D99" s="24"/>
      <c r="E99" s="25"/>
      <c r="F99" s="26"/>
      <c r="G99" s="27">
        <f>SUM(G100:G102)</f>
        <v>4657.6407540000009</v>
      </c>
      <c r="H99" s="44">
        <f>G99*E84</f>
        <v>0</v>
      </c>
    </row>
    <row r="100" spans="1:11">
      <c r="A100" s="28"/>
      <c r="B100" s="29" t="s">
        <v>3716</v>
      </c>
      <c r="C100" s="30" t="str">
        <f>IFERROR(_xlfn.XLOOKUP(B100,MObra[DESCRIPCION],MObra[UN],,0),"")</f>
        <v>día</v>
      </c>
      <c r="D100" s="31">
        <v>1</v>
      </c>
      <c r="E100" s="32">
        <f>IFERROR(_xlfn.XLOOKUP($B100,MObra[DESCRIPCION],MObra[VALOR UNIT],,0),"")</f>
        <v>465764.07540000009</v>
      </c>
      <c r="F100" s="33">
        <v>-100</v>
      </c>
      <c r="G100" s="34">
        <f>IFERROR(IF(F100&gt;=0,D100*E100*(1+F100/100),ABS(D100*E100/F100)),"")</f>
        <v>4657.6407540000009</v>
      </c>
      <c r="H100" s="43">
        <f>IFERROR(G100*E84,"")</f>
        <v>0</v>
      </c>
    </row>
    <row r="101" spans="1:11">
      <c r="A101" s="28"/>
      <c r="B101" s="29"/>
      <c r="C101" s="30" t="str">
        <f>IFERROR(_xlfn.XLOOKUP(B101,MObra[DESCRIPCION],MObra[UN],,0),"")</f>
        <v/>
      </c>
      <c r="D101" s="31"/>
      <c r="E101" s="32" t="str">
        <f>IFERROR(_xlfn.XLOOKUP($B101,MObra[DESCRIPCION],MObra[VALOR UNIT],,0),"")</f>
        <v/>
      </c>
      <c r="F101" s="33"/>
      <c r="G101" s="34" t="str">
        <f>IFERROR(IF(F101&gt;=0,D101*E101*(1+F101/100),ABS(D101*E101/F101)),"")</f>
        <v/>
      </c>
      <c r="H101" s="43" t="str">
        <f>IFERROR(G101*E84,"")</f>
        <v/>
      </c>
    </row>
    <row r="102" spans="1:11">
      <c r="A102" s="35"/>
      <c r="B102" s="36"/>
      <c r="C102" s="37" t="str">
        <f>IFERROR(_xlfn.XLOOKUP(B102,MObra[DESCRIPCION],MObra[UN],,0),"")</f>
        <v/>
      </c>
      <c r="D102" s="38"/>
      <c r="E102" s="39" t="str">
        <f>IFERROR(_xlfn.XLOOKUP($B102,MObra[DESCRIPCION],MObra[VALOR UNIT],,0),"")</f>
        <v/>
      </c>
      <c r="F102" s="40"/>
      <c r="G102" s="41" t="str">
        <f>IFERROR(IF(F102&gt;=0,D102*E102*(1+F102/100),ABS(D102*E102/F102)),"")</f>
        <v/>
      </c>
      <c r="H102" s="42" t="str">
        <f>IFERROR(G102*E84,"")</f>
        <v/>
      </c>
    </row>
    <row r="104" spans="1:11">
      <c r="A104" s="6" t="s">
        <v>2438</v>
      </c>
      <c r="B104" s="7" t="str">
        <f>VLOOKUP($A104,Presupuesto!$A:$D,2,FALSE())</f>
        <v>Pintura tráfico línea demarca canchas</v>
      </c>
      <c r="C104" s="8" t="str">
        <f>VLOOKUP($A104,Presupuesto!$A:$D,3,FALSE())</f>
        <v>M</v>
      </c>
      <c r="D104" s="9"/>
      <c r="E104" s="10">
        <f>VLOOKUP($A104,Presupuesto!$A:$D,4,FALSE())</f>
        <v>0</v>
      </c>
      <c r="F104" s="11" t="s">
        <v>2589</v>
      </c>
      <c r="G104" s="12">
        <f>SUM(G106:G122)/2</f>
        <v>9488.8855278000028</v>
      </c>
      <c r="H104" s="13">
        <f>ROUND(SUM(H106:H122),0)/2</f>
        <v>0</v>
      </c>
      <c r="I104" s="10">
        <f>VLOOKUP(A104,Presupuesto!$A:$F,6,0)</f>
        <v>0</v>
      </c>
      <c r="J104" s="10">
        <f>+H104-I104</f>
        <v>0</v>
      </c>
      <c r="K104" s="46">
        <f>+H104-G104*E104</f>
        <v>0</v>
      </c>
    </row>
    <row r="105" spans="1:11">
      <c r="A105" s="14"/>
      <c r="B105" s="15" t="s">
        <v>2586</v>
      </c>
      <c r="C105" s="15" t="s">
        <v>5</v>
      </c>
      <c r="D105" s="16" t="s">
        <v>6</v>
      </c>
      <c r="E105" s="17" t="s">
        <v>7</v>
      </c>
      <c r="F105" s="18" t="s">
        <v>3728</v>
      </c>
      <c r="G105" s="19" t="s">
        <v>3729</v>
      </c>
      <c r="H105" s="20" t="s">
        <v>3797</v>
      </c>
    </row>
    <row r="106" spans="1:11">
      <c r="A106" s="21"/>
      <c r="B106" s="22" t="s">
        <v>3730</v>
      </c>
      <c r="C106" s="23"/>
      <c r="D106" s="24"/>
      <c r="E106" s="25"/>
      <c r="F106" s="26"/>
      <c r="G106" s="27">
        <f>SUM(G107:G111)</f>
        <v>6228.5370000000003</v>
      </c>
      <c r="H106" s="27">
        <f>IFERROR(G106*E104,"")</f>
        <v>0</v>
      </c>
    </row>
    <row r="107" spans="1:11">
      <c r="A107" s="28"/>
      <c r="B107" s="29" t="s">
        <v>2926</v>
      </c>
      <c r="C107" s="30" t="str">
        <f>IFERROR(_xlfn.XLOOKUP(B107,Insumo[DESCRIPCION],Insumo[UND],,0),"")</f>
        <v>Lt</v>
      </c>
      <c r="D107" s="31">
        <v>0.05</v>
      </c>
      <c r="E107" s="32">
        <f>IFERROR(_xlfn.XLOOKUP($B107,Insumo[DESCRIPCION],Insumo[VALOR],,0),"")</f>
        <v>18834.900000000001</v>
      </c>
      <c r="F107" s="33"/>
      <c r="G107" s="34">
        <f>IFERROR(IF(F107&gt;=0,D107*E107*(1+F107/100),ABS(D107*E107/F107)),"")</f>
        <v>941.74500000000012</v>
      </c>
      <c r="H107" s="43">
        <f>IFERROR(G107*E104,"")</f>
        <v>0</v>
      </c>
    </row>
    <row r="108" spans="1:11">
      <c r="A108" s="28"/>
      <c r="B108" s="29" t="s">
        <v>3208</v>
      </c>
      <c r="C108" s="30" t="str">
        <f>IFERROR(_xlfn.XLOOKUP(B108,Insumo[DESCRIPCION],Insumo[UND],,0),"")</f>
        <v>galón</v>
      </c>
      <c r="D108" s="31">
        <v>0.02</v>
      </c>
      <c r="E108" s="32">
        <f>IFERROR(_xlfn.XLOOKUP($B108,Insumo[DESCRIPCION],Insumo[VALOR],,0),"")</f>
        <v>142720.20000000001</v>
      </c>
      <c r="F108" s="33"/>
      <c r="G108" s="34">
        <f>IFERROR(IF(F108&gt;=0,D108*E108*(1+F108/100),ABS(D108*E108/F108)),"")</f>
        <v>2854.4040000000005</v>
      </c>
      <c r="H108" s="43">
        <f>IFERROR(G108*E104,"")</f>
        <v>0</v>
      </c>
    </row>
    <row r="109" spans="1:11">
      <c r="A109" s="28"/>
      <c r="B109" s="29" t="s">
        <v>3005</v>
      </c>
      <c r="C109" s="30" t="str">
        <f>IFERROR(_xlfn.XLOOKUP(B109,Insumo[DESCRIPCION],Insumo[UND],,0),"")</f>
        <v>galón</v>
      </c>
      <c r="D109" s="31">
        <v>0.02</v>
      </c>
      <c r="E109" s="32">
        <f>IFERROR(_xlfn.XLOOKUP($B109,Insumo[DESCRIPCION],Insumo[VALOR],,0),"")</f>
        <v>121619.40000000001</v>
      </c>
      <c r="F109" s="33"/>
      <c r="G109" s="34">
        <f>IFERROR(IF(F109&gt;=0,D109*E109*(1+F109/100),ABS(D109*E109/F109)),"")</f>
        <v>2432.3880000000004</v>
      </c>
      <c r="H109" s="43">
        <f>IFERROR(G109*E104,"")</f>
        <v>0</v>
      </c>
    </row>
    <row r="110" spans="1:11">
      <c r="A110" s="28"/>
      <c r="B110" s="29"/>
      <c r="C110" s="30" t="str">
        <f>IFERROR(_xlfn.XLOOKUP(B110,Insumo[DESCRIPCION],Insumo[UND],,0),"")</f>
        <v/>
      </c>
      <c r="D110" s="31"/>
      <c r="E110" s="32" t="str">
        <f>IFERROR(_xlfn.XLOOKUP($B110,Insumo[DESCRIPCION],Insumo[VALOR],,0),"")</f>
        <v/>
      </c>
      <c r="F110" s="33"/>
      <c r="G110" s="34" t="str">
        <f>IFERROR(IF(F110&gt;=0,D110*E110*(1+F110/100),ABS(D110*E110/F110)),"")</f>
        <v/>
      </c>
      <c r="H110" s="43" t="str">
        <f>IFERROR(G110*E104,"")</f>
        <v/>
      </c>
    </row>
    <row r="111" spans="1:11">
      <c r="A111" s="28"/>
      <c r="B111" s="29"/>
      <c r="C111" s="30" t="str">
        <f>IFERROR(_xlfn.XLOOKUP(B111,Insumo[DESCRIPCION],Insumo[UND],,0),"")</f>
        <v/>
      </c>
      <c r="D111" s="31"/>
      <c r="E111" s="32" t="str">
        <f>IFERROR(_xlfn.XLOOKUP($B111,Insumo[DESCRIPCION],Insumo[VALOR],,0),"")</f>
        <v/>
      </c>
      <c r="F111" s="33"/>
      <c r="G111" s="34" t="str">
        <f>IFERROR(IF(F111&gt;=0,D111*E111*(1+F111/100),ABS(D111*E111/F111)),"")</f>
        <v/>
      </c>
      <c r="H111" s="43" t="str">
        <f>IFERROR(G111*E104,"")</f>
        <v/>
      </c>
    </row>
    <row r="112" spans="1:11">
      <c r="A112" s="21"/>
      <c r="B112" s="22" t="s">
        <v>3731</v>
      </c>
      <c r="C112" s="23"/>
      <c r="D112" s="24"/>
      <c r="E112" s="25"/>
      <c r="F112" s="26"/>
      <c r="G112" s="27">
        <f>SUM(G113:G115)</f>
        <v>155.25469180000005</v>
      </c>
      <c r="H112" s="44">
        <f>G112*E104</f>
        <v>0</v>
      </c>
    </row>
    <row r="113" spans="1:11">
      <c r="A113" s="28"/>
      <c r="B113" s="29" t="s">
        <v>3626</v>
      </c>
      <c r="C113" s="30" t="str">
        <f>IFERROR(_xlfn.XLOOKUP(B113,Equipo[DESCRIPCION],Equipo[UND],,0),"")</f>
        <v>%MO</v>
      </c>
      <c r="D113" s="31">
        <v>0.05</v>
      </c>
      <c r="E113" s="32">
        <f>IF(C113="%MO",G119,IFERROR(_xlfn.XLOOKUP($B113,Equipo[DESCRIPCION],Equipo[VALOR],,0),""))</f>
        <v>3105.0938360000005</v>
      </c>
      <c r="F113" s="33"/>
      <c r="G113" s="34">
        <f>IFERROR(IF(F113&gt;=0,D113*E113*(1+F113/100),ABS(D113*E113/F113)),"")</f>
        <v>155.25469180000005</v>
      </c>
      <c r="H113" s="43">
        <f>IFERROR(G113*E104,"")</f>
        <v>0</v>
      </c>
    </row>
    <row r="114" spans="1:11">
      <c r="A114" s="28"/>
      <c r="B114" s="29"/>
      <c r="C114" s="30" t="str">
        <f>IFERROR(_xlfn.XLOOKUP(B114,Equipo[DESCRIPCION],Equipo[UND],,0),"")</f>
        <v/>
      </c>
      <c r="D114" s="31"/>
      <c r="E114" s="32" t="str">
        <f>IF(C114="%MO",G119,IFERROR(_xlfn.XLOOKUP($B114,Equipo[DESCRIPCION],Equipo[VALOR],,0),""))</f>
        <v/>
      </c>
      <c r="F114" s="33"/>
      <c r="G114" s="34" t="str">
        <f>IFERROR(IF(F114&gt;=0,D114*E114*(1+F114/100),ABS(D114*E114/F114)),"")</f>
        <v/>
      </c>
      <c r="H114" s="43" t="str">
        <f>IFERROR(G114*E104,"")</f>
        <v/>
      </c>
    </row>
    <row r="115" spans="1:11">
      <c r="A115" s="28"/>
      <c r="B115" s="29"/>
      <c r="C115" s="30" t="str">
        <f>IFERROR(_xlfn.XLOOKUP(B115,Equipo[DESCRIPCION],Equipo[UND],,0),"")</f>
        <v/>
      </c>
      <c r="D115" s="31"/>
      <c r="E115" s="32" t="str">
        <f>IF(C115="%MO",G119,IFERROR(_xlfn.XLOOKUP($B115,Equipo[DESCRIPCION],Equipo[VALOR],,0),""))</f>
        <v/>
      </c>
      <c r="F115" s="33"/>
      <c r="G115" s="34" t="str">
        <f>IFERROR(IF(F115&gt;=0,D115*E115*(1+F115/100),ABS(D115*E115/F115)),"")</f>
        <v/>
      </c>
      <c r="H115" s="43" t="str">
        <f>IFERROR(G115*E104,"")</f>
        <v/>
      </c>
    </row>
    <row r="116" spans="1:11">
      <c r="A116" s="21"/>
      <c r="B116" s="22" t="s">
        <v>2533</v>
      </c>
      <c r="C116" s="23"/>
      <c r="D116" s="24"/>
      <c r="E116" s="25"/>
      <c r="F116" s="26"/>
      <c r="G116" s="27">
        <f>SUM(G117:G118)</f>
        <v>0</v>
      </c>
      <c r="H116" s="44">
        <f>G116*E104</f>
        <v>0</v>
      </c>
    </row>
    <row r="117" spans="1:11">
      <c r="A117" s="28"/>
      <c r="B117" s="29"/>
      <c r="C117" s="30" t="str">
        <f>IFERROR(_xlfn.XLOOKUP(B117,Transporte[DESCRIPCION],Transporte[UND],,0),"")</f>
        <v/>
      </c>
      <c r="D117" s="31"/>
      <c r="E117" s="32" t="str">
        <f>IFERROR(_xlfn.XLOOKUP($B117,Transporte[DESCRIPCION],Transporte[VALOR],,0),"")</f>
        <v/>
      </c>
      <c r="F117" s="33"/>
      <c r="G117" s="34" t="str">
        <f>IFERROR(IF(F117&gt;=0,D117*E117*(1+F117/100),ABS(D117*E117/F117)),"")</f>
        <v/>
      </c>
      <c r="H117" s="43" t="str">
        <f>IFERROR(G117*E104,"")</f>
        <v/>
      </c>
    </row>
    <row r="118" spans="1:11">
      <c r="A118" s="28"/>
      <c r="B118" s="29"/>
      <c r="C118" s="30" t="str">
        <f>IFERROR(_xlfn.XLOOKUP(B118,Transporte[DESCRIPCION],Transporte[UND],,0),"")</f>
        <v/>
      </c>
      <c r="D118" s="31"/>
      <c r="E118" s="32" t="str">
        <f>IFERROR(_xlfn.XLOOKUP($B118,Transporte[DESCRIPCION],Transporte[VALOR],,0),"")</f>
        <v/>
      </c>
      <c r="F118" s="33"/>
      <c r="G118" s="34" t="str">
        <f>IFERROR(IF(F118&gt;=0,D118*E118*(1+F118/100),ABS(D118*E118/F118)),"")</f>
        <v/>
      </c>
      <c r="H118" s="43" t="str">
        <f>IFERROR(G118*E104,"")</f>
        <v/>
      </c>
    </row>
    <row r="119" spans="1:11">
      <c r="A119" s="21"/>
      <c r="B119" s="22" t="s">
        <v>3732</v>
      </c>
      <c r="C119" s="23"/>
      <c r="D119" s="24"/>
      <c r="E119" s="25"/>
      <c r="F119" s="26"/>
      <c r="G119" s="27">
        <f>SUM(G120:G122)</f>
        <v>3105.0938360000005</v>
      </c>
      <c r="H119" s="44">
        <f>G119*E104</f>
        <v>0</v>
      </c>
    </row>
    <row r="120" spans="1:11">
      <c r="A120" s="28"/>
      <c r="B120" s="29" t="s">
        <v>3716</v>
      </c>
      <c r="C120" s="30" t="str">
        <f>IFERROR(_xlfn.XLOOKUP(B120,MObra[DESCRIPCION],MObra[UN],,0),"")</f>
        <v>día</v>
      </c>
      <c r="D120" s="31">
        <v>1</v>
      </c>
      <c r="E120" s="32">
        <f>IFERROR(_xlfn.XLOOKUP($B120,MObra[DESCRIPCION],MObra[VALOR UNIT],,0),"")</f>
        <v>465764.07540000009</v>
      </c>
      <c r="F120" s="33">
        <v>-150</v>
      </c>
      <c r="G120" s="34">
        <f>IFERROR(IF(F120&gt;=0,D120*E120*(1+F120/100),ABS(D120*E120/F120)),"")</f>
        <v>3105.0938360000005</v>
      </c>
      <c r="H120" s="43">
        <f>IFERROR(G120*E104,"")</f>
        <v>0</v>
      </c>
    </row>
    <row r="121" spans="1:11">
      <c r="A121" s="28"/>
      <c r="B121" s="29"/>
      <c r="C121" s="30" t="str">
        <f>IFERROR(_xlfn.XLOOKUP(B121,MObra[DESCRIPCION],MObra[UN],,0),"")</f>
        <v/>
      </c>
      <c r="D121" s="31"/>
      <c r="E121" s="32" t="str">
        <f>IFERROR(_xlfn.XLOOKUP($B121,MObra[DESCRIPCION],MObra[VALOR UNIT],,0),"")</f>
        <v/>
      </c>
      <c r="F121" s="33"/>
      <c r="G121" s="34" t="str">
        <f>IFERROR(IF(F121&gt;=0,D121*E121*(1+F121/100),ABS(D121*E121/F121)),"")</f>
        <v/>
      </c>
      <c r="H121" s="43" t="str">
        <f>IFERROR(G121*E104,"")</f>
        <v/>
      </c>
    </row>
    <row r="122" spans="1:11">
      <c r="A122" s="35"/>
      <c r="B122" s="36"/>
      <c r="C122" s="37" t="str">
        <f>IFERROR(_xlfn.XLOOKUP(B122,MObra[DESCRIPCION],MObra[UN],,0),"")</f>
        <v/>
      </c>
      <c r="D122" s="38"/>
      <c r="E122" s="39" t="str">
        <f>IFERROR(_xlfn.XLOOKUP($B122,MObra[DESCRIPCION],MObra[VALOR UNIT],,0),"")</f>
        <v/>
      </c>
      <c r="F122" s="40"/>
      <c r="G122" s="41" t="str">
        <f>IFERROR(IF(F122&gt;=0,D122*E122*(1+F122/100),ABS(D122*E122/F122)),"")</f>
        <v/>
      </c>
      <c r="H122" s="42" t="str">
        <f>IFERROR(G122*E104,"")</f>
        <v/>
      </c>
    </row>
    <row r="124" spans="1:11">
      <c r="A124" s="6" t="s">
        <v>2440</v>
      </c>
      <c r="B124" s="7" t="str">
        <f>VLOOKUP($A124,Presupuesto!$A:$D,2,FALSE())</f>
        <v>Señal preventiva reflectiva L=0.9 m</v>
      </c>
      <c r="C124" s="8" t="str">
        <f>VLOOKUP($A124,Presupuesto!$A:$D,3,FALSE())</f>
        <v>Un</v>
      </c>
      <c r="D124" s="9"/>
      <c r="E124" s="10">
        <f>VLOOKUP($A124,Presupuesto!$A:$D,4,FALSE())</f>
        <v>0</v>
      </c>
      <c r="F124" s="11" t="s">
        <v>2589</v>
      </c>
      <c r="G124" s="12">
        <f>SUM(G126:G142)/2</f>
        <v>469768.37793963531</v>
      </c>
      <c r="H124" s="13">
        <f>ROUND(SUM(H126:H142),0)/2</f>
        <v>0</v>
      </c>
      <c r="I124" s="10">
        <f>VLOOKUP(A124,Presupuesto!$A:$F,6,0)</f>
        <v>0</v>
      </c>
      <c r="J124" s="10">
        <f>+H124-I124</f>
        <v>0</v>
      </c>
      <c r="K124" s="46">
        <f>+H124-G124*E124</f>
        <v>0</v>
      </c>
    </row>
    <row r="125" spans="1:11">
      <c r="A125" s="14"/>
      <c r="B125" s="15" t="s">
        <v>2586</v>
      </c>
      <c r="C125" s="15" t="s">
        <v>5</v>
      </c>
      <c r="D125" s="16" t="s">
        <v>6</v>
      </c>
      <c r="E125" s="17" t="s">
        <v>7</v>
      </c>
      <c r="F125" s="18" t="s">
        <v>3728</v>
      </c>
      <c r="G125" s="19" t="s">
        <v>3729</v>
      </c>
      <c r="H125" s="20" t="s">
        <v>3797</v>
      </c>
    </row>
    <row r="126" spans="1:11">
      <c r="A126" s="21"/>
      <c r="B126" s="22" t="s">
        <v>3730</v>
      </c>
      <c r="C126" s="23"/>
      <c r="D126" s="24"/>
      <c r="E126" s="25"/>
      <c r="F126" s="26"/>
      <c r="G126" s="27">
        <f>SUM(G127:G131)</f>
        <v>436757.34909566026</v>
      </c>
      <c r="H126" s="27">
        <f>IFERROR(G126*E124,"")</f>
        <v>0</v>
      </c>
    </row>
    <row r="127" spans="1:11">
      <c r="A127" s="28"/>
      <c r="B127" s="29" t="s">
        <v>3291</v>
      </c>
      <c r="C127" s="30" t="str">
        <f>IFERROR(_xlfn.XLOOKUP(B127,Insumo[DESCRIPCION],Insumo[UND],,0),"")</f>
        <v>Un</v>
      </c>
      <c r="D127" s="31">
        <v>1</v>
      </c>
      <c r="E127" s="32">
        <f>IFERROR(_xlfn.XLOOKUP($B127,Insumo[DESCRIPCION],Insumo[VALOR],,0),"")</f>
        <v>414868.65</v>
      </c>
      <c r="F127" s="33"/>
      <c r="G127" s="34">
        <f>IFERROR(IF(F127&gt;=0,D127*E127*(1+F127/100),ABS(D127*E127/F127)),"")</f>
        <v>414868.65</v>
      </c>
      <c r="H127" s="43">
        <f>IFERROR(G127*E124,"")</f>
        <v>0</v>
      </c>
    </row>
    <row r="128" spans="1:11">
      <c r="A128" s="28"/>
      <c r="B128" s="29" t="s">
        <v>3239</v>
      </c>
      <c r="C128" s="30" t="str">
        <f>IFERROR(_xlfn.XLOOKUP(B128,Insumo[DESCRIPCION],Insumo[UND],,0),"")</f>
        <v>M3</v>
      </c>
      <c r="D128" s="31">
        <v>0.04</v>
      </c>
      <c r="E128" s="32">
        <f>IFERROR(_xlfn.XLOOKUP($B128,Insumo[DESCRIPCION],Insumo[VALOR],,0),"")</f>
        <v>521159.50227762427</v>
      </c>
      <c r="F128" s="33">
        <v>5</v>
      </c>
      <c r="G128" s="34">
        <f>IFERROR(IF(F128&gt;=0,D128*E128*(1+F128/100),ABS(D128*E128/F128)),"")</f>
        <v>21888.699095660224</v>
      </c>
      <c r="H128" s="43">
        <f>IFERROR(G128*E124,"")</f>
        <v>0</v>
      </c>
    </row>
    <row r="129" spans="1:11">
      <c r="A129" s="28"/>
      <c r="B129" s="29"/>
      <c r="C129" s="30" t="str">
        <f>IFERROR(_xlfn.XLOOKUP(B129,Insumo[DESCRIPCION],Insumo[UND],,0),"")</f>
        <v/>
      </c>
      <c r="D129" s="31"/>
      <c r="E129" s="32" t="str">
        <f>IFERROR(_xlfn.XLOOKUP($B129,Insumo[DESCRIPCION],Insumo[VALOR],,0),"")</f>
        <v/>
      </c>
      <c r="F129" s="33"/>
      <c r="G129" s="34" t="str">
        <f>IFERROR(IF(F129&gt;=0,D129*E129*(1+F129/100),ABS(D129*E129/F129)),"")</f>
        <v/>
      </c>
      <c r="H129" s="43" t="str">
        <f>IFERROR(G129*E124,"")</f>
        <v/>
      </c>
    </row>
    <row r="130" spans="1:11">
      <c r="A130" s="28"/>
      <c r="B130" s="29"/>
      <c r="C130" s="30" t="str">
        <f>IFERROR(_xlfn.XLOOKUP(B130,Insumo[DESCRIPCION],Insumo[UND],,0),"")</f>
        <v/>
      </c>
      <c r="D130" s="31"/>
      <c r="E130" s="32" t="str">
        <f>IFERROR(_xlfn.XLOOKUP($B130,Insumo[DESCRIPCION],Insumo[VALOR],,0),"")</f>
        <v/>
      </c>
      <c r="F130" s="33"/>
      <c r="G130" s="34" t="str">
        <f>IFERROR(IF(F130&gt;=0,D130*E130*(1+F130/100),ABS(D130*E130/F130)),"")</f>
        <v/>
      </c>
      <c r="H130" s="43" t="str">
        <f>IFERROR(G130*E124,"")</f>
        <v/>
      </c>
    </row>
    <row r="131" spans="1:11">
      <c r="A131" s="28"/>
      <c r="B131" s="29"/>
      <c r="C131" s="30" t="str">
        <f>IFERROR(_xlfn.XLOOKUP(B131,Insumo[DESCRIPCION],Insumo[UND],,0),"")</f>
        <v/>
      </c>
      <c r="D131" s="31"/>
      <c r="E131" s="32" t="str">
        <f>IFERROR(_xlfn.XLOOKUP($B131,Insumo[DESCRIPCION],Insumo[VALOR],,0),"")</f>
        <v/>
      </c>
      <c r="F131" s="33"/>
      <c r="G131" s="34" t="str">
        <f>IFERROR(IF(F131&gt;=0,D131*E131*(1+F131/100),ABS(D131*E131/F131)),"")</f>
        <v/>
      </c>
      <c r="H131" s="43" t="str">
        <f>IFERROR(G131*E124,"")</f>
        <v/>
      </c>
    </row>
    <row r="132" spans="1:11">
      <c r="A132" s="21"/>
      <c r="B132" s="22" t="s">
        <v>3731</v>
      </c>
      <c r="C132" s="23"/>
      <c r="D132" s="24"/>
      <c r="E132" s="25"/>
      <c r="F132" s="26"/>
      <c r="G132" s="27">
        <f>SUM(G133:G135)</f>
        <v>1571.9537544750003</v>
      </c>
      <c r="H132" s="44">
        <f>G132*E124</f>
        <v>0</v>
      </c>
    </row>
    <row r="133" spans="1:11">
      <c r="A133" s="28"/>
      <c r="B133" s="29" t="s">
        <v>3626</v>
      </c>
      <c r="C133" s="30" t="str">
        <f>IFERROR(_xlfn.XLOOKUP(B133,Equipo[DESCRIPCION],Equipo[UND],,0),"")</f>
        <v>%MO</v>
      </c>
      <c r="D133" s="31">
        <v>0.05</v>
      </c>
      <c r="E133" s="32">
        <f>IF(C133="%MO",G139,IFERROR(_xlfn.XLOOKUP($B133,Equipo[DESCRIPCION],Equipo[VALOR],,0),""))</f>
        <v>31439.075089500006</v>
      </c>
      <c r="F133" s="33"/>
      <c r="G133" s="34">
        <f>IFERROR(IF(F133&gt;=0,D133*E133*(1+F133/100),ABS(D133*E133/F133)),"")</f>
        <v>1571.9537544750003</v>
      </c>
      <c r="H133" s="43">
        <f>IFERROR(G133*E124,"")</f>
        <v>0</v>
      </c>
    </row>
    <row r="134" spans="1:11">
      <c r="A134" s="28"/>
      <c r="B134" s="29"/>
      <c r="C134" s="30" t="str">
        <f>IFERROR(_xlfn.XLOOKUP(B134,Equipo[DESCRIPCION],Equipo[UND],,0),"")</f>
        <v/>
      </c>
      <c r="D134" s="31"/>
      <c r="E134" s="32" t="str">
        <f>IF(C134="%MO",G139,IFERROR(_xlfn.XLOOKUP($B134,Equipo[DESCRIPCION],Equipo[VALOR],,0),""))</f>
        <v/>
      </c>
      <c r="F134" s="33"/>
      <c r="G134" s="34" t="str">
        <f>IFERROR(IF(F134&gt;=0,D134*E134*(1+F134/100),ABS(D134*E134/F134)),"")</f>
        <v/>
      </c>
      <c r="H134" s="43" t="str">
        <f>IFERROR(G134*E124,"")</f>
        <v/>
      </c>
    </row>
    <row r="135" spans="1:11">
      <c r="A135" s="28"/>
      <c r="B135" s="29"/>
      <c r="C135" s="30" t="str">
        <f>IFERROR(_xlfn.XLOOKUP(B135,Equipo[DESCRIPCION],Equipo[UND],,0),"")</f>
        <v/>
      </c>
      <c r="D135" s="31"/>
      <c r="E135" s="32" t="str">
        <f>IF(C135="%MO",G139,IFERROR(_xlfn.XLOOKUP($B135,Equipo[DESCRIPCION],Equipo[VALOR],,0),""))</f>
        <v/>
      </c>
      <c r="F135" s="33"/>
      <c r="G135" s="34" t="str">
        <f>IFERROR(IF(F135&gt;=0,D135*E135*(1+F135/100),ABS(D135*E135/F135)),"")</f>
        <v/>
      </c>
      <c r="H135" s="43" t="str">
        <f>IFERROR(G135*E124,"")</f>
        <v/>
      </c>
    </row>
    <row r="136" spans="1:11">
      <c r="A136" s="21"/>
      <c r="B136" s="22" t="s">
        <v>2533</v>
      </c>
      <c r="C136" s="23"/>
      <c r="D136" s="24"/>
      <c r="E136" s="25"/>
      <c r="F136" s="26"/>
      <c r="G136" s="27">
        <f>SUM(G137:G138)</f>
        <v>0</v>
      </c>
      <c r="H136" s="44">
        <f>G136*E124</f>
        <v>0</v>
      </c>
    </row>
    <row r="137" spans="1:11">
      <c r="A137" s="28"/>
      <c r="B137" s="29"/>
      <c r="C137" s="30" t="str">
        <f>IFERROR(_xlfn.XLOOKUP(B137,Transporte[DESCRIPCION],Transporte[UND],,0),"")</f>
        <v/>
      </c>
      <c r="D137" s="31"/>
      <c r="E137" s="32" t="str">
        <f>IFERROR(_xlfn.XLOOKUP($B137,Transporte[DESCRIPCION],Transporte[VALOR],,0),"")</f>
        <v/>
      </c>
      <c r="F137" s="33"/>
      <c r="G137" s="34" t="str">
        <f>IFERROR(IF(F137&gt;=0,D137*E137*(1+F137/100),ABS(D137*E137/F137)),"")</f>
        <v/>
      </c>
      <c r="H137" s="43" t="str">
        <f>IFERROR(G137*E124,"")</f>
        <v/>
      </c>
    </row>
    <row r="138" spans="1:11">
      <c r="A138" s="28"/>
      <c r="B138" s="29"/>
      <c r="C138" s="30" t="str">
        <f>IFERROR(_xlfn.XLOOKUP(B138,Transporte[DESCRIPCION],Transporte[UND],,0),"")</f>
        <v/>
      </c>
      <c r="D138" s="31"/>
      <c r="E138" s="32" t="str">
        <f>IFERROR(_xlfn.XLOOKUP($B138,Transporte[DESCRIPCION],Transporte[VALOR],,0),"")</f>
        <v/>
      </c>
      <c r="F138" s="33"/>
      <c r="G138" s="34" t="str">
        <f>IFERROR(IF(F138&gt;=0,D138*E138*(1+F138/100),ABS(D138*E138/F138)),"")</f>
        <v/>
      </c>
      <c r="H138" s="43" t="str">
        <f>IFERROR(G138*E124,"")</f>
        <v/>
      </c>
    </row>
    <row r="139" spans="1:11">
      <c r="A139" s="21"/>
      <c r="B139" s="22" t="s">
        <v>3732</v>
      </c>
      <c r="C139" s="23"/>
      <c r="D139" s="24"/>
      <c r="E139" s="25"/>
      <c r="F139" s="26"/>
      <c r="G139" s="27">
        <f>SUM(G140:G142)</f>
        <v>31439.075089500006</v>
      </c>
      <c r="H139" s="44">
        <f>G139*E124</f>
        <v>0</v>
      </c>
    </row>
    <row r="140" spans="1:11">
      <c r="A140" s="28"/>
      <c r="B140" s="29" t="s">
        <v>3710</v>
      </c>
      <c r="C140" s="30" t="str">
        <f>IFERROR(_xlfn.XLOOKUP(B140,MObra[DESCRIPCION],MObra[UN],,0),"")</f>
        <v>día</v>
      </c>
      <c r="D140" s="31">
        <v>1</v>
      </c>
      <c r="E140" s="32">
        <f>IFERROR(_xlfn.XLOOKUP($B140,MObra[DESCRIPCION],MObra[VALOR UNIT],,0),"")</f>
        <v>314390.75089500006</v>
      </c>
      <c r="F140" s="33">
        <v>-10</v>
      </c>
      <c r="G140" s="34">
        <f>IFERROR(IF(F140&gt;=0,D140*E140*(1+F140/100),ABS(D140*E140/F140)),"")</f>
        <v>31439.075089500006</v>
      </c>
      <c r="H140" s="43">
        <f>IFERROR(G140*E124,"")</f>
        <v>0</v>
      </c>
    </row>
    <row r="141" spans="1:11">
      <c r="A141" s="28"/>
      <c r="B141" s="29"/>
      <c r="C141" s="30" t="str">
        <f>IFERROR(_xlfn.XLOOKUP(B141,MObra[DESCRIPCION],MObra[UN],,0),"")</f>
        <v/>
      </c>
      <c r="D141" s="31"/>
      <c r="E141" s="32" t="str">
        <f>IFERROR(_xlfn.XLOOKUP($B141,MObra[DESCRIPCION],MObra[VALOR UNIT],,0),"")</f>
        <v/>
      </c>
      <c r="F141" s="33"/>
      <c r="G141" s="34" t="str">
        <f>IFERROR(IF(F141&gt;=0,D141*E141*(1+F141/100),ABS(D141*E141/F141)),"")</f>
        <v/>
      </c>
      <c r="H141" s="43" t="str">
        <f>IFERROR(G141*E124,"")</f>
        <v/>
      </c>
    </row>
    <row r="142" spans="1:11">
      <c r="A142" s="35"/>
      <c r="B142" s="36"/>
      <c r="C142" s="37" t="str">
        <f>IFERROR(_xlfn.XLOOKUP(B142,MObra[DESCRIPCION],MObra[UN],,0),"")</f>
        <v/>
      </c>
      <c r="D142" s="38"/>
      <c r="E142" s="39" t="str">
        <f>IFERROR(_xlfn.XLOOKUP($B142,MObra[DESCRIPCION],MObra[VALOR UNIT],,0),"")</f>
        <v/>
      </c>
      <c r="F142" s="40"/>
      <c r="G142" s="41" t="str">
        <f>IFERROR(IF(F142&gt;=0,D142*E142*(1+F142/100),ABS(D142*E142/F142)),"")</f>
        <v/>
      </c>
      <c r="H142" s="42" t="str">
        <f>IFERROR(G142*E124,"")</f>
        <v/>
      </c>
    </row>
    <row r="144" spans="1:11">
      <c r="A144" s="6" t="s">
        <v>2441</v>
      </c>
      <c r="B144" s="7" t="str">
        <f>VLOOKUP($A144,Presupuesto!$A:$D,2,FALSE())</f>
        <v>Señal reglamentaria reflectiva Ø=0.6m</v>
      </c>
      <c r="C144" s="8" t="str">
        <f>VLOOKUP($A144,Presupuesto!$A:$D,3,FALSE())</f>
        <v>Un</v>
      </c>
      <c r="D144" s="9"/>
      <c r="E144" s="10">
        <f>VLOOKUP($A144,Presupuesto!$A:$D,4,FALSE())</f>
        <v>0</v>
      </c>
      <c r="F144" s="11" t="s">
        <v>2589</v>
      </c>
      <c r="G144" s="12">
        <f>SUM(G146:G162)/2</f>
        <v>376565.12793963531</v>
      </c>
      <c r="H144" s="13">
        <f>ROUND(SUM(H146:H162),0)/2</f>
        <v>0</v>
      </c>
      <c r="I144" s="10">
        <f>VLOOKUP(A144,Presupuesto!$A:$F,6,0)</f>
        <v>0</v>
      </c>
      <c r="J144" s="10">
        <f>+H144-I144</f>
        <v>0</v>
      </c>
      <c r="K144" s="46">
        <f>+H144-G144*E144</f>
        <v>0</v>
      </c>
    </row>
    <row r="145" spans="1:9">
      <c r="A145" s="14"/>
      <c r="B145" s="15" t="s">
        <v>2586</v>
      </c>
      <c r="C145" s="15" t="s">
        <v>5</v>
      </c>
      <c r="D145" s="16" t="s">
        <v>6</v>
      </c>
      <c r="E145" s="17" t="s">
        <v>7</v>
      </c>
      <c r="F145" s="18" t="s">
        <v>3728</v>
      </c>
      <c r="G145" s="19" t="s">
        <v>3729</v>
      </c>
      <c r="H145" s="20" t="s">
        <v>3797</v>
      </c>
    </row>
    <row r="146" spans="1:9">
      <c r="A146" s="21"/>
      <c r="B146" s="22" t="s">
        <v>3730</v>
      </c>
      <c r="C146" s="23"/>
      <c r="D146" s="24"/>
      <c r="E146" s="25"/>
      <c r="F146" s="26"/>
      <c r="G146" s="27">
        <f>SUM(G147:G151)</f>
        <v>343554.09909566026</v>
      </c>
      <c r="H146" s="27">
        <f>IFERROR(G146*E144,"")</f>
        <v>0</v>
      </c>
    </row>
    <row r="147" spans="1:9">
      <c r="A147" s="28"/>
      <c r="B147" s="29" t="s">
        <v>3290</v>
      </c>
      <c r="C147" s="30" t="str">
        <f>IFERROR(_xlfn.XLOOKUP(B147,Insumo[DESCRIPCION],Insumo[UND],,0),"")</f>
        <v>Un</v>
      </c>
      <c r="D147" s="31">
        <v>1</v>
      </c>
      <c r="E147" s="32">
        <f>IFERROR(_xlfn.XLOOKUP($B147,Insumo[DESCRIPCION],Insumo[VALOR],,0),"")</f>
        <v>321665.40000000002</v>
      </c>
      <c r="F147" s="33"/>
      <c r="G147" s="34">
        <f>IFERROR(IF(F147&gt;=0,D147*E147*(1+F147/100),ABS(D147*E147/F147)),"")</f>
        <v>321665.40000000002</v>
      </c>
      <c r="H147" s="43">
        <f>IFERROR(G147*E144,"")</f>
        <v>0</v>
      </c>
      <c r="I147" s="3" t="s">
        <v>3803</v>
      </c>
    </row>
    <row r="148" spans="1:9">
      <c r="A148" s="28"/>
      <c r="B148" s="29" t="s">
        <v>3239</v>
      </c>
      <c r="C148" s="30" t="str">
        <f>IFERROR(_xlfn.XLOOKUP(B148,Insumo[DESCRIPCION],Insumo[UND],,0),"")</f>
        <v>M3</v>
      </c>
      <c r="D148" s="31">
        <v>0.04</v>
      </c>
      <c r="E148" s="32">
        <f>IFERROR(_xlfn.XLOOKUP($B148,Insumo[DESCRIPCION],Insumo[VALOR],,0),"")</f>
        <v>521159.50227762427</v>
      </c>
      <c r="F148" s="33">
        <v>5</v>
      </c>
      <c r="G148" s="34">
        <f>IFERROR(IF(F148&gt;=0,D148*E148*(1+F148/100),ABS(D148*E148/F148)),"")</f>
        <v>21888.699095660224</v>
      </c>
      <c r="H148" s="43">
        <f>IFERROR(G148*E144,"")</f>
        <v>0</v>
      </c>
    </row>
    <row r="149" spans="1:9">
      <c r="A149" s="28"/>
      <c r="B149" s="29"/>
      <c r="C149" s="30" t="str">
        <f>IFERROR(_xlfn.XLOOKUP(B149,Insumo[DESCRIPCION],Insumo[UND],,0),"")</f>
        <v/>
      </c>
      <c r="D149" s="31"/>
      <c r="E149" s="32" t="str">
        <f>IFERROR(_xlfn.XLOOKUP($B149,Insumo[DESCRIPCION],Insumo[VALOR],,0),"")</f>
        <v/>
      </c>
      <c r="F149" s="33"/>
      <c r="G149" s="34" t="str">
        <f>IFERROR(IF(F149&gt;=0,D149*E149*(1+F149/100),ABS(D149*E149/F149)),"")</f>
        <v/>
      </c>
      <c r="H149" s="43" t="str">
        <f>IFERROR(G149*E144,"")</f>
        <v/>
      </c>
    </row>
    <row r="150" spans="1:9">
      <c r="A150" s="28"/>
      <c r="B150" s="29"/>
      <c r="C150" s="30" t="str">
        <f>IFERROR(_xlfn.XLOOKUP(B150,Insumo[DESCRIPCION],Insumo[UND],,0),"")</f>
        <v/>
      </c>
      <c r="D150" s="31"/>
      <c r="E150" s="32" t="str">
        <f>IFERROR(_xlfn.XLOOKUP($B150,Insumo[DESCRIPCION],Insumo[VALOR],,0),"")</f>
        <v/>
      </c>
      <c r="F150" s="33"/>
      <c r="G150" s="34" t="str">
        <f>IFERROR(IF(F150&gt;=0,D150*E150*(1+F150/100),ABS(D150*E150/F150)),"")</f>
        <v/>
      </c>
      <c r="H150" s="43" t="str">
        <f>IFERROR(G150*E144,"")</f>
        <v/>
      </c>
    </row>
    <row r="151" spans="1:9">
      <c r="A151" s="28"/>
      <c r="B151" s="29"/>
      <c r="C151" s="30" t="str">
        <f>IFERROR(_xlfn.XLOOKUP(B151,Insumo[DESCRIPCION],Insumo[UND],,0),"")</f>
        <v/>
      </c>
      <c r="D151" s="31"/>
      <c r="E151" s="32" t="str">
        <f>IFERROR(_xlfn.XLOOKUP($B151,Insumo[DESCRIPCION],Insumo[VALOR],,0),"")</f>
        <v/>
      </c>
      <c r="F151" s="33"/>
      <c r="G151" s="34" t="str">
        <f>IFERROR(IF(F151&gt;=0,D151*E151*(1+F151/100),ABS(D151*E151/F151)),"")</f>
        <v/>
      </c>
      <c r="H151" s="43" t="str">
        <f>IFERROR(G151*E144,"")</f>
        <v/>
      </c>
    </row>
    <row r="152" spans="1:9">
      <c r="A152" s="21"/>
      <c r="B152" s="22" t="s">
        <v>3731</v>
      </c>
      <c r="C152" s="23"/>
      <c r="D152" s="24"/>
      <c r="E152" s="25"/>
      <c r="F152" s="26"/>
      <c r="G152" s="27">
        <f>SUM(G153:G155)</f>
        <v>1571.9537544750003</v>
      </c>
      <c r="H152" s="44">
        <f>G152*E144</f>
        <v>0</v>
      </c>
    </row>
    <row r="153" spans="1:9">
      <c r="A153" s="28"/>
      <c r="B153" s="29" t="s">
        <v>3626</v>
      </c>
      <c r="C153" s="30" t="str">
        <f>IFERROR(_xlfn.XLOOKUP(B153,Equipo[DESCRIPCION],Equipo[UND],,0),"")</f>
        <v>%MO</v>
      </c>
      <c r="D153" s="31">
        <v>0.05</v>
      </c>
      <c r="E153" s="32">
        <f>IF(C153="%MO",G159,IFERROR(_xlfn.XLOOKUP($B153,Equipo[DESCRIPCION],Equipo[VALOR],,0),""))</f>
        <v>31439.075089500006</v>
      </c>
      <c r="F153" s="33"/>
      <c r="G153" s="34">
        <f>IFERROR(IF(F153&gt;=0,D153*E153*(1+F153/100),ABS(D153*E153/F153)),"")</f>
        <v>1571.9537544750003</v>
      </c>
      <c r="H153" s="43">
        <f>IFERROR(G153*E144,"")</f>
        <v>0</v>
      </c>
    </row>
    <row r="154" spans="1:9">
      <c r="A154" s="28"/>
      <c r="B154" s="29"/>
      <c r="C154" s="30" t="str">
        <f>IFERROR(_xlfn.XLOOKUP(B154,Equipo[DESCRIPCION],Equipo[UND],,0),"")</f>
        <v/>
      </c>
      <c r="D154" s="31"/>
      <c r="E154" s="32" t="str">
        <f>IF(C154="%MO",G159,IFERROR(_xlfn.XLOOKUP($B154,Equipo[DESCRIPCION],Equipo[VALOR],,0),""))</f>
        <v/>
      </c>
      <c r="F154" s="33"/>
      <c r="G154" s="34" t="str">
        <f>IFERROR(IF(F154&gt;=0,D154*E154*(1+F154/100),ABS(D154*E154/F154)),"")</f>
        <v/>
      </c>
      <c r="H154" s="43" t="str">
        <f>IFERROR(G154*E144,"")</f>
        <v/>
      </c>
    </row>
    <row r="155" spans="1:9">
      <c r="A155" s="28"/>
      <c r="B155" s="29"/>
      <c r="C155" s="30" t="str">
        <f>IFERROR(_xlfn.XLOOKUP(B155,Equipo[DESCRIPCION],Equipo[UND],,0),"")</f>
        <v/>
      </c>
      <c r="D155" s="31"/>
      <c r="E155" s="32" t="str">
        <f>IF(C155="%MO",G159,IFERROR(_xlfn.XLOOKUP($B155,Equipo[DESCRIPCION],Equipo[VALOR],,0),""))</f>
        <v/>
      </c>
      <c r="F155" s="33"/>
      <c r="G155" s="34" t="str">
        <f>IFERROR(IF(F155&gt;=0,D155*E155*(1+F155/100),ABS(D155*E155/F155)),"")</f>
        <v/>
      </c>
      <c r="H155" s="43" t="str">
        <f>IFERROR(G155*E144,"")</f>
        <v/>
      </c>
    </row>
    <row r="156" spans="1:9">
      <c r="A156" s="21"/>
      <c r="B156" s="22" t="s">
        <v>2533</v>
      </c>
      <c r="C156" s="23"/>
      <c r="D156" s="24"/>
      <c r="E156" s="25"/>
      <c r="F156" s="26"/>
      <c r="G156" s="27">
        <f>SUM(G157:G158)</f>
        <v>0</v>
      </c>
      <c r="H156" s="44">
        <f>G156*E144</f>
        <v>0</v>
      </c>
    </row>
    <row r="157" spans="1:9">
      <c r="A157" s="28"/>
      <c r="B157" s="29"/>
      <c r="C157" s="30" t="str">
        <f>IFERROR(_xlfn.XLOOKUP(B157,Transporte[DESCRIPCION],Transporte[UND],,0),"")</f>
        <v/>
      </c>
      <c r="D157" s="31"/>
      <c r="E157" s="32" t="str">
        <f>IFERROR(_xlfn.XLOOKUP($B157,Transporte[DESCRIPCION],Transporte[VALOR],,0),"")</f>
        <v/>
      </c>
      <c r="F157" s="33"/>
      <c r="G157" s="34" t="str">
        <f>IFERROR(IF(F157&gt;=0,D157*E157*(1+F157/100),ABS(D157*E157/F157)),"")</f>
        <v/>
      </c>
      <c r="H157" s="43" t="str">
        <f>IFERROR(G157*E144,"")</f>
        <v/>
      </c>
    </row>
    <row r="158" spans="1:9">
      <c r="A158" s="28"/>
      <c r="B158" s="29"/>
      <c r="C158" s="30" t="str">
        <f>IFERROR(_xlfn.XLOOKUP(B158,Transporte[DESCRIPCION],Transporte[UND],,0),"")</f>
        <v/>
      </c>
      <c r="D158" s="31"/>
      <c r="E158" s="32" t="str">
        <f>IFERROR(_xlfn.XLOOKUP($B158,Transporte[DESCRIPCION],Transporte[VALOR],,0),"")</f>
        <v/>
      </c>
      <c r="F158" s="33"/>
      <c r="G158" s="34" t="str">
        <f>IFERROR(IF(F158&gt;=0,D158*E158*(1+F158/100),ABS(D158*E158/F158)),"")</f>
        <v/>
      </c>
      <c r="H158" s="43" t="str">
        <f>IFERROR(G158*E144,"")</f>
        <v/>
      </c>
    </row>
    <row r="159" spans="1:9">
      <c r="A159" s="21"/>
      <c r="B159" s="22" t="s">
        <v>3732</v>
      </c>
      <c r="C159" s="23"/>
      <c r="D159" s="24"/>
      <c r="E159" s="25"/>
      <c r="F159" s="26"/>
      <c r="G159" s="27">
        <f>SUM(G160:G162)</f>
        <v>31439.075089500006</v>
      </c>
      <c r="H159" s="44">
        <f>G159*E144</f>
        <v>0</v>
      </c>
    </row>
    <row r="160" spans="1:9">
      <c r="A160" s="28"/>
      <c r="B160" s="29" t="s">
        <v>3710</v>
      </c>
      <c r="C160" s="30" t="str">
        <f>IFERROR(_xlfn.XLOOKUP(B160,MObra[DESCRIPCION],MObra[UN],,0),"")</f>
        <v>día</v>
      </c>
      <c r="D160" s="31">
        <v>1</v>
      </c>
      <c r="E160" s="32">
        <f>IFERROR(_xlfn.XLOOKUP($B160,MObra[DESCRIPCION],MObra[VALOR UNIT],,0),"")</f>
        <v>314390.75089500006</v>
      </c>
      <c r="F160" s="33">
        <v>-10</v>
      </c>
      <c r="G160" s="34">
        <f>IFERROR(IF(F160&gt;=0,D160*E160*(1+F160/100),ABS(D160*E160/F160)),"")</f>
        <v>31439.075089500006</v>
      </c>
      <c r="H160" s="43">
        <f>IFERROR(G160*E144,"")</f>
        <v>0</v>
      </c>
    </row>
    <row r="161" spans="1:11">
      <c r="A161" s="28"/>
      <c r="B161" s="29"/>
      <c r="C161" s="30" t="str">
        <f>IFERROR(_xlfn.XLOOKUP(B161,MObra[DESCRIPCION],MObra[UN],,0),"")</f>
        <v/>
      </c>
      <c r="D161" s="31"/>
      <c r="E161" s="32" t="str">
        <f>IFERROR(_xlfn.XLOOKUP($B161,MObra[DESCRIPCION],MObra[VALOR UNIT],,0),"")</f>
        <v/>
      </c>
      <c r="F161" s="33"/>
      <c r="G161" s="34" t="str">
        <f>IFERROR(IF(F161&gt;=0,D161*E161*(1+F161/100),ABS(D161*E161/F161)),"")</f>
        <v/>
      </c>
      <c r="H161" s="43" t="str">
        <f>IFERROR(G161*E144,"")</f>
        <v/>
      </c>
    </row>
    <row r="162" spans="1:11">
      <c r="A162" s="35"/>
      <c r="B162" s="36"/>
      <c r="C162" s="37" t="str">
        <f>IFERROR(_xlfn.XLOOKUP(B162,MObra[DESCRIPCION],MObra[UN],,0),"")</f>
        <v/>
      </c>
      <c r="D162" s="38"/>
      <c r="E162" s="39" t="str">
        <f>IFERROR(_xlfn.XLOOKUP($B162,MObra[DESCRIPCION],MObra[VALOR UNIT],,0),"")</f>
        <v/>
      </c>
      <c r="F162" s="40"/>
      <c r="G162" s="41" t="str">
        <f>IFERROR(IF(F162&gt;=0,D162*E162*(1+F162/100),ABS(D162*E162/F162)),"")</f>
        <v/>
      </c>
      <c r="H162" s="42" t="str">
        <f>IFERROR(G162*E144,"")</f>
        <v/>
      </c>
    </row>
    <row r="164" spans="1:11">
      <c r="A164" s="6" t="s">
        <v>2443</v>
      </c>
      <c r="B164" s="7" t="str">
        <f>VLOOKUP($A164,Presupuesto!$A:$D,2,FALSE())</f>
        <v>Señal reglamentaria reflectiva Ø=1.2m</v>
      </c>
      <c r="C164" s="8" t="str">
        <f>VLOOKUP($A164,Presupuesto!$A:$D,3,FALSE())</f>
        <v>Un</v>
      </c>
      <c r="D164" s="9"/>
      <c r="E164" s="10">
        <f>VLOOKUP($A164,Presupuesto!$A:$D,4,FALSE())</f>
        <v>0</v>
      </c>
      <c r="F164" s="11" t="s">
        <v>2589</v>
      </c>
      <c r="G164" s="12">
        <f>SUM(G166:G182)/2</f>
        <v>520915.97793963528</v>
      </c>
      <c r="H164" s="13">
        <f>ROUND(SUM(H166:H182),0)/2</f>
        <v>0</v>
      </c>
      <c r="I164" s="10">
        <f>VLOOKUP(A164,Presupuesto!$A:$F,6,0)</f>
        <v>0</v>
      </c>
      <c r="J164" s="10">
        <f>+H164-I164</f>
        <v>0</v>
      </c>
      <c r="K164" s="46">
        <f>+H164-G164*E164</f>
        <v>0</v>
      </c>
    </row>
    <row r="165" spans="1:11">
      <c r="A165" s="14"/>
      <c r="B165" s="15" t="s">
        <v>2586</v>
      </c>
      <c r="C165" s="15" t="s">
        <v>5</v>
      </c>
      <c r="D165" s="16" t="s">
        <v>6</v>
      </c>
      <c r="E165" s="17" t="s">
        <v>7</v>
      </c>
      <c r="F165" s="18" t="s">
        <v>3728</v>
      </c>
      <c r="G165" s="19" t="s">
        <v>3729</v>
      </c>
      <c r="H165" s="20" t="s">
        <v>3797</v>
      </c>
    </row>
    <row r="166" spans="1:11">
      <c r="A166" s="21"/>
      <c r="B166" s="22" t="s">
        <v>3730</v>
      </c>
      <c r="C166" s="23"/>
      <c r="D166" s="24"/>
      <c r="E166" s="25"/>
      <c r="F166" s="26"/>
      <c r="G166" s="27">
        <f>SUM(G167:G171)</f>
        <v>487904.94909566024</v>
      </c>
      <c r="H166" s="27">
        <f>IFERROR(G166*E164,"")</f>
        <v>0</v>
      </c>
    </row>
    <row r="167" spans="1:11">
      <c r="A167" s="28"/>
      <c r="B167" s="29" t="s">
        <v>3292</v>
      </c>
      <c r="C167" s="30" t="str">
        <f>IFERROR(_xlfn.XLOOKUP(B167,Insumo[DESCRIPCION],Insumo[UND],,0),"")</f>
        <v>Un</v>
      </c>
      <c r="D167" s="31">
        <v>1</v>
      </c>
      <c r="E167" s="32">
        <f>IFERROR(_xlfn.XLOOKUP($B167,Insumo[DESCRIPCION],Insumo[VALOR],,0),"")</f>
        <v>466016.25</v>
      </c>
      <c r="F167" s="33"/>
      <c r="G167" s="34">
        <f>IFERROR(IF(F167&gt;=0,D167*E167*(1+F167/100),ABS(D167*E167/F167)),"")</f>
        <v>466016.25</v>
      </c>
      <c r="H167" s="43">
        <f>IFERROR(G167*E164,"")</f>
        <v>0</v>
      </c>
    </row>
    <row r="168" spans="1:11">
      <c r="A168" s="28"/>
      <c r="B168" s="29" t="s">
        <v>3239</v>
      </c>
      <c r="C168" s="30" t="str">
        <f>IFERROR(_xlfn.XLOOKUP(B168,Insumo[DESCRIPCION],Insumo[UND],,0),"")</f>
        <v>M3</v>
      </c>
      <c r="D168" s="31">
        <v>0.04</v>
      </c>
      <c r="E168" s="32">
        <f>IFERROR(_xlfn.XLOOKUP($B168,Insumo[DESCRIPCION],Insumo[VALOR],,0),"")</f>
        <v>521159.50227762427</v>
      </c>
      <c r="F168" s="33">
        <v>5</v>
      </c>
      <c r="G168" s="34">
        <f>IFERROR(IF(F168&gt;=0,D168*E168*(1+F168/100),ABS(D168*E168/F168)),"")</f>
        <v>21888.699095660224</v>
      </c>
      <c r="H168" s="43">
        <f>IFERROR(G168*E164,"")</f>
        <v>0</v>
      </c>
    </row>
    <row r="169" spans="1:11">
      <c r="A169" s="28"/>
      <c r="B169" s="29"/>
      <c r="C169" s="30" t="str">
        <f>IFERROR(_xlfn.XLOOKUP(B169,Insumo[DESCRIPCION],Insumo[UND],,0),"")</f>
        <v/>
      </c>
      <c r="D169" s="31"/>
      <c r="E169" s="32" t="str">
        <f>IFERROR(_xlfn.XLOOKUP($B169,Insumo[DESCRIPCION],Insumo[VALOR],,0),"")</f>
        <v/>
      </c>
      <c r="F169" s="33"/>
      <c r="G169" s="34" t="str">
        <f>IFERROR(IF(F169&gt;=0,D169*E169*(1+F169/100),ABS(D169*E169/F169)),"")</f>
        <v/>
      </c>
      <c r="H169" s="43" t="str">
        <f>IFERROR(G169*E164,"")</f>
        <v/>
      </c>
    </row>
    <row r="170" spans="1:11">
      <c r="A170" s="28"/>
      <c r="B170" s="29"/>
      <c r="C170" s="30" t="str">
        <f>IFERROR(_xlfn.XLOOKUP(B170,Insumo[DESCRIPCION],Insumo[UND],,0),"")</f>
        <v/>
      </c>
      <c r="D170" s="31"/>
      <c r="E170" s="32" t="str">
        <f>IFERROR(_xlfn.XLOOKUP($B170,Insumo[DESCRIPCION],Insumo[VALOR],,0),"")</f>
        <v/>
      </c>
      <c r="F170" s="33"/>
      <c r="G170" s="34" t="str">
        <f>IFERROR(IF(F170&gt;=0,D170*E170*(1+F170/100),ABS(D170*E170/F170)),"")</f>
        <v/>
      </c>
      <c r="H170" s="43" t="str">
        <f>IFERROR(G170*E164,"")</f>
        <v/>
      </c>
    </row>
    <row r="171" spans="1:11">
      <c r="A171" s="28"/>
      <c r="B171" s="29"/>
      <c r="C171" s="30" t="str">
        <f>IFERROR(_xlfn.XLOOKUP(B171,Insumo[DESCRIPCION],Insumo[UND],,0),"")</f>
        <v/>
      </c>
      <c r="D171" s="31"/>
      <c r="E171" s="32" t="str">
        <f>IFERROR(_xlfn.XLOOKUP($B171,Insumo[DESCRIPCION],Insumo[VALOR],,0),"")</f>
        <v/>
      </c>
      <c r="F171" s="33"/>
      <c r="G171" s="34" t="str">
        <f>IFERROR(IF(F171&gt;=0,D171*E171*(1+F171/100),ABS(D171*E171/F171)),"")</f>
        <v/>
      </c>
      <c r="H171" s="43" t="str">
        <f>IFERROR(G171*E164,"")</f>
        <v/>
      </c>
    </row>
    <row r="172" spans="1:11">
      <c r="A172" s="21"/>
      <c r="B172" s="22" t="s">
        <v>3731</v>
      </c>
      <c r="C172" s="23"/>
      <c r="D172" s="24"/>
      <c r="E172" s="25"/>
      <c r="F172" s="26"/>
      <c r="G172" s="27">
        <f>SUM(G173:G175)</f>
        <v>1571.9537544750003</v>
      </c>
      <c r="H172" s="44">
        <f>G172*E164</f>
        <v>0</v>
      </c>
    </row>
    <row r="173" spans="1:11">
      <c r="A173" s="28"/>
      <c r="B173" s="29" t="s">
        <v>3626</v>
      </c>
      <c r="C173" s="30" t="str">
        <f>IFERROR(_xlfn.XLOOKUP(B173,Equipo[DESCRIPCION],Equipo[UND],,0),"")</f>
        <v>%MO</v>
      </c>
      <c r="D173" s="31">
        <v>0.05</v>
      </c>
      <c r="E173" s="32">
        <f>IF(C173="%MO",G179,IFERROR(_xlfn.XLOOKUP($B173,Equipo[DESCRIPCION],Equipo[VALOR],,0),""))</f>
        <v>31439.075089500006</v>
      </c>
      <c r="F173" s="33"/>
      <c r="G173" s="34">
        <f>IFERROR(IF(F173&gt;=0,D173*E173*(1+F173/100),ABS(D173*E173/F173)),"")</f>
        <v>1571.9537544750003</v>
      </c>
      <c r="H173" s="43">
        <f>IFERROR(G173*E164,"")</f>
        <v>0</v>
      </c>
    </row>
    <row r="174" spans="1:11">
      <c r="A174" s="28"/>
      <c r="B174" s="29"/>
      <c r="C174" s="30" t="str">
        <f>IFERROR(_xlfn.XLOOKUP(B174,Equipo[DESCRIPCION],Equipo[UND],,0),"")</f>
        <v/>
      </c>
      <c r="D174" s="31"/>
      <c r="E174" s="32" t="str">
        <f>IF(C174="%MO",G179,IFERROR(_xlfn.XLOOKUP($B174,Equipo[DESCRIPCION],Equipo[VALOR],,0),""))</f>
        <v/>
      </c>
      <c r="F174" s="33"/>
      <c r="G174" s="34" t="str">
        <f>IFERROR(IF(F174&gt;=0,D174*E174*(1+F174/100),ABS(D174*E174/F174)),"")</f>
        <v/>
      </c>
      <c r="H174" s="43" t="str">
        <f>IFERROR(G174*E164,"")</f>
        <v/>
      </c>
    </row>
    <row r="175" spans="1:11">
      <c r="A175" s="28"/>
      <c r="B175" s="29"/>
      <c r="C175" s="30" t="str">
        <f>IFERROR(_xlfn.XLOOKUP(B175,Equipo[DESCRIPCION],Equipo[UND],,0),"")</f>
        <v/>
      </c>
      <c r="D175" s="31"/>
      <c r="E175" s="32" t="str">
        <f>IF(C175="%MO",G179,IFERROR(_xlfn.XLOOKUP($B175,Equipo[DESCRIPCION],Equipo[VALOR],,0),""))</f>
        <v/>
      </c>
      <c r="F175" s="33"/>
      <c r="G175" s="34" t="str">
        <f>IFERROR(IF(F175&gt;=0,D175*E175*(1+F175/100),ABS(D175*E175/F175)),"")</f>
        <v/>
      </c>
      <c r="H175" s="43" t="str">
        <f>IFERROR(G175*E164,"")</f>
        <v/>
      </c>
    </row>
    <row r="176" spans="1:11">
      <c r="A176" s="21"/>
      <c r="B176" s="22" t="s">
        <v>2533</v>
      </c>
      <c r="C176" s="23"/>
      <c r="D176" s="24"/>
      <c r="E176" s="25"/>
      <c r="F176" s="26"/>
      <c r="G176" s="27">
        <f>SUM(G177:G178)</f>
        <v>0</v>
      </c>
      <c r="H176" s="44">
        <f>G176*E164</f>
        <v>0</v>
      </c>
    </row>
    <row r="177" spans="1:11">
      <c r="A177" s="28"/>
      <c r="B177" s="29"/>
      <c r="C177" s="30" t="str">
        <f>IFERROR(_xlfn.XLOOKUP(B177,Transporte[DESCRIPCION],Transporte[UND],,0),"")</f>
        <v/>
      </c>
      <c r="D177" s="31"/>
      <c r="E177" s="32" t="str">
        <f>IFERROR(_xlfn.XLOOKUP($B177,Transporte[DESCRIPCION],Transporte[VALOR],,0),"")</f>
        <v/>
      </c>
      <c r="F177" s="33"/>
      <c r="G177" s="34" t="str">
        <f>IFERROR(IF(F177&gt;=0,D177*E177*(1+F177/100),ABS(D177*E177/F177)),"")</f>
        <v/>
      </c>
      <c r="H177" s="43" t="str">
        <f>IFERROR(G177*E164,"")</f>
        <v/>
      </c>
    </row>
    <row r="178" spans="1:11">
      <c r="A178" s="28"/>
      <c r="B178" s="29"/>
      <c r="C178" s="30" t="str">
        <f>IFERROR(_xlfn.XLOOKUP(B178,Transporte[DESCRIPCION],Transporte[UND],,0),"")</f>
        <v/>
      </c>
      <c r="D178" s="31"/>
      <c r="E178" s="32" t="str">
        <f>IFERROR(_xlfn.XLOOKUP($B178,Transporte[DESCRIPCION],Transporte[VALOR],,0),"")</f>
        <v/>
      </c>
      <c r="F178" s="33"/>
      <c r="G178" s="34" t="str">
        <f>IFERROR(IF(F178&gt;=0,D178*E178*(1+F178/100),ABS(D178*E178/F178)),"")</f>
        <v/>
      </c>
      <c r="H178" s="43" t="str">
        <f>IFERROR(G178*E164,"")</f>
        <v/>
      </c>
    </row>
    <row r="179" spans="1:11">
      <c r="A179" s="21"/>
      <c r="B179" s="22" t="s">
        <v>3732</v>
      </c>
      <c r="C179" s="23"/>
      <c r="D179" s="24"/>
      <c r="E179" s="25"/>
      <c r="F179" s="26"/>
      <c r="G179" s="27">
        <f>SUM(G180:G182)</f>
        <v>31439.075089500006</v>
      </c>
      <c r="H179" s="44">
        <f>G179*E164</f>
        <v>0</v>
      </c>
    </row>
    <row r="180" spans="1:11">
      <c r="A180" s="28"/>
      <c r="B180" s="29" t="s">
        <v>3710</v>
      </c>
      <c r="C180" s="30" t="str">
        <f>IFERROR(_xlfn.XLOOKUP(B180,MObra[DESCRIPCION],MObra[UN],,0),"")</f>
        <v>día</v>
      </c>
      <c r="D180" s="31">
        <v>1</v>
      </c>
      <c r="E180" s="32">
        <f>IFERROR(_xlfn.XLOOKUP($B180,MObra[DESCRIPCION],MObra[VALOR UNIT],,0),"")</f>
        <v>314390.75089500006</v>
      </c>
      <c r="F180" s="33">
        <v>-10</v>
      </c>
      <c r="G180" s="34">
        <f>IFERROR(IF(F180&gt;=0,D180*E180*(1+F180/100),ABS(D180*E180/F180)),"")</f>
        <v>31439.075089500006</v>
      </c>
      <c r="H180" s="43">
        <f>IFERROR(G180*E164,"")</f>
        <v>0</v>
      </c>
    </row>
    <row r="181" spans="1:11">
      <c r="A181" s="28"/>
      <c r="B181" s="29"/>
      <c r="C181" s="30" t="str">
        <f>IFERROR(_xlfn.XLOOKUP(B181,MObra[DESCRIPCION],MObra[UN],,0),"")</f>
        <v/>
      </c>
      <c r="D181" s="31"/>
      <c r="E181" s="32" t="str">
        <f>IFERROR(_xlfn.XLOOKUP($B181,MObra[DESCRIPCION],MObra[VALOR UNIT],,0),"")</f>
        <v/>
      </c>
      <c r="F181" s="33"/>
      <c r="G181" s="34" t="str">
        <f>IFERROR(IF(F181&gt;=0,D181*E181*(1+F181/100),ABS(D181*E181/F181)),"")</f>
        <v/>
      </c>
      <c r="H181" s="43" t="str">
        <f>IFERROR(G181*E164,"")</f>
        <v/>
      </c>
    </row>
    <row r="182" spans="1:11">
      <c r="A182" s="35"/>
      <c r="B182" s="36"/>
      <c r="C182" s="37" t="str">
        <f>IFERROR(_xlfn.XLOOKUP(B182,MObra[DESCRIPCION],MObra[UN],,0),"")</f>
        <v/>
      </c>
      <c r="D182" s="38"/>
      <c r="E182" s="39" t="str">
        <f>IFERROR(_xlfn.XLOOKUP($B182,MObra[DESCRIPCION],MObra[VALOR UNIT],,0),"")</f>
        <v/>
      </c>
      <c r="F182" s="40"/>
      <c r="G182" s="41" t="str">
        <f>IFERROR(IF(F182&gt;=0,D182*E182*(1+F182/100),ABS(D182*E182/F182)),"")</f>
        <v/>
      </c>
      <c r="H182" s="42" t="str">
        <f>IFERROR(G182*E164,"")</f>
        <v/>
      </c>
    </row>
    <row r="184" spans="1:11">
      <c r="A184" s="6" t="s">
        <v>2445</v>
      </c>
      <c r="B184" s="7" t="str">
        <f>VLOOKUP($A184,Presupuesto!$A:$D,2,FALSE())</f>
        <v>Tachas reflectivas unidireccionales</v>
      </c>
      <c r="C184" s="8" t="str">
        <f>VLOOKUP($A184,Presupuesto!$A:$D,3,FALSE())</f>
        <v>Un</v>
      </c>
      <c r="D184" s="9"/>
      <c r="E184" s="10">
        <f>VLOOKUP($A184,Presupuesto!$A:$D,4,FALSE())</f>
        <v>0</v>
      </c>
      <c r="F184" s="11" t="s">
        <v>2589</v>
      </c>
      <c r="G184" s="12">
        <f>SUM(G186:G202)/2</f>
        <v>26868.255768794999</v>
      </c>
      <c r="H184" s="13">
        <f>ROUND(SUM(H186:H202),0)/2</f>
        <v>0</v>
      </c>
      <c r="I184" s="10">
        <f>VLOOKUP(A184,Presupuesto!$A:$F,6,0)</f>
        <v>0</v>
      </c>
      <c r="J184" s="10">
        <f>+H184-I184</f>
        <v>0</v>
      </c>
      <c r="K184" s="46">
        <f>+H184-G184*E184</f>
        <v>0</v>
      </c>
    </row>
    <row r="185" spans="1:11">
      <c r="A185" s="14"/>
      <c r="B185" s="15" t="s">
        <v>2586</v>
      </c>
      <c r="C185" s="15" t="s">
        <v>5</v>
      </c>
      <c r="D185" s="16" t="s">
        <v>6</v>
      </c>
      <c r="E185" s="17" t="s">
        <v>7</v>
      </c>
      <c r="F185" s="18" t="s">
        <v>3728</v>
      </c>
      <c r="G185" s="19" t="s">
        <v>3729</v>
      </c>
      <c r="H185" s="20" t="s">
        <v>3797</v>
      </c>
    </row>
    <row r="186" spans="1:11">
      <c r="A186" s="21"/>
      <c r="B186" s="22" t="s">
        <v>3730</v>
      </c>
      <c r="C186" s="23"/>
      <c r="D186" s="24"/>
      <c r="E186" s="25"/>
      <c r="F186" s="26"/>
      <c r="G186" s="27">
        <f>SUM(G187:G191)</f>
        <v>20266.05</v>
      </c>
      <c r="H186" s="27">
        <f>IFERROR(G186*E184,"")</f>
        <v>0</v>
      </c>
    </row>
    <row r="187" spans="1:11">
      <c r="A187" s="28"/>
      <c r="B187" s="29" t="s">
        <v>3358</v>
      </c>
      <c r="C187" s="30" t="str">
        <f>IFERROR(_xlfn.XLOOKUP(B187,Insumo[DESCRIPCION],Insumo[UND],,0),"")</f>
        <v>Un</v>
      </c>
      <c r="D187" s="31">
        <v>1</v>
      </c>
      <c r="E187" s="32">
        <f>IFERROR(_xlfn.XLOOKUP($B187,Insumo[DESCRIPCION],Insumo[VALOR],,0),"")</f>
        <v>20266.05</v>
      </c>
      <c r="F187" s="33"/>
      <c r="G187" s="34">
        <f>IFERROR(IF(F187&gt;=0,D187*E187*(1+F187/100),ABS(D187*E187/F187)),"")</f>
        <v>20266.05</v>
      </c>
      <c r="H187" s="43">
        <f>IFERROR(G187*E184,"")</f>
        <v>0</v>
      </c>
    </row>
    <row r="188" spans="1:11">
      <c r="A188" s="28"/>
      <c r="B188" s="29"/>
      <c r="C188" s="30" t="str">
        <f>IFERROR(_xlfn.XLOOKUP(B188,Insumo[DESCRIPCION],Insumo[UND],,0),"")</f>
        <v/>
      </c>
      <c r="D188" s="31"/>
      <c r="E188" s="32" t="str">
        <f>IFERROR(_xlfn.XLOOKUP($B188,Insumo[DESCRIPCION],Insumo[VALOR],,0),"")</f>
        <v/>
      </c>
      <c r="F188" s="33"/>
      <c r="G188" s="34" t="str">
        <f>IFERROR(IF(F188&gt;=0,D188*E188*(1+F188/100),ABS(D188*E188/F188)),"")</f>
        <v/>
      </c>
      <c r="H188" s="43" t="str">
        <f>IFERROR(G188*E184,"")</f>
        <v/>
      </c>
    </row>
    <row r="189" spans="1:11">
      <c r="A189" s="28"/>
      <c r="B189" s="29"/>
      <c r="C189" s="30" t="str">
        <f>IFERROR(_xlfn.XLOOKUP(B189,Insumo[DESCRIPCION],Insumo[UND],,0),"")</f>
        <v/>
      </c>
      <c r="D189" s="31"/>
      <c r="E189" s="32" t="str">
        <f>IFERROR(_xlfn.XLOOKUP($B189,Insumo[DESCRIPCION],Insumo[VALOR],,0),"")</f>
        <v/>
      </c>
      <c r="F189" s="33"/>
      <c r="G189" s="34" t="str">
        <f>IFERROR(IF(F189&gt;=0,D189*E189*(1+F189/100),ABS(D189*E189/F189)),"")</f>
        <v/>
      </c>
      <c r="H189" s="43" t="str">
        <f>IFERROR(G189*E184,"")</f>
        <v/>
      </c>
    </row>
    <row r="190" spans="1:11">
      <c r="A190" s="28"/>
      <c r="B190" s="29"/>
      <c r="C190" s="30" t="str">
        <f>IFERROR(_xlfn.XLOOKUP(B190,Insumo[DESCRIPCION],Insumo[UND],,0),"")</f>
        <v/>
      </c>
      <c r="D190" s="31"/>
      <c r="E190" s="32" t="str">
        <f>IFERROR(_xlfn.XLOOKUP($B190,Insumo[DESCRIPCION],Insumo[VALOR],,0),"")</f>
        <v/>
      </c>
      <c r="F190" s="33"/>
      <c r="G190" s="34" t="str">
        <f>IFERROR(IF(F190&gt;=0,D190*E190*(1+F190/100),ABS(D190*E190/F190)),"")</f>
        <v/>
      </c>
      <c r="H190" s="43" t="str">
        <f>IFERROR(G190*E184,"")</f>
        <v/>
      </c>
    </row>
    <row r="191" spans="1:11">
      <c r="A191" s="28"/>
      <c r="B191" s="29"/>
      <c r="C191" s="30" t="str">
        <f>IFERROR(_xlfn.XLOOKUP(B191,Insumo[DESCRIPCION],Insumo[UND],,0),"")</f>
        <v/>
      </c>
      <c r="D191" s="31"/>
      <c r="E191" s="32" t="str">
        <f>IFERROR(_xlfn.XLOOKUP($B191,Insumo[DESCRIPCION],Insumo[VALOR],,0),"")</f>
        <v/>
      </c>
      <c r="F191" s="33"/>
      <c r="G191" s="34" t="str">
        <f>IFERROR(IF(F191&gt;=0,D191*E191*(1+F191/100),ABS(D191*E191/F191)),"")</f>
        <v/>
      </c>
      <c r="H191" s="43" t="str">
        <f>IFERROR(G191*E184,"")</f>
        <v/>
      </c>
    </row>
    <row r="192" spans="1:11">
      <c r="A192" s="21"/>
      <c r="B192" s="22" t="s">
        <v>3731</v>
      </c>
      <c r="C192" s="23"/>
      <c r="D192" s="24"/>
      <c r="E192" s="25"/>
      <c r="F192" s="26"/>
      <c r="G192" s="27">
        <f>SUM(G193:G195)</f>
        <v>314.39075089500011</v>
      </c>
      <c r="H192" s="44">
        <f>G192*E184</f>
        <v>0</v>
      </c>
    </row>
    <row r="193" spans="1:11">
      <c r="A193" s="28"/>
      <c r="B193" s="29" t="s">
        <v>3626</v>
      </c>
      <c r="C193" s="30" t="str">
        <f>IFERROR(_xlfn.XLOOKUP(B193,Equipo[DESCRIPCION],Equipo[UND],,0),"")</f>
        <v>%MO</v>
      </c>
      <c r="D193" s="31">
        <v>0.05</v>
      </c>
      <c r="E193" s="32">
        <f>IF(C193="%MO",G199,IFERROR(_xlfn.XLOOKUP($B193,Equipo[DESCRIPCION],Equipo[VALOR],,0),""))</f>
        <v>6287.8150179000013</v>
      </c>
      <c r="F193" s="33"/>
      <c r="G193" s="34">
        <f>IFERROR(IF(F193&gt;=0,D193*E193*(1+F193/100),ABS(D193*E193/F193)),"")</f>
        <v>314.39075089500011</v>
      </c>
      <c r="H193" s="43">
        <f>IFERROR(G193*E184,"")</f>
        <v>0</v>
      </c>
    </row>
    <row r="194" spans="1:11">
      <c r="A194" s="28"/>
      <c r="B194" s="29"/>
      <c r="C194" s="30" t="str">
        <f>IFERROR(_xlfn.XLOOKUP(B194,Equipo[DESCRIPCION],Equipo[UND],,0),"")</f>
        <v/>
      </c>
      <c r="D194" s="31"/>
      <c r="E194" s="32" t="str">
        <f>IF(C194="%MO",G199,IFERROR(_xlfn.XLOOKUP($B194,Equipo[DESCRIPCION],Equipo[VALOR],,0),""))</f>
        <v/>
      </c>
      <c r="F194" s="33"/>
      <c r="G194" s="34" t="str">
        <f>IFERROR(IF(F194&gt;=0,D194*E194*(1+F194/100),ABS(D194*E194/F194)),"")</f>
        <v/>
      </c>
      <c r="H194" s="43" t="str">
        <f>IFERROR(G194*E184,"")</f>
        <v/>
      </c>
    </row>
    <row r="195" spans="1:11">
      <c r="A195" s="28"/>
      <c r="B195" s="29"/>
      <c r="C195" s="30" t="str">
        <f>IFERROR(_xlfn.XLOOKUP(B195,Equipo[DESCRIPCION],Equipo[UND],,0),"")</f>
        <v/>
      </c>
      <c r="D195" s="31"/>
      <c r="E195" s="32" t="str">
        <f>IF(C195="%MO",G199,IFERROR(_xlfn.XLOOKUP($B195,Equipo[DESCRIPCION],Equipo[VALOR],,0),""))</f>
        <v/>
      </c>
      <c r="F195" s="33"/>
      <c r="G195" s="34" t="str">
        <f>IFERROR(IF(F195&gt;=0,D195*E195*(1+F195/100),ABS(D195*E195/F195)),"")</f>
        <v/>
      </c>
      <c r="H195" s="43" t="str">
        <f>IFERROR(G195*E184,"")</f>
        <v/>
      </c>
    </row>
    <row r="196" spans="1:11">
      <c r="A196" s="21"/>
      <c r="B196" s="22" t="s">
        <v>2533</v>
      </c>
      <c r="C196" s="23"/>
      <c r="D196" s="24"/>
      <c r="E196" s="25"/>
      <c r="F196" s="26"/>
      <c r="G196" s="27">
        <f>SUM(G197:G198)</f>
        <v>0</v>
      </c>
      <c r="H196" s="44">
        <f>G196*E184</f>
        <v>0</v>
      </c>
    </row>
    <row r="197" spans="1:11">
      <c r="A197" s="28"/>
      <c r="B197" s="29"/>
      <c r="C197" s="30" t="str">
        <f>IFERROR(_xlfn.XLOOKUP(B197,Transporte[DESCRIPCION],Transporte[UND],,0),"")</f>
        <v/>
      </c>
      <c r="D197" s="31"/>
      <c r="E197" s="32" t="str">
        <f>IFERROR(_xlfn.XLOOKUP($B197,Transporte[DESCRIPCION],Transporte[VALOR],,0),"")</f>
        <v/>
      </c>
      <c r="F197" s="33"/>
      <c r="G197" s="34" t="str">
        <f>IFERROR(IF(F197&gt;=0,D197*E197*(1+F197/100),ABS(D197*E197/F197)),"")</f>
        <v/>
      </c>
      <c r="H197" s="43" t="str">
        <f>IFERROR(G197*E184,"")</f>
        <v/>
      </c>
    </row>
    <row r="198" spans="1:11">
      <c r="A198" s="28"/>
      <c r="B198" s="29"/>
      <c r="C198" s="30" t="str">
        <f>IFERROR(_xlfn.XLOOKUP(B198,Transporte[DESCRIPCION],Transporte[UND],,0),"")</f>
        <v/>
      </c>
      <c r="D198" s="31"/>
      <c r="E198" s="32" t="str">
        <f>IFERROR(_xlfn.XLOOKUP($B198,Transporte[DESCRIPCION],Transporte[VALOR],,0),"")</f>
        <v/>
      </c>
      <c r="F198" s="33"/>
      <c r="G198" s="34" t="str">
        <f>IFERROR(IF(F198&gt;=0,D198*E198*(1+F198/100),ABS(D198*E198/F198)),"")</f>
        <v/>
      </c>
      <c r="H198" s="43" t="str">
        <f>IFERROR(G198*E184,"")</f>
        <v/>
      </c>
    </row>
    <row r="199" spans="1:11">
      <c r="A199" s="21"/>
      <c r="B199" s="22" t="s">
        <v>3732</v>
      </c>
      <c r="C199" s="23"/>
      <c r="D199" s="24"/>
      <c r="E199" s="25"/>
      <c r="F199" s="26"/>
      <c r="G199" s="27">
        <f>SUM(G200:G202)</f>
        <v>6287.8150179000013</v>
      </c>
      <c r="H199" s="44">
        <f>G199*E184</f>
        <v>0</v>
      </c>
    </row>
    <row r="200" spans="1:11">
      <c r="A200" s="28"/>
      <c r="B200" s="29" t="s">
        <v>3710</v>
      </c>
      <c r="C200" s="30" t="str">
        <f>IFERROR(_xlfn.XLOOKUP(B200,MObra[DESCRIPCION],MObra[UN],,0),"")</f>
        <v>día</v>
      </c>
      <c r="D200" s="31">
        <v>1</v>
      </c>
      <c r="E200" s="32">
        <f>IFERROR(_xlfn.XLOOKUP($B200,MObra[DESCRIPCION],MObra[VALOR UNIT],,0),"")</f>
        <v>314390.75089500006</v>
      </c>
      <c r="F200" s="33">
        <v>-50</v>
      </c>
      <c r="G200" s="34">
        <f>IFERROR(IF(F200&gt;=0,D200*E200*(1+F200/100),ABS(D200*E200/F200)),"")</f>
        <v>6287.8150179000013</v>
      </c>
      <c r="H200" s="43">
        <f>IFERROR(G200*E184,"")</f>
        <v>0</v>
      </c>
    </row>
    <row r="201" spans="1:11">
      <c r="A201" s="28"/>
      <c r="B201" s="29"/>
      <c r="C201" s="30" t="str">
        <f>IFERROR(_xlfn.XLOOKUP(B201,MObra[DESCRIPCION],MObra[UN],,0),"")</f>
        <v/>
      </c>
      <c r="D201" s="31"/>
      <c r="E201" s="32" t="str">
        <f>IFERROR(_xlfn.XLOOKUP($B201,MObra[DESCRIPCION],MObra[VALOR UNIT],,0),"")</f>
        <v/>
      </c>
      <c r="F201" s="33"/>
      <c r="G201" s="34" t="str">
        <f>IFERROR(IF(F201&gt;=0,D201*E201*(1+F201/100),ABS(D201*E201/F201)),"")</f>
        <v/>
      </c>
      <c r="H201" s="43" t="str">
        <f>IFERROR(G201*E184,"")</f>
        <v/>
      </c>
    </row>
    <row r="202" spans="1:11">
      <c r="A202" s="35"/>
      <c r="B202" s="36"/>
      <c r="C202" s="37" t="str">
        <f>IFERROR(_xlfn.XLOOKUP(B202,MObra[DESCRIPCION],MObra[UN],,0),"")</f>
        <v/>
      </c>
      <c r="D202" s="38"/>
      <c r="E202" s="39" t="str">
        <f>IFERROR(_xlfn.XLOOKUP($B202,MObra[DESCRIPCION],MObra[VALOR UNIT],,0),"")</f>
        <v/>
      </c>
      <c r="F202" s="40"/>
      <c r="G202" s="41" t="str">
        <f>IFERROR(IF(F202&gt;=0,D202*E202*(1+F202/100),ABS(D202*E202/F202)),"")</f>
        <v/>
      </c>
      <c r="H202" s="42" t="str">
        <f>IFERROR(G202*E184,"")</f>
        <v/>
      </c>
    </row>
    <row r="204" spans="1:11">
      <c r="A204" s="6" t="s">
        <v>2447</v>
      </c>
      <c r="B204" s="7" t="str">
        <f>VLOOKUP($A204,Presupuesto!$A:$D,2,FALSE())</f>
        <v>Terminal barrera guardavía galvanizada</v>
      </c>
      <c r="C204" s="8" t="str">
        <f>VLOOKUP($A204,Presupuesto!$A:$D,3,FALSE())</f>
        <v>Un</v>
      </c>
      <c r="D204" s="9"/>
      <c r="E204" s="10">
        <f>VLOOKUP($A204,Presupuesto!$A:$D,4,FALSE())</f>
        <v>0</v>
      </c>
      <c r="F204" s="11" t="s">
        <v>2589</v>
      </c>
      <c r="G204" s="12">
        <f>SUM(G206:G222)/2</f>
        <v>159676.728843975</v>
      </c>
      <c r="H204" s="13">
        <f>ROUND(SUM(H206:H222),0)/2</f>
        <v>0</v>
      </c>
      <c r="I204" s="10">
        <f>VLOOKUP(A204,Presupuesto!$A:$F,6,0)</f>
        <v>0</v>
      </c>
      <c r="J204" s="10">
        <f>+H204-I204</f>
        <v>0</v>
      </c>
      <c r="K204" s="46">
        <f>+H204-G204*E204</f>
        <v>0</v>
      </c>
    </row>
    <row r="205" spans="1:11">
      <c r="A205" s="14"/>
      <c r="B205" s="15" t="s">
        <v>2586</v>
      </c>
      <c r="C205" s="15" t="s">
        <v>5</v>
      </c>
      <c r="D205" s="16" t="s">
        <v>6</v>
      </c>
      <c r="E205" s="17" t="s">
        <v>7</v>
      </c>
      <c r="F205" s="18" t="s">
        <v>3728</v>
      </c>
      <c r="G205" s="19" t="s">
        <v>3729</v>
      </c>
      <c r="H205" s="20" t="s">
        <v>3797</v>
      </c>
    </row>
    <row r="206" spans="1:11">
      <c r="A206" s="21"/>
      <c r="B206" s="22" t="s">
        <v>3730</v>
      </c>
      <c r="C206" s="23"/>
      <c r="D206" s="24"/>
      <c r="E206" s="25"/>
      <c r="F206" s="26"/>
      <c r="G206" s="27">
        <f>SUM(G207:G211)</f>
        <v>126665.70000000001</v>
      </c>
      <c r="H206" s="27">
        <f>IFERROR(G206*E204,"")</f>
        <v>0</v>
      </c>
    </row>
    <row r="207" spans="1:11">
      <c r="A207" s="28"/>
      <c r="B207" s="29" t="s">
        <v>3388</v>
      </c>
      <c r="C207" s="30" t="str">
        <f>IFERROR(_xlfn.XLOOKUP(B207,Insumo[DESCRIPCION],Insumo[UND],,0),"")</f>
        <v>Un</v>
      </c>
      <c r="D207" s="31">
        <v>1</v>
      </c>
      <c r="E207" s="32">
        <f>IFERROR(_xlfn.XLOOKUP($B207,Insumo[DESCRIPCION],Insumo[VALOR],,0),"")</f>
        <v>126665.70000000001</v>
      </c>
      <c r="F207" s="33"/>
      <c r="G207" s="34">
        <f>IFERROR(IF(F207&gt;=0,D207*E207*(1+F207/100),ABS(D207*E207/F207)),"")</f>
        <v>126665.70000000001</v>
      </c>
      <c r="H207" s="43">
        <f>IFERROR(G207*E204,"")</f>
        <v>0</v>
      </c>
    </row>
    <row r="208" spans="1:11">
      <c r="A208" s="28"/>
      <c r="B208" s="29"/>
      <c r="C208" s="30" t="str">
        <f>IFERROR(_xlfn.XLOOKUP(B208,Insumo[DESCRIPCION],Insumo[UND],,0),"")</f>
        <v/>
      </c>
      <c r="D208" s="31"/>
      <c r="E208" s="32" t="str">
        <f>IFERROR(_xlfn.XLOOKUP($B208,Insumo[DESCRIPCION],Insumo[VALOR],,0),"")</f>
        <v/>
      </c>
      <c r="F208" s="33"/>
      <c r="G208" s="34" t="str">
        <f>IFERROR(IF(F208&gt;=0,D208*E208*(1+F208/100),ABS(D208*E208/F208)),"")</f>
        <v/>
      </c>
      <c r="H208" s="43" t="str">
        <f>IFERROR(G208*E204,"")</f>
        <v/>
      </c>
    </row>
    <row r="209" spans="1:11">
      <c r="A209" s="28"/>
      <c r="B209" s="29"/>
      <c r="C209" s="30" t="str">
        <f>IFERROR(_xlfn.XLOOKUP(B209,Insumo[DESCRIPCION],Insumo[UND],,0),"")</f>
        <v/>
      </c>
      <c r="D209" s="31"/>
      <c r="E209" s="32" t="str">
        <f>IFERROR(_xlfn.XLOOKUP($B209,Insumo[DESCRIPCION],Insumo[VALOR],,0),"")</f>
        <v/>
      </c>
      <c r="F209" s="33"/>
      <c r="G209" s="34" t="str">
        <f>IFERROR(IF(F209&gt;=0,D209*E209*(1+F209/100),ABS(D209*E209/F209)),"")</f>
        <v/>
      </c>
      <c r="H209" s="43" t="str">
        <f>IFERROR(G209*E204,"")</f>
        <v/>
      </c>
    </row>
    <row r="210" spans="1:11">
      <c r="A210" s="28"/>
      <c r="B210" s="29"/>
      <c r="C210" s="30" t="str">
        <f>IFERROR(_xlfn.XLOOKUP(B210,Insumo[DESCRIPCION],Insumo[UND],,0),"")</f>
        <v/>
      </c>
      <c r="D210" s="31"/>
      <c r="E210" s="32" t="str">
        <f>IFERROR(_xlfn.XLOOKUP($B210,Insumo[DESCRIPCION],Insumo[VALOR],,0),"")</f>
        <v/>
      </c>
      <c r="F210" s="33"/>
      <c r="G210" s="34" t="str">
        <f>IFERROR(IF(F210&gt;=0,D210*E210*(1+F210/100),ABS(D210*E210/F210)),"")</f>
        <v/>
      </c>
      <c r="H210" s="43" t="str">
        <f>IFERROR(G210*E204,"")</f>
        <v/>
      </c>
    </row>
    <row r="211" spans="1:11">
      <c r="A211" s="28"/>
      <c r="B211" s="29"/>
      <c r="C211" s="30" t="str">
        <f>IFERROR(_xlfn.XLOOKUP(B211,Insumo[DESCRIPCION],Insumo[UND],,0),"")</f>
        <v/>
      </c>
      <c r="D211" s="31"/>
      <c r="E211" s="32" t="str">
        <f>IFERROR(_xlfn.XLOOKUP($B211,Insumo[DESCRIPCION],Insumo[VALOR],,0),"")</f>
        <v/>
      </c>
      <c r="F211" s="33"/>
      <c r="G211" s="34" t="str">
        <f>IFERROR(IF(F211&gt;=0,D211*E211*(1+F211/100),ABS(D211*E211/F211)),"")</f>
        <v/>
      </c>
      <c r="H211" s="43" t="str">
        <f>IFERROR(G211*E204,"")</f>
        <v/>
      </c>
    </row>
    <row r="212" spans="1:11">
      <c r="A212" s="21"/>
      <c r="B212" s="22" t="s">
        <v>3731</v>
      </c>
      <c r="C212" s="23"/>
      <c r="D212" s="24"/>
      <c r="E212" s="25"/>
      <c r="F212" s="26"/>
      <c r="G212" s="27">
        <f>SUM(G213:G215)</f>
        <v>1571.9537544750003</v>
      </c>
      <c r="H212" s="44">
        <f>G212*E204</f>
        <v>0</v>
      </c>
    </row>
    <row r="213" spans="1:11">
      <c r="A213" s="28"/>
      <c r="B213" s="29" t="s">
        <v>3626</v>
      </c>
      <c r="C213" s="30" t="str">
        <f>IFERROR(_xlfn.XLOOKUP(B213,Equipo[DESCRIPCION],Equipo[UND],,0),"")</f>
        <v>%MO</v>
      </c>
      <c r="D213" s="31">
        <v>0.05</v>
      </c>
      <c r="E213" s="32">
        <f>IF(C213="%MO",G219,IFERROR(_xlfn.XLOOKUP($B213,Equipo[DESCRIPCION],Equipo[VALOR],,0),""))</f>
        <v>31439.075089500006</v>
      </c>
      <c r="F213" s="33"/>
      <c r="G213" s="34">
        <f>IFERROR(IF(F213&gt;=0,D213*E213*(1+F213/100),ABS(D213*E213/F213)),"")</f>
        <v>1571.9537544750003</v>
      </c>
      <c r="H213" s="43">
        <f>IFERROR(G213*E204,"")</f>
        <v>0</v>
      </c>
    </row>
    <row r="214" spans="1:11">
      <c r="A214" s="28"/>
      <c r="B214" s="29"/>
      <c r="C214" s="30" t="str">
        <f>IFERROR(_xlfn.XLOOKUP(B214,Equipo[DESCRIPCION],Equipo[UND],,0),"")</f>
        <v/>
      </c>
      <c r="D214" s="31"/>
      <c r="E214" s="32" t="str">
        <f>IF(C214="%MO",G219,IFERROR(_xlfn.XLOOKUP($B214,Equipo[DESCRIPCION],Equipo[VALOR],,0),""))</f>
        <v/>
      </c>
      <c r="F214" s="33"/>
      <c r="G214" s="34" t="str">
        <f>IFERROR(IF(F214&gt;=0,D214*E214*(1+F214/100),ABS(D214*E214/F214)),"")</f>
        <v/>
      </c>
      <c r="H214" s="43" t="str">
        <f>IFERROR(G214*E204,"")</f>
        <v/>
      </c>
    </row>
    <row r="215" spans="1:11">
      <c r="A215" s="28"/>
      <c r="B215" s="29"/>
      <c r="C215" s="30" t="str">
        <f>IFERROR(_xlfn.XLOOKUP(B215,Equipo[DESCRIPCION],Equipo[UND],,0),"")</f>
        <v/>
      </c>
      <c r="D215" s="31"/>
      <c r="E215" s="32" t="str">
        <f>IF(C215="%MO",G219,IFERROR(_xlfn.XLOOKUP($B215,Equipo[DESCRIPCION],Equipo[VALOR],,0),""))</f>
        <v/>
      </c>
      <c r="F215" s="33"/>
      <c r="G215" s="34" t="str">
        <f>IFERROR(IF(F215&gt;=0,D215*E215*(1+F215/100),ABS(D215*E215/F215)),"")</f>
        <v/>
      </c>
      <c r="H215" s="43" t="str">
        <f>IFERROR(G215*E204,"")</f>
        <v/>
      </c>
    </row>
    <row r="216" spans="1:11">
      <c r="A216" s="21"/>
      <c r="B216" s="22" t="s">
        <v>2533</v>
      </c>
      <c r="C216" s="23"/>
      <c r="D216" s="24"/>
      <c r="E216" s="25"/>
      <c r="F216" s="26"/>
      <c r="G216" s="27">
        <f>SUM(G217:G218)</f>
        <v>0</v>
      </c>
      <c r="H216" s="44">
        <f>G216*E204</f>
        <v>0</v>
      </c>
    </row>
    <row r="217" spans="1:11">
      <c r="A217" s="28"/>
      <c r="B217" s="29"/>
      <c r="C217" s="30" t="str">
        <f>IFERROR(_xlfn.XLOOKUP(B217,Transporte[DESCRIPCION],Transporte[UND],,0),"")</f>
        <v/>
      </c>
      <c r="D217" s="31"/>
      <c r="E217" s="32" t="str">
        <f>IFERROR(_xlfn.XLOOKUP($B217,Transporte[DESCRIPCION],Transporte[VALOR],,0),"")</f>
        <v/>
      </c>
      <c r="F217" s="33"/>
      <c r="G217" s="34" t="str">
        <f>IFERROR(IF(F217&gt;=0,D217*E217*(1+F217/100),ABS(D217*E217/F217)),"")</f>
        <v/>
      </c>
      <c r="H217" s="43" t="str">
        <f>IFERROR(G217*E204,"")</f>
        <v/>
      </c>
    </row>
    <row r="218" spans="1:11">
      <c r="A218" s="28"/>
      <c r="B218" s="29"/>
      <c r="C218" s="30" t="str">
        <f>IFERROR(_xlfn.XLOOKUP(B218,Transporte[DESCRIPCION],Transporte[UND],,0),"")</f>
        <v/>
      </c>
      <c r="D218" s="31"/>
      <c r="E218" s="32" t="str">
        <f>IFERROR(_xlfn.XLOOKUP($B218,Transporte[DESCRIPCION],Transporte[VALOR],,0),"")</f>
        <v/>
      </c>
      <c r="F218" s="33"/>
      <c r="G218" s="34" t="str">
        <f>IFERROR(IF(F218&gt;=0,D218*E218*(1+F218/100),ABS(D218*E218/F218)),"")</f>
        <v/>
      </c>
      <c r="H218" s="43" t="str">
        <f>IFERROR(G218*E204,"")</f>
        <v/>
      </c>
    </row>
    <row r="219" spans="1:11">
      <c r="A219" s="21"/>
      <c r="B219" s="22" t="s">
        <v>3732</v>
      </c>
      <c r="C219" s="23"/>
      <c r="D219" s="24"/>
      <c r="E219" s="25"/>
      <c r="F219" s="26"/>
      <c r="G219" s="27">
        <f>SUM(G220:G222)</f>
        <v>31439.075089500006</v>
      </c>
      <c r="H219" s="44">
        <f>G219*E204</f>
        <v>0</v>
      </c>
    </row>
    <row r="220" spans="1:11">
      <c r="A220" s="28"/>
      <c r="B220" s="29" t="s">
        <v>3710</v>
      </c>
      <c r="C220" s="30" t="str">
        <f>IFERROR(_xlfn.XLOOKUP(B220,MObra[DESCRIPCION],MObra[UN],,0),"")</f>
        <v>día</v>
      </c>
      <c r="D220" s="31">
        <v>1</v>
      </c>
      <c r="E220" s="32">
        <f>IFERROR(_xlfn.XLOOKUP($B220,MObra[DESCRIPCION],MObra[VALOR UNIT],,0),"")</f>
        <v>314390.75089500006</v>
      </c>
      <c r="F220" s="33">
        <v>-10</v>
      </c>
      <c r="G220" s="34">
        <f>IFERROR(IF(F220&gt;=0,D220*E220*(1+F220/100),ABS(D220*E220/F220)),"")</f>
        <v>31439.075089500006</v>
      </c>
      <c r="H220" s="43">
        <f>IFERROR(G220*E204,"")</f>
        <v>0</v>
      </c>
    </row>
    <row r="221" spans="1:11">
      <c r="A221" s="28"/>
      <c r="B221" s="29"/>
      <c r="C221" s="30" t="str">
        <f>IFERROR(_xlfn.XLOOKUP(B221,MObra[DESCRIPCION],MObra[UN],,0),"")</f>
        <v/>
      </c>
      <c r="D221" s="31"/>
      <c r="E221" s="32" t="str">
        <f>IFERROR(_xlfn.XLOOKUP($B221,MObra[DESCRIPCION],MObra[VALOR UNIT],,0),"")</f>
        <v/>
      </c>
      <c r="F221" s="33"/>
      <c r="G221" s="34" t="str">
        <f>IFERROR(IF(F221&gt;=0,D221*E221*(1+F221/100),ABS(D221*E221/F221)),"")</f>
        <v/>
      </c>
      <c r="H221" s="43" t="str">
        <f>IFERROR(G221*E204,"")</f>
        <v/>
      </c>
    </row>
    <row r="222" spans="1:11">
      <c r="A222" s="35"/>
      <c r="B222" s="36"/>
      <c r="C222" s="37" t="str">
        <f>IFERROR(_xlfn.XLOOKUP(B222,MObra[DESCRIPCION],MObra[UN],,0),"")</f>
        <v/>
      </c>
      <c r="D222" s="38"/>
      <c r="E222" s="39" t="str">
        <f>IFERROR(_xlfn.XLOOKUP($B222,MObra[DESCRIPCION],MObra[VALOR UNIT],,0),"")</f>
        <v/>
      </c>
      <c r="F222" s="40"/>
      <c r="G222" s="41" t="str">
        <f>IFERROR(IF(F222&gt;=0,D222*E222*(1+F222/100),ABS(D222*E222/F222)),"")</f>
        <v/>
      </c>
      <c r="H222" s="42" t="str">
        <f>IFERROR(G222*E204,"")</f>
        <v/>
      </c>
    </row>
    <row r="223" spans="1:11" ht="13.5" thickTop="1" thickBot="1"/>
    <row r="224" spans="1:11" ht="12.75" customHeight="1" thickTop="1" thickBot="1">
      <c r="A224" s="6" t="s">
        <v>2451</v>
      </c>
      <c r="B224" s="7" t="str">
        <f>VLOOKUP($A224,Presupuesto!$A:$D,2,FALSE())</f>
        <v>Andén C 20.7 Mpa E=0.07m</v>
      </c>
      <c r="C224" s="8" t="str">
        <f>VLOOKUP($A224,Presupuesto!$A:$D,3,FALSE())</f>
        <v>M2</v>
      </c>
      <c r="D224" s="9"/>
      <c r="E224" s="10">
        <f>VLOOKUP($A224,Presupuesto!$A:$D,4,FALSE())</f>
        <v>0</v>
      </c>
      <c r="F224" s="11" t="s">
        <v>2589</v>
      </c>
      <c r="G224" s="12">
        <f>SUM(G226:G242)/2</f>
        <v>88599.905179832771</v>
      </c>
      <c r="H224" s="13">
        <f>ROUND(SUM(H226:H242),0)/2</f>
        <v>0</v>
      </c>
      <c r="I224" s="10">
        <f>VLOOKUP(A224,Presupuesto!$A:$F,6,0)</f>
        <v>0</v>
      </c>
      <c r="J224" s="10">
        <f>+H224-I224</f>
        <v>0</v>
      </c>
      <c r="K224" s="46">
        <f>+H224-G224*E224</f>
        <v>0</v>
      </c>
    </row>
    <row r="225" spans="1:8" ht="12.75" customHeight="1" thickTop="1">
      <c r="A225" s="14"/>
      <c r="B225" s="15" t="s">
        <v>2586</v>
      </c>
      <c r="C225" s="15" t="s">
        <v>5</v>
      </c>
      <c r="D225" s="16" t="s">
        <v>6</v>
      </c>
      <c r="E225" s="17" t="s">
        <v>7</v>
      </c>
      <c r="F225" s="18" t="s">
        <v>3728</v>
      </c>
      <c r="G225" s="19" t="s">
        <v>3729</v>
      </c>
      <c r="H225" s="20" t="s">
        <v>3797</v>
      </c>
    </row>
    <row r="226" spans="1:8" ht="12.75" customHeight="1">
      <c r="A226" s="21"/>
      <c r="B226" s="22" t="s">
        <v>3730</v>
      </c>
      <c r="C226" s="23"/>
      <c r="D226" s="24"/>
      <c r="E226" s="25"/>
      <c r="F226" s="26"/>
      <c r="G226" s="27">
        <f>SUM(G227:G231)</f>
        <v>58736.208580656283</v>
      </c>
      <c r="H226" s="27">
        <f>IFERROR(G226*E224,"")</f>
        <v>0</v>
      </c>
    </row>
    <row r="227" spans="1:8" ht="12.75" customHeight="1">
      <c r="A227" s="28"/>
      <c r="B227" s="29" t="s">
        <v>3239</v>
      </c>
      <c r="C227" s="30" t="str">
        <f>IFERROR(_xlfn.XLOOKUP(B227,Insumo[DESCRIPCION],Insumo[UND],,0),"")</f>
        <v>M3</v>
      </c>
      <c r="D227" s="31">
        <v>7.0000000000000007E-2</v>
      </c>
      <c r="E227" s="32">
        <f>IFERROR(_xlfn.XLOOKUP($B227,Insumo[DESCRIPCION],Insumo[VALOR],,0),"")</f>
        <v>521159.50227762427</v>
      </c>
      <c r="F227" s="33">
        <v>5</v>
      </c>
      <c r="G227" s="34">
        <f>IFERROR(IF(F227&gt;=0,D227*E227*(1+F227/100),ABS(D227*E227/F227)),"")</f>
        <v>38305.223417405388</v>
      </c>
      <c r="H227" s="43">
        <f>IFERROR(G227*E224,"")</f>
        <v>0</v>
      </c>
    </row>
    <row r="228" spans="1:8" ht="12.75" customHeight="1">
      <c r="A228" s="28"/>
      <c r="B228" s="29" t="s">
        <v>2954</v>
      </c>
      <c r="C228" s="30" t="str">
        <f>IFERROR(_xlfn.XLOOKUP(B228,Insumo[DESCRIPCION],Insumo[UND],,0),"")</f>
        <v>M2</v>
      </c>
      <c r="D228" s="31">
        <v>0.2</v>
      </c>
      <c r="E228" s="32">
        <f>IFERROR(_xlfn.XLOOKUP($B228,Insumo[DESCRIPCION],Insumo[VALOR],,0),"")</f>
        <v>102154.92581625449</v>
      </c>
      <c r="F228" s="33"/>
      <c r="G228" s="34">
        <f>IFERROR(IF(F228&gt;=0,D228*E228*(1+F228/100),ABS(D228*E228/F228)),"")</f>
        <v>20430.985163250898</v>
      </c>
      <c r="H228" s="43">
        <f>IFERROR(G228*E224,"")</f>
        <v>0</v>
      </c>
    </row>
    <row r="229" spans="1:8" ht="12.75" customHeight="1">
      <c r="A229" s="28"/>
      <c r="B229" s="29"/>
      <c r="C229" s="30" t="str">
        <f>IFERROR(_xlfn.XLOOKUP(B229,Insumo[DESCRIPCION],Insumo[UND],,0),"")</f>
        <v/>
      </c>
      <c r="D229" s="31"/>
      <c r="E229" s="32" t="str">
        <f>IFERROR(_xlfn.XLOOKUP($B229,Insumo[DESCRIPCION],Insumo[VALOR],,0),"")</f>
        <v/>
      </c>
      <c r="F229" s="33"/>
      <c r="G229" s="34" t="str">
        <f>IFERROR(IF(F229&gt;=0,D229*E229*(1+F229/100),ABS(D229*E229/F229)),"")</f>
        <v/>
      </c>
      <c r="H229" s="43" t="str">
        <f>IFERROR(G229*E224,"")</f>
        <v/>
      </c>
    </row>
    <row r="230" spans="1:8" ht="12.75" customHeight="1">
      <c r="A230" s="28"/>
      <c r="B230" s="29"/>
      <c r="C230" s="30" t="str">
        <f>IFERROR(_xlfn.XLOOKUP(B230,Insumo[DESCRIPCION],Insumo[UND],,0),"")</f>
        <v/>
      </c>
      <c r="D230" s="31"/>
      <c r="E230" s="32" t="str">
        <f>IFERROR(_xlfn.XLOOKUP($B230,Insumo[DESCRIPCION],Insumo[VALOR],,0),"")</f>
        <v/>
      </c>
      <c r="F230" s="33"/>
      <c r="G230" s="34" t="str">
        <f>IFERROR(IF(F230&gt;=0,D230*E230*(1+F230/100),ABS(D230*E230/F230)),"")</f>
        <v/>
      </c>
      <c r="H230" s="43" t="str">
        <f>IFERROR(G230*E224,"")</f>
        <v/>
      </c>
    </row>
    <row r="231" spans="1:8" ht="12.75" customHeight="1">
      <c r="A231" s="28"/>
      <c r="B231" s="29"/>
      <c r="C231" s="30" t="str">
        <f>IFERROR(_xlfn.XLOOKUP(B231,Insumo[DESCRIPCION],Insumo[UND],,0),"")</f>
        <v/>
      </c>
      <c r="D231" s="31"/>
      <c r="E231" s="32" t="str">
        <f>IFERROR(_xlfn.XLOOKUP($B231,Insumo[DESCRIPCION],Insumo[VALOR],,0),"")</f>
        <v/>
      </c>
      <c r="F231" s="33"/>
      <c r="G231" s="34" t="str">
        <f>IFERROR(IF(F231&gt;=0,D231*E231*(1+F231/100),ABS(D231*E231/F231)),"")</f>
        <v/>
      </c>
      <c r="H231" s="43" t="str">
        <f>IFERROR(G231*E224,"")</f>
        <v/>
      </c>
    </row>
    <row r="232" spans="1:8" ht="12.75" customHeight="1">
      <c r="A232" s="21"/>
      <c r="B232" s="22" t="s">
        <v>3731</v>
      </c>
      <c r="C232" s="23"/>
      <c r="D232" s="24"/>
      <c r="E232" s="25"/>
      <c r="F232" s="26"/>
      <c r="G232" s="27">
        <f>SUM(G233:G235)</f>
        <v>2465.8098109411771</v>
      </c>
      <c r="H232" s="44">
        <f>G232*E224</f>
        <v>0</v>
      </c>
    </row>
    <row r="233" spans="1:8" ht="12.75" customHeight="1">
      <c r="A233" s="28"/>
      <c r="B233" s="29" t="s">
        <v>3570</v>
      </c>
      <c r="C233" s="30" t="str">
        <f>IFERROR(_xlfn.XLOOKUP(B233,Equipo[DESCRIPCION],Equipo[UND],,0),"")</f>
        <v>%MO</v>
      </c>
      <c r="D233" s="31">
        <v>0.04</v>
      </c>
      <c r="E233" s="32">
        <f>IF(C233="%MO",G239,IFERROR(_xlfn.XLOOKUP($B233,Equipo[DESCRIPCION],Equipo[VALOR],,0),""))</f>
        <v>27397.886788235301</v>
      </c>
      <c r="F233" s="33">
        <v>-1</v>
      </c>
      <c r="G233" s="34">
        <f>IFERROR(IF(F233&gt;=0,D233*E233*(1+F233/100),ABS(D233*E233/F233)),"")</f>
        <v>1095.9154715294121</v>
      </c>
      <c r="H233" s="43">
        <f>IFERROR(G233*E224,"")</f>
        <v>0</v>
      </c>
    </row>
    <row r="234" spans="1:8" ht="12.75" customHeight="1">
      <c r="A234" s="28"/>
      <c r="B234" s="29" t="s">
        <v>3626</v>
      </c>
      <c r="C234" s="30" t="str">
        <f>IFERROR(_xlfn.XLOOKUP(B234,Equipo[DESCRIPCION],Equipo[UND],,0),"")</f>
        <v>%MO</v>
      </c>
      <c r="D234" s="31">
        <v>0.05</v>
      </c>
      <c r="E234" s="32">
        <f>IF(C234="%MO",G239,IFERROR(_xlfn.XLOOKUP($B234,Equipo[DESCRIPCION],Equipo[VALOR],,0),""))</f>
        <v>27397.886788235301</v>
      </c>
      <c r="F234" s="33"/>
      <c r="G234" s="34">
        <f>IFERROR(IF(F234&gt;=0,D234*E234*(1+F234/100),ABS(D234*E234/F234)),"")</f>
        <v>1369.894339411765</v>
      </c>
      <c r="H234" s="43">
        <f>IFERROR(G234*E224,"")</f>
        <v>0</v>
      </c>
    </row>
    <row r="235" spans="1:8" ht="12.75" customHeight="1">
      <c r="A235" s="28"/>
      <c r="B235" s="29"/>
      <c r="C235" s="30" t="str">
        <f>IFERROR(_xlfn.XLOOKUP(B235,Equipo[DESCRIPCION],Equipo[UND],,0),"")</f>
        <v/>
      </c>
      <c r="D235" s="31"/>
      <c r="E235" s="32" t="str">
        <f>IF(C235="%MO",G239,IFERROR(_xlfn.XLOOKUP($B235,Equipo[DESCRIPCION],Equipo[VALOR],,0),""))</f>
        <v/>
      </c>
      <c r="F235" s="33"/>
      <c r="G235" s="34" t="str">
        <f>IFERROR(IF(F235&gt;=0,D235*E235*(1+F235/100),ABS(D235*E235/F235)),"")</f>
        <v/>
      </c>
      <c r="H235" s="43" t="str">
        <f>IFERROR(G235*E224,"")</f>
        <v/>
      </c>
    </row>
    <row r="236" spans="1:8" ht="12.75" customHeight="1">
      <c r="A236" s="21"/>
      <c r="B236" s="22" t="s">
        <v>2533</v>
      </c>
      <c r="C236" s="23"/>
      <c r="D236" s="24"/>
      <c r="E236" s="25"/>
      <c r="F236" s="26"/>
      <c r="G236" s="27">
        <f>SUM(G237:G238)</f>
        <v>0</v>
      </c>
      <c r="H236" s="44">
        <f>G236*E224</f>
        <v>0</v>
      </c>
    </row>
    <row r="237" spans="1:8" ht="12.75" customHeight="1">
      <c r="A237" s="28"/>
      <c r="B237" s="29"/>
      <c r="C237" s="30" t="str">
        <f>IFERROR(_xlfn.XLOOKUP(B237,Transporte[DESCRIPCION],Transporte[UND],,0),"")</f>
        <v/>
      </c>
      <c r="D237" s="31"/>
      <c r="E237" s="32" t="str">
        <f>IFERROR(_xlfn.XLOOKUP($B237,Transporte[DESCRIPCION],Transporte[VALOR],,0),"")</f>
        <v/>
      </c>
      <c r="F237" s="33"/>
      <c r="G237" s="34" t="str">
        <f>IFERROR(IF(F237&gt;=0,D237*E237*(1+F237/100),ABS(D237*E237/F237)),"")</f>
        <v/>
      </c>
      <c r="H237" s="43" t="str">
        <f>IFERROR(G237*E224,"")</f>
        <v/>
      </c>
    </row>
    <row r="238" spans="1:8" ht="12.75" customHeight="1">
      <c r="A238" s="28"/>
      <c r="B238" s="29"/>
      <c r="C238" s="30" t="str">
        <f>IFERROR(_xlfn.XLOOKUP(B238,Transporte[DESCRIPCION],Transporte[UND],,0),"")</f>
        <v/>
      </c>
      <c r="D238" s="31"/>
      <c r="E238" s="32" t="str">
        <f>IFERROR(_xlfn.XLOOKUP($B238,Transporte[DESCRIPCION],Transporte[VALOR],,0),"")</f>
        <v/>
      </c>
      <c r="F238" s="33"/>
      <c r="G238" s="34" t="str">
        <f>IFERROR(IF(F238&gt;=0,D238*E238*(1+F238/100),ABS(D238*E238/F238)),"")</f>
        <v/>
      </c>
      <c r="H238" s="43" t="str">
        <f>IFERROR(G238*E224,"")</f>
        <v/>
      </c>
    </row>
    <row r="239" spans="1:8" ht="12.75" customHeight="1">
      <c r="A239" s="21"/>
      <c r="B239" s="22" t="s">
        <v>3732</v>
      </c>
      <c r="C239" s="23"/>
      <c r="D239" s="24"/>
      <c r="E239" s="25"/>
      <c r="F239" s="26"/>
      <c r="G239" s="27">
        <f>SUM(G240:G242)</f>
        <v>27397.886788235301</v>
      </c>
      <c r="H239" s="44">
        <f>G239*E224</f>
        <v>0</v>
      </c>
    </row>
    <row r="240" spans="1:8" ht="12.75" customHeight="1">
      <c r="A240" s="28"/>
      <c r="B240" s="29" t="s">
        <v>3716</v>
      </c>
      <c r="C240" s="30" t="str">
        <f>IFERROR(_xlfn.XLOOKUP(B240,MObra[DESCRIPCION],MObra[UN],,0),"")</f>
        <v>día</v>
      </c>
      <c r="D240" s="31">
        <v>1</v>
      </c>
      <c r="E240" s="32">
        <f>IFERROR(_xlfn.XLOOKUP($B240,MObra[DESCRIPCION],MObra[VALOR UNIT],,0),"")</f>
        <v>465764.07540000009</v>
      </c>
      <c r="F240" s="33">
        <v>-17</v>
      </c>
      <c r="G240" s="34">
        <f>IFERROR(IF(F240&gt;=0,D240*E240*(1+F240/100),ABS(D240*E240/F240)),"")</f>
        <v>27397.886788235301</v>
      </c>
      <c r="H240" s="43">
        <f>IFERROR(G240*E224,"")</f>
        <v>0</v>
      </c>
    </row>
    <row r="241" spans="1:11" ht="12.75" customHeight="1">
      <c r="A241" s="28"/>
      <c r="B241" s="29"/>
      <c r="C241" s="30" t="str">
        <f>IFERROR(_xlfn.XLOOKUP(B241,MObra[DESCRIPCION],MObra[UN],,0),"")</f>
        <v/>
      </c>
      <c r="D241" s="31"/>
      <c r="E241" s="32" t="str">
        <f>IFERROR(_xlfn.XLOOKUP($B241,MObra[DESCRIPCION],MObra[VALOR UNIT],,0),"")</f>
        <v/>
      </c>
      <c r="F241" s="33"/>
      <c r="G241" s="34" t="str">
        <f>IFERROR(IF(F241&gt;=0,D241*E241*(1+F241/100),ABS(D241*E241/F241)),"")</f>
        <v/>
      </c>
      <c r="H241" s="43" t="str">
        <f>IFERROR(G241*E224,"")</f>
        <v/>
      </c>
    </row>
    <row r="242" spans="1:11" ht="12.75" customHeight="1" thickBot="1">
      <c r="A242" s="35"/>
      <c r="B242" s="36"/>
      <c r="C242" s="37" t="str">
        <f>IFERROR(_xlfn.XLOOKUP(B242,MObra[DESCRIPCION],MObra[UN],,0),"")</f>
        <v/>
      </c>
      <c r="D242" s="38"/>
      <c r="E242" s="39" t="str">
        <f>IFERROR(_xlfn.XLOOKUP($B242,MObra[DESCRIPCION],MObra[VALOR UNIT],,0),"")</f>
        <v/>
      </c>
      <c r="F242" s="40"/>
      <c r="G242" s="41" t="str">
        <f>IFERROR(IF(F242&gt;=0,D242*E242*(1+F242/100),ABS(D242*E242/F242)),"")</f>
        <v/>
      </c>
      <c r="H242" s="42" t="str">
        <f>IFERROR(G242*E224,"")</f>
        <v/>
      </c>
    </row>
    <row r="243" spans="1:11" ht="12.75" customHeight="1" thickTop="1" thickBot="1"/>
    <row r="244" spans="1:11" ht="12.75" customHeight="1" thickTop="1" thickBot="1">
      <c r="A244" s="6" t="s">
        <v>2453</v>
      </c>
      <c r="B244" s="7" t="str">
        <f>VLOOKUP($A244,Presupuesto!$A:$D,2,FALSE())</f>
        <v>Anden C 20.7 Mpa E=0.10m</v>
      </c>
      <c r="C244" s="8" t="str">
        <f>VLOOKUP($A244,Presupuesto!$A:$D,3,FALSE())</f>
        <v>M2</v>
      </c>
      <c r="D244" s="9"/>
      <c r="E244" s="10">
        <f>VLOOKUP($A244,Presupuesto!$A:$D,4,FALSE())</f>
        <v>0</v>
      </c>
      <c r="F244" s="11" t="s">
        <v>2589</v>
      </c>
      <c r="G244" s="12">
        <f>SUM(G246:G262)/2</f>
        <v>108998.25571480146</v>
      </c>
      <c r="H244" s="13">
        <f>ROUND(SUM(H246:H262),0)/2</f>
        <v>0</v>
      </c>
      <c r="I244" s="10">
        <f>VLOOKUP(A244,Presupuesto!$A:$F,6,0)</f>
        <v>0</v>
      </c>
      <c r="J244" s="10">
        <f>+H244-I244</f>
        <v>0</v>
      </c>
      <c r="K244" s="46">
        <f>+H244-G244*E244</f>
        <v>0</v>
      </c>
    </row>
    <row r="245" spans="1:11" ht="12.75" customHeight="1" thickTop="1">
      <c r="A245" s="14"/>
      <c r="B245" s="15" t="s">
        <v>2586</v>
      </c>
      <c r="C245" s="15" t="s">
        <v>5</v>
      </c>
      <c r="D245" s="16" t="s">
        <v>6</v>
      </c>
      <c r="E245" s="17" t="s">
        <v>7</v>
      </c>
      <c r="F245" s="18" t="s">
        <v>3728</v>
      </c>
      <c r="G245" s="19" t="s">
        <v>3729</v>
      </c>
      <c r="H245" s="20" t="s">
        <v>3797</v>
      </c>
    </row>
    <row r="246" spans="1:11" ht="12.75" customHeight="1">
      <c r="A246" s="21"/>
      <c r="B246" s="22" t="s">
        <v>3730</v>
      </c>
      <c r="C246" s="23"/>
      <c r="D246" s="24"/>
      <c r="E246" s="25"/>
      <c r="F246" s="26"/>
      <c r="G246" s="27">
        <f>SUM(G247:G251)</f>
        <v>75152.732902401447</v>
      </c>
      <c r="H246" s="27">
        <f>IFERROR(G246*E244,"")</f>
        <v>0</v>
      </c>
    </row>
    <row r="247" spans="1:11" ht="12.75" customHeight="1">
      <c r="A247" s="28"/>
      <c r="B247" s="29" t="s">
        <v>3239</v>
      </c>
      <c r="C247" s="30" t="str">
        <f>IFERROR(_xlfn.XLOOKUP(B247,Insumo[DESCRIPCION],Insumo[UND],,0),"")</f>
        <v>M3</v>
      </c>
      <c r="D247" s="31">
        <v>0.1</v>
      </c>
      <c r="E247" s="32">
        <f>IFERROR(_xlfn.XLOOKUP($B247,Insumo[DESCRIPCION],Insumo[VALOR],,0),"")</f>
        <v>521159.50227762427</v>
      </c>
      <c r="F247" s="33">
        <v>5</v>
      </c>
      <c r="G247" s="34">
        <f>IFERROR(IF(F247&gt;=0,D247*E247*(1+F247/100),ABS(D247*E247/F247)),"")</f>
        <v>54721.747739150553</v>
      </c>
      <c r="H247" s="43">
        <f>IFERROR(G247*E244,"")</f>
        <v>0</v>
      </c>
    </row>
    <row r="248" spans="1:11" ht="12.75" customHeight="1">
      <c r="A248" s="28"/>
      <c r="B248" s="29" t="s">
        <v>2954</v>
      </c>
      <c r="C248" s="30" t="str">
        <f>IFERROR(_xlfn.XLOOKUP(B248,Insumo[DESCRIPCION],Insumo[UND],,0),"")</f>
        <v>M2</v>
      </c>
      <c r="D248" s="31">
        <v>0.2</v>
      </c>
      <c r="E248" s="32">
        <f>IFERROR(_xlfn.XLOOKUP($B248,Insumo[DESCRIPCION],Insumo[VALOR],,0),"")</f>
        <v>102154.92581625449</v>
      </c>
      <c r="F248" s="33"/>
      <c r="G248" s="34">
        <f>IFERROR(IF(F248&gt;=0,D248*E248*(1+F248/100),ABS(D248*E248/F248)),"")</f>
        <v>20430.985163250898</v>
      </c>
      <c r="H248" s="43">
        <f>IFERROR(G248*E244,"")</f>
        <v>0</v>
      </c>
    </row>
    <row r="249" spans="1:11" ht="12.75" customHeight="1">
      <c r="A249" s="28"/>
      <c r="B249" s="29"/>
      <c r="C249" s="30" t="str">
        <f>IFERROR(_xlfn.XLOOKUP(B249,Insumo[DESCRIPCION],Insumo[UND],,0),"")</f>
        <v/>
      </c>
      <c r="D249" s="31"/>
      <c r="E249" s="32" t="str">
        <f>IFERROR(_xlfn.XLOOKUP($B249,Insumo[DESCRIPCION],Insumo[VALOR],,0),"")</f>
        <v/>
      </c>
      <c r="F249" s="33"/>
      <c r="G249" s="34" t="str">
        <f>IFERROR(IF(F249&gt;=0,D249*E249*(1+F249/100),ABS(D249*E249/F249)),"")</f>
        <v/>
      </c>
      <c r="H249" s="43" t="str">
        <f>IFERROR(G249*E244,"")</f>
        <v/>
      </c>
    </row>
    <row r="250" spans="1:11" ht="12.75" customHeight="1">
      <c r="A250" s="28"/>
      <c r="B250" s="29"/>
      <c r="C250" s="30" t="str">
        <f>IFERROR(_xlfn.XLOOKUP(B250,Insumo[DESCRIPCION],Insumo[UND],,0),"")</f>
        <v/>
      </c>
      <c r="D250" s="31"/>
      <c r="E250" s="32" t="str">
        <f>IFERROR(_xlfn.XLOOKUP($B250,Insumo[DESCRIPCION],Insumo[VALOR],,0),"")</f>
        <v/>
      </c>
      <c r="F250" s="33"/>
      <c r="G250" s="34" t="str">
        <f>IFERROR(IF(F250&gt;=0,D250*E250*(1+F250/100),ABS(D250*E250/F250)),"")</f>
        <v/>
      </c>
      <c r="H250" s="43" t="str">
        <f>IFERROR(G250*E244,"")</f>
        <v/>
      </c>
    </row>
    <row r="251" spans="1:11" ht="12.75" customHeight="1">
      <c r="A251" s="28"/>
      <c r="B251" s="29"/>
      <c r="C251" s="30" t="str">
        <f>IFERROR(_xlfn.XLOOKUP(B251,Insumo[DESCRIPCION],Insumo[UND],,0),"")</f>
        <v/>
      </c>
      <c r="D251" s="31"/>
      <c r="E251" s="32" t="str">
        <f>IFERROR(_xlfn.XLOOKUP($B251,Insumo[DESCRIPCION],Insumo[VALOR],,0),"")</f>
        <v/>
      </c>
      <c r="F251" s="33"/>
      <c r="G251" s="34" t="str">
        <f>IFERROR(IF(F251&gt;=0,D251*E251*(1+F251/100),ABS(D251*E251/F251)),"")</f>
        <v/>
      </c>
      <c r="H251" s="43" t="str">
        <f>IFERROR(G251*E244,"")</f>
        <v/>
      </c>
    </row>
    <row r="252" spans="1:11" ht="12.75" customHeight="1">
      <c r="A252" s="21"/>
      <c r="B252" s="22" t="s">
        <v>3731</v>
      </c>
      <c r="C252" s="23"/>
      <c r="D252" s="24"/>
      <c r="E252" s="25"/>
      <c r="F252" s="26"/>
      <c r="G252" s="27">
        <f>SUM(G253:G255)</f>
        <v>2794.5844524000008</v>
      </c>
      <c r="H252" s="44">
        <f>G252*E244</f>
        <v>0</v>
      </c>
    </row>
    <row r="253" spans="1:11" ht="12.75" customHeight="1">
      <c r="A253" s="28"/>
      <c r="B253" s="29" t="s">
        <v>3570</v>
      </c>
      <c r="C253" s="30" t="str">
        <f>IFERROR(_xlfn.XLOOKUP(B253,Equipo[DESCRIPCION],Equipo[UND],,0),"")</f>
        <v>%MO</v>
      </c>
      <c r="D253" s="31">
        <v>0.04</v>
      </c>
      <c r="E253" s="32">
        <f>IF(C253="%MO",G259,IFERROR(_xlfn.XLOOKUP($B253,Equipo[DESCRIPCION],Equipo[VALOR],,0),""))</f>
        <v>31050.938360000007</v>
      </c>
      <c r="F253" s="33">
        <v>-1</v>
      </c>
      <c r="G253" s="34">
        <f>IFERROR(IF(F253&gt;=0,D253*E253*(1+F253/100),ABS(D253*E253/F253)),"")</f>
        <v>1242.0375344000004</v>
      </c>
      <c r="H253" s="43">
        <f>IFERROR(G253*E244,"")</f>
        <v>0</v>
      </c>
    </row>
    <row r="254" spans="1:11" ht="12.75" customHeight="1">
      <c r="A254" s="28"/>
      <c r="B254" s="29" t="s">
        <v>3626</v>
      </c>
      <c r="C254" s="30" t="str">
        <f>IFERROR(_xlfn.XLOOKUP(B254,Equipo[DESCRIPCION],Equipo[UND],,0),"")</f>
        <v>%MO</v>
      </c>
      <c r="D254" s="31">
        <v>0.05</v>
      </c>
      <c r="E254" s="32">
        <f>IF(C254="%MO",G259,IFERROR(_xlfn.XLOOKUP($B254,Equipo[DESCRIPCION],Equipo[VALOR],,0),""))</f>
        <v>31050.938360000007</v>
      </c>
      <c r="F254" s="33"/>
      <c r="G254" s="34">
        <f>IFERROR(IF(F254&gt;=0,D254*E254*(1+F254/100),ABS(D254*E254/F254)),"")</f>
        <v>1552.5469180000005</v>
      </c>
      <c r="H254" s="43">
        <f>IFERROR(G254*E244,"")</f>
        <v>0</v>
      </c>
    </row>
    <row r="255" spans="1:11" ht="12.75" customHeight="1">
      <c r="A255" s="28"/>
      <c r="B255" s="29"/>
      <c r="C255" s="30" t="str">
        <f>IFERROR(_xlfn.XLOOKUP(B255,Equipo[DESCRIPCION],Equipo[UND],,0),"")</f>
        <v/>
      </c>
      <c r="D255" s="31"/>
      <c r="E255" s="32" t="str">
        <f>IF(C255="%MO",G259,IFERROR(_xlfn.XLOOKUP($B255,Equipo[DESCRIPCION],Equipo[VALOR],,0),""))</f>
        <v/>
      </c>
      <c r="F255" s="33"/>
      <c r="G255" s="34" t="str">
        <f>IFERROR(IF(F255&gt;=0,D255*E255*(1+F255/100),ABS(D255*E255/F255)),"")</f>
        <v/>
      </c>
      <c r="H255" s="43" t="str">
        <f>IFERROR(G255*E244,"")</f>
        <v/>
      </c>
    </row>
    <row r="256" spans="1:11" ht="12.75" customHeight="1">
      <c r="A256" s="21"/>
      <c r="B256" s="22" t="s">
        <v>2533</v>
      </c>
      <c r="C256" s="23"/>
      <c r="D256" s="24"/>
      <c r="E256" s="25"/>
      <c r="F256" s="26"/>
      <c r="G256" s="27">
        <f>SUM(G257:G258)</f>
        <v>0</v>
      </c>
      <c r="H256" s="44">
        <f>G256*E244</f>
        <v>0</v>
      </c>
    </row>
    <row r="257" spans="1:11" ht="12.75" customHeight="1">
      <c r="A257" s="28"/>
      <c r="B257" s="29"/>
      <c r="C257" s="30" t="str">
        <f>IFERROR(_xlfn.XLOOKUP(B257,Transporte[DESCRIPCION],Transporte[UND],,0),"")</f>
        <v/>
      </c>
      <c r="D257" s="31"/>
      <c r="E257" s="32" t="str">
        <f>IFERROR(_xlfn.XLOOKUP($B257,Transporte[DESCRIPCION],Transporte[VALOR],,0),"")</f>
        <v/>
      </c>
      <c r="F257" s="33"/>
      <c r="G257" s="34" t="str">
        <f>IFERROR(IF(F257&gt;=0,D257*E257*(1+F257/100),ABS(D257*E257/F257)),"")</f>
        <v/>
      </c>
      <c r="H257" s="43" t="str">
        <f>IFERROR(G257*E244,"")</f>
        <v/>
      </c>
    </row>
    <row r="258" spans="1:11" ht="12.75" customHeight="1">
      <c r="A258" s="28"/>
      <c r="B258" s="29"/>
      <c r="C258" s="30" t="str">
        <f>IFERROR(_xlfn.XLOOKUP(B258,Transporte[DESCRIPCION],Transporte[UND],,0),"")</f>
        <v/>
      </c>
      <c r="D258" s="31"/>
      <c r="E258" s="32" t="str">
        <f>IFERROR(_xlfn.XLOOKUP($B258,Transporte[DESCRIPCION],Transporte[VALOR],,0),"")</f>
        <v/>
      </c>
      <c r="F258" s="33"/>
      <c r="G258" s="34" t="str">
        <f>IFERROR(IF(F258&gt;=0,D258*E258*(1+F258/100),ABS(D258*E258/F258)),"")</f>
        <v/>
      </c>
      <c r="H258" s="43" t="str">
        <f>IFERROR(G258*E244,"")</f>
        <v/>
      </c>
    </row>
    <row r="259" spans="1:11" ht="12.75" customHeight="1">
      <c r="A259" s="21"/>
      <c r="B259" s="22" t="s">
        <v>3732</v>
      </c>
      <c r="C259" s="23"/>
      <c r="D259" s="24"/>
      <c r="E259" s="25"/>
      <c r="F259" s="26"/>
      <c r="G259" s="27">
        <f>SUM(G260:G262)</f>
        <v>31050.938360000007</v>
      </c>
      <c r="H259" s="44">
        <f>G259*E244</f>
        <v>0</v>
      </c>
    </row>
    <row r="260" spans="1:11" ht="12.75" customHeight="1">
      <c r="A260" s="28"/>
      <c r="B260" s="29" t="s">
        <v>3716</v>
      </c>
      <c r="C260" s="30" t="str">
        <f>IFERROR(_xlfn.XLOOKUP(B260,MObra[DESCRIPCION],MObra[UN],,0),"")</f>
        <v>día</v>
      </c>
      <c r="D260" s="31">
        <v>1</v>
      </c>
      <c r="E260" s="32">
        <f>IFERROR(_xlfn.XLOOKUP($B260,MObra[DESCRIPCION],MObra[VALOR UNIT],,0),"")</f>
        <v>465764.07540000009</v>
      </c>
      <c r="F260" s="33">
        <v>-15</v>
      </c>
      <c r="G260" s="34">
        <f>IFERROR(IF(F260&gt;=0,D260*E260*(1+F260/100),ABS(D260*E260/F260)),"")</f>
        <v>31050.938360000007</v>
      </c>
      <c r="H260" s="43">
        <f>IFERROR(G260*E244,"")</f>
        <v>0</v>
      </c>
    </row>
    <row r="261" spans="1:11" ht="12.75" customHeight="1">
      <c r="A261" s="28"/>
      <c r="B261" s="29"/>
      <c r="C261" s="30" t="str">
        <f>IFERROR(_xlfn.XLOOKUP(B261,MObra[DESCRIPCION],MObra[UN],,0),"")</f>
        <v/>
      </c>
      <c r="D261" s="31"/>
      <c r="E261" s="32" t="str">
        <f>IFERROR(_xlfn.XLOOKUP($B261,MObra[DESCRIPCION],MObra[VALOR UNIT],,0),"")</f>
        <v/>
      </c>
      <c r="F261" s="33"/>
      <c r="G261" s="34" t="str">
        <f>IFERROR(IF(F261&gt;=0,D261*E261*(1+F261/100),ABS(D261*E261/F261)),"")</f>
        <v/>
      </c>
      <c r="H261" s="43" t="str">
        <f>IFERROR(G261*E244,"")</f>
        <v/>
      </c>
    </row>
    <row r="262" spans="1:11" ht="12.75" customHeight="1" thickBot="1">
      <c r="A262" s="35"/>
      <c r="B262" s="36"/>
      <c r="C262" s="37" t="str">
        <f>IFERROR(_xlfn.XLOOKUP(B262,MObra[DESCRIPCION],MObra[UN],,0),"")</f>
        <v/>
      </c>
      <c r="D262" s="38"/>
      <c r="E262" s="39" t="str">
        <f>IFERROR(_xlfn.XLOOKUP($B262,MObra[DESCRIPCION],MObra[VALOR UNIT],,0),"")</f>
        <v/>
      </c>
      <c r="F262" s="40"/>
      <c r="G262" s="41" t="str">
        <f>IFERROR(IF(F262&gt;=0,D262*E262*(1+F262/100),ABS(D262*E262/F262)),"")</f>
        <v/>
      </c>
      <c r="H262" s="42" t="str">
        <f>IFERROR(G262*E244,"")</f>
        <v/>
      </c>
    </row>
    <row r="263" spans="1:11" ht="12.75" customHeight="1" thickTop="1" thickBot="1"/>
    <row r="264" spans="1:11" ht="12.75" customHeight="1" thickTop="1" thickBot="1">
      <c r="A264" s="6" t="s">
        <v>2455</v>
      </c>
      <c r="B264" s="7" t="str">
        <f>VLOOKUP($A264,Presupuesto!$A:$D,2,FALSE())</f>
        <v>Adoquín 8x10x20 color 1 (rojo, negro, verde oliva, jaspeado, marrón, arena, anticado, ocre)</v>
      </c>
      <c r="C264" s="8" t="str">
        <f>VLOOKUP($A264,Presupuesto!$A:$D,3,FALSE())</f>
        <v>M2</v>
      </c>
      <c r="D264" s="9"/>
      <c r="E264" s="10">
        <f>VLOOKUP($A264,Presupuesto!$A:$D,4,FALSE())</f>
        <v>0</v>
      </c>
      <c r="F264" s="11" t="s">
        <v>2589</v>
      </c>
      <c r="G264" s="12">
        <f>SUM(G266:G282)/2</f>
        <v>134902.31040220501</v>
      </c>
      <c r="H264" s="13">
        <f>ROUND(SUM(H266:H282),0)/2</f>
        <v>0</v>
      </c>
      <c r="I264" s="10">
        <f>VLOOKUP(A264,Presupuesto!$A:$F,6,0)</f>
        <v>0</v>
      </c>
      <c r="J264" s="10">
        <f>+H264-I264</f>
        <v>0</v>
      </c>
      <c r="K264" s="46">
        <f>+H264-G264*E264</f>
        <v>0</v>
      </c>
    </row>
    <row r="265" spans="1:11" ht="12.75" customHeight="1" thickTop="1">
      <c r="A265" s="14"/>
      <c r="B265" s="15" t="s">
        <v>2586</v>
      </c>
      <c r="C265" s="15" t="s">
        <v>5</v>
      </c>
      <c r="D265" s="16" t="s">
        <v>6</v>
      </c>
      <c r="E265" s="17" t="s">
        <v>7</v>
      </c>
      <c r="F265" s="18" t="s">
        <v>3728</v>
      </c>
      <c r="G265" s="19" t="s">
        <v>3729</v>
      </c>
      <c r="H265" s="20" t="s">
        <v>3797</v>
      </c>
    </row>
    <row r="266" spans="1:11" ht="12.75" customHeight="1">
      <c r="A266" s="21"/>
      <c r="B266" s="22" t="s">
        <v>3730</v>
      </c>
      <c r="C266" s="23"/>
      <c r="D266" s="24"/>
      <c r="E266" s="25"/>
      <c r="F266" s="26"/>
      <c r="G266" s="27">
        <f>SUM(G267:G271)</f>
        <v>79694.947499999995</v>
      </c>
      <c r="H266" s="27">
        <f>IFERROR(G266*E264,"")</f>
        <v>0</v>
      </c>
    </row>
    <row r="267" spans="1:11" ht="12.75" customHeight="1">
      <c r="A267" s="28"/>
      <c r="B267" s="29" t="s">
        <v>2681</v>
      </c>
      <c r="C267" s="30" t="str">
        <f>IFERROR(_xlfn.XLOOKUP(B267,Insumo[DESCRIPCION],Insumo[UND],,0),"")</f>
        <v>Un</v>
      </c>
      <c r="D267" s="31">
        <v>50</v>
      </c>
      <c r="E267" s="32">
        <f>IFERROR(_xlfn.XLOOKUP($B267,Insumo[DESCRIPCION],Insumo[VALOR],,0),"")</f>
        <v>1440.6000000000001</v>
      </c>
      <c r="F267" s="33">
        <v>5</v>
      </c>
      <c r="G267" s="34">
        <f>IFERROR(IF(F267&gt;=0,D267*E267*(1+F267/100),ABS(D267*E267/F267)),"")</f>
        <v>75631.5</v>
      </c>
      <c r="H267" s="43">
        <f>IFERROR(G267*E264,"")</f>
        <v>0</v>
      </c>
    </row>
    <row r="268" spans="1:11" ht="12.75" customHeight="1">
      <c r="A268" s="28"/>
      <c r="B268" s="29" t="s">
        <v>2713</v>
      </c>
      <c r="C268" s="30" t="str">
        <f>IFERROR(_xlfn.XLOOKUP(B268,Insumo[DESCRIPCION],Insumo[UND],,0),"")</f>
        <v>M3</v>
      </c>
      <c r="D268" s="31">
        <v>0.05</v>
      </c>
      <c r="E268" s="32">
        <f>IFERROR(_xlfn.XLOOKUP($B268,Insumo[DESCRIPCION],Insumo[VALOR],,0),"")</f>
        <v>81268.95</v>
      </c>
      <c r="F268" s="33"/>
      <c r="G268" s="34">
        <f>IFERROR(IF(F268&gt;=0,D268*E268*(1+F268/100),ABS(D268*E268/F268)),"")</f>
        <v>4063.4475000000002</v>
      </c>
      <c r="H268" s="43">
        <f>IFERROR(G268*E264,"")</f>
        <v>0</v>
      </c>
    </row>
    <row r="269" spans="1:11" ht="12.75" customHeight="1">
      <c r="A269" s="28"/>
      <c r="B269" s="29"/>
      <c r="C269" s="30" t="str">
        <f>IFERROR(_xlfn.XLOOKUP(B269,Insumo[DESCRIPCION],Insumo[UND],,0),"")</f>
        <v/>
      </c>
      <c r="D269" s="31"/>
      <c r="E269" s="32" t="str">
        <f>IFERROR(_xlfn.XLOOKUP($B269,Insumo[DESCRIPCION],Insumo[VALOR],,0),"")</f>
        <v/>
      </c>
      <c r="F269" s="33"/>
      <c r="G269" s="34" t="str">
        <f>IFERROR(IF(F269&gt;=0,D269*E269*(1+F269/100),ABS(D269*E269/F269)),"")</f>
        <v/>
      </c>
      <c r="H269" s="43" t="str">
        <f>IFERROR(G269*E264,"")</f>
        <v/>
      </c>
    </row>
    <row r="270" spans="1:11" ht="12.75" customHeight="1">
      <c r="A270" s="28"/>
      <c r="B270" s="29"/>
      <c r="C270" s="30" t="str">
        <f>IFERROR(_xlfn.XLOOKUP(B270,Insumo[DESCRIPCION],Insumo[UND],,0),"")</f>
        <v/>
      </c>
      <c r="D270" s="31"/>
      <c r="E270" s="32" t="str">
        <f>IFERROR(_xlfn.XLOOKUP($B270,Insumo[DESCRIPCION],Insumo[VALOR],,0),"")</f>
        <v/>
      </c>
      <c r="F270" s="33"/>
      <c r="G270" s="34" t="str">
        <f>IFERROR(IF(F270&gt;=0,D270*E270*(1+F270/100),ABS(D270*E270/F270)),"")</f>
        <v/>
      </c>
      <c r="H270" s="43" t="str">
        <f>IFERROR(G270*E264,"")</f>
        <v/>
      </c>
    </row>
    <row r="271" spans="1:11" ht="12.75" customHeight="1">
      <c r="A271" s="28"/>
      <c r="B271" s="29"/>
      <c r="C271" s="30" t="str">
        <f>IFERROR(_xlfn.XLOOKUP(B271,Insumo[DESCRIPCION],Insumo[UND],,0),"")</f>
        <v/>
      </c>
      <c r="D271" s="31"/>
      <c r="E271" s="32" t="str">
        <f>IFERROR(_xlfn.XLOOKUP($B271,Insumo[DESCRIPCION],Insumo[VALOR],,0),"")</f>
        <v/>
      </c>
      <c r="F271" s="33"/>
      <c r="G271" s="34" t="str">
        <f>IFERROR(IF(F271&gt;=0,D271*E271*(1+F271/100),ABS(D271*E271/F271)),"")</f>
        <v/>
      </c>
      <c r="H271" s="43" t="str">
        <f>IFERROR(G271*E264,"")</f>
        <v/>
      </c>
    </row>
    <row r="272" spans="1:11" ht="12.75" customHeight="1">
      <c r="A272" s="21"/>
      <c r="B272" s="22" t="s">
        <v>3731</v>
      </c>
      <c r="C272" s="23"/>
      <c r="D272" s="24"/>
      <c r="E272" s="25"/>
      <c r="F272" s="26"/>
      <c r="G272" s="27">
        <f>SUM(G273:G275)</f>
        <v>12124.185927705003</v>
      </c>
      <c r="H272" s="44">
        <f>G272*E264</f>
        <v>0</v>
      </c>
    </row>
    <row r="273" spans="1:11" ht="12.75" customHeight="1">
      <c r="A273" s="28"/>
      <c r="B273" s="29" t="s">
        <v>3658</v>
      </c>
      <c r="C273" s="30" t="str">
        <f>IFERROR(_xlfn.XLOOKUP(B273,Equipo[DESCRIPCION],Equipo[UND],,0),"")</f>
        <v>Día</v>
      </c>
      <c r="D273" s="31">
        <v>1</v>
      </c>
      <c r="E273" s="32">
        <f>IF(C273="%MO",G279,IFERROR(_xlfn.XLOOKUP($B273,Equipo[DESCRIPCION],Equipo[VALOR],,0),""))</f>
        <v>82467</v>
      </c>
      <c r="F273" s="33">
        <v>-10</v>
      </c>
      <c r="G273" s="34">
        <f>IFERROR(IF(F273&gt;=0,D273*E273*(1+F273/100),ABS(D273*E273/F273)),"")</f>
        <v>8246.7000000000007</v>
      </c>
      <c r="H273" s="43">
        <f>IFERROR(G273*E264,"")</f>
        <v>0</v>
      </c>
    </row>
    <row r="274" spans="1:11" ht="12.75" customHeight="1">
      <c r="A274" s="28"/>
      <c r="B274" s="29" t="s">
        <v>3570</v>
      </c>
      <c r="C274" s="30" t="str">
        <f>IFERROR(_xlfn.XLOOKUP(B274,Equipo[DESCRIPCION],Equipo[UND],,0),"")</f>
        <v>%MO</v>
      </c>
      <c r="D274" s="31">
        <v>0.04</v>
      </c>
      <c r="E274" s="32">
        <f>IF(C274="%MO",G279,IFERROR(_xlfn.XLOOKUP($B274,Equipo[DESCRIPCION],Equipo[VALOR],,0),""))</f>
        <v>43083.176974500006</v>
      </c>
      <c r="F274" s="33"/>
      <c r="G274" s="34">
        <f>IFERROR(IF(F274&gt;=0,D274*E274*(1+F274/100),ABS(D274*E274/F274)),"")</f>
        <v>1723.3270789800004</v>
      </c>
      <c r="H274" s="43">
        <f>IFERROR(G274*E264,"")</f>
        <v>0</v>
      </c>
    </row>
    <row r="275" spans="1:11" ht="12.75" customHeight="1">
      <c r="A275" s="28"/>
      <c r="B275" s="29" t="s">
        <v>3626</v>
      </c>
      <c r="C275" s="30" t="str">
        <f>IFERROR(_xlfn.XLOOKUP(B275,Equipo[DESCRIPCION],Equipo[UND],,0),"")</f>
        <v>%MO</v>
      </c>
      <c r="D275" s="31">
        <v>0.05</v>
      </c>
      <c r="E275" s="32">
        <f>IF(C275="%MO",G279,IFERROR(_xlfn.XLOOKUP($B275,Equipo[DESCRIPCION],Equipo[VALOR],,0),""))</f>
        <v>43083.176974500006</v>
      </c>
      <c r="F275" s="33"/>
      <c r="G275" s="34">
        <f>IFERROR(IF(F275&gt;=0,D275*E275*(1+F275/100),ABS(D275*E275/F275)),"")</f>
        <v>2154.1588487250006</v>
      </c>
      <c r="H275" s="43">
        <f>IFERROR(G275*E264,"")</f>
        <v>0</v>
      </c>
    </row>
    <row r="276" spans="1:11" ht="12.75" customHeight="1">
      <c r="A276" s="21"/>
      <c r="B276" s="22" t="s">
        <v>2533</v>
      </c>
      <c r="C276" s="23"/>
      <c r="D276" s="24"/>
      <c r="E276" s="25"/>
      <c r="F276" s="26"/>
      <c r="G276" s="27">
        <f>SUM(G277:G278)</f>
        <v>0</v>
      </c>
      <c r="H276" s="44">
        <f>G276*E264</f>
        <v>0</v>
      </c>
    </row>
    <row r="277" spans="1:11" ht="12.75" customHeight="1">
      <c r="A277" s="28"/>
      <c r="B277" s="29"/>
      <c r="C277" s="30" t="str">
        <f>IFERROR(_xlfn.XLOOKUP(B277,Transporte[DESCRIPCION],Transporte[UND],,0),"")</f>
        <v/>
      </c>
      <c r="D277" s="31"/>
      <c r="E277" s="32" t="str">
        <f>IFERROR(_xlfn.XLOOKUP($B277,Transporte[DESCRIPCION],Transporte[VALOR],,0),"")</f>
        <v/>
      </c>
      <c r="F277" s="33"/>
      <c r="G277" s="34" t="str">
        <f>IFERROR(IF(F277&gt;=0,D277*E277*(1+F277/100),ABS(D277*E277/F277)),"")</f>
        <v/>
      </c>
      <c r="H277" s="43" t="str">
        <f>IFERROR(G277*E264,"")</f>
        <v/>
      </c>
    </row>
    <row r="278" spans="1:11" ht="12.75" customHeight="1">
      <c r="A278" s="28"/>
      <c r="B278" s="29"/>
      <c r="C278" s="30" t="str">
        <f>IFERROR(_xlfn.XLOOKUP(B278,Transporte[DESCRIPCION],Transporte[UND],,0),"")</f>
        <v/>
      </c>
      <c r="D278" s="31"/>
      <c r="E278" s="32" t="str">
        <f>IFERROR(_xlfn.XLOOKUP($B278,Transporte[DESCRIPCION],Transporte[VALOR],,0),"")</f>
        <v/>
      </c>
      <c r="F278" s="33"/>
      <c r="G278" s="34" t="str">
        <f>IFERROR(IF(F278&gt;=0,D278*E278*(1+F278/100),ABS(D278*E278/F278)),"")</f>
        <v/>
      </c>
      <c r="H278" s="43" t="str">
        <f>IFERROR(G278*E264,"")</f>
        <v/>
      </c>
    </row>
    <row r="279" spans="1:11" ht="12.75" customHeight="1">
      <c r="A279" s="21"/>
      <c r="B279" s="22" t="s">
        <v>3732</v>
      </c>
      <c r="C279" s="23"/>
      <c r="D279" s="24"/>
      <c r="E279" s="25"/>
      <c r="F279" s="26"/>
      <c r="G279" s="27">
        <f>SUM(G280:G282)</f>
        <v>43083.176974500006</v>
      </c>
      <c r="H279" s="44">
        <f>G279*E264</f>
        <v>0</v>
      </c>
    </row>
    <row r="280" spans="1:11" ht="12.75" customHeight="1">
      <c r="A280" s="28"/>
      <c r="B280" s="29" t="s">
        <v>3711</v>
      </c>
      <c r="C280" s="30" t="str">
        <f>IFERROR(_xlfn.XLOOKUP(B280,MObra[DESCRIPCION],MObra[UN],,0),"")</f>
        <v>día</v>
      </c>
      <c r="D280" s="31">
        <v>1</v>
      </c>
      <c r="E280" s="32">
        <f>IFERROR(_xlfn.XLOOKUP($B280,MObra[DESCRIPCION],MObra[VALOR UNIT],,0),"")</f>
        <v>430831.76974500006</v>
      </c>
      <c r="F280" s="33">
        <v>-10</v>
      </c>
      <c r="G280" s="34">
        <f>IFERROR(IF(F280&gt;=0,D280*E280*(1+F280/100),ABS(D280*E280/F280)),"")</f>
        <v>43083.176974500006</v>
      </c>
      <c r="H280" s="43">
        <f>IFERROR(G280*E264,"")</f>
        <v>0</v>
      </c>
    </row>
    <row r="281" spans="1:11" ht="12.75" customHeight="1">
      <c r="A281" s="28"/>
      <c r="B281" s="29"/>
      <c r="C281" s="30" t="str">
        <f>IFERROR(_xlfn.XLOOKUP(B281,MObra[DESCRIPCION],MObra[UN],,0),"")</f>
        <v/>
      </c>
      <c r="D281" s="31"/>
      <c r="E281" s="32" t="str">
        <f>IFERROR(_xlfn.XLOOKUP($B281,MObra[DESCRIPCION],MObra[VALOR UNIT],,0),"")</f>
        <v/>
      </c>
      <c r="F281" s="33"/>
      <c r="G281" s="34" t="str">
        <f>IFERROR(IF(F281&gt;=0,D281*E281*(1+F281/100),ABS(D281*E281/F281)),"")</f>
        <v/>
      </c>
      <c r="H281" s="43" t="str">
        <f>IFERROR(G281*E264,"")</f>
        <v/>
      </c>
    </row>
    <row r="282" spans="1:11" ht="12.75" customHeight="1" thickBot="1">
      <c r="A282" s="35"/>
      <c r="B282" s="36"/>
      <c r="C282" s="37" t="str">
        <f>IFERROR(_xlfn.XLOOKUP(B282,MObra[DESCRIPCION],MObra[UN],,0),"")</f>
        <v/>
      </c>
      <c r="D282" s="38"/>
      <c r="E282" s="39" t="str">
        <f>IFERROR(_xlfn.XLOOKUP($B282,MObra[DESCRIPCION],MObra[VALOR UNIT],,0),"")</f>
        <v/>
      </c>
      <c r="F282" s="40"/>
      <c r="G282" s="41" t="str">
        <f>IFERROR(IF(F282&gt;=0,D282*E282*(1+F282/100),ABS(D282*E282/F282)),"")</f>
        <v/>
      </c>
      <c r="H282" s="42" t="str">
        <f>IFERROR(G282*E264,"")</f>
        <v/>
      </c>
    </row>
    <row r="283" spans="1:11" ht="12.75" customHeight="1" thickTop="1" thickBot="1"/>
    <row r="284" spans="1:11" ht="12.75" customHeight="1" thickTop="1" thickBot="1">
      <c r="A284" s="6" t="s">
        <v>2457</v>
      </c>
      <c r="B284" s="7" t="str">
        <f>VLOOKUP($A284,Presupuesto!$A:$D,2,FALSE())</f>
        <v>Adoquín 6x10x20 color 1 (rojo, negro, verde oliva, jaspeado, marrón, arena, anticado, ocre)</v>
      </c>
      <c r="C284" s="8" t="str">
        <f>VLOOKUP($A284,Presupuesto!$A:$D,3,FALSE())</f>
        <v>M2</v>
      </c>
      <c r="D284" s="9"/>
      <c r="E284" s="10">
        <f>VLOOKUP($A284,Presupuesto!$A:$D,4,FALSE())</f>
        <v>0</v>
      </c>
      <c r="F284" s="11" t="s">
        <v>2589</v>
      </c>
      <c r="G284" s="12">
        <f>SUM(G286:G302)/2</f>
        <v>129885.93540220501</v>
      </c>
      <c r="H284" s="13">
        <f>ROUND(SUM(H286:H302),0)/2</f>
        <v>0</v>
      </c>
      <c r="I284" s="10">
        <f>VLOOKUP(A284,Presupuesto!$A:$F,6,0)</f>
        <v>0</v>
      </c>
      <c r="J284" s="10">
        <f>+H284-I284</f>
        <v>0</v>
      </c>
      <c r="K284" s="46">
        <f>+H284-G284*E284</f>
        <v>0</v>
      </c>
    </row>
    <row r="285" spans="1:11" ht="12.75" customHeight="1" thickTop="1">
      <c r="A285" s="14"/>
      <c r="B285" s="15" t="s">
        <v>2586</v>
      </c>
      <c r="C285" s="15" t="s">
        <v>5</v>
      </c>
      <c r="D285" s="16" t="s">
        <v>6</v>
      </c>
      <c r="E285" s="17" t="s">
        <v>7</v>
      </c>
      <c r="F285" s="18" t="s">
        <v>3728</v>
      </c>
      <c r="G285" s="19" t="s">
        <v>3729</v>
      </c>
      <c r="H285" s="20" t="s">
        <v>3797</v>
      </c>
    </row>
    <row r="286" spans="1:11" ht="12.75" customHeight="1">
      <c r="A286" s="21"/>
      <c r="B286" s="22" t="s">
        <v>3730</v>
      </c>
      <c r="C286" s="23"/>
      <c r="D286" s="24"/>
      <c r="E286" s="25"/>
      <c r="F286" s="26"/>
      <c r="G286" s="27">
        <f>SUM(G287:G291)</f>
        <v>74678.572499999995</v>
      </c>
      <c r="H286" s="27">
        <f>IFERROR(G286*E284,"")</f>
        <v>0</v>
      </c>
    </row>
    <row r="287" spans="1:11" ht="12.75" customHeight="1">
      <c r="A287" s="28"/>
      <c r="B287" s="29" t="s">
        <v>2679</v>
      </c>
      <c r="C287" s="30" t="str">
        <f>IFERROR(_xlfn.XLOOKUP(B287,Insumo[DESCRIPCION],Insumo[UND],,0),"")</f>
        <v>Un</v>
      </c>
      <c r="D287" s="31">
        <v>50</v>
      </c>
      <c r="E287" s="32">
        <f>IFERROR(_xlfn.XLOOKUP($B287,Insumo[DESCRIPCION],Insumo[VALOR],,0),"")</f>
        <v>1345.05</v>
      </c>
      <c r="F287" s="33">
        <v>5</v>
      </c>
      <c r="G287" s="34">
        <f>IFERROR(IF(F287&gt;=0,D287*E287*(1+F287/100),ABS(D287*E287/F287)),"")</f>
        <v>70615.125</v>
      </c>
      <c r="H287" s="43">
        <f>IFERROR(G287*E284,"")</f>
        <v>0</v>
      </c>
    </row>
    <row r="288" spans="1:11" ht="12.75" customHeight="1">
      <c r="A288" s="28"/>
      <c r="B288" s="29" t="s">
        <v>2713</v>
      </c>
      <c r="C288" s="30" t="str">
        <f>IFERROR(_xlfn.XLOOKUP(B288,Insumo[DESCRIPCION],Insumo[UND],,0),"")</f>
        <v>M3</v>
      </c>
      <c r="D288" s="31">
        <v>0.05</v>
      </c>
      <c r="E288" s="32">
        <f>IFERROR(_xlfn.XLOOKUP($B288,Insumo[DESCRIPCION],Insumo[VALOR],,0),"")</f>
        <v>81268.95</v>
      </c>
      <c r="F288" s="33"/>
      <c r="G288" s="34">
        <f>IFERROR(IF(F288&gt;=0,D288*E288*(1+F288/100),ABS(D288*E288/F288)),"")</f>
        <v>4063.4475000000002</v>
      </c>
      <c r="H288" s="43">
        <f>IFERROR(G288*E284,"")</f>
        <v>0</v>
      </c>
    </row>
    <row r="289" spans="1:11" ht="12.75" customHeight="1">
      <c r="A289" s="28"/>
      <c r="B289" s="29"/>
      <c r="C289" s="30" t="str">
        <f>IFERROR(_xlfn.XLOOKUP(B289,Insumo[DESCRIPCION],Insumo[UND],,0),"")</f>
        <v/>
      </c>
      <c r="D289" s="31"/>
      <c r="E289" s="32" t="str">
        <f>IFERROR(_xlfn.XLOOKUP($B289,Insumo[DESCRIPCION],Insumo[VALOR],,0),"")</f>
        <v/>
      </c>
      <c r="F289" s="33"/>
      <c r="G289" s="34" t="str">
        <f>IFERROR(IF(F289&gt;=0,D289*E289*(1+F289/100),ABS(D289*E289/F289)),"")</f>
        <v/>
      </c>
      <c r="H289" s="43" t="str">
        <f>IFERROR(G289*E284,"")</f>
        <v/>
      </c>
    </row>
    <row r="290" spans="1:11" ht="12.75" customHeight="1">
      <c r="A290" s="28"/>
      <c r="B290" s="29"/>
      <c r="C290" s="30" t="str">
        <f>IFERROR(_xlfn.XLOOKUP(B290,Insumo[DESCRIPCION],Insumo[UND],,0),"")</f>
        <v/>
      </c>
      <c r="D290" s="31"/>
      <c r="E290" s="32" t="str">
        <f>IFERROR(_xlfn.XLOOKUP($B290,Insumo[DESCRIPCION],Insumo[VALOR],,0),"")</f>
        <v/>
      </c>
      <c r="F290" s="33"/>
      <c r="G290" s="34" t="str">
        <f>IFERROR(IF(F290&gt;=0,D290*E290*(1+F290/100),ABS(D290*E290/F290)),"")</f>
        <v/>
      </c>
      <c r="H290" s="43" t="str">
        <f>IFERROR(G290*E284,"")</f>
        <v/>
      </c>
    </row>
    <row r="291" spans="1:11" ht="12.75" customHeight="1">
      <c r="A291" s="28"/>
      <c r="B291" s="29"/>
      <c r="C291" s="30" t="str">
        <f>IFERROR(_xlfn.XLOOKUP(B291,Insumo[DESCRIPCION],Insumo[UND],,0),"")</f>
        <v/>
      </c>
      <c r="D291" s="31"/>
      <c r="E291" s="32" t="str">
        <f>IFERROR(_xlfn.XLOOKUP($B291,Insumo[DESCRIPCION],Insumo[VALOR],,0),"")</f>
        <v/>
      </c>
      <c r="F291" s="33"/>
      <c r="G291" s="34" t="str">
        <f>IFERROR(IF(F291&gt;=0,D291*E291*(1+F291/100),ABS(D291*E291/F291)),"")</f>
        <v/>
      </c>
      <c r="H291" s="43" t="str">
        <f>IFERROR(G291*E284,"")</f>
        <v/>
      </c>
    </row>
    <row r="292" spans="1:11" ht="12.75" customHeight="1">
      <c r="A292" s="21"/>
      <c r="B292" s="22" t="s">
        <v>3731</v>
      </c>
      <c r="C292" s="23"/>
      <c r="D292" s="24"/>
      <c r="E292" s="25"/>
      <c r="F292" s="26"/>
      <c r="G292" s="27">
        <f>SUM(G293:G295)</f>
        <v>12124.185927705003</v>
      </c>
      <c r="H292" s="44">
        <f>G292*E284</f>
        <v>0</v>
      </c>
    </row>
    <row r="293" spans="1:11" ht="12.75" customHeight="1">
      <c r="A293" s="28"/>
      <c r="B293" s="29" t="s">
        <v>3658</v>
      </c>
      <c r="C293" s="30" t="str">
        <f>IFERROR(_xlfn.XLOOKUP(B293,Equipo[DESCRIPCION],Equipo[UND],,0),"")</f>
        <v>Día</v>
      </c>
      <c r="D293" s="31">
        <v>1</v>
      </c>
      <c r="E293" s="32">
        <f>IF(C293="%MO",G299,IFERROR(_xlfn.XLOOKUP($B293,Equipo[DESCRIPCION],Equipo[VALOR],,0),""))</f>
        <v>82467</v>
      </c>
      <c r="F293" s="33">
        <v>-10</v>
      </c>
      <c r="G293" s="34">
        <f>IFERROR(IF(F293&gt;=0,D293*E293*(1+F293/100),ABS(D293*E293/F293)),"")</f>
        <v>8246.7000000000007</v>
      </c>
      <c r="H293" s="43">
        <f>IFERROR(G293*E284,"")</f>
        <v>0</v>
      </c>
    </row>
    <row r="294" spans="1:11" ht="12.75" customHeight="1">
      <c r="A294" s="28"/>
      <c r="B294" s="29" t="s">
        <v>3570</v>
      </c>
      <c r="C294" s="30" t="str">
        <f>IFERROR(_xlfn.XLOOKUP(B294,Equipo[DESCRIPCION],Equipo[UND],,0),"")</f>
        <v>%MO</v>
      </c>
      <c r="D294" s="31">
        <v>0.04</v>
      </c>
      <c r="E294" s="32">
        <f>IF(C294="%MO",G299,IFERROR(_xlfn.XLOOKUP($B294,Equipo[DESCRIPCION],Equipo[VALOR],,0),""))</f>
        <v>43083.176974500006</v>
      </c>
      <c r="F294" s="33"/>
      <c r="G294" s="34">
        <f>IFERROR(IF(F294&gt;=0,D294*E294*(1+F294/100),ABS(D294*E294/F294)),"")</f>
        <v>1723.3270789800004</v>
      </c>
      <c r="H294" s="43">
        <f>IFERROR(G294*E284,"")</f>
        <v>0</v>
      </c>
    </row>
    <row r="295" spans="1:11" ht="12.75" customHeight="1">
      <c r="A295" s="28"/>
      <c r="B295" s="29" t="s">
        <v>3626</v>
      </c>
      <c r="C295" s="30" t="str">
        <f>IFERROR(_xlfn.XLOOKUP(B295,Equipo[DESCRIPCION],Equipo[UND],,0),"")</f>
        <v>%MO</v>
      </c>
      <c r="D295" s="31">
        <v>0.05</v>
      </c>
      <c r="E295" s="32">
        <f>IF(C295="%MO",G299,IFERROR(_xlfn.XLOOKUP($B295,Equipo[DESCRIPCION],Equipo[VALOR],,0),""))</f>
        <v>43083.176974500006</v>
      </c>
      <c r="F295" s="33"/>
      <c r="G295" s="34">
        <f>IFERROR(IF(F295&gt;=0,D295*E295*(1+F295/100),ABS(D295*E295/F295)),"")</f>
        <v>2154.1588487250006</v>
      </c>
      <c r="H295" s="43">
        <f>IFERROR(G295*E284,"")</f>
        <v>0</v>
      </c>
    </row>
    <row r="296" spans="1:11" ht="12.75" customHeight="1">
      <c r="A296" s="21"/>
      <c r="B296" s="22" t="s">
        <v>2533</v>
      </c>
      <c r="C296" s="23"/>
      <c r="D296" s="24"/>
      <c r="E296" s="25"/>
      <c r="F296" s="26"/>
      <c r="G296" s="27">
        <f>SUM(G297:G298)</f>
        <v>0</v>
      </c>
      <c r="H296" s="44">
        <f>G296*E284</f>
        <v>0</v>
      </c>
    </row>
    <row r="297" spans="1:11" ht="12.75" customHeight="1">
      <c r="A297" s="28"/>
      <c r="B297" s="29"/>
      <c r="C297" s="30" t="str">
        <f>IFERROR(_xlfn.XLOOKUP(B297,Transporte[DESCRIPCION],Transporte[UND],,0),"")</f>
        <v/>
      </c>
      <c r="D297" s="31"/>
      <c r="E297" s="32" t="str">
        <f>IFERROR(_xlfn.XLOOKUP($B297,Transporte[DESCRIPCION],Transporte[VALOR],,0),"")</f>
        <v/>
      </c>
      <c r="F297" s="33"/>
      <c r="G297" s="34" t="str">
        <f>IFERROR(IF(F297&gt;=0,D297*E297*(1+F297/100),ABS(D297*E297/F297)),"")</f>
        <v/>
      </c>
      <c r="H297" s="43" t="str">
        <f>IFERROR(G297*E284,"")</f>
        <v/>
      </c>
    </row>
    <row r="298" spans="1:11" ht="12.75" customHeight="1">
      <c r="A298" s="28"/>
      <c r="B298" s="29"/>
      <c r="C298" s="30" t="str">
        <f>IFERROR(_xlfn.XLOOKUP(B298,Transporte[DESCRIPCION],Transporte[UND],,0),"")</f>
        <v/>
      </c>
      <c r="D298" s="31"/>
      <c r="E298" s="32" t="str">
        <f>IFERROR(_xlfn.XLOOKUP($B298,Transporte[DESCRIPCION],Transporte[VALOR],,0),"")</f>
        <v/>
      </c>
      <c r="F298" s="33"/>
      <c r="G298" s="34" t="str">
        <f>IFERROR(IF(F298&gt;=0,D298*E298*(1+F298/100),ABS(D298*E298/F298)),"")</f>
        <v/>
      </c>
      <c r="H298" s="43" t="str">
        <f>IFERROR(G298*E284,"")</f>
        <v/>
      </c>
    </row>
    <row r="299" spans="1:11" ht="12.75" customHeight="1">
      <c r="A299" s="21"/>
      <c r="B299" s="22" t="s">
        <v>3732</v>
      </c>
      <c r="C299" s="23"/>
      <c r="D299" s="24"/>
      <c r="E299" s="25"/>
      <c r="F299" s="26"/>
      <c r="G299" s="27">
        <f>SUM(G300:G302)</f>
        <v>43083.176974500006</v>
      </c>
      <c r="H299" s="44">
        <f>G299*E284</f>
        <v>0</v>
      </c>
    </row>
    <row r="300" spans="1:11" ht="12.75" customHeight="1">
      <c r="A300" s="28"/>
      <c r="B300" s="29" t="s">
        <v>3711</v>
      </c>
      <c r="C300" s="30" t="str">
        <f>IFERROR(_xlfn.XLOOKUP(B300,MObra[DESCRIPCION],MObra[UN],,0),"")</f>
        <v>día</v>
      </c>
      <c r="D300" s="31">
        <v>1</v>
      </c>
      <c r="E300" s="32">
        <f>IFERROR(_xlfn.XLOOKUP($B300,MObra[DESCRIPCION],MObra[VALOR UNIT],,0),"")</f>
        <v>430831.76974500006</v>
      </c>
      <c r="F300" s="33">
        <v>-10</v>
      </c>
      <c r="G300" s="34">
        <f>IFERROR(IF(F300&gt;=0,D300*E300*(1+F300/100),ABS(D300*E300/F300)),"")</f>
        <v>43083.176974500006</v>
      </c>
      <c r="H300" s="43">
        <f>IFERROR(G300*E284,"")</f>
        <v>0</v>
      </c>
    </row>
    <row r="301" spans="1:11" ht="12.75" customHeight="1">
      <c r="A301" s="28"/>
      <c r="B301" s="29"/>
      <c r="C301" s="30" t="str">
        <f>IFERROR(_xlfn.XLOOKUP(B301,MObra[DESCRIPCION],MObra[UN],,0),"")</f>
        <v/>
      </c>
      <c r="D301" s="31"/>
      <c r="E301" s="32" t="str">
        <f>IFERROR(_xlfn.XLOOKUP($B301,MObra[DESCRIPCION],MObra[VALOR UNIT],,0),"")</f>
        <v/>
      </c>
      <c r="F301" s="33"/>
      <c r="G301" s="34" t="str">
        <f>IFERROR(IF(F301&gt;=0,D301*E301*(1+F301/100),ABS(D301*E301/F301)),"")</f>
        <v/>
      </c>
      <c r="H301" s="43" t="str">
        <f>IFERROR(G301*E284,"")</f>
        <v/>
      </c>
    </row>
    <row r="302" spans="1:11" ht="12.75" customHeight="1" thickBot="1">
      <c r="A302" s="35"/>
      <c r="B302" s="36"/>
      <c r="C302" s="37" t="str">
        <f>IFERROR(_xlfn.XLOOKUP(B302,MObra[DESCRIPCION],MObra[UN],,0),"")</f>
        <v/>
      </c>
      <c r="D302" s="38"/>
      <c r="E302" s="39" t="str">
        <f>IFERROR(_xlfn.XLOOKUP($B302,MObra[DESCRIPCION],MObra[VALOR UNIT],,0),"")</f>
        <v/>
      </c>
      <c r="F302" s="40"/>
      <c r="G302" s="41" t="str">
        <f>IFERROR(IF(F302&gt;=0,D302*E302*(1+F302/100),ABS(D302*E302/F302)),"")</f>
        <v/>
      </c>
      <c r="H302" s="42" t="str">
        <f>IFERROR(G302*E284,"")</f>
        <v/>
      </c>
    </row>
    <row r="303" spans="1:11" ht="12.75" customHeight="1" thickTop="1" thickBot="1"/>
    <row r="304" spans="1:11" ht="12.75" customHeight="1" thickTop="1" thickBot="1">
      <c r="A304" s="6" t="s">
        <v>2459</v>
      </c>
      <c r="B304" s="7" t="str">
        <f>VLOOKUP($A304,Presupuesto!$A:$D,2,FALSE())</f>
        <v>Baranda en acero inoxidable (tubería principal 2" + 3 hilos de 1/2" + parales de 1 1/2")</v>
      </c>
      <c r="C304" s="8" t="str">
        <f>VLOOKUP($A304,Presupuesto!$A:$D,3,FALSE())</f>
        <v>M</v>
      </c>
      <c r="D304" s="9"/>
      <c r="E304" s="10">
        <f>VLOOKUP($A304,Presupuesto!$A:$D,4,FALSE())</f>
        <v>0</v>
      </c>
      <c r="F304" s="11" t="s">
        <v>2589</v>
      </c>
      <c r="G304" s="12">
        <f>SUM(G306:G322)/2</f>
        <v>199510.20256264997</v>
      </c>
      <c r="H304" s="13">
        <f>ROUND(SUM(H306:H322),0)/2</f>
        <v>0</v>
      </c>
      <c r="I304" s="10">
        <f>VLOOKUP(A304,Presupuesto!$A:$F,6,0)</f>
        <v>0</v>
      </c>
      <c r="J304" s="10">
        <f>+H304-I304</f>
        <v>0</v>
      </c>
      <c r="K304" s="46">
        <f>+H304-G304*E304</f>
        <v>0</v>
      </c>
    </row>
    <row r="305" spans="1:8" ht="12.75" customHeight="1" thickTop="1">
      <c r="A305" s="14"/>
      <c r="B305" s="15" t="s">
        <v>2586</v>
      </c>
      <c r="C305" s="15" t="s">
        <v>5</v>
      </c>
      <c r="D305" s="16" t="s">
        <v>6</v>
      </c>
      <c r="E305" s="17" t="s">
        <v>7</v>
      </c>
      <c r="F305" s="18" t="s">
        <v>3728</v>
      </c>
      <c r="G305" s="19" t="s">
        <v>3729</v>
      </c>
      <c r="H305" s="20" t="s">
        <v>3797</v>
      </c>
    </row>
    <row r="306" spans="1:8" ht="12.75" customHeight="1">
      <c r="A306" s="21"/>
      <c r="B306" s="22" t="s">
        <v>3730</v>
      </c>
      <c r="C306" s="23"/>
      <c r="D306" s="24"/>
      <c r="E306" s="25"/>
      <c r="F306" s="26"/>
      <c r="G306" s="27">
        <f>SUM(G307:G311)</f>
        <v>170726.85</v>
      </c>
      <c r="H306" s="27">
        <f>IFERROR(G306*E304,"")</f>
        <v>0</v>
      </c>
    </row>
    <row r="307" spans="1:8" ht="12.75" customHeight="1">
      <c r="A307" s="28"/>
      <c r="B307" s="29" t="s">
        <v>2738</v>
      </c>
      <c r="C307" s="30" t="str">
        <f>IFERROR(_xlfn.XLOOKUP(B307,Insumo[DESCRIPCION],Insumo[UND],,0),"")</f>
        <v>M</v>
      </c>
      <c r="D307" s="31">
        <v>1</v>
      </c>
      <c r="E307" s="32">
        <f>IFERROR(_xlfn.XLOOKUP($B307,Insumo[DESCRIPCION],Insumo[VALOR],,0),"")</f>
        <v>170493.75</v>
      </c>
      <c r="F307" s="33"/>
      <c r="G307" s="34">
        <f>IFERROR(IF(F307&gt;=0,D307*E307*(1+F307/100),ABS(D307*E307/F307)),"")</f>
        <v>170493.75</v>
      </c>
      <c r="H307" s="43">
        <f>IFERROR(G307*E304,"")</f>
        <v>0</v>
      </c>
    </row>
    <row r="308" spans="1:8" ht="12.75" customHeight="1">
      <c r="A308" s="28"/>
      <c r="B308" s="29" t="s">
        <v>3407</v>
      </c>
      <c r="C308" s="30" t="str">
        <f>IFERROR(_xlfn.XLOOKUP(B308,Insumo[DESCRIPCION],Insumo[UND],,0),"")</f>
        <v>Un</v>
      </c>
      <c r="D308" s="31">
        <v>3</v>
      </c>
      <c r="E308" s="32">
        <f>IFERROR(_xlfn.XLOOKUP($B308,Insumo[DESCRIPCION],Insumo[VALOR],,0),"")</f>
        <v>77.7</v>
      </c>
      <c r="F308" s="33"/>
      <c r="G308" s="34">
        <f>IFERROR(IF(F308&gt;=0,D308*E308*(1+F308/100),ABS(D308*E308/F308)),"")</f>
        <v>233.10000000000002</v>
      </c>
      <c r="H308" s="43">
        <f>IFERROR(G308*E304,"")</f>
        <v>0</v>
      </c>
    </row>
    <row r="309" spans="1:8" ht="12.75" customHeight="1">
      <c r="A309" s="28"/>
      <c r="B309" s="29"/>
      <c r="C309" s="30" t="str">
        <f>IFERROR(_xlfn.XLOOKUP(B309,Insumo[DESCRIPCION],Insumo[UND],,0),"")</f>
        <v/>
      </c>
      <c r="D309" s="31"/>
      <c r="E309" s="32" t="str">
        <f>IFERROR(_xlfn.XLOOKUP($B309,Insumo[DESCRIPCION],Insumo[VALOR],,0),"")</f>
        <v/>
      </c>
      <c r="F309" s="33"/>
      <c r="G309" s="34" t="str">
        <f>IFERROR(IF(F309&gt;=0,D309*E309*(1+F309/100),ABS(D309*E309/F309)),"")</f>
        <v/>
      </c>
      <c r="H309" s="43" t="str">
        <f>IFERROR(G309*E304,"")</f>
        <v/>
      </c>
    </row>
    <row r="310" spans="1:8" ht="12.75" customHeight="1">
      <c r="A310" s="28"/>
      <c r="B310" s="29"/>
      <c r="C310" s="30" t="str">
        <f>IFERROR(_xlfn.XLOOKUP(B310,Insumo[DESCRIPCION],Insumo[UND],,0),"")</f>
        <v/>
      </c>
      <c r="D310" s="31"/>
      <c r="E310" s="32" t="str">
        <f>IFERROR(_xlfn.XLOOKUP($B310,Insumo[DESCRIPCION],Insumo[VALOR],,0),"")</f>
        <v/>
      </c>
      <c r="F310" s="33"/>
      <c r="G310" s="34" t="str">
        <f>IFERROR(IF(F310&gt;=0,D310*E310*(1+F310/100),ABS(D310*E310/F310)),"")</f>
        <v/>
      </c>
      <c r="H310" s="43" t="str">
        <f>IFERROR(G310*E304,"")</f>
        <v/>
      </c>
    </row>
    <row r="311" spans="1:8" ht="12.75" customHeight="1">
      <c r="A311" s="28"/>
      <c r="B311" s="29"/>
      <c r="C311" s="30" t="str">
        <f>IFERROR(_xlfn.XLOOKUP(B311,Insumo[DESCRIPCION],Insumo[UND],,0),"")</f>
        <v/>
      </c>
      <c r="D311" s="31"/>
      <c r="E311" s="32" t="str">
        <f>IFERROR(_xlfn.XLOOKUP($B311,Insumo[DESCRIPCION],Insumo[VALOR],,0),"")</f>
        <v/>
      </c>
      <c r="F311" s="33"/>
      <c r="G311" s="34" t="str">
        <f>IFERROR(IF(F311&gt;=0,D311*E311*(1+F311/100),ABS(D311*E311/F311)),"")</f>
        <v/>
      </c>
      <c r="H311" s="43" t="str">
        <f>IFERROR(G311*E304,"")</f>
        <v/>
      </c>
    </row>
    <row r="312" spans="1:8" ht="12.75" customHeight="1">
      <c r="A312" s="21"/>
      <c r="B312" s="22" t="s">
        <v>3731</v>
      </c>
      <c r="C312" s="23"/>
      <c r="D312" s="24"/>
      <c r="E312" s="25"/>
      <c r="F312" s="26"/>
      <c r="G312" s="27">
        <f>SUM(G313:G315)</f>
        <v>7823.9691696500004</v>
      </c>
      <c r="H312" s="44">
        <f>G312*E304</f>
        <v>0</v>
      </c>
    </row>
    <row r="313" spans="1:8" ht="12.75" customHeight="1">
      <c r="A313" s="28"/>
      <c r="B313" s="29" t="s">
        <v>3654</v>
      </c>
      <c r="C313" s="30" t="str">
        <f>IFERROR(_xlfn.XLOOKUP(B313,Equipo[DESCRIPCION],Equipo[UND],,0),"")</f>
        <v>Día</v>
      </c>
      <c r="D313" s="31">
        <v>1</v>
      </c>
      <c r="E313" s="32">
        <f>IF(C313="%MO",G319,IFERROR(_xlfn.XLOOKUP($B313,Equipo[DESCRIPCION],Equipo[VALOR],,0),""))</f>
        <v>101640</v>
      </c>
      <c r="F313" s="33">
        <v>-15</v>
      </c>
      <c r="G313" s="34">
        <f>IFERROR(IF(F313&gt;=0,D313*E313*(1+F313/100),ABS(D313*E313/F313)),"")</f>
        <v>6776</v>
      </c>
      <c r="H313" s="43">
        <f>IFERROR(G313*E304,"")</f>
        <v>0</v>
      </c>
    </row>
    <row r="314" spans="1:8" ht="12.75" customHeight="1">
      <c r="A314" s="28"/>
      <c r="B314" s="29" t="s">
        <v>3626</v>
      </c>
      <c r="C314" s="30" t="str">
        <f>IFERROR(_xlfn.XLOOKUP(B314,Equipo[DESCRIPCION],Equipo[UND],,0),"")</f>
        <v>%MO</v>
      </c>
      <c r="D314" s="31">
        <v>0.05</v>
      </c>
      <c r="E314" s="32">
        <f>IF(C314="%MO",G319,IFERROR(_xlfn.XLOOKUP($B314,Equipo[DESCRIPCION],Equipo[VALOR],,0),""))</f>
        <v>20959.383393000004</v>
      </c>
      <c r="F314" s="33"/>
      <c r="G314" s="34">
        <f>IFERROR(IF(F314&gt;=0,D314*E314*(1+F314/100),ABS(D314*E314/F314)),"")</f>
        <v>1047.9691696500001</v>
      </c>
      <c r="H314" s="43">
        <f>IFERROR(G314*E304,"")</f>
        <v>0</v>
      </c>
    </row>
    <row r="315" spans="1:8" ht="12.75" customHeight="1">
      <c r="A315" s="28"/>
      <c r="B315" s="29"/>
      <c r="C315" s="30" t="str">
        <f>IFERROR(_xlfn.XLOOKUP(B315,Equipo[DESCRIPCION],Equipo[UND],,0),"")</f>
        <v/>
      </c>
      <c r="D315" s="31"/>
      <c r="E315" s="32" t="str">
        <f>IF(C315="%MO",G319,IFERROR(_xlfn.XLOOKUP($B315,Equipo[DESCRIPCION],Equipo[VALOR],,0),""))</f>
        <v/>
      </c>
      <c r="F315" s="33"/>
      <c r="G315" s="34" t="str">
        <f>IFERROR(IF(F315&gt;=0,D315*E315*(1+F315/100),ABS(D315*E315/F315)),"")</f>
        <v/>
      </c>
      <c r="H315" s="43" t="str">
        <f>IFERROR(G315*E304,"")</f>
        <v/>
      </c>
    </row>
    <row r="316" spans="1:8" ht="12.75" customHeight="1">
      <c r="A316" s="21"/>
      <c r="B316" s="22" t="s">
        <v>2533</v>
      </c>
      <c r="C316" s="23"/>
      <c r="D316" s="24"/>
      <c r="E316" s="25"/>
      <c r="F316" s="26"/>
      <c r="G316" s="27">
        <f>SUM(G317:G318)</f>
        <v>0</v>
      </c>
      <c r="H316" s="44">
        <f>G316*E304</f>
        <v>0</v>
      </c>
    </row>
    <row r="317" spans="1:8" ht="12.75" customHeight="1">
      <c r="A317" s="28"/>
      <c r="B317" s="29"/>
      <c r="C317" s="30" t="str">
        <f>IFERROR(_xlfn.XLOOKUP(B317,Transporte[DESCRIPCION],Transporte[UND],,0),"")</f>
        <v/>
      </c>
      <c r="D317" s="31"/>
      <c r="E317" s="32" t="str">
        <f>IFERROR(_xlfn.XLOOKUP($B317,Transporte[DESCRIPCION],Transporte[VALOR],,0),"")</f>
        <v/>
      </c>
      <c r="F317" s="33"/>
      <c r="G317" s="34" t="str">
        <f>IFERROR(IF(F317&gt;=0,D317*E317*(1+F317/100),ABS(D317*E317/F317)),"")</f>
        <v/>
      </c>
      <c r="H317" s="43" t="str">
        <f>IFERROR(G317*E304,"")</f>
        <v/>
      </c>
    </row>
    <row r="318" spans="1:8" ht="12.75" customHeight="1">
      <c r="A318" s="28"/>
      <c r="B318" s="29"/>
      <c r="C318" s="30" t="str">
        <f>IFERROR(_xlfn.XLOOKUP(B318,Transporte[DESCRIPCION],Transporte[UND],,0),"")</f>
        <v/>
      </c>
      <c r="D318" s="31"/>
      <c r="E318" s="32" t="str">
        <f>IFERROR(_xlfn.XLOOKUP($B318,Transporte[DESCRIPCION],Transporte[VALOR],,0),"")</f>
        <v/>
      </c>
      <c r="F318" s="33"/>
      <c r="G318" s="34" t="str">
        <f>IFERROR(IF(F318&gt;=0,D318*E318*(1+F318/100),ABS(D318*E318/F318)),"")</f>
        <v/>
      </c>
      <c r="H318" s="43" t="str">
        <f>IFERROR(G318*E304,"")</f>
        <v/>
      </c>
    </row>
    <row r="319" spans="1:8" ht="12.75" customHeight="1">
      <c r="A319" s="21"/>
      <c r="B319" s="22" t="s">
        <v>3732</v>
      </c>
      <c r="C319" s="23"/>
      <c r="D319" s="24"/>
      <c r="E319" s="25"/>
      <c r="F319" s="26"/>
      <c r="G319" s="27">
        <f>SUM(G320:G322)</f>
        <v>20959.383393000004</v>
      </c>
      <c r="H319" s="44">
        <f>G319*E304</f>
        <v>0</v>
      </c>
    </row>
    <row r="320" spans="1:8" ht="12.75" customHeight="1">
      <c r="A320" s="28"/>
      <c r="B320" s="29" t="s">
        <v>3710</v>
      </c>
      <c r="C320" s="30" t="str">
        <f>IFERROR(_xlfn.XLOOKUP(B320,MObra[DESCRIPCION],MObra[UN],,0),"")</f>
        <v>día</v>
      </c>
      <c r="D320" s="31">
        <v>1</v>
      </c>
      <c r="E320" s="32">
        <f>IFERROR(_xlfn.XLOOKUP($B320,MObra[DESCRIPCION],MObra[VALOR UNIT],,0),"")</f>
        <v>314390.75089500006</v>
      </c>
      <c r="F320" s="33">
        <v>-15</v>
      </c>
      <c r="G320" s="34">
        <f>IFERROR(IF(F320&gt;=0,D320*E320*(1+F320/100),ABS(D320*E320/F320)),"")</f>
        <v>20959.383393000004</v>
      </c>
      <c r="H320" s="43">
        <f>IFERROR(G320*E304,"")</f>
        <v>0</v>
      </c>
    </row>
    <row r="321" spans="1:11" ht="12.75" customHeight="1">
      <c r="A321" s="28"/>
      <c r="B321" s="29"/>
      <c r="C321" s="30" t="str">
        <f>IFERROR(_xlfn.XLOOKUP(B321,MObra[DESCRIPCION],MObra[UN],,0),"")</f>
        <v/>
      </c>
      <c r="D321" s="31"/>
      <c r="E321" s="32" t="str">
        <f>IFERROR(_xlfn.XLOOKUP($B321,MObra[DESCRIPCION],MObra[VALOR UNIT],,0),"")</f>
        <v/>
      </c>
      <c r="F321" s="33"/>
      <c r="G321" s="34" t="str">
        <f>IFERROR(IF(F321&gt;=0,D321*E321*(1+F321/100),ABS(D321*E321/F321)),"")</f>
        <v/>
      </c>
      <c r="H321" s="43" t="str">
        <f>IFERROR(G321*E304,"")</f>
        <v/>
      </c>
    </row>
    <row r="322" spans="1:11" ht="12.75" customHeight="1" thickBot="1">
      <c r="A322" s="35"/>
      <c r="B322" s="36"/>
      <c r="C322" s="37" t="str">
        <f>IFERROR(_xlfn.XLOOKUP(B322,MObra[DESCRIPCION],MObra[UN],,0),"")</f>
        <v/>
      </c>
      <c r="D322" s="38"/>
      <c r="E322" s="39" t="str">
        <f>IFERROR(_xlfn.XLOOKUP($B322,MObra[DESCRIPCION],MObra[VALOR UNIT],,0),"")</f>
        <v/>
      </c>
      <c r="F322" s="40"/>
      <c r="G322" s="41" t="str">
        <f>IFERROR(IF(F322&gt;=0,D322*E322*(1+F322/100),ABS(D322*E322/F322)),"")</f>
        <v/>
      </c>
      <c r="H322" s="42" t="str">
        <f>IFERROR(G322*E304,"")</f>
        <v/>
      </c>
    </row>
    <row r="323" spans="1:11" ht="12.75" customHeight="1" thickTop="1" thickBot="1"/>
    <row r="324" spans="1:11" ht="12.75" customHeight="1" thickTop="1" thickBot="1">
      <c r="A324" s="6" t="s">
        <v>2461</v>
      </c>
      <c r="B324" s="7" t="str">
        <f>VLOOKUP($A324,Presupuesto!$A:$D,2,FALSE())</f>
        <v>Baranda tubería principal 1 1/2" (3 hilos)</v>
      </c>
      <c r="C324" s="8" t="str">
        <f>VLOOKUP($A324,Presupuesto!$A:$D,3,FALSE())</f>
        <v>M</v>
      </c>
      <c r="D324" s="9"/>
      <c r="E324" s="10">
        <f>VLOOKUP($A324,Presupuesto!$A:$D,4,FALSE())</f>
        <v>0</v>
      </c>
      <c r="F324" s="11" t="s">
        <v>2589</v>
      </c>
      <c r="G324" s="12">
        <f>SUM(G326:G342)/2</f>
        <v>175062.96684397498</v>
      </c>
      <c r="H324" s="13">
        <f>ROUND(SUM(H326:H342),0)/2</f>
        <v>0</v>
      </c>
      <c r="I324" s="10">
        <f>VLOOKUP(A324,Presupuesto!$A:$F,6,0)</f>
        <v>0</v>
      </c>
      <c r="J324" s="10">
        <f>+H324-I324</f>
        <v>0</v>
      </c>
      <c r="K324" s="46">
        <f>+H324-G324*E324</f>
        <v>0</v>
      </c>
    </row>
    <row r="325" spans="1:11" ht="12.75" customHeight="1" thickTop="1">
      <c r="A325" s="14"/>
      <c r="B325" s="15" t="s">
        <v>2586</v>
      </c>
      <c r="C325" s="15" t="s">
        <v>5</v>
      </c>
      <c r="D325" s="16" t="s">
        <v>6</v>
      </c>
      <c r="E325" s="17" t="s">
        <v>7</v>
      </c>
      <c r="F325" s="18" t="s">
        <v>3728</v>
      </c>
      <c r="G325" s="19" t="s">
        <v>3729</v>
      </c>
      <c r="H325" s="20" t="s">
        <v>3797</v>
      </c>
    </row>
    <row r="326" spans="1:11" ht="12.75" customHeight="1">
      <c r="A326" s="21"/>
      <c r="B326" s="22" t="s">
        <v>3730</v>
      </c>
      <c r="C326" s="23"/>
      <c r="D326" s="24"/>
      <c r="E326" s="25"/>
      <c r="F326" s="26"/>
      <c r="G326" s="27">
        <f>SUM(G327:G331)</f>
        <v>131887.93799999999</v>
      </c>
      <c r="H326" s="27">
        <f>IFERROR(G326*E324,"")</f>
        <v>0</v>
      </c>
    </row>
    <row r="327" spans="1:11" ht="12.75" customHeight="1">
      <c r="A327" s="28"/>
      <c r="B327" s="29" t="s">
        <v>2739</v>
      </c>
      <c r="C327" s="30" t="str">
        <f>IFERROR(_xlfn.XLOOKUP(B327,Insumo[DESCRIPCION],Insumo[UND],,0),"")</f>
        <v>M</v>
      </c>
      <c r="D327" s="31">
        <v>1</v>
      </c>
      <c r="E327" s="32">
        <f>IFERROR(_xlfn.XLOOKUP($B327,Insumo[DESCRIPCION],Insumo[VALOR],,0),"")</f>
        <v>125028.75</v>
      </c>
      <c r="F327" s="33"/>
      <c r="G327" s="34">
        <f>IFERROR(IF(F327&gt;=0,D327*E327*(1+F327/100),ABS(D327*E327/F327)),"")</f>
        <v>125028.75</v>
      </c>
      <c r="H327" s="43">
        <f>IFERROR(G327*E324,"")</f>
        <v>0</v>
      </c>
    </row>
    <row r="328" spans="1:11" ht="12.75" customHeight="1">
      <c r="A328" s="28"/>
      <c r="B328" s="29" t="s">
        <v>2925</v>
      </c>
      <c r="C328" s="30" t="str">
        <f>IFERROR(_xlfn.XLOOKUP(B328,Insumo[DESCRIPCION],Insumo[UND],,0),"")</f>
        <v>Lt</v>
      </c>
      <c r="D328" s="31">
        <v>0.08</v>
      </c>
      <c r="E328" s="32">
        <f>IFERROR(_xlfn.XLOOKUP($B328,Insumo[DESCRIPCION],Insumo[VALOR],,0),"")</f>
        <v>28923.300000000003</v>
      </c>
      <c r="F328" s="33"/>
      <c r="G328" s="34">
        <f>IFERROR(IF(F328&gt;=0,D328*E328*(1+F328/100),ABS(D328*E328/F328)),"")</f>
        <v>2313.8640000000005</v>
      </c>
      <c r="H328" s="43">
        <f>IFERROR(G328*E324,"")</f>
        <v>0</v>
      </c>
    </row>
    <row r="329" spans="1:11" ht="12.75" customHeight="1">
      <c r="A329" s="28"/>
      <c r="B329" s="29" t="s">
        <v>3204</v>
      </c>
      <c r="C329" s="30" t="str">
        <f>IFERROR(_xlfn.XLOOKUP(B329,Insumo[DESCRIPCION],Insumo[UND],,0),"")</f>
        <v>galón</v>
      </c>
      <c r="D329" s="31">
        <v>0.04</v>
      </c>
      <c r="E329" s="32">
        <f>IFERROR(_xlfn.XLOOKUP($B329,Insumo[DESCRIPCION],Insumo[VALOR],,0),"")</f>
        <v>107805.6</v>
      </c>
      <c r="F329" s="33"/>
      <c r="G329" s="34">
        <f>IFERROR(IF(F329&gt;=0,D329*E329*(1+F329/100),ABS(D329*E329/F329)),"")</f>
        <v>4312.2240000000002</v>
      </c>
      <c r="H329" s="43">
        <f>IFERROR(G329*E324,"")</f>
        <v>0</v>
      </c>
    </row>
    <row r="330" spans="1:11" ht="12.75" customHeight="1">
      <c r="A330" s="28"/>
      <c r="B330" s="29" t="s">
        <v>3407</v>
      </c>
      <c r="C330" s="30" t="str">
        <f>IFERROR(_xlfn.XLOOKUP(B330,Insumo[DESCRIPCION],Insumo[UND],,0),"")</f>
        <v>Un</v>
      </c>
      <c r="D330" s="31">
        <v>3</v>
      </c>
      <c r="E330" s="32">
        <f>IFERROR(_xlfn.XLOOKUP($B330,Insumo[DESCRIPCION],Insumo[VALOR],,0),"")</f>
        <v>77.7</v>
      </c>
      <c r="F330" s="33"/>
      <c r="G330" s="34">
        <f>IFERROR(IF(F330&gt;=0,D330*E330*(1+F330/100),ABS(D330*E330/F330)),"")</f>
        <v>233.10000000000002</v>
      </c>
      <c r="H330" s="43">
        <f>IFERROR(G330*E324,"")</f>
        <v>0</v>
      </c>
    </row>
    <row r="331" spans="1:11" ht="12.75" customHeight="1">
      <c r="A331" s="28"/>
      <c r="B331" s="29"/>
      <c r="C331" s="30" t="str">
        <f>IFERROR(_xlfn.XLOOKUP(B331,Insumo[DESCRIPCION],Insumo[UND],,0),"")</f>
        <v/>
      </c>
      <c r="D331" s="31"/>
      <c r="E331" s="32" t="str">
        <f>IFERROR(_xlfn.XLOOKUP($B331,Insumo[DESCRIPCION],Insumo[VALOR],,0),"")</f>
        <v/>
      </c>
      <c r="F331" s="33"/>
      <c r="G331" s="34" t="str">
        <f>IFERROR(IF(F331&gt;=0,D331*E331*(1+F331/100),ABS(D331*E331/F331)),"")</f>
        <v/>
      </c>
      <c r="H331" s="43" t="str">
        <f>IFERROR(G331*E324,"")</f>
        <v/>
      </c>
    </row>
    <row r="332" spans="1:11" ht="12.75" customHeight="1">
      <c r="A332" s="21"/>
      <c r="B332" s="22" t="s">
        <v>3731</v>
      </c>
      <c r="C332" s="23"/>
      <c r="D332" s="24"/>
      <c r="E332" s="25"/>
      <c r="F332" s="26"/>
      <c r="G332" s="27">
        <f>SUM(G333:G335)</f>
        <v>11735.953754475</v>
      </c>
      <c r="H332" s="44">
        <f>G332*E324</f>
        <v>0</v>
      </c>
    </row>
    <row r="333" spans="1:11" ht="12.75" customHeight="1">
      <c r="A333" s="28"/>
      <c r="B333" s="29" t="s">
        <v>3654</v>
      </c>
      <c r="C333" s="30" t="str">
        <f>IFERROR(_xlfn.XLOOKUP(B333,Equipo[DESCRIPCION],Equipo[UND],,0),"")</f>
        <v>Día</v>
      </c>
      <c r="D333" s="31">
        <v>1</v>
      </c>
      <c r="E333" s="32">
        <f>IF(C333="%MO",G339,IFERROR(_xlfn.XLOOKUP($B333,Equipo[DESCRIPCION],Equipo[VALOR],,0),""))</f>
        <v>101640</v>
      </c>
      <c r="F333" s="33">
        <v>-10</v>
      </c>
      <c r="G333" s="34">
        <f>IFERROR(IF(F333&gt;=0,D333*E333*(1+F333/100),ABS(D333*E333/F333)),"")</f>
        <v>10164</v>
      </c>
      <c r="H333" s="43">
        <f>IFERROR(G333*E324,"")</f>
        <v>0</v>
      </c>
    </row>
    <row r="334" spans="1:11" ht="12.75" customHeight="1">
      <c r="A334" s="28"/>
      <c r="B334" s="29" t="s">
        <v>3626</v>
      </c>
      <c r="C334" s="30" t="str">
        <f>IFERROR(_xlfn.XLOOKUP(B334,Equipo[DESCRIPCION],Equipo[UND],,0),"")</f>
        <v>%MO</v>
      </c>
      <c r="D334" s="31">
        <v>0.05</v>
      </c>
      <c r="E334" s="32">
        <f>IF(C334="%MO",G339,IFERROR(_xlfn.XLOOKUP($B334,Equipo[DESCRIPCION],Equipo[VALOR],,0),""))</f>
        <v>31439.075089500006</v>
      </c>
      <c r="F334" s="33"/>
      <c r="G334" s="34">
        <f>IFERROR(IF(F334&gt;=0,D334*E334*(1+F334/100),ABS(D334*E334/F334)),"")</f>
        <v>1571.9537544750003</v>
      </c>
      <c r="H334" s="43">
        <f>IFERROR(G334*E324,"")</f>
        <v>0</v>
      </c>
    </row>
    <row r="335" spans="1:11" ht="12.75" customHeight="1">
      <c r="A335" s="28"/>
      <c r="B335" s="29"/>
      <c r="C335" s="30" t="str">
        <f>IFERROR(_xlfn.XLOOKUP(B335,Equipo[DESCRIPCION],Equipo[UND],,0),"")</f>
        <v/>
      </c>
      <c r="D335" s="31"/>
      <c r="E335" s="32" t="str">
        <f>IF(C335="%MO",G339,IFERROR(_xlfn.XLOOKUP($B335,Equipo[DESCRIPCION],Equipo[VALOR],,0),""))</f>
        <v/>
      </c>
      <c r="F335" s="33"/>
      <c r="G335" s="34" t="str">
        <f>IFERROR(IF(F335&gt;=0,D335*E335*(1+F335/100),ABS(D335*E335/F335)),"")</f>
        <v/>
      </c>
      <c r="H335" s="43" t="str">
        <f>IFERROR(G335*E324,"")</f>
        <v/>
      </c>
    </row>
    <row r="336" spans="1:11" ht="12.75" customHeight="1">
      <c r="A336" s="21"/>
      <c r="B336" s="22" t="s">
        <v>2533</v>
      </c>
      <c r="C336" s="23"/>
      <c r="D336" s="24"/>
      <c r="E336" s="25"/>
      <c r="F336" s="26"/>
      <c r="G336" s="27">
        <f>SUM(G337:G338)</f>
        <v>0</v>
      </c>
      <c r="H336" s="44">
        <f>G336*E324</f>
        <v>0</v>
      </c>
    </row>
    <row r="337" spans="1:11" ht="12.75" customHeight="1">
      <c r="A337" s="28"/>
      <c r="B337" s="29"/>
      <c r="C337" s="30" t="str">
        <f>IFERROR(_xlfn.XLOOKUP(B337,Transporte[DESCRIPCION],Transporte[UND],,0),"")</f>
        <v/>
      </c>
      <c r="D337" s="31"/>
      <c r="E337" s="32" t="str">
        <f>IFERROR(_xlfn.XLOOKUP($B337,Transporte[DESCRIPCION],Transporte[VALOR],,0),"")</f>
        <v/>
      </c>
      <c r="F337" s="33"/>
      <c r="G337" s="34" t="str">
        <f>IFERROR(IF(F337&gt;=0,D337*E337*(1+F337/100),ABS(D337*E337/F337)),"")</f>
        <v/>
      </c>
      <c r="H337" s="43" t="str">
        <f>IFERROR(G337*E324,"")</f>
        <v/>
      </c>
    </row>
    <row r="338" spans="1:11" ht="12.75" customHeight="1">
      <c r="A338" s="28"/>
      <c r="B338" s="29"/>
      <c r="C338" s="30" t="str">
        <f>IFERROR(_xlfn.XLOOKUP(B338,Transporte[DESCRIPCION],Transporte[UND],,0),"")</f>
        <v/>
      </c>
      <c r="D338" s="31"/>
      <c r="E338" s="32" t="str">
        <f>IFERROR(_xlfn.XLOOKUP($B338,Transporte[DESCRIPCION],Transporte[VALOR],,0),"")</f>
        <v/>
      </c>
      <c r="F338" s="33"/>
      <c r="G338" s="34" t="str">
        <f>IFERROR(IF(F338&gt;=0,D338*E338*(1+F338/100),ABS(D338*E338/F338)),"")</f>
        <v/>
      </c>
      <c r="H338" s="43" t="str">
        <f>IFERROR(G338*E324,"")</f>
        <v/>
      </c>
    </row>
    <row r="339" spans="1:11" ht="12.75" customHeight="1">
      <c r="A339" s="21"/>
      <c r="B339" s="22" t="s">
        <v>3732</v>
      </c>
      <c r="C339" s="23"/>
      <c r="D339" s="24"/>
      <c r="E339" s="25"/>
      <c r="F339" s="26"/>
      <c r="G339" s="27">
        <f>SUM(G340:G342)</f>
        <v>31439.075089500006</v>
      </c>
      <c r="H339" s="44">
        <f>G339*E324</f>
        <v>0</v>
      </c>
    </row>
    <row r="340" spans="1:11" ht="12.75" customHeight="1">
      <c r="A340" s="28"/>
      <c r="B340" s="29" t="s">
        <v>3710</v>
      </c>
      <c r="C340" s="30" t="str">
        <f>IFERROR(_xlfn.XLOOKUP(B340,MObra[DESCRIPCION],MObra[UN],,0),"")</f>
        <v>día</v>
      </c>
      <c r="D340" s="31">
        <v>1</v>
      </c>
      <c r="E340" s="32">
        <f>IFERROR(_xlfn.XLOOKUP($B340,MObra[DESCRIPCION],MObra[VALOR UNIT],,0),"")</f>
        <v>314390.75089500006</v>
      </c>
      <c r="F340" s="33">
        <v>-10</v>
      </c>
      <c r="G340" s="34">
        <f>IFERROR(IF(F340&gt;=0,D340*E340*(1+F340/100),ABS(D340*E340/F340)),"")</f>
        <v>31439.075089500006</v>
      </c>
      <c r="H340" s="43">
        <f>IFERROR(G340*E324,"")</f>
        <v>0</v>
      </c>
    </row>
    <row r="341" spans="1:11" ht="12.75" customHeight="1">
      <c r="A341" s="28"/>
      <c r="B341" s="29"/>
      <c r="C341" s="30" t="str">
        <f>IFERROR(_xlfn.XLOOKUP(B341,MObra[DESCRIPCION],MObra[UN],,0),"")</f>
        <v/>
      </c>
      <c r="D341" s="31"/>
      <c r="E341" s="32" t="str">
        <f>IFERROR(_xlfn.XLOOKUP($B341,MObra[DESCRIPCION],MObra[VALOR UNIT],,0),"")</f>
        <v/>
      </c>
      <c r="F341" s="33"/>
      <c r="G341" s="34" t="str">
        <f>IFERROR(IF(F341&gt;=0,D341*E341*(1+F341/100),ABS(D341*E341/F341)),"")</f>
        <v/>
      </c>
      <c r="H341" s="43" t="str">
        <f>IFERROR(G341*E324,"")</f>
        <v/>
      </c>
    </row>
    <row r="342" spans="1:11" ht="12.75" customHeight="1" thickBot="1">
      <c r="A342" s="35"/>
      <c r="B342" s="36"/>
      <c r="C342" s="37" t="str">
        <f>IFERROR(_xlfn.XLOOKUP(B342,MObra[DESCRIPCION],MObra[UN],,0),"")</f>
        <v/>
      </c>
      <c r="D342" s="38"/>
      <c r="E342" s="39" t="str">
        <f>IFERROR(_xlfn.XLOOKUP($B342,MObra[DESCRIPCION],MObra[VALOR UNIT],,0),"")</f>
        <v/>
      </c>
      <c r="F342" s="40"/>
      <c r="G342" s="41" t="str">
        <f>IFERROR(IF(F342&gt;=0,D342*E342*(1+F342/100),ABS(D342*E342/F342)),"")</f>
        <v/>
      </c>
      <c r="H342" s="42" t="str">
        <f>IFERROR(G342*E324,"")</f>
        <v/>
      </c>
    </row>
    <row r="343" spans="1:11" ht="12.75" customHeight="1" thickTop="1" thickBot="1"/>
    <row r="344" spans="1:11" ht="12.75" customHeight="1" thickTop="1" thickBot="1">
      <c r="A344" s="6" t="s">
        <v>2463</v>
      </c>
      <c r="B344" s="7" t="str">
        <f>VLOOKUP($A344,Presupuesto!$A:$D,2,FALSE())</f>
        <v>Baranda tubular principal 2" (3 hilos)</v>
      </c>
      <c r="C344" s="8" t="str">
        <f>VLOOKUP($A344,Presupuesto!$A:$D,3,FALSE())</f>
        <v>M</v>
      </c>
      <c r="D344" s="9"/>
      <c r="E344" s="10">
        <f>VLOOKUP($A344,Presupuesto!$A:$D,4,FALSE())</f>
        <v>0</v>
      </c>
      <c r="F344" s="11" t="s">
        <v>2589</v>
      </c>
      <c r="G344" s="12">
        <f>SUM(G346:G362)/2</f>
        <v>222184.48884397498</v>
      </c>
      <c r="H344" s="13">
        <f>ROUND(SUM(H346:H362),0)/2</f>
        <v>0</v>
      </c>
      <c r="I344" s="10">
        <f>VLOOKUP(A344,Presupuesto!$A:$F,6,0)</f>
        <v>0</v>
      </c>
      <c r="J344" s="10">
        <f>+H344-I344</f>
        <v>0</v>
      </c>
      <c r="K344" s="46">
        <f>+H344-G344*E344</f>
        <v>0</v>
      </c>
    </row>
    <row r="345" spans="1:11" ht="12.75" customHeight="1" thickTop="1">
      <c r="A345" s="14"/>
      <c r="B345" s="15" t="s">
        <v>2586</v>
      </c>
      <c r="C345" s="15" t="s">
        <v>5</v>
      </c>
      <c r="D345" s="16" t="s">
        <v>6</v>
      </c>
      <c r="E345" s="17" t="s">
        <v>7</v>
      </c>
      <c r="F345" s="18" t="s">
        <v>3728</v>
      </c>
      <c r="G345" s="19" t="s">
        <v>3729</v>
      </c>
      <c r="H345" s="20" t="s">
        <v>3797</v>
      </c>
    </row>
    <row r="346" spans="1:11" ht="12.75" customHeight="1">
      <c r="A346" s="21"/>
      <c r="B346" s="22" t="s">
        <v>3730</v>
      </c>
      <c r="C346" s="23"/>
      <c r="D346" s="24"/>
      <c r="E346" s="25"/>
      <c r="F346" s="26"/>
      <c r="G346" s="27">
        <f>SUM(G347:G351)</f>
        <v>179009.46</v>
      </c>
      <c r="H346" s="27">
        <f>IFERROR(G346*E344,"")</f>
        <v>0</v>
      </c>
    </row>
    <row r="347" spans="1:11" ht="12.75" customHeight="1">
      <c r="A347" s="28"/>
      <c r="B347" s="29" t="s">
        <v>2740</v>
      </c>
      <c r="C347" s="30" t="str">
        <f>IFERROR(_xlfn.XLOOKUP(B347,Insumo[DESCRIPCION],Insumo[UND],,0),"")</f>
        <v>M</v>
      </c>
      <c r="D347" s="31">
        <v>1</v>
      </c>
      <c r="E347" s="32">
        <f>IFERROR(_xlfn.XLOOKUP($B347,Insumo[DESCRIPCION],Insumo[VALOR],,0),"")</f>
        <v>170493.75</v>
      </c>
      <c r="F347" s="33"/>
      <c r="G347" s="34">
        <f>IFERROR(IF(F347&gt;=0,D347*E347*(1+F347/100),ABS(D347*E347/F347)),"")</f>
        <v>170493.75</v>
      </c>
      <c r="H347" s="43">
        <f>IFERROR(G347*E344,"")</f>
        <v>0</v>
      </c>
    </row>
    <row r="348" spans="1:11" ht="12.75" customHeight="1">
      <c r="A348" s="28"/>
      <c r="B348" s="29" t="s">
        <v>2925</v>
      </c>
      <c r="C348" s="30" t="str">
        <f>IFERROR(_xlfn.XLOOKUP(B348,Insumo[DESCRIPCION],Insumo[UND],,0),"")</f>
        <v>Lt</v>
      </c>
      <c r="D348" s="31">
        <v>0.1</v>
      </c>
      <c r="E348" s="32">
        <f>IFERROR(_xlfn.XLOOKUP($B348,Insumo[DESCRIPCION],Insumo[VALOR],,0),"")</f>
        <v>28923.300000000003</v>
      </c>
      <c r="F348" s="33"/>
      <c r="G348" s="34">
        <f>IFERROR(IF(F348&gt;=0,D348*E348*(1+F348/100),ABS(D348*E348/F348)),"")</f>
        <v>2892.3300000000004</v>
      </c>
      <c r="H348" s="43">
        <f>IFERROR(G348*E344,"")</f>
        <v>0</v>
      </c>
    </row>
    <row r="349" spans="1:11" ht="12.75" customHeight="1">
      <c r="A349" s="28"/>
      <c r="B349" s="29" t="s">
        <v>3204</v>
      </c>
      <c r="C349" s="30" t="str">
        <f>IFERROR(_xlfn.XLOOKUP(B349,Insumo[DESCRIPCION],Insumo[UND],,0),"")</f>
        <v>galón</v>
      </c>
      <c r="D349" s="31">
        <v>0.05</v>
      </c>
      <c r="E349" s="32">
        <f>IFERROR(_xlfn.XLOOKUP($B349,Insumo[DESCRIPCION],Insumo[VALOR],,0),"")</f>
        <v>107805.6</v>
      </c>
      <c r="F349" s="33"/>
      <c r="G349" s="34">
        <f>IFERROR(IF(F349&gt;=0,D349*E349*(1+F349/100),ABS(D349*E349/F349)),"")</f>
        <v>5390.2800000000007</v>
      </c>
      <c r="H349" s="43">
        <f>IFERROR(G349*E344,"")</f>
        <v>0</v>
      </c>
    </row>
    <row r="350" spans="1:11" ht="12.75" customHeight="1">
      <c r="A350" s="28"/>
      <c r="B350" s="29" t="s">
        <v>3407</v>
      </c>
      <c r="C350" s="30" t="str">
        <f>IFERROR(_xlfn.XLOOKUP(B350,Insumo[DESCRIPCION],Insumo[UND],,0),"")</f>
        <v>Un</v>
      </c>
      <c r="D350" s="31">
        <v>3</v>
      </c>
      <c r="E350" s="32">
        <f>IFERROR(_xlfn.XLOOKUP($B350,Insumo[DESCRIPCION],Insumo[VALOR],,0),"")</f>
        <v>77.7</v>
      </c>
      <c r="F350" s="33"/>
      <c r="G350" s="34">
        <f>IFERROR(IF(F350&gt;=0,D350*E350*(1+F350/100),ABS(D350*E350/F350)),"")</f>
        <v>233.10000000000002</v>
      </c>
      <c r="H350" s="43">
        <f>IFERROR(G350*E344,"")</f>
        <v>0</v>
      </c>
    </row>
    <row r="351" spans="1:11" ht="12.75" customHeight="1">
      <c r="A351" s="28"/>
      <c r="B351" s="29"/>
      <c r="C351" s="30" t="str">
        <f>IFERROR(_xlfn.XLOOKUP(B351,Insumo[DESCRIPCION],Insumo[UND],,0),"")</f>
        <v/>
      </c>
      <c r="D351" s="31"/>
      <c r="E351" s="32" t="str">
        <f>IFERROR(_xlfn.XLOOKUP($B351,Insumo[DESCRIPCION],Insumo[VALOR],,0),"")</f>
        <v/>
      </c>
      <c r="F351" s="33"/>
      <c r="G351" s="34" t="str">
        <f>IFERROR(IF(F351&gt;=0,D351*E351*(1+F351/100),ABS(D351*E351/F351)),"")</f>
        <v/>
      </c>
      <c r="H351" s="43" t="str">
        <f>IFERROR(G351*E344,"")</f>
        <v/>
      </c>
    </row>
    <row r="352" spans="1:11" ht="12.75" customHeight="1">
      <c r="A352" s="21"/>
      <c r="B352" s="22" t="s">
        <v>3731</v>
      </c>
      <c r="C352" s="23"/>
      <c r="D352" s="24"/>
      <c r="E352" s="25"/>
      <c r="F352" s="26"/>
      <c r="G352" s="27">
        <f>SUM(G353:G355)</f>
        <v>11735.953754475</v>
      </c>
      <c r="H352" s="44">
        <f>G352*E344</f>
        <v>0</v>
      </c>
    </row>
    <row r="353" spans="1:11" ht="12.75" customHeight="1">
      <c r="A353" s="28"/>
      <c r="B353" s="29" t="s">
        <v>3654</v>
      </c>
      <c r="C353" s="30" t="str">
        <f>IFERROR(_xlfn.XLOOKUP(B353,Equipo[DESCRIPCION],Equipo[UND],,0),"")</f>
        <v>Día</v>
      </c>
      <c r="D353" s="31">
        <v>1</v>
      </c>
      <c r="E353" s="32">
        <f>IF(C353="%MO",G359,IFERROR(_xlfn.XLOOKUP($B353,Equipo[DESCRIPCION],Equipo[VALOR],,0),""))</f>
        <v>101640</v>
      </c>
      <c r="F353" s="33">
        <v>-10</v>
      </c>
      <c r="G353" s="34">
        <f>IFERROR(IF(F353&gt;=0,D353*E353*(1+F353/100),ABS(D353*E353/F353)),"")</f>
        <v>10164</v>
      </c>
      <c r="H353" s="43">
        <f>IFERROR(G353*E344,"")</f>
        <v>0</v>
      </c>
    </row>
    <row r="354" spans="1:11" ht="12.75" customHeight="1">
      <c r="A354" s="28"/>
      <c r="B354" s="29" t="s">
        <v>3626</v>
      </c>
      <c r="C354" s="30" t="str">
        <f>IFERROR(_xlfn.XLOOKUP(B354,Equipo[DESCRIPCION],Equipo[UND],,0),"")</f>
        <v>%MO</v>
      </c>
      <c r="D354" s="31">
        <v>0.05</v>
      </c>
      <c r="E354" s="32">
        <f>IF(C354="%MO",G359,IFERROR(_xlfn.XLOOKUP($B354,Equipo[DESCRIPCION],Equipo[VALOR],,0),""))</f>
        <v>31439.075089500006</v>
      </c>
      <c r="F354" s="33"/>
      <c r="G354" s="34">
        <f>IFERROR(IF(F354&gt;=0,D354*E354*(1+F354/100),ABS(D354*E354/F354)),"")</f>
        <v>1571.9537544750003</v>
      </c>
      <c r="H354" s="43">
        <f>IFERROR(G354*E344,"")</f>
        <v>0</v>
      </c>
    </row>
    <row r="355" spans="1:11" ht="12.75" customHeight="1">
      <c r="A355" s="28"/>
      <c r="B355" s="29"/>
      <c r="C355" s="30" t="str">
        <f>IFERROR(_xlfn.XLOOKUP(B355,Equipo[DESCRIPCION],Equipo[UND],,0),"")</f>
        <v/>
      </c>
      <c r="D355" s="31"/>
      <c r="E355" s="32" t="str">
        <f>IF(C355="%MO",G359,IFERROR(_xlfn.XLOOKUP($B355,Equipo[DESCRIPCION],Equipo[VALOR],,0),""))</f>
        <v/>
      </c>
      <c r="F355" s="33"/>
      <c r="G355" s="34" t="str">
        <f>IFERROR(IF(F355&gt;=0,D355*E355*(1+F355/100),ABS(D355*E355/F355)),"")</f>
        <v/>
      </c>
      <c r="H355" s="43" t="str">
        <f>IFERROR(G355*E344,"")</f>
        <v/>
      </c>
    </row>
    <row r="356" spans="1:11" ht="12.75" customHeight="1">
      <c r="A356" s="21"/>
      <c r="B356" s="22" t="s">
        <v>2533</v>
      </c>
      <c r="C356" s="23"/>
      <c r="D356" s="24"/>
      <c r="E356" s="25"/>
      <c r="F356" s="26"/>
      <c r="G356" s="27">
        <f>SUM(G357:G358)</f>
        <v>0</v>
      </c>
      <c r="H356" s="44">
        <f>G356*E344</f>
        <v>0</v>
      </c>
    </row>
    <row r="357" spans="1:11" ht="12.75" customHeight="1">
      <c r="A357" s="28"/>
      <c r="B357" s="29"/>
      <c r="C357" s="30" t="str">
        <f>IFERROR(_xlfn.XLOOKUP(B357,Transporte[DESCRIPCION],Transporte[UND],,0),"")</f>
        <v/>
      </c>
      <c r="D357" s="31"/>
      <c r="E357" s="32" t="str">
        <f>IFERROR(_xlfn.XLOOKUP($B357,Transporte[DESCRIPCION],Transporte[VALOR],,0),"")</f>
        <v/>
      </c>
      <c r="F357" s="33"/>
      <c r="G357" s="34" t="str">
        <f>IFERROR(IF(F357&gt;=0,D357*E357*(1+F357/100),ABS(D357*E357/F357)),"")</f>
        <v/>
      </c>
      <c r="H357" s="43" t="str">
        <f>IFERROR(G357*E344,"")</f>
        <v/>
      </c>
    </row>
    <row r="358" spans="1:11" ht="12.75" customHeight="1">
      <c r="A358" s="28"/>
      <c r="B358" s="29"/>
      <c r="C358" s="30" t="str">
        <f>IFERROR(_xlfn.XLOOKUP(B358,Transporte[DESCRIPCION],Transporte[UND],,0),"")</f>
        <v/>
      </c>
      <c r="D358" s="31"/>
      <c r="E358" s="32" t="str">
        <f>IFERROR(_xlfn.XLOOKUP($B358,Transporte[DESCRIPCION],Transporte[VALOR],,0),"")</f>
        <v/>
      </c>
      <c r="F358" s="33"/>
      <c r="G358" s="34" t="str">
        <f>IFERROR(IF(F358&gt;=0,D358*E358*(1+F358/100),ABS(D358*E358/F358)),"")</f>
        <v/>
      </c>
      <c r="H358" s="43" t="str">
        <f>IFERROR(G358*E344,"")</f>
        <v/>
      </c>
    </row>
    <row r="359" spans="1:11" ht="12.75" customHeight="1">
      <c r="A359" s="21"/>
      <c r="B359" s="22" t="s">
        <v>3732</v>
      </c>
      <c r="C359" s="23"/>
      <c r="D359" s="24"/>
      <c r="E359" s="25"/>
      <c r="F359" s="26"/>
      <c r="G359" s="27">
        <f>SUM(G360:G362)</f>
        <v>31439.075089500006</v>
      </c>
      <c r="H359" s="44">
        <f>G359*E344</f>
        <v>0</v>
      </c>
    </row>
    <row r="360" spans="1:11" ht="12.75" customHeight="1">
      <c r="A360" s="28"/>
      <c r="B360" s="29" t="s">
        <v>3710</v>
      </c>
      <c r="C360" s="30" t="str">
        <f>IFERROR(_xlfn.XLOOKUP(B360,MObra[DESCRIPCION],MObra[UN],,0),"")</f>
        <v>día</v>
      </c>
      <c r="D360" s="31">
        <v>1</v>
      </c>
      <c r="E360" s="32">
        <f>IFERROR(_xlfn.XLOOKUP($B360,MObra[DESCRIPCION],MObra[VALOR UNIT],,0),"")</f>
        <v>314390.75089500006</v>
      </c>
      <c r="F360" s="33">
        <v>-10</v>
      </c>
      <c r="G360" s="34">
        <f>IFERROR(IF(F360&gt;=0,D360*E360*(1+F360/100),ABS(D360*E360/F360)),"")</f>
        <v>31439.075089500006</v>
      </c>
      <c r="H360" s="43">
        <f>IFERROR(G360*E344,"")</f>
        <v>0</v>
      </c>
    </row>
    <row r="361" spans="1:11" ht="12.75" customHeight="1">
      <c r="A361" s="28"/>
      <c r="B361" s="29"/>
      <c r="C361" s="30" t="str">
        <f>IFERROR(_xlfn.XLOOKUP(B361,MObra[DESCRIPCION],MObra[UN],,0),"")</f>
        <v/>
      </c>
      <c r="D361" s="31"/>
      <c r="E361" s="32" t="str">
        <f>IFERROR(_xlfn.XLOOKUP($B361,MObra[DESCRIPCION],MObra[VALOR UNIT],,0),"")</f>
        <v/>
      </c>
      <c r="F361" s="33"/>
      <c r="G361" s="34" t="str">
        <f>IFERROR(IF(F361&gt;=0,D361*E361*(1+F361/100),ABS(D361*E361/F361)),"")</f>
        <v/>
      </c>
      <c r="H361" s="43" t="str">
        <f>IFERROR(G361*E344,"")</f>
        <v/>
      </c>
    </row>
    <row r="362" spans="1:11" ht="12.75" customHeight="1" thickBot="1">
      <c r="A362" s="35"/>
      <c r="B362" s="36"/>
      <c r="C362" s="37" t="str">
        <f>IFERROR(_xlfn.XLOOKUP(B362,MObra[DESCRIPCION],MObra[UN],,0),"")</f>
        <v/>
      </c>
      <c r="D362" s="38"/>
      <c r="E362" s="39" t="str">
        <f>IFERROR(_xlfn.XLOOKUP($B362,MObra[DESCRIPCION],MObra[VALOR UNIT],,0),"")</f>
        <v/>
      </c>
      <c r="F362" s="40"/>
      <c r="G362" s="41" t="str">
        <f>IFERROR(IF(F362&gt;=0,D362*E362*(1+F362/100),ABS(D362*E362/F362)),"")</f>
        <v/>
      </c>
      <c r="H362" s="42" t="str">
        <f>IFERROR(G362*E344,"")</f>
        <v/>
      </c>
    </row>
    <row r="363" spans="1:11" ht="12.75" customHeight="1" thickTop="1" thickBot="1"/>
    <row r="364" spans="1:11" ht="12.75" customHeight="1" thickTop="1" thickBot="1">
      <c r="A364" s="6" t="s">
        <v>2465</v>
      </c>
      <c r="B364" s="7" t="str">
        <f>VLOOKUP($A364,Presupuesto!$A:$D,2,FALSE())</f>
        <v>Baranda tubular principal 2" (4 hilos)</v>
      </c>
      <c r="C364" s="8" t="str">
        <f>VLOOKUP($A364,Presupuesto!$A:$D,3,FALSE())</f>
        <v>M</v>
      </c>
      <c r="D364" s="9"/>
      <c r="E364" s="10">
        <f>VLOOKUP($A364,Presupuesto!$A:$D,4,FALSE())</f>
        <v>0</v>
      </c>
      <c r="F364" s="11" t="s">
        <v>2589</v>
      </c>
      <c r="G364" s="12">
        <f>SUM(G366:G382)/2</f>
        <v>252257.16084397497</v>
      </c>
      <c r="H364" s="13">
        <f>ROUND(SUM(H366:H382),0)/2</f>
        <v>0</v>
      </c>
      <c r="I364" s="10">
        <f>VLOOKUP(A364,Presupuesto!$A:$F,6,0)</f>
        <v>0</v>
      </c>
      <c r="J364" s="10">
        <f>+H364-I364</f>
        <v>0</v>
      </c>
      <c r="K364" s="46">
        <f>+H364-G364*E364</f>
        <v>0</v>
      </c>
    </row>
    <row r="365" spans="1:11" ht="12.75" customHeight="1" thickTop="1">
      <c r="A365" s="14"/>
      <c r="B365" s="15" t="s">
        <v>2586</v>
      </c>
      <c r="C365" s="15" t="s">
        <v>5</v>
      </c>
      <c r="D365" s="16" t="s">
        <v>6</v>
      </c>
      <c r="E365" s="17" t="s">
        <v>7</v>
      </c>
      <c r="F365" s="18" t="s">
        <v>3728</v>
      </c>
      <c r="G365" s="19" t="s">
        <v>3729</v>
      </c>
      <c r="H365" s="20" t="s">
        <v>3797</v>
      </c>
    </row>
    <row r="366" spans="1:11" ht="12.75" customHeight="1">
      <c r="A366" s="21"/>
      <c r="B366" s="22" t="s">
        <v>3730</v>
      </c>
      <c r="C366" s="23"/>
      <c r="D366" s="24"/>
      <c r="E366" s="25"/>
      <c r="F366" s="26"/>
      <c r="G366" s="27">
        <f>SUM(G367:G371)</f>
        <v>209082.13200000001</v>
      </c>
      <c r="H366" s="27">
        <f>IFERROR(G366*E364,"")</f>
        <v>0</v>
      </c>
    </row>
    <row r="367" spans="1:11" ht="12.75" customHeight="1">
      <c r="A367" s="28"/>
      <c r="B367" s="29" t="s">
        <v>2741</v>
      </c>
      <c r="C367" s="30" t="str">
        <f>IFERROR(_xlfn.XLOOKUP(B367,Insumo[DESCRIPCION],Insumo[UND],,0),"")</f>
        <v>M</v>
      </c>
      <c r="D367" s="31">
        <v>1</v>
      </c>
      <c r="E367" s="32">
        <f>IFERROR(_xlfn.XLOOKUP($B367,Insumo[DESCRIPCION],Insumo[VALOR],,0),"")</f>
        <v>198909.9</v>
      </c>
      <c r="F367" s="33"/>
      <c r="G367" s="34">
        <f>IFERROR(IF(F367&gt;=0,D367*E367*(1+F367/100),ABS(D367*E367/F367)),"")</f>
        <v>198909.9</v>
      </c>
      <c r="H367" s="43">
        <f>IFERROR(G367*E364,"")</f>
        <v>0</v>
      </c>
    </row>
    <row r="368" spans="1:11" ht="12.75" customHeight="1">
      <c r="A368" s="28"/>
      <c r="B368" s="29" t="s">
        <v>2925</v>
      </c>
      <c r="C368" s="30" t="str">
        <f>IFERROR(_xlfn.XLOOKUP(B368,Insumo[DESCRIPCION],Insumo[UND],,0),"")</f>
        <v>Lt</v>
      </c>
      <c r="D368" s="31">
        <v>0.12</v>
      </c>
      <c r="E368" s="32">
        <f>IFERROR(_xlfn.XLOOKUP($B368,Insumo[DESCRIPCION],Insumo[VALOR],,0),"")</f>
        <v>28923.300000000003</v>
      </c>
      <c r="F368" s="33"/>
      <c r="G368" s="34">
        <f>IFERROR(IF(F368&gt;=0,D368*E368*(1+F368/100),ABS(D368*E368/F368)),"")</f>
        <v>3470.7960000000003</v>
      </c>
      <c r="H368" s="43">
        <f>IFERROR(G368*E364,"")</f>
        <v>0</v>
      </c>
    </row>
    <row r="369" spans="1:11" ht="12.75" customHeight="1">
      <c r="A369" s="28"/>
      <c r="B369" s="29" t="s">
        <v>3204</v>
      </c>
      <c r="C369" s="30" t="str">
        <f>IFERROR(_xlfn.XLOOKUP(B369,Insumo[DESCRIPCION],Insumo[UND],,0),"")</f>
        <v>galón</v>
      </c>
      <c r="D369" s="31">
        <v>0.06</v>
      </c>
      <c r="E369" s="32">
        <f>IFERROR(_xlfn.XLOOKUP($B369,Insumo[DESCRIPCION],Insumo[VALOR],,0),"")</f>
        <v>107805.6</v>
      </c>
      <c r="F369" s="33"/>
      <c r="G369" s="34">
        <f>IFERROR(IF(F369&gt;=0,D369*E369*(1+F369/100),ABS(D369*E369/F369)),"")</f>
        <v>6468.3360000000002</v>
      </c>
      <c r="H369" s="43">
        <f>IFERROR(G369*E364,"")</f>
        <v>0</v>
      </c>
    </row>
    <row r="370" spans="1:11" ht="12.75" customHeight="1">
      <c r="A370" s="28"/>
      <c r="B370" s="29" t="s">
        <v>3407</v>
      </c>
      <c r="C370" s="30" t="str">
        <f>IFERROR(_xlfn.XLOOKUP(B370,Insumo[DESCRIPCION],Insumo[UND],,0),"")</f>
        <v>Un</v>
      </c>
      <c r="D370" s="31">
        <v>3</v>
      </c>
      <c r="E370" s="32">
        <f>IFERROR(_xlfn.XLOOKUP($B370,Insumo[DESCRIPCION],Insumo[VALOR],,0),"")</f>
        <v>77.7</v>
      </c>
      <c r="F370" s="33"/>
      <c r="G370" s="34">
        <f>IFERROR(IF(F370&gt;=0,D370*E370*(1+F370/100),ABS(D370*E370/F370)),"")</f>
        <v>233.10000000000002</v>
      </c>
      <c r="H370" s="43">
        <f>IFERROR(G370*E364,"")</f>
        <v>0</v>
      </c>
    </row>
    <row r="371" spans="1:11" ht="12.75" customHeight="1">
      <c r="A371" s="28"/>
      <c r="B371" s="29"/>
      <c r="C371" s="30" t="str">
        <f>IFERROR(_xlfn.XLOOKUP(B371,Insumo[DESCRIPCION],Insumo[UND],,0),"")</f>
        <v/>
      </c>
      <c r="D371" s="31"/>
      <c r="E371" s="32" t="str">
        <f>IFERROR(_xlfn.XLOOKUP($B371,Insumo[DESCRIPCION],Insumo[VALOR],,0),"")</f>
        <v/>
      </c>
      <c r="F371" s="33"/>
      <c r="G371" s="34" t="str">
        <f>IFERROR(IF(F371&gt;=0,D371*E371*(1+F371/100),ABS(D371*E371/F371)),"")</f>
        <v/>
      </c>
      <c r="H371" s="43" t="str">
        <f>IFERROR(G371*E364,"")</f>
        <v/>
      </c>
    </row>
    <row r="372" spans="1:11" ht="12.75" customHeight="1">
      <c r="A372" s="21"/>
      <c r="B372" s="22" t="s">
        <v>3731</v>
      </c>
      <c r="C372" s="23"/>
      <c r="D372" s="24"/>
      <c r="E372" s="25"/>
      <c r="F372" s="26"/>
      <c r="G372" s="27">
        <f>SUM(G373:G375)</f>
        <v>11735.953754475</v>
      </c>
      <c r="H372" s="44">
        <f>G372*E364</f>
        <v>0</v>
      </c>
    </row>
    <row r="373" spans="1:11" ht="12.75" customHeight="1">
      <c r="A373" s="28"/>
      <c r="B373" s="29" t="s">
        <v>3654</v>
      </c>
      <c r="C373" s="30" t="str">
        <f>IFERROR(_xlfn.XLOOKUP(B373,Equipo[DESCRIPCION],Equipo[UND],,0),"")</f>
        <v>Día</v>
      </c>
      <c r="D373" s="31">
        <v>1</v>
      </c>
      <c r="E373" s="32">
        <f>IF(C373="%MO",G379,IFERROR(_xlfn.XLOOKUP($B373,Equipo[DESCRIPCION],Equipo[VALOR],,0),""))</f>
        <v>101640</v>
      </c>
      <c r="F373" s="33">
        <v>-10</v>
      </c>
      <c r="G373" s="34">
        <f>IFERROR(IF(F373&gt;=0,D373*E373*(1+F373/100),ABS(D373*E373/F373)),"")</f>
        <v>10164</v>
      </c>
      <c r="H373" s="43">
        <f>IFERROR(G373*E364,"")</f>
        <v>0</v>
      </c>
    </row>
    <row r="374" spans="1:11" ht="12.75" customHeight="1">
      <c r="A374" s="28"/>
      <c r="B374" s="29" t="s">
        <v>3626</v>
      </c>
      <c r="C374" s="30" t="str">
        <f>IFERROR(_xlfn.XLOOKUP(B374,Equipo[DESCRIPCION],Equipo[UND],,0),"")</f>
        <v>%MO</v>
      </c>
      <c r="D374" s="31">
        <v>0.05</v>
      </c>
      <c r="E374" s="32">
        <f>IF(C374="%MO",G379,IFERROR(_xlfn.XLOOKUP($B374,Equipo[DESCRIPCION],Equipo[VALOR],,0),""))</f>
        <v>31439.075089500006</v>
      </c>
      <c r="F374" s="33"/>
      <c r="G374" s="34">
        <f>IFERROR(IF(F374&gt;=0,D374*E374*(1+F374/100),ABS(D374*E374/F374)),"")</f>
        <v>1571.9537544750003</v>
      </c>
      <c r="H374" s="43">
        <f>IFERROR(G374*E364,"")</f>
        <v>0</v>
      </c>
    </row>
    <row r="375" spans="1:11" ht="12.75" customHeight="1">
      <c r="A375" s="28"/>
      <c r="B375" s="29"/>
      <c r="C375" s="30" t="str">
        <f>IFERROR(_xlfn.XLOOKUP(B375,Equipo[DESCRIPCION],Equipo[UND],,0),"")</f>
        <v/>
      </c>
      <c r="D375" s="31"/>
      <c r="E375" s="32" t="str">
        <f>IF(C375="%MO",G379,IFERROR(_xlfn.XLOOKUP($B375,Equipo[DESCRIPCION],Equipo[VALOR],,0),""))</f>
        <v/>
      </c>
      <c r="F375" s="33"/>
      <c r="G375" s="34" t="str">
        <f>IFERROR(IF(F375&gt;=0,D375*E375*(1+F375/100),ABS(D375*E375/F375)),"")</f>
        <v/>
      </c>
      <c r="H375" s="43" t="str">
        <f>IFERROR(G375*E364,"")</f>
        <v/>
      </c>
    </row>
    <row r="376" spans="1:11" ht="12.75" customHeight="1">
      <c r="A376" s="21"/>
      <c r="B376" s="22" t="s">
        <v>2533</v>
      </c>
      <c r="C376" s="23"/>
      <c r="D376" s="24"/>
      <c r="E376" s="25"/>
      <c r="F376" s="26"/>
      <c r="G376" s="27">
        <f>SUM(G377:G378)</f>
        <v>0</v>
      </c>
      <c r="H376" s="44">
        <f>G376*E364</f>
        <v>0</v>
      </c>
    </row>
    <row r="377" spans="1:11" ht="12.75" customHeight="1">
      <c r="A377" s="28"/>
      <c r="B377" s="29"/>
      <c r="C377" s="30" t="str">
        <f>IFERROR(_xlfn.XLOOKUP(B377,Transporte[DESCRIPCION],Transporte[UND],,0),"")</f>
        <v/>
      </c>
      <c r="D377" s="31"/>
      <c r="E377" s="32" t="str">
        <f>IFERROR(_xlfn.XLOOKUP($B377,Transporte[DESCRIPCION],Transporte[VALOR],,0),"")</f>
        <v/>
      </c>
      <c r="F377" s="33"/>
      <c r="G377" s="34" t="str">
        <f>IFERROR(IF(F377&gt;=0,D377*E377*(1+F377/100),ABS(D377*E377/F377)),"")</f>
        <v/>
      </c>
      <c r="H377" s="43" t="str">
        <f>IFERROR(G377*E364,"")</f>
        <v/>
      </c>
    </row>
    <row r="378" spans="1:11" ht="12.75" customHeight="1">
      <c r="A378" s="28"/>
      <c r="B378" s="29"/>
      <c r="C378" s="30" t="str">
        <f>IFERROR(_xlfn.XLOOKUP(B378,Transporte[DESCRIPCION],Transporte[UND],,0),"")</f>
        <v/>
      </c>
      <c r="D378" s="31"/>
      <c r="E378" s="32" t="str">
        <f>IFERROR(_xlfn.XLOOKUP($B378,Transporte[DESCRIPCION],Transporte[VALOR],,0),"")</f>
        <v/>
      </c>
      <c r="F378" s="33"/>
      <c r="G378" s="34" t="str">
        <f>IFERROR(IF(F378&gt;=0,D378*E378*(1+F378/100),ABS(D378*E378/F378)),"")</f>
        <v/>
      </c>
      <c r="H378" s="43" t="str">
        <f>IFERROR(G378*E364,"")</f>
        <v/>
      </c>
    </row>
    <row r="379" spans="1:11" ht="12.75" customHeight="1">
      <c r="A379" s="21"/>
      <c r="B379" s="22" t="s">
        <v>3732</v>
      </c>
      <c r="C379" s="23"/>
      <c r="D379" s="24"/>
      <c r="E379" s="25"/>
      <c r="F379" s="26"/>
      <c r="G379" s="27">
        <f>SUM(G380:G382)</f>
        <v>31439.075089500006</v>
      </c>
      <c r="H379" s="44">
        <f>G379*E364</f>
        <v>0</v>
      </c>
    </row>
    <row r="380" spans="1:11" ht="12.75" customHeight="1">
      <c r="A380" s="28"/>
      <c r="B380" s="29" t="s">
        <v>3710</v>
      </c>
      <c r="C380" s="30" t="str">
        <f>IFERROR(_xlfn.XLOOKUP(B380,MObra[DESCRIPCION],MObra[UN],,0),"")</f>
        <v>día</v>
      </c>
      <c r="D380" s="31">
        <v>1</v>
      </c>
      <c r="E380" s="32">
        <f>IFERROR(_xlfn.XLOOKUP($B380,MObra[DESCRIPCION],MObra[VALOR UNIT],,0),"")</f>
        <v>314390.75089500006</v>
      </c>
      <c r="F380" s="33">
        <v>-10</v>
      </c>
      <c r="G380" s="34">
        <f>IFERROR(IF(F380&gt;=0,D380*E380*(1+F380/100),ABS(D380*E380/F380)),"")</f>
        <v>31439.075089500006</v>
      </c>
      <c r="H380" s="43">
        <f>IFERROR(G380*E364,"")</f>
        <v>0</v>
      </c>
    </row>
    <row r="381" spans="1:11" ht="12.75" customHeight="1">
      <c r="A381" s="28"/>
      <c r="B381" s="29"/>
      <c r="C381" s="30" t="str">
        <f>IFERROR(_xlfn.XLOOKUP(B381,MObra[DESCRIPCION],MObra[UN],,0),"")</f>
        <v/>
      </c>
      <c r="D381" s="31"/>
      <c r="E381" s="32" t="str">
        <f>IFERROR(_xlfn.XLOOKUP($B381,MObra[DESCRIPCION],MObra[VALOR UNIT],,0),"")</f>
        <v/>
      </c>
      <c r="F381" s="33"/>
      <c r="G381" s="34" t="str">
        <f>IFERROR(IF(F381&gt;=0,D381*E381*(1+F381/100),ABS(D381*E381/F381)),"")</f>
        <v/>
      </c>
      <c r="H381" s="43" t="str">
        <f>IFERROR(G381*E364,"")</f>
        <v/>
      </c>
    </row>
    <row r="382" spans="1:11" ht="12.75" customHeight="1" thickBot="1">
      <c r="A382" s="35"/>
      <c r="B382" s="36"/>
      <c r="C382" s="37" t="str">
        <f>IFERROR(_xlfn.XLOOKUP(B382,MObra[DESCRIPCION],MObra[UN],,0),"")</f>
        <v/>
      </c>
      <c r="D382" s="38"/>
      <c r="E382" s="39" t="str">
        <f>IFERROR(_xlfn.XLOOKUP($B382,MObra[DESCRIPCION],MObra[VALOR UNIT],,0),"")</f>
        <v/>
      </c>
      <c r="F382" s="40"/>
      <c r="G382" s="41" t="str">
        <f>IFERROR(IF(F382&gt;=0,D382*E382*(1+F382/100),ABS(D382*E382/F382)),"")</f>
        <v/>
      </c>
      <c r="H382" s="42" t="str">
        <f>IFERROR(G382*E364,"")</f>
        <v/>
      </c>
    </row>
    <row r="383" spans="1:11" ht="12.75" customHeight="1" thickTop="1" thickBot="1"/>
    <row r="384" spans="1:11" ht="12.75" customHeight="1" thickTop="1" thickBot="1">
      <c r="A384" s="6" t="s">
        <v>2467</v>
      </c>
      <c r="B384" s="7" t="str">
        <f>VLOOKUP($A384,Presupuesto!$A:$D,2,FALSE())</f>
        <v>Baranda tubular principal 3/4"</v>
      </c>
      <c r="C384" s="8" t="str">
        <f>VLOOKUP($A384,Presupuesto!$A:$D,3,FALSE())</f>
        <v>M</v>
      </c>
      <c r="D384" s="9"/>
      <c r="E384" s="10">
        <f>VLOOKUP($A384,Presupuesto!$A:$D,4,FALSE())</f>
        <v>0</v>
      </c>
      <c r="F384" s="11" t="s">
        <v>2589</v>
      </c>
      <c r="G384" s="12">
        <f>SUM(G386:G402)/2</f>
        <v>153701.89284397502</v>
      </c>
      <c r="H384" s="13">
        <f>ROUND(SUM(H386:H402),0)/2</f>
        <v>0</v>
      </c>
      <c r="I384" s="10">
        <f>VLOOKUP(A384,Presupuesto!$A:$F,6,0)</f>
        <v>0</v>
      </c>
      <c r="J384" s="10">
        <f>+H384-I384</f>
        <v>0</v>
      </c>
      <c r="K384" s="46">
        <f>+H384-G384*E384</f>
        <v>0</v>
      </c>
    </row>
    <row r="385" spans="1:8" ht="12.75" customHeight="1" thickTop="1">
      <c r="A385" s="14"/>
      <c r="B385" s="15" t="s">
        <v>2586</v>
      </c>
      <c r="C385" s="15" t="s">
        <v>5</v>
      </c>
      <c r="D385" s="16" t="s">
        <v>6</v>
      </c>
      <c r="E385" s="17" t="s">
        <v>7</v>
      </c>
      <c r="F385" s="18" t="s">
        <v>3728</v>
      </c>
      <c r="G385" s="19" t="s">
        <v>3729</v>
      </c>
      <c r="H385" s="20" t="s">
        <v>3797</v>
      </c>
    </row>
    <row r="386" spans="1:8" ht="12.75" customHeight="1">
      <c r="A386" s="21"/>
      <c r="B386" s="22" t="s">
        <v>3730</v>
      </c>
      <c r="C386" s="23"/>
      <c r="D386" s="24"/>
      <c r="E386" s="25"/>
      <c r="F386" s="26"/>
      <c r="G386" s="27">
        <f>SUM(G387:G391)</f>
        <v>110526.86400000002</v>
      </c>
      <c r="H386" s="27">
        <f>IFERROR(G386*E384,"")</f>
        <v>0</v>
      </c>
    </row>
    <row r="387" spans="1:8" ht="12.75" customHeight="1">
      <c r="A387" s="28"/>
      <c r="B387" s="29" t="s">
        <v>2742</v>
      </c>
      <c r="C387" s="30" t="str">
        <f>IFERROR(_xlfn.XLOOKUP(B387,Insumo[DESCRIPCION],Insumo[UND],,0),"")</f>
        <v>M</v>
      </c>
      <c r="D387" s="31">
        <v>1</v>
      </c>
      <c r="E387" s="32">
        <f>IFERROR(_xlfn.XLOOKUP($B387,Insumo[DESCRIPCION],Insumo[VALOR],,0),"")</f>
        <v>107979.90000000001</v>
      </c>
      <c r="F387" s="33"/>
      <c r="G387" s="34">
        <f>IFERROR(IF(F387&gt;=0,D387*E387*(1+F387/100),ABS(D387*E387/F387)),"")</f>
        <v>107979.90000000001</v>
      </c>
      <c r="H387" s="43">
        <f>IFERROR(G387*E384,"")</f>
        <v>0</v>
      </c>
    </row>
    <row r="388" spans="1:8" ht="12.75" customHeight="1">
      <c r="A388" s="28"/>
      <c r="B388" s="29" t="s">
        <v>2925</v>
      </c>
      <c r="C388" s="30" t="str">
        <f>IFERROR(_xlfn.XLOOKUP(B388,Insumo[DESCRIPCION],Insumo[UND],,0),"")</f>
        <v>Lt</v>
      </c>
      <c r="D388" s="31">
        <v>0.08</v>
      </c>
      <c r="E388" s="32">
        <f>IFERROR(_xlfn.XLOOKUP($B388,Insumo[DESCRIPCION],Insumo[VALOR],,0),"")</f>
        <v>28923.300000000003</v>
      </c>
      <c r="F388" s="33"/>
      <c r="G388" s="34">
        <f>IFERROR(IF(F388&gt;=0,D388*E388*(1+F388/100),ABS(D388*E388/F388)),"")</f>
        <v>2313.8640000000005</v>
      </c>
      <c r="H388" s="43">
        <f>IFERROR(G388*E384,"")</f>
        <v>0</v>
      </c>
    </row>
    <row r="389" spans="1:8" ht="12.75" customHeight="1">
      <c r="A389" s="28"/>
      <c r="B389" s="29" t="s">
        <v>3204</v>
      </c>
      <c r="C389" s="30" t="str">
        <f>IFERROR(_xlfn.XLOOKUP(B389,Insumo[DESCRIPCION],Insumo[UND],,0),"")</f>
        <v>galón</v>
      </c>
      <c r="D389" s="31">
        <v>0.04</v>
      </c>
      <c r="E389" s="32">
        <f>IFERROR(_xlfn.XLOOKUP($B389,Insumo[DESCRIPCION],Insumo[VALOR],,0),"")</f>
        <v>107805.6</v>
      </c>
      <c r="F389" s="33"/>
      <c r="G389" s="34"/>
      <c r="H389" s="43"/>
    </row>
    <row r="390" spans="1:8" ht="12.75" customHeight="1">
      <c r="A390" s="28"/>
      <c r="B390" s="29" t="s">
        <v>3407</v>
      </c>
      <c r="C390" s="30" t="str">
        <f>IFERROR(_xlfn.XLOOKUP(B390,Insumo[DESCRIPCION],Insumo[UND],,0),"")</f>
        <v>Un</v>
      </c>
      <c r="D390" s="31">
        <v>3</v>
      </c>
      <c r="E390" s="32">
        <f>IFERROR(_xlfn.XLOOKUP($B390,Insumo[DESCRIPCION],Insumo[VALOR],,0),"")</f>
        <v>77.7</v>
      </c>
      <c r="F390" s="33"/>
      <c r="G390" s="34">
        <f>IFERROR(IF(F390&gt;=0,D390*E390*(1+F390/100),ABS(D390*E390/F390)),"")</f>
        <v>233.10000000000002</v>
      </c>
      <c r="H390" s="43">
        <f>IFERROR(G390*E384,"")</f>
        <v>0</v>
      </c>
    </row>
    <row r="391" spans="1:8" ht="12.75" customHeight="1">
      <c r="A391" s="28"/>
      <c r="B391" s="29"/>
      <c r="C391" s="30" t="str">
        <f>IFERROR(_xlfn.XLOOKUP(B391,Insumo[DESCRIPCION],Insumo[UND],,0),"")</f>
        <v/>
      </c>
      <c r="D391" s="31"/>
      <c r="E391" s="32" t="str">
        <f>IFERROR(_xlfn.XLOOKUP($B391,Insumo[DESCRIPCION],Insumo[VALOR],,0),"")</f>
        <v/>
      </c>
      <c r="F391" s="33"/>
      <c r="G391" s="34" t="str">
        <f>IFERROR(IF(F391&gt;=0,D391*E391*(1+F391/100),ABS(D391*E391/F391)),"")</f>
        <v/>
      </c>
      <c r="H391" s="43" t="str">
        <f>IFERROR(G391*E384,"")</f>
        <v/>
      </c>
    </row>
    <row r="392" spans="1:8" ht="12.75" customHeight="1">
      <c r="A392" s="21"/>
      <c r="B392" s="22" t="s">
        <v>3731</v>
      </c>
      <c r="C392" s="23"/>
      <c r="D392" s="24"/>
      <c r="E392" s="25"/>
      <c r="F392" s="26"/>
      <c r="G392" s="27">
        <f>SUM(G393:G395)</f>
        <v>11735.953754475</v>
      </c>
      <c r="H392" s="44">
        <f>G392*E384</f>
        <v>0</v>
      </c>
    </row>
    <row r="393" spans="1:8" ht="12.75" customHeight="1">
      <c r="A393" s="28"/>
      <c r="B393" s="29" t="s">
        <v>3654</v>
      </c>
      <c r="C393" s="30" t="str">
        <f>IFERROR(_xlfn.XLOOKUP(B393,Equipo[DESCRIPCION],Equipo[UND],,0),"")</f>
        <v>Día</v>
      </c>
      <c r="D393" s="31">
        <v>1</v>
      </c>
      <c r="E393" s="32">
        <f>IF(C393="%MO",G399,IFERROR(_xlfn.XLOOKUP($B393,Equipo[DESCRIPCION],Equipo[VALOR],,0),""))</f>
        <v>101640</v>
      </c>
      <c r="F393" s="33">
        <v>-10</v>
      </c>
      <c r="G393" s="34">
        <f>IFERROR(IF(F393&gt;=0,D393*E393*(1+F393/100),ABS(D393*E393/F393)),"")</f>
        <v>10164</v>
      </c>
      <c r="H393" s="43">
        <f>IFERROR(G393*E384,"")</f>
        <v>0</v>
      </c>
    </row>
    <row r="394" spans="1:8" ht="12.75" customHeight="1">
      <c r="A394" s="28"/>
      <c r="B394" s="29" t="s">
        <v>3626</v>
      </c>
      <c r="C394" s="30" t="str">
        <f>IFERROR(_xlfn.XLOOKUP(B394,Equipo[DESCRIPCION],Equipo[UND],,0),"")</f>
        <v>%MO</v>
      </c>
      <c r="D394" s="31">
        <v>0.05</v>
      </c>
      <c r="E394" s="32">
        <f>IF(C394="%MO",G399,IFERROR(_xlfn.XLOOKUP($B394,Equipo[DESCRIPCION],Equipo[VALOR],,0),""))</f>
        <v>31439.075089500006</v>
      </c>
      <c r="F394" s="33"/>
      <c r="G394" s="34">
        <f>IFERROR(IF(F394&gt;=0,D394*E394*(1+F394/100),ABS(D394*E394/F394)),"")</f>
        <v>1571.9537544750003</v>
      </c>
      <c r="H394" s="43">
        <f>IFERROR(G394*E384,"")</f>
        <v>0</v>
      </c>
    </row>
    <row r="395" spans="1:8" ht="12.75" customHeight="1">
      <c r="A395" s="28"/>
      <c r="B395" s="29"/>
      <c r="C395" s="30" t="str">
        <f>IFERROR(_xlfn.XLOOKUP(B395,Equipo[DESCRIPCION],Equipo[UND],,0),"")</f>
        <v/>
      </c>
      <c r="D395" s="31"/>
      <c r="E395" s="32" t="str">
        <f>IF(C395="%MO",G399,IFERROR(_xlfn.XLOOKUP($B395,Equipo[DESCRIPCION],Equipo[VALOR],,0),""))</f>
        <v/>
      </c>
      <c r="F395" s="33"/>
      <c r="G395" s="34" t="str">
        <f>IFERROR(IF(F395&gt;=0,D395*E395*(1+F395/100),ABS(D395*E395/F395)),"")</f>
        <v/>
      </c>
      <c r="H395" s="43" t="str">
        <f>IFERROR(G395*E384,"")</f>
        <v/>
      </c>
    </row>
    <row r="396" spans="1:8" ht="12.75" customHeight="1">
      <c r="A396" s="21"/>
      <c r="B396" s="22" t="s">
        <v>2533</v>
      </c>
      <c r="C396" s="23"/>
      <c r="D396" s="24"/>
      <c r="E396" s="25"/>
      <c r="F396" s="26"/>
      <c r="G396" s="27">
        <f>SUM(G397:G398)</f>
        <v>0</v>
      </c>
      <c r="H396" s="44">
        <f>G396*E384</f>
        <v>0</v>
      </c>
    </row>
    <row r="397" spans="1:8" ht="12.75" customHeight="1">
      <c r="A397" s="28"/>
      <c r="B397" s="29"/>
      <c r="C397" s="30" t="str">
        <f>IFERROR(_xlfn.XLOOKUP(B397,Transporte[DESCRIPCION],Transporte[UND],,0),"")</f>
        <v/>
      </c>
      <c r="D397" s="31"/>
      <c r="E397" s="32" t="str">
        <f>IFERROR(_xlfn.XLOOKUP($B397,Transporte[DESCRIPCION],Transporte[VALOR],,0),"")</f>
        <v/>
      </c>
      <c r="F397" s="33"/>
      <c r="G397" s="34" t="str">
        <f>IFERROR(IF(F397&gt;=0,D397*E397*(1+F397/100),ABS(D397*E397/F397)),"")</f>
        <v/>
      </c>
      <c r="H397" s="43" t="str">
        <f>IFERROR(G397*E384,"")</f>
        <v/>
      </c>
    </row>
    <row r="398" spans="1:8" ht="12.75" customHeight="1">
      <c r="A398" s="28"/>
      <c r="B398" s="29"/>
      <c r="C398" s="30" t="str">
        <f>IFERROR(_xlfn.XLOOKUP(B398,Transporte[DESCRIPCION],Transporte[UND],,0),"")</f>
        <v/>
      </c>
      <c r="D398" s="31"/>
      <c r="E398" s="32" t="str">
        <f>IFERROR(_xlfn.XLOOKUP($B398,Transporte[DESCRIPCION],Transporte[VALOR],,0),"")</f>
        <v/>
      </c>
      <c r="F398" s="33"/>
      <c r="G398" s="34" t="str">
        <f>IFERROR(IF(F398&gt;=0,D398*E398*(1+F398/100),ABS(D398*E398/F398)),"")</f>
        <v/>
      </c>
      <c r="H398" s="43" t="str">
        <f>IFERROR(G398*E384,"")</f>
        <v/>
      </c>
    </row>
    <row r="399" spans="1:8" ht="12.75" customHeight="1">
      <c r="A399" s="21"/>
      <c r="B399" s="22" t="s">
        <v>3732</v>
      </c>
      <c r="C399" s="23"/>
      <c r="D399" s="24"/>
      <c r="E399" s="25"/>
      <c r="F399" s="26"/>
      <c r="G399" s="27">
        <f>SUM(G400:G402)</f>
        <v>31439.075089500006</v>
      </c>
      <c r="H399" s="44">
        <f>G399*E384</f>
        <v>0</v>
      </c>
    </row>
    <row r="400" spans="1:8" ht="12.75" customHeight="1">
      <c r="A400" s="28"/>
      <c r="B400" s="29" t="s">
        <v>3710</v>
      </c>
      <c r="C400" s="30" t="str">
        <f>IFERROR(_xlfn.XLOOKUP(B400,MObra[DESCRIPCION],MObra[UN],,0),"")</f>
        <v>día</v>
      </c>
      <c r="D400" s="31">
        <v>1</v>
      </c>
      <c r="E400" s="32">
        <f>IFERROR(_xlfn.XLOOKUP($B400,MObra[DESCRIPCION],MObra[VALOR UNIT],,0),"")</f>
        <v>314390.75089500006</v>
      </c>
      <c r="F400" s="33">
        <v>-10</v>
      </c>
      <c r="G400" s="34">
        <f>IFERROR(IF(F400&gt;=0,D400*E400*(1+F400/100),ABS(D400*E400/F400)),"")</f>
        <v>31439.075089500006</v>
      </c>
      <c r="H400" s="43">
        <f>IFERROR(G400*E384,"")</f>
        <v>0</v>
      </c>
    </row>
    <row r="401" spans="1:11" ht="12.75" customHeight="1">
      <c r="A401" s="28"/>
      <c r="B401" s="29"/>
      <c r="C401" s="30" t="str">
        <f>IFERROR(_xlfn.XLOOKUP(B401,MObra[DESCRIPCION],MObra[UN],,0),"")</f>
        <v/>
      </c>
      <c r="D401" s="31"/>
      <c r="E401" s="32" t="str">
        <f>IFERROR(_xlfn.XLOOKUP($B401,MObra[DESCRIPCION],MObra[VALOR UNIT],,0),"")</f>
        <v/>
      </c>
      <c r="F401" s="33"/>
      <c r="G401" s="34" t="str">
        <f>IFERROR(IF(F401&gt;=0,D401*E401*(1+F401/100),ABS(D401*E401/F401)),"")</f>
        <v/>
      </c>
      <c r="H401" s="43" t="str">
        <f>IFERROR(G401*E384,"")</f>
        <v/>
      </c>
    </row>
    <row r="402" spans="1:11" ht="12.75" customHeight="1" thickBot="1">
      <c r="A402" s="35"/>
      <c r="B402" s="36"/>
      <c r="C402" s="37" t="str">
        <f>IFERROR(_xlfn.XLOOKUP(B402,MObra[DESCRIPCION],MObra[UN],,0),"")</f>
        <v/>
      </c>
      <c r="D402" s="38"/>
      <c r="E402" s="39" t="str">
        <f>IFERROR(_xlfn.XLOOKUP($B402,MObra[DESCRIPCION],MObra[VALOR UNIT],,0),"")</f>
        <v/>
      </c>
      <c r="F402" s="40"/>
      <c r="G402" s="41" t="str">
        <f>IFERROR(IF(F402&gt;=0,D402*E402*(1+F402/100),ABS(D402*E402/F402)),"")</f>
        <v/>
      </c>
      <c r="H402" s="42" t="str">
        <f>IFERROR(G402*E384,"")</f>
        <v/>
      </c>
    </row>
    <row r="403" spans="1:11" ht="12.75" customHeight="1" thickTop="1" thickBot="1"/>
    <row r="404" spans="1:11" ht="12.75" customHeight="1" thickTop="1" thickBot="1">
      <c r="A404" s="6" t="s">
        <v>2469</v>
      </c>
      <c r="B404" s="7" t="str">
        <f>VLOOKUP($A404,Presupuesto!$A:$D,2,FALSE())</f>
        <v>Baranda tubular principal 4"</v>
      </c>
      <c r="C404" s="8" t="str">
        <f>VLOOKUP($A404,Presupuesto!$A:$D,3,FALSE())</f>
        <v>M</v>
      </c>
      <c r="D404" s="9"/>
      <c r="E404" s="10">
        <f>VLOOKUP($A404,Presupuesto!$A:$D,4,FALSE())</f>
        <v>0</v>
      </c>
      <c r="F404" s="11" t="s">
        <v>2589</v>
      </c>
      <c r="G404" s="12">
        <f>SUM(G406:G422)/2</f>
        <v>318084.054843975</v>
      </c>
      <c r="H404" s="13">
        <f>ROUND(SUM(H406:H422),0)/2</f>
        <v>0</v>
      </c>
      <c r="I404" s="10">
        <f>VLOOKUP(A404,Presupuesto!$A:$F,6,0)</f>
        <v>0</v>
      </c>
      <c r="J404" s="10">
        <f>+H404-I404</f>
        <v>0</v>
      </c>
      <c r="K404" s="46">
        <f>+H404-G404*E404</f>
        <v>0</v>
      </c>
    </row>
    <row r="405" spans="1:11" ht="12.75" customHeight="1" thickTop="1">
      <c r="A405" s="14"/>
      <c r="B405" s="15" t="s">
        <v>2586</v>
      </c>
      <c r="C405" s="15" t="s">
        <v>5</v>
      </c>
      <c r="D405" s="16" t="s">
        <v>6</v>
      </c>
      <c r="E405" s="17" t="s">
        <v>7</v>
      </c>
      <c r="F405" s="18" t="s">
        <v>3728</v>
      </c>
      <c r="G405" s="19" t="s">
        <v>3729</v>
      </c>
      <c r="H405" s="20" t="s">
        <v>3797</v>
      </c>
    </row>
    <row r="406" spans="1:11" ht="12.75" customHeight="1">
      <c r="A406" s="21"/>
      <c r="B406" s="22" t="s">
        <v>3730</v>
      </c>
      <c r="C406" s="23"/>
      <c r="D406" s="24"/>
      <c r="E406" s="25"/>
      <c r="F406" s="26"/>
      <c r="G406" s="27">
        <f>SUM(G407:G411)</f>
        <v>274909.02599999995</v>
      </c>
      <c r="H406" s="27">
        <f>IFERROR(G406*E404,"")</f>
        <v>0</v>
      </c>
    </row>
    <row r="407" spans="1:11" ht="12.75" customHeight="1">
      <c r="A407" s="28"/>
      <c r="B407" s="29" t="s">
        <v>2743</v>
      </c>
      <c r="C407" s="30" t="str">
        <f>IFERROR(_xlfn.XLOOKUP(B407,Insumo[DESCRIPCION],Insumo[UND],,0),"")</f>
        <v>M</v>
      </c>
      <c r="D407" s="31">
        <v>1</v>
      </c>
      <c r="E407" s="32">
        <f>IFERROR(_xlfn.XLOOKUP($B407,Insumo[DESCRIPCION],Insumo[VALOR],,0),"")</f>
        <v>261423.75</v>
      </c>
      <c r="F407" s="33"/>
      <c r="G407" s="34">
        <f>IFERROR(IF(F407&gt;=0,D407*E407*(1+F407/100),ABS(D407*E407/F407)),"")</f>
        <v>261423.75</v>
      </c>
      <c r="H407" s="43">
        <f>IFERROR(G407*E404,"")</f>
        <v>0</v>
      </c>
    </row>
    <row r="408" spans="1:11" ht="12.75" customHeight="1">
      <c r="A408" s="28"/>
      <c r="B408" s="29" t="s">
        <v>2925</v>
      </c>
      <c r="C408" s="30" t="str">
        <f>IFERROR(_xlfn.XLOOKUP(B408,Insumo[DESCRIPCION],Insumo[UND],,0),"")</f>
        <v>Lt</v>
      </c>
      <c r="D408" s="31">
        <v>0.16</v>
      </c>
      <c r="E408" s="32">
        <f>IFERROR(_xlfn.XLOOKUP($B408,Insumo[DESCRIPCION],Insumo[VALOR],,0),"")</f>
        <v>28923.300000000003</v>
      </c>
      <c r="F408" s="33"/>
      <c r="G408" s="34">
        <f>IFERROR(IF(F408&gt;=0,D408*E408*(1+F408/100),ABS(D408*E408/F408)),"")</f>
        <v>4627.728000000001</v>
      </c>
      <c r="H408" s="43">
        <f>IFERROR(G408*E404,"")</f>
        <v>0</v>
      </c>
    </row>
    <row r="409" spans="1:11" ht="12.75" customHeight="1">
      <c r="A409" s="28"/>
      <c r="B409" s="29" t="s">
        <v>3204</v>
      </c>
      <c r="C409" s="30" t="str">
        <f>IFERROR(_xlfn.XLOOKUP(B409,Insumo[DESCRIPCION],Insumo[UND],,0),"")</f>
        <v>galón</v>
      </c>
      <c r="D409" s="31">
        <v>0.08</v>
      </c>
      <c r="E409" s="32">
        <f>IFERROR(_xlfn.XLOOKUP($B409,Insumo[DESCRIPCION],Insumo[VALOR],,0),"")</f>
        <v>107805.6</v>
      </c>
      <c r="F409" s="33"/>
      <c r="G409" s="34">
        <f>IFERROR(IF(F409&gt;=0,D409*E409*(1+F409/100),ABS(D409*E409/F409)),"")</f>
        <v>8624.4480000000003</v>
      </c>
      <c r="H409" s="43">
        <f>IFERROR(G409*E404,"")</f>
        <v>0</v>
      </c>
    </row>
    <row r="410" spans="1:11" ht="12.75" customHeight="1">
      <c r="A410" s="28"/>
      <c r="B410" s="29" t="s">
        <v>3407</v>
      </c>
      <c r="C410" s="30" t="str">
        <f>IFERROR(_xlfn.XLOOKUP(B410,Insumo[DESCRIPCION],Insumo[UND],,0),"")</f>
        <v>Un</v>
      </c>
      <c r="D410" s="31">
        <v>3</v>
      </c>
      <c r="E410" s="32">
        <f>IFERROR(_xlfn.XLOOKUP($B410,Insumo[DESCRIPCION],Insumo[VALOR],,0),"")</f>
        <v>77.7</v>
      </c>
      <c r="F410" s="33"/>
      <c r="G410" s="34">
        <f>IFERROR(IF(F410&gt;=0,D410*E410*(1+F410/100),ABS(D410*E410/F410)),"")</f>
        <v>233.10000000000002</v>
      </c>
      <c r="H410" s="43">
        <f>IFERROR(G410*E404,"")</f>
        <v>0</v>
      </c>
    </row>
    <row r="411" spans="1:11" ht="12.75" customHeight="1">
      <c r="A411" s="28"/>
      <c r="B411" s="29"/>
      <c r="C411" s="30" t="str">
        <f>IFERROR(_xlfn.XLOOKUP(B411,Insumo[DESCRIPCION],Insumo[UND],,0),"")</f>
        <v/>
      </c>
      <c r="D411" s="31"/>
      <c r="E411" s="32" t="str">
        <f>IFERROR(_xlfn.XLOOKUP($B411,Insumo[DESCRIPCION],Insumo[VALOR],,0),"")</f>
        <v/>
      </c>
      <c r="F411" s="33"/>
      <c r="G411" s="34" t="str">
        <f>IFERROR(IF(F411&gt;=0,D411*E411*(1+F411/100),ABS(D411*E411/F411)),"")</f>
        <v/>
      </c>
      <c r="H411" s="43" t="str">
        <f>IFERROR(G411*E404,"")</f>
        <v/>
      </c>
    </row>
    <row r="412" spans="1:11" ht="12.75" customHeight="1">
      <c r="A412" s="21"/>
      <c r="B412" s="22" t="s">
        <v>3731</v>
      </c>
      <c r="C412" s="23"/>
      <c r="D412" s="24"/>
      <c r="E412" s="25"/>
      <c r="F412" s="26"/>
      <c r="G412" s="27">
        <f>SUM(G413:G415)</f>
        <v>11735.953754475</v>
      </c>
      <c r="H412" s="44">
        <f>G412*E404</f>
        <v>0</v>
      </c>
    </row>
    <row r="413" spans="1:11" ht="12.75" customHeight="1">
      <c r="A413" s="28"/>
      <c r="B413" s="29" t="s">
        <v>3654</v>
      </c>
      <c r="C413" s="30" t="str">
        <f>IFERROR(_xlfn.XLOOKUP(B413,Equipo[DESCRIPCION],Equipo[UND],,0),"")</f>
        <v>Día</v>
      </c>
      <c r="D413" s="31">
        <v>1</v>
      </c>
      <c r="E413" s="32">
        <f>IF(C413="%MO",G419,IFERROR(_xlfn.XLOOKUP($B413,Equipo[DESCRIPCION],Equipo[VALOR],,0),""))</f>
        <v>101640</v>
      </c>
      <c r="F413" s="33">
        <v>-10</v>
      </c>
      <c r="G413" s="34">
        <f>IFERROR(IF(F413&gt;=0,D413*E413*(1+F413/100),ABS(D413*E413/F413)),"")</f>
        <v>10164</v>
      </c>
      <c r="H413" s="43">
        <f>IFERROR(G413*E404,"")</f>
        <v>0</v>
      </c>
    </row>
    <row r="414" spans="1:11" ht="12.75" customHeight="1">
      <c r="A414" s="28"/>
      <c r="B414" s="29" t="s">
        <v>3626</v>
      </c>
      <c r="C414" s="30" t="str">
        <f>IFERROR(_xlfn.XLOOKUP(B414,Equipo[DESCRIPCION],Equipo[UND],,0),"")</f>
        <v>%MO</v>
      </c>
      <c r="D414" s="31">
        <v>0.05</v>
      </c>
      <c r="E414" s="32">
        <f>IF(C414="%MO",G419,IFERROR(_xlfn.XLOOKUP($B414,Equipo[DESCRIPCION],Equipo[VALOR],,0),""))</f>
        <v>31439.075089500006</v>
      </c>
      <c r="F414" s="33"/>
      <c r="G414" s="34">
        <f>IFERROR(IF(F414&gt;=0,D414*E414*(1+F414/100),ABS(D414*E414/F414)),"")</f>
        <v>1571.9537544750003</v>
      </c>
      <c r="H414" s="43">
        <f>IFERROR(G414*E404,"")</f>
        <v>0</v>
      </c>
    </row>
    <row r="415" spans="1:11" ht="12.75" customHeight="1">
      <c r="A415" s="28"/>
      <c r="B415" s="29"/>
      <c r="C415" s="30" t="str">
        <f>IFERROR(_xlfn.XLOOKUP(B415,Equipo[DESCRIPCION],Equipo[UND],,0),"")</f>
        <v/>
      </c>
      <c r="D415" s="31"/>
      <c r="E415" s="32" t="str">
        <f>IF(C415="%MO",G419,IFERROR(_xlfn.XLOOKUP($B415,Equipo[DESCRIPCION],Equipo[VALOR],,0),""))</f>
        <v/>
      </c>
      <c r="F415" s="33"/>
      <c r="G415" s="34" t="str">
        <f>IFERROR(IF(F415&gt;=0,D415*E415*(1+F415/100),ABS(D415*E415/F415)),"")</f>
        <v/>
      </c>
      <c r="H415" s="43" t="str">
        <f>IFERROR(G415*E404,"")</f>
        <v/>
      </c>
    </row>
    <row r="416" spans="1:11" ht="12.75" customHeight="1">
      <c r="A416" s="21"/>
      <c r="B416" s="22" t="s">
        <v>2533</v>
      </c>
      <c r="C416" s="23"/>
      <c r="D416" s="24"/>
      <c r="E416" s="25"/>
      <c r="F416" s="26"/>
      <c r="G416" s="27">
        <f>SUM(G417:G418)</f>
        <v>0</v>
      </c>
      <c r="H416" s="44">
        <f>G416*E404</f>
        <v>0</v>
      </c>
    </row>
    <row r="417" spans="1:11" ht="12.75" customHeight="1">
      <c r="A417" s="28"/>
      <c r="B417" s="29"/>
      <c r="C417" s="30" t="str">
        <f>IFERROR(_xlfn.XLOOKUP(B417,Transporte[DESCRIPCION],Transporte[UND],,0),"")</f>
        <v/>
      </c>
      <c r="D417" s="31"/>
      <c r="E417" s="32" t="str">
        <f>IFERROR(_xlfn.XLOOKUP($B417,Transporte[DESCRIPCION],Transporte[VALOR],,0),"")</f>
        <v/>
      </c>
      <c r="F417" s="33"/>
      <c r="G417" s="34" t="str">
        <f>IFERROR(IF(F417&gt;=0,D417*E417*(1+F417/100),ABS(D417*E417/F417)),"")</f>
        <v/>
      </c>
      <c r="H417" s="43" t="str">
        <f>IFERROR(G417*E404,"")</f>
        <v/>
      </c>
    </row>
    <row r="418" spans="1:11" ht="12.75" customHeight="1">
      <c r="A418" s="28"/>
      <c r="B418" s="29"/>
      <c r="C418" s="30" t="str">
        <f>IFERROR(_xlfn.XLOOKUP(B418,Transporte[DESCRIPCION],Transporte[UND],,0),"")</f>
        <v/>
      </c>
      <c r="D418" s="31"/>
      <c r="E418" s="32" t="str">
        <f>IFERROR(_xlfn.XLOOKUP($B418,Transporte[DESCRIPCION],Transporte[VALOR],,0),"")</f>
        <v/>
      </c>
      <c r="F418" s="33"/>
      <c r="G418" s="34" t="str">
        <f>IFERROR(IF(F418&gt;=0,D418*E418*(1+F418/100),ABS(D418*E418/F418)),"")</f>
        <v/>
      </c>
      <c r="H418" s="43" t="str">
        <f>IFERROR(G418*E404,"")</f>
        <v/>
      </c>
    </row>
    <row r="419" spans="1:11" ht="12.75" customHeight="1">
      <c r="A419" s="21"/>
      <c r="B419" s="22" t="s">
        <v>3732</v>
      </c>
      <c r="C419" s="23"/>
      <c r="D419" s="24"/>
      <c r="E419" s="25"/>
      <c r="F419" s="26"/>
      <c r="G419" s="27">
        <f>SUM(G420:G422)</f>
        <v>31439.075089500006</v>
      </c>
      <c r="H419" s="44">
        <f>G419*E404</f>
        <v>0</v>
      </c>
    </row>
    <row r="420" spans="1:11" ht="12.75" customHeight="1">
      <c r="A420" s="28"/>
      <c r="B420" s="29" t="s">
        <v>3710</v>
      </c>
      <c r="C420" s="30" t="str">
        <f>IFERROR(_xlfn.XLOOKUP(B420,MObra[DESCRIPCION],MObra[UN],,0),"")</f>
        <v>día</v>
      </c>
      <c r="D420" s="31">
        <v>1</v>
      </c>
      <c r="E420" s="32">
        <f>IFERROR(_xlfn.XLOOKUP($B420,MObra[DESCRIPCION],MObra[VALOR UNIT],,0),"")</f>
        <v>314390.75089500006</v>
      </c>
      <c r="F420" s="33">
        <v>-10</v>
      </c>
      <c r="G420" s="34">
        <f>IFERROR(IF(F420&gt;=0,D420*E420*(1+F420/100),ABS(D420*E420/F420)),"")</f>
        <v>31439.075089500006</v>
      </c>
      <c r="H420" s="43">
        <f>IFERROR(G420*E404,"")</f>
        <v>0</v>
      </c>
    </row>
    <row r="421" spans="1:11" ht="12.75" customHeight="1">
      <c r="A421" s="28"/>
      <c r="B421" s="29"/>
      <c r="C421" s="30" t="str">
        <f>IFERROR(_xlfn.XLOOKUP(B421,MObra[DESCRIPCION],MObra[UN],,0),"")</f>
        <v/>
      </c>
      <c r="D421" s="31"/>
      <c r="E421" s="32" t="str">
        <f>IFERROR(_xlfn.XLOOKUP($B421,MObra[DESCRIPCION],MObra[VALOR UNIT],,0),"")</f>
        <v/>
      </c>
      <c r="F421" s="33"/>
      <c r="G421" s="34" t="str">
        <f>IFERROR(IF(F421&gt;=0,D421*E421*(1+F421/100),ABS(D421*E421/F421)),"")</f>
        <v/>
      </c>
      <c r="H421" s="43" t="str">
        <f>IFERROR(G421*E404,"")</f>
        <v/>
      </c>
    </row>
    <row r="422" spans="1:11" ht="12.75" customHeight="1" thickBot="1">
      <c r="A422" s="35"/>
      <c r="B422" s="36"/>
      <c r="C422" s="37" t="str">
        <f>IFERROR(_xlfn.XLOOKUP(B422,MObra[DESCRIPCION],MObra[UN],,0),"")</f>
        <v/>
      </c>
      <c r="D422" s="38"/>
      <c r="E422" s="39" t="str">
        <f>IFERROR(_xlfn.XLOOKUP($B422,MObra[DESCRIPCION],MObra[VALOR UNIT],,0),"")</f>
        <v/>
      </c>
      <c r="F422" s="40"/>
      <c r="G422" s="41" t="str">
        <f>IFERROR(IF(F422&gt;=0,D422*E422*(1+F422/100),ABS(D422*E422/F422)),"")</f>
        <v/>
      </c>
      <c r="H422" s="42" t="str">
        <f>IFERROR(G422*E404,"")</f>
        <v/>
      </c>
    </row>
    <row r="423" spans="1:11" ht="12.75" customHeight="1" thickTop="1" thickBot="1"/>
    <row r="424" spans="1:11" ht="12.75" customHeight="1" thickTop="1" thickBot="1">
      <c r="A424" s="6" t="s">
        <v>2471</v>
      </c>
      <c r="B424" s="7" t="str">
        <f>VLOOKUP($A424,Presupuesto!$A:$D,2,FALSE())</f>
        <v>Barrera guardavía acero galvanizado</v>
      </c>
      <c r="C424" s="8" t="str">
        <f>VLOOKUP($A424,Presupuesto!$A:$D,3,FALSE())</f>
        <v>M</v>
      </c>
      <c r="D424" s="9"/>
      <c r="E424" s="10">
        <f>VLOOKUP($A424,Presupuesto!$A:$D,4,FALSE())</f>
        <v>0</v>
      </c>
      <c r="F424" s="11" t="s">
        <v>2589</v>
      </c>
      <c r="G424" s="12">
        <f>SUM(G426:G442)/2</f>
        <v>38930.202562650011</v>
      </c>
      <c r="H424" s="13">
        <f>ROUND(SUM(H426:H442),0)/2</f>
        <v>0</v>
      </c>
      <c r="I424" s="10">
        <f>VLOOKUP(A424,Presupuesto!$A:$F,6,0)</f>
        <v>0</v>
      </c>
      <c r="J424" s="10">
        <f>+H424-I424</f>
        <v>0</v>
      </c>
      <c r="K424" s="46">
        <f>+H424-G424*E424</f>
        <v>0</v>
      </c>
    </row>
    <row r="425" spans="1:11" ht="12.75" customHeight="1" thickTop="1">
      <c r="A425" s="14"/>
      <c r="B425" s="15" t="s">
        <v>2586</v>
      </c>
      <c r="C425" s="15" t="s">
        <v>5</v>
      </c>
      <c r="D425" s="16" t="s">
        <v>6</v>
      </c>
      <c r="E425" s="17" t="s">
        <v>7</v>
      </c>
      <c r="F425" s="18" t="s">
        <v>3728</v>
      </c>
      <c r="G425" s="19" t="s">
        <v>3729</v>
      </c>
      <c r="H425" s="20" t="s">
        <v>3797</v>
      </c>
    </row>
    <row r="426" spans="1:11" ht="12.75" customHeight="1">
      <c r="A426" s="21"/>
      <c r="B426" s="22" t="s">
        <v>3730</v>
      </c>
      <c r="C426" s="23"/>
      <c r="D426" s="24"/>
      <c r="E426" s="25"/>
      <c r="F426" s="26"/>
      <c r="G426" s="27">
        <f>SUM(G427:G431)</f>
        <v>16922.850000000002</v>
      </c>
      <c r="H426" s="27">
        <f>IFERROR(G426*E424,"")</f>
        <v>0</v>
      </c>
    </row>
    <row r="427" spans="1:11" ht="12.75" customHeight="1">
      <c r="A427" s="28"/>
      <c r="B427" s="29" t="s">
        <v>2746</v>
      </c>
      <c r="C427" s="30" t="str">
        <f>IFERROR(_xlfn.XLOOKUP(B427,Insumo[DESCRIPCION],Insumo[UND],,0),"")</f>
        <v>M</v>
      </c>
      <c r="D427" s="31">
        <v>1</v>
      </c>
      <c r="E427" s="32">
        <f>IFERROR(_xlfn.XLOOKUP($B427,Insumo[DESCRIPCION],Insumo[VALOR],,0),"")</f>
        <v>16922.850000000002</v>
      </c>
      <c r="F427" s="33"/>
      <c r="G427" s="34">
        <f>IFERROR(IF(F427&gt;=0,D427*E427*(1+F427/100),ABS(D427*E427/F427)),"")</f>
        <v>16922.850000000002</v>
      </c>
      <c r="H427" s="43">
        <f>IFERROR(G427*E424,"")</f>
        <v>0</v>
      </c>
    </row>
    <row r="428" spans="1:11" ht="12.75" customHeight="1">
      <c r="A428" s="28"/>
      <c r="B428" s="29"/>
      <c r="C428" s="30" t="str">
        <f>IFERROR(_xlfn.XLOOKUP(B428,Insumo[DESCRIPCION],Insumo[UND],,0),"")</f>
        <v/>
      </c>
      <c r="D428" s="31"/>
      <c r="E428" s="32" t="str">
        <f>IFERROR(_xlfn.XLOOKUP($B428,Insumo[DESCRIPCION],Insumo[VALOR],,0),"")</f>
        <v/>
      </c>
      <c r="F428" s="33"/>
      <c r="G428" s="34" t="str">
        <f>IFERROR(IF(F428&gt;=0,D428*E428*(1+F428/100),ABS(D428*E428/F428)),"")</f>
        <v/>
      </c>
      <c r="H428" s="43" t="str">
        <f>IFERROR(G428*E424,"")</f>
        <v/>
      </c>
    </row>
    <row r="429" spans="1:11" ht="12.75" customHeight="1">
      <c r="A429" s="28"/>
      <c r="B429" s="29"/>
      <c r="C429" s="30" t="str">
        <f>IFERROR(_xlfn.XLOOKUP(B429,Insumo[DESCRIPCION],Insumo[UND],,0),"")</f>
        <v/>
      </c>
      <c r="D429" s="31"/>
      <c r="E429" s="32" t="str">
        <f>IFERROR(_xlfn.XLOOKUP($B429,Insumo[DESCRIPCION],Insumo[VALOR],,0),"")</f>
        <v/>
      </c>
      <c r="F429" s="33"/>
      <c r="G429" s="34" t="str">
        <f>IFERROR(IF(F429&gt;=0,D429*E429*(1+F429/100),ABS(D429*E429/F429)),"")</f>
        <v/>
      </c>
      <c r="H429" s="43" t="str">
        <f>IFERROR(G429*E424,"")</f>
        <v/>
      </c>
    </row>
    <row r="430" spans="1:11" ht="12.75" customHeight="1">
      <c r="A430" s="28"/>
      <c r="B430" s="29"/>
      <c r="C430" s="30" t="str">
        <f>IFERROR(_xlfn.XLOOKUP(B430,Insumo[DESCRIPCION],Insumo[UND],,0),"")</f>
        <v/>
      </c>
      <c r="D430" s="31"/>
      <c r="E430" s="32" t="str">
        <f>IFERROR(_xlfn.XLOOKUP($B430,Insumo[DESCRIPCION],Insumo[VALOR],,0),"")</f>
        <v/>
      </c>
      <c r="F430" s="33"/>
      <c r="G430" s="34" t="str">
        <f>IFERROR(IF(F430&gt;=0,D430*E430*(1+F430/100),ABS(D430*E430/F430)),"")</f>
        <v/>
      </c>
      <c r="H430" s="43" t="str">
        <f>IFERROR(G430*E424,"")</f>
        <v/>
      </c>
    </row>
    <row r="431" spans="1:11" ht="12.75" customHeight="1">
      <c r="A431" s="28"/>
      <c r="B431" s="29"/>
      <c r="C431" s="30" t="str">
        <f>IFERROR(_xlfn.XLOOKUP(B431,Insumo[DESCRIPCION],Insumo[UND],,0),"")</f>
        <v/>
      </c>
      <c r="D431" s="31"/>
      <c r="E431" s="32" t="str">
        <f>IFERROR(_xlfn.XLOOKUP($B431,Insumo[DESCRIPCION],Insumo[VALOR],,0),"")</f>
        <v/>
      </c>
      <c r="F431" s="33"/>
      <c r="G431" s="34" t="str">
        <f>IFERROR(IF(F431&gt;=0,D431*E431*(1+F431/100),ABS(D431*E431/F431)),"")</f>
        <v/>
      </c>
      <c r="H431" s="43" t="str">
        <f>IFERROR(G431*E424,"")</f>
        <v/>
      </c>
    </row>
    <row r="432" spans="1:11" ht="12.75" customHeight="1">
      <c r="A432" s="21"/>
      <c r="B432" s="22" t="s">
        <v>3731</v>
      </c>
      <c r="C432" s="23"/>
      <c r="D432" s="24"/>
      <c r="E432" s="25"/>
      <c r="F432" s="26"/>
      <c r="G432" s="27">
        <f>SUM(G433:G435)</f>
        <v>1047.9691696500001</v>
      </c>
      <c r="H432" s="44">
        <f>G432*E424</f>
        <v>0</v>
      </c>
    </row>
    <row r="433" spans="1:11" ht="12.75" customHeight="1">
      <c r="A433" s="28"/>
      <c r="B433" s="29" t="s">
        <v>3626</v>
      </c>
      <c r="C433" s="30" t="str">
        <f>IFERROR(_xlfn.XLOOKUP(B433,Equipo[DESCRIPCION],Equipo[UND],,0),"")</f>
        <v>%MO</v>
      </c>
      <c r="D433" s="31">
        <v>0.05</v>
      </c>
      <c r="E433" s="32">
        <f>IF(C433="%MO",G439,IFERROR(_xlfn.XLOOKUP($B433,Equipo[DESCRIPCION],Equipo[VALOR],,0),""))</f>
        <v>20959.383393000004</v>
      </c>
      <c r="F433" s="33"/>
      <c r="G433" s="34">
        <f>IFERROR(IF(F433&gt;=0,D433*E433*(1+F433/100),ABS(D433*E433/F433)),"")</f>
        <v>1047.9691696500001</v>
      </c>
      <c r="H433" s="43">
        <f>IFERROR(G433*E424,"")</f>
        <v>0</v>
      </c>
    </row>
    <row r="434" spans="1:11" ht="12.75" customHeight="1">
      <c r="A434" s="28"/>
      <c r="B434" s="29"/>
      <c r="C434" s="30" t="str">
        <f>IFERROR(_xlfn.XLOOKUP(B434,Equipo[DESCRIPCION],Equipo[UND],,0),"")</f>
        <v/>
      </c>
      <c r="D434" s="31"/>
      <c r="E434" s="32" t="str">
        <f>IF(C434="%MO",G439,IFERROR(_xlfn.XLOOKUP($B434,Equipo[DESCRIPCION],Equipo[VALOR],,0),""))</f>
        <v/>
      </c>
      <c r="F434" s="33"/>
      <c r="G434" s="34" t="str">
        <f>IFERROR(IF(F434&gt;=0,D434*E434*(1+F434/100),ABS(D434*E434/F434)),"")</f>
        <v/>
      </c>
      <c r="H434" s="43" t="str">
        <f>IFERROR(G434*E424,"")</f>
        <v/>
      </c>
    </row>
    <row r="435" spans="1:11" ht="12.75" customHeight="1">
      <c r="A435" s="28"/>
      <c r="B435" s="29"/>
      <c r="C435" s="30" t="str">
        <f>IFERROR(_xlfn.XLOOKUP(B435,Equipo[DESCRIPCION],Equipo[UND],,0),"")</f>
        <v/>
      </c>
      <c r="D435" s="31"/>
      <c r="E435" s="32" t="str">
        <f>IF(C435="%MO",G439,IFERROR(_xlfn.XLOOKUP($B435,Equipo[DESCRIPCION],Equipo[VALOR],,0),""))</f>
        <v/>
      </c>
      <c r="F435" s="33"/>
      <c r="G435" s="34" t="str">
        <f>IFERROR(IF(F435&gt;=0,D435*E435*(1+F435/100),ABS(D435*E435/F435)),"")</f>
        <v/>
      </c>
      <c r="H435" s="43" t="str">
        <f>IFERROR(G435*E424,"")</f>
        <v/>
      </c>
    </row>
    <row r="436" spans="1:11" ht="12.75" customHeight="1">
      <c r="A436" s="21"/>
      <c r="B436" s="22" t="s">
        <v>2533</v>
      </c>
      <c r="C436" s="23"/>
      <c r="D436" s="24"/>
      <c r="E436" s="25"/>
      <c r="F436" s="26"/>
      <c r="G436" s="27">
        <f>SUM(G437:G438)</f>
        <v>0</v>
      </c>
      <c r="H436" s="44">
        <f>G436*E424</f>
        <v>0</v>
      </c>
    </row>
    <row r="437" spans="1:11" ht="12.75" customHeight="1">
      <c r="A437" s="28"/>
      <c r="B437" s="29"/>
      <c r="C437" s="30" t="str">
        <f>IFERROR(_xlfn.XLOOKUP(B437,Transporte[DESCRIPCION],Transporte[UND],,0),"")</f>
        <v/>
      </c>
      <c r="D437" s="31"/>
      <c r="E437" s="32" t="str">
        <f>IFERROR(_xlfn.XLOOKUP($B437,Transporte[DESCRIPCION],Transporte[VALOR],,0),"")</f>
        <v/>
      </c>
      <c r="F437" s="33"/>
      <c r="G437" s="34" t="str">
        <f>IFERROR(IF(F437&gt;=0,D437*E437*(1+F437/100),ABS(D437*E437/F437)),"")</f>
        <v/>
      </c>
      <c r="H437" s="43" t="str">
        <f>IFERROR(G437*E424,"")</f>
        <v/>
      </c>
    </row>
    <row r="438" spans="1:11" ht="12.75" customHeight="1">
      <c r="A438" s="28"/>
      <c r="B438" s="29"/>
      <c r="C438" s="30" t="str">
        <f>IFERROR(_xlfn.XLOOKUP(B438,Transporte[DESCRIPCION],Transporte[UND],,0),"")</f>
        <v/>
      </c>
      <c r="D438" s="31"/>
      <c r="E438" s="32" t="str">
        <f>IFERROR(_xlfn.XLOOKUP($B438,Transporte[DESCRIPCION],Transporte[VALOR],,0),"")</f>
        <v/>
      </c>
      <c r="F438" s="33"/>
      <c r="G438" s="34" t="str">
        <f>IFERROR(IF(F438&gt;=0,D438*E438*(1+F438/100),ABS(D438*E438/F438)),"")</f>
        <v/>
      </c>
      <c r="H438" s="43" t="str">
        <f>IFERROR(G438*E424,"")</f>
        <v/>
      </c>
    </row>
    <row r="439" spans="1:11" ht="12.75" customHeight="1">
      <c r="A439" s="21"/>
      <c r="B439" s="22" t="s">
        <v>3732</v>
      </c>
      <c r="C439" s="23"/>
      <c r="D439" s="24"/>
      <c r="E439" s="25"/>
      <c r="F439" s="26"/>
      <c r="G439" s="27">
        <f>SUM(G440:G442)</f>
        <v>20959.383393000004</v>
      </c>
      <c r="H439" s="44">
        <f>G439*E424</f>
        <v>0</v>
      </c>
    </row>
    <row r="440" spans="1:11" ht="12.75" customHeight="1">
      <c r="A440" s="28"/>
      <c r="B440" s="29" t="s">
        <v>3710</v>
      </c>
      <c r="C440" s="30" t="str">
        <f>IFERROR(_xlfn.XLOOKUP(B440,MObra[DESCRIPCION],MObra[UN],,0),"")</f>
        <v>día</v>
      </c>
      <c r="D440" s="31">
        <v>1</v>
      </c>
      <c r="E440" s="32">
        <f>IFERROR(_xlfn.XLOOKUP($B440,MObra[DESCRIPCION],MObra[VALOR UNIT],,0),"")</f>
        <v>314390.75089500006</v>
      </c>
      <c r="F440" s="33">
        <v>-15</v>
      </c>
      <c r="G440" s="34">
        <f>IFERROR(IF(F440&gt;=0,D440*E440*(1+F440/100),ABS(D440*E440/F440)),"")</f>
        <v>20959.383393000004</v>
      </c>
      <c r="H440" s="43">
        <f>IFERROR(G440*E424,"")</f>
        <v>0</v>
      </c>
    </row>
    <row r="441" spans="1:11" ht="12.75" customHeight="1">
      <c r="A441" s="28"/>
      <c r="B441" s="29"/>
      <c r="C441" s="30" t="str">
        <f>IFERROR(_xlfn.XLOOKUP(B441,MObra[DESCRIPCION],MObra[UN],,0),"")</f>
        <v/>
      </c>
      <c r="D441" s="31"/>
      <c r="E441" s="32" t="str">
        <f>IFERROR(_xlfn.XLOOKUP($B441,MObra[DESCRIPCION],MObra[VALOR UNIT],,0),"")</f>
        <v/>
      </c>
      <c r="F441" s="33"/>
      <c r="G441" s="34" t="str">
        <f>IFERROR(IF(F441&gt;=0,D441*E441*(1+F441/100),ABS(D441*E441/F441)),"")</f>
        <v/>
      </c>
      <c r="H441" s="43" t="str">
        <f>IFERROR(G441*E424,"")</f>
        <v/>
      </c>
    </row>
    <row r="442" spans="1:11" ht="12.75" customHeight="1" thickBot="1">
      <c r="A442" s="35"/>
      <c r="B442" s="36"/>
      <c r="C442" s="37" t="str">
        <f>IFERROR(_xlfn.XLOOKUP(B442,MObra[DESCRIPCION],MObra[UN],,0),"")</f>
        <v/>
      </c>
      <c r="D442" s="38"/>
      <c r="E442" s="39" t="str">
        <f>IFERROR(_xlfn.XLOOKUP($B442,MObra[DESCRIPCION],MObra[VALOR UNIT],,0),"")</f>
        <v/>
      </c>
      <c r="F442" s="40"/>
      <c r="G442" s="41" t="str">
        <f>IFERROR(IF(F442&gt;=0,D442*E442*(1+F442/100),ABS(D442*E442/F442)),"")</f>
        <v/>
      </c>
      <c r="H442" s="42" t="str">
        <f>IFERROR(G442*E424,"")</f>
        <v/>
      </c>
    </row>
    <row r="443" spans="1:11" ht="12.75" customHeight="1" thickTop="1" thickBot="1"/>
    <row r="444" spans="1:11" ht="12.75" customHeight="1" thickTop="1" thickBot="1">
      <c r="A444" s="6" t="s">
        <v>2473</v>
      </c>
      <c r="B444" s="7" t="str">
        <f>VLOOKUP($A444,Presupuesto!$A:$D,2,FALSE())</f>
        <v>Barrera vía resalto c 20.7Mpa poli acostado</v>
      </c>
      <c r="C444" s="8" t="str">
        <f>VLOOKUP($A444,Presupuesto!$A:$D,3,FALSE())</f>
        <v>M</v>
      </c>
      <c r="D444" s="9"/>
      <c r="E444" s="10">
        <f>VLOOKUP($A444,Presupuesto!$A:$D,4,FALSE())</f>
        <v>0</v>
      </c>
      <c r="F444" s="11" t="s">
        <v>2589</v>
      </c>
      <c r="G444" s="12">
        <f>SUM(G446:G462)/2</f>
        <v>108527.05924628919</v>
      </c>
      <c r="H444" s="13">
        <f>ROUND(SUM(H446:H462),0)/2</f>
        <v>0</v>
      </c>
      <c r="I444" s="10">
        <f>VLOOKUP(A444,Presupuesto!$A:$F,6,0)</f>
        <v>0</v>
      </c>
      <c r="J444" s="10">
        <f>+H444-I444</f>
        <v>0</v>
      </c>
      <c r="K444" s="46">
        <f>+H444-G444*E444</f>
        <v>0</v>
      </c>
    </row>
    <row r="445" spans="1:11" ht="12.75" customHeight="1" thickTop="1">
      <c r="A445" s="14"/>
      <c r="B445" s="15" t="s">
        <v>2586</v>
      </c>
      <c r="C445" s="15" t="s">
        <v>5</v>
      </c>
      <c r="D445" s="16" t="s">
        <v>6</v>
      </c>
      <c r="E445" s="17" t="s">
        <v>7</v>
      </c>
      <c r="F445" s="18" t="s">
        <v>3728</v>
      </c>
      <c r="G445" s="19" t="s">
        <v>3729</v>
      </c>
      <c r="H445" s="20" t="s">
        <v>3797</v>
      </c>
    </row>
    <row r="446" spans="1:11" ht="12.75" customHeight="1">
      <c r="A446" s="21"/>
      <c r="B446" s="22" t="s">
        <v>3730</v>
      </c>
      <c r="C446" s="23"/>
      <c r="D446" s="24"/>
      <c r="E446" s="25"/>
      <c r="F446" s="26"/>
      <c r="G446" s="27">
        <f>SUM(G447:G451)</f>
        <v>67263.273191320448</v>
      </c>
      <c r="H446" s="27">
        <f>IFERROR(G446*E444,"")</f>
        <v>0</v>
      </c>
    </row>
    <row r="447" spans="1:11" ht="12.75" customHeight="1">
      <c r="A447" s="28"/>
      <c r="B447" s="29" t="s">
        <v>3239</v>
      </c>
      <c r="C447" s="30" t="str">
        <f>IFERROR(_xlfn.XLOOKUP(B447,Insumo[DESCRIPCION],Insumo[UND],,0),"")</f>
        <v>M3</v>
      </c>
      <c r="D447" s="31">
        <v>0.08</v>
      </c>
      <c r="E447" s="32">
        <f>IFERROR(_xlfn.XLOOKUP($B447,Insumo[DESCRIPCION],Insumo[VALOR],,0),"")</f>
        <v>521159.50227762427</v>
      </c>
      <c r="F447" s="33">
        <v>5</v>
      </c>
      <c r="G447" s="34">
        <f>IFERROR(IF(F447&gt;=0,D447*E447*(1+F447/100),ABS(D447*E447/F447)),"")</f>
        <v>43777.398191320448</v>
      </c>
      <c r="H447" s="43">
        <f>IFERROR(G447*E444,"")</f>
        <v>0</v>
      </c>
    </row>
    <row r="448" spans="1:11" ht="12.75" customHeight="1">
      <c r="A448" s="28"/>
      <c r="B448" s="29" t="s">
        <v>3337</v>
      </c>
      <c r="C448" s="30" t="str">
        <f>IFERROR(_xlfn.XLOOKUP(B448,Insumo[DESCRIPCION],Insumo[UND],,0),"")</f>
        <v>Un</v>
      </c>
      <c r="D448" s="31">
        <v>0.5</v>
      </c>
      <c r="E448" s="32">
        <f>IFERROR(_xlfn.XLOOKUP($B448,Insumo[DESCRIPCION],Insumo[VALOR],,0),"")</f>
        <v>12350.1</v>
      </c>
      <c r="F448" s="33"/>
      <c r="G448" s="34">
        <f>IFERROR(IF(F448&gt;=0,D448*E448*(1+F448/100),ABS(D448*E448/F448)),"")</f>
        <v>6175.05</v>
      </c>
      <c r="H448" s="43">
        <f>IFERROR(G448*E444,"")</f>
        <v>0</v>
      </c>
    </row>
    <row r="449" spans="1:11" ht="12.75" customHeight="1">
      <c r="A449" s="28"/>
      <c r="B449" s="29" t="s">
        <v>3307</v>
      </c>
      <c r="C449" s="30" t="str">
        <f>IFERROR(_xlfn.XLOOKUP(B449,Insumo[DESCRIPCION],Insumo[UND],,0),"")</f>
        <v>Kg</v>
      </c>
      <c r="D449" s="31">
        <v>0.1</v>
      </c>
      <c r="E449" s="32">
        <f>IFERROR(_xlfn.XLOOKUP($B449,Insumo[DESCRIPCION],Insumo[VALOR],,0),"")</f>
        <v>173108.25</v>
      </c>
      <c r="F449" s="33"/>
      <c r="G449" s="34">
        <f>IFERROR(IF(F449&gt;=0,D449*E449*(1+F449/100),ABS(D449*E449/F449)),"")</f>
        <v>17310.825000000001</v>
      </c>
      <c r="H449" s="43">
        <f>IFERROR(G449*E444,"")</f>
        <v>0</v>
      </c>
    </row>
    <row r="450" spans="1:11" ht="12.75" customHeight="1">
      <c r="A450" s="28"/>
      <c r="B450" s="29"/>
      <c r="C450" s="30" t="str">
        <f>IFERROR(_xlfn.XLOOKUP(B450,Insumo[DESCRIPCION],Insumo[UND],,0),"")</f>
        <v/>
      </c>
      <c r="D450" s="31"/>
      <c r="E450" s="32" t="str">
        <f>IFERROR(_xlfn.XLOOKUP($B450,Insumo[DESCRIPCION],Insumo[VALOR],,0),"")</f>
        <v/>
      </c>
      <c r="F450" s="33"/>
      <c r="G450" s="34" t="str">
        <f>IFERROR(IF(F450&gt;=0,D450*E450*(1+F450/100),ABS(D450*E450/F450)),"")</f>
        <v/>
      </c>
      <c r="H450" s="43" t="str">
        <f>IFERROR(G450*E444,"")</f>
        <v/>
      </c>
    </row>
    <row r="451" spans="1:11" ht="12.75" customHeight="1">
      <c r="A451" s="28"/>
      <c r="B451" s="29"/>
      <c r="C451" s="30" t="str">
        <f>IFERROR(_xlfn.XLOOKUP(B451,Insumo[DESCRIPCION],Insumo[UND],,0),"")</f>
        <v/>
      </c>
      <c r="D451" s="31"/>
      <c r="E451" s="32" t="str">
        <f>IFERROR(_xlfn.XLOOKUP($B451,Insumo[DESCRIPCION],Insumo[VALOR],,0),"")</f>
        <v/>
      </c>
      <c r="F451" s="33"/>
      <c r="G451" s="34" t="str">
        <f>IFERROR(IF(F451&gt;=0,D451*E451*(1+F451/100),ABS(D451*E451/F451)),"")</f>
        <v/>
      </c>
      <c r="H451" s="43" t="str">
        <f>IFERROR(G451*E444,"")</f>
        <v/>
      </c>
    </row>
    <row r="452" spans="1:11" ht="12.75" customHeight="1">
      <c r="A452" s="21"/>
      <c r="B452" s="22" t="s">
        <v>3731</v>
      </c>
      <c r="C452" s="23"/>
      <c r="D452" s="24"/>
      <c r="E452" s="25"/>
      <c r="F452" s="26"/>
      <c r="G452" s="27">
        <f>SUM(G453:G455)</f>
        <v>1964.9421930937506</v>
      </c>
      <c r="H452" s="44">
        <f>G452*E444</f>
        <v>0</v>
      </c>
    </row>
    <row r="453" spans="1:11" ht="12.75" customHeight="1">
      <c r="A453" s="28"/>
      <c r="B453" s="29" t="s">
        <v>3626</v>
      </c>
      <c r="C453" s="30" t="str">
        <f>IFERROR(_xlfn.XLOOKUP(B453,Equipo[DESCRIPCION],Equipo[UND],,0),"")</f>
        <v>%MO</v>
      </c>
      <c r="D453" s="31">
        <v>0.05</v>
      </c>
      <c r="E453" s="32">
        <f>IF(C453="%MO",G459,IFERROR(_xlfn.XLOOKUP($B453,Equipo[DESCRIPCION],Equipo[VALOR],,0),""))</f>
        <v>39298.843861875008</v>
      </c>
      <c r="F453" s="33"/>
      <c r="G453" s="34">
        <f>IFERROR(IF(F453&gt;=0,D453*E453*(1+F453/100),ABS(D453*E453/F453)),"")</f>
        <v>1964.9421930937506</v>
      </c>
      <c r="H453" s="43">
        <f>IFERROR(G453*E444,"")</f>
        <v>0</v>
      </c>
    </row>
    <row r="454" spans="1:11" ht="12.75" customHeight="1">
      <c r="A454" s="28"/>
      <c r="B454" s="29"/>
      <c r="C454" s="30" t="str">
        <f>IFERROR(_xlfn.XLOOKUP(B454,Equipo[DESCRIPCION],Equipo[UND],,0),"")</f>
        <v/>
      </c>
      <c r="D454" s="31"/>
      <c r="E454" s="32" t="str">
        <f>IF(C454="%MO",G459,IFERROR(_xlfn.XLOOKUP($B454,Equipo[DESCRIPCION],Equipo[VALOR],,0),""))</f>
        <v/>
      </c>
      <c r="F454" s="33"/>
      <c r="G454" s="34" t="str">
        <f>IFERROR(IF(F454&gt;=0,D454*E454*(1+F454/100),ABS(D454*E454/F454)),"")</f>
        <v/>
      </c>
      <c r="H454" s="43" t="str">
        <f>IFERROR(G454*E444,"")</f>
        <v/>
      </c>
    </row>
    <row r="455" spans="1:11" ht="12.75" customHeight="1">
      <c r="A455" s="28"/>
      <c r="B455" s="29"/>
      <c r="C455" s="30" t="str">
        <f>IFERROR(_xlfn.XLOOKUP(B455,Equipo[DESCRIPCION],Equipo[UND],,0),"")</f>
        <v/>
      </c>
      <c r="D455" s="31"/>
      <c r="E455" s="32" t="str">
        <f>IF(C455="%MO",G459,IFERROR(_xlfn.XLOOKUP($B455,Equipo[DESCRIPCION],Equipo[VALOR],,0),""))</f>
        <v/>
      </c>
      <c r="F455" s="33"/>
      <c r="G455" s="34" t="str">
        <f>IFERROR(IF(F455&gt;=0,D455*E455*(1+F455/100),ABS(D455*E455/F455)),"")</f>
        <v/>
      </c>
      <c r="H455" s="43" t="str">
        <f>IFERROR(G455*E444,"")</f>
        <v/>
      </c>
    </row>
    <row r="456" spans="1:11" ht="12.75" customHeight="1">
      <c r="A456" s="21"/>
      <c r="B456" s="22" t="s">
        <v>2533</v>
      </c>
      <c r="C456" s="23"/>
      <c r="D456" s="24"/>
      <c r="E456" s="25"/>
      <c r="F456" s="26"/>
      <c r="G456" s="27">
        <f>SUM(G457:G458)</f>
        <v>0</v>
      </c>
      <c r="H456" s="44">
        <f>G456*E444</f>
        <v>0</v>
      </c>
    </row>
    <row r="457" spans="1:11" ht="12.75" customHeight="1">
      <c r="A457" s="28"/>
      <c r="B457" s="29"/>
      <c r="C457" s="30" t="str">
        <f>IFERROR(_xlfn.XLOOKUP(B457,Transporte[DESCRIPCION],Transporte[UND],,0),"")</f>
        <v/>
      </c>
      <c r="D457" s="31"/>
      <c r="E457" s="32" t="str">
        <f>IFERROR(_xlfn.XLOOKUP($B457,Transporte[DESCRIPCION],Transporte[VALOR],,0),"")</f>
        <v/>
      </c>
      <c r="F457" s="33"/>
      <c r="G457" s="34" t="str">
        <f>IFERROR(IF(F457&gt;=0,D457*E457*(1+F457/100),ABS(D457*E457/F457)),"")</f>
        <v/>
      </c>
      <c r="H457" s="43" t="str">
        <f>IFERROR(G457*E444,"")</f>
        <v/>
      </c>
    </row>
    <row r="458" spans="1:11" ht="12.75" customHeight="1">
      <c r="A458" s="28"/>
      <c r="B458" s="29"/>
      <c r="C458" s="30" t="str">
        <f>IFERROR(_xlfn.XLOOKUP(B458,Transporte[DESCRIPCION],Transporte[UND],,0),"")</f>
        <v/>
      </c>
      <c r="D458" s="31"/>
      <c r="E458" s="32" t="str">
        <f>IFERROR(_xlfn.XLOOKUP($B458,Transporte[DESCRIPCION],Transporte[VALOR],,0),"")</f>
        <v/>
      </c>
      <c r="F458" s="33"/>
      <c r="G458" s="34" t="str">
        <f>IFERROR(IF(F458&gt;=0,D458*E458*(1+F458/100),ABS(D458*E458/F458)),"")</f>
        <v/>
      </c>
      <c r="H458" s="43" t="str">
        <f>IFERROR(G458*E444,"")</f>
        <v/>
      </c>
    </row>
    <row r="459" spans="1:11" ht="12.75" customHeight="1">
      <c r="A459" s="21"/>
      <c r="B459" s="22" t="s">
        <v>3732</v>
      </c>
      <c r="C459" s="23"/>
      <c r="D459" s="24"/>
      <c r="E459" s="25"/>
      <c r="F459" s="26"/>
      <c r="G459" s="27">
        <f>SUM(G460:G462)</f>
        <v>39298.843861875008</v>
      </c>
      <c r="H459" s="44">
        <f>G459*E444</f>
        <v>0</v>
      </c>
    </row>
    <row r="460" spans="1:11" ht="12.75" customHeight="1">
      <c r="A460" s="28"/>
      <c r="B460" s="29" t="s">
        <v>3710</v>
      </c>
      <c r="C460" s="30" t="str">
        <f>IFERROR(_xlfn.XLOOKUP(B460,MObra[DESCRIPCION],MObra[UN],,0),"")</f>
        <v>día</v>
      </c>
      <c r="D460" s="31">
        <v>1</v>
      </c>
      <c r="E460" s="32">
        <f>IFERROR(_xlfn.XLOOKUP($B460,MObra[DESCRIPCION],MObra[VALOR UNIT],,0),"")</f>
        <v>314390.75089500006</v>
      </c>
      <c r="F460" s="33">
        <v>-8</v>
      </c>
      <c r="G460" s="34">
        <f>IFERROR(IF(F460&gt;=0,D460*E460*(1+F460/100),ABS(D460*E460/F460)),"")</f>
        <v>39298.843861875008</v>
      </c>
      <c r="H460" s="43">
        <f>IFERROR(G460*E444,"")</f>
        <v>0</v>
      </c>
    </row>
    <row r="461" spans="1:11" ht="12.75" customHeight="1">
      <c r="A461" s="28"/>
      <c r="B461" s="29"/>
      <c r="C461" s="30" t="str">
        <f>IFERROR(_xlfn.XLOOKUP(B461,MObra[DESCRIPCION],MObra[UN],,0),"")</f>
        <v/>
      </c>
      <c r="D461" s="31"/>
      <c r="E461" s="32" t="str">
        <f>IFERROR(_xlfn.XLOOKUP($B461,MObra[DESCRIPCION],MObra[VALOR UNIT],,0),"")</f>
        <v/>
      </c>
      <c r="F461" s="33"/>
      <c r="G461" s="34" t="str">
        <f>IFERROR(IF(F461&gt;=0,D461*E461*(1+F461/100),ABS(D461*E461/F461)),"")</f>
        <v/>
      </c>
      <c r="H461" s="43" t="str">
        <f>IFERROR(G461*E444,"")</f>
        <v/>
      </c>
    </row>
    <row r="462" spans="1:11" ht="12.75" customHeight="1" thickBot="1">
      <c r="A462" s="35"/>
      <c r="B462" s="36"/>
      <c r="C462" s="37" t="str">
        <f>IFERROR(_xlfn.XLOOKUP(B462,MObra[DESCRIPCION],MObra[UN],,0),"")</f>
        <v/>
      </c>
      <c r="D462" s="38"/>
      <c r="E462" s="39" t="str">
        <f>IFERROR(_xlfn.XLOOKUP($B462,MObra[DESCRIPCION],MObra[VALOR UNIT],,0),"")</f>
        <v/>
      </c>
      <c r="F462" s="40"/>
      <c r="G462" s="41" t="str">
        <f>IFERROR(IF(F462&gt;=0,D462*E462*(1+F462/100),ABS(D462*E462/F462)),"")</f>
        <v/>
      </c>
      <c r="H462" s="42" t="str">
        <f>IFERROR(G462*E444,"")</f>
        <v/>
      </c>
    </row>
    <row r="463" spans="1:11" ht="12.75" customHeight="1" thickTop="1" thickBot="1"/>
    <row r="464" spans="1:11" ht="12.75" customHeight="1" thickTop="1" thickBot="1">
      <c r="A464" s="6" t="s">
        <v>2475</v>
      </c>
      <c r="B464" s="7" t="str">
        <f>VLOOKUP($A464,Presupuesto!$A:$D,2,FALSE())</f>
        <v>Bolardo en hierro fundido tipo M-63</v>
      </c>
      <c r="C464" s="8" t="str">
        <f>VLOOKUP($A464,Presupuesto!$A:$D,3,FALSE())</f>
        <v>Un</v>
      </c>
      <c r="D464" s="9"/>
      <c r="E464" s="10">
        <f>VLOOKUP($A464,Presupuesto!$A:$D,4,FALSE())</f>
        <v>0</v>
      </c>
      <c r="F464" s="11" t="s">
        <v>2589</v>
      </c>
      <c r="G464" s="12">
        <f>SUM(G466:G482)/2</f>
        <v>467725.90572837018</v>
      </c>
      <c r="H464" s="13">
        <f>ROUND(SUM(H466:H482),0)/2</f>
        <v>0</v>
      </c>
      <c r="I464" s="10">
        <f>VLOOKUP(A464,Presupuesto!$A:$F,6,0)</f>
        <v>0</v>
      </c>
      <c r="J464" s="10">
        <f>+H464-I464</f>
        <v>0</v>
      </c>
      <c r="K464" s="46">
        <f>+H464-G464*E464</f>
        <v>0</v>
      </c>
    </row>
    <row r="465" spans="1:8" ht="12.75" customHeight="1" thickTop="1">
      <c r="A465" s="14"/>
      <c r="B465" s="15" t="s">
        <v>2586</v>
      </c>
      <c r="C465" s="15" t="s">
        <v>5</v>
      </c>
      <c r="D465" s="16" t="s">
        <v>6</v>
      </c>
      <c r="E465" s="17" t="s">
        <v>7</v>
      </c>
      <c r="F465" s="18" t="s">
        <v>3728</v>
      </c>
      <c r="G465" s="19" t="s">
        <v>3729</v>
      </c>
      <c r="H465" s="20" t="s">
        <v>3797</v>
      </c>
    </row>
    <row r="466" spans="1:8" ht="12.75" customHeight="1">
      <c r="A466" s="21"/>
      <c r="B466" s="22" t="s">
        <v>3730</v>
      </c>
      <c r="C466" s="23"/>
      <c r="D466" s="24"/>
      <c r="E466" s="25"/>
      <c r="F466" s="26"/>
      <c r="G466" s="27">
        <f>SUM(G467:G471)</f>
        <v>412707.52432174515</v>
      </c>
      <c r="H466" s="27">
        <f>IFERROR(G466*E464,"")</f>
        <v>0</v>
      </c>
    </row>
    <row r="467" spans="1:8" ht="12.75" customHeight="1">
      <c r="A467" s="28"/>
      <c r="B467" s="29" t="s">
        <v>2758</v>
      </c>
      <c r="C467" s="30" t="str">
        <f>IFERROR(_xlfn.XLOOKUP(B467,Insumo[DESCRIPCION],Insumo[UND],,0),"")</f>
        <v>Un</v>
      </c>
      <c r="D467" s="31">
        <v>1</v>
      </c>
      <c r="E467" s="32">
        <f>IFERROR(_xlfn.XLOOKUP($B467,Insumo[DESCRIPCION],Insumo[VALOR],,0),"")</f>
        <v>396291</v>
      </c>
      <c r="F467" s="33"/>
      <c r="G467" s="34">
        <f>IFERROR(IF(F467&gt;=0,D467*E467*(1+F467/100),ABS(D467*E467/F467)),"")</f>
        <v>396291</v>
      </c>
      <c r="H467" s="43">
        <f>IFERROR(G467*E464,"")</f>
        <v>0</v>
      </c>
    </row>
    <row r="468" spans="1:8" ht="12.75" customHeight="1">
      <c r="A468" s="28"/>
      <c r="B468" s="29" t="s">
        <v>3239</v>
      </c>
      <c r="C468" s="30" t="str">
        <f>IFERROR(_xlfn.XLOOKUP(B468,Insumo[DESCRIPCION],Insumo[UND],,0),"")</f>
        <v>M3</v>
      </c>
      <c r="D468" s="31">
        <v>0.03</v>
      </c>
      <c r="E468" s="32">
        <f>IFERROR(_xlfn.XLOOKUP($B468,Insumo[DESCRIPCION],Insumo[VALOR],,0),"")</f>
        <v>521159.50227762427</v>
      </c>
      <c r="F468" s="33">
        <v>5</v>
      </c>
      <c r="G468" s="34">
        <f>IFERROR(IF(F468&gt;=0,D468*E468*(1+F468/100),ABS(D468*E468/F468)),"")</f>
        <v>16416.524321745164</v>
      </c>
      <c r="H468" s="43">
        <f>IFERROR(G468*E464,"")</f>
        <v>0</v>
      </c>
    </row>
    <row r="469" spans="1:8" ht="12.75" customHeight="1">
      <c r="A469" s="28"/>
      <c r="B469" s="29"/>
      <c r="C469" s="30" t="str">
        <f>IFERROR(_xlfn.XLOOKUP(B469,Insumo[DESCRIPCION],Insumo[UND],,0),"")</f>
        <v/>
      </c>
      <c r="D469" s="31"/>
      <c r="E469" s="32" t="str">
        <f>IFERROR(_xlfn.XLOOKUP($B469,Insumo[DESCRIPCION],Insumo[VALOR],,0),"")</f>
        <v/>
      </c>
      <c r="F469" s="33"/>
      <c r="G469" s="34" t="str">
        <f>IFERROR(IF(F469&gt;=0,D469*E469*(1+F469/100),ABS(D469*E469/F469)),"")</f>
        <v/>
      </c>
      <c r="H469" s="43" t="str">
        <f>IFERROR(G469*E464,"")</f>
        <v/>
      </c>
    </row>
    <row r="470" spans="1:8" ht="12.75" customHeight="1">
      <c r="A470" s="28"/>
      <c r="B470" s="29"/>
      <c r="C470" s="30" t="str">
        <f>IFERROR(_xlfn.XLOOKUP(B470,Insumo[DESCRIPCION],Insumo[UND],,0),"")</f>
        <v/>
      </c>
      <c r="D470" s="31"/>
      <c r="E470" s="32" t="str">
        <f>IFERROR(_xlfn.XLOOKUP($B470,Insumo[DESCRIPCION],Insumo[VALOR],,0),"")</f>
        <v/>
      </c>
      <c r="F470" s="33"/>
      <c r="G470" s="34" t="str">
        <f>IFERROR(IF(F470&gt;=0,D470*E470*(1+F470/100),ABS(D470*E470/F470)),"")</f>
        <v/>
      </c>
      <c r="H470" s="43" t="str">
        <f>IFERROR(G470*E464,"")</f>
        <v/>
      </c>
    </row>
    <row r="471" spans="1:8" ht="12.75" customHeight="1">
      <c r="A471" s="28"/>
      <c r="B471" s="29"/>
      <c r="C471" s="30" t="str">
        <f>IFERROR(_xlfn.XLOOKUP(B471,Insumo[DESCRIPCION],Insumo[UND],,0),"")</f>
        <v/>
      </c>
      <c r="D471" s="31"/>
      <c r="E471" s="32" t="str">
        <f>IFERROR(_xlfn.XLOOKUP($B471,Insumo[DESCRIPCION],Insumo[VALOR],,0),"")</f>
        <v/>
      </c>
      <c r="F471" s="33"/>
      <c r="G471" s="34" t="str">
        <f>IFERROR(IF(F471&gt;=0,D471*E471*(1+F471/100),ABS(D471*E471/F471)),"")</f>
        <v/>
      </c>
      <c r="H471" s="43" t="str">
        <f>IFERROR(G471*E464,"")</f>
        <v/>
      </c>
    </row>
    <row r="472" spans="1:8" ht="12.75" customHeight="1">
      <c r="A472" s="21"/>
      <c r="B472" s="22" t="s">
        <v>3731</v>
      </c>
      <c r="C472" s="23"/>
      <c r="D472" s="24"/>
      <c r="E472" s="25"/>
      <c r="F472" s="26"/>
      <c r="G472" s="27">
        <f>SUM(G473:G475)</f>
        <v>2619.9229241250009</v>
      </c>
      <c r="H472" s="44">
        <f>G472*E464</f>
        <v>0</v>
      </c>
    </row>
    <row r="473" spans="1:8" ht="12.75" customHeight="1">
      <c r="A473" s="28"/>
      <c r="B473" s="29" t="s">
        <v>3626</v>
      </c>
      <c r="C473" s="30" t="str">
        <f>IFERROR(_xlfn.XLOOKUP(B473,Equipo[DESCRIPCION],Equipo[UND],,0),"")</f>
        <v>%MO</v>
      </c>
      <c r="D473" s="31">
        <v>0.05</v>
      </c>
      <c r="E473" s="32">
        <f>IF(C473="%MO",G479,IFERROR(_xlfn.XLOOKUP($B473,Equipo[DESCRIPCION],Equipo[VALOR],,0),""))</f>
        <v>52398.458482500013</v>
      </c>
      <c r="F473" s="33"/>
      <c r="G473" s="34">
        <f>IFERROR(IF(F473&gt;=0,D473*E473*(1+F473/100),ABS(D473*E473/F473)),"")</f>
        <v>2619.9229241250009</v>
      </c>
      <c r="H473" s="43">
        <f>IFERROR(G473*E464,"")</f>
        <v>0</v>
      </c>
    </row>
    <row r="474" spans="1:8" ht="12.75" customHeight="1">
      <c r="A474" s="28"/>
      <c r="B474" s="29"/>
      <c r="C474" s="30" t="str">
        <f>IFERROR(_xlfn.XLOOKUP(B474,Equipo[DESCRIPCION],Equipo[UND],,0),"")</f>
        <v/>
      </c>
      <c r="D474" s="31"/>
      <c r="E474" s="32" t="str">
        <f>IF(C474="%MO",G479,IFERROR(_xlfn.XLOOKUP($B474,Equipo[DESCRIPCION],Equipo[VALOR],,0),""))</f>
        <v/>
      </c>
      <c r="F474" s="33"/>
      <c r="G474" s="34" t="str">
        <f>IFERROR(IF(F474&gt;=0,D474*E474*(1+F474/100),ABS(D474*E474/F474)),"")</f>
        <v/>
      </c>
      <c r="H474" s="43" t="str">
        <f>IFERROR(G474*E464,"")</f>
        <v/>
      </c>
    </row>
    <row r="475" spans="1:8" ht="12.75" customHeight="1">
      <c r="A475" s="28"/>
      <c r="B475" s="29"/>
      <c r="C475" s="30" t="str">
        <f>IFERROR(_xlfn.XLOOKUP(B475,Equipo[DESCRIPCION],Equipo[UND],,0),"")</f>
        <v/>
      </c>
      <c r="D475" s="31"/>
      <c r="E475" s="32" t="str">
        <f>IF(C475="%MO",G479,IFERROR(_xlfn.XLOOKUP($B475,Equipo[DESCRIPCION],Equipo[VALOR],,0),""))</f>
        <v/>
      </c>
      <c r="F475" s="33"/>
      <c r="G475" s="34" t="str">
        <f>IFERROR(IF(F475&gt;=0,D475*E475*(1+F475/100),ABS(D475*E475/F475)),"")</f>
        <v/>
      </c>
      <c r="H475" s="43" t="str">
        <f>IFERROR(G475*E464,"")</f>
        <v/>
      </c>
    </row>
    <row r="476" spans="1:8" ht="12.75" customHeight="1">
      <c r="A476" s="21"/>
      <c r="B476" s="22" t="s">
        <v>2533</v>
      </c>
      <c r="C476" s="23"/>
      <c r="D476" s="24"/>
      <c r="E476" s="25"/>
      <c r="F476" s="26"/>
      <c r="G476" s="27">
        <f>SUM(G477:G478)</f>
        <v>0</v>
      </c>
      <c r="H476" s="44">
        <f>G476*E464</f>
        <v>0</v>
      </c>
    </row>
    <row r="477" spans="1:8" ht="12.75" customHeight="1">
      <c r="A477" s="28"/>
      <c r="B477" s="29"/>
      <c r="C477" s="30" t="str">
        <f>IFERROR(_xlfn.XLOOKUP(B477,Transporte[DESCRIPCION],Transporte[UND],,0),"")</f>
        <v/>
      </c>
      <c r="D477" s="31"/>
      <c r="E477" s="32" t="str">
        <f>IFERROR(_xlfn.XLOOKUP($B477,Transporte[DESCRIPCION],Transporte[VALOR],,0),"")</f>
        <v/>
      </c>
      <c r="F477" s="33"/>
      <c r="G477" s="34" t="str">
        <f>IFERROR(IF(F477&gt;=0,D477*E477*(1+F477/100),ABS(D477*E477/F477)),"")</f>
        <v/>
      </c>
      <c r="H477" s="43" t="str">
        <f>IFERROR(G477*E464,"")</f>
        <v/>
      </c>
    </row>
    <row r="478" spans="1:8" ht="12.75" customHeight="1">
      <c r="A478" s="28"/>
      <c r="B478" s="29"/>
      <c r="C478" s="30" t="str">
        <f>IFERROR(_xlfn.XLOOKUP(B478,Transporte[DESCRIPCION],Transporte[UND],,0),"")</f>
        <v/>
      </c>
      <c r="D478" s="31"/>
      <c r="E478" s="32" t="str">
        <f>IFERROR(_xlfn.XLOOKUP($B478,Transporte[DESCRIPCION],Transporte[VALOR],,0),"")</f>
        <v/>
      </c>
      <c r="F478" s="33"/>
      <c r="G478" s="34" t="str">
        <f>IFERROR(IF(F478&gt;=0,D478*E478*(1+F478/100),ABS(D478*E478/F478)),"")</f>
        <v/>
      </c>
      <c r="H478" s="43" t="str">
        <f>IFERROR(G478*E464,"")</f>
        <v/>
      </c>
    </row>
    <row r="479" spans="1:8" ht="12.75" customHeight="1">
      <c r="A479" s="21"/>
      <c r="B479" s="22" t="s">
        <v>3732</v>
      </c>
      <c r="C479" s="23"/>
      <c r="D479" s="24"/>
      <c r="E479" s="25"/>
      <c r="F479" s="26"/>
      <c r="G479" s="27">
        <f>SUM(G480:G482)</f>
        <v>52398.458482500013</v>
      </c>
      <c r="H479" s="44">
        <f>G479*E464</f>
        <v>0</v>
      </c>
    </row>
    <row r="480" spans="1:8" ht="12.75" customHeight="1">
      <c r="A480" s="28"/>
      <c r="B480" s="29" t="s">
        <v>3710</v>
      </c>
      <c r="C480" s="30" t="str">
        <f>IFERROR(_xlfn.XLOOKUP(B480,MObra[DESCRIPCION],MObra[UN],,0),"")</f>
        <v>día</v>
      </c>
      <c r="D480" s="31">
        <v>1</v>
      </c>
      <c r="E480" s="32">
        <f>IFERROR(_xlfn.XLOOKUP($B480,MObra[DESCRIPCION],MObra[VALOR UNIT],,0),"")</f>
        <v>314390.75089500006</v>
      </c>
      <c r="F480" s="33">
        <v>-6</v>
      </c>
      <c r="G480" s="34">
        <f>IFERROR(IF(F480&gt;=0,D480*E480*(1+F480/100),ABS(D480*E480/F480)),"")</f>
        <v>52398.458482500013</v>
      </c>
      <c r="H480" s="43">
        <f>IFERROR(G480*E464,"")</f>
        <v>0</v>
      </c>
    </row>
    <row r="481" spans="1:11" ht="12.75" customHeight="1">
      <c r="A481" s="28"/>
      <c r="B481" s="29"/>
      <c r="C481" s="30" t="str">
        <f>IFERROR(_xlfn.XLOOKUP(B481,MObra[DESCRIPCION],MObra[UN],,0),"")</f>
        <v/>
      </c>
      <c r="D481" s="31"/>
      <c r="E481" s="32" t="str">
        <f>IFERROR(_xlfn.XLOOKUP($B481,MObra[DESCRIPCION],MObra[VALOR UNIT],,0),"")</f>
        <v/>
      </c>
      <c r="F481" s="33"/>
      <c r="G481" s="34" t="str">
        <f>IFERROR(IF(F481&gt;=0,D481*E481*(1+F481/100),ABS(D481*E481/F481)),"")</f>
        <v/>
      </c>
      <c r="H481" s="43" t="str">
        <f>IFERROR(G481*E464,"")</f>
        <v/>
      </c>
    </row>
    <row r="482" spans="1:11" ht="12.75" customHeight="1" thickBot="1">
      <c r="A482" s="35"/>
      <c r="B482" s="36"/>
      <c r="C482" s="37" t="str">
        <f>IFERROR(_xlfn.XLOOKUP(B482,MObra[DESCRIPCION],MObra[UN],,0),"")</f>
        <v/>
      </c>
      <c r="D482" s="38"/>
      <c r="E482" s="39" t="str">
        <f>IFERROR(_xlfn.XLOOKUP($B482,MObra[DESCRIPCION],MObra[VALOR UNIT],,0),"")</f>
        <v/>
      </c>
      <c r="F482" s="40"/>
      <c r="G482" s="41" t="str">
        <f>IFERROR(IF(F482&gt;=0,D482*E482*(1+F482/100),ABS(D482*E482/F482)),"")</f>
        <v/>
      </c>
      <c r="H482" s="42" t="str">
        <f>IFERROR(G482*E464,"")</f>
        <v/>
      </c>
    </row>
    <row r="483" spans="1:11" ht="12.75" customHeight="1" thickTop="1" thickBot="1"/>
    <row r="484" spans="1:11" ht="12.75" customHeight="1" thickTop="1" thickBot="1">
      <c r="A484" s="6" t="s">
        <v>2477</v>
      </c>
      <c r="B484" s="7" t="str">
        <f>VLOOKUP($A484,Presupuesto!$A:$D,2,FALSE())</f>
        <v>Bordillo C 20.7 Mpa sobre puente sección B &lt; 0.06 m3/m</v>
      </c>
      <c r="C484" s="8" t="str">
        <f>VLOOKUP($A484,Presupuesto!$A:$D,3,FALSE())</f>
        <v>M</v>
      </c>
      <c r="D484" s="9"/>
      <c r="E484" s="10">
        <f>VLOOKUP($A484,Presupuesto!$A:$D,4,FALSE())</f>
        <v>0</v>
      </c>
      <c r="F484" s="11" t="s">
        <v>2589</v>
      </c>
      <c r="G484" s="12">
        <f>SUM(G486:G502)/2</f>
        <v>42560.481807076983</v>
      </c>
      <c r="H484" s="13">
        <f>ROUND(SUM(H486:H502),0)/2</f>
        <v>0</v>
      </c>
      <c r="I484" s="10">
        <f>VLOOKUP(A484,Presupuesto!$A:$F,6,0)</f>
        <v>0</v>
      </c>
      <c r="J484" s="10">
        <f>+H484-I484</f>
        <v>0</v>
      </c>
      <c r="K484" s="46">
        <f>+H484-G484*E484</f>
        <v>0</v>
      </c>
    </row>
    <row r="485" spans="1:11" ht="12.75" customHeight="1" thickTop="1">
      <c r="A485" s="14"/>
      <c r="B485" s="15" t="s">
        <v>2586</v>
      </c>
      <c r="C485" s="15" t="s">
        <v>5</v>
      </c>
      <c r="D485" s="16" t="s">
        <v>6</v>
      </c>
      <c r="E485" s="17" t="s">
        <v>7</v>
      </c>
      <c r="F485" s="18" t="s">
        <v>3728</v>
      </c>
      <c r="G485" s="19" t="s">
        <v>3729</v>
      </c>
      <c r="H485" s="20" t="s">
        <v>3797</v>
      </c>
    </row>
    <row r="486" spans="1:11" ht="12.75" customHeight="1">
      <c r="A486" s="21"/>
      <c r="B486" s="22" t="s">
        <v>3730</v>
      </c>
      <c r="C486" s="23"/>
      <c r="D486" s="24"/>
      <c r="E486" s="25"/>
      <c r="F486" s="26"/>
      <c r="G486" s="27">
        <f>SUM(G487:G491)</f>
        <v>19080.150355974481</v>
      </c>
      <c r="H486" s="27">
        <f>IFERROR(G486*E484,"")</f>
        <v>0</v>
      </c>
    </row>
    <row r="487" spans="1:11" ht="12.75" customHeight="1">
      <c r="A487" s="28"/>
      <c r="B487" s="29" t="s">
        <v>2957</v>
      </c>
      <c r="C487" s="30" t="str">
        <f>IFERROR(_xlfn.XLOOKUP(B487,Insumo[DESCRIPCION],Insumo[UND],,0),"")</f>
        <v>M2</v>
      </c>
      <c r="D487" s="31">
        <v>0.06</v>
      </c>
      <c r="E487" s="32">
        <f>IFERROR(_xlfn.XLOOKUP($B487,Insumo[DESCRIPCION],Insumo[VALOR],,0),"")</f>
        <v>149544.7581937575</v>
      </c>
      <c r="F487" s="33"/>
      <c r="G487" s="34">
        <f>IFERROR(IF(F487&gt;=0,D487*E487*(1+F487/100),ABS(D487*E487/F487)),"")</f>
        <v>8972.6854916254506</v>
      </c>
      <c r="H487" s="43">
        <f>IFERROR(G487*E484,"")</f>
        <v>0</v>
      </c>
    </row>
    <row r="488" spans="1:11" ht="12.75" customHeight="1">
      <c r="A488" s="28"/>
      <c r="B488" s="29" t="s">
        <v>3239</v>
      </c>
      <c r="C488" s="30" t="str">
        <f>IFERROR(_xlfn.XLOOKUP(B488,Insumo[DESCRIPCION],Insumo[UND],,0),"")</f>
        <v>M3</v>
      </c>
      <c r="D488" s="31">
        <v>6.0000000000000001E-3</v>
      </c>
      <c r="E488" s="32">
        <f>IFERROR(_xlfn.XLOOKUP($B488,Insumo[DESCRIPCION],Insumo[VALOR],,0),"")</f>
        <v>521159.50227762427</v>
      </c>
      <c r="F488" s="33">
        <v>5</v>
      </c>
      <c r="G488" s="34">
        <f>IFERROR(IF(F488&gt;=0,D488*E488*(1+F488/100),ABS(D488*E488/F488)),"")</f>
        <v>3283.3048643490333</v>
      </c>
      <c r="H488" s="43">
        <f>IFERROR(G488*E484,"")</f>
        <v>0</v>
      </c>
    </row>
    <row r="489" spans="1:11" ht="12.75" customHeight="1">
      <c r="A489" s="28"/>
      <c r="B489" s="29" t="s">
        <v>2653</v>
      </c>
      <c r="C489" s="30" t="str">
        <f>IFERROR(_xlfn.XLOOKUP(B489,Insumo[DESCRIPCION],Insumo[UND],,0),"")</f>
        <v>Kg</v>
      </c>
      <c r="D489" s="31">
        <v>1.2</v>
      </c>
      <c r="E489" s="32">
        <f>IFERROR(_xlfn.XLOOKUP($B489,Insumo[DESCRIPCION],Insumo[VALOR],,0),"")</f>
        <v>5686.8</v>
      </c>
      <c r="F489" s="33"/>
      <c r="G489" s="34">
        <f>IFERROR(IF(F489&gt;=0,D489*E489*(1+F489/100),ABS(D489*E489/F489)),"")</f>
        <v>6824.16</v>
      </c>
      <c r="H489" s="43">
        <f>IFERROR(G489*E484,"")</f>
        <v>0</v>
      </c>
    </row>
    <row r="490" spans="1:11" ht="12.75" customHeight="1">
      <c r="A490" s="28"/>
      <c r="B490" s="29"/>
      <c r="C490" s="30" t="str">
        <f>IFERROR(_xlfn.XLOOKUP(B490,Insumo[DESCRIPCION],Insumo[UND],,0),"")</f>
        <v/>
      </c>
      <c r="D490" s="31"/>
      <c r="E490" s="32" t="str">
        <f>IFERROR(_xlfn.XLOOKUP($B490,Insumo[DESCRIPCION],Insumo[VALOR],,0),"")</f>
        <v/>
      </c>
      <c r="F490" s="33"/>
      <c r="G490" s="34" t="str">
        <f>IFERROR(IF(F490&gt;=0,D490*E490*(1+F490/100),ABS(D490*E490/F490)),"")</f>
        <v/>
      </c>
      <c r="H490" s="43" t="str">
        <f>IFERROR(G490*E484,"")</f>
        <v/>
      </c>
    </row>
    <row r="491" spans="1:11" ht="12.75" customHeight="1">
      <c r="A491" s="28"/>
      <c r="B491" s="29"/>
      <c r="C491" s="30" t="str">
        <f>IFERROR(_xlfn.XLOOKUP(B491,Insumo[DESCRIPCION],Insumo[UND],,0),"")</f>
        <v/>
      </c>
      <c r="D491" s="31"/>
      <c r="E491" s="32" t="str">
        <f>IFERROR(_xlfn.XLOOKUP($B491,Insumo[DESCRIPCION],Insumo[VALOR],,0),"")</f>
        <v/>
      </c>
      <c r="F491" s="33"/>
      <c r="G491" s="34" t="str">
        <f>IFERROR(IF(F491&gt;=0,D491*E491*(1+F491/100),ABS(D491*E491/F491)),"")</f>
        <v/>
      </c>
      <c r="H491" s="43" t="str">
        <f>IFERROR(G491*E484,"")</f>
        <v/>
      </c>
    </row>
    <row r="492" spans="1:11" ht="12.75" customHeight="1">
      <c r="A492" s="21"/>
      <c r="B492" s="22" t="s">
        <v>3731</v>
      </c>
      <c r="C492" s="23"/>
      <c r="D492" s="24"/>
      <c r="E492" s="25"/>
      <c r="F492" s="26"/>
      <c r="G492" s="27">
        <f>SUM(G493:G495)</f>
        <v>1938.7429638525005</v>
      </c>
      <c r="H492" s="44">
        <f>G492*E484</f>
        <v>0</v>
      </c>
    </row>
    <row r="493" spans="1:11" ht="12.75" customHeight="1">
      <c r="A493" s="28"/>
      <c r="B493" s="29" t="s">
        <v>3570</v>
      </c>
      <c r="C493" s="30" t="str">
        <f>IFERROR(_xlfn.XLOOKUP(B493,Equipo[DESCRIPCION],Equipo[UND],,0),"")</f>
        <v>%MO</v>
      </c>
      <c r="D493" s="31">
        <v>0.04</v>
      </c>
      <c r="E493" s="32">
        <f>IF(C493="%MO",G499,IFERROR(_xlfn.XLOOKUP($B493,Equipo[DESCRIPCION],Equipo[VALOR],,0),""))</f>
        <v>21541.588487250003</v>
      </c>
      <c r="F493" s="33"/>
      <c r="G493" s="34">
        <f>IFERROR(IF(F493&gt;=0,D493*E493*(1+F493/100),ABS(D493*E493/F493)),"")</f>
        <v>861.66353949000018</v>
      </c>
      <c r="H493" s="43">
        <f>IFERROR(G493*E484,"")</f>
        <v>0</v>
      </c>
    </row>
    <row r="494" spans="1:11" ht="12.75" customHeight="1">
      <c r="A494" s="28"/>
      <c r="B494" s="29" t="s">
        <v>3626</v>
      </c>
      <c r="C494" s="30" t="str">
        <f>IFERROR(_xlfn.XLOOKUP(B494,Equipo[DESCRIPCION],Equipo[UND],,0),"")</f>
        <v>%MO</v>
      </c>
      <c r="D494" s="31">
        <v>0.05</v>
      </c>
      <c r="E494" s="32">
        <f>IF(C494="%MO",G499,IFERROR(_xlfn.XLOOKUP($B494,Equipo[DESCRIPCION],Equipo[VALOR],,0),""))</f>
        <v>21541.588487250003</v>
      </c>
      <c r="F494" s="33"/>
      <c r="G494" s="34">
        <f>IFERROR(IF(F494&gt;=0,D494*E494*(1+F494/100),ABS(D494*E494/F494)),"")</f>
        <v>1077.0794243625003</v>
      </c>
      <c r="H494" s="43">
        <f>IFERROR(G494*E484,"")</f>
        <v>0</v>
      </c>
    </row>
    <row r="495" spans="1:11" ht="12.75" customHeight="1">
      <c r="A495" s="28"/>
      <c r="B495" s="29"/>
      <c r="C495" s="30" t="str">
        <f>IFERROR(_xlfn.XLOOKUP(B495,Equipo[DESCRIPCION],Equipo[UND],,0),"")</f>
        <v/>
      </c>
      <c r="D495" s="31"/>
      <c r="E495" s="32" t="str">
        <f>IF(C495="%MO",G499,IFERROR(_xlfn.XLOOKUP($B495,Equipo[DESCRIPCION],Equipo[VALOR],,0),""))</f>
        <v/>
      </c>
      <c r="F495" s="33"/>
      <c r="G495" s="34" t="str">
        <f>IFERROR(IF(F495&gt;=0,D495*E495*(1+F495/100),ABS(D495*E495/F495)),"")</f>
        <v/>
      </c>
      <c r="H495" s="43" t="str">
        <f>IFERROR(G495*E484,"")</f>
        <v/>
      </c>
    </row>
    <row r="496" spans="1:11" ht="12.75" customHeight="1">
      <c r="A496" s="21"/>
      <c r="B496" s="22" t="s">
        <v>2533</v>
      </c>
      <c r="C496" s="23"/>
      <c r="D496" s="24"/>
      <c r="E496" s="25"/>
      <c r="F496" s="26"/>
      <c r="G496" s="27">
        <f>SUM(G497:G498)</f>
        <v>0</v>
      </c>
      <c r="H496" s="44">
        <f>G496*E484</f>
        <v>0</v>
      </c>
    </row>
    <row r="497" spans="1:11" ht="12.75" customHeight="1">
      <c r="A497" s="28"/>
      <c r="B497" s="29"/>
      <c r="C497" s="30" t="str">
        <f>IFERROR(_xlfn.XLOOKUP(B497,Transporte[DESCRIPCION],Transporte[UND],,0),"")</f>
        <v/>
      </c>
      <c r="D497" s="31"/>
      <c r="E497" s="32" t="str">
        <f>IFERROR(_xlfn.XLOOKUP($B497,Transporte[DESCRIPCION],Transporte[VALOR],,0),"")</f>
        <v/>
      </c>
      <c r="F497" s="33"/>
      <c r="G497" s="34" t="str">
        <f>IFERROR(IF(F497&gt;=0,D497*E497*(1+F497/100),ABS(D497*E497/F497)),"")</f>
        <v/>
      </c>
      <c r="H497" s="43" t="str">
        <f>IFERROR(G497*E484,"")</f>
        <v/>
      </c>
    </row>
    <row r="498" spans="1:11" ht="12.75" customHeight="1">
      <c r="A498" s="28"/>
      <c r="B498" s="29"/>
      <c r="C498" s="30" t="str">
        <f>IFERROR(_xlfn.XLOOKUP(B498,Transporte[DESCRIPCION],Transporte[UND],,0),"")</f>
        <v/>
      </c>
      <c r="D498" s="31"/>
      <c r="E498" s="32" t="str">
        <f>IFERROR(_xlfn.XLOOKUP($B498,Transporte[DESCRIPCION],Transporte[VALOR],,0),"")</f>
        <v/>
      </c>
      <c r="F498" s="33"/>
      <c r="G498" s="34" t="str">
        <f>IFERROR(IF(F498&gt;=0,D498*E498*(1+F498/100),ABS(D498*E498/F498)),"")</f>
        <v/>
      </c>
      <c r="H498" s="43" t="str">
        <f>IFERROR(G498*E484,"")</f>
        <v/>
      </c>
    </row>
    <row r="499" spans="1:11" ht="12.75" customHeight="1">
      <c r="A499" s="21"/>
      <c r="B499" s="22" t="s">
        <v>3732</v>
      </c>
      <c r="C499" s="23"/>
      <c r="D499" s="24"/>
      <c r="E499" s="25"/>
      <c r="F499" s="26"/>
      <c r="G499" s="27">
        <f>SUM(G500:G502)</f>
        <v>21541.588487250003</v>
      </c>
      <c r="H499" s="44">
        <f>G499*E484</f>
        <v>0</v>
      </c>
    </row>
    <row r="500" spans="1:11" ht="12.75" customHeight="1">
      <c r="A500" s="28"/>
      <c r="B500" s="29" t="s">
        <v>3711</v>
      </c>
      <c r="C500" s="30" t="str">
        <f>IFERROR(_xlfn.XLOOKUP(B500,MObra[DESCRIPCION],MObra[UN],,0),"")</f>
        <v>día</v>
      </c>
      <c r="D500" s="31">
        <v>1</v>
      </c>
      <c r="E500" s="32">
        <f>IFERROR(_xlfn.XLOOKUP($B500,MObra[DESCRIPCION],MObra[VALOR UNIT],,0),"")</f>
        <v>430831.76974500006</v>
      </c>
      <c r="F500" s="33">
        <v>-20</v>
      </c>
      <c r="G500" s="34">
        <f>IFERROR(IF(F500&gt;=0,D500*E500*(1+F500/100),ABS(D500*E500/F500)),"")</f>
        <v>21541.588487250003</v>
      </c>
      <c r="H500" s="43">
        <f>IFERROR(G500*E484,"")</f>
        <v>0</v>
      </c>
    </row>
    <row r="501" spans="1:11" ht="12.75" customHeight="1">
      <c r="A501" s="28"/>
      <c r="B501" s="29"/>
      <c r="C501" s="30" t="str">
        <f>IFERROR(_xlfn.XLOOKUP(B501,MObra[DESCRIPCION],MObra[UN],,0),"")</f>
        <v/>
      </c>
      <c r="D501" s="31"/>
      <c r="E501" s="32" t="str">
        <f>IFERROR(_xlfn.XLOOKUP($B501,MObra[DESCRIPCION],MObra[VALOR UNIT],,0),"")</f>
        <v/>
      </c>
      <c r="F501" s="33"/>
      <c r="G501" s="34" t="str">
        <f>IFERROR(IF(F501&gt;=0,D501*E501*(1+F501/100),ABS(D501*E501/F501)),"")</f>
        <v/>
      </c>
      <c r="H501" s="43" t="str">
        <f>IFERROR(G501*E484,"")</f>
        <v/>
      </c>
    </row>
    <row r="502" spans="1:11" ht="12.75" customHeight="1" thickBot="1">
      <c r="A502" s="35"/>
      <c r="B502" s="36"/>
      <c r="C502" s="37" t="str">
        <f>IFERROR(_xlfn.XLOOKUP(B502,MObra[DESCRIPCION],MObra[UN],,0),"")</f>
        <v/>
      </c>
      <c r="D502" s="38"/>
      <c r="E502" s="39" t="str">
        <f>IFERROR(_xlfn.XLOOKUP($B502,MObra[DESCRIPCION],MObra[VALOR UNIT],,0),"")</f>
        <v/>
      </c>
      <c r="F502" s="40"/>
      <c r="G502" s="41" t="str">
        <f>IFERROR(IF(F502&gt;=0,D502*E502*(1+F502/100),ABS(D502*E502/F502)),"")</f>
        <v/>
      </c>
      <c r="H502" s="42" t="str">
        <f>IFERROR(G502*E484,"")</f>
        <v/>
      </c>
    </row>
    <row r="503" spans="1:11" ht="12.75" customHeight="1" thickTop="1" thickBot="1"/>
    <row r="504" spans="1:11" ht="12.75" customHeight="1" thickTop="1" thickBot="1">
      <c r="A504" s="6" t="s">
        <v>2479</v>
      </c>
      <c r="B504" s="7" t="str">
        <f>VLOOKUP($A504,Presupuesto!$A:$D,2,FALSE())</f>
        <v>Bordillo en concreto 20.7 Mpa 10x12 cm</v>
      </c>
      <c r="C504" s="8" t="str">
        <f>VLOOKUP($A504,Presupuesto!$A:$D,3,FALSE())</f>
        <v>M</v>
      </c>
      <c r="D504" s="9"/>
      <c r="E504" s="10">
        <f>VLOOKUP($A504,Presupuesto!$A:$D,4,FALSE())</f>
        <v>0</v>
      </c>
      <c r="F504" s="11" t="s">
        <v>2589</v>
      </c>
      <c r="G504" s="12">
        <f>SUM(G506:G522)/2</f>
        <v>51848.347454598974</v>
      </c>
      <c r="H504" s="13">
        <f>ROUND(SUM(H506:H522),0)/2</f>
        <v>0</v>
      </c>
      <c r="I504" s="10">
        <f>VLOOKUP(A504,Presupuesto!$A:$F,6,0)</f>
        <v>0</v>
      </c>
      <c r="J504" s="10">
        <f>+H504-I504</f>
        <v>0</v>
      </c>
      <c r="K504" s="46">
        <f>+H504-G504*E504</f>
        <v>0</v>
      </c>
    </row>
    <row r="505" spans="1:11" ht="12.75" customHeight="1" thickTop="1">
      <c r="A505" s="14"/>
      <c r="B505" s="15" t="s">
        <v>2586</v>
      </c>
      <c r="C505" s="15" t="s">
        <v>5</v>
      </c>
      <c r="D505" s="16" t="s">
        <v>6</v>
      </c>
      <c r="E505" s="17" t="s">
        <v>7</v>
      </c>
      <c r="F505" s="18" t="s">
        <v>3728</v>
      </c>
      <c r="G505" s="19" t="s">
        <v>3729</v>
      </c>
      <c r="H505" s="20" t="s">
        <v>3797</v>
      </c>
    </row>
    <row r="506" spans="1:11" ht="12.75" customHeight="1">
      <c r="A506" s="21"/>
      <c r="B506" s="22" t="s">
        <v>3730</v>
      </c>
      <c r="C506" s="23"/>
      <c r="D506" s="24"/>
      <c r="E506" s="25"/>
      <c r="F506" s="26"/>
      <c r="G506" s="27">
        <f>SUM(G507:G511)</f>
        <v>29840.994891948965</v>
      </c>
      <c r="H506" s="27">
        <f>IFERROR(G506*E504,"")</f>
        <v>0</v>
      </c>
    </row>
    <row r="507" spans="1:11" ht="12.75" customHeight="1">
      <c r="A507" s="28"/>
      <c r="B507" s="29" t="s">
        <v>2954</v>
      </c>
      <c r="C507" s="30" t="str">
        <f>IFERROR(_xlfn.XLOOKUP(B507,Insumo[DESCRIPCION],Insumo[UND],,0),"")</f>
        <v>M2</v>
      </c>
      <c r="D507" s="31">
        <v>0.2</v>
      </c>
      <c r="E507" s="32">
        <f>IFERROR(_xlfn.XLOOKUP($B507,Insumo[DESCRIPCION],Insumo[VALOR],,0),"")</f>
        <v>102154.92581625449</v>
      </c>
      <c r="F507" s="33"/>
      <c r="G507" s="34">
        <f>IFERROR(IF(F507&gt;=0,D507*E507*(1+F507/100),ABS(D507*E507/F507)),"")</f>
        <v>20430.985163250898</v>
      </c>
      <c r="H507" s="43">
        <f>IFERROR(G507*E504,"")</f>
        <v>0</v>
      </c>
    </row>
    <row r="508" spans="1:11" ht="12.75" customHeight="1">
      <c r="A508" s="28"/>
      <c r="B508" s="29" t="s">
        <v>3239</v>
      </c>
      <c r="C508" s="30" t="str">
        <f>IFERROR(_xlfn.XLOOKUP(B508,Insumo[DESCRIPCION],Insumo[UND],,0),"")</f>
        <v>M3</v>
      </c>
      <c r="D508" s="31">
        <f>0.1*0.12</f>
        <v>1.2E-2</v>
      </c>
      <c r="E508" s="32">
        <f>IFERROR(_xlfn.XLOOKUP($B508,Insumo[DESCRIPCION],Insumo[VALOR],,0),"")</f>
        <v>521159.50227762427</v>
      </c>
      <c r="F508" s="33">
        <v>5</v>
      </c>
      <c r="G508" s="34">
        <f>IFERROR(IF(F508&gt;=0,D508*E508*(1+F508/100),ABS(D508*E508/F508)),"")</f>
        <v>6566.6097286980666</v>
      </c>
      <c r="H508" s="43">
        <f>IFERROR(G508*E504,"")</f>
        <v>0</v>
      </c>
    </row>
    <row r="509" spans="1:11" ht="12.75" customHeight="1">
      <c r="A509" s="28"/>
      <c r="B509" s="29" t="s">
        <v>2653</v>
      </c>
      <c r="C509" s="30" t="str">
        <f>IFERROR(_xlfn.XLOOKUP(B509,Insumo[DESCRIPCION],Insumo[UND],,0),"")</f>
        <v>Kg</v>
      </c>
      <c r="D509" s="31">
        <f>2*0.25</f>
        <v>0.5</v>
      </c>
      <c r="E509" s="32">
        <f>IFERROR(_xlfn.XLOOKUP($B509,Insumo[DESCRIPCION],Insumo[VALOR],,0),"")</f>
        <v>5686.8</v>
      </c>
      <c r="F509" s="33"/>
      <c r="G509" s="34">
        <f>IFERROR(IF(F509&gt;=0,D509*E509*(1+F509/100),ABS(D509*E509/F509)),"")</f>
        <v>2843.4</v>
      </c>
      <c r="H509" s="43">
        <f>IFERROR(G509*E504,"")</f>
        <v>0</v>
      </c>
    </row>
    <row r="510" spans="1:11" ht="12.75" customHeight="1">
      <c r="A510" s="28"/>
      <c r="B510" s="29"/>
      <c r="C510" s="30" t="str">
        <f>IFERROR(_xlfn.XLOOKUP(B510,Insumo[DESCRIPCION],Insumo[UND],,0),"")</f>
        <v/>
      </c>
      <c r="D510" s="31"/>
      <c r="E510" s="32" t="str">
        <f>IFERROR(_xlfn.XLOOKUP($B510,Insumo[DESCRIPCION],Insumo[VALOR],,0),"")</f>
        <v/>
      </c>
      <c r="F510" s="33"/>
      <c r="G510" s="34" t="str">
        <f>IFERROR(IF(F510&gt;=0,D510*E510*(1+F510/100),ABS(D510*E510/F510)),"")</f>
        <v/>
      </c>
      <c r="H510" s="43" t="str">
        <f>IFERROR(G510*E504,"")</f>
        <v/>
      </c>
    </row>
    <row r="511" spans="1:11" ht="12.75" customHeight="1">
      <c r="A511" s="28"/>
      <c r="B511" s="29"/>
      <c r="C511" s="30" t="str">
        <f>IFERROR(_xlfn.XLOOKUP(B511,Insumo[DESCRIPCION],Insumo[UND],,0),"")</f>
        <v/>
      </c>
      <c r="D511" s="31"/>
      <c r="E511" s="32" t="str">
        <f>IFERROR(_xlfn.XLOOKUP($B511,Insumo[DESCRIPCION],Insumo[VALOR],,0),"")</f>
        <v/>
      </c>
      <c r="F511" s="33"/>
      <c r="G511" s="34" t="str">
        <f>IFERROR(IF(F511&gt;=0,D511*E511*(1+F511/100),ABS(D511*E511/F511)),"")</f>
        <v/>
      </c>
      <c r="H511" s="43" t="str">
        <f>IFERROR(G511*E504,"")</f>
        <v/>
      </c>
    </row>
    <row r="512" spans="1:11" ht="12.75" customHeight="1">
      <c r="A512" s="21"/>
      <c r="B512" s="22" t="s">
        <v>3731</v>
      </c>
      <c r="C512" s="23"/>
      <c r="D512" s="24"/>
      <c r="E512" s="25"/>
      <c r="F512" s="26"/>
      <c r="G512" s="27">
        <f>SUM(G513:G515)</f>
        <v>1047.9691696500001</v>
      </c>
      <c r="H512" s="44">
        <f>G512*E504</f>
        <v>0</v>
      </c>
    </row>
    <row r="513" spans="1:11" ht="12.75" customHeight="1">
      <c r="A513" s="28"/>
      <c r="B513" s="29" t="s">
        <v>3626</v>
      </c>
      <c r="C513" s="30" t="str">
        <f>IFERROR(_xlfn.XLOOKUP(B513,Equipo[DESCRIPCION],Equipo[UND],,0),"")</f>
        <v>%MO</v>
      </c>
      <c r="D513" s="31">
        <v>0.05</v>
      </c>
      <c r="E513" s="32">
        <f>IF(C513="%MO",G519,IFERROR(_xlfn.XLOOKUP($B513,Equipo[DESCRIPCION],Equipo[VALOR],,0),""))</f>
        <v>20959.383393000004</v>
      </c>
      <c r="F513" s="33"/>
      <c r="G513" s="34">
        <f>IFERROR(IF(F513&gt;=0,D513*E513*(1+F513/100),ABS(D513*E513/F513)),"")</f>
        <v>1047.9691696500001</v>
      </c>
      <c r="H513" s="43">
        <f>IFERROR(G513*E504,"")</f>
        <v>0</v>
      </c>
    </row>
    <row r="514" spans="1:11" ht="12.75" customHeight="1">
      <c r="A514" s="28"/>
      <c r="B514" s="29"/>
      <c r="C514" s="30" t="str">
        <f>IFERROR(_xlfn.XLOOKUP(B514,Equipo[DESCRIPCION],Equipo[UND],,0),"")</f>
        <v/>
      </c>
      <c r="D514" s="31"/>
      <c r="E514" s="32" t="str">
        <f>IF(C514="%MO",G519,IFERROR(_xlfn.XLOOKUP($B514,Equipo[DESCRIPCION],Equipo[VALOR],,0),""))</f>
        <v/>
      </c>
      <c r="F514" s="33"/>
      <c r="G514" s="34" t="str">
        <f>IFERROR(IF(F514&gt;=0,D514*E514*(1+F514/100),ABS(D514*E514/F514)),"")</f>
        <v/>
      </c>
      <c r="H514" s="43" t="str">
        <f>IFERROR(G514*E504,"")</f>
        <v/>
      </c>
    </row>
    <row r="515" spans="1:11" ht="12.75" customHeight="1">
      <c r="A515" s="28"/>
      <c r="B515" s="29"/>
      <c r="C515" s="30" t="str">
        <f>IFERROR(_xlfn.XLOOKUP(B515,Equipo[DESCRIPCION],Equipo[UND],,0),"")</f>
        <v/>
      </c>
      <c r="D515" s="31"/>
      <c r="E515" s="32" t="str">
        <f>IF(C515="%MO",G519,IFERROR(_xlfn.XLOOKUP($B515,Equipo[DESCRIPCION],Equipo[VALOR],,0),""))</f>
        <v/>
      </c>
      <c r="F515" s="33"/>
      <c r="G515" s="34" t="str">
        <f>IFERROR(IF(F515&gt;=0,D515*E515*(1+F515/100),ABS(D515*E515/F515)),"")</f>
        <v/>
      </c>
      <c r="H515" s="43" t="str">
        <f>IFERROR(G515*E504,"")</f>
        <v/>
      </c>
    </row>
    <row r="516" spans="1:11" ht="12.75" customHeight="1">
      <c r="A516" s="21"/>
      <c r="B516" s="22" t="s">
        <v>2533</v>
      </c>
      <c r="C516" s="23"/>
      <c r="D516" s="24"/>
      <c r="E516" s="25"/>
      <c r="F516" s="26"/>
      <c r="G516" s="27">
        <f>SUM(G517:G518)</f>
        <v>0</v>
      </c>
      <c r="H516" s="44">
        <f>G516*E504</f>
        <v>0</v>
      </c>
    </row>
    <row r="517" spans="1:11" ht="12.75" customHeight="1">
      <c r="A517" s="28"/>
      <c r="B517" s="29"/>
      <c r="C517" s="30" t="str">
        <f>IFERROR(_xlfn.XLOOKUP(B517,Transporte[DESCRIPCION],Transporte[UND],,0),"")</f>
        <v/>
      </c>
      <c r="D517" s="31"/>
      <c r="E517" s="32" t="str">
        <f>IFERROR(_xlfn.XLOOKUP($B517,Transporte[DESCRIPCION],Transporte[VALOR],,0),"")</f>
        <v/>
      </c>
      <c r="F517" s="33"/>
      <c r="G517" s="34" t="str">
        <f>IFERROR(IF(F517&gt;=0,D517*E517*(1+F517/100),ABS(D517*E517/F517)),"")</f>
        <v/>
      </c>
      <c r="H517" s="43" t="str">
        <f>IFERROR(G517*E504,"")</f>
        <v/>
      </c>
    </row>
    <row r="518" spans="1:11" ht="12.75" customHeight="1">
      <c r="A518" s="28"/>
      <c r="B518" s="29"/>
      <c r="C518" s="30" t="str">
        <f>IFERROR(_xlfn.XLOOKUP(B518,Transporte[DESCRIPCION],Transporte[UND],,0),"")</f>
        <v/>
      </c>
      <c r="D518" s="31"/>
      <c r="E518" s="32" t="str">
        <f>IFERROR(_xlfn.XLOOKUP($B518,Transporte[DESCRIPCION],Transporte[VALOR],,0),"")</f>
        <v/>
      </c>
      <c r="F518" s="33"/>
      <c r="G518" s="34" t="str">
        <f>IFERROR(IF(F518&gt;=0,D518*E518*(1+F518/100),ABS(D518*E518/F518)),"")</f>
        <v/>
      </c>
      <c r="H518" s="43" t="str">
        <f>IFERROR(G518*E504,"")</f>
        <v/>
      </c>
    </row>
    <row r="519" spans="1:11" ht="12.75" customHeight="1">
      <c r="A519" s="21"/>
      <c r="B519" s="22" t="s">
        <v>3732</v>
      </c>
      <c r="C519" s="23"/>
      <c r="D519" s="24"/>
      <c r="E519" s="25"/>
      <c r="F519" s="26"/>
      <c r="G519" s="27">
        <f>SUM(G520:G522)</f>
        <v>20959.383393000004</v>
      </c>
      <c r="H519" s="44">
        <f>G519*E504</f>
        <v>0</v>
      </c>
    </row>
    <row r="520" spans="1:11" ht="12.75" customHeight="1">
      <c r="A520" s="28"/>
      <c r="B520" s="29" t="s">
        <v>3710</v>
      </c>
      <c r="C520" s="30" t="str">
        <f>IFERROR(_xlfn.XLOOKUP(B520,MObra[DESCRIPCION],MObra[UN],,0),"")</f>
        <v>día</v>
      </c>
      <c r="D520" s="31">
        <v>1</v>
      </c>
      <c r="E520" s="32">
        <f>IFERROR(_xlfn.XLOOKUP($B520,MObra[DESCRIPCION],MObra[VALOR UNIT],,0),"")</f>
        <v>314390.75089500006</v>
      </c>
      <c r="F520" s="33">
        <v>-15</v>
      </c>
      <c r="G520" s="34">
        <f>IFERROR(IF(F520&gt;=0,D520*E520*(1+F520/100),ABS(D520*E520/F520)),"")</f>
        <v>20959.383393000004</v>
      </c>
      <c r="H520" s="43">
        <f>IFERROR(G520*E504,"")</f>
        <v>0</v>
      </c>
    </row>
    <row r="521" spans="1:11" ht="12.75" customHeight="1">
      <c r="A521" s="28"/>
      <c r="B521" s="29"/>
      <c r="C521" s="30" t="str">
        <f>IFERROR(_xlfn.XLOOKUP(B521,MObra[DESCRIPCION],MObra[UN],,0),"")</f>
        <v/>
      </c>
      <c r="D521" s="31"/>
      <c r="E521" s="32" t="str">
        <f>IFERROR(_xlfn.XLOOKUP($B521,MObra[DESCRIPCION],MObra[VALOR UNIT],,0),"")</f>
        <v/>
      </c>
      <c r="F521" s="33"/>
      <c r="G521" s="34" t="str">
        <f>IFERROR(IF(F521&gt;=0,D521*E521*(1+F521/100),ABS(D521*E521/F521)),"")</f>
        <v/>
      </c>
      <c r="H521" s="43" t="str">
        <f>IFERROR(G521*E504,"")</f>
        <v/>
      </c>
    </row>
    <row r="522" spans="1:11" ht="12.75" customHeight="1" thickBot="1">
      <c r="A522" s="35"/>
      <c r="B522" s="36"/>
      <c r="C522" s="37" t="str">
        <f>IFERROR(_xlfn.XLOOKUP(B522,MObra[DESCRIPCION],MObra[UN],,0),"")</f>
        <v/>
      </c>
      <c r="D522" s="38"/>
      <c r="E522" s="39" t="str">
        <f>IFERROR(_xlfn.XLOOKUP($B522,MObra[DESCRIPCION],MObra[VALOR UNIT],,0),"")</f>
        <v/>
      </c>
      <c r="F522" s="40"/>
      <c r="G522" s="41" t="str">
        <f>IFERROR(IF(F522&gt;=0,D522*E522*(1+F522/100),ABS(D522*E522/F522)),"")</f>
        <v/>
      </c>
      <c r="H522" s="42" t="str">
        <f>IFERROR(G522*E504,"")</f>
        <v/>
      </c>
    </row>
    <row r="523" spans="1:11" ht="12.75" customHeight="1" thickTop="1" thickBot="1"/>
    <row r="524" spans="1:11" ht="12.75" customHeight="1" thickTop="1" thickBot="1">
      <c r="A524" s="6" t="s">
        <v>2481</v>
      </c>
      <c r="B524" s="7" t="str">
        <f>VLOOKUP($A524,Presupuesto!$A:$D,2,FALSE())</f>
        <v>Bordillo en concreto 20.7 Mpa 15x10 cm</v>
      </c>
      <c r="C524" s="8" t="str">
        <f>VLOOKUP($A524,Presupuesto!$A:$D,3,FALSE())</f>
        <v>M</v>
      </c>
      <c r="D524" s="9"/>
      <c r="E524" s="10">
        <f>VLOOKUP($A524,Presupuesto!$A:$D,4,FALSE())</f>
        <v>0</v>
      </c>
      <c r="F524" s="11" t="s">
        <v>2589</v>
      </c>
      <c r="G524" s="12">
        <f>SUM(G526:G542)/2</f>
        <v>65127.271417843185</v>
      </c>
      <c r="H524" s="13">
        <f>ROUND(SUM(H526:H542),0)/2</f>
        <v>0</v>
      </c>
      <c r="I524" s="10">
        <f>VLOOKUP(A524,Presupuesto!$A:$F,6,0)</f>
        <v>0</v>
      </c>
      <c r="J524" s="10">
        <f>+H524-I524</f>
        <v>0</v>
      </c>
      <c r="K524" s="46">
        <f>+H524-G524*E524</f>
        <v>0</v>
      </c>
    </row>
    <row r="525" spans="1:11" ht="12.75" customHeight="1" thickTop="1">
      <c r="A525" s="14"/>
      <c r="B525" s="15" t="s">
        <v>2586</v>
      </c>
      <c r="C525" s="15" t="s">
        <v>5</v>
      </c>
      <c r="D525" s="16" t="s">
        <v>6</v>
      </c>
      <c r="E525" s="17" t="s">
        <v>7</v>
      </c>
      <c r="F525" s="18" t="s">
        <v>3728</v>
      </c>
      <c r="G525" s="19" t="s">
        <v>3729</v>
      </c>
      <c r="H525" s="20" t="s">
        <v>3797</v>
      </c>
    </row>
    <row r="526" spans="1:11" ht="12.75" customHeight="1">
      <c r="A526" s="21"/>
      <c r="B526" s="22" t="s">
        <v>3730</v>
      </c>
      <c r="C526" s="23"/>
      <c r="D526" s="24"/>
      <c r="E526" s="25"/>
      <c r="F526" s="26"/>
      <c r="G526" s="27">
        <f>SUM(G527:G531)</f>
        <v>33820.16281637318</v>
      </c>
      <c r="H526" s="27">
        <f>IFERROR(G526*E524,"")</f>
        <v>0</v>
      </c>
    </row>
    <row r="527" spans="1:11" ht="12.75" customHeight="1">
      <c r="A527" s="28"/>
      <c r="B527" s="29" t="s">
        <v>2957</v>
      </c>
      <c r="C527" s="30" t="str">
        <f>IFERROR(_xlfn.XLOOKUP(B527,Insumo[DESCRIPCION],Insumo[UND],,0),"")</f>
        <v>M2</v>
      </c>
      <c r="D527" s="31">
        <v>0.08</v>
      </c>
      <c r="E527" s="32">
        <f>IFERROR(_xlfn.XLOOKUP($B527,Insumo[DESCRIPCION],Insumo[VALOR],,0),"")</f>
        <v>149544.7581937575</v>
      </c>
      <c r="F527" s="33"/>
      <c r="G527" s="34">
        <f>IFERROR(IF(F527&gt;=0,D527*E527*(1+F527/100),ABS(D527*E527/F527)),"")</f>
        <v>11963.5806555006</v>
      </c>
      <c r="H527" s="43">
        <f>IFERROR(G527*E524,"")</f>
        <v>0</v>
      </c>
    </row>
    <row r="528" spans="1:11" ht="12.75" customHeight="1">
      <c r="A528" s="28"/>
      <c r="B528" s="29" t="s">
        <v>3239</v>
      </c>
      <c r="C528" s="30" t="str">
        <f>IFERROR(_xlfn.XLOOKUP(B528,Insumo[DESCRIPCION],Insumo[UND],,0),"")</f>
        <v>M3</v>
      </c>
      <c r="D528" s="31">
        <f>0.15*0.1</f>
        <v>1.4999999999999999E-2</v>
      </c>
      <c r="E528" s="32">
        <f>IFERROR(_xlfn.XLOOKUP($B528,Insumo[DESCRIPCION],Insumo[VALOR],,0),"")</f>
        <v>521159.50227762427</v>
      </c>
      <c r="F528" s="33">
        <v>5</v>
      </c>
      <c r="G528" s="34">
        <f>IFERROR(IF(F528&gt;=0,D528*E528*(1+F528/100),ABS(D528*E528/F528)),"")</f>
        <v>8208.2621608725822</v>
      </c>
      <c r="H528" s="43">
        <f>IFERROR(G528*E524,"")</f>
        <v>0</v>
      </c>
    </row>
    <row r="529" spans="1:11" ht="12.75" customHeight="1">
      <c r="A529" s="28"/>
      <c r="B529" s="29" t="s">
        <v>2653</v>
      </c>
      <c r="C529" s="30" t="str">
        <f>IFERROR(_xlfn.XLOOKUP(B529,Insumo[DESCRIPCION],Insumo[UND],,0),"")</f>
        <v>Kg</v>
      </c>
      <c r="D529" s="31">
        <v>2.4</v>
      </c>
      <c r="E529" s="32">
        <f>IFERROR(_xlfn.XLOOKUP($B529,Insumo[DESCRIPCION],Insumo[VALOR],,0),"")</f>
        <v>5686.8</v>
      </c>
      <c r="F529" s="33"/>
      <c r="G529" s="34">
        <f>IFERROR(IF(F529&gt;=0,D529*E529*(1+F529/100),ABS(D529*E529/F529)),"")</f>
        <v>13648.32</v>
      </c>
      <c r="H529" s="43">
        <f>IFERROR(G529*E524,"")</f>
        <v>0</v>
      </c>
    </row>
    <row r="530" spans="1:11" ht="12.75" customHeight="1">
      <c r="A530" s="28"/>
      <c r="B530" s="29"/>
      <c r="C530" s="30" t="str">
        <f>IFERROR(_xlfn.XLOOKUP(B530,Insumo[DESCRIPCION],Insumo[UND],,0),"")</f>
        <v/>
      </c>
      <c r="D530" s="31"/>
      <c r="E530" s="32" t="str">
        <f>IFERROR(_xlfn.XLOOKUP($B530,Insumo[DESCRIPCION],Insumo[VALOR],,0),"")</f>
        <v/>
      </c>
      <c r="F530" s="33"/>
      <c r="G530" s="34" t="str">
        <f>IFERROR(IF(F530&gt;=0,D530*E530*(1+F530/100),ABS(D530*E530/F530)),"")</f>
        <v/>
      </c>
      <c r="H530" s="43" t="str">
        <f>IFERROR(G530*E524,"")</f>
        <v/>
      </c>
    </row>
    <row r="531" spans="1:11" ht="12.75" customHeight="1">
      <c r="A531" s="28"/>
      <c r="B531" s="29"/>
      <c r="C531" s="30" t="str">
        <f>IFERROR(_xlfn.XLOOKUP(B531,Insumo[DESCRIPCION],Insumo[UND],,0),"")</f>
        <v/>
      </c>
      <c r="D531" s="31"/>
      <c r="E531" s="32" t="str">
        <f>IFERROR(_xlfn.XLOOKUP($B531,Insumo[DESCRIPCION],Insumo[VALOR],,0),"")</f>
        <v/>
      </c>
      <c r="F531" s="33"/>
      <c r="G531" s="34" t="str">
        <f>IFERROR(IF(F531&gt;=0,D531*E531*(1+F531/100),ABS(D531*E531/F531)),"")</f>
        <v/>
      </c>
      <c r="H531" s="43" t="str">
        <f>IFERROR(G531*E524,"")</f>
        <v/>
      </c>
    </row>
    <row r="532" spans="1:11" ht="12.75" customHeight="1">
      <c r="A532" s="21"/>
      <c r="B532" s="22" t="s">
        <v>3731</v>
      </c>
      <c r="C532" s="23"/>
      <c r="D532" s="24"/>
      <c r="E532" s="25"/>
      <c r="F532" s="26"/>
      <c r="G532" s="27">
        <f>SUM(G533:G535)</f>
        <v>2584.9906184700003</v>
      </c>
      <c r="H532" s="44">
        <f>G532*E524</f>
        <v>0</v>
      </c>
    </row>
    <row r="533" spans="1:11" ht="12.75" customHeight="1">
      <c r="A533" s="28"/>
      <c r="B533" s="29" t="s">
        <v>3570</v>
      </c>
      <c r="C533" s="30" t="str">
        <f>IFERROR(_xlfn.XLOOKUP(B533,Equipo[DESCRIPCION],Equipo[UND],,0),"")</f>
        <v>%MO</v>
      </c>
      <c r="D533" s="31">
        <v>0.04</v>
      </c>
      <c r="E533" s="32">
        <f>IF(C533="%MO",G539,IFERROR(_xlfn.XLOOKUP($B533,Equipo[DESCRIPCION],Equipo[VALOR],,0),""))</f>
        <v>28722.117983000004</v>
      </c>
      <c r="F533" s="33"/>
      <c r="G533" s="34">
        <f>IFERROR(IF(F533&gt;=0,D533*E533*(1+F533/100),ABS(D533*E533/F533)),"")</f>
        <v>1148.8847193200002</v>
      </c>
      <c r="H533" s="43">
        <f>IFERROR(G533*E524,"")</f>
        <v>0</v>
      </c>
    </row>
    <row r="534" spans="1:11" ht="12.75" customHeight="1">
      <c r="A534" s="28"/>
      <c r="B534" s="29" t="s">
        <v>3626</v>
      </c>
      <c r="C534" s="30" t="str">
        <f>IFERROR(_xlfn.XLOOKUP(B534,Equipo[DESCRIPCION],Equipo[UND],,0),"")</f>
        <v>%MO</v>
      </c>
      <c r="D534" s="31">
        <v>0.05</v>
      </c>
      <c r="E534" s="32">
        <f>IF(C534="%MO",G539,IFERROR(_xlfn.XLOOKUP($B534,Equipo[DESCRIPCION],Equipo[VALOR],,0),""))</f>
        <v>28722.117983000004</v>
      </c>
      <c r="F534" s="33"/>
      <c r="G534" s="34">
        <f>IFERROR(IF(F534&gt;=0,D534*E534*(1+F534/100),ABS(D534*E534/F534)),"")</f>
        <v>1436.1058991500004</v>
      </c>
      <c r="H534" s="43">
        <f>IFERROR(G534*E524,"")</f>
        <v>0</v>
      </c>
    </row>
    <row r="535" spans="1:11" ht="12.75" customHeight="1">
      <c r="A535" s="28"/>
      <c r="B535" s="29"/>
      <c r="C535" s="30" t="str">
        <f>IFERROR(_xlfn.XLOOKUP(B535,Equipo[DESCRIPCION],Equipo[UND],,0),"")</f>
        <v/>
      </c>
      <c r="D535" s="31"/>
      <c r="E535" s="32" t="str">
        <f>IF(C535="%MO",G539,IFERROR(_xlfn.XLOOKUP($B535,Equipo[DESCRIPCION],Equipo[VALOR],,0),""))</f>
        <v/>
      </c>
      <c r="F535" s="33"/>
      <c r="G535" s="34" t="str">
        <f>IFERROR(IF(F535&gt;=0,D535*E535*(1+F535/100),ABS(D535*E535/F535)),"")</f>
        <v/>
      </c>
      <c r="H535" s="43" t="str">
        <f>IFERROR(G535*E524,"")</f>
        <v/>
      </c>
    </row>
    <row r="536" spans="1:11" ht="12.75" customHeight="1">
      <c r="A536" s="21"/>
      <c r="B536" s="22" t="s">
        <v>2533</v>
      </c>
      <c r="C536" s="23"/>
      <c r="D536" s="24"/>
      <c r="E536" s="25"/>
      <c r="F536" s="26"/>
      <c r="G536" s="27">
        <f>SUM(G537:G538)</f>
        <v>0</v>
      </c>
      <c r="H536" s="44">
        <f>G536*E524</f>
        <v>0</v>
      </c>
    </row>
    <row r="537" spans="1:11" ht="12.75" customHeight="1">
      <c r="A537" s="28"/>
      <c r="B537" s="29"/>
      <c r="C537" s="30" t="str">
        <f>IFERROR(_xlfn.XLOOKUP(B537,Transporte[DESCRIPCION],Transporte[UND],,0),"")</f>
        <v/>
      </c>
      <c r="D537" s="31"/>
      <c r="E537" s="32" t="str">
        <f>IFERROR(_xlfn.XLOOKUP($B537,Transporte[DESCRIPCION],Transporte[VALOR],,0),"")</f>
        <v/>
      </c>
      <c r="F537" s="33"/>
      <c r="G537" s="34" t="str">
        <f>IFERROR(IF(F537&gt;=0,D537*E537*(1+F537/100),ABS(D537*E537/F537)),"")</f>
        <v/>
      </c>
      <c r="H537" s="43" t="str">
        <f>IFERROR(G537*E524,"")</f>
        <v/>
      </c>
    </row>
    <row r="538" spans="1:11" ht="12.75" customHeight="1">
      <c r="A538" s="28"/>
      <c r="B538" s="29"/>
      <c r="C538" s="30" t="str">
        <f>IFERROR(_xlfn.XLOOKUP(B538,Transporte[DESCRIPCION],Transporte[UND],,0),"")</f>
        <v/>
      </c>
      <c r="D538" s="31"/>
      <c r="E538" s="32" t="str">
        <f>IFERROR(_xlfn.XLOOKUP($B538,Transporte[DESCRIPCION],Transporte[VALOR],,0),"")</f>
        <v/>
      </c>
      <c r="F538" s="33"/>
      <c r="G538" s="34" t="str">
        <f>IFERROR(IF(F538&gt;=0,D538*E538*(1+F538/100),ABS(D538*E538/F538)),"")</f>
        <v/>
      </c>
      <c r="H538" s="43" t="str">
        <f>IFERROR(G538*E524,"")</f>
        <v/>
      </c>
    </row>
    <row r="539" spans="1:11" ht="12.75" customHeight="1">
      <c r="A539" s="21"/>
      <c r="B539" s="22" t="s">
        <v>3732</v>
      </c>
      <c r="C539" s="23"/>
      <c r="D539" s="24"/>
      <c r="E539" s="25"/>
      <c r="F539" s="26"/>
      <c r="G539" s="27">
        <f>SUM(G540:G542)</f>
        <v>28722.117983000004</v>
      </c>
      <c r="H539" s="44">
        <f>G539*E524</f>
        <v>0</v>
      </c>
    </row>
    <row r="540" spans="1:11" ht="12.75" customHeight="1">
      <c r="A540" s="28"/>
      <c r="B540" s="29" t="s">
        <v>3711</v>
      </c>
      <c r="C540" s="30" t="str">
        <f>IFERROR(_xlfn.XLOOKUP(B540,MObra[DESCRIPCION],MObra[UN],,0),"")</f>
        <v>día</v>
      </c>
      <c r="D540" s="31">
        <v>1</v>
      </c>
      <c r="E540" s="32">
        <f>IFERROR(_xlfn.XLOOKUP($B540,MObra[DESCRIPCION],MObra[VALOR UNIT],,0),"")</f>
        <v>430831.76974500006</v>
      </c>
      <c r="F540" s="33">
        <v>-15</v>
      </c>
      <c r="G540" s="34">
        <f>IFERROR(IF(F540&gt;=0,D540*E540*(1+F540/100),ABS(D540*E540/F540)),"")</f>
        <v>28722.117983000004</v>
      </c>
      <c r="H540" s="43">
        <f>IFERROR(G540*E524,"")</f>
        <v>0</v>
      </c>
    </row>
    <row r="541" spans="1:11" ht="12.75" customHeight="1">
      <c r="A541" s="28"/>
      <c r="B541" s="29"/>
      <c r="C541" s="30" t="str">
        <f>IFERROR(_xlfn.XLOOKUP(B541,MObra[DESCRIPCION],MObra[UN],,0),"")</f>
        <v/>
      </c>
      <c r="D541" s="31"/>
      <c r="E541" s="32" t="str">
        <f>IFERROR(_xlfn.XLOOKUP($B541,MObra[DESCRIPCION],MObra[VALOR UNIT],,0),"")</f>
        <v/>
      </c>
      <c r="F541" s="33"/>
      <c r="G541" s="34" t="str">
        <f>IFERROR(IF(F541&gt;=0,D541*E541*(1+F541/100),ABS(D541*E541/F541)),"")</f>
        <v/>
      </c>
      <c r="H541" s="43" t="str">
        <f>IFERROR(G541*E524,"")</f>
        <v/>
      </c>
    </row>
    <row r="542" spans="1:11" ht="12.75" customHeight="1" thickBot="1">
      <c r="A542" s="35"/>
      <c r="B542" s="36"/>
      <c r="C542" s="37" t="str">
        <f>IFERROR(_xlfn.XLOOKUP(B542,MObra[DESCRIPCION],MObra[UN],,0),"")</f>
        <v/>
      </c>
      <c r="D542" s="38"/>
      <c r="E542" s="39" t="str">
        <f>IFERROR(_xlfn.XLOOKUP($B542,MObra[DESCRIPCION],MObra[VALOR UNIT],,0),"")</f>
        <v/>
      </c>
      <c r="F542" s="40"/>
      <c r="G542" s="41" t="str">
        <f>IFERROR(IF(F542&gt;=0,D542*E542*(1+F542/100),ABS(D542*E542/F542)),"")</f>
        <v/>
      </c>
      <c r="H542" s="42" t="str">
        <f>IFERROR(G542*E524,"")</f>
        <v/>
      </c>
    </row>
    <row r="543" spans="1:11" ht="12.75" customHeight="1" thickTop="1" thickBot="1"/>
    <row r="544" spans="1:11" ht="12.75" customHeight="1" thickTop="1" thickBot="1">
      <c r="A544" s="6" t="s">
        <v>2483</v>
      </c>
      <c r="B544" s="7" t="str">
        <f>VLOOKUP($A544,Presupuesto!$A:$D,2,FALSE())</f>
        <v>Bordillo en concreto 20.7 Mpa 20x10 cm</v>
      </c>
      <c r="C544" s="8" t="str">
        <f>VLOOKUP($A544,Presupuesto!$A:$D,3,FALSE())</f>
        <v>M</v>
      </c>
      <c r="D544" s="9"/>
      <c r="E544" s="10">
        <f>VLOOKUP($A544,Presupuesto!$A:$D,4,FALSE())</f>
        <v>0</v>
      </c>
      <c r="F544" s="11" t="s">
        <v>2589</v>
      </c>
      <c r="G544" s="12">
        <f>SUM(G546:G562)/2</f>
        <v>70854.253968675868</v>
      </c>
      <c r="H544" s="13">
        <f>ROUND(SUM(H546:H562),0)/2</f>
        <v>0</v>
      </c>
      <c r="I544" s="10">
        <f>VLOOKUP(A544,Presupuesto!$A:$F,6,0)</f>
        <v>0</v>
      </c>
      <c r="J544" s="10">
        <f>+H544-I544</f>
        <v>0</v>
      </c>
      <c r="K544" s="46">
        <f>+H544-G544*E544</f>
        <v>0</v>
      </c>
    </row>
    <row r="545" spans="1:8" ht="12.75" customHeight="1" thickTop="1">
      <c r="A545" s="14"/>
      <c r="B545" s="15" t="s">
        <v>2586</v>
      </c>
      <c r="C545" s="15" t="s">
        <v>5</v>
      </c>
      <c r="D545" s="16" t="s">
        <v>6</v>
      </c>
      <c r="E545" s="17" t="s">
        <v>7</v>
      </c>
      <c r="F545" s="18" t="s">
        <v>3728</v>
      </c>
      <c r="G545" s="19" t="s">
        <v>3729</v>
      </c>
      <c r="H545" s="20" t="s">
        <v>3797</v>
      </c>
    </row>
    <row r="546" spans="1:8" ht="12.75" customHeight="1">
      <c r="A546" s="21"/>
      <c r="B546" s="22" t="s">
        <v>3730</v>
      </c>
      <c r="C546" s="23"/>
      <c r="D546" s="24"/>
      <c r="E546" s="25"/>
      <c r="F546" s="26"/>
      <c r="G546" s="27">
        <f>SUM(G547:G551)</f>
        <v>39547.145367205863</v>
      </c>
      <c r="H546" s="27">
        <f>IFERROR(G546*E544,"")</f>
        <v>0</v>
      </c>
    </row>
    <row r="547" spans="1:8" ht="12.75" customHeight="1">
      <c r="A547" s="28"/>
      <c r="B547" s="29" t="s">
        <v>2957</v>
      </c>
      <c r="C547" s="30" t="str">
        <f>IFERROR(_xlfn.XLOOKUP(B547,Insumo[DESCRIPCION],Insumo[UND],,0),"")</f>
        <v>M2</v>
      </c>
      <c r="D547" s="31">
        <f>1/10</f>
        <v>0.1</v>
      </c>
      <c r="E547" s="32">
        <f>IFERROR(_xlfn.XLOOKUP($B547,Insumo[DESCRIPCION],Insumo[VALOR],,0),"")</f>
        <v>149544.7581937575</v>
      </c>
      <c r="F547" s="33"/>
      <c r="G547" s="34">
        <f>IFERROR(IF(F547&gt;=0,D547*E547*(1+F547/100),ABS(D547*E547/F547)),"")</f>
        <v>14954.475819375752</v>
      </c>
      <c r="H547" s="43">
        <f>IFERROR(G547*E544,"")</f>
        <v>0</v>
      </c>
    </row>
    <row r="548" spans="1:8" ht="12.75" customHeight="1">
      <c r="A548" s="28"/>
      <c r="B548" s="29" t="s">
        <v>3239</v>
      </c>
      <c r="C548" s="30" t="str">
        <f>IFERROR(_xlfn.XLOOKUP(B548,Insumo[DESCRIPCION],Insumo[UND],,0),"")</f>
        <v>M3</v>
      </c>
      <c r="D548" s="31">
        <f>0.2*0.1</f>
        <v>2.0000000000000004E-2</v>
      </c>
      <c r="E548" s="32">
        <f>IFERROR(_xlfn.XLOOKUP($B548,Insumo[DESCRIPCION],Insumo[VALOR],,0),"")</f>
        <v>521159.50227762427</v>
      </c>
      <c r="F548" s="33">
        <v>5</v>
      </c>
      <c r="G548" s="34">
        <f>IFERROR(IF(F548&gt;=0,D548*E548*(1+F548/100),ABS(D548*E548/F548)),"")</f>
        <v>10944.349547830114</v>
      </c>
      <c r="H548" s="43">
        <f>IFERROR(G548*E544,"")</f>
        <v>0</v>
      </c>
    </row>
    <row r="549" spans="1:8" ht="12.75" customHeight="1">
      <c r="A549" s="28"/>
      <c r="B549" s="29" t="s">
        <v>2653</v>
      </c>
      <c r="C549" s="30" t="str">
        <f>IFERROR(_xlfn.XLOOKUP(B549,Insumo[DESCRIPCION],Insumo[UND],,0),"")</f>
        <v>Kg</v>
      </c>
      <c r="D549" s="31">
        <v>2.4</v>
      </c>
      <c r="E549" s="32">
        <f>IFERROR(_xlfn.XLOOKUP($B549,Insumo[DESCRIPCION],Insumo[VALOR],,0),"")</f>
        <v>5686.8</v>
      </c>
      <c r="F549" s="33"/>
      <c r="G549" s="34">
        <f>IFERROR(IF(F549&gt;=0,D549*E549*(1+F549/100),ABS(D549*E549/F549)),"")</f>
        <v>13648.32</v>
      </c>
      <c r="H549" s="43">
        <f>IFERROR(G549*E544,"")</f>
        <v>0</v>
      </c>
    </row>
    <row r="550" spans="1:8" ht="12.75" customHeight="1">
      <c r="A550" s="28"/>
      <c r="B550" s="29"/>
      <c r="C550" s="30" t="str">
        <f>IFERROR(_xlfn.XLOOKUP(B550,Insumo[DESCRIPCION],Insumo[UND],,0),"")</f>
        <v/>
      </c>
      <c r="D550" s="31"/>
      <c r="E550" s="32" t="str">
        <f>IFERROR(_xlfn.XLOOKUP($B550,Insumo[DESCRIPCION],Insumo[VALOR],,0),"")</f>
        <v/>
      </c>
      <c r="F550" s="33"/>
      <c r="G550" s="34" t="str">
        <f>IFERROR(IF(F550&gt;=0,D550*E550*(1+F550/100),ABS(D550*E550/F550)),"")</f>
        <v/>
      </c>
      <c r="H550" s="43" t="str">
        <f>IFERROR(G550*E544,"")</f>
        <v/>
      </c>
    </row>
    <row r="551" spans="1:8" ht="12.75" customHeight="1">
      <c r="A551" s="28"/>
      <c r="B551" s="29"/>
      <c r="C551" s="30" t="str">
        <f>IFERROR(_xlfn.XLOOKUP(B551,Insumo[DESCRIPCION],Insumo[UND],,0),"")</f>
        <v/>
      </c>
      <c r="D551" s="31"/>
      <c r="E551" s="32" t="str">
        <f>IFERROR(_xlfn.XLOOKUP($B551,Insumo[DESCRIPCION],Insumo[VALOR],,0),"")</f>
        <v/>
      </c>
      <c r="F551" s="33"/>
      <c r="G551" s="34" t="str">
        <f>IFERROR(IF(F551&gt;=0,D551*E551*(1+F551/100),ABS(D551*E551/F551)),"")</f>
        <v/>
      </c>
      <c r="H551" s="43" t="str">
        <f>IFERROR(G551*E544,"")</f>
        <v/>
      </c>
    </row>
    <row r="552" spans="1:8" ht="12.75" customHeight="1">
      <c r="A552" s="21"/>
      <c r="B552" s="22" t="s">
        <v>3731</v>
      </c>
      <c r="C552" s="23"/>
      <c r="D552" s="24"/>
      <c r="E552" s="25"/>
      <c r="F552" s="26"/>
      <c r="G552" s="27">
        <f>SUM(G553:G555)</f>
        <v>2584.9906184700003</v>
      </c>
      <c r="H552" s="44">
        <f>G552*E544</f>
        <v>0</v>
      </c>
    </row>
    <row r="553" spans="1:8" ht="12.75" customHeight="1">
      <c r="A553" s="28"/>
      <c r="B553" s="29" t="s">
        <v>3570</v>
      </c>
      <c r="C553" s="30" t="str">
        <f>IFERROR(_xlfn.XLOOKUP(B553,Equipo[DESCRIPCION],Equipo[UND],,0),"")</f>
        <v>%MO</v>
      </c>
      <c r="D553" s="31">
        <v>0.04</v>
      </c>
      <c r="E553" s="32">
        <f>IF(C553="%MO",G559,IFERROR(_xlfn.XLOOKUP($B553,Equipo[DESCRIPCION],Equipo[VALOR],,0),""))</f>
        <v>28722.117983000004</v>
      </c>
      <c r="F553" s="33"/>
      <c r="G553" s="34">
        <f>IFERROR(IF(F553&gt;=0,D553*E553*(1+F553/100),ABS(D553*E553/F553)),"")</f>
        <v>1148.8847193200002</v>
      </c>
      <c r="H553" s="43">
        <f>IFERROR(G553*E544,"")</f>
        <v>0</v>
      </c>
    </row>
    <row r="554" spans="1:8" ht="12.75" customHeight="1">
      <c r="A554" s="28"/>
      <c r="B554" s="29" t="s">
        <v>3626</v>
      </c>
      <c r="C554" s="30" t="str">
        <f>IFERROR(_xlfn.XLOOKUP(B554,Equipo[DESCRIPCION],Equipo[UND],,0),"")</f>
        <v>%MO</v>
      </c>
      <c r="D554" s="31">
        <v>0.05</v>
      </c>
      <c r="E554" s="32">
        <f>IF(C554="%MO",G559,IFERROR(_xlfn.XLOOKUP($B554,Equipo[DESCRIPCION],Equipo[VALOR],,0),""))</f>
        <v>28722.117983000004</v>
      </c>
      <c r="F554" s="33"/>
      <c r="G554" s="34">
        <f>IFERROR(IF(F554&gt;=0,D554*E554*(1+F554/100),ABS(D554*E554/F554)),"")</f>
        <v>1436.1058991500004</v>
      </c>
      <c r="H554" s="43">
        <f>IFERROR(G554*E544,"")</f>
        <v>0</v>
      </c>
    </row>
    <row r="555" spans="1:8" ht="12.75" customHeight="1">
      <c r="A555" s="28"/>
      <c r="B555" s="29"/>
      <c r="C555" s="30" t="str">
        <f>IFERROR(_xlfn.XLOOKUP(B555,Equipo[DESCRIPCION],Equipo[UND],,0),"")</f>
        <v/>
      </c>
      <c r="D555" s="31"/>
      <c r="E555" s="32" t="str">
        <f>IF(C555="%MO",G559,IFERROR(_xlfn.XLOOKUP($B555,Equipo[DESCRIPCION],Equipo[VALOR],,0),""))</f>
        <v/>
      </c>
      <c r="F555" s="33"/>
      <c r="G555" s="34" t="str">
        <f>IFERROR(IF(F555&gt;=0,D555*E555*(1+F555/100),ABS(D555*E555/F555)),"")</f>
        <v/>
      </c>
      <c r="H555" s="43" t="str">
        <f>IFERROR(G555*E544,"")</f>
        <v/>
      </c>
    </row>
    <row r="556" spans="1:8" ht="12.75" customHeight="1">
      <c r="A556" s="21"/>
      <c r="B556" s="22" t="s">
        <v>2533</v>
      </c>
      <c r="C556" s="23"/>
      <c r="D556" s="24"/>
      <c r="E556" s="25"/>
      <c r="F556" s="26"/>
      <c r="G556" s="27">
        <f>SUM(G557:G558)</f>
        <v>0</v>
      </c>
      <c r="H556" s="44">
        <f>G556*E544</f>
        <v>0</v>
      </c>
    </row>
    <row r="557" spans="1:8" ht="12.75" customHeight="1">
      <c r="A557" s="28"/>
      <c r="B557" s="29"/>
      <c r="C557" s="30" t="str">
        <f>IFERROR(_xlfn.XLOOKUP(B557,Transporte[DESCRIPCION],Transporte[UND],,0),"")</f>
        <v/>
      </c>
      <c r="D557" s="31"/>
      <c r="E557" s="32" t="str">
        <f>IFERROR(_xlfn.XLOOKUP($B557,Transporte[DESCRIPCION],Transporte[VALOR],,0),"")</f>
        <v/>
      </c>
      <c r="F557" s="33"/>
      <c r="G557" s="34" t="str">
        <f>IFERROR(IF(F557&gt;=0,D557*E557*(1+F557/100),ABS(D557*E557/F557)),"")</f>
        <v/>
      </c>
      <c r="H557" s="43" t="str">
        <f>IFERROR(G557*E544,"")</f>
        <v/>
      </c>
    </row>
    <row r="558" spans="1:8" ht="12.75" customHeight="1">
      <c r="A558" s="28"/>
      <c r="B558" s="29"/>
      <c r="C558" s="30" t="str">
        <f>IFERROR(_xlfn.XLOOKUP(B558,Transporte[DESCRIPCION],Transporte[UND],,0),"")</f>
        <v/>
      </c>
      <c r="D558" s="31"/>
      <c r="E558" s="32" t="str">
        <f>IFERROR(_xlfn.XLOOKUP($B558,Transporte[DESCRIPCION],Transporte[VALOR],,0),"")</f>
        <v/>
      </c>
      <c r="F558" s="33"/>
      <c r="G558" s="34" t="str">
        <f>IFERROR(IF(F558&gt;=0,D558*E558*(1+F558/100),ABS(D558*E558/F558)),"")</f>
        <v/>
      </c>
      <c r="H558" s="43" t="str">
        <f>IFERROR(G558*E544,"")</f>
        <v/>
      </c>
    </row>
    <row r="559" spans="1:8" ht="12.75" customHeight="1">
      <c r="A559" s="21"/>
      <c r="B559" s="22" t="s">
        <v>3732</v>
      </c>
      <c r="C559" s="23"/>
      <c r="D559" s="24"/>
      <c r="E559" s="25"/>
      <c r="F559" s="26"/>
      <c r="G559" s="27">
        <f>SUM(G560:G562)</f>
        <v>28722.117983000004</v>
      </c>
      <c r="H559" s="44">
        <f>G559*E544</f>
        <v>0</v>
      </c>
    </row>
    <row r="560" spans="1:8" ht="12.75" customHeight="1">
      <c r="A560" s="28"/>
      <c r="B560" s="29" t="s">
        <v>3711</v>
      </c>
      <c r="C560" s="30" t="str">
        <f>IFERROR(_xlfn.XLOOKUP(B560,MObra[DESCRIPCION],MObra[UN],,0),"")</f>
        <v>día</v>
      </c>
      <c r="D560" s="31">
        <v>1</v>
      </c>
      <c r="E560" s="32">
        <f>IFERROR(_xlfn.XLOOKUP($B560,MObra[DESCRIPCION],MObra[VALOR UNIT],,0),"")</f>
        <v>430831.76974500006</v>
      </c>
      <c r="F560" s="33">
        <v>-15</v>
      </c>
      <c r="G560" s="34">
        <f>IFERROR(IF(F560&gt;=0,D560*E560*(1+F560/100),ABS(D560*E560/F560)),"")</f>
        <v>28722.117983000004</v>
      </c>
      <c r="H560" s="43">
        <f>IFERROR(G560*E544,"")</f>
        <v>0</v>
      </c>
    </row>
    <row r="561" spans="1:11" ht="12.75" customHeight="1">
      <c r="A561" s="28"/>
      <c r="B561" s="29"/>
      <c r="C561" s="30" t="str">
        <f>IFERROR(_xlfn.XLOOKUP(B561,MObra[DESCRIPCION],MObra[UN],,0),"")</f>
        <v/>
      </c>
      <c r="D561" s="31"/>
      <c r="E561" s="32" t="str">
        <f>IFERROR(_xlfn.XLOOKUP($B561,MObra[DESCRIPCION],MObra[VALOR UNIT],,0),"")</f>
        <v/>
      </c>
      <c r="F561" s="33"/>
      <c r="G561" s="34" t="str">
        <f>IFERROR(IF(F561&gt;=0,D561*E561*(1+F561/100),ABS(D561*E561/F561)),"")</f>
        <v/>
      </c>
      <c r="H561" s="43" t="str">
        <f>IFERROR(G561*E544,"")</f>
        <v/>
      </c>
    </row>
    <row r="562" spans="1:11" ht="12.75" customHeight="1" thickBot="1">
      <c r="A562" s="35"/>
      <c r="B562" s="36"/>
      <c r="C562" s="37" t="str">
        <f>IFERROR(_xlfn.XLOOKUP(B562,MObra[DESCRIPCION],MObra[UN],,0),"")</f>
        <v/>
      </c>
      <c r="D562" s="38"/>
      <c r="E562" s="39" t="str">
        <f>IFERROR(_xlfn.XLOOKUP($B562,MObra[DESCRIPCION],MObra[VALOR UNIT],,0),"")</f>
        <v/>
      </c>
      <c r="F562" s="40"/>
      <c r="G562" s="41" t="str">
        <f>IFERROR(IF(F562&gt;=0,D562*E562*(1+F562/100),ABS(D562*E562/F562)),"")</f>
        <v/>
      </c>
      <c r="H562" s="42" t="str">
        <f>IFERROR(G562*E544,"")</f>
        <v/>
      </c>
    </row>
    <row r="563" spans="1:11" ht="12.75" customHeight="1" thickTop="1" thickBot="1"/>
    <row r="564" spans="1:11" ht="12.75" customHeight="1" thickTop="1" thickBot="1">
      <c r="A564" s="6" t="s">
        <v>2485</v>
      </c>
      <c r="B564" s="7" t="str">
        <f>VLOOKUP($A564,Presupuesto!$A:$D,2,FALSE())</f>
        <v>Concreto estampado para andenes colores variados</v>
      </c>
      <c r="C564" s="8" t="str">
        <f>VLOOKUP($A564,Presupuesto!$A:$D,3,FALSE())</f>
        <v>M2</v>
      </c>
      <c r="D564" s="9"/>
      <c r="E564" s="10">
        <f>VLOOKUP($A564,Presupuesto!$A:$D,4,FALSE())</f>
        <v>0</v>
      </c>
      <c r="F564" s="11" t="s">
        <v>2589</v>
      </c>
      <c r="G564" s="12">
        <f>SUM(G566:G582)/2</f>
        <v>145634.63209102288</v>
      </c>
      <c r="H564" s="13">
        <f>ROUND(SUM(H566:H582),0)/2</f>
        <v>0</v>
      </c>
      <c r="I564" s="10">
        <f>VLOOKUP(A564,Presupuesto!$A:$F,6,0)</f>
        <v>0</v>
      </c>
      <c r="J564" s="10">
        <f>+H564-I564</f>
        <v>0</v>
      </c>
      <c r="K564" s="46">
        <f>+H564-G564*E564</f>
        <v>0</v>
      </c>
    </row>
    <row r="565" spans="1:11" ht="12.75" customHeight="1" thickTop="1">
      <c r="A565" s="14"/>
      <c r="B565" s="15" t="s">
        <v>2586</v>
      </c>
      <c r="C565" s="15" t="s">
        <v>5</v>
      </c>
      <c r="D565" s="16" t="s">
        <v>6</v>
      </c>
      <c r="E565" s="17" t="s">
        <v>7</v>
      </c>
      <c r="F565" s="18" t="s">
        <v>3728</v>
      </c>
      <c r="G565" s="19" t="s">
        <v>3729</v>
      </c>
      <c r="H565" s="20" t="s">
        <v>3797</v>
      </c>
    </row>
    <row r="566" spans="1:11" ht="12.75" customHeight="1">
      <c r="A566" s="21"/>
      <c r="B566" s="22" t="s">
        <v>3730</v>
      </c>
      <c r="C566" s="23"/>
      <c r="D566" s="24"/>
      <c r="E566" s="25"/>
      <c r="F566" s="26"/>
      <c r="G566" s="27">
        <f>SUM(G567:G571)</f>
        <v>82853.935620772885</v>
      </c>
      <c r="H566" s="27">
        <f>IFERROR(G566*E564,"")</f>
        <v>0</v>
      </c>
    </row>
    <row r="567" spans="1:11" ht="12.75" customHeight="1">
      <c r="A567" s="28"/>
      <c r="B567" s="29" t="s">
        <v>3311</v>
      </c>
      <c r="C567" s="30" t="str">
        <f>IFERROR(_xlfn.XLOOKUP(B567,Insumo[DESCRIPCION],Insumo[UND],,0),"")</f>
        <v>Kg</v>
      </c>
      <c r="D567" s="31">
        <v>6.6</v>
      </c>
      <c r="E567" s="32">
        <f>IFERROR(_xlfn.XLOOKUP($B567,Insumo[DESCRIPCION],Insumo[VALOR],,0),"")</f>
        <v>2838.15</v>
      </c>
      <c r="F567" s="33">
        <v>3</v>
      </c>
      <c r="G567" s="34">
        <f>IFERROR(IF(F567&gt;=0,D567*E567*(1+F567/100),ABS(D567*E567/F567)),"")</f>
        <v>19293.743700000003</v>
      </c>
      <c r="H567" s="43">
        <f>IFERROR(G567*E564,"")</f>
        <v>0</v>
      </c>
    </row>
    <row r="568" spans="1:11" ht="12.75" customHeight="1">
      <c r="A568" s="28"/>
      <c r="B568" s="29" t="s">
        <v>2954</v>
      </c>
      <c r="C568" s="30" t="str">
        <f>IFERROR(_xlfn.XLOOKUP(B568,Insumo[DESCRIPCION],Insumo[UND],,0),"")</f>
        <v>M2</v>
      </c>
      <c r="D568" s="31">
        <v>8.4000000000000005E-2</v>
      </c>
      <c r="E568" s="32">
        <f>IFERROR(_xlfn.XLOOKUP($B568,Insumo[DESCRIPCION],Insumo[VALOR],,0),"")</f>
        <v>102154.92581625449</v>
      </c>
      <c r="F568" s="33">
        <v>3</v>
      </c>
      <c r="G568" s="34">
        <f>IFERROR(IF(F568&gt;=0,D568*E568*(1+F568/100),ABS(D568*E568/F568)),"")</f>
        <v>8838.4441816223389</v>
      </c>
      <c r="H568" s="43">
        <f>IFERROR(G568*E564,"")</f>
        <v>0</v>
      </c>
    </row>
    <row r="569" spans="1:11" ht="12.75" customHeight="1">
      <c r="A569" s="28"/>
      <c r="B569" s="29" t="s">
        <v>3239</v>
      </c>
      <c r="C569" s="30" t="str">
        <f>IFERROR(_xlfn.XLOOKUP(B569,Insumo[DESCRIPCION],Insumo[UND],,0),"")</f>
        <v>M3</v>
      </c>
      <c r="D569" s="31">
        <v>0.1</v>
      </c>
      <c r="E569" s="32">
        <f>IFERROR(_xlfn.XLOOKUP($B569,Insumo[DESCRIPCION],Insumo[VALOR],,0),"")</f>
        <v>521159.50227762427</v>
      </c>
      <c r="F569" s="33">
        <v>5</v>
      </c>
      <c r="G569" s="34">
        <f>IFERROR(IF(F569&gt;=0,D569*E569*(1+F569/100),ABS(D569*E569/F569)),"")</f>
        <v>54721.747739150553</v>
      </c>
      <c r="H569" s="43">
        <f>IFERROR(G569*E564,"")</f>
        <v>0</v>
      </c>
    </row>
    <row r="570" spans="1:11" ht="12.75" customHeight="1">
      <c r="A570" s="28"/>
      <c r="B570" s="29"/>
      <c r="C570" s="30" t="str">
        <f>IFERROR(_xlfn.XLOOKUP(B570,Insumo[DESCRIPCION],Insumo[UND],,0),"")</f>
        <v/>
      </c>
      <c r="D570" s="31"/>
      <c r="E570" s="32" t="str">
        <f>IFERROR(_xlfn.XLOOKUP($B570,Insumo[DESCRIPCION],Insumo[VALOR],,0),"")</f>
        <v/>
      </c>
      <c r="F570" s="33"/>
      <c r="G570" s="34" t="str">
        <f>IFERROR(IF(F570&gt;=0,D570*E570*(1+F570/100),ABS(D570*E570/F570)),"")</f>
        <v/>
      </c>
      <c r="H570" s="43" t="str">
        <f>IFERROR(G570*E564,"")</f>
        <v/>
      </c>
    </row>
    <row r="571" spans="1:11" ht="12.75" customHeight="1">
      <c r="A571" s="28"/>
      <c r="B571" s="29"/>
      <c r="C571" s="30" t="str">
        <f>IFERROR(_xlfn.XLOOKUP(B571,Insumo[DESCRIPCION],Insumo[UND],,0),"")</f>
        <v/>
      </c>
      <c r="D571" s="31"/>
      <c r="E571" s="32" t="str">
        <f>IFERROR(_xlfn.XLOOKUP($B571,Insumo[DESCRIPCION],Insumo[VALOR],,0),"")</f>
        <v/>
      </c>
      <c r="F571" s="33"/>
      <c r="G571" s="34" t="str">
        <f>IFERROR(IF(F571&gt;=0,D571*E571*(1+F571/100),ABS(D571*E571/F571)),"")</f>
        <v/>
      </c>
      <c r="H571" s="43" t="str">
        <f>IFERROR(G571*E564,"")</f>
        <v/>
      </c>
    </row>
    <row r="572" spans="1:11" ht="12.75" customHeight="1">
      <c r="A572" s="21"/>
      <c r="B572" s="22" t="s">
        <v>3731</v>
      </c>
      <c r="C572" s="23"/>
      <c r="D572" s="24"/>
      <c r="E572" s="25"/>
      <c r="F572" s="26"/>
      <c r="G572" s="27">
        <f>SUM(G573:G575)</f>
        <v>14910.499831916666</v>
      </c>
      <c r="H572" s="44">
        <f>G572*E564</f>
        <v>0</v>
      </c>
    </row>
    <row r="573" spans="1:11" ht="12.75" customHeight="1">
      <c r="A573" s="28"/>
      <c r="B573" s="29" t="s">
        <v>3627</v>
      </c>
      <c r="C573" s="30" t="str">
        <f>IFERROR(_xlfn.XLOOKUP(B573,Equipo[DESCRIPCION],Equipo[UND],,0),"")</f>
        <v>Día</v>
      </c>
      <c r="D573" s="31">
        <v>1</v>
      </c>
      <c r="E573" s="32">
        <f>IF(C573="%MO",G579,IFERROR(_xlfn.XLOOKUP($B573,Equipo[DESCRIPCION],Equipo[VALOR],,0),""))</f>
        <v>109956</v>
      </c>
      <c r="F573" s="33">
        <v>-25</v>
      </c>
      <c r="G573" s="34">
        <f>IFERROR(IF(F573&gt;=0,D573*E573*(1+F573/100),ABS(D573*E573/F573)),"")</f>
        <v>4398.24</v>
      </c>
      <c r="H573" s="43">
        <f>IFERROR(G573*E564,"")</f>
        <v>0</v>
      </c>
    </row>
    <row r="574" spans="1:11" ht="12.75" customHeight="1">
      <c r="A574" s="28"/>
      <c r="B574" s="29" t="s">
        <v>3638</v>
      </c>
      <c r="C574" s="30" t="str">
        <f>IFERROR(_xlfn.XLOOKUP(B574,Equipo[DESCRIPCION],Equipo[UND],,0),"")</f>
        <v>Día</v>
      </c>
      <c r="D574" s="31">
        <v>1</v>
      </c>
      <c r="E574" s="32">
        <f>IF(C574="%MO",G579,IFERROR(_xlfn.XLOOKUP($B574,Equipo[DESCRIPCION],Equipo[VALOR],,0),""))</f>
        <v>56831.25</v>
      </c>
      <c r="F574" s="33">
        <v>-7</v>
      </c>
      <c r="G574" s="34">
        <f>IFERROR(IF(F574&gt;=0,D574*E574*(1+F574/100),ABS(D574*E574/F574)),"")</f>
        <v>8118.75</v>
      </c>
      <c r="H574" s="43">
        <f>IFERROR(G574*E564,"")</f>
        <v>0</v>
      </c>
    </row>
    <row r="575" spans="1:11" ht="12.75" customHeight="1">
      <c r="A575" s="28"/>
      <c r="B575" s="29" t="s">
        <v>3626</v>
      </c>
      <c r="C575" s="30" t="str">
        <f>IFERROR(_xlfn.XLOOKUP(B575,Equipo[DESCRIPCION],Equipo[UND],,0),"")</f>
        <v>%MO</v>
      </c>
      <c r="D575" s="31">
        <v>0.05</v>
      </c>
      <c r="E575" s="32">
        <f>IF(C575="%MO",G579,IFERROR(_xlfn.XLOOKUP($B575,Equipo[DESCRIPCION],Equipo[VALOR],,0),""))</f>
        <v>47870.196638333342</v>
      </c>
      <c r="F575" s="33"/>
      <c r="G575" s="34">
        <f>IFERROR(IF(F575&gt;=0,D575*E575*(1+F575/100),ABS(D575*E575/F575)),"")</f>
        <v>2393.5098319166673</v>
      </c>
      <c r="H575" s="43">
        <f>IFERROR(G575*E564,"")</f>
        <v>0</v>
      </c>
    </row>
    <row r="576" spans="1:11" ht="12.75" customHeight="1">
      <c r="A576" s="21"/>
      <c r="B576" s="22" t="s">
        <v>2533</v>
      </c>
      <c r="C576" s="23"/>
      <c r="D576" s="24"/>
      <c r="E576" s="25"/>
      <c r="F576" s="26"/>
      <c r="G576" s="27">
        <f>SUM(G577:G578)</f>
        <v>0</v>
      </c>
      <c r="H576" s="44">
        <f>G576*E564</f>
        <v>0</v>
      </c>
    </row>
    <row r="577" spans="1:11" ht="12.75" customHeight="1">
      <c r="A577" s="28"/>
      <c r="B577" s="29"/>
      <c r="C577" s="30" t="str">
        <f>IFERROR(_xlfn.XLOOKUP(B577,Transporte[DESCRIPCION],Transporte[UND],,0),"")</f>
        <v/>
      </c>
      <c r="D577" s="31"/>
      <c r="E577" s="32" t="str">
        <f>IFERROR(_xlfn.XLOOKUP($B577,Transporte[DESCRIPCION],Transporte[VALOR],,0),"")</f>
        <v/>
      </c>
      <c r="F577" s="33"/>
      <c r="G577" s="34" t="str">
        <f>IFERROR(IF(F577&gt;=0,D577*E577*(1+F577/100),ABS(D577*E577/F577)),"")</f>
        <v/>
      </c>
      <c r="H577" s="43" t="str">
        <f>IFERROR(G577*E564,"")</f>
        <v/>
      </c>
    </row>
    <row r="578" spans="1:11" ht="12.75" customHeight="1">
      <c r="A578" s="28"/>
      <c r="B578" s="29"/>
      <c r="C578" s="30" t="str">
        <f>IFERROR(_xlfn.XLOOKUP(B578,Transporte[DESCRIPCION],Transporte[UND],,0),"")</f>
        <v/>
      </c>
      <c r="D578" s="31"/>
      <c r="E578" s="32" t="str">
        <f>IFERROR(_xlfn.XLOOKUP($B578,Transporte[DESCRIPCION],Transporte[VALOR],,0),"")</f>
        <v/>
      </c>
      <c r="F578" s="33"/>
      <c r="G578" s="34" t="str">
        <f>IFERROR(IF(F578&gt;=0,D578*E578*(1+F578/100),ABS(D578*E578/F578)),"")</f>
        <v/>
      </c>
      <c r="H578" s="43" t="str">
        <f>IFERROR(G578*E564,"")</f>
        <v/>
      </c>
    </row>
    <row r="579" spans="1:11" ht="12.75" customHeight="1">
      <c r="A579" s="21"/>
      <c r="B579" s="22" t="s">
        <v>3732</v>
      </c>
      <c r="C579" s="23"/>
      <c r="D579" s="24"/>
      <c r="E579" s="25"/>
      <c r="F579" s="26"/>
      <c r="G579" s="27">
        <f>SUM(G580:G582)</f>
        <v>47870.196638333342</v>
      </c>
      <c r="H579" s="44">
        <f>G579*E564</f>
        <v>0</v>
      </c>
    </row>
    <row r="580" spans="1:11" ht="12.75" customHeight="1">
      <c r="A580" s="28"/>
      <c r="B580" s="29" t="s">
        <v>3711</v>
      </c>
      <c r="C580" s="30" t="str">
        <f>IFERROR(_xlfn.XLOOKUP(B580,MObra[DESCRIPCION],MObra[UN],,0),"")</f>
        <v>día</v>
      </c>
      <c r="D580" s="31">
        <v>1</v>
      </c>
      <c r="E580" s="32">
        <f>IFERROR(_xlfn.XLOOKUP($B580,MObra[DESCRIPCION],MObra[VALOR UNIT],,0),"")</f>
        <v>430831.76974500006</v>
      </c>
      <c r="F580" s="33">
        <v>-9</v>
      </c>
      <c r="G580" s="34">
        <f>IFERROR(IF(F580&gt;=0,D580*E580*(1+F580/100),ABS(D580*E580/F580)),"")</f>
        <v>47870.196638333342</v>
      </c>
      <c r="H580" s="43">
        <f>IFERROR(G580*E564,"")</f>
        <v>0</v>
      </c>
    </row>
    <row r="581" spans="1:11" ht="12.75" customHeight="1">
      <c r="A581" s="28"/>
      <c r="B581" s="29"/>
      <c r="C581" s="30" t="str">
        <f>IFERROR(_xlfn.XLOOKUP(B581,MObra[DESCRIPCION],MObra[UN],,0),"")</f>
        <v/>
      </c>
      <c r="D581" s="31"/>
      <c r="E581" s="32" t="str">
        <f>IFERROR(_xlfn.XLOOKUP($B581,MObra[DESCRIPCION],MObra[VALOR UNIT],,0),"")</f>
        <v/>
      </c>
      <c r="F581" s="33"/>
      <c r="G581" s="34" t="str">
        <f>IFERROR(IF(F581&gt;=0,D581*E581*(1+F581/100),ABS(D581*E581/F581)),"")</f>
        <v/>
      </c>
      <c r="H581" s="43" t="str">
        <f>IFERROR(G581*E564,"")</f>
        <v/>
      </c>
    </row>
    <row r="582" spans="1:11" ht="12.75" customHeight="1" thickBot="1">
      <c r="A582" s="35"/>
      <c r="B582" s="36"/>
      <c r="C582" s="37" t="str">
        <f>IFERROR(_xlfn.XLOOKUP(B582,MObra[DESCRIPCION],MObra[UN],,0),"")</f>
        <v/>
      </c>
      <c r="D582" s="38"/>
      <c r="E582" s="39" t="str">
        <f>IFERROR(_xlfn.XLOOKUP($B582,MObra[DESCRIPCION],MObra[VALOR UNIT],,0),"")</f>
        <v/>
      </c>
      <c r="F582" s="40"/>
      <c r="G582" s="41" t="str">
        <f>IFERROR(IF(F582&gt;=0,D582*E582*(1+F582/100),ABS(D582*E582/F582)),"")</f>
        <v/>
      </c>
      <c r="H582" s="42" t="str">
        <f>IFERROR(G582*E564,"")</f>
        <v/>
      </c>
    </row>
    <row r="583" spans="1:11" ht="12.75" customHeight="1" thickTop="1" thickBot="1"/>
    <row r="584" spans="1:11" ht="12.75" customHeight="1" thickTop="1" thickBot="1">
      <c r="A584" s="6" t="s">
        <v>2487</v>
      </c>
      <c r="B584" s="7" t="str">
        <f>VLOOKUP($A584,Presupuesto!$A:$D,2,FALSE())</f>
        <v>Contenedor de raíz + alcorque</v>
      </c>
      <c r="C584" s="8" t="str">
        <f>VLOOKUP($A584,Presupuesto!$A:$D,3,FALSE())</f>
        <v>Un</v>
      </c>
      <c r="D584" s="9"/>
      <c r="E584" s="10">
        <f>VLOOKUP($A584,Presupuesto!$A:$D,4,FALSE())</f>
        <v>0</v>
      </c>
      <c r="F584" s="11" t="s">
        <v>2589</v>
      </c>
      <c r="G584" s="12">
        <f>SUM(G586:G602)/2</f>
        <v>2925791.1328956438</v>
      </c>
      <c r="H584" s="13">
        <f>ROUND(SUM(H586:H602),0)/2</f>
        <v>0</v>
      </c>
      <c r="I584" s="10">
        <f>VLOOKUP(A584,Presupuesto!$A:$F,6,0)</f>
        <v>0</v>
      </c>
      <c r="J584" s="10">
        <f>+H584-I584</f>
        <v>0</v>
      </c>
      <c r="K584" s="46">
        <f>+H584-G584*E584</f>
        <v>0</v>
      </c>
    </row>
    <row r="585" spans="1:11" ht="12.75" customHeight="1" thickTop="1">
      <c r="A585" s="14"/>
      <c r="B585" s="15" t="s">
        <v>2586</v>
      </c>
      <c r="C585" s="15" t="s">
        <v>5</v>
      </c>
      <c r="D585" s="16" t="s">
        <v>6</v>
      </c>
      <c r="E585" s="17" t="s">
        <v>7</v>
      </c>
      <c r="F585" s="18" t="s">
        <v>3728</v>
      </c>
      <c r="G585" s="19" t="s">
        <v>3729</v>
      </c>
      <c r="H585" s="20" t="s">
        <v>3797</v>
      </c>
    </row>
    <row r="586" spans="1:11" ht="12.75" customHeight="1">
      <c r="A586" s="21"/>
      <c r="B586" s="22" t="s">
        <v>3730</v>
      </c>
      <c r="C586" s="23"/>
      <c r="D586" s="24"/>
      <c r="E586" s="25"/>
      <c r="F586" s="26"/>
      <c r="G586" s="27">
        <f>SUM(G587:G591)</f>
        <v>2062291.6350783939</v>
      </c>
      <c r="H586" s="27">
        <f>IFERROR(G586*E584,"")</f>
        <v>0</v>
      </c>
    </row>
    <row r="587" spans="1:11" ht="12.75" customHeight="1">
      <c r="A587" s="28"/>
      <c r="B587" s="29" t="s">
        <v>2653</v>
      </c>
      <c r="C587" s="30" t="str">
        <f>IFERROR(_xlfn.XLOOKUP(B587,Insumo[DESCRIPCION],Insumo[UND],,0),"")</f>
        <v>Kg</v>
      </c>
      <c r="D587" s="31">
        <v>57</v>
      </c>
      <c r="E587" s="32">
        <f>IFERROR(_xlfn.XLOOKUP($B587,Insumo[DESCRIPCION],Insumo[VALOR],,0),"")</f>
        <v>5686.8</v>
      </c>
      <c r="F587" s="33"/>
      <c r="G587" s="34">
        <f>IFERROR(IF(F587&gt;=0,D587*E587*(1+F587/100),ABS(D587*E587/F587)),"")</f>
        <v>324147.60000000003</v>
      </c>
      <c r="H587" s="43">
        <f>IFERROR(G587*E584,"")</f>
        <v>0</v>
      </c>
    </row>
    <row r="588" spans="1:11" ht="12.75" customHeight="1">
      <c r="A588" s="28"/>
      <c r="B588" s="29" t="s">
        <v>2699</v>
      </c>
      <c r="C588" s="30" t="str">
        <f>IFERROR(_xlfn.XLOOKUP(B588,Insumo[DESCRIPCION],Insumo[UND],,0),"")</f>
        <v>Kg</v>
      </c>
      <c r="D588" s="31">
        <v>1.7</v>
      </c>
      <c r="E588" s="32">
        <f>IFERROR(_xlfn.XLOOKUP($B588,Insumo[DESCRIPCION],Insumo[VALOR],,0),"")</f>
        <v>7665</v>
      </c>
      <c r="F588" s="33"/>
      <c r="G588" s="34">
        <f>IFERROR(IF(F588&gt;=0,D588*E588*(1+F588/100),ABS(D588*E588/F588)),"")</f>
        <v>13030.5</v>
      </c>
      <c r="H588" s="43">
        <f>IFERROR(G588*E584,"")</f>
        <v>0</v>
      </c>
    </row>
    <row r="589" spans="1:11" ht="12.75" customHeight="1">
      <c r="A589" s="28"/>
      <c r="B589" s="29" t="s">
        <v>2700</v>
      </c>
      <c r="C589" s="30" t="str">
        <f>IFERROR(_xlfn.XLOOKUP(B589,Insumo[DESCRIPCION],Insumo[UND],,0),"")</f>
        <v>Un</v>
      </c>
      <c r="D589" s="31">
        <v>1</v>
      </c>
      <c r="E589" s="32">
        <f>IFERROR(_xlfn.XLOOKUP($B589,Insumo[DESCRIPCION],Insumo[VALOR],,0),"")</f>
        <v>1363950</v>
      </c>
      <c r="F589" s="33"/>
      <c r="G589" s="34">
        <f>IFERROR(IF(F589&gt;=0,D589*E589*(1+F589/100),ABS(D589*E589/F589)),"")</f>
        <v>1363950</v>
      </c>
      <c r="H589" s="43">
        <f>IFERROR(G589*E584,"")</f>
        <v>0</v>
      </c>
    </row>
    <row r="590" spans="1:11" ht="12.75" customHeight="1">
      <c r="A590" s="28"/>
      <c r="B590" s="29" t="s">
        <v>3239</v>
      </c>
      <c r="C590" s="30" t="str">
        <f>IFERROR(_xlfn.XLOOKUP(B590,Insumo[DESCRIPCION],Insumo[UND],,0),"")</f>
        <v>M3</v>
      </c>
      <c r="D590" s="31">
        <v>0.66</v>
      </c>
      <c r="E590" s="32">
        <f>IFERROR(_xlfn.XLOOKUP($B590,Insumo[DESCRIPCION],Insumo[VALOR],,0),"")</f>
        <v>521159.50227762427</v>
      </c>
      <c r="F590" s="33">
        <v>5</v>
      </c>
      <c r="G590" s="34">
        <f>IFERROR(IF(F590&gt;=0,D590*E590*(1+F590/100),ABS(D590*E590/F590)),"")</f>
        <v>361163.53507839364</v>
      </c>
      <c r="H590" s="43">
        <f>IFERROR(G590*E584,"")</f>
        <v>0</v>
      </c>
    </row>
    <row r="591" spans="1:11" ht="12.75" customHeight="1">
      <c r="A591" s="28"/>
      <c r="B591" s="29"/>
      <c r="C591" s="30" t="str">
        <f>IFERROR(_xlfn.XLOOKUP(B591,Insumo[DESCRIPCION],Insumo[UND],,0),"")</f>
        <v/>
      </c>
      <c r="D591" s="31"/>
      <c r="E591" s="32" t="str">
        <f>IFERROR(_xlfn.XLOOKUP($B591,Insumo[DESCRIPCION],Insumo[VALOR],,0),"")</f>
        <v/>
      </c>
      <c r="F591" s="33"/>
      <c r="G591" s="34" t="str">
        <f>IFERROR(IF(F591&gt;=0,D591*E591*(1+F591/100),ABS(D591*E591/F591)),"")</f>
        <v/>
      </c>
      <c r="H591" s="43" t="str">
        <f>IFERROR(G591*E584,"")</f>
        <v/>
      </c>
    </row>
    <row r="592" spans="1:11" ht="12.75" customHeight="1">
      <c r="A592" s="21"/>
      <c r="B592" s="22" t="s">
        <v>3731</v>
      </c>
      <c r="C592" s="23"/>
      <c r="D592" s="24"/>
      <c r="E592" s="25"/>
      <c r="F592" s="26"/>
      <c r="G592" s="27">
        <f>SUM(G593:G595)</f>
        <v>199785.69037225001</v>
      </c>
      <c r="H592" s="44">
        <f>G592*E584</f>
        <v>0</v>
      </c>
    </row>
    <row r="593" spans="1:11" ht="12.75" customHeight="1">
      <c r="A593" s="28"/>
      <c r="B593" s="29" t="s">
        <v>3616</v>
      </c>
      <c r="C593" s="30" t="str">
        <f>IFERROR(_xlfn.XLOOKUP(B593,Equipo[DESCRIPCION],Equipo[UND],,0),"")</f>
        <v>Día</v>
      </c>
      <c r="D593" s="31">
        <v>1</v>
      </c>
      <c r="E593" s="32">
        <f>IF(C593="%MO",G599,IFERROR(_xlfn.XLOOKUP($B593,Equipo[DESCRIPCION],Equipo[VALOR],,0),""))</f>
        <v>54978</v>
      </c>
      <c r="F593" s="33">
        <v>-0.33</v>
      </c>
      <c r="G593" s="34">
        <f>IFERROR(IF(F593&gt;=0,D593*E593*(1+F593/100),ABS(D593*E593/F593)),"")</f>
        <v>166600</v>
      </c>
      <c r="H593" s="43">
        <f>IFERROR(G593*E584,"")</f>
        <v>0</v>
      </c>
    </row>
    <row r="594" spans="1:11" ht="12.75" customHeight="1">
      <c r="A594" s="28"/>
      <c r="B594" s="29" t="s">
        <v>3626</v>
      </c>
      <c r="C594" s="30" t="str">
        <f>IFERROR(_xlfn.XLOOKUP(B594,Equipo[DESCRIPCION],Equipo[UND],,0),"")</f>
        <v>%MO</v>
      </c>
      <c r="D594" s="31">
        <v>0.05</v>
      </c>
      <c r="E594" s="32">
        <f>IF(C594="%MO",G599,IFERROR(_xlfn.XLOOKUP($B594,Equipo[DESCRIPCION],Equipo[VALOR],,0),""))</f>
        <v>663713.80744500016</v>
      </c>
      <c r="F594" s="33"/>
      <c r="G594" s="34">
        <f>IFERROR(IF(F594&gt;=0,D594*E594*(1+F594/100),ABS(D594*E594/F594)),"")</f>
        <v>33185.690372250006</v>
      </c>
      <c r="H594" s="43">
        <f>IFERROR(G594*E584,"")</f>
        <v>0</v>
      </c>
    </row>
    <row r="595" spans="1:11" ht="12.75" customHeight="1">
      <c r="A595" s="28"/>
      <c r="B595" s="29"/>
      <c r="C595" s="30" t="str">
        <f>IFERROR(_xlfn.XLOOKUP(B595,Equipo[DESCRIPCION],Equipo[UND],,0),"")</f>
        <v/>
      </c>
      <c r="D595" s="31"/>
      <c r="E595" s="32" t="str">
        <f>IF(C595="%MO",G599,IFERROR(_xlfn.XLOOKUP($B595,Equipo[DESCRIPCION],Equipo[VALOR],,0),""))</f>
        <v/>
      </c>
      <c r="F595" s="33"/>
      <c r="G595" s="34" t="str">
        <f>IFERROR(IF(F595&gt;=0,D595*E595*(1+F595/100),ABS(D595*E595/F595)),"")</f>
        <v/>
      </c>
      <c r="H595" s="43" t="str">
        <f>IFERROR(G595*E584,"")</f>
        <v/>
      </c>
    </row>
    <row r="596" spans="1:11" ht="12.75" customHeight="1">
      <c r="A596" s="21"/>
      <c r="B596" s="22" t="s">
        <v>2533</v>
      </c>
      <c r="C596" s="23"/>
      <c r="D596" s="24"/>
      <c r="E596" s="25"/>
      <c r="F596" s="26"/>
      <c r="G596" s="27">
        <f>SUM(G597:G598)</f>
        <v>0</v>
      </c>
      <c r="H596" s="44">
        <f>G596*E584</f>
        <v>0</v>
      </c>
    </row>
    <row r="597" spans="1:11" ht="12.75" customHeight="1">
      <c r="A597" s="28"/>
      <c r="B597" s="29"/>
      <c r="C597" s="30" t="str">
        <f>IFERROR(_xlfn.XLOOKUP(B597,Transporte[DESCRIPCION],Transporte[UND],,0),"")</f>
        <v/>
      </c>
      <c r="D597" s="31"/>
      <c r="E597" s="32" t="str">
        <f>IFERROR(_xlfn.XLOOKUP($B597,Transporte[DESCRIPCION],Transporte[VALOR],,0),"")</f>
        <v/>
      </c>
      <c r="F597" s="33"/>
      <c r="G597" s="34" t="str">
        <f>IFERROR(IF(F597&gt;=0,D597*E597*(1+F597/100),ABS(D597*E597/F597)),"")</f>
        <v/>
      </c>
      <c r="H597" s="43" t="str">
        <f>IFERROR(G597*E584,"")</f>
        <v/>
      </c>
    </row>
    <row r="598" spans="1:11" ht="12.75" customHeight="1">
      <c r="A598" s="28"/>
      <c r="B598" s="29"/>
      <c r="C598" s="30" t="str">
        <f>IFERROR(_xlfn.XLOOKUP(B598,Transporte[DESCRIPCION],Transporte[UND],,0),"")</f>
        <v/>
      </c>
      <c r="D598" s="31"/>
      <c r="E598" s="32" t="str">
        <f>IFERROR(_xlfn.XLOOKUP($B598,Transporte[DESCRIPCION],Transporte[VALOR],,0),"")</f>
        <v/>
      </c>
      <c r="F598" s="33"/>
      <c r="G598" s="34" t="str">
        <f>IFERROR(IF(F598&gt;=0,D598*E598*(1+F598/100),ABS(D598*E598/F598)),"")</f>
        <v/>
      </c>
      <c r="H598" s="43" t="str">
        <f>IFERROR(G598*E584,"")</f>
        <v/>
      </c>
    </row>
    <row r="599" spans="1:11" ht="12.75" customHeight="1">
      <c r="A599" s="21"/>
      <c r="B599" s="22" t="s">
        <v>3732</v>
      </c>
      <c r="C599" s="23"/>
      <c r="D599" s="24"/>
      <c r="E599" s="25"/>
      <c r="F599" s="26"/>
      <c r="G599" s="27">
        <f>SUM(G600:G602)</f>
        <v>663713.80744500016</v>
      </c>
      <c r="H599" s="44">
        <f>G599*E584</f>
        <v>0</v>
      </c>
    </row>
    <row r="600" spans="1:11" ht="12.75" customHeight="1">
      <c r="A600" s="28"/>
      <c r="B600" s="29" t="s">
        <v>3713</v>
      </c>
      <c r="C600" s="30" t="str">
        <f>IFERROR(_xlfn.XLOOKUP(B600,MObra[DESCRIPCION],MObra[UN],,0),"")</f>
        <v>día</v>
      </c>
      <c r="D600" s="31">
        <v>1</v>
      </c>
      <c r="E600" s="32">
        <f>IFERROR(_xlfn.XLOOKUP($B600,MObra[DESCRIPCION],MObra[VALOR UNIT],,0),"")</f>
        <v>663713.80744500016</v>
      </c>
      <c r="F600" s="33">
        <v>-1</v>
      </c>
      <c r="G600" s="34">
        <f>IFERROR(IF(F600&gt;=0,D600*E600*(1+F600/100),ABS(D600*E600/F600)),"")</f>
        <v>663713.80744500016</v>
      </c>
      <c r="H600" s="43">
        <f>IFERROR(G600*E584,"")</f>
        <v>0</v>
      </c>
    </row>
    <row r="601" spans="1:11" ht="12.75" customHeight="1">
      <c r="A601" s="28"/>
      <c r="B601" s="29"/>
      <c r="C601" s="30" t="str">
        <f>IFERROR(_xlfn.XLOOKUP(B601,MObra[DESCRIPCION],MObra[UN],,0),"")</f>
        <v/>
      </c>
      <c r="D601" s="31"/>
      <c r="E601" s="32" t="str">
        <f>IFERROR(_xlfn.XLOOKUP($B601,MObra[DESCRIPCION],MObra[VALOR UNIT],,0),"")</f>
        <v/>
      </c>
      <c r="F601" s="33"/>
      <c r="G601" s="34" t="str">
        <f>IFERROR(IF(F601&gt;=0,D601*E601*(1+F601/100),ABS(D601*E601/F601)),"")</f>
        <v/>
      </c>
      <c r="H601" s="43" t="str">
        <f>IFERROR(G601*E584,"")</f>
        <v/>
      </c>
    </row>
    <row r="602" spans="1:11" ht="12.75" customHeight="1" thickBot="1">
      <c r="A602" s="35"/>
      <c r="B602" s="36"/>
      <c r="C602" s="37" t="str">
        <f>IFERROR(_xlfn.XLOOKUP(B602,MObra[DESCRIPCION],MObra[UN],,0),"")</f>
        <v/>
      </c>
      <c r="D602" s="38"/>
      <c r="E602" s="39" t="str">
        <f>IFERROR(_xlfn.XLOOKUP($B602,MObra[DESCRIPCION],MObra[VALOR UNIT],,0),"")</f>
        <v/>
      </c>
      <c r="F602" s="40"/>
      <c r="G602" s="41" t="str">
        <f>IFERROR(IF(F602&gt;=0,D602*E602*(1+F602/100),ABS(D602*E602/F602)),"")</f>
        <v/>
      </c>
      <c r="H602" s="42" t="str">
        <f>IFERROR(G602*E584,"")</f>
        <v/>
      </c>
    </row>
    <row r="603" spans="1:11" ht="12.75" customHeight="1" thickTop="1" thickBot="1"/>
    <row r="604" spans="1:11" ht="12.75" customHeight="1" thickTop="1" thickBot="1">
      <c r="A604" s="6" t="s">
        <v>2489</v>
      </c>
      <c r="B604" s="7" t="str">
        <f>VLOOKUP($A604,Presupuesto!$A:$D,2,FALSE())</f>
        <v>Contenedor de raíz oculto sin alcorque</v>
      </c>
      <c r="C604" s="8" t="str">
        <f>VLOOKUP($A604,Presupuesto!$A:$D,3,FALSE())</f>
        <v>Un</v>
      </c>
      <c r="D604" s="9"/>
      <c r="E604" s="10">
        <f>VLOOKUP($A604,Presupuesto!$A:$D,4,FALSE())</f>
        <v>0</v>
      </c>
      <c r="F604" s="11" t="s">
        <v>2589</v>
      </c>
      <c r="G604" s="12">
        <f>SUM(G606:G622)/2</f>
        <v>1401018.171860894</v>
      </c>
      <c r="H604" s="13">
        <f>ROUND(SUM(H606:H622),0)/2</f>
        <v>0</v>
      </c>
      <c r="I604" s="10">
        <f>VLOOKUP(A604,Presupuesto!$A:$F,6,0)</f>
        <v>0</v>
      </c>
      <c r="J604" s="10">
        <f>+H604-I604</f>
        <v>0</v>
      </c>
      <c r="K604" s="46">
        <f>+H604-G604*E604</f>
        <v>0</v>
      </c>
    </row>
    <row r="605" spans="1:11" ht="12.75" customHeight="1" thickTop="1">
      <c r="A605" s="14"/>
      <c r="B605" s="15" t="s">
        <v>2586</v>
      </c>
      <c r="C605" s="15" t="s">
        <v>5</v>
      </c>
      <c r="D605" s="16" t="s">
        <v>6</v>
      </c>
      <c r="E605" s="17" t="s">
        <v>7</v>
      </c>
      <c r="F605" s="18" t="s">
        <v>3728</v>
      </c>
      <c r="G605" s="19" t="s">
        <v>3729</v>
      </c>
      <c r="H605" s="20" t="s">
        <v>3797</v>
      </c>
    </row>
    <row r="606" spans="1:11" ht="12.75" customHeight="1">
      <c r="A606" s="21"/>
      <c r="B606" s="22" t="s">
        <v>3730</v>
      </c>
      <c r="C606" s="23"/>
      <c r="D606" s="24"/>
      <c r="E606" s="25"/>
      <c r="F606" s="26"/>
      <c r="G606" s="27">
        <f>SUM(G607:G611)</f>
        <v>698341.63507839362</v>
      </c>
      <c r="H606" s="27">
        <f>IFERROR(G606*E604,"")</f>
        <v>0</v>
      </c>
    </row>
    <row r="607" spans="1:11" ht="12.75" customHeight="1">
      <c r="A607" s="28"/>
      <c r="B607" s="29" t="s">
        <v>2653</v>
      </c>
      <c r="C607" s="30" t="str">
        <f>IFERROR(_xlfn.XLOOKUP(B607,Insumo[DESCRIPCION],Insumo[UND],,0),"")</f>
        <v>Kg</v>
      </c>
      <c r="D607" s="31">
        <v>57</v>
      </c>
      <c r="E607" s="32">
        <f>IFERROR(_xlfn.XLOOKUP($B607,Insumo[DESCRIPCION],Insumo[VALOR],,0),"")</f>
        <v>5686.8</v>
      </c>
      <c r="F607" s="33"/>
      <c r="G607" s="34">
        <f>IFERROR(IF(F607&gt;=0,D607*E607*(1+F607/100),ABS(D607*E607/F607)),"")</f>
        <v>324147.60000000003</v>
      </c>
      <c r="H607" s="43">
        <f>IFERROR(G607*E604,"")</f>
        <v>0</v>
      </c>
    </row>
    <row r="608" spans="1:11" ht="12.75" customHeight="1">
      <c r="A608" s="28"/>
      <c r="B608" s="29" t="s">
        <v>2699</v>
      </c>
      <c r="C608" s="30" t="str">
        <f>IFERROR(_xlfn.XLOOKUP(B608,Insumo[DESCRIPCION],Insumo[UND],,0),"")</f>
        <v>Kg</v>
      </c>
      <c r="D608" s="31">
        <v>1.7</v>
      </c>
      <c r="E608" s="32">
        <f>IFERROR(_xlfn.XLOOKUP($B608,Insumo[DESCRIPCION],Insumo[VALOR],,0),"")</f>
        <v>7665</v>
      </c>
      <c r="F608" s="33"/>
      <c r="G608" s="34">
        <f>IFERROR(IF(F608&gt;=0,D608*E608*(1+F608/100),ABS(D608*E608/F608)),"")</f>
        <v>13030.5</v>
      </c>
      <c r="H608" s="43">
        <f>IFERROR(G608*E604,"")</f>
        <v>0</v>
      </c>
    </row>
    <row r="609" spans="1:11" ht="12.75" customHeight="1">
      <c r="A609" s="28"/>
      <c r="B609" s="29" t="s">
        <v>3239</v>
      </c>
      <c r="C609" s="30" t="str">
        <f>IFERROR(_xlfn.XLOOKUP(B609,Insumo[DESCRIPCION],Insumo[UND],,0),"")</f>
        <v>M3</v>
      </c>
      <c r="D609" s="31">
        <v>0.66</v>
      </c>
      <c r="E609" s="32">
        <f>IFERROR(_xlfn.XLOOKUP($B609,Insumo[DESCRIPCION],Insumo[VALOR],,0),"")</f>
        <v>521159.50227762427</v>
      </c>
      <c r="F609" s="33">
        <v>5</v>
      </c>
      <c r="G609" s="34">
        <f>IFERROR(IF(F609&gt;=0,D609*E609*(1+F609/100),ABS(D609*E609/F609)),"")</f>
        <v>361163.53507839364</v>
      </c>
      <c r="H609" s="43">
        <f>IFERROR(G609*E604,"")</f>
        <v>0</v>
      </c>
    </row>
    <row r="610" spans="1:11" ht="12.75" customHeight="1">
      <c r="A610" s="28"/>
      <c r="B610" s="29"/>
      <c r="C610" s="30" t="str">
        <f>IFERROR(_xlfn.XLOOKUP(B610,Insumo[DESCRIPCION],Insumo[UND],,0),"")</f>
        <v/>
      </c>
      <c r="D610" s="31"/>
      <c r="E610" s="32" t="str">
        <f>IFERROR(_xlfn.XLOOKUP($B610,Insumo[DESCRIPCION],Insumo[VALOR],,0),"")</f>
        <v/>
      </c>
      <c r="F610" s="33"/>
      <c r="G610" s="34" t="str">
        <f>IFERROR(IF(F610&gt;=0,D610*E610*(1+F610/100),ABS(D610*E610/F610)),"")</f>
        <v/>
      </c>
      <c r="H610" s="43" t="str">
        <f>IFERROR(G610*E604,"")</f>
        <v/>
      </c>
    </row>
    <row r="611" spans="1:11" ht="12.75" customHeight="1">
      <c r="A611" s="28"/>
      <c r="B611" s="29"/>
      <c r="C611" s="30" t="str">
        <f>IFERROR(_xlfn.XLOOKUP(B611,Insumo[DESCRIPCION],Insumo[UND],,0),"")</f>
        <v/>
      </c>
      <c r="D611" s="31"/>
      <c r="E611" s="32" t="str">
        <f>IFERROR(_xlfn.XLOOKUP($B611,Insumo[DESCRIPCION],Insumo[VALOR],,0),"")</f>
        <v/>
      </c>
      <c r="F611" s="33"/>
      <c r="G611" s="34" t="str">
        <f>IFERROR(IF(F611&gt;=0,D611*E611*(1+F611/100),ABS(D611*E611/F611)),"")</f>
        <v/>
      </c>
      <c r="H611" s="43" t="str">
        <f>IFERROR(G611*E604,"")</f>
        <v/>
      </c>
    </row>
    <row r="612" spans="1:11" ht="12.75" customHeight="1">
      <c r="A612" s="21"/>
      <c r="B612" s="22" t="s">
        <v>3731</v>
      </c>
      <c r="C612" s="23"/>
      <c r="D612" s="24"/>
      <c r="E612" s="25"/>
      <c r="F612" s="26"/>
      <c r="G612" s="27">
        <f>SUM(G613:G615)</f>
        <v>192127.45413250002</v>
      </c>
      <c r="H612" s="44">
        <f>G612*E604</f>
        <v>0</v>
      </c>
    </row>
    <row r="613" spans="1:11" ht="12.75" customHeight="1">
      <c r="A613" s="28"/>
      <c r="B613" s="29" t="s">
        <v>3616</v>
      </c>
      <c r="C613" s="30" t="str">
        <f>IFERROR(_xlfn.XLOOKUP(B613,Equipo[DESCRIPCION],Equipo[UND],,0),"")</f>
        <v>Día</v>
      </c>
      <c r="D613" s="31">
        <v>1</v>
      </c>
      <c r="E613" s="32">
        <f>IF(C613="%MO",G619,IFERROR(_xlfn.XLOOKUP($B613,Equipo[DESCRIPCION],Equipo[VALOR],,0),""))</f>
        <v>54978</v>
      </c>
      <c r="F613" s="33">
        <v>-0.33</v>
      </c>
      <c r="G613" s="34">
        <f>IFERROR(IF(F613&gt;=0,D613*E613*(1+F613/100),ABS(D613*E613/F613)),"")</f>
        <v>166600</v>
      </c>
      <c r="H613" s="43">
        <f>IFERROR(G613*E604,"")</f>
        <v>0</v>
      </c>
    </row>
    <row r="614" spans="1:11" ht="12.75" customHeight="1">
      <c r="A614" s="28"/>
      <c r="B614" s="29" t="s">
        <v>3626</v>
      </c>
      <c r="C614" s="30" t="str">
        <f>IFERROR(_xlfn.XLOOKUP(B614,Equipo[DESCRIPCION],Equipo[UND],,0),"")</f>
        <v>%MO</v>
      </c>
      <c r="D614" s="31">
        <v>0.05</v>
      </c>
      <c r="E614" s="32">
        <f>IF(C614="%MO",G619,IFERROR(_xlfn.XLOOKUP($B614,Equipo[DESCRIPCION],Equipo[VALOR],,0),""))</f>
        <v>510549.08265000011</v>
      </c>
      <c r="F614" s="33"/>
      <c r="G614" s="34">
        <f>IFERROR(IF(F614&gt;=0,D614*E614*(1+F614/100),ABS(D614*E614/F614)),"")</f>
        <v>25527.454132500006</v>
      </c>
      <c r="H614" s="43">
        <f>IFERROR(G614*E604,"")</f>
        <v>0</v>
      </c>
    </row>
    <row r="615" spans="1:11" ht="12.75" customHeight="1">
      <c r="A615" s="28"/>
      <c r="B615" s="29"/>
      <c r="C615" s="30" t="str">
        <f>IFERROR(_xlfn.XLOOKUP(B615,Equipo[DESCRIPCION],Equipo[UND],,0),"")</f>
        <v/>
      </c>
      <c r="D615" s="31"/>
      <c r="E615" s="32" t="str">
        <f>IF(C615="%MO",G619,IFERROR(_xlfn.XLOOKUP($B615,Equipo[DESCRIPCION],Equipo[VALOR],,0),""))</f>
        <v/>
      </c>
      <c r="F615" s="33"/>
      <c r="G615" s="34" t="str">
        <f>IFERROR(IF(F615&gt;=0,D615*E615*(1+F615/100),ABS(D615*E615/F615)),"")</f>
        <v/>
      </c>
      <c r="H615" s="43" t="str">
        <f>IFERROR(G615*E604,"")</f>
        <v/>
      </c>
    </row>
    <row r="616" spans="1:11" ht="12.75" customHeight="1">
      <c r="A616" s="21"/>
      <c r="B616" s="22" t="s">
        <v>2533</v>
      </c>
      <c r="C616" s="23"/>
      <c r="D616" s="24"/>
      <c r="E616" s="25"/>
      <c r="F616" s="26"/>
      <c r="G616" s="27">
        <f>SUM(G617:G618)</f>
        <v>0</v>
      </c>
      <c r="H616" s="44">
        <f>G616*E604</f>
        <v>0</v>
      </c>
    </row>
    <row r="617" spans="1:11" ht="12.75" customHeight="1">
      <c r="A617" s="28"/>
      <c r="B617" s="29"/>
      <c r="C617" s="30" t="str">
        <f>IFERROR(_xlfn.XLOOKUP(B617,Transporte[DESCRIPCION],Transporte[UND],,0),"")</f>
        <v/>
      </c>
      <c r="D617" s="31"/>
      <c r="E617" s="32" t="str">
        <f>IFERROR(_xlfn.XLOOKUP($B617,Transporte[DESCRIPCION],Transporte[VALOR],,0),"")</f>
        <v/>
      </c>
      <c r="F617" s="33"/>
      <c r="G617" s="34" t="str">
        <f>IFERROR(IF(F617&gt;=0,D617*E617*(1+F617/100),ABS(D617*E617/F617)),"")</f>
        <v/>
      </c>
      <c r="H617" s="43" t="str">
        <f>IFERROR(G617*E604,"")</f>
        <v/>
      </c>
    </row>
    <row r="618" spans="1:11" ht="12.75" customHeight="1">
      <c r="A618" s="28"/>
      <c r="B618" s="29"/>
      <c r="C618" s="30" t="str">
        <f>IFERROR(_xlfn.XLOOKUP(B618,Transporte[DESCRIPCION],Transporte[UND],,0),"")</f>
        <v/>
      </c>
      <c r="D618" s="31"/>
      <c r="E618" s="32" t="str">
        <f>IFERROR(_xlfn.XLOOKUP($B618,Transporte[DESCRIPCION],Transporte[VALOR],,0),"")</f>
        <v/>
      </c>
      <c r="F618" s="33"/>
      <c r="G618" s="34" t="str">
        <f>IFERROR(IF(F618&gt;=0,D618*E618*(1+F618/100),ABS(D618*E618/F618)),"")</f>
        <v/>
      </c>
      <c r="H618" s="43" t="str">
        <f>IFERROR(G618*E604,"")</f>
        <v/>
      </c>
    </row>
    <row r="619" spans="1:11" ht="12.75" customHeight="1">
      <c r="A619" s="21"/>
      <c r="B619" s="22" t="s">
        <v>3732</v>
      </c>
      <c r="C619" s="23"/>
      <c r="D619" s="24"/>
      <c r="E619" s="25"/>
      <c r="F619" s="26"/>
      <c r="G619" s="27">
        <f>SUM(G620:G622)</f>
        <v>510549.08265000011</v>
      </c>
      <c r="H619" s="44">
        <f>G619*E604</f>
        <v>0</v>
      </c>
    </row>
    <row r="620" spans="1:11" ht="12.75" customHeight="1">
      <c r="A620" s="28"/>
      <c r="B620" s="29" t="s">
        <v>3713</v>
      </c>
      <c r="C620" s="30" t="str">
        <f>IFERROR(_xlfn.XLOOKUP(B620,MObra[DESCRIPCION],MObra[UN],,0),"")</f>
        <v>día</v>
      </c>
      <c r="D620" s="31">
        <v>1</v>
      </c>
      <c r="E620" s="32">
        <f>IFERROR(_xlfn.XLOOKUP($B620,MObra[DESCRIPCION],MObra[VALOR UNIT],,0),"")</f>
        <v>663713.80744500016</v>
      </c>
      <c r="F620" s="33">
        <v>-1.3</v>
      </c>
      <c r="G620" s="34">
        <f>IFERROR(IF(F620&gt;=0,D620*E620*(1+F620/100),ABS(D620*E620/F620)),"")</f>
        <v>510549.08265000011</v>
      </c>
      <c r="H620" s="43">
        <f>IFERROR(G620*E604,"")</f>
        <v>0</v>
      </c>
    </row>
    <row r="621" spans="1:11" ht="12.75" customHeight="1">
      <c r="A621" s="28"/>
      <c r="B621" s="29"/>
      <c r="C621" s="30" t="str">
        <f>IFERROR(_xlfn.XLOOKUP(B621,MObra[DESCRIPCION],MObra[UN],,0),"")</f>
        <v/>
      </c>
      <c r="D621" s="31"/>
      <c r="E621" s="32" t="str">
        <f>IFERROR(_xlfn.XLOOKUP($B621,MObra[DESCRIPCION],MObra[VALOR UNIT],,0),"")</f>
        <v/>
      </c>
      <c r="F621" s="33"/>
      <c r="G621" s="34" t="str">
        <f>IFERROR(IF(F621&gt;=0,D621*E621*(1+F621/100),ABS(D621*E621/F621)),"")</f>
        <v/>
      </c>
      <c r="H621" s="43" t="str">
        <f>IFERROR(G621*E604,"")</f>
        <v/>
      </c>
    </row>
    <row r="622" spans="1:11" ht="12.75" customHeight="1" thickBot="1">
      <c r="A622" s="35"/>
      <c r="B622" s="36"/>
      <c r="C622" s="37" t="str">
        <f>IFERROR(_xlfn.XLOOKUP(B622,MObra[DESCRIPCION],MObra[UN],,0),"")</f>
        <v/>
      </c>
      <c r="D622" s="38"/>
      <c r="E622" s="39" t="str">
        <f>IFERROR(_xlfn.XLOOKUP($B622,MObra[DESCRIPCION],MObra[VALOR UNIT],,0),"")</f>
        <v/>
      </c>
      <c r="F622" s="40"/>
      <c r="G622" s="41" t="str">
        <f>IFERROR(IF(F622&gt;=0,D622*E622*(1+F622/100),ABS(D622*E622/F622)),"")</f>
        <v/>
      </c>
      <c r="H622" s="42" t="str">
        <f>IFERROR(G622*E604,"")</f>
        <v/>
      </c>
    </row>
    <row r="623" spans="1:11" ht="12.75" customHeight="1" thickTop="1" thickBot="1"/>
    <row r="624" spans="1:11" ht="12.75" customHeight="1" thickTop="1" thickBot="1">
      <c r="A624" s="6" t="s">
        <v>2491</v>
      </c>
      <c r="B624" s="7" t="str">
        <f>VLOOKUP($A624,Presupuesto!$A:$D,2,FALSE())</f>
        <v>Contenedor de basura industrial - Plastico</v>
      </c>
      <c r="C624" s="8" t="str">
        <f>VLOOKUP($A624,Presupuesto!$A:$D,3,FALSE())</f>
        <v>Un</v>
      </c>
      <c r="D624" s="9"/>
      <c r="E624" s="10">
        <f>VLOOKUP($A624,Presupuesto!$A:$D,4,FALSE())</f>
        <v>0</v>
      </c>
      <c r="F624" s="11" t="s">
        <v>2589</v>
      </c>
      <c r="G624" s="12">
        <f>SUM(G626:G642)/2</f>
        <v>1259478.3076879503</v>
      </c>
      <c r="H624" s="13">
        <f>ROUND(SUM(H626:H642),0)/2</f>
        <v>0</v>
      </c>
      <c r="I624" s="10">
        <f>VLOOKUP(A624,Presupuesto!$A:$F,6,0)</f>
        <v>0</v>
      </c>
      <c r="J624" s="10">
        <f>+H624-I624</f>
        <v>0</v>
      </c>
      <c r="K624" s="46">
        <f>+H624-G624*E624</f>
        <v>0</v>
      </c>
    </row>
    <row r="625" spans="1:8" ht="12.75" customHeight="1" thickTop="1">
      <c r="A625" s="14"/>
      <c r="B625" s="15" t="s">
        <v>2586</v>
      </c>
      <c r="C625" s="15" t="s">
        <v>5</v>
      </c>
      <c r="D625" s="16" t="s">
        <v>6</v>
      </c>
      <c r="E625" s="17" t="s">
        <v>7</v>
      </c>
      <c r="F625" s="18" t="s">
        <v>3728</v>
      </c>
      <c r="G625" s="19" t="s">
        <v>3729</v>
      </c>
      <c r="H625" s="20" t="s">
        <v>3797</v>
      </c>
    </row>
    <row r="626" spans="1:8" ht="12.75" customHeight="1">
      <c r="A626" s="21"/>
      <c r="B626" s="22" t="s">
        <v>3730</v>
      </c>
      <c r="C626" s="23"/>
      <c r="D626" s="24"/>
      <c r="E626" s="25"/>
      <c r="F626" s="26"/>
      <c r="G626" s="27">
        <f>SUM(G627:G631)</f>
        <v>1193456.25</v>
      </c>
      <c r="H626" s="27">
        <f>IFERROR(G626*E624,"")</f>
        <v>0</v>
      </c>
    </row>
    <row r="627" spans="1:8" ht="12.75" customHeight="1">
      <c r="A627" s="28"/>
      <c r="B627" s="29" t="s">
        <v>2896</v>
      </c>
      <c r="C627" s="30" t="str">
        <f>IFERROR(_xlfn.XLOOKUP(B627,Insumo[DESCRIPCION],Insumo[UND],,0),"")</f>
        <v>Un</v>
      </c>
      <c r="D627" s="31">
        <v>1</v>
      </c>
      <c r="E627" s="32">
        <f>IFERROR(_xlfn.XLOOKUP($B627,Insumo[DESCRIPCION],Insumo[VALOR],,0),"")</f>
        <v>1193456.25</v>
      </c>
      <c r="F627" s="33"/>
      <c r="G627" s="34">
        <f>IFERROR(IF(F627&gt;=0,D627*E627*(1+F627/100),ABS(D627*E627/F627)),"")</f>
        <v>1193456.25</v>
      </c>
      <c r="H627" s="43">
        <f>IFERROR(G627*E624,"")</f>
        <v>0</v>
      </c>
    </row>
    <row r="628" spans="1:8" ht="12.75" customHeight="1">
      <c r="A628" s="28"/>
      <c r="B628" s="29"/>
      <c r="C628" s="30" t="str">
        <f>IFERROR(_xlfn.XLOOKUP(B628,Insumo[DESCRIPCION],Insumo[UND],,0),"")</f>
        <v/>
      </c>
      <c r="D628" s="31"/>
      <c r="E628" s="32" t="str">
        <f>IFERROR(_xlfn.XLOOKUP($B628,Insumo[DESCRIPCION],Insumo[VALOR],,0),"")</f>
        <v/>
      </c>
      <c r="F628" s="33"/>
      <c r="G628" s="34" t="str">
        <f>IFERROR(IF(F628&gt;=0,D628*E628*(1+F628/100),ABS(D628*E628/F628)),"")</f>
        <v/>
      </c>
      <c r="H628" s="43" t="str">
        <f>IFERROR(G628*E624,"")</f>
        <v/>
      </c>
    </row>
    <row r="629" spans="1:8" ht="12.75" customHeight="1">
      <c r="A629" s="28"/>
      <c r="B629" s="29"/>
      <c r="C629" s="30" t="str">
        <f>IFERROR(_xlfn.XLOOKUP(B629,Insumo[DESCRIPCION],Insumo[UND],,0),"")</f>
        <v/>
      </c>
      <c r="D629" s="31"/>
      <c r="E629" s="32" t="str">
        <f>IFERROR(_xlfn.XLOOKUP($B629,Insumo[DESCRIPCION],Insumo[VALOR],,0),"")</f>
        <v/>
      </c>
      <c r="F629" s="33"/>
      <c r="G629" s="34" t="str">
        <f>IFERROR(IF(F629&gt;=0,D629*E629*(1+F629/100),ABS(D629*E629/F629)),"")</f>
        <v/>
      </c>
      <c r="H629" s="43" t="str">
        <f>IFERROR(G629*E624,"")</f>
        <v/>
      </c>
    </row>
    <row r="630" spans="1:8" ht="12.75" customHeight="1">
      <c r="A630" s="28"/>
      <c r="B630" s="29"/>
      <c r="C630" s="30" t="str">
        <f>IFERROR(_xlfn.XLOOKUP(B630,Insumo[DESCRIPCION],Insumo[UND],,0),"")</f>
        <v/>
      </c>
      <c r="D630" s="31"/>
      <c r="E630" s="32" t="str">
        <f>IFERROR(_xlfn.XLOOKUP($B630,Insumo[DESCRIPCION],Insumo[VALOR],,0),"")</f>
        <v/>
      </c>
      <c r="F630" s="33"/>
      <c r="G630" s="34" t="str">
        <f>IFERROR(IF(F630&gt;=0,D630*E630*(1+F630/100),ABS(D630*E630/F630)),"")</f>
        <v/>
      </c>
      <c r="H630" s="43" t="str">
        <f>IFERROR(G630*E624,"")</f>
        <v/>
      </c>
    </row>
    <row r="631" spans="1:8" ht="12.75" customHeight="1">
      <c r="A631" s="28"/>
      <c r="B631" s="29"/>
      <c r="C631" s="30" t="str">
        <f>IFERROR(_xlfn.XLOOKUP(B631,Insumo[DESCRIPCION],Insumo[UND],,0),"")</f>
        <v/>
      </c>
      <c r="D631" s="31"/>
      <c r="E631" s="32" t="str">
        <f>IFERROR(_xlfn.XLOOKUP($B631,Insumo[DESCRIPCION],Insumo[VALOR],,0),"")</f>
        <v/>
      </c>
      <c r="F631" s="33"/>
      <c r="G631" s="34" t="str">
        <f>IFERROR(IF(F631&gt;=0,D631*E631*(1+F631/100),ABS(D631*E631/F631)),"")</f>
        <v/>
      </c>
      <c r="H631" s="43" t="str">
        <f>IFERROR(G631*E624,"")</f>
        <v/>
      </c>
    </row>
    <row r="632" spans="1:8" ht="12.75" customHeight="1">
      <c r="A632" s="21"/>
      <c r="B632" s="22" t="s">
        <v>3731</v>
      </c>
      <c r="C632" s="23"/>
      <c r="D632" s="24"/>
      <c r="E632" s="25"/>
      <c r="F632" s="26"/>
      <c r="G632" s="27">
        <f>SUM(G633:G635)</f>
        <v>3143.9075089500006</v>
      </c>
      <c r="H632" s="44">
        <f>G632*E624</f>
        <v>0</v>
      </c>
    </row>
    <row r="633" spans="1:8" ht="12.75" customHeight="1">
      <c r="A633" s="28"/>
      <c r="B633" s="29" t="s">
        <v>3626</v>
      </c>
      <c r="C633" s="30" t="str">
        <f>IFERROR(_xlfn.XLOOKUP(B633,Equipo[DESCRIPCION],Equipo[UND],,0),"")</f>
        <v>%MO</v>
      </c>
      <c r="D633" s="31">
        <v>0.05</v>
      </c>
      <c r="E633" s="32">
        <f>IF(C633="%MO",G639,IFERROR(_xlfn.XLOOKUP($B633,Equipo[DESCRIPCION],Equipo[VALOR],,0),""))</f>
        <v>62878.150179000011</v>
      </c>
      <c r="F633" s="33"/>
      <c r="G633" s="34">
        <f>IFERROR(IF(F633&gt;=0,D633*E633*(1+F633/100),ABS(D633*E633/F633)),"")</f>
        <v>3143.9075089500006</v>
      </c>
      <c r="H633" s="43">
        <f>IFERROR(G633*E624,"")</f>
        <v>0</v>
      </c>
    </row>
    <row r="634" spans="1:8" ht="12.75" customHeight="1">
      <c r="A634" s="28"/>
      <c r="B634" s="29"/>
      <c r="C634" s="30" t="str">
        <f>IFERROR(_xlfn.XLOOKUP(B634,Equipo[DESCRIPCION],Equipo[UND],,0),"")</f>
        <v/>
      </c>
      <c r="D634" s="31"/>
      <c r="E634" s="32" t="str">
        <f>IF(C634="%MO",G639,IFERROR(_xlfn.XLOOKUP($B634,Equipo[DESCRIPCION],Equipo[VALOR],,0),""))</f>
        <v/>
      </c>
      <c r="F634" s="33"/>
      <c r="G634" s="34" t="str">
        <f>IFERROR(IF(F634&gt;=0,D634*E634*(1+F634/100),ABS(D634*E634/F634)),"")</f>
        <v/>
      </c>
      <c r="H634" s="43" t="str">
        <f>IFERROR(G634*E624,"")</f>
        <v/>
      </c>
    </row>
    <row r="635" spans="1:8" ht="12.75" customHeight="1">
      <c r="A635" s="28"/>
      <c r="B635" s="29"/>
      <c r="C635" s="30" t="str">
        <f>IFERROR(_xlfn.XLOOKUP(B635,Equipo[DESCRIPCION],Equipo[UND],,0),"")</f>
        <v/>
      </c>
      <c r="D635" s="31"/>
      <c r="E635" s="32" t="str">
        <f>IF(C635="%MO",G639,IFERROR(_xlfn.XLOOKUP($B635,Equipo[DESCRIPCION],Equipo[VALOR],,0),""))</f>
        <v/>
      </c>
      <c r="F635" s="33"/>
      <c r="G635" s="34" t="str">
        <f>IFERROR(IF(F635&gt;=0,D635*E635*(1+F635/100),ABS(D635*E635/F635)),"")</f>
        <v/>
      </c>
      <c r="H635" s="43" t="str">
        <f>IFERROR(G635*E624,"")</f>
        <v/>
      </c>
    </row>
    <row r="636" spans="1:8" ht="12.75" customHeight="1">
      <c r="A636" s="21"/>
      <c r="B636" s="22" t="s">
        <v>2533</v>
      </c>
      <c r="C636" s="23"/>
      <c r="D636" s="24"/>
      <c r="E636" s="25"/>
      <c r="F636" s="26"/>
      <c r="G636" s="27">
        <f>SUM(G637:G638)</f>
        <v>0</v>
      </c>
      <c r="H636" s="44">
        <f>G636*E624</f>
        <v>0</v>
      </c>
    </row>
    <row r="637" spans="1:8" ht="12.75" customHeight="1">
      <c r="A637" s="28"/>
      <c r="B637" s="29"/>
      <c r="C637" s="30" t="str">
        <f>IFERROR(_xlfn.XLOOKUP(B637,Transporte[DESCRIPCION],Transporte[UND],,0),"")</f>
        <v/>
      </c>
      <c r="D637" s="31"/>
      <c r="E637" s="32" t="str">
        <f>IFERROR(_xlfn.XLOOKUP($B637,Transporte[DESCRIPCION],Transporte[VALOR],,0),"")</f>
        <v/>
      </c>
      <c r="F637" s="33"/>
      <c r="G637" s="34" t="str">
        <f>IFERROR(IF(F637&gt;=0,D637*E637*(1+F637/100),ABS(D637*E637/F637)),"")</f>
        <v/>
      </c>
      <c r="H637" s="43" t="str">
        <f>IFERROR(G637*E624,"")</f>
        <v/>
      </c>
    </row>
    <row r="638" spans="1:8" ht="12.75" customHeight="1">
      <c r="A638" s="28"/>
      <c r="B638" s="29"/>
      <c r="C638" s="30" t="str">
        <f>IFERROR(_xlfn.XLOOKUP(B638,Transporte[DESCRIPCION],Transporte[UND],,0),"")</f>
        <v/>
      </c>
      <c r="D638" s="31"/>
      <c r="E638" s="32" t="str">
        <f>IFERROR(_xlfn.XLOOKUP($B638,Transporte[DESCRIPCION],Transporte[VALOR],,0),"")</f>
        <v/>
      </c>
      <c r="F638" s="33"/>
      <c r="G638" s="34" t="str">
        <f>IFERROR(IF(F638&gt;=0,D638*E638*(1+F638/100),ABS(D638*E638/F638)),"")</f>
        <v/>
      </c>
      <c r="H638" s="43" t="str">
        <f>IFERROR(G638*E624,"")</f>
        <v/>
      </c>
    </row>
    <row r="639" spans="1:8" ht="12.75" customHeight="1">
      <c r="A639" s="21"/>
      <c r="B639" s="22" t="s">
        <v>3732</v>
      </c>
      <c r="C639" s="23"/>
      <c r="D639" s="24"/>
      <c r="E639" s="25"/>
      <c r="F639" s="26"/>
      <c r="G639" s="27">
        <f>SUM(G640:G642)</f>
        <v>62878.150179000011</v>
      </c>
      <c r="H639" s="44">
        <f>G639*E624</f>
        <v>0</v>
      </c>
    </row>
    <row r="640" spans="1:8" ht="12.75" customHeight="1">
      <c r="A640" s="28"/>
      <c r="B640" s="29" t="s">
        <v>3710</v>
      </c>
      <c r="C640" s="30" t="str">
        <f>IFERROR(_xlfn.XLOOKUP(B640,MObra[DESCRIPCION],MObra[UN],,0),"")</f>
        <v>día</v>
      </c>
      <c r="D640" s="31">
        <v>1</v>
      </c>
      <c r="E640" s="32">
        <f>IFERROR(_xlfn.XLOOKUP($B640,MObra[DESCRIPCION],MObra[VALOR UNIT],,0),"")</f>
        <v>314390.75089500006</v>
      </c>
      <c r="F640" s="33">
        <v>-5</v>
      </c>
      <c r="G640" s="34">
        <f>IFERROR(IF(F640&gt;=0,D640*E640*(1+F640/100),ABS(D640*E640/F640)),"")</f>
        <v>62878.150179000011</v>
      </c>
      <c r="H640" s="43">
        <f>IFERROR(G640*E624,"")</f>
        <v>0</v>
      </c>
    </row>
    <row r="641" spans="1:11" ht="12.75" customHeight="1">
      <c r="A641" s="28"/>
      <c r="B641" s="29"/>
      <c r="C641" s="30" t="str">
        <f>IFERROR(_xlfn.XLOOKUP(B641,MObra[DESCRIPCION],MObra[UN],,0),"")</f>
        <v/>
      </c>
      <c r="D641" s="31"/>
      <c r="E641" s="32" t="str">
        <f>IFERROR(_xlfn.XLOOKUP($B641,MObra[DESCRIPCION],MObra[VALOR UNIT],,0),"")</f>
        <v/>
      </c>
      <c r="F641" s="33"/>
      <c r="G641" s="34" t="str">
        <f>IFERROR(IF(F641&gt;=0,D641*E641*(1+F641/100),ABS(D641*E641/F641)),"")</f>
        <v/>
      </c>
      <c r="H641" s="43" t="str">
        <f>IFERROR(G641*E624,"")</f>
        <v/>
      </c>
    </row>
    <row r="642" spans="1:11" ht="12.75" customHeight="1" thickBot="1">
      <c r="A642" s="35"/>
      <c r="B642" s="36"/>
      <c r="C642" s="37" t="str">
        <f>IFERROR(_xlfn.XLOOKUP(B642,MObra[DESCRIPCION],MObra[UN],,0),"")</f>
        <v/>
      </c>
      <c r="D642" s="38"/>
      <c r="E642" s="39" t="str">
        <f>IFERROR(_xlfn.XLOOKUP($B642,MObra[DESCRIPCION],MObra[VALOR UNIT],,0),"")</f>
        <v/>
      </c>
      <c r="F642" s="40"/>
      <c r="G642" s="41" t="str">
        <f>IFERROR(IF(F642&gt;=0,D642*E642*(1+F642/100),ABS(D642*E642/F642)),"")</f>
        <v/>
      </c>
      <c r="H642" s="42" t="str">
        <f>IFERROR(G642*E624,"")</f>
        <v/>
      </c>
    </row>
    <row r="643" spans="1:11" ht="12.75" customHeight="1" thickTop="1" thickBot="1"/>
    <row r="644" spans="1:11" ht="12.75" customHeight="1" thickTop="1" thickBot="1">
      <c r="A644" s="6" t="s">
        <v>2493</v>
      </c>
      <c r="B644" s="7" t="str">
        <f>VLOOKUP($A644,Presupuesto!$A:$D,2,FALSE())</f>
        <v>Empradización zonas verdes</v>
      </c>
      <c r="C644" s="8" t="str">
        <f>VLOOKUP($A644,Presupuesto!$A:$D,3,FALSE())</f>
        <v>M2</v>
      </c>
      <c r="D644" s="9"/>
      <c r="E644" s="10">
        <f>VLOOKUP($A644,Presupuesto!$A:$D,4,FALSE())</f>
        <v>0</v>
      </c>
      <c r="F644" s="11" t="s">
        <v>2589</v>
      </c>
      <c r="G644" s="12">
        <f>SUM(G646:G662)/2</f>
        <v>17301.975036750002</v>
      </c>
      <c r="H644" s="13">
        <f>ROUND(SUM(H646:H662),0)/2</f>
        <v>0</v>
      </c>
      <c r="I644" s="10">
        <f>VLOOKUP(A644,Presupuesto!$A:$F,6,0)</f>
        <v>0</v>
      </c>
      <c r="J644" s="10">
        <f>+H644-I644</f>
        <v>0</v>
      </c>
      <c r="K644" s="46">
        <f>+H644-G644*E644</f>
        <v>0</v>
      </c>
    </row>
    <row r="645" spans="1:11" ht="12.75" customHeight="1" thickTop="1">
      <c r="A645" s="14"/>
      <c r="B645" s="15" t="s">
        <v>2586</v>
      </c>
      <c r="C645" s="15" t="s">
        <v>5</v>
      </c>
      <c r="D645" s="16" t="s">
        <v>6</v>
      </c>
      <c r="E645" s="17" t="s">
        <v>7</v>
      </c>
      <c r="F645" s="18" t="s">
        <v>3728</v>
      </c>
      <c r="G645" s="19" t="s">
        <v>3729</v>
      </c>
      <c r="H645" s="20" t="s">
        <v>3797</v>
      </c>
    </row>
    <row r="646" spans="1:11" ht="12.75" customHeight="1">
      <c r="A646" s="21"/>
      <c r="B646" s="22" t="s">
        <v>3730</v>
      </c>
      <c r="C646" s="23"/>
      <c r="D646" s="24"/>
      <c r="E646" s="25"/>
      <c r="F646" s="26"/>
      <c r="G646" s="27">
        <f>SUM(G647:G651)</f>
        <v>10897.719000000001</v>
      </c>
      <c r="H646" s="27">
        <f>IFERROR(G646*E644,"")</f>
        <v>0</v>
      </c>
    </row>
    <row r="647" spans="1:11" ht="12.75" customHeight="1">
      <c r="A647" s="28"/>
      <c r="B647" s="29" t="s">
        <v>3191</v>
      </c>
      <c r="C647" s="30" t="str">
        <f>IFERROR(_xlfn.XLOOKUP(B647,Insumo[DESCRIPCION],Insumo[UND],,0),"")</f>
        <v>M2</v>
      </c>
      <c r="D647" s="31">
        <v>1</v>
      </c>
      <c r="E647" s="32">
        <f>IFERROR(_xlfn.XLOOKUP($B647,Insumo[DESCRIPCION],Insumo[VALOR],,0),"")</f>
        <v>6819.75</v>
      </c>
      <c r="F647" s="33">
        <v>10</v>
      </c>
      <c r="G647" s="34">
        <f>IFERROR(IF(F647&gt;=0,D647*E647*(1+F647/100),ABS(D647*E647/F647)),"")</f>
        <v>7501.7250000000004</v>
      </c>
      <c r="H647" s="43">
        <f>IFERROR(G647*E644,"")</f>
        <v>0</v>
      </c>
    </row>
    <row r="648" spans="1:11" ht="12.75" customHeight="1">
      <c r="A648" s="28"/>
      <c r="B648" s="29" t="s">
        <v>3395</v>
      </c>
      <c r="C648" s="30" t="str">
        <f>IFERROR(_xlfn.XLOOKUP(B648,Insumo[DESCRIPCION],Insumo[UND],,0),"")</f>
        <v>M3</v>
      </c>
      <c r="D648" s="31">
        <v>0.06</v>
      </c>
      <c r="E648" s="32">
        <f>IFERROR(_xlfn.XLOOKUP($B648,Insumo[DESCRIPCION],Insumo[VALOR],,0),"")</f>
        <v>47499.9</v>
      </c>
      <c r="F648" s="33"/>
      <c r="G648" s="34">
        <f>IFERROR(IF(F648&gt;=0,D648*E648*(1+F648/100),ABS(D648*E648/F648)),"")</f>
        <v>2849.9940000000001</v>
      </c>
      <c r="H648" s="43">
        <f>IFERROR(G648*E644,"")</f>
        <v>0</v>
      </c>
    </row>
    <row r="649" spans="1:11" ht="12.75" customHeight="1">
      <c r="A649" s="28"/>
      <c r="B649" s="29" t="s">
        <v>2685</v>
      </c>
      <c r="C649" s="30" t="str">
        <f>IFERROR(_xlfn.XLOOKUP(B649,Insumo[DESCRIPCION],Insumo[UND],,0),"")</f>
        <v>Lt</v>
      </c>
      <c r="D649" s="31">
        <v>20</v>
      </c>
      <c r="E649" s="32">
        <f>IFERROR(_xlfn.XLOOKUP($B649,Insumo[DESCRIPCION],Insumo[VALOR],,0),"")</f>
        <v>27.3</v>
      </c>
      <c r="F649" s="33"/>
      <c r="G649" s="34">
        <f>IFERROR(IF(F649&gt;=0,D649*E649*(1+F649/100),ABS(D649*E649/F649)),"")</f>
        <v>546</v>
      </c>
      <c r="H649" s="43">
        <f>IFERROR(G649*E644,"")</f>
        <v>0</v>
      </c>
    </row>
    <row r="650" spans="1:11" ht="12.75" customHeight="1">
      <c r="A650" s="28"/>
      <c r="B650" s="29"/>
      <c r="C650" s="30" t="str">
        <f>IFERROR(_xlfn.XLOOKUP(B650,Insumo[DESCRIPCION],Insumo[UND],,0),"")</f>
        <v/>
      </c>
      <c r="D650" s="31"/>
      <c r="E650" s="32" t="str">
        <f>IFERROR(_xlfn.XLOOKUP($B650,Insumo[DESCRIPCION],Insumo[VALOR],,0),"")</f>
        <v/>
      </c>
      <c r="F650" s="33"/>
      <c r="G650" s="34" t="str">
        <f>IFERROR(IF(F650&gt;=0,D650*E650*(1+F650/100),ABS(D650*E650/F650)),"")</f>
        <v/>
      </c>
      <c r="H650" s="43" t="str">
        <f>IFERROR(G650*E644,"")</f>
        <v/>
      </c>
    </row>
    <row r="651" spans="1:11" ht="12.75" customHeight="1">
      <c r="A651" s="28"/>
      <c r="B651" s="29"/>
      <c r="C651" s="30" t="str">
        <f>IFERROR(_xlfn.XLOOKUP(B651,Insumo[DESCRIPCION],Insumo[UND],,0),"")</f>
        <v/>
      </c>
      <c r="D651" s="31"/>
      <c r="E651" s="32" t="str">
        <f>IFERROR(_xlfn.XLOOKUP($B651,Insumo[DESCRIPCION],Insumo[VALOR],,0),"")</f>
        <v/>
      </c>
      <c r="F651" s="33"/>
      <c r="G651" s="34" t="str">
        <f>IFERROR(IF(F651&gt;=0,D651*E651*(1+F651/100),ABS(D651*E651/F651)),"")</f>
        <v/>
      </c>
      <c r="H651" s="43" t="str">
        <f>IFERROR(G651*E644,"")</f>
        <v/>
      </c>
    </row>
    <row r="652" spans="1:11" ht="12.75" customHeight="1">
      <c r="A652" s="21"/>
      <c r="B652" s="22" t="s">
        <v>3731</v>
      </c>
      <c r="C652" s="23"/>
      <c r="D652" s="24"/>
      <c r="E652" s="25"/>
      <c r="F652" s="26"/>
      <c r="G652" s="27">
        <f>SUM(G653:G655)</f>
        <v>0</v>
      </c>
      <c r="H652" s="44">
        <f>G652*E644</f>
        <v>0</v>
      </c>
    </row>
    <row r="653" spans="1:11" ht="12.75" customHeight="1">
      <c r="A653" s="28"/>
      <c r="B653" s="29"/>
      <c r="C653" s="30" t="str">
        <f>IFERROR(_xlfn.XLOOKUP(B653,Equipo[DESCRIPCION],Equipo[UND],,0),"")</f>
        <v/>
      </c>
      <c r="D653" s="31"/>
      <c r="E653" s="32" t="str">
        <f>IF(C653="%MO",G659,IFERROR(_xlfn.XLOOKUP($B653,Equipo[DESCRIPCION],Equipo[VALOR],,0),""))</f>
        <v/>
      </c>
      <c r="F653" s="33"/>
      <c r="G653" s="34" t="str">
        <f>IFERROR(IF(F653&gt;=0,D653*E653*(1+F653/100),ABS(D653*E653/F653)),"")</f>
        <v/>
      </c>
      <c r="H653" s="43" t="str">
        <f>IFERROR(G653*E644,"")</f>
        <v/>
      </c>
    </row>
    <row r="654" spans="1:11" ht="12.75" customHeight="1">
      <c r="A654" s="28"/>
      <c r="B654" s="29"/>
      <c r="C654" s="30" t="str">
        <f>IFERROR(_xlfn.XLOOKUP(B654,Equipo[DESCRIPCION],Equipo[UND],,0),"")</f>
        <v/>
      </c>
      <c r="D654" s="31"/>
      <c r="E654" s="32" t="str">
        <f>IF(C654="%MO",G659,IFERROR(_xlfn.XLOOKUP($B654,Equipo[DESCRIPCION],Equipo[VALOR],,0),""))</f>
        <v/>
      </c>
      <c r="F654" s="33"/>
      <c r="G654" s="34" t="str">
        <f>IFERROR(IF(F654&gt;=0,D654*E654*(1+F654/100),ABS(D654*E654/F654)),"")</f>
        <v/>
      </c>
      <c r="H654" s="43" t="str">
        <f>IFERROR(G654*E644,"")</f>
        <v/>
      </c>
    </row>
    <row r="655" spans="1:11" ht="12.75" customHeight="1">
      <c r="A655" s="28"/>
      <c r="B655" s="29"/>
      <c r="C655" s="30" t="str">
        <f>IFERROR(_xlfn.XLOOKUP(B655,Equipo[DESCRIPCION],Equipo[UND],,0),"")</f>
        <v/>
      </c>
      <c r="D655" s="31"/>
      <c r="E655" s="32" t="str">
        <f>IF(C655="%MO",G659,IFERROR(_xlfn.XLOOKUP($B655,Equipo[DESCRIPCION],Equipo[VALOR],,0),""))</f>
        <v/>
      </c>
      <c r="F655" s="33"/>
      <c r="G655" s="34" t="str">
        <f>IFERROR(IF(F655&gt;=0,D655*E655*(1+F655/100),ABS(D655*E655/F655)),"")</f>
        <v/>
      </c>
      <c r="H655" s="43" t="str">
        <f>IFERROR(G655*E644,"")</f>
        <v/>
      </c>
    </row>
    <row r="656" spans="1:11" ht="12.75" customHeight="1">
      <c r="A656" s="21"/>
      <c r="B656" s="22" t="s">
        <v>2533</v>
      </c>
      <c r="C656" s="23"/>
      <c r="D656" s="24"/>
      <c r="E656" s="25"/>
      <c r="F656" s="26"/>
      <c r="G656" s="27">
        <f>SUM(G657:G658)</f>
        <v>0</v>
      </c>
      <c r="H656" s="44">
        <f>G656*E644</f>
        <v>0</v>
      </c>
    </row>
    <row r="657" spans="1:11" ht="12.75" customHeight="1">
      <c r="A657" s="28"/>
      <c r="B657" s="29"/>
      <c r="C657" s="30" t="str">
        <f>IFERROR(_xlfn.XLOOKUP(B657,Transporte[DESCRIPCION],Transporte[UND],,0),"")</f>
        <v/>
      </c>
      <c r="D657" s="31"/>
      <c r="E657" s="32" t="str">
        <f>IFERROR(_xlfn.XLOOKUP($B657,Transporte[DESCRIPCION],Transporte[VALOR],,0),"")</f>
        <v/>
      </c>
      <c r="F657" s="33"/>
      <c r="G657" s="34" t="str">
        <f>IFERROR(IF(F657&gt;=0,D657*E657*(1+F657/100),ABS(D657*E657/F657)),"")</f>
        <v/>
      </c>
      <c r="H657" s="43" t="str">
        <f>IFERROR(G657*E644,"")</f>
        <v/>
      </c>
    </row>
    <row r="658" spans="1:11" ht="12.75" customHeight="1">
      <c r="A658" s="28"/>
      <c r="B658" s="29"/>
      <c r="C658" s="30" t="str">
        <f>IFERROR(_xlfn.XLOOKUP(B658,Transporte[DESCRIPCION],Transporte[UND],,0),"")</f>
        <v/>
      </c>
      <c r="D658" s="31"/>
      <c r="E658" s="32" t="str">
        <f>IFERROR(_xlfn.XLOOKUP($B658,Transporte[DESCRIPCION],Transporte[VALOR],,0),"")</f>
        <v/>
      </c>
      <c r="F658" s="33"/>
      <c r="G658" s="34" t="str">
        <f>IFERROR(IF(F658&gt;=0,D658*E658*(1+F658/100),ABS(D658*E658/F658)),"")</f>
        <v/>
      </c>
      <c r="H658" s="43" t="str">
        <f>IFERROR(G658*E644,"")</f>
        <v/>
      </c>
    </row>
    <row r="659" spans="1:11" ht="12.75" customHeight="1">
      <c r="A659" s="21"/>
      <c r="B659" s="22" t="s">
        <v>3732</v>
      </c>
      <c r="C659" s="23"/>
      <c r="D659" s="24"/>
      <c r="E659" s="25"/>
      <c r="F659" s="26"/>
      <c r="G659" s="27">
        <f>SUM(G660:G662)</f>
        <v>6404.2560367500018</v>
      </c>
      <c r="H659" s="44">
        <f>G659*E644</f>
        <v>0</v>
      </c>
    </row>
    <row r="660" spans="1:11" ht="12.75" customHeight="1">
      <c r="A660" s="28"/>
      <c r="B660" s="29" t="s">
        <v>3701</v>
      </c>
      <c r="C660" s="30" t="str">
        <f>IFERROR(_xlfn.XLOOKUP(B660,MObra[DESCRIPCION],MObra[UN],,0),"")</f>
        <v>día</v>
      </c>
      <c r="D660" s="31">
        <v>1</v>
      </c>
      <c r="E660" s="32">
        <f>IFERROR(_xlfn.XLOOKUP($B660,MObra[DESCRIPCION],MObra[VALOR UNIT],,0),"")</f>
        <v>128085.12073500003</v>
      </c>
      <c r="F660" s="33">
        <v>-20</v>
      </c>
      <c r="G660" s="34">
        <f>IFERROR(IF(F660&gt;=0,D660*E660*(1+F660/100),ABS(D660*E660/F660)),"")</f>
        <v>6404.2560367500018</v>
      </c>
      <c r="H660" s="43">
        <f>IFERROR(G660*E644,"")</f>
        <v>0</v>
      </c>
    </row>
    <row r="661" spans="1:11" ht="12.75" customHeight="1">
      <c r="A661" s="28"/>
      <c r="B661" s="29"/>
      <c r="C661" s="30" t="str">
        <f>IFERROR(_xlfn.XLOOKUP(B661,MObra[DESCRIPCION],MObra[UN],,0),"")</f>
        <v/>
      </c>
      <c r="D661" s="31"/>
      <c r="E661" s="32" t="str">
        <f>IFERROR(_xlfn.XLOOKUP($B661,MObra[DESCRIPCION],MObra[VALOR UNIT],,0),"")</f>
        <v/>
      </c>
      <c r="F661" s="33"/>
      <c r="G661" s="34" t="str">
        <f>IFERROR(IF(F661&gt;=0,D661*E661*(1+F661/100),ABS(D661*E661/F661)),"")</f>
        <v/>
      </c>
      <c r="H661" s="43" t="str">
        <f>IFERROR(G661*E644,"")</f>
        <v/>
      </c>
    </row>
    <row r="662" spans="1:11" ht="12.75" customHeight="1" thickBot="1">
      <c r="A662" s="35"/>
      <c r="B662" s="36"/>
      <c r="C662" s="37" t="str">
        <f>IFERROR(_xlfn.XLOOKUP(B662,MObra[DESCRIPCION],MObra[UN],,0),"")</f>
        <v/>
      </c>
      <c r="D662" s="38"/>
      <c r="E662" s="39" t="str">
        <f>IFERROR(_xlfn.XLOOKUP($B662,MObra[DESCRIPCION],MObra[VALOR UNIT],,0),"")</f>
        <v/>
      </c>
      <c r="F662" s="40"/>
      <c r="G662" s="41" t="str">
        <f>IFERROR(IF(F662&gt;=0,D662*E662*(1+F662/100),ABS(D662*E662/F662)),"")</f>
        <v/>
      </c>
      <c r="H662" s="42" t="str">
        <f>IFERROR(G662*E644,"")</f>
        <v/>
      </c>
    </row>
    <row r="663" spans="1:11" ht="12.75" customHeight="1" thickTop="1" thickBot="1"/>
    <row r="664" spans="1:11" ht="12.75" customHeight="1" thickTop="1" thickBot="1">
      <c r="A664" s="6" t="s">
        <v>2495</v>
      </c>
      <c r="B664" s="7" t="str">
        <f>VLOOKUP($A664,Presupuesto!$A:$D,2,FALSE())</f>
        <v>Instalación adoquín</v>
      </c>
      <c r="C664" s="8" t="str">
        <f>VLOOKUP($A664,Presupuesto!$A:$D,3,FALSE())</f>
        <v>M2</v>
      </c>
      <c r="D664" s="9"/>
      <c r="E664" s="10">
        <f>VLOOKUP($A664,Presupuesto!$A:$D,4,FALSE())</f>
        <v>0</v>
      </c>
      <c r="F664" s="11" t="s">
        <v>2589</v>
      </c>
      <c r="G664" s="12">
        <f>SUM(G666:G682)/2</f>
        <v>59701.642171950007</v>
      </c>
      <c r="H664" s="13">
        <f>ROUND(SUM(H666:H682),0)/2</f>
        <v>0</v>
      </c>
      <c r="I664" s="10">
        <f>VLOOKUP(A664,Presupuesto!$A:$F,6,0)</f>
        <v>0</v>
      </c>
      <c r="J664" s="10">
        <f>+H664-I664</f>
        <v>0</v>
      </c>
      <c r="K664" s="46">
        <f>+H664-G664*E664</f>
        <v>0</v>
      </c>
    </row>
    <row r="665" spans="1:11" ht="12.75" customHeight="1" thickTop="1">
      <c r="A665" s="14"/>
      <c r="B665" s="15" t="s">
        <v>2586</v>
      </c>
      <c r="C665" s="15" t="s">
        <v>5</v>
      </c>
      <c r="D665" s="16" t="s">
        <v>6</v>
      </c>
      <c r="E665" s="17" t="s">
        <v>7</v>
      </c>
      <c r="F665" s="18" t="s">
        <v>3728</v>
      </c>
      <c r="G665" s="19" t="s">
        <v>3729</v>
      </c>
      <c r="H665" s="20" t="s">
        <v>3797</v>
      </c>
    </row>
    <row r="666" spans="1:11" ht="12.75" customHeight="1">
      <c r="A666" s="21"/>
      <c r="B666" s="22" t="s">
        <v>3730</v>
      </c>
      <c r="C666" s="23"/>
      <c r="D666" s="24"/>
      <c r="E666" s="25"/>
      <c r="F666" s="26"/>
      <c r="G666" s="27">
        <f>SUM(G667:G671)</f>
        <v>4063.4475000000002</v>
      </c>
      <c r="H666" s="27">
        <f>IFERROR(G666*E664,"")</f>
        <v>0</v>
      </c>
    </row>
    <row r="667" spans="1:11" ht="12.75" customHeight="1">
      <c r="A667" s="28"/>
      <c r="B667" s="29" t="s">
        <v>2713</v>
      </c>
      <c r="C667" s="30" t="str">
        <f>IFERROR(_xlfn.XLOOKUP(B667,Insumo[DESCRIPCION],Insumo[UND],,0),"")</f>
        <v>M3</v>
      </c>
      <c r="D667" s="31">
        <v>0.05</v>
      </c>
      <c r="E667" s="32">
        <f>IFERROR(_xlfn.XLOOKUP($B667,Insumo[DESCRIPCION],Insumo[VALOR],,0),"")</f>
        <v>81268.95</v>
      </c>
      <c r="F667" s="33"/>
      <c r="G667" s="34">
        <f>IFERROR(IF(F667&gt;=0,D667*E667*(1+F667/100),ABS(D667*E667/F667)),"")</f>
        <v>4063.4475000000002</v>
      </c>
      <c r="H667" s="43">
        <f>IFERROR(G667*E664,"")</f>
        <v>0</v>
      </c>
    </row>
    <row r="668" spans="1:11" ht="12.75" customHeight="1">
      <c r="A668" s="28"/>
      <c r="B668" s="29"/>
      <c r="C668" s="30" t="str">
        <f>IFERROR(_xlfn.XLOOKUP(B668,Insumo[DESCRIPCION],Insumo[UND],,0),"")</f>
        <v/>
      </c>
      <c r="D668" s="31"/>
      <c r="E668" s="32" t="str">
        <f>IFERROR(_xlfn.XLOOKUP($B668,Insumo[DESCRIPCION],Insumo[VALOR],,0),"")</f>
        <v/>
      </c>
      <c r="F668" s="33"/>
      <c r="G668" s="34" t="str">
        <f>IFERROR(IF(F668&gt;=0,D668*E668*(1+F668/100),ABS(D668*E668/F668)),"")</f>
        <v/>
      </c>
      <c r="H668" s="43" t="str">
        <f>IFERROR(G668*E664,"")</f>
        <v/>
      </c>
    </row>
    <row r="669" spans="1:11" ht="12.75" customHeight="1">
      <c r="A669" s="28"/>
      <c r="B669" s="29"/>
      <c r="C669" s="30" t="str">
        <f>IFERROR(_xlfn.XLOOKUP(B669,Insumo[DESCRIPCION],Insumo[UND],,0),"")</f>
        <v/>
      </c>
      <c r="D669" s="31"/>
      <c r="E669" s="32" t="str">
        <f>IFERROR(_xlfn.XLOOKUP($B669,Insumo[DESCRIPCION],Insumo[VALOR],,0),"")</f>
        <v/>
      </c>
      <c r="F669" s="33"/>
      <c r="G669" s="34" t="str">
        <f>IFERROR(IF(F669&gt;=0,D669*E669*(1+F669/100),ABS(D669*E669/F669)),"")</f>
        <v/>
      </c>
      <c r="H669" s="43" t="str">
        <f>IFERROR(G669*E664,"")</f>
        <v/>
      </c>
    </row>
    <row r="670" spans="1:11" ht="12.75" customHeight="1">
      <c r="A670" s="28"/>
      <c r="B670" s="29"/>
      <c r="C670" s="30" t="str">
        <f>IFERROR(_xlfn.XLOOKUP(B670,Insumo[DESCRIPCION],Insumo[UND],,0),"")</f>
        <v/>
      </c>
      <c r="D670" s="31"/>
      <c r="E670" s="32" t="str">
        <f>IFERROR(_xlfn.XLOOKUP($B670,Insumo[DESCRIPCION],Insumo[VALOR],,0),"")</f>
        <v/>
      </c>
      <c r="F670" s="33"/>
      <c r="G670" s="34" t="str">
        <f>IFERROR(IF(F670&gt;=0,D670*E670*(1+F670/100),ABS(D670*E670/F670)),"")</f>
        <v/>
      </c>
      <c r="H670" s="43" t="str">
        <f>IFERROR(G670*E664,"")</f>
        <v/>
      </c>
    </row>
    <row r="671" spans="1:11" ht="12.75" customHeight="1">
      <c r="A671" s="28"/>
      <c r="B671" s="29"/>
      <c r="C671" s="30" t="str">
        <f>IFERROR(_xlfn.XLOOKUP(B671,Insumo[DESCRIPCION],Insumo[UND],,0),"")</f>
        <v/>
      </c>
      <c r="D671" s="31"/>
      <c r="E671" s="32" t="str">
        <f>IFERROR(_xlfn.XLOOKUP($B671,Insumo[DESCRIPCION],Insumo[VALOR],,0),"")</f>
        <v/>
      </c>
      <c r="F671" s="33"/>
      <c r="G671" s="34" t="str">
        <f>IFERROR(IF(F671&gt;=0,D671*E671*(1+F671/100),ABS(D671*E671/F671)),"")</f>
        <v/>
      </c>
      <c r="H671" s="43" t="str">
        <f>IFERROR(G671*E664,"")</f>
        <v/>
      </c>
    </row>
    <row r="672" spans="1:11" ht="12.75" customHeight="1">
      <c r="A672" s="21"/>
      <c r="B672" s="22" t="s">
        <v>3731</v>
      </c>
      <c r="C672" s="23"/>
      <c r="D672" s="24"/>
      <c r="E672" s="25"/>
      <c r="F672" s="26"/>
      <c r="G672" s="27">
        <f>SUM(G673:G675)</f>
        <v>12555.017697450003</v>
      </c>
      <c r="H672" s="44">
        <f>G672*E664</f>
        <v>0</v>
      </c>
    </row>
    <row r="673" spans="1:11" ht="12.75" customHeight="1">
      <c r="A673" s="28"/>
      <c r="B673" s="29" t="s">
        <v>3658</v>
      </c>
      <c r="C673" s="30" t="str">
        <f>IFERROR(_xlfn.XLOOKUP(B673,Equipo[DESCRIPCION],Equipo[UND],,0),"")</f>
        <v>Día</v>
      </c>
      <c r="D673" s="31">
        <v>1</v>
      </c>
      <c r="E673" s="32">
        <f>IF(C673="%MO",G679,IFERROR(_xlfn.XLOOKUP($B673,Equipo[DESCRIPCION],Equipo[VALOR],,0),""))</f>
        <v>82467</v>
      </c>
      <c r="F673" s="33">
        <v>-10</v>
      </c>
      <c r="G673" s="34">
        <f>IFERROR(IF(F673&gt;=0,D673*E673*(1+F673/100),ABS(D673*E673/F673)),"")</f>
        <v>8246.7000000000007</v>
      </c>
      <c r="H673" s="43">
        <f>IFERROR(G673*E664,"")</f>
        <v>0</v>
      </c>
    </row>
    <row r="674" spans="1:11" ht="12.75" customHeight="1">
      <c r="A674" s="28"/>
      <c r="B674" s="29" t="s">
        <v>3570</v>
      </c>
      <c r="C674" s="30" t="str">
        <f>IFERROR(_xlfn.XLOOKUP(B674,Equipo[DESCRIPCION],Equipo[UND],,0),"")</f>
        <v>%MO</v>
      </c>
      <c r="D674" s="31">
        <v>0.05</v>
      </c>
      <c r="E674" s="32">
        <f>IF(C674="%MO",G679,IFERROR(_xlfn.XLOOKUP($B674,Equipo[DESCRIPCION],Equipo[VALOR],,0),""))</f>
        <v>43083.176974500006</v>
      </c>
      <c r="F674" s="33"/>
      <c r="G674" s="34">
        <f>IFERROR(IF(F674&gt;=0,D674*E674*(1+F674/100),ABS(D674*E674/F674)),"")</f>
        <v>2154.1588487250006</v>
      </c>
      <c r="H674" s="43">
        <f>IFERROR(G674*E664,"")</f>
        <v>0</v>
      </c>
    </row>
    <row r="675" spans="1:11" ht="12.75" customHeight="1">
      <c r="A675" s="28"/>
      <c r="B675" s="29" t="s">
        <v>3626</v>
      </c>
      <c r="C675" s="30" t="str">
        <f>IFERROR(_xlfn.XLOOKUP(B675,Equipo[DESCRIPCION],Equipo[UND],,0),"")</f>
        <v>%MO</v>
      </c>
      <c r="D675" s="31">
        <v>0.05</v>
      </c>
      <c r="E675" s="32">
        <f>IF(C675="%MO",G679,IFERROR(_xlfn.XLOOKUP($B675,Equipo[DESCRIPCION],Equipo[VALOR],,0),""))</f>
        <v>43083.176974500006</v>
      </c>
      <c r="F675" s="33"/>
      <c r="G675" s="34">
        <f>IFERROR(IF(F675&gt;=0,D675*E675*(1+F675/100),ABS(D675*E675/F675)),"")</f>
        <v>2154.1588487250006</v>
      </c>
      <c r="H675" s="43">
        <f>IFERROR(G675*E664,"")</f>
        <v>0</v>
      </c>
    </row>
    <row r="676" spans="1:11" ht="12.75" customHeight="1">
      <c r="A676" s="21"/>
      <c r="B676" s="22" t="s">
        <v>2533</v>
      </c>
      <c r="C676" s="23"/>
      <c r="D676" s="24"/>
      <c r="E676" s="25"/>
      <c r="F676" s="26"/>
      <c r="G676" s="27">
        <f>SUM(G677:G678)</f>
        <v>0</v>
      </c>
      <c r="H676" s="44">
        <f>G676*E664</f>
        <v>0</v>
      </c>
    </row>
    <row r="677" spans="1:11" ht="12.75" customHeight="1">
      <c r="A677" s="28"/>
      <c r="B677" s="29"/>
      <c r="C677" s="30" t="str">
        <f>IFERROR(_xlfn.XLOOKUP(B677,Transporte[DESCRIPCION],Transporte[UND],,0),"")</f>
        <v/>
      </c>
      <c r="D677" s="31"/>
      <c r="E677" s="32" t="str">
        <f>IFERROR(_xlfn.XLOOKUP($B677,Transporte[DESCRIPCION],Transporte[VALOR],,0),"")</f>
        <v/>
      </c>
      <c r="F677" s="33"/>
      <c r="G677" s="34" t="str">
        <f>IFERROR(IF(F677&gt;=0,D677*E677*(1+F677/100),ABS(D677*E677/F677)),"")</f>
        <v/>
      </c>
      <c r="H677" s="43" t="str">
        <f>IFERROR(G677*E664,"")</f>
        <v/>
      </c>
    </row>
    <row r="678" spans="1:11" ht="12.75" customHeight="1">
      <c r="A678" s="28"/>
      <c r="B678" s="29"/>
      <c r="C678" s="30" t="str">
        <f>IFERROR(_xlfn.XLOOKUP(B678,Transporte[DESCRIPCION],Transporte[UND],,0),"")</f>
        <v/>
      </c>
      <c r="D678" s="31"/>
      <c r="E678" s="32" t="str">
        <f>IFERROR(_xlfn.XLOOKUP($B678,Transporte[DESCRIPCION],Transporte[VALOR],,0),"")</f>
        <v/>
      </c>
      <c r="F678" s="33"/>
      <c r="G678" s="34" t="str">
        <f>IFERROR(IF(F678&gt;=0,D678*E678*(1+F678/100),ABS(D678*E678/F678)),"")</f>
        <v/>
      </c>
      <c r="H678" s="43" t="str">
        <f>IFERROR(G678*E664,"")</f>
        <v/>
      </c>
    </row>
    <row r="679" spans="1:11" ht="12.75" customHeight="1">
      <c r="A679" s="21"/>
      <c r="B679" s="22" t="s">
        <v>3732</v>
      </c>
      <c r="C679" s="23"/>
      <c r="D679" s="24"/>
      <c r="E679" s="25"/>
      <c r="F679" s="26"/>
      <c r="G679" s="27">
        <f>SUM(G680:G682)</f>
        <v>43083.176974500006</v>
      </c>
      <c r="H679" s="44">
        <f>G679*E664</f>
        <v>0</v>
      </c>
    </row>
    <row r="680" spans="1:11" ht="12.75" customHeight="1">
      <c r="A680" s="28"/>
      <c r="B680" s="29" t="s">
        <v>3711</v>
      </c>
      <c r="C680" s="30" t="str">
        <f>IFERROR(_xlfn.XLOOKUP(B680,MObra[DESCRIPCION],MObra[UN],,0),"")</f>
        <v>día</v>
      </c>
      <c r="D680" s="31">
        <v>1</v>
      </c>
      <c r="E680" s="32">
        <f>IFERROR(_xlfn.XLOOKUP($B680,MObra[DESCRIPCION],MObra[VALOR UNIT],,0),"")</f>
        <v>430831.76974500006</v>
      </c>
      <c r="F680" s="33">
        <v>-10</v>
      </c>
      <c r="G680" s="34">
        <f>IFERROR(IF(F680&gt;=0,D680*E680*(1+F680/100),ABS(D680*E680/F680)),"")</f>
        <v>43083.176974500006</v>
      </c>
      <c r="H680" s="43">
        <f>IFERROR(G680*E664,"")</f>
        <v>0</v>
      </c>
    </row>
    <row r="681" spans="1:11" ht="12.75" customHeight="1">
      <c r="A681" s="28"/>
      <c r="B681" s="29"/>
      <c r="C681" s="30" t="str">
        <f>IFERROR(_xlfn.XLOOKUP(B681,MObra[DESCRIPCION],MObra[UN],,0),"")</f>
        <v/>
      </c>
      <c r="D681" s="31"/>
      <c r="E681" s="32" t="str">
        <f>IFERROR(_xlfn.XLOOKUP($B681,MObra[DESCRIPCION],MObra[VALOR UNIT],,0),"")</f>
        <v/>
      </c>
      <c r="F681" s="33"/>
      <c r="G681" s="34" t="str">
        <f>IFERROR(IF(F681&gt;=0,D681*E681*(1+F681/100),ABS(D681*E681/F681)),"")</f>
        <v/>
      </c>
      <c r="H681" s="43" t="str">
        <f>IFERROR(G681*E664,"")</f>
        <v/>
      </c>
    </row>
    <row r="682" spans="1:11" ht="12.75" customHeight="1" thickBot="1">
      <c r="A682" s="35"/>
      <c r="B682" s="36"/>
      <c r="C682" s="37" t="str">
        <f>IFERROR(_xlfn.XLOOKUP(B682,MObra[DESCRIPCION],MObra[UN],,0),"")</f>
        <v/>
      </c>
      <c r="D682" s="38"/>
      <c r="E682" s="39" t="str">
        <f>IFERROR(_xlfn.XLOOKUP($B682,MObra[DESCRIPCION],MObra[VALOR UNIT],,0),"")</f>
        <v/>
      </c>
      <c r="F682" s="40"/>
      <c r="G682" s="41" t="str">
        <f>IFERROR(IF(F682&gt;=0,D682*E682*(1+F682/100),ABS(D682*E682/F682)),"")</f>
        <v/>
      </c>
      <c r="H682" s="42" t="str">
        <f>IFERROR(G682*E664,"")</f>
        <v/>
      </c>
    </row>
    <row r="683" spans="1:11" ht="12.75" customHeight="1" thickTop="1" thickBot="1"/>
    <row r="684" spans="1:11" ht="12.75" customHeight="1" thickTop="1" thickBot="1">
      <c r="A684" s="6" t="s">
        <v>2497</v>
      </c>
      <c r="B684" s="7" t="str">
        <f>VLOOKUP($A684,Presupuesto!$A:$D,2,FALSE())</f>
        <v>Muro G/rueda C 20.7 Mpa E=0.3/0.15m H=0.6</v>
      </c>
      <c r="C684" s="8" t="str">
        <f>VLOOKUP($A684,Presupuesto!$A:$D,3,FALSE())</f>
        <v>M2</v>
      </c>
      <c r="D684" s="9"/>
      <c r="E684" s="10">
        <f>VLOOKUP($A684,Presupuesto!$A:$D,4,FALSE())</f>
        <v>0</v>
      </c>
      <c r="F684" s="11" t="s">
        <v>2589</v>
      </c>
      <c r="G684" s="12">
        <f>SUM(G686:G702)/2</f>
        <v>115829.22369364784</v>
      </c>
      <c r="H684" s="13">
        <f>ROUND(SUM(H686:H702),0)/2</f>
        <v>0</v>
      </c>
      <c r="I684" s="10">
        <f>VLOOKUP(A684,Presupuesto!$A:$F,6,0)</f>
        <v>0</v>
      </c>
      <c r="J684" s="10">
        <f>+H684-I684</f>
        <v>0</v>
      </c>
      <c r="K684" s="46">
        <f>+H684-G684*E684</f>
        <v>0</v>
      </c>
    </row>
    <row r="685" spans="1:11" ht="12.75" customHeight="1" thickTop="1">
      <c r="A685" s="14"/>
      <c r="B685" s="15" t="s">
        <v>2586</v>
      </c>
      <c r="C685" s="15" t="s">
        <v>5</v>
      </c>
      <c r="D685" s="16" t="s">
        <v>6</v>
      </c>
      <c r="E685" s="17" t="s">
        <v>7</v>
      </c>
      <c r="F685" s="18" t="s">
        <v>3728</v>
      </c>
      <c r="G685" s="19" t="s">
        <v>3729</v>
      </c>
      <c r="H685" s="20" t="s">
        <v>3797</v>
      </c>
    </row>
    <row r="686" spans="1:11" ht="12.75" customHeight="1">
      <c r="A686" s="21"/>
      <c r="B686" s="22" t="s">
        <v>3730</v>
      </c>
      <c r="C686" s="23"/>
      <c r="D686" s="24"/>
      <c r="E686" s="25"/>
      <c r="F686" s="26"/>
      <c r="G686" s="27">
        <f>SUM(G687:G691)</f>
        <v>85670.999811497852</v>
      </c>
      <c r="H686" s="27">
        <f>IFERROR(G686*E684,"")</f>
        <v>0</v>
      </c>
    </row>
    <row r="687" spans="1:11" ht="12.75" customHeight="1">
      <c r="A687" s="28"/>
      <c r="B687" s="29" t="s">
        <v>3239</v>
      </c>
      <c r="C687" s="30" t="str">
        <f>IFERROR(_xlfn.XLOOKUP(B687,Insumo[DESCRIPCION],Insumo[UND],,0),"")</f>
        <v>M3</v>
      </c>
      <c r="D687" s="31">
        <v>0.03</v>
      </c>
      <c r="E687" s="32">
        <f>IFERROR(_xlfn.XLOOKUP($B687,Insumo[DESCRIPCION],Insumo[VALOR],,0),"")</f>
        <v>521159.50227762427</v>
      </c>
      <c r="F687" s="33">
        <v>5</v>
      </c>
      <c r="G687" s="34">
        <f>IFERROR(IF(F687&gt;=0,D687*E687*(1+F687/100),ABS(D687*E687/F687)),"")</f>
        <v>16416.524321745164</v>
      </c>
      <c r="H687" s="43">
        <f>IFERROR(G687*E684,"")</f>
        <v>0</v>
      </c>
    </row>
    <row r="688" spans="1:11" ht="12.75" customHeight="1">
      <c r="A688" s="28"/>
      <c r="B688" s="29" t="s">
        <v>2954</v>
      </c>
      <c r="C688" s="30" t="str">
        <f>IFERROR(_xlfn.XLOOKUP(B688,Insumo[DESCRIPCION],Insumo[UND],,0),"")</f>
        <v>M2</v>
      </c>
      <c r="D688" s="31">
        <v>0.6</v>
      </c>
      <c r="E688" s="32">
        <f>IFERROR(_xlfn.XLOOKUP($B688,Insumo[DESCRIPCION],Insumo[VALOR],,0),"")</f>
        <v>102154.92581625449</v>
      </c>
      <c r="F688" s="33"/>
      <c r="G688" s="34">
        <f>IFERROR(IF(F688&gt;=0,D688*E688*(1+F688/100),ABS(D688*E688/F688)),"")</f>
        <v>61292.95548975269</v>
      </c>
      <c r="H688" s="43">
        <f>IFERROR(G688*E684,"")</f>
        <v>0</v>
      </c>
    </row>
    <row r="689" spans="1:11" ht="12.75" customHeight="1">
      <c r="A689" s="28"/>
      <c r="B689" s="29" t="s">
        <v>2653</v>
      </c>
      <c r="C689" s="30" t="str">
        <f>IFERROR(_xlfn.XLOOKUP(B689,Insumo[DESCRIPCION],Insumo[UND],,0),"")</f>
        <v>Kg</v>
      </c>
      <c r="D689" s="31">
        <v>1.4</v>
      </c>
      <c r="E689" s="32">
        <f>IFERROR(_xlfn.XLOOKUP($B689,Insumo[DESCRIPCION],Insumo[VALOR],,0),"")</f>
        <v>5686.8</v>
      </c>
      <c r="F689" s="33"/>
      <c r="G689" s="34">
        <f>IFERROR(IF(F689&gt;=0,D689*E689*(1+F689/100),ABS(D689*E689/F689)),"")</f>
        <v>7961.5199999999995</v>
      </c>
      <c r="H689" s="43">
        <f>IFERROR(G689*E684,"")</f>
        <v>0</v>
      </c>
    </row>
    <row r="690" spans="1:11" ht="12.75" customHeight="1">
      <c r="A690" s="28"/>
      <c r="B690" s="29"/>
      <c r="C690" s="30" t="str">
        <f>IFERROR(_xlfn.XLOOKUP(B690,Insumo[DESCRIPCION],Insumo[UND],,0),"")</f>
        <v/>
      </c>
      <c r="D690" s="31"/>
      <c r="E690" s="32" t="str">
        <f>IFERROR(_xlfn.XLOOKUP($B690,Insumo[DESCRIPCION],Insumo[VALOR],,0),"")</f>
        <v/>
      </c>
      <c r="F690" s="33"/>
      <c r="G690" s="34" t="str">
        <f>IFERROR(IF(F690&gt;=0,D690*E690*(1+F690/100),ABS(D690*E690/F690)),"")</f>
        <v/>
      </c>
      <c r="H690" s="43" t="str">
        <f>IFERROR(G690*E684,"")</f>
        <v/>
      </c>
    </row>
    <row r="691" spans="1:11" ht="12.75" customHeight="1">
      <c r="A691" s="28"/>
      <c r="B691" s="29"/>
      <c r="C691" s="30" t="str">
        <f>IFERROR(_xlfn.XLOOKUP(B691,Insumo[DESCRIPCION],Insumo[UND],,0),"")</f>
        <v/>
      </c>
      <c r="D691" s="31"/>
      <c r="E691" s="32" t="str">
        <f>IFERROR(_xlfn.XLOOKUP($B691,Insumo[DESCRIPCION],Insumo[VALOR],,0),"")</f>
        <v/>
      </c>
      <c r="F691" s="33"/>
      <c r="G691" s="34" t="str">
        <f>IFERROR(IF(F691&gt;=0,D691*E691*(1+F691/100),ABS(D691*E691/F691)),"")</f>
        <v/>
      </c>
      <c r="H691" s="43" t="str">
        <f>IFERROR(G691*E684,"")</f>
        <v/>
      </c>
    </row>
    <row r="692" spans="1:11" ht="12.75" customHeight="1">
      <c r="A692" s="21"/>
      <c r="B692" s="22" t="s">
        <v>3731</v>
      </c>
      <c r="C692" s="23"/>
      <c r="D692" s="24"/>
      <c r="E692" s="25"/>
      <c r="F692" s="26"/>
      <c r="G692" s="27">
        <f>SUM(G693:G695)</f>
        <v>1436.1058991500004</v>
      </c>
      <c r="H692" s="44">
        <f>G692*E684</f>
        <v>0</v>
      </c>
    </row>
    <row r="693" spans="1:11" ht="12.75" customHeight="1">
      <c r="A693" s="28"/>
      <c r="B693" s="29" t="s">
        <v>3626</v>
      </c>
      <c r="C693" s="30" t="str">
        <f>IFERROR(_xlfn.XLOOKUP(B693,Equipo[DESCRIPCION],Equipo[UND],,0),"")</f>
        <v>%MO</v>
      </c>
      <c r="D693" s="31">
        <v>0.05</v>
      </c>
      <c r="E693" s="32">
        <f>IF(C693="%MO",G699,IFERROR(_xlfn.XLOOKUP($B693,Equipo[DESCRIPCION],Equipo[VALOR],,0),""))</f>
        <v>28722.117983000004</v>
      </c>
      <c r="F693" s="33"/>
      <c r="G693" s="34">
        <f>IFERROR(IF(F693&gt;=0,D693*E693*(1+F693/100),ABS(D693*E693/F693)),"")</f>
        <v>1436.1058991500004</v>
      </c>
      <c r="H693" s="43">
        <f>IFERROR(G693*E684,"")</f>
        <v>0</v>
      </c>
    </row>
    <row r="694" spans="1:11" ht="12.75" customHeight="1">
      <c r="A694" s="28"/>
      <c r="B694" s="29"/>
      <c r="C694" s="30" t="str">
        <f>IFERROR(_xlfn.XLOOKUP(B694,Equipo[DESCRIPCION],Equipo[UND],,0),"")</f>
        <v/>
      </c>
      <c r="D694" s="31"/>
      <c r="E694" s="32" t="str">
        <f>IF(C694="%MO",G699,IFERROR(_xlfn.XLOOKUP($B694,Equipo[DESCRIPCION],Equipo[VALOR],,0),""))</f>
        <v/>
      </c>
      <c r="F694" s="33"/>
      <c r="G694" s="34" t="str">
        <f>IFERROR(IF(F694&gt;=0,D694*E694*(1+F694/100),ABS(D694*E694/F694)),"")</f>
        <v/>
      </c>
      <c r="H694" s="43" t="str">
        <f>IFERROR(G694*E684,"")</f>
        <v/>
      </c>
    </row>
    <row r="695" spans="1:11" ht="12.75" customHeight="1">
      <c r="A695" s="28"/>
      <c r="B695" s="29"/>
      <c r="C695" s="30" t="str">
        <f>IFERROR(_xlfn.XLOOKUP(B695,Equipo[DESCRIPCION],Equipo[UND],,0),"")</f>
        <v/>
      </c>
      <c r="D695" s="31"/>
      <c r="E695" s="32" t="str">
        <f>IF(C695="%MO",G699,IFERROR(_xlfn.XLOOKUP($B695,Equipo[DESCRIPCION],Equipo[VALOR],,0),""))</f>
        <v/>
      </c>
      <c r="F695" s="33"/>
      <c r="G695" s="34" t="str">
        <f>IFERROR(IF(F695&gt;=0,D695*E695*(1+F695/100),ABS(D695*E695/F695)),"")</f>
        <v/>
      </c>
      <c r="H695" s="43" t="str">
        <f>IFERROR(G695*E684,"")</f>
        <v/>
      </c>
    </row>
    <row r="696" spans="1:11" ht="12.75" customHeight="1">
      <c r="A696" s="21"/>
      <c r="B696" s="22" t="s">
        <v>2533</v>
      </c>
      <c r="C696" s="23"/>
      <c r="D696" s="24"/>
      <c r="E696" s="25"/>
      <c r="F696" s="26"/>
      <c r="G696" s="27">
        <f>SUM(G697:G698)</f>
        <v>0</v>
      </c>
      <c r="H696" s="44">
        <f>G696*E684</f>
        <v>0</v>
      </c>
    </row>
    <row r="697" spans="1:11" ht="12.75" customHeight="1">
      <c r="A697" s="28"/>
      <c r="B697" s="29"/>
      <c r="C697" s="30" t="str">
        <f>IFERROR(_xlfn.XLOOKUP(B697,Transporte[DESCRIPCION],Transporte[UND],,0),"")</f>
        <v/>
      </c>
      <c r="D697" s="31"/>
      <c r="E697" s="32" t="str">
        <f>IFERROR(_xlfn.XLOOKUP($B697,Transporte[DESCRIPCION],Transporte[VALOR],,0),"")</f>
        <v/>
      </c>
      <c r="F697" s="33"/>
      <c r="G697" s="34" t="str">
        <f>IFERROR(IF(F697&gt;=0,D697*E697*(1+F697/100),ABS(D697*E697/F697)),"")</f>
        <v/>
      </c>
      <c r="H697" s="43" t="str">
        <f>IFERROR(G697*E684,"")</f>
        <v/>
      </c>
    </row>
    <row r="698" spans="1:11" ht="12.75" customHeight="1">
      <c r="A698" s="28"/>
      <c r="B698" s="29"/>
      <c r="C698" s="30" t="str">
        <f>IFERROR(_xlfn.XLOOKUP(B698,Transporte[DESCRIPCION],Transporte[UND],,0),"")</f>
        <v/>
      </c>
      <c r="D698" s="31"/>
      <c r="E698" s="32" t="str">
        <f>IFERROR(_xlfn.XLOOKUP($B698,Transporte[DESCRIPCION],Transporte[VALOR],,0),"")</f>
        <v/>
      </c>
      <c r="F698" s="33"/>
      <c r="G698" s="34" t="str">
        <f>IFERROR(IF(F698&gt;=0,D698*E698*(1+F698/100),ABS(D698*E698/F698)),"")</f>
        <v/>
      </c>
      <c r="H698" s="43" t="str">
        <f>IFERROR(G698*E684,"")</f>
        <v/>
      </c>
    </row>
    <row r="699" spans="1:11" ht="12.75" customHeight="1">
      <c r="A699" s="21"/>
      <c r="B699" s="22" t="s">
        <v>3732</v>
      </c>
      <c r="C699" s="23"/>
      <c r="D699" s="24"/>
      <c r="E699" s="25"/>
      <c r="F699" s="26"/>
      <c r="G699" s="27">
        <f>SUM(G700:G702)</f>
        <v>28722.117983000004</v>
      </c>
      <c r="H699" s="44">
        <f>G699*E684</f>
        <v>0</v>
      </c>
    </row>
    <row r="700" spans="1:11" ht="12.75" customHeight="1">
      <c r="A700" s="28"/>
      <c r="B700" s="29" t="s">
        <v>3711</v>
      </c>
      <c r="C700" s="30" t="str">
        <f>IFERROR(_xlfn.XLOOKUP(B700,MObra[DESCRIPCION],MObra[UN],,0),"")</f>
        <v>día</v>
      </c>
      <c r="D700" s="31">
        <v>1</v>
      </c>
      <c r="E700" s="32">
        <f>IFERROR(_xlfn.XLOOKUP($B700,MObra[DESCRIPCION],MObra[VALOR UNIT],,0),"")</f>
        <v>430831.76974500006</v>
      </c>
      <c r="F700" s="33">
        <v>-15</v>
      </c>
      <c r="G700" s="34">
        <f>IFERROR(IF(F700&gt;=0,D700*E700*(1+F700/100),ABS(D700*E700/F700)),"")</f>
        <v>28722.117983000004</v>
      </c>
      <c r="H700" s="43">
        <f>IFERROR(G700*E684,"")</f>
        <v>0</v>
      </c>
    </row>
    <row r="701" spans="1:11" ht="12.75" customHeight="1">
      <c r="A701" s="28"/>
      <c r="B701" s="29"/>
      <c r="C701" s="30" t="str">
        <f>IFERROR(_xlfn.XLOOKUP(B701,MObra[DESCRIPCION],MObra[UN],,0),"")</f>
        <v/>
      </c>
      <c r="D701" s="31"/>
      <c r="E701" s="32" t="str">
        <f>IFERROR(_xlfn.XLOOKUP($B701,MObra[DESCRIPCION],MObra[VALOR UNIT],,0),"")</f>
        <v/>
      </c>
      <c r="F701" s="33"/>
      <c r="G701" s="34" t="str">
        <f>IFERROR(IF(F701&gt;=0,D701*E701*(1+F701/100),ABS(D701*E701/F701)),"")</f>
        <v/>
      </c>
      <c r="H701" s="43" t="str">
        <f>IFERROR(G701*E684,"")</f>
        <v/>
      </c>
    </row>
    <row r="702" spans="1:11" ht="12.75" customHeight="1" thickBot="1">
      <c r="A702" s="35"/>
      <c r="B702" s="36"/>
      <c r="C702" s="37" t="str">
        <f>IFERROR(_xlfn.XLOOKUP(B702,MObra[DESCRIPCION],MObra[UN],,0),"")</f>
        <v/>
      </c>
      <c r="D702" s="38"/>
      <c r="E702" s="39" t="str">
        <f>IFERROR(_xlfn.XLOOKUP($B702,MObra[DESCRIPCION],MObra[VALOR UNIT],,0),"")</f>
        <v/>
      </c>
      <c r="F702" s="40"/>
      <c r="G702" s="41" t="str">
        <f>IFERROR(IF(F702&gt;=0,D702*E702*(1+F702/100),ABS(D702*E702/F702)),"")</f>
        <v/>
      </c>
      <c r="H702" s="42" t="str">
        <f>IFERROR(G702*E684,"")</f>
        <v/>
      </c>
    </row>
    <row r="703" spans="1:11" ht="12.75" customHeight="1" thickTop="1" thickBot="1"/>
    <row r="704" spans="1:11" ht="12.75" customHeight="1" thickTop="1" thickBot="1">
      <c r="A704" s="6" t="s">
        <v>2499</v>
      </c>
      <c r="B704" s="7" t="str">
        <f>VLOOKUP($A704,Presupuesto!$A:$D,2,FALSE())</f>
        <v>Plaqueta sendero 40x40x5 cm</v>
      </c>
      <c r="C704" s="8" t="str">
        <f>VLOOKUP($A704,Presupuesto!$A:$D,3,FALSE())</f>
        <v>M2</v>
      </c>
      <c r="D704" s="9"/>
      <c r="E704" s="10">
        <f>VLOOKUP($A704,Presupuesto!$A:$D,4,FALSE())</f>
        <v>0</v>
      </c>
      <c r="F704" s="11" t="s">
        <v>2589</v>
      </c>
      <c r="G704" s="12">
        <f>SUM(G706:G722)/2</f>
        <v>119435.13834525002</v>
      </c>
      <c r="H704" s="13">
        <f>ROUND(SUM(H706:H722),0)/2</f>
        <v>0</v>
      </c>
      <c r="I704" s="10">
        <f>VLOOKUP(A704,Presupuesto!$A:$F,6,0)</f>
        <v>0</v>
      </c>
      <c r="J704" s="10">
        <f>+H704-I704</f>
        <v>0</v>
      </c>
      <c r="K704" s="46">
        <f>+H704-G704*E704</f>
        <v>0</v>
      </c>
    </row>
    <row r="705" spans="1:8" ht="12.75" customHeight="1" thickTop="1">
      <c r="A705" s="14"/>
      <c r="B705" s="15" t="s">
        <v>2586</v>
      </c>
      <c r="C705" s="15" t="s">
        <v>5</v>
      </c>
      <c r="D705" s="16" t="s">
        <v>6</v>
      </c>
      <c r="E705" s="17" t="s">
        <v>7</v>
      </c>
      <c r="F705" s="18" t="s">
        <v>3728</v>
      </c>
      <c r="G705" s="19" t="s">
        <v>3729</v>
      </c>
      <c r="H705" s="20" t="s">
        <v>3797</v>
      </c>
    </row>
    <row r="706" spans="1:8" ht="12.75" customHeight="1">
      <c r="A706" s="21"/>
      <c r="B706" s="22" t="s">
        <v>3730</v>
      </c>
      <c r="C706" s="23"/>
      <c r="D706" s="24"/>
      <c r="E706" s="25"/>
      <c r="F706" s="26"/>
      <c r="G706" s="27">
        <f>SUM(G707:G711)</f>
        <v>60008.431875000009</v>
      </c>
      <c r="H706" s="27">
        <f>IFERROR(G706*E704,"")</f>
        <v>0</v>
      </c>
    </row>
    <row r="707" spans="1:8" ht="12.75" customHeight="1">
      <c r="A707" s="28"/>
      <c r="B707" s="29" t="s">
        <v>3220</v>
      </c>
      <c r="C707" s="30" t="str">
        <f>IFERROR(_xlfn.XLOOKUP(B707,Insumo[DESCRIPCION],Insumo[UND],,0),"")</f>
        <v>Un</v>
      </c>
      <c r="D707" s="31">
        <f>2.5*2.5</f>
        <v>6.25</v>
      </c>
      <c r="E707" s="32">
        <f>IFERROR(_xlfn.XLOOKUP($B707,Insumo[DESCRIPCION],Insumo[VALOR],,0),"")</f>
        <v>8524.9500000000007</v>
      </c>
      <c r="F707" s="33">
        <v>5</v>
      </c>
      <c r="G707" s="34">
        <f>IFERROR(IF(F707&gt;=0,D707*E707*(1+F707/100),ABS(D707*E707/F707)),"")</f>
        <v>55944.984375000007</v>
      </c>
      <c r="H707" s="43">
        <f>IFERROR(G707*E704,"")</f>
        <v>0</v>
      </c>
    </row>
    <row r="708" spans="1:8" ht="12.75" customHeight="1">
      <c r="A708" s="28"/>
      <c r="B708" s="29" t="s">
        <v>2713</v>
      </c>
      <c r="C708" s="30" t="str">
        <f>IFERROR(_xlfn.XLOOKUP(B708,Insumo[DESCRIPCION],Insumo[UND],,0),"")</f>
        <v>M3</v>
      </c>
      <c r="D708" s="31">
        <v>0.05</v>
      </c>
      <c r="E708" s="32">
        <f>IFERROR(_xlfn.XLOOKUP($B708,Insumo[DESCRIPCION],Insumo[VALOR],,0),"")</f>
        <v>81268.95</v>
      </c>
      <c r="F708" s="33"/>
      <c r="G708" s="34">
        <f>IFERROR(IF(F708&gt;=0,D708*E708*(1+F708/100),ABS(D708*E708/F708)),"")</f>
        <v>4063.4475000000002</v>
      </c>
      <c r="H708" s="43">
        <f>IFERROR(G708*E704,"")</f>
        <v>0</v>
      </c>
    </row>
    <row r="709" spans="1:8" ht="12.75" customHeight="1">
      <c r="A709" s="28"/>
      <c r="B709" s="29"/>
      <c r="C709" s="30" t="str">
        <f>IFERROR(_xlfn.XLOOKUP(B709,Insumo[DESCRIPCION],Insumo[UND],,0),"")</f>
        <v/>
      </c>
      <c r="D709" s="31"/>
      <c r="E709" s="32" t="str">
        <f>IFERROR(_xlfn.XLOOKUP($B709,Insumo[DESCRIPCION],Insumo[VALOR],,0),"")</f>
        <v/>
      </c>
      <c r="F709" s="33"/>
      <c r="G709" s="34" t="str">
        <f>IFERROR(IF(F709&gt;=0,D709*E709*(1+F709/100),ABS(D709*E709/F709)),"")</f>
        <v/>
      </c>
      <c r="H709" s="43" t="str">
        <f>IFERROR(G709*E704,"")</f>
        <v/>
      </c>
    </row>
    <row r="710" spans="1:8" ht="12.75" customHeight="1">
      <c r="A710" s="28"/>
      <c r="B710" s="29"/>
      <c r="C710" s="30" t="str">
        <f>IFERROR(_xlfn.XLOOKUP(B710,Insumo[DESCRIPCION],Insumo[UND],,0),"")</f>
        <v/>
      </c>
      <c r="D710" s="31"/>
      <c r="E710" s="32" t="str">
        <f>IFERROR(_xlfn.XLOOKUP($B710,Insumo[DESCRIPCION],Insumo[VALOR],,0),"")</f>
        <v/>
      </c>
      <c r="F710" s="33"/>
      <c r="G710" s="34" t="str">
        <f>IFERROR(IF(F710&gt;=0,D710*E710*(1+F710/100),ABS(D710*E710/F710)),"")</f>
        <v/>
      </c>
      <c r="H710" s="43" t="str">
        <f>IFERROR(G710*E704,"")</f>
        <v/>
      </c>
    </row>
    <row r="711" spans="1:8" ht="12.75" customHeight="1">
      <c r="A711" s="28"/>
      <c r="B711" s="29"/>
      <c r="C711" s="30" t="str">
        <f>IFERROR(_xlfn.XLOOKUP(B711,Insumo[DESCRIPCION],Insumo[UND],,0),"")</f>
        <v/>
      </c>
      <c r="D711" s="31"/>
      <c r="E711" s="32" t="str">
        <f>IFERROR(_xlfn.XLOOKUP($B711,Insumo[DESCRIPCION],Insumo[VALOR],,0),"")</f>
        <v/>
      </c>
      <c r="F711" s="33"/>
      <c r="G711" s="34" t="str">
        <f>IFERROR(IF(F711&gt;=0,D711*E711*(1+F711/100),ABS(D711*E711/F711)),"")</f>
        <v/>
      </c>
      <c r="H711" s="43" t="str">
        <f>IFERROR(G711*E704,"")</f>
        <v/>
      </c>
    </row>
    <row r="712" spans="1:8" ht="12.75" customHeight="1">
      <c r="A712" s="21"/>
      <c r="B712" s="22" t="s">
        <v>3731</v>
      </c>
      <c r="C712" s="23"/>
      <c r="D712" s="24"/>
      <c r="E712" s="25"/>
      <c r="F712" s="26"/>
      <c r="G712" s="27">
        <f>SUM(G713:G715)</f>
        <v>11556.509831916668</v>
      </c>
      <c r="H712" s="44">
        <f>G712*E704</f>
        <v>0</v>
      </c>
    </row>
    <row r="713" spans="1:8" ht="12.75" customHeight="1">
      <c r="A713" s="28"/>
      <c r="B713" s="29" t="s">
        <v>3658</v>
      </c>
      <c r="C713" s="30" t="str">
        <f>IFERROR(_xlfn.XLOOKUP(B713,Equipo[DESCRIPCION],Equipo[UND],,0),"")</f>
        <v>Día</v>
      </c>
      <c r="D713" s="31">
        <v>1</v>
      </c>
      <c r="E713" s="32">
        <f>IF(C713="%MO",G719,IFERROR(_xlfn.XLOOKUP($B713,Equipo[DESCRIPCION],Equipo[VALOR],,0),""))</f>
        <v>82467</v>
      </c>
      <c r="F713" s="33">
        <v>-18</v>
      </c>
      <c r="G713" s="34">
        <f>IFERROR(IF(F713&gt;=0,D713*E713*(1+F713/100),ABS(D713*E713/F713)),"")</f>
        <v>4581.5</v>
      </c>
      <c r="H713" s="43">
        <f>IFERROR(G713*E704,"")</f>
        <v>0</v>
      </c>
    </row>
    <row r="714" spans="1:8" ht="12.75" customHeight="1">
      <c r="A714" s="28"/>
      <c r="B714" s="29" t="s">
        <v>3601</v>
      </c>
      <c r="C714" s="30" t="str">
        <f>IFERROR(_xlfn.XLOOKUP(B714,Equipo[DESCRIPCION],Equipo[UND],,0),"")</f>
        <v>Día</v>
      </c>
      <c r="D714" s="31">
        <v>1</v>
      </c>
      <c r="E714" s="32">
        <f>IF(C714="%MO",G719,IFERROR(_xlfn.XLOOKUP($B714,Equipo[DESCRIPCION],Equipo[VALOR],,0),""))</f>
        <v>82467</v>
      </c>
      <c r="F714" s="33">
        <v>-18</v>
      </c>
      <c r="G714" s="34">
        <f>IFERROR(IF(F714&gt;=0,D714*E714*(1+F714/100),ABS(D714*E714/F714)),"")</f>
        <v>4581.5</v>
      </c>
      <c r="H714" s="43">
        <f>IFERROR(G714*E704,"")</f>
        <v>0</v>
      </c>
    </row>
    <row r="715" spans="1:8" ht="12.75" customHeight="1">
      <c r="A715" s="28"/>
      <c r="B715" s="29" t="s">
        <v>3626</v>
      </c>
      <c r="C715" s="30" t="str">
        <f>IFERROR(_xlfn.XLOOKUP(B715,Equipo[DESCRIPCION],Equipo[UND],,0),"")</f>
        <v>%MO</v>
      </c>
      <c r="D715" s="31">
        <v>0.05</v>
      </c>
      <c r="E715" s="32">
        <f>IF(C715="%MO",G719,IFERROR(_xlfn.XLOOKUP($B715,Equipo[DESCRIPCION],Equipo[VALOR],,0),""))</f>
        <v>47870.196638333342</v>
      </c>
      <c r="F715" s="33"/>
      <c r="G715" s="34">
        <f>IFERROR(IF(F715&gt;=0,D715*E715*(1+F715/100),ABS(D715*E715/F715)),"")</f>
        <v>2393.5098319166673</v>
      </c>
      <c r="H715" s="43">
        <f>IFERROR(G715*E704,"")</f>
        <v>0</v>
      </c>
    </row>
    <row r="716" spans="1:8" ht="12.75" customHeight="1">
      <c r="A716" s="21"/>
      <c r="B716" s="22" t="s">
        <v>2533</v>
      </c>
      <c r="C716" s="23"/>
      <c r="D716" s="24"/>
      <c r="E716" s="25"/>
      <c r="F716" s="26"/>
      <c r="G716" s="27">
        <f>SUM(G717:G718)</f>
        <v>0</v>
      </c>
      <c r="H716" s="44">
        <f>G716*E704</f>
        <v>0</v>
      </c>
    </row>
    <row r="717" spans="1:8" ht="12.75" customHeight="1">
      <c r="A717" s="28"/>
      <c r="B717" s="29"/>
      <c r="C717" s="30" t="str">
        <f>IFERROR(_xlfn.XLOOKUP(B717,Transporte[DESCRIPCION],Transporte[UND],,0),"")</f>
        <v/>
      </c>
      <c r="D717" s="31"/>
      <c r="E717" s="32" t="str">
        <f>IFERROR(_xlfn.XLOOKUP($B717,Transporte[DESCRIPCION],Transporte[VALOR],,0),"")</f>
        <v/>
      </c>
      <c r="F717" s="33"/>
      <c r="G717" s="34" t="str">
        <f>IFERROR(IF(F717&gt;=0,D717*E717*(1+F717/100),ABS(D717*E717/F717)),"")</f>
        <v/>
      </c>
      <c r="H717" s="43" t="str">
        <f>IFERROR(G717*E704,"")</f>
        <v/>
      </c>
    </row>
    <row r="718" spans="1:8" ht="12.75" customHeight="1">
      <c r="A718" s="28"/>
      <c r="B718" s="29"/>
      <c r="C718" s="30" t="str">
        <f>IFERROR(_xlfn.XLOOKUP(B718,Transporte[DESCRIPCION],Transporte[UND],,0),"")</f>
        <v/>
      </c>
      <c r="D718" s="31"/>
      <c r="E718" s="32" t="str">
        <f>IFERROR(_xlfn.XLOOKUP($B718,Transporte[DESCRIPCION],Transporte[VALOR],,0),"")</f>
        <v/>
      </c>
      <c r="F718" s="33"/>
      <c r="G718" s="34" t="str">
        <f>IFERROR(IF(F718&gt;=0,D718*E718*(1+F718/100),ABS(D718*E718/F718)),"")</f>
        <v/>
      </c>
      <c r="H718" s="43" t="str">
        <f>IFERROR(G718*E704,"")</f>
        <v/>
      </c>
    </row>
    <row r="719" spans="1:8" ht="12.75" customHeight="1">
      <c r="A719" s="21"/>
      <c r="B719" s="22" t="s">
        <v>3732</v>
      </c>
      <c r="C719" s="23"/>
      <c r="D719" s="24"/>
      <c r="E719" s="25"/>
      <c r="F719" s="26"/>
      <c r="G719" s="27">
        <f>SUM(G720:G722)</f>
        <v>47870.196638333342</v>
      </c>
      <c r="H719" s="44">
        <f>G719*E704</f>
        <v>0</v>
      </c>
    </row>
    <row r="720" spans="1:8" ht="12.75" customHeight="1">
      <c r="A720" s="28"/>
      <c r="B720" s="29" t="s">
        <v>3711</v>
      </c>
      <c r="C720" s="30" t="str">
        <f>IFERROR(_xlfn.XLOOKUP(B720,MObra[DESCRIPCION],MObra[UN],,0),"")</f>
        <v>día</v>
      </c>
      <c r="D720" s="31">
        <v>1</v>
      </c>
      <c r="E720" s="32">
        <f>IFERROR(_xlfn.XLOOKUP($B720,MObra[DESCRIPCION],MObra[VALOR UNIT],,0),"")</f>
        <v>430831.76974500006</v>
      </c>
      <c r="F720" s="33">
        <v>-9</v>
      </c>
      <c r="G720" s="34">
        <f>IFERROR(IF(F720&gt;=0,D720*E720*(1+F720/100),ABS(D720*E720/F720)),"")</f>
        <v>47870.196638333342</v>
      </c>
      <c r="H720" s="43">
        <f>IFERROR(G720*E704,"")</f>
        <v>0</v>
      </c>
    </row>
    <row r="721" spans="1:11" ht="12.75" customHeight="1">
      <c r="A721" s="28"/>
      <c r="B721" s="29"/>
      <c r="C721" s="30" t="str">
        <f>IFERROR(_xlfn.XLOOKUP(B721,MObra[DESCRIPCION],MObra[UN],,0),"")</f>
        <v/>
      </c>
      <c r="D721" s="31"/>
      <c r="E721" s="32" t="str">
        <f>IFERROR(_xlfn.XLOOKUP($B721,MObra[DESCRIPCION],MObra[VALOR UNIT],,0),"")</f>
        <v/>
      </c>
      <c r="F721" s="33"/>
      <c r="G721" s="34" t="str">
        <f>IFERROR(IF(F721&gt;=0,D721*E721*(1+F721/100),ABS(D721*E721/F721)),"")</f>
        <v/>
      </c>
      <c r="H721" s="43" t="str">
        <f>IFERROR(G721*E704,"")</f>
        <v/>
      </c>
    </row>
    <row r="722" spans="1:11" ht="12.75" customHeight="1" thickBot="1">
      <c r="A722" s="35"/>
      <c r="B722" s="36"/>
      <c r="C722" s="37" t="str">
        <f>IFERROR(_xlfn.XLOOKUP(B722,MObra[DESCRIPCION],MObra[UN],,0),"")</f>
        <v/>
      </c>
      <c r="D722" s="38"/>
      <c r="E722" s="39" t="str">
        <f>IFERROR(_xlfn.XLOOKUP($B722,MObra[DESCRIPCION],MObra[VALOR UNIT],,0),"")</f>
        <v/>
      </c>
      <c r="F722" s="40"/>
      <c r="G722" s="41" t="str">
        <f>IFERROR(IF(F722&gt;=0,D722*E722*(1+F722/100),ABS(D722*E722/F722)),"")</f>
        <v/>
      </c>
      <c r="H722" s="42" t="str">
        <f>IFERROR(G722*E704,"")</f>
        <v/>
      </c>
    </row>
    <row r="723" spans="1:11" ht="12.75" customHeight="1" thickTop="1" thickBot="1"/>
    <row r="724" spans="1:11" ht="12.75" customHeight="1" thickTop="1" thickBot="1">
      <c r="A724" s="6" t="s">
        <v>2501</v>
      </c>
      <c r="B724" s="7" t="str">
        <f>VLOOKUP($A724,Presupuesto!$A:$D,2,FALSE())</f>
        <v>Rampa en concreto 20.7 Mpa acceso cebras</v>
      </c>
      <c r="C724" s="8" t="str">
        <f>VLOOKUP($A724,Presupuesto!$A:$D,3,FALSE())</f>
        <v>Un</v>
      </c>
      <c r="D724" s="9"/>
      <c r="E724" s="10">
        <f>VLOOKUP($A724,Presupuesto!$A:$D,4,FALSE())</f>
        <v>0</v>
      </c>
      <c r="F724" s="11" t="s">
        <v>2589</v>
      </c>
      <c r="G724" s="12">
        <f>SUM(G726:G742)/2</f>
        <v>195858.80351891555</v>
      </c>
      <c r="H724" s="13">
        <f>ROUND(SUM(H726:H742),0)/2</f>
        <v>0</v>
      </c>
      <c r="I724" s="10">
        <f>VLOOKUP(A724,Presupuesto!$A:$F,6,0)</f>
        <v>0</v>
      </c>
      <c r="J724" s="10">
        <f>+H724-I724</f>
        <v>0</v>
      </c>
      <c r="K724" s="46">
        <f>+H724-G724*E724</f>
        <v>0</v>
      </c>
    </row>
    <row r="725" spans="1:11" ht="12.75" customHeight="1" thickTop="1">
      <c r="A725" s="14"/>
      <c r="B725" s="15" t="s">
        <v>2586</v>
      </c>
      <c r="C725" s="15" t="s">
        <v>5</v>
      </c>
      <c r="D725" s="16" t="s">
        <v>6</v>
      </c>
      <c r="E725" s="17" t="s">
        <v>7</v>
      </c>
      <c r="F725" s="18" t="s">
        <v>3728</v>
      </c>
      <c r="G725" s="19" t="s">
        <v>3729</v>
      </c>
      <c r="H725" s="20" t="s">
        <v>3797</v>
      </c>
    </row>
    <row r="726" spans="1:11" ht="12.75" customHeight="1">
      <c r="A726" s="21"/>
      <c r="B726" s="22" t="s">
        <v>3730</v>
      </c>
      <c r="C726" s="23"/>
      <c r="D726" s="24"/>
      <c r="E726" s="25"/>
      <c r="F726" s="26"/>
      <c r="G726" s="27">
        <f>SUM(G727:G731)</f>
        <v>147972.4345168531</v>
      </c>
      <c r="H726" s="27">
        <f>IFERROR(G726*E724,"")</f>
        <v>0</v>
      </c>
    </row>
    <row r="727" spans="1:11" ht="12.75" customHeight="1">
      <c r="A727" s="28"/>
      <c r="B727" s="29" t="s">
        <v>3239</v>
      </c>
      <c r="C727" s="30" t="str">
        <f>IFERROR(_xlfn.XLOOKUP(B727,Insumo[DESCRIPCION],Insumo[UND],,0),"")</f>
        <v>M3</v>
      </c>
      <c r="D727" s="31">
        <f>1*1.5*0.1</f>
        <v>0.15000000000000002</v>
      </c>
      <c r="E727" s="32">
        <f>IFERROR(_xlfn.XLOOKUP($B727,Insumo[DESCRIPCION],Insumo[VALOR],,0),"")</f>
        <v>521159.50227762427</v>
      </c>
      <c r="F727" s="33">
        <v>5</v>
      </c>
      <c r="G727" s="34">
        <f>IFERROR(IF(F727&gt;=0,D727*E727*(1+F727/100),ABS(D727*E727/F727)),"")</f>
        <v>82082.621608725836</v>
      </c>
      <c r="H727" s="43">
        <f>IFERROR(G727*E724,"")</f>
        <v>0</v>
      </c>
    </row>
    <row r="728" spans="1:11" ht="12.75" customHeight="1">
      <c r="A728" s="28"/>
      <c r="B728" s="29" t="s">
        <v>2954</v>
      </c>
      <c r="C728" s="30" t="str">
        <f>IFERROR(_xlfn.XLOOKUP(B728,Insumo[DESCRIPCION],Insumo[UND],,0),"")</f>
        <v>M2</v>
      </c>
      <c r="D728" s="31">
        <f>5*0.1</f>
        <v>0.5</v>
      </c>
      <c r="E728" s="32">
        <f>IFERROR(_xlfn.XLOOKUP($B728,Insumo[DESCRIPCION],Insumo[VALOR],,0),"")</f>
        <v>102154.92581625449</v>
      </c>
      <c r="F728" s="33"/>
      <c r="G728" s="34">
        <f>IFERROR(IF(F728&gt;=0,D728*E728*(1+F728/100),ABS(D728*E728/F728)),"")</f>
        <v>51077.462908127243</v>
      </c>
      <c r="H728" s="43">
        <f>IFERROR(G728*E724,"")</f>
        <v>0</v>
      </c>
    </row>
    <row r="729" spans="1:11" ht="12.75" customHeight="1">
      <c r="A729" s="28"/>
      <c r="B729" s="29" t="s">
        <v>2709</v>
      </c>
      <c r="C729" s="30" t="str">
        <f>IFERROR(_xlfn.XLOOKUP(B729,Insumo[DESCRIPCION],Insumo[UND],,0),"")</f>
        <v>Kg</v>
      </c>
      <c r="D729" s="31">
        <v>1</v>
      </c>
      <c r="E729" s="32">
        <f>IFERROR(_xlfn.XLOOKUP($B729,Insumo[DESCRIPCION],Insumo[VALOR],,0),"")</f>
        <v>14812.35</v>
      </c>
      <c r="F729" s="33"/>
      <c r="G729" s="34">
        <f>IFERROR(IF(F729&gt;=0,D729*E729*(1+F729/100),ABS(D729*E729/F729)),"")</f>
        <v>14812.35</v>
      </c>
      <c r="H729" s="43">
        <f>IFERROR(G729*E724,"")</f>
        <v>0</v>
      </c>
    </row>
    <row r="730" spans="1:11" ht="12.75" customHeight="1">
      <c r="A730" s="28"/>
      <c r="B730" s="29"/>
      <c r="C730" s="30" t="str">
        <f>IFERROR(_xlfn.XLOOKUP(B730,Insumo[DESCRIPCION],Insumo[UND],,0),"")</f>
        <v/>
      </c>
      <c r="D730" s="31"/>
      <c r="E730" s="32" t="str">
        <f>IFERROR(_xlfn.XLOOKUP($B730,Insumo[DESCRIPCION],Insumo[VALOR],,0),"")</f>
        <v/>
      </c>
      <c r="F730" s="33"/>
      <c r="G730" s="34" t="str">
        <f>IFERROR(IF(F730&gt;=0,D730*E730*(1+F730/100),ABS(D730*E730/F730)),"")</f>
        <v/>
      </c>
      <c r="H730" s="43" t="str">
        <f>IFERROR(G730*E724,"")</f>
        <v/>
      </c>
    </row>
    <row r="731" spans="1:11" ht="12.75" customHeight="1">
      <c r="A731" s="28"/>
      <c r="B731" s="29"/>
      <c r="C731" s="30" t="str">
        <f>IFERROR(_xlfn.XLOOKUP(B731,Insumo[DESCRIPCION],Insumo[UND],,0),"")</f>
        <v/>
      </c>
      <c r="D731" s="31"/>
      <c r="E731" s="32" t="str">
        <f>IFERROR(_xlfn.XLOOKUP($B731,Insumo[DESCRIPCION],Insumo[VALOR],,0),"")</f>
        <v/>
      </c>
      <c r="F731" s="33"/>
      <c r="G731" s="34" t="str">
        <f>IFERROR(IF(F731&gt;=0,D731*E731*(1+F731/100),ABS(D731*E731/F731)),"")</f>
        <v/>
      </c>
      <c r="H731" s="43" t="str">
        <f>IFERROR(G731*E724,"")</f>
        <v/>
      </c>
    </row>
    <row r="732" spans="1:11" ht="12.75" customHeight="1">
      <c r="A732" s="21"/>
      <c r="B732" s="22" t="s">
        <v>3731</v>
      </c>
      <c r="C732" s="23"/>
      <c r="D732" s="24"/>
      <c r="E732" s="25"/>
      <c r="F732" s="26"/>
      <c r="G732" s="27">
        <f>SUM(G733:G735)</f>
        <v>2280.3032858125007</v>
      </c>
      <c r="H732" s="44">
        <f>G732*E724</f>
        <v>0</v>
      </c>
    </row>
    <row r="733" spans="1:11" ht="12.75" customHeight="1">
      <c r="A733" s="28"/>
      <c r="B733" s="29" t="s">
        <v>3626</v>
      </c>
      <c r="C733" s="30" t="str">
        <f>IFERROR(_xlfn.XLOOKUP(B733,Equipo[DESCRIPCION],Equipo[UND],,0),"")</f>
        <v>%MO</v>
      </c>
      <c r="D733" s="31">
        <v>0.05</v>
      </c>
      <c r="E733" s="32">
        <f>IF(C733="%MO",G739,IFERROR(_xlfn.XLOOKUP($B733,Equipo[DESCRIPCION],Equipo[VALOR],,0),""))</f>
        <v>45606.065716250014</v>
      </c>
      <c r="F733" s="33"/>
      <c r="G733" s="34">
        <f>IFERROR(IF(F733&gt;=0,D733*E733*(1+F733/100),ABS(D733*E733/F733)),"")</f>
        <v>2280.3032858125007</v>
      </c>
      <c r="H733" s="43">
        <f>IFERROR(G733*E724,"")</f>
        <v>0</v>
      </c>
    </row>
    <row r="734" spans="1:11" ht="12.75" customHeight="1">
      <c r="A734" s="28"/>
      <c r="B734" s="29"/>
      <c r="C734" s="30" t="str">
        <f>IFERROR(_xlfn.XLOOKUP(B734,Equipo[DESCRIPCION],Equipo[UND],,0),"")</f>
        <v/>
      </c>
      <c r="D734" s="31"/>
      <c r="E734" s="32" t="str">
        <f>IF(C734="%MO",G739,IFERROR(_xlfn.XLOOKUP($B734,Equipo[DESCRIPCION],Equipo[VALOR],,0),""))</f>
        <v/>
      </c>
      <c r="F734" s="33"/>
      <c r="G734" s="34" t="str">
        <f>IFERROR(IF(F734&gt;=0,D734*E734*(1+F734/100),ABS(D734*E734/F734)),"")</f>
        <v/>
      </c>
      <c r="H734" s="43" t="str">
        <f>IFERROR(G734*E724,"")</f>
        <v/>
      </c>
    </row>
    <row r="735" spans="1:11" ht="12.75" customHeight="1">
      <c r="A735" s="28"/>
      <c r="B735" s="29"/>
      <c r="C735" s="30" t="str">
        <f>IFERROR(_xlfn.XLOOKUP(B735,Equipo[DESCRIPCION],Equipo[UND],,0),"")</f>
        <v/>
      </c>
      <c r="D735" s="31"/>
      <c r="E735" s="32" t="str">
        <f>IF(C735="%MO",G739,IFERROR(_xlfn.XLOOKUP($B735,Equipo[DESCRIPCION],Equipo[VALOR],,0),""))</f>
        <v/>
      </c>
      <c r="F735" s="33"/>
      <c r="G735" s="34" t="str">
        <f>IFERROR(IF(F735&gt;=0,D735*E735*(1+F735/100),ABS(D735*E735/F735)),"")</f>
        <v/>
      </c>
      <c r="H735" s="43" t="str">
        <f>IFERROR(G735*E724,"")</f>
        <v/>
      </c>
    </row>
    <row r="736" spans="1:11" ht="12.75" customHeight="1">
      <c r="A736" s="21"/>
      <c r="B736" s="22" t="s">
        <v>2533</v>
      </c>
      <c r="C736" s="23"/>
      <c r="D736" s="24"/>
      <c r="E736" s="25"/>
      <c r="F736" s="26"/>
      <c r="G736" s="27">
        <f>SUM(G737:G738)</f>
        <v>0</v>
      </c>
      <c r="H736" s="44">
        <f>G736*E724</f>
        <v>0</v>
      </c>
    </row>
    <row r="737" spans="1:11" ht="12.75" customHeight="1">
      <c r="A737" s="28"/>
      <c r="B737" s="29"/>
      <c r="C737" s="30" t="str">
        <f>IFERROR(_xlfn.XLOOKUP(B737,Transporte[DESCRIPCION],Transporte[UND],,0),"")</f>
        <v/>
      </c>
      <c r="D737" s="31"/>
      <c r="E737" s="32" t="str">
        <f>IFERROR(_xlfn.XLOOKUP($B737,Transporte[DESCRIPCION],Transporte[VALOR],,0),"")</f>
        <v/>
      </c>
      <c r="F737" s="33"/>
      <c r="G737" s="34" t="str">
        <f>IFERROR(IF(F737&gt;=0,D737*E737*(1+F737/100),ABS(D737*E737/F737)),"")</f>
        <v/>
      </c>
      <c r="H737" s="43" t="str">
        <f>IFERROR(G737*E724,"")</f>
        <v/>
      </c>
    </row>
    <row r="738" spans="1:11" ht="12.75" customHeight="1">
      <c r="A738" s="28"/>
      <c r="B738" s="29"/>
      <c r="C738" s="30" t="str">
        <f>IFERROR(_xlfn.XLOOKUP(B738,Transporte[DESCRIPCION],Transporte[UND],,0),"")</f>
        <v/>
      </c>
      <c r="D738" s="31"/>
      <c r="E738" s="32" t="str">
        <f>IFERROR(_xlfn.XLOOKUP($B738,Transporte[DESCRIPCION],Transporte[VALOR],,0),"")</f>
        <v/>
      </c>
      <c r="F738" s="33"/>
      <c r="G738" s="34" t="str">
        <f>IFERROR(IF(F738&gt;=0,D738*E738*(1+F738/100),ABS(D738*E738/F738)),"")</f>
        <v/>
      </c>
      <c r="H738" s="43" t="str">
        <f>IFERROR(G738*E724,"")</f>
        <v/>
      </c>
    </row>
    <row r="739" spans="1:11" ht="12.75" customHeight="1">
      <c r="A739" s="21"/>
      <c r="B739" s="22" t="s">
        <v>3732</v>
      </c>
      <c r="C739" s="23"/>
      <c r="D739" s="24"/>
      <c r="E739" s="25"/>
      <c r="F739" s="26"/>
      <c r="G739" s="27">
        <f>SUM(G740:G742)</f>
        <v>45606.065716250014</v>
      </c>
      <c r="H739" s="44">
        <f>G739*E724</f>
        <v>0</v>
      </c>
    </row>
    <row r="740" spans="1:11" ht="12.75" customHeight="1">
      <c r="A740" s="28"/>
      <c r="B740" s="29" t="s">
        <v>3712</v>
      </c>
      <c r="C740" s="30" t="str">
        <f>IFERROR(_xlfn.XLOOKUP(B740,MObra[DESCRIPCION],MObra[UN],,0),"")</f>
        <v>día</v>
      </c>
      <c r="D740" s="31">
        <v>1</v>
      </c>
      <c r="E740" s="32">
        <f>IFERROR(_xlfn.XLOOKUP($B740,MObra[DESCRIPCION],MObra[VALOR UNIT],,0),"")</f>
        <v>547272.78859500017</v>
      </c>
      <c r="F740" s="33">
        <v>-12</v>
      </c>
      <c r="G740" s="34">
        <f>IFERROR(IF(F740&gt;=0,D740*E740*(1+F740/100),ABS(D740*E740/F740)),"")</f>
        <v>45606.065716250014</v>
      </c>
      <c r="H740" s="43">
        <f>IFERROR(G740*E724,"")</f>
        <v>0</v>
      </c>
    </row>
    <row r="741" spans="1:11" ht="12.75" customHeight="1">
      <c r="A741" s="28"/>
      <c r="B741" s="29"/>
      <c r="C741" s="30" t="str">
        <f>IFERROR(_xlfn.XLOOKUP(B741,MObra[DESCRIPCION],MObra[UN],,0),"")</f>
        <v/>
      </c>
      <c r="D741" s="31"/>
      <c r="E741" s="32" t="str">
        <f>IFERROR(_xlfn.XLOOKUP($B741,MObra[DESCRIPCION],MObra[VALOR UNIT],,0),"")</f>
        <v/>
      </c>
      <c r="F741" s="33"/>
      <c r="G741" s="34" t="str">
        <f>IFERROR(IF(F741&gt;=0,D741*E741*(1+F741/100),ABS(D741*E741/F741)),"")</f>
        <v/>
      </c>
      <c r="H741" s="43" t="str">
        <f>IFERROR(G741*E724,"")</f>
        <v/>
      </c>
    </row>
    <row r="742" spans="1:11" ht="12.75" customHeight="1" thickBot="1">
      <c r="A742" s="35"/>
      <c r="B742" s="36"/>
      <c r="C742" s="37" t="str">
        <f>IFERROR(_xlfn.XLOOKUP(B742,MObra[DESCRIPCION],MObra[UN],,0),"")</f>
        <v/>
      </c>
      <c r="D742" s="38"/>
      <c r="E742" s="39" t="str">
        <f>IFERROR(_xlfn.XLOOKUP($B742,MObra[DESCRIPCION],MObra[VALOR UNIT],,0),"")</f>
        <v/>
      </c>
      <c r="F742" s="40"/>
      <c r="G742" s="41" t="str">
        <f>IFERROR(IF(F742&gt;=0,D742*E742*(1+F742/100),ABS(D742*E742/F742)),"")</f>
        <v/>
      </c>
      <c r="H742" s="42" t="str">
        <f>IFERROR(G742*E724,"")</f>
        <v/>
      </c>
    </row>
    <row r="743" spans="1:11" ht="12.75" customHeight="1" thickTop="1" thickBot="1"/>
    <row r="744" spans="1:11" ht="12.75" customHeight="1" thickTop="1" thickBot="1">
      <c r="A744" s="6" t="s">
        <v>2503</v>
      </c>
      <c r="B744" s="7" t="str">
        <f>VLOOKUP($A744,Presupuesto!$A:$D,2,FALSE())</f>
        <v>Señales podo táctiles (losetas línea guía)</v>
      </c>
      <c r="C744" s="8" t="str">
        <f>VLOOKUP($A744,Presupuesto!$A:$D,3,FALSE())</f>
        <v>M</v>
      </c>
      <c r="D744" s="9"/>
      <c r="E744" s="10">
        <f>VLOOKUP($A744,Presupuesto!$A:$D,4,FALSE())</f>
        <v>0</v>
      </c>
      <c r="F744" s="11" t="s">
        <v>2589</v>
      </c>
      <c r="G744" s="12">
        <f>SUM(G746:G762)/2</f>
        <v>55538.528848565111</v>
      </c>
      <c r="H744" s="13">
        <f>ROUND(SUM(H746:H762),0)/2</f>
        <v>0</v>
      </c>
      <c r="I744" s="10">
        <f>VLOOKUP(A744,Presupuesto!$A:$F,6,0)</f>
        <v>0</v>
      </c>
      <c r="J744" s="10">
        <f>+H744-I744</f>
        <v>0</v>
      </c>
      <c r="K744" s="46">
        <f>+H744-G744*E744</f>
        <v>0</v>
      </c>
    </row>
    <row r="745" spans="1:11" ht="12.75" customHeight="1" thickTop="1">
      <c r="A745" s="14"/>
      <c r="B745" s="15" t="s">
        <v>2586</v>
      </c>
      <c r="C745" s="15" t="s">
        <v>5</v>
      </c>
      <c r="D745" s="16" t="s">
        <v>6</v>
      </c>
      <c r="E745" s="17" t="s">
        <v>7</v>
      </c>
      <c r="F745" s="18" t="s">
        <v>3728</v>
      </c>
      <c r="G745" s="19" t="s">
        <v>3729</v>
      </c>
      <c r="H745" s="20" t="s">
        <v>3797</v>
      </c>
    </row>
    <row r="746" spans="1:11" ht="12.75" customHeight="1">
      <c r="A746" s="21"/>
      <c r="B746" s="22" t="s">
        <v>3730</v>
      </c>
      <c r="C746" s="23"/>
      <c r="D746" s="24"/>
      <c r="E746" s="25"/>
      <c r="F746" s="26"/>
      <c r="G746" s="27">
        <f>SUM(G747:G751)</f>
        <v>39884.974547830112</v>
      </c>
      <c r="H746" s="27">
        <f>IFERROR(G746*E744,"")</f>
        <v>0</v>
      </c>
    </row>
    <row r="747" spans="1:11" ht="12.75" customHeight="1">
      <c r="A747" s="28"/>
      <c r="B747" s="29" t="s">
        <v>3058</v>
      </c>
      <c r="C747" s="30" t="str">
        <f>IFERROR(_xlfn.XLOOKUP(B747,Insumo[DESCRIPCION],Insumo[UND],,0),"")</f>
        <v>Un</v>
      </c>
      <c r="D747" s="31">
        <v>2.5</v>
      </c>
      <c r="E747" s="32">
        <f>IFERROR(_xlfn.XLOOKUP($B747,Insumo[DESCRIPCION],Insumo[VALOR],,0),"")</f>
        <v>11025</v>
      </c>
      <c r="F747" s="33">
        <v>5</v>
      </c>
      <c r="G747" s="34">
        <f>IFERROR(IF(F747&gt;=0,D747*E747*(1+F747/100),ABS(D747*E747/F747)),"")</f>
        <v>28940.625</v>
      </c>
      <c r="H747" s="43">
        <f>IFERROR(G747*E744,"")</f>
        <v>0</v>
      </c>
    </row>
    <row r="748" spans="1:11" ht="12.75" customHeight="1">
      <c r="A748" s="28"/>
      <c r="B748" s="29" t="s">
        <v>3239</v>
      </c>
      <c r="C748" s="30" t="str">
        <f>IFERROR(_xlfn.XLOOKUP(B748,Insumo[DESCRIPCION],Insumo[UND],,0),"")</f>
        <v>M3</v>
      </c>
      <c r="D748" s="31">
        <v>2.1000000000000001E-2</v>
      </c>
      <c r="E748" s="32">
        <f>IFERROR(_xlfn.XLOOKUP($B748,Insumo[DESCRIPCION],Insumo[VALOR],,0),"")</f>
        <v>521159.50227762427</v>
      </c>
      <c r="F748" s="33"/>
      <c r="G748" s="34">
        <f>IFERROR(IF(F748&gt;=0,D748*E748*(1+F748/100),ABS(D748*E748/F748)),"")</f>
        <v>10944.34954783011</v>
      </c>
      <c r="H748" s="43">
        <f>IFERROR(G748*E744,"")</f>
        <v>0</v>
      </c>
    </row>
    <row r="749" spans="1:11" ht="12.75" customHeight="1">
      <c r="A749" s="28"/>
      <c r="B749" s="29"/>
      <c r="C749" s="30" t="str">
        <f>IFERROR(_xlfn.XLOOKUP(B749,Insumo[DESCRIPCION],Insumo[UND],,0),"")</f>
        <v/>
      </c>
      <c r="D749" s="31"/>
      <c r="E749" s="32" t="str">
        <f>IFERROR(_xlfn.XLOOKUP($B749,Insumo[DESCRIPCION],Insumo[VALOR],,0),"")</f>
        <v/>
      </c>
      <c r="F749" s="33"/>
      <c r="G749" s="34" t="str">
        <f>IFERROR(IF(F749&gt;=0,D749*E749*(1+F749/100),ABS(D749*E749/F749)),"")</f>
        <v/>
      </c>
      <c r="H749" s="43" t="str">
        <f>IFERROR(G749*E744,"")</f>
        <v/>
      </c>
    </row>
    <row r="750" spans="1:11" ht="12.75" customHeight="1">
      <c r="A750" s="28"/>
      <c r="B750" s="29"/>
      <c r="C750" s="30" t="str">
        <f>IFERROR(_xlfn.XLOOKUP(B750,Insumo[DESCRIPCION],Insumo[UND],,0),"")</f>
        <v/>
      </c>
      <c r="D750" s="31"/>
      <c r="E750" s="32" t="str">
        <f>IFERROR(_xlfn.XLOOKUP($B750,Insumo[DESCRIPCION],Insumo[VALOR],,0),"")</f>
        <v/>
      </c>
      <c r="F750" s="33"/>
      <c r="G750" s="34" t="str">
        <f>IFERROR(IF(F750&gt;=0,D750*E750*(1+F750/100),ABS(D750*E750/F750)),"")</f>
        <v/>
      </c>
      <c r="H750" s="43" t="str">
        <f>IFERROR(G750*E744,"")</f>
        <v/>
      </c>
    </row>
    <row r="751" spans="1:11" ht="12.75" customHeight="1">
      <c r="A751" s="28"/>
      <c r="B751" s="29"/>
      <c r="C751" s="30" t="str">
        <f>IFERROR(_xlfn.XLOOKUP(B751,Insumo[DESCRIPCION],Insumo[UND],,0),"")</f>
        <v/>
      </c>
      <c r="D751" s="31"/>
      <c r="E751" s="32" t="str">
        <f>IFERROR(_xlfn.XLOOKUP($B751,Insumo[DESCRIPCION],Insumo[VALOR],,0),"")</f>
        <v/>
      </c>
      <c r="F751" s="33"/>
      <c r="G751" s="34" t="str">
        <f>IFERROR(IF(F751&gt;=0,D751*E751*(1+F751/100),ABS(D751*E751/F751)),"")</f>
        <v/>
      </c>
      <c r="H751" s="43" t="str">
        <f>IFERROR(G751*E744,"")</f>
        <v/>
      </c>
    </row>
    <row r="752" spans="1:11" ht="12.75" customHeight="1">
      <c r="A752" s="21"/>
      <c r="B752" s="22" t="s">
        <v>3731</v>
      </c>
      <c r="C752" s="23"/>
      <c r="D752" s="24"/>
      <c r="E752" s="25"/>
      <c r="F752" s="26"/>
      <c r="G752" s="27">
        <f>SUM(G753:G755)</f>
        <v>1292.4953092350001</v>
      </c>
      <c r="H752" s="44">
        <f>G752*E744</f>
        <v>0</v>
      </c>
    </row>
    <row r="753" spans="1:11" ht="12.75" customHeight="1">
      <c r="A753" s="28"/>
      <c r="B753" s="29" t="s">
        <v>3570</v>
      </c>
      <c r="C753" s="30" t="str">
        <f>IFERROR(_xlfn.XLOOKUP(B753,Equipo[DESCRIPCION],Equipo[UND],,0),"")</f>
        <v>%MO</v>
      </c>
      <c r="D753" s="31">
        <v>0.04</v>
      </c>
      <c r="E753" s="32">
        <f>IF(C753="%MO",G759,IFERROR(_xlfn.XLOOKUP($B753,Equipo[DESCRIPCION],Equipo[VALOR],,0),""))</f>
        <v>14361.058991500002</v>
      </c>
      <c r="F753" s="33"/>
      <c r="G753" s="34">
        <f>IFERROR(IF(F753&gt;=0,D753*E753*(1+F753/100),ABS(D753*E753/F753)),"")</f>
        <v>574.44235966000008</v>
      </c>
      <c r="H753" s="43">
        <f>IFERROR(G753*E744,"")</f>
        <v>0</v>
      </c>
    </row>
    <row r="754" spans="1:11" ht="12.75" customHeight="1">
      <c r="A754" s="28"/>
      <c r="B754" s="29" t="s">
        <v>3626</v>
      </c>
      <c r="C754" s="30" t="str">
        <f>IFERROR(_xlfn.XLOOKUP(B754,Equipo[DESCRIPCION],Equipo[UND],,0),"")</f>
        <v>%MO</v>
      </c>
      <c r="D754" s="31">
        <v>0.05</v>
      </c>
      <c r="E754" s="32">
        <f>IF(C754="%MO",G759,IFERROR(_xlfn.XLOOKUP($B754,Equipo[DESCRIPCION],Equipo[VALOR],,0),""))</f>
        <v>14361.058991500002</v>
      </c>
      <c r="F754" s="33"/>
      <c r="G754" s="34">
        <f>IFERROR(IF(F754&gt;=0,D754*E754*(1+F754/100),ABS(D754*E754/F754)),"")</f>
        <v>718.05294957500018</v>
      </c>
      <c r="H754" s="43">
        <f>IFERROR(G754*E744,"")</f>
        <v>0</v>
      </c>
    </row>
    <row r="755" spans="1:11" ht="12.75" customHeight="1">
      <c r="A755" s="28"/>
      <c r="B755" s="29"/>
      <c r="C755" s="30" t="str">
        <f>IFERROR(_xlfn.XLOOKUP(B755,Equipo[DESCRIPCION],Equipo[UND],,0),"")</f>
        <v/>
      </c>
      <c r="D755" s="31"/>
      <c r="E755" s="32" t="str">
        <f>IF(C755="%MO",G759,IFERROR(_xlfn.XLOOKUP($B755,Equipo[DESCRIPCION],Equipo[VALOR],,0),""))</f>
        <v/>
      </c>
      <c r="F755" s="33"/>
      <c r="G755" s="34" t="str">
        <f>IFERROR(IF(F755&gt;=0,D755*E755*(1+F755/100),ABS(D755*E755/F755)),"")</f>
        <v/>
      </c>
      <c r="H755" s="43" t="str">
        <f>IFERROR(G755*E744,"")</f>
        <v/>
      </c>
    </row>
    <row r="756" spans="1:11" ht="12.75" customHeight="1">
      <c r="A756" s="21"/>
      <c r="B756" s="22" t="s">
        <v>2533</v>
      </c>
      <c r="C756" s="23"/>
      <c r="D756" s="24"/>
      <c r="E756" s="25"/>
      <c r="F756" s="26"/>
      <c r="G756" s="27">
        <f>SUM(G757:G758)</f>
        <v>0</v>
      </c>
      <c r="H756" s="44">
        <f>G756*E744</f>
        <v>0</v>
      </c>
    </row>
    <row r="757" spans="1:11" ht="12.75" customHeight="1">
      <c r="A757" s="28"/>
      <c r="B757" s="29"/>
      <c r="C757" s="30" t="str">
        <f>IFERROR(_xlfn.XLOOKUP(B757,Transporte[DESCRIPCION],Transporte[UND],,0),"")</f>
        <v/>
      </c>
      <c r="D757" s="31"/>
      <c r="E757" s="32" t="str">
        <f>IFERROR(_xlfn.XLOOKUP($B757,Transporte[DESCRIPCION],Transporte[VALOR],,0),"")</f>
        <v/>
      </c>
      <c r="F757" s="33"/>
      <c r="G757" s="34" t="str">
        <f>IFERROR(IF(F757&gt;=0,D757*E757*(1+F757/100),ABS(D757*E757/F757)),"")</f>
        <v/>
      </c>
      <c r="H757" s="43" t="str">
        <f>IFERROR(G757*E744,"")</f>
        <v/>
      </c>
    </row>
    <row r="758" spans="1:11" ht="12.75" customHeight="1">
      <c r="A758" s="28"/>
      <c r="B758" s="29"/>
      <c r="C758" s="30" t="str">
        <f>IFERROR(_xlfn.XLOOKUP(B758,Transporte[DESCRIPCION],Transporte[UND],,0),"")</f>
        <v/>
      </c>
      <c r="D758" s="31"/>
      <c r="E758" s="32" t="str">
        <f>IFERROR(_xlfn.XLOOKUP($B758,Transporte[DESCRIPCION],Transporte[VALOR],,0),"")</f>
        <v/>
      </c>
      <c r="F758" s="33"/>
      <c r="G758" s="34" t="str">
        <f>IFERROR(IF(F758&gt;=0,D758*E758*(1+F758/100),ABS(D758*E758/F758)),"")</f>
        <v/>
      </c>
      <c r="H758" s="43" t="str">
        <f>IFERROR(G758*E744,"")</f>
        <v/>
      </c>
    </row>
    <row r="759" spans="1:11" ht="12.75" customHeight="1">
      <c r="A759" s="21"/>
      <c r="B759" s="22" t="s">
        <v>3732</v>
      </c>
      <c r="C759" s="23"/>
      <c r="D759" s="24"/>
      <c r="E759" s="25"/>
      <c r="F759" s="26"/>
      <c r="G759" s="27">
        <f>SUM(G760:G762)</f>
        <v>14361.058991500002</v>
      </c>
      <c r="H759" s="44">
        <f>G759*E744</f>
        <v>0</v>
      </c>
    </row>
    <row r="760" spans="1:11" ht="12.75" customHeight="1">
      <c r="A760" s="28"/>
      <c r="B760" s="29" t="s">
        <v>3711</v>
      </c>
      <c r="C760" s="30" t="str">
        <f>IFERROR(_xlfn.XLOOKUP(B760,MObra[DESCRIPCION],MObra[UN],,0),"")</f>
        <v>día</v>
      </c>
      <c r="D760" s="31">
        <v>1</v>
      </c>
      <c r="E760" s="32">
        <f>IFERROR(_xlfn.XLOOKUP($B760,MObra[DESCRIPCION],MObra[VALOR UNIT],,0),"")</f>
        <v>430831.76974500006</v>
      </c>
      <c r="F760" s="33">
        <v>-30</v>
      </c>
      <c r="G760" s="34">
        <f>IFERROR(IF(F760&gt;=0,D760*E760*(1+F760/100),ABS(D760*E760/F760)),"")</f>
        <v>14361.058991500002</v>
      </c>
      <c r="H760" s="43">
        <f>IFERROR(G760*E744,"")</f>
        <v>0</v>
      </c>
    </row>
    <row r="761" spans="1:11" ht="12.75" customHeight="1">
      <c r="A761" s="28"/>
      <c r="B761" s="29"/>
      <c r="C761" s="30" t="str">
        <f>IFERROR(_xlfn.XLOOKUP(B761,MObra[DESCRIPCION],MObra[UN],,0),"")</f>
        <v/>
      </c>
      <c r="D761" s="31"/>
      <c r="E761" s="32" t="str">
        <f>IFERROR(_xlfn.XLOOKUP($B761,MObra[DESCRIPCION],MObra[VALOR UNIT],,0),"")</f>
        <v/>
      </c>
      <c r="F761" s="33"/>
      <c r="G761" s="34" t="str">
        <f>IFERROR(IF(F761&gt;=0,D761*E761*(1+F761/100),ABS(D761*E761/F761)),"")</f>
        <v/>
      </c>
      <c r="H761" s="43" t="str">
        <f>IFERROR(G761*E744,"")</f>
        <v/>
      </c>
    </row>
    <row r="762" spans="1:11" ht="12.75" customHeight="1" thickBot="1">
      <c r="A762" s="35"/>
      <c r="B762" s="36"/>
      <c r="C762" s="37" t="str">
        <f>IFERROR(_xlfn.XLOOKUP(B762,MObra[DESCRIPCION],MObra[UN],,0),"")</f>
        <v/>
      </c>
      <c r="D762" s="38"/>
      <c r="E762" s="39" t="str">
        <f>IFERROR(_xlfn.XLOOKUP($B762,MObra[DESCRIPCION],MObra[VALOR UNIT],,0),"")</f>
        <v/>
      </c>
      <c r="F762" s="40"/>
      <c r="G762" s="41" t="str">
        <f>IFERROR(IF(F762&gt;=0,D762*E762*(1+F762/100),ABS(D762*E762/F762)),"")</f>
        <v/>
      </c>
      <c r="H762" s="42" t="str">
        <f>IFERROR(G762*E744,"")</f>
        <v/>
      </c>
    </row>
    <row r="763" spans="1:11" ht="12.75" customHeight="1" thickTop="1" thickBot="1"/>
    <row r="764" spans="1:11" ht="12.75" customHeight="1" thickTop="1" thickBot="1">
      <c r="A764" s="6" t="s">
        <v>2505</v>
      </c>
      <c r="B764" s="7" t="str">
        <f>VLOOKUP($A764,Presupuesto!$A:$D,2,FALSE())</f>
        <v>Señales podo táctiles (losetas línea alerta)</v>
      </c>
      <c r="C764" s="8" t="str">
        <f>VLOOKUP($A764,Presupuesto!$A:$D,3,FALSE())</f>
        <v>M</v>
      </c>
      <c r="D764" s="9"/>
      <c r="E764" s="10">
        <f>VLOOKUP($A764,Presupuesto!$A:$D,4,FALSE())</f>
        <v>0</v>
      </c>
      <c r="F764" s="11" t="s">
        <v>2589</v>
      </c>
      <c r="G764" s="12">
        <f>SUM(G766:G782)/2</f>
        <v>56916.653848565111</v>
      </c>
      <c r="H764" s="13">
        <f>ROUND(SUM(H766:H782),0)/2</f>
        <v>0</v>
      </c>
      <c r="I764" s="10">
        <f>VLOOKUP(A764,Presupuesto!$A:$F,6,0)</f>
        <v>0</v>
      </c>
      <c r="J764" s="10">
        <f>+H764-I764</f>
        <v>0</v>
      </c>
      <c r="K764" s="46">
        <f>+H764-G764*E764</f>
        <v>0</v>
      </c>
    </row>
    <row r="765" spans="1:11" ht="12.75" customHeight="1" thickTop="1">
      <c r="A765" s="14"/>
      <c r="B765" s="15" t="s">
        <v>2586</v>
      </c>
      <c r="C765" s="15" t="s">
        <v>5</v>
      </c>
      <c r="D765" s="16" t="s">
        <v>6</v>
      </c>
      <c r="E765" s="17" t="s">
        <v>7</v>
      </c>
      <c r="F765" s="18" t="s">
        <v>3728</v>
      </c>
      <c r="G765" s="19" t="s">
        <v>3729</v>
      </c>
      <c r="H765" s="20" t="s">
        <v>3797</v>
      </c>
    </row>
    <row r="766" spans="1:11" ht="12.75" customHeight="1">
      <c r="A766" s="21"/>
      <c r="B766" s="22" t="s">
        <v>3730</v>
      </c>
      <c r="C766" s="23"/>
      <c r="D766" s="24"/>
      <c r="E766" s="25"/>
      <c r="F766" s="26"/>
      <c r="G766" s="27">
        <f>SUM(G767:G771)</f>
        <v>41263.099547830112</v>
      </c>
      <c r="H766" s="27">
        <f>IFERROR(G766*E764,"")</f>
        <v>0</v>
      </c>
    </row>
    <row r="767" spans="1:11" ht="12.75" customHeight="1">
      <c r="A767" s="28"/>
      <c r="B767" s="29" t="s">
        <v>3059</v>
      </c>
      <c r="C767" s="30" t="str">
        <f>IFERROR(_xlfn.XLOOKUP(B767,Insumo[DESCRIPCION],Insumo[UND],,0),"")</f>
        <v>Un</v>
      </c>
      <c r="D767" s="31">
        <v>2.5</v>
      </c>
      <c r="E767" s="32">
        <f>IFERROR(_xlfn.XLOOKUP($B767,Insumo[DESCRIPCION],Insumo[VALOR],,0),"")</f>
        <v>11550</v>
      </c>
      <c r="F767" s="33">
        <v>5</v>
      </c>
      <c r="G767" s="34">
        <f>IFERROR(IF(F767&gt;=0,D767*E767*(1+F767/100),ABS(D767*E767/F767)),"")</f>
        <v>30318.75</v>
      </c>
      <c r="H767" s="43">
        <f>IFERROR(G767*E764,"")</f>
        <v>0</v>
      </c>
    </row>
    <row r="768" spans="1:11" ht="12.75" customHeight="1">
      <c r="A768" s="28"/>
      <c r="B768" s="29" t="s">
        <v>3239</v>
      </c>
      <c r="C768" s="30" t="str">
        <f>IFERROR(_xlfn.XLOOKUP(B768,Insumo[DESCRIPCION],Insumo[UND],,0),"")</f>
        <v>M3</v>
      </c>
      <c r="D768" s="31">
        <v>2.1000000000000001E-2</v>
      </c>
      <c r="E768" s="32">
        <f>IFERROR(_xlfn.XLOOKUP($B768,Insumo[DESCRIPCION],Insumo[VALOR],,0),"")</f>
        <v>521159.50227762427</v>
      </c>
      <c r="F768" s="33"/>
      <c r="G768" s="34">
        <f>IFERROR(IF(F768&gt;=0,D768*E768*(1+F768/100),ABS(D768*E768/F768)),"")</f>
        <v>10944.34954783011</v>
      </c>
      <c r="H768" s="43">
        <f>IFERROR(G768*E764,"")</f>
        <v>0</v>
      </c>
    </row>
    <row r="769" spans="1:11" ht="12.75" customHeight="1">
      <c r="A769" s="28"/>
      <c r="B769" s="29"/>
      <c r="C769" s="30" t="str">
        <f>IFERROR(_xlfn.XLOOKUP(B769,Insumo[DESCRIPCION],Insumo[UND],,0),"")</f>
        <v/>
      </c>
      <c r="D769" s="31"/>
      <c r="E769" s="32" t="str">
        <f>IFERROR(_xlfn.XLOOKUP($B769,Insumo[DESCRIPCION],Insumo[VALOR],,0),"")</f>
        <v/>
      </c>
      <c r="F769" s="33"/>
      <c r="G769" s="34" t="str">
        <f>IFERROR(IF(F769&gt;=0,D769*E769*(1+F769/100),ABS(D769*E769/F769)),"")</f>
        <v/>
      </c>
      <c r="H769" s="43" t="str">
        <f>IFERROR(G769*E764,"")</f>
        <v/>
      </c>
    </row>
    <row r="770" spans="1:11" ht="12.75" customHeight="1">
      <c r="A770" s="28"/>
      <c r="B770" s="29"/>
      <c r="C770" s="30" t="str">
        <f>IFERROR(_xlfn.XLOOKUP(B770,Insumo[DESCRIPCION],Insumo[UND],,0),"")</f>
        <v/>
      </c>
      <c r="D770" s="31"/>
      <c r="E770" s="32" t="str">
        <f>IFERROR(_xlfn.XLOOKUP($B770,Insumo[DESCRIPCION],Insumo[VALOR],,0),"")</f>
        <v/>
      </c>
      <c r="F770" s="33"/>
      <c r="G770" s="34" t="str">
        <f>IFERROR(IF(F770&gt;=0,D770*E770*(1+F770/100),ABS(D770*E770/F770)),"")</f>
        <v/>
      </c>
      <c r="H770" s="43" t="str">
        <f>IFERROR(G770*E764,"")</f>
        <v/>
      </c>
    </row>
    <row r="771" spans="1:11" ht="12.75" customHeight="1">
      <c r="A771" s="28"/>
      <c r="B771" s="29"/>
      <c r="C771" s="30" t="str">
        <f>IFERROR(_xlfn.XLOOKUP(B771,Insumo[DESCRIPCION],Insumo[UND],,0),"")</f>
        <v/>
      </c>
      <c r="D771" s="31"/>
      <c r="E771" s="32" t="str">
        <f>IFERROR(_xlfn.XLOOKUP($B771,Insumo[DESCRIPCION],Insumo[VALOR],,0),"")</f>
        <v/>
      </c>
      <c r="F771" s="33"/>
      <c r="G771" s="34" t="str">
        <f>IFERROR(IF(F771&gt;=0,D771*E771*(1+F771/100),ABS(D771*E771/F771)),"")</f>
        <v/>
      </c>
      <c r="H771" s="43" t="str">
        <f>IFERROR(G771*E764,"")</f>
        <v/>
      </c>
    </row>
    <row r="772" spans="1:11" ht="12.75" customHeight="1">
      <c r="A772" s="21"/>
      <c r="B772" s="22" t="s">
        <v>3731</v>
      </c>
      <c r="C772" s="23"/>
      <c r="D772" s="24"/>
      <c r="E772" s="25"/>
      <c r="F772" s="26"/>
      <c r="G772" s="27">
        <f>SUM(G773:G775)</f>
        <v>1292.4953092350001</v>
      </c>
      <c r="H772" s="44">
        <f>G772*E764</f>
        <v>0</v>
      </c>
    </row>
    <row r="773" spans="1:11" ht="12.75" customHeight="1">
      <c r="A773" s="28"/>
      <c r="B773" s="29" t="s">
        <v>3570</v>
      </c>
      <c r="C773" s="30" t="str">
        <f>IFERROR(_xlfn.XLOOKUP(B773,Equipo[DESCRIPCION],Equipo[UND],,0),"")</f>
        <v>%MO</v>
      </c>
      <c r="D773" s="31">
        <v>0.04</v>
      </c>
      <c r="E773" s="32">
        <f>IF(C773="%MO",G779,IFERROR(_xlfn.XLOOKUP($B773,Equipo[DESCRIPCION],Equipo[VALOR],,0),""))</f>
        <v>14361.058991500002</v>
      </c>
      <c r="F773" s="33"/>
      <c r="G773" s="34">
        <f>IFERROR(IF(F773&gt;=0,D773*E773*(1+F773/100),ABS(D773*E773/F773)),"")</f>
        <v>574.44235966000008</v>
      </c>
      <c r="H773" s="43">
        <f>IFERROR(G773*E764,"")</f>
        <v>0</v>
      </c>
    </row>
    <row r="774" spans="1:11" ht="12.75" customHeight="1">
      <c r="A774" s="28"/>
      <c r="B774" s="29" t="s">
        <v>3626</v>
      </c>
      <c r="C774" s="30" t="str">
        <f>IFERROR(_xlfn.XLOOKUP(B774,Equipo[DESCRIPCION],Equipo[UND],,0),"")</f>
        <v>%MO</v>
      </c>
      <c r="D774" s="31">
        <v>0.05</v>
      </c>
      <c r="E774" s="32">
        <f>IF(C774="%MO",G779,IFERROR(_xlfn.XLOOKUP($B774,Equipo[DESCRIPCION],Equipo[VALOR],,0),""))</f>
        <v>14361.058991500002</v>
      </c>
      <c r="F774" s="33"/>
      <c r="G774" s="34">
        <f>IFERROR(IF(F774&gt;=0,D774*E774*(1+F774/100),ABS(D774*E774/F774)),"")</f>
        <v>718.05294957500018</v>
      </c>
      <c r="H774" s="43">
        <f>IFERROR(G774*E764,"")</f>
        <v>0</v>
      </c>
    </row>
    <row r="775" spans="1:11" ht="12.75" customHeight="1">
      <c r="A775" s="28"/>
      <c r="B775" s="29"/>
      <c r="C775" s="30" t="str">
        <f>IFERROR(_xlfn.XLOOKUP(B775,Equipo[DESCRIPCION],Equipo[UND],,0),"")</f>
        <v/>
      </c>
      <c r="D775" s="31"/>
      <c r="E775" s="32" t="str">
        <f>IF(C775="%MO",G779,IFERROR(_xlfn.XLOOKUP($B775,Equipo[DESCRIPCION],Equipo[VALOR],,0),""))</f>
        <v/>
      </c>
      <c r="F775" s="33"/>
      <c r="G775" s="34" t="str">
        <f>IFERROR(IF(F775&gt;=0,D775*E775*(1+F775/100),ABS(D775*E775/F775)),"")</f>
        <v/>
      </c>
      <c r="H775" s="43" t="str">
        <f>IFERROR(G775*E764,"")</f>
        <v/>
      </c>
    </row>
    <row r="776" spans="1:11" ht="12.75" customHeight="1">
      <c r="A776" s="21"/>
      <c r="B776" s="22" t="s">
        <v>2533</v>
      </c>
      <c r="C776" s="23"/>
      <c r="D776" s="24"/>
      <c r="E776" s="25"/>
      <c r="F776" s="26"/>
      <c r="G776" s="27">
        <f>SUM(G777:G778)</f>
        <v>0</v>
      </c>
      <c r="H776" s="44">
        <f>G776*E764</f>
        <v>0</v>
      </c>
    </row>
    <row r="777" spans="1:11" ht="12.75" customHeight="1">
      <c r="A777" s="28"/>
      <c r="B777" s="29"/>
      <c r="C777" s="30" t="str">
        <f>IFERROR(_xlfn.XLOOKUP(B777,Transporte[DESCRIPCION],Transporte[UND],,0),"")</f>
        <v/>
      </c>
      <c r="D777" s="31"/>
      <c r="E777" s="32" t="str">
        <f>IFERROR(_xlfn.XLOOKUP($B777,Transporte[DESCRIPCION],Transporte[VALOR],,0),"")</f>
        <v/>
      </c>
      <c r="F777" s="33"/>
      <c r="G777" s="34" t="str">
        <f>IFERROR(IF(F777&gt;=0,D777*E777*(1+F777/100),ABS(D777*E777/F777)),"")</f>
        <v/>
      </c>
      <c r="H777" s="43" t="str">
        <f>IFERROR(G777*E764,"")</f>
        <v/>
      </c>
    </row>
    <row r="778" spans="1:11" ht="12.75" customHeight="1">
      <c r="A778" s="28"/>
      <c r="B778" s="29"/>
      <c r="C778" s="30" t="str">
        <f>IFERROR(_xlfn.XLOOKUP(B778,Transporte[DESCRIPCION],Transporte[UND],,0),"")</f>
        <v/>
      </c>
      <c r="D778" s="31"/>
      <c r="E778" s="32" t="str">
        <f>IFERROR(_xlfn.XLOOKUP($B778,Transporte[DESCRIPCION],Transporte[VALOR],,0),"")</f>
        <v/>
      </c>
      <c r="F778" s="33"/>
      <c r="G778" s="34" t="str">
        <f>IFERROR(IF(F778&gt;=0,D778*E778*(1+F778/100),ABS(D778*E778/F778)),"")</f>
        <v/>
      </c>
      <c r="H778" s="43" t="str">
        <f>IFERROR(G778*E764,"")</f>
        <v/>
      </c>
    </row>
    <row r="779" spans="1:11" ht="12.75" customHeight="1">
      <c r="A779" s="21"/>
      <c r="B779" s="22" t="s">
        <v>3732</v>
      </c>
      <c r="C779" s="23"/>
      <c r="D779" s="24"/>
      <c r="E779" s="25"/>
      <c r="F779" s="26"/>
      <c r="G779" s="27">
        <f>SUM(G780:G782)</f>
        <v>14361.058991500002</v>
      </c>
      <c r="H779" s="44">
        <f>G779*E764</f>
        <v>0</v>
      </c>
    </row>
    <row r="780" spans="1:11" ht="12.75" customHeight="1">
      <c r="A780" s="28"/>
      <c r="B780" s="29" t="s">
        <v>3711</v>
      </c>
      <c r="C780" s="30" t="str">
        <f>IFERROR(_xlfn.XLOOKUP(B780,MObra[DESCRIPCION],MObra[UN],,0),"")</f>
        <v>día</v>
      </c>
      <c r="D780" s="31">
        <v>1</v>
      </c>
      <c r="E780" s="32">
        <f>IFERROR(_xlfn.XLOOKUP($B780,MObra[DESCRIPCION],MObra[VALOR UNIT],,0),"")</f>
        <v>430831.76974500006</v>
      </c>
      <c r="F780" s="33">
        <v>-30</v>
      </c>
      <c r="G780" s="34">
        <f>IFERROR(IF(F780&gt;=0,D780*E780*(1+F780/100),ABS(D780*E780/F780)),"")</f>
        <v>14361.058991500002</v>
      </c>
      <c r="H780" s="43">
        <f>IFERROR(G780*E764,"")</f>
        <v>0</v>
      </c>
    </row>
    <row r="781" spans="1:11" ht="12.75" customHeight="1">
      <c r="A781" s="28"/>
      <c r="B781" s="29"/>
      <c r="C781" s="30" t="str">
        <f>IFERROR(_xlfn.XLOOKUP(B781,MObra[DESCRIPCION],MObra[UN],,0),"")</f>
        <v/>
      </c>
      <c r="D781" s="31"/>
      <c r="E781" s="32" t="str">
        <f>IFERROR(_xlfn.XLOOKUP($B781,MObra[DESCRIPCION],MObra[VALOR UNIT],,0),"")</f>
        <v/>
      </c>
      <c r="F781" s="33"/>
      <c r="G781" s="34" t="str">
        <f>IFERROR(IF(F781&gt;=0,D781*E781*(1+F781/100),ABS(D781*E781/F781)),"")</f>
        <v/>
      </c>
      <c r="H781" s="43" t="str">
        <f>IFERROR(G781*E764,"")</f>
        <v/>
      </c>
    </row>
    <row r="782" spans="1:11" ht="12.75" customHeight="1" thickBot="1">
      <c r="A782" s="35"/>
      <c r="B782" s="36"/>
      <c r="C782" s="37" t="str">
        <f>IFERROR(_xlfn.XLOOKUP(B782,MObra[DESCRIPCION],MObra[UN],,0),"")</f>
        <v/>
      </c>
      <c r="D782" s="38"/>
      <c r="E782" s="39" t="str">
        <f>IFERROR(_xlfn.XLOOKUP($B782,MObra[DESCRIPCION],MObra[VALOR UNIT],,0),"")</f>
        <v/>
      </c>
      <c r="F782" s="40"/>
      <c r="G782" s="41" t="str">
        <f>IFERROR(IF(F782&gt;=0,D782*E782*(1+F782/100),ABS(D782*E782/F782)),"")</f>
        <v/>
      </c>
      <c r="H782" s="42" t="str">
        <f>IFERROR(G782*E764,"")</f>
        <v/>
      </c>
    </row>
    <row r="783" spans="1:11" ht="12.75" customHeight="1" thickTop="1" thickBot="1"/>
    <row r="784" spans="1:11" ht="12.75" customHeight="1" thickTop="1" thickBot="1">
      <c r="A784" s="6" t="s">
        <v>2507</v>
      </c>
      <c r="B784" s="7" t="str">
        <f>VLOOKUP($A784,Presupuesto!$A:$D,2,FALSE())</f>
        <v>Sardinel curvo prefabricado tipo A10</v>
      </c>
      <c r="C784" s="8" t="str">
        <f>VLOOKUP($A784,Presupuesto!$A:$D,3,FALSE())</f>
        <v>M</v>
      </c>
      <c r="D784" s="9"/>
      <c r="E784" s="10">
        <f>VLOOKUP($A784,Presupuesto!$A:$D,4,FALSE())</f>
        <v>0</v>
      </c>
      <c r="F784" s="11" t="s">
        <v>2589</v>
      </c>
      <c r="G784" s="12">
        <f>SUM(G786:G802)/2</f>
        <v>127762.67172994124</v>
      </c>
      <c r="H784" s="13">
        <f>ROUND(SUM(H786:H802),0)/2</f>
        <v>0</v>
      </c>
      <c r="I784" s="10">
        <f>VLOOKUP(A784,Presupuesto!$A:$F,6,0)</f>
        <v>0</v>
      </c>
      <c r="J784" s="10">
        <f>+H784-I784</f>
        <v>0</v>
      </c>
      <c r="K784" s="46">
        <f>+H784-G784*E784</f>
        <v>0</v>
      </c>
    </row>
    <row r="785" spans="1:8" ht="12.75" customHeight="1" thickTop="1">
      <c r="A785" s="14"/>
      <c r="B785" s="15" t="s">
        <v>2586</v>
      </c>
      <c r="C785" s="15" t="s">
        <v>5</v>
      </c>
      <c r="D785" s="16" t="s">
        <v>6</v>
      </c>
      <c r="E785" s="17" t="s">
        <v>7</v>
      </c>
      <c r="F785" s="18" t="s">
        <v>3728</v>
      </c>
      <c r="G785" s="19" t="s">
        <v>3729</v>
      </c>
      <c r="H785" s="20" t="s">
        <v>3797</v>
      </c>
    </row>
    <row r="786" spans="1:8" ht="12.75" customHeight="1">
      <c r="A786" s="21"/>
      <c r="B786" s="22" t="s">
        <v>3730</v>
      </c>
      <c r="C786" s="23"/>
      <c r="D786" s="24"/>
      <c r="E786" s="25"/>
      <c r="F786" s="26"/>
      <c r="G786" s="27">
        <f>SUM(G787:G791)</f>
        <v>105144.00381832873</v>
      </c>
      <c r="H786" s="27">
        <f>IFERROR(G786*E784,"")</f>
        <v>0</v>
      </c>
    </row>
    <row r="787" spans="1:8" ht="12.75" customHeight="1">
      <c r="A787" s="28"/>
      <c r="B787" s="29" t="s">
        <v>3281</v>
      </c>
      <c r="C787" s="30" t="str">
        <f>IFERROR(_xlfn.XLOOKUP(B787,Insumo[DESCRIPCION],Insumo[UND],,0),"")</f>
        <v>Un</v>
      </c>
      <c r="D787" s="31">
        <f>1/0.8</f>
        <v>1.25</v>
      </c>
      <c r="E787" s="32">
        <f>IFERROR(_xlfn.XLOOKUP($B787,Insumo[DESCRIPCION],Insumo[VALOR],,0),"")</f>
        <v>68197.5</v>
      </c>
      <c r="F787" s="33">
        <v>5</v>
      </c>
      <c r="G787" s="34">
        <f>IFERROR(IF(F787&gt;=0,D787*E787*(1+F787/100),ABS(D787*E787/F787)),"")</f>
        <v>89509.21875</v>
      </c>
      <c r="H787" s="43">
        <f>IFERROR(G787*E784,"")</f>
        <v>0</v>
      </c>
    </row>
    <row r="788" spans="1:8" ht="12.75" customHeight="1">
      <c r="A788" s="28"/>
      <c r="B788" s="29" t="s">
        <v>3239</v>
      </c>
      <c r="C788" s="30" t="str">
        <f>IFERROR(_xlfn.XLOOKUP(B788,Insumo[DESCRIPCION],Insumo[UND],,0),"")</f>
        <v>M3</v>
      </c>
      <c r="D788" s="31">
        <v>0.03</v>
      </c>
      <c r="E788" s="32">
        <f>IFERROR(_xlfn.XLOOKUP($B788,Insumo[DESCRIPCION],Insumo[VALOR],,0),"")</f>
        <v>521159.50227762427</v>
      </c>
      <c r="F788" s="33"/>
      <c r="G788" s="34">
        <f>IFERROR(IF(F788&gt;=0,D788*E788*(1+F788/100),ABS(D788*E788/F788)),"")</f>
        <v>15634.785068328727</v>
      </c>
      <c r="H788" s="43">
        <f>IFERROR(G788*E784,"")</f>
        <v>0</v>
      </c>
    </row>
    <row r="789" spans="1:8" ht="12.75" customHeight="1">
      <c r="A789" s="28"/>
      <c r="B789" s="29"/>
      <c r="C789" s="30" t="str">
        <f>IFERROR(_xlfn.XLOOKUP(B789,Insumo[DESCRIPCION],Insumo[UND],,0),"")</f>
        <v/>
      </c>
      <c r="D789" s="31"/>
      <c r="E789" s="32" t="str">
        <f>IFERROR(_xlfn.XLOOKUP($B789,Insumo[DESCRIPCION],Insumo[VALOR],,0),"")</f>
        <v/>
      </c>
      <c r="F789" s="33"/>
      <c r="G789" s="34" t="str">
        <f>IFERROR(IF(F789&gt;=0,D789*E789*(1+F789/100),ABS(D789*E789/F789)),"")</f>
        <v/>
      </c>
      <c r="H789" s="43" t="str">
        <f>IFERROR(G789*E784,"")</f>
        <v/>
      </c>
    </row>
    <row r="790" spans="1:8" ht="12.75" customHeight="1">
      <c r="A790" s="28"/>
      <c r="B790" s="29"/>
      <c r="C790" s="30" t="str">
        <f>IFERROR(_xlfn.XLOOKUP(B790,Insumo[DESCRIPCION],Insumo[UND],,0),"")</f>
        <v/>
      </c>
      <c r="D790" s="31"/>
      <c r="E790" s="32" t="str">
        <f>IFERROR(_xlfn.XLOOKUP($B790,Insumo[DESCRIPCION],Insumo[VALOR],,0),"")</f>
        <v/>
      </c>
      <c r="F790" s="33"/>
      <c r="G790" s="34" t="str">
        <f>IFERROR(IF(F790&gt;=0,D790*E790*(1+F790/100),ABS(D790*E790/F790)),"")</f>
        <v/>
      </c>
      <c r="H790" s="43" t="str">
        <f>IFERROR(G790*E784,"")</f>
        <v/>
      </c>
    </row>
    <row r="791" spans="1:8" ht="12.75" customHeight="1">
      <c r="A791" s="28"/>
      <c r="B791" s="29"/>
      <c r="C791" s="30" t="str">
        <f>IFERROR(_xlfn.XLOOKUP(B791,Insumo[DESCRIPCION],Insumo[UND],,0),"")</f>
        <v/>
      </c>
      <c r="D791" s="31"/>
      <c r="E791" s="32" t="str">
        <f>IFERROR(_xlfn.XLOOKUP($B791,Insumo[DESCRIPCION],Insumo[VALOR],,0),"")</f>
        <v/>
      </c>
      <c r="F791" s="33"/>
      <c r="G791" s="34" t="str">
        <f>IFERROR(IF(F791&gt;=0,D791*E791*(1+F791/100),ABS(D791*E791/F791)),"")</f>
        <v/>
      </c>
      <c r="H791" s="43" t="str">
        <f>IFERROR(G791*E784,"")</f>
        <v/>
      </c>
    </row>
    <row r="792" spans="1:8" ht="12.75" customHeight="1">
      <c r="A792" s="21"/>
      <c r="B792" s="22" t="s">
        <v>3731</v>
      </c>
      <c r="C792" s="23"/>
      <c r="D792" s="24"/>
      <c r="E792" s="25"/>
      <c r="F792" s="26"/>
      <c r="G792" s="27">
        <f>SUM(G793:G795)</f>
        <v>1077.0794243625003</v>
      </c>
      <c r="H792" s="44">
        <f>G792*E784</f>
        <v>0</v>
      </c>
    </row>
    <row r="793" spans="1:8" ht="12.75" customHeight="1">
      <c r="A793" s="28"/>
      <c r="B793" s="29" t="s">
        <v>3626</v>
      </c>
      <c r="C793" s="30" t="str">
        <f>IFERROR(_xlfn.XLOOKUP(B793,Equipo[DESCRIPCION],Equipo[UND],,0),"")</f>
        <v>%MO</v>
      </c>
      <c r="D793" s="31">
        <v>0.05</v>
      </c>
      <c r="E793" s="32">
        <f>IF(C793="%MO",G799,IFERROR(_xlfn.XLOOKUP($B793,Equipo[DESCRIPCION],Equipo[VALOR],,0),""))</f>
        <v>21541.588487250003</v>
      </c>
      <c r="F793" s="33"/>
      <c r="G793" s="34">
        <f>IFERROR(IF(F793&gt;=0,D793*E793*(1+F793/100),ABS(D793*E793/F793)),"")</f>
        <v>1077.0794243625003</v>
      </c>
      <c r="H793" s="43">
        <f>IFERROR(G793*E784,"")</f>
        <v>0</v>
      </c>
    </row>
    <row r="794" spans="1:8" ht="12.75" customHeight="1">
      <c r="A794" s="28"/>
      <c r="B794" s="29"/>
      <c r="C794" s="30" t="str">
        <f>IFERROR(_xlfn.XLOOKUP(B794,Equipo[DESCRIPCION],Equipo[UND],,0),"")</f>
        <v/>
      </c>
      <c r="D794" s="31"/>
      <c r="E794" s="32" t="str">
        <f>IF(C794="%MO",G799,IFERROR(_xlfn.XLOOKUP($B794,Equipo[DESCRIPCION],Equipo[VALOR],,0),""))</f>
        <v/>
      </c>
      <c r="F794" s="33"/>
      <c r="G794" s="34" t="str">
        <f>IFERROR(IF(F794&gt;=0,D794*E794*(1+F794/100),ABS(D794*E794/F794)),"")</f>
        <v/>
      </c>
      <c r="H794" s="43" t="str">
        <f>IFERROR(G794*E784,"")</f>
        <v/>
      </c>
    </row>
    <row r="795" spans="1:8" ht="12.75" customHeight="1">
      <c r="A795" s="28"/>
      <c r="B795" s="29"/>
      <c r="C795" s="30" t="str">
        <f>IFERROR(_xlfn.XLOOKUP(B795,Equipo[DESCRIPCION],Equipo[UND],,0),"")</f>
        <v/>
      </c>
      <c r="D795" s="31"/>
      <c r="E795" s="32" t="str">
        <f>IF(C795="%MO",G799,IFERROR(_xlfn.XLOOKUP($B795,Equipo[DESCRIPCION],Equipo[VALOR],,0),""))</f>
        <v/>
      </c>
      <c r="F795" s="33"/>
      <c r="G795" s="34" t="str">
        <f>IFERROR(IF(F795&gt;=0,D795*E795*(1+F795/100),ABS(D795*E795/F795)),"")</f>
        <v/>
      </c>
      <c r="H795" s="43" t="str">
        <f>IFERROR(G795*E784,"")</f>
        <v/>
      </c>
    </row>
    <row r="796" spans="1:8" ht="12.75" customHeight="1">
      <c r="A796" s="21"/>
      <c r="B796" s="22" t="s">
        <v>2533</v>
      </c>
      <c r="C796" s="23"/>
      <c r="D796" s="24"/>
      <c r="E796" s="25"/>
      <c r="F796" s="26"/>
      <c r="G796" s="27">
        <f>SUM(G797:G798)</f>
        <v>0</v>
      </c>
      <c r="H796" s="44">
        <f>G796*E784</f>
        <v>0</v>
      </c>
    </row>
    <row r="797" spans="1:8" ht="12.75" customHeight="1">
      <c r="A797" s="28"/>
      <c r="B797" s="29"/>
      <c r="C797" s="30" t="str">
        <f>IFERROR(_xlfn.XLOOKUP(B797,Transporte[DESCRIPCION],Transporte[UND],,0),"")</f>
        <v/>
      </c>
      <c r="D797" s="31"/>
      <c r="E797" s="32" t="str">
        <f>IFERROR(_xlfn.XLOOKUP($B797,Transporte[DESCRIPCION],Transporte[VALOR],,0),"")</f>
        <v/>
      </c>
      <c r="F797" s="33"/>
      <c r="G797" s="34" t="str">
        <f>IFERROR(IF(F797&gt;=0,D797*E797*(1+F797/100),ABS(D797*E797/F797)),"")</f>
        <v/>
      </c>
      <c r="H797" s="43" t="str">
        <f>IFERROR(G797*E784,"")</f>
        <v/>
      </c>
    </row>
    <row r="798" spans="1:8" ht="12.75" customHeight="1">
      <c r="A798" s="28"/>
      <c r="B798" s="29"/>
      <c r="C798" s="30" t="str">
        <f>IFERROR(_xlfn.XLOOKUP(B798,Transporte[DESCRIPCION],Transporte[UND],,0),"")</f>
        <v/>
      </c>
      <c r="D798" s="31"/>
      <c r="E798" s="32" t="str">
        <f>IFERROR(_xlfn.XLOOKUP($B798,Transporte[DESCRIPCION],Transporte[VALOR],,0),"")</f>
        <v/>
      </c>
      <c r="F798" s="33"/>
      <c r="G798" s="34" t="str">
        <f>IFERROR(IF(F798&gt;=0,D798*E798*(1+F798/100),ABS(D798*E798/F798)),"")</f>
        <v/>
      </c>
      <c r="H798" s="43" t="str">
        <f>IFERROR(G798*E784,"")</f>
        <v/>
      </c>
    </row>
    <row r="799" spans="1:8" ht="12.75" customHeight="1">
      <c r="A799" s="21"/>
      <c r="B799" s="22" t="s">
        <v>3732</v>
      </c>
      <c r="C799" s="23"/>
      <c r="D799" s="24"/>
      <c r="E799" s="25"/>
      <c r="F799" s="26"/>
      <c r="G799" s="27">
        <f>SUM(G800:G802)</f>
        <v>21541.588487250003</v>
      </c>
      <c r="H799" s="44">
        <f>G799*E784</f>
        <v>0</v>
      </c>
    </row>
    <row r="800" spans="1:8" ht="12.75" customHeight="1">
      <c r="A800" s="28"/>
      <c r="B800" s="29" t="s">
        <v>3711</v>
      </c>
      <c r="C800" s="30" t="str">
        <f>IFERROR(_xlfn.XLOOKUP(B800,MObra[DESCRIPCION],MObra[UN],,0),"")</f>
        <v>día</v>
      </c>
      <c r="D800" s="31">
        <v>1</v>
      </c>
      <c r="E800" s="32">
        <f>IFERROR(_xlfn.XLOOKUP($B800,MObra[DESCRIPCION],MObra[VALOR UNIT],,0),"")</f>
        <v>430831.76974500006</v>
      </c>
      <c r="F800" s="33">
        <v>-20</v>
      </c>
      <c r="G800" s="34">
        <f>IFERROR(IF(F800&gt;=0,D800*E800*(1+F800/100),ABS(D800*E800/F800)),"")</f>
        <v>21541.588487250003</v>
      </c>
      <c r="H800" s="43">
        <f>IFERROR(G800*E784,"")</f>
        <v>0</v>
      </c>
    </row>
    <row r="801" spans="1:11" ht="12.75" customHeight="1">
      <c r="A801" s="28"/>
      <c r="B801" s="29"/>
      <c r="C801" s="30" t="str">
        <f>IFERROR(_xlfn.XLOOKUP(B801,MObra[DESCRIPCION],MObra[UN],,0),"")</f>
        <v/>
      </c>
      <c r="D801" s="31"/>
      <c r="E801" s="32" t="str">
        <f>IFERROR(_xlfn.XLOOKUP($B801,MObra[DESCRIPCION],MObra[VALOR UNIT],,0),"")</f>
        <v/>
      </c>
      <c r="F801" s="33"/>
      <c r="G801" s="34" t="str">
        <f>IFERROR(IF(F801&gt;=0,D801*E801*(1+F801/100),ABS(D801*E801/F801)),"")</f>
        <v/>
      </c>
      <c r="H801" s="43" t="str">
        <f>IFERROR(G801*E784,"")</f>
        <v/>
      </c>
    </row>
    <row r="802" spans="1:11" ht="12.75" customHeight="1" thickBot="1">
      <c r="A802" s="35"/>
      <c r="B802" s="36"/>
      <c r="C802" s="37" t="str">
        <f>IFERROR(_xlfn.XLOOKUP(B802,MObra[DESCRIPCION],MObra[UN],,0),"")</f>
        <v/>
      </c>
      <c r="D802" s="38"/>
      <c r="E802" s="39" t="str">
        <f>IFERROR(_xlfn.XLOOKUP($B802,MObra[DESCRIPCION],MObra[VALOR UNIT],,0),"")</f>
        <v/>
      </c>
      <c r="F802" s="40"/>
      <c r="G802" s="41" t="str">
        <f>IFERROR(IF(F802&gt;=0,D802*E802*(1+F802/100),ABS(D802*E802/F802)),"")</f>
        <v/>
      </c>
      <c r="H802" s="42" t="str">
        <f>IFERROR(G802*E784,"")</f>
        <v/>
      </c>
    </row>
    <row r="803" spans="1:11" ht="12.75" customHeight="1" thickTop="1" thickBot="1"/>
    <row r="804" spans="1:11" ht="12.75" customHeight="1" thickTop="1" thickBot="1">
      <c r="A804" s="6" t="s">
        <v>2509</v>
      </c>
      <c r="B804" s="7" t="str">
        <f>VLOOKUP($A804,Presupuesto!$A:$D,2,FALSE())</f>
        <v>Sardinel prefabricado 80x45x15 cm</v>
      </c>
      <c r="C804" s="8" t="str">
        <f>VLOOKUP($A804,Presupuesto!$A:$D,3,FALSE())</f>
        <v>M</v>
      </c>
      <c r="D804" s="9"/>
      <c r="E804" s="10">
        <f>VLOOKUP($A804,Presupuesto!$A:$D,4,FALSE())</f>
        <v>0</v>
      </c>
      <c r="F804" s="11" t="s">
        <v>2589</v>
      </c>
      <c r="G804" s="12">
        <f>SUM(G806:G822)/2</f>
        <v>135222.46235494126</v>
      </c>
      <c r="H804" s="13">
        <f>ROUND(SUM(H806:H822),0)/2</f>
        <v>0</v>
      </c>
      <c r="I804" s="10">
        <f>VLOOKUP(A804,Presupuesto!$A:$F,6,0)</f>
        <v>0</v>
      </c>
      <c r="J804" s="10">
        <f>+H804-I804</f>
        <v>0</v>
      </c>
      <c r="K804" s="46">
        <f>+H804-G804*E804</f>
        <v>0</v>
      </c>
    </row>
    <row r="805" spans="1:11" ht="12.75" customHeight="1" thickTop="1">
      <c r="A805" s="14"/>
      <c r="B805" s="15" t="s">
        <v>2586</v>
      </c>
      <c r="C805" s="15" t="s">
        <v>5</v>
      </c>
      <c r="D805" s="16" t="s">
        <v>6</v>
      </c>
      <c r="E805" s="17" t="s">
        <v>7</v>
      </c>
      <c r="F805" s="18" t="s">
        <v>3728</v>
      </c>
      <c r="G805" s="19" t="s">
        <v>3729</v>
      </c>
      <c r="H805" s="20" t="s">
        <v>3797</v>
      </c>
    </row>
    <row r="806" spans="1:11" ht="12.75" customHeight="1">
      <c r="A806" s="21"/>
      <c r="B806" s="22" t="s">
        <v>3730</v>
      </c>
      <c r="C806" s="23"/>
      <c r="D806" s="24"/>
      <c r="E806" s="25"/>
      <c r="F806" s="26"/>
      <c r="G806" s="27">
        <f>SUM(G807:G811)</f>
        <v>112603.79444332875</v>
      </c>
      <c r="H806" s="27">
        <f>IFERROR(G806*E804,"")</f>
        <v>0</v>
      </c>
    </row>
    <row r="807" spans="1:11" ht="12.75" customHeight="1">
      <c r="A807" s="28"/>
      <c r="B807" s="29" t="s">
        <v>3280</v>
      </c>
      <c r="C807" s="30" t="str">
        <f>IFERROR(_xlfn.XLOOKUP(B807,Insumo[DESCRIPCION],Insumo[UND],,0),"")</f>
        <v>Un</v>
      </c>
      <c r="D807" s="31">
        <f>1/0.8</f>
        <v>1.25</v>
      </c>
      <c r="E807" s="32">
        <f>IFERROR(_xlfn.XLOOKUP($B807,Insumo[DESCRIPCION],Insumo[VALOR],,0),"")</f>
        <v>73881.150000000009</v>
      </c>
      <c r="F807" s="33">
        <v>5</v>
      </c>
      <c r="G807" s="34">
        <f>IFERROR(IF(F807&gt;=0,D807*E807*(1+F807/100),ABS(D807*E807/F807)),"")</f>
        <v>96969.009375000023</v>
      </c>
      <c r="H807" s="43">
        <f>IFERROR(G807*E804,"")</f>
        <v>0</v>
      </c>
    </row>
    <row r="808" spans="1:11" ht="12.75" customHeight="1">
      <c r="A808" s="28"/>
      <c r="B808" s="29" t="s">
        <v>3239</v>
      </c>
      <c r="C808" s="30" t="str">
        <f>IFERROR(_xlfn.XLOOKUP(B808,Insumo[DESCRIPCION],Insumo[UND],,0),"")</f>
        <v>M3</v>
      </c>
      <c r="D808" s="31">
        <v>0.03</v>
      </c>
      <c r="E808" s="32">
        <f>IFERROR(_xlfn.XLOOKUP($B808,Insumo[DESCRIPCION],Insumo[VALOR],,0),"")</f>
        <v>521159.50227762427</v>
      </c>
      <c r="F808" s="33"/>
      <c r="G808" s="34">
        <f>IFERROR(IF(F808&gt;=0,D808*E808*(1+F808/100),ABS(D808*E808/F808)),"")</f>
        <v>15634.785068328727</v>
      </c>
      <c r="H808" s="43">
        <f>IFERROR(G808*E804,"")</f>
        <v>0</v>
      </c>
    </row>
    <row r="809" spans="1:11" ht="12.75" customHeight="1">
      <c r="A809" s="28"/>
      <c r="B809" s="29"/>
      <c r="C809" s="30" t="str">
        <f>IFERROR(_xlfn.XLOOKUP(B809,Insumo[DESCRIPCION],Insumo[UND],,0),"")</f>
        <v/>
      </c>
      <c r="D809" s="31"/>
      <c r="E809" s="32" t="str">
        <f>IFERROR(_xlfn.XLOOKUP($B809,Insumo[DESCRIPCION],Insumo[VALOR],,0),"")</f>
        <v/>
      </c>
      <c r="F809" s="33"/>
      <c r="G809" s="34" t="str">
        <f>IFERROR(IF(F809&gt;=0,D809*E809*(1+F809/100),ABS(D809*E809/F809)),"")</f>
        <v/>
      </c>
      <c r="H809" s="43" t="str">
        <f>IFERROR(G809*E804,"")</f>
        <v/>
      </c>
    </row>
    <row r="810" spans="1:11" ht="12.75" customHeight="1">
      <c r="A810" s="28"/>
      <c r="B810" s="29"/>
      <c r="C810" s="30" t="str">
        <f>IFERROR(_xlfn.XLOOKUP(B810,Insumo[DESCRIPCION],Insumo[UND],,0),"")</f>
        <v/>
      </c>
      <c r="D810" s="31"/>
      <c r="E810" s="32" t="str">
        <f>IFERROR(_xlfn.XLOOKUP($B810,Insumo[DESCRIPCION],Insumo[VALOR],,0),"")</f>
        <v/>
      </c>
      <c r="F810" s="33"/>
      <c r="G810" s="34" t="str">
        <f>IFERROR(IF(F810&gt;=0,D810*E810*(1+F810/100),ABS(D810*E810/F810)),"")</f>
        <v/>
      </c>
      <c r="H810" s="43" t="str">
        <f>IFERROR(G810*E804,"")</f>
        <v/>
      </c>
    </row>
    <row r="811" spans="1:11" ht="12.75" customHeight="1">
      <c r="A811" s="28"/>
      <c r="B811" s="29"/>
      <c r="C811" s="30" t="str">
        <f>IFERROR(_xlfn.XLOOKUP(B811,Insumo[DESCRIPCION],Insumo[UND],,0),"")</f>
        <v/>
      </c>
      <c r="D811" s="31"/>
      <c r="E811" s="32" t="str">
        <f>IFERROR(_xlfn.XLOOKUP($B811,Insumo[DESCRIPCION],Insumo[VALOR],,0),"")</f>
        <v/>
      </c>
      <c r="F811" s="33"/>
      <c r="G811" s="34" t="str">
        <f>IFERROR(IF(F811&gt;=0,D811*E811*(1+F811/100),ABS(D811*E811/F811)),"")</f>
        <v/>
      </c>
      <c r="H811" s="43" t="str">
        <f>IFERROR(G811*E804,"")</f>
        <v/>
      </c>
    </row>
    <row r="812" spans="1:11" ht="12.75" customHeight="1">
      <c r="A812" s="21"/>
      <c r="B812" s="22" t="s">
        <v>3731</v>
      </c>
      <c r="C812" s="23"/>
      <c r="D812" s="24"/>
      <c r="E812" s="25"/>
      <c r="F812" s="26"/>
      <c r="G812" s="27">
        <f>SUM(G813:G815)</f>
        <v>1077.0794243625003</v>
      </c>
      <c r="H812" s="44">
        <f>G812*E804</f>
        <v>0</v>
      </c>
    </row>
    <row r="813" spans="1:11" ht="12.75" customHeight="1">
      <c r="A813" s="28"/>
      <c r="B813" s="29" t="s">
        <v>3626</v>
      </c>
      <c r="C813" s="30" t="str">
        <f>IFERROR(_xlfn.XLOOKUP(B813,Equipo[DESCRIPCION],Equipo[UND],,0),"")</f>
        <v>%MO</v>
      </c>
      <c r="D813" s="31">
        <v>0.05</v>
      </c>
      <c r="E813" s="32">
        <f>IF(C813="%MO",G819,IFERROR(_xlfn.XLOOKUP($B813,Equipo[DESCRIPCION],Equipo[VALOR],,0),""))</f>
        <v>21541.588487250003</v>
      </c>
      <c r="F813" s="33"/>
      <c r="G813" s="34">
        <f>IFERROR(IF(F813&gt;=0,D813*E813*(1+F813/100),ABS(D813*E813/F813)),"")</f>
        <v>1077.0794243625003</v>
      </c>
      <c r="H813" s="43">
        <f>IFERROR(G813*E804,"")</f>
        <v>0</v>
      </c>
    </row>
    <row r="814" spans="1:11" ht="12.75" customHeight="1">
      <c r="A814" s="28"/>
      <c r="B814" s="29"/>
      <c r="C814" s="30" t="str">
        <f>IFERROR(_xlfn.XLOOKUP(B814,Equipo[DESCRIPCION],Equipo[UND],,0),"")</f>
        <v/>
      </c>
      <c r="D814" s="31"/>
      <c r="E814" s="32" t="str">
        <f>IF(C814="%MO",G819,IFERROR(_xlfn.XLOOKUP($B814,Equipo[DESCRIPCION],Equipo[VALOR],,0),""))</f>
        <v/>
      </c>
      <c r="F814" s="33"/>
      <c r="G814" s="34" t="str">
        <f>IFERROR(IF(F814&gt;=0,D814*E814*(1+F814/100),ABS(D814*E814/F814)),"")</f>
        <v/>
      </c>
      <c r="H814" s="43" t="str">
        <f>IFERROR(G814*E804,"")</f>
        <v/>
      </c>
    </row>
    <row r="815" spans="1:11" ht="12.75" customHeight="1">
      <c r="A815" s="28"/>
      <c r="B815" s="29"/>
      <c r="C815" s="30" t="str">
        <f>IFERROR(_xlfn.XLOOKUP(B815,Equipo[DESCRIPCION],Equipo[UND],,0),"")</f>
        <v/>
      </c>
      <c r="D815" s="31"/>
      <c r="E815" s="32" t="str">
        <f>IF(C815="%MO",G819,IFERROR(_xlfn.XLOOKUP($B815,Equipo[DESCRIPCION],Equipo[VALOR],,0),""))</f>
        <v/>
      </c>
      <c r="F815" s="33"/>
      <c r="G815" s="34" t="str">
        <f>IFERROR(IF(F815&gt;=0,D815*E815*(1+F815/100),ABS(D815*E815/F815)),"")</f>
        <v/>
      </c>
      <c r="H815" s="43" t="str">
        <f>IFERROR(G815*E804,"")</f>
        <v/>
      </c>
    </row>
    <row r="816" spans="1:11" ht="12.75" customHeight="1">
      <c r="A816" s="21"/>
      <c r="B816" s="22" t="s">
        <v>2533</v>
      </c>
      <c r="C816" s="23"/>
      <c r="D816" s="24"/>
      <c r="E816" s="25"/>
      <c r="F816" s="26"/>
      <c r="G816" s="27">
        <f>SUM(G817:G818)</f>
        <v>0</v>
      </c>
      <c r="H816" s="44">
        <f>G816*E804</f>
        <v>0</v>
      </c>
    </row>
    <row r="817" spans="1:11" ht="12.75" customHeight="1">
      <c r="A817" s="28"/>
      <c r="B817" s="29"/>
      <c r="C817" s="30" t="str">
        <f>IFERROR(_xlfn.XLOOKUP(B817,Transporte[DESCRIPCION],Transporte[UND],,0),"")</f>
        <v/>
      </c>
      <c r="D817" s="31"/>
      <c r="E817" s="32" t="str">
        <f>IFERROR(_xlfn.XLOOKUP($B817,Transporte[DESCRIPCION],Transporte[VALOR],,0),"")</f>
        <v/>
      </c>
      <c r="F817" s="33"/>
      <c r="G817" s="34" t="str">
        <f>IFERROR(IF(F817&gt;=0,D817*E817*(1+F817/100),ABS(D817*E817/F817)),"")</f>
        <v/>
      </c>
      <c r="H817" s="43" t="str">
        <f>IFERROR(G817*E804,"")</f>
        <v/>
      </c>
    </row>
    <row r="818" spans="1:11" ht="12.75" customHeight="1">
      <c r="A818" s="28"/>
      <c r="B818" s="29"/>
      <c r="C818" s="30" t="str">
        <f>IFERROR(_xlfn.XLOOKUP(B818,Transporte[DESCRIPCION],Transporte[UND],,0),"")</f>
        <v/>
      </c>
      <c r="D818" s="31"/>
      <c r="E818" s="32" t="str">
        <f>IFERROR(_xlfn.XLOOKUP($B818,Transporte[DESCRIPCION],Transporte[VALOR],,0),"")</f>
        <v/>
      </c>
      <c r="F818" s="33"/>
      <c r="G818" s="34" t="str">
        <f>IFERROR(IF(F818&gt;=0,D818*E818*(1+F818/100),ABS(D818*E818/F818)),"")</f>
        <v/>
      </c>
      <c r="H818" s="43" t="str">
        <f>IFERROR(G818*E804,"")</f>
        <v/>
      </c>
    </row>
    <row r="819" spans="1:11" ht="12.75" customHeight="1">
      <c r="A819" s="21"/>
      <c r="B819" s="22" t="s">
        <v>3732</v>
      </c>
      <c r="C819" s="23"/>
      <c r="D819" s="24"/>
      <c r="E819" s="25"/>
      <c r="F819" s="26"/>
      <c r="G819" s="27">
        <f>SUM(G820:G822)</f>
        <v>21541.588487250003</v>
      </c>
      <c r="H819" s="44">
        <f>G819*E804</f>
        <v>0</v>
      </c>
    </row>
    <row r="820" spans="1:11" ht="12.75" customHeight="1">
      <c r="A820" s="28"/>
      <c r="B820" s="29" t="s">
        <v>3711</v>
      </c>
      <c r="C820" s="30" t="str">
        <f>IFERROR(_xlfn.XLOOKUP(B820,MObra[DESCRIPCION],MObra[UN],,0),"")</f>
        <v>día</v>
      </c>
      <c r="D820" s="31">
        <v>1</v>
      </c>
      <c r="E820" s="32">
        <f>IFERROR(_xlfn.XLOOKUP($B820,MObra[DESCRIPCION],MObra[VALOR UNIT],,0),"")</f>
        <v>430831.76974500006</v>
      </c>
      <c r="F820" s="33">
        <v>-20</v>
      </c>
      <c r="G820" s="34">
        <f>IFERROR(IF(F820&gt;=0,D820*E820*(1+F820/100),ABS(D820*E820/F820)),"")</f>
        <v>21541.588487250003</v>
      </c>
      <c r="H820" s="43">
        <f>IFERROR(G820*E804,"")</f>
        <v>0</v>
      </c>
    </row>
    <row r="821" spans="1:11" ht="12.75" customHeight="1">
      <c r="A821" s="28"/>
      <c r="B821" s="29"/>
      <c r="C821" s="30" t="str">
        <f>IFERROR(_xlfn.XLOOKUP(B821,MObra[DESCRIPCION],MObra[UN],,0),"")</f>
        <v/>
      </c>
      <c r="D821" s="31"/>
      <c r="E821" s="32" t="str">
        <f>IFERROR(_xlfn.XLOOKUP($B821,MObra[DESCRIPCION],MObra[VALOR UNIT],,0),"")</f>
        <v/>
      </c>
      <c r="F821" s="33"/>
      <c r="G821" s="34" t="str">
        <f>IFERROR(IF(F821&gt;=0,D821*E821*(1+F821/100),ABS(D821*E821/F821)),"")</f>
        <v/>
      </c>
      <c r="H821" s="43" t="str">
        <f>IFERROR(G821*E804,"")</f>
        <v/>
      </c>
    </row>
    <row r="822" spans="1:11" ht="12.75" customHeight="1" thickBot="1">
      <c r="A822" s="35"/>
      <c r="B822" s="36"/>
      <c r="C822" s="37" t="str">
        <f>IFERROR(_xlfn.XLOOKUP(B822,MObra[DESCRIPCION],MObra[UN],,0),"")</f>
        <v/>
      </c>
      <c r="D822" s="38"/>
      <c r="E822" s="39" t="str">
        <f>IFERROR(_xlfn.XLOOKUP($B822,MObra[DESCRIPCION],MObra[VALOR UNIT],,0),"")</f>
        <v/>
      </c>
      <c r="F822" s="40"/>
      <c r="G822" s="41" t="str">
        <f>IFERROR(IF(F822&gt;=0,D822*E822*(1+F822/100),ABS(D822*E822/F822)),"")</f>
        <v/>
      </c>
      <c r="H822" s="42" t="str">
        <f>IFERROR(G822*E804,"")</f>
        <v/>
      </c>
    </row>
    <row r="823" spans="1:11" ht="12.75" customHeight="1" thickTop="1" thickBot="1"/>
    <row r="824" spans="1:11" ht="12.75" customHeight="1" thickTop="1" thickBot="1">
      <c r="A824" s="6" t="s">
        <v>2511</v>
      </c>
      <c r="B824" s="7" t="str">
        <f>VLOOKUP($A824,Presupuesto!$A:$D,2,FALSE())</f>
        <v>Sardinel T1 C 20.7 Mpa sobre / placa bajo área transversal &lt; 230 cm2</v>
      </c>
      <c r="C824" s="8" t="str">
        <f>VLOOKUP($A824,Presupuesto!$A:$D,3,FALSE())</f>
        <v>M</v>
      </c>
      <c r="D824" s="9"/>
      <c r="E824" s="10">
        <f>VLOOKUP($A824,Presupuesto!$A:$D,4,FALSE())</f>
        <v>0</v>
      </c>
      <c r="F824" s="11" t="s">
        <v>2589</v>
      </c>
      <c r="G824" s="12">
        <f>SUM(G826:G842)/2</f>
        <v>65249.406844433433</v>
      </c>
      <c r="H824" s="13">
        <f>ROUND(SUM(H826:H842),0)/2</f>
        <v>0</v>
      </c>
      <c r="I824" s="10">
        <f>VLOOKUP(A824,Presupuesto!$A:$F,6,0)</f>
        <v>0</v>
      </c>
      <c r="J824" s="10">
        <f>+H824-I824</f>
        <v>0</v>
      </c>
      <c r="K824" s="46">
        <f>+H824-G824*E824</f>
        <v>0</v>
      </c>
    </row>
    <row r="825" spans="1:11" ht="12.75" customHeight="1" thickTop="1">
      <c r="A825" s="14"/>
      <c r="B825" s="15" t="s">
        <v>2586</v>
      </c>
      <c r="C825" s="15" t="s">
        <v>5</v>
      </c>
      <c r="D825" s="16" t="s">
        <v>6</v>
      </c>
      <c r="E825" s="17" t="s">
        <v>7</v>
      </c>
      <c r="F825" s="18" t="s">
        <v>3728</v>
      </c>
      <c r="G825" s="19" t="s">
        <v>3729</v>
      </c>
      <c r="H825" s="20" t="s">
        <v>3797</v>
      </c>
    </row>
    <row r="826" spans="1:11" ht="12.75" customHeight="1">
      <c r="A826" s="21"/>
      <c r="B826" s="22" t="s">
        <v>3730</v>
      </c>
      <c r="C826" s="23"/>
      <c r="D826" s="24"/>
      <c r="E826" s="25"/>
      <c r="F826" s="26"/>
      <c r="G826" s="27">
        <f>SUM(G827:G831)</f>
        <v>37740.216141120916</v>
      </c>
      <c r="H826" s="27">
        <f>IFERROR(G826*E824,"")</f>
        <v>0</v>
      </c>
    </row>
    <row r="827" spans="1:11" ht="12.75" customHeight="1">
      <c r="A827" s="28"/>
      <c r="B827" s="29" t="s">
        <v>2957</v>
      </c>
      <c r="C827" s="30" t="str">
        <f>IFERROR(_xlfn.XLOOKUP(B827,Insumo[DESCRIPCION],Insumo[UND],,0),"")</f>
        <v>M2</v>
      </c>
      <c r="D827" s="31">
        <v>0.4</v>
      </c>
      <c r="E827" s="32">
        <f>IFERROR(_xlfn.XLOOKUP($B827,Insumo[DESCRIPCION],Insumo[VALOR],,0),"")</f>
        <v>149544.7581937575</v>
      </c>
      <c r="F827" s="33">
        <v>-4</v>
      </c>
      <c r="G827" s="34">
        <f>IFERROR(IF(F827&gt;=0,D827*E827*(1+F827/100),ABS(D827*E827/F827)),"")</f>
        <v>14954.475819375752</v>
      </c>
      <c r="H827" s="43">
        <f>IFERROR(G827*E824,"")</f>
        <v>0</v>
      </c>
    </row>
    <row r="828" spans="1:11" ht="12.75" customHeight="1">
      <c r="A828" s="28"/>
      <c r="B828" s="29" t="s">
        <v>3239</v>
      </c>
      <c r="C828" s="30" t="str">
        <f>IFERROR(_xlfn.XLOOKUP(B828,Insumo[DESCRIPCION],Insumo[UND],,0),"")</f>
        <v>M3</v>
      </c>
      <c r="D828" s="31">
        <v>0.03</v>
      </c>
      <c r="E828" s="32">
        <f>IFERROR(_xlfn.XLOOKUP($B828,Insumo[DESCRIPCION],Insumo[VALOR],,0),"")</f>
        <v>521159.50227762427</v>
      </c>
      <c r="F828" s="33">
        <v>5</v>
      </c>
      <c r="G828" s="34">
        <f>IFERROR(IF(F828&gt;=0,D828*E828*(1+F828/100),ABS(D828*E828/F828)),"")</f>
        <v>16416.524321745164</v>
      </c>
      <c r="H828" s="43">
        <f>IFERROR(G828*E824,"")</f>
        <v>0</v>
      </c>
    </row>
    <row r="829" spans="1:11" ht="12.75" customHeight="1">
      <c r="A829" s="28"/>
      <c r="B829" s="29" t="s">
        <v>2653</v>
      </c>
      <c r="C829" s="30" t="str">
        <f>IFERROR(_xlfn.XLOOKUP(B829,Insumo[DESCRIPCION],Insumo[UND],,0),"")</f>
        <v>Kg</v>
      </c>
      <c r="D829" s="31">
        <v>1.1200000000000001</v>
      </c>
      <c r="E829" s="32">
        <f>IFERROR(_xlfn.XLOOKUP($B829,Insumo[DESCRIPCION],Insumo[VALOR],,0),"")</f>
        <v>5686.8</v>
      </c>
      <c r="F829" s="33"/>
      <c r="G829" s="34">
        <f>IFERROR(IF(F829&gt;=0,D829*E829*(1+F829/100),ABS(D829*E829/F829)),"")</f>
        <v>6369.2160000000013</v>
      </c>
      <c r="H829" s="43">
        <f>IFERROR(G829*E824,"")</f>
        <v>0</v>
      </c>
    </row>
    <row r="830" spans="1:11" ht="12.75" customHeight="1">
      <c r="A830" s="28"/>
      <c r="B830" s="29"/>
      <c r="C830" s="30" t="str">
        <f>IFERROR(_xlfn.XLOOKUP(B830,Insumo[DESCRIPCION],Insumo[UND],,0),"")</f>
        <v/>
      </c>
      <c r="D830" s="31"/>
      <c r="E830" s="32" t="str">
        <f>IFERROR(_xlfn.XLOOKUP($B830,Insumo[DESCRIPCION],Insumo[VALOR],,0),"")</f>
        <v/>
      </c>
      <c r="F830" s="33"/>
      <c r="G830" s="34" t="str">
        <f>IFERROR(IF(F830&gt;=0,D830*E830*(1+F830/100),ABS(D830*E830/F830)),"")</f>
        <v/>
      </c>
      <c r="H830" s="43" t="str">
        <f>IFERROR(G830*E824,"")</f>
        <v/>
      </c>
    </row>
    <row r="831" spans="1:11" ht="12.75" customHeight="1">
      <c r="A831" s="28"/>
      <c r="B831" s="29"/>
      <c r="C831" s="30" t="str">
        <f>IFERROR(_xlfn.XLOOKUP(B831,Insumo[DESCRIPCION],Insumo[UND],,0),"")</f>
        <v/>
      </c>
      <c r="D831" s="31"/>
      <c r="E831" s="32" t="str">
        <f>IFERROR(_xlfn.XLOOKUP($B831,Insumo[DESCRIPCION],Insumo[VALOR],,0),"")</f>
        <v/>
      </c>
      <c r="F831" s="33"/>
      <c r="G831" s="34" t="str">
        <f>IFERROR(IF(F831&gt;=0,D831*E831*(1+F831/100),ABS(D831*E831/F831)),"")</f>
        <v/>
      </c>
      <c r="H831" s="43" t="str">
        <f>IFERROR(G831*E824,"")</f>
        <v/>
      </c>
    </row>
    <row r="832" spans="1:11" ht="12.75" customHeight="1">
      <c r="A832" s="21"/>
      <c r="B832" s="22" t="s">
        <v>3731</v>
      </c>
      <c r="C832" s="23"/>
      <c r="D832" s="24"/>
      <c r="E832" s="25"/>
      <c r="F832" s="26"/>
      <c r="G832" s="27">
        <f>SUM(G833:G835)</f>
        <v>1309.9614620625005</v>
      </c>
      <c r="H832" s="44">
        <f>G832*E824</f>
        <v>0</v>
      </c>
    </row>
    <row r="833" spans="1:11" ht="12.75" customHeight="1">
      <c r="A833" s="28"/>
      <c r="B833" s="29" t="s">
        <v>3626</v>
      </c>
      <c r="C833" s="30" t="str">
        <f>IFERROR(_xlfn.XLOOKUP(B833,Equipo[DESCRIPCION],Equipo[UND],,0),"")</f>
        <v>%MO</v>
      </c>
      <c r="D833" s="31">
        <v>0.05</v>
      </c>
      <c r="E833" s="32">
        <f>IF(C833="%MO",G839,IFERROR(_xlfn.XLOOKUP($B833,Equipo[DESCRIPCION],Equipo[VALOR],,0),""))</f>
        <v>26199.229241250006</v>
      </c>
      <c r="F833" s="33"/>
      <c r="G833" s="34">
        <f>IFERROR(IF(F833&gt;=0,D833*E833*(1+F833/100),ABS(D833*E833/F833)),"")</f>
        <v>1309.9614620625005</v>
      </c>
      <c r="H833" s="43">
        <f>IFERROR(G833*E824,"")</f>
        <v>0</v>
      </c>
    </row>
    <row r="834" spans="1:11" ht="12.75" customHeight="1">
      <c r="A834" s="28"/>
      <c r="B834" s="29"/>
      <c r="C834" s="30" t="str">
        <f>IFERROR(_xlfn.XLOOKUP(B834,Equipo[DESCRIPCION],Equipo[UND],,0),"")</f>
        <v/>
      </c>
      <c r="D834" s="31"/>
      <c r="E834" s="32" t="str">
        <f>IF(C834="%MO",G839,IFERROR(_xlfn.XLOOKUP($B834,Equipo[DESCRIPCION],Equipo[VALOR],,0),""))</f>
        <v/>
      </c>
      <c r="F834" s="33"/>
      <c r="G834" s="34" t="str">
        <f>IFERROR(IF(F834&gt;=0,D834*E834*(1+F834/100),ABS(D834*E834/F834)),"")</f>
        <v/>
      </c>
      <c r="H834" s="43" t="str">
        <f>IFERROR(G834*E824,"")</f>
        <v/>
      </c>
    </row>
    <row r="835" spans="1:11" ht="12.75" customHeight="1">
      <c r="A835" s="28"/>
      <c r="B835" s="29"/>
      <c r="C835" s="30" t="str">
        <f>IFERROR(_xlfn.XLOOKUP(B835,Equipo[DESCRIPCION],Equipo[UND],,0),"")</f>
        <v/>
      </c>
      <c r="D835" s="31"/>
      <c r="E835" s="32" t="str">
        <f>IF(C835="%MO",G839,IFERROR(_xlfn.XLOOKUP($B835,Equipo[DESCRIPCION],Equipo[VALOR],,0),""))</f>
        <v/>
      </c>
      <c r="F835" s="33"/>
      <c r="G835" s="34" t="str">
        <f>IFERROR(IF(F835&gt;=0,D835*E835*(1+F835/100),ABS(D835*E835/F835)),"")</f>
        <v/>
      </c>
      <c r="H835" s="43" t="str">
        <f>IFERROR(G835*E824,"")</f>
        <v/>
      </c>
    </row>
    <row r="836" spans="1:11" ht="12.75" customHeight="1">
      <c r="A836" s="21"/>
      <c r="B836" s="22" t="s">
        <v>2533</v>
      </c>
      <c r="C836" s="23"/>
      <c r="D836" s="24"/>
      <c r="E836" s="25"/>
      <c r="F836" s="26"/>
      <c r="G836" s="27">
        <f>SUM(G837:G838)</f>
        <v>0</v>
      </c>
      <c r="H836" s="44">
        <f>G836*E824</f>
        <v>0</v>
      </c>
    </row>
    <row r="837" spans="1:11" ht="12.75" customHeight="1">
      <c r="A837" s="28"/>
      <c r="B837" s="29"/>
      <c r="C837" s="30" t="str">
        <f>IFERROR(_xlfn.XLOOKUP(B837,Transporte[DESCRIPCION],Transporte[UND],,0),"")</f>
        <v/>
      </c>
      <c r="D837" s="31"/>
      <c r="E837" s="32" t="str">
        <f>IFERROR(_xlfn.XLOOKUP($B837,Transporte[DESCRIPCION],Transporte[VALOR],,0),"")</f>
        <v/>
      </c>
      <c r="F837" s="33"/>
      <c r="G837" s="34" t="str">
        <f>IFERROR(IF(F837&gt;=0,D837*E837*(1+F837/100),ABS(D837*E837/F837)),"")</f>
        <v/>
      </c>
      <c r="H837" s="43" t="str">
        <f>IFERROR(G837*E824,"")</f>
        <v/>
      </c>
    </row>
    <row r="838" spans="1:11" ht="12.75" customHeight="1">
      <c r="A838" s="28"/>
      <c r="B838" s="29"/>
      <c r="C838" s="30" t="str">
        <f>IFERROR(_xlfn.XLOOKUP(B838,Transporte[DESCRIPCION],Transporte[UND],,0),"")</f>
        <v/>
      </c>
      <c r="D838" s="31"/>
      <c r="E838" s="32" t="str">
        <f>IFERROR(_xlfn.XLOOKUP($B838,Transporte[DESCRIPCION],Transporte[VALOR],,0),"")</f>
        <v/>
      </c>
      <c r="F838" s="33"/>
      <c r="G838" s="34" t="str">
        <f>IFERROR(IF(F838&gt;=0,D838*E838*(1+F838/100),ABS(D838*E838/F838)),"")</f>
        <v/>
      </c>
      <c r="H838" s="43" t="str">
        <f>IFERROR(G838*E824,"")</f>
        <v/>
      </c>
    </row>
    <row r="839" spans="1:11" ht="12.75" customHeight="1">
      <c r="A839" s="21"/>
      <c r="B839" s="22" t="s">
        <v>3732</v>
      </c>
      <c r="C839" s="23"/>
      <c r="D839" s="24"/>
      <c r="E839" s="25"/>
      <c r="F839" s="26"/>
      <c r="G839" s="27">
        <f>SUM(G840:G842)</f>
        <v>26199.229241250006</v>
      </c>
      <c r="H839" s="44">
        <f>G839*E824</f>
        <v>0</v>
      </c>
    </row>
    <row r="840" spans="1:11" ht="12.75" customHeight="1">
      <c r="A840" s="28"/>
      <c r="B840" s="29" t="s">
        <v>3710</v>
      </c>
      <c r="C840" s="30" t="str">
        <f>IFERROR(_xlfn.XLOOKUP(B840,MObra[DESCRIPCION],MObra[UN],,0),"")</f>
        <v>día</v>
      </c>
      <c r="D840" s="31">
        <v>1</v>
      </c>
      <c r="E840" s="32">
        <f>IFERROR(_xlfn.XLOOKUP($B840,MObra[DESCRIPCION],MObra[VALOR UNIT],,0),"")</f>
        <v>314390.75089500006</v>
      </c>
      <c r="F840" s="33">
        <v>-12</v>
      </c>
      <c r="G840" s="34">
        <f>IFERROR(IF(F840&gt;=0,D840*E840*(1+F840/100),ABS(D840*E840/F840)),"")</f>
        <v>26199.229241250006</v>
      </c>
      <c r="H840" s="43">
        <f>IFERROR(G840*E824,"")</f>
        <v>0</v>
      </c>
    </row>
    <row r="841" spans="1:11" ht="12.75" customHeight="1">
      <c r="A841" s="28"/>
      <c r="B841" s="29"/>
      <c r="C841" s="30" t="str">
        <f>IFERROR(_xlfn.XLOOKUP(B841,MObra[DESCRIPCION],MObra[UN],,0),"")</f>
        <v/>
      </c>
      <c r="D841" s="31"/>
      <c r="E841" s="32" t="str">
        <f>IFERROR(_xlfn.XLOOKUP($B841,MObra[DESCRIPCION],MObra[VALOR UNIT],,0),"")</f>
        <v/>
      </c>
      <c r="F841" s="33"/>
      <c r="G841" s="34" t="str">
        <f>IFERROR(IF(F841&gt;=0,D841*E841*(1+F841/100),ABS(D841*E841/F841)),"")</f>
        <v/>
      </c>
      <c r="H841" s="43" t="str">
        <f>IFERROR(G841*E824,"")</f>
        <v/>
      </c>
    </row>
    <row r="842" spans="1:11" ht="12.75" customHeight="1" thickBot="1">
      <c r="A842" s="35"/>
      <c r="B842" s="36"/>
      <c r="C842" s="37" t="str">
        <f>IFERROR(_xlfn.XLOOKUP(B842,MObra[DESCRIPCION],MObra[UN],,0),"")</f>
        <v/>
      </c>
      <c r="D842" s="38"/>
      <c r="E842" s="39" t="str">
        <f>IFERROR(_xlfn.XLOOKUP($B842,MObra[DESCRIPCION],MObra[VALOR UNIT],,0),"")</f>
        <v/>
      </c>
      <c r="F842" s="40"/>
      <c r="G842" s="41" t="str">
        <f>IFERROR(IF(F842&gt;=0,D842*E842*(1+F842/100),ABS(D842*E842/F842)),"")</f>
        <v/>
      </c>
      <c r="H842" s="42" t="str">
        <f>IFERROR(G842*E824,"")</f>
        <v/>
      </c>
    </row>
    <row r="843" spans="1:11" ht="12.75" customHeight="1" thickTop="1" thickBot="1"/>
    <row r="844" spans="1:11" ht="12.75" customHeight="1" thickTop="1" thickBot="1">
      <c r="A844" s="6" t="s">
        <v>2512</v>
      </c>
      <c r="B844" s="7" t="str">
        <f>VLOOKUP($A844,Presupuesto!$A:$D,2,FALSE())</f>
        <v>Sardinel T1 C 20.7 Mpa sobre /placa 200cm2&lt; área transversal &lt; =380 cm2</v>
      </c>
      <c r="C844" s="8" t="str">
        <f>VLOOKUP($A844,Presupuesto!$A:$D,3,FALSE())</f>
        <v>M</v>
      </c>
      <c r="D844" s="9"/>
      <c r="E844" s="10">
        <f>VLOOKUP($A844,Presupuesto!$A:$D,4,FALSE())</f>
        <v>0</v>
      </c>
      <c r="F844" s="11" t="s">
        <v>2589</v>
      </c>
      <c r="G844" s="12">
        <f>SUM(G846:G862)/2</f>
        <v>76671.940372053461</v>
      </c>
      <c r="H844" s="13">
        <f>ROUND(SUM(H846:H862),0)/2</f>
        <v>0</v>
      </c>
      <c r="I844" s="10">
        <f>VLOOKUP(A844,Presupuesto!$A:$F,6,0)</f>
        <v>0</v>
      </c>
      <c r="J844" s="10">
        <f>+H844-I844</f>
        <v>0</v>
      </c>
      <c r="K844" s="46">
        <f>+H844-G844*E844</f>
        <v>0</v>
      </c>
    </row>
    <row r="845" spans="1:11" ht="12.75" customHeight="1" thickTop="1">
      <c r="A845" s="14"/>
      <c r="B845" s="15" t="s">
        <v>2586</v>
      </c>
      <c r="C845" s="15" t="s">
        <v>5</v>
      </c>
      <c r="D845" s="16" t="s">
        <v>6</v>
      </c>
      <c r="E845" s="17" t="s">
        <v>7</v>
      </c>
      <c r="F845" s="18" t="s">
        <v>3728</v>
      </c>
      <c r="G845" s="19" t="s">
        <v>3729</v>
      </c>
      <c r="H845" s="20" t="s">
        <v>3797</v>
      </c>
    </row>
    <row r="846" spans="1:11" ht="12.75" customHeight="1">
      <c r="A846" s="21"/>
      <c r="B846" s="22" t="s">
        <v>3730</v>
      </c>
      <c r="C846" s="23"/>
      <c r="D846" s="24"/>
      <c r="E846" s="25"/>
      <c r="F846" s="26"/>
      <c r="G846" s="27">
        <f>SUM(G847:G851)</f>
        <v>43660.911528078446</v>
      </c>
      <c r="H846" s="27">
        <f>IFERROR(G846*E844,"")</f>
        <v>0</v>
      </c>
    </row>
    <row r="847" spans="1:11" ht="12.75" customHeight="1">
      <c r="A847" s="28"/>
      <c r="B847" s="29" t="s">
        <v>2957</v>
      </c>
      <c r="C847" s="30" t="str">
        <f>IFERROR(_xlfn.XLOOKUP(B847,Insumo[DESCRIPCION],Insumo[UND],,0),"")</f>
        <v>M2</v>
      </c>
      <c r="D847" s="31">
        <v>0.4</v>
      </c>
      <c r="E847" s="32">
        <f>IFERROR(_xlfn.XLOOKUP($B847,Insumo[DESCRIPCION],Insumo[VALOR],,0),"")</f>
        <v>149544.7581937575</v>
      </c>
      <c r="F847" s="33">
        <v>-4</v>
      </c>
      <c r="G847" s="34">
        <f>IFERROR(IF(F847&gt;=0,D847*E847*(1+F847/100),ABS(D847*E847/F847)),"")</f>
        <v>14954.475819375752</v>
      </c>
      <c r="H847" s="43">
        <f>IFERROR(G847*E844,"")</f>
        <v>0</v>
      </c>
    </row>
    <row r="848" spans="1:11" ht="12.75" customHeight="1">
      <c r="A848" s="28"/>
      <c r="B848" s="29" t="s">
        <v>3239</v>
      </c>
      <c r="C848" s="30" t="str">
        <f>IFERROR(_xlfn.XLOOKUP(B848,Insumo[DESCRIPCION],Insumo[UND],,0),"")</f>
        <v>M3</v>
      </c>
      <c r="D848" s="31">
        <v>3.5000000000000003E-2</v>
      </c>
      <c r="E848" s="32">
        <f>IFERROR(_xlfn.XLOOKUP($B848,Insumo[DESCRIPCION],Insumo[VALOR],,0),"")</f>
        <v>521159.50227762427</v>
      </c>
      <c r="F848" s="33">
        <v>5</v>
      </c>
      <c r="G848" s="34">
        <f>IFERROR(IF(F848&gt;=0,D848*E848*(1+F848/100),ABS(D848*E848/F848)),"")</f>
        <v>19152.611708702694</v>
      </c>
      <c r="H848" s="43">
        <f>IFERROR(G848*E844,"")</f>
        <v>0</v>
      </c>
    </row>
    <row r="849" spans="1:11" ht="12.75" customHeight="1">
      <c r="A849" s="28"/>
      <c r="B849" s="29" t="s">
        <v>2653</v>
      </c>
      <c r="C849" s="30" t="str">
        <f>IFERROR(_xlfn.XLOOKUP(B849,Insumo[DESCRIPCION],Insumo[UND],,0),"")</f>
        <v>Kg</v>
      </c>
      <c r="D849" s="31">
        <v>1.68</v>
      </c>
      <c r="E849" s="32">
        <f>IFERROR(_xlfn.XLOOKUP($B849,Insumo[DESCRIPCION],Insumo[VALOR],,0),"")</f>
        <v>5686.8</v>
      </c>
      <c r="F849" s="33"/>
      <c r="G849" s="34">
        <f>IFERROR(IF(F849&gt;=0,D849*E849*(1+F849/100),ABS(D849*E849/F849)),"")</f>
        <v>9553.8240000000005</v>
      </c>
      <c r="H849" s="43">
        <f>IFERROR(G849*E844,"")</f>
        <v>0</v>
      </c>
    </row>
    <row r="850" spans="1:11" ht="12.75" customHeight="1">
      <c r="A850" s="28"/>
      <c r="B850" s="29"/>
      <c r="C850" s="30" t="str">
        <f>IFERROR(_xlfn.XLOOKUP(B850,Insumo[DESCRIPCION],Insumo[UND],,0),"")</f>
        <v/>
      </c>
      <c r="D850" s="31"/>
      <c r="E850" s="32" t="str">
        <f>IFERROR(_xlfn.XLOOKUP($B850,Insumo[DESCRIPCION],Insumo[VALOR],,0),"")</f>
        <v/>
      </c>
      <c r="F850" s="33"/>
      <c r="G850" s="34" t="str">
        <f>IFERROR(IF(F850&gt;=0,D850*E850*(1+F850/100),ABS(D850*E850/F850)),"")</f>
        <v/>
      </c>
      <c r="H850" s="43" t="str">
        <f>IFERROR(G850*E844,"")</f>
        <v/>
      </c>
    </row>
    <row r="851" spans="1:11" ht="12.75" customHeight="1">
      <c r="A851" s="28"/>
      <c r="B851" s="29"/>
      <c r="C851" s="30" t="str">
        <f>IFERROR(_xlfn.XLOOKUP(B851,Insumo[DESCRIPCION],Insumo[UND],,0),"")</f>
        <v/>
      </c>
      <c r="D851" s="31"/>
      <c r="E851" s="32" t="str">
        <f>IFERROR(_xlfn.XLOOKUP($B851,Insumo[DESCRIPCION],Insumo[VALOR],,0),"")</f>
        <v/>
      </c>
      <c r="F851" s="33"/>
      <c r="G851" s="34" t="str">
        <f>IFERROR(IF(F851&gt;=0,D851*E851*(1+F851/100),ABS(D851*E851/F851)),"")</f>
        <v/>
      </c>
      <c r="H851" s="43" t="str">
        <f>IFERROR(G851*E844,"")</f>
        <v/>
      </c>
    </row>
    <row r="852" spans="1:11" ht="12.75" customHeight="1">
      <c r="A852" s="21"/>
      <c r="B852" s="22" t="s">
        <v>3731</v>
      </c>
      <c r="C852" s="23"/>
      <c r="D852" s="24"/>
      <c r="E852" s="25"/>
      <c r="F852" s="26"/>
      <c r="G852" s="27">
        <f>SUM(G853:G855)</f>
        <v>1571.9537544750003</v>
      </c>
      <c r="H852" s="44">
        <f>G852*E844</f>
        <v>0</v>
      </c>
    </row>
    <row r="853" spans="1:11" ht="12.75" customHeight="1">
      <c r="A853" s="28"/>
      <c r="B853" s="29" t="s">
        <v>3626</v>
      </c>
      <c r="C853" s="30" t="str">
        <f>IFERROR(_xlfn.XLOOKUP(B853,Equipo[DESCRIPCION],Equipo[UND],,0),"")</f>
        <v>%MO</v>
      </c>
      <c r="D853" s="31">
        <v>0.05</v>
      </c>
      <c r="E853" s="32">
        <f>IF(C853="%MO",G859,IFERROR(_xlfn.XLOOKUP($B853,Equipo[DESCRIPCION],Equipo[VALOR],,0),""))</f>
        <v>31439.075089500006</v>
      </c>
      <c r="F853" s="33"/>
      <c r="G853" s="34">
        <f>IFERROR(IF(F853&gt;=0,D853*E853*(1+F853/100),ABS(D853*E853/F853)),"")</f>
        <v>1571.9537544750003</v>
      </c>
      <c r="H853" s="43">
        <f>IFERROR(G853*E844,"")</f>
        <v>0</v>
      </c>
    </row>
    <row r="854" spans="1:11" ht="12.75" customHeight="1">
      <c r="A854" s="28"/>
      <c r="B854" s="29"/>
      <c r="C854" s="30" t="str">
        <f>IFERROR(_xlfn.XLOOKUP(B854,Equipo[DESCRIPCION],Equipo[UND],,0),"")</f>
        <v/>
      </c>
      <c r="D854" s="31"/>
      <c r="E854" s="32" t="str">
        <f>IF(C854="%MO",G859,IFERROR(_xlfn.XLOOKUP($B854,Equipo[DESCRIPCION],Equipo[VALOR],,0),""))</f>
        <v/>
      </c>
      <c r="F854" s="33"/>
      <c r="G854" s="34" t="str">
        <f>IFERROR(IF(F854&gt;=0,D854*E854*(1+F854/100),ABS(D854*E854/F854)),"")</f>
        <v/>
      </c>
      <c r="H854" s="43" t="str">
        <f>IFERROR(G854*E844,"")</f>
        <v/>
      </c>
    </row>
    <row r="855" spans="1:11" ht="12.75" customHeight="1">
      <c r="A855" s="28"/>
      <c r="B855" s="29"/>
      <c r="C855" s="30" t="str">
        <f>IFERROR(_xlfn.XLOOKUP(B855,Equipo[DESCRIPCION],Equipo[UND],,0),"")</f>
        <v/>
      </c>
      <c r="D855" s="31"/>
      <c r="E855" s="32" t="str">
        <f>IF(C855="%MO",G859,IFERROR(_xlfn.XLOOKUP($B855,Equipo[DESCRIPCION],Equipo[VALOR],,0),""))</f>
        <v/>
      </c>
      <c r="F855" s="33"/>
      <c r="G855" s="34" t="str">
        <f>IFERROR(IF(F855&gt;=0,D855*E855*(1+F855/100),ABS(D855*E855/F855)),"")</f>
        <v/>
      </c>
      <c r="H855" s="43" t="str">
        <f>IFERROR(G855*E844,"")</f>
        <v/>
      </c>
    </row>
    <row r="856" spans="1:11" ht="12.75" customHeight="1">
      <c r="A856" s="21"/>
      <c r="B856" s="22" t="s">
        <v>2533</v>
      </c>
      <c r="C856" s="23"/>
      <c r="D856" s="24"/>
      <c r="E856" s="25"/>
      <c r="F856" s="26"/>
      <c r="G856" s="27">
        <f>SUM(G857:G858)</f>
        <v>0</v>
      </c>
      <c r="H856" s="44">
        <f>G856*E844</f>
        <v>0</v>
      </c>
    </row>
    <row r="857" spans="1:11" ht="12.75" customHeight="1">
      <c r="A857" s="28"/>
      <c r="B857" s="29"/>
      <c r="C857" s="30" t="str">
        <f>IFERROR(_xlfn.XLOOKUP(B857,Transporte[DESCRIPCION],Transporte[UND],,0),"")</f>
        <v/>
      </c>
      <c r="D857" s="31"/>
      <c r="E857" s="32" t="str">
        <f>IFERROR(_xlfn.XLOOKUP($B857,Transporte[DESCRIPCION],Transporte[VALOR],,0),"")</f>
        <v/>
      </c>
      <c r="F857" s="33"/>
      <c r="G857" s="34" t="str">
        <f>IFERROR(IF(F857&gt;=0,D857*E857*(1+F857/100),ABS(D857*E857/F857)),"")</f>
        <v/>
      </c>
      <c r="H857" s="43" t="str">
        <f>IFERROR(G857*E844,"")</f>
        <v/>
      </c>
    </row>
    <row r="858" spans="1:11" ht="12.75" customHeight="1">
      <c r="A858" s="28"/>
      <c r="B858" s="29"/>
      <c r="C858" s="30" t="str">
        <f>IFERROR(_xlfn.XLOOKUP(B858,Transporte[DESCRIPCION],Transporte[UND],,0),"")</f>
        <v/>
      </c>
      <c r="D858" s="31"/>
      <c r="E858" s="32" t="str">
        <f>IFERROR(_xlfn.XLOOKUP($B858,Transporte[DESCRIPCION],Transporte[VALOR],,0),"")</f>
        <v/>
      </c>
      <c r="F858" s="33"/>
      <c r="G858" s="34" t="str">
        <f>IFERROR(IF(F858&gt;=0,D858*E858*(1+F858/100),ABS(D858*E858/F858)),"")</f>
        <v/>
      </c>
      <c r="H858" s="43" t="str">
        <f>IFERROR(G858*E844,"")</f>
        <v/>
      </c>
    </row>
    <row r="859" spans="1:11" ht="12.75" customHeight="1">
      <c r="A859" s="21"/>
      <c r="B859" s="22" t="s">
        <v>3732</v>
      </c>
      <c r="C859" s="23"/>
      <c r="D859" s="24"/>
      <c r="E859" s="25"/>
      <c r="F859" s="26"/>
      <c r="G859" s="27">
        <f>SUM(G860:G862)</f>
        <v>31439.075089500006</v>
      </c>
      <c r="H859" s="44">
        <f>G859*E844</f>
        <v>0</v>
      </c>
    </row>
    <row r="860" spans="1:11" ht="12.75" customHeight="1">
      <c r="A860" s="28"/>
      <c r="B860" s="29" t="s">
        <v>3710</v>
      </c>
      <c r="C860" s="30" t="str">
        <f>IFERROR(_xlfn.XLOOKUP(B860,MObra[DESCRIPCION],MObra[UN],,0),"")</f>
        <v>día</v>
      </c>
      <c r="D860" s="31">
        <v>1</v>
      </c>
      <c r="E860" s="32">
        <f>IFERROR(_xlfn.XLOOKUP($B860,MObra[DESCRIPCION],MObra[VALOR UNIT],,0),"")</f>
        <v>314390.75089500006</v>
      </c>
      <c r="F860" s="33">
        <v>-10</v>
      </c>
      <c r="G860" s="34">
        <f>IFERROR(IF(F860&gt;=0,D860*E860*(1+F860/100),ABS(D860*E860/F860)),"")</f>
        <v>31439.075089500006</v>
      </c>
      <c r="H860" s="43">
        <f>IFERROR(G860*E844,"")</f>
        <v>0</v>
      </c>
    </row>
    <row r="861" spans="1:11" ht="12.75" customHeight="1">
      <c r="A861" s="28"/>
      <c r="B861" s="29"/>
      <c r="C861" s="30" t="str">
        <f>IFERROR(_xlfn.XLOOKUP(B861,MObra[DESCRIPCION],MObra[UN],,0),"")</f>
        <v/>
      </c>
      <c r="D861" s="31"/>
      <c r="E861" s="32" t="str">
        <f>IFERROR(_xlfn.XLOOKUP($B861,MObra[DESCRIPCION],MObra[VALOR UNIT],,0),"")</f>
        <v/>
      </c>
      <c r="F861" s="33"/>
      <c r="G861" s="34" t="str">
        <f>IFERROR(IF(F861&gt;=0,D861*E861*(1+F861/100),ABS(D861*E861/F861)),"")</f>
        <v/>
      </c>
      <c r="H861" s="43" t="str">
        <f>IFERROR(G861*E844,"")</f>
        <v/>
      </c>
    </row>
    <row r="862" spans="1:11" ht="12.75" customHeight="1" thickBot="1">
      <c r="A862" s="35"/>
      <c r="B862" s="36"/>
      <c r="C862" s="37" t="str">
        <f>IFERROR(_xlfn.XLOOKUP(B862,MObra[DESCRIPCION],MObra[UN],,0),"")</f>
        <v/>
      </c>
      <c r="D862" s="38"/>
      <c r="E862" s="39" t="str">
        <f>IFERROR(_xlfn.XLOOKUP($B862,MObra[DESCRIPCION],MObra[VALOR UNIT],,0),"")</f>
        <v/>
      </c>
      <c r="F862" s="40"/>
      <c r="G862" s="41" t="str">
        <f>IFERROR(IF(F862&gt;=0,D862*E862*(1+F862/100),ABS(D862*E862/F862)),"")</f>
        <v/>
      </c>
      <c r="H862" s="42" t="str">
        <f>IFERROR(G862*E844,"")</f>
        <v/>
      </c>
    </row>
    <row r="863" spans="1:11" ht="12.75" customHeight="1" thickTop="1" thickBot="1"/>
    <row r="864" spans="1:11" ht="12.75" customHeight="1" thickTop="1" thickBot="1">
      <c r="A864" s="6" t="s">
        <v>2514</v>
      </c>
      <c r="B864" s="7" t="str">
        <f>VLOOKUP($A864,Presupuesto!$A:$D,2,FALSE())</f>
        <v>Sardinel T2 C 20.7 Mpa sobre / suelo 500cm2&gt; área transversal &lt; =1000 cm2</v>
      </c>
      <c r="C864" s="8" t="str">
        <f>VLOOKUP($A864,Presupuesto!$A:$D,3,FALSE())</f>
        <v>M</v>
      </c>
      <c r="D864" s="9"/>
      <c r="E864" s="10">
        <f>VLOOKUP($A864,Presupuesto!$A:$D,4,FALSE())</f>
        <v>0</v>
      </c>
      <c r="F864" s="11" t="s">
        <v>2589</v>
      </c>
      <c r="G864" s="12">
        <f>SUM(G866:G882)/2</f>
        <v>126414.52900045257</v>
      </c>
      <c r="H864" s="13">
        <f>ROUND(SUM(H866:H882),0)/2</f>
        <v>0</v>
      </c>
      <c r="I864" s="10">
        <f>VLOOKUP(A864,Presupuesto!$A:$F,6,0)</f>
        <v>0</v>
      </c>
      <c r="J864" s="10">
        <f>+H864-I864</f>
        <v>0</v>
      </c>
      <c r="K864" s="46">
        <f>+H864-G864*E864</f>
        <v>0</v>
      </c>
    </row>
    <row r="865" spans="1:8" ht="12.75" customHeight="1" thickTop="1">
      <c r="A865" s="14"/>
      <c r="B865" s="15" t="s">
        <v>2586</v>
      </c>
      <c r="C865" s="15" t="s">
        <v>5</v>
      </c>
      <c r="D865" s="16" t="s">
        <v>6</v>
      </c>
      <c r="E865" s="17" t="s">
        <v>7</v>
      </c>
      <c r="F865" s="18" t="s">
        <v>3728</v>
      </c>
      <c r="G865" s="19" t="s">
        <v>3729</v>
      </c>
      <c r="H865" s="20" t="s">
        <v>3797</v>
      </c>
    </row>
    <row r="866" spans="1:8" ht="12.75" customHeight="1">
      <c r="A866" s="21"/>
      <c r="B866" s="22" t="s">
        <v>3730</v>
      </c>
      <c r="C866" s="23"/>
      <c r="D866" s="24"/>
      <c r="E866" s="25"/>
      <c r="F866" s="26"/>
      <c r="G866" s="27">
        <f>SUM(G867:G871)</f>
        <v>85150.742945483827</v>
      </c>
      <c r="H866" s="27">
        <f>IFERROR(G866*E864,"")</f>
        <v>0</v>
      </c>
    </row>
    <row r="867" spans="1:8" ht="12.75" customHeight="1">
      <c r="A867" s="28"/>
      <c r="B867" s="29" t="s">
        <v>2957</v>
      </c>
      <c r="C867" s="30" t="str">
        <f>IFERROR(_xlfn.XLOOKUP(B867,Insumo[DESCRIPCION],Insumo[UND],,0),"")</f>
        <v>M2</v>
      </c>
      <c r="D867" s="31">
        <v>0.4</v>
      </c>
      <c r="E867" s="32">
        <f>IFERROR(_xlfn.XLOOKUP($B867,Insumo[DESCRIPCION],Insumo[VALOR],,0),"")</f>
        <v>149544.7581937575</v>
      </c>
      <c r="F867" s="33">
        <v>-4</v>
      </c>
      <c r="G867" s="34">
        <f>IFERROR(IF(F867&gt;=0,D867*E867*(1+F867/100),ABS(D867*E867/F867)),"")</f>
        <v>14954.475819375752</v>
      </c>
      <c r="H867" s="43">
        <f>IFERROR(G867*E864,"")</f>
        <v>0</v>
      </c>
    </row>
    <row r="868" spans="1:8" ht="12.75" customHeight="1">
      <c r="A868" s="28"/>
      <c r="B868" s="29" t="s">
        <v>3239</v>
      </c>
      <c r="C868" s="30" t="str">
        <f>IFERROR(_xlfn.XLOOKUP(B868,Insumo[DESCRIPCION],Insumo[UND],,0),"")</f>
        <v>M3</v>
      </c>
      <c r="D868" s="31">
        <v>0.105</v>
      </c>
      <c r="E868" s="32">
        <f>IFERROR(_xlfn.XLOOKUP($B868,Insumo[DESCRIPCION],Insumo[VALOR],,0),"")</f>
        <v>521159.50227762427</v>
      </c>
      <c r="F868" s="33">
        <v>5</v>
      </c>
      <c r="G868" s="34">
        <f>IFERROR(IF(F868&gt;=0,D868*E868*(1+F868/100),ABS(D868*E868/F868)),"")</f>
        <v>57457.835126108075</v>
      </c>
      <c r="H868" s="43">
        <f>IFERROR(G868*E864,"")</f>
        <v>0</v>
      </c>
    </row>
    <row r="869" spans="1:8" ht="12.75" customHeight="1">
      <c r="A869" s="28"/>
      <c r="B869" s="29" t="s">
        <v>2653</v>
      </c>
      <c r="C869" s="30" t="str">
        <f>IFERROR(_xlfn.XLOOKUP(B869,Insumo[DESCRIPCION],Insumo[UND],,0),"")</f>
        <v>Kg</v>
      </c>
      <c r="D869" s="31">
        <v>2.2400000000000002</v>
      </c>
      <c r="E869" s="32">
        <f>IFERROR(_xlfn.XLOOKUP($B869,Insumo[DESCRIPCION],Insumo[VALOR],,0),"")</f>
        <v>5686.8</v>
      </c>
      <c r="F869" s="33"/>
      <c r="G869" s="34">
        <f>IFERROR(IF(F869&gt;=0,D869*E869*(1+F869/100),ABS(D869*E869/F869)),"")</f>
        <v>12738.432000000003</v>
      </c>
      <c r="H869" s="43">
        <f>IFERROR(G869*E864,"")</f>
        <v>0</v>
      </c>
    </row>
    <row r="870" spans="1:8" ht="12.75" customHeight="1">
      <c r="A870" s="28"/>
      <c r="B870" s="29"/>
      <c r="C870" s="30" t="str">
        <f>IFERROR(_xlfn.XLOOKUP(B870,Insumo[DESCRIPCION],Insumo[UND],,0),"")</f>
        <v/>
      </c>
      <c r="D870" s="31"/>
      <c r="E870" s="32" t="str">
        <f>IFERROR(_xlfn.XLOOKUP($B870,Insumo[DESCRIPCION],Insumo[VALOR],,0),"")</f>
        <v/>
      </c>
      <c r="F870" s="33"/>
      <c r="G870" s="34" t="str">
        <f>IFERROR(IF(F870&gt;=0,D870*E870*(1+F870/100),ABS(D870*E870/F870)),"")</f>
        <v/>
      </c>
      <c r="H870" s="43" t="str">
        <f>IFERROR(G870*E864,"")</f>
        <v/>
      </c>
    </row>
    <row r="871" spans="1:8" ht="12.75" customHeight="1">
      <c r="A871" s="28"/>
      <c r="B871" s="29"/>
      <c r="C871" s="30" t="str">
        <f>IFERROR(_xlfn.XLOOKUP(B871,Insumo[DESCRIPCION],Insumo[UND],,0),"")</f>
        <v/>
      </c>
      <c r="D871" s="31"/>
      <c r="E871" s="32" t="str">
        <f>IFERROR(_xlfn.XLOOKUP($B871,Insumo[DESCRIPCION],Insumo[VALOR],,0),"")</f>
        <v/>
      </c>
      <c r="F871" s="33"/>
      <c r="G871" s="34" t="str">
        <f>IFERROR(IF(F871&gt;=0,D871*E871*(1+F871/100),ABS(D871*E871/F871)),"")</f>
        <v/>
      </c>
      <c r="H871" s="43" t="str">
        <f>IFERROR(G871*E864,"")</f>
        <v/>
      </c>
    </row>
    <row r="872" spans="1:8" ht="12.75" customHeight="1">
      <c r="A872" s="21"/>
      <c r="B872" s="22" t="s">
        <v>3731</v>
      </c>
      <c r="C872" s="23"/>
      <c r="D872" s="24"/>
      <c r="E872" s="25"/>
      <c r="F872" s="26"/>
      <c r="G872" s="27">
        <f>SUM(G873:G875)</f>
        <v>1964.9421930937506</v>
      </c>
      <c r="H872" s="44">
        <f>G872*E864</f>
        <v>0</v>
      </c>
    </row>
    <row r="873" spans="1:8" ht="12.75" customHeight="1">
      <c r="A873" s="28"/>
      <c r="B873" s="29" t="s">
        <v>3626</v>
      </c>
      <c r="C873" s="30" t="str">
        <f>IFERROR(_xlfn.XLOOKUP(B873,Equipo[DESCRIPCION],Equipo[UND],,0),"")</f>
        <v>%MO</v>
      </c>
      <c r="D873" s="31">
        <v>0.05</v>
      </c>
      <c r="E873" s="32">
        <f>IF(C873="%MO",G879,IFERROR(_xlfn.XLOOKUP($B873,Equipo[DESCRIPCION],Equipo[VALOR],,0),""))</f>
        <v>39298.843861875008</v>
      </c>
      <c r="F873" s="33"/>
      <c r="G873" s="34">
        <f>IFERROR(IF(F873&gt;=0,D873*E873*(1+F873/100),ABS(D873*E873/F873)),"")</f>
        <v>1964.9421930937506</v>
      </c>
      <c r="H873" s="43">
        <f>IFERROR(G873*E864,"")</f>
        <v>0</v>
      </c>
    </row>
    <row r="874" spans="1:8" ht="12.75" customHeight="1">
      <c r="A874" s="28"/>
      <c r="B874" s="29"/>
      <c r="C874" s="30" t="str">
        <f>IFERROR(_xlfn.XLOOKUP(B874,Equipo[DESCRIPCION],Equipo[UND],,0),"")</f>
        <v/>
      </c>
      <c r="D874" s="31"/>
      <c r="E874" s="32" t="str">
        <f>IF(C874="%MO",G879,IFERROR(_xlfn.XLOOKUP($B874,Equipo[DESCRIPCION],Equipo[VALOR],,0),""))</f>
        <v/>
      </c>
      <c r="F874" s="33"/>
      <c r="G874" s="34" t="str">
        <f>IFERROR(IF(F874&gt;=0,D874*E874*(1+F874/100),ABS(D874*E874/F874)),"")</f>
        <v/>
      </c>
      <c r="H874" s="43" t="str">
        <f>IFERROR(G874*E864,"")</f>
        <v/>
      </c>
    </row>
    <row r="875" spans="1:8" ht="12.75" customHeight="1">
      <c r="A875" s="28"/>
      <c r="B875" s="29"/>
      <c r="C875" s="30" t="str">
        <f>IFERROR(_xlfn.XLOOKUP(B875,Equipo[DESCRIPCION],Equipo[UND],,0),"")</f>
        <v/>
      </c>
      <c r="D875" s="31"/>
      <c r="E875" s="32" t="str">
        <f>IF(C875="%MO",G879,IFERROR(_xlfn.XLOOKUP($B875,Equipo[DESCRIPCION],Equipo[VALOR],,0),""))</f>
        <v/>
      </c>
      <c r="F875" s="33"/>
      <c r="G875" s="34" t="str">
        <f>IFERROR(IF(F875&gt;=0,D875*E875*(1+F875/100),ABS(D875*E875/F875)),"")</f>
        <v/>
      </c>
      <c r="H875" s="43" t="str">
        <f>IFERROR(G875*E864,"")</f>
        <v/>
      </c>
    </row>
    <row r="876" spans="1:8" ht="12.75" customHeight="1">
      <c r="A876" s="21"/>
      <c r="B876" s="22" t="s">
        <v>2533</v>
      </c>
      <c r="C876" s="23"/>
      <c r="D876" s="24"/>
      <c r="E876" s="25"/>
      <c r="F876" s="26"/>
      <c r="G876" s="27">
        <f>SUM(G877:G878)</f>
        <v>0</v>
      </c>
      <c r="H876" s="44">
        <f>G876*E864</f>
        <v>0</v>
      </c>
    </row>
    <row r="877" spans="1:8" ht="12.75" customHeight="1">
      <c r="A877" s="28"/>
      <c r="B877" s="29"/>
      <c r="C877" s="30" t="str">
        <f>IFERROR(_xlfn.XLOOKUP(B877,Transporte[DESCRIPCION],Transporte[UND],,0),"")</f>
        <v/>
      </c>
      <c r="D877" s="31"/>
      <c r="E877" s="32" t="str">
        <f>IFERROR(_xlfn.XLOOKUP($B877,Transporte[DESCRIPCION],Transporte[VALOR],,0),"")</f>
        <v/>
      </c>
      <c r="F877" s="33"/>
      <c r="G877" s="34" t="str">
        <f>IFERROR(IF(F877&gt;=0,D877*E877*(1+F877/100),ABS(D877*E877/F877)),"")</f>
        <v/>
      </c>
      <c r="H877" s="43" t="str">
        <f>IFERROR(G877*E864,"")</f>
        <v/>
      </c>
    </row>
    <row r="878" spans="1:8" ht="12.75" customHeight="1">
      <c r="A878" s="28"/>
      <c r="B878" s="29"/>
      <c r="C878" s="30" t="str">
        <f>IFERROR(_xlfn.XLOOKUP(B878,Transporte[DESCRIPCION],Transporte[UND],,0),"")</f>
        <v/>
      </c>
      <c r="D878" s="31"/>
      <c r="E878" s="32" t="str">
        <f>IFERROR(_xlfn.XLOOKUP($B878,Transporte[DESCRIPCION],Transporte[VALOR],,0),"")</f>
        <v/>
      </c>
      <c r="F878" s="33"/>
      <c r="G878" s="34" t="str">
        <f>IFERROR(IF(F878&gt;=0,D878*E878*(1+F878/100),ABS(D878*E878/F878)),"")</f>
        <v/>
      </c>
      <c r="H878" s="43" t="str">
        <f>IFERROR(G878*E864,"")</f>
        <v/>
      </c>
    </row>
    <row r="879" spans="1:8" ht="12.75" customHeight="1">
      <c r="A879" s="21"/>
      <c r="B879" s="22" t="s">
        <v>3732</v>
      </c>
      <c r="C879" s="23"/>
      <c r="D879" s="24"/>
      <c r="E879" s="25"/>
      <c r="F879" s="26"/>
      <c r="G879" s="27">
        <f>SUM(G880:G882)</f>
        <v>39298.843861875008</v>
      </c>
      <c r="H879" s="44">
        <f>G879*E864</f>
        <v>0</v>
      </c>
    </row>
    <row r="880" spans="1:8" ht="12.75" customHeight="1">
      <c r="A880" s="28"/>
      <c r="B880" s="29" t="s">
        <v>3710</v>
      </c>
      <c r="C880" s="30" t="str">
        <f>IFERROR(_xlfn.XLOOKUP(B880,MObra[DESCRIPCION],MObra[UN],,0),"")</f>
        <v>día</v>
      </c>
      <c r="D880" s="31">
        <v>1</v>
      </c>
      <c r="E880" s="32">
        <f>IFERROR(_xlfn.XLOOKUP($B880,MObra[DESCRIPCION],MObra[VALOR UNIT],,0),"")</f>
        <v>314390.75089500006</v>
      </c>
      <c r="F880" s="33">
        <v>-8</v>
      </c>
      <c r="G880" s="34">
        <f>IFERROR(IF(F880&gt;=0,D880*E880*(1+F880/100),ABS(D880*E880/F880)),"")</f>
        <v>39298.843861875008</v>
      </c>
      <c r="H880" s="43">
        <f>IFERROR(G880*E864,"")</f>
        <v>0</v>
      </c>
    </row>
    <row r="881" spans="1:11" ht="12.75" customHeight="1">
      <c r="A881" s="28"/>
      <c r="B881" s="29"/>
      <c r="C881" s="30" t="str">
        <f>IFERROR(_xlfn.XLOOKUP(B881,MObra[DESCRIPCION],MObra[UN],,0),"")</f>
        <v/>
      </c>
      <c r="D881" s="31"/>
      <c r="E881" s="32" t="str">
        <f>IFERROR(_xlfn.XLOOKUP($B881,MObra[DESCRIPCION],MObra[VALOR UNIT],,0),"")</f>
        <v/>
      </c>
      <c r="F881" s="33"/>
      <c r="G881" s="34" t="str">
        <f>IFERROR(IF(F881&gt;=0,D881*E881*(1+F881/100),ABS(D881*E881/F881)),"")</f>
        <v/>
      </c>
      <c r="H881" s="43" t="str">
        <f>IFERROR(G881*E864,"")</f>
        <v/>
      </c>
    </row>
    <row r="882" spans="1:11" ht="12.75" customHeight="1" thickBot="1">
      <c r="A882" s="35"/>
      <c r="B882" s="36"/>
      <c r="C882" s="37" t="str">
        <f>IFERROR(_xlfn.XLOOKUP(B882,MObra[DESCRIPCION],MObra[UN],,0),"")</f>
        <v/>
      </c>
      <c r="D882" s="38"/>
      <c r="E882" s="39" t="str">
        <f>IFERROR(_xlfn.XLOOKUP($B882,MObra[DESCRIPCION],MObra[VALOR UNIT],,0),"")</f>
        <v/>
      </c>
      <c r="F882" s="40"/>
      <c r="G882" s="41" t="str">
        <f>IFERROR(IF(F882&gt;=0,D882*E882*(1+F882/100),ABS(D882*E882/F882)),"")</f>
        <v/>
      </c>
      <c r="H882" s="42" t="str">
        <f>IFERROR(G882*E864,"")</f>
        <v/>
      </c>
    </row>
    <row r="883" spans="1:11" ht="12.75" customHeight="1" thickTop="1" thickBot="1"/>
    <row r="884" spans="1:11" ht="12.75" customHeight="1" thickTop="1" thickBot="1">
      <c r="A884" s="6" t="s">
        <v>2516</v>
      </c>
      <c r="B884" s="7" t="str">
        <f>VLOOKUP($A884,Presupuesto!$A:$D,2,FALSE())</f>
        <v>Separador tipo New Yersey in situ</v>
      </c>
      <c r="C884" s="8" t="str">
        <f>VLOOKUP($A884,Presupuesto!$A:$D,3,FALSE())</f>
        <v>M</v>
      </c>
      <c r="D884" s="9"/>
      <c r="E884" s="10">
        <f>VLOOKUP($A884,Presupuesto!$A:$D,4,FALSE())</f>
        <v>0</v>
      </c>
      <c r="F884" s="11" t="s">
        <v>2589</v>
      </c>
      <c r="G884" s="12">
        <f>SUM(G886:G902)/2</f>
        <v>759053.88674364146</v>
      </c>
      <c r="H884" s="13">
        <f>ROUND(SUM(H886:H902),0)/2</f>
        <v>0</v>
      </c>
      <c r="I884" s="10">
        <f>VLOOKUP(A884,Presupuesto!$A:$F,6,0)</f>
        <v>0</v>
      </c>
      <c r="J884" s="10">
        <f>+H884-I884</f>
        <v>0</v>
      </c>
      <c r="K884" s="46">
        <f>+H884-G884*E884</f>
        <v>0</v>
      </c>
    </row>
    <row r="885" spans="1:11" ht="12.75" customHeight="1" thickTop="1">
      <c r="A885" s="14"/>
      <c r="B885" s="15" t="s">
        <v>2586</v>
      </c>
      <c r="C885" s="15" t="s">
        <v>5</v>
      </c>
      <c r="D885" s="16" t="s">
        <v>6</v>
      </c>
      <c r="E885" s="17" t="s">
        <v>7</v>
      </c>
      <c r="F885" s="18" t="s">
        <v>3728</v>
      </c>
      <c r="G885" s="19" t="s">
        <v>3729</v>
      </c>
      <c r="H885" s="20" t="s">
        <v>3797</v>
      </c>
    </row>
    <row r="886" spans="1:11" ht="12.75" customHeight="1">
      <c r="A886" s="21"/>
      <c r="B886" s="22" t="s">
        <v>3730</v>
      </c>
      <c r="C886" s="23"/>
      <c r="D886" s="24"/>
      <c r="E886" s="25"/>
      <c r="F886" s="26"/>
      <c r="G886" s="27">
        <f>SUM(G887:G891)</f>
        <v>558087.63573539141</v>
      </c>
      <c r="H886" s="27">
        <f>IFERROR(G886*E884,"")</f>
        <v>0</v>
      </c>
    </row>
    <row r="887" spans="1:11" ht="12.75" customHeight="1">
      <c r="A887" s="28"/>
      <c r="B887" s="29" t="s">
        <v>3239</v>
      </c>
      <c r="C887" s="30" t="str">
        <f>IFERROR(_xlfn.XLOOKUP(B887,Insumo[DESCRIPCION],Insumo[UND],,0),"")</f>
        <v>M3</v>
      </c>
      <c r="D887" s="31">
        <v>0.25</v>
      </c>
      <c r="E887" s="32">
        <f>IFERROR(_xlfn.XLOOKUP($B887,Insumo[DESCRIPCION],Insumo[VALOR],,0),"")</f>
        <v>521159.50227762427</v>
      </c>
      <c r="F887" s="33">
        <v>5</v>
      </c>
      <c r="G887" s="34">
        <f>IFERROR(IF(F887&gt;=0,D887*E887*(1+F887/100),ABS(D887*E887/F887)),"")</f>
        <v>136804.36934787637</v>
      </c>
      <c r="H887" s="43">
        <f>IFERROR(G887*E884,"")</f>
        <v>0</v>
      </c>
    </row>
    <row r="888" spans="1:11" ht="12.75" customHeight="1">
      <c r="A888" s="28"/>
      <c r="B888" s="29" t="s">
        <v>2957</v>
      </c>
      <c r="C888" s="30" t="str">
        <f>IFERROR(_xlfn.XLOOKUP(B888,Insumo[DESCRIPCION],Insumo[UND],,0),"")</f>
        <v>M2</v>
      </c>
      <c r="D888" s="31">
        <v>1</v>
      </c>
      <c r="E888" s="32">
        <f>IFERROR(_xlfn.XLOOKUP($B888,Insumo[DESCRIPCION],Insumo[VALOR],,0),"")</f>
        <v>149544.7581937575</v>
      </c>
      <c r="F888" s="33">
        <v>-0.5</v>
      </c>
      <c r="G888" s="34">
        <f>IFERROR(IF(F888&gt;=0,D888*E888*(1+F888/100),ABS(D888*E888/F888)),"")</f>
        <v>299089.516387515</v>
      </c>
      <c r="H888" s="43">
        <f>IFERROR(G888*E884,"")</f>
        <v>0</v>
      </c>
    </row>
    <row r="889" spans="1:11" ht="12.75" customHeight="1">
      <c r="A889" s="28"/>
      <c r="B889" s="29" t="s">
        <v>2653</v>
      </c>
      <c r="C889" s="30" t="str">
        <f>IFERROR(_xlfn.XLOOKUP(B889,Insumo[DESCRIPCION],Insumo[UND],,0),"")</f>
        <v>Kg</v>
      </c>
      <c r="D889" s="31">
        <v>15</v>
      </c>
      <c r="E889" s="32">
        <f>IFERROR(_xlfn.XLOOKUP($B889,Insumo[DESCRIPCION],Insumo[VALOR],,0),"")</f>
        <v>5686.8</v>
      </c>
      <c r="F889" s="33"/>
      <c r="G889" s="34">
        <f>IFERROR(IF(F889&gt;=0,D889*E889*(1+F889/100),ABS(D889*E889/F889)),"")</f>
        <v>85302</v>
      </c>
      <c r="H889" s="43">
        <f>IFERROR(G889*E884,"")</f>
        <v>0</v>
      </c>
    </row>
    <row r="890" spans="1:11" ht="12.75" customHeight="1">
      <c r="A890" s="28"/>
      <c r="B890" s="29" t="s">
        <v>2699</v>
      </c>
      <c r="C890" s="30" t="str">
        <f>IFERROR(_xlfn.XLOOKUP(B890,Insumo[DESCRIPCION],Insumo[UND],,0),"")</f>
        <v>Kg</v>
      </c>
      <c r="D890" s="31">
        <v>0.5</v>
      </c>
      <c r="E890" s="32">
        <f>IFERROR(_xlfn.XLOOKUP($B890,Insumo[DESCRIPCION],Insumo[VALOR],,0),"")</f>
        <v>7665</v>
      </c>
      <c r="F890" s="33"/>
      <c r="G890" s="34">
        <f>IFERROR(IF(F890&gt;=0,D890*E890*(1+F890/100),ABS(D890*E890/F890)),"")</f>
        <v>3832.5</v>
      </c>
      <c r="H890" s="43">
        <f>IFERROR(G890*E884,"")</f>
        <v>0</v>
      </c>
    </row>
    <row r="891" spans="1:11" ht="12.75" customHeight="1">
      <c r="A891" s="28"/>
      <c r="B891" s="29" t="s">
        <v>3295</v>
      </c>
      <c r="C891" s="30" t="str">
        <f>IFERROR(_xlfn.XLOOKUP(B891,Insumo[DESCRIPCION],Insumo[UND],,0),"")</f>
        <v>Kg</v>
      </c>
      <c r="D891" s="31">
        <v>1.5</v>
      </c>
      <c r="E891" s="32">
        <f>IFERROR(_xlfn.XLOOKUP($B891,Insumo[DESCRIPCION],Insumo[VALOR],,0),"")</f>
        <v>22039.5</v>
      </c>
      <c r="F891" s="33"/>
      <c r="G891" s="34">
        <f>IFERROR(IF(F891&gt;=0,D891*E891*(1+F891/100),ABS(D891*E891/F891)),"")</f>
        <v>33059.25</v>
      </c>
      <c r="H891" s="43">
        <f>IFERROR(G891*E884,"")</f>
        <v>0</v>
      </c>
    </row>
    <row r="892" spans="1:11" ht="12.75" customHeight="1">
      <c r="A892" s="21"/>
      <c r="B892" s="22" t="s">
        <v>3731</v>
      </c>
      <c r="C892" s="23"/>
      <c r="D892" s="24"/>
      <c r="E892" s="25"/>
      <c r="F892" s="26"/>
      <c r="G892" s="27">
        <f>SUM(G893:G895)</f>
        <v>18541.988143250004</v>
      </c>
      <c r="H892" s="44">
        <f>G892*E884</f>
        <v>0</v>
      </c>
    </row>
    <row r="893" spans="1:11" ht="12.75" customHeight="1">
      <c r="A893" s="28"/>
      <c r="B893" s="29" t="s">
        <v>3657</v>
      </c>
      <c r="C893" s="30" t="str">
        <f>IFERROR(_xlfn.XLOOKUP(B893,Equipo[DESCRIPCION],Equipo[UND],,0),"")</f>
        <v>Día</v>
      </c>
      <c r="D893" s="31">
        <v>1</v>
      </c>
      <c r="E893" s="32">
        <f>IF(C893="%MO",G899,IFERROR(_xlfn.XLOOKUP($B893,Equipo[DESCRIPCION],Equipo[VALOR],,0),""))</f>
        <v>56524.65</v>
      </c>
      <c r="F893" s="33">
        <v>-6</v>
      </c>
      <c r="G893" s="34">
        <f>IFERROR(IF(F893&gt;=0,D893*E893*(1+F893/100),ABS(D893*E893/F893)),"")</f>
        <v>9420.7749999999996</v>
      </c>
      <c r="H893" s="43">
        <f>IFERROR(G893*E884,"")</f>
        <v>0</v>
      </c>
    </row>
    <row r="894" spans="1:11" ht="12.75" customHeight="1">
      <c r="A894" s="28"/>
      <c r="B894" s="29" t="s">
        <v>3626</v>
      </c>
      <c r="C894" s="30" t="str">
        <f>IFERROR(_xlfn.XLOOKUP(B894,Equipo[DESCRIPCION],Equipo[UND],,0),"")</f>
        <v>%MO</v>
      </c>
      <c r="D894" s="31">
        <v>0.05</v>
      </c>
      <c r="E894" s="32">
        <f>IF(C894="%MO",G899,IFERROR(_xlfn.XLOOKUP($B894,Equipo[DESCRIPCION],Equipo[VALOR],,0),""))</f>
        <v>182424.26286500006</v>
      </c>
      <c r="F894" s="33"/>
      <c r="G894" s="34">
        <f>IFERROR(IF(F894&gt;=0,D894*E894*(1+F894/100),ABS(D894*E894/F894)),"")</f>
        <v>9121.2131432500028</v>
      </c>
      <c r="H894" s="43">
        <f>IFERROR(G894*E884,"")</f>
        <v>0</v>
      </c>
    </row>
    <row r="895" spans="1:11" ht="12.75" customHeight="1">
      <c r="A895" s="28"/>
      <c r="B895" s="29"/>
      <c r="C895" s="30" t="str">
        <f>IFERROR(_xlfn.XLOOKUP(B895,Equipo[DESCRIPCION],Equipo[UND],,0),"")</f>
        <v/>
      </c>
      <c r="D895" s="31"/>
      <c r="E895" s="32" t="str">
        <f>IF(C895="%MO",G899,IFERROR(_xlfn.XLOOKUP($B895,Equipo[DESCRIPCION],Equipo[VALOR],,0),""))</f>
        <v/>
      </c>
      <c r="F895" s="33"/>
      <c r="G895" s="34" t="str">
        <f>IFERROR(IF(F895&gt;=0,D895*E895*(1+F895/100),ABS(D895*E895/F895)),"")</f>
        <v/>
      </c>
      <c r="H895" s="43" t="str">
        <f>IFERROR(G895*E884,"")</f>
        <v/>
      </c>
    </row>
    <row r="896" spans="1:11" ht="12.75" customHeight="1">
      <c r="A896" s="21"/>
      <c r="B896" s="22" t="s">
        <v>2533</v>
      </c>
      <c r="C896" s="23"/>
      <c r="D896" s="24"/>
      <c r="E896" s="25"/>
      <c r="F896" s="26"/>
      <c r="G896" s="27">
        <f>SUM(G897:G898)</f>
        <v>0</v>
      </c>
      <c r="H896" s="44">
        <f>G896*E884</f>
        <v>0</v>
      </c>
    </row>
    <row r="897" spans="1:11" ht="12.75" customHeight="1">
      <c r="A897" s="28"/>
      <c r="B897" s="29"/>
      <c r="C897" s="30" t="str">
        <f>IFERROR(_xlfn.XLOOKUP(B897,Transporte[DESCRIPCION],Transporte[UND],,0),"")</f>
        <v/>
      </c>
      <c r="D897" s="31"/>
      <c r="E897" s="32" t="str">
        <f>IFERROR(_xlfn.XLOOKUP($B897,Transporte[DESCRIPCION],Transporte[VALOR],,0),"")</f>
        <v/>
      </c>
      <c r="F897" s="33"/>
      <c r="G897" s="34" t="str">
        <f>IFERROR(IF(F897&gt;=0,D897*E897*(1+F897/100),ABS(D897*E897/F897)),"")</f>
        <v/>
      </c>
      <c r="H897" s="43" t="str">
        <f>IFERROR(G897*E884,"")</f>
        <v/>
      </c>
    </row>
    <row r="898" spans="1:11" ht="12.75" customHeight="1">
      <c r="A898" s="28"/>
      <c r="B898" s="29"/>
      <c r="C898" s="30" t="str">
        <f>IFERROR(_xlfn.XLOOKUP(B898,Transporte[DESCRIPCION],Transporte[UND],,0),"")</f>
        <v/>
      </c>
      <c r="D898" s="31"/>
      <c r="E898" s="32" t="str">
        <f>IFERROR(_xlfn.XLOOKUP($B898,Transporte[DESCRIPCION],Transporte[VALOR],,0),"")</f>
        <v/>
      </c>
      <c r="F898" s="33"/>
      <c r="G898" s="34" t="str">
        <f>IFERROR(IF(F898&gt;=0,D898*E898*(1+F898/100),ABS(D898*E898/F898)),"")</f>
        <v/>
      </c>
      <c r="H898" s="43" t="str">
        <f>IFERROR(G898*E884,"")</f>
        <v/>
      </c>
    </row>
    <row r="899" spans="1:11" ht="12.75" customHeight="1">
      <c r="A899" s="21"/>
      <c r="B899" s="22" t="s">
        <v>3732</v>
      </c>
      <c r="C899" s="23"/>
      <c r="D899" s="24"/>
      <c r="E899" s="25"/>
      <c r="F899" s="26"/>
      <c r="G899" s="27">
        <f>SUM(G900:G902)</f>
        <v>182424.26286500006</v>
      </c>
      <c r="H899" s="44">
        <f>G899*E884</f>
        <v>0</v>
      </c>
    </row>
    <row r="900" spans="1:11" ht="12.75" customHeight="1">
      <c r="A900" s="28"/>
      <c r="B900" s="29" t="s">
        <v>3712</v>
      </c>
      <c r="C900" s="30" t="str">
        <f>IFERROR(_xlfn.XLOOKUP(B900,MObra[DESCRIPCION],MObra[UN],,0),"")</f>
        <v>día</v>
      </c>
      <c r="D900" s="31">
        <v>1</v>
      </c>
      <c r="E900" s="32">
        <f>IFERROR(_xlfn.XLOOKUP($B900,MObra[DESCRIPCION],MObra[VALOR UNIT],,0),"")</f>
        <v>547272.78859500017</v>
      </c>
      <c r="F900" s="33">
        <v>-3</v>
      </c>
      <c r="G900" s="34">
        <f>IFERROR(IF(F900&gt;=0,D900*E900*(1+F900/100),ABS(D900*E900/F900)),"")</f>
        <v>182424.26286500006</v>
      </c>
      <c r="H900" s="43">
        <f>IFERROR(G900*E884,"")</f>
        <v>0</v>
      </c>
    </row>
    <row r="901" spans="1:11" ht="12.75" customHeight="1">
      <c r="A901" s="28"/>
      <c r="B901" s="29"/>
      <c r="C901" s="30" t="str">
        <f>IFERROR(_xlfn.XLOOKUP(B901,MObra[DESCRIPCION],MObra[UN],,0),"")</f>
        <v/>
      </c>
      <c r="D901" s="31"/>
      <c r="E901" s="32" t="str">
        <f>IFERROR(_xlfn.XLOOKUP($B901,MObra[DESCRIPCION],MObra[VALOR UNIT],,0),"")</f>
        <v/>
      </c>
      <c r="F901" s="33"/>
      <c r="G901" s="34" t="str">
        <f>IFERROR(IF(F901&gt;=0,D901*E901*(1+F901/100),ABS(D901*E901/F901)),"")</f>
        <v/>
      </c>
      <c r="H901" s="43" t="str">
        <f>IFERROR(G901*E884,"")</f>
        <v/>
      </c>
    </row>
    <row r="902" spans="1:11" ht="12.75" customHeight="1" thickBot="1">
      <c r="A902" s="35"/>
      <c r="B902" s="36"/>
      <c r="C902" s="37" t="str">
        <f>IFERROR(_xlfn.XLOOKUP(B902,MObra[DESCRIPCION],MObra[UN],,0),"")</f>
        <v/>
      </c>
      <c r="D902" s="38"/>
      <c r="E902" s="39" t="str">
        <f>IFERROR(_xlfn.XLOOKUP($B902,MObra[DESCRIPCION],MObra[VALOR UNIT],,0),"")</f>
        <v/>
      </c>
      <c r="F902" s="40"/>
      <c r="G902" s="41" t="str">
        <f>IFERROR(IF(F902&gt;=0,D902*E902*(1+F902/100),ABS(D902*E902/F902)),"")</f>
        <v/>
      </c>
      <c r="H902" s="42" t="str">
        <f>IFERROR(G902*E884,"")</f>
        <v/>
      </c>
    </row>
    <row r="903" spans="1:11" ht="12.75" customHeight="1" thickTop="1" thickBot="1"/>
    <row r="904" spans="1:11" ht="12.75" customHeight="1" thickTop="1" thickBot="1">
      <c r="A904" s="6" t="s">
        <v>2518</v>
      </c>
      <c r="B904" s="7" t="str">
        <f>VLOOKUP($A904,Presupuesto!$A:$D,2,FALSE())</f>
        <v>Separador vial carril prefabricado</v>
      </c>
      <c r="C904" s="8" t="str">
        <f>VLOOKUP($A904,Presupuesto!$A:$D,3,FALSE())</f>
        <v>M</v>
      </c>
      <c r="D904" s="9"/>
      <c r="E904" s="10">
        <f>VLOOKUP($A904,Presupuesto!$A:$D,4,FALSE())</f>
        <v>0</v>
      </c>
      <c r="F904" s="11" t="s">
        <v>2589</v>
      </c>
      <c r="G904" s="12">
        <f>SUM(G906:G922)/2</f>
        <v>85179.011449185011</v>
      </c>
      <c r="H904" s="13">
        <f>ROUND(SUM(H906:H922),0)/2</f>
        <v>0</v>
      </c>
      <c r="I904" s="10">
        <f>VLOOKUP(A904,Presupuesto!$A:$F,6,0)</f>
        <v>0</v>
      </c>
      <c r="J904" s="10">
        <f>+H904-I904</f>
        <v>0</v>
      </c>
      <c r="K904" s="46">
        <f>+H904-G904*E904</f>
        <v>0</v>
      </c>
    </row>
    <row r="905" spans="1:11" ht="12.75" customHeight="1" thickTop="1">
      <c r="A905" s="14"/>
      <c r="B905" s="15" t="s">
        <v>2586</v>
      </c>
      <c r="C905" s="15" t="s">
        <v>5</v>
      </c>
      <c r="D905" s="16" t="s">
        <v>6</v>
      </c>
      <c r="E905" s="17" t="s">
        <v>7</v>
      </c>
      <c r="F905" s="18" t="s">
        <v>3728</v>
      </c>
      <c r="G905" s="19" t="s">
        <v>3729</v>
      </c>
      <c r="H905" s="20" t="s">
        <v>3797</v>
      </c>
    </row>
    <row r="906" spans="1:11" ht="12.75" customHeight="1">
      <c r="A906" s="21"/>
      <c r="B906" s="22" t="s">
        <v>3730</v>
      </c>
      <c r="C906" s="23"/>
      <c r="D906" s="24"/>
      <c r="E906" s="25"/>
      <c r="F906" s="26"/>
      <c r="G906" s="27">
        <f>SUM(G907:G911)</f>
        <v>73756.147500000006</v>
      </c>
      <c r="H906" s="27">
        <f>IFERROR(G906*E904,"")</f>
        <v>0</v>
      </c>
    </row>
    <row r="907" spans="1:11" ht="12.75" customHeight="1">
      <c r="A907" s="28"/>
      <c r="B907" s="29" t="s">
        <v>3293</v>
      </c>
      <c r="C907" s="30" t="str">
        <f>IFERROR(_xlfn.XLOOKUP(B907,Insumo[DESCRIPCION],Insumo[UND],,0),"")</f>
        <v>Un</v>
      </c>
      <c r="D907" s="31">
        <v>1</v>
      </c>
      <c r="E907" s="32">
        <f>IFERROR(_xlfn.XLOOKUP($B907,Insumo[DESCRIPCION],Insumo[VALOR],,0),"")</f>
        <v>70243.95</v>
      </c>
      <c r="F907" s="33">
        <v>5</v>
      </c>
      <c r="G907" s="34">
        <f>IFERROR(IF(F907&gt;=0,D907*E907*(1+F907/100),ABS(D907*E907/F907)),"")</f>
        <v>73756.147500000006</v>
      </c>
      <c r="H907" s="43">
        <f>IFERROR(G907*E904,"")</f>
        <v>0</v>
      </c>
    </row>
    <row r="908" spans="1:11" ht="12.75" customHeight="1">
      <c r="A908" s="28"/>
      <c r="B908" s="29"/>
      <c r="C908" s="30" t="str">
        <f>IFERROR(_xlfn.XLOOKUP(B908,Insumo[DESCRIPCION],Insumo[UND],,0),"")</f>
        <v/>
      </c>
      <c r="D908" s="31"/>
      <c r="E908" s="32" t="str">
        <f>IFERROR(_xlfn.XLOOKUP($B908,Insumo[DESCRIPCION],Insumo[VALOR],,0),"")</f>
        <v/>
      </c>
      <c r="F908" s="33"/>
      <c r="G908" s="34" t="str">
        <f>IFERROR(IF(F908&gt;=0,D908*E908*(1+F908/100),ABS(D908*E908/F908)),"")</f>
        <v/>
      </c>
      <c r="H908" s="43" t="str">
        <f>IFERROR(G908*E904,"")</f>
        <v/>
      </c>
    </row>
    <row r="909" spans="1:11" ht="12.75" customHeight="1">
      <c r="A909" s="28"/>
      <c r="B909" s="29"/>
      <c r="C909" s="30" t="str">
        <f>IFERROR(_xlfn.XLOOKUP(B909,Insumo[DESCRIPCION],Insumo[UND],,0),"")</f>
        <v/>
      </c>
      <c r="D909" s="31"/>
      <c r="E909" s="32" t="str">
        <f>IFERROR(_xlfn.XLOOKUP($B909,Insumo[DESCRIPCION],Insumo[VALOR],,0),"")</f>
        <v/>
      </c>
      <c r="F909" s="33"/>
      <c r="G909" s="34" t="str">
        <f>IFERROR(IF(F909&gt;=0,D909*E909*(1+F909/100),ABS(D909*E909/F909)),"")</f>
        <v/>
      </c>
      <c r="H909" s="43" t="str">
        <f>IFERROR(G909*E904,"")</f>
        <v/>
      </c>
    </row>
    <row r="910" spans="1:11" ht="12.75" customHeight="1">
      <c r="A910" s="28"/>
      <c r="B910" s="29"/>
      <c r="C910" s="30" t="str">
        <f>IFERROR(_xlfn.XLOOKUP(B910,Insumo[DESCRIPCION],Insumo[UND],,0),"")</f>
        <v/>
      </c>
      <c r="D910" s="31"/>
      <c r="E910" s="32" t="str">
        <f>IFERROR(_xlfn.XLOOKUP($B910,Insumo[DESCRIPCION],Insumo[VALOR],,0),"")</f>
        <v/>
      </c>
      <c r="F910" s="33"/>
      <c r="G910" s="34" t="str">
        <f>IFERROR(IF(F910&gt;=0,D910*E910*(1+F910/100),ABS(D910*E910/F910)),"")</f>
        <v/>
      </c>
      <c r="H910" s="43" t="str">
        <f>IFERROR(G910*E904,"")</f>
        <v/>
      </c>
    </row>
    <row r="911" spans="1:11" ht="12.75" customHeight="1">
      <c r="A911" s="28"/>
      <c r="B911" s="29"/>
      <c r="C911" s="30" t="str">
        <f>IFERROR(_xlfn.XLOOKUP(B911,Insumo[DESCRIPCION],Insumo[UND],,0),"")</f>
        <v/>
      </c>
      <c r="D911" s="31"/>
      <c r="E911" s="32" t="str">
        <f>IFERROR(_xlfn.XLOOKUP($B911,Insumo[DESCRIPCION],Insumo[VALOR],,0),"")</f>
        <v/>
      </c>
      <c r="F911" s="33"/>
      <c r="G911" s="34" t="str">
        <f>IFERROR(IF(F911&gt;=0,D911*E911*(1+F911/100),ABS(D911*E911/F911)),"")</f>
        <v/>
      </c>
      <c r="H911" s="43" t="str">
        <f>IFERROR(G911*E904,"")</f>
        <v/>
      </c>
    </row>
    <row r="912" spans="1:11" ht="12.75" customHeight="1">
      <c r="A912" s="21"/>
      <c r="B912" s="22" t="s">
        <v>3731</v>
      </c>
      <c r="C912" s="23"/>
      <c r="D912" s="24"/>
      <c r="E912" s="25"/>
      <c r="F912" s="26"/>
      <c r="G912" s="27">
        <f>SUM(G913:G915)</f>
        <v>943.1722526850001</v>
      </c>
      <c r="H912" s="44">
        <f>G912*E904</f>
        <v>0</v>
      </c>
    </row>
    <row r="913" spans="1:11" ht="12.75" customHeight="1">
      <c r="A913" s="28"/>
      <c r="B913" s="29" t="s">
        <v>3570</v>
      </c>
      <c r="C913" s="30" t="str">
        <f>IFERROR(_xlfn.XLOOKUP(B913,Equipo[DESCRIPCION],Equipo[UND],,0),"")</f>
        <v>%MO</v>
      </c>
      <c r="D913" s="31">
        <v>0.04</v>
      </c>
      <c r="E913" s="32">
        <f>IF(C913="%MO",G919,IFERROR(_xlfn.XLOOKUP($B913,Equipo[DESCRIPCION],Equipo[VALOR],,0),""))</f>
        <v>10479.691696500002</v>
      </c>
      <c r="F913" s="33"/>
      <c r="G913" s="34">
        <f>IFERROR(IF(F913&gt;=0,D913*E913*(1+F913/100),ABS(D913*E913/F913)),"")</f>
        <v>419.18766786000009</v>
      </c>
      <c r="H913" s="43">
        <f>IFERROR(G913*E904,"")</f>
        <v>0</v>
      </c>
    </row>
    <row r="914" spans="1:11" ht="12.75" customHeight="1">
      <c r="A914" s="28"/>
      <c r="B914" s="29" t="s">
        <v>3626</v>
      </c>
      <c r="C914" s="30" t="str">
        <f>IFERROR(_xlfn.XLOOKUP(B914,Equipo[DESCRIPCION],Equipo[UND],,0),"")</f>
        <v>%MO</v>
      </c>
      <c r="D914" s="31">
        <v>0.05</v>
      </c>
      <c r="E914" s="32">
        <f>IF(C914="%MO",G919,IFERROR(_xlfn.XLOOKUP($B914,Equipo[DESCRIPCION],Equipo[VALOR],,0),""))</f>
        <v>10479.691696500002</v>
      </c>
      <c r="F914" s="33"/>
      <c r="G914" s="34">
        <f>IFERROR(IF(F914&gt;=0,D914*E914*(1+F914/100),ABS(D914*E914/F914)),"")</f>
        <v>523.98458482500007</v>
      </c>
      <c r="H914" s="43">
        <f>IFERROR(G914*E904,"")</f>
        <v>0</v>
      </c>
    </row>
    <row r="915" spans="1:11" ht="12.75" customHeight="1">
      <c r="A915" s="28"/>
      <c r="B915" s="29"/>
      <c r="C915" s="30" t="str">
        <f>IFERROR(_xlfn.XLOOKUP(B915,Equipo[DESCRIPCION],Equipo[UND],,0),"")</f>
        <v/>
      </c>
      <c r="D915" s="31"/>
      <c r="E915" s="32" t="str">
        <f>IF(C915="%MO",G919,IFERROR(_xlfn.XLOOKUP($B915,Equipo[DESCRIPCION],Equipo[VALOR],,0),""))</f>
        <v/>
      </c>
      <c r="F915" s="33"/>
      <c r="G915" s="34" t="str">
        <f>IFERROR(IF(F915&gt;=0,D915*E915*(1+F915/100),ABS(D915*E915/F915)),"")</f>
        <v/>
      </c>
      <c r="H915" s="43" t="str">
        <f>IFERROR(G915*E904,"")</f>
        <v/>
      </c>
    </row>
    <row r="916" spans="1:11" ht="12.75" customHeight="1">
      <c r="A916" s="21"/>
      <c r="B916" s="22" t="s">
        <v>2533</v>
      </c>
      <c r="C916" s="23"/>
      <c r="D916" s="24"/>
      <c r="E916" s="25"/>
      <c r="F916" s="26"/>
      <c r="G916" s="27">
        <f>SUM(G917:G918)</f>
        <v>0</v>
      </c>
      <c r="H916" s="44">
        <f>G916*E904</f>
        <v>0</v>
      </c>
    </row>
    <row r="917" spans="1:11" ht="12.75" customHeight="1">
      <c r="A917" s="28"/>
      <c r="B917" s="29"/>
      <c r="C917" s="30" t="str">
        <f>IFERROR(_xlfn.XLOOKUP(B917,Transporte[DESCRIPCION],Transporte[UND],,0),"")</f>
        <v/>
      </c>
      <c r="D917" s="31"/>
      <c r="E917" s="32" t="str">
        <f>IFERROR(_xlfn.XLOOKUP($B917,Transporte[DESCRIPCION],Transporte[VALOR],,0),"")</f>
        <v/>
      </c>
      <c r="F917" s="33"/>
      <c r="G917" s="34" t="str">
        <f>IFERROR(IF(F917&gt;=0,D917*E917*(1+F917/100),ABS(D917*E917/F917)),"")</f>
        <v/>
      </c>
      <c r="H917" s="43" t="str">
        <f>IFERROR(G917*E904,"")</f>
        <v/>
      </c>
    </row>
    <row r="918" spans="1:11" ht="12.75" customHeight="1">
      <c r="A918" s="28"/>
      <c r="B918" s="29"/>
      <c r="C918" s="30" t="str">
        <f>IFERROR(_xlfn.XLOOKUP(B918,Transporte[DESCRIPCION],Transporte[UND],,0),"")</f>
        <v/>
      </c>
      <c r="D918" s="31"/>
      <c r="E918" s="32" t="str">
        <f>IFERROR(_xlfn.XLOOKUP($B918,Transporte[DESCRIPCION],Transporte[VALOR],,0),"")</f>
        <v/>
      </c>
      <c r="F918" s="33"/>
      <c r="G918" s="34" t="str">
        <f>IFERROR(IF(F918&gt;=0,D918*E918*(1+F918/100),ABS(D918*E918/F918)),"")</f>
        <v/>
      </c>
      <c r="H918" s="43" t="str">
        <f>IFERROR(G918*E904,"")</f>
        <v/>
      </c>
    </row>
    <row r="919" spans="1:11" ht="12.75" customHeight="1">
      <c r="A919" s="21"/>
      <c r="B919" s="22" t="s">
        <v>3732</v>
      </c>
      <c r="C919" s="23"/>
      <c r="D919" s="24"/>
      <c r="E919" s="25"/>
      <c r="F919" s="26"/>
      <c r="G919" s="27">
        <f>SUM(G920:G922)</f>
        <v>10479.691696500002</v>
      </c>
      <c r="H919" s="44">
        <f>G919*E904</f>
        <v>0</v>
      </c>
    </row>
    <row r="920" spans="1:11" ht="12.75" customHeight="1">
      <c r="A920" s="28"/>
      <c r="B920" s="29" t="s">
        <v>3710</v>
      </c>
      <c r="C920" s="30" t="str">
        <f>IFERROR(_xlfn.XLOOKUP(B920,MObra[DESCRIPCION],MObra[UN],,0),"")</f>
        <v>día</v>
      </c>
      <c r="D920" s="31">
        <v>1</v>
      </c>
      <c r="E920" s="32">
        <f>IFERROR(_xlfn.XLOOKUP($B920,MObra[DESCRIPCION],MObra[VALOR UNIT],,0),"")</f>
        <v>314390.75089500006</v>
      </c>
      <c r="F920" s="33">
        <v>-30</v>
      </c>
      <c r="G920" s="34">
        <f>IFERROR(IF(F920&gt;=0,D920*E920*(1+F920/100),ABS(D920*E920/F920)),"")</f>
        <v>10479.691696500002</v>
      </c>
      <c r="H920" s="43">
        <f>IFERROR(G920*E904,"")</f>
        <v>0</v>
      </c>
    </row>
    <row r="921" spans="1:11" ht="12.75" customHeight="1">
      <c r="A921" s="28"/>
      <c r="B921" s="29"/>
      <c r="C921" s="30" t="str">
        <f>IFERROR(_xlfn.XLOOKUP(B921,MObra[DESCRIPCION],MObra[UN],,0),"")</f>
        <v/>
      </c>
      <c r="D921" s="31"/>
      <c r="E921" s="32" t="str">
        <f>IFERROR(_xlfn.XLOOKUP($B921,MObra[DESCRIPCION],MObra[VALOR UNIT],,0),"")</f>
        <v/>
      </c>
      <c r="F921" s="33"/>
      <c r="G921" s="34" t="str">
        <f>IFERROR(IF(F921&gt;=0,D921*E921*(1+F921/100),ABS(D921*E921/F921)),"")</f>
        <v/>
      </c>
      <c r="H921" s="43" t="str">
        <f>IFERROR(G921*E904,"")</f>
        <v/>
      </c>
    </row>
    <row r="922" spans="1:11" ht="12.75" customHeight="1" thickBot="1">
      <c r="A922" s="35"/>
      <c r="B922" s="36"/>
      <c r="C922" s="37" t="str">
        <f>IFERROR(_xlfn.XLOOKUP(B922,MObra[DESCRIPCION],MObra[UN],,0),"")</f>
        <v/>
      </c>
      <c r="D922" s="38"/>
      <c r="E922" s="39" t="str">
        <f>IFERROR(_xlfn.XLOOKUP($B922,MObra[DESCRIPCION],MObra[VALOR UNIT],,0),"")</f>
        <v/>
      </c>
      <c r="F922" s="40"/>
      <c r="G922" s="41" t="str">
        <f>IFERROR(IF(F922&gt;=0,D922*E922*(1+F922/100),ABS(D922*E922/F922)),"")</f>
        <v/>
      </c>
      <c r="H922" s="42" t="str">
        <f>IFERROR(G922*E904,"")</f>
        <v/>
      </c>
    </row>
    <row r="923" spans="1:11" ht="12.75" customHeight="1" thickTop="1" thickBot="1"/>
    <row r="924" spans="1:11" ht="12.75" customHeight="1" thickTop="1" thickBot="1">
      <c r="A924" s="6" t="s">
        <v>2520</v>
      </c>
      <c r="B924" s="7" t="str">
        <f>VLOOKUP($A924,Presupuesto!$A:$D,2,FALSE())</f>
        <v>Siembra / suministro especie ornamental H=1.0m</v>
      </c>
      <c r="C924" s="8" t="str">
        <f>VLOOKUP($A924,Presupuesto!$A:$D,3,FALSE())</f>
        <v>Un</v>
      </c>
      <c r="D924" s="9"/>
      <c r="E924" s="10">
        <f>VLOOKUP($A924,Presupuesto!$A:$D,4,FALSE())</f>
        <v>0</v>
      </c>
      <c r="F924" s="11" t="s">
        <v>2589</v>
      </c>
      <c r="G924" s="12">
        <f>SUM(G926:G942)/2</f>
        <v>31496.879080057504</v>
      </c>
      <c r="H924" s="13">
        <f>ROUND(SUM(H926:H942),0)/2</f>
        <v>0</v>
      </c>
      <c r="I924" s="10">
        <f>VLOOKUP(A924,Presupuesto!$A:$F,6,0)</f>
        <v>0</v>
      </c>
      <c r="J924" s="10">
        <f>+H924-I924</f>
        <v>0</v>
      </c>
      <c r="K924" s="46">
        <f>+H924-G924*E924</f>
        <v>0</v>
      </c>
    </row>
    <row r="925" spans="1:11" ht="12.75" customHeight="1" thickTop="1">
      <c r="A925" s="14"/>
      <c r="B925" s="15" t="s">
        <v>2586</v>
      </c>
      <c r="C925" s="15" t="s">
        <v>5</v>
      </c>
      <c r="D925" s="16" t="s">
        <v>6</v>
      </c>
      <c r="E925" s="17" t="s">
        <v>7</v>
      </c>
      <c r="F925" s="18" t="s">
        <v>3728</v>
      </c>
      <c r="G925" s="19" t="s">
        <v>3729</v>
      </c>
      <c r="H925" s="20" t="s">
        <v>3797</v>
      </c>
    </row>
    <row r="926" spans="1:11" ht="12.75" customHeight="1">
      <c r="A926" s="21"/>
      <c r="B926" s="22" t="s">
        <v>3730</v>
      </c>
      <c r="C926" s="23"/>
      <c r="D926" s="24"/>
      <c r="E926" s="25"/>
      <c r="F926" s="26"/>
      <c r="G926" s="27">
        <f>SUM(G927:G931)</f>
        <v>24516.240000000002</v>
      </c>
      <c r="H926" s="27">
        <f>IFERROR(G926*E924,"")</f>
        <v>0</v>
      </c>
    </row>
    <row r="927" spans="1:11" ht="12.75" customHeight="1">
      <c r="A927" s="28"/>
      <c r="B927" s="29" t="s">
        <v>2942</v>
      </c>
      <c r="C927" s="30" t="str">
        <f>IFERROR(_xlfn.XLOOKUP(B927,Insumo[DESCRIPCION],Insumo[UND],,0),"")</f>
        <v>Un</v>
      </c>
      <c r="D927" s="31">
        <v>1</v>
      </c>
      <c r="E927" s="32">
        <f>IFERROR(_xlfn.XLOOKUP($B927,Insumo[DESCRIPCION],Insumo[VALOR],,0),"")</f>
        <v>19493.25</v>
      </c>
      <c r="F927" s="33"/>
      <c r="G927" s="34">
        <f>IFERROR(IF(F927&gt;=0,D927*E927*(1+F927/100),ABS(D927*E927/F927)),"")</f>
        <v>19493.25</v>
      </c>
      <c r="H927" s="43">
        <f>IFERROR(G927*E924,"")</f>
        <v>0</v>
      </c>
    </row>
    <row r="928" spans="1:11" ht="12.75" customHeight="1">
      <c r="A928" s="28"/>
      <c r="B928" s="29" t="s">
        <v>3395</v>
      </c>
      <c r="C928" s="30" t="str">
        <f>IFERROR(_xlfn.XLOOKUP(B928,Insumo[DESCRIPCION],Insumo[UND],,0),"")</f>
        <v>M3</v>
      </c>
      <c r="D928" s="31">
        <v>0.1</v>
      </c>
      <c r="E928" s="32">
        <f>IFERROR(_xlfn.XLOOKUP($B928,Insumo[DESCRIPCION],Insumo[VALOR],,0),"")</f>
        <v>47499.9</v>
      </c>
      <c r="F928" s="33"/>
      <c r="G928" s="34">
        <f>IFERROR(IF(F928&gt;=0,D928*E928*(1+F928/100),ABS(D928*E928/F928)),"")</f>
        <v>4749.9900000000007</v>
      </c>
      <c r="H928" s="43">
        <f>IFERROR(G928*E924,"")</f>
        <v>0</v>
      </c>
    </row>
    <row r="929" spans="1:11" ht="12.75" customHeight="1">
      <c r="A929" s="28"/>
      <c r="B929" s="29" t="s">
        <v>2685</v>
      </c>
      <c r="C929" s="30" t="str">
        <f>IFERROR(_xlfn.XLOOKUP(B929,Insumo[DESCRIPCION],Insumo[UND],,0),"")</f>
        <v>Lt</v>
      </c>
      <c r="D929" s="31">
        <v>10</v>
      </c>
      <c r="E929" s="32">
        <f>IFERROR(_xlfn.XLOOKUP($B929,Insumo[DESCRIPCION],Insumo[VALOR],,0),"")</f>
        <v>27.3</v>
      </c>
      <c r="F929" s="33"/>
      <c r="G929" s="34">
        <f>IFERROR(IF(F929&gt;=0,D929*E929*(1+F929/100),ABS(D929*E929/F929)),"")</f>
        <v>273</v>
      </c>
      <c r="H929" s="43">
        <f>IFERROR(G929*E924,"")</f>
        <v>0</v>
      </c>
    </row>
    <row r="930" spans="1:11" ht="12.75" customHeight="1">
      <c r="A930" s="28"/>
      <c r="B930" s="29"/>
      <c r="C930" s="30" t="str">
        <f>IFERROR(_xlfn.XLOOKUP(B930,Insumo[DESCRIPCION],Insumo[UND],,0),"")</f>
        <v/>
      </c>
      <c r="D930" s="31"/>
      <c r="E930" s="32" t="str">
        <f>IFERROR(_xlfn.XLOOKUP($B930,Insumo[DESCRIPCION],Insumo[VALOR],,0),"")</f>
        <v/>
      </c>
      <c r="F930" s="33"/>
      <c r="G930" s="34" t="str">
        <f>IFERROR(IF(F930&gt;=0,D930*E930*(1+F930/100),ABS(D930*E930/F930)),"")</f>
        <v/>
      </c>
      <c r="H930" s="43" t="str">
        <f>IFERROR(G930*E924,"")</f>
        <v/>
      </c>
    </row>
    <row r="931" spans="1:11" ht="12.75" customHeight="1">
      <c r="A931" s="28"/>
      <c r="B931" s="29"/>
      <c r="C931" s="30" t="str">
        <f>IFERROR(_xlfn.XLOOKUP(B931,Insumo[DESCRIPCION],Insumo[UND],,0),"")</f>
        <v/>
      </c>
      <c r="D931" s="31"/>
      <c r="E931" s="32" t="str">
        <f>IFERROR(_xlfn.XLOOKUP($B931,Insumo[DESCRIPCION],Insumo[VALOR],,0),"")</f>
        <v/>
      </c>
      <c r="F931" s="33"/>
      <c r="G931" s="34" t="str">
        <f>IFERROR(IF(F931&gt;=0,D931*E931*(1+F931/100),ABS(D931*E931/F931)),"")</f>
        <v/>
      </c>
      <c r="H931" s="43" t="str">
        <f>IFERROR(G931*E924,"")</f>
        <v/>
      </c>
    </row>
    <row r="932" spans="1:11" ht="12.75" customHeight="1">
      <c r="A932" s="21"/>
      <c r="B932" s="22" t="s">
        <v>3731</v>
      </c>
      <c r="C932" s="23"/>
      <c r="D932" s="24"/>
      <c r="E932" s="25"/>
      <c r="F932" s="26"/>
      <c r="G932" s="27">
        <f>SUM(G933:G935)</f>
        <v>576.3830433075002</v>
      </c>
      <c r="H932" s="44">
        <f>G932*E924</f>
        <v>0</v>
      </c>
    </row>
    <row r="933" spans="1:11" ht="12.75" customHeight="1">
      <c r="A933" s="28"/>
      <c r="B933" s="29" t="s">
        <v>3570</v>
      </c>
      <c r="C933" s="30" t="str">
        <f>IFERROR(_xlfn.XLOOKUP(B933,Equipo[DESCRIPCION],Equipo[UND],,0),"")</f>
        <v>%MO</v>
      </c>
      <c r="D933" s="31">
        <v>0.04</v>
      </c>
      <c r="E933" s="32">
        <f>IF(C933="%MO",G939,IFERROR(_xlfn.XLOOKUP($B933,Equipo[DESCRIPCION],Equipo[VALOR],,0),""))</f>
        <v>6404.2560367500018</v>
      </c>
      <c r="F933" s="33"/>
      <c r="G933" s="34">
        <f>IFERROR(IF(F933&gt;=0,D933*E933*(1+F933/100),ABS(D933*E933/F933)),"")</f>
        <v>256.17024147000006</v>
      </c>
      <c r="H933" s="43">
        <f>IFERROR(G933*E924,"")</f>
        <v>0</v>
      </c>
    </row>
    <row r="934" spans="1:11" ht="12.75" customHeight="1">
      <c r="A934" s="28"/>
      <c r="B934" s="29" t="s">
        <v>3626</v>
      </c>
      <c r="C934" s="30" t="str">
        <f>IFERROR(_xlfn.XLOOKUP(B934,Equipo[DESCRIPCION],Equipo[UND],,0),"")</f>
        <v>%MO</v>
      </c>
      <c r="D934" s="31">
        <v>0.05</v>
      </c>
      <c r="E934" s="32">
        <f>IF(C934="%MO",G939,IFERROR(_xlfn.XLOOKUP($B934,Equipo[DESCRIPCION],Equipo[VALOR],,0),""))</f>
        <v>6404.2560367500018</v>
      </c>
      <c r="F934" s="33"/>
      <c r="G934" s="34">
        <f>IFERROR(IF(F934&gt;=0,D934*E934*(1+F934/100),ABS(D934*E934/F934)),"")</f>
        <v>320.21280183750014</v>
      </c>
      <c r="H934" s="43">
        <f>IFERROR(G934*E924,"")</f>
        <v>0</v>
      </c>
    </row>
    <row r="935" spans="1:11" ht="12.75" customHeight="1">
      <c r="A935" s="28"/>
      <c r="B935" s="29"/>
      <c r="C935" s="30" t="str">
        <f>IFERROR(_xlfn.XLOOKUP(B935,Equipo[DESCRIPCION],Equipo[UND],,0),"")</f>
        <v/>
      </c>
      <c r="D935" s="31"/>
      <c r="E935" s="32" t="str">
        <f>IF(C935="%MO",G939,IFERROR(_xlfn.XLOOKUP($B935,Equipo[DESCRIPCION],Equipo[VALOR],,0),""))</f>
        <v/>
      </c>
      <c r="F935" s="33"/>
      <c r="G935" s="34" t="str">
        <f>IFERROR(IF(F935&gt;=0,D935*E935*(1+F935/100),ABS(D935*E935/F935)),"")</f>
        <v/>
      </c>
      <c r="H935" s="43" t="str">
        <f>IFERROR(G935*E924,"")</f>
        <v/>
      </c>
    </row>
    <row r="936" spans="1:11" ht="12.75" customHeight="1">
      <c r="A936" s="21"/>
      <c r="B936" s="22" t="s">
        <v>2533</v>
      </c>
      <c r="C936" s="23"/>
      <c r="D936" s="24"/>
      <c r="E936" s="25"/>
      <c r="F936" s="26"/>
      <c r="G936" s="27">
        <f>SUM(G937:G938)</f>
        <v>0</v>
      </c>
      <c r="H936" s="44">
        <f>G936*E924</f>
        <v>0</v>
      </c>
    </row>
    <row r="937" spans="1:11" ht="12.75" customHeight="1">
      <c r="A937" s="28"/>
      <c r="B937" s="29"/>
      <c r="C937" s="30" t="str">
        <f>IFERROR(_xlfn.XLOOKUP(B937,Transporte[DESCRIPCION],Transporte[UND],,0),"")</f>
        <v/>
      </c>
      <c r="D937" s="31"/>
      <c r="E937" s="32" t="str">
        <f>IFERROR(_xlfn.XLOOKUP($B937,Transporte[DESCRIPCION],Transporte[VALOR],,0),"")</f>
        <v/>
      </c>
      <c r="F937" s="33"/>
      <c r="G937" s="34" t="str">
        <f>IFERROR(IF(F937&gt;=0,D937*E937*(1+F937/100),ABS(D937*E937/F937)),"")</f>
        <v/>
      </c>
      <c r="H937" s="43" t="str">
        <f>IFERROR(G937*E924,"")</f>
        <v/>
      </c>
    </row>
    <row r="938" spans="1:11" ht="12.75" customHeight="1">
      <c r="A938" s="28"/>
      <c r="B938" s="29"/>
      <c r="C938" s="30" t="str">
        <f>IFERROR(_xlfn.XLOOKUP(B938,Transporte[DESCRIPCION],Transporte[UND],,0),"")</f>
        <v/>
      </c>
      <c r="D938" s="31"/>
      <c r="E938" s="32" t="str">
        <f>IFERROR(_xlfn.XLOOKUP($B938,Transporte[DESCRIPCION],Transporte[VALOR],,0),"")</f>
        <v/>
      </c>
      <c r="F938" s="33"/>
      <c r="G938" s="34" t="str">
        <f>IFERROR(IF(F938&gt;=0,D938*E938*(1+F938/100),ABS(D938*E938/F938)),"")</f>
        <v/>
      </c>
      <c r="H938" s="43" t="str">
        <f>IFERROR(G938*E924,"")</f>
        <v/>
      </c>
    </row>
    <row r="939" spans="1:11" ht="12.75" customHeight="1">
      <c r="A939" s="21"/>
      <c r="B939" s="22" t="s">
        <v>3732</v>
      </c>
      <c r="C939" s="23"/>
      <c r="D939" s="24"/>
      <c r="E939" s="25"/>
      <c r="F939" s="26"/>
      <c r="G939" s="27">
        <f>SUM(G940:G942)</f>
        <v>6404.2560367500018</v>
      </c>
      <c r="H939" s="44">
        <f>G939*E924</f>
        <v>0</v>
      </c>
    </row>
    <row r="940" spans="1:11" ht="12.75" customHeight="1">
      <c r="A940" s="28"/>
      <c r="B940" s="29" t="s">
        <v>3701</v>
      </c>
      <c r="C940" s="30" t="str">
        <f>IFERROR(_xlfn.XLOOKUP(B940,MObra[DESCRIPCION],MObra[UN],,0),"")</f>
        <v>día</v>
      </c>
      <c r="D940" s="31">
        <v>1</v>
      </c>
      <c r="E940" s="32">
        <f>IFERROR(_xlfn.XLOOKUP($B940,MObra[DESCRIPCION],MObra[VALOR UNIT],,0),"")</f>
        <v>128085.12073500003</v>
      </c>
      <c r="F940" s="33">
        <v>-20</v>
      </c>
      <c r="G940" s="34">
        <f>IFERROR(IF(F940&gt;=0,D940*E940*(1+F940/100),ABS(D940*E940/F940)),"")</f>
        <v>6404.2560367500018</v>
      </c>
      <c r="H940" s="43">
        <f>IFERROR(G940*E924,"")</f>
        <v>0</v>
      </c>
    </row>
    <row r="941" spans="1:11" ht="12.75" customHeight="1">
      <c r="A941" s="28"/>
      <c r="B941" s="29"/>
      <c r="C941" s="30" t="str">
        <f>IFERROR(_xlfn.XLOOKUP(B941,MObra[DESCRIPCION],MObra[UN],,0),"")</f>
        <v/>
      </c>
      <c r="D941" s="31"/>
      <c r="E941" s="32" t="str">
        <f>IFERROR(_xlfn.XLOOKUP($B941,MObra[DESCRIPCION],MObra[VALOR UNIT],,0),"")</f>
        <v/>
      </c>
      <c r="F941" s="33"/>
      <c r="G941" s="34" t="str">
        <f>IFERROR(IF(F941&gt;=0,D941*E941*(1+F941/100),ABS(D941*E941/F941)),"")</f>
        <v/>
      </c>
      <c r="H941" s="43" t="str">
        <f>IFERROR(G941*E924,"")</f>
        <v/>
      </c>
    </row>
    <row r="942" spans="1:11" ht="12.75" customHeight="1" thickBot="1">
      <c r="A942" s="35"/>
      <c r="B942" s="36"/>
      <c r="C942" s="37" t="str">
        <f>IFERROR(_xlfn.XLOOKUP(B942,MObra[DESCRIPCION],MObra[UN],,0),"")</f>
        <v/>
      </c>
      <c r="D942" s="38"/>
      <c r="E942" s="39" t="str">
        <f>IFERROR(_xlfn.XLOOKUP($B942,MObra[DESCRIPCION],MObra[VALOR UNIT],,0),"")</f>
        <v/>
      </c>
      <c r="F942" s="40"/>
      <c r="G942" s="41" t="str">
        <f>IFERROR(IF(F942&gt;=0,D942*E942*(1+F942/100),ABS(D942*E942/F942)),"")</f>
        <v/>
      </c>
      <c r="H942" s="42" t="str">
        <f>IFERROR(G942*E924,"")</f>
        <v/>
      </c>
    </row>
    <row r="943" spans="1:11" ht="12.75" customHeight="1" thickTop="1" thickBot="1"/>
    <row r="944" spans="1:11" ht="12.75" customHeight="1" thickTop="1" thickBot="1">
      <c r="A944" s="6" t="s">
        <v>2522</v>
      </c>
      <c r="B944" s="7" t="str">
        <f>VLOOKUP($A944,Presupuesto!$A:$D,2,FALSE())</f>
        <v>Suministro + siembra de árbol H= 0,5 a 3,0</v>
      </c>
      <c r="C944" s="8" t="str">
        <f>VLOOKUP($A944,Presupuesto!$A:$D,3,FALSE())</f>
        <v>Un</v>
      </c>
      <c r="D944" s="9"/>
      <c r="E944" s="10">
        <f>VLOOKUP($A944,Presupuesto!$A:$D,4,FALSE())</f>
        <v>0</v>
      </c>
      <c r="F944" s="11" t="s">
        <v>2589</v>
      </c>
      <c r="G944" s="12">
        <f>SUM(G946:G962)/2</f>
        <v>223171.78184755502</v>
      </c>
      <c r="H944" s="13">
        <f>ROUND(SUM(H946:H962),0)/2</f>
        <v>0</v>
      </c>
      <c r="I944" s="10">
        <f>VLOOKUP(A944,Presupuesto!$A:$F,6,0)</f>
        <v>0</v>
      </c>
      <c r="J944" s="10">
        <f>+H944-I944</f>
        <v>0</v>
      </c>
      <c r="K944" s="46">
        <f>+H944-G944*E944</f>
        <v>0</v>
      </c>
    </row>
    <row r="945" spans="1:8" ht="12.75" customHeight="1" thickTop="1">
      <c r="A945" s="14"/>
      <c r="B945" s="15" t="s">
        <v>2586</v>
      </c>
      <c r="C945" s="15" t="s">
        <v>5</v>
      </c>
      <c r="D945" s="16" t="s">
        <v>6</v>
      </c>
      <c r="E945" s="17" t="s">
        <v>7</v>
      </c>
      <c r="F945" s="18" t="s">
        <v>3728</v>
      </c>
      <c r="G945" s="19" t="s">
        <v>3729</v>
      </c>
      <c r="H945" s="20" t="s">
        <v>3797</v>
      </c>
    </row>
    <row r="946" spans="1:8" ht="12.75" customHeight="1">
      <c r="A946" s="21"/>
      <c r="B946" s="22" t="s">
        <v>3730</v>
      </c>
      <c r="C946" s="23"/>
      <c r="D946" s="24"/>
      <c r="E946" s="25"/>
      <c r="F946" s="26"/>
      <c r="G946" s="27">
        <f>SUM(G947:G951)</f>
        <v>152784.24</v>
      </c>
      <c r="H946" s="27">
        <f>IFERROR(G946*E944,"")</f>
        <v>0</v>
      </c>
    </row>
    <row r="947" spans="1:8" ht="12.75" customHeight="1">
      <c r="A947" s="28"/>
      <c r="B947" s="29" t="s">
        <v>2711</v>
      </c>
      <c r="C947" s="30" t="str">
        <f>IFERROR(_xlfn.XLOOKUP(B947,Insumo[DESCRIPCION],Insumo[UND],,0),"")</f>
        <v>Un</v>
      </c>
      <c r="D947" s="31">
        <v>1</v>
      </c>
      <c r="E947" s="32">
        <f>IFERROR(_xlfn.XLOOKUP($B947,Insumo[DESCRIPCION],Insumo[VALOR],,0),"")</f>
        <v>147761.25</v>
      </c>
      <c r="F947" s="33"/>
      <c r="G947" s="34">
        <f>IFERROR(IF(F947&gt;=0,D947*E947*(1+F947/100),ABS(D947*E947/F947)),"")</f>
        <v>147761.25</v>
      </c>
      <c r="H947" s="43">
        <f>IFERROR(G947*E944,"")</f>
        <v>0</v>
      </c>
    </row>
    <row r="948" spans="1:8" ht="12.75" customHeight="1">
      <c r="A948" s="28"/>
      <c r="B948" s="29" t="s">
        <v>3395</v>
      </c>
      <c r="C948" s="30" t="str">
        <f>IFERROR(_xlfn.XLOOKUP(B948,Insumo[DESCRIPCION],Insumo[UND],,0),"")</f>
        <v>M3</v>
      </c>
      <c r="D948" s="31">
        <v>0.1</v>
      </c>
      <c r="E948" s="32">
        <f>IFERROR(_xlfn.XLOOKUP($B948,Insumo[DESCRIPCION],Insumo[VALOR],,0),"")</f>
        <v>47499.9</v>
      </c>
      <c r="F948" s="33"/>
      <c r="G948" s="34">
        <f>IFERROR(IF(F948&gt;=0,D948*E948*(1+F948/100),ABS(D948*E948/F948)),"")</f>
        <v>4749.9900000000007</v>
      </c>
      <c r="H948" s="43">
        <f>IFERROR(G948*E944,"")</f>
        <v>0</v>
      </c>
    </row>
    <row r="949" spans="1:8" ht="12.75" customHeight="1">
      <c r="A949" s="28"/>
      <c r="B949" s="29" t="s">
        <v>2685</v>
      </c>
      <c r="C949" s="30" t="str">
        <f>IFERROR(_xlfn.XLOOKUP(B949,Insumo[DESCRIPCION],Insumo[UND],,0),"")</f>
        <v>Lt</v>
      </c>
      <c r="D949" s="31">
        <v>10</v>
      </c>
      <c r="E949" s="32">
        <f>IFERROR(_xlfn.XLOOKUP($B949,Insumo[DESCRIPCION],Insumo[VALOR],,0),"")</f>
        <v>27.3</v>
      </c>
      <c r="F949" s="33"/>
      <c r="G949" s="34">
        <f>IFERROR(IF(F949&gt;=0,D949*E949*(1+F949/100),ABS(D949*E949/F949)),"")</f>
        <v>273</v>
      </c>
      <c r="H949" s="43">
        <f>IFERROR(G949*E944,"")</f>
        <v>0</v>
      </c>
    </row>
    <row r="950" spans="1:8" ht="12.75" customHeight="1">
      <c r="A950" s="28"/>
      <c r="B950" s="29"/>
      <c r="C950" s="30" t="str">
        <f>IFERROR(_xlfn.XLOOKUP(B950,Insumo[DESCRIPCION],Insumo[UND],,0),"")</f>
        <v/>
      </c>
      <c r="D950" s="31"/>
      <c r="E950" s="32" t="str">
        <f>IFERROR(_xlfn.XLOOKUP($B950,Insumo[DESCRIPCION],Insumo[VALOR],,0),"")</f>
        <v/>
      </c>
      <c r="F950" s="33"/>
      <c r="G950" s="34" t="str">
        <f>IFERROR(IF(F950&gt;=0,D950*E950*(1+F950/100),ABS(D950*E950/F950)),"")</f>
        <v/>
      </c>
      <c r="H950" s="43" t="str">
        <f>IFERROR(G950*E944,"")</f>
        <v/>
      </c>
    </row>
    <row r="951" spans="1:8" ht="12.75" customHeight="1">
      <c r="A951" s="28"/>
      <c r="B951" s="29"/>
      <c r="C951" s="30" t="str">
        <f>IFERROR(_xlfn.XLOOKUP(B951,Insumo[DESCRIPCION],Insumo[UND],,0),"")</f>
        <v/>
      </c>
      <c r="D951" s="31"/>
      <c r="E951" s="32" t="str">
        <f>IFERROR(_xlfn.XLOOKUP($B951,Insumo[DESCRIPCION],Insumo[VALOR],,0),"")</f>
        <v/>
      </c>
      <c r="F951" s="33"/>
      <c r="G951" s="34" t="str">
        <f>IFERROR(IF(F951&gt;=0,D951*E951*(1+F951/100),ABS(D951*E951/F951)),"")</f>
        <v/>
      </c>
      <c r="H951" s="43" t="str">
        <f>IFERROR(G951*E944,"")</f>
        <v/>
      </c>
    </row>
    <row r="952" spans="1:8" ht="12.75" customHeight="1">
      <c r="A952" s="21"/>
      <c r="B952" s="22" t="s">
        <v>3731</v>
      </c>
      <c r="C952" s="23"/>
      <c r="D952" s="24"/>
      <c r="E952" s="25"/>
      <c r="F952" s="26"/>
      <c r="G952" s="27">
        <f>SUM(G953:G955)</f>
        <v>2829.5167580550005</v>
      </c>
      <c r="H952" s="44">
        <f>G952*E944</f>
        <v>0</v>
      </c>
    </row>
    <row r="953" spans="1:8" ht="12.75" customHeight="1">
      <c r="A953" s="28"/>
      <c r="B953" s="29" t="s">
        <v>3570</v>
      </c>
      <c r="C953" s="30" t="str">
        <f>IFERROR(_xlfn.XLOOKUP(B953,Equipo[DESCRIPCION],Equipo[UND],,0),"")</f>
        <v>%MO</v>
      </c>
      <c r="D953" s="31">
        <v>0.04</v>
      </c>
      <c r="E953" s="32">
        <f>IF(C953="%MO",G959,IFERROR(_xlfn.XLOOKUP($B953,Equipo[DESCRIPCION],Equipo[VALOR],,0),""))</f>
        <v>31439.075089500006</v>
      </c>
      <c r="F953" s="33"/>
      <c r="G953" s="34">
        <f>IFERROR(IF(F953&gt;=0,D953*E953*(1+F953/100),ABS(D953*E953/F953)),"")</f>
        <v>1257.5630035800002</v>
      </c>
      <c r="H953" s="43">
        <f>IFERROR(G953*E944,"")</f>
        <v>0</v>
      </c>
    </row>
    <row r="954" spans="1:8" ht="12.75" customHeight="1">
      <c r="A954" s="28"/>
      <c r="B954" s="29" t="s">
        <v>3626</v>
      </c>
      <c r="C954" s="30" t="str">
        <f>IFERROR(_xlfn.XLOOKUP(B954,Equipo[DESCRIPCION],Equipo[UND],,0),"")</f>
        <v>%MO</v>
      </c>
      <c r="D954" s="31">
        <v>0.05</v>
      </c>
      <c r="E954" s="32">
        <f>IF(C954="%MO",G959,IFERROR(_xlfn.XLOOKUP($B954,Equipo[DESCRIPCION],Equipo[VALOR],,0),""))</f>
        <v>31439.075089500006</v>
      </c>
      <c r="F954" s="33"/>
      <c r="G954" s="34">
        <f>IFERROR(IF(F954&gt;=0,D954*E954*(1+F954/100),ABS(D954*E954/F954)),"")</f>
        <v>1571.9537544750003</v>
      </c>
      <c r="H954" s="43">
        <f>IFERROR(G954*E944,"")</f>
        <v>0</v>
      </c>
    </row>
    <row r="955" spans="1:8" ht="12.75" customHeight="1">
      <c r="A955" s="28"/>
      <c r="B955" s="29"/>
      <c r="C955" s="30" t="str">
        <f>IFERROR(_xlfn.XLOOKUP(B955,Equipo[DESCRIPCION],Equipo[UND],,0),"")</f>
        <v/>
      </c>
      <c r="D955" s="31"/>
      <c r="E955" s="32" t="str">
        <f>IF(C955="%MO",G959,IFERROR(_xlfn.XLOOKUP($B955,Equipo[DESCRIPCION],Equipo[VALOR],,0),""))</f>
        <v/>
      </c>
      <c r="F955" s="33"/>
      <c r="G955" s="34" t="str">
        <f>IFERROR(IF(F955&gt;=0,D955*E955*(1+F955/100),ABS(D955*E955/F955)),"")</f>
        <v/>
      </c>
      <c r="H955" s="43" t="str">
        <f>IFERROR(G955*E944,"")</f>
        <v/>
      </c>
    </row>
    <row r="956" spans="1:8" ht="12.75" customHeight="1">
      <c r="A956" s="21"/>
      <c r="B956" s="22" t="s">
        <v>2533</v>
      </c>
      <c r="C956" s="23"/>
      <c r="D956" s="24"/>
      <c r="E956" s="25"/>
      <c r="F956" s="26"/>
      <c r="G956" s="27">
        <f>SUM(G957:G958)</f>
        <v>36118.950000000004</v>
      </c>
      <c r="H956" s="44">
        <f>G956*E944</f>
        <v>0</v>
      </c>
    </row>
    <row r="957" spans="1:8" ht="12.75" customHeight="1">
      <c r="A957" s="28"/>
      <c r="B957" s="29" t="s">
        <v>3663</v>
      </c>
      <c r="C957" s="30" t="str">
        <f>IFERROR(_xlfn.XLOOKUP(B957,Transporte[DESCRIPCION],Transporte[UND],,0),"")</f>
        <v>Hr</v>
      </c>
      <c r="D957" s="31">
        <v>1</v>
      </c>
      <c r="E957" s="32">
        <f>IFERROR(_xlfn.XLOOKUP($B957,Transporte[DESCRIPCION],Transporte[VALOR],,0),"")</f>
        <v>36118.950000000004</v>
      </c>
      <c r="F957" s="33"/>
      <c r="G957" s="34">
        <f>IFERROR(IF(F957&gt;=0,D957*E957*(1+F957/100),ABS(D957*E957/F957)),"")</f>
        <v>36118.950000000004</v>
      </c>
      <c r="H957" s="43">
        <f>IFERROR(G957*E944,"")</f>
        <v>0</v>
      </c>
    </row>
    <row r="958" spans="1:8" ht="12.75" customHeight="1">
      <c r="A958" s="28"/>
      <c r="B958" s="29"/>
      <c r="C958" s="30" t="str">
        <f>IFERROR(_xlfn.XLOOKUP(B958,Transporte[DESCRIPCION],Transporte[UND],,0),"")</f>
        <v/>
      </c>
      <c r="D958" s="31"/>
      <c r="E958" s="32" t="str">
        <f>IFERROR(_xlfn.XLOOKUP($B958,Transporte[DESCRIPCION],Transporte[VALOR],,0),"")</f>
        <v/>
      </c>
      <c r="F958" s="33"/>
      <c r="G958" s="34" t="str">
        <f>IFERROR(IF(F958&gt;=0,D958*E958*(1+F958/100),ABS(D958*E958/F958)),"")</f>
        <v/>
      </c>
      <c r="H958" s="43" t="str">
        <f>IFERROR(G958*E944,"")</f>
        <v/>
      </c>
    </row>
    <row r="959" spans="1:8" ht="12.75" customHeight="1">
      <c r="A959" s="21"/>
      <c r="B959" s="22" t="s">
        <v>3732</v>
      </c>
      <c r="C959" s="23"/>
      <c r="D959" s="24"/>
      <c r="E959" s="25"/>
      <c r="F959" s="26"/>
      <c r="G959" s="27">
        <f>SUM(G960:G962)</f>
        <v>31439.075089500006</v>
      </c>
      <c r="H959" s="44">
        <f>G959*E944</f>
        <v>0</v>
      </c>
    </row>
    <row r="960" spans="1:8" ht="12.75" customHeight="1">
      <c r="A960" s="28"/>
      <c r="B960" s="29" t="s">
        <v>3710</v>
      </c>
      <c r="C960" s="30" t="str">
        <f>IFERROR(_xlfn.XLOOKUP(B960,MObra[DESCRIPCION],MObra[UN],,0),"")</f>
        <v>día</v>
      </c>
      <c r="D960" s="31">
        <v>1</v>
      </c>
      <c r="E960" s="32">
        <f>IFERROR(_xlfn.XLOOKUP($B960,MObra[DESCRIPCION],MObra[VALOR UNIT],,0),"")</f>
        <v>314390.75089500006</v>
      </c>
      <c r="F960" s="33">
        <v>-10</v>
      </c>
      <c r="G960" s="34">
        <f>IFERROR(IF(F960&gt;=0,D960*E960*(1+F960/100),ABS(D960*E960/F960)),"")</f>
        <v>31439.075089500006</v>
      </c>
      <c r="H960" s="43">
        <f>IFERROR(G960*E944,"")</f>
        <v>0</v>
      </c>
    </row>
    <row r="961" spans="1:11" ht="12.75" customHeight="1">
      <c r="A961" s="28"/>
      <c r="B961" s="29"/>
      <c r="C961" s="30" t="str">
        <f>IFERROR(_xlfn.XLOOKUP(B961,MObra[DESCRIPCION],MObra[UN],,0),"")</f>
        <v/>
      </c>
      <c r="D961" s="31"/>
      <c r="E961" s="32" t="str">
        <f>IFERROR(_xlfn.XLOOKUP($B961,MObra[DESCRIPCION],MObra[VALOR UNIT],,0),"")</f>
        <v/>
      </c>
      <c r="F961" s="33"/>
      <c r="G961" s="34" t="str">
        <f>IFERROR(IF(F961&gt;=0,D961*E961*(1+F961/100),ABS(D961*E961/F961)),"")</f>
        <v/>
      </c>
      <c r="H961" s="43" t="str">
        <f>IFERROR(G961*E944,"")</f>
        <v/>
      </c>
    </row>
    <row r="962" spans="1:11" ht="12.75" customHeight="1" thickBot="1">
      <c r="A962" s="35"/>
      <c r="B962" s="36"/>
      <c r="C962" s="37" t="str">
        <f>IFERROR(_xlfn.XLOOKUP(B962,MObra[DESCRIPCION],MObra[UN],,0),"")</f>
        <v/>
      </c>
      <c r="D962" s="38"/>
      <c r="E962" s="39" t="str">
        <f>IFERROR(_xlfn.XLOOKUP($B962,MObra[DESCRIPCION],MObra[VALOR UNIT],,0),"")</f>
        <v/>
      </c>
      <c r="F962" s="40"/>
      <c r="G962" s="41" t="str">
        <f>IFERROR(IF(F962&gt;=0,D962*E962*(1+F962/100),ABS(D962*E962/F962)),"")</f>
        <v/>
      </c>
      <c r="H962" s="42" t="str">
        <f>IFERROR(G962*E944,"")</f>
        <v/>
      </c>
    </row>
    <row r="963" spans="1:11" ht="12.75" customHeight="1" thickTop="1" thickBot="1"/>
    <row r="964" spans="1:11" ht="12.75" customHeight="1" thickTop="1" thickBot="1">
      <c r="A964" s="6" t="s">
        <v>2524</v>
      </c>
      <c r="B964" s="7" t="str">
        <f>VLOOKUP($A964,Presupuesto!$A:$D,2,FALSE())</f>
        <v>Suministro + siembra de árbol H= 3,0 m</v>
      </c>
      <c r="C964" s="8" t="str">
        <f>VLOOKUP($A964,Presupuesto!$A:$D,3,FALSE())</f>
        <v>Un</v>
      </c>
      <c r="D964" s="9"/>
      <c r="E964" s="10">
        <f>VLOOKUP($A964,Presupuesto!$A:$D,4,FALSE())</f>
        <v>0</v>
      </c>
      <c r="F964" s="11" t="s">
        <v>2589</v>
      </c>
      <c r="G964" s="12">
        <f>SUM(G966:G982)/2</f>
        <v>263784.82605496875</v>
      </c>
      <c r="H964" s="13">
        <f>ROUND(SUM(H966:H982),0)/2</f>
        <v>0</v>
      </c>
      <c r="I964" s="10">
        <f>VLOOKUP(A964,Presupuesto!$A:$F,6,0)</f>
        <v>0</v>
      </c>
      <c r="J964" s="10">
        <f>+H964-I964</f>
        <v>0</v>
      </c>
      <c r="K964" s="46">
        <f>+H964-G964*E964</f>
        <v>0</v>
      </c>
    </row>
    <row r="965" spans="1:11" ht="12.75" customHeight="1" thickTop="1">
      <c r="A965" s="14"/>
      <c r="B965" s="15" t="s">
        <v>2586</v>
      </c>
      <c r="C965" s="15" t="s">
        <v>5</v>
      </c>
      <c r="D965" s="16" t="s">
        <v>6</v>
      </c>
      <c r="E965" s="17" t="s">
        <v>7</v>
      </c>
      <c r="F965" s="18" t="s">
        <v>3728</v>
      </c>
      <c r="G965" s="19" t="s">
        <v>3729</v>
      </c>
      <c r="H965" s="20" t="s">
        <v>3797</v>
      </c>
    </row>
    <row r="966" spans="1:11" ht="12.75" customHeight="1">
      <c r="A966" s="21"/>
      <c r="B966" s="22" t="s">
        <v>3730</v>
      </c>
      <c r="C966" s="23"/>
      <c r="D966" s="24"/>
      <c r="E966" s="25"/>
      <c r="F966" s="26"/>
      <c r="G966" s="27">
        <f>SUM(G967:G971)</f>
        <v>175516.74</v>
      </c>
      <c r="H966" s="27">
        <f>IFERROR(G966*E964,"")</f>
        <v>0</v>
      </c>
    </row>
    <row r="967" spans="1:11" ht="12.75" customHeight="1">
      <c r="A967" s="28"/>
      <c r="B967" s="29" t="s">
        <v>2712</v>
      </c>
      <c r="C967" s="30" t="str">
        <f>IFERROR(_xlfn.XLOOKUP(B967,Insumo[DESCRIPCION],Insumo[UND],,0),"")</f>
        <v>Un</v>
      </c>
      <c r="D967" s="31">
        <v>1</v>
      </c>
      <c r="E967" s="32">
        <f>IFERROR(_xlfn.XLOOKUP($B967,Insumo[DESCRIPCION],Insumo[VALOR],,0),"")</f>
        <v>170493.75</v>
      </c>
      <c r="F967" s="33"/>
      <c r="G967" s="34">
        <f>IFERROR(IF(F967&gt;=0,D967*E967*(1+F967/100),ABS(D967*E967/F967)),"")</f>
        <v>170493.75</v>
      </c>
      <c r="H967" s="43">
        <f>IFERROR(G967*E964,"")</f>
        <v>0</v>
      </c>
    </row>
    <row r="968" spans="1:11" ht="12.75" customHeight="1">
      <c r="A968" s="28"/>
      <c r="B968" s="29" t="s">
        <v>3395</v>
      </c>
      <c r="C968" s="30" t="str">
        <f>IFERROR(_xlfn.XLOOKUP(B968,Insumo[DESCRIPCION],Insumo[UND],,0),"")</f>
        <v>M3</v>
      </c>
      <c r="D968" s="31">
        <v>0.1</v>
      </c>
      <c r="E968" s="32">
        <f>IFERROR(_xlfn.XLOOKUP($B968,Insumo[DESCRIPCION],Insumo[VALOR],,0),"")</f>
        <v>47499.9</v>
      </c>
      <c r="F968" s="33"/>
      <c r="G968" s="34">
        <f>IFERROR(IF(F968&gt;=0,D968*E968*(1+F968/100),ABS(D968*E968/F968)),"")</f>
        <v>4749.9900000000007</v>
      </c>
      <c r="H968" s="43">
        <f>IFERROR(G968*E964,"")</f>
        <v>0</v>
      </c>
    </row>
    <row r="969" spans="1:11" ht="12.75" customHeight="1">
      <c r="A969" s="28"/>
      <c r="B969" s="29" t="s">
        <v>2685</v>
      </c>
      <c r="C969" s="30" t="str">
        <f>IFERROR(_xlfn.XLOOKUP(B969,Insumo[DESCRIPCION],Insumo[UND],,0),"")</f>
        <v>Lt</v>
      </c>
      <c r="D969" s="31">
        <v>10</v>
      </c>
      <c r="E969" s="32">
        <f>IFERROR(_xlfn.XLOOKUP($B969,Insumo[DESCRIPCION],Insumo[VALOR],,0),"")</f>
        <v>27.3</v>
      </c>
      <c r="F969" s="33"/>
      <c r="G969" s="34">
        <f>IFERROR(IF(F969&gt;=0,D969*E969*(1+F969/100),ABS(D969*E969/F969)),"")</f>
        <v>273</v>
      </c>
      <c r="H969" s="43">
        <f>IFERROR(G969*E964,"")</f>
        <v>0</v>
      </c>
    </row>
    <row r="970" spans="1:11" ht="12.75" customHeight="1">
      <c r="A970" s="28"/>
      <c r="B970" s="29"/>
      <c r="C970" s="30" t="str">
        <f>IFERROR(_xlfn.XLOOKUP(B970,Insumo[DESCRIPCION],Insumo[UND],,0),"")</f>
        <v/>
      </c>
      <c r="D970" s="31"/>
      <c r="E970" s="32" t="str">
        <f>IFERROR(_xlfn.XLOOKUP($B970,Insumo[DESCRIPCION],Insumo[VALOR],,0),"")</f>
        <v/>
      </c>
      <c r="F970" s="33"/>
      <c r="G970" s="34" t="str">
        <f>IFERROR(IF(F970&gt;=0,D970*E970*(1+F970/100),ABS(D970*E970/F970)),"")</f>
        <v/>
      </c>
      <c r="H970" s="43" t="str">
        <f>IFERROR(G970*E964,"")</f>
        <v/>
      </c>
    </row>
    <row r="971" spans="1:11" ht="12.75" customHeight="1">
      <c r="A971" s="28"/>
      <c r="B971" s="29"/>
      <c r="C971" s="30" t="str">
        <f>IFERROR(_xlfn.XLOOKUP(B971,Insumo[DESCRIPCION],Insumo[UND],,0),"")</f>
        <v/>
      </c>
      <c r="D971" s="31"/>
      <c r="E971" s="32" t="str">
        <f>IFERROR(_xlfn.XLOOKUP($B971,Insumo[DESCRIPCION],Insumo[VALOR],,0),"")</f>
        <v/>
      </c>
      <c r="F971" s="33"/>
      <c r="G971" s="34" t="str">
        <f>IFERROR(IF(F971&gt;=0,D971*E971*(1+F971/100),ABS(D971*E971/F971)),"")</f>
        <v/>
      </c>
      <c r="H971" s="43" t="str">
        <f>IFERROR(G971*E964,"")</f>
        <v/>
      </c>
    </row>
    <row r="972" spans="1:11" ht="12.75" customHeight="1">
      <c r="A972" s="21"/>
      <c r="B972" s="22" t="s">
        <v>3731</v>
      </c>
      <c r="C972" s="23"/>
      <c r="D972" s="24"/>
      <c r="E972" s="25"/>
      <c r="F972" s="26"/>
      <c r="G972" s="27">
        <f>SUM(G973:G975)</f>
        <v>12850.292193093752</v>
      </c>
      <c r="H972" s="44">
        <f>G972*E964</f>
        <v>0</v>
      </c>
    </row>
    <row r="973" spans="1:11" ht="12.75" customHeight="1">
      <c r="A973" s="28"/>
      <c r="B973" s="29" t="s">
        <v>3622</v>
      </c>
      <c r="C973" s="30" t="str">
        <f>IFERROR(_xlfn.XLOOKUP(B973,Equipo[DESCRIPCION],Equipo[UND],,0),"")</f>
        <v>Hr</v>
      </c>
      <c r="D973" s="31">
        <v>1</v>
      </c>
      <c r="E973" s="32">
        <f>IF(C973="%MO",G979,IFERROR(_xlfn.XLOOKUP($B973,Equipo[DESCRIPCION],Equipo[VALOR],,0),""))</f>
        <v>87082.8</v>
      </c>
      <c r="F973" s="33">
        <v>-8</v>
      </c>
      <c r="G973" s="34">
        <f>IFERROR(IF(F973&gt;=0,D973*E973*(1+F973/100),ABS(D973*E973/F973)),"")</f>
        <v>10885.35</v>
      </c>
      <c r="H973" s="43">
        <f>IFERROR(G973*E964,"")</f>
        <v>0</v>
      </c>
    </row>
    <row r="974" spans="1:11" ht="12.75" customHeight="1">
      <c r="A974" s="28"/>
      <c r="B974" s="29" t="s">
        <v>3626</v>
      </c>
      <c r="C974" s="30" t="str">
        <f>IFERROR(_xlfn.XLOOKUP(B974,Equipo[DESCRIPCION],Equipo[UND],,0),"")</f>
        <v>%MO</v>
      </c>
      <c r="D974" s="31">
        <v>0.05</v>
      </c>
      <c r="E974" s="32">
        <f>IF(C974="%MO",G979,IFERROR(_xlfn.XLOOKUP($B974,Equipo[DESCRIPCION],Equipo[VALOR],,0),""))</f>
        <v>39298.843861875008</v>
      </c>
      <c r="F974" s="33"/>
      <c r="G974" s="34">
        <f>IFERROR(IF(F974&gt;=0,D974*E974*(1+F974/100),ABS(D974*E974/F974)),"")</f>
        <v>1964.9421930937506</v>
      </c>
      <c r="H974" s="43">
        <f>IFERROR(G974*E964,"")</f>
        <v>0</v>
      </c>
    </row>
    <row r="975" spans="1:11" ht="12.75" customHeight="1">
      <c r="A975" s="28"/>
      <c r="B975" s="29"/>
      <c r="C975" s="30" t="str">
        <f>IFERROR(_xlfn.XLOOKUP(B975,Equipo[DESCRIPCION],Equipo[UND],,0),"")</f>
        <v/>
      </c>
      <c r="D975" s="31"/>
      <c r="E975" s="32" t="str">
        <f>IF(C975="%MO",G979,IFERROR(_xlfn.XLOOKUP($B975,Equipo[DESCRIPCION],Equipo[VALOR],,0),""))</f>
        <v/>
      </c>
      <c r="F975" s="33"/>
      <c r="G975" s="34" t="str">
        <f>IFERROR(IF(F975&gt;=0,D975*E975*(1+F975/100),ABS(D975*E975/F975)),"")</f>
        <v/>
      </c>
      <c r="H975" s="43" t="str">
        <f>IFERROR(G975*E964,"")</f>
        <v/>
      </c>
    </row>
    <row r="976" spans="1:11" ht="12.75" customHeight="1">
      <c r="A976" s="21"/>
      <c r="B976" s="22" t="s">
        <v>2533</v>
      </c>
      <c r="C976" s="23"/>
      <c r="D976" s="24"/>
      <c r="E976" s="25"/>
      <c r="F976" s="26"/>
      <c r="G976" s="27">
        <f>SUM(G977:G978)</f>
        <v>36118.950000000004</v>
      </c>
      <c r="H976" s="44">
        <f>G976*E964</f>
        <v>0</v>
      </c>
    </row>
    <row r="977" spans="1:11" ht="12.75" customHeight="1">
      <c r="A977" s="28"/>
      <c r="B977" s="29" t="s">
        <v>3663</v>
      </c>
      <c r="C977" s="30" t="str">
        <f>IFERROR(_xlfn.XLOOKUP(B977,Transporte[DESCRIPCION],Transporte[UND],,0),"")</f>
        <v>Hr</v>
      </c>
      <c r="D977" s="31">
        <v>1</v>
      </c>
      <c r="E977" s="32">
        <f>IFERROR(_xlfn.XLOOKUP($B977,Transporte[DESCRIPCION],Transporte[VALOR],,0),"")</f>
        <v>36118.950000000004</v>
      </c>
      <c r="F977" s="33"/>
      <c r="G977" s="34">
        <f>IFERROR(IF(F977&gt;=0,D977*E977*(1+F977/100),ABS(D977*E977/F977)),"")</f>
        <v>36118.950000000004</v>
      </c>
      <c r="H977" s="43">
        <f>IFERROR(G977*E964,"")</f>
        <v>0</v>
      </c>
    </row>
    <row r="978" spans="1:11" ht="12.75" customHeight="1">
      <c r="A978" s="28"/>
      <c r="B978" s="29"/>
      <c r="C978" s="30" t="str">
        <f>IFERROR(_xlfn.XLOOKUP(B978,Transporte[DESCRIPCION],Transporte[UND],,0),"")</f>
        <v/>
      </c>
      <c r="D978" s="31"/>
      <c r="E978" s="32" t="str">
        <f>IFERROR(_xlfn.XLOOKUP($B978,Transporte[DESCRIPCION],Transporte[VALOR],,0),"")</f>
        <v/>
      </c>
      <c r="F978" s="33"/>
      <c r="G978" s="34" t="str">
        <f>IFERROR(IF(F978&gt;=0,D978*E978*(1+F978/100),ABS(D978*E978/F978)),"")</f>
        <v/>
      </c>
      <c r="H978" s="43" t="str">
        <f>IFERROR(G978*E964,"")</f>
        <v/>
      </c>
    </row>
    <row r="979" spans="1:11" ht="12.75" customHeight="1">
      <c r="A979" s="21"/>
      <c r="B979" s="22" t="s">
        <v>3732</v>
      </c>
      <c r="C979" s="23"/>
      <c r="D979" s="24"/>
      <c r="E979" s="25"/>
      <c r="F979" s="26"/>
      <c r="G979" s="27">
        <f>SUM(G980:G982)</f>
        <v>39298.843861875008</v>
      </c>
      <c r="H979" s="44">
        <f>G979*E964</f>
        <v>0</v>
      </c>
    </row>
    <row r="980" spans="1:11" ht="12.75" customHeight="1">
      <c r="A980" s="28"/>
      <c r="B980" s="29" t="s">
        <v>3710</v>
      </c>
      <c r="C980" s="30" t="str">
        <f>IFERROR(_xlfn.XLOOKUP(B980,MObra[DESCRIPCION],MObra[UN],,0),"")</f>
        <v>día</v>
      </c>
      <c r="D980" s="31">
        <v>1</v>
      </c>
      <c r="E980" s="32">
        <f>IFERROR(_xlfn.XLOOKUP($B980,MObra[DESCRIPCION],MObra[VALOR UNIT],,0),"")</f>
        <v>314390.75089500006</v>
      </c>
      <c r="F980" s="33">
        <v>-8</v>
      </c>
      <c r="G980" s="34">
        <f>IFERROR(IF(F980&gt;=0,D980*E980*(1+F980/100),ABS(D980*E980/F980)),"")</f>
        <v>39298.843861875008</v>
      </c>
      <c r="H980" s="43">
        <f>IFERROR(G980*E964,"")</f>
        <v>0</v>
      </c>
    </row>
    <row r="981" spans="1:11" ht="12.75" customHeight="1">
      <c r="A981" s="28"/>
      <c r="B981" s="29"/>
      <c r="C981" s="30" t="str">
        <f>IFERROR(_xlfn.XLOOKUP(B981,MObra[DESCRIPCION],MObra[UN],,0),"")</f>
        <v/>
      </c>
      <c r="D981" s="31"/>
      <c r="E981" s="32" t="str">
        <f>IFERROR(_xlfn.XLOOKUP($B981,MObra[DESCRIPCION],MObra[VALOR UNIT],,0),"")</f>
        <v/>
      </c>
      <c r="F981" s="33"/>
      <c r="G981" s="34" t="str">
        <f>IFERROR(IF(F981&gt;=0,D981*E981*(1+F981/100),ABS(D981*E981/F981)),"")</f>
        <v/>
      </c>
      <c r="H981" s="43" t="str">
        <f>IFERROR(G981*E964,"")</f>
        <v/>
      </c>
    </row>
    <row r="982" spans="1:11" ht="12.75" customHeight="1" thickBot="1">
      <c r="A982" s="35"/>
      <c r="B982" s="36"/>
      <c r="C982" s="37" t="str">
        <f>IFERROR(_xlfn.XLOOKUP(B982,MObra[DESCRIPCION],MObra[UN],,0),"")</f>
        <v/>
      </c>
      <c r="D982" s="38"/>
      <c r="E982" s="39" t="str">
        <f>IFERROR(_xlfn.XLOOKUP($B982,MObra[DESCRIPCION],MObra[VALOR UNIT],,0),"")</f>
        <v/>
      </c>
      <c r="F982" s="40"/>
      <c r="G982" s="41" t="str">
        <f>IFERROR(IF(F982&gt;=0,D982*E982*(1+F982/100),ABS(D982*E982/F982)),"")</f>
        <v/>
      </c>
      <c r="H982" s="42" t="str">
        <f>IFERROR(G982*E964,"")</f>
        <v/>
      </c>
    </row>
    <row r="983" spans="1:11" ht="12.75" customHeight="1" thickTop="1" thickBot="1"/>
    <row r="984" spans="1:11" ht="12.75" customHeight="1" thickTop="1" thickBot="1">
      <c r="A984" s="6" t="s">
        <v>2526</v>
      </c>
      <c r="B984" s="7" t="str">
        <f>VLOOKUP($A984,Presupuesto!$A:$D,2,FALSE())</f>
        <v>Suministro + siembra de palmera H= ≥1.50 m y ≤ 3 m</v>
      </c>
      <c r="C984" s="8" t="str">
        <f>VLOOKUP($A984,Presupuesto!$A:$D,3,FALSE())</f>
        <v>Un</v>
      </c>
      <c r="D984" s="9"/>
      <c r="E984" s="10">
        <f>VLOOKUP($A984,Presupuesto!$A:$D,4,FALSE())</f>
        <v>0</v>
      </c>
      <c r="F984" s="11" t="s">
        <v>2589</v>
      </c>
      <c r="G984" s="12">
        <f>SUM(G986:G1002)/2</f>
        <v>328658.89423777501</v>
      </c>
      <c r="H984" s="13">
        <f>ROUND(SUM(H986:H1002),0)/2</f>
        <v>0</v>
      </c>
      <c r="I984" s="10">
        <f>VLOOKUP(A984,Presupuesto!$A:$F,6,0)</f>
        <v>0</v>
      </c>
      <c r="J984" s="10">
        <f>+H984-I984</f>
        <v>0</v>
      </c>
      <c r="K984" s="46">
        <f>+H984-G984*E984</f>
        <v>0</v>
      </c>
    </row>
    <row r="985" spans="1:11" ht="12.75" customHeight="1" thickTop="1">
      <c r="A985" s="14"/>
      <c r="B985" s="15" t="s">
        <v>2586</v>
      </c>
      <c r="C985" s="15" t="s">
        <v>5</v>
      </c>
      <c r="D985" s="16" t="s">
        <v>6</v>
      </c>
      <c r="E985" s="17" t="s">
        <v>7</v>
      </c>
      <c r="F985" s="18" t="s">
        <v>3728</v>
      </c>
      <c r="G985" s="19" t="s">
        <v>3729</v>
      </c>
      <c r="H985" s="20" t="s">
        <v>3797</v>
      </c>
    </row>
    <row r="986" spans="1:11" ht="12.75" customHeight="1">
      <c r="A986" s="21"/>
      <c r="B986" s="22" t="s">
        <v>3730</v>
      </c>
      <c r="C986" s="23"/>
      <c r="D986" s="24"/>
      <c r="E986" s="25"/>
      <c r="F986" s="26"/>
      <c r="G986" s="27">
        <f>SUM(G987:G991)</f>
        <v>121196.985</v>
      </c>
      <c r="H986" s="27">
        <f>IFERROR(G986*E984,"")</f>
        <v>0</v>
      </c>
    </row>
    <row r="987" spans="1:11" ht="12.75" customHeight="1">
      <c r="A987" s="28"/>
      <c r="B987" s="29" t="s">
        <v>3182</v>
      </c>
      <c r="C987" s="30" t="str">
        <f>IFERROR(_xlfn.XLOOKUP(B987,Insumo[DESCRIPCION],Insumo[UND],,0),"")</f>
        <v>Un</v>
      </c>
      <c r="D987" s="31">
        <v>1</v>
      </c>
      <c r="E987" s="32">
        <f>IFERROR(_xlfn.XLOOKUP($B987,Insumo[DESCRIPCION],Insumo[VALOR],,0),"")</f>
        <v>113662.5</v>
      </c>
      <c r="F987" s="33"/>
      <c r="G987" s="34">
        <f>IFERROR(IF(F987&gt;=0,D987*E987*(1+F987/100),ABS(D987*E987/F987)),"")</f>
        <v>113662.5</v>
      </c>
      <c r="H987" s="43">
        <f>IFERROR(G987*E984,"")</f>
        <v>0</v>
      </c>
    </row>
    <row r="988" spans="1:11" ht="12.75" customHeight="1">
      <c r="A988" s="28"/>
      <c r="B988" s="29" t="s">
        <v>3395</v>
      </c>
      <c r="C988" s="30" t="str">
        <f>IFERROR(_xlfn.XLOOKUP(B988,Insumo[DESCRIPCION],Insumo[UND],,0),"")</f>
        <v>M3</v>
      </c>
      <c r="D988" s="31">
        <v>0.15</v>
      </c>
      <c r="E988" s="32">
        <f>IFERROR(_xlfn.XLOOKUP($B988,Insumo[DESCRIPCION],Insumo[VALOR],,0),"")</f>
        <v>47499.9</v>
      </c>
      <c r="F988" s="33"/>
      <c r="G988" s="34">
        <f>IFERROR(IF(F988&gt;=0,D988*E988*(1+F988/100),ABS(D988*E988/F988)),"")</f>
        <v>7124.9849999999997</v>
      </c>
      <c r="H988" s="43">
        <f>IFERROR(G988*E984,"")</f>
        <v>0</v>
      </c>
    </row>
    <row r="989" spans="1:11" ht="12.75" customHeight="1">
      <c r="A989" s="28"/>
      <c r="B989" s="29" t="s">
        <v>2685</v>
      </c>
      <c r="C989" s="30" t="str">
        <f>IFERROR(_xlfn.XLOOKUP(B989,Insumo[DESCRIPCION],Insumo[UND],,0),"")</f>
        <v>Lt</v>
      </c>
      <c r="D989" s="31">
        <v>15</v>
      </c>
      <c r="E989" s="32">
        <f>IFERROR(_xlfn.XLOOKUP($B989,Insumo[DESCRIPCION],Insumo[VALOR],,0),"")</f>
        <v>27.3</v>
      </c>
      <c r="F989" s="33"/>
      <c r="G989" s="34">
        <f>IFERROR(IF(F989&gt;=0,D989*E989*(1+F989/100),ABS(D989*E989/F989)),"")</f>
        <v>409.5</v>
      </c>
      <c r="H989" s="43">
        <f>IFERROR(G989*E984,"")</f>
        <v>0</v>
      </c>
    </row>
    <row r="990" spans="1:11" ht="12.75" customHeight="1">
      <c r="A990" s="28"/>
      <c r="B990" s="29"/>
      <c r="C990" s="30" t="str">
        <f>IFERROR(_xlfn.XLOOKUP(B990,Insumo[DESCRIPCION],Insumo[UND],,0),"")</f>
        <v/>
      </c>
      <c r="D990" s="31"/>
      <c r="E990" s="32" t="str">
        <f>IFERROR(_xlfn.XLOOKUP($B990,Insumo[DESCRIPCION],Insumo[VALOR],,0),"")</f>
        <v/>
      </c>
      <c r="F990" s="33"/>
      <c r="G990" s="34" t="str">
        <f>IFERROR(IF(F990&gt;=0,D990*E990*(1+F990/100),ABS(D990*E990/F990)),"")</f>
        <v/>
      </c>
      <c r="H990" s="43" t="str">
        <f>IFERROR(G990*E984,"")</f>
        <v/>
      </c>
    </row>
    <row r="991" spans="1:11" ht="12.75" customHeight="1">
      <c r="A991" s="28"/>
      <c r="B991" s="29"/>
      <c r="C991" s="30" t="str">
        <f>IFERROR(_xlfn.XLOOKUP(B991,Insumo[DESCRIPCION],Insumo[UND],,0),"")</f>
        <v/>
      </c>
      <c r="D991" s="31"/>
      <c r="E991" s="32" t="str">
        <f>IFERROR(_xlfn.XLOOKUP($B991,Insumo[DESCRIPCION],Insumo[VALOR],,0),"")</f>
        <v/>
      </c>
      <c r="F991" s="33"/>
      <c r="G991" s="34" t="str">
        <f>IFERROR(IF(F991&gt;=0,D991*E991*(1+F991/100),ABS(D991*E991/F991)),"")</f>
        <v/>
      </c>
      <c r="H991" s="43" t="str">
        <f>IFERROR(G991*E984,"")</f>
        <v/>
      </c>
    </row>
    <row r="992" spans="1:11" ht="12.75" customHeight="1">
      <c r="A992" s="21"/>
      <c r="B992" s="22" t="s">
        <v>3731</v>
      </c>
      <c r="C992" s="23"/>
      <c r="D992" s="24"/>
      <c r="E992" s="25"/>
      <c r="F992" s="26"/>
      <c r="G992" s="27">
        <f>SUM(G993:G995)</f>
        <v>14147.583790275003</v>
      </c>
      <c r="H992" s="44">
        <f>G992*E984</f>
        <v>0</v>
      </c>
    </row>
    <row r="993" spans="1:11" ht="12.75" customHeight="1">
      <c r="A993" s="28"/>
      <c r="B993" s="29" t="s">
        <v>3570</v>
      </c>
      <c r="C993" s="30" t="str">
        <f>IFERROR(_xlfn.XLOOKUP(B993,Equipo[DESCRIPCION],Equipo[UND],,0),"")</f>
        <v>%MO</v>
      </c>
      <c r="D993" s="31">
        <v>0.04</v>
      </c>
      <c r="E993" s="32">
        <f>IF(C993="%MO",G999,IFERROR(_xlfn.XLOOKUP($B993,Equipo[DESCRIPCION],Equipo[VALOR],,0),""))</f>
        <v>157195.37544750003</v>
      </c>
      <c r="F993" s="33"/>
      <c r="G993" s="34">
        <f>IFERROR(IF(F993&gt;=0,D993*E993*(1+F993/100),ABS(D993*E993/F993)),"")</f>
        <v>6287.8150179000013</v>
      </c>
      <c r="H993" s="43">
        <f>IFERROR(G993*E984,"")</f>
        <v>0</v>
      </c>
    </row>
    <row r="994" spans="1:11" ht="12.75" customHeight="1">
      <c r="A994" s="28"/>
      <c r="B994" s="29" t="s">
        <v>3626</v>
      </c>
      <c r="C994" s="30" t="str">
        <f>IFERROR(_xlfn.XLOOKUP(B994,Equipo[DESCRIPCION],Equipo[UND],,0),"")</f>
        <v>%MO</v>
      </c>
      <c r="D994" s="31">
        <v>0.05</v>
      </c>
      <c r="E994" s="32">
        <f>IF(C994="%MO",G999,IFERROR(_xlfn.XLOOKUP($B994,Equipo[DESCRIPCION],Equipo[VALOR],,0),""))</f>
        <v>157195.37544750003</v>
      </c>
      <c r="F994" s="33"/>
      <c r="G994" s="34">
        <f>IFERROR(IF(F994&gt;=0,D994*E994*(1+F994/100),ABS(D994*E994/F994)),"")</f>
        <v>7859.7687723750023</v>
      </c>
      <c r="H994" s="43">
        <f>IFERROR(G994*E984,"")</f>
        <v>0</v>
      </c>
    </row>
    <row r="995" spans="1:11" ht="12.75" customHeight="1">
      <c r="A995" s="28"/>
      <c r="B995" s="29"/>
      <c r="C995" s="30" t="str">
        <f>IFERROR(_xlfn.XLOOKUP(B995,Equipo[DESCRIPCION],Equipo[UND],,0),"")</f>
        <v/>
      </c>
      <c r="D995" s="31"/>
      <c r="E995" s="32" t="str">
        <f>IF(C995="%MO",G999,IFERROR(_xlfn.XLOOKUP($B995,Equipo[DESCRIPCION],Equipo[VALOR],,0),""))</f>
        <v/>
      </c>
      <c r="F995" s="33"/>
      <c r="G995" s="34" t="str">
        <f>IFERROR(IF(F995&gt;=0,D995*E995*(1+F995/100),ABS(D995*E995/F995)),"")</f>
        <v/>
      </c>
      <c r="H995" s="43" t="str">
        <f>IFERROR(G995*E984,"")</f>
        <v/>
      </c>
    </row>
    <row r="996" spans="1:11" ht="12.75" customHeight="1">
      <c r="A996" s="21"/>
      <c r="B996" s="22" t="s">
        <v>2533</v>
      </c>
      <c r="C996" s="23"/>
      <c r="D996" s="24"/>
      <c r="E996" s="25"/>
      <c r="F996" s="26"/>
      <c r="G996" s="27">
        <f>SUM(G997:G998)</f>
        <v>36118.950000000004</v>
      </c>
      <c r="H996" s="44">
        <f>G996*E984</f>
        <v>0</v>
      </c>
    </row>
    <row r="997" spans="1:11" ht="12.75" customHeight="1">
      <c r="A997" s="28"/>
      <c r="B997" s="29" t="s">
        <v>3663</v>
      </c>
      <c r="C997" s="30" t="str">
        <f>IFERROR(_xlfn.XLOOKUP(B997,Transporte[DESCRIPCION],Transporte[UND],,0),"")</f>
        <v>Hr</v>
      </c>
      <c r="D997" s="31">
        <v>1</v>
      </c>
      <c r="E997" s="32">
        <f>IFERROR(_xlfn.XLOOKUP($B997,Transporte[DESCRIPCION],Transporte[VALOR],,0),"")</f>
        <v>36118.950000000004</v>
      </c>
      <c r="F997" s="33"/>
      <c r="G997" s="34">
        <f>IFERROR(IF(F997&gt;=0,D997*E997*(1+F997/100),ABS(D997*E997/F997)),"")</f>
        <v>36118.950000000004</v>
      </c>
      <c r="H997" s="43">
        <f>IFERROR(G997*E984,"")</f>
        <v>0</v>
      </c>
    </row>
    <row r="998" spans="1:11" ht="12.75" customHeight="1">
      <c r="A998" s="28"/>
      <c r="B998" s="29"/>
      <c r="C998" s="30" t="str">
        <f>IFERROR(_xlfn.XLOOKUP(B998,Transporte[DESCRIPCION],Transporte[UND],,0),"")</f>
        <v/>
      </c>
      <c r="D998" s="31"/>
      <c r="E998" s="32" t="str">
        <f>IFERROR(_xlfn.XLOOKUP($B998,Transporte[DESCRIPCION],Transporte[VALOR],,0),"")</f>
        <v/>
      </c>
      <c r="F998" s="33"/>
      <c r="G998" s="34" t="str">
        <f>IFERROR(IF(F998&gt;=0,D998*E998*(1+F998/100),ABS(D998*E998/F998)),"")</f>
        <v/>
      </c>
      <c r="H998" s="43" t="str">
        <f>IFERROR(G998*E984,"")</f>
        <v/>
      </c>
    </row>
    <row r="999" spans="1:11" ht="12.75" customHeight="1">
      <c r="A999" s="21"/>
      <c r="B999" s="22" t="s">
        <v>3732</v>
      </c>
      <c r="C999" s="23"/>
      <c r="D999" s="24"/>
      <c r="E999" s="25"/>
      <c r="F999" s="26"/>
      <c r="G999" s="27">
        <f>SUM(G1000:G1002)</f>
        <v>157195.37544750003</v>
      </c>
      <c r="H999" s="44">
        <f>G999*E984</f>
        <v>0</v>
      </c>
    </row>
    <row r="1000" spans="1:11" ht="12.75" customHeight="1">
      <c r="A1000" s="28"/>
      <c r="B1000" s="29" t="s">
        <v>3710</v>
      </c>
      <c r="C1000" s="30" t="str">
        <f>IFERROR(_xlfn.XLOOKUP(B1000,MObra[DESCRIPCION],MObra[UN],,0),"")</f>
        <v>día</v>
      </c>
      <c r="D1000" s="31">
        <v>1</v>
      </c>
      <c r="E1000" s="32">
        <f>IFERROR(_xlfn.XLOOKUP($B1000,MObra[DESCRIPCION],MObra[VALOR UNIT],,0),"")</f>
        <v>314390.75089500006</v>
      </c>
      <c r="F1000" s="33">
        <v>-2</v>
      </c>
      <c r="G1000" s="34">
        <f>IFERROR(IF(F1000&gt;=0,D1000*E1000*(1+F1000/100),ABS(D1000*E1000/F1000)),"")</f>
        <v>157195.37544750003</v>
      </c>
      <c r="H1000" s="43">
        <f>IFERROR(G1000*E984,"")</f>
        <v>0</v>
      </c>
    </row>
    <row r="1001" spans="1:11" ht="12.75" customHeight="1">
      <c r="A1001" s="28"/>
      <c r="B1001" s="29"/>
      <c r="C1001" s="30" t="str">
        <f>IFERROR(_xlfn.XLOOKUP(B1001,MObra[DESCRIPCION],MObra[UN],,0),"")</f>
        <v/>
      </c>
      <c r="D1001" s="31"/>
      <c r="E1001" s="32" t="str">
        <f>IFERROR(_xlfn.XLOOKUP($B1001,MObra[DESCRIPCION],MObra[VALOR UNIT],,0),"")</f>
        <v/>
      </c>
      <c r="F1001" s="33"/>
      <c r="G1001" s="34" t="str">
        <f>IFERROR(IF(F1001&gt;=0,D1001*E1001*(1+F1001/100),ABS(D1001*E1001/F1001)),"")</f>
        <v/>
      </c>
      <c r="H1001" s="43" t="str">
        <f>IFERROR(G1001*E984,"")</f>
        <v/>
      </c>
    </row>
    <row r="1002" spans="1:11" ht="12.75" customHeight="1" thickBot="1">
      <c r="A1002" s="35"/>
      <c r="B1002" s="36"/>
      <c r="C1002" s="37" t="str">
        <f>IFERROR(_xlfn.XLOOKUP(B1002,MObra[DESCRIPCION],MObra[UN],,0),"")</f>
        <v/>
      </c>
      <c r="D1002" s="38"/>
      <c r="E1002" s="39" t="str">
        <f>IFERROR(_xlfn.XLOOKUP($B1002,MObra[DESCRIPCION],MObra[VALOR UNIT],,0),"")</f>
        <v/>
      </c>
      <c r="F1002" s="40"/>
      <c r="G1002" s="41" t="str">
        <f>IFERROR(IF(F1002&gt;=0,D1002*E1002*(1+F1002/100),ABS(D1002*E1002/F1002)),"")</f>
        <v/>
      </c>
      <c r="H1002" s="42" t="str">
        <f>IFERROR(G1002*E984,"")</f>
        <v/>
      </c>
    </row>
    <row r="1003" spans="1:11" ht="12.75" customHeight="1" thickTop="1" thickBot="1"/>
    <row r="1004" spans="1:11" ht="12.75" customHeight="1" thickTop="1" thickBot="1">
      <c r="A1004" s="6" t="s">
        <v>2528</v>
      </c>
      <c r="B1004" s="7" t="str">
        <f>VLOOKUP($A1004,Presupuesto!$A:$D,2,FALSE())</f>
        <v>Suministro + riego tierra negra (humus)</v>
      </c>
      <c r="C1004" s="8" t="str">
        <f>VLOOKUP($A1004,Presupuesto!$A:$D,3,FALSE())</f>
        <v>M3</v>
      </c>
      <c r="D1004" s="9"/>
      <c r="E1004" s="10">
        <f>VLOOKUP($A1004,Presupuesto!$A:$D,4,FALSE())</f>
        <v>0</v>
      </c>
      <c r="F1004" s="11" t="s">
        <v>2589</v>
      </c>
      <c r="G1004" s="12">
        <f>SUM(G1006:G1022)/2</f>
        <v>67343.656406200011</v>
      </c>
      <c r="H1004" s="13">
        <f>ROUND(SUM(H1006:H1022),0)/2</f>
        <v>0</v>
      </c>
      <c r="I1004" s="10">
        <f>VLOOKUP(A1004,Presupuesto!$A:$F,6,0)</f>
        <v>0</v>
      </c>
      <c r="J1004" s="10">
        <f>+H1004-I1004</f>
        <v>0</v>
      </c>
      <c r="K1004" s="46">
        <f>+H1004-G1004*E1004</f>
        <v>0</v>
      </c>
    </row>
    <row r="1005" spans="1:11" ht="12.75" customHeight="1" thickTop="1">
      <c r="A1005" s="14"/>
      <c r="B1005" s="15" t="s">
        <v>2586</v>
      </c>
      <c r="C1005" s="15" t="s">
        <v>5</v>
      </c>
      <c r="D1005" s="16" t="s">
        <v>6</v>
      </c>
      <c r="E1005" s="17" t="s">
        <v>7</v>
      </c>
      <c r="F1005" s="18" t="s">
        <v>3728</v>
      </c>
      <c r="G1005" s="19" t="s">
        <v>3729</v>
      </c>
      <c r="H1005" s="20" t="s">
        <v>3797</v>
      </c>
    </row>
    <row r="1006" spans="1:11" ht="12.75" customHeight="1">
      <c r="A1006" s="21"/>
      <c r="B1006" s="22" t="s">
        <v>3730</v>
      </c>
      <c r="C1006" s="23"/>
      <c r="D1006" s="24"/>
      <c r="E1006" s="25"/>
      <c r="F1006" s="26"/>
      <c r="G1006" s="27">
        <f>SUM(G1007:G1011)</f>
        <v>50420.895000000004</v>
      </c>
      <c r="H1006" s="27">
        <f>IFERROR(G1006*E1004,"")</f>
        <v>0</v>
      </c>
    </row>
    <row r="1007" spans="1:11" ht="12.75" customHeight="1">
      <c r="A1007" s="28"/>
      <c r="B1007" s="29" t="s">
        <v>3395</v>
      </c>
      <c r="C1007" s="30" t="str">
        <f>IFERROR(_xlfn.XLOOKUP(B1007,Insumo[DESCRIPCION],Insumo[UND],,0),"")</f>
        <v>M3</v>
      </c>
      <c r="D1007" s="31">
        <v>1</v>
      </c>
      <c r="E1007" s="32">
        <f>IFERROR(_xlfn.XLOOKUP($B1007,Insumo[DESCRIPCION],Insumo[VALOR],,0),"")</f>
        <v>47499.9</v>
      </c>
      <c r="F1007" s="33">
        <v>5</v>
      </c>
      <c r="G1007" s="34">
        <f>IFERROR(IF(F1007&gt;=0,D1007*E1007*(1+F1007/100),ABS(D1007*E1007/F1007)),"")</f>
        <v>49874.895000000004</v>
      </c>
      <c r="H1007" s="43">
        <f>IFERROR(G1007*E1004,"")</f>
        <v>0</v>
      </c>
    </row>
    <row r="1008" spans="1:11" ht="12.75" customHeight="1">
      <c r="A1008" s="28"/>
      <c r="B1008" s="29" t="s">
        <v>2685</v>
      </c>
      <c r="C1008" s="30" t="str">
        <f>IFERROR(_xlfn.XLOOKUP(B1008,Insumo[DESCRIPCION],Insumo[UND],,0),"")</f>
        <v>Lt</v>
      </c>
      <c r="D1008" s="31">
        <v>20</v>
      </c>
      <c r="E1008" s="32">
        <f>IFERROR(_xlfn.XLOOKUP($B1008,Insumo[DESCRIPCION],Insumo[VALOR],,0),"")</f>
        <v>27.3</v>
      </c>
      <c r="F1008" s="33"/>
      <c r="G1008" s="34">
        <f>IFERROR(IF(F1008&gt;=0,D1008*E1008*(1+F1008/100),ABS(D1008*E1008/F1008)),"")</f>
        <v>546</v>
      </c>
      <c r="H1008" s="43">
        <f>IFERROR(G1008*E1004,"")</f>
        <v>0</v>
      </c>
    </row>
    <row r="1009" spans="1:11" ht="12.75" customHeight="1">
      <c r="A1009" s="28"/>
      <c r="B1009" s="29"/>
      <c r="C1009" s="30" t="str">
        <f>IFERROR(_xlfn.XLOOKUP(B1009,Insumo[DESCRIPCION],Insumo[UND],,0),"")</f>
        <v/>
      </c>
      <c r="D1009" s="31"/>
      <c r="E1009" s="32" t="str">
        <f>IFERROR(_xlfn.XLOOKUP($B1009,Insumo[DESCRIPCION],Insumo[VALOR],,0),"")</f>
        <v/>
      </c>
      <c r="F1009" s="33"/>
      <c r="G1009" s="34" t="str">
        <f>IFERROR(IF(F1009&gt;=0,D1009*E1009*(1+F1009/100),ABS(D1009*E1009/F1009)),"")</f>
        <v/>
      </c>
      <c r="H1009" s="43" t="str">
        <f>IFERROR(G1009*E1004,"")</f>
        <v/>
      </c>
    </row>
    <row r="1010" spans="1:11" ht="12.75" customHeight="1">
      <c r="A1010" s="28"/>
      <c r="B1010" s="29"/>
      <c r="C1010" s="30" t="str">
        <f>IFERROR(_xlfn.XLOOKUP(B1010,Insumo[DESCRIPCION],Insumo[UND],,0),"")</f>
        <v/>
      </c>
      <c r="D1010" s="31"/>
      <c r="E1010" s="32" t="str">
        <f>IFERROR(_xlfn.XLOOKUP($B1010,Insumo[DESCRIPCION],Insumo[VALOR],,0),"")</f>
        <v/>
      </c>
      <c r="F1010" s="33"/>
      <c r="G1010" s="34" t="str">
        <f>IFERROR(IF(F1010&gt;=0,D1010*E1010*(1+F1010/100),ABS(D1010*E1010/F1010)),"")</f>
        <v/>
      </c>
      <c r="H1010" s="43" t="str">
        <f>IFERROR(G1010*E1004,"")</f>
        <v/>
      </c>
    </row>
    <row r="1011" spans="1:11" ht="12.75" customHeight="1">
      <c r="A1011" s="28"/>
      <c r="B1011" s="29"/>
      <c r="C1011" s="30" t="str">
        <f>IFERROR(_xlfn.XLOOKUP(B1011,Insumo[DESCRIPCION],Insumo[UND],,0),"")</f>
        <v/>
      </c>
      <c r="D1011" s="31"/>
      <c r="E1011" s="32" t="str">
        <f>IFERROR(_xlfn.XLOOKUP($B1011,Insumo[DESCRIPCION],Insumo[VALOR],,0),"")</f>
        <v/>
      </c>
      <c r="F1011" s="33"/>
      <c r="G1011" s="34" t="str">
        <f>IFERROR(IF(F1011&gt;=0,D1011*E1011*(1+F1011/100),ABS(D1011*E1011/F1011)),"")</f>
        <v/>
      </c>
      <c r="H1011" s="43" t="str">
        <f>IFERROR(G1011*E1004,"")</f>
        <v/>
      </c>
    </row>
    <row r="1012" spans="1:11" ht="12.75" customHeight="1">
      <c r="A1012" s="21"/>
      <c r="B1012" s="22" t="s">
        <v>3731</v>
      </c>
      <c r="C1012" s="23"/>
      <c r="D1012" s="24"/>
      <c r="E1012" s="25"/>
      <c r="F1012" s="26"/>
      <c r="G1012" s="27">
        <f>SUM(G1013:G1015)</f>
        <v>1397.2922262000004</v>
      </c>
      <c r="H1012" s="44">
        <f>G1012*E1004</f>
        <v>0</v>
      </c>
    </row>
    <row r="1013" spans="1:11" ht="12.75" customHeight="1">
      <c r="A1013" s="28"/>
      <c r="B1013" s="29" t="s">
        <v>3570</v>
      </c>
      <c r="C1013" s="30" t="str">
        <f>IFERROR(_xlfn.XLOOKUP(B1013,Equipo[DESCRIPCION],Equipo[UND],,0),"")</f>
        <v>%MO</v>
      </c>
      <c r="D1013" s="31">
        <v>0.04</v>
      </c>
      <c r="E1013" s="32">
        <f>IF(C1013="%MO",G1019,IFERROR(_xlfn.XLOOKUP($B1013,Equipo[DESCRIPCION],Equipo[VALOR],,0),""))</f>
        <v>15525.469180000004</v>
      </c>
      <c r="F1013" s="33"/>
      <c r="G1013" s="34">
        <f>IFERROR(IF(F1013&gt;=0,D1013*E1013*(1+F1013/100),ABS(D1013*E1013/F1013)),"")</f>
        <v>621.01876720000018</v>
      </c>
      <c r="H1013" s="43">
        <f>IFERROR(G1013*E1004,"")</f>
        <v>0</v>
      </c>
    </row>
    <row r="1014" spans="1:11" ht="12.75" customHeight="1">
      <c r="A1014" s="28"/>
      <c r="B1014" s="29" t="s">
        <v>3626</v>
      </c>
      <c r="C1014" s="30" t="str">
        <f>IFERROR(_xlfn.XLOOKUP(B1014,Equipo[DESCRIPCION],Equipo[UND],,0),"")</f>
        <v>%MO</v>
      </c>
      <c r="D1014" s="31">
        <v>0.05</v>
      </c>
      <c r="E1014" s="32">
        <f>IF(C1014="%MO",G1019,IFERROR(_xlfn.XLOOKUP($B1014,Equipo[DESCRIPCION],Equipo[VALOR],,0),""))</f>
        <v>15525.469180000004</v>
      </c>
      <c r="F1014" s="33"/>
      <c r="G1014" s="34">
        <f>IFERROR(IF(F1014&gt;=0,D1014*E1014*(1+F1014/100),ABS(D1014*E1014/F1014)),"")</f>
        <v>776.27345900000023</v>
      </c>
      <c r="H1014" s="43">
        <f>IFERROR(G1014*E1004,"")</f>
        <v>0</v>
      </c>
    </row>
    <row r="1015" spans="1:11" ht="12.75" customHeight="1">
      <c r="A1015" s="28"/>
      <c r="B1015" s="29"/>
      <c r="C1015" s="30" t="str">
        <f>IFERROR(_xlfn.XLOOKUP(B1015,Equipo[DESCRIPCION],Equipo[UND],,0),"")</f>
        <v/>
      </c>
      <c r="D1015" s="31"/>
      <c r="E1015" s="32" t="str">
        <f>IF(C1015="%MO",G1019,IFERROR(_xlfn.XLOOKUP($B1015,Equipo[DESCRIPCION],Equipo[VALOR],,0),""))</f>
        <v/>
      </c>
      <c r="F1015" s="33"/>
      <c r="G1015" s="34" t="str">
        <f>IFERROR(IF(F1015&gt;=0,D1015*E1015*(1+F1015/100),ABS(D1015*E1015/F1015)),"")</f>
        <v/>
      </c>
      <c r="H1015" s="43" t="str">
        <f>IFERROR(G1015*E1004,"")</f>
        <v/>
      </c>
    </row>
    <row r="1016" spans="1:11" ht="12.75" customHeight="1">
      <c r="A1016" s="21"/>
      <c r="B1016" s="22" t="s">
        <v>2533</v>
      </c>
      <c r="C1016" s="23"/>
      <c r="D1016" s="24"/>
      <c r="E1016" s="25"/>
      <c r="F1016" s="26"/>
      <c r="G1016" s="27">
        <f>SUM(G1017:G1018)</f>
        <v>0</v>
      </c>
      <c r="H1016" s="44">
        <f>G1016*E1004</f>
        <v>0</v>
      </c>
    </row>
    <row r="1017" spans="1:11" ht="12.75" customHeight="1">
      <c r="A1017" s="28"/>
      <c r="B1017" s="29"/>
      <c r="C1017" s="30" t="str">
        <f>IFERROR(_xlfn.XLOOKUP(B1017,Transporte[DESCRIPCION],Transporte[UND],,0),"")</f>
        <v/>
      </c>
      <c r="D1017" s="31"/>
      <c r="E1017" s="32" t="str">
        <f>IFERROR(_xlfn.XLOOKUP($B1017,Transporte[DESCRIPCION],Transporte[VALOR],,0),"")</f>
        <v/>
      </c>
      <c r="F1017" s="33"/>
      <c r="G1017" s="34" t="str">
        <f>IFERROR(IF(F1017&gt;=0,D1017*E1017*(1+F1017/100),ABS(D1017*E1017/F1017)),"")</f>
        <v/>
      </c>
      <c r="H1017" s="43" t="str">
        <f>IFERROR(G1017*E1004,"")</f>
        <v/>
      </c>
    </row>
    <row r="1018" spans="1:11" ht="12.75" customHeight="1">
      <c r="A1018" s="28"/>
      <c r="B1018" s="29"/>
      <c r="C1018" s="30" t="str">
        <f>IFERROR(_xlfn.XLOOKUP(B1018,Transporte[DESCRIPCION],Transporte[UND],,0),"")</f>
        <v/>
      </c>
      <c r="D1018" s="31"/>
      <c r="E1018" s="32" t="str">
        <f>IFERROR(_xlfn.XLOOKUP($B1018,Transporte[DESCRIPCION],Transporte[VALOR],,0),"")</f>
        <v/>
      </c>
      <c r="F1018" s="33"/>
      <c r="G1018" s="34" t="str">
        <f>IFERROR(IF(F1018&gt;=0,D1018*E1018*(1+F1018/100),ABS(D1018*E1018/F1018)),"")</f>
        <v/>
      </c>
      <c r="H1018" s="43" t="str">
        <f>IFERROR(G1018*E1004,"")</f>
        <v/>
      </c>
    </row>
    <row r="1019" spans="1:11" ht="12.75" customHeight="1">
      <c r="A1019" s="21"/>
      <c r="B1019" s="22" t="s">
        <v>3732</v>
      </c>
      <c r="C1019" s="23"/>
      <c r="D1019" s="24"/>
      <c r="E1019" s="25"/>
      <c r="F1019" s="26"/>
      <c r="G1019" s="27">
        <f>SUM(G1020:G1022)</f>
        <v>15525.469180000004</v>
      </c>
      <c r="H1019" s="44">
        <f>G1019*E1004</f>
        <v>0</v>
      </c>
    </row>
    <row r="1020" spans="1:11" ht="12.75" customHeight="1">
      <c r="A1020" s="28"/>
      <c r="B1020" s="29" t="s">
        <v>3719</v>
      </c>
      <c r="C1020" s="30" t="str">
        <f>IFERROR(_xlfn.XLOOKUP(B1020,MObra[DESCRIPCION],MObra[UN],,0),"")</f>
        <v>día</v>
      </c>
      <c r="D1020" s="31">
        <v>1</v>
      </c>
      <c r="E1020" s="32">
        <f>IFERROR(_xlfn.XLOOKUP($B1020,MObra[DESCRIPCION],MObra[VALOR UNIT],,0),"")</f>
        <v>232882.03770000004</v>
      </c>
      <c r="F1020" s="33">
        <v>-15</v>
      </c>
      <c r="G1020" s="34">
        <f>IFERROR(IF(F1020&gt;=0,D1020*E1020*(1+F1020/100),ABS(D1020*E1020/F1020)),"")</f>
        <v>15525.469180000004</v>
      </c>
      <c r="H1020" s="43">
        <f>IFERROR(G1020*E1004,"")</f>
        <v>0</v>
      </c>
    </row>
    <row r="1021" spans="1:11" ht="12.75" customHeight="1">
      <c r="A1021" s="28"/>
      <c r="B1021" s="29"/>
      <c r="C1021" s="30" t="str">
        <f>IFERROR(_xlfn.XLOOKUP(B1021,MObra[DESCRIPCION],MObra[UN],,0),"")</f>
        <v/>
      </c>
      <c r="D1021" s="31"/>
      <c r="E1021" s="32" t="str">
        <f>IFERROR(_xlfn.XLOOKUP($B1021,MObra[DESCRIPCION],MObra[VALOR UNIT],,0),"")</f>
        <v/>
      </c>
      <c r="F1021" s="33"/>
      <c r="G1021" s="34" t="str">
        <f>IFERROR(IF(F1021&gt;=0,D1021*E1021*(1+F1021/100),ABS(D1021*E1021/F1021)),"")</f>
        <v/>
      </c>
      <c r="H1021" s="43" t="str">
        <f>IFERROR(G1021*E1004,"")</f>
        <v/>
      </c>
    </row>
    <row r="1022" spans="1:11" ht="12.75" customHeight="1" thickBot="1">
      <c r="A1022" s="35"/>
      <c r="B1022" s="36"/>
      <c r="C1022" s="37" t="str">
        <f>IFERROR(_xlfn.XLOOKUP(B1022,MObra[DESCRIPCION],MObra[UN],,0),"")</f>
        <v/>
      </c>
      <c r="D1022" s="38"/>
      <c r="E1022" s="39" t="str">
        <f>IFERROR(_xlfn.XLOOKUP($B1022,MObra[DESCRIPCION],MObra[VALOR UNIT],,0),"")</f>
        <v/>
      </c>
      <c r="F1022" s="40"/>
      <c r="G1022" s="41" t="str">
        <f>IFERROR(IF(F1022&gt;=0,D1022*E1022*(1+F1022/100),ABS(D1022*E1022/F1022)),"")</f>
        <v/>
      </c>
      <c r="H1022" s="42" t="str">
        <f>IFERROR(G1022*E1004,"")</f>
        <v/>
      </c>
    </row>
    <row r="1023" spans="1:11" ht="12.75" customHeight="1" thickTop="1" thickBot="1"/>
    <row r="1024" spans="1:11" ht="12.75" customHeight="1" thickTop="1" thickBot="1">
      <c r="A1024" s="6" t="s">
        <v>2530</v>
      </c>
      <c r="B1024" s="7" t="str">
        <f>VLOOKUP($A1024,Presupuesto!$A:$D,2,FALSE())</f>
        <v>Suministro e instalación de rebajes (pañoletas) prefabricadas tipo titan A-105, incluye mortero 5 cm</v>
      </c>
      <c r="C1024" s="8" t="str">
        <f>VLOOKUP($A1024,Presupuesto!$A:$D,3,FALSE())</f>
        <v>Un</v>
      </c>
      <c r="D1024" s="9"/>
      <c r="E1024" s="10">
        <f>VLOOKUP($A1024,Presupuesto!$A:$D,4,FALSE())</f>
        <v>0</v>
      </c>
      <c r="F1024" s="11" t="s">
        <v>2589</v>
      </c>
      <c r="G1024" s="12">
        <f>SUM(G1026:G1042)/2</f>
        <v>50534.441963482444</v>
      </c>
      <c r="H1024" s="13">
        <f>ROUND(SUM(H1026:H1042),0)/2</f>
        <v>0</v>
      </c>
      <c r="I1024" s="10">
        <f>VLOOKUP(A1024,Presupuesto!$A:$F,6,0)</f>
        <v>0</v>
      </c>
      <c r="J1024" s="10">
        <f>+H1024-I1024</f>
        <v>0</v>
      </c>
      <c r="K1024" s="46">
        <f>+H1024-G1024*E1024</f>
        <v>0</v>
      </c>
    </row>
    <row r="1025" spans="1:8" ht="12.75" customHeight="1" thickTop="1">
      <c r="A1025" s="14"/>
      <c r="B1025" s="15" t="s">
        <v>2586</v>
      </c>
      <c r="C1025" s="15" t="s">
        <v>5</v>
      </c>
      <c r="D1025" s="16" t="s">
        <v>6</v>
      </c>
      <c r="E1025" s="17" t="s">
        <v>7</v>
      </c>
      <c r="F1025" s="18" t="s">
        <v>3728</v>
      </c>
      <c r="G1025" s="19" t="s">
        <v>3729</v>
      </c>
      <c r="H1025" s="20" t="s">
        <v>3797</v>
      </c>
    </row>
    <row r="1026" spans="1:8" ht="12.75" customHeight="1">
      <c r="A1026" s="21"/>
      <c r="B1026" s="22" t="s">
        <v>3730</v>
      </c>
      <c r="C1026" s="23"/>
      <c r="D1026" s="24"/>
      <c r="E1026" s="25"/>
      <c r="F1026" s="26"/>
      <c r="G1026" s="27">
        <f>SUM(G1027:G1031)</f>
        <v>28527.089400832447</v>
      </c>
      <c r="H1026" s="27">
        <f>IFERROR(G1026*E1024,"")</f>
        <v>0</v>
      </c>
    </row>
    <row r="1027" spans="1:8" ht="12.75" customHeight="1">
      <c r="A1027" s="28"/>
      <c r="B1027" s="29" t="s">
        <v>3256</v>
      </c>
      <c r="C1027" s="30" t="str">
        <f>IFERROR(_xlfn.XLOOKUP(B1027,Insumo[DESCRIPCION],Insumo[UND],,0),"")</f>
        <v>Un</v>
      </c>
      <c r="D1027" s="31">
        <v>1</v>
      </c>
      <c r="E1027" s="32">
        <f>IFERROR(_xlfn.XLOOKUP($B1027,Insumo[DESCRIPCION],Insumo[VALOR],,0),"")</f>
        <v>23300.55</v>
      </c>
      <c r="F1027" s="33"/>
      <c r="G1027" s="34">
        <f>IFERROR(IF(F1027&gt;=0,D1027*E1027*(1+F1027/100),ABS(D1027*E1027/F1027)),"")</f>
        <v>23300.55</v>
      </c>
      <c r="H1027" s="43">
        <f>IFERROR(G1027*E1024,"")</f>
        <v>0</v>
      </c>
    </row>
    <row r="1028" spans="1:8" ht="12.75" customHeight="1">
      <c r="A1028" s="28"/>
      <c r="B1028" s="29" t="s">
        <v>3244</v>
      </c>
      <c r="C1028" s="30" t="str">
        <f>IFERROR(_xlfn.XLOOKUP(B1028,Insumo[DESCRIPCION],Insumo[UND],,0),"")</f>
        <v>M3</v>
      </c>
      <c r="D1028" s="31">
        <v>0.01</v>
      </c>
      <c r="E1028" s="32">
        <f>IFERROR(_xlfn.XLOOKUP($B1028,Insumo[DESCRIPCION],Insumo[VALOR],,0),"")</f>
        <v>497765.65722213761</v>
      </c>
      <c r="F1028" s="33">
        <v>5</v>
      </c>
      <c r="G1028" s="34">
        <f>IFERROR(IF(F1028&gt;=0,D1028*E1028*(1+F1028/100),ABS(D1028*E1028/F1028)),"")</f>
        <v>5226.5394008324456</v>
      </c>
      <c r="H1028" s="43">
        <f>IFERROR(G1028*E1024,"")</f>
        <v>0</v>
      </c>
    </row>
    <row r="1029" spans="1:8" ht="12.75" customHeight="1">
      <c r="A1029" s="28"/>
      <c r="B1029" s="29"/>
      <c r="C1029" s="30" t="str">
        <f>IFERROR(_xlfn.XLOOKUP(B1029,Insumo[DESCRIPCION],Insumo[UND],,0),"")</f>
        <v/>
      </c>
      <c r="D1029" s="31"/>
      <c r="E1029" s="32" t="str">
        <f>IFERROR(_xlfn.XLOOKUP($B1029,Insumo[DESCRIPCION],Insumo[VALOR],,0),"")</f>
        <v/>
      </c>
      <c r="F1029" s="33"/>
      <c r="G1029" s="34" t="str">
        <f>IFERROR(IF(F1029&gt;=0,D1029*E1029*(1+F1029/100),ABS(D1029*E1029/F1029)),"")</f>
        <v/>
      </c>
      <c r="H1029" s="43" t="str">
        <f>IFERROR(G1029*E1024,"")</f>
        <v/>
      </c>
    </row>
    <row r="1030" spans="1:8" ht="12.75" customHeight="1">
      <c r="A1030" s="28"/>
      <c r="B1030" s="29"/>
      <c r="C1030" s="30" t="str">
        <f>IFERROR(_xlfn.XLOOKUP(B1030,Insumo[DESCRIPCION],Insumo[UND],,0),"")</f>
        <v/>
      </c>
      <c r="D1030" s="31"/>
      <c r="E1030" s="32" t="str">
        <f>IFERROR(_xlfn.XLOOKUP($B1030,Insumo[DESCRIPCION],Insumo[VALOR],,0),"")</f>
        <v/>
      </c>
      <c r="F1030" s="33"/>
      <c r="G1030" s="34" t="str">
        <f>IFERROR(IF(F1030&gt;=0,D1030*E1030*(1+F1030/100),ABS(D1030*E1030/F1030)),"")</f>
        <v/>
      </c>
      <c r="H1030" s="43" t="str">
        <f>IFERROR(G1030*E1024,"")</f>
        <v/>
      </c>
    </row>
    <row r="1031" spans="1:8" ht="12.75" customHeight="1">
      <c r="A1031" s="28"/>
      <c r="B1031" s="29"/>
      <c r="C1031" s="30" t="str">
        <f>IFERROR(_xlfn.XLOOKUP(B1031,Insumo[DESCRIPCION],Insumo[UND],,0),"")</f>
        <v/>
      </c>
      <c r="D1031" s="31"/>
      <c r="E1031" s="32" t="str">
        <f>IFERROR(_xlfn.XLOOKUP($B1031,Insumo[DESCRIPCION],Insumo[VALOR],,0),"")</f>
        <v/>
      </c>
      <c r="F1031" s="33"/>
      <c r="G1031" s="34" t="str">
        <f>IFERROR(IF(F1031&gt;=0,D1031*E1031*(1+F1031/100),ABS(D1031*E1031/F1031)),"")</f>
        <v/>
      </c>
      <c r="H1031" s="43" t="str">
        <f>IFERROR(G1031*E1024,"")</f>
        <v/>
      </c>
    </row>
    <row r="1032" spans="1:8" ht="12.75" customHeight="1">
      <c r="A1032" s="21"/>
      <c r="B1032" s="22" t="s">
        <v>3731</v>
      </c>
      <c r="C1032" s="23"/>
      <c r="D1032" s="24"/>
      <c r="E1032" s="25"/>
      <c r="F1032" s="26"/>
      <c r="G1032" s="27">
        <f>SUM(G1033:G1035)</f>
        <v>1047.9691696500001</v>
      </c>
      <c r="H1032" s="44">
        <f>G1032*E1024</f>
        <v>0</v>
      </c>
    </row>
    <row r="1033" spans="1:8" ht="12.75" customHeight="1">
      <c r="A1033" s="28"/>
      <c r="B1033" s="29" t="s">
        <v>3626</v>
      </c>
      <c r="C1033" s="30" t="str">
        <f>IFERROR(_xlfn.XLOOKUP(B1033,Equipo[DESCRIPCION],Equipo[UND],,0),"")</f>
        <v>%MO</v>
      </c>
      <c r="D1033" s="31">
        <v>0.05</v>
      </c>
      <c r="E1033" s="32">
        <f>IF(C1033="%MO",G1039,IFERROR(_xlfn.XLOOKUP($B1033,Equipo[DESCRIPCION],Equipo[VALOR],,0),""))</f>
        <v>20959.383393000004</v>
      </c>
      <c r="F1033" s="33"/>
      <c r="G1033" s="34">
        <f>IFERROR(IF(F1033&gt;=0,D1033*E1033*(1+F1033/100),ABS(D1033*E1033/F1033)),"")</f>
        <v>1047.9691696500001</v>
      </c>
      <c r="H1033" s="43">
        <f>IFERROR(G1033*E1024,"")</f>
        <v>0</v>
      </c>
    </row>
    <row r="1034" spans="1:8" ht="12.75" customHeight="1">
      <c r="A1034" s="28"/>
      <c r="B1034" s="29"/>
      <c r="C1034" s="30" t="str">
        <f>IFERROR(_xlfn.XLOOKUP(B1034,Equipo[DESCRIPCION],Equipo[UND],,0),"")</f>
        <v/>
      </c>
      <c r="D1034" s="31"/>
      <c r="E1034" s="32" t="str">
        <f>IF(C1034="%MO",G1039,IFERROR(_xlfn.XLOOKUP($B1034,Equipo[DESCRIPCION],Equipo[VALOR],,0),""))</f>
        <v/>
      </c>
      <c r="F1034" s="33"/>
      <c r="G1034" s="34" t="str">
        <f>IFERROR(IF(F1034&gt;=0,D1034*E1034*(1+F1034/100),ABS(D1034*E1034/F1034)),"")</f>
        <v/>
      </c>
      <c r="H1034" s="43" t="str">
        <f>IFERROR(G1034*E1024,"")</f>
        <v/>
      </c>
    </row>
    <row r="1035" spans="1:8" ht="12.75" customHeight="1">
      <c r="A1035" s="28"/>
      <c r="B1035" s="29"/>
      <c r="C1035" s="30" t="str">
        <f>IFERROR(_xlfn.XLOOKUP(B1035,Equipo[DESCRIPCION],Equipo[UND],,0),"")</f>
        <v/>
      </c>
      <c r="D1035" s="31"/>
      <c r="E1035" s="32" t="str">
        <f>IF(C1035="%MO",G1039,IFERROR(_xlfn.XLOOKUP($B1035,Equipo[DESCRIPCION],Equipo[VALOR],,0),""))</f>
        <v/>
      </c>
      <c r="F1035" s="33"/>
      <c r="G1035" s="34" t="str">
        <f>IFERROR(IF(F1035&gt;=0,D1035*E1035*(1+F1035/100),ABS(D1035*E1035/F1035)),"")</f>
        <v/>
      </c>
      <c r="H1035" s="43" t="str">
        <f>IFERROR(G1035*E1024,"")</f>
        <v/>
      </c>
    </row>
    <row r="1036" spans="1:8" ht="12.75" customHeight="1">
      <c r="A1036" s="21"/>
      <c r="B1036" s="22" t="s">
        <v>2533</v>
      </c>
      <c r="C1036" s="23"/>
      <c r="D1036" s="24"/>
      <c r="E1036" s="25"/>
      <c r="F1036" s="26"/>
      <c r="G1036" s="27">
        <f>SUM(G1037:G1038)</f>
        <v>0</v>
      </c>
      <c r="H1036" s="44">
        <f>G1036*E1024</f>
        <v>0</v>
      </c>
    </row>
    <row r="1037" spans="1:8" ht="12.75" customHeight="1">
      <c r="A1037" s="28"/>
      <c r="B1037" s="29"/>
      <c r="C1037" s="30" t="str">
        <f>IFERROR(_xlfn.XLOOKUP(B1037,Transporte[DESCRIPCION],Transporte[UND],,0),"")</f>
        <v/>
      </c>
      <c r="D1037" s="31"/>
      <c r="E1037" s="32" t="str">
        <f>IFERROR(_xlfn.XLOOKUP($B1037,Transporte[DESCRIPCION],Transporte[VALOR],,0),"")</f>
        <v/>
      </c>
      <c r="F1037" s="33"/>
      <c r="G1037" s="34" t="str">
        <f>IFERROR(IF(F1037&gt;=0,D1037*E1037*(1+F1037/100),ABS(D1037*E1037/F1037)),"")</f>
        <v/>
      </c>
      <c r="H1037" s="43" t="str">
        <f>IFERROR(G1037*E1024,"")</f>
        <v/>
      </c>
    </row>
    <row r="1038" spans="1:8" ht="12.75" customHeight="1">
      <c r="A1038" s="28"/>
      <c r="B1038" s="29"/>
      <c r="C1038" s="30" t="str">
        <f>IFERROR(_xlfn.XLOOKUP(B1038,Transporte[DESCRIPCION],Transporte[UND],,0),"")</f>
        <v/>
      </c>
      <c r="D1038" s="31"/>
      <c r="E1038" s="32" t="str">
        <f>IFERROR(_xlfn.XLOOKUP($B1038,Transporte[DESCRIPCION],Transporte[VALOR],,0),"")</f>
        <v/>
      </c>
      <c r="F1038" s="33"/>
      <c r="G1038" s="34" t="str">
        <f>IFERROR(IF(F1038&gt;=0,D1038*E1038*(1+F1038/100),ABS(D1038*E1038/F1038)),"")</f>
        <v/>
      </c>
      <c r="H1038" s="43" t="str">
        <f>IFERROR(G1038*E1024,"")</f>
        <v/>
      </c>
    </row>
    <row r="1039" spans="1:8" ht="12.75" customHeight="1">
      <c r="A1039" s="21"/>
      <c r="B1039" s="22" t="s">
        <v>3732</v>
      </c>
      <c r="C1039" s="23"/>
      <c r="D1039" s="24"/>
      <c r="E1039" s="25"/>
      <c r="F1039" s="26"/>
      <c r="G1039" s="27">
        <f>SUM(G1040:G1042)</f>
        <v>20959.383393000004</v>
      </c>
      <c r="H1039" s="44">
        <f>G1039*E1024</f>
        <v>0</v>
      </c>
    </row>
    <row r="1040" spans="1:8" ht="12.75" customHeight="1">
      <c r="A1040" s="28"/>
      <c r="B1040" s="29" t="s">
        <v>3710</v>
      </c>
      <c r="C1040" s="30" t="str">
        <f>IFERROR(_xlfn.XLOOKUP(B1040,MObra[DESCRIPCION],MObra[UN],,0),"")</f>
        <v>día</v>
      </c>
      <c r="D1040" s="31">
        <v>1</v>
      </c>
      <c r="E1040" s="32">
        <f>IFERROR(_xlfn.XLOOKUP($B1040,MObra[DESCRIPCION],MObra[VALOR UNIT],,0),"")</f>
        <v>314390.75089500006</v>
      </c>
      <c r="F1040" s="33">
        <v>-15</v>
      </c>
      <c r="G1040" s="34">
        <f>IFERROR(IF(F1040&gt;=0,D1040*E1040*(1+F1040/100),ABS(D1040*E1040/F1040)),"")</f>
        <v>20959.383393000004</v>
      </c>
      <c r="H1040" s="43">
        <f>IFERROR(G1040*E1024,"")</f>
        <v>0</v>
      </c>
    </row>
    <row r="1041" spans="1:11" ht="12.75" customHeight="1">
      <c r="A1041" s="28"/>
      <c r="B1041" s="29"/>
      <c r="C1041" s="30" t="str">
        <f>IFERROR(_xlfn.XLOOKUP(B1041,MObra[DESCRIPCION],MObra[UN],,0),"")</f>
        <v/>
      </c>
      <c r="D1041" s="31"/>
      <c r="E1041" s="32" t="str">
        <f>IFERROR(_xlfn.XLOOKUP($B1041,MObra[DESCRIPCION],MObra[VALOR UNIT],,0),"")</f>
        <v/>
      </c>
      <c r="F1041" s="33"/>
      <c r="G1041" s="34" t="str">
        <f>IFERROR(IF(F1041&gt;=0,D1041*E1041*(1+F1041/100),ABS(D1041*E1041/F1041)),"")</f>
        <v/>
      </c>
      <c r="H1041" s="43" t="str">
        <f>IFERROR(G1041*E1024,"")</f>
        <v/>
      </c>
    </row>
    <row r="1042" spans="1:11" ht="12.75" customHeight="1" thickBot="1">
      <c r="A1042" s="35"/>
      <c r="B1042" s="36"/>
      <c r="C1042" s="37" t="str">
        <f>IFERROR(_xlfn.XLOOKUP(B1042,MObra[DESCRIPCION],MObra[UN],,0),"")</f>
        <v/>
      </c>
      <c r="D1042" s="38"/>
      <c r="E1042" s="39" t="str">
        <f>IFERROR(_xlfn.XLOOKUP($B1042,MObra[DESCRIPCION],MObra[VALOR UNIT],,0),"")</f>
        <v/>
      </c>
      <c r="F1042" s="40"/>
      <c r="G1042" s="41" t="str">
        <f>IFERROR(IF(F1042&gt;=0,D1042*E1042*(1+F1042/100),ABS(D1042*E1042/F1042)),"")</f>
        <v/>
      </c>
      <c r="H1042" s="42" t="str">
        <f>IFERROR(G1042*E1024,"")</f>
        <v/>
      </c>
    </row>
    <row r="1043" spans="1:11" ht="12.75" customHeight="1" thickTop="1" thickBot="1"/>
    <row r="1044" spans="1:11" ht="12.75" customHeight="1" thickTop="1" thickBot="1">
      <c r="A1044" s="6" t="s">
        <v>2534</v>
      </c>
      <c r="B1044" s="7" t="str">
        <f>VLOOKUP($A1044,Presupuesto!$A:$D,2,FALSE())</f>
        <v>Cargue manual + retiro material sobrante incluye el depósito (a escombrera oficial o autorizada)</v>
      </c>
      <c r="C1044" s="8" t="str">
        <f>VLOOKUP($A1044,Presupuesto!$A:$D,3,FALSE())</f>
        <v>M3</v>
      </c>
      <c r="D1044" s="9"/>
      <c r="E1044" s="10">
        <f>VLOOKUP($A1044,Presupuesto!$A:$D,4,FALSE())</f>
        <v>0</v>
      </c>
      <c r="F1044" s="11" t="s">
        <v>2589</v>
      </c>
      <c r="G1044" s="12">
        <f>SUM(G1046:G1062)/2</f>
        <v>64309.966521150011</v>
      </c>
      <c r="H1044" s="13">
        <f>ROUND(SUM(H1046:H1062),0)/2</f>
        <v>0</v>
      </c>
      <c r="I1044" s="10">
        <f>VLOOKUP(A1044,Presupuesto!$A:$F,6,0)</f>
        <v>0</v>
      </c>
      <c r="J1044" s="10">
        <f>+H1044-I1044</f>
        <v>0</v>
      </c>
      <c r="K1044" s="46">
        <f>+H1044-G1044*E1044</f>
        <v>0</v>
      </c>
    </row>
    <row r="1045" spans="1:11" ht="12.75" customHeight="1" thickTop="1">
      <c r="A1045" s="14"/>
      <c r="B1045" s="15" t="s">
        <v>2586</v>
      </c>
      <c r="C1045" s="15" t="s">
        <v>5</v>
      </c>
      <c r="D1045" s="16" t="s">
        <v>6</v>
      </c>
      <c r="E1045" s="17" t="s">
        <v>7</v>
      </c>
      <c r="F1045" s="18" t="s">
        <v>3728</v>
      </c>
      <c r="G1045" s="19" t="s">
        <v>3729</v>
      </c>
      <c r="H1045" s="20" t="s">
        <v>3797</v>
      </c>
    </row>
    <row r="1046" spans="1:11" ht="12.75" customHeight="1">
      <c r="A1046" s="21"/>
      <c r="B1046" s="22" t="s">
        <v>3730</v>
      </c>
      <c r="C1046" s="23"/>
      <c r="D1046" s="24"/>
      <c r="E1046" s="25"/>
      <c r="F1046" s="26"/>
      <c r="G1046" s="27">
        <f>SUM(G1047:G1051)</f>
        <v>0</v>
      </c>
      <c r="H1046" s="27">
        <f>IFERROR(G1046*E1044,"")</f>
        <v>0</v>
      </c>
    </row>
    <row r="1047" spans="1:11" ht="12.75" customHeight="1">
      <c r="A1047" s="28"/>
      <c r="B1047" s="29"/>
      <c r="C1047" s="30" t="str">
        <f>IFERROR(_xlfn.XLOOKUP(B1047,Insumo[DESCRIPCION],Insumo[UND],,0),"")</f>
        <v/>
      </c>
      <c r="D1047" s="31"/>
      <c r="E1047" s="32" t="str">
        <f>IFERROR(_xlfn.XLOOKUP($B1047,Insumo[DESCRIPCION],Insumo[VALOR],,0),"")</f>
        <v/>
      </c>
      <c r="F1047" s="33"/>
      <c r="G1047" s="34" t="str">
        <f>IFERROR(IF(F1047&gt;=0,D1047*E1047*(1+F1047/100),ABS(D1047*E1047/F1047)),"")</f>
        <v/>
      </c>
      <c r="H1047" s="43" t="str">
        <f>IFERROR(G1047*E1044,"")</f>
        <v/>
      </c>
    </row>
    <row r="1048" spans="1:11" ht="12.75" customHeight="1">
      <c r="A1048" s="28"/>
      <c r="B1048" s="29"/>
      <c r="C1048" s="30" t="str">
        <f>IFERROR(_xlfn.XLOOKUP(B1048,Insumo[DESCRIPCION],Insumo[UND],,0),"")</f>
        <v/>
      </c>
      <c r="D1048" s="31"/>
      <c r="E1048" s="32" t="str">
        <f>IFERROR(_xlfn.XLOOKUP($B1048,Insumo[DESCRIPCION],Insumo[VALOR],,0),"")</f>
        <v/>
      </c>
      <c r="F1048" s="33"/>
      <c r="G1048" s="34" t="str">
        <f>IFERROR(IF(F1048&gt;=0,D1048*E1048*(1+F1048/100),ABS(D1048*E1048/F1048)),"")</f>
        <v/>
      </c>
      <c r="H1048" s="43" t="str">
        <f>IFERROR(G1048*E1044,"")</f>
        <v/>
      </c>
    </row>
    <row r="1049" spans="1:11" ht="12.75" customHeight="1">
      <c r="A1049" s="28"/>
      <c r="B1049" s="29"/>
      <c r="C1049" s="30" t="str">
        <f>IFERROR(_xlfn.XLOOKUP(B1049,Insumo[DESCRIPCION],Insumo[UND],,0),"")</f>
        <v/>
      </c>
      <c r="D1049" s="31"/>
      <c r="E1049" s="32" t="str">
        <f>IFERROR(_xlfn.XLOOKUP($B1049,Insumo[DESCRIPCION],Insumo[VALOR],,0),"")</f>
        <v/>
      </c>
      <c r="F1049" s="33"/>
      <c r="G1049" s="34" t="str">
        <f>IFERROR(IF(F1049&gt;=0,D1049*E1049*(1+F1049/100),ABS(D1049*E1049/F1049)),"")</f>
        <v/>
      </c>
      <c r="H1049" s="43" t="str">
        <f>IFERROR(G1049*E1044,"")</f>
        <v/>
      </c>
    </row>
    <row r="1050" spans="1:11" ht="12.75" customHeight="1">
      <c r="A1050" s="28"/>
      <c r="B1050" s="29"/>
      <c r="C1050" s="30" t="str">
        <f>IFERROR(_xlfn.XLOOKUP(B1050,Insumo[DESCRIPCION],Insumo[UND],,0),"")</f>
        <v/>
      </c>
      <c r="D1050" s="31"/>
      <c r="E1050" s="32" t="str">
        <f>IFERROR(_xlfn.XLOOKUP($B1050,Insumo[DESCRIPCION],Insumo[VALOR],,0),"")</f>
        <v/>
      </c>
      <c r="F1050" s="33"/>
      <c r="G1050" s="34" t="str">
        <f>IFERROR(IF(F1050&gt;=0,D1050*E1050*(1+F1050/100),ABS(D1050*E1050/F1050)),"")</f>
        <v/>
      </c>
      <c r="H1050" s="43" t="str">
        <f>IFERROR(G1050*E1044,"")</f>
        <v/>
      </c>
    </row>
    <row r="1051" spans="1:11" ht="12.75" customHeight="1">
      <c r="A1051" s="28"/>
      <c r="B1051" s="29"/>
      <c r="C1051" s="30" t="str">
        <f>IFERROR(_xlfn.XLOOKUP(B1051,Insumo[DESCRIPCION],Insumo[UND],,0),"")</f>
        <v/>
      </c>
      <c r="D1051" s="31"/>
      <c r="E1051" s="32" t="str">
        <f>IFERROR(_xlfn.XLOOKUP($B1051,Insumo[DESCRIPCION],Insumo[VALOR],,0),"")</f>
        <v/>
      </c>
      <c r="F1051" s="33"/>
      <c r="G1051" s="34" t="str">
        <f>IFERROR(IF(F1051&gt;=0,D1051*E1051*(1+F1051/100),ABS(D1051*E1051/F1051)),"")</f>
        <v/>
      </c>
      <c r="H1051" s="43" t="str">
        <f>IFERROR(G1051*E1044,"")</f>
        <v/>
      </c>
    </row>
    <row r="1052" spans="1:11" ht="12.75" customHeight="1">
      <c r="A1052" s="21"/>
      <c r="B1052" s="22" t="s">
        <v>3731</v>
      </c>
      <c r="C1052" s="23"/>
      <c r="D1052" s="24"/>
      <c r="E1052" s="25"/>
      <c r="F1052" s="26"/>
      <c r="G1052" s="27">
        <f>SUM(G1053:G1055)</f>
        <v>20062.379358149999</v>
      </c>
      <c r="H1052" s="44">
        <f>G1052*E1044</f>
        <v>0</v>
      </c>
    </row>
    <row r="1053" spans="1:11" ht="12.75" customHeight="1">
      <c r="A1053" s="28"/>
      <c r="B1053" s="29" t="s">
        <v>3659</v>
      </c>
      <c r="C1053" s="30" t="str">
        <f>IFERROR(_xlfn.XLOOKUP(B1053,Equipo[DESCRIPCION],Equipo[UND],,0),"")</f>
        <v>Hr</v>
      </c>
      <c r="D1053" s="31">
        <v>1</v>
      </c>
      <c r="E1053" s="32">
        <f>IF(C1053="%MO",G1059,IFERROR(_xlfn.XLOOKUP($B1053,Equipo[DESCRIPCION],Equipo[VALOR],,0),""))</f>
        <v>89250</v>
      </c>
      <c r="F1053" s="33">
        <v>-5</v>
      </c>
      <c r="G1053" s="34">
        <f>IFERROR(IF(F1053&gt;=0,D1053*E1053*(1+F1053/100),ABS(D1053*E1053/F1053)),"")</f>
        <v>17850</v>
      </c>
      <c r="H1053" s="43">
        <f>IFERROR(G1053*E1044,"")</f>
        <v>0</v>
      </c>
    </row>
    <row r="1054" spans="1:11" ht="12.75" customHeight="1">
      <c r="A1054" s="28"/>
      <c r="B1054" s="29" t="s">
        <v>3626</v>
      </c>
      <c r="C1054" s="30" t="str">
        <f>IFERROR(_xlfn.XLOOKUP(B1054,Equipo[DESCRIPCION],Equipo[UND],,0),"")</f>
        <v>%MO</v>
      </c>
      <c r="D1054" s="31">
        <v>0.05</v>
      </c>
      <c r="E1054" s="32">
        <f>IF(C1054="%MO",G1059,IFERROR(_xlfn.XLOOKUP($B1054,Equipo[DESCRIPCION],Equipo[VALOR],,0),""))</f>
        <v>44247.587163000011</v>
      </c>
      <c r="F1054" s="33"/>
      <c r="G1054" s="34">
        <f>IFERROR(IF(F1054&gt;=0,D1054*E1054*(1+F1054/100),ABS(D1054*E1054/F1054)),"")</f>
        <v>2212.3793581500008</v>
      </c>
      <c r="H1054" s="43">
        <f>IFERROR(G1054*E1044,"")</f>
        <v>0</v>
      </c>
    </row>
    <row r="1055" spans="1:11" ht="12.75" customHeight="1">
      <c r="A1055" s="28"/>
      <c r="B1055" s="29"/>
      <c r="C1055" s="30" t="str">
        <f>IFERROR(_xlfn.XLOOKUP(B1055,Equipo[DESCRIPCION],Equipo[UND],,0),"")</f>
        <v/>
      </c>
      <c r="D1055" s="31"/>
      <c r="E1055" s="32" t="str">
        <f>IF(C1055="%MO",G1059,IFERROR(_xlfn.XLOOKUP($B1055,Equipo[DESCRIPCION],Equipo[VALOR],,0),""))</f>
        <v/>
      </c>
      <c r="F1055" s="33"/>
      <c r="G1055" s="34" t="str">
        <f>IFERROR(IF(F1055&gt;=0,D1055*E1055*(1+F1055/100),ABS(D1055*E1055/F1055)),"")</f>
        <v/>
      </c>
      <c r="H1055" s="43" t="str">
        <f>IFERROR(G1055*E1044,"")</f>
        <v/>
      </c>
    </row>
    <row r="1056" spans="1:11" ht="12.75" customHeight="1">
      <c r="A1056" s="21"/>
      <c r="B1056" s="22" t="s">
        <v>2533</v>
      </c>
      <c r="C1056" s="23"/>
      <c r="D1056" s="24"/>
      <c r="E1056" s="25"/>
      <c r="F1056" s="26"/>
      <c r="G1056" s="27">
        <f>SUM(G1057:G1058)</f>
        <v>0</v>
      </c>
      <c r="H1056" s="44">
        <f>G1056*E1044</f>
        <v>0</v>
      </c>
    </row>
    <row r="1057" spans="1:11" ht="12.75" customHeight="1">
      <c r="A1057" s="28"/>
      <c r="B1057" s="29"/>
      <c r="C1057" s="30" t="str">
        <f>IFERROR(_xlfn.XLOOKUP(B1057,Transporte[DESCRIPCION],Transporte[UND],,0),"")</f>
        <v/>
      </c>
      <c r="D1057" s="31"/>
      <c r="E1057" s="32" t="str">
        <f>IFERROR(_xlfn.XLOOKUP($B1057,Transporte[DESCRIPCION],Transporte[VALOR],,0),"")</f>
        <v/>
      </c>
      <c r="F1057" s="33"/>
      <c r="G1057" s="34" t="str">
        <f>IFERROR(IF(F1057&gt;=0,D1057*E1057*(1+F1057/100),ABS(D1057*E1057/F1057)),"")</f>
        <v/>
      </c>
      <c r="H1057" s="43" t="str">
        <f>IFERROR(G1057*E1044,"")</f>
        <v/>
      </c>
    </row>
    <row r="1058" spans="1:11" ht="12.75" customHeight="1">
      <c r="A1058" s="28"/>
      <c r="B1058" s="29"/>
      <c r="C1058" s="30" t="str">
        <f>IFERROR(_xlfn.XLOOKUP(B1058,Transporte[DESCRIPCION],Transporte[UND],,0),"")</f>
        <v/>
      </c>
      <c r="D1058" s="31"/>
      <c r="E1058" s="32" t="str">
        <f>IFERROR(_xlfn.XLOOKUP($B1058,Transporte[DESCRIPCION],Transporte[VALOR],,0),"")</f>
        <v/>
      </c>
      <c r="F1058" s="33"/>
      <c r="G1058" s="34" t="str">
        <f>IFERROR(IF(F1058&gt;=0,D1058*E1058*(1+F1058/100),ABS(D1058*E1058/F1058)),"")</f>
        <v/>
      </c>
      <c r="H1058" s="43" t="str">
        <f>IFERROR(G1058*E1044,"")</f>
        <v/>
      </c>
    </row>
    <row r="1059" spans="1:11" ht="12.75" customHeight="1">
      <c r="A1059" s="21"/>
      <c r="B1059" s="22" t="s">
        <v>3732</v>
      </c>
      <c r="C1059" s="23"/>
      <c r="D1059" s="24"/>
      <c r="E1059" s="25"/>
      <c r="F1059" s="26"/>
      <c r="G1059" s="27">
        <f>SUM(G1060:G1062)</f>
        <v>44247.587163000011</v>
      </c>
      <c r="H1059" s="44">
        <f>G1059*E1044</f>
        <v>0</v>
      </c>
    </row>
    <row r="1060" spans="1:11" ht="12.75" customHeight="1">
      <c r="A1060" s="28"/>
      <c r="B1060" s="29" t="s">
        <v>3713</v>
      </c>
      <c r="C1060" s="30" t="str">
        <f>IFERROR(_xlfn.XLOOKUP(B1060,MObra[DESCRIPCION],MObra[UN],,0),"")</f>
        <v>día</v>
      </c>
      <c r="D1060" s="31">
        <v>1</v>
      </c>
      <c r="E1060" s="32">
        <f>IFERROR(_xlfn.XLOOKUP($B1060,MObra[DESCRIPCION],MObra[VALOR UNIT],,0),"")</f>
        <v>663713.80744500016</v>
      </c>
      <c r="F1060" s="33">
        <v>-15</v>
      </c>
      <c r="G1060" s="34">
        <f>IFERROR(IF(F1060&gt;=0,D1060*E1060*(1+F1060/100),ABS(D1060*E1060/F1060)),"")</f>
        <v>44247.587163000011</v>
      </c>
      <c r="H1060" s="43">
        <f>IFERROR(G1060*E1044,"")</f>
        <v>0</v>
      </c>
    </row>
    <row r="1061" spans="1:11" ht="12.75" customHeight="1">
      <c r="A1061" s="28"/>
      <c r="B1061" s="29"/>
      <c r="C1061" s="30" t="str">
        <f>IFERROR(_xlfn.XLOOKUP(B1061,MObra[DESCRIPCION],MObra[UN],,0),"")</f>
        <v/>
      </c>
      <c r="D1061" s="31"/>
      <c r="E1061" s="32" t="str">
        <f>IFERROR(_xlfn.XLOOKUP($B1061,MObra[DESCRIPCION],MObra[VALOR UNIT],,0),"")</f>
        <v/>
      </c>
      <c r="F1061" s="33"/>
      <c r="G1061" s="34" t="str">
        <f>IFERROR(IF(F1061&gt;=0,D1061*E1061*(1+F1061/100),ABS(D1061*E1061/F1061)),"")</f>
        <v/>
      </c>
      <c r="H1061" s="43" t="str">
        <f>IFERROR(G1061*E1044,"")</f>
        <v/>
      </c>
    </row>
    <row r="1062" spans="1:11" ht="12.75" customHeight="1" thickBot="1">
      <c r="A1062" s="35"/>
      <c r="B1062" s="36"/>
      <c r="C1062" s="37" t="str">
        <f>IFERROR(_xlfn.XLOOKUP(B1062,MObra[DESCRIPCION],MObra[UN],,0),"")</f>
        <v/>
      </c>
      <c r="D1062" s="38"/>
      <c r="E1062" s="39" t="str">
        <f>IFERROR(_xlfn.XLOOKUP($B1062,MObra[DESCRIPCION],MObra[VALOR UNIT],,0),"")</f>
        <v/>
      </c>
      <c r="F1062" s="40"/>
      <c r="G1062" s="41" t="str">
        <f>IFERROR(IF(F1062&gt;=0,D1062*E1062*(1+F1062/100),ABS(D1062*E1062/F1062)),"")</f>
        <v/>
      </c>
      <c r="H1062" s="42" t="str">
        <f>IFERROR(G1062*E1044,"")</f>
        <v/>
      </c>
    </row>
    <row r="1063" spans="1:11" ht="12.75" customHeight="1" thickTop="1" thickBot="1"/>
    <row r="1064" spans="1:11" ht="12.75" customHeight="1" thickTop="1" thickBot="1">
      <c r="A1064" s="6" t="s">
        <v>2536</v>
      </c>
      <c r="B1064" s="7" t="str">
        <f>VLOOKUP($A1064,Presupuesto!$A:$D,2,FALSE())</f>
        <v>Cargue material mecánico</v>
      </c>
      <c r="C1064" s="8" t="str">
        <f>VLOOKUP($A1064,Presupuesto!$A:$D,3,FALSE())</f>
        <v>M3</v>
      </c>
      <c r="D1064" s="9"/>
      <c r="E1064" s="10">
        <f>VLOOKUP($A1064,Presupuesto!$A:$D,4,FALSE())</f>
        <v>0</v>
      </c>
      <c r="F1064" s="11" t="s">
        <v>2589</v>
      </c>
      <c r="G1064" s="12">
        <f>SUM(G1066:G1082)/2</f>
        <v>21287.717829875</v>
      </c>
      <c r="H1064" s="13">
        <f>ROUND(SUM(H1066:H1082),0)/2</f>
        <v>0</v>
      </c>
      <c r="I1064" s="10">
        <f>VLOOKUP(A1064,Presupuesto!$A:$F,6,0)</f>
        <v>0</v>
      </c>
      <c r="J1064" s="10">
        <f>+H1064-I1064</f>
        <v>0</v>
      </c>
      <c r="K1064" s="46">
        <f>+H1064-G1064*E1064</f>
        <v>0</v>
      </c>
    </row>
    <row r="1065" spans="1:11" ht="12.75" customHeight="1" thickTop="1">
      <c r="A1065" s="14"/>
      <c r="B1065" s="15" t="s">
        <v>2586</v>
      </c>
      <c r="C1065" s="15" t="s">
        <v>5</v>
      </c>
      <c r="D1065" s="16" t="s">
        <v>6</v>
      </c>
      <c r="E1065" s="17" t="s">
        <v>7</v>
      </c>
      <c r="F1065" s="18" t="s">
        <v>3728</v>
      </c>
      <c r="G1065" s="19" t="s">
        <v>3729</v>
      </c>
      <c r="H1065" s="20" t="s">
        <v>3797</v>
      </c>
    </row>
    <row r="1066" spans="1:11" ht="12.75" customHeight="1">
      <c r="A1066" s="21"/>
      <c r="B1066" s="22" t="s">
        <v>3730</v>
      </c>
      <c r="C1066" s="23"/>
      <c r="D1066" s="24"/>
      <c r="E1066" s="25"/>
      <c r="F1066" s="26"/>
      <c r="G1066" s="27">
        <f>SUM(G1067:G1071)</f>
        <v>0</v>
      </c>
      <c r="H1066" s="27">
        <f>IFERROR(G1066*E1064,"")</f>
        <v>0</v>
      </c>
    </row>
    <row r="1067" spans="1:11" ht="12.75" customHeight="1">
      <c r="A1067" s="28"/>
      <c r="B1067" s="29"/>
      <c r="C1067" s="30" t="str">
        <f>IFERROR(_xlfn.XLOOKUP(B1067,Insumo[DESCRIPCION],Insumo[UND],,0),"")</f>
        <v/>
      </c>
      <c r="D1067" s="31"/>
      <c r="E1067" s="32" t="str">
        <f>IFERROR(_xlfn.XLOOKUP($B1067,Insumo[DESCRIPCION],Insumo[VALOR],,0),"")</f>
        <v/>
      </c>
      <c r="F1067" s="33"/>
      <c r="G1067" s="34" t="str">
        <f>IFERROR(IF(F1067&gt;=0,D1067*E1067*(1+F1067/100),ABS(D1067*E1067/F1067)),"")</f>
        <v/>
      </c>
      <c r="H1067" s="43" t="str">
        <f>IFERROR(G1067*E1064,"")</f>
        <v/>
      </c>
    </row>
    <row r="1068" spans="1:11" ht="12.75" customHeight="1">
      <c r="A1068" s="28"/>
      <c r="B1068" s="29"/>
      <c r="C1068" s="30" t="str">
        <f>IFERROR(_xlfn.XLOOKUP(B1068,Insumo[DESCRIPCION],Insumo[UND],,0),"")</f>
        <v/>
      </c>
      <c r="D1068" s="31"/>
      <c r="E1068" s="32" t="str">
        <f>IFERROR(_xlfn.XLOOKUP($B1068,Insumo[DESCRIPCION],Insumo[VALOR],,0),"")</f>
        <v/>
      </c>
      <c r="F1068" s="33"/>
      <c r="G1068" s="34" t="str">
        <f>IFERROR(IF(F1068&gt;=0,D1068*E1068*(1+F1068/100),ABS(D1068*E1068/F1068)),"")</f>
        <v/>
      </c>
      <c r="H1068" s="43" t="str">
        <f>IFERROR(G1068*E1064,"")</f>
        <v/>
      </c>
    </row>
    <row r="1069" spans="1:11" ht="12.75" customHeight="1">
      <c r="A1069" s="28"/>
      <c r="B1069" s="29"/>
      <c r="C1069" s="30" t="str">
        <f>IFERROR(_xlfn.XLOOKUP(B1069,Insumo[DESCRIPCION],Insumo[UND],,0),"")</f>
        <v/>
      </c>
      <c r="D1069" s="31"/>
      <c r="E1069" s="32" t="str">
        <f>IFERROR(_xlfn.XLOOKUP($B1069,Insumo[DESCRIPCION],Insumo[VALOR],,0),"")</f>
        <v/>
      </c>
      <c r="F1069" s="33"/>
      <c r="G1069" s="34" t="str">
        <f>IFERROR(IF(F1069&gt;=0,D1069*E1069*(1+F1069/100),ABS(D1069*E1069/F1069)),"")</f>
        <v/>
      </c>
      <c r="H1069" s="43" t="str">
        <f>IFERROR(G1069*E1064,"")</f>
        <v/>
      </c>
    </row>
    <row r="1070" spans="1:11" ht="12.75" customHeight="1">
      <c r="A1070" s="28"/>
      <c r="B1070" s="29"/>
      <c r="C1070" s="30" t="str">
        <f>IFERROR(_xlfn.XLOOKUP(B1070,Insumo[DESCRIPCION],Insumo[UND],,0),"")</f>
        <v/>
      </c>
      <c r="D1070" s="31"/>
      <c r="E1070" s="32" t="str">
        <f>IFERROR(_xlfn.XLOOKUP($B1070,Insumo[DESCRIPCION],Insumo[VALOR],,0),"")</f>
        <v/>
      </c>
      <c r="F1070" s="33"/>
      <c r="G1070" s="34" t="str">
        <f>IFERROR(IF(F1070&gt;=0,D1070*E1070*(1+F1070/100),ABS(D1070*E1070/F1070)),"")</f>
        <v/>
      </c>
      <c r="H1070" s="43" t="str">
        <f>IFERROR(G1070*E1064,"")</f>
        <v/>
      </c>
    </row>
    <row r="1071" spans="1:11" ht="12.75" customHeight="1">
      <c r="A1071" s="28"/>
      <c r="B1071" s="29"/>
      <c r="C1071" s="30" t="str">
        <f>IFERROR(_xlfn.XLOOKUP(B1071,Insumo[DESCRIPCION],Insumo[UND],,0),"")</f>
        <v/>
      </c>
      <c r="D1071" s="31"/>
      <c r="E1071" s="32" t="str">
        <f>IFERROR(_xlfn.XLOOKUP($B1071,Insumo[DESCRIPCION],Insumo[VALOR],,0),"")</f>
        <v/>
      </c>
      <c r="F1071" s="33"/>
      <c r="G1071" s="34" t="str">
        <f>IFERROR(IF(F1071&gt;=0,D1071*E1071*(1+F1071/100),ABS(D1071*E1071/F1071)),"")</f>
        <v/>
      </c>
      <c r="H1071" s="43" t="str">
        <f>IFERROR(G1071*E1064,"")</f>
        <v/>
      </c>
    </row>
    <row r="1072" spans="1:11" ht="12.75" customHeight="1">
      <c r="A1072" s="21"/>
      <c r="B1072" s="22" t="s">
        <v>3731</v>
      </c>
      <c r="C1072" s="23"/>
      <c r="D1072" s="24"/>
      <c r="E1072" s="25"/>
      <c r="F1072" s="26"/>
      <c r="G1072" s="27">
        <f>SUM(G1073:G1075)</f>
        <v>19347.034182374999</v>
      </c>
      <c r="H1072" s="44">
        <f>G1072*E1064</f>
        <v>0</v>
      </c>
    </row>
    <row r="1073" spans="1:11" ht="12.75" customHeight="1">
      <c r="A1073" s="28"/>
      <c r="B1073" s="29" t="s">
        <v>3646</v>
      </c>
      <c r="C1073" s="30" t="str">
        <f>IFERROR(_xlfn.XLOOKUP(B1073,Equipo[DESCRIPCION],Equipo[UND],,0),"")</f>
        <v>Hr</v>
      </c>
      <c r="D1073" s="31">
        <v>1</v>
      </c>
      <c r="E1073" s="32">
        <f>IF(C1073="%MO",G1079,IFERROR(_xlfn.XLOOKUP($B1073,Equipo[DESCRIPCION],Equipo[VALOR],,0),""))</f>
        <v>288750</v>
      </c>
      <c r="F1073" s="33">
        <v>-15</v>
      </c>
      <c r="G1073" s="34">
        <f>IFERROR(IF(F1073&gt;=0,D1073*E1073*(1+F1073/100),ABS(D1073*E1073/F1073)),"")</f>
        <v>19250</v>
      </c>
      <c r="H1073" s="43">
        <f>IFERROR(G1073*E1064,"")</f>
        <v>0</v>
      </c>
    </row>
    <row r="1074" spans="1:11" ht="12.75" customHeight="1">
      <c r="A1074" s="28"/>
      <c r="B1074" s="29" t="s">
        <v>3626</v>
      </c>
      <c r="C1074" s="30" t="str">
        <f>IFERROR(_xlfn.XLOOKUP(B1074,Equipo[DESCRIPCION],Equipo[UND],,0),"")</f>
        <v>%MO</v>
      </c>
      <c r="D1074" s="31">
        <v>0.05</v>
      </c>
      <c r="E1074" s="32">
        <f>IF(C1074="%MO",G1079,IFERROR(_xlfn.XLOOKUP($B1074,Equipo[DESCRIPCION],Equipo[VALOR],,0),""))</f>
        <v>1940.6836475000005</v>
      </c>
      <c r="F1074" s="33"/>
      <c r="G1074" s="34">
        <f>IFERROR(IF(F1074&gt;=0,D1074*E1074*(1+F1074/100),ABS(D1074*E1074/F1074)),"")</f>
        <v>97.034182375000029</v>
      </c>
      <c r="H1074" s="43">
        <f>IFERROR(G1074*E1064,"")</f>
        <v>0</v>
      </c>
    </row>
    <row r="1075" spans="1:11" ht="12.75" customHeight="1">
      <c r="A1075" s="28"/>
      <c r="B1075" s="29"/>
      <c r="C1075" s="30" t="str">
        <f>IFERROR(_xlfn.XLOOKUP(B1075,Equipo[DESCRIPCION],Equipo[UND],,0),"")</f>
        <v/>
      </c>
      <c r="D1075" s="31"/>
      <c r="E1075" s="32" t="str">
        <f>IF(C1075="%MO",G1079,IFERROR(_xlfn.XLOOKUP($B1075,Equipo[DESCRIPCION],Equipo[VALOR],,0),""))</f>
        <v/>
      </c>
      <c r="F1075" s="33"/>
      <c r="G1075" s="34" t="str">
        <f>IFERROR(IF(F1075&gt;=0,D1075*E1075*(1+F1075/100),ABS(D1075*E1075/F1075)),"")</f>
        <v/>
      </c>
      <c r="H1075" s="43" t="str">
        <f>IFERROR(G1075*E1064,"")</f>
        <v/>
      </c>
    </row>
    <row r="1076" spans="1:11" ht="12.75" customHeight="1">
      <c r="A1076" s="21"/>
      <c r="B1076" s="22" t="s">
        <v>2533</v>
      </c>
      <c r="C1076" s="23"/>
      <c r="D1076" s="24"/>
      <c r="E1076" s="25"/>
      <c r="F1076" s="26"/>
      <c r="G1076" s="27">
        <f>SUM(G1077:G1078)</f>
        <v>0</v>
      </c>
      <c r="H1076" s="44">
        <f>G1076*E1064</f>
        <v>0</v>
      </c>
    </row>
    <row r="1077" spans="1:11" ht="12.75" customHeight="1">
      <c r="A1077" s="28"/>
      <c r="B1077" s="29"/>
      <c r="C1077" s="30" t="str">
        <f>IFERROR(_xlfn.XLOOKUP(B1077,Transporte[DESCRIPCION],Transporte[UND],,0),"")</f>
        <v/>
      </c>
      <c r="D1077" s="31"/>
      <c r="E1077" s="32" t="str">
        <f>IFERROR(_xlfn.XLOOKUP($B1077,Transporte[DESCRIPCION],Transporte[VALOR],,0),"")</f>
        <v/>
      </c>
      <c r="F1077" s="33"/>
      <c r="G1077" s="34" t="str">
        <f>IFERROR(IF(F1077&gt;=0,D1077*E1077*(1+F1077/100),ABS(D1077*E1077/F1077)),"")</f>
        <v/>
      </c>
      <c r="H1077" s="43" t="str">
        <f>IFERROR(G1077*E1064,"")</f>
        <v/>
      </c>
    </row>
    <row r="1078" spans="1:11" ht="12.75" customHeight="1">
      <c r="A1078" s="28"/>
      <c r="B1078" s="29"/>
      <c r="C1078" s="30" t="str">
        <f>IFERROR(_xlfn.XLOOKUP(B1078,Transporte[DESCRIPCION],Transporte[UND],,0),"")</f>
        <v/>
      </c>
      <c r="D1078" s="31"/>
      <c r="E1078" s="32" t="str">
        <f>IFERROR(_xlfn.XLOOKUP($B1078,Transporte[DESCRIPCION],Transporte[VALOR],,0),"")</f>
        <v/>
      </c>
      <c r="F1078" s="33"/>
      <c r="G1078" s="34" t="str">
        <f>IFERROR(IF(F1078&gt;=0,D1078*E1078*(1+F1078/100),ABS(D1078*E1078/F1078)),"")</f>
        <v/>
      </c>
      <c r="H1078" s="43" t="str">
        <f>IFERROR(G1078*E1064,"")</f>
        <v/>
      </c>
    </row>
    <row r="1079" spans="1:11" ht="12.75" customHeight="1">
      <c r="A1079" s="21"/>
      <c r="B1079" s="22" t="s">
        <v>3732</v>
      </c>
      <c r="C1079" s="23"/>
      <c r="D1079" s="24"/>
      <c r="E1079" s="25"/>
      <c r="F1079" s="26"/>
      <c r="G1079" s="27">
        <f>SUM(G1080:G1082)</f>
        <v>1940.6836475000005</v>
      </c>
      <c r="H1079" s="44">
        <f>G1079*E1064</f>
        <v>0</v>
      </c>
    </row>
    <row r="1080" spans="1:11" ht="12.75" customHeight="1">
      <c r="A1080" s="28"/>
      <c r="B1080" s="29" t="s">
        <v>3698</v>
      </c>
      <c r="C1080" s="30" t="str">
        <f>IFERROR(_xlfn.XLOOKUP(B1080,MObra[DESCRIPCION],MObra[UN],,0),"")</f>
        <v>día</v>
      </c>
      <c r="D1080" s="31">
        <v>1</v>
      </c>
      <c r="E1080" s="32">
        <f>IFERROR(_xlfn.XLOOKUP($B1080,MObra[DESCRIPCION],MObra[VALOR UNIT],,0),"")</f>
        <v>116441.01885000002</v>
      </c>
      <c r="F1080" s="33">
        <v>-60</v>
      </c>
      <c r="G1080" s="34">
        <f>IFERROR(IF(F1080&gt;=0,D1080*E1080*(1+F1080/100),ABS(D1080*E1080/F1080)),"")</f>
        <v>1940.6836475000005</v>
      </c>
      <c r="H1080" s="43">
        <f>IFERROR(G1080*E1064,"")</f>
        <v>0</v>
      </c>
    </row>
    <row r="1081" spans="1:11" ht="12.75" customHeight="1">
      <c r="A1081" s="28"/>
      <c r="B1081" s="29"/>
      <c r="C1081" s="30" t="str">
        <f>IFERROR(_xlfn.XLOOKUP(B1081,MObra[DESCRIPCION],MObra[UN],,0),"")</f>
        <v/>
      </c>
      <c r="D1081" s="31"/>
      <c r="E1081" s="32" t="str">
        <f>IFERROR(_xlfn.XLOOKUP($B1081,MObra[DESCRIPCION],MObra[VALOR UNIT],,0),"")</f>
        <v/>
      </c>
      <c r="F1081" s="33"/>
      <c r="G1081" s="34" t="str">
        <f>IFERROR(IF(F1081&gt;=0,D1081*E1081*(1+F1081/100),ABS(D1081*E1081/F1081)),"")</f>
        <v/>
      </c>
      <c r="H1081" s="43" t="str">
        <f>IFERROR(G1081*E1064,"")</f>
        <v/>
      </c>
    </row>
    <row r="1082" spans="1:11" ht="12.75" customHeight="1" thickBot="1">
      <c r="A1082" s="35"/>
      <c r="B1082" s="36"/>
      <c r="C1082" s="37" t="str">
        <f>IFERROR(_xlfn.XLOOKUP(B1082,MObra[DESCRIPCION],MObra[UN],,0),"")</f>
        <v/>
      </c>
      <c r="D1082" s="38"/>
      <c r="E1082" s="39" t="str">
        <f>IFERROR(_xlfn.XLOOKUP($B1082,MObra[DESCRIPCION],MObra[VALOR UNIT],,0),"")</f>
        <v/>
      </c>
      <c r="F1082" s="40"/>
      <c r="G1082" s="41" t="str">
        <f>IFERROR(IF(F1082&gt;=0,D1082*E1082*(1+F1082/100),ABS(D1082*E1082/F1082)),"")</f>
        <v/>
      </c>
      <c r="H1082" s="42" t="str">
        <f>IFERROR(G1082*E1064,"")</f>
        <v/>
      </c>
    </row>
    <row r="1083" spans="1:11" ht="12.75" customHeight="1" thickTop="1" thickBot="1"/>
    <row r="1084" spans="1:11" ht="12.75" customHeight="1" thickTop="1" thickBot="1">
      <c r="A1084" s="6" t="s">
        <v>2538</v>
      </c>
      <c r="B1084" s="7" t="str">
        <f>VLOOKUP($A1084,Presupuesto!$A:$D,2,FALSE())</f>
        <v>Cargue mecánico + retiro material sobrante incluye el depósito (a escombrera oficial o autorizada)</v>
      </c>
      <c r="C1084" s="8" t="str">
        <f>VLOOKUP($A1084,Presupuesto!$A:$D,3,FALSE())</f>
        <v>M3</v>
      </c>
      <c r="D1084" s="9"/>
      <c r="E1084" s="10">
        <f>VLOOKUP($A1084,Presupuesto!$A:$D,4,FALSE())</f>
        <v>0</v>
      </c>
      <c r="F1084" s="11" t="s">
        <v>2589</v>
      </c>
      <c r="G1084" s="12">
        <f>SUM(G1086:G1102)/2</f>
        <v>39137.717829875008</v>
      </c>
      <c r="H1084" s="13">
        <f>ROUND(SUM(H1086:H1102),0)/2</f>
        <v>0</v>
      </c>
      <c r="I1084" s="10">
        <f>VLOOKUP(A1084,Presupuesto!$A:$F,6,0)</f>
        <v>0</v>
      </c>
      <c r="J1084" s="10">
        <f>+H1084-I1084</f>
        <v>0</v>
      </c>
      <c r="K1084" s="46">
        <f>+H1084-G1084*E1084</f>
        <v>0</v>
      </c>
    </row>
    <row r="1085" spans="1:11" ht="12.75" customHeight="1" thickTop="1">
      <c r="A1085" s="14"/>
      <c r="B1085" s="15" t="s">
        <v>2586</v>
      </c>
      <c r="C1085" s="15" t="s">
        <v>5</v>
      </c>
      <c r="D1085" s="16" t="s">
        <v>6</v>
      </c>
      <c r="E1085" s="17" t="s">
        <v>7</v>
      </c>
      <c r="F1085" s="18" t="s">
        <v>3728</v>
      </c>
      <c r="G1085" s="19" t="s">
        <v>3729</v>
      </c>
      <c r="H1085" s="20" t="s">
        <v>3797</v>
      </c>
    </row>
    <row r="1086" spans="1:11" ht="12.75" customHeight="1">
      <c r="A1086" s="21"/>
      <c r="B1086" s="22" t="s">
        <v>3730</v>
      </c>
      <c r="C1086" s="23"/>
      <c r="D1086" s="24"/>
      <c r="E1086" s="25"/>
      <c r="F1086" s="26"/>
      <c r="G1086" s="27">
        <f>SUM(G1087:G1091)</f>
        <v>0</v>
      </c>
      <c r="H1086" s="27">
        <f>IFERROR(G1086*E1084,"")</f>
        <v>0</v>
      </c>
    </row>
    <row r="1087" spans="1:11" ht="12.75" customHeight="1">
      <c r="A1087" s="28"/>
      <c r="B1087" s="29"/>
      <c r="C1087" s="30" t="str">
        <f>IFERROR(_xlfn.XLOOKUP(B1087,Insumo[DESCRIPCION],Insumo[UND],,0),"")</f>
        <v/>
      </c>
      <c r="D1087" s="31"/>
      <c r="E1087" s="32" t="str">
        <f>IFERROR(_xlfn.XLOOKUP($B1087,Insumo[DESCRIPCION],Insumo[VALOR],,0),"")</f>
        <v/>
      </c>
      <c r="F1087" s="33"/>
      <c r="G1087" s="34" t="str">
        <f>IFERROR(IF(F1087&gt;=0,D1087*E1087*(1+F1087/100),ABS(D1087*E1087/F1087)),"")</f>
        <v/>
      </c>
      <c r="H1087" s="43" t="str">
        <f>IFERROR(G1087*E1084,"")</f>
        <v/>
      </c>
    </row>
    <row r="1088" spans="1:11" ht="12.75" customHeight="1">
      <c r="A1088" s="28"/>
      <c r="B1088" s="29"/>
      <c r="C1088" s="30" t="str">
        <f>IFERROR(_xlfn.XLOOKUP(B1088,Insumo[DESCRIPCION],Insumo[UND],,0),"")</f>
        <v/>
      </c>
      <c r="D1088" s="31"/>
      <c r="E1088" s="32" t="str">
        <f>IFERROR(_xlfn.XLOOKUP($B1088,Insumo[DESCRIPCION],Insumo[VALOR],,0),"")</f>
        <v/>
      </c>
      <c r="F1088" s="33"/>
      <c r="G1088" s="34" t="str">
        <f>IFERROR(IF(F1088&gt;=0,D1088*E1088*(1+F1088/100),ABS(D1088*E1088/F1088)),"")</f>
        <v/>
      </c>
      <c r="H1088" s="43" t="str">
        <f>IFERROR(G1088*E1084,"")</f>
        <v/>
      </c>
    </row>
    <row r="1089" spans="1:11" ht="12.75" customHeight="1">
      <c r="A1089" s="28"/>
      <c r="B1089" s="29"/>
      <c r="C1089" s="30" t="str">
        <f>IFERROR(_xlfn.XLOOKUP(B1089,Insumo[DESCRIPCION],Insumo[UND],,0),"")</f>
        <v/>
      </c>
      <c r="D1089" s="31"/>
      <c r="E1089" s="32" t="str">
        <f>IFERROR(_xlfn.XLOOKUP($B1089,Insumo[DESCRIPCION],Insumo[VALOR],,0),"")</f>
        <v/>
      </c>
      <c r="F1089" s="33"/>
      <c r="G1089" s="34" t="str">
        <f>IFERROR(IF(F1089&gt;=0,D1089*E1089*(1+F1089/100),ABS(D1089*E1089/F1089)),"")</f>
        <v/>
      </c>
      <c r="H1089" s="43" t="str">
        <f>IFERROR(G1089*E1084,"")</f>
        <v/>
      </c>
    </row>
    <row r="1090" spans="1:11" ht="12.75" customHeight="1">
      <c r="A1090" s="28"/>
      <c r="B1090" s="29"/>
      <c r="C1090" s="30" t="str">
        <f>IFERROR(_xlfn.XLOOKUP(B1090,Insumo[DESCRIPCION],Insumo[UND],,0),"")</f>
        <v/>
      </c>
      <c r="D1090" s="31"/>
      <c r="E1090" s="32" t="str">
        <f>IFERROR(_xlfn.XLOOKUP($B1090,Insumo[DESCRIPCION],Insumo[VALOR],,0),"")</f>
        <v/>
      </c>
      <c r="F1090" s="33"/>
      <c r="G1090" s="34" t="str">
        <f>IFERROR(IF(F1090&gt;=0,D1090*E1090*(1+F1090/100),ABS(D1090*E1090/F1090)),"")</f>
        <v/>
      </c>
      <c r="H1090" s="43" t="str">
        <f>IFERROR(G1090*E1084,"")</f>
        <v/>
      </c>
    </row>
    <row r="1091" spans="1:11" ht="12.75" customHeight="1">
      <c r="A1091" s="28"/>
      <c r="B1091" s="29"/>
      <c r="C1091" s="30" t="str">
        <f>IFERROR(_xlfn.XLOOKUP(B1091,Insumo[DESCRIPCION],Insumo[UND],,0),"")</f>
        <v/>
      </c>
      <c r="D1091" s="31"/>
      <c r="E1091" s="32" t="str">
        <f>IFERROR(_xlfn.XLOOKUP($B1091,Insumo[DESCRIPCION],Insumo[VALOR],,0),"")</f>
        <v/>
      </c>
      <c r="F1091" s="33"/>
      <c r="G1091" s="34" t="str">
        <f>IFERROR(IF(F1091&gt;=0,D1091*E1091*(1+F1091/100),ABS(D1091*E1091/F1091)),"")</f>
        <v/>
      </c>
      <c r="H1091" s="43" t="str">
        <f>IFERROR(G1091*E1084,"")</f>
        <v/>
      </c>
    </row>
    <row r="1092" spans="1:11" ht="12.75" customHeight="1">
      <c r="A1092" s="21"/>
      <c r="B1092" s="22" t="s">
        <v>3731</v>
      </c>
      <c r="C1092" s="23"/>
      <c r="D1092" s="24"/>
      <c r="E1092" s="25"/>
      <c r="F1092" s="26"/>
      <c r="G1092" s="27">
        <f>SUM(G1093:G1095)</f>
        <v>37197.034182374999</v>
      </c>
      <c r="H1092" s="44">
        <f>G1092*E1084</f>
        <v>0</v>
      </c>
    </row>
    <row r="1093" spans="1:11" ht="12.75" customHeight="1">
      <c r="A1093" s="28"/>
      <c r="B1093" s="29" t="s">
        <v>3659</v>
      </c>
      <c r="C1093" s="30" t="str">
        <f>IFERROR(_xlfn.XLOOKUP(B1093,Equipo[DESCRIPCION],Equipo[UND],,0),"")</f>
        <v>Hr</v>
      </c>
      <c r="D1093" s="31">
        <v>1</v>
      </c>
      <c r="E1093" s="32">
        <f>IF(C1093="%MO",G1099,IFERROR(_xlfn.XLOOKUP($B1093,Equipo[DESCRIPCION],Equipo[VALOR],,0),""))</f>
        <v>89250</v>
      </c>
      <c r="F1093" s="33">
        <v>-5</v>
      </c>
      <c r="G1093" s="34">
        <f>IFERROR(IF(F1093&gt;=0,D1093*E1093*(1+F1093/100),ABS(D1093*E1093/F1093)),"")</f>
        <v>17850</v>
      </c>
      <c r="H1093" s="43">
        <f>IFERROR(G1093*E1084,"")</f>
        <v>0</v>
      </c>
    </row>
    <row r="1094" spans="1:11" ht="12.75" customHeight="1">
      <c r="A1094" s="28"/>
      <c r="B1094" s="29" t="s">
        <v>3646</v>
      </c>
      <c r="C1094" s="30" t="str">
        <f>IFERROR(_xlfn.XLOOKUP(B1094,Equipo[DESCRIPCION],Equipo[UND],,0),"")</f>
        <v>Hr</v>
      </c>
      <c r="D1094" s="31">
        <v>1</v>
      </c>
      <c r="E1094" s="32">
        <f>IF(C1094="%MO",G1099,IFERROR(_xlfn.XLOOKUP($B1094,Equipo[DESCRIPCION],Equipo[VALOR],,0),""))</f>
        <v>288750</v>
      </c>
      <c r="F1094" s="33">
        <v>-15</v>
      </c>
      <c r="G1094" s="34">
        <f>IFERROR(IF(F1094&gt;=0,D1094*E1094*(1+F1094/100),ABS(D1094*E1094/F1094)),"")</f>
        <v>19250</v>
      </c>
      <c r="H1094" s="43">
        <f>IFERROR(G1094*E1084,"")</f>
        <v>0</v>
      </c>
    </row>
    <row r="1095" spans="1:11" ht="12.75" customHeight="1">
      <c r="A1095" s="28"/>
      <c r="B1095" s="29" t="s">
        <v>3626</v>
      </c>
      <c r="C1095" s="30" t="str">
        <f>IFERROR(_xlfn.XLOOKUP(B1095,Equipo[DESCRIPCION],Equipo[UND],,0),"")</f>
        <v>%MO</v>
      </c>
      <c r="D1095" s="31">
        <v>0.05</v>
      </c>
      <c r="E1095" s="32">
        <f>IF(C1095="%MO",G1099,IFERROR(_xlfn.XLOOKUP($B1095,Equipo[DESCRIPCION],Equipo[VALOR],,0),""))</f>
        <v>1940.6836475000005</v>
      </c>
      <c r="F1095" s="33"/>
      <c r="G1095" s="34">
        <f>IFERROR(IF(F1095&gt;=0,D1095*E1095*(1+F1095/100),ABS(D1095*E1095/F1095)),"")</f>
        <v>97.034182375000029</v>
      </c>
      <c r="H1095" s="43">
        <f>IFERROR(G1095*E1084,"")</f>
        <v>0</v>
      </c>
    </row>
    <row r="1096" spans="1:11" ht="12.75" customHeight="1">
      <c r="A1096" s="21"/>
      <c r="B1096" s="22" t="s">
        <v>2533</v>
      </c>
      <c r="C1096" s="23"/>
      <c r="D1096" s="24"/>
      <c r="E1096" s="25"/>
      <c r="F1096" s="26"/>
      <c r="G1096" s="27">
        <f>SUM(G1097:G1098)</f>
        <v>0</v>
      </c>
      <c r="H1096" s="44">
        <f>G1096*E1084</f>
        <v>0</v>
      </c>
    </row>
    <row r="1097" spans="1:11" ht="12.75" customHeight="1">
      <c r="A1097" s="28"/>
      <c r="B1097" s="29"/>
      <c r="C1097" s="30" t="str">
        <f>IFERROR(_xlfn.XLOOKUP(B1097,Transporte[DESCRIPCION],Transporte[UND],,0),"")</f>
        <v/>
      </c>
      <c r="D1097" s="31"/>
      <c r="E1097" s="32" t="str">
        <f>IFERROR(_xlfn.XLOOKUP($B1097,Transporte[DESCRIPCION],Transporte[VALOR],,0),"")</f>
        <v/>
      </c>
      <c r="F1097" s="33"/>
      <c r="G1097" s="34" t="str">
        <f>IFERROR(IF(F1097&gt;=0,D1097*E1097*(1+F1097/100),ABS(D1097*E1097/F1097)),"")</f>
        <v/>
      </c>
      <c r="H1097" s="43" t="str">
        <f>IFERROR(G1097*E1084,"")</f>
        <v/>
      </c>
    </row>
    <row r="1098" spans="1:11" ht="12.75" customHeight="1">
      <c r="A1098" s="28"/>
      <c r="B1098" s="29"/>
      <c r="C1098" s="30" t="str">
        <f>IFERROR(_xlfn.XLOOKUP(B1098,Transporte[DESCRIPCION],Transporte[UND],,0),"")</f>
        <v/>
      </c>
      <c r="D1098" s="31"/>
      <c r="E1098" s="32" t="str">
        <f>IFERROR(_xlfn.XLOOKUP($B1098,Transporte[DESCRIPCION],Transporte[VALOR],,0),"")</f>
        <v/>
      </c>
      <c r="F1098" s="33"/>
      <c r="G1098" s="34" t="str">
        <f>IFERROR(IF(F1098&gt;=0,D1098*E1098*(1+F1098/100),ABS(D1098*E1098/F1098)),"")</f>
        <v/>
      </c>
      <c r="H1098" s="43" t="str">
        <f>IFERROR(G1098*E1084,"")</f>
        <v/>
      </c>
    </row>
    <row r="1099" spans="1:11" ht="12.75" customHeight="1">
      <c r="A1099" s="21"/>
      <c r="B1099" s="22" t="s">
        <v>3732</v>
      </c>
      <c r="C1099" s="23"/>
      <c r="D1099" s="24"/>
      <c r="E1099" s="25"/>
      <c r="F1099" s="26"/>
      <c r="G1099" s="27">
        <f>SUM(G1100:G1102)</f>
        <v>1940.6836475000005</v>
      </c>
      <c r="H1099" s="44">
        <f>G1099*E1084</f>
        <v>0</v>
      </c>
    </row>
    <row r="1100" spans="1:11" ht="12.75" customHeight="1">
      <c r="A1100" s="28"/>
      <c r="B1100" s="29" t="s">
        <v>3698</v>
      </c>
      <c r="C1100" s="30" t="str">
        <f>IFERROR(_xlfn.XLOOKUP(B1100,MObra[DESCRIPCION],MObra[UN],,0),"")</f>
        <v>día</v>
      </c>
      <c r="D1100" s="31">
        <v>1</v>
      </c>
      <c r="E1100" s="32">
        <f>IFERROR(_xlfn.XLOOKUP($B1100,MObra[DESCRIPCION],MObra[VALOR UNIT],,0),"")</f>
        <v>116441.01885000002</v>
      </c>
      <c r="F1100" s="33">
        <v>-60</v>
      </c>
      <c r="G1100" s="34">
        <f>IFERROR(IF(F1100&gt;=0,D1100*E1100*(1+F1100/100),ABS(D1100*E1100/F1100)),"")</f>
        <v>1940.6836475000005</v>
      </c>
      <c r="H1100" s="43">
        <f>IFERROR(G1100*E1084,"")</f>
        <v>0</v>
      </c>
    </row>
    <row r="1101" spans="1:11" ht="12.75" customHeight="1">
      <c r="A1101" s="28"/>
      <c r="B1101" s="29"/>
      <c r="C1101" s="30" t="str">
        <f>IFERROR(_xlfn.XLOOKUP(B1101,MObra[DESCRIPCION],MObra[UN],,0),"")</f>
        <v/>
      </c>
      <c r="D1101" s="31"/>
      <c r="E1101" s="32" t="str">
        <f>IFERROR(_xlfn.XLOOKUP($B1101,MObra[DESCRIPCION],MObra[VALOR UNIT],,0),"")</f>
        <v/>
      </c>
      <c r="F1101" s="33"/>
      <c r="G1101" s="34" t="str">
        <f>IFERROR(IF(F1101&gt;=0,D1101*E1101*(1+F1101/100),ABS(D1101*E1101/F1101)),"")</f>
        <v/>
      </c>
      <c r="H1101" s="43" t="str">
        <f>IFERROR(G1101*E1084,"")</f>
        <v/>
      </c>
    </row>
    <row r="1102" spans="1:11" ht="12.75" customHeight="1" thickBot="1">
      <c r="A1102" s="35"/>
      <c r="B1102" s="36"/>
      <c r="C1102" s="37" t="str">
        <f>IFERROR(_xlfn.XLOOKUP(B1102,MObra[DESCRIPCION],MObra[UN],,0),"")</f>
        <v/>
      </c>
      <c r="D1102" s="38"/>
      <c r="E1102" s="39" t="str">
        <f>IFERROR(_xlfn.XLOOKUP($B1102,MObra[DESCRIPCION],MObra[VALOR UNIT],,0),"")</f>
        <v/>
      </c>
      <c r="F1102" s="40"/>
      <c r="G1102" s="41" t="str">
        <f>IFERROR(IF(F1102&gt;=0,D1102*E1102*(1+F1102/100),ABS(D1102*E1102/F1102)),"")</f>
        <v/>
      </c>
      <c r="H1102" s="42" t="str">
        <f>IFERROR(G1102*E1084,"")</f>
        <v/>
      </c>
    </row>
    <row r="1103" spans="1:11" ht="12.75" customHeight="1" thickTop="1" thickBot="1"/>
    <row r="1104" spans="1:11" ht="12.75" customHeight="1" thickTop="1" thickBot="1">
      <c r="A1104" s="6" t="s">
        <v>2540</v>
      </c>
      <c r="B1104" s="7" t="str">
        <f>VLOOKUP($A1104,Presupuesto!$A:$D,2,FALSE())</f>
        <v>Cargue materiales a hombro</v>
      </c>
      <c r="C1104" s="8" t="str">
        <f>VLOOKUP($A1104,Presupuesto!$A:$D,3,FALSE())</f>
        <v>HM-M3</v>
      </c>
      <c r="D1104" s="9"/>
      <c r="E1104" s="10">
        <f>VLOOKUP($A1104,Presupuesto!$A:$D,4,FALSE())</f>
        <v>0</v>
      </c>
      <c r="F1104" s="11" t="s">
        <v>2589</v>
      </c>
      <c r="G1104" s="12">
        <f>SUM(G1106:G1122)/2</f>
        <v>23288.203770000004</v>
      </c>
      <c r="H1104" s="13">
        <f>ROUND(SUM(H1106:H1122),0)/2</f>
        <v>0</v>
      </c>
      <c r="I1104" s="10">
        <f>VLOOKUP(A1104,Presupuesto!$A:$F,6,0)</f>
        <v>0</v>
      </c>
      <c r="J1104" s="10">
        <f>+H1104-I1104</f>
        <v>0</v>
      </c>
      <c r="K1104" s="46">
        <f>+H1104-G1104*E1104</f>
        <v>0</v>
      </c>
    </row>
    <row r="1105" spans="1:8" ht="12.75" customHeight="1" thickTop="1">
      <c r="A1105" s="14"/>
      <c r="B1105" s="15" t="s">
        <v>2586</v>
      </c>
      <c r="C1105" s="15" t="s">
        <v>5</v>
      </c>
      <c r="D1105" s="16" t="s">
        <v>6</v>
      </c>
      <c r="E1105" s="17" t="s">
        <v>7</v>
      </c>
      <c r="F1105" s="18" t="s">
        <v>3728</v>
      </c>
      <c r="G1105" s="19" t="s">
        <v>3729</v>
      </c>
      <c r="H1105" s="20" t="s">
        <v>3797</v>
      </c>
    </row>
    <row r="1106" spans="1:8" ht="12.75" customHeight="1">
      <c r="A1106" s="21"/>
      <c r="B1106" s="22" t="s">
        <v>3730</v>
      </c>
      <c r="C1106" s="23"/>
      <c r="D1106" s="24"/>
      <c r="E1106" s="25"/>
      <c r="F1106" s="26"/>
      <c r="G1106" s="27">
        <f>SUM(G1107:G1111)</f>
        <v>0</v>
      </c>
      <c r="H1106" s="27">
        <f>IFERROR(G1106*E1104,"")</f>
        <v>0</v>
      </c>
    </row>
    <row r="1107" spans="1:8" ht="12.75" customHeight="1">
      <c r="A1107" s="28"/>
      <c r="B1107" s="29"/>
      <c r="C1107" s="30" t="str">
        <f>IFERROR(_xlfn.XLOOKUP(B1107,Insumo[DESCRIPCION],Insumo[UND],,0),"")</f>
        <v/>
      </c>
      <c r="D1107" s="31"/>
      <c r="E1107" s="32" t="str">
        <f>IFERROR(_xlfn.XLOOKUP($B1107,Insumo[DESCRIPCION],Insumo[VALOR],,0),"")</f>
        <v/>
      </c>
      <c r="F1107" s="33"/>
      <c r="G1107" s="34" t="str">
        <f>IFERROR(IF(F1107&gt;=0,D1107*E1107*(1+F1107/100),ABS(D1107*E1107/F1107)),"")</f>
        <v/>
      </c>
      <c r="H1107" s="43" t="str">
        <f>IFERROR(G1107*E1104,"")</f>
        <v/>
      </c>
    </row>
    <row r="1108" spans="1:8" ht="12.75" customHeight="1">
      <c r="A1108" s="28"/>
      <c r="B1108" s="29"/>
      <c r="C1108" s="30" t="str">
        <f>IFERROR(_xlfn.XLOOKUP(B1108,Insumo[DESCRIPCION],Insumo[UND],,0),"")</f>
        <v/>
      </c>
      <c r="D1108" s="31"/>
      <c r="E1108" s="32" t="str">
        <f>IFERROR(_xlfn.XLOOKUP($B1108,Insumo[DESCRIPCION],Insumo[VALOR],,0),"")</f>
        <v/>
      </c>
      <c r="F1108" s="33"/>
      <c r="G1108" s="34" t="str">
        <f>IFERROR(IF(F1108&gt;=0,D1108*E1108*(1+F1108/100),ABS(D1108*E1108/F1108)),"")</f>
        <v/>
      </c>
      <c r="H1108" s="43" t="str">
        <f>IFERROR(G1108*E1104,"")</f>
        <v/>
      </c>
    </row>
    <row r="1109" spans="1:8" ht="12.75" customHeight="1">
      <c r="A1109" s="28"/>
      <c r="B1109" s="29"/>
      <c r="C1109" s="30" t="str">
        <f>IFERROR(_xlfn.XLOOKUP(B1109,Insumo[DESCRIPCION],Insumo[UND],,0),"")</f>
        <v/>
      </c>
      <c r="D1109" s="31"/>
      <c r="E1109" s="32" t="str">
        <f>IFERROR(_xlfn.XLOOKUP($B1109,Insumo[DESCRIPCION],Insumo[VALOR],,0),"")</f>
        <v/>
      </c>
      <c r="F1109" s="33"/>
      <c r="G1109" s="34" t="str">
        <f>IFERROR(IF(F1109&gt;=0,D1109*E1109*(1+F1109/100),ABS(D1109*E1109/F1109)),"")</f>
        <v/>
      </c>
      <c r="H1109" s="43" t="str">
        <f>IFERROR(G1109*E1104,"")</f>
        <v/>
      </c>
    </row>
    <row r="1110" spans="1:8" ht="12.75" customHeight="1">
      <c r="A1110" s="28"/>
      <c r="B1110" s="29"/>
      <c r="C1110" s="30" t="str">
        <f>IFERROR(_xlfn.XLOOKUP(B1110,Insumo[DESCRIPCION],Insumo[UND],,0),"")</f>
        <v/>
      </c>
      <c r="D1110" s="31"/>
      <c r="E1110" s="32" t="str">
        <f>IFERROR(_xlfn.XLOOKUP($B1110,Insumo[DESCRIPCION],Insumo[VALOR],,0),"")</f>
        <v/>
      </c>
      <c r="F1110" s="33"/>
      <c r="G1110" s="34" t="str">
        <f>IFERROR(IF(F1110&gt;=0,D1110*E1110*(1+F1110/100),ABS(D1110*E1110/F1110)),"")</f>
        <v/>
      </c>
      <c r="H1110" s="43" t="str">
        <f>IFERROR(G1110*E1104,"")</f>
        <v/>
      </c>
    </row>
    <row r="1111" spans="1:8" ht="12.75" customHeight="1">
      <c r="A1111" s="28"/>
      <c r="B1111" s="29"/>
      <c r="C1111" s="30" t="str">
        <f>IFERROR(_xlfn.XLOOKUP(B1111,Insumo[DESCRIPCION],Insumo[UND],,0),"")</f>
        <v/>
      </c>
      <c r="D1111" s="31"/>
      <c r="E1111" s="32" t="str">
        <f>IFERROR(_xlfn.XLOOKUP($B1111,Insumo[DESCRIPCION],Insumo[VALOR],,0),"")</f>
        <v/>
      </c>
      <c r="F1111" s="33"/>
      <c r="G1111" s="34" t="str">
        <f>IFERROR(IF(F1111&gt;=0,D1111*E1111*(1+F1111/100),ABS(D1111*E1111/F1111)),"")</f>
        <v/>
      </c>
      <c r="H1111" s="43" t="str">
        <f>IFERROR(G1111*E1104,"")</f>
        <v/>
      </c>
    </row>
    <row r="1112" spans="1:8" ht="12.75" customHeight="1">
      <c r="A1112" s="21"/>
      <c r="B1112" s="22" t="s">
        <v>3731</v>
      </c>
      <c r="C1112" s="23"/>
      <c r="D1112" s="24"/>
      <c r="E1112" s="25"/>
      <c r="F1112" s="26"/>
      <c r="G1112" s="27">
        <f>SUM(G1113:G1115)</f>
        <v>0</v>
      </c>
      <c r="H1112" s="44">
        <f>G1112*E1104</f>
        <v>0</v>
      </c>
    </row>
    <row r="1113" spans="1:8" ht="12.75" customHeight="1">
      <c r="A1113" s="28"/>
      <c r="B1113" s="29"/>
      <c r="C1113" s="30" t="str">
        <f>IFERROR(_xlfn.XLOOKUP(B1113,Equipo[DESCRIPCION],Equipo[UND],,0),"")</f>
        <v/>
      </c>
      <c r="D1113" s="31"/>
      <c r="E1113" s="32" t="str">
        <f>IF(C1113="%MO",G1119,IFERROR(_xlfn.XLOOKUP($B1113,Equipo[DESCRIPCION],Equipo[VALOR],,0),""))</f>
        <v/>
      </c>
      <c r="F1113" s="33"/>
      <c r="G1113" s="34" t="str">
        <f>IFERROR(IF(F1113&gt;=0,D1113*E1113*(1+F1113/100),ABS(D1113*E1113/F1113)),"")</f>
        <v/>
      </c>
      <c r="H1113" s="43" t="str">
        <f>IFERROR(G1113*E1104,"")</f>
        <v/>
      </c>
    </row>
    <row r="1114" spans="1:8" ht="12.75" customHeight="1">
      <c r="A1114" s="28"/>
      <c r="B1114" s="29"/>
      <c r="C1114" s="30" t="str">
        <f>IFERROR(_xlfn.XLOOKUP(B1114,Equipo[DESCRIPCION],Equipo[UND],,0),"")</f>
        <v/>
      </c>
      <c r="D1114" s="31"/>
      <c r="E1114" s="32" t="str">
        <f>IF(C1114="%MO",G1119,IFERROR(_xlfn.XLOOKUP($B1114,Equipo[DESCRIPCION],Equipo[VALOR],,0),""))</f>
        <v/>
      </c>
      <c r="F1114" s="33"/>
      <c r="G1114" s="34" t="str">
        <f>IFERROR(IF(F1114&gt;=0,D1114*E1114*(1+F1114/100),ABS(D1114*E1114/F1114)),"")</f>
        <v/>
      </c>
      <c r="H1114" s="43" t="str">
        <f>IFERROR(G1114*E1104,"")</f>
        <v/>
      </c>
    </row>
    <row r="1115" spans="1:8" ht="12.75" customHeight="1">
      <c r="A1115" s="28"/>
      <c r="B1115" s="29"/>
      <c r="C1115" s="30" t="str">
        <f>IFERROR(_xlfn.XLOOKUP(B1115,Equipo[DESCRIPCION],Equipo[UND],,0),"")</f>
        <v/>
      </c>
      <c r="D1115" s="31"/>
      <c r="E1115" s="32" t="str">
        <f>IF(C1115="%MO",G1119,IFERROR(_xlfn.XLOOKUP($B1115,Equipo[DESCRIPCION],Equipo[VALOR],,0),""))</f>
        <v/>
      </c>
      <c r="F1115" s="33"/>
      <c r="G1115" s="34" t="str">
        <f>IFERROR(IF(F1115&gt;=0,D1115*E1115*(1+F1115/100),ABS(D1115*E1115/F1115)),"")</f>
        <v/>
      </c>
      <c r="H1115" s="43" t="str">
        <f>IFERROR(G1115*E1104,"")</f>
        <v/>
      </c>
    </row>
    <row r="1116" spans="1:8" ht="12.75" customHeight="1">
      <c r="A1116" s="21"/>
      <c r="B1116" s="22" t="s">
        <v>2533</v>
      </c>
      <c r="C1116" s="23"/>
      <c r="D1116" s="24"/>
      <c r="E1116" s="25"/>
      <c r="F1116" s="26"/>
      <c r="G1116" s="27">
        <f>SUM(G1117:G1118)</f>
        <v>0</v>
      </c>
      <c r="H1116" s="44">
        <f>G1116*E1104</f>
        <v>0</v>
      </c>
    </row>
    <row r="1117" spans="1:8" ht="12.75" customHeight="1">
      <c r="A1117" s="28"/>
      <c r="B1117" s="29"/>
      <c r="C1117" s="30" t="str">
        <f>IFERROR(_xlfn.XLOOKUP(B1117,Transporte[DESCRIPCION],Transporte[UND],,0),"")</f>
        <v/>
      </c>
      <c r="D1117" s="31"/>
      <c r="E1117" s="32" t="str">
        <f>IFERROR(_xlfn.XLOOKUP($B1117,Transporte[DESCRIPCION],Transporte[VALOR],,0),"")</f>
        <v/>
      </c>
      <c r="F1117" s="33"/>
      <c r="G1117" s="34" t="str">
        <f>IFERROR(IF(F1117&gt;=0,D1117*E1117*(1+F1117/100),ABS(D1117*E1117/F1117)),"")</f>
        <v/>
      </c>
      <c r="H1117" s="43" t="str">
        <f>IFERROR(G1117*E1104,"")</f>
        <v/>
      </c>
    </row>
    <row r="1118" spans="1:8" ht="12.75" customHeight="1">
      <c r="A1118" s="28"/>
      <c r="B1118" s="29"/>
      <c r="C1118" s="30" t="str">
        <f>IFERROR(_xlfn.XLOOKUP(B1118,Transporte[DESCRIPCION],Transporte[UND],,0),"")</f>
        <v/>
      </c>
      <c r="D1118" s="31"/>
      <c r="E1118" s="32" t="str">
        <f>IFERROR(_xlfn.XLOOKUP($B1118,Transporte[DESCRIPCION],Transporte[VALOR],,0),"")</f>
        <v/>
      </c>
      <c r="F1118" s="33"/>
      <c r="G1118" s="34" t="str">
        <f>IFERROR(IF(F1118&gt;=0,D1118*E1118*(1+F1118/100),ABS(D1118*E1118/F1118)),"")</f>
        <v/>
      </c>
      <c r="H1118" s="43" t="str">
        <f>IFERROR(G1118*E1104,"")</f>
        <v/>
      </c>
    </row>
    <row r="1119" spans="1:8" ht="12.75" customHeight="1">
      <c r="A1119" s="21"/>
      <c r="B1119" s="22" t="s">
        <v>3732</v>
      </c>
      <c r="C1119" s="23"/>
      <c r="D1119" s="24"/>
      <c r="E1119" s="25"/>
      <c r="F1119" s="26"/>
      <c r="G1119" s="27">
        <f>SUM(G1120:G1122)</f>
        <v>23288.203770000004</v>
      </c>
      <c r="H1119" s="44">
        <f>G1119*E1104</f>
        <v>0</v>
      </c>
    </row>
    <row r="1120" spans="1:8" ht="12.75" customHeight="1">
      <c r="A1120" s="28"/>
      <c r="B1120" s="29" t="s">
        <v>3698</v>
      </c>
      <c r="C1120" s="30" t="str">
        <f>IFERROR(_xlfn.XLOOKUP(B1120,MObra[DESCRIPCION],MObra[UN],,0),"")</f>
        <v>día</v>
      </c>
      <c r="D1120" s="31">
        <v>1</v>
      </c>
      <c r="E1120" s="32">
        <f>IFERROR(_xlfn.XLOOKUP($B1120,MObra[DESCRIPCION],MObra[VALOR UNIT],,0),"")</f>
        <v>116441.01885000002</v>
      </c>
      <c r="F1120" s="33">
        <v>-5</v>
      </c>
      <c r="G1120" s="34">
        <f>IFERROR(IF(F1120&gt;=0,D1120*E1120*(1+F1120/100),ABS(D1120*E1120/F1120)),"")</f>
        <v>23288.203770000004</v>
      </c>
      <c r="H1120" s="43">
        <f>IFERROR(G1120*E1104,"")</f>
        <v>0</v>
      </c>
    </row>
    <row r="1121" spans="1:11" ht="12.75" customHeight="1">
      <c r="A1121" s="28"/>
      <c r="B1121" s="29"/>
      <c r="C1121" s="30" t="str">
        <f>IFERROR(_xlfn.XLOOKUP(B1121,MObra[DESCRIPCION],MObra[UN],,0),"")</f>
        <v/>
      </c>
      <c r="D1121" s="31"/>
      <c r="E1121" s="32" t="str">
        <f>IFERROR(_xlfn.XLOOKUP($B1121,MObra[DESCRIPCION],MObra[VALOR UNIT],,0),"")</f>
        <v/>
      </c>
      <c r="F1121" s="33"/>
      <c r="G1121" s="34" t="str">
        <f>IFERROR(IF(F1121&gt;=0,D1121*E1121*(1+F1121/100),ABS(D1121*E1121/F1121)),"")</f>
        <v/>
      </c>
      <c r="H1121" s="43" t="str">
        <f>IFERROR(G1121*E1104,"")</f>
        <v/>
      </c>
    </row>
    <row r="1122" spans="1:11" ht="12.75" customHeight="1" thickBot="1">
      <c r="A1122" s="35"/>
      <c r="B1122" s="36"/>
      <c r="C1122" s="37" t="str">
        <f>IFERROR(_xlfn.XLOOKUP(B1122,MObra[DESCRIPCION],MObra[UN],,0),"")</f>
        <v/>
      </c>
      <c r="D1122" s="38"/>
      <c r="E1122" s="39" t="str">
        <f>IFERROR(_xlfn.XLOOKUP($B1122,MObra[DESCRIPCION],MObra[VALOR UNIT],,0),"")</f>
        <v/>
      </c>
      <c r="F1122" s="40"/>
      <c r="G1122" s="41" t="str">
        <f>IFERROR(IF(F1122&gt;=0,D1122*E1122*(1+F1122/100),ABS(D1122*E1122/F1122)),"")</f>
        <v/>
      </c>
      <c r="H1122" s="42" t="str">
        <f>IFERROR(G1122*E1104,"")</f>
        <v/>
      </c>
    </row>
    <row r="1123" spans="1:11" ht="12.75" customHeight="1" thickTop="1" thickBot="1"/>
    <row r="1124" spans="1:11" ht="12.75" customHeight="1" thickTop="1" thickBot="1">
      <c r="A1124" s="6" t="s">
        <v>2543</v>
      </c>
      <c r="B1124" s="7" t="str">
        <f>VLOOKUP($A1124,Presupuesto!$A:$D,2,FALSE())</f>
        <v>Sobre acarreo horizontal &gt;100m manual</v>
      </c>
      <c r="C1124" s="8" t="str">
        <f>VLOOKUP($A1124,Presupuesto!$A:$D,3,FALSE())</f>
        <v>M3</v>
      </c>
      <c r="D1124" s="9"/>
      <c r="E1124" s="10">
        <f>VLOOKUP($A1124,Presupuesto!$A:$D,4,FALSE())</f>
        <v>0</v>
      </c>
      <c r="F1124" s="11" t="s">
        <v>2589</v>
      </c>
      <c r="G1124" s="12">
        <f>SUM(G1126:G1142)/2</f>
        <v>10188.589149375002</v>
      </c>
      <c r="H1124" s="13">
        <f>ROUND(SUM(H1126:H1142),0)/2</f>
        <v>0</v>
      </c>
      <c r="I1124" s="10">
        <f>VLOOKUP(A1124,Presupuesto!$A:$F,6,0)</f>
        <v>0</v>
      </c>
      <c r="J1124" s="10">
        <f>+H1124-I1124</f>
        <v>0</v>
      </c>
      <c r="K1124" s="46">
        <f>+H1124-G1124*E1124</f>
        <v>0</v>
      </c>
    </row>
    <row r="1125" spans="1:11" ht="12.75" customHeight="1" thickTop="1">
      <c r="A1125" s="14"/>
      <c r="B1125" s="15" t="s">
        <v>2586</v>
      </c>
      <c r="C1125" s="15" t="s">
        <v>5</v>
      </c>
      <c r="D1125" s="16" t="s">
        <v>6</v>
      </c>
      <c r="E1125" s="17" t="s">
        <v>7</v>
      </c>
      <c r="F1125" s="18" t="s">
        <v>3728</v>
      </c>
      <c r="G1125" s="19" t="s">
        <v>3729</v>
      </c>
      <c r="H1125" s="20" t="s">
        <v>3797</v>
      </c>
    </row>
    <row r="1126" spans="1:11" ht="12.75" customHeight="1">
      <c r="A1126" s="21"/>
      <c r="B1126" s="22" t="s">
        <v>3730</v>
      </c>
      <c r="C1126" s="23"/>
      <c r="D1126" s="24"/>
      <c r="E1126" s="25"/>
      <c r="F1126" s="26"/>
      <c r="G1126" s="27">
        <f>SUM(G1127:G1131)</f>
        <v>0</v>
      </c>
      <c r="H1126" s="27">
        <f>IFERROR(G1126*E1124,"")</f>
        <v>0</v>
      </c>
    </row>
    <row r="1127" spans="1:11" ht="12.75" customHeight="1">
      <c r="A1127" s="28"/>
      <c r="B1127" s="29"/>
      <c r="C1127" s="30" t="str">
        <f>IFERROR(_xlfn.XLOOKUP(B1127,Insumo[DESCRIPCION],Insumo[UND],,0),"")</f>
        <v/>
      </c>
      <c r="D1127" s="31"/>
      <c r="E1127" s="32" t="str">
        <f>IFERROR(_xlfn.XLOOKUP($B1127,Insumo[DESCRIPCION],Insumo[VALOR],,0),"")</f>
        <v/>
      </c>
      <c r="F1127" s="33"/>
      <c r="G1127" s="34" t="str">
        <f>IFERROR(IF(F1127&gt;=0,D1127*E1127*(1+F1127/100),ABS(D1127*E1127/F1127)),"")</f>
        <v/>
      </c>
      <c r="H1127" s="43" t="str">
        <f>IFERROR(G1127*E1124,"")</f>
        <v/>
      </c>
    </row>
    <row r="1128" spans="1:11" ht="12.75" customHeight="1">
      <c r="A1128" s="28"/>
      <c r="B1128" s="29"/>
      <c r="C1128" s="30" t="str">
        <f>IFERROR(_xlfn.XLOOKUP(B1128,Insumo[DESCRIPCION],Insumo[UND],,0),"")</f>
        <v/>
      </c>
      <c r="D1128" s="31"/>
      <c r="E1128" s="32" t="str">
        <f>IFERROR(_xlfn.XLOOKUP($B1128,Insumo[DESCRIPCION],Insumo[VALOR],,0),"")</f>
        <v/>
      </c>
      <c r="F1128" s="33"/>
      <c r="G1128" s="34" t="str">
        <f>IFERROR(IF(F1128&gt;=0,D1128*E1128*(1+F1128/100),ABS(D1128*E1128/F1128)),"")</f>
        <v/>
      </c>
      <c r="H1128" s="43" t="str">
        <f>IFERROR(G1128*E1124,"")</f>
        <v/>
      </c>
    </row>
    <row r="1129" spans="1:11" ht="12.75" customHeight="1">
      <c r="A1129" s="28"/>
      <c r="B1129" s="29"/>
      <c r="C1129" s="30" t="str">
        <f>IFERROR(_xlfn.XLOOKUP(B1129,Insumo[DESCRIPCION],Insumo[UND],,0),"")</f>
        <v/>
      </c>
      <c r="D1129" s="31"/>
      <c r="E1129" s="32" t="str">
        <f>IFERROR(_xlfn.XLOOKUP($B1129,Insumo[DESCRIPCION],Insumo[VALOR],,0),"")</f>
        <v/>
      </c>
      <c r="F1129" s="33"/>
      <c r="G1129" s="34" t="str">
        <f>IFERROR(IF(F1129&gt;=0,D1129*E1129*(1+F1129/100),ABS(D1129*E1129/F1129)),"")</f>
        <v/>
      </c>
      <c r="H1129" s="43" t="str">
        <f>IFERROR(G1129*E1124,"")</f>
        <v/>
      </c>
    </row>
    <row r="1130" spans="1:11" ht="12.75" customHeight="1">
      <c r="A1130" s="28"/>
      <c r="B1130" s="29"/>
      <c r="C1130" s="30" t="str">
        <f>IFERROR(_xlfn.XLOOKUP(B1130,Insumo[DESCRIPCION],Insumo[UND],,0),"")</f>
        <v/>
      </c>
      <c r="D1130" s="31"/>
      <c r="E1130" s="32" t="str">
        <f>IFERROR(_xlfn.XLOOKUP($B1130,Insumo[DESCRIPCION],Insumo[VALOR],,0),"")</f>
        <v/>
      </c>
      <c r="F1130" s="33"/>
      <c r="G1130" s="34" t="str">
        <f>IFERROR(IF(F1130&gt;=0,D1130*E1130*(1+F1130/100),ABS(D1130*E1130/F1130)),"")</f>
        <v/>
      </c>
      <c r="H1130" s="43" t="str">
        <f>IFERROR(G1130*E1124,"")</f>
        <v/>
      </c>
    </row>
    <row r="1131" spans="1:11" ht="12.75" customHeight="1">
      <c r="A1131" s="28"/>
      <c r="B1131" s="29"/>
      <c r="C1131" s="30" t="str">
        <f>IFERROR(_xlfn.XLOOKUP(B1131,Insumo[DESCRIPCION],Insumo[UND],,0),"")</f>
        <v/>
      </c>
      <c r="D1131" s="31"/>
      <c r="E1131" s="32" t="str">
        <f>IFERROR(_xlfn.XLOOKUP($B1131,Insumo[DESCRIPCION],Insumo[VALOR],,0),"")</f>
        <v/>
      </c>
      <c r="F1131" s="33"/>
      <c r="G1131" s="34" t="str">
        <f>IFERROR(IF(F1131&gt;=0,D1131*E1131*(1+F1131/100),ABS(D1131*E1131/F1131)),"")</f>
        <v/>
      </c>
      <c r="H1131" s="43" t="str">
        <f>IFERROR(G1131*E1124,"")</f>
        <v/>
      </c>
    </row>
    <row r="1132" spans="1:11" ht="12.75" customHeight="1">
      <c r="A1132" s="21"/>
      <c r="B1132" s="22" t="s">
        <v>3731</v>
      </c>
      <c r="C1132" s="23"/>
      <c r="D1132" s="24"/>
      <c r="E1132" s="25"/>
      <c r="F1132" s="26"/>
      <c r="G1132" s="27">
        <f>SUM(G1133:G1135)</f>
        <v>485.17091187500012</v>
      </c>
      <c r="H1132" s="44">
        <f>G1132*E1124</f>
        <v>0</v>
      </c>
    </row>
    <row r="1133" spans="1:11" ht="12.75" customHeight="1">
      <c r="A1133" s="28"/>
      <c r="B1133" s="29" t="s">
        <v>3626</v>
      </c>
      <c r="C1133" s="30" t="str">
        <f>IFERROR(_xlfn.XLOOKUP(B1133,Equipo[DESCRIPCION],Equipo[UND],,0),"")</f>
        <v>%MO</v>
      </c>
      <c r="D1133" s="31">
        <v>0.05</v>
      </c>
      <c r="E1133" s="32">
        <f>IF(C1133="%MO",G1139,IFERROR(_xlfn.XLOOKUP($B1133,Equipo[DESCRIPCION],Equipo[VALOR],,0),""))</f>
        <v>9703.4182375000019</v>
      </c>
      <c r="F1133" s="33"/>
      <c r="G1133" s="34">
        <f>IFERROR(IF(F1133&gt;=0,D1133*E1133*(1+F1133/100),ABS(D1133*E1133/F1133)),"")</f>
        <v>485.17091187500012</v>
      </c>
      <c r="H1133" s="43">
        <f>IFERROR(G1133*E1124,"")</f>
        <v>0</v>
      </c>
    </row>
    <row r="1134" spans="1:11" ht="12.75" customHeight="1">
      <c r="A1134" s="28"/>
      <c r="B1134" s="29"/>
      <c r="C1134" s="30" t="str">
        <f>IFERROR(_xlfn.XLOOKUP(B1134,Equipo[DESCRIPCION],Equipo[UND],,0),"")</f>
        <v/>
      </c>
      <c r="D1134" s="31"/>
      <c r="E1134" s="32" t="str">
        <f>IF(C1134="%MO",G1139,IFERROR(_xlfn.XLOOKUP($B1134,Equipo[DESCRIPCION],Equipo[VALOR],,0),""))</f>
        <v/>
      </c>
      <c r="F1134" s="33"/>
      <c r="G1134" s="34" t="str">
        <f>IFERROR(IF(F1134&gt;=0,D1134*E1134*(1+F1134/100),ABS(D1134*E1134/F1134)),"")</f>
        <v/>
      </c>
      <c r="H1134" s="43" t="str">
        <f>IFERROR(G1134*E1124,"")</f>
        <v/>
      </c>
    </row>
    <row r="1135" spans="1:11" ht="12.75" customHeight="1">
      <c r="A1135" s="28"/>
      <c r="B1135" s="29"/>
      <c r="C1135" s="30" t="str">
        <f>IFERROR(_xlfn.XLOOKUP(B1135,Equipo[DESCRIPCION],Equipo[UND],,0),"")</f>
        <v/>
      </c>
      <c r="D1135" s="31"/>
      <c r="E1135" s="32" t="str">
        <f>IF(C1135="%MO",G1139,IFERROR(_xlfn.XLOOKUP($B1135,Equipo[DESCRIPCION],Equipo[VALOR],,0),""))</f>
        <v/>
      </c>
      <c r="F1135" s="33"/>
      <c r="G1135" s="34" t="str">
        <f>IFERROR(IF(F1135&gt;=0,D1135*E1135*(1+F1135/100),ABS(D1135*E1135/F1135)),"")</f>
        <v/>
      </c>
      <c r="H1135" s="43" t="str">
        <f>IFERROR(G1135*E1124,"")</f>
        <v/>
      </c>
    </row>
    <row r="1136" spans="1:11" ht="12.75" customHeight="1">
      <c r="A1136" s="21"/>
      <c r="B1136" s="22" t="s">
        <v>2533</v>
      </c>
      <c r="C1136" s="23"/>
      <c r="D1136" s="24"/>
      <c r="E1136" s="25"/>
      <c r="F1136" s="26"/>
      <c r="G1136" s="27">
        <f>SUM(G1137:G1138)</f>
        <v>0</v>
      </c>
      <c r="H1136" s="44">
        <f>G1136*E1124</f>
        <v>0</v>
      </c>
    </row>
    <row r="1137" spans="1:11" ht="12.75" customHeight="1">
      <c r="A1137" s="28"/>
      <c r="B1137" s="29"/>
      <c r="C1137" s="30" t="str">
        <f>IFERROR(_xlfn.XLOOKUP(B1137,Transporte[DESCRIPCION],Transporte[UND],,0),"")</f>
        <v/>
      </c>
      <c r="D1137" s="31"/>
      <c r="E1137" s="32" t="str">
        <f>IFERROR(_xlfn.XLOOKUP($B1137,Transporte[DESCRIPCION],Transporte[VALOR],,0),"")</f>
        <v/>
      </c>
      <c r="F1137" s="33"/>
      <c r="G1137" s="34" t="str">
        <f>IFERROR(IF(F1137&gt;=0,D1137*E1137*(1+F1137/100),ABS(D1137*E1137/F1137)),"")</f>
        <v/>
      </c>
      <c r="H1137" s="43" t="str">
        <f>IFERROR(G1137*E1124,"")</f>
        <v/>
      </c>
    </row>
    <row r="1138" spans="1:11" ht="12.75" customHeight="1">
      <c r="A1138" s="28"/>
      <c r="B1138" s="29"/>
      <c r="C1138" s="30" t="str">
        <f>IFERROR(_xlfn.XLOOKUP(B1138,Transporte[DESCRIPCION],Transporte[UND],,0),"")</f>
        <v/>
      </c>
      <c r="D1138" s="31"/>
      <c r="E1138" s="32" t="str">
        <f>IFERROR(_xlfn.XLOOKUP($B1138,Transporte[DESCRIPCION],Transporte[VALOR],,0),"")</f>
        <v/>
      </c>
      <c r="F1138" s="33"/>
      <c r="G1138" s="34" t="str">
        <f>IFERROR(IF(F1138&gt;=0,D1138*E1138*(1+F1138/100),ABS(D1138*E1138/F1138)),"")</f>
        <v/>
      </c>
      <c r="H1138" s="43" t="str">
        <f>IFERROR(G1138*E1124,"")</f>
        <v/>
      </c>
    </row>
    <row r="1139" spans="1:11" ht="12.75" customHeight="1">
      <c r="A1139" s="21"/>
      <c r="B1139" s="22" t="s">
        <v>3732</v>
      </c>
      <c r="C1139" s="23"/>
      <c r="D1139" s="24"/>
      <c r="E1139" s="25"/>
      <c r="F1139" s="26"/>
      <c r="G1139" s="27">
        <f>SUM(G1140:G1142)</f>
        <v>9703.4182375000019</v>
      </c>
      <c r="H1139" s="44">
        <f>G1139*E1124</f>
        <v>0</v>
      </c>
    </row>
    <row r="1140" spans="1:11" ht="12.75" customHeight="1">
      <c r="A1140" s="28"/>
      <c r="B1140" s="29" t="s">
        <v>3698</v>
      </c>
      <c r="C1140" s="30" t="str">
        <f>IFERROR(_xlfn.XLOOKUP(B1140,MObra[DESCRIPCION],MObra[UN],,0),"")</f>
        <v>día</v>
      </c>
      <c r="D1140" s="31">
        <v>1</v>
      </c>
      <c r="E1140" s="32">
        <f>IFERROR(_xlfn.XLOOKUP($B1140,MObra[DESCRIPCION],MObra[VALOR UNIT],,0),"")</f>
        <v>116441.01885000002</v>
      </c>
      <c r="F1140" s="33">
        <v>-12</v>
      </c>
      <c r="G1140" s="34">
        <f>IFERROR(IF(F1140&gt;=0,D1140*E1140*(1+F1140/100),ABS(D1140*E1140/F1140)),"")</f>
        <v>9703.4182375000019</v>
      </c>
      <c r="H1140" s="43">
        <f>IFERROR(G1140*E1124,"")</f>
        <v>0</v>
      </c>
    </row>
    <row r="1141" spans="1:11" ht="12.75" customHeight="1">
      <c r="A1141" s="28"/>
      <c r="B1141" s="29"/>
      <c r="C1141" s="30" t="str">
        <f>IFERROR(_xlfn.XLOOKUP(B1141,MObra[DESCRIPCION],MObra[UN],,0),"")</f>
        <v/>
      </c>
      <c r="D1141" s="31"/>
      <c r="E1141" s="32" t="str">
        <f>IFERROR(_xlfn.XLOOKUP($B1141,MObra[DESCRIPCION],MObra[VALOR UNIT],,0),"")</f>
        <v/>
      </c>
      <c r="F1141" s="33"/>
      <c r="G1141" s="34" t="str">
        <f>IFERROR(IF(F1141&gt;=0,D1141*E1141*(1+F1141/100),ABS(D1141*E1141/F1141)),"")</f>
        <v/>
      </c>
      <c r="H1141" s="43" t="str">
        <f>IFERROR(G1141*E1124,"")</f>
        <v/>
      </c>
    </row>
    <row r="1142" spans="1:11" ht="12.75" customHeight="1" thickBot="1">
      <c r="A1142" s="35"/>
      <c r="B1142" s="36"/>
      <c r="C1142" s="37" t="str">
        <f>IFERROR(_xlfn.XLOOKUP(B1142,MObra[DESCRIPCION],MObra[UN],,0),"")</f>
        <v/>
      </c>
      <c r="D1142" s="38"/>
      <c r="E1142" s="39" t="str">
        <f>IFERROR(_xlfn.XLOOKUP($B1142,MObra[DESCRIPCION],MObra[VALOR UNIT],,0),"")</f>
        <v/>
      </c>
      <c r="F1142" s="40"/>
      <c r="G1142" s="41" t="str">
        <f>IFERROR(IF(F1142&gt;=0,D1142*E1142*(1+F1142/100),ABS(D1142*E1142/F1142)),"")</f>
        <v/>
      </c>
      <c r="H1142" s="42" t="str">
        <f>IFERROR(G1142*E1124,"")</f>
        <v/>
      </c>
    </row>
    <row r="1143" spans="1:11" ht="12.75" customHeight="1" thickTop="1" thickBot="1"/>
    <row r="1144" spans="1:11" ht="12.75" customHeight="1" thickTop="1" thickBot="1">
      <c r="A1144" s="6" t="s">
        <v>2545</v>
      </c>
      <c r="B1144" s="7" t="str">
        <f>VLOOKUP($A1144,Presupuesto!$A:$D,2,FALSE())</f>
        <v>Transporte de material granular/piedra</v>
      </c>
      <c r="C1144" s="8" t="str">
        <f>VLOOKUP($A1144,Presupuesto!$A:$D,3,FALSE())</f>
        <v>M3-Km</v>
      </c>
      <c r="D1144" s="9"/>
      <c r="E1144" s="10">
        <f>VLOOKUP($A1144,Presupuesto!$A:$D,4,FALSE())</f>
        <v>0</v>
      </c>
      <c r="F1144" s="11" t="s">
        <v>2589</v>
      </c>
      <c r="G1144" s="12">
        <f>SUM(G1146:G1162)/2</f>
        <v>1988.7717829875</v>
      </c>
      <c r="H1144" s="13">
        <f>ROUND(SUM(H1146:H1162),0)/2</f>
        <v>0</v>
      </c>
      <c r="I1144" s="10">
        <f>VLOOKUP(A1144,Presupuesto!$A:$F,6,0)</f>
        <v>0</v>
      </c>
      <c r="J1144" s="10">
        <f>+H1144-I1144</f>
        <v>0</v>
      </c>
      <c r="K1144" s="46">
        <f>+H1144-G1144*E1144</f>
        <v>0</v>
      </c>
    </row>
    <row r="1145" spans="1:11" ht="12.75" customHeight="1" thickTop="1">
      <c r="A1145" s="14"/>
      <c r="B1145" s="15" t="s">
        <v>2586</v>
      </c>
      <c r="C1145" s="15" t="s">
        <v>5</v>
      </c>
      <c r="D1145" s="16" t="s">
        <v>6</v>
      </c>
      <c r="E1145" s="17" t="s">
        <v>7</v>
      </c>
      <c r="F1145" s="18" t="s">
        <v>3728</v>
      </c>
      <c r="G1145" s="19" t="s">
        <v>3729</v>
      </c>
      <c r="H1145" s="20" t="s">
        <v>3797</v>
      </c>
    </row>
    <row r="1146" spans="1:11" ht="12.75" customHeight="1">
      <c r="A1146" s="21"/>
      <c r="B1146" s="22" t="s">
        <v>3730</v>
      </c>
      <c r="C1146" s="23"/>
      <c r="D1146" s="24"/>
      <c r="E1146" s="25"/>
      <c r="F1146" s="26"/>
      <c r="G1146" s="27">
        <f>SUM(G1147:G1151)</f>
        <v>0</v>
      </c>
      <c r="H1146" s="27">
        <f>IFERROR(G1146*E1144,"")</f>
        <v>0</v>
      </c>
    </row>
    <row r="1147" spans="1:11" ht="12.75" customHeight="1">
      <c r="A1147" s="28"/>
      <c r="B1147" s="29"/>
      <c r="C1147" s="30" t="str">
        <f>IFERROR(_xlfn.XLOOKUP(B1147,Insumo[DESCRIPCION],Insumo[UND],,0),"")</f>
        <v/>
      </c>
      <c r="D1147" s="31"/>
      <c r="E1147" s="32" t="str">
        <f>IFERROR(_xlfn.XLOOKUP($B1147,Insumo[DESCRIPCION],Insumo[VALOR],,0),"")</f>
        <v/>
      </c>
      <c r="F1147" s="33"/>
      <c r="G1147" s="34" t="str">
        <f>IFERROR(IF(F1147&gt;=0,D1147*E1147*(1+F1147/100),ABS(D1147*E1147/F1147)),"")</f>
        <v/>
      </c>
      <c r="H1147" s="43" t="str">
        <f>IFERROR(G1147*E1144,"")</f>
        <v/>
      </c>
    </row>
    <row r="1148" spans="1:11" ht="12.75" customHeight="1">
      <c r="A1148" s="28"/>
      <c r="B1148" s="29"/>
      <c r="C1148" s="30" t="str">
        <f>IFERROR(_xlfn.XLOOKUP(B1148,Insumo[DESCRIPCION],Insumo[UND],,0),"")</f>
        <v/>
      </c>
      <c r="D1148" s="31"/>
      <c r="E1148" s="32" t="str">
        <f>IFERROR(_xlfn.XLOOKUP($B1148,Insumo[DESCRIPCION],Insumo[VALOR],,0),"")</f>
        <v/>
      </c>
      <c r="F1148" s="33"/>
      <c r="G1148" s="34" t="str">
        <f>IFERROR(IF(F1148&gt;=0,D1148*E1148*(1+F1148/100),ABS(D1148*E1148/F1148)),"")</f>
        <v/>
      </c>
      <c r="H1148" s="43" t="str">
        <f>IFERROR(G1148*E1144,"")</f>
        <v/>
      </c>
    </row>
    <row r="1149" spans="1:11" ht="12.75" customHeight="1">
      <c r="A1149" s="28"/>
      <c r="B1149" s="29"/>
      <c r="C1149" s="30" t="str">
        <f>IFERROR(_xlfn.XLOOKUP(B1149,Insumo[DESCRIPCION],Insumo[UND],,0),"")</f>
        <v/>
      </c>
      <c r="D1149" s="31"/>
      <c r="E1149" s="32" t="str">
        <f>IFERROR(_xlfn.XLOOKUP($B1149,Insumo[DESCRIPCION],Insumo[VALOR],,0),"")</f>
        <v/>
      </c>
      <c r="F1149" s="33"/>
      <c r="G1149" s="34" t="str">
        <f>IFERROR(IF(F1149&gt;=0,D1149*E1149*(1+F1149/100),ABS(D1149*E1149/F1149)),"")</f>
        <v/>
      </c>
      <c r="H1149" s="43" t="str">
        <f>IFERROR(G1149*E1144,"")</f>
        <v/>
      </c>
    </row>
    <row r="1150" spans="1:11" ht="12.75" customHeight="1">
      <c r="A1150" s="28"/>
      <c r="B1150" s="29"/>
      <c r="C1150" s="30" t="str">
        <f>IFERROR(_xlfn.XLOOKUP(B1150,Insumo[DESCRIPCION],Insumo[UND],,0),"")</f>
        <v/>
      </c>
      <c r="D1150" s="31"/>
      <c r="E1150" s="32" t="str">
        <f>IFERROR(_xlfn.XLOOKUP($B1150,Insumo[DESCRIPCION],Insumo[VALOR],,0),"")</f>
        <v/>
      </c>
      <c r="F1150" s="33"/>
      <c r="G1150" s="34" t="str">
        <f>IFERROR(IF(F1150&gt;=0,D1150*E1150*(1+F1150/100),ABS(D1150*E1150/F1150)),"")</f>
        <v/>
      </c>
      <c r="H1150" s="43" t="str">
        <f>IFERROR(G1150*E1144,"")</f>
        <v/>
      </c>
    </row>
    <row r="1151" spans="1:11" ht="12.75" customHeight="1">
      <c r="A1151" s="28"/>
      <c r="B1151" s="29"/>
      <c r="C1151" s="30" t="str">
        <f>IFERROR(_xlfn.XLOOKUP(B1151,Insumo[DESCRIPCION],Insumo[UND],,0),"")</f>
        <v/>
      </c>
      <c r="D1151" s="31"/>
      <c r="E1151" s="32" t="str">
        <f>IFERROR(_xlfn.XLOOKUP($B1151,Insumo[DESCRIPCION],Insumo[VALOR],,0),"")</f>
        <v/>
      </c>
      <c r="F1151" s="33"/>
      <c r="G1151" s="34" t="str">
        <f>IFERROR(IF(F1151&gt;=0,D1151*E1151*(1+F1151/100),ABS(D1151*E1151/F1151)),"")</f>
        <v/>
      </c>
      <c r="H1151" s="43" t="str">
        <f>IFERROR(G1151*E1144,"")</f>
        <v/>
      </c>
    </row>
    <row r="1152" spans="1:11" ht="12.75" customHeight="1">
      <c r="A1152" s="21"/>
      <c r="B1152" s="22" t="s">
        <v>3731</v>
      </c>
      <c r="C1152" s="23"/>
      <c r="D1152" s="24"/>
      <c r="E1152" s="25"/>
      <c r="F1152" s="26"/>
      <c r="G1152" s="27">
        <f>SUM(G1153:G1155)</f>
        <v>1794.7034182375</v>
      </c>
      <c r="H1152" s="44">
        <f>G1152*E1144</f>
        <v>0</v>
      </c>
    </row>
    <row r="1153" spans="1:11" ht="12.75" customHeight="1">
      <c r="A1153" s="28"/>
      <c r="B1153" s="29" t="s">
        <v>3659</v>
      </c>
      <c r="C1153" s="30" t="str">
        <f>IFERROR(_xlfn.XLOOKUP(B1153,Equipo[DESCRIPCION],Equipo[UND],,0),"")</f>
        <v>Hr</v>
      </c>
      <c r="D1153" s="31">
        <v>1</v>
      </c>
      <c r="E1153" s="32">
        <f>IF(C1153="%MO",G1159,IFERROR(_xlfn.XLOOKUP($B1153,Equipo[DESCRIPCION],Equipo[VALOR],,0),""))</f>
        <v>89250</v>
      </c>
      <c r="F1153" s="33">
        <v>-50</v>
      </c>
      <c r="G1153" s="34">
        <f>IFERROR(IF(F1153&gt;=0,D1153*E1153*(1+F1153/100),ABS(D1153*E1153/F1153)),"")</f>
        <v>1785</v>
      </c>
      <c r="H1153" s="43">
        <f>IFERROR(G1153*E1144,"")</f>
        <v>0</v>
      </c>
    </row>
    <row r="1154" spans="1:11" ht="12.75" customHeight="1">
      <c r="A1154" s="28"/>
      <c r="B1154" s="29" t="s">
        <v>3626</v>
      </c>
      <c r="C1154" s="30" t="str">
        <f>IFERROR(_xlfn.XLOOKUP(B1154,Equipo[DESCRIPCION],Equipo[UND],,0),"")</f>
        <v>%MO</v>
      </c>
      <c r="D1154" s="31">
        <v>0.05</v>
      </c>
      <c r="E1154" s="32">
        <f>IF(C1154="%MO",G1159,IFERROR(_xlfn.XLOOKUP($B1154,Equipo[DESCRIPCION],Equipo[VALOR],,0),""))</f>
        <v>194.06836475000003</v>
      </c>
      <c r="F1154" s="33"/>
      <c r="G1154" s="34">
        <f>IFERROR(IF(F1154&gt;=0,D1154*E1154*(1+F1154/100),ABS(D1154*E1154/F1154)),"")</f>
        <v>9.7034182375000029</v>
      </c>
      <c r="H1154" s="43">
        <f>IFERROR(G1154*E1144,"")</f>
        <v>0</v>
      </c>
    </row>
    <row r="1155" spans="1:11" ht="12.75" customHeight="1">
      <c r="A1155" s="28"/>
      <c r="B1155" s="29"/>
      <c r="C1155" s="30" t="str">
        <f>IFERROR(_xlfn.XLOOKUP(B1155,Equipo[DESCRIPCION],Equipo[UND],,0),"")</f>
        <v/>
      </c>
      <c r="D1155" s="31"/>
      <c r="E1155" s="32" t="str">
        <f>IF(C1155="%MO",G1159,IFERROR(_xlfn.XLOOKUP($B1155,Equipo[DESCRIPCION],Equipo[VALOR],,0),""))</f>
        <v/>
      </c>
      <c r="F1155" s="33"/>
      <c r="G1155" s="34" t="str">
        <f>IFERROR(IF(F1155&gt;=0,D1155*E1155*(1+F1155/100),ABS(D1155*E1155/F1155)),"")</f>
        <v/>
      </c>
      <c r="H1155" s="43" t="str">
        <f>IFERROR(G1155*E1144,"")</f>
        <v/>
      </c>
    </row>
    <row r="1156" spans="1:11" ht="12.75" customHeight="1">
      <c r="A1156" s="21"/>
      <c r="B1156" s="22" t="s">
        <v>2533</v>
      </c>
      <c r="C1156" s="23"/>
      <c r="D1156" s="24"/>
      <c r="E1156" s="25"/>
      <c r="F1156" s="26"/>
      <c r="G1156" s="27">
        <f>SUM(G1157:G1158)</f>
        <v>0</v>
      </c>
      <c r="H1156" s="44">
        <f>G1156*E1144</f>
        <v>0</v>
      </c>
    </row>
    <row r="1157" spans="1:11" ht="12.75" customHeight="1">
      <c r="A1157" s="28"/>
      <c r="B1157" s="29"/>
      <c r="C1157" s="30" t="str">
        <f>IFERROR(_xlfn.XLOOKUP(B1157,Transporte[DESCRIPCION],Transporte[UND],,0),"")</f>
        <v/>
      </c>
      <c r="D1157" s="31"/>
      <c r="E1157" s="32" t="str">
        <f>IFERROR(_xlfn.XLOOKUP($B1157,Transporte[DESCRIPCION],Transporte[VALOR],,0),"")</f>
        <v/>
      </c>
      <c r="F1157" s="33"/>
      <c r="G1157" s="34" t="str">
        <f>IFERROR(IF(F1157&gt;=0,D1157*E1157*(1+F1157/100),ABS(D1157*E1157/F1157)),"")</f>
        <v/>
      </c>
      <c r="H1157" s="43" t="str">
        <f>IFERROR(G1157*E1144,"")</f>
        <v/>
      </c>
    </row>
    <row r="1158" spans="1:11" ht="12.75" customHeight="1">
      <c r="A1158" s="28"/>
      <c r="B1158" s="29"/>
      <c r="C1158" s="30" t="str">
        <f>IFERROR(_xlfn.XLOOKUP(B1158,Transporte[DESCRIPCION],Transporte[UND],,0),"")</f>
        <v/>
      </c>
      <c r="D1158" s="31"/>
      <c r="E1158" s="32" t="str">
        <f>IFERROR(_xlfn.XLOOKUP($B1158,Transporte[DESCRIPCION],Transporte[VALOR],,0),"")</f>
        <v/>
      </c>
      <c r="F1158" s="33"/>
      <c r="G1158" s="34" t="str">
        <f>IFERROR(IF(F1158&gt;=0,D1158*E1158*(1+F1158/100),ABS(D1158*E1158/F1158)),"")</f>
        <v/>
      </c>
      <c r="H1158" s="43" t="str">
        <f>IFERROR(G1158*E1144,"")</f>
        <v/>
      </c>
    </row>
    <row r="1159" spans="1:11" ht="12.75" customHeight="1">
      <c r="A1159" s="21"/>
      <c r="B1159" s="22" t="s">
        <v>3732</v>
      </c>
      <c r="C1159" s="23"/>
      <c r="D1159" s="24"/>
      <c r="E1159" s="25"/>
      <c r="F1159" s="26"/>
      <c r="G1159" s="27">
        <f>SUM(G1160:G1162)</f>
        <v>194.06836475000003</v>
      </c>
      <c r="H1159" s="44">
        <f>G1159*E1144</f>
        <v>0</v>
      </c>
    </row>
    <row r="1160" spans="1:11" ht="12.75" customHeight="1">
      <c r="A1160" s="28"/>
      <c r="B1160" s="29" t="s">
        <v>3698</v>
      </c>
      <c r="C1160" s="30" t="str">
        <f>IFERROR(_xlfn.XLOOKUP(B1160,MObra[DESCRIPCION],MObra[UN],,0),"")</f>
        <v>día</v>
      </c>
      <c r="D1160" s="31">
        <v>1</v>
      </c>
      <c r="E1160" s="32">
        <f>IFERROR(_xlfn.XLOOKUP($B1160,MObra[DESCRIPCION],MObra[VALOR UNIT],,0),"")</f>
        <v>116441.01885000002</v>
      </c>
      <c r="F1160" s="33">
        <v>-600</v>
      </c>
      <c r="G1160" s="34">
        <f>IFERROR(IF(F1160&gt;=0,D1160*E1160*(1+F1160/100),ABS(D1160*E1160/F1160)),"")</f>
        <v>194.06836475000003</v>
      </c>
      <c r="H1160" s="43">
        <f>IFERROR(G1160*E1144,"")</f>
        <v>0</v>
      </c>
    </row>
    <row r="1161" spans="1:11" ht="12.75" customHeight="1">
      <c r="A1161" s="28"/>
      <c r="B1161" s="29"/>
      <c r="C1161" s="30" t="str">
        <f>IFERROR(_xlfn.XLOOKUP(B1161,MObra[DESCRIPCION],MObra[UN],,0),"")</f>
        <v/>
      </c>
      <c r="D1161" s="31"/>
      <c r="E1161" s="32" t="str">
        <f>IFERROR(_xlfn.XLOOKUP($B1161,MObra[DESCRIPCION],MObra[VALOR UNIT],,0),"")</f>
        <v/>
      </c>
      <c r="F1161" s="33"/>
      <c r="G1161" s="34" t="str">
        <f>IFERROR(IF(F1161&gt;=0,D1161*E1161*(1+F1161/100),ABS(D1161*E1161/F1161)),"")</f>
        <v/>
      </c>
      <c r="H1161" s="43" t="str">
        <f>IFERROR(G1161*E1144,"")</f>
        <v/>
      </c>
    </row>
    <row r="1162" spans="1:11" ht="12.75" customHeight="1" thickBot="1">
      <c r="A1162" s="35"/>
      <c r="B1162" s="36"/>
      <c r="C1162" s="37" t="str">
        <f>IFERROR(_xlfn.XLOOKUP(B1162,MObra[DESCRIPCION],MObra[UN],,0),"")</f>
        <v/>
      </c>
      <c r="D1162" s="38"/>
      <c r="E1162" s="39" t="str">
        <f>IFERROR(_xlfn.XLOOKUP($B1162,MObra[DESCRIPCION],MObra[VALOR UNIT],,0),"")</f>
        <v/>
      </c>
      <c r="F1162" s="40"/>
      <c r="G1162" s="41" t="str">
        <f>IFERROR(IF(F1162&gt;=0,D1162*E1162*(1+F1162/100),ABS(D1162*E1162/F1162)),"")</f>
        <v/>
      </c>
      <c r="H1162" s="42" t="str">
        <f>IFERROR(G1162*E1144,"")</f>
        <v/>
      </c>
    </row>
    <row r="1163" spans="1:11" ht="12.75" customHeight="1" thickTop="1" thickBot="1"/>
    <row r="1164" spans="1:11" ht="12.75" customHeight="1" thickTop="1" thickBot="1">
      <c r="A1164" s="6" t="s">
        <v>2548</v>
      </c>
      <c r="B1164" s="7" t="str">
        <f>VLOOKUP($A1164,Presupuesto!$A:$D,2,FALSE())</f>
        <v>Transporte de materiales provenientes de la excavación, demoliciones y derrumbes (≤ 20 km)</v>
      </c>
      <c r="C1164" s="8" t="str">
        <f>VLOOKUP($A1164,Presupuesto!$A:$D,3,FALSE())</f>
        <v>M3-Km</v>
      </c>
      <c r="D1164" s="9"/>
      <c r="E1164" s="10">
        <f>VLOOKUP($A1164,Presupuesto!$A:$D,4,FALSE())</f>
        <v>0</v>
      </c>
      <c r="F1164" s="11" t="s">
        <v>2589</v>
      </c>
      <c r="G1164" s="12">
        <f>SUM(G1166:G1182)/2</f>
        <v>1826.4990557147728</v>
      </c>
      <c r="H1164" s="13">
        <f>ROUND(SUM(H1166:H1182),0)/2</f>
        <v>0</v>
      </c>
      <c r="I1164" s="10">
        <f>VLOOKUP(A1164,Presupuesto!$A:$F,6,0)</f>
        <v>0</v>
      </c>
      <c r="J1164" s="10">
        <f>+H1164-I1164</f>
        <v>0</v>
      </c>
      <c r="K1164" s="46">
        <f>+H1164-G1164*E1164</f>
        <v>0</v>
      </c>
    </row>
    <row r="1165" spans="1:11" ht="12.75" customHeight="1" thickTop="1">
      <c r="A1165" s="14"/>
      <c r="B1165" s="15" t="s">
        <v>2586</v>
      </c>
      <c r="C1165" s="15" t="s">
        <v>5</v>
      </c>
      <c r="D1165" s="16" t="s">
        <v>6</v>
      </c>
      <c r="E1165" s="17" t="s">
        <v>7</v>
      </c>
      <c r="F1165" s="18" t="s">
        <v>3728</v>
      </c>
      <c r="G1165" s="19" t="s">
        <v>3729</v>
      </c>
      <c r="H1165" s="20" t="s">
        <v>3797</v>
      </c>
    </row>
    <row r="1166" spans="1:11" ht="12.75" customHeight="1">
      <c r="A1166" s="21"/>
      <c r="B1166" s="22" t="s">
        <v>3730</v>
      </c>
      <c r="C1166" s="23"/>
      <c r="D1166" s="24"/>
      <c r="E1166" s="25"/>
      <c r="F1166" s="26"/>
      <c r="G1166" s="27">
        <f>SUM(G1167:G1171)</f>
        <v>0</v>
      </c>
      <c r="H1166" s="27">
        <f>IFERROR(G1166*E1164,"")</f>
        <v>0</v>
      </c>
    </row>
    <row r="1167" spans="1:11" ht="12.75" customHeight="1">
      <c r="A1167" s="28"/>
      <c r="B1167" s="29"/>
      <c r="C1167" s="30" t="str">
        <f>IFERROR(_xlfn.XLOOKUP(B1167,Insumo[DESCRIPCION],Insumo[UND],,0),"")</f>
        <v/>
      </c>
      <c r="D1167" s="31"/>
      <c r="E1167" s="32" t="str">
        <f>IFERROR(_xlfn.XLOOKUP($B1167,Insumo[DESCRIPCION],Insumo[VALOR],,0),"")</f>
        <v/>
      </c>
      <c r="F1167" s="33"/>
      <c r="G1167" s="34" t="str">
        <f>IFERROR(IF(F1167&gt;=0,D1167*E1167*(1+F1167/100),ABS(D1167*E1167/F1167)),"")</f>
        <v/>
      </c>
      <c r="H1167" s="43" t="str">
        <f>IFERROR(G1167*E1164,"")</f>
        <v/>
      </c>
    </row>
    <row r="1168" spans="1:11" ht="12.75" customHeight="1">
      <c r="A1168" s="28"/>
      <c r="B1168" s="29"/>
      <c r="C1168" s="30" t="str">
        <f>IFERROR(_xlfn.XLOOKUP(B1168,Insumo[DESCRIPCION],Insumo[UND],,0),"")</f>
        <v/>
      </c>
      <c r="D1168" s="31"/>
      <c r="E1168" s="32" t="str">
        <f>IFERROR(_xlfn.XLOOKUP($B1168,Insumo[DESCRIPCION],Insumo[VALOR],,0),"")</f>
        <v/>
      </c>
      <c r="F1168" s="33"/>
      <c r="G1168" s="34" t="str">
        <f>IFERROR(IF(F1168&gt;=0,D1168*E1168*(1+F1168/100),ABS(D1168*E1168/F1168)),"")</f>
        <v/>
      </c>
      <c r="H1168" s="43" t="str">
        <f>IFERROR(G1168*E1164,"")</f>
        <v/>
      </c>
    </row>
    <row r="1169" spans="1:11" ht="12.75" customHeight="1">
      <c r="A1169" s="28"/>
      <c r="B1169" s="29"/>
      <c r="C1169" s="30" t="str">
        <f>IFERROR(_xlfn.XLOOKUP(B1169,Insumo[DESCRIPCION],Insumo[UND],,0),"")</f>
        <v/>
      </c>
      <c r="D1169" s="31"/>
      <c r="E1169" s="32" t="str">
        <f>IFERROR(_xlfn.XLOOKUP($B1169,Insumo[DESCRIPCION],Insumo[VALOR],,0),"")</f>
        <v/>
      </c>
      <c r="F1169" s="33"/>
      <c r="G1169" s="34" t="str">
        <f>IFERROR(IF(F1169&gt;=0,D1169*E1169*(1+F1169/100),ABS(D1169*E1169/F1169)),"")</f>
        <v/>
      </c>
      <c r="H1169" s="43" t="str">
        <f>IFERROR(G1169*E1164,"")</f>
        <v/>
      </c>
    </row>
    <row r="1170" spans="1:11" ht="12.75" customHeight="1">
      <c r="A1170" s="28"/>
      <c r="B1170" s="29"/>
      <c r="C1170" s="30" t="str">
        <f>IFERROR(_xlfn.XLOOKUP(B1170,Insumo[DESCRIPCION],Insumo[UND],,0),"")</f>
        <v/>
      </c>
      <c r="D1170" s="31"/>
      <c r="E1170" s="32" t="str">
        <f>IFERROR(_xlfn.XLOOKUP($B1170,Insumo[DESCRIPCION],Insumo[VALOR],,0),"")</f>
        <v/>
      </c>
      <c r="F1170" s="33"/>
      <c r="G1170" s="34" t="str">
        <f>IFERROR(IF(F1170&gt;=0,D1170*E1170*(1+F1170/100),ABS(D1170*E1170/F1170)),"")</f>
        <v/>
      </c>
      <c r="H1170" s="43" t="str">
        <f>IFERROR(G1170*E1164,"")</f>
        <v/>
      </c>
    </row>
    <row r="1171" spans="1:11" ht="12.75" customHeight="1">
      <c r="A1171" s="28"/>
      <c r="B1171" s="29"/>
      <c r="C1171" s="30" t="str">
        <f>IFERROR(_xlfn.XLOOKUP(B1171,Insumo[DESCRIPCION],Insumo[UND],,0),"")</f>
        <v/>
      </c>
      <c r="D1171" s="31"/>
      <c r="E1171" s="32" t="str">
        <f>IFERROR(_xlfn.XLOOKUP($B1171,Insumo[DESCRIPCION],Insumo[VALOR],,0),"")</f>
        <v/>
      </c>
      <c r="F1171" s="33"/>
      <c r="G1171" s="34" t="str">
        <f>IFERROR(IF(F1171&gt;=0,D1171*E1171*(1+F1171/100),ABS(D1171*E1171/F1171)),"")</f>
        <v/>
      </c>
      <c r="H1171" s="43" t="str">
        <f>IFERROR(G1171*E1164,"")</f>
        <v/>
      </c>
    </row>
    <row r="1172" spans="1:11" ht="12.75" customHeight="1">
      <c r="A1172" s="21"/>
      <c r="B1172" s="22" t="s">
        <v>3731</v>
      </c>
      <c r="C1172" s="23"/>
      <c r="D1172" s="24"/>
      <c r="E1172" s="25"/>
      <c r="F1172" s="26"/>
      <c r="G1172" s="27">
        <f>SUM(G1173:G1175)</f>
        <v>1632.4306909647728</v>
      </c>
      <c r="H1172" s="44">
        <f>G1172*E1164</f>
        <v>0</v>
      </c>
    </row>
    <row r="1173" spans="1:11" ht="12.75" customHeight="1">
      <c r="A1173" s="28"/>
      <c r="B1173" s="29" t="s">
        <v>3659</v>
      </c>
      <c r="C1173" s="30" t="str">
        <f>IFERROR(_xlfn.XLOOKUP(B1173,Equipo[DESCRIPCION],Equipo[UND],,0),"")</f>
        <v>Hr</v>
      </c>
      <c r="D1173" s="31">
        <v>1</v>
      </c>
      <c r="E1173" s="32">
        <f>IF(C1173="%MO",G1179,IFERROR(_xlfn.XLOOKUP($B1173,Equipo[DESCRIPCION],Equipo[VALOR],,0),""))</f>
        <v>89250</v>
      </c>
      <c r="F1173" s="33">
        <v>-55</v>
      </c>
      <c r="G1173" s="34">
        <f>IFERROR(IF(F1173&gt;=0,D1173*E1173*(1+F1173/100),ABS(D1173*E1173/F1173)),"")</f>
        <v>1622.7272727272727</v>
      </c>
      <c r="H1173" s="43">
        <f>IFERROR(G1173*E1164,"")</f>
        <v>0</v>
      </c>
    </row>
    <row r="1174" spans="1:11" ht="12.75" customHeight="1">
      <c r="A1174" s="28"/>
      <c r="B1174" s="29" t="s">
        <v>3626</v>
      </c>
      <c r="C1174" s="30" t="str">
        <f>IFERROR(_xlfn.XLOOKUP(B1174,Equipo[DESCRIPCION],Equipo[UND],,0),"")</f>
        <v>%MO</v>
      </c>
      <c r="D1174" s="31">
        <v>0.05</v>
      </c>
      <c r="E1174" s="32">
        <f>IF(C1174="%MO",G1179,IFERROR(_xlfn.XLOOKUP($B1174,Equipo[DESCRIPCION],Equipo[VALOR],,0),""))</f>
        <v>194.06836475000003</v>
      </c>
      <c r="F1174" s="33"/>
      <c r="G1174" s="34">
        <f>IFERROR(IF(F1174&gt;=0,D1174*E1174*(1+F1174/100),ABS(D1174*E1174/F1174)),"")</f>
        <v>9.7034182375000029</v>
      </c>
      <c r="H1174" s="43">
        <f>IFERROR(G1174*E1164,"")</f>
        <v>0</v>
      </c>
    </row>
    <row r="1175" spans="1:11" ht="12.75" customHeight="1">
      <c r="A1175" s="28"/>
      <c r="B1175" s="29"/>
      <c r="C1175" s="30" t="str">
        <f>IFERROR(_xlfn.XLOOKUP(B1175,Equipo[DESCRIPCION],Equipo[UND],,0),"")</f>
        <v/>
      </c>
      <c r="D1175" s="31"/>
      <c r="E1175" s="32" t="str">
        <f>IF(C1175="%MO",G1179,IFERROR(_xlfn.XLOOKUP($B1175,Equipo[DESCRIPCION],Equipo[VALOR],,0),""))</f>
        <v/>
      </c>
      <c r="F1175" s="33"/>
      <c r="G1175" s="34" t="str">
        <f>IFERROR(IF(F1175&gt;=0,D1175*E1175*(1+F1175/100),ABS(D1175*E1175/F1175)),"")</f>
        <v/>
      </c>
      <c r="H1175" s="43" t="str">
        <f>IFERROR(G1175*E1164,"")</f>
        <v/>
      </c>
    </row>
    <row r="1176" spans="1:11" ht="12.75" customHeight="1">
      <c r="A1176" s="21"/>
      <c r="B1176" s="22" t="s">
        <v>2533</v>
      </c>
      <c r="C1176" s="23"/>
      <c r="D1176" s="24"/>
      <c r="E1176" s="25"/>
      <c r="F1176" s="26"/>
      <c r="G1176" s="27">
        <f>SUM(G1177:G1178)</f>
        <v>0</v>
      </c>
      <c r="H1176" s="44">
        <f>G1176*E1164</f>
        <v>0</v>
      </c>
    </row>
    <row r="1177" spans="1:11" ht="12.75" customHeight="1">
      <c r="A1177" s="28"/>
      <c r="B1177" s="29"/>
      <c r="C1177" s="30" t="str">
        <f>IFERROR(_xlfn.XLOOKUP(B1177,Transporte[DESCRIPCION],Transporte[UND],,0),"")</f>
        <v/>
      </c>
      <c r="D1177" s="31"/>
      <c r="E1177" s="32" t="str">
        <f>IFERROR(_xlfn.XLOOKUP($B1177,Transporte[DESCRIPCION],Transporte[VALOR],,0),"")</f>
        <v/>
      </c>
      <c r="F1177" s="33"/>
      <c r="G1177" s="34" t="str">
        <f>IFERROR(IF(F1177&gt;=0,D1177*E1177*(1+F1177/100),ABS(D1177*E1177/F1177)),"")</f>
        <v/>
      </c>
      <c r="H1177" s="43" t="str">
        <f>IFERROR(G1177*E1164,"")</f>
        <v/>
      </c>
    </row>
    <row r="1178" spans="1:11" ht="12.75" customHeight="1">
      <c r="A1178" s="28"/>
      <c r="B1178" s="29"/>
      <c r="C1178" s="30" t="str">
        <f>IFERROR(_xlfn.XLOOKUP(B1178,Transporte[DESCRIPCION],Transporte[UND],,0),"")</f>
        <v/>
      </c>
      <c r="D1178" s="31"/>
      <c r="E1178" s="32" t="str">
        <f>IFERROR(_xlfn.XLOOKUP($B1178,Transporte[DESCRIPCION],Transporte[VALOR],,0),"")</f>
        <v/>
      </c>
      <c r="F1178" s="33"/>
      <c r="G1178" s="34" t="str">
        <f>IFERROR(IF(F1178&gt;=0,D1178*E1178*(1+F1178/100),ABS(D1178*E1178/F1178)),"")</f>
        <v/>
      </c>
      <c r="H1178" s="43" t="str">
        <f>IFERROR(G1178*E1164,"")</f>
        <v/>
      </c>
    </row>
    <row r="1179" spans="1:11" ht="12.75" customHeight="1">
      <c r="A1179" s="21"/>
      <c r="B1179" s="22" t="s">
        <v>3732</v>
      </c>
      <c r="C1179" s="23"/>
      <c r="D1179" s="24"/>
      <c r="E1179" s="25"/>
      <c r="F1179" s="26"/>
      <c r="G1179" s="27">
        <f>SUM(G1180:G1182)</f>
        <v>194.06836475000003</v>
      </c>
      <c r="H1179" s="44">
        <f>G1179*E1164</f>
        <v>0</v>
      </c>
    </row>
    <row r="1180" spans="1:11" ht="12.75" customHeight="1">
      <c r="A1180" s="28"/>
      <c r="B1180" s="29" t="s">
        <v>3698</v>
      </c>
      <c r="C1180" s="30" t="str">
        <f>IFERROR(_xlfn.XLOOKUP(B1180,MObra[DESCRIPCION],MObra[UN],,0),"")</f>
        <v>día</v>
      </c>
      <c r="D1180" s="31">
        <v>1</v>
      </c>
      <c r="E1180" s="32">
        <f>IFERROR(_xlfn.XLOOKUP($B1180,MObra[DESCRIPCION],MObra[VALOR UNIT],,0),"")</f>
        <v>116441.01885000002</v>
      </c>
      <c r="F1180" s="33">
        <v>-600</v>
      </c>
      <c r="G1180" s="34">
        <f>IFERROR(IF(F1180&gt;=0,D1180*E1180*(1+F1180/100),ABS(D1180*E1180/F1180)),"")</f>
        <v>194.06836475000003</v>
      </c>
      <c r="H1180" s="43">
        <f>IFERROR(G1180*E1164,"")</f>
        <v>0</v>
      </c>
    </row>
    <row r="1181" spans="1:11" ht="12.75" customHeight="1">
      <c r="A1181" s="28"/>
      <c r="B1181" s="29"/>
      <c r="C1181" s="30" t="str">
        <f>IFERROR(_xlfn.XLOOKUP(B1181,MObra[DESCRIPCION],MObra[UN],,0),"")</f>
        <v/>
      </c>
      <c r="D1181" s="31"/>
      <c r="E1181" s="32" t="str">
        <f>IFERROR(_xlfn.XLOOKUP($B1181,MObra[DESCRIPCION],MObra[VALOR UNIT],,0),"")</f>
        <v/>
      </c>
      <c r="F1181" s="33"/>
      <c r="G1181" s="34" t="str">
        <f>IFERROR(IF(F1181&gt;=0,D1181*E1181*(1+F1181/100),ABS(D1181*E1181/F1181)),"")</f>
        <v/>
      </c>
      <c r="H1181" s="43" t="str">
        <f>IFERROR(G1181*E1164,"")</f>
        <v/>
      </c>
    </row>
    <row r="1182" spans="1:11" ht="12.75" customHeight="1" thickBot="1">
      <c r="A1182" s="35"/>
      <c r="B1182" s="36"/>
      <c r="C1182" s="37" t="str">
        <f>IFERROR(_xlfn.XLOOKUP(B1182,MObra[DESCRIPCION],MObra[UN],,0),"")</f>
        <v/>
      </c>
      <c r="D1182" s="38"/>
      <c r="E1182" s="39" t="str">
        <f>IFERROR(_xlfn.XLOOKUP($B1182,MObra[DESCRIPCION],MObra[VALOR UNIT],,0),"")</f>
        <v/>
      </c>
      <c r="F1182" s="40"/>
      <c r="G1182" s="41" t="str">
        <f>IFERROR(IF(F1182&gt;=0,D1182*E1182*(1+F1182/100),ABS(D1182*E1182/F1182)),"")</f>
        <v/>
      </c>
      <c r="H1182" s="42" t="str">
        <f>IFERROR(G1182*E1164,"")</f>
        <v/>
      </c>
    </row>
    <row r="1183" spans="1:11" ht="12.75" customHeight="1" thickTop="1" thickBot="1"/>
    <row r="1184" spans="1:11" ht="12.75" customHeight="1" thickTop="1" thickBot="1">
      <c r="A1184" s="6" t="s">
        <v>2550</v>
      </c>
      <c r="B1184" s="7" t="str">
        <f>VLOOKUP($A1184,Presupuesto!$A:$D,2,FALSE())</f>
        <v>Transporte insumos varios</v>
      </c>
      <c r="C1184" s="8" t="str">
        <f>VLOOKUP($A1184,Presupuesto!$A:$D,3,FALSE())</f>
        <v>M3-Km</v>
      </c>
      <c r="D1184" s="9"/>
      <c r="E1184" s="10">
        <f>VLOOKUP($A1184,Presupuesto!$A:$D,4,FALSE())</f>
        <v>0</v>
      </c>
      <c r="F1184" s="11" t="s">
        <v>2589</v>
      </c>
      <c r="G1184" s="12">
        <f>SUM(G1186:G1202)/2</f>
        <v>2260.2600000000002</v>
      </c>
      <c r="H1184" s="13">
        <f>ROUND(SUM(H1186:H1202),0)/2</f>
        <v>0</v>
      </c>
      <c r="I1184" s="10">
        <f>VLOOKUP(A1184,Presupuesto!$A:$F,6,0)</f>
        <v>0</v>
      </c>
      <c r="J1184" s="10">
        <f>+H1184-I1184</f>
        <v>0</v>
      </c>
      <c r="K1184" s="46">
        <f>+H1184-G1184*E1184</f>
        <v>0</v>
      </c>
    </row>
    <row r="1185" spans="1:8" ht="12.75" customHeight="1" thickTop="1">
      <c r="A1185" s="14"/>
      <c r="B1185" s="15" t="s">
        <v>2586</v>
      </c>
      <c r="C1185" s="15" t="s">
        <v>5</v>
      </c>
      <c r="D1185" s="16" t="s">
        <v>6</v>
      </c>
      <c r="E1185" s="17" t="s">
        <v>7</v>
      </c>
      <c r="F1185" s="18" t="s">
        <v>3728</v>
      </c>
      <c r="G1185" s="19" t="s">
        <v>3729</v>
      </c>
      <c r="H1185" s="20" t="s">
        <v>3797</v>
      </c>
    </row>
    <row r="1186" spans="1:8" ht="12.75" customHeight="1">
      <c r="A1186" s="21"/>
      <c r="B1186" s="22" t="s">
        <v>3730</v>
      </c>
      <c r="C1186" s="23"/>
      <c r="D1186" s="24"/>
      <c r="E1186" s="25"/>
      <c r="F1186" s="26"/>
      <c r="G1186" s="27">
        <f>SUM(G1187:G1191)</f>
        <v>0</v>
      </c>
      <c r="H1186" s="27">
        <f>IFERROR(G1186*E1184,"")</f>
        <v>0</v>
      </c>
    </row>
    <row r="1187" spans="1:8" ht="12.75" customHeight="1">
      <c r="A1187" s="28"/>
      <c r="B1187" s="29"/>
      <c r="C1187" s="30" t="str">
        <f>IFERROR(_xlfn.XLOOKUP(B1187,Insumo[DESCRIPCION],Insumo[UND],,0),"")</f>
        <v/>
      </c>
      <c r="D1187" s="31"/>
      <c r="E1187" s="32" t="str">
        <f>IFERROR(_xlfn.XLOOKUP($B1187,Insumo[DESCRIPCION],Insumo[VALOR],,0),"")</f>
        <v/>
      </c>
      <c r="F1187" s="33"/>
      <c r="G1187" s="34" t="str">
        <f>IFERROR(IF(F1187&gt;=0,D1187*E1187*(1+F1187/100),ABS(D1187*E1187/F1187)),"")</f>
        <v/>
      </c>
      <c r="H1187" s="43" t="str">
        <f>IFERROR(G1187*E1184,"")</f>
        <v/>
      </c>
    </row>
    <row r="1188" spans="1:8" ht="12.75" customHeight="1">
      <c r="A1188" s="28"/>
      <c r="B1188" s="29"/>
      <c r="C1188" s="30" t="str">
        <f>IFERROR(_xlfn.XLOOKUP(B1188,Insumo[DESCRIPCION],Insumo[UND],,0),"")</f>
        <v/>
      </c>
      <c r="D1188" s="31"/>
      <c r="E1188" s="32" t="str">
        <f>IFERROR(_xlfn.XLOOKUP($B1188,Insumo[DESCRIPCION],Insumo[VALOR],,0),"")</f>
        <v/>
      </c>
      <c r="F1188" s="33"/>
      <c r="G1188" s="34" t="str">
        <f>IFERROR(IF(F1188&gt;=0,D1188*E1188*(1+F1188/100),ABS(D1188*E1188/F1188)),"")</f>
        <v/>
      </c>
      <c r="H1188" s="43" t="str">
        <f>IFERROR(G1188*E1184,"")</f>
        <v/>
      </c>
    </row>
    <row r="1189" spans="1:8" ht="12.75" customHeight="1">
      <c r="A1189" s="28"/>
      <c r="B1189" s="29"/>
      <c r="C1189" s="30" t="str">
        <f>IFERROR(_xlfn.XLOOKUP(B1189,Insumo[DESCRIPCION],Insumo[UND],,0),"")</f>
        <v/>
      </c>
      <c r="D1189" s="31"/>
      <c r="E1189" s="32" t="str">
        <f>IFERROR(_xlfn.XLOOKUP($B1189,Insumo[DESCRIPCION],Insumo[VALOR],,0),"")</f>
        <v/>
      </c>
      <c r="F1189" s="33"/>
      <c r="G1189" s="34" t="str">
        <f>IFERROR(IF(F1189&gt;=0,D1189*E1189*(1+F1189/100),ABS(D1189*E1189/F1189)),"")</f>
        <v/>
      </c>
      <c r="H1189" s="43" t="str">
        <f>IFERROR(G1189*E1184,"")</f>
        <v/>
      </c>
    </row>
    <row r="1190" spans="1:8" ht="12.75" customHeight="1">
      <c r="A1190" s="28"/>
      <c r="B1190" s="29"/>
      <c r="C1190" s="30" t="str">
        <f>IFERROR(_xlfn.XLOOKUP(B1190,Insumo[DESCRIPCION],Insumo[UND],,0),"")</f>
        <v/>
      </c>
      <c r="D1190" s="31"/>
      <c r="E1190" s="32" t="str">
        <f>IFERROR(_xlfn.XLOOKUP($B1190,Insumo[DESCRIPCION],Insumo[VALOR],,0),"")</f>
        <v/>
      </c>
      <c r="F1190" s="33"/>
      <c r="G1190" s="34" t="str">
        <f>IFERROR(IF(F1190&gt;=0,D1190*E1190*(1+F1190/100),ABS(D1190*E1190/F1190)),"")</f>
        <v/>
      </c>
      <c r="H1190" s="43" t="str">
        <f>IFERROR(G1190*E1184,"")</f>
        <v/>
      </c>
    </row>
    <row r="1191" spans="1:8" ht="12.75" customHeight="1">
      <c r="A1191" s="28"/>
      <c r="B1191" s="29"/>
      <c r="C1191" s="30" t="str">
        <f>IFERROR(_xlfn.XLOOKUP(B1191,Insumo[DESCRIPCION],Insumo[UND],,0),"")</f>
        <v/>
      </c>
      <c r="D1191" s="31"/>
      <c r="E1191" s="32" t="str">
        <f>IFERROR(_xlfn.XLOOKUP($B1191,Insumo[DESCRIPCION],Insumo[VALOR],,0),"")</f>
        <v/>
      </c>
      <c r="F1191" s="33"/>
      <c r="G1191" s="34" t="str">
        <f>IFERROR(IF(F1191&gt;=0,D1191*E1191*(1+F1191/100),ABS(D1191*E1191/F1191)),"")</f>
        <v/>
      </c>
      <c r="H1191" s="43" t="str">
        <f>IFERROR(G1191*E1184,"")</f>
        <v/>
      </c>
    </row>
    <row r="1192" spans="1:8" ht="12.75" customHeight="1">
      <c r="A1192" s="21"/>
      <c r="B1192" s="22" t="s">
        <v>3731</v>
      </c>
      <c r="C1192" s="23"/>
      <c r="D1192" s="24"/>
      <c r="E1192" s="25"/>
      <c r="F1192" s="26"/>
      <c r="G1192" s="27">
        <f>SUM(G1193:G1195)</f>
        <v>0</v>
      </c>
      <c r="H1192" s="44">
        <f>G1192*E1184</f>
        <v>0</v>
      </c>
    </row>
    <row r="1193" spans="1:8" ht="12.75" customHeight="1">
      <c r="A1193" s="28"/>
      <c r="B1193" s="29"/>
      <c r="C1193" s="30" t="str">
        <f>IFERROR(_xlfn.XLOOKUP(B1193,Equipo[DESCRIPCION],Equipo[UND],,0),"")</f>
        <v/>
      </c>
      <c r="D1193" s="31"/>
      <c r="E1193" s="32" t="str">
        <f>IF(C1193="%MO",G1199,IFERROR(_xlfn.XLOOKUP($B1193,Equipo[DESCRIPCION],Equipo[VALOR],,0),""))</f>
        <v/>
      </c>
      <c r="F1193" s="33"/>
      <c r="G1193" s="34" t="str">
        <f>IFERROR(IF(F1193&gt;=0,D1193*E1193*(1+F1193/100),ABS(D1193*E1193/F1193)),"")</f>
        <v/>
      </c>
      <c r="H1193" s="43" t="str">
        <f>IFERROR(G1193*E1184,"")</f>
        <v/>
      </c>
    </row>
    <row r="1194" spans="1:8" ht="12.75" customHeight="1">
      <c r="A1194" s="28"/>
      <c r="B1194" s="29"/>
      <c r="C1194" s="30" t="str">
        <f>IFERROR(_xlfn.XLOOKUP(B1194,Equipo[DESCRIPCION],Equipo[UND],,0),"")</f>
        <v/>
      </c>
      <c r="D1194" s="31"/>
      <c r="E1194" s="32" t="str">
        <f>IF(C1194="%MO",G1199,IFERROR(_xlfn.XLOOKUP($B1194,Equipo[DESCRIPCION],Equipo[VALOR],,0),""))</f>
        <v/>
      </c>
      <c r="F1194" s="33"/>
      <c r="G1194" s="34" t="str">
        <f>IFERROR(IF(F1194&gt;=0,D1194*E1194*(1+F1194/100),ABS(D1194*E1194/F1194)),"")</f>
        <v/>
      </c>
      <c r="H1194" s="43" t="str">
        <f>IFERROR(G1194*E1184,"")</f>
        <v/>
      </c>
    </row>
    <row r="1195" spans="1:8" ht="12.75" customHeight="1">
      <c r="A1195" s="28"/>
      <c r="B1195" s="29"/>
      <c r="C1195" s="30" t="str">
        <f>IFERROR(_xlfn.XLOOKUP(B1195,Equipo[DESCRIPCION],Equipo[UND],,0),"")</f>
        <v/>
      </c>
      <c r="D1195" s="31"/>
      <c r="E1195" s="32" t="str">
        <f>IF(C1195="%MO",G1199,IFERROR(_xlfn.XLOOKUP($B1195,Equipo[DESCRIPCION],Equipo[VALOR],,0),""))</f>
        <v/>
      </c>
      <c r="F1195" s="33"/>
      <c r="G1195" s="34" t="str">
        <f>IFERROR(IF(F1195&gt;=0,D1195*E1195*(1+F1195/100),ABS(D1195*E1195/F1195)),"")</f>
        <v/>
      </c>
      <c r="H1195" s="43" t="str">
        <f>IFERROR(G1195*E1184,"")</f>
        <v/>
      </c>
    </row>
    <row r="1196" spans="1:8" ht="12.75" customHeight="1">
      <c r="A1196" s="21"/>
      <c r="B1196" s="22" t="s">
        <v>2533</v>
      </c>
      <c r="C1196" s="23"/>
      <c r="D1196" s="24"/>
      <c r="E1196" s="25"/>
      <c r="F1196" s="26"/>
      <c r="G1196" s="27">
        <f>SUM(G1197:G1198)</f>
        <v>2260.2600000000002</v>
      </c>
      <c r="H1196" s="44">
        <f>G1196*E1184</f>
        <v>0</v>
      </c>
    </row>
    <row r="1197" spans="1:8" ht="12.75" customHeight="1">
      <c r="A1197" s="28"/>
      <c r="B1197" s="29" t="s">
        <v>3662</v>
      </c>
      <c r="C1197" s="30" t="str">
        <f>IFERROR(_xlfn.XLOOKUP(B1197,Transporte[DESCRIPCION],Transporte[UND],,0),"")</f>
        <v>Hr</v>
      </c>
      <c r="D1197" s="31">
        <v>1</v>
      </c>
      <c r="E1197" s="32">
        <f>IFERROR(_xlfn.XLOOKUP($B1197,Transporte[DESCRIPCION],Transporte[VALOR],,0),"")</f>
        <v>79109.100000000006</v>
      </c>
      <c r="F1197" s="33">
        <v>-35</v>
      </c>
      <c r="G1197" s="34">
        <f>IFERROR(IF(F1197&gt;=0,D1197*E1197*(1+F1197/100),ABS(D1197*E1197/F1197)),"")</f>
        <v>2260.2600000000002</v>
      </c>
      <c r="H1197" s="43">
        <f>IFERROR(G1197*E1184,"")</f>
        <v>0</v>
      </c>
    </row>
    <row r="1198" spans="1:8" ht="12.75" customHeight="1">
      <c r="A1198" s="28"/>
      <c r="B1198" s="29"/>
      <c r="C1198" s="30" t="str">
        <f>IFERROR(_xlfn.XLOOKUP(B1198,Transporte[DESCRIPCION],Transporte[UND],,0),"")</f>
        <v/>
      </c>
      <c r="D1198" s="31"/>
      <c r="E1198" s="32" t="str">
        <f>IFERROR(_xlfn.XLOOKUP($B1198,Transporte[DESCRIPCION],Transporte[VALOR],,0),"")</f>
        <v/>
      </c>
      <c r="F1198" s="33"/>
      <c r="G1198" s="34" t="str">
        <f>IFERROR(IF(F1198&gt;=0,D1198*E1198*(1+F1198/100),ABS(D1198*E1198/F1198)),"")</f>
        <v/>
      </c>
      <c r="H1198" s="43" t="str">
        <f>IFERROR(G1198*E1184,"")</f>
        <v/>
      </c>
    </row>
    <row r="1199" spans="1:8" ht="12.75" customHeight="1">
      <c r="A1199" s="21"/>
      <c r="B1199" s="22" t="s">
        <v>3732</v>
      </c>
      <c r="C1199" s="23"/>
      <c r="D1199" s="24"/>
      <c r="E1199" s="25"/>
      <c r="F1199" s="26"/>
      <c r="G1199" s="27">
        <f>SUM(G1200:G1202)</f>
        <v>0</v>
      </c>
      <c r="H1199" s="44">
        <f>G1199*E1184</f>
        <v>0</v>
      </c>
    </row>
    <row r="1200" spans="1:8" ht="12.75" customHeight="1">
      <c r="A1200" s="28"/>
      <c r="B1200" s="29"/>
      <c r="C1200" s="30" t="str">
        <f>IFERROR(_xlfn.XLOOKUP(B1200,MObra[DESCRIPCION],MObra[UN],,0),"")</f>
        <v/>
      </c>
      <c r="D1200" s="31"/>
      <c r="E1200" s="32" t="str">
        <f>IFERROR(_xlfn.XLOOKUP($B1200,MObra[DESCRIPCION],MObra[VALOR UNIT],,0),"")</f>
        <v/>
      </c>
      <c r="F1200" s="33"/>
      <c r="G1200" s="34" t="str">
        <f>IFERROR(IF(F1200&gt;=0,D1200*E1200*(1+F1200/100),ABS(D1200*E1200/F1200)),"")</f>
        <v/>
      </c>
      <c r="H1200" s="43" t="str">
        <f>IFERROR(G1200*E1184,"")</f>
        <v/>
      </c>
    </row>
    <row r="1201" spans="1:11" ht="12.75" customHeight="1">
      <c r="A1201" s="28"/>
      <c r="B1201" s="29"/>
      <c r="C1201" s="30" t="str">
        <f>IFERROR(_xlfn.XLOOKUP(B1201,MObra[DESCRIPCION],MObra[UN],,0),"")</f>
        <v/>
      </c>
      <c r="D1201" s="31"/>
      <c r="E1201" s="32" t="str">
        <f>IFERROR(_xlfn.XLOOKUP($B1201,MObra[DESCRIPCION],MObra[VALOR UNIT],,0),"")</f>
        <v/>
      </c>
      <c r="F1201" s="33"/>
      <c r="G1201" s="34" t="str">
        <f>IFERROR(IF(F1201&gt;=0,D1201*E1201*(1+F1201/100),ABS(D1201*E1201/F1201)),"")</f>
        <v/>
      </c>
      <c r="H1201" s="43" t="str">
        <f>IFERROR(G1201*E1184,"")</f>
        <v/>
      </c>
    </row>
    <row r="1202" spans="1:11" ht="12.75" customHeight="1" thickBot="1">
      <c r="A1202" s="35"/>
      <c r="B1202" s="36"/>
      <c r="C1202" s="37" t="str">
        <f>IFERROR(_xlfn.XLOOKUP(B1202,MObra[DESCRIPCION],MObra[UN],,0),"")</f>
        <v/>
      </c>
      <c r="D1202" s="38"/>
      <c r="E1202" s="39" t="str">
        <f>IFERROR(_xlfn.XLOOKUP($B1202,MObra[DESCRIPCION],MObra[VALOR UNIT],,0),"")</f>
        <v/>
      </c>
      <c r="F1202" s="40"/>
      <c r="G1202" s="41" t="str">
        <f>IFERROR(IF(F1202&gt;=0,D1202*E1202*(1+F1202/100),ABS(D1202*E1202/F1202)),"")</f>
        <v/>
      </c>
      <c r="H1202" s="42" t="str">
        <f>IFERROR(G1202*E1184,"")</f>
        <v/>
      </c>
    </row>
    <row r="1203" spans="1:11" ht="12.75" customHeight="1" thickTop="1" thickBot="1"/>
    <row r="1204" spans="1:11" ht="12.75" customHeight="1" thickTop="1" thickBot="1">
      <c r="A1204" s="6" t="s">
        <v>2552</v>
      </c>
      <c r="B1204" s="7" t="str">
        <f>VLOOKUP($A1204,Presupuesto!$A:$D,2,FALSE())</f>
        <v>Transporte material de patio urbano 1 km</v>
      </c>
      <c r="C1204" s="8" t="str">
        <f>VLOOKUP($A1204,Presupuesto!$A:$D,3,FALSE())</f>
        <v>M3-Km</v>
      </c>
      <c r="D1204" s="9"/>
      <c r="E1204" s="10">
        <f>VLOOKUP($A1204,Presupuesto!$A:$D,4,FALSE())</f>
        <v>0</v>
      </c>
      <c r="F1204" s="11" t="s">
        <v>2589</v>
      </c>
      <c r="G1204" s="12">
        <f>SUM(G1206:G1222)/2</f>
        <v>2029.5261395850002</v>
      </c>
      <c r="H1204" s="13">
        <f>ROUND(SUM(H1206:H1222),0)/2</f>
        <v>0</v>
      </c>
      <c r="I1204" s="10">
        <f>VLOOKUP(A1204,Presupuesto!$A:$F,6,0)</f>
        <v>0</v>
      </c>
      <c r="J1204" s="10">
        <f>+H1204-I1204</f>
        <v>0</v>
      </c>
      <c r="K1204" s="46">
        <f>+H1204-G1204*E1204</f>
        <v>0</v>
      </c>
    </row>
    <row r="1205" spans="1:11" ht="12.75" customHeight="1" thickTop="1">
      <c r="A1205" s="14"/>
      <c r="B1205" s="15" t="s">
        <v>2586</v>
      </c>
      <c r="C1205" s="15" t="s">
        <v>5</v>
      </c>
      <c r="D1205" s="16" t="s">
        <v>6</v>
      </c>
      <c r="E1205" s="17" t="s">
        <v>7</v>
      </c>
      <c r="F1205" s="18" t="s">
        <v>3728</v>
      </c>
      <c r="G1205" s="19" t="s">
        <v>3729</v>
      </c>
      <c r="H1205" s="20" t="s">
        <v>3797</v>
      </c>
    </row>
    <row r="1206" spans="1:11" ht="12.75" customHeight="1">
      <c r="A1206" s="21"/>
      <c r="B1206" s="22" t="s">
        <v>3730</v>
      </c>
      <c r="C1206" s="23"/>
      <c r="D1206" s="24"/>
      <c r="E1206" s="25"/>
      <c r="F1206" s="26"/>
      <c r="G1206" s="27">
        <f>SUM(G1207:G1211)</f>
        <v>0</v>
      </c>
      <c r="H1206" s="27">
        <f>IFERROR(G1206*E1204,"")</f>
        <v>0</v>
      </c>
    </row>
    <row r="1207" spans="1:11" ht="12.75" customHeight="1">
      <c r="A1207" s="28"/>
      <c r="B1207" s="29"/>
      <c r="C1207" s="30" t="str">
        <f>IFERROR(_xlfn.XLOOKUP(B1207,Insumo[DESCRIPCION],Insumo[UND],,0),"")</f>
        <v/>
      </c>
      <c r="D1207" s="31"/>
      <c r="E1207" s="32" t="str">
        <f>IFERROR(_xlfn.XLOOKUP($B1207,Insumo[DESCRIPCION],Insumo[VALOR],,0),"")</f>
        <v/>
      </c>
      <c r="F1207" s="33"/>
      <c r="G1207" s="34" t="str">
        <f>IFERROR(IF(F1207&gt;=0,D1207*E1207*(1+F1207/100),ABS(D1207*E1207/F1207)),"")</f>
        <v/>
      </c>
      <c r="H1207" s="43" t="str">
        <f>IFERROR(G1207*E1204,"")</f>
        <v/>
      </c>
    </row>
    <row r="1208" spans="1:11" ht="12.75" customHeight="1">
      <c r="A1208" s="28"/>
      <c r="B1208" s="29"/>
      <c r="C1208" s="30" t="str">
        <f>IFERROR(_xlfn.XLOOKUP(B1208,Insumo[DESCRIPCION],Insumo[UND],,0),"")</f>
        <v/>
      </c>
      <c r="D1208" s="31"/>
      <c r="E1208" s="32" t="str">
        <f>IFERROR(_xlfn.XLOOKUP($B1208,Insumo[DESCRIPCION],Insumo[VALOR],,0),"")</f>
        <v/>
      </c>
      <c r="F1208" s="33"/>
      <c r="G1208" s="34" t="str">
        <f>IFERROR(IF(F1208&gt;=0,D1208*E1208*(1+F1208/100),ABS(D1208*E1208/F1208)),"")</f>
        <v/>
      </c>
      <c r="H1208" s="43" t="str">
        <f>IFERROR(G1208*E1204,"")</f>
        <v/>
      </c>
    </row>
    <row r="1209" spans="1:11" ht="12.75" customHeight="1">
      <c r="A1209" s="28"/>
      <c r="B1209" s="29"/>
      <c r="C1209" s="30" t="str">
        <f>IFERROR(_xlfn.XLOOKUP(B1209,Insumo[DESCRIPCION],Insumo[UND],,0),"")</f>
        <v/>
      </c>
      <c r="D1209" s="31"/>
      <c r="E1209" s="32" t="str">
        <f>IFERROR(_xlfn.XLOOKUP($B1209,Insumo[DESCRIPCION],Insumo[VALOR],,0),"")</f>
        <v/>
      </c>
      <c r="F1209" s="33"/>
      <c r="G1209" s="34" t="str">
        <f>IFERROR(IF(F1209&gt;=0,D1209*E1209*(1+F1209/100),ABS(D1209*E1209/F1209)),"")</f>
        <v/>
      </c>
      <c r="H1209" s="43" t="str">
        <f>IFERROR(G1209*E1204,"")</f>
        <v/>
      </c>
    </row>
    <row r="1210" spans="1:11" ht="12.75" customHeight="1">
      <c r="A1210" s="28"/>
      <c r="B1210" s="29"/>
      <c r="C1210" s="30" t="str">
        <f>IFERROR(_xlfn.XLOOKUP(B1210,Insumo[DESCRIPCION],Insumo[UND],,0),"")</f>
        <v/>
      </c>
      <c r="D1210" s="31"/>
      <c r="E1210" s="32" t="str">
        <f>IFERROR(_xlfn.XLOOKUP($B1210,Insumo[DESCRIPCION],Insumo[VALOR],,0),"")</f>
        <v/>
      </c>
      <c r="F1210" s="33"/>
      <c r="G1210" s="34" t="str">
        <f>IFERROR(IF(F1210&gt;=0,D1210*E1210*(1+F1210/100),ABS(D1210*E1210/F1210)),"")</f>
        <v/>
      </c>
      <c r="H1210" s="43" t="str">
        <f>IFERROR(G1210*E1204,"")</f>
        <v/>
      </c>
    </row>
    <row r="1211" spans="1:11" ht="12.75" customHeight="1">
      <c r="A1211" s="28"/>
      <c r="B1211" s="29"/>
      <c r="C1211" s="30" t="str">
        <f>IFERROR(_xlfn.XLOOKUP(B1211,Insumo[DESCRIPCION],Insumo[UND],,0),"")</f>
        <v/>
      </c>
      <c r="D1211" s="31"/>
      <c r="E1211" s="32" t="str">
        <f>IFERROR(_xlfn.XLOOKUP($B1211,Insumo[DESCRIPCION],Insumo[VALOR],,0),"")</f>
        <v/>
      </c>
      <c r="F1211" s="33"/>
      <c r="G1211" s="34" t="str">
        <f>IFERROR(IF(F1211&gt;=0,D1211*E1211*(1+F1211/100),ABS(D1211*E1211/F1211)),"")</f>
        <v/>
      </c>
      <c r="H1211" s="43" t="str">
        <f>IFERROR(G1211*E1204,"")</f>
        <v/>
      </c>
    </row>
    <row r="1212" spans="1:11" ht="12.75" customHeight="1">
      <c r="A1212" s="21"/>
      <c r="B1212" s="22" t="s">
        <v>3731</v>
      </c>
      <c r="C1212" s="23"/>
      <c r="D1212" s="24"/>
      <c r="E1212" s="25"/>
      <c r="F1212" s="26"/>
      <c r="G1212" s="27">
        <f>SUM(G1213:G1215)</f>
        <v>1796.6441018850001</v>
      </c>
      <c r="H1212" s="44">
        <f>G1212*E1204</f>
        <v>0</v>
      </c>
    </row>
    <row r="1213" spans="1:11" ht="12.75" customHeight="1">
      <c r="A1213" s="28"/>
      <c r="B1213" s="29" t="s">
        <v>3659</v>
      </c>
      <c r="C1213" s="30" t="str">
        <f>IFERROR(_xlfn.XLOOKUP(B1213,Equipo[DESCRIPCION],Equipo[UND],,0),"")</f>
        <v>Hr</v>
      </c>
      <c r="D1213" s="31">
        <v>1</v>
      </c>
      <c r="E1213" s="32">
        <f>IF(C1213="%MO",G1219,IFERROR(_xlfn.XLOOKUP($B1213,Equipo[DESCRIPCION],Equipo[VALOR],,0),""))</f>
        <v>89250</v>
      </c>
      <c r="F1213" s="33">
        <v>-50</v>
      </c>
      <c r="G1213" s="34">
        <f>IFERROR(IF(F1213&gt;=0,D1213*E1213*(1+F1213/100),ABS(D1213*E1213/F1213)),"")</f>
        <v>1785</v>
      </c>
      <c r="H1213" s="43">
        <f>IFERROR(G1213*E1204,"")</f>
        <v>0</v>
      </c>
    </row>
    <row r="1214" spans="1:11" ht="12.75" customHeight="1">
      <c r="A1214" s="28"/>
      <c r="B1214" s="29" t="s">
        <v>3626</v>
      </c>
      <c r="C1214" s="30" t="str">
        <f>IFERROR(_xlfn.XLOOKUP(B1214,Equipo[DESCRIPCION],Equipo[UND],,0),"")</f>
        <v>%MO</v>
      </c>
      <c r="D1214" s="31">
        <v>0.05</v>
      </c>
      <c r="E1214" s="32">
        <f>IF(C1214="%MO",G1219,IFERROR(_xlfn.XLOOKUP($B1214,Equipo[DESCRIPCION],Equipo[VALOR],,0),""))</f>
        <v>232.88203770000004</v>
      </c>
      <c r="F1214" s="33"/>
      <c r="G1214" s="34">
        <f>IFERROR(IF(F1214&gt;=0,D1214*E1214*(1+F1214/100),ABS(D1214*E1214/F1214)),"")</f>
        <v>11.644101885000003</v>
      </c>
      <c r="H1214" s="43">
        <f>IFERROR(G1214*E1204,"")</f>
        <v>0</v>
      </c>
    </row>
    <row r="1215" spans="1:11" ht="12.75" customHeight="1">
      <c r="A1215" s="28"/>
      <c r="B1215" s="29"/>
      <c r="C1215" s="30" t="str">
        <f>IFERROR(_xlfn.XLOOKUP(B1215,Equipo[DESCRIPCION],Equipo[UND],,0),"")</f>
        <v/>
      </c>
      <c r="D1215" s="31"/>
      <c r="E1215" s="32" t="str">
        <f>IF(C1215="%MO",G1219,IFERROR(_xlfn.XLOOKUP($B1215,Equipo[DESCRIPCION],Equipo[VALOR],,0),""))</f>
        <v/>
      </c>
      <c r="F1215" s="33"/>
      <c r="G1215" s="34" t="str">
        <f>IFERROR(IF(F1215&gt;=0,D1215*E1215*(1+F1215/100),ABS(D1215*E1215/F1215)),"")</f>
        <v/>
      </c>
      <c r="H1215" s="43" t="str">
        <f>IFERROR(G1215*E1204,"")</f>
        <v/>
      </c>
    </row>
    <row r="1216" spans="1:11" ht="12.75" customHeight="1">
      <c r="A1216" s="21"/>
      <c r="B1216" s="22" t="s">
        <v>2533</v>
      </c>
      <c r="C1216" s="23"/>
      <c r="D1216" s="24"/>
      <c r="E1216" s="25"/>
      <c r="F1216" s="26"/>
      <c r="G1216" s="27">
        <f>SUM(G1217:G1218)</f>
        <v>0</v>
      </c>
      <c r="H1216" s="44">
        <f>G1216*E1204</f>
        <v>0</v>
      </c>
    </row>
    <row r="1217" spans="1:11" ht="12.75" customHeight="1">
      <c r="A1217" s="28"/>
      <c r="B1217" s="29"/>
      <c r="C1217" s="30" t="str">
        <f>IFERROR(_xlfn.XLOOKUP(B1217,Transporte[DESCRIPCION],Transporte[UND],,0),"")</f>
        <v/>
      </c>
      <c r="D1217" s="31"/>
      <c r="E1217" s="32" t="str">
        <f>IFERROR(_xlfn.XLOOKUP($B1217,Transporte[DESCRIPCION],Transporte[VALOR],,0),"")</f>
        <v/>
      </c>
      <c r="F1217" s="33"/>
      <c r="G1217" s="34" t="str">
        <f>IFERROR(IF(F1217&gt;=0,D1217*E1217*(1+F1217/100),ABS(D1217*E1217/F1217)),"")</f>
        <v/>
      </c>
      <c r="H1217" s="43" t="str">
        <f>IFERROR(G1217*E1204,"")</f>
        <v/>
      </c>
    </row>
    <row r="1218" spans="1:11" ht="12.75" customHeight="1">
      <c r="A1218" s="28"/>
      <c r="B1218" s="29"/>
      <c r="C1218" s="30" t="str">
        <f>IFERROR(_xlfn.XLOOKUP(B1218,Transporte[DESCRIPCION],Transporte[UND],,0),"")</f>
        <v/>
      </c>
      <c r="D1218" s="31"/>
      <c r="E1218" s="32" t="str">
        <f>IFERROR(_xlfn.XLOOKUP($B1218,Transporte[DESCRIPCION],Transporte[VALOR],,0),"")</f>
        <v/>
      </c>
      <c r="F1218" s="33"/>
      <c r="G1218" s="34" t="str">
        <f>IFERROR(IF(F1218&gt;=0,D1218*E1218*(1+F1218/100),ABS(D1218*E1218/F1218)),"")</f>
        <v/>
      </c>
      <c r="H1218" s="43" t="str">
        <f>IFERROR(G1218*E1204,"")</f>
        <v/>
      </c>
    </row>
    <row r="1219" spans="1:11" ht="12.75" customHeight="1">
      <c r="A1219" s="21"/>
      <c r="B1219" s="22" t="s">
        <v>3732</v>
      </c>
      <c r="C1219" s="23"/>
      <c r="D1219" s="24"/>
      <c r="E1219" s="25"/>
      <c r="F1219" s="26"/>
      <c r="G1219" s="27">
        <f>SUM(G1220:G1222)</f>
        <v>232.88203770000004</v>
      </c>
      <c r="H1219" s="44">
        <f>G1219*E1204</f>
        <v>0</v>
      </c>
    </row>
    <row r="1220" spans="1:11" ht="12.75" customHeight="1">
      <c r="A1220" s="28"/>
      <c r="B1220" s="29" t="s">
        <v>3698</v>
      </c>
      <c r="C1220" s="30" t="str">
        <f>IFERROR(_xlfn.XLOOKUP(B1220,MObra[DESCRIPCION],MObra[UN],,0),"")</f>
        <v>día</v>
      </c>
      <c r="D1220" s="31">
        <v>1</v>
      </c>
      <c r="E1220" s="32">
        <f>IFERROR(_xlfn.XLOOKUP($B1220,MObra[DESCRIPCION],MObra[VALOR UNIT],,0),"")</f>
        <v>116441.01885000002</v>
      </c>
      <c r="F1220" s="33">
        <v>-500</v>
      </c>
      <c r="G1220" s="34">
        <f>IFERROR(IF(F1220&gt;=0,D1220*E1220*(1+F1220/100),ABS(D1220*E1220/F1220)),"")</f>
        <v>232.88203770000004</v>
      </c>
      <c r="H1220" s="43">
        <f>IFERROR(G1220*E1204,"")</f>
        <v>0</v>
      </c>
    </row>
    <row r="1221" spans="1:11" ht="12.75" customHeight="1">
      <c r="A1221" s="28"/>
      <c r="B1221" s="29"/>
      <c r="C1221" s="30" t="str">
        <f>IFERROR(_xlfn.XLOOKUP(B1221,MObra[DESCRIPCION],MObra[UN],,0),"")</f>
        <v/>
      </c>
      <c r="D1221" s="31"/>
      <c r="E1221" s="32" t="str">
        <f>IFERROR(_xlfn.XLOOKUP($B1221,MObra[DESCRIPCION],MObra[VALOR UNIT],,0),"")</f>
        <v/>
      </c>
      <c r="F1221" s="33"/>
      <c r="G1221" s="34" t="str">
        <f>IFERROR(IF(F1221&gt;=0,D1221*E1221*(1+F1221/100),ABS(D1221*E1221/F1221)),"")</f>
        <v/>
      </c>
      <c r="H1221" s="43" t="str">
        <f>IFERROR(G1221*E1204,"")</f>
        <v/>
      </c>
    </row>
    <row r="1222" spans="1:11" ht="12.75" customHeight="1" thickBot="1">
      <c r="A1222" s="35"/>
      <c r="B1222" s="36"/>
      <c r="C1222" s="37" t="str">
        <f>IFERROR(_xlfn.XLOOKUP(B1222,MObra[DESCRIPCION],MObra[UN],,0),"")</f>
        <v/>
      </c>
      <c r="D1222" s="38"/>
      <c r="E1222" s="39" t="str">
        <f>IFERROR(_xlfn.XLOOKUP($B1222,MObra[DESCRIPCION],MObra[VALOR UNIT],,0),"")</f>
        <v/>
      </c>
      <c r="F1222" s="40"/>
      <c r="G1222" s="41" t="str">
        <f>IFERROR(IF(F1222&gt;=0,D1222*E1222*(1+F1222/100),ABS(D1222*E1222/F1222)),"")</f>
        <v/>
      </c>
      <c r="H1222" s="42" t="str">
        <f>IFERROR(G1222*E1204,"")</f>
        <v/>
      </c>
    </row>
    <row r="1223" spans="1:11" ht="12.75" customHeight="1" thickTop="1" thickBot="1"/>
    <row r="1224" spans="1:11" ht="12.75" customHeight="1" thickTop="1" thickBot="1">
      <c r="A1224" s="6" t="s">
        <v>2554</v>
      </c>
      <c r="B1224" s="7" t="str">
        <f>VLOOKUP($A1224,Presupuesto!$A:$D,2,FALSE())</f>
        <v>Transporte material de patio urbano &gt;1 km</v>
      </c>
      <c r="C1224" s="8" t="str">
        <f>VLOOKUP($A1224,Presupuesto!$A:$D,3,FALSE())</f>
        <v>M3-Km</v>
      </c>
      <c r="D1224" s="9"/>
      <c r="E1224" s="10">
        <f>VLOOKUP($A1224,Presupuesto!$A:$D,4,FALSE())</f>
        <v>0</v>
      </c>
      <c r="F1224" s="11" t="s">
        <v>2589</v>
      </c>
      <c r="G1224" s="12">
        <f>SUM(G1226:G1242)/2</f>
        <v>2227.8594729183333</v>
      </c>
      <c r="H1224" s="13">
        <f>ROUND(SUM(H1226:H1242),0)/2</f>
        <v>0</v>
      </c>
      <c r="I1224" s="10">
        <f>VLOOKUP(A1224,Presupuesto!$A:$F,6,0)</f>
        <v>0</v>
      </c>
      <c r="J1224" s="10">
        <f>+H1224-I1224</f>
        <v>0</v>
      </c>
      <c r="K1224" s="46">
        <f>+H1224-G1224*E1224</f>
        <v>0</v>
      </c>
    </row>
    <row r="1225" spans="1:11" ht="12.75" customHeight="1" thickTop="1">
      <c r="A1225" s="14"/>
      <c r="B1225" s="15" t="s">
        <v>2586</v>
      </c>
      <c r="C1225" s="15" t="s">
        <v>5</v>
      </c>
      <c r="D1225" s="16" t="s">
        <v>6</v>
      </c>
      <c r="E1225" s="17" t="s">
        <v>7</v>
      </c>
      <c r="F1225" s="18" t="s">
        <v>3728</v>
      </c>
      <c r="G1225" s="19" t="s">
        <v>3729</v>
      </c>
      <c r="H1225" s="20" t="s">
        <v>3797</v>
      </c>
    </row>
    <row r="1226" spans="1:11" ht="12.75" customHeight="1">
      <c r="A1226" s="21"/>
      <c r="B1226" s="22" t="s">
        <v>3730</v>
      </c>
      <c r="C1226" s="23"/>
      <c r="D1226" s="24"/>
      <c r="E1226" s="25"/>
      <c r="F1226" s="26"/>
      <c r="G1226" s="27">
        <f>SUM(G1227:G1231)</f>
        <v>0</v>
      </c>
      <c r="H1226" s="27">
        <f>IFERROR(G1226*E1224,"")</f>
        <v>0</v>
      </c>
    </row>
    <row r="1227" spans="1:11" ht="12.75" customHeight="1">
      <c r="A1227" s="28"/>
      <c r="B1227" s="29"/>
      <c r="C1227" s="30" t="str">
        <f>IFERROR(_xlfn.XLOOKUP(B1227,Insumo[DESCRIPCION],Insumo[UND],,0),"")</f>
        <v/>
      </c>
      <c r="D1227" s="31"/>
      <c r="E1227" s="32" t="str">
        <f>IFERROR(_xlfn.XLOOKUP($B1227,Insumo[DESCRIPCION],Insumo[VALOR],,0),"")</f>
        <v/>
      </c>
      <c r="F1227" s="33"/>
      <c r="G1227" s="34" t="str">
        <f>IFERROR(IF(F1227&gt;=0,D1227*E1227*(1+F1227/100),ABS(D1227*E1227/F1227)),"")</f>
        <v/>
      </c>
      <c r="H1227" s="43" t="str">
        <f>IFERROR(G1227*E1224,"")</f>
        <v/>
      </c>
    </row>
    <row r="1228" spans="1:11" ht="12.75" customHeight="1">
      <c r="A1228" s="28"/>
      <c r="B1228" s="29"/>
      <c r="C1228" s="30" t="str">
        <f>IFERROR(_xlfn.XLOOKUP(B1228,Insumo[DESCRIPCION],Insumo[UND],,0),"")</f>
        <v/>
      </c>
      <c r="D1228" s="31"/>
      <c r="E1228" s="32" t="str">
        <f>IFERROR(_xlfn.XLOOKUP($B1228,Insumo[DESCRIPCION],Insumo[VALOR],,0),"")</f>
        <v/>
      </c>
      <c r="F1228" s="33"/>
      <c r="G1228" s="34" t="str">
        <f>IFERROR(IF(F1228&gt;=0,D1228*E1228*(1+F1228/100),ABS(D1228*E1228/F1228)),"")</f>
        <v/>
      </c>
      <c r="H1228" s="43" t="str">
        <f>IFERROR(G1228*E1224,"")</f>
        <v/>
      </c>
    </row>
    <row r="1229" spans="1:11" ht="12.75" customHeight="1">
      <c r="A1229" s="28"/>
      <c r="B1229" s="29"/>
      <c r="C1229" s="30" t="str">
        <f>IFERROR(_xlfn.XLOOKUP(B1229,Insumo[DESCRIPCION],Insumo[UND],,0),"")</f>
        <v/>
      </c>
      <c r="D1229" s="31"/>
      <c r="E1229" s="32" t="str">
        <f>IFERROR(_xlfn.XLOOKUP($B1229,Insumo[DESCRIPCION],Insumo[VALOR],,0),"")</f>
        <v/>
      </c>
      <c r="F1229" s="33"/>
      <c r="G1229" s="34" t="str">
        <f>IFERROR(IF(F1229&gt;=0,D1229*E1229*(1+F1229/100),ABS(D1229*E1229/F1229)),"")</f>
        <v/>
      </c>
      <c r="H1229" s="43" t="str">
        <f>IFERROR(G1229*E1224,"")</f>
        <v/>
      </c>
    </row>
    <row r="1230" spans="1:11" ht="12.75" customHeight="1">
      <c r="A1230" s="28"/>
      <c r="B1230" s="29"/>
      <c r="C1230" s="30" t="str">
        <f>IFERROR(_xlfn.XLOOKUP(B1230,Insumo[DESCRIPCION],Insumo[UND],,0),"")</f>
        <v/>
      </c>
      <c r="D1230" s="31"/>
      <c r="E1230" s="32" t="str">
        <f>IFERROR(_xlfn.XLOOKUP($B1230,Insumo[DESCRIPCION],Insumo[VALOR],,0),"")</f>
        <v/>
      </c>
      <c r="F1230" s="33"/>
      <c r="G1230" s="34" t="str">
        <f>IFERROR(IF(F1230&gt;=0,D1230*E1230*(1+F1230/100),ABS(D1230*E1230/F1230)),"")</f>
        <v/>
      </c>
      <c r="H1230" s="43" t="str">
        <f>IFERROR(G1230*E1224,"")</f>
        <v/>
      </c>
    </row>
    <row r="1231" spans="1:11" ht="12.75" customHeight="1">
      <c r="A1231" s="28"/>
      <c r="B1231" s="29"/>
      <c r="C1231" s="30" t="str">
        <f>IFERROR(_xlfn.XLOOKUP(B1231,Insumo[DESCRIPCION],Insumo[UND],,0),"")</f>
        <v/>
      </c>
      <c r="D1231" s="31"/>
      <c r="E1231" s="32" t="str">
        <f>IFERROR(_xlfn.XLOOKUP($B1231,Insumo[DESCRIPCION],Insumo[VALOR],,0),"")</f>
        <v/>
      </c>
      <c r="F1231" s="33"/>
      <c r="G1231" s="34" t="str">
        <f>IFERROR(IF(F1231&gt;=0,D1231*E1231*(1+F1231/100),ABS(D1231*E1231/F1231)),"")</f>
        <v/>
      </c>
      <c r="H1231" s="43" t="str">
        <f>IFERROR(G1231*E1224,"")</f>
        <v/>
      </c>
    </row>
    <row r="1232" spans="1:11" ht="12.75" customHeight="1">
      <c r="A1232" s="21"/>
      <c r="B1232" s="22" t="s">
        <v>3731</v>
      </c>
      <c r="C1232" s="23"/>
      <c r="D1232" s="24"/>
      <c r="E1232" s="25"/>
      <c r="F1232" s="26"/>
      <c r="G1232" s="27">
        <f>SUM(G1233:G1235)</f>
        <v>1994.9774352183333</v>
      </c>
      <c r="H1232" s="44">
        <f>G1232*E1224</f>
        <v>0</v>
      </c>
    </row>
    <row r="1233" spans="1:11" ht="12.75" customHeight="1">
      <c r="A1233" s="28"/>
      <c r="B1233" s="29" t="s">
        <v>3659</v>
      </c>
      <c r="C1233" s="30" t="str">
        <f>IFERROR(_xlfn.XLOOKUP(B1233,Equipo[DESCRIPCION],Equipo[UND],,0),"")</f>
        <v>Hr</v>
      </c>
      <c r="D1233" s="31">
        <v>1</v>
      </c>
      <c r="E1233" s="32">
        <f>IF(C1233="%MO",G1239,IFERROR(_xlfn.XLOOKUP($B1233,Equipo[DESCRIPCION],Equipo[VALOR],,0),""))</f>
        <v>89250</v>
      </c>
      <c r="F1233" s="33">
        <v>-45</v>
      </c>
      <c r="G1233" s="34">
        <f>IFERROR(IF(F1233&gt;=0,D1233*E1233*(1+F1233/100),ABS(D1233*E1233/F1233)),"")</f>
        <v>1983.3333333333333</v>
      </c>
      <c r="H1233" s="43">
        <f>IFERROR(G1233*E1224,"")</f>
        <v>0</v>
      </c>
    </row>
    <row r="1234" spans="1:11" ht="12.75" customHeight="1">
      <c r="A1234" s="28"/>
      <c r="B1234" s="29" t="s">
        <v>3626</v>
      </c>
      <c r="C1234" s="30" t="str">
        <f>IFERROR(_xlfn.XLOOKUP(B1234,Equipo[DESCRIPCION],Equipo[UND],,0),"")</f>
        <v>%MO</v>
      </c>
      <c r="D1234" s="31">
        <v>0.05</v>
      </c>
      <c r="E1234" s="32">
        <f>IF(C1234="%MO",G1239,IFERROR(_xlfn.XLOOKUP($B1234,Equipo[DESCRIPCION],Equipo[VALOR],,0),""))</f>
        <v>232.88203770000004</v>
      </c>
      <c r="F1234" s="33"/>
      <c r="G1234" s="34">
        <f>IFERROR(IF(F1234&gt;=0,D1234*E1234*(1+F1234/100),ABS(D1234*E1234/F1234)),"")</f>
        <v>11.644101885000003</v>
      </c>
      <c r="H1234" s="43">
        <f>IFERROR(G1234*E1224,"")</f>
        <v>0</v>
      </c>
    </row>
    <row r="1235" spans="1:11" ht="12.75" customHeight="1">
      <c r="A1235" s="28"/>
      <c r="B1235" s="29"/>
      <c r="C1235" s="30" t="str">
        <f>IFERROR(_xlfn.XLOOKUP(B1235,Equipo[DESCRIPCION],Equipo[UND],,0),"")</f>
        <v/>
      </c>
      <c r="D1235" s="31"/>
      <c r="E1235" s="32" t="str">
        <f>IF(C1235="%MO",G1239,IFERROR(_xlfn.XLOOKUP($B1235,Equipo[DESCRIPCION],Equipo[VALOR],,0),""))</f>
        <v/>
      </c>
      <c r="F1235" s="33"/>
      <c r="G1235" s="34" t="str">
        <f>IFERROR(IF(F1235&gt;=0,D1235*E1235*(1+F1235/100),ABS(D1235*E1235/F1235)),"")</f>
        <v/>
      </c>
      <c r="H1235" s="43" t="str">
        <f>IFERROR(G1235*E1224,"")</f>
        <v/>
      </c>
    </row>
    <row r="1236" spans="1:11" ht="12.75" customHeight="1">
      <c r="A1236" s="21"/>
      <c r="B1236" s="22" t="s">
        <v>2533</v>
      </c>
      <c r="C1236" s="23"/>
      <c r="D1236" s="24"/>
      <c r="E1236" s="25"/>
      <c r="F1236" s="26"/>
      <c r="G1236" s="27">
        <f>SUM(G1237:G1238)</f>
        <v>0</v>
      </c>
      <c r="H1236" s="44">
        <f>G1236*E1224</f>
        <v>0</v>
      </c>
    </row>
    <row r="1237" spans="1:11" ht="12.75" customHeight="1">
      <c r="A1237" s="28"/>
      <c r="B1237" s="29"/>
      <c r="C1237" s="30" t="str">
        <f>IFERROR(_xlfn.XLOOKUP(B1237,Transporte[DESCRIPCION],Transporte[UND],,0),"")</f>
        <v/>
      </c>
      <c r="D1237" s="31"/>
      <c r="E1237" s="32" t="str">
        <f>IFERROR(_xlfn.XLOOKUP($B1237,Transporte[DESCRIPCION],Transporte[VALOR],,0),"")</f>
        <v/>
      </c>
      <c r="F1237" s="33"/>
      <c r="G1237" s="34" t="str">
        <f>IFERROR(IF(F1237&gt;=0,D1237*E1237*(1+F1237/100),ABS(D1237*E1237/F1237)),"")</f>
        <v/>
      </c>
      <c r="H1237" s="43" t="str">
        <f>IFERROR(G1237*E1224,"")</f>
        <v/>
      </c>
    </row>
    <row r="1238" spans="1:11" ht="12.75" customHeight="1">
      <c r="A1238" s="28"/>
      <c r="B1238" s="29"/>
      <c r="C1238" s="30" t="str">
        <f>IFERROR(_xlfn.XLOOKUP(B1238,Transporte[DESCRIPCION],Transporte[UND],,0),"")</f>
        <v/>
      </c>
      <c r="D1238" s="31"/>
      <c r="E1238" s="32" t="str">
        <f>IFERROR(_xlfn.XLOOKUP($B1238,Transporte[DESCRIPCION],Transporte[VALOR],,0),"")</f>
        <v/>
      </c>
      <c r="F1238" s="33"/>
      <c r="G1238" s="34" t="str">
        <f>IFERROR(IF(F1238&gt;=0,D1238*E1238*(1+F1238/100),ABS(D1238*E1238/F1238)),"")</f>
        <v/>
      </c>
      <c r="H1238" s="43" t="str">
        <f>IFERROR(G1238*E1224,"")</f>
        <v/>
      </c>
    </row>
    <row r="1239" spans="1:11" ht="12.75" customHeight="1">
      <c r="A1239" s="21"/>
      <c r="B1239" s="22" t="s">
        <v>3732</v>
      </c>
      <c r="C1239" s="23"/>
      <c r="D1239" s="24"/>
      <c r="E1239" s="25"/>
      <c r="F1239" s="26"/>
      <c r="G1239" s="27">
        <f>SUM(G1240:G1242)</f>
        <v>232.88203770000004</v>
      </c>
      <c r="H1239" s="44">
        <f>G1239*E1224</f>
        <v>0</v>
      </c>
    </row>
    <row r="1240" spans="1:11" ht="12.75" customHeight="1">
      <c r="A1240" s="28"/>
      <c r="B1240" s="29" t="s">
        <v>3698</v>
      </c>
      <c r="C1240" s="30" t="str">
        <f>IFERROR(_xlfn.XLOOKUP(B1240,MObra[DESCRIPCION],MObra[UN],,0),"")</f>
        <v>día</v>
      </c>
      <c r="D1240" s="31">
        <v>1</v>
      </c>
      <c r="E1240" s="32">
        <f>IFERROR(_xlfn.XLOOKUP($B1240,MObra[DESCRIPCION],MObra[VALOR UNIT],,0),"")</f>
        <v>116441.01885000002</v>
      </c>
      <c r="F1240" s="33">
        <v>-500</v>
      </c>
      <c r="G1240" s="34">
        <f>IFERROR(IF(F1240&gt;=0,D1240*E1240*(1+F1240/100),ABS(D1240*E1240/F1240)),"")</f>
        <v>232.88203770000004</v>
      </c>
      <c r="H1240" s="43">
        <f>IFERROR(G1240*E1224,"")</f>
        <v>0</v>
      </c>
    </row>
    <row r="1241" spans="1:11" ht="12.75" customHeight="1">
      <c r="A1241" s="28"/>
      <c r="B1241" s="29"/>
      <c r="C1241" s="30" t="str">
        <f>IFERROR(_xlfn.XLOOKUP(B1241,MObra[DESCRIPCION],MObra[UN],,0),"")</f>
        <v/>
      </c>
      <c r="D1241" s="31"/>
      <c r="E1241" s="32" t="str">
        <f>IFERROR(_xlfn.XLOOKUP($B1241,MObra[DESCRIPCION],MObra[VALOR UNIT],,0),"")</f>
        <v/>
      </c>
      <c r="F1241" s="33"/>
      <c r="G1241" s="34" t="str">
        <f>IFERROR(IF(F1241&gt;=0,D1241*E1241*(1+F1241/100),ABS(D1241*E1241/F1241)),"")</f>
        <v/>
      </c>
      <c r="H1241" s="43" t="str">
        <f>IFERROR(G1241*E1224,"")</f>
        <v/>
      </c>
    </row>
    <row r="1242" spans="1:11" ht="12.75" customHeight="1" thickBot="1">
      <c r="A1242" s="35"/>
      <c r="B1242" s="36"/>
      <c r="C1242" s="37" t="str">
        <f>IFERROR(_xlfn.XLOOKUP(B1242,MObra[DESCRIPCION],MObra[UN],,0),"")</f>
        <v/>
      </c>
      <c r="D1242" s="38"/>
      <c r="E1242" s="39" t="str">
        <f>IFERROR(_xlfn.XLOOKUP($B1242,MObra[DESCRIPCION],MObra[VALOR UNIT],,0),"")</f>
        <v/>
      </c>
      <c r="F1242" s="40"/>
      <c r="G1242" s="41" t="str">
        <f>IFERROR(IF(F1242&gt;=0,D1242*E1242*(1+F1242/100),ABS(D1242*E1242/F1242)),"")</f>
        <v/>
      </c>
      <c r="H1242" s="42" t="str">
        <f>IFERROR(G1242*E1224,"")</f>
        <v/>
      </c>
    </row>
    <row r="1243" spans="1:11" ht="12.75" customHeight="1" thickTop="1" thickBot="1"/>
    <row r="1244" spans="1:11" ht="12.75" customHeight="1" thickTop="1" thickBot="1">
      <c r="A1244" s="6" t="s">
        <v>2556</v>
      </c>
      <c r="B1244" s="7" t="str">
        <f>VLOOKUP($A1244,Presupuesto!$A:$D,2,FALSE())</f>
        <v>Transporte y disposición de basuras en relleno sanitario</v>
      </c>
      <c r="C1244" s="8" t="str">
        <f>VLOOKUP($A1244,Presupuesto!$A:$D,3,FALSE())</f>
        <v>M3</v>
      </c>
      <c r="D1244" s="9"/>
      <c r="E1244" s="10">
        <f>VLOOKUP($A1244,Presupuesto!$A:$D,4,FALSE())</f>
        <v>0</v>
      </c>
      <c r="F1244" s="11" t="s">
        <v>2589</v>
      </c>
      <c r="G1244" s="12">
        <f>SUM(G1246:G1262)/2</f>
        <v>69424.516521150013</v>
      </c>
      <c r="H1244" s="13">
        <f>ROUND(SUM(H1246:H1262),0)/2</f>
        <v>0</v>
      </c>
      <c r="I1244" s="10">
        <f>VLOOKUP(A1244,Presupuesto!$A:$F,6,0)</f>
        <v>0</v>
      </c>
      <c r="J1244" s="10">
        <f>+H1244-I1244</f>
        <v>0</v>
      </c>
      <c r="K1244" s="46">
        <f>+H1244-G1244*E1244</f>
        <v>0</v>
      </c>
    </row>
    <row r="1245" spans="1:11" ht="12.75" customHeight="1" thickTop="1">
      <c r="A1245" s="14"/>
      <c r="B1245" s="15" t="s">
        <v>2586</v>
      </c>
      <c r="C1245" s="15" t="s">
        <v>5</v>
      </c>
      <c r="D1245" s="16" t="s">
        <v>6</v>
      </c>
      <c r="E1245" s="17" t="s">
        <v>7</v>
      </c>
      <c r="F1245" s="18" t="s">
        <v>3728</v>
      </c>
      <c r="G1245" s="19" t="s">
        <v>3729</v>
      </c>
      <c r="H1245" s="20" t="s">
        <v>3797</v>
      </c>
    </row>
    <row r="1246" spans="1:11" ht="12.75" customHeight="1">
      <c r="A1246" s="21"/>
      <c r="B1246" s="22" t="s">
        <v>3730</v>
      </c>
      <c r="C1246" s="23"/>
      <c r="D1246" s="24"/>
      <c r="E1246" s="25"/>
      <c r="F1246" s="26"/>
      <c r="G1246" s="27">
        <f>SUM(G1247:G1251)</f>
        <v>5114.55</v>
      </c>
      <c r="H1246" s="27">
        <f>IFERROR(G1246*E1244,"")</f>
        <v>0</v>
      </c>
    </row>
    <row r="1247" spans="1:11" ht="12.75" customHeight="1">
      <c r="A1247" s="28"/>
      <c r="B1247" s="29" t="s">
        <v>3369</v>
      </c>
      <c r="C1247" s="30" t="str">
        <f>IFERROR(_xlfn.XLOOKUP(B1247,Insumo[DESCRIPCION],Insumo[UND],,0),"")</f>
        <v>M3</v>
      </c>
      <c r="D1247" s="31">
        <v>1</v>
      </c>
      <c r="E1247" s="32">
        <f>IFERROR(_xlfn.XLOOKUP($B1247,Insumo[DESCRIPCION],Insumo[VALOR],,0),"")</f>
        <v>5114.55</v>
      </c>
      <c r="F1247" s="33"/>
      <c r="G1247" s="34">
        <f>IFERROR(IF(F1247&gt;=0,D1247*E1247*(1+F1247/100),ABS(D1247*E1247/F1247)),"")</f>
        <v>5114.55</v>
      </c>
      <c r="H1247" s="43">
        <f>IFERROR(G1247*E1244,"")</f>
        <v>0</v>
      </c>
    </row>
    <row r="1248" spans="1:11" ht="12.75" customHeight="1">
      <c r="A1248" s="28"/>
      <c r="B1248" s="29"/>
      <c r="C1248" s="30" t="str">
        <f>IFERROR(_xlfn.XLOOKUP(B1248,Insumo[DESCRIPCION],Insumo[UND],,0),"")</f>
        <v/>
      </c>
      <c r="D1248" s="31"/>
      <c r="E1248" s="32" t="str">
        <f>IFERROR(_xlfn.XLOOKUP($B1248,Insumo[DESCRIPCION],Insumo[VALOR],,0),"")</f>
        <v/>
      </c>
      <c r="F1248" s="33"/>
      <c r="G1248" s="34" t="str">
        <f>IFERROR(IF(F1248&gt;=0,D1248*E1248*(1+F1248/100),ABS(D1248*E1248/F1248)),"")</f>
        <v/>
      </c>
      <c r="H1248" s="43" t="str">
        <f>IFERROR(G1248*E1244,"")</f>
        <v/>
      </c>
    </row>
    <row r="1249" spans="1:8" ht="12.75" customHeight="1">
      <c r="A1249" s="28"/>
      <c r="B1249" s="29"/>
      <c r="C1249" s="30" t="str">
        <f>IFERROR(_xlfn.XLOOKUP(B1249,Insumo[DESCRIPCION],Insumo[UND],,0),"")</f>
        <v/>
      </c>
      <c r="D1249" s="31"/>
      <c r="E1249" s="32" t="str">
        <f>IFERROR(_xlfn.XLOOKUP($B1249,Insumo[DESCRIPCION],Insumo[VALOR],,0),"")</f>
        <v/>
      </c>
      <c r="F1249" s="33"/>
      <c r="G1249" s="34" t="str">
        <f>IFERROR(IF(F1249&gt;=0,D1249*E1249*(1+F1249/100),ABS(D1249*E1249/F1249)),"")</f>
        <v/>
      </c>
      <c r="H1249" s="43" t="str">
        <f>IFERROR(G1249*E1244,"")</f>
        <v/>
      </c>
    </row>
    <row r="1250" spans="1:8" ht="12.75" customHeight="1">
      <c r="A1250" s="28"/>
      <c r="B1250" s="29"/>
      <c r="C1250" s="30" t="str">
        <f>IFERROR(_xlfn.XLOOKUP(B1250,Insumo[DESCRIPCION],Insumo[UND],,0),"")</f>
        <v/>
      </c>
      <c r="D1250" s="31"/>
      <c r="E1250" s="32" t="str">
        <f>IFERROR(_xlfn.XLOOKUP($B1250,Insumo[DESCRIPCION],Insumo[VALOR],,0),"")</f>
        <v/>
      </c>
      <c r="F1250" s="33"/>
      <c r="G1250" s="34" t="str">
        <f>IFERROR(IF(F1250&gt;=0,D1250*E1250*(1+F1250/100),ABS(D1250*E1250/F1250)),"")</f>
        <v/>
      </c>
      <c r="H1250" s="43" t="str">
        <f>IFERROR(G1250*E1244,"")</f>
        <v/>
      </c>
    </row>
    <row r="1251" spans="1:8" ht="12.75" customHeight="1">
      <c r="A1251" s="28"/>
      <c r="B1251" s="29"/>
      <c r="C1251" s="30" t="str">
        <f>IFERROR(_xlfn.XLOOKUP(B1251,Insumo[DESCRIPCION],Insumo[UND],,0),"")</f>
        <v/>
      </c>
      <c r="D1251" s="31"/>
      <c r="E1251" s="32" t="str">
        <f>IFERROR(_xlfn.XLOOKUP($B1251,Insumo[DESCRIPCION],Insumo[VALOR],,0),"")</f>
        <v/>
      </c>
      <c r="F1251" s="33"/>
      <c r="G1251" s="34" t="str">
        <f>IFERROR(IF(F1251&gt;=0,D1251*E1251*(1+F1251/100),ABS(D1251*E1251/F1251)),"")</f>
        <v/>
      </c>
      <c r="H1251" s="43" t="str">
        <f>IFERROR(G1251*E1244,"")</f>
        <v/>
      </c>
    </row>
    <row r="1252" spans="1:8" ht="12.75" customHeight="1">
      <c r="A1252" s="21"/>
      <c r="B1252" s="22" t="s">
        <v>3731</v>
      </c>
      <c r="C1252" s="23"/>
      <c r="D1252" s="24"/>
      <c r="E1252" s="25"/>
      <c r="F1252" s="26"/>
      <c r="G1252" s="27">
        <f>SUM(G1253:G1255)</f>
        <v>20062.379358149999</v>
      </c>
      <c r="H1252" s="44">
        <f>G1252*E1244</f>
        <v>0</v>
      </c>
    </row>
    <row r="1253" spans="1:8" ht="12.75" customHeight="1">
      <c r="A1253" s="28"/>
      <c r="B1253" s="29" t="s">
        <v>3659</v>
      </c>
      <c r="C1253" s="30" t="str">
        <f>IFERROR(_xlfn.XLOOKUP(B1253,Equipo[DESCRIPCION],Equipo[UND],,0),"")</f>
        <v>Hr</v>
      </c>
      <c r="D1253" s="31">
        <v>1</v>
      </c>
      <c r="E1253" s="32">
        <f>IF(C1253="%MO",G1259,IFERROR(_xlfn.XLOOKUP($B1253,Equipo[DESCRIPCION],Equipo[VALOR],,0),""))</f>
        <v>89250</v>
      </c>
      <c r="F1253" s="33">
        <v>-5</v>
      </c>
      <c r="G1253" s="34">
        <f>IFERROR(IF(F1253&gt;=0,D1253*E1253*(1+F1253/100),ABS(D1253*E1253/F1253)),"")</f>
        <v>17850</v>
      </c>
      <c r="H1253" s="43">
        <f>IFERROR(G1253*E1244,"")</f>
        <v>0</v>
      </c>
    </row>
    <row r="1254" spans="1:8" ht="12.75" customHeight="1">
      <c r="A1254" s="28"/>
      <c r="B1254" s="29" t="s">
        <v>3626</v>
      </c>
      <c r="C1254" s="30" t="str">
        <f>IFERROR(_xlfn.XLOOKUP(B1254,Equipo[DESCRIPCION],Equipo[UND],,0),"")</f>
        <v>%MO</v>
      </c>
      <c r="D1254" s="31">
        <v>0.05</v>
      </c>
      <c r="E1254" s="32">
        <f>IF(C1254="%MO",G1259,IFERROR(_xlfn.XLOOKUP($B1254,Equipo[DESCRIPCION],Equipo[VALOR],,0),""))</f>
        <v>44247.587163000011</v>
      </c>
      <c r="F1254" s="33"/>
      <c r="G1254" s="34">
        <f>IFERROR(IF(F1254&gt;=0,D1254*E1254*(1+F1254/100),ABS(D1254*E1254/F1254)),"")</f>
        <v>2212.3793581500008</v>
      </c>
      <c r="H1254" s="43">
        <f>IFERROR(G1254*E1244,"")</f>
        <v>0</v>
      </c>
    </row>
    <row r="1255" spans="1:8" ht="12.75" customHeight="1">
      <c r="A1255" s="28"/>
      <c r="B1255" s="29"/>
      <c r="C1255" s="30" t="str">
        <f>IFERROR(_xlfn.XLOOKUP(B1255,Equipo[DESCRIPCION],Equipo[UND],,0),"")</f>
        <v/>
      </c>
      <c r="D1255" s="31"/>
      <c r="E1255" s="32" t="str">
        <f>IF(C1255="%MO",G1259,IFERROR(_xlfn.XLOOKUP($B1255,Equipo[DESCRIPCION],Equipo[VALOR],,0),""))</f>
        <v/>
      </c>
      <c r="F1255" s="33"/>
      <c r="G1255" s="34" t="str">
        <f>IFERROR(IF(F1255&gt;=0,D1255*E1255*(1+F1255/100),ABS(D1255*E1255/F1255)),"")</f>
        <v/>
      </c>
      <c r="H1255" s="43" t="str">
        <f>IFERROR(G1255*E1244,"")</f>
        <v/>
      </c>
    </row>
    <row r="1256" spans="1:8" ht="12.75" customHeight="1">
      <c r="A1256" s="21"/>
      <c r="B1256" s="22" t="s">
        <v>2533</v>
      </c>
      <c r="C1256" s="23"/>
      <c r="D1256" s="24"/>
      <c r="E1256" s="25"/>
      <c r="F1256" s="26"/>
      <c r="G1256" s="27">
        <f>SUM(G1257:G1258)</f>
        <v>0</v>
      </c>
      <c r="H1256" s="44">
        <f>G1256*E1244</f>
        <v>0</v>
      </c>
    </row>
    <row r="1257" spans="1:8" ht="12.75" customHeight="1">
      <c r="A1257" s="28"/>
      <c r="B1257" s="29"/>
      <c r="C1257" s="30" t="str">
        <f>IFERROR(_xlfn.XLOOKUP(B1257,Transporte[DESCRIPCION],Transporte[UND],,0),"")</f>
        <v/>
      </c>
      <c r="D1257" s="31"/>
      <c r="E1257" s="32" t="str">
        <f>IFERROR(_xlfn.XLOOKUP($B1257,Transporte[DESCRIPCION],Transporte[VALOR],,0),"")</f>
        <v/>
      </c>
      <c r="F1257" s="33"/>
      <c r="G1257" s="34" t="str">
        <f>IFERROR(IF(F1257&gt;=0,D1257*E1257*(1+F1257/100),ABS(D1257*E1257/F1257)),"")</f>
        <v/>
      </c>
      <c r="H1257" s="43" t="str">
        <f>IFERROR(G1257*E1244,"")</f>
        <v/>
      </c>
    </row>
    <row r="1258" spans="1:8" ht="12.75" customHeight="1">
      <c r="A1258" s="28"/>
      <c r="B1258" s="29"/>
      <c r="C1258" s="30" t="str">
        <f>IFERROR(_xlfn.XLOOKUP(B1258,Transporte[DESCRIPCION],Transporte[UND],,0),"")</f>
        <v/>
      </c>
      <c r="D1258" s="31"/>
      <c r="E1258" s="32" t="str">
        <f>IFERROR(_xlfn.XLOOKUP($B1258,Transporte[DESCRIPCION],Transporte[VALOR],,0),"")</f>
        <v/>
      </c>
      <c r="F1258" s="33"/>
      <c r="G1258" s="34" t="str">
        <f>IFERROR(IF(F1258&gt;=0,D1258*E1258*(1+F1258/100),ABS(D1258*E1258/F1258)),"")</f>
        <v/>
      </c>
      <c r="H1258" s="43" t="str">
        <f>IFERROR(G1258*E1244,"")</f>
        <v/>
      </c>
    </row>
    <row r="1259" spans="1:8" ht="12.75" customHeight="1">
      <c r="A1259" s="21"/>
      <c r="B1259" s="22" t="s">
        <v>3732</v>
      </c>
      <c r="C1259" s="23"/>
      <c r="D1259" s="24"/>
      <c r="E1259" s="25"/>
      <c r="F1259" s="26"/>
      <c r="G1259" s="27">
        <f>SUM(G1260:G1262)</f>
        <v>44247.587163000011</v>
      </c>
      <c r="H1259" s="44">
        <f>G1259*E1244</f>
        <v>0</v>
      </c>
    </row>
    <row r="1260" spans="1:8" ht="12.75" customHeight="1">
      <c r="A1260" s="28"/>
      <c r="B1260" s="29" t="s">
        <v>3713</v>
      </c>
      <c r="C1260" s="30" t="str">
        <f>IFERROR(_xlfn.XLOOKUP(B1260,MObra[DESCRIPCION],MObra[UN],,0),"")</f>
        <v>día</v>
      </c>
      <c r="D1260" s="31">
        <v>1</v>
      </c>
      <c r="E1260" s="32">
        <f>IFERROR(_xlfn.XLOOKUP($B1260,MObra[DESCRIPCION],MObra[VALOR UNIT],,0),"")</f>
        <v>663713.80744500016</v>
      </c>
      <c r="F1260" s="33">
        <v>-15</v>
      </c>
      <c r="G1260" s="34">
        <f>IFERROR(IF(F1260&gt;=0,D1260*E1260*(1+F1260/100),ABS(D1260*E1260/F1260)),"")</f>
        <v>44247.587163000011</v>
      </c>
      <c r="H1260" s="43">
        <f>IFERROR(G1260*E1244,"")</f>
        <v>0</v>
      </c>
    </row>
    <row r="1261" spans="1:8" ht="12.75" customHeight="1">
      <c r="A1261" s="28"/>
      <c r="B1261" s="29"/>
      <c r="C1261" s="30" t="str">
        <f>IFERROR(_xlfn.XLOOKUP(B1261,MObra[DESCRIPCION],MObra[UN],,0),"")</f>
        <v/>
      </c>
      <c r="D1261" s="31"/>
      <c r="E1261" s="32" t="str">
        <f>IFERROR(_xlfn.XLOOKUP($B1261,MObra[DESCRIPCION],MObra[VALOR UNIT],,0),"")</f>
        <v/>
      </c>
      <c r="F1261" s="33"/>
      <c r="G1261" s="34" t="str">
        <f>IFERROR(IF(F1261&gt;=0,D1261*E1261*(1+F1261/100),ABS(D1261*E1261/F1261)),"")</f>
        <v/>
      </c>
      <c r="H1261" s="43" t="str">
        <f>IFERROR(G1261*E1244,"")</f>
        <v/>
      </c>
    </row>
    <row r="1262" spans="1:8" ht="12.75" customHeight="1" thickBot="1">
      <c r="A1262" s="35"/>
      <c r="B1262" s="36"/>
      <c r="C1262" s="37" t="str">
        <f>IFERROR(_xlfn.XLOOKUP(B1262,MObra[DESCRIPCION],MObra[UN],,0),"")</f>
        <v/>
      </c>
      <c r="D1262" s="38"/>
      <c r="E1262" s="39" t="str">
        <f>IFERROR(_xlfn.XLOOKUP($B1262,MObra[DESCRIPCION],MObra[VALOR UNIT],,0),"")</f>
        <v/>
      </c>
      <c r="F1262" s="40"/>
      <c r="G1262" s="41" t="str">
        <f>IFERROR(IF(F1262&gt;=0,D1262*E1262*(1+F1262/100),ABS(D1262*E1262/F1262)),"")</f>
        <v/>
      </c>
      <c r="H1262" s="42" t="str">
        <f>IFERROR(G1262*E1244,"")</f>
        <v/>
      </c>
    </row>
    <row r="1263" spans="1:8" ht="12.75" customHeight="1" thickTop="1"/>
    <row r="1271" spans="2:2" ht="12.75" customHeight="1">
      <c r="B1271" s="51"/>
    </row>
  </sheetData>
  <mergeCells count="3">
    <mergeCell ref="B1:G1"/>
    <mergeCell ref="B2:G2"/>
    <mergeCell ref="B3:G3"/>
  </mergeCells>
  <dataValidations count="1">
    <dataValidation type="list" allowBlank="1" showInputMessage="1" showErrorMessage="1" sqref="B7:B11 B27:B31 B47:B51 B67:B71 B87:B91 B107:B111 B127:B131 B143 B147:B151 B163 B167:B171 B187:B191 B207:B211 B223 B227:B231 B247:B251 B307:B311 B327:B331 B387:B391 B347:B351 B367:B371 B427:B431 B447:B451 B463 B467:B471 B527:B531 B547:B551 B567:B571 B587:B591 B487:B491 B623 B627:B631 B643 B647:B651 B667:B671 B607:B611 B687:B691 B707:B711 B407:B411 B803 B807:B811 B827:B831 B1247:B1251 B847:B851 B883 B887:B891 B907:B911 B927:B931 B947:B951 B1007:B1011 B987:B991 B1003 B507:B511 B1027:B1031 B787:B791 B267:B271 B287:B291 B727:B731 B967:B971 B747:B751 B767:B771 B1047:B1051 B1067:B1071 B1087:B1091 B1107:B1111 B1127:B1131 B1147:B1151 B1167:B1171 B1187:B1191 B1203 B1207:B1211 B1227:B1231 B867:B871" xr:uid="{00000000-0002-0000-2000-000000000000}">
      <formula1>Desinsum</formula1>
      <formula2>0</formula2>
    </dataValidation>
  </dataValidations>
  <printOptions horizontalCentered="1"/>
  <pageMargins left="0.59055118110236227" right="0.59055118110236227" top="0.59055118110236227" bottom="0.59055118110236227" header="0.51181102362204722" footer="0.51181102362204722"/>
  <pageSetup scale="65" orientation="portrait" horizontalDpi="300" verticalDpi="300" r:id="rId1"/>
  <rowBreaks count="15" manualBreakCount="15">
    <brk id="82" max="6" man="1"/>
    <brk id="162" max="6" man="1"/>
    <brk id="242" max="6" man="1"/>
    <brk id="322" max="6" man="1"/>
    <brk id="402" max="6" man="1"/>
    <brk id="482" max="6" man="1"/>
    <brk id="562" max="6" man="1"/>
    <brk id="642" max="6" man="1"/>
    <brk id="722" max="6" man="1"/>
    <brk id="802" max="6" man="1"/>
    <brk id="882" max="6" man="1"/>
    <brk id="962" max="6" man="1"/>
    <brk id="1042" max="6" man="1"/>
    <brk id="1122" max="6" man="1"/>
    <brk id="1202" max="6" man="1"/>
  </rowBreaks>
  <colBreaks count="1" manualBreakCount="1">
    <brk id="7" max="1048575" man="1"/>
  </colBreaks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2000-000001000000}">
          <x14:formula1>
            <xm:f>'Mano de obra'!$B$31:$B$58</xm:f>
          </x14:formula1>
          <x14:formula2>
            <xm:f>0</xm:f>
          </x14:formula2>
          <xm:sqref>B20:B22 B40:B42 B60:B62 B80:B82 B100:B102 B120:B122 B140:B142 B160:B162 B180:B182 B200:B202 B220:B222 B240:B242 B260:B262 B320:B322 B340:B342 B400:B402 B360:B362 B380:B382 B440:B442 B460:B462 B480:B482 B540:B542 B560:B562 B580:B582 B600:B602 B500:B502 B640:B642 B660:B662 B680:B682 B620:B622 B700:B702 B720:B722 B740:B742 B820:B822 B840:B842 B860:B862 B880:B882 B900:B902 B920:B922 B940:B942 B960:B962 B520:B522 B1000:B1002 B1020:B1022 B1040:B1042 B800:B802 B280:B282 B300:B302 B420:B422 B980:B982 B760:B762 B780:B782 B1060:B1062 B1080:B1082 B1100:B1102 B1120:B1122 B1140:B1142 B1160:B1162 B1180:B1182 B1200:B1202 B1220:B1222 B1240:B1242 B1260:B1262</xm:sqref>
        </x14:dataValidation>
        <x14:dataValidation type="list" allowBlank="1" showInputMessage="1" showErrorMessage="1" xr:uid="{00000000-0002-0000-2000-000002000000}">
          <x14:formula1>
            <xm:f>Transporte!$A$4:$A$9</xm:f>
          </x14:formula1>
          <x14:formula2>
            <xm:f>0</xm:f>
          </x14:formula2>
          <xm:sqref>B17:B18 B37:B38 B57:B58 B77:B78 B97:B98 B117:B118 B137:B138 B157:B158 B177:B178 B197:B198 B217:B218 B237:B238 B257:B258 B317:B318 B337:B338 B397:B398 B357:B358 B377:B378 B437:B438 B457:B458 B477:B478 B537:B538 B557:B558 B577:B578 B597:B598 B497:B498 B637:B638 B657:B658 B677:B678 B617:B618 B697:B698 B717:B718 B737:B738 B817:B818 B837:B838 B857:B858 B877:B878 B897:B898 B917:B918 B937:B938 B957:B958 B517:B518 B997:B998 B1017:B1018 B1037:B1038 B797:B798 B277:B278 B297:B298 B417:B418 B977:B978 B757:B758 B777:B778 B1057:B1058 B1077:B1078 B1097:B1098 B1117:B1118 B1137:B1138 B1157:B1158 B1177:B1178 B1197:B1198 B1217:B1218 B1237:B1238 B1257:B1258</xm:sqref>
        </x14:dataValidation>
        <x14:dataValidation type="list" allowBlank="1" showInputMessage="1" showErrorMessage="1" xr:uid="{00000000-0002-0000-2000-000003000000}">
          <x14:formula1>
            <xm:f>Equipo!$A$4:$A$90</xm:f>
          </x14:formula1>
          <x14:formula2>
            <xm:f>0</xm:f>
          </x14:formula2>
          <xm:sqref>B13:B15 B213:B215 B193:B195 B173:B175 B153:B155 B133:B135 B113:B115 B93:B95 B73:B75 B53:B55 B33:B35 B233:B235 B1033:B1035 B1013:B1015 B993:B995 B513:B515 B953:B955 B933:B935 B913:B915 B893:B895 B873:B875 B853:B855 B833:B835 B813:B815 B733:B735 B713:B715 B693:B695 B613:B615 B293:B295 B653:B655 B633:B635 B493:B495 B593:B595 B573:B575 B553:B555 B533:B535 B253:B255 B473:B475 B453:B455 B433:B435 B373:B375 B353:B355 B393:B395 B333:B335 B313:B315 B793:B795 B773:B775 B273:B275 B413:B415 B973:B975 B753:B755 B673:B675 B1053:B1055 B1093:B1095 B1233:B1235 B1213:B1215 B1193:B1195 B1173:B1175 B1153:B1155 B1133:B1135 B1113:B1115 B1253:B1255 B1073:B1075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tabColor rgb="FF92D050"/>
  </sheetPr>
  <dimension ref="A1:K1271"/>
  <sheetViews>
    <sheetView view="pageBreakPreview" zoomScale="90" zoomScaleNormal="70" zoomScalePageLayoutView="90" workbookViewId="0">
      <selection activeCell="D40" sqref="D40"/>
    </sheetView>
  </sheetViews>
  <sheetFormatPr baseColWidth="10" defaultColWidth="11.3984375" defaultRowHeight="12.75" customHeight="1"/>
  <cols>
    <col min="1" max="1" width="8.73046875" style="48" customWidth="1"/>
    <col min="2" max="2" width="65.73046875" style="3" customWidth="1"/>
    <col min="3" max="3" width="10.73046875" style="3" customWidth="1"/>
    <col min="4" max="4" width="11.73046875" style="3" customWidth="1"/>
    <col min="5" max="5" width="13.73046875" style="49" customWidth="1"/>
    <col min="6" max="6" width="12.73046875" style="3" customWidth="1"/>
    <col min="7" max="10" width="14.73046875" style="3" customWidth="1"/>
    <col min="11" max="11" width="10.73046875" style="3" customWidth="1"/>
    <col min="12" max="16384" width="11.3984375" style="3"/>
  </cols>
  <sheetData>
    <row r="1" spans="1:11">
      <c r="A1" s="1"/>
      <c r="B1" s="316" t="str">
        <f>Presupuesto!A1</f>
        <v>ALCALDIA DE PEREIRA</v>
      </c>
      <c r="C1" s="316"/>
      <c r="D1" s="316"/>
      <c r="E1" s="316"/>
      <c r="F1" s="316"/>
      <c r="G1" s="316"/>
      <c r="H1" s="2"/>
    </row>
    <row r="2" spans="1:11">
      <c r="A2" s="1"/>
      <c r="B2" s="316" t="str">
        <f>Presupuesto!A2</f>
        <v>VERSION O BASE DE DATOS ALCALDIA DE PEREIRA 2026</v>
      </c>
      <c r="C2" s="316"/>
      <c r="D2" s="316"/>
      <c r="E2" s="316"/>
      <c r="F2" s="316"/>
      <c r="G2" s="316"/>
      <c r="H2" s="2"/>
    </row>
    <row r="3" spans="1:11" ht="14.85" customHeight="1">
      <c r="A3" s="4"/>
      <c r="B3" s="323" t="s">
        <v>3796</v>
      </c>
      <c r="C3" s="323"/>
      <c r="D3" s="323"/>
      <c r="E3" s="323"/>
      <c r="F3" s="323"/>
      <c r="G3" s="323"/>
      <c r="H3" s="5"/>
    </row>
    <row r="4" spans="1:11">
      <c r="A4" s="6" t="s">
        <v>2560</v>
      </c>
      <c r="B4" s="7">
        <f>VLOOKUP($A4,Presupuesto!$A:$D,2,FALSE())</f>
        <v>0</v>
      </c>
      <c r="C4" s="8" t="str">
        <f>VLOOKUP($A4,Presupuesto!$A:$D,3,FALSE())</f>
        <v>M2</v>
      </c>
      <c r="D4" s="9"/>
      <c r="E4" s="10">
        <f>VLOOKUP($A4,Presupuesto!$A:$D,4,FALSE())</f>
        <v>0</v>
      </c>
      <c r="F4" s="11" t="s">
        <v>2589</v>
      </c>
      <c r="G4" s="12">
        <f>SUM(G6:G22)/2</f>
        <v>88260.74856049502</v>
      </c>
      <c r="H4" s="13">
        <f>ROUND(SUM(H6:H22),0)/2</f>
        <v>0</v>
      </c>
      <c r="I4" s="10">
        <f>VLOOKUP(A4,Presupuesto!$A:$F,6,0)</f>
        <v>0</v>
      </c>
      <c r="J4" s="10">
        <f>+H4-I4</f>
        <v>0</v>
      </c>
      <c r="K4" s="46">
        <f>+H4-G4*E4</f>
        <v>0</v>
      </c>
    </row>
    <row r="5" spans="1:11">
      <c r="A5" s="14"/>
      <c r="B5" s="15" t="s">
        <v>2586</v>
      </c>
      <c r="C5" s="15" t="s">
        <v>5</v>
      </c>
      <c r="D5" s="16" t="s">
        <v>6</v>
      </c>
      <c r="E5" s="17" t="s">
        <v>7</v>
      </c>
      <c r="F5" s="18" t="s">
        <v>3728</v>
      </c>
      <c r="G5" s="19" t="s">
        <v>3729</v>
      </c>
      <c r="H5" s="20" t="s">
        <v>3797</v>
      </c>
    </row>
    <row r="6" spans="1:11">
      <c r="A6" s="21"/>
      <c r="B6" s="22" t="s">
        <v>3730</v>
      </c>
      <c r="C6" s="23"/>
      <c r="D6" s="24"/>
      <c r="E6" s="25"/>
      <c r="F6" s="26"/>
      <c r="G6" s="27">
        <f>SUM(G7:G11)</f>
        <v>75118.680000000008</v>
      </c>
      <c r="H6" s="27">
        <f>IFERROR(G6*E4,"")</f>
        <v>0</v>
      </c>
    </row>
    <row r="7" spans="1:11">
      <c r="A7" s="28"/>
      <c r="B7" s="29" t="s">
        <v>2683</v>
      </c>
      <c r="C7" s="30" t="str">
        <f>IFERROR(_xlfn.XLOOKUP(B7,Insumo[DESCRIPCION],Insumo[UND],,0),"")</f>
        <v>M3</v>
      </c>
      <c r="D7" s="31">
        <v>1</v>
      </c>
      <c r="E7" s="32">
        <f>IFERROR(_xlfn.XLOOKUP($B7,Insumo[DESCRIPCION],Insumo[VALOR],,0),"")</f>
        <v>53583.600000000006</v>
      </c>
      <c r="F7" s="33">
        <v>30</v>
      </c>
      <c r="G7" s="34">
        <f>IFERROR(IF(F7&gt;=0,D7*E7*(1+F7/100),ABS(D7*E7/F7)),"")</f>
        <v>69658.680000000008</v>
      </c>
      <c r="H7" s="43">
        <f>IFERROR(G7*E4,"")</f>
        <v>0</v>
      </c>
    </row>
    <row r="8" spans="1:11">
      <c r="A8" s="28"/>
      <c r="B8" s="29" t="s">
        <v>2685</v>
      </c>
      <c r="C8" s="30" t="str">
        <f>IFERROR(_xlfn.XLOOKUP(B8,Insumo[DESCRIPCION],Insumo[UND],,0),"")</f>
        <v>Lt</v>
      </c>
      <c r="D8" s="31">
        <v>200</v>
      </c>
      <c r="E8" s="32">
        <f>IFERROR(_xlfn.XLOOKUP($B8,Insumo[DESCRIPCION],Insumo[VALOR],,0),"")</f>
        <v>27.3</v>
      </c>
      <c r="F8" s="33"/>
      <c r="G8" s="34">
        <f>IFERROR(IF(F8&gt;=0,D8*E8*(1+F8/100),ABS(D8*E8/F8)),"")</f>
        <v>5460</v>
      </c>
      <c r="H8" s="43">
        <f>IFERROR(G8*E4,"")</f>
        <v>0</v>
      </c>
    </row>
    <row r="9" spans="1:11">
      <c r="A9" s="28"/>
      <c r="B9" s="29" t="s">
        <v>3806</v>
      </c>
      <c r="C9" s="30" t="str">
        <f>IFERROR(_xlfn.XLOOKUP(B9,Insumo[DESCRIPCION],Insumo[UND],,0),"")</f>
        <v/>
      </c>
      <c r="D9" s="31">
        <v>3</v>
      </c>
      <c r="E9" s="32" t="str">
        <f>IFERROR(_xlfn.XLOOKUP($B9,Insumo[DESCRIPCION],Insumo[VALOR],,0),"")</f>
        <v/>
      </c>
      <c r="F9" s="33"/>
      <c r="G9" s="34" t="str">
        <f>IFERROR(IF(F9&gt;=0,D9*E9*(1+F9/100),ABS(D9*E9/F9)),"")</f>
        <v/>
      </c>
      <c r="H9" s="43" t="str">
        <f>IFERROR(G9*E4,"")</f>
        <v/>
      </c>
    </row>
    <row r="10" spans="1:11">
      <c r="A10" s="28"/>
      <c r="B10" s="29" t="s">
        <v>3807</v>
      </c>
      <c r="C10" s="30" t="str">
        <f>IFERROR(_xlfn.XLOOKUP(B10,Insumo[DESCRIPCION],Insumo[UND],,0),"")</f>
        <v/>
      </c>
      <c r="D10" s="31">
        <v>4</v>
      </c>
      <c r="E10" s="32" t="str">
        <f>IFERROR(_xlfn.XLOOKUP($B10,Insumo[DESCRIPCION],Insumo[VALOR],,0),"")</f>
        <v/>
      </c>
      <c r="F10" s="33"/>
      <c r="G10" s="34" t="str">
        <f>IFERROR(IF(F10&gt;=0,D10*E10*(1+F10/100),ABS(D10*E10/F10)),"")</f>
        <v/>
      </c>
      <c r="H10" s="43" t="str">
        <f>IFERROR(G10*E4,"")</f>
        <v/>
      </c>
    </row>
    <row r="11" spans="1:11">
      <c r="A11" s="28"/>
      <c r="B11" s="29" t="s">
        <v>3808</v>
      </c>
      <c r="C11" s="30" t="str">
        <f>IFERROR(_xlfn.XLOOKUP(B11,Insumo[DESCRIPCION],Insumo[UND],,0),"")</f>
        <v/>
      </c>
      <c r="D11" s="31">
        <v>5</v>
      </c>
      <c r="E11" s="32" t="str">
        <f>IFERROR(_xlfn.XLOOKUP($B11,Insumo[DESCRIPCION],Insumo[VALOR],,0),"")</f>
        <v/>
      </c>
      <c r="F11" s="33"/>
      <c r="G11" s="34" t="str">
        <f>IFERROR(IF(F11&gt;=0,D11*E11*(1+F11/100),ABS(D11*E11/F11)),"")</f>
        <v/>
      </c>
      <c r="H11" s="43" t="str">
        <f>IFERROR(G11*E4,"")</f>
        <v/>
      </c>
    </row>
    <row r="12" spans="1:11">
      <c r="A12" s="21"/>
      <c r="B12" s="22" t="s">
        <v>3731</v>
      </c>
      <c r="C12" s="23"/>
      <c r="D12" s="24"/>
      <c r="E12" s="25"/>
      <c r="F12" s="26"/>
      <c r="G12" s="27">
        <f>SUM(G13:G15)</f>
        <v>2196.612788595</v>
      </c>
      <c r="H12" s="44">
        <f>G12*E4</f>
        <v>0</v>
      </c>
    </row>
    <row r="13" spans="1:11">
      <c r="A13" s="28"/>
      <c r="B13" s="29" t="s">
        <v>3658</v>
      </c>
      <c r="C13" s="30" t="str">
        <f>IFERROR(_xlfn.XLOOKUP(B13,Equipo[DESCRIPCION],Equipo[UND],,0),"")</f>
        <v>Día</v>
      </c>
      <c r="D13" s="31">
        <v>1</v>
      </c>
      <c r="E13" s="32">
        <f>IF(C13="%MO",G19,IFERROR(_xlfn.XLOOKUP($B13,Equipo[DESCRIPCION],Equipo[VALOR],,0),""))</f>
        <v>82467</v>
      </c>
      <c r="F13" s="33">
        <v>-50</v>
      </c>
      <c r="G13" s="34">
        <f>IFERROR(IF(F13&gt;=0,D13*E13*(1+F13/100),ABS(D13*E13/F13)),"")</f>
        <v>1649.34</v>
      </c>
      <c r="H13" s="43">
        <f>IFERROR(G13*E4,"")</f>
        <v>0</v>
      </c>
    </row>
    <row r="14" spans="1:11">
      <c r="A14" s="28"/>
      <c r="B14" s="29" t="s">
        <v>3626</v>
      </c>
      <c r="C14" s="30" t="str">
        <f>IFERROR(_xlfn.XLOOKUP(B14,Equipo[DESCRIPCION],Equipo[UND],,0),"")</f>
        <v>%MO</v>
      </c>
      <c r="D14" s="31">
        <v>0.05</v>
      </c>
      <c r="E14" s="32">
        <f>IF(C14="%MO",G19,IFERROR(_xlfn.XLOOKUP($B14,Equipo[DESCRIPCION],Equipo[VALOR],,0),""))</f>
        <v>10945.455771900004</v>
      </c>
      <c r="F14" s="33"/>
      <c r="G14" s="34">
        <f>IFERROR(IF(F14&gt;=0,D14*E14*(1+F14/100),ABS(D14*E14/F14)),"")</f>
        <v>547.27278859500018</v>
      </c>
      <c r="H14" s="43">
        <f>IFERROR(G14*E4,"")</f>
        <v>0</v>
      </c>
    </row>
    <row r="15" spans="1:11">
      <c r="A15" s="28"/>
      <c r="B15" s="29"/>
      <c r="C15" s="30" t="str">
        <f>IFERROR(_xlfn.XLOOKUP(B15,Equipo[DESCRIPCION],Equipo[UND],,0),"")</f>
        <v/>
      </c>
      <c r="D15" s="31"/>
      <c r="E15" s="32" t="str">
        <f>IF(C15="%MO",G19,IFERROR(_xlfn.XLOOKUP($B15,Equipo[DESCRIPCION],Equipo[VALOR],,0),""))</f>
        <v/>
      </c>
      <c r="F15" s="33"/>
      <c r="G15" s="34" t="str">
        <f>IFERROR(IF(F15&gt;=0,D15*E15*(1+F15/100),ABS(D15*E15/F15)),"")</f>
        <v/>
      </c>
      <c r="H15" s="43" t="str">
        <f>IFERROR(G15*E4,"")</f>
        <v/>
      </c>
    </row>
    <row r="16" spans="1:11">
      <c r="A16" s="21"/>
      <c r="B16" s="22" t="s">
        <v>2533</v>
      </c>
      <c r="C16" s="23"/>
      <c r="D16" s="24"/>
      <c r="E16" s="25"/>
      <c r="F16" s="26"/>
      <c r="G16" s="27">
        <f>SUM(G17:G18)</f>
        <v>0</v>
      </c>
      <c r="H16" s="44">
        <f>G16*E4</f>
        <v>0</v>
      </c>
    </row>
    <row r="17" spans="1:11">
      <c r="A17" s="28"/>
      <c r="B17" s="29"/>
      <c r="C17" s="30" t="str">
        <f>IFERROR(_xlfn.XLOOKUP(B17,Transporte[DESCRIPCION],Transporte[UND],,0),"")</f>
        <v/>
      </c>
      <c r="D17" s="31"/>
      <c r="E17" s="32" t="str">
        <f>IFERROR(_xlfn.XLOOKUP($B17,Transporte[DESCRIPCION],Transporte[VALOR],,0),"")</f>
        <v/>
      </c>
      <c r="F17" s="33"/>
      <c r="G17" s="34" t="str">
        <f>IFERROR(IF(F17&gt;=0,D17*E17*(1+F17/100),ABS(D17*E17/F17)),"")</f>
        <v/>
      </c>
      <c r="H17" s="43" t="str">
        <f>IFERROR(G17*E4,"")</f>
        <v/>
      </c>
    </row>
    <row r="18" spans="1:11">
      <c r="A18" s="28"/>
      <c r="B18" s="29"/>
      <c r="C18" s="30" t="str">
        <f>IFERROR(_xlfn.XLOOKUP(B18,Transporte[DESCRIPCION],Transporte[UND],,0),"")</f>
        <v/>
      </c>
      <c r="D18" s="31"/>
      <c r="E18" s="32" t="str">
        <f>IFERROR(_xlfn.XLOOKUP($B18,Transporte[DESCRIPCION],Transporte[VALOR],,0),"")</f>
        <v/>
      </c>
      <c r="F18" s="33"/>
      <c r="G18" s="34" t="str">
        <f>IFERROR(IF(F18&gt;=0,D18*E18*(1+F18/100),ABS(D18*E18/F18)),"")</f>
        <v/>
      </c>
      <c r="H18" s="43" t="str">
        <f>IFERROR(G18*E4,"")</f>
        <v/>
      </c>
    </row>
    <row r="19" spans="1:11">
      <c r="A19" s="21"/>
      <c r="B19" s="22" t="s">
        <v>3732</v>
      </c>
      <c r="C19" s="23"/>
      <c r="D19" s="24"/>
      <c r="E19" s="25"/>
      <c r="F19" s="26"/>
      <c r="G19" s="27">
        <f>SUM(G20:G22)</f>
        <v>10945.455771900004</v>
      </c>
      <c r="H19" s="44">
        <f>G19*E4</f>
        <v>0</v>
      </c>
    </row>
    <row r="20" spans="1:11">
      <c r="A20" s="28"/>
      <c r="B20" s="29" t="s">
        <v>3712</v>
      </c>
      <c r="C20" s="30" t="str">
        <f>IFERROR(_xlfn.XLOOKUP(B20,MObra[DESCRIPCION],MObra[UN],,0),"")</f>
        <v>día</v>
      </c>
      <c r="D20" s="31">
        <v>1</v>
      </c>
      <c r="E20" s="32">
        <f>IFERROR(_xlfn.XLOOKUP($B20,MObra[DESCRIPCION],MObra[VALOR UNIT],,0),"")</f>
        <v>547272.78859500017</v>
      </c>
      <c r="F20" s="33">
        <v>-50</v>
      </c>
      <c r="G20" s="34">
        <f>IFERROR(IF(F20&gt;=0,D20*E20*(1+F20/100),ABS(D20*E20/F20)),"")</f>
        <v>10945.455771900004</v>
      </c>
      <c r="H20" s="43">
        <f>IFERROR(G20*E4,"")</f>
        <v>0</v>
      </c>
    </row>
    <row r="21" spans="1:11">
      <c r="A21" s="28"/>
      <c r="B21" s="29"/>
      <c r="C21" s="30" t="str">
        <f t="array" ref="C21">IFERROR(_xlfn.XLOOKUP(B21,MObra[[#All],[DESCRIPCION]],MObra[[#All],[UN]],,0),"")</f>
        <v/>
      </c>
      <c r="D21" s="31"/>
      <c r="E21" s="32" t="str">
        <f>IFERROR(_xlfn.XLOOKUP($B21,MObra[DESCRIPCION],MObra[VALOR UNIT],,0),"")</f>
        <v/>
      </c>
      <c r="F21" s="33"/>
      <c r="G21" s="34" t="str">
        <f>IFERROR(IF(F21&gt;=0,D21*E21*(1+F21/100),ABS(D21*E21/F21)),"")</f>
        <v/>
      </c>
      <c r="H21" s="43" t="str">
        <f>IFERROR(G21*E4,"")</f>
        <v/>
      </c>
    </row>
    <row r="22" spans="1:11">
      <c r="A22" s="35"/>
      <c r="B22" s="36"/>
      <c r="C22" s="37" t="str">
        <f t="array" ref="C22">IFERROR(_xlfn.XLOOKUP(B22,MObra[[#All],[DESCRIPCION]],MObra[[#All],[UN]],,0),"")</f>
        <v/>
      </c>
      <c r="D22" s="38"/>
      <c r="E22" s="39" t="str">
        <f>IFERROR(_xlfn.XLOOKUP($B22,MObra[DESCRIPCION],MObra[VALOR UNIT],,0),"")</f>
        <v/>
      </c>
      <c r="F22" s="40"/>
      <c r="G22" s="41" t="str">
        <f>IFERROR(IF(F22&gt;=0,D22*E22*(1+F22/100),ABS(D22*E22/F22)),"")</f>
        <v/>
      </c>
      <c r="H22" s="42" t="str">
        <f>IFERROR(G22*E4,"")</f>
        <v/>
      </c>
    </row>
    <row r="23" spans="1:11" ht="12.75" customHeight="1" thickTop="1" thickBot="1"/>
    <row r="24" spans="1:11" ht="13.5" thickTop="1" thickBot="1">
      <c r="A24" s="6" t="s">
        <v>2561</v>
      </c>
      <c r="B24" s="7">
        <f>VLOOKUP($A24,Presupuesto!$A:$D,2,FALSE())</f>
        <v>0</v>
      </c>
      <c r="C24" s="8" t="str">
        <f>VLOOKUP($A24,Presupuesto!$A:$D,3,FALSE())</f>
        <v>Un</v>
      </c>
      <c r="D24" s="9"/>
      <c r="E24" s="10">
        <f>VLOOKUP($A24,Presupuesto!$A:$D,4,FALSE())</f>
        <v>0</v>
      </c>
      <c r="F24" s="11" t="s">
        <v>2589</v>
      </c>
      <c r="G24" s="12">
        <f>SUM(G26:G42)/2</f>
        <v>0</v>
      </c>
      <c r="H24" s="13">
        <f>ROUND(SUM(H26:H42),0)/2</f>
        <v>0</v>
      </c>
      <c r="I24" s="10">
        <f>VLOOKUP(A24,Presupuesto!$A:$F,6,0)</f>
        <v>0</v>
      </c>
      <c r="J24" s="10">
        <f>+H24-I24</f>
        <v>0</v>
      </c>
      <c r="K24" s="46">
        <f>+H24-G24*E24</f>
        <v>0</v>
      </c>
    </row>
    <row r="25" spans="1:11" ht="13.15" thickTop="1">
      <c r="A25" s="14"/>
      <c r="B25" s="15" t="s">
        <v>2586</v>
      </c>
      <c r="C25" s="15" t="s">
        <v>5</v>
      </c>
      <c r="D25" s="16" t="s">
        <v>6</v>
      </c>
      <c r="E25" s="17" t="s">
        <v>7</v>
      </c>
      <c r="F25" s="18" t="s">
        <v>3728</v>
      </c>
      <c r="G25" s="19" t="s">
        <v>3729</v>
      </c>
      <c r="H25" s="20" t="s">
        <v>3797</v>
      </c>
    </row>
    <row r="26" spans="1:11">
      <c r="A26" s="21"/>
      <c r="B26" s="22" t="s">
        <v>3730</v>
      </c>
      <c r="C26" s="23"/>
      <c r="D26" s="24"/>
      <c r="E26" s="25"/>
      <c r="F26" s="26"/>
      <c r="G26" s="27">
        <f>SUM(G27:G31)</f>
        <v>0</v>
      </c>
      <c r="H26" s="27">
        <f>IFERROR(G26*E24,"")</f>
        <v>0</v>
      </c>
    </row>
    <row r="27" spans="1:11">
      <c r="A27" s="28"/>
      <c r="B27" s="29"/>
      <c r="C27" s="30" t="str">
        <f>IFERROR(_xlfn.XLOOKUP(B27,Insumo[DESCRIPCION],Insumo[UND],,0),"")</f>
        <v/>
      </c>
      <c r="D27" s="31"/>
      <c r="E27" s="32" t="str">
        <f>IFERROR(_xlfn.XLOOKUP($B27,Insumo[DESCRIPCION],Insumo[VALOR],,0),"")</f>
        <v/>
      </c>
      <c r="F27" s="33"/>
      <c r="G27" s="34" t="str">
        <f>IFERROR(IF(F27&gt;=0,D27*E27*(1+F27/100),ABS(D27*E27/F27)),"")</f>
        <v/>
      </c>
      <c r="H27" s="43" t="str">
        <f>IFERROR(G27*E24,"")</f>
        <v/>
      </c>
    </row>
    <row r="28" spans="1:11">
      <c r="A28" s="28"/>
      <c r="B28" s="29"/>
      <c r="C28" s="30" t="str">
        <f>IFERROR(_xlfn.XLOOKUP(B28,Insumo[DESCRIPCION],Insumo[UND],,0),"")</f>
        <v/>
      </c>
      <c r="D28" s="31"/>
      <c r="E28" s="32" t="str">
        <f>IFERROR(_xlfn.XLOOKUP($B28,Insumo[DESCRIPCION],Insumo[VALOR],,0),"")</f>
        <v/>
      </c>
      <c r="F28" s="33"/>
      <c r="G28" s="34" t="str">
        <f>IFERROR(IF(F28&gt;=0,D28*E28*(1+F28/100),ABS(D28*E28/F28)),"")</f>
        <v/>
      </c>
      <c r="H28" s="43" t="str">
        <f>IFERROR(G28*E24,"")</f>
        <v/>
      </c>
    </row>
    <row r="29" spans="1:11">
      <c r="A29" s="28"/>
      <c r="B29" s="29"/>
      <c r="C29" s="30" t="str">
        <f>IFERROR(_xlfn.XLOOKUP(B29,Insumo[DESCRIPCION],Insumo[UND],,0),"")</f>
        <v/>
      </c>
      <c r="D29" s="31"/>
      <c r="E29" s="32" t="str">
        <f>IFERROR(_xlfn.XLOOKUP($B29,Insumo[DESCRIPCION],Insumo[VALOR],,0),"")</f>
        <v/>
      </c>
      <c r="F29" s="33"/>
      <c r="G29" s="34" t="str">
        <f>IFERROR(IF(F29&gt;=0,D29*E29*(1+F29/100),ABS(D29*E29/F29)),"")</f>
        <v/>
      </c>
      <c r="H29" s="43" t="str">
        <f>IFERROR(G29*E24,"")</f>
        <v/>
      </c>
    </row>
    <row r="30" spans="1:11">
      <c r="A30" s="28"/>
      <c r="B30" s="29"/>
      <c r="C30" s="30" t="str">
        <f>IFERROR(_xlfn.XLOOKUP(B30,Insumo[DESCRIPCION],Insumo[UND],,0),"")</f>
        <v/>
      </c>
      <c r="D30" s="31"/>
      <c r="E30" s="32" t="str">
        <f>IFERROR(_xlfn.XLOOKUP($B30,Insumo[DESCRIPCION],Insumo[VALOR],,0),"")</f>
        <v/>
      </c>
      <c r="F30" s="33"/>
      <c r="G30" s="34" t="str">
        <f>IFERROR(IF(F30&gt;=0,D30*E30*(1+F30/100),ABS(D30*E30/F30)),"")</f>
        <v/>
      </c>
      <c r="H30" s="43" t="str">
        <f>IFERROR(G30*E24,"")</f>
        <v/>
      </c>
    </row>
    <row r="31" spans="1:11">
      <c r="A31" s="28"/>
      <c r="B31" s="29"/>
      <c r="C31" s="30" t="str">
        <f>IFERROR(_xlfn.XLOOKUP(B31,Insumo[DESCRIPCION],Insumo[UND],,0),"")</f>
        <v/>
      </c>
      <c r="D31" s="31"/>
      <c r="E31" s="32" t="str">
        <f>IFERROR(_xlfn.XLOOKUP($B31,Insumo[DESCRIPCION],Insumo[VALOR],,0),"")</f>
        <v/>
      </c>
      <c r="F31" s="33"/>
      <c r="G31" s="34" t="str">
        <f>IFERROR(IF(F31&gt;=0,D31*E31*(1+F31/100),ABS(D31*E31/F31)),"")</f>
        <v/>
      </c>
      <c r="H31" s="43" t="str">
        <f>IFERROR(G31*E24,"")</f>
        <v/>
      </c>
    </row>
    <row r="32" spans="1:11">
      <c r="A32" s="21"/>
      <c r="B32" s="22" t="s">
        <v>3731</v>
      </c>
      <c r="C32" s="23"/>
      <c r="D32" s="24"/>
      <c r="E32" s="25"/>
      <c r="F32" s="26"/>
      <c r="G32" s="27">
        <f>SUM(G33:G35)</f>
        <v>0</v>
      </c>
      <c r="H32" s="44">
        <f>G32*E24</f>
        <v>0</v>
      </c>
    </row>
    <row r="33" spans="1:11">
      <c r="A33" s="28"/>
      <c r="B33" s="29"/>
      <c r="C33" s="30" t="str">
        <f>IFERROR(_xlfn.XLOOKUP(B33,Equipo[DESCRIPCION],Equipo[UND],,0),"")</f>
        <v/>
      </c>
      <c r="D33" s="31"/>
      <c r="E33" s="32" t="str">
        <f>IF(C33="%MO",G39,IFERROR(_xlfn.XLOOKUP($B33,Equipo[DESCRIPCION],Equipo[VALOR],,0),""))</f>
        <v/>
      </c>
      <c r="F33" s="33"/>
      <c r="G33" s="34" t="str">
        <f>IFERROR(IF(F33&gt;=0,D33*E33*(1+F33/100),ABS(D33*E33/F33)),"")</f>
        <v/>
      </c>
      <c r="H33" s="43" t="str">
        <f>IFERROR(G33*E24,"")</f>
        <v/>
      </c>
    </row>
    <row r="34" spans="1:11">
      <c r="A34" s="28"/>
      <c r="B34" s="29"/>
      <c r="C34" s="30" t="str">
        <f>IFERROR(_xlfn.XLOOKUP(B34,Equipo[DESCRIPCION],Equipo[UND],,0),"")</f>
        <v/>
      </c>
      <c r="D34" s="31"/>
      <c r="E34" s="32" t="str">
        <f>IF(C34="%MO",G39,IFERROR(_xlfn.XLOOKUP($B34,Equipo[DESCRIPCION],Equipo[VALOR],,0),""))</f>
        <v/>
      </c>
      <c r="F34" s="33"/>
      <c r="G34" s="34" t="str">
        <f>IFERROR(IF(F34&gt;=0,D34*E34*(1+F34/100),ABS(D34*E34/F34)),"")</f>
        <v/>
      </c>
      <c r="H34" s="43" t="str">
        <f>IFERROR(G34*E24,"")</f>
        <v/>
      </c>
    </row>
    <row r="35" spans="1:11">
      <c r="A35" s="28"/>
      <c r="B35" s="29"/>
      <c r="C35" s="30" t="str">
        <f>IFERROR(_xlfn.XLOOKUP(B35,Equipo[DESCRIPCION],Equipo[UND],,0),"")</f>
        <v/>
      </c>
      <c r="D35" s="31"/>
      <c r="E35" s="32" t="str">
        <f>IF(C35="%MO",G39,IFERROR(_xlfn.XLOOKUP($B35,Equipo[DESCRIPCION],Equipo[VALOR],,0),""))</f>
        <v/>
      </c>
      <c r="F35" s="33"/>
      <c r="G35" s="34" t="str">
        <f>IFERROR(IF(F35&gt;=0,D35*E35*(1+F35/100),ABS(D35*E35/F35)),"")</f>
        <v/>
      </c>
      <c r="H35" s="43" t="str">
        <f>IFERROR(G35*E24,"")</f>
        <v/>
      </c>
    </row>
    <row r="36" spans="1:11">
      <c r="A36" s="21"/>
      <c r="B36" s="22" t="s">
        <v>2533</v>
      </c>
      <c r="C36" s="23"/>
      <c r="D36" s="24"/>
      <c r="E36" s="25"/>
      <c r="F36" s="26"/>
      <c r="G36" s="27">
        <f>SUM(G37:G38)</f>
        <v>0</v>
      </c>
      <c r="H36" s="44">
        <f>G36*E24</f>
        <v>0</v>
      </c>
    </row>
    <row r="37" spans="1:11">
      <c r="A37" s="28"/>
      <c r="B37" s="29"/>
      <c r="C37" s="30" t="str">
        <f>IFERROR(_xlfn.XLOOKUP(B37,Transporte[DESCRIPCION],Transporte[UND],,0),"")</f>
        <v/>
      </c>
      <c r="D37" s="31"/>
      <c r="E37" s="32" t="str">
        <f>IFERROR(_xlfn.XLOOKUP($B37,Transporte[DESCRIPCION],Transporte[VALOR],,0),"")</f>
        <v/>
      </c>
      <c r="F37" s="33"/>
      <c r="G37" s="34" t="str">
        <f>IFERROR(IF(F37&gt;=0,D37*E37*(1+F37/100),ABS(D37*E37/F37)),"")</f>
        <v/>
      </c>
      <c r="H37" s="43" t="str">
        <f>IFERROR(G37*E24,"")</f>
        <v/>
      </c>
    </row>
    <row r="38" spans="1:11">
      <c r="A38" s="28"/>
      <c r="B38" s="29"/>
      <c r="C38" s="30" t="str">
        <f>IFERROR(_xlfn.XLOOKUP(B38,Transporte[DESCRIPCION],Transporte[UND],,0),"")</f>
        <v/>
      </c>
      <c r="D38" s="31"/>
      <c r="E38" s="32" t="str">
        <f>IFERROR(_xlfn.XLOOKUP($B38,Transporte[DESCRIPCION],Transporte[VALOR],,0),"")</f>
        <v/>
      </c>
      <c r="F38" s="33"/>
      <c r="G38" s="34" t="str">
        <f>IFERROR(IF(F38&gt;=0,D38*E38*(1+F38/100),ABS(D38*E38/F38)),"")</f>
        <v/>
      </c>
      <c r="H38" s="43" t="str">
        <f>IFERROR(G38*E24,"")</f>
        <v/>
      </c>
    </row>
    <row r="39" spans="1:11">
      <c r="A39" s="21"/>
      <c r="B39" s="22" t="s">
        <v>3732</v>
      </c>
      <c r="C39" s="23"/>
      <c r="D39" s="24"/>
      <c r="E39" s="25"/>
      <c r="F39" s="26"/>
      <c r="G39" s="27">
        <f>SUM(G40:G42)</f>
        <v>0</v>
      </c>
      <c r="H39" s="44">
        <f>G39*E24</f>
        <v>0</v>
      </c>
    </row>
    <row r="40" spans="1:11">
      <c r="A40" s="28"/>
      <c r="B40" s="29"/>
      <c r="C40" s="30" t="str">
        <f>IFERROR(_xlfn.XLOOKUP(B40,MObra[DESCRIPCION],MObra[UN],,0),"")</f>
        <v/>
      </c>
      <c r="D40" s="31"/>
      <c r="E40" s="32" t="str">
        <f>IFERROR(_xlfn.XLOOKUP($B40,MObra[DESCRIPCION],MObra[VALOR UNIT],,0),"")</f>
        <v/>
      </c>
      <c r="F40" s="33"/>
      <c r="G40" s="34" t="str">
        <f>IFERROR(IF(F40&gt;=0,D40*E40*(1+F40/100),ABS(D40*E40/F40)),"")</f>
        <v/>
      </c>
      <c r="H40" s="43" t="str">
        <f>IFERROR(G40*E24,"")</f>
        <v/>
      </c>
    </row>
    <row r="41" spans="1:11">
      <c r="A41" s="28"/>
      <c r="B41" s="29"/>
      <c r="C41" s="30" t="str">
        <f t="array" ref="C41">IFERROR(_xlfn.XLOOKUP(B41,MObra[[#All],[DESCRIPCION]],MObra[[#All],[UN]],,0),"")</f>
        <v/>
      </c>
      <c r="D41" s="31"/>
      <c r="E41" s="32" t="str">
        <f>IFERROR(_xlfn.XLOOKUP($B41,MObra[DESCRIPCION],MObra[VALOR UNIT],,0),"")</f>
        <v/>
      </c>
      <c r="F41" s="33"/>
      <c r="G41" s="34" t="str">
        <f>IFERROR(IF(F41&gt;=0,D41*E41*(1+F41/100),ABS(D41*E41/F41)),"")</f>
        <v/>
      </c>
      <c r="H41" s="43" t="str">
        <f>IFERROR(G41*E24,"")</f>
        <v/>
      </c>
    </row>
    <row r="42" spans="1:11" ht="13.15" thickBot="1">
      <c r="A42" s="35"/>
      <c r="B42" s="36"/>
      <c r="C42" s="37" t="str">
        <f t="array" ref="C42">IFERROR(_xlfn.XLOOKUP(B42,MObra[[#All],[DESCRIPCION]],MObra[[#All],[UN]],,0),"")</f>
        <v/>
      </c>
      <c r="D42" s="38"/>
      <c r="E42" s="39" t="str">
        <f>IFERROR(_xlfn.XLOOKUP($B42,MObra[DESCRIPCION],MObra[VALOR UNIT],,0),"")</f>
        <v/>
      </c>
      <c r="F42" s="40"/>
      <c r="G42" s="41" t="str">
        <f>IFERROR(IF(F42&gt;=0,D42*E42*(1+F42/100),ABS(D42*E42/F42)),"")</f>
        <v/>
      </c>
      <c r="H42" s="42" t="str">
        <f>IFERROR(G42*E24,"")</f>
        <v/>
      </c>
    </row>
    <row r="43" spans="1:11" ht="12.75" customHeight="1" thickTop="1" thickBot="1"/>
    <row r="44" spans="1:11" ht="13.5" thickTop="1" thickBot="1">
      <c r="A44" s="6" t="s">
        <v>2562</v>
      </c>
      <c r="B44" s="7" t="e">
        <f>VLOOKUP($A44,Presupuesto!$A:$D,2,FALSE())</f>
        <v>#N/A</v>
      </c>
      <c r="C44" s="8" t="e">
        <f>VLOOKUP($A44,Presupuesto!$A:$D,3,FALSE())</f>
        <v>#N/A</v>
      </c>
      <c r="D44" s="9"/>
      <c r="E44" s="10" t="e">
        <f>VLOOKUP($A44,Presupuesto!$A:$D,4,FALSE())</f>
        <v>#N/A</v>
      </c>
      <c r="F44" s="11" t="s">
        <v>2589</v>
      </c>
      <c r="G44" s="12">
        <f>SUM(G46:G62)/2</f>
        <v>0</v>
      </c>
      <c r="H44" s="13" t="e">
        <f>ROUND(SUM(H46:H62),0)/2</f>
        <v>#N/A</v>
      </c>
      <c r="I44" s="10" t="e">
        <f>VLOOKUP(A44,Presupuesto!$A:$F,6,0)</f>
        <v>#N/A</v>
      </c>
      <c r="J44" s="10" t="e">
        <f>+H44-I44</f>
        <v>#N/A</v>
      </c>
      <c r="K44" s="46" t="e">
        <f>+H44-G44*E44</f>
        <v>#N/A</v>
      </c>
    </row>
    <row r="45" spans="1:11" ht="13.15" thickTop="1">
      <c r="A45" s="14"/>
      <c r="B45" s="15" t="s">
        <v>2586</v>
      </c>
      <c r="C45" s="15" t="s">
        <v>5</v>
      </c>
      <c r="D45" s="16" t="s">
        <v>6</v>
      </c>
      <c r="E45" s="17" t="s">
        <v>7</v>
      </c>
      <c r="F45" s="18" t="s">
        <v>3728</v>
      </c>
      <c r="G45" s="19" t="s">
        <v>3729</v>
      </c>
      <c r="H45" s="20" t="s">
        <v>3797</v>
      </c>
    </row>
    <row r="46" spans="1:11">
      <c r="A46" s="21"/>
      <c r="B46" s="22" t="s">
        <v>3730</v>
      </c>
      <c r="C46" s="23"/>
      <c r="D46" s="24"/>
      <c r="E46" s="25"/>
      <c r="F46" s="26"/>
      <c r="G46" s="27">
        <f>SUM(G47:G51)</f>
        <v>0</v>
      </c>
      <c r="H46" s="27" t="str">
        <f>IFERROR(G46*E44,"")</f>
        <v/>
      </c>
    </row>
    <row r="47" spans="1:11">
      <c r="A47" s="28"/>
      <c r="B47" s="29"/>
      <c r="C47" s="30" t="str">
        <f>IFERROR(_xlfn.XLOOKUP(B47,Insumo[DESCRIPCION],Insumo[UND],,0),"")</f>
        <v/>
      </c>
      <c r="D47" s="31">
        <v>1</v>
      </c>
      <c r="E47" s="32" t="str">
        <f>IFERROR(_xlfn.XLOOKUP($B47,Insumo[DESCRIPCION],Insumo[VALOR],,0),"")</f>
        <v/>
      </c>
      <c r="F47" s="33"/>
      <c r="G47" s="34" t="str">
        <f>IFERROR(IF(F47&gt;=0,D47*E47*(1+F47/100),ABS(D47*E47/F47)),"")</f>
        <v/>
      </c>
      <c r="H47" s="43" t="str">
        <f>IFERROR(G47*E44,"")</f>
        <v/>
      </c>
    </row>
    <row r="48" spans="1:11">
      <c r="A48" s="28"/>
      <c r="B48" s="29"/>
      <c r="C48" s="30" t="str">
        <f>IFERROR(_xlfn.XLOOKUP(B48,Insumo[DESCRIPCION],Insumo[UND],,0),"")</f>
        <v/>
      </c>
      <c r="D48" s="31"/>
      <c r="E48" s="32" t="str">
        <f>IFERROR(_xlfn.XLOOKUP($B48,Insumo[DESCRIPCION],Insumo[VALOR],,0),"")</f>
        <v/>
      </c>
      <c r="F48" s="33"/>
      <c r="G48" s="34" t="str">
        <f>IFERROR(IF(F48&gt;=0,D48*E48*(1+F48/100),ABS(D48*E48/F48)),"")</f>
        <v/>
      </c>
      <c r="H48" s="43" t="str">
        <f>IFERROR(G48*E44,"")</f>
        <v/>
      </c>
    </row>
    <row r="49" spans="1:11">
      <c r="A49" s="28"/>
      <c r="B49" s="29"/>
      <c r="C49" s="30" t="str">
        <f>IFERROR(_xlfn.XLOOKUP(B49,Insumo[DESCRIPCION],Insumo[UND],,0),"")</f>
        <v/>
      </c>
      <c r="D49" s="31"/>
      <c r="E49" s="32" t="str">
        <f>IFERROR(_xlfn.XLOOKUP($B49,Insumo[DESCRIPCION],Insumo[VALOR],,0),"")</f>
        <v/>
      </c>
      <c r="F49" s="33"/>
      <c r="G49" s="34" t="str">
        <f>IFERROR(IF(F49&gt;=0,D49*E49*(1+F49/100),ABS(D49*E49/F49)),"")</f>
        <v/>
      </c>
      <c r="H49" s="43" t="str">
        <f>IFERROR(G49*E44,"")</f>
        <v/>
      </c>
    </row>
    <row r="50" spans="1:11">
      <c r="A50" s="28"/>
      <c r="B50" s="29"/>
      <c r="C50" s="30" t="str">
        <f>IFERROR(_xlfn.XLOOKUP(B50,Insumo[DESCRIPCION],Insumo[UND],,0),"")</f>
        <v/>
      </c>
      <c r="D50" s="31"/>
      <c r="E50" s="32" t="str">
        <f>IFERROR(_xlfn.XLOOKUP($B50,Insumo[DESCRIPCION],Insumo[VALOR],,0),"")</f>
        <v/>
      </c>
      <c r="F50" s="33"/>
      <c r="G50" s="34" t="str">
        <f>IFERROR(IF(F50&gt;=0,D50*E50*(1+F50/100),ABS(D50*E50/F50)),"")</f>
        <v/>
      </c>
      <c r="H50" s="43" t="str">
        <f>IFERROR(G50*E44,"")</f>
        <v/>
      </c>
    </row>
    <row r="51" spans="1:11">
      <c r="A51" s="28"/>
      <c r="B51" s="29"/>
      <c r="C51" s="30" t="str">
        <f>IFERROR(_xlfn.XLOOKUP(B51,Insumo[DESCRIPCION],Insumo[UND],,0),"")</f>
        <v/>
      </c>
      <c r="D51" s="31"/>
      <c r="E51" s="32" t="str">
        <f>IFERROR(_xlfn.XLOOKUP($B51,Insumo[DESCRIPCION],Insumo[VALOR],,0),"")</f>
        <v/>
      </c>
      <c r="F51" s="33"/>
      <c r="G51" s="34" t="str">
        <f>IFERROR(IF(F51&gt;=0,D51*E51*(1+F51/100),ABS(D51*E51/F51)),"")</f>
        <v/>
      </c>
      <c r="H51" s="43" t="str">
        <f>IFERROR(G51*E44,"")</f>
        <v/>
      </c>
    </row>
    <row r="52" spans="1:11">
      <c r="A52" s="21"/>
      <c r="B52" s="22" t="s">
        <v>3731</v>
      </c>
      <c r="C52" s="23"/>
      <c r="D52" s="24"/>
      <c r="E52" s="25"/>
      <c r="F52" s="26"/>
      <c r="G52" s="27">
        <f>SUM(G53:G55)</f>
        <v>0</v>
      </c>
      <c r="H52" s="44" t="e">
        <f>G52*E44</f>
        <v>#N/A</v>
      </c>
    </row>
    <row r="53" spans="1:11">
      <c r="A53" s="28"/>
      <c r="B53" s="29"/>
      <c r="C53" s="30" t="str">
        <f>IFERROR(_xlfn.XLOOKUP(B53,Equipo[DESCRIPCION],Equipo[UND],,0),"")</f>
        <v/>
      </c>
      <c r="D53" s="31"/>
      <c r="E53" s="32" t="str">
        <f>IF(C53="%MO",G59,IFERROR(_xlfn.XLOOKUP($B53,Equipo[DESCRIPCION],Equipo[VALOR],,0),""))</f>
        <v/>
      </c>
      <c r="F53" s="33"/>
      <c r="G53" s="34" t="str">
        <f>IFERROR(IF(F53&gt;=0,D53*E53*(1+F53/100),ABS(D53*E53/F53)),"")</f>
        <v/>
      </c>
      <c r="H53" s="43" t="str">
        <f>IFERROR(G53*E44,"")</f>
        <v/>
      </c>
    </row>
    <row r="54" spans="1:11">
      <c r="A54" s="28"/>
      <c r="B54" s="29"/>
      <c r="C54" s="30" t="str">
        <f>IFERROR(_xlfn.XLOOKUP(B54,Equipo[DESCRIPCION],Equipo[UND],,0),"")</f>
        <v/>
      </c>
      <c r="D54" s="31"/>
      <c r="E54" s="32" t="str">
        <f>IF(C54="%MO",G59,IFERROR(_xlfn.XLOOKUP($B54,Equipo[DESCRIPCION],Equipo[VALOR],,0),""))</f>
        <v/>
      </c>
      <c r="F54" s="33"/>
      <c r="G54" s="34" t="str">
        <f>IFERROR(IF(F54&gt;=0,D54*E54*(1+F54/100),ABS(D54*E54/F54)),"")</f>
        <v/>
      </c>
      <c r="H54" s="43" t="str">
        <f>IFERROR(G54*E44,"")</f>
        <v/>
      </c>
    </row>
    <row r="55" spans="1:11">
      <c r="A55" s="28"/>
      <c r="B55" s="29"/>
      <c r="C55" s="30" t="str">
        <f>IFERROR(_xlfn.XLOOKUP(B55,Equipo[DESCRIPCION],Equipo[UND],,0),"")</f>
        <v/>
      </c>
      <c r="D55" s="31"/>
      <c r="E55" s="32" t="str">
        <f>IF(C55="%MO",G59,IFERROR(_xlfn.XLOOKUP($B55,Equipo[DESCRIPCION],Equipo[VALOR],,0),""))</f>
        <v/>
      </c>
      <c r="F55" s="33"/>
      <c r="G55" s="34" t="str">
        <f>IFERROR(IF(F55&gt;=0,D55*E55*(1+F55/100),ABS(D55*E55/F55)),"")</f>
        <v/>
      </c>
      <c r="H55" s="43" t="str">
        <f>IFERROR(G55*E44,"")</f>
        <v/>
      </c>
    </row>
    <row r="56" spans="1:11">
      <c r="A56" s="21"/>
      <c r="B56" s="22" t="s">
        <v>2533</v>
      </c>
      <c r="C56" s="23"/>
      <c r="D56" s="24"/>
      <c r="E56" s="25"/>
      <c r="F56" s="26"/>
      <c r="G56" s="27">
        <f>SUM(G57:G58)</f>
        <v>0</v>
      </c>
      <c r="H56" s="44" t="e">
        <f>G56*E44</f>
        <v>#N/A</v>
      </c>
    </row>
    <row r="57" spans="1:11">
      <c r="A57" s="28"/>
      <c r="B57" s="29"/>
      <c r="C57" s="30" t="str">
        <f>IFERROR(_xlfn.XLOOKUP(B57,Transporte[DESCRIPCION],Transporte[UND],,0),"")</f>
        <v/>
      </c>
      <c r="D57" s="31"/>
      <c r="E57" s="32" t="str">
        <f>IFERROR(_xlfn.XLOOKUP($B57,Transporte[DESCRIPCION],Transporte[VALOR],,0),"")</f>
        <v/>
      </c>
      <c r="F57" s="33"/>
      <c r="G57" s="34" t="str">
        <f>IFERROR(IF(F57&gt;=0,D57*E57*(1+F57/100),ABS(D57*E57/F57)),"")</f>
        <v/>
      </c>
      <c r="H57" s="43" t="str">
        <f>IFERROR(G57*E44,"")</f>
        <v/>
      </c>
    </row>
    <row r="58" spans="1:11">
      <c r="A58" s="28"/>
      <c r="B58" s="29"/>
      <c r="C58" s="30" t="str">
        <f>IFERROR(_xlfn.XLOOKUP(B58,Transporte[DESCRIPCION],Transporte[UND],,0),"")</f>
        <v/>
      </c>
      <c r="D58" s="31"/>
      <c r="E58" s="32" t="str">
        <f>IFERROR(_xlfn.XLOOKUP($B58,Transporte[DESCRIPCION],Transporte[VALOR],,0),"")</f>
        <v/>
      </c>
      <c r="F58" s="33"/>
      <c r="G58" s="34" t="str">
        <f>IFERROR(IF(F58&gt;=0,D58*E58*(1+F58/100),ABS(D58*E58/F58)),"")</f>
        <v/>
      </c>
      <c r="H58" s="43" t="str">
        <f>IFERROR(G58*E44,"")</f>
        <v/>
      </c>
    </row>
    <row r="59" spans="1:11">
      <c r="A59" s="21"/>
      <c r="B59" s="22" t="s">
        <v>3732</v>
      </c>
      <c r="C59" s="23"/>
      <c r="D59" s="24"/>
      <c r="E59" s="25"/>
      <c r="F59" s="26"/>
      <c r="G59" s="27">
        <f>SUM(G60:G62)</f>
        <v>0</v>
      </c>
      <c r="H59" s="44" t="e">
        <f>G59*E44</f>
        <v>#N/A</v>
      </c>
    </row>
    <row r="60" spans="1:11">
      <c r="A60" s="28"/>
      <c r="B60" s="29"/>
      <c r="C60" s="30" t="str">
        <f>IFERROR(_xlfn.XLOOKUP(B60,MObra[DESCRIPCION],MObra[UN],,0),"")</f>
        <v/>
      </c>
      <c r="D60" s="31"/>
      <c r="E60" s="32" t="str">
        <f>IFERROR(_xlfn.XLOOKUP($B60,MObra[DESCRIPCION],MObra[VALOR UNIT],,0),"")</f>
        <v/>
      </c>
      <c r="F60" s="33"/>
      <c r="G60" s="34" t="str">
        <f>IFERROR(IF(F60&gt;=0,D60*E60*(1+F60/100),ABS(D60*E60/F60)),"")</f>
        <v/>
      </c>
      <c r="H60" s="43" t="str">
        <f>IFERROR(G60*E44,"")</f>
        <v/>
      </c>
    </row>
    <row r="61" spans="1:11">
      <c r="A61" s="28"/>
      <c r="B61" s="29"/>
      <c r="C61" s="30" t="str">
        <f t="array" ref="C61">IFERROR(_xlfn.XLOOKUP(B61,MObra[[#All],[DESCRIPCION]],MObra[[#All],[UN]],,0),"")</f>
        <v/>
      </c>
      <c r="D61" s="31"/>
      <c r="E61" s="32" t="str">
        <f>IFERROR(_xlfn.XLOOKUP($B61,MObra[DESCRIPCION],MObra[VALOR UNIT],,0),"")</f>
        <v/>
      </c>
      <c r="F61" s="33"/>
      <c r="G61" s="34" t="str">
        <f>IFERROR(IF(F61&gt;=0,D61*E61*(1+F61/100),ABS(D61*E61/F61)),"")</f>
        <v/>
      </c>
      <c r="H61" s="43" t="str">
        <f>IFERROR(G61*E44,"")</f>
        <v/>
      </c>
    </row>
    <row r="62" spans="1:11" ht="13.15" thickBot="1">
      <c r="A62" s="35"/>
      <c r="B62" s="36"/>
      <c r="C62" s="37" t="str">
        <f t="array" ref="C62">IFERROR(_xlfn.XLOOKUP(B62,MObra[[#All],[DESCRIPCION]],MObra[[#All],[UN]],,0),"")</f>
        <v/>
      </c>
      <c r="D62" s="38"/>
      <c r="E62" s="39" t="str">
        <f>IFERROR(_xlfn.XLOOKUP($B62,MObra[DESCRIPCION],MObra[VALOR UNIT],,0),"")</f>
        <v/>
      </c>
      <c r="F62" s="40"/>
      <c r="G62" s="41" t="str">
        <f>IFERROR(IF(F62&gt;=0,D62*E62*(1+F62/100),ABS(D62*E62/F62)),"")</f>
        <v/>
      </c>
      <c r="H62" s="42" t="str">
        <f>IFERROR(G62*E44,"")</f>
        <v/>
      </c>
    </row>
    <row r="63" spans="1:11" ht="12.75" customHeight="1" thickTop="1" thickBot="1"/>
    <row r="64" spans="1:11" ht="13.5" thickTop="1" thickBot="1">
      <c r="A64" s="6" t="s">
        <v>3805</v>
      </c>
      <c r="B64" s="7" t="e">
        <f>VLOOKUP($A64,Presupuesto!$A:$D,2,FALSE())</f>
        <v>#N/A</v>
      </c>
      <c r="C64" s="8" t="e">
        <f>VLOOKUP($A64,Presupuesto!$A:$D,3,FALSE())</f>
        <v>#N/A</v>
      </c>
      <c r="D64" s="9"/>
      <c r="E64" s="10" t="e">
        <f>VLOOKUP($A64,Presupuesto!$A:$D,4,FALSE())</f>
        <v>#N/A</v>
      </c>
      <c r="F64" s="11" t="s">
        <v>2589</v>
      </c>
      <c r="G64" s="12">
        <f>SUM(G66:G82)/2</f>
        <v>0</v>
      </c>
      <c r="H64" s="13" t="e">
        <f>ROUND(SUM(H66:H82),0)/2</f>
        <v>#N/A</v>
      </c>
      <c r="I64" s="10" t="e">
        <f>VLOOKUP(A64,Presupuesto!$A:$F,6,0)</f>
        <v>#N/A</v>
      </c>
      <c r="J64" s="10" t="e">
        <f>+H64-I64</f>
        <v>#N/A</v>
      </c>
      <c r="K64" s="46" t="e">
        <f>+H64-G64*E64</f>
        <v>#N/A</v>
      </c>
    </row>
    <row r="65" spans="1:8" ht="13.15" thickTop="1">
      <c r="A65" s="14"/>
      <c r="B65" s="15" t="s">
        <v>2586</v>
      </c>
      <c r="C65" s="15" t="s">
        <v>5</v>
      </c>
      <c r="D65" s="16" t="s">
        <v>6</v>
      </c>
      <c r="E65" s="17" t="s">
        <v>7</v>
      </c>
      <c r="F65" s="18" t="s">
        <v>3728</v>
      </c>
      <c r="G65" s="19" t="s">
        <v>3729</v>
      </c>
      <c r="H65" s="20" t="s">
        <v>3797</v>
      </c>
    </row>
    <row r="66" spans="1:8">
      <c r="A66" s="21"/>
      <c r="B66" s="22" t="s">
        <v>3730</v>
      </c>
      <c r="C66" s="23"/>
      <c r="D66" s="24"/>
      <c r="E66" s="25"/>
      <c r="F66" s="26"/>
      <c r="G66" s="27">
        <f>SUM(G67:G71)</f>
        <v>0</v>
      </c>
      <c r="H66" s="27" t="str">
        <f>IFERROR(G66*E64,"")</f>
        <v/>
      </c>
    </row>
    <row r="67" spans="1:8">
      <c r="A67" s="28"/>
      <c r="B67" s="29"/>
      <c r="C67" s="30" t="str">
        <f>IFERROR(_xlfn.XLOOKUP(B67,Insumo[DESCRIPCION],Insumo[UND],,0),"")</f>
        <v/>
      </c>
      <c r="D67" s="31">
        <v>1</v>
      </c>
      <c r="E67" s="32" t="str">
        <f>IFERROR(_xlfn.XLOOKUP($B67,Insumo[DESCRIPCION],Insumo[VALOR],,0),"")</f>
        <v/>
      </c>
      <c r="F67" s="33"/>
      <c r="G67" s="34" t="str">
        <f>IFERROR(IF(F67&gt;=0,D67*E67*(1+F67/100),ABS(D67*E67/F67)),"")</f>
        <v/>
      </c>
      <c r="H67" s="43" t="str">
        <f>IFERROR(G67*E64,"")</f>
        <v/>
      </c>
    </row>
    <row r="68" spans="1:8">
      <c r="A68" s="28"/>
      <c r="B68" s="29"/>
      <c r="C68" s="30" t="str">
        <f>IFERROR(_xlfn.XLOOKUP(B68,Insumo[DESCRIPCION],Insumo[UND],,0),"")</f>
        <v/>
      </c>
      <c r="D68" s="31"/>
      <c r="E68" s="32" t="str">
        <f>IFERROR(_xlfn.XLOOKUP($B68,Insumo[DESCRIPCION],Insumo[VALOR],,0),"")</f>
        <v/>
      </c>
      <c r="F68" s="33"/>
      <c r="G68" s="34" t="str">
        <f>IFERROR(IF(F68&gt;=0,D68*E68*(1+F68/100),ABS(D68*E68/F68)),"")</f>
        <v/>
      </c>
      <c r="H68" s="43" t="str">
        <f>IFERROR(G68*E64,"")</f>
        <v/>
      </c>
    </row>
    <row r="69" spans="1:8">
      <c r="A69" s="28"/>
      <c r="B69" s="29"/>
      <c r="C69" s="30" t="str">
        <f>IFERROR(_xlfn.XLOOKUP(B69,Insumo[DESCRIPCION],Insumo[UND],,0),"")</f>
        <v/>
      </c>
      <c r="D69" s="31"/>
      <c r="E69" s="32" t="str">
        <f>IFERROR(_xlfn.XLOOKUP($B69,Insumo[DESCRIPCION],Insumo[VALOR],,0),"")</f>
        <v/>
      </c>
      <c r="F69" s="33"/>
      <c r="G69" s="34" t="str">
        <f>IFERROR(IF(F69&gt;=0,D69*E69*(1+F69/100),ABS(D69*E69/F69)),"")</f>
        <v/>
      </c>
      <c r="H69" s="43" t="str">
        <f>IFERROR(G69*E64,"")</f>
        <v/>
      </c>
    </row>
    <row r="70" spans="1:8">
      <c r="A70" s="28"/>
      <c r="B70" s="29"/>
      <c r="C70" s="30" t="str">
        <f>IFERROR(_xlfn.XLOOKUP(B70,Insumo[DESCRIPCION],Insumo[UND],,0),"")</f>
        <v/>
      </c>
      <c r="D70" s="31"/>
      <c r="E70" s="32" t="str">
        <f>IFERROR(_xlfn.XLOOKUP($B70,Insumo[DESCRIPCION],Insumo[VALOR],,0),"")</f>
        <v/>
      </c>
      <c r="F70" s="33"/>
      <c r="G70" s="34" t="str">
        <f>IFERROR(IF(F70&gt;=0,D70*E70*(1+F70/100),ABS(D70*E70/F70)),"")</f>
        <v/>
      </c>
      <c r="H70" s="43" t="str">
        <f>IFERROR(G70*E64,"")</f>
        <v/>
      </c>
    </row>
    <row r="71" spans="1:8">
      <c r="A71" s="28"/>
      <c r="B71" s="29"/>
      <c r="C71" s="30" t="str">
        <f>IFERROR(_xlfn.XLOOKUP(B71,Insumo[DESCRIPCION],Insumo[UND],,0),"")</f>
        <v/>
      </c>
      <c r="D71" s="31"/>
      <c r="E71" s="32" t="str">
        <f>IFERROR(_xlfn.XLOOKUP($B71,Insumo[DESCRIPCION],Insumo[VALOR],,0),"")</f>
        <v/>
      </c>
      <c r="F71" s="33"/>
      <c r="G71" s="34" t="str">
        <f>IFERROR(IF(F71&gt;=0,D71*E71*(1+F71/100),ABS(D71*E71/F71)),"")</f>
        <v/>
      </c>
      <c r="H71" s="43" t="str">
        <f>IFERROR(G71*E64,"")</f>
        <v/>
      </c>
    </row>
    <row r="72" spans="1:8">
      <c r="A72" s="21"/>
      <c r="B72" s="22" t="s">
        <v>3731</v>
      </c>
      <c r="C72" s="23"/>
      <c r="D72" s="24"/>
      <c r="E72" s="25"/>
      <c r="F72" s="26"/>
      <c r="G72" s="27">
        <f>SUM(G73:G75)</f>
        <v>0</v>
      </c>
      <c r="H72" s="44" t="e">
        <f>G72*E64</f>
        <v>#N/A</v>
      </c>
    </row>
    <row r="73" spans="1:8">
      <c r="A73" s="28"/>
      <c r="B73" s="29"/>
      <c r="C73" s="30" t="str">
        <f>IFERROR(_xlfn.XLOOKUP(B73,Equipo[DESCRIPCION],Equipo[UND],,0),"")</f>
        <v/>
      </c>
      <c r="D73" s="31"/>
      <c r="E73" s="32" t="str">
        <f>IF(C73="%MO",G79,IFERROR(_xlfn.XLOOKUP($B73,Equipo[DESCRIPCION],Equipo[VALOR],,0),""))</f>
        <v/>
      </c>
      <c r="F73" s="33"/>
      <c r="G73" s="34" t="str">
        <f>IFERROR(IF(F73&gt;=0,D73*E73*(1+F73/100),ABS(D73*E73/F73)),"")</f>
        <v/>
      </c>
      <c r="H73" s="43" t="str">
        <f>IFERROR(G73*E64,"")</f>
        <v/>
      </c>
    </row>
    <row r="74" spans="1:8">
      <c r="A74" s="28"/>
      <c r="B74" s="29"/>
      <c r="C74" s="30" t="str">
        <f>IFERROR(_xlfn.XLOOKUP(B74,Equipo[DESCRIPCION],Equipo[UND],,0),"")</f>
        <v/>
      </c>
      <c r="D74" s="31"/>
      <c r="E74" s="32" t="str">
        <f>IF(C74="%MO",G79,IFERROR(_xlfn.XLOOKUP($B74,Equipo[DESCRIPCION],Equipo[VALOR],,0),""))</f>
        <v/>
      </c>
      <c r="F74" s="33"/>
      <c r="G74" s="34" t="str">
        <f>IFERROR(IF(F74&gt;=0,D74*E74*(1+F74/100),ABS(D74*E74/F74)),"")</f>
        <v/>
      </c>
      <c r="H74" s="43" t="str">
        <f>IFERROR(G74*E64,"")</f>
        <v/>
      </c>
    </row>
    <row r="75" spans="1:8">
      <c r="A75" s="28"/>
      <c r="B75" s="29"/>
      <c r="C75" s="30" t="str">
        <f>IFERROR(_xlfn.XLOOKUP(B75,Equipo[DESCRIPCION],Equipo[UND],,0),"")</f>
        <v/>
      </c>
      <c r="D75" s="31"/>
      <c r="E75" s="32" t="str">
        <f>IF(C75="%MO",G79,IFERROR(_xlfn.XLOOKUP($B75,Equipo[DESCRIPCION],Equipo[VALOR],,0),""))</f>
        <v/>
      </c>
      <c r="F75" s="33"/>
      <c r="G75" s="34" t="str">
        <f>IFERROR(IF(F75&gt;=0,D75*E75*(1+F75/100),ABS(D75*E75/F75)),"")</f>
        <v/>
      </c>
      <c r="H75" s="43" t="str">
        <f>IFERROR(G75*E64,"")</f>
        <v/>
      </c>
    </row>
    <row r="76" spans="1:8">
      <c r="A76" s="21"/>
      <c r="B76" s="22" t="s">
        <v>2533</v>
      </c>
      <c r="C76" s="23"/>
      <c r="D76" s="24"/>
      <c r="E76" s="25"/>
      <c r="F76" s="26"/>
      <c r="G76" s="27">
        <f>SUM(G77:G78)</f>
        <v>0</v>
      </c>
      <c r="H76" s="44" t="e">
        <f>G76*E64</f>
        <v>#N/A</v>
      </c>
    </row>
    <row r="77" spans="1:8">
      <c r="A77" s="28"/>
      <c r="B77" s="29"/>
      <c r="C77" s="30" t="str">
        <f>IFERROR(_xlfn.XLOOKUP(B77,Transporte[DESCRIPCION],Transporte[UND],,0),"")</f>
        <v/>
      </c>
      <c r="D77" s="31"/>
      <c r="E77" s="32" t="str">
        <f>IFERROR(_xlfn.XLOOKUP($B77,Transporte[DESCRIPCION],Transporte[VALOR],,0),"")</f>
        <v/>
      </c>
      <c r="F77" s="33"/>
      <c r="G77" s="34" t="str">
        <f>IFERROR(IF(F77&gt;=0,D77*E77*(1+F77/100),ABS(D77*E77/F77)),"")</f>
        <v/>
      </c>
      <c r="H77" s="43" t="str">
        <f>IFERROR(G77*E64,"")</f>
        <v/>
      </c>
    </row>
    <row r="78" spans="1:8">
      <c r="A78" s="28"/>
      <c r="B78" s="29"/>
      <c r="C78" s="30" t="str">
        <f>IFERROR(_xlfn.XLOOKUP(B78,Transporte[DESCRIPCION],Transporte[UND],,0),"")</f>
        <v/>
      </c>
      <c r="D78" s="31"/>
      <c r="E78" s="32" t="str">
        <f>IFERROR(_xlfn.XLOOKUP($B78,Transporte[DESCRIPCION],Transporte[VALOR],,0),"")</f>
        <v/>
      </c>
      <c r="F78" s="33"/>
      <c r="G78" s="34" t="str">
        <f>IFERROR(IF(F78&gt;=0,D78*E78*(1+F78/100),ABS(D78*E78/F78)),"")</f>
        <v/>
      </c>
      <c r="H78" s="43" t="str">
        <f>IFERROR(G78*E64,"")</f>
        <v/>
      </c>
    </row>
    <row r="79" spans="1:8">
      <c r="A79" s="21"/>
      <c r="B79" s="22" t="s">
        <v>3732</v>
      </c>
      <c r="C79" s="23"/>
      <c r="D79" s="24"/>
      <c r="E79" s="25"/>
      <c r="F79" s="26"/>
      <c r="G79" s="27">
        <f>SUM(G80:G82)</f>
        <v>0</v>
      </c>
      <c r="H79" s="44" t="e">
        <f>G79*E64</f>
        <v>#N/A</v>
      </c>
    </row>
    <row r="80" spans="1:8">
      <c r="A80" s="28"/>
      <c r="B80" s="29"/>
      <c r="C80" s="30" t="str">
        <f>IFERROR(_xlfn.XLOOKUP(B80,MObra[DESCRIPCION],MObra[UN],,0),"")</f>
        <v/>
      </c>
      <c r="D80" s="31"/>
      <c r="E80" s="32" t="str">
        <f>IFERROR(_xlfn.XLOOKUP($B80,MObra[DESCRIPCION],MObra[VALOR UNIT],,0),"")</f>
        <v/>
      </c>
      <c r="F80" s="33"/>
      <c r="G80" s="34" t="str">
        <f>IFERROR(IF(F80&gt;=0,D80*E80*(1+F80/100),ABS(D80*E80/F80)),"")</f>
        <v/>
      </c>
      <c r="H80" s="43" t="str">
        <f>IFERROR(G80*E64,"")</f>
        <v/>
      </c>
    </row>
    <row r="81" spans="1:8">
      <c r="A81" s="28"/>
      <c r="B81" s="29"/>
      <c r="C81" s="30" t="str">
        <f t="array" ref="C81">IFERROR(_xlfn.XLOOKUP(B81,MObra[[#All],[DESCRIPCION]],MObra[[#All],[UN]],,0),"")</f>
        <v/>
      </c>
      <c r="D81" s="31"/>
      <c r="E81" s="32" t="str">
        <f>IFERROR(_xlfn.XLOOKUP($B81,MObra[DESCRIPCION],MObra[VALOR UNIT],,0),"")</f>
        <v/>
      </c>
      <c r="F81" s="33"/>
      <c r="G81" s="34" t="str">
        <f>IFERROR(IF(F81&gt;=0,D81*E81*(1+F81/100),ABS(D81*E81/F81)),"")</f>
        <v/>
      </c>
      <c r="H81" s="43" t="str">
        <f>IFERROR(G81*E64,"")</f>
        <v/>
      </c>
    </row>
    <row r="82" spans="1:8" ht="13.15" thickBot="1">
      <c r="A82" s="35"/>
      <c r="B82" s="36"/>
      <c r="C82" s="37" t="str">
        <f t="array" ref="C82">IFERROR(_xlfn.XLOOKUP(B82,MObra[[#All],[DESCRIPCION]],MObra[[#All],[UN]],,0),"")</f>
        <v/>
      </c>
      <c r="D82" s="38"/>
      <c r="E82" s="39" t="str">
        <f>IFERROR(_xlfn.XLOOKUP($B82,MObra[DESCRIPCION],MObra[VALOR UNIT],,0),"")</f>
        <v/>
      </c>
      <c r="F82" s="40"/>
      <c r="G82" s="41" t="str">
        <f>IFERROR(IF(F82&gt;=0,D82*E82*(1+F82/100),ABS(D82*E82/F82)),"")</f>
        <v/>
      </c>
      <c r="H82" s="42" t="str">
        <f>IFERROR(G82*E64,"")</f>
        <v/>
      </c>
    </row>
    <row r="83" spans="1:8" ht="12.75" customHeight="1" thickTop="1"/>
    <row r="1271" spans="2:2" ht="12.75" customHeight="1">
      <c r="B1271" s="51"/>
    </row>
  </sheetData>
  <mergeCells count="3">
    <mergeCell ref="B1:G1"/>
    <mergeCell ref="B2:G2"/>
    <mergeCell ref="B3:G3"/>
  </mergeCells>
  <dataValidations count="1">
    <dataValidation type="list" allowBlank="1" showInputMessage="1" showErrorMessage="1" sqref="B7:B11 B27:B31 B47:B51 B67:B71" xr:uid="{00000000-0002-0000-2300-000000000000}">
      <formula1>Desinsum</formula1>
      <formula2>0</formula2>
    </dataValidation>
  </dataValidations>
  <printOptions horizontalCentered="1"/>
  <pageMargins left="0.59055118110236227" right="0.59055118110236227" top="0.59055118110236227" bottom="0.59055118110236227" header="0.51181102362204722" footer="0.51181102362204722"/>
  <pageSetup scale="65" orientation="portrait" horizontalDpi="300" verticalDpi="300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2300-000001000000}">
          <x14:formula1>
            <xm:f>'Mano de obra'!$B$31:$B$58</xm:f>
          </x14:formula1>
          <x14:formula2>
            <xm:f>0</xm:f>
          </x14:formula2>
          <xm:sqref>B20:B22 B40:B42 B60:B62 B80:B82</xm:sqref>
        </x14:dataValidation>
        <x14:dataValidation type="list" allowBlank="1" showInputMessage="1" showErrorMessage="1" xr:uid="{00000000-0002-0000-2300-000002000000}">
          <x14:formula1>
            <xm:f>Transporte!$A$4:$A$9</xm:f>
          </x14:formula1>
          <x14:formula2>
            <xm:f>0</xm:f>
          </x14:formula2>
          <xm:sqref>B17:B18 B37:B38 B57:B58 B77:B78</xm:sqref>
        </x14:dataValidation>
        <x14:dataValidation type="list" allowBlank="1" showInputMessage="1" showErrorMessage="1" xr:uid="{00000000-0002-0000-2300-000003000000}">
          <x14:formula1>
            <xm:f>Equipo!$A$4:$A$90</xm:f>
          </x14:formula1>
          <x14:formula2>
            <xm:f>0</xm:f>
          </x14:formula2>
          <xm:sqref>B13:B15 B33:B35 B53:B55 B73:B75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19</vt:i4>
      </vt:variant>
      <vt:variant>
        <vt:lpstr>Rangos con nombre</vt:lpstr>
      </vt:variant>
      <vt:variant>
        <vt:i4>35</vt:i4>
      </vt:variant>
    </vt:vector>
  </HeadingPairs>
  <TitlesOfParts>
    <vt:vector size="54" baseType="lpstr">
      <vt:lpstr>Presupuesto</vt:lpstr>
      <vt:lpstr>Insumos</vt:lpstr>
      <vt:lpstr>Equipo</vt:lpstr>
      <vt:lpstr>Transporte</vt:lpstr>
      <vt:lpstr>Mano de obra</vt:lpstr>
      <vt:lpstr>Basico</vt:lpstr>
      <vt:lpstr>AU</vt:lpstr>
      <vt:lpstr>CAP1-3</vt:lpstr>
      <vt:lpstr>CAP4-5</vt:lpstr>
      <vt:lpstr>CAP6-7</vt:lpstr>
      <vt:lpstr>CAP8</vt:lpstr>
      <vt:lpstr>CAP9-13</vt:lpstr>
      <vt:lpstr>CAP14-15</vt:lpstr>
      <vt:lpstr>CAP16-18</vt:lpstr>
      <vt:lpstr>CAP19-22</vt:lpstr>
      <vt:lpstr>CAP23-24</vt:lpstr>
      <vt:lpstr>CAP25</vt:lpstr>
      <vt:lpstr>CAP26-28</vt:lpstr>
      <vt:lpstr>CAP29</vt:lpstr>
      <vt:lpstr>AU!Área_de_impresión</vt:lpstr>
      <vt:lpstr>Basico!Área_de_impresión</vt:lpstr>
      <vt:lpstr>'CAP1-3'!Área_de_impresión</vt:lpstr>
      <vt:lpstr>'CAP14-15'!Área_de_impresión</vt:lpstr>
      <vt:lpstr>'CAP16-18'!Área_de_impresión</vt:lpstr>
      <vt:lpstr>'CAP19-22'!Área_de_impresión</vt:lpstr>
      <vt:lpstr>'CAP23-24'!Área_de_impresión</vt:lpstr>
      <vt:lpstr>'CAP25'!Área_de_impresión</vt:lpstr>
      <vt:lpstr>'CAP26-28'!Área_de_impresión</vt:lpstr>
      <vt:lpstr>'CAP29'!Área_de_impresión</vt:lpstr>
      <vt:lpstr>'CAP4-5'!Área_de_impresión</vt:lpstr>
      <vt:lpstr>'CAP6-7'!Área_de_impresión</vt:lpstr>
      <vt:lpstr>'CAP8'!Área_de_impresión</vt:lpstr>
      <vt:lpstr>'CAP9-13'!Área_de_impresión</vt:lpstr>
      <vt:lpstr>Equipo!Área_de_impresión</vt:lpstr>
      <vt:lpstr>Insumos!Área_de_impresión</vt:lpstr>
      <vt:lpstr>'Mano de obra'!Área_de_impresión</vt:lpstr>
      <vt:lpstr>Presupuesto!Área_de_impresión</vt:lpstr>
      <vt:lpstr>Transporte!Área_de_impresión</vt:lpstr>
      <vt:lpstr>Desinsum</vt:lpstr>
      <vt:lpstr>Basico!Títulos_a_imprimir</vt:lpstr>
      <vt:lpstr>'CAP1-3'!Títulos_a_imprimir</vt:lpstr>
      <vt:lpstr>'CAP14-15'!Títulos_a_imprimir</vt:lpstr>
      <vt:lpstr>'CAP16-18'!Títulos_a_imprimir</vt:lpstr>
      <vt:lpstr>'CAP19-22'!Títulos_a_imprimir</vt:lpstr>
      <vt:lpstr>'CAP23-24'!Títulos_a_imprimir</vt:lpstr>
      <vt:lpstr>'CAP25'!Títulos_a_imprimir</vt:lpstr>
      <vt:lpstr>'CAP26-28'!Títulos_a_imprimir</vt:lpstr>
      <vt:lpstr>'CAP29'!Títulos_a_imprimir</vt:lpstr>
      <vt:lpstr>'CAP4-5'!Títulos_a_imprimir</vt:lpstr>
      <vt:lpstr>'CAP6-7'!Títulos_a_imprimir</vt:lpstr>
      <vt:lpstr>'CAP8'!Títulos_a_imprimir</vt:lpstr>
      <vt:lpstr>'CAP9-13'!Títulos_a_imprimir</vt:lpstr>
      <vt:lpstr>Insumos!Títulos_a_imprimir</vt:lpstr>
      <vt:lpstr>Presupuesto!Títulos_a_imprimir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>1</cp:revision>
  <dcterms:created xsi:type="dcterms:W3CDTF">2025-12-01T12:16:39Z</dcterms:created>
  <dcterms:modified xsi:type="dcterms:W3CDTF">2026-08-25T14:24:28Z</dcterms:modified>
  <cp:category/>
  <cp:contentStatus/>
</cp:coreProperties>
</file>